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chartsheets/sheet2.xml" ContentType="application/vnd.openxmlformats-officedocument.spreadsheetml.chartsheet+xml"/>
  <Override PartName="/xl/chartsheets/sheet3.xml" ContentType="application/vnd.openxmlformats-officedocument.spreadsheetml.chartsheet+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updateLinks="always" codeName="ThisWorkbook" defaultThemeVersion="124226"/>
  <bookViews>
    <workbookView xWindow="-15" yWindow="6225" windowWidth="17400" windowHeight="6285" tabRatio="811" firstSheet="4" activeTab="5"/>
  </bookViews>
  <sheets>
    <sheet name="STORAGE" sheetId="38" r:id="rId1"/>
    <sheet name="Partner Storage" sheetId="47" r:id="rId2"/>
    <sheet name="1135 Storage" sheetId="48" r:id="rId3"/>
    <sheet name="Summary" sheetId="45" r:id="rId4"/>
    <sheet name="Tacoma-Report Page" sheetId="34" r:id="rId5"/>
    <sheet name="RWS-Report Page " sheetId="35" r:id="rId6"/>
    <sheet name="Annual Consumption Report" sheetId="44" r:id="rId7"/>
    <sheet name="Monthly Consumption Report" sheetId="22" r:id="rId8"/>
    <sheet name="Sheet1" sheetId="32" r:id="rId9"/>
    <sheet name="Calculation" sheetId="43" r:id="rId10"/>
    <sheet name="Calculations II" sheetId="24" r:id="rId11"/>
    <sheet name="Accounting-Delivery" sheetId="30" r:id="rId12"/>
    <sheet name="HH Capacity Table" sheetId="29" r:id="rId13"/>
    <sheet name="Diversion Rights" sheetId="16" r:id="rId14"/>
    <sheet name="Lookup" sheetId="23" r:id="rId15"/>
    <sheet name="Conversions" sheetId="42" r:id="rId16"/>
  </sheets>
  <externalReferences>
    <externalReference r:id="rId17"/>
  </externalReferences>
  <definedNames>
    <definedName name="_A66000">#REF!</definedName>
    <definedName name="_A80000">#REF!</definedName>
    <definedName name="A">#REF!</definedName>
    <definedName name="AFtoCFS">Conversions!$C$6</definedName>
    <definedName name="AFtoMG">Conversions!$C$7</definedName>
    <definedName name="CFStoMGD">Conversions!$C$8</definedName>
    <definedName name="CHECK">#REF!</definedName>
    <definedName name="CHECK2">#REF!</definedName>
    <definedName name="D">#REF!</definedName>
    <definedName name="DATA">#REF!</definedName>
    <definedName name="ddddddddddd">'[1]HHD Capacity Table'!$G$3:$J$1792</definedName>
    <definedName name="E">#REF!</definedName>
    <definedName name="EDIT1">#REF!</definedName>
    <definedName name="EDIT2">#REF!</definedName>
    <definedName name="GPMtoMGD">Conversions!$C$9</definedName>
    <definedName name="hhdcap_wcm">'HH Capacity Table'!$G$3:$J$1792</definedName>
    <definedName name="hhdelev_wcm">'HH Capacity Table'!$B$3:$E$1793</definedName>
    <definedName name="MAXI">#REF!</definedName>
    <definedName name="MGDtoCFS">Conversions!$C$4</definedName>
    <definedName name="MGtoAF">Conversions!$C$5</definedName>
    <definedName name="MINI">#REF!</definedName>
    <definedName name="NET">#REF!</definedName>
    <definedName name="Oct92Con">#REF!</definedName>
    <definedName name="Partner_1_Share">#REF!</definedName>
    <definedName name="Partner_2_Share">#REF!</definedName>
    <definedName name="Partner_3_Share">#REF!</definedName>
    <definedName name="Partner_4_Share">#REF!</definedName>
    <definedName name="_xlnm.Print_Area" localSheetId="6">'Annual Consumption Report'!$A$2:$V$35</definedName>
    <definedName name="_xlnm.Print_Area" localSheetId="7">'Monthly Consumption Report'!$A$2:$R$54</definedName>
    <definedName name="_xlnm.Print_Area" localSheetId="5">'RWS-Report Page '!$A$1:$K$109</definedName>
    <definedName name="_xlnm.Print_Area" localSheetId="8">Sheet1!$B$1:$BY$7</definedName>
    <definedName name="_xlnm.Print_Area" localSheetId="4">'Tacoma-Report Page'!$A$1:$K$74</definedName>
    <definedName name="_xlnm.Print_Titles" localSheetId="11">'Accounting-Delivery'!$1:$7</definedName>
    <definedName name="_xlnm.Print_Titles" localSheetId="5">'RWS-Report Page '!$1:$4</definedName>
    <definedName name="_xlnm.Print_Titles" localSheetId="3">Summary!$1:$3</definedName>
    <definedName name="_xlnm.Print_Titles" localSheetId="4">'Tacoma-Report Page'!$1:$7</definedName>
    <definedName name="solver_cvg" localSheetId="3" hidden="1">0.0001</definedName>
    <definedName name="solver_drv" localSheetId="3" hidden="1">1</definedName>
    <definedName name="solver_est" localSheetId="3" hidden="1">1</definedName>
    <definedName name="solver_itr" localSheetId="3" hidden="1">100</definedName>
    <definedName name="solver_lin" localSheetId="3" hidden="1">2</definedName>
    <definedName name="solver_neg" localSheetId="3" hidden="1">2</definedName>
    <definedName name="solver_num" localSheetId="3" hidden="1">0</definedName>
    <definedName name="solver_nwt" localSheetId="3" hidden="1">1</definedName>
    <definedName name="solver_opt" localSheetId="3" hidden="1">Summary!#REF!</definedName>
    <definedName name="solver_pre" localSheetId="3" hidden="1">0.000001</definedName>
    <definedName name="solver_scl" localSheetId="3" hidden="1">2</definedName>
    <definedName name="solver_sho" localSheetId="3" hidden="1">2</definedName>
    <definedName name="solver_tim" localSheetId="3" hidden="1">100</definedName>
    <definedName name="solver_tol" localSheetId="3" hidden="1">0.05</definedName>
    <definedName name="solver_typ" localSheetId="3" hidden="1">1</definedName>
    <definedName name="solver_val" localSheetId="3" hidden="1">0</definedName>
    <definedName name="Z">#REF!</definedName>
    <definedName name="Z_BB2BAFA4_4BB9_41E9_9F62_A062B88CB317_.wvu.Cols" localSheetId="3" hidden="1">Summary!$P:$P,Summary!$R:$S,Summary!$AB:$AB,Summary!$AE:$AE,Summary!$AI:$AJ</definedName>
    <definedName name="Z_BB2BAFA4_4BB9_41E9_9F62_A062B88CB317_.wvu.PrintTitles" localSheetId="3" hidden="1">Summary!$1:$3</definedName>
    <definedName name="Z_BB2BAFA4_4BB9_41E9_9F62_A062B88CB317_.wvu.Rows" localSheetId="3" hidden="1">Summary!$4:$4</definedName>
  </definedNames>
  <calcPr calcId="125725"/>
</workbook>
</file>

<file path=xl/calcChain.xml><?xml version="1.0" encoding="utf-8"?>
<calcChain xmlns="http://schemas.openxmlformats.org/spreadsheetml/2006/main">
  <c r="AC11" i="32"/>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C128"/>
  <c r="AC129"/>
  <c r="AC130"/>
  <c r="AC131"/>
  <c r="AC132"/>
  <c r="AC133"/>
  <c r="AC134"/>
  <c r="AC135"/>
  <c r="AC136"/>
  <c r="AC137"/>
  <c r="AC138"/>
  <c r="AC139"/>
  <c r="AC140"/>
  <c r="AC141"/>
  <c r="AC142"/>
  <c r="AC143"/>
  <c r="AC144"/>
  <c r="AC145"/>
  <c r="AC146"/>
  <c r="AC147"/>
  <c r="AC148"/>
  <c r="AC149"/>
  <c r="AC150"/>
  <c r="AC151"/>
  <c r="AC152"/>
  <c r="AC153"/>
  <c r="AC154"/>
  <c r="AC155"/>
  <c r="AC156"/>
  <c r="AC157"/>
  <c r="AC158"/>
  <c r="AC159"/>
  <c r="AC160"/>
  <c r="AC161"/>
  <c r="AC162"/>
  <c r="AC163"/>
  <c r="AC164"/>
  <c r="AC165"/>
  <c r="AC166"/>
  <c r="AC167"/>
  <c r="AC168"/>
  <c r="AC169"/>
  <c r="AC170"/>
  <c r="AC171"/>
  <c r="AC172"/>
  <c r="AC173"/>
  <c r="AC174"/>
  <c r="AC175"/>
  <c r="AC176"/>
  <c r="AC177"/>
  <c r="AC178"/>
  <c r="AC179"/>
  <c r="AC180"/>
  <c r="AC181"/>
  <c r="AC182"/>
  <c r="AC183"/>
  <c r="AC184"/>
  <c r="AC185"/>
  <c r="AC186"/>
  <c r="AC187"/>
  <c r="AC188"/>
  <c r="AC189"/>
  <c r="AC190"/>
  <c r="AC191"/>
  <c r="AC192"/>
  <c r="AC193"/>
  <c r="AC194"/>
  <c r="AC195"/>
  <c r="AC196"/>
  <c r="AC197"/>
  <c r="AC198"/>
  <c r="AC199"/>
  <c r="AC200"/>
  <c r="AC201"/>
  <c r="AC202"/>
  <c r="AC203"/>
  <c r="AC204"/>
  <c r="AC205"/>
  <c r="AC206"/>
  <c r="AC207"/>
  <c r="AC208"/>
  <c r="AC209"/>
  <c r="AC210"/>
  <c r="AC211"/>
  <c r="AC212"/>
  <c r="AC213"/>
  <c r="AC214"/>
  <c r="AC215"/>
  <c r="AC216"/>
  <c r="AC217"/>
  <c r="AC218"/>
  <c r="AC219"/>
  <c r="AC220"/>
  <c r="AC221"/>
  <c r="AC222"/>
  <c r="AC223"/>
  <c r="AC224"/>
  <c r="AC225"/>
  <c r="AC226"/>
  <c r="AC227"/>
  <c r="AC228"/>
  <c r="AC229"/>
  <c r="AC230"/>
  <c r="AC231"/>
  <c r="AC232"/>
  <c r="AC233"/>
  <c r="AC234"/>
  <c r="AC235"/>
  <c r="AC236"/>
  <c r="AC237"/>
  <c r="AC238"/>
  <c r="AC239"/>
  <c r="AC240"/>
  <c r="AC241"/>
  <c r="AC242"/>
  <c r="AC243"/>
  <c r="AC244"/>
  <c r="AC245"/>
  <c r="AC246"/>
  <c r="AC247"/>
  <c r="AC248"/>
  <c r="AC249"/>
  <c r="AC250"/>
  <c r="AC251"/>
  <c r="AC252"/>
  <c r="AC253"/>
  <c r="AC254"/>
  <c r="AC255"/>
  <c r="AC256"/>
  <c r="AC257"/>
  <c r="AC258"/>
  <c r="AC259"/>
  <c r="AC260"/>
  <c r="AC261"/>
  <c r="AC262"/>
  <c r="AC263"/>
  <c r="AC264"/>
  <c r="AC265"/>
  <c r="AC266"/>
  <c r="AC267"/>
  <c r="AC268"/>
  <c r="AC269"/>
  <c r="AC270"/>
  <c r="AC271"/>
  <c r="AC272"/>
  <c r="AC273"/>
  <c r="AC274"/>
  <c r="AC275"/>
  <c r="AC276"/>
  <c r="AC277"/>
  <c r="AC278"/>
  <c r="AC279"/>
  <c r="AC280"/>
  <c r="AC281"/>
  <c r="AC282"/>
  <c r="AC283"/>
  <c r="AC284"/>
  <c r="AC285"/>
  <c r="AC286"/>
  <c r="AC287"/>
  <c r="AC288"/>
  <c r="AC289"/>
  <c r="AC290"/>
  <c r="AC291"/>
  <c r="AC292"/>
  <c r="AC293"/>
  <c r="AC294"/>
  <c r="AC295"/>
  <c r="AC296"/>
  <c r="AC297"/>
  <c r="AC298"/>
  <c r="AC299"/>
  <c r="AC300"/>
  <c r="AC301"/>
  <c r="AC302"/>
  <c r="AC303"/>
  <c r="AC304"/>
  <c r="AC305"/>
  <c r="AC306"/>
  <c r="AC307"/>
  <c r="AC308"/>
  <c r="AC309"/>
  <c r="AC310"/>
  <c r="AC311"/>
  <c r="AC312"/>
  <c r="AC313"/>
  <c r="AC314"/>
  <c r="AC315"/>
  <c r="AC316"/>
  <c r="AC317"/>
  <c r="AC318"/>
  <c r="AC319"/>
  <c r="AC320"/>
  <c r="AC321"/>
  <c r="AC322"/>
  <c r="AC323"/>
  <c r="AC324"/>
  <c r="AC325"/>
  <c r="AC326"/>
  <c r="AC327"/>
  <c r="AC328"/>
  <c r="AC329"/>
  <c r="AC330"/>
  <c r="AC331"/>
  <c r="AC332"/>
  <c r="AC333"/>
  <c r="AC334"/>
  <c r="AC335"/>
  <c r="AC336"/>
  <c r="AC337"/>
  <c r="AC338"/>
  <c r="AC339"/>
  <c r="AC340"/>
  <c r="AC341"/>
  <c r="AC342"/>
  <c r="AC343"/>
  <c r="AC344"/>
  <c r="AC345"/>
  <c r="AC346"/>
  <c r="AC347"/>
  <c r="AC348"/>
  <c r="AC349"/>
  <c r="AC350"/>
  <c r="AC351"/>
  <c r="AC352"/>
  <c r="AC353"/>
  <c r="AC354"/>
  <c r="AC355"/>
  <c r="AC356"/>
  <c r="AC357"/>
  <c r="AC358"/>
  <c r="AC359"/>
  <c r="AC360"/>
  <c r="AC361"/>
  <c r="AC362"/>
  <c r="AC363"/>
  <c r="AC364"/>
  <c r="AC365"/>
  <c r="AC366"/>
  <c r="AC367"/>
  <c r="AC368"/>
  <c r="AC369"/>
  <c r="AC370"/>
  <c r="AC371"/>
  <c r="AC372"/>
  <c r="AC373"/>
  <c r="AC374"/>
  <c r="AC375"/>
  <c r="AC376"/>
  <c r="AC377"/>
  <c r="AC378"/>
  <c r="AC379"/>
  <c r="AC380"/>
  <c r="AC381"/>
  <c r="AC9"/>
  <c r="AC10"/>
  <c r="AC8"/>
  <c r="BR399"/>
  <c r="BQ399"/>
  <c r="BP399"/>
  <c r="BR387"/>
  <c r="BR388"/>
  <c r="BR389"/>
  <c r="BR390"/>
  <c r="BR391"/>
  <c r="BR392"/>
  <c r="BR393"/>
  <c r="BR394"/>
  <c r="BR395"/>
  <c r="BR396"/>
  <c r="BR397"/>
  <c r="BR386"/>
  <c r="BQ387"/>
  <c r="BQ388"/>
  <c r="BQ389"/>
  <c r="BQ390"/>
  <c r="BQ391"/>
  <c r="BQ392"/>
  <c r="BQ393"/>
  <c r="BQ394"/>
  <c r="BQ395"/>
  <c r="BQ396"/>
  <c r="BQ397"/>
  <c r="BQ386"/>
  <c r="BP387"/>
  <c r="BP388"/>
  <c r="BP389"/>
  <c r="BP390"/>
  <c r="BP391"/>
  <c r="BP392"/>
  <c r="BP393"/>
  <c r="BP394"/>
  <c r="BP395"/>
  <c r="BP396"/>
  <c r="BP397"/>
  <c r="BP386"/>
  <c r="BD397"/>
  <c r="BE397"/>
  <c r="BF397"/>
  <c r="BG397"/>
  <c r="BH397"/>
  <c r="BI397"/>
  <c r="BJ397"/>
  <c r="BK397"/>
  <c r="BL397"/>
  <c r="BM397"/>
  <c r="BC397"/>
  <c r="BD396"/>
  <c r="BE396"/>
  <c r="BF396"/>
  <c r="BG396"/>
  <c r="BH396"/>
  <c r="BI396"/>
  <c r="BJ396"/>
  <c r="BK396"/>
  <c r="BL396"/>
  <c r="BM396"/>
  <c r="BC396"/>
  <c r="BD395"/>
  <c r="BE395"/>
  <c r="BF395"/>
  <c r="BG395"/>
  <c r="BH395"/>
  <c r="BI395"/>
  <c r="BJ395"/>
  <c r="BK395"/>
  <c r="BL395"/>
  <c r="BM395"/>
  <c r="BC395"/>
  <c r="BD394"/>
  <c r="BE394"/>
  <c r="BF394"/>
  <c r="BG394"/>
  <c r="BH394"/>
  <c r="BI394"/>
  <c r="BJ394"/>
  <c r="BK394"/>
  <c r="BL394"/>
  <c r="BM394"/>
  <c r="BC394"/>
  <c r="BD393"/>
  <c r="BE393"/>
  <c r="BF393"/>
  <c r="BG393"/>
  <c r="BH393"/>
  <c r="BI393"/>
  <c r="BJ393"/>
  <c r="BK393"/>
  <c r="BL393"/>
  <c r="BM393"/>
  <c r="BC393"/>
  <c r="BD392"/>
  <c r="BE392"/>
  <c r="BF392"/>
  <c r="BG392"/>
  <c r="BH392"/>
  <c r="BI392"/>
  <c r="BJ392"/>
  <c r="BK392"/>
  <c r="BL392"/>
  <c r="BM392"/>
  <c r="BC392"/>
  <c r="BD391"/>
  <c r="BE391"/>
  <c r="BF391"/>
  <c r="BG391"/>
  <c r="BH391"/>
  <c r="BI391"/>
  <c r="BJ391"/>
  <c r="BK391"/>
  <c r="BL391"/>
  <c r="BM391"/>
  <c r="BC391"/>
  <c r="BD390"/>
  <c r="BE390"/>
  <c r="BF390"/>
  <c r="BG390"/>
  <c r="BH390"/>
  <c r="BI390"/>
  <c r="BJ390"/>
  <c r="BK390"/>
  <c r="BL390"/>
  <c r="BM390"/>
  <c r="BC390"/>
  <c r="BD389"/>
  <c r="BE389"/>
  <c r="BF389"/>
  <c r="BG389"/>
  <c r="BH389"/>
  <c r="BI389"/>
  <c r="BJ389"/>
  <c r="BK389"/>
  <c r="BL389"/>
  <c r="BM389"/>
  <c r="BC389"/>
  <c r="BD388"/>
  <c r="BE388"/>
  <c r="BF388"/>
  <c r="BG388"/>
  <c r="BH388"/>
  <c r="BI388"/>
  <c r="BJ388"/>
  <c r="BK388"/>
  <c r="BL388"/>
  <c r="BM388"/>
  <c r="BC388"/>
  <c r="BD387"/>
  <c r="BE387"/>
  <c r="BF387"/>
  <c r="BG387"/>
  <c r="BH387"/>
  <c r="BI387"/>
  <c r="BJ387"/>
  <c r="BK387"/>
  <c r="BL387"/>
  <c r="BM387"/>
  <c r="BC387"/>
  <c r="BD386"/>
  <c r="BE386"/>
  <c r="BF386"/>
  <c r="BG386"/>
  <c r="BH386"/>
  <c r="BI386"/>
  <c r="BJ386"/>
  <c r="BK386"/>
  <c r="BL386"/>
  <c r="BM386"/>
  <c r="BC386"/>
  <c r="F3" i="34"/>
  <c r="V251" i="45"/>
  <c r="EU8" i="43" l="1"/>
  <c r="F251" i="24" l="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250"/>
  <c r="BM250"/>
  <c r="BN250"/>
  <c r="BM251"/>
  <c r="BN251"/>
  <c r="BM252"/>
  <c r="BN252"/>
  <c r="BM253"/>
  <c r="BN253"/>
  <c r="BM254"/>
  <c r="BN254"/>
  <c r="BM255"/>
  <c r="BN255"/>
  <c r="BM256"/>
  <c r="BN256"/>
  <c r="BM257"/>
  <c r="BN257"/>
  <c r="BM258"/>
  <c r="BN258"/>
  <c r="BM259"/>
  <c r="BN259"/>
  <c r="BM260"/>
  <c r="BN260"/>
  <c r="BM261"/>
  <c r="BN261"/>
  <c r="BM262"/>
  <c r="BN262"/>
  <c r="BM263"/>
  <c r="BN263"/>
  <c r="BM264"/>
  <c r="BN264"/>
  <c r="BM265"/>
  <c r="BN265"/>
  <c r="BM266"/>
  <c r="BN266"/>
  <c r="BM267"/>
  <c r="BN267"/>
  <c r="BM268"/>
  <c r="BN268"/>
  <c r="BM269"/>
  <c r="BN269"/>
  <c r="BM270"/>
  <c r="BN270"/>
  <c r="BM271"/>
  <c r="BN271"/>
  <c r="BM272"/>
  <c r="BN272"/>
  <c r="BM273"/>
  <c r="BN273"/>
  <c r="BM274"/>
  <c r="BN274"/>
  <c r="BM275"/>
  <c r="BN275"/>
  <c r="BM276"/>
  <c r="BN276"/>
  <c r="BM277"/>
  <c r="BN277"/>
  <c r="BM278"/>
  <c r="BN278"/>
  <c r="BM279"/>
  <c r="BN279"/>
  <c r="BM280"/>
  <c r="BN280"/>
  <c r="BM281"/>
  <c r="BN281"/>
  <c r="BM282"/>
  <c r="BN282"/>
  <c r="BM283"/>
  <c r="BN283"/>
  <c r="BM284"/>
  <c r="BN284"/>
  <c r="BM285"/>
  <c r="BN285"/>
  <c r="BM286"/>
  <c r="BN286"/>
  <c r="BM287"/>
  <c r="BN287"/>
  <c r="BM288"/>
  <c r="BN288"/>
  <c r="BM289"/>
  <c r="BN289"/>
  <c r="BM290"/>
  <c r="BN290"/>
  <c r="BM291"/>
  <c r="BN291"/>
  <c r="BM292"/>
  <c r="BN292"/>
  <c r="BM293"/>
  <c r="BN293"/>
  <c r="BM294"/>
  <c r="BN294"/>
  <c r="BM295"/>
  <c r="BN295"/>
  <c r="BM296"/>
  <c r="BN296"/>
  <c r="BM297"/>
  <c r="BN297"/>
  <c r="BM298"/>
  <c r="BN298"/>
  <c r="BM299"/>
  <c r="BN299"/>
  <c r="BM300"/>
  <c r="BN300"/>
  <c r="BM301"/>
  <c r="BN301"/>
  <c r="BM302"/>
  <c r="BN302"/>
  <c r="BM303"/>
  <c r="BN303"/>
  <c r="BM304"/>
  <c r="BN304"/>
  <c r="BM305"/>
  <c r="BN305"/>
  <c r="BM306"/>
  <c r="BN306"/>
  <c r="BM307"/>
  <c r="BN307"/>
  <c r="BM308"/>
  <c r="BN308"/>
  <c r="BM309"/>
  <c r="BN309"/>
  <c r="BM310"/>
  <c r="BN310"/>
  <c r="BM311"/>
  <c r="BN311"/>
  <c r="BM312"/>
  <c r="BN312"/>
  <c r="BM313"/>
  <c r="BN313"/>
  <c r="BM314"/>
  <c r="BN314"/>
  <c r="BM315"/>
  <c r="BN315"/>
  <c r="BM316"/>
  <c r="BN316"/>
  <c r="BM317"/>
  <c r="BN317"/>
  <c r="BM318"/>
  <c r="BN318"/>
  <c r="BM319"/>
  <c r="BN319"/>
  <c r="BM320"/>
  <c r="BN320"/>
  <c r="BM321"/>
  <c r="BN321"/>
  <c r="BM322"/>
  <c r="BN322"/>
  <c r="BM323"/>
  <c r="BN323"/>
  <c r="BM324"/>
  <c r="BN324"/>
  <c r="BM325"/>
  <c r="BN325"/>
  <c r="BM326"/>
  <c r="BN326"/>
  <c r="BM327"/>
  <c r="BN327"/>
  <c r="BM328"/>
  <c r="BN328"/>
  <c r="BM329"/>
  <c r="BN329"/>
  <c r="BM330"/>
  <c r="BN330"/>
  <c r="BM331"/>
  <c r="BN331"/>
  <c r="BM332"/>
  <c r="BN332"/>
  <c r="BM333"/>
  <c r="BN333"/>
  <c r="BM334"/>
  <c r="BN334"/>
  <c r="BM335"/>
  <c r="BN335"/>
  <c r="BM336"/>
  <c r="BN336"/>
  <c r="BM337"/>
  <c r="BN337"/>
  <c r="BM338"/>
  <c r="BN338"/>
  <c r="BM339"/>
  <c r="BN339"/>
  <c r="BM340"/>
  <c r="BN340"/>
  <c r="BM341"/>
  <c r="BN341"/>
  <c r="BM342"/>
  <c r="BN342"/>
  <c r="BM343"/>
  <c r="BN343"/>
  <c r="BM344"/>
  <c r="BN344"/>
  <c r="BM345"/>
  <c r="BN345"/>
  <c r="BM346"/>
  <c r="BN346"/>
  <c r="BM347"/>
  <c r="BN347"/>
  <c r="BM348"/>
  <c r="BN348"/>
  <c r="BM349"/>
  <c r="BN349"/>
  <c r="BM350"/>
  <c r="BN350"/>
  <c r="BM351"/>
  <c r="BN351"/>
  <c r="BM352"/>
  <c r="BN352"/>
  <c r="BM353"/>
  <c r="BN353"/>
  <c r="BM354"/>
  <c r="BN354"/>
  <c r="BM355"/>
  <c r="BN355"/>
  <c r="BM356"/>
  <c r="BN356"/>
  <c r="BM357"/>
  <c r="BN357"/>
  <c r="BM358"/>
  <c r="BN358"/>
  <c r="BM359"/>
  <c r="BN359"/>
  <c r="BM360"/>
  <c r="BN360"/>
  <c r="BM361"/>
  <c r="BN361"/>
  <c r="BM362"/>
  <c r="BN362"/>
  <c r="BM363"/>
  <c r="BN363"/>
  <c r="BM364"/>
  <c r="BN364"/>
  <c r="BM365"/>
  <c r="BN365"/>
  <c r="BM366"/>
  <c r="BN366"/>
  <c r="BM367"/>
  <c r="BN367"/>
  <c r="BM368"/>
  <c r="BN368"/>
  <c r="BM369"/>
  <c r="BN369"/>
  <c r="BM370"/>
  <c r="BN370"/>
  <c r="BM371"/>
  <c r="BN371"/>
  <c r="BM372"/>
  <c r="BN372"/>
  <c r="BM373"/>
  <c r="BN373"/>
  <c r="BM374"/>
  <c r="BN374"/>
  <c r="BM375"/>
  <c r="BN375"/>
  <c r="BM376"/>
  <c r="BN376"/>
  <c r="BM377"/>
  <c r="BN377"/>
  <c r="BM378"/>
  <c r="BN378"/>
  <c r="BM379"/>
  <c r="BN379"/>
  <c r="BM380"/>
  <c r="BN380"/>
  <c r="BM381"/>
  <c r="BN381"/>
  <c r="BM382"/>
  <c r="BN382"/>
  <c r="BM383"/>
  <c r="BN383"/>
  <c r="BM384"/>
  <c r="BN384"/>
  <c r="BM385"/>
  <c r="BN385"/>
  <c r="EF250" i="43"/>
  <c r="EG250"/>
  <c r="EH250"/>
  <c r="EF251"/>
  <c r="EG251"/>
  <c r="EH251"/>
  <c r="EF252"/>
  <c r="EG252"/>
  <c r="EH252"/>
  <c r="EF253"/>
  <c r="EG253"/>
  <c r="EH253"/>
  <c r="EF254"/>
  <c r="EG254"/>
  <c r="EH254"/>
  <c r="EF255"/>
  <c r="EG255"/>
  <c r="EH255"/>
  <c r="EF256"/>
  <c r="EG256"/>
  <c r="EH256"/>
  <c r="EF257"/>
  <c r="EG257"/>
  <c r="EH257"/>
  <c r="EF258"/>
  <c r="EG258"/>
  <c r="EH258"/>
  <c r="EF259"/>
  <c r="EG259"/>
  <c r="EH259"/>
  <c r="EF260"/>
  <c r="EG260"/>
  <c r="EH260"/>
  <c r="EF261"/>
  <c r="EG261"/>
  <c r="EH261"/>
  <c r="EF262"/>
  <c r="EG262"/>
  <c r="EH262"/>
  <c r="EF263"/>
  <c r="EG263"/>
  <c r="EH263"/>
  <c r="EF264"/>
  <c r="EG264"/>
  <c r="EH264"/>
  <c r="EF265"/>
  <c r="EG265"/>
  <c r="EH265"/>
  <c r="EF266"/>
  <c r="EG266"/>
  <c r="EH266"/>
  <c r="EF267"/>
  <c r="EG267"/>
  <c r="EH267"/>
  <c r="EF268"/>
  <c r="EG268"/>
  <c r="EH268"/>
  <c r="EF269"/>
  <c r="EG269"/>
  <c r="EH269"/>
  <c r="EF270"/>
  <c r="EG270"/>
  <c r="EH270"/>
  <c r="EF271"/>
  <c r="EG271"/>
  <c r="EH271"/>
  <c r="EF272"/>
  <c r="EG272"/>
  <c r="EH272"/>
  <c r="EF273"/>
  <c r="EG273"/>
  <c r="EH273"/>
  <c r="EF274"/>
  <c r="EG274"/>
  <c r="EH274"/>
  <c r="EF275"/>
  <c r="EG275"/>
  <c r="EH275"/>
  <c r="EF276"/>
  <c r="EG276"/>
  <c r="EH276"/>
  <c r="EF277"/>
  <c r="EG277"/>
  <c r="EH277"/>
  <c r="EF278"/>
  <c r="EG278"/>
  <c r="EH278"/>
  <c r="EF279"/>
  <c r="EG279"/>
  <c r="EH279"/>
  <c r="EF280"/>
  <c r="EG280"/>
  <c r="EH280"/>
  <c r="EF281"/>
  <c r="EG281"/>
  <c r="EH281"/>
  <c r="EF282"/>
  <c r="EG282"/>
  <c r="EH282"/>
  <c r="EF283"/>
  <c r="EG283"/>
  <c r="EH283"/>
  <c r="EF284"/>
  <c r="EG284"/>
  <c r="EH284"/>
  <c r="EF285"/>
  <c r="EG285"/>
  <c r="EH285"/>
  <c r="EF286"/>
  <c r="EG286"/>
  <c r="EH286"/>
  <c r="EF287"/>
  <c r="EG287"/>
  <c r="EH287"/>
  <c r="EF288"/>
  <c r="EG288"/>
  <c r="EH288"/>
  <c r="EF289"/>
  <c r="EG289"/>
  <c r="EH289"/>
  <c r="EF290"/>
  <c r="EG290"/>
  <c r="EH290"/>
  <c r="EF291"/>
  <c r="EG291"/>
  <c r="EH291"/>
  <c r="EF292"/>
  <c r="EG292"/>
  <c r="EH292"/>
  <c r="EF293"/>
  <c r="EG293"/>
  <c r="EH293"/>
  <c r="EF294"/>
  <c r="EG294"/>
  <c r="EH294"/>
  <c r="EF295"/>
  <c r="EG295"/>
  <c r="EH295"/>
  <c r="EF296"/>
  <c r="EG296"/>
  <c r="EH296"/>
  <c r="EF297"/>
  <c r="EG297"/>
  <c r="EH297"/>
  <c r="EF298"/>
  <c r="EG298"/>
  <c r="EH298"/>
  <c r="EF299"/>
  <c r="EG299"/>
  <c r="EH299"/>
  <c r="EF300"/>
  <c r="EG300"/>
  <c r="EH300"/>
  <c r="EF301"/>
  <c r="EG301"/>
  <c r="EH301"/>
  <c r="EF302"/>
  <c r="EG302"/>
  <c r="EH302"/>
  <c r="EF303"/>
  <c r="EG303"/>
  <c r="EH303"/>
  <c r="EF304"/>
  <c r="EG304"/>
  <c r="EH304"/>
  <c r="EF305"/>
  <c r="EG305"/>
  <c r="EH305"/>
  <c r="EF306"/>
  <c r="EG306"/>
  <c r="EH306"/>
  <c r="EF307"/>
  <c r="EG307"/>
  <c r="EH307"/>
  <c r="EF308"/>
  <c r="EG308"/>
  <c r="EH308"/>
  <c r="EF309"/>
  <c r="EG309"/>
  <c r="EH309"/>
  <c r="EF310"/>
  <c r="EG310"/>
  <c r="EH310"/>
  <c r="EF311"/>
  <c r="EG311"/>
  <c r="EH311"/>
  <c r="EF312"/>
  <c r="EG312"/>
  <c r="EH312"/>
  <c r="EF313"/>
  <c r="EG313"/>
  <c r="EH313"/>
  <c r="EF314"/>
  <c r="EG314"/>
  <c r="EH314"/>
  <c r="EF315"/>
  <c r="EG315"/>
  <c r="EH315"/>
  <c r="EF316"/>
  <c r="EG316"/>
  <c r="EH316"/>
  <c r="EF317"/>
  <c r="EG317"/>
  <c r="EH317"/>
  <c r="EF318"/>
  <c r="EG318"/>
  <c r="EH318"/>
  <c r="EF319"/>
  <c r="EG319"/>
  <c r="EH319"/>
  <c r="EF320"/>
  <c r="EG320"/>
  <c r="EH320"/>
  <c r="EF321"/>
  <c r="EG321"/>
  <c r="EH321"/>
  <c r="EF322"/>
  <c r="EG322"/>
  <c r="EH322"/>
  <c r="EF323"/>
  <c r="EG323"/>
  <c r="EH323"/>
  <c r="EF324"/>
  <c r="EG324"/>
  <c r="EH324"/>
  <c r="EF325"/>
  <c r="EG325"/>
  <c r="EH325"/>
  <c r="EF326"/>
  <c r="EG326"/>
  <c r="EH326"/>
  <c r="EF327"/>
  <c r="EG327"/>
  <c r="EH327"/>
  <c r="EF328"/>
  <c r="EG328"/>
  <c r="EH328"/>
  <c r="EF329"/>
  <c r="EG329"/>
  <c r="EH329"/>
  <c r="EF330"/>
  <c r="EG330"/>
  <c r="EH330"/>
  <c r="EF331"/>
  <c r="EG331"/>
  <c r="EH331"/>
  <c r="EF332"/>
  <c r="EG332"/>
  <c r="EH332"/>
  <c r="EF333"/>
  <c r="EG333"/>
  <c r="EH333"/>
  <c r="EF334"/>
  <c r="EG334"/>
  <c r="EH334"/>
  <c r="EF335"/>
  <c r="EG335"/>
  <c r="EH335"/>
  <c r="EF336"/>
  <c r="EG336"/>
  <c r="EH336"/>
  <c r="EF337"/>
  <c r="EG337"/>
  <c r="EH337"/>
  <c r="EF338"/>
  <c r="EG338"/>
  <c r="EH338"/>
  <c r="EF339"/>
  <c r="EG339"/>
  <c r="EH339"/>
  <c r="EF340"/>
  <c r="EG340"/>
  <c r="EH340"/>
  <c r="EF341"/>
  <c r="EG341"/>
  <c r="EH341"/>
  <c r="EF342"/>
  <c r="EG342"/>
  <c r="EH342"/>
  <c r="EF343"/>
  <c r="EG343"/>
  <c r="EH343"/>
  <c r="EF344"/>
  <c r="EG344"/>
  <c r="EH344"/>
  <c r="EF345"/>
  <c r="EG345"/>
  <c r="EH345"/>
  <c r="EF346"/>
  <c r="EG346"/>
  <c r="EH346"/>
  <c r="EF347"/>
  <c r="EG347"/>
  <c r="EH347"/>
  <c r="EF348"/>
  <c r="EG348"/>
  <c r="EH348"/>
  <c r="EF349"/>
  <c r="EG349"/>
  <c r="EH349"/>
  <c r="EF350"/>
  <c r="EG350"/>
  <c r="EH350"/>
  <c r="EF351"/>
  <c r="EG351"/>
  <c r="EH351"/>
  <c r="EF352"/>
  <c r="EG352"/>
  <c r="EH352"/>
  <c r="EF353"/>
  <c r="EG353"/>
  <c r="EH353"/>
  <c r="EF354"/>
  <c r="EG354"/>
  <c r="EH354"/>
  <c r="EF355"/>
  <c r="EG355"/>
  <c r="EH355"/>
  <c r="EF356"/>
  <c r="EG356"/>
  <c r="EH356"/>
  <c r="EF357"/>
  <c r="EG357"/>
  <c r="EH357"/>
  <c r="EF358"/>
  <c r="EG358"/>
  <c r="EH358"/>
  <c r="EF359"/>
  <c r="EG359"/>
  <c r="EH359"/>
  <c r="EF360"/>
  <c r="EG360"/>
  <c r="EH360"/>
  <c r="EF361"/>
  <c r="EG361"/>
  <c r="EH361"/>
  <c r="EF362"/>
  <c r="EG362"/>
  <c r="EH362"/>
  <c r="EF363"/>
  <c r="EG363"/>
  <c r="EH363"/>
  <c r="EF364"/>
  <c r="EG364"/>
  <c r="EH364"/>
  <c r="EF365"/>
  <c r="EG365"/>
  <c r="EH365"/>
  <c r="EF366"/>
  <c r="EG366"/>
  <c r="EH366"/>
  <c r="EF367"/>
  <c r="EG367"/>
  <c r="EH367"/>
  <c r="EF368"/>
  <c r="EG368"/>
  <c r="EH368"/>
  <c r="EF369"/>
  <c r="EG369"/>
  <c r="EH369"/>
  <c r="EF370"/>
  <c r="EG370"/>
  <c r="EH370"/>
  <c r="EF371"/>
  <c r="EG371"/>
  <c r="EH371"/>
  <c r="EF372"/>
  <c r="EG372"/>
  <c r="EH372"/>
  <c r="EF373"/>
  <c r="EG373"/>
  <c r="EH373"/>
  <c r="EF374"/>
  <c r="EG374"/>
  <c r="EH374"/>
  <c r="EF375"/>
  <c r="EG375"/>
  <c r="EH375"/>
  <c r="EF376"/>
  <c r="EG376"/>
  <c r="EH376"/>
  <c r="EF377"/>
  <c r="EG377"/>
  <c r="EH377"/>
  <c r="EF378"/>
  <c r="EG378"/>
  <c r="EH378"/>
  <c r="BN249" i="24"/>
  <c r="BM249"/>
  <c r="EG249" i="43"/>
  <c r="EF249"/>
  <c r="F249" i="24"/>
  <c r="F241"/>
  <c r="F242"/>
  <c r="F243"/>
  <c r="F244"/>
  <c r="F245"/>
  <c r="F246"/>
  <c r="F247"/>
  <c r="F248"/>
  <c r="EI285" i="43" l="1"/>
  <c r="EI281"/>
  <c r="EI376"/>
  <c r="EI372"/>
  <c r="EI368"/>
  <c r="EI364"/>
  <c r="EI360"/>
  <c r="EI356"/>
  <c r="EI352"/>
  <c r="EI348"/>
  <c r="EI344"/>
  <c r="EI340"/>
  <c r="EI336"/>
  <c r="EI332"/>
  <c r="EI328"/>
  <c r="EI324"/>
  <c r="EI320"/>
  <c r="EI316"/>
  <c r="EI312"/>
  <c r="EI308"/>
  <c r="EI304"/>
  <c r="EI300"/>
  <c r="EI296"/>
  <c r="EI292"/>
  <c r="EI288"/>
  <c r="EI284"/>
  <c r="EI280"/>
  <c r="EI260"/>
  <c r="EI256"/>
  <c r="EI252"/>
  <c r="EI273"/>
  <c r="EI269"/>
  <c r="EI265"/>
  <c r="EI257"/>
  <c r="EI276"/>
  <c r="EI272"/>
  <c r="EI268"/>
  <c r="EI264"/>
  <c r="EI375"/>
  <c r="EI371"/>
  <c r="EI367"/>
  <c r="EI363"/>
  <c r="EI359"/>
  <c r="EI355"/>
  <c r="EI351"/>
  <c r="EI347"/>
  <c r="EI343"/>
  <c r="EI339"/>
  <c r="EI335"/>
  <c r="EI331"/>
  <c r="EI327"/>
  <c r="EI323"/>
  <c r="EI319"/>
  <c r="EI315"/>
  <c r="EI311"/>
  <c r="EI307"/>
  <c r="EI303"/>
  <c r="EI299"/>
  <c r="EI295"/>
  <c r="EI291"/>
  <c r="EI287"/>
  <c r="EI283"/>
  <c r="EI279"/>
  <c r="EI275"/>
  <c r="EI271"/>
  <c r="EI267"/>
  <c r="EI263"/>
  <c r="EI259"/>
  <c r="EI255"/>
  <c r="EI251"/>
  <c r="EI378"/>
  <c r="EI374"/>
  <c r="EI370"/>
  <c r="EI366"/>
  <c r="EI362"/>
  <c r="EI358"/>
  <c r="EI354"/>
  <c r="EI350"/>
  <c r="EI346"/>
  <c r="EI342"/>
  <c r="EI338"/>
  <c r="EI334"/>
  <c r="EI330"/>
  <c r="EI326"/>
  <c r="EI322"/>
  <c r="EI318"/>
  <c r="EI314"/>
  <c r="EI310"/>
  <c r="EI306"/>
  <c r="EI302"/>
  <c r="EI298"/>
  <c r="EI294"/>
  <c r="EI290"/>
  <c r="EI286"/>
  <c r="EI282"/>
  <c r="EI278"/>
  <c r="EI274"/>
  <c r="EI270"/>
  <c r="EI266"/>
  <c r="EI262"/>
  <c r="EI258"/>
  <c r="EI254"/>
  <c r="EI250"/>
  <c r="EI377"/>
  <c r="EI373"/>
  <c r="EI369"/>
  <c r="EI365"/>
  <c r="EI361"/>
  <c r="EI357"/>
  <c r="EI353"/>
  <c r="EI349"/>
  <c r="EI345"/>
  <c r="EI341"/>
  <c r="EI337"/>
  <c r="EI333"/>
  <c r="EI329"/>
  <c r="EI325"/>
  <c r="EI321"/>
  <c r="EI317"/>
  <c r="EI313"/>
  <c r="EI309"/>
  <c r="EI305"/>
  <c r="EI301"/>
  <c r="EI297"/>
  <c r="EI293"/>
  <c r="EI289"/>
  <c r="EI277"/>
  <c r="EI261"/>
  <c r="EI253"/>
  <c r="H382" i="45"/>
  <c r="I382"/>
  <c r="AG382" s="1"/>
  <c r="J382"/>
  <c r="K382"/>
  <c r="L382"/>
  <c r="O382"/>
  <c r="AD382"/>
  <c r="AR381"/>
  <c r="AS381" s="1"/>
  <c r="AT381" s="1"/>
  <c r="AU381" s="1"/>
  <c r="AV381" s="1"/>
  <c r="AW381" s="1"/>
  <c r="AX381" s="1"/>
  <c r="AY381" s="1"/>
  <c r="CY231" i="32"/>
  <c r="CO233"/>
  <c r="CO231"/>
  <c r="CO228"/>
  <c r="FL10" i="43"/>
  <c r="FM10"/>
  <c r="FL11"/>
  <c r="FM11"/>
  <c r="FL12"/>
  <c r="FM12"/>
  <c r="FL13"/>
  <c r="FM13"/>
  <c r="FL14"/>
  <c r="FM14"/>
  <c r="FL15"/>
  <c r="FM15"/>
  <c r="FL16"/>
  <c r="FM16"/>
  <c r="FL17"/>
  <c r="FM17"/>
  <c r="FL18"/>
  <c r="FM18"/>
  <c r="FL19"/>
  <c r="FM19"/>
  <c r="FL20"/>
  <c r="FM20"/>
  <c r="FL21"/>
  <c r="FM21"/>
  <c r="FL22"/>
  <c r="FM22"/>
  <c r="FL23"/>
  <c r="FM23"/>
  <c r="FL24"/>
  <c r="FM24"/>
  <c r="FL25"/>
  <c r="FM25"/>
  <c r="FL26"/>
  <c r="FM26"/>
  <c r="FL27"/>
  <c r="FM27"/>
  <c r="FL28"/>
  <c r="FM28"/>
  <c r="FL29"/>
  <c r="FM29"/>
  <c r="FL30"/>
  <c r="FM30"/>
  <c r="FL31"/>
  <c r="FM31"/>
  <c r="FL32"/>
  <c r="FM32"/>
  <c r="FL33"/>
  <c r="FM33"/>
  <c r="FL34"/>
  <c r="FM34"/>
  <c r="FL35"/>
  <c r="FM35"/>
  <c r="FL36"/>
  <c r="FM36"/>
  <c r="FL37"/>
  <c r="FM37"/>
  <c r="FL38"/>
  <c r="FM38"/>
  <c r="FL39"/>
  <c r="FM39"/>
  <c r="FL40"/>
  <c r="FM40"/>
  <c r="FL41"/>
  <c r="FM41"/>
  <c r="FL42"/>
  <c r="FM42"/>
  <c r="FL43"/>
  <c r="FM43"/>
  <c r="FL44"/>
  <c r="FM44"/>
  <c r="FL45"/>
  <c r="FM45"/>
  <c r="FL46"/>
  <c r="FM46"/>
  <c r="FL47"/>
  <c r="FM47"/>
  <c r="FL48"/>
  <c r="FM48"/>
  <c r="FL49"/>
  <c r="FM49"/>
  <c r="FL50"/>
  <c r="FM50"/>
  <c r="FL51"/>
  <c r="FM51"/>
  <c r="FL52"/>
  <c r="FM52"/>
  <c r="FL53"/>
  <c r="FM53"/>
  <c r="FL54"/>
  <c r="FM54"/>
  <c r="FL55"/>
  <c r="FM55"/>
  <c r="FL56"/>
  <c r="FM56"/>
  <c r="FL57"/>
  <c r="FM57"/>
  <c r="FL58"/>
  <c r="FM58"/>
  <c r="FL59"/>
  <c r="FM59"/>
  <c r="FL60"/>
  <c r="FM60"/>
  <c r="FL61"/>
  <c r="FM61"/>
  <c r="FL62"/>
  <c r="FM62"/>
  <c r="FL63"/>
  <c r="FM63"/>
  <c r="FL64"/>
  <c r="FM64"/>
  <c r="FL65"/>
  <c r="FM65"/>
  <c r="FL66"/>
  <c r="FM66"/>
  <c r="FL67"/>
  <c r="FM67"/>
  <c r="FL68"/>
  <c r="FM68"/>
  <c r="FL69"/>
  <c r="FM69"/>
  <c r="FL70"/>
  <c r="FM70"/>
  <c r="FL71"/>
  <c r="FM71"/>
  <c r="FL72"/>
  <c r="FM72"/>
  <c r="FL73"/>
  <c r="FM73"/>
  <c r="FL74"/>
  <c r="FM74"/>
  <c r="FL75"/>
  <c r="FM75"/>
  <c r="FL76"/>
  <c r="FM76"/>
  <c r="FL77"/>
  <c r="FM77"/>
  <c r="FL78"/>
  <c r="FM78"/>
  <c r="FL79"/>
  <c r="FM79"/>
  <c r="FL80"/>
  <c r="FM80"/>
  <c r="FL81"/>
  <c r="FM81"/>
  <c r="FL82"/>
  <c r="FM82"/>
  <c r="FL83"/>
  <c r="FM83"/>
  <c r="FL84"/>
  <c r="FM84"/>
  <c r="FL85"/>
  <c r="FM85"/>
  <c r="FL86"/>
  <c r="FM86"/>
  <c r="FL87"/>
  <c r="FM87"/>
  <c r="FL88"/>
  <c r="FM88"/>
  <c r="FL89"/>
  <c r="FM89"/>
  <c r="FL90"/>
  <c r="FM90"/>
  <c r="FL91"/>
  <c r="FM91"/>
  <c r="FL92"/>
  <c r="FM92"/>
  <c r="FL93"/>
  <c r="FM93"/>
  <c r="FL94"/>
  <c r="FM94"/>
  <c r="FL95"/>
  <c r="FM95"/>
  <c r="FL96"/>
  <c r="FM96"/>
  <c r="FL97"/>
  <c r="FM97"/>
  <c r="FL98"/>
  <c r="FM98"/>
  <c r="FL99"/>
  <c r="FM99"/>
  <c r="FL100"/>
  <c r="FM100"/>
  <c r="FL101"/>
  <c r="FM101"/>
  <c r="FL102"/>
  <c r="FM102"/>
  <c r="FL103"/>
  <c r="FM103"/>
  <c r="FL104"/>
  <c r="FM104"/>
  <c r="FL105"/>
  <c r="FM105"/>
  <c r="FL106"/>
  <c r="FM106"/>
  <c r="FL107"/>
  <c r="FM107"/>
  <c r="FL108"/>
  <c r="FM108"/>
  <c r="FL109"/>
  <c r="FM109"/>
  <c r="FL110"/>
  <c r="FM110"/>
  <c r="FL111"/>
  <c r="FM111"/>
  <c r="FL112"/>
  <c r="FM112"/>
  <c r="FL113"/>
  <c r="FM113"/>
  <c r="FL114"/>
  <c r="FM114"/>
  <c r="FL115"/>
  <c r="FM115"/>
  <c r="FL116"/>
  <c r="FM116"/>
  <c r="FL117"/>
  <c r="FM117"/>
  <c r="FL118"/>
  <c r="FM118"/>
  <c r="FL119"/>
  <c r="FM119"/>
  <c r="FL120"/>
  <c r="FM120"/>
  <c r="FL121"/>
  <c r="FM121"/>
  <c r="FL122"/>
  <c r="FM122"/>
  <c r="FL123"/>
  <c r="FM123"/>
  <c r="FL124"/>
  <c r="FM124"/>
  <c r="FL125"/>
  <c r="FM125"/>
  <c r="FL126"/>
  <c r="FM126"/>
  <c r="FL127"/>
  <c r="FM127"/>
  <c r="FL128"/>
  <c r="FM128"/>
  <c r="FL129"/>
  <c r="FM129"/>
  <c r="FL130"/>
  <c r="FM130"/>
  <c r="FL131"/>
  <c r="FM131"/>
  <c r="FL132"/>
  <c r="FM132"/>
  <c r="FL133"/>
  <c r="FM133"/>
  <c r="FL134"/>
  <c r="FM134"/>
  <c r="FL135"/>
  <c r="FM135"/>
  <c r="FL136"/>
  <c r="FM136"/>
  <c r="FL137"/>
  <c r="FM137"/>
  <c r="FL138"/>
  <c r="FM138"/>
  <c r="FL139"/>
  <c r="FM139"/>
  <c r="FL140"/>
  <c r="FM140"/>
  <c r="FL141"/>
  <c r="FM141"/>
  <c r="FL142"/>
  <c r="FM142"/>
  <c r="FL143"/>
  <c r="FM143"/>
  <c r="FL144"/>
  <c r="FM144"/>
  <c r="FL145"/>
  <c r="FM145"/>
  <c r="FL146"/>
  <c r="FM146"/>
  <c r="FL147"/>
  <c r="FM147"/>
  <c r="FL148"/>
  <c r="FM148"/>
  <c r="FL149"/>
  <c r="FM149"/>
  <c r="FL150"/>
  <c r="FM150"/>
  <c r="FL151"/>
  <c r="FM151"/>
  <c r="FL152"/>
  <c r="FM152"/>
  <c r="FL153"/>
  <c r="FM153"/>
  <c r="FL154"/>
  <c r="FM154"/>
  <c r="FL155"/>
  <c r="FM155"/>
  <c r="FL156"/>
  <c r="FM156"/>
  <c r="FL157"/>
  <c r="FM157"/>
  <c r="FL158"/>
  <c r="FM158"/>
  <c r="FL159"/>
  <c r="FM159"/>
  <c r="FL160"/>
  <c r="FM160"/>
  <c r="FL161"/>
  <c r="FM161"/>
  <c r="FL162"/>
  <c r="FM162"/>
  <c r="FL163"/>
  <c r="FM163"/>
  <c r="FL164"/>
  <c r="FM164"/>
  <c r="FL165"/>
  <c r="FM165"/>
  <c r="FL166"/>
  <c r="FM166"/>
  <c r="FL167"/>
  <c r="FM167"/>
  <c r="FL168"/>
  <c r="FM168"/>
  <c r="FL169"/>
  <c r="FM169"/>
  <c r="FL170"/>
  <c r="FM170"/>
  <c r="FL171"/>
  <c r="FM171"/>
  <c r="FL172"/>
  <c r="FM172"/>
  <c r="FL173"/>
  <c r="FM173"/>
  <c r="FL174"/>
  <c r="FM174"/>
  <c r="FL175"/>
  <c r="FM175"/>
  <c r="FL176"/>
  <c r="FM176"/>
  <c r="FL177"/>
  <c r="FM177"/>
  <c r="FL178"/>
  <c r="FM178"/>
  <c r="FL179"/>
  <c r="FM179"/>
  <c r="FL180"/>
  <c r="FM180"/>
  <c r="FL181"/>
  <c r="FM181"/>
  <c r="FL182"/>
  <c r="FM182"/>
  <c r="FL183"/>
  <c r="FM183"/>
  <c r="FL184"/>
  <c r="FM184"/>
  <c r="FL185"/>
  <c r="FM185"/>
  <c r="FL186"/>
  <c r="FM186"/>
  <c r="FL187"/>
  <c r="FM187"/>
  <c r="FL188"/>
  <c r="FM188"/>
  <c r="FL189"/>
  <c r="FM189"/>
  <c r="FL190"/>
  <c r="FM190"/>
  <c r="FL191"/>
  <c r="FM191"/>
  <c r="FL192"/>
  <c r="FM192"/>
  <c r="FL193"/>
  <c r="FM193"/>
  <c r="FL194"/>
  <c r="FM194"/>
  <c r="FL195"/>
  <c r="FM195"/>
  <c r="FL196"/>
  <c r="FM196"/>
  <c r="FL197"/>
  <c r="FM197"/>
  <c r="FL198"/>
  <c r="FM198"/>
  <c r="FL199"/>
  <c r="FM199"/>
  <c r="FL200"/>
  <c r="FM200"/>
  <c r="FL201"/>
  <c r="FM201"/>
  <c r="FL202"/>
  <c r="FM202"/>
  <c r="FL203"/>
  <c r="FM203"/>
  <c r="FL204"/>
  <c r="FM204"/>
  <c r="FL205"/>
  <c r="FM205"/>
  <c r="FL206"/>
  <c r="FM206"/>
  <c r="FL207"/>
  <c r="FM207"/>
  <c r="FL208"/>
  <c r="FM208"/>
  <c r="FL209"/>
  <c r="FM209"/>
  <c r="FL210"/>
  <c r="FM210"/>
  <c r="FL211"/>
  <c r="FM211"/>
  <c r="FL212"/>
  <c r="FM212"/>
  <c r="FL213"/>
  <c r="FM213"/>
  <c r="FL214"/>
  <c r="FM214"/>
  <c r="FL215"/>
  <c r="FM215"/>
  <c r="FL216"/>
  <c r="FM216"/>
  <c r="FL217"/>
  <c r="FM217"/>
  <c r="FL218"/>
  <c r="FM218"/>
  <c r="FL219"/>
  <c r="FM219"/>
  <c r="FL220"/>
  <c r="FM220"/>
  <c r="FL221"/>
  <c r="FM221"/>
  <c r="FL222"/>
  <c r="FM222"/>
  <c r="FL223"/>
  <c r="FM223"/>
  <c r="FL224"/>
  <c r="FM224"/>
  <c r="FL225"/>
  <c r="FM225"/>
  <c r="FL226"/>
  <c r="FM226"/>
  <c r="FL227"/>
  <c r="FM227"/>
  <c r="FL228"/>
  <c r="FM228"/>
  <c r="FL229"/>
  <c r="FM229"/>
  <c r="FL230"/>
  <c r="FM230"/>
  <c r="FL231"/>
  <c r="FM231"/>
  <c r="FL232"/>
  <c r="FM232"/>
  <c r="FL233"/>
  <c r="FM233"/>
  <c r="FL234"/>
  <c r="FM234"/>
  <c r="FL235"/>
  <c r="FM235"/>
  <c r="FL236"/>
  <c r="FM236"/>
  <c r="FL237"/>
  <c r="FM237"/>
  <c r="FL238"/>
  <c r="FM238"/>
  <c r="FL239"/>
  <c r="FM239"/>
  <c r="FL240"/>
  <c r="FM240"/>
  <c r="FL241"/>
  <c r="FM241"/>
  <c r="FL242"/>
  <c r="FM242"/>
  <c r="FL243"/>
  <c r="FM243"/>
  <c r="FL244"/>
  <c r="FM244"/>
  <c r="FL245"/>
  <c r="FM245"/>
  <c r="FL246"/>
  <c r="FM246"/>
  <c r="FL247"/>
  <c r="FM247"/>
  <c r="FL248"/>
  <c r="FM248"/>
  <c r="FL249"/>
  <c r="FM249"/>
  <c r="FL250"/>
  <c r="FM250"/>
  <c r="FL251"/>
  <c r="FM251"/>
  <c r="FL252"/>
  <c r="FM252"/>
  <c r="FL253"/>
  <c r="FM253"/>
  <c r="FL254"/>
  <c r="FM254"/>
  <c r="FL255"/>
  <c r="FM255"/>
  <c r="FL256"/>
  <c r="FM256"/>
  <c r="FL257"/>
  <c r="FM257"/>
  <c r="FL258"/>
  <c r="FM258"/>
  <c r="FL259"/>
  <c r="FM259"/>
  <c r="FL260"/>
  <c r="FM260"/>
  <c r="FL261"/>
  <c r="FM261"/>
  <c r="FL262"/>
  <c r="FM262"/>
  <c r="FL263"/>
  <c r="FM263"/>
  <c r="FL264"/>
  <c r="FM264"/>
  <c r="FL265"/>
  <c r="FM265"/>
  <c r="FL266"/>
  <c r="FM266"/>
  <c r="FL267"/>
  <c r="FM267"/>
  <c r="FL268"/>
  <c r="FM268"/>
  <c r="FL269"/>
  <c r="FM269"/>
  <c r="FL270"/>
  <c r="FM270"/>
  <c r="FL271"/>
  <c r="FM271"/>
  <c r="FL272"/>
  <c r="FM272"/>
  <c r="FL273"/>
  <c r="FM273"/>
  <c r="FL274"/>
  <c r="FM274"/>
  <c r="FL275"/>
  <c r="FM275"/>
  <c r="FL276"/>
  <c r="FM276"/>
  <c r="FL277"/>
  <c r="FM277"/>
  <c r="FL278"/>
  <c r="FM278"/>
  <c r="FL279"/>
  <c r="FM279"/>
  <c r="FL280"/>
  <c r="FM280"/>
  <c r="FL281"/>
  <c r="FM281"/>
  <c r="FL282"/>
  <c r="FM282"/>
  <c r="FL283"/>
  <c r="FM283"/>
  <c r="FL284"/>
  <c r="FM284"/>
  <c r="FL285"/>
  <c r="FM285"/>
  <c r="FL286"/>
  <c r="FM286"/>
  <c r="FL287"/>
  <c r="FM287"/>
  <c r="FL288"/>
  <c r="FM288"/>
  <c r="FL289"/>
  <c r="FM289"/>
  <c r="FL290"/>
  <c r="FM290"/>
  <c r="FL291"/>
  <c r="FM291"/>
  <c r="FL292"/>
  <c r="FM292"/>
  <c r="FL293"/>
  <c r="FM293"/>
  <c r="FL294"/>
  <c r="FM294"/>
  <c r="FL295"/>
  <c r="FM295"/>
  <c r="FL296"/>
  <c r="FM296"/>
  <c r="FL297"/>
  <c r="FM297"/>
  <c r="FL298"/>
  <c r="FM298"/>
  <c r="FL299"/>
  <c r="FM299"/>
  <c r="FL300"/>
  <c r="FM300"/>
  <c r="FL301"/>
  <c r="FM301"/>
  <c r="FL302"/>
  <c r="FM302"/>
  <c r="FL303"/>
  <c r="FM303"/>
  <c r="FL304"/>
  <c r="FM304"/>
  <c r="FL305"/>
  <c r="FM305"/>
  <c r="FL306"/>
  <c r="FM306"/>
  <c r="FL307"/>
  <c r="FM307"/>
  <c r="FL308"/>
  <c r="FM308"/>
  <c r="FL309"/>
  <c r="FM309"/>
  <c r="FL310"/>
  <c r="FM310"/>
  <c r="FL311"/>
  <c r="FM311"/>
  <c r="FL312"/>
  <c r="FM312"/>
  <c r="FL313"/>
  <c r="FM313"/>
  <c r="FL314"/>
  <c r="FM314"/>
  <c r="FL315"/>
  <c r="FM315"/>
  <c r="FL316"/>
  <c r="FM316"/>
  <c r="FL317"/>
  <c r="FM317"/>
  <c r="FL318"/>
  <c r="FM318"/>
  <c r="FL319"/>
  <c r="FM319"/>
  <c r="FL320"/>
  <c r="FM320"/>
  <c r="FL321"/>
  <c r="FM321"/>
  <c r="FL322"/>
  <c r="FM322"/>
  <c r="FL323"/>
  <c r="FM323"/>
  <c r="FL324"/>
  <c r="FM324"/>
  <c r="FL325"/>
  <c r="FM325"/>
  <c r="FL326"/>
  <c r="FM326"/>
  <c r="FL327"/>
  <c r="FM327"/>
  <c r="FL328"/>
  <c r="FM328"/>
  <c r="FL329"/>
  <c r="FM329"/>
  <c r="FL330"/>
  <c r="FM330"/>
  <c r="FL331"/>
  <c r="FM331"/>
  <c r="FL332"/>
  <c r="FM332"/>
  <c r="FL333"/>
  <c r="FM333"/>
  <c r="FL334"/>
  <c r="FM334"/>
  <c r="FL335"/>
  <c r="FM335"/>
  <c r="FL336"/>
  <c r="FM336"/>
  <c r="FL337"/>
  <c r="FM337"/>
  <c r="FL338"/>
  <c r="FM338"/>
  <c r="FL339"/>
  <c r="FM339"/>
  <c r="FL340"/>
  <c r="FM340"/>
  <c r="FL341"/>
  <c r="FM341"/>
  <c r="FL342"/>
  <c r="FM342"/>
  <c r="FL343"/>
  <c r="FM343"/>
  <c r="FL344"/>
  <c r="FM344"/>
  <c r="FL345"/>
  <c r="FM345"/>
  <c r="FL346"/>
  <c r="FM346"/>
  <c r="FL347"/>
  <c r="FM347"/>
  <c r="FL348"/>
  <c r="FM348"/>
  <c r="FL349"/>
  <c r="FM349"/>
  <c r="FL350"/>
  <c r="FM350"/>
  <c r="FL351"/>
  <c r="FM351"/>
  <c r="FL352"/>
  <c r="FM352"/>
  <c r="FL353"/>
  <c r="FM353"/>
  <c r="FL354"/>
  <c r="FM354"/>
  <c r="FL355"/>
  <c r="FM355"/>
  <c r="FL356"/>
  <c r="FM356"/>
  <c r="FL357"/>
  <c r="FM357"/>
  <c r="FL358"/>
  <c r="FM358"/>
  <c r="FL359"/>
  <c r="FM359"/>
  <c r="FL360"/>
  <c r="FM360"/>
  <c r="FL361"/>
  <c r="FM361"/>
  <c r="FL362"/>
  <c r="FM362"/>
  <c r="FL363"/>
  <c r="FM363"/>
  <c r="FL364"/>
  <c r="FM364"/>
  <c r="FL365"/>
  <c r="FM365"/>
  <c r="FL366"/>
  <c r="FM366"/>
  <c r="FL367"/>
  <c r="FM367"/>
  <c r="FL368"/>
  <c r="FM368"/>
  <c r="FL369"/>
  <c r="FM369"/>
  <c r="FL370"/>
  <c r="FM370"/>
  <c r="FL371"/>
  <c r="FM371"/>
  <c r="FL372"/>
  <c r="FM372"/>
  <c r="FL373"/>
  <c r="FM373"/>
  <c r="FL374"/>
  <c r="FM374"/>
  <c r="FL375"/>
  <c r="FM375"/>
  <c r="FL376"/>
  <c r="FM376"/>
  <c r="FL377"/>
  <c r="FM377"/>
  <c r="FL378"/>
  <c r="FM378"/>
  <c r="FL379"/>
  <c r="FM379"/>
  <c r="FL380"/>
  <c r="FM380"/>
  <c r="FL381"/>
  <c r="FM381"/>
  <c r="FL382"/>
  <c r="FM382"/>
  <c r="FL383"/>
  <c r="FM383"/>
  <c r="FL384"/>
  <c r="FM384"/>
  <c r="FL385"/>
  <c r="FM385"/>
  <c r="FM9"/>
  <c r="FL9"/>
  <c r="AN213"/>
  <c r="X199" i="32"/>
  <c r="W199"/>
  <c r="ET385" i="43"/>
  <c r="P382" i="45" s="1"/>
  <c r="ET384" i="43"/>
  <c r="ET383"/>
  <c r="ET382"/>
  <c r="ET381"/>
  <c r="ET380"/>
  <c r="ET379"/>
  <c r="ET378"/>
  <c r="ET377"/>
  <c r="ET376"/>
  <c r="ET375"/>
  <c r="ET374"/>
  <c r="ET373"/>
  <c r="ET372"/>
  <c r="ET371"/>
  <c r="ET370"/>
  <c r="ET369"/>
  <c r="ET368"/>
  <c r="ET367"/>
  <c r="ET366"/>
  <c r="ET365"/>
  <c r="ET364"/>
  <c r="ET363"/>
  <c r="ET362"/>
  <c r="ET361"/>
  <c r="ET360"/>
  <c r="ET359"/>
  <c r="ET358"/>
  <c r="ET357"/>
  <c r="ET356"/>
  <c r="ET355"/>
  <c r="ET354"/>
  <c r="ET353"/>
  <c r="ET352"/>
  <c r="ET351"/>
  <c r="ET350"/>
  <c r="ET349"/>
  <c r="ET348"/>
  <c r="ET347"/>
  <c r="ET346"/>
  <c r="ET345"/>
  <c r="ET344"/>
  <c r="ET343"/>
  <c r="ET342"/>
  <c r="ET341"/>
  <c r="ET340"/>
  <c r="ET339"/>
  <c r="ET338"/>
  <c r="ET337"/>
  <c r="ET336"/>
  <c r="ET335"/>
  <c r="ET334"/>
  <c r="ET333"/>
  <c r="ET332"/>
  <c r="ET331"/>
  <c r="ET330"/>
  <c r="ET329"/>
  <c r="ET328"/>
  <c r="ET327"/>
  <c r="ET326"/>
  <c r="ET325"/>
  <c r="ET324"/>
  <c r="ET323"/>
  <c r="ET322"/>
  <c r="ET321"/>
  <c r="ET320"/>
  <c r="ET319"/>
  <c r="ET318"/>
  <c r="ET317"/>
  <c r="ET316"/>
  <c r="ET315"/>
  <c r="ET314"/>
  <c r="ET313"/>
  <c r="ET312"/>
  <c r="ET311"/>
  <c r="ET310"/>
  <c r="ET309"/>
  <c r="ET308"/>
  <c r="ET307"/>
  <c r="ET306"/>
  <c r="ET305"/>
  <c r="ET304"/>
  <c r="ET303"/>
  <c r="ET302"/>
  <c r="ET301"/>
  <c r="ET300"/>
  <c r="ET299"/>
  <c r="ET298"/>
  <c r="ET297"/>
  <c r="ET296"/>
  <c r="ET295"/>
  <c r="ET294"/>
  <c r="ET293"/>
  <c r="ET292"/>
  <c r="ET291"/>
  <c r="ET290"/>
  <c r="ET289"/>
  <c r="ET288"/>
  <c r="ET287"/>
  <c r="ET286"/>
  <c r="ET285"/>
  <c r="ET284"/>
  <c r="ET283"/>
  <c r="ET282"/>
  <c r="ET281"/>
  <c r="ET280"/>
  <c r="ET279"/>
  <c r="ET278"/>
  <c r="ET277"/>
  <c r="ET276"/>
  <c r="ET275"/>
  <c r="ET274"/>
  <c r="ET273"/>
  <c r="ET272"/>
  <c r="ET271"/>
  <c r="ET270"/>
  <c r="ET269"/>
  <c r="ET268"/>
  <c r="ET267"/>
  <c r="ET266"/>
  <c r="ET265"/>
  <c r="ET264"/>
  <c r="ET263"/>
  <c r="ET262"/>
  <c r="ET261"/>
  <c r="ET260"/>
  <c r="ET259"/>
  <c r="ET258"/>
  <c r="ET257"/>
  <c r="ET256"/>
  <c r="ET255"/>
  <c r="ET254"/>
  <c r="ET253"/>
  <c r="ET252"/>
  <c r="ET251"/>
  <c r="ET250"/>
  <c r="ET249"/>
  <c r="ET248"/>
  <c r="ET247"/>
  <c r="ET246"/>
  <c r="ET245"/>
  <c r="ET244"/>
  <c r="ET243"/>
  <c r="ET242"/>
  <c r="ET241"/>
  <c r="ET240"/>
  <c r="ET239"/>
  <c r="ET238"/>
  <c r="ET237"/>
  <c r="ET236"/>
  <c r="ET235"/>
  <c r="ET234"/>
  <c r="ET233"/>
  <c r="ET232"/>
  <c r="ET231"/>
  <c r="ET230"/>
  <c r="ET229"/>
  <c r="ET228"/>
  <c r="ET227"/>
  <c r="ET226"/>
  <c r="ET225"/>
  <c r="ET224"/>
  <c r="ET223"/>
  <c r="ET222"/>
  <c r="ET221"/>
  <c r="ET220"/>
  <c r="ET219"/>
  <c r="ET218"/>
  <c r="ET217"/>
  <c r="ET216"/>
  <c r="ET215"/>
  <c r="ET214"/>
  <c r="ET213"/>
  <c r="ET212"/>
  <c r="ET211"/>
  <c r="ET210"/>
  <c r="ET209"/>
  <c r="ET208"/>
  <c r="ET207"/>
  <c r="ET206"/>
  <c r="ET205"/>
  <c r="ET204"/>
  <c r="ET203"/>
  <c r="ET202"/>
  <c r="ET201"/>
  <c r="ET200"/>
  <c r="ET199"/>
  <c r="ET198"/>
  <c r="ET197"/>
  <c r="ET196"/>
  <c r="ET195"/>
  <c r="ET194"/>
  <c r="ET193"/>
  <c r="ET192"/>
  <c r="ET191"/>
  <c r="ET190"/>
  <c r="ET189"/>
  <c r="ET188"/>
  <c r="ET187"/>
  <c r="ET186"/>
  <c r="ET185"/>
  <c r="ET184"/>
  <c r="ET183"/>
  <c r="ET182"/>
  <c r="ET181"/>
  <c r="ET180"/>
  <c r="ET179"/>
  <c r="ET178"/>
  <c r="ET177"/>
  <c r="ET176"/>
  <c r="ET175"/>
  <c r="ET174"/>
  <c r="ET173"/>
  <c r="ET172"/>
  <c r="ET171"/>
  <c r="ET170"/>
  <c r="ET169"/>
  <c r="ET168"/>
  <c r="ET167"/>
  <c r="ET166"/>
  <c r="ET165"/>
  <c r="ET164"/>
  <c r="ET163"/>
  <c r="ET162"/>
  <c r="ET161"/>
  <c r="ET160"/>
  <c r="ET159"/>
  <c r="ET158"/>
  <c r="ET157"/>
  <c r="ET156"/>
  <c r="ET155"/>
  <c r="ET154"/>
  <c r="ET153"/>
  <c r="ET152"/>
  <c r="ET151"/>
  <c r="ET150"/>
  <c r="ET149"/>
  <c r="ET148"/>
  <c r="ET147"/>
  <c r="ET146"/>
  <c r="ET145"/>
  <c r="ET144"/>
  <c r="ET143"/>
  <c r="ET142"/>
  <c r="ET141"/>
  <c r="ET140"/>
  <c r="ET139"/>
  <c r="ET138"/>
  <c r="ET137"/>
  <c r="ET136"/>
  <c r="ET135"/>
  <c r="ET134"/>
  <c r="ET133"/>
  <c r="ET132"/>
  <c r="ET131"/>
  <c r="ET130"/>
  <c r="ET129"/>
  <c r="ET128"/>
  <c r="ET127"/>
  <c r="ET126"/>
  <c r="ET125"/>
  <c r="ET124"/>
  <c r="ET123"/>
  <c r="ET122"/>
  <c r="ET121"/>
  <c r="ET120"/>
  <c r="ET119"/>
  <c r="ET118"/>
  <c r="ET117"/>
  <c r="ET116"/>
  <c r="ET115"/>
  <c r="ET114"/>
  <c r="ET113"/>
  <c r="ET112"/>
  <c r="ET111"/>
  <c r="ET110"/>
  <c r="ET109"/>
  <c r="ET108"/>
  <c r="ET107"/>
  <c r="ET106"/>
  <c r="ET105"/>
  <c r="ET104"/>
  <c r="ET103"/>
  <c r="ET102"/>
  <c r="ET101"/>
  <c r="ET100"/>
  <c r="ET99"/>
  <c r="ET98"/>
  <c r="ET97"/>
  <c r="ET96"/>
  <c r="ET95"/>
  <c r="ET94"/>
  <c r="ET93"/>
  <c r="ET92"/>
  <c r="ET91"/>
  <c r="ET90"/>
  <c r="ET89"/>
  <c r="ET88"/>
  <c r="ET87"/>
  <c r="ET86"/>
  <c r="ET85"/>
  <c r="ET84"/>
  <c r="ET83"/>
  <c r="ET82"/>
  <c r="ET81"/>
  <c r="ET80"/>
  <c r="ET79"/>
  <c r="ET78"/>
  <c r="ET77"/>
  <c r="ET76"/>
  <c r="ET75"/>
  <c r="ET74"/>
  <c r="ET73"/>
  <c r="ET72"/>
  <c r="ET71"/>
  <c r="ET70"/>
  <c r="ET69"/>
  <c r="ET68"/>
  <c r="ET67"/>
  <c r="ET66"/>
  <c r="ET65"/>
  <c r="ET64"/>
  <c r="ET63"/>
  <c r="ET62"/>
  <c r="ET61"/>
  <c r="ET60"/>
  <c r="ET59"/>
  <c r="ET58"/>
  <c r="ET57"/>
  <c r="ET56"/>
  <c r="ET55"/>
  <c r="ET54"/>
  <c r="ET53"/>
  <c r="ET52"/>
  <c r="ET51"/>
  <c r="ET50"/>
  <c r="ET49"/>
  <c r="ET48"/>
  <c r="ET47"/>
  <c r="ET46"/>
  <c r="ET45"/>
  <c r="ET44"/>
  <c r="ET43"/>
  <c r="ET42"/>
  <c r="ET41"/>
  <c r="ET40"/>
  <c r="ET39"/>
  <c r="ET38"/>
  <c r="ET37"/>
  <c r="ET36"/>
  <c r="ET35"/>
  <c r="ET34"/>
  <c r="ET33"/>
  <c r="ET32"/>
  <c r="ET31"/>
  <c r="ET30"/>
  <c r="ET29"/>
  <c r="ET28"/>
  <c r="ET27"/>
  <c r="ET26"/>
  <c r="ET25"/>
  <c r="ET24"/>
  <c r="ET23"/>
  <c r="ET22"/>
  <c r="ET21"/>
  <c r="ET20"/>
  <c r="ET19"/>
  <c r="ET18"/>
  <c r="ET17"/>
  <c r="ET16"/>
  <c r="ET15"/>
  <c r="ET14"/>
  <c r="ET13"/>
  <c r="ET12"/>
  <c r="ET11"/>
  <c r="ET10"/>
  <c r="ET9"/>
  <c r="ET8"/>
  <c r="CO195" i="32"/>
  <c r="Y190" i="45"/>
  <c r="CO191" i="32"/>
  <c r="CO190"/>
  <c r="CO189"/>
  <c r="CO188"/>
  <c r="CO187"/>
  <c r="CO185"/>
  <c r="FV10" i="43"/>
  <c r="FV11"/>
  <c r="FV12"/>
  <c r="FV13"/>
  <c r="FV14"/>
  <c r="FV15"/>
  <c r="FV16"/>
  <c r="FV17"/>
  <c r="FV18"/>
  <c r="FV19"/>
  <c r="FV20"/>
  <c r="FV21"/>
  <c r="FV22"/>
  <c r="FV23"/>
  <c r="FV24"/>
  <c r="FV25"/>
  <c r="FV26"/>
  <c r="FV27"/>
  <c r="FV28"/>
  <c r="FV29"/>
  <c r="FV30"/>
  <c r="FV31"/>
  <c r="FV32"/>
  <c r="FV33"/>
  <c r="FV34"/>
  <c r="FV35"/>
  <c r="FV36"/>
  <c r="FV37"/>
  <c r="FV38"/>
  <c r="FV39"/>
  <c r="FV40"/>
  <c r="FV41"/>
  <c r="FV42"/>
  <c r="FV43"/>
  <c r="FV44"/>
  <c r="FV45"/>
  <c r="FV46"/>
  <c r="FV47"/>
  <c r="FV48"/>
  <c r="FV49"/>
  <c r="FV50"/>
  <c r="FV51"/>
  <c r="FV52"/>
  <c r="FV53"/>
  <c r="FV54"/>
  <c r="FV55"/>
  <c r="FV56"/>
  <c r="FV57"/>
  <c r="FV58"/>
  <c r="FV59"/>
  <c r="FV60"/>
  <c r="FV61"/>
  <c r="FV62"/>
  <c r="FV63"/>
  <c r="FV64"/>
  <c r="FV65"/>
  <c r="FV66"/>
  <c r="FV67"/>
  <c r="FV68"/>
  <c r="FV69"/>
  <c r="FV70"/>
  <c r="FV71"/>
  <c r="FV72"/>
  <c r="FV73"/>
  <c r="FV74"/>
  <c r="FV75"/>
  <c r="FV76"/>
  <c r="FV77"/>
  <c r="FV78"/>
  <c r="FV79"/>
  <c r="FV80"/>
  <c r="FV81"/>
  <c r="FV82"/>
  <c r="FV83"/>
  <c r="FV84"/>
  <c r="FV85"/>
  <c r="FV86"/>
  <c r="FV87"/>
  <c r="FV88"/>
  <c r="FV89"/>
  <c r="FV90"/>
  <c r="FV91"/>
  <c r="FV92"/>
  <c r="FV93"/>
  <c r="FV94"/>
  <c r="FV95"/>
  <c r="FV96"/>
  <c r="FV97"/>
  <c r="FV98"/>
  <c r="FV99"/>
  <c r="FV100"/>
  <c r="FV101"/>
  <c r="FV102"/>
  <c r="FV103"/>
  <c r="FV104"/>
  <c r="FV105"/>
  <c r="FV106"/>
  <c r="FV107"/>
  <c r="FV108"/>
  <c r="FV109"/>
  <c r="FV110"/>
  <c r="FV111"/>
  <c r="FV112"/>
  <c r="FV113"/>
  <c r="FV114"/>
  <c r="FV115"/>
  <c r="FV116"/>
  <c r="FV117"/>
  <c r="FV118"/>
  <c r="FV119"/>
  <c r="FV120"/>
  <c r="FV121"/>
  <c r="FV122"/>
  <c r="FV123"/>
  <c r="FV124"/>
  <c r="FV125"/>
  <c r="FV126"/>
  <c r="FV127"/>
  <c r="FV128"/>
  <c r="FV129"/>
  <c r="FV130"/>
  <c r="FV131"/>
  <c r="FV132"/>
  <c r="FV133"/>
  <c r="FV134"/>
  <c r="FV135"/>
  <c r="FV136"/>
  <c r="FV137"/>
  <c r="FV138"/>
  <c r="FV139"/>
  <c r="FV140"/>
  <c r="FV141"/>
  <c r="FV142"/>
  <c r="FV143"/>
  <c r="FV144"/>
  <c r="FV145"/>
  <c r="FV146"/>
  <c r="FV147"/>
  <c r="FV148"/>
  <c r="FV149"/>
  <c r="FV150"/>
  <c r="FV151"/>
  <c r="FV152"/>
  <c r="FV153"/>
  <c r="FV154"/>
  <c r="FV155"/>
  <c r="FV156"/>
  <c r="FV157"/>
  <c r="FV158"/>
  <c r="FV159"/>
  <c r="FV160"/>
  <c r="FV161"/>
  <c r="FV162"/>
  <c r="FV163"/>
  <c r="FV164"/>
  <c r="FV165"/>
  <c r="FV166"/>
  <c r="FV167"/>
  <c r="FV168"/>
  <c r="FV169"/>
  <c r="FV170"/>
  <c r="FV171"/>
  <c r="FV172"/>
  <c r="FV173"/>
  <c r="FV174"/>
  <c r="FV175"/>
  <c r="FV176"/>
  <c r="FV177"/>
  <c r="FV178"/>
  <c r="FV179"/>
  <c r="FV180"/>
  <c r="FV181"/>
  <c r="FV182"/>
  <c r="FV183"/>
  <c r="FV184"/>
  <c r="FV185"/>
  <c r="FV186"/>
  <c r="FV187"/>
  <c r="FV188"/>
  <c r="FV189"/>
  <c r="FV190"/>
  <c r="FV191"/>
  <c r="FV192"/>
  <c r="FV193"/>
  <c r="FV194"/>
  <c r="FV195"/>
  <c r="FV196"/>
  <c r="FV197"/>
  <c r="FV198"/>
  <c r="FV199"/>
  <c r="FV200"/>
  <c r="FV201"/>
  <c r="FV202"/>
  <c r="FV203"/>
  <c r="FV204"/>
  <c r="FV205"/>
  <c r="FV206"/>
  <c r="FV207"/>
  <c r="FV208"/>
  <c r="FV209"/>
  <c r="FV210"/>
  <c r="FV211"/>
  <c r="FV212"/>
  <c r="FV213"/>
  <c r="FV214"/>
  <c r="FV215"/>
  <c r="FV216"/>
  <c r="FV217"/>
  <c r="FV218"/>
  <c r="FV219"/>
  <c r="FV220"/>
  <c r="FV221"/>
  <c r="FV222"/>
  <c r="FV223"/>
  <c r="FV224"/>
  <c r="FV225"/>
  <c r="FV226"/>
  <c r="FV227"/>
  <c r="FV228"/>
  <c r="FV229"/>
  <c r="FV230"/>
  <c r="FV231"/>
  <c r="FV232"/>
  <c r="FV233"/>
  <c r="FV234"/>
  <c r="FV235"/>
  <c r="FV236"/>
  <c r="FV237"/>
  <c r="FV238"/>
  <c r="FV239"/>
  <c r="FV240"/>
  <c r="FV241"/>
  <c r="FV242"/>
  <c r="FV243"/>
  <c r="FV244"/>
  <c r="FV245"/>
  <c r="FV246"/>
  <c r="FV247"/>
  <c r="FV248"/>
  <c r="FV249"/>
  <c r="FV250"/>
  <c r="FV251"/>
  <c r="FV252"/>
  <c r="FV253"/>
  <c r="FV254"/>
  <c r="FV255"/>
  <c r="FV256"/>
  <c r="FV257"/>
  <c r="FV258"/>
  <c r="FV259"/>
  <c r="FV260"/>
  <c r="FV261"/>
  <c r="FV262"/>
  <c r="FV263"/>
  <c r="FV264"/>
  <c r="FV265"/>
  <c r="FV266"/>
  <c r="FV267"/>
  <c r="FV268"/>
  <c r="FV269"/>
  <c r="FV270"/>
  <c r="FV271"/>
  <c r="FV272"/>
  <c r="FV273"/>
  <c r="FV274"/>
  <c r="FV275"/>
  <c r="FV276"/>
  <c r="FV277"/>
  <c r="FV278"/>
  <c r="FV279"/>
  <c r="FV280"/>
  <c r="FV281"/>
  <c r="FV282"/>
  <c r="FV283"/>
  <c r="FV284"/>
  <c r="FV285"/>
  <c r="FV286"/>
  <c r="FV287"/>
  <c r="FV288"/>
  <c r="FV289"/>
  <c r="FV290"/>
  <c r="FV291"/>
  <c r="FV292"/>
  <c r="FV293"/>
  <c r="FV294"/>
  <c r="FV295"/>
  <c r="FV296"/>
  <c r="FV297"/>
  <c r="FV298"/>
  <c r="FV299"/>
  <c r="FV300"/>
  <c r="FV301"/>
  <c r="FV302"/>
  <c r="FV303"/>
  <c r="FV304"/>
  <c r="FV305"/>
  <c r="FV306"/>
  <c r="FV307"/>
  <c r="FV308"/>
  <c r="FV309"/>
  <c r="FV310"/>
  <c r="FV311"/>
  <c r="FV312"/>
  <c r="FV313"/>
  <c r="FV314"/>
  <c r="FV315"/>
  <c r="FV316"/>
  <c r="FV317"/>
  <c r="FV318"/>
  <c r="FV319"/>
  <c r="FV320"/>
  <c r="FV321"/>
  <c r="FV322"/>
  <c r="FV323"/>
  <c r="FV324"/>
  <c r="FV325"/>
  <c r="FV326"/>
  <c r="FV327"/>
  <c r="FV328"/>
  <c r="FV329"/>
  <c r="FV330"/>
  <c r="FV331"/>
  <c r="FV332"/>
  <c r="FV333"/>
  <c r="FV334"/>
  <c r="FV335"/>
  <c r="FV336"/>
  <c r="FV337"/>
  <c r="FV338"/>
  <c r="FV339"/>
  <c r="FV340"/>
  <c r="FV341"/>
  <c r="FV342"/>
  <c r="FV343"/>
  <c r="FV344"/>
  <c r="FV345"/>
  <c r="FV346"/>
  <c r="FV347"/>
  <c r="FV348"/>
  <c r="FV349"/>
  <c r="FV350"/>
  <c r="FV351"/>
  <c r="FV352"/>
  <c r="FV353"/>
  <c r="FV354"/>
  <c r="FV355"/>
  <c r="FV356"/>
  <c r="FV357"/>
  <c r="FV358"/>
  <c r="FV359"/>
  <c r="FV360"/>
  <c r="FV361"/>
  <c r="FV362"/>
  <c r="FV363"/>
  <c r="FV364"/>
  <c r="FV365"/>
  <c r="FV366"/>
  <c r="FV367"/>
  <c r="FV368"/>
  <c r="FV369"/>
  <c r="FV370"/>
  <c r="FV371"/>
  <c r="FV372"/>
  <c r="FV373"/>
  <c r="FV374"/>
  <c r="FV375"/>
  <c r="FV376"/>
  <c r="FV377"/>
  <c r="FV378"/>
  <c r="FV379"/>
  <c r="FV380"/>
  <c r="FV381"/>
  <c r="FV382"/>
  <c r="FV383"/>
  <c r="FV384"/>
  <c r="FV385"/>
  <c r="FV9"/>
  <c r="FT10"/>
  <c r="FT11"/>
  <c r="FT12"/>
  <c r="FT13"/>
  <c r="FT14"/>
  <c r="FT15"/>
  <c r="FT16"/>
  <c r="FT17"/>
  <c r="FT18"/>
  <c r="FT19"/>
  <c r="FT20"/>
  <c r="FT21"/>
  <c r="FT22"/>
  <c r="FT23"/>
  <c r="FT24"/>
  <c r="FT25"/>
  <c r="FT26"/>
  <c r="FT27"/>
  <c r="FT28"/>
  <c r="FT29"/>
  <c r="FT30"/>
  <c r="FT31"/>
  <c r="FT32"/>
  <c r="FT33"/>
  <c r="FT34"/>
  <c r="FT35"/>
  <c r="FT36"/>
  <c r="FT37"/>
  <c r="FT38"/>
  <c r="FT39"/>
  <c r="FT40"/>
  <c r="FT41"/>
  <c r="FT42"/>
  <c r="FT43"/>
  <c r="FT44"/>
  <c r="FT45"/>
  <c r="FT46"/>
  <c r="FT47"/>
  <c r="FT48"/>
  <c r="FT49"/>
  <c r="FT50"/>
  <c r="FT51"/>
  <c r="FT52"/>
  <c r="FT53"/>
  <c r="FT54"/>
  <c r="FT55"/>
  <c r="FT56"/>
  <c r="FT57"/>
  <c r="FT58"/>
  <c r="FT59"/>
  <c r="FT60"/>
  <c r="FT61"/>
  <c r="FT62"/>
  <c r="FT63"/>
  <c r="FT64"/>
  <c r="FT65"/>
  <c r="FT66"/>
  <c r="FT67"/>
  <c r="FT68"/>
  <c r="FT69"/>
  <c r="FT70"/>
  <c r="FT71"/>
  <c r="FT72"/>
  <c r="FT73"/>
  <c r="FT74"/>
  <c r="FT75"/>
  <c r="FT76"/>
  <c r="FT77"/>
  <c r="FT78"/>
  <c r="FT79"/>
  <c r="FT80"/>
  <c r="FT81"/>
  <c r="FT82"/>
  <c r="FT83"/>
  <c r="FT84"/>
  <c r="FT85"/>
  <c r="FT86"/>
  <c r="FT87"/>
  <c r="FT88"/>
  <c r="FT89"/>
  <c r="FT90"/>
  <c r="FT91"/>
  <c r="FT92"/>
  <c r="FT93"/>
  <c r="FT94"/>
  <c r="FT95"/>
  <c r="FT96"/>
  <c r="FT97"/>
  <c r="FT98"/>
  <c r="FT99"/>
  <c r="FT100"/>
  <c r="FT101"/>
  <c r="FT102"/>
  <c r="FT103"/>
  <c r="FT104"/>
  <c r="FT105"/>
  <c r="FT106"/>
  <c r="FT107"/>
  <c r="FT108"/>
  <c r="FT109"/>
  <c r="FT110"/>
  <c r="FT111"/>
  <c r="FT112"/>
  <c r="FT113"/>
  <c r="FT114"/>
  <c r="FT115"/>
  <c r="FT116"/>
  <c r="FT117"/>
  <c r="FT118"/>
  <c r="FT119"/>
  <c r="FT120"/>
  <c r="FT121"/>
  <c r="FT122"/>
  <c r="FT123"/>
  <c r="FT124"/>
  <c r="FT125"/>
  <c r="FT126"/>
  <c r="FT127"/>
  <c r="FT128"/>
  <c r="FT129"/>
  <c r="FT130"/>
  <c r="FT131"/>
  <c r="FT132"/>
  <c r="FT133"/>
  <c r="FT134"/>
  <c r="FT135"/>
  <c r="FT136"/>
  <c r="FT137"/>
  <c r="FT138"/>
  <c r="FT139"/>
  <c r="FT140"/>
  <c r="FT141"/>
  <c r="FT142"/>
  <c r="FT143"/>
  <c r="FT144"/>
  <c r="FT145"/>
  <c r="FT146"/>
  <c r="FT147"/>
  <c r="FT148"/>
  <c r="FT149"/>
  <c r="FT150"/>
  <c r="FT151"/>
  <c r="FT152"/>
  <c r="FT153"/>
  <c r="FT154"/>
  <c r="FT155"/>
  <c r="FT156"/>
  <c r="FT157"/>
  <c r="FT158"/>
  <c r="FT159"/>
  <c r="FT160"/>
  <c r="FT161"/>
  <c r="FT162"/>
  <c r="FT163"/>
  <c r="FT164"/>
  <c r="FT165"/>
  <c r="FT166"/>
  <c r="FT167"/>
  <c r="FT168"/>
  <c r="FT169"/>
  <c r="FT170"/>
  <c r="FT171"/>
  <c r="FT172"/>
  <c r="FT173"/>
  <c r="FT174"/>
  <c r="FT175"/>
  <c r="FT176"/>
  <c r="FT177"/>
  <c r="FT178"/>
  <c r="FT179"/>
  <c r="FT180"/>
  <c r="FT181"/>
  <c r="FT182"/>
  <c r="FT183"/>
  <c r="FT184"/>
  <c r="FT185"/>
  <c r="FT186"/>
  <c r="FT187"/>
  <c r="FT188"/>
  <c r="FT189"/>
  <c r="FT190"/>
  <c r="FT191"/>
  <c r="FT192"/>
  <c r="FT193"/>
  <c r="FT194"/>
  <c r="FT195"/>
  <c r="FT196"/>
  <c r="FT197"/>
  <c r="FT198"/>
  <c r="FT199"/>
  <c r="FT200"/>
  <c r="FT201"/>
  <c r="FT202"/>
  <c r="FT203"/>
  <c r="FT204"/>
  <c r="FT205"/>
  <c r="FT206"/>
  <c r="FT207"/>
  <c r="FT208"/>
  <c r="FT209"/>
  <c r="FT210"/>
  <c r="FT211"/>
  <c r="FT212"/>
  <c r="FT213"/>
  <c r="FT214"/>
  <c r="FT215"/>
  <c r="FT216"/>
  <c r="FT217"/>
  <c r="FT218"/>
  <c r="FT219"/>
  <c r="FT220"/>
  <c r="FT221"/>
  <c r="FT222"/>
  <c r="FT223"/>
  <c r="FT224"/>
  <c r="FT225"/>
  <c r="FT226"/>
  <c r="FT227"/>
  <c r="FT228"/>
  <c r="FT229"/>
  <c r="FT230"/>
  <c r="FT231"/>
  <c r="FT232"/>
  <c r="FT233"/>
  <c r="FT234"/>
  <c r="FT235"/>
  <c r="FT236"/>
  <c r="FT237"/>
  <c r="FT238"/>
  <c r="FT239"/>
  <c r="FT240"/>
  <c r="FT241"/>
  <c r="FT242"/>
  <c r="FT243"/>
  <c r="FT244"/>
  <c r="FT245"/>
  <c r="FT246"/>
  <c r="FT247"/>
  <c r="FT248"/>
  <c r="FT249"/>
  <c r="FT250"/>
  <c r="FT251"/>
  <c r="FT252"/>
  <c r="FT253"/>
  <c r="FT254"/>
  <c r="FT255"/>
  <c r="FT256"/>
  <c r="FT257"/>
  <c r="FT258"/>
  <c r="FT259"/>
  <c r="FT260"/>
  <c r="FT261"/>
  <c r="FT262"/>
  <c r="FT263"/>
  <c r="FT264"/>
  <c r="FT265"/>
  <c r="FT266"/>
  <c r="FT267"/>
  <c r="FT268"/>
  <c r="FT269"/>
  <c r="FT270"/>
  <c r="FT271"/>
  <c r="FT272"/>
  <c r="FT273"/>
  <c r="FT274"/>
  <c r="FT275"/>
  <c r="FT276"/>
  <c r="FT277"/>
  <c r="FT278"/>
  <c r="FT279"/>
  <c r="FT280"/>
  <c r="FT281"/>
  <c r="FT282"/>
  <c r="FT283"/>
  <c r="FT284"/>
  <c r="FT285"/>
  <c r="FT286"/>
  <c r="FT287"/>
  <c r="FT288"/>
  <c r="FT289"/>
  <c r="FT290"/>
  <c r="FT291"/>
  <c r="FT292"/>
  <c r="FT293"/>
  <c r="FT294"/>
  <c r="FT295"/>
  <c r="FT296"/>
  <c r="FT297"/>
  <c r="FT298"/>
  <c r="FT299"/>
  <c r="FT300"/>
  <c r="FT301"/>
  <c r="FT302"/>
  <c r="FT303"/>
  <c r="FT304"/>
  <c r="FT305"/>
  <c r="FT306"/>
  <c r="FT307"/>
  <c r="FT308"/>
  <c r="FT309"/>
  <c r="FT310"/>
  <c r="FT311"/>
  <c r="FT312"/>
  <c r="FT313"/>
  <c r="FT314"/>
  <c r="FT315"/>
  <c r="FT316"/>
  <c r="FT317"/>
  <c r="FT318"/>
  <c r="FT319"/>
  <c r="FT320"/>
  <c r="FT321"/>
  <c r="FT322"/>
  <c r="FT323"/>
  <c r="FT324"/>
  <c r="FT325"/>
  <c r="FT326"/>
  <c r="FT327"/>
  <c r="FT328"/>
  <c r="FT329"/>
  <c r="FT330"/>
  <c r="FT331"/>
  <c r="FT332"/>
  <c r="FT333"/>
  <c r="FT334"/>
  <c r="FT335"/>
  <c r="FT336"/>
  <c r="FT337"/>
  <c r="FT338"/>
  <c r="FT339"/>
  <c r="FT340"/>
  <c r="FT341"/>
  <c r="FT342"/>
  <c r="FT343"/>
  <c r="FT344"/>
  <c r="FT345"/>
  <c r="FT346"/>
  <c r="FT347"/>
  <c r="FT348"/>
  <c r="FT349"/>
  <c r="FT350"/>
  <c r="FT351"/>
  <c r="FT352"/>
  <c r="FT353"/>
  <c r="FT354"/>
  <c r="FT355"/>
  <c r="FT356"/>
  <c r="FT357"/>
  <c r="FT358"/>
  <c r="FT359"/>
  <c r="FT360"/>
  <c r="FT361"/>
  <c r="FT362"/>
  <c r="FT363"/>
  <c r="FT364"/>
  <c r="FT365"/>
  <c r="FT366"/>
  <c r="FT367"/>
  <c r="FT368"/>
  <c r="FT369"/>
  <c r="FT370"/>
  <c r="FT371"/>
  <c r="FT372"/>
  <c r="FT373"/>
  <c r="FT374"/>
  <c r="FT375"/>
  <c r="FT376"/>
  <c r="FT377"/>
  <c r="FT378"/>
  <c r="FT379"/>
  <c r="FT380"/>
  <c r="FT381"/>
  <c r="FT382"/>
  <c r="FT383"/>
  <c r="FT384"/>
  <c r="FT385"/>
  <c r="FT9"/>
  <c r="O155" i="4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I155"/>
  <c r="J155"/>
  <c r="K155"/>
  <c r="I156"/>
  <c r="J156"/>
  <c r="K156"/>
  <c r="I157"/>
  <c r="J157"/>
  <c r="K157"/>
  <c r="I158"/>
  <c r="J158"/>
  <c r="K158"/>
  <c r="I159"/>
  <c r="J159"/>
  <c r="K159"/>
  <c r="I160"/>
  <c r="J160"/>
  <c r="K160"/>
  <c r="I161"/>
  <c r="J161"/>
  <c r="K161"/>
  <c r="I162"/>
  <c r="J162"/>
  <c r="K162"/>
  <c r="I163"/>
  <c r="J163"/>
  <c r="K163"/>
  <c r="I164"/>
  <c r="J164"/>
  <c r="K164"/>
  <c r="I165"/>
  <c r="J165"/>
  <c r="K165"/>
  <c r="I166"/>
  <c r="J166"/>
  <c r="K166"/>
  <c r="I167"/>
  <c r="J167"/>
  <c r="K167"/>
  <c r="I168"/>
  <c r="J168"/>
  <c r="K168"/>
  <c r="I169"/>
  <c r="J169"/>
  <c r="K169"/>
  <c r="I170"/>
  <c r="J170"/>
  <c r="K170"/>
  <c r="I171"/>
  <c r="J171"/>
  <c r="K171"/>
  <c r="I172"/>
  <c r="J172"/>
  <c r="K172"/>
  <c r="I173"/>
  <c r="J173"/>
  <c r="K173"/>
  <c r="I174"/>
  <c r="J174"/>
  <c r="K174"/>
  <c r="I175"/>
  <c r="J175"/>
  <c r="K175"/>
  <c r="I176"/>
  <c r="J176"/>
  <c r="K176"/>
  <c r="I177"/>
  <c r="J177"/>
  <c r="K177"/>
  <c r="I178"/>
  <c r="J178"/>
  <c r="K178"/>
  <c r="I179"/>
  <c r="J179"/>
  <c r="K179"/>
  <c r="I180"/>
  <c r="J180"/>
  <c r="K180"/>
  <c r="I181"/>
  <c r="J181"/>
  <c r="K181"/>
  <c r="I182"/>
  <c r="J182"/>
  <c r="K182"/>
  <c r="I183"/>
  <c r="J183"/>
  <c r="K183"/>
  <c r="I184"/>
  <c r="J184"/>
  <c r="K184"/>
  <c r="I185"/>
  <c r="J185"/>
  <c r="K185"/>
  <c r="I186"/>
  <c r="J186"/>
  <c r="K186"/>
  <c r="I187"/>
  <c r="J187"/>
  <c r="K187"/>
  <c r="I188"/>
  <c r="J188"/>
  <c r="K188"/>
  <c r="I189"/>
  <c r="J189"/>
  <c r="K189"/>
  <c r="I190"/>
  <c r="J190"/>
  <c r="K190"/>
  <c r="I191"/>
  <c r="J191"/>
  <c r="K191"/>
  <c r="I192"/>
  <c r="J192"/>
  <c r="K192"/>
  <c r="I193"/>
  <c r="J193"/>
  <c r="K193"/>
  <c r="I194"/>
  <c r="J194"/>
  <c r="K194"/>
  <c r="I195"/>
  <c r="J195"/>
  <c r="K195"/>
  <c r="I196"/>
  <c r="J196"/>
  <c r="K196"/>
  <c r="I197"/>
  <c r="J197"/>
  <c r="K197"/>
  <c r="I198"/>
  <c r="J198"/>
  <c r="K198"/>
  <c r="I199"/>
  <c r="J199"/>
  <c r="K199"/>
  <c r="I200"/>
  <c r="J200"/>
  <c r="K200"/>
  <c r="I201"/>
  <c r="J201"/>
  <c r="K201"/>
  <c r="I202"/>
  <c r="J202"/>
  <c r="K202"/>
  <c r="I203"/>
  <c r="J203"/>
  <c r="K203"/>
  <c r="I204"/>
  <c r="J204"/>
  <c r="K204"/>
  <c r="I205"/>
  <c r="J205"/>
  <c r="K205"/>
  <c r="I206"/>
  <c r="J206"/>
  <c r="K206"/>
  <c r="I207"/>
  <c r="J207"/>
  <c r="K207"/>
  <c r="I208"/>
  <c r="J208"/>
  <c r="K208"/>
  <c r="I209"/>
  <c r="J209"/>
  <c r="K209"/>
  <c r="I210"/>
  <c r="J210"/>
  <c r="K210"/>
  <c r="I211"/>
  <c r="J211"/>
  <c r="K211"/>
  <c r="I212"/>
  <c r="J212"/>
  <c r="K212"/>
  <c r="I213"/>
  <c r="J213"/>
  <c r="K213"/>
  <c r="I214"/>
  <c r="J214"/>
  <c r="K214"/>
  <c r="I215"/>
  <c r="J215"/>
  <c r="K215"/>
  <c r="I216"/>
  <c r="J216"/>
  <c r="K216"/>
  <c r="I217"/>
  <c r="J217"/>
  <c r="K217"/>
  <c r="I218"/>
  <c r="J218"/>
  <c r="K218"/>
  <c r="I219"/>
  <c r="J219"/>
  <c r="K219"/>
  <c r="I220"/>
  <c r="J220"/>
  <c r="K220"/>
  <c r="I221"/>
  <c r="J221"/>
  <c r="K221"/>
  <c r="I222"/>
  <c r="J222"/>
  <c r="K222"/>
  <c r="I223"/>
  <c r="J223"/>
  <c r="K223"/>
  <c r="I224"/>
  <c r="J224"/>
  <c r="K224"/>
  <c r="I225"/>
  <c r="J225"/>
  <c r="K225"/>
  <c r="I226"/>
  <c r="J226"/>
  <c r="K226"/>
  <c r="I227"/>
  <c r="J227"/>
  <c r="K227"/>
  <c r="I228"/>
  <c r="J228"/>
  <c r="K228"/>
  <c r="I229"/>
  <c r="J229"/>
  <c r="K229"/>
  <c r="I230"/>
  <c r="J230"/>
  <c r="K230"/>
  <c r="I231"/>
  <c r="J231"/>
  <c r="K231"/>
  <c r="I232"/>
  <c r="J232"/>
  <c r="K232"/>
  <c r="I233"/>
  <c r="J233"/>
  <c r="K233"/>
  <c r="I234"/>
  <c r="J234"/>
  <c r="K234"/>
  <c r="I235"/>
  <c r="J235"/>
  <c r="K235"/>
  <c r="I236"/>
  <c r="J236"/>
  <c r="K236"/>
  <c r="I237"/>
  <c r="J237"/>
  <c r="K237"/>
  <c r="I238"/>
  <c r="J238"/>
  <c r="K238"/>
  <c r="I239"/>
  <c r="J239"/>
  <c r="K239"/>
  <c r="I240"/>
  <c r="J240"/>
  <c r="K240"/>
  <c r="I241"/>
  <c r="J241"/>
  <c r="K241"/>
  <c r="I242"/>
  <c r="J242"/>
  <c r="K242"/>
  <c r="I243"/>
  <c r="J243"/>
  <c r="K243"/>
  <c r="I244"/>
  <c r="J244"/>
  <c r="K244"/>
  <c r="I245"/>
  <c r="J245"/>
  <c r="K245"/>
  <c r="I246"/>
  <c r="J246"/>
  <c r="K246"/>
  <c r="I247"/>
  <c r="J247"/>
  <c r="K247"/>
  <c r="I248"/>
  <c r="J248"/>
  <c r="K248"/>
  <c r="I249"/>
  <c r="J249"/>
  <c r="K249"/>
  <c r="I250"/>
  <c r="J250"/>
  <c r="K250"/>
  <c r="I251"/>
  <c r="J251"/>
  <c r="K251"/>
  <c r="I252"/>
  <c r="J252"/>
  <c r="K252"/>
  <c r="I253"/>
  <c r="J253"/>
  <c r="K253"/>
  <c r="I254"/>
  <c r="J254"/>
  <c r="K254"/>
  <c r="I255"/>
  <c r="J255"/>
  <c r="K255"/>
  <c r="I256"/>
  <c r="J256"/>
  <c r="K256"/>
  <c r="I257"/>
  <c r="J257"/>
  <c r="K257"/>
  <c r="I258"/>
  <c r="J258"/>
  <c r="K258"/>
  <c r="I259"/>
  <c r="J259"/>
  <c r="K259"/>
  <c r="I260"/>
  <c r="J260"/>
  <c r="K260"/>
  <c r="I261"/>
  <c r="J261"/>
  <c r="K261"/>
  <c r="I262"/>
  <c r="J262"/>
  <c r="K262"/>
  <c r="I263"/>
  <c r="J263"/>
  <c r="K263"/>
  <c r="I264"/>
  <c r="J264"/>
  <c r="K264"/>
  <c r="I265"/>
  <c r="J265"/>
  <c r="K265"/>
  <c r="I266"/>
  <c r="J266"/>
  <c r="K266"/>
  <c r="I267"/>
  <c r="J267"/>
  <c r="K267"/>
  <c r="I268"/>
  <c r="J268"/>
  <c r="K268"/>
  <c r="I269"/>
  <c r="J269"/>
  <c r="K269"/>
  <c r="I270"/>
  <c r="J270"/>
  <c r="K270"/>
  <c r="I271"/>
  <c r="J271"/>
  <c r="K271"/>
  <c r="I272"/>
  <c r="J272"/>
  <c r="K272"/>
  <c r="I273"/>
  <c r="J273"/>
  <c r="K273"/>
  <c r="I274"/>
  <c r="J274"/>
  <c r="K274"/>
  <c r="I275"/>
  <c r="J275"/>
  <c r="K275"/>
  <c r="I276"/>
  <c r="J276"/>
  <c r="K276"/>
  <c r="I277"/>
  <c r="J277"/>
  <c r="K277"/>
  <c r="I278"/>
  <c r="J278"/>
  <c r="K278"/>
  <c r="I279"/>
  <c r="J279"/>
  <c r="K279"/>
  <c r="I280"/>
  <c r="J280"/>
  <c r="K280"/>
  <c r="I281"/>
  <c r="J281"/>
  <c r="K281"/>
  <c r="I282"/>
  <c r="J282"/>
  <c r="K282"/>
  <c r="I283"/>
  <c r="J283"/>
  <c r="K283"/>
  <c r="I284"/>
  <c r="J284"/>
  <c r="K284"/>
  <c r="I285"/>
  <c r="J285"/>
  <c r="K285"/>
  <c r="I286"/>
  <c r="J286"/>
  <c r="K286"/>
  <c r="I287"/>
  <c r="J287"/>
  <c r="K287"/>
  <c r="I288"/>
  <c r="J288"/>
  <c r="K288"/>
  <c r="I289"/>
  <c r="J289"/>
  <c r="K289"/>
  <c r="I290"/>
  <c r="J290"/>
  <c r="K290"/>
  <c r="I291"/>
  <c r="J291"/>
  <c r="K291"/>
  <c r="I292"/>
  <c r="J292"/>
  <c r="K292"/>
  <c r="I293"/>
  <c r="J293"/>
  <c r="K293"/>
  <c r="I294"/>
  <c r="J294"/>
  <c r="K294"/>
  <c r="I295"/>
  <c r="J295"/>
  <c r="K295"/>
  <c r="I296"/>
  <c r="J296"/>
  <c r="K296"/>
  <c r="I297"/>
  <c r="J297"/>
  <c r="K297"/>
  <c r="I298"/>
  <c r="J298"/>
  <c r="K298"/>
  <c r="I299"/>
  <c r="J299"/>
  <c r="K299"/>
  <c r="I300"/>
  <c r="J300"/>
  <c r="K300"/>
  <c r="I301"/>
  <c r="J301"/>
  <c r="K301"/>
  <c r="I302"/>
  <c r="J302"/>
  <c r="K302"/>
  <c r="I303"/>
  <c r="J303"/>
  <c r="K303"/>
  <c r="I304"/>
  <c r="J304"/>
  <c r="K304"/>
  <c r="I305"/>
  <c r="J305"/>
  <c r="K305"/>
  <c r="I306"/>
  <c r="J306"/>
  <c r="K306"/>
  <c r="I307"/>
  <c r="J307"/>
  <c r="K307"/>
  <c r="I308"/>
  <c r="J308"/>
  <c r="K308"/>
  <c r="I309"/>
  <c r="J309"/>
  <c r="K309"/>
  <c r="I310"/>
  <c r="J310"/>
  <c r="K310"/>
  <c r="I311"/>
  <c r="J311"/>
  <c r="K311"/>
  <c r="I312"/>
  <c r="J312"/>
  <c r="K312"/>
  <c r="I313"/>
  <c r="J313"/>
  <c r="K313"/>
  <c r="I314"/>
  <c r="J314"/>
  <c r="K314"/>
  <c r="I315"/>
  <c r="J315"/>
  <c r="K315"/>
  <c r="I316"/>
  <c r="J316"/>
  <c r="K316"/>
  <c r="I317"/>
  <c r="J317"/>
  <c r="K317"/>
  <c r="I318"/>
  <c r="J318"/>
  <c r="K318"/>
  <c r="I319"/>
  <c r="J319"/>
  <c r="K319"/>
  <c r="I320"/>
  <c r="J320"/>
  <c r="K320"/>
  <c r="I321"/>
  <c r="J321"/>
  <c r="K321"/>
  <c r="I322"/>
  <c r="J322"/>
  <c r="K322"/>
  <c r="I323"/>
  <c r="J323"/>
  <c r="K323"/>
  <c r="I324"/>
  <c r="J324"/>
  <c r="K324"/>
  <c r="I325"/>
  <c r="J325"/>
  <c r="K325"/>
  <c r="I326"/>
  <c r="J326"/>
  <c r="K326"/>
  <c r="I327"/>
  <c r="J327"/>
  <c r="K327"/>
  <c r="I328"/>
  <c r="J328"/>
  <c r="K328"/>
  <c r="I329"/>
  <c r="J329"/>
  <c r="K329"/>
  <c r="I330"/>
  <c r="J330"/>
  <c r="K330"/>
  <c r="I331"/>
  <c r="J331"/>
  <c r="K331"/>
  <c r="I332"/>
  <c r="J332"/>
  <c r="K332"/>
  <c r="I333"/>
  <c r="J333"/>
  <c r="K333"/>
  <c r="I334"/>
  <c r="J334"/>
  <c r="K334"/>
  <c r="I335"/>
  <c r="J335"/>
  <c r="K335"/>
  <c r="I336"/>
  <c r="J336"/>
  <c r="K336"/>
  <c r="I337"/>
  <c r="J337"/>
  <c r="K337"/>
  <c r="I338"/>
  <c r="J338"/>
  <c r="K338"/>
  <c r="I339"/>
  <c r="J339"/>
  <c r="K339"/>
  <c r="I340"/>
  <c r="J340"/>
  <c r="K340"/>
  <c r="I341"/>
  <c r="J341"/>
  <c r="K341"/>
  <c r="I342"/>
  <c r="J342"/>
  <c r="K342"/>
  <c r="I343"/>
  <c r="J343"/>
  <c r="K343"/>
  <c r="I344"/>
  <c r="J344"/>
  <c r="K344"/>
  <c r="I345"/>
  <c r="J345"/>
  <c r="K345"/>
  <c r="I346"/>
  <c r="J346"/>
  <c r="K346"/>
  <c r="I347"/>
  <c r="J347"/>
  <c r="K347"/>
  <c r="I348"/>
  <c r="J348"/>
  <c r="K348"/>
  <c r="I349"/>
  <c r="J349"/>
  <c r="K349"/>
  <c r="I350"/>
  <c r="J350"/>
  <c r="K350"/>
  <c r="I351"/>
  <c r="J351"/>
  <c r="K351"/>
  <c r="I352"/>
  <c r="J352"/>
  <c r="K352"/>
  <c r="I353"/>
  <c r="J353"/>
  <c r="K353"/>
  <c r="I354"/>
  <c r="J354"/>
  <c r="K354"/>
  <c r="I355"/>
  <c r="J355"/>
  <c r="K355"/>
  <c r="I356"/>
  <c r="J356"/>
  <c r="K356"/>
  <c r="I357"/>
  <c r="J357"/>
  <c r="K357"/>
  <c r="I358"/>
  <c r="J358"/>
  <c r="K358"/>
  <c r="I359"/>
  <c r="J359"/>
  <c r="K359"/>
  <c r="I360"/>
  <c r="J360"/>
  <c r="K360"/>
  <c r="I361"/>
  <c r="J361"/>
  <c r="K361"/>
  <c r="I362"/>
  <c r="J362"/>
  <c r="K362"/>
  <c r="I363"/>
  <c r="J363"/>
  <c r="K363"/>
  <c r="I364"/>
  <c r="J364"/>
  <c r="K364"/>
  <c r="I365"/>
  <c r="J365"/>
  <c r="K365"/>
  <c r="I366"/>
  <c r="J366"/>
  <c r="K366"/>
  <c r="I367"/>
  <c r="J367"/>
  <c r="K367"/>
  <c r="I368"/>
  <c r="J368"/>
  <c r="K368"/>
  <c r="I369"/>
  <c r="J369"/>
  <c r="K369"/>
  <c r="I370"/>
  <c r="J370"/>
  <c r="K370"/>
  <c r="I371"/>
  <c r="J371"/>
  <c r="K371"/>
  <c r="I372"/>
  <c r="J372"/>
  <c r="K372"/>
  <c r="I373"/>
  <c r="J373"/>
  <c r="K373"/>
  <c r="I374"/>
  <c r="J374"/>
  <c r="K374"/>
  <c r="I375"/>
  <c r="J375"/>
  <c r="K375"/>
  <c r="I376"/>
  <c r="J376"/>
  <c r="K376"/>
  <c r="I377"/>
  <c r="J377"/>
  <c r="K377"/>
  <c r="I378"/>
  <c r="J378"/>
  <c r="K378"/>
  <c r="I379"/>
  <c r="J379"/>
  <c r="K379"/>
  <c r="I380"/>
  <c r="J380"/>
  <c r="K380"/>
  <c r="F157" i="24"/>
  <c r="Q157"/>
  <c r="R157"/>
  <c r="S157"/>
  <c r="U157"/>
  <c r="X157"/>
  <c r="AM157"/>
  <c r="BM157"/>
  <c r="BN157"/>
  <c r="F158"/>
  <c r="Q158"/>
  <c r="R158"/>
  <c r="S158"/>
  <c r="U158"/>
  <c r="X158"/>
  <c r="AM158"/>
  <c r="BM158"/>
  <c r="BN158"/>
  <c r="F159"/>
  <c r="Q159"/>
  <c r="R159"/>
  <c r="S159"/>
  <c r="U159"/>
  <c r="X159"/>
  <c r="AM159"/>
  <c r="BM159"/>
  <c r="BN159"/>
  <c r="F160"/>
  <c r="Q160"/>
  <c r="R160"/>
  <c r="S160"/>
  <c r="U160"/>
  <c r="X160"/>
  <c r="AM160"/>
  <c r="BM160"/>
  <c r="BN160"/>
  <c r="F161"/>
  <c r="Q161"/>
  <c r="R161"/>
  <c r="S161"/>
  <c r="U161"/>
  <c r="X161"/>
  <c r="AM161"/>
  <c r="BM161"/>
  <c r="BN161"/>
  <c r="F162"/>
  <c r="Q162"/>
  <c r="R162"/>
  <c r="S162"/>
  <c r="U162"/>
  <c r="X162"/>
  <c r="AM162"/>
  <c r="BM162"/>
  <c r="BN162"/>
  <c r="F163"/>
  <c r="Q163"/>
  <c r="R163"/>
  <c r="S163"/>
  <c r="U163"/>
  <c r="X163"/>
  <c r="AM163"/>
  <c r="BM163"/>
  <c r="BN163"/>
  <c r="F164"/>
  <c r="Q164"/>
  <c r="R164"/>
  <c r="S164"/>
  <c r="U164"/>
  <c r="X164"/>
  <c r="AM164"/>
  <c r="BM164"/>
  <c r="BN164"/>
  <c r="F165"/>
  <c r="Q165"/>
  <c r="R165"/>
  <c r="S165"/>
  <c r="U165"/>
  <c r="X165"/>
  <c r="AM165"/>
  <c r="BM165"/>
  <c r="BN165"/>
  <c r="F166"/>
  <c r="Q166"/>
  <c r="R166"/>
  <c r="S166"/>
  <c r="U166"/>
  <c r="X166"/>
  <c r="AM166"/>
  <c r="BM166"/>
  <c r="BN166"/>
  <c r="F167"/>
  <c r="Q167"/>
  <c r="R167"/>
  <c r="S167"/>
  <c r="U167"/>
  <c r="X167"/>
  <c r="AM167"/>
  <c r="BM167"/>
  <c r="BN167"/>
  <c r="F168"/>
  <c r="Q168"/>
  <c r="R168"/>
  <c r="S168"/>
  <c r="U168"/>
  <c r="X168"/>
  <c r="AM168"/>
  <c r="BM168"/>
  <c r="BN168"/>
  <c r="F169"/>
  <c r="Q169"/>
  <c r="R169"/>
  <c r="S169"/>
  <c r="U169"/>
  <c r="X169"/>
  <c r="AM169"/>
  <c r="BM169"/>
  <c r="BN169"/>
  <c r="F170"/>
  <c r="Q170"/>
  <c r="R170"/>
  <c r="S170"/>
  <c r="U170"/>
  <c r="X170"/>
  <c r="AM170"/>
  <c r="BM170"/>
  <c r="BN170"/>
  <c r="F171"/>
  <c r="Q171"/>
  <c r="R171"/>
  <c r="S171"/>
  <c r="U171"/>
  <c r="X171"/>
  <c r="AM171"/>
  <c r="BM171"/>
  <c r="BN171"/>
  <c r="F172"/>
  <c r="Q172"/>
  <c r="R172"/>
  <c r="S172"/>
  <c r="U172"/>
  <c r="X172"/>
  <c r="AM172"/>
  <c r="BM172"/>
  <c r="BN172"/>
  <c r="F173"/>
  <c r="Q173"/>
  <c r="R173"/>
  <c r="S173"/>
  <c r="U173"/>
  <c r="X173"/>
  <c r="AM173"/>
  <c r="BM173"/>
  <c r="BN173"/>
  <c r="F174"/>
  <c r="Q174"/>
  <c r="R174"/>
  <c r="S174"/>
  <c r="U174"/>
  <c r="X174"/>
  <c r="AM174"/>
  <c r="BM174"/>
  <c r="BN174"/>
  <c r="F175"/>
  <c r="Q175"/>
  <c r="R175"/>
  <c r="S175"/>
  <c r="U175"/>
  <c r="X175"/>
  <c r="AM175"/>
  <c r="BM175"/>
  <c r="BN175"/>
  <c r="F176"/>
  <c r="Q176"/>
  <c r="R176"/>
  <c r="S176"/>
  <c r="U176"/>
  <c r="X176"/>
  <c r="AM176"/>
  <c r="BM176"/>
  <c r="BN176"/>
  <c r="F177"/>
  <c r="Q177"/>
  <c r="R177"/>
  <c r="S177"/>
  <c r="U177"/>
  <c r="X177"/>
  <c r="AM177"/>
  <c r="BM177"/>
  <c r="BN177"/>
  <c r="F178"/>
  <c r="Q178"/>
  <c r="R178"/>
  <c r="S178"/>
  <c r="U178"/>
  <c r="X178"/>
  <c r="AM178"/>
  <c r="BM178"/>
  <c r="BN178"/>
  <c r="F179"/>
  <c r="Q179"/>
  <c r="R179"/>
  <c r="S179"/>
  <c r="U179"/>
  <c r="X179"/>
  <c r="AM179"/>
  <c r="BM179"/>
  <c r="BN179"/>
  <c r="F180"/>
  <c r="Q180"/>
  <c r="R180"/>
  <c r="S180"/>
  <c r="U180"/>
  <c r="X180"/>
  <c r="AM180"/>
  <c r="BM180"/>
  <c r="BN180"/>
  <c r="F181"/>
  <c r="Q181"/>
  <c r="R181"/>
  <c r="S181"/>
  <c r="U181"/>
  <c r="X181"/>
  <c r="AM181"/>
  <c r="BM181"/>
  <c r="BN181"/>
  <c r="F182"/>
  <c r="Q182"/>
  <c r="R182"/>
  <c r="S182"/>
  <c r="U182"/>
  <c r="X182"/>
  <c r="AM182"/>
  <c r="BM182"/>
  <c r="BN182"/>
  <c r="F183"/>
  <c r="Q183"/>
  <c r="R183"/>
  <c r="S183"/>
  <c r="U183"/>
  <c r="X183"/>
  <c r="AM183"/>
  <c r="BM183"/>
  <c r="BN183"/>
  <c r="F184"/>
  <c r="Q184"/>
  <c r="R184"/>
  <c r="S184"/>
  <c r="U184"/>
  <c r="X184"/>
  <c r="AM184"/>
  <c r="BM184"/>
  <c r="BN184"/>
  <c r="F185"/>
  <c r="Q185"/>
  <c r="R185"/>
  <c r="S185"/>
  <c r="U185"/>
  <c r="X185"/>
  <c r="AM185"/>
  <c r="BM185"/>
  <c r="BN185"/>
  <c r="F186"/>
  <c r="Q186"/>
  <c r="R186"/>
  <c r="S186"/>
  <c r="U186"/>
  <c r="X186"/>
  <c r="AM186"/>
  <c r="BM186"/>
  <c r="BN186"/>
  <c r="F187"/>
  <c r="Q187"/>
  <c r="R187"/>
  <c r="S187"/>
  <c r="U187"/>
  <c r="X187"/>
  <c r="AM187"/>
  <c r="BM187"/>
  <c r="BN187"/>
  <c r="F188"/>
  <c r="Q188"/>
  <c r="R188"/>
  <c r="S188"/>
  <c r="U188"/>
  <c r="X188"/>
  <c r="AM188"/>
  <c r="BM188"/>
  <c r="BN188"/>
  <c r="F189"/>
  <c r="Q189"/>
  <c r="R189"/>
  <c r="S189"/>
  <c r="U189"/>
  <c r="X189"/>
  <c r="AM189"/>
  <c r="BM189"/>
  <c r="BN189"/>
  <c r="F190"/>
  <c r="Q190"/>
  <c r="R190"/>
  <c r="S190"/>
  <c r="U190"/>
  <c r="X190"/>
  <c r="AM190"/>
  <c r="BM190"/>
  <c r="BN190"/>
  <c r="F191"/>
  <c r="Q191"/>
  <c r="R191"/>
  <c r="S191"/>
  <c r="U191"/>
  <c r="X191"/>
  <c r="AM191"/>
  <c r="BM191"/>
  <c r="BN191"/>
  <c r="F192"/>
  <c r="Q192"/>
  <c r="R192"/>
  <c r="S192"/>
  <c r="U192"/>
  <c r="X192"/>
  <c r="AM192"/>
  <c r="BM192"/>
  <c r="BN192"/>
  <c r="F193"/>
  <c r="Q193"/>
  <c r="R193"/>
  <c r="S193"/>
  <c r="U193"/>
  <c r="X193"/>
  <c r="AM193"/>
  <c r="BM193"/>
  <c r="BN193"/>
  <c r="F194"/>
  <c r="Q194"/>
  <c r="R194"/>
  <c r="S194"/>
  <c r="U194"/>
  <c r="X194"/>
  <c r="AM194"/>
  <c r="BM194"/>
  <c r="BN194"/>
  <c r="F195"/>
  <c r="Q195"/>
  <c r="R195"/>
  <c r="S195"/>
  <c r="U195"/>
  <c r="X195"/>
  <c r="AM195"/>
  <c r="BM195"/>
  <c r="BN195"/>
  <c r="F196"/>
  <c r="Q196"/>
  <c r="R196"/>
  <c r="S196"/>
  <c r="U196"/>
  <c r="X196"/>
  <c r="AM196"/>
  <c r="BM196"/>
  <c r="BN196"/>
  <c r="F197"/>
  <c r="Q197"/>
  <c r="R197"/>
  <c r="S197"/>
  <c r="U197"/>
  <c r="X197"/>
  <c r="AM197"/>
  <c r="BM197"/>
  <c r="BN197"/>
  <c r="F198"/>
  <c r="Q198"/>
  <c r="R198"/>
  <c r="S198"/>
  <c r="U198"/>
  <c r="X198"/>
  <c r="AM198"/>
  <c r="BM198"/>
  <c r="BN198"/>
  <c r="F199"/>
  <c r="Q199"/>
  <c r="R199"/>
  <c r="S199"/>
  <c r="U199"/>
  <c r="X199"/>
  <c r="AM199"/>
  <c r="BM199"/>
  <c r="BN199"/>
  <c r="F200"/>
  <c r="Q200"/>
  <c r="R200"/>
  <c r="S200"/>
  <c r="U200"/>
  <c r="X200"/>
  <c r="AM200"/>
  <c r="BM200"/>
  <c r="BN200"/>
  <c r="F201"/>
  <c r="Q201"/>
  <c r="R201"/>
  <c r="S201"/>
  <c r="U201"/>
  <c r="X201"/>
  <c r="AM201"/>
  <c r="BM201"/>
  <c r="BN201"/>
  <c r="F202"/>
  <c r="Q202"/>
  <c r="R202"/>
  <c r="S202"/>
  <c r="U202"/>
  <c r="X202"/>
  <c r="AM202"/>
  <c r="BM202"/>
  <c r="BN202"/>
  <c r="F203"/>
  <c r="Q203"/>
  <c r="R203"/>
  <c r="S203"/>
  <c r="U203"/>
  <c r="X203"/>
  <c r="AM203"/>
  <c r="BM203"/>
  <c r="BN203"/>
  <c r="F204"/>
  <c r="Q204"/>
  <c r="R204"/>
  <c r="S204"/>
  <c r="U204"/>
  <c r="X204"/>
  <c r="AM204"/>
  <c r="BM204"/>
  <c r="BN204"/>
  <c r="F205"/>
  <c r="Q205"/>
  <c r="R205"/>
  <c r="S205"/>
  <c r="U205"/>
  <c r="X205"/>
  <c r="AM205"/>
  <c r="BM205"/>
  <c r="BN205"/>
  <c r="F206"/>
  <c r="Q206"/>
  <c r="R206"/>
  <c r="S206"/>
  <c r="U206"/>
  <c r="X206"/>
  <c r="AM206"/>
  <c r="BM206"/>
  <c r="BN206"/>
  <c r="F207"/>
  <c r="Q207"/>
  <c r="R207"/>
  <c r="S207"/>
  <c r="U207"/>
  <c r="X207"/>
  <c r="AM207"/>
  <c r="BM207"/>
  <c r="BN207"/>
  <c r="F208"/>
  <c r="Q208"/>
  <c r="R208"/>
  <c r="S208"/>
  <c r="U208"/>
  <c r="X208"/>
  <c r="AM208"/>
  <c r="BM208"/>
  <c r="BN208"/>
  <c r="F209"/>
  <c r="Q209"/>
  <c r="R209"/>
  <c r="S209"/>
  <c r="U209"/>
  <c r="X209"/>
  <c r="AM209"/>
  <c r="BM209"/>
  <c r="BN209"/>
  <c r="F210"/>
  <c r="Q210"/>
  <c r="R210"/>
  <c r="S210"/>
  <c r="U210"/>
  <c r="X210"/>
  <c r="AM210"/>
  <c r="BM210"/>
  <c r="BN210"/>
  <c r="F211"/>
  <c r="Q211"/>
  <c r="R211"/>
  <c r="S211"/>
  <c r="U211"/>
  <c r="X211"/>
  <c r="AM211"/>
  <c r="BM211"/>
  <c r="BN211"/>
  <c r="F212"/>
  <c r="Q212"/>
  <c r="R212"/>
  <c r="S212"/>
  <c r="U212"/>
  <c r="X212"/>
  <c r="AM212"/>
  <c r="BM212"/>
  <c r="BN212"/>
  <c r="F213"/>
  <c r="Q213"/>
  <c r="R213"/>
  <c r="S213"/>
  <c r="U213"/>
  <c r="X213"/>
  <c r="AM213"/>
  <c r="BM213"/>
  <c r="BN213"/>
  <c r="F214"/>
  <c r="Q214"/>
  <c r="R214"/>
  <c r="S214"/>
  <c r="U214"/>
  <c r="X214"/>
  <c r="AM214"/>
  <c r="BM214"/>
  <c r="BN214"/>
  <c r="F215"/>
  <c r="Q215"/>
  <c r="R215"/>
  <c r="S215"/>
  <c r="U215"/>
  <c r="X215"/>
  <c r="AM215"/>
  <c r="BM215"/>
  <c r="BN215"/>
  <c r="F216"/>
  <c r="Q216"/>
  <c r="R216"/>
  <c r="S216"/>
  <c r="U216"/>
  <c r="X216"/>
  <c r="AM216"/>
  <c r="BM216"/>
  <c r="BN216"/>
  <c r="F217"/>
  <c r="Q217"/>
  <c r="R217"/>
  <c r="S217"/>
  <c r="U217"/>
  <c r="X217"/>
  <c r="AM217"/>
  <c r="BM217"/>
  <c r="BN217"/>
  <c r="F218"/>
  <c r="Q218"/>
  <c r="R218"/>
  <c r="S218"/>
  <c r="U218"/>
  <c r="X218"/>
  <c r="AM218"/>
  <c r="BM218"/>
  <c r="BN218"/>
  <c r="F219"/>
  <c r="Q219"/>
  <c r="R219"/>
  <c r="S219"/>
  <c r="U219"/>
  <c r="X219"/>
  <c r="AM219"/>
  <c r="BM219"/>
  <c r="BN219"/>
  <c r="F220"/>
  <c r="Q220"/>
  <c r="R220"/>
  <c r="S220"/>
  <c r="U220"/>
  <c r="X220"/>
  <c r="AM220"/>
  <c r="BM220"/>
  <c r="BN220"/>
  <c r="F221"/>
  <c r="Q221"/>
  <c r="R221"/>
  <c r="S221"/>
  <c r="U221"/>
  <c r="X221"/>
  <c r="AM221"/>
  <c r="BM221"/>
  <c r="BN221"/>
  <c r="F222"/>
  <c r="Q222"/>
  <c r="R222"/>
  <c r="S222"/>
  <c r="U222"/>
  <c r="X222"/>
  <c r="AM222"/>
  <c r="BM222"/>
  <c r="BN222"/>
  <c r="F223"/>
  <c r="Q223"/>
  <c r="R223"/>
  <c r="S223"/>
  <c r="U223"/>
  <c r="X223"/>
  <c r="AM223"/>
  <c r="BM223"/>
  <c r="BN223"/>
  <c r="F224"/>
  <c r="Q224"/>
  <c r="R224"/>
  <c r="S224"/>
  <c r="U224"/>
  <c r="X224"/>
  <c r="AM224"/>
  <c r="BM224"/>
  <c r="BN224"/>
  <c r="F225"/>
  <c r="Q225"/>
  <c r="R225"/>
  <c r="S225"/>
  <c r="U225"/>
  <c r="X225"/>
  <c r="AM225"/>
  <c r="BM225"/>
  <c r="BN225"/>
  <c r="F226"/>
  <c r="Q226"/>
  <c r="R226"/>
  <c r="S226"/>
  <c r="U226"/>
  <c r="X226"/>
  <c r="AM226"/>
  <c r="BM226"/>
  <c r="BN226"/>
  <c r="F227"/>
  <c r="Q227"/>
  <c r="R227"/>
  <c r="S227"/>
  <c r="U227"/>
  <c r="X227"/>
  <c r="AM227"/>
  <c r="BM227"/>
  <c r="BN227"/>
  <c r="F228"/>
  <c r="Q228"/>
  <c r="R228"/>
  <c r="S228"/>
  <c r="U228"/>
  <c r="X228"/>
  <c r="AM228"/>
  <c r="BM228"/>
  <c r="BN228"/>
  <c r="F229"/>
  <c r="Q229"/>
  <c r="R229"/>
  <c r="S229"/>
  <c r="U229"/>
  <c r="X229"/>
  <c r="AM229"/>
  <c r="BM229"/>
  <c r="BN229"/>
  <c r="F230"/>
  <c r="Q230"/>
  <c r="R230"/>
  <c r="S230"/>
  <c r="U230"/>
  <c r="X230"/>
  <c r="AM230"/>
  <c r="BM230"/>
  <c r="BN230"/>
  <c r="F231"/>
  <c r="Q231"/>
  <c r="R231"/>
  <c r="S231"/>
  <c r="U231"/>
  <c r="X231"/>
  <c r="AM231"/>
  <c r="BM231"/>
  <c r="BN231"/>
  <c r="F232"/>
  <c r="Q232"/>
  <c r="R232"/>
  <c r="S232"/>
  <c r="U232"/>
  <c r="X232"/>
  <c r="AM232"/>
  <c r="BM232"/>
  <c r="BN232"/>
  <c r="F233"/>
  <c r="Q233"/>
  <c r="R233"/>
  <c r="S233"/>
  <c r="U233"/>
  <c r="X233"/>
  <c r="AM233"/>
  <c r="BM233"/>
  <c r="BN233"/>
  <c r="F234"/>
  <c r="Q234"/>
  <c r="R234"/>
  <c r="S234"/>
  <c r="U234"/>
  <c r="X234"/>
  <c r="AM234"/>
  <c r="BM234"/>
  <c r="BN234"/>
  <c r="F235"/>
  <c r="Q235"/>
  <c r="R235"/>
  <c r="S235"/>
  <c r="U235"/>
  <c r="X235"/>
  <c r="AM235"/>
  <c r="BM235"/>
  <c r="BN235"/>
  <c r="F236"/>
  <c r="Q236"/>
  <c r="R236"/>
  <c r="S236"/>
  <c r="U236"/>
  <c r="X236"/>
  <c r="AM236"/>
  <c r="BM236"/>
  <c r="BN236"/>
  <c r="F237"/>
  <c r="Q237"/>
  <c r="R237"/>
  <c r="S237"/>
  <c r="U237"/>
  <c r="X237"/>
  <c r="AM237"/>
  <c r="BM237"/>
  <c r="BN237"/>
  <c r="F238"/>
  <c r="Q238"/>
  <c r="R238"/>
  <c r="S238"/>
  <c r="U238"/>
  <c r="X238"/>
  <c r="AM238"/>
  <c r="BM238"/>
  <c r="BN238"/>
  <c r="F239"/>
  <c r="Q239"/>
  <c r="R239"/>
  <c r="S239"/>
  <c r="U239"/>
  <c r="X239"/>
  <c r="AM239"/>
  <c r="BM239"/>
  <c r="BN239"/>
  <c r="F240"/>
  <c r="Q240"/>
  <c r="R240"/>
  <c r="S240"/>
  <c r="U240"/>
  <c r="X240"/>
  <c r="AM240"/>
  <c r="BM240"/>
  <c r="BN240"/>
  <c r="Q241"/>
  <c r="R241"/>
  <c r="S241"/>
  <c r="U241"/>
  <c r="X241"/>
  <c r="AM241"/>
  <c r="BM241"/>
  <c r="BN241"/>
  <c r="Q242"/>
  <c r="R242"/>
  <c r="S242"/>
  <c r="U242"/>
  <c r="X242"/>
  <c r="AM242"/>
  <c r="BM242"/>
  <c r="BN242"/>
  <c r="Q243"/>
  <c r="R243"/>
  <c r="S243"/>
  <c r="U243"/>
  <c r="X243"/>
  <c r="AM243"/>
  <c r="BM243"/>
  <c r="BN243"/>
  <c r="Q244"/>
  <c r="R244"/>
  <c r="S244"/>
  <c r="U244"/>
  <c r="X244"/>
  <c r="AM244"/>
  <c r="BM244"/>
  <c r="BN244"/>
  <c r="Q245"/>
  <c r="R245"/>
  <c r="S245"/>
  <c r="U245"/>
  <c r="X245"/>
  <c r="AM245"/>
  <c r="BM245"/>
  <c r="BN245"/>
  <c r="Q246"/>
  <c r="R246"/>
  <c r="S246"/>
  <c r="U246"/>
  <c r="X246"/>
  <c r="AM246"/>
  <c r="BM246"/>
  <c r="BN246"/>
  <c r="Q247"/>
  <c r="R247"/>
  <c r="S247"/>
  <c r="U247"/>
  <c r="X247"/>
  <c r="AM247"/>
  <c r="BM247"/>
  <c r="BN247"/>
  <c r="Q248"/>
  <c r="R248"/>
  <c r="S248"/>
  <c r="U248"/>
  <c r="X248"/>
  <c r="AM248"/>
  <c r="BM248"/>
  <c r="BN248"/>
  <c r="Q249"/>
  <c r="R249"/>
  <c r="S249"/>
  <c r="U249"/>
  <c r="X249"/>
  <c r="AM249"/>
  <c r="Q250"/>
  <c r="R250"/>
  <c r="S250"/>
  <c r="U250"/>
  <c r="X250"/>
  <c r="AM250"/>
  <c r="Q251"/>
  <c r="R251"/>
  <c r="S251"/>
  <c r="U251"/>
  <c r="X251"/>
  <c r="AM251"/>
  <c r="Q252"/>
  <c r="R252"/>
  <c r="S252"/>
  <c r="U252"/>
  <c r="X252"/>
  <c r="AM252"/>
  <c r="Q253"/>
  <c r="R253"/>
  <c r="S253"/>
  <c r="U253"/>
  <c r="X253"/>
  <c r="AM253"/>
  <c r="Q254"/>
  <c r="R254"/>
  <c r="S254"/>
  <c r="U254"/>
  <c r="X254"/>
  <c r="AM254"/>
  <c r="Q255"/>
  <c r="R255"/>
  <c r="S255"/>
  <c r="U255"/>
  <c r="X255"/>
  <c r="AM255"/>
  <c r="Q256"/>
  <c r="R256"/>
  <c r="S256"/>
  <c r="U256"/>
  <c r="X256"/>
  <c r="AM256"/>
  <c r="Q257"/>
  <c r="R257"/>
  <c r="S257"/>
  <c r="U257"/>
  <c r="X257"/>
  <c r="AM257"/>
  <c r="Q258"/>
  <c r="R258"/>
  <c r="S258"/>
  <c r="U258"/>
  <c r="X258"/>
  <c r="AM258"/>
  <c r="Q259"/>
  <c r="R259"/>
  <c r="S259"/>
  <c r="U259"/>
  <c r="X259"/>
  <c r="AM259"/>
  <c r="Q260"/>
  <c r="R260"/>
  <c r="S260"/>
  <c r="U260"/>
  <c r="X260"/>
  <c r="AM260"/>
  <c r="Q261"/>
  <c r="R261"/>
  <c r="S261"/>
  <c r="U261"/>
  <c r="X261"/>
  <c r="AM261"/>
  <c r="Q262"/>
  <c r="R262"/>
  <c r="S262"/>
  <c r="U262"/>
  <c r="X262"/>
  <c r="AM262"/>
  <c r="Q263"/>
  <c r="R263"/>
  <c r="S263"/>
  <c r="U263"/>
  <c r="X263"/>
  <c r="AM263"/>
  <c r="Q264"/>
  <c r="R264"/>
  <c r="S264"/>
  <c r="U264"/>
  <c r="X264"/>
  <c r="AM264"/>
  <c r="Q265"/>
  <c r="R265"/>
  <c r="S265"/>
  <c r="U265"/>
  <c r="X265"/>
  <c r="AM265"/>
  <c r="Q266"/>
  <c r="R266"/>
  <c r="S266"/>
  <c r="U266"/>
  <c r="X266"/>
  <c r="AM266"/>
  <c r="Q267"/>
  <c r="R267"/>
  <c r="S267"/>
  <c r="U267"/>
  <c r="X267"/>
  <c r="AM267"/>
  <c r="Q268"/>
  <c r="R268"/>
  <c r="S268"/>
  <c r="U268"/>
  <c r="X268"/>
  <c r="AM268"/>
  <c r="Q269"/>
  <c r="R269"/>
  <c r="S269"/>
  <c r="U269"/>
  <c r="X269"/>
  <c r="AM269"/>
  <c r="Q270"/>
  <c r="R270"/>
  <c r="S270"/>
  <c r="U270"/>
  <c r="X270"/>
  <c r="AM270"/>
  <c r="Q271"/>
  <c r="R271"/>
  <c r="S271"/>
  <c r="U271"/>
  <c r="X271"/>
  <c r="AM271"/>
  <c r="Q272"/>
  <c r="R272"/>
  <c r="S272"/>
  <c r="U272"/>
  <c r="X272"/>
  <c r="AM272"/>
  <c r="Q273"/>
  <c r="R273"/>
  <c r="S273"/>
  <c r="U273"/>
  <c r="X273"/>
  <c r="AM273"/>
  <c r="Q274"/>
  <c r="R274"/>
  <c r="S274"/>
  <c r="U274"/>
  <c r="X274"/>
  <c r="AM274"/>
  <c r="Q275"/>
  <c r="R275"/>
  <c r="S275"/>
  <c r="U275"/>
  <c r="X275"/>
  <c r="AM275"/>
  <c r="Q276"/>
  <c r="R276"/>
  <c r="S276"/>
  <c r="U276"/>
  <c r="X276"/>
  <c r="AM276"/>
  <c r="Q277"/>
  <c r="R277"/>
  <c r="S277"/>
  <c r="U277"/>
  <c r="X277"/>
  <c r="AM277"/>
  <c r="Q278"/>
  <c r="R278"/>
  <c r="S278"/>
  <c r="U278"/>
  <c r="X278"/>
  <c r="AM278"/>
  <c r="Q279"/>
  <c r="R279"/>
  <c r="S279"/>
  <c r="U279"/>
  <c r="X279"/>
  <c r="AM279"/>
  <c r="Q280"/>
  <c r="R280"/>
  <c r="S280"/>
  <c r="U280"/>
  <c r="X280"/>
  <c r="AM280"/>
  <c r="Q281"/>
  <c r="R281"/>
  <c r="S281"/>
  <c r="U281"/>
  <c r="X281"/>
  <c r="AM281"/>
  <c r="Q282"/>
  <c r="R282"/>
  <c r="S282"/>
  <c r="U282"/>
  <c r="X282"/>
  <c r="AM282"/>
  <c r="Q283"/>
  <c r="R283"/>
  <c r="S283"/>
  <c r="U283"/>
  <c r="X283"/>
  <c r="AM283"/>
  <c r="Q284"/>
  <c r="R284"/>
  <c r="S284"/>
  <c r="U284"/>
  <c r="X284"/>
  <c r="AM284"/>
  <c r="Q285"/>
  <c r="R285"/>
  <c r="S285"/>
  <c r="U285"/>
  <c r="X285"/>
  <c r="AM285"/>
  <c r="Q286"/>
  <c r="R286"/>
  <c r="S286"/>
  <c r="U286"/>
  <c r="X286"/>
  <c r="AM286"/>
  <c r="Q287"/>
  <c r="R287"/>
  <c r="S287"/>
  <c r="U287"/>
  <c r="X287"/>
  <c r="AM287"/>
  <c r="Q288"/>
  <c r="R288"/>
  <c r="S288"/>
  <c r="U288"/>
  <c r="X288"/>
  <c r="AM288"/>
  <c r="Q289"/>
  <c r="R289"/>
  <c r="S289"/>
  <c r="U289"/>
  <c r="X289"/>
  <c r="AM289"/>
  <c r="Q290"/>
  <c r="R290"/>
  <c r="S290"/>
  <c r="U290"/>
  <c r="X290"/>
  <c r="AM290"/>
  <c r="Q291"/>
  <c r="R291"/>
  <c r="S291"/>
  <c r="U291"/>
  <c r="X291"/>
  <c r="AM291"/>
  <c r="Q292"/>
  <c r="R292"/>
  <c r="S292"/>
  <c r="U292"/>
  <c r="X292"/>
  <c r="AM292"/>
  <c r="Q293"/>
  <c r="R293"/>
  <c r="S293"/>
  <c r="U293"/>
  <c r="X293"/>
  <c r="AM293"/>
  <c r="Q294"/>
  <c r="R294"/>
  <c r="S294"/>
  <c r="U294"/>
  <c r="X294"/>
  <c r="AM294"/>
  <c r="Q295"/>
  <c r="R295"/>
  <c r="S295"/>
  <c r="U295"/>
  <c r="X295"/>
  <c r="AM295"/>
  <c r="Q296"/>
  <c r="R296"/>
  <c r="S296"/>
  <c r="U296"/>
  <c r="X296"/>
  <c r="AM296"/>
  <c r="Q297"/>
  <c r="R297"/>
  <c r="S297"/>
  <c r="U297"/>
  <c r="X297"/>
  <c r="AM297"/>
  <c r="Q298"/>
  <c r="R298"/>
  <c r="S298"/>
  <c r="U298"/>
  <c r="X298"/>
  <c r="AM298"/>
  <c r="Q299"/>
  <c r="R299"/>
  <c r="S299"/>
  <c r="U299"/>
  <c r="X299"/>
  <c r="AM299"/>
  <c r="Q300"/>
  <c r="R300"/>
  <c r="S300"/>
  <c r="U300"/>
  <c r="X300"/>
  <c r="AM300"/>
  <c r="Q301"/>
  <c r="R301"/>
  <c r="S301"/>
  <c r="U301"/>
  <c r="X301"/>
  <c r="AM301"/>
  <c r="Q302"/>
  <c r="R302"/>
  <c r="S302"/>
  <c r="U302"/>
  <c r="X302"/>
  <c r="AM302"/>
  <c r="Q303"/>
  <c r="R303"/>
  <c r="S303"/>
  <c r="U303"/>
  <c r="X303"/>
  <c r="AM303"/>
  <c r="Q304"/>
  <c r="R304"/>
  <c r="S304"/>
  <c r="U304"/>
  <c r="X304"/>
  <c r="AM304"/>
  <c r="Q305"/>
  <c r="R305"/>
  <c r="S305"/>
  <c r="U305"/>
  <c r="X305"/>
  <c r="AM305"/>
  <c r="Q306"/>
  <c r="R306"/>
  <c r="S306"/>
  <c r="U306"/>
  <c r="X306"/>
  <c r="AM306"/>
  <c r="Q307"/>
  <c r="R307"/>
  <c r="S307"/>
  <c r="U307"/>
  <c r="X307"/>
  <c r="AM307"/>
  <c r="Q308"/>
  <c r="R308"/>
  <c r="S308"/>
  <c r="U308"/>
  <c r="X308"/>
  <c r="AM308"/>
  <c r="Q309"/>
  <c r="R309"/>
  <c r="S309"/>
  <c r="U309"/>
  <c r="X309"/>
  <c r="AM309"/>
  <c r="Q310"/>
  <c r="R310"/>
  <c r="S310"/>
  <c r="U310"/>
  <c r="X310"/>
  <c r="AM310"/>
  <c r="Q311"/>
  <c r="R311"/>
  <c r="S311"/>
  <c r="U311"/>
  <c r="X311"/>
  <c r="AM311"/>
  <c r="Q312"/>
  <c r="R312"/>
  <c r="S312"/>
  <c r="U312"/>
  <c r="X312"/>
  <c r="AM312"/>
  <c r="Q313"/>
  <c r="R313"/>
  <c r="S313"/>
  <c r="U313"/>
  <c r="X313"/>
  <c r="AM313"/>
  <c r="Q314"/>
  <c r="R314"/>
  <c r="S314"/>
  <c r="U314"/>
  <c r="X314"/>
  <c r="AM314"/>
  <c r="Q315"/>
  <c r="R315"/>
  <c r="S315"/>
  <c r="U315"/>
  <c r="X315"/>
  <c r="AM315"/>
  <c r="Q316"/>
  <c r="R316"/>
  <c r="S316"/>
  <c r="U316"/>
  <c r="X316"/>
  <c r="AM316"/>
  <c r="Q317"/>
  <c r="R317"/>
  <c r="S317"/>
  <c r="U317"/>
  <c r="X317"/>
  <c r="AM317"/>
  <c r="Q318"/>
  <c r="R318"/>
  <c r="S318"/>
  <c r="U318"/>
  <c r="X318"/>
  <c r="AM318"/>
  <c r="Q319"/>
  <c r="R319"/>
  <c r="S319"/>
  <c r="U319"/>
  <c r="X319"/>
  <c r="AM319"/>
  <c r="Q320"/>
  <c r="R320"/>
  <c r="S320"/>
  <c r="U320"/>
  <c r="X320"/>
  <c r="AM320"/>
  <c r="Q321"/>
  <c r="R321"/>
  <c r="S321"/>
  <c r="U321"/>
  <c r="X321"/>
  <c r="AM321"/>
  <c r="Q322"/>
  <c r="R322"/>
  <c r="S322"/>
  <c r="U322"/>
  <c r="X322"/>
  <c r="AM322"/>
  <c r="Q323"/>
  <c r="R323"/>
  <c r="S323"/>
  <c r="U323"/>
  <c r="X323"/>
  <c r="AM323"/>
  <c r="Q324"/>
  <c r="R324"/>
  <c r="S324"/>
  <c r="U324"/>
  <c r="X324"/>
  <c r="AM324"/>
  <c r="Q325"/>
  <c r="R325"/>
  <c r="S325"/>
  <c r="U325"/>
  <c r="X325"/>
  <c r="AM325"/>
  <c r="Q326"/>
  <c r="R326"/>
  <c r="S326"/>
  <c r="U326"/>
  <c r="X326"/>
  <c r="AM326"/>
  <c r="Q327"/>
  <c r="R327"/>
  <c r="S327"/>
  <c r="U327"/>
  <c r="X327"/>
  <c r="AM327"/>
  <c r="Q328"/>
  <c r="R328"/>
  <c r="S328"/>
  <c r="U328"/>
  <c r="X328"/>
  <c r="AM328"/>
  <c r="Q329"/>
  <c r="R329"/>
  <c r="S329"/>
  <c r="U329"/>
  <c r="X329"/>
  <c r="AM329"/>
  <c r="Q330"/>
  <c r="R330"/>
  <c r="S330"/>
  <c r="U330"/>
  <c r="X330"/>
  <c r="AM330"/>
  <c r="Q331"/>
  <c r="R331"/>
  <c r="S331"/>
  <c r="U331"/>
  <c r="X331"/>
  <c r="AM331"/>
  <c r="Q332"/>
  <c r="R332"/>
  <c r="S332"/>
  <c r="U332"/>
  <c r="X332"/>
  <c r="AM332"/>
  <c r="Q333"/>
  <c r="R333"/>
  <c r="S333"/>
  <c r="U333"/>
  <c r="X333"/>
  <c r="AM333"/>
  <c r="Q334"/>
  <c r="R334"/>
  <c r="S334"/>
  <c r="U334"/>
  <c r="X334"/>
  <c r="AM334"/>
  <c r="Q335"/>
  <c r="R335"/>
  <c r="S335"/>
  <c r="U335"/>
  <c r="X335"/>
  <c r="AM335"/>
  <c r="Q336"/>
  <c r="R336"/>
  <c r="S336"/>
  <c r="U336"/>
  <c r="X336"/>
  <c r="AM336"/>
  <c r="Q337"/>
  <c r="R337"/>
  <c r="S337"/>
  <c r="U337"/>
  <c r="X337"/>
  <c r="AM337"/>
  <c r="Q338"/>
  <c r="R338"/>
  <c r="S338"/>
  <c r="U338"/>
  <c r="X338"/>
  <c r="AM338"/>
  <c r="Q339"/>
  <c r="R339"/>
  <c r="S339"/>
  <c r="U339"/>
  <c r="X339"/>
  <c r="AM339"/>
  <c r="Q340"/>
  <c r="R340"/>
  <c r="S340"/>
  <c r="U340"/>
  <c r="X340"/>
  <c r="AM340"/>
  <c r="Q341"/>
  <c r="R341"/>
  <c r="S341"/>
  <c r="U341"/>
  <c r="X341"/>
  <c r="AM341"/>
  <c r="Q342"/>
  <c r="R342"/>
  <c r="S342"/>
  <c r="U342"/>
  <c r="X342"/>
  <c r="AM342"/>
  <c r="Q343"/>
  <c r="R343"/>
  <c r="S343"/>
  <c r="U343"/>
  <c r="X343"/>
  <c r="AM343"/>
  <c r="Q344"/>
  <c r="R344"/>
  <c r="S344"/>
  <c r="U344"/>
  <c r="X344"/>
  <c r="AM344"/>
  <c r="Q345"/>
  <c r="R345"/>
  <c r="S345"/>
  <c r="U345"/>
  <c r="X345"/>
  <c r="AM345"/>
  <c r="Q346"/>
  <c r="R346"/>
  <c r="S346"/>
  <c r="U346"/>
  <c r="X346"/>
  <c r="AM346"/>
  <c r="Q347"/>
  <c r="R347"/>
  <c r="S347"/>
  <c r="U347"/>
  <c r="X347"/>
  <c r="AM347"/>
  <c r="Q348"/>
  <c r="R348"/>
  <c r="S348"/>
  <c r="U348"/>
  <c r="X348"/>
  <c r="AM348"/>
  <c r="Q349"/>
  <c r="R349"/>
  <c r="S349"/>
  <c r="U349"/>
  <c r="X349"/>
  <c r="AM349"/>
  <c r="Q350"/>
  <c r="R350"/>
  <c r="S350"/>
  <c r="U350"/>
  <c r="X350"/>
  <c r="AM350"/>
  <c r="Q351"/>
  <c r="R351"/>
  <c r="S351"/>
  <c r="U351"/>
  <c r="X351"/>
  <c r="AM351"/>
  <c r="Q352"/>
  <c r="R352"/>
  <c r="S352"/>
  <c r="U352"/>
  <c r="X352"/>
  <c r="AM352"/>
  <c r="Q353"/>
  <c r="R353"/>
  <c r="S353"/>
  <c r="U353"/>
  <c r="X353"/>
  <c r="AM353"/>
  <c r="Q354"/>
  <c r="R354"/>
  <c r="S354"/>
  <c r="U354"/>
  <c r="X354"/>
  <c r="AM354"/>
  <c r="Q355"/>
  <c r="R355"/>
  <c r="S355"/>
  <c r="U355"/>
  <c r="X355"/>
  <c r="AM355"/>
  <c r="Q356"/>
  <c r="R356"/>
  <c r="S356"/>
  <c r="U356"/>
  <c r="X356"/>
  <c r="AM356"/>
  <c r="Q357"/>
  <c r="R357"/>
  <c r="S357"/>
  <c r="U357"/>
  <c r="X357"/>
  <c r="AM357"/>
  <c r="Q358"/>
  <c r="R358"/>
  <c r="S358"/>
  <c r="U358"/>
  <c r="X358"/>
  <c r="AM358"/>
  <c r="Q359"/>
  <c r="R359"/>
  <c r="S359"/>
  <c r="U359"/>
  <c r="X359"/>
  <c r="AM359"/>
  <c r="Q360"/>
  <c r="R360"/>
  <c r="S360"/>
  <c r="U360"/>
  <c r="X360"/>
  <c r="AM360"/>
  <c r="Q361"/>
  <c r="R361"/>
  <c r="S361"/>
  <c r="U361"/>
  <c r="X361"/>
  <c r="AM361"/>
  <c r="Q362"/>
  <c r="R362"/>
  <c r="S362"/>
  <c r="U362"/>
  <c r="X362"/>
  <c r="AM362"/>
  <c r="Q363"/>
  <c r="R363"/>
  <c r="S363"/>
  <c r="U363"/>
  <c r="X363"/>
  <c r="AM363"/>
  <c r="Q364"/>
  <c r="R364"/>
  <c r="S364"/>
  <c r="U364"/>
  <c r="X364"/>
  <c r="AM364"/>
  <c r="Q365"/>
  <c r="R365"/>
  <c r="S365"/>
  <c r="U365"/>
  <c r="X365"/>
  <c r="AM365"/>
  <c r="Q366"/>
  <c r="R366"/>
  <c r="S366"/>
  <c r="U366"/>
  <c r="X366"/>
  <c r="AM366"/>
  <c r="Q367"/>
  <c r="R367"/>
  <c r="S367"/>
  <c r="U367"/>
  <c r="X367"/>
  <c r="AM367"/>
  <c r="Q368"/>
  <c r="R368"/>
  <c r="S368"/>
  <c r="U368"/>
  <c r="X368"/>
  <c r="AM368"/>
  <c r="Q369"/>
  <c r="R369"/>
  <c r="S369"/>
  <c r="U369"/>
  <c r="X369"/>
  <c r="AM369"/>
  <c r="Q370"/>
  <c r="R370"/>
  <c r="S370"/>
  <c r="U370"/>
  <c r="X370"/>
  <c r="AM370"/>
  <c r="Q371"/>
  <c r="R371"/>
  <c r="S371"/>
  <c r="U371"/>
  <c r="X371"/>
  <c r="AM371"/>
  <c r="Q372"/>
  <c r="R372"/>
  <c r="S372"/>
  <c r="U372"/>
  <c r="X372"/>
  <c r="AM372"/>
  <c r="Q373"/>
  <c r="R373"/>
  <c r="S373"/>
  <c r="U373"/>
  <c r="X373"/>
  <c r="AM373"/>
  <c r="Q374"/>
  <c r="R374"/>
  <c r="S374"/>
  <c r="U374"/>
  <c r="X374"/>
  <c r="AM374"/>
  <c r="Q375"/>
  <c r="R375"/>
  <c r="S375"/>
  <c r="U375"/>
  <c r="X375"/>
  <c r="AM375"/>
  <c r="Q376"/>
  <c r="R376"/>
  <c r="S376"/>
  <c r="U376"/>
  <c r="X376"/>
  <c r="AM376"/>
  <c r="Q377"/>
  <c r="R377"/>
  <c r="S377"/>
  <c r="U377"/>
  <c r="X377"/>
  <c r="AM377"/>
  <c r="Q378"/>
  <c r="R378"/>
  <c r="S378"/>
  <c r="U378"/>
  <c r="X378"/>
  <c r="AM378"/>
  <c r="Q379"/>
  <c r="R379"/>
  <c r="S379"/>
  <c r="U379"/>
  <c r="X379"/>
  <c r="AM379"/>
  <c r="F380"/>
  <c r="Q380"/>
  <c r="R380"/>
  <c r="S380"/>
  <c r="U380"/>
  <c r="X380"/>
  <c r="AM380"/>
  <c r="F381"/>
  <c r="Q381"/>
  <c r="R381"/>
  <c r="S381"/>
  <c r="U381"/>
  <c r="X381"/>
  <c r="AM381"/>
  <c r="F382"/>
  <c r="Q382"/>
  <c r="R382"/>
  <c r="S382"/>
  <c r="U382"/>
  <c r="X382"/>
  <c r="AM382"/>
  <c r="F383"/>
  <c r="Q383"/>
  <c r="R383"/>
  <c r="S383"/>
  <c r="U383"/>
  <c r="X383"/>
  <c r="AM383"/>
  <c r="F384"/>
  <c r="Q384"/>
  <c r="R384"/>
  <c r="S384"/>
  <c r="U384"/>
  <c r="X384"/>
  <c r="AM384"/>
  <c r="F385"/>
  <c r="Q385"/>
  <c r="R385"/>
  <c r="S385"/>
  <c r="U385"/>
  <c r="X385"/>
  <c r="AM385"/>
  <c r="D157" i="43"/>
  <c r="E157"/>
  <c r="O157"/>
  <c r="CB157" s="1"/>
  <c r="S157"/>
  <c r="T157"/>
  <c r="U157"/>
  <c r="V157"/>
  <c r="W157"/>
  <c r="AB157"/>
  <c r="AM157"/>
  <c r="AN157"/>
  <c r="AW157"/>
  <c r="AY157"/>
  <c r="BC157"/>
  <c r="AU157" s="1"/>
  <c r="BG157"/>
  <c r="BP157"/>
  <c r="BR157"/>
  <c r="BW157"/>
  <c r="BT157" s="1"/>
  <c r="BX157"/>
  <c r="CK157"/>
  <c r="CM157"/>
  <c r="CQ157"/>
  <c r="CI157" s="1"/>
  <c r="DF157"/>
  <c r="DV157"/>
  <c r="EC157"/>
  <c r="EF157"/>
  <c r="EG157"/>
  <c r="EH157"/>
  <c r="FG157"/>
  <c r="D158"/>
  <c r="E158"/>
  <c r="O158"/>
  <c r="BG158" s="1"/>
  <c r="S158"/>
  <c r="T158"/>
  <c r="U158"/>
  <c r="V158"/>
  <c r="W158"/>
  <c r="AB158"/>
  <c r="AM158"/>
  <c r="AN158"/>
  <c r="AW158"/>
  <c r="AY158"/>
  <c r="BC158"/>
  <c r="AU158" s="1"/>
  <c r="BP158"/>
  <c r="BR158"/>
  <c r="BW158"/>
  <c r="BX158"/>
  <c r="CB158"/>
  <c r="CK158"/>
  <c r="CM158"/>
  <c r="CQ158"/>
  <c r="CI158" s="1"/>
  <c r="CU158"/>
  <c r="DF158"/>
  <c r="DG158" s="1"/>
  <c r="DV158"/>
  <c r="EC158"/>
  <c r="EF158"/>
  <c r="EG158"/>
  <c r="EH158"/>
  <c r="FE158"/>
  <c r="FG158"/>
  <c r="D159"/>
  <c r="E159"/>
  <c r="O159"/>
  <c r="CB159" s="1"/>
  <c r="S159"/>
  <c r="T159"/>
  <c r="U159"/>
  <c r="V159"/>
  <c r="W159"/>
  <c r="AB159"/>
  <c r="AM159"/>
  <c r="AN159"/>
  <c r="AW159"/>
  <c r="AY159"/>
  <c r="BC159"/>
  <c r="AU159" s="1"/>
  <c r="BG159"/>
  <c r="BP159"/>
  <c r="BR159"/>
  <c r="BW159"/>
  <c r="BX159"/>
  <c r="CK159"/>
  <c r="CM159"/>
  <c r="CQ159"/>
  <c r="CI159" s="1"/>
  <c r="DF159"/>
  <c r="DV159"/>
  <c r="EC159"/>
  <c r="EF159"/>
  <c r="EG159"/>
  <c r="EH159"/>
  <c r="FG159"/>
  <c r="D160"/>
  <c r="E160"/>
  <c r="O160"/>
  <c r="BG160" s="1"/>
  <c r="S160"/>
  <c r="T160"/>
  <c r="U160"/>
  <c r="V160"/>
  <c r="W160"/>
  <c r="AB160"/>
  <c r="AM160"/>
  <c r="AN160"/>
  <c r="AW160"/>
  <c r="AY160"/>
  <c r="BC160"/>
  <c r="AU160" s="1"/>
  <c r="BP160"/>
  <c r="BR160"/>
  <c r="BW160"/>
  <c r="BX160"/>
  <c r="CB160"/>
  <c r="CK160"/>
  <c r="CM160"/>
  <c r="CQ160"/>
  <c r="CI160" s="1"/>
  <c r="CU160"/>
  <c r="DF160"/>
  <c r="DV160"/>
  <c r="EC160"/>
  <c r="EF160"/>
  <c r="EG160"/>
  <c r="EH160"/>
  <c r="FE160"/>
  <c r="FG160"/>
  <c r="D161"/>
  <c r="E161"/>
  <c r="O161"/>
  <c r="FE161" s="1"/>
  <c r="S161"/>
  <c r="T161"/>
  <c r="U161"/>
  <c r="V161"/>
  <c r="W161"/>
  <c r="AB161"/>
  <c r="AM161"/>
  <c r="AN161"/>
  <c r="AW161"/>
  <c r="AY161"/>
  <c r="BC161"/>
  <c r="AU161" s="1"/>
  <c r="BG161"/>
  <c r="BP161"/>
  <c r="BR161"/>
  <c r="BW161"/>
  <c r="BT161" s="1"/>
  <c r="AF161" s="1"/>
  <c r="BX161"/>
  <c r="CK161"/>
  <c r="CM161"/>
  <c r="CQ161"/>
  <c r="CI161" s="1"/>
  <c r="CU161"/>
  <c r="DF161"/>
  <c r="DV161"/>
  <c r="EC161"/>
  <c r="EF161"/>
  <c r="EG161"/>
  <c r="EH161"/>
  <c r="FG161"/>
  <c r="D162"/>
  <c r="E162"/>
  <c r="O162"/>
  <c r="BG162" s="1"/>
  <c r="S162"/>
  <c r="T162"/>
  <c r="U162"/>
  <c r="V162"/>
  <c r="W162"/>
  <c r="AB162"/>
  <c r="AM162"/>
  <c r="AN162"/>
  <c r="AW162"/>
  <c r="AY162"/>
  <c r="BC162"/>
  <c r="AU162" s="1"/>
  <c r="BP162"/>
  <c r="BR162"/>
  <c r="BW162"/>
  <c r="BT162" s="1"/>
  <c r="AF162" s="1"/>
  <c r="BX162"/>
  <c r="CK162"/>
  <c r="CM162"/>
  <c r="CQ162"/>
  <c r="CI162" s="1"/>
  <c r="DF162"/>
  <c r="DV162"/>
  <c r="EC162"/>
  <c r="EF162"/>
  <c r="EG162"/>
  <c r="EH162"/>
  <c r="FG162"/>
  <c r="D163"/>
  <c r="E163"/>
  <c r="O163"/>
  <c r="CB163" s="1"/>
  <c r="S163"/>
  <c r="T163"/>
  <c r="U163"/>
  <c r="V163"/>
  <c r="W163"/>
  <c r="AB163"/>
  <c r="AC163" s="1"/>
  <c r="AM163"/>
  <c r="AN163"/>
  <c r="AW163"/>
  <c r="AY163"/>
  <c r="BC163"/>
  <c r="AU163" s="1"/>
  <c r="BG163"/>
  <c r="BP163"/>
  <c r="BR163"/>
  <c r="BW163"/>
  <c r="BT163" s="1"/>
  <c r="BX163"/>
  <c r="CK163"/>
  <c r="CM163"/>
  <c r="CQ163"/>
  <c r="CI163" s="1"/>
  <c r="DF163"/>
  <c r="DV163"/>
  <c r="EC163"/>
  <c r="EF163"/>
  <c r="EG163"/>
  <c r="EH163"/>
  <c r="FG163"/>
  <c r="D164"/>
  <c r="E164"/>
  <c r="O164"/>
  <c r="CB164" s="1"/>
  <c r="S164"/>
  <c r="T164"/>
  <c r="U164"/>
  <c r="V164"/>
  <c r="W164"/>
  <c r="AB164"/>
  <c r="AM164"/>
  <c r="AN164"/>
  <c r="AW164"/>
  <c r="AY164"/>
  <c r="BC164"/>
  <c r="AU164" s="1"/>
  <c r="BG164"/>
  <c r="BP164"/>
  <c r="BR164"/>
  <c r="BW164"/>
  <c r="BX164"/>
  <c r="CK164"/>
  <c r="CM164"/>
  <c r="CQ164"/>
  <c r="CI164" s="1"/>
  <c r="DF164"/>
  <c r="DV164"/>
  <c r="EC164"/>
  <c r="EF164"/>
  <c r="EG164"/>
  <c r="EH164"/>
  <c r="FG164"/>
  <c r="D165"/>
  <c r="E165"/>
  <c r="O165"/>
  <c r="BG165" s="1"/>
  <c r="S165"/>
  <c r="T165"/>
  <c r="U165"/>
  <c r="V165"/>
  <c r="W165"/>
  <c r="AB165"/>
  <c r="AM165"/>
  <c r="AN165"/>
  <c r="AW165"/>
  <c r="AY165"/>
  <c r="BC165"/>
  <c r="AU165" s="1"/>
  <c r="BP165"/>
  <c r="BR165"/>
  <c r="BW165"/>
  <c r="BX165"/>
  <c r="CB165"/>
  <c r="CK165"/>
  <c r="CM165"/>
  <c r="CQ165"/>
  <c r="CI165" s="1"/>
  <c r="CU165"/>
  <c r="DF165"/>
  <c r="DV165"/>
  <c r="EC165"/>
  <c r="EF165"/>
  <c r="EG165"/>
  <c r="EH165"/>
  <c r="FG165"/>
  <c r="D166"/>
  <c r="E166"/>
  <c r="O166"/>
  <c r="BG166" s="1"/>
  <c r="S166"/>
  <c r="T166"/>
  <c r="U166"/>
  <c r="V166"/>
  <c r="W166"/>
  <c r="AB166"/>
  <c r="AM166"/>
  <c r="AN166"/>
  <c r="AW166"/>
  <c r="AY166"/>
  <c r="BC166"/>
  <c r="AU166" s="1"/>
  <c r="BP166"/>
  <c r="BR166"/>
  <c r="BW166"/>
  <c r="BT166" s="1"/>
  <c r="BX166"/>
  <c r="CB166"/>
  <c r="CK166"/>
  <c r="CM166"/>
  <c r="CQ166"/>
  <c r="CI166" s="1"/>
  <c r="CU166"/>
  <c r="DF166"/>
  <c r="DV166"/>
  <c r="EC166"/>
  <c r="EF166"/>
  <c r="EG166"/>
  <c r="EH166"/>
  <c r="FG166"/>
  <c r="D167"/>
  <c r="E167"/>
  <c r="O167"/>
  <c r="CB167" s="1"/>
  <c r="S167"/>
  <c r="T167"/>
  <c r="U167"/>
  <c r="V167"/>
  <c r="W167"/>
  <c r="AB167"/>
  <c r="AM167"/>
  <c r="AN167"/>
  <c r="AW167"/>
  <c r="AY167"/>
  <c r="BC167"/>
  <c r="AU167" s="1"/>
  <c r="BG167"/>
  <c r="BP167"/>
  <c r="BR167"/>
  <c r="BW167"/>
  <c r="BT167" s="1"/>
  <c r="AH167" s="1"/>
  <c r="BX167"/>
  <c r="CK167"/>
  <c r="CM167"/>
  <c r="CQ167"/>
  <c r="CI167" s="1"/>
  <c r="DF167"/>
  <c r="DV167"/>
  <c r="EC167"/>
  <c r="EF167"/>
  <c r="EG167"/>
  <c r="EH167"/>
  <c r="FE167"/>
  <c r="FG167"/>
  <c r="D168"/>
  <c r="E168"/>
  <c r="O168"/>
  <c r="CB168" s="1"/>
  <c r="S168"/>
  <c r="T168"/>
  <c r="U168"/>
  <c r="V168"/>
  <c r="W168"/>
  <c r="AB168"/>
  <c r="AM168"/>
  <c r="AN168"/>
  <c r="AW168"/>
  <c r="AY168"/>
  <c r="BC168"/>
  <c r="AU168" s="1"/>
  <c r="BP168"/>
  <c r="BR168"/>
  <c r="BW168"/>
  <c r="BT168" s="1"/>
  <c r="AF168" s="1"/>
  <c r="BX168"/>
  <c r="CK168"/>
  <c r="CM168"/>
  <c r="CQ168"/>
  <c r="CI168" s="1"/>
  <c r="DF168"/>
  <c r="DV168"/>
  <c r="EC168"/>
  <c r="EF168"/>
  <c r="EG168"/>
  <c r="EH168"/>
  <c r="FG168"/>
  <c r="D169"/>
  <c r="E169"/>
  <c r="O169"/>
  <c r="CB169" s="1"/>
  <c r="S169"/>
  <c r="T169"/>
  <c r="U169"/>
  <c r="V169"/>
  <c r="W169"/>
  <c r="AB169"/>
  <c r="AM169"/>
  <c r="AN169"/>
  <c r="AW169"/>
  <c r="AY169"/>
  <c r="BC169"/>
  <c r="AU169" s="1"/>
  <c r="BP169"/>
  <c r="BR169"/>
  <c r="BW169"/>
  <c r="BT169" s="1"/>
  <c r="AF169" s="1"/>
  <c r="BX169"/>
  <c r="CK169"/>
  <c r="CM169"/>
  <c r="CQ169"/>
  <c r="CI169" s="1"/>
  <c r="DF169"/>
  <c r="DG169" s="1"/>
  <c r="DV169"/>
  <c r="EC169"/>
  <c r="EF169"/>
  <c r="EG169"/>
  <c r="EH169"/>
  <c r="FG169"/>
  <c r="D170"/>
  <c r="E170"/>
  <c r="O170"/>
  <c r="CB170" s="1"/>
  <c r="S170"/>
  <c r="T170"/>
  <c r="U170"/>
  <c r="V170"/>
  <c r="W170"/>
  <c r="AB170"/>
  <c r="AC170" s="1"/>
  <c r="AM170"/>
  <c r="AN170"/>
  <c r="AW170"/>
  <c r="AY170"/>
  <c r="BC170"/>
  <c r="AU170" s="1"/>
  <c r="BP170"/>
  <c r="BR170"/>
  <c r="BW170"/>
  <c r="BT170" s="1"/>
  <c r="BX170"/>
  <c r="CK170"/>
  <c r="CM170"/>
  <c r="CQ170"/>
  <c r="CI170" s="1"/>
  <c r="DF170"/>
  <c r="DV170"/>
  <c r="EC170"/>
  <c r="EF170"/>
  <c r="EG170"/>
  <c r="EH170"/>
  <c r="FG170"/>
  <c r="D171"/>
  <c r="E171"/>
  <c r="O171"/>
  <c r="CB171" s="1"/>
  <c r="S171"/>
  <c r="T171"/>
  <c r="U171"/>
  <c r="V171"/>
  <c r="W171"/>
  <c r="AB171"/>
  <c r="AM171"/>
  <c r="AN171"/>
  <c r="AW171"/>
  <c r="AY171"/>
  <c r="BC171"/>
  <c r="AU171" s="1"/>
  <c r="BG171"/>
  <c r="BP171"/>
  <c r="BR171"/>
  <c r="BW171"/>
  <c r="BT171" s="1"/>
  <c r="AI171" s="1"/>
  <c r="BX171"/>
  <c r="CK171"/>
  <c r="CM171"/>
  <c r="CQ171"/>
  <c r="CI171" s="1"/>
  <c r="CU171"/>
  <c r="DF171"/>
  <c r="DV171"/>
  <c r="EC171"/>
  <c r="EF171"/>
  <c r="EG171"/>
  <c r="EH171"/>
  <c r="FG171"/>
  <c r="D172"/>
  <c r="E172"/>
  <c r="O172"/>
  <c r="BG172" s="1"/>
  <c r="S172"/>
  <c r="T172"/>
  <c r="U172"/>
  <c r="V172"/>
  <c r="W172"/>
  <c r="AB172"/>
  <c r="AM172"/>
  <c r="AN172"/>
  <c r="AW172"/>
  <c r="AY172"/>
  <c r="BC172"/>
  <c r="AU172" s="1"/>
  <c r="BP172"/>
  <c r="BR172"/>
  <c r="BW172"/>
  <c r="BT172" s="1"/>
  <c r="AF172" s="1"/>
  <c r="BX172"/>
  <c r="CB172"/>
  <c r="CK172"/>
  <c r="CM172"/>
  <c r="CQ172"/>
  <c r="CI172" s="1"/>
  <c r="CU172"/>
  <c r="DF172"/>
  <c r="DV172"/>
  <c r="EC172"/>
  <c r="EF172"/>
  <c r="EG172"/>
  <c r="EH172"/>
  <c r="FG172"/>
  <c r="D173"/>
  <c r="E173"/>
  <c r="O173"/>
  <c r="CB173" s="1"/>
  <c r="S173"/>
  <c r="T173"/>
  <c r="U173"/>
  <c r="V173"/>
  <c r="W173"/>
  <c r="AB173"/>
  <c r="AM173"/>
  <c r="AN173"/>
  <c r="AW173"/>
  <c r="AY173"/>
  <c r="BC173"/>
  <c r="AU173" s="1"/>
  <c r="BG173"/>
  <c r="BP173"/>
  <c r="BR173"/>
  <c r="BW173"/>
  <c r="BT173" s="1"/>
  <c r="AI173" s="1"/>
  <c r="BX173"/>
  <c r="CK173"/>
  <c r="CM173"/>
  <c r="CQ173"/>
  <c r="CI173" s="1"/>
  <c r="DF173"/>
  <c r="DV173"/>
  <c r="EC173"/>
  <c r="EF173"/>
  <c r="EG173"/>
  <c r="EH173"/>
  <c r="FG173"/>
  <c r="D174"/>
  <c r="E174"/>
  <c r="O174"/>
  <c r="BG174" s="1"/>
  <c r="S174"/>
  <c r="T174"/>
  <c r="U174"/>
  <c r="V174"/>
  <c r="W174"/>
  <c r="AB174"/>
  <c r="AM174"/>
  <c r="AN174"/>
  <c r="AW174"/>
  <c r="AY174"/>
  <c r="BC174"/>
  <c r="AU174" s="1"/>
  <c r="BP174"/>
  <c r="BR174"/>
  <c r="BW174"/>
  <c r="BX174"/>
  <c r="CB174"/>
  <c r="CK174"/>
  <c r="CM174"/>
  <c r="CQ174"/>
  <c r="CI174" s="1"/>
  <c r="CU174"/>
  <c r="DF174"/>
  <c r="DV174"/>
  <c r="EC174"/>
  <c r="EF174"/>
  <c r="EG174"/>
  <c r="EH174"/>
  <c r="FG174"/>
  <c r="D175"/>
  <c r="E175"/>
  <c r="O175"/>
  <c r="CB175" s="1"/>
  <c r="S175"/>
  <c r="T175"/>
  <c r="U175"/>
  <c r="V175"/>
  <c r="W175"/>
  <c r="AB175"/>
  <c r="AM175"/>
  <c r="AN175"/>
  <c r="AW175"/>
  <c r="AY175"/>
  <c r="BC175"/>
  <c r="AU175" s="1"/>
  <c r="BG175"/>
  <c r="BP175"/>
  <c r="BR175"/>
  <c r="BW175"/>
  <c r="BT175" s="1"/>
  <c r="AI175" s="1"/>
  <c r="BX175"/>
  <c r="CK175"/>
  <c r="CM175"/>
  <c r="CQ175"/>
  <c r="CI175" s="1"/>
  <c r="DF175"/>
  <c r="DV175"/>
  <c r="EC175"/>
  <c r="EF175"/>
  <c r="EG175"/>
  <c r="EH175"/>
  <c r="FG175"/>
  <c r="D176"/>
  <c r="E176"/>
  <c r="O176"/>
  <c r="CB176" s="1"/>
  <c r="S176"/>
  <c r="T176"/>
  <c r="U176"/>
  <c r="V176"/>
  <c r="W176"/>
  <c r="AB176"/>
  <c r="AC176" s="1"/>
  <c r="AM176"/>
  <c r="AN176"/>
  <c r="AW176"/>
  <c r="AY176"/>
  <c r="BC176"/>
  <c r="AU176" s="1"/>
  <c r="BG176"/>
  <c r="BP176"/>
  <c r="BR176"/>
  <c r="BW176"/>
  <c r="BT176" s="1"/>
  <c r="AF176" s="1"/>
  <c r="BX176"/>
  <c r="CK176"/>
  <c r="CM176"/>
  <c r="CQ176"/>
  <c r="CI176" s="1"/>
  <c r="DF176"/>
  <c r="DV176"/>
  <c r="EC176"/>
  <c r="EF176"/>
  <c r="EG176"/>
  <c r="EH176"/>
  <c r="FG176"/>
  <c r="D177"/>
  <c r="E177"/>
  <c r="O177"/>
  <c r="CB177" s="1"/>
  <c r="S177"/>
  <c r="T177"/>
  <c r="U177"/>
  <c r="V177"/>
  <c r="W177"/>
  <c r="AB177"/>
  <c r="AM177"/>
  <c r="AN177"/>
  <c r="AW177"/>
  <c r="AY177"/>
  <c r="BC177"/>
  <c r="AU177" s="1"/>
  <c r="BG177"/>
  <c r="BP177"/>
  <c r="BR177"/>
  <c r="BW177"/>
  <c r="BT177" s="1"/>
  <c r="AI177" s="1"/>
  <c r="BX177"/>
  <c r="CK177"/>
  <c r="CM177"/>
  <c r="CQ177"/>
  <c r="CI177" s="1"/>
  <c r="DF177"/>
  <c r="DV177"/>
  <c r="EC177"/>
  <c r="EF177"/>
  <c r="EG177"/>
  <c r="EH177"/>
  <c r="FG177"/>
  <c r="D178"/>
  <c r="E178"/>
  <c r="O178"/>
  <c r="BG178" s="1"/>
  <c r="S178"/>
  <c r="T178"/>
  <c r="U178"/>
  <c r="V178"/>
  <c r="W178"/>
  <c r="AB178"/>
  <c r="AM178"/>
  <c r="AN178"/>
  <c r="AW178"/>
  <c r="AY178"/>
  <c r="BC178"/>
  <c r="AU178" s="1"/>
  <c r="BP178"/>
  <c r="BR178"/>
  <c r="BW178"/>
  <c r="BX178"/>
  <c r="CB178"/>
  <c r="CK178"/>
  <c r="CM178"/>
  <c r="CQ178"/>
  <c r="CI178" s="1"/>
  <c r="CU178"/>
  <c r="DF178"/>
  <c r="DV178"/>
  <c r="EC178"/>
  <c r="EF178"/>
  <c r="EG178"/>
  <c r="EH178"/>
  <c r="FG178"/>
  <c r="D179"/>
  <c r="E179"/>
  <c r="O179"/>
  <c r="CB179" s="1"/>
  <c r="S179"/>
  <c r="T179"/>
  <c r="U179"/>
  <c r="V179"/>
  <c r="W179"/>
  <c r="AB179"/>
  <c r="AM179"/>
  <c r="AN179"/>
  <c r="AW179"/>
  <c r="AY179"/>
  <c r="BC179"/>
  <c r="AU179" s="1"/>
  <c r="BG179"/>
  <c r="BP179"/>
  <c r="BR179"/>
  <c r="BW179"/>
  <c r="BX179"/>
  <c r="CK179"/>
  <c r="CM179"/>
  <c r="CQ179"/>
  <c r="CI179" s="1"/>
  <c r="DF179"/>
  <c r="DV179"/>
  <c r="EC179"/>
  <c r="EF179"/>
  <c r="EG179"/>
  <c r="EH179"/>
  <c r="FG179"/>
  <c r="D180"/>
  <c r="E180"/>
  <c r="O180"/>
  <c r="CB180" s="1"/>
  <c r="S180"/>
  <c r="T180"/>
  <c r="U180"/>
  <c r="V180"/>
  <c r="W180"/>
  <c r="AB180"/>
  <c r="AM180"/>
  <c r="AN180"/>
  <c r="AW180"/>
  <c r="AY180"/>
  <c r="BC180"/>
  <c r="AU180" s="1"/>
  <c r="BG180"/>
  <c r="BP180"/>
  <c r="BR180"/>
  <c r="BW180"/>
  <c r="BT180" s="1"/>
  <c r="AF180" s="1"/>
  <c r="BX180"/>
  <c r="CK180"/>
  <c r="CM180"/>
  <c r="CQ180"/>
  <c r="CI180" s="1"/>
  <c r="DF180"/>
  <c r="DV180"/>
  <c r="EC180"/>
  <c r="EF180"/>
  <c r="EG180"/>
  <c r="EH180"/>
  <c r="FG180"/>
  <c r="D181"/>
  <c r="E181"/>
  <c r="O181"/>
  <c r="CB181" s="1"/>
  <c r="S181"/>
  <c r="T181"/>
  <c r="U181"/>
  <c r="V181"/>
  <c r="W181"/>
  <c r="AB181"/>
  <c r="AM181"/>
  <c r="AN181"/>
  <c r="AW181"/>
  <c r="AY181"/>
  <c r="BC181"/>
  <c r="AU181" s="1"/>
  <c r="BP181"/>
  <c r="BR181"/>
  <c r="BW181"/>
  <c r="BX181"/>
  <c r="CK181"/>
  <c r="CM181"/>
  <c r="CQ181"/>
  <c r="CI181" s="1"/>
  <c r="DF181"/>
  <c r="DV181"/>
  <c r="EC181"/>
  <c r="EF181"/>
  <c r="EG181"/>
  <c r="EH181"/>
  <c r="FG181"/>
  <c r="D182"/>
  <c r="E182"/>
  <c r="O182"/>
  <c r="CB182" s="1"/>
  <c r="S182"/>
  <c r="T182"/>
  <c r="U182"/>
  <c r="V182"/>
  <c r="W182"/>
  <c r="AB182"/>
  <c r="AM182"/>
  <c r="AN182"/>
  <c r="AW182"/>
  <c r="AY182"/>
  <c r="BC182"/>
  <c r="AU182" s="1"/>
  <c r="BG182"/>
  <c r="BP182"/>
  <c r="BR182"/>
  <c r="BW182"/>
  <c r="BX182"/>
  <c r="CK182"/>
  <c r="CM182"/>
  <c r="CQ182"/>
  <c r="CI182" s="1"/>
  <c r="DF182"/>
  <c r="DV182"/>
  <c r="EC182"/>
  <c r="EF182"/>
  <c r="EG182"/>
  <c r="EH182"/>
  <c r="FG182"/>
  <c r="D183"/>
  <c r="E183"/>
  <c r="O183"/>
  <c r="CB183" s="1"/>
  <c r="S183"/>
  <c r="T183"/>
  <c r="U183"/>
  <c r="V183"/>
  <c r="W183"/>
  <c r="AB183"/>
  <c r="AM183"/>
  <c r="AN183"/>
  <c r="AW183"/>
  <c r="AY183"/>
  <c r="BC183"/>
  <c r="AU183" s="1"/>
  <c r="BG183"/>
  <c r="BP183"/>
  <c r="BR183"/>
  <c r="BW183"/>
  <c r="BT183" s="1"/>
  <c r="AI183" s="1"/>
  <c r="BX183"/>
  <c r="CK183"/>
  <c r="CM183"/>
  <c r="CQ183"/>
  <c r="CI183" s="1"/>
  <c r="DF183"/>
  <c r="DV183"/>
  <c r="EC183"/>
  <c r="EF183"/>
  <c r="EG183"/>
  <c r="EH183"/>
  <c r="FG183"/>
  <c r="D184"/>
  <c r="E184"/>
  <c r="O184"/>
  <c r="CB184" s="1"/>
  <c r="S184"/>
  <c r="T184"/>
  <c r="U184"/>
  <c r="V184"/>
  <c r="W184"/>
  <c r="AB184"/>
  <c r="AM184"/>
  <c r="AN184"/>
  <c r="AW184"/>
  <c r="AY184"/>
  <c r="BC184"/>
  <c r="AU184" s="1"/>
  <c r="BG184"/>
  <c r="BP184"/>
  <c r="BR184"/>
  <c r="BW184"/>
  <c r="BT184" s="1"/>
  <c r="BX184"/>
  <c r="CK184"/>
  <c r="CM184"/>
  <c r="CQ184"/>
  <c r="CI184" s="1"/>
  <c r="CU184"/>
  <c r="DF184"/>
  <c r="DV184"/>
  <c r="EC184"/>
  <c r="EF184"/>
  <c r="EG184"/>
  <c r="EH184"/>
  <c r="FG184"/>
  <c r="D185"/>
  <c r="E185"/>
  <c r="O185"/>
  <c r="CB185" s="1"/>
  <c r="S185"/>
  <c r="T185"/>
  <c r="U185"/>
  <c r="V185"/>
  <c r="W185"/>
  <c r="AB185"/>
  <c r="AM185"/>
  <c r="AN185"/>
  <c r="AW185"/>
  <c r="AY185"/>
  <c r="BC185"/>
  <c r="AU185" s="1"/>
  <c r="BG185"/>
  <c r="BP185"/>
  <c r="BR185"/>
  <c r="BW185"/>
  <c r="BT185" s="1"/>
  <c r="AH185" s="1"/>
  <c r="BX185"/>
  <c r="CK185"/>
  <c r="CM185"/>
  <c r="CQ185"/>
  <c r="CI185" s="1"/>
  <c r="CU185"/>
  <c r="DF185"/>
  <c r="DV185"/>
  <c r="EC185"/>
  <c r="EF185"/>
  <c r="EG185"/>
  <c r="EH185"/>
  <c r="FG185"/>
  <c r="D186"/>
  <c r="E186"/>
  <c r="O186"/>
  <c r="CB186" s="1"/>
  <c r="S186"/>
  <c r="T186"/>
  <c r="U186"/>
  <c r="V186"/>
  <c r="W186"/>
  <c r="AB186"/>
  <c r="AM186"/>
  <c r="AN186"/>
  <c r="AW186"/>
  <c r="AY186"/>
  <c r="BC186"/>
  <c r="AU186" s="1"/>
  <c r="BG186"/>
  <c r="BP186"/>
  <c r="BR186"/>
  <c r="BW186"/>
  <c r="BX186"/>
  <c r="CK186"/>
  <c r="CM186"/>
  <c r="CQ186"/>
  <c r="CI186" s="1"/>
  <c r="DF186"/>
  <c r="DV186"/>
  <c r="EC186"/>
  <c r="EF186"/>
  <c r="EG186"/>
  <c r="EH186"/>
  <c r="FG186"/>
  <c r="D187"/>
  <c r="E187"/>
  <c r="O187"/>
  <c r="CB187" s="1"/>
  <c r="S187"/>
  <c r="T187"/>
  <c r="U187"/>
  <c r="V187"/>
  <c r="W187"/>
  <c r="AB187"/>
  <c r="AM187"/>
  <c r="AN187"/>
  <c r="AW187"/>
  <c r="AY187"/>
  <c r="BC187"/>
  <c r="AU187" s="1"/>
  <c r="BG187"/>
  <c r="BP187"/>
  <c r="BR187"/>
  <c r="BW187"/>
  <c r="BT187" s="1"/>
  <c r="AH187" s="1"/>
  <c r="BX187"/>
  <c r="CK187"/>
  <c r="CM187"/>
  <c r="CQ187"/>
  <c r="CI187" s="1"/>
  <c r="DF187"/>
  <c r="DV187"/>
  <c r="EC187"/>
  <c r="EF187"/>
  <c r="EG187"/>
  <c r="EH187"/>
  <c r="FG187"/>
  <c r="D188"/>
  <c r="E188"/>
  <c r="O188"/>
  <c r="CB188" s="1"/>
  <c r="S188"/>
  <c r="T188"/>
  <c r="U188"/>
  <c r="V188"/>
  <c r="W188"/>
  <c r="AB188"/>
  <c r="AM188"/>
  <c r="AN188"/>
  <c r="AW188"/>
  <c r="AY188"/>
  <c r="BC188"/>
  <c r="AU188" s="1"/>
  <c r="BG188"/>
  <c r="BP188"/>
  <c r="BR188"/>
  <c r="BW188"/>
  <c r="BX188"/>
  <c r="CK188"/>
  <c r="CM188"/>
  <c r="CQ188"/>
  <c r="CI188" s="1"/>
  <c r="CU188"/>
  <c r="DF188"/>
  <c r="DV188"/>
  <c r="EC188"/>
  <c r="EF188"/>
  <c r="EG188"/>
  <c r="EH188"/>
  <c r="FG188"/>
  <c r="D189"/>
  <c r="E189"/>
  <c r="O189"/>
  <c r="CB189" s="1"/>
  <c r="S189"/>
  <c r="T189"/>
  <c r="U189"/>
  <c r="V189"/>
  <c r="W189"/>
  <c r="AB189"/>
  <c r="AM189"/>
  <c r="AN189"/>
  <c r="AW189"/>
  <c r="AY189"/>
  <c r="BC189"/>
  <c r="AU189" s="1"/>
  <c r="BG189"/>
  <c r="BP189"/>
  <c r="BR189"/>
  <c r="BW189"/>
  <c r="BT189" s="1"/>
  <c r="AH189" s="1"/>
  <c r="BX189"/>
  <c r="CK189"/>
  <c r="CM189"/>
  <c r="CQ189"/>
  <c r="CI189" s="1"/>
  <c r="CU189"/>
  <c r="DF189"/>
  <c r="DV189"/>
  <c r="EC189"/>
  <c r="EF189"/>
  <c r="EG189"/>
  <c r="EH189"/>
  <c r="FG189"/>
  <c r="D190"/>
  <c r="E190"/>
  <c r="O190"/>
  <c r="CB190" s="1"/>
  <c r="S190"/>
  <c r="T190"/>
  <c r="U190"/>
  <c r="V190"/>
  <c r="W190"/>
  <c r="AB190"/>
  <c r="AM190"/>
  <c r="AN190"/>
  <c r="AW190"/>
  <c r="AY190"/>
  <c r="BC190"/>
  <c r="AU190" s="1"/>
  <c r="BG190"/>
  <c r="BP190"/>
  <c r="BR190"/>
  <c r="BW190"/>
  <c r="BT190" s="1"/>
  <c r="AF190" s="1"/>
  <c r="BX190"/>
  <c r="CK190"/>
  <c r="CM190"/>
  <c r="CQ190"/>
  <c r="CI190" s="1"/>
  <c r="DF190"/>
  <c r="DV190"/>
  <c r="EC190"/>
  <c r="EF190"/>
  <c r="EG190"/>
  <c r="EH190"/>
  <c r="FG190"/>
  <c r="D191"/>
  <c r="E191"/>
  <c r="O191"/>
  <c r="CB191" s="1"/>
  <c r="S191"/>
  <c r="T191"/>
  <c r="U191"/>
  <c r="V191"/>
  <c r="W191"/>
  <c r="AB191"/>
  <c r="AM191"/>
  <c r="AN191"/>
  <c r="AW191"/>
  <c r="AY191"/>
  <c r="BC191"/>
  <c r="AU191" s="1"/>
  <c r="BG191"/>
  <c r="BP191"/>
  <c r="BR191"/>
  <c r="BW191"/>
  <c r="BT191" s="1"/>
  <c r="AH191" s="1"/>
  <c r="BX191"/>
  <c r="CK191"/>
  <c r="CM191"/>
  <c r="CQ191"/>
  <c r="CI191" s="1"/>
  <c r="DF191"/>
  <c r="DV191"/>
  <c r="EC191"/>
  <c r="EF191"/>
  <c r="EG191"/>
  <c r="EH191"/>
  <c r="FG191"/>
  <c r="D192"/>
  <c r="E192"/>
  <c r="O192"/>
  <c r="S192"/>
  <c r="T192"/>
  <c r="U192"/>
  <c r="V192"/>
  <c r="W192"/>
  <c r="AB192"/>
  <c r="AM192"/>
  <c r="AN192"/>
  <c r="AW192"/>
  <c r="AY192"/>
  <c r="BC192"/>
  <c r="AU192" s="1"/>
  <c r="BG192"/>
  <c r="BP192"/>
  <c r="BR192"/>
  <c r="BW192"/>
  <c r="BX192"/>
  <c r="CB192"/>
  <c r="CK192"/>
  <c r="CM192"/>
  <c r="CQ192"/>
  <c r="CI192" s="1"/>
  <c r="CU192"/>
  <c r="DF192"/>
  <c r="DV192"/>
  <c r="EC192"/>
  <c r="EF192"/>
  <c r="EG192"/>
  <c r="EH192"/>
  <c r="FE192"/>
  <c r="FG192"/>
  <c r="D193"/>
  <c r="E193"/>
  <c r="O193"/>
  <c r="CB193" s="1"/>
  <c r="S193"/>
  <c r="T193"/>
  <c r="U193"/>
  <c r="V193"/>
  <c r="W193"/>
  <c r="AB193"/>
  <c r="AC193" s="1"/>
  <c r="AM193"/>
  <c r="AN193"/>
  <c r="AW193"/>
  <c r="AY193"/>
  <c r="BC193"/>
  <c r="AU193" s="1"/>
  <c r="BG193"/>
  <c r="BP193"/>
  <c r="BR193"/>
  <c r="BW193"/>
  <c r="BT193" s="1"/>
  <c r="AF193" s="1"/>
  <c r="BX193"/>
  <c r="CK193"/>
  <c r="CM193"/>
  <c r="CQ193"/>
  <c r="CI193" s="1"/>
  <c r="DF193"/>
  <c r="DV193"/>
  <c r="EC193"/>
  <c r="EF193"/>
  <c r="EG193"/>
  <c r="EH193"/>
  <c r="FG193"/>
  <c r="D194"/>
  <c r="E194"/>
  <c r="O194"/>
  <c r="CB194" s="1"/>
  <c r="S194"/>
  <c r="T194"/>
  <c r="U194"/>
  <c r="V194"/>
  <c r="W194"/>
  <c r="AB194"/>
  <c r="AM194"/>
  <c r="AN194"/>
  <c r="AW194"/>
  <c r="AY194"/>
  <c r="BC194"/>
  <c r="AU194" s="1"/>
  <c r="BG194"/>
  <c r="BP194"/>
  <c r="BR194"/>
  <c r="BW194"/>
  <c r="BT194" s="1"/>
  <c r="AI194" s="1"/>
  <c r="BX194"/>
  <c r="CK194"/>
  <c r="CM194"/>
  <c r="CQ194"/>
  <c r="CI194" s="1"/>
  <c r="DF194"/>
  <c r="DV194"/>
  <c r="EC194"/>
  <c r="EF194"/>
  <c r="EG194"/>
  <c r="EH194"/>
  <c r="FG194"/>
  <c r="D195"/>
  <c r="E195"/>
  <c r="O195"/>
  <c r="CB195" s="1"/>
  <c r="S195"/>
  <c r="T195"/>
  <c r="U195"/>
  <c r="V195"/>
  <c r="W195"/>
  <c r="AB195"/>
  <c r="AM195"/>
  <c r="AN195"/>
  <c r="AW195"/>
  <c r="AY195"/>
  <c r="BC195"/>
  <c r="AU195" s="1"/>
  <c r="BG195"/>
  <c r="BP195"/>
  <c r="BR195"/>
  <c r="BW195"/>
  <c r="BT195" s="1"/>
  <c r="BX195"/>
  <c r="CK195"/>
  <c r="CM195"/>
  <c r="CQ195"/>
  <c r="CI195" s="1"/>
  <c r="DF195"/>
  <c r="DV195"/>
  <c r="EC195"/>
  <c r="EF195"/>
  <c r="EG195"/>
  <c r="EH195"/>
  <c r="FG195"/>
  <c r="D196"/>
  <c r="E196"/>
  <c r="O196"/>
  <c r="CB196" s="1"/>
  <c r="S196"/>
  <c r="T196"/>
  <c r="U196"/>
  <c r="V196"/>
  <c r="W196"/>
  <c r="AB196"/>
  <c r="AC196" s="1"/>
  <c r="AM196"/>
  <c r="AN196"/>
  <c r="AW196"/>
  <c r="AY196"/>
  <c r="BC196"/>
  <c r="AU196" s="1"/>
  <c r="BG196"/>
  <c r="BP196"/>
  <c r="BR196"/>
  <c r="BW196"/>
  <c r="BT196" s="1"/>
  <c r="AI196" s="1"/>
  <c r="BX196"/>
  <c r="CK196"/>
  <c r="CM196"/>
  <c r="CQ196"/>
  <c r="CI196" s="1"/>
  <c r="DF196"/>
  <c r="DV196"/>
  <c r="EC196"/>
  <c r="EF196"/>
  <c r="EG196"/>
  <c r="EH196"/>
  <c r="FG196"/>
  <c r="D197"/>
  <c r="E197"/>
  <c r="O197"/>
  <c r="CB197" s="1"/>
  <c r="S197"/>
  <c r="T197"/>
  <c r="U197"/>
  <c r="V197"/>
  <c r="W197"/>
  <c r="AB197"/>
  <c r="AM197"/>
  <c r="AN197"/>
  <c r="AW197"/>
  <c r="AY197"/>
  <c r="BC197"/>
  <c r="AU197" s="1"/>
  <c r="BG197"/>
  <c r="BP197"/>
  <c r="BR197"/>
  <c r="BW197"/>
  <c r="BX197"/>
  <c r="CK197"/>
  <c r="CM197"/>
  <c r="CQ197"/>
  <c r="CI197" s="1"/>
  <c r="DF197"/>
  <c r="DV197"/>
  <c r="EC197"/>
  <c r="EF197"/>
  <c r="EG197"/>
  <c r="EH197"/>
  <c r="FG197"/>
  <c r="D198"/>
  <c r="E198"/>
  <c r="O198"/>
  <c r="CB198" s="1"/>
  <c r="S198"/>
  <c r="T198"/>
  <c r="U198"/>
  <c r="V198"/>
  <c r="W198"/>
  <c r="AB198"/>
  <c r="AM198"/>
  <c r="AN198"/>
  <c r="AW198"/>
  <c r="AY198"/>
  <c r="BC198"/>
  <c r="AU198" s="1"/>
  <c r="BG198"/>
  <c r="BP198"/>
  <c r="BR198"/>
  <c r="BW198"/>
  <c r="BT198" s="1"/>
  <c r="AF198" s="1"/>
  <c r="BX198"/>
  <c r="CK198"/>
  <c r="CM198"/>
  <c r="CQ198"/>
  <c r="CI198" s="1"/>
  <c r="DF198"/>
  <c r="DV198"/>
  <c r="EC198"/>
  <c r="EF198"/>
  <c r="EG198"/>
  <c r="EH198"/>
  <c r="FG198"/>
  <c r="D199"/>
  <c r="E199"/>
  <c r="O199"/>
  <c r="CB199" s="1"/>
  <c r="S199"/>
  <c r="T199"/>
  <c r="U199"/>
  <c r="V199"/>
  <c r="W199"/>
  <c r="AB199"/>
  <c r="AM199"/>
  <c r="AN199"/>
  <c r="AW199"/>
  <c r="AY199"/>
  <c r="BC199"/>
  <c r="AU199" s="1"/>
  <c r="BG199"/>
  <c r="BP199"/>
  <c r="BR199"/>
  <c r="BW199"/>
  <c r="BT199" s="1"/>
  <c r="AI199" s="1"/>
  <c r="BX199"/>
  <c r="CK199"/>
  <c r="CM199"/>
  <c r="CQ199"/>
  <c r="CI199" s="1"/>
  <c r="DF199"/>
  <c r="DV199"/>
  <c r="EC199"/>
  <c r="EF199"/>
  <c r="EG199"/>
  <c r="EH199"/>
  <c r="FG199"/>
  <c r="D200"/>
  <c r="E200"/>
  <c r="O200"/>
  <c r="CB200" s="1"/>
  <c r="S200"/>
  <c r="T200"/>
  <c r="U200"/>
  <c r="V200"/>
  <c r="W200"/>
  <c r="AB200"/>
  <c r="AM200"/>
  <c r="AN200"/>
  <c r="AW200"/>
  <c r="AY200"/>
  <c r="BC200"/>
  <c r="AU200" s="1"/>
  <c r="BG200"/>
  <c r="BP200"/>
  <c r="BR200"/>
  <c r="BW200"/>
  <c r="BT200" s="1"/>
  <c r="AF200" s="1"/>
  <c r="BX200"/>
  <c r="CK200"/>
  <c r="CM200"/>
  <c r="CQ200"/>
  <c r="CI200" s="1"/>
  <c r="DF200"/>
  <c r="DV200"/>
  <c r="EC200"/>
  <c r="EF200"/>
  <c r="EG200"/>
  <c r="EH200"/>
  <c r="FG200"/>
  <c r="D201"/>
  <c r="E201"/>
  <c r="O201"/>
  <c r="CB201" s="1"/>
  <c r="S201"/>
  <c r="T201"/>
  <c r="U201"/>
  <c r="V201"/>
  <c r="W201"/>
  <c r="AB201"/>
  <c r="AM201"/>
  <c r="AN201"/>
  <c r="AW201"/>
  <c r="AY201"/>
  <c r="BC201"/>
  <c r="AU201" s="1"/>
  <c r="BG201"/>
  <c r="BP201"/>
  <c r="BR201"/>
  <c r="BW201"/>
  <c r="BT201" s="1"/>
  <c r="AI201" s="1"/>
  <c r="BX201"/>
  <c r="CK201"/>
  <c r="CM201"/>
  <c r="CQ201"/>
  <c r="CI201" s="1"/>
  <c r="DF201"/>
  <c r="DV201"/>
  <c r="EC201"/>
  <c r="EF201"/>
  <c r="EG201"/>
  <c r="EH201"/>
  <c r="FG201"/>
  <c r="D202"/>
  <c r="E202"/>
  <c r="O202"/>
  <c r="CB202" s="1"/>
  <c r="S202"/>
  <c r="T202"/>
  <c r="U202"/>
  <c r="V202"/>
  <c r="W202"/>
  <c r="AB202"/>
  <c r="AM202"/>
  <c r="AN202"/>
  <c r="AW202"/>
  <c r="AY202"/>
  <c r="BC202"/>
  <c r="AU202" s="1"/>
  <c r="BG202"/>
  <c r="BP202"/>
  <c r="BR202"/>
  <c r="BW202"/>
  <c r="BT202" s="1"/>
  <c r="AF202" s="1"/>
  <c r="BX202"/>
  <c r="CK202"/>
  <c r="CM202"/>
  <c r="CQ202"/>
  <c r="CI202" s="1"/>
  <c r="DF202"/>
  <c r="DV202"/>
  <c r="EC202"/>
  <c r="EF202"/>
  <c r="EG202"/>
  <c r="EH202"/>
  <c r="FG202"/>
  <c r="D203"/>
  <c r="E203"/>
  <c r="O203"/>
  <c r="CB203" s="1"/>
  <c r="S203"/>
  <c r="T203"/>
  <c r="U203"/>
  <c r="V203"/>
  <c r="W203"/>
  <c r="AB203"/>
  <c r="AM203"/>
  <c r="AN203"/>
  <c r="AW203"/>
  <c r="AY203"/>
  <c r="BC203"/>
  <c r="AU203" s="1"/>
  <c r="BG203"/>
  <c r="BP203"/>
  <c r="BR203"/>
  <c r="BW203"/>
  <c r="BT203" s="1"/>
  <c r="AI203" s="1"/>
  <c r="BX203"/>
  <c r="CK203"/>
  <c r="CM203"/>
  <c r="CQ203"/>
  <c r="CI203" s="1"/>
  <c r="DF203"/>
  <c r="DV203"/>
  <c r="EC203"/>
  <c r="EF203"/>
  <c r="EG203"/>
  <c r="EH203"/>
  <c r="FG203"/>
  <c r="D204"/>
  <c r="E204"/>
  <c r="O204"/>
  <c r="CB204" s="1"/>
  <c r="S204"/>
  <c r="T204"/>
  <c r="U204"/>
  <c r="V204"/>
  <c r="W204"/>
  <c r="AB204"/>
  <c r="AM204"/>
  <c r="AN204"/>
  <c r="AW204"/>
  <c r="AY204"/>
  <c r="BC204"/>
  <c r="AU204" s="1"/>
  <c r="BG204"/>
  <c r="BP204"/>
  <c r="BR204"/>
  <c r="BW204"/>
  <c r="BT204" s="1"/>
  <c r="AF204" s="1"/>
  <c r="BX204"/>
  <c r="CK204"/>
  <c r="CM204"/>
  <c r="CQ204"/>
  <c r="CI204" s="1"/>
  <c r="DF204"/>
  <c r="DV204"/>
  <c r="EC204"/>
  <c r="EF204"/>
  <c r="EG204"/>
  <c r="EH204"/>
  <c r="FG204"/>
  <c r="D205"/>
  <c r="E205"/>
  <c r="O205"/>
  <c r="CB205" s="1"/>
  <c r="S205"/>
  <c r="T205"/>
  <c r="U205"/>
  <c r="V205"/>
  <c r="W205"/>
  <c r="AB205"/>
  <c r="AM205"/>
  <c r="AN205"/>
  <c r="AW205"/>
  <c r="AY205"/>
  <c r="BC205"/>
  <c r="AU205" s="1"/>
  <c r="BG205"/>
  <c r="BP205"/>
  <c r="BR205"/>
  <c r="BW205"/>
  <c r="BT205" s="1"/>
  <c r="BX205"/>
  <c r="CK205"/>
  <c r="CM205"/>
  <c r="CQ205"/>
  <c r="CI205" s="1"/>
  <c r="DF205"/>
  <c r="DV205"/>
  <c r="EC205"/>
  <c r="EF205"/>
  <c r="EG205"/>
  <c r="EH205"/>
  <c r="FG205"/>
  <c r="D206"/>
  <c r="E206"/>
  <c r="O206"/>
  <c r="CB206" s="1"/>
  <c r="S206"/>
  <c r="T206"/>
  <c r="U206"/>
  <c r="V206"/>
  <c r="W206"/>
  <c r="AB206"/>
  <c r="AM206"/>
  <c r="AN206"/>
  <c r="AW206"/>
  <c r="AY206"/>
  <c r="BC206"/>
  <c r="AU206" s="1"/>
  <c r="BG206"/>
  <c r="BP206"/>
  <c r="BR206"/>
  <c r="BW206"/>
  <c r="BT206" s="1"/>
  <c r="AI206" s="1"/>
  <c r="BX206"/>
  <c r="CK206"/>
  <c r="CM206"/>
  <c r="CQ206"/>
  <c r="CI206" s="1"/>
  <c r="DF206"/>
  <c r="DV206"/>
  <c r="EC206"/>
  <c r="EF206"/>
  <c r="EG206"/>
  <c r="EH206"/>
  <c r="FG206"/>
  <c r="D207"/>
  <c r="E207"/>
  <c r="O207"/>
  <c r="CB207" s="1"/>
  <c r="S207"/>
  <c r="T207"/>
  <c r="U207"/>
  <c r="V207"/>
  <c r="W207"/>
  <c r="AB207"/>
  <c r="AM207"/>
  <c r="AN207"/>
  <c r="AW207"/>
  <c r="AY207"/>
  <c r="BC207"/>
  <c r="AU207" s="1"/>
  <c r="BG207"/>
  <c r="BP207"/>
  <c r="BR207"/>
  <c r="BW207"/>
  <c r="BT207" s="1"/>
  <c r="AI207" s="1"/>
  <c r="BX207"/>
  <c r="CK207"/>
  <c r="CM207"/>
  <c r="CQ207"/>
  <c r="CI207" s="1"/>
  <c r="DF207"/>
  <c r="DV207"/>
  <c r="EC207"/>
  <c r="EF207"/>
  <c r="EG207"/>
  <c r="EH207"/>
  <c r="FG207"/>
  <c r="D208"/>
  <c r="E208"/>
  <c r="O208"/>
  <c r="CB208" s="1"/>
  <c r="S208"/>
  <c r="T208"/>
  <c r="U208"/>
  <c r="V208"/>
  <c r="W208"/>
  <c r="AB208"/>
  <c r="AM208"/>
  <c r="AN208"/>
  <c r="AW208"/>
  <c r="AY208"/>
  <c r="BC208"/>
  <c r="AU208" s="1"/>
  <c r="BG208"/>
  <c r="BP208"/>
  <c r="BR208"/>
  <c r="BW208"/>
  <c r="BX208"/>
  <c r="CK208"/>
  <c r="CM208"/>
  <c r="CQ208"/>
  <c r="CI208" s="1"/>
  <c r="DF208"/>
  <c r="DV208"/>
  <c r="EC208"/>
  <c r="EF208"/>
  <c r="EG208"/>
  <c r="EH208"/>
  <c r="FG208"/>
  <c r="D209"/>
  <c r="E209"/>
  <c r="O209"/>
  <c r="CB209" s="1"/>
  <c r="S209"/>
  <c r="T209"/>
  <c r="U209"/>
  <c r="V209"/>
  <c r="W209"/>
  <c r="AB209"/>
  <c r="AM209"/>
  <c r="AN209"/>
  <c r="AW209"/>
  <c r="AY209"/>
  <c r="BC209"/>
  <c r="AU209" s="1"/>
  <c r="BG209"/>
  <c r="BP209"/>
  <c r="BR209"/>
  <c r="BW209"/>
  <c r="BX209"/>
  <c r="CK209"/>
  <c r="CM209"/>
  <c r="CQ209"/>
  <c r="CI209" s="1"/>
  <c r="DF209"/>
  <c r="DV209"/>
  <c r="EC209"/>
  <c r="EF209"/>
  <c r="EG209"/>
  <c r="EH209"/>
  <c r="FG209"/>
  <c r="D210"/>
  <c r="E210"/>
  <c r="O210"/>
  <c r="CB210" s="1"/>
  <c r="S210"/>
  <c r="T210"/>
  <c r="U210"/>
  <c r="V210"/>
  <c r="W210"/>
  <c r="AB210"/>
  <c r="AM210"/>
  <c r="AN210"/>
  <c r="AW210"/>
  <c r="AY210"/>
  <c r="BC210"/>
  <c r="AU210" s="1"/>
  <c r="BG210"/>
  <c r="BP210"/>
  <c r="BR210"/>
  <c r="BW210"/>
  <c r="BX210"/>
  <c r="CK210"/>
  <c r="CM210"/>
  <c r="CQ210"/>
  <c r="CI210" s="1"/>
  <c r="DF210"/>
  <c r="DV210"/>
  <c r="EC210"/>
  <c r="EF210"/>
  <c r="EG210"/>
  <c r="EH210"/>
  <c r="FG210"/>
  <c r="D211"/>
  <c r="E211"/>
  <c r="O211"/>
  <c r="BG211" s="1"/>
  <c r="S211"/>
  <c r="T211"/>
  <c r="U211"/>
  <c r="V211"/>
  <c r="W211"/>
  <c r="AB211"/>
  <c r="AM211"/>
  <c r="AN211"/>
  <c r="AW211"/>
  <c r="AY211"/>
  <c r="BC211"/>
  <c r="AU211" s="1"/>
  <c r="BP211"/>
  <c r="BR211"/>
  <c r="BW211"/>
  <c r="BT211" s="1"/>
  <c r="AH211" s="1"/>
  <c r="BX211"/>
  <c r="CB211"/>
  <c r="CK211"/>
  <c r="CM211"/>
  <c r="CQ211"/>
  <c r="CI211" s="1"/>
  <c r="CU211"/>
  <c r="DF211"/>
  <c r="DV211"/>
  <c r="EC211"/>
  <c r="EF211"/>
  <c r="EG211"/>
  <c r="EH211"/>
  <c r="FG211"/>
  <c r="D212"/>
  <c r="E212"/>
  <c r="O212"/>
  <c r="CB212" s="1"/>
  <c r="S212"/>
  <c r="T212"/>
  <c r="U212"/>
  <c r="V212"/>
  <c r="W212"/>
  <c r="AB212"/>
  <c r="AM212"/>
  <c r="AN212"/>
  <c r="AW212"/>
  <c r="AY212"/>
  <c r="BC212"/>
  <c r="AU212" s="1"/>
  <c r="BG212"/>
  <c r="BP212"/>
  <c r="BR212"/>
  <c r="BW212"/>
  <c r="BT212" s="1"/>
  <c r="BX212"/>
  <c r="CK212"/>
  <c r="CM212"/>
  <c r="CQ212"/>
  <c r="CI212" s="1"/>
  <c r="DF212"/>
  <c r="DV212"/>
  <c r="EC212"/>
  <c r="EF212"/>
  <c r="EG212"/>
  <c r="EH212"/>
  <c r="FG212"/>
  <c r="D213"/>
  <c r="E213"/>
  <c r="O213"/>
  <c r="BG213" s="1"/>
  <c r="S213"/>
  <c r="T213"/>
  <c r="U213"/>
  <c r="V213"/>
  <c r="W213"/>
  <c r="AB213"/>
  <c r="AM213"/>
  <c r="AW213"/>
  <c r="AY213"/>
  <c r="BC213"/>
  <c r="AU213" s="1"/>
  <c r="BP213"/>
  <c r="BR213"/>
  <c r="BW213"/>
  <c r="BX213"/>
  <c r="CK213"/>
  <c r="CM213"/>
  <c r="CQ213"/>
  <c r="CI213" s="1"/>
  <c r="DF213"/>
  <c r="DV213"/>
  <c r="EC213"/>
  <c r="EF213"/>
  <c r="EG213"/>
  <c r="EH213"/>
  <c r="FG213"/>
  <c r="D214"/>
  <c r="E214"/>
  <c r="O214"/>
  <c r="CB214" s="1"/>
  <c r="S214"/>
  <c r="T214"/>
  <c r="U214"/>
  <c r="V214"/>
  <c r="W214"/>
  <c r="AB214"/>
  <c r="AM214"/>
  <c r="AN214"/>
  <c r="AW214"/>
  <c r="AY214"/>
  <c r="BC214"/>
  <c r="AU214" s="1"/>
  <c r="BG214"/>
  <c r="BP214"/>
  <c r="BR214"/>
  <c r="BW214"/>
  <c r="BT214" s="1"/>
  <c r="BX214"/>
  <c r="CK214"/>
  <c r="CM214"/>
  <c r="CQ214"/>
  <c r="CI214" s="1"/>
  <c r="DF214"/>
  <c r="DV214"/>
  <c r="EC214"/>
  <c r="EF214"/>
  <c r="EG214"/>
  <c r="EH214"/>
  <c r="FG214"/>
  <c r="D215"/>
  <c r="E215"/>
  <c r="O215"/>
  <c r="BG215" s="1"/>
  <c r="S215"/>
  <c r="T215"/>
  <c r="U215"/>
  <c r="V215"/>
  <c r="W215"/>
  <c r="AB215"/>
  <c r="AM215"/>
  <c r="AN215"/>
  <c r="AW215"/>
  <c r="AY215"/>
  <c r="BC215"/>
  <c r="AU215" s="1"/>
  <c r="BP215"/>
  <c r="BR215"/>
  <c r="BW215"/>
  <c r="BX215"/>
  <c r="CB215"/>
  <c r="CK215"/>
  <c r="CM215"/>
  <c r="CQ215"/>
  <c r="CI215" s="1"/>
  <c r="CU215"/>
  <c r="DF215"/>
  <c r="DV215"/>
  <c r="EC215"/>
  <c r="EF215"/>
  <c r="EG215"/>
  <c r="EH215"/>
  <c r="FG215"/>
  <c r="D216"/>
  <c r="E216"/>
  <c r="O216"/>
  <c r="CB216" s="1"/>
  <c r="S216"/>
  <c r="T216"/>
  <c r="U216"/>
  <c r="V216"/>
  <c r="W216"/>
  <c r="AB216"/>
  <c r="AM216"/>
  <c r="AN216"/>
  <c r="AW216"/>
  <c r="AY216"/>
  <c r="BC216"/>
  <c r="AU216" s="1"/>
  <c r="BG216"/>
  <c r="BP216"/>
  <c r="BR216"/>
  <c r="BW216"/>
  <c r="BT216" s="1"/>
  <c r="BX216"/>
  <c r="CK216"/>
  <c r="CM216"/>
  <c r="CQ216"/>
  <c r="CI216" s="1"/>
  <c r="DF216"/>
  <c r="DV216"/>
  <c r="EC216"/>
  <c r="EF216"/>
  <c r="EG216"/>
  <c r="EH216"/>
  <c r="FG216"/>
  <c r="D217"/>
  <c r="E217"/>
  <c r="O217"/>
  <c r="CB217" s="1"/>
  <c r="S217"/>
  <c r="T217"/>
  <c r="U217"/>
  <c r="V217"/>
  <c r="W217"/>
  <c r="AB217"/>
  <c r="AM217"/>
  <c r="AN217"/>
  <c r="AW217"/>
  <c r="AY217"/>
  <c r="BC217"/>
  <c r="AU217" s="1"/>
  <c r="BG217"/>
  <c r="BP217"/>
  <c r="BR217"/>
  <c r="BW217"/>
  <c r="BT217" s="1"/>
  <c r="AH217" s="1"/>
  <c r="BX217"/>
  <c r="CK217"/>
  <c r="CM217"/>
  <c r="CQ217"/>
  <c r="CI217" s="1"/>
  <c r="DF217"/>
  <c r="DV217"/>
  <c r="EC217"/>
  <c r="EF217"/>
  <c r="EG217"/>
  <c r="EH217"/>
  <c r="FG217"/>
  <c r="D218"/>
  <c r="E218"/>
  <c r="O218"/>
  <c r="CB218" s="1"/>
  <c r="S218"/>
  <c r="T218"/>
  <c r="U218"/>
  <c r="V218"/>
  <c r="W218"/>
  <c r="AB218"/>
  <c r="AM218"/>
  <c r="AN218"/>
  <c r="AW218"/>
  <c r="AY218"/>
  <c r="BC218"/>
  <c r="AU218" s="1"/>
  <c r="BG218"/>
  <c r="BP218"/>
  <c r="BR218"/>
  <c r="BW218"/>
  <c r="BX218"/>
  <c r="CK218"/>
  <c r="CM218"/>
  <c r="CQ218"/>
  <c r="CI218" s="1"/>
  <c r="DF218"/>
  <c r="DV218"/>
  <c r="EC218"/>
  <c r="EF218"/>
  <c r="EG218"/>
  <c r="EH218"/>
  <c r="FG218"/>
  <c r="D219"/>
  <c r="E219"/>
  <c r="O219"/>
  <c r="CB219" s="1"/>
  <c r="S219"/>
  <c r="T219"/>
  <c r="U219"/>
  <c r="V219"/>
  <c r="W219"/>
  <c r="AB219"/>
  <c r="AM219"/>
  <c r="AN219"/>
  <c r="AW219"/>
  <c r="AY219"/>
  <c r="BC219"/>
  <c r="AU219" s="1"/>
  <c r="BG219"/>
  <c r="BP219"/>
  <c r="BR219"/>
  <c r="BW219"/>
  <c r="BT219" s="1"/>
  <c r="AF219" s="1"/>
  <c r="BX219"/>
  <c r="CK219"/>
  <c r="CM219"/>
  <c r="CQ219"/>
  <c r="CI219" s="1"/>
  <c r="DF219"/>
  <c r="DV219"/>
  <c r="EC219"/>
  <c r="EF219"/>
  <c r="EG219"/>
  <c r="EH219"/>
  <c r="FG219"/>
  <c r="D220"/>
  <c r="E220"/>
  <c r="O220"/>
  <c r="FE220" s="1"/>
  <c r="S220"/>
  <c r="T220"/>
  <c r="U220"/>
  <c r="V220"/>
  <c r="W220"/>
  <c r="AB220"/>
  <c r="AM220"/>
  <c r="AN220"/>
  <c r="AW220"/>
  <c r="AY220"/>
  <c r="BC220"/>
  <c r="AU220" s="1"/>
  <c r="BG220"/>
  <c r="BP220"/>
  <c r="BR220"/>
  <c r="BW220"/>
  <c r="BT220" s="1"/>
  <c r="AF220" s="1"/>
  <c r="BX220"/>
  <c r="CK220"/>
  <c r="CM220"/>
  <c r="CQ220"/>
  <c r="CI220" s="1"/>
  <c r="DF220"/>
  <c r="DV220"/>
  <c r="EC220"/>
  <c r="EF220"/>
  <c r="EG220"/>
  <c r="EH220"/>
  <c r="FG220"/>
  <c r="D221"/>
  <c r="E221"/>
  <c r="O221"/>
  <c r="CB221" s="1"/>
  <c r="S221"/>
  <c r="T221"/>
  <c r="U221"/>
  <c r="P221" s="1"/>
  <c r="V221"/>
  <c r="W221"/>
  <c r="AB221"/>
  <c r="AM221"/>
  <c r="AN221"/>
  <c r="AW221"/>
  <c r="AY221"/>
  <c r="BC221"/>
  <c r="AU221" s="1"/>
  <c r="BG221"/>
  <c r="BP221"/>
  <c r="BR221"/>
  <c r="BW221"/>
  <c r="BX221"/>
  <c r="CK221"/>
  <c r="CM221"/>
  <c r="CQ221"/>
  <c r="CI221" s="1"/>
  <c r="DF221"/>
  <c r="DV221"/>
  <c r="EC221"/>
  <c r="EF221"/>
  <c r="EG221"/>
  <c r="EH221"/>
  <c r="FG221"/>
  <c r="D222"/>
  <c r="E222"/>
  <c r="O222"/>
  <c r="S222"/>
  <c r="T222"/>
  <c r="U222"/>
  <c r="V222"/>
  <c r="W222"/>
  <c r="AB222"/>
  <c r="AM222"/>
  <c r="AN222"/>
  <c r="AW222"/>
  <c r="AY222"/>
  <c r="BC222"/>
  <c r="AU222" s="1"/>
  <c r="BG222"/>
  <c r="BP222"/>
  <c r="BR222"/>
  <c r="BW222"/>
  <c r="BT222" s="1"/>
  <c r="AI222" s="1"/>
  <c r="BX222"/>
  <c r="CK222"/>
  <c r="CM222"/>
  <c r="CQ222"/>
  <c r="CI222" s="1"/>
  <c r="DF222"/>
  <c r="DV222"/>
  <c r="EC222"/>
  <c r="EF222"/>
  <c r="EG222"/>
  <c r="EH222"/>
  <c r="FG222"/>
  <c r="D223"/>
  <c r="E223"/>
  <c r="O223"/>
  <c r="BG223" s="1"/>
  <c r="S223"/>
  <c r="T223"/>
  <c r="U223"/>
  <c r="V223"/>
  <c r="W223"/>
  <c r="AB223"/>
  <c r="AM223"/>
  <c r="AN223"/>
  <c r="AW223"/>
  <c r="AY223"/>
  <c r="BC223"/>
  <c r="AU223" s="1"/>
  <c r="BP223"/>
  <c r="BR223"/>
  <c r="BW223"/>
  <c r="BX223"/>
  <c r="CB223"/>
  <c r="CK223"/>
  <c r="CM223"/>
  <c r="CQ223"/>
  <c r="CI223" s="1"/>
  <c r="CU223"/>
  <c r="DF223"/>
  <c r="DV223"/>
  <c r="EC223"/>
  <c r="EF223"/>
  <c r="EG223"/>
  <c r="EH223"/>
  <c r="FG223"/>
  <c r="D224"/>
  <c r="E224"/>
  <c r="O224"/>
  <c r="CB224" s="1"/>
  <c r="S224"/>
  <c r="T224"/>
  <c r="U224"/>
  <c r="V224"/>
  <c r="W224"/>
  <c r="AB224"/>
  <c r="AM224"/>
  <c r="AN224"/>
  <c r="AW224"/>
  <c r="AY224"/>
  <c r="BC224"/>
  <c r="AU224" s="1"/>
  <c r="BG224"/>
  <c r="BP224"/>
  <c r="BR224"/>
  <c r="BW224"/>
  <c r="BT224" s="1"/>
  <c r="BX224"/>
  <c r="CK224"/>
  <c r="CM224"/>
  <c r="CQ224"/>
  <c r="CI224" s="1"/>
  <c r="DF224"/>
  <c r="DV224"/>
  <c r="EC224"/>
  <c r="EF224"/>
  <c r="EG224"/>
  <c r="EH224"/>
  <c r="FG224"/>
  <c r="D225"/>
  <c r="E225"/>
  <c r="O225"/>
  <c r="BG225" s="1"/>
  <c r="S225"/>
  <c r="T225"/>
  <c r="U225"/>
  <c r="V225"/>
  <c r="W225"/>
  <c r="AB225"/>
  <c r="AM225"/>
  <c r="AN225"/>
  <c r="AW225"/>
  <c r="AY225"/>
  <c r="BC225"/>
  <c r="AU225" s="1"/>
  <c r="BP225"/>
  <c r="BR225"/>
  <c r="BW225"/>
  <c r="BX225"/>
  <c r="CB225"/>
  <c r="CK225"/>
  <c r="CM225"/>
  <c r="CQ225"/>
  <c r="CI225" s="1"/>
  <c r="CU225"/>
  <c r="DF225"/>
  <c r="DV225"/>
  <c r="EC225"/>
  <c r="EF225"/>
  <c r="EG225"/>
  <c r="EH225"/>
  <c r="FG225"/>
  <c r="D226"/>
  <c r="E226"/>
  <c r="O226"/>
  <c r="CB226" s="1"/>
  <c r="S226"/>
  <c r="T226"/>
  <c r="U226"/>
  <c r="V226"/>
  <c r="W226"/>
  <c r="AB226"/>
  <c r="AM226"/>
  <c r="AN226"/>
  <c r="AW226"/>
  <c r="AY226"/>
  <c r="BC226"/>
  <c r="AU226" s="1"/>
  <c r="BG226"/>
  <c r="BP226"/>
  <c r="BR226"/>
  <c r="BW226"/>
  <c r="BT226" s="1"/>
  <c r="BX226"/>
  <c r="CK226"/>
  <c r="CM226"/>
  <c r="CQ226"/>
  <c r="CI226" s="1"/>
  <c r="DF226"/>
  <c r="DV226"/>
  <c r="EC226"/>
  <c r="EF226"/>
  <c r="EG226"/>
  <c r="EH226"/>
  <c r="FG226"/>
  <c r="D227"/>
  <c r="E227"/>
  <c r="O227"/>
  <c r="BG227" s="1"/>
  <c r="S227"/>
  <c r="T227"/>
  <c r="U227"/>
  <c r="V227"/>
  <c r="W227"/>
  <c r="AB227"/>
  <c r="AM227"/>
  <c r="AN227"/>
  <c r="AW227"/>
  <c r="AY227"/>
  <c r="BC227"/>
  <c r="AU227" s="1"/>
  <c r="BP227"/>
  <c r="BR227"/>
  <c r="BW227"/>
  <c r="BX227"/>
  <c r="CB227"/>
  <c r="CK227"/>
  <c r="CM227"/>
  <c r="CQ227"/>
  <c r="CI227" s="1"/>
  <c r="CU227"/>
  <c r="DF227"/>
  <c r="DV227"/>
  <c r="EC227"/>
  <c r="EF227"/>
  <c r="EG227"/>
  <c r="EH227"/>
  <c r="FG227"/>
  <c r="D228"/>
  <c r="E228"/>
  <c r="O228"/>
  <c r="CB228" s="1"/>
  <c r="S228"/>
  <c r="T228"/>
  <c r="U228"/>
  <c r="V228"/>
  <c r="W228"/>
  <c r="AB228"/>
  <c r="AM228"/>
  <c r="AN228"/>
  <c r="AW228"/>
  <c r="AY228"/>
  <c r="BC228"/>
  <c r="AU228" s="1"/>
  <c r="BG228"/>
  <c r="BP228"/>
  <c r="BR228"/>
  <c r="BW228"/>
  <c r="BX228"/>
  <c r="CK228"/>
  <c r="CM228"/>
  <c r="CQ228"/>
  <c r="CI228" s="1"/>
  <c r="DF228"/>
  <c r="DV228"/>
  <c r="EC228"/>
  <c r="EF228"/>
  <c r="EG228"/>
  <c r="EH228"/>
  <c r="FG228"/>
  <c r="D229"/>
  <c r="E229"/>
  <c r="O229"/>
  <c r="CB229" s="1"/>
  <c r="S229"/>
  <c r="T229"/>
  <c r="U229"/>
  <c r="V229"/>
  <c r="W229"/>
  <c r="AB229"/>
  <c r="AM229"/>
  <c r="AN229"/>
  <c r="AW229"/>
  <c r="AY229"/>
  <c r="BC229"/>
  <c r="AU229" s="1"/>
  <c r="BG229"/>
  <c r="BP229"/>
  <c r="BR229"/>
  <c r="BW229"/>
  <c r="BT229" s="1"/>
  <c r="AH229" s="1"/>
  <c r="BX229"/>
  <c r="CK229"/>
  <c r="CM229"/>
  <c r="CQ229"/>
  <c r="CI229" s="1"/>
  <c r="CU229"/>
  <c r="DF229"/>
  <c r="DV229"/>
  <c r="EC229"/>
  <c r="EF229"/>
  <c r="EG229"/>
  <c r="EH229"/>
  <c r="FG229"/>
  <c r="D230"/>
  <c r="E230"/>
  <c r="O230"/>
  <c r="CB230" s="1"/>
  <c r="S230"/>
  <c r="T230"/>
  <c r="U230"/>
  <c r="V230"/>
  <c r="W230"/>
  <c r="AB230"/>
  <c r="AM230"/>
  <c r="AN230"/>
  <c r="AW230"/>
  <c r="AY230"/>
  <c r="BC230"/>
  <c r="AU230" s="1"/>
  <c r="BG230"/>
  <c r="BP230"/>
  <c r="BR230"/>
  <c r="BW230"/>
  <c r="BT230" s="1"/>
  <c r="BX230"/>
  <c r="CK230"/>
  <c r="CM230"/>
  <c r="CQ230"/>
  <c r="CI230" s="1"/>
  <c r="DF230"/>
  <c r="DV230"/>
  <c r="EC230"/>
  <c r="EF230"/>
  <c r="EG230"/>
  <c r="EH230"/>
  <c r="FG230"/>
  <c r="D231"/>
  <c r="E231"/>
  <c r="O231"/>
  <c r="CB231" s="1"/>
  <c r="S231"/>
  <c r="T231"/>
  <c r="U231"/>
  <c r="V231"/>
  <c r="W231"/>
  <c r="AB231"/>
  <c r="AM231"/>
  <c r="AN231"/>
  <c r="AW231"/>
  <c r="AY231"/>
  <c r="BC231"/>
  <c r="AU231" s="1"/>
  <c r="BG231"/>
  <c r="BP231"/>
  <c r="BR231"/>
  <c r="BW231"/>
  <c r="BT231" s="1"/>
  <c r="AH231" s="1"/>
  <c r="BX231"/>
  <c r="CK231"/>
  <c r="CM231"/>
  <c r="CQ231"/>
  <c r="CI231" s="1"/>
  <c r="DF231"/>
  <c r="DV231"/>
  <c r="EC231"/>
  <c r="EF231"/>
  <c r="EG231"/>
  <c r="EH231"/>
  <c r="FG231"/>
  <c r="D232"/>
  <c r="E232"/>
  <c r="O232"/>
  <c r="CB232" s="1"/>
  <c r="S232"/>
  <c r="T232"/>
  <c r="U232"/>
  <c r="V232"/>
  <c r="W232"/>
  <c r="AB232"/>
  <c r="AM232"/>
  <c r="AN232"/>
  <c r="AW232"/>
  <c r="AY232"/>
  <c r="BC232"/>
  <c r="AU232" s="1"/>
  <c r="BG232"/>
  <c r="BP232"/>
  <c r="BR232"/>
  <c r="BW232"/>
  <c r="BX232"/>
  <c r="CK232"/>
  <c r="CM232"/>
  <c r="CQ232"/>
  <c r="CI232" s="1"/>
  <c r="DF232"/>
  <c r="DV232"/>
  <c r="EC232"/>
  <c r="EF232"/>
  <c r="EG232"/>
  <c r="EH232"/>
  <c r="FG232"/>
  <c r="D233"/>
  <c r="E233"/>
  <c r="O233"/>
  <c r="CB233" s="1"/>
  <c r="S233"/>
  <c r="T233"/>
  <c r="U233"/>
  <c r="V233"/>
  <c r="W233"/>
  <c r="AB233"/>
  <c r="AM233"/>
  <c r="AN233"/>
  <c r="AW233"/>
  <c r="AY233"/>
  <c r="BC233"/>
  <c r="AU233" s="1"/>
  <c r="BG233"/>
  <c r="BP233"/>
  <c r="BR233"/>
  <c r="BW233"/>
  <c r="BT233" s="1"/>
  <c r="AH233" s="1"/>
  <c r="BX233"/>
  <c r="CK233"/>
  <c r="CM233"/>
  <c r="CQ233"/>
  <c r="CI233" s="1"/>
  <c r="DF233"/>
  <c r="DV233"/>
  <c r="EC233"/>
  <c r="EF233"/>
  <c r="EG233"/>
  <c r="EH233"/>
  <c r="FG233"/>
  <c r="D234"/>
  <c r="E234"/>
  <c r="O234"/>
  <c r="CB234" s="1"/>
  <c r="S234"/>
  <c r="T234"/>
  <c r="U234"/>
  <c r="V234"/>
  <c r="W234"/>
  <c r="AB234"/>
  <c r="AM234"/>
  <c r="AN234"/>
  <c r="AW234"/>
  <c r="AY234"/>
  <c r="BC234"/>
  <c r="AU234" s="1"/>
  <c r="BG234"/>
  <c r="BP234"/>
  <c r="BR234"/>
  <c r="BW234"/>
  <c r="BX234"/>
  <c r="CK234"/>
  <c r="CM234"/>
  <c r="CQ234"/>
  <c r="CI234" s="1"/>
  <c r="DF234"/>
  <c r="DV234"/>
  <c r="EC234"/>
  <c r="EF234"/>
  <c r="EG234"/>
  <c r="EH234"/>
  <c r="FG234"/>
  <c r="D235"/>
  <c r="E235"/>
  <c r="O235"/>
  <c r="CB235" s="1"/>
  <c r="S235"/>
  <c r="T235"/>
  <c r="U235"/>
  <c r="V235"/>
  <c r="W235"/>
  <c r="AB235"/>
  <c r="AM235"/>
  <c r="AN235"/>
  <c r="AW235"/>
  <c r="AY235"/>
  <c r="BC235"/>
  <c r="AU235" s="1"/>
  <c r="BG235"/>
  <c r="BP235"/>
  <c r="BR235"/>
  <c r="BW235"/>
  <c r="BT235" s="1"/>
  <c r="AH235" s="1"/>
  <c r="BX235"/>
  <c r="CK235"/>
  <c r="CM235"/>
  <c r="CQ235"/>
  <c r="CI235" s="1"/>
  <c r="DF235"/>
  <c r="DV235"/>
  <c r="EC235"/>
  <c r="EF235"/>
  <c r="EG235"/>
  <c r="EH235"/>
  <c r="FG235"/>
  <c r="D236"/>
  <c r="E236"/>
  <c r="O236"/>
  <c r="CB236" s="1"/>
  <c r="S236"/>
  <c r="T236"/>
  <c r="U236"/>
  <c r="V236"/>
  <c r="W236"/>
  <c r="AB236"/>
  <c r="AM236"/>
  <c r="AN236"/>
  <c r="AW236"/>
  <c r="AY236"/>
  <c r="BC236"/>
  <c r="AU236" s="1"/>
  <c r="BG236"/>
  <c r="BP236"/>
  <c r="BR236"/>
  <c r="BW236"/>
  <c r="BX236"/>
  <c r="CK236"/>
  <c r="CM236"/>
  <c r="CQ236"/>
  <c r="CI236" s="1"/>
  <c r="DF236"/>
  <c r="DV236"/>
  <c r="EC236"/>
  <c r="EF236"/>
  <c r="EG236"/>
  <c r="EH236"/>
  <c r="FG236"/>
  <c r="D237"/>
  <c r="E237"/>
  <c r="O237"/>
  <c r="CB237" s="1"/>
  <c r="S237"/>
  <c r="T237"/>
  <c r="U237"/>
  <c r="V237"/>
  <c r="W237"/>
  <c r="AB237"/>
  <c r="AM237"/>
  <c r="AN237"/>
  <c r="AW237"/>
  <c r="AY237"/>
  <c r="BC237"/>
  <c r="AU237" s="1"/>
  <c r="BG237"/>
  <c r="BP237"/>
  <c r="BR237"/>
  <c r="BW237"/>
  <c r="BT237" s="1"/>
  <c r="AH237" s="1"/>
  <c r="BX237"/>
  <c r="CK237"/>
  <c r="CM237"/>
  <c r="CQ237"/>
  <c r="CI237" s="1"/>
  <c r="DF237"/>
  <c r="DV237"/>
  <c r="EC237"/>
  <c r="EF237"/>
  <c r="EG237"/>
  <c r="EH237"/>
  <c r="FG237"/>
  <c r="D238"/>
  <c r="E238"/>
  <c r="O238"/>
  <c r="CB238" s="1"/>
  <c r="S238"/>
  <c r="T238"/>
  <c r="U238"/>
  <c r="V238"/>
  <c r="W238"/>
  <c r="AB238"/>
  <c r="AM238"/>
  <c r="AN238"/>
  <c r="AW238"/>
  <c r="AY238"/>
  <c r="BC238"/>
  <c r="AU238" s="1"/>
  <c r="BG238"/>
  <c r="BP238"/>
  <c r="BR238"/>
  <c r="BW238"/>
  <c r="BT238" s="1"/>
  <c r="BX238"/>
  <c r="CK238"/>
  <c r="CM238"/>
  <c r="CQ238"/>
  <c r="CI238" s="1"/>
  <c r="DF238"/>
  <c r="DV238"/>
  <c r="EC238"/>
  <c r="EF238"/>
  <c r="EG238"/>
  <c r="EH238"/>
  <c r="FG238"/>
  <c r="D239"/>
  <c r="E239"/>
  <c r="O239"/>
  <c r="CB239" s="1"/>
  <c r="S239"/>
  <c r="T239"/>
  <c r="U239"/>
  <c r="V239"/>
  <c r="W239"/>
  <c r="AB239"/>
  <c r="AM239"/>
  <c r="AN239"/>
  <c r="AW239"/>
  <c r="AY239"/>
  <c r="BC239"/>
  <c r="AU239" s="1"/>
  <c r="BG239"/>
  <c r="BP239"/>
  <c r="BR239"/>
  <c r="BW239"/>
  <c r="BT239" s="1"/>
  <c r="AH239" s="1"/>
  <c r="BX239"/>
  <c r="CK239"/>
  <c r="CM239"/>
  <c r="CQ239"/>
  <c r="CI239" s="1"/>
  <c r="DF239"/>
  <c r="DV239"/>
  <c r="EC239"/>
  <c r="EF239"/>
  <c r="EG239"/>
  <c r="EH239"/>
  <c r="FG239"/>
  <c r="D240"/>
  <c r="E240"/>
  <c r="O240"/>
  <c r="CB240" s="1"/>
  <c r="S240"/>
  <c r="T240"/>
  <c r="U240"/>
  <c r="V240"/>
  <c r="W240"/>
  <c r="AB240"/>
  <c r="AM240"/>
  <c r="AN240"/>
  <c r="AW240"/>
  <c r="AY240"/>
  <c r="BC240"/>
  <c r="AU240" s="1"/>
  <c r="BG240"/>
  <c r="BP240"/>
  <c r="BR240"/>
  <c r="BW240"/>
  <c r="BX240"/>
  <c r="CK240"/>
  <c r="CM240"/>
  <c r="CQ240"/>
  <c r="CI240" s="1"/>
  <c r="DF240"/>
  <c r="DV240"/>
  <c r="EC240"/>
  <c r="EF240"/>
  <c r="EG240"/>
  <c r="EH240"/>
  <c r="FG240"/>
  <c r="D241"/>
  <c r="E241"/>
  <c r="O241"/>
  <c r="CB241" s="1"/>
  <c r="S241"/>
  <c r="T241"/>
  <c r="U241"/>
  <c r="V241"/>
  <c r="W241"/>
  <c r="AB241"/>
  <c r="AM241"/>
  <c r="AN241"/>
  <c r="AW241"/>
  <c r="AY241"/>
  <c r="BC241"/>
  <c r="AU241" s="1"/>
  <c r="BG241"/>
  <c r="BP241"/>
  <c r="BR241"/>
  <c r="BW241"/>
  <c r="BT241" s="1"/>
  <c r="AH241" s="1"/>
  <c r="BX241"/>
  <c r="CK241"/>
  <c r="CM241"/>
  <c r="CQ241"/>
  <c r="CI241" s="1"/>
  <c r="DF241"/>
  <c r="DV241"/>
  <c r="EC241"/>
  <c r="EF241"/>
  <c r="EG241"/>
  <c r="EH241"/>
  <c r="FG241"/>
  <c r="D242"/>
  <c r="E242"/>
  <c r="O242"/>
  <c r="CB242" s="1"/>
  <c r="S242"/>
  <c r="T242"/>
  <c r="U242"/>
  <c r="V242"/>
  <c r="W242"/>
  <c r="AB242"/>
  <c r="AM242"/>
  <c r="AN242"/>
  <c r="AW242"/>
  <c r="AY242"/>
  <c r="BC242"/>
  <c r="AU242" s="1"/>
  <c r="BG242"/>
  <c r="BP242"/>
  <c r="BR242"/>
  <c r="BW242"/>
  <c r="BX242"/>
  <c r="CK242"/>
  <c r="CM242"/>
  <c r="CQ242"/>
  <c r="CI242" s="1"/>
  <c r="DF242"/>
  <c r="DV242"/>
  <c r="EC242"/>
  <c r="EF242"/>
  <c r="EG242"/>
  <c r="EH242"/>
  <c r="FG242"/>
  <c r="D243"/>
  <c r="E243"/>
  <c r="O243"/>
  <c r="CB243" s="1"/>
  <c r="S243"/>
  <c r="T243"/>
  <c r="U243"/>
  <c r="V243"/>
  <c r="W243"/>
  <c r="AB243"/>
  <c r="AM243"/>
  <c r="AN243"/>
  <c r="AW243"/>
  <c r="AY243"/>
  <c r="BC243"/>
  <c r="AU243" s="1"/>
  <c r="BG243"/>
  <c r="BP243"/>
  <c r="BR243"/>
  <c r="BW243"/>
  <c r="BT243" s="1"/>
  <c r="AF243" s="1"/>
  <c r="BX243"/>
  <c r="CK243"/>
  <c r="CM243"/>
  <c r="CQ243"/>
  <c r="CI243" s="1"/>
  <c r="DF243"/>
  <c r="DV243"/>
  <c r="EC243"/>
  <c r="EF243"/>
  <c r="EG243"/>
  <c r="EH243"/>
  <c r="FG243"/>
  <c r="D244"/>
  <c r="E244"/>
  <c r="O244"/>
  <c r="CB244" s="1"/>
  <c r="S244"/>
  <c r="T244"/>
  <c r="U244"/>
  <c r="V244"/>
  <c r="W244"/>
  <c r="AB244"/>
  <c r="AM244"/>
  <c r="AN244"/>
  <c r="AW244"/>
  <c r="AY244"/>
  <c r="BC244"/>
  <c r="AU244" s="1"/>
  <c r="BG244"/>
  <c r="BP244"/>
  <c r="BR244"/>
  <c r="BW244"/>
  <c r="BT244" s="1"/>
  <c r="BX244"/>
  <c r="CK244"/>
  <c r="CM244"/>
  <c r="CQ244"/>
  <c r="CI244" s="1"/>
  <c r="DF244"/>
  <c r="DV244"/>
  <c r="EC244"/>
  <c r="EF244"/>
  <c r="EG244"/>
  <c r="EH244"/>
  <c r="FG244"/>
  <c r="D245"/>
  <c r="E245"/>
  <c r="O245"/>
  <c r="CB245" s="1"/>
  <c r="S245"/>
  <c r="T245"/>
  <c r="U245"/>
  <c r="V245"/>
  <c r="W245"/>
  <c r="AB245"/>
  <c r="AM245"/>
  <c r="AN245"/>
  <c r="AW245"/>
  <c r="AY245"/>
  <c r="BC245"/>
  <c r="AU245" s="1"/>
  <c r="BG245"/>
  <c r="BP245"/>
  <c r="BR245"/>
  <c r="BW245"/>
  <c r="BT245" s="1"/>
  <c r="AI245" s="1"/>
  <c r="BX245"/>
  <c r="CK245"/>
  <c r="CM245"/>
  <c r="CQ245"/>
  <c r="CI245" s="1"/>
  <c r="DF245"/>
  <c r="DV245"/>
  <c r="EC245"/>
  <c r="EF245"/>
  <c r="EG245"/>
  <c r="EH245"/>
  <c r="FG245"/>
  <c r="D246"/>
  <c r="E246"/>
  <c r="O246"/>
  <c r="CB246" s="1"/>
  <c r="S246"/>
  <c r="T246"/>
  <c r="U246"/>
  <c r="V246"/>
  <c r="W246"/>
  <c r="AB246"/>
  <c r="AM246"/>
  <c r="AN246"/>
  <c r="AW246"/>
  <c r="AY246"/>
  <c r="BC246"/>
  <c r="AU246" s="1"/>
  <c r="BG246"/>
  <c r="BP246"/>
  <c r="BR246"/>
  <c r="BW246"/>
  <c r="BT246" s="1"/>
  <c r="BX246"/>
  <c r="CK246"/>
  <c r="CM246"/>
  <c r="CQ246"/>
  <c r="CI246" s="1"/>
  <c r="DF246"/>
  <c r="DV246"/>
  <c r="EC246"/>
  <c r="EF246"/>
  <c r="EG246"/>
  <c r="EH246"/>
  <c r="FG246"/>
  <c r="D247"/>
  <c r="E247"/>
  <c r="O247"/>
  <c r="S247"/>
  <c r="T247"/>
  <c r="U247"/>
  <c r="V247"/>
  <c r="W247"/>
  <c r="AB247"/>
  <c r="AM247"/>
  <c r="AN247"/>
  <c r="AW247"/>
  <c r="AY247"/>
  <c r="BC247"/>
  <c r="AU247" s="1"/>
  <c r="BG247"/>
  <c r="BP247"/>
  <c r="BR247"/>
  <c r="BW247"/>
  <c r="BT247" s="1"/>
  <c r="BX247"/>
  <c r="CK247"/>
  <c r="CM247"/>
  <c r="CQ247"/>
  <c r="CI247" s="1"/>
  <c r="DF247"/>
  <c r="DV247"/>
  <c r="EC247"/>
  <c r="EF247"/>
  <c r="EG247"/>
  <c r="EH247"/>
  <c r="FG247"/>
  <c r="D248"/>
  <c r="E248"/>
  <c r="O248"/>
  <c r="CB248" s="1"/>
  <c r="S248"/>
  <c r="T248"/>
  <c r="U248"/>
  <c r="V248"/>
  <c r="W248"/>
  <c r="AB248"/>
  <c r="AM248"/>
  <c r="AN248"/>
  <c r="AW248"/>
  <c r="AY248"/>
  <c r="BC248"/>
  <c r="AU248" s="1"/>
  <c r="BG248"/>
  <c r="BP248"/>
  <c r="BR248"/>
  <c r="BW248"/>
  <c r="BT248" s="1"/>
  <c r="BX248"/>
  <c r="CK248"/>
  <c r="CM248"/>
  <c r="CQ248"/>
  <c r="CI248" s="1"/>
  <c r="DF248"/>
  <c r="DV248"/>
  <c r="EC248"/>
  <c r="EF248"/>
  <c r="EG248"/>
  <c r="EH248"/>
  <c r="FG248"/>
  <c r="D249"/>
  <c r="E249"/>
  <c r="O249"/>
  <c r="CB249" s="1"/>
  <c r="S249"/>
  <c r="T249"/>
  <c r="U249"/>
  <c r="V249"/>
  <c r="W249"/>
  <c r="AB249"/>
  <c r="AM249"/>
  <c r="AN249"/>
  <c r="AW249"/>
  <c r="AY249"/>
  <c r="BC249"/>
  <c r="AU249" s="1"/>
  <c r="BP249"/>
  <c r="BR249"/>
  <c r="BW249"/>
  <c r="BT249" s="1"/>
  <c r="BX249"/>
  <c r="CK249"/>
  <c r="CM249"/>
  <c r="CQ249"/>
  <c r="CI249" s="1"/>
  <c r="DF249"/>
  <c r="DV249"/>
  <c r="EC249"/>
  <c r="EH249"/>
  <c r="FG249"/>
  <c r="D250"/>
  <c r="E250"/>
  <c r="O250"/>
  <c r="FE250" s="1"/>
  <c r="S250"/>
  <c r="T250"/>
  <c r="U250"/>
  <c r="V250"/>
  <c r="W250"/>
  <c r="AB250"/>
  <c r="AM250"/>
  <c r="AN250"/>
  <c r="AW250"/>
  <c r="AY250"/>
  <c r="BC250"/>
  <c r="AU250" s="1"/>
  <c r="BG250"/>
  <c r="BP250"/>
  <c r="BR250"/>
  <c r="BW250"/>
  <c r="BT250" s="1"/>
  <c r="BX250"/>
  <c r="CK250"/>
  <c r="CM250"/>
  <c r="CQ250"/>
  <c r="CI250" s="1"/>
  <c r="DF250"/>
  <c r="DV250"/>
  <c r="EC250"/>
  <c r="FG250"/>
  <c r="D251"/>
  <c r="E251"/>
  <c r="O251"/>
  <c r="BG251" s="1"/>
  <c r="S251"/>
  <c r="T251"/>
  <c r="U251"/>
  <c r="V251"/>
  <c r="W251"/>
  <c r="AB251"/>
  <c r="AM251"/>
  <c r="AN251"/>
  <c r="AW251"/>
  <c r="AY251"/>
  <c r="BC251"/>
  <c r="AU251" s="1"/>
  <c r="BP251"/>
  <c r="BR251"/>
  <c r="BW251"/>
  <c r="BT251" s="1"/>
  <c r="AH251" s="1"/>
  <c r="BX251"/>
  <c r="CB251"/>
  <c r="CK251"/>
  <c r="CM251"/>
  <c r="CQ251"/>
  <c r="CI251" s="1"/>
  <c r="CU251"/>
  <c r="DF251"/>
  <c r="DV251"/>
  <c r="EC251"/>
  <c r="FG251"/>
  <c r="D252"/>
  <c r="E252"/>
  <c r="O252"/>
  <c r="CB252" s="1"/>
  <c r="S252"/>
  <c r="T252"/>
  <c r="U252"/>
  <c r="V252"/>
  <c r="W252"/>
  <c r="AB252"/>
  <c r="AM252"/>
  <c r="AN252"/>
  <c r="AW252"/>
  <c r="AY252"/>
  <c r="BC252"/>
  <c r="AU252" s="1"/>
  <c r="BG252"/>
  <c r="BP252"/>
  <c r="BR252"/>
  <c r="BW252"/>
  <c r="BT252" s="1"/>
  <c r="BX252"/>
  <c r="CK252"/>
  <c r="CM252"/>
  <c r="CQ252"/>
  <c r="CI252" s="1"/>
  <c r="DF252"/>
  <c r="DV252"/>
  <c r="EC252"/>
  <c r="FG252"/>
  <c r="D253"/>
  <c r="E253"/>
  <c r="O253"/>
  <c r="BG253" s="1"/>
  <c r="S253"/>
  <c r="T253"/>
  <c r="U253"/>
  <c r="V253"/>
  <c r="W253"/>
  <c r="AB253"/>
  <c r="AM253"/>
  <c r="AN253"/>
  <c r="AW253"/>
  <c r="AY253"/>
  <c r="BC253"/>
  <c r="AU253" s="1"/>
  <c r="BP253"/>
  <c r="BR253"/>
  <c r="BW253"/>
  <c r="BT253" s="1"/>
  <c r="AH253" s="1"/>
  <c r="BX253"/>
  <c r="CB253"/>
  <c r="CK253"/>
  <c r="CM253"/>
  <c r="CQ253"/>
  <c r="CI253" s="1"/>
  <c r="CU253"/>
  <c r="DF253"/>
  <c r="DV253"/>
  <c r="EC253"/>
  <c r="FE253"/>
  <c r="FG253"/>
  <c r="D254"/>
  <c r="E254"/>
  <c r="O254"/>
  <c r="CB254" s="1"/>
  <c r="S254"/>
  <c r="T254"/>
  <c r="U254"/>
  <c r="V254"/>
  <c r="W254"/>
  <c r="AB254"/>
  <c r="AM254"/>
  <c r="AN254"/>
  <c r="AW254"/>
  <c r="AY254"/>
  <c r="BC254"/>
  <c r="AU254" s="1"/>
  <c r="BG254"/>
  <c r="BP254"/>
  <c r="BR254"/>
  <c r="BW254"/>
  <c r="BT254" s="1"/>
  <c r="BX254"/>
  <c r="CK254"/>
  <c r="CM254"/>
  <c r="CQ254"/>
  <c r="CI254" s="1"/>
  <c r="DF254"/>
  <c r="DV254"/>
  <c r="EC254"/>
  <c r="FG254"/>
  <c r="D255"/>
  <c r="E255"/>
  <c r="O255"/>
  <c r="BG255" s="1"/>
  <c r="S255"/>
  <c r="T255"/>
  <c r="U255"/>
  <c r="V255"/>
  <c r="W255"/>
  <c r="AB255"/>
  <c r="AM255"/>
  <c r="AN255"/>
  <c r="AW255"/>
  <c r="AY255"/>
  <c r="BC255"/>
  <c r="AU255" s="1"/>
  <c r="BP255"/>
  <c r="BR255"/>
  <c r="BW255"/>
  <c r="BT255" s="1"/>
  <c r="AH255" s="1"/>
  <c r="BX255"/>
  <c r="CK255"/>
  <c r="CM255"/>
  <c r="CQ255"/>
  <c r="CI255" s="1"/>
  <c r="DF255"/>
  <c r="DV255"/>
  <c r="EC255"/>
  <c r="FG255"/>
  <c r="D256"/>
  <c r="E256"/>
  <c r="O256"/>
  <c r="CB256" s="1"/>
  <c r="S256"/>
  <c r="T256"/>
  <c r="U256"/>
  <c r="V256"/>
  <c r="W256"/>
  <c r="AB256"/>
  <c r="AM256"/>
  <c r="AN256"/>
  <c r="AW256"/>
  <c r="AY256"/>
  <c r="BC256"/>
  <c r="AU256" s="1"/>
  <c r="BG256"/>
  <c r="BP256"/>
  <c r="BR256"/>
  <c r="BW256"/>
  <c r="BT256" s="1"/>
  <c r="BX256"/>
  <c r="CK256"/>
  <c r="CM256"/>
  <c r="CQ256"/>
  <c r="CI256" s="1"/>
  <c r="DF256"/>
  <c r="DV256"/>
  <c r="EC256"/>
  <c r="FG256"/>
  <c r="D257"/>
  <c r="E257"/>
  <c r="O257"/>
  <c r="CB257" s="1"/>
  <c r="S257"/>
  <c r="T257"/>
  <c r="U257"/>
  <c r="V257"/>
  <c r="W257"/>
  <c r="AB257"/>
  <c r="AM257"/>
  <c r="AN257"/>
  <c r="AW257"/>
  <c r="AY257"/>
  <c r="BC257"/>
  <c r="AU257" s="1"/>
  <c r="BG257"/>
  <c r="BP257"/>
  <c r="BR257"/>
  <c r="BW257"/>
  <c r="BT257" s="1"/>
  <c r="AH257" s="1"/>
  <c r="BX257"/>
  <c r="CK257"/>
  <c r="CM257"/>
  <c r="CQ257"/>
  <c r="CI257" s="1"/>
  <c r="DF257"/>
  <c r="DV257"/>
  <c r="EC257"/>
  <c r="FG257"/>
  <c r="D258"/>
  <c r="E258"/>
  <c r="O258"/>
  <c r="CB258" s="1"/>
  <c r="S258"/>
  <c r="T258"/>
  <c r="U258"/>
  <c r="V258"/>
  <c r="W258"/>
  <c r="AB258"/>
  <c r="AM258"/>
  <c r="AN258"/>
  <c r="AW258"/>
  <c r="AY258"/>
  <c r="BC258"/>
  <c r="AU258" s="1"/>
  <c r="BG258"/>
  <c r="BP258"/>
  <c r="BR258"/>
  <c r="BW258"/>
  <c r="BT258" s="1"/>
  <c r="BX258"/>
  <c r="CK258"/>
  <c r="CM258"/>
  <c r="CQ258"/>
  <c r="CI258" s="1"/>
  <c r="DF258"/>
  <c r="DV258"/>
  <c r="EC258"/>
  <c r="FG258"/>
  <c r="D259"/>
  <c r="E259"/>
  <c r="O259"/>
  <c r="CB259" s="1"/>
  <c r="S259"/>
  <c r="T259"/>
  <c r="U259"/>
  <c r="V259"/>
  <c r="W259"/>
  <c r="AB259"/>
  <c r="AM259"/>
  <c r="AN259"/>
  <c r="AW259"/>
  <c r="AY259"/>
  <c r="BC259"/>
  <c r="AU259" s="1"/>
  <c r="BG259"/>
  <c r="BP259"/>
  <c r="BR259"/>
  <c r="BW259"/>
  <c r="BT259" s="1"/>
  <c r="AH259" s="1"/>
  <c r="BX259"/>
  <c r="CK259"/>
  <c r="CM259"/>
  <c r="CQ259"/>
  <c r="CI259" s="1"/>
  <c r="DF259"/>
  <c r="DV259"/>
  <c r="EC259"/>
  <c r="FG259"/>
  <c r="D260"/>
  <c r="E260"/>
  <c r="O260"/>
  <c r="CB260" s="1"/>
  <c r="S260"/>
  <c r="T260"/>
  <c r="U260"/>
  <c r="V260"/>
  <c r="W260"/>
  <c r="AB260"/>
  <c r="AM260"/>
  <c r="AN260"/>
  <c r="AW260"/>
  <c r="AY260"/>
  <c r="BC260"/>
  <c r="AU260" s="1"/>
  <c r="BG260"/>
  <c r="BP260"/>
  <c r="BR260"/>
  <c r="BW260"/>
  <c r="BT260" s="1"/>
  <c r="BX260"/>
  <c r="CK260"/>
  <c r="CM260"/>
  <c r="CQ260"/>
  <c r="CI260" s="1"/>
  <c r="DF260"/>
  <c r="DV260"/>
  <c r="EC260"/>
  <c r="FG260"/>
  <c r="D261"/>
  <c r="E261"/>
  <c r="O261"/>
  <c r="CB261" s="1"/>
  <c r="S261"/>
  <c r="T261"/>
  <c r="U261"/>
  <c r="V261"/>
  <c r="P261" s="1"/>
  <c r="W261"/>
  <c r="AB261"/>
  <c r="AM261"/>
  <c r="AN261"/>
  <c r="AW261"/>
  <c r="AY261"/>
  <c r="BC261"/>
  <c r="AU261" s="1"/>
  <c r="BG261"/>
  <c r="BP261"/>
  <c r="BR261"/>
  <c r="BW261"/>
  <c r="BT261" s="1"/>
  <c r="AH261" s="1"/>
  <c r="BX261"/>
  <c r="CK261"/>
  <c r="CM261"/>
  <c r="CQ261"/>
  <c r="CI261" s="1"/>
  <c r="DF261"/>
  <c r="DV261"/>
  <c r="EC261"/>
  <c r="FG261"/>
  <c r="D262"/>
  <c r="E262"/>
  <c r="O262"/>
  <c r="CB262" s="1"/>
  <c r="S262"/>
  <c r="T262"/>
  <c r="U262"/>
  <c r="V262"/>
  <c r="W262"/>
  <c r="AB262"/>
  <c r="AM262"/>
  <c r="AN262"/>
  <c r="AW262"/>
  <c r="AY262"/>
  <c r="BC262"/>
  <c r="AU262" s="1"/>
  <c r="BG262"/>
  <c r="BP262"/>
  <c r="BR262"/>
  <c r="BW262"/>
  <c r="BX262"/>
  <c r="CK262"/>
  <c r="CM262"/>
  <c r="CQ262"/>
  <c r="CI262" s="1"/>
  <c r="DF262"/>
  <c r="DV262"/>
  <c r="EC262"/>
  <c r="FG262"/>
  <c r="D263"/>
  <c r="E263"/>
  <c r="O263"/>
  <c r="BG263" s="1"/>
  <c r="S263"/>
  <c r="T263"/>
  <c r="U263"/>
  <c r="V263"/>
  <c r="W263"/>
  <c r="AB263"/>
  <c r="AM263"/>
  <c r="AN263"/>
  <c r="AW263"/>
  <c r="AY263"/>
  <c r="BC263"/>
  <c r="AU263" s="1"/>
  <c r="BP263"/>
  <c r="BR263"/>
  <c r="BW263"/>
  <c r="BT263" s="1"/>
  <c r="AH263" s="1"/>
  <c r="BX263"/>
  <c r="CK263"/>
  <c r="CM263"/>
  <c r="CQ263"/>
  <c r="CI263" s="1"/>
  <c r="DF263"/>
  <c r="DV263"/>
  <c r="EC263"/>
  <c r="FG263"/>
  <c r="D264"/>
  <c r="E264"/>
  <c r="O264"/>
  <c r="CB264" s="1"/>
  <c r="S264"/>
  <c r="T264"/>
  <c r="U264"/>
  <c r="V264"/>
  <c r="W264"/>
  <c r="AB264"/>
  <c r="AM264"/>
  <c r="AN264"/>
  <c r="AW264"/>
  <c r="AY264"/>
  <c r="BC264"/>
  <c r="AU264" s="1"/>
  <c r="BG264"/>
  <c r="BP264"/>
  <c r="BR264"/>
  <c r="BW264"/>
  <c r="BX264"/>
  <c r="CK264"/>
  <c r="CM264"/>
  <c r="CQ264"/>
  <c r="CI264" s="1"/>
  <c r="DF264"/>
  <c r="DV264"/>
  <c r="EC264"/>
  <c r="FG264"/>
  <c r="D265"/>
  <c r="E265"/>
  <c r="O265"/>
  <c r="CB265" s="1"/>
  <c r="S265"/>
  <c r="T265"/>
  <c r="U265"/>
  <c r="V265"/>
  <c r="W265"/>
  <c r="AB265"/>
  <c r="AM265"/>
  <c r="AN265"/>
  <c r="AW265"/>
  <c r="AY265"/>
  <c r="BC265"/>
  <c r="AU265" s="1"/>
  <c r="BG265"/>
  <c r="BP265"/>
  <c r="BR265"/>
  <c r="BW265"/>
  <c r="BT265" s="1"/>
  <c r="AH265" s="1"/>
  <c r="BX265"/>
  <c r="CK265"/>
  <c r="CM265"/>
  <c r="CQ265"/>
  <c r="CI265" s="1"/>
  <c r="DF265"/>
  <c r="DV265"/>
  <c r="EC265"/>
  <c r="FG265"/>
  <c r="D266"/>
  <c r="E266"/>
  <c r="O266"/>
  <c r="CB266" s="1"/>
  <c r="S266"/>
  <c r="T266"/>
  <c r="U266"/>
  <c r="V266"/>
  <c r="W266"/>
  <c r="AB266"/>
  <c r="AM266"/>
  <c r="AN266"/>
  <c r="AW266"/>
  <c r="AY266"/>
  <c r="BC266"/>
  <c r="AU266" s="1"/>
  <c r="BG266"/>
  <c r="BP266"/>
  <c r="BR266"/>
  <c r="BW266"/>
  <c r="BX266"/>
  <c r="CK266"/>
  <c r="CM266"/>
  <c r="CQ266"/>
  <c r="CI266" s="1"/>
  <c r="DF266"/>
  <c r="DV266"/>
  <c r="EC266"/>
  <c r="FG266"/>
  <c r="D267"/>
  <c r="E267"/>
  <c r="O267"/>
  <c r="FE267" s="1"/>
  <c r="S267"/>
  <c r="T267"/>
  <c r="U267"/>
  <c r="V267"/>
  <c r="W267"/>
  <c r="AB267"/>
  <c r="AM267"/>
  <c r="AN267"/>
  <c r="AW267"/>
  <c r="AY267"/>
  <c r="BC267"/>
  <c r="AU267" s="1"/>
  <c r="BP267"/>
  <c r="BR267"/>
  <c r="BW267"/>
  <c r="BT267" s="1"/>
  <c r="BX267"/>
  <c r="CK267"/>
  <c r="CM267"/>
  <c r="CQ267"/>
  <c r="CI267" s="1"/>
  <c r="DF267"/>
  <c r="DV267"/>
  <c r="EC267"/>
  <c r="FG267"/>
  <c r="D268"/>
  <c r="E268"/>
  <c r="O268"/>
  <c r="CB268" s="1"/>
  <c r="S268"/>
  <c r="T268"/>
  <c r="U268"/>
  <c r="V268"/>
  <c r="W268"/>
  <c r="AB268"/>
  <c r="AM268"/>
  <c r="AN268"/>
  <c r="AW268"/>
  <c r="AY268"/>
  <c r="BC268"/>
  <c r="AU268" s="1"/>
  <c r="BG268"/>
  <c r="BP268"/>
  <c r="BR268"/>
  <c r="BW268"/>
  <c r="BT268" s="1"/>
  <c r="BX268"/>
  <c r="CK268"/>
  <c r="CM268"/>
  <c r="CQ268"/>
  <c r="CI268" s="1"/>
  <c r="DF268"/>
  <c r="DV268"/>
  <c r="EC268"/>
  <c r="FG268"/>
  <c r="D269"/>
  <c r="E269"/>
  <c r="O269"/>
  <c r="BG269" s="1"/>
  <c r="S269"/>
  <c r="T269"/>
  <c r="U269"/>
  <c r="V269"/>
  <c r="W269"/>
  <c r="AB269"/>
  <c r="AM269"/>
  <c r="AN269"/>
  <c r="AW269"/>
  <c r="AY269"/>
  <c r="BC269"/>
  <c r="AU269" s="1"/>
  <c r="BP269"/>
  <c r="BR269"/>
  <c r="BW269"/>
  <c r="BT269" s="1"/>
  <c r="AF269" s="1"/>
  <c r="BX269"/>
  <c r="CB269"/>
  <c r="CK269"/>
  <c r="CM269"/>
  <c r="CQ269"/>
  <c r="CI269" s="1"/>
  <c r="CU269"/>
  <c r="DF269"/>
  <c r="DV269"/>
  <c r="EC269"/>
  <c r="FE269"/>
  <c r="FG269"/>
  <c r="D270"/>
  <c r="E270"/>
  <c r="O270"/>
  <c r="CB270" s="1"/>
  <c r="S270"/>
  <c r="T270"/>
  <c r="U270"/>
  <c r="V270"/>
  <c r="W270"/>
  <c r="AB270"/>
  <c r="AM270"/>
  <c r="AN270"/>
  <c r="AW270"/>
  <c r="AY270"/>
  <c r="BC270"/>
  <c r="AU270" s="1"/>
  <c r="BG270"/>
  <c r="BP270"/>
  <c r="BR270"/>
  <c r="BW270"/>
  <c r="BT270" s="1"/>
  <c r="AF270" s="1"/>
  <c r="BX270"/>
  <c r="CK270"/>
  <c r="CM270"/>
  <c r="CQ270"/>
  <c r="CI270" s="1"/>
  <c r="DF270"/>
  <c r="DV270"/>
  <c r="EC270"/>
  <c r="FG270"/>
  <c r="D271"/>
  <c r="E271"/>
  <c r="O271"/>
  <c r="BG271" s="1"/>
  <c r="S271"/>
  <c r="T271"/>
  <c r="U271"/>
  <c r="V271"/>
  <c r="W271"/>
  <c r="AB271"/>
  <c r="AM271"/>
  <c r="AN271"/>
  <c r="AW271"/>
  <c r="AY271"/>
  <c r="BC271"/>
  <c r="AU271" s="1"/>
  <c r="BP271"/>
  <c r="BR271"/>
  <c r="BW271"/>
  <c r="BT271" s="1"/>
  <c r="AF271" s="1"/>
  <c r="BX271"/>
  <c r="CB271"/>
  <c r="CK271"/>
  <c r="CM271"/>
  <c r="CQ271"/>
  <c r="CI271" s="1"/>
  <c r="CU271"/>
  <c r="DF271"/>
  <c r="DV271"/>
  <c r="EC271"/>
  <c r="FE271"/>
  <c r="FG271"/>
  <c r="D272"/>
  <c r="E272"/>
  <c r="O272"/>
  <c r="BG272" s="1"/>
  <c r="S272"/>
  <c r="T272"/>
  <c r="U272"/>
  <c r="V272"/>
  <c r="W272"/>
  <c r="AB272"/>
  <c r="AM272"/>
  <c r="AN272"/>
  <c r="AW272"/>
  <c r="AY272"/>
  <c r="BC272"/>
  <c r="AU272" s="1"/>
  <c r="BP272"/>
  <c r="BR272"/>
  <c r="BW272"/>
  <c r="BX272"/>
  <c r="CB272"/>
  <c r="CK272"/>
  <c r="CM272"/>
  <c r="CQ272"/>
  <c r="CI272" s="1"/>
  <c r="CU272"/>
  <c r="DF272"/>
  <c r="DG272" s="1"/>
  <c r="DV272"/>
  <c r="EC272"/>
  <c r="FE272"/>
  <c r="FG272"/>
  <c r="D273"/>
  <c r="E273"/>
  <c r="O273"/>
  <c r="CB273" s="1"/>
  <c r="S273"/>
  <c r="T273"/>
  <c r="U273"/>
  <c r="V273"/>
  <c r="W273"/>
  <c r="AB273"/>
  <c r="AM273"/>
  <c r="AN273"/>
  <c r="AW273"/>
  <c r="AY273"/>
  <c r="BC273"/>
  <c r="AU273" s="1"/>
  <c r="BG273"/>
  <c r="BP273"/>
  <c r="BR273"/>
  <c r="BW273"/>
  <c r="BT273" s="1"/>
  <c r="AI273" s="1"/>
  <c r="BX273"/>
  <c r="CK273"/>
  <c r="CM273"/>
  <c r="CQ273"/>
  <c r="CI273" s="1"/>
  <c r="DF273"/>
  <c r="DV273"/>
  <c r="EC273"/>
  <c r="FG273"/>
  <c r="D274"/>
  <c r="E274"/>
  <c r="O274"/>
  <c r="CB274" s="1"/>
  <c r="S274"/>
  <c r="T274"/>
  <c r="U274"/>
  <c r="V274"/>
  <c r="W274"/>
  <c r="AB274"/>
  <c r="AM274"/>
  <c r="AN274"/>
  <c r="AW274"/>
  <c r="AY274"/>
  <c r="BC274"/>
  <c r="AU274" s="1"/>
  <c r="BG274"/>
  <c r="BP274"/>
  <c r="BR274"/>
  <c r="BW274"/>
  <c r="BX274"/>
  <c r="CK274"/>
  <c r="CM274"/>
  <c r="CQ274"/>
  <c r="CI274" s="1"/>
  <c r="DF274"/>
  <c r="DV274"/>
  <c r="EC274"/>
  <c r="FG274"/>
  <c r="D275"/>
  <c r="E275"/>
  <c r="O275"/>
  <c r="CB275" s="1"/>
  <c r="S275"/>
  <c r="T275"/>
  <c r="U275"/>
  <c r="V275"/>
  <c r="W275"/>
  <c r="AB275"/>
  <c r="AM275"/>
  <c r="AN275"/>
  <c r="AW275"/>
  <c r="AY275"/>
  <c r="BC275"/>
  <c r="AU275" s="1"/>
  <c r="BP275"/>
  <c r="BR275"/>
  <c r="BW275"/>
  <c r="BT275" s="1"/>
  <c r="BX275"/>
  <c r="CK275"/>
  <c r="CM275"/>
  <c r="CQ275"/>
  <c r="CI275" s="1"/>
  <c r="DF275"/>
  <c r="DV275"/>
  <c r="EC275"/>
  <c r="FG275"/>
  <c r="D276"/>
  <c r="E276"/>
  <c r="O276"/>
  <c r="FE276" s="1"/>
  <c r="S276"/>
  <c r="T276"/>
  <c r="U276"/>
  <c r="V276"/>
  <c r="W276"/>
  <c r="AB276"/>
  <c r="AM276"/>
  <c r="AN276"/>
  <c r="AW276"/>
  <c r="AY276"/>
  <c r="BC276"/>
  <c r="AU276" s="1"/>
  <c r="BP276"/>
  <c r="BR276"/>
  <c r="BW276"/>
  <c r="BX276"/>
  <c r="CK276"/>
  <c r="CM276"/>
  <c r="CQ276"/>
  <c r="CI276" s="1"/>
  <c r="DF276"/>
  <c r="DV276"/>
  <c r="EC276"/>
  <c r="FG276"/>
  <c r="D277"/>
  <c r="E277"/>
  <c r="O277"/>
  <c r="BG277" s="1"/>
  <c r="S277"/>
  <c r="T277"/>
  <c r="U277"/>
  <c r="V277"/>
  <c r="W277"/>
  <c r="AB277"/>
  <c r="AC277" s="1"/>
  <c r="AM277"/>
  <c r="AN277"/>
  <c r="AW277"/>
  <c r="AY277"/>
  <c r="BC277"/>
  <c r="AU277" s="1"/>
  <c r="BP277"/>
  <c r="BR277"/>
  <c r="BW277"/>
  <c r="BX277"/>
  <c r="CK277"/>
  <c r="CM277"/>
  <c r="CQ277"/>
  <c r="CI277" s="1"/>
  <c r="DF277"/>
  <c r="DV277"/>
  <c r="EC277"/>
  <c r="FG277"/>
  <c r="D278"/>
  <c r="E278"/>
  <c r="O278"/>
  <c r="CB278" s="1"/>
  <c r="S278"/>
  <c r="T278"/>
  <c r="U278"/>
  <c r="V278"/>
  <c r="W278"/>
  <c r="AB278"/>
  <c r="AM278"/>
  <c r="AN278"/>
  <c r="AW278"/>
  <c r="AY278"/>
  <c r="BC278"/>
  <c r="AU278" s="1"/>
  <c r="BP278"/>
  <c r="BR278"/>
  <c r="BW278"/>
  <c r="BT278" s="1"/>
  <c r="BX278"/>
  <c r="CK278"/>
  <c r="CM278"/>
  <c r="CQ278"/>
  <c r="CI278" s="1"/>
  <c r="DF278"/>
  <c r="DV278"/>
  <c r="EC278"/>
  <c r="FG278"/>
  <c r="D279"/>
  <c r="E279"/>
  <c r="O279"/>
  <c r="BG279" s="1"/>
  <c r="S279"/>
  <c r="T279"/>
  <c r="U279"/>
  <c r="V279"/>
  <c r="W279"/>
  <c r="AB279"/>
  <c r="AM279"/>
  <c r="AN279"/>
  <c r="AW279"/>
  <c r="AY279"/>
  <c r="BC279"/>
  <c r="AU279" s="1"/>
  <c r="BP279"/>
  <c r="BR279"/>
  <c r="BW279"/>
  <c r="BX279"/>
  <c r="CB279"/>
  <c r="CK279"/>
  <c r="CM279"/>
  <c r="CQ279"/>
  <c r="CI279" s="1"/>
  <c r="CU279"/>
  <c r="DF279"/>
  <c r="DV279"/>
  <c r="EC279"/>
  <c r="FG279"/>
  <c r="D280"/>
  <c r="E280"/>
  <c r="O280"/>
  <c r="CB280" s="1"/>
  <c r="S280"/>
  <c r="T280"/>
  <c r="U280"/>
  <c r="V280"/>
  <c r="W280"/>
  <c r="AB280"/>
  <c r="AM280"/>
  <c r="AN280"/>
  <c r="AW280"/>
  <c r="AY280"/>
  <c r="BC280"/>
  <c r="AU280" s="1"/>
  <c r="BG280"/>
  <c r="BP280"/>
  <c r="BR280"/>
  <c r="BW280"/>
  <c r="BT280" s="1"/>
  <c r="BX280"/>
  <c r="CK280"/>
  <c r="CM280"/>
  <c r="CQ280"/>
  <c r="CI280" s="1"/>
  <c r="DF280"/>
  <c r="DV280"/>
  <c r="EC280"/>
  <c r="FG280"/>
  <c r="D281"/>
  <c r="E281"/>
  <c r="O281"/>
  <c r="BG281" s="1"/>
  <c r="S281"/>
  <c r="T281"/>
  <c r="U281"/>
  <c r="V281"/>
  <c r="W281"/>
  <c r="AB281"/>
  <c r="AM281"/>
  <c r="AN281"/>
  <c r="AW281"/>
  <c r="AY281"/>
  <c r="BC281"/>
  <c r="AU281" s="1"/>
  <c r="BP281"/>
  <c r="BR281"/>
  <c r="BW281"/>
  <c r="BT281" s="1"/>
  <c r="AH281" s="1"/>
  <c r="BX281"/>
  <c r="CK281"/>
  <c r="CM281"/>
  <c r="CQ281"/>
  <c r="CI281" s="1"/>
  <c r="DF281"/>
  <c r="DV281"/>
  <c r="EC281"/>
  <c r="FG281"/>
  <c r="D282"/>
  <c r="E282"/>
  <c r="O282"/>
  <c r="CB282" s="1"/>
  <c r="S282"/>
  <c r="T282"/>
  <c r="U282"/>
  <c r="V282"/>
  <c r="W282"/>
  <c r="AB282"/>
  <c r="AM282"/>
  <c r="AN282"/>
  <c r="AW282"/>
  <c r="AY282"/>
  <c r="BC282"/>
  <c r="AU282" s="1"/>
  <c r="BG282"/>
  <c r="BP282"/>
  <c r="BR282"/>
  <c r="BW282"/>
  <c r="BT282" s="1"/>
  <c r="BX282"/>
  <c r="CK282"/>
  <c r="CM282"/>
  <c r="CQ282"/>
  <c r="CI282" s="1"/>
  <c r="DF282"/>
  <c r="DV282"/>
  <c r="EC282"/>
  <c r="FG282"/>
  <c r="D283"/>
  <c r="E283"/>
  <c r="O283"/>
  <c r="BG283" s="1"/>
  <c r="S283"/>
  <c r="T283"/>
  <c r="U283"/>
  <c r="V283"/>
  <c r="W283"/>
  <c r="AB283"/>
  <c r="AM283"/>
  <c r="AN283"/>
  <c r="AW283"/>
  <c r="AY283"/>
  <c r="BC283"/>
  <c r="AU283" s="1"/>
  <c r="BP283"/>
  <c r="BR283"/>
  <c r="BW283"/>
  <c r="BX283"/>
  <c r="CK283"/>
  <c r="CM283"/>
  <c r="CQ283"/>
  <c r="CI283" s="1"/>
  <c r="DF283"/>
  <c r="DV283"/>
  <c r="EC283"/>
  <c r="FG283"/>
  <c r="D284"/>
  <c r="E284"/>
  <c r="O284"/>
  <c r="CB284" s="1"/>
  <c r="S284"/>
  <c r="T284"/>
  <c r="U284"/>
  <c r="V284"/>
  <c r="W284"/>
  <c r="AB284"/>
  <c r="AM284"/>
  <c r="AN284"/>
  <c r="AW284"/>
  <c r="AY284"/>
  <c r="BC284"/>
  <c r="AU284" s="1"/>
  <c r="BG284"/>
  <c r="BP284"/>
  <c r="BR284"/>
  <c r="BW284"/>
  <c r="BT284" s="1"/>
  <c r="BX284"/>
  <c r="CK284"/>
  <c r="CM284"/>
  <c r="CQ284"/>
  <c r="CI284" s="1"/>
  <c r="DF284"/>
  <c r="DV284"/>
  <c r="EC284"/>
  <c r="FG284"/>
  <c r="D285"/>
  <c r="E285"/>
  <c r="O285"/>
  <c r="BG285" s="1"/>
  <c r="S285"/>
  <c r="T285"/>
  <c r="U285"/>
  <c r="V285"/>
  <c r="W285"/>
  <c r="AB285"/>
  <c r="AM285"/>
  <c r="AN285"/>
  <c r="AW285"/>
  <c r="AY285"/>
  <c r="BC285"/>
  <c r="AU285" s="1"/>
  <c r="BP285"/>
  <c r="BR285"/>
  <c r="BW285"/>
  <c r="BX285"/>
  <c r="CB285"/>
  <c r="CK285"/>
  <c r="CM285"/>
  <c r="CQ285"/>
  <c r="CI285" s="1"/>
  <c r="CU285"/>
  <c r="DF285"/>
  <c r="DV285"/>
  <c r="EC285"/>
  <c r="FE285"/>
  <c r="FG285"/>
  <c r="D286"/>
  <c r="E286"/>
  <c r="O286"/>
  <c r="FE286" s="1"/>
  <c r="S286"/>
  <c r="T286"/>
  <c r="U286"/>
  <c r="V286"/>
  <c r="W286"/>
  <c r="AB286"/>
  <c r="AM286"/>
  <c r="AN286"/>
  <c r="AW286"/>
  <c r="AY286"/>
  <c r="BC286"/>
  <c r="AU286" s="1"/>
  <c r="BG286"/>
  <c r="BP286"/>
  <c r="BR286"/>
  <c r="BW286"/>
  <c r="BT286" s="1"/>
  <c r="AF286" s="1"/>
  <c r="BX286"/>
  <c r="CK286"/>
  <c r="CM286"/>
  <c r="CQ286"/>
  <c r="CI286" s="1"/>
  <c r="DF286"/>
  <c r="DV286"/>
  <c r="EC286"/>
  <c r="FG286"/>
  <c r="D287"/>
  <c r="E287"/>
  <c r="O287"/>
  <c r="BG287" s="1"/>
  <c r="S287"/>
  <c r="T287"/>
  <c r="U287"/>
  <c r="V287"/>
  <c r="W287"/>
  <c r="AB287"/>
  <c r="AM287"/>
  <c r="AN287"/>
  <c r="AW287"/>
  <c r="AY287"/>
  <c r="BC287"/>
  <c r="AU287" s="1"/>
  <c r="BP287"/>
  <c r="BR287"/>
  <c r="BW287"/>
  <c r="BT287" s="1"/>
  <c r="AH287" s="1"/>
  <c r="BX287"/>
  <c r="CK287"/>
  <c r="CM287"/>
  <c r="CQ287"/>
  <c r="CI287" s="1"/>
  <c r="DF287"/>
  <c r="DV287"/>
  <c r="EC287"/>
  <c r="FG287"/>
  <c r="D288"/>
  <c r="E288"/>
  <c r="O288"/>
  <c r="CB288" s="1"/>
  <c r="S288"/>
  <c r="T288"/>
  <c r="U288"/>
  <c r="V288"/>
  <c r="W288"/>
  <c r="AB288"/>
  <c r="AM288"/>
  <c r="AN288"/>
  <c r="AW288"/>
  <c r="AY288"/>
  <c r="BC288"/>
  <c r="AU288" s="1"/>
  <c r="BG288"/>
  <c r="BP288"/>
  <c r="BR288"/>
  <c r="BW288"/>
  <c r="BX288"/>
  <c r="CK288"/>
  <c r="CM288"/>
  <c r="CQ288"/>
  <c r="CI288" s="1"/>
  <c r="DF288"/>
  <c r="DV288"/>
  <c r="EC288"/>
  <c r="FG288"/>
  <c r="D289"/>
  <c r="E289"/>
  <c r="O289"/>
  <c r="CB289" s="1"/>
  <c r="S289"/>
  <c r="T289"/>
  <c r="U289"/>
  <c r="V289"/>
  <c r="W289"/>
  <c r="AB289"/>
  <c r="AM289"/>
  <c r="AN289"/>
  <c r="AW289"/>
  <c r="AY289"/>
  <c r="BC289"/>
  <c r="AU289" s="1"/>
  <c r="BP289"/>
  <c r="BR289"/>
  <c r="BW289"/>
  <c r="BT289" s="1"/>
  <c r="AH289" s="1"/>
  <c r="BX289"/>
  <c r="CK289"/>
  <c r="CM289"/>
  <c r="CQ289"/>
  <c r="CI289" s="1"/>
  <c r="DF289"/>
  <c r="DV289"/>
  <c r="EC289"/>
  <c r="FG289"/>
  <c r="D290"/>
  <c r="E290"/>
  <c r="O290"/>
  <c r="CB290" s="1"/>
  <c r="S290"/>
  <c r="T290"/>
  <c r="U290"/>
  <c r="V290"/>
  <c r="W290"/>
  <c r="AB290"/>
  <c r="AM290"/>
  <c r="AN290"/>
  <c r="AW290"/>
  <c r="AY290"/>
  <c r="BC290"/>
  <c r="AU290" s="1"/>
  <c r="BG290"/>
  <c r="BP290"/>
  <c r="BR290"/>
  <c r="BW290"/>
  <c r="BX290"/>
  <c r="CK290"/>
  <c r="CM290"/>
  <c r="CQ290"/>
  <c r="CI290" s="1"/>
  <c r="DF290"/>
  <c r="DV290"/>
  <c r="EC290"/>
  <c r="FG290"/>
  <c r="D291"/>
  <c r="E291"/>
  <c r="O291"/>
  <c r="CB291" s="1"/>
  <c r="S291"/>
  <c r="T291"/>
  <c r="U291"/>
  <c r="V291"/>
  <c r="W291"/>
  <c r="AB291"/>
  <c r="AM291"/>
  <c r="AN291"/>
  <c r="AW291"/>
  <c r="AY291"/>
  <c r="BC291"/>
  <c r="AU291" s="1"/>
  <c r="BG291"/>
  <c r="BP291"/>
  <c r="BR291"/>
  <c r="BW291"/>
  <c r="BT291" s="1"/>
  <c r="AH291" s="1"/>
  <c r="BX291"/>
  <c r="CK291"/>
  <c r="CM291"/>
  <c r="CQ291"/>
  <c r="CI291" s="1"/>
  <c r="DF291"/>
  <c r="DV291"/>
  <c r="EC291"/>
  <c r="FG291"/>
  <c r="D292"/>
  <c r="E292"/>
  <c r="O292"/>
  <c r="CB292" s="1"/>
  <c r="S292"/>
  <c r="T292"/>
  <c r="U292"/>
  <c r="V292"/>
  <c r="W292"/>
  <c r="AB292"/>
  <c r="AM292"/>
  <c r="AN292"/>
  <c r="AW292"/>
  <c r="AY292"/>
  <c r="BC292"/>
  <c r="AU292" s="1"/>
  <c r="BG292"/>
  <c r="BP292"/>
  <c r="BR292"/>
  <c r="BW292"/>
  <c r="BX292"/>
  <c r="CK292"/>
  <c r="CM292"/>
  <c r="CQ292"/>
  <c r="CI292" s="1"/>
  <c r="DF292"/>
  <c r="DV292"/>
  <c r="EC292"/>
  <c r="FG292"/>
  <c r="D293"/>
  <c r="E293"/>
  <c r="O293"/>
  <c r="FE293" s="1"/>
  <c r="S293"/>
  <c r="T293"/>
  <c r="U293"/>
  <c r="V293"/>
  <c r="W293"/>
  <c r="AB293"/>
  <c r="AM293"/>
  <c r="AN293"/>
  <c r="AW293"/>
  <c r="AY293"/>
  <c r="BC293"/>
  <c r="AU293" s="1"/>
  <c r="BG293"/>
  <c r="BP293"/>
  <c r="BR293"/>
  <c r="BW293"/>
  <c r="BT293" s="1"/>
  <c r="AH293" s="1"/>
  <c r="BX293"/>
  <c r="CK293"/>
  <c r="CM293"/>
  <c r="CQ293"/>
  <c r="CI293" s="1"/>
  <c r="CU293"/>
  <c r="DF293"/>
  <c r="DV293"/>
  <c r="EC293"/>
  <c r="FG293"/>
  <c r="D294"/>
  <c r="E294"/>
  <c r="O294"/>
  <c r="FE294" s="1"/>
  <c r="S294"/>
  <c r="T294"/>
  <c r="U294"/>
  <c r="V294"/>
  <c r="W294"/>
  <c r="AB294"/>
  <c r="AM294"/>
  <c r="AN294"/>
  <c r="AW294"/>
  <c r="AY294"/>
  <c r="BC294"/>
  <c r="AU294" s="1"/>
  <c r="BG294"/>
  <c r="BP294"/>
  <c r="BR294"/>
  <c r="BW294"/>
  <c r="BT294" s="1"/>
  <c r="AF294" s="1"/>
  <c r="BX294"/>
  <c r="CK294"/>
  <c r="CM294"/>
  <c r="CQ294"/>
  <c r="CI294" s="1"/>
  <c r="DF294"/>
  <c r="DV294"/>
  <c r="EC294"/>
  <c r="FG294"/>
  <c r="D295"/>
  <c r="E295"/>
  <c r="O295"/>
  <c r="CB295" s="1"/>
  <c r="S295"/>
  <c r="T295"/>
  <c r="U295"/>
  <c r="V295"/>
  <c r="W295"/>
  <c r="AB295"/>
  <c r="AM295"/>
  <c r="AN295"/>
  <c r="AW295"/>
  <c r="AY295"/>
  <c r="BC295"/>
  <c r="AU295" s="1"/>
  <c r="BG295"/>
  <c r="BP295"/>
  <c r="BR295"/>
  <c r="BW295"/>
  <c r="BT295" s="1"/>
  <c r="AF295" s="1"/>
  <c r="BX295"/>
  <c r="CK295"/>
  <c r="CM295"/>
  <c r="CQ295"/>
  <c r="CI295" s="1"/>
  <c r="DF295"/>
  <c r="DV295"/>
  <c r="EC295"/>
  <c r="FG295"/>
  <c r="D296"/>
  <c r="E296"/>
  <c r="O296"/>
  <c r="CB296" s="1"/>
  <c r="S296"/>
  <c r="T296"/>
  <c r="U296"/>
  <c r="V296"/>
  <c r="W296"/>
  <c r="AB296"/>
  <c r="AM296"/>
  <c r="AN296"/>
  <c r="AW296"/>
  <c r="AY296"/>
  <c r="BC296"/>
  <c r="AU296" s="1"/>
  <c r="BG296"/>
  <c r="BP296"/>
  <c r="BR296"/>
  <c r="BW296"/>
  <c r="BT296" s="1"/>
  <c r="AF296" s="1"/>
  <c r="BX296"/>
  <c r="CK296"/>
  <c r="CM296"/>
  <c r="CQ296"/>
  <c r="CI296" s="1"/>
  <c r="DF296"/>
  <c r="DV296"/>
  <c r="EC296"/>
  <c r="FG296"/>
  <c r="D297"/>
  <c r="E297"/>
  <c r="O297"/>
  <c r="CB297" s="1"/>
  <c r="S297"/>
  <c r="T297"/>
  <c r="U297"/>
  <c r="V297"/>
  <c r="W297"/>
  <c r="AB297"/>
  <c r="AM297"/>
  <c r="AN297"/>
  <c r="AW297"/>
  <c r="AY297"/>
  <c r="BC297"/>
  <c r="AU297" s="1"/>
  <c r="BG297"/>
  <c r="BP297"/>
  <c r="BR297"/>
  <c r="BW297"/>
  <c r="BT297" s="1"/>
  <c r="AF297" s="1"/>
  <c r="BX297"/>
  <c r="CK297"/>
  <c r="CM297"/>
  <c r="CQ297"/>
  <c r="CI297" s="1"/>
  <c r="DF297"/>
  <c r="DV297"/>
  <c r="EC297"/>
  <c r="FG297"/>
  <c r="D298"/>
  <c r="E298"/>
  <c r="O298"/>
  <c r="CB298" s="1"/>
  <c r="S298"/>
  <c r="T298"/>
  <c r="U298"/>
  <c r="V298"/>
  <c r="W298"/>
  <c r="AB298"/>
  <c r="AM298"/>
  <c r="AN298"/>
  <c r="AW298"/>
  <c r="AY298"/>
  <c r="BC298"/>
  <c r="AU298" s="1"/>
  <c r="BG298"/>
  <c r="BP298"/>
  <c r="BR298"/>
  <c r="BW298"/>
  <c r="BT298" s="1"/>
  <c r="AI298" s="1"/>
  <c r="BX298"/>
  <c r="CK298"/>
  <c r="CM298"/>
  <c r="CQ298"/>
  <c r="CI298" s="1"/>
  <c r="DF298"/>
  <c r="DV298"/>
  <c r="EC298"/>
  <c r="FG298"/>
  <c r="D299"/>
  <c r="E299"/>
  <c r="O299"/>
  <c r="BG299" s="1"/>
  <c r="S299"/>
  <c r="T299"/>
  <c r="U299"/>
  <c r="V299"/>
  <c r="W299"/>
  <c r="AB299"/>
  <c r="AM299"/>
  <c r="AN299"/>
  <c r="AW299"/>
  <c r="AY299"/>
  <c r="BC299"/>
  <c r="AU299" s="1"/>
  <c r="BP299"/>
  <c r="BR299"/>
  <c r="BW299"/>
  <c r="BX299"/>
  <c r="CK299"/>
  <c r="CM299"/>
  <c r="CQ299"/>
  <c r="CI299" s="1"/>
  <c r="DF299"/>
  <c r="DV299"/>
  <c r="EC299"/>
  <c r="FG299"/>
  <c r="D300"/>
  <c r="E300"/>
  <c r="O300"/>
  <c r="CB300" s="1"/>
  <c r="S300"/>
  <c r="T300"/>
  <c r="U300"/>
  <c r="V300"/>
  <c r="W300"/>
  <c r="AB300"/>
  <c r="AM300"/>
  <c r="AN300"/>
  <c r="AW300"/>
  <c r="AY300"/>
  <c r="BC300"/>
  <c r="AU300" s="1"/>
  <c r="BG300"/>
  <c r="BP300"/>
  <c r="BR300"/>
  <c r="BW300"/>
  <c r="BT300" s="1"/>
  <c r="AI300" s="1"/>
  <c r="BX300"/>
  <c r="CK300"/>
  <c r="CM300"/>
  <c r="CQ300"/>
  <c r="CI300" s="1"/>
  <c r="DF300"/>
  <c r="DV300"/>
  <c r="EC300"/>
  <c r="FG300"/>
  <c r="D301"/>
  <c r="E301"/>
  <c r="O301"/>
  <c r="CB301" s="1"/>
  <c r="S301"/>
  <c r="T301"/>
  <c r="U301"/>
  <c r="V301"/>
  <c r="W301"/>
  <c r="AB301"/>
  <c r="AM301"/>
  <c r="AN301"/>
  <c r="AW301"/>
  <c r="AY301"/>
  <c r="BC301"/>
  <c r="AU301" s="1"/>
  <c r="BP301"/>
  <c r="BR301"/>
  <c r="BW301"/>
  <c r="BX301"/>
  <c r="CK301"/>
  <c r="CM301"/>
  <c r="CQ301"/>
  <c r="CI301" s="1"/>
  <c r="DF301"/>
  <c r="DV301"/>
  <c r="EC301"/>
  <c r="FG301"/>
  <c r="D302"/>
  <c r="E302"/>
  <c r="O302"/>
  <c r="CB302" s="1"/>
  <c r="S302"/>
  <c r="T302"/>
  <c r="U302"/>
  <c r="V302"/>
  <c r="W302"/>
  <c r="AB302"/>
  <c r="AM302"/>
  <c r="AN302"/>
  <c r="AW302"/>
  <c r="AY302"/>
  <c r="BC302"/>
  <c r="AU302" s="1"/>
  <c r="BG302"/>
  <c r="BP302"/>
  <c r="BR302"/>
  <c r="BW302"/>
  <c r="BT302" s="1"/>
  <c r="AI302" s="1"/>
  <c r="BX302"/>
  <c r="CK302"/>
  <c r="CM302"/>
  <c r="CQ302"/>
  <c r="CI302" s="1"/>
  <c r="DF302"/>
  <c r="DV302"/>
  <c r="EC302"/>
  <c r="FG302"/>
  <c r="D303"/>
  <c r="E303"/>
  <c r="O303"/>
  <c r="BG303" s="1"/>
  <c r="S303"/>
  <c r="T303"/>
  <c r="U303"/>
  <c r="V303"/>
  <c r="W303"/>
  <c r="AB303"/>
  <c r="AM303"/>
  <c r="AN303"/>
  <c r="AW303"/>
  <c r="AY303"/>
  <c r="BC303"/>
  <c r="AU303" s="1"/>
  <c r="BP303"/>
  <c r="BR303"/>
  <c r="BW303"/>
  <c r="BX303"/>
  <c r="CK303"/>
  <c r="CM303"/>
  <c r="CQ303"/>
  <c r="CI303" s="1"/>
  <c r="DF303"/>
  <c r="DV303"/>
  <c r="EC303"/>
  <c r="FG303"/>
  <c r="D304"/>
  <c r="E304"/>
  <c r="O304"/>
  <c r="CB304" s="1"/>
  <c r="S304"/>
  <c r="T304"/>
  <c r="U304"/>
  <c r="V304"/>
  <c r="W304"/>
  <c r="AB304"/>
  <c r="AM304"/>
  <c r="AN304"/>
  <c r="AW304"/>
  <c r="AY304"/>
  <c r="BC304"/>
  <c r="AU304" s="1"/>
  <c r="BG304"/>
  <c r="BP304"/>
  <c r="BR304"/>
  <c r="BW304"/>
  <c r="BT304" s="1"/>
  <c r="BX304"/>
  <c r="CK304"/>
  <c r="CM304"/>
  <c r="CQ304"/>
  <c r="CI304" s="1"/>
  <c r="DF304"/>
  <c r="DV304"/>
  <c r="EC304"/>
  <c r="FG304"/>
  <c r="D305"/>
  <c r="E305"/>
  <c r="O305"/>
  <c r="BG305" s="1"/>
  <c r="S305"/>
  <c r="T305"/>
  <c r="U305"/>
  <c r="V305"/>
  <c r="W305"/>
  <c r="AB305"/>
  <c r="AM305"/>
  <c r="AN305"/>
  <c r="AW305"/>
  <c r="AY305"/>
  <c r="BC305"/>
  <c r="AU305" s="1"/>
  <c r="BP305"/>
  <c r="BR305"/>
  <c r="BW305"/>
  <c r="BT305" s="1"/>
  <c r="AH305" s="1"/>
  <c r="BX305"/>
  <c r="CK305"/>
  <c r="CM305"/>
  <c r="CQ305"/>
  <c r="CI305" s="1"/>
  <c r="DF305"/>
  <c r="DV305"/>
  <c r="EC305"/>
  <c r="FG305"/>
  <c r="D306"/>
  <c r="E306"/>
  <c r="O306"/>
  <c r="CB306" s="1"/>
  <c r="S306"/>
  <c r="T306"/>
  <c r="U306"/>
  <c r="V306"/>
  <c r="W306"/>
  <c r="AB306"/>
  <c r="AM306"/>
  <c r="AN306"/>
  <c r="AW306"/>
  <c r="AY306"/>
  <c r="BC306"/>
  <c r="AU306" s="1"/>
  <c r="BG306"/>
  <c r="BP306"/>
  <c r="BR306"/>
  <c r="BW306"/>
  <c r="BT306" s="1"/>
  <c r="BX306"/>
  <c r="CK306"/>
  <c r="CM306"/>
  <c r="CQ306"/>
  <c r="CI306" s="1"/>
  <c r="DF306"/>
  <c r="DV306"/>
  <c r="EC306"/>
  <c r="FG306"/>
  <c r="D307"/>
  <c r="E307"/>
  <c r="O307"/>
  <c r="BG307" s="1"/>
  <c r="S307"/>
  <c r="T307"/>
  <c r="U307"/>
  <c r="V307"/>
  <c r="W307"/>
  <c r="AB307"/>
  <c r="AM307"/>
  <c r="AN307"/>
  <c r="AW307"/>
  <c r="AY307"/>
  <c r="BC307"/>
  <c r="AU307" s="1"/>
  <c r="BP307"/>
  <c r="BR307"/>
  <c r="BW307"/>
  <c r="BT307" s="1"/>
  <c r="AH307" s="1"/>
  <c r="BX307"/>
  <c r="CK307"/>
  <c r="CM307"/>
  <c r="CQ307"/>
  <c r="CI307" s="1"/>
  <c r="DF307"/>
  <c r="DV307"/>
  <c r="EC307"/>
  <c r="FG307"/>
  <c r="D308"/>
  <c r="E308"/>
  <c r="O308"/>
  <c r="CB308" s="1"/>
  <c r="S308"/>
  <c r="T308"/>
  <c r="U308"/>
  <c r="V308"/>
  <c r="W308"/>
  <c r="AB308"/>
  <c r="AM308"/>
  <c r="AN308"/>
  <c r="AW308"/>
  <c r="AY308"/>
  <c r="BC308"/>
  <c r="AU308" s="1"/>
  <c r="BG308"/>
  <c r="BP308"/>
  <c r="BR308"/>
  <c r="BW308"/>
  <c r="BT308" s="1"/>
  <c r="BX308"/>
  <c r="CK308"/>
  <c r="CM308"/>
  <c r="CQ308"/>
  <c r="CI308" s="1"/>
  <c r="DF308"/>
  <c r="DV308"/>
  <c r="EC308"/>
  <c r="FG308"/>
  <c r="D309"/>
  <c r="E309"/>
  <c r="O309"/>
  <c r="BG309" s="1"/>
  <c r="S309"/>
  <c r="T309"/>
  <c r="U309"/>
  <c r="V309"/>
  <c r="W309"/>
  <c r="AB309"/>
  <c r="AM309"/>
  <c r="AN309"/>
  <c r="AW309"/>
  <c r="AY309"/>
  <c r="BC309"/>
  <c r="AU309" s="1"/>
  <c r="BP309"/>
  <c r="BR309"/>
  <c r="BW309"/>
  <c r="BX309"/>
  <c r="CB309"/>
  <c r="CK309"/>
  <c r="CM309"/>
  <c r="CQ309"/>
  <c r="CI309" s="1"/>
  <c r="CU309"/>
  <c r="DF309"/>
  <c r="DV309"/>
  <c r="EC309"/>
  <c r="FE309"/>
  <c r="FG309"/>
  <c r="D310"/>
  <c r="E310"/>
  <c r="O310"/>
  <c r="CB310" s="1"/>
  <c r="S310"/>
  <c r="T310"/>
  <c r="U310"/>
  <c r="V310"/>
  <c r="W310"/>
  <c r="AB310"/>
  <c r="AM310"/>
  <c r="AN310"/>
  <c r="AW310"/>
  <c r="AY310"/>
  <c r="BC310"/>
  <c r="AU310" s="1"/>
  <c r="BG310"/>
  <c r="BP310"/>
  <c r="BR310"/>
  <c r="BW310"/>
  <c r="BT310" s="1"/>
  <c r="AF310" s="1"/>
  <c r="BX310"/>
  <c r="CK310"/>
  <c r="CM310"/>
  <c r="CQ310"/>
  <c r="CI310" s="1"/>
  <c r="DF310"/>
  <c r="DV310"/>
  <c r="EC310"/>
  <c r="FG310"/>
  <c r="D311"/>
  <c r="E311"/>
  <c r="O311"/>
  <c r="BG311" s="1"/>
  <c r="S311"/>
  <c r="T311"/>
  <c r="U311"/>
  <c r="V311"/>
  <c r="W311"/>
  <c r="AB311"/>
  <c r="AM311"/>
  <c r="AN311"/>
  <c r="AW311"/>
  <c r="AY311"/>
  <c r="BC311"/>
  <c r="AU311" s="1"/>
  <c r="BP311"/>
  <c r="BR311"/>
  <c r="BW311"/>
  <c r="BT311" s="1"/>
  <c r="AH311" s="1"/>
  <c r="BX311"/>
  <c r="CK311"/>
  <c r="CM311"/>
  <c r="CQ311"/>
  <c r="CI311" s="1"/>
  <c r="DF311"/>
  <c r="DV311"/>
  <c r="EC311"/>
  <c r="FG311"/>
  <c r="D312"/>
  <c r="E312"/>
  <c r="O312"/>
  <c r="CB312" s="1"/>
  <c r="S312"/>
  <c r="T312"/>
  <c r="U312"/>
  <c r="V312"/>
  <c r="W312"/>
  <c r="AB312"/>
  <c r="AM312"/>
  <c r="AN312"/>
  <c r="AW312"/>
  <c r="AY312"/>
  <c r="BC312"/>
  <c r="AU312" s="1"/>
  <c r="BG312"/>
  <c r="BP312"/>
  <c r="BR312"/>
  <c r="BW312"/>
  <c r="BX312"/>
  <c r="CK312"/>
  <c r="CM312"/>
  <c r="CQ312"/>
  <c r="CI312" s="1"/>
  <c r="DF312"/>
  <c r="DV312"/>
  <c r="EC312"/>
  <c r="FG312"/>
  <c r="D313"/>
  <c r="E313"/>
  <c r="O313"/>
  <c r="BG313" s="1"/>
  <c r="S313"/>
  <c r="T313"/>
  <c r="U313"/>
  <c r="V313"/>
  <c r="W313"/>
  <c r="AB313"/>
  <c r="AM313"/>
  <c r="AN313"/>
  <c r="AW313"/>
  <c r="AY313"/>
  <c r="BC313"/>
  <c r="AU313" s="1"/>
  <c r="BP313"/>
  <c r="BR313"/>
  <c r="BW313"/>
  <c r="BX313"/>
  <c r="CB313"/>
  <c r="CK313"/>
  <c r="CM313"/>
  <c r="CQ313"/>
  <c r="CI313" s="1"/>
  <c r="CU313"/>
  <c r="DF313"/>
  <c r="DV313"/>
  <c r="EC313"/>
  <c r="FE313"/>
  <c r="FG313"/>
  <c r="D314"/>
  <c r="E314"/>
  <c r="O314"/>
  <c r="CB314" s="1"/>
  <c r="S314"/>
  <c r="T314"/>
  <c r="U314"/>
  <c r="V314"/>
  <c r="W314"/>
  <c r="AB314"/>
  <c r="AC314" s="1"/>
  <c r="AM314"/>
  <c r="AN314"/>
  <c r="AW314"/>
  <c r="AY314"/>
  <c r="BC314"/>
  <c r="AU314" s="1"/>
  <c r="BG314"/>
  <c r="BP314"/>
  <c r="BR314"/>
  <c r="BW314"/>
  <c r="BX314"/>
  <c r="CK314"/>
  <c r="CM314"/>
  <c r="CQ314"/>
  <c r="CI314" s="1"/>
  <c r="DF314"/>
  <c r="DV314"/>
  <c r="EC314"/>
  <c r="FG314"/>
  <c r="D315"/>
  <c r="E315"/>
  <c r="O315"/>
  <c r="CB315" s="1"/>
  <c r="S315"/>
  <c r="T315"/>
  <c r="U315"/>
  <c r="V315"/>
  <c r="W315"/>
  <c r="AB315"/>
  <c r="AM315"/>
  <c r="AN315"/>
  <c r="AW315"/>
  <c r="AY315"/>
  <c r="BC315"/>
  <c r="AU315" s="1"/>
  <c r="BG315"/>
  <c r="BP315"/>
  <c r="BR315"/>
  <c r="BW315"/>
  <c r="BT315" s="1"/>
  <c r="AH315" s="1"/>
  <c r="BX315"/>
  <c r="CK315"/>
  <c r="CM315"/>
  <c r="CQ315"/>
  <c r="CI315" s="1"/>
  <c r="DF315"/>
  <c r="DV315"/>
  <c r="EC315"/>
  <c r="FG315"/>
  <c r="D316"/>
  <c r="E316"/>
  <c r="O316"/>
  <c r="FE316" s="1"/>
  <c r="S316"/>
  <c r="T316"/>
  <c r="U316"/>
  <c r="V316"/>
  <c r="W316"/>
  <c r="AB316"/>
  <c r="AM316"/>
  <c r="AN316"/>
  <c r="AW316"/>
  <c r="AY316"/>
  <c r="BC316"/>
  <c r="AU316" s="1"/>
  <c r="BG316"/>
  <c r="BP316"/>
  <c r="BR316"/>
  <c r="BW316"/>
  <c r="BT316" s="1"/>
  <c r="BX316"/>
  <c r="CK316"/>
  <c r="CM316"/>
  <c r="CQ316"/>
  <c r="CI316" s="1"/>
  <c r="DF316"/>
  <c r="DV316"/>
  <c r="EC316"/>
  <c r="FG316"/>
  <c r="D317"/>
  <c r="E317"/>
  <c r="O317"/>
  <c r="CB317" s="1"/>
  <c r="S317"/>
  <c r="T317"/>
  <c r="U317"/>
  <c r="V317"/>
  <c r="W317"/>
  <c r="AB317"/>
  <c r="AM317"/>
  <c r="AN317"/>
  <c r="AW317"/>
  <c r="AY317"/>
  <c r="BC317"/>
  <c r="AU317" s="1"/>
  <c r="BP317"/>
  <c r="BR317"/>
  <c r="BW317"/>
  <c r="BT317" s="1"/>
  <c r="AH317" s="1"/>
  <c r="BX317"/>
  <c r="CK317"/>
  <c r="CM317"/>
  <c r="CQ317"/>
  <c r="CI317" s="1"/>
  <c r="DF317"/>
  <c r="DV317"/>
  <c r="EC317"/>
  <c r="FG317"/>
  <c r="D318"/>
  <c r="E318"/>
  <c r="O318"/>
  <c r="CB318" s="1"/>
  <c r="S318"/>
  <c r="T318"/>
  <c r="U318"/>
  <c r="V318"/>
  <c r="W318"/>
  <c r="AB318"/>
  <c r="AM318"/>
  <c r="AN318"/>
  <c r="AW318"/>
  <c r="AY318"/>
  <c r="BC318"/>
  <c r="AU318" s="1"/>
  <c r="BG318"/>
  <c r="BP318"/>
  <c r="BR318"/>
  <c r="BW318"/>
  <c r="BX318"/>
  <c r="CK318"/>
  <c r="CM318"/>
  <c r="CQ318"/>
  <c r="CI318" s="1"/>
  <c r="DF318"/>
  <c r="DV318"/>
  <c r="EC318"/>
  <c r="FG318"/>
  <c r="D319"/>
  <c r="E319"/>
  <c r="O319"/>
  <c r="CB319" s="1"/>
  <c r="S319"/>
  <c r="T319"/>
  <c r="U319"/>
  <c r="V319"/>
  <c r="W319"/>
  <c r="AB319"/>
  <c r="AM319"/>
  <c r="AN319"/>
  <c r="AW319"/>
  <c r="AY319"/>
  <c r="BC319"/>
  <c r="AU319" s="1"/>
  <c r="BG319"/>
  <c r="BP319"/>
  <c r="BR319"/>
  <c r="BW319"/>
  <c r="BT319" s="1"/>
  <c r="AH319" s="1"/>
  <c r="BX319"/>
  <c r="CK319"/>
  <c r="CM319"/>
  <c r="CQ319"/>
  <c r="CI319" s="1"/>
  <c r="DF319"/>
  <c r="DV319"/>
  <c r="EC319"/>
  <c r="FG319"/>
  <c r="D320"/>
  <c r="E320"/>
  <c r="O320"/>
  <c r="S320"/>
  <c r="T320"/>
  <c r="U320"/>
  <c r="V320"/>
  <c r="W320"/>
  <c r="AB320"/>
  <c r="AM320"/>
  <c r="AN320"/>
  <c r="AW320"/>
  <c r="AY320"/>
  <c r="BC320"/>
  <c r="AU320" s="1"/>
  <c r="BG320"/>
  <c r="BP320"/>
  <c r="BR320"/>
  <c r="BW320"/>
  <c r="BX320"/>
  <c r="CK320"/>
  <c r="CM320"/>
  <c r="CQ320"/>
  <c r="CI320" s="1"/>
  <c r="DF320"/>
  <c r="DV320"/>
  <c r="EC320"/>
  <c r="FG320"/>
  <c r="D321"/>
  <c r="E321"/>
  <c r="O321"/>
  <c r="BG321" s="1"/>
  <c r="S321"/>
  <c r="T321"/>
  <c r="U321"/>
  <c r="V321"/>
  <c r="W321"/>
  <c r="AB321"/>
  <c r="AM321"/>
  <c r="AN321"/>
  <c r="AW321"/>
  <c r="AY321"/>
  <c r="BC321"/>
  <c r="AU321" s="1"/>
  <c r="BP321"/>
  <c r="BR321"/>
  <c r="BW321"/>
  <c r="BT321" s="1"/>
  <c r="AH321" s="1"/>
  <c r="BX321"/>
  <c r="CK321"/>
  <c r="CM321"/>
  <c r="CQ321"/>
  <c r="CI321" s="1"/>
  <c r="DF321"/>
  <c r="DG321" s="1"/>
  <c r="DV321"/>
  <c r="EC321"/>
  <c r="FG321"/>
  <c r="D322"/>
  <c r="E322"/>
  <c r="O322"/>
  <c r="CB322" s="1"/>
  <c r="S322"/>
  <c r="T322"/>
  <c r="U322"/>
  <c r="V322"/>
  <c r="W322"/>
  <c r="AB322"/>
  <c r="AM322"/>
  <c r="AN322"/>
  <c r="AW322"/>
  <c r="AY322"/>
  <c r="BC322"/>
  <c r="AU322" s="1"/>
  <c r="BG322"/>
  <c r="BP322"/>
  <c r="BR322"/>
  <c r="BW322"/>
  <c r="BX322"/>
  <c r="CK322"/>
  <c r="CM322"/>
  <c r="CQ322"/>
  <c r="CI322" s="1"/>
  <c r="DF322"/>
  <c r="DV322"/>
  <c r="EC322"/>
  <c r="FG322"/>
  <c r="D323"/>
  <c r="E323"/>
  <c r="O323"/>
  <c r="CB323" s="1"/>
  <c r="S323"/>
  <c r="T323"/>
  <c r="U323"/>
  <c r="V323"/>
  <c r="W323"/>
  <c r="AB323"/>
  <c r="AM323"/>
  <c r="AN323"/>
  <c r="AW323"/>
  <c r="AY323"/>
  <c r="BC323"/>
  <c r="AU323" s="1"/>
  <c r="BG323"/>
  <c r="BP323"/>
  <c r="BR323"/>
  <c r="BW323"/>
  <c r="BT323" s="1"/>
  <c r="AH323" s="1"/>
  <c r="BX323"/>
  <c r="CK323"/>
  <c r="CM323"/>
  <c r="CQ323"/>
  <c r="CI323" s="1"/>
  <c r="DF323"/>
  <c r="DV323"/>
  <c r="EC323"/>
  <c r="FG323"/>
  <c r="D324"/>
  <c r="E324"/>
  <c r="O324"/>
  <c r="FE324" s="1"/>
  <c r="S324"/>
  <c r="T324"/>
  <c r="U324"/>
  <c r="V324"/>
  <c r="W324"/>
  <c r="AB324"/>
  <c r="AM324"/>
  <c r="AN324"/>
  <c r="AW324"/>
  <c r="AY324"/>
  <c r="BC324"/>
  <c r="AU324" s="1"/>
  <c r="BG324"/>
  <c r="BP324"/>
  <c r="BR324"/>
  <c r="BW324"/>
  <c r="BT324" s="1"/>
  <c r="BX324"/>
  <c r="CK324"/>
  <c r="CM324"/>
  <c r="CQ324"/>
  <c r="CI324" s="1"/>
  <c r="DF324"/>
  <c r="DV324"/>
  <c r="EC324"/>
  <c r="FG324"/>
  <c r="D325"/>
  <c r="E325"/>
  <c r="O325"/>
  <c r="CB325" s="1"/>
  <c r="S325"/>
  <c r="T325"/>
  <c r="U325"/>
  <c r="V325"/>
  <c r="W325"/>
  <c r="AB325"/>
  <c r="AM325"/>
  <c r="AN325"/>
  <c r="AW325"/>
  <c r="AY325"/>
  <c r="BC325"/>
  <c r="AU325" s="1"/>
  <c r="BP325"/>
  <c r="BR325"/>
  <c r="BW325"/>
  <c r="BT325" s="1"/>
  <c r="AH325" s="1"/>
  <c r="BX325"/>
  <c r="CK325"/>
  <c r="CM325"/>
  <c r="CQ325"/>
  <c r="CI325" s="1"/>
  <c r="DF325"/>
  <c r="DV325"/>
  <c r="EC325"/>
  <c r="FG325"/>
  <c r="D326"/>
  <c r="E326"/>
  <c r="O326"/>
  <c r="CB326" s="1"/>
  <c r="S326"/>
  <c r="T326"/>
  <c r="U326"/>
  <c r="V326"/>
  <c r="W326"/>
  <c r="AB326"/>
  <c r="AM326"/>
  <c r="AN326"/>
  <c r="AW326"/>
  <c r="AY326"/>
  <c r="BC326"/>
  <c r="AU326" s="1"/>
  <c r="BG326"/>
  <c r="BP326"/>
  <c r="BR326"/>
  <c r="BW326"/>
  <c r="BX326"/>
  <c r="CK326"/>
  <c r="CM326"/>
  <c r="CQ326"/>
  <c r="CI326" s="1"/>
  <c r="DF326"/>
  <c r="DV326"/>
  <c r="EC326"/>
  <c r="FG326"/>
  <c r="D327"/>
  <c r="E327"/>
  <c r="O327"/>
  <c r="CB327" s="1"/>
  <c r="S327"/>
  <c r="T327"/>
  <c r="U327"/>
  <c r="V327"/>
  <c r="W327"/>
  <c r="AB327"/>
  <c r="AM327"/>
  <c r="AN327"/>
  <c r="AW327"/>
  <c r="AY327"/>
  <c r="BC327"/>
  <c r="AU327" s="1"/>
  <c r="BG327"/>
  <c r="BP327"/>
  <c r="BR327"/>
  <c r="BW327"/>
  <c r="BT327" s="1"/>
  <c r="AH327" s="1"/>
  <c r="BX327"/>
  <c r="CK327"/>
  <c r="CM327"/>
  <c r="CQ327"/>
  <c r="CI327" s="1"/>
  <c r="DF327"/>
  <c r="DV327"/>
  <c r="EC327"/>
  <c r="FG327"/>
  <c r="D328"/>
  <c r="E328"/>
  <c r="O328"/>
  <c r="CB328" s="1"/>
  <c r="S328"/>
  <c r="T328"/>
  <c r="U328"/>
  <c r="V328"/>
  <c r="W328"/>
  <c r="AB328"/>
  <c r="AM328"/>
  <c r="AN328"/>
  <c r="AW328"/>
  <c r="AY328"/>
  <c r="BC328"/>
  <c r="AU328" s="1"/>
  <c r="BG328"/>
  <c r="BP328"/>
  <c r="BR328"/>
  <c r="BW328"/>
  <c r="BX328"/>
  <c r="CK328"/>
  <c r="CM328"/>
  <c r="CQ328"/>
  <c r="CI328" s="1"/>
  <c r="DF328"/>
  <c r="DV328"/>
  <c r="EC328"/>
  <c r="FG328"/>
  <c r="D329"/>
  <c r="E329"/>
  <c r="O329"/>
  <c r="BG329" s="1"/>
  <c r="S329"/>
  <c r="T329"/>
  <c r="U329"/>
  <c r="V329"/>
  <c r="W329"/>
  <c r="AB329"/>
  <c r="AM329"/>
  <c r="AN329"/>
  <c r="AW329"/>
  <c r="AY329"/>
  <c r="BC329"/>
  <c r="AU329" s="1"/>
  <c r="BP329"/>
  <c r="BR329"/>
  <c r="BW329"/>
  <c r="BT329" s="1"/>
  <c r="AH329" s="1"/>
  <c r="BX329"/>
  <c r="CB329"/>
  <c r="CK329"/>
  <c r="CM329"/>
  <c r="CQ329"/>
  <c r="CI329" s="1"/>
  <c r="CU329"/>
  <c r="DF329"/>
  <c r="DG329" s="1"/>
  <c r="DV329"/>
  <c r="EC329"/>
  <c r="FE329"/>
  <c r="FG329"/>
  <c r="D330"/>
  <c r="E330"/>
  <c r="O330"/>
  <c r="CB330" s="1"/>
  <c r="S330"/>
  <c r="T330"/>
  <c r="U330"/>
  <c r="V330"/>
  <c r="W330"/>
  <c r="AB330"/>
  <c r="AM330"/>
  <c r="AN330"/>
  <c r="AW330"/>
  <c r="AY330"/>
  <c r="BC330"/>
  <c r="AU330" s="1"/>
  <c r="BG330"/>
  <c r="BP330"/>
  <c r="BR330"/>
  <c r="BW330"/>
  <c r="BX330"/>
  <c r="CK330"/>
  <c r="CM330"/>
  <c r="CQ330"/>
  <c r="CI330" s="1"/>
  <c r="DF330"/>
  <c r="DV330"/>
  <c r="EC330"/>
  <c r="FG330"/>
  <c r="D331"/>
  <c r="E331"/>
  <c r="O331"/>
  <c r="CB331" s="1"/>
  <c r="S331"/>
  <c r="T331"/>
  <c r="U331"/>
  <c r="V331"/>
  <c r="W331"/>
  <c r="AB331"/>
  <c r="AM331"/>
  <c r="AN331"/>
  <c r="AW331"/>
  <c r="AY331"/>
  <c r="BC331"/>
  <c r="AU331" s="1"/>
  <c r="BG331"/>
  <c r="BP331"/>
  <c r="BR331"/>
  <c r="BW331"/>
  <c r="BT331" s="1"/>
  <c r="AH331" s="1"/>
  <c r="BX331"/>
  <c r="CK331"/>
  <c r="CM331"/>
  <c r="CQ331"/>
  <c r="CI331" s="1"/>
  <c r="DF331"/>
  <c r="DV331"/>
  <c r="EC331"/>
  <c r="FG331"/>
  <c r="D332"/>
  <c r="E332"/>
  <c r="O332"/>
  <c r="CB332" s="1"/>
  <c r="S332"/>
  <c r="T332"/>
  <c r="U332"/>
  <c r="V332"/>
  <c r="W332"/>
  <c r="AB332"/>
  <c r="AM332"/>
  <c r="AN332"/>
  <c r="AW332"/>
  <c r="AY332"/>
  <c r="BC332"/>
  <c r="AU332" s="1"/>
  <c r="BG332"/>
  <c r="BP332"/>
  <c r="BR332"/>
  <c r="BW332"/>
  <c r="BT332" s="1"/>
  <c r="BX332"/>
  <c r="CK332"/>
  <c r="CM332"/>
  <c r="CQ332"/>
  <c r="CI332" s="1"/>
  <c r="DF332"/>
  <c r="DV332"/>
  <c r="EC332"/>
  <c r="FG332"/>
  <c r="D333"/>
  <c r="E333"/>
  <c r="O333"/>
  <c r="CB333" s="1"/>
  <c r="S333"/>
  <c r="T333"/>
  <c r="U333"/>
  <c r="V333"/>
  <c r="W333"/>
  <c r="AB333"/>
  <c r="AM333"/>
  <c r="AN333"/>
  <c r="AW333"/>
  <c r="AY333"/>
  <c r="BC333"/>
  <c r="AU333" s="1"/>
  <c r="BG333"/>
  <c r="BP333"/>
  <c r="BR333"/>
  <c r="BW333"/>
  <c r="BT333" s="1"/>
  <c r="AF333" s="1"/>
  <c r="BX333"/>
  <c r="CK333"/>
  <c r="CM333"/>
  <c r="CQ333"/>
  <c r="CI333" s="1"/>
  <c r="DF333"/>
  <c r="DV333"/>
  <c r="EC333"/>
  <c r="FG333"/>
  <c r="D334"/>
  <c r="E334"/>
  <c r="O334"/>
  <c r="CB334" s="1"/>
  <c r="S334"/>
  <c r="T334"/>
  <c r="U334"/>
  <c r="V334"/>
  <c r="W334"/>
  <c r="AB334"/>
  <c r="AM334"/>
  <c r="AN334"/>
  <c r="AW334"/>
  <c r="AY334"/>
  <c r="BC334"/>
  <c r="AU334" s="1"/>
  <c r="BG334"/>
  <c r="BP334"/>
  <c r="BR334"/>
  <c r="BW334"/>
  <c r="BX334"/>
  <c r="CK334"/>
  <c r="CM334"/>
  <c r="CQ334"/>
  <c r="CI334" s="1"/>
  <c r="DF334"/>
  <c r="DV334"/>
  <c r="EC334"/>
  <c r="FG334"/>
  <c r="D335"/>
  <c r="E335"/>
  <c r="O335"/>
  <c r="S335"/>
  <c r="T335"/>
  <c r="U335"/>
  <c r="V335"/>
  <c r="W335"/>
  <c r="AB335"/>
  <c r="AM335"/>
  <c r="AN335"/>
  <c r="AW335"/>
  <c r="AY335"/>
  <c r="BC335"/>
  <c r="AU335" s="1"/>
  <c r="BG335"/>
  <c r="BP335"/>
  <c r="BR335"/>
  <c r="BW335"/>
  <c r="BT335" s="1"/>
  <c r="AF335" s="1"/>
  <c r="BX335"/>
  <c r="CK335"/>
  <c r="CM335"/>
  <c r="CQ335"/>
  <c r="CI335" s="1"/>
  <c r="DF335"/>
  <c r="DV335"/>
  <c r="EC335"/>
  <c r="FG335"/>
  <c r="D336"/>
  <c r="E336"/>
  <c r="O336"/>
  <c r="S336"/>
  <c r="T336"/>
  <c r="U336"/>
  <c r="V336"/>
  <c r="W336"/>
  <c r="AB336"/>
  <c r="AM336"/>
  <c r="AN336"/>
  <c r="AW336"/>
  <c r="AY336"/>
  <c r="BC336"/>
  <c r="AU336" s="1"/>
  <c r="BG336"/>
  <c r="BP336"/>
  <c r="BR336"/>
  <c r="BW336"/>
  <c r="BX336"/>
  <c r="CK336"/>
  <c r="CM336"/>
  <c r="CQ336"/>
  <c r="CI336" s="1"/>
  <c r="DF336"/>
  <c r="DV336"/>
  <c r="EC336"/>
  <c r="FG336"/>
  <c r="D337"/>
  <c r="E337"/>
  <c r="O337"/>
  <c r="FE337" s="1"/>
  <c r="S337"/>
  <c r="T337"/>
  <c r="U337"/>
  <c r="V337"/>
  <c r="W337"/>
  <c r="AB337"/>
  <c r="AM337"/>
  <c r="AN337"/>
  <c r="AW337"/>
  <c r="AY337"/>
  <c r="BC337"/>
  <c r="AU337" s="1"/>
  <c r="BG337"/>
  <c r="BP337"/>
  <c r="BR337"/>
  <c r="BW337"/>
  <c r="BT337" s="1"/>
  <c r="AI337" s="1"/>
  <c r="BX337"/>
  <c r="CK337"/>
  <c r="CM337"/>
  <c r="CQ337"/>
  <c r="CI337" s="1"/>
  <c r="DF337"/>
  <c r="DV337"/>
  <c r="EC337"/>
  <c r="FG337"/>
  <c r="D338"/>
  <c r="E338"/>
  <c r="O338"/>
  <c r="FE338" s="1"/>
  <c r="S338"/>
  <c r="T338"/>
  <c r="U338"/>
  <c r="V338"/>
  <c r="W338"/>
  <c r="AB338"/>
  <c r="AM338"/>
  <c r="AN338"/>
  <c r="AW338"/>
  <c r="AY338"/>
  <c r="BC338"/>
  <c r="AU338" s="1"/>
  <c r="BG338"/>
  <c r="BP338"/>
  <c r="BR338"/>
  <c r="BW338"/>
  <c r="BX338"/>
  <c r="CK338"/>
  <c r="CM338"/>
  <c r="CQ338"/>
  <c r="CI338" s="1"/>
  <c r="DF338"/>
  <c r="DV338"/>
  <c r="EC338"/>
  <c r="FG338"/>
  <c r="D339"/>
  <c r="E339"/>
  <c r="O339"/>
  <c r="BG339" s="1"/>
  <c r="S339"/>
  <c r="T339"/>
  <c r="U339"/>
  <c r="V339"/>
  <c r="W339"/>
  <c r="AB339"/>
  <c r="AM339"/>
  <c r="AN339"/>
  <c r="AW339"/>
  <c r="AY339"/>
  <c r="BC339"/>
  <c r="AU339" s="1"/>
  <c r="BP339"/>
  <c r="BR339"/>
  <c r="BW339"/>
  <c r="BT339" s="1"/>
  <c r="AI339" s="1"/>
  <c r="BX339"/>
  <c r="CB339"/>
  <c r="CK339"/>
  <c r="CM339"/>
  <c r="CQ339"/>
  <c r="CI339" s="1"/>
  <c r="CU339"/>
  <c r="DF339"/>
  <c r="DV339"/>
  <c r="EC339"/>
  <c r="FG339"/>
  <c r="D340"/>
  <c r="E340"/>
  <c r="O340"/>
  <c r="FE340" s="1"/>
  <c r="S340"/>
  <c r="T340"/>
  <c r="U340"/>
  <c r="V340"/>
  <c r="W340"/>
  <c r="AB340"/>
  <c r="AM340"/>
  <c r="AN340"/>
  <c r="AW340"/>
  <c r="AY340"/>
  <c r="BC340"/>
  <c r="AU340" s="1"/>
  <c r="BP340"/>
  <c r="BR340"/>
  <c r="BW340"/>
  <c r="BX340"/>
  <c r="CB340"/>
  <c r="CK340"/>
  <c r="CM340"/>
  <c r="CQ340"/>
  <c r="CI340" s="1"/>
  <c r="CU340"/>
  <c r="DF340"/>
  <c r="DV340"/>
  <c r="EC340"/>
  <c r="FG340"/>
  <c r="D341"/>
  <c r="E341"/>
  <c r="O341"/>
  <c r="CB341" s="1"/>
  <c r="S341"/>
  <c r="T341"/>
  <c r="U341"/>
  <c r="V341"/>
  <c r="W341"/>
  <c r="AB341"/>
  <c r="AM341"/>
  <c r="AN341"/>
  <c r="AW341"/>
  <c r="AY341"/>
  <c r="BC341"/>
  <c r="AU341" s="1"/>
  <c r="BG341"/>
  <c r="BP341"/>
  <c r="BR341"/>
  <c r="BW341"/>
  <c r="BT341" s="1"/>
  <c r="AI341" s="1"/>
  <c r="BX341"/>
  <c r="CK341"/>
  <c r="CM341"/>
  <c r="CQ341"/>
  <c r="CI341" s="1"/>
  <c r="DF341"/>
  <c r="DV341"/>
  <c r="EC341"/>
  <c r="FG341"/>
  <c r="D342"/>
  <c r="E342"/>
  <c r="O342"/>
  <c r="CB342" s="1"/>
  <c r="S342"/>
  <c r="T342"/>
  <c r="U342"/>
  <c r="V342"/>
  <c r="W342"/>
  <c r="AB342"/>
  <c r="AM342"/>
  <c r="AN342"/>
  <c r="AW342"/>
  <c r="AY342"/>
  <c r="BC342"/>
  <c r="AU342" s="1"/>
  <c r="BG342"/>
  <c r="BP342"/>
  <c r="BR342"/>
  <c r="BW342"/>
  <c r="BX342"/>
  <c r="CK342"/>
  <c r="CM342"/>
  <c r="CQ342"/>
  <c r="CI342" s="1"/>
  <c r="DF342"/>
  <c r="DV342"/>
  <c r="EC342"/>
  <c r="FG342"/>
  <c r="D343"/>
  <c r="E343"/>
  <c r="O343"/>
  <c r="BG343" s="1"/>
  <c r="S343"/>
  <c r="T343"/>
  <c r="U343"/>
  <c r="V343"/>
  <c r="W343"/>
  <c r="AB343"/>
  <c r="AM343"/>
  <c r="AN343"/>
  <c r="AW343"/>
  <c r="AY343"/>
  <c r="BC343"/>
  <c r="AU343" s="1"/>
  <c r="BP343"/>
  <c r="BR343"/>
  <c r="BW343"/>
  <c r="BT343" s="1"/>
  <c r="BX343"/>
  <c r="CB343"/>
  <c r="CK343"/>
  <c r="CM343"/>
  <c r="CQ343"/>
  <c r="CI343" s="1"/>
  <c r="CU343"/>
  <c r="DF343"/>
  <c r="DV343"/>
  <c r="EC343"/>
  <c r="FE343"/>
  <c r="FG343"/>
  <c r="D344"/>
  <c r="E344"/>
  <c r="O344"/>
  <c r="BG344" s="1"/>
  <c r="S344"/>
  <c r="T344"/>
  <c r="U344"/>
  <c r="V344"/>
  <c r="W344"/>
  <c r="AB344"/>
  <c r="AM344"/>
  <c r="AN344"/>
  <c r="AW344"/>
  <c r="AY344"/>
  <c r="BC344"/>
  <c r="AU344" s="1"/>
  <c r="BP344"/>
  <c r="BR344"/>
  <c r="BW344"/>
  <c r="BT344" s="1"/>
  <c r="BX344"/>
  <c r="CB344"/>
  <c r="CK344"/>
  <c r="CM344"/>
  <c r="CQ344"/>
  <c r="CI344" s="1"/>
  <c r="CU344"/>
  <c r="DF344"/>
  <c r="DV344"/>
  <c r="EC344"/>
  <c r="FG344"/>
  <c r="D345"/>
  <c r="E345"/>
  <c r="O345"/>
  <c r="CB345" s="1"/>
  <c r="S345"/>
  <c r="T345"/>
  <c r="U345"/>
  <c r="V345"/>
  <c r="W345"/>
  <c r="AB345"/>
  <c r="AM345"/>
  <c r="AN345"/>
  <c r="AW345"/>
  <c r="AY345"/>
  <c r="BC345"/>
  <c r="AU345" s="1"/>
  <c r="BG345"/>
  <c r="BP345"/>
  <c r="BR345"/>
  <c r="BW345"/>
  <c r="BT345" s="1"/>
  <c r="AI345" s="1"/>
  <c r="BX345"/>
  <c r="CK345"/>
  <c r="CM345"/>
  <c r="CQ345"/>
  <c r="CI345" s="1"/>
  <c r="DF345"/>
  <c r="DV345"/>
  <c r="EC345"/>
  <c r="FG345"/>
  <c r="D346"/>
  <c r="E346"/>
  <c r="O346"/>
  <c r="FE346" s="1"/>
  <c r="S346"/>
  <c r="T346"/>
  <c r="U346"/>
  <c r="V346"/>
  <c r="W346"/>
  <c r="AB346"/>
  <c r="AM346"/>
  <c r="AN346"/>
  <c r="AW346"/>
  <c r="AY346"/>
  <c r="BC346"/>
  <c r="AU346" s="1"/>
  <c r="BG346"/>
  <c r="BP346"/>
  <c r="BR346"/>
  <c r="BW346"/>
  <c r="BX346"/>
  <c r="CK346"/>
  <c r="CM346"/>
  <c r="CQ346"/>
  <c r="CI346" s="1"/>
  <c r="DF346"/>
  <c r="DV346"/>
  <c r="EC346"/>
  <c r="FG346"/>
  <c r="D347"/>
  <c r="E347"/>
  <c r="O347"/>
  <c r="BG347" s="1"/>
  <c r="S347"/>
  <c r="T347"/>
  <c r="U347"/>
  <c r="V347"/>
  <c r="W347"/>
  <c r="AB347"/>
  <c r="AM347"/>
  <c r="AN347"/>
  <c r="AW347"/>
  <c r="AY347"/>
  <c r="BC347"/>
  <c r="AU347" s="1"/>
  <c r="BP347"/>
  <c r="BR347"/>
  <c r="BW347"/>
  <c r="BT347" s="1"/>
  <c r="BX347"/>
  <c r="CB347"/>
  <c r="CK347"/>
  <c r="CM347"/>
  <c r="CQ347"/>
  <c r="CI347" s="1"/>
  <c r="CU347"/>
  <c r="DF347"/>
  <c r="DV347"/>
  <c r="EC347"/>
  <c r="FE347"/>
  <c r="FG347"/>
  <c r="D348"/>
  <c r="E348"/>
  <c r="O348"/>
  <c r="BG348" s="1"/>
  <c r="S348"/>
  <c r="T348"/>
  <c r="U348"/>
  <c r="V348"/>
  <c r="W348"/>
  <c r="AB348"/>
  <c r="AM348"/>
  <c r="AN348"/>
  <c r="AW348"/>
  <c r="AY348"/>
  <c r="BC348"/>
  <c r="AU348" s="1"/>
  <c r="BP348"/>
  <c r="BR348"/>
  <c r="BW348"/>
  <c r="BT348" s="1"/>
  <c r="AF348" s="1"/>
  <c r="BX348"/>
  <c r="CB348"/>
  <c r="CK348"/>
  <c r="CM348"/>
  <c r="CQ348"/>
  <c r="CI348" s="1"/>
  <c r="CU348"/>
  <c r="DF348"/>
  <c r="DV348"/>
  <c r="EC348"/>
  <c r="FE348"/>
  <c r="FG348"/>
  <c r="D349"/>
  <c r="E349"/>
  <c r="O349"/>
  <c r="FE349" s="1"/>
  <c r="S349"/>
  <c r="T349"/>
  <c r="U349"/>
  <c r="V349"/>
  <c r="W349"/>
  <c r="AB349"/>
  <c r="AM349"/>
  <c r="AN349"/>
  <c r="AW349"/>
  <c r="AY349"/>
  <c r="BC349"/>
  <c r="AU349" s="1"/>
  <c r="BG349"/>
  <c r="BP349"/>
  <c r="BR349"/>
  <c r="BW349"/>
  <c r="BX349"/>
  <c r="CK349"/>
  <c r="CM349"/>
  <c r="CQ349"/>
  <c r="CI349" s="1"/>
  <c r="DF349"/>
  <c r="DV349"/>
  <c r="EC349"/>
  <c r="FG349"/>
  <c r="D350"/>
  <c r="E350"/>
  <c r="O350"/>
  <c r="BG350" s="1"/>
  <c r="S350"/>
  <c r="T350"/>
  <c r="U350"/>
  <c r="V350"/>
  <c r="W350"/>
  <c r="AB350"/>
  <c r="AM350"/>
  <c r="AN350"/>
  <c r="AW350"/>
  <c r="AY350"/>
  <c r="BC350"/>
  <c r="AU350" s="1"/>
  <c r="BP350"/>
  <c r="BR350"/>
  <c r="BW350"/>
  <c r="BT350" s="1"/>
  <c r="BX350"/>
  <c r="CB350"/>
  <c r="CK350"/>
  <c r="CM350"/>
  <c r="CQ350"/>
  <c r="CI350" s="1"/>
  <c r="CU350"/>
  <c r="DF350"/>
  <c r="DV350"/>
  <c r="EC350"/>
  <c r="FG350"/>
  <c r="D351"/>
  <c r="E351"/>
  <c r="O351"/>
  <c r="CB351" s="1"/>
  <c r="S351"/>
  <c r="T351"/>
  <c r="U351"/>
  <c r="V351"/>
  <c r="W351"/>
  <c r="AB351"/>
  <c r="AM351"/>
  <c r="AN351"/>
  <c r="AW351"/>
  <c r="AY351"/>
  <c r="BC351"/>
  <c r="AU351" s="1"/>
  <c r="BG351"/>
  <c r="BP351"/>
  <c r="BR351"/>
  <c r="BW351"/>
  <c r="BT351" s="1"/>
  <c r="AF351" s="1"/>
  <c r="BX351"/>
  <c r="CK351"/>
  <c r="CM351"/>
  <c r="CQ351"/>
  <c r="CI351" s="1"/>
  <c r="DF351"/>
  <c r="DV351"/>
  <c r="EC351"/>
  <c r="FG351"/>
  <c r="D352"/>
  <c r="E352"/>
  <c r="O352"/>
  <c r="CB352" s="1"/>
  <c r="S352"/>
  <c r="T352"/>
  <c r="U352"/>
  <c r="V352"/>
  <c r="W352"/>
  <c r="AB352"/>
  <c r="AM352"/>
  <c r="AN352"/>
  <c r="AW352"/>
  <c r="AY352"/>
  <c r="BC352"/>
  <c r="AU352" s="1"/>
  <c r="BG352"/>
  <c r="BP352"/>
  <c r="BR352"/>
  <c r="BW352"/>
  <c r="BT352" s="1"/>
  <c r="AF352" s="1"/>
  <c r="BX352"/>
  <c r="CK352"/>
  <c r="CM352"/>
  <c r="CQ352"/>
  <c r="CI352" s="1"/>
  <c r="DF352"/>
  <c r="DV352"/>
  <c r="EC352"/>
  <c r="FG352"/>
  <c r="D353"/>
  <c r="E353"/>
  <c r="O353"/>
  <c r="CB353" s="1"/>
  <c r="S353"/>
  <c r="T353"/>
  <c r="U353"/>
  <c r="V353"/>
  <c r="W353"/>
  <c r="AB353"/>
  <c r="AM353"/>
  <c r="AN353"/>
  <c r="AW353"/>
  <c r="AY353"/>
  <c r="BC353"/>
  <c r="AU353" s="1"/>
  <c r="BG353"/>
  <c r="BP353"/>
  <c r="BR353"/>
  <c r="BW353"/>
  <c r="BT353" s="1"/>
  <c r="AF353" s="1"/>
  <c r="BX353"/>
  <c r="CK353"/>
  <c r="CM353"/>
  <c r="CQ353"/>
  <c r="CI353" s="1"/>
  <c r="DF353"/>
  <c r="DV353"/>
  <c r="EC353"/>
  <c r="FG353"/>
  <c r="D354"/>
  <c r="E354"/>
  <c r="O354"/>
  <c r="CB354" s="1"/>
  <c r="S354"/>
  <c r="T354"/>
  <c r="U354"/>
  <c r="V354"/>
  <c r="W354"/>
  <c r="AB354"/>
  <c r="AM354"/>
  <c r="AN354"/>
  <c r="AW354"/>
  <c r="AY354"/>
  <c r="BC354"/>
  <c r="AU354" s="1"/>
  <c r="BP354"/>
  <c r="BR354"/>
  <c r="BW354"/>
  <c r="BT354" s="1"/>
  <c r="AF354" s="1"/>
  <c r="BX354"/>
  <c r="CK354"/>
  <c r="CM354"/>
  <c r="CQ354"/>
  <c r="CI354" s="1"/>
  <c r="DF354"/>
  <c r="DV354"/>
  <c r="EC354"/>
  <c r="FG354"/>
  <c r="D355"/>
  <c r="E355"/>
  <c r="O355"/>
  <c r="FE355" s="1"/>
  <c r="S355"/>
  <c r="T355"/>
  <c r="U355"/>
  <c r="V355"/>
  <c r="W355"/>
  <c r="AB355"/>
  <c r="AM355"/>
  <c r="AN355"/>
  <c r="AW355"/>
  <c r="AY355"/>
  <c r="BC355"/>
  <c r="AU355" s="1"/>
  <c r="BG355"/>
  <c r="BP355"/>
  <c r="BR355"/>
  <c r="BW355"/>
  <c r="BX355"/>
  <c r="CK355"/>
  <c r="CM355"/>
  <c r="CQ355"/>
  <c r="CI355" s="1"/>
  <c r="DF355"/>
  <c r="DV355"/>
  <c r="EC355"/>
  <c r="FG355"/>
  <c r="D356"/>
  <c r="E356"/>
  <c r="O356"/>
  <c r="CB356" s="1"/>
  <c r="S356"/>
  <c r="T356"/>
  <c r="U356"/>
  <c r="V356"/>
  <c r="W356"/>
  <c r="AB356"/>
  <c r="AM356"/>
  <c r="AN356"/>
  <c r="AW356"/>
  <c r="AY356"/>
  <c r="BC356"/>
  <c r="AU356" s="1"/>
  <c r="BP356"/>
  <c r="BR356"/>
  <c r="BW356"/>
  <c r="BT356" s="1"/>
  <c r="AF356" s="1"/>
  <c r="BX356"/>
  <c r="CK356"/>
  <c r="CM356"/>
  <c r="CQ356"/>
  <c r="CI356" s="1"/>
  <c r="DF356"/>
  <c r="DV356"/>
  <c r="EC356"/>
  <c r="FG356"/>
  <c r="D357"/>
  <c r="E357"/>
  <c r="O357"/>
  <c r="CB357" s="1"/>
  <c r="S357"/>
  <c r="T357"/>
  <c r="U357"/>
  <c r="V357"/>
  <c r="W357"/>
  <c r="AB357"/>
  <c r="AM357"/>
  <c r="AN357"/>
  <c r="AW357"/>
  <c r="AY357"/>
  <c r="BC357"/>
  <c r="AU357" s="1"/>
  <c r="BG357"/>
  <c r="BP357"/>
  <c r="BR357"/>
  <c r="BW357"/>
  <c r="BX357"/>
  <c r="CK357"/>
  <c r="CM357"/>
  <c r="CQ357"/>
  <c r="CI357" s="1"/>
  <c r="DF357"/>
  <c r="DV357"/>
  <c r="EC357"/>
  <c r="FG357"/>
  <c r="D358"/>
  <c r="E358"/>
  <c r="O358"/>
  <c r="CB358" s="1"/>
  <c r="S358"/>
  <c r="T358"/>
  <c r="U358"/>
  <c r="V358"/>
  <c r="W358"/>
  <c r="AB358"/>
  <c r="AM358"/>
  <c r="AN358"/>
  <c r="AW358"/>
  <c r="AY358"/>
  <c r="BC358"/>
  <c r="AU358" s="1"/>
  <c r="BP358"/>
  <c r="BR358"/>
  <c r="BW358"/>
  <c r="BT358" s="1"/>
  <c r="BX358"/>
  <c r="CK358"/>
  <c r="CM358"/>
  <c r="CQ358"/>
  <c r="CI358" s="1"/>
  <c r="DF358"/>
  <c r="DV358"/>
  <c r="EC358"/>
  <c r="FG358"/>
  <c r="D359"/>
  <c r="E359"/>
  <c r="O359"/>
  <c r="FE359" s="1"/>
  <c r="S359"/>
  <c r="T359"/>
  <c r="U359"/>
  <c r="V359"/>
  <c r="W359"/>
  <c r="AB359"/>
  <c r="AM359"/>
  <c r="AN359"/>
  <c r="AW359"/>
  <c r="AY359"/>
  <c r="BC359"/>
  <c r="AU359" s="1"/>
  <c r="BG359"/>
  <c r="BP359"/>
  <c r="BR359"/>
  <c r="BW359"/>
  <c r="BX359"/>
  <c r="CK359"/>
  <c r="CM359"/>
  <c r="CQ359"/>
  <c r="CI359" s="1"/>
  <c r="DF359"/>
  <c r="DV359"/>
  <c r="EC359"/>
  <c r="FG359"/>
  <c r="D360"/>
  <c r="E360"/>
  <c r="O360"/>
  <c r="CB360" s="1"/>
  <c r="S360"/>
  <c r="T360"/>
  <c r="U360"/>
  <c r="V360"/>
  <c r="W360"/>
  <c r="AB360"/>
  <c r="AM360"/>
  <c r="AN360"/>
  <c r="AW360"/>
  <c r="AY360"/>
  <c r="BC360"/>
  <c r="AU360" s="1"/>
  <c r="BP360"/>
  <c r="BR360"/>
  <c r="BW360"/>
  <c r="BT360" s="1"/>
  <c r="AF360" s="1"/>
  <c r="BX360"/>
  <c r="CK360"/>
  <c r="CM360"/>
  <c r="CQ360"/>
  <c r="CI360" s="1"/>
  <c r="DF360"/>
  <c r="DV360"/>
  <c r="EC360"/>
  <c r="FG360"/>
  <c r="D361"/>
  <c r="E361"/>
  <c r="O361"/>
  <c r="CB361" s="1"/>
  <c r="S361"/>
  <c r="T361"/>
  <c r="U361"/>
  <c r="V361"/>
  <c r="W361"/>
  <c r="AB361"/>
  <c r="AM361"/>
  <c r="AN361"/>
  <c r="AW361"/>
  <c r="AY361"/>
  <c r="BC361"/>
  <c r="AU361" s="1"/>
  <c r="BG361"/>
  <c r="BP361"/>
  <c r="BR361"/>
  <c r="BW361"/>
  <c r="BT361" s="1"/>
  <c r="AF361" s="1"/>
  <c r="BX361"/>
  <c r="CK361"/>
  <c r="CM361"/>
  <c r="CQ361"/>
  <c r="CI361" s="1"/>
  <c r="DF361"/>
  <c r="DV361"/>
  <c r="EC361"/>
  <c r="FG361"/>
  <c r="D362"/>
  <c r="E362"/>
  <c r="O362"/>
  <c r="BG362" s="1"/>
  <c r="S362"/>
  <c r="T362"/>
  <c r="U362"/>
  <c r="V362"/>
  <c r="W362"/>
  <c r="AB362"/>
  <c r="AM362"/>
  <c r="AN362"/>
  <c r="AW362"/>
  <c r="AY362"/>
  <c r="BC362"/>
  <c r="AU362" s="1"/>
  <c r="BP362"/>
  <c r="BR362"/>
  <c r="BW362"/>
  <c r="BT362" s="1"/>
  <c r="AF362" s="1"/>
  <c r="BX362"/>
  <c r="CK362"/>
  <c r="CM362"/>
  <c r="CQ362"/>
  <c r="CI362" s="1"/>
  <c r="DF362"/>
  <c r="DV362"/>
  <c r="EC362"/>
  <c r="FG362"/>
  <c r="D363"/>
  <c r="E363"/>
  <c r="O363"/>
  <c r="CB363" s="1"/>
  <c r="S363"/>
  <c r="T363"/>
  <c r="U363"/>
  <c r="V363"/>
  <c r="W363"/>
  <c r="AB363"/>
  <c r="AC363" s="1"/>
  <c r="AM363"/>
  <c r="AN363"/>
  <c r="AW363"/>
  <c r="AY363"/>
  <c r="BC363"/>
  <c r="AU363" s="1"/>
  <c r="BG363"/>
  <c r="BP363"/>
  <c r="BR363"/>
  <c r="BW363"/>
  <c r="BT363" s="1"/>
  <c r="AI363" s="1"/>
  <c r="BX363"/>
  <c r="CK363"/>
  <c r="CM363"/>
  <c r="CQ363"/>
  <c r="CI363" s="1"/>
  <c r="DF363"/>
  <c r="DV363"/>
  <c r="EC363"/>
  <c r="FG363"/>
  <c r="D364"/>
  <c r="E364"/>
  <c r="O364"/>
  <c r="CB364" s="1"/>
  <c r="S364"/>
  <c r="T364"/>
  <c r="U364"/>
  <c r="V364"/>
  <c r="W364"/>
  <c r="AB364"/>
  <c r="AM364"/>
  <c r="AN364"/>
  <c r="AW364"/>
  <c r="AY364"/>
  <c r="BC364"/>
  <c r="AU364" s="1"/>
  <c r="BG364"/>
  <c r="BP364"/>
  <c r="BR364"/>
  <c r="BW364"/>
  <c r="BX364"/>
  <c r="CK364"/>
  <c r="CM364"/>
  <c r="CQ364"/>
  <c r="CI364" s="1"/>
  <c r="DF364"/>
  <c r="DV364"/>
  <c r="EC364"/>
  <c r="FG364"/>
  <c r="D365"/>
  <c r="E365"/>
  <c r="O365"/>
  <c r="BG365" s="1"/>
  <c r="S365"/>
  <c r="T365"/>
  <c r="U365"/>
  <c r="V365"/>
  <c r="W365"/>
  <c r="AB365"/>
  <c r="AM365"/>
  <c r="AN365"/>
  <c r="AW365"/>
  <c r="AY365"/>
  <c r="BC365"/>
  <c r="AU365" s="1"/>
  <c r="BP365"/>
  <c r="BR365"/>
  <c r="BW365"/>
  <c r="BT365" s="1"/>
  <c r="AI365" s="1"/>
  <c r="BX365"/>
  <c r="CK365"/>
  <c r="CM365"/>
  <c r="CQ365"/>
  <c r="CI365" s="1"/>
  <c r="DF365"/>
  <c r="DV365"/>
  <c r="EC365"/>
  <c r="FG365"/>
  <c r="D366"/>
  <c r="E366"/>
  <c r="O366"/>
  <c r="BG366" s="1"/>
  <c r="S366"/>
  <c r="T366"/>
  <c r="U366"/>
  <c r="V366"/>
  <c r="W366"/>
  <c r="AB366"/>
  <c r="AM366"/>
  <c r="AN366"/>
  <c r="AW366"/>
  <c r="AY366"/>
  <c r="BC366"/>
  <c r="AU366" s="1"/>
  <c r="BP366"/>
  <c r="BR366"/>
  <c r="BW366"/>
  <c r="BT366" s="1"/>
  <c r="AI366" s="1"/>
  <c r="BX366"/>
  <c r="CK366"/>
  <c r="CM366"/>
  <c r="CQ366"/>
  <c r="CI366" s="1"/>
  <c r="DF366"/>
  <c r="DV366"/>
  <c r="EC366"/>
  <c r="FG366"/>
  <c r="D367"/>
  <c r="E367"/>
  <c r="O367"/>
  <c r="CB367" s="1"/>
  <c r="S367"/>
  <c r="T367"/>
  <c r="U367"/>
  <c r="V367"/>
  <c r="W367"/>
  <c r="AB367"/>
  <c r="AM367"/>
  <c r="AN367"/>
  <c r="AW367"/>
  <c r="AY367"/>
  <c r="BC367"/>
  <c r="AU367" s="1"/>
  <c r="BP367"/>
  <c r="BR367"/>
  <c r="BW367"/>
  <c r="BT367" s="1"/>
  <c r="AI367" s="1"/>
  <c r="BX367"/>
  <c r="CK367"/>
  <c r="CM367"/>
  <c r="CQ367"/>
  <c r="CI367" s="1"/>
  <c r="DF367"/>
  <c r="DV367"/>
  <c r="EC367"/>
  <c r="FG367"/>
  <c r="D368"/>
  <c r="E368"/>
  <c r="O368"/>
  <c r="CB368" s="1"/>
  <c r="S368"/>
  <c r="T368"/>
  <c r="U368"/>
  <c r="V368"/>
  <c r="W368"/>
  <c r="AB368"/>
  <c r="AM368"/>
  <c r="AN368"/>
  <c r="AW368"/>
  <c r="AY368"/>
  <c r="BC368"/>
  <c r="AU368" s="1"/>
  <c r="BP368"/>
  <c r="BR368"/>
  <c r="BW368"/>
  <c r="BT368" s="1"/>
  <c r="BX368"/>
  <c r="CK368"/>
  <c r="CM368"/>
  <c r="CQ368"/>
  <c r="CI368" s="1"/>
  <c r="DF368"/>
  <c r="DV368"/>
  <c r="EC368"/>
  <c r="FG368"/>
  <c r="D369"/>
  <c r="E369"/>
  <c r="O369"/>
  <c r="BG369" s="1"/>
  <c r="S369"/>
  <c r="T369"/>
  <c r="U369"/>
  <c r="V369"/>
  <c r="W369"/>
  <c r="AB369"/>
  <c r="AM369"/>
  <c r="AN369"/>
  <c r="AW369"/>
  <c r="AY369"/>
  <c r="BC369"/>
  <c r="AU369" s="1"/>
  <c r="BP369"/>
  <c r="BR369"/>
  <c r="BW369"/>
  <c r="BT369" s="1"/>
  <c r="AI369" s="1"/>
  <c r="BX369"/>
  <c r="CB369"/>
  <c r="CK369"/>
  <c r="CM369"/>
  <c r="CQ369"/>
  <c r="CI369" s="1"/>
  <c r="CU369"/>
  <c r="DF369"/>
  <c r="DV369"/>
  <c r="EC369"/>
  <c r="FG369"/>
  <c r="D370"/>
  <c r="E370"/>
  <c r="O370"/>
  <c r="BG370" s="1"/>
  <c r="S370"/>
  <c r="T370"/>
  <c r="U370"/>
  <c r="V370"/>
  <c r="W370"/>
  <c r="AB370"/>
  <c r="AM370"/>
  <c r="AN370"/>
  <c r="AW370"/>
  <c r="AY370"/>
  <c r="BC370"/>
  <c r="AU370" s="1"/>
  <c r="BP370"/>
  <c r="BR370"/>
  <c r="BW370"/>
  <c r="BT370" s="1"/>
  <c r="AI370" s="1"/>
  <c r="BX370"/>
  <c r="CK370"/>
  <c r="CM370"/>
  <c r="CQ370"/>
  <c r="CI370" s="1"/>
  <c r="DF370"/>
  <c r="DV370"/>
  <c r="EC370"/>
  <c r="FG370"/>
  <c r="D371"/>
  <c r="E371"/>
  <c r="O371"/>
  <c r="CB371" s="1"/>
  <c r="S371"/>
  <c r="T371"/>
  <c r="U371"/>
  <c r="V371"/>
  <c r="W371"/>
  <c r="AB371"/>
  <c r="AM371"/>
  <c r="AN371"/>
  <c r="AW371"/>
  <c r="AY371"/>
  <c r="BC371"/>
  <c r="AU371" s="1"/>
  <c r="BG371"/>
  <c r="BP371"/>
  <c r="BR371"/>
  <c r="BW371"/>
  <c r="BT371" s="1"/>
  <c r="AI371" s="1"/>
  <c r="BX371"/>
  <c r="CK371"/>
  <c r="CM371"/>
  <c r="CQ371"/>
  <c r="CI371" s="1"/>
  <c r="DF371"/>
  <c r="DV371"/>
  <c r="EC371"/>
  <c r="FG371"/>
  <c r="D372"/>
  <c r="E372"/>
  <c r="O372"/>
  <c r="CB372" s="1"/>
  <c r="S372"/>
  <c r="T372"/>
  <c r="U372"/>
  <c r="V372"/>
  <c r="W372"/>
  <c r="AB372"/>
  <c r="AM372"/>
  <c r="AN372"/>
  <c r="AW372"/>
  <c r="AY372"/>
  <c r="BC372"/>
  <c r="AU372" s="1"/>
  <c r="BG372"/>
  <c r="BP372"/>
  <c r="BR372"/>
  <c r="BW372"/>
  <c r="BX372"/>
  <c r="CK372"/>
  <c r="CM372"/>
  <c r="CQ372"/>
  <c r="CI372" s="1"/>
  <c r="DF372"/>
  <c r="DV372"/>
  <c r="EC372"/>
  <c r="FG372"/>
  <c r="D373"/>
  <c r="E373"/>
  <c r="O373"/>
  <c r="CB373" s="1"/>
  <c r="S373"/>
  <c r="T373"/>
  <c r="U373"/>
  <c r="V373"/>
  <c r="W373"/>
  <c r="AB373"/>
  <c r="AM373"/>
  <c r="AN373"/>
  <c r="AW373"/>
  <c r="AY373"/>
  <c r="BC373"/>
  <c r="AU373" s="1"/>
  <c r="BP373"/>
  <c r="BR373"/>
  <c r="BW373"/>
  <c r="BT373" s="1"/>
  <c r="AI373" s="1"/>
  <c r="BX373"/>
  <c r="CK373"/>
  <c r="CM373"/>
  <c r="CQ373"/>
  <c r="CI373" s="1"/>
  <c r="DF373"/>
  <c r="DV373"/>
  <c r="EC373"/>
  <c r="FG373"/>
  <c r="D374"/>
  <c r="E374"/>
  <c r="O374"/>
  <c r="CB374" s="1"/>
  <c r="S374"/>
  <c r="T374"/>
  <c r="U374"/>
  <c r="V374"/>
  <c r="W374"/>
  <c r="AB374"/>
  <c r="AM374"/>
  <c r="AN374"/>
  <c r="AW374"/>
  <c r="AY374"/>
  <c r="BC374"/>
  <c r="AU374" s="1"/>
  <c r="BG374"/>
  <c r="BP374"/>
  <c r="BR374"/>
  <c r="BW374"/>
  <c r="BT374" s="1"/>
  <c r="BX374"/>
  <c r="CK374"/>
  <c r="CM374"/>
  <c r="CQ374"/>
  <c r="CI374" s="1"/>
  <c r="DF374"/>
  <c r="DV374"/>
  <c r="EC374"/>
  <c r="FG374"/>
  <c r="D375"/>
  <c r="E375"/>
  <c r="O375"/>
  <c r="BG375" s="1"/>
  <c r="S375"/>
  <c r="T375"/>
  <c r="U375"/>
  <c r="V375"/>
  <c r="W375"/>
  <c r="AB375"/>
  <c r="AM375"/>
  <c r="AN375"/>
  <c r="AW375"/>
  <c r="AY375"/>
  <c r="BC375"/>
  <c r="AU375" s="1"/>
  <c r="BP375"/>
  <c r="BR375"/>
  <c r="BW375"/>
  <c r="BT375" s="1"/>
  <c r="AI375" s="1"/>
  <c r="BX375"/>
  <c r="CK375"/>
  <c r="CM375"/>
  <c r="CQ375"/>
  <c r="CI375" s="1"/>
  <c r="DF375"/>
  <c r="DV375"/>
  <c r="EC375"/>
  <c r="FG375"/>
  <c r="D376"/>
  <c r="E376"/>
  <c r="O376"/>
  <c r="CB376" s="1"/>
  <c r="S376"/>
  <c r="T376"/>
  <c r="U376"/>
  <c r="V376"/>
  <c r="W376"/>
  <c r="AB376"/>
  <c r="AM376"/>
  <c r="AN376"/>
  <c r="AW376"/>
  <c r="AY376"/>
  <c r="BC376"/>
  <c r="AU376" s="1"/>
  <c r="BG376"/>
  <c r="BP376"/>
  <c r="BR376"/>
  <c r="BW376"/>
  <c r="BT376" s="1"/>
  <c r="AF376" s="1"/>
  <c r="BX376"/>
  <c r="CK376"/>
  <c r="CM376"/>
  <c r="CQ376"/>
  <c r="CI376" s="1"/>
  <c r="DF376"/>
  <c r="DV376"/>
  <c r="EC376"/>
  <c r="FG376"/>
  <c r="D377"/>
  <c r="E377"/>
  <c r="O377"/>
  <c r="CB377" s="1"/>
  <c r="S377"/>
  <c r="T377"/>
  <c r="U377"/>
  <c r="V377"/>
  <c r="W377"/>
  <c r="AB377"/>
  <c r="AM377"/>
  <c r="AN377"/>
  <c r="AW377"/>
  <c r="AY377"/>
  <c r="BC377"/>
  <c r="AU377" s="1"/>
  <c r="BG377"/>
  <c r="BP377"/>
  <c r="BR377"/>
  <c r="BW377"/>
  <c r="BT377" s="1"/>
  <c r="AI377" s="1"/>
  <c r="BX377"/>
  <c r="CK377"/>
  <c r="CM377"/>
  <c r="CQ377"/>
  <c r="CI377" s="1"/>
  <c r="DF377"/>
  <c r="DV377"/>
  <c r="EC377"/>
  <c r="FG377"/>
  <c r="D378"/>
  <c r="E378"/>
  <c r="O378"/>
  <c r="CB378" s="1"/>
  <c r="S378"/>
  <c r="T378"/>
  <c r="U378"/>
  <c r="V378"/>
  <c r="W378"/>
  <c r="AB378"/>
  <c r="AM378"/>
  <c r="AN378"/>
  <c r="AW378"/>
  <c r="AY378"/>
  <c r="BC378"/>
  <c r="AU378" s="1"/>
  <c r="BG378"/>
  <c r="BP378"/>
  <c r="BR378"/>
  <c r="BW378"/>
  <c r="BX378"/>
  <c r="CK378"/>
  <c r="CM378"/>
  <c r="CQ378"/>
  <c r="CI378" s="1"/>
  <c r="DF378"/>
  <c r="DV378"/>
  <c r="EC378"/>
  <c r="FG378"/>
  <c r="D379"/>
  <c r="E379"/>
  <c r="O379"/>
  <c r="S379"/>
  <c r="T379"/>
  <c r="U379"/>
  <c r="V379"/>
  <c r="W379"/>
  <c r="AB379"/>
  <c r="AM379"/>
  <c r="AN379"/>
  <c r="AW379"/>
  <c r="AY379"/>
  <c r="BC379"/>
  <c r="AU379" s="1"/>
  <c r="BG379"/>
  <c r="BP379"/>
  <c r="BR379"/>
  <c r="BW379"/>
  <c r="BT379" s="1"/>
  <c r="AI379" s="1"/>
  <c r="BX379"/>
  <c r="CB379"/>
  <c r="CK379"/>
  <c r="CM379"/>
  <c r="CQ379"/>
  <c r="CI379" s="1"/>
  <c r="CU379"/>
  <c r="DF379"/>
  <c r="DV379"/>
  <c r="EC379"/>
  <c r="EF379"/>
  <c r="EG379"/>
  <c r="EH379"/>
  <c r="FE379"/>
  <c r="FG379"/>
  <c r="D380"/>
  <c r="E380"/>
  <c r="O380"/>
  <c r="CB380" s="1"/>
  <c r="S380"/>
  <c r="T380"/>
  <c r="U380"/>
  <c r="V380"/>
  <c r="W380"/>
  <c r="AB380"/>
  <c r="AM380"/>
  <c r="AN380"/>
  <c r="AW380"/>
  <c r="AY380"/>
  <c r="BC380"/>
  <c r="AU380" s="1"/>
  <c r="BG380"/>
  <c r="BP380"/>
  <c r="BR380"/>
  <c r="BW380"/>
  <c r="BX380"/>
  <c r="CK380"/>
  <c r="CM380"/>
  <c r="CQ380"/>
  <c r="CI380" s="1"/>
  <c r="DF380"/>
  <c r="DV380"/>
  <c r="EC380"/>
  <c r="EF380"/>
  <c r="EG380"/>
  <c r="EH380"/>
  <c r="FG380"/>
  <c r="D381"/>
  <c r="E381"/>
  <c r="O381"/>
  <c r="CB381" s="1"/>
  <c r="S381"/>
  <c r="T381"/>
  <c r="U381"/>
  <c r="V381"/>
  <c r="W381"/>
  <c r="AB381"/>
  <c r="AM381"/>
  <c r="AN381"/>
  <c r="AW381"/>
  <c r="AY381"/>
  <c r="BC381"/>
  <c r="AU381" s="1"/>
  <c r="BP381"/>
  <c r="BR381"/>
  <c r="BW381"/>
  <c r="BT381" s="1"/>
  <c r="AI381" s="1"/>
  <c r="BX381"/>
  <c r="CK381"/>
  <c r="CM381"/>
  <c r="CQ381"/>
  <c r="CI381" s="1"/>
  <c r="DF381"/>
  <c r="DV381"/>
  <c r="EC381"/>
  <c r="EF381"/>
  <c r="EG381"/>
  <c r="EH381"/>
  <c r="FG381"/>
  <c r="D382"/>
  <c r="E382"/>
  <c r="N382"/>
  <c r="O382"/>
  <c r="CB382" s="1"/>
  <c r="S382"/>
  <c r="T382"/>
  <c r="U382"/>
  <c r="V382"/>
  <c r="W382"/>
  <c r="AB382"/>
  <c r="AM382"/>
  <c r="AN382"/>
  <c r="AW382"/>
  <c r="AY382"/>
  <c r="BC382"/>
  <c r="AU382" s="1"/>
  <c r="BG382"/>
  <c r="BP382"/>
  <c r="BR382"/>
  <c r="BW382"/>
  <c r="BT382" s="1"/>
  <c r="BX382"/>
  <c r="CK382"/>
  <c r="CM382"/>
  <c r="CQ382"/>
  <c r="CI382" s="1"/>
  <c r="DF382"/>
  <c r="DV382"/>
  <c r="EC382"/>
  <c r="EF382"/>
  <c r="EG382"/>
  <c r="EH382"/>
  <c r="FG382"/>
  <c r="D383"/>
  <c r="E383"/>
  <c r="N383"/>
  <c r="O383"/>
  <c r="BG383" s="1"/>
  <c r="S383"/>
  <c r="T383"/>
  <c r="U383"/>
  <c r="V383"/>
  <c r="W383"/>
  <c r="AB383"/>
  <c r="AM383"/>
  <c r="AN383"/>
  <c r="AW383"/>
  <c r="AY383"/>
  <c r="BC383"/>
  <c r="AU383" s="1"/>
  <c r="BP383"/>
  <c r="BR383"/>
  <c r="BW383"/>
  <c r="BT383" s="1"/>
  <c r="AI383" s="1"/>
  <c r="BX383"/>
  <c r="CK383"/>
  <c r="CM383"/>
  <c r="CQ383"/>
  <c r="CI383" s="1"/>
  <c r="DF383"/>
  <c r="DV383"/>
  <c r="EC383"/>
  <c r="EF383"/>
  <c r="EG383"/>
  <c r="EH383"/>
  <c r="FG383"/>
  <c r="D384"/>
  <c r="E384"/>
  <c r="N384"/>
  <c r="O384"/>
  <c r="CB384" s="1"/>
  <c r="S384"/>
  <c r="T384"/>
  <c r="U384"/>
  <c r="V384"/>
  <c r="W384"/>
  <c r="AB384"/>
  <c r="AM384"/>
  <c r="AN384"/>
  <c r="AW384"/>
  <c r="AY384"/>
  <c r="BC384"/>
  <c r="AU384" s="1"/>
  <c r="BG384"/>
  <c r="BP384"/>
  <c r="BR384"/>
  <c r="BW384"/>
  <c r="BT384" s="1"/>
  <c r="AF384" s="1"/>
  <c r="BX384"/>
  <c r="CK384"/>
  <c r="CM384"/>
  <c r="CQ384"/>
  <c r="CI384" s="1"/>
  <c r="DF384"/>
  <c r="DV384"/>
  <c r="EC384"/>
  <c r="EF384"/>
  <c r="EG384"/>
  <c r="EH384"/>
  <c r="FG384"/>
  <c r="D385"/>
  <c r="N382" i="45" s="1"/>
  <c r="E385" i="43"/>
  <c r="M382" i="45" s="1"/>
  <c r="N385" i="43"/>
  <c r="O385"/>
  <c r="CB385" s="1"/>
  <c r="S385"/>
  <c r="T385"/>
  <c r="U385"/>
  <c r="E382" i="45" s="1"/>
  <c r="V385" i="43"/>
  <c r="F382" i="45" s="1"/>
  <c r="W385" i="43"/>
  <c r="G382" i="45" s="1"/>
  <c r="AB385" i="43"/>
  <c r="AM385"/>
  <c r="AN385"/>
  <c r="AW385"/>
  <c r="AY385"/>
  <c r="BC385"/>
  <c r="AU385" s="1"/>
  <c r="BG385"/>
  <c r="BP385"/>
  <c r="BR385"/>
  <c r="BW385"/>
  <c r="BT385" s="1"/>
  <c r="AI385" s="1"/>
  <c r="BX385"/>
  <c r="CK385"/>
  <c r="CM385"/>
  <c r="CQ385"/>
  <c r="CI385" s="1"/>
  <c r="DF385"/>
  <c r="DV385"/>
  <c r="EC385"/>
  <c r="EF385"/>
  <c r="EG385"/>
  <c r="EH385"/>
  <c r="FG385"/>
  <c r="Y5" i="45"/>
  <c r="CY139" i="32"/>
  <c r="CB370" i="43" l="1"/>
  <c r="FE370"/>
  <c r="CU370"/>
  <c r="DG370"/>
  <c r="FE172"/>
  <c r="FE333"/>
  <c r="CU333"/>
  <c r="FE321"/>
  <c r="CU321"/>
  <c r="AC251"/>
  <c r="P216"/>
  <c r="AC345"/>
  <c r="DG279"/>
  <c r="FE188"/>
  <c r="FE171"/>
  <c r="P293"/>
  <c r="AC287"/>
  <c r="FE214"/>
  <c r="AC209"/>
  <c r="AC205"/>
  <c r="DG203"/>
  <c r="AC201"/>
  <c r="AC187"/>
  <c r="AC379"/>
  <c r="AC378"/>
  <c r="DG377"/>
  <c r="AC373"/>
  <c r="AC358"/>
  <c r="AC352"/>
  <c r="AC327"/>
  <c r="CU346"/>
  <c r="CB346"/>
  <c r="AC322"/>
  <c r="P318"/>
  <c r="FE297"/>
  <c r="CU297"/>
  <c r="AC279"/>
  <c r="AC268"/>
  <c r="AC227"/>
  <c r="DG335"/>
  <c r="AC319"/>
  <c r="DG317"/>
  <c r="P247"/>
  <c r="P243"/>
  <c r="P239"/>
  <c r="P235"/>
  <c r="P231"/>
  <c r="FE229"/>
  <c r="P229"/>
  <c r="FE227"/>
  <c r="FE225"/>
  <c r="FE184"/>
  <c r="DG223"/>
  <c r="FE215"/>
  <c r="AC294"/>
  <c r="DG293"/>
  <c r="FE189"/>
  <c r="FE185"/>
  <c r="P185"/>
  <c r="AC177"/>
  <c r="DG175"/>
  <c r="CU167"/>
  <c r="DG368"/>
  <c r="DG363"/>
  <c r="AC362"/>
  <c r="P360"/>
  <c r="DG352"/>
  <c r="P336"/>
  <c r="CU286"/>
  <c r="CB286"/>
  <c r="FE178"/>
  <c r="P335"/>
  <c r="DG323"/>
  <c r="AC309"/>
  <c r="DG299"/>
  <c r="FE284"/>
  <c r="CU284"/>
  <c r="DG381"/>
  <c r="DG379"/>
  <c r="P377"/>
  <c r="FE341"/>
  <c r="CU341"/>
  <c r="P223"/>
  <c r="CU214"/>
  <c r="AC164"/>
  <c r="AC385"/>
  <c r="P376"/>
  <c r="AC367"/>
  <c r="DG360"/>
  <c r="AC335"/>
  <c r="DG289"/>
  <c r="AC278"/>
  <c r="DG277"/>
  <c r="AC377"/>
  <c r="AC317"/>
  <c r="DG315"/>
  <c r="P315"/>
  <c r="FE165"/>
  <c r="P364"/>
  <c r="AC360"/>
  <c r="FE352"/>
  <c r="CU352"/>
  <c r="EI220"/>
  <c r="FE211"/>
  <c r="DG172"/>
  <c r="P337"/>
  <c r="FE335"/>
  <c r="CU335"/>
  <c r="P326"/>
  <c r="P314"/>
  <c r="P302"/>
  <c r="P299"/>
  <c r="FE298"/>
  <c r="CU298"/>
  <c r="P265"/>
  <c r="AC264"/>
  <c r="DG171"/>
  <c r="AC167"/>
  <c r="AC383"/>
  <c r="DG375"/>
  <c r="FE353"/>
  <c r="CU353"/>
  <c r="FE351"/>
  <c r="CU351"/>
  <c r="P343"/>
  <c r="FE342"/>
  <c r="CU342"/>
  <c r="DG331"/>
  <c r="DG325"/>
  <c r="EI215"/>
  <c r="DG208"/>
  <c r="DG200"/>
  <c r="DG187"/>
  <c r="P176"/>
  <c r="P346"/>
  <c r="AC337"/>
  <c r="FE334"/>
  <c r="CU334"/>
  <c r="DG303"/>
  <c r="P276"/>
  <c r="FE270"/>
  <c r="P264"/>
  <c r="AC211"/>
  <c r="DG177"/>
  <c r="FE166"/>
  <c r="DG163"/>
  <c r="DG297"/>
  <c r="AC297"/>
  <c r="P292"/>
  <c r="AC292"/>
  <c r="P378"/>
  <c r="AC375"/>
  <c r="P373"/>
  <c r="FE369"/>
  <c r="AC364"/>
  <c r="AC356"/>
  <c r="CU349"/>
  <c r="CB349"/>
  <c r="P342"/>
  <c r="P341"/>
  <c r="FE339"/>
  <c r="CU338"/>
  <c r="CB338"/>
  <c r="CU337"/>
  <c r="CB337"/>
  <c r="AC336"/>
  <c r="P333"/>
  <c r="AC331"/>
  <c r="AC329"/>
  <c r="DG327"/>
  <c r="P327"/>
  <c r="CU324"/>
  <c r="CB324"/>
  <c r="AC323"/>
  <c r="DG319"/>
  <c r="P319"/>
  <c r="CU316"/>
  <c r="CB316"/>
  <c r="AC315"/>
  <c r="AC313"/>
  <c r="AC311"/>
  <c r="AC298"/>
  <c r="AC380"/>
  <c r="P367"/>
  <c r="P317"/>
  <c r="CU294"/>
  <c r="CB294"/>
  <c r="CB293"/>
  <c r="P381"/>
  <c r="P384"/>
  <c r="FE380"/>
  <c r="CU380"/>
  <c r="P379"/>
  <c r="P375"/>
  <c r="AC372"/>
  <c r="P363"/>
  <c r="P352"/>
  <c r="P345"/>
  <c r="AC307"/>
  <c r="P251"/>
  <c r="CU250"/>
  <c r="CB250"/>
  <c r="FE244"/>
  <c r="CU244"/>
  <c r="DG209"/>
  <c r="DG205"/>
  <c r="AC203"/>
  <c r="DG201"/>
  <c r="P197"/>
  <c r="FE186"/>
  <c r="CU186"/>
  <c r="DG178"/>
  <c r="P281"/>
  <c r="FE277"/>
  <c r="P277"/>
  <c r="DG263"/>
  <c r="P244"/>
  <c r="P241"/>
  <c r="P237"/>
  <c r="P233"/>
  <c r="DG225"/>
  <c r="AC224"/>
  <c r="EI217"/>
  <c r="AC197"/>
  <c r="FE196"/>
  <c r="CU196"/>
  <c r="P178"/>
  <c r="P308"/>
  <c r="P297"/>
  <c r="AC293"/>
  <c r="P291"/>
  <c r="P287"/>
  <c r="AC286"/>
  <c r="P278"/>
  <c r="P269"/>
  <c r="DG267"/>
  <c r="P267"/>
  <c r="AC256"/>
  <c r="FE251"/>
  <c r="AC250"/>
  <c r="P246"/>
  <c r="FE221"/>
  <c r="CU221"/>
  <c r="P219"/>
  <c r="FE218"/>
  <c r="CU218"/>
  <c r="P214"/>
  <c r="FE213"/>
  <c r="CU213"/>
  <c r="CB213"/>
  <c r="P213"/>
  <c r="AC200"/>
  <c r="DG193"/>
  <c r="P193"/>
  <c r="FE173"/>
  <c r="CU173"/>
  <c r="EI172"/>
  <c r="P157"/>
  <c r="P290"/>
  <c r="DG291"/>
  <c r="AC291"/>
  <c r="AC289"/>
  <c r="DG287"/>
  <c r="AC283"/>
  <c r="P271"/>
  <c r="DG265"/>
  <c r="AC265"/>
  <c r="P263"/>
  <c r="P268"/>
  <c r="DG261"/>
  <c r="AC261"/>
  <c r="P259"/>
  <c r="DG259"/>
  <c r="AC259"/>
  <c r="P257"/>
  <c r="DG257"/>
  <c r="AC257"/>
  <c r="P255"/>
  <c r="AC253"/>
  <c r="P252"/>
  <c r="P249"/>
  <c r="P369"/>
  <c r="P368"/>
  <c r="P362"/>
  <c r="P354"/>
  <c r="AC353"/>
  <c r="P350"/>
  <c r="P348"/>
  <c r="P339"/>
  <c r="P325"/>
  <c r="P289"/>
  <c r="AC189"/>
  <c r="DG164"/>
  <c r="EI157"/>
  <c r="EI384"/>
  <c r="P371"/>
  <c r="P331"/>
  <c r="P330"/>
  <c r="FE328"/>
  <c r="CU328"/>
  <c r="P313"/>
  <c r="FE296"/>
  <c r="CU296"/>
  <c r="P295"/>
  <c r="FE292"/>
  <c r="CU292"/>
  <c r="P285"/>
  <c r="FE282"/>
  <c r="CU282"/>
  <c r="P274"/>
  <c r="FE268"/>
  <c r="AC263"/>
  <c r="FE262"/>
  <c r="CU262"/>
  <c r="DG250"/>
  <c r="EI247"/>
  <c r="CU220"/>
  <c r="CB220"/>
  <c r="FE217"/>
  <c r="CU217"/>
  <c r="EI213"/>
  <c r="EI211"/>
  <c r="P211"/>
  <c r="P209"/>
  <c r="P208"/>
  <c r="P205"/>
  <c r="P203"/>
  <c r="P201"/>
  <c r="P199"/>
  <c r="P198"/>
  <c r="DG195"/>
  <c r="EI191"/>
  <c r="AC191"/>
  <c r="FE190"/>
  <c r="CU190"/>
  <c r="P189"/>
  <c r="FE182"/>
  <c r="DG179"/>
  <c r="AC178"/>
  <c r="FE177"/>
  <c r="CU177"/>
  <c r="AC171"/>
  <c r="DG170"/>
  <c r="P170"/>
  <c r="DG167"/>
  <c r="AC165"/>
  <c r="FE163"/>
  <c r="CU163"/>
  <c r="FE162"/>
  <c r="CU162"/>
  <c r="AC158"/>
  <c r="FE378"/>
  <c r="CU378"/>
  <c r="DG373"/>
  <c r="FE371"/>
  <c r="CU371"/>
  <c r="P370"/>
  <c r="DG366"/>
  <c r="P366"/>
  <c r="FE364"/>
  <c r="CU364"/>
  <c r="P359"/>
  <c r="P358"/>
  <c r="AC351"/>
  <c r="FE350"/>
  <c r="DG350"/>
  <c r="DG348"/>
  <c r="P347"/>
  <c r="FE345"/>
  <c r="CU345"/>
  <c r="AC341"/>
  <c r="P340"/>
  <c r="P338"/>
  <c r="DG333"/>
  <c r="AC333"/>
  <c r="FE332"/>
  <c r="CU332"/>
  <c r="P329"/>
  <c r="AC326"/>
  <c r="P323"/>
  <c r="P322"/>
  <c r="AC321"/>
  <c r="FE320"/>
  <c r="CU320"/>
  <c r="P309"/>
  <c r="P307"/>
  <c r="AC305"/>
  <c r="AC303"/>
  <c r="AC296"/>
  <c r="FE295"/>
  <c r="CU295"/>
  <c r="DG285"/>
  <c r="P283"/>
  <c r="P279"/>
  <c r="FE274"/>
  <c r="CU274"/>
  <c r="P273"/>
  <c r="P248"/>
  <c r="EI245"/>
  <c r="FE228"/>
  <c r="CU228"/>
  <c r="EI225"/>
  <c r="EI174"/>
  <c r="AH382" i="45"/>
  <c r="DG383" i="43"/>
  <c r="P383"/>
  <c r="AC381"/>
  <c r="FE368"/>
  <c r="P365"/>
  <c r="DG364"/>
  <c r="FE363"/>
  <c r="DG356"/>
  <c r="P356"/>
  <c r="AC354"/>
  <c r="AC350"/>
  <c r="AC348"/>
  <c r="P344"/>
  <c r="DG336"/>
  <c r="AC330"/>
  <c r="AC325"/>
  <c r="P321"/>
  <c r="AC318"/>
  <c r="FE311"/>
  <c r="CU311"/>
  <c r="P311"/>
  <c r="P310"/>
  <c r="P305"/>
  <c r="P303"/>
  <c r="DG301"/>
  <c r="P301"/>
  <c r="DG295"/>
  <c r="AC295"/>
  <c r="AC285"/>
  <c r="P282"/>
  <c r="FE279"/>
  <c r="P275"/>
  <c r="FE273"/>
  <c r="CU273"/>
  <c r="P272"/>
  <c r="AC270"/>
  <c r="AC267"/>
  <c r="FE266"/>
  <c r="CU266"/>
  <c r="P256"/>
  <c r="P253"/>
  <c r="P250"/>
  <c r="AC249"/>
  <c r="FE246"/>
  <c r="CU246"/>
  <c r="EI243"/>
  <c r="AC243"/>
  <c r="DG241"/>
  <c r="AC239"/>
  <c r="DG237"/>
  <c r="AC235"/>
  <c r="DG233"/>
  <c r="AC231"/>
  <c r="AC228"/>
  <c r="FE226"/>
  <c r="CU226"/>
  <c r="FE223"/>
  <c r="P222"/>
  <c r="DG221"/>
  <c r="AC221"/>
  <c r="EI218"/>
  <c r="FE216"/>
  <c r="CU216"/>
  <c r="FE209"/>
  <c r="CU209"/>
  <c r="FE208"/>
  <c r="CU208"/>
  <c r="FE207"/>
  <c r="CU207"/>
  <c r="FE206"/>
  <c r="CU206"/>
  <c r="FE205"/>
  <c r="CU205"/>
  <c r="FE204"/>
  <c r="CU204"/>
  <c r="FE203"/>
  <c r="CU203"/>
  <c r="FE202"/>
  <c r="CU202"/>
  <c r="FE201"/>
  <c r="CU201"/>
  <c r="FE200"/>
  <c r="CU200"/>
  <c r="FE199"/>
  <c r="CU199"/>
  <c r="FE198"/>
  <c r="CU198"/>
  <c r="FE197"/>
  <c r="DG196"/>
  <c r="EI195"/>
  <c r="FE194"/>
  <c r="CU194"/>
  <c r="DG191"/>
  <c r="DG189"/>
  <c r="EI188"/>
  <c r="EI179"/>
  <c r="DG173"/>
  <c r="AC173"/>
  <c r="P172"/>
  <c r="EI170"/>
  <c r="AC169"/>
  <c r="DG168"/>
  <c r="FE164"/>
  <c r="P163"/>
  <c r="P160"/>
  <c r="P158"/>
  <c r="DG385"/>
  <c r="Q382" i="45"/>
  <c r="R382" s="1"/>
  <c r="S382" s="1"/>
  <c r="AC384" i="43"/>
  <c r="FE383"/>
  <c r="CU383"/>
  <c r="CB383"/>
  <c r="FE382"/>
  <c r="CU382"/>
  <c r="EI381"/>
  <c r="BG381"/>
  <c r="EI380"/>
  <c r="P380"/>
  <c r="AC376"/>
  <c r="FE375"/>
  <c r="CU375"/>
  <c r="CB375"/>
  <c r="FE374"/>
  <c r="CU374"/>
  <c r="BG373"/>
  <c r="FE372"/>
  <c r="CU372"/>
  <c r="DG371"/>
  <c r="AC371"/>
  <c r="BG368"/>
  <c r="BG367"/>
  <c r="CU366"/>
  <c r="CB366"/>
  <c r="FE365"/>
  <c r="CU365"/>
  <c r="CB365"/>
  <c r="FE362"/>
  <c r="CU362"/>
  <c r="CB362"/>
  <c r="FE361"/>
  <c r="CU361"/>
  <c r="BG360"/>
  <c r="CU359"/>
  <c r="CB359"/>
  <c r="BG358"/>
  <c r="P357"/>
  <c r="P355"/>
  <c r="FE303"/>
  <c r="AC300"/>
  <c r="FE299"/>
  <c r="CU299"/>
  <c r="CB299"/>
  <c r="AC288"/>
  <c r="FE287"/>
  <c r="CU287"/>
  <c r="CB287"/>
  <c r="P284"/>
  <c r="FE263"/>
  <c r="CU263"/>
  <c r="CB263"/>
  <c r="AC382"/>
  <c r="FE381"/>
  <c r="CU381"/>
  <c r="EI379"/>
  <c r="AC374"/>
  <c r="FE373"/>
  <c r="CU373"/>
  <c r="CU368"/>
  <c r="FE367"/>
  <c r="CU367"/>
  <c r="FE366"/>
  <c r="AC365"/>
  <c r="AC361"/>
  <c r="FE360"/>
  <c r="CU360"/>
  <c r="AC359"/>
  <c r="FE358"/>
  <c r="CU358"/>
  <c r="FE357"/>
  <c r="CU357"/>
  <c r="BG356"/>
  <c r="CU355"/>
  <c r="CB355"/>
  <c r="BG354"/>
  <c r="P353"/>
  <c r="P351"/>
  <c r="FE344"/>
  <c r="AC343"/>
  <c r="BG340"/>
  <c r="FE336"/>
  <c r="CU336"/>
  <c r="AC334"/>
  <c r="P332"/>
  <c r="AC328"/>
  <c r="FE327"/>
  <c r="CU327"/>
  <c r="FE326"/>
  <c r="CU326"/>
  <c r="BG325"/>
  <c r="P324"/>
  <c r="AC320"/>
  <c r="FE319"/>
  <c r="CU319"/>
  <c r="FE318"/>
  <c r="CU318"/>
  <c r="BG317"/>
  <c r="P316"/>
  <c r="FE312"/>
  <c r="CU312"/>
  <c r="FE307"/>
  <c r="CU307"/>
  <c r="CB307"/>
  <c r="FE281"/>
  <c r="CU281"/>
  <c r="CB281"/>
  <c r="BG276"/>
  <c r="BG275"/>
  <c r="AC271"/>
  <c r="DG269"/>
  <c r="AC269"/>
  <c r="BG267"/>
  <c r="P266"/>
  <c r="AC262"/>
  <c r="FE261"/>
  <c r="CU261"/>
  <c r="AC260"/>
  <c r="FE259"/>
  <c r="CU259"/>
  <c r="AC258"/>
  <c r="FE257"/>
  <c r="CU257"/>
  <c r="FE255"/>
  <c r="CU255"/>
  <c r="CB255"/>
  <c r="EI249"/>
  <c r="BG249"/>
  <c r="EI246"/>
  <c r="FE245"/>
  <c r="CU245"/>
  <c r="DG243"/>
  <c r="AC241"/>
  <c r="DG239"/>
  <c r="AC237"/>
  <c r="DG235"/>
  <c r="AC233"/>
  <c r="DG231"/>
  <c r="CB247"/>
  <c r="CU247"/>
  <c r="FE247"/>
  <c r="B382" i="45"/>
  <c r="P385" i="43"/>
  <c r="AC357"/>
  <c r="FE356"/>
  <c r="CU356"/>
  <c r="AC355"/>
  <c r="FE354"/>
  <c r="CU354"/>
  <c r="FE325"/>
  <c r="CU325"/>
  <c r="FE317"/>
  <c r="CU317"/>
  <c r="CB311"/>
  <c r="FE305"/>
  <c r="CU305"/>
  <c r="CB305"/>
  <c r="CU303"/>
  <c r="CB303"/>
  <c r="FE302"/>
  <c r="CU302"/>
  <c r="BG301"/>
  <c r="P300"/>
  <c r="FE291"/>
  <c r="CU291"/>
  <c r="FE290"/>
  <c r="CU290"/>
  <c r="BG289"/>
  <c r="P288"/>
  <c r="BG278"/>
  <c r="CU276"/>
  <c r="CB276"/>
  <c r="FE275"/>
  <c r="CU275"/>
  <c r="DG273"/>
  <c r="AC273"/>
  <c r="P270"/>
  <c r="CU267"/>
  <c r="CB267"/>
  <c r="FE249"/>
  <c r="CU249"/>
  <c r="CB222"/>
  <c r="CU222"/>
  <c r="FE222"/>
  <c r="EI385"/>
  <c r="FE385"/>
  <c r="CU385"/>
  <c r="FE384"/>
  <c r="CU384"/>
  <c r="EI383"/>
  <c r="EI382"/>
  <c r="P382"/>
  <c r="FE377"/>
  <c r="CU377"/>
  <c r="FE376"/>
  <c r="CU376"/>
  <c r="P374"/>
  <c r="P372"/>
  <c r="AC369"/>
  <c r="CU363"/>
  <c r="P361"/>
  <c r="P349"/>
  <c r="AC347"/>
  <c r="AC339"/>
  <c r="P334"/>
  <c r="AC332"/>
  <c r="FE331"/>
  <c r="CU331"/>
  <c r="FE330"/>
  <c r="CU330"/>
  <c r="P328"/>
  <c r="AC324"/>
  <c r="FE323"/>
  <c r="CU323"/>
  <c r="FE322"/>
  <c r="CU322"/>
  <c r="P320"/>
  <c r="AC316"/>
  <c r="FE315"/>
  <c r="CU315"/>
  <c r="FE314"/>
  <c r="CU314"/>
  <c r="P312"/>
  <c r="FE310"/>
  <c r="CU310"/>
  <c r="P306"/>
  <c r="P304"/>
  <c r="AC302"/>
  <c r="FE301"/>
  <c r="CU301"/>
  <c r="FE300"/>
  <c r="CU300"/>
  <c r="P298"/>
  <c r="P296"/>
  <c r="P294"/>
  <c r="AC290"/>
  <c r="FE289"/>
  <c r="CU289"/>
  <c r="FE288"/>
  <c r="CU288"/>
  <c r="P286"/>
  <c r="FE283"/>
  <c r="CU283"/>
  <c r="CB283"/>
  <c r="AC281"/>
  <c r="P280"/>
  <c r="CU277"/>
  <c r="CB277"/>
  <c r="DG275"/>
  <c r="AC275"/>
  <c r="CU270"/>
  <c r="CU268"/>
  <c r="AC266"/>
  <c r="FE265"/>
  <c r="CU265"/>
  <c r="FE264"/>
  <c r="CU264"/>
  <c r="P262"/>
  <c r="P260"/>
  <c r="P258"/>
  <c r="AC255"/>
  <c r="P254"/>
  <c r="DG249"/>
  <c r="FE248"/>
  <c r="CU248"/>
  <c r="DG198"/>
  <c r="AC198"/>
  <c r="FE195"/>
  <c r="CU195"/>
  <c r="FE191"/>
  <c r="CU191"/>
  <c r="P187"/>
  <c r="EI184"/>
  <c r="P184"/>
  <c r="P183"/>
  <c r="P182"/>
  <c r="EI181"/>
  <c r="FE180"/>
  <c r="P180"/>
  <c r="FE179"/>
  <c r="CU179"/>
  <c r="AC175"/>
  <c r="FE174"/>
  <c r="DG174"/>
  <c r="P173"/>
  <c r="AC172"/>
  <c r="P171"/>
  <c r="EI169"/>
  <c r="AC168"/>
  <c r="P167"/>
  <c r="EI166"/>
  <c r="EI165"/>
  <c r="CU164"/>
  <c r="AC225"/>
  <c r="EI219"/>
  <c r="P210"/>
  <c r="EI189"/>
  <c r="EI187"/>
  <c r="EI183"/>
  <c r="AC179"/>
  <c r="EI178"/>
  <c r="P177"/>
  <c r="AC174"/>
  <c r="P168"/>
  <c r="EI167"/>
  <c r="P162"/>
  <c r="EI160"/>
  <c r="FE159"/>
  <c r="CU159"/>
  <c r="EI241"/>
  <c r="EI240"/>
  <c r="P240"/>
  <c r="EI239"/>
  <c r="P238"/>
  <c r="P236"/>
  <c r="EI235"/>
  <c r="P234"/>
  <c r="EI233"/>
  <c r="EI232"/>
  <c r="P232"/>
  <c r="EI229"/>
  <c r="P228"/>
  <c r="EI227"/>
  <c r="P227"/>
  <c r="P226"/>
  <c r="P225"/>
  <c r="EI221"/>
  <c r="FE219"/>
  <c r="CU219"/>
  <c r="P217"/>
  <c r="AC215"/>
  <c r="P212"/>
  <c r="FE210"/>
  <c r="CU210"/>
  <c r="EI209"/>
  <c r="EI205"/>
  <c r="EI204"/>
  <c r="P204"/>
  <c r="EI203"/>
  <c r="EI202"/>
  <c r="P202"/>
  <c r="EI201"/>
  <c r="EI200"/>
  <c r="P200"/>
  <c r="EI199"/>
  <c r="EI197"/>
  <c r="CU197"/>
  <c r="P195"/>
  <c r="FE193"/>
  <c r="CU193"/>
  <c r="EI192"/>
  <c r="P191"/>
  <c r="FE187"/>
  <c r="CU187"/>
  <c r="EI186"/>
  <c r="AC185"/>
  <c r="DG184"/>
  <c r="FE183"/>
  <c r="CU183"/>
  <c r="CU182"/>
  <c r="P181"/>
  <c r="P179"/>
  <c r="P175"/>
  <c r="P174"/>
  <c r="P245"/>
  <c r="EI244"/>
  <c r="FE243"/>
  <c r="CU243"/>
  <c r="FE242"/>
  <c r="CU242"/>
  <c r="FE241"/>
  <c r="CU241"/>
  <c r="FE240"/>
  <c r="CU240"/>
  <c r="FE239"/>
  <c r="CU239"/>
  <c r="FE238"/>
  <c r="CU238"/>
  <c r="FE237"/>
  <c r="CU237"/>
  <c r="FE236"/>
  <c r="CU236"/>
  <c r="FE235"/>
  <c r="CU235"/>
  <c r="FE234"/>
  <c r="CU234"/>
  <c r="FE233"/>
  <c r="CU233"/>
  <c r="FE232"/>
  <c r="CU232"/>
  <c r="FE231"/>
  <c r="CU231"/>
  <c r="FE230"/>
  <c r="CU230"/>
  <c r="P215"/>
  <c r="AC210"/>
  <c r="EI168"/>
  <c r="AC166"/>
  <c r="P164"/>
  <c r="AC162"/>
  <c r="P159"/>
  <c r="EI158"/>
  <c r="EI248"/>
  <c r="DG248"/>
  <c r="AC248"/>
  <c r="DG247"/>
  <c r="AC247"/>
  <c r="DG246"/>
  <c r="AC246"/>
  <c r="DG245"/>
  <c r="AC245"/>
  <c r="DG244"/>
  <c r="AC244"/>
  <c r="P242"/>
  <c r="AC242"/>
  <c r="AC240"/>
  <c r="EI237"/>
  <c r="EI238"/>
  <c r="AC238"/>
  <c r="AC236"/>
  <c r="EI236"/>
  <c r="AZ381" i="45"/>
  <c r="AC234" i="43"/>
  <c r="EI234"/>
  <c r="AC232"/>
  <c r="EI231"/>
  <c r="P230"/>
  <c r="AC230"/>
  <c r="EI230"/>
  <c r="DG229"/>
  <c r="AC229"/>
  <c r="EI228"/>
  <c r="EI226"/>
  <c r="P224"/>
  <c r="EI224"/>
  <c r="EI223"/>
  <c r="P220"/>
  <c r="AC222"/>
  <c r="DG217"/>
  <c r="AC217"/>
  <c r="AC218"/>
  <c r="AC220"/>
  <c r="DG219"/>
  <c r="AC219"/>
  <c r="P218"/>
  <c r="EI216"/>
  <c r="EI214"/>
  <c r="AC213"/>
  <c r="EI212"/>
  <c r="EI210"/>
  <c r="P207"/>
  <c r="AC207"/>
  <c r="P206"/>
  <c r="EI206"/>
  <c r="DG206"/>
  <c r="AC206"/>
  <c r="DG204"/>
  <c r="AC204"/>
  <c r="DG202"/>
  <c r="AC202"/>
  <c r="EU9"/>
  <c r="DG199"/>
  <c r="AC199"/>
  <c r="EI198"/>
  <c r="DG197"/>
  <c r="P196"/>
  <c r="AC195"/>
  <c r="P194"/>
  <c r="DG194"/>
  <c r="AC194"/>
  <c r="EI193"/>
  <c r="P192"/>
  <c r="AC192"/>
  <c r="P190"/>
  <c r="AC190"/>
  <c r="EI190"/>
  <c r="P188"/>
  <c r="AC188"/>
  <c r="P186"/>
  <c r="AC186"/>
  <c r="EI185"/>
  <c r="DG185"/>
  <c r="AC184"/>
  <c r="DG183"/>
  <c r="AC183"/>
  <c r="DG182"/>
  <c r="AC182"/>
  <c r="BG181"/>
  <c r="FE181"/>
  <c r="CU181"/>
  <c r="CU180"/>
  <c r="AC181"/>
  <c r="DG180"/>
  <c r="AC180"/>
  <c r="EI180"/>
  <c r="EI177"/>
  <c r="CO371"/>
  <c r="DG176"/>
  <c r="FE175"/>
  <c r="CU175"/>
  <c r="EI175"/>
  <c r="EI176"/>
  <c r="EI173"/>
  <c r="EI171"/>
  <c r="FE170"/>
  <c r="BG170"/>
  <c r="CU170"/>
  <c r="P169"/>
  <c r="FE169"/>
  <c r="BG169"/>
  <c r="CU169"/>
  <c r="FE168"/>
  <c r="BG168"/>
  <c r="CU168"/>
  <c r="BN219"/>
  <c r="BU219" s="1"/>
  <c r="BN326"/>
  <c r="BU326" s="1"/>
  <c r="P166"/>
  <c r="DG166"/>
  <c r="P165"/>
  <c r="CO351"/>
  <c r="CO347"/>
  <c r="CO339"/>
  <c r="CO336"/>
  <c r="BN318"/>
  <c r="BU318" s="1"/>
  <c r="DG165"/>
  <c r="EI164"/>
  <c r="BN360"/>
  <c r="BU360" s="1"/>
  <c r="EI163"/>
  <c r="BN380"/>
  <c r="BU380" s="1"/>
  <c r="BN377"/>
  <c r="BU377" s="1"/>
  <c r="BN373"/>
  <c r="BU373" s="1"/>
  <c r="BN295"/>
  <c r="BU295" s="1"/>
  <c r="BN291"/>
  <c r="BU291" s="1"/>
  <c r="BN290"/>
  <c r="BU290" s="1"/>
  <c r="BN243"/>
  <c r="BU243" s="1"/>
  <c r="BN323"/>
  <c r="BU323" s="1"/>
  <c r="BN234"/>
  <c r="BU234" s="1"/>
  <c r="BN231"/>
  <c r="BU231" s="1"/>
  <c r="BN287"/>
  <c r="BU287" s="1"/>
  <c r="BA335"/>
  <c r="BN328"/>
  <c r="BU328" s="1"/>
  <c r="BN320"/>
  <c r="BU320" s="1"/>
  <c r="BN300"/>
  <c r="BU300" s="1"/>
  <c r="BN159"/>
  <c r="BU159" s="1"/>
  <c r="BN164"/>
  <c r="BU164" s="1"/>
  <c r="P161"/>
  <c r="BN338"/>
  <c r="BU338" s="1"/>
  <c r="BN267"/>
  <c r="BU267" s="1"/>
  <c r="BN163"/>
  <c r="BU163" s="1"/>
  <c r="BN207"/>
  <c r="BU207" s="1"/>
  <c r="BN349"/>
  <c r="BU349" s="1"/>
  <c r="BN330"/>
  <c r="BU330" s="1"/>
  <c r="BN322"/>
  <c r="BU322" s="1"/>
  <c r="BN266"/>
  <c r="BU266" s="1"/>
  <c r="BN218"/>
  <c r="BU218" s="1"/>
  <c r="BN385"/>
  <c r="BU385" s="1"/>
  <c r="BN381"/>
  <c r="BU381" s="1"/>
  <c r="BA346"/>
  <c r="BN343"/>
  <c r="BU343" s="1"/>
  <c r="BN339"/>
  <c r="BU339" s="1"/>
  <c r="BA338"/>
  <c r="BN327"/>
  <c r="BU327" s="1"/>
  <c r="BN319"/>
  <c r="BU319" s="1"/>
  <c r="BN263"/>
  <c r="BU263" s="1"/>
  <c r="BN258"/>
  <c r="BU258" s="1"/>
  <c r="BN206"/>
  <c r="BU206" s="1"/>
  <c r="BN203"/>
  <c r="BU203" s="1"/>
  <c r="BN194"/>
  <c r="BU194" s="1"/>
  <c r="BN180"/>
  <c r="BU180" s="1"/>
  <c r="BN321"/>
  <c r="BU321" s="1"/>
  <c r="CO242"/>
  <c r="BA342"/>
  <c r="BN341"/>
  <c r="BU341" s="1"/>
  <c r="BN193"/>
  <c r="BU193" s="1"/>
  <c r="BN205"/>
  <c r="BU205" s="1"/>
  <c r="BN325"/>
  <c r="BU325" s="1"/>
  <c r="EI161"/>
  <c r="BN189"/>
  <c r="BU189" s="1"/>
  <c r="BA182"/>
  <c r="BN297"/>
  <c r="BU297" s="1"/>
  <c r="BN273"/>
  <c r="BU273" s="1"/>
  <c r="BN245"/>
  <c r="BU245" s="1"/>
  <c r="BN348"/>
  <c r="BU348" s="1"/>
  <c r="BN274"/>
  <c r="BU274" s="1"/>
  <c r="BN264"/>
  <c r="BU264" s="1"/>
  <c r="CO357"/>
  <c r="BN192"/>
  <c r="BU192" s="1"/>
  <c r="BN329"/>
  <c r="BU329" s="1"/>
  <c r="BN345"/>
  <c r="BU345" s="1"/>
  <c r="BN331"/>
  <c r="BU331" s="1"/>
  <c r="BN382"/>
  <c r="BU382" s="1"/>
  <c r="BN225"/>
  <c r="BU225" s="1"/>
  <c r="BN363"/>
  <c r="BU363" s="1"/>
  <c r="BN278"/>
  <c r="BU278" s="1"/>
  <c r="BA271"/>
  <c r="BN261"/>
  <c r="BU261" s="1"/>
  <c r="BN372"/>
  <c r="BU372" s="1"/>
  <c r="BN242"/>
  <c r="BU242" s="1"/>
  <c r="BN186"/>
  <c r="BU186" s="1"/>
  <c r="BN171"/>
  <c r="BU171" s="1"/>
  <c r="BN335"/>
  <c r="BU335" s="1"/>
  <c r="BN299"/>
  <c r="BU299" s="1"/>
  <c r="BN259"/>
  <c r="BU259" s="1"/>
  <c r="CO161"/>
  <c r="BN364"/>
  <c r="BU364" s="1"/>
  <c r="BN350"/>
  <c r="BU350" s="1"/>
  <c r="BN315"/>
  <c r="BU315" s="1"/>
  <c r="BN256"/>
  <c r="BU256" s="1"/>
  <c r="BN185"/>
  <c r="BU185" s="1"/>
  <c r="BN177"/>
  <c r="BU177" s="1"/>
  <c r="BN176"/>
  <c r="BU176" s="1"/>
  <c r="BN359"/>
  <c r="BU359" s="1"/>
  <c r="BN354"/>
  <c r="BU354" s="1"/>
  <c r="BN340"/>
  <c r="BU340" s="1"/>
  <c r="BN334"/>
  <c r="BU334" s="1"/>
  <c r="BN272"/>
  <c r="BU272" s="1"/>
  <c r="BN249"/>
  <c r="BU249" s="1"/>
  <c r="BN199"/>
  <c r="BU199" s="1"/>
  <c r="BN188"/>
  <c r="BU188" s="1"/>
  <c r="BA164"/>
  <c r="BN355"/>
  <c r="BU355" s="1"/>
  <c r="BN314"/>
  <c r="BU314" s="1"/>
  <c r="BN313"/>
  <c r="BU313" s="1"/>
  <c r="BN312"/>
  <c r="BU312" s="1"/>
  <c r="BN309"/>
  <c r="BU309" s="1"/>
  <c r="BN182"/>
  <c r="BU182" s="1"/>
  <c r="BN169"/>
  <c r="BU169" s="1"/>
  <c r="BN167"/>
  <c r="BU167" s="1"/>
  <c r="EI159"/>
  <c r="BN301"/>
  <c r="BU301" s="1"/>
  <c r="BN221"/>
  <c r="BU221" s="1"/>
  <c r="BN181"/>
  <c r="BU181" s="1"/>
  <c r="BN158"/>
  <c r="BU158" s="1"/>
  <c r="BN352"/>
  <c r="BU352" s="1"/>
  <c r="BN346"/>
  <c r="BU346" s="1"/>
  <c r="BN317"/>
  <c r="BU317" s="1"/>
  <c r="BN292"/>
  <c r="BU292" s="1"/>
  <c r="BN265"/>
  <c r="BU265" s="1"/>
  <c r="BN228"/>
  <c r="BU228" s="1"/>
  <c r="BN227"/>
  <c r="BU227" s="1"/>
  <c r="BN197"/>
  <c r="BU197" s="1"/>
  <c r="BN174"/>
  <c r="BU174" s="1"/>
  <c r="AI368"/>
  <c r="AH368"/>
  <c r="AI195"/>
  <c r="AH195"/>
  <c r="BN384"/>
  <c r="BU384" s="1"/>
  <c r="BT380"/>
  <c r="AI380" s="1"/>
  <c r="BN378"/>
  <c r="BU378" s="1"/>
  <c r="BN376"/>
  <c r="BU376" s="1"/>
  <c r="BN370"/>
  <c r="BU370" s="1"/>
  <c r="BN362"/>
  <c r="BU362" s="1"/>
  <c r="BN361"/>
  <c r="BU361" s="1"/>
  <c r="BT359"/>
  <c r="AF359" s="1"/>
  <c r="BA356"/>
  <c r="BN353"/>
  <c r="BU353" s="1"/>
  <c r="BT349"/>
  <c r="AF349" s="1"/>
  <c r="CO341"/>
  <c r="CO337"/>
  <c r="BN337"/>
  <c r="BU337" s="1"/>
  <c r="BN336"/>
  <c r="BU336" s="1"/>
  <c r="BT313"/>
  <c r="AH313" s="1"/>
  <c r="BN310"/>
  <c r="BU310" s="1"/>
  <c r="BN308"/>
  <c r="BU308" s="1"/>
  <c r="BN307"/>
  <c r="BU307" s="1"/>
  <c r="BN303"/>
  <c r="BU303" s="1"/>
  <c r="BT301"/>
  <c r="AI301" s="1"/>
  <c r="BN296"/>
  <c r="BU296" s="1"/>
  <c r="BN285"/>
  <c r="BU285" s="1"/>
  <c r="BN283"/>
  <c r="BU283" s="1"/>
  <c r="BN277"/>
  <c r="BU277" s="1"/>
  <c r="BN276"/>
  <c r="BU276" s="1"/>
  <c r="BN269"/>
  <c r="BU269" s="1"/>
  <c r="BN262"/>
  <c r="BU262" s="1"/>
  <c r="BN240"/>
  <c r="BU240" s="1"/>
  <c r="BN236"/>
  <c r="BU236" s="1"/>
  <c r="BT227"/>
  <c r="AH227" s="1"/>
  <c r="BN226"/>
  <c r="BU226" s="1"/>
  <c r="BN223"/>
  <c r="BU223" s="1"/>
  <c r="BT221"/>
  <c r="AI221" s="1"/>
  <c r="BN220"/>
  <c r="BU220" s="1"/>
  <c r="BN213"/>
  <c r="BU213" s="1"/>
  <c r="BN198"/>
  <c r="BU198" s="1"/>
  <c r="BT197"/>
  <c r="AI197" s="1"/>
  <c r="BN195"/>
  <c r="BU195" s="1"/>
  <c r="BN190"/>
  <c r="BU190" s="1"/>
  <c r="BA184"/>
  <c r="BN183"/>
  <c r="BU183" s="1"/>
  <c r="BT181"/>
  <c r="AI181" s="1"/>
  <c r="BN179"/>
  <c r="BU179" s="1"/>
  <c r="BT174"/>
  <c r="AF174" s="1"/>
  <c r="BA174"/>
  <c r="BN173"/>
  <c r="BU173" s="1"/>
  <c r="BN160"/>
  <c r="BU160" s="1"/>
  <c r="BT158"/>
  <c r="AH158" s="1"/>
  <c r="BN157"/>
  <c r="BU157" s="1"/>
  <c r="BN368"/>
  <c r="BU368" s="1"/>
  <c r="BN366"/>
  <c r="BU366" s="1"/>
  <c r="BT364"/>
  <c r="AF364" s="1"/>
  <c r="BN357"/>
  <c r="BU357" s="1"/>
  <c r="BN351"/>
  <c r="BU351" s="1"/>
  <c r="BT346"/>
  <c r="AH346" s="1"/>
  <c r="BN294"/>
  <c r="BU294" s="1"/>
  <c r="BN289"/>
  <c r="BU289" s="1"/>
  <c r="BN288"/>
  <c r="BU288" s="1"/>
  <c r="BN286"/>
  <c r="BU286" s="1"/>
  <c r="BN281"/>
  <c r="BU281" s="1"/>
  <c r="BN279"/>
  <c r="BU279" s="1"/>
  <c r="BT276"/>
  <c r="AI276" s="1"/>
  <c r="BN270"/>
  <c r="BU270" s="1"/>
  <c r="BN255"/>
  <c r="BU255" s="1"/>
  <c r="BN253"/>
  <c r="BU253" s="1"/>
  <c r="BN232"/>
  <c r="BU232" s="1"/>
  <c r="BN215"/>
  <c r="BU215" s="1"/>
  <c r="BT213"/>
  <c r="AH213" s="1"/>
  <c r="BN211"/>
  <c r="BU211" s="1"/>
  <c r="BN209"/>
  <c r="BU209" s="1"/>
  <c r="BN208"/>
  <c r="BU208" s="1"/>
  <c r="BT186"/>
  <c r="AI186" s="1"/>
  <c r="BN172"/>
  <c r="BU172" s="1"/>
  <c r="BN161"/>
  <c r="BU161" s="1"/>
  <c r="AF374"/>
  <c r="AH374"/>
  <c r="AI347"/>
  <c r="AH347"/>
  <c r="AF382"/>
  <c r="AH382"/>
  <c r="AI275"/>
  <c r="AH275"/>
  <c r="AI244"/>
  <c r="AH244"/>
  <c r="AF244"/>
  <c r="AF238"/>
  <c r="AH238"/>
  <c r="BN383"/>
  <c r="BU383" s="1"/>
  <c r="BT378"/>
  <c r="AI378" s="1"/>
  <c r="BN375"/>
  <c r="BU375" s="1"/>
  <c r="BT372"/>
  <c r="AI372" s="1"/>
  <c r="BN369"/>
  <c r="BU369" s="1"/>
  <c r="BN365"/>
  <c r="BU365" s="1"/>
  <c r="AH361"/>
  <c r="AH359"/>
  <c r="BA358"/>
  <c r="BT357"/>
  <c r="AI357" s="1"/>
  <c r="BN356"/>
  <c r="BU356" s="1"/>
  <c r="BT355"/>
  <c r="AI355" s="1"/>
  <c r="BN347"/>
  <c r="BU347" s="1"/>
  <c r="AF324"/>
  <c r="AH324"/>
  <c r="AI343"/>
  <c r="AH343"/>
  <c r="AI250"/>
  <c r="AF250"/>
  <c r="AH250"/>
  <c r="AI248"/>
  <c r="AH248"/>
  <c r="AF248"/>
  <c r="AI246"/>
  <c r="AF246"/>
  <c r="AH246"/>
  <c r="AF230"/>
  <c r="AH230"/>
  <c r="AF216"/>
  <c r="AH216"/>
  <c r="BN374"/>
  <c r="BU374" s="1"/>
  <c r="AH384"/>
  <c r="AH376"/>
  <c r="AH370"/>
  <c r="AH366"/>
  <c r="CO359"/>
  <c r="BA350"/>
  <c r="CO345"/>
  <c r="AF332"/>
  <c r="AH332"/>
  <c r="AF316"/>
  <c r="AH316"/>
  <c r="AF268"/>
  <c r="AH268"/>
  <c r="BN342"/>
  <c r="BU342" s="1"/>
  <c r="BT342"/>
  <c r="AI342" s="1"/>
  <c r="AF284"/>
  <c r="AH284"/>
  <c r="BN344"/>
  <c r="BU344" s="1"/>
  <c r="BN379"/>
  <c r="BU379" s="1"/>
  <c r="BN371"/>
  <c r="BU371" s="1"/>
  <c r="BN367"/>
  <c r="BU367" s="1"/>
  <c r="BN358"/>
  <c r="BU358" s="1"/>
  <c r="AH353"/>
  <c r="AH351"/>
  <c r="AH345"/>
  <c r="AI249"/>
  <c r="AH249"/>
  <c r="AF249"/>
  <c r="AI247"/>
  <c r="AH247"/>
  <c r="AF247"/>
  <c r="AI170"/>
  <c r="AH170"/>
  <c r="AF170"/>
  <c r="AH339"/>
  <c r="BT338"/>
  <c r="AI338" s="1"/>
  <c r="AH337"/>
  <c r="BT336"/>
  <c r="AI336" s="1"/>
  <c r="BN332"/>
  <c r="BU332" s="1"/>
  <c r="BT326"/>
  <c r="AI326" s="1"/>
  <c r="BN324"/>
  <c r="BU324" s="1"/>
  <c r="BT318"/>
  <c r="AI318" s="1"/>
  <c r="BN316"/>
  <c r="BU316" s="1"/>
  <c r="BT309"/>
  <c r="AH309" s="1"/>
  <c r="BN302"/>
  <c r="BU302" s="1"/>
  <c r="AH296"/>
  <c r="BN293"/>
  <c r="BU293" s="1"/>
  <c r="BT288"/>
  <c r="AI288" s="1"/>
  <c r="BN284"/>
  <c r="BU284" s="1"/>
  <c r="BN282"/>
  <c r="BU282" s="1"/>
  <c r="BN280"/>
  <c r="BU280" s="1"/>
  <c r="BN268"/>
  <c r="BU268" s="1"/>
  <c r="BT262"/>
  <c r="AI262" s="1"/>
  <c r="BN257"/>
  <c r="BU257" s="1"/>
  <c r="BN254"/>
  <c r="BU254" s="1"/>
  <c r="BN247"/>
  <c r="BU247" s="1"/>
  <c r="BN244"/>
  <c r="BU244" s="1"/>
  <c r="BN241"/>
  <c r="BU241" s="1"/>
  <c r="BT240"/>
  <c r="AI240" s="1"/>
  <c r="BN238"/>
  <c r="BU238" s="1"/>
  <c r="BN233"/>
  <c r="BU233" s="1"/>
  <c r="BT232"/>
  <c r="AI232" s="1"/>
  <c r="BN230"/>
  <c r="BU230" s="1"/>
  <c r="BN217"/>
  <c r="BU217" s="1"/>
  <c r="BN216"/>
  <c r="BU216" s="1"/>
  <c r="BN214"/>
  <c r="BU214" s="1"/>
  <c r="BN212"/>
  <c r="BU212" s="1"/>
  <c r="BN196"/>
  <c r="BU196" s="1"/>
  <c r="BT192"/>
  <c r="AI192" s="1"/>
  <c r="BN191"/>
  <c r="BU191" s="1"/>
  <c r="BT182"/>
  <c r="AH182" s="1"/>
  <c r="BN178"/>
  <c r="BU178" s="1"/>
  <c r="AH173"/>
  <c r="BN165"/>
  <c r="BU165" s="1"/>
  <c r="BT164"/>
  <c r="AF164" s="1"/>
  <c r="BN162"/>
  <c r="BU162" s="1"/>
  <c r="AH161"/>
  <c r="BT160"/>
  <c r="AI160" s="1"/>
  <c r="BT159"/>
  <c r="AI159" s="1"/>
  <c r="BA340"/>
  <c r="BT328"/>
  <c r="AI328" s="1"/>
  <c r="BT320"/>
  <c r="AI320" s="1"/>
  <c r="BA297"/>
  <c r="AH294"/>
  <c r="BT290"/>
  <c r="AI290" s="1"/>
  <c r="AH286"/>
  <c r="BT277"/>
  <c r="AH277" s="1"/>
  <c r="BN275"/>
  <c r="BU275" s="1"/>
  <c r="BT274"/>
  <c r="AI274" s="1"/>
  <c r="BT264"/>
  <c r="AI264" s="1"/>
  <c r="BN252"/>
  <c r="BU252" s="1"/>
  <c r="BN251"/>
  <c r="BU251" s="1"/>
  <c r="BN248"/>
  <c r="BU248" s="1"/>
  <c r="BN235"/>
  <c r="BU235" s="1"/>
  <c r="BT234"/>
  <c r="AI234" s="1"/>
  <c r="BN224"/>
  <c r="BU224" s="1"/>
  <c r="BT209"/>
  <c r="BT208"/>
  <c r="AH208" s="1"/>
  <c r="BN204"/>
  <c r="BU204" s="1"/>
  <c r="BN201"/>
  <c r="BU201" s="1"/>
  <c r="AH341"/>
  <c r="BT340"/>
  <c r="AF340" s="1"/>
  <c r="BT334"/>
  <c r="AI334" s="1"/>
  <c r="BT330"/>
  <c r="AI330" s="1"/>
  <c r="BT322"/>
  <c r="AI322" s="1"/>
  <c r="BT314"/>
  <c r="AI314" s="1"/>
  <c r="BT312"/>
  <c r="AI312" s="1"/>
  <c r="BN311"/>
  <c r="BU311" s="1"/>
  <c r="BN306"/>
  <c r="BU306" s="1"/>
  <c r="BN304"/>
  <c r="BU304" s="1"/>
  <c r="BT303"/>
  <c r="AH303" s="1"/>
  <c r="BT299"/>
  <c r="BN298"/>
  <c r="BU298" s="1"/>
  <c r="BT292"/>
  <c r="AI292" s="1"/>
  <c r="BT285"/>
  <c r="AH285" s="1"/>
  <c r="BT283"/>
  <c r="AH283" s="1"/>
  <c r="BT279"/>
  <c r="AH279" s="1"/>
  <c r="AH273"/>
  <c r="BT272"/>
  <c r="AI272" s="1"/>
  <c r="BT266"/>
  <c r="AI266" s="1"/>
  <c r="AF245"/>
  <c r="BT242"/>
  <c r="AI242" s="1"/>
  <c r="BN237"/>
  <c r="BU237" s="1"/>
  <c r="BT236"/>
  <c r="AI236" s="1"/>
  <c r="BN229"/>
  <c r="BU229" s="1"/>
  <c r="BT228"/>
  <c r="AI228" s="1"/>
  <c r="BT225"/>
  <c r="AH225" s="1"/>
  <c r="BN222"/>
  <c r="BU222" s="1"/>
  <c r="AH220"/>
  <c r="BT218"/>
  <c r="AI218" s="1"/>
  <c r="BT215"/>
  <c r="AH215" s="1"/>
  <c r="BN210"/>
  <c r="BU210" s="1"/>
  <c r="AH206"/>
  <c r="BN202"/>
  <c r="BU202" s="1"/>
  <c r="AF195"/>
  <c r="BT188"/>
  <c r="AI188" s="1"/>
  <c r="BN187"/>
  <c r="BU187" s="1"/>
  <c r="AH183"/>
  <c r="BT179"/>
  <c r="AF179" s="1"/>
  <c r="BN170"/>
  <c r="BU170" s="1"/>
  <c r="BN168"/>
  <c r="BU168" s="1"/>
  <c r="BN333"/>
  <c r="BU333" s="1"/>
  <c r="AH310"/>
  <c r="BN305"/>
  <c r="BU305" s="1"/>
  <c r="BN271"/>
  <c r="BU271" s="1"/>
  <c r="AH270"/>
  <c r="BN260"/>
  <c r="BU260" s="1"/>
  <c r="BN250"/>
  <c r="BU250" s="1"/>
  <c r="BN246"/>
  <c r="BU246" s="1"/>
  <c r="AH245"/>
  <c r="BN239"/>
  <c r="BU239" s="1"/>
  <c r="BT223"/>
  <c r="AH223" s="1"/>
  <c r="BN200"/>
  <c r="BU200" s="1"/>
  <c r="AH190"/>
  <c r="CO181"/>
  <c r="BT178"/>
  <c r="AF178" s="1"/>
  <c r="BN175"/>
  <c r="BU175" s="1"/>
  <c r="AH171"/>
  <c r="BT165"/>
  <c r="AH165" s="1"/>
  <c r="CO385"/>
  <c r="CO384"/>
  <c r="BA382"/>
  <c r="BA381"/>
  <c r="CO377"/>
  <c r="CO376"/>
  <c r="BA374"/>
  <c r="BA373"/>
  <c r="CO370"/>
  <c r="CO366"/>
  <c r="CO363"/>
  <c r="CO352"/>
  <c r="CO348"/>
  <c r="BA384"/>
  <c r="BA383"/>
  <c r="CO379"/>
  <c r="CO378"/>
  <c r="BA376"/>
  <c r="BA375"/>
  <c r="CO372"/>
  <c r="BA370"/>
  <c r="BA369"/>
  <c r="CO367"/>
  <c r="BA366"/>
  <c r="BA365"/>
  <c r="BA361"/>
  <c r="BA385"/>
  <c r="CO381"/>
  <c r="CO380"/>
  <c r="BA378"/>
  <c r="BA377"/>
  <c r="CO373"/>
  <c r="BA372"/>
  <c r="CO368"/>
  <c r="CO364"/>
  <c r="BA363"/>
  <c r="CO360"/>
  <c r="BA357"/>
  <c r="CO383"/>
  <c r="CO382"/>
  <c r="BA380"/>
  <c r="BA379"/>
  <c r="CO375"/>
  <c r="CO374"/>
  <c r="BA371"/>
  <c r="CO369"/>
  <c r="BA368"/>
  <c r="BA367"/>
  <c r="CO365"/>
  <c r="BA364"/>
  <c r="CO356"/>
  <c r="BA353"/>
  <c r="DG361"/>
  <c r="BA359"/>
  <c r="CO358"/>
  <c r="AI358"/>
  <c r="AH358"/>
  <c r="DG353"/>
  <c r="BA351"/>
  <c r="CO350"/>
  <c r="AI350"/>
  <c r="AH350"/>
  <c r="CO346"/>
  <c r="DG341"/>
  <c r="BA341"/>
  <c r="CO338"/>
  <c r="CO334"/>
  <c r="CO329"/>
  <c r="CO328"/>
  <c r="BA326"/>
  <c r="BA325"/>
  <c r="CO321"/>
  <c r="CO320"/>
  <c r="BA318"/>
  <c r="BA317"/>
  <c r="CO313"/>
  <c r="CO311"/>
  <c r="CO310"/>
  <c r="BA308"/>
  <c r="CO307"/>
  <c r="BA305"/>
  <c r="BA303"/>
  <c r="CO300"/>
  <c r="CO297"/>
  <c r="CO295"/>
  <c r="AF385"/>
  <c r="AF383"/>
  <c r="AF381"/>
  <c r="AF379"/>
  <c r="AF377"/>
  <c r="AF375"/>
  <c r="AF373"/>
  <c r="AI360"/>
  <c r="AH360"/>
  <c r="DG355"/>
  <c r="AI352"/>
  <c r="AH352"/>
  <c r="DG349"/>
  <c r="AI348"/>
  <c r="AH348"/>
  <c r="DG347"/>
  <c r="BA347"/>
  <c r="CO344"/>
  <c r="DG339"/>
  <c r="BA339"/>
  <c r="BA333"/>
  <c r="DG384"/>
  <c r="AI384"/>
  <c r="DG382"/>
  <c r="AI382"/>
  <c r="DG380"/>
  <c r="DG378"/>
  <c r="DG376"/>
  <c r="AI376"/>
  <c r="DG374"/>
  <c r="AI374"/>
  <c r="DG372"/>
  <c r="AF371"/>
  <c r="AC370"/>
  <c r="AF369"/>
  <c r="AC368"/>
  <c r="AF367"/>
  <c r="AC366"/>
  <c r="AF365"/>
  <c r="AF363"/>
  <c r="DG362"/>
  <c r="DG354"/>
  <c r="CO362"/>
  <c r="AI362"/>
  <c r="AH362"/>
  <c r="DG357"/>
  <c r="BA355"/>
  <c r="CO354"/>
  <c r="AI354"/>
  <c r="AH354"/>
  <c r="BA349"/>
  <c r="DG345"/>
  <c r="BA345"/>
  <c r="AI344"/>
  <c r="AH344"/>
  <c r="AF344"/>
  <c r="CO342"/>
  <c r="DG337"/>
  <c r="BA337"/>
  <c r="BA336"/>
  <c r="AH385"/>
  <c r="AH383"/>
  <c r="AH381"/>
  <c r="AH379"/>
  <c r="AH377"/>
  <c r="AH375"/>
  <c r="AH373"/>
  <c r="AH371"/>
  <c r="DG369"/>
  <c r="AH369"/>
  <c r="DG367"/>
  <c r="AH367"/>
  <c r="DG365"/>
  <c r="AH365"/>
  <c r="AH363"/>
  <c r="CO361"/>
  <c r="BA360"/>
  <c r="AF358"/>
  <c r="CO353"/>
  <c r="BA352"/>
  <c r="AF350"/>
  <c r="BA348"/>
  <c r="DG359"/>
  <c r="AI356"/>
  <c r="AH356"/>
  <c r="DG351"/>
  <c r="DG343"/>
  <c r="BA343"/>
  <c r="CO340"/>
  <c r="CO335"/>
  <c r="AF370"/>
  <c r="AF368"/>
  <c r="AF366"/>
  <c r="BA362"/>
  <c r="DG358"/>
  <c r="CO355"/>
  <c r="BA354"/>
  <c r="CO349"/>
  <c r="AC349"/>
  <c r="BA344"/>
  <c r="CO343"/>
  <c r="DG334"/>
  <c r="CO331"/>
  <c r="CO330"/>
  <c r="BA328"/>
  <c r="BA327"/>
  <c r="CO323"/>
  <c r="CO322"/>
  <c r="BA320"/>
  <c r="BA319"/>
  <c r="CO315"/>
  <c r="CO314"/>
  <c r="CO312"/>
  <c r="BA310"/>
  <c r="CO308"/>
  <c r="AF308"/>
  <c r="AI308"/>
  <c r="AH308"/>
  <c r="BA306"/>
  <c r="CO305"/>
  <c r="BA304"/>
  <c r="CO303"/>
  <c r="CO302"/>
  <c r="CO299"/>
  <c r="BA298"/>
  <c r="AI361"/>
  <c r="AI353"/>
  <c r="AI351"/>
  <c r="BA334"/>
  <c r="CO333"/>
  <c r="AH333"/>
  <c r="AI333"/>
  <c r="CO332"/>
  <c r="BA330"/>
  <c r="BA329"/>
  <c r="CO325"/>
  <c r="CO324"/>
  <c r="BA322"/>
  <c r="BA321"/>
  <c r="CO317"/>
  <c r="CO316"/>
  <c r="BA314"/>
  <c r="BA312"/>
  <c r="BA309"/>
  <c r="CO306"/>
  <c r="AF306"/>
  <c r="AI306"/>
  <c r="AH306"/>
  <c r="CO304"/>
  <c r="AF304"/>
  <c r="AI304"/>
  <c r="AH304"/>
  <c r="CO301"/>
  <c r="BA300"/>
  <c r="BA299"/>
  <c r="DG346"/>
  <c r="DG344"/>
  <c r="DG342"/>
  <c r="DG340"/>
  <c r="DG338"/>
  <c r="AH335"/>
  <c r="AI335"/>
  <c r="BA332"/>
  <c r="BA331"/>
  <c r="CO327"/>
  <c r="CO326"/>
  <c r="BA324"/>
  <c r="BA323"/>
  <c r="CO319"/>
  <c r="CO318"/>
  <c r="BA316"/>
  <c r="BA315"/>
  <c r="BA313"/>
  <c r="BA311"/>
  <c r="CO309"/>
  <c r="BA307"/>
  <c r="BA302"/>
  <c r="BA301"/>
  <c r="CO298"/>
  <c r="BA296"/>
  <c r="AF347"/>
  <c r="AC346"/>
  <c r="AF345"/>
  <c r="AC344"/>
  <c r="AF343"/>
  <c r="AC342"/>
  <c r="AF341"/>
  <c r="AC340"/>
  <c r="AF339"/>
  <c r="AC338"/>
  <c r="AF337"/>
  <c r="DG294"/>
  <c r="CO291"/>
  <c r="CO290"/>
  <c r="BA288"/>
  <c r="BA287"/>
  <c r="BA285"/>
  <c r="BA283"/>
  <c r="AF282"/>
  <c r="AI282"/>
  <c r="AH282"/>
  <c r="CO280"/>
  <c r="AF280"/>
  <c r="AI280"/>
  <c r="AH280"/>
  <c r="BA279"/>
  <c r="CO277"/>
  <c r="BA276"/>
  <c r="BA275"/>
  <c r="CO274"/>
  <c r="CO271"/>
  <c r="AI331"/>
  <c r="AI329"/>
  <c r="AI327"/>
  <c r="AI325"/>
  <c r="AI323"/>
  <c r="AI321"/>
  <c r="AI319"/>
  <c r="AI317"/>
  <c r="AI315"/>
  <c r="DG313"/>
  <c r="AC312"/>
  <c r="DG311"/>
  <c r="AI311"/>
  <c r="AC310"/>
  <c r="DG309"/>
  <c r="AC308"/>
  <c r="DG307"/>
  <c r="AI307"/>
  <c r="AC306"/>
  <c r="DG305"/>
  <c r="AI305"/>
  <c r="AC304"/>
  <c r="DG296"/>
  <c r="CO293"/>
  <c r="CO292"/>
  <c r="BA290"/>
  <c r="BA289"/>
  <c r="CO285"/>
  <c r="CO283"/>
  <c r="CO282"/>
  <c r="BA281"/>
  <c r="CO279"/>
  <c r="BA278"/>
  <c r="BA274"/>
  <c r="BA273"/>
  <c r="CO272"/>
  <c r="AF331"/>
  <c r="AF329"/>
  <c r="AF327"/>
  <c r="AF325"/>
  <c r="AF323"/>
  <c r="AF321"/>
  <c r="AF319"/>
  <c r="AF317"/>
  <c r="AF315"/>
  <c r="AF311"/>
  <c r="AF307"/>
  <c r="AF305"/>
  <c r="AH295"/>
  <c r="AI295"/>
  <c r="BA292"/>
  <c r="BA291"/>
  <c r="CO287"/>
  <c r="CO286"/>
  <c r="CO284"/>
  <c r="CO281"/>
  <c r="CO278"/>
  <c r="AF278"/>
  <c r="AI278"/>
  <c r="AH278"/>
  <c r="CO275"/>
  <c r="BA272"/>
  <c r="BA270"/>
  <c r="DG332"/>
  <c r="AI332"/>
  <c r="DG330"/>
  <c r="DG328"/>
  <c r="DG326"/>
  <c r="DG324"/>
  <c r="AI324"/>
  <c r="DG322"/>
  <c r="DG320"/>
  <c r="DG318"/>
  <c r="DG316"/>
  <c r="AI316"/>
  <c r="DG314"/>
  <c r="DG312"/>
  <c r="DG310"/>
  <c r="AI310"/>
  <c r="DG308"/>
  <c r="DG306"/>
  <c r="DG304"/>
  <c r="AF302"/>
  <c r="AC301"/>
  <c r="AF300"/>
  <c r="AC299"/>
  <c r="AF298"/>
  <c r="CO294"/>
  <c r="AH297"/>
  <c r="AI297"/>
  <c r="BA294"/>
  <c r="BA293"/>
  <c r="CO289"/>
  <c r="CO288"/>
  <c r="BA286"/>
  <c r="BA284"/>
  <c r="BA282"/>
  <c r="BA280"/>
  <c r="BA277"/>
  <c r="CO276"/>
  <c r="CO273"/>
  <c r="CO269"/>
  <c r="FE308"/>
  <c r="CU308"/>
  <c r="FE306"/>
  <c r="CU306"/>
  <c r="FE304"/>
  <c r="CU304"/>
  <c r="DG302"/>
  <c r="AH302"/>
  <c r="DG300"/>
  <c r="AH300"/>
  <c r="DG298"/>
  <c r="AH298"/>
  <c r="CO296"/>
  <c r="BA295"/>
  <c r="DG268"/>
  <c r="CO265"/>
  <c r="CO264"/>
  <c r="BA262"/>
  <c r="BA261"/>
  <c r="BA259"/>
  <c r="BA257"/>
  <c r="CO254"/>
  <c r="AF254"/>
  <c r="AI254"/>
  <c r="AH254"/>
  <c r="BA252"/>
  <c r="CO250"/>
  <c r="BA248"/>
  <c r="CO246"/>
  <c r="CO243"/>
  <c r="AI293"/>
  <c r="AI291"/>
  <c r="AI289"/>
  <c r="AI287"/>
  <c r="AC284"/>
  <c r="DG283"/>
  <c r="AC282"/>
  <c r="DG281"/>
  <c r="AI281"/>
  <c r="AC280"/>
  <c r="DG270"/>
  <c r="BA268"/>
  <c r="CO267"/>
  <c r="AH267"/>
  <c r="AI267"/>
  <c r="CO266"/>
  <c r="BA264"/>
  <c r="BA263"/>
  <c r="BA255"/>
  <c r="CO252"/>
  <c r="AF252"/>
  <c r="AI252"/>
  <c r="AH252"/>
  <c r="BA249"/>
  <c r="CO247"/>
  <c r="BA245"/>
  <c r="AF293"/>
  <c r="AF291"/>
  <c r="AF289"/>
  <c r="AF287"/>
  <c r="AF281"/>
  <c r="AH269"/>
  <c r="AI269"/>
  <c r="BA266"/>
  <c r="BA265"/>
  <c r="CO261"/>
  <c r="BA260"/>
  <c r="CO259"/>
  <c r="BA258"/>
  <c r="CO257"/>
  <c r="BA256"/>
  <c r="CO255"/>
  <c r="BA253"/>
  <c r="BA251"/>
  <c r="BA250"/>
  <c r="CO248"/>
  <c r="BA246"/>
  <c r="CO244"/>
  <c r="BA242"/>
  <c r="AI296"/>
  <c r="AI294"/>
  <c r="DG292"/>
  <c r="DG290"/>
  <c r="DG288"/>
  <c r="DG286"/>
  <c r="AI286"/>
  <c r="DG284"/>
  <c r="AI284"/>
  <c r="DG282"/>
  <c r="DG280"/>
  <c r="DG278"/>
  <c r="DG276"/>
  <c r="DG274"/>
  <c r="DG271"/>
  <c r="CO268"/>
  <c r="BA267"/>
  <c r="AH271"/>
  <c r="AI271"/>
  <c r="CO263"/>
  <c r="CO262"/>
  <c r="CO260"/>
  <c r="AF260"/>
  <c r="AI260"/>
  <c r="AH260"/>
  <c r="CO258"/>
  <c r="AF258"/>
  <c r="AI258"/>
  <c r="AH258"/>
  <c r="CO256"/>
  <c r="AF256"/>
  <c r="AI256"/>
  <c r="AH256"/>
  <c r="BA254"/>
  <c r="CO253"/>
  <c r="CO251"/>
  <c r="CO249"/>
  <c r="BA247"/>
  <c r="CO245"/>
  <c r="BA244"/>
  <c r="FE280"/>
  <c r="CU280"/>
  <c r="FE278"/>
  <c r="CU278"/>
  <c r="AC276"/>
  <c r="AF275"/>
  <c r="AC274"/>
  <c r="AF273"/>
  <c r="AC272"/>
  <c r="CO270"/>
  <c r="BA269"/>
  <c r="AF267"/>
  <c r="BA240"/>
  <c r="CO239"/>
  <c r="BA235"/>
  <c r="CO234"/>
  <c r="BA232"/>
  <c r="CO231"/>
  <c r="CO226"/>
  <c r="BA225"/>
  <c r="BA224"/>
  <c r="CO221"/>
  <c r="AI265"/>
  <c r="AI263"/>
  <c r="AI261"/>
  <c r="AI259"/>
  <c r="AI257"/>
  <c r="DG255"/>
  <c r="AI255"/>
  <c r="AC254"/>
  <c r="DG253"/>
  <c r="AI253"/>
  <c r="AC252"/>
  <c r="DG251"/>
  <c r="AI251"/>
  <c r="CO241"/>
  <c r="BA237"/>
  <c r="CO236"/>
  <c r="BA234"/>
  <c r="CO233"/>
  <c r="BA229"/>
  <c r="CO228"/>
  <c r="BA227"/>
  <c r="CO225"/>
  <c r="CO224"/>
  <c r="AF224"/>
  <c r="AI224"/>
  <c r="AH224"/>
  <c r="BA223"/>
  <c r="BA222"/>
  <c r="BA221"/>
  <c r="BA220"/>
  <c r="AF265"/>
  <c r="AF263"/>
  <c r="AF261"/>
  <c r="AF259"/>
  <c r="AF257"/>
  <c r="AF255"/>
  <c r="AF253"/>
  <c r="AF251"/>
  <c r="AH243"/>
  <c r="AI243"/>
  <c r="DG242"/>
  <c r="BA239"/>
  <c r="CO238"/>
  <c r="BA236"/>
  <c r="CO235"/>
  <c r="BA231"/>
  <c r="CO230"/>
  <c r="BA228"/>
  <c r="CO227"/>
  <c r="BA226"/>
  <c r="CO223"/>
  <c r="CO219"/>
  <c r="AI270"/>
  <c r="AI268"/>
  <c r="DG266"/>
  <c r="DG264"/>
  <c r="DG262"/>
  <c r="DG260"/>
  <c r="DG258"/>
  <c r="DG256"/>
  <c r="DG254"/>
  <c r="DG252"/>
  <c r="EI242"/>
  <c r="BA241"/>
  <c r="CO240"/>
  <c r="BA238"/>
  <c r="CO237"/>
  <c r="BA233"/>
  <c r="CO232"/>
  <c r="BA230"/>
  <c r="CO229"/>
  <c r="AF226"/>
  <c r="AI226"/>
  <c r="AH226"/>
  <c r="CO222"/>
  <c r="FE260"/>
  <c r="CU260"/>
  <c r="FE258"/>
  <c r="CU258"/>
  <c r="FE256"/>
  <c r="CU256"/>
  <c r="FE254"/>
  <c r="CU254"/>
  <c r="FE252"/>
  <c r="CU252"/>
  <c r="BA243"/>
  <c r="DG218"/>
  <c r="BA217"/>
  <c r="BA215"/>
  <c r="AF214"/>
  <c r="AI214"/>
  <c r="AH214"/>
  <c r="CO212"/>
  <c r="AF212"/>
  <c r="AI212"/>
  <c r="AH212"/>
  <c r="CO210"/>
  <c r="CO209"/>
  <c r="CO208"/>
  <c r="CO205"/>
  <c r="AI241"/>
  <c r="AI239"/>
  <c r="AI237"/>
  <c r="AI235"/>
  <c r="AI233"/>
  <c r="AI231"/>
  <c r="AI229"/>
  <c r="DG227"/>
  <c r="AC226"/>
  <c r="DG220"/>
  <c r="BA218"/>
  <c r="CO215"/>
  <c r="CO214"/>
  <c r="BA213"/>
  <c r="BA211"/>
  <c r="BA209"/>
  <c r="BA208"/>
  <c r="CO207"/>
  <c r="BA206"/>
  <c r="AF241"/>
  <c r="AF239"/>
  <c r="AF237"/>
  <c r="AF235"/>
  <c r="AF233"/>
  <c r="AF231"/>
  <c r="AF229"/>
  <c r="AH219"/>
  <c r="AI219"/>
  <c r="CO217"/>
  <c r="CO216"/>
  <c r="CO213"/>
  <c r="CO211"/>
  <c r="DG240"/>
  <c r="DG238"/>
  <c r="AI238"/>
  <c r="DG236"/>
  <c r="DG234"/>
  <c r="DG232"/>
  <c r="DG230"/>
  <c r="AI230"/>
  <c r="DG228"/>
  <c r="DG226"/>
  <c r="DG224"/>
  <c r="AF222"/>
  <c r="CO218"/>
  <c r="BA216"/>
  <c r="BA214"/>
  <c r="BA212"/>
  <c r="BA210"/>
  <c r="BA207"/>
  <c r="CO206"/>
  <c r="FE224"/>
  <c r="CU224"/>
  <c r="AC223"/>
  <c r="EI222"/>
  <c r="DG222"/>
  <c r="AH222"/>
  <c r="CO220"/>
  <c r="BA219"/>
  <c r="BA204"/>
  <c r="BA201"/>
  <c r="CO200"/>
  <c r="CO195"/>
  <c r="CO194"/>
  <c r="CO193"/>
  <c r="AI217"/>
  <c r="AC216"/>
  <c r="DG215"/>
  <c r="AC214"/>
  <c r="DG213"/>
  <c r="AC212"/>
  <c r="DG211"/>
  <c r="AI211"/>
  <c r="CO203"/>
  <c r="BA202"/>
  <c r="BA199"/>
  <c r="CO198"/>
  <c r="CO196"/>
  <c r="AF217"/>
  <c r="AF211"/>
  <c r="AI205"/>
  <c r="AH205"/>
  <c r="AF205"/>
  <c r="BA205"/>
  <c r="CO204"/>
  <c r="CO201"/>
  <c r="BA200"/>
  <c r="CO197"/>
  <c r="BA195"/>
  <c r="BA194"/>
  <c r="AI220"/>
  <c r="DG216"/>
  <c r="AI216"/>
  <c r="DG214"/>
  <c r="DG212"/>
  <c r="DG210"/>
  <c r="EI208"/>
  <c r="AF207"/>
  <c r="BA203"/>
  <c r="CO202"/>
  <c r="CO199"/>
  <c r="BA198"/>
  <c r="BA197"/>
  <c r="BA196"/>
  <c r="FE212"/>
  <c r="CU212"/>
  <c r="BT210"/>
  <c r="AC208"/>
  <c r="EI207"/>
  <c r="DG207"/>
  <c r="AH207"/>
  <c r="AF206"/>
  <c r="BA192"/>
  <c r="CO190"/>
  <c r="BA189"/>
  <c r="CO185"/>
  <c r="CO184"/>
  <c r="BA183"/>
  <c r="AH204"/>
  <c r="AF203"/>
  <c r="AH202"/>
  <c r="AF201"/>
  <c r="AH200"/>
  <c r="AF199"/>
  <c r="AH198"/>
  <c r="CO191"/>
  <c r="BA190"/>
  <c r="CO188"/>
  <c r="BA187"/>
  <c r="BA181"/>
  <c r="AI204"/>
  <c r="AI202"/>
  <c r="AI200"/>
  <c r="AI198"/>
  <c r="AH193"/>
  <c r="AI193"/>
  <c r="CO189"/>
  <c r="BA188"/>
  <c r="CO186"/>
  <c r="BA185"/>
  <c r="CO183"/>
  <c r="AH203"/>
  <c r="AH201"/>
  <c r="AH199"/>
  <c r="AF196"/>
  <c r="AF194"/>
  <c r="CO192"/>
  <c r="BA191"/>
  <c r="CO187"/>
  <c r="BA186"/>
  <c r="AI184"/>
  <c r="AH184"/>
  <c r="AF184"/>
  <c r="CO182"/>
  <c r="EI196"/>
  <c r="AH196"/>
  <c r="EI194"/>
  <c r="AH194"/>
  <c r="BA193"/>
  <c r="CO175"/>
  <c r="AI191"/>
  <c r="AI189"/>
  <c r="AI187"/>
  <c r="AI185"/>
  <c r="AF183"/>
  <c r="CO180"/>
  <c r="CO179"/>
  <c r="BA178"/>
  <c r="AF191"/>
  <c r="AF189"/>
  <c r="AF187"/>
  <c r="AF185"/>
  <c r="DG181"/>
  <c r="BA179"/>
  <c r="CO178"/>
  <c r="CO177"/>
  <c r="BA175"/>
  <c r="DG192"/>
  <c r="DG190"/>
  <c r="AI190"/>
  <c r="DG188"/>
  <c r="DG186"/>
  <c r="BN184"/>
  <c r="BA180"/>
  <c r="CO176"/>
  <c r="EI182"/>
  <c r="CO174"/>
  <c r="CO172"/>
  <c r="AH180"/>
  <c r="FE176"/>
  <c r="CU176"/>
  <c r="AH176"/>
  <c r="AH175"/>
  <c r="CO173"/>
  <c r="BA170"/>
  <c r="AI180"/>
  <c r="BA177"/>
  <c r="AF177"/>
  <c r="AI176"/>
  <c r="BA173"/>
  <c r="CO171"/>
  <c r="BA171"/>
  <c r="CO169"/>
  <c r="BA176"/>
  <c r="BA172"/>
  <c r="CO170"/>
  <c r="AH177"/>
  <c r="AF175"/>
  <c r="CO167"/>
  <c r="CO166"/>
  <c r="BA166"/>
  <c r="AF173"/>
  <c r="AH172"/>
  <c r="AF171"/>
  <c r="BA168"/>
  <c r="BA165"/>
  <c r="CO163"/>
  <c r="AI172"/>
  <c r="AH169"/>
  <c r="AI169"/>
  <c r="BA167"/>
  <c r="CO165"/>
  <c r="CO162"/>
  <c r="CO168"/>
  <c r="AF166"/>
  <c r="AI166"/>
  <c r="AH166"/>
  <c r="CO164"/>
  <c r="BA163"/>
  <c r="BA161"/>
  <c r="CO160"/>
  <c r="BA169"/>
  <c r="DG161"/>
  <c r="DG162"/>
  <c r="BA159"/>
  <c r="CO158"/>
  <c r="BA157"/>
  <c r="AI167"/>
  <c r="AF163"/>
  <c r="AI163"/>
  <c r="AH162"/>
  <c r="AI162"/>
  <c r="CO157"/>
  <c r="AF157"/>
  <c r="AI157"/>
  <c r="AH157"/>
  <c r="AH168"/>
  <c r="AF167"/>
  <c r="BN166"/>
  <c r="AH163"/>
  <c r="AC160"/>
  <c r="AC161"/>
  <c r="AI168"/>
  <c r="CO159"/>
  <c r="BA158"/>
  <c r="EI162"/>
  <c r="BA162"/>
  <c r="BA160"/>
  <c r="DG160"/>
  <c r="AC159"/>
  <c r="AI161"/>
  <c r="DG159"/>
  <c r="FE157"/>
  <c r="CU157"/>
  <c r="O119"/>
  <c r="BG119" s="1"/>
  <c r="S119"/>
  <c r="T119"/>
  <c r="U119"/>
  <c r="V119"/>
  <c r="W119"/>
  <c r="AB119"/>
  <c r="AM119"/>
  <c r="AN119"/>
  <c r="AW119"/>
  <c r="AY119"/>
  <c r="BC119"/>
  <c r="AU119" s="1"/>
  <c r="BP119"/>
  <c r="BR119"/>
  <c r="BW119"/>
  <c r="BT119" s="1"/>
  <c r="AH119" s="1"/>
  <c r="BX119"/>
  <c r="CB119"/>
  <c r="CK119"/>
  <c r="CM119"/>
  <c r="CQ119"/>
  <c r="CI119" s="1"/>
  <c r="CU119"/>
  <c r="DF119"/>
  <c r="DV119"/>
  <c r="EC119"/>
  <c r="EF119"/>
  <c r="EG119"/>
  <c r="EH119"/>
  <c r="FG119"/>
  <c r="D118"/>
  <c r="E118"/>
  <c r="O118"/>
  <c r="FE118" s="1"/>
  <c r="S118"/>
  <c r="T118"/>
  <c r="U118"/>
  <c r="V118"/>
  <c r="W118"/>
  <c r="AB118"/>
  <c r="AM118"/>
  <c r="AN118"/>
  <c r="AW118"/>
  <c r="AY118"/>
  <c r="BC118"/>
  <c r="AU118" s="1"/>
  <c r="BG118"/>
  <c r="BP118"/>
  <c r="BR118"/>
  <c r="BW118"/>
  <c r="BT118" s="1"/>
  <c r="AF118" s="1"/>
  <c r="BX118"/>
  <c r="CK118"/>
  <c r="CM118"/>
  <c r="CQ118"/>
  <c r="CI118" s="1"/>
  <c r="CU118"/>
  <c r="DF118"/>
  <c r="DV118"/>
  <c r="EC118"/>
  <c r="EF118"/>
  <c r="EG118"/>
  <c r="EH118"/>
  <c r="FG118"/>
  <c r="BB117" i="32"/>
  <c r="BB97"/>
  <c r="BB98" s="1"/>
  <c r="DB352" i="43" l="1"/>
  <c r="DC352" s="1"/>
  <c r="AI174"/>
  <c r="AI182"/>
  <c r="AF223"/>
  <c r="AH276"/>
  <c r="BA381" i="45"/>
  <c r="AI215" i="43"/>
  <c r="EU10"/>
  <c r="AI313"/>
  <c r="AH160"/>
  <c r="AF276"/>
  <c r="AF160"/>
  <c r="AI178"/>
  <c r="AH178"/>
  <c r="AF181"/>
  <c r="AI213"/>
  <c r="AF227"/>
  <c r="AI227"/>
  <c r="AI283"/>
  <c r="AF309"/>
  <c r="AI349"/>
  <c r="AF283"/>
  <c r="AH181"/>
  <c r="AF182"/>
  <c r="AF274"/>
  <c r="AF279"/>
  <c r="AF342"/>
  <c r="AI164"/>
  <c r="AF215"/>
  <c r="AF225"/>
  <c r="AI223"/>
  <c r="AF313"/>
  <c r="AH342"/>
  <c r="AH221"/>
  <c r="AF197"/>
  <c r="AF221"/>
  <c r="AF338"/>
  <c r="AF346"/>
  <c r="AH197"/>
  <c r="AH349"/>
  <c r="AH340"/>
  <c r="AI346"/>
  <c r="CX297"/>
  <c r="AH164"/>
  <c r="AH274"/>
  <c r="AI277"/>
  <c r="AI279"/>
  <c r="AI309"/>
  <c r="AI359"/>
  <c r="AH338"/>
  <c r="CX164"/>
  <c r="CX182"/>
  <c r="DB357"/>
  <c r="AI158"/>
  <c r="AF165"/>
  <c r="AI165"/>
  <c r="AH174"/>
  <c r="AF213"/>
  <c r="AH272"/>
  <c r="AF272"/>
  <c r="AI225"/>
  <c r="AF277"/>
  <c r="AF285"/>
  <c r="AF158"/>
  <c r="AI285"/>
  <c r="AF303"/>
  <c r="AI303"/>
  <c r="AH301"/>
  <c r="CX338"/>
  <c r="AI340"/>
  <c r="DB337"/>
  <c r="DC337" s="1"/>
  <c r="DD337" s="1"/>
  <c r="CX174"/>
  <c r="DB371"/>
  <c r="DC371" s="1"/>
  <c r="CX335"/>
  <c r="DB161"/>
  <c r="DC161" s="1"/>
  <c r="CX356"/>
  <c r="AF301"/>
  <c r="DB336"/>
  <c r="CX342"/>
  <c r="AF186"/>
  <c r="AH186"/>
  <c r="AI364"/>
  <c r="AH364"/>
  <c r="AF380"/>
  <c r="AH380"/>
  <c r="AF218"/>
  <c r="AH218"/>
  <c r="AF312"/>
  <c r="AH312"/>
  <c r="AF334"/>
  <c r="AH334"/>
  <c r="AI209"/>
  <c r="AH209"/>
  <c r="AF209"/>
  <c r="AF290"/>
  <c r="AH290"/>
  <c r="AF320"/>
  <c r="AH320"/>
  <c r="AF192"/>
  <c r="AH192"/>
  <c r="AF232"/>
  <c r="AH232"/>
  <c r="AF236"/>
  <c r="AH236"/>
  <c r="AF266"/>
  <c r="AH266"/>
  <c r="AI299"/>
  <c r="AF299"/>
  <c r="AH299"/>
  <c r="AF330"/>
  <c r="AH330"/>
  <c r="AI208"/>
  <c r="AF208"/>
  <c r="AF264"/>
  <c r="AH264"/>
  <c r="AF240"/>
  <c r="AH240"/>
  <c r="AF326"/>
  <c r="AH326"/>
  <c r="AF357"/>
  <c r="AH357"/>
  <c r="AF378"/>
  <c r="AH378"/>
  <c r="AI179"/>
  <c r="AH179"/>
  <c r="AF188"/>
  <c r="AH188"/>
  <c r="AF322"/>
  <c r="AH322"/>
  <c r="AF234"/>
  <c r="AH234"/>
  <c r="AF159"/>
  <c r="AH159"/>
  <c r="AF288"/>
  <c r="AH288"/>
  <c r="DB345"/>
  <c r="DC345" s="1"/>
  <c r="AF228"/>
  <c r="AH228"/>
  <c r="AF242"/>
  <c r="AH242"/>
  <c r="AF292"/>
  <c r="AH292"/>
  <c r="AF314"/>
  <c r="AH314"/>
  <c r="AF328"/>
  <c r="AH328"/>
  <c r="AF262"/>
  <c r="AH262"/>
  <c r="AF318"/>
  <c r="AH318"/>
  <c r="AF336"/>
  <c r="AH336"/>
  <c r="AF355"/>
  <c r="AH355"/>
  <c r="AF372"/>
  <c r="AH372"/>
  <c r="CX162"/>
  <c r="CX169"/>
  <c r="DB160"/>
  <c r="DB180"/>
  <c r="DC180" s="1"/>
  <c r="DB175"/>
  <c r="DC175" s="1"/>
  <c r="CX190"/>
  <c r="DB191"/>
  <c r="DC191" s="1"/>
  <c r="CX192"/>
  <c r="CX197"/>
  <c r="CX203"/>
  <c r="CX200"/>
  <c r="DB201"/>
  <c r="DC201" s="1"/>
  <c r="CX219"/>
  <c r="DB206"/>
  <c r="DC206" s="1"/>
  <c r="CX210"/>
  <c r="DB213"/>
  <c r="DB217"/>
  <c r="DC217" s="1"/>
  <c r="CX206"/>
  <c r="DB207"/>
  <c r="DC207" s="1"/>
  <c r="CX209"/>
  <c r="DB208"/>
  <c r="CX226"/>
  <c r="CX228"/>
  <c r="CX231"/>
  <c r="DB235"/>
  <c r="DC235" s="1"/>
  <c r="DB238"/>
  <c r="DC238" s="1"/>
  <c r="CX221"/>
  <c r="DB224"/>
  <c r="DC224" s="1"/>
  <c r="CX229"/>
  <c r="DB233"/>
  <c r="DC233" s="1"/>
  <c r="DB236"/>
  <c r="DB221"/>
  <c r="CX269"/>
  <c r="CX244"/>
  <c r="DB245"/>
  <c r="DC245" s="1"/>
  <c r="DB249"/>
  <c r="DC249" s="1"/>
  <c r="DB256"/>
  <c r="DC256" s="1"/>
  <c r="DB262"/>
  <c r="DB263"/>
  <c r="DC263" s="1"/>
  <c r="DB268"/>
  <c r="DC268" s="1"/>
  <c r="CX242"/>
  <c r="CX256"/>
  <c r="CX258"/>
  <c r="DB259"/>
  <c r="DC259" s="1"/>
  <c r="DB247"/>
  <c r="DC247" s="1"/>
  <c r="CX255"/>
  <c r="CX263"/>
  <c r="CX264"/>
  <c r="DB243"/>
  <c r="DC243" s="1"/>
  <c r="CX252"/>
  <c r="DB296"/>
  <c r="DC296" s="1"/>
  <c r="CX277"/>
  <c r="CX280"/>
  <c r="CX284"/>
  <c r="CX286"/>
  <c r="DB294"/>
  <c r="DC294" s="1"/>
  <c r="CX278"/>
  <c r="DB283"/>
  <c r="DB292"/>
  <c r="DB293"/>
  <c r="DC293" s="1"/>
  <c r="DB271"/>
  <c r="DC271" s="1"/>
  <c r="CX285"/>
  <c r="DB290"/>
  <c r="DB291"/>
  <c r="DC291" s="1"/>
  <c r="CX296"/>
  <c r="CX307"/>
  <c r="DB309"/>
  <c r="CX313"/>
  <c r="DB318"/>
  <c r="DB319"/>
  <c r="DC319" s="1"/>
  <c r="CX323"/>
  <c r="CX324"/>
  <c r="CX309"/>
  <c r="CX314"/>
  <c r="DB324"/>
  <c r="DC324" s="1"/>
  <c r="DB325"/>
  <c r="DC325" s="1"/>
  <c r="CX329"/>
  <c r="CX330"/>
  <c r="CX334"/>
  <c r="DB303"/>
  <c r="CX304"/>
  <c r="CX306"/>
  <c r="DB343"/>
  <c r="DC343" s="1"/>
  <c r="DB335"/>
  <c r="DC335" s="1"/>
  <c r="CX343"/>
  <c r="CX349"/>
  <c r="CX355"/>
  <c r="DB362"/>
  <c r="DC362" s="1"/>
  <c r="DB350"/>
  <c r="DC350" s="1"/>
  <c r="CX359"/>
  <c r="DB356"/>
  <c r="DC356" s="1"/>
  <c r="DB383"/>
  <c r="DC383" s="1"/>
  <c r="DB380"/>
  <c r="CX385"/>
  <c r="CX365"/>
  <c r="CX369"/>
  <c r="DB372"/>
  <c r="CX375"/>
  <c r="CX374"/>
  <c r="DB385"/>
  <c r="DC385" s="1"/>
  <c r="DB242"/>
  <c r="BU166"/>
  <c r="DB166" s="1"/>
  <c r="DC166" s="1"/>
  <c r="CX157"/>
  <c r="CX163"/>
  <c r="DB164"/>
  <c r="DC164" s="1"/>
  <c r="DB168"/>
  <c r="DC168" s="1"/>
  <c r="DB162"/>
  <c r="DC162" s="1"/>
  <c r="DB167"/>
  <c r="DC167" s="1"/>
  <c r="CX176"/>
  <c r="CX171"/>
  <c r="DB173"/>
  <c r="DC173" s="1"/>
  <c r="DB174"/>
  <c r="DC174" s="1"/>
  <c r="CX180"/>
  <c r="CX175"/>
  <c r="DB177"/>
  <c r="DC177" s="1"/>
  <c r="DB182"/>
  <c r="CX186"/>
  <c r="DB187"/>
  <c r="DC187" s="1"/>
  <c r="CX191"/>
  <c r="DB192"/>
  <c r="CX185"/>
  <c r="DB186"/>
  <c r="AI210"/>
  <c r="AF210"/>
  <c r="AH210"/>
  <c r="CX198"/>
  <c r="DB199"/>
  <c r="DC199" s="1"/>
  <c r="CX194"/>
  <c r="DB204"/>
  <c r="DC204" s="1"/>
  <c r="DB196"/>
  <c r="DC196" s="1"/>
  <c r="DB198"/>
  <c r="DC198" s="1"/>
  <c r="DB200"/>
  <c r="DC200" s="1"/>
  <c r="DB220"/>
  <c r="DC220" s="1"/>
  <c r="CX214"/>
  <c r="CX211"/>
  <c r="CX213"/>
  <c r="DB214"/>
  <c r="DC214" s="1"/>
  <c r="DB205"/>
  <c r="DC205" s="1"/>
  <c r="CX215"/>
  <c r="DB229"/>
  <c r="DC229" s="1"/>
  <c r="DB232"/>
  <c r="CX238"/>
  <c r="CX241"/>
  <c r="CX220"/>
  <c r="CX224"/>
  <c r="DB231"/>
  <c r="DC231" s="1"/>
  <c r="DB234"/>
  <c r="CX240"/>
  <c r="DB270"/>
  <c r="DC270" s="1"/>
  <c r="DB251"/>
  <c r="DC251" s="1"/>
  <c r="CX254"/>
  <c r="DB244"/>
  <c r="DC244" s="1"/>
  <c r="DB248"/>
  <c r="DC248" s="1"/>
  <c r="CX248"/>
  <c r="CX257"/>
  <c r="CX259"/>
  <c r="CX261"/>
  <c r="CX262"/>
  <c r="DB273"/>
  <c r="DC273" s="1"/>
  <c r="CX272"/>
  <c r="DB275"/>
  <c r="DC275" s="1"/>
  <c r="DB281"/>
  <c r="DC281" s="1"/>
  <c r="DB286"/>
  <c r="DC286" s="1"/>
  <c r="DB287"/>
  <c r="DC287" s="1"/>
  <c r="CX291"/>
  <c r="CX292"/>
  <c r="DB272"/>
  <c r="CX275"/>
  <c r="CX276"/>
  <c r="DB298"/>
  <c r="DC298" s="1"/>
  <c r="CX301"/>
  <c r="CX299"/>
  <c r="DB301"/>
  <c r="CX298"/>
  <c r="CX310"/>
  <c r="DB314"/>
  <c r="DB315"/>
  <c r="DC315" s="1"/>
  <c r="CX319"/>
  <c r="CX320"/>
  <c r="DB330"/>
  <c r="DB331"/>
  <c r="DC331" s="1"/>
  <c r="DB349"/>
  <c r="DC349" s="1"/>
  <c r="CX354"/>
  <c r="CX348"/>
  <c r="CX352"/>
  <c r="CX336"/>
  <c r="CX333"/>
  <c r="CX303"/>
  <c r="CX305"/>
  <c r="DB307"/>
  <c r="DC307" s="1"/>
  <c r="DB310"/>
  <c r="DC310" s="1"/>
  <c r="DB313"/>
  <c r="CX317"/>
  <c r="CX318"/>
  <c r="DB328"/>
  <c r="DB329"/>
  <c r="DC329" s="1"/>
  <c r="CX364"/>
  <c r="DB365"/>
  <c r="DC365" s="1"/>
  <c r="CX368"/>
  <c r="DB369"/>
  <c r="DC369" s="1"/>
  <c r="DB382"/>
  <c r="DC382" s="1"/>
  <c r="CX357"/>
  <c r="CX372"/>
  <c r="DB373"/>
  <c r="DC373" s="1"/>
  <c r="CX378"/>
  <c r="CX361"/>
  <c r="DB379"/>
  <c r="DC379" s="1"/>
  <c r="CX384"/>
  <c r="CX373"/>
  <c r="DB384"/>
  <c r="DC384" s="1"/>
  <c r="DB181"/>
  <c r="DB341"/>
  <c r="DC341" s="1"/>
  <c r="DB347"/>
  <c r="DC347" s="1"/>
  <c r="CX350"/>
  <c r="DB359"/>
  <c r="DC359" s="1"/>
  <c r="CX158"/>
  <c r="DB159"/>
  <c r="DB157"/>
  <c r="DC157" s="1"/>
  <c r="CX161"/>
  <c r="CX165"/>
  <c r="CX168"/>
  <c r="DB170"/>
  <c r="DC170" s="1"/>
  <c r="DB169"/>
  <c r="DC169" s="1"/>
  <c r="DB171"/>
  <c r="DC171" s="1"/>
  <c r="CX170"/>
  <c r="DB176"/>
  <c r="DC176" s="1"/>
  <c r="BU184"/>
  <c r="DB184" s="1"/>
  <c r="DC184" s="1"/>
  <c r="DB183"/>
  <c r="DC183" s="1"/>
  <c r="CX187"/>
  <c r="DB188"/>
  <c r="DB185"/>
  <c r="DC185" s="1"/>
  <c r="CX189"/>
  <c r="DB190"/>
  <c r="DC190" s="1"/>
  <c r="CX196"/>
  <c r="DB202"/>
  <c r="DC202" s="1"/>
  <c r="CX202"/>
  <c r="DB203"/>
  <c r="DC203" s="1"/>
  <c r="DB193"/>
  <c r="DC193" s="1"/>
  <c r="CX204"/>
  <c r="CX207"/>
  <c r="DB211"/>
  <c r="DC211" s="1"/>
  <c r="DB216"/>
  <c r="DC216" s="1"/>
  <c r="CX208"/>
  <c r="DB209"/>
  <c r="DB212"/>
  <c r="DC212" s="1"/>
  <c r="DB219"/>
  <c r="DC219" s="1"/>
  <c r="DB223"/>
  <c r="DB227"/>
  <c r="DB230"/>
  <c r="DC230" s="1"/>
  <c r="CX236"/>
  <c r="CX239"/>
  <c r="CX222"/>
  <c r="DB225"/>
  <c r="CX227"/>
  <c r="DB228"/>
  <c r="CX234"/>
  <c r="CX237"/>
  <c r="DB241"/>
  <c r="DC241" s="1"/>
  <c r="CX247"/>
  <c r="DB260"/>
  <c r="DC260" s="1"/>
  <c r="CX251"/>
  <c r="CX253"/>
  <c r="DB255"/>
  <c r="DC255" s="1"/>
  <c r="DB257"/>
  <c r="DC257" s="1"/>
  <c r="CX260"/>
  <c r="DB261"/>
  <c r="DC261" s="1"/>
  <c r="CX265"/>
  <c r="CX266"/>
  <c r="CX245"/>
  <c r="CX249"/>
  <c r="DB252"/>
  <c r="DC252" s="1"/>
  <c r="DB266"/>
  <c r="DB267"/>
  <c r="DC267" s="1"/>
  <c r="CX268"/>
  <c r="DB269"/>
  <c r="DC269" s="1"/>
  <c r="CX282"/>
  <c r="DB288"/>
  <c r="DB289"/>
  <c r="DC289" s="1"/>
  <c r="CX293"/>
  <c r="CX294"/>
  <c r="CX270"/>
  <c r="DB279"/>
  <c r="CX281"/>
  <c r="DB282"/>
  <c r="DC282" s="1"/>
  <c r="DB285"/>
  <c r="CX289"/>
  <c r="CX290"/>
  <c r="DB277"/>
  <c r="CX279"/>
  <c r="CX283"/>
  <c r="CX287"/>
  <c r="CX288"/>
  <c r="CX311"/>
  <c r="CX315"/>
  <c r="CX316"/>
  <c r="DB326"/>
  <c r="DB327"/>
  <c r="DC327" s="1"/>
  <c r="CX331"/>
  <c r="CX332"/>
  <c r="DB306"/>
  <c r="DC306" s="1"/>
  <c r="CX312"/>
  <c r="DB316"/>
  <c r="DC316" s="1"/>
  <c r="DB317"/>
  <c r="DC317" s="1"/>
  <c r="CX321"/>
  <c r="CX322"/>
  <c r="DB332"/>
  <c r="DC332" s="1"/>
  <c r="DB333"/>
  <c r="DC333" s="1"/>
  <c r="DB305"/>
  <c r="DC305" s="1"/>
  <c r="DB355"/>
  <c r="DB353"/>
  <c r="DC353" s="1"/>
  <c r="CX360"/>
  <c r="CX337"/>
  <c r="DB342"/>
  <c r="DB354"/>
  <c r="DC354" s="1"/>
  <c r="CX339"/>
  <c r="DB344"/>
  <c r="DC344" s="1"/>
  <c r="DB297"/>
  <c r="DC297" s="1"/>
  <c r="DB300"/>
  <c r="DC300" s="1"/>
  <c r="DB334"/>
  <c r="DB338"/>
  <c r="CX351"/>
  <c r="DB358"/>
  <c r="DC358" s="1"/>
  <c r="CX353"/>
  <c r="DB375"/>
  <c r="DC375" s="1"/>
  <c r="CX380"/>
  <c r="CX363"/>
  <c r="DB364"/>
  <c r="DC364" s="1"/>
  <c r="DB368"/>
  <c r="DC368" s="1"/>
  <c r="CX377"/>
  <c r="CX366"/>
  <c r="DB367"/>
  <c r="DC367" s="1"/>
  <c r="CX370"/>
  <c r="DB378"/>
  <c r="CX383"/>
  <c r="DB348"/>
  <c r="DC348" s="1"/>
  <c r="DB377"/>
  <c r="DC377" s="1"/>
  <c r="CX382"/>
  <c r="CX340"/>
  <c r="DB351"/>
  <c r="DC351" s="1"/>
  <c r="CX160"/>
  <c r="DB158"/>
  <c r="CX159"/>
  <c r="DB165"/>
  <c r="CX167"/>
  <c r="DB163"/>
  <c r="DC163" s="1"/>
  <c r="CX172"/>
  <c r="CX173"/>
  <c r="CX177"/>
  <c r="DB172"/>
  <c r="DC172" s="1"/>
  <c r="DB178"/>
  <c r="DC178" s="1"/>
  <c r="CX179"/>
  <c r="CX178"/>
  <c r="DB179"/>
  <c r="DC179" s="1"/>
  <c r="CX193"/>
  <c r="CX188"/>
  <c r="DB189"/>
  <c r="DC189" s="1"/>
  <c r="CX181"/>
  <c r="CX183"/>
  <c r="CX195"/>
  <c r="DB197"/>
  <c r="CX205"/>
  <c r="CX199"/>
  <c r="DB194"/>
  <c r="DC194" s="1"/>
  <c r="DB195"/>
  <c r="DC195" s="1"/>
  <c r="CX201"/>
  <c r="CX212"/>
  <c r="CX216"/>
  <c r="DB218"/>
  <c r="DB215"/>
  <c r="CX218"/>
  <c r="DB210"/>
  <c r="CX217"/>
  <c r="CX243"/>
  <c r="DB222"/>
  <c r="DC222" s="1"/>
  <c r="CX230"/>
  <c r="CX233"/>
  <c r="DB237"/>
  <c r="DC237" s="1"/>
  <c r="DB240"/>
  <c r="CX223"/>
  <c r="CX225"/>
  <c r="DB226"/>
  <c r="DC226" s="1"/>
  <c r="CX232"/>
  <c r="CX235"/>
  <c r="DB239"/>
  <c r="DC239" s="1"/>
  <c r="DB253"/>
  <c r="DC253" s="1"/>
  <c r="DB258"/>
  <c r="DC258" s="1"/>
  <c r="CX267"/>
  <c r="CX246"/>
  <c r="CX250"/>
  <c r="DB246"/>
  <c r="DC246" s="1"/>
  <c r="DB250"/>
  <c r="DC250" s="1"/>
  <c r="DB254"/>
  <c r="DC254" s="1"/>
  <c r="DB264"/>
  <c r="DB265"/>
  <c r="DC265" s="1"/>
  <c r="CX295"/>
  <c r="DB276"/>
  <c r="DB278"/>
  <c r="DC278" s="1"/>
  <c r="DB284"/>
  <c r="DC284" s="1"/>
  <c r="CX273"/>
  <c r="CX274"/>
  <c r="DB274"/>
  <c r="DB280"/>
  <c r="DC280" s="1"/>
  <c r="CX302"/>
  <c r="CX300"/>
  <c r="DB304"/>
  <c r="DC304" s="1"/>
  <c r="DB299"/>
  <c r="DB302"/>
  <c r="DC302" s="1"/>
  <c r="DB308"/>
  <c r="DC308" s="1"/>
  <c r="DB312"/>
  <c r="DB322"/>
  <c r="DB323"/>
  <c r="DC323" s="1"/>
  <c r="CX327"/>
  <c r="CX328"/>
  <c r="CX344"/>
  <c r="CX362"/>
  <c r="DB340"/>
  <c r="DC340" s="1"/>
  <c r="DB361"/>
  <c r="DC361" s="1"/>
  <c r="CX345"/>
  <c r="CX347"/>
  <c r="DB295"/>
  <c r="DC295" s="1"/>
  <c r="CX308"/>
  <c r="DB311"/>
  <c r="DC311" s="1"/>
  <c r="DB320"/>
  <c r="DB321"/>
  <c r="DC321" s="1"/>
  <c r="CX325"/>
  <c r="CX326"/>
  <c r="CX341"/>
  <c r="DB346"/>
  <c r="CX367"/>
  <c r="CX371"/>
  <c r="DB374"/>
  <c r="DC374" s="1"/>
  <c r="CX379"/>
  <c r="DB360"/>
  <c r="DC360" s="1"/>
  <c r="DB381"/>
  <c r="DC381" s="1"/>
  <c r="CX376"/>
  <c r="DB363"/>
  <c r="DC363" s="1"/>
  <c r="DB366"/>
  <c r="DC366" s="1"/>
  <c r="DB370"/>
  <c r="DC370" s="1"/>
  <c r="DB376"/>
  <c r="DC376" s="1"/>
  <c r="CX381"/>
  <c r="CX271"/>
  <c r="CX346"/>
  <c r="CX358"/>
  <c r="DB339"/>
  <c r="DC339" s="1"/>
  <c r="FE119"/>
  <c r="BB96" i="32"/>
  <c r="BB95" s="1"/>
  <c r="P119" i="43"/>
  <c r="EI118"/>
  <c r="P118"/>
  <c r="DG119"/>
  <c r="AC119"/>
  <c r="EI119"/>
  <c r="BN118"/>
  <c r="BU118" s="1"/>
  <c r="BN119"/>
  <c r="BU119" s="1"/>
  <c r="BA119"/>
  <c r="CO119"/>
  <c r="AI119"/>
  <c r="AF119"/>
  <c r="CO118"/>
  <c r="BA118"/>
  <c r="AH118"/>
  <c r="AI118"/>
  <c r="C8" i="42"/>
  <c r="X10" i="24"/>
  <c r="X11"/>
  <c r="X12"/>
  <c r="X13"/>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9"/>
  <c r="K4" i="35"/>
  <c r="C6" i="42"/>
  <c r="DH160" i="43" s="1"/>
  <c r="G160" s="1"/>
  <c r="BW73"/>
  <c r="BT73" s="1"/>
  <c r="AF73" s="1"/>
  <c r="CQ73"/>
  <c r="CI73" s="1"/>
  <c r="CK73"/>
  <c r="BX73"/>
  <c r="BP73"/>
  <c r="BR73"/>
  <c r="BC73"/>
  <c r="AU73" s="1"/>
  <c r="AW73"/>
  <c r="AY73"/>
  <c r="CM73"/>
  <c r="BW74"/>
  <c r="BT74" s="1"/>
  <c r="AF74" s="1"/>
  <c r="CQ74"/>
  <c r="CI74" s="1"/>
  <c r="CK74"/>
  <c r="BX74"/>
  <c r="BP74"/>
  <c r="BR74"/>
  <c r="BC74"/>
  <c r="AU74" s="1"/>
  <c r="AW74"/>
  <c r="AY74"/>
  <c r="CM74"/>
  <c r="BW75"/>
  <c r="BT75" s="1"/>
  <c r="AH75" s="1"/>
  <c r="CQ75"/>
  <c r="CI75" s="1"/>
  <c r="CK75"/>
  <c r="BX75"/>
  <c r="BP75"/>
  <c r="BR75"/>
  <c r="BC75"/>
  <c r="AU75" s="1"/>
  <c r="AW75"/>
  <c r="AY75"/>
  <c r="CM75"/>
  <c r="BW76"/>
  <c r="BT76" s="1"/>
  <c r="AI76" s="1"/>
  <c r="CQ76"/>
  <c r="CI76" s="1"/>
  <c r="CK76"/>
  <c r="BX76"/>
  <c r="BP76"/>
  <c r="BR76"/>
  <c r="BC76"/>
  <c r="AU76" s="1"/>
  <c r="AW76"/>
  <c r="AY76"/>
  <c r="CM76"/>
  <c r="BW77"/>
  <c r="BT77" s="1"/>
  <c r="AH77" s="1"/>
  <c r="CQ77"/>
  <c r="CI77" s="1"/>
  <c r="CK77"/>
  <c r="BX77"/>
  <c r="BP77"/>
  <c r="BR77"/>
  <c r="BC77"/>
  <c r="AU77" s="1"/>
  <c r="AW77"/>
  <c r="AY77"/>
  <c r="CM77"/>
  <c r="BW78"/>
  <c r="BT78" s="1"/>
  <c r="CQ78"/>
  <c r="CI78" s="1"/>
  <c r="CK78"/>
  <c r="BX78"/>
  <c r="BP78"/>
  <c r="BR78"/>
  <c r="BC78"/>
  <c r="AU78" s="1"/>
  <c r="AW78"/>
  <c r="AY78"/>
  <c r="CM78"/>
  <c r="BW79"/>
  <c r="BT79" s="1"/>
  <c r="AH79" s="1"/>
  <c r="CQ79"/>
  <c r="CI79" s="1"/>
  <c r="CK79"/>
  <c r="BX79"/>
  <c r="BP79"/>
  <c r="BR79"/>
  <c r="BC79"/>
  <c r="AU79" s="1"/>
  <c r="AW79"/>
  <c r="AY79"/>
  <c r="CM79"/>
  <c r="BW80"/>
  <c r="BT80" s="1"/>
  <c r="AF80" s="1"/>
  <c r="CQ80"/>
  <c r="CI80" s="1"/>
  <c r="CK80"/>
  <c r="BX80"/>
  <c r="BP80"/>
  <c r="BR80"/>
  <c r="BC80"/>
  <c r="AU80" s="1"/>
  <c r="AW80"/>
  <c r="AY80"/>
  <c r="CM80"/>
  <c r="BW81"/>
  <c r="BT81" s="1"/>
  <c r="AF81" s="1"/>
  <c r="CQ81"/>
  <c r="CI81" s="1"/>
  <c r="CK81"/>
  <c r="BX81"/>
  <c r="BP81"/>
  <c r="BR81"/>
  <c r="BC81"/>
  <c r="AU81" s="1"/>
  <c r="AW81"/>
  <c r="AY81"/>
  <c r="CM81"/>
  <c r="BW82"/>
  <c r="BT82" s="1"/>
  <c r="AF82" s="1"/>
  <c r="CQ82"/>
  <c r="CI82" s="1"/>
  <c r="CK82"/>
  <c r="BX82"/>
  <c r="BP82"/>
  <c r="BR82"/>
  <c r="BC82"/>
  <c r="AU82" s="1"/>
  <c r="AW82"/>
  <c r="AY82"/>
  <c r="CM82"/>
  <c r="BW83"/>
  <c r="BT83" s="1"/>
  <c r="AF83" s="1"/>
  <c r="CQ83"/>
  <c r="CI83" s="1"/>
  <c r="CK83"/>
  <c r="BX83"/>
  <c r="BP83"/>
  <c r="BR83"/>
  <c r="BC83"/>
  <c r="AU83" s="1"/>
  <c r="AW83"/>
  <c r="AY83"/>
  <c r="CM83"/>
  <c r="BW84"/>
  <c r="BT84" s="1"/>
  <c r="CQ84"/>
  <c r="CI84" s="1"/>
  <c r="CK84"/>
  <c r="BX84"/>
  <c r="BP84"/>
  <c r="BR84"/>
  <c r="BC84"/>
  <c r="AU84" s="1"/>
  <c r="AW84"/>
  <c r="AY84"/>
  <c r="CM84"/>
  <c r="BW85"/>
  <c r="BT85" s="1"/>
  <c r="AF85" s="1"/>
  <c r="CQ85"/>
  <c r="CI85" s="1"/>
  <c r="CK85"/>
  <c r="BX85"/>
  <c r="BP85"/>
  <c r="BR85"/>
  <c r="BC85"/>
  <c r="AU85" s="1"/>
  <c r="AW85"/>
  <c r="AY85"/>
  <c r="CM85"/>
  <c r="BW86"/>
  <c r="BT86" s="1"/>
  <c r="CQ86"/>
  <c r="CI86" s="1"/>
  <c r="CK86"/>
  <c r="BX86"/>
  <c r="BP86"/>
  <c r="BR86"/>
  <c r="BC86"/>
  <c r="AU86" s="1"/>
  <c r="AW86"/>
  <c r="AY86"/>
  <c r="CM86"/>
  <c r="BW87"/>
  <c r="BT87" s="1"/>
  <c r="AF87" s="1"/>
  <c r="CQ87"/>
  <c r="CI87" s="1"/>
  <c r="CK87"/>
  <c r="BX87"/>
  <c r="BP87"/>
  <c r="BR87"/>
  <c r="BC87"/>
  <c r="AU87" s="1"/>
  <c r="AW87"/>
  <c r="AY87"/>
  <c r="CM87"/>
  <c r="BW88"/>
  <c r="BT88" s="1"/>
  <c r="AI88" s="1"/>
  <c r="CQ88"/>
  <c r="CI88" s="1"/>
  <c r="CK88"/>
  <c r="BX88"/>
  <c r="BP88"/>
  <c r="BR88"/>
  <c r="BC88"/>
  <c r="AU88" s="1"/>
  <c r="AW88"/>
  <c r="AY88"/>
  <c r="CM88"/>
  <c r="BW89"/>
  <c r="BT89" s="1"/>
  <c r="AF89" s="1"/>
  <c r="CQ89"/>
  <c r="CI89" s="1"/>
  <c r="CK89"/>
  <c r="BX89"/>
  <c r="BP89"/>
  <c r="BR89"/>
  <c r="BC89"/>
  <c r="AU89" s="1"/>
  <c r="AW89"/>
  <c r="AY89"/>
  <c r="CM89"/>
  <c r="BW90"/>
  <c r="BT90" s="1"/>
  <c r="AH90" s="1"/>
  <c r="CQ90"/>
  <c r="CI90" s="1"/>
  <c r="CK90"/>
  <c r="BX90"/>
  <c r="BP90"/>
  <c r="BR90"/>
  <c r="BC90"/>
  <c r="AU90" s="1"/>
  <c r="AW90"/>
  <c r="AY90"/>
  <c r="CM90"/>
  <c r="BW91"/>
  <c r="BT91" s="1"/>
  <c r="AH91" s="1"/>
  <c r="CQ91"/>
  <c r="CI91" s="1"/>
  <c r="CK91"/>
  <c r="BX91"/>
  <c r="BP91"/>
  <c r="BR91"/>
  <c r="BC91"/>
  <c r="AU91" s="1"/>
  <c r="AW91"/>
  <c r="AY91"/>
  <c r="CM91"/>
  <c r="BW92"/>
  <c r="BT92" s="1"/>
  <c r="AH92" s="1"/>
  <c r="CQ92"/>
  <c r="CI92" s="1"/>
  <c r="CK92"/>
  <c r="BX92"/>
  <c r="BP92"/>
  <c r="BR92"/>
  <c r="BC92"/>
  <c r="AU92" s="1"/>
  <c r="AW92"/>
  <c r="AY92"/>
  <c r="CM92"/>
  <c r="BW93"/>
  <c r="BT93" s="1"/>
  <c r="AI93" s="1"/>
  <c r="CQ93"/>
  <c r="CI93" s="1"/>
  <c r="CK93"/>
  <c r="BX93"/>
  <c r="BP93"/>
  <c r="BR93"/>
  <c r="BC93"/>
  <c r="AU93" s="1"/>
  <c r="AW93"/>
  <c r="AY93"/>
  <c r="CM93"/>
  <c r="BW94"/>
  <c r="BT94" s="1"/>
  <c r="AI94" s="1"/>
  <c r="CQ94"/>
  <c r="CI94" s="1"/>
  <c r="CK94"/>
  <c r="BX94"/>
  <c r="BP94"/>
  <c r="BR94"/>
  <c r="BC94"/>
  <c r="AU94" s="1"/>
  <c r="AW94"/>
  <c r="AY94"/>
  <c r="CM94"/>
  <c r="BW95"/>
  <c r="BT95" s="1"/>
  <c r="AH95" s="1"/>
  <c r="CQ95"/>
  <c r="CI95" s="1"/>
  <c r="CK95"/>
  <c r="BX95"/>
  <c r="BP95"/>
  <c r="BR95"/>
  <c r="BC95"/>
  <c r="AU95" s="1"/>
  <c r="AW95"/>
  <c r="AY95"/>
  <c r="CM95"/>
  <c r="BW96"/>
  <c r="BT96" s="1"/>
  <c r="AI96" s="1"/>
  <c r="CQ96"/>
  <c r="CI96" s="1"/>
  <c r="CK96"/>
  <c r="BX96"/>
  <c r="BP96"/>
  <c r="BR96"/>
  <c r="BC96"/>
  <c r="AU96" s="1"/>
  <c r="AW96"/>
  <c r="AY96"/>
  <c r="CM96"/>
  <c r="BW97"/>
  <c r="BT97" s="1"/>
  <c r="AF97" s="1"/>
  <c r="CQ97"/>
  <c r="CI97" s="1"/>
  <c r="CK97"/>
  <c r="BX97"/>
  <c r="BP97"/>
  <c r="BR97"/>
  <c r="BC97"/>
  <c r="AU97" s="1"/>
  <c r="AW97"/>
  <c r="AY97"/>
  <c r="CM97"/>
  <c r="BW98"/>
  <c r="BT98" s="1"/>
  <c r="AH98" s="1"/>
  <c r="CQ98"/>
  <c r="CI98" s="1"/>
  <c r="CK98"/>
  <c r="BX98"/>
  <c r="BP98"/>
  <c r="BR98"/>
  <c r="BC98"/>
  <c r="AU98" s="1"/>
  <c r="AW98"/>
  <c r="AY98"/>
  <c r="CM98"/>
  <c r="BW99"/>
  <c r="BT99" s="1"/>
  <c r="AI99" s="1"/>
  <c r="CQ99"/>
  <c r="CI99" s="1"/>
  <c r="CK99"/>
  <c r="BX99"/>
  <c r="BP99"/>
  <c r="BR99"/>
  <c r="BC99"/>
  <c r="AU99" s="1"/>
  <c r="AW99"/>
  <c r="AY99"/>
  <c r="CM99"/>
  <c r="BW100"/>
  <c r="BT100" s="1"/>
  <c r="CQ100"/>
  <c r="CI100" s="1"/>
  <c r="CK100"/>
  <c r="BX100"/>
  <c r="BP100"/>
  <c r="BR100"/>
  <c r="BC100"/>
  <c r="AU100" s="1"/>
  <c r="AW100"/>
  <c r="AY100"/>
  <c r="CM100"/>
  <c r="BW101"/>
  <c r="BT101" s="1"/>
  <c r="AH101" s="1"/>
  <c r="CQ101"/>
  <c r="CI101" s="1"/>
  <c r="CK101"/>
  <c r="BX101"/>
  <c r="BP101"/>
  <c r="BR101"/>
  <c r="BC101"/>
  <c r="AU101" s="1"/>
  <c r="AW101"/>
  <c r="AY101"/>
  <c r="CM101"/>
  <c r="BW102"/>
  <c r="BT102" s="1"/>
  <c r="AF102" s="1"/>
  <c r="CQ102"/>
  <c r="CI102" s="1"/>
  <c r="CK102"/>
  <c r="BX102"/>
  <c r="BP102"/>
  <c r="BR102"/>
  <c r="BC102"/>
  <c r="AU102" s="1"/>
  <c r="AW102"/>
  <c r="AY102"/>
  <c r="CM102"/>
  <c r="BW103"/>
  <c r="BT103" s="1"/>
  <c r="AH103" s="1"/>
  <c r="CQ103"/>
  <c r="CI103" s="1"/>
  <c r="CK103"/>
  <c r="BX103"/>
  <c r="BP103"/>
  <c r="BR103"/>
  <c r="BC103"/>
  <c r="AU103" s="1"/>
  <c r="AW103"/>
  <c r="AY103"/>
  <c r="CM103"/>
  <c r="BW104"/>
  <c r="BT104" s="1"/>
  <c r="AF104" s="1"/>
  <c r="CQ104"/>
  <c r="CI104" s="1"/>
  <c r="CK104"/>
  <c r="BX104"/>
  <c r="BP104"/>
  <c r="BR104"/>
  <c r="BC104"/>
  <c r="AU104" s="1"/>
  <c r="AW104"/>
  <c r="AY104"/>
  <c r="CM104"/>
  <c r="BW105"/>
  <c r="BT105" s="1"/>
  <c r="AF105" s="1"/>
  <c r="CQ105"/>
  <c r="CI105" s="1"/>
  <c r="CK105"/>
  <c r="BX105"/>
  <c r="BP105"/>
  <c r="BR105"/>
  <c r="BC105"/>
  <c r="AU105" s="1"/>
  <c r="AW105"/>
  <c r="AY105"/>
  <c r="CM105"/>
  <c r="BW106"/>
  <c r="BT106" s="1"/>
  <c r="AI106" s="1"/>
  <c r="CQ106"/>
  <c r="CI106" s="1"/>
  <c r="CK106"/>
  <c r="BX106"/>
  <c r="BP106"/>
  <c r="BR106"/>
  <c r="BC106"/>
  <c r="AU106" s="1"/>
  <c r="AW106"/>
  <c r="AY106"/>
  <c r="CM106"/>
  <c r="BW107"/>
  <c r="BT107" s="1"/>
  <c r="CQ107"/>
  <c r="CI107" s="1"/>
  <c r="CK107"/>
  <c r="BX107"/>
  <c r="BP107"/>
  <c r="BR107"/>
  <c r="BC107"/>
  <c r="AU107" s="1"/>
  <c r="AW107"/>
  <c r="AY107"/>
  <c r="CM107"/>
  <c r="BW108"/>
  <c r="BT108" s="1"/>
  <c r="AI108" s="1"/>
  <c r="CQ108"/>
  <c r="CI108" s="1"/>
  <c r="CK108"/>
  <c r="BX108"/>
  <c r="BP108"/>
  <c r="BR108"/>
  <c r="BC108"/>
  <c r="AU108" s="1"/>
  <c r="AW108"/>
  <c r="AY108"/>
  <c r="CM108"/>
  <c r="BW109"/>
  <c r="BT109" s="1"/>
  <c r="AF109" s="1"/>
  <c r="CQ109"/>
  <c r="CI109" s="1"/>
  <c r="CK109"/>
  <c r="BX109"/>
  <c r="BP109"/>
  <c r="BR109"/>
  <c r="BC109"/>
  <c r="AU109" s="1"/>
  <c r="AW109"/>
  <c r="AY109"/>
  <c r="CM109"/>
  <c r="BW110"/>
  <c r="BT110" s="1"/>
  <c r="AH110" s="1"/>
  <c r="CQ110"/>
  <c r="CI110" s="1"/>
  <c r="CK110"/>
  <c r="BX110"/>
  <c r="BP110"/>
  <c r="BR110"/>
  <c r="BC110"/>
  <c r="AU110" s="1"/>
  <c r="AW110"/>
  <c r="AY110"/>
  <c r="CM110"/>
  <c r="BW111"/>
  <c r="BT111" s="1"/>
  <c r="AI111" s="1"/>
  <c r="CQ111"/>
  <c r="CI111" s="1"/>
  <c r="CK111"/>
  <c r="BX111"/>
  <c r="BP111"/>
  <c r="BR111"/>
  <c r="BC111"/>
  <c r="AU111" s="1"/>
  <c r="AW111"/>
  <c r="AY111"/>
  <c r="CM111"/>
  <c r="BW112"/>
  <c r="BT112" s="1"/>
  <c r="AH112" s="1"/>
  <c r="CQ112"/>
  <c r="CI112" s="1"/>
  <c r="CK112"/>
  <c r="BX112"/>
  <c r="BP112"/>
  <c r="BR112"/>
  <c r="BC112"/>
  <c r="AU112" s="1"/>
  <c r="AW112"/>
  <c r="AY112"/>
  <c r="CM112"/>
  <c r="BW113"/>
  <c r="BT113" s="1"/>
  <c r="AF113" s="1"/>
  <c r="CQ113"/>
  <c r="CI113" s="1"/>
  <c r="CK113"/>
  <c r="BX113"/>
  <c r="BP113"/>
  <c r="BR113"/>
  <c r="BC113"/>
  <c r="AU113" s="1"/>
  <c r="AW113"/>
  <c r="AY113"/>
  <c r="CM113"/>
  <c r="BW114"/>
  <c r="BT114" s="1"/>
  <c r="CQ114"/>
  <c r="CI114" s="1"/>
  <c r="CK114"/>
  <c r="BX114"/>
  <c r="BP114"/>
  <c r="BR114"/>
  <c r="BC114"/>
  <c r="AU114" s="1"/>
  <c r="AW114"/>
  <c r="AY114"/>
  <c r="CM114"/>
  <c r="BW115"/>
  <c r="BT115" s="1"/>
  <c r="AI115" s="1"/>
  <c r="CQ115"/>
  <c r="CI115" s="1"/>
  <c r="CK115"/>
  <c r="BX115"/>
  <c r="BP115"/>
  <c r="BR115"/>
  <c r="BC115"/>
  <c r="AU115" s="1"/>
  <c r="AW115"/>
  <c r="AY115"/>
  <c r="CM115"/>
  <c r="BW116"/>
  <c r="BT116" s="1"/>
  <c r="AI116" s="1"/>
  <c r="CQ116"/>
  <c r="CI116" s="1"/>
  <c r="CK116"/>
  <c r="BX116"/>
  <c r="BP116"/>
  <c r="BR116"/>
  <c r="BC116"/>
  <c r="AU116" s="1"/>
  <c r="AW116"/>
  <c r="AY116"/>
  <c r="CM116"/>
  <c r="BW117"/>
  <c r="BT117" s="1"/>
  <c r="AI117" s="1"/>
  <c r="CQ117"/>
  <c r="CI117" s="1"/>
  <c r="CK117"/>
  <c r="BX117"/>
  <c r="BP117"/>
  <c r="BR117"/>
  <c r="BC117"/>
  <c r="AU117" s="1"/>
  <c r="AW117"/>
  <c r="AY117"/>
  <c r="CM117"/>
  <c r="BW120"/>
  <c r="BT120" s="1"/>
  <c r="AF120" s="1"/>
  <c r="CQ120"/>
  <c r="CI120" s="1"/>
  <c r="CK120"/>
  <c r="BX120"/>
  <c r="BP120"/>
  <c r="BR120"/>
  <c r="BC120"/>
  <c r="AU120" s="1"/>
  <c r="AW120"/>
  <c r="AY120"/>
  <c r="CM120"/>
  <c r="BW121"/>
  <c r="BT121" s="1"/>
  <c r="AF121" s="1"/>
  <c r="CQ121"/>
  <c r="CI121" s="1"/>
  <c r="CK121"/>
  <c r="BX121"/>
  <c r="BP121"/>
  <c r="BR121"/>
  <c r="BC121"/>
  <c r="AU121" s="1"/>
  <c r="AW121"/>
  <c r="AY121"/>
  <c r="CM121"/>
  <c r="BW122"/>
  <c r="BT122" s="1"/>
  <c r="AH122" s="1"/>
  <c r="CQ122"/>
  <c r="CI122" s="1"/>
  <c r="CK122"/>
  <c r="BX122"/>
  <c r="BP122"/>
  <c r="BR122"/>
  <c r="BC122"/>
  <c r="AU122" s="1"/>
  <c r="AW122"/>
  <c r="AY122"/>
  <c r="CM122"/>
  <c r="BW123"/>
  <c r="BT123" s="1"/>
  <c r="CQ123"/>
  <c r="CI123" s="1"/>
  <c r="CK123"/>
  <c r="BX123"/>
  <c r="BP123"/>
  <c r="BR123"/>
  <c r="BC123"/>
  <c r="AU123" s="1"/>
  <c r="AW123"/>
  <c r="AY123"/>
  <c r="CM123"/>
  <c r="BW124"/>
  <c r="BT124" s="1"/>
  <c r="AI124" s="1"/>
  <c r="CQ124"/>
  <c r="CI124" s="1"/>
  <c r="CK124"/>
  <c r="BX124"/>
  <c r="BP124"/>
  <c r="BR124"/>
  <c r="BC124"/>
  <c r="AU124" s="1"/>
  <c r="AW124"/>
  <c r="AY124"/>
  <c r="CM124"/>
  <c r="BW125"/>
  <c r="BT125" s="1"/>
  <c r="AF125" s="1"/>
  <c r="CQ125"/>
  <c r="CI125" s="1"/>
  <c r="CK125"/>
  <c r="BX125"/>
  <c r="BP125"/>
  <c r="BR125"/>
  <c r="BC125"/>
  <c r="AU125" s="1"/>
  <c r="AW125"/>
  <c r="AY125"/>
  <c r="CM125"/>
  <c r="BW126"/>
  <c r="BT126" s="1"/>
  <c r="AH126" s="1"/>
  <c r="CQ126"/>
  <c r="CI126" s="1"/>
  <c r="CK126"/>
  <c r="BX126"/>
  <c r="BP126"/>
  <c r="BR126"/>
  <c r="BC126"/>
  <c r="AU126" s="1"/>
  <c r="AW126"/>
  <c r="AY126"/>
  <c r="CM126"/>
  <c r="BW127"/>
  <c r="BT127" s="1"/>
  <c r="AH127" s="1"/>
  <c r="CQ127"/>
  <c r="CI127" s="1"/>
  <c r="CK127"/>
  <c r="BX127"/>
  <c r="BP127"/>
  <c r="BR127"/>
  <c r="BC127"/>
  <c r="AU127" s="1"/>
  <c r="AW127"/>
  <c r="AY127"/>
  <c r="CM127"/>
  <c r="BW128"/>
  <c r="BT128" s="1"/>
  <c r="AH128" s="1"/>
  <c r="CQ128"/>
  <c r="CI128" s="1"/>
  <c r="CK128"/>
  <c r="BX128"/>
  <c r="BP128"/>
  <c r="BR128"/>
  <c r="BC128"/>
  <c r="AU128" s="1"/>
  <c r="AW128"/>
  <c r="AY128"/>
  <c r="CM128"/>
  <c r="BW129"/>
  <c r="BT129" s="1"/>
  <c r="AF129" s="1"/>
  <c r="CQ129"/>
  <c r="CI129" s="1"/>
  <c r="CK129"/>
  <c r="BX129"/>
  <c r="BP129"/>
  <c r="BR129"/>
  <c r="BC129"/>
  <c r="AU129" s="1"/>
  <c r="AW129"/>
  <c r="AY129"/>
  <c r="CM129"/>
  <c r="BW130"/>
  <c r="BT130" s="1"/>
  <c r="AI130" s="1"/>
  <c r="CQ130"/>
  <c r="CI130" s="1"/>
  <c r="CK130"/>
  <c r="BX130"/>
  <c r="BP130"/>
  <c r="BR130"/>
  <c r="BC130"/>
  <c r="AU130" s="1"/>
  <c r="AW130"/>
  <c r="AY130"/>
  <c r="CM130"/>
  <c r="BW131"/>
  <c r="BT131" s="1"/>
  <c r="AI131" s="1"/>
  <c r="CQ131"/>
  <c r="CI131" s="1"/>
  <c r="CK131"/>
  <c r="BX131"/>
  <c r="BP131"/>
  <c r="BR131"/>
  <c r="BC131"/>
  <c r="AU131" s="1"/>
  <c r="AW131"/>
  <c r="AY131"/>
  <c r="CM131"/>
  <c r="BW132"/>
  <c r="BT132" s="1"/>
  <c r="AI132" s="1"/>
  <c r="CQ132"/>
  <c r="CI132" s="1"/>
  <c r="CK132"/>
  <c r="BX132"/>
  <c r="BP132"/>
  <c r="BR132"/>
  <c r="BC132"/>
  <c r="AU132" s="1"/>
  <c r="AW132"/>
  <c r="AY132"/>
  <c r="CM132"/>
  <c r="BW133"/>
  <c r="BT133" s="1"/>
  <c r="AF133" s="1"/>
  <c r="CQ133"/>
  <c r="CI133" s="1"/>
  <c r="CK133"/>
  <c r="BX133"/>
  <c r="BP133"/>
  <c r="BR133"/>
  <c r="BC133"/>
  <c r="AU133" s="1"/>
  <c r="AW133"/>
  <c r="AY133"/>
  <c r="CM133"/>
  <c r="BW134"/>
  <c r="BT134" s="1"/>
  <c r="AF134" s="1"/>
  <c r="CQ134"/>
  <c r="CI134" s="1"/>
  <c r="CK134"/>
  <c r="BX134"/>
  <c r="BP134"/>
  <c r="BR134"/>
  <c r="BC134"/>
  <c r="AU134" s="1"/>
  <c r="AW134"/>
  <c r="AY134"/>
  <c r="CM134"/>
  <c r="BW135"/>
  <c r="BT135" s="1"/>
  <c r="AH135" s="1"/>
  <c r="CQ135"/>
  <c r="CI135" s="1"/>
  <c r="CK135"/>
  <c r="BX135"/>
  <c r="BP135"/>
  <c r="BR135"/>
  <c r="BC135"/>
  <c r="AU135" s="1"/>
  <c r="AW135"/>
  <c r="AY135"/>
  <c r="CM135"/>
  <c r="BW136"/>
  <c r="BT136" s="1"/>
  <c r="AH136" s="1"/>
  <c r="CQ136"/>
  <c r="CI136" s="1"/>
  <c r="CK136"/>
  <c r="BX136"/>
  <c r="BP136"/>
  <c r="BR136"/>
  <c r="BC136"/>
  <c r="AU136" s="1"/>
  <c r="AW136"/>
  <c r="AY136"/>
  <c r="CM136"/>
  <c r="BW137"/>
  <c r="BT137" s="1"/>
  <c r="AH137" s="1"/>
  <c r="CQ137"/>
  <c r="CI137" s="1"/>
  <c r="CK137"/>
  <c r="BX137"/>
  <c r="BP137"/>
  <c r="BR137"/>
  <c r="BC137"/>
  <c r="AU137" s="1"/>
  <c r="AW137"/>
  <c r="AY137"/>
  <c r="CM137"/>
  <c r="BW138"/>
  <c r="BT138" s="1"/>
  <c r="AF138" s="1"/>
  <c r="CQ138"/>
  <c r="CI138" s="1"/>
  <c r="CK138"/>
  <c r="BX138"/>
  <c r="BP138"/>
  <c r="BR138"/>
  <c r="BC138"/>
  <c r="AU138" s="1"/>
  <c r="AW138"/>
  <c r="AY138"/>
  <c r="CM138"/>
  <c r="BW139"/>
  <c r="BT139" s="1"/>
  <c r="AI139" s="1"/>
  <c r="CQ139"/>
  <c r="CI139" s="1"/>
  <c r="CK139"/>
  <c r="BX139"/>
  <c r="BP139"/>
  <c r="BR139"/>
  <c r="BC139"/>
  <c r="AU139" s="1"/>
  <c r="AW139"/>
  <c r="AY139"/>
  <c r="CM139"/>
  <c r="BW140"/>
  <c r="BT140" s="1"/>
  <c r="CQ140"/>
  <c r="CI140" s="1"/>
  <c r="CK140"/>
  <c r="BX140"/>
  <c r="BP140"/>
  <c r="BR140"/>
  <c r="BC140"/>
  <c r="AU140" s="1"/>
  <c r="AW140"/>
  <c r="AY140"/>
  <c r="CM140"/>
  <c r="BW141"/>
  <c r="BT141" s="1"/>
  <c r="AH141" s="1"/>
  <c r="CQ141"/>
  <c r="CI141" s="1"/>
  <c r="CK141"/>
  <c r="BX141"/>
  <c r="BP141"/>
  <c r="BR141"/>
  <c r="BC141"/>
  <c r="AU141" s="1"/>
  <c r="AW141"/>
  <c r="AY141"/>
  <c r="CM141"/>
  <c r="BW142"/>
  <c r="BT142" s="1"/>
  <c r="AH142" s="1"/>
  <c r="CQ142"/>
  <c r="CI142" s="1"/>
  <c r="CK142"/>
  <c r="BX142"/>
  <c r="BP142"/>
  <c r="BR142"/>
  <c r="BC142"/>
  <c r="AU142" s="1"/>
  <c r="AW142"/>
  <c r="AY142"/>
  <c r="CM142"/>
  <c r="BW143"/>
  <c r="BT143" s="1"/>
  <c r="CQ143"/>
  <c r="CI143" s="1"/>
  <c r="CK143"/>
  <c r="BX143"/>
  <c r="BP143"/>
  <c r="BR143"/>
  <c r="BC143"/>
  <c r="AU143" s="1"/>
  <c r="AW143"/>
  <c r="AY143"/>
  <c r="CM143"/>
  <c r="BW144"/>
  <c r="BT144" s="1"/>
  <c r="AF144" s="1"/>
  <c r="CQ144"/>
  <c r="CI144" s="1"/>
  <c r="CK144"/>
  <c r="BX144"/>
  <c r="BP144"/>
  <c r="BR144"/>
  <c r="BC144"/>
  <c r="AU144" s="1"/>
  <c r="AW144"/>
  <c r="AY144"/>
  <c r="CM144"/>
  <c r="BW145"/>
  <c r="BT145" s="1"/>
  <c r="AF145" s="1"/>
  <c r="CQ145"/>
  <c r="CI145" s="1"/>
  <c r="CK145"/>
  <c r="BX145"/>
  <c r="BP145"/>
  <c r="BR145"/>
  <c r="BC145"/>
  <c r="AU145" s="1"/>
  <c r="AW145"/>
  <c r="AY145"/>
  <c r="CM145"/>
  <c r="BW146"/>
  <c r="BT146" s="1"/>
  <c r="CQ146"/>
  <c r="CI146" s="1"/>
  <c r="CK146"/>
  <c r="BX146"/>
  <c r="BP146"/>
  <c r="BR146"/>
  <c r="BC146"/>
  <c r="AU146" s="1"/>
  <c r="AW146"/>
  <c r="AY146"/>
  <c r="CM146"/>
  <c r="BW147"/>
  <c r="BT147" s="1"/>
  <c r="AF147" s="1"/>
  <c r="CQ147"/>
  <c r="CI147" s="1"/>
  <c r="CK147"/>
  <c r="BX147"/>
  <c r="BP147"/>
  <c r="BR147"/>
  <c r="BC147"/>
  <c r="AU147" s="1"/>
  <c r="AW147"/>
  <c r="AY147"/>
  <c r="CM147"/>
  <c r="BW148"/>
  <c r="BT148" s="1"/>
  <c r="AH148" s="1"/>
  <c r="CQ148"/>
  <c r="CI148" s="1"/>
  <c r="CK148"/>
  <c r="BX148"/>
  <c r="BP148"/>
  <c r="BR148"/>
  <c r="BC148"/>
  <c r="AU148" s="1"/>
  <c r="AW148"/>
  <c r="AY148"/>
  <c r="CM148"/>
  <c r="BW149"/>
  <c r="BT149" s="1"/>
  <c r="AH149" s="1"/>
  <c r="CQ149"/>
  <c r="CI149" s="1"/>
  <c r="CK149"/>
  <c r="BX149"/>
  <c r="BP149"/>
  <c r="BR149"/>
  <c r="BC149"/>
  <c r="AU149" s="1"/>
  <c r="AW149"/>
  <c r="AY149"/>
  <c r="CM149"/>
  <c r="BW150"/>
  <c r="BT150" s="1"/>
  <c r="AF150" s="1"/>
  <c r="CQ150"/>
  <c r="CI150" s="1"/>
  <c r="CK150"/>
  <c r="BX150"/>
  <c r="BP150"/>
  <c r="BR150"/>
  <c r="BC150"/>
  <c r="AU150" s="1"/>
  <c r="AW150"/>
  <c r="AY150"/>
  <c r="CM150"/>
  <c r="BW151"/>
  <c r="BT151" s="1"/>
  <c r="AH151" s="1"/>
  <c r="CQ151"/>
  <c r="CI151" s="1"/>
  <c r="CK151"/>
  <c r="BX151"/>
  <c r="BP151"/>
  <c r="BR151"/>
  <c r="BC151"/>
  <c r="AU151" s="1"/>
  <c r="AW151"/>
  <c r="AY151"/>
  <c r="CM151"/>
  <c r="BW152"/>
  <c r="BT152" s="1"/>
  <c r="AI152" s="1"/>
  <c r="CQ152"/>
  <c r="CI152" s="1"/>
  <c r="CK152"/>
  <c r="BX152"/>
  <c r="BP152"/>
  <c r="BR152"/>
  <c r="BC152"/>
  <c r="AU152" s="1"/>
  <c r="AW152"/>
  <c r="AY152"/>
  <c r="CM152"/>
  <c r="BW153"/>
  <c r="BT153" s="1"/>
  <c r="AF153" s="1"/>
  <c r="CQ153"/>
  <c r="CI153" s="1"/>
  <c r="CK153"/>
  <c r="BX153"/>
  <c r="BP153"/>
  <c r="BR153"/>
  <c r="BC153"/>
  <c r="AU153" s="1"/>
  <c r="AW153"/>
  <c r="AY153"/>
  <c r="CM153"/>
  <c r="BW154"/>
  <c r="BT154" s="1"/>
  <c r="AH154" s="1"/>
  <c r="CQ154"/>
  <c r="CI154" s="1"/>
  <c r="CK154"/>
  <c r="BX154"/>
  <c r="BP154"/>
  <c r="BR154"/>
  <c r="BC154"/>
  <c r="AU154" s="1"/>
  <c r="AW154"/>
  <c r="AY154"/>
  <c r="CM154"/>
  <c r="BW155"/>
  <c r="BT155" s="1"/>
  <c r="AF155" s="1"/>
  <c r="CQ155"/>
  <c r="CI155" s="1"/>
  <c r="CK155"/>
  <c r="BX155"/>
  <c r="BP155"/>
  <c r="BR155"/>
  <c r="BC155"/>
  <c r="AU155" s="1"/>
  <c r="AW155"/>
  <c r="AY155"/>
  <c r="CM155"/>
  <c r="BW156"/>
  <c r="BT156" s="1"/>
  <c r="AI156" s="1"/>
  <c r="CQ156"/>
  <c r="CI156" s="1"/>
  <c r="CK156"/>
  <c r="BX156"/>
  <c r="BP156"/>
  <c r="BR156"/>
  <c r="BC156"/>
  <c r="AU156" s="1"/>
  <c r="AW156"/>
  <c r="AY156"/>
  <c r="CM156"/>
  <c r="AD8"/>
  <c r="AE8" s="1"/>
  <c r="BC12"/>
  <c r="AU12" s="1"/>
  <c r="AW12"/>
  <c r="AY12"/>
  <c r="CQ12"/>
  <c r="CI12" s="1"/>
  <c r="CK12"/>
  <c r="BW12"/>
  <c r="BT12" s="1"/>
  <c r="BX12"/>
  <c r="BP12"/>
  <c r="BR12"/>
  <c r="CM12"/>
  <c r="BC13"/>
  <c r="AU13" s="1"/>
  <c r="AW13"/>
  <c r="AY13"/>
  <c r="CQ13"/>
  <c r="CI13" s="1"/>
  <c r="CK13"/>
  <c r="BW13"/>
  <c r="BT13" s="1"/>
  <c r="BX13"/>
  <c r="BP13"/>
  <c r="BR13"/>
  <c r="CM13"/>
  <c r="BC14"/>
  <c r="AU14" s="1"/>
  <c r="AW14"/>
  <c r="AY14"/>
  <c r="CQ14"/>
  <c r="CI14" s="1"/>
  <c r="CK14"/>
  <c r="BW14"/>
  <c r="BT14" s="1"/>
  <c r="AH14" s="1"/>
  <c r="BX14"/>
  <c r="BP14"/>
  <c r="BR14"/>
  <c r="CM14"/>
  <c r="BC15"/>
  <c r="AU15" s="1"/>
  <c r="CQ15"/>
  <c r="CI15" s="1"/>
  <c r="CK15"/>
  <c r="BW15"/>
  <c r="BT15" s="1"/>
  <c r="AH15" s="1"/>
  <c r="BX15"/>
  <c r="BP15"/>
  <c r="BR15"/>
  <c r="AW15"/>
  <c r="AY15"/>
  <c r="CM15"/>
  <c r="BC16"/>
  <c r="AU16" s="1"/>
  <c r="AW16"/>
  <c r="AY16"/>
  <c r="CQ16"/>
  <c r="CI16" s="1"/>
  <c r="CK16"/>
  <c r="BW16"/>
  <c r="BT16" s="1"/>
  <c r="BX16"/>
  <c r="BP16"/>
  <c r="BR16"/>
  <c r="CM16"/>
  <c r="BC17"/>
  <c r="AU17" s="1"/>
  <c r="AW17"/>
  <c r="AY17"/>
  <c r="CQ17"/>
  <c r="CI17" s="1"/>
  <c r="CK17"/>
  <c r="BW17"/>
  <c r="BT17" s="1"/>
  <c r="AH17" s="1"/>
  <c r="BX17"/>
  <c r="BP17"/>
  <c r="BR17"/>
  <c r="CM17"/>
  <c r="BC18"/>
  <c r="AU18" s="1"/>
  <c r="AW18"/>
  <c r="AY18"/>
  <c r="CQ18"/>
  <c r="CI18" s="1"/>
  <c r="CK18"/>
  <c r="BW18"/>
  <c r="BT18" s="1"/>
  <c r="BX18"/>
  <c r="BP18"/>
  <c r="BR18"/>
  <c r="CM18"/>
  <c r="BC19"/>
  <c r="AU19" s="1"/>
  <c r="AW19"/>
  <c r="AY19"/>
  <c r="CQ19"/>
  <c r="CI19" s="1"/>
  <c r="CK19"/>
  <c r="BW19"/>
  <c r="BT19" s="1"/>
  <c r="AH19" s="1"/>
  <c r="BX19"/>
  <c r="BP19"/>
  <c r="BR19"/>
  <c r="CM19"/>
  <c r="BC20"/>
  <c r="AU20" s="1"/>
  <c r="AW20"/>
  <c r="AY20"/>
  <c r="BW20"/>
  <c r="BT20" s="1"/>
  <c r="AI20" s="1"/>
  <c r="BX20"/>
  <c r="BP20"/>
  <c r="BR20"/>
  <c r="CQ20"/>
  <c r="CI20" s="1"/>
  <c r="CK20"/>
  <c r="CM20"/>
  <c r="BC21"/>
  <c r="AU21" s="1"/>
  <c r="AW21"/>
  <c r="AY21"/>
  <c r="BW21"/>
  <c r="BT21" s="1"/>
  <c r="AF21" s="1"/>
  <c r="BX21"/>
  <c r="BP21"/>
  <c r="BR21"/>
  <c r="CQ21"/>
  <c r="CI21" s="1"/>
  <c r="CK21"/>
  <c r="CM21"/>
  <c r="BC22"/>
  <c r="AU22" s="1"/>
  <c r="AW22"/>
  <c r="AY22"/>
  <c r="CQ22"/>
  <c r="CI22" s="1"/>
  <c r="CK22"/>
  <c r="BW22"/>
  <c r="BT22" s="1"/>
  <c r="AI22" s="1"/>
  <c r="BX22"/>
  <c r="BP22"/>
  <c r="BR22"/>
  <c r="CM22"/>
  <c r="BC23"/>
  <c r="AU23" s="1"/>
  <c r="AW23"/>
  <c r="AY23"/>
  <c r="CQ23"/>
  <c r="CI23" s="1"/>
  <c r="CK23"/>
  <c r="BW23"/>
  <c r="BT23" s="1"/>
  <c r="AI23" s="1"/>
  <c r="BX23"/>
  <c r="BP23"/>
  <c r="BR23"/>
  <c r="CM23"/>
  <c r="BC24"/>
  <c r="AU24" s="1"/>
  <c r="AW24"/>
  <c r="AY24"/>
  <c r="CQ24"/>
  <c r="CI24" s="1"/>
  <c r="CK24"/>
  <c r="BW24"/>
  <c r="BT24" s="1"/>
  <c r="AH24" s="1"/>
  <c r="BX24"/>
  <c r="BP24"/>
  <c r="BR24"/>
  <c r="CM24"/>
  <c r="BC25"/>
  <c r="AU25" s="1"/>
  <c r="AW25"/>
  <c r="AY25"/>
  <c r="BW25"/>
  <c r="BT25" s="1"/>
  <c r="AH25" s="1"/>
  <c r="BX25"/>
  <c r="BP25"/>
  <c r="BR25"/>
  <c r="CQ25"/>
  <c r="CI25" s="1"/>
  <c r="CK25"/>
  <c r="CM25"/>
  <c r="BC26"/>
  <c r="AU26" s="1"/>
  <c r="AW26"/>
  <c r="AY26"/>
  <c r="CQ26"/>
  <c r="CI26" s="1"/>
  <c r="CK26"/>
  <c r="BW26"/>
  <c r="BT26" s="1"/>
  <c r="AF26" s="1"/>
  <c r="BX26"/>
  <c r="BP26"/>
  <c r="BR26"/>
  <c r="CM26"/>
  <c r="BC27"/>
  <c r="AU27" s="1"/>
  <c r="AW27"/>
  <c r="AY27"/>
  <c r="CQ27"/>
  <c r="CI27" s="1"/>
  <c r="CK27"/>
  <c r="BW27"/>
  <c r="BT27" s="1"/>
  <c r="AI27" s="1"/>
  <c r="BX27"/>
  <c r="BP27"/>
  <c r="BR27"/>
  <c r="CM27"/>
  <c r="BC28"/>
  <c r="AU28" s="1"/>
  <c r="AW28"/>
  <c r="AY28"/>
  <c r="CQ28"/>
  <c r="CI28" s="1"/>
  <c r="CK28"/>
  <c r="BW28"/>
  <c r="BT28" s="1"/>
  <c r="AH28" s="1"/>
  <c r="BX28"/>
  <c r="BP28"/>
  <c r="BR28"/>
  <c r="CM28"/>
  <c r="BC29"/>
  <c r="AU29" s="1"/>
  <c r="AW29"/>
  <c r="AY29"/>
  <c r="CQ29"/>
  <c r="CI29" s="1"/>
  <c r="CK29"/>
  <c r="BW29"/>
  <c r="BT29" s="1"/>
  <c r="AH29" s="1"/>
  <c r="BX29"/>
  <c r="BP29"/>
  <c r="BR29"/>
  <c r="CM29"/>
  <c r="BC30"/>
  <c r="AU30" s="1"/>
  <c r="AW30"/>
  <c r="AY30"/>
  <c r="CQ30"/>
  <c r="CI30" s="1"/>
  <c r="CK30"/>
  <c r="BW30"/>
  <c r="BT30" s="1"/>
  <c r="BX30"/>
  <c r="BP30"/>
  <c r="BR30"/>
  <c r="CM30"/>
  <c r="BC31"/>
  <c r="AU31" s="1"/>
  <c r="AW31"/>
  <c r="AY31"/>
  <c r="CQ31"/>
  <c r="CI31" s="1"/>
  <c r="CK31"/>
  <c r="BW31"/>
  <c r="BT31" s="1"/>
  <c r="AF31" s="1"/>
  <c r="BX31"/>
  <c r="BP31"/>
  <c r="BR31"/>
  <c r="CM31"/>
  <c r="BC32"/>
  <c r="AU32" s="1"/>
  <c r="AW32"/>
  <c r="AY32"/>
  <c r="CQ32"/>
  <c r="CI32" s="1"/>
  <c r="CK32"/>
  <c r="BW32"/>
  <c r="BT32" s="1"/>
  <c r="AI32" s="1"/>
  <c r="BX32"/>
  <c r="BP32"/>
  <c r="BR32"/>
  <c r="CM32"/>
  <c r="BC33"/>
  <c r="AU33" s="1"/>
  <c r="AW33"/>
  <c r="AY33"/>
  <c r="CQ33"/>
  <c r="CI33" s="1"/>
  <c r="CK33"/>
  <c r="BW33"/>
  <c r="BT33" s="1"/>
  <c r="AF33" s="1"/>
  <c r="BX33"/>
  <c r="BP33"/>
  <c r="BR33"/>
  <c r="CM33"/>
  <c r="BC34"/>
  <c r="AU34" s="1"/>
  <c r="AW34"/>
  <c r="AY34"/>
  <c r="CQ34"/>
  <c r="CI34" s="1"/>
  <c r="CK34"/>
  <c r="BW34"/>
  <c r="BT34" s="1"/>
  <c r="AF34" s="1"/>
  <c r="BX34"/>
  <c r="BP34"/>
  <c r="BR34"/>
  <c r="CM34"/>
  <c r="BC35"/>
  <c r="AU35" s="1"/>
  <c r="AW35"/>
  <c r="AY35"/>
  <c r="CQ35"/>
  <c r="CI35" s="1"/>
  <c r="CK35"/>
  <c r="BW35"/>
  <c r="BT35" s="1"/>
  <c r="BX35"/>
  <c r="BP35"/>
  <c r="BR35"/>
  <c r="CM35"/>
  <c r="BC36"/>
  <c r="AU36" s="1"/>
  <c r="AW36"/>
  <c r="AY36"/>
  <c r="CQ36"/>
  <c r="CI36" s="1"/>
  <c r="CK36"/>
  <c r="BW36"/>
  <c r="BT36" s="1"/>
  <c r="AF36" s="1"/>
  <c r="BX36"/>
  <c r="BP36"/>
  <c r="BR36"/>
  <c r="CM36"/>
  <c r="BC37"/>
  <c r="AU37" s="1"/>
  <c r="AW37"/>
  <c r="AY37"/>
  <c r="CQ37"/>
  <c r="CI37" s="1"/>
  <c r="CK37"/>
  <c r="BW37"/>
  <c r="BT37" s="1"/>
  <c r="AH37" s="1"/>
  <c r="BX37"/>
  <c r="BP37"/>
  <c r="BR37"/>
  <c r="CM37"/>
  <c r="BC38"/>
  <c r="AU38" s="1"/>
  <c r="AW38"/>
  <c r="AY38"/>
  <c r="BW38"/>
  <c r="BT38" s="1"/>
  <c r="AF38" s="1"/>
  <c r="BX38"/>
  <c r="BP38"/>
  <c r="BR38"/>
  <c r="CQ38"/>
  <c r="CI38" s="1"/>
  <c r="CK38"/>
  <c r="CM38"/>
  <c r="BC39"/>
  <c r="AU39" s="1"/>
  <c r="AW39"/>
  <c r="AY39"/>
  <c r="CQ39"/>
  <c r="CI39" s="1"/>
  <c r="CK39"/>
  <c r="BW39"/>
  <c r="BT39" s="1"/>
  <c r="AH39" s="1"/>
  <c r="BX39"/>
  <c r="BP39"/>
  <c r="BR39"/>
  <c r="CM39"/>
  <c r="BC40"/>
  <c r="AU40" s="1"/>
  <c r="AW40"/>
  <c r="AY40"/>
  <c r="CQ40"/>
  <c r="CI40" s="1"/>
  <c r="CK40"/>
  <c r="BW40"/>
  <c r="BT40" s="1"/>
  <c r="AH40" s="1"/>
  <c r="BX40"/>
  <c r="BP40"/>
  <c r="BR40"/>
  <c r="CM40"/>
  <c r="BC41"/>
  <c r="AU41" s="1"/>
  <c r="AW41"/>
  <c r="AY41"/>
  <c r="CQ41"/>
  <c r="CI41" s="1"/>
  <c r="CK41"/>
  <c r="BW41"/>
  <c r="BT41" s="1"/>
  <c r="AI41" s="1"/>
  <c r="BX41"/>
  <c r="BP41"/>
  <c r="BR41"/>
  <c r="CM41"/>
  <c r="BC42"/>
  <c r="AU42" s="1"/>
  <c r="AW42"/>
  <c r="AY42"/>
  <c r="CQ42"/>
  <c r="CI42" s="1"/>
  <c r="CK42"/>
  <c r="BW42"/>
  <c r="BT42" s="1"/>
  <c r="AF42" s="1"/>
  <c r="BX42"/>
  <c r="BP42"/>
  <c r="BR42"/>
  <c r="CM42"/>
  <c r="BC43"/>
  <c r="AU43" s="1"/>
  <c r="AW43"/>
  <c r="AY43"/>
  <c r="CQ43"/>
  <c r="CI43" s="1"/>
  <c r="CK43"/>
  <c r="BW43"/>
  <c r="BT43" s="1"/>
  <c r="AH43" s="1"/>
  <c r="BX43"/>
  <c r="BP43"/>
  <c r="BR43"/>
  <c r="CM43"/>
  <c r="BC44"/>
  <c r="AU44" s="1"/>
  <c r="AW44"/>
  <c r="AY44"/>
  <c r="CQ44"/>
  <c r="CI44" s="1"/>
  <c r="CK44"/>
  <c r="BW44"/>
  <c r="BT44" s="1"/>
  <c r="AF44" s="1"/>
  <c r="BX44"/>
  <c r="BP44"/>
  <c r="BR44"/>
  <c r="CM44"/>
  <c r="BC45"/>
  <c r="AU45" s="1"/>
  <c r="AW45"/>
  <c r="AY45"/>
  <c r="CQ45"/>
  <c r="CI45" s="1"/>
  <c r="CK45"/>
  <c r="BW45"/>
  <c r="BT45" s="1"/>
  <c r="AF45" s="1"/>
  <c r="BX45"/>
  <c r="BP45"/>
  <c r="BR45"/>
  <c r="CM45"/>
  <c r="BC46"/>
  <c r="AU46" s="1"/>
  <c r="AW46"/>
  <c r="AY46"/>
  <c r="CQ46"/>
  <c r="CI46" s="1"/>
  <c r="CK46"/>
  <c r="BW46"/>
  <c r="BT46" s="1"/>
  <c r="AF46" s="1"/>
  <c r="BX46"/>
  <c r="BP46"/>
  <c r="BR46"/>
  <c r="CM46"/>
  <c r="BC47"/>
  <c r="AU47" s="1"/>
  <c r="AW47"/>
  <c r="AY47"/>
  <c r="CQ47"/>
  <c r="CI47" s="1"/>
  <c r="CK47"/>
  <c r="BW47"/>
  <c r="BT47" s="1"/>
  <c r="BX47"/>
  <c r="BP47"/>
  <c r="BR47"/>
  <c r="CM47"/>
  <c r="BC48"/>
  <c r="AU48" s="1"/>
  <c r="AW48"/>
  <c r="AY48"/>
  <c r="CQ48"/>
  <c r="CI48" s="1"/>
  <c r="CK48"/>
  <c r="BW48"/>
  <c r="BT48" s="1"/>
  <c r="AI48" s="1"/>
  <c r="BX48"/>
  <c r="BP48"/>
  <c r="BR48"/>
  <c r="CM48"/>
  <c r="BC49"/>
  <c r="AU49" s="1"/>
  <c r="AW49"/>
  <c r="AY49"/>
  <c r="CQ49"/>
  <c r="CI49" s="1"/>
  <c r="CK49"/>
  <c r="BW49"/>
  <c r="BT49" s="1"/>
  <c r="AH49" s="1"/>
  <c r="BX49"/>
  <c r="BP49"/>
  <c r="BR49"/>
  <c r="CM49"/>
  <c r="BC50"/>
  <c r="AU50" s="1"/>
  <c r="AW50"/>
  <c r="AY50"/>
  <c r="CQ50"/>
  <c r="CI50" s="1"/>
  <c r="CK50"/>
  <c r="BW50"/>
  <c r="BT50" s="1"/>
  <c r="AF50" s="1"/>
  <c r="BX50"/>
  <c r="BP50"/>
  <c r="BR50"/>
  <c r="CM50"/>
  <c r="BC51"/>
  <c r="AU51" s="1"/>
  <c r="AW51"/>
  <c r="AY51"/>
  <c r="CQ51"/>
  <c r="CI51" s="1"/>
  <c r="CK51"/>
  <c r="BW51"/>
  <c r="BT51" s="1"/>
  <c r="AI51" s="1"/>
  <c r="BX51"/>
  <c r="BP51"/>
  <c r="BR51"/>
  <c r="CM51"/>
  <c r="BC52"/>
  <c r="AU52" s="1"/>
  <c r="AW52"/>
  <c r="AY52"/>
  <c r="CQ52"/>
  <c r="CI52" s="1"/>
  <c r="CK52"/>
  <c r="BW52"/>
  <c r="BT52" s="1"/>
  <c r="BX52"/>
  <c r="BP52"/>
  <c r="BR52"/>
  <c r="CM52"/>
  <c r="BC53"/>
  <c r="AU53" s="1"/>
  <c r="AW53"/>
  <c r="AY53"/>
  <c r="CQ53"/>
  <c r="CI53" s="1"/>
  <c r="CK53"/>
  <c r="BW53"/>
  <c r="BT53" s="1"/>
  <c r="AI53" s="1"/>
  <c r="BX53"/>
  <c r="BP53"/>
  <c r="BR53"/>
  <c r="CM53"/>
  <c r="BC54"/>
  <c r="AU54" s="1"/>
  <c r="AW54"/>
  <c r="AY54"/>
  <c r="CQ54"/>
  <c r="CI54" s="1"/>
  <c r="CK54"/>
  <c r="BW54"/>
  <c r="BT54" s="1"/>
  <c r="AI54" s="1"/>
  <c r="BX54"/>
  <c r="BP54"/>
  <c r="BR54"/>
  <c r="CM54"/>
  <c r="BC55"/>
  <c r="AU55" s="1"/>
  <c r="AW55"/>
  <c r="AY55"/>
  <c r="CQ55"/>
  <c r="CI55" s="1"/>
  <c r="CK55"/>
  <c r="BW55"/>
  <c r="BT55" s="1"/>
  <c r="AH55" s="1"/>
  <c r="BX55"/>
  <c r="BP55"/>
  <c r="BR55"/>
  <c r="CM55"/>
  <c r="BC56"/>
  <c r="AU56" s="1"/>
  <c r="AW56"/>
  <c r="AY56"/>
  <c r="CQ56"/>
  <c r="CI56" s="1"/>
  <c r="CK56"/>
  <c r="BW56"/>
  <c r="BT56" s="1"/>
  <c r="BX56"/>
  <c r="BP56"/>
  <c r="BR56"/>
  <c r="CM56"/>
  <c r="BC57"/>
  <c r="AU57" s="1"/>
  <c r="AW57"/>
  <c r="AY57"/>
  <c r="CQ57"/>
  <c r="CI57" s="1"/>
  <c r="CK57"/>
  <c r="BW57"/>
  <c r="BT57" s="1"/>
  <c r="AH57" s="1"/>
  <c r="BX57"/>
  <c r="BP57"/>
  <c r="BR57"/>
  <c r="CM57"/>
  <c r="BC58"/>
  <c r="AU58" s="1"/>
  <c r="AW58"/>
  <c r="AY58"/>
  <c r="CQ58"/>
  <c r="CI58" s="1"/>
  <c r="CK58"/>
  <c r="BW58"/>
  <c r="BT58" s="1"/>
  <c r="AI58" s="1"/>
  <c r="BX58"/>
  <c r="BP58"/>
  <c r="BR58"/>
  <c r="CM58"/>
  <c r="BC59"/>
  <c r="AU59" s="1"/>
  <c r="AW59"/>
  <c r="AY59"/>
  <c r="CQ59"/>
  <c r="CI59" s="1"/>
  <c r="CK59"/>
  <c r="BW59"/>
  <c r="BT59" s="1"/>
  <c r="AH59" s="1"/>
  <c r="BX59"/>
  <c r="BP59"/>
  <c r="BR59"/>
  <c r="CM59"/>
  <c r="BC60"/>
  <c r="AU60" s="1"/>
  <c r="AW60"/>
  <c r="AY60"/>
  <c r="CQ60"/>
  <c r="CI60" s="1"/>
  <c r="CK60"/>
  <c r="BW60"/>
  <c r="BT60" s="1"/>
  <c r="AI60" s="1"/>
  <c r="BX60"/>
  <c r="BP60"/>
  <c r="BR60"/>
  <c r="CM60"/>
  <c r="BC61"/>
  <c r="AU61" s="1"/>
  <c r="AW61"/>
  <c r="AY61"/>
  <c r="BW61"/>
  <c r="BT61" s="1"/>
  <c r="AI61" s="1"/>
  <c r="BX61"/>
  <c r="BP61"/>
  <c r="BR61"/>
  <c r="CQ61"/>
  <c r="CI61" s="1"/>
  <c r="CK61"/>
  <c r="CM61"/>
  <c r="BC62"/>
  <c r="AU62" s="1"/>
  <c r="AW62"/>
  <c r="AY62"/>
  <c r="CQ62"/>
  <c r="CI62" s="1"/>
  <c r="CK62"/>
  <c r="BW62"/>
  <c r="BT62" s="1"/>
  <c r="AI62" s="1"/>
  <c r="BX62"/>
  <c r="BP62"/>
  <c r="BR62"/>
  <c r="CM62"/>
  <c r="BC63"/>
  <c r="AU63" s="1"/>
  <c r="AW63"/>
  <c r="AY63"/>
  <c r="CQ63"/>
  <c r="CI63" s="1"/>
  <c r="CK63"/>
  <c r="BW63"/>
  <c r="BT63" s="1"/>
  <c r="AF63" s="1"/>
  <c r="BX63"/>
  <c r="BP63"/>
  <c r="BR63"/>
  <c r="CM63"/>
  <c r="BC64"/>
  <c r="AU64" s="1"/>
  <c r="AW64"/>
  <c r="AY64"/>
  <c r="CQ64"/>
  <c r="CI64" s="1"/>
  <c r="CK64"/>
  <c r="BW64"/>
  <c r="BT64" s="1"/>
  <c r="AF64" s="1"/>
  <c r="BX64"/>
  <c r="BP64"/>
  <c r="BR64"/>
  <c r="CM64"/>
  <c r="BC65"/>
  <c r="AU65" s="1"/>
  <c r="AW65"/>
  <c r="AY65"/>
  <c r="CQ65"/>
  <c r="CI65" s="1"/>
  <c r="CK65"/>
  <c r="BW65"/>
  <c r="BT65" s="1"/>
  <c r="AF65" s="1"/>
  <c r="BX65"/>
  <c r="BP65"/>
  <c r="BR65"/>
  <c r="CM65"/>
  <c r="BC66"/>
  <c r="AU66" s="1"/>
  <c r="AW66"/>
  <c r="AY66"/>
  <c r="CQ66"/>
  <c r="CI66" s="1"/>
  <c r="CK66"/>
  <c r="BW66"/>
  <c r="BT66" s="1"/>
  <c r="AI66" s="1"/>
  <c r="BX66"/>
  <c r="BP66"/>
  <c r="BR66"/>
  <c r="CM66"/>
  <c r="BC67"/>
  <c r="AU67" s="1"/>
  <c r="AW67"/>
  <c r="AY67"/>
  <c r="CQ67"/>
  <c r="CI67" s="1"/>
  <c r="CK67"/>
  <c r="BW67"/>
  <c r="BT67" s="1"/>
  <c r="AH67" s="1"/>
  <c r="BX67"/>
  <c r="BP67"/>
  <c r="BR67"/>
  <c r="CM67"/>
  <c r="BC68"/>
  <c r="AU68" s="1"/>
  <c r="AW68"/>
  <c r="AY68"/>
  <c r="CQ68"/>
  <c r="CI68" s="1"/>
  <c r="CK68"/>
  <c r="BW68"/>
  <c r="BT68" s="1"/>
  <c r="BX68"/>
  <c r="BP68"/>
  <c r="BR68"/>
  <c r="CM68"/>
  <c r="BC69"/>
  <c r="AU69" s="1"/>
  <c r="AW69"/>
  <c r="AY69"/>
  <c r="CQ69"/>
  <c r="CI69" s="1"/>
  <c r="CK69"/>
  <c r="BW69"/>
  <c r="BT69" s="1"/>
  <c r="AH69" s="1"/>
  <c r="BX69"/>
  <c r="BP69"/>
  <c r="BR69"/>
  <c r="CM69"/>
  <c r="BC70"/>
  <c r="AU70" s="1"/>
  <c r="AW70"/>
  <c r="AY70"/>
  <c r="CQ70"/>
  <c r="CI70" s="1"/>
  <c r="CK70"/>
  <c r="BW70"/>
  <c r="BT70" s="1"/>
  <c r="AH70" s="1"/>
  <c r="BX70"/>
  <c r="BP70"/>
  <c r="BR70"/>
  <c r="CM70"/>
  <c r="BC71"/>
  <c r="AU71" s="1"/>
  <c r="AW71"/>
  <c r="AY71"/>
  <c r="CQ71"/>
  <c r="CI71" s="1"/>
  <c r="CK71"/>
  <c r="BW71"/>
  <c r="BT71" s="1"/>
  <c r="BX71"/>
  <c r="BP71"/>
  <c r="BR71"/>
  <c r="CM71"/>
  <c r="BC72"/>
  <c r="AU72" s="1"/>
  <c r="AW72"/>
  <c r="AY72"/>
  <c r="CQ72"/>
  <c r="CI72" s="1"/>
  <c r="CK72"/>
  <c r="BW72"/>
  <c r="BT72" s="1"/>
  <c r="AI72" s="1"/>
  <c r="BX72"/>
  <c r="BP72"/>
  <c r="BR72"/>
  <c r="CM72"/>
  <c r="BC9"/>
  <c r="AU9" s="1"/>
  <c r="AW9"/>
  <c r="AY9"/>
  <c r="CQ9"/>
  <c r="CI9" s="1"/>
  <c r="CK9"/>
  <c r="BW9"/>
  <c r="BT9" s="1"/>
  <c r="AH9" s="1"/>
  <c r="BX9"/>
  <c r="BP9"/>
  <c r="BR9"/>
  <c r="CM9"/>
  <c r="BC10"/>
  <c r="AU10" s="1"/>
  <c r="AW10"/>
  <c r="AY10"/>
  <c r="CQ10"/>
  <c r="CI10" s="1"/>
  <c r="CK10"/>
  <c r="BW10"/>
  <c r="BT10" s="1"/>
  <c r="AI10" s="1"/>
  <c r="BX10"/>
  <c r="BP10"/>
  <c r="BR10"/>
  <c r="CM10"/>
  <c r="BC11"/>
  <c r="AU11" s="1"/>
  <c r="AW11"/>
  <c r="AY11"/>
  <c r="BW11"/>
  <c r="BT11" s="1"/>
  <c r="BX11"/>
  <c r="BP11"/>
  <c r="BR11"/>
  <c r="CQ11"/>
  <c r="CI11" s="1"/>
  <c r="CK11"/>
  <c r="CM11"/>
  <c r="BC8"/>
  <c r="AU8" s="1"/>
  <c r="AW8"/>
  <c r="AY8"/>
  <c r="CQ8"/>
  <c r="CI8" s="1"/>
  <c r="CK8"/>
  <c r="BW8"/>
  <c r="BT8" s="1"/>
  <c r="AH8" s="1"/>
  <c r="BX8"/>
  <c r="BP8"/>
  <c r="BR8"/>
  <c r="A1" i="45"/>
  <c r="K7" i="34"/>
  <c r="K31" s="1"/>
  <c r="E9" i="43"/>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M206" i="45"/>
  <c r="M207"/>
  <c r="E8" i="43"/>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8"/>
  <c r="FU8"/>
  <c r="FW8"/>
  <c r="C7" i="42"/>
  <c r="BN9" i="24"/>
  <c r="BN10"/>
  <c r="BN11"/>
  <c r="BN12"/>
  <c r="BN13"/>
  <c r="BN14"/>
  <c r="BN17"/>
  <c r="BN18"/>
  <c r="BN19"/>
  <c r="BN20"/>
  <c r="BN21"/>
  <c r="BN22"/>
  <c r="BN23"/>
  <c r="BN24"/>
  <c r="BN25"/>
  <c r="BN26"/>
  <c r="BN27"/>
  <c r="BN28"/>
  <c r="BN29"/>
  <c r="BN30"/>
  <c r="BN31"/>
  <c r="BN32"/>
  <c r="BN33"/>
  <c r="BN34"/>
  <c r="BN35"/>
  <c r="BN36"/>
  <c r="BN37"/>
  <c r="BN38"/>
  <c r="BN39"/>
  <c r="BN40"/>
  <c r="BN41"/>
  <c r="BN42"/>
  <c r="BN43"/>
  <c r="BN44"/>
  <c r="BN45"/>
  <c r="BN46"/>
  <c r="BN47"/>
  <c r="BN48"/>
  <c r="BN49"/>
  <c r="BN50"/>
  <c r="BN51"/>
  <c r="BN52"/>
  <c r="BN53"/>
  <c r="BN54"/>
  <c r="BN55"/>
  <c r="BN56"/>
  <c r="BN57"/>
  <c r="BN58"/>
  <c r="BN59"/>
  <c r="BN60"/>
  <c r="BN61"/>
  <c r="BN62"/>
  <c r="BN63"/>
  <c r="BN64"/>
  <c r="BN65"/>
  <c r="BN66"/>
  <c r="BN67"/>
  <c r="BN68"/>
  <c r="BN69"/>
  <c r="BN70"/>
  <c r="BN71"/>
  <c r="BN72"/>
  <c r="BN73"/>
  <c r="BN74"/>
  <c r="BN75"/>
  <c r="BN76"/>
  <c r="BN77"/>
  <c r="BN78"/>
  <c r="BN79"/>
  <c r="BN80"/>
  <c r="BN81"/>
  <c r="BN82"/>
  <c r="BN83"/>
  <c r="BN84"/>
  <c r="BN85"/>
  <c r="BN86"/>
  <c r="BN87"/>
  <c r="BN88"/>
  <c r="BN89"/>
  <c r="BN90"/>
  <c r="BN91"/>
  <c r="BN92"/>
  <c r="BN93"/>
  <c r="BN94"/>
  <c r="BN95"/>
  <c r="BN96"/>
  <c r="BN97"/>
  <c r="BN98"/>
  <c r="BN99"/>
  <c r="BN100"/>
  <c r="BN101"/>
  <c r="BN102"/>
  <c r="BN103"/>
  <c r="BN104"/>
  <c r="BN105"/>
  <c r="BN106"/>
  <c r="BN107"/>
  <c r="BN108"/>
  <c r="BN109"/>
  <c r="BN110"/>
  <c r="BN111"/>
  <c r="BN112"/>
  <c r="BN113"/>
  <c r="BN114"/>
  <c r="BN115"/>
  <c r="BN116"/>
  <c r="BN117"/>
  <c r="BN118"/>
  <c r="BN119"/>
  <c r="BN120"/>
  <c r="BN121"/>
  <c r="BN122"/>
  <c r="BN123"/>
  <c r="BN124"/>
  <c r="BN125"/>
  <c r="BN126"/>
  <c r="BN127"/>
  <c r="BN128"/>
  <c r="BN129"/>
  <c r="BN130"/>
  <c r="BN131"/>
  <c r="BN132"/>
  <c r="BN133"/>
  <c r="BN134"/>
  <c r="BN135"/>
  <c r="BN136"/>
  <c r="BN137"/>
  <c r="BN138"/>
  <c r="BN139"/>
  <c r="BN140"/>
  <c r="BN141"/>
  <c r="BN142"/>
  <c r="BN143"/>
  <c r="BN144"/>
  <c r="BN145"/>
  <c r="BN146"/>
  <c r="BN147"/>
  <c r="BN148"/>
  <c r="BN149"/>
  <c r="BN150"/>
  <c r="BN151"/>
  <c r="BN152"/>
  <c r="BN153"/>
  <c r="BN154"/>
  <c r="BN155"/>
  <c r="BN156"/>
  <c r="BN8"/>
  <c r="BM9"/>
  <c r="BM10"/>
  <c r="BM11"/>
  <c r="BM12"/>
  <c r="BM13"/>
  <c r="BM14"/>
  <c r="BM17"/>
  <c r="BM18"/>
  <c r="BM19"/>
  <c r="BM20"/>
  <c r="BM21"/>
  <c r="BM22"/>
  <c r="BM23"/>
  <c r="BM24"/>
  <c r="BM25"/>
  <c r="BM26"/>
  <c r="BM27"/>
  <c r="BM28"/>
  <c r="BM29"/>
  <c r="BM30"/>
  <c r="BM31"/>
  <c r="BM32"/>
  <c r="BM33"/>
  <c r="BM34"/>
  <c r="BM35"/>
  <c r="BM36"/>
  <c r="BM37"/>
  <c r="BM38"/>
  <c r="BM39"/>
  <c r="BM40"/>
  <c r="BM41"/>
  <c r="BM42"/>
  <c r="BM43"/>
  <c r="BM44"/>
  <c r="BM45"/>
  <c r="BM46"/>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M103"/>
  <c r="BM104"/>
  <c r="BM105"/>
  <c r="BM106"/>
  <c r="BM107"/>
  <c r="BM108"/>
  <c r="BM109"/>
  <c r="BM110"/>
  <c r="BM111"/>
  <c r="BM112"/>
  <c r="BM113"/>
  <c r="BM114"/>
  <c r="BM115"/>
  <c r="BM116"/>
  <c r="BM117"/>
  <c r="BM118"/>
  <c r="BM119"/>
  <c r="BM120"/>
  <c r="BM121"/>
  <c r="BM122"/>
  <c r="BM123"/>
  <c r="BM124"/>
  <c r="BM125"/>
  <c r="BM126"/>
  <c r="BM127"/>
  <c r="BM128"/>
  <c r="BM129"/>
  <c r="BM130"/>
  <c r="BM131"/>
  <c r="BM132"/>
  <c r="BM133"/>
  <c r="BM134"/>
  <c r="BM135"/>
  <c r="BM136"/>
  <c r="BM137"/>
  <c r="BM138"/>
  <c r="BM139"/>
  <c r="BM140"/>
  <c r="BM141"/>
  <c r="BM142"/>
  <c r="BM143"/>
  <c r="BM144"/>
  <c r="BM145"/>
  <c r="BM146"/>
  <c r="BM147"/>
  <c r="BM148"/>
  <c r="BM149"/>
  <c r="BM150"/>
  <c r="BM151"/>
  <c r="BM152"/>
  <c r="BM153"/>
  <c r="BM154"/>
  <c r="BM155"/>
  <c r="BM156"/>
  <c r="BM8"/>
  <c r="FR8" i="43"/>
  <c r="FR9" s="1"/>
  <c r="FR10" s="1"/>
  <c r="FX9"/>
  <c r="FX10" s="1"/>
  <c r="FX11" s="1"/>
  <c r="FX12" s="1"/>
  <c r="FX13" s="1"/>
  <c r="FX14" s="1"/>
  <c r="FX15" s="1"/>
  <c r="FX16" s="1"/>
  <c r="FX17" s="1"/>
  <c r="FX18" s="1"/>
  <c r="FX19" s="1"/>
  <c r="FX20" s="1"/>
  <c r="FX21" s="1"/>
  <c r="FX22" s="1"/>
  <c r="FX23" s="1"/>
  <c r="FX24" s="1"/>
  <c r="FX25" s="1"/>
  <c r="FX26" s="1"/>
  <c r="FX27" s="1"/>
  <c r="FX28" s="1"/>
  <c r="FX29" s="1"/>
  <c r="FX30" s="1"/>
  <c r="FX31" s="1"/>
  <c r="FX32" s="1"/>
  <c r="FX33" s="1"/>
  <c r="FX34" s="1"/>
  <c r="FX35" s="1"/>
  <c r="FX36" s="1"/>
  <c r="FX37" s="1"/>
  <c r="FX38" s="1"/>
  <c r="FX39" s="1"/>
  <c r="FX40" s="1"/>
  <c r="FX41" s="1"/>
  <c r="FX42" s="1"/>
  <c r="FX43" s="1"/>
  <c r="FX44" s="1"/>
  <c r="FX45" s="1"/>
  <c r="FX46" s="1"/>
  <c r="FX47" s="1"/>
  <c r="FX48" s="1"/>
  <c r="FX49" s="1"/>
  <c r="FX50" s="1"/>
  <c r="FX51" s="1"/>
  <c r="FX52" s="1"/>
  <c r="FX53" s="1"/>
  <c r="FX54" s="1"/>
  <c r="FX55" s="1"/>
  <c r="FX56" s="1"/>
  <c r="FX57" s="1"/>
  <c r="FX58" s="1"/>
  <c r="FX59" s="1"/>
  <c r="FX60" s="1"/>
  <c r="FX61" s="1"/>
  <c r="FX62" s="1"/>
  <c r="FX63" s="1"/>
  <c r="FX64" s="1"/>
  <c r="FX65" s="1"/>
  <c r="FX66" s="1"/>
  <c r="FX67" s="1"/>
  <c r="FX68" s="1"/>
  <c r="FX69" s="1"/>
  <c r="FX70" s="1"/>
  <c r="FX71" s="1"/>
  <c r="FX72" s="1"/>
  <c r="FX73" s="1"/>
  <c r="FX74" s="1"/>
  <c r="FX75" s="1"/>
  <c r="FX76" s="1"/>
  <c r="FX77" s="1"/>
  <c r="FX78" s="1"/>
  <c r="FX79" s="1"/>
  <c r="FX80" s="1"/>
  <c r="FX81" s="1"/>
  <c r="FX82" s="1"/>
  <c r="FX83" s="1"/>
  <c r="FX84" s="1"/>
  <c r="FX85" s="1"/>
  <c r="FX86" s="1"/>
  <c r="FX87" s="1"/>
  <c r="FX88" s="1"/>
  <c r="FX89" s="1"/>
  <c r="FX90" s="1"/>
  <c r="FX91" s="1"/>
  <c r="FX92" s="1"/>
  <c r="FX93" s="1"/>
  <c r="FX94" s="1"/>
  <c r="FX95" s="1"/>
  <c r="FX96" s="1"/>
  <c r="FX97" s="1"/>
  <c r="FX98" s="1"/>
  <c r="FX99" s="1"/>
  <c r="FX100" s="1"/>
  <c r="FX101" s="1"/>
  <c r="FX102" s="1"/>
  <c r="FX103" s="1"/>
  <c r="FX104" s="1"/>
  <c r="FX105" s="1"/>
  <c r="FX106" s="1"/>
  <c r="FX107" s="1"/>
  <c r="FX108" s="1"/>
  <c r="FX109" s="1"/>
  <c r="FX110" s="1"/>
  <c r="FX111" s="1"/>
  <c r="FX112" s="1"/>
  <c r="FX113" s="1"/>
  <c r="FX114" s="1"/>
  <c r="FX115" s="1"/>
  <c r="FX116" s="1"/>
  <c r="FX117" s="1"/>
  <c r="O141"/>
  <c r="BG141" s="1"/>
  <c r="W140"/>
  <c r="G137" i="45" s="1"/>
  <c r="O140" i="43"/>
  <c r="FS9"/>
  <c r="F37" i="24"/>
  <c r="Q16"/>
  <c r="R16"/>
  <c r="S16"/>
  <c r="U16"/>
  <c r="EF15" i="43"/>
  <c r="EG15"/>
  <c r="EH15"/>
  <c r="F16" i="24"/>
  <c r="H13" i="45"/>
  <c r="I13"/>
  <c r="J13"/>
  <c r="K13"/>
  <c r="L13"/>
  <c r="O13"/>
  <c r="H14"/>
  <c r="I14"/>
  <c r="J14"/>
  <c r="K14"/>
  <c r="L14"/>
  <c r="O14"/>
  <c r="H15"/>
  <c r="I15"/>
  <c r="J15"/>
  <c r="K15"/>
  <c r="L15"/>
  <c r="O15"/>
  <c r="H16"/>
  <c r="I16"/>
  <c r="J16"/>
  <c r="K16"/>
  <c r="L16"/>
  <c r="O16"/>
  <c r="H17"/>
  <c r="I17"/>
  <c r="J17"/>
  <c r="K17"/>
  <c r="L17"/>
  <c r="O17"/>
  <c r="H18"/>
  <c r="I18"/>
  <c r="J18"/>
  <c r="K18"/>
  <c r="L18"/>
  <c r="O18"/>
  <c r="H19"/>
  <c r="I19"/>
  <c r="J19"/>
  <c r="K19"/>
  <c r="L19"/>
  <c r="O19"/>
  <c r="H20"/>
  <c r="I20"/>
  <c r="J20"/>
  <c r="K20"/>
  <c r="L20"/>
  <c r="O20"/>
  <c r="H21"/>
  <c r="I21"/>
  <c r="AG21" s="1"/>
  <c r="J21"/>
  <c r="K21"/>
  <c r="L21"/>
  <c r="O21"/>
  <c r="H22"/>
  <c r="I22"/>
  <c r="J22"/>
  <c r="K22"/>
  <c r="L22"/>
  <c r="O22"/>
  <c r="H23"/>
  <c r="I23"/>
  <c r="J23"/>
  <c r="K23"/>
  <c r="L23"/>
  <c r="O23"/>
  <c r="H24"/>
  <c r="I24"/>
  <c r="J24"/>
  <c r="K24"/>
  <c r="L24"/>
  <c r="O24"/>
  <c r="H25"/>
  <c r="I25"/>
  <c r="J25"/>
  <c r="K25"/>
  <c r="L25"/>
  <c r="O25"/>
  <c r="H26"/>
  <c r="I26"/>
  <c r="J26"/>
  <c r="K26"/>
  <c r="L26"/>
  <c r="O26"/>
  <c r="H27"/>
  <c r="I27"/>
  <c r="J27"/>
  <c r="K27"/>
  <c r="L27"/>
  <c r="O27"/>
  <c r="H28"/>
  <c r="I28"/>
  <c r="J28"/>
  <c r="K28"/>
  <c r="L28"/>
  <c r="O28"/>
  <c r="H29"/>
  <c r="I29"/>
  <c r="J29"/>
  <c r="K29"/>
  <c r="L29"/>
  <c r="O29"/>
  <c r="H30"/>
  <c r="I30"/>
  <c r="J30"/>
  <c r="K30"/>
  <c r="L30"/>
  <c r="O30"/>
  <c r="H31"/>
  <c r="I31"/>
  <c r="J31"/>
  <c r="K31"/>
  <c r="L31"/>
  <c r="O31"/>
  <c r="T35" i="43"/>
  <c r="W35"/>
  <c r="H32" i="45"/>
  <c r="I32"/>
  <c r="J32"/>
  <c r="K32"/>
  <c r="L32"/>
  <c r="O32"/>
  <c r="H33"/>
  <c r="I33"/>
  <c r="J33"/>
  <c r="K33"/>
  <c r="L33"/>
  <c r="O33"/>
  <c r="H34"/>
  <c r="I34"/>
  <c r="J34"/>
  <c r="K34"/>
  <c r="L34"/>
  <c r="O34"/>
  <c r="H35"/>
  <c r="I35"/>
  <c r="J35"/>
  <c r="K35"/>
  <c r="L35"/>
  <c r="O35"/>
  <c r="H36"/>
  <c r="I36"/>
  <c r="J36"/>
  <c r="K36"/>
  <c r="L36"/>
  <c r="O36"/>
  <c r="H37"/>
  <c r="I37"/>
  <c r="J37"/>
  <c r="K37"/>
  <c r="L37"/>
  <c r="O37"/>
  <c r="H38"/>
  <c r="I38"/>
  <c r="J38"/>
  <c r="K38"/>
  <c r="L38"/>
  <c r="O38"/>
  <c r="H39"/>
  <c r="I39"/>
  <c r="J39"/>
  <c r="K39"/>
  <c r="L39"/>
  <c r="O39"/>
  <c r="H40"/>
  <c r="I40"/>
  <c r="J40"/>
  <c r="K40"/>
  <c r="L40"/>
  <c r="O40"/>
  <c r="H41"/>
  <c r="I41"/>
  <c r="J41"/>
  <c r="K41"/>
  <c r="L41"/>
  <c r="O41"/>
  <c r="H42"/>
  <c r="I42"/>
  <c r="AG42" s="1"/>
  <c r="J42"/>
  <c r="K42"/>
  <c r="L42"/>
  <c r="O42"/>
  <c r="H43"/>
  <c r="I43"/>
  <c r="J43"/>
  <c r="K43"/>
  <c r="L43"/>
  <c r="O43"/>
  <c r="H44"/>
  <c r="I44"/>
  <c r="J44"/>
  <c r="K44"/>
  <c r="L44"/>
  <c r="O44"/>
  <c r="H45"/>
  <c r="I45"/>
  <c r="J45"/>
  <c r="K45"/>
  <c r="L45"/>
  <c r="O45"/>
  <c r="H46"/>
  <c r="I46"/>
  <c r="AG46" s="1"/>
  <c r="J46"/>
  <c r="K46"/>
  <c r="L46"/>
  <c r="O46"/>
  <c r="H47"/>
  <c r="I47"/>
  <c r="J47"/>
  <c r="K47"/>
  <c r="L47"/>
  <c r="O47"/>
  <c r="H48"/>
  <c r="I48"/>
  <c r="J48"/>
  <c r="K48"/>
  <c r="L48"/>
  <c r="O48"/>
  <c r="H49"/>
  <c r="I49"/>
  <c r="J49"/>
  <c r="K49"/>
  <c r="L49"/>
  <c r="O49"/>
  <c r="T53" i="43"/>
  <c r="H50" i="45"/>
  <c r="I50"/>
  <c r="J50"/>
  <c r="K50"/>
  <c r="L50"/>
  <c r="O50"/>
  <c r="H51"/>
  <c r="I51"/>
  <c r="J51"/>
  <c r="K51"/>
  <c r="L51"/>
  <c r="O51"/>
  <c r="H52"/>
  <c r="I52"/>
  <c r="J52"/>
  <c r="K52"/>
  <c r="L52"/>
  <c r="O52"/>
  <c r="H53"/>
  <c r="I53"/>
  <c r="J53"/>
  <c r="K53"/>
  <c r="L53"/>
  <c r="O53"/>
  <c r="H54"/>
  <c r="I54"/>
  <c r="J54"/>
  <c r="K54"/>
  <c r="L54"/>
  <c r="O54"/>
  <c r="H55"/>
  <c r="I55"/>
  <c r="J55"/>
  <c r="K55"/>
  <c r="L55"/>
  <c r="O55"/>
  <c r="H56"/>
  <c r="I56"/>
  <c r="J56"/>
  <c r="K56"/>
  <c r="L56"/>
  <c r="O56"/>
  <c r="H57"/>
  <c r="I57"/>
  <c r="J57"/>
  <c r="K57"/>
  <c r="L57"/>
  <c r="O57"/>
  <c r="H58"/>
  <c r="I58"/>
  <c r="J58"/>
  <c r="K58"/>
  <c r="L58"/>
  <c r="O58"/>
  <c r="H59"/>
  <c r="I59"/>
  <c r="J59"/>
  <c r="K59"/>
  <c r="L59"/>
  <c r="O59"/>
  <c r="H60"/>
  <c r="I60"/>
  <c r="J60"/>
  <c r="K60"/>
  <c r="L60"/>
  <c r="O60"/>
  <c r="H61"/>
  <c r="I61"/>
  <c r="J61"/>
  <c r="K61"/>
  <c r="L61"/>
  <c r="O61"/>
  <c r="H62"/>
  <c r="I62"/>
  <c r="J62"/>
  <c r="K62"/>
  <c r="L62"/>
  <c r="O62"/>
  <c r="H63"/>
  <c r="I63"/>
  <c r="J63"/>
  <c r="K63"/>
  <c r="L63"/>
  <c r="O63"/>
  <c r="H64"/>
  <c r="I64"/>
  <c r="J64"/>
  <c r="K64"/>
  <c r="L64"/>
  <c r="O64"/>
  <c r="H65"/>
  <c r="I65"/>
  <c r="J65"/>
  <c r="K65"/>
  <c r="L65"/>
  <c r="O65"/>
  <c r="H66"/>
  <c r="I66"/>
  <c r="J66"/>
  <c r="K66"/>
  <c r="L66"/>
  <c r="O66"/>
  <c r="H67"/>
  <c r="I67"/>
  <c r="J67"/>
  <c r="K67"/>
  <c r="L67"/>
  <c r="O67"/>
  <c r="H68"/>
  <c r="I68"/>
  <c r="J68"/>
  <c r="K68"/>
  <c r="L68"/>
  <c r="O68"/>
  <c r="H69"/>
  <c r="I69"/>
  <c r="J69"/>
  <c r="K69"/>
  <c r="L69"/>
  <c r="O69"/>
  <c r="H70"/>
  <c r="I70"/>
  <c r="J70"/>
  <c r="K70"/>
  <c r="L70"/>
  <c r="O70"/>
  <c r="H71"/>
  <c r="I71"/>
  <c r="J71"/>
  <c r="K71"/>
  <c r="L71"/>
  <c r="O71"/>
  <c r="H72"/>
  <c r="I72"/>
  <c r="J72"/>
  <c r="K72"/>
  <c r="L72"/>
  <c r="O72"/>
  <c r="H73"/>
  <c r="I73"/>
  <c r="J73"/>
  <c r="K73"/>
  <c r="L73"/>
  <c r="O73"/>
  <c r="H74"/>
  <c r="I74"/>
  <c r="J74"/>
  <c r="K74"/>
  <c r="L74"/>
  <c r="O74"/>
  <c r="H75"/>
  <c r="I75"/>
  <c r="J75"/>
  <c r="K75"/>
  <c r="L75"/>
  <c r="O75"/>
  <c r="H76"/>
  <c r="I76"/>
  <c r="J76"/>
  <c r="K76"/>
  <c r="L76"/>
  <c r="O76"/>
  <c r="H77"/>
  <c r="I77"/>
  <c r="J77"/>
  <c r="K77"/>
  <c r="L77"/>
  <c r="O77"/>
  <c r="H78"/>
  <c r="I78"/>
  <c r="J78"/>
  <c r="K78"/>
  <c r="L78"/>
  <c r="O78"/>
  <c r="H79"/>
  <c r="I79"/>
  <c r="J79"/>
  <c r="K79"/>
  <c r="L79"/>
  <c r="O79"/>
  <c r="H80"/>
  <c r="I80"/>
  <c r="J80"/>
  <c r="K80"/>
  <c r="L80"/>
  <c r="O80"/>
  <c r="H81"/>
  <c r="I81"/>
  <c r="J81"/>
  <c r="K81"/>
  <c r="L81"/>
  <c r="O81"/>
  <c r="H82"/>
  <c r="I82"/>
  <c r="J82"/>
  <c r="K82"/>
  <c r="L82"/>
  <c r="O82"/>
  <c r="H83"/>
  <c r="I83"/>
  <c r="J83"/>
  <c r="K83"/>
  <c r="L83"/>
  <c r="O83"/>
  <c r="H84"/>
  <c r="I84"/>
  <c r="J84"/>
  <c r="K84"/>
  <c r="L84"/>
  <c r="O84"/>
  <c r="H85"/>
  <c r="I85"/>
  <c r="J85"/>
  <c r="K85"/>
  <c r="L85"/>
  <c r="O85"/>
  <c r="H86"/>
  <c r="I86"/>
  <c r="J86"/>
  <c r="K86"/>
  <c r="L86"/>
  <c r="O86"/>
  <c r="H87"/>
  <c r="I87"/>
  <c r="J87"/>
  <c r="K87"/>
  <c r="L87"/>
  <c r="O87"/>
  <c r="H88"/>
  <c r="I88"/>
  <c r="J88"/>
  <c r="K88"/>
  <c r="L88"/>
  <c r="O88"/>
  <c r="H89"/>
  <c r="I89"/>
  <c r="J89"/>
  <c r="K89"/>
  <c r="L89"/>
  <c r="O89"/>
  <c r="H90"/>
  <c r="I90"/>
  <c r="J90"/>
  <c r="K90"/>
  <c r="L90"/>
  <c r="O90"/>
  <c r="H91"/>
  <c r="I91"/>
  <c r="J91"/>
  <c r="K91"/>
  <c r="L91"/>
  <c r="O91"/>
  <c r="H92"/>
  <c r="I92"/>
  <c r="J92"/>
  <c r="K92"/>
  <c r="L92"/>
  <c r="O92"/>
  <c r="H93"/>
  <c r="I93"/>
  <c r="J93"/>
  <c r="K93"/>
  <c r="L93"/>
  <c r="O93"/>
  <c r="H94"/>
  <c r="I94"/>
  <c r="J94"/>
  <c r="K94"/>
  <c r="L94"/>
  <c r="O94"/>
  <c r="H95"/>
  <c r="I95"/>
  <c r="J95"/>
  <c r="K95"/>
  <c r="L95"/>
  <c r="O95"/>
  <c r="H96"/>
  <c r="I96"/>
  <c r="J96"/>
  <c r="K96"/>
  <c r="L96"/>
  <c r="O96"/>
  <c r="H97"/>
  <c r="I97"/>
  <c r="J97"/>
  <c r="K97"/>
  <c r="L97"/>
  <c r="O97"/>
  <c r="H98"/>
  <c r="I98"/>
  <c r="J98"/>
  <c r="K98"/>
  <c r="L98"/>
  <c r="O98"/>
  <c r="H99"/>
  <c r="I99"/>
  <c r="J99"/>
  <c r="K99"/>
  <c r="L99"/>
  <c r="O99"/>
  <c r="H100"/>
  <c r="I100"/>
  <c r="J100"/>
  <c r="K100"/>
  <c r="L100"/>
  <c r="O100"/>
  <c r="H101"/>
  <c r="I101"/>
  <c r="J101"/>
  <c r="K101"/>
  <c r="L101"/>
  <c r="O101"/>
  <c r="H102"/>
  <c r="I102"/>
  <c r="J102"/>
  <c r="K102"/>
  <c r="L102"/>
  <c r="O102"/>
  <c r="H103"/>
  <c r="I103"/>
  <c r="J103"/>
  <c r="K103"/>
  <c r="L103"/>
  <c r="O103"/>
  <c r="H104"/>
  <c r="I104"/>
  <c r="J104"/>
  <c r="K104"/>
  <c r="L104"/>
  <c r="O104"/>
  <c r="H105"/>
  <c r="I105"/>
  <c r="J105"/>
  <c r="K105"/>
  <c r="L105"/>
  <c r="AG105" s="1"/>
  <c r="O105"/>
  <c r="H106"/>
  <c r="I106"/>
  <c r="J106"/>
  <c r="K106"/>
  <c r="L106"/>
  <c r="O106"/>
  <c r="H107"/>
  <c r="I107"/>
  <c r="J107"/>
  <c r="K107"/>
  <c r="L107"/>
  <c r="O107"/>
  <c r="H108"/>
  <c r="I108"/>
  <c r="J108"/>
  <c r="K108"/>
  <c r="L108"/>
  <c r="O108"/>
  <c r="H109"/>
  <c r="I109"/>
  <c r="J109"/>
  <c r="K109"/>
  <c r="L109"/>
  <c r="O109"/>
  <c r="H110"/>
  <c r="I110"/>
  <c r="J110"/>
  <c r="K110"/>
  <c r="L110"/>
  <c r="O110"/>
  <c r="H111"/>
  <c r="I111"/>
  <c r="J111"/>
  <c r="K111"/>
  <c r="L111"/>
  <c r="O111"/>
  <c r="H112"/>
  <c r="I112"/>
  <c r="J112"/>
  <c r="K112"/>
  <c r="L112"/>
  <c r="O112"/>
  <c r="H113"/>
  <c r="I113"/>
  <c r="J113"/>
  <c r="K113"/>
  <c r="L113"/>
  <c r="O113"/>
  <c r="H114"/>
  <c r="I114"/>
  <c r="J114"/>
  <c r="K114"/>
  <c r="L114"/>
  <c r="O114"/>
  <c r="H115"/>
  <c r="I115"/>
  <c r="J115"/>
  <c r="K115"/>
  <c r="L115"/>
  <c r="O115"/>
  <c r="H116"/>
  <c r="I116"/>
  <c r="J116"/>
  <c r="K116"/>
  <c r="L116"/>
  <c r="O116"/>
  <c r="H117"/>
  <c r="I117"/>
  <c r="J117"/>
  <c r="K117"/>
  <c r="L117"/>
  <c r="O117"/>
  <c r="H118"/>
  <c r="I118"/>
  <c r="J118"/>
  <c r="K118"/>
  <c r="L118"/>
  <c r="O118"/>
  <c r="H119"/>
  <c r="I119"/>
  <c r="J119"/>
  <c r="K119"/>
  <c r="L119"/>
  <c r="O119"/>
  <c r="H120"/>
  <c r="I120"/>
  <c r="J120"/>
  <c r="K120"/>
  <c r="L120"/>
  <c r="O120"/>
  <c r="H121"/>
  <c r="I121"/>
  <c r="J121"/>
  <c r="K121"/>
  <c r="L121"/>
  <c r="O121"/>
  <c r="H122"/>
  <c r="I122"/>
  <c r="J122"/>
  <c r="K122"/>
  <c r="L122"/>
  <c r="O122"/>
  <c r="H123"/>
  <c r="I123"/>
  <c r="J123"/>
  <c r="K123"/>
  <c r="L123"/>
  <c r="O123"/>
  <c r="H124"/>
  <c r="I124"/>
  <c r="J124"/>
  <c r="K124"/>
  <c r="L124"/>
  <c r="O124"/>
  <c r="H125"/>
  <c r="I125"/>
  <c r="J125"/>
  <c r="K125"/>
  <c r="L125"/>
  <c r="O125"/>
  <c r="H126"/>
  <c r="I126"/>
  <c r="J126"/>
  <c r="K126"/>
  <c r="L126"/>
  <c r="O126"/>
  <c r="H127"/>
  <c r="I127"/>
  <c r="J127"/>
  <c r="K127"/>
  <c r="L127"/>
  <c r="O127"/>
  <c r="H128"/>
  <c r="I128"/>
  <c r="J128"/>
  <c r="K128"/>
  <c r="L128"/>
  <c r="O128"/>
  <c r="H129"/>
  <c r="I129"/>
  <c r="J129"/>
  <c r="K129"/>
  <c r="L129"/>
  <c r="O129"/>
  <c r="H130"/>
  <c r="I130"/>
  <c r="J130"/>
  <c r="K130"/>
  <c r="L130"/>
  <c r="O130"/>
  <c r="H131"/>
  <c r="I131"/>
  <c r="J131"/>
  <c r="K131"/>
  <c r="L131"/>
  <c r="O131"/>
  <c r="H132"/>
  <c r="I132"/>
  <c r="J132"/>
  <c r="K132"/>
  <c r="L132"/>
  <c r="O132"/>
  <c r="H133"/>
  <c r="I133"/>
  <c r="J133"/>
  <c r="K133"/>
  <c r="L133"/>
  <c r="O133"/>
  <c r="H134"/>
  <c r="I134"/>
  <c r="J134"/>
  <c r="K134"/>
  <c r="L134"/>
  <c r="O134"/>
  <c r="H135"/>
  <c r="I135"/>
  <c r="J135"/>
  <c r="K135"/>
  <c r="L135"/>
  <c r="O135"/>
  <c r="H136"/>
  <c r="I136"/>
  <c r="J136"/>
  <c r="K136"/>
  <c r="L136"/>
  <c r="O136"/>
  <c r="H137"/>
  <c r="I137"/>
  <c r="J137"/>
  <c r="K137"/>
  <c r="L137"/>
  <c r="O137"/>
  <c r="H138"/>
  <c r="I138"/>
  <c r="J138"/>
  <c r="K138"/>
  <c r="L138"/>
  <c r="O138"/>
  <c r="H139"/>
  <c r="I139"/>
  <c r="J139"/>
  <c r="K139"/>
  <c r="L139"/>
  <c r="O139"/>
  <c r="H140"/>
  <c r="I140"/>
  <c r="J140"/>
  <c r="K140"/>
  <c r="L140"/>
  <c r="O140"/>
  <c r="H141"/>
  <c r="I141"/>
  <c r="J141"/>
  <c r="K141"/>
  <c r="L141"/>
  <c r="O141"/>
  <c r="H142"/>
  <c r="I142"/>
  <c r="J142"/>
  <c r="K142"/>
  <c r="L142"/>
  <c r="O142"/>
  <c r="H143"/>
  <c r="I143"/>
  <c r="J143"/>
  <c r="K143"/>
  <c r="L143"/>
  <c r="O143"/>
  <c r="H144"/>
  <c r="I144"/>
  <c r="J144"/>
  <c r="K144"/>
  <c r="L144"/>
  <c r="O144"/>
  <c r="H145"/>
  <c r="I145"/>
  <c r="J145"/>
  <c r="K145"/>
  <c r="L145"/>
  <c r="O145"/>
  <c r="H146"/>
  <c r="I146"/>
  <c r="J146"/>
  <c r="K146"/>
  <c r="L146"/>
  <c r="O146"/>
  <c r="H147"/>
  <c r="I147"/>
  <c r="J147"/>
  <c r="K147"/>
  <c r="L147"/>
  <c r="O147"/>
  <c r="H148"/>
  <c r="I148"/>
  <c r="J148"/>
  <c r="K148"/>
  <c r="L148"/>
  <c r="O148"/>
  <c r="H149"/>
  <c r="I149"/>
  <c r="J149"/>
  <c r="K149"/>
  <c r="L149"/>
  <c r="O149"/>
  <c r="H150"/>
  <c r="I150"/>
  <c r="J150"/>
  <c r="K150"/>
  <c r="L150"/>
  <c r="O150"/>
  <c r="H151"/>
  <c r="I151"/>
  <c r="J151"/>
  <c r="K151"/>
  <c r="L151"/>
  <c r="O151"/>
  <c r="H152"/>
  <c r="I152"/>
  <c r="J152"/>
  <c r="K152"/>
  <c r="L152"/>
  <c r="O152"/>
  <c r="H153"/>
  <c r="I153"/>
  <c r="J153"/>
  <c r="K153"/>
  <c r="L153"/>
  <c r="O153"/>
  <c r="H154"/>
  <c r="I154"/>
  <c r="J154"/>
  <c r="K154"/>
  <c r="L154"/>
  <c r="O154"/>
  <c r="H155"/>
  <c r="L155"/>
  <c r="AG155" s="1"/>
  <c r="H156"/>
  <c r="L156"/>
  <c r="H157"/>
  <c r="L157"/>
  <c r="H158"/>
  <c r="L158"/>
  <c r="AG158" s="1"/>
  <c r="H159"/>
  <c r="L159"/>
  <c r="H160"/>
  <c r="L160"/>
  <c r="H161"/>
  <c r="L161"/>
  <c r="H162"/>
  <c r="L162"/>
  <c r="H163"/>
  <c r="L163"/>
  <c r="H164"/>
  <c r="L164"/>
  <c r="AG164" s="1"/>
  <c r="H165"/>
  <c r="L165"/>
  <c r="H166"/>
  <c r="L166"/>
  <c r="AG166" s="1"/>
  <c r="H167"/>
  <c r="L167"/>
  <c r="H168"/>
  <c r="L168"/>
  <c r="H169"/>
  <c r="L169"/>
  <c r="H170"/>
  <c r="L170"/>
  <c r="H171"/>
  <c r="L171"/>
  <c r="H172"/>
  <c r="L172"/>
  <c r="AG172" s="1"/>
  <c r="H173"/>
  <c r="L173"/>
  <c r="H174"/>
  <c r="L174"/>
  <c r="H175"/>
  <c r="L175"/>
  <c r="H176"/>
  <c r="L176"/>
  <c r="H177"/>
  <c r="L177"/>
  <c r="H178"/>
  <c r="L178"/>
  <c r="AG178" s="1"/>
  <c r="H179"/>
  <c r="L179"/>
  <c r="H180"/>
  <c r="L180"/>
  <c r="H181"/>
  <c r="L181"/>
  <c r="H182"/>
  <c r="L182"/>
  <c r="H183"/>
  <c r="L183"/>
  <c r="H184"/>
  <c r="L184"/>
  <c r="H185"/>
  <c r="L185"/>
  <c r="H186"/>
  <c r="L186"/>
  <c r="H187"/>
  <c r="L187"/>
  <c r="H188"/>
  <c r="L188"/>
  <c r="H189"/>
  <c r="L189"/>
  <c r="H190"/>
  <c r="L190"/>
  <c r="H191"/>
  <c r="L191"/>
  <c r="H192"/>
  <c r="L192"/>
  <c r="H193"/>
  <c r="L193"/>
  <c r="H194"/>
  <c r="L194"/>
  <c r="H195"/>
  <c r="L195"/>
  <c r="H196"/>
  <c r="L196"/>
  <c r="H197"/>
  <c r="L197"/>
  <c r="H198"/>
  <c r="L198"/>
  <c r="H199"/>
  <c r="L199"/>
  <c r="H200"/>
  <c r="L200"/>
  <c r="H201"/>
  <c r="L201"/>
  <c r="H202"/>
  <c r="L202"/>
  <c r="H203"/>
  <c r="L203"/>
  <c r="AG203" s="1"/>
  <c r="H204"/>
  <c r="L204"/>
  <c r="H205"/>
  <c r="L205"/>
  <c r="H206"/>
  <c r="L206"/>
  <c r="H207"/>
  <c r="L207"/>
  <c r="H208"/>
  <c r="L208"/>
  <c r="H209"/>
  <c r="L209"/>
  <c r="H210"/>
  <c r="L210"/>
  <c r="H211"/>
  <c r="L211"/>
  <c r="H212"/>
  <c r="L212"/>
  <c r="H213"/>
  <c r="L213"/>
  <c r="H214"/>
  <c r="L214"/>
  <c r="AG214" s="1"/>
  <c r="H215"/>
  <c r="L215"/>
  <c r="H216"/>
  <c r="L216"/>
  <c r="H217"/>
  <c r="L217"/>
  <c r="H218"/>
  <c r="L218"/>
  <c r="H219"/>
  <c r="L219"/>
  <c r="H220"/>
  <c r="L220"/>
  <c r="H221"/>
  <c r="L221"/>
  <c r="H222"/>
  <c r="L222"/>
  <c r="H223"/>
  <c r="L223"/>
  <c r="AG223" s="1"/>
  <c r="H224"/>
  <c r="L224"/>
  <c r="H225"/>
  <c r="L225"/>
  <c r="H226"/>
  <c r="L226"/>
  <c r="H227"/>
  <c r="L227"/>
  <c r="H228"/>
  <c r="L228"/>
  <c r="H229"/>
  <c r="L229"/>
  <c r="H230"/>
  <c r="L230"/>
  <c r="H231"/>
  <c r="L231"/>
  <c r="H232"/>
  <c r="L232"/>
  <c r="AG232" s="1"/>
  <c r="H233"/>
  <c r="L233"/>
  <c r="H234"/>
  <c r="L234"/>
  <c r="H235"/>
  <c r="L235"/>
  <c r="H236"/>
  <c r="L236"/>
  <c r="H237"/>
  <c r="L237"/>
  <c r="H238"/>
  <c r="L238"/>
  <c r="H239"/>
  <c r="L239"/>
  <c r="H240"/>
  <c r="L240"/>
  <c r="H241"/>
  <c r="L241"/>
  <c r="H242"/>
  <c r="L242"/>
  <c r="H243"/>
  <c r="L243"/>
  <c r="H244"/>
  <c r="L244"/>
  <c r="H245"/>
  <c r="L245"/>
  <c r="H246"/>
  <c r="L246"/>
  <c r="H247"/>
  <c r="L247"/>
  <c r="H248"/>
  <c r="L248"/>
  <c r="H249"/>
  <c r="L249"/>
  <c r="H250"/>
  <c r="L250"/>
  <c r="H251"/>
  <c r="L251"/>
  <c r="H252"/>
  <c r="L252"/>
  <c r="H253"/>
  <c r="L253"/>
  <c r="H254"/>
  <c r="L254"/>
  <c r="H255"/>
  <c r="L255"/>
  <c r="H256"/>
  <c r="L256"/>
  <c r="H257"/>
  <c r="L257"/>
  <c r="H258"/>
  <c r="L258"/>
  <c r="H259"/>
  <c r="L259"/>
  <c r="H260"/>
  <c r="L260"/>
  <c r="H261"/>
  <c r="L261"/>
  <c r="H262"/>
  <c r="L262"/>
  <c r="H263"/>
  <c r="L263"/>
  <c r="H264"/>
  <c r="L264"/>
  <c r="H265"/>
  <c r="L265"/>
  <c r="H266"/>
  <c r="L266"/>
  <c r="H267"/>
  <c r="L267"/>
  <c r="H268"/>
  <c r="L268"/>
  <c r="H269"/>
  <c r="L269"/>
  <c r="H270"/>
  <c r="L270"/>
  <c r="H271"/>
  <c r="L271"/>
  <c r="H272"/>
  <c r="L272"/>
  <c r="H273"/>
  <c r="L273"/>
  <c r="H274"/>
  <c r="L274"/>
  <c r="H275"/>
  <c r="L275"/>
  <c r="AG275" s="1"/>
  <c r="H276"/>
  <c r="L276"/>
  <c r="H277"/>
  <c r="L277"/>
  <c r="H278"/>
  <c r="L278"/>
  <c r="H279"/>
  <c r="L279"/>
  <c r="H280"/>
  <c r="L280"/>
  <c r="H281"/>
  <c r="L281"/>
  <c r="H282"/>
  <c r="L282"/>
  <c r="H283"/>
  <c r="L283"/>
  <c r="H284"/>
  <c r="L284"/>
  <c r="H285"/>
  <c r="L285"/>
  <c r="H286"/>
  <c r="L286"/>
  <c r="H287"/>
  <c r="L287"/>
  <c r="H288"/>
  <c r="L288"/>
  <c r="H289"/>
  <c r="L289"/>
  <c r="H290"/>
  <c r="L290"/>
  <c r="H291"/>
  <c r="L291"/>
  <c r="H292"/>
  <c r="L292"/>
  <c r="H293"/>
  <c r="L293"/>
  <c r="H294"/>
  <c r="L294"/>
  <c r="H295"/>
  <c r="L295"/>
  <c r="H296"/>
  <c r="L296"/>
  <c r="H297"/>
  <c r="L297"/>
  <c r="H298"/>
  <c r="L298"/>
  <c r="H299"/>
  <c r="L299"/>
  <c r="H300"/>
  <c r="L300"/>
  <c r="H301"/>
  <c r="L301"/>
  <c r="H302"/>
  <c r="L302"/>
  <c r="H303"/>
  <c r="L303"/>
  <c r="H304"/>
  <c r="L304"/>
  <c r="H305"/>
  <c r="L305"/>
  <c r="H306"/>
  <c r="L306"/>
  <c r="H307"/>
  <c r="L307"/>
  <c r="H308"/>
  <c r="L308"/>
  <c r="H309"/>
  <c r="L309"/>
  <c r="H310"/>
  <c r="L310"/>
  <c r="H311"/>
  <c r="L311"/>
  <c r="H312"/>
  <c r="L312"/>
  <c r="H313"/>
  <c r="L313"/>
  <c r="H314"/>
  <c r="L314"/>
  <c r="H315"/>
  <c r="L315"/>
  <c r="H316"/>
  <c r="L316"/>
  <c r="H317"/>
  <c r="L317"/>
  <c r="H318"/>
  <c r="L318"/>
  <c r="H319"/>
  <c r="L319"/>
  <c r="H320"/>
  <c r="L320"/>
  <c r="H321"/>
  <c r="L321"/>
  <c r="H322"/>
  <c r="L322"/>
  <c r="H323"/>
  <c r="L323"/>
  <c r="H324"/>
  <c r="L324"/>
  <c r="H325"/>
  <c r="L325"/>
  <c r="H326"/>
  <c r="L326"/>
  <c r="H327"/>
  <c r="L327"/>
  <c r="H328"/>
  <c r="L328"/>
  <c r="H329"/>
  <c r="L329"/>
  <c r="H330"/>
  <c r="L330"/>
  <c r="H331"/>
  <c r="L331"/>
  <c r="H332"/>
  <c r="L332"/>
  <c r="H333"/>
  <c r="L333"/>
  <c r="H334"/>
  <c r="L334"/>
  <c r="H335"/>
  <c r="L335"/>
  <c r="H336"/>
  <c r="L336"/>
  <c r="H337"/>
  <c r="L337"/>
  <c r="AG337" s="1"/>
  <c r="H338"/>
  <c r="L338"/>
  <c r="AG338" s="1"/>
  <c r="H339"/>
  <c r="L339"/>
  <c r="H340"/>
  <c r="L340"/>
  <c r="H341"/>
  <c r="L341"/>
  <c r="H342"/>
  <c r="L342"/>
  <c r="H343"/>
  <c r="L343"/>
  <c r="H344"/>
  <c r="L344"/>
  <c r="H345"/>
  <c r="L345"/>
  <c r="H346"/>
  <c r="L346"/>
  <c r="H347"/>
  <c r="L347"/>
  <c r="H348"/>
  <c r="L348"/>
  <c r="H349"/>
  <c r="L349"/>
  <c r="H350"/>
  <c r="L350"/>
  <c r="AG350" s="1"/>
  <c r="H351"/>
  <c r="L351"/>
  <c r="H352"/>
  <c r="L352"/>
  <c r="H353"/>
  <c r="L353"/>
  <c r="H354"/>
  <c r="L354"/>
  <c r="H355"/>
  <c r="L355"/>
  <c r="H356"/>
  <c r="L356"/>
  <c r="H357"/>
  <c r="L357"/>
  <c r="H358"/>
  <c r="L358"/>
  <c r="H359"/>
  <c r="L359"/>
  <c r="H360"/>
  <c r="L360"/>
  <c r="AG360" s="1"/>
  <c r="H361"/>
  <c r="L361"/>
  <c r="H362"/>
  <c r="L362"/>
  <c r="H363"/>
  <c r="L363"/>
  <c r="H364"/>
  <c r="L364"/>
  <c r="H365"/>
  <c r="L365"/>
  <c r="AG365" s="1"/>
  <c r="H366"/>
  <c r="L366"/>
  <c r="AG366" s="1"/>
  <c r="H367"/>
  <c r="L367"/>
  <c r="H368"/>
  <c r="L368"/>
  <c r="H369"/>
  <c r="L369"/>
  <c r="H370"/>
  <c r="L370"/>
  <c r="H371"/>
  <c r="L371"/>
  <c r="H372"/>
  <c r="L372"/>
  <c r="H373"/>
  <c r="L373"/>
  <c r="AG373" s="1"/>
  <c r="H374"/>
  <c r="L374"/>
  <c r="H375"/>
  <c r="L375"/>
  <c r="H376"/>
  <c r="L376"/>
  <c r="H377"/>
  <c r="L377"/>
  <c r="H378"/>
  <c r="L378"/>
  <c r="H379"/>
  <c r="L379"/>
  <c r="AD379"/>
  <c r="H380"/>
  <c r="L380"/>
  <c r="AD380"/>
  <c r="F46" i="24"/>
  <c r="Q46"/>
  <c r="R46"/>
  <c r="S46"/>
  <c r="U46"/>
  <c r="AM46"/>
  <c r="F47"/>
  <c r="Q47"/>
  <c r="R47"/>
  <c r="S47"/>
  <c r="U47"/>
  <c r="AM47"/>
  <c r="F48"/>
  <c r="Q48"/>
  <c r="R48"/>
  <c r="S48"/>
  <c r="U48"/>
  <c r="AM48"/>
  <c r="F49"/>
  <c r="Q49"/>
  <c r="R49"/>
  <c r="S49"/>
  <c r="U49"/>
  <c r="AM49"/>
  <c r="F50"/>
  <c r="Q50"/>
  <c r="R50"/>
  <c r="S50"/>
  <c r="U50"/>
  <c r="AM50"/>
  <c r="F51"/>
  <c r="Q51"/>
  <c r="R51"/>
  <c r="S51"/>
  <c r="U51"/>
  <c r="AM51"/>
  <c r="F52"/>
  <c r="Q52"/>
  <c r="R52"/>
  <c r="S52"/>
  <c r="U52"/>
  <c r="AM52"/>
  <c r="F53"/>
  <c r="Q53"/>
  <c r="R53"/>
  <c r="S53"/>
  <c r="U53"/>
  <c r="AM53"/>
  <c r="F54"/>
  <c r="Q54"/>
  <c r="R54"/>
  <c r="S54"/>
  <c r="U54"/>
  <c r="AM54"/>
  <c r="F55"/>
  <c r="Q55"/>
  <c r="R55"/>
  <c r="S55"/>
  <c r="U55"/>
  <c r="AM55"/>
  <c r="F56"/>
  <c r="Q56"/>
  <c r="R56"/>
  <c r="S56"/>
  <c r="U56"/>
  <c r="AM56"/>
  <c r="F57"/>
  <c r="Q57"/>
  <c r="R57"/>
  <c r="S57"/>
  <c r="U57"/>
  <c r="AM57"/>
  <c r="F58"/>
  <c r="Q58"/>
  <c r="R58"/>
  <c r="S58"/>
  <c r="U58"/>
  <c r="AM58"/>
  <c r="F59"/>
  <c r="Q59"/>
  <c r="R59"/>
  <c r="S59"/>
  <c r="U59"/>
  <c r="AM59"/>
  <c r="F60"/>
  <c r="Q60"/>
  <c r="R60"/>
  <c r="S60"/>
  <c r="U60"/>
  <c r="AM60"/>
  <c r="F61"/>
  <c r="Q61"/>
  <c r="R61"/>
  <c r="S61"/>
  <c r="U61"/>
  <c r="AM61"/>
  <c r="F62"/>
  <c r="Q62"/>
  <c r="R62"/>
  <c r="S62"/>
  <c r="U62"/>
  <c r="AM62"/>
  <c r="F63"/>
  <c r="Q63"/>
  <c r="R63"/>
  <c r="S63"/>
  <c r="U63"/>
  <c r="AM63"/>
  <c r="F64"/>
  <c r="Q64"/>
  <c r="R64"/>
  <c r="S64"/>
  <c r="U64"/>
  <c r="AM64"/>
  <c r="F65"/>
  <c r="Q65"/>
  <c r="R65"/>
  <c r="S65"/>
  <c r="U65"/>
  <c r="AM65"/>
  <c r="F66"/>
  <c r="Q66"/>
  <c r="R66"/>
  <c r="S66"/>
  <c r="U66"/>
  <c r="AM66"/>
  <c r="F67"/>
  <c r="Q67"/>
  <c r="R67"/>
  <c r="S67"/>
  <c r="U67"/>
  <c r="AM67"/>
  <c r="F68"/>
  <c r="Q68"/>
  <c r="R68"/>
  <c r="S68"/>
  <c r="U68"/>
  <c r="AM68"/>
  <c r="F69"/>
  <c r="Q69"/>
  <c r="R69"/>
  <c r="S69"/>
  <c r="U69"/>
  <c r="AM69"/>
  <c r="F70"/>
  <c r="Q70"/>
  <c r="R70"/>
  <c r="S70"/>
  <c r="U70"/>
  <c r="AM70"/>
  <c r="F71"/>
  <c r="Q71"/>
  <c r="R71"/>
  <c r="S71"/>
  <c r="U71"/>
  <c r="AM71"/>
  <c r="F72"/>
  <c r="Q72"/>
  <c r="R72"/>
  <c r="S72"/>
  <c r="U72"/>
  <c r="AM72"/>
  <c r="F73"/>
  <c r="Q73"/>
  <c r="R73"/>
  <c r="S73"/>
  <c r="U73"/>
  <c r="AM73"/>
  <c r="F74"/>
  <c r="Q74"/>
  <c r="R74"/>
  <c r="S74"/>
  <c r="U74"/>
  <c r="AM74"/>
  <c r="F75"/>
  <c r="Q75"/>
  <c r="R75"/>
  <c r="S75"/>
  <c r="U75"/>
  <c r="AM75"/>
  <c r="F76"/>
  <c r="Q76"/>
  <c r="R76"/>
  <c r="S76"/>
  <c r="U76"/>
  <c r="AM76"/>
  <c r="F77"/>
  <c r="Q77"/>
  <c r="R77"/>
  <c r="S77"/>
  <c r="U77"/>
  <c r="AM77"/>
  <c r="F78"/>
  <c r="Q78"/>
  <c r="R78"/>
  <c r="S78"/>
  <c r="U78"/>
  <c r="AM78"/>
  <c r="F79"/>
  <c r="Q79"/>
  <c r="R79"/>
  <c r="S79"/>
  <c r="U79"/>
  <c r="AM79"/>
  <c r="F80"/>
  <c r="Q80"/>
  <c r="R80"/>
  <c r="S80"/>
  <c r="U80"/>
  <c r="AM80"/>
  <c r="F81"/>
  <c r="Q81"/>
  <c r="R81"/>
  <c r="S81"/>
  <c r="U81"/>
  <c r="AM81"/>
  <c r="F82"/>
  <c r="Q82"/>
  <c r="R82"/>
  <c r="S82"/>
  <c r="U82"/>
  <c r="AM82"/>
  <c r="F83"/>
  <c r="Q83"/>
  <c r="R83"/>
  <c r="S83"/>
  <c r="U83"/>
  <c r="AM83"/>
  <c r="F84"/>
  <c r="Q84"/>
  <c r="R84"/>
  <c r="S84"/>
  <c r="U84"/>
  <c r="AM84"/>
  <c r="F85"/>
  <c r="Q85"/>
  <c r="R85"/>
  <c r="S85"/>
  <c r="U85"/>
  <c r="AM85"/>
  <c r="F86"/>
  <c r="Q86"/>
  <c r="R86"/>
  <c r="S86"/>
  <c r="U86"/>
  <c r="AM86"/>
  <c r="F87"/>
  <c r="Q87"/>
  <c r="R87"/>
  <c r="S87"/>
  <c r="U87"/>
  <c r="AM87"/>
  <c r="F88"/>
  <c r="Q88"/>
  <c r="R88"/>
  <c r="S88"/>
  <c r="U88"/>
  <c r="AM88"/>
  <c r="F89"/>
  <c r="Q89"/>
  <c r="R89"/>
  <c r="S89"/>
  <c r="U89"/>
  <c r="AM89"/>
  <c r="F90"/>
  <c r="Q90"/>
  <c r="R90"/>
  <c r="S90"/>
  <c r="U90"/>
  <c r="AM90"/>
  <c r="F91"/>
  <c r="Q91"/>
  <c r="R91"/>
  <c r="S91"/>
  <c r="U91"/>
  <c r="AM91"/>
  <c r="F92"/>
  <c r="Q92"/>
  <c r="R92"/>
  <c r="S92"/>
  <c r="U92"/>
  <c r="AM92"/>
  <c r="F93"/>
  <c r="Q93"/>
  <c r="R93"/>
  <c r="S93"/>
  <c r="U93"/>
  <c r="AM93"/>
  <c r="F94"/>
  <c r="Q94"/>
  <c r="R94"/>
  <c r="S94"/>
  <c r="U94"/>
  <c r="AM94"/>
  <c r="F95"/>
  <c r="Q95"/>
  <c r="R95"/>
  <c r="S95"/>
  <c r="U95"/>
  <c r="AM95"/>
  <c r="F96"/>
  <c r="Q96"/>
  <c r="R96"/>
  <c r="S96"/>
  <c r="U96"/>
  <c r="AM96"/>
  <c r="F97"/>
  <c r="Q97"/>
  <c r="R97"/>
  <c r="S97"/>
  <c r="U97"/>
  <c r="AM97"/>
  <c r="F98"/>
  <c r="Q98"/>
  <c r="R98"/>
  <c r="S98"/>
  <c r="U98"/>
  <c r="AM98"/>
  <c r="F99"/>
  <c r="Q99"/>
  <c r="R99"/>
  <c r="S99"/>
  <c r="U99"/>
  <c r="AM99"/>
  <c r="F100"/>
  <c r="Q100"/>
  <c r="R100"/>
  <c r="S100"/>
  <c r="U100"/>
  <c r="AM100"/>
  <c r="F101"/>
  <c r="Q101"/>
  <c r="R101"/>
  <c r="S101"/>
  <c r="U101"/>
  <c r="AM101"/>
  <c r="F102"/>
  <c r="Q102"/>
  <c r="R102"/>
  <c r="S102"/>
  <c r="U102"/>
  <c r="AM102"/>
  <c r="F103"/>
  <c r="Q103"/>
  <c r="R103"/>
  <c r="S103"/>
  <c r="U103"/>
  <c r="AM103"/>
  <c r="F104"/>
  <c r="Q104"/>
  <c r="R104"/>
  <c r="S104"/>
  <c r="U104"/>
  <c r="AM104"/>
  <c r="F105"/>
  <c r="Q105"/>
  <c r="R105"/>
  <c r="S105"/>
  <c r="U105"/>
  <c r="AM105"/>
  <c r="F106"/>
  <c r="Q106"/>
  <c r="R106"/>
  <c r="S106"/>
  <c r="U106"/>
  <c r="AM106"/>
  <c r="F107"/>
  <c r="Q107"/>
  <c r="R107"/>
  <c r="S107"/>
  <c r="U107"/>
  <c r="AM107"/>
  <c r="F108"/>
  <c r="Q108"/>
  <c r="R108"/>
  <c r="S108"/>
  <c r="U108"/>
  <c r="AM108"/>
  <c r="F109"/>
  <c r="Q109"/>
  <c r="R109"/>
  <c r="S109"/>
  <c r="U109"/>
  <c r="AM109"/>
  <c r="F110"/>
  <c r="Q110"/>
  <c r="R110"/>
  <c r="S110"/>
  <c r="U110"/>
  <c r="AM110"/>
  <c r="F111"/>
  <c r="Q111"/>
  <c r="R111"/>
  <c r="S111"/>
  <c r="U111"/>
  <c r="AM111"/>
  <c r="F112"/>
  <c r="Q112"/>
  <c r="R112"/>
  <c r="S112"/>
  <c r="U112"/>
  <c r="AM112"/>
  <c r="F113"/>
  <c r="Q113"/>
  <c r="R113"/>
  <c r="S113"/>
  <c r="U113"/>
  <c r="AM113"/>
  <c r="F114"/>
  <c r="Q114"/>
  <c r="R114"/>
  <c r="S114"/>
  <c r="U114"/>
  <c r="AM114"/>
  <c r="F115"/>
  <c r="Q115"/>
  <c r="R115"/>
  <c r="S115"/>
  <c r="U115"/>
  <c r="AM115"/>
  <c r="F116"/>
  <c r="Q116"/>
  <c r="R116"/>
  <c r="S116"/>
  <c r="U116"/>
  <c r="AM116"/>
  <c r="F117"/>
  <c r="Q117"/>
  <c r="R117"/>
  <c r="S117"/>
  <c r="U117"/>
  <c r="AM117"/>
  <c r="F118"/>
  <c r="Q118"/>
  <c r="R118"/>
  <c r="S118"/>
  <c r="U118"/>
  <c r="AM118"/>
  <c r="F119"/>
  <c r="Q119"/>
  <c r="R119"/>
  <c r="S119"/>
  <c r="U119"/>
  <c r="AM119"/>
  <c r="F120"/>
  <c r="Q120"/>
  <c r="R120"/>
  <c r="S120"/>
  <c r="U120"/>
  <c r="AM120"/>
  <c r="F121"/>
  <c r="Q121"/>
  <c r="R121"/>
  <c r="S121"/>
  <c r="U121"/>
  <c r="AM121"/>
  <c r="F122"/>
  <c r="Q122"/>
  <c r="R122"/>
  <c r="S122"/>
  <c r="U122"/>
  <c r="AM122"/>
  <c r="F123"/>
  <c r="Q123"/>
  <c r="R123"/>
  <c r="S123"/>
  <c r="U123"/>
  <c r="AM123"/>
  <c r="F124"/>
  <c r="Q124"/>
  <c r="R124"/>
  <c r="S124"/>
  <c r="U124"/>
  <c r="AM124"/>
  <c r="F125"/>
  <c r="Q125"/>
  <c r="R125"/>
  <c r="S125"/>
  <c r="U125"/>
  <c r="AM125"/>
  <c r="F126"/>
  <c r="Q126"/>
  <c r="R126"/>
  <c r="S126"/>
  <c r="U126"/>
  <c r="AM126"/>
  <c r="F127"/>
  <c r="Q127"/>
  <c r="R127"/>
  <c r="S127"/>
  <c r="U127"/>
  <c r="AM127"/>
  <c r="F128"/>
  <c r="Q128"/>
  <c r="R128"/>
  <c r="S128"/>
  <c r="U128"/>
  <c r="AM128"/>
  <c r="F129"/>
  <c r="Q129"/>
  <c r="R129"/>
  <c r="S129"/>
  <c r="U129"/>
  <c r="AM129"/>
  <c r="F130"/>
  <c r="Q130"/>
  <c r="R130"/>
  <c r="S130"/>
  <c r="U130"/>
  <c r="AM130"/>
  <c r="F131"/>
  <c r="Q131"/>
  <c r="R131"/>
  <c r="S131"/>
  <c r="U131"/>
  <c r="AM131"/>
  <c r="F132"/>
  <c r="Q132"/>
  <c r="R132"/>
  <c r="S132"/>
  <c r="U132"/>
  <c r="AM132"/>
  <c r="F133"/>
  <c r="Q133"/>
  <c r="R133"/>
  <c r="S133"/>
  <c r="U133"/>
  <c r="AM133"/>
  <c r="F134"/>
  <c r="Q134"/>
  <c r="R134"/>
  <c r="S134"/>
  <c r="U134"/>
  <c r="AM134"/>
  <c r="F135"/>
  <c r="Q135"/>
  <c r="R135"/>
  <c r="S135"/>
  <c r="U135"/>
  <c r="AM135"/>
  <c r="F136"/>
  <c r="Q136"/>
  <c r="R136"/>
  <c r="S136"/>
  <c r="U136"/>
  <c r="AM136"/>
  <c r="F137"/>
  <c r="Q137"/>
  <c r="R137"/>
  <c r="S137"/>
  <c r="U137"/>
  <c r="AM137"/>
  <c r="F138"/>
  <c r="Q138"/>
  <c r="R138"/>
  <c r="S138"/>
  <c r="U138"/>
  <c r="AM138"/>
  <c r="F139"/>
  <c r="Q139"/>
  <c r="R139"/>
  <c r="S139"/>
  <c r="U139"/>
  <c r="AM139"/>
  <c r="F140"/>
  <c r="Q140"/>
  <c r="R140"/>
  <c r="S140"/>
  <c r="U140"/>
  <c r="AM140"/>
  <c r="F141"/>
  <c r="Q141"/>
  <c r="R141"/>
  <c r="S141"/>
  <c r="U141"/>
  <c r="AM141"/>
  <c r="F142"/>
  <c r="Q142"/>
  <c r="R142"/>
  <c r="S142"/>
  <c r="U142"/>
  <c r="AM142"/>
  <c r="F143"/>
  <c r="Q143"/>
  <c r="R143"/>
  <c r="S143"/>
  <c r="U143"/>
  <c r="AM143"/>
  <c r="F144"/>
  <c r="Q144"/>
  <c r="R144"/>
  <c r="S144"/>
  <c r="U144"/>
  <c r="AM144"/>
  <c r="F145"/>
  <c r="Q145"/>
  <c r="R145"/>
  <c r="S145"/>
  <c r="U145"/>
  <c r="AM145"/>
  <c r="F146"/>
  <c r="Q146"/>
  <c r="R146"/>
  <c r="S146"/>
  <c r="U146"/>
  <c r="AM146"/>
  <c r="F147"/>
  <c r="Q147"/>
  <c r="R147"/>
  <c r="S147"/>
  <c r="U147"/>
  <c r="AM147"/>
  <c r="F148"/>
  <c r="Q148"/>
  <c r="R148"/>
  <c r="S148"/>
  <c r="U148"/>
  <c r="AM148"/>
  <c r="F149"/>
  <c r="Q149"/>
  <c r="R149"/>
  <c r="S149"/>
  <c r="U149"/>
  <c r="AM149"/>
  <c r="F150"/>
  <c r="Q150"/>
  <c r="R150"/>
  <c r="S150"/>
  <c r="U150"/>
  <c r="AM150"/>
  <c r="F151"/>
  <c r="Q151"/>
  <c r="R151"/>
  <c r="S151"/>
  <c r="U151"/>
  <c r="AM151"/>
  <c r="F152"/>
  <c r="Q152"/>
  <c r="R152"/>
  <c r="S152"/>
  <c r="U152"/>
  <c r="AM152"/>
  <c r="F153"/>
  <c r="Q153"/>
  <c r="R153"/>
  <c r="S153"/>
  <c r="U153"/>
  <c r="AM153"/>
  <c r="F154"/>
  <c r="Q154"/>
  <c r="R154"/>
  <c r="S154"/>
  <c r="U154"/>
  <c r="AM154"/>
  <c r="F155"/>
  <c r="Q155"/>
  <c r="R155"/>
  <c r="S155"/>
  <c r="U155"/>
  <c r="AM155"/>
  <c r="F156"/>
  <c r="Q156"/>
  <c r="R156"/>
  <c r="S156"/>
  <c r="U156"/>
  <c r="AM156"/>
  <c r="M43" i="45"/>
  <c r="O46" i="43"/>
  <c r="CB46" s="1"/>
  <c r="S46"/>
  <c r="T46"/>
  <c r="U46"/>
  <c r="E43" i="45" s="1"/>
  <c r="V46" i="43"/>
  <c r="F43" i="45" s="1"/>
  <c r="W46" i="43"/>
  <c r="G43" i="45" s="1"/>
  <c r="AB46" i="43"/>
  <c r="AM46"/>
  <c r="AN46"/>
  <c r="DF46"/>
  <c r="DV46"/>
  <c r="EC46"/>
  <c r="EF46"/>
  <c r="EG46"/>
  <c r="EH46"/>
  <c r="P43" i="45"/>
  <c r="FG46" i="43"/>
  <c r="M44" i="45"/>
  <c r="O47" i="43"/>
  <c r="S47"/>
  <c r="T47"/>
  <c r="U47"/>
  <c r="E44" i="45" s="1"/>
  <c r="V47" i="43"/>
  <c r="W47"/>
  <c r="AB47"/>
  <c r="AM47"/>
  <c r="AN47"/>
  <c r="DF47"/>
  <c r="Q44" i="45" s="1"/>
  <c r="R44" s="1"/>
  <c r="DV47" i="43"/>
  <c r="EC47"/>
  <c r="EF47"/>
  <c r="EG47"/>
  <c r="EH47"/>
  <c r="P44" i="45"/>
  <c r="FG47" i="43"/>
  <c r="M45" i="45"/>
  <c r="O48" i="43"/>
  <c r="S48"/>
  <c r="T48"/>
  <c r="U48"/>
  <c r="E45" i="45" s="1"/>
  <c r="V48" i="43"/>
  <c r="F45" i="45" s="1"/>
  <c r="W48" i="43"/>
  <c r="G45" i="45" s="1"/>
  <c r="AB48" i="43"/>
  <c r="AM48"/>
  <c r="AN48"/>
  <c r="DF48"/>
  <c r="Q45" i="45" s="1"/>
  <c r="R45" s="1"/>
  <c r="DV48" i="43"/>
  <c r="EC48"/>
  <c r="EF48"/>
  <c r="EG48"/>
  <c r="EH48"/>
  <c r="P45" i="45"/>
  <c r="FG48" i="43"/>
  <c r="O49"/>
  <c r="S49"/>
  <c r="T49"/>
  <c r="U49"/>
  <c r="E46" i="45" s="1"/>
  <c r="V49" i="43"/>
  <c r="W49"/>
  <c r="G46" i="45" s="1"/>
  <c r="AB49" i="43"/>
  <c r="AM49"/>
  <c r="AN49"/>
  <c r="DF49"/>
  <c r="Q46" i="45" s="1"/>
  <c r="R46" s="1"/>
  <c r="DV49" i="43"/>
  <c r="EC49"/>
  <c r="EF49"/>
  <c r="EG49"/>
  <c r="EH49"/>
  <c r="P46" i="45"/>
  <c r="FG49" i="43"/>
  <c r="O50"/>
  <c r="S50"/>
  <c r="T50"/>
  <c r="U50"/>
  <c r="V50"/>
  <c r="F47" i="45" s="1"/>
  <c r="W50" i="43"/>
  <c r="G47" i="45" s="1"/>
  <c r="AB50" i="43"/>
  <c r="AM50"/>
  <c r="AN50"/>
  <c r="DF50"/>
  <c r="Q47" i="45" s="1"/>
  <c r="R47" s="1"/>
  <c r="DV50" i="43"/>
  <c r="EC50"/>
  <c r="EF50"/>
  <c r="EG50"/>
  <c r="EH50"/>
  <c r="P47" i="45"/>
  <c r="FG50" i="43"/>
  <c r="O51"/>
  <c r="CB51" s="1"/>
  <c r="S51"/>
  <c r="T51"/>
  <c r="U51"/>
  <c r="E48" i="45" s="1"/>
  <c r="V51" i="43"/>
  <c r="F48" i="45" s="1"/>
  <c r="W51" i="43"/>
  <c r="AB51"/>
  <c r="AM51"/>
  <c r="AN51"/>
  <c r="DF51"/>
  <c r="DV51"/>
  <c r="EC51"/>
  <c r="EF51"/>
  <c r="EG51"/>
  <c r="EH51"/>
  <c r="P48" i="45"/>
  <c r="FG51" i="43"/>
  <c r="M49" i="45"/>
  <c r="O52" i="43"/>
  <c r="S52"/>
  <c r="T52"/>
  <c r="U52"/>
  <c r="E49" i="45" s="1"/>
  <c r="V52" i="43"/>
  <c r="F49" i="45" s="1"/>
  <c r="W52" i="43"/>
  <c r="G49" i="45" s="1"/>
  <c r="AB52" i="43"/>
  <c r="AM52"/>
  <c r="AN52"/>
  <c r="DF52"/>
  <c r="DV52"/>
  <c r="EC52"/>
  <c r="EF52"/>
  <c r="EG52"/>
  <c r="EH52"/>
  <c r="P49" i="45"/>
  <c r="FG52" i="43"/>
  <c r="O53"/>
  <c r="CB53" s="1"/>
  <c r="S53"/>
  <c r="U53"/>
  <c r="E50" i="45" s="1"/>
  <c r="V53" i="43"/>
  <c r="W53"/>
  <c r="G50" i="45" s="1"/>
  <c r="AB53" i="43"/>
  <c r="AM53"/>
  <c r="AN53"/>
  <c r="DF53"/>
  <c r="DV53"/>
  <c r="EC53"/>
  <c r="EF53"/>
  <c r="EG53"/>
  <c r="EH53"/>
  <c r="P50" i="45"/>
  <c r="FG53" i="43"/>
  <c r="M51" i="45"/>
  <c r="O54" i="43"/>
  <c r="CB54" s="1"/>
  <c r="S54"/>
  <c r="T54"/>
  <c r="U54"/>
  <c r="V54"/>
  <c r="F51" i="45" s="1"/>
  <c r="W54" i="43"/>
  <c r="G51" i="45" s="1"/>
  <c r="AB54" i="43"/>
  <c r="AM54"/>
  <c r="AN54"/>
  <c r="DF54"/>
  <c r="Q51" i="45" s="1"/>
  <c r="R51" s="1"/>
  <c r="DV54" i="43"/>
  <c r="EC54"/>
  <c r="EF54"/>
  <c r="EG54"/>
  <c r="EH54"/>
  <c r="P51" i="45"/>
  <c r="FG54" i="43"/>
  <c r="M52" i="45"/>
  <c r="O55" i="43"/>
  <c r="S55"/>
  <c r="T55"/>
  <c r="U55"/>
  <c r="E52" i="45" s="1"/>
  <c r="V55" i="43"/>
  <c r="F52" i="45" s="1"/>
  <c r="W55" i="43"/>
  <c r="G52" i="45" s="1"/>
  <c r="AB55" i="43"/>
  <c r="AM55"/>
  <c r="AN55"/>
  <c r="DF55"/>
  <c r="DV55"/>
  <c r="EC55"/>
  <c r="EF55"/>
  <c r="EG55"/>
  <c r="EH55"/>
  <c r="P52" i="45"/>
  <c r="FG55" i="43"/>
  <c r="M53" i="45"/>
  <c r="O56" i="43"/>
  <c r="S56"/>
  <c r="T56"/>
  <c r="U56"/>
  <c r="E53" i="45" s="1"/>
  <c r="V56" i="43"/>
  <c r="F53" i="45" s="1"/>
  <c r="W56" i="43"/>
  <c r="G53" i="45" s="1"/>
  <c r="AB56" i="43"/>
  <c r="AM56"/>
  <c r="AN56"/>
  <c r="DF56"/>
  <c r="Q53" i="45" s="1"/>
  <c r="R53" s="1"/>
  <c r="DV56" i="43"/>
  <c r="EC56"/>
  <c r="EF56"/>
  <c r="EG56"/>
  <c r="EH56"/>
  <c r="P53" i="45"/>
  <c r="FG56" i="43"/>
  <c r="M54" i="45"/>
  <c r="O57" i="43"/>
  <c r="S57"/>
  <c r="T57"/>
  <c r="U57"/>
  <c r="V57"/>
  <c r="F54" i="45" s="1"/>
  <c r="W57" i="43"/>
  <c r="AB57"/>
  <c r="AM57"/>
  <c r="AN57"/>
  <c r="DF57"/>
  <c r="DV57"/>
  <c r="EC57"/>
  <c r="EF57"/>
  <c r="EG57"/>
  <c r="EH57"/>
  <c r="P54" i="45"/>
  <c r="FG57" i="43"/>
  <c r="M55" i="45"/>
  <c r="O58" i="43"/>
  <c r="CB58" s="1"/>
  <c r="S58"/>
  <c r="T58"/>
  <c r="U58"/>
  <c r="E55" i="45" s="1"/>
  <c r="V58" i="43"/>
  <c r="W58"/>
  <c r="G55" i="45" s="1"/>
  <c r="AB58" i="43"/>
  <c r="AM58"/>
  <c r="AN58"/>
  <c r="DF58"/>
  <c r="DV58"/>
  <c r="EC58"/>
  <c r="EF58"/>
  <c r="EG58"/>
  <c r="EH58"/>
  <c r="P55" i="45"/>
  <c r="FG58" i="43"/>
  <c r="O59"/>
  <c r="CB59" s="1"/>
  <c r="S59"/>
  <c r="T59"/>
  <c r="U59"/>
  <c r="E56" i="45" s="1"/>
  <c r="V59" i="43"/>
  <c r="F56" i="45" s="1"/>
  <c r="W59" i="43"/>
  <c r="G56" i="45" s="1"/>
  <c r="AB59" i="43"/>
  <c r="AM59"/>
  <c r="AN59"/>
  <c r="DF59"/>
  <c r="Q56" i="45" s="1"/>
  <c r="R56" s="1"/>
  <c r="DV59" i="43"/>
  <c r="EC59"/>
  <c r="EF59"/>
  <c r="EG59"/>
  <c r="EH59"/>
  <c r="P56" i="45"/>
  <c r="FG59" i="43"/>
  <c r="M57" i="45"/>
  <c r="O60" i="43"/>
  <c r="CB60" s="1"/>
  <c r="S60"/>
  <c r="T60"/>
  <c r="U60"/>
  <c r="V60"/>
  <c r="F57" i="45" s="1"/>
  <c r="W60" i="43"/>
  <c r="G57" i="45" s="1"/>
  <c r="AB60" i="43"/>
  <c r="AM60"/>
  <c r="AN60"/>
  <c r="DF60"/>
  <c r="Q57" i="45" s="1"/>
  <c r="R57" s="1"/>
  <c r="DV60" i="43"/>
  <c r="EC60"/>
  <c r="EF60"/>
  <c r="EG60"/>
  <c r="EH60"/>
  <c r="P57" i="45"/>
  <c r="FG60" i="43"/>
  <c r="M58" i="45"/>
  <c r="O61" i="43"/>
  <c r="S61"/>
  <c r="T61"/>
  <c r="U61"/>
  <c r="V61"/>
  <c r="F58" i="45" s="1"/>
  <c r="W61" i="43"/>
  <c r="G58" i="45" s="1"/>
  <c r="AB61" i="43"/>
  <c r="AM61"/>
  <c r="AN61"/>
  <c r="DF61"/>
  <c r="DV61"/>
  <c r="EC61"/>
  <c r="EF61"/>
  <c r="EG61"/>
  <c r="EH61"/>
  <c r="P58" i="45"/>
  <c r="FG61" i="43"/>
  <c r="M59" i="45"/>
  <c r="O62" i="43"/>
  <c r="S62"/>
  <c r="T62"/>
  <c r="U62"/>
  <c r="E59" i="45" s="1"/>
  <c r="V62" i="43"/>
  <c r="F59" i="45" s="1"/>
  <c r="W62" i="43"/>
  <c r="G59" i="45" s="1"/>
  <c r="AB62" i="43"/>
  <c r="AM62"/>
  <c r="AN62"/>
  <c r="DF62"/>
  <c r="Q59" i="45" s="1"/>
  <c r="R59" s="1"/>
  <c r="DV62" i="43"/>
  <c r="EC62"/>
  <c r="EF62"/>
  <c r="EG62"/>
  <c r="EH62"/>
  <c r="P59" i="45"/>
  <c r="FG62" i="43"/>
  <c r="O63"/>
  <c r="S63"/>
  <c r="T63"/>
  <c r="U63"/>
  <c r="E60" i="45" s="1"/>
  <c r="V63" i="43"/>
  <c r="F60" i="45" s="1"/>
  <c r="W63" i="43"/>
  <c r="G60" i="45" s="1"/>
  <c r="AB63" i="43"/>
  <c r="AM63"/>
  <c r="AN63"/>
  <c r="DF63"/>
  <c r="DV63"/>
  <c r="EC63"/>
  <c r="EF63"/>
  <c r="EG63"/>
  <c r="EH63"/>
  <c r="P60" i="45"/>
  <c r="FG63" i="43"/>
  <c r="M61" i="45"/>
  <c r="O64" i="43"/>
  <c r="S64"/>
  <c r="T64"/>
  <c r="U64"/>
  <c r="E61" i="45" s="1"/>
  <c r="V64" i="43"/>
  <c r="F61" i="45" s="1"/>
  <c r="W64" i="43"/>
  <c r="G61" i="45" s="1"/>
  <c r="AB64" i="43"/>
  <c r="AM64"/>
  <c r="AN64"/>
  <c r="DF64"/>
  <c r="DV64"/>
  <c r="EC64"/>
  <c r="EF64"/>
  <c r="EG64"/>
  <c r="EH64"/>
  <c r="P61" i="45"/>
  <c r="FG64" i="43"/>
  <c r="M62" i="45"/>
  <c r="O65" i="43"/>
  <c r="CB65" s="1"/>
  <c r="S65"/>
  <c r="T65"/>
  <c r="U65"/>
  <c r="E62" i="45" s="1"/>
  <c r="V65" i="43"/>
  <c r="F62" i="45" s="1"/>
  <c r="W65" i="43"/>
  <c r="AB65"/>
  <c r="AM65"/>
  <c r="AN65"/>
  <c r="DF65"/>
  <c r="Q62" i="45" s="1"/>
  <c r="R62" s="1"/>
  <c r="DV65" i="43"/>
  <c r="EC65"/>
  <c r="EF65"/>
  <c r="EG65"/>
  <c r="EH65"/>
  <c r="P62" i="45"/>
  <c r="FG65" i="43"/>
  <c r="M63" i="45"/>
  <c r="O66" i="43"/>
  <c r="S66"/>
  <c r="T66"/>
  <c r="U66"/>
  <c r="E63" i="45" s="1"/>
  <c r="V66" i="43"/>
  <c r="F63" i="45" s="1"/>
  <c r="W66" i="43"/>
  <c r="G63" i="45" s="1"/>
  <c r="AB66" i="43"/>
  <c r="AM66"/>
  <c r="AN66"/>
  <c r="DF66"/>
  <c r="DV66"/>
  <c r="EC66"/>
  <c r="EF66"/>
  <c r="EG66"/>
  <c r="EH66"/>
  <c r="P63" i="45"/>
  <c r="FG66" i="43"/>
  <c r="M64" i="45"/>
  <c r="O67" i="43"/>
  <c r="S67"/>
  <c r="T67"/>
  <c r="U67"/>
  <c r="V67"/>
  <c r="F64" i="45" s="1"/>
  <c r="W67" i="43"/>
  <c r="G64" i="45" s="1"/>
  <c r="AB67" i="43"/>
  <c r="AM67"/>
  <c r="AN67"/>
  <c r="DF67"/>
  <c r="DV67"/>
  <c r="EC67"/>
  <c r="EF67"/>
  <c r="EG67"/>
  <c r="EH67"/>
  <c r="P64" i="45"/>
  <c r="FG67" i="43"/>
  <c r="M65" i="45"/>
  <c r="O68" i="43"/>
  <c r="BG68" s="1"/>
  <c r="S68"/>
  <c r="T68"/>
  <c r="U68"/>
  <c r="V68"/>
  <c r="F65" i="45" s="1"/>
  <c r="W68" i="43"/>
  <c r="G65" i="45" s="1"/>
  <c r="AB68" i="43"/>
  <c r="AM68"/>
  <c r="AN68"/>
  <c r="DF68"/>
  <c r="Q65" i="45" s="1"/>
  <c r="R65" s="1"/>
  <c r="DV68" i="43"/>
  <c r="EC68"/>
  <c r="EF68"/>
  <c r="EG68"/>
  <c r="EH68"/>
  <c r="P65" i="45"/>
  <c r="FG68" i="43"/>
  <c r="M66" i="45"/>
  <c r="O69" i="43"/>
  <c r="CB69" s="1"/>
  <c r="S69"/>
  <c r="T69"/>
  <c r="U69"/>
  <c r="E66" i="45" s="1"/>
  <c r="V69" i="43"/>
  <c r="F66" i="45" s="1"/>
  <c r="W69" i="43"/>
  <c r="AB69"/>
  <c r="AM69"/>
  <c r="AN69"/>
  <c r="DF69"/>
  <c r="Q66" i="45" s="1"/>
  <c r="R66" s="1"/>
  <c r="DV69" i="43"/>
  <c r="EC69"/>
  <c r="EF69"/>
  <c r="EG69"/>
  <c r="EH69"/>
  <c r="P66" i="45"/>
  <c r="FG69" i="43"/>
  <c r="M67" i="45"/>
  <c r="O70" i="43"/>
  <c r="S70"/>
  <c r="T70"/>
  <c r="U70"/>
  <c r="V70"/>
  <c r="W70"/>
  <c r="G67" i="45" s="1"/>
  <c r="AB70" i="43"/>
  <c r="AM70"/>
  <c r="AN70"/>
  <c r="DF70"/>
  <c r="DV70"/>
  <c r="EC70"/>
  <c r="EF70"/>
  <c r="EG70"/>
  <c r="EH70"/>
  <c r="P67" i="45"/>
  <c r="FG70" i="43"/>
  <c r="M68" i="45"/>
  <c r="O71" i="43"/>
  <c r="CB71" s="1"/>
  <c r="S71"/>
  <c r="T71"/>
  <c r="U71"/>
  <c r="E68" i="45" s="1"/>
  <c r="V71" i="43"/>
  <c r="F68" i="45" s="1"/>
  <c r="W71" i="43"/>
  <c r="AB71"/>
  <c r="AM71"/>
  <c r="AN71"/>
  <c r="DF71"/>
  <c r="Q68" i="45" s="1"/>
  <c r="R68" s="1"/>
  <c r="DV71" i="43"/>
  <c r="EC71"/>
  <c r="EF71"/>
  <c r="EG71"/>
  <c r="EH71"/>
  <c r="P68" i="45"/>
  <c r="FG71" i="43"/>
  <c r="O72"/>
  <c r="S72"/>
  <c r="T72"/>
  <c r="U72"/>
  <c r="V72"/>
  <c r="F69" i="45" s="1"/>
  <c r="W72" i="43"/>
  <c r="G69" i="45" s="1"/>
  <c r="AB72" i="43"/>
  <c r="AM72"/>
  <c r="AN72"/>
  <c r="DF72"/>
  <c r="DV72"/>
  <c r="EC72"/>
  <c r="EF72"/>
  <c r="EG72"/>
  <c r="EH72"/>
  <c r="P69" i="45"/>
  <c r="FG72" i="43"/>
  <c r="M70" i="45"/>
  <c r="O73" i="43"/>
  <c r="S73"/>
  <c r="T73"/>
  <c r="U73"/>
  <c r="V73"/>
  <c r="F70" i="45" s="1"/>
  <c r="W73" i="43"/>
  <c r="G70" i="45" s="1"/>
  <c r="AB73" i="43"/>
  <c r="AM73"/>
  <c r="AN73"/>
  <c r="DF73"/>
  <c r="DV73"/>
  <c r="EC73"/>
  <c r="EF73"/>
  <c r="EG73"/>
  <c r="EH73"/>
  <c r="P70" i="45"/>
  <c r="FG73" i="43"/>
  <c r="M71" i="45"/>
  <c r="O74" i="43"/>
  <c r="S74"/>
  <c r="T74"/>
  <c r="U74"/>
  <c r="V74"/>
  <c r="F71" i="45" s="1"/>
  <c r="W74" i="43"/>
  <c r="G71" i="45" s="1"/>
  <c r="AB74" i="43"/>
  <c r="AM74"/>
  <c r="AN74"/>
  <c r="DF74"/>
  <c r="DV74"/>
  <c r="EC74"/>
  <c r="EF74"/>
  <c r="EG74"/>
  <c r="EH74"/>
  <c r="P71" i="45"/>
  <c r="FG74" i="43"/>
  <c r="O75"/>
  <c r="S75"/>
  <c r="T75"/>
  <c r="U75"/>
  <c r="E72" i="45" s="1"/>
  <c r="V75" i="43"/>
  <c r="W75"/>
  <c r="G72" i="45" s="1"/>
  <c r="AB75" i="43"/>
  <c r="AM75"/>
  <c r="AN75"/>
  <c r="DF75"/>
  <c r="Q72" i="45" s="1"/>
  <c r="R72" s="1"/>
  <c r="DV75" i="43"/>
  <c r="EC75"/>
  <c r="EF75"/>
  <c r="EG75"/>
  <c r="EH75"/>
  <c r="P72" i="45"/>
  <c r="FG75" i="43"/>
  <c r="M73" i="45"/>
  <c r="O76" i="43"/>
  <c r="S76"/>
  <c r="T76"/>
  <c r="U76"/>
  <c r="E73" i="45" s="1"/>
  <c r="V76" i="43"/>
  <c r="F73" i="45" s="1"/>
  <c r="W76" i="43"/>
  <c r="G73" i="45" s="1"/>
  <c r="AB76" i="43"/>
  <c r="AM76"/>
  <c r="AN76"/>
  <c r="DF76"/>
  <c r="DV76"/>
  <c r="EC76"/>
  <c r="EF76"/>
  <c r="EG76"/>
  <c r="EH76"/>
  <c r="P73" i="45"/>
  <c r="FG76" i="43"/>
  <c r="M74" i="45"/>
  <c r="O77" i="43"/>
  <c r="S77"/>
  <c r="T77"/>
  <c r="U77"/>
  <c r="V77"/>
  <c r="F74" i="45" s="1"/>
  <c r="W77" i="43"/>
  <c r="G74" i="45" s="1"/>
  <c r="AB77" i="43"/>
  <c r="AM77"/>
  <c r="AN77"/>
  <c r="DF77"/>
  <c r="DV77"/>
  <c r="EC77"/>
  <c r="EF77"/>
  <c r="EG77"/>
  <c r="EH77"/>
  <c r="P74" i="45"/>
  <c r="FG77" i="43"/>
  <c r="O78"/>
  <c r="S78"/>
  <c r="T78"/>
  <c r="U78"/>
  <c r="V78"/>
  <c r="F75" i="45" s="1"/>
  <c r="W78" i="43"/>
  <c r="G75" i="45" s="1"/>
  <c r="AB78" i="43"/>
  <c r="AM78"/>
  <c r="AN78"/>
  <c r="DF78"/>
  <c r="Q75" i="45" s="1"/>
  <c r="R75" s="1"/>
  <c r="DV78" i="43"/>
  <c r="EC78"/>
  <c r="EF78"/>
  <c r="EG78"/>
  <c r="EH78"/>
  <c r="P75" i="45"/>
  <c r="FG78" i="43"/>
  <c r="M76" i="45"/>
  <c r="O79" i="43"/>
  <c r="CB79" s="1"/>
  <c r="S79"/>
  <c r="T79"/>
  <c r="U79"/>
  <c r="E76" i="45" s="1"/>
  <c r="V79" i="43"/>
  <c r="F76" i="45" s="1"/>
  <c r="W79" i="43"/>
  <c r="G76" i="45" s="1"/>
  <c r="AB79" i="43"/>
  <c r="AM79"/>
  <c r="AN79"/>
  <c r="DF79"/>
  <c r="DV79"/>
  <c r="EC79"/>
  <c r="EF79"/>
  <c r="EG79"/>
  <c r="EH79"/>
  <c r="P76" i="45"/>
  <c r="FG79" i="43"/>
  <c r="O80"/>
  <c r="S80"/>
  <c r="T80"/>
  <c r="U80"/>
  <c r="E77" i="45" s="1"/>
  <c r="V80" i="43"/>
  <c r="W80"/>
  <c r="G77" i="45" s="1"/>
  <c r="AB80" i="43"/>
  <c r="AM80"/>
  <c r="AN80"/>
  <c r="DF80"/>
  <c r="DV80"/>
  <c r="EC80"/>
  <c r="EF80"/>
  <c r="EG80"/>
  <c r="EH80"/>
  <c r="P77" i="45"/>
  <c r="FG80" i="43"/>
  <c r="M78" i="45"/>
  <c r="O81" i="43"/>
  <c r="S81"/>
  <c r="T81"/>
  <c r="U81"/>
  <c r="V81"/>
  <c r="F78" i="45" s="1"/>
  <c r="W81" i="43"/>
  <c r="AB81"/>
  <c r="AM81"/>
  <c r="AN81"/>
  <c r="DF81"/>
  <c r="DV81"/>
  <c r="EC81"/>
  <c r="EF81"/>
  <c r="EG81"/>
  <c r="EH81"/>
  <c r="P78" i="45"/>
  <c r="FG81" i="43"/>
  <c r="M79" i="45"/>
  <c r="O82" i="43"/>
  <c r="CU82" s="1"/>
  <c r="S82"/>
  <c r="T82"/>
  <c r="U82"/>
  <c r="E79" i="45" s="1"/>
  <c r="V82" i="43"/>
  <c r="F79" i="45" s="1"/>
  <c r="W82" i="43"/>
  <c r="G79" i="45" s="1"/>
  <c r="AB82" i="43"/>
  <c r="AM82"/>
  <c r="AN82"/>
  <c r="DF82"/>
  <c r="Q79" i="45" s="1"/>
  <c r="R79" s="1"/>
  <c r="DV82" i="43"/>
  <c r="EC82"/>
  <c r="EF82"/>
  <c r="EG82"/>
  <c r="EH82"/>
  <c r="P79" i="45"/>
  <c r="FG82" i="43"/>
  <c r="O83"/>
  <c r="CB83" s="1"/>
  <c r="S83"/>
  <c r="T83"/>
  <c r="U83"/>
  <c r="V83"/>
  <c r="W83"/>
  <c r="AB83"/>
  <c r="AM83"/>
  <c r="AN83"/>
  <c r="DF83"/>
  <c r="Q80" i="45" s="1"/>
  <c r="R80" s="1"/>
  <c r="DV83" i="43"/>
  <c r="EC83"/>
  <c r="EF83"/>
  <c r="EG83"/>
  <c r="EH83"/>
  <c r="P80" i="45"/>
  <c r="FG83" i="43"/>
  <c r="M81" i="45"/>
  <c r="O84" i="43"/>
  <c r="CB84" s="1"/>
  <c r="S84"/>
  <c r="T84"/>
  <c r="U84"/>
  <c r="E81" i="45" s="1"/>
  <c r="V84" i="43"/>
  <c r="F81" i="45" s="1"/>
  <c r="W84" i="43"/>
  <c r="G81" i="45" s="1"/>
  <c r="AB84" i="43"/>
  <c r="AM84"/>
  <c r="AN84"/>
  <c r="DF84"/>
  <c r="DV84"/>
  <c r="EC84"/>
  <c r="EF84"/>
  <c r="EG84"/>
  <c r="EH84"/>
  <c r="P81" i="45"/>
  <c r="FG84" i="43"/>
  <c r="M82" i="45"/>
  <c r="O85" i="43"/>
  <c r="S85"/>
  <c r="T85"/>
  <c r="U85"/>
  <c r="E82" i="45" s="1"/>
  <c r="V85" i="43"/>
  <c r="W85"/>
  <c r="G82" i="45" s="1"/>
  <c r="AB85" i="43"/>
  <c r="AM85"/>
  <c r="AN85"/>
  <c r="DF85"/>
  <c r="Q82" i="45" s="1"/>
  <c r="R82" s="1"/>
  <c r="DV85" i="43"/>
  <c r="EC85"/>
  <c r="EF85"/>
  <c r="EG85"/>
  <c r="EH85"/>
  <c r="P82" i="45"/>
  <c r="FG85" i="43"/>
  <c r="M83" i="45"/>
  <c r="O86" i="43"/>
  <c r="CB86" s="1"/>
  <c r="S86"/>
  <c r="T86"/>
  <c r="U86"/>
  <c r="E83" i="45" s="1"/>
  <c r="V86" i="43"/>
  <c r="F83" i="45" s="1"/>
  <c r="W86" i="43"/>
  <c r="G83" i="45" s="1"/>
  <c r="AB86" i="43"/>
  <c r="AM86"/>
  <c r="AN86"/>
  <c r="DF86"/>
  <c r="DV86"/>
  <c r="EC86"/>
  <c r="EF86"/>
  <c r="EG86"/>
  <c r="EH86"/>
  <c r="P83" i="45"/>
  <c r="FG86" i="43"/>
  <c r="O87"/>
  <c r="S87"/>
  <c r="T87"/>
  <c r="U87"/>
  <c r="V87"/>
  <c r="W87"/>
  <c r="G84" i="45" s="1"/>
  <c r="AB87" i="43"/>
  <c r="AM87"/>
  <c r="AN87"/>
  <c r="DF87"/>
  <c r="Q84" i="45" s="1"/>
  <c r="R84" s="1"/>
  <c r="DV87" i="43"/>
  <c r="EC87"/>
  <c r="EF87"/>
  <c r="EG87"/>
  <c r="EH87"/>
  <c r="P84" i="45"/>
  <c r="FG87" i="43"/>
  <c r="M85" i="45"/>
  <c r="O88" i="43"/>
  <c r="S88"/>
  <c r="T88"/>
  <c r="U88"/>
  <c r="E85" i="45" s="1"/>
  <c r="V88" i="43"/>
  <c r="F85" i="45" s="1"/>
  <c r="W88" i="43"/>
  <c r="G85" i="45" s="1"/>
  <c r="AB88" i="43"/>
  <c r="AM88"/>
  <c r="AN88"/>
  <c r="DF88"/>
  <c r="DV88"/>
  <c r="EC88"/>
  <c r="EF88"/>
  <c r="EG88"/>
  <c r="EH88"/>
  <c r="P85" i="45"/>
  <c r="FG88" i="43"/>
  <c r="M86" i="45"/>
  <c r="O89" i="43"/>
  <c r="S89"/>
  <c r="T89"/>
  <c r="U89"/>
  <c r="E86" i="45" s="1"/>
  <c r="V89" i="43"/>
  <c r="W89"/>
  <c r="AB89"/>
  <c r="AM89"/>
  <c r="AN89"/>
  <c r="DF89"/>
  <c r="DV89"/>
  <c r="EC89"/>
  <c r="EF89"/>
  <c r="EG89"/>
  <c r="EH89"/>
  <c r="P86" i="45"/>
  <c r="FG89" i="43"/>
  <c r="O90"/>
  <c r="S90"/>
  <c r="T90"/>
  <c r="U90"/>
  <c r="V90"/>
  <c r="F87" i="45" s="1"/>
  <c r="W90" i="43"/>
  <c r="G87" i="45" s="1"/>
  <c r="AB90" i="43"/>
  <c r="AM90"/>
  <c r="AN90"/>
  <c r="DF90"/>
  <c r="Q87" i="45" s="1"/>
  <c r="R87" s="1"/>
  <c r="DV90" i="43"/>
  <c r="EC90"/>
  <c r="EF90"/>
  <c r="EG90"/>
  <c r="EH90"/>
  <c r="P87" i="45"/>
  <c r="FG90" i="43"/>
  <c r="M88" i="45"/>
  <c r="O91" i="43"/>
  <c r="S91"/>
  <c r="T91"/>
  <c r="U91"/>
  <c r="E88" i="45" s="1"/>
  <c r="V91" i="43"/>
  <c r="F88" i="45" s="1"/>
  <c r="W91" i="43"/>
  <c r="G88" i="45" s="1"/>
  <c r="AB91" i="43"/>
  <c r="AM91"/>
  <c r="AN91"/>
  <c r="DF91"/>
  <c r="DV91"/>
  <c r="EC91"/>
  <c r="EF91"/>
  <c r="EG91"/>
  <c r="EH91"/>
  <c r="P88" i="45"/>
  <c r="FG91" i="43"/>
  <c r="M89" i="45"/>
  <c r="O92" i="43"/>
  <c r="S92"/>
  <c r="T92"/>
  <c r="U92"/>
  <c r="V92"/>
  <c r="W92"/>
  <c r="G89" i="45" s="1"/>
  <c r="AB92" i="43"/>
  <c r="AM92"/>
  <c r="AN92"/>
  <c r="DF92"/>
  <c r="Q89" i="45" s="1"/>
  <c r="R89" s="1"/>
  <c r="DV92" i="43"/>
  <c r="EC92"/>
  <c r="EF92"/>
  <c r="EG92"/>
  <c r="EH92"/>
  <c r="P89" i="45"/>
  <c r="FG92" i="43"/>
  <c r="M90" i="45"/>
  <c r="O93" i="43"/>
  <c r="FE93" s="1"/>
  <c r="S93"/>
  <c r="T93"/>
  <c r="U93"/>
  <c r="E90" i="45" s="1"/>
  <c r="V93" i="43"/>
  <c r="W93"/>
  <c r="G90" i="45" s="1"/>
  <c r="AB93" i="43"/>
  <c r="AM93"/>
  <c r="AN93"/>
  <c r="DF93"/>
  <c r="DV93"/>
  <c r="EC93"/>
  <c r="EF93"/>
  <c r="EG93"/>
  <c r="EH93"/>
  <c r="P90" i="45"/>
  <c r="FG93" i="43"/>
  <c r="M91" i="45"/>
  <c r="O94" i="43"/>
  <c r="CU94" s="1"/>
  <c r="S94"/>
  <c r="T94"/>
  <c r="U94"/>
  <c r="E91" i="45" s="1"/>
  <c r="V94" i="43"/>
  <c r="F91" i="45" s="1"/>
  <c r="W94" i="43"/>
  <c r="G91" i="45" s="1"/>
  <c r="AB94" i="43"/>
  <c r="AM94"/>
  <c r="AN94"/>
  <c r="DF94"/>
  <c r="Q91" i="45" s="1"/>
  <c r="R91" s="1"/>
  <c r="DV94" i="43"/>
  <c r="EC94"/>
  <c r="EF94"/>
  <c r="EG94"/>
  <c r="EH94"/>
  <c r="P91" i="45"/>
  <c r="FG94" i="43"/>
  <c r="M92" i="45"/>
  <c r="O95" i="43"/>
  <c r="S95"/>
  <c r="T95"/>
  <c r="U95"/>
  <c r="E92" i="45" s="1"/>
  <c r="V95" i="43"/>
  <c r="F92" i="45" s="1"/>
  <c r="W95" i="43"/>
  <c r="G92" i="45" s="1"/>
  <c r="AB95" i="43"/>
  <c r="AM95"/>
  <c r="AN95"/>
  <c r="DF95"/>
  <c r="Q92" i="45" s="1"/>
  <c r="R92" s="1"/>
  <c r="DV95" i="43"/>
  <c r="EC95"/>
  <c r="EF95"/>
  <c r="EG95"/>
  <c r="EH95"/>
  <c r="P92" i="45"/>
  <c r="FG95" i="43"/>
  <c r="M93" i="45"/>
  <c r="O96" i="43"/>
  <c r="S96"/>
  <c r="T96"/>
  <c r="U96"/>
  <c r="E93" i="45" s="1"/>
  <c r="V96" i="43"/>
  <c r="F93" i="45" s="1"/>
  <c r="W96" i="43"/>
  <c r="G93" i="45" s="1"/>
  <c r="AB96" i="43"/>
  <c r="AM96"/>
  <c r="AN96"/>
  <c r="DF96"/>
  <c r="DV96"/>
  <c r="EC96"/>
  <c r="EF96"/>
  <c r="EG96"/>
  <c r="EH96"/>
  <c r="P93" i="45"/>
  <c r="FG96" i="43"/>
  <c r="M94" i="45"/>
  <c r="O97" i="43"/>
  <c r="S97"/>
  <c r="T97"/>
  <c r="U97"/>
  <c r="V97"/>
  <c r="F94" i="45" s="1"/>
  <c r="W97" i="43"/>
  <c r="G94" i="45" s="1"/>
  <c r="AB97" i="43"/>
  <c r="AM97"/>
  <c r="AN97"/>
  <c r="DF97"/>
  <c r="Q94" i="45" s="1"/>
  <c r="R94" s="1"/>
  <c r="DV97" i="43"/>
  <c r="EC97"/>
  <c r="EF97"/>
  <c r="EG97"/>
  <c r="EH97"/>
  <c r="P94" i="45"/>
  <c r="FG97" i="43"/>
  <c r="M95" i="45"/>
  <c r="O98" i="43"/>
  <c r="S98"/>
  <c r="T98"/>
  <c r="U98"/>
  <c r="E95" i="45" s="1"/>
  <c r="V98" i="43"/>
  <c r="F95" i="45" s="1"/>
  <c r="W98" i="43"/>
  <c r="G95" i="45" s="1"/>
  <c r="AB98" i="43"/>
  <c r="AM98"/>
  <c r="AN98"/>
  <c r="DF98"/>
  <c r="DV98"/>
  <c r="EC98"/>
  <c r="EF98"/>
  <c r="EG98"/>
  <c r="EH98"/>
  <c r="P95" i="45"/>
  <c r="FG98" i="43"/>
  <c r="O99"/>
  <c r="FE99" s="1"/>
  <c r="S99"/>
  <c r="T99"/>
  <c r="U99"/>
  <c r="E96" i="45" s="1"/>
  <c r="V99" i="43"/>
  <c r="F96" i="45" s="1"/>
  <c r="W99" i="43"/>
  <c r="G96" i="45" s="1"/>
  <c r="AB99" i="43"/>
  <c r="AC99" s="1"/>
  <c r="AM99"/>
  <c r="AN99"/>
  <c r="DF99"/>
  <c r="Q96" i="45" s="1"/>
  <c r="R96" s="1"/>
  <c r="DV99" i="43"/>
  <c r="EC99"/>
  <c r="EF99"/>
  <c r="EG99"/>
  <c r="EH99"/>
  <c r="P96" i="45"/>
  <c r="FG99" i="43"/>
  <c r="M97" i="45"/>
  <c r="O100" i="43"/>
  <c r="S100"/>
  <c r="T100"/>
  <c r="U100"/>
  <c r="E97" i="45" s="1"/>
  <c r="V100" i="43"/>
  <c r="W100"/>
  <c r="G97" i="45" s="1"/>
  <c r="AB100" i="43"/>
  <c r="AM100"/>
  <c r="AN100"/>
  <c r="DF100"/>
  <c r="Q97" i="45" s="1"/>
  <c r="R97" s="1"/>
  <c r="DV100" i="43"/>
  <c r="EC100"/>
  <c r="EF100"/>
  <c r="EG100"/>
  <c r="EH100"/>
  <c r="P97" i="45"/>
  <c r="FG100" i="43"/>
  <c r="M98" i="45"/>
  <c r="O101" i="43"/>
  <c r="S101"/>
  <c r="T101"/>
  <c r="U101"/>
  <c r="E98" i="45" s="1"/>
  <c r="V101" i="43"/>
  <c r="F98" i="45" s="1"/>
  <c r="W101" i="43"/>
  <c r="G98" i="45" s="1"/>
  <c r="AB101" i="43"/>
  <c r="AM101"/>
  <c r="AN101"/>
  <c r="DF101"/>
  <c r="DV101"/>
  <c r="EC101"/>
  <c r="EF101"/>
  <c r="EG101"/>
  <c r="EH101"/>
  <c r="P98" i="45"/>
  <c r="FG101" i="43"/>
  <c r="M99" i="45"/>
  <c r="O102" i="43"/>
  <c r="S102"/>
  <c r="T102"/>
  <c r="U102"/>
  <c r="E99" i="45" s="1"/>
  <c r="V102" i="43"/>
  <c r="W102"/>
  <c r="G99" i="45" s="1"/>
  <c r="AB102" i="43"/>
  <c r="AM102"/>
  <c r="AN102"/>
  <c r="DF102"/>
  <c r="DV102"/>
  <c r="EC102"/>
  <c r="EF102"/>
  <c r="EG102"/>
  <c r="EH102"/>
  <c r="P99" i="45"/>
  <c r="FG102" i="43"/>
  <c r="M100" i="45"/>
  <c r="O103" i="43"/>
  <c r="S103"/>
  <c r="T103"/>
  <c r="U103"/>
  <c r="V103"/>
  <c r="F100" i="45" s="1"/>
  <c r="W103" i="43"/>
  <c r="G100" i="45" s="1"/>
  <c r="AB103" i="43"/>
  <c r="AM103"/>
  <c r="AN103"/>
  <c r="DF103"/>
  <c r="DV103"/>
  <c r="EC103"/>
  <c r="EF103"/>
  <c r="EG103"/>
  <c r="EH103"/>
  <c r="P100" i="45"/>
  <c r="FG103" i="43"/>
  <c r="M101" i="45"/>
  <c r="O104" i="43"/>
  <c r="FE104" s="1"/>
  <c r="S104"/>
  <c r="T104"/>
  <c r="U104"/>
  <c r="V104"/>
  <c r="F101" i="45" s="1"/>
  <c r="W104" i="43"/>
  <c r="G101" i="45" s="1"/>
  <c r="AB104" i="43"/>
  <c r="AM104"/>
  <c r="AN104"/>
  <c r="DF104"/>
  <c r="Q101" i="45" s="1"/>
  <c r="R101" s="1"/>
  <c r="DV104" i="43"/>
  <c r="EC104"/>
  <c r="EF104"/>
  <c r="EG104"/>
  <c r="EH104"/>
  <c r="P101" i="45"/>
  <c r="FG104" i="43"/>
  <c r="M102" i="45"/>
  <c r="O105" i="43"/>
  <c r="FE105" s="1"/>
  <c r="S105"/>
  <c r="T105"/>
  <c r="U105"/>
  <c r="E102" i="45" s="1"/>
  <c r="V105" i="43"/>
  <c r="F102" i="45" s="1"/>
  <c r="W105" i="43"/>
  <c r="G102" i="45" s="1"/>
  <c r="AB105" i="43"/>
  <c r="AM105"/>
  <c r="AN105"/>
  <c r="DF105"/>
  <c r="Q102" i="45" s="1"/>
  <c r="R102" s="1"/>
  <c r="DV105" i="43"/>
  <c r="EC105"/>
  <c r="EF105"/>
  <c r="EG105"/>
  <c r="EH105"/>
  <c r="P102" i="45"/>
  <c r="FG105" i="43"/>
  <c r="O106"/>
  <c r="S106"/>
  <c r="T106"/>
  <c r="U106"/>
  <c r="V106"/>
  <c r="F103" i="45" s="1"/>
  <c r="W106" i="43"/>
  <c r="G103" i="45" s="1"/>
  <c r="AB106" i="43"/>
  <c r="AM106"/>
  <c r="AN106"/>
  <c r="DF106"/>
  <c r="DV106"/>
  <c r="EC106"/>
  <c r="EF106"/>
  <c r="EG106"/>
  <c r="EH106"/>
  <c r="P103" i="45"/>
  <c r="FG106" i="43"/>
  <c r="O107"/>
  <c r="S107"/>
  <c r="T107"/>
  <c r="U107"/>
  <c r="E104" i="45" s="1"/>
  <c r="V107" i="43"/>
  <c r="F104" i="45" s="1"/>
  <c r="W107" i="43"/>
  <c r="G104" i="45" s="1"/>
  <c r="AB107" i="43"/>
  <c r="AM107"/>
  <c r="AN107"/>
  <c r="DF107"/>
  <c r="Q104" i="45" s="1"/>
  <c r="R104" s="1"/>
  <c r="DV107" i="43"/>
  <c r="EC107"/>
  <c r="EF107"/>
  <c r="EG107"/>
  <c r="EH107"/>
  <c r="P104" i="45"/>
  <c r="FG107" i="43"/>
  <c r="M105" i="45"/>
  <c r="O108" i="43"/>
  <c r="S108"/>
  <c r="T108"/>
  <c r="U108"/>
  <c r="E105" i="45" s="1"/>
  <c r="V108" i="43"/>
  <c r="F105" i="45" s="1"/>
  <c r="W108" i="43"/>
  <c r="G105" i="45" s="1"/>
  <c r="AB108" i="43"/>
  <c r="AM108"/>
  <c r="AN108"/>
  <c r="DF108"/>
  <c r="DV108"/>
  <c r="EC108"/>
  <c r="EF108"/>
  <c r="EG108"/>
  <c r="EH108"/>
  <c r="P105" i="45"/>
  <c r="FG108" i="43"/>
  <c r="M106" i="45"/>
  <c r="O109" i="43"/>
  <c r="S109"/>
  <c r="T109"/>
  <c r="U109"/>
  <c r="V109"/>
  <c r="F106" i="45" s="1"/>
  <c r="W109" i="43"/>
  <c r="G106" i="45" s="1"/>
  <c r="AB109" i="43"/>
  <c r="AM109"/>
  <c r="AN109"/>
  <c r="DF109"/>
  <c r="Q106" i="45" s="1"/>
  <c r="R106" s="1"/>
  <c r="DV109" i="43"/>
  <c r="EC109"/>
  <c r="EF109"/>
  <c r="EG109"/>
  <c r="EH109"/>
  <c r="P106" i="45"/>
  <c r="FG109" i="43"/>
  <c r="O110"/>
  <c r="S110"/>
  <c r="T110"/>
  <c r="U110"/>
  <c r="V110"/>
  <c r="F107" i="45" s="1"/>
  <c r="W110" i="43"/>
  <c r="G107" i="45" s="1"/>
  <c r="AB110" i="43"/>
  <c r="AM110"/>
  <c r="AN110"/>
  <c r="DF110"/>
  <c r="DV110"/>
  <c r="EC110"/>
  <c r="EF110"/>
  <c r="EG110"/>
  <c r="EH110"/>
  <c r="P107" i="45"/>
  <c r="FG110" i="43"/>
  <c r="M108" i="45"/>
  <c r="O111" i="43"/>
  <c r="S111"/>
  <c r="T111"/>
  <c r="U111"/>
  <c r="V111"/>
  <c r="F108" i="45" s="1"/>
  <c r="W111" i="43"/>
  <c r="G108" i="45" s="1"/>
  <c r="AB111" i="43"/>
  <c r="AM111"/>
  <c r="AN111"/>
  <c r="DF111"/>
  <c r="Q108" i="45" s="1"/>
  <c r="R108" s="1"/>
  <c r="DV111" i="43"/>
  <c r="EC111"/>
  <c r="EF111"/>
  <c r="EG111"/>
  <c r="EH111"/>
  <c r="P108" i="45"/>
  <c r="FG111" i="43"/>
  <c r="O112"/>
  <c r="S112"/>
  <c r="T112"/>
  <c r="U112"/>
  <c r="V112"/>
  <c r="W112"/>
  <c r="G109" i="45" s="1"/>
  <c r="AB112" i="43"/>
  <c r="AM112"/>
  <c r="AN112"/>
  <c r="DF112"/>
  <c r="Q109" i="45" s="1"/>
  <c r="R109" s="1"/>
  <c r="DV112" i="43"/>
  <c r="EC112"/>
  <c r="EF112"/>
  <c r="EG112"/>
  <c r="EH112"/>
  <c r="P109" i="45"/>
  <c r="FG112" i="43"/>
  <c r="M110" i="45"/>
  <c r="O113" i="43"/>
  <c r="FE113" s="1"/>
  <c r="S113"/>
  <c r="T113"/>
  <c r="U113"/>
  <c r="E110" i="45" s="1"/>
  <c r="V113" i="43"/>
  <c r="F110" i="45" s="1"/>
  <c r="W113" i="43"/>
  <c r="G110" i="45" s="1"/>
  <c r="AB113" i="43"/>
  <c r="AM113"/>
  <c r="AN113"/>
  <c r="DF113"/>
  <c r="Q110" i="45" s="1"/>
  <c r="R110" s="1"/>
  <c r="DV113" i="43"/>
  <c r="EC113"/>
  <c r="EF113"/>
  <c r="EG113"/>
  <c r="EH113"/>
  <c r="P110" i="45"/>
  <c r="FG113" i="43"/>
  <c r="M111" i="45"/>
  <c r="O114" i="43"/>
  <c r="S114"/>
  <c r="T114"/>
  <c r="U114"/>
  <c r="E111" i="45" s="1"/>
  <c r="V114" i="43"/>
  <c r="F111" i="45" s="1"/>
  <c r="B111" s="1"/>
  <c r="W114" i="43"/>
  <c r="G111" i="45" s="1"/>
  <c r="AB114" i="43"/>
  <c r="AM114"/>
  <c r="AN114"/>
  <c r="DF114"/>
  <c r="DV114"/>
  <c r="EC114"/>
  <c r="EF114"/>
  <c r="EG114"/>
  <c r="EH114"/>
  <c r="P111" i="45"/>
  <c r="FG114" i="43"/>
  <c r="O115"/>
  <c r="S115"/>
  <c r="T115"/>
  <c r="U115"/>
  <c r="E112" i="45" s="1"/>
  <c r="V115" i="43"/>
  <c r="W115"/>
  <c r="AB115"/>
  <c r="AM115"/>
  <c r="AN115"/>
  <c r="DF115"/>
  <c r="Q112" i="45" s="1"/>
  <c r="R112" s="1"/>
  <c r="DV115" i="43"/>
  <c r="EC115"/>
  <c r="EF115"/>
  <c r="EG115"/>
  <c r="EH115"/>
  <c r="P112" i="45"/>
  <c r="FG115" i="43"/>
  <c r="O116"/>
  <c r="S116"/>
  <c r="T116"/>
  <c r="U116"/>
  <c r="E113" i="45" s="1"/>
  <c r="V116" i="43"/>
  <c r="F113" i="45" s="1"/>
  <c r="W116" i="43"/>
  <c r="G113" i="45" s="1"/>
  <c r="AB116" i="43"/>
  <c r="AC116" s="1"/>
  <c r="AM116"/>
  <c r="AN116"/>
  <c r="DF116"/>
  <c r="Q113" i="45" s="1"/>
  <c r="R113" s="1"/>
  <c r="DV116" i="43"/>
  <c r="EC116"/>
  <c r="EF116"/>
  <c r="EG116"/>
  <c r="EH116"/>
  <c r="P113" i="45"/>
  <c r="FG116" i="43"/>
  <c r="M114" i="45"/>
  <c r="O117" i="43"/>
  <c r="FE117" s="1"/>
  <c r="S117"/>
  <c r="T117"/>
  <c r="U117"/>
  <c r="E114" i="45" s="1"/>
  <c r="V117" i="43"/>
  <c r="W117"/>
  <c r="G114" i="45" s="1"/>
  <c r="AB117" i="43"/>
  <c r="AC118" s="1"/>
  <c r="AM117"/>
  <c r="AN117"/>
  <c r="DF117"/>
  <c r="Q114" i="45" s="1"/>
  <c r="R114" s="1"/>
  <c r="DV117" i="43"/>
  <c r="EC117"/>
  <c r="EF117"/>
  <c r="EG117"/>
  <c r="EH117"/>
  <c r="P114" i="45"/>
  <c r="FG117" i="43"/>
  <c r="M115" i="45"/>
  <c r="F115"/>
  <c r="G115"/>
  <c r="Q115"/>
  <c r="R115" s="1"/>
  <c r="P115"/>
  <c r="E116"/>
  <c r="F116"/>
  <c r="Q116"/>
  <c r="R116" s="1"/>
  <c r="S116" s="1"/>
  <c r="P116"/>
  <c r="M117"/>
  <c r="O120" i="43"/>
  <c r="S120"/>
  <c r="T120"/>
  <c r="U120"/>
  <c r="V120"/>
  <c r="F117" i="45" s="1"/>
  <c r="W120" i="43"/>
  <c r="G117" i="45" s="1"/>
  <c r="AB120" i="43"/>
  <c r="AM120"/>
  <c r="AN120"/>
  <c r="DF120"/>
  <c r="Q117" i="45" s="1"/>
  <c r="R117" s="1"/>
  <c r="S117" s="1"/>
  <c r="DV120" i="43"/>
  <c r="EC120"/>
  <c r="EF120"/>
  <c r="EG120"/>
  <c r="EH120"/>
  <c r="P117" i="45"/>
  <c r="FG120" i="43"/>
  <c r="M118" i="45"/>
  <c r="O121" i="43"/>
  <c r="S121"/>
  <c r="T121"/>
  <c r="U121"/>
  <c r="E118" i="45" s="1"/>
  <c r="V121" i="43"/>
  <c r="W121"/>
  <c r="G118" i="45" s="1"/>
  <c r="AB121" i="43"/>
  <c r="AM121"/>
  <c r="AN121"/>
  <c r="DF121"/>
  <c r="Q118" i="45" s="1"/>
  <c r="R118" s="1"/>
  <c r="DV121" i="43"/>
  <c r="EC121"/>
  <c r="EF121"/>
  <c r="EG121"/>
  <c r="EH121"/>
  <c r="P118" i="45"/>
  <c r="FG121" i="43"/>
  <c r="O122"/>
  <c r="S122"/>
  <c r="T122"/>
  <c r="U122"/>
  <c r="E119" i="45" s="1"/>
  <c r="V122" i="43"/>
  <c r="F119" i="45" s="1"/>
  <c r="W122" i="43"/>
  <c r="G119" i="45" s="1"/>
  <c r="AB122" i="43"/>
  <c r="AM122"/>
  <c r="AN122"/>
  <c r="DF122"/>
  <c r="Q119" i="45" s="1"/>
  <c r="R119" s="1"/>
  <c r="DV122" i="43"/>
  <c r="EC122"/>
  <c r="EF122"/>
  <c r="EG122"/>
  <c r="EH122"/>
  <c r="P119" i="45"/>
  <c r="FG122" i="43"/>
  <c r="M120" i="45"/>
  <c r="O123" i="43"/>
  <c r="S123"/>
  <c r="T123"/>
  <c r="U123"/>
  <c r="E120" i="45" s="1"/>
  <c r="V123" i="43"/>
  <c r="F120" i="45" s="1"/>
  <c r="B120" s="1"/>
  <c r="W123" i="43"/>
  <c r="AB123"/>
  <c r="AM123"/>
  <c r="AN123"/>
  <c r="DF123"/>
  <c r="DV123"/>
  <c r="EC123"/>
  <c r="EF123"/>
  <c r="EG123"/>
  <c r="EH123"/>
  <c r="P120" i="45"/>
  <c r="FG123" i="43"/>
  <c r="M121" i="45"/>
  <c r="O124" i="43"/>
  <c r="S124"/>
  <c r="T124"/>
  <c r="U124"/>
  <c r="E121" i="45" s="1"/>
  <c r="V124" i="43"/>
  <c r="F121" i="45" s="1"/>
  <c r="W124" i="43"/>
  <c r="G121" i="45" s="1"/>
  <c r="AB124" i="43"/>
  <c r="AM124"/>
  <c r="AN124"/>
  <c r="DF124"/>
  <c r="Q121" i="45" s="1"/>
  <c r="R121" s="1"/>
  <c r="DV124" i="43"/>
  <c r="EC124"/>
  <c r="EF124"/>
  <c r="EG124"/>
  <c r="EH124"/>
  <c r="P121" i="45"/>
  <c r="FG124" i="43"/>
  <c r="M122" i="45"/>
  <c r="O125" i="43"/>
  <c r="CB125" s="1"/>
  <c r="S125"/>
  <c r="T125"/>
  <c r="U125"/>
  <c r="V125"/>
  <c r="F122" i="45" s="1"/>
  <c r="W125" i="43"/>
  <c r="AB125"/>
  <c r="AM125"/>
  <c r="AN125"/>
  <c r="DF125"/>
  <c r="DV125"/>
  <c r="EC125"/>
  <c r="EF125"/>
  <c r="EG125"/>
  <c r="EH125"/>
  <c r="P122" i="45"/>
  <c r="FG125" i="43"/>
  <c r="M123" i="45"/>
  <c r="O126" i="43"/>
  <c r="S126"/>
  <c r="T126"/>
  <c r="U126"/>
  <c r="V126"/>
  <c r="F123" i="45" s="1"/>
  <c r="W126" i="43"/>
  <c r="AB126"/>
  <c r="AM126"/>
  <c r="AN126"/>
  <c r="DF126"/>
  <c r="Q123" i="45" s="1"/>
  <c r="R123" s="1"/>
  <c r="DV126" i="43"/>
  <c r="EC126"/>
  <c r="EF126"/>
  <c r="EG126"/>
  <c r="EH126"/>
  <c r="P123" i="45"/>
  <c r="FG126" i="43"/>
  <c r="M124" i="45"/>
  <c r="O127" i="43"/>
  <c r="FE127" s="1"/>
  <c r="S127"/>
  <c r="T127"/>
  <c r="U127"/>
  <c r="V127"/>
  <c r="W127"/>
  <c r="AB127"/>
  <c r="AM127"/>
  <c r="AN127"/>
  <c r="DF127"/>
  <c r="Q124" i="45" s="1"/>
  <c r="R124" s="1"/>
  <c r="DV127" i="43"/>
  <c r="EC127"/>
  <c r="EF127"/>
  <c r="EG127"/>
  <c r="EH127"/>
  <c r="P124" i="45"/>
  <c r="FG127" i="43"/>
  <c r="O128"/>
  <c r="S128"/>
  <c r="T128"/>
  <c r="U128"/>
  <c r="E125" i="45" s="1"/>
  <c r="V128" i="43"/>
  <c r="F125" i="45" s="1"/>
  <c r="W128" i="43"/>
  <c r="AB128"/>
  <c r="AM128"/>
  <c r="AN128"/>
  <c r="DF128"/>
  <c r="Q125" i="45" s="1"/>
  <c r="R125" s="1"/>
  <c r="DV128" i="43"/>
  <c r="EC128"/>
  <c r="EF128"/>
  <c r="EG128"/>
  <c r="EH128"/>
  <c r="P125" i="45"/>
  <c r="FG128" i="43"/>
  <c r="O129"/>
  <c r="S129"/>
  <c r="T129"/>
  <c r="U129"/>
  <c r="E126" i="45" s="1"/>
  <c r="V129" i="43"/>
  <c r="F126" i="45" s="1"/>
  <c r="W129" i="43"/>
  <c r="G126" i="45" s="1"/>
  <c r="AB129" i="43"/>
  <c r="AM129"/>
  <c r="AN129"/>
  <c r="DF129"/>
  <c r="DV129"/>
  <c r="EC129"/>
  <c r="EF129"/>
  <c r="EG129"/>
  <c r="EH129"/>
  <c r="P126" i="45"/>
  <c r="FG129" i="43"/>
  <c r="M127" i="45"/>
  <c r="O130" i="43"/>
  <c r="CB130" s="1"/>
  <c r="S130"/>
  <c r="T130"/>
  <c r="U130"/>
  <c r="E127" i="45" s="1"/>
  <c r="V130" i="43"/>
  <c r="F127" i="45" s="1"/>
  <c r="W130" i="43"/>
  <c r="G127" i="45" s="1"/>
  <c r="AB130" i="43"/>
  <c r="AM130"/>
  <c r="AN130"/>
  <c r="DF130"/>
  <c r="DV130"/>
  <c r="EC130"/>
  <c r="EF130"/>
  <c r="EG130"/>
  <c r="EH130"/>
  <c r="P127" i="45"/>
  <c r="FG130" i="43"/>
  <c r="O131"/>
  <c r="S131"/>
  <c r="T131"/>
  <c r="U131"/>
  <c r="V131"/>
  <c r="F128" i="45" s="1"/>
  <c r="W131" i="43"/>
  <c r="G128" i="45" s="1"/>
  <c r="AB131" i="43"/>
  <c r="AM131"/>
  <c r="AN131"/>
  <c r="DF131"/>
  <c r="Q128" i="45" s="1"/>
  <c r="R128" s="1"/>
  <c r="DV131" i="43"/>
  <c r="EC131"/>
  <c r="EF131"/>
  <c r="EG131"/>
  <c r="EH131"/>
  <c r="P128" i="45"/>
  <c r="FG131" i="43"/>
  <c r="O132"/>
  <c r="S132"/>
  <c r="T132"/>
  <c r="U132"/>
  <c r="E129" i="45" s="1"/>
  <c r="V132" i="43"/>
  <c r="F129" i="45" s="1"/>
  <c r="W132" i="43"/>
  <c r="AB132"/>
  <c r="AM132"/>
  <c r="AN132"/>
  <c r="DF132"/>
  <c r="Q129" i="45" s="1"/>
  <c r="R129" s="1"/>
  <c r="DV132" i="43"/>
  <c r="EC132"/>
  <c r="EF132"/>
  <c r="EG132"/>
  <c r="EH132"/>
  <c r="P129" i="45"/>
  <c r="FG132" i="43"/>
  <c r="O133"/>
  <c r="S133"/>
  <c r="T133"/>
  <c r="U133"/>
  <c r="E130" i="45" s="1"/>
  <c r="V133" i="43"/>
  <c r="W133"/>
  <c r="G130" i="45" s="1"/>
  <c r="AB133" i="43"/>
  <c r="AM133"/>
  <c r="AN133"/>
  <c r="DF133"/>
  <c r="DV133"/>
  <c r="EC133"/>
  <c r="EF133"/>
  <c r="EG133"/>
  <c r="EH133"/>
  <c r="P130" i="45"/>
  <c r="FG133" i="43"/>
  <c r="M131" i="45"/>
  <c r="O134" i="43"/>
  <c r="FE134" s="1"/>
  <c r="S134"/>
  <c r="T134"/>
  <c r="U134"/>
  <c r="E131" i="45" s="1"/>
  <c r="V134" i="43"/>
  <c r="F131" i="45" s="1"/>
  <c r="W134" i="43"/>
  <c r="AB134"/>
  <c r="AM134"/>
  <c r="AN134"/>
  <c r="DF134"/>
  <c r="Q131" i="45" s="1"/>
  <c r="R131" s="1"/>
  <c r="DV134" i="43"/>
  <c r="EC134"/>
  <c r="EF134"/>
  <c r="EG134"/>
  <c r="EH134"/>
  <c r="P131" i="45"/>
  <c r="FG134" i="43"/>
  <c r="O135"/>
  <c r="S135"/>
  <c r="T135"/>
  <c r="U135"/>
  <c r="E132" i="45" s="1"/>
  <c r="V135" i="43"/>
  <c r="F132" i="45" s="1"/>
  <c r="W135" i="43"/>
  <c r="AB135"/>
  <c r="AM135"/>
  <c r="AN135"/>
  <c r="DF135"/>
  <c r="DV135"/>
  <c r="EC135"/>
  <c r="EF135"/>
  <c r="EG135"/>
  <c r="EH135"/>
  <c r="P132" i="45"/>
  <c r="FG135" i="43"/>
  <c r="M133" i="45"/>
  <c r="O136" i="43"/>
  <c r="S136"/>
  <c r="T136"/>
  <c r="U136"/>
  <c r="E133" i="45" s="1"/>
  <c r="V136" i="43"/>
  <c r="F133" i="45" s="1"/>
  <c r="W136" i="43"/>
  <c r="G133" i="45" s="1"/>
  <c r="AB136" i="43"/>
  <c r="AM136"/>
  <c r="AN136"/>
  <c r="DF136"/>
  <c r="Q133" i="45" s="1"/>
  <c r="R133" s="1"/>
  <c r="DV136" i="43"/>
  <c r="EC136"/>
  <c r="EF136"/>
  <c r="EG136"/>
  <c r="EH136"/>
  <c r="P133" i="45"/>
  <c r="FG136" i="43"/>
  <c r="O137"/>
  <c r="BG137" s="1"/>
  <c r="S137"/>
  <c r="T137"/>
  <c r="U137"/>
  <c r="E134" i="45" s="1"/>
  <c r="V137" i="43"/>
  <c r="F134" i="45" s="1"/>
  <c r="W137" i="43"/>
  <c r="AB137"/>
  <c r="AM137"/>
  <c r="AN137"/>
  <c r="DF137"/>
  <c r="Q134" i="45" s="1"/>
  <c r="R134" s="1"/>
  <c r="DV137" i="43"/>
  <c r="EC137"/>
  <c r="EF137"/>
  <c r="EG137"/>
  <c r="EH137"/>
  <c r="P134" i="45"/>
  <c r="FG137" i="43"/>
  <c r="M135" i="45"/>
  <c r="O138" i="43"/>
  <c r="BG138" s="1"/>
  <c r="S138"/>
  <c r="T138"/>
  <c r="U138"/>
  <c r="E135" i="45" s="1"/>
  <c r="V138" i="43"/>
  <c r="F135" i="45" s="1"/>
  <c r="W138" i="43"/>
  <c r="G135" i="45" s="1"/>
  <c r="AB138" i="43"/>
  <c r="AM138"/>
  <c r="AN138"/>
  <c r="DF138"/>
  <c r="DV138"/>
  <c r="EC138"/>
  <c r="EF138"/>
  <c r="EG138"/>
  <c r="EH138"/>
  <c r="P135" i="45"/>
  <c r="FG138" i="43"/>
  <c r="M136" i="45"/>
  <c r="O139" i="43"/>
  <c r="BG139" s="1"/>
  <c r="S139"/>
  <c r="T139"/>
  <c r="U139"/>
  <c r="E136" i="45" s="1"/>
  <c r="V139" i="43"/>
  <c r="F136" i="45" s="1"/>
  <c r="W139" i="43"/>
  <c r="AB139"/>
  <c r="AM139"/>
  <c r="AN139"/>
  <c r="DF139"/>
  <c r="Q136" i="45" s="1"/>
  <c r="R136" s="1"/>
  <c r="DV139" i="43"/>
  <c r="EC139"/>
  <c r="EF139"/>
  <c r="EG139"/>
  <c r="EH139"/>
  <c r="P136" i="45"/>
  <c r="FG139" i="43"/>
  <c r="M137" i="45"/>
  <c r="S140" i="43"/>
  <c r="T140"/>
  <c r="U140"/>
  <c r="V140"/>
  <c r="F137" i="45" s="1"/>
  <c r="AB140" i="43"/>
  <c r="AM140"/>
  <c r="AN140"/>
  <c r="DF140"/>
  <c r="Q137" i="45" s="1"/>
  <c r="R137" s="1"/>
  <c r="DV140" i="43"/>
  <c r="EC140"/>
  <c r="EF140"/>
  <c r="EG140"/>
  <c r="EH140"/>
  <c r="P137" i="45"/>
  <c r="FG140" i="43"/>
  <c r="M138" i="45"/>
  <c r="S141" i="43"/>
  <c r="T141"/>
  <c r="U141"/>
  <c r="V141"/>
  <c r="F138" i="45" s="1"/>
  <c r="W141" i="43"/>
  <c r="G138" i="45" s="1"/>
  <c r="AB141" i="43"/>
  <c r="AM141"/>
  <c r="AN141"/>
  <c r="DF141"/>
  <c r="Q138" i="45" s="1"/>
  <c r="R138" s="1"/>
  <c r="DV141" i="43"/>
  <c r="EC141"/>
  <c r="EF141"/>
  <c r="EG141"/>
  <c r="EH141"/>
  <c r="P138" i="45"/>
  <c r="FG141" i="43"/>
  <c r="M139" i="45"/>
  <c r="O142" i="43"/>
  <c r="S142"/>
  <c r="T142"/>
  <c r="U142"/>
  <c r="E139" i="45" s="1"/>
  <c r="V142" i="43"/>
  <c r="F139" i="45" s="1"/>
  <c r="W142" i="43"/>
  <c r="G139" i="45" s="1"/>
  <c r="AB142" i="43"/>
  <c r="AM142"/>
  <c r="AN142"/>
  <c r="DF142"/>
  <c r="DV142"/>
  <c r="EC142"/>
  <c r="EF142"/>
  <c r="EG142"/>
  <c r="EH142"/>
  <c r="P139" i="45"/>
  <c r="FG142" i="43"/>
  <c r="M140" i="45"/>
  <c r="O143" i="43"/>
  <c r="BG143" s="1"/>
  <c r="S143"/>
  <c r="T143"/>
  <c r="U143"/>
  <c r="E140" i="45" s="1"/>
  <c r="V143" i="43"/>
  <c r="F140" i="45" s="1"/>
  <c r="W143" i="43"/>
  <c r="G140" i="45" s="1"/>
  <c r="AB143" i="43"/>
  <c r="AM143"/>
  <c r="AN143"/>
  <c r="DF143"/>
  <c r="Q140" i="45" s="1"/>
  <c r="R140" s="1"/>
  <c r="DV143" i="43"/>
  <c r="EC143"/>
  <c r="EF143"/>
  <c r="EG143"/>
  <c r="EH143"/>
  <c r="P140" i="45"/>
  <c r="FG143" i="43"/>
  <c r="O144"/>
  <c r="BG144" s="1"/>
  <c r="S144"/>
  <c r="T144"/>
  <c r="U144"/>
  <c r="E141" i="45" s="1"/>
  <c r="V144" i="43"/>
  <c r="W144"/>
  <c r="G141" i="45" s="1"/>
  <c r="AB144" i="43"/>
  <c r="AM144"/>
  <c r="AN144"/>
  <c r="DF144"/>
  <c r="Q141" i="45" s="1"/>
  <c r="R141" s="1"/>
  <c r="DV144" i="43"/>
  <c r="EC144"/>
  <c r="EF144"/>
  <c r="EG144"/>
  <c r="EH144"/>
  <c r="P141" i="45"/>
  <c r="FG144" i="43"/>
  <c r="M142" i="45"/>
  <c r="O145" i="43"/>
  <c r="BG145" s="1"/>
  <c r="S145"/>
  <c r="T145"/>
  <c r="U145"/>
  <c r="E142" i="45" s="1"/>
  <c r="V145" i="43"/>
  <c r="F142" i="45" s="1"/>
  <c r="W145" i="43"/>
  <c r="G142" i="45" s="1"/>
  <c r="AB145" i="43"/>
  <c r="AM145"/>
  <c r="AN145"/>
  <c r="DF145"/>
  <c r="DV145"/>
  <c r="EC145"/>
  <c r="EF145"/>
  <c r="EG145"/>
  <c r="EH145"/>
  <c r="P142" i="45"/>
  <c r="FG145" i="43"/>
  <c r="M143" i="45"/>
  <c r="O146" i="43"/>
  <c r="BG146" s="1"/>
  <c r="S146"/>
  <c r="T146"/>
  <c r="U146"/>
  <c r="E143" i="45" s="1"/>
  <c r="V146" i="43"/>
  <c r="F143" i="45" s="1"/>
  <c r="W146" i="43"/>
  <c r="G143" i="45" s="1"/>
  <c r="AB146" i="43"/>
  <c r="AM146"/>
  <c r="AN146"/>
  <c r="DF146"/>
  <c r="DV146"/>
  <c r="EC146"/>
  <c r="EF146"/>
  <c r="EG146"/>
  <c r="EH146"/>
  <c r="P143" i="45"/>
  <c r="FG146" i="43"/>
  <c r="M144" i="45"/>
  <c r="O147" i="43"/>
  <c r="BG147" s="1"/>
  <c r="S147"/>
  <c r="T147"/>
  <c r="U147"/>
  <c r="E144" i="45" s="1"/>
  <c r="V147" i="43"/>
  <c r="F144" i="45" s="1"/>
  <c r="W147" i="43"/>
  <c r="G144" i="45" s="1"/>
  <c r="AB147" i="43"/>
  <c r="AM147"/>
  <c r="AN147"/>
  <c r="DF147"/>
  <c r="Q144" i="45" s="1"/>
  <c r="R144" s="1"/>
  <c r="DV147" i="43"/>
  <c r="EC147"/>
  <c r="EF147"/>
  <c r="EG147"/>
  <c r="EH147"/>
  <c r="P144" i="45"/>
  <c r="FG147" i="43"/>
  <c r="M145" i="45"/>
  <c r="O148" i="43"/>
  <c r="BG148" s="1"/>
  <c r="S148"/>
  <c r="T148"/>
  <c r="U148"/>
  <c r="V148"/>
  <c r="F145" i="45" s="1"/>
  <c r="W148" i="43"/>
  <c r="G145" i="45" s="1"/>
  <c r="AB148" i="43"/>
  <c r="AM148"/>
  <c r="AN148"/>
  <c r="DF148"/>
  <c r="DV148"/>
  <c r="EC148"/>
  <c r="EF148"/>
  <c r="EG148"/>
  <c r="EH148"/>
  <c r="P145" i="45"/>
  <c r="FG148" i="43"/>
  <c r="M146" i="45"/>
  <c r="O149" i="43"/>
  <c r="BG149" s="1"/>
  <c r="S149"/>
  <c r="T149"/>
  <c r="U149"/>
  <c r="V149"/>
  <c r="F146" i="45" s="1"/>
  <c r="W149" i="43"/>
  <c r="G146" i="45" s="1"/>
  <c r="AB149" i="43"/>
  <c r="AM149"/>
  <c r="AN149"/>
  <c r="DF149"/>
  <c r="Q146" i="45" s="1"/>
  <c r="R146" s="1"/>
  <c r="DV149" i="43"/>
  <c r="EC149"/>
  <c r="EF149"/>
  <c r="EG149"/>
  <c r="EH149"/>
  <c r="P146" i="45"/>
  <c r="FG149" i="43"/>
  <c r="M147" i="45"/>
  <c r="O150" i="43"/>
  <c r="BG150" s="1"/>
  <c r="S150"/>
  <c r="T150"/>
  <c r="U150"/>
  <c r="V150"/>
  <c r="W150"/>
  <c r="G147" i="45" s="1"/>
  <c r="AB150" i="43"/>
  <c r="AM150"/>
  <c r="AN150"/>
  <c r="DF150"/>
  <c r="DV150"/>
  <c r="EC150"/>
  <c r="EF150"/>
  <c r="EG150"/>
  <c r="EH150"/>
  <c r="P147" i="45"/>
  <c r="FG150" i="43"/>
  <c r="M148" i="45"/>
  <c r="O151" i="43"/>
  <c r="BG151" s="1"/>
  <c r="S151"/>
  <c r="T151"/>
  <c r="U151"/>
  <c r="V151"/>
  <c r="F148" i="45" s="1"/>
  <c r="W151" i="43"/>
  <c r="AB151"/>
  <c r="AM151"/>
  <c r="AN151"/>
  <c r="DF151"/>
  <c r="Q148" i="45" s="1"/>
  <c r="R148" s="1"/>
  <c r="DV151" i="43"/>
  <c r="EC151"/>
  <c r="EF151"/>
  <c r="EG151"/>
  <c r="EH151"/>
  <c r="P148" i="45"/>
  <c r="FG151" i="43"/>
  <c r="M149" i="45"/>
  <c r="O152" i="43"/>
  <c r="BG152" s="1"/>
  <c r="S152"/>
  <c r="T152"/>
  <c r="U152"/>
  <c r="V152"/>
  <c r="F149" i="45" s="1"/>
  <c r="W152" i="43"/>
  <c r="G149" i="45" s="1"/>
  <c r="AB152" i="43"/>
  <c r="AM152"/>
  <c r="AN152"/>
  <c r="DF152"/>
  <c r="DV152"/>
  <c r="EC152"/>
  <c r="EF152"/>
  <c r="EG152"/>
  <c r="EH152"/>
  <c r="P149" i="45"/>
  <c r="FG152" i="43"/>
  <c r="O153"/>
  <c r="BG153" s="1"/>
  <c r="S153"/>
  <c r="T153"/>
  <c r="U153"/>
  <c r="E150" i="45" s="1"/>
  <c r="V153" i="43"/>
  <c r="F150" i="45" s="1"/>
  <c r="W153" i="43"/>
  <c r="AB153"/>
  <c r="AM153"/>
  <c r="AN153"/>
  <c r="DF153"/>
  <c r="Q150" i="45" s="1"/>
  <c r="R150" s="1"/>
  <c r="DV153" i="43"/>
  <c r="EC153"/>
  <c r="EF153"/>
  <c r="EG153"/>
  <c r="EH153"/>
  <c r="P150" i="45"/>
  <c r="FG153" i="43"/>
  <c r="O154"/>
  <c r="BG154" s="1"/>
  <c r="S154"/>
  <c r="T154"/>
  <c r="U154"/>
  <c r="E151" i="45" s="1"/>
  <c r="V154" i="43"/>
  <c r="F151" i="45" s="1"/>
  <c r="W154" i="43"/>
  <c r="AB154"/>
  <c r="AM154"/>
  <c r="AN154"/>
  <c r="DF154"/>
  <c r="Q151" i="45" s="1"/>
  <c r="R151" s="1"/>
  <c r="DV154" i="43"/>
  <c r="EC154"/>
  <c r="EF154"/>
  <c r="EG154"/>
  <c r="EH154"/>
  <c r="P151" i="45"/>
  <c r="FG154" i="43"/>
  <c r="O155"/>
  <c r="BG155" s="1"/>
  <c r="S155"/>
  <c r="T155"/>
  <c r="U155"/>
  <c r="E152" i="45" s="1"/>
  <c r="V155" i="43"/>
  <c r="F152" i="45" s="1"/>
  <c r="W155" i="43"/>
  <c r="AB155"/>
  <c r="AM155"/>
  <c r="AN155"/>
  <c r="DF155"/>
  <c r="DV155"/>
  <c r="EC155"/>
  <c r="EF155"/>
  <c r="EG155"/>
  <c r="EH155"/>
  <c r="P152" i="45"/>
  <c r="FG155" i="43"/>
  <c r="M153" i="45"/>
  <c r="O156" i="43"/>
  <c r="BG156" s="1"/>
  <c r="S156"/>
  <c r="T156"/>
  <c r="U156"/>
  <c r="E153" i="45" s="1"/>
  <c r="V156" i="43"/>
  <c r="F153" i="45" s="1"/>
  <c r="W156" i="43"/>
  <c r="AB156"/>
  <c r="AC157" s="1"/>
  <c r="AM156"/>
  <c r="AN156"/>
  <c r="DF156"/>
  <c r="DV156"/>
  <c r="EC156"/>
  <c r="EF156"/>
  <c r="EG156"/>
  <c r="EH156"/>
  <c r="P153" i="45"/>
  <c r="FG156" i="43"/>
  <c r="M154" i="45"/>
  <c r="E154"/>
  <c r="F154"/>
  <c r="G154"/>
  <c r="Q154"/>
  <c r="R154" s="1"/>
  <c r="P154"/>
  <c r="M155"/>
  <c r="E155"/>
  <c r="F155"/>
  <c r="P155"/>
  <c r="E156"/>
  <c r="Q156"/>
  <c r="R156" s="1"/>
  <c r="P156"/>
  <c r="M157"/>
  <c r="E157"/>
  <c r="F157"/>
  <c r="G157"/>
  <c r="P157"/>
  <c r="M158"/>
  <c r="E158"/>
  <c r="F158"/>
  <c r="Q158"/>
  <c r="R158" s="1"/>
  <c r="P158"/>
  <c r="E159"/>
  <c r="F159"/>
  <c r="Q159"/>
  <c r="R159" s="1"/>
  <c r="P159"/>
  <c r="F160"/>
  <c r="P160"/>
  <c r="M161"/>
  <c r="E161"/>
  <c r="F161"/>
  <c r="G161"/>
  <c r="Q161"/>
  <c r="R161" s="1"/>
  <c r="P161"/>
  <c r="M162"/>
  <c r="E162"/>
  <c r="F162"/>
  <c r="G162"/>
  <c r="P162"/>
  <c r="M163"/>
  <c r="E163"/>
  <c r="F163"/>
  <c r="Q163"/>
  <c r="R163" s="1"/>
  <c r="P163"/>
  <c r="F164"/>
  <c r="Q164"/>
  <c r="R164" s="1"/>
  <c r="P164"/>
  <c r="M165"/>
  <c r="E165"/>
  <c r="F165"/>
  <c r="Q165"/>
  <c r="R165" s="1"/>
  <c r="P165"/>
  <c r="E166"/>
  <c r="F166"/>
  <c r="G166"/>
  <c r="Q166"/>
  <c r="R166" s="1"/>
  <c r="P166"/>
  <c r="M167"/>
  <c r="E167"/>
  <c r="F167"/>
  <c r="Q167"/>
  <c r="R167" s="1"/>
  <c r="P167"/>
  <c r="M168"/>
  <c r="E168"/>
  <c r="F168"/>
  <c r="P168"/>
  <c r="M169"/>
  <c r="E169"/>
  <c r="F169"/>
  <c r="Q169"/>
  <c r="R169" s="1"/>
  <c r="P169"/>
  <c r="M170"/>
  <c r="F170"/>
  <c r="P170"/>
  <c r="M171"/>
  <c r="E171"/>
  <c r="Q171"/>
  <c r="R171" s="1"/>
  <c r="P171"/>
  <c r="M172"/>
  <c r="E172"/>
  <c r="F172"/>
  <c r="P172"/>
  <c r="M173"/>
  <c r="E173"/>
  <c r="F173"/>
  <c r="Q173"/>
  <c r="R173" s="1"/>
  <c r="P173"/>
  <c r="M174"/>
  <c r="F174"/>
  <c r="G174"/>
  <c r="Q174"/>
  <c r="R174" s="1"/>
  <c r="P174"/>
  <c r="M175"/>
  <c r="E175"/>
  <c r="P175"/>
  <c r="M176"/>
  <c r="E176"/>
  <c r="F176"/>
  <c r="Q176"/>
  <c r="R176" s="1"/>
  <c r="P176"/>
  <c r="M177"/>
  <c r="E177"/>
  <c r="P177"/>
  <c r="M178"/>
  <c r="E178"/>
  <c r="G178"/>
  <c r="P178"/>
  <c r="M179"/>
  <c r="E179"/>
  <c r="F179"/>
  <c r="G179"/>
  <c r="Q179"/>
  <c r="R179" s="1"/>
  <c r="P179"/>
  <c r="M180"/>
  <c r="E180"/>
  <c r="F180"/>
  <c r="P180"/>
  <c r="M181"/>
  <c r="E181"/>
  <c r="F181"/>
  <c r="Q181"/>
  <c r="R181" s="1"/>
  <c r="P181"/>
  <c r="E182"/>
  <c r="G182"/>
  <c r="P182"/>
  <c r="M183"/>
  <c r="E183"/>
  <c r="G183"/>
  <c r="P183"/>
  <c r="M184"/>
  <c r="E184"/>
  <c r="F184"/>
  <c r="G184"/>
  <c r="Q184"/>
  <c r="R184" s="1"/>
  <c r="P184"/>
  <c r="M185"/>
  <c r="E185"/>
  <c r="F185"/>
  <c r="G185"/>
  <c r="Q185"/>
  <c r="R185" s="1"/>
  <c r="P185"/>
  <c r="E186"/>
  <c r="G186"/>
  <c r="P186"/>
  <c r="M187"/>
  <c r="F187"/>
  <c r="Q187"/>
  <c r="R187" s="1"/>
  <c r="P187"/>
  <c r="E188"/>
  <c r="F188"/>
  <c r="G188"/>
  <c r="Q188"/>
  <c r="R188" s="1"/>
  <c r="P188"/>
  <c r="M189"/>
  <c r="E189"/>
  <c r="F189"/>
  <c r="P189"/>
  <c r="E190"/>
  <c r="F190"/>
  <c r="P190"/>
  <c r="M191"/>
  <c r="E191"/>
  <c r="F191"/>
  <c r="B191" s="1"/>
  <c r="G191"/>
  <c r="Q191"/>
  <c r="R191" s="1"/>
  <c r="P191"/>
  <c r="M192"/>
  <c r="F192"/>
  <c r="P192"/>
  <c r="M193"/>
  <c r="E193"/>
  <c r="F193"/>
  <c r="Q193"/>
  <c r="R193" s="1"/>
  <c r="P193"/>
  <c r="F194"/>
  <c r="P194"/>
  <c r="M195"/>
  <c r="E195"/>
  <c r="F195"/>
  <c r="Q195"/>
  <c r="R195" s="1"/>
  <c r="P195"/>
  <c r="M196"/>
  <c r="E196"/>
  <c r="F196"/>
  <c r="G196"/>
  <c r="Q196"/>
  <c r="R196" s="1"/>
  <c r="P196"/>
  <c r="E197"/>
  <c r="F197"/>
  <c r="P197"/>
  <c r="E198"/>
  <c r="F198"/>
  <c r="Q198"/>
  <c r="R198" s="1"/>
  <c r="P198"/>
  <c r="M199"/>
  <c r="E199"/>
  <c r="F199"/>
  <c r="G199"/>
  <c r="Q199"/>
  <c r="R199" s="1"/>
  <c r="P199"/>
  <c r="E200"/>
  <c r="F200"/>
  <c r="G200"/>
  <c r="P200"/>
  <c r="M201"/>
  <c r="F201"/>
  <c r="G201"/>
  <c r="Q201"/>
  <c r="R201" s="1"/>
  <c r="P201"/>
  <c r="M202"/>
  <c r="E202"/>
  <c r="F202"/>
  <c r="G202"/>
  <c r="Q202"/>
  <c r="R202" s="1"/>
  <c r="P202"/>
  <c r="M203"/>
  <c r="E203"/>
  <c r="F203"/>
  <c r="Q203"/>
  <c r="R203" s="1"/>
  <c r="P203"/>
  <c r="M204"/>
  <c r="F204"/>
  <c r="Q204"/>
  <c r="R204" s="1"/>
  <c r="P204"/>
  <c r="M205"/>
  <c r="F205"/>
  <c r="P205"/>
  <c r="F206"/>
  <c r="G206"/>
  <c r="Q206"/>
  <c r="R206" s="1"/>
  <c r="P206"/>
  <c r="F207"/>
  <c r="G207"/>
  <c r="P207"/>
  <c r="M208"/>
  <c r="E208"/>
  <c r="F208"/>
  <c r="P208"/>
  <c r="M209"/>
  <c r="E209"/>
  <c r="P209"/>
  <c r="M210"/>
  <c r="F210"/>
  <c r="P210"/>
  <c r="M211"/>
  <c r="E211"/>
  <c r="F211"/>
  <c r="B211" s="1"/>
  <c r="P211"/>
  <c r="M212"/>
  <c r="F212"/>
  <c r="G212"/>
  <c r="P212"/>
  <c r="M213"/>
  <c r="E213"/>
  <c r="F213"/>
  <c r="B213" s="1"/>
  <c r="G213"/>
  <c r="Q213"/>
  <c r="R213" s="1"/>
  <c r="P213"/>
  <c r="M214"/>
  <c r="E214"/>
  <c r="F214"/>
  <c r="G214"/>
  <c r="P214"/>
  <c r="M215"/>
  <c r="E215"/>
  <c r="F215"/>
  <c r="G215"/>
  <c r="P215"/>
  <c r="M216"/>
  <c r="E216"/>
  <c r="F216"/>
  <c r="B216" s="1"/>
  <c r="G216"/>
  <c r="Q216"/>
  <c r="R216" s="1"/>
  <c r="P216"/>
  <c r="M217"/>
  <c r="F217"/>
  <c r="G217"/>
  <c r="Q217"/>
  <c r="R217" s="1"/>
  <c r="P217"/>
  <c r="M218"/>
  <c r="E218"/>
  <c r="F218"/>
  <c r="G218"/>
  <c r="Q218"/>
  <c r="R218" s="1"/>
  <c r="P218"/>
  <c r="M219"/>
  <c r="F219"/>
  <c r="G219"/>
  <c r="Q219"/>
  <c r="R219" s="1"/>
  <c r="P219"/>
  <c r="M220"/>
  <c r="F220"/>
  <c r="G220"/>
  <c r="Q220"/>
  <c r="R220" s="1"/>
  <c r="P220"/>
  <c r="E221"/>
  <c r="F221"/>
  <c r="Q221"/>
  <c r="R221" s="1"/>
  <c r="P221"/>
  <c r="M222"/>
  <c r="F222"/>
  <c r="G222"/>
  <c r="Q222"/>
  <c r="R222" s="1"/>
  <c r="S222" s="1"/>
  <c r="P222"/>
  <c r="M223"/>
  <c r="F223"/>
  <c r="G223"/>
  <c r="Q223"/>
  <c r="R223" s="1"/>
  <c r="P223"/>
  <c r="M224"/>
  <c r="E224"/>
  <c r="F224"/>
  <c r="P224"/>
  <c r="E225"/>
  <c r="F225"/>
  <c r="G225"/>
  <c r="P225"/>
  <c r="M226"/>
  <c r="F226"/>
  <c r="P226"/>
  <c r="M227"/>
  <c r="E227"/>
  <c r="F227"/>
  <c r="B227" s="1"/>
  <c r="G227"/>
  <c r="P227"/>
  <c r="E228"/>
  <c r="F228"/>
  <c r="G228"/>
  <c r="P228"/>
  <c r="M229"/>
  <c r="F229"/>
  <c r="Q229"/>
  <c r="R229" s="1"/>
  <c r="P229"/>
  <c r="F230"/>
  <c r="G230"/>
  <c r="P230"/>
  <c r="M231"/>
  <c r="E231"/>
  <c r="F231"/>
  <c r="P231"/>
  <c r="M232"/>
  <c r="F232"/>
  <c r="P232"/>
  <c r="M233"/>
  <c r="F233"/>
  <c r="G233"/>
  <c r="Q233"/>
  <c r="R233" s="1"/>
  <c r="P233"/>
  <c r="E234"/>
  <c r="F234"/>
  <c r="Q234"/>
  <c r="R234" s="1"/>
  <c r="P234"/>
  <c r="M235"/>
  <c r="E235"/>
  <c r="F235"/>
  <c r="B235" s="1"/>
  <c r="P235"/>
  <c r="F236"/>
  <c r="G236"/>
  <c r="Q236"/>
  <c r="R236" s="1"/>
  <c r="P236"/>
  <c r="M237"/>
  <c r="F237"/>
  <c r="G237"/>
  <c r="Q237"/>
  <c r="R237" s="1"/>
  <c r="P237"/>
  <c r="M238"/>
  <c r="F238"/>
  <c r="G238"/>
  <c r="P238"/>
  <c r="M239"/>
  <c r="E239"/>
  <c r="F239"/>
  <c r="G239"/>
  <c r="P239"/>
  <c r="M240"/>
  <c r="F240"/>
  <c r="G240"/>
  <c r="Q240"/>
  <c r="R240" s="1"/>
  <c r="P240"/>
  <c r="M241"/>
  <c r="E241"/>
  <c r="F241"/>
  <c r="P241"/>
  <c r="M242"/>
  <c r="F242"/>
  <c r="P242"/>
  <c r="M243"/>
  <c r="E243"/>
  <c r="F243"/>
  <c r="P243"/>
  <c r="E244"/>
  <c r="F244"/>
  <c r="P244"/>
  <c r="E245"/>
  <c r="F245"/>
  <c r="Q245"/>
  <c r="R245" s="1"/>
  <c r="P245"/>
  <c r="E246"/>
  <c r="F246"/>
  <c r="P246"/>
  <c r="M247"/>
  <c r="E247"/>
  <c r="F247"/>
  <c r="G247"/>
  <c r="P247"/>
  <c r="E248"/>
  <c r="F248"/>
  <c r="B248" s="1"/>
  <c r="G248"/>
  <c r="P248"/>
  <c r="E249"/>
  <c r="F249"/>
  <c r="G249"/>
  <c r="P249"/>
  <c r="E250"/>
  <c r="F250"/>
  <c r="G250"/>
  <c r="P250"/>
  <c r="F251"/>
  <c r="P251"/>
  <c r="M252"/>
  <c r="F252"/>
  <c r="G252"/>
  <c r="Q252"/>
  <c r="R252" s="1"/>
  <c r="P252"/>
  <c r="E253"/>
  <c r="F253"/>
  <c r="P253"/>
  <c r="M254"/>
  <c r="E254"/>
  <c r="F254"/>
  <c r="P254"/>
  <c r="M255"/>
  <c r="E255"/>
  <c r="F255"/>
  <c r="G255"/>
  <c r="P255"/>
  <c r="M256"/>
  <c r="E256"/>
  <c r="F256"/>
  <c r="B256" s="1"/>
  <c r="P256"/>
  <c r="M257"/>
  <c r="E257"/>
  <c r="F257"/>
  <c r="B257" s="1"/>
  <c r="G257"/>
  <c r="Q257"/>
  <c r="R257" s="1"/>
  <c r="P257"/>
  <c r="M258"/>
  <c r="E258"/>
  <c r="F258"/>
  <c r="P258"/>
  <c r="M259"/>
  <c r="F259"/>
  <c r="Q259"/>
  <c r="R259" s="1"/>
  <c r="P259"/>
  <c r="M260"/>
  <c r="E260"/>
  <c r="F260"/>
  <c r="G260"/>
  <c r="P260"/>
  <c r="F261"/>
  <c r="P261"/>
  <c r="M262"/>
  <c r="F262"/>
  <c r="P262"/>
  <c r="M263"/>
  <c r="E263"/>
  <c r="F263"/>
  <c r="G263"/>
  <c r="Q263"/>
  <c r="R263" s="1"/>
  <c r="P263"/>
  <c r="M264"/>
  <c r="E264"/>
  <c r="F264"/>
  <c r="G264"/>
  <c r="Q264"/>
  <c r="R264" s="1"/>
  <c r="P264"/>
  <c r="Q265"/>
  <c r="R265" s="1"/>
  <c r="P265"/>
  <c r="M266"/>
  <c r="P266"/>
  <c r="M267"/>
  <c r="E267"/>
  <c r="F267"/>
  <c r="G267"/>
  <c r="P267"/>
  <c r="M268"/>
  <c r="F268"/>
  <c r="G268"/>
  <c r="Q268"/>
  <c r="R268" s="1"/>
  <c r="P268"/>
  <c r="M269"/>
  <c r="E269"/>
  <c r="F269"/>
  <c r="Q269"/>
  <c r="R269" s="1"/>
  <c r="P269"/>
  <c r="M270"/>
  <c r="E270"/>
  <c r="P270"/>
  <c r="M271"/>
  <c r="F271"/>
  <c r="G271"/>
  <c r="P271"/>
  <c r="M272"/>
  <c r="E272"/>
  <c r="P272"/>
  <c r="M273"/>
  <c r="E273"/>
  <c r="F273"/>
  <c r="P273"/>
  <c r="M274"/>
  <c r="E274"/>
  <c r="F274"/>
  <c r="P274"/>
  <c r="M275"/>
  <c r="F275"/>
  <c r="P275"/>
  <c r="M276"/>
  <c r="E276"/>
  <c r="F276"/>
  <c r="B276" s="1"/>
  <c r="G276"/>
  <c r="P276"/>
  <c r="M277"/>
  <c r="F277"/>
  <c r="G277"/>
  <c r="Q277"/>
  <c r="R277" s="1"/>
  <c r="P277"/>
  <c r="E278"/>
  <c r="F278"/>
  <c r="G278"/>
  <c r="Q278"/>
  <c r="R278" s="1"/>
  <c r="P278"/>
  <c r="M279"/>
  <c r="E279"/>
  <c r="F279"/>
  <c r="G279"/>
  <c r="P279"/>
  <c r="M280"/>
  <c r="E280"/>
  <c r="F280"/>
  <c r="B280" s="1"/>
  <c r="G280"/>
  <c r="Q280"/>
  <c r="R280" s="1"/>
  <c r="P280"/>
  <c r="F281"/>
  <c r="P281"/>
  <c r="M282"/>
  <c r="F282"/>
  <c r="G282"/>
  <c r="Q282"/>
  <c r="R282" s="1"/>
  <c r="P282"/>
  <c r="E283"/>
  <c r="F283"/>
  <c r="G283"/>
  <c r="Q283"/>
  <c r="R283" s="1"/>
  <c r="P283"/>
  <c r="M284"/>
  <c r="F284"/>
  <c r="G284"/>
  <c r="Q284"/>
  <c r="R284" s="1"/>
  <c r="P284"/>
  <c r="M285"/>
  <c r="E285"/>
  <c r="F285"/>
  <c r="G285"/>
  <c r="P285"/>
  <c r="F286"/>
  <c r="P286"/>
  <c r="M287"/>
  <c r="E287"/>
  <c r="F287"/>
  <c r="Q287"/>
  <c r="R287" s="1"/>
  <c r="P287"/>
  <c r="M288"/>
  <c r="F288"/>
  <c r="P288"/>
  <c r="M289"/>
  <c r="F289"/>
  <c r="G289"/>
  <c r="P289"/>
  <c r="M290"/>
  <c r="F290"/>
  <c r="G290"/>
  <c r="Q290"/>
  <c r="R290" s="1"/>
  <c r="P290"/>
  <c r="E291"/>
  <c r="F291"/>
  <c r="P291"/>
  <c r="E292"/>
  <c r="P292"/>
  <c r="M293"/>
  <c r="F293"/>
  <c r="G293"/>
  <c r="P293"/>
  <c r="M294"/>
  <c r="E294"/>
  <c r="Q294"/>
  <c r="R294" s="1"/>
  <c r="P294"/>
  <c r="E295"/>
  <c r="F295"/>
  <c r="Q295"/>
  <c r="R295" s="1"/>
  <c r="P295"/>
  <c r="M296"/>
  <c r="F296"/>
  <c r="Q296"/>
  <c r="R296" s="1"/>
  <c r="P296"/>
  <c r="M297"/>
  <c r="F297"/>
  <c r="Q297"/>
  <c r="R297" s="1"/>
  <c r="P297"/>
  <c r="M298"/>
  <c r="E298"/>
  <c r="F298"/>
  <c r="P298"/>
  <c r="M299"/>
  <c r="G299"/>
  <c r="P299"/>
  <c r="M300"/>
  <c r="E300"/>
  <c r="F300"/>
  <c r="G300"/>
  <c r="P300"/>
  <c r="M301"/>
  <c r="E301"/>
  <c r="F301"/>
  <c r="P301"/>
  <c r="E302"/>
  <c r="G302"/>
  <c r="Q302"/>
  <c r="R302" s="1"/>
  <c r="P302"/>
  <c r="M303"/>
  <c r="E303"/>
  <c r="F303"/>
  <c r="B303" s="1"/>
  <c r="G303"/>
  <c r="Q303"/>
  <c r="R303" s="1"/>
  <c r="P303"/>
  <c r="M304"/>
  <c r="E304"/>
  <c r="F304"/>
  <c r="P304"/>
  <c r="M305"/>
  <c r="F305"/>
  <c r="G305"/>
  <c r="Q305"/>
  <c r="R305" s="1"/>
  <c r="P305"/>
  <c r="M306"/>
  <c r="E306"/>
  <c r="F306"/>
  <c r="G306"/>
  <c r="P306"/>
  <c r="M307"/>
  <c r="E307"/>
  <c r="F307"/>
  <c r="Q307"/>
  <c r="R307" s="1"/>
  <c r="P307"/>
  <c r="M308"/>
  <c r="E308"/>
  <c r="F308"/>
  <c r="P308"/>
  <c r="M309"/>
  <c r="E309"/>
  <c r="F309"/>
  <c r="P309"/>
  <c r="M310"/>
  <c r="E310"/>
  <c r="F310"/>
  <c r="P310"/>
  <c r="E311"/>
  <c r="F311"/>
  <c r="Q311"/>
  <c r="R311" s="1"/>
  <c r="P311"/>
  <c r="M312"/>
  <c r="E312"/>
  <c r="F312"/>
  <c r="Q312"/>
  <c r="R312" s="1"/>
  <c r="P312"/>
  <c r="M313"/>
  <c r="F313"/>
  <c r="Q313"/>
  <c r="R313" s="1"/>
  <c r="S313" s="1"/>
  <c r="P313"/>
  <c r="M314"/>
  <c r="E314"/>
  <c r="F314"/>
  <c r="G314"/>
  <c r="P314"/>
  <c r="M315"/>
  <c r="E315"/>
  <c r="F315"/>
  <c r="P315"/>
  <c r="M316"/>
  <c r="E316"/>
  <c r="P316"/>
  <c r="M317"/>
  <c r="E317"/>
  <c r="F317"/>
  <c r="P317"/>
  <c r="M318"/>
  <c r="E318"/>
  <c r="F318"/>
  <c r="P318"/>
  <c r="M319"/>
  <c r="E319"/>
  <c r="F319"/>
  <c r="Q319"/>
  <c r="R319" s="1"/>
  <c r="P319"/>
  <c r="M320"/>
  <c r="F320"/>
  <c r="Q320"/>
  <c r="R320" s="1"/>
  <c r="P320"/>
  <c r="M321"/>
  <c r="E321"/>
  <c r="F321"/>
  <c r="P321"/>
  <c r="M322"/>
  <c r="E322"/>
  <c r="F322"/>
  <c r="P322"/>
  <c r="M323"/>
  <c r="F323"/>
  <c r="G323"/>
  <c r="P323"/>
  <c r="M324"/>
  <c r="E324"/>
  <c r="F324"/>
  <c r="P324"/>
  <c r="M325"/>
  <c r="E325"/>
  <c r="G325"/>
  <c r="Q325"/>
  <c r="R325" s="1"/>
  <c r="P325"/>
  <c r="M326"/>
  <c r="E326"/>
  <c r="F326"/>
  <c r="B326" s="1"/>
  <c r="P326"/>
  <c r="M327"/>
  <c r="E327"/>
  <c r="F327"/>
  <c r="G327"/>
  <c r="Q327"/>
  <c r="R327" s="1"/>
  <c r="P327"/>
  <c r="M328"/>
  <c r="E328"/>
  <c r="P328"/>
  <c r="F329"/>
  <c r="G329"/>
  <c r="Q329"/>
  <c r="R329" s="1"/>
  <c r="P329"/>
  <c r="M330"/>
  <c r="E330"/>
  <c r="F330"/>
  <c r="G330"/>
  <c r="Q330"/>
  <c r="R330" s="1"/>
  <c r="P330"/>
  <c r="M331"/>
  <c r="F331"/>
  <c r="G331"/>
  <c r="Q331"/>
  <c r="R331" s="1"/>
  <c r="P331"/>
  <c r="E332"/>
  <c r="F332"/>
  <c r="Q332"/>
  <c r="R332" s="1"/>
  <c r="P332"/>
  <c r="E333"/>
  <c r="F333"/>
  <c r="G333"/>
  <c r="P333"/>
  <c r="M334"/>
  <c r="F334"/>
  <c r="G334"/>
  <c r="Q334"/>
  <c r="R334" s="1"/>
  <c r="P334"/>
  <c r="M335"/>
  <c r="E335"/>
  <c r="F335"/>
  <c r="G335"/>
  <c r="P335"/>
  <c r="E336"/>
  <c r="F336"/>
  <c r="Q336"/>
  <c r="P336"/>
  <c r="M337"/>
  <c r="F337"/>
  <c r="G337"/>
  <c r="Q337"/>
  <c r="R337" s="1"/>
  <c r="P337"/>
  <c r="M338"/>
  <c r="E338"/>
  <c r="F338"/>
  <c r="G338"/>
  <c r="P338"/>
  <c r="M339"/>
  <c r="F339"/>
  <c r="Q339"/>
  <c r="R339" s="1"/>
  <c r="P339"/>
  <c r="M340"/>
  <c r="E340"/>
  <c r="F340"/>
  <c r="G340"/>
  <c r="P340"/>
  <c r="E341"/>
  <c r="F341"/>
  <c r="G341"/>
  <c r="P341"/>
  <c r="M342"/>
  <c r="E342"/>
  <c r="F342"/>
  <c r="P342"/>
  <c r="E343"/>
  <c r="G343"/>
  <c r="P343"/>
  <c r="M344"/>
  <c r="F344"/>
  <c r="G344"/>
  <c r="Q344"/>
  <c r="R344" s="1"/>
  <c r="P344"/>
  <c r="E345"/>
  <c r="F345"/>
  <c r="G345"/>
  <c r="P345"/>
  <c r="E346"/>
  <c r="F346"/>
  <c r="G346"/>
  <c r="P346"/>
  <c r="F347"/>
  <c r="P347"/>
  <c r="F348"/>
  <c r="G348"/>
  <c r="P348"/>
  <c r="M349"/>
  <c r="F349"/>
  <c r="G349"/>
  <c r="Q349"/>
  <c r="R349" s="1"/>
  <c r="P349"/>
  <c r="E350"/>
  <c r="F350"/>
  <c r="P350"/>
  <c r="M351"/>
  <c r="E351"/>
  <c r="F351"/>
  <c r="G351"/>
  <c r="P351"/>
  <c r="M352"/>
  <c r="E352"/>
  <c r="G352"/>
  <c r="P352"/>
  <c r="F353"/>
  <c r="G353"/>
  <c r="P353"/>
  <c r="F354"/>
  <c r="P354"/>
  <c r="F355"/>
  <c r="G355"/>
  <c r="Q355"/>
  <c r="R355" s="1"/>
  <c r="P355"/>
  <c r="M356"/>
  <c r="E356"/>
  <c r="F356"/>
  <c r="P356"/>
  <c r="E357"/>
  <c r="G357"/>
  <c r="P357"/>
  <c r="F358"/>
  <c r="G358"/>
  <c r="P358"/>
  <c r="M359"/>
  <c r="E359"/>
  <c r="F359"/>
  <c r="P359"/>
  <c r="M360"/>
  <c r="E360"/>
  <c r="F360"/>
  <c r="G360"/>
  <c r="P360"/>
  <c r="E361"/>
  <c r="F361"/>
  <c r="G361"/>
  <c r="P361"/>
  <c r="M362"/>
  <c r="E362"/>
  <c r="F362"/>
  <c r="G362"/>
  <c r="P362"/>
  <c r="M363"/>
  <c r="F363"/>
  <c r="G363"/>
  <c r="P363"/>
  <c r="E364"/>
  <c r="F364"/>
  <c r="G364"/>
  <c r="P364"/>
  <c r="F365"/>
  <c r="Q365"/>
  <c r="R365" s="1"/>
  <c r="P365"/>
  <c r="E366"/>
  <c r="F366"/>
  <c r="G366"/>
  <c r="P366"/>
  <c r="E367"/>
  <c r="P367"/>
  <c r="E368"/>
  <c r="F368"/>
  <c r="P368"/>
  <c r="F369"/>
  <c r="P369"/>
  <c r="M370"/>
  <c r="F370"/>
  <c r="G370"/>
  <c r="P370"/>
  <c r="M371"/>
  <c r="F371"/>
  <c r="Q371"/>
  <c r="R371" s="1"/>
  <c r="P371"/>
  <c r="E372"/>
  <c r="F372"/>
  <c r="G372"/>
  <c r="P372"/>
  <c r="F373"/>
  <c r="G373"/>
  <c r="P373"/>
  <c r="F374"/>
  <c r="P374"/>
  <c r="F375"/>
  <c r="G375"/>
  <c r="P375"/>
  <c r="F376"/>
  <c r="G376"/>
  <c r="P376"/>
  <c r="M377"/>
  <c r="F377"/>
  <c r="G377"/>
  <c r="P377"/>
  <c r="F378"/>
  <c r="G378"/>
  <c r="P378"/>
  <c r="E379"/>
  <c r="F379"/>
  <c r="G379"/>
  <c r="P379"/>
  <c r="E380"/>
  <c r="F380"/>
  <c r="P380"/>
  <c r="O36" i="43"/>
  <c r="S36"/>
  <c r="T36"/>
  <c r="U36"/>
  <c r="V36"/>
  <c r="F33" i="45" s="1"/>
  <c r="W36" i="43"/>
  <c r="G33" i="45" s="1"/>
  <c r="AB36" i="43"/>
  <c r="AM36"/>
  <c r="AN36"/>
  <c r="DF36"/>
  <c r="Q33" i="45" s="1"/>
  <c r="R33" s="1"/>
  <c r="DV36" i="43"/>
  <c r="EC36"/>
  <c r="EF36"/>
  <c r="EG36"/>
  <c r="EH36"/>
  <c r="P33" i="45"/>
  <c r="FG36" i="43"/>
  <c r="O37"/>
  <c r="S37"/>
  <c r="T37"/>
  <c r="U37"/>
  <c r="E34" i="45" s="1"/>
  <c r="V37" i="43"/>
  <c r="F34" i="45" s="1"/>
  <c r="W37" i="43"/>
  <c r="G34" i="45" s="1"/>
  <c r="AB37" i="43"/>
  <c r="AM37"/>
  <c r="AN37"/>
  <c r="DF37"/>
  <c r="Q34" i="45" s="1"/>
  <c r="R34" s="1"/>
  <c r="DV37" i="43"/>
  <c r="EC37"/>
  <c r="EF37"/>
  <c r="EG37"/>
  <c r="EH37"/>
  <c r="P34" i="45"/>
  <c r="FG37" i="43"/>
  <c r="O38"/>
  <c r="S38"/>
  <c r="T38"/>
  <c r="U38"/>
  <c r="V38"/>
  <c r="F35" i="45" s="1"/>
  <c r="W38" i="43"/>
  <c r="G35" i="45" s="1"/>
  <c r="AB38" i="43"/>
  <c r="AM38"/>
  <c r="AN38"/>
  <c r="DF38"/>
  <c r="Q35" i="45" s="1"/>
  <c r="R35" s="1"/>
  <c r="DV38" i="43"/>
  <c r="EC38"/>
  <c r="EF38"/>
  <c r="EG38"/>
  <c r="EH38"/>
  <c r="P35" i="45"/>
  <c r="FG38" i="43"/>
  <c r="M36" i="45"/>
  <c r="O39" i="43"/>
  <c r="FE39" s="1"/>
  <c r="S39"/>
  <c r="T39"/>
  <c r="U39"/>
  <c r="E36" i="45" s="1"/>
  <c r="V39" i="43"/>
  <c r="F36" i="45" s="1"/>
  <c r="W39" i="43"/>
  <c r="AB39"/>
  <c r="AM39"/>
  <c r="AN39"/>
  <c r="DF39"/>
  <c r="DV39"/>
  <c r="EC39"/>
  <c r="EF39"/>
  <c r="EG39"/>
  <c r="EH39"/>
  <c r="P36" i="45"/>
  <c r="FG39" i="43"/>
  <c r="O40"/>
  <c r="S40"/>
  <c r="T40"/>
  <c r="U40"/>
  <c r="E37" i="45" s="1"/>
  <c r="V40" i="43"/>
  <c r="F37" i="45" s="1"/>
  <c r="W40" i="43"/>
  <c r="G37" i="45" s="1"/>
  <c r="AB40" i="43"/>
  <c r="AM40"/>
  <c r="AN40"/>
  <c r="DF40"/>
  <c r="DV40"/>
  <c r="EC40"/>
  <c r="EF40"/>
  <c r="EG40"/>
  <c r="EH40"/>
  <c r="P37" i="45"/>
  <c r="FG40" i="43"/>
  <c r="M38" i="45"/>
  <c r="O41" i="43"/>
  <c r="S41"/>
  <c r="T41"/>
  <c r="U41"/>
  <c r="V41"/>
  <c r="F38" i="45" s="1"/>
  <c r="W41" i="43"/>
  <c r="G38" i="45" s="1"/>
  <c r="AB41" i="43"/>
  <c r="AM41"/>
  <c r="AN41"/>
  <c r="DF41"/>
  <c r="DV41"/>
  <c r="EC41"/>
  <c r="EF41"/>
  <c r="EG41"/>
  <c r="EH41"/>
  <c r="P38" i="45"/>
  <c r="FG41" i="43"/>
  <c r="M39" i="45"/>
  <c r="O42" i="43"/>
  <c r="S42"/>
  <c r="T42"/>
  <c r="U42"/>
  <c r="E39" i="45" s="1"/>
  <c r="V42" i="43"/>
  <c r="F39" i="45" s="1"/>
  <c r="W42" i="43"/>
  <c r="AB42"/>
  <c r="AM42"/>
  <c r="AN42"/>
  <c r="DF42"/>
  <c r="DV42"/>
  <c r="EC42"/>
  <c r="EF42"/>
  <c r="EG42"/>
  <c r="EH42"/>
  <c r="P39" i="45"/>
  <c r="FG42" i="43"/>
  <c r="M40" i="45"/>
  <c r="O43" i="43"/>
  <c r="FE43" s="1"/>
  <c r="S43"/>
  <c r="T43"/>
  <c r="U43"/>
  <c r="E40" i="45" s="1"/>
  <c r="V43" i="43"/>
  <c r="F40" i="45" s="1"/>
  <c r="W43" i="43"/>
  <c r="AB43"/>
  <c r="AM43"/>
  <c r="AN43"/>
  <c r="DF43"/>
  <c r="DV43"/>
  <c r="EC43"/>
  <c r="EF43"/>
  <c r="EG43"/>
  <c r="EH43"/>
  <c r="P40" i="45"/>
  <c r="FG43" i="43"/>
  <c r="M41" i="45"/>
  <c r="O44" i="43"/>
  <c r="FE44" s="1"/>
  <c r="S44"/>
  <c r="T44"/>
  <c r="U44"/>
  <c r="V44"/>
  <c r="F41" i="45" s="1"/>
  <c r="W44" i="43"/>
  <c r="AB44"/>
  <c r="AM44"/>
  <c r="AN44"/>
  <c r="DF44"/>
  <c r="DV44"/>
  <c r="EC44"/>
  <c r="EF44"/>
  <c r="EG44"/>
  <c r="EH44"/>
  <c r="P41" i="45"/>
  <c r="FG44" i="43"/>
  <c r="M42" i="45"/>
  <c r="O45" i="43"/>
  <c r="S45"/>
  <c r="T45"/>
  <c r="U45"/>
  <c r="V45"/>
  <c r="F42" i="45" s="1"/>
  <c r="W45" i="43"/>
  <c r="G42" i="45" s="1"/>
  <c r="AB45" i="43"/>
  <c r="AM45"/>
  <c r="AN45"/>
  <c r="DF45"/>
  <c r="Q42" i="45" s="1"/>
  <c r="R42" s="1"/>
  <c r="DV45" i="43"/>
  <c r="EC45"/>
  <c r="EF45"/>
  <c r="EG45"/>
  <c r="EH45"/>
  <c r="P42" i="45"/>
  <c r="FG45" i="43"/>
  <c r="F27" i="24"/>
  <c r="Q27"/>
  <c r="R27"/>
  <c r="S27"/>
  <c r="U27"/>
  <c r="AM27"/>
  <c r="F28"/>
  <c r="Q28"/>
  <c r="R28"/>
  <c r="S28"/>
  <c r="U28"/>
  <c r="AM28"/>
  <c r="F29"/>
  <c r="Q29"/>
  <c r="R29"/>
  <c r="S29"/>
  <c r="U29"/>
  <c r="AM29"/>
  <c r="F30"/>
  <c r="Q30"/>
  <c r="R30"/>
  <c r="S30"/>
  <c r="U30"/>
  <c r="AM30"/>
  <c r="F31"/>
  <c r="Q31"/>
  <c r="R31"/>
  <c r="S31"/>
  <c r="U31"/>
  <c r="AM31"/>
  <c r="F32"/>
  <c r="Q32"/>
  <c r="R32"/>
  <c r="S32"/>
  <c r="U32"/>
  <c r="AM32"/>
  <c r="F33"/>
  <c r="Q33"/>
  <c r="R33"/>
  <c r="S33"/>
  <c r="U33"/>
  <c r="AM33"/>
  <c r="F34"/>
  <c r="Q34"/>
  <c r="R34"/>
  <c r="S34"/>
  <c r="U34"/>
  <c r="AM34"/>
  <c r="F35"/>
  <c r="Q35"/>
  <c r="R35"/>
  <c r="S35"/>
  <c r="U35"/>
  <c r="AM35"/>
  <c r="F36"/>
  <c r="Q36"/>
  <c r="R36"/>
  <c r="S36"/>
  <c r="U36"/>
  <c r="AM36"/>
  <c r="Q37"/>
  <c r="R37"/>
  <c r="S37"/>
  <c r="U37"/>
  <c r="AM37"/>
  <c r="F38"/>
  <c r="Q38"/>
  <c r="R38"/>
  <c r="S38"/>
  <c r="U38"/>
  <c r="AM38"/>
  <c r="F39"/>
  <c r="Q39"/>
  <c r="R39"/>
  <c r="S39"/>
  <c r="U39"/>
  <c r="AM39"/>
  <c r="F40"/>
  <c r="Q40"/>
  <c r="R40"/>
  <c r="S40"/>
  <c r="U40"/>
  <c r="AM40"/>
  <c r="F41"/>
  <c r="Q41"/>
  <c r="R41"/>
  <c r="S41"/>
  <c r="U41"/>
  <c r="AM41"/>
  <c r="F42"/>
  <c r="Q42"/>
  <c r="R42"/>
  <c r="S42"/>
  <c r="U42"/>
  <c r="AM42"/>
  <c r="F43"/>
  <c r="Q43"/>
  <c r="R43"/>
  <c r="S43"/>
  <c r="U43"/>
  <c r="AM43"/>
  <c r="F44"/>
  <c r="Q44"/>
  <c r="R44"/>
  <c r="S44"/>
  <c r="U44"/>
  <c r="AM44"/>
  <c r="F45"/>
  <c r="Q45"/>
  <c r="R45"/>
  <c r="S45"/>
  <c r="U45"/>
  <c r="AM45"/>
  <c r="F26"/>
  <c r="Q26"/>
  <c r="R26"/>
  <c r="S26"/>
  <c r="U26"/>
  <c r="AM26"/>
  <c r="O27" i="43"/>
  <c r="S27"/>
  <c r="T27"/>
  <c r="U27"/>
  <c r="V27"/>
  <c r="F24" i="45" s="1"/>
  <c r="W27" i="43"/>
  <c r="G24" i="45" s="1"/>
  <c r="AB27" i="43"/>
  <c r="AM27"/>
  <c r="AN27"/>
  <c r="DF27"/>
  <c r="Q24" i="45" s="1"/>
  <c r="R24" s="1"/>
  <c r="DV27" i="43"/>
  <c r="EC27"/>
  <c r="EF27"/>
  <c r="EG27"/>
  <c r="EH27"/>
  <c r="P24" i="45"/>
  <c r="FG27" i="43"/>
  <c r="O28"/>
  <c r="FE28" s="1"/>
  <c r="S28"/>
  <c r="T28"/>
  <c r="U28"/>
  <c r="E25" i="45" s="1"/>
  <c r="V28" i="43"/>
  <c r="F25" i="45" s="1"/>
  <c r="W28" i="43"/>
  <c r="G25" i="45" s="1"/>
  <c r="AB28" i="43"/>
  <c r="AM28"/>
  <c r="AN28"/>
  <c r="DF28"/>
  <c r="DV28"/>
  <c r="EC28"/>
  <c r="EF28"/>
  <c r="EG28"/>
  <c r="EH28"/>
  <c r="P25" i="45"/>
  <c r="FG28" i="43"/>
  <c r="O29"/>
  <c r="S29"/>
  <c r="T29"/>
  <c r="U29"/>
  <c r="E26" i="45" s="1"/>
  <c r="V29" i="43"/>
  <c r="F26" i="45" s="1"/>
  <c r="W29" i="43"/>
  <c r="AB29"/>
  <c r="AC29" s="1"/>
  <c r="AM29"/>
  <c r="AN29"/>
  <c r="DF29"/>
  <c r="Q26" i="45" s="1"/>
  <c r="R26" s="1"/>
  <c r="DV29" i="43"/>
  <c r="EC29"/>
  <c r="EF29"/>
  <c r="EG29"/>
  <c r="EH29"/>
  <c r="P26" i="45"/>
  <c r="FG29" i="43"/>
  <c r="O30"/>
  <c r="FE30" s="1"/>
  <c r="S30"/>
  <c r="T30"/>
  <c r="U30"/>
  <c r="V30"/>
  <c r="F27" i="45" s="1"/>
  <c r="W30" i="43"/>
  <c r="G27" i="45" s="1"/>
  <c r="AB30" i="43"/>
  <c r="AM30"/>
  <c r="AN30"/>
  <c r="DF30"/>
  <c r="Q27" i="45" s="1"/>
  <c r="R27" s="1"/>
  <c r="DV30" i="43"/>
  <c r="EC30"/>
  <c r="EF30"/>
  <c r="EG30"/>
  <c r="EH30"/>
  <c r="P27" i="45"/>
  <c r="FG30" i="43"/>
  <c r="O31"/>
  <c r="S31"/>
  <c r="T31"/>
  <c r="U31"/>
  <c r="E28" i="45" s="1"/>
  <c r="V31" i="43"/>
  <c r="F28" i="45" s="1"/>
  <c r="W31" i="43"/>
  <c r="G28" i="45" s="1"/>
  <c r="AB31" i="43"/>
  <c r="AM31"/>
  <c r="AN31"/>
  <c r="DF31"/>
  <c r="DV31"/>
  <c r="EC31"/>
  <c r="EF31"/>
  <c r="EG31"/>
  <c r="EH31"/>
  <c r="P28" i="45"/>
  <c r="FG31" i="43"/>
  <c r="O32"/>
  <c r="S32"/>
  <c r="T32"/>
  <c r="U32"/>
  <c r="E29" i="45" s="1"/>
  <c r="V32" i="43"/>
  <c r="F29" i="45" s="1"/>
  <c r="W32" i="43"/>
  <c r="G29" i="45" s="1"/>
  <c r="AB32" i="43"/>
  <c r="AM32"/>
  <c r="AN32"/>
  <c r="DF32"/>
  <c r="Q29" i="45" s="1"/>
  <c r="R29" s="1"/>
  <c r="DV32" i="43"/>
  <c r="EC32"/>
  <c r="EF32"/>
  <c r="EG32"/>
  <c r="EH32"/>
  <c r="P29" i="45"/>
  <c r="FG32" i="43"/>
  <c r="O33"/>
  <c r="FE33" s="1"/>
  <c r="S33"/>
  <c r="T33"/>
  <c r="U33"/>
  <c r="E30" i="45" s="1"/>
  <c r="V33" i="43"/>
  <c r="F30" i="45" s="1"/>
  <c r="W33" i="43"/>
  <c r="G30" i="45" s="1"/>
  <c r="AB33" i="43"/>
  <c r="AM33"/>
  <c r="AN33"/>
  <c r="DF33"/>
  <c r="DV33"/>
  <c r="EC33"/>
  <c r="EF33"/>
  <c r="EG33"/>
  <c r="EH33"/>
  <c r="P30" i="45"/>
  <c r="FG33" i="43"/>
  <c r="O34"/>
  <c r="FE34" s="1"/>
  <c r="S34"/>
  <c r="T34"/>
  <c r="U34"/>
  <c r="E31" i="45" s="1"/>
  <c r="V34" i="43"/>
  <c r="F31" i="45" s="1"/>
  <c r="W34" i="43"/>
  <c r="G31" i="45" s="1"/>
  <c r="AB34" i="43"/>
  <c r="AM34"/>
  <c r="AN34"/>
  <c r="DF34"/>
  <c r="DG34" s="1"/>
  <c r="DH34" s="1"/>
  <c r="G34" s="1"/>
  <c r="DV34"/>
  <c r="EC34"/>
  <c r="EF34"/>
  <c r="EG34"/>
  <c r="EH34"/>
  <c r="P31" i="45"/>
  <c r="FG34" i="43"/>
  <c r="O35"/>
  <c r="S35"/>
  <c r="U35"/>
  <c r="V35"/>
  <c r="F32" i="45" s="1"/>
  <c r="AB35" i="43"/>
  <c r="AC36" s="1"/>
  <c r="AM35"/>
  <c r="AN35"/>
  <c r="DF35"/>
  <c r="DV35"/>
  <c r="EC35"/>
  <c r="EF35"/>
  <c r="EG35"/>
  <c r="EH35"/>
  <c r="P32" i="45"/>
  <c r="FG35" i="43"/>
  <c r="M24" i="45"/>
  <c r="M25"/>
  <c r="M26"/>
  <c r="M27"/>
  <c r="M28"/>
  <c r="M29"/>
  <c r="M30"/>
  <c r="M31"/>
  <c r="M32"/>
  <c r="M15"/>
  <c r="DF18" i="43"/>
  <c r="Q15" i="45" s="1"/>
  <c r="R15" s="1"/>
  <c r="O18" i="43"/>
  <c r="U18"/>
  <c r="V18"/>
  <c r="F15" i="45" s="1"/>
  <c r="S18" i="43"/>
  <c r="T18"/>
  <c r="W18"/>
  <c r="AB18"/>
  <c r="AM18"/>
  <c r="AN18"/>
  <c r="DV18"/>
  <c r="EC18"/>
  <c r="EF18"/>
  <c r="EG18"/>
  <c r="EH18"/>
  <c r="P15" i="45"/>
  <c r="FG18" i="43"/>
  <c r="M16" i="45"/>
  <c r="DF19" i="43"/>
  <c r="O19"/>
  <c r="FE19" s="1"/>
  <c r="U19"/>
  <c r="V19"/>
  <c r="F16" i="45" s="1"/>
  <c r="S19" i="43"/>
  <c r="T19"/>
  <c r="W19"/>
  <c r="AB19"/>
  <c r="AM19"/>
  <c r="AN19"/>
  <c r="DV19"/>
  <c r="EC19"/>
  <c r="EF19"/>
  <c r="EG19"/>
  <c r="EH19"/>
  <c r="P16" i="45"/>
  <c r="FG19" i="43"/>
  <c r="DF20"/>
  <c r="Q17" i="45" s="1"/>
  <c r="R17" s="1"/>
  <c r="O20" i="43"/>
  <c r="U20"/>
  <c r="E17" i="45" s="1"/>
  <c r="V20" i="43"/>
  <c r="S20"/>
  <c r="T20"/>
  <c r="W20"/>
  <c r="G17" i="45" s="1"/>
  <c r="AB20" i="43"/>
  <c r="AM20"/>
  <c r="AN20"/>
  <c r="DV20"/>
  <c r="EC20"/>
  <c r="EF20"/>
  <c r="EG20"/>
  <c r="EH20"/>
  <c r="P17" i="45"/>
  <c r="FG20" i="43"/>
  <c r="M18" i="45"/>
  <c r="DF21" i="43"/>
  <c r="Q18" i="45" s="1"/>
  <c r="R18" s="1"/>
  <c r="O21" i="43"/>
  <c r="U21"/>
  <c r="E18" i="45" s="1"/>
  <c r="V21" i="43"/>
  <c r="F18" i="45" s="1"/>
  <c r="S21" i="43"/>
  <c r="T21"/>
  <c r="W21"/>
  <c r="G18" i="45" s="1"/>
  <c r="AB21" i="43"/>
  <c r="AM21"/>
  <c r="AN21"/>
  <c r="DV21"/>
  <c r="EC21"/>
  <c r="EF21"/>
  <c r="EG21"/>
  <c r="EH21"/>
  <c r="P18" i="45"/>
  <c r="FG21" i="43"/>
  <c r="M19" i="45"/>
  <c r="DF22" i="43"/>
  <c r="O22"/>
  <c r="FE22" s="1"/>
  <c r="U22"/>
  <c r="E19" i="45" s="1"/>
  <c r="V22" i="43"/>
  <c r="F19" i="45" s="1"/>
  <c r="S22" i="43"/>
  <c r="T22"/>
  <c r="W22"/>
  <c r="G19" i="45" s="1"/>
  <c r="AB22" i="43"/>
  <c r="AM22"/>
  <c r="AN22"/>
  <c r="DV22"/>
  <c r="EC22"/>
  <c r="EF22"/>
  <c r="EG22"/>
  <c r="EH22"/>
  <c r="P19" i="45"/>
  <c r="FG22" i="43"/>
  <c r="M20" i="45"/>
  <c r="DF23" i="43"/>
  <c r="O23"/>
  <c r="U23"/>
  <c r="E20" i="45" s="1"/>
  <c r="V23" i="43"/>
  <c r="F20" i="45" s="1"/>
  <c r="S23" i="43"/>
  <c r="T23"/>
  <c r="W23"/>
  <c r="G20" i="45" s="1"/>
  <c r="AB23" i="43"/>
  <c r="AM23"/>
  <c r="AN23"/>
  <c r="DV23"/>
  <c r="EC23"/>
  <c r="EF23"/>
  <c r="EG23"/>
  <c r="EH23"/>
  <c r="P20" i="45"/>
  <c r="FG23" i="43"/>
  <c r="M21" i="45"/>
  <c r="DF24" i="43"/>
  <c r="Q21" i="45" s="1"/>
  <c r="R21" s="1"/>
  <c r="O24" i="43"/>
  <c r="FE24" s="1"/>
  <c r="U24"/>
  <c r="V24"/>
  <c r="F21" i="45" s="1"/>
  <c r="S24" i="43"/>
  <c r="T24"/>
  <c r="W24"/>
  <c r="G21" i="45" s="1"/>
  <c r="AB24" i="43"/>
  <c r="AM24"/>
  <c r="AN24"/>
  <c r="DV24"/>
  <c r="EC24"/>
  <c r="EF24"/>
  <c r="EG24"/>
  <c r="EH24"/>
  <c r="P21" i="45"/>
  <c r="FG24" i="43"/>
  <c r="M22" i="45"/>
  <c r="DF25" i="43"/>
  <c r="O25"/>
  <c r="U25"/>
  <c r="V25"/>
  <c r="F22" i="45" s="1"/>
  <c r="S25" i="43"/>
  <c r="T25"/>
  <c r="W25"/>
  <c r="G22" i="45" s="1"/>
  <c r="AB25" i="43"/>
  <c r="AM25"/>
  <c r="AN25"/>
  <c r="DV25"/>
  <c r="EC25"/>
  <c r="EF25"/>
  <c r="EG25"/>
  <c r="EH25"/>
  <c r="P22" i="45"/>
  <c r="FG25" i="43"/>
  <c r="M23" i="45"/>
  <c r="DF26" i="43"/>
  <c r="O26"/>
  <c r="FE26" s="1"/>
  <c r="U26"/>
  <c r="V26"/>
  <c r="F23" i="45" s="1"/>
  <c r="S26" i="43"/>
  <c r="T26"/>
  <c r="W26"/>
  <c r="G23" i="45" s="1"/>
  <c r="AB26" i="43"/>
  <c r="AM26"/>
  <c r="AN26"/>
  <c r="DV26"/>
  <c r="EC26"/>
  <c r="EF26"/>
  <c r="EG26"/>
  <c r="EH26"/>
  <c r="P23" i="45"/>
  <c r="FG26" i="43"/>
  <c r="F18" i="24"/>
  <c r="Q18"/>
  <c r="R18"/>
  <c r="S18"/>
  <c r="U18"/>
  <c r="Q19"/>
  <c r="R19"/>
  <c r="S19"/>
  <c r="AM18"/>
  <c r="F19"/>
  <c r="U19"/>
  <c r="Q20"/>
  <c r="R20"/>
  <c r="S20"/>
  <c r="AM19"/>
  <c r="F20"/>
  <c r="U20"/>
  <c r="Q21"/>
  <c r="R21"/>
  <c r="S21"/>
  <c r="AM20"/>
  <c r="F21"/>
  <c r="U21"/>
  <c r="Q22"/>
  <c r="R22"/>
  <c r="S22"/>
  <c r="AM21"/>
  <c r="F22"/>
  <c r="U22"/>
  <c r="Q23"/>
  <c r="R23"/>
  <c r="S23"/>
  <c r="AM22"/>
  <c r="F23"/>
  <c r="U23"/>
  <c r="Q24"/>
  <c r="R24"/>
  <c r="S24"/>
  <c r="AM23"/>
  <c r="F24"/>
  <c r="U24"/>
  <c r="Q25"/>
  <c r="R25"/>
  <c r="S25"/>
  <c r="AM24"/>
  <c r="F25"/>
  <c r="U25"/>
  <c r="AM25"/>
  <c r="AM8" i="43"/>
  <c r="AN8"/>
  <c r="AM9"/>
  <c r="AN9"/>
  <c r="AM10"/>
  <c r="AN10"/>
  <c r="AM11"/>
  <c r="AN11"/>
  <c r="AM12"/>
  <c r="AN12"/>
  <c r="AM13"/>
  <c r="AN13"/>
  <c r="AM14"/>
  <c r="AN14"/>
  <c r="AM15"/>
  <c r="AN15"/>
  <c r="AM16"/>
  <c r="AN16"/>
  <c r="AM17"/>
  <c r="AN17"/>
  <c r="O5" i="45"/>
  <c r="O6"/>
  <c r="O7"/>
  <c r="O8"/>
  <c r="O9"/>
  <c r="O10"/>
  <c r="O11"/>
  <c r="O12"/>
  <c r="L5"/>
  <c r="L6"/>
  <c r="L7"/>
  <c r="L8"/>
  <c r="L9"/>
  <c r="L10"/>
  <c r="L11"/>
  <c r="L12"/>
  <c r="K5"/>
  <c r="K6"/>
  <c r="K7"/>
  <c r="K8"/>
  <c r="K9"/>
  <c r="K10"/>
  <c r="K11"/>
  <c r="K12"/>
  <c r="J5"/>
  <c r="J6"/>
  <c r="J7"/>
  <c r="J8"/>
  <c r="J9"/>
  <c r="J10"/>
  <c r="J11"/>
  <c r="J12"/>
  <c r="I5"/>
  <c r="AG5" s="1"/>
  <c r="I6"/>
  <c r="AG6" s="1"/>
  <c r="I7"/>
  <c r="I8"/>
  <c r="AG8" s="1"/>
  <c r="I9"/>
  <c r="I10"/>
  <c r="I11"/>
  <c r="I12"/>
  <c r="AG12" s="1"/>
  <c r="H5"/>
  <c r="H6"/>
  <c r="H7"/>
  <c r="H8"/>
  <c r="H9"/>
  <c r="H10"/>
  <c r="H11"/>
  <c r="H12"/>
  <c r="AR4"/>
  <c r="AD5"/>
  <c r="AE5"/>
  <c r="AD6"/>
  <c r="AE6"/>
  <c r="AD7"/>
  <c r="AE7"/>
  <c r="AD8"/>
  <c r="AE8"/>
  <c r="AD9"/>
  <c r="AE9"/>
  <c r="AD10"/>
  <c r="AE10"/>
  <c r="AD11"/>
  <c r="AE11"/>
  <c r="FG8" i="43"/>
  <c r="FG9"/>
  <c r="FG10"/>
  <c r="FG11"/>
  <c r="FG12"/>
  <c r="FG13"/>
  <c r="FG14"/>
  <c r="FG16"/>
  <c r="FG17"/>
  <c r="CM8"/>
  <c r="AL8"/>
  <c r="AB8"/>
  <c r="AC8" s="1"/>
  <c r="AB9"/>
  <c r="AB10"/>
  <c r="AB11"/>
  <c r="AB12"/>
  <c r="AB13"/>
  <c r="AB14"/>
  <c r="AB15"/>
  <c r="AB16"/>
  <c r="AB17"/>
  <c r="AC17" s="1"/>
  <c r="C7" i="30"/>
  <c r="C20" s="1"/>
  <c r="A3" i="44"/>
  <c r="O8" i="43"/>
  <c r="CU8" s="1"/>
  <c r="S8"/>
  <c r="T8"/>
  <c r="U8"/>
  <c r="V8"/>
  <c r="F5" i="45" s="1"/>
  <c r="W8" i="43"/>
  <c r="G5" i="45" s="1"/>
  <c r="DF8" i="43"/>
  <c r="DG8" s="1"/>
  <c r="DH8" s="1"/>
  <c r="G8" s="1"/>
  <c r="DV8"/>
  <c r="EC8"/>
  <c r="EF8"/>
  <c r="EG8"/>
  <c r="EH8"/>
  <c r="P5" i="45"/>
  <c r="FU9" i="43"/>
  <c r="FU10" s="1"/>
  <c r="FU11" s="1"/>
  <c r="FU12" s="1"/>
  <c r="FU13" s="1"/>
  <c r="FU14" s="1"/>
  <c r="FU15" s="1"/>
  <c r="FU16" s="1"/>
  <c r="FU17" s="1"/>
  <c r="FU18" s="1"/>
  <c r="FU19" s="1"/>
  <c r="FU20" s="1"/>
  <c r="FU21" s="1"/>
  <c r="FU22" s="1"/>
  <c r="FU23" s="1"/>
  <c r="FU24" s="1"/>
  <c r="FU25" s="1"/>
  <c r="FU26" s="1"/>
  <c r="FU27" s="1"/>
  <c r="FU28" s="1"/>
  <c r="FU29" s="1"/>
  <c r="FU30" s="1"/>
  <c r="FU31" s="1"/>
  <c r="FU32" s="1"/>
  <c r="FU33" s="1"/>
  <c r="FU34" s="1"/>
  <c r="FU35" s="1"/>
  <c r="FU36" s="1"/>
  <c r="FU37" s="1"/>
  <c r="FU38" s="1"/>
  <c r="FU39" s="1"/>
  <c r="FU40" s="1"/>
  <c r="FU41" s="1"/>
  <c r="FU42" s="1"/>
  <c r="FU43" s="1"/>
  <c r="FU44" s="1"/>
  <c r="FU45" s="1"/>
  <c r="FU46" s="1"/>
  <c r="FU47" s="1"/>
  <c r="FU48" s="1"/>
  <c r="FU49" s="1"/>
  <c r="FU50" s="1"/>
  <c r="FU51" s="1"/>
  <c r="FU52" s="1"/>
  <c r="FU53" s="1"/>
  <c r="FU54" s="1"/>
  <c r="FU55" s="1"/>
  <c r="FU56" s="1"/>
  <c r="FU57" s="1"/>
  <c r="FU58" s="1"/>
  <c r="FU59" s="1"/>
  <c r="FU60" s="1"/>
  <c r="FU61" s="1"/>
  <c r="FU62" s="1"/>
  <c r="FU63" s="1"/>
  <c r="FU64" s="1"/>
  <c r="FU65" s="1"/>
  <c r="FU66" s="1"/>
  <c r="FU67" s="1"/>
  <c r="FU68" s="1"/>
  <c r="FU69" s="1"/>
  <c r="FU70" s="1"/>
  <c r="FU71" s="1"/>
  <c r="FU72" s="1"/>
  <c r="FU73" s="1"/>
  <c r="FU74" s="1"/>
  <c r="FU75" s="1"/>
  <c r="FU76" s="1"/>
  <c r="FU77" s="1"/>
  <c r="FU78" s="1"/>
  <c r="FU79" s="1"/>
  <c r="FU80" s="1"/>
  <c r="FU81" s="1"/>
  <c r="FU82" s="1"/>
  <c r="FU83" s="1"/>
  <c r="FU84" s="1"/>
  <c r="FU85" s="1"/>
  <c r="FU86" s="1"/>
  <c r="FU87" s="1"/>
  <c r="FU88" s="1"/>
  <c r="FU89" s="1"/>
  <c r="FU90" s="1"/>
  <c r="FU91" s="1"/>
  <c r="FU92" s="1"/>
  <c r="FU93" s="1"/>
  <c r="FU94" s="1"/>
  <c r="FU95" s="1"/>
  <c r="FU96" s="1"/>
  <c r="FU97" s="1"/>
  <c r="FU98" s="1"/>
  <c r="FU99" s="1"/>
  <c r="FU100" s="1"/>
  <c r="FU101" s="1"/>
  <c r="FU102" s="1"/>
  <c r="FU103" s="1"/>
  <c r="FU104" s="1"/>
  <c r="FU105" s="1"/>
  <c r="FU106" s="1"/>
  <c r="FU107" s="1"/>
  <c r="FU108" s="1"/>
  <c r="FU109" s="1"/>
  <c r="FU110" s="1"/>
  <c r="FU111" s="1"/>
  <c r="FU112" s="1"/>
  <c r="FU113" s="1"/>
  <c r="FU114" s="1"/>
  <c r="FU115" s="1"/>
  <c r="FU116" s="1"/>
  <c r="FU117" s="1"/>
  <c r="M6" i="45"/>
  <c r="O9" i="43"/>
  <c r="FE9" s="1"/>
  <c r="S9"/>
  <c r="T9"/>
  <c r="U9"/>
  <c r="E6" i="45" s="1"/>
  <c r="V9" i="43"/>
  <c r="F6" i="45" s="1"/>
  <c r="W9" i="43"/>
  <c r="G6" i="45" s="1"/>
  <c r="DF9" i="43"/>
  <c r="Q6" i="45" s="1"/>
  <c r="R6" s="1"/>
  <c r="DV9" i="43"/>
  <c r="EC9"/>
  <c r="EF9"/>
  <c r="EG9"/>
  <c r="EH9"/>
  <c r="P6" i="45"/>
  <c r="M7"/>
  <c r="O10" i="43"/>
  <c r="CB10" s="1"/>
  <c r="S10"/>
  <c r="T10"/>
  <c r="U10"/>
  <c r="E7" i="45" s="1"/>
  <c r="V10" i="43"/>
  <c r="W10"/>
  <c r="G7" i="45" s="1"/>
  <c r="DF10" i="43"/>
  <c r="DV10"/>
  <c r="EC10"/>
  <c r="EF10"/>
  <c r="EG10"/>
  <c r="EH10"/>
  <c r="P7" i="45"/>
  <c r="O11" i="43"/>
  <c r="FE11" s="1"/>
  <c r="S11"/>
  <c r="T11"/>
  <c r="U11"/>
  <c r="E8" i="45" s="1"/>
  <c r="V11" i="43"/>
  <c r="F8" i="45" s="1"/>
  <c r="W11" i="43"/>
  <c r="G8" i="45" s="1"/>
  <c r="DF11" i="43"/>
  <c r="Q8" i="45" s="1"/>
  <c r="DV11" i="43"/>
  <c r="EC11"/>
  <c r="EF11"/>
  <c r="EG11"/>
  <c r="EH11"/>
  <c r="P8" i="45"/>
  <c r="O12" i="43"/>
  <c r="FE12" s="1"/>
  <c r="S12"/>
  <c r="T12"/>
  <c r="U12"/>
  <c r="E9" i="45" s="1"/>
  <c r="V12" i="43"/>
  <c r="F9" i="45" s="1"/>
  <c r="W12" i="43"/>
  <c r="G9" i="45" s="1"/>
  <c r="DF12" i="43"/>
  <c r="DV12"/>
  <c r="EC12"/>
  <c r="EF12"/>
  <c r="EG12"/>
  <c r="EH12"/>
  <c r="P9" i="45"/>
  <c r="O13" i="43"/>
  <c r="FE13" s="1"/>
  <c r="S13"/>
  <c r="T13"/>
  <c r="U13"/>
  <c r="V13"/>
  <c r="F10" i="45" s="1"/>
  <c r="W13" i="43"/>
  <c r="G10" i="45" s="1"/>
  <c r="DF13" i="43"/>
  <c r="DV13"/>
  <c r="EC13"/>
  <c r="EF13"/>
  <c r="EG13"/>
  <c r="EH13"/>
  <c r="P10" i="45"/>
  <c r="O14" i="43"/>
  <c r="FE14" s="1"/>
  <c r="S14"/>
  <c r="T14"/>
  <c r="U14"/>
  <c r="E11" i="45" s="1"/>
  <c r="V14" i="43"/>
  <c r="F11" i="45" s="1"/>
  <c r="W14" i="43"/>
  <c r="G11" i="45" s="1"/>
  <c r="DF14" i="43"/>
  <c r="DV14"/>
  <c r="EC14"/>
  <c r="EF14"/>
  <c r="EG14"/>
  <c r="EH14"/>
  <c r="P11" i="45"/>
  <c r="O15" i="43"/>
  <c r="S15"/>
  <c r="T15"/>
  <c r="U15"/>
  <c r="V15"/>
  <c r="F12" i="45" s="1"/>
  <c r="W15" i="43"/>
  <c r="G12" i="45" s="1"/>
  <c r="DF15" i="43"/>
  <c r="DV15"/>
  <c r="EC15"/>
  <c r="P12" i="45"/>
  <c r="O16" i="43"/>
  <c r="CB16" s="1"/>
  <c r="S16"/>
  <c r="T16"/>
  <c r="U16"/>
  <c r="V16"/>
  <c r="F13" i="45" s="1"/>
  <c r="W16" i="43"/>
  <c r="G13" i="45" s="1"/>
  <c r="DF16" i="43"/>
  <c r="Q13" i="45" s="1"/>
  <c r="R13" s="1"/>
  <c r="DV16" i="43"/>
  <c r="EC16"/>
  <c r="P13" i="45"/>
  <c r="M14"/>
  <c r="O17" i="43"/>
  <c r="CB17" s="1"/>
  <c r="S17"/>
  <c r="T17"/>
  <c r="U17"/>
  <c r="E14" i="45" s="1"/>
  <c r="V17" i="43"/>
  <c r="W17"/>
  <c r="G14" i="45" s="1"/>
  <c r="DF17" i="43"/>
  <c r="DG18" s="1"/>
  <c r="DH18" s="1"/>
  <c r="G18" s="1"/>
  <c r="AF15" i="45" s="1"/>
  <c r="DV17" i="43"/>
  <c r="EC17"/>
  <c r="EF17"/>
  <c r="EG17"/>
  <c r="EH17"/>
  <c r="P14" i="45"/>
  <c r="F6" i="24"/>
  <c r="G6"/>
  <c r="G105" s="1"/>
  <c r="H6"/>
  <c r="H98" s="1"/>
  <c r="I6"/>
  <c r="K291" s="1"/>
  <c r="K6"/>
  <c r="M6"/>
  <c r="M291" s="1"/>
  <c r="N6"/>
  <c r="N291" s="1"/>
  <c r="Q6"/>
  <c r="F8"/>
  <c r="Q8"/>
  <c r="R8"/>
  <c r="S8"/>
  <c r="U8"/>
  <c r="AM8"/>
  <c r="F9"/>
  <c r="Q9"/>
  <c r="R9"/>
  <c r="S9"/>
  <c r="U9"/>
  <c r="AM9"/>
  <c r="F10"/>
  <c r="Q10"/>
  <c r="R10"/>
  <c r="S10"/>
  <c r="U10"/>
  <c r="AM10"/>
  <c r="F11"/>
  <c r="Q11"/>
  <c r="R11"/>
  <c r="S11"/>
  <c r="U11"/>
  <c r="AM11"/>
  <c r="F12"/>
  <c r="Q12"/>
  <c r="R12"/>
  <c r="S12"/>
  <c r="U12"/>
  <c r="AM12"/>
  <c r="F13"/>
  <c r="Q13"/>
  <c r="R13"/>
  <c r="S13"/>
  <c r="U13"/>
  <c r="AM13"/>
  <c r="F14"/>
  <c r="Q14"/>
  <c r="R14"/>
  <c r="S14"/>
  <c r="U14"/>
  <c r="AM14"/>
  <c r="R15"/>
  <c r="U15"/>
  <c r="AM15"/>
  <c r="AM16"/>
  <c r="F17"/>
  <c r="Q17"/>
  <c r="R17"/>
  <c r="S17"/>
  <c r="U17"/>
  <c r="AM17"/>
  <c r="E8" i="42"/>
  <c r="F8" s="1"/>
  <c r="C9"/>
  <c r="AT46" i="24" s="1"/>
  <c r="M47" i="42"/>
  <c r="M2" i="29"/>
  <c r="M3"/>
  <c r="M6"/>
  <c r="F4" i="23"/>
  <c r="F5"/>
  <c r="F6"/>
  <c r="F7"/>
  <c r="F8"/>
  <c r="F9"/>
  <c r="M9"/>
  <c r="F10"/>
  <c r="M10"/>
  <c r="M18" s="1"/>
  <c r="N10"/>
  <c r="N18" s="1"/>
  <c r="F11"/>
  <c r="F12"/>
  <c r="N12"/>
  <c r="F13"/>
  <c r="N13"/>
  <c r="F14"/>
  <c r="N14"/>
  <c r="F15"/>
  <c r="M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G220" s="1"/>
  <c r="F220"/>
  <c r="F221"/>
  <c r="F222"/>
  <c r="F223"/>
  <c r="F224"/>
  <c r="F225"/>
  <c r="F226"/>
  <c r="F227"/>
  <c r="F228"/>
  <c r="F229"/>
  <c r="F230"/>
  <c r="F231"/>
  <c r="F232"/>
  <c r="F233"/>
  <c r="A3" i="22"/>
  <c r="A9"/>
  <c r="BZ9" i="43"/>
  <c r="BE9"/>
  <c r="CS8"/>
  <c r="CS9"/>
  <c r="BE8"/>
  <c r="BZ8"/>
  <c r="Z8"/>
  <c r="AA8" s="1"/>
  <c r="C5" i="45" s="1"/>
  <c r="Z9" i="43"/>
  <c r="AA9" s="1"/>
  <c r="C6" i="45" s="1"/>
  <c r="P143" i="43"/>
  <c r="P135"/>
  <c r="P132"/>
  <c r="P129"/>
  <c r="DG127"/>
  <c r="DH127" s="1"/>
  <c r="G127" s="1"/>
  <c r="DG124"/>
  <c r="DH124" s="1"/>
  <c r="G124" s="1"/>
  <c r="P116"/>
  <c r="P113"/>
  <c r="P108"/>
  <c r="P105"/>
  <c r="P65"/>
  <c r="P64"/>
  <c r="P63"/>
  <c r="P59"/>
  <c r="P86"/>
  <c r="P84"/>
  <c r="DG83"/>
  <c r="DH83" s="1"/>
  <c r="G83" s="1"/>
  <c r="AC78"/>
  <c r="P46"/>
  <c r="M151" i="45"/>
  <c r="DG141" i="43"/>
  <c r="DH141" s="1"/>
  <c r="G141" s="1"/>
  <c r="DG140"/>
  <c r="DH140" s="1"/>
  <c r="G140" s="1"/>
  <c r="M140" s="1"/>
  <c r="DG137"/>
  <c r="DH137" s="1"/>
  <c r="G137" s="1"/>
  <c r="DG132"/>
  <c r="DH132" s="1"/>
  <c r="G132" s="1"/>
  <c r="AF129" i="45" s="1"/>
  <c r="DG131" i="43"/>
  <c r="DH131" s="1"/>
  <c r="G131" s="1"/>
  <c r="DG128"/>
  <c r="DH128" s="1"/>
  <c r="G128" s="1"/>
  <c r="H128" s="1"/>
  <c r="DG116"/>
  <c r="DH116" s="1"/>
  <c r="G116" s="1"/>
  <c r="DG115"/>
  <c r="DH115" s="1"/>
  <c r="G115" s="1"/>
  <c r="DG100"/>
  <c r="DH100" s="1"/>
  <c r="G100" s="1"/>
  <c r="AF97" i="45" s="1"/>
  <c r="DG90" i="43"/>
  <c r="DH90" s="1"/>
  <c r="G90" s="1"/>
  <c r="DG70"/>
  <c r="DH70" s="1"/>
  <c r="G70" s="1"/>
  <c r="DG66"/>
  <c r="DH66" s="1"/>
  <c r="G66" s="1"/>
  <c r="DG65"/>
  <c r="DH65" s="1"/>
  <c r="G65" s="1"/>
  <c r="DG54"/>
  <c r="DH54" s="1"/>
  <c r="G54" s="1"/>
  <c r="DG50"/>
  <c r="DH50" s="1"/>
  <c r="G50" s="1"/>
  <c r="AG61" i="45"/>
  <c r="AG59"/>
  <c r="AG57"/>
  <c r="AG55"/>
  <c r="AG53"/>
  <c r="AG51"/>
  <c r="AG49"/>
  <c r="AG47"/>
  <c r="M347"/>
  <c r="M355"/>
  <c r="M329"/>
  <c r="M249"/>
  <c r="M245"/>
  <c r="M96"/>
  <c r="M84"/>
  <c r="Q95"/>
  <c r="R95" s="1"/>
  <c r="S96" s="1"/>
  <c r="DG99" i="43"/>
  <c r="DH99" s="1"/>
  <c r="G99" s="1"/>
  <c r="M77" i="45"/>
  <c r="M75"/>
  <c r="M200"/>
  <c r="M194"/>
  <c r="M190"/>
  <c r="DG154" i="43"/>
  <c r="DH154" s="1"/>
  <c r="G154" s="1"/>
  <c r="DG136"/>
  <c r="DH136" s="1"/>
  <c r="G136" s="1"/>
  <c r="M130" i="45"/>
  <c r="M126"/>
  <c r="L123" i="43"/>
  <c r="DG113"/>
  <c r="DH113" s="1"/>
  <c r="G113" s="1"/>
  <c r="AF110" i="45" s="1"/>
  <c r="DG109" i="43"/>
  <c r="DH109" s="1"/>
  <c r="G109" s="1"/>
  <c r="M104" i="45"/>
  <c r="DG103" i="43"/>
  <c r="DH103" s="1"/>
  <c r="G103" s="1"/>
  <c r="P99"/>
  <c r="DG96"/>
  <c r="DH96" s="1"/>
  <c r="G96" s="1"/>
  <c r="P91"/>
  <c r="DG82"/>
  <c r="DH82" s="1"/>
  <c r="G82" s="1"/>
  <c r="AG217" i="45"/>
  <c r="DJ17" i="43"/>
  <c r="DI14"/>
  <c r="DL13"/>
  <c r="DL12"/>
  <c r="DL11"/>
  <c r="DL10"/>
  <c r="DL9"/>
  <c r="HB9" s="1"/>
  <c r="HA9" s="1"/>
  <c r="GW9" s="1"/>
  <c r="DL8"/>
  <c r="HB8" s="1"/>
  <c r="HA8" s="1"/>
  <c r="GW8" s="1"/>
  <c r="M369" i="45"/>
  <c r="M198"/>
  <c r="M186"/>
  <c r="M182"/>
  <c r="M164"/>
  <c r="M156"/>
  <c r="M128"/>
  <c r="M125"/>
  <c r="DG126" i="43"/>
  <c r="DH126" s="1"/>
  <c r="G126" s="1"/>
  <c r="M116" i="45"/>
  <c r="M113"/>
  <c r="M112"/>
  <c r="M47"/>
  <c r="M103"/>
  <c r="DG105" i="43"/>
  <c r="DH105" s="1"/>
  <c r="G105" s="1"/>
  <c r="DG69"/>
  <c r="DH69" s="1"/>
  <c r="G69" s="1"/>
  <c r="M378" i="45"/>
  <c r="M129"/>
  <c r="M109"/>
  <c r="AC84" i="43"/>
  <c r="AG352" i="45"/>
  <c r="M160"/>
  <c r="P62" i="43"/>
  <c r="DJ8"/>
  <c r="GN8" s="1"/>
  <c r="GM8" s="1"/>
  <c r="GI8" s="1"/>
  <c r="DL17"/>
  <c r="DI17"/>
  <c r="DK8"/>
  <c r="DL26"/>
  <c r="DL24"/>
  <c r="DK19"/>
  <c r="DK18"/>
  <c r="DK23"/>
  <c r="DK20"/>
  <c r="DI22"/>
  <c r="DL23"/>
  <c r="DI26"/>
  <c r="DJ25"/>
  <c r="DI39"/>
  <c r="DJ40"/>
  <c r="DI41"/>
  <c r="DL41"/>
  <c r="DK42"/>
  <c r="DK44"/>
  <c r="DJ36"/>
  <c r="DK37"/>
  <c r="DK39"/>
  <c r="DL42"/>
  <c r="DJ43"/>
  <c r="DI27"/>
  <c r="DI28"/>
  <c r="DJ29"/>
  <c r="DJ30"/>
  <c r="DI31"/>
  <c r="DL31"/>
  <c r="DJ32"/>
  <c r="DJ33"/>
  <c r="DK31"/>
  <c r="DI33"/>
  <c r="DK34"/>
  <c r="DJ35"/>
  <c r="M72" i="45"/>
  <c r="P69" i="43"/>
  <c r="DL16"/>
  <c r="DL15"/>
  <c r="DK14"/>
  <c r="M225" i="45"/>
  <c r="P95" i="43"/>
  <c r="P88"/>
  <c r="P79"/>
  <c r="DG122"/>
  <c r="DH122" s="1"/>
  <c r="G122" s="1"/>
  <c r="DG78"/>
  <c r="DH78" s="1"/>
  <c r="G78" s="1"/>
  <c r="AG344" i="45"/>
  <c r="M251"/>
  <c r="AC110" i="43"/>
  <c r="L14"/>
  <c r="L12"/>
  <c r="L22"/>
  <c r="L38"/>
  <c r="L32"/>
  <c r="DK12"/>
  <c r="DI10"/>
  <c r="DI12"/>
  <c r="DI15"/>
  <c r="DJ20"/>
  <c r="DI21"/>
  <c r="DJ22"/>
  <c r="DI23"/>
  <c r="DJ39"/>
  <c r="DK41"/>
  <c r="DJ28"/>
  <c r="DJ34"/>
  <c r="DK35"/>
  <c r="DJ27"/>
  <c r="DK28"/>
  <c r="DL35"/>
  <c r="AG243" i="45"/>
  <c r="AG244"/>
  <c r="AG240"/>
  <c r="AC58" i="43"/>
  <c r="P51"/>
  <c r="AC49"/>
  <c r="AG218" i="45"/>
  <c r="P101" i="43"/>
  <c r="M46" i="45"/>
  <c r="AG216"/>
  <c r="AC66" i="43"/>
  <c r="AG205" i="45"/>
  <c r="M372"/>
  <c r="M358"/>
  <c r="M376"/>
  <c r="M368"/>
  <c r="M366"/>
  <c r="AC50" i="43"/>
  <c r="AG161" i="45"/>
  <c r="AG157"/>
  <c r="AG141"/>
  <c r="AG125"/>
  <c r="AG117"/>
  <c r="AG109"/>
  <c r="AG95"/>
  <c r="AG71"/>
  <c r="AG67"/>
  <c r="AG63"/>
  <c r="AG44"/>
  <c r="AG168"/>
  <c r="AG160"/>
  <c r="AG156"/>
  <c r="AG152"/>
  <c r="AG148"/>
  <c r="DG117" i="43"/>
  <c r="DH117" s="1"/>
  <c r="G117" s="1"/>
  <c r="AF114" i="45" s="1"/>
  <c r="AC98" i="43"/>
  <c r="AG376" i="45"/>
  <c r="AG372"/>
  <c r="AG368"/>
  <c r="AG364"/>
  <c r="AG238"/>
  <c r="AG226"/>
  <c r="AG215"/>
  <c r="AG45"/>
  <c r="AG210"/>
  <c r="L11" i="43"/>
  <c r="P71"/>
  <c r="AG184" i="45"/>
  <c r="AG73"/>
  <c r="AG197"/>
  <c r="AG144"/>
  <c r="L17" i="43"/>
  <c r="L26"/>
  <c r="L39"/>
  <c r="L33"/>
  <c r="M12" i="45"/>
  <c r="AG224"/>
  <c r="AG212"/>
  <c r="AG110"/>
  <c r="P48" i="43"/>
  <c r="AG219" i="45"/>
  <c r="AG258"/>
  <c r="AG254"/>
  <c r="AG255"/>
  <c r="AG211"/>
  <c r="AG163"/>
  <c r="AG145"/>
  <c r="AG18"/>
  <c r="AG16"/>
  <c r="DI34" i="43"/>
  <c r="DJ45"/>
  <c r="DL44"/>
  <c r="DI44"/>
  <c r="L37"/>
  <c r="AG146" i="45"/>
  <c r="AG318"/>
  <c r="AC92" i="43"/>
  <c r="AC91"/>
  <c r="AC74"/>
  <c r="AG87" i="45"/>
  <c r="AG340"/>
  <c r="AG346"/>
  <c r="DI40" i="43"/>
  <c r="DJ38"/>
  <c r="DL37"/>
  <c r="DI37"/>
  <c r="DI18"/>
  <c r="DK25"/>
  <c r="P146"/>
  <c r="M234" i="45"/>
  <c r="M228"/>
  <c r="F15" i="24"/>
  <c r="AC79" i="43"/>
  <c r="DI24"/>
  <c r="AC47"/>
  <c r="DK30"/>
  <c r="L13"/>
  <c r="L23"/>
  <c r="P155"/>
  <c r="AC146"/>
  <c r="EH16"/>
  <c r="EG16"/>
  <c r="E320" i="45"/>
  <c r="F272"/>
  <c r="E265"/>
  <c r="E242"/>
  <c r="E233"/>
  <c r="F177"/>
  <c r="F328"/>
  <c r="E299"/>
  <c r="E293"/>
  <c r="B293" s="1"/>
  <c r="F292"/>
  <c r="E266"/>
  <c r="E262"/>
  <c r="E261"/>
  <c r="B261" s="1"/>
  <c r="E204"/>
  <c r="F183"/>
  <c r="F175"/>
  <c r="F171"/>
  <c r="B171" s="1"/>
  <c r="P138" i="43"/>
  <c r="P122"/>
  <c r="P76"/>
  <c r="P56"/>
  <c r="AG292" i="45"/>
  <c r="AG276"/>
  <c r="F316"/>
  <c r="F294"/>
  <c r="F147"/>
  <c r="AC86" i="43"/>
  <c r="F80" i="45"/>
  <c r="E65"/>
  <c r="F118"/>
  <c r="F270"/>
  <c r="F141"/>
  <c r="F209"/>
  <c r="AD378"/>
  <c r="P144" i="43"/>
  <c r="AG252" i="45"/>
  <c r="AG250"/>
  <c r="AG248"/>
  <c r="AG246"/>
  <c r="AC115" i="43"/>
  <c r="AG272" i="45"/>
  <c r="AG268"/>
  <c r="AG264"/>
  <c r="AG262"/>
  <c r="AG260"/>
  <c r="F302"/>
  <c r="B302" s="1"/>
  <c r="AG336"/>
  <c r="AG332"/>
  <c r="AG326"/>
  <c r="AG280"/>
  <c r="AG296"/>
  <c r="P124" i="43"/>
  <c r="DI47"/>
  <c r="DL49"/>
  <c r="DL53"/>
  <c r="DI55"/>
  <c r="DK56"/>
  <c r="DI58"/>
  <c r="DJ61"/>
  <c r="DI62"/>
  <c r="DL66"/>
  <c r="DL68"/>
  <c r="DL70"/>
  <c r="DI72"/>
  <c r="DJ74"/>
  <c r="DJ77"/>
  <c r="DJ79"/>
  <c r="DK81"/>
  <c r="DJ83"/>
  <c r="DK85"/>
  <c r="DL88"/>
  <c r="DL90"/>
  <c r="DL91"/>
  <c r="DL93"/>
  <c r="DL95"/>
  <c r="DL97"/>
  <c r="DK99"/>
  <c r="DL102"/>
  <c r="DL104"/>
  <c r="DJ106"/>
  <c r="DK107"/>
  <c r="DI108"/>
  <c r="DI110"/>
  <c r="AC149"/>
  <c r="AG348" i="45"/>
  <c r="AG341"/>
  <c r="L29" i="43"/>
  <c r="AC80"/>
  <c r="DI46"/>
  <c r="DL50"/>
  <c r="DJ51"/>
  <c r="DJ52"/>
  <c r="DL52"/>
  <c r="DJ53"/>
  <c r="DK57"/>
  <c r="DK58"/>
  <c r="DJ59"/>
  <c r="DL59"/>
  <c r="DI60"/>
  <c r="DJ62"/>
  <c r="DK63"/>
  <c r="DL63"/>
  <c r="DJ64"/>
  <c r="DL64"/>
  <c r="DJ65"/>
  <c r="DJ66"/>
  <c r="DJ68"/>
  <c r="DJ71"/>
  <c r="DJ73"/>
  <c r="DL75"/>
  <c r="DL77"/>
  <c r="DJ80"/>
  <c r="DL81"/>
  <c r="DJ84"/>
  <c r="DI86"/>
  <c r="DK87"/>
  <c r="DK89"/>
  <c r="DK92"/>
  <c r="DI94"/>
  <c r="DK96"/>
  <c r="DK98"/>
  <c r="DJ100"/>
  <c r="DK101"/>
  <c r="DI103"/>
  <c r="DJ105"/>
  <c r="DJ109"/>
  <c r="DI111"/>
  <c r="DK112"/>
  <c r="DI113"/>
  <c r="DI114"/>
  <c r="DK115"/>
  <c r="DI117"/>
  <c r="DI120"/>
  <c r="DI121"/>
  <c r="DI122"/>
  <c r="DI123"/>
  <c r="DJ124"/>
  <c r="DJ125"/>
  <c r="DI126"/>
  <c r="DI127"/>
  <c r="DJ128"/>
  <c r="DK129"/>
  <c r="DI130"/>
  <c r="DK131"/>
  <c r="DJ132"/>
  <c r="DK133"/>
  <c r="DI134"/>
  <c r="DL134"/>
  <c r="DJ135"/>
  <c r="DK136"/>
  <c r="DL137"/>
  <c r="DL138"/>
  <c r="DJ139"/>
  <c r="DL140"/>
  <c r="DL141"/>
  <c r="DK142"/>
  <c r="DK143"/>
  <c r="DK144"/>
  <c r="DL145"/>
  <c r="DL146"/>
  <c r="DK147"/>
  <c r="DL148"/>
  <c r="DK149"/>
  <c r="DL150"/>
  <c r="DK151"/>
  <c r="DL152"/>
  <c r="DK153"/>
  <c r="DK154"/>
  <c r="DK155"/>
  <c r="DK156"/>
  <c r="DL46"/>
  <c r="DJ47"/>
  <c r="DL47"/>
  <c r="DJ48"/>
  <c r="DL48"/>
  <c r="DI49"/>
  <c r="DJ49"/>
  <c r="DK49"/>
  <c r="DK50"/>
  <c r="DI51"/>
  <c r="DI52"/>
  <c r="DK52"/>
  <c r="DI53"/>
  <c r="DJ55"/>
  <c r="DK55"/>
  <c r="DK60"/>
  <c r="DL60"/>
  <c r="DI61"/>
  <c r="DK61"/>
  <c r="DK62"/>
  <c r="DL62"/>
  <c r="DI63"/>
  <c r="DK64"/>
  <c r="DK65"/>
  <c r="DI66"/>
  <c r="DL67"/>
  <c r="DI68"/>
  <c r="DJ69"/>
  <c r="DI70"/>
  <c r="DI71"/>
  <c r="DJ72"/>
  <c r="DI73"/>
  <c r="DI74"/>
  <c r="DL74"/>
  <c r="DK75"/>
  <c r="DK76"/>
  <c r="DK77"/>
  <c r="DL78"/>
  <c r="DK79"/>
  <c r="DI80"/>
  <c r="DJ81"/>
  <c r="DL82"/>
  <c r="DK83"/>
  <c r="DI84"/>
  <c r="DJ85"/>
  <c r="DJ86"/>
  <c r="DJ87"/>
  <c r="DI88"/>
  <c r="DJ89"/>
  <c r="DI90"/>
  <c r="DI91"/>
  <c r="DJ92"/>
  <c r="DI93"/>
  <c r="DJ94"/>
  <c r="DI95"/>
  <c r="DJ96"/>
  <c r="DI97"/>
  <c r="DJ98"/>
  <c r="DJ99"/>
  <c r="DI100"/>
  <c r="DI101"/>
  <c r="DL101"/>
  <c r="DK103"/>
  <c r="DI104"/>
  <c r="DK105"/>
  <c r="DI106"/>
  <c r="DI107"/>
  <c r="DJ108"/>
  <c r="DK109"/>
  <c r="DJ110"/>
  <c r="DK111"/>
  <c r="DI112"/>
  <c r="DK113"/>
  <c r="DJ114"/>
  <c r="DI115"/>
  <c r="DL115"/>
  <c r="DJ116"/>
  <c r="DK117"/>
  <c r="DJ120"/>
  <c r="DK121"/>
  <c r="DJ122"/>
  <c r="DJ123"/>
  <c r="DI124"/>
  <c r="DI125"/>
  <c r="DJ126"/>
  <c r="DK127"/>
  <c r="DI128"/>
  <c r="DI129"/>
  <c r="DK130"/>
  <c r="DI131"/>
  <c r="DI132"/>
  <c r="DI133"/>
  <c r="DK134"/>
  <c r="DL135"/>
  <c r="DL136"/>
  <c r="DK137"/>
  <c r="DJ138"/>
  <c r="DL139"/>
  <c r="DJ140"/>
  <c r="DK141"/>
  <c r="DL142"/>
  <c r="DL143"/>
  <c r="DL144"/>
  <c r="DK145"/>
  <c r="DK146"/>
  <c r="DL147"/>
  <c r="DK148"/>
  <c r="DL149"/>
  <c r="DK150"/>
  <c r="DL151"/>
  <c r="DK152"/>
  <c r="AC75"/>
  <c r="L20"/>
  <c r="L35"/>
  <c r="L28"/>
  <c r="L40"/>
  <c r="L36"/>
  <c r="L24"/>
  <c r="L21"/>
  <c r="L25"/>
  <c r="L10"/>
  <c r="L15"/>
  <c r="L150"/>
  <c r="L146"/>
  <c r="L144"/>
  <c r="L139"/>
  <c r="L133"/>
  <c r="L131"/>
  <c r="L128"/>
  <c r="L125"/>
  <c r="L122"/>
  <c r="L116"/>
  <c r="L112"/>
  <c r="L106"/>
  <c r="L101"/>
  <c r="L97"/>
  <c r="L93"/>
  <c r="L88"/>
  <c r="L84"/>
  <c r="L80"/>
  <c r="L77"/>
  <c r="L73"/>
  <c r="L70"/>
  <c r="L64"/>
  <c r="L61"/>
  <c r="L56"/>
  <c r="L54"/>
  <c r="L51"/>
  <c r="L49"/>
  <c r="L156"/>
  <c r="L154"/>
  <c r="L151"/>
  <c r="L147"/>
  <c r="L142"/>
  <c r="L137"/>
  <c r="L135"/>
  <c r="L130"/>
  <c r="L120"/>
  <c r="L117"/>
  <c r="L113"/>
  <c r="L110"/>
  <c r="L108"/>
  <c r="L103"/>
  <c r="L99"/>
  <c r="L96"/>
  <c r="L92"/>
  <c r="L89"/>
  <c r="L85"/>
  <c r="L81"/>
  <c r="L76"/>
  <c r="L71"/>
  <c r="L67"/>
  <c r="L65"/>
  <c r="L60"/>
  <c r="L58"/>
  <c r="L48"/>
  <c r="M10" i="45"/>
  <c r="M8"/>
  <c r="L52" i="43"/>
  <c r="L62"/>
  <c r="L69"/>
  <c r="L78"/>
  <c r="L86"/>
  <c r="L94"/>
  <c r="L102"/>
  <c r="L109"/>
  <c r="L114"/>
  <c r="L121"/>
  <c r="L134"/>
  <c r="L140"/>
  <c r="L149"/>
  <c r="L155"/>
  <c r="L50"/>
  <c r="L55"/>
  <c r="L63"/>
  <c r="L72"/>
  <c r="L79"/>
  <c r="L87"/>
  <c r="L95"/>
  <c r="L104"/>
  <c r="L115"/>
  <c r="L124"/>
  <c r="L129"/>
  <c r="L138"/>
  <c r="L145"/>
  <c r="L152"/>
  <c r="AG361" i="45"/>
  <c r="AG359"/>
  <c r="EF16" i="43"/>
  <c r="DI156"/>
  <c r="DI154"/>
  <c r="DJ152"/>
  <c r="DJ150"/>
  <c r="DJ148"/>
  <c r="DJ146"/>
  <c r="DI144"/>
  <c r="DJ144"/>
  <c r="DI142"/>
  <c r="DK140"/>
  <c r="DK138"/>
  <c r="DI136"/>
  <c r="DJ134"/>
  <c r="DL132"/>
  <c r="DJ130"/>
  <c r="DL130"/>
  <c r="DL128"/>
  <c r="DK126"/>
  <c r="DL124"/>
  <c r="DK122"/>
  <c r="DL122"/>
  <c r="DK120"/>
  <c r="DK116"/>
  <c r="DJ113"/>
  <c r="DJ111"/>
  <c r="DK108"/>
  <c r="DJ102"/>
  <c r="DI99"/>
  <c r="DJ95"/>
  <c r="DJ90"/>
  <c r="DI87"/>
  <c r="DL87"/>
  <c r="DI82"/>
  <c r="DI78"/>
  <c r="DJ75"/>
  <c r="DJ70"/>
  <c r="DK67"/>
  <c r="DL55"/>
  <c r="DL51"/>
  <c r="DK48"/>
  <c r="DI56"/>
  <c r="DK72"/>
  <c r="DI81"/>
  <c r="DJ88"/>
  <c r="DJ97"/>
  <c r="DJ103"/>
  <c r="DL112"/>
  <c r="DJ117"/>
  <c r="DJ121"/>
  <c r="DL125"/>
  <c r="DL129"/>
  <c r="DL133"/>
  <c r="DJ137"/>
  <c r="DJ141"/>
  <c r="DJ145"/>
  <c r="DI149"/>
  <c r="DI153"/>
  <c r="DJ46"/>
  <c r="DK51"/>
  <c r="DI54"/>
  <c r="DJ56"/>
  <c r="DJ57"/>
  <c r="DJ58"/>
  <c r="DI59"/>
  <c r="DJ63"/>
  <c r="DI65"/>
  <c r="DJ67"/>
  <c r="DL69"/>
  <c r="DK71"/>
  <c r="DK73"/>
  <c r="DI75"/>
  <c r="DI77"/>
  <c r="DI79"/>
  <c r="DK80"/>
  <c r="DI83"/>
  <c r="DK84"/>
  <c r="DL86"/>
  <c r="DK88"/>
  <c r="DK90"/>
  <c r="DL92"/>
  <c r="DL94"/>
  <c r="DL96"/>
  <c r="DL98"/>
  <c r="DK100"/>
  <c r="DK102"/>
  <c r="DK104"/>
  <c r="DK106"/>
  <c r="DL108"/>
  <c r="DL110"/>
  <c r="DJ112"/>
  <c r="DL114"/>
  <c r="DI116"/>
  <c r="DL117"/>
  <c r="DL121"/>
  <c r="DL123"/>
  <c r="DK125"/>
  <c r="DL127"/>
  <c r="DJ129"/>
  <c r="DJ131"/>
  <c r="DJ133"/>
  <c r="DJ136"/>
  <c r="DI138"/>
  <c r="DI140"/>
  <c r="DJ142"/>
  <c r="DI146"/>
  <c r="DI148"/>
  <c r="DI150"/>
  <c r="DI152"/>
  <c r="DJ156"/>
  <c r="DL154"/>
  <c r="AG304" i="45"/>
  <c r="E201"/>
  <c r="L148" i="43"/>
  <c r="L132"/>
  <c r="L100"/>
  <c r="L83"/>
  <c r="L68"/>
  <c r="L53"/>
  <c r="L153"/>
  <c r="L136"/>
  <c r="L105"/>
  <c r="L91"/>
  <c r="L75"/>
  <c r="L59"/>
  <c r="DG46"/>
  <c r="DH46" s="1"/>
  <c r="G46" s="1"/>
  <c r="M5" i="45"/>
  <c r="Q380"/>
  <c r="R380" s="1"/>
  <c r="M379"/>
  <c r="M367"/>
  <c r="Q364"/>
  <c r="M364"/>
  <c r="M354"/>
  <c r="M353"/>
  <c r="M350"/>
  <c r="Q348"/>
  <c r="R348" s="1"/>
  <c r="Q346"/>
  <c r="R346" s="1"/>
  <c r="M346"/>
  <c r="Q342"/>
  <c r="R342" s="1"/>
  <c r="P42" i="43"/>
  <c r="DK47"/>
  <c r="DK69"/>
  <c r="DI85"/>
  <c r="DL100"/>
  <c r="DK114"/>
  <c r="DK123"/>
  <c r="DL131"/>
  <c r="DI139"/>
  <c r="DI147"/>
  <c r="DI155"/>
  <c r="DK53"/>
  <c r="DL56"/>
  <c r="DL58"/>
  <c r="DI64"/>
  <c r="DK68"/>
  <c r="DL72"/>
  <c r="DI76"/>
  <c r="DL79"/>
  <c r="DL83"/>
  <c r="DK91"/>
  <c r="DK95"/>
  <c r="DL99"/>
  <c r="DL103"/>
  <c r="DJ107"/>
  <c r="DL111"/>
  <c r="DJ115"/>
  <c r="DL126"/>
  <c r="DK135"/>
  <c r="DK139"/>
  <c r="DJ143"/>
  <c r="DJ147"/>
  <c r="DJ151"/>
  <c r="DL153"/>
  <c r="DL156"/>
  <c r="DJ154"/>
  <c r="L66"/>
  <c r="L98"/>
  <c r="L127"/>
  <c r="L47"/>
  <c r="L74"/>
  <c r="L107"/>
  <c r="L141"/>
  <c r="M17" i="45"/>
  <c r="M37"/>
  <c r="M33"/>
  <c r="Q375"/>
  <c r="R375" s="1"/>
  <c r="M375"/>
  <c r="M373"/>
  <c r="M357"/>
  <c r="Q353"/>
  <c r="R353" s="1"/>
  <c r="Q351"/>
  <c r="R351" s="1"/>
  <c r="Q345"/>
  <c r="R345" s="1"/>
  <c r="S345" s="1"/>
  <c r="M345"/>
  <c r="M341"/>
  <c r="M9"/>
  <c r="M13"/>
  <c r="AG351"/>
  <c r="AG177"/>
  <c r="AG175"/>
  <c r="AC107" i="43"/>
  <c r="AC128"/>
  <c r="AC121"/>
  <c r="DJ149"/>
  <c r="DI141"/>
  <c r="DK132"/>
  <c r="DK124"/>
  <c r="DL116"/>
  <c r="DL109"/>
  <c r="DJ101"/>
  <c r="DK93"/>
  <c r="DL85"/>
  <c r="DJ78"/>
  <c r="DK70"/>
  <c r="DK59"/>
  <c r="DJ54"/>
  <c r="DI151"/>
  <c r="DI135"/>
  <c r="DJ93"/>
  <c r="AC134"/>
  <c r="H63" i="24"/>
  <c r="L46" i="43"/>
  <c r="L111"/>
  <c r="L57"/>
  <c r="L126"/>
  <c r="L82"/>
  <c r="L90"/>
  <c r="L8"/>
  <c r="L18"/>
  <c r="L44"/>
  <c r="L42"/>
  <c r="L31"/>
  <c r="L16"/>
  <c r="L9"/>
  <c r="L45"/>
  <c r="L27"/>
  <c r="L34"/>
  <c r="L30"/>
  <c r="L19"/>
  <c r="L41"/>
  <c r="L43"/>
  <c r="AT85" i="24"/>
  <c r="BG124"/>
  <c r="BA70"/>
  <c r="AW140"/>
  <c r="BD101"/>
  <c r="BC68"/>
  <c r="AC68" s="1"/>
  <c r="BD69"/>
  <c r="BE68"/>
  <c r="BA51"/>
  <c r="H15"/>
  <c r="BD44"/>
  <c r="AT42"/>
  <c r="BC39"/>
  <c r="AT25"/>
  <c r="BC17"/>
  <c r="B152" i="45"/>
  <c r="DI137" i="43"/>
  <c r="DL120"/>
  <c r="DL105"/>
  <c r="DL89"/>
  <c r="DK74"/>
  <c r="DL57"/>
  <c r="DI143"/>
  <c r="DK110"/>
  <c r="AC100"/>
  <c r="AC96"/>
  <c r="G158" i="45"/>
  <c r="G156"/>
  <c r="G155"/>
  <c r="G134"/>
  <c r="G131"/>
  <c r="G123"/>
  <c r="G160"/>
  <c r="G159"/>
  <c r="G153"/>
  <c r="G152"/>
  <c r="G151"/>
  <c r="G150"/>
  <c r="G148"/>
  <c r="G136"/>
  <c r="G132"/>
  <c r="G129"/>
  <c r="G125"/>
  <c r="G124"/>
  <c r="FE25" i="43"/>
  <c r="G16" i="45"/>
  <c r="G15"/>
  <c r="FE18" i="43"/>
  <c r="G26" i="45"/>
  <c r="FE29" i="43"/>
  <c r="G41" i="45"/>
  <c r="G40"/>
  <c r="G39"/>
  <c r="G36"/>
  <c r="G380"/>
  <c r="G374"/>
  <c r="G371"/>
  <c r="G369"/>
  <c r="G368"/>
  <c r="G367"/>
  <c r="G365"/>
  <c r="G359"/>
  <c r="G356"/>
  <c r="G354"/>
  <c r="G350"/>
  <c r="G347"/>
  <c r="G342"/>
  <c r="G339"/>
  <c r="G336"/>
  <c r="G332"/>
  <c r="G328"/>
  <c r="G326"/>
  <c r="G324"/>
  <c r="G322"/>
  <c r="G321"/>
  <c r="G320"/>
  <c r="G319"/>
  <c r="G318"/>
  <c r="G317"/>
  <c r="G316"/>
  <c r="G315"/>
  <c r="G313"/>
  <c r="G312"/>
  <c r="G311"/>
  <c r="G310"/>
  <c r="G309"/>
  <c r="G308"/>
  <c r="G307"/>
  <c r="G304"/>
  <c r="G301"/>
  <c r="G298"/>
  <c r="G297"/>
  <c r="G296"/>
  <c r="G295"/>
  <c r="G294"/>
  <c r="G292"/>
  <c r="G291"/>
  <c r="G288"/>
  <c r="G287"/>
  <c r="G286"/>
  <c r="G281"/>
  <c r="G275"/>
  <c r="G274"/>
  <c r="G273"/>
  <c r="G272"/>
  <c r="G270"/>
  <c r="G269"/>
  <c r="G266"/>
  <c r="G265"/>
  <c r="G262"/>
  <c r="G261"/>
  <c r="G259"/>
  <c r="G258"/>
  <c r="G256"/>
  <c r="G254"/>
  <c r="G253"/>
  <c r="G251"/>
  <c r="G246"/>
  <c r="G245"/>
  <c r="G244"/>
  <c r="G243"/>
  <c r="G242"/>
  <c r="G241"/>
  <c r="G235"/>
  <c r="G234"/>
  <c r="G232"/>
  <c r="G231"/>
  <c r="G229"/>
  <c r="G226"/>
  <c r="G224"/>
  <c r="G221"/>
  <c r="G211"/>
  <c r="G210"/>
  <c r="G209"/>
  <c r="G208"/>
  <c r="G205"/>
  <c r="G204"/>
  <c r="G203"/>
  <c r="G198"/>
  <c r="G197"/>
  <c r="G195"/>
  <c r="G194"/>
  <c r="G193"/>
  <c r="G192"/>
  <c r="G190"/>
  <c r="G189"/>
  <c r="G187"/>
  <c r="G181"/>
  <c r="G180"/>
  <c r="G177"/>
  <c r="G176"/>
  <c r="G175"/>
  <c r="G173"/>
  <c r="G172"/>
  <c r="G171"/>
  <c r="G170"/>
  <c r="G169"/>
  <c r="G168"/>
  <c r="G167"/>
  <c r="G165"/>
  <c r="G164"/>
  <c r="G163"/>
  <c r="G122"/>
  <c r="G120"/>
  <c r="G116"/>
  <c r="G112"/>
  <c r="G86"/>
  <c r="G80"/>
  <c r="G78"/>
  <c r="G68"/>
  <c r="G66"/>
  <c r="G62"/>
  <c r="G54"/>
  <c r="G48"/>
  <c r="G44"/>
  <c r="G32"/>
  <c r="FE138" i="43"/>
  <c r="FE133"/>
  <c r="FE131"/>
  <c r="FE122"/>
  <c r="FE121"/>
  <c r="FE116"/>
  <c r="FE115"/>
  <c r="FE106"/>
  <c r="FE137"/>
  <c r="FE135"/>
  <c r="FE129"/>
  <c r="FE128"/>
  <c r="FE126"/>
  <c r="FE120"/>
  <c r="FE8"/>
  <c r="FE23"/>
  <c r="FE40"/>
  <c r="FE38"/>
  <c r="FE37"/>
  <c r="FE36"/>
  <c r="FE155"/>
  <c r="FE152"/>
  <c r="FE151"/>
  <c r="FE150"/>
  <c r="FE149"/>
  <c r="FE145"/>
  <c r="FE143"/>
  <c r="FE90"/>
  <c r="FE86"/>
  <c r="FE46"/>
  <c r="AG357" i="45"/>
  <c r="AG355"/>
  <c r="AG209"/>
  <c r="AC65" i="43"/>
  <c r="AC85"/>
  <c r="FE148"/>
  <c r="AC111"/>
  <c r="FE154"/>
  <c r="DI109"/>
  <c r="DL107"/>
  <c r="DL106"/>
  <c r="DI105"/>
  <c r="DJ104"/>
  <c r="DI102"/>
  <c r="DI98"/>
  <c r="DI96"/>
  <c r="DK94"/>
  <c r="DI92"/>
  <c r="DJ91"/>
  <c r="DI89"/>
  <c r="DK86"/>
  <c r="DL84"/>
  <c r="DM84" s="1"/>
  <c r="DN84" s="1"/>
  <c r="DK82"/>
  <c r="DL80"/>
  <c r="DK78"/>
  <c r="DL76"/>
  <c r="DL73"/>
  <c r="DL71"/>
  <c r="DI69"/>
  <c r="DI67"/>
  <c r="DL65"/>
  <c r="DL61"/>
  <c r="DJ60"/>
  <c r="DI57"/>
  <c r="DL54"/>
  <c r="DJ50"/>
  <c r="DI48"/>
  <c r="DK46"/>
  <c r="DK15"/>
  <c r="K100" i="24"/>
  <c r="I111"/>
  <c r="K52"/>
  <c r="DK24" i="43"/>
  <c r="DI25"/>
  <c r="DK36"/>
  <c r="DJ37"/>
  <c r="DI38"/>
  <c r="DL38"/>
  <c r="DI29"/>
  <c r="DK22"/>
  <c r="DL43"/>
  <c r="DJ44"/>
  <c r="DI45"/>
  <c r="DK45"/>
  <c r="DL45"/>
  <c r="DL33"/>
  <c r="DJ24"/>
  <c r="DL27"/>
  <c r="DL34"/>
  <c r="DL29"/>
  <c r="DK40"/>
  <c r="DL40"/>
  <c r="DL21"/>
  <c r="DL22"/>
  <c r="DK21"/>
  <c r="DL20"/>
  <c r="DL18"/>
  <c r="DJ19"/>
  <c r="DI9"/>
  <c r="GG9" s="1"/>
  <c r="GF9" s="1"/>
  <c r="GB9" s="1"/>
  <c r="DK10"/>
  <c r="DL14"/>
  <c r="DK13"/>
  <c r="DK11"/>
  <c r="DK9"/>
  <c r="GU9" s="1"/>
  <c r="GT9" s="1"/>
  <c r="GP9" s="1"/>
  <c r="DI13"/>
  <c r="DJ15"/>
  <c r="DJ16"/>
  <c r="DI16"/>
  <c r="DI35"/>
  <c r="DK33"/>
  <c r="DK32"/>
  <c r="DK29"/>
  <c r="DM29" s="1"/>
  <c r="DN29" s="1"/>
  <c r="DL32"/>
  <c r="DI32"/>
  <c r="DJ31"/>
  <c r="DL30"/>
  <c r="DM30" s="1"/>
  <c r="DN30" s="1"/>
  <c r="DI30"/>
  <c r="DL28"/>
  <c r="DK27"/>
  <c r="DI43"/>
  <c r="DK43"/>
  <c r="DJ42"/>
  <c r="DK38"/>
  <c r="DL36"/>
  <c r="DI42"/>
  <c r="DJ41"/>
  <c r="DL39"/>
  <c r="DI36"/>
  <c r="DL25"/>
  <c r="DK26"/>
  <c r="DJ23"/>
  <c r="DJ21"/>
  <c r="DI20"/>
  <c r="DJ18"/>
  <c r="DL19"/>
  <c r="DI19"/>
  <c r="DJ26"/>
  <c r="DI11"/>
  <c r="DK17"/>
  <c r="DJ9"/>
  <c r="DJ10"/>
  <c r="DJ11"/>
  <c r="DJ12"/>
  <c r="DJ13"/>
  <c r="DJ14"/>
  <c r="DK16"/>
  <c r="DJ153"/>
  <c r="DJ155"/>
  <c r="DK128"/>
  <c r="DK97"/>
  <c r="DK66"/>
  <c r="DJ127"/>
  <c r="N47" i="24"/>
  <c r="AC148" i="43"/>
  <c r="AC138"/>
  <c r="AC83"/>
  <c r="AG181" i="45"/>
  <c r="AC151" i="43"/>
  <c r="Q235" i="45"/>
  <c r="R235" s="1"/>
  <c r="Q227"/>
  <c r="R227" s="1"/>
  <c r="Q224"/>
  <c r="R224" s="1"/>
  <c r="Q231"/>
  <c r="R231" s="1"/>
  <c r="Q230"/>
  <c r="R230" s="1"/>
  <c r="Q228"/>
  <c r="R228" s="1"/>
  <c r="Q226"/>
  <c r="R226" s="1"/>
  <c r="Q225"/>
  <c r="R225" s="1"/>
  <c r="DK54" i="43"/>
  <c r="DI50"/>
  <c r="DL113"/>
  <c r="DM113" s="1"/>
  <c r="DN113" s="1"/>
  <c r="DL155"/>
  <c r="CB33"/>
  <c r="FE84"/>
  <c r="FE82"/>
  <c r="FE73"/>
  <c r="FE71"/>
  <c r="FE64"/>
  <c r="FE56"/>
  <c r="FE54"/>
  <c r="FE50"/>
  <c r="CB91"/>
  <c r="FE85"/>
  <c r="FE83"/>
  <c r="FE81"/>
  <c r="FE76"/>
  <c r="FE67"/>
  <c r="FE61"/>
  <c r="FE60"/>
  <c r="FE59"/>
  <c r="FE51"/>
  <c r="FE132"/>
  <c r="FE111"/>
  <c r="FE110"/>
  <c r="FE108"/>
  <c r="FE98"/>
  <c r="FE95"/>
  <c r="FE92"/>
  <c r="FE88"/>
  <c r="Q374" i="45"/>
  <c r="R374" s="1"/>
  <c r="B166"/>
  <c r="BG8" i="43"/>
  <c r="CU22"/>
  <c r="BG22"/>
  <c r="CB22"/>
  <c r="CU21"/>
  <c r="BG21"/>
  <c r="CB21"/>
  <c r="CU20"/>
  <c r="BG20"/>
  <c r="CB20"/>
  <c r="CU34"/>
  <c r="BG34"/>
  <c r="CB34"/>
  <c r="CU33"/>
  <c r="BG33"/>
  <c r="CU32"/>
  <c r="BG32"/>
  <c r="CB32"/>
  <c r="CU29"/>
  <c r="BG29"/>
  <c r="CB29"/>
  <c r="CU42"/>
  <c r="BG42"/>
  <c r="CB42"/>
  <c r="CU40"/>
  <c r="BG40"/>
  <c r="CB40"/>
  <c r="CB153"/>
  <c r="CU150"/>
  <c r="CB150"/>
  <c r="CU148"/>
  <c r="CB148"/>
  <c r="CU147"/>
  <c r="CB147"/>
  <c r="CU145"/>
  <c r="CB145"/>
  <c r="CU144"/>
  <c r="CB144"/>
  <c r="CU143"/>
  <c r="CB143"/>
  <c r="CU138"/>
  <c r="CB138"/>
  <c r="CU134"/>
  <c r="BG134"/>
  <c r="CB134"/>
  <c r="CU128"/>
  <c r="BG128"/>
  <c r="CB128"/>
  <c r="CU115"/>
  <c r="BG115"/>
  <c r="CB115"/>
  <c r="BG110"/>
  <c r="CB110"/>
  <c r="CU13"/>
  <c r="CB13"/>
  <c r="CU12"/>
  <c r="BG12"/>
  <c r="CB12"/>
  <c r="CB11"/>
  <c r="BG9"/>
  <c r="CU26"/>
  <c r="BG26"/>
  <c r="CB26"/>
  <c r="BG25"/>
  <c r="CU24"/>
  <c r="BG24"/>
  <c r="CB24"/>
  <c r="CU23"/>
  <c r="BG23"/>
  <c r="CB23"/>
  <c r="CU18"/>
  <c r="BG18"/>
  <c r="CB18"/>
  <c r="CU30"/>
  <c r="BG30"/>
  <c r="CB30"/>
  <c r="CU28"/>
  <c r="BG28"/>
  <c r="CB28"/>
  <c r="CU44"/>
  <c r="BG44"/>
  <c r="CB44"/>
  <c r="CU39"/>
  <c r="BG39"/>
  <c r="CB39"/>
  <c r="CU38"/>
  <c r="BG38"/>
  <c r="CB38"/>
  <c r="CU37"/>
  <c r="BG37"/>
  <c r="CB37"/>
  <c r="CU36"/>
  <c r="BG36"/>
  <c r="CB36"/>
  <c r="CB156"/>
  <c r="CU155"/>
  <c r="CB155"/>
  <c r="CU154"/>
  <c r="CB154"/>
  <c r="CU152"/>
  <c r="CB152"/>
  <c r="CU151"/>
  <c r="CB151"/>
  <c r="CU149"/>
  <c r="CB149"/>
  <c r="CU146"/>
  <c r="CB146"/>
  <c r="CU139"/>
  <c r="CB139"/>
  <c r="CU137"/>
  <c r="CB137"/>
  <c r="CU133"/>
  <c r="BG133"/>
  <c r="CB133"/>
  <c r="CU132"/>
  <c r="BG132"/>
  <c r="CB132"/>
  <c r="CU131"/>
  <c r="BG131"/>
  <c r="CB131"/>
  <c r="CU124"/>
  <c r="BG124"/>
  <c r="CB124"/>
  <c r="FE124"/>
  <c r="CU121"/>
  <c r="BG121"/>
  <c r="CB121"/>
  <c r="CU120"/>
  <c r="BG120"/>
  <c r="CB120"/>
  <c r="FE21"/>
  <c r="FE20"/>
  <c r="FE32"/>
  <c r="FE42"/>
  <c r="FE147"/>
  <c r="CU103"/>
  <c r="BG103"/>
  <c r="CU101"/>
  <c r="BG101"/>
  <c r="CU97"/>
  <c r="BG97"/>
  <c r="CU96"/>
  <c r="BG96"/>
  <c r="CU95"/>
  <c r="BG95"/>
  <c r="CU92"/>
  <c r="BG92"/>
  <c r="CU91"/>
  <c r="BG91"/>
  <c r="CU90"/>
  <c r="BG90"/>
  <c r="CU88"/>
  <c r="BG88"/>
  <c r="CU85"/>
  <c r="BG85"/>
  <c r="BG82"/>
  <c r="CU81"/>
  <c r="BG81"/>
  <c r="CU78"/>
  <c r="BG78"/>
  <c r="CU76"/>
  <c r="BG76"/>
  <c r="CU74"/>
  <c r="BG74"/>
  <c r="CU73"/>
  <c r="BG73"/>
  <c r="CU72"/>
  <c r="BG72"/>
  <c r="CU68"/>
  <c r="CU67"/>
  <c r="BG67"/>
  <c r="CU66"/>
  <c r="CU63"/>
  <c r="BG63"/>
  <c r="CU62"/>
  <c r="BG62"/>
  <c r="CU61"/>
  <c r="BG61"/>
  <c r="CU57"/>
  <c r="CU56"/>
  <c r="BG56"/>
  <c r="CU52"/>
  <c r="CU50"/>
  <c r="BG50"/>
  <c r="CU47"/>
  <c r="CB90"/>
  <c r="CB88"/>
  <c r="CB87"/>
  <c r="CB85"/>
  <c r="CB81"/>
  <c r="CB78"/>
  <c r="CB76"/>
  <c r="CB74"/>
  <c r="CB73"/>
  <c r="CB72"/>
  <c r="CB68"/>
  <c r="CB67"/>
  <c r="CB63"/>
  <c r="CB62"/>
  <c r="CB61"/>
  <c r="CB56"/>
  <c r="CB52"/>
  <c r="CB50"/>
  <c r="CU129"/>
  <c r="BG129"/>
  <c r="CU126"/>
  <c r="BG126"/>
  <c r="CU122"/>
  <c r="BG122"/>
  <c r="CU116"/>
  <c r="BG116"/>
  <c r="CU113"/>
  <c r="BG113"/>
  <c r="CU111"/>
  <c r="BG111"/>
  <c r="CU108"/>
  <c r="BG108"/>
  <c r="CU106"/>
  <c r="BG106"/>
  <c r="CU105"/>
  <c r="BG105"/>
  <c r="CU102"/>
  <c r="CU99"/>
  <c r="BG99"/>
  <c r="CU98"/>
  <c r="BG98"/>
  <c r="BG94"/>
  <c r="CU93"/>
  <c r="BG93"/>
  <c r="CU86"/>
  <c r="BG86"/>
  <c r="CU84"/>
  <c r="BG84"/>
  <c r="CU83"/>
  <c r="BG83"/>
  <c r="CU79"/>
  <c r="BG79"/>
  <c r="CU71"/>
  <c r="BG71"/>
  <c r="CU69"/>
  <c r="BG69"/>
  <c r="CU65"/>
  <c r="BG65"/>
  <c r="CU64"/>
  <c r="CU60"/>
  <c r="BG60"/>
  <c r="CU59"/>
  <c r="BG59"/>
  <c r="CU58"/>
  <c r="BG58"/>
  <c r="CU55"/>
  <c r="CU54"/>
  <c r="BG54"/>
  <c r="CU53"/>
  <c r="BG53"/>
  <c r="CU51"/>
  <c r="BG51"/>
  <c r="CU49"/>
  <c r="CU48"/>
  <c r="BG48"/>
  <c r="CU46"/>
  <c r="BG46"/>
  <c r="CU141"/>
  <c r="FE103"/>
  <c r="FE101"/>
  <c r="FE97"/>
  <c r="FE96"/>
  <c r="FE91"/>
  <c r="FE78"/>
  <c r="FE74"/>
  <c r="FE72"/>
  <c r="FE68"/>
  <c r="FE63"/>
  <c r="FE62"/>
  <c r="FE57"/>
  <c r="CB141"/>
  <c r="CB129"/>
  <c r="CB126"/>
  <c r="CB122"/>
  <c r="CB116"/>
  <c r="CB114"/>
  <c r="CB113"/>
  <c r="CB111"/>
  <c r="CB108"/>
  <c r="CB106"/>
  <c r="CB105"/>
  <c r="CB103"/>
  <c r="CB101"/>
  <c r="CB99"/>
  <c r="CB98"/>
  <c r="CB97"/>
  <c r="CB96"/>
  <c r="CB95"/>
  <c r="CB94"/>
  <c r="CB93"/>
  <c r="CB92"/>
  <c r="FE69"/>
  <c r="FE65"/>
  <c r="CB135"/>
  <c r="CU135"/>
  <c r="BG135"/>
  <c r="FE146"/>
  <c r="FE139"/>
  <c r="FE79"/>
  <c r="FE53"/>
  <c r="DJ76"/>
  <c r="Q266" i="45"/>
  <c r="R266" s="1"/>
  <c r="S266" s="1"/>
  <c r="Q324"/>
  <c r="R324" s="1"/>
  <c r="Q270"/>
  <c r="R270" s="1"/>
  <c r="Q256"/>
  <c r="R256" s="1"/>
  <c r="S257" s="1"/>
  <c r="DJ82" i="43"/>
  <c r="DI145"/>
  <c r="L143"/>
  <c r="FE58"/>
  <c r="Q350" i="45"/>
  <c r="R350" s="1"/>
  <c r="Q377"/>
  <c r="R377" s="1"/>
  <c r="Q279"/>
  <c r="R279" s="1"/>
  <c r="Q322"/>
  <c r="R322" s="1"/>
  <c r="Q323"/>
  <c r="R323" s="1"/>
  <c r="N45" i="24"/>
  <c r="N30"/>
  <c r="M11" i="45"/>
  <c r="Q367"/>
  <c r="R367" s="1"/>
  <c r="Q16"/>
  <c r="R16" s="1"/>
  <c r="BN15" i="24"/>
  <c r="BN16"/>
  <c r="BM15"/>
  <c r="BM16"/>
  <c r="Q258" i="45"/>
  <c r="R258" s="1"/>
  <c r="Q250"/>
  <c r="R250" s="1"/>
  <c r="Q289"/>
  <c r="R289" s="1"/>
  <c r="FW9" i="43"/>
  <c r="FW10" s="1"/>
  <c r="FW11" s="1"/>
  <c r="FW12" s="1"/>
  <c r="FW13" s="1"/>
  <c r="FW14" s="1"/>
  <c r="FW15" s="1"/>
  <c r="FW16" s="1"/>
  <c r="FW17" s="1"/>
  <c r="FW18" s="1"/>
  <c r="FW19" s="1"/>
  <c r="FW20" s="1"/>
  <c r="FW21" s="1"/>
  <c r="FW22" s="1"/>
  <c r="FW23" s="1"/>
  <c r="FW24" s="1"/>
  <c r="FW25" s="1"/>
  <c r="FW26" s="1"/>
  <c r="FW27" s="1"/>
  <c r="FW28" s="1"/>
  <c r="FW29" s="1"/>
  <c r="FW30" s="1"/>
  <c r="FW31" s="1"/>
  <c r="FW32" s="1"/>
  <c r="FW33" s="1"/>
  <c r="FW34" s="1"/>
  <c r="FW35" s="1"/>
  <c r="FW36" s="1"/>
  <c r="FW37" s="1"/>
  <c r="FW38" s="1"/>
  <c r="FW39" s="1"/>
  <c r="FW40" s="1"/>
  <c r="FW41" s="1"/>
  <c r="FW42" s="1"/>
  <c r="FW43" s="1"/>
  <c r="FW44" s="1"/>
  <c r="FW45" s="1"/>
  <c r="FW46" s="1"/>
  <c r="FW47" s="1"/>
  <c r="FW48" s="1"/>
  <c r="FW49" s="1"/>
  <c r="FW50" s="1"/>
  <c r="FW51" s="1"/>
  <c r="FW52" s="1"/>
  <c r="FW53" s="1"/>
  <c r="FW54" s="1"/>
  <c r="FW55" s="1"/>
  <c r="FW56" s="1"/>
  <c r="FW57" s="1"/>
  <c r="FW58" s="1"/>
  <c r="FW59" s="1"/>
  <c r="FW60" s="1"/>
  <c r="FW61" s="1"/>
  <c r="FW62" s="1"/>
  <c r="FW63" s="1"/>
  <c r="FW64" s="1"/>
  <c r="FW65" s="1"/>
  <c r="FW66" s="1"/>
  <c r="FW67" s="1"/>
  <c r="FW68" s="1"/>
  <c r="FW69" s="1"/>
  <c r="FW70" s="1"/>
  <c r="FW71" s="1"/>
  <c r="FW72" s="1"/>
  <c r="FW73" s="1"/>
  <c r="FW74" s="1"/>
  <c r="FW75" s="1"/>
  <c r="FW76" s="1"/>
  <c r="FW77" s="1"/>
  <c r="FW78" s="1"/>
  <c r="FW79" s="1"/>
  <c r="FW80" s="1"/>
  <c r="FW81" s="1"/>
  <c r="FW82" s="1"/>
  <c r="FW83" s="1"/>
  <c r="FW84" s="1"/>
  <c r="FW85" s="1"/>
  <c r="FW86" s="1"/>
  <c r="FW87" s="1"/>
  <c r="FW88" s="1"/>
  <c r="FW89" s="1"/>
  <c r="FW90" s="1"/>
  <c r="FW91" s="1"/>
  <c r="FW92" s="1"/>
  <c r="FW93" s="1"/>
  <c r="FW94" s="1"/>
  <c r="FW95" s="1"/>
  <c r="FW96" s="1"/>
  <c r="FW97" s="1"/>
  <c r="FW98" s="1"/>
  <c r="FW99" s="1"/>
  <c r="FW100" s="1"/>
  <c r="FW101" s="1"/>
  <c r="FW102" s="1"/>
  <c r="FW103" s="1"/>
  <c r="FW104" s="1"/>
  <c r="FW105" s="1"/>
  <c r="FW106" s="1"/>
  <c r="FW107" s="1"/>
  <c r="FW108" s="1"/>
  <c r="FW109" s="1"/>
  <c r="FW110" s="1"/>
  <c r="FW111" s="1"/>
  <c r="FW112" s="1"/>
  <c r="FW113" s="1"/>
  <c r="FW114" s="1"/>
  <c r="FW115" s="1"/>
  <c r="FW116" s="1"/>
  <c r="FW117" s="1"/>
  <c r="M15" i="24"/>
  <c r="CB48" i="43"/>
  <c r="Q246" i="45"/>
  <c r="AC60" i="43"/>
  <c r="Q190" i="45"/>
  <c r="R190" s="1"/>
  <c r="S191" s="1"/>
  <c r="Q281"/>
  <c r="R281" s="1"/>
  <c r="AY12" i="24"/>
  <c r="AU10"/>
  <c r="AY13"/>
  <c r="BD10"/>
  <c r="AX21"/>
  <c r="BB22"/>
  <c r="BD20"/>
  <c r="BE23"/>
  <c r="BA31"/>
  <c r="BF33"/>
  <c r="BH39"/>
  <c r="AU42"/>
  <c r="BH32"/>
  <c r="BA35"/>
  <c r="BB42"/>
  <c r="BC44"/>
  <c r="AC44" s="1"/>
  <c r="BD26"/>
  <c r="AX10"/>
  <c r="AV13"/>
  <c r="BD9"/>
  <c r="AV19"/>
  <c r="BE22"/>
  <c r="AY27"/>
  <c r="BH31"/>
  <c r="AW29"/>
  <c r="BF32"/>
  <c r="E27" i="45"/>
  <c r="B27" s="1"/>
  <c r="P30" i="43"/>
  <c r="M34" i="45"/>
  <c r="E376"/>
  <c r="E365"/>
  <c r="Q362"/>
  <c r="R362" s="1"/>
  <c r="E355"/>
  <c r="M348"/>
  <c r="M336"/>
  <c r="M333"/>
  <c r="M332"/>
  <c r="Q314"/>
  <c r="R314" s="1"/>
  <c r="M311"/>
  <c r="Q304"/>
  <c r="R304" s="1"/>
  <c r="M302"/>
  <c r="E297"/>
  <c r="M292"/>
  <c r="M291"/>
  <c r="M286"/>
  <c r="M283"/>
  <c r="E281"/>
  <c r="M278"/>
  <c r="Q274"/>
  <c r="R274" s="1"/>
  <c r="Q273"/>
  <c r="R273" s="1"/>
  <c r="Q272"/>
  <c r="R272" s="1"/>
  <c r="M253"/>
  <c r="M248"/>
  <c r="M246"/>
  <c r="Q244"/>
  <c r="R244" s="1"/>
  <c r="Q241"/>
  <c r="R241" s="1"/>
  <c r="E240"/>
  <c r="B240" s="1"/>
  <c r="E238"/>
  <c r="E236"/>
  <c r="M230"/>
  <c r="E229"/>
  <c r="E222"/>
  <c r="M221"/>
  <c r="Q211"/>
  <c r="R211" s="1"/>
  <c r="Q209"/>
  <c r="R209" s="1"/>
  <c r="E207"/>
  <c r="B207" s="1"/>
  <c r="E206"/>
  <c r="M197"/>
  <c r="Q180"/>
  <c r="R180" s="1"/>
  <c r="F178"/>
  <c r="Q170"/>
  <c r="R170" s="1"/>
  <c r="Q155"/>
  <c r="R155" s="1"/>
  <c r="Q139"/>
  <c r="R139" s="1"/>
  <c r="DG142" i="43"/>
  <c r="DH142" s="1"/>
  <c r="G142" s="1"/>
  <c r="M142" s="1"/>
  <c r="DG143"/>
  <c r="DH143" s="1"/>
  <c r="G143" s="1"/>
  <c r="H143" s="1"/>
  <c r="Q126" i="45"/>
  <c r="R126" s="1"/>
  <c r="DG129" i="43"/>
  <c r="DH129" s="1"/>
  <c r="G129" s="1"/>
  <c r="E108" i="45"/>
  <c r="B108" s="1"/>
  <c r="P111" i="43"/>
  <c r="M107" i="45"/>
  <c r="E106"/>
  <c r="P109" i="43"/>
  <c r="E100" i="45"/>
  <c r="P103" i="43"/>
  <c r="DG98"/>
  <c r="DH98" s="1"/>
  <c r="G98" s="1"/>
  <c r="H98" s="1"/>
  <c r="E94" i="45"/>
  <c r="B94" s="1"/>
  <c r="P97" i="43"/>
  <c r="F90" i="45"/>
  <c r="P93" i="43"/>
  <c r="DG74"/>
  <c r="DH74" s="1"/>
  <c r="G74" s="1"/>
  <c r="Q64" i="45"/>
  <c r="R64" s="1"/>
  <c r="DG68" i="43"/>
  <c r="DH68" s="1"/>
  <c r="G68" s="1"/>
  <c r="DG59"/>
  <c r="DH59" s="1"/>
  <c r="G59" s="1"/>
  <c r="M59" s="1"/>
  <c r="M56" i="45"/>
  <c r="F55"/>
  <c r="P58" i="43"/>
  <c r="M50" i="45"/>
  <c r="F44"/>
  <c r="P47" i="43"/>
  <c r="Q41" i="45"/>
  <c r="R41" s="1"/>
  <c r="DG45" i="43"/>
  <c r="DH45" s="1"/>
  <c r="G45" s="1"/>
  <c r="M45" s="1"/>
  <c r="N45" s="1"/>
  <c r="DG44"/>
  <c r="DH44" s="1"/>
  <c r="G44" s="1"/>
  <c r="Q40" i="45"/>
  <c r="R40" s="1"/>
  <c r="DG43" i="43"/>
  <c r="DH43" s="1"/>
  <c r="G43" s="1"/>
  <c r="Q37" i="45"/>
  <c r="R37" s="1"/>
  <c r="DG40" i="43"/>
  <c r="DH40" s="1"/>
  <c r="G40" s="1"/>
  <c r="Q36" i="45"/>
  <c r="R36" s="1"/>
  <c r="M35"/>
  <c r="M380"/>
  <c r="M374"/>
  <c r="M365"/>
  <c r="M361"/>
  <c r="M343"/>
  <c r="Q326"/>
  <c r="R326" s="1"/>
  <c r="E323"/>
  <c r="Q316"/>
  <c r="R316" s="1"/>
  <c r="Q310"/>
  <c r="R310" s="1"/>
  <c r="S311" s="1"/>
  <c r="E305"/>
  <c r="B305" s="1"/>
  <c r="Q298"/>
  <c r="R298" s="1"/>
  <c r="M295"/>
  <c r="E290"/>
  <c r="B290" s="1"/>
  <c r="Q288"/>
  <c r="E288"/>
  <c r="B288" s="1"/>
  <c r="Q286"/>
  <c r="R286" s="1"/>
  <c r="E284"/>
  <c r="B284" s="1"/>
  <c r="M281"/>
  <c r="E277"/>
  <c r="M265"/>
  <c r="Q262"/>
  <c r="R262" s="1"/>
  <c r="S263" s="1"/>
  <c r="M261"/>
  <c r="E259"/>
  <c r="Q255"/>
  <c r="R255" s="1"/>
  <c r="E252"/>
  <c r="B252" s="1"/>
  <c r="M250"/>
  <c r="M244"/>
  <c r="M236"/>
  <c r="Q232"/>
  <c r="R232" s="1"/>
  <c r="S233" s="1"/>
  <c r="E232"/>
  <c r="E226"/>
  <c r="E219"/>
  <c r="Q208"/>
  <c r="R208" s="1"/>
  <c r="Q207"/>
  <c r="R207" s="1"/>
  <c r="Q194"/>
  <c r="R194" s="1"/>
  <c r="M188"/>
  <c r="F186"/>
  <c r="F182"/>
  <c r="Q177"/>
  <c r="R177" s="1"/>
  <c r="E174"/>
  <c r="Q168"/>
  <c r="R168" s="1"/>
  <c r="M166"/>
  <c r="E164"/>
  <c r="B164" s="1"/>
  <c r="M159"/>
  <c r="F156"/>
  <c r="B156" s="1"/>
  <c r="Q152"/>
  <c r="R152" s="1"/>
  <c r="DG155" i="43"/>
  <c r="DH155" s="1"/>
  <c r="G155" s="1"/>
  <c r="DG156"/>
  <c r="DH156" s="1"/>
  <c r="G156" s="1"/>
  <c r="M156" s="1"/>
  <c r="M152" i="45"/>
  <c r="M150"/>
  <c r="M141"/>
  <c r="M134"/>
  <c r="M132"/>
  <c r="F130"/>
  <c r="P133" i="43"/>
  <c r="Q120" i="45"/>
  <c r="R120" s="1"/>
  <c r="DG123" i="43"/>
  <c r="DH123" s="1"/>
  <c r="G123" s="1"/>
  <c r="H123" s="1"/>
  <c r="M119" i="45"/>
  <c r="F112"/>
  <c r="Q98"/>
  <c r="R98" s="1"/>
  <c r="DG101" i="43"/>
  <c r="DH101" s="1"/>
  <c r="G101" s="1"/>
  <c r="M87" i="45"/>
  <c r="DG88" i="43"/>
  <c r="DH88" s="1"/>
  <c r="G88" s="1"/>
  <c r="H88" s="1"/>
  <c r="Q85" i="45"/>
  <c r="R85" s="1"/>
  <c r="S85" s="1"/>
  <c r="E84"/>
  <c r="F82"/>
  <c r="P85" i="43"/>
  <c r="M80" i="45"/>
  <c r="Q74"/>
  <c r="R74" s="1"/>
  <c r="DG77" i="43"/>
  <c r="DH77" s="1"/>
  <c r="G77" s="1"/>
  <c r="M69" i="45"/>
  <c r="E67"/>
  <c r="M60"/>
  <c r="E58"/>
  <c r="B58" s="1"/>
  <c r="P61" i="43"/>
  <c r="Q52" i="45"/>
  <c r="R52" s="1"/>
  <c r="DG56" i="43"/>
  <c r="DH56" s="1"/>
  <c r="G56" s="1"/>
  <c r="DG55"/>
  <c r="DH55" s="1"/>
  <c r="G55" s="1"/>
  <c r="AF52" i="45" s="1"/>
  <c r="Q48"/>
  <c r="R48" s="1"/>
  <c r="DG51" i="43"/>
  <c r="DH51" s="1"/>
  <c r="G51" s="1"/>
  <c r="M48" i="45"/>
  <c r="Q43"/>
  <c r="R43" s="1"/>
  <c r="DG47" i="43"/>
  <c r="DH47" s="1"/>
  <c r="G47" s="1"/>
  <c r="S15" i="24"/>
  <c r="Q15"/>
  <c r="FE141" i="43"/>
  <c r="AG324" i="45"/>
  <c r="AG322"/>
  <c r="AG320"/>
  <c r="AG317"/>
  <c r="AG314"/>
  <c r="AG312"/>
  <c r="AG310"/>
  <c r="AC90" i="43"/>
  <c r="FE144"/>
  <c r="AG200" i="45"/>
  <c r="AC53" i="43"/>
  <c r="N12" i="45"/>
  <c r="N9"/>
  <c r="AH9" s="1"/>
  <c r="N13"/>
  <c r="N17"/>
  <c r="N21"/>
  <c r="N25"/>
  <c r="N29"/>
  <c r="N33"/>
  <c r="N37"/>
  <c r="N41"/>
  <c r="AH41" s="1"/>
  <c r="N45"/>
  <c r="AH45" s="1"/>
  <c r="N49"/>
  <c r="AH49" s="1"/>
  <c r="N53"/>
  <c r="N57"/>
  <c r="AH57" s="1"/>
  <c r="N61"/>
  <c r="N65"/>
  <c r="N69"/>
  <c r="N73"/>
  <c r="AH73" s="1"/>
  <c r="N77"/>
  <c r="N81"/>
  <c r="N85"/>
  <c r="N89"/>
  <c r="AH89" s="1"/>
  <c r="N93"/>
  <c r="N97"/>
  <c r="N101"/>
  <c r="N105"/>
  <c r="AH105" s="1"/>
  <c r="N109"/>
  <c r="AH109" s="1"/>
  <c r="N113"/>
  <c r="N117"/>
  <c r="AH117" s="1"/>
  <c r="N121"/>
  <c r="AH121" s="1"/>
  <c r="N125"/>
  <c r="N129"/>
  <c r="N133"/>
  <c r="AH133" s="1"/>
  <c r="N137"/>
  <c r="AH137" s="1"/>
  <c r="N141"/>
  <c r="N145"/>
  <c r="AH145" s="1"/>
  <c r="N149"/>
  <c r="AH149" s="1"/>
  <c r="N153"/>
  <c r="AH153" s="1"/>
  <c r="N157"/>
  <c r="AH157" s="1"/>
  <c r="N161"/>
  <c r="AH161" s="1"/>
  <c r="N165"/>
  <c r="AH165" s="1"/>
  <c r="N169"/>
  <c r="N173"/>
  <c r="N177"/>
  <c r="AH177" s="1"/>
  <c r="N181"/>
  <c r="AH181" s="1"/>
  <c r="N185"/>
  <c r="AH185" s="1"/>
  <c r="N189"/>
  <c r="AH189" s="1"/>
  <c r="N193"/>
  <c r="AH193" s="1"/>
  <c r="N197"/>
  <c r="N201"/>
  <c r="AH201" s="1"/>
  <c r="N205"/>
  <c r="AH205" s="1"/>
  <c r="N209"/>
  <c r="N213"/>
  <c r="AH213" s="1"/>
  <c r="N217"/>
  <c r="N221"/>
  <c r="N225"/>
  <c r="N229"/>
  <c r="AH229" s="1"/>
  <c r="N233"/>
  <c r="AH233" s="1"/>
  <c r="N237"/>
  <c r="AH237" s="1"/>
  <c r="N241"/>
  <c r="AH241" s="1"/>
  <c r="N245"/>
  <c r="AH245" s="1"/>
  <c r="N249"/>
  <c r="N253"/>
  <c r="N257"/>
  <c r="AH257" s="1"/>
  <c r="N261"/>
  <c r="AH261" s="1"/>
  <c r="N265"/>
  <c r="N269"/>
  <c r="N273"/>
  <c r="AH273" s="1"/>
  <c r="N277"/>
  <c r="AH277" s="1"/>
  <c r="N281"/>
  <c r="AH281" s="1"/>
  <c r="N285"/>
  <c r="AH285" s="1"/>
  <c r="N289"/>
  <c r="N293"/>
  <c r="AH293" s="1"/>
  <c r="N297"/>
  <c r="AH297" s="1"/>
  <c r="N301"/>
  <c r="AH301" s="1"/>
  <c r="N305"/>
  <c r="N309"/>
  <c r="AH309" s="1"/>
  <c r="N313"/>
  <c r="N317"/>
  <c r="N321"/>
  <c r="AH321" s="1"/>
  <c r="N325"/>
  <c r="AH325" s="1"/>
  <c r="N329"/>
  <c r="AH329" s="1"/>
  <c r="N333"/>
  <c r="N337"/>
  <c r="N341"/>
  <c r="N345"/>
  <c r="N349"/>
  <c r="N353"/>
  <c r="AH353" s="1"/>
  <c r="N357"/>
  <c r="AH357" s="1"/>
  <c r="N361"/>
  <c r="N365"/>
  <c r="N369"/>
  <c r="N373"/>
  <c r="N377"/>
  <c r="AH377" s="1"/>
  <c r="N8"/>
  <c r="N16"/>
  <c r="AH16" s="1"/>
  <c r="N20"/>
  <c r="AH20" s="1"/>
  <c r="N24"/>
  <c r="AH24" s="1"/>
  <c r="N28"/>
  <c r="AH28" s="1"/>
  <c r="N32"/>
  <c r="AH32" s="1"/>
  <c r="N36"/>
  <c r="N40"/>
  <c r="N44"/>
  <c r="N48"/>
  <c r="N52"/>
  <c r="AH52" s="1"/>
  <c r="N56"/>
  <c r="N60"/>
  <c r="AH60" s="1"/>
  <c r="N64"/>
  <c r="AH64" s="1"/>
  <c r="N68"/>
  <c r="AH68" s="1"/>
  <c r="N72"/>
  <c r="N76"/>
  <c r="AH76" s="1"/>
  <c r="N80"/>
  <c r="N84"/>
  <c r="AH84" s="1"/>
  <c r="N88"/>
  <c r="AH88" s="1"/>
  <c r="N92"/>
  <c r="AH92" s="1"/>
  <c r="N96"/>
  <c r="AH96" s="1"/>
  <c r="N100"/>
  <c r="AH100" s="1"/>
  <c r="N104"/>
  <c r="N108"/>
  <c r="N112"/>
  <c r="N116"/>
  <c r="N120"/>
  <c r="N124"/>
  <c r="N128"/>
  <c r="AH128" s="1"/>
  <c r="N132"/>
  <c r="N136"/>
  <c r="N140"/>
  <c r="N144"/>
  <c r="N148"/>
  <c r="N152"/>
  <c r="N156"/>
  <c r="AH156" s="1"/>
  <c r="N160"/>
  <c r="AH160" s="1"/>
  <c r="N164"/>
  <c r="AH164" s="1"/>
  <c r="N168"/>
  <c r="N172"/>
  <c r="N176"/>
  <c r="AH176" s="1"/>
  <c r="N180"/>
  <c r="AH180" s="1"/>
  <c r="N184"/>
  <c r="AH184" s="1"/>
  <c r="N188"/>
  <c r="N192"/>
  <c r="N196"/>
  <c r="AH196" s="1"/>
  <c r="N200"/>
  <c r="N204"/>
  <c r="AH204" s="1"/>
  <c r="N208"/>
  <c r="N212"/>
  <c r="AH212" s="1"/>
  <c r="N216"/>
  <c r="AH216" s="1"/>
  <c r="N220"/>
  <c r="N224"/>
  <c r="AH224" s="1"/>
  <c r="N228"/>
  <c r="N232"/>
  <c r="AH232" s="1"/>
  <c r="N236"/>
  <c r="N240"/>
  <c r="N244"/>
  <c r="N248"/>
  <c r="N252"/>
  <c r="AH252" s="1"/>
  <c r="N256"/>
  <c r="AH256" s="1"/>
  <c r="N260"/>
  <c r="N264"/>
  <c r="N268"/>
  <c r="AH268" s="1"/>
  <c r="N272"/>
  <c r="AH272" s="1"/>
  <c r="N276"/>
  <c r="AH276" s="1"/>
  <c r="N280"/>
  <c r="AH280" s="1"/>
  <c r="N284"/>
  <c r="N288"/>
  <c r="AH288" s="1"/>
  <c r="N292"/>
  <c r="N296"/>
  <c r="AH296" s="1"/>
  <c r="N300"/>
  <c r="AH300" s="1"/>
  <c r="N304"/>
  <c r="AH304" s="1"/>
  <c r="N308"/>
  <c r="AH308" s="1"/>
  <c r="N312"/>
  <c r="AH312" s="1"/>
  <c r="N316"/>
  <c r="AH316" s="1"/>
  <c r="N320"/>
  <c r="AH320" s="1"/>
  <c r="N324"/>
  <c r="AH324" s="1"/>
  <c r="N328"/>
  <c r="N332"/>
  <c r="N336"/>
  <c r="N340"/>
  <c r="AH340" s="1"/>
  <c r="N344"/>
  <c r="AH344" s="1"/>
  <c r="N348"/>
  <c r="N352"/>
  <c r="AH352" s="1"/>
  <c r="N356"/>
  <c r="AH356" s="1"/>
  <c r="N360"/>
  <c r="N364"/>
  <c r="N368"/>
  <c r="AH368" s="1"/>
  <c r="N372"/>
  <c r="AH372" s="1"/>
  <c r="N376"/>
  <c r="N380"/>
  <c r="N7"/>
  <c r="AH7" s="1"/>
  <c r="N11"/>
  <c r="AH11" s="1"/>
  <c r="N15"/>
  <c r="N19"/>
  <c r="N23"/>
  <c r="AH23" s="1"/>
  <c r="N27"/>
  <c r="N31"/>
  <c r="N35"/>
  <c r="N39"/>
  <c r="AH39" s="1"/>
  <c r="N43"/>
  <c r="N47"/>
  <c r="AH47" s="1"/>
  <c r="N51"/>
  <c r="N55"/>
  <c r="AH55" s="1"/>
  <c r="N59"/>
  <c r="N63"/>
  <c r="N67"/>
  <c r="N71"/>
  <c r="AH71" s="1"/>
  <c r="N75"/>
  <c r="N79"/>
  <c r="N83"/>
  <c r="N87"/>
  <c r="N91"/>
  <c r="N95"/>
  <c r="N99"/>
  <c r="N103"/>
  <c r="N107"/>
  <c r="N111"/>
  <c r="AH111" s="1"/>
  <c r="N115"/>
  <c r="AH115" s="1"/>
  <c r="N119"/>
  <c r="N123"/>
  <c r="AH123" s="1"/>
  <c r="N127"/>
  <c r="AH127" s="1"/>
  <c r="N131"/>
  <c r="N135"/>
  <c r="AH135" s="1"/>
  <c r="N139"/>
  <c r="AH139" s="1"/>
  <c r="N143"/>
  <c r="AH143" s="1"/>
  <c r="N147"/>
  <c r="AH147" s="1"/>
  <c r="N151"/>
  <c r="N155"/>
  <c r="AH155" s="1"/>
  <c r="N159"/>
  <c r="AH159" s="1"/>
  <c r="N163"/>
  <c r="AH163" s="1"/>
  <c r="N167"/>
  <c r="AH167" s="1"/>
  <c r="N171"/>
  <c r="N175"/>
  <c r="AH175" s="1"/>
  <c r="N179"/>
  <c r="AH179" s="1"/>
  <c r="N183"/>
  <c r="AH183" s="1"/>
  <c r="N187"/>
  <c r="AH187" s="1"/>
  <c r="N191"/>
  <c r="AH191" s="1"/>
  <c r="N195"/>
  <c r="AH195" s="1"/>
  <c r="N199"/>
  <c r="N203"/>
  <c r="AH203" s="1"/>
  <c r="N207"/>
  <c r="N211"/>
  <c r="AH211" s="1"/>
  <c r="N215"/>
  <c r="AH215" s="1"/>
  <c r="N219"/>
  <c r="AH219" s="1"/>
  <c r="N223"/>
  <c r="AH223" s="1"/>
  <c r="N227"/>
  <c r="AH227" s="1"/>
  <c r="N231"/>
  <c r="AH231" s="1"/>
  <c r="N235"/>
  <c r="AH235" s="1"/>
  <c r="N239"/>
  <c r="AH239" s="1"/>
  <c r="N243"/>
  <c r="N247"/>
  <c r="AH247" s="1"/>
  <c r="N251"/>
  <c r="N255"/>
  <c r="AH255" s="1"/>
  <c r="N259"/>
  <c r="N263"/>
  <c r="AH263" s="1"/>
  <c r="N267"/>
  <c r="AH267" s="1"/>
  <c r="N271"/>
  <c r="N275"/>
  <c r="AH275" s="1"/>
  <c r="N279"/>
  <c r="AH279" s="1"/>
  <c r="N283"/>
  <c r="N287"/>
  <c r="N291"/>
  <c r="N295"/>
  <c r="N299"/>
  <c r="AH299" s="1"/>
  <c r="N303"/>
  <c r="AH303" s="1"/>
  <c r="N307"/>
  <c r="AH307" s="1"/>
  <c r="N311"/>
  <c r="N315"/>
  <c r="AH315" s="1"/>
  <c r="N319"/>
  <c r="N323"/>
  <c r="AH323" s="1"/>
  <c r="N327"/>
  <c r="AH327" s="1"/>
  <c r="N331"/>
  <c r="AH331" s="1"/>
  <c r="N335"/>
  <c r="AH335" s="1"/>
  <c r="N339"/>
  <c r="AH339" s="1"/>
  <c r="N343"/>
  <c r="N347"/>
  <c r="N351"/>
  <c r="N355"/>
  <c r="N359"/>
  <c r="AH359" s="1"/>
  <c r="N363"/>
  <c r="AH363" s="1"/>
  <c r="N367"/>
  <c r="AH367" s="1"/>
  <c r="N371"/>
  <c r="N375"/>
  <c r="AH375" s="1"/>
  <c r="N379"/>
  <c r="AH379" s="1"/>
  <c r="N6"/>
  <c r="AH6" s="1"/>
  <c r="N10"/>
  <c r="N14"/>
  <c r="AH14" s="1"/>
  <c r="N18"/>
  <c r="AH18" s="1"/>
  <c r="N22"/>
  <c r="AH22" s="1"/>
  <c r="N26"/>
  <c r="AH26" s="1"/>
  <c r="N30"/>
  <c r="AH30" s="1"/>
  <c r="N34"/>
  <c r="N38"/>
  <c r="N42"/>
  <c r="N46"/>
  <c r="AH46" s="1"/>
  <c r="N50"/>
  <c r="N54"/>
  <c r="AH54" s="1"/>
  <c r="N58"/>
  <c r="AH58" s="1"/>
  <c r="N62"/>
  <c r="AH62" s="1"/>
  <c r="N66"/>
  <c r="AH66" s="1"/>
  <c r="N70"/>
  <c r="N74"/>
  <c r="AH74" s="1"/>
  <c r="N78"/>
  <c r="AH78" s="1"/>
  <c r="N82"/>
  <c r="N86"/>
  <c r="AH86" s="1"/>
  <c r="N90"/>
  <c r="AH90" s="1"/>
  <c r="N94"/>
  <c r="AH94" s="1"/>
  <c r="N98"/>
  <c r="AH98" s="1"/>
  <c r="N102"/>
  <c r="AH102" s="1"/>
  <c r="N106"/>
  <c r="N110"/>
  <c r="AH110" s="1"/>
  <c r="N114"/>
  <c r="N118"/>
  <c r="N122"/>
  <c r="N126"/>
  <c r="AH126" s="1"/>
  <c r="N130"/>
  <c r="N134"/>
  <c r="N138"/>
  <c r="N142"/>
  <c r="AH142" s="1"/>
  <c r="N146"/>
  <c r="N150"/>
  <c r="N154"/>
  <c r="N158"/>
  <c r="AH158" s="1"/>
  <c r="N162"/>
  <c r="N166"/>
  <c r="N170"/>
  <c r="AH170" s="1"/>
  <c r="N174"/>
  <c r="AH174" s="1"/>
  <c r="N178"/>
  <c r="AH178" s="1"/>
  <c r="N182"/>
  <c r="N186"/>
  <c r="N190"/>
  <c r="N194"/>
  <c r="AH194" s="1"/>
  <c r="N198"/>
  <c r="AH198" s="1"/>
  <c r="N202"/>
  <c r="AH202" s="1"/>
  <c r="N206"/>
  <c r="AH206" s="1"/>
  <c r="N210"/>
  <c r="AH210" s="1"/>
  <c r="N214"/>
  <c r="N218"/>
  <c r="AH218" s="1"/>
  <c r="N222"/>
  <c r="AH222" s="1"/>
  <c r="N226"/>
  <c r="AH226" s="1"/>
  <c r="N230"/>
  <c r="N234"/>
  <c r="N238"/>
  <c r="AH238" s="1"/>
  <c r="N242"/>
  <c r="AH242" s="1"/>
  <c r="N246"/>
  <c r="N250"/>
  <c r="N254"/>
  <c r="AH254" s="1"/>
  <c r="N258"/>
  <c r="N262"/>
  <c r="AH262" s="1"/>
  <c r="N266"/>
  <c r="N270"/>
  <c r="AH270" s="1"/>
  <c r="N274"/>
  <c r="AH274" s="1"/>
  <c r="N278"/>
  <c r="N282"/>
  <c r="AH282" s="1"/>
  <c r="N286"/>
  <c r="AH286" s="1"/>
  <c r="N290"/>
  <c r="N294"/>
  <c r="AH294" s="1"/>
  <c r="N298"/>
  <c r="AH298" s="1"/>
  <c r="N302"/>
  <c r="AH302" s="1"/>
  <c r="N306"/>
  <c r="AH306" s="1"/>
  <c r="N310"/>
  <c r="AH310" s="1"/>
  <c r="N314"/>
  <c r="N318"/>
  <c r="AH318" s="1"/>
  <c r="N322"/>
  <c r="AH322" s="1"/>
  <c r="N326"/>
  <c r="AH326" s="1"/>
  <c r="N330"/>
  <c r="AH330" s="1"/>
  <c r="N334"/>
  <c r="AH334" s="1"/>
  <c r="N338"/>
  <c r="AH338" s="1"/>
  <c r="N342"/>
  <c r="AH342" s="1"/>
  <c r="N346"/>
  <c r="N350"/>
  <c r="AH350" s="1"/>
  <c r="N354"/>
  <c r="AH354" s="1"/>
  <c r="N358"/>
  <c r="N362"/>
  <c r="AH362" s="1"/>
  <c r="N366"/>
  <c r="AH366" s="1"/>
  <c r="N370"/>
  <c r="N374"/>
  <c r="N378"/>
  <c r="N5"/>
  <c r="AH5" s="1"/>
  <c r="AC137" i="43"/>
  <c r="AC21"/>
  <c r="AC16"/>
  <c r="AC40"/>
  <c r="AC12"/>
  <c r="AC153"/>
  <c r="AC24"/>
  <c r="AC95"/>
  <c r="FE48"/>
  <c r="R246" i="45"/>
  <c r="S246" s="1"/>
  <c r="N20" i="24"/>
  <c r="N16"/>
  <c r="N11"/>
  <c r="N37"/>
  <c r="Q5" i="45"/>
  <c r="R5" s="1"/>
  <c r="K27" i="24"/>
  <c r="Q378" i="45"/>
  <c r="R378" s="1"/>
  <c r="E349"/>
  <c r="Q366"/>
  <c r="R366" s="1"/>
  <c r="S366" s="1"/>
  <c r="Q361"/>
  <c r="R361" s="1"/>
  <c r="Q358"/>
  <c r="R358" s="1"/>
  <c r="AC147" i="43"/>
  <c r="Q373" i="45"/>
  <c r="R373" s="1"/>
  <c r="AC32" i="43"/>
  <c r="L51" i="42"/>
  <c r="N40" i="24"/>
  <c r="N19"/>
  <c r="N33"/>
  <c r="N28"/>
  <c r="H37"/>
  <c r="H19"/>
  <c r="E10" i="45"/>
  <c r="B10" s="1"/>
  <c r="P13" i="43"/>
  <c r="E16" i="45"/>
  <c r="B16" s="1"/>
  <c r="P19" i="43"/>
  <c r="Q25" i="45"/>
  <c r="R25" s="1"/>
  <c r="DG28" i="43"/>
  <c r="DH28" s="1"/>
  <c r="G28" s="1"/>
  <c r="BB13" i="24"/>
  <c r="AZ11"/>
  <c r="BA17"/>
  <c r="AZ12"/>
  <c r="BB18"/>
  <c r="BD21"/>
  <c r="AX25"/>
  <c r="BG21"/>
  <c r="BE29"/>
  <c r="BB32"/>
  <c r="AW37"/>
  <c r="BH40"/>
  <c r="BB28"/>
  <c r="AW34"/>
  <c r="AT39"/>
  <c r="BB43"/>
  <c r="AU26"/>
  <c r="BE15"/>
  <c r="AX15"/>
  <c r="BE17"/>
  <c r="BF8"/>
  <c r="AY24"/>
  <c r="BG27"/>
  <c r="BE34"/>
  <c r="AW42"/>
  <c r="BF34"/>
  <c r="AT41"/>
  <c r="BA44"/>
  <c r="BG44"/>
  <c r="AY8"/>
  <c r="BG12"/>
  <c r="AZ43"/>
  <c r="BC35"/>
  <c r="AZ33"/>
  <c r="BH41"/>
  <c r="BB35"/>
  <c r="AW28"/>
  <c r="BB19"/>
  <c r="AU34"/>
  <c r="BB27"/>
  <c r="BH21"/>
  <c r="BH37"/>
  <c r="BD31"/>
  <c r="AX66"/>
  <c r="AT64"/>
  <c r="BE61"/>
  <c r="BA59"/>
  <c r="BD56"/>
  <c r="BF53"/>
  <c r="AU52"/>
  <c r="BF49"/>
  <c r="AU48"/>
  <c r="BB24"/>
  <c r="BD52"/>
  <c r="BA48"/>
  <c r="BG75"/>
  <c r="BG73"/>
  <c r="AV72"/>
  <c r="AZ70"/>
  <c r="AZ68"/>
  <c r="BC65"/>
  <c r="DZ65" i="43" s="1"/>
  <c r="AU61" i="24"/>
  <c r="AW55"/>
  <c r="AW48"/>
  <c r="K38"/>
  <c r="K55"/>
  <c r="K71"/>
  <c r="K87"/>
  <c r="K56"/>
  <c r="K76"/>
  <c r="I92"/>
  <c r="K107"/>
  <c r="I123"/>
  <c r="I139"/>
  <c r="I155"/>
  <c r="K96"/>
  <c r="I112"/>
  <c r="I128"/>
  <c r="I144"/>
  <c r="AG9" i="45"/>
  <c r="BG16" i="24"/>
  <c r="AW15"/>
  <c r="BA20"/>
  <c r="AT20"/>
  <c r="AX30"/>
  <c r="AU39"/>
  <c r="AZ31"/>
  <c r="AZ41"/>
  <c r="BH11"/>
  <c r="BG20"/>
  <c r="AZ30"/>
  <c r="BF30"/>
  <c r="BD42"/>
  <c r="BH38"/>
  <c r="BC37"/>
  <c r="AC37" s="1"/>
  <c r="BG23"/>
  <c r="AZ39"/>
  <c r="AY25"/>
  <c r="AZ24"/>
  <c r="AV44"/>
  <c r="AW65"/>
  <c r="BB60"/>
  <c r="BC55"/>
  <c r="BF54"/>
  <c r="BG50"/>
  <c r="BG46"/>
  <c r="AZ50"/>
  <c r="BE74"/>
  <c r="AY71"/>
  <c r="AU67"/>
  <c r="BC59"/>
  <c r="BA57"/>
  <c r="BB106"/>
  <c r="BB104"/>
  <c r="BC101"/>
  <c r="BE100"/>
  <c r="AT99"/>
  <c r="BG96"/>
  <c r="BC94"/>
  <c r="BF93"/>
  <c r="BE92"/>
  <c r="BF90"/>
  <c r="AV88"/>
  <c r="BH85"/>
  <c r="AV84"/>
  <c r="BH81"/>
  <c r="BG79"/>
  <c r="BC77"/>
  <c r="AC77" s="1"/>
  <c r="BF76"/>
  <c r="BC74"/>
  <c r="BF73"/>
  <c r="BF71"/>
  <c r="AU70"/>
  <c r="AU68"/>
  <c r="BH65"/>
  <c r="BD63"/>
  <c r="BF61"/>
  <c r="AU60"/>
  <c r="BH57"/>
  <c r="BD55"/>
  <c r="BA53"/>
  <c r="AZ51"/>
  <c r="AX47"/>
  <c r="AY91"/>
  <c r="AX89"/>
  <c r="BA87"/>
  <c r="AV85"/>
  <c r="AU83"/>
  <c r="AT81"/>
  <c r="BG78"/>
  <c r="BE75"/>
  <c r="BE71"/>
  <c r="AZ66"/>
  <c r="AX58"/>
  <c r="BC47"/>
  <c r="AC47" s="1"/>
  <c r="BG59"/>
  <c r="BB72"/>
  <c r="AY79"/>
  <c r="AW83"/>
  <c r="BE86"/>
  <c r="AW91"/>
  <c r="BE49"/>
  <c r="BF55"/>
  <c r="BH59"/>
  <c r="AY64"/>
  <c r="BA68"/>
  <c r="AT73"/>
  <c r="BH76"/>
  <c r="BA81"/>
  <c r="BD85"/>
  <c r="BD89"/>
  <c r="AW94"/>
  <c r="AY98"/>
  <c r="BF102"/>
  <c r="BE106"/>
  <c r="AV109"/>
  <c r="AV111"/>
  <c r="AX113"/>
  <c r="BB115"/>
  <c r="BG117"/>
  <c r="AW120"/>
  <c r="BA122"/>
  <c r="BE124"/>
  <c r="AT127"/>
  <c r="AX129"/>
  <c r="BB131"/>
  <c r="BG133"/>
  <c r="AW136"/>
  <c r="BA138"/>
  <c r="BE140"/>
  <c r="AT143"/>
  <c r="AX145"/>
  <c r="BB147"/>
  <c r="BG149"/>
  <c r="AW152"/>
  <c r="BA154"/>
  <c r="BE156"/>
  <c r="AY92"/>
  <c r="AU95"/>
  <c r="AT97"/>
  <c r="BE98"/>
  <c r="AV101"/>
  <c r="BA103"/>
  <c r="BC105"/>
  <c r="DZ105" i="43" s="1"/>
  <c r="BA106" i="24"/>
  <c r="BD110"/>
  <c r="AZ112"/>
  <c r="BB114"/>
  <c r="BF116"/>
  <c r="BC119"/>
  <c r="DZ119" i="43" s="1"/>
  <c r="BD120" i="24"/>
  <c r="BH122"/>
  <c r="AU125"/>
  <c r="BF126"/>
  <c r="BC129"/>
  <c r="AY131"/>
  <c r="AY133"/>
  <c r="AU135"/>
  <c r="BF136"/>
  <c r="BC139"/>
  <c r="AC139" s="1"/>
  <c r="AZ140"/>
  <c r="AV142"/>
  <c r="BH143"/>
  <c r="BH145"/>
  <c r="AZ148"/>
  <c r="AV150"/>
  <c r="BH151"/>
  <c r="BD154"/>
  <c r="BE66"/>
  <c r="AU79"/>
  <c r="BA83"/>
  <c r="AY9"/>
  <c r="BG25"/>
  <c r="BE42"/>
  <c r="AV26"/>
  <c r="BC13"/>
  <c r="AC13" s="1"/>
  <c r="BE21"/>
  <c r="BB38"/>
  <c r="BF10"/>
  <c r="AW45"/>
  <c r="AY31"/>
  <c r="AT35"/>
  <c r="BE40"/>
  <c r="BG62"/>
  <c r="BF48"/>
  <c r="AV46"/>
  <c r="AU73"/>
  <c r="BD62"/>
  <c r="BA52"/>
  <c r="AZ103"/>
  <c r="AV100"/>
  <c r="BE95"/>
  <c r="BH92"/>
  <c r="BC89"/>
  <c r="AC89" s="1"/>
  <c r="AT87"/>
  <c r="AT83"/>
  <c r="BF78"/>
  <c r="BD75"/>
  <c r="BH72"/>
  <c r="AV69"/>
  <c r="BF64"/>
  <c r="BH60"/>
  <c r="BF56"/>
  <c r="AX52"/>
  <c r="AZ48"/>
  <c r="AZ90"/>
  <c r="AX86"/>
  <c r="AV82"/>
  <c r="BF77"/>
  <c r="BA69"/>
  <c r="BH53"/>
  <c r="BD48"/>
  <c r="AV77"/>
  <c r="BF84"/>
  <c r="BD46"/>
  <c r="BF57"/>
  <c r="AY66"/>
  <c r="BF74"/>
  <c r="AZ83"/>
  <c r="BG92"/>
  <c r="BB100"/>
  <c r="AT108"/>
  <c r="AW112"/>
  <c r="BE116"/>
  <c r="AX121"/>
  <c r="BG125"/>
  <c r="BA130"/>
  <c r="AT135"/>
  <c r="BB139"/>
  <c r="AW144"/>
  <c r="BE148"/>
  <c r="AX153"/>
  <c r="BH95"/>
  <c r="AY100"/>
  <c r="BA104"/>
  <c r="BC107"/>
  <c r="BC111"/>
  <c r="AC111" s="1"/>
  <c r="BF115"/>
  <c r="AT124"/>
  <c r="BD128"/>
  <c r="AZ132"/>
  <c r="AV136"/>
  <c r="AU143"/>
  <c r="BC147"/>
  <c r="AU151"/>
  <c r="BC155"/>
  <c r="AZ46"/>
  <c r="AV81"/>
  <c r="BH46"/>
  <c r="AT51"/>
  <c r="AZ54"/>
  <c r="BD57"/>
  <c r="BF60"/>
  <c r="AU64"/>
  <c r="AX69"/>
  <c r="BH73"/>
  <c r="AZ79"/>
  <c r="BC82"/>
  <c r="AC82" s="1"/>
  <c r="BE83"/>
  <c r="AX88"/>
  <c r="BB92"/>
  <c r="AV96"/>
  <c r="AX100"/>
  <c r="BD104"/>
  <c r="BB105"/>
  <c r="BD108"/>
  <c r="AW110"/>
  <c r="AY112"/>
  <c r="AY114"/>
  <c r="AY116"/>
  <c r="AY118"/>
  <c r="AY120"/>
  <c r="AY122"/>
  <c r="AY124"/>
  <c r="AY126"/>
  <c r="AY128"/>
  <c r="AY130"/>
  <c r="AY132"/>
  <c r="AY134"/>
  <c r="AY136"/>
  <c r="AY138"/>
  <c r="AY140"/>
  <c r="AY142"/>
  <c r="AY144"/>
  <c r="AY146"/>
  <c r="AY148"/>
  <c r="AY150"/>
  <c r="AY152"/>
  <c r="AY154"/>
  <c r="AY156"/>
  <c r="BC92"/>
  <c r="AX94"/>
  <c r="BE97"/>
  <c r="BH99"/>
  <c r="AV102"/>
  <c r="BC104"/>
  <c r="AC104" s="1"/>
  <c r="BH106"/>
  <c r="BF109"/>
  <c r="AT112"/>
  <c r="AV114"/>
  <c r="AV116"/>
  <c r="BH118"/>
  <c r="AU121"/>
  <c r="AU123"/>
  <c r="BF125"/>
  <c r="AT128"/>
  <c r="BH130"/>
  <c r="BF133"/>
  <c r="AT136"/>
  <c r="AX138"/>
  <c r="BB140"/>
  <c r="BH142"/>
  <c r="BF145"/>
  <c r="AT148"/>
  <c r="AX150"/>
  <c r="BB152"/>
  <c r="BH154"/>
  <c r="AU92"/>
  <c r="AU152"/>
  <c r="AU144"/>
  <c r="AU136"/>
  <c r="AU128"/>
  <c r="AU120"/>
  <c r="AU112"/>
  <c r="BB95"/>
  <c r="BH78"/>
  <c r="AV57"/>
  <c r="BE81"/>
  <c r="BE64"/>
  <c r="BG82"/>
  <c r="AV89"/>
  <c r="BA49"/>
  <c r="AU58"/>
  <c r="BC66"/>
  <c r="AC66" s="1"/>
  <c r="BF68"/>
  <c r="AU82"/>
  <c r="BG88"/>
  <c r="BA94"/>
  <c r="AT105"/>
  <c r="BA110"/>
  <c r="BC118"/>
  <c r="BC120"/>
  <c r="AC120" s="1"/>
  <c r="BD125"/>
  <c r="BC128"/>
  <c r="AC128" s="1"/>
  <c r="BC130"/>
  <c r="DZ130" i="43" s="1"/>
  <c r="BD131" i="24"/>
  <c r="BI131" s="1"/>
  <c r="BC132"/>
  <c r="BD133"/>
  <c r="BD135"/>
  <c r="BD143"/>
  <c r="BC146"/>
  <c r="AC146" s="1"/>
  <c r="BD147"/>
  <c r="BC148"/>
  <c r="AC148" s="1"/>
  <c r="BD149"/>
  <c r="BC152"/>
  <c r="AC152" s="1"/>
  <c r="BD153"/>
  <c r="BD95"/>
  <c r="AT98"/>
  <c r="AX101"/>
  <c r="BA105"/>
  <c r="AX112"/>
  <c r="AZ116"/>
  <c r="BF119"/>
  <c r="BH123"/>
  <c r="AX128"/>
  <c r="BH132"/>
  <c r="BB138"/>
  <c r="AW143"/>
  <c r="BF147"/>
  <c r="AX152"/>
  <c r="BH156"/>
  <c r="BE60"/>
  <c r="AU88"/>
  <c r="AV59"/>
  <c r="BC76"/>
  <c r="AC76" s="1"/>
  <c r="AZ93"/>
  <c r="BE108"/>
  <c r="AV117"/>
  <c r="AV125"/>
  <c r="AV133"/>
  <c r="AV141"/>
  <c r="AV149"/>
  <c r="AZ97"/>
  <c r="BG101"/>
  <c r="AU106"/>
  <c r="BB110"/>
  <c r="BF114"/>
  <c r="AW119"/>
  <c r="AY123"/>
  <c r="BF127"/>
  <c r="AX132"/>
  <c r="BH136"/>
  <c r="BA141"/>
  <c r="AT146"/>
  <c r="BB150"/>
  <c r="AW155"/>
  <c r="M56"/>
  <c r="M141"/>
  <c r="M93"/>
  <c r="K63"/>
  <c r="K48"/>
  <c r="I84"/>
  <c r="I115"/>
  <c r="I147"/>
  <c r="K104"/>
  <c r="I136"/>
  <c r="K16"/>
  <c r="I47"/>
  <c r="K64"/>
  <c r="I131"/>
  <c r="I120"/>
  <c r="F17" i="45"/>
  <c r="P20" i="43"/>
  <c r="Q32" i="45"/>
  <c r="R32" s="1"/>
  <c r="DG36" i="43"/>
  <c r="DH36" s="1"/>
  <c r="G36" s="1"/>
  <c r="AC11"/>
  <c r="DG37"/>
  <c r="DH37" s="1"/>
  <c r="G37" s="1"/>
  <c r="P37"/>
  <c r="M59" i="42"/>
  <c r="L58"/>
  <c r="H147" i="24"/>
  <c r="H115"/>
  <c r="H154"/>
  <c r="H122"/>
  <c r="H94"/>
  <c r="H60"/>
  <c r="H77"/>
  <c r="H46"/>
  <c r="N141"/>
  <c r="N125"/>
  <c r="N104"/>
  <c r="N148"/>
  <c r="N132"/>
  <c r="N116"/>
  <c r="N105"/>
  <c r="N89"/>
  <c r="N70"/>
  <c r="N52"/>
  <c r="N84"/>
  <c r="N71"/>
  <c r="N55"/>
  <c r="N21"/>
  <c r="L54" i="42"/>
  <c r="M62"/>
  <c r="H137" i="24"/>
  <c r="H144"/>
  <c r="H85"/>
  <c r="H67"/>
  <c r="N38"/>
  <c r="N8"/>
  <c r="N27"/>
  <c r="N15"/>
  <c r="P29" i="43"/>
  <c r="Q38" i="45"/>
  <c r="R38" s="1"/>
  <c r="I126" i="24"/>
  <c r="I118"/>
  <c r="I110"/>
  <c r="I102"/>
  <c r="I94"/>
  <c r="I153"/>
  <c r="I145"/>
  <c r="I137"/>
  <c r="I129"/>
  <c r="I121"/>
  <c r="I113"/>
  <c r="K105"/>
  <c r="K97"/>
  <c r="K90"/>
  <c r="K82"/>
  <c r="K74"/>
  <c r="K66"/>
  <c r="K58"/>
  <c r="I50"/>
  <c r="I89"/>
  <c r="I81"/>
  <c r="K73"/>
  <c r="K65"/>
  <c r="K57"/>
  <c r="K49"/>
  <c r="K21"/>
  <c r="K35"/>
  <c r="I32"/>
  <c r="I10"/>
  <c r="I18"/>
  <c r="K32"/>
  <c r="I26"/>
  <c r="I58"/>
  <c r="I74"/>
  <c r="I75"/>
  <c r="I11"/>
  <c r="I22"/>
  <c r="K36"/>
  <c r="K37"/>
  <c r="K12"/>
  <c r="I29"/>
  <c r="K26"/>
  <c r="I31"/>
  <c r="I12"/>
  <c r="I16"/>
  <c r="I21"/>
  <c r="I90"/>
  <c r="K95"/>
  <c r="K13"/>
  <c r="I13"/>
  <c r="K20"/>
  <c r="I20"/>
  <c r="K29"/>
  <c r="I38"/>
  <c r="K31"/>
  <c r="I39"/>
  <c r="K44"/>
  <c r="P12" i="43"/>
  <c r="I14" i="24"/>
  <c r="K19"/>
  <c r="I33"/>
  <c r="I34"/>
  <c r="I40"/>
  <c r="K10"/>
  <c r="I15"/>
  <c r="K17"/>
  <c r="I59"/>
  <c r="K122"/>
  <c r="K111"/>
  <c r="G69"/>
  <c r="H134"/>
  <c r="H106"/>
  <c r="H72"/>
  <c r="H87"/>
  <c r="H57"/>
  <c r="K151"/>
  <c r="K119"/>
  <c r="K130"/>
  <c r="K98"/>
  <c r="I67"/>
  <c r="I82"/>
  <c r="K50"/>
  <c r="K155"/>
  <c r="K139"/>
  <c r="K123"/>
  <c r="I107"/>
  <c r="K150"/>
  <c r="K134"/>
  <c r="K118"/>
  <c r="K102"/>
  <c r="I87"/>
  <c r="I71"/>
  <c r="I55"/>
  <c r="I86"/>
  <c r="I70"/>
  <c r="K54"/>
  <c r="K149"/>
  <c r="K141"/>
  <c r="K133"/>
  <c r="K125"/>
  <c r="K117"/>
  <c r="I109"/>
  <c r="I101"/>
  <c r="K152"/>
  <c r="K144"/>
  <c r="K136"/>
  <c r="K128"/>
  <c r="K120"/>
  <c r="K112"/>
  <c r="I104"/>
  <c r="I96"/>
  <c r="K89"/>
  <c r="K81"/>
  <c r="I73"/>
  <c r="I65"/>
  <c r="I57"/>
  <c r="I49"/>
  <c r="K88"/>
  <c r="K80"/>
  <c r="I72"/>
  <c r="I64"/>
  <c r="I56"/>
  <c r="I48"/>
  <c r="M79"/>
  <c r="H95"/>
  <c r="H108"/>
  <c r="H91"/>
  <c r="H100"/>
  <c r="H48"/>
  <c r="M145"/>
  <c r="H24"/>
  <c r="P9" i="43"/>
  <c r="BA22" i="24"/>
  <c r="AX26"/>
  <c r="AX12"/>
  <c r="BG34"/>
  <c r="F367" i="45"/>
  <c r="Q363"/>
  <c r="R363" s="1"/>
  <c r="E353"/>
  <c r="F343"/>
  <c r="Q338"/>
  <c r="R338" s="1"/>
  <c r="F325"/>
  <c r="B325" s="1"/>
  <c r="Q306"/>
  <c r="R306" s="1"/>
  <c r="F357"/>
  <c r="B357" s="1"/>
  <c r="Q318"/>
  <c r="R318" s="1"/>
  <c r="Q315"/>
  <c r="R315" s="1"/>
  <c r="Q309"/>
  <c r="R309" s="1"/>
  <c r="G132" i="24"/>
  <c r="I154"/>
  <c r="I146"/>
  <c r="I138"/>
  <c r="I130"/>
  <c r="I114"/>
  <c r="I98"/>
  <c r="I141"/>
  <c r="I125"/>
  <c r="K109"/>
  <c r="I93"/>
  <c r="I78"/>
  <c r="K62"/>
  <c r="I46"/>
  <c r="K77"/>
  <c r="K61"/>
  <c r="I8"/>
  <c r="I28"/>
  <c r="K40"/>
  <c r="K18"/>
  <c r="K138"/>
  <c r="K127"/>
  <c r="K11"/>
  <c r="K30"/>
  <c r="I45"/>
  <c r="I30"/>
  <c r="I25"/>
  <c r="I44"/>
  <c r="K106"/>
  <c r="K9"/>
  <c r="K24"/>
  <c r="K34"/>
  <c r="I35"/>
  <c r="I19"/>
  <c r="I41"/>
  <c r="DG11" i="43"/>
  <c r="DH11" s="1"/>
  <c r="G11" s="1"/>
  <c r="K39" i="24"/>
  <c r="K25"/>
  <c r="K15"/>
  <c r="I91"/>
  <c r="K143"/>
  <c r="K103"/>
  <c r="K114"/>
  <c r="K51"/>
  <c r="K147"/>
  <c r="K115"/>
  <c r="K126"/>
  <c r="K94"/>
  <c r="I63"/>
  <c r="K78"/>
  <c r="K46"/>
  <c r="K145"/>
  <c r="K129"/>
  <c r="K113"/>
  <c r="I97"/>
  <c r="K156"/>
  <c r="K140"/>
  <c r="K124"/>
  <c r="K108"/>
  <c r="K93"/>
  <c r="I77"/>
  <c r="I61"/>
  <c r="K92"/>
  <c r="I76"/>
  <c r="I60"/>
  <c r="I99"/>
  <c r="FS10" i="43"/>
  <c r="AL9"/>
  <c r="Q299" i="45"/>
  <c r="R299" s="1"/>
  <c r="O54" i="42"/>
  <c r="N56"/>
  <c r="N29" i="24"/>
  <c r="N9"/>
  <c r="N13"/>
  <c r="N12"/>
  <c r="N75"/>
  <c r="N58"/>
  <c r="N93"/>
  <c r="N120"/>
  <c r="N152"/>
  <c r="N113"/>
  <c r="N145"/>
  <c r="N69"/>
  <c r="N51"/>
  <c r="N86"/>
  <c r="N114"/>
  <c r="N123"/>
  <c r="N155"/>
  <c r="N73"/>
  <c r="N90"/>
  <c r="N150"/>
  <c r="N143"/>
  <c r="BG8"/>
  <c r="BG36"/>
  <c r="BG38"/>
  <c r="BA67"/>
  <c r="BF52"/>
  <c r="BE76"/>
  <c r="BH97"/>
  <c r="BE88"/>
  <c r="BE80"/>
  <c r="AT67"/>
  <c r="AT59"/>
  <c r="BC49"/>
  <c r="AC49" s="1"/>
  <c r="AY46"/>
  <c r="AU84"/>
  <c r="AT74"/>
  <c r="BG67"/>
  <c r="BH88"/>
  <c r="AW62"/>
  <c r="AV79"/>
  <c r="AZ96"/>
  <c r="AU110"/>
  <c r="AT119"/>
  <c r="AW128"/>
  <c r="AX137"/>
  <c r="BA146"/>
  <c r="BB155"/>
  <c r="BG97"/>
  <c r="BF108"/>
  <c r="BD118"/>
  <c r="BH125"/>
  <c r="AV134"/>
  <c r="AY141"/>
  <c r="AY149"/>
  <c r="AZ156"/>
  <c r="BB76"/>
  <c r="BG90"/>
  <c r="AV52"/>
  <c r="BC58"/>
  <c r="BD59"/>
  <c r="AV67"/>
  <c r="AU76"/>
  <c r="AU86"/>
  <c r="BH93"/>
  <c r="BA102"/>
  <c r="BB107"/>
  <c r="AX111"/>
  <c r="AZ115"/>
  <c r="AZ119"/>
  <c r="AZ123"/>
  <c r="AZ127"/>
  <c r="AZ131"/>
  <c r="AZ135"/>
  <c r="AZ139"/>
  <c r="AZ143"/>
  <c r="AZ147"/>
  <c r="AZ151"/>
  <c r="AZ155"/>
  <c r="BG98"/>
  <c r="AU103"/>
  <c r="AU108"/>
  <c r="AU113"/>
  <c r="BF117"/>
  <c r="BD122"/>
  <c r="BH126"/>
  <c r="AT132"/>
  <c r="AW137"/>
  <c r="BF141"/>
  <c r="BH146"/>
  <c r="BA151"/>
  <c r="AT156"/>
  <c r="AU148"/>
  <c r="AU132"/>
  <c r="AU116"/>
  <c r="BE87"/>
  <c r="AX48"/>
  <c r="BA75"/>
  <c r="BA91"/>
  <c r="BA62"/>
  <c r="AT80"/>
  <c r="AW93"/>
  <c r="AZ108"/>
  <c r="BC116"/>
  <c r="AC116" s="1"/>
  <c r="BD117"/>
  <c r="BC126"/>
  <c r="DZ126" i="43" s="1"/>
  <c r="BD127" i="24"/>
  <c r="BC134"/>
  <c r="BC140"/>
  <c r="AC140" s="1"/>
  <c r="BD141"/>
  <c r="BD151"/>
  <c r="AX93"/>
  <c r="AW99"/>
  <c r="BH108"/>
  <c r="BA117"/>
  <c r="AT126"/>
  <c r="AX136"/>
  <c r="BA145"/>
  <c r="BB154"/>
  <c r="BE50"/>
  <c r="BC50"/>
  <c r="BA85"/>
  <c r="AV113"/>
  <c r="AV129"/>
  <c r="AV145"/>
  <c r="BD99"/>
  <c r="AY108"/>
  <c r="BH116"/>
  <c r="BA125"/>
  <c r="BB134"/>
  <c r="BF143"/>
  <c r="BH152"/>
  <c r="AT55"/>
  <c r="BF89"/>
  <c r="AV115"/>
  <c r="AV131"/>
  <c r="AV147"/>
  <c r="BF100"/>
  <c r="BA109"/>
  <c r="AT118"/>
  <c r="BB126"/>
  <c r="BF135"/>
  <c r="BH144"/>
  <c r="AT154"/>
  <c r="BF151"/>
  <c r="BA133"/>
  <c r="BH115"/>
  <c r="BB98"/>
  <c r="AV143"/>
  <c r="AT111"/>
  <c r="BH128"/>
  <c r="AW73"/>
  <c r="AV119"/>
  <c r="BE102"/>
  <c r="AT138"/>
  <c r="BF111"/>
  <c r="BG14"/>
  <c r="BF15"/>
  <c r="AT17"/>
  <c r="BE16"/>
  <c r="AZ17"/>
  <c r="AY14"/>
  <c r="AX13"/>
  <c r="AU12"/>
  <c r="AV11"/>
  <c r="BF9"/>
  <c r="BC8"/>
  <c r="DZ8" i="43" s="1"/>
  <c r="BA8" i="24"/>
  <c r="AW17"/>
  <c r="AV16"/>
  <c r="BH14"/>
  <c r="AX14"/>
  <c r="AU13"/>
  <c r="AV12"/>
  <c r="BH10"/>
  <c r="BE9"/>
  <c r="BD8"/>
  <c r="AY18"/>
  <c r="AW19"/>
  <c r="AW20"/>
  <c r="AU21"/>
  <c r="BF21"/>
  <c r="BG22"/>
  <c r="BA23"/>
  <c r="BE24"/>
  <c r="AZ25"/>
  <c r="AT18"/>
  <c r="BE19"/>
  <c r="BF20"/>
  <c r="BH22"/>
  <c r="BC24"/>
  <c r="DZ24" i="43" s="1"/>
  <c r="BB25" i="24"/>
  <c r="AV27"/>
  <c r="AY28"/>
  <c r="BH28"/>
  <c r="AU27"/>
  <c r="AU29"/>
  <c r="BB30"/>
  <c r="BF31"/>
  <c r="BG32"/>
  <c r="AT34"/>
  <c r="AV35"/>
  <c r="AX36"/>
  <c r="BA37"/>
  <c r="BC38"/>
  <c r="AC38" s="1"/>
  <c r="BE38"/>
  <c r="BD39"/>
  <c r="BD40"/>
  <c r="BF41"/>
  <c r="AU43"/>
  <c r="AW27"/>
  <c r="BE28"/>
  <c r="BA30"/>
  <c r="BG31"/>
  <c r="AV33"/>
  <c r="BA34"/>
  <c r="BH35"/>
  <c r="AV37"/>
  <c r="AZ38"/>
  <c r="AX39"/>
  <c r="BA40"/>
  <c r="BE41"/>
  <c r="BF42"/>
  <c r="BE43"/>
  <c r="BE44"/>
  <c r="AX45"/>
  <c r="AZ26"/>
  <c r="AU45"/>
  <c r="BD45"/>
  <c r="AY26"/>
  <c r="BA16"/>
  <c r="AZ14"/>
  <c r="BH9"/>
  <c r="AW14"/>
  <c r="AX11"/>
  <c r="AX9"/>
  <c r="AU17"/>
  <c r="AV14"/>
  <c r="BE11"/>
  <c r="BC9"/>
  <c r="AC9" s="1"/>
  <c r="BA9"/>
  <c r="BE18"/>
  <c r="AY20"/>
  <c r="AW22"/>
  <c r="BF23"/>
  <c r="BA25"/>
  <c r="AZ20"/>
  <c r="AV24"/>
  <c r="BA28"/>
  <c r="AV28"/>
  <c r="AU31"/>
  <c r="BC33"/>
  <c r="AC33" s="1"/>
  <c r="BD33"/>
  <c r="AX35"/>
  <c r="AY37"/>
  <c r="BA39"/>
  <c r="BD41"/>
  <c r="BA27"/>
  <c r="AX31"/>
  <c r="AX33"/>
  <c r="AY35"/>
  <c r="AT38"/>
  <c r="AY40"/>
  <c r="BG43"/>
  <c r="BE45"/>
  <c r="BA45"/>
  <c r="AW9"/>
  <c r="AY17"/>
  <c r="BH13"/>
  <c r="AT12"/>
  <c r="BG13"/>
  <c r="BA26"/>
  <c r="BH43"/>
  <c r="AU40"/>
  <c r="BF35"/>
  <c r="BC34"/>
  <c r="AC34" s="1"/>
  <c r="BD32"/>
  <c r="AY30"/>
  <c r="BF40"/>
  <c r="AZ34"/>
  <c r="AV30"/>
  <c r="AT27"/>
  <c r="BC22"/>
  <c r="AC22" s="1"/>
  <c r="BH25"/>
  <c r="AY21"/>
  <c r="BC19"/>
  <c r="AT19"/>
  <c r="BH45"/>
  <c r="AX37"/>
  <c r="BF43"/>
  <c r="BE32"/>
  <c r="AV20"/>
  <c r="BC23"/>
  <c r="AC23" s="1"/>
  <c r="AU20"/>
  <c r="BH44"/>
  <c r="BA42"/>
  <c r="AZ18"/>
  <c r="BC40"/>
  <c r="DZ40" i="43" s="1"/>
  <c r="AX40" i="24"/>
  <c r="BE67"/>
  <c r="BB66"/>
  <c r="BA65"/>
  <c r="AX64"/>
  <c r="AW63"/>
  <c r="AT62"/>
  <c r="BG60"/>
  <c r="BE59"/>
  <c r="BD58"/>
  <c r="BC57"/>
  <c r="AC57" s="1"/>
  <c r="AY57"/>
  <c r="AZ56"/>
  <c r="AU55"/>
  <c r="BB53"/>
  <c r="BC52"/>
  <c r="BE51"/>
  <c r="BB50"/>
  <c r="BB49"/>
  <c r="BC48"/>
  <c r="AC48" s="1"/>
  <c r="BE47"/>
  <c r="BB46"/>
  <c r="BH42"/>
  <c r="AV53"/>
  <c r="AU51"/>
  <c r="BH48"/>
  <c r="BE46"/>
  <c r="AT77"/>
  <c r="BC75"/>
  <c r="AC75" s="1"/>
  <c r="AU75"/>
  <c r="AV74"/>
  <c r="AY73"/>
  <c r="AZ72"/>
  <c r="AU71"/>
  <c r="AV70"/>
  <c r="AU69"/>
  <c r="AV68"/>
  <c r="AV66"/>
  <c r="AV64"/>
  <c r="BC61"/>
  <c r="AC61" s="1"/>
  <c r="BD60"/>
  <c r="BI60" s="1"/>
  <c r="AU59"/>
  <c r="BG56"/>
  <c r="BD54"/>
  <c r="AZ53"/>
  <c r="AV49"/>
  <c r="AT11"/>
  <c r="BG106"/>
  <c r="BF105"/>
  <c r="BG104"/>
  <c r="BE103"/>
  <c r="BC102"/>
  <c r="AC102" s="1"/>
  <c r="BF101"/>
  <c r="BD100"/>
  <c r="BG99"/>
  <c r="BF98"/>
  <c r="BD97"/>
  <c r="BB96"/>
  <c r="AZ95"/>
  <c r="AU94"/>
  <c r="AV93"/>
  <c r="AU93"/>
  <c r="AV92"/>
  <c r="AT91"/>
  <c r="BH89"/>
  <c r="BD88"/>
  <c r="BG87"/>
  <c r="BF86"/>
  <c r="BC85"/>
  <c r="AC85" s="1"/>
  <c r="AY85"/>
  <c r="AZ84"/>
  <c r="AX83"/>
  <c r="AW82"/>
  <c r="AU81"/>
  <c r="AV80"/>
  <c r="AT79"/>
  <c r="BG77"/>
  <c r="BA76"/>
  <c r="AZ75"/>
  <c r="AU74"/>
  <c r="AV73"/>
  <c r="BD71"/>
  <c r="AV71"/>
  <c r="BF69"/>
  <c r="BH68"/>
  <c r="BF67"/>
  <c r="BF66"/>
  <c r="BB65"/>
  <c r="BA64"/>
  <c r="AZ63"/>
  <c r="AU62"/>
  <c r="AV61"/>
  <c r="AY60"/>
  <c r="AX59"/>
  <c r="AW58"/>
  <c r="AT57"/>
  <c r="BH55"/>
  <c r="BG54"/>
  <c r="BE53"/>
  <c r="BB52"/>
  <c r="BD51"/>
  <c r="BD50"/>
  <c r="BG49"/>
  <c r="BE48"/>
  <c r="BB47"/>
  <c r="BC46"/>
  <c r="AC46" s="1"/>
  <c r="AU46"/>
  <c r="BD90"/>
  <c r="BB89"/>
  <c r="BA88"/>
  <c r="AW87"/>
  <c r="AT86"/>
  <c r="BH84"/>
  <c r="BF83"/>
  <c r="BE82"/>
  <c r="BG81"/>
  <c r="BF80"/>
  <c r="BD79"/>
  <c r="BB78"/>
  <c r="AZ77"/>
  <c r="AW75"/>
  <c r="AX72"/>
  <c r="AT70"/>
  <c r="AY67"/>
  <c r="AY63"/>
  <c r="AY59"/>
  <c r="BH54"/>
  <c r="BC15"/>
  <c r="AV36"/>
  <c r="BE57"/>
  <c r="BG65"/>
  <c r="BA71"/>
  <c r="AT76"/>
  <c r="BE78"/>
  <c r="BH80"/>
  <c r="BD83"/>
  <c r="AX85"/>
  <c r="AY87"/>
  <c r="AZ89"/>
  <c r="BD91"/>
  <c r="BD47"/>
  <c r="AW49"/>
  <c r="AX51"/>
  <c r="BC53"/>
  <c r="AC53" s="1"/>
  <c r="AV54"/>
  <c r="AY56"/>
  <c r="AY58"/>
  <c r="BA60"/>
  <c r="BF63"/>
  <c r="BF65"/>
  <c r="BH67"/>
  <c r="AW70"/>
  <c r="BA72"/>
  <c r="AX75"/>
  <c r="BA77"/>
  <c r="BE79"/>
  <c r="BF81"/>
  <c r="AT84"/>
  <c r="BF85"/>
  <c r="AT88"/>
  <c r="BC90"/>
  <c r="AC90" s="1"/>
  <c r="AX92"/>
  <c r="BD93"/>
  <c r="BG95"/>
  <c r="BF97"/>
  <c r="AT100"/>
  <c r="AW102"/>
  <c r="AZ104"/>
  <c r="AZ106"/>
  <c r="BF107"/>
  <c r="BG108"/>
  <c r="BE109"/>
  <c r="BG110"/>
  <c r="BG111"/>
  <c r="AT113"/>
  <c r="AW114"/>
  <c r="AX115"/>
  <c r="BA116"/>
  <c r="BB117"/>
  <c r="AW118"/>
  <c r="AX119"/>
  <c r="BA120"/>
  <c r="BB121"/>
  <c r="BE122"/>
  <c r="BG123"/>
  <c r="AT125"/>
  <c r="AW126"/>
  <c r="AX127"/>
  <c r="BA128"/>
  <c r="BB129"/>
  <c r="BE130"/>
  <c r="BG131"/>
  <c r="AT133"/>
  <c r="AW134"/>
  <c r="AX135"/>
  <c r="BA136"/>
  <c r="BB137"/>
  <c r="BE138"/>
  <c r="BG139"/>
  <c r="AT141"/>
  <c r="AW142"/>
  <c r="AX143"/>
  <c r="BA144"/>
  <c r="BB145"/>
  <c r="BE146"/>
  <c r="BG147"/>
  <c r="AT149"/>
  <c r="AW150"/>
  <c r="AX151"/>
  <c r="BA152"/>
  <c r="BB153"/>
  <c r="BI153" s="1"/>
  <c r="BE154"/>
  <c r="BG155"/>
  <c r="BF92"/>
  <c r="AZ94"/>
  <c r="AY95"/>
  <c r="BF96"/>
  <c r="AV98"/>
  <c r="BC99"/>
  <c r="BC100"/>
  <c r="DZ100" i="43" s="1"/>
  <c r="BH100" i="24"/>
  <c r="AT102"/>
  <c r="AW103"/>
  <c r="AW104"/>
  <c r="AY105"/>
  <c r="BF106"/>
  <c r="BG107"/>
  <c r="AU109"/>
  <c r="BH109"/>
  <c r="BF110"/>
  <c r="AV112"/>
  <c r="AW113"/>
  <c r="AX114"/>
  <c r="BA115"/>
  <c r="BB116"/>
  <c r="BC117"/>
  <c r="AC117" s="1"/>
  <c r="AZ118"/>
  <c r="AY119"/>
  <c r="AZ120"/>
  <c r="BA121"/>
  <c r="BB122"/>
  <c r="BF123"/>
  <c r="BF124"/>
  <c r="AV126"/>
  <c r="BC127"/>
  <c r="AZ128"/>
  <c r="AY129"/>
  <c r="BD130"/>
  <c r="AU131"/>
  <c r="AV132"/>
  <c r="AU133"/>
  <c r="AZ134"/>
  <c r="M144"/>
  <c r="M98"/>
  <c r="M69"/>
  <c r="Q10" i="45"/>
  <c r="R10" s="1"/>
  <c r="O51" i="42"/>
  <c r="I9" i="24"/>
  <c r="K42"/>
  <c r="K8"/>
  <c r="I42"/>
  <c r="G86"/>
  <c r="H111"/>
  <c r="H118"/>
  <c r="H56"/>
  <c r="K146"/>
  <c r="I66"/>
  <c r="K99"/>
  <c r="K110"/>
  <c r="K47"/>
  <c r="K153"/>
  <c r="K121"/>
  <c r="K132"/>
  <c r="I100"/>
  <c r="I69"/>
  <c r="K84"/>
  <c r="I52"/>
  <c r="N60" i="42"/>
  <c r="H131" i="24"/>
  <c r="H76"/>
  <c r="N121"/>
  <c r="N128"/>
  <c r="N66"/>
  <c r="H112"/>
  <c r="I152"/>
  <c r="N55" i="42"/>
  <c r="M134" i="24"/>
  <c r="M70"/>
  <c r="Q11" i="45"/>
  <c r="R11" s="1"/>
  <c r="DG19" i="43"/>
  <c r="DH19" s="1"/>
  <c r="G19" s="1"/>
  <c r="BG140"/>
  <c r="DM99"/>
  <c r="DN99" s="1"/>
  <c r="AC37"/>
  <c r="AC132"/>
  <c r="DG14"/>
  <c r="DH14" s="1"/>
  <c r="G14" s="1"/>
  <c r="AC22"/>
  <c r="DG41"/>
  <c r="DH41" s="1"/>
  <c r="G41" s="1"/>
  <c r="B104" i="45"/>
  <c r="AG379"/>
  <c r="AG371"/>
  <c r="AG363"/>
  <c r="AG353"/>
  <c r="AG345"/>
  <c r="AG335"/>
  <c r="AG328"/>
  <c r="AG321"/>
  <c r="AG311"/>
  <c r="AG306"/>
  <c r="AC23" i="43"/>
  <c r="AC28"/>
  <c r="DM150"/>
  <c r="DN150" s="1"/>
  <c r="DM40"/>
  <c r="DN40" s="1"/>
  <c r="AG380" i="45"/>
  <c r="AG375"/>
  <c r="AG367"/>
  <c r="AG358"/>
  <c r="AG349"/>
  <c r="AG339"/>
  <c r="AG331"/>
  <c r="AG325"/>
  <c r="AG315"/>
  <c r="AG308"/>
  <c r="AG303"/>
  <c r="AG298"/>
  <c r="AG293"/>
  <c r="AG288"/>
  <c r="AG283"/>
  <c r="AG277"/>
  <c r="AG269"/>
  <c r="AG261"/>
  <c r="AG247"/>
  <c r="AG236"/>
  <c r="AG231"/>
  <c r="AG225"/>
  <c r="AG204"/>
  <c r="AG199"/>
  <c r="AG192"/>
  <c r="AG188"/>
  <c r="AG180"/>
  <c r="AG174"/>
  <c r="AG167"/>
  <c r="AG142"/>
  <c r="AG134"/>
  <c r="AG126"/>
  <c r="AG118"/>
  <c r="AG108"/>
  <c r="AG104"/>
  <c r="AG96"/>
  <c r="AG89"/>
  <c r="AG82"/>
  <c r="AG77"/>
  <c r="AG72"/>
  <c r="AG64"/>
  <c r="AG32"/>
  <c r="AG28"/>
  <c r="AG24"/>
  <c r="AG20"/>
  <c r="AG14"/>
  <c r="DM46" i="43"/>
  <c r="DN46" s="1"/>
  <c r="H41" i="24"/>
  <c r="AY23"/>
  <c r="BD105"/>
  <c r="AU85"/>
  <c r="BC62"/>
  <c r="AW88"/>
  <c r="AZ62"/>
  <c r="AZ81"/>
  <c r="BF70"/>
  <c r="BE104"/>
  <c r="BB123"/>
  <c r="BG141"/>
  <c r="AX102"/>
  <c r="BF121"/>
  <c r="BD138"/>
  <c r="BF152"/>
  <c r="BB85"/>
  <c r="BI85" s="1"/>
  <c r="BC56"/>
  <c r="AC56" s="1"/>
  <c r="BB71"/>
  <c r="AY90"/>
  <c r="BD106"/>
  <c r="AZ113"/>
  <c r="AZ121"/>
  <c r="AZ129"/>
  <c r="AZ137"/>
  <c r="AZ145"/>
  <c r="AZ153"/>
  <c r="BA95"/>
  <c r="BE105"/>
  <c r="AU115"/>
  <c r="BD124"/>
  <c r="BH134"/>
  <c r="AT144"/>
  <c r="BF153"/>
  <c r="AU140"/>
  <c r="BH107"/>
  <c r="BB56"/>
  <c r="BI56" s="1"/>
  <c r="BG53"/>
  <c r="BC86"/>
  <c r="BD115"/>
  <c r="BD129"/>
  <c r="BI129" s="1"/>
  <c r="BC144"/>
  <c r="AC144" s="1"/>
  <c r="BD145"/>
  <c r="BC156"/>
  <c r="AC156" s="1"/>
  <c r="BF95"/>
  <c r="AZ114"/>
  <c r="BB130"/>
  <c r="AT150"/>
  <c r="BD67"/>
  <c r="AV121"/>
  <c r="AV153"/>
  <c r="AH361" i="45"/>
  <c r="Q39"/>
  <c r="R39" s="1"/>
  <c r="DG42" i="43"/>
  <c r="DH42" s="1"/>
  <c r="G42" s="1"/>
  <c r="Q379" i="45"/>
  <c r="R379" s="1"/>
  <c r="Q370"/>
  <c r="R370" s="1"/>
  <c r="S371" s="1"/>
  <c r="BH70" i="24"/>
  <c r="BH79"/>
  <c r="BH51"/>
  <c r="BA114"/>
  <c r="AT151"/>
  <c r="BA113"/>
  <c r="BF144"/>
  <c r="E24" i="45"/>
  <c r="E375"/>
  <c r="E374"/>
  <c r="AH283"/>
  <c r="R288"/>
  <c r="S288" s="1"/>
  <c r="AT31" i="24"/>
  <c r="BB54"/>
  <c r="AZ87"/>
  <c r="AV94"/>
  <c r="BG48"/>
  <c r="BD81"/>
  <c r="AT109"/>
  <c r="AZ125"/>
  <c r="AZ141"/>
  <c r="AT101"/>
  <c r="AT120"/>
  <c r="BA139"/>
  <c r="AU156"/>
  <c r="BH69"/>
  <c r="BB75"/>
  <c r="BI75" s="1"/>
  <c r="BD119"/>
  <c r="BC154"/>
  <c r="AC154" s="1"/>
  <c r="BD155"/>
  <c r="AY103"/>
  <c r="BH140"/>
  <c r="BH101"/>
  <c r="AT94"/>
  <c r="BF112"/>
  <c r="AT130"/>
  <c r="AX148"/>
  <c r="BH83"/>
  <c r="AV106"/>
  <c r="AV139"/>
  <c r="AY96"/>
  <c r="BH113"/>
  <c r="AW131"/>
  <c r="BA149"/>
  <c r="BB142"/>
  <c r="AW107"/>
  <c r="AV127"/>
  <c r="BB63"/>
  <c r="BI63" s="1"/>
  <c r="BA46"/>
  <c r="AX120"/>
  <c r="BA14"/>
  <c r="AY16"/>
  <c r="AV135"/>
  <c r="BD17"/>
  <c r="AW16"/>
  <c r="BE12"/>
  <c r="AY10"/>
  <c r="BG17"/>
  <c r="BA15"/>
  <c r="BE13"/>
  <c r="BC11"/>
  <c r="DZ11" i="43" s="1"/>
  <c r="BA11" i="24"/>
  <c r="AU9"/>
  <c r="BG18"/>
  <c r="BE20"/>
  <c r="AY22"/>
  <c r="AW24"/>
  <c r="BD25"/>
  <c r="BI25" s="1"/>
  <c r="AX20"/>
  <c r="AT24"/>
  <c r="BE27"/>
  <c r="AZ29"/>
  <c r="AT30"/>
  <c r="AX32"/>
  <c r="BB34"/>
  <c r="BH36"/>
  <c r="AY39"/>
  <c r="AW41"/>
  <c r="BC43"/>
  <c r="DZ43" i="43" s="1"/>
  <c r="BH29" i="24"/>
  <c r="BA32"/>
  <c r="AW35"/>
  <c r="BG37"/>
  <c r="BG39"/>
  <c r="AX42"/>
  <c r="AY44"/>
  <c r="BG45"/>
  <c r="BC45"/>
  <c r="AC45" s="1"/>
  <c r="BF26"/>
  <c r="BF16"/>
  <c r="BC12"/>
  <c r="AC12" s="1"/>
  <c r="BA12"/>
  <c r="AU8"/>
  <c r="BF12"/>
  <c r="AX8"/>
  <c r="AW21"/>
  <c r="BG24"/>
  <c r="AX22"/>
  <c r="BB29"/>
  <c r="AZ32"/>
  <c r="AZ36"/>
  <c r="BB40"/>
  <c r="AU30"/>
  <c r="AY34"/>
  <c r="AV39"/>
  <c r="AV42"/>
  <c r="BG26"/>
  <c r="AW13"/>
  <c r="AT8"/>
  <c r="BE14"/>
  <c r="AZ42"/>
  <c r="BD34"/>
  <c r="AU32"/>
  <c r="BA38"/>
  <c r="AX29"/>
  <c r="BH20"/>
  <c r="BD19"/>
  <c r="BG41"/>
  <c r="AU37"/>
  <c r="BD23"/>
  <c r="AX38"/>
  <c r="AX19"/>
  <c r="AW67"/>
  <c r="BG64"/>
  <c r="BB62"/>
  <c r="AX60"/>
  <c r="AV58"/>
  <c r="BG55"/>
  <c r="AT53"/>
  <c r="AW51"/>
  <c r="AT49"/>
  <c r="AW47"/>
  <c r="BF28"/>
  <c r="BH49"/>
  <c r="BB77"/>
  <c r="AV76"/>
  <c r="BC73"/>
  <c r="DZ73" i="43" s="1"/>
  <c r="BG71" i="24"/>
  <c r="BC69"/>
  <c r="DZ69" i="43" s="1"/>
  <c r="BD66" i="24"/>
  <c r="AU63"/>
  <c r="AT58"/>
  <c r="AY51"/>
  <c r="AZ107"/>
  <c r="AZ105"/>
  <c r="AV103"/>
  <c r="AU101"/>
  <c r="AX99"/>
  <c r="AW97"/>
  <c r="BH94"/>
  <c r="AW92"/>
  <c r="BB91"/>
  <c r="BI91" s="1"/>
  <c r="AU89"/>
  <c r="AX87"/>
  <c r="BE84"/>
  <c r="BF82"/>
  <c r="BD80"/>
  <c r="BA78"/>
  <c r="BH75"/>
  <c r="BD73"/>
  <c r="BC70"/>
  <c r="AC70" s="1"/>
  <c r="AY70"/>
  <c r="AY68"/>
  <c r="AW66"/>
  <c r="BH63"/>
  <c r="BD61"/>
  <c r="BF59"/>
  <c r="BB57"/>
  <c r="BI57" s="1"/>
  <c r="AZ55"/>
  <c r="AW53"/>
  <c r="AV51"/>
  <c r="AY49"/>
  <c r="AT47"/>
  <c r="AV90"/>
  <c r="BH87"/>
  <c r="AZ85"/>
  <c r="AY83"/>
  <c r="AX81"/>
  <c r="AW79"/>
  <c r="AX76"/>
  <c r="AW71"/>
  <c r="AY65"/>
  <c r="AW57"/>
  <c r="BH52"/>
  <c r="AW69"/>
  <c r="BH77"/>
  <c r="AT82"/>
  <c r="AZ86"/>
  <c r="BB90"/>
  <c r="AT48"/>
  <c r="AZ52"/>
  <c r="AZ57"/>
  <c r="BB61"/>
  <c r="BI61" s="1"/>
  <c r="BH64"/>
  <c r="AT69"/>
  <c r="BB73"/>
  <c r="AY76"/>
  <c r="BH82"/>
  <c r="BH86"/>
  <c r="AV91"/>
  <c r="BF94"/>
  <c r="BH98"/>
  <c r="AX103"/>
  <c r="AX107"/>
  <c r="AZ109"/>
  <c r="AZ111"/>
  <c r="BB113"/>
  <c r="BG115"/>
  <c r="BE118"/>
  <c r="AT121"/>
  <c r="AX123"/>
  <c r="BB125"/>
  <c r="BG127"/>
  <c r="AW130"/>
  <c r="BA132"/>
  <c r="BE134"/>
  <c r="AT137"/>
  <c r="AX139"/>
  <c r="BB141"/>
  <c r="BG143"/>
  <c r="AW146"/>
  <c r="BA148"/>
  <c r="BE150"/>
  <c r="AT153"/>
  <c r="AX155"/>
  <c r="BG93"/>
  <c r="AW96"/>
  <c r="BD98"/>
  <c r="BF99"/>
  <c r="BB102"/>
  <c r="BF104"/>
  <c r="AY107"/>
  <c r="BC109"/>
  <c r="AC109" s="1"/>
  <c r="AY111"/>
  <c r="BF113"/>
  <c r="AT116"/>
  <c r="BH117"/>
  <c r="BH119"/>
  <c r="AT122"/>
  <c r="AX124"/>
  <c r="BD126"/>
  <c r="BH127"/>
  <c r="AV130"/>
  <c r="BD132"/>
  <c r="BF134"/>
  <c r="BH135"/>
  <c r="AU137"/>
  <c r="BH137"/>
  <c r="BF138"/>
  <c r="AV140"/>
  <c r="AU141"/>
  <c r="AZ142"/>
  <c r="AY143"/>
  <c r="BD144"/>
  <c r="BC145"/>
  <c r="AC145" s="1"/>
  <c r="AV146"/>
  <c r="BF146"/>
  <c r="AV148"/>
  <c r="AU149"/>
  <c r="AZ150"/>
  <c r="AY151"/>
  <c r="BD152"/>
  <c r="BC153"/>
  <c r="DZ153" i="43" s="1"/>
  <c r="AZ154" i="24"/>
  <c r="AY155"/>
  <c r="BD156"/>
  <c r="BE62"/>
  <c r="AX74"/>
  <c r="BA153"/>
  <c r="BH148"/>
  <c r="AX144"/>
  <c r="BF139"/>
  <c r="AW135"/>
  <c r="BF131"/>
  <c r="AW127"/>
  <c r="BF122"/>
  <c r="BB118"/>
  <c r="BI118" s="1"/>
  <c r="AY113"/>
  <c r="AT110"/>
  <c r="BC106"/>
  <c r="DZ106" i="43" s="1"/>
  <c r="AZ102" i="24"/>
  <c r="BH96"/>
  <c r="BC150"/>
  <c r="AC150" s="1"/>
  <c r="BC142"/>
  <c r="BD137"/>
  <c r="BI137" s="1"/>
  <c r="BC124"/>
  <c r="BD123"/>
  <c r="BI123" s="1"/>
  <c r="BC114"/>
  <c r="DZ114" i="43" s="1"/>
  <c r="BC112" i="24"/>
  <c r="DZ112" i="43" s="1"/>
  <c r="AX109" i="24"/>
  <c r="BG100"/>
  <c r="BH90"/>
  <c r="BE77"/>
  <c r="AT71"/>
  <c r="AU56"/>
  <c r="AZ47"/>
  <c r="BC80"/>
  <c r="AC80" s="1"/>
  <c r="BG70"/>
  <c r="AV86"/>
  <c r="BE52"/>
  <c r="BD65"/>
  <c r="AV83"/>
  <c r="BE99"/>
  <c r="BG109"/>
  <c r="AU118"/>
  <c r="AU126"/>
  <c r="AU134"/>
  <c r="AU142"/>
  <c r="AU150"/>
  <c r="BB156"/>
  <c r="AX154"/>
  <c r="AT152"/>
  <c r="BF149"/>
  <c r="AX146"/>
  <c r="BB144"/>
  <c r="BA143"/>
  <c r="AW141"/>
  <c r="BH138"/>
  <c r="BB136"/>
  <c r="AX134"/>
  <c r="BB132"/>
  <c r="AX130"/>
  <c r="BB128"/>
  <c r="BI128" s="1"/>
  <c r="AX126"/>
  <c r="AV124"/>
  <c r="BC121"/>
  <c r="AC121" s="1"/>
  <c r="BB120"/>
  <c r="BI120" s="1"/>
  <c r="AX118"/>
  <c r="BD116"/>
  <c r="BC113"/>
  <c r="DZ113" i="43" s="1"/>
  <c r="BB112" i="24"/>
  <c r="BA111"/>
  <c r="AW109"/>
  <c r="AY106"/>
  <c r="AU104"/>
  <c r="BB101"/>
  <c r="BI101" s="1"/>
  <c r="BA99"/>
  <c r="AV97"/>
  <c r="BG94"/>
  <c r="BE155"/>
  <c r="BE153"/>
  <c r="BE151"/>
  <c r="BE149"/>
  <c r="BE147"/>
  <c r="BE145"/>
  <c r="BE143"/>
  <c r="BE141"/>
  <c r="BE139"/>
  <c r="BE137"/>
  <c r="BE135"/>
  <c r="BE133"/>
  <c r="BE131"/>
  <c r="BE129"/>
  <c r="BE127"/>
  <c r="BE125"/>
  <c r="BE123"/>
  <c r="BE121"/>
  <c r="BE119"/>
  <c r="BE117"/>
  <c r="BE115"/>
  <c r="BE113"/>
  <c r="BE111"/>
  <c r="BB109"/>
  <c r="BB103"/>
  <c r="AV99"/>
  <c r="AT95"/>
  <c r="AZ91"/>
  <c r="AV87"/>
  <c r="BB80"/>
  <c r="BI80" s="1"/>
  <c r="AW77"/>
  <c r="BF72"/>
  <c r="AW68"/>
  <c r="AV65"/>
  <c r="BB55"/>
  <c r="AU50"/>
  <c r="BH91"/>
  <c r="BC88"/>
  <c r="AC88" s="1"/>
  <c r="BC87"/>
  <c r="AC87" s="1"/>
  <c r="BD86"/>
  <c r="BA84"/>
  <c r="AU80"/>
  <c r="AT72"/>
  <c r="BF156"/>
  <c r="AU155"/>
  <c r="AY153"/>
  <c r="BC151"/>
  <c r="AC151" s="1"/>
  <c r="BF148"/>
  <c r="AU147"/>
  <c r="AY145"/>
  <c r="BC143"/>
  <c r="AC143" s="1"/>
  <c r="BD142"/>
  <c r="BF140"/>
  <c r="AU139"/>
  <c r="AY137"/>
  <c r="BC135"/>
  <c r="AC135" s="1"/>
  <c r="BF132"/>
  <c r="BF130"/>
  <c r="AU129"/>
  <c r="AY127"/>
  <c r="BC125"/>
  <c r="BA123"/>
  <c r="AW121"/>
  <c r="AU119"/>
  <c r="AY117"/>
  <c r="AW115"/>
  <c r="BH112"/>
  <c r="AU111"/>
  <c r="AY109"/>
  <c r="AU107"/>
  <c r="AU105"/>
  <c r="BG102"/>
  <c r="AU100"/>
  <c r="AZ98"/>
  <c r="BA96"/>
  <c r="BB93"/>
  <c r="AT155"/>
  <c r="BE152"/>
  <c r="BA150"/>
  <c r="AW148"/>
  <c r="BG145"/>
  <c r="BB143"/>
  <c r="AX141"/>
  <c r="AT139"/>
  <c r="BE136"/>
  <c r="BA134"/>
  <c r="AW132"/>
  <c r="BG129"/>
  <c r="BB127"/>
  <c r="AX125"/>
  <c r="AT123"/>
  <c r="BE120"/>
  <c r="AX117"/>
  <c r="AT115"/>
  <c r="BE112"/>
  <c r="BC110"/>
  <c r="BD109"/>
  <c r="BD107"/>
  <c r="BI107" s="1"/>
  <c r="BG103"/>
  <c r="AY97"/>
  <c r="AT93"/>
  <c r="AU90"/>
  <c r="AY86"/>
  <c r="AY82"/>
  <c r="AU78"/>
  <c r="AW74"/>
  <c r="BB69"/>
  <c r="BI69" s="1"/>
  <c r="AZ65"/>
  <c r="AT61"/>
  <c r="BH56"/>
  <c r="AU53"/>
  <c r="BB48"/>
  <c r="BI48" s="1"/>
  <c r="AT90"/>
  <c r="BG85"/>
  <c r="AY80"/>
  <c r="BG74"/>
  <c r="BG63"/>
  <c r="BD49"/>
  <c r="AZ60"/>
  <c r="AX68"/>
  <c r="BG72"/>
  <c r="AX78"/>
  <c r="BA80"/>
  <c r="BD82"/>
  <c r="BC83"/>
  <c r="AC83" s="1"/>
  <c r="BC84"/>
  <c r="DZ84" i="43" s="1"/>
  <c r="BG86" i="24"/>
  <c r="BF88"/>
  <c r="BE90"/>
  <c r="BF46"/>
  <c r="AU49"/>
  <c r="BH50"/>
  <c r="K79"/>
  <c r="I53"/>
  <c r="K116"/>
  <c r="I105"/>
  <c r="I79"/>
  <c r="K131"/>
  <c r="I83"/>
  <c r="K154"/>
  <c r="I27"/>
  <c r="I24"/>
  <c r="K45"/>
  <c r="K22"/>
  <c r="I37"/>
  <c r="K53"/>
  <c r="I85"/>
  <c r="K70"/>
  <c r="K101"/>
  <c r="I133"/>
  <c r="I122"/>
  <c r="I142"/>
  <c r="C6" i="30"/>
  <c r="C22"/>
  <c r="Q22" i="45"/>
  <c r="R22" s="1"/>
  <c r="E21"/>
  <c r="B21" s="1"/>
  <c r="P24" i="43"/>
  <c r="DG22"/>
  <c r="DH22" s="1"/>
  <c r="G22" s="1"/>
  <c r="H22" s="1"/>
  <c r="E41" i="45"/>
  <c r="B41" s="1"/>
  <c r="P44" i="43"/>
  <c r="E38" i="45"/>
  <c r="P41" i="43"/>
  <c r="E378" i="45"/>
  <c r="B378" s="1"/>
  <c r="E358"/>
  <c r="E354"/>
  <c r="Q352"/>
  <c r="R352" s="1"/>
  <c r="S352" s="1"/>
  <c r="E348"/>
  <c r="B348" s="1"/>
  <c r="E347"/>
  <c r="B347" s="1"/>
  <c r="E339"/>
  <c r="E334"/>
  <c r="Q333"/>
  <c r="R333" s="1"/>
  <c r="E331"/>
  <c r="E313"/>
  <c r="F299"/>
  <c r="B299" s="1"/>
  <c r="Q291"/>
  <c r="R291" s="1"/>
  <c r="S291" s="1"/>
  <c r="E286"/>
  <c r="B286" s="1"/>
  <c r="Q285"/>
  <c r="R285" s="1"/>
  <c r="E275"/>
  <c r="E268"/>
  <c r="Q267"/>
  <c r="R267" s="1"/>
  <c r="F266"/>
  <c r="B266" s="1"/>
  <c r="Q261"/>
  <c r="R261" s="1"/>
  <c r="S262" s="1"/>
  <c r="Q260"/>
  <c r="R260" s="1"/>
  <c r="S260" s="1"/>
  <c r="Q253"/>
  <c r="R253" s="1"/>
  <c r="Q248"/>
  <c r="R248" s="1"/>
  <c r="Q247"/>
  <c r="R247" s="1"/>
  <c r="Q243"/>
  <c r="R243" s="1"/>
  <c r="Q242"/>
  <c r="R242" s="1"/>
  <c r="Q239"/>
  <c r="R239" s="1"/>
  <c r="Q238"/>
  <c r="R238" s="1"/>
  <c r="E223"/>
  <c r="B223" s="1"/>
  <c r="Q215"/>
  <c r="R215" s="1"/>
  <c r="E212"/>
  <c r="B212" s="1"/>
  <c r="Q197"/>
  <c r="R197" s="1"/>
  <c r="S198" s="1"/>
  <c r="E194"/>
  <c r="E187"/>
  <c r="B187" s="1"/>
  <c r="Q186"/>
  <c r="R186" s="1"/>
  <c r="Q183"/>
  <c r="R183" s="1"/>
  <c r="S184" s="1"/>
  <c r="Q172"/>
  <c r="R172" s="1"/>
  <c r="Q162"/>
  <c r="R162" s="1"/>
  <c r="E149"/>
  <c r="P152" i="43"/>
  <c r="E147" i="45"/>
  <c r="B147" s="1"/>
  <c r="P150" i="43"/>
  <c r="E145" i="45"/>
  <c r="B145" s="1"/>
  <c r="P148" i="43"/>
  <c r="E137" i="45"/>
  <c r="B137" s="1"/>
  <c r="P140" i="43"/>
  <c r="Q111" i="45"/>
  <c r="R111" s="1"/>
  <c r="DG114" i="43"/>
  <c r="DH114" s="1"/>
  <c r="G114" s="1"/>
  <c r="M114" s="1"/>
  <c r="N114" s="1"/>
  <c r="DG112"/>
  <c r="DH112" s="1"/>
  <c r="G112" s="1"/>
  <c r="DG111"/>
  <c r="DH111" s="1"/>
  <c r="G111" s="1"/>
  <c r="Q107" i="45"/>
  <c r="R107" s="1"/>
  <c r="DG110" i="43"/>
  <c r="DH110" s="1"/>
  <c r="G110" s="1"/>
  <c r="E101" i="45"/>
  <c r="P104" i="43"/>
  <c r="Q100" i="45"/>
  <c r="R100" s="1"/>
  <c r="DG104" i="43"/>
  <c r="DH104" s="1"/>
  <c r="G104" s="1"/>
  <c r="Q99" i="45"/>
  <c r="R99" s="1"/>
  <c r="DG102" i="43"/>
  <c r="DH102" s="1"/>
  <c r="G102" s="1"/>
  <c r="F89" i="45"/>
  <c r="E71"/>
  <c r="B71" s="1"/>
  <c r="P74" i="43"/>
  <c r="Q70" i="45"/>
  <c r="R70" s="1"/>
  <c r="E69"/>
  <c r="B69" s="1"/>
  <c r="P72" i="43"/>
  <c r="E64" i="45"/>
  <c r="B64" s="1"/>
  <c r="P67" i="43"/>
  <c r="Q63" i="45"/>
  <c r="R63" s="1"/>
  <c r="DG67" i="43"/>
  <c r="DH67" s="1"/>
  <c r="G67" s="1"/>
  <c r="AC62"/>
  <c r="AC61"/>
  <c r="Q55" i="45"/>
  <c r="R55" s="1"/>
  <c r="S56" s="1"/>
  <c r="DG58" i="43"/>
  <c r="DH58" s="1"/>
  <c r="G58" s="1"/>
  <c r="Q49" i="45"/>
  <c r="R49" s="1"/>
  <c r="DG52" i="43"/>
  <c r="DH52" s="1"/>
  <c r="G52" s="1"/>
  <c r="DM56"/>
  <c r="DN56" s="1"/>
  <c r="B188" i="45"/>
  <c r="AC140" i="43"/>
  <c r="E23" i="45"/>
  <c r="B23" s="1"/>
  <c r="P26" i="43"/>
  <c r="E15" i="45"/>
  <c r="Q31"/>
  <c r="R31" s="1"/>
  <c r="S32" s="1"/>
  <c r="Q376"/>
  <c r="R376" s="1"/>
  <c r="E373"/>
  <c r="Q369"/>
  <c r="R369" s="1"/>
  <c r="E369"/>
  <c r="B369" s="1"/>
  <c r="Q359"/>
  <c r="R359" s="1"/>
  <c r="E344"/>
  <c r="B344" s="1"/>
  <c r="Q343"/>
  <c r="R343" s="1"/>
  <c r="Q340"/>
  <c r="R340" s="1"/>
  <c r="E337"/>
  <c r="B337" s="1"/>
  <c r="E329"/>
  <c r="Q328"/>
  <c r="R328" s="1"/>
  <c r="Q321"/>
  <c r="R321" s="1"/>
  <c r="Q308"/>
  <c r="R308" s="1"/>
  <c r="Q301"/>
  <c r="R301" s="1"/>
  <c r="Q300"/>
  <c r="R300" s="1"/>
  <c r="E296"/>
  <c r="B296" s="1"/>
  <c r="Q293"/>
  <c r="R293" s="1"/>
  <c r="Q292"/>
  <c r="R292" s="1"/>
  <c r="E289"/>
  <c r="E282"/>
  <c r="Q276"/>
  <c r="R276" s="1"/>
  <c r="Q271"/>
  <c r="R271" s="1"/>
  <c r="E271"/>
  <c r="F265"/>
  <c r="B265" s="1"/>
  <c r="Q254"/>
  <c r="R254" s="1"/>
  <c r="Q251"/>
  <c r="R251" s="1"/>
  <c r="E251"/>
  <c r="Q249"/>
  <c r="R249" s="1"/>
  <c r="E237"/>
  <c r="B237" s="1"/>
  <c r="E230"/>
  <c r="B230" s="1"/>
  <c r="E220"/>
  <c r="E217"/>
  <c r="Q214"/>
  <c r="R214" s="1"/>
  <c r="Q210"/>
  <c r="R210" s="1"/>
  <c r="E210"/>
  <c r="Q205"/>
  <c r="R205" s="1"/>
  <c r="E205"/>
  <c r="Q200"/>
  <c r="R200" s="1"/>
  <c r="S201" s="1"/>
  <c r="Q192"/>
  <c r="R192" s="1"/>
  <c r="S192" s="1"/>
  <c r="E192"/>
  <c r="B192" s="1"/>
  <c r="Q182"/>
  <c r="R182" s="1"/>
  <c r="S182" s="1"/>
  <c r="Q175"/>
  <c r="R175" s="1"/>
  <c r="E170"/>
  <c r="B170" s="1"/>
  <c r="Q160"/>
  <c r="R160" s="1"/>
  <c r="E160"/>
  <c r="B160" s="1"/>
  <c r="Q157"/>
  <c r="R157" s="1"/>
  <c r="Q142"/>
  <c r="R142" s="1"/>
  <c r="DG145" i="43"/>
  <c r="DH145" s="1"/>
  <c r="G145" s="1"/>
  <c r="AF142" i="45" s="1"/>
  <c r="E138"/>
  <c r="B138" s="1"/>
  <c r="P141" i="43"/>
  <c r="DG139"/>
  <c r="DH139" s="1"/>
  <c r="G139" s="1"/>
  <c r="Q132" i="45"/>
  <c r="R132" s="1"/>
  <c r="S133" s="1"/>
  <c r="DG135" i="43"/>
  <c r="DH135" s="1"/>
  <c r="G135" s="1"/>
  <c r="H135" s="1"/>
  <c r="Q127" i="45"/>
  <c r="R127" s="1"/>
  <c r="DG130" i="43"/>
  <c r="DH130" s="1"/>
  <c r="G130" s="1"/>
  <c r="H130" s="1"/>
  <c r="E124" i="45"/>
  <c r="E123"/>
  <c r="B123" s="1"/>
  <c r="P126" i="43"/>
  <c r="Q122" i="45"/>
  <c r="R122" s="1"/>
  <c r="S123" s="1"/>
  <c r="DG125" i="43"/>
  <c r="DH125" s="1"/>
  <c r="G125" s="1"/>
  <c r="H125" s="1"/>
  <c r="E122" i="45"/>
  <c r="P125" i="43"/>
  <c r="E117" i="45"/>
  <c r="P120" i="43"/>
  <c r="E115" i="45"/>
  <c r="E109"/>
  <c r="Q105"/>
  <c r="R105" s="1"/>
  <c r="DG108" i="43"/>
  <c r="DH108" s="1"/>
  <c r="G108" s="1"/>
  <c r="E103" i="45"/>
  <c r="P106" i="43"/>
  <c r="Q93" i="45"/>
  <c r="R93" s="1"/>
  <c r="DG97" i="43"/>
  <c r="DH97" s="1"/>
  <c r="G97" s="1"/>
  <c r="E87" i="45"/>
  <c r="B87" s="1"/>
  <c r="Q78"/>
  <c r="R78" s="1"/>
  <c r="DG81" i="43"/>
  <c r="DH81" s="1"/>
  <c r="G81" s="1"/>
  <c r="AF78" i="45" s="1"/>
  <c r="E78"/>
  <c r="P81" i="43"/>
  <c r="Q77" i="45"/>
  <c r="R77" s="1"/>
  <c r="DG80" i="43"/>
  <c r="DH80" s="1"/>
  <c r="G80" s="1"/>
  <c r="H80" s="1"/>
  <c r="Q76" i="45"/>
  <c r="R76" s="1"/>
  <c r="E74"/>
  <c r="P77" i="43"/>
  <c r="Q73" i="45"/>
  <c r="R73" s="1"/>
  <c r="DG76" i="43"/>
  <c r="DH76" s="1"/>
  <c r="G76" s="1"/>
  <c r="AC73"/>
  <c r="AC72"/>
  <c r="Q67" i="45"/>
  <c r="R67" s="1"/>
  <c r="DG71" i="43"/>
  <c r="DH71" s="1"/>
  <c r="G71" s="1"/>
  <c r="H71" s="1"/>
  <c r="P68"/>
  <c r="Q61" i="45"/>
  <c r="R61" s="1"/>
  <c r="DG64" i="43"/>
  <c r="DH64" s="1"/>
  <c r="G64" s="1"/>
  <c r="Q60" i="45"/>
  <c r="R60" s="1"/>
  <c r="DG63" i="43"/>
  <c r="DH63" s="1"/>
  <c r="G63" s="1"/>
  <c r="Q54" i="45"/>
  <c r="R54" s="1"/>
  <c r="DG57" i="43"/>
  <c r="DH57" s="1"/>
  <c r="G57" s="1"/>
  <c r="H57" s="1"/>
  <c r="E54" i="45"/>
  <c r="P57" i="43"/>
  <c r="AC55"/>
  <c r="E51" i="45"/>
  <c r="B51" s="1"/>
  <c r="P54" i="43"/>
  <c r="Q50" i="45"/>
  <c r="R50" s="1"/>
  <c r="DG53" i="43"/>
  <c r="DH53" s="1"/>
  <c r="G53" s="1"/>
  <c r="DG49"/>
  <c r="DH49" s="1"/>
  <c r="G49" s="1"/>
  <c r="H49" s="1"/>
  <c r="B105" i="45"/>
  <c r="N67" i="24"/>
  <c r="N85"/>
  <c r="N137"/>
  <c r="N91"/>
  <c r="N108"/>
  <c r="N95"/>
  <c r="E5" i="45"/>
  <c r="B5" s="1"/>
  <c r="P8" i="43"/>
  <c r="K85" i="24"/>
  <c r="K137"/>
  <c r="I62"/>
  <c r="K43"/>
  <c r="I43"/>
  <c r="K14"/>
  <c r="K28"/>
  <c r="K33"/>
  <c r="I17"/>
  <c r="K69"/>
  <c r="K86"/>
  <c r="I149"/>
  <c r="I134"/>
  <c r="AC27" i="43"/>
  <c r="AC26"/>
  <c r="DG29"/>
  <c r="DH29" s="1"/>
  <c r="G29" s="1"/>
  <c r="Q275" i="45"/>
  <c r="R275" s="1"/>
  <c r="Q20"/>
  <c r="R20" s="1"/>
  <c r="Q212"/>
  <c r="R212" s="1"/>
  <c r="Q86"/>
  <c r="R86" s="1"/>
  <c r="Q178"/>
  <c r="R178" s="1"/>
  <c r="AC150" i="43"/>
  <c r="AG378" i="45"/>
  <c r="AG362"/>
  <c r="AG241"/>
  <c r="AG196"/>
  <c r="AG56"/>
  <c r="DZ53" i="43"/>
  <c r="AG370" i="45"/>
  <c r="AG354"/>
  <c r="AG278"/>
  <c r="AG266"/>
  <c r="AG242"/>
  <c r="AC120" i="43"/>
  <c r="AG131" i="45"/>
  <c r="AC87" i="43"/>
  <c r="DM16"/>
  <c r="DN16" s="1"/>
  <c r="AH33" i="45"/>
  <c r="DM54" i="43"/>
  <c r="DN54" s="1"/>
  <c r="AH10" i="45"/>
  <c r="AG165"/>
  <c r="AG334"/>
  <c r="AC48" i="43"/>
  <c r="AG198" i="45"/>
  <c r="P33" i="43"/>
  <c r="AG52" i="45"/>
  <c r="DZ34" i="43"/>
  <c r="M53" i="42"/>
  <c r="N62"/>
  <c r="L62"/>
  <c r="N61"/>
  <c r="N112" i="24"/>
  <c r="N77"/>
  <c r="N94"/>
  <c r="N154"/>
  <c r="N147"/>
  <c r="N57"/>
  <c r="N72"/>
  <c r="N134"/>
  <c r="N127"/>
  <c r="N119"/>
  <c r="N126"/>
  <c r="N64"/>
  <c r="N110"/>
  <c r="N135"/>
  <c r="N18"/>
  <c r="N41"/>
  <c r="N36"/>
  <c r="N23"/>
  <c r="N65"/>
  <c r="H138"/>
  <c r="H90"/>
  <c r="H151"/>
  <c r="H119"/>
  <c r="H126"/>
  <c r="H64"/>
  <c r="H50"/>
  <c r="H110"/>
  <c r="H143"/>
  <c r="H142"/>
  <c r="H14"/>
  <c r="H20"/>
  <c r="H34"/>
  <c r="H33"/>
  <c r="H21"/>
  <c r="H11"/>
  <c r="H31"/>
  <c r="H28"/>
  <c r="H16"/>
  <c r="H55"/>
  <c r="H71"/>
  <c r="H84"/>
  <c r="H52"/>
  <c r="H70"/>
  <c r="H89"/>
  <c r="H105"/>
  <c r="H116"/>
  <c r="H132"/>
  <c r="H148"/>
  <c r="H104"/>
  <c r="H125"/>
  <c r="H141"/>
  <c r="H145"/>
  <c r="H113"/>
  <c r="H152"/>
  <c r="H120"/>
  <c r="H93"/>
  <c r="H58"/>
  <c r="H75"/>
  <c r="H36"/>
  <c r="H35"/>
  <c r="H10"/>
  <c r="H23"/>
  <c r="H43"/>
  <c r="H9"/>
  <c r="H139"/>
  <c r="H103"/>
  <c r="H146"/>
  <c r="H114"/>
  <c r="H86"/>
  <c r="H51"/>
  <c r="H69"/>
  <c r="H121"/>
  <c r="H128"/>
  <c r="H66"/>
  <c r="H53"/>
  <c r="H27"/>
  <c r="H22"/>
  <c r="H17"/>
  <c r="AH265" i="45"/>
  <c r="DM10" i="43"/>
  <c r="DN10" s="1"/>
  <c r="DM102"/>
  <c r="DN102" s="1"/>
  <c r="DM133"/>
  <c r="DN133" s="1"/>
  <c r="DM63"/>
  <c r="DN63" s="1"/>
  <c r="DM123"/>
  <c r="DN123" s="1"/>
  <c r="CU25"/>
  <c r="CB25"/>
  <c r="AZ58" i="24"/>
  <c r="AY69"/>
  <c r="BG91"/>
  <c r="BE132"/>
  <c r="AT63"/>
  <c r="AZ117"/>
  <c r="AZ149"/>
  <c r="BH110"/>
  <c r="AW149"/>
  <c r="AU124"/>
  <c r="AT103"/>
  <c r="T103" s="1"/>
  <c r="V103" s="1"/>
  <c r="W103" s="1"/>
  <c r="BF103"/>
  <c r="AW139"/>
  <c r="B263" i="45"/>
  <c r="DM120" i="43"/>
  <c r="DN120" s="1"/>
  <c r="B177" i="45"/>
  <c r="G221" i="23"/>
  <c r="AC25" i="43"/>
  <c r="DG89"/>
  <c r="DH89" s="1"/>
  <c r="G89" s="1"/>
  <c r="E377" i="45"/>
  <c r="E35"/>
  <c r="P38" i="43"/>
  <c r="B260" i="45"/>
  <c r="B175"/>
  <c r="AU98" i="24"/>
  <c r="AU87"/>
  <c r="BH121"/>
  <c r="AY121"/>
  <c r="AW72"/>
  <c r="AV155"/>
  <c r="AZ122"/>
  <c r="I68"/>
  <c r="K142"/>
  <c r="K135"/>
  <c r="N39"/>
  <c r="N48"/>
  <c r="Q368" i="45"/>
  <c r="R368" s="1"/>
  <c r="AC135" i="43"/>
  <c r="DZ120"/>
  <c r="AC139"/>
  <c r="DZ111"/>
  <c r="B267" i="45"/>
  <c r="B154"/>
  <c r="B102"/>
  <c r="DM38" i="43"/>
  <c r="DN38" s="1"/>
  <c r="B247" i="45"/>
  <c r="B197"/>
  <c r="B134"/>
  <c r="BF38" i="24"/>
  <c r="BG33"/>
  <c r="BH27"/>
  <c r="AV40"/>
  <c r="BE35"/>
  <c r="AW31"/>
  <c r="BD28"/>
  <c r="BI28" s="1"/>
  <c r="AV22"/>
  <c r="AV25"/>
  <c r="AZ21"/>
  <c r="AV8"/>
  <c r="BD12"/>
  <c r="BD16"/>
  <c r="BB11"/>
  <c r="AU16"/>
  <c r="BB15"/>
  <c r="BC14"/>
  <c r="AW147"/>
  <c r="N106"/>
  <c r="BB17"/>
  <c r="BI17" s="1"/>
  <c r="N122"/>
  <c r="N46"/>
  <c r="AX156"/>
  <c r="BC97"/>
  <c r="AC97" s="1"/>
  <c r="AZ124"/>
  <c r="P22" i="43"/>
  <c r="G108" i="24"/>
  <c r="H73"/>
  <c r="AX140"/>
  <c r="AV123"/>
  <c r="DG20" i="43"/>
  <c r="DH20" s="1"/>
  <c r="G20" s="1"/>
  <c r="H20" s="1"/>
  <c r="AV137" i="24"/>
  <c r="BC79"/>
  <c r="AC79" s="1"/>
  <c r="BF129"/>
  <c r="AZ130"/>
  <c r="AZ133"/>
  <c r="AW81"/>
  <c r="AZ15"/>
  <c r="AV9"/>
  <c r="AZ10"/>
  <c r="AW23"/>
  <c r="BD24"/>
  <c r="BA33"/>
  <c r="AY42"/>
  <c r="BA36"/>
  <c r="AX43"/>
  <c r="AT44"/>
  <c r="AY11"/>
  <c r="AW10"/>
  <c r="BB10"/>
  <c r="BI10" s="1"/>
  <c r="AV23"/>
  <c r="AX27"/>
  <c r="AV34"/>
  <c r="BC41"/>
  <c r="AC41" s="1"/>
  <c r="AY32"/>
  <c r="AT37"/>
  <c r="BB44"/>
  <c r="BI44" s="1"/>
  <c r="BA10"/>
  <c r="BB26"/>
  <c r="BI26" s="1"/>
  <c r="AW43"/>
  <c r="BE25"/>
  <c r="BG9"/>
  <c r="BG29"/>
  <c r="BH33"/>
  <c r="AT66"/>
  <c r="BA61"/>
  <c r="BE56"/>
  <c r="AY52"/>
  <c r="AY48"/>
  <c r="AW52"/>
  <c r="BD76"/>
  <c r="BE72"/>
  <c r="BD68"/>
  <c r="AV60"/>
  <c r="AU47"/>
  <c r="AX104"/>
  <c r="AZ100"/>
  <c r="AT96"/>
  <c r="BD92"/>
  <c r="AZ88"/>
  <c r="BG83"/>
  <c r="BB79"/>
  <c r="BI79" s="1"/>
  <c r="BH74"/>
  <c r="AZ69"/>
  <c r="AT65"/>
  <c r="BC60"/>
  <c r="AC60" s="1"/>
  <c r="BF58"/>
  <c r="AX54"/>
  <c r="BA50"/>
  <c r="BC91"/>
  <c r="AC91" s="1"/>
  <c r="AT89"/>
  <c r="AY84"/>
  <c r="AW80"/>
  <c r="BA73"/>
  <c r="AY61"/>
  <c r="BG61"/>
  <c r="BF79"/>
  <c r="AY88"/>
  <c r="AY50"/>
  <c r="AZ59"/>
  <c r="BH66"/>
  <c r="BC78"/>
  <c r="AC78" s="1"/>
  <c r="BG80"/>
  <c r="AW89"/>
  <c r="BE96"/>
  <c r="AX105"/>
  <c r="AY110"/>
  <c r="BE114"/>
  <c r="BG119"/>
  <c r="BA124"/>
  <c r="AT129"/>
  <c r="BB133"/>
  <c r="AW138"/>
  <c r="BE142"/>
  <c r="AX147"/>
  <c r="BG151"/>
  <c r="BA156"/>
  <c r="BE94"/>
  <c r="AU99"/>
  <c r="BD103"/>
  <c r="BA108"/>
  <c r="BD112"/>
  <c r="AU117"/>
  <c r="BH120"/>
  <c r="AY125"/>
  <c r="BF128"/>
  <c r="BC133"/>
  <c r="AC133" s="1"/>
  <c r="BH133"/>
  <c r="AZ136"/>
  <c r="AZ138"/>
  <c r="BD140"/>
  <c r="BF142"/>
  <c r="AU145"/>
  <c r="AY147"/>
  <c r="BC149"/>
  <c r="BH149"/>
  <c r="AV152"/>
  <c r="BH153"/>
  <c r="AV156"/>
  <c r="H79"/>
  <c r="Q7" i="45"/>
  <c r="R7" s="1"/>
  <c r="Q30"/>
  <c r="R30" s="1"/>
  <c r="DG33" i="43"/>
  <c r="DH33" s="1"/>
  <c r="G33" s="1"/>
  <c r="H33" s="1"/>
  <c r="I23" i="24"/>
  <c r="M143"/>
  <c r="DM62" i="43"/>
  <c r="DN62" s="1"/>
  <c r="K148" i="24"/>
  <c r="I54"/>
  <c r="I106"/>
  <c r="G20"/>
  <c r="B118" i="45"/>
  <c r="AC15" i="43"/>
  <c r="B218" i="45"/>
  <c r="B116"/>
  <c r="B324"/>
  <c r="B132"/>
  <c r="B172"/>
  <c r="AG274"/>
  <c r="B269"/>
  <c r="S138"/>
  <c r="S137"/>
  <c r="B113"/>
  <c r="AG150"/>
  <c r="AG139"/>
  <c r="AG132"/>
  <c r="AG122"/>
  <c r="AG112"/>
  <c r="AG102"/>
  <c r="AG92"/>
  <c r="AG84"/>
  <c r="AG76"/>
  <c r="AG66"/>
  <c r="AG37"/>
  <c r="AG31"/>
  <c r="AG26"/>
  <c r="AG369"/>
  <c r="AG356"/>
  <c r="AG342"/>
  <c r="AG330"/>
  <c r="AG319"/>
  <c r="AG307"/>
  <c r="AG300"/>
  <c r="AG294"/>
  <c r="AG287"/>
  <c r="AG282"/>
  <c r="AG273"/>
  <c r="AG265"/>
  <c r="AG256"/>
  <c r="AG245"/>
  <c r="AG234"/>
  <c r="AG229"/>
  <c r="AG208"/>
  <c r="AG202"/>
  <c r="AG193"/>
  <c r="AG189"/>
  <c r="AG183"/>
  <c r="AG176"/>
  <c r="AG170"/>
  <c r="AG162"/>
  <c r="AC145" i="43"/>
  <c r="M109"/>
  <c r="S202" i="45"/>
  <c r="B255"/>
  <c r="B202"/>
  <c r="B165"/>
  <c r="B158"/>
  <c r="B129"/>
  <c r="B127"/>
  <c r="S125"/>
  <c r="B93"/>
  <c r="B91"/>
  <c r="B73"/>
  <c r="B332"/>
  <c r="B316"/>
  <c r="B254"/>
  <c r="S220"/>
  <c r="B189"/>
  <c r="B178"/>
  <c r="B141"/>
  <c r="B119"/>
  <c r="B90"/>
  <c r="B270"/>
  <c r="B126"/>
  <c r="B190"/>
  <c r="B131"/>
  <c r="B110"/>
  <c r="S280"/>
  <c r="DZ148" i="43"/>
  <c r="DZ37"/>
  <c r="DZ44"/>
  <c r="B234" i="45"/>
  <c r="B281"/>
  <c r="BH104" i="24"/>
  <c r="BF13"/>
  <c r="BA19"/>
  <c r="AT28"/>
  <c r="AV31"/>
  <c r="BF44"/>
  <c r="AV17"/>
  <c r="AZ19"/>
  <c r="BF29"/>
  <c r="BG42"/>
  <c r="BB41"/>
  <c r="BB9"/>
  <c r="BI9" s="1"/>
  <c r="AV32"/>
  <c r="BC32"/>
  <c r="AC32" s="1"/>
  <c r="BD30"/>
  <c r="BI30" s="1"/>
  <c r="AV21"/>
  <c r="AW59"/>
  <c r="AT50"/>
  <c r="BG47"/>
  <c r="BD70"/>
  <c r="BE55"/>
  <c r="AY102"/>
  <c r="BC93"/>
  <c r="DZ93" i="43" s="1"/>
  <c r="AW86" i="24"/>
  <c r="AU77"/>
  <c r="AX67"/>
  <c r="BA56"/>
  <c r="AV48"/>
  <c r="BB86"/>
  <c r="AT78"/>
  <c r="BG51"/>
  <c r="AW84"/>
  <c r="AX55"/>
  <c r="AX71"/>
  <c r="BA93"/>
  <c r="AX108"/>
  <c r="AT117"/>
  <c r="BE126"/>
  <c r="BG135"/>
  <c r="AT145"/>
  <c r="AW154"/>
  <c r="AX97"/>
  <c r="AW106"/>
  <c r="BH114"/>
  <c r="AW123"/>
  <c r="BC131"/>
  <c r="AC131" s="1"/>
  <c r="BC137"/>
  <c r="BC141"/>
  <c r="BH141"/>
  <c r="BD146"/>
  <c r="BF150"/>
  <c r="BF154"/>
  <c r="I36"/>
  <c r="I150"/>
  <c r="S134" i="45"/>
  <c r="B92"/>
  <c r="B85"/>
  <c r="S283"/>
  <c r="B121"/>
  <c r="AC94" i="43"/>
  <c r="S284" i="45"/>
  <c r="B279"/>
  <c r="S165"/>
  <c r="N100" i="24"/>
  <c r="N115"/>
  <c r="N87"/>
  <c r="N151"/>
  <c r="N98"/>
  <c r="M57"/>
  <c r="DM122" i="43"/>
  <c r="DN122" s="1"/>
  <c r="DM94"/>
  <c r="DN94" s="1"/>
  <c r="C9" i="30"/>
  <c r="S290" i="45"/>
  <c r="S221"/>
  <c r="DZ9" i="43"/>
  <c r="DZ76"/>
  <c r="DZ152"/>
  <c r="DZ55"/>
  <c r="EI14"/>
  <c r="EI28"/>
  <c r="EI39"/>
  <c r="EI36"/>
  <c r="EI15"/>
  <c r="EI16"/>
  <c r="EI154"/>
  <c r="EI148"/>
  <c r="EI145"/>
  <c r="EI143"/>
  <c r="EI140"/>
  <c r="EI134"/>
  <c r="EI131"/>
  <c r="EI130"/>
  <c r="EI128"/>
  <c r="EI124"/>
  <c r="EI121"/>
  <c r="EI110"/>
  <c r="EI109"/>
  <c r="EI106"/>
  <c r="EI104"/>
  <c r="EI96"/>
  <c r="EI93"/>
  <c r="EI91"/>
  <c r="EI90"/>
  <c r="EI86"/>
  <c r="EI85"/>
  <c r="EI83"/>
  <c r="EI80"/>
  <c r="EI79"/>
  <c r="EI69"/>
  <c r="EI67"/>
  <c r="EI60"/>
  <c r="EI59"/>
  <c r="EI52"/>
  <c r="EI51"/>
  <c r="EI50"/>
  <c r="EI46"/>
  <c r="DZ82"/>
  <c r="DZ33"/>
  <c r="DG93"/>
  <c r="DH93" s="1"/>
  <c r="G93" s="1"/>
  <c r="DZ66"/>
  <c r="AC106" i="24"/>
  <c r="DZ151" i="43"/>
  <c r="DZ85"/>
  <c r="Q189" i="45"/>
  <c r="R189" s="1"/>
  <c r="AC31" i="43"/>
  <c r="BI71" i="24"/>
  <c r="BC138"/>
  <c r="AC138" s="1"/>
  <c r="BD139"/>
  <c r="BC18"/>
  <c r="AC18" s="1"/>
  <c r="BD18"/>
  <c r="AV41"/>
  <c r="AY15"/>
  <c r="AW38"/>
  <c r="BE37"/>
  <c r="BA18"/>
  <c r="BC54"/>
  <c r="AU54"/>
  <c r="BD74"/>
  <c r="AX106"/>
  <c r="BA90"/>
  <c r="BH62"/>
  <c r="AU91"/>
  <c r="BG68"/>
  <c r="AW46"/>
  <c r="AW85"/>
  <c r="BA112"/>
  <c r="AX131"/>
  <c r="BB149"/>
  <c r="BI149" s="1"/>
  <c r="AZ110"/>
  <c r="AU127"/>
  <c r="AY139"/>
  <c r="BD148"/>
  <c r="BA54"/>
  <c r="AW151"/>
  <c r="AT142"/>
  <c r="AT134"/>
  <c r="BH124"/>
  <c r="AY115"/>
  <c r="BE107"/>
  <c r="AW100"/>
  <c r="BC136"/>
  <c r="DZ136" i="43" s="1"/>
  <c r="BC122" i="24"/>
  <c r="BD121"/>
  <c r="BB111"/>
  <c r="BC98"/>
  <c r="AC98" s="1"/>
  <c r="BD96"/>
  <c r="BI96" s="1"/>
  <c r="AX73"/>
  <c r="BB51"/>
  <c r="BI51" s="1"/>
  <c r="BD78"/>
  <c r="BD77"/>
  <c r="AX61"/>
  <c r="AT92"/>
  <c r="AU114"/>
  <c r="AU130"/>
  <c r="AU146"/>
  <c r="AW153"/>
  <c r="BB148"/>
  <c r="AW145"/>
  <c r="AT140"/>
  <c r="BA135"/>
  <c r="BA131"/>
  <c r="BA127"/>
  <c r="DM130" i="43"/>
  <c r="DN130" s="1"/>
  <c r="N60" i="24"/>
  <c r="H150"/>
  <c r="H135"/>
  <c r="H47"/>
  <c r="H12"/>
  <c r="H40"/>
  <c r="H13"/>
  <c r="H25"/>
  <c r="H49"/>
  <c r="H78"/>
  <c r="H62"/>
  <c r="H97"/>
  <c r="H124"/>
  <c r="H156"/>
  <c r="H117"/>
  <c r="H149"/>
  <c r="DM101" i="43"/>
  <c r="DN101" s="1"/>
  <c r="DZ46"/>
  <c r="AC58" i="24"/>
  <c r="DZ58" i="43"/>
  <c r="DZ102"/>
  <c r="AC100" i="24"/>
  <c r="AC129"/>
  <c r="DZ129" i="43"/>
  <c r="BI52" i="24"/>
  <c r="DZ22" i="43"/>
  <c r="AH295" i="45"/>
  <c r="BB14" i="24"/>
  <c r="BF45"/>
  <c r="BC36"/>
  <c r="DZ36" i="43" s="1"/>
  <c r="BH26" i="24"/>
  <c r="BE63"/>
  <c r="BD64"/>
  <c r="BC81"/>
  <c r="BC72"/>
  <c r="DZ72" i="43" s="1"/>
  <c r="AU72" i="24"/>
  <c r="AZ82"/>
  <c r="BF62"/>
  <c r="AW122"/>
  <c r="BF118"/>
  <c r="AV144"/>
  <c r="BB146"/>
  <c r="BA129"/>
  <c r="AW111"/>
  <c r="BB94"/>
  <c r="AT107"/>
  <c r="BC64"/>
  <c r="DZ64" i="43" s="1"/>
  <c r="AW60" i="24"/>
  <c r="BB68"/>
  <c r="BI68" s="1"/>
  <c r="BA74"/>
  <c r="AU122"/>
  <c r="AU154"/>
  <c r="BA155"/>
  <c r="BA147"/>
  <c r="BF137"/>
  <c r="AW129"/>
  <c r="BC123"/>
  <c r="BA119"/>
  <c r="BC115"/>
  <c r="DZ115" i="43" s="1"/>
  <c r="BD114" i="24"/>
  <c r="BI114" s="1"/>
  <c r="BC108"/>
  <c r="AW105"/>
  <c r="BA100"/>
  <c r="BC96"/>
  <c r="AC96" s="1"/>
  <c r="AU96"/>
  <c r="BG154"/>
  <c r="BG150"/>
  <c r="BG146"/>
  <c r="BG142"/>
  <c r="BG138"/>
  <c r="BG134"/>
  <c r="BG130"/>
  <c r="BG126"/>
  <c r="BG122"/>
  <c r="BG118"/>
  <c r="BG114"/>
  <c r="BE110"/>
  <c r="BA101"/>
  <c r="BA92"/>
  <c r="BG84"/>
  <c r="AT75"/>
  <c r="AU66"/>
  <c r="AY53"/>
  <c r="BE89"/>
  <c r="AV78"/>
  <c r="AV154"/>
  <c r="BD150"/>
  <c r="AZ146"/>
  <c r="BH139"/>
  <c r="BD136"/>
  <c r="BH131"/>
  <c r="AV128"/>
  <c r="T128" s="1"/>
  <c r="V128" s="1"/>
  <c r="W128" s="1"/>
  <c r="BB124"/>
  <c r="BI124" s="1"/>
  <c r="AV120"/>
  <c r="AX116"/>
  <c r="BH111"/>
  <c r="AW108"/>
  <c r="BH103"/>
  <c r="AY99"/>
  <c r="BC95"/>
  <c r="AC95" s="1"/>
  <c r="BD94"/>
  <c r="AW156"/>
  <c r="BB151"/>
  <c r="AT147"/>
  <c r="BA142"/>
  <c r="BG137"/>
  <c r="AX133"/>
  <c r="BE128"/>
  <c r="AW124"/>
  <c r="BB119"/>
  <c r="AW116"/>
  <c r="T116" s="1"/>
  <c r="V116" s="1"/>
  <c r="W116" s="1"/>
  <c r="BD111"/>
  <c r="BH105"/>
  <c r="AZ99"/>
  <c r="BE91"/>
  <c r="BB84"/>
  <c r="BF75"/>
  <c r="AZ67"/>
  <c r="BH58"/>
  <c r="BF50"/>
  <c r="BF87"/>
  <c r="AZ78"/>
  <c r="BA55"/>
  <c r="AZ64"/>
  <c r="BB74"/>
  <c r="BA79"/>
  <c r="BE85"/>
  <c r="BG89"/>
  <c r="BH47"/>
  <c r="BF51"/>
  <c r="AT54"/>
  <c r="AW56"/>
  <c r="BA58"/>
  <c r="AZ61"/>
  <c r="AV63"/>
  <c r="AX65"/>
  <c r="BB67"/>
  <c r="AZ71"/>
  <c r="AZ73"/>
  <c r="AV75"/>
  <c r="AY77"/>
  <c r="AX79"/>
  <c r="AY81"/>
  <c r="BB83"/>
  <c r="BI83" s="1"/>
  <c r="BB87"/>
  <c r="AY89"/>
  <c r="AX91"/>
  <c r="AY93"/>
  <c r="AV95"/>
  <c r="BA97"/>
  <c r="BB99"/>
  <c r="BI99" s="1"/>
  <c r="AU102"/>
  <c r="AT104"/>
  <c r="AT106"/>
  <c r="AW54"/>
  <c r="BB58"/>
  <c r="BI58" s="1"/>
  <c r="BC63"/>
  <c r="DZ63" i="43" s="1"/>
  <c r="AU65" i="24"/>
  <c r="BG69"/>
  <c r="BC71"/>
  <c r="AC71" s="1"/>
  <c r="BD72"/>
  <c r="AY75"/>
  <c r="AX77"/>
  <c r="AZ49"/>
  <c r="BD29"/>
  <c r="BA47"/>
  <c r="AX50"/>
  <c r="AX53"/>
  <c r="AY55"/>
  <c r="AU57"/>
  <c r="BG58"/>
  <c r="AW61"/>
  <c r="BA63"/>
  <c r="BE65"/>
  <c r="AT68"/>
  <c r="AT33"/>
  <c r="BG28"/>
  <c r="AU35"/>
  <c r="BE30"/>
  <c r="AY41"/>
  <c r="AW44"/>
  <c r="BB20"/>
  <c r="AU25"/>
  <c r="AY33"/>
  <c r="BF39"/>
  <c r="BE36"/>
  <c r="AZ45"/>
  <c r="BH15"/>
  <c r="AW12"/>
  <c r="AW26"/>
  <c r="AV45"/>
  <c r="BE39"/>
  <c r="AU36"/>
  <c r="BE31"/>
  <c r="AT40"/>
  <c r="BG35"/>
  <c r="BC31"/>
  <c r="DZ31" i="43" s="1"/>
  <c r="BC29" i="24"/>
  <c r="AT29"/>
  <c r="BD22"/>
  <c r="BI22" s="1"/>
  <c r="AW25"/>
  <c r="BA21"/>
  <c r="AW18"/>
  <c r="BA13"/>
  <c r="BB16"/>
  <c r="BG10"/>
  <c r="BF17"/>
  <c r="AT9"/>
  <c r="BB8"/>
  <c r="BE26"/>
  <c r="AX44"/>
  <c r="AT43"/>
  <c r="BG40"/>
  <c r="BD38"/>
  <c r="BI38" s="1"/>
  <c r="AW36"/>
  <c r="BB33"/>
  <c r="BI33" s="1"/>
  <c r="BH30"/>
  <c r="BD27"/>
  <c r="BI27" s="1"/>
  <c r="BC42"/>
  <c r="AC42" s="1"/>
  <c r="AZ40"/>
  <c r="BB36"/>
  <c r="AX34"/>
  <c r="AT32"/>
  <c r="AY29"/>
  <c r="BC28"/>
  <c r="AC28" s="1"/>
  <c r="AZ27"/>
  <c r="AX24"/>
  <c r="BB21"/>
  <c r="BI21" s="1"/>
  <c r="AX18"/>
  <c r="BH23"/>
  <c r="AU22"/>
  <c r="AT21"/>
  <c r="AU19"/>
  <c r="BH8"/>
  <c r="AW11"/>
  <c r="BH12"/>
  <c r="BD14"/>
  <c r="BH16"/>
  <c r="BE10"/>
  <c r="AT13"/>
  <c r="BD15"/>
  <c r="AV15"/>
  <c r="E370" i="45"/>
  <c r="B370" s="1"/>
  <c r="F352"/>
  <c r="Q335"/>
  <c r="R335" s="1"/>
  <c r="H61" i="24"/>
  <c r="H99"/>
  <c r="H65"/>
  <c r="H44"/>
  <c r="H26"/>
  <c r="H92"/>
  <c r="H109"/>
  <c r="H96"/>
  <c r="H129"/>
  <c r="H136"/>
  <c r="H74"/>
  <c r="H59"/>
  <c r="H39"/>
  <c r="H45"/>
  <c r="H127"/>
  <c r="E42" i="45"/>
  <c r="E371"/>
  <c r="B371" s="1"/>
  <c r="Q354"/>
  <c r="R354" s="1"/>
  <c r="Q347"/>
  <c r="AC152" i="43"/>
  <c r="Q360" i="45"/>
  <c r="R360" s="1"/>
  <c r="DZ15" i="43"/>
  <c r="AC82"/>
  <c r="DZ90"/>
  <c r="AC155" i="24"/>
  <c r="DZ155" i="43"/>
  <c r="AC119" i="24"/>
  <c r="AC55"/>
  <c r="AC134"/>
  <c r="DZ134" i="43"/>
  <c r="AC101" i="24"/>
  <c r="DZ101" i="43"/>
  <c r="BI155" i="24"/>
  <c r="Q28" i="45"/>
  <c r="R28" s="1"/>
  <c r="CB8" i="43"/>
  <c r="CB15"/>
  <c r="K23" i="24"/>
  <c r="K59"/>
  <c r="K75"/>
  <c r="K91"/>
  <c r="K60"/>
  <c r="K72"/>
  <c r="I88"/>
  <c r="I103"/>
  <c r="I119"/>
  <c r="I135"/>
  <c r="I151"/>
  <c r="I108"/>
  <c r="I124"/>
  <c r="I140"/>
  <c r="I156"/>
  <c r="P34" i="43"/>
  <c r="G113" i="24"/>
  <c r="P40" i="43"/>
  <c r="I117" i="24"/>
  <c r="E32" i="45"/>
  <c r="B32" s="1"/>
  <c r="P35" i="43"/>
  <c r="AC38"/>
  <c r="DZ14"/>
  <c r="S320" i="45"/>
  <c r="DZ38" i="43"/>
  <c r="DZ89"/>
  <c r="DM51"/>
  <c r="DN51" s="1"/>
  <c r="AH248" i="45"/>
  <c r="DM13" i="43"/>
  <c r="DN13" s="1"/>
  <c r="AH17" i="45"/>
  <c r="DM97" i="43"/>
  <c r="DN97" s="1"/>
  <c r="DM48"/>
  <c r="DN48" s="1"/>
  <c r="DM69"/>
  <c r="DN69" s="1"/>
  <c r="AC39"/>
  <c r="EI141"/>
  <c r="EI139"/>
  <c r="EI129"/>
  <c r="EI105"/>
  <c r="EI87"/>
  <c r="AC67"/>
  <c r="AF102" i="45"/>
  <c r="BI54" i="24"/>
  <c r="DM75" i="43"/>
  <c r="DN75" s="1"/>
  <c r="AC20"/>
  <c r="B297" i="45"/>
  <c r="EI18" i="43"/>
  <c r="EI123"/>
  <c r="EI116"/>
  <c r="EI114"/>
  <c r="AC112"/>
  <c r="EI103"/>
  <c r="EI76"/>
  <c r="EI75"/>
  <c r="EI47"/>
  <c r="B375" i="45"/>
  <c r="B349"/>
  <c r="BI110" i="24"/>
  <c r="EI10" i="43"/>
  <c r="EI32"/>
  <c r="EI151"/>
  <c r="EI149"/>
  <c r="EI147"/>
  <c r="EI142"/>
  <c r="EI133"/>
  <c r="EI115"/>
  <c r="AC108"/>
  <c r="EI98"/>
  <c r="AC97"/>
  <c r="AC93"/>
  <c r="EI92"/>
  <c r="EI78"/>
  <c r="EI73"/>
  <c r="EI68"/>
  <c r="EI62"/>
  <c r="S227" i="45"/>
  <c r="DZ49" i="43"/>
  <c r="DM66"/>
  <c r="DN66" s="1"/>
  <c r="DM60"/>
  <c r="DN60" s="1"/>
  <c r="DM20"/>
  <c r="DN20" s="1"/>
  <c r="AH347" i="45"/>
  <c r="AH141"/>
  <c r="DM90" i="43"/>
  <c r="DN90" s="1"/>
  <c r="AH376" i="45"/>
  <c r="AH200"/>
  <c r="AH249"/>
  <c r="AH355"/>
  <c r="Q372"/>
  <c r="R372" s="1"/>
  <c r="Q357"/>
  <c r="R357" s="1"/>
  <c r="AY36" i="24"/>
  <c r="AV151"/>
  <c r="AU38"/>
  <c r="AX23"/>
  <c r="AW98"/>
  <c r="BE73"/>
  <c r="BA140"/>
  <c r="AY135"/>
  <c r="BA137"/>
  <c r="AY104"/>
  <c r="AX84"/>
  <c r="AX90"/>
  <c r="AU138"/>
  <c r="BH150"/>
  <c r="AW133"/>
  <c r="AV122"/>
  <c r="AX110"/>
  <c r="BC103"/>
  <c r="AC103" s="1"/>
  <c r="BD102"/>
  <c r="BI102" s="1"/>
  <c r="BE93"/>
  <c r="BG152"/>
  <c r="BG144"/>
  <c r="BG136"/>
  <c r="BG128"/>
  <c r="BG120"/>
  <c r="BG112"/>
  <c r="AU97"/>
  <c r="AY78"/>
  <c r="BH61"/>
  <c r="AX82"/>
  <c r="BH155"/>
  <c r="BH147"/>
  <c r="AV138"/>
  <c r="BH129"/>
  <c r="AX122"/>
  <c r="AT114"/>
  <c r="BG105"/>
  <c r="BB97"/>
  <c r="BG153"/>
  <c r="BE144"/>
  <c r="BB135"/>
  <c r="BA126"/>
  <c r="BA118"/>
  <c r="BB108"/>
  <c r="BI108" s="1"/>
  <c r="AX95"/>
  <c r="AX80"/>
  <c r="AX63"/>
  <c r="AV47"/>
  <c r="AX70"/>
  <c r="BB70"/>
  <c r="BB81"/>
  <c r="BI81" s="1"/>
  <c r="BF91"/>
  <c r="BG52"/>
  <c r="AX57"/>
  <c r="AY62"/>
  <c r="BA66"/>
  <c r="AY72"/>
  <c r="AW76"/>
  <c r="AZ80"/>
  <c r="BD84"/>
  <c r="AW90"/>
  <c r="AY94"/>
  <c r="BA98"/>
  <c r="BH102"/>
  <c r="AV107"/>
  <c r="AX56"/>
  <c r="BC67"/>
  <c r="BE70"/>
  <c r="AZ76"/>
  <c r="BC51"/>
  <c r="AC51" s="1"/>
  <c r="BD53"/>
  <c r="AX49"/>
  <c r="AY54"/>
  <c r="BG57"/>
  <c r="AX62"/>
  <c r="BG66"/>
  <c r="AT23"/>
  <c r="BF22"/>
  <c r="BD35"/>
  <c r="BI35" s="1"/>
  <c r="AU24"/>
  <c r="BD36"/>
  <c r="AX41"/>
  <c r="AU15"/>
  <c r="AV43"/>
  <c r="BE33"/>
  <c r="BD37"/>
  <c r="BH24"/>
  <c r="AZ23"/>
  <c r="AU11"/>
  <c r="BE8"/>
  <c r="BD11"/>
  <c r="BI11" s="1"/>
  <c r="BC16"/>
  <c r="DZ16" i="43" s="1"/>
  <c r="BC26" i="24"/>
  <c r="DZ26" i="43" s="1"/>
  <c r="AY45" i="24"/>
  <c r="AU44"/>
  <c r="BB39"/>
  <c r="BI39" s="1"/>
  <c r="BH34"/>
  <c r="BA29"/>
  <c r="BA41"/>
  <c r="AZ35"/>
  <c r="BG30"/>
  <c r="BF24"/>
  <c r="BC20"/>
  <c r="DZ20" i="43" s="1"/>
  <c r="BH18" i="24"/>
  <c r="AU23"/>
  <c r="AU18"/>
  <c r="BG11"/>
  <c r="BG15"/>
  <c r="BF11"/>
  <c r="BH17"/>
  <c r="H32"/>
  <c r="H81"/>
  <c r="H133"/>
  <c r="H88"/>
  <c r="H42"/>
  <c r="H155"/>
  <c r="H102"/>
  <c r="H83"/>
  <c r="H153"/>
  <c r="H101"/>
  <c r="H18"/>
  <c r="H8"/>
  <c r="H38"/>
  <c r="FE10" i="43"/>
  <c r="E363" i="45"/>
  <c r="Q356"/>
  <c r="R356" s="1"/>
  <c r="Q341"/>
  <c r="R341" s="1"/>
  <c r="S330"/>
  <c r="C19" i="30"/>
  <c r="C23"/>
  <c r="C21"/>
  <c r="D7"/>
  <c r="D9" s="1"/>
  <c r="R336" i="45"/>
  <c r="K41" i="24"/>
  <c r="I51"/>
  <c r="K83"/>
  <c r="K68"/>
  <c r="I95"/>
  <c r="I127"/>
  <c r="I116"/>
  <c r="I148"/>
  <c r="DG32" i="43"/>
  <c r="DH32" s="1"/>
  <c r="G32" s="1"/>
  <c r="DZ104"/>
  <c r="Q317" i="45"/>
  <c r="R317" s="1"/>
  <c r="T51" i="24"/>
  <c r="V51" s="1"/>
  <c r="W51" s="1"/>
  <c r="BP51" s="1"/>
  <c r="DZ61" i="43"/>
  <c r="DZ48"/>
  <c r="DZ75"/>
  <c r="DZ86"/>
  <c r="DZ45"/>
  <c r="DZ124"/>
  <c r="DZ121"/>
  <c r="DZ83"/>
  <c r="DZ116"/>
  <c r="H80" i="24"/>
  <c r="H68"/>
  <c r="H123"/>
  <c r="N79"/>
  <c r="AU14"/>
  <c r="AT14"/>
  <c r="BH19"/>
  <c r="BC21"/>
  <c r="AZ22"/>
  <c r="AW33"/>
  <c r="AY43"/>
  <c r="AZ37"/>
  <c r="BB45"/>
  <c r="BD13"/>
  <c r="BF19"/>
  <c r="AU33"/>
  <c r="BB37"/>
  <c r="AX16"/>
  <c r="AX28"/>
  <c r="AT26"/>
  <c r="BB31"/>
  <c r="BI31" s="1"/>
  <c r="BB64"/>
  <c r="AV56"/>
  <c r="AX46"/>
  <c r="AZ74"/>
  <c r="AV62"/>
  <c r="H107"/>
  <c r="AY101"/>
  <c r="AZ92"/>
  <c r="BA82"/>
  <c r="AY74"/>
  <c r="AW64"/>
  <c r="AV55"/>
  <c r="BD87"/>
  <c r="AT56"/>
  <c r="BE54"/>
  <c r="BB88"/>
  <c r="BI88" s="1"/>
  <c r="BG113"/>
  <c r="AT131"/>
  <c r="AX149"/>
  <c r="T149" s="1"/>
  <c r="V149" s="1"/>
  <c r="W149" s="1"/>
  <c r="BP149" s="1"/>
  <c r="AV110"/>
  <c r="AZ126"/>
  <c r="AZ144"/>
  <c r="BF47"/>
  <c r="BA89"/>
  <c r="BG116"/>
  <c r="BG132"/>
  <c r="BG148"/>
  <c r="BA107"/>
  <c r="AW125"/>
  <c r="AV104"/>
  <c r="BD113"/>
  <c r="BF155"/>
  <c r="H140"/>
  <c r="H29"/>
  <c r="BE69"/>
  <c r="AZ101"/>
  <c r="AT52"/>
  <c r="BF18"/>
  <c r="BI40"/>
  <c r="EI30" i="43"/>
  <c r="EI137"/>
  <c r="EI94"/>
  <c r="AC31" i="24"/>
  <c r="AC14"/>
  <c r="DZ117" i="43"/>
  <c r="B338" i="45"/>
  <c r="S306"/>
  <c r="DZ42" i="43"/>
  <c r="AC86" i="24"/>
  <c r="AC65"/>
  <c r="S281" i="45"/>
  <c r="S282"/>
  <c r="M21" i="24"/>
  <c r="M66"/>
  <c r="M52"/>
  <c r="M130"/>
  <c r="M86"/>
  <c r="M124"/>
  <c r="M75"/>
  <c r="AH221" i="45"/>
  <c r="DZ32" i="43"/>
  <c r="AF85" i="45"/>
  <c r="M88" i="43"/>
  <c r="H155"/>
  <c r="R364" i="45"/>
  <c r="S364" s="1"/>
  <c r="H116" i="43"/>
  <c r="M116"/>
  <c r="N116" s="1"/>
  <c r="AF113" i="45"/>
  <c r="M128" i="43"/>
  <c r="N128" s="1"/>
  <c r="AF125" i="45"/>
  <c r="H132" i="43"/>
  <c r="M132"/>
  <c r="N132" s="1"/>
  <c r="AF137" i="45"/>
  <c r="H140" i="43"/>
  <c r="M38" i="24"/>
  <c r="M37"/>
  <c r="M17"/>
  <c r="M34"/>
  <c r="M23"/>
  <c r="M9"/>
  <c r="M27"/>
  <c r="M42"/>
  <c r="M24"/>
  <c r="M40"/>
  <c r="M16"/>
  <c r="M47"/>
  <c r="M64"/>
  <c r="M82"/>
  <c r="M53"/>
  <c r="M67"/>
  <c r="M80"/>
  <c r="M96"/>
  <c r="M117"/>
  <c r="M133"/>
  <c r="M149"/>
  <c r="M105"/>
  <c r="M116"/>
  <c r="M132"/>
  <c r="M148"/>
  <c r="M14"/>
  <c r="M68"/>
  <c r="M55"/>
  <c r="M84"/>
  <c r="M121"/>
  <c r="M153"/>
  <c r="M107"/>
  <c r="M136"/>
  <c r="M32"/>
  <c r="M12"/>
  <c r="M28"/>
  <c r="M44"/>
  <c r="M85"/>
  <c r="M99"/>
  <c r="M106"/>
  <c r="M54"/>
  <c r="M110"/>
  <c r="M127"/>
  <c r="M61"/>
  <c r="M146"/>
  <c r="M114"/>
  <c r="M131"/>
  <c r="M95"/>
  <c r="M65"/>
  <c r="M81"/>
  <c r="M101"/>
  <c r="M113"/>
  <c r="M49"/>
  <c r="M76"/>
  <c r="M89"/>
  <c r="M103"/>
  <c r="M94"/>
  <c r="M154"/>
  <c r="M111"/>
  <c r="M151"/>
  <c r="M20"/>
  <c r="M11"/>
  <c r="M77"/>
  <c r="M138"/>
  <c r="M87"/>
  <c r="M39"/>
  <c r="M129"/>
  <c r="M58"/>
  <c r="M35"/>
  <c r="M26"/>
  <c r="M8"/>
  <c r="O8" s="1"/>
  <c r="M43"/>
  <c r="M13"/>
  <c r="M31"/>
  <c r="M72"/>
  <c r="M59"/>
  <c r="M88"/>
  <c r="M125"/>
  <c r="M109"/>
  <c r="M140"/>
  <c r="M51"/>
  <c r="M71"/>
  <c r="M137"/>
  <c r="M120"/>
  <c r="M30"/>
  <c r="M118"/>
  <c r="M150"/>
  <c r="M119"/>
  <c r="M142"/>
  <c r="M91"/>
  <c r="M102"/>
  <c r="M115"/>
  <c r="M50"/>
  <c r="M128"/>
  <c r="M78"/>
  <c r="M92"/>
  <c r="M73"/>
  <c r="M122"/>
  <c r="M46"/>
  <c r="M36"/>
  <c r="M135"/>
  <c r="M155"/>
  <c r="M112"/>
  <c r="M63"/>
  <c r="M45"/>
  <c r="M41"/>
  <c r="M33"/>
  <c r="M10"/>
  <c r="M29"/>
  <c r="M90"/>
  <c r="M104"/>
  <c r="M97"/>
  <c r="M156"/>
  <c r="M22"/>
  <c r="M100"/>
  <c r="M152"/>
  <c r="M19"/>
  <c r="M74"/>
  <c r="M147"/>
  <c r="M62"/>
  <c r="M60"/>
  <c r="M18"/>
  <c r="M139"/>
  <c r="M126"/>
  <c r="M123"/>
  <c r="M83"/>
  <c r="M108"/>
  <c r="F14" i="45"/>
  <c r="B14" s="1"/>
  <c r="P17" i="43"/>
  <c r="FE17"/>
  <c r="BG17"/>
  <c r="CU17"/>
  <c r="E13" i="45"/>
  <c r="B13" s="1"/>
  <c r="P16" i="43"/>
  <c r="AH341" i="45"/>
  <c r="AC124" i="24"/>
  <c r="AC153"/>
  <c r="AC73"/>
  <c r="AC127"/>
  <c r="DZ127" i="43"/>
  <c r="AC15" i="24"/>
  <c r="AC52"/>
  <c r="DZ52" i="43"/>
  <c r="AC40" i="24"/>
  <c r="AC19"/>
  <c r="DZ19" i="43"/>
  <c r="AC24" i="24"/>
  <c r="AC126"/>
  <c r="T136"/>
  <c r="V136" s="1"/>
  <c r="W136" s="1"/>
  <c r="BP136" s="1"/>
  <c r="AC147"/>
  <c r="DZ147" i="43"/>
  <c r="AC107" i="24"/>
  <c r="DZ107" i="43"/>
  <c r="AC105" i="24"/>
  <c r="AC74"/>
  <c r="DZ74" i="43"/>
  <c r="M123"/>
  <c r="N123" s="1"/>
  <c r="AF120" i="45"/>
  <c r="AF139"/>
  <c r="H142" i="43"/>
  <c r="S378" i="45"/>
  <c r="M105" i="43"/>
  <c r="N105" s="1"/>
  <c r="H105"/>
  <c r="H113"/>
  <c r="M113"/>
  <c r="N113" s="1"/>
  <c r="AF151" i="45"/>
  <c r="Q12"/>
  <c r="R12" s="1"/>
  <c r="DG16" i="43"/>
  <c r="DH16" s="1"/>
  <c r="G16" s="1"/>
  <c r="DG15"/>
  <c r="DH15" s="1"/>
  <c r="G15" s="1"/>
  <c r="FE15"/>
  <c r="BG15"/>
  <c r="CU15"/>
  <c r="R8" i="45"/>
  <c r="BI97" i="24"/>
  <c r="T12"/>
  <c r="V12" s="1"/>
  <c r="W12" s="1"/>
  <c r="T148"/>
  <c r="V148" s="1"/>
  <c r="W148" s="1"/>
  <c r="BP148" s="1"/>
  <c r="T94"/>
  <c r="V94" s="1"/>
  <c r="W94" s="1"/>
  <c r="AH112" i="45"/>
  <c r="AC17" i="24"/>
  <c r="DZ17" i="43"/>
  <c r="AC39" i="24"/>
  <c r="DZ39" i="43"/>
  <c r="L9" i="22"/>
  <c r="T9"/>
  <c r="M9"/>
  <c r="S9"/>
  <c r="M61" i="42"/>
  <c r="N53"/>
  <c r="M51"/>
  <c r="D9" i="44" s="1"/>
  <c r="O62" i="42"/>
  <c r="L53"/>
  <c r="D11" i="44" s="1"/>
  <c r="L60" i="42"/>
  <c r="O56"/>
  <c r="M60"/>
  <c r="L57"/>
  <c r="O59"/>
  <c r="L55"/>
  <c r="O61"/>
  <c r="N58"/>
  <c r="M54"/>
  <c r="M12" i="44" s="1"/>
  <c r="O52" i="42"/>
  <c r="O53"/>
  <c r="L61"/>
  <c r="B19" i="44" s="1"/>
  <c r="N51" i="42"/>
  <c r="M55"/>
  <c r="L52"/>
  <c r="M58"/>
  <c r="M16" i="44" s="1"/>
  <c r="N54" i="42"/>
  <c r="N59"/>
  <c r="N99" i="24"/>
  <c r="N142"/>
  <c r="N10"/>
  <c r="N31"/>
  <c r="N17"/>
  <c r="N25"/>
  <c r="N34"/>
  <c r="N24"/>
  <c r="N14"/>
  <c r="N32"/>
  <c r="N22"/>
  <c r="N26"/>
  <c r="N149"/>
  <c r="N133"/>
  <c r="N117"/>
  <c r="N96"/>
  <c r="N156"/>
  <c r="N140"/>
  <c r="N124"/>
  <c r="N109"/>
  <c r="N97"/>
  <c r="N81"/>
  <c r="N62"/>
  <c r="N92"/>
  <c r="N78"/>
  <c r="N63"/>
  <c r="N49"/>
  <c r="N42"/>
  <c r="N44"/>
  <c r="N43"/>
  <c r="N35"/>
  <c r="N59"/>
  <c r="N88"/>
  <c r="N74"/>
  <c r="N107"/>
  <c r="N136"/>
  <c r="N129"/>
  <c r="N54"/>
  <c r="N83"/>
  <c r="N68"/>
  <c r="N102"/>
  <c r="N130"/>
  <c r="N146"/>
  <c r="N103"/>
  <c r="N139"/>
  <c r="N56"/>
  <c r="N118"/>
  <c r="N111"/>
  <c r="N153"/>
  <c r="N101"/>
  <c r="N80"/>
  <c r="N53"/>
  <c r="N144"/>
  <c r="N61"/>
  <c r="N76"/>
  <c r="N138"/>
  <c r="N131"/>
  <c r="BG16" i="43"/>
  <c r="CU16"/>
  <c r="FE16"/>
  <c r="BI156" i="24"/>
  <c r="BI152"/>
  <c r="T109"/>
  <c r="V109" s="1"/>
  <c r="W109" s="1"/>
  <c r="BP109" s="1"/>
  <c r="S363" i="45"/>
  <c r="AH150"/>
  <c r="AH236"/>
  <c r="AH56"/>
  <c r="AH348"/>
  <c r="DM15" i="43"/>
  <c r="DN15" s="1"/>
  <c r="DM109"/>
  <c r="DN109" s="1"/>
  <c r="DM153"/>
  <c r="DN153" s="1"/>
  <c r="DM126"/>
  <c r="DN126" s="1"/>
  <c r="DM24"/>
  <c r="DN24" s="1"/>
  <c r="AH228" i="45"/>
  <c r="DM18" i="43"/>
  <c r="DN18" s="1"/>
  <c r="AH358" i="45"/>
  <c r="AH251"/>
  <c r="AH151"/>
  <c r="B335"/>
  <c r="S365"/>
  <c r="D19" i="30"/>
  <c r="AC81" i="24"/>
  <c r="DZ81" i="43"/>
  <c r="BI70" i="24"/>
  <c r="AC16"/>
  <c r="R347" i="45"/>
  <c r="T34" i="24"/>
  <c r="V34" s="1"/>
  <c r="W34" s="1"/>
  <c r="DZ96" i="43"/>
  <c r="H102"/>
  <c r="M102"/>
  <c r="N102" s="1"/>
  <c r="AF99" i="45"/>
  <c r="D21" i="30"/>
  <c r="S337" i="45"/>
  <c r="O108" i="24"/>
  <c r="T146"/>
  <c r="V146" s="1"/>
  <c r="W146" s="1"/>
  <c r="BI143"/>
  <c r="S316" i="45"/>
  <c r="T121" i="24"/>
  <c r="V121" s="1"/>
  <c r="W121" s="1"/>
  <c r="BP121" s="1"/>
  <c r="S250" i="45"/>
  <c r="S324"/>
  <c r="DM76" i="43"/>
  <c r="DN76" s="1"/>
  <c r="AH186" i="45"/>
  <c r="EI57" i="43"/>
  <c r="FG15"/>
  <c r="T76" i="24"/>
  <c r="V76" s="1"/>
  <c r="W76" s="1"/>
  <c r="DZ29" i="43"/>
  <c r="AC29" i="24"/>
  <c r="T134"/>
  <c r="V134" s="1"/>
  <c r="W134" s="1"/>
  <c r="BP134" s="1"/>
  <c r="AC137"/>
  <c r="DZ137" i="43"/>
  <c r="S286" i="45"/>
  <c r="S285"/>
  <c r="DZ21" i="43"/>
  <c r="AC21" i="24"/>
  <c r="AC123"/>
  <c r="DZ123" i="43"/>
  <c r="AF122" i="45"/>
  <c r="M125" i="43"/>
  <c r="N125" s="1"/>
  <c r="S215" i="45"/>
  <c r="H110" i="43"/>
  <c r="H114"/>
  <c r="AF111" i="45"/>
  <c r="AH246"/>
  <c r="AH278"/>
  <c r="S367"/>
  <c r="S289"/>
  <c r="B343"/>
  <c r="DZ109" i="43"/>
  <c r="BI73" i="24"/>
  <c r="AC64"/>
  <c r="AF153" i="45"/>
  <c r="H156" i="43"/>
  <c r="M143"/>
  <c r="N143" s="1"/>
  <c r="AF140" i="45"/>
  <c r="S155"/>
  <c r="S156"/>
  <c r="T82" i="24"/>
  <c r="V82" s="1"/>
  <c r="W82" s="1"/>
  <c r="BP82" s="1"/>
  <c r="BI74"/>
  <c r="DZ108" i="43"/>
  <c r="AC108" i="24"/>
  <c r="S258" i="45"/>
  <c r="S259"/>
  <c r="DM124" i="43"/>
  <c r="DN124" s="1"/>
  <c r="DM37"/>
  <c r="DN37" s="1"/>
  <c r="DM59"/>
  <c r="DN59" s="1"/>
  <c r="DM41"/>
  <c r="DN41" s="1"/>
  <c r="AZ9" i="24"/>
  <c r="AV10"/>
  <c r="BC25"/>
  <c r="DZ25" i="43" s="1"/>
  <c r="BF37" i="24"/>
  <c r="AW32"/>
  <c r="BB12"/>
  <c r="BI12" s="1"/>
  <c r="BG19"/>
  <c r="BC30"/>
  <c r="AC30" s="1"/>
  <c r="AW39"/>
  <c r="AT60"/>
  <c r="AY47"/>
  <c r="AV50"/>
  <c r="AX96"/>
  <c r="AW78"/>
  <c r="BB59"/>
  <c r="BG76"/>
  <c r="BH71"/>
  <c r="BG121"/>
  <c r="AV118"/>
  <c r="AZ152"/>
  <c r="T152" s="1"/>
  <c r="V152" s="1"/>
  <c r="W152" s="1"/>
  <c r="BP152" s="1"/>
  <c r="BE58"/>
  <c r="AV108"/>
  <c r="T108" s="1"/>
  <c r="V108" s="1"/>
  <c r="W108" s="1"/>
  <c r="BG140"/>
  <c r="AX98"/>
  <c r="AX142"/>
  <c r="T142" s="1"/>
  <c r="V142" s="1"/>
  <c r="W142" s="1"/>
  <c r="BP142" s="1"/>
  <c r="AW95"/>
  <c r="T95" s="1"/>
  <c r="V95" s="1"/>
  <c r="W95" s="1"/>
  <c r="BP95" s="1"/>
  <c r="BF120"/>
  <c r="AW101"/>
  <c r="B340" i="45"/>
  <c r="B339"/>
  <c r="M13" i="44"/>
  <c r="DZ103" i="43"/>
  <c r="AC115" i="24"/>
  <c r="DZ54" i="43"/>
  <c r="AC54" i="24"/>
  <c r="T66"/>
  <c r="V66" s="1"/>
  <c r="W66" s="1"/>
  <c r="BP66" s="1"/>
  <c r="D18" i="44"/>
  <c r="D20" i="30"/>
  <c r="DZ95" i="43"/>
  <c r="T112" i="24"/>
  <c r="V112" s="1"/>
  <c r="W112" s="1"/>
  <c r="S272" i="45"/>
  <c r="B181"/>
  <c r="T79" i="24"/>
  <c r="V79" s="1"/>
  <c r="W79" s="1"/>
  <c r="BP79" s="1"/>
  <c r="S200" i="45"/>
  <c r="T80" i="24"/>
  <c r="V80" s="1"/>
  <c r="W80" s="1"/>
  <c r="DZ70" i="43"/>
  <c r="B328" i="45"/>
  <c r="S171"/>
  <c r="S195"/>
  <c r="S194"/>
  <c r="S98"/>
  <c r="S99"/>
  <c r="AH292"/>
  <c r="S350"/>
  <c r="AF94"/>
  <c r="M97" i="43"/>
  <c r="N97" s="1"/>
  <c r="H97"/>
  <c r="BI86" i="24"/>
  <c r="S351" i="45"/>
  <c r="S126"/>
  <c r="S127"/>
  <c r="S181"/>
  <c r="S180"/>
  <c r="S304"/>
  <c r="S305"/>
  <c r="T111" i="24"/>
  <c r="V111" s="1"/>
  <c r="W111" s="1"/>
  <c r="S273" i="45"/>
  <c r="S274"/>
  <c r="S132"/>
  <c r="S157"/>
  <c r="S186"/>
  <c r="S187"/>
  <c r="S267"/>
  <c r="S268"/>
  <c r="S379"/>
  <c r="M101" i="43"/>
  <c r="N101" s="1"/>
  <c r="H101"/>
  <c r="AF98" i="45"/>
  <c r="AF95"/>
  <c r="S241"/>
  <c r="S242"/>
  <c r="H117" i="43"/>
  <c r="M117"/>
  <c r="N117" s="1"/>
  <c r="H109"/>
  <c r="AF106" i="45"/>
  <c r="T57" i="24"/>
  <c r="V57" s="1"/>
  <c r="W57" s="1"/>
  <c r="L20" i="44"/>
  <c r="DM36" i="43"/>
  <c r="DN36" s="1"/>
  <c r="DM57"/>
  <c r="DN57" s="1"/>
  <c r="DM89"/>
  <c r="DN89" s="1"/>
  <c r="DM14"/>
  <c r="DN14" s="1"/>
  <c r="DM114"/>
  <c r="DN114" s="1"/>
  <c r="DM103"/>
  <c r="DN103" s="1"/>
  <c r="DM83"/>
  <c r="DN83" s="1"/>
  <c r="DM47"/>
  <c r="DN47" s="1"/>
  <c r="S105" i="45"/>
  <c r="S106"/>
  <c r="S100"/>
  <c r="S101"/>
  <c r="S107"/>
  <c r="S108"/>
  <c r="S240"/>
  <c r="S261"/>
  <c r="H129" i="43"/>
  <c r="M129"/>
  <c r="N129" s="1"/>
  <c r="AF126" i="45"/>
  <c r="S368"/>
  <c r="S122"/>
  <c r="S160"/>
  <c r="S161"/>
  <c r="S294"/>
  <c r="S322"/>
  <c r="S321"/>
  <c r="S333"/>
  <c r="AH188"/>
  <c r="AH365"/>
  <c r="DZ41" i="43"/>
  <c r="DZ87"/>
  <c r="AC113" i="24"/>
  <c r="B352" i="45"/>
  <c r="B200"/>
  <c r="S317"/>
  <c r="S318"/>
  <c r="S341"/>
  <c r="S342"/>
  <c r="E9" i="44"/>
  <c r="M9"/>
  <c r="S254" i="45"/>
  <c r="S248"/>
  <c r="DM104" i="43"/>
  <c r="DN104" s="1"/>
  <c r="G84" i="24"/>
  <c r="H82"/>
  <c r="K67"/>
  <c r="I80"/>
  <c r="I143"/>
  <c r="I132"/>
  <c r="H130"/>
  <c r="H30"/>
  <c r="S336" i="45"/>
  <c r="AF132"/>
  <c r="M135" i="43"/>
  <c r="N135" s="1"/>
  <c r="S175" i="45"/>
  <c r="S176"/>
  <c r="H154" i="43"/>
  <c r="M154"/>
  <c r="N154" s="1"/>
  <c r="M90"/>
  <c r="N90" s="1"/>
  <c r="H90"/>
  <c r="AF87" i="45"/>
  <c r="M115" i="43"/>
  <c r="N115" s="1"/>
  <c r="H115"/>
  <c r="AF112" i="45"/>
  <c r="M131" i="43"/>
  <c r="N131" s="1"/>
  <c r="H131"/>
  <c r="AF128" i="45"/>
  <c r="S193"/>
  <c r="S300"/>
  <c r="S376"/>
  <c r="S377"/>
  <c r="S172"/>
  <c r="S173"/>
  <c r="M136" i="43"/>
  <c r="N136" s="1"/>
  <c r="AF133" i="45"/>
  <c r="H136" i="43"/>
  <c r="AF121" i="45"/>
  <c r="M124" i="43"/>
  <c r="N124" s="1"/>
  <c r="H124"/>
  <c r="N17" i="23"/>
  <c r="M17" s="1"/>
  <c r="N16"/>
  <c r="M16"/>
  <c r="M57" i="42"/>
  <c r="L15" i="44" s="1"/>
  <c r="L59" i="42"/>
  <c r="M56"/>
  <c r="N57"/>
  <c r="O57"/>
  <c r="M52"/>
  <c r="O58"/>
  <c r="L56"/>
  <c r="O55"/>
  <c r="N52"/>
  <c r="O60"/>
  <c r="AH134" i="45"/>
  <c r="DM43" i="43"/>
  <c r="DN43" s="1"/>
  <c r="DM156"/>
  <c r="DN156" s="1"/>
  <c r="AH234" i="45"/>
  <c r="AH72"/>
  <c r="AH369"/>
  <c r="AH190"/>
  <c r="AH332"/>
  <c r="DM45" i="43"/>
  <c r="DN45" s="1"/>
  <c r="AH8" i="45"/>
  <c r="DM131" i="43"/>
  <c r="DN131" s="1"/>
  <c r="AH125" i="45"/>
  <c r="S190"/>
  <c r="S189"/>
  <c r="AF108"/>
  <c r="M111" i="43"/>
  <c r="N111" s="1"/>
  <c r="H111"/>
  <c r="L19" i="44"/>
  <c r="S255" i="45"/>
  <c r="BI14" i="24"/>
  <c r="S226" i="45"/>
  <c r="S228"/>
  <c r="AC43" i="43"/>
  <c r="EI49"/>
  <c r="L9" i="44"/>
  <c r="S87" i="45"/>
  <c r="S86"/>
  <c r="S252"/>
  <c r="S251"/>
  <c r="S358"/>
  <c r="S359"/>
  <c r="BP103" i="24"/>
  <c r="M93" i="43"/>
  <c r="N93" s="1"/>
  <c r="H93"/>
  <c r="AF90" i="45"/>
  <c r="H89" i="43"/>
  <c r="M89"/>
  <c r="N89" s="1"/>
  <c r="AF86" i="45"/>
  <c r="S276"/>
  <c r="S275"/>
  <c r="B17" i="44"/>
  <c r="B9"/>
  <c r="T125" i="24"/>
  <c r="V125" s="1"/>
  <c r="W125" s="1"/>
  <c r="BP125" s="1"/>
  <c r="S270" i="45"/>
  <c r="S271"/>
  <c r="S360"/>
  <c r="AL10" i="43"/>
  <c r="AH207" i="45"/>
  <c r="S112"/>
  <c r="S205"/>
  <c r="T88" i="24"/>
  <c r="V88" s="1"/>
  <c r="W88" s="1"/>
  <c r="B163" i="45"/>
  <c r="B98"/>
  <c r="S327"/>
  <c r="B100"/>
  <c r="DM141" i="43"/>
  <c r="DN141" s="1"/>
  <c r="B351" i="45"/>
  <c r="EI71" i="43"/>
  <c r="EI34"/>
  <c r="BI47" i="24"/>
  <c r="S319" i="45"/>
  <c r="DM11" i="43"/>
  <c r="DN11" s="1"/>
  <c r="DM148"/>
  <c r="DN148" s="1"/>
  <c r="EI66"/>
  <c r="AC63" i="24"/>
  <c r="M14" i="43"/>
  <c r="N14" s="1"/>
  <c r="H14"/>
  <c r="AF11" i="45"/>
  <c r="B6"/>
  <c r="W6" s="1"/>
  <c r="Y6" s="1"/>
  <c r="AF8"/>
  <c r="M11" i="43"/>
  <c r="N11" s="1"/>
  <c r="H11"/>
  <c r="M8"/>
  <c r="N8" s="1"/>
  <c r="AO8" s="1"/>
  <c r="AP8" s="1"/>
  <c r="AQ8" s="1"/>
  <c r="V5" i="45" s="1"/>
  <c r="AF5"/>
  <c r="H8" i="43"/>
  <c r="K8" s="1"/>
  <c r="S5" i="45"/>
  <c r="CU9" i="43"/>
  <c r="BG13"/>
  <c r="CU14"/>
  <c r="CB9"/>
  <c r="S121" i="45"/>
  <c r="E19" i="44"/>
  <c r="B196" i="45"/>
  <c r="AD9" i="43"/>
  <c r="AE9" s="1"/>
  <c r="EV9" s="1"/>
  <c r="AF16" i="45"/>
  <c r="M19" i="43"/>
  <c r="N19" s="1"/>
  <c r="H19"/>
  <c r="S16" i="45"/>
  <c r="M20" i="43"/>
  <c r="N20" s="1"/>
  <c r="S18" i="45"/>
  <c r="S17"/>
  <c r="M22" i="43"/>
  <c r="N22" s="1"/>
  <c r="AF19" i="45"/>
  <c r="B17"/>
  <c r="B155"/>
  <c r="S21"/>
  <c r="S22"/>
  <c r="B25"/>
  <c r="S26"/>
  <c r="S27"/>
  <c r="M32" i="43"/>
  <c r="N32" s="1"/>
  <c r="H32"/>
  <c r="AF29" i="45"/>
  <c r="S28"/>
  <c r="S29"/>
  <c r="B30"/>
  <c r="M33" i="43"/>
  <c r="N33" s="1"/>
  <c r="AF30" i="45"/>
  <c r="H34" i="43"/>
  <c r="AF31" i="45"/>
  <c r="M34" i="43"/>
  <c r="S30" i="45"/>
  <c r="S31"/>
  <c r="BP34" i="24"/>
  <c r="AC36"/>
  <c r="AF33" i="45"/>
  <c r="H36" i="43"/>
  <c r="M36"/>
  <c r="N36" s="1"/>
  <c r="M37"/>
  <c r="N37" s="1"/>
  <c r="AF34" i="45"/>
  <c r="H37" i="43"/>
  <c r="S33" i="45"/>
  <c r="M41" i="43"/>
  <c r="N41" s="1"/>
  <c r="H41"/>
  <c r="AF38" i="45"/>
  <c r="S37"/>
  <c r="H40" i="43"/>
  <c r="M40"/>
  <c r="N40" s="1"/>
  <c r="AF37" i="45"/>
  <c r="S235"/>
  <c r="S236"/>
  <c r="M99" i="43"/>
  <c r="H99"/>
  <c r="AF96" i="45"/>
  <c r="M100" i="43"/>
  <c r="N100" s="1"/>
  <c r="H100"/>
  <c r="S140" i="45"/>
  <c r="S139"/>
  <c r="AF119"/>
  <c r="H122" i="43"/>
  <c r="M122"/>
  <c r="N122" s="1"/>
  <c r="AF138" i="45"/>
  <c r="M141" i="43"/>
  <c r="N141" s="1"/>
  <c r="H141"/>
  <c r="S314" i="45"/>
  <c r="S315"/>
  <c r="H96" i="43"/>
  <c r="M96"/>
  <c r="N96" s="1"/>
  <c r="AF93" i="45"/>
  <c r="EI22" i="43"/>
  <c r="T33" i="24"/>
  <c r="V33" s="1"/>
  <c r="W33" s="1"/>
  <c r="B323" i="45"/>
  <c r="B20"/>
  <c r="B258"/>
  <c r="EI74" i="43"/>
  <c r="H9" i="22" s="1"/>
  <c r="S287" i="45"/>
  <c r="EI82" i="43"/>
  <c r="B18" i="45"/>
  <c r="B360"/>
  <c r="B259"/>
  <c r="AF42"/>
  <c r="H45" i="43"/>
  <c r="S39" i="45"/>
  <c r="H42" i="43"/>
  <c r="M42"/>
  <c r="N42" s="1"/>
  <c r="AF39" i="45"/>
  <c r="AF40"/>
  <c r="H43" i="43"/>
  <c r="M43"/>
  <c r="B43" i="45"/>
  <c r="H47" i="43"/>
  <c r="M47"/>
  <c r="N47" s="1"/>
  <c r="AF44" i="45"/>
  <c r="S44"/>
  <c r="M46" i="43"/>
  <c r="N46" s="1"/>
  <c r="AF43" i="45"/>
  <c r="H46" i="43"/>
  <c r="M49"/>
  <c r="N49" s="1"/>
  <c r="S45" i="45"/>
  <c r="H50" i="43"/>
  <c r="M50"/>
  <c r="N50" s="1"/>
  <c r="AF47" i="45"/>
  <c r="S46"/>
  <c r="AF46"/>
  <c r="M51" i="43"/>
  <c r="N51" s="1"/>
  <c r="AF48" i="45"/>
  <c r="H51" i="43"/>
  <c r="S49" i="45"/>
  <c r="M52" i="43"/>
  <c r="N52" s="1"/>
  <c r="H52"/>
  <c r="AF49" i="45"/>
  <c r="H55" i="43"/>
  <c r="B52" i="45"/>
  <c r="S52"/>
  <c r="AF53"/>
  <c r="M55" i="43"/>
  <c r="N55" s="1"/>
  <c r="AF54" i="45"/>
  <c r="M57" i="43"/>
  <c r="N57" s="1"/>
  <c r="M56"/>
  <c r="N56" s="1"/>
  <c r="H56"/>
  <c r="S53" i="45"/>
  <c r="S54"/>
  <c r="AF55"/>
  <c r="H58" i="43"/>
  <c r="M58"/>
  <c r="N58" s="1"/>
  <c r="S55" i="45"/>
  <c r="AF56"/>
  <c r="H59" i="43"/>
  <c r="S60" i="45"/>
  <c r="H63" i="43"/>
  <c r="M63"/>
  <c r="N63" s="1"/>
  <c r="AF60" i="45"/>
  <c r="M64" i="43"/>
  <c r="N64" s="1"/>
  <c r="AF61" i="45"/>
  <c r="H64" i="43"/>
  <c r="B61" i="45"/>
  <c r="S61"/>
  <c r="B62"/>
  <c r="S62"/>
  <c r="M66" i="43"/>
  <c r="N66" s="1"/>
  <c r="H66"/>
  <c r="AF63" i="45"/>
  <c r="S63"/>
  <c r="M67" i="43"/>
  <c r="N67" s="1"/>
  <c r="AF64" i="45"/>
  <c r="H67" i="43"/>
  <c r="M68"/>
  <c r="N68" s="1"/>
  <c r="AF65" i="45"/>
  <c r="H68" i="43"/>
  <c r="S66" i="45"/>
  <c r="AF66"/>
  <c r="H69" i="43"/>
  <c r="M69"/>
  <c r="N69" s="1"/>
  <c r="AF68" i="45"/>
  <c r="S67"/>
  <c r="AF67"/>
  <c r="H70" i="43"/>
  <c r="M70"/>
  <c r="N70" s="1"/>
  <c r="M71"/>
  <c r="N71" s="1"/>
  <c r="S68" i="45"/>
  <c r="B140"/>
  <c r="B139"/>
  <c r="B133"/>
  <c r="S113"/>
  <c r="S114"/>
  <c r="AF107"/>
  <c r="M110" i="43"/>
  <c r="N110" s="1"/>
  <c r="S375" i="45"/>
  <c r="S374"/>
  <c r="AF134"/>
  <c r="M137" i="43"/>
  <c r="N137" s="1"/>
  <c r="H137"/>
  <c r="M127"/>
  <c r="N127" s="1"/>
  <c r="AF124" i="45"/>
  <c r="H127" i="43"/>
  <c r="B162" i="45"/>
  <c r="B144"/>
  <c r="B149"/>
  <c r="B194"/>
  <c r="S209"/>
  <c r="EI127" i="43"/>
  <c r="B117" i="45"/>
  <c r="B271"/>
  <c r="T87" i="24"/>
  <c r="V87" s="1"/>
  <c r="W87" s="1"/>
  <c r="BP87" s="1"/>
  <c r="S256" i="45"/>
  <c r="B367"/>
  <c r="BI142" i="24"/>
  <c r="DM152" i="43"/>
  <c r="DN152" s="1"/>
  <c r="B19" i="45"/>
  <c r="B37"/>
  <c r="AC131" i="43"/>
  <c r="B210" i="45"/>
  <c r="B331"/>
  <c r="S244"/>
  <c r="M15" i="43"/>
  <c r="N15" s="1"/>
  <c r="H15"/>
  <c r="AF12" i="45"/>
  <c r="BP128" i="24"/>
  <c r="BP146"/>
  <c r="BP12"/>
  <c r="DZ71" i="43"/>
  <c r="AF152" i="45"/>
  <c r="M155" i="43"/>
  <c r="N155" s="1"/>
  <c r="T37" i="24"/>
  <c r="V37" s="1"/>
  <c r="W37" s="1"/>
  <c r="T155"/>
  <c r="V155" s="1"/>
  <c r="W155" s="1"/>
  <c r="BP155" s="1"/>
  <c r="AC69"/>
  <c r="T115"/>
  <c r="V115" s="1"/>
  <c r="W115" s="1"/>
  <c r="AC114"/>
  <c r="BI130"/>
  <c r="BI32"/>
  <c r="S299" i="45"/>
  <c r="B60"/>
  <c r="T106" i="24"/>
  <c r="V106" s="1"/>
  <c r="W106" s="1"/>
  <c r="BI109"/>
  <c r="AC43"/>
  <c r="AC11"/>
  <c r="DZ47" i="43"/>
  <c r="BI55" i="24"/>
  <c r="DM21" i="43"/>
  <c r="DN21" s="1"/>
  <c r="B39" i="45"/>
  <c r="T90" i="24"/>
  <c r="V90" s="1"/>
  <c r="W90" s="1"/>
  <c r="BI93"/>
  <c r="BI65"/>
  <c r="BI19"/>
  <c r="BI50"/>
  <c r="S225" i="45"/>
  <c r="B34"/>
  <c r="EI132" i="43"/>
  <c r="S323" i="45"/>
  <c r="DM82" i="43"/>
  <c r="DN82" s="1"/>
  <c r="DM67"/>
  <c r="DN67" s="1"/>
  <c r="B29" i="45"/>
  <c r="B277"/>
  <c r="B229"/>
  <c r="EI63" i="43"/>
  <c r="B53" i="45"/>
  <c r="DM79" i="43"/>
  <c r="DN79" s="1"/>
  <c r="DM88"/>
  <c r="DN88" s="1"/>
  <c r="S245" i="45"/>
  <c r="B215"/>
  <c r="EI81" i="43"/>
  <c r="BP94" i="24"/>
  <c r="T67"/>
  <c r="V67" s="1"/>
  <c r="W67" s="1"/>
  <c r="BI67"/>
  <c r="B26" i="45"/>
  <c r="B55"/>
  <c r="B63"/>
  <c r="B68"/>
  <c r="Z10" i="43"/>
  <c r="AA10" s="1"/>
  <c r="C7" i="45" s="1"/>
  <c r="HB10" i="43"/>
  <c r="HA10" s="1"/>
  <c r="GW10" s="1"/>
  <c r="CS10"/>
  <c r="AD10"/>
  <c r="AE10" s="1"/>
  <c r="FS11"/>
  <c r="FS12" s="1"/>
  <c r="GN10"/>
  <c r="GM10" s="1"/>
  <c r="GI10" s="1"/>
  <c r="GG10"/>
  <c r="GF10" s="1"/>
  <c r="GB10" s="1"/>
  <c r="BE10"/>
  <c r="BZ10"/>
  <c r="AI79"/>
  <c r="S51" i="45"/>
  <c r="S50"/>
  <c r="AF51"/>
  <c r="M54" i="43"/>
  <c r="N54" s="1"/>
  <c r="H54"/>
  <c r="H53"/>
  <c r="AF50" i="45"/>
  <c r="M53" i="43"/>
  <c r="N53" s="1"/>
  <c r="BP76" i="24"/>
  <c r="H76" i="43"/>
  <c r="AF73" i="45"/>
  <c r="M76" i="43"/>
  <c r="N76" s="1"/>
  <c r="AF74" i="45"/>
  <c r="M77" i="43"/>
  <c r="N77" s="1"/>
  <c r="H77"/>
  <c r="AF75" i="45"/>
  <c r="M78" i="43"/>
  <c r="N78" s="1"/>
  <c r="H78"/>
  <c r="BP80" i="24"/>
  <c r="M80" i="43"/>
  <c r="N80" s="1"/>
  <c r="S77" i="45"/>
  <c r="M81" i="43"/>
  <c r="N81" s="1"/>
  <c r="S78" i="45"/>
  <c r="H82" i="43"/>
  <c r="AF79" i="45"/>
  <c r="M82" i="43"/>
  <c r="N82" s="1"/>
  <c r="S79" i="45"/>
  <c r="H83" i="43"/>
  <c r="AF80" i="45"/>
  <c r="M83" i="43"/>
  <c r="N83" s="1"/>
  <c r="S80" i="45"/>
  <c r="B81"/>
  <c r="B83"/>
  <c r="DZ30" i="43" l="1"/>
  <c r="M19" i="44"/>
  <c r="O132" i="24"/>
  <c r="T78"/>
  <c r="V78" s="1"/>
  <c r="W78" s="1"/>
  <c r="BP78" s="1"/>
  <c r="DZ138" i="43"/>
  <c r="DZ79"/>
  <c r="DZ80"/>
  <c r="BI141" i="24"/>
  <c r="AH311" i="45"/>
  <c r="AH119"/>
  <c r="AH336"/>
  <c r="S208"/>
  <c r="B44"/>
  <c r="DM27" i="43"/>
  <c r="DN27" s="1"/>
  <c r="D19" i="44"/>
  <c r="AC25" i="24"/>
  <c r="D16" i="44"/>
  <c r="D13"/>
  <c r="BI36" i="24"/>
  <c r="BI148"/>
  <c r="DM74" i="43"/>
  <c r="DN74" s="1"/>
  <c r="DM137"/>
  <c r="DN137" s="1"/>
  <c r="AG153" i="45"/>
  <c r="AG149"/>
  <c r="AG137"/>
  <c r="AG135"/>
  <c r="AG133"/>
  <c r="AG129"/>
  <c r="AG127"/>
  <c r="AG123"/>
  <c r="AG121"/>
  <c r="AG119"/>
  <c r="AG115"/>
  <c r="AG113"/>
  <c r="AG111"/>
  <c r="AG103"/>
  <c r="AG101"/>
  <c r="AG99"/>
  <c r="AG97"/>
  <c r="AG93"/>
  <c r="AG91"/>
  <c r="AG85"/>
  <c r="AG83"/>
  <c r="AG81"/>
  <c r="T131" i="24"/>
  <c r="V131" s="1"/>
  <c r="W131" s="1"/>
  <c r="T114"/>
  <c r="V114" s="1"/>
  <c r="W114" s="1"/>
  <c r="BP114" s="1"/>
  <c r="DM12" i="43"/>
  <c r="DN12" s="1"/>
  <c r="AG78" i="45"/>
  <c r="AH77"/>
  <c r="AG70"/>
  <c r="AG68"/>
  <c r="AG60"/>
  <c r="AG58"/>
  <c r="AG50"/>
  <c r="AG40"/>
  <c r="AG36"/>
  <c r="BI87" i="24"/>
  <c r="BI64"/>
  <c r="T25"/>
  <c r="V25" s="1"/>
  <c r="W25" s="1"/>
  <c r="BP25" s="1"/>
  <c r="T73"/>
  <c r="V73" s="1"/>
  <c r="W73" s="1"/>
  <c r="T53"/>
  <c r="V53" s="1"/>
  <c r="W53" s="1"/>
  <c r="BP53" s="1"/>
  <c r="T99"/>
  <c r="V99" s="1"/>
  <c r="W99" s="1"/>
  <c r="BP99" s="1"/>
  <c r="T147"/>
  <c r="V147" s="1"/>
  <c r="W147" s="1"/>
  <c r="BP147" s="1"/>
  <c r="T119"/>
  <c r="V119" s="1"/>
  <c r="W119" s="1"/>
  <c r="AH80" i="45"/>
  <c r="AH343"/>
  <c r="S38"/>
  <c r="AH50"/>
  <c r="DM121" i="43"/>
  <c r="DN121" s="1"/>
  <c r="DM128"/>
  <c r="DN128" s="1"/>
  <c r="DM134"/>
  <c r="DN134" s="1"/>
  <c r="DM142"/>
  <c r="DN142" s="1"/>
  <c r="DM147"/>
  <c r="DN147" s="1"/>
  <c r="DM143"/>
  <c r="DN143" s="1"/>
  <c r="DM106"/>
  <c r="DN106" s="1"/>
  <c r="DM78"/>
  <c r="DN78" s="1"/>
  <c r="DM154"/>
  <c r="DN154" s="1"/>
  <c r="DM64"/>
  <c r="DN64" s="1"/>
  <c r="L16" i="44"/>
  <c r="B16"/>
  <c r="M18"/>
  <c r="T144" i="24"/>
  <c r="V144" s="1"/>
  <c r="W144" s="1"/>
  <c r="BP144" s="1"/>
  <c r="DZ28" i="43"/>
  <c r="T21" i="24"/>
  <c r="V21" s="1"/>
  <c r="T75"/>
  <c r="V75" s="1"/>
  <c r="W75" s="1"/>
  <c r="BP75" s="1"/>
  <c r="T65"/>
  <c r="V65" s="1"/>
  <c r="W65" s="1"/>
  <c r="AH244" i="45"/>
  <c r="DM116" i="43"/>
  <c r="DN116" s="1"/>
  <c r="DM149"/>
  <c r="DN149" s="1"/>
  <c r="DM33"/>
  <c r="DN33" s="1"/>
  <c r="DM28"/>
  <c r="DN28" s="1"/>
  <c r="DM17"/>
  <c r="DN17" s="1"/>
  <c r="AH129" i="45"/>
  <c r="EI17" i="43"/>
  <c r="EI13"/>
  <c r="EI12"/>
  <c r="EI11"/>
  <c r="EI9"/>
  <c r="AC14"/>
  <c r="EI26"/>
  <c r="EI24"/>
  <c r="EI23"/>
  <c r="EI21"/>
  <c r="EI20"/>
  <c r="AC19"/>
  <c r="EI35"/>
  <c r="EI33"/>
  <c r="EI31"/>
  <c r="EI29"/>
  <c r="EI27"/>
  <c r="EI45"/>
  <c r="EI43"/>
  <c r="EI42"/>
  <c r="EI41"/>
  <c r="EI40"/>
  <c r="AC41"/>
  <c r="EI38"/>
  <c r="S36" i="45"/>
  <c r="EI37" i="43"/>
  <c r="AH317" i="45"/>
  <c r="B292"/>
  <c r="B274"/>
  <c r="B273"/>
  <c r="B198"/>
  <c r="B193"/>
  <c r="S188"/>
  <c r="B184"/>
  <c r="B180"/>
  <c r="S166"/>
  <c r="B161"/>
  <c r="B159"/>
  <c r="B157"/>
  <c r="EI156" i="43"/>
  <c r="B153" i="45"/>
  <c r="EI153" i="43"/>
  <c r="B150" i="45"/>
  <c r="EI152" i="43"/>
  <c r="DG152"/>
  <c r="DH152" s="1"/>
  <c r="G152" s="1"/>
  <c r="EI150"/>
  <c r="EI146"/>
  <c r="B142" i="45"/>
  <c r="EI144" i="43"/>
  <c r="AC144"/>
  <c r="AC142"/>
  <c r="B136" i="45"/>
  <c r="EI138" i="43"/>
  <c r="DG138"/>
  <c r="DH138" s="1"/>
  <c r="G138" s="1"/>
  <c r="EI136"/>
  <c r="EI135"/>
  <c r="DG134"/>
  <c r="DH134" s="1"/>
  <c r="G134" s="1"/>
  <c r="AF131" i="45" s="1"/>
  <c r="AC133" i="43"/>
  <c r="AC130"/>
  <c r="B125" i="45"/>
  <c r="EI126" i="43"/>
  <c r="AC127"/>
  <c r="EI125"/>
  <c r="EI122"/>
  <c r="EI120"/>
  <c r="S115" i="45"/>
  <c r="EI117" i="43"/>
  <c r="EI113"/>
  <c r="AC113"/>
  <c r="EI112"/>
  <c r="EI111"/>
  <c r="S109" i="45"/>
  <c r="EI108" i="43"/>
  <c r="P108" i="24" s="1"/>
  <c r="EI107" i="43"/>
  <c r="AC104"/>
  <c r="EI102"/>
  <c r="AC101"/>
  <c r="EI99"/>
  <c r="B95" i="45"/>
  <c r="EI97" i="43"/>
  <c r="P90"/>
  <c r="EI89"/>
  <c r="EI88"/>
  <c r="EI84"/>
  <c r="DG79"/>
  <c r="DH79" s="1"/>
  <c r="G79" s="1"/>
  <c r="EI77"/>
  <c r="AC76"/>
  <c r="EI72"/>
  <c r="EI70"/>
  <c r="B65" i="45"/>
  <c r="AC68" i="43"/>
  <c r="EI65"/>
  <c r="EI64"/>
  <c r="AC63"/>
  <c r="EI61"/>
  <c r="EI58"/>
  <c r="AC59"/>
  <c r="AC56"/>
  <c r="EI55"/>
  <c r="EI54"/>
  <c r="AC54"/>
  <c r="EI53"/>
  <c r="AC51"/>
  <c r="EI48"/>
  <c r="AC46"/>
  <c r="T42" i="24"/>
  <c r="V42" s="1"/>
  <c r="W42" s="1"/>
  <c r="BP42" s="1"/>
  <c r="AH13" i="45"/>
  <c r="AH37"/>
  <c r="DM135" i="43"/>
  <c r="DN135" s="1"/>
  <c r="DM91"/>
  <c r="DN91" s="1"/>
  <c r="AH364" i="45"/>
  <c r="S380"/>
  <c r="DM93" i="43"/>
  <c r="DN93" s="1"/>
  <c r="DM85"/>
  <c r="DN85" s="1"/>
  <c r="DM77"/>
  <c r="DN77" s="1"/>
  <c r="DM58"/>
  <c r="DN58" s="1"/>
  <c r="DM35"/>
  <c r="DN35" s="1"/>
  <c r="DM34"/>
  <c r="DN34" s="1"/>
  <c r="DM23"/>
  <c r="DN23" s="1"/>
  <c r="B376" i="45"/>
  <c r="AH81" i="43"/>
  <c r="AH97"/>
  <c r="AI141"/>
  <c r="AH113"/>
  <c r="DC334"/>
  <c r="AH89"/>
  <c r="AH83"/>
  <c r="DO8"/>
  <c r="DP8" s="1"/>
  <c r="AF75"/>
  <c r="DY75" s="1"/>
  <c r="AF93"/>
  <c r="DY93" s="1"/>
  <c r="AF117"/>
  <c r="AI77"/>
  <c r="AI105"/>
  <c r="AI125"/>
  <c r="AH129"/>
  <c r="B336" i="45"/>
  <c r="B10" i="44"/>
  <c r="AF28" i="43"/>
  <c r="AI36"/>
  <c r="AH80"/>
  <c r="AH82"/>
  <c r="AF23"/>
  <c r="DY23" s="1"/>
  <c r="AF17"/>
  <c r="AI82"/>
  <c r="AI81"/>
  <c r="AF29"/>
  <c r="AI74"/>
  <c r="AF103"/>
  <c r="AF151"/>
  <c r="DY151" s="1"/>
  <c r="AI75"/>
  <c r="AI89"/>
  <c r="AI109"/>
  <c r="AF77"/>
  <c r="DY77" s="1"/>
  <c r="AI136"/>
  <c r="AI95"/>
  <c r="AI67"/>
  <c r="AH87"/>
  <c r="AH121"/>
  <c r="AH115"/>
  <c r="AF110"/>
  <c r="DY110" s="1"/>
  <c r="AF76"/>
  <c r="DY76" s="1"/>
  <c r="AF99"/>
  <c r="DY99" s="1"/>
  <c r="DC181"/>
  <c r="DD181" s="1"/>
  <c r="DE181" s="1"/>
  <c r="M152"/>
  <c r="H152"/>
  <c r="M134"/>
  <c r="N134" s="1"/>
  <c r="H134"/>
  <c r="AC110" i="24"/>
  <c r="DZ110" i="43"/>
  <c r="AC99" i="24"/>
  <c r="DZ99" i="43"/>
  <c r="AC50" i="24"/>
  <c r="DZ50" i="43"/>
  <c r="D6" i="30"/>
  <c r="DZ131" i="43"/>
  <c r="M130"/>
  <c r="N130" s="1"/>
  <c r="D22" i="30"/>
  <c r="DZ97" i="43"/>
  <c r="G63" i="24"/>
  <c r="O63" s="1"/>
  <c r="AC30" i="43"/>
  <c r="G78" i="24"/>
  <c r="G93"/>
  <c r="O93" s="1"/>
  <c r="W21"/>
  <c r="T93"/>
  <c r="V93" s="1"/>
  <c r="W93" s="1"/>
  <c r="BP93" s="1"/>
  <c r="P32" i="43"/>
  <c r="G109" i="24"/>
  <c r="B268" i="45"/>
  <c r="DG25" i="43"/>
  <c r="DH25" s="1"/>
  <c r="G25" s="1"/>
  <c r="G103" i="24"/>
  <c r="BI117"/>
  <c r="G95"/>
  <c r="G72"/>
  <c r="O72" s="1"/>
  <c r="P72" s="1"/>
  <c r="G58"/>
  <c r="G135"/>
  <c r="O135" s="1"/>
  <c r="P153" i="43"/>
  <c r="B20" i="44"/>
  <c r="M20"/>
  <c r="E20"/>
  <c r="AC125" i="24"/>
  <c r="DZ125" i="43"/>
  <c r="DZ142"/>
  <c r="AC142" i="24"/>
  <c r="DZ62" i="43"/>
  <c r="AC62" i="24"/>
  <c r="AC132"/>
  <c r="DZ132" i="43"/>
  <c r="DZ92"/>
  <c r="AC92" i="24"/>
  <c r="AC94"/>
  <c r="DZ94" i="43"/>
  <c r="AC59" i="24"/>
  <c r="DZ59" i="43"/>
  <c r="CU140"/>
  <c r="FE140"/>
  <c r="CB140"/>
  <c r="E18" i="44"/>
  <c r="H81" i="43"/>
  <c r="AF77" i="45"/>
  <c r="AF17"/>
  <c r="L10" i="44"/>
  <c r="E16"/>
  <c r="S197" i="45"/>
  <c r="M145" i="43"/>
  <c r="N145" s="1"/>
  <c r="DZ98"/>
  <c r="D23" i="30"/>
  <c r="AC72" i="24"/>
  <c r="AF127" i="45"/>
  <c r="O107" i="24"/>
  <c r="DG17" i="43"/>
  <c r="DH17" s="1"/>
  <c r="G17" s="1"/>
  <c r="AC93" i="24"/>
  <c r="T56"/>
  <c r="V56" s="1"/>
  <c r="W56" s="1"/>
  <c r="BP56" s="1"/>
  <c r="AC136"/>
  <c r="G153"/>
  <c r="G129"/>
  <c r="P23" i="43"/>
  <c r="G124" i="24"/>
  <c r="O124" s="1"/>
  <c r="G107"/>
  <c r="DG31" i="43"/>
  <c r="DH31" s="1"/>
  <c r="G31" s="1"/>
  <c r="B42" i="45"/>
  <c r="P28" i="43"/>
  <c r="G156" i="24"/>
  <c r="DG24" i="43"/>
  <c r="DH24" s="1"/>
  <c r="G24" s="1"/>
  <c r="G125" i="24"/>
  <c r="P27" i="43"/>
  <c r="P21"/>
  <c r="G131" i="24"/>
  <c r="G67"/>
  <c r="G134"/>
  <c r="G15"/>
  <c r="O15" s="1"/>
  <c r="P15" s="1"/>
  <c r="G41"/>
  <c r="AC35" i="43"/>
  <c r="DM110"/>
  <c r="DN110" s="1"/>
  <c r="DM86"/>
  <c r="DN86" s="1"/>
  <c r="DM71"/>
  <c r="DN71" s="1"/>
  <c r="DM49"/>
  <c r="DN49" s="1"/>
  <c r="DM127"/>
  <c r="DN127" s="1"/>
  <c r="DM117"/>
  <c r="DN117" s="1"/>
  <c r="DG121"/>
  <c r="DH121" s="1"/>
  <c r="G121" s="1"/>
  <c r="AC35" i="24"/>
  <c r="DZ35" i="43"/>
  <c r="GN9"/>
  <c r="GM9" s="1"/>
  <c r="GI9" s="1"/>
  <c r="FZ9" s="1"/>
  <c r="GC9" s="1"/>
  <c r="GE9" s="1"/>
  <c r="AR9" s="1"/>
  <c r="AT6" i="45" s="1"/>
  <c r="DM9" i="43"/>
  <c r="DN9" s="1"/>
  <c r="A10" i="22"/>
  <c r="D9"/>
  <c r="DZ18" i="43"/>
  <c r="S232" i="45"/>
  <c r="N43" i="43"/>
  <c r="N34"/>
  <c r="CB14"/>
  <c r="G152" i="24"/>
  <c r="O152" s="1"/>
  <c r="DZ133" i="43"/>
  <c r="M98"/>
  <c r="N98" s="1"/>
  <c r="H145"/>
  <c r="E7" i="30"/>
  <c r="S95" i="45"/>
  <c r="O138" i="24"/>
  <c r="P138" s="1"/>
  <c r="Q14" i="45"/>
  <c r="R14" s="1"/>
  <c r="O86" i="24"/>
  <c r="P39" i="43"/>
  <c r="P11"/>
  <c r="P45"/>
  <c r="G104" i="24"/>
  <c r="DG21" i="43"/>
  <c r="DH21" s="1"/>
  <c r="G21" s="1"/>
  <c r="DG10"/>
  <c r="DH10" s="1"/>
  <c r="G10" s="1"/>
  <c r="BI112" i="24"/>
  <c r="G57"/>
  <c r="O57" s="1"/>
  <c r="Q135" i="45"/>
  <c r="R135" s="1"/>
  <c r="P18" i="43"/>
  <c r="G66" i="24"/>
  <c r="T20"/>
  <c r="V20" s="1"/>
  <c r="W20" s="1"/>
  <c r="BP20" s="1"/>
  <c r="AH197" i="45"/>
  <c r="FE153" i="43"/>
  <c r="AC149" i="24"/>
  <c r="DZ149" i="43"/>
  <c r="G27" i="24"/>
  <c r="I291"/>
  <c r="H291"/>
  <c r="G291"/>
  <c r="G64"/>
  <c r="G32"/>
  <c r="G38"/>
  <c r="O38" s="1"/>
  <c r="P38" s="1"/>
  <c r="G62"/>
  <c r="O62" s="1"/>
  <c r="P62" s="1"/>
  <c r="G76"/>
  <c r="G99"/>
  <c r="O99" s="1"/>
  <c r="G106"/>
  <c r="G96"/>
  <c r="G68"/>
  <c r="O68" s="1"/>
  <c r="G102"/>
  <c r="O102" s="1"/>
  <c r="P102" s="1"/>
  <c r="G94"/>
  <c r="G138"/>
  <c r="G59"/>
  <c r="G90"/>
  <c r="G82"/>
  <c r="G128"/>
  <c r="G51"/>
  <c r="G92"/>
  <c r="G47"/>
  <c r="G29"/>
  <c r="O29" s="1"/>
  <c r="P29" s="1"/>
  <c r="G12"/>
  <c r="O12" s="1"/>
  <c r="P12" s="1"/>
  <c r="G10"/>
  <c r="O10" s="1"/>
  <c r="P10" s="1"/>
  <c r="G81"/>
  <c r="G83"/>
  <c r="G151"/>
  <c r="G150"/>
  <c r="O150" s="1"/>
  <c r="P150" s="1"/>
  <c r="G137"/>
  <c r="G18"/>
  <c r="O18" s="1"/>
  <c r="P18" s="1"/>
  <c r="G11"/>
  <c r="G54"/>
  <c r="G119"/>
  <c r="G118"/>
  <c r="G133"/>
  <c r="G65"/>
  <c r="O65" s="1"/>
  <c r="G130"/>
  <c r="O130" s="1"/>
  <c r="G154"/>
  <c r="G85"/>
  <c r="O85" s="1"/>
  <c r="P85" s="1"/>
  <c r="G140"/>
  <c r="G56"/>
  <c r="G155"/>
  <c r="G55"/>
  <c r="O55" s="1"/>
  <c r="P55" s="1"/>
  <c r="G145"/>
  <c r="O145" s="1"/>
  <c r="P145" s="1"/>
  <c r="G75"/>
  <c r="O75" s="1"/>
  <c r="G141"/>
  <c r="O141" s="1"/>
  <c r="G100"/>
  <c r="E12" i="45"/>
  <c r="B12" s="1"/>
  <c r="P15" i="43"/>
  <c r="Q9" i="45"/>
  <c r="R9" s="1"/>
  <c r="S9" s="1"/>
  <c r="DG12" i="43"/>
  <c r="DH12" s="1"/>
  <c r="G12" s="1"/>
  <c r="DG13"/>
  <c r="DH13" s="1"/>
  <c r="G13" s="1"/>
  <c r="F7" i="45"/>
  <c r="B7" s="1"/>
  <c r="P10" i="43"/>
  <c r="CU10"/>
  <c r="BG10"/>
  <c r="AC10"/>
  <c r="AC9"/>
  <c r="DG27"/>
  <c r="DH27" s="1"/>
  <c r="G27" s="1"/>
  <c r="Q23" i="45"/>
  <c r="R23" s="1"/>
  <c r="E22"/>
  <c r="P25" i="43"/>
  <c r="Q19" i="45"/>
  <c r="R19" s="1"/>
  <c r="DG23" i="43"/>
  <c r="DH23" s="1"/>
  <c r="G23" s="1"/>
  <c r="FE35"/>
  <c r="BG35"/>
  <c r="FE31"/>
  <c r="BG31"/>
  <c r="FE27"/>
  <c r="CU27"/>
  <c r="FE45"/>
  <c r="BG45"/>
  <c r="FE41"/>
  <c r="CU41"/>
  <c r="E33" i="45"/>
  <c r="B33" s="1"/>
  <c r="P36" i="43"/>
  <c r="S264" i="45"/>
  <c r="S265"/>
  <c r="Q149"/>
  <c r="R149" s="1"/>
  <c r="S149" s="1"/>
  <c r="DG153" i="43"/>
  <c r="DH153" s="1"/>
  <c r="G153" s="1"/>
  <c r="E148" i="45"/>
  <c r="B148" s="1"/>
  <c r="P151" i="43"/>
  <c r="Q147" i="45"/>
  <c r="R147" s="1"/>
  <c r="S148" s="1"/>
  <c r="DG150" i="43"/>
  <c r="DH150" s="1"/>
  <c r="G150" s="1"/>
  <c r="DG151"/>
  <c r="DH151" s="1"/>
  <c r="G151" s="1"/>
  <c r="E146" i="45"/>
  <c r="B146" s="1"/>
  <c r="P149" i="43"/>
  <c r="Q145" i="45"/>
  <c r="R145" s="1"/>
  <c r="S145" s="1"/>
  <c r="DG149" i="43"/>
  <c r="DH149" s="1"/>
  <c r="G149" s="1"/>
  <c r="Q143" i="45"/>
  <c r="R143" s="1"/>
  <c r="DG147" i="43"/>
  <c r="DH147" s="1"/>
  <c r="G147" s="1"/>
  <c r="BG142"/>
  <c r="CB142"/>
  <c r="H138"/>
  <c r="M138"/>
  <c r="N138" s="1"/>
  <c r="BG136"/>
  <c r="FE136"/>
  <c r="CB136"/>
  <c r="DG133"/>
  <c r="DH133" s="1"/>
  <c r="G133" s="1"/>
  <c r="Q130" i="45"/>
  <c r="R130" s="1"/>
  <c r="E128"/>
  <c r="B128" s="1"/>
  <c r="P131" i="43"/>
  <c r="FE130"/>
  <c r="CU130"/>
  <c r="F124" i="45"/>
  <c r="B124" s="1"/>
  <c r="P127" i="43"/>
  <c r="CU127"/>
  <c r="BG127"/>
  <c r="BG125"/>
  <c r="CU125"/>
  <c r="AC125"/>
  <c r="AC124"/>
  <c r="BG123"/>
  <c r="FE123"/>
  <c r="CB123"/>
  <c r="CU123"/>
  <c r="AC123"/>
  <c r="AC122"/>
  <c r="P117"/>
  <c r="F114" i="45"/>
  <c r="B114" s="1"/>
  <c r="CB117" i="43"/>
  <c r="BG117"/>
  <c r="FE114"/>
  <c r="BG114"/>
  <c r="F109" i="45"/>
  <c r="B109" s="1"/>
  <c r="P112" i="43"/>
  <c r="FE112"/>
  <c r="BG112"/>
  <c r="CB112"/>
  <c r="E107" i="45"/>
  <c r="B107" s="1"/>
  <c r="P110" i="43"/>
  <c r="CB109"/>
  <c r="BG109"/>
  <c r="FE107"/>
  <c r="BG107"/>
  <c r="Q103" i="45"/>
  <c r="R103" s="1"/>
  <c r="DG107" i="43"/>
  <c r="DH107" s="1"/>
  <c r="G107" s="1"/>
  <c r="AC105"/>
  <c r="AC106"/>
  <c r="CU104"/>
  <c r="BG104"/>
  <c r="CB104"/>
  <c r="F99" i="45"/>
  <c r="B99" s="1"/>
  <c r="P102" i="43"/>
  <c r="FE102"/>
  <c r="BG102"/>
  <c r="CB102"/>
  <c r="F97" i="45"/>
  <c r="B97" s="1"/>
  <c r="P100" i="43"/>
  <c r="CU100"/>
  <c r="BG100"/>
  <c r="FE100"/>
  <c r="CB100"/>
  <c r="Q90" i="45"/>
  <c r="R90" s="1"/>
  <c r="S90" s="1"/>
  <c r="DG94" i="43"/>
  <c r="DH94" s="1"/>
  <c r="G94" s="1"/>
  <c r="E89" i="45"/>
  <c r="P92" i="43"/>
  <c r="Q88" i="45"/>
  <c r="R88" s="1"/>
  <c r="DG91" i="43"/>
  <c r="DH91" s="1"/>
  <c r="G91" s="1"/>
  <c r="F86" i="45"/>
  <c r="B86" s="1"/>
  <c r="P89" i="43"/>
  <c r="CB89"/>
  <c r="CU89"/>
  <c r="AC89"/>
  <c r="AC88"/>
  <c r="F84" i="45"/>
  <c r="B84" s="1"/>
  <c r="P87" i="43"/>
  <c r="FE87"/>
  <c r="BG87"/>
  <c r="Q83" i="45"/>
  <c r="R83" s="1"/>
  <c r="DG87" i="43"/>
  <c r="DH87" s="1"/>
  <c r="G87" s="1"/>
  <c r="DG86"/>
  <c r="DH86" s="1"/>
  <c r="G86" s="1"/>
  <c r="DG84"/>
  <c r="DH84" s="1"/>
  <c r="G84" s="1"/>
  <c r="Q81" i="45"/>
  <c r="R81" s="1"/>
  <c r="DG85" i="43"/>
  <c r="DH85" s="1"/>
  <c r="G85" s="1"/>
  <c r="E80" i="45"/>
  <c r="B80" s="1"/>
  <c r="P83" i="43"/>
  <c r="F77" i="45"/>
  <c r="P80" i="43"/>
  <c r="CU80"/>
  <c r="BG80"/>
  <c r="CB80"/>
  <c r="FE80"/>
  <c r="E75" i="45"/>
  <c r="P78" i="43"/>
  <c r="CU77"/>
  <c r="FE77"/>
  <c r="CB77"/>
  <c r="BG77"/>
  <c r="F72" i="45"/>
  <c r="P75" i="43"/>
  <c r="FE75"/>
  <c r="CU75"/>
  <c r="BG75"/>
  <c r="CB75"/>
  <c r="DG75"/>
  <c r="DH75" s="1"/>
  <c r="G75" s="1"/>
  <c r="Q71" i="45"/>
  <c r="R71" s="1"/>
  <c r="E70"/>
  <c r="P73" i="43"/>
  <c r="Q69" i="45"/>
  <c r="R69" s="1"/>
  <c r="DG72" i="43"/>
  <c r="DH72" s="1"/>
  <c r="G72" s="1"/>
  <c r="DG73"/>
  <c r="DH73" s="1"/>
  <c r="G73" s="1"/>
  <c r="F67" i="45"/>
  <c r="P70" i="43"/>
  <c r="CU70"/>
  <c r="BG70"/>
  <c r="CB70"/>
  <c r="FE70"/>
  <c r="AC70"/>
  <c r="AC69"/>
  <c r="CB66"/>
  <c r="BG66"/>
  <c r="FE66"/>
  <c r="CB64"/>
  <c r="BG64"/>
  <c r="Q58" i="45"/>
  <c r="R58" s="1"/>
  <c r="DG62" i="43"/>
  <c r="DH62" s="1"/>
  <c r="G62" s="1"/>
  <c r="DG61"/>
  <c r="DH61" s="1"/>
  <c r="G61" s="1"/>
  <c r="E57" i="45"/>
  <c r="B57" s="1"/>
  <c r="P60" i="43"/>
  <c r="CB57"/>
  <c r="BG57"/>
  <c r="CB55"/>
  <c r="FE55"/>
  <c r="BG55"/>
  <c r="F50" i="45"/>
  <c r="P53" i="43"/>
  <c r="BG52"/>
  <c r="FE52"/>
  <c r="E47" i="45"/>
  <c r="B47" s="1"/>
  <c r="P50" i="43"/>
  <c r="F46" i="45"/>
  <c r="B46" s="1"/>
  <c r="P49" i="43"/>
  <c r="CB49"/>
  <c r="FE49"/>
  <c r="BG49"/>
  <c r="FE47"/>
  <c r="CB47"/>
  <c r="BG47"/>
  <c r="O155" i="24"/>
  <c r="N88" i="43"/>
  <c r="DZ128"/>
  <c r="BI20" i="24"/>
  <c r="BI119"/>
  <c r="BI136"/>
  <c r="DZ139" i="43"/>
  <c r="S212" i="45"/>
  <c r="B54"/>
  <c r="B74"/>
  <c r="S340"/>
  <c r="B38"/>
  <c r="B24"/>
  <c r="BI115" i="24"/>
  <c r="AH154" i="45"/>
  <c r="AH138"/>
  <c r="AH122"/>
  <c r="AH106"/>
  <c r="AH42"/>
  <c r="AH291"/>
  <c r="AH259"/>
  <c r="AH243"/>
  <c r="AH131"/>
  <c r="AH99"/>
  <c r="AH83"/>
  <c r="AH67"/>
  <c r="AH51"/>
  <c r="AH19"/>
  <c r="AH380"/>
  <c r="AH220"/>
  <c r="AH172"/>
  <c r="AH140"/>
  <c r="AH124"/>
  <c r="AH108"/>
  <c r="AH44"/>
  <c r="AH349"/>
  <c r="AH333"/>
  <c r="AH305"/>
  <c r="AH289"/>
  <c r="AH225"/>
  <c r="AH209"/>
  <c r="AH101"/>
  <c r="AH85"/>
  <c r="AH53"/>
  <c r="AH21"/>
  <c r="AH12"/>
  <c r="N156" i="43"/>
  <c r="B219" i="45"/>
  <c r="B106"/>
  <c r="N142" i="43"/>
  <c r="AU41" i="24"/>
  <c r="T41" s="1"/>
  <c r="V41" s="1"/>
  <c r="W41" s="1"/>
  <c r="BP41" s="1"/>
  <c r="BB23"/>
  <c r="BI23" s="1"/>
  <c r="AT10"/>
  <c r="AZ13"/>
  <c r="T13" s="1"/>
  <c r="V13" s="1"/>
  <c r="W13" s="1"/>
  <c r="BP13" s="1"/>
  <c r="AZ44"/>
  <c r="T44" s="1"/>
  <c r="V44" s="1"/>
  <c r="W44" s="1"/>
  <c r="BP44" s="1"/>
  <c r="AW40"/>
  <c r="T40" s="1"/>
  <c r="V40" s="1"/>
  <c r="W40" s="1"/>
  <c r="AW30"/>
  <c r="AY38"/>
  <c r="AZ28"/>
  <c r="BF25"/>
  <c r="AY19"/>
  <c r="T19" s="1"/>
  <c r="V19" s="1"/>
  <c r="W19" s="1"/>
  <c r="AZ16"/>
  <c r="AT15"/>
  <c r="BG11" i="43"/>
  <c r="AV29" i="24"/>
  <c r="BF14"/>
  <c r="BF27"/>
  <c r="AV105"/>
  <c r="AW50"/>
  <c r="T50" s="1"/>
  <c r="V50" s="1"/>
  <c r="W50" s="1"/>
  <c r="BP50" s="1"/>
  <c r="BE101"/>
  <c r="BG156"/>
  <c r="AU153"/>
  <c r="AG38" i="45"/>
  <c r="AH130"/>
  <c r="AH114"/>
  <c r="AH82"/>
  <c r="AH171"/>
  <c r="AH91"/>
  <c r="AH75"/>
  <c r="AH59"/>
  <c r="AH43"/>
  <c r="AH27"/>
  <c r="AH260"/>
  <c r="AH148"/>
  <c r="AH36"/>
  <c r="AH313"/>
  <c r="AH217"/>
  <c r="AH169"/>
  <c r="AH93"/>
  <c r="AH61"/>
  <c r="B67"/>
  <c r="O20" i="24"/>
  <c r="P20" s="1"/>
  <c r="O94"/>
  <c r="Y94" s="1"/>
  <c r="Z94" s="1"/>
  <c r="O64"/>
  <c r="P64" s="1"/>
  <c r="BI45"/>
  <c r="BI53"/>
  <c r="T140"/>
  <c r="V140" s="1"/>
  <c r="W140" s="1"/>
  <c r="BP140" s="1"/>
  <c r="BI15"/>
  <c r="DZ77" i="43"/>
  <c r="T130" i="24"/>
  <c r="V130" s="1"/>
  <c r="W130" s="1"/>
  <c r="BP130" s="1"/>
  <c r="BI77"/>
  <c r="BI18"/>
  <c r="N109" i="43"/>
  <c r="BI103" i="24"/>
  <c r="BI133"/>
  <c r="DZ13" i="43"/>
  <c r="S301" i="45"/>
  <c r="S253"/>
  <c r="BI49" i="24"/>
  <c r="BI116"/>
  <c r="BI126"/>
  <c r="BI90"/>
  <c r="BI62"/>
  <c r="BI89"/>
  <c r="BI154"/>
  <c r="BI42"/>
  <c r="AH214" i="45"/>
  <c r="AH182"/>
  <c r="AH166"/>
  <c r="AH118"/>
  <c r="AH70"/>
  <c r="AH38"/>
  <c r="AH351"/>
  <c r="AH319"/>
  <c r="AH287"/>
  <c r="AH271"/>
  <c r="AH95"/>
  <c r="AH79"/>
  <c r="AH63"/>
  <c r="AH31"/>
  <c r="AH328"/>
  <c r="AH120"/>
  <c r="AH40"/>
  <c r="AH345"/>
  <c r="AH113"/>
  <c r="AH97"/>
  <c r="AH81"/>
  <c r="AH65"/>
  <c r="S177"/>
  <c r="BF36" i="24"/>
  <c r="AV18"/>
  <c r="T18" s="1"/>
  <c r="V18" s="1"/>
  <c r="W18" s="1"/>
  <c r="AT16"/>
  <c r="BC10"/>
  <c r="AT45"/>
  <c r="T45" s="1"/>
  <c r="V45" s="1"/>
  <c r="W45" s="1"/>
  <c r="AV38"/>
  <c r="BD43"/>
  <c r="BI43" s="1"/>
  <c r="AT36"/>
  <c r="T36" s="1"/>
  <c r="V36" s="1"/>
  <c r="W36" s="1"/>
  <c r="BP36" s="1"/>
  <c r="AU28"/>
  <c r="BA24"/>
  <c r="T24" s="1"/>
  <c r="V24" s="1"/>
  <c r="W24" s="1"/>
  <c r="BP24" s="1"/>
  <c r="AZ8"/>
  <c r="AW8"/>
  <c r="AX17"/>
  <c r="T17" s="1"/>
  <c r="V17" s="1"/>
  <c r="W17" s="1"/>
  <c r="BP17" s="1"/>
  <c r="M25"/>
  <c r="CU11" i="43"/>
  <c r="DM44"/>
  <c r="DN44" s="1"/>
  <c r="DM96"/>
  <c r="DN96" s="1"/>
  <c r="H54" i="24"/>
  <c r="BC27"/>
  <c r="AC27" s="1"/>
  <c r="BA43"/>
  <c r="AT22"/>
  <c r="T22" s="1"/>
  <c r="V22" s="1"/>
  <c r="W22" s="1"/>
  <c r="BP22" s="1"/>
  <c r="BA86"/>
  <c r="T86" s="1"/>
  <c r="V86" s="1"/>
  <c r="W86" s="1"/>
  <c r="BP86" s="1"/>
  <c r="BB82"/>
  <c r="BI82" s="1"/>
  <c r="BD134"/>
  <c r="BI134" s="1"/>
  <c r="AW117"/>
  <c r="T117" s="1"/>
  <c r="V117" s="1"/>
  <c r="W117" s="1"/>
  <c r="M15" i="44"/>
  <c r="E15"/>
  <c r="AH87" i="45"/>
  <c r="AH107"/>
  <c r="DM70" i="43"/>
  <c r="DN70" s="1"/>
  <c r="DI297"/>
  <c r="DJ297"/>
  <c r="DK297"/>
  <c r="DL297"/>
  <c r="DI293"/>
  <c r="BI144" i="24"/>
  <c r="AH48" i="45"/>
  <c r="AH132"/>
  <c r="DM92" i="43"/>
  <c r="DN92" s="1"/>
  <c r="DM100"/>
  <c r="DN100" s="1"/>
  <c r="AH104" i="45"/>
  <c r="AC13" i="43"/>
  <c r="AC33"/>
  <c r="DG38"/>
  <c r="DH38" s="1"/>
  <c r="G38" s="1"/>
  <c r="D15" i="44"/>
  <c r="B15"/>
  <c r="AH374" i="45"/>
  <c r="AH34"/>
  <c r="DM138" i="43"/>
  <c r="DN138" s="1"/>
  <c r="DM129"/>
  <c r="DN129" s="1"/>
  <c r="T138" i="24"/>
  <c r="V138" s="1"/>
  <c r="W138" s="1"/>
  <c r="DM139" i="43"/>
  <c r="DN139" s="1"/>
  <c r="DG26"/>
  <c r="DH26" s="1"/>
  <c r="G26" s="1"/>
  <c r="EI25"/>
  <c r="EI19"/>
  <c r="EI44"/>
  <c r="AC42"/>
  <c r="AC155"/>
  <c r="AC141"/>
  <c r="AC136"/>
  <c r="AC126"/>
  <c r="AC114"/>
  <c r="AC109"/>
  <c r="AC103"/>
  <c r="AC102"/>
  <c r="AC81"/>
  <c r="AC77"/>
  <c r="AC71"/>
  <c r="DG48"/>
  <c r="DH48" s="1"/>
  <c r="G48" s="1"/>
  <c r="AG90" i="45"/>
  <c r="AG43"/>
  <c r="AG30"/>
  <c r="O76" i="24"/>
  <c r="O118"/>
  <c r="O83"/>
  <c r="P83" s="1"/>
  <c r="DM125" i="43"/>
  <c r="DN125" s="1"/>
  <c r="BP138" i="24"/>
  <c r="T107"/>
  <c r="V107" s="1"/>
  <c r="W107" s="1"/>
  <c r="BP107" s="1"/>
  <c r="T110"/>
  <c r="V110" s="1"/>
  <c r="W110" s="1"/>
  <c r="BP110" s="1"/>
  <c r="T55"/>
  <c r="V55" s="1"/>
  <c r="W55" s="1"/>
  <c r="BP55" s="1"/>
  <c r="T92"/>
  <c r="V92" s="1"/>
  <c r="W92" s="1"/>
  <c r="T74"/>
  <c r="V74" s="1"/>
  <c r="W74" s="1"/>
  <c r="BP74" s="1"/>
  <c r="T14"/>
  <c r="V14" s="1"/>
  <c r="W14" s="1"/>
  <c r="BP14" s="1"/>
  <c r="T15"/>
  <c r="V15" s="1"/>
  <c r="W15" s="1"/>
  <c r="T122"/>
  <c r="V122" s="1"/>
  <c r="W122" s="1"/>
  <c r="BP122" s="1"/>
  <c r="O51"/>
  <c r="P51" s="1"/>
  <c r="T151"/>
  <c r="V151" s="1"/>
  <c r="W151" s="1"/>
  <c r="BP151" s="1"/>
  <c r="T91"/>
  <c r="V91" s="1"/>
  <c r="W91" s="1"/>
  <c r="BP91" s="1"/>
  <c r="T54"/>
  <c r="V54" s="1"/>
  <c r="W54" s="1"/>
  <c r="BP54" s="1"/>
  <c r="T104"/>
  <c r="V104" s="1"/>
  <c r="W104" s="1"/>
  <c r="BP104" s="1"/>
  <c r="T52"/>
  <c r="V52" s="1"/>
  <c r="W52" s="1"/>
  <c r="BP52" s="1"/>
  <c r="O113"/>
  <c r="T153"/>
  <c r="V153" s="1"/>
  <c r="W153" s="1"/>
  <c r="BP153" s="1"/>
  <c r="T124"/>
  <c r="V124" s="1"/>
  <c r="W124" s="1"/>
  <c r="T71"/>
  <c r="V71" s="1"/>
  <c r="W71" s="1"/>
  <c r="BP71" s="1"/>
  <c r="T83"/>
  <c r="V83" s="1"/>
  <c r="W83" s="1"/>
  <c r="BI127"/>
  <c r="O109"/>
  <c r="DM32" i="43"/>
  <c r="DN32" s="1"/>
  <c r="DM19"/>
  <c r="DN19" s="1"/>
  <c r="DM25"/>
  <c r="DN25" s="1"/>
  <c r="DM50"/>
  <c r="DN50" s="1"/>
  <c r="AG34" i="45"/>
  <c r="AG23"/>
  <c r="T77" i="24"/>
  <c r="V77" s="1"/>
  <c r="W77" s="1"/>
  <c r="BP77" s="1"/>
  <c r="T150"/>
  <c r="V150" s="1"/>
  <c r="W150" s="1"/>
  <c r="T81"/>
  <c r="V81" s="1"/>
  <c r="W81" s="1"/>
  <c r="BP81" s="1"/>
  <c r="T85"/>
  <c r="V85" s="1"/>
  <c r="W85" s="1"/>
  <c r="P57"/>
  <c r="S183" i="45"/>
  <c r="T141" i="24"/>
  <c r="V141" s="1"/>
  <c r="W141" s="1"/>
  <c r="BP141" s="1"/>
  <c r="BI34"/>
  <c r="T120"/>
  <c r="V120" s="1"/>
  <c r="W120" s="1"/>
  <c r="BP120" s="1"/>
  <c r="T126"/>
  <c r="V126" s="1"/>
  <c r="W126" s="1"/>
  <c r="BP126" s="1"/>
  <c r="T113"/>
  <c r="V113" s="1"/>
  <c r="W113" s="1"/>
  <c r="BP113" s="1"/>
  <c r="T70"/>
  <c r="V70" s="1"/>
  <c r="W70" s="1"/>
  <c r="BP70" s="1"/>
  <c r="BI66"/>
  <c r="T35"/>
  <c r="V35" s="1"/>
  <c r="W35" s="1"/>
  <c r="BP35" s="1"/>
  <c r="BI8"/>
  <c r="T143"/>
  <c r="V143" s="1"/>
  <c r="W143" s="1"/>
  <c r="BP143" s="1"/>
  <c r="T48"/>
  <c r="V48" s="1"/>
  <c r="W48" s="1"/>
  <c r="BP48" s="1"/>
  <c r="BI122"/>
  <c r="O95"/>
  <c r="DM31" i="43"/>
  <c r="DN31" s="1"/>
  <c r="DM39"/>
  <c r="DN39" s="1"/>
  <c r="DM22"/>
  <c r="DN22" s="1"/>
  <c r="S6" i="45"/>
  <c r="AC18" i="43"/>
  <c r="DG35"/>
  <c r="DH35" s="1"/>
  <c r="G35" s="1"/>
  <c r="AC45"/>
  <c r="AC64"/>
  <c r="DG60"/>
  <c r="DH60" s="1"/>
  <c r="G60" s="1"/>
  <c r="AC57"/>
  <c r="T29" i="24"/>
  <c r="V29" s="1"/>
  <c r="W29" s="1"/>
  <c r="BP29" s="1"/>
  <c r="T43"/>
  <c r="V43" s="1"/>
  <c r="W43" s="1"/>
  <c r="T61"/>
  <c r="V61" s="1"/>
  <c r="W61" s="1"/>
  <c r="BP61" s="1"/>
  <c r="T102"/>
  <c r="V102" s="1"/>
  <c r="W102" s="1"/>
  <c r="BP102" s="1"/>
  <c r="T129"/>
  <c r="V129" s="1"/>
  <c r="W129" s="1"/>
  <c r="BP129" s="1"/>
  <c r="T72"/>
  <c r="V72" s="1"/>
  <c r="W72" s="1"/>
  <c r="BI146"/>
  <c r="O69"/>
  <c r="P69" s="1"/>
  <c r="S243" i="45"/>
  <c r="O134" i="24"/>
  <c r="P134" s="1"/>
  <c r="DM80" i="43"/>
  <c r="DN80" s="1"/>
  <c r="DM73"/>
  <c r="DN73" s="1"/>
  <c r="DM65"/>
  <c r="DN65" s="1"/>
  <c r="DM146"/>
  <c r="DN146" s="1"/>
  <c r="DM144"/>
  <c r="DN144" s="1"/>
  <c r="DM140"/>
  <c r="DN140" s="1"/>
  <c r="DM136"/>
  <c r="DN136" s="1"/>
  <c r="DM132"/>
  <c r="DN132" s="1"/>
  <c r="DM111"/>
  <c r="DN111" s="1"/>
  <c r="DM107"/>
  <c r="DN107" s="1"/>
  <c r="DM95"/>
  <c r="DN95" s="1"/>
  <c r="DM87"/>
  <c r="DN87" s="1"/>
  <c r="DM72"/>
  <c r="DN72" s="1"/>
  <c r="DM68"/>
  <c r="DN68" s="1"/>
  <c r="DM55"/>
  <c r="DN55" s="1"/>
  <c r="DM52"/>
  <c r="DN52" s="1"/>
  <c r="DM155"/>
  <c r="DN155" s="1"/>
  <c r="DM81"/>
  <c r="DN81" s="1"/>
  <c r="DM61"/>
  <c r="DN61" s="1"/>
  <c r="DM53"/>
  <c r="DN53" s="1"/>
  <c r="S373" i="45"/>
  <c r="S372"/>
  <c r="AD12" i="43"/>
  <c r="AE12" s="1"/>
  <c r="T9" i="45" s="1"/>
  <c r="Z12" i="43"/>
  <c r="AA12" s="1"/>
  <c r="C9" i="45" s="1"/>
  <c r="GG11" i="43"/>
  <c r="GF11" s="1"/>
  <c r="GB11" s="1"/>
  <c r="E17" i="44"/>
  <c r="M17"/>
  <c r="E12"/>
  <c r="DZ67" i="43"/>
  <c r="AC67" i="24"/>
  <c r="DZ122" i="43"/>
  <c r="AC122" i="24"/>
  <c r="T127"/>
  <c r="V127" s="1"/>
  <c r="W127" s="1"/>
  <c r="BP127" s="1"/>
  <c r="DZ141" i="43"/>
  <c r="AC141" i="24"/>
  <c r="T145"/>
  <c r="V145" s="1"/>
  <c r="W145" s="1"/>
  <c r="BP145" s="1"/>
  <c r="T49"/>
  <c r="V49" s="1"/>
  <c r="W49" s="1"/>
  <c r="BP49" s="1"/>
  <c r="T133"/>
  <c r="V133" s="1"/>
  <c r="W133" s="1"/>
  <c r="BP133" s="1"/>
  <c r="T64"/>
  <c r="V64" s="1"/>
  <c r="W64" s="1"/>
  <c r="T27"/>
  <c r="V27" s="1"/>
  <c r="W27" s="1"/>
  <c r="T59"/>
  <c r="V59" s="1"/>
  <c r="W59" s="1"/>
  <c r="BP59" s="1"/>
  <c r="FU118" i="43"/>
  <c r="FU119" s="1"/>
  <c r="FU120" s="1"/>
  <c r="FU121" s="1"/>
  <c r="FU122" s="1"/>
  <c r="FU123" s="1"/>
  <c r="FU124" s="1"/>
  <c r="FU125" s="1"/>
  <c r="FU126" s="1"/>
  <c r="FU127" s="1"/>
  <c r="FU128" s="1"/>
  <c r="FU129" s="1"/>
  <c r="FU130" s="1"/>
  <c r="FU131" s="1"/>
  <c r="FU132" s="1"/>
  <c r="FU133" s="1"/>
  <c r="FU134" s="1"/>
  <c r="FU135" s="1"/>
  <c r="FU136" s="1"/>
  <c r="FU137" s="1"/>
  <c r="FU138" s="1"/>
  <c r="FU139" s="1"/>
  <c r="FU140" s="1"/>
  <c r="FU141" s="1"/>
  <c r="FU142" s="1"/>
  <c r="FU143" s="1"/>
  <c r="FU144" s="1"/>
  <c r="FU145" s="1"/>
  <c r="FU146" s="1"/>
  <c r="FU147" s="1"/>
  <c r="FU148" s="1"/>
  <c r="FU149" s="1"/>
  <c r="FU150" s="1"/>
  <c r="FU151" s="1"/>
  <c r="FU152" s="1"/>
  <c r="FU153" s="1"/>
  <c r="FU154" s="1"/>
  <c r="FU155" s="1"/>
  <c r="FU156" s="1"/>
  <c r="FU157" s="1"/>
  <c r="FU158" s="1"/>
  <c r="FU159" s="1"/>
  <c r="FU160" s="1"/>
  <c r="FU161" s="1"/>
  <c r="FU162" s="1"/>
  <c r="FU163" s="1"/>
  <c r="FU164" s="1"/>
  <c r="FU165" s="1"/>
  <c r="FU166" s="1"/>
  <c r="FU167" s="1"/>
  <c r="FU168" s="1"/>
  <c r="FU169" s="1"/>
  <c r="FU170" s="1"/>
  <c r="FU171" s="1"/>
  <c r="FU172" s="1"/>
  <c r="FU173" s="1"/>
  <c r="FU174" s="1"/>
  <c r="FU175" s="1"/>
  <c r="FU176" s="1"/>
  <c r="FU177" s="1"/>
  <c r="FU178" s="1"/>
  <c r="FU179" s="1"/>
  <c r="FU180" s="1"/>
  <c r="FU181" s="1"/>
  <c r="FU182" s="1"/>
  <c r="FU183" s="1"/>
  <c r="FU184" s="1"/>
  <c r="FU185" s="1"/>
  <c r="FU186" s="1"/>
  <c r="FU187" s="1"/>
  <c r="FU188" s="1"/>
  <c r="FU189" s="1"/>
  <c r="FU190" s="1"/>
  <c r="FU191" s="1"/>
  <c r="FU192" s="1"/>
  <c r="FU193" s="1"/>
  <c r="FU194" s="1"/>
  <c r="FU195" s="1"/>
  <c r="FU196" s="1"/>
  <c r="FU197" s="1"/>
  <c r="FU198" s="1"/>
  <c r="FU199" s="1"/>
  <c r="FU200" s="1"/>
  <c r="FU201" s="1"/>
  <c r="FU202" s="1"/>
  <c r="FU203" s="1"/>
  <c r="FU204" s="1"/>
  <c r="FU205" s="1"/>
  <c r="FU206" s="1"/>
  <c r="FU207" s="1"/>
  <c r="FU208" s="1"/>
  <c r="FU209" s="1"/>
  <c r="FU210" s="1"/>
  <c r="FU211" s="1"/>
  <c r="FU212" s="1"/>
  <c r="FU213" s="1"/>
  <c r="FU214" s="1"/>
  <c r="FU215" s="1"/>
  <c r="FU216" s="1"/>
  <c r="FU217" s="1"/>
  <c r="FU218" s="1"/>
  <c r="FU219" s="1"/>
  <c r="FU220" s="1"/>
  <c r="FU221" s="1"/>
  <c r="FU222" s="1"/>
  <c r="FU223" s="1"/>
  <c r="FU224" s="1"/>
  <c r="FU225" s="1"/>
  <c r="FU226" s="1"/>
  <c r="FU227" s="1"/>
  <c r="FU228" s="1"/>
  <c r="FU229" s="1"/>
  <c r="FU230" s="1"/>
  <c r="FU231" s="1"/>
  <c r="FU232" s="1"/>
  <c r="FU233" s="1"/>
  <c r="FU234" s="1"/>
  <c r="FU235" s="1"/>
  <c r="FU236" s="1"/>
  <c r="FU237" s="1"/>
  <c r="FU238" s="1"/>
  <c r="FU239" s="1"/>
  <c r="FU240" s="1"/>
  <c r="FU241" s="1"/>
  <c r="FU242" s="1"/>
  <c r="FU243" s="1"/>
  <c r="FU244" s="1"/>
  <c r="FU245" s="1"/>
  <c r="FU246" s="1"/>
  <c r="FU247" s="1"/>
  <c r="FU248" s="1"/>
  <c r="FU249" s="1"/>
  <c r="FU250" s="1"/>
  <c r="FU251" s="1"/>
  <c r="FU252" s="1"/>
  <c r="FU253" s="1"/>
  <c r="FU254" s="1"/>
  <c r="FU255" s="1"/>
  <c r="FU256" s="1"/>
  <c r="FU257" s="1"/>
  <c r="FU258" s="1"/>
  <c r="FU259" s="1"/>
  <c r="FU260" s="1"/>
  <c r="FU261" s="1"/>
  <c r="FU262" s="1"/>
  <c r="FU263" s="1"/>
  <c r="FU264" s="1"/>
  <c r="FU265" s="1"/>
  <c r="FU266" s="1"/>
  <c r="FU267" s="1"/>
  <c r="FU268" s="1"/>
  <c r="FU269" s="1"/>
  <c r="FU270" s="1"/>
  <c r="FU271" s="1"/>
  <c r="FU272" s="1"/>
  <c r="FU273" s="1"/>
  <c r="FU274" s="1"/>
  <c r="FU275" s="1"/>
  <c r="FU276" s="1"/>
  <c r="FU277" s="1"/>
  <c r="FU278" s="1"/>
  <c r="FU279" s="1"/>
  <c r="FU280" s="1"/>
  <c r="FU281" s="1"/>
  <c r="FU282" s="1"/>
  <c r="FU283" s="1"/>
  <c r="FU284" s="1"/>
  <c r="FU285" s="1"/>
  <c r="FU286" s="1"/>
  <c r="FU287" s="1"/>
  <c r="FU288" s="1"/>
  <c r="FU289" s="1"/>
  <c r="FU290" s="1"/>
  <c r="FU291" s="1"/>
  <c r="FU292" s="1"/>
  <c r="FU293" s="1"/>
  <c r="FU294" s="1"/>
  <c r="FU295" s="1"/>
  <c r="FU296" s="1"/>
  <c r="FU297" s="1"/>
  <c r="FU298" s="1"/>
  <c r="FU299" s="1"/>
  <c r="FU300" s="1"/>
  <c r="FU301" s="1"/>
  <c r="FU302" s="1"/>
  <c r="FU303" s="1"/>
  <c r="FU304" s="1"/>
  <c r="FU305" s="1"/>
  <c r="FU306" s="1"/>
  <c r="FU307" s="1"/>
  <c r="FU308" s="1"/>
  <c r="FU309" s="1"/>
  <c r="FU310" s="1"/>
  <c r="FU311" s="1"/>
  <c r="FU312" s="1"/>
  <c r="FU313" s="1"/>
  <c r="FU314" s="1"/>
  <c r="FU315" s="1"/>
  <c r="FU316" s="1"/>
  <c r="FU317" s="1"/>
  <c r="FU318" s="1"/>
  <c r="FU319" s="1"/>
  <c r="FU320" s="1"/>
  <c r="FU321" s="1"/>
  <c r="FU322" s="1"/>
  <c r="FU323" s="1"/>
  <c r="FU324" s="1"/>
  <c r="FU325" s="1"/>
  <c r="FU326" s="1"/>
  <c r="FU327" s="1"/>
  <c r="FU328" s="1"/>
  <c r="FU329" s="1"/>
  <c r="FU330" s="1"/>
  <c r="FU331" s="1"/>
  <c r="FU332" s="1"/>
  <c r="FU333" s="1"/>
  <c r="FU334" s="1"/>
  <c r="FU335" s="1"/>
  <c r="FU336" s="1"/>
  <c r="FU337" s="1"/>
  <c r="FU338" s="1"/>
  <c r="FU339" s="1"/>
  <c r="FU340" s="1"/>
  <c r="FU341" s="1"/>
  <c r="FU342" s="1"/>
  <c r="FU343" s="1"/>
  <c r="FU344" s="1"/>
  <c r="FU345" s="1"/>
  <c r="FU346" s="1"/>
  <c r="FU347" s="1"/>
  <c r="FU348" s="1"/>
  <c r="FU349" s="1"/>
  <c r="FU350" s="1"/>
  <c r="FU351" s="1"/>
  <c r="FU352" s="1"/>
  <c r="FU353" s="1"/>
  <c r="FU354" s="1"/>
  <c r="FU355" s="1"/>
  <c r="FU356" s="1"/>
  <c r="FU357" s="1"/>
  <c r="FU358" s="1"/>
  <c r="FU359" s="1"/>
  <c r="FU360" s="1"/>
  <c r="FU361" s="1"/>
  <c r="FU362" s="1"/>
  <c r="FU363" s="1"/>
  <c r="FU364" s="1"/>
  <c r="FU365" s="1"/>
  <c r="FU366" s="1"/>
  <c r="FU367" s="1"/>
  <c r="FU368" s="1"/>
  <c r="FU369" s="1"/>
  <c r="FU370" s="1"/>
  <c r="FU371" s="1"/>
  <c r="FU372" s="1"/>
  <c r="FU373" s="1"/>
  <c r="FU374" s="1"/>
  <c r="FU375" s="1"/>
  <c r="FU376" s="1"/>
  <c r="FU377" s="1"/>
  <c r="FU378" s="1"/>
  <c r="FU379" s="1"/>
  <c r="FU380" s="1"/>
  <c r="FU381" s="1"/>
  <c r="FU382" s="1"/>
  <c r="FU383" s="1"/>
  <c r="FU384" s="1"/>
  <c r="FU385" s="1"/>
  <c r="FX118"/>
  <c r="FX119" s="1"/>
  <c r="FX120" s="1"/>
  <c r="FX121" s="1"/>
  <c r="FX122" s="1"/>
  <c r="FX123" s="1"/>
  <c r="FX124" s="1"/>
  <c r="FX125" s="1"/>
  <c r="FX126" s="1"/>
  <c r="FX127" s="1"/>
  <c r="FX128" s="1"/>
  <c r="FX129" s="1"/>
  <c r="FX130" s="1"/>
  <c r="FX131" s="1"/>
  <c r="FX132" s="1"/>
  <c r="FX133" s="1"/>
  <c r="FX134" s="1"/>
  <c r="FX135" s="1"/>
  <c r="FX136" s="1"/>
  <c r="FX137" s="1"/>
  <c r="FX138" s="1"/>
  <c r="FX139" s="1"/>
  <c r="FX140" s="1"/>
  <c r="FX141" s="1"/>
  <c r="FX142" s="1"/>
  <c r="FX143" s="1"/>
  <c r="FX144" s="1"/>
  <c r="FX145" s="1"/>
  <c r="FX146" s="1"/>
  <c r="FX147" s="1"/>
  <c r="FX148" s="1"/>
  <c r="FX149" s="1"/>
  <c r="FX150" s="1"/>
  <c r="FX151" s="1"/>
  <c r="FX152" s="1"/>
  <c r="FX153" s="1"/>
  <c r="FX154" s="1"/>
  <c r="FX155" s="1"/>
  <c r="FX156" s="1"/>
  <c r="FX157" s="1"/>
  <c r="FX158" s="1"/>
  <c r="FX159" s="1"/>
  <c r="FX160" s="1"/>
  <c r="FX161" s="1"/>
  <c r="FX162" s="1"/>
  <c r="FX163" s="1"/>
  <c r="FX164" s="1"/>
  <c r="FX165" s="1"/>
  <c r="FX166" s="1"/>
  <c r="FX167" s="1"/>
  <c r="FX168" s="1"/>
  <c r="FX169" s="1"/>
  <c r="FX170" s="1"/>
  <c r="FX171" s="1"/>
  <c r="FX172" s="1"/>
  <c r="FX173" s="1"/>
  <c r="FX174" s="1"/>
  <c r="FX175" s="1"/>
  <c r="FX176" s="1"/>
  <c r="FX177" s="1"/>
  <c r="FX178" s="1"/>
  <c r="FX179" s="1"/>
  <c r="FX180" s="1"/>
  <c r="FX181" s="1"/>
  <c r="FX182" s="1"/>
  <c r="FX183" s="1"/>
  <c r="FX184" s="1"/>
  <c r="FX185" s="1"/>
  <c r="FX186" s="1"/>
  <c r="FX187" s="1"/>
  <c r="FX188" s="1"/>
  <c r="FX189" s="1"/>
  <c r="FX190" s="1"/>
  <c r="FX191" s="1"/>
  <c r="FX192" s="1"/>
  <c r="FX193" s="1"/>
  <c r="FX194" s="1"/>
  <c r="FX195" s="1"/>
  <c r="FX196" s="1"/>
  <c r="FX197" s="1"/>
  <c r="FX198" s="1"/>
  <c r="FX199" s="1"/>
  <c r="FX200" s="1"/>
  <c r="FX201" s="1"/>
  <c r="FX202" s="1"/>
  <c r="FX203" s="1"/>
  <c r="FX204" s="1"/>
  <c r="FX205" s="1"/>
  <c r="FX206" s="1"/>
  <c r="FX207" s="1"/>
  <c r="FX208" s="1"/>
  <c r="FX209" s="1"/>
  <c r="FX210" s="1"/>
  <c r="FX211" s="1"/>
  <c r="FX212" s="1"/>
  <c r="FX213" s="1"/>
  <c r="FX214" s="1"/>
  <c r="FX215" s="1"/>
  <c r="FX216" s="1"/>
  <c r="FX217" s="1"/>
  <c r="FX218" s="1"/>
  <c r="FX219" s="1"/>
  <c r="FX220" s="1"/>
  <c r="FX221" s="1"/>
  <c r="FX222" s="1"/>
  <c r="FX223" s="1"/>
  <c r="FX224" s="1"/>
  <c r="FX225" s="1"/>
  <c r="FX226" s="1"/>
  <c r="FX227" s="1"/>
  <c r="FX228" s="1"/>
  <c r="FX229" s="1"/>
  <c r="FX230" s="1"/>
  <c r="FX231" s="1"/>
  <c r="FX232" s="1"/>
  <c r="FX233" s="1"/>
  <c r="FX234" s="1"/>
  <c r="FX235" s="1"/>
  <c r="FX236" s="1"/>
  <c r="FX237" s="1"/>
  <c r="FX238" s="1"/>
  <c r="FX239" s="1"/>
  <c r="FX240" s="1"/>
  <c r="FX241" s="1"/>
  <c r="FX242" s="1"/>
  <c r="FX243" s="1"/>
  <c r="FX244" s="1"/>
  <c r="FX245" s="1"/>
  <c r="FX246" s="1"/>
  <c r="FX247" s="1"/>
  <c r="FX248" s="1"/>
  <c r="FX249" s="1"/>
  <c r="FX250" s="1"/>
  <c r="FX251" s="1"/>
  <c r="FX252" s="1"/>
  <c r="FX253" s="1"/>
  <c r="FX254" s="1"/>
  <c r="FX255" s="1"/>
  <c r="FX256" s="1"/>
  <c r="FX257" s="1"/>
  <c r="FX258" s="1"/>
  <c r="FX259" s="1"/>
  <c r="FX260" s="1"/>
  <c r="FX261" s="1"/>
  <c r="FX262" s="1"/>
  <c r="FX263" s="1"/>
  <c r="FX264" s="1"/>
  <c r="FX265" s="1"/>
  <c r="FX266" s="1"/>
  <c r="FX267" s="1"/>
  <c r="FX268" s="1"/>
  <c r="FX269" s="1"/>
  <c r="FX270" s="1"/>
  <c r="FX271" s="1"/>
  <c r="FX272" s="1"/>
  <c r="FX273" s="1"/>
  <c r="FX274" s="1"/>
  <c r="FX275" s="1"/>
  <c r="FX276" s="1"/>
  <c r="FX277" s="1"/>
  <c r="FX278" s="1"/>
  <c r="FX279" s="1"/>
  <c r="FX280" s="1"/>
  <c r="FX281" s="1"/>
  <c r="FX282" s="1"/>
  <c r="FX283" s="1"/>
  <c r="FX284" s="1"/>
  <c r="FX285" s="1"/>
  <c r="FX286" s="1"/>
  <c r="FX287" s="1"/>
  <c r="FX288" s="1"/>
  <c r="FX289" s="1"/>
  <c r="FX290" s="1"/>
  <c r="FX291" s="1"/>
  <c r="FX292" s="1"/>
  <c r="FX293" s="1"/>
  <c r="FX294" s="1"/>
  <c r="FX295" s="1"/>
  <c r="FX296" s="1"/>
  <c r="FX297" s="1"/>
  <c r="FX298" s="1"/>
  <c r="FX299" s="1"/>
  <c r="FX300" s="1"/>
  <c r="FX301" s="1"/>
  <c r="FX302" s="1"/>
  <c r="FX303" s="1"/>
  <c r="FX304" s="1"/>
  <c r="FX305" s="1"/>
  <c r="FX306" s="1"/>
  <c r="FX307" s="1"/>
  <c r="FX308" s="1"/>
  <c r="FX309" s="1"/>
  <c r="FX310" s="1"/>
  <c r="FX311" s="1"/>
  <c r="FX312" s="1"/>
  <c r="FX313" s="1"/>
  <c r="FX314" s="1"/>
  <c r="FX315" s="1"/>
  <c r="FX316" s="1"/>
  <c r="FX317" s="1"/>
  <c r="FX318" s="1"/>
  <c r="FX319" s="1"/>
  <c r="FX320" s="1"/>
  <c r="FX321" s="1"/>
  <c r="FX322" s="1"/>
  <c r="FX323" s="1"/>
  <c r="FX324" s="1"/>
  <c r="FX325" s="1"/>
  <c r="FX326" s="1"/>
  <c r="FX327" s="1"/>
  <c r="FX328" s="1"/>
  <c r="FX329" s="1"/>
  <c r="FX330" s="1"/>
  <c r="FX331" s="1"/>
  <c r="FX332" s="1"/>
  <c r="FX333" s="1"/>
  <c r="FX334" s="1"/>
  <c r="FX335" s="1"/>
  <c r="FX336" s="1"/>
  <c r="FX337" s="1"/>
  <c r="FX338" s="1"/>
  <c r="FX339" s="1"/>
  <c r="FX340" s="1"/>
  <c r="FX341" s="1"/>
  <c r="FX342" s="1"/>
  <c r="FX343" s="1"/>
  <c r="FX344" s="1"/>
  <c r="FX345" s="1"/>
  <c r="FX346" s="1"/>
  <c r="FX347" s="1"/>
  <c r="FX348" s="1"/>
  <c r="FX349" s="1"/>
  <c r="FX350" s="1"/>
  <c r="FX351" s="1"/>
  <c r="FX352" s="1"/>
  <c r="FX353" s="1"/>
  <c r="FX354" s="1"/>
  <c r="FX355" s="1"/>
  <c r="FX356" s="1"/>
  <c r="FX357" s="1"/>
  <c r="FX358" s="1"/>
  <c r="FX359" s="1"/>
  <c r="FX360" s="1"/>
  <c r="FX361" s="1"/>
  <c r="FX362" s="1"/>
  <c r="FX363" s="1"/>
  <c r="FX364" s="1"/>
  <c r="FX365" s="1"/>
  <c r="FX366" s="1"/>
  <c r="FX367" s="1"/>
  <c r="FX368" s="1"/>
  <c r="FX369" s="1"/>
  <c r="FX370" s="1"/>
  <c r="FX371" s="1"/>
  <c r="FX372" s="1"/>
  <c r="FX373" s="1"/>
  <c r="FX374" s="1"/>
  <c r="FX375" s="1"/>
  <c r="FX376" s="1"/>
  <c r="FX377" s="1"/>
  <c r="FX378" s="1"/>
  <c r="FX379" s="1"/>
  <c r="FX380" s="1"/>
  <c r="FX381" s="1"/>
  <c r="FX382" s="1"/>
  <c r="FX383" s="1"/>
  <c r="FX384" s="1"/>
  <c r="FX385" s="1"/>
  <c r="BZ11"/>
  <c r="L17" i="44"/>
  <c r="E10"/>
  <c r="AC20" i="24"/>
  <c r="T101"/>
  <c r="V101" s="1"/>
  <c r="W101" s="1"/>
  <c r="T98"/>
  <c r="V98" s="1"/>
  <c r="W98" s="1"/>
  <c r="D10" i="44"/>
  <c r="T63" i="24"/>
  <c r="V63" s="1"/>
  <c r="W63" s="1"/>
  <c r="BP63" s="1"/>
  <c r="H160" i="43"/>
  <c r="AF157" i="45"/>
  <c r="Y20" i="24"/>
  <c r="Z20" s="1"/>
  <c r="E11" i="44"/>
  <c r="M11"/>
  <c r="T139" i="24"/>
  <c r="V139" s="1"/>
  <c r="W139" s="1"/>
  <c r="BP139" s="1"/>
  <c r="T137"/>
  <c r="V137" s="1"/>
  <c r="W137" s="1"/>
  <c r="T69"/>
  <c r="V69" s="1"/>
  <c r="W69" s="1"/>
  <c r="BP69" s="1"/>
  <c r="T89"/>
  <c r="V89" s="1"/>
  <c r="W89" s="1"/>
  <c r="BP89" s="1"/>
  <c r="T8"/>
  <c r="V8" s="1"/>
  <c r="W8" s="1"/>
  <c r="BP8" s="1"/>
  <c r="T31"/>
  <c r="V31" s="1"/>
  <c r="W31" s="1"/>
  <c r="BP31" s="1"/>
  <c r="T84"/>
  <c r="V84" s="1"/>
  <c r="W84" s="1"/>
  <c r="BP84" s="1"/>
  <c r="L12" i="44"/>
  <c r="D12"/>
  <c r="B12"/>
  <c r="L18"/>
  <c r="S178" i="45"/>
  <c r="S179"/>
  <c r="T60" i="24"/>
  <c r="V60" s="1"/>
  <c r="W60" s="1"/>
  <c r="BP60" s="1"/>
  <c r="T10"/>
  <c r="V10" s="1"/>
  <c r="W10" s="1"/>
  <c r="O131"/>
  <c r="P131" s="1"/>
  <c r="O153"/>
  <c r="P153" s="1"/>
  <c r="O129"/>
  <c r="P129" s="1"/>
  <c r="O78"/>
  <c r="O104"/>
  <c r="O137"/>
  <c r="O27"/>
  <c r="P27" s="1"/>
  <c r="T11"/>
  <c r="V11" s="1"/>
  <c r="W11" s="1"/>
  <c r="BI135"/>
  <c r="DZ88" i="43"/>
  <c r="T156" i="24"/>
  <c r="V156" s="1"/>
  <c r="W156" s="1"/>
  <c r="BP156" s="1"/>
  <c r="AC130"/>
  <c r="AC84"/>
  <c r="BI139"/>
  <c r="DZ23" i="43"/>
  <c r="DZ156"/>
  <c r="BI41" i="24"/>
  <c r="BI24"/>
  <c r="B89" i="45"/>
  <c r="DG9" i="43"/>
  <c r="DH9" s="1"/>
  <c r="G9" s="1"/>
  <c r="G31" i="24"/>
  <c r="G43"/>
  <c r="G26"/>
  <c r="G39"/>
  <c r="AH230" i="45"/>
  <c r="AH116"/>
  <c r="AH373"/>
  <c r="AH29"/>
  <c r="G25" i="24"/>
  <c r="O25" s="1"/>
  <c r="N59" i="43"/>
  <c r="G120" i="24"/>
  <c r="G22"/>
  <c r="G40"/>
  <c r="O40" s="1"/>
  <c r="P40" s="1"/>
  <c r="G19"/>
  <c r="O19" s="1"/>
  <c r="CB41" i="43"/>
  <c r="BG43"/>
  <c r="CB27"/>
  <c r="BG19"/>
  <c r="GU10"/>
  <c r="GT10" s="1"/>
  <c r="GP10" s="1"/>
  <c r="FZ10" s="1"/>
  <c r="GC10" s="1"/>
  <c r="FE156"/>
  <c r="AC156"/>
  <c r="P139"/>
  <c r="B262" i="45"/>
  <c r="GU12" i="43"/>
  <c r="GT12" s="1"/>
  <c r="GP12" s="1"/>
  <c r="DG146"/>
  <c r="DH146" s="1"/>
  <c r="G146" s="1"/>
  <c r="P107"/>
  <c r="P114"/>
  <c r="N250" i="24"/>
  <c r="N252"/>
  <c r="N254"/>
  <c r="N256"/>
  <c r="N258"/>
  <c r="N260"/>
  <c r="N262"/>
  <c r="N264"/>
  <c r="N266"/>
  <c r="N268"/>
  <c r="N270"/>
  <c r="N272"/>
  <c r="N274"/>
  <c r="N276"/>
  <c r="N278"/>
  <c r="N280"/>
  <c r="N282"/>
  <c r="N284"/>
  <c r="N286"/>
  <c r="N288"/>
  <c r="N290"/>
  <c r="N292"/>
  <c r="N294"/>
  <c r="N296"/>
  <c r="N298"/>
  <c r="N300"/>
  <c r="N302"/>
  <c r="N304"/>
  <c r="N306"/>
  <c r="N308"/>
  <c r="N310"/>
  <c r="N312"/>
  <c r="N314"/>
  <c r="N316"/>
  <c r="N318"/>
  <c r="N320"/>
  <c r="N322"/>
  <c r="N324"/>
  <c r="N326"/>
  <c r="N328"/>
  <c r="N330"/>
  <c r="N332"/>
  <c r="N334"/>
  <c r="N336"/>
  <c r="N338"/>
  <c r="N340"/>
  <c r="N342"/>
  <c r="N344"/>
  <c r="N346"/>
  <c r="N348"/>
  <c r="N350"/>
  <c r="N352"/>
  <c r="N354"/>
  <c r="N356"/>
  <c r="N358"/>
  <c r="N360"/>
  <c r="N362"/>
  <c r="N364"/>
  <c r="N366"/>
  <c r="N368"/>
  <c r="N370"/>
  <c r="N372"/>
  <c r="N374"/>
  <c r="N376"/>
  <c r="N378"/>
  <c r="N380"/>
  <c r="N382"/>
  <c r="N384"/>
  <c r="N251"/>
  <c r="N253"/>
  <c r="N255"/>
  <c r="N257"/>
  <c r="N259"/>
  <c r="N261"/>
  <c r="N263"/>
  <c r="N265"/>
  <c r="N267"/>
  <c r="N269"/>
  <c r="N271"/>
  <c r="N273"/>
  <c r="N275"/>
  <c r="N277"/>
  <c r="N279"/>
  <c r="N281"/>
  <c r="N283"/>
  <c r="N285"/>
  <c r="N287"/>
  <c r="N289"/>
  <c r="N293"/>
  <c r="N295"/>
  <c r="N297"/>
  <c r="N299"/>
  <c r="N301"/>
  <c r="N303"/>
  <c r="N305"/>
  <c r="N307"/>
  <c r="N309"/>
  <c r="N311"/>
  <c r="N313"/>
  <c r="N315"/>
  <c r="N317"/>
  <c r="N319"/>
  <c r="N321"/>
  <c r="N323"/>
  <c r="N325"/>
  <c r="N327"/>
  <c r="N329"/>
  <c r="N331"/>
  <c r="N333"/>
  <c r="N335"/>
  <c r="N337"/>
  <c r="N339"/>
  <c r="N341"/>
  <c r="N343"/>
  <c r="N345"/>
  <c r="N347"/>
  <c r="N349"/>
  <c r="N351"/>
  <c r="N353"/>
  <c r="N355"/>
  <c r="N357"/>
  <c r="N359"/>
  <c r="N361"/>
  <c r="N363"/>
  <c r="N365"/>
  <c r="N367"/>
  <c r="N369"/>
  <c r="N371"/>
  <c r="N373"/>
  <c r="N375"/>
  <c r="N377"/>
  <c r="N379"/>
  <c r="N381"/>
  <c r="N383"/>
  <c r="N385"/>
  <c r="N249"/>
  <c r="N161"/>
  <c r="N163"/>
  <c r="N166"/>
  <c r="N170"/>
  <c r="N174"/>
  <c r="N178"/>
  <c r="N182"/>
  <c r="N158"/>
  <c r="N160"/>
  <c r="N165"/>
  <c r="N168"/>
  <c r="N159"/>
  <c r="N169"/>
  <c r="N173"/>
  <c r="N177"/>
  <c r="N181"/>
  <c r="N185"/>
  <c r="N187"/>
  <c r="N191"/>
  <c r="N195"/>
  <c r="N199"/>
  <c r="N164"/>
  <c r="N189"/>
  <c r="N193"/>
  <c r="N197"/>
  <c r="N157"/>
  <c r="N167"/>
  <c r="N175"/>
  <c r="N176"/>
  <c r="N183"/>
  <c r="N184"/>
  <c r="N186"/>
  <c r="N190"/>
  <c r="N194"/>
  <c r="N171"/>
  <c r="N172"/>
  <c r="N179"/>
  <c r="N180"/>
  <c r="N188"/>
  <c r="N192"/>
  <c r="N196"/>
  <c r="N200"/>
  <c r="N203"/>
  <c r="N207"/>
  <c r="N211"/>
  <c r="N215"/>
  <c r="N219"/>
  <c r="N223"/>
  <c r="N227"/>
  <c r="N231"/>
  <c r="N235"/>
  <c r="N162"/>
  <c r="N198"/>
  <c r="N201"/>
  <c r="N204"/>
  <c r="N208"/>
  <c r="N212"/>
  <c r="N216"/>
  <c r="N220"/>
  <c r="N224"/>
  <c r="N206"/>
  <c r="N210"/>
  <c r="N214"/>
  <c r="N218"/>
  <c r="N230"/>
  <c r="N234"/>
  <c r="N205"/>
  <c r="N209"/>
  <c r="N213"/>
  <c r="N217"/>
  <c r="N239"/>
  <c r="N202"/>
  <c r="N221"/>
  <c r="N222"/>
  <c r="N225"/>
  <c r="N226"/>
  <c r="N228"/>
  <c r="N229"/>
  <c r="N232"/>
  <c r="N233"/>
  <c r="N236"/>
  <c r="N237"/>
  <c r="N238"/>
  <c r="N240"/>
  <c r="N242"/>
  <c r="N244"/>
  <c r="N246"/>
  <c r="N248"/>
  <c r="N241"/>
  <c r="N243"/>
  <c r="N245"/>
  <c r="N247"/>
  <c r="L157" i="43"/>
  <c r="L159"/>
  <c r="L165"/>
  <c r="L166"/>
  <c r="L167"/>
  <c r="L171"/>
  <c r="L172"/>
  <c r="L174"/>
  <c r="L184"/>
  <c r="L187"/>
  <c r="L188"/>
  <c r="L190"/>
  <c r="L191"/>
  <c r="L192"/>
  <c r="L199"/>
  <c r="L203"/>
  <c r="L207"/>
  <c r="L213"/>
  <c r="L214"/>
  <c r="L219"/>
  <c r="L222"/>
  <c r="L232"/>
  <c r="L236"/>
  <c r="L240"/>
  <c r="L246"/>
  <c r="L248"/>
  <c r="L264"/>
  <c r="L265"/>
  <c r="L266"/>
  <c r="L267"/>
  <c r="L268"/>
  <c r="L269"/>
  <c r="L278"/>
  <c r="L279"/>
  <c r="L284"/>
  <c r="L287"/>
  <c r="L293"/>
  <c r="L294"/>
  <c r="L295"/>
  <c r="L304"/>
  <c r="L161"/>
  <c r="L168"/>
  <c r="L175"/>
  <c r="L176"/>
  <c r="L177"/>
  <c r="L178"/>
  <c r="L180"/>
  <c r="L181"/>
  <c r="L186"/>
  <c r="L200"/>
  <c r="L204"/>
  <c r="L208"/>
  <c r="L212"/>
  <c r="L233"/>
  <c r="L237"/>
  <c r="L241"/>
  <c r="L244"/>
  <c r="L250"/>
  <c r="L252"/>
  <c r="L253"/>
  <c r="L256"/>
  <c r="L257"/>
  <c r="L258"/>
  <c r="L259"/>
  <c r="L260"/>
  <c r="L261"/>
  <c r="L262"/>
  <c r="L263"/>
  <c r="L272"/>
  <c r="L282"/>
  <c r="L283"/>
  <c r="L286"/>
  <c r="L296"/>
  <c r="L303"/>
  <c r="L162"/>
  <c r="L163"/>
  <c r="L164"/>
  <c r="L169"/>
  <c r="L173"/>
  <c r="L179"/>
  <c r="L189"/>
  <c r="L197"/>
  <c r="L201"/>
  <c r="L205"/>
  <c r="L209"/>
  <c r="L210"/>
  <c r="L215"/>
  <c r="L217"/>
  <c r="L218"/>
  <c r="L221"/>
  <c r="L224"/>
  <c r="L226"/>
  <c r="L228"/>
  <c r="L230"/>
  <c r="L234"/>
  <c r="L238"/>
  <c r="L242"/>
  <c r="L245"/>
  <c r="L247"/>
  <c r="L249"/>
  <c r="L251"/>
  <c r="L254"/>
  <c r="L255"/>
  <c r="L270"/>
  <c r="L276"/>
  <c r="L277"/>
  <c r="L280"/>
  <c r="L281"/>
  <c r="L158"/>
  <c r="L160"/>
  <c r="L170"/>
  <c r="L182"/>
  <c r="L183"/>
  <c r="L185"/>
  <c r="L193"/>
  <c r="L194"/>
  <c r="L195"/>
  <c r="L196"/>
  <c r="L198"/>
  <c r="L202"/>
  <c r="L206"/>
  <c r="L211"/>
  <c r="L216"/>
  <c r="L220"/>
  <c r="L223"/>
  <c r="L225"/>
  <c r="L227"/>
  <c r="L229"/>
  <c r="L231"/>
  <c r="L235"/>
  <c r="L239"/>
  <c r="L243"/>
  <c r="L271"/>
  <c r="L273"/>
  <c r="L274"/>
  <c r="L275"/>
  <c r="L285"/>
  <c r="L289"/>
  <c r="L290"/>
  <c r="L292"/>
  <c r="L300"/>
  <c r="L305"/>
  <c r="L307"/>
  <c r="L316"/>
  <c r="L317"/>
  <c r="L318"/>
  <c r="L324"/>
  <c r="L325"/>
  <c r="L326"/>
  <c r="L332"/>
  <c r="L337"/>
  <c r="L338"/>
  <c r="L339"/>
  <c r="L344"/>
  <c r="L349"/>
  <c r="L350"/>
  <c r="L358"/>
  <c r="L359"/>
  <c r="L365"/>
  <c r="L366"/>
  <c r="L367"/>
  <c r="L368"/>
  <c r="L369"/>
  <c r="L372"/>
  <c r="L377"/>
  <c r="L381"/>
  <c r="L291"/>
  <c r="L297"/>
  <c r="L302"/>
  <c r="L306"/>
  <c r="L310"/>
  <c r="L319"/>
  <c r="L327"/>
  <c r="L333"/>
  <c r="L341"/>
  <c r="L342"/>
  <c r="L343"/>
  <c r="L360"/>
  <c r="L361"/>
  <c r="L378"/>
  <c r="L380"/>
  <c r="L384"/>
  <c r="L385"/>
  <c r="L288"/>
  <c r="L298"/>
  <c r="L308"/>
  <c r="L309"/>
  <c r="L311"/>
  <c r="L312"/>
  <c r="L314"/>
  <c r="L320"/>
  <c r="L322"/>
  <c r="L328"/>
  <c r="L330"/>
  <c r="L334"/>
  <c r="L335"/>
  <c r="L345"/>
  <c r="L348"/>
  <c r="L351"/>
  <c r="L352"/>
  <c r="L353"/>
  <c r="L354"/>
  <c r="L355"/>
  <c r="L362"/>
  <c r="L363"/>
  <c r="L371"/>
  <c r="L373"/>
  <c r="L374"/>
  <c r="L379"/>
  <c r="L299"/>
  <c r="L301"/>
  <c r="L313"/>
  <c r="L315"/>
  <c r="L321"/>
  <c r="L323"/>
  <c r="L329"/>
  <c r="L331"/>
  <c r="L336"/>
  <c r="L340"/>
  <c r="L346"/>
  <c r="L347"/>
  <c r="L356"/>
  <c r="L357"/>
  <c r="L364"/>
  <c r="L370"/>
  <c r="L375"/>
  <c r="L376"/>
  <c r="L382"/>
  <c r="L383"/>
  <c r="L119"/>
  <c r="L118"/>
  <c r="M160"/>
  <c r="DH167"/>
  <c r="G167" s="1"/>
  <c r="DH241"/>
  <c r="G241" s="1"/>
  <c r="M241" s="1"/>
  <c r="DH168"/>
  <c r="G168" s="1"/>
  <c r="DH174"/>
  <c r="G174" s="1"/>
  <c r="M174" s="1"/>
  <c r="N174" s="1"/>
  <c r="DH194"/>
  <c r="G194" s="1"/>
  <c r="DH250"/>
  <c r="G250" s="1"/>
  <c r="DH295"/>
  <c r="G295" s="1"/>
  <c r="DH247"/>
  <c r="G247" s="1"/>
  <c r="DH341"/>
  <c r="G341" s="1"/>
  <c r="DH357"/>
  <c r="G357" s="1"/>
  <c r="DH342"/>
  <c r="G342" s="1"/>
  <c r="M342" s="1"/>
  <c r="DH319"/>
  <c r="G319" s="1"/>
  <c r="M319" s="1"/>
  <c r="DH257"/>
  <c r="G257" s="1"/>
  <c r="M257" s="1"/>
  <c r="DH350"/>
  <c r="G350" s="1"/>
  <c r="DH196"/>
  <c r="G196" s="1"/>
  <c r="DH184"/>
  <c r="G184" s="1"/>
  <c r="M184" s="1"/>
  <c r="N184" s="1"/>
  <c r="DH206"/>
  <c r="G206" s="1"/>
  <c r="DH382"/>
  <c r="G382" s="1"/>
  <c r="DH340"/>
  <c r="G340" s="1"/>
  <c r="DH193"/>
  <c r="G193" s="1"/>
  <c r="M193" s="1"/>
  <c r="DH383"/>
  <c r="G383" s="1"/>
  <c r="DH371"/>
  <c r="G371" s="1"/>
  <c r="H371" s="1"/>
  <c r="DH328"/>
  <c r="G328" s="1"/>
  <c r="DH284"/>
  <c r="G284" s="1"/>
  <c r="DH252"/>
  <c r="G252" s="1"/>
  <c r="M252" s="1"/>
  <c r="DH226"/>
  <c r="G226" s="1"/>
  <c r="M226" s="1"/>
  <c r="DH355"/>
  <c r="G355" s="1"/>
  <c r="DH346"/>
  <c r="G346" s="1"/>
  <c r="DH320"/>
  <c r="G320" s="1"/>
  <c r="H320" s="1"/>
  <c r="DH281"/>
  <c r="G281" s="1"/>
  <c r="DH242"/>
  <c r="G242" s="1"/>
  <c r="DH230"/>
  <c r="G230" s="1"/>
  <c r="DH210"/>
  <c r="G210" s="1"/>
  <c r="DH185"/>
  <c r="G185" s="1"/>
  <c r="DH374"/>
  <c r="G374" s="1"/>
  <c r="DH318"/>
  <c r="G318" s="1"/>
  <c r="DH286"/>
  <c r="G286" s="1"/>
  <c r="DH264"/>
  <c r="G264" s="1"/>
  <c r="DH236"/>
  <c r="G236" s="1"/>
  <c r="DH186"/>
  <c r="G186" s="1"/>
  <c r="M186" s="1"/>
  <c r="N186" s="1"/>
  <c r="DH343"/>
  <c r="G343" s="1"/>
  <c r="DH310"/>
  <c r="G310" s="1"/>
  <c r="H310" s="1"/>
  <c r="DH283"/>
  <c r="G283" s="1"/>
  <c r="DH262"/>
  <c r="G262" s="1"/>
  <c r="DH222"/>
  <c r="G222" s="1"/>
  <c r="DH162"/>
  <c r="G162" s="1"/>
  <c r="D14" i="44"/>
  <c r="O67" i="24"/>
  <c r="P67" s="1"/>
  <c r="T96"/>
  <c r="V96" s="1"/>
  <c r="W96" s="1"/>
  <c r="BP96" s="1"/>
  <c r="T39"/>
  <c r="V39" s="1"/>
  <c r="W39" s="1"/>
  <c r="T32"/>
  <c r="V32" s="1"/>
  <c r="W32" s="1"/>
  <c r="BP32" s="1"/>
  <c r="T9"/>
  <c r="V9" s="1"/>
  <c r="W9" s="1"/>
  <c r="BP9" s="1"/>
  <c r="O103"/>
  <c r="P103" s="1"/>
  <c r="O59"/>
  <c r="P59" s="1"/>
  <c r="O92"/>
  <c r="P92" s="1"/>
  <c r="O96"/>
  <c r="P96" s="1"/>
  <c r="O31"/>
  <c r="O90"/>
  <c r="P90" s="1"/>
  <c r="O128"/>
  <c r="P128" s="1"/>
  <c r="O125"/>
  <c r="O39"/>
  <c r="P39" s="1"/>
  <c r="O11"/>
  <c r="P11" s="1"/>
  <c r="O105"/>
  <c r="P105" s="1"/>
  <c r="O66"/>
  <c r="T62"/>
  <c r="V62" s="1"/>
  <c r="W62" s="1"/>
  <c r="BI13"/>
  <c r="DZ12" i="43"/>
  <c r="D20" i="44"/>
  <c r="BI29" i="24"/>
  <c r="BI72"/>
  <c r="T58"/>
  <c r="V58" s="1"/>
  <c r="W58" s="1"/>
  <c r="BI121"/>
  <c r="DZ135" i="43"/>
  <c r="Y134" i="24" s="1"/>
  <c r="Z134" s="1"/>
  <c r="DZ144" i="43"/>
  <c r="T123" i="24"/>
  <c r="V123" s="1"/>
  <c r="W123" s="1"/>
  <c r="BP123" s="1"/>
  <c r="AF135" i="45"/>
  <c r="G123" i="24"/>
  <c r="O123" s="1"/>
  <c r="P123" s="1"/>
  <c r="T132"/>
  <c r="V132" s="1"/>
  <c r="W132" s="1"/>
  <c r="BP132" s="1"/>
  <c r="BI106"/>
  <c r="G122"/>
  <c r="O122" s="1"/>
  <c r="P122" s="1"/>
  <c r="G73"/>
  <c r="O73" s="1"/>
  <c r="G114"/>
  <c r="O114" s="1"/>
  <c r="G115"/>
  <c r="G50"/>
  <c r="G116"/>
  <c r="G117"/>
  <c r="G53"/>
  <c r="O53" s="1"/>
  <c r="G74"/>
  <c r="G142"/>
  <c r="G110"/>
  <c r="O110" s="1"/>
  <c r="G143"/>
  <c r="G111"/>
  <c r="O111" s="1"/>
  <c r="G77"/>
  <c r="O77" s="1"/>
  <c r="G46"/>
  <c r="O46" s="1"/>
  <c r="P31" i="43"/>
  <c r="G52" i="24"/>
  <c r="O52" s="1"/>
  <c r="G89"/>
  <c r="O89" s="1"/>
  <c r="DG30" i="43"/>
  <c r="DH30" s="1"/>
  <c r="G30" s="1"/>
  <c r="G37" i="24"/>
  <c r="O37" s="1"/>
  <c r="G35"/>
  <c r="O35" s="1"/>
  <c r="G16"/>
  <c r="O16" s="1"/>
  <c r="AC34" i="43"/>
  <c r="AC44"/>
  <c r="AH370" i="45"/>
  <c r="AH290"/>
  <c r="AH258"/>
  <c r="AH162"/>
  <c r="AH146"/>
  <c r="AH15"/>
  <c r="AH360"/>
  <c r="AH284"/>
  <c r="AH240"/>
  <c r="AH208"/>
  <c r="AH192"/>
  <c r="AH144"/>
  <c r="AH337"/>
  <c r="AH25"/>
  <c r="G36" i="24"/>
  <c r="P115" i="43"/>
  <c r="B182" i="45"/>
  <c r="DG39" i="43"/>
  <c r="DH39" s="1"/>
  <c r="G39" s="1"/>
  <c r="G17" i="24"/>
  <c r="O17" s="1"/>
  <c r="G28"/>
  <c r="G45"/>
  <c r="O45" s="1"/>
  <c r="CU112" i="43"/>
  <c r="CU114"/>
  <c r="CU109"/>
  <c r="BG130"/>
  <c r="CU136"/>
  <c r="BG41"/>
  <c r="CU43"/>
  <c r="CB45"/>
  <c r="BG27"/>
  <c r="CB31"/>
  <c r="CU19"/>
  <c r="BG14"/>
  <c r="CU117"/>
  <c r="FE125"/>
  <c r="CB127"/>
  <c r="CU142"/>
  <c r="CB35"/>
  <c r="FE109"/>
  <c r="N82" i="24"/>
  <c r="O82" s="1"/>
  <c r="GU11" i="43"/>
  <c r="GT11" s="1"/>
  <c r="GP11" s="1"/>
  <c r="FE89"/>
  <c r="P43"/>
  <c r="AC117"/>
  <c r="P137"/>
  <c r="P147"/>
  <c r="P98"/>
  <c r="P156"/>
  <c r="DG144"/>
  <c r="DH144" s="1"/>
  <c r="G144" s="1"/>
  <c r="DG92"/>
  <c r="DH92" s="1"/>
  <c r="G92" s="1"/>
  <c r="DG120"/>
  <c r="DH120" s="1"/>
  <c r="G120" s="1"/>
  <c r="DG106"/>
  <c r="DH106" s="1"/>
  <c r="G106" s="1"/>
  <c r="DG148"/>
  <c r="DH148" s="1"/>
  <c r="G148" s="1"/>
  <c r="P130"/>
  <c r="P136"/>
  <c r="AV157" i="24"/>
  <c r="AZ157"/>
  <c r="BD157"/>
  <c r="BH157"/>
  <c r="AT158"/>
  <c r="AX158"/>
  <c r="BB158"/>
  <c r="BF158"/>
  <c r="AV159"/>
  <c r="AZ159"/>
  <c r="BD159"/>
  <c r="BH159"/>
  <c r="AW160"/>
  <c r="BA160"/>
  <c r="BE160"/>
  <c r="AU161"/>
  <c r="AY161"/>
  <c r="BC161"/>
  <c r="BG161"/>
  <c r="AW162"/>
  <c r="BA162"/>
  <c r="BE162"/>
  <c r="AU163"/>
  <c r="AY163"/>
  <c r="BC163"/>
  <c r="BG163"/>
  <c r="AV164"/>
  <c r="AZ164"/>
  <c r="BD164"/>
  <c r="BH164"/>
  <c r="AW165"/>
  <c r="BA165"/>
  <c r="BE165"/>
  <c r="AT166"/>
  <c r="AX166"/>
  <c r="BB166"/>
  <c r="BF166"/>
  <c r="AV167"/>
  <c r="AZ167"/>
  <c r="BD167"/>
  <c r="BH167"/>
  <c r="AW168"/>
  <c r="BA168"/>
  <c r="BE168"/>
  <c r="AV169"/>
  <c r="AZ169"/>
  <c r="BD169"/>
  <c r="BH169"/>
  <c r="AU170"/>
  <c r="AY170"/>
  <c r="BC170"/>
  <c r="BG170"/>
  <c r="AT171"/>
  <c r="AX171"/>
  <c r="BB171"/>
  <c r="BF171"/>
  <c r="AW172"/>
  <c r="BA172"/>
  <c r="BE172"/>
  <c r="AV173"/>
  <c r="AZ173"/>
  <c r="BD173"/>
  <c r="BH173"/>
  <c r="AU174"/>
  <c r="AY174"/>
  <c r="BC174"/>
  <c r="BG174"/>
  <c r="AT175"/>
  <c r="AX175"/>
  <c r="BB175"/>
  <c r="BF175"/>
  <c r="AW176"/>
  <c r="BA176"/>
  <c r="BE176"/>
  <c r="AV177"/>
  <c r="AZ177"/>
  <c r="BD177"/>
  <c r="BH177"/>
  <c r="AU178"/>
  <c r="AY178"/>
  <c r="BC178"/>
  <c r="BG178"/>
  <c r="AT179"/>
  <c r="AX179"/>
  <c r="BB179"/>
  <c r="BF179"/>
  <c r="AW180"/>
  <c r="BA180"/>
  <c r="BE180"/>
  <c r="AV181"/>
  <c r="AZ181"/>
  <c r="BD181"/>
  <c r="BH181"/>
  <c r="AU182"/>
  <c r="AY182"/>
  <c r="BC182"/>
  <c r="BG182"/>
  <c r="AT183"/>
  <c r="AX183"/>
  <c r="BB183"/>
  <c r="BF183"/>
  <c r="AW184"/>
  <c r="BA184"/>
  <c r="BE184"/>
  <c r="AV185"/>
  <c r="AZ185"/>
  <c r="AW157"/>
  <c r="BA157"/>
  <c r="BE157"/>
  <c r="AU158"/>
  <c r="AY158"/>
  <c r="BC158"/>
  <c r="BG158"/>
  <c r="AW159"/>
  <c r="BA159"/>
  <c r="BE159"/>
  <c r="AT160"/>
  <c r="AX160"/>
  <c r="BB160"/>
  <c r="BF160"/>
  <c r="AV161"/>
  <c r="AZ161"/>
  <c r="BD161"/>
  <c r="BH161"/>
  <c r="AT162"/>
  <c r="AX162"/>
  <c r="BB162"/>
  <c r="BF162"/>
  <c r="AV163"/>
  <c r="AZ163"/>
  <c r="BD163"/>
  <c r="BH163"/>
  <c r="AW164"/>
  <c r="BA164"/>
  <c r="BE164"/>
  <c r="AT165"/>
  <c r="AX165"/>
  <c r="BB165"/>
  <c r="BF165"/>
  <c r="AU166"/>
  <c r="AY166"/>
  <c r="BC166"/>
  <c r="BG166"/>
  <c r="AW167"/>
  <c r="BA167"/>
  <c r="BE167"/>
  <c r="AT168"/>
  <c r="AX168"/>
  <c r="BB168"/>
  <c r="BF168"/>
  <c r="AT157"/>
  <c r="BB157"/>
  <c r="AW158"/>
  <c r="BE158"/>
  <c r="AU159"/>
  <c r="BC159"/>
  <c r="AV160"/>
  <c r="BD160"/>
  <c r="BI160" s="1"/>
  <c r="AW161"/>
  <c r="BE161"/>
  <c r="AY162"/>
  <c r="BG162"/>
  <c r="AX163"/>
  <c r="BF163"/>
  <c r="AY164"/>
  <c r="BG164"/>
  <c r="AZ165"/>
  <c r="BH165"/>
  <c r="AZ166"/>
  <c r="BH166"/>
  <c r="AX167"/>
  <c r="BF167"/>
  <c r="AY168"/>
  <c r="BG168"/>
  <c r="AU169"/>
  <c r="BA169"/>
  <c r="BF169"/>
  <c r="AW170"/>
  <c r="BB170"/>
  <c r="BH170"/>
  <c r="AW171"/>
  <c r="BC171"/>
  <c r="BH171"/>
  <c r="AV172"/>
  <c r="BB172"/>
  <c r="BG172"/>
  <c r="AU173"/>
  <c r="BA173"/>
  <c r="BF173"/>
  <c r="AW174"/>
  <c r="BB174"/>
  <c r="BH174"/>
  <c r="AW175"/>
  <c r="BC175"/>
  <c r="BH175"/>
  <c r="AV176"/>
  <c r="BB176"/>
  <c r="BG176"/>
  <c r="AU177"/>
  <c r="BA177"/>
  <c r="BF177"/>
  <c r="AW178"/>
  <c r="BB178"/>
  <c r="BH178"/>
  <c r="AW179"/>
  <c r="BC179"/>
  <c r="BH179"/>
  <c r="AV180"/>
  <c r="BB180"/>
  <c r="BG180"/>
  <c r="AU181"/>
  <c r="BA181"/>
  <c r="BF181"/>
  <c r="AW182"/>
  <c r="BB182"/>
  <c r="BH182"/>
  <c r="AW183"/>
  <c r="BC183"/>
  <c r="BH183"/>
  <c r="AV184"/>
  <c r="BB184"/>
  <c r="BG184"/>
  <c r="AU185"/>
  <c r="BA185"/>
  <c r="BE185"/>
  <c r="AV186"/>
  <c r="AZ186"/>
  <c r="BD186"/>
  <c r="BH186"/>
  <c r="AU187"/>
  <c r="AY187"/>
  <c r="BC187"/>
  <c r="BG187"/>
  <c r="AT188"/>
  <c r="AX188"/>
  <c r="BB188"/>
  <c r="BF188"/>
  <c r="AW189"/>
  <c r="BA189"/>
  <c r="BE189"/>
  <c r="AV190"/>
  <c r="AZ190"/>
  <c r="BD190"/>
  <c r="BH190"/>
  <c r="AU191"/>
  <c r="AY191"/>
  <c r="BC191"/>
  <c r="BG191"/>
  <c r="AT192"/>
  <c r="AX192"/>
  <c r="BB192"/>
  <c r="BF192"/>
  <c r="AW193"/>
  <c r="BA193"/>
  <c r="BE193"/>
  <c r="AV194"/>
  <c r="AZ194"/>
  <c r="BD194"/>
  <c r="BH194"/>
  <c r="AU195"/>
  <c r="AY195"/>
  <c r="BC195"/>
  <c r="BG195"/>
  <c r="AT196"/>
  <c r="AX196"/>
  <c r="BB196"/>
  <c r="BF196"/>
  <c r="AW197"/>
  <c r="BA197"/>
  <c r="BE197"/>
  <c r="AV198"/>
  <c r="AZ198"/>
  <c r="BD198"/>
  <c r="BH198"/>
  <c r="AX157"/>
  <c r="BF157"/>
  <c r="BA158"/>
  <c r="AY159"/>
  <c r="BG159"/>
  <c r="AZ160"/>
  <c r="BH160"/>
  <c r="BA161"/>
  <c r="AU162"/>
  <c r="BC162"/>
  <c r="AT163"/>
  <c r="BB163"/>
  <c r="AU164"/>
  <c r="BC164"/>
  <c r="AV165"/>
  <c r="BD165"/>
  <c r="BI165" s="1"/>
  <c r="AV166"/>
  <c r="BD166"/>
  <c r="BI166" s="1"/>
  <c r="AT167"/>
  <c r="BB167"/>
  <c r="AU168"/>
  <c r="BC168"/>
  <c r="AX169"/>
  <c r="BC169"/>
  <c r="AT170"/>
  <c r="AZ170"/>
  <c r="BE170"/>
  <c r="AU171"/>
  <c r="AZ171"/>
  <c r="BE171"/>
  <c r="AT172"/>
  <c r="AY172"/>
  <c r="BD172"/>
  <c r="AX173"/>
  <c r="BC173"/>
  <c r="AT174"/>
  <c r="AZ174"/>
  <c r="BE174"/>
  <c r="AU175"/>
  <c r="AZ175"/>
  <c r="BE175"/>
  <c r="AT176"/>
  <c r="AY176"/>
  <c r="BD176"/>
  <c r="AX177"/>
  <c r="BC177"/>
  <c r="AT178"/>
  <c r="AZ178"/>
  <c r="BE178"/>
  <c r="AU179"/>
  <c r="AZ179"/>
  <c r="BE179"/>
  <c r="AT180"/>
  <c r="AY180"/>
  <c r="BD180"/>
  <c r="BI180" s="1"/>
  <c r="AX181"/>
  <c r="BC181"/>
  <c r="AT182"/>
  <c r="AZ182"/>
  <c r="BE182"/>
  <c r="AU183"/>
  <c r="AZ183"/>
  <c r="BE183"/>
  <c r="AT184"/>
  <c r="AY184"/>
  <c r="BD184"/>
  <c r="AX185"/>
  <c r="BC185"/>
  <c r="BG185"/>
  <c r="AT186"/>
  <c r="AX186"/>
  <c r="BB186"/>
  <c r="BF186"/>
  <c r="AW187"/>
  <c r="BA187"/>
  <c r="BE187"/>
  <c r="AV188"/>
  <c r="AZ188"/>
  <c r="BD188"/>
  <c r="BH188"/>
  <c r="AU189"/>
  <c r="AY189"/>
  <c r="BC189"/>
  <c r="BG189"/>
  <c r="AT190"/>
  <c r="AX190"/>
  <c r="BB190"/>
  <c r="BF190"/>
  <c r="AW191"/>
  <c r="BA191"/>
  <c r="BE191"/>
  <c r="AV192"/>
  <c r="AZ192"/>
  <c r="BD192"/>
  <c r="BH192"/>
  <c r="AU193"/>
  <c r="AY193"/>
  <c r="BC193"/>
  <c r="BG193"/>
  <c r="AT194"/>
  <c r="AX194"/>
  <c r="BB194"/>
  <c r="BF194"/>
  <c r="AW195"/>
  <c r="BA195"/>
  <c r="BE195"/>
  <c r="AV196"/>
  <c r="AZ196"/>
  <c r="BD196"/>
  <c r="BH196"/>
  <c r="AU197"/>
  <c r="AY197"/>
  <c r="BC197"/>
  <c r="BG197"/>
  <c r="AU157"/>
  <c r="BD158"/>
  <c r="BF159"/>
  <c r="AU160"/>
  <c r="BB161"/>
  <c r="BH162"/>
  <c r="AW163"/>
  <c r="BF164"/>
  <c r="AU165"/>
  <c r="BE166"/>
  <c r="AU167"/>
  <c r="BD168"/>
  <c r="BB169"/>
  <c r="BA170"/>
  <c r="BA171"/>
  <c r="AZ172"/>
  <c r="AW173"/>
  <c r="BG173"/>
  <c r="AV174"/>
  <c r="BF174"/>
  <c r="AV175"/>
  <c r="BG175"/>
  <c r="AU176"/>
  <c r="BF176"/>
  <c r="BB177"/>
  <c r="BA178"/>
  <c r="BA179"/>
  <c r="AZ180"/>
  <c r="AW181"/>
  <c r="BG181"/>
  <c r="AV182"/>
  <c r="BF182"/>
  <c r="AV183"/>
  <c r="BG183"/>
  <c r="AU184"/>
  <c r="BF184"/>
  <c r="BB185"/>
  <c r="AU186"/>
  <c r="BC186"/>
  <c r="AX187"/>
  <c r="BF187"/>
  <c r="AY188"/>
  <c r="AY157"/>
  <c r="BH158"/>
  <c r="AT159"/>
  <c r="AY160"/>
  <c r="BF161"/>
  <c r="AV162"/>
  <c r="BA163"/>
  <c r="AT164"/>
  <c r="AY165"/>
  <c r="AY167"/>
  <c r="BH168"/>
  <c r="AT169"/>
  <c r="BE169"/>
  <c r="BD170"/>
  <c r="BD171"/>
  <c r="BC172"/>
  <c r="AY173"/>
  <c r="AX174"/>
  <c r="AY175"/>
  <c r="AX176"/>
  <c r="BH176"/>
  <c r="AT177"/>
  <c r="BE177"/>
  <c r="BD178"/>
  <c r="BI178" s="1"/>
  <c r="BD179"/>
  <c r="BC180"/>
  <c r="AY181"/>
  <c r="AX182"/>
  <c r="AY183"/>
  <c r="AX184"/>
  <c r="BH184"/>
  <c r="AT185"/>
  <c r="BD185"/>
  <c r="AW186"/>
  <c r="BE186"/>
  <c r="AZ187"/>
  <c r="BH187"/>
  <c r="BA188"/>
  <c r="AV189"/>
  <c r="BD189"/>
  <c r="AW190"/>
  <c r="BE190"/>
  <c r="AZ191"/>
  <c r="BH191"/>
  <c r="BA192"/>
  <c r="AV193"/>
  <c r="BD193"/>
  <c r="AW194"/>
  <c r="BE194"/>
  <c r="AZ195"/>
  <c r="BH195"/>
  <c r="BA196"/>
  <c r="AV197"/>
  <c r="BD197"/>
  <c r="AT198"/>
  <c r="AY198"/>
  <c r="BE198"/>
  <c r="AU199"/>
  <c r="AY199"/>
  <c r="BC199"/>
  <c r="BG199"/>
  <c r="AT200"/>
  <c r="AX200"/>
  <c r="BB200"/>
  <c r="BF200"/>
  <c r="BG157"/>
  <c r="AZ158"/>
  <c r="BB159"/>
  <c r="BG160"/>
  <c r="AX161"/>
  <c r="BD162"/>
  <c r="BB164"/>
  <c r="BG165"/>
  <c r="BA166"/>
  <c r="BG167"/>
  <c r="AZ168"/>
  <c r="AY169"/>
  <c r="AX170"/>
  <c r="AY171"/>
  <c r="AX172"/>
  <c r="BH172"/>
  <c r="AT173"/>
  <c r="BE173"/>
  <c r="BD174"/>
  <c r="BI174" s="1"/>
  <c r="BD175"/>
  <c r="BC176"/>
  <c r="AY177"/>
  <c r="AX178"/>
  <c r="AY179"/>
  <c r="AX180"/>
  <c r="BH180"/>
  <c r="AT181"/>
  <c r="BE181"/>
  <c r="BD182"/>
  <c r="BD183"/>
  <c r="BC184"/>
  <c r="AY185"/>
  <c r="BH185"/>
  <c r="BA186"/>
  <c r="AV187"/>
  <c r="BD187"/>
  <c r="AW188"/>
  <c r="BE188"/>
  <c r="AZ189"/>
  <c r="BH189"/>
  <c r="BA190"/>
  <c r="AV191"/>
  <c r="BD191"/>
  <c r="AW192"/>
  <c r="BE192"/>
  <c r="AZ193"/>
  <c r="BH193"/>
  <c r="BA194"/>
  <c r="AV195"/>
  <c r="BD195"/>
  <c r="AW196"/>
  <c r="BE196"/>
  <c r="AZ197"/>
  <c r="BH197"/>
  <c r="AW198"/>
  <c r="BB198"/>
  <c r="BG198"/>
  <c r="AW199"/>
  <c r="BA199"/>
  <c r="BE199"/>
  <c r="AX159"/>
  <c r="AZ162"/>
  <c r="BC165"/>
  <c r="BC167"/>
  <c r="BB173"/>
  <c r="BA175"/>
  <c r="BB181"/>
  <c r="BA183"/>
  <c r="AY186"/>
  <c r="AT187"/>
  <c r="AU188"/>
  <c r="BF189"/>
  <c r="AY190"/>
  <c r="BF191"/>
  <c r="AY192"/>
  <c r="BF193"/>
  <c r="AY194"/>
  <c r="BF195"/>
  <c r="AY196"/>
  <c r="BF197"/>
  <c r="AU198"/>
  <c r="BF198"/>
  <c r="AV199"/>
  <c r="BD199"/>
  <c r="AV200"/>
  <c r="BA200"/>
  <c r="BG200"/>
  <c r="AT201"/>
  <c r="AX201"/>
  <c r="BB201"/>
  <c r="BF201"/>
  <c r="AV202"/>
  <c r="AZ202"/>
  <c r="BD202"/>
  <c r="BH202"/>
  <c r="AU203"/>
  <c r="AY203"/>
  <c r="BC203"/>
  <c r="BG203"/>
  <c r="AT204"/>
  <c r="AX204"/>
  <c r="BB204"/>
  <c r="BF204"/>
  <c r="AW205"/>
  <c r="BA205"/>
  <c r="BE205"/>
  <c r="AV206"/>
  <c r="AZ206"/>
  <c r="BD206"/>
  <c r="BH206"/>
  <c r="AU207"/>
  <c r="AY207"/>
  <c r="BC207"/>
  <c r="BG207"/>
  <c r="AT208"/>
  <c r="AX208"/>
  <c r="BB208"/>
  <c r="BF208"/>
  <c r="AW209"/>
  <c r="BA209"/>
  <c r="BE209"/>
  <c r="AV210"/>
  <c r="AZ210"/>
  <c r="BD210"/>
  <c r="BH210"/>
  <c r="AU211"/>
  <c r="AY211"/>
  <c r="BC211"/>
  <c r="BG211"/>
  <c r="AT212"/>
  <c r="AX212"/>
  <c r="BB212"/>
  <c r="BF212"/>
  <c r="AW213"/>
  <c r="BA213"/>
  <c r="BE213"/>
  <c r="AV214"/>
  <c r="AZ214"/>
  <c r="BD214"/>
  <c r="BH214"/>
  <c r="AU215"/>
  <c r="AY215"/>
  <c r="BC215"/>
  <c r="BG215"/>
  <c r="AT216"/>
  <c r="AX216"/>
  <c r="BB216"/>
  <c r="BF216"/>
  <c r="AW217"/>
  <c r="BA217"/>
  <c r="BE217"/>
  <c r="AV218"/>
  <c r="AZ218"/>
  <c r="BD218"/>
  <c r="BH218"/>
  <c r="AU219"/>
  <c r="AY219"/>
  <c r="BC219"/>
  <c r="BG219"/>
  <c r="AT220"/>
  <c r="AX220"/>
  <c r="BB220"/>
  <c r="BF220"/>
  <c r="AW221"/>
  <c r="BA221"/>
  <c r="BE221"/>
  <c r="AV222"/>
  <c r="AZ222"/>
  <c r="BD222"/>
  <c r="BH222"/>
  <c r="AU223"/>
  <c r="AY223"/>
  <c r="BC223"/>
  <c r="BG223"/>
  <c r="AT224"/>
  <c r="AX224"/>
  <c r="BB224"/>
  <c r="BF224"/>
  <c r="AW225"/>
  <c r="BA225"/>
  <c r="BE225"/>
  <c r="AV226"/>
  <c r="AZ226"/>
  <c r="BD226"/>
  <c r="BH226"/>
  <c r="AU227"/>
  <c r="AY227"/>
  <c r="BC227"/>
  <c r="BG227"/>
  <c r="AT228"/>
  <c r="AX228"/>
  <c r="BB228"/>
  <c r="BF228"/>
  <c r="AW229"/>
  <c r="BA229"/>
  <c r="BE229"/>
  <c r="AV230"/>
  <c r="AZ230"/>
  <c r="BD230"/>
  <c r="BH230"/>
  <c r="AU231"/>
  <c r="AY231"/>
  <c r="BC231"/>
  <c r="BG231"/>
  <c r="AT232"/>
  <c r="AX232"/>
  <c r="BB232"/>
  <c r="BF232"/>
  <c r="AW233"/>
  <c r="BA233"/>
  <c r="BE233"/>
  <c r="AV234"/>
  <c r="AZ234"/>
  <c r="BD234"/>
  <c r="BH234"/>
  <c r="AU235"/>
  <c r="AY235"/>
  <c r="BC235"/>
  <c r="BG235"/>
  <c r="AT236"/>
  <c r="AX236"/>
  <c r="BB236"/>
  <c r="BF236"/>
  <c r="AW237"/>
  <c r="BA237"/>
  <c r="BE237"/>
  <c r="AV238"/>
  <c r="AZ238"/>
  <c r="BD238"/>
  <c r="BH238"/>
  <c r="AV158"/>
  <c r="AT161"/>
  <c r="AX164"/>
  <c r="AW169"/>
  <c r="AV170"/>
  <c r="AV171"/>
  <c r="AU172"/>
  <c r="AW177"/>
  <c r="AV178"/>
  <c r="AV179"/>
  <c r="AU180"/>
  <c r="AW185"/>
  <c r="BG186"/>
  <c r="BB187"/>
  <c r="BC188"/>
  <c r="AT189"/>
  <c r="BC190"/>
  <c r="AT191"/>
  <c r="BC192"/>
  <c r="AT193"/>
  <c r="BC194"/>
  <c r="AT195"/>
  <c r="BC196"/>
  <c r="AT197"/>
  <c r="AX198"/>
  <c r="AX199"/>
  <c r="BF199"/>
  <c r="AW200"/>
  <c r="BC200"/>
  <c r="BH200"/>
  <c r="AU201"/>
  <c r="AY201"/>
  <c r="BC201"/>
  <c r="BG201"/>
  <c r="AW202"/>
  <c r="BA202"/>
  <c r="BE202"/>
  <c r="AV203"/>
  <c r="AZ203"/>
  <c r="BD203"/>
  <c r="BH203"/>
  <c r="AU204"/>
  <c r="AY204"/>
  <c r="BC204"/>
  <c r="BG204"/>
  <c r="AT205"/>
  <c r="AX205"/>
  <c r="BB205"/>
  <c r="BF205"/>
  <c r="AW206"/>
  <c r="BA206"/>
  <c r="BE206"/>
  <c r="AV207"/>
  <c r="AZ207"/>
  <c r="BD207"/>
  <c r="BH207"/>
  <c r="AU208"/>
  <c r="AY208"/>
  <c r="BC208"/>
  <c r="BG208"/>
  <c r="AT209"/>
  <c r="AX209"/>
  <c r="BB209"/>
  <c r="BF209"/>
  <c r="AW210"/>
  <c r="BA210"/>
  <c r="BE210"/>
  <c r="AV211"/>
  <c r="AZ211"/>
  <c r="BD211"/>
  <c r="BH211"/>
  <c r="AU212"/>
  <c r="AY212"/>
  <c r="BC212"/>
  <c r="BG212"/>
  <c r="AT213"/>
  <c r="AX213"/>
  <c r="BB213"/>
  <c r="BF213"/>
  <c r="AW214"/>
  <c r="BA214"/>
  <c r="BE214"/>
  <c r="AV215"/>
  <c r="AZ215"/>
  <c r="BD215"/>
  <c r="BH215"/>
  <c r="AU216"/>
  <c r="AY216"/>
  <c r="BC216"/>
  <c r="BG216"/>
  <c r="AT217"/>
  <c r="AX217"/>
  <c r="BB217"/>
  <c r="BF217"/>
  <c r="AW218"/>
  <c r="BA218"/>
  <c r="BE218"/>
  <c r="AV219"/>
  <c r="AZ219"/>
  <c r="BD219"/>
  <c r="BH219"/>
  <c r="AU220"/>
  <c r="AY220"/>
  <c r="BC220"/>
  <c r="BG220"/>
  <c r="AT221"/>
  <c r="AX221"/>
  <c r="BB221"/>
  <c r="BF221"/>
  <c r="AW222"/>
  <c r="BA222"/>
  <c r="BE222"/>
  <c r="AV223"/>
  <c r="AZ223"/>
  <c r="BD223"/>
  <c r="BH223"/>
  <c r="AU224"/>
  <c r="AY224"/>
  <c r="BC224"/>
  <c r="BG224"/>
  <c r="AT225"/>
  <c r="AX225"/>
  <c r="BB225"/>
  <c r="BF225"/>
  <c r="AW226"/>
  <c r="BA226"/>
  <c r="BE226"/>
  <c r="AV227"/>
  <c r="AZ227"/>
  <c r="BD227"/>
  <c r="BC157"/>
  <c r="BC160"/>
  <c r="BB189"/>
  <c r="AU190"/>
  <c r="BB191"/>
  <c r="AU192"/>
  <c r="BB193"/>
  <c r="AU194"/>
  <c r="BB195"/>
  <c r="AU196"/>
  <c r="BB197"/>
  <c r="BC198"/>
  <c r="AT199"/>
  <c r="BB199"/>
  <c r="AU200"/>
  <c r="AZ200"/>
  <c r="BE200"/>
  <c r="AW201"/>
  <c r="BA201"/>
  <c r="BE201"/>
  <c r="AU202"/>
  <c r="AY202"/>
  <c r="BC202"/>
  <c r="BG202"/>
  <c r="AT203"/>
  <c r="AX203"/>
  <c r="BB203"/>
  <c r="BF203"/>
  <c r="AW204"/>
  <c r="BA204"/>
  <c r="BE204"/>
  <c r="AV205"/>
  <c r="AZ205"/>
  <c r="BD205"/>
  <c r="BI205" s="1"/>
  <c r="BH205"/>
  <c r="AU206"/>
  <c r="AY206"/>
  <c r="BC206"/>
  <c r="BG206"/>
  <c r="AT207"/>
  <c r="AX207"/>
  <c r="BB207"/>
  <c r="BF207"/>
  <c r="AW208"/>
  <c r="BA208"/>
  <c r="BE208"/>
  <c r="AV209"/>
  <c r="AZ209"/>
  <c r="BD209"/>
  <c r="BI209" s="1"/>
  <c r="BH209"/>
  <c r="AU210"/>
  <c r="AY210"/>
  <c r="BC210"/>
  <c r="BG210"/>
  <c r="AT211"/>
  <c r="AX211"/>
  <c r="BB211"/>
  <c r="BF211"/>
  <c r="AW212"/>
  <c r="BA212"/>
  <c r="BE212"/>
  <c r="AV213"/>
  <c r="AZ213"/>
  <c r="BD213"/>
  <c r="BI213" s="1"/>
  <c r="BH213"/>
  <c r="AU214"/>
  <c r="AY214"/>
  <c r="BC214"/>
  <c r="BG214"/>
  <c r="AT215"/>
  <c r="AX215"/>
  <c r="BB215"/>
  <c r="BF215"/>
  <c r="AW216"/>
  <c r="BA216"/>
  <c r="BE216"/>
  <c r="AV217"/>
  <c r="AZ217"/>
  <c r="BD217"/>
  <c r="BI217" s="1"/>
  <c r="BH217"/>
  <c r="BE163"/>
  <c r="BG169"/>
  <c r="BA174"/>
  <c r="BG179"/>
  <c r="BF185"/>
  <c r="BG188"/>
  <c r="AX191"/>
  <c r="BG196"/>
  <c r="BH199"/>
  <c r="BD200"/>
  <c r="AZ201"/>
  <c r="BB202"/>
  <c r="AW203"/>
  <c r="BH204"/>
  <c r="AU205"/>
  <c r="BB206"/>
  <c r="AW207"/>
  <c r="BH208"/>
  <c r="AU209"/>
  <c r="BB210"/>
  <c r="AW211"/>
  <c r="BH212"/>
  <c r="AU213"/>
  <c r="BB214"/>
  <c r="AW215"/>
  <c r="BH216"/>
  <c r="AU217"/>
  <c r="AX218"/>
  <c r="BF218"/>
  <c r="BA219"/>
  <c r="AW220"/>
  <c r="BE220"/>
  <c r="AY221"/>
  <c r="BG221"/>
  <c r="AX222"/>
  <c r="BF222"/>
  <c r="BA223"/>
  <c r="AW224"/>
  <c r="BE224"/>
  <c r="AY225"/>
  <c r="BG225"/>
  <c r="AX226"/>
  <c r="BF226"/>
  <c r="BA227"/>
  <c r="BH227"/>
  <c r="AW228"/>
  <c r="BC228"/>
  <c r="BH228"/>
  <c r="AV229"/>
  <c r="BB229"/>
  <c r="BG229"/>
  <c r="AU230"/>
  <c r="BA230"/>
  <c r="BF230"/>
  <c r="AW231"/>
  <c r="BB231"/>
  <c r="BH231"/>
  <c r="AW232"/>
  <c r="BC232"/>
  <c r="BH232"/>
  <c r="AV233"/>
  <c r="BB233"/>
  <c r="BG233"/>
  <c r="AU234"/>
  <c r="BA234"/>
  <c r="BF234"/>
  <c r="AW235"/>
  <c r="BB235"/>
  <c r="BH235"/>
  <c r="AW236"/>
  <c r="BC236"/>
  <c r="BH236"/>
  <c r="AV237"/>
  <c r="BB237"/>
  <c r="BG237"/>
  <c r="AV168"/>
  <c r="BF172"/>
  <c r="BF178"/>
  <c r="AZ184"/>
  <c r="BG190"/>
  <c r="AX193"/>
  <c r="BA198"/>
  <c r="BD201"/>
  <c r="BF202"/>
  <c r="BA203"/>
  <c r="AV204"/>
  <c r="AY205"/>
  <c r="BF206"/>
  <c r="BA207"/>
  <c r="AV208"/>
  <c r="AY209"/>
  <c r="BF210"/>
  <c r="BA211"/>
  <c r="AV212"/>
  <c r="AY213"/>
  <c r="BF214"/>
  <c r="BA215"/>
  <c r="AV216"/>
  <c r="AY217"/>
  <c r="AY218"/>
  <c r="BG218"/>
  <c r="AT219"/>
  <c r="BB219"/>
  <c r="AZ220"/>
  <c r="BH220"/>
  <c r="AZ221"/>
  <c r="BH221"/>
  <c r="AY222"/>
  <c r="BG222"/>
  <c r="AT223"/>
  <c r="BB223"/>
  <c r="AZ224"/>
  <c r="BH224"/>
  <c r="AZ225"/>
  <c r="BH225"/>
  <c r="AY226"/>
  <c r="BG226"/>
  <c r="AT227"/>
  <c r="BB227"/>
  <c r="AY228"/>
  <c r="BD228"/>
  <c r="AX229"/>
  <c r="BC229"/>
  <c r="BH229"/>
  <c r="AW230"/>
  <c r="BB230"/>
  <c r="BG230"/>
  <c r="AX231"/>
  <c r="BD231"/>
  <c r="AY232"/>
  <c r="BD232"/>
  <c r="BI232" s="1"/>
  <c r="AX233"/>
  <c r="BC233"/>
  <c r="BH233"/>
  <c r="AW234"/>
  <c r="BB234"/>
  <c r="BG234"/>
  <c r="AX235"/>
  <c r="BD235"/>
  <c r="AY236"/>
  <c r="BD236"/>
  <c r="AX237"/>
  <c r="BC237"/>
  <c r="BH237"/>
  <c r="AW238"/>
  <c r="BB238"/>
  <c r="BG238"/>
  <c r="AU239"/>
  <c r="AY239"/>
  <c r="BC239"/>
  <c r="BG239"/>
  <c r="AT240"/>
  <c r="AX240"/>
  <c r="BB240"/>
  <c r="BF240"/>
  <c r="AT241"/>
  <c r="AX241"/>
  <c r="BB241"/>
  <c r="BF241"/>
  <c r="AT242"/>
  <c r="AX242"/>
  <c r="BB242"/>
  <c r="BF242"/>
  <c r="AT243"/>
  <c r="AX243"/>
  <c r="BB243"/>
  <c r="BF243"/>
  <c r="AT244"/>
  <c r="AX244"/>
  <c r="BB244"/>
  <c r="BF244"/>
  <c r="AT245"/>
  <c r="AX245"/>
  <c r="BB245"/>
  <c r="BF245"/>
  <c r="AT246"/>
  <c r="AX246"/>
  <c r="BB246"/>
  <c r="BF246"/>
  <c r="AT247"/>
  <c r="AX247"/>
  <c r="BB247"/>
  <c r="BF247"/>
  <c r="AT248"/>
  <c r="AX248"/>
  <c r="BB248"/>
  <c r="BF248"/>
  <c r="AU249"/>
  <c r="AY249"/>
  <c r="BC249"/>
  <c r="BG249"/>
  <c r="AT250"/>
  <c r="AX250"/>
  <c r="BB250"/>
  <c r="BF250"/>
  <c r="AW251"/>
  <c r="BA251"/>
  <c r="BE251"/>
  <c r="AV252"/>
  <c r="AZ252"/>
  <c r="BD252"/>
  <c r="BH252"/>
  <c r="AU253"/>
  <c r="AY253"/>
  <c r="BC253"/>
  <c r="BG253"/>
  <c r="AT254"/>
  <c r="AX254"/>
  <c r="BB254"/>
  <c r="BF254"/>
  <c r="AW255"/>
  <c r="BA255"/>
  <c r="BE255"/>
  <c r="BF170"/>
  <c r="AZ176"/>
  <c r="BF180"/>
  <c r="AX189"/>
  <c r="BG194"/>
  <c r="AX197"/>
  <c r="AZ199"/>
  <c r="AY200"/>
  <c r="AV201"/>
  <c r="AX202"/>
  <c r="BD204"/>
  <c r="BG205"/>
  <c r="AX206"/>
  <c r="BD208"/>
  <c r="BG209"/>
  <c r="AX210"/>
  <c r="BD212"/>
  <c r="BG213"/>
  <c r="AX214"/>
  <c r="BD216"/>
  <c r="BG217"/>
  <c r="AU218"/>
  <c r="BC218"/>
  <c r="AX219"/>
  <c r="BF219"/>
  <c r="AV220"/>
  <c r="BD220"/>
  <c r="AV221"/>
  <c r="BD221"/>
  <c r="BI221" s="1"/>
  <c r="AU222"/>
  <c r="BC222"/>
  <c r="AX223"/>
  <c r="BF223"/>
  <c r="AV224"/>
  <c r="BD224"/>
  <c r="AV225"/>
  <c r="BD225"/>
  <c r="AU226"/>
  <c r="BC226"/>
  <c r="AX227"/>
  <c r="BF227"/>
  <c r="AV228"/>
  <c r="BA228"/>
  <c r="BG228"/>
  <c r="AU229"/>
  <c r="AZ229"/>
  <c r="BF229"/>
  <c r="AT230"/>
  <c r="AY230"/>
  <c r="BE230"/>
  <c r="AV231"/>
  <c r="BA231"/>
  <c r="BF231"/>
  <c r="AV232"/>
  <c r="BA232"/>
  <c r="BG232"/>
  <c r="AU233"/>
  <c r="AZ233"/>
  <c r="BF233"/>
  <c r="AT234"/>
  <c r="AY234"/>
  <c r="BE234"/>
  <c r="AV235"/>
  <c r="BA235"/>
  <c r="BF235"/>
  <c r="AV236"/>
  <c r="BA236"/>
  <c r="BG236"/>
  <c r="AU237"/>
  <c r="AZ237"/>
  <c r="BF237"/>
  <c r="AT238"/>
  <c r="AY238"/>
  <c r="BE238"/>
  <c r="AW239"/>
  <c r="BA239"/>
  <c r="BE239"/>
  <c r="AV240"/>
  <c r="AZ240"/>
  <c r="BD240"/>
  <c r="BH240"/>
  <c r="AV241"/>
  <c r="AZ241"/>
  <c r="BD241"/>
  <c r="BH241"/>
  <c r="AV242"/>
  <c r="AZ242"/>
  <c r="BD242"/>
  <c r="BH242"/>
  <c r="AV243"/>
  <c r="AZ243"/>
  <c r="BD243"/>
  <c r="BH243"/>
  <c r="AV244"/>
  <c r="AZ244"/>
  <c r="BD244"/>
  <c r="BH244"/>
  <c r="AV245"/>
  <c r="AZ245"/>
  <c r="BD245"/>
  <c r="BH245"/>
  <c r="AV246"/>
  <c r="AZ246"/>
  <c r="BD246"/>
  <c r="BH246"/>
  <c r="AV247"/>
  <c r="AZ247"/>
  <c r="BD247"/>
  <c r="BH247"/>
  <c r="AV248"/>
  <c r="AZ248"/>
  <c r="BD248"/>
  <c r="BH248"/>
  <c r="AW249"/>
  <c r="BA249"/>
  <c r="BE249"/>
  <c r="AV250"/>
  <c r="AZ250"/>
  <c r="BD250"/>
  <c r="BH250"/>
  <c r="AU251"/>
  <c r="AY251"/>
  <c r="BC251"/>
  <c r="BG251"/>
  <c r="AT252"/>
  <c r="AX252"/>
  <c r="BB252"/>
  <c r="BF252"/>
  <c r="AW253"/>
  <c r="BA253"/>
  <c r="BE253"/>
  <c r="AV254"/>
  <c r="AZ254"/>
  <c r="BD254"/>
  <c r="BA182"/>
  <c r="AX195"/>
  <c r="BE203"/>
  <c r="AZ208"/>
  <c r="AT210"/>
  <c r="BC217"/>
  <c r="AU221"/>
  <c r="AT222"/>
  <c r="AW223"/>
  <c r="BE228"/>
  <c r="AY229"/>
  <c r="AX230"/>
  <c r="AT231"/>
  <c r="BD233"/>
  <c r="BC234"/>
  <c r="AZ235"/>
  <c r="AU236"/>
  <c r="AX238"/>
  <c r="AV239"/>
  <c r="BD239"/>
  <c r="AW240"/>
  <c r="BE240"/>
  <c r="BA241"/>
  <c r="AW242"/>
  <c r="BE242"/>
  <c r="BA243"/>
  <c r="AW244"/>
  <c r="BE244"/>
  <c r="BA245"/>
  <c r="AW246"/>
  <c r="BE246"/>
  <c r="BA247"/>
  <c r="AW248"/>
  <c r="BE248"/>
  <c r="AX249"/>
  <c r="BF249"/>
  <c r="AU250"/>
  <c r="BC250"/>
  <c r="AZ251"/>
  <c r="BH251"/>
  <c r="AW252"/>
  <c r="BE252"/>
  <c r="AT253"/>
  <c r="BB253"/>
  <c r="AY254"/>
  <c r="BG254"/>
  <c r="AT255"/>
  <c r="AY255"/>
  <c r="BD255"/>
  <c r="AV256"/>
  <c r="AZ256"/>
  <c r="BD256"/>
  <c r="BH256"/>
  <c r="AU257"/>
  <c r="AY257"/>
  <c r="BC257"/>
  <c r="BG257"/>
  <c r="AT258"/>
  <c r="AX258"/>
  <c r="BB258"/>
  <c r="BF258"/>
  <c r="AW259"/>
  <c r="BA259"/>
  <c r="BE259"/>
  <c r="AV260"/>
  <c r="AZ260"/>
  <c r="BD260"/>
  <c r="BH260"/>
  <c r="AU261"/>
  <c r="AY261"/>
  <c r="BC261"/>
  <c r="BG261"/>
  <c r="AT262"/>
  <c r="AX262"/>
  <c r="BB262"/>
  <c r="BF262"/>
  <c r="AW263"/>
  <c r="BA263"/>
  <c r="BE263"/>
  <c r="AV264"/>
  <c r="AZ264"/>
  <c r="BD264"/>
  <c r="BH264"/>
  <c r="AU265"/>
  <c r="AY265"/>
  <c r="BC265"/>
  <c r="BG265"/>
  <c r="AT266"/>
  <c r="AX266"/>
  <c r="BB266"/>
  <c r="BF266"/>
  <c r="AW267"/>
  <c r="BA267"/>
  <c r="BE267"/>
  <c r="AV268"/>
  <c r="AZ268"/>
  <c r="BD268"/>
  <c r="BH268"/>
  <c r="AU269"/>
  <c r="AY269"/>
  <c r="BC269"/>
  <c r="BG269"/>
  <c r="AT270"/>
  <c r="AX270"/>
  <c r="BB270"/>
  <c r="BF270"/>
  <c r="AW271"/>
  <c r="BA271"/>
  <c r="BE271"/>
  <c r="AV272"/>
  <c r="AZ272"/>
  <c r="BD272"/>
  <c r="BH272"/>
  <c r="AU273"/>
  <c r="AY273"/>
  <c r="BC273"/>
  <c r="BG273"/>
  <c r="AT274"/>
  <c r="AX274"/>
  <c r="BB274"/>
  <c r="BF274"/>
  <c r="AW275"/>
  <c r="BA275"/>
  <c r="BE275"/>
  <c r="AV276"/>
  <c r="AZ276"/>
  <c r="BD276"/>
  <c r="BH276"/>
  <c r="AT277"/>
  <c r="AX277"/>
  <c r="BB277"/>
  <c r="BF277"/>
  <c r="AV278"/>
  <c r="AZ278"/>
  <c r="BD278"/>
  <c r="BH278"/>
  <c r="AU279"/>
  <c r="AY279"/>
  <c r="BC279"/>
  <c r="BG279"/>
  <c r="AT280"/>
  <c r="AX280"/>
  <c r="BB280"/>
  <c r="BF280"/>
  <c r="AW281"/>
  <c r="BA281"/>
  <c r="BE281"/>
  <c r="AV282"/>
  <c r="AZ282"/>
  <c r="BD282"/>
  <c r="BH282"/>
  <c r="AU283"/>
  <c r="AY283"/>
  <c r="BC283"/>
  <c r="BG283"/>
  <c r="AT284"/>
  <c r="AX284"/>
  <c r="BB284"/>
  <c r="BF284"/>
  <c r="AW285"/>
  <c r="DY285" i="43" s="1"/>
  <c r="BA285" i="24"/>
  <c r="BE285"/>
  <c r="AV286"/>
  <c r="AZ286"/>
  <c r="BD286"/>
  <c r="BH286"/>
  <c r="AU287"/>
  <c r="AY287"/>
  <c r="BC287"/>
  <c r="BG287"/>
  <c r="AT288"/>
  <c r="BG171"/>
  <c r="BG177"/>
  <c r="BC205"/>
  <c r="BE207"/>
  <c r="AZ212"/>
  <c r="AT214"/>
  <c r="BA220"/>
  <c r="BC221"/>
  <c r="BB222"/>
  <c r="BE223"/>
  <c r="BD229"/>
  <c r="BC230"/>
  <c r="AZ231"/>
  <c r="AU232"/>
  <c r="BE235"/>
  <c r="AZ236"/>
  <c r="AT237"/>
  <c r="BA238"/>
  <c r="AX239"/>
  <c r="BF239"/>
  <c r="AY240"/>
  <c r="BG240"/>
  <c r="AU241"/>
  <c r="BC241"/>
  <c r="AY242"/>
  <c r="DY242" i="43" s="1"/>
  <c r="BG242" i="24"/>
  <c r="AU243"/>
  <c r="BC243"/>
  <c r="AY244"/>
  <c r="BG244"/>
  <c r="AU245"/>
  <c r="BC245"/>
  <c r="AY246"/>
  <c r="BG246"/>
  <c r="AU247"/>
  <c r="BC247"/>
  <c r="AY248"/>
  <c r="BG248"/>
  <c r="AZ249"/>
  <c r="BH249"/>
  <c r="AW250"/>
  <c r="BE250"/>
  <c r="AT251"/>
  <c r="BB251"/>
  <c r="AY252"/>
  <c r="BG252"/>
  <c r="AV253"/>
  <c r="BD253"/>
  <c r="BA254"/>
  <c r="BH254"/>
  <c r="AU255"/>
  <c r="AZ255"/>
  <c r="BF255"/>
  <c r="AW256"/>
  <c r="BA256"/>
  <c r="BE256"/>
  <c r="AV257"/>
  <c r="AZ257"/>
  <c r="BD257"/>
  <c r="BH257"/>
  <c r="AU258"/>
  <c r="AY258"/>
  <c r="BC258"/>
  <c r="BG258"/>
  <c r="AT259"/>
  <c r="AX259"/>
  <c r="BB259"/>
  <c r="BF259"/>
  <c r="AW260"/>
  <c r="BA260"/>
  <c r="BE260"/>
  <c r="AV261"/>
  <c r="AZ261"/>
  <c r="BD261"/>
  <c r="BH261"/>
  <c r="AU262"/>
  <c r="AY262"/>
  <c r="BC262"/>
  <c r="BG262"/>
  <c r="AT263"/>
  <c r="AX263"/>
  <c r="BB263"/>
  <c r="BF263"/>
  <c r="AW264"/>
  <c r="BA264"/>
  <c r="BE264"/>
  <c r="AV265"/>
  <c r="AZ265"/>
  <c r="BD265"/>
  <c r="BH265"/>
  <c r="AU266"/>
  <c r="AY266"/>
  <c r="BC266"/>
  <c r="BG266"/>
  <c r="AT267"/>
  <c r="AX267"/>
  <c r="BB267"/>
  <c r="BF267"/>
  <c r="AW268"/>
  <c r="BA268"/>
  <c r="BE268"/>
  <c r="AV269"/>
  <c r="AZ269"/>
  <c r="BD269"/>
  <c r="BH269"/>
  <c r="AU270"/>
  <c r="AY270"/>
  <c r="BC270"/>
  <c r="BG270"/>
  <c r="AT271"/>
  <c r="AX271"/>
  <c r="BB271"/>
  <c r="BF271"/>
  <c r="AW272"/>
  <c r="BA272"/>
  <c r="BE272"/>
  <c r="AV273"/>
  <c r="AZ273"/>
  <c r="BD273"/>
  <c r="BH273"/>
  <c r="AU274"/>
  <c r="AY274"/>
  <c r="BC274"/>
  <c r="BG274"/>
  <c r="AT275"/>
  <c r="AX275"/>
  <c r="BB275"/>
  <c r="BF275"/>
  <c r="AW276"/>
  <c r="BA276"/>
  <c r="BE276"/>
  <c r="AU277"/>
  <c r="AY277"/>
  <c r="BC277"/>
  <c r="BG277"/>
  <c r="AW278"/>
  <c r="BA278"/>
  <c r="BE278"/>
  <c r="AV279"/>
  <c r="AZ279"/>
  <c r="BD279"/>
  <c r="BH279"/>
  <c r="AU280"/>
  <c r="AY280"/>
  <c r="BC280"/>
  <c r="BG280"/>
  <c r="AT281"/>
  <c r="AX281"/>
  <c r="BB281"/>
  <c r="BF281"/>
  <c r="AW282"/>
  <c r="BA282"/>
  <c r="BE282"/>
  <c r="AV283"/>
  <c r="AZ283"/>
  <c r="BD283"/>
  <c r="BH283"/>
  <c r="AU284"/>
  <c r="AY284"/>
  <c r="BC284"/>
  <c r="BG284"/>
  <c r="AT285"/>
  <c r="AX285"/>
  <c r="BB285"/>
  <c r="BF285"/>
  <c r="AW286"/>
  <c r="BA286"/>
  <c r="BE286"/>
  <c r="AV287"/>
  <c r="AZ287"/>
  <c r="BD287"/>
  <c r="BH287"/>
  <c r="AU288"/>
  <c r="AY288"/>
  <c r="BC288"/>
  <c r="BG288"/>
  <c r="AT289"/>
  <c r="AX289"/>
  <c r="BB289"/>
  <c r="BF289"/>
  <c r="AW290"/>
  <c r="BA290"/>
  <c r="BE290"/>
  <c r="AV291"/>
  <c r="AZ291"/>
  <c r="BD291"/>
  <c r="BH291"/>
  <c r="AU292"/>
  <c r="AY292"/>
  <c r="BC292"/>
  <c r="BG292"/>
  <c r="AT293"/>
  <c r="AX293"/>
  <c r="BB293"/>
  <c r="BF293"/>
  <c r="AW294"/>
  <c r="BA294"/>
  <c r="BE294"/>
  <c r="AV295"/>
  <c r="AZ295"/>
  <c r="BD295"/>
  <c r="BH295"/>
  <c r="AU296"/>
  <c r="AY296"/>
  <c r="BC296"/>
  <c r="BG296"/>
  <c r="AT297"/>
  <c r="AX297"/>
  <c r="BB297"/>
  <c r="BF297"/>
  <c r="AW298"/>
  <c r="BA298"/>
  <c r="BE298"/>
  <c r="AV299"/>
  <c r="AZ299"/>
  <c r="BD299"/>
  <c r="BH299"/>
  <c r="AU300"/>
  <c r="AY300"/>
  <c r="BC300"/>
  <c r="BG300"/>
  <c r="AT301"/>
  <c r="AX301"/>
  <c r="BB301"/>
  <c r="BF301"/>
  <c r="AW302"/>
  <c r="BA302"/>
  <c r="BE302"/>
  <c r="AV303"/>
  <c r="AZ303"/>
  <c r="BD303"/>
  <c r="BH303"/>
  <c r="AU304"/>
  <c r="AY304"/>
  <c r="BC304"/>
  <c r="BG304"/>
  <c r="AT305"/>
  <c r="AX305"/>
  <c r="BB305"/>
  <c r="BF305"/>
  <c r="AW306"/>
  <c r="BA306"/>
  <c r="BE306"/>
  <c r="AV307"/>
  <c r="AZ307"/>
  <c r="BD307"/>
  <c r="BH307"/>
  <c r="AU308"/>
  <c r="AY308"/>
  <c r="BC308"/>
  <c r="BG308"/>
  <c r="AT309"/>
  <c r="AX309"/>
  <c r="AT202"/>
  <c r="BC209"/>
  <c r="BE211"/>
  <c r="AZ216"/>
  <c r="AT218"/>
  <c r="AW219"/>
  <c r="AU225"/>
  <c r="AT226"/>
  <c r="AW227"/>
  <c r="AU228"/>
  <c r="BE231"/>
  <c r="AZ232"/>
  <c r="AT233"/>
  <c r="BE236"/>
  <c r="AY237"/>
  <c r="BC238"/>
  <c r="AZ239"/>
  <c r="BH239"/>
  <c r="BA240"/>
  <c r="AW241"/>
  <c r="BE241"/>
  <c r="BA242"/>
  <c r="AW243"/>
  <c r="BE243"/>
  <c r="BA244"/>
  <c r="AW245"/>
  <c r="BE245"/>
  <c r="BA246"/>
  <c r="AW247"/>
  <c r="BE247"/>
  <c r="BA248"/>
  <c r="AT249"/>
  <c r="BB249"/>
  <c r="AY250"/>
  <c r="BG250"/>
  <c r="AV251"/>
  <c r="BD251"/>
  <c r="BA252"/>
  <c r="AX253"/>
  <c r="BF253"/>
  <c r="AU254"/>
  <c r="BC254"/>
  <c r="AV255"/>
  <c r="BB255"/>
  <c r="BG255"/>
  <c r="AT256"/>
  <c r="AX256"/>
  <c r="BB256"/>
  <c r="BF256"/>
  <c r="AW257"/>
  <c r="BA257"/>
  <c r="BE257"/>
  <c r="AV258"/>
  <c r="AZ258"/>
  <c r="BD258"/>
  <c r="BH258"/>
  <c r="AU259"/>
  <c r="AY259"/>
  <c r="BC259"/>
  <c r="BG259"/>
  <c r="AT260"/>
  <c r="AX260"/>
  <c r="BB260"/>
  <c r="BF260"/>
  <c r="AW261"/>
  <c r="BA261"/>
  <c r="BE261"/>
  <c r="AV262"/>
  <c r="AZ262"/>
  <c r="BD262"/>
  <c r="BH262"/>
  <c r="AU263"/>
  <c r="AY263"/>
  <c r="BC263"/>
  <c r="BG263"/>
  <c r="AT264"/>
  <c r="AX264"/>
  <c r="BB264"/>
  <c r="BF264"/>
  <c r="AW265"/>
  <c r="BA265"/>
  <c r="BE265"/>
  <c r="AV266"/>
  <c r="AZ266"/>
  <c r="BD266"/>
  <c r="BH266"/>
  <c r="AU267"/>
  <c r="AY267"/>
  <c r="BC267"/>
  <c r="BG267"/>
  <c r="AT268"/>
  <c r="AX268"/>
  <c r="BB268"/>
  <c r="BF268"/>
  <c r="AW269"/>
  <c r="BA269"/>
  <c r="BE269"/>
  <c r="AV270"/>
  <c r="AZ270"/>
  <c r="BD270"/>
  <c r="BI270" s="1"/>
  <c r="BH270"/>
  <c r="AU271"/>
  <c r="AY271"/>
  <c r="BC271"/>
  <c r="BG271"/>
  <c r="AT272"/>
  <c r="AX272"/>
  <c r="BB272"/>
  <c r="BF272"/>
  <c r="AW273"/>
  <c r="BA273"/>
  <c r="BE273"/>
  <c r="AV274"/>
  <c r="AZ274"/>
  <c r="BD274"/>
  <c r="BH274"/>
  <c r="AU275"/>
  <c r="AY275"/>
  <c r="BC275"/>
  <c r="BG275"/>
  <c r="AT276"/>
  <c r="AX276"/>
  <c r="BB276"/>
  <c r="BF276"/>
  <c r="AV277"/>
  <c r="AZ277"/>
  <c r="BD277"/>
  <c r="BI277" s="1"/>
  <c r="BH277"/>
  <c r="AT278"/>
  <c r="AX278"/>
  <c r="BB278"/>
  <c r="BF278"/>
  <c r="AW279"/>
  <c r="BA279"/>
  <c r="BE279"/>
  <c r="AV280"/>
  <c r="AZ280"/>
  <c r="BD280"/>
  <c r="BH280"/>
  <c r="AU281"/>
  <c r="AY281"/>
  <c r="BC281"/>
  <c r="BG281"/>
  <c r="AT282"/>
  <c r="AX282"/>
  <c r="BB282"/>
  <c r="BF282"/>
  <c r="AW283"/>
  <c r="BA283"/>
  <c r="BE283"/>
  <c r="AV284"/>
  <c r="AZ284"/>
  <c r="BD284"/>
  <c r="BH284"/>
  <c r="AU285"/>
  <c r="AY285"/>
  <c r="BC285"/>
  <c r="AW166"/>
  <c r="BG192"/>
  <c r="BH201"/>
  <c r="AZ204"/>
  <c r="AT206"/>
  <c r="BC213"/>
  <c r="BE215"/>
  <c r="BB218"/>
  <c r="BE219"/>
  <c r="BA224"/>
  <c r="BC225"/>
  <c r="BB226"/>
  <c r="BE227"/>
  <c r="AZ228"/>
  <c r="AT229"/>
  <c r="BE232"/>
  <c r="AY233"/>
  <c r="AX234"/>
  <c r="AT235"/>
  <c r="BD237"/>
  <c r="AU238"/>
  <c r="BF238"/>
  <c r="AT239"/>
  <c r="BB239"/>
  <c r="AU240"/>
  <c r="BC240"/>
  <c r="AY241"/>
  <c r="BG241"/>
  <c r="AU242"/>
  <c r="BC242"/>
  <c r="AY243"/>
  <c r="BG243"/>
  <c r="AU244"/>
  <c r="BC244"/>
  <c r="AY245"/>
  <c r="BG245"/>
  <c r="AU246"/>
  <c r="BC246"/>
  <c r="AY247"/>
  <c r="BG247"/>
  <c r="AU248"/>
  <c r="BC248"/>
  <c r="AV249"/>
  <c r="BD249"/>
  <c r="BI249" s="1"/>
  <c r="BA250"/>
  <c r="AX251"/>
  <c r="BF251"/>
  <c r="AU252"/>
  <c r="BC252"/>
  <c r="AZ253"/>
  <c r="BH253"/>
  <c r="AW254"/>
  <c r="BE254"/>
  <c r="AX255"/>
  <c r="BC255"/>
  <c r="BH255"/>
  <c r="AU256"/>
  <c r="AY256"/>
  <c r="BC256"/>
  <c r="BG256"/>
  <c r="AT257"/>
  <c r="AX257"/>
  <c r="BB257"/>
  <c r="BF257"/>
  <c r="AW258"/>
  <c r="BA258"/>
  <c r="BE258"/>
  <c r="AV259"/>
  <c r="AZ259"/>
  <c r="BD259"/>
  <c r="BH259"/>
  <c r="AU260"/>
  <c r="AY260"/>
  <c r="BC260"/>
  <c r="BG260"/>
  <c r="AT261"/>
  <c r="AX261"/>
  <c r="BB261"/>
  <c r="BF261"/>
  <c r="AW262"/>
  <c r="BA262"/>
  <c r="BE262"/>
  <c r="AV263"/>
  <c r="AZ263"/>
  <c r="BD263"/>
  <c r="BH263"/>
  <c r="AU264"/>
  <c r="AY264"/>
  <c r="BC264"/>
  <c r="BG264"/>
  <c r="AT265"/>
  <c r="AX265"/>
  <c r="BB265"/>
  <c r="BF265"/>
  <c r="AW266"/>
  <c r="BA266"/>
  <c r="BE266"/>
  <c r="AV267"/>
  <c r="AZ267"/>
  <c r="BD267"/>
  <c r="BH267"/>
  <c r="AU268"/>
  <c r="AY268"/>
  <c r="BC268"/>
  <c r="BG268"/>
  <c r="AT269"/>
  <c r="AX269"/>
  <c r="BB269"/>
  <c r="BF269"/>
  <c r="AW270"/>
  <c r="BA270"/>
  <c r="BE270"/>
  <c r="AV271"/>
  <c r="AZ271"/>
  <c r="BD271"/>
  <c r="BH271"/>
  <c r="AU272"/>
  <c r="AY272"/>
  <c r="BC272"/>
  <c r="BG272"/>
  <c r="AT273"/>
  <c r="AX273"/>
  <c r="BB273"/>
  <c r="BF273"/>
  <c r="AW274"/>
  <c r="BA274"/>
  <c r="BE274"/>
  <c r="AV275"/>
  <c r="AZ275"/>
  <c r="BD275"/>
  <c r="BH275"/>
  <c r="AU276"/>
  <c r="AY276"/>
  <c r="BC276"/>
  <c r="BG276"/>
  <c r="AW277"/>
  <c r="BA277"/>
  <c r="BE277"/>
  <c r="AU278"/>
  <c r="AY278"/>
  <c r="BC278"/>
  <c r="BG278"/>
  <c r="AT279"/>
  <c r="AX279"/>
  <c r="BB279"/>
  <c r="BF279"/>
  <c r="AW280"/>
  <c r="BA280"/>
  <c r="BE280"/>
  <c r="AV281"/>
  <c r="AZ281"/>
  <c r="BD281"/>
  <c r="BH281"/>
  <c r="AU282"/>
  <c r="AY282"/>
  <c r="BC282"/>
  <c r="BG282"/>
  <c r="AT283"/>
  <c r="AX283"/>
  <c r="BB283"/>
  <c r="BF283"/>
  <c r="AW284"/>
  <c r="BA284"/>
  <c r="BE284"/>
  <c r="AV285"/>
  <c r="AZ285"/>
  <c r="BD285"/>
  <c r="BH285"/>
  <c r="AU286"/>
  <c r="AY286"/>
  <c r="BC286"/>
  <c r="BG286"/>
  <c r="AT287"/>
  <c r="AX287"/>
  <c r="BB287"/>
  <c r="BF287"/>
  <c r="AW288"/>
  <c r="BA288"/>
  <c r="BE288"/>
  <c r="AV289"/>
  <c r="AZ289"/>
  <c r="BD289"/>
  <c r="BH289"/>
  <c r="AU290"/>
  <c r="AY290"/>
  <c r="BC290"/>
  <c r="BG290"/>
  <c r="AT291"/>
  <c r="AX291"/>
  <c r="BB291"/>
  <c r="BF291"/>
  <c r="BG285"/>
  <c r="AX286"/>
  <c r="AZ288"/>
  <c r="BH288"/>
  <c r="AW289"/>
  <c r="BE289"/>
  <c r="AT290"/>
  <c r="BB290"/>
  <c r="AY291"/>
  <c r="BG291"/>
  <c r="AV292"/>
  <c r="BA292"/>
  <c r="BF292"/>
  <c r="AU293"/>
  <c r="AZ293"/>
  <c r="BE293"/>
  <c r="AX294"/>
  <c r="BC294"/>
  <c r="BH294"/>
  <c r="AU295"/>
  <c r="BA295"/>
  <c r="BF295"/>
  <c r="AT296"/>
  <c r="AZ296"/>
  <c r="BE296"/>
  <c r="AY297"/>
  <c r="BD297"/>
  <c r="AV298"/>
  <c r="BB298"/>
  <c r="BG298"/>
  <c r="AT299"/>
  <c r="AY299"/>
  <c r="BE299"/>
  <c r="AX300"/>
  <c r="BD300"/>
  <c r="AW301"/>
  <c r="BC301"/>
  <c r="BH301"/>
  <c r="AU302"/>
  <c r="AZ302"/>
  <c r="BF302"/>
  <c r="AX303"/>
  <c r="BC303"/>
  <c r="AW304"/>
  <c r="BB304"/>
  <c r="BH304"/>
  <c r="AV305"/>
  <c r="BA305"/>
  <c r="BG305"/>
  <c r="AT306"/>
  <c r="AY306"/>
  <c r="BD306"/>
  <c r="AW307"/>
  <c r="BB307"/>
  <c r="BG307"/>
  <c r="AV308"/>
  <c r="BA308"/>
  <c r="BF308"/>
  <c r="AU309"/>
  <c r="AZ309"/>
  <c r="BD309"/>
  <c r="BH309"/>
  <c r="AU310"/>
  <c r="AY310"/>
  <c r="BC310"/>
  <c r="BG310"/>
  <c r="AT311"/>
  <c r="AX311"/>
  <c r="BB311"/>
  <c r="BF311"/>
  <c r="AW312"/>
  <c r="BA312"/>
  <c r="BE312"/>
  <c r="AV313"/>
  <c r="AZ313"/>
  <c r="BD313"/>
  <c r="BH313"/>
  <c r="AU314"/>
  <c r="AY314"/>
  <c r="BC314"/>
  <c r="BG314"/>
  <c r="AT315"/>
  <c r="AX315"/>
  <c r="BB315"/>
  <c r="BF315"/>
  <c r="AW316"/>
  <c r="BA316"/>
  <c r="BE316"/>
  <c r="AV317"/>
  <c r="AZ317"/>
  <c r="BD317"/>
  <c r="BH317"/>
  <c r="AU318"/>
  <c r="AY318"/>
  <c r="BC318"/>
  <c r="BG318"/>
  <c r="AT319"/>
  <c r="AX319"/>
  <c r="BB319"/>
  <c r="BF319"/>
  <c r="AW320"/>
  <c r="BA320"/>
  <c r="BE320"/>
  <c r="AV321"/>
  <c r="AZ321"/>
  <c r="BD321"/>
  <c r="BH321"/>
  <c r="AT322"/>
  <c r="AX322"/>
  <c r="BB322"/>
  <c r="BF322"/>
  <c r="AW323"/>
  <c r="BA323"/>
  <c r="BE323"/>
  <c r="AV324"/>
  <c r="AZ324"/>
  <c r="BD324"/>
  <c r="BH324"/>
  <c r="AU325"/>
  <c r="AY325"/>
  <c r="BC325"/>
  <c r="BG325"/>
  <c r="AT326"/>
  <c r="AX326"/>
  <c r="BB326"/>
  <c r="BF326"/>
  <c r="AW327"/>
  <c r="BA327"/>
  <c r="BE327"/>
  <c r="AV328"/>
  <c r="AZ328"/>
  <c r="BD328"/>
  <c r="BH328"/>
  <c r="AU329"/>
  <c r="AY329"/>
  <c r="BC329"/>
  <c r="BG329"/>
  <c r="AT330"/>
  <c r="AX330"/>
  <c r="BB330"/>
  <c r="BF330"/>
  <c r="AW331"/>
  <c r="BA331"/>
  <c r="BE331"/>
  <c r="AV332"/>
  <c r="AZ332"/>
  <c r="BD332"/>
  <c r="BH332"/>
  <c r="AU333"/>
  <c r="AY333"/>
  <c r="BC333"/>
  <c r="BG333"/>
  <c r="AT334"/>
  <c r="AX334"/>
  <c r="BB334"/>
  <c r="BF334"/>
  <c r="AW335"/>
  <c r="BA335"/>
  <c r="BE335"/>
  <c r="AV336"/>
  <c r="AZ336"/>
  <c r="BD336"/>
  <c r="BH336"/>
  <c r="AU337"/>
  <c r="AY337"/>
  <c r="BC337"/>
  <c r="BG337"/>
  <c r="AT338"/>
  <c r="AX338"/>
  <c r="BB338"/>
  <c r="BF338"/>
  <c r="AW339"/>
  <c r="BA339"/>
  <c r="BE339"/>
  <c r="AV340"/>
  <c r="AZ340"/>
  <c r="BD340"/>
  <c r="BH340"/>
  <c r="AU341"/>
  <c r="AY341"/>
  <c r="BC341"/>
  <c r="BG341"/>
  <c r="AT342"/>
  <c r="AX342"/>
  <c r="BB342"/>
  <c r="BF342"/>
  <c r="AW343"/>
  <c r="BA343"/>
  <c r="BE343"/>
  <c r="AV344"/>
  <c r="AZ344"/>
  <c r="BD344"/>
  <c r="BH344"/>
  <c r="AU345"/>
  <c r="AY345"/>
  <c r="BC345"/>
  <c r="BG345"/>
  <c r="AT346"/>
  <c r="AX346"/>
  <c r="BB346"/>
  <c r="BF346"/>
  <c r="AV347"/>
  <c r="AZ347"/>
  <c r="BD347"/>
  <c r="BH347"/>
  <c r="AU348"/>
  <c r="AY348"/>
  <c r="BC348"/>
  <c r="BG348"/>
  <c r="AW349"/>
  <c r="BA349"/>
  <c r="BE349"/>
  <c r="AV350"/>
  <c r="AZ350"/>
  <c r="BD350"/>
  <c r="BH350"/>
  <c r="AU351"/>
  <c r="AY351"/>
  <c r="BC351"/>
  <c r="BG351"/>
  <c r="AT352"/>
  <c r="AX352"/>
  <c r="BB352"/>
  <c r="BF352"/>
  <c r="AW353"/>
  <c r="BA353"/>
  <c r="BE353"/>
  <c r="AV354"/>
  <c r="AZ354"/>
  <c r="BD354"/>
  <c r="BH354"/>
  <c r="AU355"/>
  <c r="AY355"/>
  <c r="BC355"/>
  <c r="BG355"/>
  <c r="AT356"/>
  <c r="AX356"/>
  <c r="BB356"/>
  <c r="BF356"/>
  <c r="AW357"/>
  <c r="BA357"/>
  <c r="BE357"/>
  <c r="AV358"/>
  <c r="AZ358"/>
  <c r="BD358"/>
  <c r="BH358"/>
  <c r="AU359"/>
  <c r="AY359"/>
  <c r="BC359"/>
  <c r="BG359"/>
  <c r="AT360"/>
  <c r="AX360"/>
  <c r="BB360"/>
  <c r="BF360"/>
  <c r="AW361"/>
  <c r="BA361"/>
  <c r="BE361"/>
  <c r="AV362"/>
  <c r="AZ362"/>
  <c r="BD362"/>
  <c r="BH362"/>
  <c r="AU363"/>
  <c r="AY363"/>
  <c r="BC363"/>
  <c r="BG363"/>
  <c r="AT364"/>
  <c r="AX364"/>
  <c r="BB364"/>
  <c r="BF364"/>
  <c r="AW365"/>
  <c r="BA365"/>
  <c r="BE365"/>
  <c r="AV366"/>
  <c r="AZ366"/>
  <c r="BD366"/>
  <c r="BH366"/>
  <c r="AU367"/>
  <c r="AY367"/>
  <c r="BC367"/>
  <c r="BG367"/>
  <c r="AT368"/>
  <c r="AX368"/>
  <c r="BB368"/>
  <c r="BF368"/>
  <c r="AW369"/>
  <c r="BA369"/>
  <c r="BE369"/>
  <c r="AV370"/>
  <c r="AZ370"/>
  <c r="BD370"/>
  <c r="BH370"/>
  <c r="AU371"/>
  <c r="AY371"/>
  <c r="BC371"/>
  <c r="BG371"/>
  <c r="AT372"/>
  <c r="AX372"/>
  <c r="BB372"/>
  <c r="BF372"/>
  <c r="AW373"/>
  <c r="BA373"/>
  <c r="BE373"/>
  <c r="AV374"/>
  <c r="AZ374"/>
  <c r="BD374"/>
  <c r="BH374"/>
  <c r="AU375"/>
  <c r="BB286"/>
  <c r="AW287"/>
  <c r="BB288"/>
  <c r="AY289"/>
  <c r="BG289"/>
  <c r="AV290"/>
  <c r="BD290"/>
  <c r="BA291"/>
  <c r="AW292"/>
  <c r="BB292"/>
  <c r="BH292"/>
  <c r="AV293"/>
  <c r="BA293"/>
  <c r="BG293"/>
  <c r="AT294"/>
  <c r="AY294"/>
  <c r="BD294"/>
  <c r="AW295"/>
  <c r="BB295"/>
  <c r="BG295"/>
  <c r="AV296"/>
  <c r="BA296"/>
  <c r="BF296"/>
  <c r="AU297"/>
  <c r="AZ297"/>
  <c r="BE297"/>
  <c r="AX298"/>
  <c r="BC298"/>
  <c r="BH298"/>
  <c r="AU299"/>
  <c r="BA299"/>
  <c r="BF299"/>
  <c r="AT300"/>
  <c r="AZ300"/>
  <c r="BE300"/>
  <c r="AY301"/>
  <c r="BD301"/>
  <c r="AV302"/>
  <c r="BB302"/>
  <c r="BG302"/>
  <c r="AT303"/>
  <c r="AY303"/>
  <c r="BE303"/>
  <c r="AX304"/>
  <c r="BD304"/>
  <c r="AW305"/>
  <c r="BC305"/>
  <c r="BH305"/>
  <c r="AU306"/>
  <c r="AZ306"/>
  <c r="BF306"/>
  <c r="AX307"/>
  <c r="BC307"/>
  <c r="AW308"/>
  <c r="BB308"/>
  <c r="BH308"/>
  <c r="AV309"/>
  <c r="BA309"/>
  <c r="BE309"/>
  <c r="AV310"/>
  <c r="AZ310"/>
  <c r="BD310"/>
  <c r="BH310"/>
  <c r="AU311"/>
  <c r="AY311"/>
  <c r="BC311"/>
  <c r="BG311"/>
  <c r="AT312"/>
  <c r="AX312"/>
  <c r="BB312"/>
  <c r="BF312"/>
  <c r="AW313"/>
  <c r="BA313"/>
  <c r="BE313"/>
  <c r="AV314"/>
  <c r="AZ314"/>
  <c r="BD314"/>
  <c r="BH314"/>
  <c r="AU315"/>
  <c r="AY315"/>
  <c r="BC315"/>
  <c r="BG315"/>
  <c r="AT316"/>
  <c r="AX316"/>
  <c r="BB316"/>
  <c r="BF316"/>
  <c r="AW317"/>
  <c r="BA317"/>
  <c r="BE317"/>
  <c r="AV318"/>
  <c r="AZ318"/>
  <c r="BD318"/>
  <c r="BH318"/>
  <c r="AU319"/>
  <c r="AY319"/>
  <c r="BC319"/>
  <c r="BG319"/>
  <c r="AT320"/>
  <c r="AX320"/>
  <c r="BB320"/>
  <c r="BF320"/>
  <c r="AW321"/>
  <c r="BA321"/>
  <c r="BE321"/>
  <c r="AU322"/>
  <c r="AY322"/>
  <c r="BC322"/>
  <c r="BG322"/>
  <c r="AT323"/>
  <c r="AX323"/>
  <c r="BB323"/>
  <c r="BF323"/>
  <c r="AW324"/>
  <c r="BA324"/>
  <c r="BE324"/>
  <c r="AV325"/>
  <c r="AZ325"/>
  <c r="BD325"/>
  <c r="BH325"/>
  <c r="AU326"/>
  <c r="AY326"/>
  <c r="BC326"/>
  <c r="BG326"/>
  <c r="AT327"/>
  <c r="AX327"/>
  <c r="BB327"/>
  <c r="BF327"/>
  <c r="AW328"/>
  <c r="BA328"/>
  <c r="BE328"/>
  <c r="AV329"/>
  <c r="AZ329"/>
  <c r="BD329"/>
  <c r="BH329"/>
  <c r="AU330"/>
  <c r="AY330"/>
  <c r="BC330"/>
  <c r="BG330"/>
  <c r="AT331"/>
  <c r="AX331"/>
  <c r="BB331"/>
  <c r="BF331"/>
  <c r="AW332"/>
  <c r="BA332"/>
  <c r="BE332"/>
  <c r="AV333"/>
  <c r="AZ333"/>
  <c r="BD333"/>
  <c r="BH333"/>
  <c r="AU334"/>
  <c r="AY334"/>
  <c r="BC334"/>
  <c r="BG334"/>
  <c r="AT335"/>
  <c r="AX335"/>
  <c r="BB335"/>
  <c r="BF335"/>
  <c r="AW336"/>
  <c r="BA336"/>
  <c r="BE336"/>
  <c r="AV337"/>
  <c r="AZ337"/>
  <c r="BD337"/>
  <c r="BH337"/>
  <c r="AU338"/>
  <c r="AY338"/>
  <c r="BC338"/>
  <c r="BG338"/>
  <c r="AT339"/>
  <c r="AX339"/>
  <c r="BB339"/>
  <c r="BF339"/>
  <c r="AW340"/>
  <c r="BA340"/>
  <c r="BE340"/>
  <c r="AV341"/>
  <c r="AZ341"/>
  <c r="BD341"/>
  <c r="BH341"/>
  <c r="AU342"/>
  <c r="AY342"/>
  <c r="BC342"/>
  <c r="BG342"/>
  <c r="AT343"/>
  <c r="AX343"/>
  <c r="BB343"/>
  <c r="BF343"/>
  <c r="AW344"/>
  <c r="BA344"/>
  <c r="BE344"/>
  <c r="AV345"/>
  <c r="AZ345"/>
  <c r="BD345"/>
  <c r="BH345"/>
  <c r="AU346"/>
  <c r="AY346"/>
  <c r="BC346"/>
  <c r="BG346"/>
  <c r="AW347"/>
  <c r="BA347"/>
  <c r="BE347"/>
  <c r="AV348"/>
  <c r="AZ348"/>
  <c r="BD348"/>
  <c r="BH348"/>
  <c r="AT349"/>
  <c r="AX349"/>
  <c r="BB349"/>
  <c r="BF349"/>
  <c r="AW350"/>
  <c r="BA350"/>
  <c r="BE350"/>
  <c r="AV351"/>
  <c r="AZ351"/>
  <c r="BD351"/>
  <c r="BH351"/>
  <c r="AU352"/>
  <c r="AY352"/>
  <c r="BC352"/>
  <c r="BG352"/>
  <c r="AT353"/>
  <c r="AX353"/>
  <c r="BB353"/>
  <c r="BF353"/>
  <c r="AW354"/>
  <c r="BA354"/>
  <c r="BE354"/>
  <c r="AV355"/>
  <c r="AZ355"/>
  <c r="BD355"/>
  <c r="BH355"/>
  <c r="AU356"/>
  <c r="AY356"/>
  <c r="BC356"/>
  <c r="BG356"/>
  <c r="AT357"/>
  <c r="AX357"/>
  <c r="BB357"/>
  <c r="BF357"/>
  <c r="AW358"/>
  <c r="BA358"/>
  <c r="BE358"/>
  <c r="AV359"/>
  <c r="AZ359"/>
  <c r="BD359"/>
  <c r="BH359"/>
  <c r="AU360"/>
  <c r="AY360"/>
  <c r="BC360"/>
  <c r="BG360"/>
  <c r="AT361"/>
  <c r="AX361"/>
  <c r="BB361"/>
  <c r="BF361"/>
  <c r="AW362"/>
  <c r="BA362"/>
  <c r="BE362"/>
  <c r="AV363"/>
  <c r="AZ363"/>
  <c r="BD363"/>
  <c r="BH363"/>
  <c r="AU364"/>
  <c r="AY364"/>
  <c r="BC364"/>
  <c r="BG364"/>
  <c r="AT365"/>
  <c r="AX365"/>
  <c r="BB365"/>
  <c r="BF365"/>
  <c r="AW366"/>
  <c r="BA366"/>
  <c r="BE366"/>
  <c r="AV367"/>
  <c r="AZ367"/>
  <c r="BD367"/>
  <c r="BH367"/>
  <c r="AU368"/>
  <c r="AY368"/>
  <c r="BC368"/>
  <c r="BG368"/>
  <c r="AT369"/>
  <c r="AX369"/>
  <c r="BB369"/>
  <c r="BF369"/>
  <c r="AW370"/>
  <c r="BA370"/>
  <c r="BE370"/>
  <c r="AV371"/>
  <c r="AZ371"/>
  <c r="BD371"/>
  <c r="BH371"/>
  <c r="AU372"/>
  <c r="AY372"/>
  <c r="BC372"/>
  <c r="BG372"/>
  <c r="AT373"/>
  <c r="AX373"/>
  <c r="BB373"/>
  <c r="BF373"/>
  <c r="AW374"/>
  <c r="BA374"/>
  <c r="BE374"/>
  <c r="BF286"/>
  <c r="BA287"/>
  <c r="AV288"/>
  <c r="BD288"/>
  <c r="BA289"/>
  <c r="AX290"/>
  <c r="BF290"/>
  <c r="AU291"/>
  <c r="BC291"/>
  <c r="AX292"/>
  <c r="BD292"/>
  <c r="AW293"/>
  <c r="BC293"/>
  <c r="BH293"/>
  <c r="AU294"/>
  <c r="AZ294"/>
  <c r="BF294"/>
  <c r="AX295"/>
  <c r="BC295"/>
  <c r="AW296"/>
  <c r="BB296"/>
  <c r="BH296"/>
  <c r="AV297"/>
  <c r="BA297"/>
  <c r="BG297"/>
  <c r="AT298"/>
  <c r="AY298"/>
  <c r="BD298"/>
  <c r="BI298" s="1"/>
  <c r="AW299"/>
  <c r="BB299"/>
  <c r="BI299" s="1"/>
  <c r="BG299"/>
  <c r="AV300"/>
  <c r="BA300"/>
  <c r="BF300"/>
  <c r="AU301"/>
  <c r="AZ301"/>
  <c r="BE301"/>
  <c r="AX302"/>
  <c r="BC302"/>
  <c r="BH302"/>
  <c r="AU303"/>
  <c r="BA303"/>
  <c r="BF303"/>
  <c r="AT304"/>
  <c r="AZ304"/>
  <c r="BE304"/>
  <c r="AY305"/>
  <c r="BD305"/>
  <c r="AV306"/>
  <c r="BB306"/>
  <c r="BG306"/>
  <c r="AT307"/>
  <c r="AY307"/>
  <c r="BE307"/>
  <c r="AX308"/>
  <c r="BD308"/>
  <c r="AW309"/>
  <c r="BB309"/>
  <c r="BF309"/>
  <c r="AW310"/>
  <c r="BA310"/>
  <c r="BE310"/>
  <c r="AV311"/>
  <c r="AZ311"/>
  <c r="BD311"/>
  <c r="BH311"/>
  <c r="AU312"/>
  <c r="AY312"/>
  <c r="BC312"/>
  <c r="BG312"/>
  <c r="AT313"/>
  <c r="AX313"/>
  <c r="BB313"/>
  <c r="BF313"/>
  <c r="AW314"/>
  <c r="BA314"/>
  <c r="BE314"/>
  <c r="AV315"/>
  <c r="AZ315"/>
  <c r="BD315"/>
  <c r="BH315"/>
  <c r="AU316"/>
  <c r="AY316"/>
  <c r="BC316"/>
  <c r="BG316"/>
  <c r="AT317"/>
  <c r="AX317"/>
  <c r="BB317"/>
  <c r="BF317"/>
  <c r="AW318"/>
  <c r="BA318"/>
  <c r="BE318"/>
  <c r="AV319"/>
  <c r="AZ319"/>
  <c r="BD319"/>
  <c r="BH319"/>
  <c r="AU320"/>
  <c r="AY320"/>
  <c r="BC320"/>
  <c r="BG320"/>
  <c r="AT321"/>
  <c r="AX321"/>
  <c r="BB321"/>
  <c r="BF321"/>
  <c r="AV322"/>
  <c r="AZ322"/>
  <c r="BD322"/>
  <c r="BH322"/>
  <c r="AU323"/>
  <c r="AY323"/>
  <c r="BC323"/>
  <c r="BG323"/>
  <c r="AT324"/>
  <c r="AX324"/>
  <c r="BB324"/>
  <c r="BF324"/>
  <c r="AW325"/>
  <c r="BA325"/>
  <c r="BE325"/>
  <c r="AV326"/>
  <c r="AZ326"/>
  <c r="BD326"/>
  <c r="BH326"/>
  <c r="AU327"/>
  <c r="AY327"/>
  <c r="BC327"/>
  <c r="BG327"/>
  <c r="AT328"/>
  <c r="AX328"/>
  <c r="BB328"/>
  <c r="BF328"/>
  <c r="AW329"/>
  <c r="BA329"/>
  <c r="BE329"/>
  <c r="AV330"/>
  <c r="AZ330"/>
  <c r="BD330"/>
  <c r="BH330"/>
  <c r="AU331"/>
  <c r="AY331"/>
  <c r="BC331"/>
  <c r="BG331"/>
  <c r="AT332"/>
  <c r="AX332"/>
  <c r="BB332"/>
  <c r="BF332"/>
  <c r="AW333"/>
  <c r="BA333"/>
  <c r="BE333"/>
  <c r="AV334"/>
  <c r="AZ334"/>
  <c r="BD334"/>
  <c r="BH334"/>
  <c r="AU335"/>
  <c r="AY335"/>
  <c r="BC335"/>
  <c r="BG335"/>
  <c r="AT336"/>
  <c r="AX336"/>
  <c r="BB336"/>
  <c r="BF336"/>
  <c r="AW337"/>
  <c r="BA337"/>
  <c r="BE337"/>
  <c r="AV338"/>
  <c r="AZ338"/>
  <c r="BD338"/>
  <c r="BH338"/>
  <c r="AU339"/>
  <c r="AY339"/>
  <c r="BC339"/>
  <c r="BG339"/>
  <c r="AT340"/>
  <c r="AX340"/>
  <c r="BB340"/>
  <c r="BF340"/>
  <c r="AW341"/>
  <c r="BA341"/>
  <c r="BE341"/>
  <c r="AV342"/>
  <c r="AZ342"/>
  <c r="BD342"/>
  <c r="BH342"/>
  <c r="AU343"/>
  <c r="AY343"/>
  <c r="BC343"/>
  <c r="BG343"/>
  <c r="AT344"/>
  <c r="AX344"/>
  <c r="BB344"/>
  <c r="BF344"/>
  <c r="AW345"/>
  <c r="BA345"/>
  <c r="BE345"/>
  <c r="AV346"/>
  <c r="AZ346"/>
  <c r="BD346"/>
  <c r="BH346"/>
  <c r="AT347"/>
  <c r="AX347"/>
  <c r="BB347"/>
  <c r="BF347"/>
  <c r="AW348"/>
  <c r="BA348"/>
  <c r="BE348"/>
  <c r="AU349"/>
  <c r="AY349"/>
  <c r="BC349"/>
  <c r="BG349"/>
  <c r="AT350"/>
  <c r="AX350"/>
  <c r="BB350"/>
  <c r="BF350"/>
  <c r="AW351"/>
  <c r="BA351"/>
  <c r="BE351"/>
  <c r="AV352"/>
  <c r="AZ352"/>
  <c r="BD352"/>
  <c r="BH352"/>
  <c r="AU353"/>
  <c r="AY353"/>
  <c r="BC353"/>
  <c r="BG353"/>
  <c r="AT354"/>
  <c r="AX354"/>
  <c r="BB354"/>
  <c r="BF354"/>
  <c r="AW355"/>
  <c r="BA355"/>
  <c r="BE355"/>
  <c r="AV356"/>
  <c r="AZ356"/>
  <c r="BD356"/>
  <c r="BH356"/>
  <c r="AU357"/>
  <c r="AY357"/>
  <c r="BC357"/>
  <c r="BG357"/>
  <c r="AT358"/>
  <c r="AX358"/>
  <c r="BB358"/>
  <c r="BF358"/>
  <c r="AW359"/>
  <c r="BA359"/>
  <c r="BE359"/>
  <c r="AV360"/>
  <c r="AZ360"/>
  <c r="BD360"/>
  <c r="BH360"/>
  <c r="AU361"/>
  <c r="AY361"/>
  <c r="BC361"/>
  <c r="BG361"/>
  <c r="AT362"/>
  <c r="AX362"/>
  <c r="BB362"/>
  <c r="BF362"/>
  <c r="AW363"/>
  <c r="BA363"/>
  <c r="BE363"/>
  <c r="AV364"/>
  <c r="AZ364"/>
  <c r="BD364"/>
  <c r="BH364"/>
  <c r="AU365"/>
  <c r="AY365"/>
  <c r="BC365"/>
  <c r="BG365"/>
  <c r="AT366"/>
  <c r="AX366"/>
  <c r="BB366"/>
  <c r="BF366"/>
  <c r="AW367"/>
  <c r="BA367"/>
  <c r="BE367"/>
  <c r="AV368"/>
  <c r="AZ368"/>
  <c r="BD368"/>
  <c r="BH368"/>
  <c r="AU369"/>
  <c r="AY369"/>
  <c r="BC369"/>
  <c r="BG369"/>
  <c r="AT370"/>
  <c r="AX370"/>
  <c r="BB370"/>
  <c r="BF370"/>
  <c r="AW371"/>
  <c r="BA371"/>
  <c r="BE371"/>
  <c r="AV372"/>
  <c r="AZ372"/>
  <c r="BD372"/>
  <c r="BH372"/>
  <c r="AU373"/>
  <c r="AY373"/>
  <c r="BC373"/>
  <c r="BG373"/>
  <c r="AT374"/>
  <c r="AX374"/>
  <c r="BB374"/>
  <c r="BF374"/>
  <c r="AW375"/>
  <c r="BA375"/>
  <c r="BE375"/>
  <c r="AV376"/>
  <c r="AZ376"/>
  <c r="BD376"/>
  <c r="BH376"/>
  <c r="AU377"/>
  <c r="AY377"/>
  <c r="BC377"/>
  <c r="BG377"/>
  <c r="AT378"/>
  <c r="DY378" i="43" s="1"/>
  <c r="AX378" i="24"/>
  <c r="BB378"/>
  <c r="BF378"/>
  <c r="AW379"/>
  <c r="BA379"/>
  <c r="BE379"/>
  <c r="AV380"/>
  <c r="AZ380"/>
  <c r="BD380"/>
  <c r="BH380"/>
  <c r="AU381"/>
  <c r="AY381"/>
  <c r="BC381"/>
  <c r="BG381"/>
  <c r="AT382"/>
  <c r="AX382"/>
  <c r="BB382"/>
  <c r="AT286"/>
  <c r="BE287"/>
  <c r="AX288"/>
  <c r="BF288"/>
  <c r="AU289"/>
  <c r="BC289"/>
  <c r="AZ290"/>
  <c r="BH290"/>
  <c r="AW291"/>
  <c r="BE291"/>
  <c r="AT292"/>
  <c r="AZ292"/>
  <c r="BE292"/>
  <c r="AY293"/>
  <c r="BD293"/>
  <c r="AV294"/>
  <c r="BB294"/>
  <c r="BG294"/>
  <c r="AT295"/>
  <c r="AY295"/>
  <c r="BE295"/>
  <c r="AX296"/>
  <c r="BD296"/>
  <c r="AW297"/>
  <c r="BC297"/>
  <c r="BH297"/>
  <c r="AU298"/>
  <c r="AZ298"/>
  <c r="BF298"/>
  <c r="AX299"/>
  <c r="BC299"/>
  <c r="AW300"/>
  <c r="BB300"/>
  <c r="BH300"/>
  <c r="AV301"/>
  <c r="BA301"/>
  <c r="BG301"/>
  <c r="AT302"/>
  <c r="AY302"/>
  <c r="BD302"/>
  <c r="AW303"/>
  <c r="BB303"/>
  <c r="BG303"/>
  <c r="AV304"/>
  <c r="BA304"/>
  <c r="BF304"/>
  <c r="AU305"/>
  <c r="AZ305"/>
  <c r="BE305"/>
  <c r="AX306"/>
  <c r="BC306"/>
  <c r="BH306"/>
  <c r="AU307"/>
  <c r="BA307"/>
  <c r="BF307"/>
  <c r="AT308"/>
  <c r="AZ308"/>
  <c r="BE308"/>
  <c r="AY309"/>
  <c r="BC309"/>
  <c r="BG309"/>
  <c r="AT310"/>
  <c r="AX310"/>
  <c r="BB310"/>
  <c r="BF310"/>
  <c r="AW311"/>
  <c r="BA311"/>
  <c r="BE311"/>
  <c r="AV312"/>
  <c r="AZ312"/>
  <c r="BD312"/>
  <c r="BH312"/>
  <c r="AU313"/>
  <c r="AY313"/>
  <c r="BC313"/>
  <c r="BG313"/>
  <c r="AT314"/>
  <c r="AX314"/>
  <c r="BB314"/>
  <c r="BF314"/>
  <c r="AW315"/>
  <c r="BA315"/>
  <c r="BE315"/>
  <c r="AV316"/>
  <c r="AZ316"/>
  <c r="BD316"/>
  <c r="BH316"/>
  <c r="AU317"/>
  <c r="AY317"/>
  <c r="BC317"/>
  <c r="BG317"/>
  <c r="AT318"/>
  <c r="AX318"/>
  <c r="BB318"/>
  <c r="BF318"/>
  <c r="AW319"/>
  <c r="BA319"/>
  <c r="BE319"/>
  <c r="AV320"/>
  <c r="AZ320"/>
  <c r="BD320"/>
  <c r="BH320"/>
  <c r="AU321"/>
  <c r="AY321"/>
  <c r="BC321"/>
  <c r="BG321"/>
  <c r="AW322"/>
  <c r="BA322"/>
  <c r="BE322"/>
  <c r="AV323"/>
  <c r="AZ323"/>
  <c r="BD323"/>
  <c r="BH323"/>
  <c r="AU324"/>
  <c r="AY324"/>
  <c r="BC324"/>
  <c r="BG324"/>
  <c r="AT325"/>
  <c r="AX325"/>
  <c r="BB325"/>
  <c r="BF325"/>
  <c r="AW326"/>
  <c r="BA326"/>
  <c r="BE326"/>
  <c r="AV327"/>
  <c r="AZ327"/>
  <c r="BD327"/>
  <c r="BH327"/>
  <c r="AU328"/>
  <c r="AY328"/>
  <c r="BC328"/>
  <c r="BG328"/>
  <c r="AT329"/>
  <c r="AX329"/>
  <c r="BB329"/>
  <c r="BF329"/>
  <c r="AW330"/>
  <c r="BA330"/>
  <c r="BE330"/>
  <c r="AV331"/>
  <c r="AZ331"/>
  <c r="BD331"/>
  <c r="BH331"/>
  <c r="AU332"/>
  <c r="AY332"/>
  <c r="BC332"/>
  <c r="BG332"/>
  <c r="AT333"/>
  <c r="AX333"/>
  <c r="BB333"/>
  <c r="BF333"/>
  <c r="AW334"/>
  <c r="DY334" i="43" s="1"/>
  <c r="BA334" i="24"/>
  <c r="BE334"/>
  <c r="AV335"/>
  <c r="AZ335"/>
  <c r="BD335"/>
  <c r="BH335"/>
  <c r="AU336"/>
  <c r="AY336"/>
  <c r="BC336"/>
  <c r="BG336"/>
  <c r="AT337"/>
  <c r="AX337"/>
  <c r="BB337"/>
  <c r="BF337"/>
  <c r="AW338"/>
  <c r="BA338"/>
  <c r="BE338"/>
  <c r="AV339"/>
  <c r="AZ339"/>
  <c r="BD339"/>
  <c r="BH339"/>
  <c r="AU340"/>
  <c r="AY340"/>
  <c r="BC340"/>
  <c r="BG340"/>
  <c r="AT341"/>
  <c r="AX341"/>
  <c r="BB341"/>
  <c r="BF341"/>
  <c r="AW342"/>
  <c r="BA342"/>
  <c r="BE342"/>
  <c r="AV343"/>
  <c r="AZ343"/>
  <c r="BD343"/>
  <c r="BH343"/>
  <c r="AU344"/>
  <c r="AY344"/>
  <c r="BC344"/>
  <c r="BG344"/>
  <c r="AT345"/>
  <c r="AX345"/>
  <c r="BB345"/>
  <c r="BF345"/>
  <c r="AW346"/>
  <c r="BA346"/>
  <c r="BE346"/>
  <c r="AU347"/>
  <c r="AY347"/>
  <c r="BC347"/>
  <c r="BG347"/>
  <c r="AT348"/>
  <c r="AX348"/>
  <c r="BB348"/>
  <c r="BI348" s="1"/>
  <c r="BF348"/>
  <c r="AV349"/>
  <c r="AZ349"/>
  <c r="BD349"/>
  <c r="BI349" s="1"/>
  <c r="BH349"/>
  <c r="AU350"/>
  <c r="AY350"/>
  <c r="BC350"/>
  <c r="BG350"/>
  <c r="AT351"/>
  <c r="AX351"/>
  <c r="BB351"/>
  <c r="BF351"/>
  <c r="AW352"/>
  <c r="BA352"/>
  <c r="BE352"/>
  <c r="AV353"/>
  <c r="AZ353"/>
  <c r="BD353"/>
  <c r="BI353" s="1"/>
  <c r="BH353"/>
  <c r="AU354"/>
  <c r="AY354"/>
  <c r="BC354"/>
  <c r="BG354"/>
  <c r="AT355"/>
  <c r="AX355"/>
  <c r="BB355"/>
  <c r="BF355"/>
  <c r="AW356"/>
  <c r="BA356"/>
  <c r="BE356"/>
  <c r="AV357"/>
  <c r="AZ357"/>
  <c r="BD357"/>
  <c r="BI357" s="1"/>
  <c r="BH357"/>
  <c r="AU358"/>
  <c r="AY358"/>
  <c r="BC358"/>
  <c r="BG358"/>
  <c r="AT359"/>
  <c r="AX359"/>
  <c r="BB359"/>
  <c r="BF359"/>
  <c r="AW360"/>
  <c r="BA360"/>
  <c r="BE360"/>
  <c r="AV361"/>
  <c r="AZ361"/>
  <c r="BD361"/>
  <c r="BI361" s="1"/>
  <c r="BH361"/>
  <c r="AU362"/>
  <c r="AY362"/>
  <c r="BC362"/>
  <c r="BG362"/>
  <c r="AT363"/>
  <c r="AX363"/>
  <c r="BB363"/>
  <c r="BF363"/>
  <c r="AW364"/>
  <c r="BA364"/>
  <c r="BE364"/>
  <c r="AV365"/>
  <c r="AZ365"/>
  <c r="BD365"/>
  <c r="BI365" s="1"/>
  <c r="BH365"/>
  <c r="AU366"/>
  <c r="AY366"/>
  <c r="BC366"/>
  <c r="BG366"/>
  <c r="AT367"/>
  <c r="AX367"/>
  <c r="BB367"/>
  <c r="BF367"/>
  <c r="AW368"/>
  <c r="BA368"/>
  <c r="BE368"/>
  <c r="AV369"/>
  <c r="AZ369"/>
  <c r="BD369"/>
  <c r="BI369" s="1"/>
  <c r="BH369"/>
  <c r="AU370"/>
  <c r="AY370"/>
  <c r="BC370"/>
  <c r="BG370"/>
  <c r="AT371"/>
  <c r="AX371"/>
  <c r="BB371"/>
  <c r="BF371"/>
  <c r="AW372"/>
  <c r="BA372"/>
  <c r="BE372"/>
  <c r="AV373"/>
  <c r="AZ373"/>
  <c r="BD373"/>
  <c r="BI373" s="1"/>
  <c r="BH373"/>
  <c r="AU374"/>
  <c r="AY374"/>
  <c r="BC374"/>
  <c r="BG374"/>
  <c r="AT375"/>
  <c r="AX375"/>
  <c r="BB375"/>
  <c r="BF375"/>
  <c r="AW376"/>
  <c r="BA376"/>
  <c r="BE376"/>
  <c r="AV377"/>
  <c r="AZ377"/>
  <c r="BD377"/>
  <c r="BH377"/>
  <c r="AU378"/>
  <c r="AY378"/>
  <c r="BC378"/>
  <c r="BG378"/>
  <c r="AT379"/>
  <c r="AX379"/>
  <c r="BB379"/>
  <c r="BF379"/>
  <c r="AW380"/>
  <c r="BA380"/>
  <c r="BE380"/>
  <c r="AV381"/>
  <c r="AZ381"/>
  <c r="BD381"/>
  <c r="BH381"/>
  <c r="AU382"/>
  <c r="AY382"/>
  <c r="BC382"/>
  <c r="BG382"/>
  <c r="AT383"/>
  <c r="AX383"/>
  <c r="AV375"/>
  <c r="BD375"/>
  <c r="AY376"/>
  <c r="BG376"/>
  <c r="AW377"/>
  <c r="BE377"/>
  <c r="AV378"/>
  <c r="BD378"/>
  <c r="BI378" s="1"/>
  <c r="AZ379"/>
  <c r="BH379"/>
  <c r="AX380"/>
  <c r="BF380"/>
  <c r="AW381"/>
  <c r="BE381"/>
  <c r="AZ382"/>
  <c r="BF382"/>
  <c r="AV383"/>
  <c r="BA383"/>
  <c r="BE383"/>
  <c r="AV384"/>
  <c r="AZ384"/>
  <c r="BD384"/>
  <c r="BH384"/>
  <c r="AU385"/>
  <c r="AY385"/>
  <c r="BC385"/>
  <c r="BG385"/>
  <c r="AY375"/>
  <c r="BG375"/>
  <c r="AT376"/>
  <c r="BB376"/>
  <c r="AX377"/>
  <c r="BF377"/>
  <c r="AW378"/>
  <c r="BE378"/>
  <c r="AU379"/>
  <c r="BC379"/>
  <c r="AY380"/>
  <c r="BG380"/>
  <c r="AX381"/>
  <c r="BF381"/>
  <c r="BA382"/>
  <c r="BH382"/>
  <c r="AW383"/>
  <c r="BB383"/>
  <c r="BF383"/>
  <c r="AW384"/>
  <c r="BA384"/>
  <c r="BE384"/>
  <c r="AV385"/>
  <c r="AZ385"/>
  <c r="BD385"/>
  <c r="BH385"/>
  <c r="AZ375"/>
  <c r="BH375"/>
  <c r="AU376"/>
  <c r="BC376"/>
  <c r="BA377"/>
  <c r="AZ378"/>
  <c r="BH378"/>
  <c r="AV379"/>
  <c r="BD379"/>
  <c r="BI379" s="1"/>
  <c r="AT380"/>
  <c r="BB380"/>
  <c r="BA381"/>
  <c r="AV382"/>
  <c r="BD382"/>
  <c r="BI382" s="1"/>
  <c r="AY383"/>
  <c r="BC383"/>
  <c r="BG383"/>
  <c r="AT384"/>
  <c r="AX384"/>
  <c r="BB384"/>
  <c r="BF384"/>
  <c r="AW385"/>
  <c r="BA385"/>
  <c r="BE385"/>
  <c r="BC375"/>
  <c r="AX376"/>
  <c r="BF376"/>
  <c r="AT377"/>
  <c r="BB377"/>
  <c r="BA378"/>
  <c r="AY379"/>
  <c r="BG379"/>
  <c r="AU380"/>
  <c r="BC380"/>
  <c r="AT381"/>
  <c r="BB381"/>
  <c r="AW382"/>
  <c r="BE382"/>
  <c r="AU383"/>
  <c r="AZ383"/>
  <c r="BD383"/>
  <c r="BH383"/>
  <c r="AU384"/>
  <c r="AY384"/>
  <c r="BC384"/>
  <c r="BG384"/>
  <c r="AT385"/>
  <c r="AX385"/>
  <c r="BB385"/>
  <c r="BF385"/>
  <c r="M48"/>
  <c r="M250"/>
  <c r="M252"/>
  <c r="M254"/>
  <c r="M256"/>
  <c r="M258"/>
  <c r="M260"/>
  <c r="M262"/>
  <c r="M264"/>
  <c r="M266"/>
  <c r="M268"/>
  <c r="M270"/>
  <c r="M272"/>
  <c r="M274"/>
  <c r="M276"/>
  <c r="M278"/>
  <c r="M280"/>
  <c r="M282"/>
  <c r="M284"/>
  <c r="M286"/>
  <c r="M288"/>
  <c r="M290"/>
  <c r="M292"/>
  <c r="M294"/>
  <c r="M296"/>
  <c r="M298"/>
  <c r="M300"/>
  <c r="M302"/>
  <c r="M304"/>
  <c r="M306"/>
  <c r="M308"/>
  <c r="M310"/>
  <c r="M312"/>
  <c r="M314"/>
  <c r="M316"/>
  <c r="M318"/>
  <c r="M320"/>
  <c r="M322"/>
  <c r="M324"/>
  <c r="M326"/>
  <c r="M328"/>
  <c r="M330"/>
  <c r="M332"/>
  <c r="M334"/>
  <c r="M336"/>
  <c r="M338"/>
  <c r="M340"/>
  <c r="M342"/>
  <c r="M344"/>
  <c r="M346"/>
  <c r="M348"/>
  <c r="M350"/>
  <c r="M352"/>
  <c r="M354"/>
  <c r="M356"/>
  <c r="M358"/>
  <c r="M360"/>
  <c r="M362"/>
  <c r="M364"/>
  <c r="M366"/>
  <c r="M368"/>
  <c r="M370"/>
  <c r="M372"/>
  <c r="M374"/>
  <c r="M376"/>
  <c r="M378"/>
  <c r="M380"/>
  <c r="M382"/>
  <c r="M384"/>
  <c r="M251"/>
  <c r="M253"/>
  <c r="M255"/>
  <c r="M257"/>
  <c r="M259"/>
  <c r="M261"/>
  <c r="M263"/>
  <c r="M265"/>
  <c r="M267"/>
  <c r="M269"/>
  <c r="M271"/>
  <c r="M273"/>
  <c r="M275"/>
  <c r="M277"/>
  <c r="M279"/>
  <c r="M281"/>
  <c r="M283"/>
  <c r="M285"/>
  <c r="M287"/>
  <c r="M289"/>
  <c r="M293"/>
  <c r="M295"/>
  <c r="M297"/>
  <c r="M299"/>
  <c r="M301"/>
  <c r="M303"/>
  <c r="M305"/>
  <c r="M307"/>
  <c r="M309"/>
  <c r="M311"/>
  <c r="M313"/>
  <c r="M315"/>
  <c r="M317"/>
  <c r="M319"/>
  <c r="M321"/>
  <c r="M323"/>
  <c r="M325"/>
  <c r="M327"/>
  <c r="M329"/>
  <c r="M331"/>
  <c r="M333"/>
  <c r="M335"/>
  <c r="M337"/>
  <c r="M339"/>
  <c r="M341"/>
  <c r="M343"/>
  <c r="M345"/>
  <c r="M347"/>
  <c r="M349"/>
  <c r="M351"/>
  <c r="M353"/>
  <c r="M355"/>
  <c r="M357"/>
  <c r="M359"/>
  <c r="M361"/>
  <c r="M363"/>
  <c r="M365"/>
  <c r="M367"/>
  <c r="M369"/>
  <c r="M371"/>
  <c r="M373"/>
  <c r="M375"/>
  <c r="M377"/>
  <c r="M379"/>
  <c r="M381"/>
  <c r="M383"/>
  <c r="M385"/>
  <c r="M249"/>
  <c r="M158"/>
  <c r="M160"/>
  <c r="M165"/>
  <c r="M168"/>
  <c r="M171"/>
  <c r="M175"/>
  <c r="M179"/>
  <c r="M183"/>
  <c r="M157"/>
  <c r="M162"/>
  <c r="M164"/>
  <c r="M161"/>
  <c r="M188"/>
  <c r="M192"/>
  <c r="M196"/>
  <c r="M166"/>
  <c r="M167"/>
  <c r="M172"/>
  <c r="M176"/>
  <c r="M180"/>
  <c r="M184"/>
  <c r="M186"/>
  <c r="M190"/>
  <c r="M194"/>
  <c r="M173"/>
  <c r="M181"/>
  <c r="M163"/>
  <c r="M174"/>
  <c r="M182"/>
  <c r="M189"/>
  <c r="M193"/>
  <c r="M197"/>
  <c r="M198"/>
  <c r="M199"/>
  <c r="M200"/>
  <c r="M170"/>
  <c r="M178"/>
  <c r="M187"/>
  <c r="M191"/>
  <c r="M195"/>
  <c r="M201"/>
  <c r="M204"/>
  <c r="M208"/>
  <c r="M212"/>
  <c r="M216"/>
  <c r="M220"/>
  <c r="M224"/>
  <c r="M228"/>
  <c r="M232"/>
  <c r="M236"/>
  <c r="M159"/>
  <c r="M202"/>
  <c r="M205"/>
  <c r="M209"/>
  <c r="M213"/>
  <c r="M217"/>
  <c r="M221"/>
  <c r="M225"/>
  <c r="M203"/>
  <c r="M207"/>
  <c r="M211"/>
  <c r="M215"/>
  <c r="M169"/>
  <c r="M185"/>
  <c r="M240"/>
  <c r="M241"/>
  <c r="M242"/>
  <c r="M243"/>
  <c r="M244"/>
  <c r="M245"/>
  <c r="M246"/>
  <c r="M247"/>
  <c r="M248"/>
  <c r="M177"/>
  <c r="M206"/>
  <c r="M210"/>
  <c r="M214"/>
  <c r="M218"/>
  <c r="M230"/>
  <c r="M231"/>
  <c r="M234"/>
  <c r="M235"/>
  <c r="M238"/>
  <c r="M229"/>
  <c r="M239"/>
  <c r="M222"/>
  <c r="M223"/>
  <c r="M237"/>
  <c r="M219"/>
  <c r="M226"/>
  <c r="M227"/>
  <c r="M233"/>
  <c r="H161"/>
  <c r="H163"/>
  <c r="H166"/>
  <c r="H169"/>
  <c r="H173"/>
  <c r="H177"/>
  <c r="H181"/>
  <c r="H185"/>
  <c r="H158"/>
  <c r="H160"/>
  <c r="H165"/>
  <c r="H168"/>
  <c r="H164"/>
  <c r="H186"/>
  <c r="H190"/>
  <c r="H194"/>
  <c r="H198"/>
  <c r="H159"/>
  <c r="H188"/>
  <c r="H192"/>
  <c r="H196"/>
  <c r="H157"/>
  <c r="H167"/>
  <c r="H174"/>
  <c r="H175"/>
  <c r="H176"/>
  <c r="H182"/>
  <c r="H183"/>
  <c r="H184"/>
  <c r="H162"/>
  <c r="H199"/>
  <c r="H200"/>
  <c r="H206"/>
  <c r="H210"/>
  <c r="H214"/>
  <c r="H218"/>
  <c r="H222"/>
  <c r="H226"/>
  <c r="H230"/>
  <c r="H234"/>
  <c r="H238"/>
  <c r="H187"/>
  <c r="H203"/>
  <c r="H207"/>
  <c r="H211"/>
  <c r="H215"/>
  <c r="H219"/>
  <c r="H223"/>
  <c r="H227"/>
  <c r="H202"/>
  <c r="H205"/>
  <c r="H209"/>
  <c r="H213"/>
  <c r="H217"/>
  <c r="H170"/>
  <c r="H180"/>
  <c r="H189"/>
  <c r="H197"/>
  <c r="H201"/>
  <c r="H179"/>
  <c r="H191"/>
  <c r="H228"/>
  <c r="H229"/>
  <c r="H231"/>
  <c r="H232"/>
  <c r="H233"/>
  <c r="H235"/>
  <c r="H236"/>
  <c r="H237"/>
  <c r="H171"/>
  <c r="H195"/>
  <c r="H220"/>
  <c r="H224"/>
  <c r="H240"/>
  <c r="H241"/>
  <c r="H242"/>
  <c r="H243"/>
  <c r="H244"/>
  <c r="H245"/>
  <c r="H246"/>
  <c r="H247"/>
  <c r="H248"/>
  <c r="H204"/>
  <c r="H172"/>
  <c r="H178"/>
  <c r="H208"/>
  <c r="H221"/>
  <c r="H212"/>
  <c r="H193"/>
  <c r="H216"/>
  <c r="H225"/>
  <c r="H239"/>
  <c r="H382"/>
  <c r="H383"/>
  <c r="H381"/>
  <c r="H380"/>
  <c r="H384"/>
  <c r="H385"/>
  <c r="B66" i="45"/>
  <c r="DK157" i="43"/>
  <c r="DJ158"/>
  <c r="DK159"/>
  <c r="DK160"/>
  <c r="DI161"/>
  <c r="DJ162"/>
  <c r="DI163"/>
  <c r="DI164"/>
  <c r="DJ165"/>
  <c r="DJ166"/>
  <c r="DI167"/>
  <c r="DK168"/>
  <c r="DJ169"/>
  <c r="DI170"/>
  <c r="DI171"/>
  <c r="DJ172"/>
  <c r="DK173"/>
  <c r="DJ174"/>
  <c r="DJ175"/>
  <c r="DJ176"/>
  <c r="DJ177"/>
  <c r="DI178"/>
  <c r="DI179"/>
  <c r="DJ180"/>
  <c r="DK181"/>
  <c r="DL182"/>
  <c r="DL183"/>
  <c r="DJ184"/>
  <c r="DK185"/>
  <c r="DL186"/>
  <c r="DK187"/>
  <c r="DJ188"/>
  <c r="DL189"/>
  <c r="DK190"/>
  <c r="DK191"/>
  <c r="DI192"/>
  <c r="DL193"/>
  <c r="DL194"/>
  <c r="DL195"/>
  <c r="DJ196"/>
  <c r="DI197"/>
  <c r="DL198"/>
  <c r="DK199"/>
  <c r="DJ200"/>
  <c r="DI201"/>
  <c r="DL202"/>
  <c r="DK203"/>
  <c r="DJ204"/>
  <c r="DI205"/>
  <c r="DL206"/>
  <c r="DK207"/>
  <c r="DJ208"/>
  <c r="DI209"/>
  <c r="DI210"/>
  <c r="DK211"/>
  <c r="DJ212"/>
  <c r="DK213"/>
  <c r="DI214"/>
  <c r="DL215"/>
  <c r="DL216"/>
  <c r="DI217"/>
  <c r="DK218"/>
  <c r="DK219"/>
  <c r="DL220"/>
  <c r="DK221"/>
  <c r="DK222"/>
  <c r="DJ223"/>
  <c r="DI224"/>
  <c r="DK225"/>
  <c r="DI226"/>
  <c r="DK227"/>
  <c r="DI228"/>
  <c r="DK229"/>
  <c r="DI230"/>
  <c r="DL231"/>
  <c r="DK232"/>
  <c r="DJ233"/>
  <c r="DI234"/>
  <c r="DL235"/>
  <c r="DK236"/>
  <c r="DJ237"/>
  <c r="DI238"/>
  <c r="DL239"/>
  <c r="DK240"/>
  <c r="DJ241"/>
  <c r="DI242"/>
  <c r="DL243"/>
  <c r="DL244"/>
  <c r="DI245"/>
  <c r="DK246"/>
  <c r="DI247"/>
  <c r="DK248"/>
  <c r="DJ249"/>
  <c r="DL250"/>
  <c r="DL251"/>
  <c r="DJ252"/>
  <c r="DI253"/>
  <c r="DI254"/>
  <c r="DJ255"/>
  <c r="DJ256"/>
  <c r="DJ257"/>
  <c r="DJ258"/>
  <c r="DJ259"/>
  <c r="DJ260"/>
  <c r="DJ261"/>
  <c r="DJ262"/>
  <c r="DK263"/>
  <c r="DK264"/>
  <c r="DK265"/>
  <c r="DK266"/>
  <c r="DL267"/>
  <c r="DK268"/>
  <c r="DJ269"/>
  <c r="DI270"/>
  <c r="DK271"/>
  <c r="DI272"/>
  <c r="DL273"/>
  <c r="DL274"/>
  <c r="DI275"/>
  <c r="DJ276"/>
  <c r="DJ277"/>
  <c r="DL278"/>
  <c r="DI279"/>
  <c r="DI280"/>
  <c r="DJ281"/>
  <c r="DJ282"/>
  <c r="DK283"/>
  <c r="DI284"/>
  <c r="DK285"/>
  <c r="DL286"/>
  <c r="DL287"/>
  <c r="DL288"/>
  <c r="DI289"/>
  <c r="DI290"/>
  <c r="DL291"/>
  <c r="DK292"/>
  <c r="DL293"/>
  <c r="DL294"/>
  <c r="DJ295"/>
  <c r="DI296"/>
  <c r="DJ298"/>
  <c r="DI299"/>
  <c r="DL300"/>
  <c r="DL301"/>
  <c r="DK302"/>
  <c r="DI303"/>
  <c r="DJ304"/>
  <c r="DI305"/>
  <c r="DL306"/>
  <c r="DL307"/>
  <c r="DK308"/>
  <c r="DL157"/>
  <c r="DK158"/>
  <c r="DL159"/>
  <c r="DL160"/>
  <c r="DJ161"/>
  <c r="DK162"/>
  <c r="DJ163"/>
  <c r="DJ164"/>
  <c r="DK165"/>
  <c r="DK166"/>
  <c r="DJ167"/>
  <c r="DL168"/>
  <c r="DK169"/>
  <c r="DJ170"/>
  <c r="DJ171"/>
  <c r="DK172"/>
  <c r="DL173"/>
  <c r="DK174"/>
  <c r="DK175"/>
  <c r="DK176"/>
  <c r="DK177"/>
  <c r="DJ178"/>
  <c r="DJ179"/>
  <c r="DK180"/>
  <c r="DL181"/>
  <c r="DI182"/>
  <c r="DI183"/>
  <c r="DK184"/>
  <c r="DL185"/>
  <c r="DI186"/>
  <c r="DL187"/>
  <c r="DK188"/>
  <c r="DI189"/>
  <c r="DL190"/>
  <c r="DL191"/>
  <c r="DJ192"/>
  <c r="DI193"/>
  <c r="DI194"/>
  <c r="DI195"/>
  <c r="DK196"/>
  <c r="DJ197"/>
  <c r="DI198"/>
  <c r="DL199"/>
  <c r="DK200"/>
  <c r="DJ201"/>
  <c r="DI202"/>
  <c r="DL203"/>
  <c r="DK204"/>
  <c r="DJ205"/>
  <c r="DI206"/>
  <c r="DL207"/>
  <c r="DK208"/>
  <c r="DJ209"/>
  <c r="DJ210"/>
  <c r="DL211"/>
  <c r="DK212"/>
  <c r="DL213"/>
  <c r="DJ214"/>
  <c r="DI215"/>
  <c r="DI216"/>
  <c r="DJ217"/>
  <c r="DL218"/>
  <c r="DL219"/>
  <c r="DI220"/>
  <c r="DL221"/>
  <c r="DL222"/>
  <c r="DK223"/>
  <c r="DJ224"/>
  <c r="DL225"/>
  <c r="DJ226"/>
  <c r="DL227"/>
  <c r="DJ228"/>
  <c r="DL229"/>
  <c r="DJ230"/>
  <c r="DI231"/>
  <c r="DL232"/>
  <c r="DK233"/>
  <c r="DJ234"/>
  <c r="DI235"/>
  <c r="DL236"/>
  <c r="DK237"/>
  <c r="DJ238"/>
  <c r="DI239"/>
  <c r="DL240"/>
  <c r="DK241"/>
  <c r="DJ242"/>
  <c r="DI243"/>
  <c r="DI244"/>
  <c r="DJ245"/>
  <c r="DL246"/>
  <c r="DJ247"/>
  <c r="DL248"/>
  <c r="DK249"/>
  <c r="DI250"/>
  <c r="DI251"/>
  <c r="DK252"/>
  <c r="DJ253"/>
  <c r="DJ254"/>
  <c r="DK255"/>
  <c r="DK256"/>
  <c r="DK257"/>
  <c r="DK258"/>
  <c r="DK259"/>
  <c r="DK260"/>
  <c r="DK261"/>
  <c r="DK262"/>
  <c r="DL263"/>
  <c r="DL264"/>
  <c r="DL265"/>
  <c r="DL266"/>
  <c r="DI267"/>
  <c r="DL268"/>
  <c r="DK269"/>
  <c r="DJ270"/>
  <c r="DL271"/>
  <c r="DJ272"/>
  <c r="DI273"/>
  <c r="DI274"/>
  <c r="DJ275"/>
  <c r="DK276"/>
  <c r="DK277"/>
  <c r="DI278"/>
  <c r="DJ279"/>
  <c r="DJ280"/>
  <c r="DK281"/>
  <c r="DK282"/>
  <c r="DL283"/>
  <c r="DJ284"/>
  <c r="DL285"/>
  <c r="DI286"/>
  <c r="DI287"/>
  <c r="DI288"/>
  <c r="DJ289"/>
  <c r="DJ290"/>
  <c r="DI291"/>
  <c r="DL292"/>
  <c r="DI294"/>
  <c r="DK295"/>
  <c r="DJ296"/>
  <c r="DK298"/>
  <c r="DJ299"/>
  <c r="DI300"/>
  <c r="DI301"/>
  <c r="DL302"/>
  <c r="DJ303"/>
  <c r="DK304"/>
  <c r="DJ305"/>
  <c r="DI306"/>
  <c r="DI307"/>
  <c r="DI157"/>
  <c r="DL158"/>
  <c r="DI159"/>
  <c r="DI160"/>
  <c r="DK161"/>
  <c r="DL162"/>
  <c r="DK163"/>
  <c r="DK164"/>
  <c r="DL165"/>
  <c r="DL166"/>
  <c r="DK167"/>
  <c r="DI168"/>
  <c r="DL169"/>
  <c r="DK170"/>
  <c r="DK171"/>
  <c r="DL172"/>
  <c r="DI173"/>
  <c r="DL174"/>
  <c r="DL175"/>
  <c r="DL176"/>
  <c r="DL177"/>
  <c r="DK178"/>
  <c r="DK179"/>
  <c r="DL180"/>
  <c r="DI181"/>
  <c r="DJ182"/>
  <c r="DJ183"/>
  <c r="DL184"/>
  <c r="DI185"/>
  <c r="DJ186"/>
  <c r="DI187"/>
  <c r="DL188"/>
  <c r="DJ189"/>
  <c r="DI190"/>
  <c r="DI191"/>
  <c r="DK192"/>
  <c r="DJ193"/>
  <c r="DJ194"/>
  <c r="DJ195"/>
  <c r="DL196"/>
  <c r="DK197"/>
  <c r="DJ198"/>
  <c r="DI199"/>
  <c r="DL200"/>
  <c r="DK201"/>
  <c r="DJ202"/>
  <c r="DI203"/>
  <c r="DL204"/>
  <c r="DK205"/>
  <c r="DJ206"/>
  <c r="DI207"/>
  <c r="DL208"/>
  <c r="DK209"/>
  <c r="DK210"/>
  <c r="DI211"/>
  <c r="DL212"/>
  <c r="DI213"/>
  <c r="DK214"/>
  <c r="DJ215"/>
  <c r="DJ216"/>
  <c r="DK217"/>
  <c r="DI218"/>
  <c r="DI219"/>
  <c r="DJ220"/>
  <c r="DI221"/>
  <c r="DI222"/>
  <c r="DL223"/>
  <c r="DK224"/>
  <c r="DI225"/>
  <c r="DK226"/>
  <c r="DI227"/>
  <c r="DK228"/>
  <c r="DI229"/>
  <c r="DK230"/>
  <c r="DJ231"/>
  <c r="DI232"/>
  <c r="DL233"/>
  <c r="DK234"/>
  <c r="DJ235"/>
  <c r="DI236"/>
  <c r="DL237"/>
  <c r="DK238"/>
  <c r="DJ239"/>
  <c r="DI240"/>
  <c r="DL241"/>
  <c r="DK242"/>
  <c r="DJ243"/>
  <c r="DJ244"/>
  <c r="DK245"/>
  <c r="DI246"/>
  <c r="DK247"/>
  <c r="DI248"/>
  <c r="DL249"/>
  <c r="DJ250"/>
  <c r="DJ251"/>
  <c r="DL252"/>
  <c r="DK253"/>
  <c r="DK254"/>
  <c r="DL255"/>
  <c r="DL256"/>
  <c r="DL257"/>
  <c r="DL258"/>
  <c r="DL259"/>
  <c r="DL260"/>
  <c r="DL261"/>
  <c r="DL262"/>
  <c r="DI263"/>
  <c r="DI264"/>
  <c r="DI265"/>
  <c r="DI266"/>
  <c r="DJ267"/>
  <c r="DI268"/>
  <c r="DL269"/>
  <c r="DK270"/>
  <c r="DI271"/>
  <c r="DK272"/>
  <c r="DJ273"/>
  <c r="DJ274"/>
  <c r="DK275"/>
  <c r="DL276"/>
  <c r="DL277"/>
  <c r="DJ278"/>
  <c r="DK279"/>
  <c r="DK280"/>
  <c r="DL281"/>
  <c r="DL282"/>
  <c r="DI283"/>
  <c r="DK284"/>
  <c r="DI285"/>
  <c r="DJ286"/>
  <c r="DJ157"/>
  <c r="DI158"/>
  <c r="DJ159"/>
  <c r="DJ160"/>
  <c r="DL161"/>
  <c r="DI162"/>
  <c r="DL163"/>
  <c r="DL164"/>
  <c r="DI165"/>
  <c r="DI166"/>
  <c r="DL167"/>
  <c r="DJ168"/>
  <c r="DI169"/>
  <c r="DL170"/>
  <c r="DL171"/>
  <c r="DI172"/>
  <c r="DJ173"/>
  <c r="DI174"/>
  <c r="DI175"/>
  <c r="DI176"/>
  <c r="DI177"/>
  <c r="DL178"/>
  <c r="DL179"/>
  <c r="DI180"/>
  <c r="DJ181"/>
  <c r="DK182"/>
  <c r="DK183"/>
  <c r="DI184"/>
  <c r="DJ185"/>
  <c r="DK186"/>
  <c r="DJ187"/>
  <c r="DI188"/>
  <c r="DK189"/>
  <c r="DJ190"/>
  <c r="DJ191"/>
  <c r="DL192"/>
  <c r="DK193"/>
  <c r="DK194"/>
  <c r="DK195"/>
  <c r="DI196"/>
  <c r="DL197"/>
  <c r="DK198"/>
  <c r="DJ199"/>
  <c r="DI200"/>
  <c r="DL201"/>
  <c r="DK202"/>
  <c r="DJ203"/>
  <c r="DI204"/>
  <c r="DL205"/>
  <c r="DK206"/>
  <c r="DJ207"/>
  <c r="DI208"/>
  <c r="DL209"/>
  <c r="DL210"/>
  <c r="DJ211"/>
  <c r="DI212"/>
  <c r="DJ213"/>
  <c r="DL214"/>
  <c r="DK215"/>
  <c r="DK216"/>
  <c r="DL217"/>
  <c r="DJ218"/>
  <c r="DJ219"/>
  <c r="DK220"/>
  <c r="DJ221"/>
  <c r="DJ222"/>
  <c r="DI223"/>
  <c r="DL224"/>
  <c r="DJ225"/>
  <c r="DL226"/>
  <c r="DJ227"/>
  <c r="DL228"/>
  <c r="DJ229"/>
  <c r="DL230"/>
  <c r="DK231"/>
  <c r="DJ232"/>
  <c r="DI233"/>
  <c r="DL234"/>
  <c r="DK235"/>
  <c r="DJ236"/>
  <c r="DI237"/>
  <c r="DL238"/>
  <c r="DK239"/>
  <c r="DJ240"/>
  <c r="DI241"/>
  <c r="DL242"/>
  <c r="DK243"/>
  <c r="DK244"/>
  <c r="DL245"/>
  <c r="DJ246"/>
  <c r="DL247"/>
  <c r="DJ248"/>
  <c r="DI249"/>
  <c r="DK250"/>
  <c r="DK251"/>
  <c r="DI252"/>
  <c r="DL253"/>
  <c r="DL254"/>
  <c r="DI255"/>
  <c r="DI256"/>
  <c r="DI257"/>
  <c r="DI258"/>
  <c r="DI259"/>
  <c r="DI260"/>
  <c r="DI261"/>
  <c r="DI262"/>
  <c r="DJ263"/>
  <c r="DJ264"/>
  <c r="DJ265"/>
  <c r="DJ266"/>
  <c r="DK267"/>
  <c r="DJ268"/>
  <c r="DI269"/>
  <c r="DL270"/>
  <c r="DJ271"/>
  <c r="DL272"/>
  <c r="DK273"/>
  <c r="DK274"/>
  <c r="DL275"/>
  <c r="DI276"/>
  <c r="DI277"/>
  <c r="DK278"/>
  <c r="DL279"/>
  <c r="DL280"/>
  <c r="DI281"/>
  <c r="DI282"/>
  <c r="DJ283"/>
  <c r="DL284"/>
  <c r="DJ285"/>
  <c r="DK286"/>
  <c r="DJ288"/>
  <c r="DJ291"/>
  <c r="DJ292"/>
  <c r="DK293"/>
  <c r="DK294"/>
  <c r="DL298"/>
  <c r="DK300"/>
  <c r="DI302"/>
  <c r="DL303"/>
  <c r="DI304"/>
  <c r="DJ306"/>
  <c r="DK309"/>
  <c r="DI310"/>
  <c r="DI311"/>
  <c r="DL312"/>
  <c r="DJ313"/>
  <c r="DL314"/>
  <c r="DK315"/>
  <c r="DL316"/>
  <c r="DK317"/>
  <c r="DJ318"/>
  <c r="DI319"/>
  <c r="DL320"/>
  <c r="DJ321"/>
  <c r="DL322"/>
  <c r="DK323"/>
  <c r="DL324"/>
  <c r="DK325"/>
  <c r="DJ326"/>
  <c r="DI327"/>
  <c r="DL328"/>
  <c r="DJ329"/>
  <c r="DL330"/>
  <c r="DK331"/>
  <c r="DJ332"/>
  <c r="DK333"/>
  <c r="DJ334"/>
  <c r="DJ335"/>
  <c r="DK336"/>
  <c r="DL337"/>
  <c r="DL338"/>
  <c r="DI339"/>
  <c r="DJ340"/>
  <c r="DK341"/>
  <c r="DK342"/>
  <c r="DL343"/>
  <c r="DI344"/>
  <c r="DL345"/>
  <c r="DI346"/>
  <c r="DJ347"/>
  <c r="DK348"/>
  <c r="DL349"/>
  <c r="DI350"/>
  <c r="DJ351"/>
  <c r="DJ352"/>
  <c r="DJ353"/>
  <c r="DI354"/>
  <c r="DL355"/>
  <c r="DL356"/>
  <c r="DK357"/>
  <c r="DK358"/>
  <c r="DJ359"/>
  <c r="DJ360"/>
  <c r="DI361"/>
  <c r="DI362"/>
  <c r="DL363"/>
  <c r="DK364"/>
  <c r="DK365"/>
  <c r="DK366"/>
  <c r="DK367"/>
  <c r="DK368"/>
  <c r="DI369"/>
  <c r="DJ370"/>
  <c r="DL371"/>
  <c r="DJ372"/>
  <c r="DI373"/>
  <c r="DL374"/>
  <c r="DL375"/>
  <c r="DK376"/>
  <c r="DJ377"/>
  <c r="DI378"/>
  <c r="DJ379"/>
  <c r="DK380"/>
  <c r="DK381"/>
  <c r="DK382"/>
  <c r="DL383"/>
  <c r="DL384"/>
  <c r="DL380"/>
  <c r="DL382"/>
  <c r="DI383"/>
  <c r="DI385"/>
  <c r="DI380"/>
  <c r="DJ384"/>
  <c r="DJ385"/>
  <c r="DK288"/>
  <c r="DK289"/>
  <c r="DK291"/>
  <c r="DI295"/>
  <c r="DK299"/>
  <c r="DJ301"/>
  <c r="DJ302"/>
  <c r="DL304"/>
  <c r="DK306"/>
  <c r="DI308"/>
  <c r="DL309"/>
  <c r="DJ310"/>
  <c r="DJ311"/>
  <c r="DI312"/>
  <c r="DK313"/>
  <c r="DI314"/>
  <c r="DL315"/>
  <c r="DI316"/>
  <c r="DL317"/>
  <c r="DK318"/>
  <c r="DJ319"/>
  <c r="DI320"/>
  <c r="DK321"/>
  <c r="DI322"/>
  <c r="DL323"/>
  <c r="DI324"/>
  <c r="DL325"/>
  <c r="DK326"/>
  <c r="DJ327"/>
  <c r="DI328"/>
  <c r="DK329"/>
  <c r="DI330"/>
  <c r="DL331"/>
  <c r="DK332"/>
  <c r="DL333"/>
  <c r="DK334"/>
  <c r="DK335"/>
  <c r="DL336"/>
  <c r="DI337"/>
  <c r="DI338"/>
  <c r="DJ339"/>
  <c r="DK340"/>
  <c r="DL341"/>
  <c r="DL342"/>
  <c r="DI343"/>
  <c r="DJ344"/>
  <c r="DI345"/>
  <c r="DJ346"/>
  <c r="DK347"/>
  <c r="DL348"/>
  <c r="DI349"/>
  <c r="DJ350"/>
  <c r="DK351"/>
  <c r="DK352"/>
  <c r="DK353"/>
  <c r="DJ354"/>
  <c r="DI355"/>
  <c r="DI356"/>
  <c r="DL357"/>
  <c r="DL358"/>
  <c r="DK359"/>
  <c r="DK360"/>
  <c r="DJ361"/>
  <c r="DJ362"/>
  <c r="DI363"/>
  <c r="DL364"/>
  <c r="DL365"/>
  <c r="DL366"/>
  <c r="DL367"/>
  <c r="DL368"/>
  <c r="DJ369"/>
  <c r="DK370"/>
  <c r="DI371"/>
  <c r="DK372"/>
  <c r="DJ373"/>
  <c r="DI374"/>
  <c r="DI375"/>
  <c r="DL376"/>
  <c r="DK377"/>
  <c r="DJ378"/>
  <c r="DK379"/>
  <c r="DL381"/>
  <c r="DI384"/>
  <c r="DJ287"/>
  <c r="DL289"/>
  <c r="DK290"/>
  <c r="DL295"/>
  <c r="DK296"/>
  <c r="DL299"/>
  <c r="DK301"/>
  <c r="DK305"/>
  <c r="DJ307"/>
  <c r="DJ308"/>
  <c r="DI309"/>
  <c r="DK310"/>
  <c r="DK311"/>
  <c r="DJ312"/>
  <c r="DL313"/>
  <c r="DJ314"/>
  <c r="DI315"/>
  <c r="DJ316"/>
  <c r="DI317"/>
  <c r="DL318"/>
  <c r="DK319"/>
  <c r="DJ320"/>
  <c r="DL321"/>
  <c r="DJ322"/>
  <c r="DI323"/>
  <c r="DJ324"/>
  <c r="DI325"/>
  <c r="DL326"/>
  <c r="DK327"/>
  <c r="DJ328"/>
  <c r="DL329"/>
  <c r="DJ330"/>
  <c r="DI331"/>
  <c r="DL332"/>
  <c r="DI333"/>
  <c r="DL334"/>
  <c r="DL335"/>
  <c r="DI336"/>
  <c r="DJ337"/>
  <c r="DJ338"/>
  <c r="DK339"/>
  <c r="DL340"/>
  <c r="DI341"/>
  <c r="DI342"/>
  <c r="DJ343"/>
  <c r="DK344"/>
  <c r="DJ345"/>
  <c r="DK346"/>
  <c r="DL347"/>
  <c r="DI348"/>
  <c r="DJ349"/>
  <c r="DK350"/>
  <c r="DL351"/>
  <c r="DL352"/>
  <c r="DL353"/>
  <c r="DK354"/>
  <c r="DJ355"/>
  <c r="DJ356"/>
  <c r="DI357"/>
  <c r="DI358"/>
  <c r="DL359"/>
  <c r="DL360"/>
  <c r="DK361"/>
  <c r="DK362"/>
  <c r="DJ363"/>
  <c r="DI364"/>
  <c r="DI365"/>
  <c r="DI366"/>
  <c r="DI367"/>
  <c r="DI368"/>
  <c r="DK369"/>
  <c r="DL370"/>
  <c r="DJ371"/>
  <c r="DL372"/>
  <c r="DK373"/>
  <c r="DJ374"/>
  <c r="DJ375"/>
  <c r="DI376"/>
  <c r="DL377"/>
  <c r="DK378"/>
  <c r="DK287"/>
  <c r="DL290"/>
  <c r="DI292"/>
  <c r="DJ293"/>
  <c r="DJ294"/>
  <c r="DL296"/>
  <c r="DI298"/>
  <c r="DJ300"/>
  <c r="DK303"/>
  <c r="DL305"/>
  <c r="DK307"/>
  <c r="DL308"/>
  <c r="DJ309"/>
  <c r="DL310"/>
  <c r="DL311"/>
  <c r="DK312"/>
  <c r="DI313"/>
  <c r="DK314"/>
  <c r="DJ315"/>
  <c r="DK316"/>
  <c r="DJ317"/>
  <c r="DI318"/>
  <c r="DL319"/>
  <c r="DK320"/>
  <c r="DI321"/>
  <c r="DK322"/>
  <c r="DJ323"/>
  <c r="DK324"/>
  <c r="DJ325"/>
  <c r="DI326"/>
  <c r="DL327"/>
  <c r="DK328"/>
  <c r="DI329"/>
  <c r="DK330"/>
  <c r="DJ331"/>
  <c r="DI332"/>
  <c r="DJ333"/>
  <c r="DI334"/>
  <c r="DI335"/>
  <c r="DJ336"/>
  <c r="DK337"/>
  <c r="DK338"/>
  <c r="DL339"/>
  <c r="DI340"/>
  <c r="DJ341"/>
  <c r="DJ342"/>
  <c r="DK343"/>
  <c r="DL344"/>
  <c r="DK345"/>
  <c r="DL346"/>
  <c r="DI347"/>
  <c r="DJ348"/>
  <c r="DK349"/>
  <c r="DL350"/>
  <c r="DI351"/>
  <c r="DI352"/>
  <c r="DI353"/>
  <c r="DL354"/>
  <c r="DK355"/>
  <c r="DK356"/>
  <c r="DJ357"/>
  <c r="DJ358"/>
  <c r="DI359"/>
  <c r="DI360"/>
  <c r="DL361"/>
  <c r="DL362"/>
  <c r="DK363"/>
  <c r="DJ364"/>
  <c r="DJ365"/>
  <c r="DJ366"/>
  <c r="DJ367"/>
  <c r="DJ368"/>
  <c r="DL369"/>
  <c r="DI370"/>
  <c r="DK371"/>
  <c r="DI372"/>
  <c r="DL373"/>
  <c r="DK374"/>
  <c r="DK375"/>
  <c r="DJ376"/>
  <c r="DI377"/>
  <c r="DL378"/>
  <c r="DI379"/>
  <c r="DJ380"/>
  <c r="DJ381"/>
  <c r="DJ382"/>
  <c r="DK383"/>
  <c r="DK384"/>
  <c r="DK385"/>
  <c r="DL385"/>
  <c r="DL379"/>
  <c r="DI381"/>
  <c r="DI382"/>
  <c r="DJ383"/>
  <c r="DJ119"/>
  <c r="DK118"/>
  <c r="DL118"/>
  <c r="DK119"/>
  <c r="DL119"/>
  <c r="DI118"/>
  <c r="DI119"/>
  <c r="DJ118"/>
  <c r="DH119"/>
  <c r="G119" s="1"/>
  <c r="H119" s="1"/>
  <c r="M222"/>
  <c r="N222" s="1"/>
  <c r="M374"/>
  <c r="M281"/>
  <c r="N281" s="1"/>
  <c r="M262"/>
  <c r="N262" s="1"/>
  <c r="M284"/>
  <c r="N284" s="1"/>
  <c r="DY236"/>
  <c r="DY192"/>
  <c r="DY165"/>
  <c r="DY160"/>
  <c r="DH225"/>
  <c r="G225" s="1"/>
  <c r="DH373"/>
  <c r="G373" s="1"/>
  <c r="H373" s="1"/>
  <c r="DH233"/>
  <c r="G233" s="1"/>
  <c r="M233" s="1"/>
  <c r="N233" s="1"/>
  <c r="DH239"/>
  <c r="G239" s="1"/>
  <c r="DH229"/>
  <c r="G229" s="1"/>
  <c r="M229" s="1"/>
  <c r="N229" s="1"/>
  <c r="DH182"/>
  <c r="G182" s="1"/>
  <c r="DH327"/>
  <c r="G327" s="1"/>
  <c r="H327" s="1"/>
  <c r="DH195"/>
  <c r="G195" s="1"/>
  <c r="DH269"/>
  <c r="G269" s="1"/>
  <c r="M269" s="1"/>
  <c r="N269" s="1"/>
  <c r="DH217"/>
  <c r="G217" s="1"/>
  <c r="M217" s="1"/>
  <c r="N217" s="1"/>
  <c r="DH339"/>
  <c r="G339" s="1"/>
  <c r="DH367"/>
  <c r="G367" s="1"/>
  <c r="DH311"/>
  <c r="G311" s="1"/>
  <c r="M311" s="1"/>
  <c r="DH209"/>
  <c r="G209" s="1"/>
  <c r="H209" s="1"/>
  <c r="DH164"/>
  <c r="G164" s="1"/>
  <c r="DH333"/>
  <c r="G333" s="1"/>
  <c r="DH173"/>
  <c r="G173" s="1"/>
  <c r="M173" s="1"/>
  <c r="N173" s="1"/>
  <c r="DH246"/>
  <c r="G246" s="1"/>
  <c r="DH197"/>
  <c r="G197" s="1"/>
  <c r="DH376"/>
  <c r="G376" s="1"/>
  <c r="DH294"/>
  <c r="G294" s="1"/>
  <c r="M294" s="1"/>
  <c r="DH287"/>
  <c r="G287" s="1"/>
  <c r="DH301"/>
  <c r="G301" s="1"/>
  <c r="DH273"/>
  <c r="G273" s="1"/>
  <c r="DH358"/>
  <c r="G358" s="1"/>
  <c r="M358" s="1"/>
  <c r="DH322"/>
  <c r="G322" s="1"/>
  <c r="DH278"/>
  <c r="G278" s="1"/>
  <c r="H278" s="1"/>
  <c r="DH220"/>
  <c r="G220" s="1"/>
  <c r="DH211"/>
  <c r="G211" s="1"/>
  <c r="M211" s="1"/>
  <c r="N211" s="1"/>
  <c r="DH349"/>
  <c r="G349" s="1"/>
  <c r="H349" s="1"/>
  <c r="DH338"/>
  <c r="G338" s="1"/>
  <c r="H338" s="1"/>
  <c r="DH314"/>
  <c r="G314" s="1"/>
  <c r="M314" s="1"/>
  <c r="DH270"/>
  <c r="G270" s="1"/>
  <c r="M270" s="1"/>
  <c r="N270" s="1"/>
  <c r="DH266"/>
  <c r="G266" s="1"/>
  <c r="H266" s="1"/>
  <c r="DH224"/>
  <c r="G224" s="1"/>
  <c r="DH207"/>
  <c r="G207" s="1"/>
  <c r="H207" s="1"/>
  <c r="DH361"/>
  <c r="G361" s="1"/>
  <c r="DH344"/>
  <c r="G344" s="1"/>
  <c r="DH312"/>
  <c r="G312" s="1"/>
  <c r="DH282"/>
  <c r="G282" s="1"/>
  <c r="H282" s="1"/>
  <c r="DH256"/>
  <c r="G256" s="1"/>
  <c r="M256" s="1"/>
  <c r="N256" s="1"/>
  <c r="DH181"/>
  <c r="G181" s="1"/>
  <c r="DH180"/>
  <c r="G180" s="1"/>
  <c r="M180" s="1"/>
  <c r="N180" s="1"/>
  <c r="DH313"/>
  <c r="G313" s="1"/>
  <c r="DH304"/>
  <c r="G304" s="1"/>
  <c r="H304" s="1"/>
  <c r="DH290"/>
  <c r="G290" s="1"/>
  <c r="M290" s="1"/>
  <c r="N290" s="1"/>
  <c r="DH254"/>
  <c r="G254" s="1"/>
  <c r="DH215"/>
  <c r="G215" s="1"/>
  <c r="FW118"/>
  <c r="FW119" s="1"/>
  <c r="FW120" s="1"/>
  <c r="FW121" s="1"/>
  <c r="FW122" s="1"/>
  <c r="FW123" s="1"/>
  <c r="FW124" s="1"/>
  <c r="FW125" s="1"/>
  <c r="FW126" s="1"/>
  <c r="FW127" s="1"/>
  <c r="FW128" s="1"/>
  <c r="FW129" s="1"/>
  <c r="FW130" s="1"/>
  <c r="FW131" s="1"/>
  <c r="FW132" s="1"/>
  <c r="FW133" s="1"/>
  <c r="FW134" s="1"/>
  <c r="FW135" s="1"/>
  <c r="FW136" s="1"/>
  <c r="FW137" s="1"/>
  <c r="FW138" s="1"/>
  <c r="FW139" s="1"/>
  <c r="FW140" s="1"/>
  <c r="FW141" s="1"/>
  <c r="FW142" s="1"/>
  <c r="FW143" s="1"/>
  <c r="FW144" s="1"/>
  <c r="FW145" s="1"/>
  <c r="FW146" s="1"/>
  <c r="FW147" s="1"/>
  <c r="FW148" s="1"/>
  <c r="FW149" s="1"/>
  <c r="FW150" s="1"/>
  <c r="FW151" s="1"/>
  <c r="FW152" s="1"/>
  <c r="FW153" s="1"/>
  <c r="FW154" s="1"/>
  <c r="FW155" s="1"/>
  <c r="FW156" s="1"/>
  <c r="FW157" s="1"/>
  <c r="FW158" s="1"/>
  <c r="FW159" s="1"/>
  <c r="FW160" s="1"/>
  <c r="FW161" s="1"/>
  <c r="FW162" s="1"/>
  <c r="FW163" s="1"/>
  <c r="FW164" s="1"/>
  <c r="FW165" s="1"/>
  <c r="FW166" s="1"/>
  <c r="FW167" s="1"/>
  <c r="FW168" s="1"/>
  <c r="FW169" s="1"/>
  <c r="FW170" s="1"/>
  <c r="FW171" s="1"/>
  <c r="FW172" s="1"/>
  <c r="FW173" s="1"/>
  <c r="FW174" s="1"/>
  <c r="FW175" s="1"/>
  <c r="FW176" s="1"/>
  <c r="FW177" s="1"/>
  <c r="FW178" s="1"/>
  <c r="FW179" s="1"/>
  <c r="FW180" s="1"/>
  <c r="FW181" s="1"/>
  <c r="FW182" s="1"/>
  <c r="FW183" s="1"/>
  <c r="FW184" s="1"/>
  <c r="FW185" s="1"/>
  <c r="FW186" s="1"/>
  <c r="FW187" s="1"/>
  <c r="FW188" s="1"/>
  <c r="FW189" s="1"/>
  <c r="FW190" s="1"/>
  <c r="FW191" s="1"/>
  <c r="FW192" s="1"/>
  <c r="FW193" s="1"/>
  <c r="FW194" s="1"/>
  <c r="FW195" s="1"/>
  <c r="FW196" s="1"/>
  <c r="FW197" s="1"/>
  <c r="FW198" s="1"/>
  <c r="FW199" s="1"/>
  <c r="FW200" s="1"/>
  <c r="FW201" s="1"/>
  <c r="FW202" s="1"/>
  <c r="FW203" s="1"/>
  <c r="FW204" s="1"/>
  <c r="FW205" s="1"/>
  <c r="FW206" s="1"/>
  <c r="FW207" s="1"/>
  <c r="FW208" s="1"/>
  <c r="FW209" s="1"/>
  <c r="FW210" s="1"/>
  <c r="FW211" s="1"/>
  <c r="FW212" s="1"/>
  <c r="FW213" s="1"/>
  <c r="FW214" s="1"/>
  <c r="FW215" s="1"/>
  <c r="FW216" s="1"/>
  <c r="FW217" s="1"/>
  <c r="FW218" s="1"/>
  <c r="FW219" s="1"/>
  <c r="FW220" s="1"/>
  <c r="FW221" s="1"/>
  <c r="FW222" s="1"/>
  <c r="FW223" s="1"/>
  <c r="FW224" s="1"/>
  <c r="FW225" s="1"/>
  <c r="FW226" s="1"/>
  <c r="FW227" s="1"/>
  <c r="FW228" s="1"/>
  <c r="FW229" s="1"/>
  <c r="FW230" s="1"/>
  <c r="FW231" s="1"/>
  <c r="FW232" s="1"/>
  <c r="FW233" s="1"/>
  <c r="FW234" s="1"/>
  <c r="FW235" s="1"/>
  <c r="FW236" s="1"/>
  <c r="FW237" s="1"/>
  <c r="FW238" s="1"/>
  <c r="FW239" s="1"/>
  <c r="FW240" s="1"/>
  <c r="FW241" s="1"/>
  <c r="FW242" s="1"/>
  <c r="FW243" s="1"/>
  <c r="FW244" s="1"/>
  <c r="FW245" s="1"/>
  <c r="FW246" s="1"/>
  <c r="FW247" s="1"/>
  <c r="FW248" s="1"/>
  <c r="FW249" s="1"/>
  <c r="FW250" s="1"/>
  <c r="FW251" s="1"/>
  <c r="FW252" s="1"/>
  <c r="FW253" s="1"/>
  <c r="FW254" s="1"/>
  <c r="FW255" s="1"/>
  <c r="FW256" s="1"/>
  <c r="FW257" s="1"/>
  <c r="FW258" s="1"/>
  <c r="FW259" s="1"/>
  <c r="FW260" s="1"/>
  <c r="FW261" s="1"/>
  <c r="FW262" s="1"/>
  <c r="FW263" s="1"/>
  <c r="FW264" s="1"/>
  <c r="FW265" s="1"/>
  <c r="FW266" s="1"/>
  <c r="FW267" s="1"/>
  <c r="FW268" s="1"/>
  <c r="FW269" s="1"/>
  <c r="FW270" s="1"/>
  <c r="FW271" s="1"/>
  <c r="FW272" s="1"/>
  <c r="FW273" s="1"/>
  <c r="FW274" s="1"/>
  <c r="FW275" s="1"/>
  <c r="FW276" s="1"/>
  <c r="FW277" s="1"/>
  <c r="FW278" s="1"/>
  <c r="FW279" s="1"/>
  <c r="FW280" s="1"/>
  <c r="FW281" s="1"/>
  <c r="FW282" s="1"/>
  <c r="FW283" s="1"/>
  <c r="FW284" s="1"/>
  <c r="FW285" s="1"/>
  <c r="FW286" s="1"/>
  <c r="FW287" s="1"/>
  <c r="FW288" s="1"/>
  <c r="FW289" s="1"/>
  <c r="FW290" s="1"/>
  <c r="FW291" s="1"/>
  <c r="FW292" s="1"/>
  <c r="FW293" s="1"/>
  <c r="FW294" s="1"/>
  <c r="FW295" s="1"/>
  <c r="FW296" s="1"/>
  <c r="FW297" s="1"/>
  <c r="FW298" s="1"/>
  <c r="FW299" s="1"/>
  <c r="FW300" s="1"/>
  <c r="FW301" s="1"/>
  <c r="FW302" s="1"/>
  <c r="FW303" s="1"/>
  <c r="FW304" s="1"/>
  <c r="FW305" s="1"/>
  <c r="FW306" s="1"/>
  <c r="FW307" s="1"/>
  <c r="FW308" s="1"/>
  <c r="FW309" s="1"/>
  <c r="FW310" s="1"/>
  <c r="FW311" s="1"/>
  <c r="FW312" s="1"/>
  <c r="FW313" s="1"/>
  <c r="FW314" s="1"/>
  <c r="FW315" s="1"/>
  <c r="FW316" s="1"/>
  <c r="FW317" s="1"/>
  <c r="FW318" s="1"/>
  <c r="FW319" s="1"/>
  <c r="FW320" s="1"/>
  <c r="FW321" s="1"/>
  <c r="FW322" s="1"/>
  <c r="FW323" s="1"/>
  <c r="FW324" s="1"/>
  <c r="FW325" s="1"/>
  <c r="FW326" s="1"/>
  <c r="FW327" s="1"/>
  <c r="FW328" s="1"/>
  <c r="FW329" s="1"/>
  <c r="FW330" s="1"/>
  <c r="FW331" s="1"/>
  <c r="FW332" s="1"/>
  <c r="FW333" s="1"/>
  <c r="FW334" s="1"/>
  <c r="FW335" s="1"/>
  <c r="FW336" s="1"/>
  <c r="FW337" s="1"/>
  <c r="FW338" s="1"/>
  <c r="FW339" s="1"/>
  <c r="FW340" s="1"/>
  <c r="FW341" s="1"/>
  <c r="FW342" s="1"/>
  <c r="FW343" s="1"/>
  <c r="FW344" s="1"/>
  <c r="FW345" s="1"/>
  <c r="FW346" s="1"/>
  <c r="FW347" s="1"/>
  <c r="FW348" s="1"/>
  <c r="FW349" s="1"/>
  <c r="FW350" s="1"/>
  <c r="FW351" s="1"/>
  <c r="FW352" s="1"/>
  <c r="FW353" s="1"/>
  <c r="FW354" s="1"/>
  <c r="FW355" s="1"/>
  <c r="FW356" s="1"/>
  <c r="FW357" s="1"/>
  <c r="FW358" s="1"/>
  <c r="FW359" s="1"/>
  <c r="FW360" s="1"/>
  <c r="FW361" s="1"/>
  <c r="FW362" s="1"/>
  <c r="FW363" s="1"/>
  <c r="FW364" s="1"/>
  <c r="FW365" s="1"/>
  <c r="FW366" s="1"/>
  <c r="FW367" s="1"/>
  <c r="FW368" s="1"/>
  <c r="FW369" s="1"/>
  <c r="FW370" s="1"/>
  <c r="FW371" s="1"/>
  <c r="FW372" s="1"/>
  <c r="FW373" s="1"/>
  <c r="FW374" s="1"/>
  <c r="FW375" s="1"/>
  <c r="FW376" s="1"/>
  <c r="FW377" s="1"/>
  <c r="FW378" s="1"/>
  <c r="FW379" s="1"/>
  <c r="FW380" s="1"/>
  <c r="FW381" s="1"/>
  <c r="FW382" s="1"/>
  <c r="FW383" s="1"/>
  <c r="FW384" s="1"/>
  <c r="FW385" s="1"/>
  <c r="G251" i="24"/>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2"/>
  <c r="G293"/>
  <c r="G294"/>
  <c r="G295"/>
  <c r="G296"/>
  <c r="G297"/>
  <c r="G298"/>
  <c r="G299"/>
  <c r="G300"/>
  <c r="G301"/>
  <c r="G302"/>
  <c r="G303"/>
  <c r="G304"/>
  <c r="G305"/>
  <c r="G306"/>
  <c r="G307"/>
  <c r="G308"/>
  <c r="G309"/>
  <c r="G310"/>
  <c r="G311"/>
  <c r="G312"/>
  <c r="G313"/>
  <c r="G314"/>
  <c r="G315"/>
  <c r="G316"/>
  <c r="H251"/>
  <c r="H252"/>
  <c r="H253"/>
  <c r="H254"/>
  <c r="H255"/>
  <c r="H256"/>
  <c r="H257"/>
  <c r="H258"/>
  <c r="H259"/>
  <c r="H260"/>
  <c r="H261"/>
  <c r="H262"/>
  <c r="H263"/>
  <c r="H264"/>
  <c r="H265"/>
  <c r="H266"/>
  <c r="H267"/>
  <c r="H268"/>
  <c r="H269"/>
  <c r="H270"/>
  <c r="H271"/>
  <c r="H272"/>
  <c r="H273"/>
  <c r="H274"/>
  <c r="H275"/>
  <c r="H276"/>
  <c r="H277"/>
  <c r="H278"/>
  <c r="H279"/>
  <c r="H280"/>
  <c r="H281"/>
  <c r="H282"/>
  <c r="H283"/>
  <c r="H284"/>
  <c r="H285"/>
  <c r="H286"/>
  <c r="H287"/>
  <c r="H288"/>
  <c r="H289"/>
  <c r="H290"/>
  <c r="H292"/>
  <c r="H293"/>
  <c r="H294"/>
  <c r="H295"/>
  <c r="H296"/>
  <c r="H297"/>
  <c r="H298"/>
  <c r="H299"/>
  <c r="H300"/>
  <c r="H301"/>
  <c r="H302"/>
  <c r="H303"/>
  <c r="H304"/>
  <c r="H305"/>
  <c r="H306"/>
  <c r="H307"/>
  <c r="H308"/>
  <c r="H309"/>
  <c r="H310"/>
  <c r="H311"/>
  <c r="H312"/>
  <c r="H313"/>
  <c r="H314"/>
  <c r="H315"/>
  <c r="H316"/>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2"/>
  <c r="I293"/>
  <c r="I294"/>
  <c r="I295"/>
  <c r="I296"/>
  <c r="I297"/>
  <c r="I298"/>
  <c r="I299"/>
  <c r="I300"/>
  <c r="I301"/>
  <c r="I302"/>
  <c r="I303"/>
  <c r="I304"/>
  <c r="I305"/>
  <c r="I306"/>
  <c r="I307"/>
  <c r="I308"/>
  <c r="G249"/>
  <c r="I309"/>
  <c r="I311"/>
  <c r="I313"/>
  <c r="I315"/>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250"/>
  <c r="H317"/>
  <c r="H318"/>
  <c r="H319"/>
  <c r="H320"/>
  <c r="H321"/>
  <c r="H322"/>
  <c r="H323"/>
  <c r="H324"/>
  <c r="H325"/>
  <c r="H326"/>
  <c r="H327"/>
  <c r="H328"/>
  <c r="H329"/>
  <c r="H330"/>
  <c r="H331"/>
  <c r="H332"/>
  <c r="H333"/>
  <c r="H334"/>
  <c r="H335"/>
  <c r="H336"/>
  <c r="H337"/>
  <c r="H338"/>
  <c r="H339"/>
  <c r="H340"/>
  <c r="H341"/>
  <c r="H342"/>
  <c r="H343"/>
  <c r="H344"/>
  <c r="H345"/>
  <c r="H346"/>
  <c r="H347"/>
  <c r="H348"/>
  <c r="H349"/>
  <c r="H350"/>
  <c r="H351"/>
  <c r="H352"/>
  <c r="H353"/>
  <c r="H354"/>
  <c r="H355"/>
  <c r="H356"/>
  <c r="H357"/>
  <c r="H358"/>
  <c r="H359"/>
  <c r="H360"/>
  <c r="H361"/>
  <c r="H362"/>
  <c r="H363"/>
  <c r="H364"/>
  <c r="H365"/>
  <c r="H366"/>
  <c r="H367"/>
  <c r="H368"/>
  <c r="H369"/>
  <c r="H370"/>
  <c r="H371"/>
  <c r="H372"/>
  <c r="H373"/>
  <c r="H374"/>
  <c r="H375"/>
  <c r="H376"/>
  <c r="H377"/>
  <c r="H378"/>
  <c r="H379"/>
  <c r="H250"/>
  <c r="I249"/>
  <c r="I310"/>
  <c r="I312"/>
  <c r="I314"/>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250"/>
  <c r="H249"/>
  <c r="G158"/>
  <c r="G160"/>
  <c r="G165"/>
  <c r="G168"/>
  <c r="G170"/>
  <c r="G174"/>
  <c r="G178"/>
  <c r="G182"/>
  <c r="G157"/>
  <c r="G162"/>
  <c r="G164"/>
  <c r="G166"/>
  <c r="G167"/>
  <c r="G171"/>
  <c r="G172"/>
  <c r="G175"/>
  <c r="G176"/>
  <c r="G179"/>
  <c r="G180"/>
  <c r="G183"/>
  <c r="G184"/>
  <c r="G187"/>
  <c r="G191"/>
  <c r="G195"/>
  <c r="G199"/>
  <c r="G161"/>
  <c r="G189"/>
  <c r="G193"/>
  <c r="G197"/>
  <c r="G163"/>
  <c r="G159"/>
  <c r="G169"/>
  <c r="G177"/>
  <c r="G185"/>
  <c r="G188"/>
  <c r="G192"/>
  <c r="G196"/>
  <c r="G173"/>
  <c r="G181"/>
  <c r="G186"/>
  <c r="G190"/>
  <c r="G194"/>
  <c r="G198"/>
  <c r="G203"/>
  <c r="G207"/>
  <c r="G211"/>
  <c r="G215"/>
  <c r="G219"/>
  <c r="G223"/>
  <c r="G227"/>
  <c r="G231"/>
  <c r="G235"/>
  <c r="G201"/>
  <c r="G204"/>
  <c r="G208"/>
  <c r="G212"/>
  <c r="G216"/>
  <c r="G220"/>
  <c r="G224"/>
  <c r="G206"/>
  <c r="G210"/>
  <c r="G214"/>
  <c r="G218"/>
  <c r="G200"/>
  <c r="G205"/>
  <c r="G209"/>
  <c r="G213"/>
  <c r="G217"/>
  <c r="G228"/>
  <c r="G229"/>
  <c r="G232"/>
  <c r="G233"/>
  <c r="G236"/>
  <c r="G237"/>
  <c r="G221"/>
  <c r="G222"/>
  <c r="G225"/>
  <c r="G226"/>
  <c r="G230"/>
  <c r="G234"/>
  <c r="G238"/>
  <c r="G239"/>
  <c r="G241"/>
  <c r="G243"/>
  <c r="G245"/>
  <c r="G247"/>
  <c r="G240"/>
  <c r="G242"/>
  <c r="G244"/>
  <c r="G246"/>
  <c r="G248"/>
  <c r="G202"/>
  <c r="G380"/>
  <c r="G384"/>
  <c r="G385"/>
  <c r="G381"/>
  <c r="G382"/>
  <c r="G383"/>
  <c r="DH303" i="43"/>
  <c r="G303" s="1"/>
  <c r="DH379"/>
  <c r="G379" s="1"/>
  <c r="H379" s="1"/>
  <c r="DH352"/>
  <c r="G352" s="1"/>
  <c r="DH368"/>
  <c r="G368" s="1"/>
  <c r="DH323"/>
  <c r="G323" s="1"/>
  <c r="DH297"/>
  <c r="G297" s="1"/>
  <c r="H297" s="1"/>
  <c r="DH363"/>
  <c r="G363" s="1"/>
  <c r="DH272"/>
  <c r="G272" s="1"/>
  <c r="M272" s="1"/>
  <c r="N272" s="1"/>
  <c r="DH223"/>
  <c r="G223" s="1"/>
  <c r="DH175"/>
  <c r="G175" s="1"/>
  <c r="H175" s="1"/>
  <c r="DH381"/>
  <c r="G381" s="1"/>
  <c r="DH377"/>
  <c r="G377" s="1"/>
  <c r="M377" s="1"/>
  <c r="DH335"/>
  <c r="G335" s="1"/>
  <c r="M335" s="1"/>
  <c r="DH317"/>
  <c r="G317" s="1"/>
  <c r="DH375"/>
  <c r="G375" s="1"/>
  <c r="H375" s="1"/>
  <c r="DH299"/>
  <c r="G299" s="1"/>
  <c r="M299" s="1"/>
  <c r="DH208"/>
  <c r="G208" s="1"/>
  <c r="M208" s="1"/>
  <c r="N208" s="1"/>
  <c r="DH172"/>
  <c r="G172" s="1"/>
  <c r="DH370"/>
  <c r="G370" s="1"/>
  <c r="DH329"/>
  <c r="G329" s="1"/>
  <c r="M329" s="1"/>
  <c r="DH158"/>
  <c r="G158" s="1"/>
  <c r="M158" s="1"/>
  <c r="N158" s="1"/>
  <c r="DH331"/>
  <c r="G331" s="1"/>
  <c r="M331" s="1"/>
  <c r="DH289"/>
  <c r="G289" s="1"/>
  <c r="DH171"/>
  <c r="G171" s="1"/>
  <c r="M171" s="1"/>
  <c r="N171" s="1"/>
  <c r="DH277"/>
  <c r="G277" s="1"/>
  <c r="M277" s="1"/>
  <c r="N277" s="1"/>
  <c r="DH200"/>
  <c r="G200" s="1"/>
  <c r="DH169"/>
  <c r="G169" s="1"/>
  <c r="DH360"/>
  <c r="G360" s="1"/>
  <c r="H360" s="1"/>
  <c r="DH321"/>
  <c r="G321" s="1"/>
  <c r="DH325"/>
  <c r="G325" s="1"/>
  <c r="DH315"/>
  <c r="G315" s="1"/>
  <c r="DH279"/>
  <c r="G279" s="1"/>
  <c r="H279" s="1"/>
  <c r="DH163"/>
  <c r="G163" s="1"/>
  <c r="DH177"/>
  <c r="G177" s="1"/>
  <c r="DH203"/>
  <c r="G203" s="1"/>
  <c r="DH187"/>
  <c r="G187" s="1"/>
  <c r="M187" s="1"/>
  <c r="N187" s="1"/>
  <c r="DH293"/>
  <c r="G293" s="1"/>
  <c r="M293" s="1"/>
  <c r="M242"/>
  <c r="N242" s="1"/>
  <c r="M236"/>
  <c r="N236" s="1"/>
  <c r="M215"/>
  <c r="N215" s="1"/>
  <c r="M346"/>
  <c r="M355"/>
  <c r="M357"/>
  <c r="M340"/>
  <c r="M230"/>
  <c r="N230" s="1"/>
  <c r="DY288"/>
  <c r="DY234"/>
  <c r="DY188"/>
  <c r="DY326"/>
  <c r="DY264"/>
  <c r="DY209"/>
  <c r="DY218"/>
  <c r="DY277"/>
  <c r="DY213"/>
  <c r="DY225"/>
  <c r="DY279"/>
  <c r="DY283"/>
  <c r="DY181"/>
  <c r="DY276"/>
  <c r="DH265"/>
  <c r="G265" s="1"/>
  <c r="DH364"/>
  <c r="G364" s="1"/>
  <c r="DH221"/>
  <c r="G221" s="1"/>
  <c r="DH231"/>
  <c r="G231" s="1"/>
  <c r="DH219"/>
  <c r="G219" s="1"/>
  <c r="M219" s="1"/>
  <c r="N219" s="1"/>
  <c r="DH176"/>
  <c r="G176" s="1"/>
  <c r="DH201"/>
  <c r="G201" s="1"/>
  <c r="M201" s="1"/>
  <c r="N201" s="1"/>
  <c r="DH179"/>
  <c r="G179" s="1"/>
  <c r="DH249"/>
  <c r="G249" s="1"/>
  <c r="M249" s="1"/>
  <c r="N249" s="1"/>
  <c r="DH202"/>
  <c r="G202" s="1"/>
  <c r="M202" s="1"/>
  <c r="N202" s="1"/>
  <c r="DH378"/>
  <c r="G378" s="1"/>
  <c r="H378" s="1"/>
  <c r="DH359"/>
  <c r="G359" s="1"/>
  <c r="DH305"/>
  <c r="G305" s="1"/>
  <c r="M305" s="1"/>
  <c r="DH267"/>
  <c r="G267" s="1"/>
  <c r="M267" s="1"/>
  <c r="N267" s="1"/>
  <c r="DH170"/>
  <c r="G170" s="1"/>
  <c r="M170" s="1"/>
  <c r="N170" s="1"/>
  <c r="DH356"/>
  <c r="G356" s="1"/>
  <c r="DH243"/>
  <c r="G243" s="1"/>
  <c r="M243" s="1"/>
  <c r="N243" s="1"/>
  <c r="DH245"/>
  <c r="G245" s="1"/>
  <c r="M245" s="1"/>
  <c r="N245" s="1"/>
  <c r="DH353"/>
  <c r="G353" s="1"/>
  <c r="DH372"/>
  <c r="G372" s="1"/>
  <c r="DH205"/>
  <c r="G205" s="1"/>
  <c r="H205" s="1"/>
  <c r="DH259"/>
  <c r="G259" s="1"/>
  <c r="DH191"/>
  <c r="G191" s="1"/>
  <c r="DH275"/>
  <c r="G275" s="1"/>
  <c r="DH334"/>
  <c r="G334" s="1"/>
  <c r="M334" s="1"/>
  <c r="DH268"/>
  <c r="G268" s="1"/>
  <c r="M268" s="1"/>
  <c r="N268" s="1"/>
  <c r="DH251"/>
  <c r="G251" s="1"/>
  <c r="DH238"/>
  <c r="G238" s="1"/>
  <c r="M238" s="1"/>
  <c r="N238" s="1"/>
  <c r="DH212"/>
  <c r="G212" s="1"/>
  <c r="DH369"/>
  <c r="G369" s="1"/>
  <c r="DH332"/>
  <c r="G332" s="1"/>
  <c r="M332" s="1"/>
  <c r="DH308"/>
  <c r="G308" s="1"/>
  <c r="M308" s="1"/>
  <c r="DH276"/>
  <c r="G276" s="1"/>
  <c r="DH258"/>
  <c r="G258" s="1"/>
  <c r="M258" s="1"/>
  <c r="N258" s="1"/>
  <c r="DH213"/>
  <c r="G213" s="1"/>
  <c r="M213" s="1"/>
  <c r="N213" s="1"/>
  <c r="DH190"/>
  <c r="G190" s="1"/>
  <c r="M190" s="1"/>
  <c r="N190" s="1"/>
  <c r="DH384"/>
  <c r="G384" s="1"/>
  <c r="H384" s="1"/>
  <c r="K384" s="1"/>
  <c r="DH307"/>
  <c r="G307" s="1"/>
  <c r="DH306"/>
  <c r="G306" s="1"/>
  <c r="H306" s="1"/>
  <c r="DH274"/>
  <c r="G274" s="1"/>
  <c r="M274" s="1"/>
  <c r="N274" s="1"/>
  <c r="DH218"/>
  <c r="G218" s="1"/>
  <c r="M218" s="1"/>
  <c r="N218" s="1"/>
  <c r="DH161"/>
  <c r="G161" s="1"/>
  <c r="DH362"/>
  <c r="G362" s="1"/>
  <c r="DH330"/>
  <c r="G330" s="1"/>
  <c r="DH302"/>
  <c r="G302" s="1"/>
  <c r="M302" s="1"/>
  <c r="DH280"/>
  <c r="G280" s="1"/>
  <c r="M280" s="1"/>
  <c r="N280" s="1"/>
  <c r="DH234"/>
  <c r="G234" s="1"/>
  <c r="DH214"/>
  <c r="G214" s="1"/>
  <c r="DH159"/>
  <c r="G159" s="1"/>
  <c r="M159" s="1"/>
  <c r="N159" s="1"/>
  <c r="O143" i="24"/>
  <c r="O84"/>
  <c r="AC112"/>
  <c r="T118"/>
  <c r="V118" s="1"/>
  <c r="W118" s="1"/>
  <c r="BP118" s="1"/>
  <c r="BI59"/>
  <c r="T47"/>
  <c r="V47" s="1"/>
  <c r="W47" s="1"/>
  <c r="BP47" s="1"/>
  <c r="O56"/>
  <c r="O54"/>
  <c r="O43"/>
  <c r="P43" s="1"/>
  <c r="O140"/>
  <c r="P140" s="1"/>
  <c r="AH140" s="1"/>
  <c r="O133"/>
  <c r="O32"/>
  <c r="O142"/>
  <c r="P142" s="1"/>
  <c r="AG142" s="1"/>
  <c r="B9" i="22"/>
  <c r="O36" i="24"/>
  <c r="P36" s="1"/>
  <c r="O115"/>
  <c r="P115" s="1"/>
  <c r="O119"/>
  <c r="P119" s="1"/>
  <c r="O120"/>
  <c r="O58"/>
  <c r="P58" s="1"/>
  <c r="O151"/>
  <c r="O106"/>
  <c r="P106" s="1"/>
  <c r="O28"/>
  <c r="P28" s="1"/>
  <c r="O47"/>
  <c r="P47" s="1"/>
  <c r="AF149" i="45"/>
  <c r="BI113" i="24"/>
  <c r="T46"/>
  <c r="V46" s="1"/>
  <c r="W46" s="1"/>
  <c r="BP46" s="1"/>
  <c r="DZ91" i="43"/>
  <c r="Y90" i="24" s="1"/>
  <c r="Z90" s="1"/>
  <c r="DZ150" i="43"/>
  <c r="G144" i="24"/>
  <c r="O144" s="1"/>
  <c r="P144" s="1"/>
  <c r="G112"/>
  <c r="O112" s="1"/>
  <c r="DM26" i="43"/>
  <c r="DN26" s="1"/>
  <c r="G49" i="24"/>
  <c r="O49" s="1"/>
  <c r="G101"/>
  <c r="O101" s="1"/>
  <c r="G121"/>
  <c r="O121" s="1"/>
  <c r="DZ56" i="43"/>
  <c r="T68" i="24"/>
  <c r="V68" s="1"/>
  <c r="W68" s="1"/>
  <c r="BP68" s="1"/>
  <c r="BI151"/>
  <c r="BI150"/>
  <c r="DZ145" i="43"/>
  <c r="G97" i="24"/>
  <c r="O97" s="1"/>
  <c r="BI78"/>
  <c r="DZ57" i="43"/>
  <c r="DZ146"/>
  <c r="Y145" i="24" s="1"/>
  <c r="Z145" s="1"/>
  <c r="DZ143" i="43"/>
  <c r="DZ140"/>
  <c r="M149"/>
  <c r="N149" s="1"/>
  <c r="G88" i="24"/>
  <c r="O88" s="1"/>
  <c r="G87"/>
  <c r="O87" s="1"/>
  <c r="BI140"/>
  <c r="BI92"/>
  <c r="BI76"/>
  <c r="G48"/>
  <c r="DZ27" i="43"/>
  <c r="S302" i="45"/>
  <c r="B15"/>
  <c r="S247"/>
  <c r="BI125" i="24"/>
  <c r="E9" i="22"/>
  <c r="BI145" i="24"/>
  <c r="BI138"/>
  <c r="BI105"/>
  <c r="P14" i="43"/>
  <c r="G139" i="24"/>
  <c r="O139" s="1"/>
  <c r="P139" s="1"/>
  <c r="BI100"/>
  <c r="BI46"/>
  <c r="G146"/>
  <c r="O146" s="1"/>
  <c r="G147"/>
  <c r="O147" s="1"/>
  <c r="G79"/>
  <c r="O79" s="1"/>
  <c r="G148"/>
  <c r="O148" s="1"/>
  <c r="G149"/>
  <c r="O149" s="1"/>
  <c r="P149" s="1"/>
  <c r="G80"/>
  <c r="O80" s="1"/>
  <c r="G14"/>
  <c r="O14" s="1"/>
  <c r="G126"/>
  <c r="O126" s="1"/>
  <c r="G98"/>
  <c r="O98" s="1"/>
  <c r="G127"/>
  <c r="O127" s="1"/>
  <c r="P127" s="1"/>
  <c r="G91"/>
  <c r="O91" s="1"/>
  <c r="G61"/>
  <c r="O61" s="1"/>
  <c r="G60"/>
  <c r="O60" s="1"/>
  <c r="G30"/>
  <c r="O30" s="1"/>
  <c r="P30" s="1"/>
  <c r="G70"/>
  <c r="O70" s="1"/>
  <c r="P70" s="1"/>
  <c r="AG70" s="1"/>
  <c r="G13"/>
  <c r="O13" s="1"/>
  <c r="G71"/>
  <c r="O71" s="1"/>
  <c r="G8"/>
  <c r="G33"/>
  <c r="O33" s="1"/>
  <c r="G44"/>
  <c r="O44" s="1"/>
  <c r="G24"/>
  <c r="O24" s="1"/>
  <c r="DZ68" i="43"/>
  <c r="Y67" i="24" s="1"/>
  <c r="Z67" s="1"/>
  <c r="AH378" i="45"/>
  <c r="AH346"/>
  <c r="AH314"/>
  <c r="AH266"/>
  <c r="AH371"/>
  <c r="AH199"/>
  <c r="AH103"/>
  <c r="AH264"/>
  <c r="AH168"/>
  <c r="AH152"/>
  <c r="AH136"/>
  <c r="AH269"/>
  <c r="AH253"/>
  <c r="AH173"/>
  <c r="G9" i="24"/>
  <c r="O9" s="1"/>
  <c r="B226" i="45"/>
  <c r="N50" i="24"/>
  <c r="G21"/>
  <c r="O21" s="1"/>
  <c r="G34"/>
  <c r="O34" s="1"/>
  <c r="G42"/>
  <c r="O42" s="1"/>
  <c r="G23"/>
  <c r="O23" s="1"/>
  <c r="P23" s="1"/>
  <c r="DM145" i="43"/>
  <c r="DN145" s="1"/>
  <c r="CB107"/>
  <c r="BG89"/>
  <c r="CU107"/>
  <c r="CB82"/>
  <c r="CU87"/>
  <c r="CU156"/>
  <c r="CB43"/>
  <c r="CU45"/>
  <c r="CU31"/>
  <c r="CB19"/>
  <c r="CU153"/>
  <c r="CU35"/>
  <c r="G136" i="24"/>
  <c r="O136" s="1"/>
  <c r="DM42" i="43"/>
  <c r="DN42" s="1"/>
  <c r="DM98"/>
  <c r="DN98" s="1"/>
  <c r="FE142"/>
  <c r="N152"/>
  <c r="N140"/>
  <c r="P121"/>
  <c r="P52"/>
  <c r="P145"/>
  <c r="P154"/>
  <c r="P142"/>
  <c r="P96"/>
  <c r="P66"/>
  <c r="DG95"/>
  <c r="DH95" s="1"/>
  <c r="G95" s="1"/>
  <c r="P82"/>
  <c r="P55"/>
  <c r="P123"/>
  <c r="P128"/>
  <c r="P134"/>
  <c r="G222" i="23"/>
  <c r="K250" i="24"/>
  <c r="K254"/>
  <c r="K258"/>
  <c r="K262"/>
  <c r="K266"/>
  <c r="K270"/>
  <c r="K274"/>
  <c r="K278"/>
  <c r="K282"/>
  <c r="K286"/>
  <c r="K290"/>
  <c r="K294"/>
  <c r="K298"/>
  <c r="K302"/>
  <c r="K306"/>
  <c r="K310"/>
  <c r="K314"/>
  <c r="K251"/>
  <c r="K255"/>
  <c r="K259"/>
  <c r="K263"/>
  <c r="K267"/>
  <c r="K271"/>
  <c r="K275"/>
  <c r="K279"/>
  <c r="K283"/>
  <c r="K287"/>
  <c r="K252"/>
  <c r="K256"/>
  <c r="K260"/>
  <c r="K264"/>
  <c r="K268"/>
  <c r="K272"/>
  <c r="K276"/>
  <c r="K280"/>
  <c r="K284"/>
  <c r="K288"/>
  <c r="K292"/>
  <c r="K253"/>
  <c r="K257"/>
  <c r="K261"/>
  <c r="K265"/>
  <c r="K269"/>
  <c r="K273"/>
  <c r="K277"/>
  <c r="K281"/>
  <c r="K285"/>
  <c r="K289"/>
  <c r="K293"/>
  <c r="K297"/>
  <c r="K301"/>
  <c r="K305"/>
  <c r="K309"/>
  <c r="K313"/>
  <c r="K296"/>
  <c r="K304"/>
  <c r="K312"/>
  <c r="K318"/>
  <c r="K322"/>
  <c r="K326"/>
  <c r="K330"/>
  <c r="K334"/>
  <c r="K338"/>
  <c r="K342"/>
  <c r="K346"/>
  <c r="K350"/>
  <c r="K354"/>
  <c r="K358"/>
  <c r="K362"/>
  <c r="K366"/>
  <c r="K370"/>
  <c r="K374"/>
  <c r="K378"/>
  <c r="K382"/>
  <c r="K299"/>
  <c r="K307"/>
  <c r="K315"/>
  <c r="K319"/>
  <c r="K323"/>
  <c r="K327"/>
  <c r="K331"/>
  <c r="K335"/>
  <c r="K339"/>
  <c r="K343"/>
  <c r="K347"/>
  <c r="K351"/>
  <c r="K355"/>
  <c r="K359"/>
  <c r="K363"/>
  <c r="K367"/>
  <c r="K371"/>
  <c r="K375"/>
  <c r="K379"/>
  <c r="K383"/>
  <c r="K300"/>
  <c r="K308"/>
  <c r="K316"/>
  <c r="K320"/>
  <c r="K324"/>
  <c r="K328"/>
  <c r="K332"/>
  <c r="K336"/>
  <c r="K340"/>
  <c r="K344"/>
  <c r="K348"/>
  <c r="K352"/>
  <c r="K356"/>
  <c r="K360"/>
  <c r="K364"/>
  <c r="K368"/>
  <c r="K372"/>
  <c r="K376"/>
  <c r="K380"/>
  <c r="K384"/>
  <c r="K295"/>
  <c r="K303"/>
  <c r="K311"/>
  <c r="K317"/>
  <c r="K321"/>
  <c r="K325"/>
  <c r="K329"/>
  <c r="K333"/>
  <c r="K337"/>
  <c r="K341"/>
  <c r="K345"/>
  <c r="K349"/>
  <c r="K353"/>
  <c r="K357"/>
  <c r="K361"/>
  <c r="K365"/>
  <c r="K369"/>
  <c r="K373"/>
  <c r="K377"/>
  <c r="K381"/>
  <c r="K385"/>
  <c r="K249"/>
  <c r="K169"/>
  <c r="K173"/>
  <c r="K177"/>
  <c r="K181"/>
  <c r="K185"/>
  <c r="K189"/>
  <c r="K193"/>
  <c r="K197"/>
  <c r="K201"/>
  <c r="K205"/>
  <c r="K209"/>
  <c r="K213"/>
  <c r="K217"/>
  <c r="K221"/>
  <c r="K225"/>
  <c r="K229"/>
  <c r="K233"/>
  <c r="K237"/>
  <c r="K241"/>
  <c r="K245"/>
  <c r="K157"/>
  <c r="I159"/>
  <c r="K162"/>
  <c r="K164"/>
  <c r="I167"/>
  <c r="I172"/>
  <c r="I176"/>
  <c r="I180"/>
  <c r="I184"/>
  <c r="K170"/>
  <c r="K174"/>
  <c r="K178"/>
  <c r="K182"/>
  <c r="K186"/>
  <c r="K190"/>
  <c r="K194"/>
  <c r="K198"/>
  <c r="K202"/>
  <c r="K206"/>
  <c r="K210"/>
  <c r="K214"/>
  <c r="K218"/>
  <c r="K222"/>
  <c r="K226"/>
  <c r="K230"/>
  <c r="K234"/>
  <c r="K238"/>
  <c r="K242"/>
  <c r="K246"/>
  <c r="K159"/>
  <c r="I161"/>
  <c r="I163"/>
  <c r="I166"/>
  <c r="K167"/>
  <c r="K171"/>
  <c r="K175"/>
  <c r="K179"/>
  <c r="K183"/>
  <c r="K187"/>
  <c r="K191"/>
  <c r="K195"/>
  <c r="K199"/>
  <c r="K203"/>
  <c r="K207"/>
  <c r="K211"/>
  <c r="K215"/>
  <c r="K219"/>
  <c r="K223"/>
  <c r="K227"/>
  <c r="K231"/>
  <c r="K235"/>
  <c r="K239"/>
  <c r="K243"/>
  <c r="K247"/>
  <c r="K180"/>
  <c r="K196"/>
  <c r="K212"/>
  <c r="K228"/>
  <c r="K244"/>
  <c r="I157"/>
  <c r="K158"/>
  <c r="I165"/>
  <c r="I189"/>
  <c r="I193"/>
  <c r="I197"/>
  <c r="K184"/>
  <c r="K200"/>
  <c r="K216"/>
  <c r="K232"/>
  <c r="K248"/>
  <c r="K172"/>
  <c r="K188"/>
  <c r="K204"/>
  <c r="K220"/>
  <c r="K236"/>
  <c r="I160"/>
  <c r="I162"/>
  <c r="K163"/>
  <c r="K168"/>
  <c r="I169"/>
  <c r="I170"/>
  <c r="I171"/>
  <c r="I173"/>
  <c r="I174"/>
  <c r="I175"/>
  <c r="I177"/>
  <c r="I178"/>
  <c r="I179"/>
  <c r="I181"/>
  <c r="I182"/>
  <c r="I183"/>
  <c r="I185"/>
  <c r="I187"/>
  <c r="I191"/>
  <c r="I195"/>
  <c r="K208"/>
  <c r="K160"/>
  <c r="K165"/>
  <c r="I186"/>
  <c r="K224"/>
  <c r="K192"/>
  <c r="I158"/>
  <c r="K161"/>
  <c r="K166"/>
  <c r="I168"/>
  <c r="I190"/>
  <c r="I192"/>
  <c r="I194"/>
  <c r="I196"/>
  <c r="I198"/>
  <c r="I199"/>
  <c r="I202"/>
  <c r="I205"/>
  <c r="I209"/>
  <c r="I213"/>
  <c r="I217"/>
  <c r="I221"/>
  <c r="I225"/>
  <c r="I229"/>
  <c r="I233"/>
  <c r="I237"/>
  <c r="I188"/>
  <c r="I206"/>
  <c r="I210"/>
  <c r="I214"/>
  <c r="I218"/>
  <c r="I222"/>
  <c r="I226"/>
  <c r="K240"/>
  <c r="I200"/>
  <c r="I201"/>
  <c r="I204"/>
  <c r="I208"/>
  <c r="I212"/>
  <c r="I216"/>
  <c r="I164"/>
  <c r="I220"/>
  <c r="I224"/>
  <c r="I203"/>
  <c r="I207"/>
  <c r="I211"/>
  <c r="I215"/>
  <c r="I219"/>
  <c r="I223"/>
  <c r="I227"/>
  <c r="I239"/>
  <c r="I234"/>
  <c r="I235"/>
  <c r="I230"/>
  <c r="I231"/>
  <c r="I236"/>
  <c r="I241"/>
  <c r="I243"/>
  <c r="I245"/>
  <c r="I247"/>
  <c r="K176"/>
  <c r="I232"/>
  <c r="I228"/>
  <c r="I238"/>
  <c r="I240"/>
  <c r="I242"/>
  <c r="I244"/>
  <c r="I246"/>
  <c r="I248"/>
  <c r="I381"/>
  <c r="I382"/>
  <c r="I383"/>
  <c r="I385"/>
  <c r="I380"/>
  <c r="I384"/>
  <c r="AG54" i="45"/>
  <c r="DI8" i="43"/>
  <c r="M339"/>
  <c r="M382"/>
  <c r="M369"/>
  <c r="M283"/>
  <c r="N283" s="1"/>
  <c r="M286"/>
  <c r="N286" s="1"/>
  <c r="M162"/>
  <c r="N162" s="1"/>
  <c r="M313"/>
  <c r="M318"/>
  <c r="M310"/>
  <c r="M278"/>
  <c r="N278" s="1"/>
  <c r="M210"/>
  <c r="N210" s="1"/>
  <c r="M207"/>
  <c r="N207" s="1"/>
  <c r="DY355"/>
  <c r="DY318"/>
  <c r="DY328"/>
  <c r="DY292"/>
  <c r="DY228"/>
  <c r="DY208"/>
  <c r="DY266"/>
  <c r="DY232"/>
  <c r="DY320"/>
  <c r="DY221"/>
  <c r="DY215"/>
  <c r="DY274"/>
  <c r="DH261"/>
  <c r="G261" s="1"/>
  <c r="DH336"/>
  <c r="G336" s="1"/>
  <c r="DH189"/>
  <c r="G189" s="1"/>
  <c r="M189" s="1"/>
  <c r="N189" s="1"/>
  <c r="DH198"/>
  <c r="G198" s="1"/>
  <c r="M198" s="1"/>
  <c r="N198" s="1"/>
  <c r="DH204"/>
  <c r="G204" s="1"/>
  <c r="DH165"/>
  <c r="G165" s="1"/>
  <c r="M165" s="1"/>
  <c r="N165" s="1"/>
  <c r="DH178"/>
  <c r="G178" s="1"/>
  <c r="M178" s="1"/>
  <c r="N178" s="1"/>
  <c r="DH285"/>
  <c r="G285" s="1"/>
  <c r="DH248"/>
  <c r="G248" s="1"/>
  <c r="DH199"/>
  <c r="G199" s="1"/>
  <c r="DH354"/>
  <c r="G354" s="1"/>
  <c r="M354" s="1"/>
  <c r="DH351"/>
  <c r="G351" s="1"/>
  <c r="DH296"/>
  <c r="G296" s="1"/>
  <c r="DH291"/>
  <c r="G291" s="1"/>
  <c r="M291" s="1"/>
  <c r="DH366"/>
  <c r="G366" s="1"/>
  <c r="DH237"/>
  <c r="G237" s="1"/>
  <c r="DH235"/>
  <c r="G235" s="1"/>
  <c r="DH244"/>
  <c r="G244" s="1"/>
  <c r="M244" s="1"/>
  <c r="N244" s="1"/>
  <c r="DH347"/>
  <c r="G347" s="1"/>
  <c r="M347" s="1"/>
  <c r="DH337"/>
  <c r="G337" s="1"/>
  <c r="H337" s="1"/>
  <c r="DH263"/>
  <c r="G263" s="1"/>
  <c r="DH348"/>
  <c r="G348" s="1"/>
  <c r="H348" s="1"/>
  <c r="DH385"/>
  <c r="G385" s="1"/>
  <c r="DH183"/>
  <c r="G183" s="1"/>
  <c r="DH309"/>
  <c r="G309" s="1"/>
  <c r="M309" s="1"/>
  <c r="DH288"/>
  <c r="G288" s="1"/>
  <c r="M288" s="1"/>
  <c r="N288" s="1"/>
  <c r="DH260"/>
  <c r="G260" s="1"/>
  <c r="M260" s="1"/>
  <c r="N260" s="1"/>
  <c r="DH232"/>
  <c r="G232" s="1"/>
  <c r="DH166"/>
  <c r="G166" s="1"/>
  <c r="DH365"/>
  <c r="G365" s="1"/>
  <c r="DH326"/>
  <c r="G326" s="1"/>
  <c r="M326" s="1"/>
  <c r="DH300"/>
  <c r="G300" s="1"/>
  <c r="DH253"/>
  <c r="G253" s="1"/>
  <c r="DH227"/>
  <c r="G227" s="1"/>
  <c r="M227" s="1"/>
  <c r="N227" s="1"/>
  <c r="DH216"/>
  <c r="G216" s="1"/>
  <c r="DH380"/>
  <c r="G380" s="1"/>
  <c r="M380" s="1"/>
  <c r="DH324"/>
  <c r="G324" s="1"/>
  <c r="H324" s="1"/>
  <c r="DH292"/>
  <c r="G292" s="1"/>
  <c r="M292" s="1"/>
  <c r="DH255"/>
  <c r="G255" s="1"/>
  <c r="M255" s="1"/>
  <c r="N255" s="1"/>
  <c r="DH240"/>
  <c r="G240" s="1"/>
  <c r="DH345"/>
  <c r="G345" s="1"/>
  <c r="DH316"/>
  <c r="G316" s="1"/>
  <c r="M316" s="1"/>
  <c r="DH298"/>
  <c r="G298" s="1"/>
  <c r="H298" s="1"/>
  <c r="DH271"/>
  <c r="G271" s="1"/>
  <c r="M271" s="1"/>
  <c r="N271" s="1"/>
  <c r="DH228"/>
  <c r="G228" s="1"/>
  <c r="H228" s="1"/>
  <c r="DH188"/>
  <c r="G188" s="1"/>
  <c r="M188" s="1"/>
  <c r="N188" s="1"/>
  <c r="DH192"/>
  <c r="G192" s="1"/>
  <c r="H192" s="1"/>
  <c r="AG51" i="24"/>
  <c r="AH51"/>
  <c r="AH145"/>
  <c r="AG145"/>
  <c r="AG138"/>
  <c r="AH138"/>
  <c r="AH96"/>
  <c r="AG96"/>
  <c r="AH128"/>
  <c r="AG128"/>
  <c r="AG59"/>
  <c r="AH59"/>
  <c r="AH29"/>
  <c r="AG29"/>
  <c r="AH69"/>
  <c r="AG69"/>
  <c r="AH129"/>
  <c r="AG129"/>
  <c r="AH20"/>
  <c r="AG20"/>
  <c r="AG134"/>
  <c r="AH134"/>
  <c r="AG55"/>
  <c r="AH55"/>
  <c r="AH153"/>
  <c r="AG153"/>
  <c r="AH36"/>
  <c r="AG36"/>
  <c r="AG103"/>
  <c r="AH103"/>
  <c r="AG102"/>
  <c r="AH102"/>
  <c r="AG123"/>
  <c r="AH123"/>
  <c r="CO64" i="43"/>
  <c r="CV64" s="1"/>
  <c r="DC223"/>
  <c r="DD223" s="1"/>
  <c r="DE223" s="1"/>
  <c r="Y250" i="45"/>
  <c r="Y254"/>
  <c r="Y258"/>
  <c r="Y262"/>
  <c r="Y266"/>
  <c r="Y270"/>
  <c r="Y274"/>
  <c r="Y278"/>
  <c r="Y282"/>
  <c r="Y286"/>
  <c r="Y290"/>
  <c r="Y294"/>
  <c r="Y298"/>
  <c r="Y302"/>
  <c r="Y306"/>
  <c r="Y310"/>
  <c r="Y314"/>
  <c r="Y318"/>
  <c r="Y322"/>
  <c r="Y326"/>
  <c r="Y330"/>
  <c r="Y334"/>
  <c r="Y338"/>
  <c r="Y342"/>
  <c r="Y346"/>
  <c r="Y350"/>
  <c r="Y354"/>
  <c r="Y358"/>
  <c r="Y362"/>
  <c r="Y366"/>
  <c r="Y370"/>
  <c r="Y374"/>
  <c r="Y378"/>
  <c r="Y249"/>
  <c r="Y253"/>
  <c r="Y257"/>
  <c r="Y261"/>
  <c r="Y265"/>
  <c r="Y269"/>
  <c r="Y273"/>
  <c r="Y277"/>
  <c r="Y281"/>
  <c r="Y285"/>
  <c r="Y289"/>
  <c r="Y293"/>
  <c r="Y297"/>
  <c r="Y301"/>
  <c r="Y305"/>
  <c r="Y309"/>
  <c r="Y313"/>
  <c r="Y317"/>
  <c r="Y321"/>
  <c r="Y325"/>
  <c r="Y329"/>
  <c r="Y333"/>
  <c r="Y337"/>
  <c r="Y341"/>
  <c r="Y345"/>
  <c r="Y349"/>
  <c r="Y353"/>
  <c r="Y357"/>
  <c r="Y361"/>
  <c r="Y365"/>
  <c r="Y369"/>
  <c r="Y373"/>
  <c r="Y377"/>
  <c r="Y248"/>
  <c r="Y252"/>
  <c r="Y256"/>
  <c r="Y260"/>
  <c r="Y264"/>
  <c r="Y268"/>
  <c r="Y272"/>
  <c r="Y276"/>
  <c r="Y280"/>
  <c r="Y284"/>
  <c r="Y288"/>
  <c r="Y292"/>
  <c r="Y296"/>
  <c r="Y300"/>
  <c r="Y304"/>
  <c r="Y308"/>
  <c r="Y312"/>
  <c r="Y316"/>
  <c r="Y320"/>
  <c r="Y324"/>
  <c r="Y328"/>
  <c r="Y332"/>
  <c r="Y336"/>
  <c r="Y340"/>
  <c r="Y344"/>
  <c r="Y348"/>
  <c r="Y352"/>
  <c r="Y356"/>
  <c r="Y360"/>
  <c r="Y364"/>
  <c r="Y368"/>
  <c r="Y372"/>
  <c r="Y376"/>
  <c r="Y380"/>
  <c r="Y247"/>
  <c r="Y251"/>
  <c r="Y255"/>
  <c r="Y259"/>
  <c r="Y263"/>
  <c r="Y267"/>
  <c r="Y271"/>
  <c r="Y275"/>
  <c r="Y279"/>
  <c r="Y283"/>
  <c r="Y287"/>
  <c r="Y291"/>
  <c r="Y295"/>
  <c r="Y299"/>
  <c r="Y303"/>
  <c r="Y307"/>
  <c r="Y311"/>
  <c r="Y315"/>
  <c r="Y319"/>
  <c r="Y323"/>
  <c r="Y327"/>
  <c r="Y331"/>
  <c r="Y335"/>
  <c r="Y339"/>
  <c r="Y343"/>
  <c r="Y347"/>
  <c r="Y351"/>
  <c r="Y355"/>
  <c r="Y359"/>
  <c r="Y363"/>
  <c r="Y367"/>
  <c r="Y371"/>
  <c r="Y375"/>
  <c r="Y379"/>
  <c r="AS383"/>
  <c r="AS384" s="1"/>
  <c r="Y246"/>
  <c r="T105" i="24"/>
  <c r="V105" s="1"/>
  <c r="W105" s="1"/>
  <c r="BI132"/>
  <c r="DZ60" i="43"/>
  <c r="S151" i="45"/>
  <c r="BI84" i="24"/>
  <c r="BI16"/>
  <c r="B49" i="45"/>
  <c r="P31" i="24"/>
  <c r="Y31"/>
  <c r="Z31" s="1"/>
  <c r="Q153" i="45"/>
  <c r="R153" s="1"/>
  <c r="S153" s="1"/>
  <c r="DG157" i="43"/>
  <c r="DH157" s="1"/>
  <c r="G157" s="1"/>
  <c r="DY65"/>
  <c r="DY63"/>
  <c r="DY45"/>
  <c r="DY38"/>
  <c r="DY33"/>
  <c r="DY31"/>
  <c r="EV8"/>
  <c r="DY153"/>
  <c r="DY129"/>
  <c r="DY125"/>
  <c r="DY121"/>
  <c r="DY113"/>
  <c r="DY109"/>
  <c r="DY105"/>
  <c r="DY97"/>
  <c r="DY89"/>
  <c r="DY87"/>
  <c r="DY83"/>
  <c r="DY81"/>
  <c r="GU8"/>
  <c r="GT8" s="1"/>
  <c r="B78" i="45"/>
  <c r="B31"/>
  <c r="AG106"/>
  <c r="AG79"/>
  <c r="AG39"/>
  <c r="AG35"/>
  <c r="AG27"/>
  <c r="AC26" i="24"/>
  <c r="T26"/>
  <c r="V26" s="1"/>
  <c r="W26" s="1"/>
  <c r="BP26" s="1"/>
  <c r="T97"/>
  <c r="V97" s="1"/>
  <c r="W97" s="1"/>
  <c r="BP97" s="1"/>
  <c r="S152" i="45"/>
  <c r="DY64" i="43"/>
  <c r="DY46"/>
  <c r="DY42"/>
  <c r="DY36"/>
  <c r="DY34"/>
  <c r="DY21"/>
  <c r="DY150"/>
  <c r="DY144"/>
  <c r="DY138"/>
  <c r="DY134"/>
  <c r="DY102"/>
  <c r="DY82"/>
  <c r="DY80"/>
  <c r="DY74"/>
  <c r="O117" i="24"/>
  <c r="P117" s="1"/>
  <c r="O41"/>
  <c r="Y41" s="1"/>
  <c r="Z41" s="1"/>
  <c r="T135"/>
  <c r="V135" s="1"/>
  <c r="W135" s="1"/>
  <c r="BP135" s="1"/>
  <c r="DZ78" i="43"/>
  <c r="K13" i="35"/>
  <c r="K23"/>
  <c r="BC383" i="45"/>
  <c r="BA383"/>
  <c r="AY383"/>
  <c r="T382"/>
  <c r="Y382"/>
  <c r="W382"/>
  <c r="BB381"/>
  <c r="BC381" s="1"/>
  <c r="BD381" s="1"/>
  <c r="BE381" s="1"/>
  <c r="BE383" s="1"/>
  <c r="AI9" i="43"/>
  <c r="BN69"/>
  <c r="BU69" s="1"/>
  <c r="CO148"/>
  <c r="BN115"/>
  <c r="BU115" s="1"/>
  <c r="CO130"/>
  <c r="CO124"/>
  <c r="AI33"/>
  <c r="AF22"/>
  <c r="DY22" s="1"/>
  <c r="AF57"/>
  <c r="DY57" s="1"/>
  <c r="AH65"/>
  <c r="AI103"/>
  <c r="AF122"/>
  <c r="DY122" s="1"/>
  <c r="AF149"/>
  <c r="DY149" s="1"/>
  <c r="AI49"/>
  <c r="AH63"/>
  <c r="AH125"/>
  <c r="BN47"/>
  <c r="BU47" s="1"/>
  <c r="AI90"/>
  <c r="AI121"/>
  <c r="AH153"/>
  <c r="AI113"/>
  <c r="AF127"/>
  <c r="DY127" s="1"/>
  <c r="AF112"/>
  <c r="DY112" s="1"/>
  <c r="AH94"/>
  <c r="AF101"/>
  <c r="DY101" s="1"/>
  <c r="AH88"/>
  <c r="AF148"/>
  <c r="DY148" s="1"/>
  <c r="AF111"/>
  <c r="DY111" s="1"/>
  <c r="AI149"/>
  <c r="BN79"/>
  <c r="BU79" s="1"/>
  <c r="Y221" i="45"/>
  <c r="Y225"/>
  <c r="Y229"/>
  <c r="Y233"/>
  <c r="Y237"/>
  <c r="Y241"/>
  <c r="Y245"/>
  <c r="Y220"/>
  <c r="Y224"/>
  <c r="Y228"/>
  <c r="Y232"/>
  <c r="Y236"/>
  <c r="Y240"/>
  <c r="Y244"/>
  <c r="Y219"/>
  <c r="Y223"/>
  <c r="Y227"/>
  <c r="Y231"/>
  <c r="Y235"/>
  <c r="Y239"/>
  <c r="Y243"/>
  <c r="Y218"/>
  <c r="Y222"/>
  <c r="Y226"/>
  <c r="Y230"/>
  <c r="Y234"/>
  <c r="Y238"/>
  <c r="Y242"/>
  <c r="AH33" i="43"/>
  <c r="K82" i="35"/>
  <c r="AI25" i="43"/>
  <c r="AH23"/>
  <c r="AF20"/>
  <c r="DY20" s="1"/>
  <c r="AI57"/>
  <c r="AH38"/>
  <c r="AI65"/>
  <c r="AH74"/>
  <c r="AF9"/>
  <c r="DY9" s="1"/>
  <c r="AI97"/>
  <c r="AH117"/>
  <c r="AI151"/>
  <c r="AI83"/>
  <c r="AH109"/>
  <c r="AH93"/>
  <c r="AF79"/>
  <c r="DY79" s="1"/>
  <c r="AF95"/>
  <c r="DY95" s="1"/>
  <c r="AF67"/>
  <c r="DY67" s="1"/>
  <c r="AH105"/>
  <c r="AF49"/>
  <c r="DY49" s="1"/>
  <c r="AF62"/>
  <c r="DY62" s="1"/>
  <c r="AI63"/>
  <c r="AF60"/>
  <c r="DY60" s="1"/>
  <c r="AH51"/>
  <c r="AI87"/>
  <c r="AC14" i="45"/>
  <c r="AH31" i="43"/>
  <c r="AI153"/>
  <c r="AF115"/>
  <c r="DY115" s="1"/>
  <c r="AI127"/>
  <c r="AH152"/>
  <c r="AH102"/>
  <c r="AF98"/>
  <c r="DY98" s="1"/>
  <c r="AI101"/>
  <c r="AI129"/>
  <c r="AH144"/>
  <c r="AH138"/>
  <c r="AH99"/>
  <c r="AH111"/>
  <c r="AF141"/>
  <c r="DY141" s="1"/>
  <c r="CO8"/>
  <c r="BN65"/>
  <c r="BU65" s="1"/>
  <c r="BA152"/>
  <c r="CO146"/>
  <c r="BA138"/>
  <c r="BN124"/>
  <c r="BU124" s="1"/>
  <c r="CO108"/>
  <c r="BA101"/>
  <c r="BA97"/>
  <c r="CO96"/>
  <c r="BN81"/>
  <c r="BU81" s="1"/>
  <c r="CO75"/>
  <c r="BN73"/>
  <c r="BU73" s="1"/>
  <c r="DC276"/>
  <c r="DD276" s="1"/>
  <c r="DC313"/>
  <c r="DD313" s="1"/>
  <c r="BA156"/>
  <c r="CO143"/>
  <c r="BA142"/>
  <c r="BA130"/>
  <c r="BA116"/>
  <c r="CO83"/>
  <c r="CO101"/>
  <c r="AF10"/>
  <c r="DY10" s="1"/>
  <c r="AF136"/>
  <c r="DY136" s="1"/>
  <c r="AF132"/>
  <c r="DY132" s="1"/>
  <c r="AH58"/>
  <c r="AI50"/>
  <c r="AC163" i="45"/>
  <c r="AF90" i="43"/>
  <c r="DY90" s="1"/>
  <c r="AF108"/>
  <c r="DY108" s="1"/>
  <c r="AF152"/>
  <c r="DY152" s="1"/>
  <c r="AI102"/>
  <c r="AI112"/>
  <c r="AF94"/>
  <c r="DY94" s="1"/>
  <c r="AI134"/>
  <c r="AI110"/>
  <c r="AH76"/>
  <c r="AF142"/>
  <c r="DY142" s="1"/>
  <c r="AI138"/>
  <c r="AI148"/>
  <c r="AI150"/>
  <c r="DC346"/>
  <c r="DC197"/>
  <c r="DD197" s="1"/>
  <c r="DE197" s="1"/>
  <c r="AH124"/>
  <c r="AF128"/>
  <c r="DY128" s="1"/>
  <c r="AH132"/>
  <c r="AI42"/>
  <c r="AH64"/>
  <c r="AC118" i="45"/>
  <c r="AH108" i="43"/>
  <c r="AI80"/>
  <c r="AH134"/>
  <c r="AI98"/>
  <c r="AI154"/>
  <c r="AF88"/>
  <c r="DY88" s="1"/>
  <c r="AI142"/>
  <c r="AI144"/>
  <c r="AI128"/>
  <c r="AH150"/>
  <c r="DC312"/>
  <c r="DC158"/>
  <c r="DD158" s="1"/>
  <c r="DE158" s="1"/>
  <c r="DC227"/>
  <c r="DD227" s="1"/>
  <c r="DE227" s="1"/>
  <c r="DC272"/>
  <c r="DC182"/>
  <c r="DD182" s="1"/>
  <c r="DE182" s="1"/>
  <c r="AH10"/>
  <c r="AI46"/>
  <c r="AI15"/>
  <c r="AF25"/>
  <c r="DY25" s="1"/>
  <c r="AH36"/>
  <c r="AF66"/>
  <c r="DY66" s="1"/>
  <c r="AH46"/>
  <c r="AI122"/>
  <c r="AF124"/>
  <c r="DY124" s="1"/>
  <c r="AH62"/>
  <c r="AI64"/>
  <c r="AF154"/>
  <c r="DY154" s="1"/>
  <c r="BN154"/>
  <c r="BU154" s="1"/>
  <c r="BN136"/>
  <c r="BU136" s="1"/>
  <c r="BN88"/>
  <c r="BU88" s="1"/>
  <c r="DC210"/>
  <c r="DD210" s="1"/>
  <c r="DE210" s="1"/>
  <c r="AC203" i="45"/>
  <c r="AA203" s="1"/>
  <c r="CO14" i="43"/>
  <c r="BN13"/>
  <c r="BU13" s="1"/>
  <c r="CO155"/>
  <c r="BN150"/>
  <c r="BU150" s="1"/>
  <c r="BN148"/>
  <c r="BU148" s="1"/>
  <c r="CO145"/>
  <c r="BA144"/>
  <c r="EV10"/>
  <c r="EU11"/>
  <c r="BA40"/>
  <c r="BN38"/>
  <c r="BU38" s="1"/>
  <c r="BA134"/>
  <c r="CO133"/>
  <c r="CO131"/>
  <c r="BN130"/>
  <c r="BU130" s="1"/>
  <c r="BN126"/>
  <c r="BU126" s="1"/>
  <c r="CO125"/>
  <c r="CO123"/>
  <c r="BA10"/>
  <c r="BH10" s="1"/>
  <c r="BA72"/>
  <c r="BA64"/>
  <c r="BN51"/>
  <c r="BU51" s="1"/>
  <c r="BA120"/>
  <c r="CO117"/>
  <c r="CO113"/>
  <c r="BA112"/>
  <c r="BN112"/>
  <c r="BU112" s="1"/>
  <c r="BA110"/>
  <c r="BN110"/>
  <c r="BU110" s="1"/>
  <c r="BA108"/>
  <c r="BA106"/>
  <c r="BN106"/>
  <c r="BU106" s="1"/>
  <c r="CO105"/>
  <c r="CO103"/>
  <c r="BA102"/>
  <c r="BN102"/>
  <c r="BU102" s="1"/>
  <c r="BA100"/>
  <c r="BN98"/>
  <c r="BU98" s="1"/>
  <c r="BN96"/>
  <c r="BU96" s="1"/>
  <c r="BA94"/>
  <c r="BN92"/>
  <c r="BU92" s="1"/>
  <c r="CO89"/>
  <c r="CO87"/>
  <c r="CO81"/>
  <c r="CO77"/>
  <c r="BA76"/>
  <c r="BN76"/>
  <c r="BU76" s="1"/>
  <c r="DC279"/>
  <c r="DD279" s="1"/>
  <c r="DC225"/>
  <c r="DD225" s="1"/>
  <c r="DC330"/>
  <c r="DD330" s="1"/>
  <c r="DC283"/>
  <c r="DC218"/>
  <c r="DD218" s="1"/>
  <c r="DC326"/>
  <c r="DC209"/>
  <c r="DD209" s="1"/>
  <c r="DE209" s="1"/>
  <c r="DC160"/>
  <c r="DD160" s="1"/>
  <c r="DE160" s="1"/>
  <c r="B195" i="45"/>
  <c r="Y214"/>
  <c r="Y213"/>
  <c r="Y217"/>
  <c r="Y212"/>
  <c r="Y216"/>
  <c r="Y211"/>
  <c r="Y215"/>
  <c r="Y191"/>
  <c r="Y195"/>
  <c r="Y199"/>
  <c r="Y203"/>
  <c r="Y207"/>
  <c r="Y194"/>
  <c r="Y198"/>
  <c r="Y202"/>
  <c r="Y206"/>
  <c r="Y210"/>
  <c r="Y193"/>
  <c r="Y197"/>
  <c r="Y201"/>
  <c r="Y205"/>
  <c r="Y209"/>
  <c r="Y192"/>
  <c r="Y196"/>
  <c r="Y200"/>
  <c r="Y204"/>
  <c r="Y208"/>
  <c r="W195"/>
  <c r="W199"/>
  <c r="W194"/>
  <c r="W198"/>
  <c r="W193"/>
  <c r="W197"/>
  <c r="W192"/>
  <c r="W196"/>
  <c r="W200"/>
  <c r="W190"/>
  <c r="Z190" s="1"/>
  <c r="W191"/>
  <c r="AC355"/>
  <c r="AC238"/>
  <c r="AC240"/>
  <c r="AC129"/>
  <c r="AC358"/>
  <c r="K19" i="35"/>
  <c r="AC343" i="45"/>
  <c r="AC214"/>
  <c r="CO72" i="43"/>
  <c r="CO70"/>
  <c r="CO66"/>
  <c r="CO58"/>
  <c r="BN55"/>
  <c r="BU55" s="1"/>
  <c r="CO50"/>
  <c r="BA66"/>
  <c r="BA58"/>
  <c r="BA42"/>
  <c r="BN37"/>
  <c r="BU37" s="1"/>
  <c r="CO37"/>
  <c r="AI55"/>
  <c r="AH16"/>
  <c r="AI16"/>
  <c r="AI28"/>
  <c r="AF15"/>
  <c r="DY15" s="1"/>
  <c r="AI135"/>
  <c r="AH34"/>
  <c r="AH22"/>
  <c r="AH20"/>
  <c r="AI38"/>
  <c r="AH66"/>
  <c r="AI29"/>
  <c r="AH42"/>
  <c r="AI17"/>
  <c r="AF58"/>
  <c r="DY58" s="1"/>
  <c r="AH50"/>
  <c r="AH60"/>
  <c r="AF51"/>
  <c r="DY51" s="1"/>
  <c r="AC82" i="45"/>
  <c r="AC282"/>
  <c r="AC78"/>
  <c r="AC337"/>
  <c r="AC133"/>
  <c r="AC62"/>
  <c r="AC102"/>
  <c r="AC54"/>
  <c r="AC309"/>
  <c r="AC272"/>
  <c r="AC330"/>
  <c r="AC207"/>
  <c r="AI31" i="43"/>
  <c r="BN36"/>
  <c r="BU36" s="1"/>
  <c r="BN24"/>
  <c r="BU24" s="1"/>
  <c r="DC320"/>
  <c r="DC215"/>
  <c r="DD215" s="1"/>
  <c r="DC342"/>
  <c r="DC328"/>
  <c r="DD328" s="1"/>
  <c r="DC314"/>
  <c r="DC309"/>
  <c r="DD309" s="1"/>
  <c r="BN53"/>
  <c r="BU53" s="1"/>
  <c r="BN43"/>
  <c r="BU43" s="1"/>
  <c r="BN155"/>
  <c r="BU155" s="1"/>
  <c r="AF68"/>
  <c r="DY68" s="1"/>
  <c r="AH68"/>
  <c r="AH56"/>
  <c r="AI56"/>
  <c r="AF56"/>
  <c r="DY56" s="1"/>
  <c r="AI30"/>
  <c r="AF30"/>
  <c r="DY30" s="1"/>
  <c r="AI91"/>
  <c r="AI155"/>
  <c r="AI92"/>
  <c r="AH61"/>
  <c r="AF61"/>
  <c r="DY61" s="1"/>
  <c r="AC201" i="45"/>
  <c r="AA201" s="1"/>
  <c r="AC237"/>
  <c r="AC115"/>
  <c r="AC269"/>
  <c r="AC279"/>
  <c r="AC158"/>
  <c r="AC239"/>
  <c r="AC151"/>
  <c r="AC321"/>
  <c r="AC255"/>
  <c r="AC276"/>
  <c r="AC317"/>
  <c r="AC189"/>
  <c r="AC191"/>
  <c r="AC200"/>
  <c r="AC271"/>
  <c r="AC105"/>
  <c r="AC197"/>
  <c r="AC99"/>
  <c r="AC55"/>
  <c r="BN29" i="43"/>
  <c r="BU29" s="1"/>
  <c r="BN49"/>
  <c r="BU49" s="1"/>
  <c r="BN22"/>
  <c r="BU22" s="1"/>
  <c r="BN63"/>
  <c r="BU63" s="1"/>
  <c r="BN20"/>
  <c r="BU20" s="1"/>
  <c r="BN17"/>
  <c r="BU17" s="1"/>
  <c r="BN71"/>
  <c r="BU71" s="1"/>
  <c r="BN144"/>
  <c r="BU144" s="1"/>
  <c r="BN15"/>
  <c r="BU15" s="1"/>
  <c r="DC274"/>
  <c r="DC338"/>
  <c r="DD338" s="1"/>
  <c r="DC355"/>
  <c r="DD355" s="1"/>
  <c r="DC228"/>
  <c r="DC292"/>
  <c r="DC262"/>
  <c r="DD262" s="1"/>
  <c r="DC221"/>
  <c r="DD221" s="1"/>
  <c r="DC208"/>
  <c r="DD208" s="1"/>
  <c r="DE208" s="1"/>
  <c r="AI34"/>
  <c r="AF106"/>
  <c r="DY106" s="1"/>
  <c r="AI133"/>
  <c r="AI44"/>
  <c r="AI40"/>
  <c r="AC357" i="45"/>
  <c r="AC307"/>
  <c r="AC53"/>
  <c r="AC232"/>
  <c r="AC230"/>
  <c r="AC244"/>
  <c r="AC291"/>
  <c r="AC352"/>
  <c r="AC273"/>
  <c r="AC114"/>
  <c r="AC121"/>
  <c r="AC184"/>
  <c r="AC361"/>
  <c r="AC249"/>
  <c r="AC274"/>
  <c r="AC52"/>
  <c r="AC138"/>
  <c r="AC211"/>
  <c r="AC369"/>
  <c r="AC311"/>
  <c r="AC94"/>
  <c r="AC334"/>
  <c r="AC101"/>
  <c r="T380"/>
  <c r="AC69"/>
  <c r="AC297"/>
  <c r="AC248"/>
  <c r="AC131"/>
  <c r="AC298"/>
  <c r="AC349"/>
  <c r="AC125"/>
  <c r="AC56"/>
  <c r="AC72"/>
  <c r="AC112"/>
  <c r="AC142"/>
  <c r="AC262"/>
  <c r="AC245"/>
  <c r="AC85"/>
  <c r="AC116"/>
  <c r="AC270"/>
  <c r="AC110"/>
  <c r="AC124"/>
  <c r="AC212"/>
  <c r="AC267"/>
  <c r="AH156" i="43"/>
  <c r="AH30"/>
  <c r="AI45"/>
  <c r="AF156"/>
  <c r="DY156" s="1"/>
  <c r="AH139"/>
  <c r="AF48"/>
  <c r="DY48" s="1"/>
  <c r="K102" i="35"/>
  <c r="K11"/>
  <c r="AC225" i="45"/>
  <c r="AC199"/>
  <c r="AC319"/>
  <c r="AC364"/>
  <c r="AC28"/>
  <c r="AC109"/>
  <c r="AC227"/>
  <c r="AC63"/>
  <c r="AC66"/>
  <c r="AC24"/>
  <c r="AC202"/>
  <c r="AA202" s="1"/>
  <c r="AC204"/>
  <c r="AC280"/>
  <c r="AC236"/>
  <c r="AC356"/>
  <c r="AC313"/>
  <c r="AC111"/>
  <c r="AC220"/>
  <c r="AC143"/>
  <c r="AC44"/>
  <c r="AC328"/>
  <c r="AC96"/>
  <c r="AC68"/>
  <c r="AC156"/>
  <c r="AC360"/>
  <c r="AC12"/>
  <c r="AD12" s="1"/>
  <c r="AC90"/>
  <c r="AC226"/>
  <c r="AC322"/>
  <c r="AC145"/>
  <c r="AC250"/>
  <c r="AC34"/>
  <c r="AC161"/>
  <c r="AC64"/>
  <c r="AC353"/>
  <c r="AC264"/>
  <c r="AC15"/>
  <c r="AC48"/>
  <c r="AC206"/>
  <c r="AC302"/>
  <c r="AC40"/>
  <c r="AC259"/>
  <c r="AC107"/>
  <c r="AC128"/>
  <c r="AC171"/>
  <c r="AC61"/>
  <c r="AC332"/>
  <c r="AC141"/>
  <c r="AC247"/>
  <c r="AC260"/>
  <c r="AC76"/>
  <c r="AC21"/>
  <c r="AC253"/>
  <c r="AC45"/>
  <c r="AC27"/>
  <c r="AC366"/>
  <c r="AC169"/>
  <c r="AC46"/>
  <c r="AC130"/>
  <c r="AC331"/>
  <c r="AC354"/>
  <c r="AC277"/>
  <c r="AC254"/>
  <c r="EI8" i="43"/>
  <c r="AC375" i="45"/>
  <c r="AC327"/>
  <c r="AC341"/>
  <c r="AC170"/>
  <c r="AC79"/>
  <c r="AC16"/>
  <c r="AC155"/>
  <c r="AC320"/>
  <c r="AC87"/>
  <c r="AC42"/>
  <c r="AC31"/>
  <c r="AC340"/>
  <c r="AC208"/>
  <c r="AC172"/>
  <c r="AC326"/>
  <c r="AC176"/>
  <c r="AC350"/>
  <c r="AC159"/>
  <c r="AC347"/>
  <c r="AC19"/>
  <c r="AC49"/>
  <c r="AC152"/>
  <c r="AF53" i="43"/>
  <c r="DY53" s="1"/>
  <c r="AF92"/>
  <c r="DY92" s="1"/>
  <c r="AF55"/>
  <c r="DY55" s="1"/>
  <c r="AF16"/>
  <c r="DY16" s="1"/>
  <c r="AF40"/>
  <c r="DY40" s="1"/>
  <c r="AH54"/>
  <c r="AF54"/>
  <c r="DY54" s="1"/>
  <c r="BN8"/>
  <c r="BU8" s="1"/>
  <c r="CO11"/>
  <c r="BN11"/>
  <c r="BU11" s="1"/>
  <c r="BN10"/>
  <c r="BU10" s="1"/>
  <c r="CO10"/>
  <c r="BN9"/>
  <c r="BU9" s="1"/>
  <c r="BN72"/>
  <c r="BU72" s="1"/>
  <c r="CO71"/>
  <c r="BN70"/>
  <c r="BU70" s="1"/>
  <c r="CO69"/>
  <c r="BN68"/>
  <c r="BU68" s="1"/>
  <c r="CO68"/>
  <c r="BA68"/>
  <c r="BN67"/>
  <c r="BU67" s="1"/>
  <c r="CO67"/>
  <c r="BN66"/>
  <c r="BU66" s="1"/>
  <c r="BN64"/>
  <c r="BU64" s="1"/>
  <c r="BN62"/>
  <c r="BU62" s="1"/>
  <c r="BA62"/>
  <c r="CO61"/>
  <c r="BN61"/>
  <c r="BU61" s="1"/>
  <c r="BN60"/>
  <c r="BU60" s="1"/>
  <c r="BN59"/>
  <c r="BU59" s="1"/>
  <c r="CO59"/>
  <c r="BN58"/>
  <c r="BU58" s="1"/>
  <c r="BN57"/>
  <c r="BU57" s="1"/>
  <c r="CO57"/>
  <c r="BN56"/>
  <c r="BU56" s="1"/>
  <c r="CO56"/>
  <c r="BA56"/>
  <c r="CO55"/>
  <c r="BN54"/>
  <c r="BU54" s="1"/>
  <c r="CO54"/>
  <c r="BA54"/>
  <c r="CO53"/>
  <c r="BN52"/>
  <c r="BU52" s="1"/>
  <c r="CO51"/>
  <c r="BN50"/>
  <c r="BU50" s="1"/>
  <c r="BA50"/>
  <c r="CO49"/>
  <c r="BN48"/>
  <c r="BU48" s="1"/>
  <c r="BA48"/>
  <c r="BN46"/>
  <c r="BU46" s="1"/>
  <c r="BN45"/>
  <c r="BU45" s="1"/>
  <c r="CO45"/>
  <c r="BN44"/>
  <c r="BU44" s="1"/>
  <c r="BN42"/>
  <c r="BU42" s="1"/>
  <c r="BN41"/>
  <c r="BU41" s="1"/>
  <c r="CO41"/>
  <c r="BN40"/>
  <c r="BU40" s="1"/>
  <c r="BN39"/>
  <c r="BU39" s="1"/>
  <c r="CO39"/>
  <c r="BA36"/>
  <c r="CO35"/>
  <c r="BN34"/>
  <c r="BU34" s="1"/>
  <c r="BA34"/>
  <c r="CO33"/>
  <c r="BN32"/>
  <c r="BU32" s="1"/>
  <c r="BA32"/>
  <c r="BN30"/>
  <c r="BU30" s="1"/>
  <c r="BN28"/>
  <c r="BU28" s="1"/>
  <c r="BA28"/>
  <c r="BN26"/>
  <c r="BU26" s="1"/>
  <c r="BN25"/>
  <c r="BU25" s="1"/>
  <c r="BA24"/>
  <c r="BA22"/>
  <c r="CO21"/>
  <c r="BN21"/>
  <c r="BU21" s="1"/>
  <c r="BA20"/>
  <c r="BN18"/>
  <c r="BU18" s="1"/>
  <c r="CO17"/>
  <c r="BN16"/>
  <c r="BU16" s="1"/>
  <c r="BN14"/>
  <c r="BU14" s="1"/>
  <c r="BA14"/>
  <c r="BH14" s="1"/>
  <c r="BN12"/>
  <c r="BU12" s="1"/>
  <c r="BA155"/>
  <c r="CO154"/>
  <c r="BA153"/>
  <c r="BN153"/>
  <c r="BU153" s="1"/>
  <c r="CO152"/>
  <c r="BN151"/>
  <c r="BU151" s="1"/>
  <c r="CO150"/>
  <c r="BN149"/>
  <c r="BU149" s="1"/>
  <c r="BN147"/>
  <c r="BU147" s="1"/>
  <c r="BA145"/>
  <c r="BN145"/>
  <c r="BU145" s="1"/>
  <c r="CO144"/>
  <c r="BN143"/>
  <c r="BU143" s="1"/>
  <c r="CO142"/>
  <c r="BA141"/>
  <c r="BN141"/>
  <c r="BU141" s="1"/>
  <c r="CO140"/>
  <c r="BN139"/>
  <c r="BU139" s="1"/>
  <c r="CO138"/>
  <c r="BN137"/>
  <c r="BU137" s="1"/>
  <c r="CO136"/>
  <c r="BN135"/>
  <c r="BU135" s="1"/>
  <c r="BN133"/>
  <c r="BU133" s="1"/>
  <c r="CO132"/>
  <c r="BN131"/>
  <c r="BU131" s="1"/>
  <c r="BN129"/>
  <c r="BU129" s="1"/>
  <c r="CO128"/>
  <c r="BN127"/>
  <c r="BU127" s="1"/>
  <c r="CO126"/>
  <c r="BN125"/>
  <c r="BU125" s="1"/>
  <c r="BN123"/>
  <c r="BU123" s="1"/>
  <c r="CO122"/>
  <c r="BN121"/>
  <c r="BU121" s="1"/>
  <c r="CO120"/>
  <c r="BN117"/>
  <c r="BU117" s="1"/>
  <c r="CO116"/>
  <c r="CO114"/>
  <c r="BN113"/>
  <c r="BU113" s="1"/>
  <c r="BN111"/>
  <c r="BU111" s="1"/>
  <c r="CO110"/>
  <c r="BN109"/>
  <c r="BU109" s="1"/>
  <c r="CX166"/>
  <c r="DC165"/>
  <c r="DD165" s="1"/>
  <c r="DE165" s="1"/>
  <c r="DC285"/>
  <c r="DD285" s="1"/>
  <c r="DC266"/>
  <c r="DC301"/>
  <c r="DC232"/>
  <c r="DC290"/>
  <c r="DD290" s="1"/>
  <c r="DC236"/>
  <c r="DD236" s="1"/>
  <c r="CO38"/>
  <c r="BN35"/>
  <c r="BU35" s="1"/>
  <c r="BN33"/>
  <c r="BU33" s="1"/>
  <c r="BN31"/>
  <c r="BU31" s="1"/>
  <c r="BN27"/>
  <c r="BU27" s="1"/>
  <c r="BN23"/>
  <c r="BU23" s="1"/>
  <c r="DC213"/>
  <c r="BA139"/>
  <c r="CO20"/>
  <c r="BN19"/>
  <c r="BU19" s="1"/>
  <c r="BN107"/>
  <c r="BU107" s="1"/>
  <c r="CO106"/>
  <c r="BN105"/>
  <c r="BU105" s="1"/>
  <c r="BN156"/>
  <c r="BU156" s="1"/>
  <c r="BA154"/>
  <c r="BN152"/>
  <c r="BU152" s="1"/>
  <c r="CO151"/>
  <c r="BA150"/>
  <c r="CO149"/>
  <c r="BA148"/>
  <c r="CO147"/>
  <c r="BN146"/>
  <c r="BU146" s="1"/>
  <c r="BN142"/>
  <c r="BU142" s="1"/>
  <c r="CO141"/>
  <c r="BA140"/>
  <c r="BN140"/>
  <c r="BU140" s="1"/>
  <c r="CO139"/>
  <c r="BN138"/>
  <c r="BU138" s="1"/>
  <c r="BA136"/>
  <c r="BN134"/>
  <c r="BU134" s="1"/>
  <c r="BN103"/>
  <c r="BU103" s="1"/>
  <c r="BA132"/>
  <c r="BN132"/>
  <c r="BU132" s="1"/>
  <c r="BA128"/>
  <c r="BN128"/>
  <c r="BU128" s="1"/>
  <c r="CO127"/>
  <c r="BA71"/>
  <c r="BA37"/>
  <c r="BN97"/>
  <c r="BU97" s="1"/>
  <c r="CO88"/>
  <c r="CO84"/>
  <c r="BA8"/>
  <c r="BA70"/>
  <c r="BA38"/>
  <c r="BA124"/>
  <c r="BA122"/>
  <c r="BN122"/>
  <c r="BU122" s="1"/>
  <c r="CO121"/>
  <c r="BN120"/>
  <c r="BU120" s="1"/>
  <c r="BN116"/>
  <c r="BU116" s="1"/>
  <c r="CO115"/>
  <c r="BN114"/>
  <c r="BU114" s="1"/>
  <c r="CO111"/>
  <c r="CO109"/>
  <c r="BN108"/>
  <c r="BU108" s="1"/>
  <c r="CO107"/>
  <c r="BN104"/>
  <c r="BU104" s="1"/>
  <c r="CO97"/>
  <c r="BA96"/>
  <c r="CO95"/>
  <c r="BN94"/>
  <c r="BU94" s="1"/>
  <c r="CO93"/>
  <c r="BA92"/>
  <c r="BA90"/>
  <c r="BN90"/>
  <c r="BU90" s="1"/>
  <c r="BA86"/>
  <c r="BN86"/>
  <c r="BU86" s="1"/>
  <c r="CO85"/>
  <c r="BA84"/>
  <c r="BN84"/>
  <c r="BU84" s="1"/>
  <c r="BN82"/>
  <c r="BU82" s="1"/>
  <c r="BA80"/>
  <c r="BN80"/>
  <c r="BU80" s="1"/>
  <c r="CO79"/>
  <c r="BN78"/>
  <c r="BU78" s="1"/>
  <c r="BN74"/>
  <c r="BU74" s="1"/>
  <c r="CO73"/>
  <c r="BA89"/>
  <c r="BA87"/>
  <c r="AI26"/>
  <c r="AH130"/>
  <c r="AH133"/>
  <c r="AF139"/>
  <c r="DY139" s="1"/>
  <c r="AF72"/>
  <c r="DY72" s="1"/>
  <c r="CO15"/>
  <c r="DC322"/>
  <c r="DC299"/>
  <c r="DD299" s="1"/>
  <c r="DC264"/>
  <c r="DC240"/>
  <c r="DD240" s="1"/>
  <c r="DC378"/>
  <c r="DC277"/>
  <c r="DD277" s="1"/>
  <c r="DC159"/>
  <c r="DD159" s="1"/>
  <c r="DE159" s="1"/>
  <c r="DC186"/>
  <c r="DD186" s="1"/>
  <c r="DC303"/>
  <c r="DD303" s="1"/>
  <c r="CO102"/>
  <c r="BN101"/>
  <c r="BU101" s="1"/>
  <c r="CO100"/>
  <c r="BN99"/>
  <c r="BU99" s="1"/>
  <c r="CO98"/>
  <c r="BN95"/>
  <c r="BU95" s="1"/>
  <c r="BN93"/>
  <c r="BU93" s="1"/>
  <c r="CO92"/>
  <c r="BN91"/>
  <c r="BU91" s="1"/>
  <c r="BN89"/>
  <c r="BU89" s="1"/>
  <c r="BN87"/>
  <c r="BU87" s="1"/>
  <c r="CO86"/>
  <c r="BN85"/>
  <c r="BU85" s="1"/>
  <c r="BN83"/>
  <c r="BU83" s="1"/>
  <c r="CO82"/>
  <c r="CO80"/>
  <c r="CO78"/>
  <c r="BN77"/>
  <c r="BU77" s="1"/>
  <c r="CO76"/>
  <c r="BN75"/>
  <c r="BU75" s="1"/>
  <c r="BA9"/>
  <c r="BA69"/>
  <c r="BA61"/>
  <c r="BA55"/>
  <c r="BA53"/>
  <c r="BA51"/>
  <c r="BA49"/>
  <c r="BA45"/>
  <c r="BA43"/>
  <c r="BA41"/>
  <c r="BA39"/>
  <c r="BA35"/>
  <c r="BA31"/>
  <c r="BA29"/>
  <c r="BA27"/>
  <c r="BA25"/>
  <c r="BA21"/>
  <c r="BA17"/>
  <c r="BH17" s="1"/>
  <c r="BA13"/>
  <c r="BH13" s="1"/>
  <c r="BA137"/>
  <c r="BA135"/>
  <c r="BA133"/>
  <c r="BA131"/>
  <c r="BA129"/>
  <c r="BA125"/>
  <c r="BA123"/>
  <c r="BA117"/>
  <c r="BA113"/>
  <c r="BA111"/>
  <c r="BA109"/>
  <c r="BA105"/>
  <c r="BA103"/>
  <c r="DC380"/>
  <c r="DC318"/>
  <c r="DD318" s="1"/>
  <c r="BA15"/>
  <c r="BA99"/>
  <c r="BA95"/>
  <c r="BA93"/>
  <c r="BA91"/>
  <c r="BA83"/>
  <c r="BA81"/>
  <c r="BA79"/>
  <c r="BA77"/>
  <c r="BA75"/>
  <c r="BA73"/>
  <c r="K27" i="34"/>
  <c r="K25"/>
  <c r="AH147" i="43"/>
  <c r="AI147"/>
  <c r="AI120"/>
  <c r="AI68"/>
  <c r="AH48"/>
  <c r="E17" i="30" s="1"/>
  <c r="AF70" i="43"/>
  <c r="DY70" s="1"/>
  <c r="AI39"/>
  <c r="DC188"/>
  <c r="DC234"/>
  <c r="DD234" s="1"/>
  <c r="DC192"/>
  <c r="DD192" s="1"/>
  <c r="K68" i="34"/>
  <c r="AF135" i="43"/>
  <c r="DY135" s="1"/>
  <c r="AF39"/>
  <c r="DY39" s="1"/>
  <c r="DD161"/>
  <c r="DE161" s="1"/>
  <c r="AF19"/>
  <c r="DY19" s="1"/>
  <c r="AH27"/>
  <c r="AI70"/>
  <c r="DC288"/>
  <c r="DE337"/>
  <c r="AG337" s="1"/>
  <c r="BK337" i="24" s="1"/>
  <c r="DC242" i="43"/>
  <c r="DD242" s="1"/>
  <c r="DC372"/>
  <c r="DD345"/>
  <c r="DE345" s="1"/>
  <c r="DC336"/>
  <c r="DC357"/>
  <c r="DD339"/>
  <c r="DE339" s="1"/>
  <c r="DD370"/>
  <c r="DE370" s="1"/>
  <c r="DD363"/>
  <c r="DE363" s="1"/>
  <c r="DD302"/>
  <c r="DE302" s="1"/>
  <c r="DD246"/>
  <c r="DE246" s="1"/>
  <c r="DD195"/>
  <c r="DE195" s="1"/>
  <c r="DD178"/>
  <c r="DE178" s="1"/>
  <c r="DD163"/>
  <c r="DE163" s="1"/>
  <c r="DD367"/>
  <c r="DE367" s="1"/>
  <c r="DD364"/>
  <c r="DE364" s="1"/>
  <c r="DD334"/>
  <c r="DE334" s="1"/>
  <c r="DD297"/>
  <c r="DE297" s="1"/>
  <c r="DD344"/>
  <c r="DE344" s="1"/>
  <c r="DD170"/>
  <c r="DE170" s="1"/>
  <c r="DD347"/>
  <c r="DE347" s="1"/>
  <c r="DD379"/>
  <c r="DE379" s="1"/>
  <c r="DD329"/>
  <c r="DE329" s="1"/>
  <c r="DD307"/>
  <c r="DE307" s="1"/>
  <c r="DD331"/>
  <c r="DE331" s="1"/>
  <c r="DD315"/>
  <c r="DE315" s="1"/>
  <c r="DD286"/>
  <c r="DE286" s="1"/>
  <c r="DD251"/>
  <c r="DE251" s="1"/>
  <c r="DD229"/>
  <c r="DE229" s="1"/>
  <c r="DD205"/>
  <c r="DE205" s="1"/>
  <c r="DD214"/>
  <c r="DE214" s="1"/>
  <c r="DD199"/>
  <c r="DE199" s="1"/>
  <c r="DY210"/>
  <c r="DE385"/>
  <c r="DD385"/>
  <c r="DE383"/>
  <c r="DD383"/>
  <c r="DD335"/>
  <c r="DE335" s="1"/>
  <c r="DD324"/>
  <c r="DE324" s="1"/>
  <c r="DD291"/>
  <c r="DE291" s="1"/>
  <c r="DD271"/>
  <c r="DE271" s="1"/>
  <c r="DD263"/>
  <c r="DE263" s="1"/>
  <c r="DD235"/>
  <c r="DE235" s="1"/>
  <c r="DD217"/>
  <c r="DE217" s="1"/>
  <c r="DD201"/>
  <c r="DE201" s="1"/>
  <c r="DD191"/>
  <c r="DE191" s="1"/>
  <c r="DD360"/>
  <c r="DE360" s="1"/>
  <c r="DD321"/>
  <c r="DE321" s="1"/>
  <c r="DD311"/>
  <c r="DE311" s="1"/>
  <c r="DD295"/>
  <c r="DE295" s="1"/>
  <c r="DD308"/>
  <c r="DE308" s="1"/>
  <c r="DD278"/>
  <c r="DE278" s="1"/>
  <c r="DD253"/>
  <c r="DE253" s="1"/>
  <c r="DD226"/>
  <c r="DE226" s="1"/>
  <c r="DD237"/>
  <c r="DE237" s="1"/>
  <c r="DD352"/>
  <c r="DE352" s="1"/>
  <c r="DD375"/>
  <c r="DE375" s="1"/>
  <c r="DD358"/>
  <c r="DE358" s="1"/>
  <c r="DD305"/>
  <c r="DE305" s="1"/>
  <c r="DD332"/>
  <c r="DE332" s="1"/>
  <c r="DD316"/>
  <c r="DE316" s="1"/>
  <c r="DD306"/>
  <c r="DE306" s="1"/>
  <c r="DD289"/>
  <c r="DE289" s="1"/>
  <c r="DD261"/>
  <c r="DE261" s="1"/>
  <c r="DD257"/>
  <c r="DE257" s="1"/>
  <c r="DD260"/>
  <c r="DE260" s="1"/>
  <c r="DD219"/>
  <c r="DE219" s="1"/>
  <c r="DD212"/>
  <c r="DE212" s="1"/>
  <c r="DD211"/>
  <c r="DE211" s="1"/>
  <c r="DD203"/>
  <c r="DE203" s="1"/>
  <c r="DD169"/>
  <c r="DE169" s="1"/>
  <c r="DD157"/>
  <c r="DE157" s="1"/>
  <c r="DE382"/>
  <c r="DD382"/>
  <c r="DD298"/>
  <c r="DE298" s="1"/>
  <c r="DD273"/>
  <c r="DE273" s="1"/>
  <c r="DD244"/>
  <c r="DE244" s="1"/>
  <c r="DD200"/>
  <c r="DE200" s="1"/>
  <c r="DD196"/>
  <c r="DE196" s="1"/>
  <c r="DD173"/>
  <c r="DE173" s="1"/>
  <c r="DD166"/>
  <c r="DE166" s="1"/>
  <c r="DD168"/>
  <c r="DE168" s="1"/>
  <c r="DD294"/>
  <c r="DE294" s="1"/>
  <c r="DD247"/>
  <c r="DE247" s="1"/>
  <c r="DD249"/>
  <c r="DE249" s="1"/>
  <c r="DD207"/>
  <c r="DE207" s="1"/>
  <c r="DD376"/>
  <c r="DE376" s="1"/>
  <c r="DD366"/>
  <c r="DE366" s="1"/>
  <c r="DD374"/>
  <c r="DE374" s="1"/>
  <c r="DD361"/>
  <c r="DE361" s="1"/>
  <c r="DD340"/>
  <c r="DE340" s="1"/>
  <c r="DD250"/>
  <c r="DE250" s="1"/>
  <c r="DD222"/>
  <c r="DE222" s="1"/>
  <c r="DD194"/>
  <c r="DE194" s="1"/>
  <c r="DD184"/>
  <c r="DE184" s="1"/>
  <c r="DD172"/>
  <c r="DE172" s="1"/>
  <c r="DD368"/>
  <c r="DE368" s="1"/>
  <c r="DD300"/>
  <c r="DE300" s="1"/>
  <c r="DD353"/>
  <c r="DE353" s="1"/>
  <c r="DD202"/>
  <c r="DE202" s="1"/>
  <c r="DD183"/>
  <c r="DE183" s="1"/>
  <c r="DD176"/>
  <c r="DE176" s="1"/>
  <c r="DD341"/>
  <c r="DE341" s="1"/>
  <c r="DD373"/>
  <c r="DE373" s="1"/>
  <c r="DD310"/>
  <c r="DE310" s="1"/>
  <c r="DD287"/>
  <c r="DE287" s="1"/>
  <c r="DD281"/>
  <c r="DE281" s="1"/>
  <c r="DD231"/>
  <c r="DE231" s="1"/>
  <c r="DD174"/>
  <c r="DE174" s="1"/>
  <c r="DD164"/>
  <c r="DE164" s="1"/>
  <c r="DD356"/>
  <c r="DE356" s="1"/>
  <c r="DD350"/>
  <c r="DE350" s="1"/>
  <c r="DD362"/>
  <c r="DE362" s="1"/>
  <c r="DD325"/>
  <c r="DE325" s="1"/>
  <c r="DD319"/>
  <c r="DE319" s="1"/>
  <c r="DD293"/>
  <c r="DE293" s="1"/>
  <c r="DD243"/>
  <c r="DE243" s="1"/>
  <c r="DD259"/>
  <c r="DE259" s="1"/>
  <c r="DD256"/>
  <c r="DE256" s="1"/>
  <c r="DD233"/>
  <c r="DE233" s="1"/>
  <c r="DD224"/>
  <c r="DE224" s="1"/>
  <c r="DD238"/>
  <c r="DE238" s="1"/>
  <c r="B173" i="45"/>
  <c r="DD381" i="43"/>
  <c r="DE381" s="1"/>
  <c r="DD323"/>
  <c r="DE323" s="1"/>
  <c r="DD304"/>
  <c r="DE304" s="1"/>
  <c r="DD280"/>
  <c r="DE280" s="1"/>
  <c r="DD284"/>
  <c r="DE284" s="1"/>
  <c r="DD265"/>
  <c r="DE265" s="1"/>
  <c r="DD254"/>
  <c r="DE254" s="1"/>
  <c r="DD258"/>
  <c r="DE258" s="1"/>
  <c r="DD239"/>
  <c r="DE239" s="1"/>
  <c r="DD189"/>
  <c r="DE189" s="1"/>
  <c r="DD179"/>
  <c r="DE179" s="1"/>
  <c r="DD351"/>
  <c r="DE351" s="1"/>
  <c r="DD377"/>
  <c r="DE377" s="1"/>
  <c r="DD348"/>
  <c r="DE348" s="1"/>
  <c r="DD354"/>
  <c r="DE354" s="1"/>
  <c r="DD333"/>
  <c r="DE333" s="1"/>
  <c r="DD317"/>
  <c r="DE317" s="1"/>
  <c r="DD327"/>
  <c r="DE327" s="1"/>
  <c r="DD282"/>
  <c r="DE282" s="1"/>
  <c r="DD269"/>
  <c r="DE269" s="1"/>
  <c r="DD267"/>
  <c r="DE267" s="1"/>
  <c r="DD252"/>
  <c r="DE252" s="1"/>
  <c r="DD255"/>
  <c r="DE255" s="1"/>
  <c r="DD241"/>
  <c r="DE241" s="1"/>
  <c r="DD230"/>
  <c r="DE230" s="1"/>
  <c r="DD216"/>
  <c r="DE216" s="1"/>
  <c r="DD193"/>
  <c r="DE193" s="1"/>
  <c r="DD190"/>
  <c r="DE190" s="1"/>
  <c r="DD185"/>
  <c r="DE185" s="1"/>
  <c r="CX184"/>
  <c r="DD171"/>
  <c r="DE171" s="1"/>
  <c r="DD359"/>
  <c r="DE359" s="1"/>
  <c r="DE384"/>
  <c r="DD384"/>
  <c r="DD369"/>
  <c r="DE369" s="1"/>
  <c r="DD365"/>
  <c r="DE365" s="1"/>
  <c r="DD349"/>
  <c r="DE349" s="1"/>
  <c r="DD275"/>
  <c r="DE275" s="1"/>
  <c r="DD248"/>
  <c r="DE248" s="1"/>
  <c r="DD270"/>
  <c r="DE270" s="1"/>
  <c r="DD220"/>
  <c r="DE220" s="1"/>
  <c r="DD198"/>
  <c r="DE198" s="1"/>
  <c r="DD204"/>
  <c r="DE204" s="1"/>
  <c r="DD187"/>
  <c r="DE187" s="1"/>
  <c r="DD177"/>
  <c r="DE177" s="1"/>
  <c r="DD167"/>
  <c r="DE167" s="1"/>
  <c r="DD162"/>
  <c r="DE162" s="1"/>
  <c r="DD371"/>
  <c r="DE371" s="1"/>
  <c r="DD343"/>
  <c r="DE343" s="1"/>
  <c r="DD296"/>
  <c r="DE296" s="1"/>
  <c r="DD268"/>
  <c r="DE268" s="1"/>
  <c r="DD245"/>
  <c r="DE245" s="1"/>
  <c r="DD206"/>
  <c r="DE206" s="1"/>
  <c r="DD175"/>
  <c r="DE175" s="1"/>
  <c r="DD180"/>
  <c r="DE180" s="1"/>
  <c r="S164" i="45"/>
  <c r="AF321"/>
  <c r="BP58" i="24"/>
  <c r="AH58" s="1"/>
  <c r="Y58"/>
  <c r="Z58" s="1"/>
  <c r="AG173" i="45"/>
  <c r="Y51" i="24"/>
  <c r="Z51" s="1"/>
  <c r="T154"/>
  <c r="V154" s="1"/>
  <c r="W154" s="1"/>
  <c r="BP154" s="1"/>
  <c r="O156"/>
  <c r="EI155" i="43"/>
  <c r="P155" i="24" s="1"/>
  <c r="O154"/>
  <c r="DZ154" i="43"/>
  <c r="Y153" i="24" s="1"/>
  <c r="Z153" s="1"/>
  <c r="W189" i="45"/>
  <c r="Y189" s="1"/>
  <c r="W185"/>
  <c r="Y185" s="1"/>
  <c r="W181"/>
  <c r="Y181" s="1"/>
  <c r="W177"/>
  <c r="Y177" s="1"/>
  <c r="W173"/>
  <c r="Y173" s="1"/>
  <c r="W169"/>
  <c r="Y169" s="1"/>
  <c r="W165"/>
  <c r="Y165" s="1"/>
  <c r="W161"/>
  <c r="Y161" s="1"/>
  <c r="W157"/>
  <c r="Y157" s="1"/>
  <c r="W186"/>
  <c r="Y186" s="1"/>
  <c r="W182"/>
  <c r="Y182" s="1"/>
  <c r="W178"/>
  <c r="Y178" s="1"/>
  <c r="W174"/>
  <c r="Y174" s="1"/>
  <c r="W170"/>
  <c r="Y170" s="1"/>
  <c r="W166"/>
  <c r="Y166" s="1"/>
  <c r="W162"/>
  <c r="Y162" s="1"/>
  <c r="W158"/>
  <c r="Y158" s="1"/>
  <c r="W187"/>
  <c r="Y187" s="1"/>
  <c r="W183"/>
  <c r="Y183" s="1"/>
  <c r="W179"/>
  <c r="Y179" s="1"/>
  <c r="W175"/>
  <c r="Y175" s="1"/>
  <c r="W171"/>
  <c r="Y171" s="1"/>
  <c r="W167"/>
  <c r="Y167" s="1"/>
  <c r="W163"/>
  <c r="Y163" s="1"/>
  <c r="W159"/>
  <c r="Y159" s="1"/>
  <c r="W155"/>
  <c r="Y155" s="1"/>
  <c r="W188"/>
  <c r="Y188" s="1"/>
  <c r="W184"/>
  <c r="Y184" s="1"/>
  <c r="W180"/>
  <c r="Y180" s="1"/>
  <c r="W176"/>
  <c r="Y176" s="1"/>
  <c r="W172"/>
  <c r="Y172" s="1"/>
  <c r="W168"/>
  <c r="Y168" s="1"/>
  <c r="W164"/>
  <c r="Y164" s="1"/>
  <c r="W160"/>
  <c r="Y160" s="1"/>
  <c r="W156"/>
  <c r="Y156" s="1"/>
  <c r="W148"/>
  <c r="Y148" s="1"/>
  <c r="W151"/>
  <c r="Y151" s="1"/>
  <c r="W152"/>
  <c r="Y152" s="1"/>
  <c r="W153"/>
  <c r="Y153" s="1"/>
  <c r="W149"/>
  <c r="Y149" s="1"/>
  <c r="W154"/>
  <c r="Y154" s="1"/>
  <c r="W150"/>
  <c r="Y150" s="1"/>
  <c r="Z5"/>
  <c r="S279"/>
  <c r="B346"/>
  <c r="AG347"/>
  <c r="AG343"/>
  <c r="B377"/>
  <c r="B40"/>
  <c r="B359"/>
  <c r="B350"/>
  <c r="B341"/>
  <c r="AG227"/>
  <c r="AF345"/>
  <c r="S72"/>
  <c r="S71"/>
  <c r="S354"/>
  <c r="S353"/>
  <c r="B9"/>
  <c r="H20" i="44"/>
  <c r="BI94" i="24"/>
  <c r="B320" i="45"/>
  <c r="DM151" i="43"/>
  <c r="DN151" s="1"/>
  <c r="B8" i="45"/>
  <c r="B319"/>
  <c r="S64"/>
  <c r="S65"/>
  <c r="S334"/>
  <c r="S335"/>
  <c r="M44" i="43"/>
  <c r="N44" s="1"/>
  <c r="AF41" i="45"/>
  <c r="H44" i="43"/>
  <c r="B362" i="45"/>
  <c r="B356"/>
  <c r="B345"/>
  <c r="B333"/>
  <c r="B330"/>
  <c r="B322"/>
  <c r="B314"/>
  <c r="B285"/>
  <c r="B283"/>
  <c r="S142"/>
  <c r="S111"/>
  <c r="DY118" i="43"/>
  <c r="B355" i="45"/>
  <c r="Y102" i="24"/>
  <c r="Z102" s="1"/>
  <c r="C12" i="44"/>
  <c r="B317" i="45"/>
  <c r="B304"/>
  <c r="B287"/>
  <c r="AG206"/>
  <c r="S120"/>
  <c r="AF279"/>
  <c r="S74"/>
  <c r="S73"/>
  <c r="AF172"/>
  <c r="S163"/>
  <c r="S162"/>
  <c r="S41"/>
  <c r="S40"/>
  <c r="M74" i="43"/>
  <c r="N74" s="1"/>
  <c r="H74"/>
  <c r="AF71" i="45"/>
  <c r="S344"/>
  <c r="S343"/>
  <c r="S297"/>
  <c r="S298"/>
  <c r="AC118" i="24"/>
  <c r="DZ118" i="43"/>
  <c r="AF346" i="45"/>
  <c r="B289"/>
  <c r="B373"/>
  <c r="B353"/>
  <c r="S307"/>
  <c r="AG374"/>
  <c r="M119" i="43"/>
  <c r="N119" s="1"/>
  <c r="DY85"/>
  <c r="B358" i="45"/>
  <c r="BI95" i="24"/>
  <c r="B36" i="45"/>
  <c r="B366"/>
  <c r="S325"/>
  <c r="B315"/>
  <c r="B291"/>
  <c r="B278"/>
  <c r="B250"/>
  <c r="S217"/>
  <c r="B167"/>
  <c r="AG302"/>
  <c r="AG284"/>
  <c r="P137" i="24"/>
  <c r="BI37"/>
  <c r="B282" i="45"/>
  <c r="B275"/>
  <c r="BI104" i="24"/>
  <c r="S355" i="45"/>
  <c r="B334"/>
  <c r="B151"/>
  <c r="AG239"/>
  <c r="AG237"/>
  <c r="AG235"/>
  <c r="AG233"/>
  <c r="AG220"/>
  <c r="B354"/>
  <c r="B364"/>
  <c r="B321"/>
  <c r="B253"/>
  <c r="AC154" i="43"/>
  <c r="B143" i="45"/>
  <c r="S97"/>
  <c r="DG118" i="43"/>
  <c r="DH118" s="1"/>
  <c r="G118" s="1"/>
  <c r="S144" i="45"/>
  <c r="S143"/>
  <c r="J7" i="34"/>
  <c r="J23" s="1"/>
  <c r="K72"/>
  <c r="K18"/>
  <c r="K13"/>
  <c r="K10" i="35"/>
  <c r="K70"/>
  <c r="K7"/>
  <c r="K28" i="34"/>
  <c r="K54"/>
  <c r="K49"/>
  <c r="K28" i="35"/>
  <c r="K55"/>
  <c r="K42"/>
  <c r="K26" i="34"/>
  <c r="K17"/>
  <c r="K48"/>
  <c r="K48" i="35"/>
  <c r="K83"/>
  <c r="K16"/>
  <c r="AF91" i="43"/>
  <c r="DY91" s="1"/>
  <c r="AF137"/>
  <c r="DY137" s="1"/>
  <c r="P10" i="22"/>
  <c r="AI37" i="43"/>
  <c r="AF37"/>
  <c r="DY37" s="1"/>
  <c r="P132" i="24"/>
  <c r="DO9" i="43"/>
  <c r="DP9" s="1"/>
  <c r="Y128" i="24"/>
  <c r="Z128" s="1"/>
  <c r="C17" i="30"/>
  <c r="AF41" i="43"/>
  <c r="DY41" s="1"/>
  <c r="AH120"/>
  <c r="AF59"/>
  <c r="DY59" s="1"/>
  <c r="AH145"/>
  <c r="AI126"/>
  <c r="AI43"/>
  <c r="AI145"/>
  <c r="AH41"/>
  <c r="AI59"/>
  <c r="AF43"/>
  <c r="DY43" s="1"/>
  <c r="AF126"/>
  <c r="DY126" s="1"/>
  <c r="AH85"/>
  <c r="DB119"/>
  <c r="DC119" s="1"/>
  <c r="DY119"/>
  <c r="CX119"/>
  <c r="DB118"/>
  <c r="DC118" s="1"/>
  <c r="CX118"/>
  <c r="AF116" i="45"/>
  <c r="BP73" i="24"/>
  <c r="AF335" i="45"/>
  <c r="AF295"/>
  <c r="S35"/>
  <c r="S34"/>
  <c r="AF275"/>
  <c r="M23" i="43"/>
  <c r="N23" s="1"/>
  <c r="H23"/>
  <c r="AF20" i="45"/>
  <c r="AF307"/>
  <c r="AF202"/>
  <c r="AF294"/>
  <c r="S331"/>
  <c r="S332"/>
  <c r="S147"/>
  <c r="S146"/>
  <c r="AF370"/>
  <c r="S293"/>
  <c r="S292"/>
  <c r="AF303"/>
  <c r="AF263"/>
  <c r="AF191"/>
  <c r="S43"/>
  <c r="S42"/>
  <c r="S213"/>
  <c r="S214"/>
  <c r="S357"/>
  <c r="S356"/>
  <c r="AF21"/>
  <c r="M24" i="43"/>
  <c r="N24" s="1"/>
  <c r="H24"/>
  <c r="S131" i="45"/>
  <c r="S130"/>
  <c r="S239"/>
  <c r="S238"/>
  <c r="S339"/>
  <c r="S338"/>
  <c r="AF35"/>
  <c r="H38" i="43"/>
  <c r="M38"/>
  <c r="N38" s="1"/>
  <c r="M146"/>
  <c r="N146" s="1"/>
  <c r="AF143" i="45"/>
  <c r="H146" i="43"/>
  <c r="S277" i="45"/>
  <c r="S278"/>
  <c r="B363"/>
  <c r="S23"/>
  <c r="B368"/>
  <c r="B342"/>
  <c r="S312"/>
  <c r="B307"/>
  <c r="S237"/>
  <c r="B179"/>
  <c r="B56"/>
  <c r="AG309"/>
  <c r="AG301"/>
  <c r="AG299"/>
  <c r="AG297"/>
  <c r="AG295"/>
  <c r="AG281"/>
  <c r="AG279"/>
  <c r="T23" i="24"/>
  <c r="V23" s="1"/>
  <c r="W23" s="1"/>
  <c r="BP23" s="1"/>
  <c r="B374" i="45"/>
  <c r="B130"/>
  <c r="EI100" i="43"/>
  <c r="S57" i="45"/>
  <c r="P41" i="24"/>
  <c r="S326" i="45"/>
  <c r="B380"/>
  <c r="B295"/>
  <c r="B264"/>
  <c r="B238"/>
  <c r="S234"/>
  <c r="B48"/>
  <c r="P66" i="24"/>
  <c r="B251" i="45"/>
  <c r="S308"/>
  <c r="AG11"/>
  <c r="B28"/>
  <c r="B379"/>
  <c r="B365"/>
  <c r="B361"/>
  <c r="B327"/>
  <c r="B203"/>
  <c r="B199"/>
  <c r="B185"/>
  <c r="B176"/>
  <c r="AC143" i="43"/>
  <c r="Y32" i="24"/>
  <c r="Z32" s="1"/>
  <c r="P32"/>
  <c r="Y141"/>
  <c r="Z141" s="1"/>
  <c r="P141"/>
  <c r="AF301" i="45"/>
  <c r="S310"/>
  <c r="S309"/>
  <c r="H126" i="43"/>
  <c r="AF123" i="45"/>
  <c r="M126" i="43"/>
  <c r="N126" s="1"/>
  <c r="AF206" i="45"/>
  <c r="S218"/>
  <c r="S219"/>
  <c r="S170"/>
  <c r="S169"/>
  <c r="S76"/>
  <c r="S75"/>
  <c r="B241"/>
  <c r="AF136"/>
  <c r="H139" i="43"/>
  <c r="M139"/>
  <c r="N139" s="1"/>
  <c r="S361" i="45"/>
  <c r="S362"/>
  <c r="AF375"/>
  <c r="S346"/>
  <c r="S347"/>
  <c r="AF204"/>
  <c r="B135"/>
  <c r="BP83" i="24"/>
  <c r="AG83" s="1"/>
  <c r="Y83"/>
  <c r="Z83" s="1"/>
  <c r="AF276" i="45"/>
  <c r="S369"/>
  <c r="S370"/>
  <c r="AF376"/>
  <c r="S11"/>
  <c r="S10"/>
  <c r="S349"/>
  <c r="S348"/>
  <c r="H65" i="43"/>
  <c r="AF62" i="45"/>
  <c r="M65" i="43"/>
  <c r="N65" s="1"/>
  <c r="S25" i="45"/>
  <c r="S24"/>
  <c r="S167"/>
  <c r="S168"/>
  <c r="S91"/>
  <c r="S92"/>
  <c r="S58"/>
  <c r="S59"/>
  <c r="B239"/>
  <c r="M16" i="43"/>
  <c r="N16" s="1"/>
  <c r="AF13" i="45"/>
  <c r="H16" i="43"/>
  <c r="P86" i="24"/>
  <c r="Y86"/>
  <c r="Z86" s="1"/>
  <c r="AF324" i="45"/>
  <c r="AF334"/>
  <c r="AF372"/>
  <c r="H29" i="43"/>
  <c r="M29"/>
  <c r="N29" s="1"/>
  <c r="AF26" i="45"/>
  <c r="S211"/>
  <c r="S210"/>
  <c r="S329"/>
  <c r="S328"/>
  <c r="H13" i="43"/>
  <c r="AF10" i="45"/>
  <c r="M13" i="43"/>
  <c r="N13" s="1"/>
  <c r="AF25" i="45"/>
  <c r="M28" i="43"/>
  <c r="N28" s="1"/>
  <c r="H28"/>
  <c r="S231" i="45"/>
  <c r="S230"/>
  <c r="AF225"/>
  <c r="AF145"/>
  <c r="M148" i="43"/>
  <c r="N148" s="1"/>
  <c r="H148"/>
  <c r="S296" i="45"/>
  <c r="S295"/>
  <c r="S207"/>
  <c r="S206"/>
  <c r="S204"/>
  <c r="S203"/>
  <c r="S159"/>
  <c r="S158"/>
  <c r="S69"/>
  <c r="S70"/>
  <c r="S47"/>
  <c r="S48"/>
  <c r="B313"/>
  <c r="Y55" i="24"/>
  <c r="Z55" s="1"/>
  <c r="Y59"/>
  <c r="Z59" s="1"/>
  <c r="O26"/>
  <c r="BI111"/>
  <c r="DM115" i="43"/>
  <c r="DN115" s="1"/>
  <c r="B318" i="45"/>
  <c r="B298"/>
  <c r="S269"/>
  <c r="B214"/>
  <c r="B209"/>
  <c r="B186"/>
  <c r="S185"/>
  <c r="B183"/>
  <c r="B174"/>
  <c r="S102"/>
  <c r="B96"/>
  <c r="B72"/>
  <c r="AG69"/>
  <c r="AG33"/>
  <c r="Y127" i="24"/>
  <c r="Z127" s="1"/>
  <c r="S8" i="45"/>
  <c r="O74" i="24"/>
  <c r="P74" s="1"/>
  <c r="O81"/>
  <c r="DZ51" i="43"/>
  <c r="DY133"/>
  <c r="B115" i="45"/>
  <c r="B232"/>
  <c r="B310"/>
  <c r="B306"/>
  <c r="B301"/>
  <c r="B294"/>
  <c r="S129"/>
  <c r="AC129" i="43"/>
  <c r="EI101"/>
  <c r="B79" i="45"/>
  <c r="O100" i="24"/>
  <c r="K89" i="35"/>
  <c r="DY44" i="43"/>
  <c r="T100" i="24"/>
  <c r="V100" s="1"/>
  <c r="W100" s="1"/>
  <c r="B206" i="45"/>
  <c r="DM112" i="43"/>
  <c r="DN112" s="1"/>
  <c r="B329" i="45"/>
  <c r="S303"/>
  <c r="B300"/>
  <c r="B272"/>
  <c r="B233"/>
  <c r="B222"/>
  <c r="B204"/>
  <c r="S150"/>
  <c r="B112"/>
  <c r="AG228"/>
  <c r="AG213"/>
  <c r="AG138"/>
  <c r="AG136"/>
  <c r="AG62"/>
  <c r="C26" i="30"/>
  <c r="AF131" i="43"/>
  <c r="DY131" s="1"/>
  <c r="AH131"/>
  <c r="AF32"/>
  <c r="DY32" s="1"/>
  <c r="AF8"/>
  <c r="DY8" s="1"/>
  <c r="AH72"/>
  <c r="AF116"/>
  <c r="DY116" s="1"/>
  <c r="AI73"/>
  <c r="AI24"/>
  <c r="AH53"/>
  <c r="AH44"/>
  <c r="AI8"/>
  <c r="AI14"/>
  <c r="AI19"/>
  <c r="AF27"/>
  <c r="DY27" s="1"/>
  <c r="AF69"/>
  <c r="DY69" s="1"/>
  <c r="AH32"/>
  <c r="AH73"/>
  <c r="AF14"/>
  <c r="DY14" s="1"/>
  <c r="P9" i="22"/>
  <c r="AI69" i="43"/>
  <c r="AH21"/>
  <c r="AI21"/>
  <c r="AH104"/>
  <c r="AH26"/>
  <c r="AF130"/>
  <c r="DY130" s="1"/>
  <c r="E27" i="30"/>
  <c r="M112" i="43"/>
  <c r="N112" s="1"/>
  <c r="H112"/>
  <c r="AF109" i="45"/>
  <c r="C28" i="30"/>
  <c r="K43" i="34"/>
  <c r="K63"/>
  <c r="K34"/>
  <c r="K64"/>
  <c r="K71"/>
  <c r="K69"/>
  <c r="K74"/>
  <c r="K36"/>
  <c r="K70"/>
  <c r="K51"/>
  <c r="K96" i="35"/>
  <c r="K95"/>
  <c r="K69"/>
  <c r="K62"/>
  <c r="K31"/>
  <c r="K84"/>
  <c r="K40" i="34"/>
  <c r="K35"/>
  <c r="K46"/>
  <c r="K10"/>
  <c r="K6"/>
  <c r="K73"/>
  <c r="K41"/>
  <c r="K45"/>
  <c r="K23"/>
  <c r="K38"/>
  <c r="K30"/>
  <c r="K97" i="35"/>
  <c r="K98"/>
  <c r="K12"/>
  <c r="K15"/>
  <c r="K85"/>
  <c r="K52"/>
  <c r="K61"/>
  <c r="K27"/>
  <c r="K3"/>
  <c r="K30"/>
  <c r="K29"/>
  <c r="K74"/>
  <c r="K44" i="34"/>
  <c r="K33"/>
  <c r="K46" i="35"/>
  <c r="K8"/>
  <c r="K43"/>
  <c r="K90"/>
  <c r="K80"/>
  <c r="K54"/>
  <c r="K44"/>
  <c r="K103"/>
  <c r="K37" i="34"/>
  <c r="K52"/>
  <c r="K29"/>
  <c r="K24"/>
  <c r="K53"/>
  <c r="K56"/>
  <c r="K42"/>
  <c r="K60"/>
  <c r="K9"/>
  <c r="K65"/>
  <c r="K15"/>
  <c r="K32"/>
  <c r="K18" i="35"/>
  <c r="K6"/>
  <c r="J4"/>
  <c r="J80" s="1"/>
  <c r="K68"/>
  <c r="K32"/>
  <c r="K45"/>
  <c r="K17"/>
  <c r="K47"/>
  <c r="K14"/>
  <c r="K67"/>
  <c r="K81"/>
  <c r="K75"/>
  <c r="BP111" i="24"/>
  <c r="N99" i="43"/>
  <c r="H108"/>
  <c r="AF105" i="45"/>
  <c r="M108" i="43"/>
  <c r="N108" s="1"/>
  <c r="AC256" i="45"/>
  <c r="AC372"/>
  <c r="AC303"/>
  <c r="AC365"/>
  <c r="AC198"/>
  <c r="AC333"/>
  <c r="AC348"/>
  <c r="AC242"/>
  <c r="AC243"/>
  <c r="AC299"/>
  <c r="AC374"/>
  <c r="AC144"/>
  <c r="AC221"/>
  <c r="AC336"/>
  <c r="AC80"/>
  <c r="AC312"/>
  <c r="AC286"/>
  <c r="AC83"/>
  <c r="AC265"/>
  <c r="AC304"/>
  <c r="AC168"/>
  <c r="AC263"/>
  <c r="AC135"/>
  <c r="AC57"/>
  <c r="AC147"/>
  <c r="AC84"/>
  <c r="AC39"/>
  <c r="AC29"/>
  <c r="AC70"/>
  <c r="AC26"/>
  <c r="AC175"/>
  <c r="AC329"/>
  <c r="AC257"/>
  <c r="AC127"/>
  <c r="AC283"/>
  <c r="AC219"/>
  <c r="AC241"/>
  <c r="AC8" i="24"/>
  <c r="AC216" i="45"/>
  <c r="AC108"/>
  <c r="AC65"/>
  <c r="AC35"/>
  <c r="AC33"/>
  <c r="AC136"/>
  <c r="AC252"/>
  <c r="AC363"/>
  <c r="AC362"/>
  <c r="AC81"/>
  <c r="AC339"/>
  <c r="AC47"/>
  <c r="AC292"/>
  <c r="AC165"/>
  <c r="AC251"/>
  <c r="AC300"/>
  <c r="AC106"/>
  <c r="AC371"/>
  <c r="AC134"/>
  <c r="AC287"/>
  <c r="T5"/>
  <c r="AA5" s="1"/>
  <c r="AB5" s="1"/>
  <c r="B101"/>
  <c r="H104" i="43"/>
  <c r="M104"/>
  <c r="N104" s="1"/>
  <c r="AF101" i="45"/>
  <c r="DY104" i="43"/>
  <c r="AF100" i="45"/>
  <c r="M103" i="43"/>
  <c r="N103" s="1"/>
  <c r="H103"/>
  <c r="AG98" i="45"/>
  <c r="BN100" i="43"/>
  <c r="BU100" s="1"/>
  <c r="BI98" i="24"/>
  <c r="S93" i="45"/>
  <c r="S94"/>
  <c r="AF24" i="43"/>
  <c r="DY24" s="1"/>
  <c r="FE94"/>
  <c r="P94"/>
  <c r="AC179" i="45"/>
  <c r="AC346"/>
  <c r="AC166"/>
  <c r="AC157"/>
  <c r="AC58"/>
  <c r="AC325"/>
  <c r="AC218"/>
  <c r="AC188"/>
  <c r="AC235"/>
  <c r="AC73"/>
  <c r="AC295"/>
  <c r="AC59"/>
  <c r="AC261"/>
  <c r="AC213"/>
  <c r="AC231"/>
  <c r="AC187"/>
  <c r="AC224"/>
  <c r="AC318"/>
  <c r="AC370"/>
  <c r="AC178"/>
  <c r="AC132"/>
  <c r="AC32"/>
  <c r="AC278"/>
  <c r="AC137"/>
  <c r="AC289"/>
  <c r="AC359"/>
  <c r="AC117"/>
  <c r="AC194"/>
  <c r="AC89"/>
  <c r="AC285"/>
  <c r="AC50"/>
  <c r="AC95"/>
  <c r="AC182"/>
  <c r="AC288"/>
  <c r="AC100"/>
  <c r="AC217"/>
  <c r="AC228"/>
  <c r="AC301"/>
  <c r="AC162"/>
  <c r="AC323"/>
  <c r="AC290"/>
  <c r="AC376"/>
  <c r="AD377" s="1"/>
  <c r="AC195"/>
  <c r="AC20"/>
  <c r="AC120"/>
  <c r="AC345"/>
  <c r="AC37"/>
  <c r="AC210"/>
  <c r="AC167"/>
  <c r="AC373"/>
  <c r="AC154"/>
  <c r="AC233"/>
  <c r="AC38"/>
  <c r="AC209"/>
  <c r="AC305"/>
  <c r="AC23"/>
  <c r="AC119"/>
  <c r="AC13"/>
  <c r="AC77"/>
  <c r="AC98"/>
  <c r="AC193"/>
  <c r="AC113"/>
  <c r="AC281"/>
  <c r="AC104"/>
  <c r="AC268"/>
  <c r="AC306"/>
  <c r="AC36"/>
  <c r="AC97"/>
  <c r="AC215"/>
  <c r="AC149"/>
  <c r="AC41"/>
  <c r="AC92"/>
  <c r="AC368"/>
  <c r="AC294"/>
  <c r="AC140"/>
  <c r="AC150"/>
  <c r="AC185"/>
  <c r="AC126"/>
  <c r="AC229"/>
  <c r="AC18"/>
  <c r="AC91"/>
  <c r="AC74"/>
  <c r="AC342"/>
  <c r="AC51"/>
  <c r="AC351"/>
  <c r="AC275"/>
  <c r="AC296"/>
  <c r="AC183"/>
  <c r="AC103"/>
  <c r="AC223"/>
  <c r="AC93"/>
  <c r="AC316"/>
  <c r="AC60"/>
  <c r="AC75"/>
  <c r="AC88"/>
  <c r="AC164"/>
  <c r="AC86"/>
  <c r="AC205"/>
  <c r="AC196"/>
  <c r="AC148"/>
  <c r="AC222"/>
  <c r="AC315"/>
  <c r="AC17"/>
  <c r="AC234"/>
  <c r="AC43"/>
  <c r="AC153"/>
  <c r="AC335"/>
  <c r="AC139"/>
  <c r="AC314"/>
  <c r="AC308"/>
  <c r="AC190"/>
  <c r="AC173"/>
  <c r="AC177"/>
  <c r="AC146"/>
  <c r="AC180"/>
  <c r="AC25"/>
  <c r="AC367"/>
  <c r="AC284"/>
  <c r="AC266"/>
  <c r="AC192"/>
  <c r="AC186"/>
  <c r="AC160"/>
  <c r="AC293"/>
  <c r="AC67"/>
  <c r="AC123"/>
  <c r="AC122"/>
  <c r="AC310"/>
  <c r="AC258"/>
  <c r="AC22"/>
  <c r="AC181"/>
  <c r="AC246"/>
  <c r="AC338"/>
  <c r="AC344"/>
  <c r="AC324"/>
  <c r="AC30"/>
  <c r="AC174"/>
  <c r="AC71"/>
  <c r="AH116" i="43"/>
  <c r="AI104"/>
  <c r="AH155"/>
  <c r="P93" i="24"/>
  <c r="Y93"/>
  <c r="Z93" s="1"/>
  <c r="BP90"/>
  <c r="AG90" s="1"/>
  <c r="CO47" i="43"/>
  <c r="AH106"/>
  <c r="AI85"/>
  <c r="BP88" i="24"/>
  <c r="BA78" i="43"/>
  <c r="CO99"/>
  <c r="CO65"/>
  <c r="T6" i="45"/>
  <c r="AA6" s="1"/>
  <c r="AB6" s="1"/>
  <c r="CO62" i="43"/>
  <c r="BA46"/>
  <c r="BA44"/>
  <c r="BA121"/>
  <c r="BA98"/>
  <c r="AH78"/>
  <c r="AF78"/>
  <c r="DY78" s="1"/>
  <c r="AI78"/>
  <c r="CO156"/>
  <c r="BA114"/>
  <c r="CO74"/>
  <c r="CO60"/>
  <c r="K9" i="35"/>
  <c r="AF84" i="45"/>
  <c r="H87" i="43"/>
  <c r="M87"/>
  <c r="N87" s="1"/>
  <c r="AF71"/>
  <c r="DY71" s="1"/>
  <c r="AH71"/>
  <c r="AI71"/>
  <c r="T7" i="45"/>
  <c r="DO10" i="43"/>
  <c r="DP10" s="1"/>
  <c r="CO25"/>
  <c r="AH12"/>
  <c r="AF12"/>
  <c r="DY12" s="1"/>
  <c r="AI12"/>
  <c r="CO32"/>
  <c r="CO30"/>
  <c r="CO28"/>
  <c r="CO18"/>
  <c r="CO26"/>
  <c r="BA26"/>
  <c r="BA11"/>
  <c r="BA47"/>
  <c r="BA33"/>
  <c r="BA52"/>
  <c r="CO42"/>
  <c r="BA126"/>
  <c r="BP112" i="24"/>
  <c r="M18" i="43"/>
  <c r="N18" s="1"/>
  <c r="H18"/>
  <c r="P151" i="24"/>
  <c r="Y151"/>
  <c r="Z151" s="1"/>
  <c r="Y131"/>
  <c r="Z131" s="1"/>
  <c r="BP131"/>
  <c r="AG131" s="1"/>
  <c r="P120"/>
  <c r="Y120"/>
  <c r="Z120" s="1"/>
  <c r="BP92"/>
  <c r="AH92" s="1"/>
  <c r="Y92"/>
  <c r="Z92" s="1"/>
  <c r="Y11"/>
  <c r="Z11" s="1"/>
  <c r="BP11"/>
  <c r="AG11" s="1"/>
  <c r="BP37"/>
  <c r="BP124"/>
  <c r="BP100"/>
  <c r="Y100"/>
  <c r="Z100" s="1"/>
  <c r="Y68"/>
  <c r="Z68" s="1"/>
  <c r="P68"/>
  <c r="AF189" i="45"/>
  <c r="BP45" i="24"/>
  <c r="P118"/>
  <c r="Y118"/>
  <c r="Z118" s="1"/>
  <c r="P107"/>
  <c r="Y107"/>
  <c r="Z107" s="1"/>
  <c r="Y119"/>
  <c r="Z119" s="1"/>
  <c r="BP119"/>
  <c r="AG119" s="1"/>
  <c r="AF357" i="45"/>
  <c r="Y66" i="24"/>
  <c r="Z66" s="1"/>
  <c r="AF368" i="45"/>
  <c r="S224"/>
  <c r="S223"/>
  <c r="S119"/>
  <c r="S118"/>
  <c r="B312"/>
  <c r="M147" i="43"/>
  <c r="N147" s="1"/>
  <c r="H147"/>
  <c r="AF144" i="45"/>
  <c r="O116" i="24"/>
  <c r="P116" s="1"/>
  <c r="E14" i="44"/>
  <c r="D17"/>
  <c r="B13"/>
  <c r="B18"/>
  <c r="B231" i="45"/>
  <c r="AI137" i="43"/>
  <c r="S128" i="45"/>
  <c r="T30" i="24"/>
  <c r="V30" s="1"/>
  <c r="W30" s="1"/>
  <c r="BP30" s="1"/>
  <c r="BI147"/>
  <c r="AH35" i="45"/>
  <c r="B236"/>
  <c r="B249"/>
  <c r="B246"/>
  <c r="B244"/>
  <c r="B208"/>
  <c r="AC52" i="43"/>
  <c r="B35" i="45"/>
  <c r="B103"/>
  <c r="B122"/>
  <c r="B205"/>
  <c r="B220"/>
  <c r="B201"/>
  <c r="B242"/>
  <c r="S141"/>
  <c r="AG291"/>
  <c r="AG285"/>
  <c r="AG270"/>
  <c r="AG222"/>
  <c r="AG194"/>
  <c r="AG190"/>
  <c r="AG186"/>
  <c r="AG182"/>
  <c r="AG143"/>
  <c r="AG130"/>
  <c r="AG128"/>
  <c r="AG124"/>
  <c r="AG120"/>
  <c r="AG86"/>
  <c r="AG80"/>
  <c r="AG75"/>
  <c r="AG19"/>
  <c r="AG17"/>
  <c r="AG15"/>
  <c r="AG13"/>
  <c r="S216"/>
  <c r="AH250"/>
  <c r="B245"/>
  <c r="S174"/>
  <c r="B70"/>
  <c r="AG329"/>
  <c r="AG327"/>
  <c r="AG323"/>
  <c r="AG313"/>
  <c r="B22"/>
  <c r="B217"/>
  <c r="DM105" i="43"/>
  <c r="DN105" s="1"/>
  <c r="DM108"/>
  <c r="DN108" s="1"/>
  <c r="B372" i="45"/>
  <c r="B169"/>
  <c r="B77"/>
  <c r="AG290"/>
  <c r="AG286"/>
  <c r="AG263"/>
  <c r="AG259"/>
  <c r="AG257"/>
  <c r="AG253"/>
  <c r="AG251"/>
  <c r="AG249"/>
  <c r="AG221"/>
  <c r="AG201"/>
  <c r="AG195"/>
  <c r="AG140"/>
  <c r="AG107"/>
  <c r="AG100"/>
  <c r="AG29"/>
  <c r="AG22"/>
  <c r="AH140" i="43"/>
  <c r="AF140"/>
  <c r="DY140" s="1"/>
  <c r="AI140"/>
  <c r="CO112"/>
  <c r="AH45"/>
  <c r="CO44"/>
  <c r="CO134"/>
  <c r="CO94"/>
  <c r="AH47"/>
  <c r="D17" i="30" s="1"/>
  <c r="AI47" i="43"/>
  <c r="AF47"/>
  <c r="DY47" s="1"/>
  <c r="BA88"/>
  <c r="CO129"/>
  <c r="AF107"/>
  <c r="DY107" s="1"/>
  <c r="AI107"/>
  <c r="AH107"/>
  <c r="AF52"/>
  <c r="DY52" s="1"/>
  <c r="AI52"/>
  <c r="AH52"/>
  <c r="BA127"/>
  <c r="AI86"/>
  <c r="AF86"/>
  <c r="AH86"/>
  <c r="K78" i="35"/>
  <c r="AF35" i="43"/>
  <c r="DY35" s="1"/>
  <c r="AI35"/>
  <c r="AH35"/>
  <c r="BA147"/>
  <c r="AH123"/>
  <c r="AF123"/>
  <c r="AI123"/>
  <c r="AH114"/>
  <c r="AI114"/>
  <c r="AF114"/>
  <c r="DY114" s="1"/>
  <c r="AH100"/>
  <c r="AF100"/>
  <c r="DY100" s="1"/>
  <c r="AI100"/>
  <c r="CO90"/>
  <c r="CO52"/>
  <c r="CO40"/>
  <c r="BA12"/>
  <c r="BA107"/>
  <c r="CO104"/>
  <c r="CO91"/>
  <c r="BA18"/>
  <c r="BA151"/>
  <c r="CO12"/>
  <c r="BA146"/>
  <c r="CO137"/>
  <c r="CO135"/>
  <c r="BA115"/>
  <c r="AI13"/>
  <c r="AH13"/>
  <c r="AF13"/>
  <c r="DY13" s="1"/>
  <c r="AF11"/>
  <c r="DY11" s="1"/>
  <c r="AI11"/>
  <c r="AH11"/>
  <c r="CO153"/>
  <c r="AF146"/>
  <c r="AI146"/>
  <c r="AH146"/>
  <c r="BA143"/>
  <c r="AH96"/>
  <c r="AF96"/>
  <c r="AI18"/>
  <c r="AF18"/>
  <c r="DY18" s="1"/>
  <c r="AH18"/>
  <c r="AI84"/>
  <c r="AF84"/>
  <c r="AH84"/>
  <c r="AH143"/>
  <c r="AI143"/>
  <c r="AF143"/>
  <c r="DY145"/>
  <c r="CO19"/>
  <c r="CO36"/>
  <c r="BP65" i="24"/>
  <c r="FS13" i="43"/>
  <c r="GU13" s="1"/>
  <c r="AL12"/>
  <c r="BE12"/>
  <c r="GG12"/>
  <c r="GF12" s="1"/>
  <c r="GB12" s="1"/>
  <c r="CS12"/>
  <c r="GN12"/>
  <c r="GM12" s="1"/>
  <c r="GI12" s="1"/>
  <c r="BE11"/>
  <c r="AL11"/>
  <c r="GN11"/>
  <c r="GM11" s="1"/>
  <c r="GI11" s="1"/>
  <c r="CS11"/>
  <c r="BZ12"/>
  <c r="HB11"/>
  <c r="HA11" s="1"/>
  <c r="GW11" s="1"/>
  <c r="Z11"/>
  <c r="AA11" s="1"/>
  <c r="C8" i="45" s="1"/>
  <c r="BP21" i="24"/>
  <c r="BP115"/>
  <c r="AG115" s="1"/>
  <c r="Y115"/>
  <c r="BP101"/>
  <c r="HB12" i="43"/>
  <c r="HA12" s="1"/>
  <c r="GW12" s="1"/>
  <c r="AD11"/>
  <c r="BP67" i="24"/>
  <c r="AG67" s="1"/>
  <c r="L13" i="44"/>
  <c r="L11"/>
  <c r="B11"/>
  <c r="B14"/>
  <c r="E13"/>
  <c r="O22" i="24"/>
  <c r="D28" i="30"/>
  <c r="D26"/>
  <c r="D27"/>
  <c r="S7" i="45"/>
  <c r="DY120" i="43"/>
  <c r="S249" i="45"/>
  <c r="AH69"/>
  <c r="B11"/>
  <c r="S196"/>
  <c r="C27" i="30"/>
  <c r="AG10" i="45"/>
  <c r="AG7"/>
  <c r="B308"/>
  <c r="B221"/>
  <c r="B75"/>
  <c r="B311"/>
  <c r="B243"/>
  <c r="EI95" i="43"/>
  <c r="Y95" i="24" s="1"/>
  <c r="Z95" s="1"/>
  <c r="B309" i="45"/>
  <c r="B225"/>
  <c r="B224"/>
  <c r="S199"/>
  <c r="EI56" i="43"/>
  <c r="B50" i="45"/>
  <c r="B45"/>
  <c r="BA63" i="43"/>
  <c r="CO46"/>
  <c r="CO31"/>
  <c r="CO23"/>
  <c r="CO22"/>
  <c r="BA16"/>
  <c r="CO13"/>
  <c r="AG377" i="45"/>
  <c r="AG151"/>
  <c r="AG147"/>
  <c r="AG185"/>
  <c r="AG179"/>
  <c r="AG116"/>
  <c r="AG114"/>
  <c r="AG88"/>
  <c r="AG74"/>
  <c r="AG48"/>
  <c r="CO9" i="43"/>
  <c r="BA30"/>
  <c r="BA19"/>
  <c r="BA104"/>
  <c r="BA82"/>
  <c r="AG333" i="45"/>
  <c r="AG316"/>
  <c r="AG305"/>
  <c r="AG289"/>
  <c r="AG271"/>
  <c r="AG267"/>
  <c r="AG230"/>
  <c r="AG207"/>
  <c r="AG191"/>
  <c r="AG187"/>
  <c r="AG171"/>
  <c r="AG169"/>
  <c r="AG159"/>
  <c r="AG154"/>
  <c r="AG94"/>
  <c r="AG65"/>
  <c r="AG41"/>
  <c r="AG25"/>
  <c r="BA67" i="43"/>
  <c r="CO63"/>
  <c r="BA59"/>
  <c r="CO48"/>
  <c r="CO29"/>
  <c r="CO27"/>
  <c r="CO16"/>
  <c r="BP106" i="24"/>
  <c r="AH106" s="1"/>
  <c r="BP98"/>
  <c r="Y43"/>
  <c r="BP43"/>
  <c r="AG43" s="1"/>
  <c r="BP27"/>
  <c r="AG27" s="1"/>
  <c r="Y27"/>
  <c r="Y18"/>
  <c r="BP18"/>
  <c r="AG18" s="1"/>
  <c r="Z6" i="45"/>
  <c r="W7"/>
  <c r="Y7" s="1"/>
  <c r="P143" i="24"/>
  <c r="Y143"/>
  <c r="Z143" s="1"/>
  <c r="BP116"/>
  <c r="BP57"/>
  <c r="AH57" s="1"/>
  <c r="Y57"/>
  <c r="Z57" s="1"/>
  <c r="BP33"/>
  <c r="Y108"/>
  <c r="Z108" s="1"/>
  <c r="BP108"/>
  <c r="BP19"/>
  <c r="P125"/>
  <c r="Y125"/>
  <c r="L14" i="44"/>
  <c r="M14"/>
  <c r="S12" i="45"/>
  <c r="S13"/>
  <c r="Y142" i="24"/>
  <c r="Z142" s="1"/>
  <c r="M10" i="44"/>
  <c r="C10"/>
  <c r="H16"/>
  <c r="H15"/>
  <c r="H14"/>
  <c r="DY26" i="43"/>
  <c r="DY73"/>
  <c r="DY155"/>
  <c r="DY147"/>
  <c r="S229" i="45"/>
  <c r="B228"/>
  <c r="B168"/>
  <c r="B88"/>
  <c r="S154"/>
  <c r="S124"/>
  <c r="S110"/>
  <c r="B82"/>
  <c r="B76"/>
  <c r="B59"/>
  <c r="DY50" i="43"/>
  <c r="BA23"/>
  <c r="BA149"/>
  <c r="BA85"/>
  <c r="CO43"/>
  <c r="CO34"/>
  <c r="BA60"/>
  <c r="BA57"/>
  <c r="BA74"/>
  <c r="BA65"/>
  <c r="CO24"/>
  <c r="DY103"/>
  <c r="Y75" i="24" l="1"/>
  <c r="Z75" s="1"/>
  <c r="P75"/>
  <c r="AH142"/>
  <c r="Y22"/>
  <c r="Z22" s="1"/>
  <c r="AH70"/>
  <c r="P94"/>
  <c r="T16"/>
  <c r="V16" s="1"/>
  <c r="W16" s="1"/>
  <c r="BP16" s="1"/>
  <c r="P65"/>
  <c r="Y65"/>
  <c r="AH108"/>
  <c r="AG47"/>
  <c r="BI335"/>
  <c r="BI320"/>
  <c r="BI332"/>
  <c r="BI280"/>
  <c r="BI262"/>
  <c r="BI229"/>
  <c r="BI233"/>
  <c r="BI236"/>
  <c r="N226" i="43"/>
  <c r="DY17"/>
  <c r="DY117"/>
  <c r="Y138" i="24"/>
  <c r="Z138" s="1"/>
  <c r="T38"/>
  <c r="V38" s="1"/>
  <c r="W38" s="1"/>
  <c r="M79" i="43"/>
  <c r="N79" s="1"/>
  <c r="AF76" i="45"/>
  <c r="H79" i="43"/>
  <c r="AH65" i="24"/>
  <c r="DY336" i="43"/>
  <c r="DY290"/>
  <c r="Y116" i="24"/>
  <c r="DY29" i="43"/>
  <c r="N380"/>
  <c r="N377"/>
  <c r="N374"/>
  <c r="DY372"/>
  <c r="N369"/>
  <c r="K16" i="34"/>
  <c r="N358" i="43"/>
  <c r="K61" i="34"/>
  <c r="N357" i="43"/>
  <c r="N355"/>
  <c r="N354"/>
  <c r="K12" i="34"/>
  <c r="K11"/>
  <c r="K19"/>
  <c r="C15" i="44"/>
  <c r="K58" i="34"/>
  <c r="K14"/>
  <c r="K57"/>
  <c r="N347" i="43"/>
  <c r="N346"/>
  <c r="AG345"/>
  <c r="BK345" i="24" s="1"/>
  <c r="AV345" i="43"/>
  <c r="CJ345"/>
  <c r="CL345"/>
  <c r="BO345"/>
  <c r="AX345"/>
  <c r="BQ345"/>
  <c r="AZ345"/>
  <c r="CN345"/>
  <c r="BS345"/>
  <c r="N342"/>
  <c r="DY342"/>
  <c r="N340"/>
  <c r="N339"/>
  <c r="N335"/>
  <c r="N334"/>
  <c r="N332"/>
  <c r="N331"/>
  <c r="N329"/>
  <c r="N326"/>
  <c r="N319"/>
  <c r="N318"/>
  <c r="N316"/>
  <c r="N314"/>
  <c r="DY314"/>
  <c r="DO12"/>
  <c r="DP12" s="1"/>
  <c r="N313"/>
  <c r="N311"/>
  <c r="N310"/>
  <c r="N309"/>
  <c r="DY309"/>
  <c r="N308"/>
  <c r="N305"/>
  <c r="O291" i="24"/>
  <c r="P291" s="1"/>
  <c r="Y38"/>
  <c r="Z38" s="1"/>
  <c r="BP38"/>
  <c r="AG38" s="1"/>
  <c r="BP40"/>
  <c r="AH40" s="1"/>
  <c r="Y40"/>
  <c r="P99"/>
  <c r="Y99"/>
  <c r="Z99" s="1"/>
  <c r="P63"/>
  <c r="Y63"/>
  <c r="Z63" s="1"/>
  <c r="P130"/>
  <c r="Y130"/>
  <c r="P124"/>
  <c r="Y124"/>
  <c r="Z124" s="1"/>
  <c r="BP117"/>
  <c r="Y117"/>
  <c r="Z117" s="1"/>
  <c r="AG12"/>
  <c r="AH12"/>
  <c r="P135"/>
  <c r="AG135" s="1"/>
  <c r="Y135"/>
  <c r="Z135" s="1"/>
  <c r="AF58" i="45"/>
  <c r="H61" i="43"/>
  <c r="M61"/>
  <c r="N61" s="1"/>
  <c r="H73"/>
  <c r="M73"/>
  <c r="N73" s="1"/>
  <c r="AF70" i="45"/>
  <c r="S81"/>
  <c r="S82"/>
  <c r="S84"/>
  <c r="S83"/>
  <c r="S88"/>
  <c r="S89"/>
  <c r="M21" i="43"/>
  <c r="N21" s="1"/>
  <c r="AF18" i="45"/>
  <c r="H21" i="43"/>
  <c r="M121"/>
  <c r="N121" s="1"/>
  <c r="H121"/>
  <c r="AF118" i="45"/>
  <c r="AH124" i="24"/>
  <c r="AG140"/>
  <c r="M266" i="43"/>
  <c r="N266" s="1"/>
  <c r="O161" i="24"/>
  <c r="P161" s="1"/>
  <c r="O172"/>
  <c r="P172" s="1"/>
  <c r="N257" i="43"/>
  <c r="T28" i="24"/>
  <c r="V28" s="1"/>
  <c r="W28" s="1"/>
  <c r="DY28" i="43"/>
  <c r="AF82" i="45"/>
  <c r="H85" i="43"/>
  <c r="M85"/>
  <c r="N85" s="1"/>
  <c r="AF88" i="45"/>
  <c r="H91" i="43"/>
  <c r="M91"/>
  <c r="N91" s="1"/>
  <c r="AF91" i="45"/>
  <c r="M94" i="43"/>
  <c r="N94" s="1"/>
  <c r="H94"/>
  <c r="M133"/>
  <c r="N133" s="1"/>
  <c r="AF130" i="45"/>
  <c r="H133" i="43"/>
  <c r="S20" i="45"/>
  <c r="S19"/>
  <c r="AF24"/>
  <c r="H27" i="43"/>
  <c r="M27"/>
  <c r="N27" s="1"/>
  <c r="AF9" i="45"/>
  <c r="M12" i="43"/>
  <c r="N12" s="1"/>
  <c r="H12"/>
  <c r="S136" i="45"/>
  <c r="S135"/>
  <c r="AF7"/>
  <c r="M10" i="43"/>
  <c r="N10" s="1"/>
  <c r="H10"/>
  <c r="H10" i="22"/>
  <c r="M10"/>
  <c r="S10"/>
  <c r="A11"/>
  <c r="B10"/>
  <c r="L10"/>
  <c r="T10"/>
  <c r="D10"/>
  <c r="E10"/>
  <c r="AF22" i="45"/>
  <c r="M25" i="43"/>
  <c r="N25" s="1"/>
  <c r="H25"/>
  <c r="DY301"/>
  <c r="Y12" i="24"/>
  <c r="Z12" s="1"/>
  <c r="H75" i="43"/>
  <c r="M75"/>
  <c r="N75" s="1"/>
  <c r="AF72" i="45"/>
  <c r="H86" i="43"/>
  <c r="AF83" i="45"/>
  <c r="M86" i="43"/>
  <c r="N86" s="1"/>
  <c r="S103" i="45"/>
  <c r="S104"/>
  <c r="AF147"/>
  <c r="M150" i="43"/>
  <c r="N150" s="1"/>
  <c r="H150"/>
  <c r="H153"/>
  <c r="M153"/>
  <c r="N153" s="1"/>
  <c r="AF150" i="45"/>
  <c r="S14"/>
  <c r="S15"/>
  <c r="AF14"/>
  <c r="H17" i="43"/>
  <c r="M17"/>
  <c r="N17" s="1"/>
  <c r="AC10" i="24"/>
  <c r="DZ10" i="43"/>
  <c r="H62"/>
  <c r="AF59" i="45"/>
  <c r="M62" i="43"/>
  <c r="N62" s="1"/>
  <c r="H72"/>
  <c r="AF69" i="45"/>
  <c r="M72" i="43"/>
  <c r="N72" s="1"/>
  <c r="AF81" i="45"/>
  <c r="H84" i="43"/>
  <c r="M84"/>
  <c r="N84" s="1"/>
  <c r="M107"/>
  <c r="N107" s="1"/>
  <c r="AF104" i="45"/>
  <c r="H107" i="43"/>
  <c r="H149"/>
  <c r="AF146" i="45"/>
  <c r="H151" i="43"/>
  <c r="M151"/>
  <c r="N151" s="1"/>
  <c r="AF148" i="45"/>
  <c r="F7" i="30"/>
  <c r="E23"/>
  <c r="E6"/>
  <c r="E28"/>
  <c r="E22"/>
  <c r="E9"/>
  <c r="E26"/>
  <c r="E20"/>
  <c r="E19"/>
  <c r="E21"/>
  <c r="P152" i="24"/>
  <c r="Y152"/>
  <c r="Z152" s="1"/>
  <c r="H31" i="43"/>
  <c r="AF28" i="45"/>
  <c r="M31" i="43"/>
  <c r="N31" s="1"/>
  <c r="BI228" i="24"/>
  <c r="BI182"/>
  <c r="BI170"/>
  <c r="N302" i="43"/>
  <c r="DB112"/>
  <c r="DC112" s="1"/>
  <c r="N299"/>
  <c r="P100" i="24"/>
  <c r="DM298" i="43"/>
  <c r="DN298" s="1"/>
  <c r="BI364" i="24"/>
  <c r="BI315"/>
  <c r="BI305"/>
  <c r="BI281"/>
  <c r="BI267"/>
  <c r="BI346"/>
  <c r="BI313"/>
  <c r="BI295"/>
  <c r="BI290"/>
  <c r="BI248"/>
  <c r="BI247"/>
  <c r="BI246"/>
  <c r="BI245"/>
  <c r="BI244"/>
  <c r="BI243"/>
  <c r="BI242"/>
  <c r="BI241"/>
  <c r="BI240"/>
  <c r="BI216"/>
  <c r="BI168"/>
  <c r="N160" i="43"/>
  <c r="O316" i="24"/>
  <c r="P316" s="1"/>
  <c r="O309"/>
  <c r="P309" s="1"/>
  <c r="O166"/>
  <c r="P166" s="1"/>
  <c r="P76"/>
  <c r="Y76"/>
  <c r="Z76" s="1"/>
  <c r="M48" i="43"/>
  <c r="N48" s="1"/>
  <c r="H48"/>
  <c r="AF45" i="45"/>
  <c r="H26" i="43"/>
  <c r="AF23" i="45"/>
  <c r="M26" i="43"/>
  <c r="N26" s="1"/>
  <c r="O168" i="24"/>
  <c r="P168" s="1"/>
  <c r="O187"/>
  <c r="P187" s="1"/>
  <c r="O162"/>
  <c r="P162" s="1"/>
  <c r="DM359" i="43"/>
  <c r="DN359" s="1"/>
  <c r="DM351"/>
  <c r="DN351" s="1"/>
  <c r="DM347"/>
  <c r="DN347" s="1"/>
  <c r="DM335"/>
  <c r="DN335" s="1"/>
  <c r="BI175" i="24"/>
  <c r="P111"/>
  <c r="Y111"/>
  <c r="Z111" s="1"/>
  <c r="AH122"/>
  <c r="AG122"/>
  <c r="O200"/>
  <c r="P200" s="1"/>
  <c r="O244"/>
  <c r="P244" s="1"/>
  <c r="O171"/>
  <c r="P171" s="1"/>
  <c r="O190"/>
  <c r="P190" s="1"/>
  <c r="O225"/>
  <c r="P225" s="1"/>
  <c r="O209"/>
  <c r="P209" s="1"/>
  <c r="O177"/>
  <c r="P177" s="1"/>
  <c r="AG106"/>
  <c r="M384" i="43"/>
  <c r="DY357"/>
  <c r="DY299"/>
  <c r="N241"/>
  <c r="Y69" i="24"/>
  <c r="Z69" s="1"/>
  <c r="BP72"/>
  <c r="Y72"/>
  <c r="Z72" s="1"/>
  <c r="M60" i="43"/>
  <c r="N60" s="1"/>
  <c r="H60"/>
  <c r="AF57" i="45"/>
  <c r="AF32"/>
  <c r="H35" i="43"/>
  <c r="M35"/>
  <c r="N35" s="1"/>
  <c r="BP85" i="24"/>
  <c r="Y85"/>
  <c r="Z85" s="1"/>
  <c r="P113"/>
  <c r="Y113"/>
  <c r="Z113" s="1"/>
  <c r="BP15"/>
  <c r="Y15"/>
  <c r="Z15" s="1"/>
  <c r="AG111"/>
  <c r="O176"/>
  <c r="P176" s="1"/>
  <c r="O224"/>
  <c r="P224" s="1"/>
  <c r="O208"/>
  <c r="P208" s="1"/>
  <c r="O188"/>
  <c r="P188" s="1"/>
  <c r="O216"/>
  <c r="P216" s="1"/>
  <c r="O196"/>
  <c r="P196" s="1"/>
  <c r="O239"/>
  <c r="P239" s="1"/>
  <c r="O191"/>
  <c r="P191" s="1"/>
  <c r="O175"/>
  <c r="P175" s="1"/>
  <c r="O242"/>
  <c r="P242" s="1"/>
  <c r="O178"/>
  <c r="P178" s="1"/>
  <c r="O245"/>
  <c r="P245" s="1"/>
  <c r="O229"/>
  <c r="P229" s="1"/>
  <c r="O213"/>
  <c r="P213" s="1"/>
  <c r="O197"/>
  <c r="P197" s="1"/>
  <c r="O181"/>
  <c r="P181" s="1"/>
  <c r="M304" i="43"/>
  <c r="N304" s="1"/>
  <c r="DM376"/>
  <c r="DN376" s="1"/>
  <c r="DM368"/>
  <c r="DN368" s="1"/>
  <c r="DM348"/>
  <c r="DN348" s="1"/>
  <c r="DM380"/>
  <c r="DN380" s="1"/>
  <c r="DM282"/>
  <c r="DN282" s="1"/>
  <c r="DM262"/>
  <c r="DN262" s="1"/>
  <c r="DM258"/>
  <c r="DN258" s="1"/>
  <c r="DM174"/>
  <c r="DN174" s="1"/>
  <c r="DM166"/>
  <c r="DN166" s="1"/>
  <c r="DM162"/>
  <c r="DN162" s="1"/>
  <c r="DM158"/>
  <c r="DN158" s="1"/>
  <c r="BI383" i="24"/>
  <c r="BI384"/>
  <c r="BI296"/>
  <c r="BI368"/>
  <c r="BI354"/>
  <c r="BI322"/>
  <c r="BI319"/>
  <c r="DY313" i="43"/>
  <c r="DY338"/>
  <c r="BI301" i="24"/>
  <c r="BI344"/>
  <c r="BI306"/>
  <c r="BI285"/>
  <c r="BI271"/>
  <c r="BI254"/>
  <c r="BI208"/>
  <c r="BI201"/>
  <c r="BI230"/>
  <c r="T181"/>
  <c r="V181" s="1"/>
  <c r="W181" s="1"/>
  <c r="BI176"/>
  <c r="BI194"/>
  <c r="O50"/>
  <c r="P50" s="1"/>
  <c r="N252" i="43"/>
  <c r="O158" i="24"/>
  <c r="P158" s="1"/>
  <c r="O198"/>
  <c r="P198" s="1"/>
  <c r="AG58"/>
  <c r="DM370" i="43"/>
  <c r="DN370" s="1"/>
  <c r="DM334"/>
  <c r="DN334" s="1"/>
  <c r="DM326"/>
  <c r="DN326" s="1"/>
  <c r="DM318"/>
  <c r="DN318" s="1"/>
  <c r="DM292"/>
  <c r="DN292" s="1"/>
  <c r="DM365"/>
  <c r="DN365" s="1"/>
  <c r="DM357"/>
  <c r="DN357" s="1"/>
  <c r="DM341"/>
  <c r="DN341" s="1"/>
  <c r="DM333"/>
  <c r="DN333" s="1"/>
  <c r="DM325"/>
  <c r="DN325" s="1"/>
  <c r="DM317"/>
  <c r="DN317" s="1"/>
  <c r="DM309"/>
  <c r="DN309" s="1"/>
  <c r="DM384"/>
  <c r="DN384" s="1"/>
  <c r="DM259"/>
  <c r="DN259" s="1"/>
  <c r="DM255"/>
  <c r="DN255" s="1"/>
  <c r="DM223"/>
  <c r="DN223" s="1"/>
  <c r="DM175"/>
  <c r="DN175" s="1"/>
  <c r="DM285"/>
  <c r="DN285" s="1"/>
  <c r="DM265"/>
  <c r="DN265" s="1"/>
  <c r="DM261"/>
  <c r="DN261" s="1"/>
  <c r="DM229"/>
  <c r="DN229" s="1"/>
  <c r="DM225"/>
  <c r="DN225" s="1"/>
  <c r="DM221"/>
  <c r="DN221" s="1"/>
  <c r="DM213"/>
  <c r="DN213" s="1"/>
  <c r="DM181"/>
  <c r="DN181" s="1"/>
  <c r="DM173"/>
  <c r="DN173" s="1"/>
  <c r="DM157"/>
  <c r="DN157" s="1"/>
  <c r="DM300"/>
  <c r="DN300" s="1"/>
  <c r="DM244"/>
  <c r="DN244" s="1"/>
  <c r="DM224"/>
  <c r="DN224" s="1"/>
  <c r="DM220"/>
  <c r="DN220" s="1"/>
  <c r="DM216"/>
  <c r="DN216" s="1"/>
  <c r="T380" i="24"/>
  <c r="V380" s="1"/>
  <c r="W380" s="1"/>
  <c r="BP380" s="1"/>
  <c r="BI339"/>
  <c r="BI323"/>
  <c r="T318"/>
  <c r="V318" s="1"/>
  <c r="W318" s="1"/>
  <c r="BP318" s="1"/>
  <c r="BI302"/>
  <c r="BI380"/>
  <c r="BI350"/>
  <c r="BI336"/>
  <c r="DY330" i="43"/>
  <c r="T328" i="24"/>
  <c r="V328" s="1"/>
  <c r="W328" s="1"/>
  <c r="BP328" s="1"/>
  <c r="BI308"/>
  <c r="BI288"/>
  <c r="BI371"/>
  <c r="BI355"/>
  <c r="DY303" i="43"/>
  <c r="BI374" i="24"/>
  <c r="BI360"/>
  <c r="BI324"/>
  <c r="BI309"/>
  <c r="DY262" i="43"/>
  <c r="BI237" i="24"/>
  <c r="BI284"/>
  <c r="BI266"/>
  <c r="BI251"/>
  <c r="T218"/>
  <c r="V218" s="1"/>
  <c r="W218" s="1"/>
  <c r="BP218" s="1"/>
  <c r="T285"/>
  <c r="V285" s="1"/>
  <c r="W285" s="1"/>
  <c r="BP285" s="1"/>
  <c r="BI261"/>
  <c r="T210"/>
  <c r="V210" s="1"/>
  <c r="W210" s="1"/>
  <c r="BP210" s="1"/>
  <c r="BI250"/>
  <c r="BI224"/>
  <c r="BI220"/>
  <c r="BI204"/>
  <c r="BI227"/>
  <c r="T221"/>
  <c r="V221" s="1"/>
  <c r="W221" s="1"/>
  <c r="BP221" s="1"/>
  <c r="BI211"/>
  <c r="BI199"/>
  <c r="DY197" i="43"/>
  <c r="BI185" i="24"/>
  <c r="BI179"/>
  <c r="BI196"/>
  <c r="BI172"/>
  <c r="BI190"/>
  <c r="DY159" i="43"/>
  <c r="BI161" i="24"/>
  <c r="BI169"/>
  <c r="M371" i="43"/>
  <c r="N371" s="1"/>
  <c r="Y129" i="24"/>
  <c r="Z129" s="1"/>
  <c r="Y29"/>
  <c r="Z29" s="1"/>
  <c r="Y150"/>
  <c r="Z150" s="1"/>
  <c r="BP150"/>
  <c r="P109"/>
  <c r="Y109"/>
  <c r="Z109" s="1"/>
  <c r="BI367"/>
  <c r="BI351"/>
  <c r="BI356"/>
  <c r="BI207"/>
  <c r="BI238"/>
  <c r="BI184"/>
  <c r="O369"/>
  <c r="P369" s="1"/>
  <c r="O353"/>
  <c r="P353" s="1"/>
  <c r="O337"/>
  <c r="P337" s="1"/>
  <c r="O321"/>
  <c r="P321" s="1"/>
  <c r="N294" i="43"/>
  <c r="O311" i="24"/>
  <c r="P311" s="1"/>
  <c r="O364"/>
  <c r="P364" s="1"/>
  <c r="O348"/>
  <c r="P348" s="1"/>
  <c r="O332"/>
  <c r="P332" s="1"/>
  <c r="O379"/>
  <c r="P379" s="1"/>
  <c r="O363"/>
  <c r="P363" s="1"/>
  <c r="O347"/>
  <c r="P347" s="1"/>
  <c r="O331"/>
  <c r="P331" s="1"/>
  <c r="O315"/>
  <c r="P315" s="1"/>
  <c r="O293"/>
  <c r="P293" s="1"/>
  <c r="O277"/>
  <c r="P277" s="1"/>
  <c r="O261"/>
  <c r="O256"/>
  <c r="P256" s="1"/>
  <c r="O298"/>
  <c r="P298" s="1"/>
  <c r="O295"/>
  <c r="P295" s="1"/>
  <c r="O299"/>
  <c r="P299" s="1"/>
  <c r="O314"/>
  <c r="P314" s="1"/>
  <c r="N293" i="43"/>
  <c r="BI293" i="24"/>
  <c r="N292" i="43"/>
  <c r="BI291" i="24"/>
  <c r="O250"/>
  <c r="P250" s="1"/>
  <c r="O303"/>
  <c r="P303" s="1"/>
  <c r="O307"/>
  <c r="P307" s="1"/>
  <c r="N291" i="43"/>
  <c r="D22" i="44"/>
  <c r="D24" s="1"/>
  <c r="O249" i="24"/>
  <c r="P249" s="1"/>
  <c r="O373"/>
  <c r="P373" s="1"/>
  <c r="O357"/>
  <c r="P357" s="1"/>
  <c r="O341"/>
  <c r="P341" s="1"/>
  <c r="O325"/>
  <c r="P325" s="1"/>
  <c r="O376"/>
  <c r="P376" s="1"/>
  <c r="O360"/>
  <c r="P360" s="1"/>
  <c r="O344"/>
  <c r="P344" s="1"/>
  <c r="O328"/>
  <c r="P328" s="1"/>
  <c r="AH328" s="1"/>
  <c r="O308"/>
  <c r="P308" s="1"/>
  <c r="O375"/>
  <c r="P375" s="1"/>
  <c r="O359"/>
  <c r="P359" s="1"/>
  <c r="O343"/>
  <c r="P343" s="1"/>
  <c r="O327"/>
  <c r="P327" s="1"/>
  <c r="O374"/>
  <c r="P374" s="1"/>
  <c r="O358"/>
  <c r="P358" s="1"/>
  <c r="O342"/>
  <c r="P342" s="1"/>
  <c r="O326"/>
  <c r="P326" s="1"/>
  <c r="O304"/>
  <c r="P304" s="1"/>
  <c r="O305"/>
  <c r="P305" s="1"/>
  <c r="O289"/>
  <c r="P289" s="1"/>
  <c r="O273"/>
  <c r="P273" s="1"/>
  <c r="O257"/>
  <c r="P257" s="1"/>
  <c r="O284"/>
  <c r="P284" s="1"/>
  <c r="O268"/>
  <c r="P268" s="1"/>
  <c r="O252"/>
  <c r="P252" s="1"/>
  <c r="O275"/>
  <c r="P275" s="1"/>
  <c r="O259"/>
  <c r="P259" s="1"/>
  <c r="O310"/>
  <c r="P310" s="1"/>
  <c r="O294"/>
  <c r="P294" s="1"/>
  <c r="O278"/>
  <c r="P278" s="1"/>
  <c r="O262"/>
  <c r="P262" s="1"/>
  <c r="O372"/>
  <c r="P372" s="1"/>
  <c r="O356"/>
  <c r="P356" s="1"/>
  <c r="O340"/>
  <c r="O324"/>
  <c r="P324" s="1"/>
  <c r="O300"/>
  <c r="P300" s="1"/>
  <c r="O371"/>
  <c r="P371" s="1"/>
  <c r="O355"/>
  <c r="P355" s="1"/>
  <c r="O339"/>
  <c r="P339" s="1"/>
  <c r="O323"/>
  <c r="P323" s="1"/>
  <c r="O322"/>
  <c r="P322" s="1"/>
  <c r="O296"/>
  <c r="P296" s="1"/>
  <c r="O301"/>
  <c r="P301" s="1"/>
  <c r="O285"/>
  <c r="P285" s="1"/>
  <c r="AH285" s="1"/>
  <c r="O269"/>
  <c r="P269" s="1"/>
  <c r="O253"/>
  <c r="P253" s="1"/>
  <c r="O280"/>
  <c r="P280" s="1"/>
  <c r="O264"/>
  <c r="P264" s="1"/>
  <c r="O287"/>
  <c r="P287" s="1"/>
  <c r="O271"/>
  <c r="P271" s="1"/>
  <c r="O255"/>
  <c r="P255" s="1"/>
  <c r="O306"/>
  <c r="P306" s="1"/>
  <c r="O290"/>
  <c r="P290" s="1"/>
  <c r="O274"/>
  <c r="P274" s="1"/>
  <c r="O258"/>
  <c r="P42"/>
  <c r="Y42"/>
  <c r="Z42" s="1"/>
  <c r="AG127"/>
  <c r="AH127"/>
  <c r="P80"/>
  <c r="Y80"/>
  <c r="Z80" s="1"/>
  <c r="P147"/>
  <c r="Y147"/>
  <c r="Z147" s="1"/>
  <c r="AG139"/>
  <c r="AH139"/>
  <c r="P88"/>
  <c r="Y88"/>
  <c r="Z88" s="1"/>
  <c r="P45"/>
  <c r="Y45"/>
  <c r="Z45" s="1"/>
  <c r="P35"/>
  <c r="Y35"/>
  <c r="Z35" s="1"/>
  <c r="AG50"/>
  <c r="AH50"/>
  <c r="Y25"/>
  <c r="Z25" s="1"/>
  <c r="P25"/>
  <c r="P136"/>
  <c r="Y136"/>
  <c r="Z136" s="1"/>
  <c r="P34"/>
  <c r="Y34"/>
  <c r="Z34" s="1"/>
  <c r="Y9"/>
  <c r="Z9" s="1"/>
  <c r="P9"/>
  <c r="P24"/>
  <c r="Y24"/>
  <c r="Z24" s="1"/>
  <c r="Y71"/>
  <c r="Z71" s="1"/>
  <c r="P71"/>
  <c r="Y60"/>
  <c r="Z60" s="1"/>
  <c r="P60"/>
  <c r="P98"/>
  <c r="Y98"/>
  <c r="Z98" s="1"/>
  <c r="AH149"/>
  <c r="AG149"/>
  <c r="P146"/>
  <c r="Y146"/>
  <c r="Z146" s="1"/>
  <c r="P121"/>
  <c r="Y121"/>
  <c r="Z121" s="1"/>
  <c r="P112"/>
  <c r="Y112"/>
  <c r="Z112" s="1"/>
  <c r="Y82"/>
  <c r="Z82" s="1"/>
  <c r="P82"/>
  <c r="P37"/>
  <c r="Y37"/>
  <c r="Z37" s="1"/>
  <c r="Y53"/>
  <c r="Z53" s="1"/>
  <c r="P53"/>
  <c r="P21"/>
  <c r="Y21"/>
  <c r="Z21" s="1"/>
  <c r="P44"/>
  <c r="Y44"/>
  <c r="Y13"/>
  <c r="Z13" s="1"/>
  <c r="P13"/>
  <c r="P61"/>
  <c r="Y61"/>
  <c r="Z61" s="1"/>
  <c r="Y126"/>
  <c r="Z126" s="1"/>
  <c r="P126"/>
  <c r="P148"/>
  <c r="Y148"/>
  <c r="Z148" s="1"/>
  <c r="Y101"/>
  <c r="Z101" s="1"/>
  <c r="P101"/>
  <c r="AH144"/>
  <c r="AG144"/>
  <c r="P17"/>
  <c r="Y17"/>
  <c r="Z17" s="1"/>
  <c r="P46"/>
  <c r="Y46"/>
  <c r="Z46" s="1"/>
  <c r="Y110"/>
  <c r="Z110" s="1"/>
  <c r="P110"/>
  <c r="P33"/>
  <c r="Y33"/>
  <c r="Z33" s="1"/>
  <c r="P14"/>
  <c r="Y14"/>
  <c r="Z14" s="1"/>
  <c r="P87"/>
  <c r="Y87"/>
  <c r="Z87" s="1"/>
  <c r="P97"/>
  <c r="Y97"/>
  <c r="Z97" s="1"/>
  <c r="P49"/>
  <c r="Y49"/>
  <c r="Z49" s="1"/>
  <c r="P16"/>
  <c r="Y16"/>
  <c r="Z16" s="1"/>
  <c r="P89"/>
  <c r="Y89"/>
  <c r="Z89" s="1"/>
  <c r="Y77"/>
  <c r="Z77" s="1"/>
  <c r="P77"/>
  <c r="P73"/>
  <c r="Y73"/>
  <c r="Z73" s="1"/>
  <c r="P19"/>
  <c r="Y19"/>
  <c r="Y50"/>
  <c r="Z50" s="1"/>
  <c r="Y155"/>
  <c r="Z155" s="1"/>
  <c r="AH135"/>
  <c r="AH115"/>
  <c r="AH43"/>
  <c r="AH18"/>
  <c r="AH119"/>
  <c r="AH27"/>
  <c r="AH38"/>
  <c r="AH131"/>
  <c r="AH47"/>
  <c r="AH11"/>
  <c r="AH90"/>
  <c r="AH111"/>
  <c r="AG57"/>
  <c r="AG92"/>
  <c r="H345" i="43"/>
  <c r="AF342" i="45"/>
  <c r="H253" i="43"/>
  <c r="AF250" i="45"/>
  <c r="H166" i="43"/>
  <c r="AF163" i="45"/>
  <c r="H309" i="43"/>
  <c r="AF306" i="45"/>
  <c r="H263" i="43"/>
  <c r="AF260" i="45"/>
  <c r="H235" i="43"/>
  <c r="AF232" i="45"/>
  <c r="H296" i="43"/>
  <c r="AF293" i="45"/>
  <c r="H248" i="43"/>
  <c r="AF245" i="45"/>
  <c r="H204" i="43"/>
  <c r="AF201" i="45"/>
  <c r="H261" i="43"/>
  <c r="AF258" i="45"/>
  <c r="O240" i="24"/>
  <c r="P240" s="1"/>
  <c r="O192"/>
  <c r="P192" s="1"/>
  <c r="O160"/>
  <c r="P160" s="1"/>
  <c r="O204"/>
  <c r="P204" s="1"/>
  <c r="O232"/>
  <c r="P232" s="1"/>
  <c r="O212"/>
  <c r="P212" s="1"/>
  <c r="O243"/>
  <c r="P243" s="1"/>
  <c r="O227"/>
  <c r="P227" s="1"/>
  <c r="O211"/>
  <c r="P211" s="1"/>
  <c r="O195"/>
  <c r="P195" s="1"/>
  <c r="O179"/>
  <c r="P179" s="1"/>
  <c r="O246"/>
  <c r="P246" s="1"/>
  <c r="O230"/>
  <c r="P230" s="1"/>
  <c r="O214"/>
  <c r="P214" s="1"/>
  <c r="O182"/>
  <c r="P182" s="1"/>
  <c r="O157"/>
  <c r="O233"/>
  <c r="P233" s="1"/>
  <c r="O217"/>
  <c r="P217" s="1"/>
  <c r="O201"/>
  <c r="P201" s="1"/>
  <c r="O185"/>
  <c r="P185" s="1"/>
  <c r="O169"/>
  <c r="P169" s="1"/>
  <c r="O377"/>
  <c r="P377" s="1"/>
  <c r="O361"/>
  <c r="P361" s="1"/>
  <c r="O345"/>
  <c r="P345" s="1"/>
  <c r="O329"/>
  <c r="P329" s="1"/>
  <c r="O380"/>
  <c r="P380" s="1"/>
  <c r="AG380" s="1"/>
  <c r="O378"/>
  <c r="P378" s="1"/>
  <c r="O362"/>
  <c r="P362" s="1"/>
  <c r="O346"/>
  <c r="P346" s="1"/>
  <c r="O330"/>
  <c r="P330" s="1"/>
  <c r="O312"/>
  <c r="P312" s="1"/>
  <c r="O288"/>
  <c r="P288" s="1"/>
  <c r="O272"/>
  <c r="P272" s="1"/>
  <c r="O279"/>
  <c r="P279" s="1"/>
  <c r="O263"/>
  <c r="P263" s="1"/>
  <c r="O282"/>
  <c r="P282" s="1"/>
  <c r="O266"/>
  <c r="P266" s="1"/>
  <c r="Y144"/>
  <c r="Z144" s="1"/>
  <c r="H214" i="43"/>
  <c r="AF211" i="45"/>
  <c r="AF327"/>
  <c r="H330" i="43"/>
  <c r="H274"/>
  <c r="AF271" i="45"/>
  <c r="H190" i="43"/>
  <c r="AF187" i="45"/>
  <c r="H308" i="43"/>
  <c r="AF305" i="45"/>
  <c r="H238" i="43"/>
  <c r="AF235" i="45"/>
  <c r="H275" i="43"/>
  <c r="AF272" i="45"/>
  <c r="AF369"/>
  <c r="H372" i="43"/>
  <c r="H356"/>
  <c r="AF353" i="45"/>
  <c r="H359" i="43"/>
  <c r="AF356" i="45"/>
  <c r="H179" i="43"/>
  <c r="AF176" i="45"/>
  <c r="H231" i="43"/>
  <c r="AF228" i="45"/>
  <c r="H203" i="43"/>
  <c r="AF200" i="45"/>
  <c r="H315" i="43"/>
  <c r="AF312" i="45"/>
  <c r="H169" i="43"/>
  <c r="AF166" i="45"/>
  <c r="H289" i="43"/>
  <c r="AF286" i="45"/>
  <c r="H370" i="43"/>
  <c r="AF367" i="45"/>
  <c r="H381" i="43"/>
  <c r="AF378" i="45"/>
  <c r="H363" i="43"/>
  <c r="AF360" i="45"/>
  <c r="H352" i="43"/>
  <c r="AF349" i="45"/>
  <c r="H215" i="43"/>
  <c r="AF212" i="45"/>
  <c r="H313" i="43"/>
  <c r="AF310" i="45"/>
  <c r="H314" i="43"/>
  <c r="AF311" i="45"/>
  <c r="H220" i="43"/>
  <c r="AF217" i="45"/>
  <c r="H273" i="43"/>
  <c r="AF270" i="45"/>
  <c r="AF373"/>
  <c r="H376" i="43"/>
  <c r="M333"/>
  <c r="N333" s="1"/>
  <c r="H333"/>
  <c r="AF330" i="45"/>
  <c r="AF364"/>
  <c r="H367" i="43"/>
  <c r="H195"/>
  <c r="AF192" i="45"/>
  <c r="H239" i="43"/>
  <c r="AF236" i="45"/>
  <c r="M330" i="43"/>
  <c r="N330" s="1"/>
  <c r="DM379"/>
  <c r="DN379" s="1"/>
  <c r="DM366"/>
  <c r="DN366" s="1"/>
  <c r="DM358"/>
  <c r="DN358" s="1"/>
  <c r="DM342"/>
  <c r="DN342" s="1"/>
  <c r="DM374"/>
  <c r="DN374" s="1"/>
  <c r="DM338"/>
  <c r="DN338" s="1"/>
  <c r="DM330"/>
  <c r="DN330" s="1"/>
  <c r="DM322"/>
  <c r="DN322" s="1"/>
  <c r="DM314"/>
  <c r="DN314" s="1"/>
  <c r="DM295"/>
  <c r="DN295" s="1"/>
  <c r="DM383"/>
  <c r="DN383" s="1"/>
  <c r="DM339"/>
  <c r="DN339" s="1"/>
  <c r="DM327"/>
  <c r="DN327" s="1"/>
  <c r="DM319"/>
  <c r="DN319" s="1"/>
  <c r="DM311"/>
  <c r="DN311" s="1"/>
  <c r="DM304"/>
  <c r="DN304" s="1"/>
  <c r="DM276"/>
  <c r="DN276" s="1"/>
  <c r="DM264"/>
  <c r="DN264" s="1"/>
  <c r="DM260"/>
  <c r="DN260" s="1"/>
  <c r="DM256"/>
  <c r="DN256" s="1"/>
  <c r="DM252"/>
  <c r="DN252" s="1"/>
  <c r="DM212"/>
  <c r="DN212" s="1"/>
  <c r="DM208"/>
  <c r="DN208" s="1"/>
  <c r="DM204"/>
  <c r="DN204" s="1"/>
  <c r="DM200"/>
  <c r="DN200" s="1"/>
  <c r="DM196"/>
  <c r="DN196" s="1"/>
  <c r="DM188"/>
  <c r="DN188" s="1"/>
  <c r="DM184"/>
  <c r="DN184" s="1"/>
  <c r="DM176"/>
  <c r="DN176" s="1"/>
  <c r="DM172"/>
  <c r="DN172" s="1"/>
  <c r="DM266"/>
  <c r="DN266" s="1"/>
  <c r="DM246"/>
  <c r="DN246" s="1"/>
  <c r="DM222"/>
  <c r="DN222" s="1"/>
  <c r="DM218"/>
  <c r="DN218" s="1"/>
  <c r="DM190"/>
  <c r="DN190" s="1"/>
  <c r="DM301"/>
  <c r="DN301" s="1"/>
  <c r="DM293"/>
  <c r="DN293" s="1"/>
  <c r="DM273"/>
  <c r="DN273" s="1"/>
  <c r="DM197"/>
  <c r="DN197" s="1"/>
  <c r="DM193"/>
  <c r="DN193" s="1"/>
  <c r="DM189"/>
  <c r="DN189" s="1"/>
  <c r="DM305"/>
  <c r="DN305" s="1"/>
  <c r="DM289"/>
  <c r="DN289" s="1"/>
  <c r="DM253"/>
  <c r="DN253" s="1"/>
  <c r="DM245"/>
  <c r="DN245" s="1"/>
  <c r="DM217"/>
  <c r="DN217" s="1"/>
  <c r="DM209"/>
  <c r="DN209" s="1"/>
  <c r="DM205"/>
  <c r="DN205" s="1"/>
  <c r="DM201"/>
  <c r="DN201" s="1"/>
  <c r="DM161"/>
  <c r="DN161" s="1"/>
  <c r="T385" i="24"/>
  <c r="V385" s="1"/>
  <c r="W385" s="1"/>
  <c r="BP385" s="1"/>
  <c r="DY385" i="43"/>
  <c r="T381" i="24"/>
  <c r="V381" s="1"/>
  <c r="W381" s="1"/>
  <c r="BP381" s="1"/>
  <c r="DY381" i="43"/>
  <c r="BI385" i="24"/>
  <c r="T379"/>
  <c r="V379" s="1"/>
  <c r="W379" s="1"/>
  <c r="BP379" s="1"/>
  <c r="DY379" i="43"/>
  <c r="AC370" i="24"/>
  <c r="DZ370" i="43"/>
  <c r="T363" i="24"/>
  <c r="V363" s="1"/>
  <c r="W363" s="1"/>
  <c r="BP363" s="1"/>
  <c r="DY363" i="43"/>
  <c r="AC354" i="24"/>
  <c r="DZ354" i="43"/>
  <c r="T345" i="24"/>
  <c r="V345" s="1"/>
  <c r="W345" s="1"/>
  <c r="BP345" s="1"/>
  <c r="DY345" i="43"/>
  <c r="AC336" i="24"/>
  <c r="DZ336" i="43"/>
  <c r="T329" i="24"/>
  <c r="V329" s="1"/>
  <c r="W329" s="1"/>
  <c r="BP329" s="1"/>
  <c r="DY329" i="43"/>
  <c r="AC321" i="24"/>
  <c r="DZ321" i="43"/>
  <c r="T314" i="24"/>
  <c r="V314" s="1"/>
  <c r="W314" s="1"/>
  <c r="BP314" s="1"/>
  <c r="AC297"/>
  <c r="DZ297" i="43"/>
  <c r="T286" i="24"/>
  <c r="V286" s="1"/>
  <c r="W286" s="1"/>
  <c r="BP286" s="1"/>
  <c r="DY286" i="43"/>
  <c r="AC377" i="24"/>
  <c r="DZ377" i="43"/>
  <c r="BI376" i="24"/>
  <c r="T370"/>
  <c r="V370" s="1"/>
  <c r="W370" s="1"/>
  <c r="BP370" s="1"/>
  <c r="DY370" i="43"/>
  <c r="AC361" i="24"/>
  <c r="DZ361" i="43"/>
  <c r="DY354"/>
  <c r="T354" i="24"/>
  <c r="V354" s="1"/>
  <c r="W354" s="1"/>
  <c r="BP354" s="1"/>
  <c r="T340"/>
  <c r="V340" s="1"/>
  <c r="W340" s="1"/>
  <c r="BP340" s="1"/>
  <c r="DY340" i="43"/>
  <c r="AC331" i="24"/>
  <c r="DZ331" i="43"/>
  <c r="T324" i="24"/>
  <c r="V324" s="1"/>
  <c r="W324" s="1"/>
  <c r="BP324" s="1"/>
  <c r="DY324" i="43"/>
  <c r="T321" i="24"/>
  <c r="V321" s="1"/>
  <c r="W321" s="1"/>
  <c r="BP321" s="1"/>
  <c r="DY321" i="43"/>
  <c r="AC312" i="24"/>
  <c r="DZ312" i="43"/>
  <c r="BI311" i="24"/>
  <c r="AC293"/>
  <c r="DZ293" i="43"/>
  <c r="AC291" i="24"/>
  <c r="DZ291" i="43"/>
  <c r="AC368" i="24"/>
  <c r="DZ368" i="43"/>
  <c r="T361" i="24"/>
  <c r="V361" s="1"/>
  <c r="W361" s="1"/>
  <c r="BP361" s="1"/>
  <c r="DY361" i="43"/>
  <c r="AC352" i="24"/>
  <c r="DZ352" i="43"/>
  <c r="AC338" i="24"/>
  <c r="DZ338" i="43"/>
  <c r="BI337" i="24"/>
  <c r="T331"/>
  <c r="V331" s="1"/>
  <c r="W331" s="1"/>
  <c r="BP331" s="1"/>
  <c r="DY331" i="43"/>
  <c r="AC322" i="24"/>
  <c r="DZ322" i="43"/>
  <c r="T316" i="24"/>
  <c r="V316" s="1"/>
  <c r="W316" s="1"/>
  <c r="BP316" s="1"/>
  <c r="DY316" i="43"/>
  <c r="AC305" i="24"/>
  <c r="DZ305" i="43"/>
  <c r="T294" i="24"/>
  <c r="V294" s="1"/>
  <c r="W294" s="1"/>
  <c r="BP294" s="1"/>
  <c r="DY294" i="43"/>
  <c r="AC371" i="24"/>
  <c r="DZ371" i="43"/>
  <c r="BI370" i="24"/>
  <c r="T364"/>
  <c r="V364" s="1"/>
  <c r="W364" s="1"/>
  <c r="BP364" s="1"/>
  <c r="DY364" i="43"/>
  <c r="AC355" i="24"/>
  <c r="DZ355" i="43"/>
  <c r="T346" i="24"/>
  <c r="V346" s="1"/>
  <c r="W346" s="1"/>
  <c r="BP346" s="1"/>
  <c r="BI338"/>
  <c r="AC337"/>
  <c r="DZ337" i="43"/>
  <c r="T330" i="24"/>
  <c r="V330" s="1"/>
  <c r="W330" s="1"/>
  <c r="BP330" s="1"/>
  <c r="BI321"/>
  <c r="T315"/>
  <c r="V315" s="1"/>
  <c r="W315" s="1"/>
  <c r="BP315" s="1"/>
  <c r="AH315" s="1"/>
  <c r="DY315" i="43"/>
  <c r="BI307" i="24"/>
  <c r="T306"/>
  <c r="V306" s="1"/>
  <c r="W306" s="1"/>
  <c r="BP306" s="1"/>
  <c r="DY306" i="43"/>
  <c r="AC294" i="24"/>
  <c r="DZ294" i="43"/>
  <c r="T287" i="24"/>
  <c r="V287" s="1"/>
  <c r="W287" s="1"/>
  <c r="BP287" s="1"/>
  <c r="DY287" i="43"/>
  <c r="AC278" i="24"/>
  <c r="DZ278" i="43"/>
  <c r="T273" i="24"/>
  <c r="V273" s="1"/>
  <c r="W273" s="1"/>
  <c r="BP273" s="1"/>
  <c r="DY273" i="43"/>
  <c r="AC264" i="24"/>
  <c r="DZ264" i="43"/>
  <c r="BI263" i="24"/>
  <c r="T257"/>
  <c r="V257" s="1"/>
  <c r="W257" s="1"/>
  <c r="BP257" s="1"/>
  <c r="DY257" i="43"/>
  <c r="AC252" i="24"/>
  <c r="DZ252" i="43"/>
  <c r="T206" i="24"/>
  <c r="V206" s="1"/>
  <c r="W206" s="1"/>
  <c r="BP206" s="1"/>
  <c r="DY206" i="43"/>
  <c r="AC281" i="24"/>
  <c r="DZ281" i="43"/>
  <c r="T272" i="24"/>
  <c r="V272" s="1"/>
  <c r="W272" s="1"/>
  <c r="BP272" s="1"/>
  <c r="AC263"/>
  <c r="DZ263" i="43"/>
  <c r="T256" i="24"/>
  <c r="V256" s="1"/>
  <c r="W256" s="1"/>
  <c r="BP256" s="1"/>
  <c r="DY256" i="43"/>
  <c r="AC254" i="24"/>
  <c r="DZ254" i="43"/>
  <c r="AC209" i="24"/>
  <c r="DZ209" i="43"/>
  <c r="AC304" i="24"/>
  <c r="DZ304" i="43"/>
  <c r="T297" i="24"/>
  <c r="V297" s="1"/>
  <c r="W297" s="1"/>
  <c r="BP297" s="1"/>
  <c r="DY297" i="43"/>
  <c r="AC288" i="24"/>
  <c r="DZ288" i="43"/>
  <c r="BI287" i="24"/>
  <c r="T281"/>
  <c r="V281" s="1"/>
  <c r="W281" s="1"/>
  <c r="BP281" s="1"/>
  <c r="DY281" i="43"/>
  <c r="AC274" i="24"/>
  <c r="DZ274" i="43"/>
  <c r="BI273" i="24"/>
  <c r="T267"/>
  <c r="V267" s="1"/>
  <c r="W267" s="1"/>
  <c r="BP267" s="1"/>
  <c r="DY267" i="43"/>
  <c r="AC258" i="24"/>
  <c r="DZ258" i="43"/>
  <c r="C9" i="22"/>
  <c r="G9" s="1"/>
  <c r="BI257" i="24"/>
  <c r="T251"/>
  <c r="V251" s="1"/>
  <c r="W251" s="1"/>
  <c r="BP251" s="1"/>
  <c r="DY251" i="43"/>
  <c r="AC205" i="24"/>
  <c r="DZ205" i="43"/>
  <c r="AC283" i="24"/>
  <c r="DZ283" i="43"/>
  <c r="BI282" i="24"/>
  <c r="T274"/>
  <c r="V274" s="1"/>
  <c r="W274" s="1"/>
  <c r="BP274" s="1"/>
  <c r="AC265"/>
  <c r="DZ265" i="43"/>
  <c r="BI264" i="24"/>
  <c r="T258"/>
  <c r="V258" s="1"/>
  <c r="W258" s="1"/>
  <c r="BP258" s="1"/>
  <c r="DY258" i="43"/>
  <c r="AC250" i="24"/>
  <c r="DZ250" i="43"/>
  <c r="AC217" i="24"/>
  <c r="DZ217" i="43"/>
  <c r="T238" i="24"/>
  <c r="V238" s="1"/>
  <c r="W238" s="1"/>
  <c r="BP238" s="1"/>
  <c r="DY238" i="43"/>
  <c r="T234" i="24"/>
  <c r="V234" s="1"/>
  <c r="W234" s="1"/>
  <c r="BP234" s="1"/>
  <c r="T230"/>
  <c r="V230" s="1"/>
  <c r="W230" s="1"/>
  <c r="BP230" s="1"/>
  <c r="DY230" i="43"/>
  <c r="AC253" i="24"/>
  <c r="DZ253" i="43"/>
  <c r="BI252" i="24"/>
  <c r="AC233"/>
  <c r="DZ233" i="43"/>
  <c r="BI231" i="24"/>
  <c r="AC210"/>
  <c r="DZ210" i="43"/>
  <c r="T203" i="24"/>
  <c r="V203" s="1"/>
  <c r="W203" s="1"/>
  <c r="BP203" s="1"/>
  <c r="DY203" i="43"/>
  <c r="T199" i="24"/>
  <c r="V199" s="1"/>
  <c r="W199" s="1"/>
  <c r="BP199" s="1"/>
  <c r="DY199" i="43"/>
  <c r="AC157" i="24"/>
  <c r="DZ157" i="43"/>
  <c r="C9" i="44"/>
  <c r="C13"/>
  <c r="AC224" i="24"/>
  <c r="DZ224" i="43"/>
  <c r="BI223" i="24"/>
  <c r="T217"/>
  <c r="V217" s="1"/>
  <c r="W217" s="1"/>
  <c r="BP217" s="1"/>
  <c r="AG217" s="1"/>
  <c r="DY217" i="43"/>
  <c r="AC208" i="24"/>
  <c r="DZ208" i="43"/>
  <c r="AC196" i="24"/>
  <c r="DZ196" i="43"/>
  <c r="AC192" i="24"/>
  <c r="DZ192" i="43"/>
  <c r="AC188" i="24"/>
  <c r="DZ188" i="43"/>
  <c r="T232" i="24"/>
  <c r="V232" s="1"/>
  <c r="W232" s="1"/>
  <c r="BP232" s="1"/>
  <c r="AC223"/>
  <c r="DZ223" i="43"/>
  <c r="BI222" i="24"/>
  <c r="T216"/>
  <c r="V216" s="1"/>
  <c r="W216" s="1"/>
  <c r="BP216" s="1"/>
  <c r="AG216" s="1"/>
  <c r="DY216" i="43"/>
  <c r="AC207" i="24"/>
  <c r="DZ207" i="43"/>
  <c r="BI206" i="24"/>
  <c r="AC176"/>
  <c r="DZ176" i="43"/>
  <c r="Y175" i="24" s="1"/>
  <c r="Z175" s="1"/>
  <c r="T173"/>
  <c r="V173" s="1"/>
  <c r="W173" s="1"/>
  <c r="DY173" i="43"/>
  <c r="T200" i="24"/>
  <c r="V200" s="1"/>
  <c r="W200" s="1"/>
  <c r="DY200" i="43"/>
  <c r="BI197" i="24"/>
  <c r="AC180"/>
  <c r="DZ180" i="43"/>
  <c r="T177" i="24"/>
  <c r="V177" s="1"/>
  <c r="W177" s="1"/>
  <c r="DY177" i="43"/>
  <c r="AC193" i="24"/>
  <c r="DZ193" i="43"/>
  <c r="BI192" i="24"/>
  <c r="T186"/>
  <c r="V186" s="1"/>
  <c r="W186" s="1"/>
  <c r="BP186" s="1"/>
  <c r="T182"/>
  <c r="V182" s="1"/>
  <c r="W182" s="1"/>
  <c r="BP182" s="1"/>
  <c r="AC177"/>
  <c r="DZ177" i="43"/>
  <c r="T176" i="24"/>
  <c r="V176" s="1"/>
  <c r="W176" s="1"/>
  <c r="BP176" s="1"/>
  <c r="AH176" s="1"/>
  <c r="DY176" i="43"/>
  <c r="AC168" i="24"/>
  <c r="DZ168" i="43"/>
  <c r="AC164" i="24"/>
  <c r="DZ164" i="43"/>
  <c r="AC162" i="24"/>
  <c r="DZ162" i="43"/>
  <c r="T196" i="24"/>
  <c r="V196" s="1"/>
  <c r="W196" s="1"/>
  <c r="BP196" s="1"/>
  <c r="AH196" s="1"/>
  <c r="DY196" i="43"/>
  <c r="AC187" i="24"/>
  <c r="DZ187" i="43"/>
  <c r="BI186" i="24"/>
  <c r="AC159"/>
  <c r="DZ159" i="43"/>
  <c r="T165" i="24"/>
  <c r="V165" s="1"/>
  <c r="W165" s="1"/>
  <c r="BP165" s="1"/>
  <c r="AC158"/>
  <c r="DZ158" i="43"/>
  <c r="AC182" i="24"/>
  <c r="DZ182" i="43"/>
  <c r="BI181" i="24"/>
  <c r="T175"/>
  <c r="V175" s="1"/>
  <c r="W175" s="1"/>
  <c r="BP175" s="1"/>
  <c r="DY175" i="43"/>
  <c r="BI167" i="24"/>
  <c r="M120" i="43"/>
  <c r="N120" s="1"/>
  <c r="AF117" i="45"/>
  <c r="H120" i="43"/>
  <c r="H283"/>
  <c r="AF280" i="45"/>
  <c r="H236" i="43"/>
  <c r="AF233" i="45"/>
  <c r="H374" i="43"/>
  <c r="AF371" i="45"/>
  <c r="H242" i="43"/>
  <c r="AF239" i="45"/>
  <c r="H355" i="43"/>
  <c r="AF352" i="45"/>
  <c r="H328" i="43"/>
  <c r="AF325" i="45"/>
  <c r="H340" i="43"/>
  <c r="AF337" i="45"/>
  <c r="M196" i="43"/>
  <c r="H196"/>
  <c r="AF193" i="45"/>
  <c r="H342" i="43"/>
  <c r="AF339" i="45"/>
  <c r="H295" i="43"/>
  <c r="AF292" i="45"/>
  <c r="H168" i="43"/>
  <c r="AF165" i="45"/>
  <c r="DY182" i="43"/>
  <c r="DY272"/>
  <c r="M337"/>
  <c r="N337" s="1"/>
  <c r="M214"/>
  <c r="N214" s="1"/>
  <c r="M338"/>
  <c r="N338" s="1"/>
  <c r="M306"/>
  <c r="N306" s="1"/>
  <c r="M169"/>
  <c r="N169" s="1"/>
  <c r="M297"/>
  <c r="N297" s="1"/>
  <c r="M235"/>
  <c r="N235" s="1"/>
  <c r="M375"/>
  <c r="N375" s="1"/>
  <c r="M203"/>
  <c r="N203" s="1"/>
  <c r="M261"/>
  <c r="N261" s="1"/>
  <c r="M327"/>
  <c r="N327" s="1"/>
  <c r="M363"/>
  <c r="N363" s="1"/>
  <c r="M373"/>
  <c r="N373" s="1"/>
  <c r="M275"/>
  <c r="N275" s="1"/>
  <c r="H9"/>
  <c r="AF6" i="45"/>
  <c r="M9" i="43"/>
  <c r="N9" s="1"/>
  <c r="Y78" i="24"/>
  <c r="Z78" s="1"/>
  <c r="P78"/>
  <c r="BP10"/>
  <c r="Y10"/>
  <c r="Z10" s="1"/>
  <c r="Y137"/>
  <c r="Z137" s="1"/>
  <c r="BP137"/>
  <c r="Y132"/>
  <c r="Z132" s="1"/>
  <c r="H271" i="43"/>
  <c r="AF268" i="45"/>
  <c r="H240" i="43"/>
  <c r="AF237" i="45"/>
  <c r="H380" i="43"/>
  <c r="AF377" i="45"/>
  <c r="H300" i="43"/>
  <c r="AF297" i="45"/>
  <c r="AF229"/>
  <c r="H232" i="43"/>
  <c r="H183"/>
  <c r="AF180" i="45"/>
  <c r="H237" i="43"/>
  <c r="AF234" i="45"/>
  <c r="H351" i="43"/>
  <c r="AF348" i="45"/>
  <c r="H285" i="43"/>
  <c r="AF282" i="45"/>
  <c r="H198" i="43"/>
  <c r="AF195" i="45"/>
  <c r="DM8" i="43"/>
  <c r="DN8" s="1"/>
  <c r="GG8"/>
  <c r="GF8" s="1"/>
  <c r="GB8" s="1"/>
  <c r="O223" i="24"/>
  <c r="P223" s="1"/>
  <c r="O207"/>
  <c r="P207" s="1"/>
  <c r="O226"/>
  <c r="P226" s="1"/>
  <c r="O210"/>
  <c r="P210" s="1"/>
  <c r="O194"/>
  <c r="P194" s="1"/>
  <c r="O164"/>
  <c r="P164" s="1"/>
  <c r="P79"/>
  <c r="Y79"/>
  <c r="Z79" s="1"/>
  <c r="P84"/>
  <c r="Y84"/>
  <c r="Z84" s="1"/>
  <c r="H234" i="43"/>
  <c r="AF231" i="45"/>
  <c r="H362" i="43"/>
  <c r="AF359" i="45"/>
  <c r="H213" i="43"/>
  <c r="AF210" i="45"/>
  <c r="H332" i="43"/>
  <c r="AF329" i="45"/>
  <c r="H251" i="43"/>
  <c r="AF248" i="45"/>
  <c r="H191" i="43"/>
  <c r="AF188" i="45"/>
  <c r="AF350"/>
  <c r="H353" i="43"/>
  <c r="H170"/>
  <c r="AF167" i="45"/>
  <c r="H201" i="43"/>
  <c r="AF198" i="45"/>
  <c r="H221" i="43"/>
  <c r="AF218" i="45"/>
  <c r="M228" i="43"/>
  <c r="N228" s="1"/>
  <c r="H177"/>
  <c r="AF174" i="45"/>
  <c r="H325" i="43"/>
  <c r="AF322" i="45"/>
  <c r="H200" i="43"/>
  <c r="AF197" i="45"/>
  <c r="H331" i="43"/>
  <c r="AF328" i="45"/>
  <c r="H172" i="43"/>
  <c r="AF169" i="45"/>
  <c r="H317" i="43"/>
  <c r="AF314" i="45"/>
  <c r="H254" i="43"/>
  <c r="AF251" i="45"/>
  <c r="H180" i="43"/>
  <c r="AF177" i="45"/>
  <c r="H312" i="43"/>
  <c r="AF309" i="45"/>
  <c r="H224" i="43"/>
  <c r="AF221" i="45"/>
  <c r="H301" i="43"/>
  <c r="AF298" i="45"/>
  <c r="H197" i="43"/>
  <c r="AF194" i="45"/>
  <c r="H164" i="43"/>
  <c r="AF161" i="45"/>
  <c r="H339" i="43"/>
  <c r="AF336" i="45"/>
  <c r="H233" i="43"/>
  <c r="AF230" i="45"/>
  <c r="M378" i="43"/>
  <c r="N378" s="1"/>
  <c r="M192"/>
  <c r="N192" s="1"/>
  <c r="DM349"/>
  <c r="DN349" s="1"/>
  <c r="DM345"/>
  <c r="DN345" s="1"/>
  <c r="DM337"/>
  <c r="DN337" s="1"/>
  <c r="DM378"/>
  <c r="DN378" s="1"/>
  <c r="DM362"/>
  <c r="DN362" s="1"/>
  <c r="DM354"/>
  <c r="DN354" s="1"/>
  <c r="DM350"/>
  <c r="DN350" s="1"/>
  <c r="DM346"/>
  <c r="DN346" s="1"/>
  <c r="DM310"/>
  <c r="DN310" s="1"/>
  <c r="DM288"/>
  <c r="DN288" s="1"/>
  <c r="DM296"/>
  <c r="DN296" s="1"/>
  <c r="DM284"/>
  <c r="DN284" s="1"/>
  <c r="DM280"/>
  <c r="DN280" s="1"/>
  <c r="DM272"/>
  <c r="DN272" s="1"/>
  <c r="DM228"/>
  <c r="DN228" s="1"/>
  <c r="DM192"/>
  <c r="DN192" s="1"/>
  <c r="DM180"/>
  <c r="DN180" s="1"/>
  <c r="DM164"/>
  <c r="DN164" s="1"/>
  <c r="AC380" i="24"/>
  <c r="DZ380" i="43"/>
  <c r="DY384"/>
  <c r="T384" i="24"/>
  <c r="V384" s="1"/>
  <c r="W384" s="1"/>
  <c r="BP384" s="1"/>
  <c r="T383"/>
  <c r="V383" s="1"/>
  <c r="W383" s="1"/>
  <c r="BP383" s="1"/>
  <c r="DY383" i="43"/>
  <c r="AC374" i="24"/>
  <c r="DZ374" i="43"/>
  <c r="T367" i="24"/>
  <c r="V367" s="1"/>
  <c r="W367" s="1"/>
  <c r="BP367" s="1"/>
  <c r="DY367" i="43"/>
  <c r="AC358" i="24"/>
  <c r="DZ358" i="43"/>
  <c r="T351" i="24"/>
  <c r="V351" s="1"/>
  <c r="W351" s="1"/>
  <c r="BP351" s="1"/>
  <c r="DY351" i="43"/>
  <c r="T348" i="24"/>
  <c r="V348" s="1"/>
  <c r="W348" s="1"/>
  <c r="BP348" s="1"/>
  <c r="DY348" i="43"/>
  <c r="AC340" i="24"/>
  <c r="DZ340" i="43"/>
  <c r="T333" i="24"/>
  <c r="V333" s="1"/>
  <c r="W333" s="1"/>
  <c r="BP333" s="1"/>
  <c r="DY333" i="43"/>
  <c r="AC324" i="24"/>
  <c r="DZ324" i="43"/>
  <c r="AC309" i="24"/>
  <c r="DZ309" i="43"/>
  <c r="T308" i="24"/>
  <c r="V308" s="1"/>
  <c r="W308" s="1"/>
  <c r="BP308" s="1"/>
  <c r="DY308" i="43"/>
  <c r="AC381" i="24"/>
  <c r="DZ381" i="43"/>
  <c r="T374" i="24"/>
  <c r="V374" s="1"/>
  <c r="W374" s="1"/>
  <c r="BP374" s="1"/>
  <c r="DY374" i="43"/>
  <c r="AC365" i="24"/>
  <c r="DZ365" i="43"/>
  <c r="T358" i="24"/>
  <c r="V358" s="1"/>
  <c r="W358" s="1"/>
  <c r="BP358" s="1"/>
  <c r="DY358" i="43"/>
  <c r="AC349" i="24"/>
  <c r="DZ349" i="43"/>
  <c r="C20" i="44"/>
  <c r="T344" i="24"/>
  <c r="V344" s="1"/>
  <c r="W344" s="1"/>
  <c r="BP344" s="1"/>
  <c r="DY344" i="43"/>
  <c r="AC335" i="24"/>
  <c r="DZ335" i="43"/>
  <c r="AC316" i="24"/>
  <c r="DZ316" i="43"/>
  <c r="T307" i="24"/>
  <c r="V307" s="1"/>
  <c r="W307" s="1"/>
  <c r="BP307" s="1"/>
  <c r="DY307" i="43"/>
  <c r="T304" i="24"/>
  <c r="V304" s="1"/>
  <c r="W304" s="1"/>
  <c r="BP304" s="1"/>
  <c r="DY304" i="43"/>
  <c r="AC372" i="24"/>
  <c r="DZ372" i="43"/>
  <c r="T365" i="24"/>
  <c r="V365" s="1"/>
  <c r="W365" s="1"/>
  <c r="BP365" s="1"/>
  <c r="DY365" i="43"/>
  <c r="AC356" i="24"/>
  <c r="DZ356" i="43"/>
  <c r="T349" i="24"/>
  <c r="V349" s="1"/>
  <c r="W349" s="1"/>
  <c r="DY349" i="43"/>
  <c r="AC342" i="24"/>
  <c r="DZ342" i="43"/>
  <c r="BI341" i="24"/>
  <c r="T335"/>
  <c r="V335" s="1"/>
  <c r="W335" s="1"/>
  <c r="BP335" s="1"/>
  <c r="DY335" i="43"/>
  <c r="AC326" i="24"/>
  <c r="DZ326" i="43"/>
  <c r="BI325" i="24"/>
  <c r="T320"/>
  <c r="V320" s="1"/>
  <c r="W320" s="1"/>
  <c r="BP320" s="1"/>
  <c r="AC311"/>
  <c r="DZ311" i="43"/>
  <c r="BI310" i="24"/>
  <c r="T368"/>
  <c r="V368" s="1"/>
  <c r="W368" s="1"/>
  <c r="BP368" s="1"/>
  <c r="DY368" i="43"/>
  <c r="AC359" i="24"/>
  <c r="DZ359" i="43"/>
  <c r="T352" i="24"/>
  <c r="V352" s="1"/>
  <c r="W352" s="1"/>
  <c r="BP352" s="1"/>
  <c r="DY352" i="43"/>
  <c r="AC341" i="24"/>
  <c r="DZ341" i="43"/>
  <c r="T334" i="24"/>
  <c r="V334" s="1"/>
  <c r="W334" s="1"/>
  <c r="BP334" s="1"/>
  <c r="AC325"/>
  <c r="DZ325" i="43"/>
  <c r="T319" i="24"/>
  <c r="V319" s="1"/>
  <c r="W319" s="1"/>
  <c r="DY319" i="43"/>
  <c r="AC310" i="24"/>
  <c r="DZ310" i="43"/>
  <c r="AC301" i="24"/>
  <c r="DZ301" i="43"/>
  <c r="T291" i="24"/>
  <c r="V291" s="1"/>
  <c r="W291" s="1"/>
  <c r="BP291" s="1"/>
  <c r="DY291" i="43"/>
  <c r="AC282" i="24"/>
  <c r="DZ282" i="43"/>
  <c r="AC268" i="24"/>
  <c r="DZ268" i="43"/>
  <c r="T261" i="24"/>
  <c r="V261" s="1"/>
  <c r="W261" s="1"/>
  <c r="BP261" s="1"/>
  <c r="DY261" i="43"/>
  <c r="AC285" i="24"/>
  <c r="DZ285" i="43"/>
  <c r="T278" i="24"/>
  <c r="V278" s="1"/>
  <c r="W278" s="1"/>
  <c r="BP278" s="1"/>
  <c r="DY278" i="43"/>
  <c r="T276" i="24"/>
  <c r="V276" s="1"/>
  <c r="W276" s="1"/>
  <c r="BP276" s="1"/>
  <c r="AC267"/>
  <c r="DZ267" i="43"/>
  <c r="T260" i="24"/>
  <c r="V260" s="1"/>
  <c r="W260" s="1"/>
  <c r="BP260" s="1"/>
  <c r="DY260" i="43"/>
  <c r="T233" i="24"/>
  <c r="V233" s="1"/>
  <c r="W233" s="1"/>
  <c r="BP233" s="1"/>
  <c r="AH233" s="1"/>
  <c r="DY233" i="43"/>
  <c r="T202" i="24"/>
  <c r="V202" s="1"/>
  <c r="W202" s="1"/>
  <c r="BP202" s="1"/>
  <c r="DY202" i="43"/>
  <c r="AC308" i="24"/>
  <c r="DZ308" i="43"/>
  <c r="T301" i="24"/>
  <c r="V301" s="1"/>
  <c r="W301" s="1"/>
  <c r="BP301" s="1"/>
  <c r="AC292"/>
  <c r="DZ292" i="43"/>
  <c r="DZ277"/>
  <c r="AC277" i="24"/>
  <c r="T271"/>
  <c r="V271" s="1"/>
  <c r="W271" s="1"/>
  <c r="BP271" s="1"/>
  <c r="DY271" i="43"/>
  <c r="AC262" i="24"/>
  <c r="DZ262" i="43"/>
  <c r="T214" i="24"/>
  <c r="V214" s="1"/>
  <c r="W214" s="1"/>
  <c r="BP214" s="1"/>
  <c r="DY214" i="43"/>
  <c r="AC287" i="24"/>
  <c r="DZ287" i="43"/>
  <c r="BI286" i="24"/>
  <c r="T280"/>
  <c r="V280" s="1"/>
  <c r="W280" s="1"/>
  <c r="BP280" s="1"/>
  <c r="DY280" i="43"/>
  <c r="T277" i="24"/>
  <c r="V277" s="1"/>
  <c r="W277" s="1"/>
  <c r="BP277" s="1"/>
  <c r="AC269"/>
  <c r="DZ269" i="43"/>
  <c r="BI268" i="24"/>
  <c r="T262"/>
  <c r="V262" s="1"/>
  <c r="W262" s="1"/>
  <c r="BP262" s="1"/>
  <c r="BI255"/>
  <c r="T231"/>
  <c r="V231" s="1"/>
  <c r="W231" s="1"/>
  <c r="BP231" s="1"/>
  <c r="DY231" i="43"/>
  <c r="AC251" i="24"/>
  <c r="DZ251" i="43"/>
  <c r="AC226" i="24"/>
  <c r="DZ226" i="43"/>
  <c r="AC222" i="24"/>
  <c r="DZ222" i="43"/>
  <c r="AC218" i="24"/>
  <c r="DZ218" i="43"/>
  <c r="Y217" i="24" s="1"/>
  <c r="Z217" s="1"/>
  <c r="T250"/>
  <c r="V250" s="1"/>
  <c r="W250" s="1"/>
  <c r="BP250" s="1"/>
  <c r="DY250" i="43"/>
  <c r="T248" i="24"/>
  <c r="V248" s="1"/>
  <c r="W248" s="1"/>
  <c r="BP248" s="1"/>
  <c r="DY248" i="43"/>
  <c r="T247" i="24"/>
  <c r="V247" s="1"/>
  <c r="W247" s="1"/>
  <c r="BP247" s="1"/>
  <c r="DY247" i="43"/>
  <c r="T246" i="24"/>
  <c r="V246" s="1"/>
  <c r="W246" s="1"/>
  <c r="BP246" s="1"/>
  <c r="DY246" i="43"/>
  <c r="T245" i="24"/>
  <c r="V245" s="1"/>
  <c r="W245" s="1"/>
  <c r="BP245" s="1"/>
  <c r="DY245" i="43"/>
  <c r="T244" i="24"/>
  <c r="V244" s="1"/>
  <c r="W244" s="1"/>
  <c r="BP244" s="1"/>
  <c r="DY244" i="43"/>
  <c r="T243" i="24"/>
  <c r="V243" s="1"/>
  <c r="W243" s="1"/>
  <c r="BP243" s="1"/>
  <c r="DY243" i="43"/>
  <c r="T242" i="24"/>
  <c r="V242" s="1"/>
  <c r="W242" s="1"/>
  <c r="BP242" s="1"/>
  <c r="T241"/>
  <c r="V241" s="1"/>
  <c r="W241" s="1"/>
  <c r="BP241" s="1"/>
  <c r="DY241" i="43"/>
  <c r="T240" i="24"/>
  <c r="V240" s="1"/>
  <c r="W240" s="1"/>
  <c r="BP240" s="1"/>
  <c r="AC214"/>
  <c r="DZ214" i="43"/>
  <c r="T207" i="24"/>
  <c r="V207" s="1"/>
  <c r="W207" s="1"/>
  <c r="BP207" s="1"/>
  <c r="DY207" i="43"/>
  <c r="DZ198"/>
  <c r="AC198" i="24"/>
  <c r="AC212"/>
  <c r="DZ212" i="43"/>
  <c r="T205" i="24"/>
  <c r="V205" s="1"/>
  <c r="W205" s="1"/>
  <c r="BP205" s="1"/>
  <c r="DY205" i="43"/>
  <c r="T195" i="24"/>
  <c r="V195" s="1"/>
  <c r="W195" s="1"/>
  <c r="BP195" s="1"/>
  <c r="DY195" i="43"/>
  <c r="T191" i="24"/>
  <c r="V191" s="1"/>
  <c r="W191" s="1"/>
  <c r="BP191" s="1"/>
  <c r="AG191" s="1"/>
  <c r="DY191" i="43"/>
  <c r="T161" i="24"/>
  <c r="V161" s="1"/>
  <c r="W161" s="1"/>
  <c r="BP161" s="1"/>
  <c r="DY161" i="43"/>
  <c r="T236" i="24"/>
  <c r="V236" s="1"/>
  <c r="W236" s="1"/>
  <c r="AC227"/>
  <c r="DZ227" i="43"/>
  <c r="C16" i="44"/>
  <c r="BI226" i="24"/>
  <c r="T220"/>
  <c r="V220" s="1"/>
  <c r="W220" s="1"/>
  <c r="BP220" s="1"/>
  <c r="DY220" i="43"/>
  <c r="AC211" i="24"/>
  <c r="DZ211" i="43"/>
  <c r="Y210" i="24" s="1"/>
  <c r="Z210" s="1"/>
  <c r="BI210"/>
  <c r="T204"/>
  <c r="V204" s="1"/>
  <c r="W204" s="1"/>
  <c r="BP204" s="1"/>
  <c r="DY204" i="43"/>
  <c r="T201" i="24"/>
  <c r="V201" s="1"/>
  <c r="W201" s="1"/>
  <c r="DY201" i="43"/>
  <c r="AC167" i="24"/>
  <c r="DZ167" i="43"/>
  <c r="BI187" i="24"/>
  <c r="AC186"/>
  <c r="DZ186" i="43"/>
  <c r="AC197" i="24"/>
  <c r="DZ197" i="43"/>
  <c r="Y196" i="24" s="1"/>
  <c r="Z196" s="1"/>
  <c r="T190"/>
  <c r="V190" s="1"/>
  <c r="W190" s="1"/>
  <c r="BP190" s="1"/>
  <c r="DY190" i="43"/>
  <c r="AC181" i="24"/>
  <c r="DZ181" i="43"/>
  <c r="T180" i="24"/>
  <c r="V180" s="1"/>
  <c r="W180" s="1"/>
  <c r="DY180" i="43"/>
  <c r="T170" i="24"/>
  <c r="V170" s="1"/>
  <c r="W170" s="1"/>
  <c r="BP170" s="1"/>
  <c r="DY170" i="43"/>
  <c r="AC191" i="24"/>
  <c r="DZ191" i="43"/>
  <c r="Y190" i="24" s="1"/>
  <c r="Z190" s="1"/>
  <c r="T157"/>
  <c r="V157" s="1"/>
  <c r="W157" s="1"/>
  <c r="BP157" s="1"/>
  <c r="DY157" i="43"/>
  <c r="T168" i="24"/>
  <c r="V168" s="1"/>
  <c r="W168" s="1"/>
  <c r="DY168" i="43"/>
  <c r="BI163" i="24"/>
  <c r="T179"/>
  <c r="V179" s="1"/>
  <c r="W179" s="1"/>
  <c r="DY179" i="43"/>
  <c r="AC170" i="24"/>
  <c r="DZ170" i="43"/>
  <c r="BI159" i="24"/>
  <c r="BI158"/>
  <c r="BI157"/>
  <c r="M92" i="43"/>
  <c r="N92" s="1"/>
  <c r="H92"/>
  <c r="AF89" i="45"/>
  <c r="M30" i="43"/>
  <c r="N30" s="1"/>
  <c r="H30"/>
  <c r="AF27" i="45"/>
  <c r="H162" i="43"/>
  <c r="AF159" i="45"/>
  <c r="H264" i="43"/>
  <c r="AF261" i="45"/>
  <c r="H185" i="43"/>
  <c r="AF182" i="45"/>
  <c r="H281" i="43"/>
  <c r="AF278" i="45"/>
  <c r="H226" i="43"/>
  <c r="AF223" i="45"/>
  <c r="AF379"/>
  <c r="H382" i="43"/>
  <c r="K382" s="1"/>
  <c r="M350"/>
  <c r="N350" s="1"/>
  <c r="H350"/>
  <c r="AF347" i="45"/>
  <c r="H357" i="43"/>
  <c r="AF354" i="45"/>
  <c r="H250" i="43"/>
  <c r="AF247" i="45"/>
  <c r="H241" i="43"/>
  <c r="AF238" i="45"/>
  <c r="DY186" i="43"/>
  <c r="DY240"/>
  <c r="M264"/>
  <c r="N264" s="1"/>
  <c r="M234"/>
  <c r="N234" s="1"/>
  <c r="M224"/>
  <c r="N224" s="1"/>
  <c r="M312"/>
  <c r="N312" s="1"/>
  <c r="M359"/>
  <c r="N359" s="1"/>
  <c r="M232"/>
  <c r="N232" s="1"/>
  <c r="M296"/>
  <c r="N296" s="1"/>
  <c r="M168"/>
  <c r="N168" s="1"/>
  <c r="M164"/>
  <c r="N164" s="1"/>
  <c r="M185"/>
  <c r="N185" s="1"/>
  <c r="M279"/>
  <c r="N279" s="1"/>
  <c r="M301"/>
  <c r="N301" s="1"/>
  <c r="M172"/>
  <c r="N172" s="1"/>
  <c r="M177"/>
  <c r="N177" s="1"/>
  <c r="M381"/>
  <c r="N381" s="1"/>
  <c r="N193"/>
  <c r="M325"/>
  <c r="N325" s="1"/>
  <c r="M204"/>
  <c r="N204" s="1"/>
  <c r="M221"/>
  <c r="N221" s="1"/>
  <c r="M352"/>
  <c r="N352" s="1"/>
  <c r="M317"/>
  <c r="N317" s="1"/>
  <c r="Y96" i="24"/>
  <c r="Z96" s="1"/>
  <c r="Y103"/>
  <c r="Z103" s="1"/>
  <c r="BP64"/>
  <c r="Y64"/>
  <c r="Z64" s="1"/>
  <c r="AG124"/>
  <c r="AH83"/>
  <c r="AG196"/>
  <c r="AG40"/>
  <c r="AH191"/>
  <c r="AG108"/>
  <c r="AG65"/>
  <c r="AH216"/>
  <c r="AH67"/>
  <c r="H255" i="43"/>
  <c r="AF252" i="45"/>
  <c r="AF213"/>
  <c r="H216" i="43"/>
  <c r="AF323" i="45"/>
  <c r="H326" i="43"/>
  <c r="H260"/>
  <c r="AF257" i="45"/>
  <c r="AF382"/>
  <c r="H385" i="43"/>
  <c r="K385" s="1"/>
  <c r="H347"/>
  <c r="AF344" i="45"/>
  <c r="H366" i="43"/>
  <c r="AF363" i="45"/>
  <c r="H354" i="43"/>
  <c r="AF351" i="45"/>
  <c r="H178" i="43"/>
  <c r="AF175" i="45"/>
  <c r="H189" i="43"/>
  <c r="AF186" i="45"/>
  <c r="O236" i="24"/>
  <c r="P236" s="1"/>
  <c r="O180"/>
  <c r="P180" s="1"/>
  <c r="O235"/>
  <c r="P235" s="1"/>
  <c r="O219"/>
  <c r="P219" s="1"/>
  <c r="O203"/>
  <c r="P203" s="1"/>
  <c r="O238"/>
  <c r="P238" s="1"/>
  <c r="AH238" s="1"/>
  <c r="O222"/>
  <c r="P222" s="1"/>
  <c r="O206"/>
  <c r="P206" s="1"/>
  <c r="O174"/>
  <c r="P174" s="1"/>
  <c r="O241"/>
  <c r="P241" s="1"/>
  <c r="O193"/>
  <c r="P193" s="1"/>
  <c r="O385"/>
  <c r="O370"/>
  <c r="P370" s="1"/>
  <c r="O354"/>
  <c r="O338"/>
  <c r="Y139"/>
  <c r="Z139" s="1"/>
  <c r="P54"/>
  <c r="Y54"/>
  <c r="Z54" s="1"/>
  <c r="AF277" i="45"/>
  <c r="H280" i="43"/>
  <c r="H161"/>
  <c r="AF158" i="45"/>
  <c r="H307" i="43"/>
  <c r="AF304" i="45"/>
  <c r="AF255"/>
  <c r="H258" i="43"/>
  <c r="H369"/>
  <c r="AF366" i="45"/>
  <c r="H268" i="43"/>
  <c r="AF265" i="45"/>
  <c r="H259" i="43"/>
  <c r="AF256" i="45"/>
  <c r="H245" i="43"/>
  <c r="AF242" i="45"/>
  <c r="H267" i="43"/>
  <c r="AF264" i="45"/>
  <c r="H202" i="43"/>
  <c r="AF199" i="45"/>
  <c r="H176" i="43"/>
  <c r="AF173" i="45"/>
  <c r="H364" i="43"/>
  <c r="AF361" i="45"/>
  <c r="M351" i="43"/>
  <c r="N351" s="1"/>
  <c r="H293"/>
  <c r="AF290" i="45"/>
  <c r="H163" i="43"/>
  <c r="AF160" i="45"/>
  <c r="H321" i="43"/>
  <c r="AF318" i="45"/>
  <c r="H277" i="43"/>
  <c r="AF274" i="45"/>
  <c r="H158" i="43"/>
  <c r="AF155" i="45"/>
  <c r="H208" i="43"/>
  <c r="AF205" i="45"/>
  <c r="H335" i="43"/>
  <c r="AF332" i="45"/>
  <c r="M223" i="43"/>
  <c r="N223" s="1"/>
  <c r="H223"/>
  <c r="AF220" i="45"/>
  <c r="H323" i="43"/>
  <c r="AF320" i="45"/>
  <c r="H303" i="43"/>
  <c r="AF300" i="45"/>
  <c r="H290" i="43"/>
  <c r="AF287" i="45"/>
  <c r="H181" i="43"/>
  <c r="AF178" i="45"/>
  <c r="H344" i="43"/>
  <c r="AF341" i="45"/>
  <c r="H322" i="43"/>
  <c r="AF319" i="45"/>
  <c r="H287" i="43"/>
  <c r="AF284" i="45"/>
  <c r="H246" i="43"/>
  <c r="AF243" i="45"/>
  <c r="H217" i="43"/>
  <c r="AF214" i="45"/>
  <c r="H182" i="43"/>
  <c r="AF179" i="45"/>
  <c r="M181" i="43"/>
  <c r="N181" s="1"/>
  <c r="M161"/>
  <c r="N161" s="1"/>
  <c r="M372"/>
  <c r="N372" s="1"/>
  <c r="M362"/>
  <c r="N362" s="1"/>
  <c r="DM119"/>
  <c r="DN119" s="1"/>
  <c r="DM382"/>
  <c r="DN382" s="1"/>
  <c r="DM377"/>
  <c r="DN377" s="1"/>
  <c r="DM353"/>
  <c r="DN353" s="1"/>
  <c r="DM329"/>
  <c r="DN329" s="1"/>
  <c r="DM321"/>
  <c r="DN321" s="1"/>
  <c r="DM313"/>
  <c r="DN313" s="1"/>
  <c r="DM356"/>
  <c r="DN356" s="1"/>
  <c r="DM328"/>
  <c r="DN328" s="1"/>
  <c r="DM324"/>
  <c r="DN324" s="1"/>
  <c r="DM320"/>
  <c r="DN320" s="1"/>
  <c r="DM316"/>
  <c r="DN316" s="1"/>
  <c r="DM312"/>
  <c r="DN312" s="1"/>
  <c r="DM308"/>
  <c r="DN308" s="1"/>
  <c r="DM373"/>
  <c r="DN373" s="1"/>
  <c r="DM369"/>
  <c r="DN369" s="1"/>
  <c r="DM361"/>
  <c r="DN361" s="1"/>
  <c r="DM302"/>
  <c r="DN302" s="1"/>
  <c r="DM268"/>
  <c r="DN268" s="1"/>
  <c r="DM248"/>
  <c r="DN248" s="1"/>
  <c r="DM240"/>
  <c r="DN240" s="1"/>
  <c r="DM236"/>
  <c r="DN236" s="1"/>
  <c r="DM232"/>
  <c r="DN232" s="1"/>
  <c r="DM168"/>
  <c r="DN168" s="1"/>
  <c r="DM160"/>
  <c r="DN160" s="1"/>
  <c r="DM307"/>
  <c r="DN307" s="1"/>
  <c r="DM291"/>
  <c r="DN291" s="1"/>
  <c r="DM287"/>
  <c r="DN287" s="1"/>
  <c r="DM267"/>
  <c r="DN267" s="1"/>
  <c r="DM251"/>
  <c r="DN251" s="1"/>
  <c r="DM243"/>
  <c r="DN243" s="1"/>
  <c r="DM239"/>
  <c r="DN239" s="1"/>
  <c r="DM235"/>
  <c r="DN235" s="1"/>
  <c r="DM231"/>
  <c r="DN231" s="1"/>
  <c r="DM215"/>
  <c r="DN215" s="1"/>
  <c r="DM195"/>
  <c r="DN195" s="1"/>
  <c r="DM183"/>
  <c r="DN183" s="1"/>
  <c r="DM163"/>
  <c r="DN163" s="1"/>
  <c r="DM303"/>
  <c r="DN303" s="1"/>
  <c r="DM299"/>
  <c r="DN299" s="1"/>
  <c r="DM279"/>
  <c r="DN279" s="1"/>
  <c r="DM275"/>
  <c r="DN275" s="1"/>
  <c r="DM247"/>
  <c r="DN247" s="1"/>
  <c r="DM179"/>
  <c r="DN179" s="1"/>
  <c r="DM171"/>
  <c r="DN171" s="1"/>
  <c r="DM167"/>
  <c r="DN167" s="1"/>
  <c r="AC384" i="24"/>
  <c r="DZ384" i="43"/>
  <c r="AC375" i="24"/>
  <c r="DZ375" i="43"/>
  <c r="T376" i="24"/>
  <c r="V376" s="1"/>
  <c r="W376" s="1"/>
  <c r="BP376" s="1"/>
  <c r="DY376" i="43"/>
  <c r="AC385" i="24"/>
  <c r="DZ385" i="43"/>
  <c r="BI375" i="24"/>
  <c r="AC378"/>
  <c r="DZ378" i="43"/>
  <c r="BI377" i="24"/>
  <c r="T371"/>
  <c r="V371" s="1"/>
  <c r="W371" s="1"/>
  <c r="BP371" s="1"/>
  <c r="DY371" i="43"/>
  <c r="AC362" i="24"/>
  <c r="DZ362" i="43"/>
  <c r="T355" i="24"/>
  <c r="V355" s="1"/>
  <c r="W355" s="1"/>
  <c r="BP355" s="1"/>
  <c r="AC344"/>
  <c r="DZ344" i="43"/>
  <c r="BI343" i="24"/>
  <c r="T337"/>
  <c r="V337" s="1"/>
  <c r="W337" s="1"/>
  <c r="BP337" s="1"/>
  <c r="DY337" i="43"/>
  <c r="AC328" i="24"/>
  <c r="DZ328" i="43"/>
  <c r="BI327" i="24"/>
  <c r="AC313"/>
  <c r="DZ313" i="43"/>
  <c r="BI312" i="24"/>
  <c r="AC306"/>
  <c r="DZ306" i="43"/>
  <c r="AC299" i="24"/>
  <c r="DZ299" i="43"/>
  <c r="DY295"/>
  <c r="T295" i="24"/>
  <c r="V295" s="1"/>
  <c r="W295" s="1"/>
  <c r="BP295" s="1"/>
  <c r="T292"/>
  <c r="V292" s="1"/>
  <c r="W292" s="1"/>
  <c r="BP292" s="1"/>
  <c r="T378"/>
  <c r="V378" s="1"/>
  <c r="W378" s="1"/>
  <c r="BP378" s="1"/>
  <c r="AC369"/>
  <c r="DZ369" i="43"/>
  <c r="T362" i="24"/>
  <c r="V362" s="1"/>
  <c r="W362" s="1"/>
  <c r="BP362" s="1"/>
  <c r="DY362" i="43"/>
  <c r="AC353" i="24"/>
  <c r="DZ353" i="43"/>
  <c r="T347" i="24"/>
  <c r="V347" s="1"/>
  <c r="W347" s="1"/>
  <c r="BP347" s="1"/>
  <c r="DY347" i="43"/>
  <c r="BI340" i="24"/>
  <c r="AC339"/>
  <c r="DZ339" i="43"/>
  <c r="T332" i="24"/>
  <c r="V332" s="1"/>
  <c r="W332" s="1"/>
  <c r="BP332" s="1"/>
  <c r="DY332" i="43"/>
  <c r="AC323" i="24"/>
  <c r="DZ323" i="43"/>
  <c r="AC320" i="24"/>
  <c r="DZ320" i="43"/>
  <c r="T313" i="24"/>
  <c r="V313" s="1"/>
  <c r="W313" s="1"/>
  <c r="BP313" s="1"/>
  <c r="AC302"/>
  <c r="DZ302" i="43"/>
  <c r="AC295" i="24"/>
  <c r="DZ295" i="43"/>
  <c r="BI292" i="24"/>
  <c r="T369"/>
  <c r="V369" s="1"/>
  <c r="W369" s="1"/>
  <c r="BP369" s="1"/>
  <c r="DY369" i="43"/>
  <c r="AC360" i="24"/>
  <c r="DZ360" i="43"/>
  <c r="BI359" i="24"/>
  <c r="T353"/>
  <c r="V353" s="1"/>
  <c r="W353" s="1"/>
  <c r="BP353" s="1"/>
  <c r="DY353" i="43"/>
  <c r="AC346" i="24"/>
  <c r="DZ346" i="43"/>
  <c r="BI345" i="24"/>
  <c r="T339"/>
  <c r="V339" s="1"/>
  <c r="W339" s="1"/>
  <c r="BP339" s="1"/>
  <c r="DY339" i="43"/>
  <c r="AC330" i="24"/>
  <c r="DZ330" i="43"/>
  <c r="BI329" i="24"/>
  <c r="T323"/>
  <c r="V323" s="1"/>
  <c r="W323" s="1"/>
  <c r="BP323" s="1"/>
  <c r="DY323" i="43"/>
  <c r="AC315" i="24"/>
  <c r="DZ315" i="43"/>
  <c r="BI314" i="24"/>
  <c r="AC307"/>
  <c r="DZ307" i="43"/>
  <c r="BI304" i="24"/>
  <c r="T303"/>
  <c r="V303" s="1"/>
  <c r="W303" s="1"/>
  <c r="BP303" s="1"/>
  <c r="T300"/>
  <c r="V300" s="1"/>
  <c r="W300" s="1"/>
  <c r="BP300" s="1"/>
  <c r="DY300" i="43"/>
  <c r="BI294" i="24"/>
  <c r="T372"/>
  <c r="V372" s="1"/>
  <c r="W372" s="1"/>
  <c r="BP372" s="1"/>
  <c r="AC363"/>
  <c r="DZ363" i="43"/>
  <c r="BI362" i="24"/>
  <c r="T356"/>
  <c r="V356" s="1"/>
  <c r="W356" s="1"/>
  <c r="BP356" s="1"/>
  <c r="DY356" i="43"/>
  <c r="AC348" i="24"/>
  <c r="DZ348" i="43"/>
  <c r="BI347" i="24"/>
  <c r="AC345"/>
  <c r="DZ345" i="43"/>
  <c r="T338" i="24"/>
  <c r="V338" s="1"/>
  <c r="W338" s="1"/>
  <c r="BP338" s="1"/>
  <c r="BI330"/>
  <c r="AC329"/>
  <c r="DZ329" i="43"/>
  <c r="T322" i="24"/>
  <c r="V322" s="1"/>
  <c r="W322" s="1"/>
  <c r="BP322" s="1"/>
  <c r="AC314"/>
  <c r="DZ314" i="43"/>
  <c r="AC286" i="24"/>
  <c r="DZ286" i="43"/>
  <c r="T279" i="24"/>
  <c r="V279" s="1"/>
  <c r="W279" s="1"/>
  <c r="BP279" s="1"/>
  <c r="AC272"/>
  <c r="DZ272" i="43"/>
  <c r="T265" i="24"/>
  <c r="V265" s="1"/>
  <c r="W265" s="1"/>
  <c r="BP265" s="1"/>
  <c r="DY265" i="43"/>
  <c r="AC256" i="24"/>
  <c r="DZ256" i="43"/>
  <c r="AC255" i="24"/>
  <c r="DZ255" i="43"/>
  <c r="T239" i="24"/>
  <c r="V239" s="1"/>
  <c r="W239" s="1"/>
  <c r="DY239" i="43"/>
  <c r="T235" i="24"/>
  <c r="V235" s="1"/>
  <c r="W235" s="1"/>
  <c r="BP235" s="1"/>
  <c r="DY235" i="43"/>
  <c r="T229" i="24"/>
  <c r="V229" s="1"/>
  <c r="W229" s="1"/>
  <c r="BP229" s="1"/>
  <c r="AG229" s="1"/>
  <c r="DY229" i="43"/>
  <c r="AC225" i="24"/>
  <c r="DZ225" i="43"/>
  <c r="T282" i="24"/>
  <c r="V282" s="1"/>
  <c r="W282" s="1"/>
  <c r="BP282" s="1"/>
  <c r="DY282" i="43"/>
  <c r="AC271" i="24"/>
  <c r="DZ271" i="43"/>
  <c r="T264" i="24"/>
  <c r="V264" s="1"/>
  <c r="W264" s="1"/>
  <c r="BP264" s="1"/>
  <c r="T249"/>
  <c r="V249" s="1"/>
  <c r="W249" s="1"/>
  <c r="BP249" s="1"/>
  <c r="DY249" i="43"/>
  <c r="AC238" i="24"/>
  <c r="DZ238" i="43"/>
  <c r="T226" i="24"/>
  <c r="V226" s="1"/>
  <c r="W226" s="1"/>
  <c r="BP226" s="1"/>
  <c r="DY226" i="43"/>
  <c r="T305" i="24"/>
  <c r="V305" s="1"/>
  <c r="W305" s="1"/>
  <c r="BP305" s="1"/>
  <c r="DY305" i="43"/>
  <c r="AC296" i="24"/>
  <c r="DZ296" i="43"/>
  <c r="T289" i="24"/>
  <c r="V289" s="1"/>
  <c r="W289" s="1"/>
  <c r="BP289" s="1"/>
  <c r="DY289" i="43"/>
  <c r="AC280" i="24"/>
  <c r="DZ280" i="43"/>
  <c r="BI279" i="24"/>
  <c r="T275"/>
  <c r="V275" s="1"/>
  <c r="W275" s="1"/>
  <c r="BP275" s="1"/>
  <c r="DY275" i="43"/>
  <c r="AC266" i="24"/>
  <c r="DZ266" i="43"/>
  <c r="BI265" i="24"/>
  <c r="T259"/>
  <c r="V259" s="1"/>
  <c r="W259" s="1"/>
  <c r="BP259" s="1"/>
  <c r="DY259" i="43"/>
  <c r="T237" i="24"/>
  <c r="V237" s="1"/>
  <c r="W237" s="1"/>
  <c r="BP237" s="1"/>
  <c r="DY237" i="43"/>
  <c r="T284" i="24"/>
  <c r="V284" s="1"/>
  <c r="W284" s="1"/>
  <c r="BP284" s="1"/>
  <c r="DY284" i="43"/>
  <c r="AC273" i="24"/>
  <c r="DZ273" i="43"/>
  <c r="BI272" i="24"/>
  <c r="T266"/>
  <c r="V266" s="1"/>
  <c r="W266" s="1"/>
  <c r="BP266" s="1"/>
  <c r="AC257"/>
  <c r="DZ257" i="43"/>
  <c r="BI256" i="24"/>
  <c r="BI239"/>
  <c r="T222"/>
  <c r="V222" s="1"/>
  <c r="W222" s="1"/>
  <c r="BP222" s="1"/>
  <c r="DY222" i="43"/>
  <c r="T254" i="24"/>
  <c r="V254" s="1"/>
  <c r="W254" s="1"/>
  <c r="BP254" s="1"/>
  <c r="DY254" i="43"/>
  <c r="AC237" i="24"/>
  <c r="DZ237" i="43"/>
  <c r="BI235" i="24"/>
  <c r="AC229"/>
  <c r="DZ229" i="43"/>
  <c r="AC236" i="24"/>
  <c r="DZ236" i="43"/>
  <c r="Y235" i="24" s="1"/>
  <c r="Z235" s="1"/>
  <c r="AC232"/>
  <c r="DZ232" i="43"/>
  <c r="AH232" i="24"/>
  <c r="AG232"/>
  <c r="AC228"/>
  <c r="DZ228" i="43"/>
  <c r="T211" i="24"/>
  <c r="V211" s="1"/>
  <c r="W211" s="1"/>
  <c r="BP211" s="1"/>
  <c r="AG211" s="1"/>
  <c r="DY211" i="43"/>
  <c r="AC202" i="24"/>
  <c r="DZ202" i="43"/>
  <c r="T225" i="24"/>
  <c r="V225" s="1"/>
  <c r="W225" s="1"/>
  <c r="BP225" s="1"/>
  <c r="AH225" s="1"/>
  <c r="AC216"/>
  <c r="DZ216" i="43"/>
  <c r="BI215" i="24"/>
  <c r="T209"/>
  <c r="V209" s="1"/>
  <c r="W209" s="1"/>
  <c r="BP209" s="1"/>
  <c r="AG209" s="1"/>
  <c r="AC201"/>
  <c r="DZ201" i="43"/>
  <c r="AC200" i="24"/>
  <c r="DZ200" i="43"/>
  <c r="AC194" i="24"/>
  <c r="DZ194" i="43"/>
  <c r="AC190" i="24"/>
  <c r="DZ190" i="43"/>
  <c r="AC231" i="24"/>
  <c r="DZ231" i="43"/>
  <c r="Y230" i="24" s="1"/>
  <c r="Z230" s="1"/>
  <c r="T224"/>
  <c r="V224" s="1"/>
  <c r="W224" s="1"/>
  <c r="BP224" s="1"/>
  <c r="AH224" s="1"/>
  <c r="DY224" i="43"/>
  <c r="AC215" i="24"/>
  <c r="DZ215" i="43"/>
  <c r="Y214" i="24" s="1"/>
  <c r="Z214" s="1"/>
  <c r="BI214"/>
  <c r="T208"/>
  <c r="V208" s="1"/>
  <c r="W208" s="1"/>
  <c r="BP208" s="1"/>
  <c r="AH208" s="1"/>
  <c r="AC165"/>
  <c r="DZ165" i="43"/>
  <c r="BI191" i="24"/>
  <c r="AC184"/>
  <c r="DZ184" i="43"/>
  <c r="Y181" i="24"/>
  <c r="Z181" s="1"/>
  <c r="BP181"/>
  <c r="AH181" s="1"/>
  <c r="DZ199" i="43"/>
  <c r="AC199" i="24"/>
  <c r="BI189"/>
  <c r="T185"/>
  <c r="V185" s="1"/>
  <c r="W185" s="1"/>
  <c r="BP185" s="1"/>
  <c r="DY185" i="43"/>
  <c r="AC172" i="24"/>
  <c r="DZ172" i="43"/>
  <c r="T169" i="24"/>
  <c r="V169" s="1"/>
  <c r="W169" s="1"/>
  <c r="BP169" s="1"/>
  <c r="AH169" s="1"/>
  <c r="DY169" i="43"/>
  <c r="T164" i="24"/>
  <c r="V164" s="1"/>
  <c r="W164" s="1"/>
  <c r="DY164" i="43"/>
  <c r="T194" i="24"/>
  <c r="V194" s="1"/>
  <c r="W194" s="1"/>
  <c r="BP194" s="1"/>
  <c r="DY194" i="43"/>
  <c r="AC185" i="24"/>
  <c r="DZ185" i="43"/>
  <c r="T184" i="24"/>
  <c r="V184" s="1"/>
  <c r="W184" s="1"/>
  <c r="DY184" i="43"/>
  <c r="T174" i="24"/>
  <c r="V174" s="1"/>
  <c r="W174" s="1"/>
  <c r="DY174" i="43"/>
  <c r="AC169" i="24"/>
  <c r="DZ169" i="43"/>
  <c r="AC195" i="24"/>
  <c r="DZ195" i="43"/>
  <c r="T188" i="24"/>
  <c r="V188" s="1"/>
  <c r="W188" s="1"/>
  <c r="BP188" s="1"/>
  <c r="AH188" s="1"/>
  <c r="AC183"/>
  <c r="DZ183" i="43"/>
  <c r="Y182" i="24" s="1"/>
  <c r="Z182" s="1"/>
  <c r="AC179"/>
  <c r="DZ179" i="43"/>
  <c r="AC175" i="24"/>
  <c r="DZ175" i="43"/>
  <c r="AG175" i="24"/>
  <c r="AH175"/>
  <c r="AC171"/>
  <c r="DZ171" i="43"/>
  <c r="AC166" i="24"/>
  <c r="DZ166" i="43"/>
  <c r="C14" i="44"/>
  <c r="T183" i="24"/>
  <c r="V183" s="1"/>
  <c r="W183" s="1"/>
  <c r="DY183" i="43"/>
  <c r="AC174" i="24"/>
  <c r="DZ174" i="43"/>
  <c r="BI173" i="24"/>
  <c r="T166"/>
  <c r="V166" s="1"/>
  <c r="W166" s="1"/>
  <c r="BP166" s="1"/>
  <c r="AG166" s="1"/>
  <c r="DY166" i="43"/>
  <c r="AC161" i="24"/>
  <c r="DZ161" i="43"/>
  <c r="AG161" i="24"/>
  <c r="AH161"/>
  <c r="H144" i="43"/>
  <c r="M144"/>
  <c r="N144" s="1"/>
  <c r="AF141" i="45"/>
  <c r="AF36"/>
  <c r="M39" i="43"/>
  <c r="N39" s="1"/>
  <c r="H39"/>
  <c r="BP62" i="24"/>
  <c r="Y62"/>
  <c r="Z62" s="1"/>
  <c r="P114"/>
  <c r="Y114"/>
  <c r="Z114" s="1"/>
  <c r="Y39"/>
  <c r="Z39" s="1"/>
  <c r="BP39"/>
  <c r="H222" i="43"/>
  <c r="AF219" i="45"/>
  <c r="H343" i="43"/>
  <c r="AF340" i="45"/>
  <c r="AF283"/>
  <c r="H286" i="43"/>
  <c r="AF207" i="45"/>
  <c r="H210" i="43"/>
  <c r="H252"/>
  <c r="AF249" i="45"/>
  <c r="H383" i="43"/>
  <c r="K383" s="1"/>
  <c r="AF380" i="45"/>
  <c r="M206" i="43"/>
  <c r="N206" s="1"/>
  <c r="H206"/>
  <c r="AF203" i="45"/>
  <c r="H257" i="43"/>
  <c r="AF254" i="45"/>
  <c r="H341" i="43"/>
  <c r="AF338" i="45"/>
  <c r="M194" i="43"/>
  <c r="N194" s="1"/>
  <c r="H194"/>
  <c r="H167"/>
  <c r="AF164" i="45"/>
  <c r="DY380" i="43"/>
  <c r="M349"/>
  <c r="N349" s="1"/>
  <c r="M253"/>
  <c r="N253" s="1"/>
  <c r="M320"/>
  <c r="N320" s="1"/>
  <c r="M341"/>
  <c r="N341" s="1"/>
  <c r="M240"/>
  <c r="N240" s="1"/>
  <c r="M344"/>
  <c r="N344" s="1"/>
  <c r="M163"/>
  <c r="N163" s="1"/>
  <c r="M248"/>
  <c r="N248" s="1"/>
  <c r="M287"/>
  <c r="N287" s="1"/>
  <c r="M370"/>
  <c r="N370" s="1"/>
  <c r="M285"/>
  <c r="N285" s="1"/>
  <c r="M166"/>
  <c r="N166" s="1"/>
  <c r="M191"/>
  <c r="N191" s="1"/>
  <c r="M195"/>
  <c r="N195" s="1"/>
  <c r="M246"/>
  <c r="N246" s="1"/>
  <c r="M366"/>
  <c r="N366" s="1"/>
  <c r="M200"/>
  <c r="N200" s="1"/>
  <c r="M205"/>
  <c r="N205" s="1"/>
  <c r="M231"/>
  <c r="N231" s="1"/>
  <c r="M356"/>
  <c r="N356" s="1"/>
  <c r="M379"/>
  <c r="N379" s="1"/>
  <c r="M383"/>
  <c r="M273"/>
  <c r="N273" s="1"/>
  <c r="M323"/>
  <c r="N323" s="1"/>
  <c r="M360"/>
  <c r="N360" s="1"/>
  <c r="Y52" i="24"/>
  <c r="Z52" s="1"/>
  <c r="P52"/>
  <c r="Y70"/>
  <c r="Z70" s="1"/>
  <c r="Y140"/>
  <c r="Z140" s="1"/>
  <c r="Y47"/>
  <c r="Z47" s="1"/>
  <c r="Y106"/>
  <c r="Z106" s="1"/>
  <c r="Y74"/>
  <c r="Z74" s="1"/>
  <c r="AF185" i="45"/>
  <c r="H188" i="43"/>
  <c r="H316"/>
  <c r="AF313" i="45"/>
  <c r="H292" i="43"/>
  <c r="AF289" i="45"/>
  <c r="H227" i="43"/>
  <c r="AF224" i="45"/>
  <c r="H365" i="43"/>
  <c r="AF362" i="45"/>
  <c r="AF285"/>
  <c r="H288" i="43"/>
  <c r="H244"/>
  <c r="AF241" i="45"/>
  <c r="H291" i="43"/>
  <c r="AF288" i="45"/>
  <c r="H199" i="43"/>
  <c r="AF196" i="45"/>
  <c r="H165" i="43"/>
  <c r="AF162" i="45"/>
  <c r="H336" i="43"/>
  <c r="AF333" i="45"/>
  <c r="M298" i="43"/>
  <c r="N298" s="1"/>
  <c r="M367"/>
  <c r="N367" s="1"/>
  <c r="M300"/>
  <c r="N300" s="1"/>
  <c r="M376"/>
  <c r="N376" s="1"/>
  <c r="O165" i="24"/>
  <c r="P165" s="1"/>
  <c r="AG165" s="1"/>
  <c r="O163"/>
  <c r="P163" s="1"/>
  <c r="O220"/>
  <c r="P220" s="1"/>
  <c r="AG220" s="1"/>
  <c r="O248"/>
  <c r="P248" s="1"/>
  <c r="O184"/>
  <c r="P184" s="1"/>
  <c r="O228"/>
  <c r="P228" s="1"/>
  <c r="O247"/>
  <c r="P247" s="1"/>
  <c r="O231"/>
  <c r="P231" s="1"/>
  <c r="AH231" s="1"/>
  <c r="O215"/>
  <c r="P215" s="1"/>
  <c r="O199"/>
  <c r="P199" s="1"/>
  <c r="AG199" s="1"/>
  <c r="O183"/>
  <c r="P183" s="1"/>
  <c r="O167"/>
  <c r="O159"/>
  <c r="P159" s="1"/>
  <c r="O234"/>
  <c r="P234" s="1"/>
  <c r="O218"/>
  <c r="P218" s="1"/>
  <c r="AG218" s="1"/>
  <c r="O202"/>
  <c r="P202" s="1"/>
  <c r="O186"/>
  <c r="P186" s="1"/>
  <c r="O170"/>
  <c r="P170" s="1"/>
  <c r="O237"/>
  <c r="P237" s="1"/>
  <c r="O221"/>
  <c r="P221" s="1"/>
  <c r="O205"/>
  <c r="P205" s="1"/>
  <c r="AG205" s="1"/>
  <c r="O189"/>
  <c r="P189" s="1"/>
  <c r="O173"/>
  <c r="P173" s="1"/>
  <c r="O381"/>
  <c r="P381" s="1"/>
  <c r="O365"/>
  <c r="P365" s="1"/>
  <c r="O349"/>
  <c r="O333"/>
  <c r="O317"/>
  <c r="P317" s="1"/>
  <c r="O384"/>
  <c r="P384" s="1"/>
  <c r="O368"/>
  <c r="P368" s="1"/>
  <c r="O352"/>
  <c r="P352" s="1"/>
  <c r="O336"/>
  <c r="P336" s="1"/>
  <c r="O320"/>
  <c r="O383"/>
  <c r="O367"/>
  <c r="P367" s="1"/>
  <c r="O351"/>
  <c r="P351" s="1"/>
  <c r="O335"/>
  <c r="P335" s="1"/>
  <c r="O319"/>
  <c r="O382"/>
  <c r="P382" s="1"/>
  <c r="O366"/>
  <c r="P366" s="1"/>
  <c r="O350"/>
  <c r="O334"/>
  <c r="P334" s="1"/>
  <c r="O318"/>
  <c r="P318" s="1"/>
  <c r="O313"/>
  <c r="P313" s="1"/>
  <c r="O297"/>
  <c r="P297" s="1"/>
  <c r="O281"/>
  <c r="P281" s="1"/>
  <c r="O265"/>
  <c r="P265" s="1"/>
  <c r="O292"/>
  <c r="P292" s="1"/>
  <c r="O276"/>
  <c r="P276" s="1"/>
  <c r="O260"/>
  <c r="O283"/>
  <c r="P283" s="1"/>
  <c r="O267"/>
  <c r="P267" s="1"/>
  <c r="O251"/>
  <c r="P251" s="1"/>
  <c r="O302"/>
  <c r="O286"/>
  <c r="P286" s="1"/>
  <c r="O270"/>
  <c r="P270" s="1"/>
  <c r="O254"/>
  <c r="P254" s="1"/>
  <c r="M95" i="43"/>
  <c r="N95" s="1"/>
  <c r="AF92" i="45"/>
  <c r="H95" i="43"/>
  <c r="P91" i="24"/>
  <c r="Y91"/>
  <c r="Z91" s="1"/>
  <c r="O48"/>
  <c r="Y149"/>
  <c r="Z149" s="1"/>
  <c r="P133"/>
  <c r="Y133"/>
  <c r="Z133" s="1"/>
  <c r="H159" i="43"/>
  <c r="AF156" i="45"/>
  <c r="H302" i="43"/>
  <c r="AF299" i="45"/>
  <c r="H218" i="43"/>
  <c r="AF215" i="45"/>
  <c r="H276" i="43"/>
  <c r="AF273" i="45"/>
  <c r="H212" i="43"/>
  <c r="AF209" i="45"/>
  <c r="H334" i="43"/>
  <c r="AF331" i="45"/>
  <c r="H243" i="43"/>
  <c r="AF240" i="45"/>
  <c r="H305" i="43"/>
  <c r="AF302" i="45"/>
  <c r="H249" i="43"/>
  <c r="AF246" i="45"/>
  <c r="H219" i="43"/>
  <c r="AF216" i="45"/>
  <c r="M265" i="43"/>
  <c r="N265" s="1"/>
  <c r="H265"/>
  <c r="AF262" i="45"/>
  <c r="M220" i="43"/>
  <c r="N220" s="1"/>
  <c r="M365"/>
  <c r="N365" s="1"/>
  <c r="M251"/>
  <c r="N251" s="1"/>
  <c r="M324"/>
  <c r="N324" s="1"/>
  <c r="H187"/>
  <c r="AF184" i="45"/>
  <c r="H171" i="43"/>
  <c r="AF168" i="45"/>
  <c r="H329" i="43"/>
  <c r="AF326" i="45"/>
  <c r="H299" i="43"/>
  <c r="AF296" i="45"/>
  <c r="H377" i="43"/>
  <c r="AF374" i="45"/>
  <c r="H272" i="43"/>
  <c r="AF269" i="45"/>
  <c r="H368" i="43"/>
  <c r="AF365" i="45"/>
  <c r="AF253"/>
  <c r="H256" i="43"/>
  <c r="H361"/>
  <c r="AF358" i="45"/>
  <c r="H270" i="43"/>
  <c r="AF267" i="45"/>
  <c r="H211" i="43"/>
  <c r="AF208" i="45"/>
  <c r="H358" i="43"/>
  <c r="AF355" i="45"/>
  <c r="H294" i="43"/>
  <c r="AF291" i="45"/>
  <c r="H173" i="43"/>
  <c r="AF170" i="45"/>
  <c r="AF308"/>
  <c r="H311" i="43"/>
  <c r="H269"/>
  <c r="AF266" i="45"/>
  <c r="H229" i="43"/>
  <c r="AF226" i="45"/>
  <c r="H225" i="43"/>
  <c r="AF222" i="45"/>
  <c r="M322" i="43"/>
  <c r="N322" s="1"/>
  <c r="M307"/>
  <c r="N307" s="1"/>
  <c r="M361"/>
  <c r="N361" s="1"/>
  <c r="M282"/>
  <c r="N282" s="1"/>
  <c r="M353"/>
  <c r="N353" s="1"/>
  <c r="DM118"/>
  <c r="DN118" s="1"/>
  <c r="DM381"/>
  <c r="DN381" s="1"/>
  <c r="DM372"/>
  <c r="DN372" s="1"/>
  <c r="DM364"/>
  <c r="DN364" s="1"/>
  <c r="DM360"/>
  <c r="DN360" s="1"/>
  <c r="DM352"/>
  <c r="DN352" s="1"/>
  <c r="DM340"/>
  <c r="DN340" s="1"/>
  <c r="DM336"/>
  <c r="DN336" s="1"/>
  <c r="DM332"/>
  <c r="DN332" s="1"/>
  <c r="DM367"/>
  <c r="DN367" s="1"/>
  <c r="DM331"/>
  <c r="DN331" s="1"/>
  <c r="DM323"/>
  <c r="DN323" s="1"/>
  <c r="DM315"/>
  <c r="DN315" s="1"/>
  <c r="DM297"/>
  <c r="DN297" s="1"/>
  <c r="DM375"/>
  <c r="DN375" s="1"/>
  <c r="DM371"/>
  <c r="DN371" s="1"/>
  <c r="DM363"/>
  <c r="DN363" s="1"/>
  <c r="DM355"/>
  <c r="DN355" s="1"/>
  <c r="DM343"/>
  <c r="DN343" s="1"/>
  <c r="DM385"/>
  <c r="DN385" s="1"/>
  <c r="DM344"/>
  <c r="DN344" s="1"/>
  <c r="DM281"/>
  <c r="DN281" s="1"/>
  <c r="DM277"/>
  <c r="DN277" s="1"/>
  <c r="DM269"/>
  <c r="DN269" s="1"/>
  <c r="DM257"/>
  <c r="DN257" s="1"/>
  <c r="DM249"/>
  <c r="DN249" s="1"/>
  <c r="DM241"/>
  <c r="DN241" s="1"/>
  <c r="DM237"/>
  <c r="DN237" s="1"/>
  <c r="DM233"/>
  <c r="DN233" s="1"/>
  <c r="DM185"/>
  <c r="DN185" s="1"/>
  <c r="DM177"/>
  <c r="DN177" s="1"/>
  <c r="DM169"/>
  <c r="DN169" s="1"/>
  <c r="DM165"/>
  <c r="DN165" s="1"/>
  <c r="DM283"/>
  <c r="DN283" s="1"/>
  <c r="DM271"/>
  <c r="DN271" s="1"/>
  <c r="DM263"/>
  <c r="DN263" s="1"/>
  <c r="DM227"/>
  <c r="DN227" s="1"/>
  <c r="DM219"/>
  <c r="DN219" s="1"/>
  <c r="DM211"/>
  <c r="DN211" s="1"/>
  <c r="DM207"/>
  <c r="DN207" s="1"/>
  <c r="DM203"/>
  <c r="DN203" s="1"/>
  <c r="DM199"/>
  <c r="DN199" s="1"/>
  <c r="DM191"/>
  <c r="DN191" s="1"/>
  <c r="DM187"/>
  <c r="DN187" s="1"/>
  <c r="DM159"/>
  <c r="DN159" s="1"/>
  <c r="DM306"/>
  <c r="DN306" s="1"/>
  <c r="DM294"/>
  <c r="DN294" s="1"/>
  <c r="DM286"/>
  <c r="DN286" s="1"/>
  <c r="DM278"/>
  <c r="DN278" s="1"/>
  <c r="DM274"/>
  <c r="DN274" s="1"/>
  <c r="DM250"/>
  <c r="DN250" s="1"/>
  <c r="DM206"/>
  <c r="DN206" s="1"/>
  <c r="DM202"/>
  <c r="DN202" s="1"/>
  <c r="DM198"/>
  <c r="DN198" s="1"/>
  <c r="DM194"/>
  <c r="DN194" s="1"/>
  <c r="DM186"/>
  <c r="DN186" s="1"/>
  <c r="DM182"/>
  <c r="DN182" s="1"/>
  <c r="DM290"/>
  <c r="DM270"/>
  <c r="DN270" s="1"/>
  <c r="DM254"/>
  <c r="DN254" s="1"/>
  <c r="DM242"/>
  <c r="DN242" s="1"/>
  <c r="DM238"/>
  <c r="DN238" s="1"/>
  <c r="DM234"/>
  <c r="DN234" s="1"/>
  <c r="DM230"/>
  <c r="DN230" s="1"/>
  <c r="DM226"/>
  <c r="DN226" s="1"/>
  <c r="DM214"/>
  <c r="DN214" s="1"/>
  <c r="DM210"/>
  <c r="DN210" s="1"/>
  <c r="DM178"/>
  <c r="DN178" s="1"/>
  <c r="DM170"/>
  <c r="DN170" s="1"/>
  <c r="T377" i="24"/>
  <c r="V377" s="1"/>
  <c r="W377" s="1"/>
  <c r="BP377" s="1"/>
  <c r="DY377" i="43"/>
  <c r="AC383" i="24"/>
  <c r="DZ383" i="43"/>
  <c r="AC376" i="24"/>
  <c r="DZ376" i="43"/>
  <c r="AC379" i="24"/>
  <c r="DZ379" i="43"/>
  <c r="AC382" i="24"/>
  <c r="DZ382" i="43"/>
  <c r="BI381" i="24"/>
  <c r="T375"/>
  <c r="V375" s="1"/>
  <c r="W375" s="1"/>
  <c r="BP375" s="1"/>
  <c r="DY375" i="43"/>
  <c r="AC366" i="24"/>
  <c r="DZ366" i="43"/>
  <c r="T359" i="24"/>
  <c r="V359" s="1"/>
  <c r="W359" s="1"/>
  <c r="BP359" s="1"/>
  <c r="DY359" i="43"/>
  <c r="AC350" i="24"/>
  <c r="DZ350" i="43"/>
  <c r="AC347" i="24"/>
  <c r="DZ347" i="43"/>
  <c r="T341" i="24"/>
  <c r="V341" s="1"/>
  <c r="W341" s="1"/>
  <c r="BP341" s="1"/>
  <c r="DY341" i="43"/>
  <c r="AC332" i="24"/>
  <c r="DZ332" i="43"/>
  <c r="BI331" i="24"/>
  <c r="T325"/>
  <c r="V325" s="1"/>
  <c r="W325" s="1"/>
  <c r="BP325" s="1"/>
  <c r="DY325" i="43"/>
  <c r="AC317" i="24"/>
  <c r="DZ317" i="43"/>
  <c r="BI316" i="24"/>
  <c r="T310"/>
  <c r="V310" s="1"/>
  <c r="W310" s="1"/>
  <c r="BP310" s="1"/>
  <c r="DY310" i="43"/>
  <c r="BI303" i="24"/>
  <c r="T302"/>
  <c r="V302" s="1"/>
  <c r="W302" s="1"/>
  <c r="BP302" s="1"/>
  <c r="DY302" i="43"/>
  <c r="AC289" i="24"/>
  <c r="DZ289" i="43"/>
  <c r="T382" i="24"/>
  <c r="V382" s="1"/>
  <c r="W382" s="1"/>
  <c r="BP382" s="1"/>
  <c r="DY382" i="43"/>
  <c r="AC373" i="24"/>
  <c r="DZ373" i="43"/>
  <c r="BI372" i="24"/>
  <c r="T366"/>
  <c r="V366" s="1"/>
  <c r="W366" s="1"/>
  <c r="BP366" s="1"/>
  <c r="DY366" i="43"/>
  <c r="BI358" i="24"/>
  <c r="AC357"/>
  <c r="DZ357" i="43"/>
  <c r="T350" i="24"/>
  <c r="V350" s="1"/>
  <c r="W350" s="1"/>
  <c r="BP350" s="1"/>
  <c r="DY350" i="43"/>
  <c r="AC343" i="24"/>
  <c r="DZ343" i="43"/>
  <c r="BI342" i="24"/>
  <c r="T336"/>
  <c r="V336" s="1"/>
  <c r="W336" s="1"/>
  <c r="BP336" s="1"/>
  <c r="BI328"/>
  <c r="AC327"/>
  <c r="DZ327" i="43"/>
  <c r="BI326" i="24"/>
  <c r="T317"/>
  <c r="V317" s="1"/>
  <c r="W317" s="1"/>
  <c r="BP317" s="1"/>
  <c r="DY317" i="43"/>
  <c r="T298" i="24"/>
  <c r="V298" s="1"/>
  <c r="W298" s="1"/>
  <c r="BP298" s="1"/>
  <c r="DY298" i="43"/>
  <c r="T373" i="24"/>
  <c r="V373" s="1"/>
  <c r="W373" s="1"/>
  <c r="BP373" s="1"/>
  <c r="DY373" i="43"/>
  <c r="AC364" i="24"/>
  <c r="DZ364" i="43"/>
  <c r="BI363" i="24"/>
  <c r="T357"/>
  <c r="V357" s="1"/>
  <c r="W357" s="1"/>
  <c r="BP357" s="1"/>
  <c r="T343"/>
  <c r="V343" s="1"/>
  <c r="W343" s="1"/>
  <c r="BP343" s="1"/>
  <c r="DY343" i="43"/>
  <c r="AC334" i="24"/>
  <c r="DZ334" i="43"/>
  <c r="BI333" i="24"/>
  <c r="T327"/>
  <c r="V327" s="1"/>
  <c r="W327" s="1"/>
  <c r="BP327" s="1"/>
  <c r="DY327" i="43"/>
  <c r="AC319" i="24"/>
  <c r="DZ319" i="43"/>
  <c r="C19" i="44"/>
  <c r="BI318" i="24"/>
  <c r="T312"/>
  <c r="V312" s="1"/>
  <c r="W312" s="1"/>
  <c r="BP312" s="1"/>
  <c r="AC298"/>
  <c r="DZ298" i="43"/>
  <c r="AC367" i="24"/>
  <c r="DZ367" i="43"/>
  <c r="BI366" i="24"/>
  <c r="T360"/>
  <c r="V360" s="1"/>
  <c r="W360" s="1"/>
  <c r="BP360" s="1"/>
  <c r="DY360" i="43"/>
  <c r="BI352" i="24"/>
  <c r="AC351"/>
  <c r="DZ351" i="43"/>
  <c r="T342" i="24"/>
  <c r="V342" s="1"/>
  <c r="W342" s="1"/>
  <c r="BP342" s="1"/>
  <c r="BI334"/>
  <c r="AC333"/>
  <c r="DZ333" i="43"/>
  <c r="T326" i="24"/>
  <c r="V326" s="1"/>
  <c r="W326" s="1"/>
  <c r="BP326" s="1"/>
  <c r="AC318"/>
  <c r="DZ318" i="43"/>
  <c r="BI317" i="24"/>
  <c r="T311"/>
  <c r="V311" s="1"/>
  <c r="W311" s="1"/>
  <c r="BP311" s="1"/>
  <c r="DY311" i="43"/>
  <c r="AC303" i="24"/>
  <c r="DZ303" i="43"/>
  <c r="BI300" i="24"/>
  <c r="T299"/>
  <c r="V299" s="1"/>
  <c r="W299" s="1"/>
  <c r="BP299" s="1"/>
  <c r="BI297"/>
  <c r="T296"/>
  <c r="V296" s="1"/>
  <c r="W296" s="1"/>
  <c r="BP296" s="1"/>
  <c r="DY296" i="43"/>
  <c r="T290" i="24"/>
  <c r="V290" s="1"/>
  <c r="W290" s="1"/>
  <c r="BP290" s="1"/>
  <c r="AC290"/>
  <c r="DZ290" i="43"/>
  <c r="BI289" i="24"/>
  <c r="T283"/>
  <c r="V283" s="1"/>
  <c r="W283" s="1"/>
  <c r="BP283" s="1"/>
  <c r="DZ276" i="43"/>
  <c r="AC276" i="24"/>
  <c r="BI275"/>
  <c r="T269"/>
  <c r="V269" s="1"/>
  <c r="W269" s="1"/>
  <c r="BP269" s="1"/>
  <c r="DY269" i="43"/>
  <c r="AC260" i="24"/>
  <c r="DZ260" i="43"/>
  <c r="BI259" i="24"/>
  <c r="AC248"/>
  <c r="DZ248" i="43"/>
  <c r="AC246" i="24"/>
  <c r="DZ246" i="43"/>
  <c r="AC244" i="24"/>
  <c r="DZ244" i="43"/>
  <c r="AC242" i="24"/>
  <c r="DZ242" i="43"/>
  <c r="AC240" i="24"/>
  <c r="DZ240" i="43"/>
  <c r="AH240" i="24"/>
  <c r="AG240"/>
  <c r="AC213"/>
  <c r="DZ213" i="43"/>
  <c r="DZ275"/>
  <c r="AC275" i="24"/>
  <c r="BI274"/>
  <c r="T268"/>
  <c r="V268" s="1"/>
  <c r="W268" s="1"/>
  <c r="BP268" s="1"/>
  <c r="DY268" i="43"/>
  <c r="AC259" i="24"/>
  <c r="DZ259" i="43"/>
  <c r="C10" i="22"/>
  <c r="BI258" i="24"/>
  <c r="T309"/>
  <c r="V309" s="1"/>
  <c r="W309" s="1"/>
  <c r="BP309" s="1"/>
  <c r="AC300"/>
  <c r="DZ300" i="43"/>
  <c r="T293" i="24"/>
  <c r="V293" s="1"/>
  <c r="W293" s="1"/>
  <c r="BP293" s="1"/>
  <c r="DY293" i="43"/>
  <c r="AC284" i="24"/>
  <c r="DZ284" i="43"/>
  <c r="BI283" i="24"/>
  <c r="AC270"/>
  <c r="DZ270" i="43"/>
  <c r="BI269" i="24"/>
  <c r="T263"/>
  <c r="V263" s="1"/>
  <c r="W263" s="1"/>
  <c r="BP263" s="1"/>
  <c r="DY263" i="43"/>
  <c r="BI253" i="24"/>
  <c r="AC247"/>
  <c r="DZ247" i="43"/>
  <c r="AC245" i="24"/>
  <c r="DZ245" i="43"/>
  <c r="AC243" i="24"/>
  <c r="DZ243" i="43"/>
  <c r="AC241" i="24"/>
  <c r="DZ241" i="43"/>
  <c r="Y240" i="24" s="1"/>
  <c r="Z240" s="1"/>
  <c r="AC230"/>
  <c r="DZ230" i="43"/>
  <c r="AH230" i="24"/>
  <c r="AG230"/>
  <c r="AC221"/>
  <c r="DZ221" i="43"/>
  <c r="AG221" i="24"/>
  <c r="AH221"/>
  <c r="T288"/>
  <c r="V288" s="1"/>
  <c r="W288" s="1"/>
  <c r="AC279"/>
  <c r="DZ279" i="43"/>
  <c r="BI278" i="24"/>
  <c r="BI276"/>
  <c r="T270"/>
  <c r="V270" s="1"/>
  <c r="W270" s="1"/>
  <c r="BP270" s="1"/>
  <c r="DY270" i="43"/>
  <c r="AC261" i="24"/>
  <c r="DZ261" i="43"/>
  <c r="BI260" i="24"/>
  <c r="T255"/>
  <c r="V255" s="1"/>
  <c r="W255" s="1"/>
  <c r="BP255" s="1"/>
  <c r="DY255" i="43"/>
  <c r="T253" i="24"/>
  <c r="V253" s="1"/>
  <c r="W253" s="1"/>
  <c r="BP253" s="1"/>
  <c r="DY253" i="43"/>
  <c r="AC234" i="24"/>
  <c r="DZ234" i="43"/>
  <c r="Y233" i="24" s="1"/>
  <c r="Z233" s="1"/>
  <c r="T252"/>
  <c r="V252" s="1"/>
  <c r="W252" s="1"/>
  <c r="BP252" s="1"/>
  <c r="DY252" i="43"/>
  <c r="BI225" i="24"/>
  <c r="BI212"/>
  <c r="AC249"/>
  <c r="DZ249" i="43"/>
  <c r="AC239" i="24"/>
  <c r="DZ239" i="43"/>
  <c r="Y238" i="24" s="1"/>
  <c r="Z238" s="1"/>
  <c r="T227"/>
  <c r="V227" s="1"/>
  <c r="W227" s="1"/>
  <c r="BP227" s="1"/>
  <c r="AH227" s="1"/>
  <c r="T223"/>
  <c r="V223" s="1"/>
  <c r="W223" s="1"/>
  <c r="BP223" s="1"/>
  <c r="DY223" i="43"/>
  <c r="T219" i="24"/>
  <c r="V219" s="1"/>
  <c r="W219" s="1"/>
  <c r="BP219" s="1"/>
  <c r="AG219" s="1"/>
  <c r="DY219" i="43"/>
  <c r="BI200" i="24"/>
  <c r="T215"/>
  <c r="V215" s="1"/>
  <c r="W215" s="1"/>
  <c r="BP215" s="1"/>
  <c r="AC206"/>
  <c r="DZ206" i="43"/>
  <c r="Y205" i="24" s="1"/>
  <c r="Z205" s="1"/>
  <c r="AC160"/>
  <c r="DZ160" i="43"/>
  <c r="AC220" i="24"/>
  <c r="DZ220" i="43"/>
  <c r="BI219" i="24"/>
  <c r="T213"/>
  <c r="V213" s="1"/>
  <c r="W213" s="1"/>
  <c r="BP213" s="1"/>
  <c r="AH213" s="1"/>
  <c r="AC204"/>
  <c r="DZ204" i="43"/>
  <c r="Y203" i="24" s="1"/>
  <c r="Z203" s="1"/>
  <c r="AH204"/>
  <c r="AG204"/>
  <c r="BI203"/>
  <c r="T197"/>
  <c r="V197" s="1"/>
  <c r="W197" s="1"/>
  <c r="BP197" s="1"/>
  <c r="AG197" s="1"/>
  <c r="T193"/>
  <c r="V193" s="1"/>
  <c r="W193" s="1"/>
  <c r="BP193" s="1"/>
  <c r="DY193" i="43"/>
  <c r="T189" i="24"/>
  <c r="V189" s="1"/>
  <c r="W189" s="1"/>
  <c r="BP189" s="1"/>
  <c r="DY189" i="43"/>
  <c r="AC235" i="24"/>
  <c r="DZ235" i="43"/>
  <c r="Y234" i="24" s="1"/>
  <c r="Z234" s="1"/>
  <c r="AH235"/>
  <c r="AG235"/>
  <c r="BI234"/>
  <c r="T228"/>
  <c r="V228" s="1"/>
  <c r="W228" s="1"/>
  <c r="BP228" s="1"/>
  <c r="AC219"/>
  <c r="DZ219" i="43"/>
  <c r="BI218" i="24"/>
  <c r="T212"/>
  <c r="V212" s="1"/>
  <c r="W212" s="1"/>
  <c r="BP212" s="1"/>
  <c r="AG212" s="1"/>
  <c r="DY212" i="43"/>
  <c r="AC203" i="24"/>
  <c r="DZ203" i="43"/>
  <c r="AH203" i="24"/>
  <c r="AG203"/>
  <c r="BI202"/>
  <c r="T187"/>
  <c r="V187" s="1"/>
  <c r="W187" s="1"/>
  <c r="BP187" s="1"/>
  <c r="AH187" s="1"/>
  <c r="DY187" i="43"/>
  <c r="BI195" i="24"/>
  <c r="BI183"/>
  <c r="BI162"/>
  <c r="DY198" i="43"/>
  <c r="T198" i="24"/>
  <c r="V198" s="1"/>
  <c r="W198" s="1"/>
  <c r="BP198" s="1"/>
  <c r="AH198" s="1"/>
  <c r="BI193"/>
  <c r="BI171"/>
  <c r="T159"/>
  <c r="V159" s="1"/>
  <c r="W159" s="1"/>
  <c r="BP159" s="1"/>
  <c r="AC189"/>
  <c r="DZ189" i="43"/>
  <c r="Y188" i="24" s="1"/>
  <c r="Z188" s="1"/>
  <c r="BI188"/>
  <c r="T178"/>
  <c r="V178" s="1"/>
  <c r="W178" s="1"/>
  <c r="BP178" s="1"/>
  <c r="AG178" s="1"/>
  <c r="DY178" i="43"/>
  <c r="AC173" i="24"/>
  <c r="DZ173" i="43"/>
  <c r="T172" i="24"/>
  <c r="V172" s="1"/>
  <c r="W172" s="1"/>
  <c r="BP172" s="1"/>
  <c r="AG172" s="1"/>
  <c r="DY172" i="43"/>
  <c r="T167" i="24"/>
  <c r="V167" s="1"/>
  <c r="W167" s="1"/>
  <c r="BP167" s="1"/>
  <c r="DY167" i="43"/>
  <c r="T163" i="24"/>
  <c r="V163" s="1"/>
  <c r="W163" s="1"/>
  <c r="BP163" s="1"/>
  <c r="DY163" i="43"/>
  <c r="BI198" i="24"/>
  <c r="T192"/>
  <c r="V192" s="1"/>
  <c r="W192" s="1"/>
  <c r="BP192" s="1"/>
  <c r="T162"/>
  <c r="V162" s="1"/>
  <c r="W162" s="1"/>
  <c r="BP162" s="1"/>
  <c r="AG162" s="1"/>
  <c r="DY162" i="43"/>
  <c r="T160" i="24"/>
  <c r="V160" s="1"/>
  <c r="W160" s="1"/>
  <c r="AC178"/>
  <c r="DZ178" i="43"/>
  <c r="BI177" i="24"/>
  <c r="T171"/>
  <c r="V171" s="1"/>
  <c r="W171" s="1"/>
  <c r="BP171" s="1"/>
  <c r="AG171" s="1"/>
  <c r="DY171" i="43"/>
  <c r="BI164" i="24"/>
  <c r="AC163"/>
  <c r="DZ163" i="43"/>
  <c r="T158" i="24"/>
  <c r="V158" s="1"/>
  <c r="W158" s="1"/>
  <c r="BP158" s="1"/>
  <c r="AG158" s="1"/>
  <c r="DY158" i="43"/>
  <c r="AF103" i="45"/>
  <c r="M106" i="43"/>
  <c r="N106" s="1"/>
  <c r="H106"/>
  <c r="AF259" i="45"/>
  <c r="H262" i="43"/>
  <c r="H186"/>
  <c r="AF183" i="45"/>
  <c r="AF315"/>
  <c r="H318" i="43"/>
  <c r="H230"/>
  <c r="AF227" i="45"/>
  <c r="H346" i="43"/>
  <c r="AF343" i="45"/>
  <c r="H284" i="43"/>
  <c r="AF281" i="45"/>
  <c r="H193" i="43"/>
  <c r="AF190" i="45"/>
  <c r="H184" i="43"/>
  <c r="AF181" i="45"/>
  <c r="H319" i="43"/>
  <c r="AF316" i="45"/>
  <c r="H247" i="43"/>
  <c r="AF244" i="45"/>
  <c r="H174" i="43"/>
  <c r="AF171" i="45"/>
  <c r="DY227" i="43"/>
  <c r="DY346"/>
  <c r="DY312"/>
  <c r="DY322"/>
  <c r="M216"/>
  <c r="N216" s="1"/>
  <c r="M345"/>
  <c r="N345" s="1"/>
  <c r="M343"/>
  <c r="N343" s="1"/>
  <c r="M276"/>
  <c r="N276" s="1"/>
  <c r="M328"/>
  <c r="N328" s="1"/>
  <c r="M212"/>
  <c r="N212" s="1"/>
  <c r="M254"/>
  <c r="N254" s="1"/>
  <c r="M176"/>
  <c r="N176" s="1"/>
  <c r="M175"/>
  <c r="N175" s="1"/>
  <c r="M199"/>
  <c r="N199" s="1"/>
  <c r="M247"/>
  <c r="N247" s="1"/>
  <c r="M259"/>
  <c r="N259" s="1"/>
  <c r="M315"/>
  <c r="N315" s="1"/>
  <c r="M179"/>
  <c r="N179" s="1"/>
  <c r="M182"/>
  <c r="N182" s="1"/>
  <c r="M239"/>
  <c r="N239" s="1"/>
  <c r="M263"/>
  <c r="N263" s="1"/>
  <c r="M303"/>
  <c r="N303" s="1"/>
  <c r="M167"/>
  <c r="N167" s="1"/>
  <c r="M183"/>
  <c r="N183" s="1"/>
  <c r="M237"/>
  <c r="N237" s="1"/>
  <c r="M250"/>
  <c r="N250" s="1"/>
  <c r="M385"/>
  <c r="M197"/>
  <c r="N197" s="1"/>
  <c r="M209"/>
  <c r="N209" s="1"/>
  <c r="M225"/>
  <c r="N225" s="1"/>
  <c r="M321"/>
  <c r="N321" s="1"/>
  <c r="M336"/>
  <c r="N336" s="1"/>
  <c r="M348"/>
  <c r="N348" s="1"/>
  <c r="M368"/>
  <c r="N368" s="1"/>
  <c r="M289"/>
  <c r="N289" s="1"/>
  <c r="M295"/>
  <c r="N295" s="1"/>
  <c r="M364"/>
  <c r="N364" s="1"/>
  <c r="N196"/>
  <c r="P104" i="24"/>
  <c r="Y104"/>
  <c r="Z104" s="1"/>
  <c r="C18" i="44"/>
  <c r="C11"/>
  <c r="Y122" i="24"/>
  <c r="Z122" s="1"/>
  <c r="Y36"/>
  <c r="Z36" s="1"/>
  <c r="Y123"/>
  <c r="Z123" s="1"/>
  <c r="C17" i="44"/>
  <c r="AH125" i="24"/>
  <c r="AG125"/>
  <c r="AG110"/>
  <c r="AH110"/>
  <c r="AH120"/>
  <c r="AG120"/>
  <c r="AG151"/>
  <c r="AH151"/>
  <c r="AH100"/>
  <c r="AG100"/>
  <c r="AG86"/>
  <c r="AH86"/>
  <c r="AG71"/>
  <c r="AH71"/>
  <c r="AH77"/>
  <c r="AG77"/>
  <c r="AG126"/>
  <c r="AH126"/>
  <c r="AH137"/>
  <c r="AG137"/>
  <c r="AH53"/>
  <c r="AG53"/>
  <c r="AH116"/>
  <c r="AG116"/>
  <c r="AG35"/>
  <c r="AH35"/>
  <c r="AG118"/>
  <c r="AH118"/>
  <c r="AH68"/>
  <c r="AG68"/>
  <c r="AH93"/>
  <c r="AG93"/>
  <c r="AH132"/>
  <c r="AG132"/>
  <c r="AG143"/>
  <c r="AH143"/>
  <c r="AH101"/>
  <c r="AG101"/>
  <c r="AG74"/>
  <c r="AH74"/>
  <c r="AG98"/>
  <c r="AH98"/>
  <c r="AH141"/>
  <c r="AG141"/>
  <c r="AH32"/>
  <c r="AG32"/>
  <c r="AG155"/>
  <c r="AH155"/>
  <c r="AH117"/>
  <c r="AG117"/>
  <c r="AG34"/>
  <c r="AH34"/>
  <c r="AG130"/>
  <c r="AH130"/>
  <c r="AH17"/>
  <c r="AG17"/>
  <c r="AG30"/>
  <c r="AH30"/>
  <c r="AG107"/>
  <c r="AH107"/>
  <c r="AH60"/>
  <c r="AG60"/>
  <c r="AG66"/>
  <c r="AH66"/>
  <c r="AH41"/>
  <c r="AG41"/>
  <c r="AG23"/>
  <c r="AH23"/>
  <c r="AG31"/>
  <c r="AH31"/>
  <c r="DD312" i="43"/>
  <c r="DE312" s="1"/>
  <c r="DD314"/>
  <c r="DE314" s="1"/>
  <c r="DE309"/>
  <c r="BS309" s="1"/>
  <c r="DE313"/>
  <c r="AZ313" s="1"/>
  <c r="DE279"/>
  <c r="BS279" s="1"/>
  <c r="DE221"/>
  <c r="CN221" s="1"/>
  <c r="DE330"/>
  <c r="AX330" s="1"/>
  <c r="Y8" i="24"/>
  <c r="Z8" s="1"/>
  <c r="BP105"/>
  <c r="Y105"/>
  <c r="Z105" s="1"/>
  <c r="Y30"/>
  <c r="Z30" s="1"/>
  <c r="GP8" i="43"/>
  <c r="H157"/>
  <c r="AF154" i="45"/>
  <c r="M157" i="43"/>
  <c r="N157" s="1"/>
  <c r="CX144"/>
  <c r="DB20"/>
  <c r="DC20" s="1"/>
  <c r="DD20" s="1"/>
  <c r="DE20" s="1"/>
  <c r="CN20" s="1"/>
  <c r="DE262"/>
  <c r="AG262" s="1"/>
  <c r="BK262" i="24" s="1"/>
  <c r="DD326" i="43"/>
  <c r="DE326" s="1"/>
  <c r="DB110"/>
  <c r="DC110" s="1"/>
  <c r="DD110" s="1"/>
  <c r="DE110" s="1"/>
  <c r="AD323" i="45"/>
  <c r="AD129"/>
  <c r="AA382"/>
  <c r="AB382" s="1"/>
  <c r="Z382"/>
  <c r="AD14"/>
  <c r="AD247"/>
  <c r="AD126"/>
  <c r="DB130" i="43"/>
  <c r="DC130" s="1"/>
  <c r="CX79"/>
  <c r="AD176" i="45"/>
  <c r="DD320" i="43"/>
  <c r="DE320" s="1"/>
  <c r="DD283"/>
  <c r="DE283" s="1"/>
  <c r="DE338"/>
  <c r="AZ338" s="1"/>
  <c r="DE276"/>
  <c r="BQ276" s="1"/>
  <c r="DD228"/>
  <c r="DE228" s="1"/>
  <c r="DD342"/>
  <c r="DE342" s="1"/>
  <c r="AD159" i="45"/>
  <c r="DE225" i="43"/>
  <c r="AZ225" s="1"/>
  <c r="AD15" i="45"/>
  <c r="DB94" i="43"/>
  <c r="DC94" s="1"/>
  <c r="DD94" s="1"/>
  <c r="DE94" s="1"/>
  <c r="DD272"/>
  <c r="DE272" s="1"/>
  <c r="DB144"/>
  <c r="DC144" s="1"/>
  <c r="DD144" s="1"/>
  <c r="DE144" s="1"/>
  <c r="DB64"/>
  <c r="DC64" s="1"/>
  <c r="DD64" s="1"/>
  <c r="DE64" s="1"/>
  <c r="BO64" s="1"/>
  <c r="AD76" i="45"/>
  <c r="DE328" i="43"/>
  <c r="CJ328" s="1"/>
  <c r="DD346"/>
  <c r="DE346" s="1"/>
  <c r="DD292"/>
  <c r="DE292" s="1"/>
  <c r="DB108"/>
  <c r="DC108" s="1"/>
  <c r="DD108" s="1"/>
  <c r="DE108" s="1"/>
  <c r="AD164" i="45"/>
  <c r="AD119"/>
  <c r="AD291"/>
  <c r="AD312"/>
  <c r="AD360"/>
  <c r="AD160"/>
  <c r="AD307"/>
  <c r="AD118"/>
  <c r="DE218" i="43"/>
  <c r="BQ218" s="1"/>
  <c r="DE215"/>
  <c r="AZ215" s="1"/>
  <c r="AD16" i="45"/>
  <c r="AD274"/>
  <c r="AD86"/>
  <c r="AD42"/>
  <c r="AD228"/>
  <c r="AD128"/>
  <c r="AD85"/>
  <c r="AD63"/>
  <c r="AD43"/>
  <c r="AD232"/>
  <c r="AD303"/>
  <c r="AD143"/>
  <c r="AD280"/>
  <c r="AD239"/>
  <c r="AD332"/>
  <c r="AD320"/>
  <c r="AD361"/>
  <c r="AD132"/>
  <c r="AD134"/>
  <c r="AD144"/>
  <c r="AD139"/>
  <c r="AD97"/>
  <c r="AD24"/>
  <c r="AD96"/>
  <c r="AD225"/>
  <c r="AD362"/>
  <c r="AD333"/>
  <c r="AD55"/>
  <c r="AD169"/>
  <c r="AD348"/>
  <c r="AD202"/>
  <c r="AD331"/>
  <c r="AD192"/>
  <c r="AD212"/>
  <c r="AD100"/>
  <c r="AD283"/>
  <c r="AD62"/>
  <c r="AD64"/>
  <c r="DB124" i="43"/>
  <c r="DC124" s="1"/>
  <c r="DD124" s="1"/>
  <c r="DE124" s="1"/>
  <c r="CX150"/>
  <c r="CX55"/>
  <c r="CX69"/>
  <c r="DB84"/>
  <c r="DC84" s="1"/>
  <c r="CX37"/>
  <c r="CX20"/>
  <c r="CX49"/>
  <c r="DB96"/>
  <c r="DC96" s="1"/>
  <c r="DD96" s="1"/>
  <c r="DE96" s="1"/>
  <c r="AG96" s="1"/>
  <c r="CX110"/>
  <c r="DB148"/>
  <c r="DC148" s="1"/>
  <c r="DD148" s="1"/>
  <c r="CX24"/>
  <c r="DB36"/>
  <c r="DC36" s="1"/>
  <c r="DD36" s="1"/>
  <c r="DE36" s="1"/>
  <c r="BQ36" s="1"/>
  <c r="AD68" i="45"/>
  <c r="AD190"/>
  <c r="AD197"/>
  <c r="AD61"/>
  <c r="AD141"/>
  <c r="AD113"/>
  <c r="AD330"/>
  <c r="AD29"/>
  <c r="AD57"/>
  <c r="AD375"/>
  <c r="DD274" i="43"/>
  <c r="DE274" s="1"/>
  <c r="CX81"/>
  <c r="CX76"/>
  <c r="DB10"/>
  <c r="DC10" s="1"/>
  <c r="DD10" s="1"/>
  <c r="DE10" s="1"/>
  <c r="CJ10" s="1"/>
  <c r="DB155"/>
  <c r="DC155" s="1"/>
  <c r="DD155" s="1"/>
  <c r="AD226" i="45"/>
  <c r="AD238"/>
  <c r="EU12" i="43"/>
  <c r="AD354" i="45"/>
  <c r="AD115"/>
  <c r="AD207"/>
  <c r="AD208"/>
  <c r="AD173"/>
  <c r="AD340"/>
  <c r="AD35"/>
  <c r="AD369"/>
  <c r="AD21"/>
  <c r="AD34"/>
  <c r="AD265"/>
  <c r="AD83"/>
  <c r="AD302"/>
  <c r="AD158"/>
  <c r="AD109"/>
  <c r="AD237"/>
  <c r="AD341"/>
  <c r="AD28"/>
  <c r="AD69"/>
  <c r="AD353"/>
  <c r="AD116"/>
  <c r="AD201"/>
  <c r="AD260"/>
  <c r="AD17"/>
  <c r="AD318"/>
  <c r="AD213"/>
  <c r="AD364"/>
  <c r="AD70"/>
  <c r="AD299"/>
  <c r="AD365"/>
  <c r="AD152"/>
  <c r="AD357"/>
  <c r="AD367"/>
  <c r="AD211"/>
  <c r="AD317"/>
  <c r="AD78"/>
  <c r="AD262"/>
  <c r="AD236"/>
  <c r="AD263"/>
  <c r="AD79"/>
  <c r="AD250"/>
  <c r="AD254"/>
  <c r="AD249"/>
  <c r="AD350"/>
  <c r="AD130"/>
  <c r="DE355" i="43"/>
  <c r="AX355" s="1"/>
  <c r="DB86"/>
  <c r="DC86" s="1"/>
  <c r="DD86" s="1"/>
  <c r="CX122"/>
  <c r="DB106"/>
  <c r="DC106" s="1"/>
  <c r="DD106" s="1"/>
  <c r="DE106" s="1"/>
  <c r="CX71"/>
  <c r="DB81"/>
  <c r="DC81" s="1"/>
  <c r="DD81" s="1"/>
  <c r="CX115"/>
  <c r="AD200" i="45"/>
  <c r="AD227"/>
  <c r="AD298"/>
  <c r="AD125"/>
  <c r="AD248"/>
  <c r="AD170"/>
  <c r="DB55" i="43"/>
  <c r="DC55" s="1"/>
  <c r="DD55" s="1"/>
  <c r="DE55" s="1"/>
  <c r="AD172" i="45"/>
  <c r="AD156"/>
  <c r="AD110"/>
  <c r="AD245"/>
  <c r="AD322"/>
  <c r="AD270"/>
  <c r="AD102"/>
  <c r="AD358"/>
  <c r="AD240"/>
  <c r="AD111"/>
  <c r="AD338"/>
  <c r="AD267"/>
  <c r="AD153"/>
  <c r="AD103"/>
  <c r="AD162"/>
  <c r="AD73"/>
  <c r="AD321"/>
  <c r="AD106"/>
  <c r="AD82"/>
  <c r="AD253"/>
  <c r="AD241"/>
  <c r="AD204"/>
  <c r="AD177"/>
  <c r="AD297"/>
  <c r="AD91"/>
  <c r="AD171"/>
  <c r="AD122"/>
  <c r="AD90"/>
  <c r="AD189"/>
  <c r="AD251"/>
  <c r="AD40"/>
  <c r="AD337"/>
  <c r="AD53"/>
  <c r="AD327"/>
  <c r="AD46"/>
  <c r="AD49"/>
  <c r="AD328"/>
  <c r="AD112"/>
  <c r="AD56"/>
  <c r="AD271"/>
  <c r="AD255"/>
  <c r="AD273"/>
  <c r="AD54"/>
  <c r="AD355"/>
  <c r="AD356"/>
  <c r="AD344"/>
  <c r="AD124"/>
  <c r="AD351"/>
  <c r="AD65"/>
  <c r="AD80"/>
  <c r="AD221"/>
  <c r="Z195"/>
  <c r="AD310"/>
  <c r="AD314"/>
  <c r="AD343"/>
  <c r="AD185"/>
  <c r="AD233"/>
  <c r="AD347"/>
  <c r="AD272"/>
  <c r="AD48"/>
  <c r="AD27"/>
  <c r="AD256"/>
  <c r="AD131"/>
  <c r="AD309"/>
  <c r="AD52"/>
  <c r="AD279"/>
  <c r="P8" i="24"/>
  <c r="AH8" s="1"/>
  <c r="AD220" i="45"/>
  <c r="AD198"/>
  <c r="DE290" i="43"/>
  <c r="AG290" s="1"/>
  <c r="BK290" i="24" s="1"/>
  <c r="DE236" i="43"/>
  <c r="CL236" s="1"/>
  <c r="AD277" i="45"/>
  <c r="CX84" i="43"/>
  <c r="CX53"/>
  <c r="DB53"/>
  <c r="DC53" s="1"/>
  <c r="DD53" s="1"/>
  <c r="DE53" s="1"/>
  <c r="AX53" s="1"/>
  <c r="DD380"/>
  <c r="DE380" s="1"/>
  <c r="DD232"/>
  <c r="DE232" s="1"/>
  <c r="DE186"/>
  <c r="CL186" s="1"/>
  <c r="DD288"/>
  <c r="DE288" s="1"/>
  <c r="CX136"/>
  <c r="CX73"/>
  <c r="DB17"/>
  <c r="DC17" s="1"/>
  <c r="DD17" s="1"/>
  <c r="DE17" s="1"/>
  <c r="CJ17" s="1"/>
  <c r="DD322"/>
  <c r="DE322" s="1"/>
  <c r="DB72"/>
  <c r="DC72" s="1"/>
  <c r="DD72" s="1"/>
  <c r="DE72" s="1"/>
  <c r="BO72" s="1"/>
  <c r="CX72"/>
  <c r="DD372"/>
  <c r="DE372" s="1"/>
  <c r="DD213"/>
  <c r="DE213" s="1"/>
  <c r="DE303"/>
  <c r="BS303" s="1"/>
  <c r="DB154"/>
  <c r="DC154" s="1"/>
  <c r="DD154" s="1"/>
  <c r="DB79"/>
  <c r="DC79" s="1"/>
  <c r="DD79" s="1"/>
  <c r="DE79" s="1"/>
  <c r="BO79" s="1"/>
  <c r="CX10"/>
  <c r="AD142" i="45"/>
  <c r="FZ12" i="43"/>
  <c r="GJ12" s="1"/>
  <c r="GL12" s="1"/>
  <c r="BK12" s="1"/>
  <c r="BM12" s="1"/>
  <c r="FZ11"/>
  <c r="GX11" s="1"/>
  <c r="GZ11" s="1"/>
  <c r="AD45" i="45"/>
  <c r="DB8" i="43"/>
  <c r="DC8" s="1"/>
  <c r="DD8" s="1"/>
  <c r="DE8" s="1"/>
  <c r="CX102"/>
  <c r="CX106"/>
  <c r="DB136"/>
  <c r="DC136" s="1"/>
  <c r="DD136" s="1"/>
  <c r="DB49"/>
  <c r="DC49" s="1"/>
  <c r="DD49" s="1"/>
  <c r="DE49" s="1"/>
  <c r="CL49" s="1"/>
  <c r="CX148"/>
  <c r="DB150"/>
  <c r="DC150" s="1"/>
  <c r="DD150" s="1"/>
  <c r="DE150" s="1"/>
  <c r="DB69"/>
  <c r="DC69" s="1"/>
  <c r="DD69" s="1"/>
  <c r="DE69" s="1"/>
  <c r="CX59"/>
  <c r="DB22"/>
  <c r="DC22" s="1"/>
  <c r="DD22" s="1"/>
  <c r="DE22" s="1"/>
  <c r="CL22" s="1"/>
  <c r="CX126"/>
  <c r="CX11"/>
  <c r="CX154"/>
  <c r="DB76"/>
  <c r="DC76" s="1"/>
  <c r="DD76" s="1"/>
  <c r="DE76" s="1"/>
  <c r="BQ76" s="1"/>
  <c r="AD88" i="45"/>
  <c r="AD50"/>
  <c r="AD326"/>
  <c r="CX155" i="43"/>
  <c r="DE240"/>
  <c r="BS240" s="1"/>
  <c r="DE299"/>
  <c r="BQ299" s="1"/>
  <c r="DD266"/>
  <c r="DE266" s="1"/>
  <c r="J15" i="34"/>
  <c r="Z174" i="45"/>
  <c r="CX141" i="43"/>
  <c r="DB35"/>
  <c r="DC35" s="1"/>
  <c r="DD35" s="1"/>
  <c r="DE35" s="1"/>
  <c r="AZ35" s="1"/>
  <c r="CX35"/>
  <c r="DB73"/>
  <c r="DC73" s="1"/>
  <c r="DD73" s="1"/>
  <c r="DE73" s="1"/>
  <c r="CL73" s="1"/>
  <c r="DB141"/>
  <c r="DC141" s="1"/>
  <c r="DD141" s="1"/>
  <c r="DB123"/>
  <c r="DC123" s="1"/>
  <c r="DD123" s="1"/>
  <c r="DE123" s="1"/>
  <c r="AG123" s="1"/>
  <c r="DE285"/>
  <c r="AZ285" s="1"/>
  <c r="DD378"/>
  <c r="DE378" s="1"/>
  <c r="CX50"/>
  <c r="DB50"/>
  <c r="DC50" s="1"/>
  <c r="DD50" s="1"/>
  <c r="CX57"/>
  <c r="DB40"/>
  <c r="DC40" s="1"/>
  <c r="DD40" s="1"/>
  <c r="DE40" s="1"/>
  <c r="AZ40" s="1"/>
  <c r="CX121"/>
  <c r="CX96"/>
  <c r="DB89"/>
  <c r="DC89" s="1"/>
  <c r="DD89" s="1"/>
  <c r="DE89" s="1"/>
  <c r="DB97"/>
  <c r="DC97" s="1"/>
  <c r="DD97" s="1"/>
  <c r="DE97" s="1"/>
  <c r="CJ97" s="1"/>
  <c r="CX97"/>
  <c r="DE192"/>
  <c r="AX192" s="1"/>
  <c r="DE277"/>
  <c r="AZ277" s="1"/>
  <c r="DD301"/>
  <c r="DE301" s="1"/>
  <c r="CX105"/>
  <c r="J44" i="34"/>
  <c r="J41"/>
  <c r="J64"/>
  <c r="DB142" i="43"/>
  <c r="DC142" s="1"/>
  <c r="DD142" s="1"/>
  <c r="CX142"/>
  <c r="DB14"/>
  <c r="DC14" s="1"/>
  <c r="DD14" s="1"/>
  <c r="DE14" s="1"/>
  <c r="CX14"/>
  <c r="DB61"/>
  <c r="DC61" s="1"/>
  <c r="DD61" s="1"/>
  <c r="DE61" s="1"/>
  <c r="CL61" s="1"/>
  <c r="CX61"/>
  <c r="CX151"/>
  <c r="DB113"/>
  <c r="DC113" s="1"/>
  <c r="DD113" s="1"/>
  <c r="DE113" s="1"/>
  <c r="CJ113" s="1"/>
  <c r="CX113"/>
  <c r="CX111"/>
  <c r="DB117"/>
  <c r="DC117" s="1"/>
  <c r="DD117" s="1"/>
  <c r="DE117" s="1"/>
  <c r="CX145"/>
  <c r="DB145"/>
  <c r="DC145" s="1"/>
  <c r="DD145" s="1"/>
  <c r="DB15"/>
  <c r="DC15" s="1"/>
  <c r="DD15" s="1"/>
  <c r="DE15" s="1"/>
  <c r="AV15" s="1"/>
  <c r="CX41"/>
  <c r="CX138"/>
  <c r="DB138"/>
  <c r="DC138" s="1"/>
  <c r="DD138" s="1"/>
  <c r="DB45"/>
  <c r="DC45" s="1"/>
  <c r="DD45" s="1"/>
  <c r="DE45" s="1"/>
  <c r="CJ45" s="1"/>
  <c r="CX45"/>
  <c r="CX56"/>
  <c r="DB56"/>
  <c r="DC56" s="1"/>
  <c r="DD56" s="1"/>
  <c r="DE56" s="1"/>
  <c r="BQ56" s="1"/>
  <c r="CX32"/>
  <c r="BO337"/>
  <c r="DB51"/>
  <c r="DC51" s="1"/>
  <c r="DD51" s="1"/>
  <c r="DE51" s="1"/>
  <c r="DB116"/>
  <c r="DC116" s="1"/>
  <c r="DD116" s="1"/>
  <c r="DE116" s="1"/>
  <c r="CX33"/>
  <c r="DB139"/>
  <c r="DC139" s="1"/>
  <c r="DD139" s="1"/>
  <c r="DE139" s="1"/>
  <c r="AZ139" s="1"/>
  <c r="DB70"/>
  <c r="DC70" s="1"/>
  <c r="DD70" s="1"/>
  <c r="DE70" s="1"/>
  <c r="BQ70" s="1"/>
  <c r="CX58"/>
  <c r="DB58"/>
  <c r="DC58" s="1"/>
  <c r="DD58" s="1"/>
  <c r="DE58" s="1"/>
  <c r="BO58" s="1"/>
  <c r="CX68"/>
  <c r="DB68"/>
  <c r="DC68" s="1"/>
  <c r="DD68" s="1"/>
  <c r="DE68" s="1"/>
  <c r="AG68" s="1"/>
  <c r="Q68" s="1"/>
  <c r="AO68" s="1"/>
  <c r="AP68" s="1"/>
  <c r="DB87"/>
  <c r="DC87" s="1"/>
  <c r="DD87" s="1"/>
  <c r="DE87" s="1"/>
  <c r="CX87"/>
  <c r="CX149"/>
  <c r="AV337"/>
  <c r="DB122"/>
  <c r="DC122" s="1"/>
  <c r="DD122" s="1"/>
  <c r="DE122" s="1"/>
  <c r="DB102"/>
  <c r="DC102" s="1"/>
  <c r="DB38"/>
  <c r="DC38" s="1"/>
  <c r="DD38" s="1"/>
  <c r="DE38" s="1"/>
  <c r="BS38" s="1"/>
  <c r="DB131"/>
  <c r="DC131" s="1"/>
  <c r="DD131" s="1"/>
  <c r="DE131" s="1"/>
  <c r="DB120"/>
  <c r="DC120" s="1"/>
  <c r="DD120" s="1"/>
  <c r="CX120"/>
  <c r="DB140"/>
  <c r="DC140" s="1"/>
  <c r="CX140"/>
  <c r="CX152"/>
  <c r="DB152"/>
  <c r="DC152" s="1"/>
  <c r="DD152" s="1"/>
  <c r="DE152" s="1"/>
  <c r="CX54"/>
  <c r="DB54"/>
  <c r="DC54" s="1"/>
  <c r="DD54" s="1"/>
  <c r="DE54" s="1"/>
  <c r="CN54" s="1"/>
  <c r="DB66"/>
  <c r="DC66" s="1"/>
  <c r="DD66" s="1"/>
  <c r="DE66" s="1"/>
  <c r="BO66" s="1"/>
  <c r="CX66"/>
  <c r="DD264"/>
  <c r="DE264" s="1"/>
  <c r="DB31"/>
  <c r="DC31" s="1"/>
  <c r="DD31" s="1"/>
  <c r="DE31" s="1"/>
  <c r="BO31" s="1"/>
  <c r="DB37"/>
  <c r="DC37" s="1"/>
  <c r="DD37" s="1"/>
  <c r="DE37" s="1"/>
  <c r="CX124"/>
  <c r="CX109"/>
  <c r="DB156"/>
  <c r="DC156" s="1"/>
  <c r="DD156" s="1"/>
  <c r="DE156" s="1"/>
  <c r="DB125"/>
  <c r="DC125" s="1"/>
  <c r="DD125" s="1"/>
  <c r="CX133"/>
  <c r="CX70"/>
  <c r="CX86"/>
  <c r="CX135"/>
  <c r="CX139"/>
  <c r="CX80"/>
  <c r="DB80"/>
  <c r="DC80" s="1"/>
  <c r="DD80" s="1"/>
  <c r="DE80" s="1"/>
  <c r="AV80" s="1"/>
  <c r="DB132"/>
  <c r="DC132" s="1"/>
  <c r="DD132" s="1"/>
  <c r="DE132" s="1"/>
  <c r="CX132"/>
  <c r="DB128"/>
  <c r="DC128" s="1"/>
  <c r="DD128" s="1"/>
  <c r="DE128" s="1"/>
  <c r="CX128"/>
  <c r="CX146"/>
  <c r="CX107"/>
  <c r="DB134"/>
  <c r="DC134" s="1"/>
  <c r="DD134" s="1"/>
  <c r="DE134" s="1"/>
  <c r="CX21"/>
  <c r="CJ337"/>
  <c r="DE318"/>
  <c r="BS318" s="1"/>
  <c r="DB41"/>
  <c r="DC41" s="1"/>
  <c r="DD41" s="1"/>
  <c r="DE41" s="1"/>
  <c r="DB71"/>
  <c r="DC71" s="1"/>
  <c r="DD71" s="1"/>
  <c r="DE71" s="1"/>
  <c r="CJ71" s="1"/>
  <c r="CX103"/>
  <c r="CX89"/>
  <c r="DB103"/>
  <c r="DC103" s="1"/>
  <c r="DD103" s="1"/>
  <c r="DE103" s="1"/>
  <c r="DB105"/>
  <c r="DC105" s="1"/>
  <c r="DD105" s="1"/>
  <c r="DE105" s="1"/>
  <c r="DB111"/>
  <c r="DC111" s="1"/>
  <c r="DD111" s="1"/>
  <c r="DE111" s="1"/>
  <c r="BS111" s="1"/>
  <c r="CX117"/>
  <c r="CX125"/>
  <c r="CX17"/>
  <c r="DB95"/>
  <c r="DC95" s="1"/>
  <c r="DD95" s="1"/>
  <c r="DE95" s="1"/>
  <c r="BO95" s="1"/>
  <c r="CX83"/>
  <c r="CX131"/>
  <c r="DB39"/>
  <c r="DC39" s="1"/>
  <c r="DD39" s="1"/>
  <c r="DE39" s="1"/>
  <c r="AZ39" s="1"/>
  <c r="CX92"/>
  <c r="Z188" i="45"/>
  <c r="Z163"/>
  <c r="J54" i="34"/>
  <c r="J53"/>
  <c r="J29"/>
  <c r="CX75" i="43"/>
  <c r="DB75"/>
  <c r="DC75" s="1"/>
  <c r="DD75" s="1"/>
  <c r="DE75" s="1"/>
  <c r="DB101"/>
  <c r="DC101" s="1"/>
  <c r="DD101" s="1"/>
  <c r="DE101" s="1"/>
  <c r="BO101" s="1"/>
  <c r="CX101"/>
  <c r="CX95"/>
  <c r="J38" i="34"/>
  <c r="DB63" i="43"/>
  <c r="DC63" s="1"/>
  <c r="DD63" s="1"/>
  <c r="DE63" s="1"/>
  <c r="AX63" s="1"/>
  <c r="CX9"/>
  <c r="CX64"/>
  <c r="DB83"/>
  <c r="DC83" s="1"/>
  <c r="CX51"/>
  <c r="CX127"/>
  <c r="J46" i="34"/>
  <c r="J9"/>
  <c r="J52"/>
  <c r="J69"/>
  <c r="CX108" i="43"/>
  <c r="J66" i="34"/>
  <c r="DB109" i="43"/>
  <c r="DC109" s="1"/>
  <c r="DD109" s="1"/>
  <c r="DE109" s="1"/>
  <c r="AX109" s="1"/>
  <c r="J31" i="34"/>
  <c r="DB133" i="43"/>
  <c r="DC133" s="1"/>
  <c r="DD133" s="1"/>
  <c r="DE133" s="1"/>
  <c r="DB28"/>
  <c r="DC28" s="1"/>
  <c r="DD28" s="1"/>
  <c r="DE28" s="1"/>
  <c r="BO28" s="1"/>
  <c r="CX25"/>
  <c r="DB21"/>
  <c r="DC21" s="1"/>
  <c r="DD21" s="1"/>
  <c r="DE21" s="1"/>
  <c r="AV21" s="1"/>
  <c r="DB99"/>
  <c r="DC99" s="1"/>
  <c r="DD99" s="1"/>
  <c r="DE99" s="1"/>
  <c r="CJ99" s="1"/>
  <c r="Z168" i="45"/>
  <c r="CX116" i="43"/>
  <c r="CX130"/>
  <c r="Z175" i="45"/>
  <c r="Z191"/>
  <c r="CX39" i="43"/>
  <c r="CN337"/>
  <c r="BQ337"/>
  <c r="DD188"/>
  <c r="DE188" s="1"/>
  <c r="DB92"/>
  <c r="DC92" s="1"/>
  <c r="DD92" s="1"/>
  <c r="DE92" s="1"/>
  <c r="CX123"/>
  <c r="DB77"/>
  <c r="DC77" s="1"/>
  <c r="DD77" s="1"/>
  <c r="DE77" s="1"/>
  <c r="BO77" s="1"/>
  <c r="CX77"/>
  <c r="CX91"/>
  <c r="DE234"/>
  <c r="AV234" s="1"/>
  <c r="DB93"/>
  <c r="DC93" s="1"/>
  <c r="DD93" s="1"/>
  <c r="DE93" s="1"/>
  <c r="CX93"/>
  <c r="CL337"/>
  <c r="BH15"/>
  <c r="BQ161"/>
  <c r="AV161"/>
  <c r="BS161"/>
  <c r="CL161"/>
  <c r="AG161"/>
  <c r="BK161" i="24" s="1"/>
  <c r="AX161" i="43"/>
  <c r="CN161"/>
  <c r="AZ161"/>
  <c r="CJ161"/>
  <c r="BO161"/>
  <c r="CX15"/>
  <c r="CX27"/>
  <c r="CX38"/>
  <c r="Z182" i="45"/>
  <c r="DE242" i="43"/>
  <c r="BS242" s="1"/>
  <c r="DB114"/>
  <c r="DC114" s="1"/>
  <c r="DB78"/>
  <c r="DC78" s="1"/>
  <c r="DD78" s="1"/>
  <c r="DE78" s="1"/>
  <c r="BS337"/>
  <c r="AZ337"/>
  <c r="AX337"/>
  <c r="DD357"/>
  <c r="DE357" s="1"/>
  <c r="DD336"/>
  <c r="DE336" s="1"/>
  <c r="DB16"/>
  <c r="DC16" s="1"/>
  <c r="DD16" s="1"/>
  <c r="DE16" s="1"/>
  <c r="AZ16" s="1"/>
  <c r="CJ296"/>
  <c r="CN296"/>
  <c r="AV296"/>
  <c r="AZ296"/>
  <c r="BS296"/>
  <c r="AG296"/>
  <c r="BK296" i="24" s="1"/>
  <c r="AX296" i="43"/>
  <c r="BQ296"/>
  <c r="CL296"/>
  <c r="BO296"/>
  <c r="AV270"/>
  <c r="AZ270"/>
  <c r="CL270"/>
  <c r="BQ270"/>
  <c r="CN270"/>
  <c r="BO270"/>
  <c r="AX270"/>
  <c r="CJ270"/>
  <c r="BS270"/>
  <c r="AG270"/>
  <c r="BK270" i="24" s="1"/>
  <c r="AX252" i="43"/>
  <c r="BQ252"/>
  <c r="CN252"/>
  <c r="CJ252"/>
  <c r="AZ252"/>
  <c r="BS252"/>
  <c r="BO252"/>
  <c r="CL252"/>
  <c r="AV252"/>
  <c r="AG252"/>
  <c r="BK252" i="24" s="1"/>
  <c r="BO258" i="43"/>
  <c r="BQ258"/>
  <c r="CN258"/>
  <c r="CL258"/>
  <c r="AV258"/>
  <c r="AX258"/>
  <c r="AZ258"/>
  <c r="BS258"/>
  <c r="CJ258"/>
  <c r="AG258"/>
  <c r="BK258" i="24" s="1"/>
  <c r="AX280" i="43"/>
  <c r="BQ280"/>
  <c r="CN280"/>
  <c r="BO280"/>
  <c r="CL280"/>
  <c r="BS280"/>
  <c r="AV280"/>
  <c r="CJ280"/>
  <c r="AZ280"/>
  <c r="AG280"/>
  <c r="BK280" i="24" s="1"/>
  <c r="BO233" i="43"/>
  <c r="AZ233"/>
  <c r="BS233"/>
  <c r="CJ233"/>
  <c r="AX233"/>
  <c r="CL233"/>
  <c r="CN233"/>
  <c r="BQ233"/>
  <c r="AV233"/>
  <c r="AG233"/>
  <c r="BK233" i="24" s="1"/>
  <c r="BQ243" i="43"/>
  <c r="AZ243"/>
  <c r="CN243"/>
  <c r="AX243"/>
  <c r="CL243"/>
  <c r="CJ243"/>
  <c r="AG243"/>
  <c r="BK243" i="24" s="1"/>
  <c r="BS243" i="43"/>
  <c r="BO243"/>
  <c r="AV243"/>
  <c r="BO293"/>
  <c r="BQ293"/>
  <c r="BS293"/>
  <c r="AV293"/>
  <c r="CL293"/>
  <c r="CN293"/>
  <c r="CJ293"/>
  <c r="AX293"/>
  <c r="AZ293"/>
  <c r="AG293"/>
  <c r="BK293" i="24" s="1"/>
  <c r="BO319" i="43"/>
  <c r="AZ319"/>
  <c r="AV319"/>
  <c r="BS319"/>
  <c r="CJ319"/>
  <c r="AX319"/>
  <c r="CL319"/>
  <c r="CN319"/>
  <c r="BQ319"/>
  <c r="AG319"/>
  <c r="BK319" i="24" s="1"/>
  <c r="AZ350" i="43"/>
  <c r="CL350"/>
  <c r="BQ350"/>
  <c r="BS350"/>
  <c r="CN350"/>
  <c r="CJ350"/>
  <c r="BO350"/>
  <c r="AV350"/>
  <c r="AX350"/>
  <c r="AG350"/>
  <c r="BK350" i="24" s="1"/>
  <c r="AV164" i="43"/>
  <c r="BS164"/>
  <c r="AX164"/>
  <c r="AZ164"/>
  <c r="BQ164"/>
  <c r="AG164"/>
  <c r="BK164" i="24" s="1"/>
  <c r="CL164" i="43"/>
  <c r="BO164"/>
  <c r="CJ164"/>
  <c r="CN164"/>
  <c r="AZ281"/>
  <c r="BS281"/>
  <c r="CL281"/>
  <c r="AV281"/>
  <c r="CJ281"/>
  <c r="BQ281"/>
  <c r="AX281"/>
  <c r="BO281"/>
  <c r="CN281"/>
  <c r="AG281"/>
  <c r="BK281" i="24" s="1"/>
  <c r="BO373" i="43"/>
  <c r="CJ373"/>
  <c r="CL373"/>
  <c r="AX373"/>
  <c r="AZ373"/>
  <c r="AV373"/>
  <c r="CN373"/>
  <c r="BQ373"/>
  <c r="BS373"/>
  <c r="AG373"/>
  <c r="BK373" i="24" s="1"/>
  <c r="BO183" i="43"/>
  <c r="CN183"/>
  <c r="AV183"/>
  <c r="AX183"/>
  <c r="CJ183"/>
  <c r="BQ183"/>
  <c r="AZ183"/>
  <c r="BS183"/>
  <c r="CL183"/>
  <c r="AG183"/>
  <c r="BK183" i="24" s="1"/>
  <c r="AV353" i="43"/>
  <c r="BS353"/>
  <c r="BO353"/>
  <c r="AX353"/>
  <c r="CJ353"/>
  <c r="CL353"/>
  <c r="AG353"/>
  <c r="BK353" i="24" s="1"/>
  <c r="AZ353" i="43"/>
  <c r="CN353"/>
  <c r="BQ353"/>
  <c r="AZ172"/>
  <c r="BS172"/>
  <c r="CL172"/>
  <c r="CN172"/>
  <c r="CJ172"/>
  <c r="BQ172"/>
  <c r="AX172"/>
  <c r="BO172"/>
  <c r="AG172"/>
  <c r="BK172" i="24" s="1"/>
  <c r="AV172" i="43"/>
  <c r="AZ194"/>
  <c r="BQ194"/>
  <c r="CJ194"/>
  <c r="BS194"/>
  <c r="CL194"/>
  <c r="CN194"/>
  <c r="BO194"/>
  <c r="AV194"/>
  <c r="AX194"/>
  <c r="AG194"/>
  <c r="BK194" i="24" s="1"/>
  <c r="CJ222" i="43"/>
  <c r="AZ222"/>
  <c r="CL222"/>
  <c r="AV222"/>
  <c r="BS222"/>
  <c r="CN222"/>
  <c r="AX222"/>
  <c r="BO222"/>
  <c r="BQ222"/>
  <c r="AG222"/>
  <c r="BK222" i="24" s="1"/>
  <c r="CL361" i="43"/>
  <c r="AZ361"/>
  <c r="AV361"/>
  <c r="BQ361"/>
  <c r="CN361"/>
  <c r="BO361"/>
  <c r="CJ361"/>
  <c r="BS361"/>
  <c r="AG361"/>
  <c r="BK361" i="24" s="1"/>
  <c r="AX361" i="43"/>
  <c r="CL374"/>
  <c r="AX374"/>
  <c r="AZ374"/>
  <c r="BO374"/>
  <c r="CJ374"/>
  <c r="BQ374"/>
  <c r="AV374"/>
  <c r="AG374"/>
  <c r="BK374" i="24" s="1"/>
  <c r="CN374" i="43"/>
  <c r="BS374"/>
  <c r="AG376"/>
  <c r="BK376" i="24" s="1"/>
  <c r="CL376" i="43"/>
  <c r="AX376"/>
  <c r="CJ376"/>
  <c r="AZ376"/>
  <c r="CN376"/>
  <c r="BQ376"/>
  <c r="AV376"/>
  <c r="BS376"/>
  <c r="BO376"/>
  <c r="AV294"/>
  <c r="AG294"/>
  <c r="BK294" i="24" s="1"/>
  <c r="AX294" i="43"/>
  <c r="AZ294"/>
  <c r="BS294"/>
  <c r="CL294"/>
  <c r="BO294"/>
  <c r="BQ294"/>
  <c r="CJ294"/>
  <c r="CN294"/>
  <c r="BS196"/>
  <c r="CL196"/>
  <c r="CN196"/>
  <c r="BO196"/>
  <c r="AX196"/>
  <c r="AV196"/>
  <c r="BQ196"/>
  <c r="CJ196"/>
  <c r="AZ196"/>
  <c r="AG196"/>
  <c r="BK196" i="24" s="1"/>
  <c r="AV244" i="43"/>
  <c r="BO244"/>
  <c r="BQ244"/>
  <c r="AZ244"/>
  <c r="AG244"/>
  <c r="BK244" i="24" s="1"/>
  <c r="CN244" i="43"/>
  <c r="BS244"/>
  <c r="CL244"/>
  <c r="CJ244"/>
  <c r="AX244"/>
  <c r="CJ169"/>
  <c r="AX169"/>
  <c r="CL169"/>
  <c r="AV169"/>
  <c r="BS169"/>
  <c r="BQ169"/>
  <c r="AZ169"/>
  <c r="AG169"/>
  <c r="BK169" i="24" s="1"/>
  <c r="BO169" i="43"/>
  <c r="CN169"/>
  <c r="CJ203"/>
  <c r="AX203"/>
  <c r="AZ203"/>
  <c r="AV203"/>
  <c r="BQ203"/>
  <c r="BS203"/>
  <c r="CN203"/>
  <c r="BO203"/>
  <c r="CL203"/>
  <c r="AG203"/>
  <c r="BK203" i="24" s="1"/>
  <c r="AZ227" i="43"/>
  <c r="BS227"/>
  <c r="CL227"/>
  <c r="AV227"/>
  <c r="CJ227"/>
  <c r="AX227"/>
  <c r="BO227"/>
  <c r="BQ227"/>
  <c r="CN227"/>
  <c r="AG227"/>
  <c r="BK227" i="24" s="1"/>
  <c r="CJ257" i="43"/>
  <c r="AV257"/>
  <c r="AX257"/>
  <c r="AZ257"/>
  <c r="CL257"/>
  <c r="BO257"/>
  <c r="CN257"/>
  <c r="BQ257"/>
  <c r="BS257"/>
  <c r="AG257"/>
  <c r="BK257" i="24" s="1"/>
  <c r="AZ305" i="43"/>
  <c r="BS305"/>
  <c r="CL305"/>
  <c r="CJ305"/>
  <c r="AV305"/>
  <c r="AX305"/>
  <c r="BQ305"/>
  <c r="BO305"/>
  <c r="CN305"/>
  <c r="AG305"/>
  <c r="BK305" i="24" s="1"/>
  <c r="CJ358" i="43"/>
  <c r="CN358"/>
  <c r="AX358"/>
  <c r="BO358"/>
  <c r="BS358"/>
  <c r="AV358"/>
  <c r="AZ358"/>
  <c r="CL358"/>
  <c r="BQ358"/>
  <c r="AG358"/>
  <c r="BK358" i="24" s="1"/>
  <c r="CJ352" i="43"/>
  <c r="AG352"/>
  <c r="BK352" i="24" s="1"/>
  <c r="BQ352" i="43"/>
  <c r="CN352"/>
  <c r="AX352"/>
  <c r="AZ352"/>
  <c r="BO352"/>
  <c r="BS352"/>
  <c r="CL352"/>
  <c r="AV352"/>
  <c r="BQ295"/>
  <c r="AX295"/>
  <c r="AZ295"/>
  <c r="AG295"/>
  <c r="BK295" i="24" s="1"/>
  <c r="CN295" i="43"/>
  <c r="BS295"/>
  <c r="CL295"/>
  <c r="BO295"/>
  <c r="CJ295"/>
  <c r="AV295"/>
  <c r="AV321"/>
  <c r="CN321"/>
  <c r="BO321"/>
  <c r="AX321"/>
  <c r="AZ321"/>
  <c r="BQ321"/>
  <c r="BS321"/>
  <c r="CL321"/>
  <c r="CJ321"/>
  <c r="AG321"/>
  <c r="BK321" i="24" s="1"/>
  <c r="BO191" i="43"/>
  <c r="BQ191"/>
  <c r="CL191"/>
  <c r="AV191"/>
  <c r="CN191"/>
  <c r="CJ191"/>
  <c r="AZ191"/>
  <c r="AX191"/>
  <c r="BS191"/>
  <c r="AG191"/>
  <c r="BK191" i="24" s="1"/>
  <c r="AZ217" i="43"/>
  <c r="BS217"/>
  <c r="CL217"/>
  <c r="BO217"/>
  <c r="CN217"/>
  <c r="AX217"/>
  <c r="CJ217"/>
  <c r="BQ217"/>
  <c r="AV217"/>
  <c r="AG217"/>
  <c r="BK217" i="24" s="1"/>
  <c r="BO291" i="43"/>
  <c r="AX291"/>
  <c r="BS291"/>
  <c r="BQ291"/>
  <c r="AV291"/>
  <c r="CL291"/>
  <c r="CN291"/>
  <c r="CJ291"/>
  <c r="AZ291"/>
  <c r="AG291"/>
  <c r="BK291" i="24" s="1"/>
  <c r="CL335" i="43"/>
  <c r="AV335"/>
  <c r="BQ335"/>
  <c r="AX335"/>
  <c r="CJ335"/>
  <c r="AG335"/>
  <c r="BK335" i="24" s="1"/>
  <c r="CN335" i="43"/>
  <c r="BS335"/>
  <c r="BO335"/>
  <c r="AZ335"/>
  <c r="BS385"/>
  <c r="AV385"/>
  <c r="CL385"/>
  <c r="BO385"/>
  <c r="CN385"/>
  <c r="CJ385"/>
  <c r="AX385"/>
  <c r="BQ385"/>
  <c r="AZ385"/>
  <c r="AG385"/>
  <c r="BK385" i="24" s="1"/>
  <c r="AX214" i="43"/>
  <c r="BQ214"/>
  <c r="CN214"/>
  <c r="CL214"/>
  <c r="CJ214"/>
  <c r="AV214"/>
  <c r="BO214"/>
  <c r="AZ214"/>
  <c r="BS214"/>
  <c r="AG214"/>
  <c r="BK214" i="24" s="1"/>
  <c r="CN334" i="43"/>
  <c r="AZ334"/>
  <c r="AG334"/>
  <c r="BK334" i="24" s="1"/>
  <c r="CJ334" i="43"/>
  <c r="BQ334"/>
  <c r="BS334"/>
  <c r="AV334"/>
  <c r="AX334"/>
  <c r="CL334"/>
  <c r="BO334"/>
  <c r="CJ180"/>
  <c r="BS180"/>
  <c r="AG180"/>
  <c r="BK180" i="24" s="1"/>
  <c r="BO180" i="43"/>
  <c r="AV180"/>
  <c r="CL180"/>
  <c r="AX180"/>
  <c r="CN180"/>
  <c r="BQ180"/>
  <c r="AZ180"/>
  <c r="AV206"/>
  <c r="CJ206"/>
  <c r="BQ206"/>
  <c r="CL206"/>
  <c r="BO206"/>
  <c r="AZ206"/>
  <c r="BS206"/>
  <c r="CN206"/>
  <c r="AX206"/>
  <c r="AG206"/>
  <c r="BK206" i="24" s="1"/>
  <c r="AV343" i="43"/>
  <c r="BS343"/>
  <c r="CN343"/>
  <c r="AX343"/>
  <c r="CL343"/>
  <c r="CJ343"/>
  <c r="BO343"/>
  <c r="BQ343"/>
  <c r="AZ343"/>
  <c r="AG343"/>
  <c r="BK343" i="24" s="1"/>
  <c r="AZ162" i="43"/>
  <c r="BS162"/>
  <c r="CL162"/>
  <c r="AX162"/>
  <c r="BQ162"/>
  <c r="CJ162"/>
  <c r="AG162"/>
  <c r="BK162" i="24" s="1"/>
  <c r="CN162" i="43"/>
  <c r="AV162"/>
  <c r="BO162"/>
  <c r="BQ177"/>
  <c r="BO177"/>
  <c r="CL177"/>
  <c r="CN177"/>
  <c r="AZ177"/>
  <c r="CJ177"/>
  <c r="AX177"/>
  <c r="BS177"/>
  <c r="AV177"/>
  <c r="AG177"/>
  <c r="BK177" i="24" s="1"/>
  <c r="AV204" i="43"/>
  <c r="BO204"/>
  <c r="AZ204"/>
  <c r="BS204"/>
  <c r="CN204"/>
  <c r="AX204"/>
  <c r="AG204"/>
  <c r="BK204" i="24" s="1"/>
  <c r="CL204" i="43"/>
  <c r="CJ204"/>
  <c r="BQ204"/>
  <c r="AG248"/>
  <c r="BK248" i="24" s="1"/>
  <c r="BQ248" i="43"/>
  <c r="BO248"/>
  <c r="CN248"/>
  <c r="AZ248"/>
  <c r="BS248"/>
  <c r="CL248"/>
  <c r="AV248"/>
  <c r="CJ248"/>
  <c r="AX248"/>
  <c r="BS349"/>
  <c r="CN349"/>
  <c r="AZ349"/>
  <c r="CL349"/>
  <c r="AG349"/>
  <c r="BK349" i="24" s="1"/>
  <c r="AX349" i="43"/>
  <c r="BQ349"/>
  <c r="AV349"/>
  <c r="CJ349"/>
  <c r="BO349"/>
  <c r="AV369"/>
  <c r="BO369"/>
  <c r="CN369"/>
  <c r="BQ369"/>
  <c r="CL369"/>
  <c r="AZ369"/>
  <c r="CJ369"/>
  <c r="AX369"/>
  <c r="BS369"/>
  <c r="AG369"/>
  <c r="BK369" i="24" s="1"/>
  <c r="CN359" i="43"/>
  <c r="AX359"/>
  <c r="CJ359"/>
  <c r="CL359"/>
  <c r="AG359"/>
  <c r="BK359" i="24" s="1"/>
  <c r="AV359" i="43"/>
  <c r="BO359"/>
  <c r="AZ359"/>
  <c r="BQ359"/>
  <c r="BS359"/>
  <c r="AZ255"/>
  <c r="BS255"/>
  <c r="CL255"/>
  <c r="BO255"/>
  <c r="CJ255"/>
  <c r="AX255"/>
  <c r="AV255"/>
  <c r="CN255"/>
  <c r="BQ255"/>
  <c r="AG255"/>
  <c r="BK255" i="24" s="1"/>
  <c r="CJ267" i="43"/>
  <c r="BQ267"/>
  <c r="AX267"/>
  <c r="CL267"/>
  <c r="CN267"/>
  <c r="BS267"/>
  <c r="BO267"/>
  <c r="AZ267"/>
  <c r="AV267"/>
  <c r="AG267"/>
  <c r="BK267" i="24" s="1"/>
  <c r="BS327" i="43"/>
  <c r="CJ327"/>
  <c r="CL327"/>
  <c r="AX327"/>
  <c r="CN327"/>
  <c r="BO327"/>
  <c r="BQ327"/>
  <c r="AZ327"/>
  <c r="AV327"/>
  <c r="AG327"/>
  <c r="BK327" i="24" s="1"/>
  <c r="CN333" i="43"/>
  <c r="AX333"/>
  <c r="CJ333"/>
  <c r="AG333"/>
  <c r="BK333" i="24" s="1"/>
  <c r="BS333" i="43"/>
  <c r="CL333"/>
  <c r="BO333"/>
  <c r="AV333"/>
  <c r="BQ333"/>
  <c r="AZ333"/>
  <c r="CJ348"/>
  <c r="BS348"/>
  <c r="AG348"/>
  <c r="BK348" i="24" s="1"/>
  <c r="AV348" i="43"/>
  <c r="BO348"/>
  <c r="BQ348"/>
  <c r="AX348"/>
  <c r="AZ348"/>
  <c r="CL348"/>
  <c r="CN348"/>
  <c r="AV351"/>
  <c r="BO351"/>
  <c r="BQ351"/>
  <c r="CN351"/>
  <c r="AX351"/>
  <c r="CJ351"/>
  <c r="BS351"/>
  <c r="CL351"/>
  <c r="AG351"/>
  <c r="BK351" i="24" s="1"/>
  <c r="AZ351" i="43"/>
  <c r="AX165"/>
  <c r="BQ165"/>
  <c r="CN165"/>
  <c r="AZ165"/>
  <c r="BS165"/>
  <c r="CL165"/>
  <c r="AV165"/>
  <c r="BO165"/>
  <c r="CJ165"/>
  <c r="AG165"/>
  <c r="BK165" i="24" s="1"/>
  <c r="AV189" i="43"/>
  <c r="BS189"/>
  <c r="CN189"/>
  <c r="BO189"/>
  <c r="AX189"/>
  <c r="CL189"/>
  <c r="CJ189"/>
  <c r="BQ189"/>
  <c r="AZ189"/>
  <c r="AG189"/>
  <c r="BK189" i="24" s="1"/>
  <c r="AZ239" i="43"/>
  <c r="AV239"/>
  <c r="BO239"/>
  <c r="BS239"/>
  <c r="AX239"/>
  <c r="CN239"/>
  <c r="CJ239"/>
  <c r="BQ239"/>
  <c r="CL239"/>
  <c r="AG239"/>
  <c r="BK239" i="24" s="1"/>
  <c r="AZ323" i="43"/>
  <c r="BO323"/>
  <c r="AX323"/>
  <c r="BS323"/>
  <c r="CN323"/>
  <c r="BQ323"/>
  <c r="AV323"/>
  <c r="CJ323"/>
  <c r="CL323"/>
  <c r="AG323"/>
  <c r="BK323" i="24" s="1"/>
  <c r="CL381" i="43"/>
  <c r="AX381"/>
  <c r="AZ381"/>
  <c r="AV381"/>
  <c r="BQ381"/>
  <c r="BS381"/>
  <c r="CN381"/>
  <c r="BO381"/>
  <c r="CJ381"/>
  <c r="AG381"/>
  <c r="BK381" i="24" s="1"/>
  <c r="AG238" i="43"/>
  <c r="BK238" i="24" s="1"/>
  <c r="CL238" i="43"/>
  <c r="BS238"/>
  <c r="AX238"/>
  <c r="AZ238"/>
  <c r="AV238"/>
  <c r="BO238"/>
  <c r="CJ238"/>
  <c r="BQ238"/>
  <c r="CN238"/>
  <c r="AX310"/>
  <c r="BQ310"/>
  <c r="CN310"/>
  <c r="BO310"/>
  <c r="CJ310"/>
  <c r="AZ310"/>
  <c r="AV310"/>
  <c r="BS310"/>
  <c r="CL310"/>
  <c r="AG310"/>
  <c r="BK310" i="24" s="1"/>
  <c r="CJ207" i="43"/>
  <c r="AZ207"/>
  <c r="AX207"/>
  <c r="BO207"/>
  <c r="AV207"/>
  <c r="BS207"/>
  <c r="BQ207"/>
  <c r="CL207"/>
  <c r="CN207"/>
  <c r="AG207"/>
  <c r="BK207" i="24" s="1"/>
  <c r="CJ247" i="43"/>
  <c r="BS247"/>
  <c r="CL247"/>
  <c r="BO247"/>
  <c r="AX247"/>
  <c r="AV247"/>
  <c r="AG247"/>
  <c r="BK247" i="24" s="1"/>
  <c r="BQ247" i="43"/>
  <c r="CN247"/>
  <c r="AZ247"/>
  <c r="AZ166"/>
  <c r="BS166"/>
  <c r="CL166"/>
  <c r="BQ166"/>
  <c r="CJ166"/>
  <c r="AV166"/>
  <c r="AX166"/>
  <c r="CN166"/>
  <c r="AG166"/>
  <c r="BK166" i="24" s="1"/>
  <c r="BO166" i="43"/>
  <c r="AX159"/>
  <c r="BQ159"/>
  <c r="CN159"/>
  <c r="CL159"/>
  <c r="CJ159"/>
  <c r="BO159"/>
  <c r="AZ159"/>
  <c r="AV159"/>
  <c r="BS159"/>
  <c r="AG159"/>
  <c r="BK159" i="24" s="1"/>
  <c r="AX212" i="43"/>
  <c r="BQ212"/>
  <c r="CN212"/>
  <c r="CJ212"/>
  <c r="CL212"/>
  <c r="BS212"/>
  <c r="BO212"/>
  <c r="AZ212"/>
  <c r="AV212"/>
  <c r="AG212"/>
  <c r="BK212" i="24" s="1"/>
  <c r="AG316" i="43"/>
  <c r="BK316" i="24" s="1"/>
  <c r="CJ316" i="43"/>
  <c r="BQ316"/>
  <c r="AV316"/>
  <c r="CL316"/>
  <c r="AX316"/>
  <c r="BS316"/>
  <c r="BO316"/>
  <c r="CN316"/>
  <c r="AZ316"/>
  <c r="CN210"/>
  <c r="CL210"/>
  <c r="AV210"/>
  <c r="AX210"/>
  <c r="BO210"/>
  <c r="BQ210"/>
  <c r="CJ210"/>
  <c r="BS210"/>
  <c r="AZ210"/>
  <c r="AX226"/>
  <c r="BQ226"/>
  <c r="CN226"/>
  <c r="BO226"/>
  <c r="CL226"/>
  <c r="AZ226"/>
  <c r="AV226"/>
  <c r="CJ226"/>
  <c r="BS226"/>
  <c r="AG226"/>
  <c r="BK226" i="24" s="1"/>
  <c r="AX308" i="43"/>
  <c r="BQ308"/>
  <c r="CN308"/>
  <c r="AZ308"/>
  <c r="BO308"/>
  <c r="CL308"/>
  <c r="AV308"/>
  <c r="BS308"/>
  <c r="CJ308"/>
  <c r="AG308"/>
  <c r="BK308" i="24" s="1"/>
  <c r="CL182" i="43"/>
  <c r="BO182"/>
  <c r="AV182"/>
  <c r="BQ182"/>
  <c r="AZ182"/>
  <c r="CN182"/>
  <c r="BS182"/>
  <c r="CJ182"/>
  <c r="AX182"/>
  <c r="AG182"/>
  <c r="BK182" i="24" s="1"/>
  <c r="BS199" i="43"/>
  <c r="BO199"/>
  <c r="BQ199"/>
  <c r="AV199"/>
  <c r="CJ199"/>
  <c r="CN199"/>
  <c r="AZ199"/>
  <c r="CL199"/>
  <c r="AX199"/>
  <c r="AG199"/>
  <c r="BK199" i="24" s="1"/>
  <c r="AX205" i="43"/>
  <c r="BS205"/>
  <c r="CJ205"/>
  <c r="BQ205"/>
  <c r="AV205"/>
  <c r="CN205"/>
  <c r="BO205"/>
  <c r="AZ205"/>
  <c r="CL205"/>
  <c r="AG205"/>
  <c r="BK205" i="24" s="1"/>
  <c r="CN331" i="43"/>
  <c r="BQ331"/>
  <c r="BS331"/>
  <c r="AV331"/>
  <c r="CJ331"/>
  <c r="CL331"/>
  <c r="BO331"/>
  <c r="AX331"/>
  <c r="AZ331"/>
  <c r="AG331"/>
  <c r="BK331" i="24" s="1"/>
  <c r="BO379" i="43"/>
  <c r="AX379"/>
  <c r="AZ379"/>
  <c r="CN379"/>
  <c r="CJ379"/>
  <c r="BQ379"/>
  <c r="BS379"/>
  <c r="AV379"/>
  <c r="CL379"/>
  <c r="AG379"/>
  <c r="BK379" i="24" s="1"/>
  <c r="AX347" i="43"/>
  <c r="CN347"/>
  <c r="AV347"/>
  <c r="CJ347"/>
  <c r="AZ347"/>
  <c r="BO347"/>
  <c r="BQ347"/>
  <c r="BS347"/>
  <c r="CL347"/>
  <c r="AG347"/>
  <c r="BK347" i="24" s="1"/>
  <c r="AV209" i="43"/>
  <c r="CN209"/>
  <c r="CL209"/>
  <c r="AG209"/>
  <c r="BK209" i="24" s="1"/>
  <c r="AX209" i="43"/>
  <c r="AZ209"/>
  <c r="CJ209"/>
  <c r="BQ209"/>
  <c r="BS209"/>
  <c r="BO209"/>
  <c r="AV297"/>
  <c r="AZ297"/>
  <c r="CN297"/>
  <c r="BQ297"/>
  <c r="CL297"/>
  <c r="CJ297"/>
  <c r="AX297"/>
  <c r="AG297"/>
  <c r="BK297" i="24" s="1"/>
  <c r="BO297" i="43"/>
  <c r="BS297"/>
  <c r="BO364"/>
  <c r="AX364"/>
  <c r="AZ364"/>
  <c r="CN364"/>
  <c r="CJ364"/>
  <c r="BQ364"/>
  <c r="BS364"/>
  <c r="CL364"/>
  <c r="AV364"/>
  <c r="AG364"/>
  <c r="BK364" i="24" s="1"/>
  <c r="AZ178" i="43"/>
  <c r="BS178"/>
  <c r="CL178"/>
  <c r="BO178"/>
  <c r="CJ178"/>
  <c r="BQ178"/>
  <c r="AG178"/>
  <c r="BK178" i="24" s="1"/>
  <c r="AV178" i="43"/>
  <c r="CN178"/>
  <c r="AX178"/>
  <c r="AZ195"/>
  <c r="CJ195"/>
  <c r="AV195"/>
  <c r="BS195"/>
  <c r="BO195"/>
  <c r="CN195"/>
  <c r="AX195"/>
  <c r="CL195"/>
  <c r="AG195"/>
  <c r="BK195" i="24" s="1"/>
  <c r="BQ195" i="43"/>
  <c r="AZ302"/>
  <c r="CL302"/>
  <c r="CJ302"/>
  <c r="AV302"/>
  <c r="BS302"/>
  <c r="CN302"/>
  <c r="AX302"/>
  <c r="BO302"/>
  <c r="BQ302"/>
  <c r="AG302"/>
  <c r="BK302" i="24" s="1"/>
  <c r="BS370" i="43"/>
  <c r="CJ370"/>
  <c r="CN370"/>
  <c r="AV370"/>
  <c r="AX370"/>
  <c r="BO370"/>
  <c r="BQ370"/>
  <c r="AZ370"/>
  <c r="CL370"/>
  <c r="AG370"/>
  <c r="BK370" i="24" s="1"/>
  <c r="CP345" i="43"/>
  <c r="CL268"/>
  <c r="AV268"/>
  <c r="CN268"/>
  <c r="BQ268"/>
  <c r="CJ268"/>
  <c r="AX268"/>
  <c r="BS268"/>
  <c r="AG268"/>
  <c r="BK268" i="24" s="1"/>
  <c r="BO268" i="43"/>
  <c r="AZ268"/>
  <c r="AV220"/>
  <c r="AZ220"/>
  <c r="BS220"/>
  <c r="AG220"/>
  <c r="BK220" i="24" s="1"/>
  <c r="AX220" i="43"/>
  <c r="BQ220"/>
  <c r="CL220"/>
  <c r="CN220"/>
  <c r="BO220"/>
  <c r="CJ220"/>
  <c r="CJ190"/>
  <c r="AZ190"/>
  <c r="CL190"/>
  <c r="BQ190"/>
  <c r="AX190"/>
  <c r="AV190"/>
  <c r="BS190"/>
  <c r="AG190"/>
  <c r="BK190" i="24" s="1"/>
  <c r="BO190" i="43"/>
  <c r="CN190"/>
  <c r="AX216"/>
  <c r="BQ216"/>
  <c r="CN216"/>
  <c r="BO216"/>
  <c r="CJ216"/>
  <c r="AZ216"/>
  <c r="AG216"/>
  <c r="BK216" i="24" s="1"/>
  <c r="CL216" i="43"/>
  <c r="BS216"/>
  <c r="AV216"/>
  <c r="BO230"/>
  <c r="CJ230"/>
  <c r="CN230"/>
  <c r="BS230"/>
  <c r="AG230"/>
  <c r="BK230" i="24" s="1"/>
  <c r="CL230" i="43"/>
  <c r="AZ230"/>
  <c r="AX230"/>
  <c r="BQ230"/>
  <c r="AV230"/>
  <c r="AX282"/>
  <c r="BQ282"/>
  <c r="CN282"/>
  <c r="CJ282"/>
  <c r="AV282"/>
  <c r="AZ282"/>
  <c r="BS282"/>
  <c r="BO282"/>
  <c r="CL282"/>
  <c r="AG282"/>
  <c r="BK282" i="24" s="1"/>
  <c r="AX254" i="43"/>
  <c r="BQ254"/>
  <c r="CN254"/>
  <c r="BO254"/>
  <c r="AZ254"/>
  <c r="CL254"/>
  <c r="AV254"/>
  <c r="CJ254"/>
  <c r="BS254"/>
  <c r="AG254"/>
  <c r="BK254" i="24" s="1"/>
  <c r="AX284" i="43"/>
  <c r="BQ284"/>
  <c r="CN284"/>
  <c r="AZ284"/>
  <c r="AG284"/>
  <c r="BK284" i="24" s="1"/>
  <c r="CL284" i="43"/>
  <c r="BO284"/>
  <c r="BS284"/>
  <c r="AV284"/>
  <c r="CJ284"/>
  <c r="AX304"/>
  <c r="BQ304"/>
  <c r="CN304"/>
  <c r="BO304"/>
  <c r="AZ304"/>
  <c r="BS304"/>
  <c r="CL304"/>
  <c r="AV304"/>
  <c r="CJ304"/>
  <c r="AG304"/>
  <c r="BK304" i="24" s="1"/>
  <c r="BO259" i="43"/>
  <c r="BS259"/>
  <c r="AV259"/>
  <c r="AX259"/>
  <c r="CL259"/>
  <c r="CN259"/>
  <c r="CJ259"/>
  <c r="BQ259"/>
  <c r="AZ259"/>
  <c r="AG259"/>
  <c r="BK259" i="24" s="1"/>
  <c r="BO325" i="43"/>
  <c r="AX325"/>
  <c r="CL325"/>
  <c r="BQ325"/>
  <c r="AZ325"/>
  <c r="CN325"/>
  <c r="CJ325"/>
  <c r="BS325"/>
  <c r="AV325"/>
  <c r="AG325"/>
  <c r="BK325" i="24" s="1"/>
  <c r="BS362" i="43"/>
  <c r="AG362"/>
  <c r="BK362" i="24" s="1"/>
  <c r="AV362" i="43"/>
  <c r="AZ362"/>
  <c r="CL362"/>
  <c r="BQ362"/>
  <c r="CJ362"/>
  <c r="BO362"/>
  <c r="CN362"/>
  <c r="AX362"/>
  <c r="CL356"/>
  <c r="CN356"/>
  <c r="AX356"/>
  <c r="BO356"/>
  <c r="BS356"/>
  <c r="AG356"/>
  <c r="BK356" i="24" s="1"/>
  <c r="CJ356" i="43"/>
  <c r="AV356"/>
  <c r="AZ356"/>
  <c r="BQ356"/>
  <c r="AZ174"/>
  <c r="BS174"/>
  <c r="CL174"/>
  <c r="CN174"/>
  <c r="CJ174"/>
  <c r="AX174"/>
  <c r="BO174"/>
  <c r="BQ174"/>
  <c r="AV174"/>
  <c r="AG174"/>
  <c r="BK174" i="24" s="1"/>
  <c r="AX231" i="43"/>
  <c r="CL231"/>
  <c r="CJ231"/>
  <c r="BQ231"/>
  <c r="AZ231"/>
  <c r="AV231"/>
  <c r="BO231"/>
  <c r="BS231"/>
  <c r="CN231"/>
  <c r="AG231"/>
  <c r="BK231" i="24" s="1"/>
  <c r="AV287" i="43"/>
  <c r="AX287"/>
  <c r="BS287"/>
  <c r="CJ287"/>
  <c r="BQ287"/>
  <c r="CL287"/>
  <c r="CN287"/>
  <c r="BO287"/>
  <c r="AZ287"/>
  <c r="AG287"/>
  <c r="BK287" i="24" s="1"/>
  <c r="AZ341" i="43"/>
  <c r="CL341"/>
  <c r="AV341"/>
  <c r="BS341"/>
  <c r="AX341"/>
  <c r="BO341"/>
  <c r="BQ341"/>
  <c r="CN341"/>
  <c r="CJ341"/>
  <c r="AG341"/>
  <c r="BK341" i="24" s="1"/>
  <c r="AZ176" i="43"/>
  <c r="BS176"/>
  <c r="CL176"/>
  <c r="BQ176"/>
  <c r="BO176"/>
  <c r="AG176"/>
  <c r="BK176" i="24" s="1"/>
  <c r="CJ176" i="43"/>
  <c r="AV176"/>
  <c r="CN176"/>
  <c r="AX176"/>
  <c r="AZ202"/>
  <c r="AV202"/>
  <c r="BS202"/>
  <c r="AX202"/>
  <c r="CJ202"/>
  <c r="BQ202"/>
  <c r="AG202"/>
  <c r="BK202" i="24" s="1"/>
  <c r="CL202" i="43"/>
  <c r="CN202"/>
  <c r="BO202"/>
  <c r="BO300"/>
  <c r="BQ300"/>
  <c r="AV300"/>
  <c r="AZ300"/>
  <c r="CL300"/>
  <c r="CJ300"/>
  <c r="BS300"/>
  <c r="CN300"/>
  <c r="AX300"/>
  <c r="AG300"/>
  <c r="BK300" i="24" s="1"/>
  <c r="BQ368" i="43"/>
  <c r="CL368"/>
  <c r="BO368"/>
  <c r="AZ368"/>
  <c r="CN368"/>
  <c r="CJ368"/>
  <c r="BS368"/>
  <c r="AV368"/>
  <c r="AX368"/>
  <c r="AG368"/>
  <c r="BK368" i="24" s="1"/>
  <c r="AV184" i="43"/>
  <c r="CL184"/>
  <c r="AZ184"/>
  <c r="CN184"/>
  <c r="CJ184"/>
  <c r="AX184"/>
  <c r="BS184"/>
  <c r="BQ184"/>
  <c r="AG184"/>
  <c r="BK184" i="24" s="1"/>
  <c r="BO184" i="43"/>
  <c r="BQ250"/>
  <c r="CJ250"/>
  <c r="AV250"/>
  <c r="AG250"/>
  <c r="BK250" i="24" s="1"/>
  <c r="AZ250" i="43"/>
  <c r="CN250"/>
  <c r="BS250"/>
  <c r="CL250"/>
  <c r="BO250"/>
  <c r="AX250"/>
  <c r="BO340"/>
  <c r="AX340"/>
  <c r="BS340"/>
  <c r="AV340"/>
  <c r="CJ340"/>
  <c r="BQ340"/>
  <c r="CL340"/>
  <c r="CN340"/>
  <c r="AZ340"/>
  <c r="AG340"/>
  <c r="BK340" i="24" s="1"/>
  <c r="AX366" i="43"/>
  <c r="BS366"/>
  <c r="CJ366"/>
  <c r="BQ366"/>
  <c r="CL366"/>
  <c r="CN366"/>
  <c r="AV366"/>
  <c r="BO366"/>
  <c r="AZ366"/>
  <c r="AG366"/>
  <c r="BK366" i="24" s="1"/>
  <c r="AX173" i="43"/>
  <c r="BQ173"/>
  <c r="CN173"/>
  <c r="CJ173"/>
  <c r="AV173"/>
  <c r="CL173"/>
  <c r="BO173"/>
  <c r="AZ173"/>
  <c r="BS173"/>
  <c r="AG173"/>
  <c r="BK173" i="24" s="1"/>
  <c r="BO200" i="43"/>
  <c r="AZ200"/>
  <c r="AX200"/>
  <c r="BS200"/>
  <c r="AG200"/>
  <c r="BK200" i="24" s="1"/>
  <c r="BQ200" i="43"/>
  <c r="AV200"/>
  <c r="CN200"/>
  <c r="CJ200"/>
  <c r="CL200"/>
  <c r="BO273"/>
  <c r="CN273"/>
  <c r="AV273"/>
  <c r="AX273"/>
  <c r="CL273"/>
  <c r="BQ273"/>
  <c r="AZ273"/>
  <c r="CJ273"/>
  <c r="BS273"/>
  <c r="AG273"/>
  <c r="BK273" i="24" s="1"/>
  <c r="AX298" i="43"/>
  <c r="BO298"/>
  <c r="CN298"/>
  <c r="BQ298"/>
  <c r="AZ298"/>
  <c r="CL298"/>
  <c r="AV298"/>
  <c r="CJ298"/>
  <c r="BS298"/>
  <c r="AG298"/>
  <c r="BK298" i="24" s="1"/>
  <c r="AV382" i="43"/>
  <c r="AG382"/>
  <c r="BK382" i="24" s="1"/>
  <c r="CN382" i="43"/>
  <c r="BO382"/>
  <c r="BS382"/>
  <c r="AX382"/>
  <c r="AZ382"/>
  <c r="CL382"/>
  <c r="CJ382"/>
  <c r="BQ382"/>
  <c r="AZ211"/>
  <c r="BS211"/>
  <c r="CL211"/>
  <c r="CJ211"/>
  <c r="AX211"/>
  <c r="AV211"/>
  <c r="CN211"/>
  <c r="BQ211"/>
  <c r="BO211"/>
  <c r="AG211"/>
  <c r="BK211" i="24" s="1"/>
  <c r="CJ219" i="43"/>
  <c r="CN219"/>
  <c r="BS219"/>
  <c r="CL219"/>
  <c r="AZ219"/>
  <c r="AG219"/>
  <c r="BK219" i="24" s="1"/>
  <c r="AV219" i="43"/>
  <c r="BO219"/>
  <c r="BQ219"/>
  <c r="AX219"/>
  <c r="CJ261"/>
  <c r="AV261"/>
  <c r="AX261"/>
  <c r="AZ261"/>
  <c r="CL261"/>
  <c r="CN261"/>
  <c r="BO261"/>
  <c r="BQ261"/>
  <c r="BS261"/>
  <c r="AG261"/>
  <c r="BK261" i="24" s="1"/>
  <c r="AZ289" i="43"/>
  <c r="AV289"/>
  <c r="CJ289"/>
  <c r="BQ289"/>
  <c r="BS289"/>
  <c r="CL289"/>
  <c r="CN289"/>
  <c r="BO289"/>
  <c r="AX289"/>
  <c r="AG289"/>
  <c r="BK289" i="24" s="1"/>
  <c r="AZ375" i="43"/>
  <c r="AV375"/>
  <c r="CJ375"/>
  <c r="BS375"/>
  <c r="CL375"/>
  <c r="AX375"/>
  <c r="CN375"/>
  <c r="BO375"/>
  <c r="BQ375"/>
  <c r="AG375"/>
  <c r="BK375" i="24" s="1"/>
  <c r="AV237" i="43"/>
  <c r="CL237"/>
  <c r="CN237"/>
  <c r="BO237"/>
  <c r="AZ237"/>
  <c r="AX237"/>
  <c r="BS237"/>
  <c r="CJ237"/>
  <c r="BQ237"/>
  <c r="AG237"/>
  <c r="BK237" i="24" s="1"/>
  <c r="AZ253" i="43"/>
  <c r="BS253"/>
  <c r="CL253"/>
  <c r="AV253"/>
  <c r="AX253"/>
  <c r="BO253"/>
  <c r="BQ253"/>
  <c r="CN253"/>
  <c r="CJ253"/>
  <c r="AG253"/>
  <c r="BK253" i="24" s="1"/>
  <c r="AZ311" i="43"/>
  <c r="BS311"/>
  <c r="CL311"/>
  <c r="AV311"/>
  <c r="CN311"/>
  <c r="BQ311"/>
  <c r="AX311"/>
  <c r="BO311"/>
  <c r="CJ311"/>
  <c r="AG311"/>
  <c r="BK311" i="24" s="1"/>
  <c r="AG360" i="43"/>
  <c r="BK360" i="24" s="1"/>
  <c r="AX360" i="43"/>
  <c r="AZ360"/>
  <c r="AV360"/>
  <c r="BS360"/>
  <c r="CL360"/>
  <c r="BO360"/>
  <c r="BQ360"/>
  <c r="CJ360"/>
  <c r="CN360"/>
  <c r="AZ160"/>
  <c r="BS160"/>
  <c r="CL160"/>
  <c r="AV160"/>
  <c r="BQ160"/>
  <c r="CJ160"/>
  <c r="CN160"/>
  <c r="AX160"/>
  <c r="BO160"/>
  <c r="AG160"/>
  <c r="BK160" i="24" s="1"/>
  <c r="AX201" i="43"/>
  <c r="BS201"/>
  <c r="AV201"/>
  <c r="BO201"/>
  <c r="BQ201"/>
  <c r="CN201"/>
  <c r="CJ201"/>
  <c r="CL201"/>
  <c r="AZ201"/>
  <c r="AG201"/>
  <c r="BK201" i="24" s="1"/>
  <c r="BO235" i="43"/>
  <c r="AX235"/>
  <c r="CN235"/>
  <c r="BQ235"/>
  <c r="CL235"/>
  <c r="CJ235"/>
  <c r="AZ235"/>
  <c r="AV235"/>
  <c r="BS235"/>
  <c r="AG235"/>
  <c r="BK235" i="24" s="1"/>
  <c r="AZ263" i="43"/>
  <c r="BO263"/>
  <c r="BS263"/>
  <c r="CL263"/>
  <c r="AX263"/>
  <c r="AV263"/>
  <c r="CJ263"/>
  <c r="BQ263"/>
  <c r="CN263"/>
  <c r="AG263"/>
  <c r="BK263" i="24" s="1"/>
  <c r="BO271" i="43"/>
  <c r="AV271"/>
  <c r="CJ271"/>
  <c r="BQ271"/>
  <c r="AX271"/>
  <c r="CL271"/>
  <c r="AG271"/>
  <c r="BK271" i="24" s="1"/>
  <c r="CN271" i="43"/>
  <c r="BS271"/>
  <c r="AZ271"/>
  <c r="AX383"/>
  <c r="CL383"/>
  <c r="CN383"/>
  <c r="BO383"/>
  <c r="BQ383"/>
  <c r="AZ383"/>
  <c r="AV383"/>
  <c r="CJ383"/>
  <c r="BS383"/>
  <c r="AG383"/>
  <c r="BK383" i="24" s="1"/>
  <c r="CL286" i="43"/>
  <c r="BO286"/>
  <c r="CN286"/>
  <c r="CJ286"/>
  <c r="AZ286"/>
  <c r="AV286"/>
  <c r="BS286"/>
  <c r="AG286"/>
  <c r="BK286" i="24" s="1"/>
  <c r="AX286" i="43"/>
  <c r="BQ286"/>
  <c r="CJ175"/>
  <c r="BS175"/>
  <c r="AX175"/>
  <c r="CL175"/>
  <c r="CN175"/>
  <c r="BO175"/>
  <c r="BQ175"/>
  <c r="AV175"/>
  <c r="AZ175"/>
  <c r="AG175"/>
  <c r="BK175" i="24" s="1"/>
  <c r="CJ208" i="43"/>
  <c r="BO208"/>
  <c r="CN208"/>
  <c r="AV208"/>
  <c r="AX208"/>
  <c r="AZ208"/>
  <c r="CL208"/>
  <c r="AG208"/>
  <c r="BK208" i="24" s="1"/>
  <c r="BQ208" i="43"/>
  <c r="BS208"/>
  <c r="CJ245"/>
  <c r="BS245"/>
  <c r="CL245"/>
  <c r="BO245"/>
  <c r="AX245"/>
  <c r="AV245"/>
  <c r="AG245"/>
  <c r="BK245" i="24" s="1"/>
  <c r="BQ245" i="43"/>
  <c r="CN245"/>
  <c r="AZ245"/>
  <c r="CJ371"/>
  <c r="AV371"/>
  <c r="CL371"/>
  <c r="AX371"/>
  <c r="AZ371"/>
  <c r="BO371"/>
  <c r="CN371"/>
  <c r="BQ371"/>
  <c r="BS371"/>
  <c r="AG371"/>
  <c r="BK371" i="24" s="1"/>
  <c r="CL167" i="43"/>
  <c r="CN167"/>
  <c r="CJ167"/>
  <c r="AX167"/>
  <c r="AZ167"/>
  <c r="BQ167"/>
  <c r="BS167"/>
  <c r="BO167"/>
  <c r="AV167"/>
  <c r="AG167"/>
  <c r="BK167" i="24" s="1"/>
  <c r="AV187" i="43"/>
  <c r="CN187"/>
  <c r="BQ187"/>
  <c r="CJ187"/>
  <c r="AZ187"/>
  <c r="CL187"/>
  <c r="BS187"/>
  <c r="BO187"/>
  <c r="AX187"/>
  <c r="AG187"/>
  <c r="BK187" i="24" s="1"/>
  <c r="BO198" i="43"/>
  <c r="BS198"/>
  <c r="AG198"/>
  <c r="BK198" i="24" s="1"/>
  <c r="AX198" i="43"/>
  <c r="AV198"/>
  <c r="CN198"/>
  <c r="BQ198"/>
  <c r="CL198"/>
  <c r="CJ198"/>
  <c r="AZ198"/>
  <c r="BO275"/>
  <c r="AX275"/>
  <c r="CL275"/>
  <c r="BQ275"/>
  <c r="AZ275"/>
  <c r="CN275"/>
  <c r="AV275"/>
  <c r="CJ275"/>
  <c r="BS275"/>
  <c r="AG275"/>
  <c r="BK275" i="24" s="1"/>
  <c r="AV365" i="43"/>
  <c r="BO365"/>
  <c r="CN365"/>
  <c r="AX365"/>
  <c r="BQ365"/>
  <c r="AZ365"/>
  <c r="CJ365"/>
  <c r="CL365"/>
  <c r="BS365"/>
  <c r="AG365"/>
  <c r="BK365" i="24" s="1"/>
  <c r="AZ384" i="43"/>
  <c r="CN384"/>
  <c r="BQ384"/>
  <c r="AV384"/>
  <c r="BS384"/>
  <c r="AG384"/>
  <c r="BK384" i="24" s="1"/>
  <c r="CL384" i="43"/>
  <c r="AX384"/>
  <c r="CJ384"/>
  <c r="BO384"/>
  <c r="AX171"/>
  <c r="BQ171"/>
  <c r="CN171"/>
  <c r="CL171"/>
  <c r="AZ171"/>
  <c r="CJ171"/>
  <c r="BS171"/>
  <c r="BO171"/>
  <c r="AV171"/>
  <c r="AG171"/>
  <c r="BK171" i="24" s="1"/>
  <c r="CJ185" i="43"/>
  <c r="AZ185"/>
  <c r="AV185"/>
  <c r="CL185"/>
  <c r="CN185"/>
  <c r="BO185"/>
  <c r="AX185"/>
  <c r="BS185"/>
  <c r="BQ185"/>
  <c r="AG185"/>
  <c r="BK185" i="24" s="1"/>
  <c r="CJ193" i="43"/>
  <c r="BO193"/>
  <c r="AV193"/>
  <c r="BS193"/>
  <c r="BQ193"/>
  <c r="CL193"/>
  <c r="CN193"/>
  <c r="AG193"/>
  <c r="BK193" i="24" s="1"/>
  <c r="AX193" i="43"/>
  <c r="AZ193"/>
  <c r="AZ223"/>
  <c r="BS223"/>
  <c r="CL223"/>
  <c r="CN223"/>
  <c r="CJ223"/>
  <c r="BO223"/>
  <c r="AX223"/>
  <c r="AV223"/>
  <c r="BQ223"/>
  <c r="AG223"/>
  <c r="BK223" i="24" s="1"/>
  <c r="CJ241" i="43"/>
  <c r="AX241"/>
  <c r="BS241"/>
  <c r="CN241"/>
  <c r="BQ241"/>
  <c r="AV241"/>
  <c r="CL241"/>
  <c r="BO241"/>
  <c r="AZ241"/>
  <c r="AG241"/>
  <c r="BK241" i="24" s="1"/>
  <c r="CJ269" i="43"/>
  <c r="AG269"/>
  <c r="BK269" i="24" s="1"/>
  <c r="AZ269" i="43"/>
  <c r="CL269"/>
  <c r="BO269"/>
  <c r="AV269"/>
  <c r="AX269"/>
  <c r="BQ269"/>
  <c r="BS269"/>
  <c r="CN269"/>
  <c r="CN317"/>
  <c r="CJ317"/>
  <c r="AV317"/>
  <c r="AX317"/>
  <c r="BO317"/>
  <c r="BQ317"/>
  <c r="AZ317"/>
  <c r="CL317"/>
  <c r="BS317"/>
  <c r="AG317"/>
  <c r="BK317" i="24" s="1"/>
  <c r="CN354" i="43"/>
  <c r="AX354"/>
  <c r="CJ354"/>
  <c r="BO354"/>
  <c r="BS354"/>
  <c r="AV354"/>
  <c r="AZ354"/>
  <c r="AG354"/>
  <c r="BK354" i="24" s="1"/>
  <c r="BQ354" i="43"/>
  <c r="CL354"/>
  <c r="CJ377"/>
  <c r="AX377"/>
  <c r="AZ377"/>
  <c r="BQ377"/>
  <c r="BS377"/>
  <c r="AV377"/>
  <c r="CL377"/>
  <c r="BO377"/>
  <c r="CN377"/>
  <c r="AG377"/>
  <c r="BK377" i="24" s="1"/>
  <c r="AZ158" i="43"/>
  <c r="BS158"/>
  <c r="CL158"/>
  <c r="AV158"/>
  <c r="CN158"/>
  <c r="BQ158"/>
  <c r="AX158"/>
  <c r="BO158"/>
  <c r="CJ158"/>
  <c r="AG158"/>
  <c r="BK158" i="24" s="1"/>
  <c r="BO179" i="43"/>
  <c r="AZ179"/>
  <c r="CL179"/>
  <c r="CN179"/>
  <c r="BQ179"/>
  <c r="AV179"/>
  <c r="BS179"/>
  <c r="AX179"/>
  <c r="CJ179"/>
  <c r="AG179"/>
  <c r="BK179" i="24" s="1"/>
  <c r="AX265" i="43"/>
  <c r="BS265"/>
  <c r="AV265"/>
  <c r="BO265"/>
  <c r="BQ265"/>
  <c r="CL265"/>
  <c r="CJ265"/>
  <c r="AZ265"/>
  <c r="CN265"/>
  <c r="AG265"/>
  <c r="BK265" i="24" s="1"/>
  <c r="AX224" i="43"/>
  <c r="BQ224"/>
  <c r="CN224"/>
  <c r="BO224"/>
  <c r="AV224"/>
  <c r="BS224"/>
  <c r="CJ224"/>
  <c r="AZ224"/>
  <c r="CL224"/>
  <c r="AG224"/>
  <c r="BK224" i="24" s="1"/>
  <c r="BO256" i="43"/>
  <c r="BQ256"/>
  <c r="CN256"/>
  <c r="CL256"/>
  <c r="AV256"/>
  <c r="CJ256"/>
  <c r="AX256"/>
  <c r="AZ256"/>
  <c r="BS256"/>
  <c r="AG256"/>
  <c r="BK256" i="24" s="1"/>
  <c r="CJ249" i="43"/>
  <c r="BS249"/>
  <c r="CL249"/>
  <c r="BO249"/>
  <c r="AX249"/>
  <c r="AV249"/>
  <c r="AG249"/>
  <c r="BK249" i="24" s="1"/>
  <c r="BQ249" i="43"/>
  <c r="CN249"/>
  <c r="AZ249"/>
  <c r="BS168"/>
  <c r="AV168"/>
  <c r="BO168"/>
  <c r="CN168"/>
  <c r="CJ168"/>
  <c r="AX168"/>
  <c r="BQ168"/>
  <c r="AZ168"/>
  <c r="AG168"/>
  <c r="BK168" i="24" s="1"/>
  <c r="CL168" i="43"/>
  <c r="AX157"/>
  <c r="BQ157"/>
  <c r="CN157"/>
  <c r="BS157"/>
  <c r="CJ157"/>
  <c r="AV157"/>
  <c r="BO157"/>
  <c r="AZ157"/>
  <c r="CL157"/>
  <c r="AG157"/>
  <c r="BK157" i="24" s="1"/>
  <c r="BO260" i="43"/>
  <c r="BQ260"/>
  <c r="AV260"/>
  <c r="CN260"/>
  <c r="CJ260"/>
  <c r="CL260"/>
  <c r="AX260"/>
  <c r="AZ260"/>
  <c r="BS260"/>
  <c r="AG260"/>
  <c r="BK260" i="24" s="1"/>
  <c r="AX306" i="43"/>
  <c r="BQ306"/>
  <c r="CN306"/>
  <c r="AZ306"/>
  <c r="CJ306"/>
  <c r="CL306"/>
  <c r="AV306"/>
  <c r="BO306"/>
  <c r="BS306"/>
  <c r="AG306"/>
  <c r="BK306" i="24" s="1"/>
  <c r="AG332" i="43"/>
  <c r="BK332" i="24" s="1"/>
  <c r="CJ332" i="43"/>
  <c r="AV332"/>
  <c r="CL332"/>
  <c r="AX332"/>
  <c r="AZ332"/>
  <c r="BO332"/>
  <c r="BQ332"/>
  <c r="CN332"/>
  <c r="BS332"/>
  <c r="AX278"/>
  <c r="BQ278"/>
  <c r="CN278"/>
  <c r="AZ278"/>
  <c r="CL278"/>
  <c r="AV278"/>
  <c r="BS278"/>
  <c r="BO278"/>
  <c r="CJ278"/>
  <c r="AG278"/>
  <c r="BK278" i="24" s="1"/>
  <c r="BO324" i="43"/>
  <c r="BS324"/>
  <c r="CN324"/>
  <c r="AG324"/>
  <c r="BK324" i="24" s="1"/>
  <c r="CJ324" i="43"/>
  <c r="AZ324"/>
  <c r="AV324"/>
  <c r="CL324"/>
  <c r="AX324"/>
  <c r="BQ324"/>
  <c r="AZ229"/>
  <c r="BQ229"/>
  <c r="BS229"/>
  <c r="CN229"/>
  <c r="CJ229"/>
  <c r="AV229"/>
  <c r="CL229"/>
  <c r="BO229"/>
  <c r="AX229"/>
  <c r="AG229"/>
  <c r="BK229" i="24" s="1"/>
  <c r="AZ251" i="43"/>
  <c r="BS251"/>
  <c r="CL251"/>
  <c r="AX251"/>
  <c r="AV251"/>
  <c r="CN251"/>
  <c r="CJ251"/>
  <c r="BO251"/>
  <c r="BQ251"/>
  <c r="AG251"/>
  <c r="BK251" i="24" s="1"/>
  <c r="CN315" i="43"/>
  <c r="BQ315"/>
  <c r="AV315"/>
  <c r="CL315"/>
  <c r="CJ315"/>
  <c r="AZ315"/>
  <c r="BS315"/>
  <c r="BO315"/>
  <c r="AX315"/>
  <c r="AG315"/>
  <c r="BK315" i="24" s="1"/>
  <c r="AZ307" i="43"/>
  <c r="BS307"/>
  <c r="CL307"/>
  <c r="AX307"/>
  <c r="BO307"/>
  <c r="CN307"/>
  <c r="CJ307"/>
  <c r="BQ307"/>
  <c r="AV307"/>
  <c r="AG307"/>
  <c r="BK307" i="24" s="1"/>
  <c r="BQ329" i="43"/>
  <c r="BS329"/>
  <c r="CJ329"/>
  <c r="CL329"/>
  <c r="AV329"/>
  <c r="BO329"/>
  <c r="AX329"/>
  <c r="AZ329"/>
  <c r="CN329"/>
  <c r="AG329"/>
  <c r="BK329" i="24" s="1"/>
  <c r="BO181" i="43"/>
  <c r="AX181"/>
  <c r="AZ181"/>
  <c r="AV181"/>
  <c r="BQ181"/>
  <c r="BS181"/>
  <c r="CJ181"/>
  <c r="CL181"/>
  <c r="CN181"/>
  <c r="AG181"/>
  <c r="BK181" i="24" s="1"/>
  <c r="BO170" i="43"/>
  <c r="BS170"/>
  <c r="CN170"/>
  <c r="CL170"/>
  <c r="AV170"/>
  <c r="CJ170"/>
  <c r="AG170"/>
  <c r="BK170" i="24" s="1"/>
  <c r="AX170" i="43"/>
  <c r="BQ170"/>
  <c r="AZ170"/>
  <c r="AV344"/>
  <c r="BO344"/>
  <c r="BS344"/>
  <c r="CL344"/>
  <c r="CN344"/>
  <c r="CJ344"/>
  <c r="AX344"/>
  <c r="BQ344"/>
  <c r="AZ344"/>
  <c r="AG344"/>
  <c r="BK344" i="24" s="1"/>
  <c r="AX367" i="43"/>
  <c r="AV367"/>
  <c r="BQ367"/>
  <c r="CJ367"/>
  <c r="CL367"/>
  <c r="CN367"/>
  <c r="AZ367"/>
  <c r="BO367"/>
  <c r="BS367"/>
  <c r="AG367"/>
  <c r="BK367" i="24" s="1"/>
  <c r="AZ163" i="43"/>
  <c r="CJ163"/>
  <c r="AX163"/>
  <c r="BS163"/>
  <c r="CN163"/>
  <c r="BQ163"/>
  <c r="CL163"/>
  <c r="BO163"/>
  <c r="AV163"/>
  <c r="AG163"/>
  <c r="BK163" i="24" s="1"/>
  <c r="AV197" i="43"/>
  <c r="BO197"/>
  <c r="CL197"/>
  <c r="CJ197"/>
  <c r="AG197"/>
  <c r="BK197" i="24" s="1"/>
  <c r="AX197" i="43"/>
  <c r="CN197"/>
  <c r="BQ197"/>
  <c r="AZ197"/>
  <c r="BS197"/>
  <c r="AG246"/>
  <c r="BK246" i="24" s="1"/>
  <c r="BQ246" i="43"/>
  <c r="CJ246"/>
  <c r="AV246"/>
  <c r="CN246"/>
  <c r="AZ246"/>
  <c r="BS246"/>
  <c r="CL246"/>
  <c r="BO246"/>
  <c r="AX246"/>
  <c r="CL363"/>
  <c r="BQ363"/>
  <c r="CJ363"/>
  <c r="BO363"/>
  <c r="AV363"/>
  <c r="AZ363"/>
  <c r="CN363"/>
  <c r="AX363"/>
  <c r="BS363"/>
  <c r="AG363"/>
  <c r="BK363" i="24" s="1"/>
  <c r="CJ339" i="43"/>
  <c r="CN339"/>
  <c r="BQ339"/>
  <c r="AX339"/>
  <c r="AZ339"/>
  <c r="AV339"/>
  <c r="BS339"/>
  <c r="BO339"/>
  <c r="CL339"/>
  <c r="AG339"/>
  <c r="BK339" i="24" s="1"/>
  <c r="AG210" i="43"/>
  <c r="BK210" i="24" s="1"/>
  <c r="H13" i="44"/>
  <c r="Y23" i="24"/>
  <c r="Z23" s="1"/>
  <c r="Z184" i="45"/>
  <c r="Z164"/>
  <c r="Z180"/>
  <c r="Z177"/>
  <c r="Z183"/>
  <c r="Z153"/>
  <c r="P156" i="24"/>
  <c r="Y156"/>
  <c r="Z156" s="1"/>
  <c r="Z179" i="45"/>
  <c r="Z187"/>
  <c r="Z185"/>
  <c r="P154" i="24"/>
  <c r="Y154"/>
  <c r="Z154" s="1"/>
  <c r="Z189" i="45"/>
  <c r="Z176"/>
  <c r="Z178"/>
  <c r="Z192"/>
  <c r="Z194"/>
  <c r="Z199"/>
  <c r="Z196"/>
  <c r="Z193"/>
  <c r="Z198"/>
  <c r="Z200"/>
  <c r="Z155"/>
  <c r="Z154"/>
  <c r="Z186"/>
  <c r="Z171"/>
  <c r="Z162"/>
  <c r="Z181"/>
  <c r="J25" i="34"/>
  <c r="J35"/>
  <c r="J49"/>
  <c r="J19"/>
  <c r="J16"/>
  <c r="J18"/>
  <c r="J68"/>
  <c r="I7"/>
  <c r="I18" s="1"/>
  <c r="J45"/>
  <c r="J43"/>
  <c r="J36"/>
  <c r="J6"/>
  <c r="J37"/>
  <c r="J73"/>
  <c r="J32"/>
  <c r="J17"/>
  <c r="J14"/>
  <c r="J63"/>
  <c r="J61"/>
  <c r="J27"/>
  <c r="J48"/>
  <c r="J12"/>
  <c r="J33"/>
  <c r="J42"/>
  <c r="J26"/>
  <c r="J34"/>
  <c r="J56"/>
  <c r="J72"/>
  <c r="J40"/>
  <c r="J10"/>
  <c r="J28"/>
  <c r="J58"/>
  <c r="J30"/>
  <c r="J60"/>
  <c r="J13"/>
  <c r="J70"/>
  <c r="J11"/>
  <c r="J71"/>
  <c r="J24"/>
  <c r="J51"/>
  <c r="J57"/>
  <c r="J74"/>
  <c r="M118" i="43"/>
  <c r="N118" s="1"/>
  <c r="H118"/>
  <c r="AF115" i="45"/>
  <c r="J65" i="34"/>
  <c r="J81" i="35"/>
  <c r="P11" i="22"/>
  <c r="J52" i="35"/>
  <c r="L22" i="44"/>
  <c r="L24" s="1"/>
  <c r="J6" i="35"/>
  <c r="DB11" i="43"/>
  <c r="DC11" s="1"/>
  <c r="DD11" s="1"/>
  <c r="CX28"/>
  <c r="AT9"/>
  <c r="DB18"/>
  <c r="DC18" s="1"/>
  <c r="DD18" s="1"/>
  <c r="DE18" s="1"/>
  <c r="AD366" i="45"/>
  <c r="GX10" i="43"/>
  <c r="GZ10" s="1"/>
  <c r="GQ10"/>
  <c r="GS10" s="1"/>
  <c r="DB104"/>
  <c r="DC104" s="1"/>
  <c r="DD104" s="1"/>
  <c r="DE104" s="1"/>
  <c r="AD26" i="45"/>
  <c r="CX47" i="43"/>
  <c r="DB32"/>
  <c r="DC32" s="1"/>
  <c r="DD32" s="1"/>
  <c r="DE32" s="1"/>
  <c r="CN32" s="1"/>
  <c r="AD264" i="45"/>
  <c r="P10" i="44"/>
  <c r="Z156" i="45"/>
  <c r="DB121" i="43"/>
  <c r="DC121" s="1"/>
  <c r="DD121" s="1"/>
  <c r="DE121" s="1"/>
  <c r="CX114"/>
  <c r="GQ9"/>
  <c r="GS9" s="1"/>
  <c r="GX9"/>
  <c r="GZ9" s="1"/>
  <c r="GJ9"/>
  <c r="GL9" s="1"/>
  <c r="BK9" s="1"/>
  <c r="AD304" i="45"/>
  <c r="DD119" i="43"/>
  <c r="DE119" s="1"/>
  <c r="DD118"/>
  <c r="DE118" s="1"/>
  <c r="P26" i="24"/>
  <c r="Y26"/>
  <c r="Z26" s="1"/>
  <c r="P81"/>
  <c r="Y81"/>
  <c r="Z81" s="1"/>
  <c r="CX134" i="43"/>
  <c r="CX94"/>
  <c r="P13" i="44"/>
  <c r="AD313" i="45"/>
  <c r="DB47" i="43"/>
  <c r="DC47" s="1"/>
  <c r="DD47" s="1"/>
  <c r="DE47" s="1"/>
  <c r="GJ10"/>
  <c r="GL10" s="1"/>
  <c r="BK10" s="1"/>
  <c r="BM10" s="1"/>
  <c r="CN66"/>
  <c r="DB44"/>
  <c r="DC44" s="1"/>
  <c r="DD44" s="1"/>
  <c r="DE44" s="1"/>
  <c r="BO44" s="1"/>
  <c r="I4" i="35"/>
  <c r="J18"/>
  <c r="J75"/>
  <c r="J78"/>
  <c r="AD261" i="45"/>
  <c r="AD329"/>
  <c r="Z169"/>
  <c r="J21" i="35"/>
  <c r="J96"/>
  <c r="J74"/>
  <c r="J37"/>
  <c r="J68"/>
  <c r="J90"/>
  <c r="J27"/>
  <c r="AD145" i="45"/>
  <c r="AD363"/>
  <c r="J69" i="35"/>
  <c r="J13"/>
  <c r="J47"/>
  <c r="J84"/>
  <c r="J48"/>
  <c r="J61"/>
  <c r="J16"/>
  <c r="J8"/>
  <c r="J55"/>
  <c r="J30"/>
  <c r="J23"/>
  <c r="J62"/>
  <c r="J11"/>
  <c r="J46"/>
  <c r="J32"/>
  <c r="AD203" i="45"/>
  <c r="J38" i="35"/>
  <c r="J3"/>
  <c r="J9"/>
  <c r="J95"/>
  <c r="J85"/>
  <c r="J14"/>
  <c r="J43"/>
  <c r="J70"/>
  <c r="J7"/>
  <c r="J12"/>
  <c r="J98"/>
  <c r="J83"/>
  <c r="J31"/>
  <c r="AD148" i="45"/>
  <c r="J42" i="35"/>
  <c r="J82"/>
  <c r="J67"/>
  <c r="J29"/>
  <c r="J102"/>
  <c r="J28"/>
  <c r="J19"/>
  <c r="J10"/>
  <c r="J97"/>
  <c r="J15"/>
  <c r="J44"/>
  <c r="J89"/>
  <c r="J103"/>
  <c r="J17"/>
  <c r="J54"/>
  <c r="J45"/>
  <c r="AD334" i="45"/>
  <c r="P17" i="44"/>
  <c r="AD281" i="45"/>
  <c r="AD135"/>
  <c r="AD287"/>
  <c r="AD140"/>
  <c r="AD81"/>
  <c r="AD84"/>
  <c r="AD66"/>
  <c r="AD372"/>
  <c r="AD371"/>
  <c r="AD300"/>
  <c r="AD136"/>
  <c r="AD349"/>
  <c r="AD47"/>
  <c r="AD107"/>
  <c r="AD305"/>
  <c r="AD258"/>
  <c r="AD336"/>
  <c r="AD222"/>
  <c r="AD217"/>
  <c r="AD36"/>
  <c r="AD133"/>
  <c r="AD292"/>
  <c r="Z152"/>
  <c r="AD108"/>
  <c r="AD199"/>
  <c r="AD30"/>
  <c r="AD147"/>
  <c r="AD137"/>
  <c r="AD219"/>
  <c r="AD242"/>
  <c r="AD257"/>
  <c r="AD166"/>
  <c r="AD163"/>
  <c r="CX100" i="43"/>
  <c r="DB100"/>
  <c r="DC100" s="1"/>
  <c r="AD58" i="45"/>
  <c r="AD243"/>
  <c r="AD269"/>
  <c r="AD252"/>
  <c r="AD288"/>
  <c r="AD244"/>
  <c r="AD268"/>
  <c r="AD282"/>
  <c r="AD183"/>
  <c r="AD195"/>
  <c r="K65" i="35"/>
  <c r="AD138" i="45"/>
  <c r="AD77"/>
  <c r="E22" i="44"/>
  <c r="E24" s="1"/>
  <c r="AD186" i="45"/>
  <c r="AD376"/>
  <c r="AD74"/>
  <c r="AD146"/>
  <c r="AD275"/>
  <c r="AD231"/>
  <c r="AD342"/>
  <c r="AD352"/>
  <c r="AD37"/>
  <c r="AD51"/>
  <c r="DB146" i="43"/>
  <c r="DC146" s="1"/>
  <c r="AD23" i="45"/>
  <c r="DB12" i="43"/>
  <c r="DC12" s="1"/>
  <c r="DD12" s="1"/>
  <c r="DE12" s="1"/>
  <c r="AG12" s="1"/>
  <c r="FF12" s="1"/>
  <c r="AD38" i="45"/>
  <c r="AD289"/>
  <c r="AD87"/>
  <c r="AD44"/>
  <c r="AD101"/>
  <c r="AD229"/>
  <c r="AD191"/>
  <c r="AD41"/>
  <c r="AD311"/>
  <c r="AD117"/>
  <c r="AD182"/>
  <c r="AD234"/>
  <c r="AD278"/>
  <c r="J50" i="35"/>
  <c r="AD67" i="45"/>
  <c r="AD161"/>
  <c r="K53" i="35"/>
  <c r="K56"/>
  <c r="P12" i="44"/>
  <c r="AD218" i="45"/>
  <c r="AD157"/>
  <c r="AD39"/>
  <c r="AD180"/>
  <c r="CX78" i="43"/>
  <c r="CX156"/>
  <c r="AD293" i="45"/>
  <c r="AD296"/>
  <c r="AD246"/>
  <c r="AD25"/>
  <c r="AD93"/>
  <c r="AD154"/>
  <c r="AD359"/>
  <c r="AD95"/>
  <c r="AD319"/>
  <c r="AD155"/>
  <c r="AD306"/>
  <c r="AD230"/>
  <c r="AD20"/>
  <c r="AD301"/>
  <c r="AD346"/>
  <c r="AD325"/>
  <c r="AD193"/>
  <c r="AD284"/>
  <c r="AD31"/>
  <c r="AD22"/>
  <c r="AD266"/>
  <c r="AD345"/>
  <c r="AD308"/>
  <c r="AD368"/>
  <c r="AD290"/>
  <c r="AD335"/>
  <c r="AD181"/>
  <c r="AD150"/>
  <c r="AD210"/>
  <c r="AD324"/>
  <c r="AD370"/>
  <c r="AD276"/>
  <c r="AD13"/>
  <c r="AD89"/>
  <c r="AD165"/>
  <c r="AD60"/>
  <c r="Z170"/>
  <c r="AD209"/>
  <c r="AD127"/>
  <c r="AD75"/>
  <c r="AD339"/>
  <c r="AD259"/>
  <c r="AD151"/>
  <c r="AD196"/>
  <c r="AD174"/>
  <c r="AD175"/>
  <c r="AD59"/>
  <c r="AD123"/>
  <c r="AD316"/>
  <c r="AD71"/>
  <c r="AD72"/>
  <c r="AD187"/>
  <c r="AD205"/>
  <c r="AD206"/>
  <c r="AD104"/>
  <c r="AD105"/>
  <c r="AD33"/>
  <c r="AD32"/>
  <c r="AD179"/>
  <c r="AD178"/>
  <c r="AD294"/>
  <c r="AD149"/>
  <c r="Z197"/>
  <c r="AD18"/>
  <c r="AD19"/>
  <c r="AD99"/>
  <c r="AD98"/>
  <c r="AD373"/>
  <c r="AD374"/>
  <c r="AD167"/>
  <c r="AD168"/>
  <c r="AD286"/>
  <c r="AD285"/>
  <c r="Z158"/>
  <c r="AD214"/>
  <c r="AD315"/>
  <c r="AD224"/>
  <c r="AD295"/>
  <c r="AD188"/>
  <c r="AD114"/>
  <c r="AD216"/>
  <c r="AD215"/>
  <c r="AD121"/>
  <c r="AD120"/>
  <c r="AD223"/>
  <c r="AD92"/>
  <c r="AD194"/>
  <c r="AD235"/>
  <c r="AD184"/>
  <c r="AD94"/>
  <c r="DB91" i="43"/>
  <c r="DC91" s="1"/>
  <c r="K93" i="35"/>
  <c r="CX112" i="43"/>
  <c r="J93" i="35"/>
  <c r="P9" i="44"/>
  <c r="CX44" i="43"/>
  <c r="DB151"/>
  <c r="DC151" s="1"/>
  <c r="DD151" s="1"/>
  <c r="P14" i="44"/>
  <c r="DB25" i="43"/>
  <c r="DC25" s="1"/>
  <c r="DD25" s="1"/>
  <c r="DE25" s="1"/>
  <c r="AG25" s="1"/>
  <c r="DB115"/>
  <c r="DC115" s="1"/>
  <c r="CX99"/>
  <c r="CL54"/>
  <c r="Z161" i="45"/>
  <c r="CX26" i="43"/>
  <c r="CX62"/>
  <c r="DB62"/>
  <c r="DC62" s="1"/>
  <c r="DD62" s="1"/>
  <c r="DE62" s="1"/>
  <c r="DB98"/>
  <c r="DC98" s="1"/>
  <c r="CX98"/>
  <c r="P18" i="44"/>
  <c r="DB26" i="43"/>
  <c r="DC26" s="1"/>
  <c r="DD26" s="1"/>
  <c r="DE26" s="1"/>
  <c r="AZ26" s="1"/>
  <c r="Z173" i="45"/>
  <c r="CX22" i="43"/>
  <c r="DB33"/>
  <c r="DC33" s="1"/>
  <c r="DD33" s="1"/>
  <c r="DE33" s="1"/>
  <c r="Z172" i="45"/>
  <c r="M22" i="44"/>
  <c r="M24" s="1"/>
  <c r="J53" i="35"/>
  <c r="BH18" i="43"/>
  <c r="J56" i="35"/>
  <c r="CX42" i="43"/>
  <c r="DB42"/>
  <c r="DC42" s="1"/>
  <c r="DD42" s="1"/>
  <c r="DE42" s="1"/>
  <c r="CX18"/>
  <c r="DB107"/>
  <c r="DC107" s="1"/>
  <c r="DB126"/>
  <c r="DC126" s="1"/>
  <c r="DB135"/>
  <c r="DC135" s="1"/>
  <c r="DD135" s="1"/>
  <c r="P20" i="44"/>
  <c r="DB127" i="43"/>
  <c r="DC127" s="1"/>
  <c r="DD127" s="1"/>
  <c r="H11" i="44"/>
  <c r="P19"/>
  <c r="DD102" i="43"/>
  <c r="DE102" s="1"/>
  <c r="CX137"/>
  <c r="DB137"/>
  <c r="DC137" s="1"/>
  <c r="DY86"/>
  <c r="K50" i="35"/>
  <c r="DD112" i="43"/>
  <c r="DE112" s="1"/>
  <c r="DB52"/>
  <c r="DC52" s="1"/>
  <c r="CX52"/>
  <c r="DY123"/>
  <c r="CX88"/>
  <c r="DB88"/>
  <c r="DC88" s="1"/>
  <c r="CX40"/>
  <c r="DB90"/>
  <c r="DC90" s="1"/>
  <c r="CX90"/>
  <c r="DB147"/>
  <c r="DC147" s="1"/>
  <c r="CX147"/>
  <c r="DB129"/>
  <c r="DC129" s="1"/>
  <c r="CX129"/>
  <c r="CX12"/>
  <c r="DB143"/>
  <c r="DC143" s="1"/>
  <c r="CX143"/>
  <c r="DY146"/>
  <c r="P11" i="44"/>
  <c r="P15"/>
  <c r="CX36" i="43"/>
  <c r="P16" i="44"/>
  <c r="BO15" i="43"/>
  <c r="CL15"/>
  <c r="CJ15"/>
  <c r="DY143"/>
  <c r="DY84"/>
  <c r="DY96"/>
  <c r="CX153"/>
  <c r="DB153"/>
  <c r="DC153" s="1"/>
  <c r="BQ49"/>
  <c r="CX48"/>
  <c r="DB48"/>
  <c r="DC48" s="1"/>
  <c r="DD48" s="1"/>
  <c r="DE48" s="1"/>
  <c r="DB82"/>
  <c r="CX82"/>
  <c r="DB13"/>
  <c r="DC13" s="1"/>
  <c r="CX13"/>
  <c r="AL13"/>
  <c r="Z115" i="24"/>
  <c r="Z65"/>
  <c r="H17" i="44"/>
  <c r="DB29" i="43"/>
  <c r="DC29" s="1"/>
  <c r="DD29" s="1"/>
  <c r="DE29" s="1"/>
  <c r="CX67"/>
  <c r="DB67"/>
  <c r="DC67" s="1"/>
  <c r="DD67" s="1"/>
  <c r="DE67" s="1"/>
  <c r="AV67" s="1"/>
  <c r="CX30"/>
  <c r="DB30"/>
  <c r="DC30" s="1"/>
  <c r="DD30" s="1"/>
  <c r="DE30" s="1"/>
  <c r="DO11"/>
  <c r="DP11" s="1"/>
  <c r="AE11"/>
  <c r="EV11" s="1"/>
  <c r="DB57"/>
  <c r="DC57" s="1"/>
  <c r="DD57" s="1"/>
  <c r="DE57" s="1"/>
  <c r="BQ57" s="1"/>
  <c r="B22" i="44"/>
  <c r="B24" s="1"/>
  <c r="H19"/>
  <c r="DB59" i="43"/>
  <c r="DC59" s="1"/>
  <c r="DD59" s="1"/>
  <c r="DE59" s="1"/>
  <c r="CN59" s="1"/>
  <c r="BH19"/>
  <c r="DB19"/>
  <c r="DC19" s="1"/>
  <c r="DD19" s="1"/>
  <c r="DE19" s="1"/>
  <c r="CX19"/>
  <c r="Y56" i="24"/>
  <c r="Z56" s="1"/>
  <c r="H10" i="44"/>
  <c r="P56" i="24"/>
  <c r="H9" i="44"/>
  <c r="AF317" i="45"/>
  <c r="CX63" i="43"/>
  <c r="P22" i="24"/>
  <c r="H18" i="44"/>
  <c r="DB27" i="43"/>
  <c r="DC27" s="1"/>
  <c r="DD27" s="1"/>
  <c r="DE27" s="1"/>
  <c r="AG27" s="1"/>
  <c r="BH16"/>
  <c r="CX16"/>
  <c r="DB46"/>
  <c r="DC46" s="1"/>
  <c r="DD46" s="1"/>
  <c r="DE46" s="1"/>
  <c r="CX46"/>
  <c r="GN13"/>
  <c r="GM13" s="1"/>
  <c r="GI13" s="1"/>
  <c r="AD13"/>
  <c r="CS13"/>
  <c r="HB13"/>
  <c r="HA13" s="1"/>
  <c r="GW13" s="1"/>
  <c r="BE13"/>
  <c r="GG13"/>
  <c r="GF13" s="1"/>
  <c r="GB13" s="1"/>
  <c r="Z13"/>
  <c r="AA13" s="1"/>
  <c r="C10" i="45" s="1"/>
  <c r="BZ13" i="43"/>
  <c r="GT13"/>
  <c r="GP13" s="1"/>
  <c r="FS14"/>
  <c r="GU14" s="1"/>
  <c r="AG72"/>
  <c r="P95" i="24"/>
  <c r="H12" i="44"/>
  <c r="CX104" i="43"/>
  <c r="DB9"/>
  <c r="DC9" s="1"/>
  <c r="DD9" s="1"/>
  <c r="DE9" s="1"/>
  <c r="AX9" s="1"/>
  <c r="CX31"/>
  <c r="CX29"/>
  <c r="DB85"/>
  <c r="J65" i="35"/>
  <c r="CX85" i="43"/>
  <c r="DB74"/>
  <c r="DC74" s="1"/>
  <c r="CX74"/>
  <c r="CX60"/>
  <c r="CX65"/>
  <c r="CX43"/>
  <c r="DB43"/>
  <c r="DC43" s="1"/>
  <c r="CX23"/>
  <c r="DB23"/>
  <c r="DC23" s="1"/>
  <c r="Z18" i="24"/>
  <c r="DB149" i="43"/>
  <c r="DC149" s="1"/>
  <c r="J13" i="44"/>
  <c r="DB34" i="43"/>
  <c r="DC34" s="1"/>
  <c r="CX34"/>
  <c r="Z44" i="24"/>
  <c r="W8" i="45"/>
  <c r="Y8" s="1"/>
  <c r="Z7"/>
  <c r="Z27" i="24"/>
  <c r="GE10" i="43"/>
  <c r="AR10" s="1"/>
  <c r="DB24"/>
  <c r="DC24" s="1"/>
  <c r="DB65"/>
  <c r="DC65" s="1"/>
  <c r="Z19" i="24"/>
  <c r="Z130"/>
  <c r="J15" i="44"/>
  <c r="AA7" i="45"/>
  <c r="AB7" s="1"/>
  <c r="J9" i="44"/>
  <c r="Z125" i="24"/>
  <c r="Z116"/>
  <c r="Z43"/>
  <c r="Z40"/>
  <c r="AX99" i="43"/>
  <c r="DB60"/>
  <c r="DC60" s="1"/>
  <c r="CL58"/>
  <c r="AV58"/>
  <c r="BS36"/>
  <c r="AZ36"/>
  <c r="BO36"/>
  <c r="AX101"/>
  <c r="CN64"/>
  <c r="AZ64"/>
  <c r="BQ64"/>
  <c r="AG94" i="24" l="1"/>
  <c r="AH94"/>
  <c r="AH75"/>
  <c r="AG75"/>
  <c r="AH219"/>
  <c r="AG238"/>
  <c r="Y229"/>
  <c r="Z229" s="1"/>
  <c r="CJ380" i="43"/>
  <c r="AX380"/>
  <c r="BS380"/>
  <c r="CN380"/>
  <c r="CL380"/>
  <c r="BQ380"/>
  <c r="BO380"/>
  <c r="AG380"/>
  <c r="BK380" i="24" s="1"/>
  <c r="AV380" i="43"/>
  <c r="AZ380"/>
  <c r="CL378"/>
  <c r="AX378"/>
  <c r="AZ378"/>
  <c r="BQ378"/>
  <c r="AG378"/>
  <c r="BK378" i="24" s="1"/>
  <c r="CN378" i="43"/>
  <c r="AV378"/>
  <c r="CJ378"/>
  <c r="BO378"/>
  <c r="BS378"/>
  <c r="CJ372"/>
  <c r="CL372"/>
  <c r="BQ372"/>
  <c r="BS372"/>
  <c r="AX372"/>
  <c r="AZ372"/>
  <c r="CN372"/>
  <c r="AV372"/>
  <c r="BO372"/>
  <c r="AG372"/>
  <c r="BK372" i="24" s="1"/>
  <c r="BB345" i="43"/>
  <c r="AX290"/>
  <c r="CJ279"/>
  <c r="CR279" s="1"/>
  <c r="K109" i="35"/>
  <c r="BV345" i="43"/>
  <c r="BQ101"/>
  <c r="AV76"/>
  <c r="CN63"/>
  <c r="DT345"/>
  <c r="AJ345"/>
  <c r="I345" s="1"/>
  <c r="CN346"/>
  <c r="CJ346"/>
  <c r="BO346"/>
  <c r="AV346"/>
  <c r="AG346"/>
  <c r="BK346" i="24" s="1"/>
  <c r="CL346" i="43"/>
  <c r="BQ346"/>
  <c r="AZ346"/>
  <c r="BS346"/>
  <c r="AX346"/>
  <c r="Q345"/>
  <c r="AO345" s="1"/>
  <c r="AP345" s="1"/>
  <c r="FF345"/>
  <c r="AX342"/>
  <c r="CL342"/>
  <c r="BO342"/>
  <c r="BQ342"/>
  <c r="AG342"/>
  <c r="BK342" i="24" s="1"/>
  <c r="AV342" i="43"/>
  <c r="AZ342"/>
  <c r="CJ342"/>
  <c r="CN342"/>
  <c r="BS342"/>
  <c r="FF337"/>
  <c r="Q337"/>
  <c r="AO337" s="1"/>
  <c r="AP337" s="1"/>
  <c r="AQ337" s="1"/>
  <c r="Y258" i="24"/>
  <c r="Z258" s="1"/>
  <c r="AH377"/>
  <c r="AH358"/>
  <c r="I10" i="22"/>
  <c r="J10" s="1"/>
  <c r="AV99" i="43"/>
  <c r="BQ10"/>
  <c r="AZ309"/>
  <c r="BS221"/>
  <c r="BQ31"/>
  <c r="BQ309"/>
  <c r="Y331" i="24"/>
  <c r="Z331" s="1"/>
  <c r="K10" i="22"/>
  <c r="K11"/>
  <c r="CN326" i="43"/>
  <c r="BQ326"/>
  <c r="AG326"/>
  <c r="BK326" i="24" s="1"/>
  <c r="AV326" i="43"/>
  <c r="BO326"/>
  <c r="CJ326"/>
  <c r="BS326"/>
  <c r="AX326"/>
  <c r="CL326"/>
  <c r="AZ326"/>
  <c r="J11" i="44"/>
  <c r="BO322" i="43"/>
  <c r="AV322"/>
  <c r="AG322"/>
  <c r="BK322" i="24" s="1"/>
  <c r="AX322" i="43"/>
  <c r="AZ322"/>
  <c r="BQ322"/>
  <c r="CN322"/>
  <c r="CL322"/>
  <c r="CJ322"/>
  <c r="BS322"/>
  <c r="CJ355"/>
  <c r="BS320"/>
  <c r="AX320"/>
  <c r="BO320"/>
  <c r="CJ320"/>
  <c r="AG320"/>
  <c r="BK320" i="24" s="1"/>
  <c r="BQ320" i="43"/>
  <c r="CL320"/>
  <c r="AV320"/>
  <c r="CN320"/>
  <c r="AZ320"/>
  <c r="BS314"/>
  <c r="CJ314"/>
  <c r="BO314"/>
  <c r="AV314"/>
  <c r="CN314"/>
  <c r="AX314"/>
  <c r="AZ314"/>
  <c r="BQ314"/>
  <c r="CL314"/>
  <c r="AG314"/>
  <c r="BK314" i="24" s="1"/>
  <c r="BQ279" i="43"/>
  <c r="BS76"/>
  <c r="CJ76"/>
  <c r="CN76"/>
  <c r="CL76"/>
  <c r="CN28"/>
  <c r="AZ279"/>
  <c r="AX312"/>
  <c r="CN312"/>
  <c r="AG312"/>
  <c r="BK312" i="24" s="1"/>
  <c r="BO312" i="43"/>
  <c r="AZ312"/>
  <c r="BQ312"/>
  <c r="AV312"/>
  <c r="CL312"/>
  <c r="CJ312"/>
  <c r="BS312"/>
  <c r="AV61"/>
  <c r="CN355"/>
  <c r="CL355"/>
  <c r="BO56"/>
  <c r="AZ28"/>
  <c r="AZ355"/>
  <c r="BQ355"/>
  <c r="AH293" i="24"/>
  <c r="BO309" i="43"/>
  <c r="AH242" i="24"/>
  <c r="J16" i="44"/>
  <c r="J17"/>
  <c r="J10"/>
  <c r="J14"/>
  <c r="J12"/>
  <c r="G10" i="22"/>
  <c r="AG305" i="24"/>
  <c r="Y344"/>
  <c r="Z344" s="1"/>
  <c r="AH337"/>
  <c r="CJ330" i="43"/>
  <c r="CJ64"/>
  <c r="CL64"/>
  <c r="CN101"/>
  <c r="CL101"/>
  <c r="BS101"/>
  <c r="BV101" s="1"/>
  <c r="AG36"/>
  <c r="FF36" s="1"/>
  <c r="AX36"/>
  <c r="BQ58"/>
  <c r="AX58"/>
  <c r="AG58"/>
  <c r="FF58" s="1"/>
  <c r="CL99"/>
  <c r="CP99" s="1"/>
  <c r="CJ32"/>
  <c r="AX49"/>
  <c r="AZ49"/>
  <c r="CL111"/>
  <c r="BS15"/>
  <c r="BQ15"/>
  <c r="BS17"/>
  <c r="AV330"/>
  <c r="BQ313"/>
  <c r="G7" i="30"/>
  <c r="F22"/>
  <c r="F21"/>
  <c r="F20"/>
  <c r="F6"/>
  <c r="F19"/>
  <c r="F9"/>
  <c r="F27"/>
  <c r="F26"/>
  <c r="F17"/>
  <c r="F23"/>
  <c r="F28"/>
  <c r="AH99" i="24"/>
  <c r="AG99"/>
  <c r="AH220"/>
  <c r="Y220"/>
  <c r="Z220" s="1"/>
  <c r="Y259"/>
  <c r="Z259" s="1"/>
  <c r="AH170"/>
  <c r="S11" i="22"/>
  <c r="E11"/>
  <c r="L11"/>
  <c r="A12"/>
  <c r="T11"/>
  <c r="M11"/>
  <c r="B11"/>
  <c r="C11"/>
  <c r="D11"/>
  <c r="H11"/>
  <c r="AH244" i="24"/>
  <c r="AG152"/>
  <c r="AH152"/>
  <c r="AG63"/>
  <c r="AH63"/>
  <c r="BP28"/>
  <c r="Y28"/>
  <c r="Z28" s="1"/>
  <c r="Y202"/>
  <c r="Z202" s="1"/>
  <c r="Y219"/>
  <c r="Z219" s="1"/>
  <c r="AG245"/>
  <c r="Y244"/>
  <c r="Z244" s="1"/>
  <c r="Y274"/>
  <c r="Z274" s="1"/>
  <c r="AH309"/>
  <c r="Y363"/>
  <c r="Z363" s="1"/>
  <c r="AG341"/>
  <c r="AG359"/>
  <c r="AH297"/>
  <c r="Y279"/>
  <c r="Z279" s="1"/>
  <c r="AG369"/>
  <c r="AG332"/>
  <c r="AH250"/>
  <c r="AH262"/>
  <c r="AG280"/>
  <c r="AH301"/>
  <c r="Y324"/>
  <c r="Z324" s="1"/>
  <c r="Y364"/>
  <c r="Z364" s="1"/>
  <c r="FF68" i="43"/>
  <c r="AV101"/>
  <c r="CJ101"/>
  <c r="AZ101"/>
  <c r="AG101"/>
  <c r="FF101" s="1"/>
  <c r="AZ58"/>
  <c r="BS58"/>
  <c r="CJ58"/>
  <c r="DT58" s="1"/>
  <c r="CN58"/>
  <c r="CN99"/>
  <c r="AG99"/>
  <c r="Q99" s="1"/>
  <c r="AO99" s="1"/>
  <c r="AP99" s="1"/>
  <c r="BO16"/>
  <c r="CN49"/>
  <c r="CJ49"/>
  <c r="CP49" s="1"/>
  <c r="AG95"/>
  <c r="BK95" i="24" s="1"/>
  <c r="BQ111" i="43"/>
  <c r="AG15"/>
  <c r="FF15" s="1"/>
  <c r="AZ15"/>
  <c r="CN15"/>
  <c r="AX15"/>
  <c r="AV10"/>
  <c r="BS10"/>
  <c r="CN10"/>
  <c r="AX95"/>
  <c r="BS97"/>
  <c r="BO20"/>
  <c r="CL20"/>
  <c r="AX68"/>
  <c r="AX279"/>
  <c r="CL279"/>
  <c r="AV309"/>
  <c r="BD309" s="1"/>
  <c r="CL309"/>
  <c r="FZ8"/>
  <c r="GJ8" s="1"/>
  <c r="GL8" s="1"/>
  <c r="BK8" s="1"/>
  <c r="AW5" i="45" s="1"/>
  <c r="Y242" i="24"/>
  <c r="Z242" s="1"/>
  <c r="AH245"/>
  <c r="AG244"/>
  <c r="Y275"/>
  <c r="Z275" s="1"/>
  <c r="AG311"/>
  <c r="AH325"/>
  <c r="Y271"/>
  <c r="Z271" s="1"/>
  <c r="Y245"/>
  <c r="Z245" s="1"/>
  <c r="Y316"/>
  <c r="Z316" s="1"/>
  <c r="AG318"/>
  <c r="AG384"/>
  <c r="Y314"/>
  <c r="Z314" s="1"/>
  <c r="AG295"/>
  <c r="AH351"/>
  <c r="BO301" i="43"/>
  <c r="AZ301"/>
  <c r="AV301"/>
  <c r="BQ301"/>
  <c r="CL301"/>
  <c r="AG301"/>
  <c r="BK301" i="24" s="1"/>
  <c r="AX301" i="43"/>
  <c r="CJ301"/>
  <c r="CR301" s="1"/>
  <c r="CN301"/>
  <c r="BS301"/>
  <c r="AG316" i="24"/>
  <c r="AH304"/>
  <c r="Y379"/>
  <c r="Z379" s="1"/>
  <c r="AH352"/>
  <c r="AH284"/>
  <c r="AH279"/>
  <c r="Y301"/>
  <c r="Z301" s="1"/>
  <c r="Y374"/>
  <c r="Z374" s="1"/>
  <c r="CN313" i="43"/>
  <c r="AH178" i="24"/>
  <c r="AG367"/>
  <c r="Y358"/>
  <c r="Z358" s="1"/>
  <c r="AG363"/>
  <c r="AG284"/>
  <c r="K66" i="34"/>
  <c r="AH166" i="24"/>
  <c r="AH76"/>
  <c r="AG76"/>
  <c r="Y162"/>
  <c r="Z162" s="1"/>
  <c r="Y212"/>
  <c r="Z212" s="1"/>
  <c r="G19" i="44"/>
  <c r="AH237" i="24"/>
  <c r="Y194"/>
  <c r="Z194" s="1"/>
  <c r="AH109"/>
  <c r="AG109"/>
  <c r="Y375"/>
  <c r="Z375" s="1"/>
  <c r="AH159"/>
  <c r="AG215"/>
  <c r="AG169"/>
  <c r="Y298"/>
  <c r="Z298" s="1"/>
  <c r="AG246"/>
  <c r="AH15"/>
  <c r="AG15"/>
  <c r="AG85"/>
  <c r="AH85"/>
  <c r="AG72"/>
  <c r="AH72"/>
  <c r="AH228"/>
  <c r="Y340"/>
  <c r="Z340" s="1"/>
  <c r="AH150"/>
  <c r="AG150"/>
  <c r="AG113"/>
  <c r="AH113"/>
  <c r="AH163"/>
  <c r="Y218"/>
  <c r="Z218" s="1"/>
  <c r="Y159"/>
  <c r="Z159" s="1"/>
  <c r="AH241"/>
  <c r="AG243"/>
  <c r="Y332"/>
  <c r="Z332" s="1"/>
  <c r="Y261"/>
  <c r="Z261" s="1"/>
  <c r="AG331"/>
  <c r="I10" i="44"/>
  <c r="Y299" i="24"/>
  <c r="Z299" s="1"/>
  <c r="AG299"/>
  <c r="AG329"/>
  <c r="AH314"/>
  <c r="AG315"/>
  <c r="AG379"/>
  <c r="K21" i="35"/>
  <c r="AG375" i="24"/>
  <c r="AH281"/>
  <c r="AH381"/>
  <c r="Y256"/>
  <c r="Z256" s="1"/>
  <c r="AH275"/>
  <c r="AH353"/>
  <c r="P340"/>
  <c r="AH340" s="1"/>
  <c r="Y315"/>
  <c r="Z315" s="1"/>
  <c r="AH256"/>
  <c r="AG321"/>
  <c r="AG314"/>
  <c r="AH379"/>
  <c r="Y260"/>
  <c r="Z260" s="1"/>
  <c r="Y287"/>
  <c r="Z287" s="1"/>
  <c r="AH346"/>
  <c r="AG351"/>
  <c r="AG259"/>
  <c r="Y380"/>
  <c r="Z380" s="1"/>
  <c r="AH363"/>
  <c r="AH380"/>
  <c r="AH324"/>
  <c r="AG330"/>
  <c r="AH277"/>
  <c r="Y348"/>
  <c r="Z348" s="1"/>
  <c r="P261"/>
  <c r="AH261" s="1"/>
  <c r="I12" i="22"/>
  <c r="AG347" i="24"/>
  <c r="AG348"/>
  <c r="I16" i="44"/>
  <c r="I13"/>
  <c r="AH268" i="24"/>
  <c r="I12" i="44"/>
  <c r="I17"/>
  <c r="I11"/>
  <c r="Y356" i="24"/>
  <c r="Z356" s="1"/>
  <c r="AH308"/>
  <c r="I15" i="44"/>
  <c r="AH347" i="24"/>
  <c r="AH318"/>
  <c r="Y378"/>
  <c r="Z378" s="1"/>
  <c r="AG328"/>
  <c r="AG192" i="43"/>
  <c r="BK192" i="24" s="1"/>
  <c r="AG241"/>
  <c r="AH365"/>
  <c r="AH264"/>
  <c r="AH243"/>
  <c r="AG343"/>
  <c r="AH280"/>
  <c r="Y361"/>
  <c r="Z361" s="1"/>
  <c r="AG306"/>
  <c r="AH345"/>
  <c r="AH306"/>
  <c r="AH253"/>
  <c r="Y278"/>
  <c r="Z278" s="1"/>
  <c r="Y243"/>
  <c r="Z243" s="1"/>
  <c r="Y289"/>
  <c r="Z289" s="1"/>
  <c r="AH296"/>
  <c r="AH342"/>
  <c r="AH360"/>
  <c r="AH312"/>
  <c r="AG357"/>
  <c r="Y372"/>
  <c r="Z372" s="1"/>
  <c r="AH310"/>
  <c r="Y346"/>
  <c r="Z346" s="1"/>
  <c r="AH292"/>
  <c r="Y272"/>
  <c r="Z272" s="1"/>
  <c r="AG275"/>
  <c r="AG289"/>
  <c r="AG249"/>
  <c r="AG256"/>
  <c r="Y285"/>
  <c r="Z285" s="1"/>
  <c r="Y328"/>
  <c r="Z328" s="1"/>
  <c r="AH372"/>
  <c r="AH303"/>
  <c r="Y306"/>
  <c r="Z306" s="1"/>
  <c r="AH323"/>
  <c r="AG285"/>
  <c r="AH316"/>
  <c r="AG324"/>
  <c r="C22" i="44"/>
  <c r="C24" s="1"/>
  <c r="Y247" i="24"/>
  <c r="Z247" s="1"/>
  <c r="AH367"/>
  <c r="AH332"/>
  <c r="AH313"/>
  <c r="AH334"/>
  <c r="AH368"/>
  <c r="AH369"/>
  <c r="AH274"/>
  <c r="AG346"/>
  <c r="AH361"/>
  <c r="AH259"/>
  <c r="AG345"/>
  <c r="AH376"/>
  <c r="AH307"/>
  <c r="AH252"/>
  <c r="Y246"/>
  <c r="Z246" s="1"/>
  <c r="AH290"/>
  <c r="AH326"/>
  <c r="AH276"/>
  <c r="AG335"/>
  <c r="AG356"/>
  <c r="Y294"/>
  <c r="Z294" s="1"/>
  <c r="AG371"/>
  <c r="AG376"/>
  <c r="AG307"/>
  <c r="Y273"/>
  <c r="Z273" s="1"/>
  <c r="AH287"/>
  <c r="K12" i="22"/>
  <c r="I18" i="44"/>
  <c r="Y248" i="24"/>
  <c r="Z248" s="1"/>
  <c r="AH246"/>
  <c r="AG303"/>
  <c r="AG327"/>
  <c r="Y362"/>
  <c r="Z362" s="1"/>
  <c r="AH330"/>
  <c r="I9" i="44"/>
  <c r="Y269" i="24"/>
  <c r="Z269" s="1"/>
  <c r="Y317"/>
  <c r="Z317" s="1"/>
  <c r="AG373"/>
  <c r="AH286"/>
  <c r="Y345"/>
  <c r="Z345" s="1"/>
  <c r="CN292" i="43"/>
  <c r="AV292"/>
  <c r="BD292" s="1"/>
  <c r="CJ292"/>
  <c r="CR292" s="1"/>
  <c r="BS292"/>
  <c r="BO292"/>
  <c r="AZ292"/>
  <c r="AX292"/>
  <c r="BQ292"/>
  <c r="CL292"/>
  <c r="AG292"/>
  <c r="BK292" i="24" s="1"/>
  <c r="AG317"/>
  <c r="Y349"/>
  <c r="Z349" s="1"/>
  <c r="AH254"/>
  <c r="AG276"/>
  <c r="AH289"/>
  <c r="Y297"/>
  <c r="Z297" s="1"/>
  <c r="AH348"/>
  <c r="AG308"/>
  <c r="AG287"/>
  <c r="AH329"/>
  <c r="AG279"/>
  <c r="Y241"/>
  <c r="Z241" s="1"/>
  <c r="Y257"/>
  <c r="Z257" s="1"/>
  <c r="AH282"/>
  <c r="Y329"/>
  <c r="Z329" s="1"/>
  <c r="AH362"/>
  <c r="Y307"/>
  <c r="Z307" s="1"/>
  <c r="AH278"/>
  <c r="Y381"/>
  <c r="Z381" s="1"/>
  <c r="AG294"/>
  <c r="Y318"/>
  <c r="Z318" s="1"/>
  <c r="Y365"/>
  <c r="Z365" s="1"/>
  <c r="AG290"/>
  <c r="AH291"/>
  <c r="AG291"/>
  <c r="P258"/>
  <c r="AH258" s="1"/>
  <c r="I9" i="22"/>
  <c r="J9" s="1"/>
  <c r="AH283" i="24"/>
  <c r="AH357"/>
  <c r="AG323"/>
  <c r="AG334"/>
  <c r="AG277"/>
  <c r="AH327"/>
  <c r="AH336"/>
  <c r="AG358"/>
  <c r="AG163"/>
  <c r="Y172"/>
  <c r="Z172" s="1"/>
  <c r="AG213"/>
  <c r="Y326"/>
  <c r="Z326" s="1"/>
  <c r="AH373"/>
  <c r="AH317"/>
  <c r="Y302"/>
  <c r="Z302" s="1"/>
  <c r="P302"/>
  <c r="P260"/>
  <c r="I11" i="22"/>
  <c r="P319" i="24"/>
  <c r="I19" i="44"/>
  <c r="Y383" i="24"/>
  <c r="Z383" s="1"/>
  <c r="P383"/>
  <c r="P349"/>
  <c r="I20" i="44"/>
  <c r="AH189" i="24"/>
  <c r="AG189"/>
  <c r="AH234"/>
  <c r="AG234"/>
  <c r="AG253"/>
  <c r="AH52"/>
  <c r="AG52"/>
  <c r="AG62"/>
  <c r="AH62"/>
  <c r="G14" i="44"/>
  <c r="AH172" i="24"/>
  <c r="AH199"/>
  <c r="AH215"/>
  <c r="Y193"/>
  <c r="Z193" s="1"/>
  <c r="Y199"/>
  <c r="Z199" s="1"/>
  <c r="Y215"/>
  <c r="Z215" s="1"/>
  <c r="AG228"/>
  <c r="AH229"/>
  <c r="AG237"/>
  <c r="Y295"/>
  <c r="Z295" s="1"/>
  <c r="Y237"/>
  <c r="Z237" s="1"/>
  <c r="Y313"/>
  <c r="Z313" s="1"/>
  <c r="Y347"/>
  <c r="Z347" s="1"/>
  <c r="AH339"/>
  <c r="AG339"/>
  <c r="AH295"/>
  <c r="AG353"/>
  <c r="AH299"/>
  <c r="Y327"/>
  <c r="Z327" s="1"/>
  <c r="AG362"/>
  <c r="Y384"/>
  <c r="Z384" s="1"/>
  <c r="AH375"/>
  <c r="AH384"/>
  <c r="Y354"/>
  <c r="Z354" s="1"/>
  <c r="P354"/>
  <c r="AH300"/>
  <c r="AG300"/>
  <c r="P385"/>
  <c r="Y385"/>
  <c r="AH206"/>
  <c r="AG206"/>
  <c r="AG170"/>
  <c r="Y179"/>
  <c r="Z179" s="1"/>
  <c r="BP179"/>
  <c r="AG181"/>
  <c r="Y185"/>
  <c r="Z185" s="1"/>
  <c r="Y201"/>
  <c r="Z201" s="1"/>
  <c r="BP201"/>
  <c r="AH211"/>
  <c r="Y236"/>
  <c r="Z236" s="1"/>
  <c r="BP236"/>
  <c r="Y197"/>
  <c r="Z197" s="1"/>
  <c r="AH218"/>
  <c r="Y291"/>
  <c r="Z291" s="1"/>
  <c r="Y284"/>
  <c r="Z284" s="1"/>
  <c r="Y267"/>
  <c r="Z267" s="1"/>
  <c r="Y281"/>
  <c r="Z281" s="1"/>
  <c r="AG301"/>
  <c r="AG310"/>
  <c r="AH341"/>
  <c r="AH311"/>
  <c r="Y325"/>
  <c r="Z325" s="1"/>
  <c r="AH356"/>
  <c r="AG381"/>
  <c r="Y308"/>
  <c r="Z308" s="1"/>
  <c r="Y323"/>
  <c r="Z323" s="1"/>
  <c r="Y339"/>
  <c r="Z339" s="1"/>
  <c r="Y357"/>
  <c r="Z357" s="1"/>
  <c r="Y373"/>
  <c r="Z373" s="1"/>
  <c r="AG79"/>
  <c r="AH79"/>
  <c r="AH226"/>
  <c r="AG226"/>
  <c r="AG10"/>
  <c r="AH10"/>
  <c r="AH158"/>
  <c r="AG159"/>
  <c r="Y200"/>
  <c r="Z200" s="1"/>
  <c r="BP200"/>
  <c r="AG176"/>
  <c r="Y206"/>
  <c r="Z206" s="1"/>
  <c r="Y187"/>
  <c r="Z187" s="1"/>
  <c r="Y195"/>
  <c r="Z195" s="1"/>
  <c r="Y232"/>
  <c r="Z232" s="1"/>
  <c r="Y216"/>
  <c r="Z216" s="1"/>
  <c r="AG283"/>
  <c r="AH205"/>
  <c r="Y280"/>
  <c r="Z280" s="1"/>
  <c r="Y251"/>
  <c r="Z251" s="1"/>
  <c r="AH273"/>
  <c r="AG273"/>
  <c r="AH294"/>
  <c r="Y336"/>
  <c r="Z336" s="1"/>
  <c r="AH305"/>
  <c r="AG352"/>
  <c r="Y367"/>
  <c r="Z367" s="1"/>
  <c r="AG293"/>
  <c r="AG377"/>
  <c r="Y296"/>
  <c r="Z296" s="1"/>
  <c r="AH321"/>
  <c r="AH298"/>
  <c r="AG298"/>
  <c r="AG272"/>
  <c r="AH272"/>
  <c r="AG19"/>
  <c r="AH19"/>
  <c r="AH16"/>
  <c r="AG16"/>
  <c r="AH97"/>
  <c r="AG97"/>
  <c r="AG14"/>
  <c r="AH14"/>
  <c r="AG264"/>
  <c r="AH148"/>
  <c r="AG148"/>
  <c r="AH61"/>
  <c r="AG61"/>
  <c r="AH44"/>
  <c r="AG44"/>
  <c r="AG252"/>
  <c r="AG242"/>
  <c r="AG188"/>
  <c r="AH121"/>
  <c r="AG121"/>
  <c r="AH24"/>
  <c r="AG24"/>
  <c r="AH25"/>
  <c r="AG25"/>
  <c r="AH104"/>
  <c r="AG104"/>
  <c r="AH343"/>
  <c r="AH133"/>
  <c r="AG133"/>
  <c r="AG91"/>
  <c r="AH91"/>
  <c r="AG251"/>
  <c r="AH251"/>
  <c r="Y350"/>
  <c r="Z350" s="1"/>
  <c r="P350"/>
  <c r="Y320"/>
  <c r="Z320" s="1"/>
  <c r="P320"/>
  <c r="AG186"/>
  <c r="AH186"/>
  <c r="AH171"/>
  <c r="Y174"/>
  <c r="Z174" s="1"/>
  <c r="BP174"/>
  <c r="Y164"/>
  <c r="Z164" s="1"/>
  <c r="BP164"/>
  <c r="AG164" s="1"/>
  <c r="Y227"/>
  <c r="Z227" s="1"/>
  <c r="Y231"/>
  <c r="Z231" s="1"/>
  <c r="Y228"/>
  <c r="Z228" s="1"/>
  <c r="Y270"/>
  <c r="Z270" s="1"/>
  <c r="AG225"/>
  <c r="AG360"/>
  <c r="AG313"/>
  <c r="Y343"/>
  <c r="Z343" s="1"/>
  <c r="AG54"/>
  <c r="AH54"/>
  <c r="AH370"/>
  <c r="AG370"/>
  <c r="Y300"/>
  <c r="Z300" s="1"/>
  <c r="AH193"/>
  <c r="AG193"/>
  <c r="AH222"/>
  <c r="AG222"/>
  <c r="Y169"/>
  <c r="Z169" s="1"/>
  <c r="AG190"/>
  <c r="AH190"/>
  <c r="Y166"/>
  <c r="Z166" s="1"/>
  <c r="AG227"/>
  <c r="AH212"/>
  <c r="AG198"/>
  <c r="Y225"/>
  <c r="Z225" s="1"/>
  <c r="AG271"/>
  <c r="AH271"/>
  <c r="Y276"/>
  <c r="Z276" s="1"/>
  <c r="Y266"/>
  <c r="Z266" s="1"/>
  <c r="BP319"/>
  <c r="J19" i="44"/>
  <c r="AH359" i="24"/>
  <c r="AG342"/>
  <c r="AG372"/>
  <c r="AH335"/>
  <c r="AG78"/>
  <c r="AH78"/>
  <c r="Y186"/>
  <c r="Z186" s="1"/>
  <c r="AH162"/>
  <c r="Y176"/>
  <c r="Z176" s="1"/>
  <c r="Y177"/>
  <c r="Z177" s="1"/>
  <c r="BP177"/>
  <c r="Y222"/>
  <c r="Z222" s="1"/>
  <c r="G15" i="44"/>
  <c r="Y282" i="24"/>
  <c r="Z282" s="1"/>
  <c r="Y204"/>
  <c r="Z204" s="1"/>
  <c r="AG304"/>
  <c r="AH209"/>
  <c r="AG254"/>
  <c r="Y263"/>
  <c r="Z263" s="1"/>
  <c r="AG278"/>
  <c r="Y293"/>
  <c r="Z293" s="1"/>
  <c r="AH371"/>
  <c r="Y304"/>
  <c r="Z304" s="1"/>
  <c r="Y321"/>
  <c r="Z321" s="1"/>
  <c r="AG312"/>
  <c r="AH331"/>
  <c r="AG361"/>
  <c r="AG336"/>
  <c r="AG250"/>
  <c r="AH185"/>
  <c r="AG185"/>
  <c r="Y157"/>
  <c r="Z157" s="1"/>
  <c r="P157"/>
  <c r="AH13"/>
  <c r="AG13"/>
  <c r="AG268"/>
  <c r="AG208"/>
  <c r="AH9"/>
  <c r="AG9"/>
  <c r="AH88"/>
  <c r="AG88"/>
  <c r="AG147"/>
  <c r="AH147"/>
  <c r="V20" i="44"/>
  <c r="DN290" i="43"/>
  <c r="K37" i="35" s="1"/>
  <c r="K38"/>
  <c r="AH270" i="24"/>
  <c r="AG270"/>
  <c r="AH267"/>
  <c r="AG267"/>
  <c r="AG366"/>
  <c r="AH366"/>
  <c r="AH202"/>
  <c r="AG202"/>
  <c r="P167"/>
  <c r="I14" i="44"/>
  <c r="AH248" i="24"/>
  <c r="AG248"/>
  <c r="AG114"/>
  <c r="AH114"/>
  <c r="Y171"/>
  <c r="Z171" s="1"/>
  <c r="Y198"/>
  <c r="Z198" s="1"/>
  <c r="AH165"/>
  <c r="AG231"/>
  <c r="Y189"/>
  <c r="Z189" s="1"/>
  <c r="AG296"/>
  <c r="Y239"/>
  <c r="Z239" s="1"/>
  <c r="BP239"/>
  <c r="AG286"/>
  <c r="AG322"/>
  <c r="AH322"/>
  <c r="Y352"/>
  <c r="Z352" s="1"/>
  <c r="Y368"/>
  <c r="Z368" s="1"/>
  <c r="Y305"/>
  <c r="Z305" s="1"/>
  <c r="AH355"/>
  <c r="AG355"/>
  <c r="AH64"/>
  <c r="AG64"/>
  <c r="Y226"/>
  <c r="Z226" s="1"/>
  <c r="Y268"/>
  <c r="Z268" s="1"/>
  <c r="Y286"/>
  <c r="Z286" s="1"/>
  <c r="AG292"/>
  <c r="AG282"/>
  <c r="Y309"/>
  <c r="Z309" s="1"/>
  <c r="AG325"/>
  <c r="Y310"/>
  <c r="Z310" s="1"/>
  <c r="AG326"/>
  <c r="BP349"/>
  <c r="V19" i="44" s="1"/>
  <c r="J20"/>
  <c r="AG365" i="24"/>
  <c r="AG309"/>
  <c r="AH84"/>
  <c r="AG84"/>
  <c r="AG194"/>
  <c r="AH194"/>
  <c r="AH207"/>
  <c r="AG207"/>
  <c r="Y158"/>
  <c r="Z158" s="1"/>
  <c r="Y192"/>
  <c r="Z192" s="1"/>
  <c r="Y173"/>
  <c r="Z173" s="1"/>
  <c r="BP173"/>
  <c r="Y191"/>
  <c r="Z191" s="1"/>
  <c r="Y207"/>
  <c r="Z207" s="1"/>
  <c r="G11" i="44"/>
  <c r="G13"/>
  <c r="G28"/>
  <c r="F28" s="1"/>
  <c r="G10"/>
  <c r="G9"/>
  <c r="G12"/>
  <c r="G29"/>
  <c r="F29" s="1"/>
  <c r="AG233" i="24"/>
  <c r="AH217"/>
  <c r="Y249"/>
  <c r="Z249" s="1"/>
  <c r="G17" i="44"/>
  <c r="G18"/>
  <c r="AG281" i="24"/>
  <c r="AG337"/>
  <c r="Y337"/>
  <c r="Z337" s="1"/>
  <c r="Y351"/>
  <c r="Z351" s="1"/>
  <c r="AG368"/>
  <c r="Y290"/>
  <c r="Z290" s="1"/>
  <c r="Y292"/>
  <c r="Z292" s="1"/>
  <c r="Y376"/>
  <c r="Z376" s="1"/>
  <c r="AG297"/>
  <c r="AH266"/>
  <c r="AG266"/>
  <c r="AH263"/>
  <c r="AG263"/>
  <c r="AG378"/>
  <c r="AH378"/>
  <c r="AG182"/>
  <c r="AH182"/>
  <c r="AH73"/>
  <c r="AG73"/>
  <c r="AH89"/>
  <c r="AG89"/>
  <c r="AH49"/>
  <c r="AG49"/>
  <c r="AG87"/>
  <c r="AH87"/>
  <c r="AH33"/>
  <c r="AG33"/>
  <c r="AH21"/>
  <c r="AG21"/>
  <c r="AH249"/>
  <c r="AG224"/>
  <c r="AH37"/>
  <c r="AG37"/>
  <c r="AH112"/>
  <c r="AG112"/>
  <c r="AG146"/>
  <c r="AH146"/>
  <c r="AH136"/>
  <c r="AG136"/>
  <c r="AH105"/>
  <c r="AG105"/>
  <c r="Y160"/>
  <c r="Z160" s="1"/>
  <c r="BP160"/>
  <c r="AH255"/>
  <c r="AG255"/>
  <c r="BP288"/>
  <c r="J18" i="44"/>
  <c r="Y283" i="24"/>
  <c r="Z283" s="1"/>
  <c r="AH269"/>
  <c r="AG269"/>
  <c r="Y366"/>
  <c r="Z366" s="1"/>
  <c r="Y342"/>
  <c r="Z342" s="1"/>
  <c r="Y288"/>
  <c r="Z288" s="1"/>
  <c r="Y382"/>
  <c r="Z382" s="1"/>
  <c r="P48"/>
  <c r="Y48"/>
  <c r="Z48" s="1"/>
  <c r="AH265"/>
  <c r="AG265"/>
  <c r="AH382"/>
  <c r="AG382"/>
  <c r="Y333"/>
  <c r="Z333" s="1"/>
  <c r="P333"/>
  <c r="AH247"/>
  <c r="AG247"/>
  <c r="AG39"/>
  <c r="AH39"/>
  <c r="Y183"/>
  <c r="Z183" s="1"/>
  <c r="BP183"/>
  <c r="AG183" s="1"/>
  <c r="Y165"/>
  <c r="Z165" s="1"/>
  <c r="Y170"/>
  <c r="Z170" s="1"/>
  <c r="Y178"/>
  <c r="Z178" s="1"/>
  <c r="Y184"/>
  <c r="Z184" s="1"/>
  <c r="BP184"/>
  <c r="AH184" s="1"/>
  <c r="Y265"/>
  <c r="Z265" s="1"/>
  <c r="Y224"/>
  <c r="Z224" s="1"/>
  <c r="Y254"/>
  <c r="Z254" s="1"/>
  <c r="Y255"/>
  <c r="Z255" s="1"/>
  <c r="Y359"/>
  <c r="Z359" s="1"/>
  <c r="Y319"/>
  <c r="Z319" s="1"/>
  <c r="Y322"/>
  <c r="Z322" s="1"/>
  <c r="Y312"/>
  <c r="Z312" s="1"/>
  <c r="Y377"/>
  <c r="Z377" s="1"/>
  <c r="Y338"/>
  <c r="Z338" s="1"/>
  <c r="P338"/>
  <c r="Y355"/>
  <c r="Z355" s="1"/>
  <c r="Y168"/>
  <c r="Z168" s="1"/>
  <c r="BP168"/>
  <c r="Y180"/>
  <c r="Z180" s="1"/>
  <c r="BP180"/>
  <c r="AG180" s="1"/>
  <c r="G16" i="44"/>
  <c r="Y211" i="24"/>
  <c r="Z211" s="1"/>
  <c r="Y213"/>
  <c r="Z213" s="1"/>
  <c r="Y221"/>
  <c r="Z221" s="1"/>
  <c r="Y250"/>
  <c r="Z250" s="1"/>
  <c r="Y341"/>
  <c r="Z341" s="1"/>
  <c r="Y371"/>
  <c r="Z371" s="1"/>
  <c r="Y334"/>
  <c r="Z334" s="1"/>
  <c r="G20" i="44"/>
  <c r="AG374" i="24"/>
  <c r="AH374"/>
  <c r="AH344"/>
  <c r="AG344"/>
  <c r="AH210"/>
  <c r="AG210"/>
  <c r="AH223"/>
  <c r="AG223"/>
  <c r="Y161"/>
  <c r="Z161" s="1"/>
  <c r="Y163"/>
  <c r="Z163" s="1"/>
  <c r="Y167"/>
  <c r="Z167" s="1"/>
  <c r="Y223"/>
  <c r="Z223" s="1"/>
  <c r="Y209"/>
  <c r="Z209" s="1"/>
  <c r="Y252"/>
  <c r="Z252" s="1"/>
  <c r="Y264"/>
  <c r="Z264" s="1"/>
  <c r="Y303"/>
  <c r="Z303" s="1"/>
  <c r="Y208"/>
  <c r="Z208" s="1"/>
  <c r="Y253"/>
  <c r="Z253" s="1"/>
  <c r="Y262"/>
  <c r="Z262" s="1"/>
  <c r="AG257"/>
  <c r="AH257"/>
  <c r="Y277"/>
  <c r="Z277" s="1"/>
  <c r="AG364"/>
  <c r="AH364"/>
  <c r="Y370"/>
  <c r="Z370" s="1"/>
  <c r="Y311"/>
  <c r="Z311" s="1"/>
  <c r="Y330"/>
  <c r="Z330" s="1"/>
  <c r="Y360"/>
  <c r="Z360" s="1"/>
  <c r="Y335"/>
  <c r="Z335" s="1"/>
  <c r="Y353"/>
  <c r="Z353" s="1"/>
  <c r="Y369"/>
  <c r="Z369" s="1"/>
  <c r="AH214"/>
  <c r="AG214"/>
  <c r="AG195"/>
  <c r="AH195"/>
  <c r="AH192"/>
  <c r="AG192"/>
  <c r="AG274"/>
  <c r="AG187"/>
  <c r="AG46"/>
  <c r="AH46"/>
  <c r="AG262"/>
  <c r="AH197"/>
  <c r="AG82"/>
  <c r="AH82"/>
  <c r="AH45"/>
  <c r="AG45"/>
  <c r="AH80"/>
  <c r="AG80"/>
  <c r="AG42"/>
  <c r="AH42"/>
  <c r="CN288" i="43"/>
  <c r="AZ288"/>
  <c r="BQ288"/>
  <c r="AG288"/>
  <c r="BK288" i="24" s="1"/>
  <c r="BO288" i="43"/>
  <c r="AV288"/>
  <c r="BD288" s="1"/>
  <c r="CJ288"/>
  <c r="CR288" s="1"/>
  <c r="AX288"/>
  <c r="BS288"/>
  <c r="CL288"/>
  <c r="BS283"/>
  <c r="AV283"/>
  <c r="BD283" s="1"/>
  <c r="BQ283"/>
  <c r="CJ283"/>
  <c r="CR283" s="1"/>
  <c r="AG283"/>
  <c r="BK283" i="24" s="1"/>
  <c r="AZ283" i="43"/>
  <c r="CL283"/>
  <c r="CN283"/>
  <c r="BO283"/>
  <c r="AX283"/>
  <c r="BO338"/>
  <c r="AX338"/>
  <c r="BQ338"/>
  <c r="BS274"/>
  <c r="AV274"/>
  <c r="BD274" s="1"/>
  <c r="CN274"/>
  <c r="CL274"/>
  <c r="AG274"/>
  <c r="BK274" i="24" s="1"/>
  <c r="AX274" i="43"/>
  <c r="CJ274"/>
  <c r="CR274" s="1"/>
  <c r="BO274"/>
  <c r="BQ274"/>
  <c r="AZ274"/>
  <c r="CL272"/>
  <c r="AZ272"/>
  <c r="BS272"/>
  <c r="AV272"/>
  <c r="BQ272"/>
  <c r="CN272"/>
  <c r="AX272"/>
  <c r="CJ272"/>
  <c r="CR272" s="1"/>
  <c r="BO272"/>
  <c r="AG272"/>
  <c r="BK272" i="24" s="1"/>
  <c r="AV338" i="43"/>
  <c r="CL17"/>
  <c r="CP17" s="1"/>
  <c r="BO328"/>
  <c r="BO276"/>
  <c r="AV225"/>
  <c r="AH156" i="24"/>
  <c r="AG156"/>
  <c r="AG22"/>
  <c r="AH22"/>
  <c r="AH81"/>
  <c r="AG81"/>
  <c r="AG154"/>
  <c r="AH154"/>
  <c r="AG95"/>
  <c r="AH95"/>
  <c r="AH56"/>
  <c r="AG56"/>
  <c r="AG26"/>
  <c r="AH26"/>
  <c r="CN266" i="43"/>
  <c r="AV266"/>
  <c r="BD266" s="1"/>
  <c r="AZ266"/>
  <c r="AX266"/>
  <c r="BO266"/>
  <c r="CJ266"/>
  <c r="CR266" s="1"/>
  <c r="CL266"/>
  <c r="AG266"/>
  <c r="BK266" i="24" s="1"/>
  <c r="BQ266" i="43"/>
  <c r="BS266"/>
  <c r="AV45"/>
  <c r="CN45"/>
  <c r="AG45"/>
  <c r="FF45" s="1"/>
  <c r="BS45"/>
  <c r="AZ45"/>
  <c r="CN218"/>
  <c r="BO290"/>
  <c r="AG279"/>
  <c r="BK279" i="24" s="1"/>
  <c r="CN279" i="43"/>
  <c r="BO279"/>
  <c r="AV279"/>
  <c r="BD279" s="1"/>
  <c r="AG309"/>
  <c r="BK309" i="24" s="1"/>
  <c r="CJ309" i="43"/>
  <c r="CR309" s="1"/>
  <c r="CN309"/>
  <c r="AX309"/>
  <c r="AZ221"/>
  <c r="CJ221"/>
  <c r="AG338"/>
  <c r="BK338" i="24" s="1"/>
  <c r="BS338" i="43"/>
  <c r="CJ338"/>
  <c r="CN338"/>
  <c r="BO264"/>
  <c r="AZ264"/>
  <c r="BS264"/>
  <c r="BQ264"/>
  <c r="AX264"/>
  <c r="CL264"/>
  <c r="CN264"/>
  <c r="AV264"/>
  <c r="BD264" s="1"/>
  <c r="CJ264"/>
  <c r="AG264"/>
  <c r="BK264" i="24" s="1"/>
  <c r="AV22" i="43"/>
  <c r="AV28"/>
  <c r="CJ28"/>
  <c r="CL28"/>
  <c r="AX10"/>
  <c r="AG10"/>
  <c r="FF10" s="1"/>
  <c r="BS20"/>
  <c r="BQ20"/>
  <c r="AX20"/>
  <c r="CL328"/>
  <c r="CP328" s="1"/>
  <c r="CN330"/>
  <c r="BO330"/>
  <c r="CL330"/>
  <c r="AG313"/>
  <c r="BK313" i="24" s="1"/>
  <c r="BO313" i="43"/>
  <c r="BS313"/>
  <c r="AZ276"/>
  <c r="AX262"/>
  <c r="BO262"/>
  <c r="CN262"/>
  <c r="AX56"/>
  <c r="CJ56"/>
  <c r="AG61"/>
  <c r="BK61" i="24" s="1"/>
  <c r="AX28" i="43"/>
  <c r="AG28"/>
  <c r="FF28" s="1"/>
  <c r="BS28"/>
  <c r="BQ28"/>
  <c r="CL10"/>
  <c r="CP10" s="1"/>
  <c r="AZ10"/>
  <c r="BO10"/>
  <c r="DT10" s="1"/>
  <c r="AX40"/>
  <c r="CJ20"/>
  <c r="AG20"/>
  <c r="Q20" s="1"/>
  <c r="AO20" s="1"/>
  <c r="AP20" s="1"/>
  <c r="V17" i="45" s="1"/>
  <c r="AV20" i="43"/>
  <c r="AZ20"/>
  <c r="CN17"/>
  <c r="AG17"/>
  <c r="Q17" s="1"/>
  <c r="AO17" s="1"/>
  <c r="AP17" s="1"/>
  <c r="V14" i="45" s="1"/>
  <c r="CN73" i="43"/>
  <c r="CN328"/>
  <c r="AG330"/>
  <c r="BK330" i="24" s="1"/>
  <c r="BS330" i="43"/>
  <c r="BQ330"/>
  <c r="AZ330"/>
  <c r="BQ215"/>
  <c r="CJ225"/>
  <c r="AV313"/>
  <c r="CJ313"/>
  <c r="CR313" s="1"/>
  <c r="AX313"/>
  <c r="CL313"/>
  <c r="AG276"/>
  <c r="BK276" i="24" s="1"/>
  <c r="BS276" i="43"/>
  <c r="CJ276"/>
  <c r="CR276" s="1"/>
  <c r="AZ262"/>
  <c r="CJ262"/>
  <c r="CR262" s="1"/>
  <c r="BQ262"/>
  <c r="BS262"/>
  <c r="AV262"/>
  <c r="BD262" s="1"/>
  <c r="CL262"/>
  <c r="CL338"/>
  <c r="BS192"/>
  <c r="AX221"/>
  <c r="BQ221"/>
  <c r="BO192"/>
  <c r="CL221"/>
  <c r="AG221"/>
  <c r="BK221" i="24" s="1"/>
  <c r="AV221" i="43"/>
  <c r="AV192"/>
  <c r="BO221"/>
  <c r="BO186"/>
  <c r="AZ186"/>
  <c r="BQ186"/>
  <c r="AV303"/>
  <c r="BD303" s="1"/>
  <c r="AG8" i="24"/>
  <c r="AZ17" i="43"/>
  <c r="CL36"/>
  <c r="CJ36"/>
  <c r="CN36"/>
  <c r="AV36"/>
  <c r="AZ76"/>
  <c r="AX76"/>
  <c r="AG76"/>
  <c r="FF76" s="1"/>
  <c r="BO76"/>
  <c r="BQ99"/>
  <c r="BO99"/>
  <c r="BS99"/>
  <c r="AZ99"/>
  <c r="CJ77"/>
  <c r="BS49"/>
  <c r="BO49"/>
  <c r="AV49"/>
  <c r="AG49"/>
  <c r="FF49" s="1"/>
  <c r="AZ56"/>
  <c r="BS56"/>
  <c r="CJ38"/>
  <c r="AX38"/>
  <c r="AG38"/>
  <c r="Q38" s="1"/>
  <c r="AO38" s="1"/>
  <c r="AP38" s="1"/>
  <c r="AQ38" s="1"/>
  <c r="AX61"/>
  <c r="CL79"/>
  <c r="BS328"/>
  <c r="AZ328"/>
  <c r="CL290"/>
  <c r="AZ290"/>
  <c r="AV290"/>
  <c r="BD290" s="1"/>
  <c r="AG225"/>
  <c r="BK225" i="24" s="1"/>
  <c r="BQ225" i="43"/>
  <c r="BS225"/>
  <c r="AX276"/>
  <c r="AV276"/>
  <c r="BD276" s="1"/>
  <c r="CL276"/>
  <c r="CN276"/>
  <c r="AV31"/>
  <c r="BQ16"/>
  <c r="CJ22"/>
  <c r="CP22" s="1"/>
  <c r="AX22"/>
  <c r="BQ21"/>
  <c r="CJ21"/>
  <c r="AG21"/>
  <c r="FF21" s="1"/>
  <c r="BO70"/>
  <c r="CL218"/>
  <c r="AG113"/>
  <c r="BK113" i="24" s="1"/>
  <c r="CL72" i="43"/>
  <c r="BK68" i="24"/>
  <c r="BS64" i="43"/>
  <c r="BV64" s="1"/>
  <c r="CC64" s="1"/>
  <c r="AG64"/>
  <c r="FF64" s="1"/>
  <c r="AZ113"/>
  <c r="AV72"/>
  <c r="CN31"/>
  <c r="AV16"/>
  <c r="AG16"/>
  <c r="BK16" i="24" s="1"/>
  <c r="AG22" i="43"/>
  <c r="FF22" s="1"/>
  <c r="BO40"/>
  <c r="CJ54"/>
  <c r="CP54" s="1"/>
  <c r="AG97"/>
  <c r="BK97" i="24" s="1"/>
  <c r="AV68" i="43"/>
  <c r="CJ218"/>
  <c r="CP218" s="1"/>
  <c r="AV64"/>
  <c r="AX64"/>
  <c r="CJ72"/>
  <c r="DT72" s="1"/>
  <c r="CL16"/>
  <c r="BQ22"/>
  <c r="BO22"/>
  <c r="CN40"/>
  <c r="AZ54"/>
  <c r="BQ40"/>
  <c r="AV113"/>
  <c r="CN97"/>
  <c r="AZ21"/>
  <c r="AX70"/>
  <c r="BQ68"/>
  <c r="AX218"/>
  <c r="BS218"/>
  <c r="BS234"/>
  <c r="CL232"/>
  <c r="AX232"/>
  <c r="BQ232"/>
  <c r="BO232"/>
  <c r="AG232"/>
  <c r="BK232" i="24" s="1"/>
  <c r="AZ232" i="43"/>
  <c r="CJ232"/>
  <c r="BS232"/>
  <c r="AV232"/>
  <c r="CN232"/>
  <c r="AZ228"/>
  <c r="BQ228"/>
  <c r="BO228"/>
  <c r="AG228"/>
  <c r="BK228" i="24" s="1"/>
  <c r="BS228" i="43"/>
  <c r="CJ228"/>
  <c r="AX228"/>
  <c r="CL228"/>
  <c r="AV228"/>
  <c r="CN228"/>
  <c r="AG80"/>
  <c r="Q80" s="1"/>
  <c r="AO80" s="1"/>
  <c r="AP80" s="1"/>
  <c r="AQ80" s="1"/>
  <c r="CN21"/>
  <c r="AX21"/>
  <c r="BB21" s="1"/>
  <c r="BH21" s="1"/>
  <c r="CL21"/>
  <c r="BS21"/>
  <c r="BO21"/>
  <c r="BQ73"/>
  <c r="DE50"/>
  <c r="AV79"/>
  <c r="BO45"/>
  <c r="CL45"/>
  <c r="CP45" s="1"/>
  <c r="BQ45"/>
  <c r="AX45"/>
  <c r="CN68"/>
  <c r="AV17"/>
  <c r="CL70"/>
  <c r="CJ73"/>
  <c r="CP73" s="1"/>
  <c r="BO17"/>
  <c r="AX328"/>
  <c r="AV328"/>
  <c r="BQ328"/>
  <c r="AG328"/>
  <c r="BK328" i="24" s="1"/>
  <c r="CN234" i="43"/>
  <c r="AV215"/>
  <c r="CN225"/>
  <c r="AX225"/>
  <c r="BO225"/>
  <c r="CL225"/>
  <c r="CN192"/>
  <c r="AZ192"/>
  <c r="CL192"/>
  <c r="AG242"/>
  <c r="BK242" i="24" s="1"/>
  <c r="CL303" i="43"/>
  <c r="AG186"/>
  <c r="BK186" i="24" s="1"/>
  <c r="CJ186" i="43"/>
  <c r="CP186" s="1"/>
  <c r="BO355"/>
  <c r="BS355"/>
  <c r="AV355"/>
  <c r="AG355"/>
  <c r="BK355" i="24" s="1"/>
  <c r="AZ218" i="43"/>
  <c r="AV218"/>
  <c r="AG218"/>
  <c r="BK218" i="24" s="1"/>
  <c r="BO218" i="43"/>
  <c r="BV218" s="1"/>
  <c r="CN290"/>
  <c r="BQ290"/>
  <c r="BS290"/>
  <c r="CJ290"/>
  <c r="CR290" s="1"/>
  <c r="AZ32"/>
  <c r="BO303"/>
  <c r="BQ303"/>
  <c r="AZ303"/>
  <c r="AX186"/>
  <c r="BS186"/>
  <c r="AV186"/>
  <c r="CN186"/>
  <c r="BQ17"/>
  <c r="BQ53"/>
  <c r="CJ53"/>
  <c r="CL53"/>
  <c r="AG215"/>
  <c r="BK215" i="24" s="1"/>
  <c r="BO215" i="43"/>
  <c r="BS215"/>
  <c r="AG236"/>
  <c r="BK236" i="24" s="1"/>
  <c r="BQ285" i="43"/>
  <c r="BO38"/>
  <c r="BO61"/>
  <c r="DE81"/>
  <c r="CJ81" s="1"/>
  <c r="DE148"/>
  <c r="BO148" s="1"/>
  <c r="CN53"/>
  <c r="BO53"/>
  <c r="DE155"/>
  <c r="CL155" s="1"/>
  <c r="CJ277"/>
  <c r="CR277" s="1"/>
  <c r="AX215"/>
  <c r="CJ215"/>
  <c r="CN215"/>
  <c r="CL215"/>
  <c r="AZ236"/>
  <c r="BS299"/>
  <c r="AX236"/>
  <c r="CN236"/>
  <c r="BO236"/>
  <c r="BQ236"/>
  <c r="CJ236"/>
  <c r="CP236" s="1"/>
  <c r="AV236"/>
  <c r="BS236"/>
  <c r="AV299"/>
  <c r="BD299" s="1"/>
  <c r="CN299"/>
  <c r="AX17"/>
  <c r="V334" i="45"/>
  <c r="V65"/>
  <c r="AQ68" i="43"/>
  <c r="AZ213"/>
  <c r="CL213"/>
  <c r="CN213"/>
  <c r="CJ213"/>
  <c r="BO213"/>
  <c r="BS213"/>
  <c r="AV213"/>
  <c r="BQ213"/>
  <c r="AX213"/>
  <c r="AG213"/>
  <c r="BK213" i="24" s="1"/>
  <c r="I81" i="35"/>
  <c r="I69"/>
  <c r="BS12" i="43"/>
  <c r="EV12"/>
  <c r="EU13"/>
  <c r="CJ41"/>
  <c r="BQ41"/>
  <c r="AX113"/>
  <c r="BS72"/>
  <c r="AZ72"/>
  <c r="AX72"/>
  <c r="CJ31"/>
  <c r="AX31"/>
  <c r="BS31"/>
  <c r="BV31" s="1"/>
  <c r="CN22"/>
  <c r="AZ22"/>
  <c r="BO54"/>
  <c r="AG54"/>
  <c r="Q54" s="1"/>
  <c r="AO54" s="1"/>
  <c r="AP54" s="1"/>
  <c r="CN113"/>
  <c r="CL113"/>
  <c r="CP113" s="1"/>
  <c r="BQ113"/>
  <c r="BO97"/>
  <c r="AX97"/>
  <c r="CL80"/>
  <c r="AG73"/>
  <c r="FF73" s="1"/>
  <c r="CN79"/>
  <c r="CN70"/>
  <c r="AZ68"/>
  <c r="BS73"/>
  <c r="BO73"/>
  <c r="BO113"/>
  <c r="BS113"/>
  <c r="BQ72"/>
  <c r="CN72"/>
  <c r="AG31"/>
  <c r="FF31" s="1"/>
  <c r="CL31"/>
  <c r="BS22"/>
  <c r="AV54"/>
  <c r="AX54"/>
  <c r="BS54"/>
  <c r="CJ40"/>
  <c r="CL97"/>
  <c r="CP97" s="1"/>
  <c r="AZ97"/>
  <c r="AZ80"/>
  <c r="AX80"/>
  <c r="BO80"/>
  <c r="AV70"/>
  <c r="BS70"/>
  <c r="AZ79"/>
  <c r="AG79"/>
  <c r="Q79" s="1"/>
  <c r="AO79" s="1"/>
  <c r="AP79" s="1"/>
  <c r="CN80"/>
  <c r="BS68"/>
  <c r="AG70"/>
  <c r="BK70" i="24" s="1"/>
  <c r="BQ79" i="43"/>
  <c r="AZ70"/>
  <c r="CJ79"/>
  <c r="CL68"/>
  <c r="AV73"/>
  <c r="AZ31"/>
  <c r="AG40"/>
  <c r="FF40" s="1"/>
  <c r="AV40"/>
  <c r="BQ54"/>
  <c r="BS80"/>
  <c r="BS40"/>
  <c r="AV97"/>
  <c r="BQ97"/>
  <c r="CJ80"/>
  <c r="CL40"/>
  <c r="AX73"/>
  <c r="CJ70"/>
  <c r="AX79"/>
  <c r="BS79"/>
  <c r="BQ80"/>
  <c r="BO68"/>
  <c r="CJ68"/>
  <c r="AZ73"/>
  <c r="AV242"/>
  <c r="AZ240"/>
  <c r="AZ299"/>
  <c r="BQ192"/>
  <c r="CJ192"/>
  <c r="CJ299"/>
  <c r="Q161"/>
  <c r="AO161" s="1"/>
  <c r="AP161" s="1"/>
  <c r="CJ188"/>
  <c r="AG188"/>
  <c r="BK188" i="24" s="1"/>
  <c r="BS188" i="43"/>
  <c r="CN188"/>
  <c r="AV188"/>
  <c r="AX188"/>
  <c r="BQ188"/>
  <c r="BO188"/>
  <c r="CL188"/>
  <c r="AZ188"/>
  <c r="AG14"/>
  <c r="BQ14"/>
  <c r="AV77"/>
  <c r="AZ41"/>
  <c r="AV41"/>
  <c r="CN16"/>
  <c r="BS16"/>
  <c r="AX16"/>
  <c r="CJ16"/>
  <c r="AV56"/>
  <c r="CL56"/>
  <c r="AG56"/>
  <c r="BK56" i="24" s="1"/>
  <c r="CN56" i="43"/>
  <c r="CN77"/>
  <c r="CJ61"/>
  <c r="CP61" s="1"/>
  <c r="AZ38"/>
  <c r="AV38"/>
  <c r="DE145"/>
  <c r="AV145" s="1"/>
  <c r="CN61"/>
  <c r="CN38"/>
  <c r="BQ66"/>
  <c r="DE154"/>
  <c r="BS154" s="1"/>
  <c r="AZ53"/>
  <c r="AG53"/>
  <c r="FF53" s="1"/>
  <c r="BS53"/>
  <c r="AZ63"/>
  <c r="AV53"/>
  <c r="CJ63"/>
  <c r="BS66"/>
  <c r="AG63"/>
  <c r="BK63" i="24" s="1"/>
  <c r="CN277" i="43"/>
  <c r="CL318"/>
  <c r="BO285"/>
  <c r="AX240"/>
  <c r="BO240"/>
  <c r="FF161"/>
  <c r="AX299"/>
  <c r="BO299"/>
  <c r="AG299"/>
  <c r="BK299" i="24" s="1"/>
  <c r="CL299" i="43"/>
  <c r="AG303"/>
  <c r="BK303" i="24" s="1"/>
  <c r="CJ303" i="43"/>
  <c r="CR303" s="1"/>
  <c r="AX303"/>
  <c r="CN303"/>
  <c r="DT337"/>
  <c r="BS14"/>
  <c r="CN44"/>
  <c r="CL14"/>
  <c r="CN39"/>
  <c r="AG66"/>
  <c r="Q66" s="1"/>
  <c r="AO66" s="1"/>
  <c r="AP66" s="1"/>
  <c r="CJ66"/>
  <c r="AV63"/>
  <c r="DE136"/>
  <c r="AZ136" s="1"/>
  <c r="DE120"/>
  <c r="CL120" s="1"/>
  <c r="AG277"/>
  <c r="BK277" i="24" s="1"/>
  <c r="BO277" i="43"/>
  <c r="BS277"/>
  <c r="AX318"/>
  <c r="AG318"/>
  <c r="BK318" i="24" s="1"/>
  <c r="AG285" i="43"/>
  <c r="BK285" i="24" s="1"/>
  <c r="AX285" i="43"/>
  <c r="BS285"/>
  <c r="CN240"/>
  <c r="AV240"/>
  <c r="AG69"/>
  <c r="Q69" s="1"/>
  <c r="AO69" s="1"/>
  <c r="AP69" s="1"/>
  <c r="CN69"/>
  <c r="CJ69"/>
  <c r="CN14"/>
  <c r="BQ38"/>
  <c r="BQ63"/>
  <c r="CL38"/>
  <c r="BS63"/>
  <c r="BS61"/>
  <c r="BQ61"/>
  <c r="CJ39"/>
  <c r="AX66"/>
  <c r="AZ66"/>
  <c r="AZ61"/>
  <c r="BQ39"/>
  <c r="CL63"/>
  <c r="CL66"/>
  <c r="AV66"/>
  <c r="DE125"/>
  <c r="CN125" s="1"/>
  <c r="BO63"/>
  <c r="DE138"/>
  <c r="CJ138" s="1"/>
  <c r="AV277"/>
  <c r="BD277" s="1"/>
  <c r="AX277"/>
  <c r="BQ277"/>
  <c r="CL277"/>
  <c r="BQ318"/>
  <c r="AZ318"/>
  <c r="CN285"/>
  <c r="AV285"/>
  <c r="BD285" s="1"/>
  <c r="CJ285"/>
  <c r="CR285" s="1"/>
  <c r="CL285"/>
  <c r="CJ240"/>
  <c r="CL240"/>
  <c r="AG240"/>
  <c r="BK240" i="24" s="1"/>
  <c r="BQ240" i="43"/>
  <c r="DE141"/>
  <c r="AZ141" s="1"/>
  <c r="FZ13"/>
  <c r="CY9"/>
  <c r="DA9" s="1"/>
  <c r="AU6" i="45" s="1"/>
  <c r="CY10" i="43"/>
  <c r="DA10" s="1"/>
  <c r="AU7" i="45" s="1"/>
  <c r="CY11" i="43"/>
  <c r="DA11" s="1"/>
  <c r="AU8" i="45" s="1"/>
  <c r="CF9" i="43"/>
  <c r="CF10"/>
  <c r="DT161"/>
  <c r="CP337"/>
  <c r="CV337" s="1"/>
  <c r="CJ318"/>
  <c r="CN318"/>
  <c r="AV318"/>
  <c r="BO318"/>
  <c r="DE142"/>
  <c r="CJ35"/>
  <c r="BQ71"/>
  <c r="BB161"/>
  <c r="BH161" s="1"/>
  <c r="CP161"/>
  <c r="AV71"/>
  <c r="AV44"/>
  <c r="CJ14"/>
  <c r="AZ37"/>
  <c r="AG37"/>
  <c r="FF37" s="1"/>
  <c r="CN37"/>
  <c r="BO37"/>
  <c r="CJ37"/>
  <c r="AX37"/>
  <c r="BQ37"/>
  <c r="BS37"/>
  <c r="AV37"/>
  <c r="CL37"/>
  <c r="BO32"/>
  <c r="AG32"/>
  <c r="Q32" s="1"/>
  <c r="AO32" s="1"/>
  <c r="AP32" s="1"/>
  <c r="AX32"/>
  <c r="AV32"/>
  <c r="BS32"/>
  <c r="AX77"/>
  <c r="CL77"/>
  <c r="AV95"/>
  <c r="CJ95"/>
  <c r="AZ111"/>
  <c r="AG111"/>
  <c r="FF111" s="1"/>
  <c r="BQ77"/>
  <c r="CL95"/>
  <c r="AX39"/>
  <c r="CL39"/>
  <c r="BS39"/>
  <c r="AZ77"/>
  <c r="AG77"/>
  <c r="FF77" s="1"/>
  <c r="AZ95"/>
  <c r="AV39"/>
  <c r="CN95"/>
  <c r="CJ111"/>
  <c r="AX111"/>
  <c r="AV111"/>
  <c r="BQ32"/>
  <c r="CL32"/>
  <c r="BS77"/>
  <c r="BS95"/>
  <c r="BQ95"/>
  <c r="BO111"/>
  <c r="CN111"/>
  <c r="I33" i="34"/>
  <c r="AG39" i="43"/>
  <c r="BO39"/>
  <c r="BV337"/>
  <c r="CC337" s="1"/>
  <c r="AZ78"/>
  <c r="CL78"/>
  <c r="H7" i="34"/>
  <c r="H19" s="1"/>
  <c r="CL234" i="43"/>
  <c r="BO234"/>
  <c r="BS25"/>
  <c r="I73" i="34"/>
  <c r="AG234" i="43"/>
  <c r="BK234" i="24" s="1"/>
  <c r="CJ234" i="43"/>
  <c r="AZ234"/>
  <c r="AX234"/>
  <c r="BQ234"/>
  <c r="I13" i="34"/>
  <c r="I27"/>
  <c r="I28"/>
  <c r="I65"/>
  <c r="I37"/>
  <c r="I42"/>
  <c r="I17"/>
  <c r="I68"/>
  <c r="I31"/>
  <c r="I66"/>
  <c r="I16"/>
  <c r="BB337" i="43"/>
  <c r="BV222"/>
  <c r="CC222" s="1"/>
  <c r="BV161"/>
  <c r="CB161" s="1"/>
  <c r="AJ161"/>
  <c r="I161" s="1"/>
  <c r="BV366"/>
  <c r="I40" i="34"/>
  <c r="I58"/>
  <c r="I30"/>
  <c r="I64"/>
  <c r="I14"/>
  <c r="I44"/>
  <c r="I43"/>
  <c r="I72"/>
  <c r="I9"/>
  <c r="I70"/>
  <c r="I29"/>
  <c r="I57"/>
  <c r="I49"/>
  <c r="I45"/>
  <c r="BV311" i="43"/>
  <c r="CC311" s="1"/>
  <c r="CN242"/>
  <c r="AX242"/>
  <c r="BO242"/>
  <c r="AW7" i="45"/>
  <c r="I38" i="34"/>
  <c r="I69"/>
  <c r="I56"/>
  <c r="I35"/>
  <c r="I51"/>
  <c r="I10"/>
  <c r="I48"/>
  <c r="I34"/>
  <c r="I12"/>
  <c r="I25"/>
  <c r="I53"/>
  <c r="I63"/>
  <c r="I36"/>
  <c r="I6"/>
  <c r="I74"/>
  <c r="BQ242" i="43"/>
  <c r="AZ242"/>
  <c r="CJ242"/>
  <c r="I41" i="34"/>
  <c r="I24"/>
  <c r="I15"/>
  <c r="I52"/>
  <c r="I26"/>
  <c r="I46"/>
  <c r="I54"/>
  <c r="I60"/>
  <c r="I23"/>
  <c r="I11"/>
  <c r="I32"/>
  <c r="I71"/>
  <c r="I19"/>
  <c r="I61"/>
  <c r="CL242" i="43"/>
  <c r="AJ337"/>
  <c r="I337" s="1"/>
  <c r="BV354"/>
  <c r="CC354" s="1"/>
  <c r="BV212"/>
  <c r="CC212" s="1"/>
  <c r="BV163"/>
  <c r="CC163" s="1"/>
  <c r="BV329"/>
  <c r="CC329" s="1"/>
  <c r="BV287"/>
  <c r="BY287" s="1"/>
  <c r="CA287" s="1"/>
  <c r="BV205"/>
  <c r="CC205" s="1"/>
  <c r="BV162"/>
  <c r="BV203"/>
  <c r="CC203" s="1"/>
  <c r="BV383"/>
  <c r="BY383" s="1"/>
  <c r="CA383" s="1"/>
  <c r="BV253"/>
  <c r="CC253" s="1"/>
  <c r="BV237"/>
  <c r="BV375"/>
  <c r="BV219"/>
  <c r="CC219" s="1"/>
  <c r="BV250"/>
  <c r="CC250" s="1"/>
  <c r="BV341"/>
  <c r="BV362"/>
  <c r="CC362" s="1"/>
  <c r="BV282"/>
  <c r="CC282" s="1"/>
  <c r="BV172"/>
  <c r="CC172" s="1"/>
  <c r="BV164"/>
  <c r="CC164" s="1"/>
  <c r="BV224"/>
  <c r="CC224" s="1"/>
  <c r="BV175"/>
  <c r="CC175" s="1"/>
  <c r="BV340"/>
  <c r="BV207"/>
  <c r="CC207" s="1"/>
  <c r="BV374"/>
  <c r="BV361"/>
  <c r="BV307"/>
  <c r="BY307" s="1"/>
  <c r="CA307" s="1"/>
  <c r="BV324"/>
  <c r="BV263"/>
  <c r="BY263" s="1"/>
  <c r="CA263" s="1"/>
  <c r="BV382"/>
  <c r="CC382" s="1"/>
  <c r="BV190"/>
  <c r="CC190" s="1"/>
  <c r="BV370"/>
  <c r="BV302"/>
  <c r="CC302" s="1"/>
  <c r="BV248"/>
  <c r="BV334"/>
  <c r="CC334" s="1"/>
  <c r="AG357"/>
  <c r="BS357"/>
  <c r="CJ357"/>
  <c r="AZ357"/>
  <c r="CN357"/>
  <c r="BO357"/>
  <c r="AX357"/>
  <c r="CL357"/>
  <c r="AV357"/>
  <c r="BQ357"/>
  <c r="BV278"/>
  <c r="CC278" s="1"/>
  <c r="BV198"/>
  <c r="CC198" s="1"/>
  <c r="BV231"/>
  <c r="CC231" s="1"/>
  <c r="BV268"/>
  <c r="CC268" s="1"/>
  <c r="BV178"/>
  <c r="CC178" s="1"/>
  <c r="BV199"/>
  <c r="CC199" s="1"/>
  <c r="BV381"/>
  <c r="CC381" s="1"/>
  <c r="BV165"/>
  <c r="CC165" s="1"/>
  <c r="BV351"/>
  <c r="BV255"/>
  <c r="BV349"/>
  <c r="CC349" s="1"/>
  <c r="BV380"/>
  <c r="CC380" s="1"/>
  <c r="BV180"/>
  <c r="CC180" s="1"/>
  <c r="BV169"/>
  <c r="CC169" s="1"/>
  <c r="BV294"/>
  <c r="CC294" s="1"/>
  <c r="BV353"/>
  <c r="CC353" s="1"/>
  <c r="BV183"/>
  <c r="BV243"/>
  <c r="CC243" s="1"/>
  <c r="BV252"/>
  <c r="CC252" s="1"/>
  <c r="BQ336"/>
  <c r="CJ336"/>
  <c r="AG336"/>
  <c r="BO336"/>
  <c r="AV336"/>
  <c r="BS336"/>
  <c r="CN336"/>
  <c r="AZ336"/>
  <c r="CL336"/>
  <c r="AX336"/>
  <c r="BV298"/>
  <c r="CC298" s="1"/>
  <c r="BV346"/>
  <c r="BV184"/>
  <c r="CC184" s="1"/>
  <c r="BV325"/>
  <c r="BV223"/>
  <c r="BV185"/>
  <c r="CC185" s="1"/>
  <c r="BV171"/>
  <c r="CC171" s="1"/>
  <c r="BV167"/>
  <c r="CC167" s="1"/>
  <c r="BV371"/>
  <c r="BV360"/>
  <c r="BV195"/>
  <c r="CC195" s="1"/>
  <c r="BV297"/>
  <c r="BY297" s="1"/>
  <c r="CA297" s="1"/>
  <c r="BV379"/>
  <c r="BV316"/>
  <c r="CA316" s="1"/>
  <c r="BV206"/>
  <c r="Q210"/>
  <c r="AO210" s="1"/>
  <c r="AP210" s="1"/>
  <c r="AJ210"/>
  <c r="I210" s="1"/>
  <c r="FF210"/>
  <c r="CP339"/>
  <c r="DT339"/>
  <c r="CP363"/>
  <c r="DT363"/>
  <c r="Q246"/>
  <c r="AO246" s="1"/>
  <c r="AP246" s="1"/>
  <c r="FF246"/>
  <c r="AJ246"/>
  <c r="I246" s="1"/>
  <c r="BB163"/>
  <c r="BB344"/>
  <c r="BB170"/>
  <c r="CP181"/>
  <c r="DT181"/>
  <c r="BB329"/>
  <c r="DT307"/>
  <c r="CR307"/>
  <c r="CP307"/>
  <c r="DT315"/>
  <c r="CR315"/>
  <c r="CP315"/>
  <c r="DT251"/>
  <c r="CP251"/>
  <c r="DT229"/>
  <c r="CP229"/>
  <c r="AJ278"/>
  <c r="I278" s="1"/>
  <c r="Q278"/>
  <c r="AO278" s="1"/>
  <c r="FF278"/>
  <c r="BD278"/>
  <c r="BB278"/>
  <c r="DR278"/>
  <c r="BB332"/>
  <c r="CP306"/>
  <c r="DT306"/>
  <c r="CR306"/>
  <c r="BB260"/>
  <c r="AJ168"/>
  <c r="I168" s="1"/>
  <c r="Q168"/>
  <c r="AO168" s="1"/>
  <c r="AP168" s="1"/>
  <c r="FF168"/>
  <c r="CP168"/>
  <c r="DT168"/>
  <c r="Q249"/>
  <c r="AO249" s="1"/>
  <c r="AP249" s="1"/>
  <c r="FF249"/>
  <c r="AJ249"/>
  <c r="I249" s="1"/>
  <c r="BB256"/>
  <c r="CP224"/>
  <c r="DT224"/>
  <c r="DT158"/>
  <c r="CP158"/>
  <c r="BB317"/>
  <c r="DR317"/>
  <c r="DT269"/>
  <c r="CR269"/>
  <c r="CP269"/>
  <c r="DT223"/>
  <c r="CP223"/>
  <c r="BB193"/>
  <c r="DT185"/>
  <c r="CP185"/>
  <c r="CR384"/>
  <c r="CP384"/>
  <c r="DT384"/>
  <c r="CP365"/>
  <c r="DT365"/>
  <c r="Q198"/>
  <c r="AO198" s="1"/>
  <c r="AP198" s="1"/>
  <c r="FF198"/>
  <c r="AJ198"/>
  <c r="I198" s="1"/>
  <c r="BB187"/>
  <c r="DT167"/>
  <c r="CP167"/>
  <c r="CP371"/>
  <c r="DT371"/>
  <c r="BB175"/>
  <c r="AJ286"/>
  <c r="I286" s="1"/>
  <c r="Q286"/>
  <c r="AO286" s="1"/>
  <c r="AP286" s="1"/>
  <c r="FF286"/>
  <c r="CP286"/>
  <c r="DT286"/>
  <c r="CR286"/>
  <c r="Q383"/>
  <c r="AO383" s="1"/>
  <c r="AP383" s="1"/>
  <c r="FF383"/>
  <c r="AJ383"/>
  <c r="I383" s="1"/>
  <c r="BB271"/>
  <c r="DR271"/>
  <c r="BD271"/>
  <c r="Q235"/>
  <c r="AO235" s="1"/>
  <c r="AP235" s="1"/>
  <c r="FF235"/>
  <c r="AJ235"/>
  <c r="I235" s="1"/>
  <c r="DT235"/>
  <c r="CP235"/>
  <c r="Q160"/>
  <c r="AO160" s="1"/>
  <c r="AP160" s="1"/>
  <c r="FF160"/>
  <c r="AJ160"/>
  <c r="I160" s="1"/>
  <c r="DT160"/>
  <c r="CP160"/>
  <c r="BB360"/>
  <c r="Q311"/>
  <c r="AO311" s="1"/>
  <c r="AP311" s="1"/>
  <c r="FF311"/>
  <c r="AJ311"/>
  <c r="I311" s="1"/>
  <c r="BB253"/>
  <c r="Q237"/>
  <c r="AO237" s="1"/>
  <c r="AP237" s="1"/>
  <c r="FF237"/>
  <c r="AJ237"/>
  <c r="I237" s="1"/>
  <c r="Q375"/>
  <c r="AO375" s="1"/>
  <c r="AP375" s="1"/>
  <c r="FF375"/>
  <c r="AJ375"/>
  <c r="I375" s="1"/>
  <c r="BB375"/>
  <c r="Q261"/>
  <c r="AO261" s="1"/>
  <c r="FF261"/>
  <c r="AJ261"/>
  <c r="I261" s="1"/>
  <c r="BB261"/>
  <c r="Q219"/>
  <c r="AO219" s="1"/>
  <c r="AP219" s="1"/>
  <c r="FF219"/>
  <c r="AJ219"/>
  <c r="I219" s="1"/>
  <c r="DT211"/>
  <c r="CP211"/>
  <c r="Q382"/>
  <c r="AO382" s="1"/>
  <c r="AP382" s="1"/>
  <c r="FF382"/>
  <c r="AJ382"/>
  <c r="I382" s="1"/>
  <c r="CP298"/>
  <c r="CR298"/>
  <c r="DT298"/>
  <c r="Q273"/>
  <c r="AO273" s="1"/>
  <c r="FF273"/>
  <c r="AJ273"/>
  <c r="I273" s="1"/>
  <c r="Q173"/>
  <c r="AO173" s="1"/>
  <c r="AP173" s="1"/>
  <c r="FF173"/>
  <c r="AJ173"/>
  <c r="I173" s="1"/>
  <c r="Q366"/>
  <c r="AO366" s="1"/>
  <c r="AP366" s="1"/>
  <c r="FF366"/>
  <c r="AJ366"/>
  <c r="I366" s="1"/>
  <c r="Q340"/>
  <c r="AO340" s="1"/>
  <c r="AP340" s="1"/>
  <c r="FF340"/>
  <c r="AJ340"/>
  <c r="I340" s="1"/>
  <c r="DR274"/>
  <c r="CP250"/>
  <c r="DT250"/>
  <c r="Q368"/>
  <c r="AO368" s="1"/>
  <c r="AP368" s="1"/>
  <c r="FF368"/>
  <c r="AJ368"/>
  <c r="I368" s="1"/>
  <c r="CP368"/>
  <c r="CV368" s="1"/>
  <c r="DT368"/>
  <c r="BB202"/>
  <c r="BB176"/>
  <c r="Q287"/>
  <c r="AO287" s="1"/>
  <c r="AP287" s="1"/>
  <c r="FF287"/>
  <c r="AJ287"/>
  <c r="I287" s="1"/>
  <c r="Q174"/>
  <c r="AO174" s="1"/>
  <c r="AP174" s="1"/>
  <c r="FF174"/>
  <c r="AJ174"/>
  <c r="I174" s="1"/>
  <c r="BB356"/>
  <c r="Q362"/>
  <c r="AO362" s="1"/>
  <c r="AP362" s="1"/>
  <c r="FF362"/>
  <c r="AJ362"/>
  <c r="I362" s="1"/>
  <c r="BD304"/>
  <c r="BB304"/>
  <c r="DR304"/>
  <c r="CP284"/>
  <c r="DT284"/>
  <c r="CR284"/>
  <c r="CP254"/>
  <c r="DT254"/>
  <c r="AJ282"/>
  <c r="I282" s="1"/>
  <c r="Q282"/>
  <c r="AO282" s="1"/>
  <c r="FF282"/>
  <c r="BB230"/>
  <c r="CP230"/>
  <c r="DT230"/>
  <c r="BB190"/>
  <c r="AJ220"/>
  <c r="I220" s="1"/>
  <c r="Q220"/>
  <c r="AO220" s="1"/>
  <c r="AP220" s="1"/>
  <c r="FF220"/>
  <c r="Q192"/>
  <c r="AO192" s="1"/>
  <c r="AP192" s="1"/>
  <c r="BD268"/>
  <c r="BB268"/>
  <c r="DR268"/>
  <c r="BB195"/>
  <c r="CP178"/>
  <c r="DT178"/>
  <c r="BB378"/>
  <c r="BB364"/>
  <c r="CP364"/>
  <c r="DT364"/>
  <c r="CP342"/>
  <c r="CP209"/>
  <c r="DT209"/>
  <c r="DR313"/>
  <c r="BB205"/>
  <c r="CP226"/>
  <c r="DT226"/>
  <c r="CP316"/>
  <c r="DT316"/>
  <c r="AJ212"/>
  <c r="I212" s="1"/>
  <c r="Q212"/>
  <c r="AO212" s="1"/>
  <c r="AP212" s="1"/>
  <c r="FF212"/>
  <c r="BB159"/>
  <c r="BB166"/>
  <c r="Q247"/>
  <c r="AO247" s="1"/>
  <c r="AP247" s="1"/>
  <c r="FF247"/>
  <c r="AJ247"/>
  <c r="I247" s="1"/>
  <c r="BB207"/>
  <c r="CP207"/>
  <c r="DT207"/>
  <c r="BB310"/>
  <c r="DR310"/>
  <c r="CP381"/>
  <c r="DT381"/>
  <c r="BB323"/>
  <c r="DT189"/>
  <c r="CP189"/>
  <c r="DT165"/>
  <c r="CP165"/>
  <c r="CP348"/>
  <c r="DT348"/>
  <c r="DT333"/>
  <c r="CP333"/>
  <c r="BB327"/>
  <c r="DT255"/>
  <c r="CP255"/>
  <c r="CP359"/>
  <c r="DT359"/>
  <c r="BB369"/>
  <c r="BH369" s="1"/>
  <c r="CP248"/>
  <c r="DT248"/>
  <c r="Q248"/>
  <c r="AO248" s="1"/>
  <c r="AP248" s="1"/>
  <c r="FF248"/>
  <c r="AJ248"/>
  <c r="I248" s="1"/>
  <c r="Q204"/>
  <c r="AO204" s="1"/>
  <c r="AP204" s="1"/>
  <c r="FF204"/>
  <c r="AJ204"/>
  <c r="I204" s="1"/>
  <c r="BB177"/>
  <c r="Q162"/>
  <c r="AO162" s="1"/>
  <c r="AP162" s="1"/>
  <c r="FF162"/>
  <c r="AJ162"/>
  <c r="I162" s="1"/>
  <c r="BB180"/>
  <c r="CP180"/>
  <c r="DT180"/>
  <c r="Q335"/>
  <c r="AO335" s="1"/>
  <c r="AP335" s="1"/>
  <c r="FF335"/>
  <c r="AJ335"/>
  <c r="I335" s="1"/>
  <c r="BB335"/>
  <c r="DT291"/>
  <c r="CR291"/>
  <c r="CP291"/>
  <c r="Q217"/>
  <c r="AO217" s="1"/>
  <c r="AP217" s="1"/>
  <c r="FF217"/>
  <c r="AJ217"/>
  <c r="I217" s="1"/>
  <c r="BB191"/>
  <c r="Q321"/>
  <c r="AO321" s="1"/>
  <c r="AP321" s="1"/>
  <c r="FF321"/>
  <c r="AJ321"/>
  <c r="I321" s="1"/>
  <c r="Q295"/>
  <c r="AO295" s="1"/>
  <c r="AP295" s="1"/>
  <c r="FF295"/>
  <c r="AJ295"/>
  <c r="I295" s="1"/>
  <c r="BB352"/>
  <c r="Q352"/>
  <c r="AO352" s="1"/>
  <c r="AP352" s="1"/>
  <c r="FF352"/>
  <c r="AJ352"/>
  <c r="I352" s="1"/>
  <c r="BB305"/>
  <c r="DR305"/>
  <c r="BD305"/>
  <c r="DT257"/>
  <c r="CP257"/>
  <c r="CP203"/>
  <c r="DT203"/>
  <c r="DR272"/>
  <c r="CP244"/>
  <c r="DT244"/>
  <c r="Q244"/>
  <c r="AO244" s="1"/>
  <c r="AP244" s="1"/>
  <c r="FF244"/>
  <c r="AJ244"/>
  <c r="I244" s="1"/>
  <c r="BB244"/>
  <c r="CP294"/>
  <c r="CR294"/>
  <c r="DT294"/>
  <c r="BD294"/>
  <c r="BB294"/>
  <c r="DR294"/>
  <c r="CP374"/>
  <c r="DT374"/>
  <c r="CP361"/>
  <c r="DT361"/>
  <c r="BB361"/>
  <c r="DR276"/>
  <c r="CP222"/>
  <c r="DT222"/>
  <c r="CP194"/>
  <c r="DT194"/>
  <c r="Q172"/>
  <c r="AO172" s="1"/>
  <c r="AP172" s="1"/>
  <c r="FF172"/>
  <c r="AJ172"/>
  <c r="I172" s="1"/>
  <c r="CP172"/>
  <c r="DT172"/>
  <c r="CP353"/>
  <c r="DT353"/>
  <c r="BB353"/>
  <c r="BB183"/>
  <c r="DT164"/>
  <c r="CP164"/>
  <c r="BB164"/>
  <c r="BB319"/>
  <c r="DR319"/>
  <c r="Q243"/>
  <c r="AO243" s="1"/>
  <c r="AP243" s="1"/>
  <c r="FF243"/>
  <c r="AJ243"/>
  <c r="I243" s="1"/>
  <c r="BB233"/>
  <c r="FF312"/>
  <c r="BD280"/>
  <c r="BB280"/>
  <c r="DR280"/>
  <c r="CP258"/>
  <c r="DT258"/>
  <c r="BB258"/>
  <c r="BB252"/>
  <c r="CP296"/>
  <c r="CR296"/>
  <c r="DT296"/>
  <c r="BV246"/>
  <c r="BV170"/>
  <c r="BV332"/>
  <c r="BV157"/>
  <c r="BV256"/>
  <c r="BV269"/>
  <c r="BV275"/>
  <c r="BV245"/>
  <c r="BV208"/>
  <c r="BV201"/>
  <c r="BV289"/>
  <c r="BV202"/>
  <c r="BV356"/>
  <c r="BV304"/>
  <c r="BV254"/>
  <c r="BV216"/>
  <c r="BV378"/>
  <c r="BV364"/>
  <c r="BV331"/>
  <c r="BV226"/>
  <c r="BV210"/>
  <c r="BV166"/>
  <c r="BV238"/>
  <c r="BV348"/>
  <c r="BV333"/>
  <c r="BV267"/>
  <c r="BV359"/>
  <c r="BV343"/>
  <c r="BV214"/>
  <c r="BV385"/>
  <c r="BV295"/>
  <c r="BV358"/>
  <c r="BV227"/>
  <c r="BV194"/>
  <c r="BV373"/>
  <c r="BV350"/>
  <c r="BV293"/>
  <c r="BV233"/>
  <c r="BV258"/>
  <c r="Q339"/>
  <c r="AO339" s="1"/>
  <c r="AP339" s="1"/>
  <c r="FF339"/>
  <c r="AJ339"/>
  <c r="I339" s="1"/>
  <c r="BB339"/>
  <c r="CP197"/>
  <c r="DT197"/>
  <c r="AJ163"/>
  <c r="I163" s="1"/>
  <c r="FF163"/>
  <c r="Q163"/>
  <c r="AO163" s="1"/>
  <c r="AP163" s="1"/>
  <c r="CP163"/>
  <c r="DT163"/>
  <c r="CP367"/>
  <c r="CV367" s="1"/>
  <c r="DT367"/>
  <c r="Q344"/>
  <c r="AO344" s="1"/>
  <c r="AP344" s="1"/>
  <c r="FF344"/>
  <c r="AJ344"/>
  <c r="I344" s="1"/>
  <c r="CP344"/>
  <c r="DT344"/>
  <c r="CP170"/>
  <c r="DT170"/>
  <c r="BB181"/>
  <c r="Q329"/>
  <c r="AO329" s="1"/>
  <c r="AP329" s="1"/>
  <c r="FF329"/>
  <c r="AJ329"/>
  <c r="I329" s="1"/>
  <c r="Q315"/>
  <c r="AO315" s="1"/>
  <c r="AP315" s="1"/>
  <c r="FF315"/>
  <c r="AJ315"/>
  <c r="I315" s="1"/>
  <c r="Q229"/>
  <c r="AO229" s="1"/>
  <c r="AP229" s="1"/>
  <c r="FF229"/>
  <c r="AJ229"/>
  <c r="I229" s="1"/>
  <c r="BB229"/>
  <c r="BB324"/>
  <c r="Q322"/>
  <c r="AO322" s="1"/>
  <c r="AP322" s="1"/>
  <c r="FF322"/>
  <c r="AJ306"/>
  <c r="I306" s="1"/>
  <c r="Q306"/>
  <c r="AO306" s="1"/>
  <c r="AP306" s="1"/>
  <c r="FF306"/>
  <c r="BB168"/>
  <c r="AJ256"/>
  <c r="I256" s="1"/>
  <c r="Q256"/>
  <c r="AO256" s="1"/>
  <c r="FF256"/>
  <c r="CP256"/>
  <c r="DT256"/>
  <c r="Q265"/>
  <c r="AO265" s="1"/>
  <c r="FF265"/>
  <c r="AJ265"/>
  <c r="I265" s="1"/>
  <c r="Q158"/>
  <c r="AO158" s="1"/>
  <c r="AP158" s="1"/>
  <c r="FF158"/>
  <c r="AJ158"/>
  <c r="I158" s="1"/>
  <c r="BB354"/>
  <c r="DR279"/>
  <c r="BB269"/>
  <c r="DR269"/>
  <c r="BD269"/>
  <c r="Q269"/>
  <c r="AO269" s="1"/>
  <c r="FF269"/>
  <c r="AJ269"/>
  <c r="I269" s="1"/>
  <c r="Q223"/>
  <c r="AO223" s="1"/>
  <c r="AP223" s="1"/>
  <c r="FF223"/>
  <c r="AJ223"/>
  <c r="I223" s="1"/>
  <c r="Q193"/>
  <c r="AO193" s="1"/>
  <c r="AP193" s="1"/>
  <c r="FF193"/>
  <c r="AJ193"/>
  <c r="I193" s="1"/>
  <c r="Q185"/>
  <c r="AO185" s="1"/>
  <c r="AP185" s="1"/>
  <c r="FF185"/>
  <c r="AJ185"/>
  <c r="I185" s="1"/>
  <c r="Q384"/>
  <c r="AO384" s="1"/>
  <c r="AP384" s="1"/>
  <c r="FF384"/>
  <c r="AJ384"/>
  <c r="I384" s="1"/>
  <c r="Q275"/>
  <c r="AO275" s="1"/>
  <c r="FF275"/>
  <c r="AJ275"/>
  <c r="I275" s="1"/>
  <c r="Q187"/>
  <c r="AO187" s="1"/>
  <c r="AP187" s="1"/>
  <c r="FF187"/>
  <c r="AJ187"/>
  <c r="I187" s="1"/>
  <c r="Q371"/>
  <c r="AO371" s="1"/>
  <c r="AP371" s="1"/>
  <c r="AJ371"/>
  <c r="I371" s="1"/>
  <c r="FF371"/>
  <c r="BB371"/>
  <c r="CP245"/>
  <c r="DT245"/>
  <c r="CP175"/>
  <c r="DT175"/>
  <c r="BD383"/>
  <c r="BB383"/>
  <c r="DR383"/>
  <c r="Q271"/>
  <c r="AO271" s="1"/>
  <c r="FF271"/>
  <c r="AJ271"/>
  <c r="I271" s="1"/>
  <c r="DT271"/>
  <c r="CR271"/>
  <c r="CP271"/>
  <c r="CP360"/>
  <c r="DT360"/>
  <c r="Q360"/>
  <c r="AO360" s="1"/>
  <c r="AP360" s="1"/>
  <c r="FF360"/>
  <c r="AJ360"/>
  <c r="I360" s="1"/>
  <c r="DT253"/>
  <c r="CP253"/>
  <c r="CP375"/>
  <c r="DT375"/>
  <c r="BB219"/>
  <c r="BB273"/>
  <c r="DR273"/>
  <c r="BD273"/>
  <c r="CP200"/>
  <c r="DT200"/>
  <c r="Q200"/>
  <c r="AO200" s="1"/>
  <c r="AP200" s="1"/>
  <c r="FF200"/>
  <c r="AJ200"/>
  <c r="I200" s="1"/>
  <c r="BB366"/>
  <c r="BH366" s="1"/>
  <c r="CP366"/>
  <c r="CV366" s="1"/>
  <c r="DT366"/>
  <c r="BB250"/>
  <c r="Q184"/>
  <c r="AO184" s="1"/>
  <c r="AP184" s="1"/>
  <c r="AJ184"/>
  <c r="I184" s="1"/>
  <c r="FF184"/>
  <c r="DT184"/>
  <c r="CP184"/>
  <c r="BB184"/>
  <c r="Q202"/>
  <c r="AO202" s="1"/>
  <c r="AP202" s="1"/>
  <c r="FF202"/>
  <c r="AJ202"/>
  <c r="I202" s="1"/>
  <c r="CP341"/>
  <c r="DT341"/>
  <c r="CP362"/>
  <c r="DT362"/>
  <c r="BB362"/>
  <c r="BB325"/>
  <c r="CP304"/>
  <c r="DT304"/>
  <c r="CR304"/>
  <c r="DR288"/>
  <c r="CP216"/>
  <c r="DT216"/>
  <c r="BB220"/>
  <c r="CV345"/>
  <c r="BB370"/>
  <c r="BH370" s="1"/>
  <c r="Q302"/>
  <c r="AO302" s="1"/>
  <c r="AP302" s="1"/>
  <c r="FF302"/>
  <c r="AJ302"/>
  <c r="I302" s="1"/>
  <c r="Q364"/>
  <c r="AO364" s="1"/>
  <c r="AP364" s="1"/>
  <c r="FF364"/>
  <c r="AJ364"/>
  <c r="I364" s="1"/>
  <c r="Q297"/>
  <c r="AO297" s="1"/>
  <c r="AP297" s="1"/>
  <c r="FF297"/>
  <c r="AJ297"/>
  <c r="I297" s="1"/>
  <c r="Q342"/>
  <c r="AO342" s="1"/>
  <c r="AP342" s="1"/>
  <c r="Q209"/>
  <c r="AO209" s="1"/>
  <c r="AP209" s="1"/>
  <c r="FF209"/>
  <c r="AJ209"/>
  <c r="I209" s="1"/>
  <c r="Q347"/>
  <c r="AO347" s="1"/>
  <c r="AP347" s="1"/>
  <c r="FF347"/>
  <c r="AJ347"/>
  <c r="I347" s="1"/>
  <c r="BB379"/>
  <c r="BB331"/>
  <c r="Q205"/>
  <c r="AO205" s="1"/>
  <c r="AP205" s="1"/>
  <c r="FF205"/>
  <c r="AJ205"/>
  <c r="I205" s="1"/>
  <c r="BB199"/>
  <c r="Q182"/>
  <c r="AO182" s="1"/>
  <c r="AP182" s="1"/>
  <c r="FF182"/>
  <c r="AJ182"/>
  <c r="I182" s="1"/>
  <c r="CP308"/>
  <c r="DT308"/>
  <c r="CR308"/>
  <c r="FF326"/>
  <c r="DR266"/>
  <c r="CP159"/>
  <c r="DT159"/>
  <c r="Q207"/>
  <c r="AO207" s="1"/>
  <c r="AP207" s="1"/>
  <c r="FF207"/>
  <c r="AJ207"/>
  <c r="I207" s="1"/>
  <c r="Q314"/>
  <c r="AO314" s="1"/>
  <c r="AP314" s="1"/>
  <c r="FF314"/>
  <c r="CP238"/>
  <c r="DT238"/>
  <c r="Q381"/>
  <c r="AO381" s="1"/>
  <c r="AP381" s="1"/>
  <c r="FF381"/>
  <c r="AJ381"/>
  <c r="I381" s="1"/>
  <c r="DT323"/>
  <c r="CP323"/>
  <c r="Q239"/>
  <c r="AO239" s="1"/>
  <c r="AP239" s="1"/>
  <c r="FF239"/>
  <c r="AJ239"/>
  <c r="I239" s="1"/>
  <c r="BB239"/>
  <c r="Q165"/>
  <c r="AO165" s="1"/>
  <c r="AP165" s="1"/>
  <c r="FF165"/>
  <c r="AJ165"/>
  <c r="I165" s="1"/>
  <c r="BB333"/>
  <c r="Q333"/>
  <c r="AO333" s="1"/>
  <c r="AP333" s="1"/>
  <c r="FF333"/>
  <c r="AJ333"/>
  <c r="I333" s="1"/>
  <c r="Q327"/>
  <c r="AO327" s="1"/>
  <c r="AP327" s="1"/>
  <c r="FF327"/>
  <c r="AJ327"/>
  <c r="I327" s="1"/>
  <c r="DT327"/>
  <c r="CP327"/>
  <c r="Q255"/>
  <c r="AO255" s="1"/>
  <c r="FF255"/>
  <c r="AJ255"/>
  <c r="I255" s="1"/>
  <c r="Q369"/>
  <c r="AO369" s="1"/>
  <c r="AP369" s="1"/>
  <c r="FF369"/>
  <c r="AJ369"/>
  <c r="I369" s="1"/>
  <c r="BB349"/>
  <c r="FF177"/>
  <c r="Q177"/>
  <c r="AO177" s="1"/>
  <c r="AP177" s="1"/>
  <c r="AJ177"/>
  <c r="I177" s="1"/>
  <c r="CP177"/>
  <c r="DT177"/>
  <c r="CP380"/>
  <c r="DT380"/>
  <c r="BB291"/>
  <c r="DR291"/>
  <c r="BD291"/>
  <c r="DT217"/>
  <c r="CP217"/>
  <c r="DT295"/>
  <c r="CR295"/>
  <c r="CP295"/>
  <c r="CP358"/>
  <c r="DT358"/>
  <c r="Q305"/>
  <c r="AO305" s="1"/>
  <c r="AP305" s="1"/>
  <c r="FF305"/>
  <c r="AJ305"/>
  <c r="I305" s="1"/>
  <c r="Q257"/>
  <c r="AO257" s="1"/>
  <c r="FF257"/>
  <c r="AJ257"/>
  <c r="I257" s="1"/>
  <c r="BB257"/>
  <c r="BB227"/>
  <c r="Q203"/>
  <c r="AO203" s="1"/>
  <c r="AP203" s="1"/>
  <c r="FF203"/>
  <c r="AJ203"/>
  <c r="I203" s="1"/>
  <c r="Q169"/>
  <c r="AO169" s="1"/>
  <c r="AP169" s="1"/>
  <c r="FF169"/>
  <c r="AJ169"/>
  <c r="I169" s="1"/>
  <c r="BB169"/>
  <c r="DR301"/>
  <c r="BD301"/>
  <c r="CP196"/>
  <c r="DT196"/>
  <c r="AJ294"/>
  <c r="I294" s="1"/>
  <c r="Q294"/>
  <c r="AO294" s="1"/>
  <c r="AP294" s="1"/>
  <c r="FF294"/>
  <c r="BB376"/>
  <c r="CP376"/>
  <c r="DT376"/>
  <c r="Q222"/>
  <c r="AO222" s="1"/>
  <c r="AP222" s="1"/>
  <c r="FF222"/>
  <c r="AJ222"/>
  <c r="I222" s="1"/>
  <c r="BB194"/>
  <c r="BB172"/>
  <c r="Q373"/>
  <c r="AO373" s="1"/>
  <c r="AP373" s="1"/>
  <c r="FF373"/>
  <c r="AJ373"/>
  <c r="I373" s="1"/>
  <c r="BB373"/>
  <c r="CP373"/>
  <c r="DT373"/>
  <c r="BB281"/>
  <c r="DR281"/>
  <c r="BD281"/>
  <c r="Q164"/>
  <c r="AO164" s="1"/>
  <c r="AP164" s="1"/>
  <c r="AJ164"/>
  <c r="I164" s="1"/>
  <c r="FF164"/>
  <c r="BB350"/>
  <c r="Q293"/>
  <c r="AO293" s="1"/>
  <c r="AP293" s="1"/>
  <c r="FF293"/>
  <c r="AJ293"/>
  <c r="I293" s="1"/>
  <c r="Q233"/>
  <c r="AO233" s="1"/>
  <c r="AP233" s="1"/>
  <c r="FF233"/>
  <c r="AJ233"/>
  <c r="I233" s="1"/>
  <c r="DT320"/>
  <c r="CP280"/>
  <c r="DT280"/>
  <c r="CR280"/>
  <c r="AJ258"/>
  <c r="I258" s="1"/>
  <c r="Q258"/>
  <c r="AO258" s="1"/>
  <c r="AP258" s="1"/>
  <c r="FF258"/>
  <c r="AJ252"/>
  <c r="I252" s="1"/>
  <c r="Q252"/>
  <c r="AO252" s="1"/>
  <c r="AP252" s="1"/>
  <c r="FF252"/>
  <c r="CP270"/>
  <c r="CR270"/>
  <c r="DT270"/>
  <c r="AJ296"/>
  <c r="I296" s="1"/>
  <c r="Q296"/>
  <c r="AO296" s="1"/>
  <c r="AP296" s="1"/>
  <c r="FF296"/>
  <c r="CZ345"/>
  <c r="AI345" i="24" s="1"/>
  <c r="BH345" i="43"/>
  <c r="BV363"/>
  <c r="BV367"/>
  <c r="CC367" s="1"/>
  <c r="BV344"/>
  <c r="BV251"/>
  <c r="BV249"/>
  <c r="BV377"/>
  <c r="BV241"/>
  <c r="BV384"/>
  <c r="BV372"/>
  <c r="BV261"/>
  <c r="BV211"/>
  <c r="BV200"/>
  <c r="BV173"/>
  <c r="BV368"/>
  <c r="CC368" s="1"/>
  <c r="BV300"/>
  <c r="BV176"/>
  <c r="BV174"/>
  <c r="BV259"/>
  <c r="BV284"/>
  <c r="BV220"/>
  <c r="BV347"/>
  <c r="BV182"/>
  <c r="BV308"/>
  <c r="BV247"/>
  <c r="BV310"/>
  <c r="BV189"/>
  <c r="BV327"/>
  <c r="BV369"/>
  <c r="CC369" s="1"/>
  <c r="BV177"/>
  <c r="BV291"/>
  <c r="BV191"/>
  <c r="BV321"/>
  <c r="CB321" s="1"/>
  <c r="BV352"/>
  <c r="BV257"/>
  <c r="BV244"/>
  <c r="BV196"/>
  <c r="BV281"/>
  <c r="BV280"/>
  <c r="BV296"/>
  <c r="BB363"/>
  <c r="CP246"/>
  <c r="DT246"/>
  <c r="Q197"/>
  <c r="AO197" s="1"/>
  <c r="AP197" s="1"/>
  <c r="AJ197"/>
  <c r="I197" s="1"/>
  <c r="FF197"/>
  <c r="BB197"/>
  <c r="Q170"/>
  <c r="AO170" s="1"/>
  <c r="AP170" s="1"/>
  <c r="FF170"/>
  <c r="AJ170"/>
  <c r="I170" s="1"/>
  <c r="DT329"/>
  <c r="CP329"/>
  <c r="BB307"/>
  <c r="DR307"/>
  <c r="BD307"/>
  <c r="BB315"/>
  <c r="DR315"/>
  <c r="BB251"/>
  <c r="AJ324"/>
  <c r="I324" s="1"/>
  <c r="Q324"/>
  <c r="AO324" s="1"/>
  <c r="AP324" s="1"/>
  <c r="FF324"/>
  <c r="AJ332"/>
  <c r="I332" s="1"/>
  <c r="Q332"/>
  <c r="AO332" s="1"/>
  <c r="AP332" s="1"/>
  <c r="FF332"/>
  <c r="BD306"/>
  <c r="BB306"/>
  <c r="DR306"/>
  <c r="CP260"/>
  <c r="DT260"/>
  <c r="CP157"/>
  <c r="DT157"/>
  <c r="CP249"/>
  <c r="DT249"/>
  <c r="DR290"/>
  <c r="BB224"/>
  <c r="DT265"/>
  <c r="CR265"/>
  <c r="CP265"/>
  <c r="BB265"/>
  <c r="DR265"/>
  <c r="BD265"/>
  <c r="CP179"/>
  <c r="DT179"/>
  <c r="CP377"/>
  <c r="DT377"/>
  <c r="CP354"/>
  <c r="DT354"/>
  <c r="DT241"/>
  <c r="CP241"/>
  <c r="CP193"/>
  <c r="DT193"/>
  <c r="BB185"/>
  <c r="BB171"/>
  <c r="BB365"/>
  <c r="BB275"/>
  <c r="DR275"/>
  <c r="BD275"/>
  <c r="CP198"/>
  <c r="DT198"/>
  <c r="BB198"/>
  <c r="BB167"/>
  <c r="CP372"/>
  <c r="DT372"/>
  <c r="BB245"/>
  <c r="Q208"/>
  <c r="AO208" s="1"/>
  <c r="AP208" s="1"/>
  <c r="FF208"/>
  <c r="AJ208"/>
  <c r="I208" s="1"/>
  <c r="BB208"/>
  <c r="Q175"/>
  <c r="AO175" s="1"/>
  <c r="AP175" s="1"/>
  <c r="FF175"/>
  <c r="AJ175"/>
  <c r="I175" s="1"/>
  <c r="BD286"/>
  <c r="BB286"/>
  <c r="DR286"/>
  <c r="CP383"/>
  <c r="DT383"/>
  <c r="CR383"/>
  <c r="Q263"/>
  <c r="AO263" s="1"/>
  <c r="FF263"/>
  <c r="AJ263"/>
  <c r="I263" s="1"/>
  <c r="BB263"/>
  <c r="DR263"/>
  <c r="BD263"/>
  <c r="BB235"/>
  <c r="Q201"/>
  <c r="AO201" s="1"/>
  <c r="AP201" s="1"/>
  <c r="FF201"/>
  <c r="AJ201"/>
  <c r="I201" s="1"/>
  <c r="BB160"/>
  <c r="BB311"/>
  <c r="DR311"/>
  <c r="Q253"/>
  <c r="AO253" s="1"/>
  <c r="AP253" s="1"/>
  <c r="FF253"/>
  <c r="AJ253"/>
  <c r="I253" s="1"/>
  <c r="DT237"/>
  <c r="CP237"/>
  <c r="Q289"/>
  <c r="AO289" s="1"/>
  <c r="AP289" s="1"/>
  <c r="FF289"/>
  <c r="AJ289"/>
  <c r="I289" s="1"/>
  <c r="BB289"/>
  <c r="DR289"/>
  <c r="BD289"/>
  <c r="Q211"/>
  <c r="AO211" s="1"/>
  <c r="AP211" s="1"/>
  <c r="FF211"/>
  <c r="AJ211"/>
  <c r="I211" s="1"/>
  <c r="BB211"/>
  <c r="Q298"/>
  <c r="AO298" s="1"/>
  <c r="AP298" s="1"/>
  <c r="FF298"/>
  <c r="AJ298"/>
  <c r="I298" s="1"/>
  <c r="CR273"/>
  <c r="CP273"/>
  <c r="DT273"/>
  <c r="CP173"/>
  <c r="DT173"/>
  <c r="BB340"/>
  <c r="Q250"/>
  <c r="AO250" s="1"/>
  <c r="AP250" s="1"/>
  <c r="AJ250"/>
  <c r="I250" s="1"/>
  <c r="FF250"/>
  <c r="BB368"/>
  <c r="BH368" s="1"/>
  <c r="Q300"/>
  <c r="AO300" s="1"/>
  <c r="AP300" s="1"/>
  <c r="FF300"/>
  <c r="AJ300"/>
  <c r="I300" s="1"/>
  <c r="CP300"/>
  <c r="CR300"/>
  <c r="DT300"/>
  <c r="Q176"/>
  <c r="AO176" s="1"/>
  <c r="AP176" s="1"/>
  <c r="FF176"/>
  <c r="AJ176"/>
  <c r="I176" s="1"/>
  <c r="Q341"/>
  <c r="AO341" s="1"/>
  <c r="AP341" s="1"/>
  <c r="FF341"/>
  <c r="AJ341"/>
  <c r="I341" s="1"/>
  <c r="DT287"/>
  <c r="CR287"/>
  <c r="CP287"/>
  <c r="Q231"/>
  <c r="AO231" s="1"/>
  <c r="AP231" s="1"/>
  <c r="FF231"/>
  <c r="AJ231"/>
  <c r="I231" s="1"/>
  <c r="BB231"/>
  <c r="Q356"/>
  <c r="AO356" s="1"/>
  <c r="AP356" s="1"/>
  <c r="FF356"/>
  <c r="AJ356"/>
  <c r="I356" s="1"/>
  <c r="Q325"/>
  <c r="AO325" s="1"/>
  <c r="AP325" s="1"/>
  <c r="FF325"/>
  <c r="AJ325"/>
  <c r="I325" s="1"/>
  <c r="DR283"/>
  <c r="Q259"/>
  <c r="AO259" s="1"/>
  <c r="FF259"/>
  <c r="AJ259"/>
  <c r="I259" s="1"/>
  <c r="AJ304"/>
  <c r="I304" s="1"/>
  <c r="Q304"/>
  <c r="AO304" s="1"/>
  <c r="AP304" s="1"/>
  <c r="FF304"/>
  <c r="AJ254"/>
  <c r="I254" s="1"/>
  <c r="Q254"/>
  <c r="AO254" s="1"/>
  <c r="FF254"/>
  <c r="CP282"/>
  <c r="DT282"/>
  <c r="CR282"/>
  <c r="BB216"/>
  <c r="AJ190"/>
  <c r="I190" s="1"/>
  <c r="Q190"/>
  <c r="AO190" s="1"/>
  <c r="AP190" s="1"/>
  <c r="FF190"/>
  <c r="CP220"/>
  <c r="DT220"/>
  <c r="AJ268"/>
  <c r="I268" s="1"/>
  <c r="Q268"/>
  <c r="AO268" s="1"/>
  <c r="FF268"/>
  <c r="CP302"/>
  <c r="CR302"/>
  <c r="DT302"/>
  <c r="Q195"/>
  <c r="AO195" s="1"/>
  <c r="AP195" s="1"/>
  <c r="FF195"/>
  <c r="AJ195"/>
  <c r="I195" s="1"/>
  <c r="Q178"/>
  <c r="AO178" s="1"/>
  <c r="AP178" s="1"/>
  <c r="FF178"/>
  <c r="AJ178"/>
  <c r="I178" s="1"/>
  <c r="CP378"/>
  <c r="DT378"/>
  <c r="BB297"/>
  <c r="DR297"/>
  <c r="BD297"/>
  <c r="BB209"/>
  <c r="BB347"/>
  <c r="CP379"/>
  <c r="DT379"/>
  <c r="DT331"/>
  <c r="CP331"/>
  <c r="CP205"/>
  <c r="DT205"/>
  <c r="CP199"/>
  <c r="DT199"/>
  <c r="BB182"/>
  <c r="AJ308"/>
  <c r="I308" s="1"/>
  <c r="Q308"/>
  <c r="AO308" s="1"/>
  <c r="AP308" s="1"/>
  <c r="FF308"/>
  <c r="AJ226"/>
  <c r="I226" s="1"/>
  <c r="Q226"/>
  <c r="AO226" s="1"/>
  <c r="AP226" s="1"/>
  <c r="FF226"/>
  <c r="CP210"/>
  <c r="DT210"/>
  <c r="BB210"/>
  <c r="BB316"/>
  <c r="DR316"/>
  <c r="CP326"/>
  <c r="CP212"/>
  <c r="DT212"/>
  <c r="AJ159"/>
  <c r="I159" s="1"/>
  <c r="Q159"/>
  <c r="AO159" s="1"/>
  <c r="AP159" s="1"/>
  <c r="FF159"/>
  <c r="BV159"/>
  <c r="CP247"/>
  <c r="DT247"/>
  <c r="CP310"/>
  <c r="DT310"/>
  <c r="DR314"/>
  <c r="DT314"/>
  <c r="CR314"/>
  <c r="DR262"/>
  <c r="AJ238"/>
  <c r="I238" s="1"/>
  <c r="Q238"/>
  <c r="AO238" s="1"/>
  <c r="AP238" s="1"/>
  <c r="FF238"/>
  <c r="DT239"/>
  <c r="CP239"/>
  <c r="BB189"/>
  <c r="BB165"/>
  <c r="Q351"/>
  <c r="AO351" s="1"/>
  <c r="AP351" s="1"/>
  <c r="FF351"/>
  <c r="AJ351"/>
  <c r="I351" s="1"/>
  <c r="BB351"/>
  <c r="Q348"/>
  <c r="AO348" s="1"/>
  <c r="AP348" s="1"/>
  <c r="FF348"/>
  <c r="AJ348"/>
  <c r="I348" s="1"/>
  <c r="BB267"/>
  <c r="DR267"/>
  <c r="BD267"/>
  <c r="DT267"/>
  <c r="CR267"/>
  <c r="CP267"/>
  <c r="BB255"/>
  <c r="Q359"/>
  <c r="AO359" s="1"/>
  <c r="AP359" s="1"/>
  <c r="FF359"/>
  <c r="AJ359"/>
  <c r="I359" s="1"/>
  <c r="CP369"/>
  <c r="CV369" s="1"/>
  <c r="DT369"/>
  <c r="CP349"/>
  <c r="DT349"/>
  <c r="Q349"/>
  <c r="AO349" s="1"/>
  <c r="AP349" s="1"/>
  <c r="FF349"/>
  <c r="AJ349"/>
  <c r="I349" s="1"/>
  <c r="CP204"/>
  <c r="DT204"/>
  <c r="BB204"/>
  <c r="BB162"/>
  <c r="BB380"/>
  <c r="BB343"/>
  <c r="BB206"/>
  <c r="Q180"/>
  <c r="AO180" s="1"/>
  <c r="AP180" s="1"/>
  <c r="FF180"/>
  <c r="AJ180"/>
  <c r="I180" s="1"/>
  <c r="BB334"/>
  <c r="AJ334"/>
  <c r="I334" s="1"/>
  <c r="Q334"/>
  <c r="AO334" s="1"/>
  <c r="AP334" s="1"/>
  <c r="FF334"/>
  <c r="CP214"/>
  <c r="DT214"/>
  <c r="Q385"/>
  <c r="AO385" s="1"/>
  <c r="AP385" s="1"/>
  <c r="V382" i="45" s="1"/>
  <c r="FF385" i="43"/>
  <c r="AJ385"/>
  <c r="I385" s="1"/>
  <c r="CP385"/>
  <c r="DT385"/>
  <c r="CR385"/>
  <c r="BD385"/>
  <c r="BB385"/>
  <c r="DR385"/>
  <c r="Q291"/>
  <c r="AO291" s="1"/>
  <c r="AP291" s="1"/>
  <c r="FF291"/>
  <c r="AJ291"/>
  <c r="I291" s="1"/>
  <c r="Q191"/>
  <c r="AO191" s="1"/>
  <c r="AP191" s="1"/>
  <c r="FF191"/>
  <c r="AJ191"/>
  <c r="I191" s="1"/>
  <c r="DT191"/>
  <c r="CP191"/>
  <c r="BB295"/>
  <c r="DR295"/>
  <c r="BD295"/>
  <c r="Q358"/>
  <c r="AO358" s="1"/>
  <c r="AP358" s="1"/>
  <c r="FF358"/>
  <c r="AJ358"/>
  <c r="I358" s="1"/>
  <c r="BB358"/>
  <c r="DT227"/>
  <c r="CP227"/>
  <c r="CP169"/>
  <c r="DT169"/>
  <c r="Q376"/>
  <c r="AO376" s="1"/>
  <c r="AP376" s="1"/>
  <c r="FF376"/>
  <c r="AJ376"/>
  <c r="I376" s="1"/>
  <c r="BB374"/>
  <c r="Q361"/>
  <c r="AO361" s="1"/>
  <c r="AP361" s="1"/>
  <c r="FF361"/>
  <c r="AJ361"/>
  <c r="I361" s="1"/>
  <c r="Q353"/>
  <c r="AO353" s="1"/>
  <c r="AP353" s="1"/>
  <c r="FF353"/>
  <c r="AJ353"/>
  <c r="I353" s="1"/>
  <c r="CP183"/>
  <c r="DT183"/>
  <c r="DT281"/>
  <c r="CR281"/>
  <c r="CP281"/>
  <c r="DT319"/>
  <c r="CP319"/>
  <c r="DT293"/>
  <c r="CR293"/>
  <c r="CP293"/>
  <c r="DR320"/>
  <c r="BD270"/>
  <c r="BB270"/>
  <c r="DR270"/>
  <c r="BD296"/>
  <c r="BB296"/>
  <c r="DR296"/>
  <c r="BV181"/>
  <c r="BV260"/>
  <c r="BV168"/>
  <c r="BV179"/>
  <c r="BV317"/>
  <c r="BV286"/>
  <c r="BV239"/>
  <c r="BV217"/>
  <c r="BV319"/>
  <c r="Q363"/>
  <c r="AO363" s="1"/>
  <c r="AP363" s="1"/>
  <c r="FF363"/>
  <c r="AJ363"/>
  <c r="I363" s="1"/>
  <c r="BB246"/>
  <c r="Q367"/>
  <c r="AO367" s="1"/>
  <c r="AP367" s="1"/>
  <c r="FF367"/>
  <c r="AJ367"/>
  <c r="I367" s="1"/>
  <c r="BB367"/>
  <c r="BH367" s="1"/>
  <c r="Q181"/>
  <c r="AO181" s="1"/>
  <c r="AP181" s="1"/>
  <c r="FF181"/>
  <c r="AJ181"/>
  <c r="I181" s="1"/>
  <c r="Q307"/>
  <c r="AO307" s="1"/>
  <c r="AP307" s="1"/>
  <c r="FF307"/>
  <c r="AJ307"/>
  <c r="I307" s="1"/>
  <c r="Q251"/>
  <c r="AO251" s="1"/>
  <c r="AP251" s="1"/>
  <c r="FF251"/>
  <c r="AJ251"/>
  <c r="I251" s="1"/>
  <c r="CP324"/>
  <c r="DT324"/>
  <c r="BD322"/>
  <c r="DR322"/>
  <c r="CP278"/>
  <c r="DT278"/>
  <c r="CR278"/>
  <c r="CP332"/>
  <c r="DT332"/>
  <c r="AJ260"/>
  <c r="I260" s="1"/>
  <c r="Q260"/>
  <c r="AO260" s="1"/>
  <c r="FF260"/>
  <c r="AJ157"/>
  <c r="I157" s="1"/>
  <c r="Q157"/>
  <c r="AO157" s="1"/>
  <c r="AP157" s="1"/>
  <c r="FF157"/>
  <c r="BB157"/>
  <c r="BB249"/>
  <c r="Q290"/>
  <c r="AO290" s="1"/>
  <c r="AP290" s="1"/>
  <c r="FF290"/>
  <c r="AJ224"/>
  <c r="I224" s="1"/>
  <c r="Q224"/>
  <c r="AO224" s="1"/>
  <c r="AP224" s="1"/>
  <c r="FF224"/>
  <c r="Q179"/>
  <c r="AO179" s="1"/>
  <c r="AP179" s="1"/>
  <c r="FF179"/>
  <c r="AJ179"/>
  <c r="I179" s="1"/>
  <c r="BB179"/>
  <c r="BB158"/>
  <c r="Q377"/>
  <c r="AO377" s="1"/>
  <c r="AP377" s="1"/>
  <c r="FF377"/>
  <c r="AJ377"/>
  <c r="I377" s="1"/>
  <c r="BB377"/>
  <c r="Q354"/>
  <c r="AO354" s="1"/>
  <c r="AP354" s="1"/>
  <c r="FF354"/>
  <c r="AJ354"/>
  <c r="I354" s="1"/>
  <c r="Q317"/>
  <c r="AO317" s="1"/>
  <c r="AP317" s="1"/>
  <c r="FF317"/>
  <c r="AJ317"/>
  <c r="I317" s="1"/>
  <c r="DT317"/>
  <c r="CP317"/>
  <c r="Q241"/>
  <c r="AO241" s="1"/>
  <c r="AP241" s="1"/>
  <c r="FF241"/>
  <c r="AJ241"/>
  <c r="I241" s="1"/>
  <c r="BB241"/>
  <c r="BB223"/>
  <c r="Q171"/>
  <c r="AO171" s="1"/>
  <c r="AP171" s="1"/>
  <c r="FF171"/>
  <c r="AJ171"/>
  <c r="I171" s="1"/>
  <c r="CP171"/>
  <c r="DT171"/>
  <c r="BB384"/>
  <c r="DR384"/>
  <c r="BD384"/>
  <c r="Q365"/>
  <c r="AO365" s="1"/>
  <c r="AP365" s="1"/>
  <c r="FF365"/>
  <c r="AJ365"/>
  <c r="I365" s="1"/>
  <c r="CR275"/>
  <c r="CP275"/>
  <c r="DT275"/>
  <c r="DT187"/>
  <c r="CP187"/>
  <c r="Q167"/>
  <c r="AO167" s="1"/>
  <c r="AP167" s="1"/>
  <c r="FF167"/>
  <c r="AJ167"/>
  <c r="I167" s="1"/>
  <c r="Q372"/>
  <c r="AO372" s="1"/>
  <c r="AP372" s="1"/>
  <c r="FF372"/>
  <c r="AJ372"/>
  <c r="I372" s="1"/>
  <c r="BB372"/>
  <c r="Q245"/>
  <c r="AO245" s="1"/>
  <c r="AP245" s="1"/>
  <c r="FF245"/>
  <c r="AJ245"/>
  <c r="I245" s="1"/>
  <c r="CP208"/>
  <c r="DT208"/>
  <c r="CC345"/>
  <c r="DR309"/>
  <c r="DT263"/>
  <c r="CR263"/>
  <c r="CP263"/>
  <c r="CP201"/>
  <c r="DT201"/>
  <c r="BB201"/>
  <c r="BV160"/>
  <c r="DT311"/>
  <c r="CP311"/>
  <c r="BB237"/>
  <c r="DT289"/>
  <c r="CR289"/>
  <c r="CP289"/>
  <c r="DT261"/>
  <c r="CP261"/>
  <c r="DT219"/>
  <c r="CP219"/>
  <c r="CR382"/>
  <c r="CP382"/>
  <c r="DT382"/>
  <c r="BB382"/>
  <c r="DR382"/>
  <c r="BD382"/>
  <c r="BD298"/>
  <c r="BB298"/>
  <c r="DR298"/>
  <c r="BB200"/>
  <c r="BB173"/>
  <c r="CP340"/>
  <c r="DT340"/>
  <c r="BD300"/>
  <c r="BB300"/>
  <c r="DR300"/>
  <c r="CP202"/>
  <c r="DT202"/>
  <c r="DT176"/>
  <c r="CP176"/>
  <c r="BB341"/>
  <c r="BB287"/>
  <c r="DR287"/>
  <c r="BD287"/>
  <c r="DT231"/>
  <c r="CP231"/>
  <c r="BB174"/>
  <c r="CP174"/>
  <c r="DT174"/>
  <c r="CP356"/>
  <c r="DT356"/>
  <c r="DT325"/>
  <c r="CP325"/>
  <c r="DT259"/>
  <c r="CP259"/>
  <c r="BB259"/>
  <c r="BD284"/>
  <c r="BB284"/>
  <c r="DR284"/>
  <c r="AJ284"/>
  <c r="I284" s="1"/>
  <c r="Q284"/>
  <c r="AO284" s="1"/>
  <c r="AP284" s="1"/>
  <c r="FF284"/>
  <c r="BB254"/>
  <c r="BD282"/>
  <c r="BB282"/>
  <c r="DR282"/>
  <c r="AJ230"/>
  <c r="I230" s="1"/>
  <c r="Q230"/>
  <c r="AO230" s="1"/>
  <c r="AP230" s="1"/>
  <c r="FF230"/>
  <c r="AJ216"/>
  <c r="I216" s="1"/>
  <c r="Q216"/>
  <c r="AO216" s="1"/>
  <c r="AP216" s="1"/>
  <c r="FF216"/>
  <c r="CP190"/>
  <c r="DT190"/>
  <c r="CP268"/>
  <c r="CR268"/>
  <c r="DT268"/>
  <c r="Q370"/>
  <c r="AO370" s="1"/>
  <c r="AP370" s="1"/>
  <c r="FF370"/>
  <c r="AJ370"/>
  <c r="I370" s="1"/>
  <c r="CP370"/>
  <c r="CV370" s="1"/>
  <c r="DT370"/>
  <c r="BD302"/>
  <c r="BB302"/>
  <c r="DR302"/>
  <c r="CP195"/>
  <c r="DT195"/>
  <c r="BB178"/>
  <c r="Q378"/>
  <c r="AO378" s="1"/>
  <c r="AP378" s="1"/>
  <c r="FF378"/>
  <c r="AJ378"/>
  <c r="I378" s="1"/>
  <c r="CR297"/>
  <c r="CP297"/>
  <c r="DT297"/>
  <c r="CP347"/>
  <c r="DT347"/>
  <c r="Q379"/>
  <c r="AO379" s="1"/>
  <c r="AP379" s="1"/>
  <c r="FF379"/>
  <c r="AJ379"/>
  <c r="I379" s="1"/>
  <c r="Q331"/>
  <c r="AO331" s="1"/>
  <c r="AP331" s="1"/>
  <c r="FF331"/>
  <c r="AJ331"/>
  <c r="I331" s="1"/>
  <c r="Q199"/>
  <c r="AO199" s="1"/>
  <c r="AP199" s="1"/>
  <c r="FF199"/>
  <c r="AJ199"/>
  <c r="I199" s="1"/>
  <c r="CP182"/>
  <c r="DT182"/>
  <c r="DR292"/>
  <c r="BD308"/>
  <c r="BB308"/>
  <c r="DR308"/>
  <c r="DR264"/>
  <c r="BB226"/>
  <c r="AJ316"/>
  <c r="I316" s="1"/>
  <c r="Q316"/>
  <c r="AO316" s="1"/>
  <c r="AP316" s="1"/>
  <c r="FF316"/>
  <c r="BB212"/>
  <c r="AJ166"/>
  <c r="I166" s="1"/>
  <c r="Q166"/>
  <c r="AO166" s="1"/>
  <c r="AP166" s="1"/>
  <c r="FF166"/>
  <c r="CP166"/>
  <c r="DT166"/>
  <c r="BB247"/>
  <c r="AJ310"/>
  <c r="I310" s="1"/>
  <c r="Q310"/>
  <c r="AO310" s="1"/>
  <c r="AP310" s="1"/>
  <c r="FF310"/>
  <c r="Q262"/>
  <c r="AO262" s="1"/>
  <c r="FF262"/>
  <c r="BB238"/>
  <c r="BB381"/>
  <c r="Q323"/>
  <c r="AO323" s="1"/>
  <c r="AP323" s="1"/>
  <c r="FF323"/>
  <c r="AJ323"/>
  <c r="I323" s="1"/>
  <c r="Q189"/>
  <c r="AO189" s="1"/>
  <c r="AP189" s="1"/>
  <c r="FF189"/>
  <c r="AJ189"/>
  <c r="I189" s="1"/>
  <c r="CP351"/>
  <c r="DT351"/>
  <c r="BB348"/>
  <c r="Q267"/>
  <c r="AO267" s="1"/>
  <c r="FF267"/>
  <c r="AJ267"/>
  <c r="I267" s="1"/>
  <c r="BB359"/>
  <c r="BB248"/>
  <c r="DT162"/>
  <c r="CP162"/>
  <c r="Q380"/>
  <c r="AO380" s="1"/>
  <c r="AP380" s="1"/>
  <c r="FF380"/>
  <c r="AJ380"/>
  <c r="I380" s="1"/>
  <c r="Q343"/>
  <c r="AO343" s="1"/>
  <c r="AP343" s="1"/>
  <c r="FF343"/>
  <c r="AJ343"/>
  <c r="I343" s="1"/>
  <c r="CP343"/>
  <c r="DT343"/>
  <c r="Q206"/>
  <c r="AO206" s="1"/>
  <c r="AP206" s="1"/>
  <c r="FF206"/>
  <c r="AJ206"/>
  <c r="I206" s="1"/>
  <c r="CP206"/>
  <c r="DT206"/>
  <c r="CP334"/>
  <c r="DT334"/>
  <c r="AJ214"/>
  <c r="I214" s="1"/>
  <c r="Q214"/>
  <c r="AO214" s="1"/>
  <c r="AP214" s="1"/>
  <c r="FF214"/>
  <c r="BB214"/>
  <c r="DT335"/>
  <c r="CP335"/>
  <c r="BB217"/>
  <c r="DT321"/>
  <c r="CP321"/>
  <c r="BB321"/>
  <c r="DR321"/>
  <c r="BD321"/>
  <c r="CP352"/>
  <c r="DT352"/>
  <c r="DT305"/>
  <c r="CR305"/>
  <c r="CP305"/>
  <c r="Q227"/>
  <c r="AO227" s="1"/>
  <c r="AP227" s="1"/>
  <c r="FF227"/>
  <c r="AJ227"/>
  <c r="I227" s="1"/>
  <c r="BB203"/>
  <c r="Q196"/>
  <c r="AO196" s="1"/>
  <c r="AP196" s="1"/>
  <c r="FF196"/>
  <c r="AJ196"/>
  <c r="I196" s="1"/>
  <c r="BB196"/>
  <c r="Q374"/>
  <c r="AO374" s="1"/>
  <c r="AP374" s="1"/>
  <c r="FF374"/>
  <c r="AJ374"/>
  <c r="I374" s="1"/>
  <c r="BB222"/>
  <c r="Q194"/>
  <c r="AO194" s="1"/>
  <c r="AP194" s="1"/>
  <c r="FF194"/>
  <c r="AJ194"/>
  <c r="I194" s="1"/>
  <c r="Q183"/>
  <c r="AO183" s="1"/>
  <c r="AP183" s="1"/>
  <c r="AJ183"/>
  <c r="I183" s="1"/>
  <c r="FF183"/>
  <c r="Q281"/>
  <c r="AO281" s="1"/>
  <c r="FF281"/>
  <c r="AJ281"/>
  <c r="I281" s="1"/>
  <c r="Q350"/>
  <c r="AO350" s="1"/>
  <c r="AP350" s="1"/>
  <c r="FF350"/>
  <c r="AJ350"/>
  <c r="I350" s="1"/>
  <c r="CP350"/>
  <c r="DT350"/>
  <c r="Q319"/>
  <c r="AO319" s="1"/>
  <c r="AP319" s="1"/>
  <c r="FF319"/>
  <c r="AJ319"/>
  <c r="I319" s="1"/>
  <c r="BB293"/>
  <c r="DR293"/>
  <c r="BD293"/>
  <c r="BB243"/>
  <c r="CP243"/>
  <c r="DT243"/>
  <c r="DT233"/>
  <c r="CP233"/>
  <c r="FF320"/>
  <c r="DR312"/>
  <c r="AJ280"/>
  <c r="I280" s="1"/>
  <c r="Q280"/>
  <c r="AO280" s="1"/>
  <c r="FF280"/>
  <c r="CP252"/>
  <c r="DT252"/>
  <c r="AJ270"/>
  <c r="I270" s="1"/>
  <c r="Q270"/>
  <c r="AO270" s="1"/>
  <c r="FF270"/>
  <c r="BV339"/>
  <c r="BV197"/>
  <c r="BV315"/>
  <c r="BV229"/>
  <c r="BV306"/>
  <c r="BV265"/>
  <c r="BV158"/>
  <c r="BV193"/>
  <c r="BV365"/>
  <c r="BV187"/>
  <c r="BV271"/>
  <c r="BV235"/>
  <c r="BV273"/>
  <c r="BV230"/>
  <c r="BV209"/>
  <c r="BV323"/>
  <c r="BV204"/>
  <c r="BV335"/>
  <c r="CB335" s="1"/>
  <c r="BV305"/>
  <c r="BV376"/>
  <c r="BV270"/>
  <c r="BQ78"/>
  <c r="AX152"/>
  <c r="AV152"/>
  <c r="CN152"/>
  <c r="BS152"/>
  <c r="AZ152"/>
  <c r="BQ152"/>
  <c r="CL152"/>
  <c r="CJ152"/>
  <c r="BO152"/>
  <c r="AG152"/>
  <c r="BK152" i="24" s="1"/>
  <c r="AX14" i="43"/>
  <c r="AV14"/>
  <c r="AX41"/>
  <c r="CL41"/>
  <c r="CL69"/>
  <c r="AG41"/>
  <c r="FF41" s="1"/>
  <c r="BS41"/>
  <c r="AX69"/>
  <c r="AZ69"/>
  <c r="CN41"/>
  <c r="BO41"/>
  <c r="CJ144"/>
  <c r="BS144"/>
  <c r="AV144"/>
  <c r="BO144"/>
  <c r="AZ144"/>
  <c r="AX144"/>
  <c r="BQ35"/>
  <c r="BS71"/>
  <c r="CN71"/>
  <c r="AZ71"/>
  <c r="AV78"/>
  <c r="AZ14"/>
  <c r="BO69"/>
  <c r="BS69"/>
  <c r="AV69"/>
  <c r="BQ69"/>
  <c r="CL144"/>
  <c r="BQ144"/>
  <c r="AG144"/>
  <c r="Q144" s="1"/>
  <c r="AO144" s="1"/>
  <c r="AP144" s="1"/>
  <c r="CN144"/>
  <c r="Q12"/>
  <c r="AO12" s="1"/>
  <c r="AP12" s="1"/>
  <c r="AZ25"/>
  <c r="AV35"/>
  <c r="CL71"/>
  <c r="CP71" s="1"/>
  <c r="AG71"/>
  <c r="Q71" s="1"/>
  <c r="AO71" s="1"/>
  <c r="AP71" s="1"/>
  <c r="AX71"/>
  <c r="BO71"/>
  <c r="AG44"/>
  <c r="BQ44"/>
  <c r="CJ134"/>
  <c r="BS134"/>
  <c r="AX134"/>
  <c r="AV134"/>
  <c r="CN134"/>
  <c r="BQ134"/>
  <c r="AZ134"/>
  <c r="BO134"/>
  <c r="CL134"/>
  <c r="AG134"/>
  <c r="FF134" s="1"/>
  <c r="I106" i="35"/>
  <c r="I96"/>
  <c r="AX25" i="43"/>
  <c r="CL25"/>
  <c r="GA10"/>
  <c r="GR10" s="1"/>
  <c r="AG35"/>
  <c r="BK35" i="24" s="1"/>
  <c r="BQ25" i="43"/>
  <c r="AV25"/>
  <c r="BO25"/>
  <c r="CN25"/>
  <c r="CJ25"/>
  <c r="BO47"/>
  <c r="AV47"/>
  <c r="CL47"/>
  <c r="BS47"/>
  <c r="DE151"/>
  <c r="AX151" s="1"/>
  <c r="CJ131"/>
  <c r="AG131"/>
  <c r="AV131"/>
  <c r="CN131"/>
  <c r="BS131"/>
  <c r="BO131"/>
  <c r="AZ131"/>
  <c r="CL131"/>
  <c r="AX131"/>
  <c r="BQ131"/>
  <c r="AX35"/>
  <c r="BO14"/>
  <c r="I103" i="35"/>
  <c r="I18"/>
  <c r="H4"/>
  <c r="I85"/>
  <c r="I28"/>
  <c r="I75"/>
  <c r="I89"/>
  <c r="BS35" i="43"/>
  <c r="CN35"/>
  <c r="I62" i="35"/>
  <c r="CJ44" i="43"/>
  <c r="I53" i="35"/>
  <c r="I38"/>
  <c r="CL44" i="43"/>
  <c r="BS44"/>
  <c r="CN78"/>
  <c r="BS78"/>
  <c r="I70" i="35"/>
  <c r="I54"/>
  <c r="I48"/>
  <c r="AZ44" i="43"/>
  <c r="AX44"/>
  <c r="CJ78"/>
  <c r="AX78"/>
  <c r="BO78"/>
  <c r="AW6" i="45"/>
  <c r="BM9" i="43"/>
  <c r="BO35"/>
  <c r="GA9"/>
  <c r="AV119"/>
  <c r="BO119"/>
  <c r="CN119"/>
  <c r="AX119"/>
  <c r="CL119"/>
  <c r="CJ119"/>
  <c r="BQ119"/>
  <c r="AZ119"/>
  <c r="BS119"/>
  <c r="AG119"/>
  <c r="CJ118"/>
  <c r="AZ118"/>
  <c r="CN118"/>
  <c r="AX118"/>
  <c r="BS118"/>
  <c r="AG118"/>
  <c r="BK118" i="24" s="1"/>
  <c r="BO118" i="43"/>
  <c r="BQ118"/>
  <c r="CL118"/>
  <c r="AV118"/>
  <c r="I50" i="35"/>
  <c r="I83"/>
  <c r="I43"/>
  <c r="I78"/>
  <c r="I11"/>
  <c r="I8"/>
  <c r="I67"/>
  <c r="I52"/>
  <c r="I23"/>
  <c r="I30"/>
  <c r="I84"/>
  <c r="I27"/>
  <c r="I13"/>
  <c r="I102"/>
  <c r="I68"/>
  <c r="I3"/>
  <c r="I82"/>
  <c r="I47"/>
  <c r="I37"/>
  <c r="I6"/>
  <c r="I12"/>
  <c r="I93"/>
  <c r="I31"/>
  <c r="I90"/>
  <c r="I97"/>
  <c r="I80"/>
  <c r="I74"/>
  <c r="I61"/>
  <c r="Z167" i="45"/>
  <c r="I65" i="35"/>
  <c r="AX116" i="43"/>
  <c r="AZ116"/>
  <c r="BS116"/>
  <c r="BQ116"/>
  <c r="CL116"/>
  <c r="CJ116"/>
  <c r="BO116"/>
  <c r="AV116"/>
  <c r="CN116"/>
  <c r="AG116"/>
  <c r="DD130"/>
  <c r="DE130" s="1"/>
  <c r="AG78"/>
  <c r="I55" i="35"/>
  <c r="I32"/>
  <c r="I16"/>
  <c r="I9"/>
  <c r="I19"/>
  <c r="I15"/>
  <c r="I46"/>
  <c r="I21"/>
  <c r="I44"/>
  <c r="I14"/>
  <c r="I10"/>
  <c r="I29"/>
  <c r="I98"/>
  <c r="I7"/>
  <c r="I42"/>
  <c r="I17"/>
  <c r="I45"/>
  <c r="I95"/>
  <c r="I56"/>
  <c r="DD146" i="43"/>
  <c r="DE146" s="1"/>
  <c r="AZ47"/>
  <c r="AX47"/>
  <c r="DD115"/>
  <c r="DE115" s="1"/>
  <c r="AZ12"/>
  <c r="BQ12"/>
  <c r="CL12"/>
  <c r="AX12"/>
  <c r="BK12" i="24"/>
  <c r="BQ47" i="43"/>
  <c r="CJ47"/>
  <c r="CN47"/>
  <c r="AV12"/>
  <c r="BO12"/>
  <c r="AG47"/>
  <c r="FF47" s="1"/>
  <c r="CJ12"/>
  <c r="CN12"/>
  <c r="Z166" i="45"/>
  <c r="Z160"/>
  <c r="Z157"/>
  <c r="AZ109" i="43"/>
  <c r="BS109"/>
  <c r="CJ109"/>
  <c r="AV109"/>
  <c r="BQ109"/>
  <c r="CN109"/>
  <c r="AG109"/>
  <c r="CL109"/>
  <c r="BO109"/>
  <c r="CN108"/>
  <c r="AG108"/>
  <c r="BO108"/>
  <c r="CL108"/>
  <c r="AZ108"/>
  <c r="AV108"/>
  <c r="AX108"/>
  <c r="CJ108"/>
  <c r="BQ108"/>
  <c r="BS108"/>
  <c r="GC11"/>
  <c r="GE11" s="1"/>
  <c r="AR11" s="1"/>
  <c r="GJ11"/>
  <c r="GL11" s="1"/>
  <c r="BK11" s="1"/>
  <c r="AW8" i="45" s="1"/>
  <c r="CJ67" i="43"/>
  <c r="CL59"/>
  <c r="CL27"/>
  <c r="K107" i="35"/>
  <c r="CL35" i="43"/>
  <c r="AX67"/>
  <c r="GQ11"/>
  <c r="GS11" s="1"/>
  <c r="DD114"/>
  <c r="DE114" s="1"/>
  <c r="DE135"/>
  <c r="CL135" s="1"/>
  <c r="DE11"/>
  <c r="CJ11" s="1"/>
  <c r="BO59"/>
  <c r="CJ59"/>
  <c r="DD140"/>
  <c r="DE140" s="1"/>
  <c r="AV59"/>
  <c r="GC12"/>
  <c r="GE12" s="1"/>
  <c r="AR12" s="1"/>
  <c r="AG59"/>
  <c r="Q59" s="1"/>
  <c r="AO59" s="1"/>
  <c r="AP59" s="1"/>
  <c r="AZ59"/>
  <c r="Z165" i="45"/>
  <c r="Z159"/>
  <c r="BO92" i="43"/>
  <c r="CN92"/>
  <c r="AV92"/>
  <c r="AZ92"/>
  <c r="CJ92"/>
  <c r="BQ92"/>
  <c r="AX92"/>
  <c r="BS92"/>
  <c r="AG92"/>
  <c r="FF92" s="1"/>
  <c r="CL92"/>
  <c r="CN27"/>
  <c r="BQ59"/>
  <c r="DD91"/>
  <c r="DE91" s="1"/>
  <c r="BQ27"/>
  <c r="BS59"/>
  <c r="AX59"/>
  <c r="BO67"/>
  <c r="DE127"/>
  <c r="AZ127" s="1"/>
  <c r="BS139"/>
  <c r="AG139"/>
  <c r="BO139"/>
  <c r="CL139"/>
  <c r="AV139"/>
  <c r="CN139"/>
  <c r="BQ139"/>
  <c r="AX139"/>
  <c r="CJ139"/>
  <c r="K106" i="35"/>
  <c r="BO87" i="43"/>
  <c r="BQ87"/>
  <c r="BS87"/>
  <c r="AG87"/>
  <c r="AX87"/>
  <c r="AV87"/>
  <c r="AZ87"/>
  <c r="CN87"/>
  <c r="CL87"/>
  <c r="CJ87"/>
  <c r="CL57"/>
  <c r="CN62"/>
  <c r="CL62"/>
  <c r="BQ62"/>
  <c r="CJ62"/>
  <c r="AV62"/>
  <c r="AZ62"/>
  <c r="AG62"/>
  <c r="AX62"/>
  <c r="BS62"/>
  <c r="BO62"/>
  <c r="AX26"/>
  <c r="DD98"/>
  <c r="DE98" s="1"/>
  <c r="BQ26"/>
  <c r="BS26"/>
  <c r="CL26"/>
  <c r="AV26"/>
  <c r="CJ26"/>
  <c r="CN26"/>
  <c r="AG26"/>
  <c r="BO26"/>
  <c r="BO89"/>
  <c r="BS89"/>
  <c r="CN89"/>
  <c r="CJ89"/>
  <c r="AX89"/>
  <c r="BQ89"/>
  <c r="AV89"/>
  <c r="CL89"/>
  <c r="AG89"/>
  <c r="AZ89"/>
  <c r="AZ122"/>
  <c r="CL122"/>
  <c r="CN122"/>
  <c r="BO122"/>
  <c r="CJ122"/>
  <c r="AV122"/>
  <c r="BQ122"/>
  <c r="AX122"/>
  <c r="AG122"/>
  <c r="BS122"/>
  <c r="H22" i="44"/>
  <c r="H24" s="1"/>
  <c r="DD126" i="43"/>
  <c r="DE126" s="1"/>
  <c r="AW9" i="45"/>
  <c r="BO57" i="43"/>
  <c r="CN57"/>
  <c r="CJ57"/>
  <c r="AX57"/>
  <c r="AV57"/>
  <c r="AZ57"/>
  <c r="AG57"/>
  <c r="BS57"/>
  <c r="AG9"/>
  <c r="Q9" s="1"/>
  <c r="AO9" s="1"/>
  <c r="AP9" s="1"/>
  <c r="CL67"/>
  <c r="BQ67"/>
  <c r="AV27"/>
  <c r="AZ27"/>
  <c r="AZ9"/>
  <c r="GX12"/>
  <c r="GZ12" s="1"/>
  <c r="AZ42"/>
  <c r="BQ42"/>
  <c r="CJ42"/>
  <c r="CL42"/>
  <c r="AX42"/>
  <c r="BO42"/>
  <c r="AG42"/>
  <c r="BS42"/>
  <c r="CN42"/>
  <c r="AV42"/>
  <c r="AZ67"/>
  <c r="AG67"/>
  <c r="FF67" s="1"/>
  <c r="CN67"/>
  <c r="BS27"/>
  <c r="BO27"/>
  <c r="CJ27"/>
  <c r="BO9"/>
  <c r="BS67"/>
  <c r="AX27"/>
  <c r="CJ9"/>
  <c r="GQ12"/>
  <c r="GS12" s="1"/>
  <c r="BQ9"/>
  <c r="AV9"/>
  <c r="DD107"/>
  <c r="DE107" s="1"/>
  <c r="DD100"/>
  <c r="DE100" s="1"/>
  <c r="CN9"/>
  <c r="CL105"/>
  <c r="AX105"/>
  <c r="AZ105"/>
  <c r="CN105"/>
  <c r="BS105"/>
  <c r="AV105"/>
  <c r="BQ105"/>
  <c r="BO105"/>
  <c r="CJ105"/>
  <c r="AG105"/>
  <c r="CL133"/>
  <c r="AZ133"/>
  <c r="BO133"/>
  <c r="BQ133"/>
  <c r="AG133"/>
  <c r="CN133"/>
  <c r="CJ133"/>
  <c r="AV133"/>
  <c r="BS133"/>
  <c r="AX133"/>
  <c r="P22" i="44"/>
  <c r="P24" s="1"/>
  <c r="AG8" i="43"/>
  <c r="AX8"/>
  <c r="CJ8"/>
  <c r="AZ8"/>
  <c r="CN8"/>
  <c r="BS8"/>
  <c r="BQ8"/>
  <c r="AV8"/>
  <c r="BO8"/>
  <c r="CL8"/>
  <c r="AG132"/>
  <c r="CL132"/>
  <c r="CJ132"/>
  <c r="BQ132"/>
  <c r="BS132"/>
  <c r="AV132"/>
  <c r="BO132"/>
  <c r="CN132"/>
  <c r="AX132"/>
  <c r="AZ132"/>
  <c r="BQ75"/>
  <c r="AV75"/>
  <c r="BO75"/>
  <c r="CN75"/>
  <c r="AX75"/>
  <c r="CL75"/>
  <c r="AZ75"/>
  <c r="CJ75"/>
  <c r="AG75"/>
  <c r="BS75"/>
  <c r="BS9"/>
  <c r="CL9"/>
  <c r="AZ150"/>
  <c r="AG150"/>
  <c r="BO150"/>
  <c r="BQ150"/>
  <c r="CL150"/>
  <c r="AV150"/>
  <c r="AX150"/>
  <c r="CN150"/>
  <c r="BS150"/>
  <c r="CJ150"/>
  <c r="CN156"/>
  <c r="BO156"/>
  <c r="CL156"/>
  <c r="AG156"/>
  <c r="BS156"/>
  <c r="AV156"/>
  <c r="AX156"/>
  <c r="BQ156"/>
  <c r="CJ156"/>
  <c r="AZ156"/>
  <c r="CL102"/>
  <c r="AG102"/>
  <c r="BO102"/>
  <c r="AX102"/>
  <c r="CJ102"/>
  <c r="AZ102"/>
  <c r="BS102"/>
  <c r="AV102"/>
  <c r="CN102"/>
  <c r="BQ102"/>
  <c r="BQ110"/>
  <c r="CJ110"/>
  <c r="AX110"/>
  <c r="AV110"/>
  <c r="BS110"/>
  <c r="BO110"/>
  <c r="AG110"/>
  <c r="CL110"/>
  <c r="CN110"/>
  <c r="AZ110"/>
  <c r="BQ117"/>
  <c r="CL117"/>
  <c r="BO117"/>
  <c r="AG117"/>
  <c r="AX117"/>
  <c r="CJ117"/>
  <c r="AZ117"/>
  <c r="BS117"/>
  <c r="AV117"/>
  <c r="CN117"/>
  <c r="DD129"/>
  <c r="DE129" s="1"/>
  <c r="DD52"/>
  <c r="DE52" s="1"/>
  <c r="DD137"/>
  <c r="DE137" s="1"/>
  <c r="DD147"/>
  <c r="DE147" s="1"/>
  <c r="DD88"/>
  <c r="FF123"/>
  <c r="Q123"/>
  <c r="AO123" s="1"/>
  <c r="AP123" s="1"/>
  <c r="BK123" i="24"/>
  <c r="CL128" i="43"/>
  <c r="AV128"/>
  <c r="CJ128"/>
  <c r="AZ128"/>
  <c r="BS128"/>
  <c r="BQ128"/>
  <c r="AG128"/>
  <c r="BO128"/>
  <c r="AX128"/>
  <c r="CN128"/>
  <c r="CL123"/>
  <c r="CJ123"/>
  <c r="AV123"/>
  <c r="BQ123"/>
  <c r="AX123"/>
  <c r="AZ123"/>
  <c r="BS123"/>
  <c r="BO123"/>
  <c r="CN123"/>
  <c r="BS121"/>
  <c r="AV121"/>
  <c r="AX121"/>
  <c r="AG121"/>
  <c r="BQ121"/>
  <c r="CL121"/>
  <c r="BO121"/>
  <c r="CN121"/>
  <c r="AZ121"/>
  <c r="CJ121"/>
  <c r="AZ112"/>
  <c r="BQ112"/>
  <c r="AV112"/>
  <c r="BO112"/>
  <c r="CL112"/>
  <c r="AX112"/>
  <c r="AG112"/>
  <c r="CJ112"/>
  <c r="CN112"/>
  <c r="BS112"/>
  <c r="DD90"/>
  <c r="DE90" s="1"/>
  <c r="BO51"/>
  <c r="AX51"/>
  <c r="BS51"/>
  <c r="CL51"/>
  <c r="CJ51"/>
  <c r="BQ51"/>
  <c r="AG51"/>
  <c r="AV51"/>
  <c r="AZ51"/>
  <c r="CN51"/>
  <c r="AZ93"/>
  <c r="BQ93"/>
  <c r="CN93"/>
  <c r="AG93"/>
  <c r="BO93"/>
  <c r="AV93"/>
  <c r="CJ93"/>
  <c r="BS93"/>
  <c r="AX93"/>
  <c r="CL93"/>
  <c r="Q95"/>
  <c r="AO95" s="1"/>
  <c r="AP95" s="1"/>
  <c r="DD153"/>
  <c r="DE153" s="1"/>
  <c r="CJ18"/>
  <c r="BQ18"/>
  <c r="AZ18"/>
  <c r="BO18"/>
  <c r="AG18"/>
  <c r="AX18"/>
  <c r="BS18"/>
  <c r="CL18"/>
  <c r="CN18"/>
  <c r="AV18"/>
  <c r="DD83"/>
  <c r="BO106"/>
  <c r="CN106"/>
  <c r="CL106"/>
  <c r="BS106"/>
  <c r="CJ106"/>
  <c r="AG106"/>
  <c r="BQ106"/>
  <c r="AX106"/>
  <c r="AV106"/>
  <c r="AZ106"/>
  <c r="DT15"/>
  <c r="CP15"/>
  <c r="AV94"/>
  <c r="AX94"/>
  <c r="AG94"/>
  <c r="CL94"/>
  <c r="BS94"/>
  <c r="CN94"/>
  <c r="BQ94"/>
  <c r="AZ94"/>
  <c r="CJ94"/>
  <c r="BO94"/>
  <c r="BK96" i="24"/>
  <c r="FF96" i="43"/>
  <c r="Q96"/>
  <c r="AO96" s="1"/>
  <c r="AP96" s="1"/>
  <c r="Q15"/>
  <c r="AO15" s="1"/>
  <c r="AP15" s="1"/>
  <c r="DD143"/>
  <c r="DE143" s="1"/>
  <c r="CL33"/>
  <c r="BO33"/>
  <c r="BS33"/>
  <c r="AZ33"/>
  <c r="AV33"/>
  <c r="CJ33"/>
  <c r="AX33"/>
  <c r="CN33"/>
  <c r="BQ33"/>
  <c r="AG33"/>
  <c r="AV96"/>
  <c r="AZ96"/>
  <c r="BQ96"/>
  <c r="AX96"/>
  <c r="BS96"/>
  <c r="CJ96"/>
  <c r="CL96"/>
  <c r="CN96"/>
  <c r="BO96"/>
  <c r="CN46"/>
  <c r="CL46"/>
  <c r="AV46"/>
  <c r="AZ46"/>
  <c r="AX46"/>
  <c r="CJ46"/>
  <c r="AG46"/>
  <c r="BO46"/>
  <c r="BQ46"/>
  <c r="BS46"/>
  <c r="CN104"/>
  <c r="CL104"/>
  <c r="CJ104"/>
  <c r="AX104"/>
  <c r="AV104"/>
  <c r="BQ104"/>
  <c r="BS104"/>
  <c r="BO104"/>
  <c r="AG104"/>
  <c r="AZ104"/>
  <c r="AZ19"/>
  <c r="AG19"/>
  <c r="BO19"/>
  <c r="BS19"/>
  <c r="CL19"/>
  <c r="AX19"/>
  <c r="AV19"/>
  <c r="CN19"/>
  <c r="CJ19"/>
  <c r="BQ19"/>
  <c r="T8" i="45"/>
  <c r="AA8" s="1"/>
  <c r="AB8" s="1"/>
  <c r="AL14" i="43"/>
  <c r="DC82"/>
  <c r="BO103"/>
  <c r="CN103"/>
  <c r="CL103"/>
  <c r="AX103"/>
  <c r="AZ103"/>
  <c r="BS103"/>
  <c r="AG103"/>
  <c r="AV103"/>
  <c r="CJ103"/>
  <c r="BQ103"/>
  <c r="BK72" i="24"/>
  <c r="Q72" i="43"/>
  <c r="AO72" s="1"/>
  <c r="AP72" s="1"/>
  <c r="FF72"/>
  <c r="BZ14"/>
  <c r="GT14"/>
  <c r="FS15"/>
  <c r="GU15" s="1"/>
  <c r="HB14"/>
  <c r="HA14" s="1"/>
  <c r="BE14"/>
  <c r="GG14"/>
  <c r="GF14" s="1"/>
  <c r="GN14"/>
  <c r="GM14" s="1"/>
  <c r="Z14"/>
  <c r="AA14" s="1"/>
  <c r="C11" i="45" s="1"/>
  <c r="AD14" i="43"/>
  <c r="CS14"/>
  <c r="DO13"/>
  <c r="DP13" s="1"/>
  <c r="AE13"/>
  <c r="CN30"/>
  <c r="AV30"/>
  <c r="CL30"/>
  <c r="AX30"/>
  <c r="BO30"/>
  <c r="AZ30"/>
  <c r="BS30"/>
  <c r="AG30"/>
  <c r="BQ30"/>
  <c r="CJ30"/>
  <c r="AX48"/>
  <c r="AV48"/>
  <c r="BS48"/>
  <c r="CL48"/>
  <c r="BO48"/>
  <c r="AG48"/>
  <c r="CJ48"/>
  <c r="AZ48"/>
  <c r="BQ48"/>
  <c r="CN48"/>
  <c r="DD84"/>
  <c r="BQ29"/>
  <c r="AG29"/>
  <c r="CN29"/>
  <c r="AV29"/>
  <c r="CJ29"/>
  <c r="BO29"/>
  <c r="BS29"/>
  <c r="CL29"/>
  <c r="AX29"/>
  <c r="AZ29"/>
  <c r="DD13"/>
  <c r="DE13" s="1"/>
  <c r="AX55"/>
  <c r="BO55"/>
  <c r="BQ55"/>
  <c r="CJ55"/>
  <c r="CL55"/>
  <c r="AG55"/>
  <c r="AZ55"/>
  <c r="BS55"/>
  <c r="AV55"/>
  <c r="CN55"/>
  <c r="BO124"/>
  <c r="AV124"/>
  <c r="CJ124"/>
  <c r="AG124"/>
  <c r="CL124"/>
  <c r="CN124"/>
  <c r="AX124"/>
  <c r="AZ124"/>
  <c r="BQ124"/>
  <c r="BS124"/>
  <c r="FF99"/>
  <c r="DD65"/>
  <c r="DE65" s="1"/>
  <c r="DD24"/>
  <c r="DE24" s="1"/>
  <c r="DD149"/>
  <c r="DE149" s="1"/>
  <c r="AT10"/>
  <c r="AT7" i="45"/>
  <c r="DD74" i="43"/>
  <c r="DE74" s="1"/>
  <c r="J106" i="35"/>
  <c r="DC85" i="43"/>
  <c r="I107" i="35" s="1"/>
  <c r="DD60" i="43"/>
  <c r="DE60" s="1"/>
  <c r="Z8" i="45"/>
  <c r="W9"/>
  <c r="Y9" s="1"/>
  <c r="DD34" i="43"/>
  <c r="DE34" s="1"/>
  <c r="DD23"/>
  <c r="DE23" s="1"/>
  <c r="DD43"/>
  <c r="DE43" s="1"/>
  <c r="DE86"/>
  <c r="BV58"/>
  <c r="BK36" i="24"/>
  <c r="Q101" i="43"/>
  <c r="AO101" s="1"/>
  <c r="AP101" s="1"/>
  <c r="FF27"/>
  <c r="BK27" i="24"/>
  <c r="Q27" i="43"/>
  <c r="AO27" s="1"/>
  <c r="AP27" s="1"/>
  <c r="Q25"/>
  <c r="AO25" s="1"/>
  <c r="AP25" s="1"/>
  <c r="BK25" i="24"/>
  <c r="FF25" i="43"/>
  <c r="BV36"/>
  <c r="AJ326" l="1"/>
  <c r="I326" s="1"/>
  <c r="BK99" i="24"/>
  <c r="Q346" i="43"/>
  <c r="AO346" s="1"/>
  <c r="AP346" s="1"/>
  <c r="CP279"/>
  <c r="FF95"/>
  <c r="K9" i="22"/>
  <c r="N9" s="1"/>
  <c r="O9" s="1"/>
  <c r="Q16" i="43"/>
  <c r="AO16" s="1"/>
  <c r="AP16" s="1"/>
  <c r="V13" i="45" s="1"/>
  <c r="FF97" i="43"/>
  <c r="BK80" i="24"/>
  <c r="BB320" i="43"/>
  <c r="BB326"/>
  <c r="BH326" s="1"/>
  <c r="BB342"/>
  <c r="G10" i="30"/>
  <c r="FF346" i="43"/>
  <c r="Q312"/>
  <c r="AO312" s="1"/>
  <c r="AP312" s="1"/>
  <c r="V309" i="45" s="1"/>
  <c r="BB99" i="43"/>
  <c r="DT76"/>
  <c r="FF342"/>
  <c r="DT64"/>
  <c r="DT99"/>
  <c r="CP20"/>
  <c r="CV20" s="1"/>
  <c r="CW20" s="1"/>
  <c r="BB309"/>
  <c r="BF309" s="1"/>
  <c r="J11" i="22"/>
  <c r="N11" s="1"/>
  <c r="O11" s="1"/>
  <c r="CC370" i="43"/>
  <c r="CC366"/>
  <c r="BK49" i="24"/>
  <c r="DT36" i="43"/>
  <c r="FF38"/>
  <c r="CP314"/>
  <c r="DT312"/>
  <c r="CP320"/>
  <c r="DT342"/>
  <c r="CP76"/>
  <c r="AJ322"/>
  <c r="I322" s="1"/>
  <c r="BB322"/>
  <c r="BV326"/>
  <c r="BV309"/>
  <c r="AJ342"/>
  <c r="I342" s="1"/>
  <c r="AJ346"/>
  <c r="I346" s="1"/>
  <c r="BB346"/>
  <c r="BH346" s="1"/>
  <c r="CP346"/>
  <c r="Q111"/>
  <c r="AO111" s="1"/>
  <c r="AP111" s="1"/>
  <c r="V108" i="45" s="1"/>
  <c r="G16" i="30"/>
  <c r="Q320" i="43"/>
  <c r="AO320" s="1"/>
  <c r="AP320" s="1"/>
  <c r="AQ320" s="1"/>
  <c r="DT326"/>
  <c r="BV342"/>
  <c r="CC342" s="1"/>
  <c r="Q326"/>
  <c r="AO326" s="1"/>
  <c r="AP326" s="1"/>
  <c r="AQ326" s="1"/>
  <c r="DT346"/>
  <c r="CP32"/>
  <c r="CV32" s="1"/>
  <c r="CW32" s="1"/>
  <c r="AQ345"/>
  <c r="V342" i="45"/>
  <c r="AG340" i="24"/>
  <c r="CP21" i="43"/>
  <c r="CV21" s="1"/>
  <c r="CW21" s="1"/>
  <c r="FF272"/>
  <c r="Q264"/>
  <c r="AO264" s="1"/>
  <c r="N10" i="22"/>
  <c r="O10" s="1"/>
  <c r="CV165" i="43"/>
  <c r="CW165" s="1"/>
  <c r="CV45"/>
  <c r="CW45" s="1"/>
  <c r="CV49"/>
  <c r="CW49" s="1"/>
  <c r="CV164"/>
  <c r="CW164" s="1"/>
  <c r="CV97"/>
  <c r="CW97" s="1"/>
  <c r="CV54"/>
  <c r="CW54" s="1"/>
  <c r="CV10"/>
  <c r="CW10" s="1"/>
  <c r="CV162"/>
  <c r="CW162" s="1"/>
  <c r="CV166"/>
  <c r="CW166" s="1"/>
  <c r="CV73"/>
  <c r="CW73" s="1"/>
  <c r="CV22"/>
  <c r="CW22" s="1"/>
  <c r="CV15"/>
  <c r="CW15" s="1"/>
  <c r="CV163"/>
  <c r="CW163" s="1"/>
  <c r="CV160"/>
  <c r="CW160" s="1"/>
  <c r="CV161"/>
  <c r="CW161" s="1"/>
  <c r="CV61"/>
  <c r="CW61" s="1"/>
  <c r="CV113"/>
  <c r="CW113" s="1"/>
  <c r="CV17"/>
  <c r="CW17" s="1"/>
  <c r="BB301"/>
  <c r="BB58"/>
  <c r="DT101"/>
  <c r="BV15"/>
  <c r="CC15" s="1"/>
  <c r="CP101"/>
  <c r="BV312"/>
  <c r="CC312" s="1"/>
  <c r="BV314"/>
  <c r="CC314" s="1"/>
  <c r="BB314"/>
  <c r="BV320"/>
  <c r="CB320" s="1"/>
  <c r="AJ320"/>
  <c r="I320" s="1"/>
  <c r="DT322"/>
  <c r="BV322"/>
  <c r="FF301"/>
  <c r="BV56"/>
  <c r="CC56" s="1"/>
  <c r="GX8"/>
  <c r="GZ8" s="1"/>
  <c r="CY8" s="1"/>
  <c r="DA8" s="1"/>
  <c r="AU5" i="45" s="1"/>
  <c r="AJ314" i="43"/>
  <c r="I314" s="1"/>
  <c r="CP322"/>
  <c r="CT322" s="1"/>
  <c r="BM8"/>
  <c r="Q22"/>
  <c r="AO22" s="1"/>
  <c r="AP22" s="1"/>
  <c r="V19" i="45" s="1"/>
  <c r="CP330" i="43"/>
  <c r="CP355"/>
  <c r="CV355" s="1"/>
  <c r="AJ58"/>
  <c r="I58" s="1"/>
  <c r="Q330"/>
  <c r="AO330" s="1"/>
  <c r="CP312"/>
  <c r="DT301"/>
  <c r="CP283"/>
  <c r="CV283" s="1"/>
  <c r="BB279"/>
  <c r="BF279" s="1"/>
  <c r="BB312"/>
  <c r="BK15" i="24"/>
  <c r="AJ312" i="43"/>
  <c r="I312" s="1"/>
  <c r="CP111"/>
  <c r="CV111" s="1"/>
  <c r="BB36"/>
  <c r="BH36" s="1"/>
  <c r="BV279"/>
  <c r="BY279" s="1"/>
  <c r="CA279" s="1"/>
  <c r="DT330"/>
  <c r="AJ101"/>
  <c r="I101" s="1"/>
  <c r="BK54" i="24"/>
  <c r="BK101"/>
  <c r="Q76" i="43"/>
  <c r="AO76" s="1"/>
  <c r="AP76" s="1"/>
  <c r="AQ76" s="1"/>
  <c r="BK76" i="24"/>
  <c r="Q276" i="43"/>
  <c r="AO276" s="1"/>
  <c r="DT272"/>
  <c r="FF292"/>
  <c r="BB15"/>
  <c r="BB101"/>
  <c r="DT40"/>
  <c r="CP64"/>
  <c r="CW64" s="1"/>
  <c r="BK58" i="24"/>
  <c r="CP58" i="43"/>
  <c r="AJ15"/>
  <c r="Q58"/>
  <c r="AO58" s="1"/>
  <c r="AP58" s="1"/>
  <c r="V55" i="45" s="1"/>
  <c r="Q36" i="43"/>
  <c r="AO36" s="1"/>
  <c r="AP36" s="1"/>
  <c r="V33" i="45" s="1"/>
  <c r="BK64" i="24"/>
  <c r="Q113" i="43"/>
  <c r="AO113" s="1"/>
  <c r="AP113" s="1"/>
  <c r="AQ113" s="1"/>
  <c r="Q274"/>
  <c r="AO274" s="1"/>
  <c r="BK38" i="24"/>
  <c r="BB355" i="43"/>
  <c r="BH355" s="1"/>
  <c r="BB225"/>
  <c r="BB49"/>
  <c r="BH49" s="1"/>
  <c r="CP301"/>
  <c r="AJ36"/>
  <c r="I36" s="1"/>
  <c r="CP276"/>
  <c r="CP95"/>
  <c r="DT56"/>
  <c r="BB28"/>
  <c r="BH28" s="1"/>
  <c r="AJ76"/>
  <c r="I76" s="1"/>
  <c r="FF16"/>
  <c r="AJ49"/>
  <c r="Q272"/>
  <c r="AO272" s="1"/>
  <c r="FF264"/>
  <c r="FF232"/>
  <c r="Q292"/>
  <c r="AO292" s="1"/>
  <c r="AP292" s="1"/>
  <c r="AQ292" s="1"/>
  <c r="FF330"/>
  <c r="FF192"/>
  <c r="FF283"/>
  <c r="BV20"/>
  <c r="CC20" s="1"/>
  <c r="DT28"/>
  <c r="CP288"/>
  <c r="BB10"/>
  <c r="BB64"/>
  <c r="BH64" s="1"/>
  <c r="AJ64"/>
  <c r="I64" s="1"/>
  <c r="BV76"/>
  <c r="CC76" s="1"/>
  <c r="Q31"/>
  <c r="AO31" s="1"/>
  <c r="AP31" s="1"/>
  <c r="AQ31" s="1"/>
  <c r="FF113"/>
  <c r="BK28" i="24"/>
  <c r="CP28" i="43"/>
  <c r="CP274"/>
  <c r="CV274" s="1"/>
  <c r="CP292"/>
  <c r="BB40"/>
  <c r="BH40" s="1"/>
  <c r="BV301"/>
  <c r="DT97"/>
  <c r="BV99"/>
  <c r="CC99" s="1"/>
  <c r="BB76"/>
  <c r="BH76" s="1"/>
  <c r="CP36"/>
  <c r="BB56"/>
  <c r="AJ10"/>
  <c r="J10" s="1"/>
  <c r="BV292"/>
  <c r="BY292" s="1"/>
  <c r="CA292" s="1"/>
  <c r="BK45" i="24"/>
  <c r="Q64" i="43"/>
  <c r="AO64" s="1"/>
  <c r="AP64" s="1"/>
  <c r="AQ64" s="1"/>
  <c r="Q61"/>
  <c r="AO61" s="1"/>
  <c r="AP61" s="1"/>
  <c r="V58" i="45" s="1"/>
  <c r="FF61" i="43"/>
  <c r="AJ28"/>
  <c r="Q28"/>
  <c r="AO28" s="1"/>
  <c r="AP28" s="1"/>
  <c r="V25" i="45" s="1"/>
  <c r="Q338" i="43"/>
  <c r="AO338" s="1"/>
  <c r="AP338" s="1"/>
  <c r="AQ338" s="1"/>
  <c r="BB283"/>
  <c r="BF283" s="1"/>
  <c r="AJ301"/>
  <c r="I301" s="1"/>
  <c r="Q301"/>
  <c r="AO301" s="1"/>
  <c r="AP301" s="1"/>
  <c r="V298" i="45" s="1"/>
  <c r="BV111" i="43"/>
  <c r="CC111" s="1"/>
  <c r="GQ8"/>
  <c r="GS8" s="1"/>
  <c r="CF8" s="1"/>
  <c r="AV5" i="45" s="1"/>
  <c r="GC8" i="43"/>
  <c r="GE8" s="1"/>
  <c r="AR8" s="1"/>
  <c r="AT8" s="1"/>
  <c r="BV10"/>
  <c r="CC10" s="1"/>
  <c r="G21" i="30"/>
  <c r="G9"/>
  <c r="G27"/>
  <c r="G19"/>
  <c r="G20"/>
  <c r="G22"/>
  <c r="G6"/>
  <c r="H7"/>
  <c r="G28"/>
  <c r="G23"/>
  <c r="G26"/>
  <c r="G17"/>
  <c r="AH28" i="24"/>
  <c r="AG28"/>
  <c r="P12" i="22"/>
  <c r="D12"/>
  <c r="A13"/>
  <c r="H12"/>
  <c r="J12" s="1"/>
  <c r="L12"/>
  <c r="S12"/>
  <c r="M12"/>
  <c r="B12"/>
  <c r="C12"/>
  <c r="E12"/>
  <c r="T12"/>
  <c r="G11"/>
  <c r="AJ309" i="43"/>
  <c r="I309" s="1"/>
  <c r="DT279"/>
  <c r="CP232"/>
  <c r="CV232" s="1"/>
  <c r="DT20"/>
  <c r="BV274"/>
  <c r="DT31"/>
  <c r="BV28"/>
  <c r="CC28" s="1"/>
  <c r="BB264"/>
  <c r="BF264" s="1"/>
  <c r="AJ292"/>
  <c r="I292" s="1"/>
  <c r="Q49"/>
  <c r="AO49" s="1"/>
  <c r="AP49" s="1"/>
  <c r="V46" i="45" s="1"/>
  <c r="BS145" i="43"/>
  <c r="BB292"/>
  <c r="BF292" s="1"/>
  <c r="DT274"/>
  <c r="DT292"/>
  <c r="BK10" i="24"/>
  <c r="CP272" i="43"/>
  <c r="CV272" s="1"/>
  <c r="BV288"/>
  <c r="CC288" s="1"/>
  <c r="FF276"/>
  <c r="DT288"/>
  <c r="DT328"/>
  <c r="BB288"/>
  <c r="CP309"/>
  <c r="AJ272"/>
  <c r="I272" s="1"/>
  <c r="BV272"/>
  <c r="CC272" s="1"/>
  <c r="J22" i="44"/>
  <c r="J24" s="1"/>
  <c r="AG261" i="24"/>
  <c r="AJ264" i="43"/>
  <c r="I264" s="1"/>
  <c r="DT283"/>
  <c r="FF274"/>
  <c r="BB272"/>
  <c r="BH272" s="1"/>
  <c r="AJ288"/>
  <c r="I288" s="1"/>
  <c r="FF20"/>
  <c r="Q186"/>
  <c r="AO186" s="1"/>
  <c r="AP186" s="1"/>
  <c r="AQ186" s="1"/>
  <c r="FF279"/>
  <c r="BB338"/>
  <c r="Q285"/>
  <c r="AO285" s="1"/>
  <c r="AP285" s="1"/>
  <c r="V282" i="45" s="1"/>
  <c r="Q309" i="43"/>
  <c r="AO309" s="1"/>
  <c r="AP309" s="1"/>
  <c r="V306" i="45" s="1"/>
  <c r="AJ274" i="43"/>
  <c r="I274" s="1"/>
  <c r="AJ283"/>
  <c r="I283" s="1"/>
  <c r="FF313"/>
  <c r="BD272"/>
  <c r="CP221"/>
  <c r="CV221" s="1"/>
  <c r="Q313"/>
  <c r="AO313" s="1"/>
  <c r="AP313" s="1"/>
  <c r="AQ313" s="1"/>
  <c r="BB274"/>
  <c r="AG258" i="24"/>
  <c r="BV221" i="43"/>
  <c r="CC221" s="1"/>
  <c r="CP262"/>
  <c r="CV262" s="1"/>
  <c r="BB313"/>
  <c r="BF313" s="1"/>
  <c r="DT221"/>
  <c r="Q355"/>
  <c r="AO355" s="1"/>
  <c r="AP355" s="1"/>
  <c r="V352" i="45" s="1"/>
  <c r="DT309" i="43"/>
  <c r="CP89"/>
  <c r="K14" i="44"/>
  <c r="I22"/>
  <c r="I24" s="1"/>
  <c r="K12"/>
  <c r="Q10" i="43"/>
  <c r="AO10" s="1"/>
  <c r="AP10" s="1"/>
  <c r="V7" i="45" s="1"/>
  <c r="BV283" i="43"/>
  <c r="BY283" s="1"/>
  <c r="CA283" s="1"/>
  <c r="AJ266"/>
  <c r="I266" s="1"/>
  <c r="FF288"/>
  <c r="FF266"/>
  <c r="Q288"/>
  <c r="AO288" s="1"/>
  <c r="AP288" s="1"/>
  <c r="AQ288" s="1"/>
  <c r="AJ355"/>
  <c r="I355" s="1"/>
  <c r="BV338"/>
  <c r="CC338" s="1"/>
  <c r="V15" i="44"/>
  <c r="V18"/>
  <c r="K10"/>
  <c r="V13"/>
  <c r="K11"/>
  <c r="K9"/>
  <c r="K13"/>
  <c r="V11"/>
  <c r="AH168" i="24"/>
  <c r="AG168"/>
  <c r="AH48"/>
  <c r="AG48"/>
  <c r="AH173"/>
  <c r="AG173"/>
  <c r="AH239"/>
  <c r="AG239"/>
  <c r="AG350"/>
  <c r="AH350"/>
  <c r="AH385"/>
  <c r="AG385"/>
  <c r="AH383"/>
  <c r="AG383"/>
  <c r="AG184"/>
  <c r="AG333"/>
  <c r="AH333"/>
  <c r="AG288"/>
  <c r="AH288"/>
  <c r="V14" i="44"/>
  <c r="G22"/>
  <c r="G24" s="1"/>
  <c r="AH167" i="24"/>
  <c r="AG167"/>
  <c r="AG177"/>
  <c r="AH177"/>
  <c r="AG174"/>
  <c r="AH174"/>
  <c r="V16" i="44"/>
  <c r="AH260" i="24"/>
  <c r="AG260"/>
  <c r="K15" i="44"/>
  <c r="K16"/>
  <c r="K17"/>
  <c r="AH180" i="24"/>
  <c r="AG160"/>
  <c r="AH160"/>
  <c r="V10" i="44"/>
  <c r="V17"/>
  <c r="AG320" i="24"/>
  <c r="AH320"/>
  <c r="AG200"/>
  <c r="AH200"/>
  <c r="AH201"/>
  <c r="AG201"/>
  <c r="AH179"/>
  <c r="AG179"/>
  <c r="AH302"/>
  <c r="AG302"/>
  <c r="K18" i="44"/>
  <c r="V12"/>
  <c r="AH164" i="24"/>
  <c r="Q283" i="43"/>
  <c r="AO283" s="1"/>
  <c r="AG338" i="24"/>
  <c r="AH338"/>
  <c r="AH157"/>
  <c r="AG157"/>
  <c r="AG236"/>
  <c r="AH236"/>
  <c r="AA385"/>
  <c r="Z385"/>
  <c r="AH354"/>
  <c r="AG354"/>
  <c r="AH349"/>
  <c r="K20" i="44"/>
  <c r="AG349" i="24"/>
  <c r="AG319"/>
  <c r="AH319"/>
  <c r="K19" i="44"/>
  <c r="V9"/>
  <c r="AH183" i="24"/>
  <c r="CH8" i="43"/>
  <c r="Q45"/>
  <c r="AO45" s="1"/>
  <c r="AP45" s="1"/>
  <c r="AQ45" s="1"/>
  <c r="BV276"/>
  <c r="CC276" s="1"/>
  <c r="DT338"/>
  <c r="DT80"/>
  <c r="DT262"/>
  <c r="DT266"/>
  <c r="DT290"/>
  <c r="CP338"/>
  <c r="CV338" s="1"/>
  <c r="CP264"/>
  <c r="CV264" s="1"/>
  <c r="BV232"/>
  <c r="CC232" s="1"/>
  <c r="CP69"/>
  <c r="FF338"/>
  <c r="DT276"/>
  <c r="AJ279"/>
  <c r="I279" s="1"/>
  <c r="Q279"/>
  <c r="AO279" s="1"/>
  <c r="AQ279" s="1"/>
  <c r="FF309"/>
  <c r="DT264"/>
  <c r="Q266"/>
  <c r="AO266" s="1"/>
  <c r="DT355"/>
  <c r="CP266"/>
  <c r="BV266"/>
  <c r="CC266" s="1"/>
  <c r="BB266"/>
  <c r="BH266" s="1"/>
  <c r="DT45"/>
  <c r="AJ313"/>
  <c r="I313" s="1"/>
  <c r="BV313"/>
  <c r="CC313" s="1"/>
  <c r="BV264"/>
  <c r="BY264" s="1"/>
  <c r="CA264" s="1"/>
  <c r="Q225"/>
  <c r="AO225" s="1"/>
  <c r="AP225" s="1"/>
  <c r="V222" i="45" s="1"/>
  <c r="CR264" i="43"/>
  <c r="Q236"/>
  <c r="AO236" s="1"/>
  <c r="AP236" s="1"/>
  <c r="V233" i="45" s="1"/>
  <c r="BB276" i="43"/>
  <c r="Q242"/>
  <c r="AO242" s="1"/>
  <c r="AP242" s="1"/>
  <c r="V239" i="45" s="1"/>
  <c r="DT192" i="43"/>
  <c r="BV262"/>
  <c r="BY262" s="1"/>
  <c r="CA262" s="1"/>
  <c r="CP56"/>
  <c r="DT77"/>
  <c r="BB328"/>
  <c r="BH328" s="1"/>
  <c r="DT313"/>
  <c r="BB20"/>
  <c r="BH20" s="1"/>
  <c r="BB290"/>
  <c r="BH290" s="1"/>
  <c r="AJ99"/>
  <c r="I99" s="1"/>
  <c r="BB221"/>
  <c r="BB262"/>
  <c r="BF262" s="1"/>
  <c r="BV330"/>
  <c r="CC330" s="1"/>
  <c r="AJ262"/>
  <c r="I262" s="1"/>
  <c r="CP225"/>
  <c r="BV186"/>
  <c r="CC186" s="1"/>
  <c r="BQ154"/>
  <c r="FF328"/>
  <c r="AQ17"/>
  <c r="BV45"/>
  <c r="CC45" s="1"/>
  <c r="Q221"/>
  <c r="AO221" s="1"/>
  <c r="AP221" s="1"/>
  <c r="AQ221" s="1"/>
  <c r="AJ218"/>
  <c r="I218" s="1"/>
  <c r="Q228"/>
  <c r="AO228" s="1"/>
  <c r="AP228" s="1"/>
  <c r="V225" i="45" s="1"/>
  <c r="AQ20" i="43"/>
  <c r="CP228"/>
  <c r="FF69"/>
  <c r="BK69" i="24"/>
  <c r="CP72" i="43"/>
  <c r="BK22" i="24"/>
  <c r="AJ221" i="43"/>
  <c r="I221" s="1"/>
  <c r="Q213"/>
  <c r="AO213" s="1"/>
  <c r="AP213" s="1"/>
  <c r="V210" i="45" s="1"/>
  <c r="CP80" i="43"/>
  <c r="BV17"/>
  <c r="CC17" s="1"/>
  <c r="DT225"/>
  <c r="CP215"/>
  <c r="BB192"/>
  <c r="AJ330"/>
  <c r="I330" s="1"/>
  <c r="CP68"/>
  <c r="BK20" i="24"/>
  <c r="AJ20" i="43"/>
  <c r="I20" s="1"/>
  <c r="BS81"/>
  <c r="FF17"/>
  <c r="FF186"/>
  <c r="AJ338"/>
  <c r="I338" s="1"/>
  <c r="Q234"/>
  <c r="AO234" s="1"/>
  <c r="AP234" s="1"/>
  <c r="V231" i="45" s="1"/>
  <c r="Q240" i="43"/>
  <c r="AO240" s="1"/>
  <c r="AP240" s="1"/>
  <c r="V237" i="45" s="1"/>
  <c r="CP313" i="43"/>
  <c r="CT313" s="1"/>
  <c r="FF225"/>
  <c r="BB330"/>
  <c r="FF221"/>
  <c r="Q328"/>
  <c r="AO328" s="1"/>
  <c r="AP328" s="1"/>
  <c r="V325" i="45" s="1"/>
  <c r="FF218" i="43"/>
  <c r="FF228"/>
  <c r="FF242"/>
  <c r="BK17" i="24"/>
  <c r="BV16" i="43"/>
  <c r="CC16" s="1"/>
  <c r="CP79"/>
  <c r="BV70"/>
  <c r="CC70" s="1"/>
  <c r="BV328"/>
  <c r="AJ290"/>
  <c r="I290" s="1"/>
  <c r="BV355"/>
  <c r="BB111"/>
  <c r="BH111" s="1"/>
  <c r="BV79"/>
  <c r="CC79" s="1"/>
  <c r="AJ45"/>
  <c r="I45" s="1"/>
  <c r="BV21"/>
  <c r="CC21" s="1"/>
  <c r="BB232"/>
  <c r="AJ228"/>
  <c r="I228" s="1"/>
  <c r="BB186"/>
  <c r="BH186" s="1"/>
  <c r="DT218"/>
  <c r="DT228"/>
  <c r="AJ276"/>
  <c r="I276" s="1"/>
  <c r="BV68"/>
  <c r="CC68" s="1"/>
  <c r="BB113"/>
  <c r="BH113" s="1"/>
  <c r="BV22"/>
  <c r="CC22" s="1"/>
  <c r="DT22"/>
  <c r="AJ225"/>
  <c r="I225" s="1"/>
  <c r="CP290"/>
  <c r="BV49"/>
  <c r="CC49" s="1"/>
  <c r="AJ38"/>
  <c r="I38" s="1"/>
  <c r="DT49"/>
  <c r="CP38"/>
  <c r="Q97"/>
  <c r="AO97" s="1"/>
  <c r="AP97" s="1"/>
  <c r="AQ97" s="1"/>
  <c r="AJ40"/>
  <c r="AJ21"/>
  <c r="BK73" i="24"/>
  <c r="Q40" i="43"/>
  <c r="AO40" s="1"/>
  <c r="AP40" s="1"/>
  <c r="V37" i="45" s="1"/>
  <c r="BO155" i="43"/>
  <c r="BB228"/>
  <c r="BB218"/>
  <c r="BH218" s="1"/>
  <c r="BV228"/>
  <c r="CC228" s="1"/>
  <c r="FF215"/>
  <c r="BV225"/>
  <c r="CC225" s="1"/>
  <c r="DT232"/>
  <c r="AJ328"/>
  <c r="I328" s="1"/>
  <c r="BK21" i="24"/>
  <c r="BB45" i="43"/>
  <c r="BH45" s="1"/>
  <c r="AV155"/>
  <c r="AJ232"/>
  <c r="I232" s="1"/>
  <c r="AX148"/>
  <c r="FF80"/>
  <c r="Q232"/>
  <c r="AO232" s="1"/>
  <c r="AP232" s="1"/>
  <c r="V229" i="45" s="1"/>
  <c r="AZ148" i="43"/>
  <c r="BB61"/>
  <c r="BH61" s="1"/>
  <c r="Q21"/>
  <c r="AO21" s="1"/>
  <c r="AP21" s="1"/>
  <c r="AQ21" s="1"/>
  <c r="DT113"/>
  <c r="V35" i="45"/>
  <c r="BB215" i="43"/>
  <c r="BV40"/>
  <c r="CC40" s="1"/>
  <c r="BB17"/>
  <c r="CP77"/>
  <c r="BB68"/>
  <c r="BH68" s="1"/>
  <c r="BB22"/>
  <c r="BH22" s="1"/>
  <c r="AT5" i="45"/>
  <c r="BB16" i="43"/>
  <c r="DT16"/>
  <c r="DT21"/>
  <c r="V77" i="45"/>
  <c r="DT53" i="43"/>
  <c r="AV148"/>
  <c r="CP70"/>
  <c r="DT17"/>
  <c r="BV32"/>
  <c r="CC32" s="1"/>
  <c r="BQ50"/>
  <c r="AV50"/>
  <c r="CL50"/>
  <c r="AG50"/>
  <c r="BO50"/>
  <c r="BS50"/>
  <c r="AX50"/>
  <c r="CJ50"/>
  <c r="CN50"/>
  <c r="AZ50"/>
  <c r="CP242"/>
  <c r="BV285"/>
  <c r="BY285" s="1"/>
  <c r="CA285" s="1"/>
  <c r="BV66"/>
  <c r="CC66" s="1"/>
  <c r="BB77"/>
  <c r="BH77" s="1"/>
  <c r="AJ192"/>
  <c r="I192" s="1"/>
  <c r="BB31"/>
  <c r="BH31" s="1"/>
  <c r="BB213"/>
  <c r="BH213" s="1"/>
  <c r="DT186"/>
  <c r="BV290"/>
  <c r="CP16"/>
  <c r="BK111" i="24"/>
  <c r="DT79" i="43"/>
  <c r="AX136"/>
  <c r="BK37" i="24"/>
  <c r="BS136" i="43"/>
  <c r="BQ155"/>
  <c r="DT285"/>
  <c r="Q215"/>
  <c r="AO215" s="1"/>
  <c r="AP215" s="1"/>
  <c r="AQ215" s="1"/>
  <c r="FF303"/>
  <c r="FF299"/>
  <c r="Q277"/>
  <c r="AO277" s="1"/>
  <c r="AQ277" s="1"/>
  <c r="Q218"/>
  <c r="AO218" s="1"/>
  <c r="AP218" s="1"/>
  <c r="AQ218" s="1"/>
  <c r="BS148"/>
  <c r="BQ148"/>
  <c r="CN155"/>
  <c r="FF355"/>
  <c r="FF35"/>
  <c r="CC255"/>
  <c r="DT68"/>
  <c r="BV299"/>
  <c r="CC299" s="1"/>
  <c r="AJ73"/>
  <c r="I73" s="1"/>
  <c r="BB97"/>
  <c r="BH97" s="1"/>
  <c r="BB80"/>
  <c r="BH80" s="1"/>
  <c r="BV73"/>
  <c r="CC73" s="1"/>
  <c r="AJ61"/>
  <c r="I61" s="1"/>
  <c r="DT188"/>
  <c r="BB79"/>
  <c r="BH79" s="1"/>
  <c r="DT213"/>
  <c r="BB318"/>
  <c r="BH318" s="1"/>
  <c r="CP318"/>
  <c r="BV97"/>
  <c r="CC97" s="1"/>
  <c r="BV53"/>
  <c r="CC53" s="1"/>
  <c r="BB70"/>
  <c r="BH70" s="1"/>
  <c r="FF56"/>
  <c r="AZ145"/>
  <c r="CP12"/>
  <c r="CJ145"/>
  <c r="AZ154"/>
  <c r="CJ154"/>
  <c r="CL154"/>
  <c r="AZ81"/>
  <c r="AG154"/>
  <c r="BK154" i="24" s="1"/>
  <c r="CN138" i="43"/>
  <c r="Q53"/>
  <c r="AO53" s="1"/>
  <c r="AP53" s="1"/>
  <c r="V50" i="45" s="1"/>
  <c r="CP303" i="43"/>
  <c r="BK32" i="24"/>
  <c r="GK10" i="43"/>
  <c r="BK31" i="24"/>
  <c r="Q56" i="43"/>
  <c r="AO56" s="1"/>
  <c r="AP56" s="1"/>
  <c r="AQ56" s="1"/>
  <c r="CL145"/>
  <c r="AX145"/>
  <c r="BO145"/>
  <c r="BQ145"/>
  <c r="CN154"/>
  <c r="AV154"/>
  <c r="AX154"/>
  <c r="Q70"/>
  <c r="AO70" s="1"/>
  <c r="AP70" s="1"/>
  <c r="AQ70" s="1"/>
  <c r="AX125"/>
  <c r="BS125"/>
  <c r="AZ125"/>
  <c r="BO81"/>
  <c r="AV81"/>
  <c r="AJ17"/>
  <c r="I17" s="1"/>
  <c r="BO138"/>
  <c r="AZ138"/>
  <c r="AX120"/>
  <c r="BK53" i="24"/>
  <c r="AG145" i="43"/>
  <c r="Q145" s="1"/>
  <c r="AO145" s="1"/>
  <c r="AP145" s="1"/>
  <c r="V142" i="45" s="1"/>
  <c r="AJ186" i="43"/>
  <c r="I186" s="1"/>
  <c r="CC351"/>
  <c r="CP192"/>
  <c r="Q188"/>
  <c r="AO188" s="1"/>
  <c r="AP188" s="1"/>
  <c r="AQ188" s="1"/>
  <c r="CC237"/>
  <c r="BV303"/>
  <c r="CC303" s="1"/>
  <c r="CC287"/>
  <c r="AJ213"/>
  <c r="I213" s="1"/>
  <c r="CC263"/>
  <c r="BB303"/>
  <c r="BH303" s="1"/>
  <c r="CP53"/>
  <c r="CP213"/>
  <c r="DT236"/>
  <c r="BV63"/>
  <c r="CC63" s="1"/>
  <c r="DT73"/>
  <c r="DT215"/>
  <c r="BB39"/>
  <c r="BH39" s="1"/>
  <c r="CP277"/>
  <c r="BV38"/>
  <c r="CC38" s="1"/>
  <c r="BV213"/>
  <c r="CC213" s="1"/>
  <c r="DT277"/>
  <c r="BV215"/>
  <c r="CC215" s="1"/>
  <c r="CP39"/>
  <c r="BS120"/>
  <c r="AV120"/>
  <c r="CN145"/>
  <c r="DT303"/>
  <c r="CC374"/>
  <c r="CC340"/>
  <c r="FF188"/>
  <c r="FF236"/>
  <c r="AJ236"/>
  <c r="I236" s="1"/>
  <c r="CP63"/>
  <c r="BB188"/>
  <c r="BV113"/>
  <c r="CC113" s="1"/>
  <c r="BV95"/>
  <c r="CC95" s="1"/>
  <c r="AJ111"/>
  <c r="I111" s="1"/>
  <c r="DT95"/>
  <c r="BB32"/>
  <c r="BH32" s="1"/>
  <c r="BV37"/>
  <c r="CC37" s="1"/>
  <c r="DT299"/>
  <c r="BV80"/>
  <c r="CC80" s="1"/>
  <c r="CP31"/>
  <c r="BB299"/>
  <c r="BF299" s="1"/>
  <c r="BV236"/>
  <c r="CC236" s="1"/>
  <c r="BB236"/>
  <c r="BK144" i="24"/>
  <c r="AJ32" i="43"/>
  <c r="I32" s="1"/>
  <c r="BB95"/>
  <c r="BH95" s="1"/>
  <c r="FF54"/>
  <c r="AJ54"/>
  <c r="I54" s="1"/>
  <c r="BB73"/>
  <c r="BH73" s="1"/>
  <c r="CN136"/>
  <c r="AV138"/>
  <c r="BS138"/>
  <c r="AJ70"/>
  <c r="I70" s="1"/>
  <c r="AG155"/>
  <c r="Q155" s="1"/>
  <c r="AO155" s="1"/>
  <c r="AP155" s="1"/>
  <c r="BS155"/>
  <c r="AZ155"/>
  <c r="BY268"/>
  <c r="CA268" s="1"/>
  <c r="CC324"/>
  <c r="BV192"/>
  <c r="CC192" s="1"/>
  <c r="DR303"/>
  <c r="CC248"/>
  <c r="CC379"/>
  <c r="AJ215"/>
  <c r="I215" s="1"/>
  <c r="CC223"/>
  <c r="FF213"/>
  <c r="CJ148"/>
  <c r="CN148"/>
  <c r="AG81"/>
  <c r="BQ81"/>
  <c r="AX81"/>
  <c r="AX155"/>
  <c r="CJ155"/>
  <c r="CP155" s="1"/>
  <c r="CL148"/>
  <c r="AG148"/>
  <c r="CL81"/>
  <c r="CP81" s="1"/>
  <c r="CN81"/>
  <c r="AQ15"/>
  <c r="V12" i="45"/>
  <c r="AQ22" i="43"/>
  <c r="V9" i="45"/>
  <c r="AQ12" i="43"/>
  <c r="AQ319"/>
  <c r="V316" i="45"/>
  <c r="AQ350" i="43"/>
  <c r="V347" i="45"/>
  <c r="AQ206" i="43"/>
  <c r="V203" i="45"/>
  <c r="AQ323" i="43"/>
  <c r="V320" i="45"/>
  <c r="AQ310" i="43"/>
  <c r="V307" i="45"/>
  <c r="AQ316" i="43"/>
  <c r="V313" i="45"/>
  <c r="AQ199" i="43"/>
  <c r="V196" i="45"/>
  <c r="AQ370" i="43"/>
  <c r="V367" i="45"/>
  <c r="AQ372" i="43"/>
  <c r="V369" i="45"/>
  <c r="AQ241" i="43"/>
  <c r="V238" i="45"/>
  <c r="AQ317" i="43"/>
  <c r="V314" i="45"/>
  <c r="AQ224" i="43"/>
  <c r="V221" i="45"/>
  <c r="AQ157" i="43"/>
  <c r="V154" i="45"/>
  <c r="AQ181" i="43"/>
  <c r="V178" i="45"/>
  <c r="AQ353" i="43"/>
  <c r="V350" i="45"/>
  <c r="AQ334" i="43"/>
  <c r="V331" i="45"/>
  <c r="AQ238" i="43"/>
  <c r="V235" i="45"/>
  <c r="AQ226" i="43"/>
  <c r="V223" i="45"/>
  <c r="AQ325" i="43"/>
  <c r="V322" i="45"/>
  <c r="AQ341" i="43"/>
  <c r="V338" i="45"/>
  <c r="AQ346" i="43"/>
  <c r="V343" i="45"/>
  <c r="AQ201" i="43"/>
  <c r="V198" i="45"/>
  <c r="AQ293" i="43"/>
  <c r="V290" i="45"/>
  <c r="AQ222" i="43"/>
  <c r="V219" i="45"/>
  <c r="AQ165" i="43"/>
  <c r="V162" i="45"/>
  <c r="AQ381" i="43"/>
  <c r="V378" i="45"/>
  <c r="V323"/>
  <c r="AQ182" i="43"/>
  <c r="V179" i="45"/>
  <c r="AQ205" i="43"/>
  <c r="V202" i="45"/>
  <c r="AQ347" i="43"/>
  <c r="V344" i="45"/>
  <c r="AQ364" i="43"/>
  <c r="V361" i="45"/>
  <c r="AQ184" i="43"/>
  <c r="V181" i="45"/>
  <c r="AQ275" i="43"/>
  <c r="V272" i="45"/>
  <c r="AQ269" i="43"/>
  <c r="V266" i="45"/>
  <c r="AQ243" i="43"/>
  <c r="V240" i="45"/>
  <c r="AQ295" i="43"/>
  <c r="V292" i="45"/>
  <c r="AQ335" i="43"/>
  <c r="V332" i="45"/>
  <c r="AQ248" i="43"/>
  <c r="V245" i="45"/>
  <c r="AQ247" i="43"/>
  <c r="V244" i="45"/>
  <c r="AQ212" i="43"/>
  <c r="V209" i="45"/>
  <c r="AQ282" i="43"/>
  <c r="V279" i="45"/>
  <c r="AQ283" i="43"/>
  <c r="V280" i="45"/>
  <c r="AQ287" i="43"/>
  <c r="V284" i="45"/>
  <c r="AQ368" i="43"/>
  <c r="V365" i="45"/>
  <c r="AQ273" i="43"/>
  <c r="V270" i="45"/>
  <c r="AQ383" i="43"/>
  <c r="V380" i="45"/>
  <c r="V29"/>
  <c r="AQ32" i="43"/>
  <c r="AQ79"/>
  <c r="V76" i="45"/>
  <c r="V98"/>
  <c r="AQ101" i="43"/>
  <c r="V73" i="45"/>
  <c r="AQ16" i="43"/>
  <c r="V92" i="45"/>
  <c r="AQ95" i="43"/>
  <c r="AQ28"/>
  <c r="V56" i="45"/>
  <c r="AQ59" i="43"/>
  <c r="AQ144"/>
  <c r="V141" i="45"/>
  <c r="AQ280" i="43"/>
  <c r="V277" i="45"/>
  <c r="AQ281" i="43"/>
  <c r="V278" i="45"/>
  <c r="AQ276" i="43"/>
  <c r="V273" i="45"/>
  <c r="AQ374" i="43"/>
  <c r="V371" i="45"/>
  <c r="AQ196" i="43"/>
  <c r="V193" i="45"/>
  <c r="AQ331" i="43"/>
  <c r="V328" i="45"/>
  <c r="AQ378" i="43"/>
  <c r="V375" i="45"/>
  <c r="AQ167" i="43"/>
  <c r="V164" i="45"/>
  <c r="AQ365" i="43"/>
  <c r="V362" i="45"/>
  <c r="AQ171" i="43"/>
  <c r="V168" i="45"/>
  <c r="AQ354" i="43"/>
  <c r="V351" i="45"/>
  <c r="AQ290" i="43"/>
  <c r="V287" i="45"/>
  <c r="AQ363" i="43"/>
  <c r="V360" i="45"/>
  <c r="AQ376" i="43"/>
  <c r="V373" i="45"/>
  <c r="AQ358" i="43"/>
  <c r="V355" i="45"/>
  <c r="AQ191" i="43"/>
  <c r="V188" i="45"/>
  <c r="AQ385" i="43"/>
  <c r="AQ180"/>
  <c r="V177" i="45"/>
  <c r="AQ359" i="43"/>
  <c r="V356" i="45"/>
  <c r="AQ348" i="43"/>
  <c r="V345" i="45"/>
  <c r="AQ308" i="43"/>
  <c r="V305" i="45"/>
  <c r="AQ178" i="43"/>
  <c r="V175" i="45"/>
  <c r="AQ356" i="43"/>
  <c r="V353" i="45"/>
  <c r="AQ176" i="43"/>
  <c r="V173" i="45"/>
  <c r="AQ250" i="43"/>
  <c r="V247" i="45"/>
  <c r="AQ289" i="43"/>
  <c r="V286" i="45"/>
  <c r="AQ332" i="43"/>
  <c r="V329" i="45"/>
  <c r="AQ252" i="43"/>
  <c r="V249" i="45"/>
  <c r="AQ164" i="43"/>
  <c r="V161" i="45"/>
  <c r="AQ373" i="43"/>
  <c r="V370" i="45"/>
  <c r="AQ169" i="43"/>
  <c r="V166" i="45"/>
  <c r="AQ177" i="43"/>
  <c r="V174" i="45"/>
  <c r="AQ327" i="43"/>
  <c r="V324" i="45"/>
  <c r="AQ209" i="43"/>
  <c r="V206" i="45"/>
  <c r="AQ302" i="43"/>
  <c r="V299" i="45"/>
  <c r="AQ271" i="43"/>
  <c r="V268" i="45"/>
  <c r="AQ384" i="43"/>
  <c r="AQ229"/>
  <c r="V226" i="45"/>
  <c r="AQ163" i="43"/>
  <c r="V160" i="45"/>
  <c r="AQ321" i="43"/>
  <c r="V318" i="45"/>
  <c r="AQ217" i="43"/>
  <c r="V214" i="45"/>
  <c r="AQ220" i="43"/>
  <c r="V217" i="45"/>
  <c r="AQ362" i="43"/>
  <c r="V359" i="45"/>
  <c r="AQ219" i="43"/>
  <c r="V216" i="45"/>
  <c r="AQ237" i="43"/>
  <c r="V234" i="45"/>
  <c r="AQ235" i="43"/>
  <c r="V232" i="45"/>
  <c r="AQ161" i="43"/>
  <c r="V158" i="45"/>
  <c r="V51"/>
  <c r="AQ54" i="43"/>
  <c r="AQ69"/>
  <c r="V66" i="45"/>
  <c r="AQ72" i="43"/>
  <c r="V69" i="45"/>
  <c r="AQ111" i="43"/>
  <c r="V6" i="45"/>
  <c r="AQ9" i="43"/>
  <c r="AQ71"/>
  <c r="V68" i="45"/>
  <c r="V183"/>
  <c r="AQ183" i="43"/>
  <c r="V180" i="45"/>
  <c r="V335"/>
  <c r="AQ227" i="43"/>
  <c r="V224" i="45"/>
  <c r="AQ214" i="43"/>
  <c r="V211" i="45"/>
  <c r="AQ343" i="43"/>
  <c r="V340" i="45"/>
  <c r="AQ379" i="43"/>
  <c r="V376" i="45"/>
  <c r="AQ216" i="43"/>
  <c r="V213" i="45"/>
  <c r="AQ245" i="43"/>
  <c r="V242" i="45"/>
  <c r="AQ179" i="43"/>
  <c r="V176" i="45"/>
  <c r="AQ251" i="43"/>
  <c r="V248" i="45"/>
  <c r="AQ291" i="43"/>
  <c r="V288" i="45"/>
  <c r="AQ349" i="43"/>
  <c r="V346" i="45"/>
  <c r="AQ159" i="43"/>
  <c r="V156" i="45"/>
  <c r="AQ195" i="43"/>
  <c r="V192" i="45"/>
  <c r="AQ190" i="43"/>
  <c r="V187" i="45"/>
  <c r="AQ304" i="43"/>
  <c r="V301" i="45"/>
  <c r="AQ274" i="43"/>
  <c r="V271" i="45"/>
  <c r="AQ175" i="43"/>
  <c r="V172" i="45"/>
  <c r="AQ208" i="43"/>
  <c r="V205" i="45"/>
  <c r="AQ324" i="43"/>
  <c r="V321" i="45"/>
  <c r="AQ170" i="43"/>
  <c r="V167" i="45"/>
  <c r="AQ197" i="43"/>
  <c r="V194" i="45"/>
  <c r="AQ203" i="43"/>
  <c r="V200" i="45"/>
  <c r="AQ305" i="43"/>
  <c r="V302" i="45"/>
  <c r="AQ369" i="43"/>
  <c r="V366" i="45"/>
  <c r="AQ333" i="43"/>
  <c r="V330" i="45"/>
  <c r="AQ239" i="43"/>
  <c r="V236" i="45"/>
  <c r="AQ314" i="43"/>
  <c r="V311" i="45"/>
  <c r="AQ207" i="43"/>
  <c r="V204" i="45"/>
  <c r="V310"/>
  <c r="AQ342" i="43"/>
  <c r="V339" i="45"/>
  <c r="AQ202" i="43"/>
  <c r="V199" i="45"/>
  <c r="AQ360" i="43"/>
  <c r="V357" i="45"/>
  <c r="AQ371" i="43"/>
  <c r="V368" i="45"/>
  <c r="AQ185" i="43"/>
  <c r="V182" i="45"/>
  <c r="AQ306" i="43"/>
  <c r="V303" i="45"/>
  <c r="AQ315" i="43"/>
  <c r="V312" i="45"/>
  <c r="AQ172" i="43"/>
  <c r="V169" i="45"/>
  <c r="AQ244" i="43"/>
  <c r="V241" i="45"/>
  <c r="AQ352" i="43"/>
  <c r="V349" i="45"/>
  <c r="AQ366" i="43"/>
  <c r="V363" i="45"/>
  <c r="AQ382" i="43"/>
  <c r="V379" i="45"/>
  <c r="AQ286" i="43"/>
  <c r="V283" i="45"/>
  <c r="AQ249" i="43"/>
  <c r="V246" i="45"/>
  <c r="AQ168" i="43"/>
  <c r="V165" i="45"/>
  <c r="AQ210" i="43"/>
  <c r="V207" i="45"/>
  <c r="V22"/>
  <c r="AQ25" i="43"/>
  <c r="AQ27"/>
  <c r="V24" i="45"/>
  <c r="V96"/>
  <c r="AQ99" i="43"/>
  <c r="V93" i="45"/>
  <c r="AQ96" i="43"/>
  <c r="AQ123"/>
  <c r="V120" i="45"/>
  <c r="AQ270" i="43"/>
  <c r="V267" i="45"/>
  <c r="AQ194" i="43"/>
  <c r="V191" i="45"/>
  <c r="AQ272" i="43"/>
  <c r="V269" i="45"/>
  <c r="AQ380" i="43"/>
  <c r="V377" i="45"/>
  <c r="AQ189" i="43"/>
  <c r="V186" i="45"/>
  <c r="AQ166" i="43"/>
  <c r="V163" i="45"/>
  <c r="AQ230" i="43"/>
  <c r="V227" i="45"/>
  <c r="AQ284" i="43"/>
  <c r="V281" i="45"/>
  <c r="AQ377" i="43"/>
  <c r="V374" i="45"/>
  <c r="AQ307" i="43"/>
  <c r="V304" i="45"/>
  <c r="AQ367" i="43"/>
  <c r="V364" i="45"/>
  <c r="AQ361" i="43"/>
  <c r="V358" i="45"/>
  <c r="AQ351" i="43"/>
  <c r="V348" i="45"/>
  <c r="AQ231" i="43"/>
  <c r="V228" i="45"/>
  <c r="AQ300" i="43"/>
  <c r="V297" i="45"/>
  <c r="AQ298" i="43"/>
  <c r="V295" i="45"/>
  <c r="AQ211" i="43"/>
  <c r="V208" i="45"/>
  <c r="AQ253" i="43"/>
  <c r="V250" i="45"/>
  <c r="AQ296" i="43"/>
  <c r="V293" i="45"/>
  <c r="AQ233" i="43"/>
  <c r="V230" i="45"/>
  <c r="AQ294" i="43"/>
  <c r="V291" i="45"/>
  <c r="AQ297" i="43"/>
  <c r="V294" i="45"/>
  <c r="AQ200" i="43"/>
  <c r="V197" i="45"/>
  <c r="AQ187" i="43"/>
  <c r="V184" i="45"/>
  <c r="AQ193" i="43"/>
  <c r="V190" i="45"/>
  <c r="AQ223" i="43"/>
  <c r="V220" i="45"/>
  <c r="AQ158" i="43"/>
  <c r="V155" i="45"/>
  <c r="AQ322" i="43"/>
  <c r="V319" i="45"/>
  <c r="AQ329" i="43"/>
  <c r="V326" i="45"/>
  <c r="AQ344" i="43"/>
  <c r="V341" i="45"/>
  <c r="AQ339" i="43"/>
  <c r="V336" i="45"/>
  <c r="AQ312" i="43"/>
  <c r="AQ162"/>
  <c r="V159" i="45"/>
  <c r="AQ204" i="43"/>
  <c r="V201" i="45"/>
  <c r="AQ192" i="43"/>
  <c r="V189" i="45"/>
  <c r="V285"/>
  <c r="AQ174" i="43"/>
  <c r="V171" i="45"/>
  <c r="AQ340" i="43"/>
  <c r="V337" i="45"/>
  <c r="AQ173" i="43"/>
  <c r="V170" i="45"/>
  <c r="AQ375" i="43"/>
  <c r="V372" i="45"/>
  <c r="AQ311" i="43"/>
  <c r="V308" i="45"/>
  <c r="AQ160" i="43"/>
  <c r="V157" i="45"/>
  <c r="AQ198" i="43"/>
  <c r="V195" i="45"/>
  <c r="AQ278" i="43"/>
  <c r="V275" i="45"/>
  <c r="AQ246" i="43"/>
  <c r="V243" i="45"/>
  <c r="V63"/>
  <c r="AQ66" i="43"/>
  <c r="CC316"/>
  <c r="BB72"/>
  <c r="BH72" s="1"/>
  <c r="FF144"/>
  <c r="CC375"/>
  <c r="BV77"/>
  <c r="CC77" s="1"/>
  <c r="CP240"/>
  <c r="BB66"/>
  <c r="BH66" s="1"/>
  <c r="BB38"/>
  <c r="BH38" s="1"/>
  <c r="Q152"/>
  <c r="AO152" s="1"/>
  <c r="AP152" s="1"/>
  <c r="FF152"/>
  <c r="FF318"/>
  <c r="DT70"/>
  <c r="AJ95"/>
  <c r="I95" s="1"/>
  <c r="DT32"/>
  <c r="DR285"/>
  <c r="CP40"/>
  <c r="AJ80"/>
  <c r="I80" s="1"/>
  <c r="CP234"/>
  <c r="BV39"/>
  <c r="CC39" s="1"/>
  <c r="CP37"/>
  <c r="CP285"/>
  <c r="BB277"/>
  <c r="BF277" s="1"/>
  <c r="BV188"/>
  <c r="BB54"/>
  <c r="BH54" s="1"/>
  <c r="BB69"/>
  <c r="BH69" s="1"/>
  <c r="CP152"/>
  <c r="DT242"/>
  <c r="DT111"/>
  <c r="AJ63"/>
  <c r="I63" s="1"/>
  <c r="DT66"/>
  <c r="BV240"/>
  <c r="CC240" s="1"/>
  <c r="AJ53"/>
  <c r="I53" s="1"/>
  <c r="AJ56"/>
  <c r="I56" s="1"/>
  <c r="CP188"/>
  <c r="DR299"/>
  <c r="AJ97"/>
  <c r="I97" s="1"/>
  <c r="AJ113"/>
  <c r="I113" s="1"/>
  <c r="BV54"/>
  <c r="CC54" s="1"/>
  <c r="AJ22"/>
  <c r="I22" s="1"/>
  <c r="AJ31"/>
  <c r="I31" s="1"/>
  <c r="BV72"/>
  <c r="CC72" s="1"/>
  <c r="CP41"/>
  <c r="FF32"/>
  <c r="AJ72"/>
  <c r="I72" s="1"/>
  <c r="AJ16"/>
  <c r="CL151"/>
  <c r="H11" i="34"/>
  <c r="AJ77" i="43"/>
  <c r="I77" s="1"/>
  <c r="DT38"/>
  <c r="DT61"/>
  <c r="BK40" i="24"/>
  <c r="CP35" i="43"/>
  <c r="Q77"/>
  <c r="AO77" s="1"/>
  <c r="AP77" s="1"/>
  <c r="Q73"/>
  <c r="AO73" s="1"/>
  <c r="AP73" s="1"/>
  <c r="AJ79"/>
  <c r="I79" s="1"/>
  <c r="CL136"/>
  <c r="BQ136"/>
  <c r="DT54"/>
  <c r="AG138"/>
  <c r="F10" i="30" s="1"/>
  <c r="AX138" i="43"/>
  <c r="F14" i="30" s="1"/>
  <c r="CL138" i="43"/>
  <c r="BQ138"/>
  <c r="F15" i="30" s="1"/>
  <c r="DT41" i="43"/>
  <c r="AG136"/>
  <c r="FF136" s="1"/>
  <c r="FF79"/>
  <c r="BK79" i="24"/>
  <c r="BB41" i="43"/>
  <c r="BH41" s="1"/>
  <c r="BK77" i="24"/>
  <c r="CC361" i="43"/>
  <c r="FF285"/>
  <c r="AJ188"/>
  <c r="I188" s="1"/>
  <c r="BY282"/>
  <c r="CA282" s="1"/>
  <c r="CC341"/>
  <c r="AJ303"/>
  <c r="I303" s="1"/>
  <c r="Q303"/>
  <c r="AO303" s="1"/>
  <c r="AP303" s="1"/>
  <c r="AJ299"/>
  <c r="I299" s="1"/>
  <c r="Q299"/>
  <c r="AO299" s="1"/>
  <c r="AP299" s="1"/>
  <c r="CC371"/>
  <c r="FF277"/>
  <c r="CR299"/>
  <c r="BB53"/>
  <c r="BH53" s="1"/>
  <c r="CJ127"/>
  <c r="FF70"/>
  <c r="EV13"/>
  <c r="EU14"/>
  <c r="H36" i="34"/>
  <c r="H45"/>
  <c r="AJ68" i="43"/>
  <c r="I68" s="1"/>
  <c r="CP299"/>
  <c r="CL141"/>
  <c r="H40" i="34"/>
  <c r="H13"/>
  <c r="H28"/>
  <c r="G7"/>
  <c r="G74" s="1"/>
  <c r="H60"/>
  <c r="H74"/>
  <c r="H35"/>
  <c r="H71"/>
  <c r="H23"/>
  <c r="H58"/>
  <c r="H48"/>
  <c r="H32"/>
  <c r="BO141" i="43"/>
  <c r="DT234"/>
  <c r="FF66"/>
  <c r="CZ337"/>
  <c r="AI337" i="24" s="1"/>
  <c r="DT240" i="43"/>
  <c r="CP66"/>
  <c r="BB63"/>
  <c r="BH63" s="1"/>
  <c r="CJ141"/>
  <c r="CP141" s="1"/>
  <c r="BO154"/>
  <c r="FF63"/>
  <c r="Q63"/>
  <c r="AO63" s="1"/>
  <c r="AP63" s="1"/>
  <c r="FF14"/>
  <c r="Q14"/>
  <c r="AO14" s="1"/>
  <c r="AP14" s="1"/>
  <c r="BK14" i="24"/>
  <c r="BV277" i="43"/>
  <c r="BY277" s="1"/>
  <c r="CA277" s="1"/>
  <c r="CP14"/>
  <c r="BB240"/>
  <c r="BH240" s="1"/>
  <c r="AJ39"/>
  <c r="I39" s="1"/>
  <c r="CC277"/>
  <c r="DT37"/>
  <c r="AJ37"/>
  <c r="I37" s="1"/>
  <c r="BB285"/>
  <c r="BH285" s="1"/>
  <c r="AV127"/>
  <c r="DT318"/>
  <c r="BV318"/>
  <c r="CC318" s="1"/>
  <c r="AJ277"/>
  <c r="I277" s="1"/>
  <c r="DR277"/>
  <c r="DT39"/>
  <c r="BV61"/>
  <c r="CC61" s="1"/>
  <c r="CJ120"/>
  <c r="CP120" s="1"/>
  <c r="H10" i="34"/>
  <c r="H73"/>
  <c r="H18"/>
  <c r="H57"/>
  <c r="H42"/>
  <c r="H33"/>
  <c r="H44"/>
  <c r="H16"/>
  <c r="H46"/>
  <c r="H54"/>
  <c r="H37"/>
  <c r="H53"/>
  <c r="H52"/>
  <c r="H41"/>
  <c r="Q41" i="43"/>
  <c r="AO41" s="1"/>
  <c r="AP41" s="1"/>
  <c r="Q134"/>
  <c r="AO134" s="1"/>
  <c r="AP134" s="1"/>
  <c r="DT44"/>
  <c r="BQ125"/>
  <c r="CL125"/>
  <c r="AJ66"/>
  <c r="I66" s="1"/>
  <c r="DT63"/>
  <c r="CN120"/>
  <c r="AJ285"/>
  <c r="I285" s="1"/>
  <c r="DR318"/>
  <c r="CC360"/>
  <c r="FF234"/>
  <c r="AJ234"/>
  <c r="I234" s="1"/>
  <c r="FF240"/>
  <c r="AJ240"/>
  <c r="I240" s="1"/>
  <c r="CC183"/>
  <c r="BY294"/>
  <c r="CA294" s="1"/>
  <c r="CC206"/>
  <c r="CC297"/>
  <c r="CC346"/>
  <c r="BY382"/>
  <c r="CA382" s="1"/>
  <c r="CC307"/>
  <c r="CZ161"/>
  <c r="AI161" i="24" s="1"/>
  <c r="Q318" i="43"/>
  <c r="AO318" s="1"/>
  <c r="AP318" s="1"/>
  <c r="BH337"/>
  <c r="AV141"/>
  <c r="CN141"/>
  <c r="BS141"/>
  <c r="BK66" i="24"/>
  <c r="BQ120" i="43"/>
  <c r="BO120"/>
  <c r="D16" i="30"/>
  <c r="AJ318" i="43"/>
  <c r="I318" s="1"/>
  <c r="AG120"/>
  <c r="AZ120"/>
  <c r="CJ136"/>
  <c r="AV136"/>
  <c r="BO136"/>
  <c r="AX141"/>
  <c r="BQ141"/>
  <c r="AG141"/>
  <c r="CJ125"/>
  <c r="AV125"/>
  <c r="AG125"/>
  <c r="BO125"/>
  <c r="BB242"/>
  <c r="CY12"/>
  <c r="DA12" s="1"/>
  <c r="AU9" i="45" s="1"/>
  <c r="CH9" i="43"/>
  <c r="AV6" i="45"/>
  <c r="CH10" i="43"/>
  <c r="AV7" i="45"/>
  <c r="CF11" i="43"/>
  <c r="CF12"/>
  <c r="Q37"/>
  <c r="AO37" s="1"/>
  <c r="AP37" s="1"/>
  <c r="BB234"/>
  <c r="BV234"/>
  <c r="CC234" s="1"/>
  <c r="CL127"/>
  <c r="CC383"/>
  <c r="BY278"/>
  <c r="CA278" s="1"/>
  <c r="CC325"/>
  <c r="J15"/>
  <c r="BO142"/>
  <c r="AZ142"/>
  <c r="BS142"/>
  <c r="AV142"/>
  <c r="BQ142"/>
  <c r="CL142"/>
  <c r="CN142"/>
  <c r="AX142"/>
  <c r="CJ142"/>
  <c r="AG142"/>
  <c r="BQ127"/>
  <c r="CN127"/>
  <c r="D10" i="30"/>
  <c r="H61" i="34"/>
  <c r="H63"/>
  <c r="H25"/>
  <c r="H29"/>
  <c r="H14"/>
  <c r="H51"/>
  <c r="H31"/>
  <c r="H15"/>
  <c r="H70"/>
  <c r="H43"/>
  <c r="H12"/>
  <c r="H17"/>
  <c r="H26"/>
  <c r="H9"/>
  <c r="H34"/>
  <c r="H69"/>
  <c r="H64"/>
  <c r="H38"/>
  <c r="H6"/>
  <c r="H30"/>
  <c r="H24"/>
  <c r="H65"/>
  <c r="H68"/>
  <c r="H49"/>
  <c r="H27"/>
  <c r="H72"/>
  <c r="H56"/>
  <c r="H66"/>
  <c r="BB37" i="43"/>
  <c r="BH37" s="1"/>
  <c r="Q39"/>
  <c r="AO39" s="1"/>
  <c r="AP39" s="1"/>
  <c r="FF39"/>
  <c r="BK39" i="24"/>
  <c r="CB162" i="43"/>
  <c r="CC162" s="1"/>
  <c r="G14" i="30"/>
  <c r="G15"/>
  <c r="BB144" i="43"/>
  <c r="BH144" s="1"/>
  <c r="DT152"/>
  <c r="BB152"/>
  <c r="BH152" s="1"/>
  <c r="BV152"/>
  <c r="CC152" s="1"/>
  <c r="GY10"/>
  <c r="Q35"/>
  <c r="AO35" s="1"/>
  <c r="AP35" s="1"/>
  <c r="BV41"/>
  <c r="CN151"/>
  <c r="CC161"/>
  <c r="DT69"/>
  <c r="AJ242"/>
  <c r="I242" s="1"/>
  <c r="BB71"/>
  <c r="BH71" s="1"/>
  <c r="CP144"/>
  <c r="AJ152"/>
  <c r="I152" s="1"/>
  <c r="BK9" i="24"/>
  <c r="DT144" i="43"/>
  <c r="AJ41"/>
  <c r="I41" s="1"/>
  <c r="BY302"/>
  <c r="CA302" s="1"/>
  <c r="BY298"/>
  <c r="CA298" s="1"/>
  <c r="CA311"/>
  <c r="BK41" i="24"/>
  <c r="BK92"/>
  <c r="BV242" i="43"/>
  <c r="BB336"/>
  <c r="BB357"/>
  <c r="BK357" i="24"/>
  <c r="AJ357" i="43"/>
  <c r="I357" s="1"/>
  <c r="FF357"/>
  <c r="Q357"/>
  <c r="AO357" s="1"/>
  <c r="AP357" s="1"/>
  <c r="CP336"/>
  <c r="DT336"/>
  <c r="BV357"/>
  <c r="AE345" i="24"/>
  <c r="AD345"/>
  <c r="AA344"/>
  <c r="AF345"/>
  <c r="BK336"/>
  <c r="FF336" i="43"/>
  <c r="Q336"/>
  <c r="AO336" s="1"/>
  <c r="AP336" s="1"/>
  <c r="AJ336"/>
  <c r="I336" s="1"/>
  <c r="CP357"/>
  <c r="DT357"/>
  <c r="BV336"/>
  <c r="CB336" s="1"/>
  <c r="BY270"/>
  <c r="CA270" s="1"/>
  <c r="CC270"/>
  <c r="CC376"/>
  <c r="CC323"/>
  <c r="CC235"/>
  <c r="CC193"/>
  <c r="CC218"/>
  <c r="CT276"/>
  <c r="CV276"/>
  <c r="CV335"/>
  <c r="CZ214"/>
  <c r="AI214" i="24" s="1"/>
  <c r="BH214" i="43"/>
  <c r="CV351"/>
  <c r="CZ381"/>
  <c r="AI381" i="24" s="1"/>
  <c r="BH381" i="43"/>
  <c r="CZ326"/>
  <c r="AI326" i="24" s="1"/>
  <c r="CT297" i="43"/>
  <c r="CV297"/>
  <c r="CW297" s="1"/>
  <c r="CV195"/>
  <c r="CW195" s="1"/>
  <c r="CZ254"/>
  <c r="AI254" i="24" s="1"/>
  <c r="BH254" i="43"/>
  <c r="CV174"/>
  <c r="CW174" s="1"/>
  <c r="CZ174"/>
  <c r="AI174" i="24" s="1"/>
  <c r="BH174" i="43"/>
  <c r="CZ341"/>
  <c r="AI341" i="24" s="1"/>
  <c r="BH341" i="43"/>
  <c r="CT263"/>
  <c r="CV263"/>
  <c r="CW263" s="1"/>
  <c r="BF384"/>
  <c r="CZ384"/>
  <c r="AI384" i="24" s="1"/>
  <c r="BH384" i="43"/>
  <c r="CZ241"/>
  <c r="AI241" i="24" s="1"/>
  <c r="BH241" i="43"/>
  <c r="CZ179"/>
  <c r="AI179" i="24" s="1"/>
  <c r="BH179" i="43"/>
  <c r="CC239"/>
  <c r="BY286"/>
  <c r="CA286" s="1"/>
  <c r="CC286"/>
  <c r="CC260"/>
  <c r="CZ270"/>
  <c r="AI270" i="24" s="1"/>
  <c r="BF270" i="43"/>
  <c r="BH270"/>
  <c r="CT293"/>
  <c r="CV293"/>
  <c r="CW293" s="1"/>
  <c r="CV227"/>
  <c r="CW227" s="1"/>
  <c r="AK385"/>
  <c r="CZ334"/>
  <c r="AI334" i="24" s="1"/>
  <c r="BH334" i="43"/>
  <c r="CZ343"/>
  <c r="AI343" i="24" s="1"/>
  <c r="BH343" i="43"/>
  <c r="CV349"/>
  <c r="BF267"/>
  <c r="CZ267"/>
  <c r="AI267" i="24" s="1"/>
  <c r="BH267" i="43"/>
  <c r="CZ165"/>
  <c r="AI165" i="24" s="1"/>
  <c r="BH165" i="43"/>
  <c r="CV239"/>
  <c r="CW239" s="1"/>
  <c r="BF314"/>
  <c r="BH314"/>
  <c r="CT310"/>
  <c r="CV310"/>
  <c r="CW310" s="1"/>
  <c r="CC159"/>
  <c r="CZ210"/>
  <c r="AI210" i="24" s="1"/>
  <c r="BH210" i="43"/>
  <c r="CV379"/>
  <c r="CV220"/>
  <c r="CW220" s="1"/>
  <c r="CZ368"/>
  <c r="AI368" i="24" s="1"/>
  <c r="CZ340" i="43"/>
  <c r="AI340" i="24" s="1"/>
  <c r="BH340" i="43"/>
  <c r="CT273"/>
  <c r="CV273"/>
  <c r="CW273" s="1"/>
  <c r="BF311"/>
  <c r="CZ311"/>
  <c r="AI311" i="24" s="1"/>
  <c r="BH311" i="43"/>
  <c r="CZ208"/>
  <c r="AI208" i="24" s="1"/>
  <c r="BH208" i="43"/>
  <c r="CV372"/>
  <c r="CZ167"/>
  <c r="AI167" i="24" s="1"/>
  <c r="BH167" i="43"/>
  <c r="CV198"/>
  <c r="CW198" s="1"/>
  <c r="BF275"/>
  <c r="CZ275"/>
  <c r="AI275" i="24" s="1"/>
  <c r="BH275" i="43"/>
  <c r="CT279"/>
  <c r="CV279"/>
  <c r="CW279" s="1"/>
  <c r="CV377"/>
  <c r="CZ251"/>
  <c r="AI251" i="24" s="1"/>
  <c r="BH251" i="43"/>
  <c r="CV246"/>
  <c r="CW246" s="1"/>
  <c r="CC196"/>
  <c r="CC257"/>
  <c r="CC191"/>
  <c r="CC327"/>
  <c r="CC326"/>
  <c r="CC259"/>
  <c r="CC211"/>
  <c r="CC372"/>
  <c r="CC249"/>
  <c r="CT270"/>
  <c r="CV270"/>
  <c r="CW270" s="1"/>
  <c r="CT280"/>
  <c r="CV280"/>
  <c r="CW280" s="1"/>
  <c r="CV373"/>
  <c r="CV376"/>
  <c r="CZ376"/>
  <c r="AI376" i="24" s="1"/>
  <c r="BH376" i="43"/>
  <c r="CZ169"/>
  <c r="AI169" i="24" s="1"/>
  <c r="BH169" i="43"/>
  <c r="CZ257"/>
  <c r="AI257" i="24" s="1"/>
  <c r="BH257" i="43"/>
  <c r="BH221"/>
  <c r="BH192"/>
  <c r="CZ184"/>
  <c r="AI184" i="24" s="1"/>
  <c r="BH184" i="43"/>
  <c r="CZ250"/>
  <c r="AI250" i="24" s="1"/>
  <c r="BH250" i="43"/>
  <c r="CV375"/>
  <c r="AK383"/>
  <c r="X383" s="1"/>
  <c r="Y383" s="1"/>
  <c r="CV175"/>
  <c r="CW175" s="1"/>
  <c r="CZ371"/>
  <c r="AI371" i="24" s="1"/>
  <c r="BH371" i="43"/>
  <c r="BH188"/>
  <c r="CC227"/>
  <c r="CC214"/>
  <c r="CC333"/>
  <c r="CC226"/>
  <c r="CC378"/>
  <c r="CC356"/>
  <c r="CC208"/>
  <c r="CC256"/>
  <c r="CZ280"/>
  <c r="AI280" i="24" s="1"/>
  <c r="BF280" i="43"/>
  <c r="BH280"/>
  <c r="CZ164"/>
  <c r="AI164" i="24" s="1"/>
  <c r="BH164" i="43"/>
  <c r="CV222"/>
  <c r="CW222" s="1"/>
  <c r="CZ361"/>
  <c r="AI361" i="24" s="1"/>
  <c r="BH361" i="43"/>
  <c r="CZ294"/>
  <c r="AI294" i="24" s="1"/>
  <c r="BF294" i="43"/>
  <c r="BH294"/>
  <c r="CT294"/>
  <c r="CV294"/>
  <c r="CW294" s="1"/>
  <c r="CZ369"/>
  <c r="AI369" i="24" s="1"/>
  <c r="CV255" i="43"/>
  <c r="CW255" s="1"/>
  <c r="CZ323"/>
  <c r="AI323" i="24" s="1"/>
  <c r="BH323" i="43"/>
  <c r="CV226"/>
  <c r="CW226" s="1"/>
  <c r="CZ342"/>
  <c r="AI342" i="24" s="1"/>
  <c r="BH342" i="43"/>
  <c r="CV342"/>
  <c r="CZ190"/>
  <c r="AI190" i="24" s="1"/>
  <c r="BH190" i="43"/>
  <c r="CV230"/>
  <c r="CW230" s="1"/>
  <c r="CV254"/>
  <c r="CW254" s="1"/>
  <c r="CV346"/>
  <c r="CZ261"/>
  <c r="AI261" i="24" s="1"/>
  <c r="BH261" i="43"/>
  <c r="BH215"/>
  <c r="CV235"/>
  <c r="CW235" s="1"/>
  <c r="BF271"/>
  <c r="CZ271"/>
  <c r="AI271" i="24" s="1"/>
  <c r="BH271" i="43"/>
  <c r="CT286"/>
  <c r="CV286"/>
  <c r="CW286" s="1"/>
  <c r="CZ175"/>
  <c r="AI175" i="24" s="1"/>
  <c r="BH175" i="43"/>
  <c r="CV167"/>
  <c r="CW167" s="1"/>
  <c r="CZ193"/>
  <c r="AI193" i="24" s="1"/>
  <c r="BH193" i="43"/>
  <c r="CT269"/>
  <c r="CV269"/>
  <c r="CW269" s="1"/>
  <c r="BF317"/>
  <c r="CZ317"/>
  <c r="AI317" i="24" s="1"/>
  <c r="BH317" i="43"/>
  <c r="CZ256"/>
  <c r="AI256" i="24" s="1"/>
  <c r="BH256" i="43"/>
  <c r="CV218"/>
  <c r="CW218" s="1"/>
  <c r="CZ278"/>
  <c r="AI278" i="24" s="1"/>
  <c r="BF278" i="43"/>
  <c r="BH278"/>
  <c r="CV229"/>
  <c r="CW229" s="1"/>
  <c r="CZ163"/>
  <c r="AI163" i="24" s="1"/>
  <c r="BH163" i="43"/>
  <c r="CC204"/>
  <c r="BY273"/>
  <c r="CA273" s="1"/>
  <c r="CC273"/>
  <c r="CC365"/>
  <c r="BY265"/>
  <c r="CA265" s="1"/>
  <c r="CC265"/>
  <c r="BY315"/>
  <c r="CA315" s="1"/>
  <c r="CC315"/>
  <c r="BF312"/>
  <c r="BH312"/>
  <c r="CT312"/>
  <c r="CV312"/>
  <c r="CV233"/>
  <c r="CW233" s="1"/>
  <c r="CV243"/>
  <c r="CW243" s="1"/>
  <c r="CZ243"/>
  <c r="AI243" i="24" s="1"/>
  <c r="BH243" i="43"/>
  <c r="CV350"/>
  <c r="CZ217"/>
  <c r="AI217" i="24" s="1"/>
  <c r="BH217" i="43"/>
  <c r="CV334"/>
  <c r="CV206"/>
  <c r="CW206" s="1"/>
  <c r="CZ248"/>
  <c r="AI248" i="24" s="1"/>
  <c r="BH248" i="43"/>
  <c r="CZ247"/>
  <c r="AI247" i="24" s="1"/>
  <c r="BH247" i="43"/>
  <c r="CZ212"/>
  <c r="AI212" i="24" s="1"/>
  <c r="BH212" i="43"/>
  <c r="CZ308"/>
  <c r="AI308" i="24" s="1"/>
  <c r="BF308" i="43"/>
  <c r="BH308"/>
  <c r="BF302"/>
  <c r="CZ302"/>
  <c r="AI302" i="24" s="1"/>
  <c r="BH302" i="43"/>
  <c r="CV190"/>
  <c r="CW190" s="1"/>
  <c r="CT288"/>
  <c r="CV288"/>
  <c r="CV176"/>
  <c r="CW176" s="1"/>
  <c r="CV202"/>
  <c r="CW202" s="1"/>
  <c r="CV340"/>
  <c r="BF298"/>
  <c r="CZ298"/>
  <c r="AI298" i="24" s="1"/>
  <c r="BH298" i="43"/>
  <c r="BF382"/>
  <c r="CZ382"/>
  <c r="AI382" i="24" s="1"/>
  <c r="BH382" i="43"/>
  <c r="CV219"/>
  <c r="CW219" s="1"/>
  <c r="CZ201"/>
  <c r="AI201" i="24" s="1"/>
  <c r="BH201" i="43"/>
  <c r="CV201"/>
  <c r="CW201" s="1"/>
  <c r="CV208"/>
  <c r="CW208" s="1"/>
  <c r="AK384"/>
  <c r="CV171"/>
  <c r="CW171" s="1"/>
  <c r="CZ377"/>
  <c r="AI377" i="24" s="1"/>
  <c r="BH377" i="43"/>
  <c r="CZ249"/>
  <c r="AI249" i="24" s="1"/>
  <c r="BH249" i="43"/>
  <c r="CZ322"/>
  <c r="AI322" i="24" s="1"/>
  <c r="BF322" i="43"/>
  <c r="BH322"/>
  <c r="CC217"/>
  <c r="BY288"/>
  <c r="CA288" s="1"/>
  <c r="CC168"/>
  <c r="CZ320"/>
  <c r="AI320" i="24" s="1"/>
  <c r="BF320" i="43"/>
  <c r="BH320"/>
  <c r="CT319"/>
  <c r="CV319"/>
  <c r="CW319" s="1"/>
  <c r="CZ374"/>
  <c r="AI374" i="24" s="1"/>
  <c r="BH374" i="43"/>
  <c r="CV169"/>
  <c r="CW169" s="1"/>
  <c r="CZ358"/>
  <c r="AI358" i="24" s="1"/>
  <c r="BH358" i="43"/>
  <c r="CV191"/>
  <c r="CW191" s="1"/>
  <c r="CV214"/>
  <c r="CW214" s="1"/>
  <c r="CZ206"/>
  <c r="AI206" i="24" s="1"/>
  <c r="BH206" i="43"/>
  <c r="CZ380"/>
  <c r="AI380" i="24" s="1"/>
  <c r="BH380" i="43"/>
  <c r="CV204"/>
  <c r="CW204" s="1"/>
  <c r="CT267"/>
  <c r="CV267"/>
  <c r="CW267" s="1"/>
  <c r="CZ189"/>
  <c r="AI189" i="24" s="1"/>
  <c r="BH189" i="43"/>
  <c r="CZ316"/>
  <c r="AI316" i="24" s="1"/>
  <c r="BF316" i="43"/>
  <c r="BH316"/>
  <c r="CV210"/>
  <c r="CW210" s="1"/>
  <c r="CZ182"/>
  <c r="AI182" i="24" s="1"/>
  <c r="BH182" i="43"/>
  <c r="CZ347"/>
  <c r="AI347" i="24" s="1"/>
  <c r="BH347" i="43"/>
  <c r="CT302"/>
  <c r="CV302"/>
  <c r="CW302" s="1"/>
  <c r="BH283"/>
  <c r="CT300"/>
  <c r="CV300"/>
  <c r="CW300" s="1"/>
  <c r="CZ160"/>
  <c r="AI160" i="24" s="1"/>
  <c r="BH160" i="43"/>
  <c r="BF263"/>
  <c r="CZ263"/>
  <c r="AI263" i="24" s="1"/>
  <c r="BH263" i="43"/>
  <c r="CT383"/>
  <c r="CV383"/>
  <c r="CZ365"/>
  <c r="AI365" i="24" s="1"/>
  <c r="BH365" i="43"/>
  <c r="CV193"/>
  <c r="CW193" s="1"/>
  <c r="CV179"/>
  <c r="CW179" s="1"/>
  <c r="CT265"/>
  <c r="CV265"/>
  <c r="CW265" s="1"/>
  <c r="CZ224"/>
  <c r="AI224" i="24" s="1"/>
  <c r="BH224" i="43"/>
  <c r="CZ306"/>
  <c r="AI306" i="24" s="1"/>
  <c r="BF306" i="43"/>
  <c r="BH306"/>
  <c r="BF315"/>
  <c r="CZ315"/>
  <c r="AI315" i="24" s="1"/>
  <c r="BH315" i="43"/>
  <c r="CZ363"/>
  <c r="AI363" i="24" s="1"/>
  <c r="BH363" i="43"/>
  <c r="BY296"/>
  <c r="CA296" s="1"/>
  <c r="CC296"/>
  <c r="BY301"/>
  <c r="CA301" s="1"/>
  <c r="CC301"/>
  <c r="BY321"/>
  <c r="CA321" s="1"/>
  <c r="CC321"/>
  <c r="CC247"/>
  <c r="CC347"/>
  <c r="BY284"/>
  <c r="CA284" s="1"/>
  <c r="CC284"/>
  <c r="BY300"/>
  <c r="CA300" s="1"/>
  <c r="CC300"/>
  <c r="CC200"/>
  <c r="BY309"/>
  <c r="CA309" s="1"/>
  <c r="CC309"/>
  <c r="CC377"/>
  <c r="CC344"/>
  <c r="CT320"/>
  <c r="CV320"/>
  <c r="CW320" s="1"/>
  <c r="CZ194"/>
  <c r="AI194" i="24" s="1"/>
  <c r="BH194" i="43"/>
  <c r="CZ349"/>
  <c r="AI349" i="24" s="1"/>
  <c r="BH349" i="43"/>
  <c r="CZ239"/>
  <c r="AI239" i="24" s="1"/>
  <c r="BH239" i="43"/>
  <c r="CV323"/>
  <c r="CW323" s="1"/>
  <c r="CV238"/>
  <c r="CW238" s="1"/>
  <c r="BH232"/>
  <c r="CT308"/>
  <c r="CV308"/>
  <c r="CW308" s="1"/>
  <c r="CZ370"/>
  <c r="AI370" i="24" s="1"/>
  <c r="CZ220" i="43"/>
  <c r="AI220" i="24" s="1"/>
  <c r="BH220" i="43"/>
  <c r="CV216"/>
  <c r="CW216" s="1"/>
  <c r="CZ362"/>
  <c r="AI362" i="24" s="1"/>
  <c r="BH362" i="43"/>
  <c r="CV362"/>
  <c r="CZ324"/>
  <c r="AI324" i="24" s="1"/>
  <c r="BH324" i="43"/>
  <c r="CZ229"/>
  <c r="AI229" i="24" s="1"/>
  <c r="BH229" i="43"/>
  <c r="CV344"/>
  <c r="BY293"/>
  <c r="CA293" s="1"/>
  <c r="CC293"/>
  <c r="CC194"/>
  <c r="BY385"/>
  <c r="CA385" s="1"/>
  <c r="CC385"/>
  <c r="BY267"/>
  <c r="CA267" s="1"/>
  <c r="CC267"/>
  <c r="CC210"/>
  <c r="CC364"/>
  <c r="BY304"/>
  <c r="CA304" s="1"/>
  <c r="CC304"/>
  <c r="CC201"/>
  <c r="BY269"/>
  <c r="CA269" s="1"/>
  <c r="CC269"/>
  <c r="CC157"/>
  <c r="CC246"/>
  <c r="CZ252"/>
  <c r="AI252" i="24" s="1"/>
  <c r="BH252" i="43"/>
  <c r="CZ233"/>
  <c r="AI233" i="24" s="1"/>
  <c r="BH233" i="43"/>
  <c r="CV353"/>
  <c r="CZ352"/>
  <c r="AI352" i="24" s="1"/>
  <c r="BH352" i="43"/>
  <c r="CV180"/>
  <c r="CW180" s="1"/>
  <c r="CZ180"/>
  <c r="AI180" i="24" s="1"/>
  <c r="BH180" i="43"/>
  <c r="CZ177"/>
  <c r="AI177" i="24" s="1"/>
  <c r="BH177" i="43"/>
  <c r="CV348"/>
  <c r="CV189"/>
  <c r="CW189" s="1"/>
  <c r="CV381"/>
  <c r="CZ207"/>
  <c r="AI207" i="24" s="1"/>
  <c r="BH207" i="43"/>
  <c r="CZ205"/>
  <c r="AI205" i="24" s="1"/>
  <c r="BH205" i="43"/>
  <c r="BH313"/>
  <c r="CV364"/>
  <c r="CV178"/>
  <c r="CW178" s="1"/>
  <c r="CZ195"/>
  <c r="AI195" i="24" s="1"/>
  <c r="BH195" i="43"/>
  <c r="CT284"/>
  <c r="CV284"/>
  <c r="CW284" s="1"/>
  <c r="CZ176"/>
  <c r="AI176" i="24" s="1"/>
  <c r="BH176" i="43"/>
  <c r="CV250"/>
  <c r="CW250" s="1"/>
  <c r="CZ360"/>
  <c r="AI360" i="24" s="1"/>
  <c r="BH360" i="43"/>
  <c r="CV371"/>
  <c r="CV185"/>
  <c r="CW185" s="1"/>
  <c r="CZ260"/>
  <c r="AI260" i="24" s="1"/>
  <c r="BH260" i="43"/>
  <c r="CT306"/>
  <c r="CV306"/>
  <c r="CW306" s="1"/>
  <c r="CV322"/>
  <c r="CV251"/>
  <c r="CW251" s="1"/>
  <c r="CZ170"/>
  <c r="AI170" i="24" s="1"/>
  <c r="BH170" i="43"/>
  <c r="BY320"/>
  <c r="CA320" s="1"/>
  <c r="CC335"/>
  <c r="CC230"/>
  <c r="CC187"/>
  <c r="CC158"/>
  <c r="CC229"/>
  <c r="CC339"/>
  <c r="CV252"/>
  <c r="CW252" s="1"/>
  <c r="BF293"/>
  <c r="CZ293"/>
  <c r="AI293" i="24" s="1"/>
  <c r="BH293" i="43"/>
  <c r="CZ196"/>
  <c r="AI196" i="24" s="1"/>
  <c r="BH196" i="43"/>
  <c r="CZ203"/>
  <c r="AI203" i="24" s="1"/>
  <c r="BH203" i="43"/>
  <c r="CV352"/>
  <c r="CT321"/>
  <c r="CV321"/>
  <c r="CW321" s="1"/>
  <c r="CZ359"/>
  <c r="AI359" i="24" s="1"/>
  <c r="BH359" i="43"/>
  <c r="CZ348"/>
  <c r="AI348" i="24" s="1"/>
  <c r="BH348" i="43"/>
  <c r="CZ238"/>
  <c r="AI238" i="24" s="1"/>
  <c r="BH238" i="43"/>
  <c r="BH228"/>
  <c r="CZ226"/>
  <c r="AI226" i="24" s="1"/>
  <c r="BH226" i="43"/>
  <c r="CV182"/>
  <c r="CW182" s="1"/>
  <c r="CZ178"/>
  <c r="AI178" i="24" s="1"/>
  <c r="BH178" i="43"/>
  <c r="CT268"/>
  <c r="CV268"/>
  <c r="CW268" s="1"/>
  <c r="CZ284"/>
  <c r="AI284" i="24" s="1"/>
  <c r="BF284" i="43"/>
  <c r="BH284"/>
  <c r="CV259"/>
  <c r="CW259" s="1"/>
  <c r="CV356"/>
  <c r="BF300"/>
  <c r="CZ300"/>
  <c r="AI300" i="24" s="1"/>
  <c r="BH300" i="43"/>
  <c r="AK382"/>
  <c r="CV261"/>
  <c r="CW261" s="1"/>
  <c r="CT311"/>
  <c r="CV311"/>
  <c r="CW311" s="1"/>
  <c r="CZ372"/>
  <c r="AI372" i="24" s="1"/>
  <c r="BH372" i="43"/>
  <c r="CT317"/>
  <c r="CV317"/>
  <c r="CW317" s="1"/>
  <c r="CZ158"/>
  <c r="AI158" i="24" s="1"/>
  <c r="BH158" i="43"/>
  <c r="CV332"/>
  <c r="CV324"/>
  <c r="CW324" s="1"/>
  <c r="CA319"/>
  <c r="CC319"/>
  <c r="CC179"/>
  <c r="BF295"/>
  <c r="CZ295"/>
  <c r="AI295" i="24" s="1"/>
  <c r="BH295" i="43"/>
  <c r="CZ162"/>
  <c r="AI162" i="24" s="1"/>
  <c r="BH162" i="43"/>
  <c r="CZ255"/>
  <c r="AI255" i="24" s="1"/>
  <c r="BH255" i="43"/>
  <c r="CZ351"/>
  <c r="AI351" i="24" s="1"/>
  <c r="BH351" i="43"/>
  <c r="CT314"/>
  <c r="CV314"/>
  <c r="CW314" s="1"/>
  <c r="CV247"/>
  <c r="CW247" s="1"/>
  <c r="CV212"/>
  <c r="CW212" s="1"/>
  <c r="CV199"/>
  <c r="CW199" s="1"/>
  <c r="CV378"/>
  <c r="CZ231"/>
  <c r="AI231" i="24" s="1"/>
  <c r="BH231" i="43"/>
  <c r="CT287"/>
  <c r="CV287"/>
  <c r="CW287" s="1"/>
  <c r="CV173"/>
  <c r="CW173" s="1"/>
  <c r="CZ286"/>
  <c r="AI286" i="24" s="1"/>
  <c r="BF286" i="43"/>
  <c r="BH286"/>
  <c r="CZ245"/>
  <c r="AI245" i="24" s="1"/>
  <c r="BH245" i="43"/>
  <c r="CZ198"/>
  <c r="AI198" i="24" s="1"/>
  <c r="BH198" i="43"/>
  <c r="BF265"/>
  <c r="CZ265"/>
  <c r="AI265" i="24" s="1"/>
  <c r="BH265" i="43"/>
  <c r="CV330"/>
  <c r="CV249"/>
  <c r="CW249" s="1"/>
  <c r="CV157"/>
  <c r="CW157" s="1"/>
  <c r="CV329"/>
  <c r="CZ197"/>
  <c r="AI197" i="24" s="1"/>
  <c r="BH197" i="43"/>
  <c r="BY281"/>
  <c r="CA281" s="1"/>
  <c r="CC281"/>
  <c r="CC352"/>
  <c r="CC177"/>
  <c r="CA310"/>
  <c r="CC310"/>
  <c r="CC220"/>
  <c r="CC176"/>
  <c r="CC173"/>
  <c r="CC261"/>
  <c r="CC241"/>
  <c r="CC251"/>
  <c r="CZ350"/>
  <c r="AI350" i="24" s="1"/>
  <c r="BH350" i="43"/>
  <c r="CZ373"/>
  <c r="AI373" i="24" s="1"/>
  <c r="BH373" i="43"/>
  <c r="CV196"/>
  <c r="CW196" s="1"/>
  <c r="CT295"/>
  <c r="CV295"/>
  <c r="CW295" s="1"/>
  <c r="BF291"/>
  <c r="CZ291"/>
  <c r="AI291" i="24" s="1"/>
  <c r="BH291" i="43"/>
  <c r="CV327"/>
  <c r="CW327" s="1"/>
  <c r="CV159"/>
  <c r="CW159" s="1"/>
  <c r="BF266"/>
  <c r="CZ199"/>
  <c r="AI199" i="24" s="1"/>
  <c r="BH199" i="43"/>
  <c r="CZ379"/>
  <c r="AI379" i="24" s="1"/>
  <c r="BH379" i="43"/>
  <c r="CZ366"/>
  <c r="AI366" i="24" s="1"/>
  <c r="CV200" i="43"/>
  <c r="CW200" s="1"/>
  <c r="BF273"/>
  <c r="CZ273"/>
  <c r="AI273" i="24" s="1"/>
  <c r="BH273" i="43"/>
  <c r="CT271"/>
  <c r="CV271"/>
  <c r="CW271" s="1"/>
  <c r="CV245"/>
  <c r="CW245" s="1"/>
  <c r="BF269"/>
  <c r="CZ269"/>
  <c r="AI269" i="24" s="1"/>
  <c r="BH269" i="43"/>
  <c r="CV256"/>
  <c r="CW256" s="1"/>
  <c r="CZ168"/>
  <c r="AI168" i="24" s="1"/>
  <c r="BH168" i="43"/>
  <c r="CC233"/>
  <c r="CC373"/>
  <c r="BY295"/>
  <c r="CA295" s="1"/>
  <c r="CC295"/>
  <c r="CC359"/>
  <c r="CC238"/>
  <c r="CC166"/>
  <c r="CC331"/>
  <c r="CC254"/>
  <c r="BY289"/>
  <c r="CA289" s="1"/>
  <c r="CC289"/>
  <c r="BY275"/>
  <c r="CA275" s="1"/>
  <c r="CC275"/>
  <c r="CC170"/>
  <c r="CT296"/>
  <c r="CV296"/>
  <c r="CW296" s="1"/>
  <c r="CZ258"/>
  <c r="AI258" i="24" s="1"/>
  <c r="BH258" i="43"/>
  <c r="CV258"/>
  <c r="CW258" s="1"/>
  <c r="CV172"/>
  <c r="CW172" s="1"/>
  <c r="BF276"/>
  <c r="BH276"/>
  <c r="CV361"/>
  <c r="CZ244"/>
  <c r="AI244" i="24" s="1"/>
  <c r="BH244" i="43"/>
  <c r="CV257"/>
  <c r="CW257" s="1"/>
  <c r="BF305"/>
  <c r="CZ305"/>
  <c r="AI305" i="24" s="1"/>
  <c r="BH305" i="43"/>
  <c r="CZ335"/>
  <c r="AI335" i="24" s="1"/>
  <c r="BH335" i="43"/>
  <c r="CV359"/>
  <c r="CV333"/>
  <c r="CV236"/>
  <c r="CW236" s="1"/>
  <c r="CV209"/>
  <c r="CW209" s="1"/>
  <c r="CZ230"/>
  <c r="AI230" i="24" s="1"/>
  <c r="BH230" i="43"/>
  <c r="CZ202"/>
  <c r="AI202" i="24" s="1"/>
  <c r="BH202" i="43"/>
  <c r="CZ346"/>
  <c r="AI346" i="24" s="1"/>
  <c r="CT298" i="43"/>
  <c r="CV298"/>
  <c r="CW298" s="1"/>
  <c r="CV211"/>
  <c r="CW211" s="1"/>
  <c r="CZ253"/>
  <c r="AI253" i="24" s="1"/>
  <c r="BH253" i="43"/>
  <c r="CV365"/>
  <c r="CV224"/>
  <c r="CW224" s="1"/>
  <c r="CV168"/>
  <c r="CW168" s="1"/>
  <c r="CT315"/>
  <c r="CV315"/>
  <c r="CW315" s="1"/>
  <c r="CZ329"/>
  <c r="AI329" i="24" s="1"/>
  <c r="BH329" i="43"/>
  <c r="CV363"/>
  <c r="BY305"/>
  <c r="CA305" s="1"/>
  <c r="CC305"/>
  <c r="CC209"/>
  <c r="BY271"/>
  <c r="CA271" s="1"/>
  <c r="CC271"/>
  <c r="CC279"/>
  <c r="BY306"/>
  <c r="CA306" s="1"/>
  <c r="CC306"/>
  <c r="CC197"/>
  <c r="CV186"/>
  <c r="CW186" s="1"/>
  <c r="CZ222"/>
  <c r="AI222" i="24" s="1"/>
  <c r="BH222" i="43"/>
  <c r="CT305"/>
  <c r="CV305"/>
  <c r="CW305" s="1"/>
  <c r="BF321"/>
  <c r="CZ321"/>
  <c r="AI321" i="24" s="1"/>
  <c r="BH321" i="43"/>
  <c r="CV343"/>
  <c r="BH264"/>
  <c r="CV347"/>
  <c r="CZ282"/>
  <c r="AI282" i="24" s="1"/>
  <c r="BF282" i="43"/>
  <c r="BH282"/>
  <c r="CZ259"/>
  <c r="AI259" i="24" s="1"/>
  <c r="BH259" i="43"/>
  <c r="CV325"/>
  <c r="CW325" s="1"/>
  <c r="CV231"/>
  <c r="CW231" s="1"/>
  <c r="BF287"/>
  <c r="CZ287"/>
  <c r="AI287" i="24" s="1"/>
  <c r="BH287" i="43"/>
  <c r="CZ173"/>
  <c r="AI173" i="24" s="1"/>
  <c r="BH173" i="43"/>
  <c r="CZ200"/>
  <c r="AI200" i="24" s="1"/>
  <c r="BH200" i="43"/>
  <c r="CT382"/>
  <c r="CV382"/>
  <c r="CT289"/>
  <c r="CV289"/>
  <c r="CW289" s="1"/>
  <c r="CZ237"/>
  <c r="AI237" i="24" s="1"/>
  <c r="BH237" i="43"/>
  <c r="CC160"/>
  <c r="CV187"/>
  <c r="CW187" s="1"/>
  <c r="CT275"/>
  <c r="CV275"/>
  <c r="CW275" s="1"/>
  <c r="CZ223"/>
  <c r="AI223" i="24" s="1"/>
  <c r="BH223" i="43"/>
  <c r="CV328"/>
  <c r="CZ157"/>
  <c r="AI157" i="24" s="1"/>
  <c r="BH157" i="43"/>
  <c r="CT278"/>
  <c r="CV278"/>
  <c r="CW278" s="1"/>
  <c r="CZ367"/>
  <c r="AI367" i="24" s="1"/>
  <c r="CZ246" i="43"/>
  <c r="AI246" i="24" s="1"/>
  <c r="BH246" i="43"/>
  <c r="CA317"/>
  <c r="CC317"/>
  <c r="CC181"/>
  <c r="CZ296"/>
  <c r="AI296" i="24" s="1"/>
  <c r="BF296" i="43"/>
  <c r="BH296"/>
  <c r="CT281"/>
  <c r="CV281"/>
  <c r="CW281" s="1"/>
  <c r="CV183"/>
  <c r="CW183" s="1"/>
  <c r="BH338"/>
  <c r="BF385"/>
  <c r="CZ385"/>
  <c r="AI385" i="24" s="1"/>
  <c r="BH385" i="43"/>
  <c r="CT385"/>
  <c r="CV385"/>
  <c r="CZ204"/>
  <c r="AI204" i="24" s="1"/>
  <c r="BH204" i="43"/>
  <c r="CV326"/>
  <c r="CW326" s="1"/>
  <c r="CV205"/>
  <c r="CW205" s="1"/>
  <c r="CV331"/>
  <c r="CZ209"/>
  <c r="AI209" i="24" s="1"/>
  <c r="BH209" i="43"/>
  <c r="BF297"/>
  <c r="CZ297"/>
  <c r="AI297" i="24" s="1"/>
  <c r="BH297" i="43"/>
  <c r="CZ216"/>
  <c r="AI216" i="24" s="1"/>
  <c r="BH216" i="43"/>
  <c r="CT282"/>
  <c r="CV282"/>
  <c r="CW282" s="1"/>
  <c r="CZ211"/>
  <c r="AI211" i="24" s="1"/>
  <c r="BH211" i="43"/>
  <c r="BF289"/>
  <c r="CZ289"/>
  <c r="AI289" i="24" s="1"/>
  <c r="BH289" i="43"/>
  <c r="CV237"/>
  <c r="CW237" s="1"/>
  <c r="CZ235"/>
  <c r="AI235" i="24" s="1"/>
  <c r="BH235" i="43"/>
  <c r="CZ171"/>
  <c r="AI171" i="24" s="1"/>
  <c r="BH171" i="43"/>
  <c r="CZ185"/>
  <c r="AI185" i="24" s="1"/>
  <c r="BH185" i="43"/>
  <c r="CV241"/>
  <c r="CW241" s="1"/>
  <c r="CV354"/>
  <c r="CV260"/>
  <c r="CW260" s="1"/>
  <c r="BF307"/>
  <c r="CZ307"/>
  <c r="AI307" i="24" s="1"/>
  <c r="BH307" i="43"/>
  <c r="BY280"/>
  <c r="CA280" s="1"/>
  <c r="CC280"/>
  <c r="CC244"/>
  <c r="BY291"/>
  <c r="CA291" s="1"/>
  <c r="CC291"/>
  <c r="CC189"/>
  <c r="BY308"/>
  <c r="CA308" s="1"/>
  <c r="CC308"/>
  <c r="CC182"/>
  <c r="CC174"/>
  <c r="BY274"/>
  <c r="CA274" s="1"/>
  <c r="CC274"/>
  <c r="BY384"/>
  <c r="CA384" s="1"/>
  <c r="CC384"/>
  <c r="BY322"/>
  <c r="CA322" s="1"/>
  <c r="CC322"/>
  <c r="CC363"/>
  <c r="BF281"/>
  <c r="CZ281"/>
  <c r="AI281" i="24" s="1"/>
  <c r="BH281" i="43"/>
  <c r="CZ172"/>
  <c r="AI172" i="24" s="1"/>
  <c r="BH172" i="43"/>
  <c r="BF301"/>
  <c r="BH301"/>
  <c r="CZ227"/>
  <c r="AI227" i="24" s="1"/>
  <c r="BH227" i="43"/>
  <c r="CV358"/>
  <c r="CV217"/>
  <c r="CW217" s="1"/>
  <c r="CV380"/>
  <c r="CV177"/>
  <c r="CW177" s="1"/>
  <c r="CZ333"/>
  <c r="AI333" i="24" s="1"/>
  <c r="BH333" i="43"/>
  <c r="CZ331"/>
  <c r="AI331" i="24" s="1"/>
  <c r="BH331" i="43"/>
  <c r="CZ288"/>
  <c r="AI288" i="24" s="1"/>
  <c r="BF288" i="43"/>
  <c r="BH288"/>
  <c r="CT304"/>
  <c r="CV304"/>
  <c r="CW304" s="1"/>
  <c r="CZ325"/>
  <c r="AI325" i="24" s="1"/>
  <c r="BH325" i="43"/>
  <c r="CV341"/>
  <c r="CV184"/>
  <c r="CW184" s="1"/>
  <c r="CZ219"/>
  <c r="AI219" i="24" s="1"/>
  <c r="BH219" i="43"/>
  <c r="CV253"/>
  <c r="CW253" s="1"/>
  <c r="CV360"/>
  <c r="BF383"/>
  <c r="CZ383"/>
  <c r="AI383" i="24" s="1"/>
  <c r="BH383" i="43"/>
  <c r="BH279"/>
  <c r="CZ354"/>
  <c r="AI354" i="24" s="1"/>
  <c r="BH354" i="43"/>
  <c r="CZ181"/>
  <c r="AI181" i="24" s="1"/>
  <c r="BH181" i="43"/>
  <c r="CV170"/>
  <c r="CW170" s="1"/>
  <c r="CV197"/>
  <c r="CW197" s="1"/>
  <c r="CZ339"/>
  <c r="AI339" i="24" s="1"/>
  <c r="BH339" i="43"/>
  <c r="CC258"/>
  <c r="CC350"/>
  <c r="CC358"/>
  <c r="CC343"/>
  <c r="CC348"/>
  <c r="CC264"/>
  <c r="CC216"/>
  <c r="CC202"/>
  <c r="CC245"/>
  <c r="CC332"/>
  <c r="BF319"/>
  <c r="CZ319"/>
  <c r="AI319" i="24" s="1"/>
  <c r="BH319" i="43"/>
  <c r="CZ183"/>
  <c r="AI183" i="24" s="1"/>
  <c r="BH183" i="43"/>
  <c r="CZ353"/>
  <c r="AI353" i="24" s="1"/>
  <c r="BH353" i="43"/>
  <c r="CV194"/>
  <c r="CW194" s="1"/>
  <c r="CV374"/>
  <c r="CV244"/>
  <c r="CW244" s="1"/>
  <c r="CV203"/>
  <c r="CW203" s="1"/>
  <c r="CZ191"/>
  <c r="AI191" i="24" s="1"/>
  <c r="BH191" i="43"/>
  <c r="CT291"/>
  <c r="CV291"/>
  <c r="CW291" s="1"/>
  <c r="CV248"/>
  <c r="CW248" s="1"/>
  <c r="CZ327"/>
  <c r="AI327" i="24" s="1"/>
  <c r="BH327" i="43"/>
  <c r="CZ310"/>
  <c r="AI310" i="24" s="1"/>
  <c r="BF310" i="43"/>
  <c r="BH310"/>
  <c r="CV207"/>
  <c r="CW207" s="1"/>
  <c r="CZ166"/>
  <c r="AI166" i="24" s="1"/>
  <c r="BH166" i="43"/>
  <c r="CZ159"/>
  <c r="AI159" i="24" s="1"/>
  <c r="BH159" i="43"/>
  <c r="CT316"/>
  <c r="CV316"/>
  <c r="CW316" s="1"/>
  <c r="CZ364"/>
  <c r="AI364" i="24" s="1"/>
  <c r="BH364" i="43"/>
  <c r="CZ378"/>
  <c r="AI378" i="24" s="1"/>
  <c r="BH378" i="43"/>
  <c r="CZ268"/>
  <c r="AI268" i="24" s="1"/>
  <c r="BF268" i="43"/>
  <c r="BH268"/>
  <c r="CZ304"/>
  <c r="AI304" i="24" s="1"/>
  <c r="BF304" i="43"/>
  <c r="BH304"/>
  <c r="CZ356"/>
  <c r="AI356" i="24" s="1"/>
  <c r="BH356" i="43"/>
  <c r="BF274"/>
  <c r="BH274"/>
  <c r="BH225"/>
  <c r="CZ375"/>
  <c r="AI375" i="24" s="1"/>
  <c r="BH375" i="43"/>
  <c r="CT309"/>
  <c r="CZ187"/>
  <c r="AI187" i="24" s="1"/>
  <c r="BH187" i="43"/>
  <c r="CT384"/>
  <c r="CV384"/>
  <c r="CV223"/>
  <c r="CW223" s="1"/>
  <c r="BH277"/>
  <c r="CV158"/>
  <c r="CW158" s="1"/>
  <c r="CZ332"/>
  <c r="AI332" i="24" s="1"/>
  <c r="BH332" i="43"/>
  <c r="CT307"/>
  <c r="CV307"/>
  <c r="CW307" s="1"/>
  <c r="CV181"/>
  <c r="CW181" s="1"/>
  <c r="CZ344"/>
  <c r="AI344" i="24" s="1"/>
  <c r="BH344" i="43"/>
  <c r="CV339"/>
  <c r="H97" i="35"/>
  <c r="BB14" i="43"/>
  <c r="BV71"/>
  <c r="CC71" s="1"/>
  <c r="AJ71"/>
  <c r="BM11"/>
  <c r="CJ146"/>
  <c r="BS146"/>
  <c r="H61" i="35"/>
  <c r="BB67" i="43"/>
  <c r="BH67" s="1"/>
  <c r="AG140"/>
  <c r="FF140" s="1"/>
  <c r="CJ140"/>
  <c r="BQ140"/>
  <c r="H15" i="30" s="1"/>
  <c r="AZ140" i="43"/>
  <c r="AV140"/>
  <c r="CL140"/>
  <c r="H16" i="30" s="1"/>
  <c r="BO140" i="43"/>
  <c r="BS140"/>
  <c r="AX140"/>
  <c r="H14" i="30" s="1"/>
  <c r="CN140" i="43"/>
  <c r="AG146"/>
  <c r="Q146" s="1"/>
  <c r="AO146" s="1"/>
  <c r="AP146" s="1"/>
  <c r="CL146"/>
  <c r="AX146"/>
  <c r="H10" i="35"/>
  <c r="H103"/>
  <c r="GA11" i="43"/>
  <c r="GR11" s="1"/>
  <c r="AJ14"/>
  <c r="J14" s="1"/>
  <c r="BV44"/>
  <c r="CC44" s="1"/>
  <c r="CJ135"/>
  <c r="CP135" s="1"/>
  <c r="BS135"/>
  <c r="AJ69"/>
  <c r="BB59"/>
  <c r="BH59" s="1"/>
  <c r="DT35"/>
  <c r="AJ44"/>
  <c r="DT25"/>
  <c r="BB25"/>
  <c r="BH25" s="1"/>
  <c r="AJ59"/>
  <c r="BV59"/>
  <c r="CC59" s="1"/>
  <c r="AJ35"/>
  <c r="CP47"/>
  <c r="BB134"/>
  <c r="BH134" s="1"/>
  <c r="CP134"/>
  <c r="AJ144"/>
  <c r="I144" s="1"/>
  <c r="BK67" i="24"/>
  <c r="BV144" i="43"/>
  <c r="CC144" s="1"/>
  <c r="BV69"/>
  <c r="AZ146"/>
  <c r="BQ146"/>
  <c r="AG151"/>
  <c r="Q151" s="1"/>
  <c r="AO151" s="1"/>
  <c r="AP151" s="1"/>
  <c r="BQ151"/>
  <c r="CJ151"/>
  <c r="BB9"/>
  <c r="BH9" s="1"/>
  <c r="H29" i="35"/>
  <c r="H53"/>
  <c r="H70"/>
  <c r="H78"/>
  <c r="FF71" i="43"/>
  <c r="BB35"/>
  <c r="BH35" s="1"/>
  <c r="BV47"/>
  <c r="CC47" s="1"/>
  <c r="BB47"/>
  <c r="BH47" s="1"/>
  <c r="BK44" i="24"/>
  <c r="Q44" i="43"/>
  <c r="AO44" s="1"/>
  <c r="AP44" s="1"/>
  <c r="FF44"/>
  <c r="FF9"/>
  <c r="AJ47"/>
  <c r="BK47" i="24"/>
  <c r="I49" i="43"/>
  <c r="DT71"/>
  <c r="BO146"/>
  <c r="AV146"/>
  <c r="CN146"/>
  <c r="AV151"/>
  <c r="BS151"/>
  <c r="AZ151"/>
  <c r="BO151"/>
  <c r="AG127"/>
  <c r="Q127" s="1"/>
  <c r="AO127" s="1"/>
  <c r="AP127" s="1"/>
  <c r="BO127"/>
  <c r="AX127"/>
  <c r="BS127"/>
  <c r="H81" i="35"/>
  <c r="G4"/>
  <c r="G106" s="1"/>
  <c r="H48"/>
  <c r="H102"/>
  <c r="H14"/>
  <c r="H28"/>
  <c r="H30"/>
  <c r="CP27" i="43"/>
  <c r="BK71" i="24"/>
  <c r="H6" i="35"/>
  <c r="CP67" i="43"/>
  <c r="DT134"/>
  <c r="BV25"/>
  <c r="CC25" s="1"/>
  <c r="BV134"/>
  <c r="CC134" s="1"/>
  <c r="DT59"/>
  <c r="AJ134"/>
  <c r="I134" s="1"/>
  <c r="AJ12"/>
  <c r="I12" s="1"/>
  <c r="BV35"/>
  <c r="CC35" s="1"/>
  <c r="DT47"/>
  <c r="AJ25"/>
  <c r="CP25"/>
  <c r="Q67"/>
  <c r="AO67" s="1"/>
  <c r="AP67" s="1"/>
  <c r="FF59"/>
  <c r="GD10"/>
  <c r="Q47"/>
  <c r="AO47" s="1"/>
  <c r="AP47" s="1"/>
  <c r="BK134" i="24"/>
  <c r="CN135" i="43"/>
  <c r="BO135"/>
  <c r="AV135"/>
  <c r="Q92"/>
  <c r="AO92" s="1"/>
  <c r="AP92" s="1"/>
  <c r="BB12"/>
  <c r="BH12" s="1"/>
  <c r="AG11"/>
  <c r="Q11" s="1"/>
  <c r="AO11" s="1"/>
  <c r="AP11" s="1"/>
  <c r="BO11"/>
  <c r="H52" i="35"/>
  <c r="H47"/>
  <c r="H62"/>
  <c r="H95"/>
  <c r="H83"/>
  <c r="H21"/>
  <c r="H56"/>
  <c r="H75"/>
  <c r="H96"/>
  <c r="H37"/>
  <c r="H93"/>
  <c r="H38"/>
  <c r="H80"/>
  <c r="H13"/>
  <c r="H90"/>
  <c r="H106"/>
  <c r="H43"/>
  <c r="H98"/>
  <c r="H55"/>
  <c r="H50"/>
  <c r="H7"/>
  <c r="H19"/>
  <c r="H9"/>
  <c r="H12"/>
  <c r="H17"/>
  <c r="H3"/>
  <c r="H46"/>
  <c r="H84"/>
  <c r="H27"/>
  <c r="H42"/>
  <c r="H11"/>
  <c r="H54"/>
  <c r="H69"/>
  <c r="H31"/>
  <c r="H82"/>
  <c r="H74"/>
  <c r="H89"/>
  <c r="H65"/>
  <c r="H68"/>
  <c r="H45"/>
  <c r="H32"/>
  <c r="H85"/>
  <c r="H8"/>
  <c r="H23"/>
  <c r="H67"/>
  <c r="H44"/>
  <c r="H16"/>
  <c r="H15"/>
  <c r="H18"/>
  <c r="BB131" i="43"/>
  <c r="CP131"/>
  <c r="DT131"/>
  <c r="FF131"/>
  <c r="AJ131"/>
  <c r="I131" s="1"/>
  <c r="Q131"/>
  <c r="AO131" s="1"/>
  <c r="AP131" s="1"/>
  <c r="BK131" i="24"/>
  <c r="BV131" i="43"/>
  <c r="DT67"/>
  <c r="DT12"/>
  <c r="BS11"/>
  <c r="AG126"/>
  <c r="Q126" s="1"/>
  <c r="AO126" s="1"/>
  <c r="AP126" s="1"/>
  <c r="BQ126"/>
  <c r="BS126"/>
  <c r="CN126"/>
  <c r="AV126"/>
  <c r="CJ126"/>
  <c r="AZ126"/>
  <c r="AX126"/>
  <c r="CL126"/>
  <c r="BO126"/>
  <c r="AJ78"/>
  <c r="I78" s="1"/>
  <c r="BB78"/>
  <c r="BH78" s="1"/>
  <c r="DT14"/>
  <c r="BV14"/>
  <c r="BV78"/>
  <c r="CC78" s="1"/>
  <c r="CP44"/>
  <c r="BB44"/>
  <c r="CP78"/>
  <c r="DT78"/>
  <c r="GK9"/>
  <c r="GR9"/>
  <c r="GY9"/>
  <c r="GD9"/>
  <c r="BB119"/>
  <c r="Q119"/>
  <c r="AO119" s="1"/>
  <c r="AP119" s="1"/>
  <c r="FF119"/>
  <c r="AJ119"/>
  <c r="I119" s="1"/>
  <c r="DT119"/>
  <c r="CP119"/>
  <c r="BV119"/>
  <c r="CP118"/>
  <c r="DT118"/>
  <c r="BB118"/>
  <c r="AJ118"/>
  <c r="I118" s="1"/>
  <c r="Q118"/>
  <c r="AO118" s="1"/>
  <c r="AP118" s="1"/>
  <c r="FF118"/>
  <c r="BV118"/>
  <c r="BB116"/>
  <c r="BH116" s="1"/>
  <c r="BV116"/>
  <c r="CC116" s="1"/>
  <c r="AZ115"/>
  <c r="BO115"/>
  <c r="AV115"/>
  <c r="AX115"/>
  <c r="BQ115"/>
  <c r="CN115"/>
  <c r="CL115"/>
  <c r="CJ115"/>
  <c r="AG115"/>
  <c r="BK115" i="24" s="1"/>
  <c r="BS115" i="43"/>
  <c r="CP116"/>
  <c r="AJ116"/>
  <c r="I116" s="1"/>
  <c r="FF116"/>
  <c r="Q116"/>
  <c r="AO116" s="1"/>
  <c r="AP116" s="1"/>
  <c r="BK116" i="24"/>
  <c r="DT116" i="43"/>
  <c r="BB27"/>
  <c r="BH27" s="1"/>
  <c r="Q78"/>
  <c r="AO78" s="1"/>
  <c r="AP78" s="1"/>
  <c r="FF78"/>
  <c r="BK78" i="24"/>
  <c r="BQ130" i="43"/>
  <c r="CJ130"/>
  <c r="AV130"/>
  <c r="CN130"/>
  <c r="AX130"/>
  <c r="BS130"/>
  <c r="AZ130"/>
  <c r="BO130"/>
  <c r="CL130"/>
  <c r="AG130"/>
  <c r="DT27"/>
  <c r="AJ57"/>
  <c r="I57" s="1"/>
  <c r="BV9"/>
  <c r="BV67"/>
  <c r="CC67" s="1"/>
  <c r="DT9"/>
  <c r="CJ114"/>
  <c r="AZ114"/>
  <c r="AG114"/>
  <c r="FF114" s="1"/>
  <c r="BS114"/>
  <c r="BO114"/>
  <c r="AV114"/>
  <c r="CL114"/>
  <c r="CN114"/>
  <c r="BQ114"/>
  <c r="AX114"/>
  <c r="D15" i="30"/>
  <c r="D14"/>
  <c r="BV12" i="43"/>
  <c r="CC12" s="1"/>
  <c r="I40"/>
  <c r="BV109"/>
  <c r="CC109" s="1"/>
  <c r="FF109"/>
  <c r="Q109"/>
  <c r="AO109" s="1"/>
  <c r="AP109" s="1"/>
  <c r="BK109" i="24"/>
  <c r="AJ109" i="43"/>
  <c r="I109" s="1"/>
  <c r="CP109"/>
  <c r="DT109"/>
  <c r="BB109"/>
  <c r="BB108"/>
  <c r="BH108" s="1"/>
  <c r="BV108"/>
  <c r="CC108" s="1"/>
  <c r="DT108"/>
  <c r="CP108"/>
  <c r="FF108"/>
  <c r="Q108"/>
  <c r="AO108" s="1"/>
  <c r="AP108" s="1"/>
  <c r="BK108" i="24"/>
  <c r="AJ108" i="43"/>
  <c r="I108" s="1"/>
  <c r="I21"/>
  <c r="AX11"/>
  <c r="AZ11"/>
  <c r="CP59"/>
  <c r="AJ9"/>
  <c r="J9" s="1"/>
  <c r="BV27"/>
  <c r="CC27" s="1"/>
  <c r="AJ27"/>
  <c r="GA12"/>
  <c r="GY12" s="1"/>
  <c r="BV57"/>
  <c r="CC57" s="1"/>
  <c r="DT92"/>
  <c r="CP9"/>
  <c r="BB92"/>
  <c r="BH92" s="1"/>
  <c r="AJ67"/>
  <c r="BK59" i="24"/>
  <c r="AG135" i="43"/>
  <c r="Q135" s="1"/>
  <c r="AO135" s="1"/>
  <c r="AP135" s="1"/>
  <c r="BQ135"/>
  <c r="AZ135"/>
  <c r="AX135"/>
  <c r="BQ11"/>
  <c r="CL11"/>
  <c r="CP11" s="1"/>
  <c r="AV11"/>
  <c r="CN11"/>
  <c r="CP92"/>
  <c r="BV92"/>
  <c r="CC92" s="1"/>
  <c r="AJ92"/>
  <c r="I92" s="1"/>
  <c r="AV91"/>
  <c r="AG91"/>
  <c r="CJ91"/>
  <c r="BQ91"/>
  <c r="AZ91"/>
  <c r="BO91"/>
  <c r="BS91"/>
  <c r="AX91"/>
  <c r="CL91"/>
  <c r="CN91"/>
  <c r="BB139"/>
  <c r="BH139" s="1"/>
  <c r="DT57"/>
  <c r="CP139"/>
  <c r="CP87"/>
  <c r="K108" i="35"/>
  <c r="BV139" i="43"/>
  <c r="DT139"/>
  <c r="FF139"/>
  <c r="BK139" i="24"/>
  <c r="AJ139" i="43"/>
  <c r="I139" s="1"/>
  <c r="Q139"/>
  <c r="AO139" s="1"/>
  <c r="AP139" s="1"/>
  <c r="DT87"/>
  <c r="BB87"/>
  <c r="BH87" s="1"/>
  <c r="BV87"/>
  <c r="CC87" s="1"/>
  <c r="BB26"/>
  <c r="BH26" s="1"/>
  <c r="DE88"/>
  <c r="CN88" s="1"/>
  <c r="H107" i="35"/>
  <c r="AJ87" i="43"/>
  <c r="I87" s="1"/>
  <c r="FF87"/>
  <c r="BK87" i="24"/>
  <c r="Q87" i="43"/>
  <c r="AO87" s="1"/>
  <c r="AP87" s="1"/>
  <c r="CP57"/>
  <c r="BB62"/>
  <c r="BV62"/>
  <c r="CC62" s="1"/>
  <c r="Q62"/>
  <c r="AO62" s="1"/>
  <c r="AP62" s="1"/>
  <c r="AJ62"/>
  <c r="BK62" i="24"/>
  <c r="FF62" i="43"/>
  <c r="DT62"/>
  <c r="CP62"/>
  <c r="BS98"/>
  <c r="AG98"/>
  <c r="BQ98"/>
  <c r="CJ98"/>
  <c r="AX98"/>
  <c r="BO98"/>
  <c r="CL98"/>
  <c r="AV98"/>
  <c r="CN98"/>
  <c r="AZ98"/>
  <c r="BB57"/>
  <c r="BH57" s="1"/>
  <c r="BV26"/>
  <c r="CC26" s="1"/>
  <c r="DT26"/>
  <c r="CP26"/>
  <c r="FF26"/>
  <c r="AJ26"/>
  <c r="Q26"/>
  <c r="AO26" s="1"/>
  <c r="AP26" s="1"/>
  <c r="BK26" i="24"/>
  <c r="BV122" i="43"/>
  <c r="CC122" s="1"/>
  <c r="BB42"/>
  <c r="BH42" s="1"/>
  <c r="FF89"/>
  <c r="BK89" i="24"/>
  <c r="Q89" i="43"/>
  <c r="AO89" s="1"/>
  <c r="AP89" s="1"/>
  <c r="AJ89"/>
  <c r="I89" s="1"/>
  <c r="BV89"/>
  <c r="Q122"/>
  <c r="AO122" s="1"/>
  <c r="AP122" s="1"/>
  <c r="AJ122"/>
  <c r="I122" s="1"/>
  <c r="BK122" i="24"/>
  <c r="FF122" i="43"/>
  <c r="CP122"/>
  <c r="DT122"/>
  <c r="BB89"/>
  <c r="BB122"/>
  <c r="DT89"/>
  <c r="I28"/>
  <c r="CV28"/>
  <c r="BV42"/>
  <c r="CC42" s="1"/>
  <c r="BK57" i="24"/>
  <c r="Q57" i="43"/>
  <c r="AO57" s="1"/>
  <c r="AP57" s="1"/>
  <c r="FF57"/>
  <c r="AJ42"/>
  <c r="FF42"/>
  <c r="BK42" i="24"/>
  <c r="Q42" i="43"/>
  <c r="AO42" s="1"/>
  <c r="AP42" s="1"/>
  <c r="DT42"/>
  <c r="CP42"/>
  <c r="CL100"/>
  <c r="CN100"/>
  <c r="AG100"/>
  <c r="AX100"/>
  <c r="BQ100"/>
  <c r="BS100"/>
  <c r="BO100"/>
  <c r="AV100"/>
  <c r="CJ100"/>
  <c r="AZ100"/>
  <c r="CN107"/>
  <c r="CL107"/>
  <c r="AV107"/>
  <c r="AG107"/>
  <c r="BO107"/>
  <c r="BQ107"/>
  <c r="BS107"/>
  <c r="CJ107"/>
  <c r="AZ107"/>
  <c r="AX107"/>
  <c r="BV8"/>
  <c r="BY8" s="1"/>
  <c r="CA8" s="1"/>
  <c r="CP96"/>
  <c r="BV123"/>
  <c r="BB105"/>
  <c r="CP75"/>
  <c r="BB133"/>
  <c r="BK105" i="24"/>
  <c r="FF105" i="43"/>
  <c r="AJ105"/>
  <c r="I105" s="1"/>
  <c r="Q105"/>
  <c r="AO105" s="1"/>
  <c r="AP105" s="1"/>
  <c r="Q133"/>
  <c r="AO133" s="1"/>
  <c r="AP133" s="1"/>
  <c r="FF133"/>
  <c r="BK133" i="24"/>
  <c r="AJ133" i="43"/>
  <c r="I133" s="1"/>
  <c r="BV105"/>
  <c r="DT133"/>
  <c r="CP133"/>
  <c r="CP105"/>
  <c r="DT105"/>
  <c r="BV133"/>
  <c r="DT75"/>
  <c r="BV75"/>
  <c r="CC75" s="1"/>
  <c r="BD8"/>
  <c r="DR8"/>
  <c r="BB8"/>
  <c r="BK132" i="24"/>
  <c r="FF132" i="43"/>
  <c r="Q132"/>
  <c r="AO132" s="1"/>
  <c r="AP132" s="1"/>
  <c r="AJ132"/>
  <c r="I132" s="1"/>
  <c r="BK8" i="24"/>
  <c r="Q8" i="43"/>
  <c r="AJ8"/>
  <c r="J8" s="1"/>
  <c r="FF8"/>
  <c r="BV93"/>
  <c r="CC93" s="1"/>
  <c r="Q75"/>
  <c r="AO75" s="1"/>
  <c r="AP75" s="1"/>
  <c r="AJ75"/>
  <c r="I75" s="1"/>
  <c r="BK75" i="24"/>
  <c r="FF75" i="43"/>
  <c r="BB132"/>
  <c r="CP132"/>
  <c r="DT132"/>
  <c r="CR8"/>
  <c r="DT8"/>
  <c r="CP8"/>
  <c r="BV121"/>
  <c r="CC121" s="1"/>
  <c r="BV110"/>
  <c r="BB75"/>
  <c r="BV132"/>
  <c r="DT117"/>
  <c r="BV117"/>
  <c r="BB102"/>
  <c r="BV150"/>
  <c r="FF117"/>
  <c r="AJ117"/>
  <c r="I117" s="1"/>
  <c r="Q117"/>
  <c r="AO117" s="1"/>
  <c r="AP117" s="1"/>
  <c r="BK117" i="24"/>
  <c r="DT110" i="43"/>
  <c r="CP110"/>
  <c r="DT102"/>
  <c r="CP102"/>
  <c r="FF156"/>
  <c r="AJ156"/>
  <c r="I156" s="1"/>
  <c r="Q156"/>
  <c r="AO156" s="1"/>
  <c r="AP156" s="1"/>
  <c r="BK156" i="24"/>
  <c r="BV156" i="43"/>
  <c r="BK110" i="24"/>
  <c r="AJ110" i="43"/>
  <c r="I110" s="1"/>
  <c r="FF110"/>
  <c r="Q110"/>
  <c r="AO110" s="1"/>
  <c r="AP110" s="1"/>
  <c r="BK102" i="24"/>
  <c r="FF102" i="43"/>
  <c r="Q102"/>
  <c r="AO102" s="1"/>
  <c r="AP102" s="1"/>
  <c r="AJ102"/>
  <c r="I102" s="1"/>
  <c r="CP156"/>
  <c r="DT156"/>
  <c r="CP150"/>
  <c r="DT150"/>
  <c r="BB150"/>
  <c r="Q150"/>
  <c r="AO150" s="1"/>
  <c r="AP150" s="1"/>
  <c r="BK150" i="24"/>
  <c r="FF150" i="43"/>
  <c r="DE84"/>
  <c r="BO84" s="1"/>
  <c r="BB19"/>
  <c r="BV19"/>
  <c r="CC19" s="1"/>
  <c r="BV104"/>
  <c r="CC104" s="1"/>
  <c r="BB46"/>
  <c r="BH46" s="1"/>
  <c r="BB117"/>
  <c r="CP117"/>
  <c r="BB110"/>
  <c r="BB156"/>
  <c r="BV102"/>
  <c r="AJ150"/>
  <c r="I150" s="1"/>
  <c r="BK93" i="24"/>
  <c r="Q93" i="43"/>
  <c r="AO93" s="1"/>
  <c r="AP93" s="1"/>
  <c r="FF93"/>
  <c r="AJ93"/>
  <c r="I93" s="1"/>
  <c r="FF51"/>
  <c r="Q51"/>
  <c r="AO51" s="1"/>
  <c r="AP51" s="1"/>
  <c r="BK51" i="24"/>
  <c r="AJ51" i="43"/>
  <c r="CL90"/>
  <c r="BQ90"/>
  <c r="BO90"/>
  <c r="CN90"/>
  <c r="AG90"/>
  <c r="AV90"/>
  <c r="AX90"/>
  <c r="BS90"/>
  <c r="AZ90"/>
  <c r="CJ90"/>
  <c r="DT112"/>
  <c r="CP112"/>
  <c r="DT121"/>
  <c r="CP121"/>
  <c r="AZ147"/>
  <c r="AG147"/>
  <c r="CN147"/>
  <c r="BO147"/>
  <c r="BQ147"/>
  <c r="CJ147"/>
  <c r="CL147"/>
  <c r="BS147"/>
  <c r="AX147"/>
  <c r="AV147"/>
  <c r="CJ137"/>
  <c r="CL137"/>
  <c r="E16" i="30" s="1"/>
  <c r="BO137" i="43"/>
  <c r="AV137"/>
  <c r="AZ137"/>
  <c r="AX137"/>
  <c r="E14" i="30" s="1"/>
  <c r="BS137" i="43"/>
  <c r="AG137"/>
  <c r="E10" i="30" s="1"/>
  <c r="BQ137" i="43"/>
  <c r="E15" i="30" s="1"/>
  <c r="CN137" i="43"/>
  <c r="BB51"/>
  <c r="AJ128"/>
  <c r="I128" s="1"/>
  <c r="Q128"/>
  <c r="AO128" s="1"/>
  <c r="AP128" s="1"/>
  <c r="FF128"/>
  <c r="BK128" i="24"/>
  <c r="CP128" i="43"/>
  <c r="DT128"/>
  <c r="AZ129"/>
  <c r="AV129"/>
  <c r="BO129"/>
  <c r="AX129"/>
  <c r="CL129"/>
  <c r="AG129"/>
  <c r="BS129"/>
  <c r="CN129"/>
  <c r="BQ129"/>
  <c r="CJ129"/>
  <c r="BV106"/>
  <c r="BV18"/>
  <c r="CC18" s="1"/>
  <c r="AJ123"/>
  <c r="I123" s="1"/>
  <c r="BB93"/>
  <c r="DT51"/>
  <c r="CP51"/>
  <c r="BK121" i="24"/>
  <c r="Q121" i="43"/>
  <c r="AO121" s="1"/>
  <c r="AP121" s="1"/>
  <c r="FF121"/>
  <c r="AJ121"/>
  <c r="I121" s="1"/>
  <c r="CP123"/>
  <c r="DT123"/>
  <c r="BB30"/>
  <c r="BH30" s="1"/>
  <c r="AJ96"/>
  <c r="I96" s="1"/>
  <c r="BB33"/>
  <c r="BH33" s="1"/>
  <c r="BV51"/>
  <c r="CC51" s="1"/>
  <c r="BV112"/>
  <c r="BB112"/>
  <c r="BV128"/>
  <c r="CV95"/>
  <c r="CP93"/>
  <c r="DT93"/>
  <c r="Q112"/>
  <c r="AO112" s="1"/>
  <c r="AP112" s="1"/>
  <c r="FF112"/>
  <c r="AJ112"/>
  <c r="I112" s="1"/>
  <c r="BK112" i="24"/>
  <c r="BB123" i="43"/>
  <c r="CN52"/>
  <c r="CJ52"/>
  <c r="AX52"/>
  <c r="AZ52"/>
  <c r="BQ52"/>
  <c r="CL52"/>
  <c r="BO52"/>
  <c r="AG52"/>
  <c r="BS52"/>
  <c r="AV52"/>
  <c r="BB121"/>
  <c r="BB128"/>
  <c r="BH56"/>
  <c r="DE83"/>
  <c r="AJ18"/>
  <c r="Q18"/>
  <c r="AO18" s="1"/>
  <c r="AP18" s="1"/>
  <c r="BK18" i="24"/>
  <c r="FF18" i="43"/>
  <c r="DT18"/>
  <c r="CP18"/>
  <c r="AG153"/>
  <c r="AZ153"/>
  <c r="CL153"/>
  <c r="AX153"/>
  <c r="CN153"/>
  <c r="CJ153"/>
  <c r="BS153"/>
  <c r="BO153"/>
  <c r="AV153"/>
  <c r="BQ153"/>
  <c r="BB29"/>
  <c r="BH29" s="1"/>
  <c r="BV46"/>
  <c r="CC46" s="1"/>
  <c r="CP106"/>
  <c r="BB96"/>
  <c r="CP94"/>
  <c r="DT94"/>
  <c r="BB94"/>
  <c r="BV103"/>
  <c r="BV96"/>
  <c r="BB18"/>
  <c r="DT96"/>
  <c r="AG143"/>
  <c r="CL143"/>
  <c r="BS143"/>
  <c r="CJ143"/>
  <c r="AZ143"/>
  <c r="BO143"/>
  <c r="CN143"/>
  <c r="BQ143"/>
  <c r="AV143"/>
  <c r="AX143"/>
  <c r="I15"/>
  <c r="BB106"/>
  <c r="DT106"/>
  <c r="GC13"/>
  <c r="GQ13"/>
  <c r="GS13" s="1"/>
  <c r="GX13"/>
  <c r="GZ13" s="1"/>
  <c r="GJ13"/>
  <c r="GL13" s="1"/>
  <c r="BK13" s="1"/>
  <c r="BV33"/>
  <c r="CC33" s="1"/>
  <c r="BV94"/>
  <c r="FF33"/>
  <c r="BK33" i="24"/>
  <c r="Q33" i="43"/>
  <c r="AO33" s="1"/>
  <c r="AP33" s="1"/>
  <c r="AJ33"/>
  <c r="CP33"/>
  <c r="DT33"/>
  <c r="CZ15"/>
  <c r="AI15" i="24" s="1"/>
  <c r="BK119"/>
  <c r="FF94" i="43"/>
  <c r="BK94" i="24"/>
  <c r="Q94" i="43"/>
  <c r="AO94" s="1"/>
  <c r="AP94" s="1"/>
  <c r="AJ94"/>
  <c r="I94" s="1"/>
  <c r="FF106"/>
  <c r="Q106"/>
  <c r="AO106" s="1"/>
  <c r="AP106" s="1"/>
  <c r="BK106" i="24"/>
  <c r="AJ106" i="43"/>
  <c r="I106" s="1"/>
  <c r="CN13"/>
  <c r="BS13"/>
  <c r="AG13"/>
  <c r="CL13"/>
  <c r="AX13"/>
  <c r="AZ13"/>
  <c r="AV13"/>
  <c r="CJ13"/>
  <c r="BQ13"/>
  <c r="BO13"/>
  <c r="GB14"/>
  <c r="GP14"/>
  <c r="DT103"/>
  <c r="CP103"/>
  <c r="CV71"/>
  <c r="CW71" s="1"/>
  <c r="CP104"/>
  <c r="DT104"/>
  <c r="Q46"/>
  <c r="AO46" s="1"/>
  <c r="AP46" s="1"/>
  <c r="BK46" i="24"/>
  <c r="FF46" i="43"/>
  <c r="AJ46"/>
  <c r="BV48"/>
  <c r="CC48" s="1"/>
  <c r="BV30"/>
  <c r="CC30" s="1"/>
  <c r="CP29"/>
  <c r="DT29"/>
  <c r="BK48" i="24"/>
  <c r="Q48" i="43"/>
  <c r="AO48" s="1"/>
  <c r="AP48" s="1"/>
  <c r="AJ48"/>
  <c r="FF48"/>
  <c r="CP30"/>
  <c r="DT30"/>
  <c r="GI14"/>
  <c r="BE15"/>
  <c r="GG15"/>
  <c r="GF15" s="1"/>
  <c r="CS15"/>
  <c r="Z15"/>
  <c r="FS16"/>
  <c r="GU16" s="1"/>
  <c r="HB15"/>
  <c r="HA15" s="1"/>
  <c r="AD15"/>
  <c r="GT15"/>
  <c r="BZ15"/>
  <c r="GN15"/>
  <c r="GM15" s="1"/>
  <c r="CC31"/>
  <c r="AJ29"/>
  <c r="BB48"/>
  <c r="FF29"/>
  <c r="BK29" i="24"/>
  <c r="Q29" i="43"/>
  <c r="AO29" s="1"/>
  <c r="AP29" s="1"/>
  <c r="CP48"/>
  <c r="DT48"/>
  <c r="T10" i="45"/>
  <c r="GW14" i="43"/>
  <c r="BK103" i="24"/>
  <c r="Q103" i="43"/>
  <c r="AO103" s="1"/>
  <c r="AP103" s="1"/>
  <c r="AJ103"/>
  <c r="I103" s="1"/>
  <c r="FF103"/>
  <c r="AL15"/>
  <c r="CP19"/>
  <c r="DT19"/>
  <c r="BK104" i="24"/>
  <c r="Q104" i="43"/>
  <c r="AO104" s="1"/>
  <c r="AP104" s="1"/>
  <c r="AJ104"/>
  <c r="I104" s="1"/>
  <c r="FF104"/>
  <c r="BV29"/>
  <c r="FF30"/>
  <c r="BK30" i="24"/>
  <c r="AJ30" i="43"/>
  <c r="Q30"/>
  <c r="AO30" s="1"/>
  <c r="AP30" s="1"/>
  <c r="AE14"/>
  <c r="DO14"/>
  <c r="DP14" s="1"/>
  <c r="BB103"/>
  <c r="DD82"/>
  <c r="FF19"/>
  <c r="BK19" i="24"/>
  <c r="Q19" i="43"/>
  <c r="AO19" s="1"/>
  <c r="AP19" s="1"/>
  <c r="AJ19"/>
  <c r="CP46"/>
  <c r="DT46"/>
  <c r="BB104"/>
  <c r="AV43"/>
  <c r="CJ43"/>
  <c r="AG43"/>
  <c r="BO43"/>
  <c r="CL43"/>
  <c r="BS43"/>
  <c r="BQ43"/>
  <c r="CN43"/>
  <c r="AX43"/>
  <c r="AZ43"/>
  <c r="AG65"/>
  <c r="CN65"/>
  <c r="BS65"/>
  <c r="AZ65"/>
  <c r="AX65"/>
  <c r="BO65"/>
  <c r="CJ65"/>
  <c r="CL65"/>
  <c r="BQ65"/>
  <c r="AV65"/>
  <c r="W10" i="45"/>
  <c r="Y10" s="1"/>
  <c r="Z9"/>
  <c r="AA9"/>
  <c r="AB9" s="1"/>
  <c r="AT8"/>
  <c r="AT11" i="43"/>
  <c r="FF124"/>
  <c r="AJ124"/>
  <c r="I124" s="1"/>
  <c r="BK124" i="24"/>
  <c r="Q124" i="43"/>
  <c r="AO124" s="1"/>
  <c r="AP124" s="1"/>
  <c r="BO23"/>
  <c r="BS23"/>
  <c r="AX23"/>
  <c r="CN23"/>
  <c r="AG23"/>
  <c r="BQ23"/>
  <c r="CL23"/>
  <c r="AZ23"/>
  <c r="CJ23"/>
  <c r="AV23"/>
  <c r="CN34"/>
  <c r="AX34"/>
  <c r="CL34"/>
  <c r="BS34"/>
  <c r="BO34"/>
  <c r="AZ34"/>
  <c r="AG34"/>
  <c r="BQ34"/>
  <c r="CJ34"/>
  <c r="AV34"/>
  <c r="AZ60"/>
  <c r="BS60"/>
  <c r="CJ60"/>
  <c r="BO60"/>
  <c r="AX60"/>
  <c r="CN60"/>
  <c r="BQ60"/>
  <c r="AG60"/>
  <c r="AV60"/>
  <c r="CL60"/>
  <c r="AV74"/>
  <c r="CJ74"/>
  <c r="BO74"/>
  <c r="CL74"/>
  <c r="C16" i="30" s="1"/>
  <c r="CN74" i="43"/>
  <c r="AG74"/>
  <c r="C10" i="30" s="1"/>
  <c r="AZ74" i="43"/>
  <c r="BQ74"/>
  <c r="AX74"/>
  <c r="C14" i="30" s="1"/>
  <c r="BS74" i="43"/>
  <c r="CN149"/>
  <c r="BS149"/>
  <c r="CJ149"/>
  <c r="AX149"/>
  <c r="AG149"/>
  <c r="AZ149"/>
  <c r="BO149"/>
  <c r="CL149"/>
  <c r="BQ149"/>
  <c r="AV149"/>
  <c r="AV24"/>
  <c r="BS24"/>
  <c r="AZ24"/>
  <c r="AG24"/>
  <c r="AX24"/>
  <c r="CJ24"/>
  <c r="CN24"/>
  <c r="BO24"/>
  <c r="CL24"/>
  <c r="BQ24"/>
  <c r="BV124"/>
  <c r="DT55"/>
  <c r="CP55"/>
  <c r="BH99"/>
  <c r="DD85"/>
  <c r="J108" i="35" s="1"/>
  <c r="J107"/>
  <c r="CV99" i="43"/>
  <c r="CW99" s="1"/>
  <c r="BB124"/>
  <c r="BB55"/>
  <c r="CJ86"/>
  <c r="AG86"/>
  <c r="AZ86"/>
  <c r="AX86"/>
  <c r="AV86"/>
  <c r="CN86"/>
  <c r="BQ86"/>
  <c r="BS86"/>
  <c r="CL86"/>
  <c r="BO86"/>
  <c r="AT12"/>
  <c r="AT9" i="45"/>
  <c r="CP124" i="43"/>
  <c r="DT124"/>
  <c r="BK55" i="24"/>
  <c r="FF55" i="43"/>
  <c r="Q55"/>
  <c r="AO55" s="1"/>
  <c r="AP55" s="1"/>
  <c r="AJ55"/>
  <c r="BV55"/>
  <c r="CV76"/>
  <c r="CW76" s="1"/>
  <c r="CC36"/>
  <c r="BH58"/>
  <c r="CZ36"/>
  <c r="AI36" i="24" s="1"/>
  <c r="CV36" i="43"/>
  <c r="CV101"/>
  <c r="CC101"/>
  <c r="CC58"/>
  <c r="CZ76"/>
  <c r="AI76" i="24" s="1"/>
  <c r="BH101" i="43"/>
  <c r="CZ64" l="1"/>
  <c r="AI64" i="24" s="1"/>
  <c r="CT274" i="43"/>
  <c r="CA312"/>
  <c r="AQ355"/>
  <c r="CT283"/>
  <c r="AQ49"/>
  <c r="AQ58"/>
  <c r="CZ312"/>
  <c r="AI312" i="24" s="1"/>
  <c r="V327" i="45"/>
  <c r="BH309" i="43"/>
  <c r="V289" i="45"/>
  <c r="AQ61" i="43"/>
  <c r="AQ36"/>
  <c r="V317" i="45"/>
  <c r="CZ99" i="43"/>
  <c r="AI99" i="24" s="1"/>
  <c r="CZ279" i="43"/>
  <c r="AI279" i="24" s="1"/>
  <c r="AQ330" i="43"/>
  <c r="V110" i="45"/>
  <c r="CZ274" i="43"/>
  <c r="AI274" i="24" s="1"/>
  <c r="CZ314" i="43"/>
  <c r="AI314" i="24" s="1"/>
  <c r="CZ301" i="43"/>
  <c r="AI301" i="24" s="1"/>
  <c r="CZ28" i="43"/>
  <c r="AI28" i="24" s="1"/>
  <c r="CZ45" i="43"/>
  <c r="AI45" i="24" s="1"/>
  <c r="BY314" i="43"/>
  <c r="CA314" s="1"/>
  <c r="CC292"/>
  <c r="BY272"/>
  <c r="CA272" s="1"/>
  <c r="BF290"/>
  <c r="CC320"/>
  <c r="CZ272"/>
  <c r="AI272" i="24" s="1"/>
  <c r="BV154" i="43"/>
  <c r="CC154" s="1"/>
  <c r="AQ10"/>
  <c r="V61" i="45"/>
  <c r="AQ285" i="43"/>
  <c r="V28" i="45"/>
  <c r="CZ101" i="43"/>
  <c r="AI101" i="24" s="1"/>
  <c r="CV48" i="43"/>
  <c r="CW48" s="1"/>
  <c r="CV75"/>
  <c r="CW75" s="1"/>
  <c r="CV106"/>
  <c r="CW106" s="1"/>
  <c r="CV87"/>
  <c r="CW87" s="1"/>
  <c r="CV92"/>
  <c r="CW92" s="1"/>
  <c r="CV9"/>
  <c r="CW9" s="1"/>
  <c r="CV25"/>
  <c r="CW25" s="1"/>
  <c r="CV47"/>
  <c r="CW47" s="1"/>
  <c r="CV120"/>
  <c r="CW120" s="1"/>
  <c r="CV66"/>
  <c r="CW66" s="1"/>
  <c r="CV41"/>
  <c r="CW41" s="1"/>
  <c r="CV188"/>
  <c r="CW188" s="1"/>
  <c r="CV152"/>
  <c r="CW152" s="1"/>
  <c r="CV234"/>
  <c r="CW234" s="1"/>
  <c r="CV155"/>
  <c r="CW155" s="1"/>
  <c r="CV31"/>
  <c r="CW31" s="1"/>
  <c r="CV213"/>
  <c r="CW213" s="1"/>
  <c r="CT303"/>
  <c r="CV70"/>
  <c r="CW70" s="1"/>
  <c r="CV228"/>
  <c r="CW228" s="1"/>
  <c r="CT262"/>
  <c r="CW262"/>
  <c r="CT272"/>
  <c r="CW272"/>
  <c r="CW36"/>
  <c r="CW28"/>
  <c r="CW288"/>
  <c r="CW276"/>
  <c r="CW283"/>
  <c r="CV11"/>
  <c r="CW11" s="1"/>
  <c r="CV59"/>
  <c r="CW59" s="1"/>
  <c r="CV108"/>
  <c r="CW108" s="1"/>
  <c r="CV44"/>
  <c r="CW44" s="1"/>
  <c r="CV299"/>
  <c r="CW299" s="1"/>
  <c r="CT318"/>
  <c r="CV242"/>
  <c r="CW242" s="1"/>
  <c r="CV38"/>
  <c r="CW38" s="1"/>
  <c r="CT290"/>
  <c r="CV79"/>
  <c r="CW79" s="1"/>
  <c r="CV68"/>
  <c r="CW68" s="1"/>
  <c r="CT266"/>
  <c r="CV89"/>
  <c r="CW89" s="1"/>
  <c r="CW264"/>
  <c r="CW274"/>
  <c r="CW95"/>
  <c r="CW111"/>
  <c r="CV29"/>
  <c r="CW29" s="1"/>
  <c r="CV62"/>
  <c r="CW62" s="1"/>
  <c r="CV57"/>
  <c r="CW57" s="1"/>
  <c r="CV134"/>
  <c r="CW134" s="1"/>
  <c r="CV144"/>
  <c r="CW144" s="1"/>
  <c r="CV14"/>
  <c r="CW14" s="1"/>
  <c r="CV141"/>
  <c r="CW141" s="1"/>
  <c r="CV35"/>
  <c r="CW35" s="1"/>
  <c r="CV37"/>
  <c r="CW37" s="1"/>
  <c r="CV40"/>
  <c r="CW40" s="1"/>
  <c r="CV63"/>
  <c r="CW63" s="1"/>
  <c r="CV277"/>
  <c r="CW277" s="1"/>
  <c r="CV16"/>
  <c r="CW16" s="1"/>
  <c r="CV77"/>
  <c r="CW77" s="1"/>
  <c r="CV215"/>
  <c r="CW215" s="1"/>
  <c r="CV225"/>
  <c r="CW225" s="1"/>
  <c r="CZ309"/>
  <c r="AI309" i="24" s="1"/>
  <c r="CV292" i="43"/>
  <c r="CW292" s="1"/>
  <c r="CV301"/>
  <c r="CW301" s="1"/>
  <c r="CZ58"/>
  <c r="AI58" i="24" s="1"/>
  <c r="CW312" i="43"/>
  <c r="CV33"/>
  <c r="CW33" s="1"/>
  <c r="CV51"/>
  <c r="CW51" s="1"/>
  <c r="CV30"/>
  <c r="CW30" s="1"/>
  <c r="CV18"/>
  <c r="CW18" s="1"/>
  <c r="CU110"/>
  <c r="CV96"/>
  <c r="CW96" s="1"/>
  <c r="CV139"/>
  <c r="CW139" s="1"/>
  <c r="CV27"/>
  <c r="CW27" s="1"/>
  <c r="CT285"/>
  <c r="CV240"/>
  <c r="CW240" s="1"/>
  <c r="CV81"/>
  <c r="CW81" s="1"/>
  <c r="CV39"/>
  <c r="CW39" s="1"/>
  <c r="CV53"/>
  <c r="CW53" s="1"/>
  <c r="CV192"/>
  <c r="CW192" s="1"/>
  <c r="CV12"/>
  <c r="CW12" s="1"/>
  <c r="CV313"/>
  <c r="CW313" s="1"/>
  <c r="CV80"/>
  <c r="CW80" s="1"/>
  <c r="CV72"/>
  <c r="CW72" s="1"/>
  <c r="CV56"/>
  <c r="CW56" s="1"/>
  <c r="CV69"/>
  <c r="CW69" s="1"/>
  <c r="CW221"/>
  <c r="CW232"/>
  <c r="CW322"/>
  <c r="CW101"/>
  <c r="BH262"/>
  <c r="CZ264"/>
  <c r="AI264" i="24" s="1"/>
  <c r="CV58" i="43"/>
  <c r="CW58" s="1"/>
  <c r="CZ111"/>
  <c r="AI111" i="24" s="1"/>
  <c r="CZ10" i="43"/>
  <c r="AI10" i="24" s="1"/>
  <c r="AQ309" i="43"/>
  <c r="CT301"/>
  <c r="CT292"/>
  <c r="DX292" s="1"/>
  <c r="CC283"/>
  <c r="AQ301"/>
  <c r="I10"/>
  <c r="K10" s="1"/>
  <c r="DR10" s="1"/>
  <c r="CC285"/>
  <c r="BY276"/>
  <c r="CA276" s="1"/>
  <c r="CZ355"/>
  <c r="AI355" i="24" s="1"/>
  <c r="CZ313" i="43"/>
  <c r="AI313" i="24" s="1"/>
  <c r="CZ56" i="43"/>
  <c r="AI56" i="24" s="1"/>
  <c r="CZ21" i="43"/>
  <c r="AI21" i="24" s="1"/>
  <c r="CZ20" i="43"/>
  <c r="AI20" i="24" s="1"/>
  <c r="CZ218" i="43"/>
  <c r="AI218" i="24" s="1"/>
  <c r="CT277" i="43"/>
  <c r="BY303"/>
  <c r="CA303" s="1"/>
  <c r="GA8"/>
  <c r="GK8" s="1"/>
  <c r="CZ232"/>
  <c r="AI232" i="24" s="1"/>
  <c r="CZ221" i="43"/>
  <c r="AI221" i="24" s="1"/>
  <c r="CZ292" i="43"/>
  <c r="AI292" i="24" s="1"/>
  <c r="AQ228" i="43"/>
  <c r="BB145"/>
  <c r="BH145" s="1"/>
  <c r="BF272"/>
  <c r="CZ338"/>
  <c r="AI338" i="24" s="1"/>
  <c r="CZ22" i="43"/>
  <c r="AI22" i="24" s="1"/>
  <c r="CZ73" i="43"/>
  <c r="AI73" i="24" s="1"/>
  <c r="CZ68" i="43"/>
  <c r="AI68" i="24" s="1"/>
  <c r="CV309" i="43"/>
  <c r="CW309" s="1"/>
  <c r="BH299"/>
  <c r="BH292"/>
  <c r="G11" i="30" s="1"/>
  <c r="CZ276" i="43"/>
  <c r="AI276" i="24" s="1"/>
  <c r="CA313" i="43"/>
  <c r="CZ283"/>
  <c r="AI283" i="24" s="1"/>
  <c r="AQ225" i="43"/>
  <c r="G12" i="22"/>
  <c r="N12"/>
  <c r="O12" s="1"/>
  <c r="P13"/>
  <c r="L13"/>
  <c r="M13"/>
  <c r="A14"/>
  <c r="B13"/>
  <c r="S13"/>
  <c r="D13"/>
  <c r="E13"/>
  <c r="T13"/>
  <c r="K13"/>
  <c r="C13"/>
  <c r="H13"/>
  <c r="I13"/>
  <c r="H21" i="30"/>
  <c r="H9"/>
  <c r="I7"/>
  <c r="H27"/>
  <c r="H23"/>
  <c r="H19"/>
  <c r="H26"/>
  <c r="H28"/>
  <c r="H20"/>
  <c r="H17"/>
  <c r="H6"/>
  <c r="H22"/>
  <c r="CC328" i="43"/>
  <c r="O34" i="44" a="1"/>
  <c r="O34" s="1"/>
  <c r="N34" s="1"/>
  <c r="N13"/>
  <c r="O10"/>
  <c r="O9"/>
  <c r="K22"/>
  <c r="K24" s="1"/>
  <c r="V42" i="45"/>
  <c r="AQ213" i="43"/>
  <c r="AQ236"/>
  <c r="V22" i="44"/>
  <c r="V24" s="1"/>
  <c r="O33" a="1"/>
  <c r="O33" s="1"/>
  <c r="N33" s="1"/>
  <c r="O19"/>
  <c r="O20"/>
  <c r="N19"/>
  <c r="O16"/>
  <c r="N16"/>
  <c r="O12"/>
  <c r="O13"/>
  <c r="O11"/>
  <c r="N9"/>
  <c r="N10"/>
  <c r="O15"/>
  <c r="N14"/>
  <c r="O18"/>
  <c r="J16" i="43"/>
  <c r="CZ17"/>
  <c r="AI17" i="24" s="1"/>
  <c r="N20" i="44"/>
  <c r="N15"/>
  <c r="N17"/>
  <c r="O14"/>
  <c r="N18"/>
  <c r="N12"/>
  <c r="N11"/>
  <c r="O17"/>
  <c r="V94" i="45"/>
  <c r="AQ234" i="43"/>
  <c r="FF154"/>
  <c r="V18" i="45"/>
  <c r="AQ328" i="43"/>
  <c r="CZ225"/>
  <c r="AI225" i="24" s="1"/>
  <c r="CZ97" i="43"/>
  <c r="AI97" i="24" s="1"/>
  <c r="CZ213" i="43"/>
  <c r="AI213" i="24" s="1"/>
  <c r="CV318" i="43"/>
  <c r="CW318" s="1"/>
  <c r="CT264"/>
  <c r="DX264" s="1"/>
  <c r="CZ266"/>
  <c r="AI266" i="24" s="1"/>
  <c r="CV266" i="43"/>
  <c r="CW266" s="1"/>
  <c r="CV290"/>
  <c r="CW290" s="1"/>
  <c r="BH330"/>
  <c r="CZ328"/>
  <c r="AI328" i="24" s="1"/>
  <c r="CC355" i="43"/>
  <c r="Q154"/>
  <c r="AO154" s="1"/>
  <c r="AP154" s="1"/>
  <c r="V151" i="45" s="1"/>
  <c r="AQ232" i="43"/>
  <c r="AQ242"/>
  <c r="AQ240"/>
  <c r="V218" i="45"/>
  <c r="BY266" i="43"/>
  <c r="CA266" s="1"/>
  <c r="DX266" s="1"/>
  <c r="BV155"/>
  <c r="CC155" s="1"/>
  <c r="CZ186"/>
  <c r="AI186" i="24" s="1"/>
  <c r="I16" i="43"/>
  <c r="CV285"/>
  <c r="CW285" s="1"/>
  <c r="CP154"/>
  <c r="BV81"/>
  <c r="CC81" s="1"/>
  <c r="BB138"/>
  <c r="CZ228"/>
  <c r="AI228" i="24" s="1"/>
  <c r="CZ16" i="43"/>
  <c r="AI16" i="24" s="1"/>
  <c r="CZ330" i="43"/>
  <c r="AI330" i="24" s="1"/>
  <c r="CZ262" i="43"/>
  <c r="AI262" i="24" s="1"/>
  <c r="CZ49" i="43"/>
  <c r="AI49" i="24" s="1"/>
  <c r="CZ95" i="43"/>
  <c r="AI95" i="24" s="1"/>
  <c r="CZ79" i="43"/>
  <c r="AI79" i="24" s="1"/>
  <c r="CC262" i="43"/>
  <c r="AQ40"/>
  <c r="CZ77"/>
  <c r="AI77" i="24" s="1"/>
  <c r="FF138" i="43"/>
  <c r="BV145"/>
  <c r="CC145" s="1"/>
  <c r="CZ290"/>
  <c r="AI290" i="24" s="1"/>
  <c r="DT138" i="43"/>
  <c r="BB81"/>
  <c r="BH81" s="1"/>
  <c r="GD8"/>
  <c r="DT145"/>
  <c r="CZ80"/>
  <c r="AI80" i="24" s="1"/>
  <c r="FF155" i="43"/>
  <c r="BV138"/>
  <c r="CC138" s="1"/>
  <c r="F12" i="30" s="1"/>
  <c r="BB125" i="43"/>
  <c r="BH125" s="1"/>
  <c r="CP145"/>
  <c r="CV303"/>
  <c r="CW303" s="1"/>
  <c r="CZ70"/>
  <c r="AI70" i="24" s="1"/>
  <c r="BB148" i="43"/>
  <c r="BH148" s="1"/>
  <c r="BV148"/>
  <c r="CC148" s="1"/>
  <c r="BF318"/>
  <c r="AF10" i="24"/>
  <c r="AD22"/>
  <c r="AA19"/>
  <c r="AD45"/>
  <c r="AD21"/>
  <c r="AE161"/>
  <c r="BV136" i="43"/>
  <c r="CC136" s="1"/>
  <c r="V53" i="45"/>
  <c r="V67"/>
  <c r="V212"/>
  <c r="V274"/>
  <c r="DT148" i="43"/>
  <c r="V215" i="45"/>
  <c r="BB154" i="43"/>
  <c r="BH154" s="1"/>
  <c r="AJ154"/>
  <c r="I154" s="1"/>
  <c r="AJ81"/>
  <c r="I81" s="1"/>
  <c r="AJ145"/>
  <c r="I145" s="1"/>
  <c r="DT154"/>
  <c r="CZ40"/>
  <c r="AI40" i="24" s="1"/>
  <c r="CZ113" i="43"/>
  <c r="AI113" i="24" s="1"/>
  <c r="DT155" i="43"/>
  <c r="BY290"/>
  <c r="CA290" s="1"/>
  <c r="DX290" s="1"/>
  <c r="BY299"/>
  <c r="CA299" s="1"/>
  <c r="BF303"/>
  <c r="DX303" s="1"/>
  <c r="BB120"/>
  <c r="BH120" s="1"/>
  <c r="CZ32"/>
  <c r="AI32" i="24" s="1"/>
  <c r="CZ54" i="43"/>
  <c r="AI54" i="24" s="1"/>
  <c r="CC290" i="43"/>
  <c r="CZ303"/>
  <c r="AI303" i="24" s="1"/>
  <c r="CZ31" i="43"/>
  <c r="AI31" i="24" s="1"/>
  <c r="BB136" i="43"/>
  <c r="BH136" s="1"/>
  <c r="GK12"/>
  <c r="V185" i="45"/>
  <c r="AQ145" i="43"/>
  <c r="CP50"/>
  <c r="DT50"/>
  <c r="BK50" i="24"/>
  <c r="AJ50" i="43"/>
  <c r="I50" s="1"/>
  <c r="FF50"/>
  <c r="Q50"/>
  <c r="AO50" s="1"/>
  <c r="AP50" s="1"/>
  <c r="BB50"/>
  <c r="BV50"/>
  <c r="CC50" s="1"/>
  <c r="AQ53"/>
  <c r="G70" i="34"/>
  <c r="CZ236" i="43"/>
  <c r="AI236" i="24" s="1"/>
  <c r="DT81" i="43"/>
  <c r="BB155"/>
  <c r="BH155" s="1"/>
  <c r="CZ69"/>
  <c r="AI69" i="24" s="1"/>
  <c r="BK155"/>
  <c r="CC242" i="43"/>
  <c r="BH236"/>
  <c r="CZ215"/>
  <c r="AI215" i="24" s="1"/>
  <c r="AD337"/>
  <c r="CZ192" i="43"/>
  <c r="AI192" i="24" s="1"/>
  <c r="FF145" i="43"/>
  <c r="BK145" i="24"/>
  <c r="BV125" i="43"/>
  <c r="CC125" s="1"/>
  <c r="AF337" i="24"/>
  <c r="AE337"/>
  <c r="CP148" i="43"/>
  <c r="AJ155"/>
  <c r="I155" s="1"/>
  <c r="CA318"/>
  <c r="CZ318"/>
  <c r="AI318" i="24" s="1"/>
  <c r="DX268" i="43"/>
  <c r="X382"/>
  <c r="Y382" s="1"/>
  <c r="AA336" i="24"/>
  <c r="AJ148" i="43"/>
  <c r="I148" s="1"/>
  <c r="CZ41"/>
  <c r="AI41" i="24" s="1"/>
  <c r="CP136" i="43"/>
  <c r="FF148"/>
  <c r="BK148" i="24"/>
  <c r="Q148" i="43"/>
  <c r="AO148" s="1"/>
  <c r="AP148" s="1"/>
  <c r="FF81"/>
  <c r="BK81" i="24"/>
  <c r="Q81" i="43"/>
  <c r="AO81" s="1"/>
  <c r="AP81" s="1"/>
  <c r="G69" i="34"/>
  <c r="CP127" i="43"/>
  <c r="CZ188"/>
  <c r="AI188" i="24" s="1"/>
  <c r="CZ72" i="43"/>
  <c r="AI72" i="24" s="1"/>
  <c r="BK138"/>
  <c r="CZ299" i="43"/>
  <c r="AI299" i="24" s="1"/>
  <c r="CC188" i="43"/>
  <c r="CZ38"/>
  <c r="AI38" i="24" s="1"/>
  <c r="CZ37" i="43"/>
  <c r="AI37" i="24" s="1"/>
  <c r="CZ61" i="43"/>
  <c r="AI61" i="24" s="1"/>
  <c r="CZ39" i="43"/>
  <c r="AI39" i="24" s="1"/>
  <c r="Q138" i="43"/>
  <c r="AO138" s="1"/>
  <c r="AP138" s="1"/>
  <c r="V135" i="45" s="1"/>
  <c r="V27"/>
  <c r="AQ30" i="43"/>
  <c r="AQ150"/>
  <c r="V147" i="45"/>
  <c r="AQ156" i="43"/>
  <c r="V153" i="45"/>
  <c r="AQ55" i="43"/>
  <c r="V52" i="45"/>
  <c r="AQ106" i="43"/>
  <c r="V103" i="45"/>
  <c r="AQ18" i="43"/>
  <c r="V15" i="45"/>
  <c r="AQ121" i="43"/>
  <c r="V118" i="45"/>
  <c r="AQ102" i="43"/>
  <c r="V99" i="45"/>
  <c r="V54"/>
  <c r="AQ57" i="43"/>
  <c r="V106" i="45"/>
  <c r="AQ109" i="43"/>
  <c r="V115" i="45"/>
  <c r="AQ118" i="43"/>
  <c r="AQ126"/>
  <c r="V123" i="45"/>
  <c r="V128"/>
  <c r="AQ131" i="43"/>
  <c r="AQ44"/>
  <c r="V41" i="45"/>
  <c r="V152"/>
  <c r="AQ155" i="43"/>
  <c r="AQ336"/>
  <c r="V333" i="45"/>
  <c r="AQ357" i="43"/>
  <c r="V354" i="45"/>
  <c r="AQ35" i="43"/>
  <c r="V32" i="45"/>
  <c r="V38"/>
  <c r="AQ41" i="43"/>
  <c r="V11" i="45"/>
  <c r="AQ14" i="43"/>
  <c r="AQ299"/>
  <c r="V296" i="45"/>
  <c r="AQ117" i="43"/>
  <c r="V114" i="45"/>
  <c r="AQ133" i="43"/>
  <c r="V130" i="45"/>
  <c r="V86"/>
  <c r="AQ89" i="43"/>
  <c r="AQ62"/>
  <c r="V59" i="45"/>
  <c r="AQ87" i="43"/>
  <c r="V84" i="45"/>
  <c r="AQ104" i="43"/>
  <c r="V101" i="45"/>
  <c r="AQ103" i="43"/>
  <c r="V100" i="45"/>
  <c r="V43"/>
  <c r="AQ46" i="43"/>
  <c r="AQ94"/>
  <c r="V91" i="45"/>
  <c r="V30"/>
  <c r="AQ33" i="43"/>
  <c r="AQ110"/>
  <c r="V107" i="45"/>
  <c r="V129"/>
  <c r="AQ132" i="43"/>
  <c r="V39" i="45"/>
  <c r="AQ42" i="43"/>
  <c r="V23" i="45"/>
  <c r="AQ26" i="43"/>
  <c r="AQ139"/>
  <c r="V136" i="45"/>
  <c r="V148"/>
  <c r="AQ151" i="43"/>
  <c r="V131" i="45"/>
  <c r="AQ134" i="43"/>
  <c r="AQ77"/>
  <c r="V74" i="45"/>
  <c r="AQ152" i="43"/>
  <c r="V149" i="45"/>
  <c r="AQ124" i="43"/>
  <c r="V121" i="45"/>
  <c r="AQ29" i="43"/>
  <c r="V26" i="45"/>
  <c r="V109"/>
  <c r="AQ112" i="43"/>
  <c r="AQ19"/>
  <c r="V16" i="45"/>
  <c r="AQ48" i="43"/>
  <c r="V45" i="45"/>
  <c r="AQ128" i="43"/>
  <c r="V125" i="45"/>
  <c r="AQ51" i="43"/>
  <c r="V48" i="45"/>
  <c r="V90"/>
  <c r="AQ93" i="43"/>
  <c r="AQ75"/>
  <c r="V72" i="45"/>
  <c r="V102"/>
  <c r="AQ105" i="43"/>
  <c r="AQ122"/>
  <c r="V119" i="45"/>
  <c r="V132"/>
  <c r="AQ135" i="43"/>
  <c r="AQ108"/>
  <c r="V105" i="45"/>
  <c r="AQ119" i="43"/>
  <c r="V116" i="45"/>
  <c r="V8"/>
  <c r="AQ11" i="43"/>
  <c r="V64" i="45"/>
  <c r="AQ67" i="43"/>
  <c r="AQ127"/>
  <c r="V124" i="45"/>
  <c r="V36"/>
  <c r="AQ39" i="43"/>
  <c r="AQ37"/>
  <c r="V34" i="45"/>
  <c r="V60"/>
  <c r="AQ63" i="43"/>
  <c r="AQ303"/>
  <c r="V300" i="45"/>
  <c r="V70"/>
  <c r="AQ73" i="43"/>
  <c r="AQ78"/>
  <c r="V75" i="45"/>
  <c r="AQ116" i="43"/>
  <c r="V113" i="45"/>
  <c r="AQ92" i="43"/>
  <c r="V89" i="45"/>
  <c r="AQ47" i="43"/>
  <c r="V44" i="45"/>
  <c r="V143"/>
  <c r="AQ146" i="43"/>
  <c r="AQ318"/>
  <c r="V315" i="45"/>
  <c r="AJ138" i="43"/>
  <c r="I138" s="1"/>
  <c r="AJ136"/>
  <c r="I136" s="1"/>
  <c r="CC41"/>
  <c r="CT299"/>
  <c r="CZ277"/>
  <c r="AI277" i="24" s="1"/>
  <c r="CZ240" i="43"/>
  <c r="AI240" i="24" s="1"/>
  <c r="AF161"/>
  <c r="CZ63" i="43"/>
  <c r="AI63" i="24" s="1"/>
  <c r="G72" i="34"/>
  <c r="G33"/>
  <c r="G51"/>
  <c r="G24"/>
  <c r="CZ285" i="43"/>
  <c r="AI285" i="24" s="1"/>
  <c r="G16" i="34"/>
  <c r="G66"/>
  <c r="G32"/>
  <c r="G12"/>
  <c r="CP138" i="43"/>
  <c r="F16" i="30"/>
  <c r="CZ53" i="43"/>
  <c r="AI53" i="24" s="1"/>
  <c r="BK136"/>
  <c r="Q136" i="43"/>
  <c r="AO136" s="1"/>
  <c r="AP136" s="1"/>
  <c r="AA160" i="24"/>
  <c r="AD161"/>
  <c r="EV14" i="43"/>
  <c r="EU15"/>
  <c r="G10" i="34"/>
  <c r="G49"/>
  <c r="G29"/>
  <c r="G65"/>
  <c r="AJ125" i="43"/>
  <c r="I125" s="1"/>
  <c r="BV141"/>
  <c r="CC141" s="1"/>
  <c r="DT141"/>
  <c r="I15" i="30"/>
  <c r="CZ66" i="43"/>
  <c r="AI66" i="24" s="1"/>
  <c r="BF285" i="43"/>
  <c r="DX285" s="1"/>
  <c r="DX314"/>
  <c r="BH234"/>
  <c r="G61" i="34"/>
  <c r="G71"/>
  <c r="G42"/>
  <c r="G6"/>
  <c r="G40"/>
  <c r="G26"/>
  <c r="G23"/>
  <c r="G28"/>
  <c r="G48"/>
  <c r="G38"/>
  <c r="G36"/>
  <c r="G17"/>
  <c r="G52"/>
  <c r="G43"/>
  <c r="G60"/>
  <c r="G18"/>
  <c r="G73"/>
  <c r="G27"/>
  <c r="G57"/>
  <c r="G9"/>
  <c r="G35"/>
  <c r="G25"/>
  <c r="F7"/>
  <c r="F34" s="1"/>
  <c r="G68"/>
  <c r="G13"/>
  <c r="G53"/>
  <c r="G46"/>
  <c r="G14"/>
  <c r="G34"/>
  <c r="G30"/>
  <c r="G15"/>
  <c r="G44"/>
  <c r="G11"/>
  <c r="G54"/>
  <c r="G31"/>
  <c r="G58"/>
  <c r="G41"/>
  <c r="G45"/>
  <c r="G63"/>
  <c r="G19"/>
  <c r="G64"/>
  <c r="G56"/>
  <c r="G37"/>
  <c r="BB141" i="43"/>
  <c r="BH141" s="1"/>
  <c r="CP125"/>
  <c r="DX277"/>
  <c r="BV120"/>
  <c r="CC120" s="1"/>
  <c r="AJ146"/>
  <c r="I146" s="1"/>
  <c r="H10" i="30"/>
  <c r="Q140" i="43"/>
  <c r="AO140" s="1"/>
  <c r="AP140" s="1"/>
  <c r="DT120"/>
  <c r="CZ242"/>
  <c r="AI242" i="24" s="1"/>
  <c r="AJ141" i="43"/>
  <c r="I141" s="1"/>
  <c r="CZ152"/>
  <c r="AI152" i="24" s="1"/>
  <c r="C15" i="30"/>
  <c r="BH242" i="43"/>
  <c r="AJ120"/>
  <c r="I120" s="1"/>
  <c r="FF120"/>
  <c r="Q120"/>
  <c r="AO120" s="1"/>
  <c r="AP120" s="1"/>
  <c r="BK120" i="24"/>
  <c r="DX322" i="43"/>
  <c r="DX278"/>
  <c r="DX287"/>
  <c r="CZ234"/>
  <c r="AI234" i="24" s="1"/>
  <c r="DT136" i="43"/>
  <c r="FF141"/>
  <c r="Q141"/>
  <c r="AO141" s="1"/>
  <c r="AP141" s="1"/>
  <c r="BK141" i="24"/>
  <c r="BK125"/>
  <c r="Q125" i="43"/>
  <c r="AO125" s="1"/>
  <c r="AP125" s="1"/>
  <c r="FF125"/>
  <c r="DT125"/>
  <c r="CY13"/>
  <c r="DA13" s="1"/>
  <c r="AU10" i="45" s="1"/>
  <c r="CH11" i="43"/>
  <c r="AV8" i="45"/>
  <c r="AV9"/>
  <c r="CH12" i="43"/>
  <c r="CF13"/>
  <c r="FZ14"/>
  <c r="GX14" s="1"/>
  <c r="GZ14" s="1"/>
  <c r="DX302"/>
  <c r="CP142"/>
  <c r="DT142"/>
  <c r="BV142"/>
  <c r="CC142" s="1"/>
  <c r="Q142"/>
  <c r="AO142" s="1"/>
  <c r="AP142" s="1"/>
  <c r="BK142" i="24"/>
  <c r="FF142" i="43"/>
  <c r="AJ142"/>
  <c r="I142" s="1"/>
  <c r="AD20" i="24"/>
  <c r="BK126"/>
  <c r="DX383" i="43"/>
  <c r="DX308"/>
  <c r="DX306"/>
  <c r="DX298"/>
  <c r="DX263"/>
  <c r="BB142"/>
  <c r="G14" i="35"/>
  <c r="G84"/>
  <c r="DX267" i="43"/>
  <c r="D12" i="30"/>
  <c r="D13"/>
  <c r="G19" i="35"/>
  <c r="G11"/>
  <c r="DX274" i="43"/>
  <c r="CP146"/>
  <c r="DX294"/>
  <c r="BB151"/>
  <c r="BH151" s="1"/>
  <c r="BB140"/>
  <c r="BH140" s="1"/>
  <c r="CC69"/>
  <c r="BK140" i="24"/>
  <c r="DX310" i="43"/>
  <c r="DX382"/>
  <c r="DX295"/>
  <c r="I25"/>
  <c r="DX320"/>
  <c r="DX283"/>
  <c r="DX312"/>
  <c r="BB146"/>
  <c r="BH146" s="1"/>
  <c r="BV140"/>
  <c r="CC140" s="1"/>
  <c r="H12" i="30" s="1"/>
  <c r="Q114" i="43"/>
  <c r="AO114" s="1"/>
  <c r="AP114" s="1"/>
  <c r="DX316"/>
  <c r="DX297"/>
  <c r="DX317"/>
  <c r="AA21" i="24"/>
  <c r="DX311" i="43"/>
  <c r="DX280"/>
  <c r="DX321"/>
  <c r="DX271"/>
  <c r="DX313"/>
  <c r="DX296"/>
  <c r="DX281"/>
  <c r="DX286"/>
  <c r="DX319"/>
  <c r="DX279"/>
  <c r="DX293"/>
  <c r="DX284"/>
  <c r="DX289"/>
  <c r="DX276"/>
  <c r="AA331" i="24"/>
  <c r="AE332"/>
  <c r="AF332"/>
  <c r="AD332"/>
  <c r="AE268"/>
  <c r="AD268"/>
  <c r="AA267"/>
  <c r="AF268"/>
  <c r="AF166"/>
  <c r="AE166"/>
  <c r="AD166"/>
  <c r="AA165"/>
  <c r="AA352"/>
  <c r="AD353"/>
  <c r="AF353"/>
  <c r="AE353"/>
  <c r="AA332"/>
  <c r="AE333"/>
  <c r="AD333"/>
  <c r="AF333"/>
  <c r="AA226"/>
  <c r="AE227"/>
  <c r="AF227"/>
  <c r="AD227"/>
  <c r="AA215"/>
  <c r="AF216"/>
  <c r="AD216"/>
  <c r="AE216"/>
  <c r="AA296"/>
  <c r="AF297"/>
  <c r="AE297"/>
  <c r="AD297"/>
  <c r="AA203"/>
  <c r="AE204"/>
  <c r="AF204"/>
  <c r="AD204"/>
  <c r="AD367"/>
  <c r="AE367"/>
  <c r="AF367"/>
  <c r="AA366"/>
  <c r="AD157"/>
  <c r="AE157"/>
  <c r="AF157"/>
  <c r="AF282"/>
  <c r="AD282"/>
  <c r="AE282"/>
  <c r="AA281"/>
  <c r="AE321"/>
  <c r="AA320"/>
  <c r="AD321"/>
  <c r="AF321"/>
  <c r="AA328"/>
  <c r="AF329"/>
  <c r="AD329"/>
  <c r="AE329"/>
  <c r="AE346"/>
  <c r="AA345"/>
  <c r="AD346"/>
  <c r="AF346"/>
  <c r="AF350"/>
  <c r="AD350"/>
  <c r="AE350"/>
  <c r="AA349"/>
  <c r="AE197"/>
  <c r="AD197"/>
  <c r="AA196"/>
  <c r="AF197"/>
  <c r="AD245"/>
  <c r="AE245"/>
  <c r="AF245"/>
  <c r="AA244"/>
  <c r="AA285"/>
  <c r="AE286"/>
  <c r="AD286"/>
  <c r="AF286"/>
  <c r="AA254"/>
  <c r="AD255"/>
  <c r="AE255"/>
  <c r="AF255"/>
  <c r="AA157"/>
  <c r="AD158"/>
  <c r="AF158"/>
  <c r="AE158"/>
  <c r="AA347"/>
  <c r="AF348"/>
  <c r="AD348"/>
  <c r="AE348"/>
  <c r="AD203"/>
  <c r="AF203"/>
  <c r="AE203"/>
  <c r="AA202"/>
  <c r="AA292"/>
  <c r="AD293"/>
  <c r="AE293"/>
  <c r="AF293"/>
  <c r="AD170"/>
  <c r="AE170"/>
  <c r="AF170"/>
  <c r="AA169"/>
  <c r="AA219"/>
  <c r="AF220"/>
  <c r="AE220"/>
  <c r="AD220"/>
  <c r="AA231"/>
  <c r="AA262"/>
  <c r="AE263"/>
  <c r="AD263"/>
  <c r="AF263"/>
  <c r="AE283"/>
  <c r="AD283"/>
  <c r="AF283"/>
  <c r="AA282"/>
  <c r="AF182"/>
  <c r="AE182"/>
  <c r="AD182"/>
  <c r="AA181"/>
  <c r="AD189"/>
  <c r="AE189"/>
  <c r="AA188"/>
  <c r="AF189"/>
  <c r="AE201"/>
  <c r="AD201"/>
  <c r="AF201"/>
  <c r="AA200"/>
  <c r="AD298"/>
  <c r="AF298"/>
  <c r="AA297"/>
  <c r="AE298"/>
  <c r="AD302"/>
  <c r="AF302"/>
  <c r="AA301"/>
  <c r="AE302"/>
  <c r="AA242"/>
  <c r="AE243"/>
  <c r="AD243"/>
  <c r="AF243"/>
  <c r="AE342"/>
  <c r="AD342"/>
  <c r="AF342"/>
  <c r="AA341"/>
  <c r="AA360"/>
  <c r="AD361"/>
  <c r="AF361"/>
  <c r="AE361"/>
  <c r="AF164"/>
  <c r="AD164"/>
  <c r="AE164"/>
  <c r="AA163"/>
  <c r="AE368"/>
  <c r="AD368"/>
  <c r="AA367"/>
  <c r="AF368"/>
  <c r="AD343"/>
  <c r="AA342"/>
  <c r="AE343"/>
  <c r="AF343"/>
  <c r="AE334"/>
  <c r="AF334"/>
  <c r="AA333"/>
  <c r="AD334"/>
  <c r="AD270"/>
  <c r="AE270"/>
  <c r="AF270"/>
  <c r="AA269"/>
  <c r="AA178"/>
  <c r="AF179"/>
  <c r="AD179"/>
  <c r="AE179"/>
  <c r="AE341"/>
  <c r="AD341"/>
  <c r="AA340"/>
  <c r="AF341"/>
  <c r="AD174"/>
  <c r="AF174"/>
  <c r="AE174"/>
  <c r="AA173"/>
  <c r="AD326"/>
  <c r="AE326"/>
  <c r="AF326"/>
  <c r="AA325"/>
  <c r="AA213"/>
  <c r="AE214"/>
  <c r="AF214"/>
  <c r="AD214"/>
  <c r="CC357" i="43"/>
  <c r="CV336"/>
  <c r="DX291"/>
  <c r="DX288"/>
  <c r="DX301"/>
  <c r="DX384"/>
  <c r="DX307"/>
  <c r="DX385"/>
  <c r="DX275"/>
  <c r="AE187" i="24"/>
  <c r="AD187"/>
  <c r="AA186"/>
  <c r="AF187"/>
  <c r="AA355"/>
  <c r="AE356"/>
  <c r="AD356"/>
  <c r="AF356"/>
  <c r="AA303"/>
  <c r="AF304"/>
  <c r="AD304"/>
  <c r="AE304"/>
  <c r="AA326"/>
  <c r="AD327"/>
  <c r="AE327"/>
  <c r="AF327"/>
  <c r="AD183"/>
  <c r="AA182"/>
  <c r="AE183"/>
  <c r="AF183"/>
  <c r="AA338"/>
  <c r="AE339"/>
  <c r="AD339"/>
  <c r="AF339"/>
  <c r="AA353"/>
  <c r="AF354"/>
  <c r="AD354"/>
  <c r="AE354"/>
  <c r="AE325"/>
  <c r="AD325"/>
  <c r="AF325"/>
  <c r="AA324"/>
  <c r="AE301"/>
  <c r="AA300"/>
  <c r="AF301"/>
  <c r="AD301"/>
  <c r="AA280"/>
  <c r="AF281"/>
  <c r="AE281"/>
  <c r="AD281"/>
  <c r="AA306"/>
  <c r="AE307"/>
  <c r="AF307"/>
  <c r="AD307"/>
  <c r="AA208"/>
  <c r="AE209"/>
  <c r="AF209"/>
  <c r="AD209"/>
  <c r="AE385"/>
  <c r="AD385"/>
  <c r="AA384"/>
  <c r="AF385"/>
  <c r="AE237"/>
  <c r="AF237"/>
  <c r="AA236"/>
  <c r="AD237"/>
  <c r="AA286"/>
  <c r="AF287"/>
  <c r="AE287"/>
  <c r="AD287"/>
  <c r="AA291"/>
  <c r="AF292"/>
  <c r="AE292"/>
  <c r="AD292"/>
  <c r="AA201"/>
  <c r="AE202"/>
  <c r="AF202"/>
  <c r="AD202"/>
  <c r="AA334"/>
  <c r="AF335"/>
  <c r="AE335"/>
  <c r="AD335"/>
  <c r="AA304"/>
  <c r="AE305"/>
  <c r="AD305"/>
  <c r="AF305"/>
  <c r="AD276"/>
  <c r="AE273"/>
  <c r="AD273"/>
  <c r="AA272"/>
  <c r="AF273"/>
  <c r="AD366"/>
  <c r="AE366"/>
  <c r="AF366"/>
  <c r="AA365"/>
  <c r="AD231"/>
  <c r="AF231"/>
  <c r="AE231"/>
  <c r="AA230"/>
  <c r="AF162"/>
  <c r="AE162"/>
  <c r="AD162"/>
  <c r="AA161"/>
  <c r="AD372"/>
  <c r="AE372"/>
  <c r="AF372"/>
  <c r="AA371"/>
  <c r="AE178"/>
  <c r="AF178"/>
  <c r="AD178"/>
  <c r="AA177"/>
  <c r="AD359"/>
  <c r="AE359"/>
  <c r="AF359"/>
  <c r="AA358"/>
  <c r="AE196"/>
  <c r="AD196"/>
  <c r="AA195"/>
  <c r="AF196"/>
  <c r="AE260"/>
  <c r="AD260"/>
  <c r="AA259"/>
  <c r="AF260"/>
  <c r="AF313"/>
  <c r="AA206"/>
  <c r="AD207"/>
  <c r="AF207"/>
  <c r="AE207"/>
  <c r="AE177"/>
  <c r="AD177"/>
  <c r="AF177"/>
  <c r="AA176"/>
  <c r="AA351"/>
  <c r="AD352"/>
  <c r="AE352"/>
  <c r="AF352"/>
  <c r="AE252"/>
  <c r="AA251"/>
  <c r="AF252"/>
  <c r="AD252"/>
  <c r="AE363"/>
  <c r="AD363"/>
  <c r="AF363"/>
  <c r="AA362"/>
  <c r="AA305"/>
  <c r="AF306"/>
  <c r="AE306"/>
  <c r="AD306"/>
  <c r="AA223"/>
  <c r="AF224"/>
  <c r="AE224"/>
  <c r="AD224"/>
  <c r="AE365"/>
  <c r="AD365"/>
  <c r="AF365"/>
  <c r="AA364"/>
  <c r="AE160"/>
  <c r="AD160"/>
  <c r="AF160"/>
  <c r="AA159"/>
  <c r="AD358"/>
  <c r="AE358"/>
  <c r="AF358"/>
  <c r="AA357"/>
  <c r="AD249"/>
  <c r="AE249"/>
  <c r="AF249"/>
  <c r="AA248"/>
  <c r="AF218"/>
  <c r="AD247"/>
  <c r="AA246"/>
  <c r="AE247"/>
  <c r="AF247"/>
  <c r="AD248"/>
  <c r="AE248"/>
  <c r="AA247"/>
  <c r="AF248"/>
  <c r="AA216"/>
  <c r="AD217"/>
  <c r="AE217"/>
  <c r="AF217"/>
  <c r="AA162"/>
  <c r="AD163"/>
  <c r="AE163"/>
  <c r="AF163"/>
  <c r="AF256"/>
  <c r="AD256"/>
  <c r="AE256"/>
  <c r="AA255"/>
  <c r="AE193"/>
  <c r="AD193"/>
  <c r="AA192"/>
  <c r="AF193"/>
  <c r="AA368"/>
  <c r="AD369"/>
  <c r="AE369"/>
  <c r="AF369"/>
  <c r="AE221"/>
  <c r="AD221"/>
  <c r="AA220"/>
  <c r="AF221"/>
  <c r="AA207"/>
  <c r="AF208"/>
  <c r="AE208"/>
  <c r="AD208"/>
  <c r="AF311"/>
  <c r="AD311"/>
  <c r="AE311"/>
  <c r="AA310"/>
  <c r="AA209"/>
  <c r="AD210"/>
  <c r="AE210"/>
  <c r="AF210"/>
  <c r="AF314"/>
  <c r="AD314"/>
  <c r="AE314"/>
  <c r="AA313"/>
  <c r="AE165"/>
  <c r="AA164"/>
  <c r="AD165"/>
  <c r="AF165"/>
  <c r="AD241"/>
  <c r="AE241"/>
  <c r="AF241"/>
  <c r="AA240"/>
  <c r="AE384"/>
  <c r="AD384"/>
  <c r="AA383"/>
  <c r="AF384"/>
  <c r="AD254"/>
  <c r="AA253"/>
  <c r="AE254"/>
  <c r="AF254"/>
  <c r="CC336" i="43"/>
  <c r="BH357"/>
  <c r="CZ357"/>
  <c r="AI357" i="24" s="1"/>
  <c r="DX309" i="43"/>
  <c r="DX282"/>
  <c r="DX315"/>
  <c r="DX269"/>
  <c r="DX262"/>
  <c r="DX265"/>
  <c r="DX273"/>
  <c r="AA343" i="24"/>
  <c r="AF344"/>
  <c r="AD344"/>
  <c r="AE344"/>
  <c r="AD375"/>
  <c r="AE375"/>
  <c r="AA374"/>
  <c r="AF375"/>
  <c r="AD274"/>
  <c r="AA273"/>
  <c r="AE274"/>
  <c r="AF274"/>
  <c r="AD378"/>
  <c r="AE378"/>
  <c r="AF378"/>
  <c r="AA377"/>
  <c r="AD191"/>
  <c r="AE191"/>
  <c r="AA190"/>
  <c r="AF191"/>
  <c r="AE319"/>
  <c r="AF319"/>
  <c r="AD319"/>
  <c r="AA318"/>
  <c r="AD181"/>
  <c r="AE181"/>
  <c r="AA180"/>
  <c r="AF181"/>
  <c r="AA278"/>
  <c r="AF279"/>
  <c r="AD279"/>
  <c r="AE279"/>
  <c r="AD383"/>
  <c r="AE383"/>
  <c r="AF383"/>
  <c r="AA382"/>
  <c r="AE172"/>
  <c r="AF172"/>
  <c r="AD172"/>
  <c r="AA171"/>
  <c r="AA184"/>
  <c r="AD185"/>
  <c r="AE185"/>
  <c r="AF185"/>
  <c r="AA288"/>
  <c r="AF289"/>
  <c r="AD289"/>
  <c r="AE289"/>
  <c r="AD338"/>
  <c r="AE338"/>
  <c r="AA337"/>
  <c r="AF338"/>
  <c r="AA295"/>
  <c r="AE296"/>
  <c r="AF296"/>
  <c r="AD296"/>
  <c r="AD246"/>
  <c r="AA245"/>
  <c r="AF246"/>
  <c r="AE246"/>
  <c r="AA222"/>
  <c r="AF223"/>
  <c r="AD223"/>
  <c r="AE223"/>
  <c r="AE309"/>
  <c r="AD200"/>
  <c r="AE200"/>
  <c r="AF200"/>
  <c r="AA199"/>
  <c r="AA258"/>
  <c r="AD259"/>
  <c r="AE259"/>
  <c r="AF259"/>
  <c r="AE264"/>
  <c r="AD264"/>
  <c r="AF264"/>
  <c r="AA263"/>
  <c r="AE222"/>
  <c r="AA221"/>
  <c r="AD222"/>
  <c r="AF222"/>
  <c r="AD244"/>
  <c r="AE244"/>
  <c r="AA243"/>
  <c r="AF244"/>
  <c r="AE168"/>
  <c r="AD168"/>
  <c r="AF168"/>
  <c r="AA167"/>
  <c r="AD269"/>
  <c r="AE269"/>
  <c r="AF269"/>
  <c r="AA268"/>
  <c r="AE379"/>
  <c r="AD379"/>
  <c r="AF379"/>
  <c r="AA378"/>
  <c r="AD355"/>
  <c r="AE355"/>
  <c r="AF355"/>
  <c r="AA354"/>
  <c r="AA225"/>
  <c r="AF226"/>
  <c r="AD226"/>
  <c r="AE226"/>
  <c r="AA237"/>
  <c r="AD238"/>
  <c r="AE238"/>
  <c r="AF238"/>
  <c r="AA359"/>
  <c r="AE360"/>
  <c r="AF360"/>
  <c r="AD360"/>
  <c r="AE176"/>
  <c r="AD176"/>
  <c r="AF176"/>
  <c r="AA175"/>
  <c r="AE195"/>
  <c r="AD195"/>
  <c r="AA194"/>
  <c r="AF195"/>
  <c r="AA204"/>
  <c r="AE205"/>
  <c r="AF205"/>
  <c r="AD205"/>
  <c r="AF180"/>
  <c r="AD180"/>
  <c r="AE180"/>
  <c r="AA179"/>
  <c r="AE233"/>
  <c r="AF233"/>
  <c r="AD233"/>
  <c r="AA232"/>
  <c r="AE362"/>
  <c r="AD362"/>
  <c r="AF362"/>
  <c r="AA361"/>
  <c r="AD370"/>
  <c r="AE370"/>
  <c r="AF370"/>
  <c r="AA369"/>
  <c r="AA238"/>
  <c r="AE239"/>
  <c r="AF239"/>
  <c r="AD239"/>
  <c r="AE194"/>
  <c r="AD194"/>
  <c r="AA193"/>
  <c r="AF194"/>
  <c r="AE315"/>
  <c r="AD315"/>
  <c r="AF315"/>
  <c r="AA314"/>
  <c r="AD316"/>
  <c r="AE316"/>
  <c r="AF316"/>
  <c r="AA315"/>
  <c r="AE380"/>
  <c r="AD380"/>
  <c r="AF380"/>
  <c r="AA379"/>
  <c r="AE206"/>
  <c r="AA205"/>
  <c r="AD206"/>
  <c r="AF206"/>
  <c r="AE374"/>
  <c r="AD374"/>
  <c r="AF374"/>
  <c r="AA373"/>
  <c r="AE377"/>
  <c r="AD377"/>
  <c r="AA376"/>
  <c r="AF377"/>
  <c r="AD312"/>
  <c r="AE312"/>
  <c r="AF312"/>
  <c r="AA311"/>
  <c r="AE261"/>
  <c r="AD261"/>
  <c r="AA260"/>
  <c r="AF261"/>
  <c r="AE190"/>
  <c r="AD190"/>
  <c r="AF190"/>
  <c r="AA189"/>
  <c r="AE323"/>
  <c r="AF323"/>
  <c r="AA322"/>
  <c r="AD323"/>
  <c r="AA293"/>
  <c r="AD294"/>
  <c r="AE294"/>
  <c r="AF294"/>
  <c r="AD250"/>
  <c r="AE250"/>
  <c r="AF250"/>
  <c r="AA249"/>
  <c r="AD257"/>
  <c r="AE257"/>
  <c r="AF257"/>
  <c r="AA256"/>
  <c r="AF169"/>
  <c r="AA168"/>
  <c r="AE169"/>
  <c r="AD169"/>
  <c r="AD376"/>
  <c r="AF376"/>
  <c r="AE376"/>
  <c r="AA375"/>
  <c r="AA166"/>
  <c r="AE167"/>
  <c r="AF167"/>
  <c r="AD167"/>
  <c r="AA339"/>
  <c r="AD340"/>
  <c r="AE340"/>
  <c r="AF340"/>
  <c r="AD267"/>
  <c r="AE267"/>
  <c r="AA266"/>
  <c r="AF267"/>
  <c r="AD381"/>
  <c r="AA380"/>
  <c r="AE381"/>
  <c r="AF381"/>
  <c r="BH336" i="43"/>
  <c r="CZ336"/>
  <c r="AI336" i="24" s="1"/>
  <c r="DX304" i="43"/>
  <c r="DX305"/>
  <c r="DX270"/>
  <c r="AE364" i="24"/>
  <c r="AD364"/>
  <c r="AA363"/>
  <c r="AF364"/>
  <c r="AA158"/>
  <c r="AD159"/>
  <c r="AE159"/>
  <c r="AF159"/>
  <c r="AE310"/>
  <c r="AD310"/>
  <c r="AF310"/>
  <c r="AA309"/>
  <c r="AA218"/>
  <c r="AD219"/>
  <c r="AE219"/>
  <c r="AF219"/>
  <c r="AA287"/>
  <c r="AE288"/>
  <c r="AD288"/>
  <c r="AF288"/>
  <c r="AA330"/>
  <c r="AD331"/>
  <c r="AF331"/>
  <c r="AE331"/>
  <c r="AA170"/>
  <c r="AE171"/>
  <c r="AD171"/>
  <c r="AF171"/>
  <c r="AE235"/>
  <c r="AF235"/>
  <c r="AD235"/>
  <c r="AA234"/>
  <c r="AA210"/>
  <c r="AD211"/>
  <c r="AF211"/>
  <c r="AE211"/>
  <c r="AE173"/>
  <c r="AD173"/>
  <c r="AF173"/>
  <c r="AA172"/>
  <c r="AF253"/>
  <c r="AE253"/>
  <c r="AA252"/>
  <c r="AD253"/>
  <c r="AF230"/>
  <c r="AD230"/>
  <c r="AE230"/>
  <c r="AA229"/>
  <c r="AA257"/>
  <c r="AE258"/>
  <c r="AD258"/>
  <c r="AF258"/>
  <c r="AD199"/>
  <c r="AE199"/>
  <c r="AF199"/>
  <c r="AA198"/>
  <c r="AA290"/>
  <c r="AE291"/>
  <c r="AD291"/>
  <c r="AF291"/>
  <c r="AE373"/>
  <c r="AD373"/>
  <c r="AA372"/>
  <c r="AF373"/>
  <c r="AD265"/>
  <c r="AE265"/>
  <c r="AF265"/>
  <c r="AA264"/>
  <c r="AD198"/>
  <c r="AE198"/>
  <c r="AF198"/>
  <c r="AA197"/>
  <c r="AA350"/>
  <c r="AF351"/>
  <c r="AD351"/>
  <c r="AE351"/>
  <c r="AA294"/>
  <c r="AF295"/>
  <c r="AD295"/>
  <c r="AE295"/>
  <c r="AF300"/>
  <c r="AD300"/>
  <c r="AA299"/>
  <c r="AE300"/>
  <c r="AD284"/>
  <c r="AF284"/>
  <c r="AE284"/>
  <c r="AA283"/>
  <c r="AE272"/>
  <c r="AD272"/>
  <c r="AF272"/>
  <c r="AA271"/>
  <c r="AD229"/>
  <c r="AE229"/>
  <c r="AF229"/>
  <c r="AA228"/>
  <c r="AA323"/>
  <c r="AE324"/>
  <c r="AD324"/>
  <c r="AF324"/>
  <c r="AA348"/>
  <c r="AD349"/>
  <c r="AF349"/>
  <c r="AE349"/>
  <c r="AD347"/>
  <c r="AF347"/>
  <c r="AE347"/>
  <c r="AA346"/>
  <c r="AD320"/>
  <c r="AA319"/>
  <c r="AE320"/>
  <c r="AF320"/>
  <c r="AD322"/>
  <c r="AF322"/>
  <c r="AE322"/>
  <c r="AA321"/>
  <c r="AD382"/>
  <c r="AF382"/>
  <c r="AE382"/>
  <c r="AA381"/>
  <c r="AA307"/>
  <c r="AD308"/>
  <c r="AE308"/>
  <c r="AF308"/>
  <c r="AA211"/>
  <c r="AE212"/>
  <c r="AF212"/>
  <c r="AD212"/>
  <c r="AE278"/>
  <c r="AF278"/>
  <c r="AD278"/>
  <c r="AA277"/>
  <c r="AE317"/>
  <c r="AD317"/>
  <c r="AF317"/>
  <c r="AA316"/>
  <c r="AE175"/>
  <c r="AD175"/>
  <c r="AA174"/>
  <c r="AF175"/>
  <c r="AD271"/>
  <c r="AE271"/>
  <c r="AF271"/>
  <c r="AA270"/>
  <c r="AA279"/>
  <c r="AE280"/>
  <c r="AD280"/>
  <c r="AF280"/>
  <c r="AE371"/>
  <c r="AD371"/>
  <c r="AF371"/>
  <c r="AA370"/>
  <c r="AD184"/>
  <c r="AE184"/>
  <c r="AF184"/>
  <c r="AA183"/>
  <c r="AA250"/>
  <c r="AF251"/>
  <c r="AE251"/>
  <c r="AD251"/>
  <c r="AE275"/>
  <c r="AD275"/>
  <c r="AF275"/>
  <c r="AA274"/>
  <c r="CV357" i="43"/>
  <c r="DX300"/>
  <c r="X384"/>
  <c r="Y384" s="1"/>
  <c r="X385"/>
  <c r="Y385" s="1"/>
  <c r="D382" i="45" s="1"/>
  <c r="U382" s="1"/>
  <c r="FF127" i="43"/>
  <c r="I71"/>
  <c r="G75" i="35"/>
  <c r="G28"/>
  <c r="G9"/>
  <c r="G89"/>
  <c r="G50"/>
  <c r="G53"/>
  <c r="G98"/>
  <c r="G90"/>
  <c r="G56"/>
  <c r="G10"/>
  <c r="G55"/>
  <c r="G97"/>
  <c r="G45"/>
  <c r="G96"/>
  <c r="G54"/>
  <c r="G69"/>
  <c r="G68"/>
  <c r="G74"/>
  <c r="G15"/>
  <c r="G70"/>
  <c r="G102"/>
  <c r="G3"/>
  <c r="G21"/>
  <c r="G80"/>
  <c r="G13"/>
  <c r="G46"/>
  <c r="G29"/>
  <c r="G67"/>
  <c r="G32"/>
  <c r="DT151" i="43"/>
  <c r="AJ140"/>
  <c r="I140" s="1"/>
  <c r="CP140"/>
  <c r="BV146"/>
  <c r="CC146" s="1"/>
  <c r="BK151" i="24"/>
  <c r="BK146"/>
  <c r="BK114"/>
  <c r="CZ27" i="43"/>
  <c r="AI27" i="24" s="1"/>
  <c r="FF146" i="43"/>
  <c r="DT140"/>
  <c r="GD11"/>
  <c r="CZ71"/>
  <c r="AI71" i="24" s="1"/>
  <c r="G107" i="35"/>
  <c r="G27"/>
  <c r="G30"/>
  <c r="G47"/>
  <c r="G8"/>
  <c r="G59"/>
  <c r="G6"/>
  <c r="G37"/>
  <c r="G103"/>
  <c r="G95"/>
  <c r="G65"/>
  <c r="G12"/>
  <c r="G16"/>
  <c r="G42"/>
  <c r="G83"/>
  <c r="G52"/>
  <c r="G18"/>
  <c r="G48"/>
  <c r="G62"/>
  <c r="G61"/>
  <c r="G38"/>
  <c r="G44"/>
  <c r="G43"/>
  <c r="F4"/>
  <c r="G31"/>
  <c r="G17"/>
  <c r="G81"/>
  <c r="G82"/>
  <c r="G93"/>
  <c r="G23"/>
  <c r="G85"/>
  <c r="G7"/>
  <c r="G78"/>
  <c r="BB135" i="43"/>
  <c r="BH135" s="1"/>
  <c r="AJ127"/>
  <c r="I127" s="1"/>
  <c r="BV151"/>
  <c r="CC151" s="1"/>
  <c r="I14"/>
  <c r="K14" s="1"/>
  <c r="DR14" s="1"/>
  <c r="R14" s="1"/>
  <c r="BV135"/>
  <c r="BB114"/>
  <c r="BH114" s="1"/>
  <c r="CZ67"/>
  <c r="AI67" i="24" s="1"/>
  <c r="CV67" i="43"/>
  <c r="CW67" s="1"/>
  <c r="I69"/>
  <c r="I27"/>
  <c r="GR12"/>
  <c r="DT135"/>
  <c r="FF151"/>
  <c r="BK127" i="24"/>
  <c r="CP151" i="43"/>
  <c r="FF126"/>
  <c r="AE21" i="24"/>
  <c r="CZ134" i="43"/>
  <c r="AI134" i="24" s="1"/>
  <c r="BV115" i="43"/>
  <c r="CC115" s="1"/>
  <c r="AF45" i="24"/>
  <c r="GD12" i="43"/>
  <c r="DT146"/>
  <c r="CZ35"/>
  <c r="AI35" i="24" s="1"/>
  <c r="I35" i="43"/>
  <c r="I44"/>
  <c r="CP114"/>
  <c r="AD10" i="24"/>
  <c r="BB127" i="43"/>
  <c r="BH127" s="1"/>
  <c r="AE22" i="24"/>
  <c r="AA9"/>
  <c r="BH138" i="43"/>
  <c r="F11" i="30" s="1"/>
  <c r="AJ151" i="43"/>
  <c r="I151" s="1"/>
  <c r="CP126"/>
  <c r="AJ126"/>
  <c r="I126" s="1"/>
  <c r="BV127"/>
  <c r="CC127" s="1"/>
  <c r="CZ144"/>
  <c r="AI144" i="24" s="1"/>
  <c r="CZ59" i="43"/>
  <c r="AI59" i="24" s="1"/>
  <c r="I67" i="43"/>
  <c r="I47"/>
  <c r="AE45" i="24"/>
  <c r="GK11" i="43"/>
  <c r="AE20" i="24"/>
  <c r="DT127" i="43"/>
  <c r="CZ25"/>
  <c r="AI25" i="24" s="1"/>
  <c r="I59" i="43"/>
  <c r="AA44" i="24"/>
  <c r="GY11" i="43"/>
  <c r="AF20" i="24"/>
  <c r="Q115" i="43"/>
  <c r="AO115" s="1"/>
  <c r="AP115" s="1"/>
  <c r="CZ47"/>
  <c r="AI47" i="24" s="1"/>
  <c r="CZ12" i="43"/>
  <c r="AI12" i="24" s="1"/>
  <c r="FF115" i="43"/>
  <c r="BB115"/>
  <c r="BH115" s="1"/>
  <c r="J12"/>
  <c r="K12" s="1"/>
  <c r="AJ135"/>
  <c r="I135" s="1"/>
  <c r="DT114"/>
  <c r="CZ9"/>
  <c r="AI9" i="24" s="1"/>
  <c r="BV126" i="43"/>
  <c r="CC126" s="1"/>
  <c r="DT126"/>
  <c r="CC9"/>
  <c r="I9"/>
  <c r="K9" s="1"/>
  <c r="BY9" s="1"/>
  <c r="CA9" s="1"/>
  <c r="AF22" i="24"/>
  <c r="AJ114" i="43"/>
  <c r="I114" s="1"/>
  <c r="BK135" i="24"/>
  <c r="CP115" i="43"/>
  <c r="DT115"/>
  <c r="FF11"/>
  <c r="BK11" i="24"/>
  <c r="BV11" i="43"/>
  <c r="CC11" s="1"/>
  <c r="BV114"/>
  <c r="BB126"/>
  <c r="BH126" s="1"/>
  <c r="AA72" i="24"/>
  <c r="FF135" i="43"/>
  <c r="AJ115"/>
  <c r="I115" s="1"/>
  <c r="CL88"/>
  <c r="D380" i="45"/>
  <c r="U380" s="1"/>
  <c r="CZ131" i="43"/>
  <c r="AI131" i="24" s="1"/>
  <c r="BH131" i="43"/>
  <c r="CC131"/>
  <c r="CV131"/>
  <c r="CW131" s="1"/>
  <c r="AF21" i="24"/>
  <c r="AA20"/>
  <c r="AE10"/>
  <c r="CZ14" i="43"/>
  <c r="AI14" i="24" s="1"/>
  <c r="CC14" i="43"/>
  <c r="CZ44"/>
  <c r="AI44" i="24" s="1"/>
  <c r="BH44" i="43"/>
  <c r="CV78"/>
  <c r="G13" i="30" s="1"/>
  <c r="CZ78" i="43"/>
  <c r="AI78" i="24" s="1"/>
  <c r="CZ119" i="43"/>
  <c r="AI119" i="24" s="1"/>
  <c r="BH119" i="43"/>
  <c r="CV119"/>
  <c r="CW119" s="1"/>
  <c r="CC119"/>
  <c r="CB118"/>
  <c r="CC118" s="1"/>
  <c r="CZ118"/>
  <c r="AI118" i="24" s="1"/>
  <c r="BH118" i="43"/>
  <c r="CV118"/>
  <c r="CW118" s="1"/>
  <c r="AG84"/>
  <c r="FF84" s="1"/>
  <c r="CJ84"/>
  <c r="AX84"/>
  <c r="AZ84"/>
  <c r="AV84"/>
  <c r="CV116"/>
  <c r="CW116" s="1"/>
  <c r="CZ116"/>
  <c r="AI116" i="24" s="1"/>
  <c r="BV130" i="43"/>
  <c r="CC130" s="1"/>
  <c r="FF130"/>
  <c r="BK130" i="24"/>
  <c r="Q130" i="43"/>
  <c r="AO130" s="1"/>
  <c r="AP130" s="1"/>
  <c r="AJ130"/>
  <c r="I130" s="1"/>
  <c r="CP130"/>
  <c r="DT130"/>
  <c r="BB130"/>
  <c r="K15"/>
  <c r="BH109"/>
  <c r="CZ109"/>
  <c r="AI109" i="24" s="1"/>
  <c r="CV109" i="43"/>
  <c r="CW109" s="1"/>
  <c r="CZ108"/>
  <c r="AI108" i="24" s="1"/>
  <c r="DT11" i="43"/>
  <c r="BB11"/>
  <c r="AJ11"/>
  <c r="J11" s="1"/>
  <c r="BS84"/>
  <c r="BQ84"/>
  <c r="CN84"/>
  <c r="CL84"/>
  <c r="AG88"/>
  <c r="BK88" i="24" s="1"/>
  <c r="BB34" i="43"/>
  <c r="BH34" s="1"/>
  <c r="CC8"/>
  <c r="CZ92"/>
  <c r="AI92" i="24" s="1"/>
  <c r="BV91" i="43"/>
  <c r="DT91"/>
  <c r="CP91"/>
  <c r="BB91"/>
  <c r="Q91"/>
  <c r="AO91" s="1"/>
  <c r="AP91" s="1"/>
  <c r="FF91"/>
  <c r="BK91" i="24"/>
  <c r="AJ91" i="43"/>
  <c r="I91" s="1"/>
  <c r="AX88"/>
  <c r="BS88"/>
  <c r="AV88"/>
  <c r="CJ88"/>
  <c r="BQ88"/>
  <c r="BO88"/>
  <c r="AZ88"/>
  <c r="CZ139"/>
  <c r="AI139" i="24" s="1"/>
  <c r="CZ87" i="43"/>
  <c r="AI87" i="24" s="1"/>
  <c r="CC139" i="43"/>
  <c r="G12" i="30" s="1"/>
  <c r="CC89" i="43"/>
  <c r="H108" i="35"/>
  <c r="CZ57" i="43"/>
  <c r="AI57" i="24" s="1"/>
  <c r="BH62" i="43"/>
  <c r="CZ62"/>
  <c r="AI62" i="24" s="1"/>
  <c r="I62" i="43"/>
  <c r="CP98"/>
  <c r="BB98"/>
  <c r="BH98" s="1"/>
  <c r="BV98"/>
  <c r="CC98" s="1"/>
  <c r="FF98"/>
  <c r="Q98"/>
  <c r="AO98" s="1"/>
  <c r="AP98" s="1"/>
  <c r="BK98" i="24"/>
  <c r="AJ98" i="43"/>
  <c r="I98" s="1"/>
  <c r="DT98"/>
  <c r="CV26"/>
  <c r="CW26" s="1"/>
  <c r="CZ26"/>
  <c r="AI26" i="24" s="1"/>
  <c r="I26" i="43"/>
  <c r="BH122"/>
  <c r="CZ122"/>
  <c r="AI122" i="24" s="1"/>
  <c r="CZ89" i="43"/>
  <c r="AI89" i="24" s="1"/>
  <c r="BH89" i="43"/>
  <c r="CV122"/>
  <c r="CW122" s="1"/>
  <c r="AE28" i="24"/>
  <c r="CZ18" i="43"/>
  <c r="AI18" i="24" s="1"/>
  <c r="BH105" i="43"/>
  <c r="I108" i="35"/>
  <c r="I42" i="43"/>
  <c r="CZ42"/>
  <c r="AI42" i="24" s="1"/>
  <c r="CV42" i="43"/>
  <c r="CW42" s="1"/>
  <c r="BK100" i="24"/>
  <c r="FF100" i="43"/>
  <c r="Q100"/>
  <c r="AO100" s="1"/>
  <c r="AP100" s="1"/>
  <c r="AJ100"/>
  <c r="I100" s="1"/>
  <c r="BV100"/>
  <c r="BB107"/>
  <c r="BB100"/>
  <c r="DT107"/>
  <c r="CP107"/>
  <c r="AJ107"/>
  <c r="I107" s="1"/>
  <c r="BK107" i="24"/>
  <c r="FF107" i="43"/>
  <c r="Q107"/>
  <c r="AO107" s="1"/>
  <c r="AP107" s="1"/>
  <c r="CP100"/>
  <c r="DT100"/>
  <c r="BV107"/>
  <c r="CC123"/>
  <c r="CC133"/>
  <c r="CV105"/>
  <c r="CW105" s="1"/>
  <c r="CC105"/>
  <c r="CV133"/>
  <c r="CW133" s="1"/>
  <c r="CZ105"/>
  <c r="AI105" i="24" s="1"/>
  <c r="BH133" i="43"/>
  <c r="CZ133"/>
  <c r="AI133" i="24" s="1"/>
  <c r="AK8" i="43"/>
  <c r="X8" s="1"/>
  <c r="R8"/>
  <c r="CC103"/>
  <c r="CC132"/>
  <c r="CC110"/>
  <c r="CT8"/>
  <c r="CV8"/>
  <c r="CW8" s="1"/>
  <c r="CV132"/>
  <c r="CW132" s="1"/>
  <c r="CZ132"/>
  <c r="AI132" i="24" s="1"/>
  <c r="BH132" i="43"/>
  <c r="BF8"/>
  <c r="CZ8"/>
  <c r="AI8" i="24" s="1"/>
  <c r="BH8" i="43"/>
  <c r="CZ75"/>
  <c r="AI75" i="24" s="1"/>
  <c r="BH75" i="43"/>
  <c r="D11" i="30" s="1"/>
  <c r="I8" i="43"/>
  <c r="CZ156"/>
  <c r="AI156" i="24" s="1"/>
  <c r="BH156" i="43"/>
  <c r="CZ110"/>
  <c r="AI110" i="24" s="1"/>
  <c r="BH110" i="43"/>
  <c r="CZ150"/>
  <c r="AI150" i="24" s="1"/>
  <c r="BH150" i="43"/>
  <c r="CV102"/>
  <c r="CW102" s="1"/>
  <c r="BH117"/>
  <c r="CZ117"/>
  <c r="AI117" i="24" s="1"/>
  <c r="CV150" i="43"/>
  <c r="CW150" s="1"/>
  <c r="CV156"/>
  <c r="CW156" s="1"/>
  <c r="CC156"/>
  <c r="CV110"/>
  <c r="CW110" s="1"/>
  <c r="CC117"/>
  <c r="BH102"/>
  <c r="CZ102"/>
  <c r="AI102" i="24" s="1"/>
  <c r="CC102" i="43"/>
  <c r="CV117"/>
  <c r="CW117" s="1"/>
  <c r="CC150"/>
  <c r="BV137"/>
  <c r="I10" i="30"/>
  <c r="FF52" i="43"/>
  <c r="Q52"/>
  <c r="AO52" s="1"/>
  <c r="AP52" s="1"/>
  <c r="BK52" i="24"/>
  <c r="AJ52" i="43"/>
  <c r="BH112"/>
  <c r="CZ112"/>
  <c r="AI112" i="24" s="1"/>
  <c r="CV112" i="43"/>
  <c r="CW112" s="1"/>
  <c r="Q90"/>
  <c r="AO90" s="1"/>
  <c r="AP90" s="1"/>
  <c r="AJ90"/>
  <c r="I90" s="1"/>
  <c r="BK90" i="24"/>
  <c r="FF90" i="43"/>
  <c r="BV65"/>
  <c r="CC65" s="1"/>
  <c r="CZ93"/>
  <c r="AI93" i="24" s="1"/>
  <c r="BH93" i="43"/>
  <c r="CC106"/>
  <c r="DT129"/>
  <c r="CP129"/>
  <c r="BK129" i="24"/>
  <c r="FF129" i="43"/>
  <c r="Q129"/>
  <c r="AO129" s="1"/>
  <c r="AP129" s="1"/>
  <c r="BB129"/>
  <c r="CV128"/>
  <c r="CW128" s="1"/>
  <c r="CZ51"/>
  <c r="AI51" i="24" s="1"/>
  <c r="BH51" i="43"/>
  <c r="BK137" i="24"/>
  <c r="FF137" i="43"/>
  <c r="Q137"/>
  <c r="AO137" s="1"/>
  <c r="AP137" s="1"/>
  <c r="AJ137"/>
  <c r="I137" s="1"/>
  <c r="BB147"/>
  <c r="DT147"/>
  <c r="FF147"/>
  <c r="Q147"/>
  <c r="AO147" s="1"/>
  <c r="AP147" s="1"/>
  <c r="BK147" i="24"/>
  <c r="AJ147" i="43"/>
  <c r="I147" s="1"/>
  <c r="DT90"/>
  <c r="CP90"/>
  <c r="BB90"/>
  <c r="CZ121"/>
  <c r="AI121" i="24" s="1"/>
  <c r="BH121" i="43"/>
  <c r="DT52"/>
  <c r="CP52"/>
  <c r="CV93"/>
  <c r="CW93" s="1"/>
  <c r="CC128"/>
  <c r="CP137"/>
  <c r="DT137"/>
  <c r="BB52"/>
  <c r="BV129"/>
  <c r="BB137"/>
  <c r="CP147"/>
  <c r="BV90"/>
  <c r="BH128"/>
  <c r="CZ128"/>
  <c r="AI128" i="24" s="1"/>
  <c r="CZ123" i="43"/>
  <c r="AI123" i="24" s="1"/>
  <c r="BH123" i="43"/>
  <c r="CC112"/>
  <c r="CV123"/>
  <c r="CW123" s="1"/>
  <c r="CV121"/>
  <c r="CW121" s="1"/>
  <c r="I51"/>
  <c r="BV52"/>
  <c r="CC52" s="1"/>
  <c r="I12" i="30" s="1"/>
  <c r="AJ129" i="43"/>
  <c r="I129" s="1"/>
  <c r="BV147"/>
  <c r="CV135"/>
  <c r="CW135" s="1"/>
  <c r="CZ94"/>
  <c r="AI94" i="24" s="1"/>
  <c r="BH94" i="43"/>
  <c r="CV94"/>
  <c r="CW94" s="1"/>
  <c r="BV143"/>
  <c r="BV153"/>
  <c r="CC94"/>
  <c r="AE111" i="24"/>
  <c r="CP143" i="43"/>
  <c r="DT143"/>
  <c r="CC135"/>
  <c r="CC96"/>
  <c r="BB153"/>
  <c r="Q153"/>
  <c r="AO153" s="1"/>
  <c r="AP153" s="1"/>
  <c r="FF153"/>
  <c r="BK153" i="24"/>
  <c r="AJ153" i="43"/>
  <c r="I153" s="1"/>
  <c r="AE15" i="24"/>
  <c r="AD15"/>
  <c r="AF15"/>
  <c r="AA14"/>
  <c r="AW10" i="45"/>
  <c r="BM13" i="43"/>
  <c r="BH106"/>
  <c r="CZ106"/>
  <c r="AI106" i="24" s="1"/>
  <c r="BB143" i="43"/>
  <c r="Q143"/>
  <c r="AO143" s="1"/>
  <c r="AP143" s="1"/>
  <c r="FF143"/>
  <c r="BK143" i="24"/>
  <c r="AJ143" i="43"/>
  <c r="I143" s="1"/>
  <c r="CP153"/>
  <c r="DT153"/>
  <c r="CJ83"/>
  <c r="CN83"/>
  <c r="AV83"/>
  <c r="BO83"/>
  <c r="AX83"/>
  <c r="AZ83"/>
  <c r="CL83"/>
  <c r="AG83"/>
  <c r="BS83"/>
  <c r="BQ83"/>
  <c r="I33"/>
  <c r="GE13"/>
  <c r="AR13" s="1"/>
  <c r="GA13"/>
  <c r="BH96"/>
  <c r="CZ96"/>
  <c r="AI96" i="24" s="1"/>
  <c r="I18" i="43"/>
  <c r="AE56" i="24"/>
  <c r="AF56"/>
  <c r="AA55"/>
  <c r="AD56"/>
  <c r="CZ33" i="43"/>
  <c r="AI33" i="24" s="1"/>
  <c r="BH103" i="43"/>
  <c r="CZ103"/>
  <c r="AI103" i="24" s="1"/>
  <c r="CV19" i="43"/>
  <c r="CW19" s="1"/>
  <c r="CZ19"/>
  <c r="AI19" i="24" s="1"/>
  <c r="GP15" i="43"/>
  <c r="AA15"/>
  <c r="CV104"/>
  <c r="CW104" s="1"/>
  <c r="BB13"/>
  <c r="FF13"/>
  <c r="BK13" i="24"/>
  <c r="Q13" i="43"/>
  <c r="AO13" s="1"/>
  <c r="AP13" s="1"/>
  <c r="AJ13"/>
  <c r="J13" s="1"/>
  <c r="DE85"/>
  <c r="I109" i="35" s="1"/>
  <c r="BV74" i="43"/>
  <c r="CC74" s="1"/>
  <c r="I19"/>
  <c r="T11" i="45"/>
  <c r="CC29" i="43"/>
  <c r="CZ29"/>
  <c r="AI29" i="24" s="1"/>
  <c r="AL16" i="43"/>
  <c r="BH48"/>
  <c r="CZ48"/>
  <c r="AI48" i="24" s="1"/>
  <c r="I29" i="43"/>
  <c r="AD16"/>
  <c r="FS17"/>
  <c r="GU17" s="1"/>
  <c r="BE16"/>
  <c r="HB16"/>
  <c r="HA16" s="1"/>
  <c r="BZ16"/>
  <c r="Z16"/>
  <c r="GN16"/>
  <c r="GM16" s="1"/>
  <c r="CS16"/>
  <c r="GG16"/>
  <c r="GF16" s="1"/>
  <c r="GT16"/>
  <c r="I46"/>
  <c r="CP13"/>
  <c r="DT13"/>
  <c r="CZ46"/>
  <c r="AI46" i="24" s="1"/>
  <c r="CV46" i="43"/>
  <c r="CW46" s="1"/>
  <c r="DE82"/>
  <c r="G108" i="35"/>
  <c r="I30" i="43"/>
  <c r="GI15"/>
  <c r="GW15"/>
  <c r="GB15"/>
  <c r="I48"/>
  <c r="CV103"/>
  <c r="CW103" s="1"/>
  <c r="CZ104"/>
  <c r="AI104" i="24" s="1"/>
  <c r="BH104" i="43"/>
  <c r="AE15"/>
  <c r="DO15"/>
  <c r="DP15" s="1"/>
  <c r="BV24"/>
  <c r="CC24" s="1"/>
  <c r="CZ30"/>
  <c r="AI30" i="24" s="1"/>
  <c r="BV13" i="43"/>
  <c r="CZ124"/>
  <c r="AI124" i="24" s="1"/>
  <c r="BH124" i="43"/>
  <c r="J109" i="35"/>
  <c r="CV55" i="43"/>
  <c r="CW55" s="1"/>
  <c r="CC124"/>
  <c r="BV149"/>
  <c r="DT149"/>
  <c r="Q74"/>
  <c r="AO74" s="1"/>
  <c r="AP74" s="1"/>
  <c r="BK74" i="24"/>
  <c r="FF74" i="43"/>
  <c r="AJ74"/>
  <c r="I74" s="1"/>
  <c r="CP74"/>
  <c r="DT74"/>
  <c r="AJ34"/>
  <c r="FF34"/>
  <c r="Q34"/>
  <c r="AO34" s="1"/>
  <c r="AP34" s="1"/>
  <c r="BK34" i="24"/>
  <c r="BB23" i="43"/>
  <c r="BB65"/>
  <c r="BH65" s="1"/>
  <c r="BB43"/>
  <c r="BB24"/>
  <c r="I55"/>
  <c r="BB86"/>
  <c r="CP86"/>
  <c r="DT86"/>
  <c r="BH55"/>
  <c r="CZ55"/>
  <c r="AI55" i="24" s="1"/>
  <c r="CP24" i="43"/>
  <c r="DT24"/>
  <c r="DT60"/>
  <c r="CP60"/>
  <c r="CP65"/>
  <c r="DT65"/>
  <c r="DT43"/>
  <c r="CP43"/>
  <c r="CP149"/>
  <c r="CV124"/>
  <c r="CW124" s="1"/>
  <c r="FF86"/>
  <c r="K51" i="35"/>
  <c r="AJ86" i="43"/>
  <c r="K20" i="34"/>
  <c r="K21" s="1"/>
  <c r="Q86" i="43"/>
  <c r="AO86" s="1"/>
  <c r="AP86" s="1"/>
  <c r="BK86" i="24"/>
  <c r="AD99"/>
  <c r="AE99"/>
  <c r="AA98"/>
  <c r="AF99"/>
  <c r="BY10" i="43"/>
  <c r="CA10" s="1"/>
  <c r="Q149"/>
  <c r="AO149" s="1"/>
  <c r="AP149" s="1"/>
  <c r="FF149"/>
  <c r="BK149" i="24"/>
  <c r="FF60" i="43"/>
  <c r="BK60" i="24"/>
  <c r="AJ60" i="43"/>
  <c r="Q60"/>
  <c r="AO60" s="1"/>
  <c r="AP60" s="1"/>
  <c r="DT34"/>
  <c r="CP34"/>
  <c r="BK43" i="24"/>
  <c r="FF43" i="43"/>
  <c r="Q43"/>
  <c r="AO43" s="1"/>
  <c r="AP43" s="1"/>
  <c r="AJ43"/>
  <c r="BV86"/>
  <c r="AJ149"/>
  <c r="I149" s="1"/>
  <c r="BV60"/>
  <c r="BV34"/>
  <c r="CC55"/>
  <c r="BK24" i="24"/>
  <c r="Q24" i="43"/>
  <c r="AO24" s="1"/>
  <c r="AP24" s="1"/>
  <c r="AJ24"/>
  <c r="FF24"/>
  <c r="BB149"/>
  <c r="BB74"/>
  <c r="BB60"/>
  <c r="DT23"/>
  <c r="CP23"/>
  <c r="Q23"/>
  <c r="AO23" s="1"/>
  <c r="AP23" s="1"/>
  <c r="FF23"/>
  <c r="AJ23"/>
  <c r="BK23" i="24"/>
  <c r="W11" i="45"/>
  <c r="Y11" s="1"/>
  <c r="Z10"/>
  <c r="AA10"/>
  <c r="AB10" s="1"/>
  <c r="Q65" i="43"/>
  <c r="AO65" s="1"/>
  <c r="AP65" s="1"/>
  <c r="AJ65"/>
  <c r="FF65"/>
  <c r="BK65" i="24"/>
  <c r="BV23" i="43"/>
  <c r="BV43"/>
  <c r="CC43" s="1"/>
  <c r="AA100" i="24"/>
  <c r="AD101"/>
  <c r="AF101"/>
  <c r="AE101"/>
  <c r="AA75"/>
  <c r="AF76"/>
  <c r="AE76"/>
  <c r="AD76"/>
  <c r="AF58"/>
  <c r="AA57"/>
  <c r="AD58"/>
  <c r="AE58"/>
  <c r="AF64"/>
  <c r="AE64"/>
  <c r="AD64"/>
  <c r="AA63"/>
  <c r="AE36"/>
  <c r="AD36"/>
  <c r="AA35"/>
  <c r="AF36"/>
  <c r="F69" i="35" l="1"/>
  <c r="F6"/>
  <c r="K16" i="43"/>
  <c r="BD16" s="1"/>
  <c r="BF16" s="1"/>
  <c r="AD77" i="24"/>
  <c r="AE73"/>
  <c r="AA308"/>
  <c r="AD218"/>
  <c r="AA312"/>
  <c r="AE232"/>
  <c r="AF28"/>
  <c r="BD10" i="43"/>
  <c r="BF10" s="1"/>
  <c r="AA110" i="24"/>
  <c r="AA27"/>
  <c r="AF73"/>
  <c r="AF97"/>
  <c r="AF309"/>
  <c r="AA217"/>
  <c r="AE313"/>
  <c r="AD232"/>
  <c r="CR10" i="43"/>
  <c r="CT10" s="1"/>
  <c r="AD111" i="24"/>
  <c r="AF111"/>
  <c r="AD28"/>
  <c r="AD73"/>
  <c r="AD309"/>
  <c r="AE218"/>
  <c r="AD313"/>
  <c r="AF232"/>
  <c r="AA224"/>
  <c r="AA96"/>
  <c r="AD97"/>
  <c r="AF77"/>
  <c r="DX272" i="43"/>
  <c r="CV52"/>
  <c r="I13" i="30" s="1"/>
  <c r="CV140" i="43"/>
  <c r="H13" i="30" s="1"/>
  <c r="CV43" i="43"/>
  <c r="CW43" s="1"/>
  <c r="CV60"/>
  <c r="CW60" s="1"/>
  <c r="CV13"/>
  <c r="CW13" s="1"/>
  <c r="CV125"/>
  <c r="CW125" s="1"/>
  <c r="CV148"/>
  <c r="CW148" s="1"/>
  <c r="CV145"/>
  <c r="CW145" s="1"/>
  <c r="CV127"/>
  <c r="CW127" s="1"/>
  <c r="CV136"/>
  <c r="CW136" s="1"/>
  <c r="CV34"/>
  <c r="CW34" s="1"/>
  <c r="CV74"/>
  <c r="CW74" s="1"/>
  <c r="CV98"/>
  <c r="CW98" s="1"/>
  <c r="CV138"/>
  <c r="F13" i="30" s="1"/>
  <c r="CV50" i="43"/>
  <c r="CW50" s="1"/>
  <c r="CV154"/>
  <c r="CW154" s="1"/>
  <c r="CW78"/>
  <c r="CV65"/>
  <c r="CW65" s="1"/>
  <c r="CV24"/>
  <c r="CW24" s="1"/>
  <c r="CV100"/>
  <c r="CW100" s="1"/>
  <c r="CV115"/>
  <c r="CW115" s="1"/>
  <c r="CV126"/>
  <c r="CW126" s="1"/>
  <c r="CV114"/>
  <c r="CW114" s="1"/>
  <c r="CV146"/>
  <c r="CW146" s="1"/>
  <c r="CV142"/>
  <c r="CW142" s="1"/>
  <c r="AE97" i="24"/>
  <c r="AD236"/>
  <c r="AA261"/>
  <c r="H59" i="35"/>
  <c r="AD32" i="24"/>
  <c r="AA30"/>
  <c r="AF40"/>
  <c r="CZ135" i="43"/>
  <c r="AI135" i="24" s="1"/>
  <c r="AA31"/>
  <c r="AE31"/>
  <c r="AA187"/>
  <c r="GY8" i="43"/>
  <c r="GR8"/>
  <c r="AE276" i="24"/>
  <c r="AF276"/>
  <c r="AE68"/>
  <c r="AD68"/>
  <c r="AD152"/>
  <c r="AA275"/>
  <c r="AF68"/>
  <c r="AA67"/>
  <c r="AD16"/>
  <c r="AE303"/>
  <c r="AF262"/>
  <c r="AE49"/>
  <c r="AF328"/>
  <c r="AE32"/>
  <c r="AF32"/>
  <c r="AF41"/>
  <c r="AF31"/>
  <c r="AD31"/>
  <c r="AA69"/>
  <c r="AD70"/>
  <c r="AD225"/>
  <c r="AE290"/>
  <c r="AD186"/>
  <c r="CZ154" i="43"/>
  <c r="AI154" i="24" s="1"/>
  <c r="AE228"/>
  <c r="AA68"/>
  <c r="AD69"/>
  <c r="AD38"/>
  <c r="AD215"/>
  <c r="AF213"/>
  <c r="AA185"/>
  <c r="AE17"/>
  <c r="G13" i="22"/>
  <c r="AA227" i="24"/>
  <c r="AE266"/>
  <c r="AD17"/>
  <c r="AE152"/>
  <c r="AA40"/>
  <c r="AF39"/>
  <c r="AA15"/>
  <c r="AA151"/>
  <c r="AF49"/>
  <c r="AF80"/>
  <c r="AF95"/>
  <c r="AA265"/>
  <c r="AA212"/>
  <c r="AF152"/>
  <c r="I9" i="30"/>
  <c r="I26"/>
  <c r="J7"/>
  <c r="I20"/>
  <c r="I27"/>
  <c r="I19"/>
  <c r="I21"/>
  <c r="I23"/>
  <c r="I17"/>
  <c r="I6"/>
  <c r="I28"/>
  <c r="I22"/>
  <c r="J17" i="43"/>
  <c r="K17" s="1"/>
  <c r="CR17" s="1"/>
  <c r="CT17" s="1"/>
  <c r="I16" i="30"/>
  <c r="H14" i="22"/>
  <c r="K14"/>
  <c r="P14"/>
  <c r="I14"/>
  <c r="A15"/>
  <c r="E14"/>
  <c r="S14"/>
  <c r="L14"/>
  <c r="T14"/>
  <c r="C14"/>
  <c r="D14"/>
  <c r="B14"/>
  <c r="M14"/>
  <c r="J12" i="30"/>
  <c r="J13" i="22"/>
  <c r="N13" s="1"/>
  <c r="O13" s="1"/>
  <c r="J13" i="30"/>
  <c r="I14"/>
  <c r="AE69" i="24"/>
  <c r="AF69"/>
  <c r="AA48"/>
  <c r="AD80"/>
  <c r="AE80"/>
  <c r="AE38"/>
  <c r="AD61"/>
  <c r="AE79"/>
  <c r="AA329"/>
  <c r="AD228"/>
  <c r="AF228"/>
  <c r="AF266"/>
  <c r="AD266"/>
  <c r="AF225"/>
  <c r="AE225"/>
  <c r="AA302"/>
  <c r="AA214"/>
  <c r="AD213"/>
  <c r="AE213"/>
  <c r="AD192"/>
  <c r="AF186"/>
  <c r="AE186"/>
  <c r="AF17"/>
  <c r="AA16"/>
  <c r="J59" i="35"/>
  <c r="I59"/>
  <c r="AA327" i="24"/>
  <c r="AF242"/>
  <c r="AD328"/>
  <c r="AE328"/>
  <c r="AA94"/>
  <c r="AE240"/>
  <c r="AE95"/>
  <c r="AQ154" i="43"/>
  <c r="O22" i="44"/>
  <c r="O24" s="1"/>
  <c r="N22"/>
  <c r="N24" s="1"/>
  <c r="AF16" i="24"/>
  <c r="AE16"/>
  <c r="AE77"/>
  <c r="AA71"/>
  <c r="AE70"/>
  <c r="AD54"/>
  <c r="AE54"/>
  <c r="CZ81" i="43"/>
  <c r="AI81" i="24" s="1"/>
  <c r="CZ155" i="43"/>
  <c r="AI155" i="24" s="1"/>
  <c r="AE330"/>
  <c r="AD262"/>
  <c r="AE72"/>
  <c r="AE37"/>
  <c r="AA53"/>
  <c r="AA39"/>
  <c r="AE40"/>
  <c r="AD330"/>
  <c r="AA76"/>
  <c r="AA60"/>
  <c r="AF61"/>
  <c r="CZ145" i="43"/>
  <c r="AI145" i="24" s="1"/>
  <c r="AF72"/>
  <c r="AF79"/>
  <c r="AA78"/>
  <c r="AF330"/>
  <c r="AE262"/>
  <c r="AD79"/>
  <c r="AD49"/>
  <c r="CZ138" i="43"/>
  <c r="AI138" i="24" s="1"/>
  <c r="AE236"/>
  <c r="AD290"/>
  <c r="AF192"/>
  <c r="AF188"/>
  <c r="AA276"/>
  <c r="AD95"/>
  <c r="AA235"/>
  <c r="AF236"/>
  <c r="AF290"/>
  <c r="AA289"/>
  <c r="AD318"/>
  <c r="AE192"/>
  <c r="AA191"/>
  <c r="AD188"/>
  <c r="AE188"/>
  <c r="AA112"/>
  <c r="AA58"/>
  <c r="DX318" i="43"/>
  <c r="AE47" i="24"/>
  <c r="CZ125" i="43"/>
  <c r="AA124" i="24" s="1"/>
  <c r="AA241"/>
  <c r="AF303"/>
  <c r="AD303"/>
  <c r="AF215"/>
  <c r="AE215"/>
  <c r="AF240"/>
  <c r="AF54"/>
  <c r="CZ136" i="43"/>
  <c r="AA135" i="24" s="1"/>
  <c r="AF70"/>
  <c r="AA79"/>
  <c r="AD57"/>
  <c r="AD87"/>
  <c r="AD118"/>
  <c r="AA8"/>
  <c r="AD47"/>
  <c r="AD35"/>
  <c r="AE67"/>
  <c r="AF71"/>
  <c r="AD234"/>
  <c r="AD66"/>
  <c r="AF38"/>
  <c r="AD72"/>
  <c r="AE144"/>
  <c r="AA26"/>
  <c r="AA62"/>
  <c r="AD277"/>
  <c r="AA36"/>
  <c r="AF299"/>
  <c r="AD41"/>
  <c r="AF318"/>
  <c r="AD40"/>
  <c r="AF12"/>
  <c r="AD59"/>
  <c r="AD285"/>
  <c r="AE61"/>
  <c r="AE113"/>
  <c r="AD139"/>
  <c r="AE242"/>
  <c r="AA239"/>
  <c r="AD39"/>
  <c r="AD242"/>
  <c r="AF234"/>
  <c r="AE12"/>
  <c r="AD113"/>
  <c r="DX299" i="43"/>
  <c r="AF113" i="24"/>
  <c r="BH50" i="43"/>
  <c r="CZ50"/>
  <c r="AI50" i="24" s="1"/>
  <c r="AQ50" i="43"/>
  <c r="V47" i="45"/>
  <c r="AA66" i="24"/>
  <c r="AD12"/>
  <c r="AA233"/>
  <c r="AE234"/>
  <c r="AD240"/>
  <c r="AF277"/>
  <c r="AE277"/>
  <c r="AA37"/>
  <c r="F28" i="34"/>
  <c r="AF67" i="24"/>
  <c r="AE41"/>
  <c r="AE63"/>
  <c r="AE66"/>
  <c r="AA317"/>
  <c r="AE318"/>
  <c r="AE299"/>
  <c r="AA298"/>
  <c r="CZ148" i="43"/>
  <c r="AI148" i="24" s="1"/>
  <c r="AQ138" i="43"/>
  <c r="F52" i="34"/>
  <c r="V145" i="45"/>
  <c r="AQ148" i="43"/>
  <c r="V78" i="45"/>
  <c r="AQ81" i="43"/>
  <c r="AE9" i="24"/>
  <c r="AD37"/>
  <c r="AE39"/>
  <c r="AA38"/>
  <c r="AF63"/>
  <c r="AA65"/>
  <c r="AA284"/>
  <c r="AF285"/>
  <c r="AD299"/>
  <c r="AD63"/>
  <c r="AF37"/>
  <c r="F58" i="34"/>
  <c r="F37"/>
  <c r="F26"/>
  <c r="F73"/>
  <c r="F19"/>
  <c r="V62" i="45"/>
  <c r="AQ65" i="43"/>
  <c r="AQ43"/>
  <c r="V40" i="45"/>
  <c r="V146"/>
  <c r="AQ149" i="43"/>
  <c r="AQ34"/>
  <c r="V31" i="45"/>
  <c r="V71"/>
  <c r="AQ74" i="43"/>
  <c r="V144" i="45"/>
  <c r="AQ147" i="43"/>
  <c r="AQ129"/>
  <c r="V126" i="45"/>
  <c r="V87"/>
  <c r="AQ90" i="43"/>
  <c r="AQ100"/>
  <c r="V97" i="45"/>
  <c r="AQ115" i="43"/>
  <c r="V112" i="45"/>
  <c r="AQ141" i="43"/>
  <c r="V138" i="45"/>
  <c r="AQ136" i="43"/>
  <c r="V133" i="45"/>
  <c r="V10"/>
  <c r="AQ13" i="43"/>
  <c r="AQ142"/>
  <c r="V139" i="45"/>
  <c r="V117"/>
  <c r="AQ120" i="43"/>
  <c r="AQ23"/>
  <c r="V20" i="45"/>
  <c r="V83"/>
  <c r="AQ86" i="43"/>
  <c r="AQ143"/>
  <c r="V140" i="45"/>
  <c r="AQ153" i="43"/>
  <c r="V150" i="45"/>
  <c r="AQ52" i="43"/>
  <c r="V49" i="45"/>
  <c r="AQ107" i="43"/>
  <c r="V104" i="45"/>
  <c r="AQ91" i="43"/>
  <c r="V88" i="45"/>
  <c r="AQ114" i="43"/>
  <c r="V111" i="45"/>
  <c r="AQ140" i="43"/>
  <c r="V137" i="45"/>
  <c r="V21"/>
  <c r="AQ24" i="43"/>
  <c r="V57" i="45"/>
  <c r="AQ60" i="43"/>
  <c r="AQ137"/>
  <c r="V134" i="45"/>
  <c r="AQ98" i="43"/>
  <c r="V95" i="45"/>
  <c r="V127"/>
  <c r="AQ130" i="43"/>
  <c r="V122" i="45"/>
  <c r="AQ125" i="43"/>
  <c r="AE285" i="24"/>
  <c r="AD67"/>
  <c r="Q88" i="43"/>
  <c r="AO88" s="1"/>
  <c r="AP88" s="1"/>
  <c r="F11" i="34"/>
  <c r="F16"/>
  <c r="F61"/>
  <c r="F74"/>
  <c r="F42"/>
  <c r="F54"/>
  <c r="F41"/>
  <c r="F48"/>
  <c r="F17"/>
  <c r="F25"/>
  <c r="F69"/>
  <c r="F24"/>
  <c r="F68"/>
  <c r="E7"/>
  <c r="E44" s="1"/>
  <c r="F35"/>
  <c r="F32"/>
  <c r="F12"/>
  <c r="F64"/>
  <c r="F23"/>
  <c r="F14"/>
  <c r="F18"/>
  <c r="F13"/>
  <c r="F31"/>
  <c r="F43"/>
  <c r="F56"/>
  <c r="F49"/>
  <c r="F33"/>
  <c r="F6"/>
  <c r="F10"/>
  <c r="F15"/>
  <c r="F36"/>
  <c r="F29"/>
  <c r="F46"/>
  <c r="F70"/>
  <c r="F51"/>
  <c r="F53"/>
  <c r="F44"/>
  <c r="F63"/>
  <c r="F71"/>
  <c r="F66"/>
  <c r="F38"/>
  <c r="F57"/>
  <c r="F60"/>
  <c r="F45"/>
  <c r="F65"/>
  <c r="F30"/>
  <c r="F72"/>
  <c r="F27"/>
  <c r="F9"/>
  <c r="F40"/>
  <c r="AD53" i="24"/>
  <c r="AE53"/>
  <c r="AF53"/>
  <c r="AA52"/>
  <c r="EV15" i="43"/>
  <c r="EU16"/>
  <c r="AF144" i="24"/>
  <c r="AD71"/>
  <c r="AF66"/>
  <c r="CZ141" i="43"/>
  <c r="CZ120"/>
  <c r="AI120" i="24" s="1"/>
  <c r="AA11"/>
  <c r="AF47"/>
  <c r="AA46"/>
  <c r="CY14" i="43"/>
  <c r="DA14" s="1"/>
  <c r="AU11" i="45" s="1"/>
  <c r="AV10"/>
  <c r="CH13" i="43"/>
  <c r="FZ15"/>
  <c r="AD144" i="24"/>
  <c r="AA143"/>
  <c r="AD9"/>
  <c r="AF9"/>
  <c r="AA70"/>
  <c r="AE71"/>
  <c r="CZ146" i="43"/>
  <c r="AI146" i="24" s="1"/>
  <c r="CZ127" i="43"/>
  <c r="AI127" i="24" s="1"/>
  <c r="CZ140" i="43"/>
  <c r="AI140" i="24" s="1"/>
  <c r="BH142" i="43"/>
  <c r="J11" i="30" s="1"/>
  <c r="CZ142" i="43"/>
  <c r="AI142" i="24" s="1"/>
  <c r="H11" i="30"/>
  <c r="AK14" i="43"/>
  <c r="AD27" i="24"/>
  <c r="AE59"/>
  <c r="AF27"/>
  <c r="C12" i="30"/>
  <c r="BB84" i="43"/>
  <c r="BH84" s="1"/>
  <c r="AF25" i="24"/>
  <c r="AE27"/>
  <c r="AD25"/>
  <c r="BK84"/>
  <c r="BD14" i="43"/>
  <c r="BF14" s="1"/>
  <c r="AA335" i="24"/>
  <c r="AE336"/>
  <c r="AD336"/>
  <c r="AF336"/>
  <c r="AA356"/>
  <c r="AE357"/>
  <c r="AD357"/>
  <c r="AF357"/>
  <c r="F109" i="35"/>
  <c r="Q12" i="22"/>
  <c r="R12" s="1"/>
  <c r="AF35" i="24"/>
  <c r="Q84" i="43"/>
  <c r="AO84" s="1"/>
  <c r="AP84" s="1"/>
  <c r="CZ126"/>
  <c r="AI126" i="24" s="1"/>
  <c r="F45" i="35"/>
  <c r="AE134" i="24"/>
  <c r="AA133"/>
  <c r="F93" i="35"/>
  <c r="F52"/>
  <c r="F74"/>
  <c r="F95"/>
  <c r="F96"/>
  <c r="F27"/>
  <c r="F83"/>
  <c r="F90"/>
  <c r="F16"/>
  <c r="F7"/>
  <c r="F67"/>
  <c r="F14"/>
  <c r="F54"/>
  <c r="F32"/>
  <c r="F18"/>
  <c r="F11"/>
  <c r="F50"/>
  <c r="F47"/>
  <c r="F29"/>
  <c r="F8"/>
  <c r="F65"/>
  <c r="F37"/>
  <c r="F48"/>
  <c r="F70"/>
  <c r="F84"/>
  <c r="F103"/>
  <c r="F53"/>
  <c r="F59"/>
  <c r="F42"/>
  <c r="F43"/>
  <c r="F21"/>
  <c r="F97"/>
  <c r="F102"/>
  <c r="F81"/>
  <c r="F44"/>
  <c r="F108"/>
  <c r="F61"/>
  <c r="F75"/>
  <c r="F31"/>
  <c r="E4"/>
  <c r="E54" s="1"/>
  <c r="F98"/>
  <c r="F78"/>
  <c r="F3"/>
  <c r="F15"/>
  <c r="F12"/>
  <c r="F30"/>
  <c r="F82"/>
  <c r="F19"/>
  <c r="F85"/>
  <c r="F28"/>
  <c r="F55"/>
  <c r="F17"/>
  <c r="F23"/>
  <c r="F106"/>
  <c r="F89"/>
  <c r="F13"/>
  <c r="F9"/>
  <c r="F46"/>
  <c r="F10"/>
  <c r="F68"/>
  <c r="F38"/>
  <c r="F62"/>
  <c r="F107"/>
  <c r="F80"/>
  <c r="F56"/>
  <c r="AF145" i="24"/>
  <c r="AF134"/>
  <c r="CZ115" i="43"/>
  <c r="AI115" i="24" s="1"/>
  <c r="CZ151" i="43"/>
  <c r="AI151" i="24" s="1"/>
  <c r="FF88" i="43"/>
  <c r="CV151"/>
  <c r="CW151" s="1"/>
  <c r="BY14"/>
  <c r="CA14" s="1"/>
  <c r="CR14"/>
  <c r="CT14" s="1"/>
  <c r="AE145" i="24"/>
  <c r="AD134"/>
  <c r="AE35"/>
  <c r="AA34"/>
  <c r="AF59"/>
  <c r="AE25"/>
  <c r="AA24"/>
  <c r="CZ114" i="43"/>
  <c r="AI114" i="24" s="1"/>
  <c r="CC114" i="43"/>
  <c r="Q14" i="22"/>
  <c r="Q13"/>
  <c r="DR12" i="43"/>
  <c r="AK12" s="1"/>
  <c r="BD12"/>
  <c r="BF12" s="1"/>
  <c r="CR12"/>
  <c r="CT12" s="1"/>
  <c r="BY12"/>
  <c r="CA12" s="1"/>
  <c r="AG85"/>
  <c r="I51" i="35" s="1"/>
  <c r="DT84" i="43"/>
  <c r="CP88"/>
  <c r="AE118" i="24"/>
  <c r="AF118"/>
  <c r="AE131"/>
  <c r="AF131"/>
  <c r="AD131"/>
  <c r="AA130"/>
  <c r="AF14"/>
  <c r="AA13"/>
  <c r="AE14"/>
  <c r="AD14"/>
  <c r="AD44"/>
  <c r="AA43"/>
  <c r="AE44"/>
  <c r="AF44"/>
  <c r="AD78"/>
  <c r="AE78"/>
  <c r="AF78"/>
  <c r="AA77"/>
  <c r="BV84" i="43"/>
  <c r="CP84"/>
  <c r="CR16"/>
  <c r="CT16" s="1"/>
  <c r="AA117" i="24"/>
  <c r="AJ84" i="43"/>
  <c r="I84" s="1"/>
  <c r="BY16"/>
  <c r="CA16" s="1"/>
  <c r="DR16"/>
  <c r="AK16" s="1"/>
  <c r="AE139" i="24"/>
  <c r="AF116"/>
  <c r="AE116"/>
  <c r="AA115"/>
  <c r="AD116"/>
  <c r="BH130" i="43"/>
  <c r="CZ130"/>
  <c r="AI130" i="24" s="1"/>
  <c r="CV130" i="43"/>
  <c r="CW130" s="1"/>
  <c r="AX85"/>
  <c r="BO85"/>
  <c r="AV85"/>
  <c r="AZ85"/>
  <c r="BQ85"/>
  <c r="C13" i="30"/>
  <c r="AE109" i="24"/>
  <c r="AA108"/>
  <c r="AF109"/>
  <c r="AD109"/>
  <c r="AE108"/>
  <c r="AD108"/>
  <c r="AA107"/>
  <c r="AF108"/>
  <c r="U16" i="44"/>
  <c r="I11" i="43"/>
  <c r="K11" s="1"/>
  <c r="CZ11"/>
  <c r="AI11" i="24" s="1"/>
  <c r="BH11" i="43"/>
  <c r="S14" i="44"/>
  <c r="U15"/>
  <c r="CL85" i="43"/>
  <c r="CN85"/>
  <c r="BS85"/>
  <c r="CJ85"/>
  <c r="K24" i="35"/>
  <c r="BV88" i="43"/>
  <c r="CC88" s="1"/>
  <c r="AD92" i="24"/>
  <c r="AF92"/>
  <c r="AE92"/>
  <c r="AA91"/>
  <c r="GQ14" i="43"/>
  <c r="GS14" s="1"/>
  <c r="GC14"/>
  <c r="GE14" s="1"/>
  <c r="AR14" s="1"/>
  <c r="GJ14"/>
  <c r="GL14" s="1"/>
  <c r="BK14" s="1"/>
  <c r="BM14" s="1"/>
  <c r="CC91"/>
  <c r="CV91"/>
  <c r="CW91" s="1"/>
  <c r="BH91"/>
  <c r="CZ91"/>
  <c r="AI91" i="24" s="1"/>
  <c r="AF87"/>
  <c r="DT88" i="43"/>
  <c r="U17" i="44"/>
  <c r="S12"/>
  <c r="S15"/>
  <c r="T14"/>
  <c r="S16"/>
  <c r="U14"/>
  <c r="AJ88" i="43"/>
  <c r="I88" s="1"/>
  <c r="T20" i="44"/>
  <c r="U13"/>
  <c r="BB88" i="43"/>
  <c r="BH88" s="1"/>
  <c r="AA138" i="24"/>
  <c r="BD9" i="43"/>
  <c r="BF9" s="1"/>
  <c r="CR9"/>
  <c r="CT9" s="1"/>
  <c r="DR9"/>
  <c r="AK9" s="1"/>
  <c r="AF139" i="24"/>
  <c r="AE57"/>
  <c r="AE87"/>
  <c r="AA86"/>
  <c r="T16" i="44"/>
  <c r="CC137" i="43"/>
  <c r="E12" i="30" s="1"/>
  <c r="T17" i="44"/>
  <c r="T18"/>
  <c r="H109" i="35"/>
  <c r="AF57" i="24"/>
  <c r="AA56"/>
  <c r="AF62"/>
  <c r="AE62"/>
  <c r="AD62"/>
  <c r="AA61"/>
  <c r="CZ98" i="43"/>
  <c r="AI98" i="24" s="1"/>
  <c r="DX8" i="43"/>
  <c r="AD26" i="24"/>
  <c r="AF26"/>
  <c r="AE26"/>
  <c r="AA25"/>
  <c r="T19" i="44"/>
  <c r="AF122" i="24"/>
  <c r="AE122"/>
  <c r="AD122"/>
  <c r="AA121"/>
  <c r="AD89"/>
  <c r="AE89"/>
  <c r="AF89"/>
  <c r="AA88"/>
  <c r="AE18"/>
  <c r="AA17"/>
  <c r="AD18"/>
  <c r="AF18"/>
  <c r="I20" i="34"/>
  <c r="I21" s="1"/>
  <c r="AA41" i="24"/>
  <c r="AE42"/>
  <c r="AD42"/>
  <c r="AF42"/>
  <c r="CV107" i="43"/>
  <c r="CW107" s="1"/>
  <c r="BH100"/>
  <c r="CZ100"/>
  <c r="AI100" i="24" s="1"/>
  <c r="CC107" i="43"/>
  <c r="CZ107"/>
  <c r="AI107" i="24" s="1"/>
  <c r="BH107" i="43"/>
  <c r="CC100"/>
  <c r="AE105" i="24"/>
  <c r="AA104"/>
  <c r="AD105"/>
  <c r="AF105"/>
  <c r="AD133"/>
  <c r="AF133"/>
  <c r="AA132"/>
  <c r="AE133"/>
  <c r="AA131"/>
  <c r="AF132"/>
  <c r="AD132"/>
  <c r="AE132"/>
  <c r="AF8"/>
  <c r="AE8"/>
  <c r="AD8"/>
  <c r="Q10" i="22"/>
  <c r="R10" s="1"/>
  <c r="AF75" i="24"/>
  <c r="AA74"/>
  <c r="AE75"/>
  <c r="AD75"/>
  <c r="ED8" i="43"/>
  <c r="Y8"/>
  <c r="AA109" i="24"/>
  <c r="AE110"/>
  <c r="AF110"/>
  <c r="AD110"/>
  <c r="AF102"/>
  <c r="AA101"/>
  <c r="AE102"/>
  <c r="AD102"/>
  <c r="AF117"/>
  <c r="AE117"/>
  <c r="AD117"/>
  <c r="AA116"/>
  <c r="AF150"/>
  <c r="AD150"/>
  <c r="AE150"/>
  <c r="AA149"/>
  <c r="AA155"/>
  <c r="AF156"/>
  <c r="AD156"/>
  <c r="AE156"/>
  <c r="CC147" i="43"/>
  <c r="CV147"/>
  <c r="CW147" s="1"/>
  <c r="CZ52"/>
  <c r="AI52" i="24" s="1"/>
  <c r="BH52" i="43"/>
  <c r="I11" i="30" s="1"/>
  <c r="CC90" i="43"/>
  <c r="AF127" i="24"/>
  <c r="BH90" i="43"/>
  <c r="CZ90"/>
  <c r="AI90" i="24" s="1"/>
  <c r="CZ147" i="43"/>
  <c r="AI147" i="24" s="1"/>
  <c r="BH147" i="43"/>
  <c r="AA50" i="24"/>
  <c r="AD51"/>
  <c r="AF51"/>
  <c r="AE51"/>
  <c r="CV129" i="43"/>
  <c r="CW129" s="1"/>
  <c r="I52"/>
  <c r="AF128" i="24"/>
  <c r="AE128"/>
  <c r="AD128"/>
  <c r="AA127"/>
  <c r="CC129" i="43"/>
  <c r="CV90"/>
  <c r="CW90" s="1"/>
  <c r="BH129"/>
  <c r="CZ129"/>
  <c r="AI129" i="24" s="1"/>
  <c r="AF123"/>
  <c r="AA122"/>
  <c r="AD123"/>
  <c r="AE123"/>
  <c r="CZ137" i="43"/>
  <c r="AI137" i="24" s="1"/>
  <c r="BH137" i="43"/>
  <c r="E11" i="30" s="1"/>
  <c r="CV137" i="43"/>
  <c r="E13" i="30" s="1"/>
  <c r="AD121" i="24"/>
  <c r="AE121"/>
  <c r="AF121"/>
  <c r="AA120"/>
  <c r="AD93"/>
  <c r="AA92"/>
  <c r="AF93"/>
  <c r="AE93"/>
  <c r="AA111"/>
  <c r="AF112"/>
  <c r="AD112"/>
  <c r="AE112"/>
  <c r="AD33"/>
  <c r="AA32"/>
  <c r="AE33"/>
  <c r="AF33"/>
  <c r="BK83"/>
  <c r="AJ83" i="43"/>
  <c r="H20" i="34"/>
  <c r="H21" s="1"/>
  <c r="Q83" i="43"/>
  <c r="AO83" s="1"/>
  <c r="AP83" s="1"/>
  <c r="H51" i="35"/>
  <c r="FF83" i="43"/>
  <c r="CP83"/>
  <c r="DT83"/>
  <c r="CV143"/>
  <c r="CW143" s="1"/>
  <c r="CC153"/>
  <c r="AA134" i="24"/>
  <c r="CZ143" i="43"/>
  <c r="AI143" i="24" s="1"/>
  <c r="BH143" i="43"/>
  <c r="BH153"/>
  <c r="CZ153"/>
  <c r="AI153" i="24" s="1"/>
  <c r="BY15" i="43"/>
  <c r="CA15" s="1"/>
  <c r="BD15"/>
  <c r="BF15" s="1"/>
  <c r="DR15"/>
  <c r="CR15"/>
  <c r="CT15" s="1"/>
  <c r="AD146" i="24"/>
  <c r="AF96"/>
  <c r="AE96"/>
  <c r="AD96"/>
  <c r="AA95"/>
  <c r="AT10" i="45"/>
  <c r="AT13" i="43"/>
  <c r="CV153"/>
  <c r="CW153" s="1"/>
  <c r="AA118" i="24"/>
  <c r="AE119"/>
  <c r="AD119"/>
  <c r="AF119"/>
  <c r="AE94"/>
  <c r="AA93"/>
  <c r="AF94"/>
  <c r="AD94"/>
  <c r="BB83" i="43"/>
  <c r="I79" i="35"/>
  <c r="GD13" i="43"/>
  <c r="GK13"/>
  <c r="GY13"/>
  <c r="GR13"/>
  <c r="AE106" i="24"/>
  <c r="AA105"/>
  <c r="AD106"/>
  <c r="AF106"/>
  <c r="CC143" i="43"/>
  <c r="BV83"/>
  <c r="AA29" i="24"/>
  <c r="AD30"/>
  <c r="AE30"/>
  <c r="AF30"/>
  <c r="GP16" i="43"/>
  <c r="AA16"/>
  <c r="GG17"/>
  <c r="GF17" s="1"/>
  <c r="GN17"/>
  <c r="GM17" s="1"/>
  <c r="BZ17"/>
  <c r="Z17"/>
  <c r="AA17" s="1"/>
  <c r="C14" i="45" s="1"/>
  <c r="FS18" i="43"/>
  <c r="GU18" s="1"/>
  <c r="AD17"/>
  <c r="GT17"/>
  <c r="BE17"/>
  <c r="CS17"/>
  <c r="HB17"/>
  <c r="HA17" s="1"/>
  <c r="AA47" i="24"/>
  <c r="AD48"/>
  <c r="AF48"/>
  <c r="AE48"/>
  <c r="AD29"/>
  <c r="AA28"/>
  <c r="AE29"/>
  <c r="AF29"/>
  <c r="CZ13" i="43"/>
  <c r="AI13" i="24" s="1"/>
  <c r="GI16" i="43"/>
  <c r="J18"/>
  <c r="K18" s="1"/>
  <c r="AL17"/>
  <c r="T12" i="45"/>
  <c r="AG82" i="43"/>
  <c r="AZ82"/>
  <c r="CN82"/>
  <c r="AV82"/>
  <c r="BS82"/>
  <c r="AX82"/>
  <c r="BO82"/>
  <c r="CL82"/>
  <c r="BQ82"/>
  <c r="CJ82"/>
  <c r="G109" i="35"/>
  <c r="AA45" i="24"/>
  <c r="AF46"/>
  <c r="AE46"/>
  <c r="AD46"/>
  <c r="GW16" i="43"/>
  <c r="I13"/>
  <c r="AE103" i="24"/>
  <c r="AA102"/>
  <c r="AF103"/>
  <c r="AD103"/>
  <c r="CC13" i="43"/>
  <c r="AA103" i="24"/>
  <c r="AF104"/>
  <c r="AE104"/>
  <c r="AD104"/>
  <c r="GB16" i="43"/>
  <c r="AE16"/>
  <c r="DO16"/>
  <c r="DP16" s="1"/>
  <c r="C12" i="45"/>
  <c r="AF19" i="24"/>
  <c r="AD19"/>
  <c r="AA18"/>
  <c r="AE19"/>
  <c r="T12" i="44"/>
  <c r="I23" i="43"/>
  <c r="CV23"/>
  <c r="CW23" s="1"/>
  <c r="CC60"/>
  <c r="DX10"/>
  <c r="AK10"/>
  <c r="R10"/>
  <c r="BH43"/>
  <c r="CZ43"/>
  <c r="AI43" i="24" s="1"/>
  <c r="CZ23" i="43"/>
  <c r="AI23" i="24" s="1"/>
  <c r="BH23" i="43"/>
  <c r="I34"/>
  <c r="AF124" i="24"/>
  <c r="AE124"/>
  <c r="AA123"/>
  <c r="AD124"/>
  <c r="CZ65" i="43"/>
  <c r="AI65" i="24" s="1"/>
  <c r="T15" i="44"/>
  <c r="W12" i="45"/>
  <c r="Y12" s="1"/>
  <c r="AA11"/>
  <c r="AB11" s="1"/>
  <c r="Z11"/>
  <c r="I43" i="43"/>
  <c r="I86"/>
  <c r="K57" i="35"/>
  <c r="S17" i="44"/>
  <c r="CC23" i="43"/>
  <c r="I65"/>
  <c r="CZ74"/>
  <c r="AI74" i="24" s="1"/>
  <c r="BH74" i="43"/>
  <c r="C11" i="30" s="1"/>
  <c r="I24" i="43"/>
  <c r="S19" i="44"/>
  <c r="CZ34" i="43"/>
  <c r="AI34" i="24" s="1"/>
  <c r="CC34" i="43"/>
  <c r="I60"/>
  <c r="AA54" i="24"/>
  <c r="AE55"/>
  <c r="AD55"/>
  <c r="AF55"/>
  <c r="K94" i="35"/>
  <c r="CV86" i="43"/>
  <c r="CW86" s="1"/>
  <c r="BH24"/>
  <c r="CZ24"/>
  <c r="AI24" i="24" s="1"/>
  <c r="CC149" i="43"/>
  <c r="T13" i="44"/>
  <c r="J79" i="35"/>
  <c r="J20" i="34"/>
  <c r="J21" s="1"/>
  <c r="J51" i="35"/>
  <c r="CZ60" i="43"/>
  <c r="AI60" i="24" s="1"/>
  <c r="BH60" i="43"/>
  <c r="BH149"/>
  <c r="CZ149"/>
  <c r="AI149" i="24" s="1"/>
  <c r="S13" i="44"/>
  <c r="CC86" i="43"/>
  <c r="K79" i="35"/>
  <c r="U18" i="44"/>
  <c r="CV149" i="43"/>
  <c r="CW149" s="1"/>
  <c r="U12" i="44"/>
  <c r="S18"/>
  <c r="BH86" i="43"/>
  <c r="K66" i="35"/>
  <c r="CZ86" i="43"/>
  <c r="AI86" i="24" s="1"/>
  <c r="U20" i="44"/>
  <c r="U19"/>
  <c r="S20"/>
  <c r="X10" i="43" l="1"/>
  <c r="AE135" i="24"/>
  <c r="AD81"/>
  <c r="AA80"/>
  <c r="AD135"/>
  <c r="AF135"/>
  <c r="AE154"/>
  <c r="AD138"/>
  <c r="AD154"/>
  <c r="BD17" i="43"/>
  <c r="BF17" s="1"/>
  <c r="AA154" i="24"/>
  <c r="AA153"/>
  <c r="AF125"/>
  <c r="CW140" i="43"/>
  <c r="CW137"/>
  <c r="CV84"/>
  <c r="CW84" s="1"/>
  <c r="CV88"/>
  <c r="CW88" s="1"/>
  <c r="CW138"/>
  <c r="CW52"/>
  <c r="AF154" i="24"/>
  <c r="AF138"/>
  <c r="AE155"/>
  <c r="F14" i="22"/>
  <c r="FF85" i="43"/>
  <c r="BK85" i="24"/>
  <c r="AF81"/>
  <c r="AE81"/>
  <c r="BY17" i="43"/>
  <c r="CA17" s="1"/>
  <c r="DR17"/>
  <c r="R17" s="1"/>
  <c r="AE138" i="24"/>
  <c r="AA144"/>
  <c r="AA137"/>
  <c r="AF155"/>
  <c r="AD155"/>
  <c r="R13" i="22"/>
  <c r="G14"/>
  <c r="K14" i="30"/>
  <c r="J9"/>
  <c r="J6"/>
  <c r="K7"/>
  <c r="J27"/>
  <c r="J19"/>
  <c r="J28"/>
  <c r="J22"/>
  <c r="J26"/>
  <c r="J17"/>
  <c r="J21"/>
  <c r="J23"/>
  <c r="J20"/>
  <c r="J10"/>
  <c r="J14"/>
  <c r="J16"/>
  <c r="J15"/>
  <c r="K16"/>
  <c r="D15" i="22"/>
  <c r="E15"/>
  <c r="P15"/>
  <c r="L15"/>
  <c r="I15"/>
  <c r="T15"/>
  <c r="A16"/>
  <c r="S15"/>
  <c r="M15"/>
  <c r="B15"/>
  <c r="H15"/>
  <c r="K15"/>
  <c r="C15"/>
  <c r="K15" i="30"/>
  <c r="J14" i="22"/>
  <c r="N14" s="1"/>
  <c r="O14" s="1"/>
  <c r="AE125" i="24"/>
  <c r="AD145"/>
  <c r="AE146"/>
  <c r="AE140"/>
  <c r="AF136"/>
  <c r="AE136"/>
  <c r="AI136"/>
  <c r="AD136"/>
  <c r="AI125"/>
  <c r="AD125"/>
  <c r="Q16" i="22"/>
  <c r="AI141" i="24"/>
  <c r="Q15" i="22"/>
  <c r="AE151" i="24"/>
  <c r="AF146"/>
  <c r="AE114"/>
  <c r="AA114"/>
  <c r="AA125"/>
  <c r="AA126"/>
  <c r="AA97"/>
  <c r="AA139"/>
  <c r="AE120"/>
  <c r="AA49"/>
  <c r="AF50"/>
  <c r="AD50"/>
  <c r="AE50"/>
  <c r="E58" i="34"/>
  <c r="AF126" i="24"/>
  <c r="E46" i="34"/>
  <c r="E51"/>
  <c r="E70"/>
  <c r="E40"/>
  <c r="E35"/>
  <c r="E68"/>
  <c r="AE148" i="24"/>
  <c r="AA147"/>
  <c r="AF148"/>
  <c r="AD148"/>
  <c r="AD127"/>
  <c r="AE127"/>
  <c r="E31" i="34"/>
  <c r="E74"/>
  <c r="E32"/>
  <c r="E24"/>
  <c r="E49"/>
  <c r="E19"/>
  <c r="D7"/>
  <c r="D28" s="1"/>
  <c r="DT85" i="43"/>
  <c r="R9"/>
  <c r="R12"/>
  <c r="AA113" i="24"/>
  <c r="Q85" i="43"/>
  <c r="AO85" s="1"/>
  <c r="AP85" s="1"/>
  <c r="AA145" i="24"/>
  <c r="AF114"/>
  <c r="J24" i="35"/>
  <c r="V81" i="45"/>
  <c r="AQ84" i="43"/>
  <c r="V85" i="45"/>
  <c r="AQ88" i="43"/>
  <c r="AQ83"/>
  <c r="V80" i="45"/>
  <c r="E27" i="34"/>
  <c r="E15"/>
  <c r="E6"/>
  <c r="E42"/>
  <c r="E30"/>
  <c r="E23"/>
  <c r="E37"/>
  <c r="E61"/>
  <c r="E43"/>
  <c r="E60"/>
  <c r="E25"/>
  <c r="E29"/>
  <c r="E48"/>
  <c r="E9"/>
  <c r="E56"/>
  <c r="E36"/>
  <c r="E33"/>
  <c r="E66"/>
  <c r="E10"/>
  <c r="E72"/>
  <c r="E73"/>
  <c r="E13"/>
  <c r="E18"/>
  <c r="E52"/>
  <c r="E17"/>
  <c r="E16"/>
  <c r="E63"/>
  <c r="E64"/>
  <c r="E26"/>
  <c r="E34"/>
  <c r="E53"/>
  <c r="E41"/>
  <c r="E65"/>
  <c r="E12"/>
  <c r="E28"/>
  <c r="E38"/>
  <c r="E71"/>
  <c r="E54"/>
  <c r="E14"/>
  <c r="E69"/>
  <c r="E45"/>
  <c r="E11"/>
  <c r="E57"/>
  <c r="EV16" i="43"/>
  <c r="EU17"/>
  <c r="AD115" i="24"/>
  <c r="AE115"/>
  <c r="AJ85" i="43"/>
  <c r="I57" i="35" s="1"/>
  <c r="AE141" i="24"/>
  <c r="AA140"/>
  <c r="AD141"/>
  <c r="AF141"/>
  <c r="AA119"/>
  <c r="AD120"/>
  <c r="AF120"/>
  <c r="CP85" i="43"/>
  <c r="AF115" i="24"/>
  <c r="CF14" i="43"/>
  <c r="FZ16"/>
  <c r="AD114" i="24"/>
  <c r="AD140"/>
  <c r="AF140"/>
  <c r="AF142"/>
  <c r="AA141"/>
  <c r="AD142"/>
  <c r="AE142"/>
  <c r="DX12" i="43"/>
  <c r="BB85"/>
  <c r="I66" i="35" s="1"/>
  <c r="AW11" i="45"/>
  <c r="X12" i="43"/>
  <c r="Y12" s="1"/>
  <c r="F12" i="22"/>
  <c r="R16" i="43"/>
  <c r="AD126" i="24"/>
  <c r="GA14" i="43"/>
  <c r="GD14" s="1"/>
  <c r="AE126" i="24"/>
  <c r="E61" i="35"/>
  <c r="AA150" i="24"/>
  <c r="E109" i="35"/>
  <c r="E70"/>
  <c r="E12"/>
  <c r="E47"/>
  <c r="E43"/>
  <c r="E68"/>
  <c r="E74"/>
  <c r="E81"/>
  <c r="AD151" i="24"/>
  <c r="AF151"/>
  <c r="E23" i="35"/>
  <c r="E13"/>
  <c r="E102"/>
  <c r="E67"/>
  <c r="E107"/>
  <c r="E27"/>
  <c r="E53"/>
  <c r="E95"/>
  <c r="E56"/>
  <c r="E108"/>
  <c r="E52"/>
  <c r="E90"/>
  <c r="E11"/>
  <c r="E42"/>
  <c r="E84"/>
  <c r="E38"/>
  <c r="E78"/>
  <c r="E10"/>
  <c r="E98"/>
  <c r="E30"/>
  <c r="E80"/>
  <c r="E62"/>
  <c r="E89"/>
  <c r="E32"/>
  <c r="E16"/>
  <c r="E75"/>
  <c r="E82"/>
  <c r="E9"/>
  <c r="D4"/>
  <c r="D70" s="1"/>
  <c r="E15"/>
  <c r="E93"/>
  <c r="E45"/>
  <c r="E19"/>
  <c r="E29"/>
  <c r="E17"/>
  <c r="E48"/>
  <c r="E69"/>
  <c r="E37"/>
  <c r="E28"/>
  <c r="E7"/>
  <c r="E14"/>
  <c r="E85"/>
  <c r="E3"/>
  <c r="E21"/>
  <c r="E31"/>
  <c r="E18"/>
  <c r="E46"/>
  <c r="E83"/>
  <c r="E65"/>
  <c r="E50"/>
  <c r="E44"/>
  <c r="E59"/>
  <c r="E6"/>
  <c r="E97"/>
  <c r="E8"/>
  <c r="E103"/>
  <c r="E96"/>
  <c r="E55"/>
  <c r="E106"/>
  <c r="X14" i="43"/>
  <c r="DX14"/>
  <c r="F13" i="22"/>
  <c r="Q11"/>
  <c r="R11" s="1"/>
  <c r="DX9" i="43"/>
  <c r="DX16"/>
  <c r="BV85"/>
  <c r="CC85" s="1"/>
  <c r="CZ84"/>
  <c r="AI84" i="24" s="1"/>
  <c r="X16" i="43"/>
  <c r="Y16" s="1"/>
  <c r="D13" i="45" s="1"/>
  <c r="U13" s="1"/>
  <c r="CC84" i="43"/>
  <c r="X9"/>
  <c r="ED9" s="1"/>
  <c r="CZ88"/>
  <c r="AI88" i="24" s="1"/>
  <c r="AF130"/>
  <c r="AA129"/>
  <c r="AE130"/>
  <c r="AD130"/>
  <c r="E51" i="35"/>
  <c r="K10" i="30"/>
  <c r="D379" i="45"/>
  <c r="U379" s="1"/>
  <c r="K13" i="43"/>
  <c r="AF11" i="24"/>
  <c r="AA10"/>
  <c r="AD11"/>
  <c r="AE11"/>
  <c r="AA90"/>
  <c r="AE91"/>
  <c r="AD91"/>
  <c r="AF91"/>
  <c r="H24" i="35"/>
  <c r="E20" i="34"/>
  <c r="AD98" i="24"/>
  <c r="AE98"/>
  <c r="AF98"/>
  <c r="F20" i="34"/>
  <c r="F21" s="1"/>
  <c r="F51" i="35"/>
  <c r="I24"/>
  <c r="AF100" i="24"/>
  <c r="AA99"/>
  <c r="AD100"/>
  <c r="AE100"/>
  <c r="AE107"/>
  <c r="AD107"/>
  <c r="AA106"/>
  <c r="AF107"/>
  <c r="F10" i="22"/>
  <c r="D5" i="45"/>
  <c r="U5" s="1"/>
  <c r="EE8" i="43"/>
  <c r="AE129" i="24"/>
  <c r="AA128"/>
  <c r="AD129"/>
  <c r="AF129"/>
  <c r="AA89"/>
  <c r="AF90"/>
  <c r="AE90"/>
  <c r="AD90"/>
  <c r="AE52"/>
  <c r="AD52"/>
  <c r="AF52"/>
  <c r="AA51"/>
  <c r="BD18" i="43"/>
  <c r="BF18" s="1"/>
  <c r="CR18"/>
  <c r="CT18" s="1"/>
  <c r="BY18"/>
  <c r="CA18" s="1"/>
  <c r="DR18"/>
  <c r="Q14" i="44"/>
  <c r="AE137" i="24"/>
  <c r="AF137"/>
  <c r="AA136"/>
  <c r="AD137"/>
  <c r="AA146"/>
  <c r="AD147"/>
  <c r="AE147"/>
  <c r="AF147"/>
  <c r="AA156"/>
  <c r="Q17" i="44"/>
  <c r="I83" i="43"/>
  <c r="H57" i="35"/>
  <c r="DX15" i="43"/>
  <c r="R15"/>
  <c r="AK15"/>
  <c r="X15" s="1"/>
  <c r="AD143" i="24"/>
  <c r="AF143"/>
  <c r="AE143"/>
  <c r="AA142"/>
  <c r="CV83" i="43"/>
  <c r="CW83" s="1"/>
  <c r="H94" i="35"/>
  <c r="AA152" i="24"/>
  <c r="AF153"/>
  <c r="AD153"/>
  <c r="AE153"/>
  <c r="CC83" i="43"/>
  <c r="H79" i="35"/>
  <c r="CZ83" i="43"/>
  <c r="AI83" i="24" s="1"/>
  <c r="BH83" i="43"/>
  <c r="H66" i="35"/>
  <c r="BV82" i="43"/>
  <c r="AT14"/>
  <c r="AT11" i="45"/>
  <c r="G79" i="35"/>
  <c r="GP17" i="43"/>
  <c r="C13" i="45"/>
  <c r="GJ15" i="43"/>
  <c r="GL15" s="1"/>
  <c r="BK15" s="1"/>
  <c r="GC15"/>
  <c r="GQ15"/>
  <c r="GS15" s="1"/>
  <c r="GX15"/>
  <c r="GZ15" s="1"/>
  <c r="BB82"/>
  <c r="AD13" i="24"/>
  <c r="AA12"/>
  <c r="AE13"/>
  <c r="AF13"/>
  <c r="Q82" i="43"/>
  <c r="AJ82"/>
  <c r="FF82"/>
  <c r="G51" i="35"/>
  <c r="BK82" i="24"/>
  <c r="G20" i="34"/>
  <c r="G21" s="1"/>
  <c r="AL18" i="43"/>
  <c r="GG18"/>
  <c r="GF18" s="1"/>
  <c r="FS19"/>
  <c r="GU19" s="1"/>
  <c r="BZ18"/>
  <c r="GT18"/>
  <c r="BE18"/>
  <c r="Z18"/>
  <c r="AA18" s="1"/>
  <c r="C15" i="45" s="1"/>
  <c r="HB18" i="43"/>
  <c r="HA18" s="1"/>
  <c r="CS18"/>
  <c r="AD18"/>
  <c r="GN18"/>
  <c r="GM18" s="1"/>
  <c r="GB17"/>
  <c r="T13" i="45"/>
  <c r="DT82" i="43"/>
  <c r="CP82"/>
  <c r="GW17"/>
  <c r="AE17"/>
  <c r="DO17"/>
  <c r="DP17" s="1"/>
  <c r="GI17"/>
  <c r="Q15" i="44"/>
  <c r="Q13"/>
  <c r="AF86" i="24"/>
  <c r="AA85"/>
  <c r="AE86"/>
  <c r="AD86"/>
  <c r="AF23"/>
  <c r="AD23"/>
  <c r="AE23"/>
  <c r="AA22"/>
  <c r="ED10" i="43"/>
  <c r="Y10"/>
  <c r="AD43" i="24"/>
  <c r="AE43"/>
  <c r="AF43"/>
  <c r="AA42"/>
  <c r="Q18" i="44"/>
  <c r="AA148" i="24"/>
  <c r="AF149"/>
  <c r="AE149"/>
  <c r="AD149"/>
  <c r="Q12" i="44"/>
  <c r="AD60" i="24"/>
  <c r="AF60"/>
  <c r="AE60"/>
  <c r="AA59"/>
  <c r="AE24"/>
  <c r="AD24"/>
  <c r="AF24"/>
  <c r="AA23"/>
  <c r="AA73"/>
  <c r="Q9" i="22"/>
  <c r="R9" s="1"/>
  <c r="AE74" i="24"/>
  <c r="AD74"/>
  <c r="AF74"/>
  <c r="Z12" i="45"/>
  <c r="W13"/>
  <c r="Y13" s="1"/>
  <c r="AA12"/>
  <c r="AB12" s="1"/>
  <c r="AD65" i="24"/>
  <c r="AE65"/>
  <c r="AA64"/>
  <c r="AF65"/>
  <c r="J66" i="35"/>
  <c r="Q20" i="44"/>
  <c r="J57" i="35"/>
  <c r="AE34" i="24"/>
  <c r="AF34"/>
  <c r="AD34"/>
  <c r="AA33"/>
  <c r="Q19" i="44"/>
  <c r="J94" i="35"/>
  <c r="Q16" i="44"/>
  <c r="I94" i="35" l="1"/>
  <c r="AK17" i="43"/>
  <c r="X17" s="1"/>
  <c r="Y17" s="1"/>
  <c r="D14" i="45" s="1"/>
  <c r="U14" s="1"/>
  <c r="DX17" i="43"/>
  <c r="BH85"/>
  <c r="GR14"/>
  <c r="G15" i="22"/>
  <c r="R14"/>
  <c r="F15"/>
  <c r="J15"/>
  <c r="N15" s="1"/>
  <c r="O15" s="1"/>
  <c r="D16"/>
  <c r="S16"/>
  <c r="L16"/>
  <c r="H16"/>
  <c r="M16"/>
  <c r="K16"/>
  <c r="B16"/>
  <c r="C16"/>
  <c r="I16"/>
  <c r="P16"/>
  <c r="T16"/>
  <c r="E16"/>
  <c r="A17"/>
  <c r="L7" i="30"/>
  <c r="L13" s="1"/>
  <c r="K23"/>
  <c r="K28"/>
  <c r="K21"/>
  <c r="K22"/>
  <c r="K27"/>
  <c r="K20"/>
  <c r="K19"/>
  <c r="K26"/>
  <c r="K17"/>
  <c r="K6"/>
  <c r="K9"/>
  <c r="J19" i="43"/>
  <c r="K19" s="1"/>
  <c r="CR19" s="1"/>
  <c r="CT19" s="1"/>
  <c r="U9" i="44"/>
  <c r="I85" i="43"/>
  <c r="AE88" i="24"/>
  <c r="D43" i="34"/>
  <c r="D71"/>
  <c r="D45"/>
  <c r="D73"/>
  <c r="D49"/>
  <c r="D24"/>
  <c r="D33"/>
  <c r="D15"/>
  <c r="D29"/>
  <c r="D14"/>
  <c r="D13"/>
  <c r="D26"/>
  <c r="D34"/>
  <c r="D40"/>
  <c r="D44"/>
  <c r="D35"/>
  <c r="D17"/>
  <c r="D23"/>
  <c r="D68"/>
  <c r="D72"/>
  <c r="D51"/>
  <c r="D65"/>
  <c r="D53"/>
  <c r="D57"/>
  <c r="D30"/>
  <c r="D48"/>
  <c r="D61"/>
  <c r="D60"/>
  <c r="D46"/>
  <c r="D20"/>
  <c r="D64"/>
  <c r="D11"/>
  <c r="D36"/>
  <c r="D37"/>
  <c r="D42"/>
  <c r="D32"/>
  <c r="D19"/>
  <c r="D16"/>
  <c r="D63"/>
  <c r="C7"/>
  <c r="C34" s="1"/>
  <c r="D38"/>
  <c r="D27"/>
  <c r="D58"/>
  <c r="D70"/>
  <c r="D6"/>
  <c r="D41"/>
  <c r="D69"/>
  <c r="D54"/>
  <c r="D56"/>
  <c r="D10"/>
  <c r="D52"/>
  <c r="D74"/>
  <c r="D25"/>
  <c r="D66"/>
  <c r="D12"/>
  <c r="D9"/>
  <c r="D18"/>
  <c r="D31"/>
  <c r="E24" i="35"/>
  <c r="AO82" i="43"/>
  <c r="AP82" s="1"/>
  <c r="V82" i="45"/>
  <c r="AQ85" i="43"/>
  <c r="E21" i="34"/>
  <c r="Y9" i="43"/>
  <c r="D6" i="45" s="1"/>
  <c r="U6" s="1"/>
  <c r="EV17" i="43"/>
  <c r="EU18"/>
  <c r="ED12"/>
  <c r="EE17"/>
  <c r="CV85"/>
  <c r="CW85" s="1"/>
  <c r="GY14"/>
  <c r="CZ85"/>
  <c r="AI85" i="24" s="1"/>
  <c r="GK14" i="43"/>
  <c r="CY15"/>
  <c r="DA15" s="1"/>
  <c r="AU12" i="45" s="1"/>
  <c r="CH14" i="43"/>
  <c r="AV11" i="45"/>
  <c r="CF15" i="43"/>
  <c r="AV12" i="45" s="1"/>
  <c r="FZ17" i="43"/>
  <c r="GC17" s="1"/>
  <c r="GE17" s="1"/>
  <c r="AR17" s="1"/>
  <c r="AD88" i="24"/>
  <c r="AD84"/>
  <c r="AE84"/>
  <c r="AF88"/>
  <c r="AA87"/>
  <c r="AA83"/>
  <c r="AF84"/>
  <c r="D57" i="35"/>
  <c r="D48"/>
  <c r="D66"/>
  <c r="D79"/>
  <c r="D56"/>
  <c r="D94"/>
  <c r="D68"/>
  <c r="D55"/>
  <c r="D6"/>
  <c r="D10"/>
  <c r="D62"/>
  <c r="D27"/>
  <c r="D97"/>
  <c r="C4"/>
  <c r="C98" s="1"/>
  <c r="D19"/>
  <c r="D95"/>
  <c r="D96"/>
  <c r="D52"/>
  <c r="D108"/>
  <c r="D46"/>
  <c r="D42"/>
  <c r="D59"/>
  <c r="D15"/>
  <c r="D84"/>
  <c r="D18"/>
  <c r="D47"/>
  <c r="D53"/>
  <c r="D82"/>
  <c r="D9"/>
  <c r="D32"/>
  <c r="D89"/>
  <c r="D69"/>
  <c r="D67"/>
  <c r="D80"/>
  <c r="D44"/>
  <c r="D29"/>
  <c r="D7"/>
  <c r="D107"/>
  <c r="D45"/>
  <c r="D21"/>
  <c r="D37"/>
  <c r="D51"/>
  <c r="D3"/>
  <c r="D14"/>
  <c r="D93"/>
  <c r="D50"/>
  <c r="D31"/>
  <c r="D103"/>
  <c r="D43"/>
  <c r="D74"/>
  <c r="D81"/>
  <c r="D75"/>
  <c r="D102"/>
  <c r="D13"/>
  <c r="D83"/>
  <c r="D30"/>
  <c r="D90"/>
  <c r="D16"/>
  <c r="D106"/>
  <c r="D85"/>
  <c r="D11"/>
  <c r="D38"/>
  <c r="D12"/>
  <c r="D17"/>
  <c r="D54"/>
  <c r="D8"/>
  <c r="D109"/>
  <c r="D61"/>
  <c r="D98"/>
  <c r="D28"/>
  <c r="D23"/>
  <c r="D65"/>
  <c r="D78"/>
  <c r="F11" i="22"/>
  <c r="ED14" i="43"/>
  <c r="Y14"/>
  <c r="ED16"/>
  <c r="EE16"/>
  <c r="CR11"/>
  <c r="CT11" s="1"/>
  <c r="BY11"/>
  <c r="CA11" s="1"/>
  <c r="BD11"/>
  <c r="BF11" s="1"/>
  <c r="DR11"/>
  <c r="S9" i="44"/>
  <c r="T9"/>
  <c r="D24" i="35"/>
  <c r="F94"/>
  <c r="E94"/>
  <c r="F57"/>
  <c r="E57"/>
  <c r="F66"/>
  <c r="E66"/>
  <c r="F79"/>
  <c r="E79"/>
  <c r="S10" i="44"/>
  <c r="U11"/>
  <c r="R20"/>
  <c r="U10"/>
  <c r="G24" i="35"/>
  <c r="F24"/>
  <c r="CC82" i="43"/>
  <c r="K12" i="30" s="1"/>
  <c r="F16" i="44"/>
  <c r="R19"/>
  <c r="AK18" i="43"/>
  <c r="X18" s="1"/>
  <c r="R18"/>
  <c r="DX18"/>
  <c r="R14" i="44"/>
  <c r="F19"/>
  <c r="Y15" i="43"/>
  <c r="ED15"/>
  <c r="R16" i="44"/>
  <c r="F20"/>
  <c r="T10"/>
  <c r="T11"/>
  <c r="AF83" i="24"/>
  <c r="AE83"/>
  <c r="AD83"/>
  <c r="AA82"/>
  <c r="F13" i="44"/>
  <c r="G94" i="35"/>
  <c r="CV82" i="43"/>
  <c r="K13" i="30" s="1"/>
  <c r="GI18" i="43"/>
  <c r="AD19"/>
  <c r="BZ19"/>
  <c r="BE19"/>
  <c r="CS19"/>
  <c r="GT19"/>
  <c r="FS20"/>
  <c r="GU20" s="1"/>
  <c r="Z19"/>
  <c r="GG19"/>
  <c r="GF19" s="1"/>
  <c r="GN19"/>
  <c r="GM19" s="1"/>
  <c r="HB19"/>
  <c r="HA19" s="1"/>
  <c r="F17" i="44"/>
  <c r="GQ16" i="43"/>
  <c r="GS16" s="1"/>
  <c r="GX16"/>
  <c r="GZ16" s="1"/>
  <c r="GC16"/>
  <c r="GJ16"/>
  <c r="GL16" s="1"/>
  <c r="BK16" s="1"/>
  <c r="GW18"/>
  <c r="AL19"/>
  <c r="AW12" i="45"/>
  <c r="BM15" i="43"/>
  <c r="T14" i="45"/>
  <c r="DR13" i="43"/>
  <c r="CR13"/>
  <c r="CT13" s="1"/>
  <c r="BD13"/>
  <c r="BF13" s="1"/>
  <c r="BY13"/>
  <c r="CA13" s="1"/>
  <c r="GP18"/>
  <c r="G66" i="35"/>
  <c r="CZ82" i="43"/>
  <c r="AI82" i="24" s="1"/>
  <c r="R28" i="44" s="1"/>
  <c r="BH82" i="43"/>
  <c r="K11" i="30" s="1"/>
  <c r="S11" i="44"/>
  <c r="GE15" i="43"/>
  <c r="AR15" s="1"/>
  <c r="GA15"/>
  <c r="DO18"/>
  <c r="DP18" s="1"/>
  <c r="AE18"/>
  <c r="GB18"/>
  <c r="G57" i="35"/>
  <c r="I82" i="43"/>
  <c r="R15" i="44"/>
  <c r="Z13" i="45"/>
  <c r="W14"/>
  <c r="Y14" s="1"/>
  <c r="AA13"/>
  <c r="AB13" s="1"/>
  <c r="R13" i="44"/>
  <c r="R12"/>
  <c r="R18"/>
  <c r="R17"/>
  <c r="F14"/>
  <c r="AD85" i="24"/>
  <c r="F9" i="22"/>
  <c r="F12" i="44"/>
  <c r="F18"/>
  <c r="D7" i="45"/>
  <c r="U7" s="1"/>
  <c r="EE10" i="43"/>
  <c r="F15" i="44"/>
  <c r="EE12" i="43"/>
  <c r="D9" i="45"/>
  <c r="U9" s="1"/>
  <c r="CW82" i="43" l="1"/>
  <c r="CW328" s="1"/>
  <c r="DR19"/>
  <c r="R19" s="1"/>
  <c r="ED17"/>
  <c r="AF85" i="24"/>
  <c r="CH15" i="43"/>
  <c r="F16" i="22"/>
  <c r="R15"/>
  <c r="L12" i="30"/>
  <c r="L28"/>
  <c r="L19"/>
  <c r="L9"/>
  <c r="L6"/>
  <c r="L21"/>
  <c r="L20"/>
  <c r="L17"/>
  <c r="L22"/>
  <c r="M7"/>
  <c r="M13" s="1"/>
  <c r="L23"/>
  <c r="L27"/>
  <c r="L26"/>
  <c r="L16"/>
  <c r="L14"/>
  <c r="L15"/>
  <c r="L10"/>
  <c r="G16" i="22"/>
  <c r="J16"/>
  <c r="L17"/>
  <c r="H17"/>
  <c r="D17"/>
  <c r="C17"/>
  <c r="T17"/>
  <c r="S17"/>
  <c r="B17"/>
  <c r="M17"/>
  <c r="I17"/>
  <c r="P17"/>
  <c r="A18"/>
  <c r="E17"/>
  <c r="K17"/>
  <c r="L11" i="30"/>
  <c r="BD19" i="43"/>
  <c r="BF19" s="1"/>
  <c r="BY19"/>
  <c r="CA19" s="1"/>
  <c r="J20"/>
  <c r="K20" s="1"/>
  <c r="BD20" s="1"/>
  <c r="BF20" s="1"/>
  <c r="AA84" i="24"/>
  <c r="EE9" i="43"/>
  <c r="C60" i="34"/>
  <c r="C18"/>
  <c r="C40"/>
  <c r="AE85" i="24"/>
  <c r="C57" i="34"/>
  <c r="C65"/>
  <c r="C54"/>
  <c r="C27"/>
  <c r="C17"/>
  <c r="C68"/>
  <c r="C31"/>
  <c r="C42"/>
  <c r="C10"/>
  <c r="C25"/>
  <c r="C11"/>
  <c r="C26"/>
  <c r="C15"/>
  <c r="C73"/>
  <c r="C36"/>
  <c r="C52"/>
  <c r="C46"/>
  <c r="C30"/>
  <c r="C61"/>
  <c r="C12"/>
  <c r="C45"/>
  <c r="C37"/>
  <c r="C44"/>
  <c r="C63"/>
  <c r="C49"/>
  <c r="C13"/>
  <c r="D21"/>
  <c r="C74"/>
  <c r="C66"/>
  <c r="C32"/>
  <c r="C9"/>
  <c r="C56"/>
  <c r="C70"/>
  <c r="C28"/>
  <c r="C64"/>
  <c r="C71"/>
  <c r="C16"/>
  <c r="C20"/>
  <c r="C24"/>
  <c r="C33"/>
  <c r="C72"/>
  <c r="C51"/>
  <c r="C58"/>
  <c r="C69"/>
  <c r="C53"/>
  <c r="C35"/>
  <c r="C29"/>
  <c r="C38"/>
  <c r="C6"/>
  <c r="C48"/>
  <c r="C41"/>
  <c r="C43"/>
  <c r="C23"/>
  <c r="C14"/>
  <c r="C19"/>
  <c r="Q10" i="44"/>
  <c r="AQ82" i="43"/>
  <c r="V79" i="45"/>
  <c r="EV18" i="43"/>
  <c r="EU19"/>
  <c r="CY16"/>
  <c r="DA16" s="1"/>
  <c r="AU13" i="45" s="1"/>
  <c r="FZ18" i="43"/>
  <c r="GQ18" s="1"/>
  <c r="GS18" s="1"/>
  <c r="CF16"/>
  <c r="C67" i="35"/>
  <c r="C50"/>
  <c r="C17"/>
  <c r="C15"/>
  <c r="C84"/>
  <c r="C6"/>
  <c r="C16"/>
  <c r="C96"/>
  <c r="C109"/>
  <c r="C95"/>
  <c r="C24"/>
  <c r="C14"/>
  <c r="C57"/>
  <c r="C70"/>
  <c r="C78"/>
  <c r="C11"/>
  <c r="C61"/>
  <c r="C37"/>
  <c r="C75"/>
  <c r="C10"/>
  <c r="C43"/>
  <c r="C97"/>
  <c r="C83"/>
  <c r="C90"/>
  <c r="C3"/>
  <c r="C21"/>
  <c r="C29"/>
  <c r="C69"/>
  <c r="C52"/>
  <c r="C45"/>
  <c r="C68"/>
  <c r="C32"/>
  <c r="C18"/>
  <c r="C62"/>
  <c r="C51"/>
  <c r="C107"/>
  <c r="C38"/>
  <c r="C108"/>
  <c r="C56"/>
  <c r="C94"/>
  <c r="C44"/>
  <c r="C48"/>
  <c r="C79"/>
  <c r="C106"/>
  <c r="C55"/>
  <c r="C80"/>
  <c r="C19"/>
  <c r="C81"/>
  <c r="C7"/>
  <c r="C59"/>
  <c r="C93"/>
  <c r="C103"/>
  <c r="C12"/>
  <c r="C54"/>
  <c r="C46"/>
  <c r="C89"/>
  <c r="C74"/>
  <c r="C31"/>
  <c r="C30"/>
  <c r="C102"/>
  <c r="C66"/>
  <c r="C47"/>
  <c r="C53"/>
  <c r="C28"/>
  <c r="C82"/>
  <c r="C13"/>
  <c r="C8"/>
  <c r="C65"/>
  <c r="C9"/>
  <c r="C23"/>
  <c r="C42"/>
  <c r="C27"/>
  <c r="C85"/>
  <c r="EE14" i="43"/>
  <c r="D11" i="45"/>
  <c r="U11" s="1"/>
  <c r="U22" i="44"/>
  <c r="U24" s="1"/>
  <c r="S22"/>
  <c r="S24" s="1"/>
  <c r="AK11" i="43"/>
  <c r="X11" s="1"/>
  <c r="R11"/>
  <c r="DX11"/>
  <c r="Q11" i="44"/>
  <c r="GQ17" i="43"/>
  <c r="GS17" s="1"/>
  <c r="GX17"/>
  <c r="GZ17" s="1"/>
  <c r="GJ17"/>
  <c r="GL17" s="1"/>
  <c r="BK17" s="1"/>
  <c r="Y18"/>
  <c r="ED18"/>
  <c r="T22" i="44"/>
  <c r="T24" s="1"/>
  <c r="D12" i="45"/>
  <c r="U12" s="1"/>
  <c r="EE15" i="43"/>
  <c r="AT15"/>
  <c r="AT12" i="45"/>
  <c r="AD82" i="24"/>
  <c r="R11" i="44"/>
  <c r="AA81" i="24"/>
  <c r="Q17" i="22"/>
  <c r="AF82" i="24"/>
  <c r="AE82"/>
  <c r="R13" i="43"/>
  <c r="DX13"/>
  <c r="AK13"/>
  <c r="X13" s="1"/>
  <c r="BM16"/>
  <c r="AW13" i="45"/>
  <c r="GI19" i="43"/>
  <c r="GP19"/>
  <c r="AE19"/>
  <c r="DO19"/>
  <c r="DP19" s="1"/>
  <c r="AT17"/>
  <c r="AT14" i="45"/>
  <c r="Q9" i="44"/>
  <c r="T15" i="45"/>
  <c r="GD15" i="43"/>
  <c r="GY15"/>
  <c r="GR15"/>
  <c r="GK15"/>
  <c r="AL20"/>
  <c r="GW19"/>
  <c r="AD20"/>
  <c r="BZ20"/>
  <c r="CS20"/>
  <c r="BE20"/>
  <c r="Z20"/>
  <c r="FS21"/>
  <c r="GU21" s="1"/>
  <c r="HB20"/>
  <c r="HA20" s="1"/>
  <c r="GT20"/>
  <c r="GN20"/>
  <c r="GM20" s="1"/>
  <c r="GI20" s="1"/>
  <c r="GG20"/>
  <c r="GF20" s="1"/>
  <c r="AA19"/>
  <c r="GA16"/>
  <c r="GE16"/>
  <c r="AR16" s="1"/>
  <c r="GB19"/>
  <c r="W15" i="45"/>
  <c r="Y15" s="1"/>
  <c r="Z14"/>
  <c r="AA14"/>
  <c r="AB14" s="1"/>
  <c r="AK19" i="43" l="1"/>
  <c r="DX19"/>
  <c r="DR20"/>
  <c r="R20" s="1"/>
  <c r="J17" i="22"/>
  <c r="N17" s="1"/>
  <c r="O17" s="1"/>
  <c r="K18"/>
  <c r="C18"/>
  <c r="A19"/>
  <c r="E18"/>
  <c r="T18"/>
  <c r="B18"/>
  <c r="Q18"/>
  <c r="D18"/>
  <c r="L18"/>
  <c r="S18"/>
  <c r="I18"/>
  <c r="H18"/>
  <c r="M18"/>
  <c r="P18"/>
  <c r="M22" i="30"/>
  <c r="M6"/>
  <c r="M9"/>
  <c r="M14"/>
  <c r="M21"/>
  <c r="N7"/>
  <c r="M10"/>
  <c r="M17"/>
  <c r="M28"/>
  <c r="M20"/>
  <c r="M26"/>
  <c r="M15"/>
  <c r="M23"/>
  <c r="M27"/>
  <c r="M19"/>
  <c r="M16"/>
  <c r="M11"/>
  <c r="M12"/>
  <c r="N16" i="22"/>
  <c r="O16" s="1"/>
  <c r="R16"/>
  <c r="G17"/>
  <c r="BY20" i="43"/>
  <c r="CA20" s="1"/>
  <c r="CR20"/>
  <c r="CT20" s="1"/>
  <c r="X19"/>
  <c r="J21"/>
  <c r="K21" s="1"/>
  <c r="DR21" s="1"/>
  <c r="F9" i="44"/>
  <c r="C21" i="34"/>
  <c r="EV19" i="43"/>
  <c r="EU20"/>
  <c r="CY17"/>
  <c r="DA17" s="1"/>
  <c r="AU14" i="45" s="1"/>
  <c r="CH16" i="43"/>
  <c r="AV13" i="45"/>
  <c r="CF18" i="43"/>
  <c r="AV15" i="45" s="1"/>
  <c r="CF17" i="43"/>
  <c r="FZ19"/>
  <c r="GJ19" s="1"/>
  <c r="GL19" s="1"/>
  <c r="BK19" s="1"/>
  <c r="BM19" s="1"/>
  <c r="Q22" i="44"/>
  <c r="Q24" s="1"/>
  <c r="GX18" i="43"/>
  <c r="GZ18" s="1"/>
  <c r="Y11"/>
  <c r="ED11"/>
  <c r="R29" i="44"/>
  <c r="Q29" s="1"/>
  <c r="R9"/>
  <c r="Q28"/>
  <c r="R10"/>
  <c r="GA17" i="43"/>
  <c r="GD17" s="1"/>
  <c r="AW14" i="45"/>
  <c r="BM17" i="43"/>
  <c r="EE18"/>
  <c r="D15" i="45"/>
  <c r="U15" s="1"/>
  <c r="GJ18" i="43"/>
  <c r="GL18" s="1"/>
  <c r="BK18" s="1"/>
  <c r="GC18"/>
  <c r="GE18" s="1"/>
  <c r="AR18" s="1"/>
  <c r="AT18" s="1"/>
  <c r="GW20"/>
  <c r="F34" i="44" a="1"/>
  <c r="F34" s="1"/>
  <c r="E34" s="1"/>
  <c r="F33" a="1"/>
  <c r="F33" s="1"/>
  <c r="E33" s="1"/>
  <c r="GY16" i="43"/>
  <c r="GR16"/>
  <c r="GD16"/>
  <c r="GK16"/>
  <c r="GP20"/>
  <c r="T16" i="45"/>
  <c r="Z21" i="43"/>
  <c r="AD21"/>
  <c r="BE21"/>
  <c r="CS21"/>
  <c r="BZ21"/>
  <c r="FS22"/>
  <c r="GU22" s="1"/>
  <c r="GG21"/>
  <c r="GF21" s="1"/>
  <c r="GT21"/>
  <c r="HB21"/>
  <c r="HA21" s="1"/>
  <c r="GN21"/>
  <c r="GM21" s="1"/>
  <c r="AL21"/>
  <c r="AT13" i="45"/>
  <c r="AT16" i="43"/>
  <c r="C16" i="45"/>
  <c r="AA20" i="43"/>
  <c r="AE20"/>
  <c r="DO20"/>
  <c r="DP20" s="1"/>
  <c r="F17" i="22"/>
  <c r="F10" i="44"/>
  <c r="F11"/>
  <c r="GB20" i="43"/>
  <c r="ED13"/>
  <c r="Y13"/>
  <c r="Z15" i="45"/>
  <c r="W16"/>
  <c r="Y16" s="1"/>
  <c r="AA15"/>
  <c r="AB15" s="1"/>
  <c r="AK20" i="43" l="1"/>
  <c r="X20" s="1"/>
  <c r="Y20" s="1"/>
  <c r="D17" i="45" s="1"/>
  <c r="U17" s="1"/>
  <c r="J18" i="22"/>
  <c r="N18" s="1"/>
  <c r="O18" s="1"/>
  <c r="DX20" i="43"/>
  <c r="R17" i="22"/>
  <c r="N9" i="30"/>
  <c r="N28"/>
  <c r="N15"/>
  <c r="N6"/>
  <c r="N27"/>
  <c r="N22"/>
  <c r="N16"/>
  <c r="N23"/>
  <c r="N19"/>
  <c r="O7"/>
  <c r="N14"/>
  <c r="N20"/>
  <c r="N21"/>
  <c r="N26"/>
  <c r="N10"/>
  <c r="N17"/>
  <c r="N11"/>
  <c r="N12"/>
  <c r="N13"/>
  <c r="G18" i="22"/>
  <c r="F18"/>
  <c r="I19"/>
  <c r="L19"/>
  <c r="C19"/>
  <c r="Q19"/>
  <c r="M19"/>
  <c r="T19"/>
  <c r="K19"/>
  <c r="D19"/>
  <c r="S19"/>
  <c r="P19"/>
  <c r="E19"/>
  <c r="A20"/>
  <c r="B19"/>
  <c r="H19"/>
  <c r="Y19" i="43"/>
  <c r="ED19"/>
  <c r="BY21"/>
  <c r="CA21" s="1"/>
  <c r="BD21"/>
  <c r="BF21" s="1"/>
  <c r="CR21"/>
  <c r="CT21" s="1"/>
  <c r="J22"/>
  <c r="K22" s="1"/>
  <c r="BD22" s="1"/>
  <c r="BF22" s="1"/>
  <c r="EV20"/>
  <c r="EU21"/>
  <c r="CH18"/>
  <c r="CY18"/>
  <c r="DA18" s="1"/>
  <c r="AU15" i="45" s="1"/>
  <c r="CH17" i="43"/>
  <c r="AV14" i="45"/>
  <c r="FZ20" i="43"/>
  <c r="GQ20" s="1"/>
  <c r="GS20" s="1"/>
  <c r="AK21"/>
  <c r="R21"/>
  <c r="AT15" i="45"/>
  <c r="EE11" i="43"/>
  <c r="D8" i="45"/>
  <c r="U8" s="1"/>
  <c r="GA18" i="43"/>
  <c r="GD18" s="1"/>
  <c r="GK17"/>
  <c r="GR17"/>
  <c r="F22" i="44"/>
  <c r="F24" s="1"/>
  <c r="R22"/>
  <c r="R24" s="1"/>
  <c r="GY17" i="43"/>
  <c r="GX19"/>
  <c r="GZ19" s="1"/>
  <c r="GC19"/>
  <c r="GE19" s="1"/>
  <c r="AR19" s="1"/>
  <c r="GQ19"/>
  <c r="GS19" s="1"/>
  <c r="AW16" i="45"/>
  <c r="AW15"/>
  <c r="BM18" i="43"/>
  <c r="GW21"/>
  <c r="AA21"/>
  <c r="C17" i="45"/>
  <c r="GI21" i="43"/>
  <c r="FS23"/>
  <c r="GU23" s="1"/>
  <c r="BZ22"/>
  <c r="BE22"/>
  <c r="CS22"/>
  <c r="AD22"/>
  <c r="Z22"/>
  <c r="GG22"/>
  <c r="GF22" s="1"/>
  <c r="GN22"/>
  <c r="GM22" s="1"/>
  <c r="HB22"/>
  <c r="HA22" s="1"/>
  <c r="GT22"/>
  <c r="DO21"/>
  <c r="DP21" s="1"/>
  <c r="AE21"/>
  <c r="D10" i="45"/>
  <c r="U10" s="1"/>
  <c r="EE13" i="43"/>
  <c r="GB21"/>
  <c r="T17" i="45"/>
  <c r="J23" i="43"/>
  <c r="K23" s="1"/>
  <c r="AL22"/>
  <c r="GP21"/>
  <c r="W17" i="45"/>
  <c r="Y17" s="1"/>
  <c r="Z16"/>
  <c r="AA16"/>
  <c r="AB16" s="1"/>
  <c r="R18" i="22" l="1"/>
  <c r="EE20" i="43"/>
  <c r="J19" i="22"/>
  <c r="N19" s="1"/>
  <c r="O19" s="1"/>
  <c r="G19"/>
  <c r="F19"/>
  <c r="O28" i="30"/>
  <c r="O22"/>
  <c r="O23"/>
  <c r="O14"/>
  <c r="O11"/>
  <c r="O19"/>
  <c r="O27"/>
  <c r="O6"/>
  <c r="O10"/>
  <c r="O12"/>
  <c r="O20"/>
  <c r="P7"/>
  <c r="O26"/>
  <c r="O15"/>
  <c r="O13"/>
  <c r="O9"/>
  <c r="O21"/>
  <c r="O17"/>
  <c r="O16"/>
  <c r="L20" i="22"/>
  <c r="M20"/>
  <c r="D20"/>
  <c r="E20"/>
  <c r="H20"/>
  <c r="P20"/>
  <c r="Q20"/>
  <c r="C20"/>
  <c r="K20"/>
  <c r="T20"/>
  <c r="B20"/>
  <c r="A21"/>
  <c r="S20"/>
  <c r="I20"/>
  <c r="R19"/>
  <c r="ED20" i="43"/>
  <c r="D16" i="45"/>
  <c r="U16" s="1"/>
  <c r="EE19" i="43"/>
  <c r="BY22"/>
  <c r="CA22" s="1"/>
  <c r="DX21"/>
  <c r="DR22"/>
  <c r="R22" s="1"/>
  <c r="X21"/>
  <c r="Y21" s="1"/>
  <c r="D18" i="45" s="1"/>
  <c r="U18" s="1"/>
  <c r="CR22" i="43"/>
  <c r="CT22" s="1"/>
  <c r="EV21"/>
  <c r="EU22"/>
  <c r="CY19"/>
  <c r="DA19" s="1"/>
  <c r="AU16" i="45" s="1"/>
  <c r="CF19" i="43"/>
  <c r="CH19" s="1"/>
  <c r="CF20"/>
  <c r="AV17" i="45" s="1"/>
  <c r="FZ21" i="43"/>
  <c r="GR18"/>
  <c r="BY23"/>
  <c r="CA23" s="1"/>
  <c r="CR23"/>
  <c r="CT23" s="1"/>
  <c r="DR23"/>
  <c r="BD23"/>
  <c r="BF23" s="1"/>
  <c r="GY18"/>
  <c r="GK18"/>
  <c r="GA19"/>
  <c r="GY19" s="1"/>
  <c r="GX20"/>
  <c r="GZ20" s="1"/>
  <c r="GJ20"/>
  <c r="GL20" s="1"/>
  <c r="BK20" s="1"/>
  <c r="AW17" i="45" s="1"/>
  <c r="GC20" i="43"/>
  <c r="GE20" s="1"/>
  <c r="AR20" s="1"/>
  <c r="AL23"/>
  <c r="GW22"/>
  <c r="DO22"/>
  <c r="DP22" s="1"/>
  <c r="AE22"/>
  <c r="FS24"/>
  <c r="GU24" s="1"/>
  <c r="CS23"/>
  <c r="BE23"/>
  <c r="AD23"/>
  <c r="BZ23"/>
  <c r="Z23"/>
  <c r="HB23"/>
  <c r="HA23" s="1"/>
  <c r="GN23"/>
  <c r="GM23" s="1"/>
  <c r="GT23"/>
  <c r="GG23"/>
  <c r="GF23" s="1"/>
  <c r="GP22"/>
  <c r="AA22"/>
  <c r="C18" i="45"/>
  <c r="AT19" i="43"/>
  <c r="AT16" i="45"/>
  <c r="GB22" i="43"/>
  <c r="T18" i="45"/>
  <c r="GI22" i="43"/>
  <c r="Z17" i="45"/>
  <c r="W18"/>
  <c r="Y18" s="1"/>
  <c r="AA17"/>
  <c r="AB17" s="1"/>
  <c r="ED21" i="43" l="1"/>
  <c r="EE21"/>
  <c r="I21" i="22"/>
  <c r="P21"/>
  <c r="K21"/>
  <c r="Q21"/>
  <c r="E21"/>
  <c r="M21"/>
  <c r="T21"/>
  <c r="B21"/>
  <c r="A22"/>
  <c r="L21"/>
  <c r="H21"/>
  <c r="D21"/>
  <c r="S21"/>
  <c r="C21"/>
  <c r="G20"/>
  <c r="F20"/>
  <c r="P21" i="30"/>
  <c r="P27"/>
  <c r="P19"/>
  <c r="P16"/>
  <c r="P11"/>
  <c r="P6"/>
  <c r="P20"/>
  <c r="P28"/>
  <c r="P14"/>
  <c r="P13"/>
  <c r="P23"/>
  <c r="P26"/>
  <c r="P22"/>
  <c r="P10"/>
  <c r="P12"/>
  <c r="Q7"/>
  <c r="P9"/>
  <c r="P17"/>
  <c r="P15"/>
  <c r="J20" i="22"/>
  <c r="AK22" i="43"/>
  <c r="X22" s="1"/>
  <c r="DX22"/>
  <c r="J24"/>
  <c r="K24" s="1"/>
  <c r="BD24" s="1"/>
  <c r="BF24" s="1"/>
  <c r="EV22"/>
  <c r="EU23"/>
  <c r="CY20"/>
  <c r="DA20" s="1"/>
  <c r="AU17" i="45" s="1"/>
  <c r="CH20" i="43"/>
  <c r="AV16" i="45"/>
  <c r="FZ22" i="43"/>
  <c r="AK23"/>
  <c r="X23" s="1"/>
  <c r="Y23" s="1"/>
  <c r="D20" i="45" s="1"/>
  <c r="U20" s="1"/>
  <c r="R23" i="43"/>
  <c r="DX23"/>
  <c r="BM20"/>
  <c r="GK19"/>
  <c r="GR19"/>
  <c r="GD19"/>
  <c r="GA20"/>
  <c r="GD20" s="1"/>
  <c r="GI23"/>
  <c r="AE23"/>
  <c r="DO23"/>
  <c r="DP23" s="1"/>
  <c r="T19" i="45"/>
  <c r="GP23" i="43"/>
  <c r="AD24"/>
  <c r="BZ24"/>
  <c r="BE24"/>
  <c r="CS24"/>
  <c r="Z24"/>
  <c r="FS25"/>
  <c r="GU25" s="1"/>
  <c r="GN24"/>
  <c r="GM24" s="1"/>
  <c r="HB24"/>
  <c r="HA24" s="1"/>
  <c r="GG24"/>
  <c r="GF24" s="1"/>
  <c r="GT24"/>
  <c r="GJ21"/>
  <c r="GL21" s="1"/>
  <c r="BK21" s="1"/>
  <c r="GC21"/>
  <c r="GQ21"/>
  <c r="GS21" s="1"/>
  <c r="GX21"/>
  <c r="GZ21" s="1"/>
  <c r="C19" i="45"/>
  <c r="AT17"/>
  <c r="AT20" i="43"/>
  <c r="GB23"/>
  <c r="AA23"/>
  <c r="AL24"/>
  <c r="GW23"/>
  <c r="Z18" i="45"/>
  <c r="W19"/>
  <c r="Y19" s="1"/>
  <c r="AA18"/>
  <c r="AB18" s="1"/>
  <c r="J21" i="22" l="1"/>
  <c r="N21" s="1"/>
  <c r="O21" s="1"/>
  <c r="P22"/>
  <c r="K22"/>
  <c r="C22"/>
  <c r="S22"/>
  <c r="B22"/>
  <c r="E22"/>
  <c r="H22"/>
  <c r="T22"/>
  <c r="M22"/>
  <c r="A23"/>
  <c r="L22"/>
  <c r="D22"/>
  <c r="Q22"/>
  <c r="I22"/>
  <c r="F21"/>
  <c r="G21"/>
  <c r="N20"/>
  <c r="O20" s="1"/>
  <c r="R20"/>
  <c r="Q27" i="30"/>
  <c r="Q21"/>
  <c r="Q26"/>
  <c r="Q15"/>
  <c r="Q12"/>
  <c r="R7"/>
  <c r="Q23"/>
  <c r="Q17"/>
  <c r="Q10"/>
  <c r="Q20"/>
  <c r="Q6"/>
  <c r="Q19"/>
  <c r="Q16"/>
  <c r="Q13"/>
  <c r="Q28"/>
  <c r="Q9"/>
  <c r="Q22"/>
  <c r="Q14"/>
  <c r="Q11"/>
  <c r="DR24" i="43"/>
  <c r="R24" s="1"/>
  <c r="Y22"/>
  <c r="ED22"/>
  <c r="BY24"/>
  <c r="CA24" s="1"/>
  <c r="CR24"/>
  <c r="CT24" s="1"/>
  <c r="J25"/>
  <c r="K25" s="1"/>
  <c r="BY25" s="1"/>
  <c r="CA25" s="1"/>
  <c r="ED23"/>
  <c r="EV23"/>
  <c r="EU24"/>
  <c r="CY21"/>
  <c r="DA21" s="1"/>
  <c r="AU18" i="45" s="1"/>
  <c r="CF21" i="43"/>
  <c r="FZ23"/>
  <c r="GQ23" s="1"/>
  <c r="GS23" s="1"/>
  <c r="GR20"/>
  <c r="GY20"/>
  <c r="GK20"/>
  <c r="AA24"/>
  <c r="C20" i="45"/>
  <c r="EE23" i="43"/>
  <c r="GB24"/>
  <c r="GX22"/>
  <c r="GZ22" s="1"/>
  <c r="GQ22"/>
  <c r="GS22" s="1"/>
  <c r="GC22"/>
  <c r="GJ22"/>
  <c r="GL22" s="1"/>
  <c r="BK22" s="1"/>
  <c r="GA21"/>
  <c r="GE21"/>
  <c r="AR21" s="1"/>
  <c r="GI24"/>
  <c r="GW24"/>
  <c r="T20" i="45"/>
  <c r="AL25" i="43"/>
  <c r="DO24"/>
  <c r="DP24" s="1"/>
  <c r="AE24"/>
  <c r="BM21"/>
  <c r="AW18" i="45"/>
  <c r="GP24" i="43"/>
  <c r="BE25"/>
  <c r="FS26"/>
  <c r="GU26" s="1"/>
  <c r="Z25"/>
  <c r="CS25"/>
  <c r="BZ25"/>
  <c r="AD25"/>
  <c r="GN25"/>
  <c r="GM25" s="1"/>
  <c r="HB25"/>
  <c r="HA25" s="1"/>
  <c r="GT25"/>
  <c r="GG25"/>
  <c r="GF25" s="1"/>
  <c r="W20" i="45"/>
  <c r="Y20" s="1"/>
  <c r="Z19"/>
  <c r="AA19"/>
  <c r="AB19" s="1"/>
  <c r="AK24" i="43" l="1"/>
  <c r="X24" s="1"/>
  <c r="R21" i="22"/>
  <c r="R20" i="30"/>
  <c r="R23"/>
  <c r="R26"/>
  <c r="R15"/>
  <c r="R16"/>
  <c r="R9"/>
  <c r="R28"/>
  <c r="R27"/>
  <c r="R12"/>
  <c r="R14"/>
  <c r="R11"/>
  <c r="R17"/>
  <c r="R6"/>
  <c r="R22"/>
  <c r="R13"/>
  <c r="R19"/>
  <c r="R21"/>
  <c r="R10"/>
  <c r="S7"/>
  <c r="A24" i="22"/>
  <c r="I23"/>
  <c r="M23"/>
  <c r="C23"/>
  <c r="D23"/>
  <c r="T23"/>
  <c r="P23"/>
  <c r="H23"/>
  <c r="S23"/>
  <c r="L23"/>
  <c r="E23"/>
  <c r="K23"/>
  <c r="B23"/>
  <c r="Q23"/>
  <c r="G22"/>
  <c r="F22"/>
  <c r="J22"/>
  <c r="DX24" i="43"/>
  <c r="D19" i="45"/>
  <c r="U19" s="1"/>
  <c r="EE22" i="43"/>
  <c r="DR25"/>
  <c r="AK25" s="1"/>
  <c r="CR25"/>
  <c r="CT25" s="1"/>
  <c r="BD25"/>
  <c r="BF25" s="1"/>
  <c r="J26"/>
  <c r="K26" s="1"/>
  <c r="DR26" s="1"/>
  <c r="EV24"/>
  <c r="EU25"/>
  <c r="CY22"/>
  <c r="DA22" s="1"/>
  <c r="AU19" i="45" s="1"/>
  <c r="CH21" i="43"/>
  <c r="AV18" i="45"/>
  <c r="CF22" i="43"/>
  <c r="CF23"/>
  <c r="FZ24"/>
  <c r="GJ23"/>
  <c r="GL23" s="1"/>
  <c r="BK23" s="1"/>
  <c r="GX23"/>
  <c r="GZ23" s="1"/>
  <c r="GC23"/>
  <c r="GE23" s="1"/>
  <c r="AR23" s="1"/>
  <c r="AT20" i="45" s="1"/>
  <c r="GP25" i="43"/>
  <c r="T21" i="45"/>
  <c r="GD21" i="43"/>
  <c r="GY21"/>
  <c r="GR21"/>
  <c r="GK21"/>
  <c r="DO25"/>
  <c r="DP25" s="1"/>
  <c r="AE25"/>
  <c r="FS27"/>
  <c r="GU27" s="1"/>
  <c r="Z26"/>
  <c r="BE26"/>
  <c r="CS26"/>
  <c r="AD26"/>
  <c r="BZ26"/>
  <c r="HB26"/>
  <c r="HA26" s="1"/>
  <c r="GN26"/>
  <c r="GM26" s="1"/>
  <c r="GG26"/>
  <c r="GF26" s="1"/>
  <c r="GT26"/>
  <c r="AL26"/>
  <c r="AT18" i="45"/>
  <c r="AT21" i="43"/>
  <c r="GB25"/>
  <c r="GE22"/>
  <c r="AR22" s="1"/>
  <c r="GA22"/>
  <c r="C21" i="45"/>
  <c r="GI25" i="43"/>
  <c r="AA25"/>
  <c r="GW25"/>
  <c r="BM22"/>
  <c r="AW19" i="45"/>
  <c r="W21"/>
  <c r="Y21" s="1"/>
  <c r="Z20"/>
  <c r="AA20"/>
  <c r="AB20" s="1"/>
  <c r="Y24" i="43" l="1"/>
  <c r="D21" i="45" s="1"/>
  <c r="U21" s="1"/>
  <c r="ED24" i="43"/>
  <c r="J23" i="22"/>
  <c r="R23" s="1"/>
  <c r="G23"/>
  <c r="F23"/>
  <c r="T7" i="30"/>
  <c r="S15"/>
  <c r="S17"/>
  <c r="S9"/>
  <c r="S19"/>
  <c r="S10"/>
  <c r="S22"/>
  <c r="S23"/>
  <c r="S26"/>
  <c r="S16"/>
  <c r="S11"/>
  <c r="S21"/>
  <c r="S27"/>
  <c r="S6"/>
  <c r="S12"/>
  <c r="S13"/>
  <c r="S20"/>
  <c r="S28"/>
  <c r="S14"/>
  <c r="R22" i="22"/>
  <c r="N22"/>
  <c r="O22" s="1"/>
  <c r="E24"/>
  <c r="T24"/>
  <c r="B24"/>
  <c r="A25"/>
  <c r="L24"/>
  <c r="Q24"/>
  <c r="C24"/>
  <c r="M24"/>
  <c r="P24"/>
  <c r="K24"/>
  <c r="I24"/>
  <c r="H24"/>
  <c r="S24"/>
  <c r="D24"/>
  <c r="EE24" i="43"/>
  <c r="R25"/>
  <c r="BY26"/>
  <c r="CA26" s="1"/>
  <c r="DX25"/>
  <c r="BD26"/>
  <c r="BF26" s="1"/>
  <c r="X25"/>
  <c r="Y25" s="1"/>
  <c r="D22" i="45" s="1"/>
  <c r="U22" s="1"/>
  <c r="CR26" i="43"/>
  <c r="CT26" s="1"/>
  <c r="J27"/>
  <c r="K27" s="1"/>
  <c r="BD27" s="1"/>
  <c r="BF27" s="1"/>
  <c r="EV25"/>
  <c r="EU26"/>
  <c r="CY23"/>
  <c r="DA23" s="1"/>
  <c r="AU20" i="45" s="1"/>
  <c r="CH22" i="43"/>
  <c r="AV19" i="45"/>
  <c r="CH23" i="43"/>
  <c r="AV20" i="45"/>
  <c r="FZ25" i="43"/>
  <c r="AK26"/>
  <c r="R26"/>
  <c r="GA23"/>
  <c r="GK23" s="1"/>
  <c r="AT23"/>
  <c r="AW20" i="45"/>
  <c r="BM23" i="43"/>
  <c r="C22" i="45"/>
  <c r="GY22" i="43"/>
  <c r="GK22"/>
  <c r="GD22"/>
  <c r="GR22"/>
  <c r="GW26"/>
  <c r="AL27"/>
  <c r="GI26"/>
  <c r="T22" i="45"/>
  <c r="GB26" i="43"/>
  <c r="AE26"/>
  <c r="DO26"/>
  <c r="DP26" s="1"/>
  <c r="BZ27"/>
  <c r="AD27"/>
  <c r="CS27"/>
  <c r="BE27"/>
  <c r="FS28"/>
  <c r="GU28" s="1"/>
  <c r="Z27"/>
  <c r="GT27"/>
  <c r="GN27"/>
  <c r="GM27" s="1"/>
  <c r="GG27"/>
  <c r="GF27" s="1"/>
  <c r="HB27"/>
  <c r="HA27" s="1"/>
  <c r="GC24"/>
  <c r="GX24"/>
  <c r="GZ24" s="1"/>
  <c r="GQ24"/>
  <c r="GS24" s="1"/>
  <c r="GJ24"/>
  <c r="GL24" s="1"/>
  <c r="BK24" s="1"/>
  <c r="AT22"/>
  <c r="AT19" i="45"/>
  <c r="GP26" i="43"/>
  <c r="AA26"/>
  <c r="Z21" i="45"/>
  <c r="W22"/>
  <c r="Y22" s="1"/>
  <c r="AA21"/>
  <c r="AB21" s="1"/>
  <c r="N23" i="22" l="1"/>
  <c r="O23" s="1"/>
  <c r="G24"/>
  <c r="F24"/>
  <c r="T17" i="30"/>
  <c r="T20"/>
  <c r="T23"/>
  <c r="T14"/>
  <c r="T12"/>
  <c r="T26"/>
  <c r="T9"/>
  <c r="T21"/>
  <c r="T10"/>
  <c r="T27"/>
  <c r="T6"/>
  <c r="T19"/>
  <c r="T15"/>
  <c r="T13"/>
  <c r="T22"/>
  <c r="U7"/>
  <c r="T28"/>
  <c r="T16"/>
  <c r="T11"/>
  <c r="K25" i="22"/>
  <c r="Q25"/>
  <c r="M25"/>
  <c r="T25"/>
  <c r="C25"/>
  <c r="I25"/>
  <c r="E25"/>
  <c r="L25"/>
  <c r="H25"/>
  <c r="D25"/>
  <c r="P25"/>
  <c r="A26"/>
  <c r="S25"/>
  <c r="B25"/>
  <c r="J24"/>
  <c r="DX26" i="43"/>
  <c r="ED25"/>
  <c r="EE25"/>
  <c r="DR27"/>
  <c r="R27" s="1"/>
  <c r="BY27"/>
  <c r="CA27" s="1"/>
  <c r="X26"/>
  <c r="Y26" s="1"/>
  <c r="D23" i="45" s="1"/>
  <c r="U23" s="1"/>
  <c r="CR27" i="43"/>
  <c r="CT27" s="1"/>
  <c r="J28"/>
  <c r="K28" s="1"/>
  <c r="BY28" s="1"/>
  <c r="CA28" s="1"/>
  <c r="EV26"/>
  <c r="EU27"/>
  <c r="CY24"/>
  <c r="DA24" s="1"/>
  <c r="AU21" i="45" s="1"/>
  <c r="CF24" i="43"/>
  <c r="FZ26"/>
  <c r="GJ26" s="1"/>
  <c r="GL26" s="1"/>
  <c r="BK26" s="1"/>
  <c r="BM26" s="1"/>
  <c r="GR23"/>
  <c r="GD23"/>
  <c r="GY23"/>
  <c r="C23" i="45"/>
  <c r="GA24" i="43"/>
  <c r="GE24"/>
  <c r="AR24" s="1"/>
  <c r="AW21" i="45"/>
  <c r="BM24" i="43"/>
  <c r="GW27"/>
  <c r="AA27"/>
  <c r="AE27"/>
  <c r="DO27"/>
  <c r="DP27" s="1"/>
  <c r="GJ25"/>
  <c r="GL25" s="1"/>
  <c r="BK25" s="1"/>
  <c r="GX25"/>
  <c r="GZ25" s="1"/>
  <c r="GQ25"/>
  <c r="GS25" s="1"/>
  <c r="GC25"/>
  <c r="AL28"/>
  <c r="GP27"/>
  <c r="T23" i="45"/>
  <c r="GI27" i="43"/>
  <c r="GB27"/>
  <c r="Z28"/>
  <c r="FS29"/>
  <c r="GU29" s="1"/>
  <c r="BZ28"/>
  <c r="CS28"/>
  <c r="AD28"/>
  <c r="BE28"/>
  <c r="GN28"/>
  <c r="GM28" s="1"/>
  <c r="HB28"/>
  <c r="HA28" s="1"/>
  <c r="GG28"/>
  <c r="GF28" s="1"/>
  <c r="GT28"/>
  <c r="Z22" i="45"/>
  <c r="W23"/>
  <c r="Y23" s="1"/>
  <c r="AA22"/>
  <c r="AB22" s="1"/>
  <c r="E26" i="22" l="1"/>
  <c r="T26"/>
  <c r="S26"/>
  <c r="P26"/>
  <c r="K26"/>
  <c r="I26"/>
  <c r="D26"/>
  <c r="B26"/>
  <c r="Q26"/>
  <c r="M26"/>
  <c r="H26"/>
  <c r="L26"/>
  <c r="C26"/>
  <c r="A27"/>
  <c r="G25"/>
  <c r="F25"/>
  <c r="U28" i="30"/>
  <c r="U27"/>
  <c r="U20"/>
  <c r="U10"/>
  <c r="U11"/>
  <c r="U22"/>
  <c r="U21"/>
  <c r="U6"/>
  <c r="U14"/>
  <c r="U12"/>
  <c r="U26"/>
  <c r="U13"/>
  <c r="U9"/>
  <c r="U19"/>
  <c r="V7"/>
  <c r="U17"/>
  <c r="U15"/>
  <c r="U23"/>
  <c r="U16"/>
  <c r="J25" i="22"/>
  <c r="R24"/>
  <c r="N24"/>
  <c r="O24" s="1"/>
  <c r="AK27" i="43"/>
  <c r="X27" s="1"/>
  <c r="Y27" s="1"/>
  <c r="D24" i="45" s="1"/>
  <c r="U24" s="1"/>
  <c r="EE26" i="43"/>
  <c r="DR28"/>
  <c r="R28" s="1"/>
  <c r="DX27"/>
  <c r="BD28"/>
  <c r="BF28" s="1"/>
  <c r="ED26"/>
  <c r="CR28"/>
  <c r="CT28" s="1"/>
  <c r="J29"/>
  <c r="K29" s="1"/>
  <c r="DR29" s="1"/>
  <c r="EV27"/>
  <c r="EU28"/>
  <c r="CY25"/>
  <c r="DA25" s="1"/>
  <c r="AU22" i="45" s="1"/>
  <c r="CH24" i="43"/>
  <c r="AV21" i="45"/>
  <c r="CF25" i="43"/>
  <c r="FZ27"/>
  <c r="GX26"/>
  <c r="GZ26" s="1"/>
  <c r="GC26"/>
  <c r="GE26" s="1"/>
  <c r="AR26" s="1"/>
  <c r="GQ26"/>
  <c r="GS26" s="1"/>
  <c r="AW23" i="45"/>
  <c r="GI28" i="43"/>
  <c r="GA25"/>
  <c r="GE25"/>
  <c r="AR25" s="1"/>
  <c r="GW28"/>
  <c r="BM25"/>
  <c r="AW22" i="45"/>
  <c r="C24"/>
  <c r="GR24" i="43"/>
  <c r="GY24"/>
  <c r="GD24"/>
  <c r="GK24"/>
  <c r="GB28"/>
  <c r="DO28"/>
  <c r="DP28" s="1"/>
  <c r="AE28"/>
  <c r="AA28"/>
  <c r="AT21" i="45"/>
  <c r="AT24" i="43"/>
  <c r="GP28"/>
  <c r="CS29"/>
  <c r="BZ29"/>
  <c r="FS30"/>
  <c r="GU30" s="1"/>
  <c r="AD29"/>
  <c r="BE29"/>
  <c r="Z29"/>
  <c r="GN29"/>
  <c r="GM29" s="1"/>
  <c r="GG29"/>
  <c r="GF29" s="1"/>
  <c r="GT29"/>
  <c r="HB29"/>
  <c r="HA29" s="1"/>
  <c r="J30"/>
  <c r="K30" s="1"/>
  <c r="AL29"/>
  <c r="T24" i="45"/>
  <c r="W24"/>
  <c r="Y24" s="1"/>
  <c r="Z23"/>
  <c r="AA23"/>
  <c r="AB23" s="1"/>
  <c r="EE27" i="43" l="1"/>
  <c r="J26" i="22"/>
  <c r="N26" s="1"/>
  <c r="O26" s="1"/>
  <c r="G26"/>
  <c r="F26"/>
  <c r="L27"/>
  <c r="K27"/>
  <c r="D27"/>
  <c r="C27"/>
  <c r="T27"/>
  <c r="A28"/>
  <c r="I27"/>
  <c r="S27"/>
  <c r="H27"/>
  <c r="M27"/>
  <c r="E27"/>
  <c r="B27"/>
  <c r="P27"/>
  <c r="Q27"/>
  <c r="V23" i="30"/>
  <c r="W7"/>
  <c r="V27"/>
  <c r="V16"/>
  <c r="V12"/>
  <c r="V20"/>
  <c r="V14"/>
  <c r="V21"/>
  <c r="V22"/>
  <c r="V9"/>
  <c r="V10"/>
  <c r="V11"/>
  <c r="V17"/>
  <c r="V19"/>
  <c r="V28"/>
  <c r="V6"/>
  <c r="V15"/>
  <c r="V13"/>
  <c r="V26"/>
  <c r="R26" i="22"/>
  <c r="N25"/>
  <c r="O25" s="1"/>
  <c r="R25"/>
  <c r="ED27" i="43"/>
  <c r="AK28"/>
  <c r="X28" s="1"/>
  <c r="Y28" s="1"/>
  <c r="D25" i="45" s="1"/>
  <c r="U25" s="1"/>
  <c r="DX28" i="43"/>
  <c r="CR29"/>
  <c r="CT29" s="1"/>
  <c r="BY29"/>
  <c r="CA29" s="1"/>
  <c r="BD29"/>
  <c r="BF29" s="1"/>
  <c r="EV28"/>
  <c r="EU29"/>
  <c r="CY26"/>
  <c r="DA26" s="1"/>
  <c r="AU23" i="45" s="1"/>
  <c r="AV22"/>
  <c r="CH25" i="43"/>
  <c r="CF26"/>
  <c r="FZ28"/>
  <c r="AK29"/>
  <c r="R29"/>
  <c r="BY30"/>
  <c r="CA30" s="1"/>
  <c r="BD30"/>
  <c r="BF30" s="1"/>
  <c r="DR30"/>
  <c r="CR30"/>
  <c r="CT30" s="1"/>
  <c r="GA26"/>
  <c r="GD26" s="1"/>
  <c r="GW29"/>
  <c r="T25" i="45"/>
  <c r="AT22"/>
  <c r="AT25" i="43"/>
  <c r="GQ27"/>
  <c r="GS27" s="1"/>
  <c r="GJ27"/>
  <c r="GL27" s="1"/>
  <c r="BK27" s="1"/>
  <c r="GC27"/>
  <c r="GX27"/>
  <c r="GZ27" s="1"/>
  <c r="AA29"/>
  <c r="GI29"/>
  <c r="CS30"/>
  <c r="BE30"/>
  <c r="Z30"/>
  <c r="FS31"/>
  <c r="GU31" s="1"/>
  <c r="AD30"/>
  <c r="BZ30"/>
  <c r="GN30"/>
  <c r="GM30" s="1"/>
  <c r="GT30"/>
  <c r="GP30" s="1"/>
  <c r="GG30"/>
  <c r="GF30" s="1"/>
  <c r="HB30"/>
  <c r="HA30" s="1"/>
  <c r="C25" i="45"/>
  <c r="J31" i="43"/>
  <c r="K31" s="1"/>
  <c r="AL30"/>
  <c r="GB29"/>
  <c r="DO29"/>
  <c r="DP29" s="1"/>
  <c r="AE29"/>
  <c r="GP29"/>
  <c r="AT26"/>
  <c r="AT23" i="45"/>
  <c r="GY25" i="43"/>
  <c r="GR25"/>
  <c r="GK25"/>
  <c r="GD25"/>
  <c r="W25" i="45"/>
  <c r="Y25" s="1"/>
  <c r="Z24"/>
  <c r="AA24"/>
  <c r="AB24" s="1"/>
  <c r="ED28" i="43" l="1"/>
  <c r="EE28"/>
  <c r="J27" i="22"/>
  <c r="R27" s="1"/>
  <c r="W21" i="30"/>
  <c r="X7"/>
  <c r="W19"/>
  <c r="W10"/>
  <c r="W17"/>
  <c r="W28"/>
  <c r="W13"/>
  <c r="W14"/>
  <c r="W23"/>
  <c r="W6"/>
  <c r="W9"/>
  <c r="W22"/>
  <c r="W16"/>
  <c r="W26"/>
  <c r="W15"/>
  <c r="W27"/>
  <c r="W20"/>
  <c r="W11"/>
  <c r="W12"/>
  <c r="G27" i="22"/>
  <c r="F27"/>
  <c r="E28"/>
  <c r="P28"/>
  <c r="T28"/>
  <c r="H28"/>
  <c r="M28"/>
  <c r="B28"/>
  <c r="C28"/>
  <c r="A29"/>
  <c r="S28"/>
  <c r="K28"/>
  <c r="Q28"/>
  <c r="D28"/>
  <c r="I28"/>
  <c r="L28"/>
  <c r="X29" i="43"/>
  <c r="Y29" s="1"/>
  <c r="D26" i="45" s="1"/>
  <c r="U26" s="1"/>
  <c r="DX29" i="43"/>
  <c r="EV29"/>
  <c r="EU30"/>
  <c r="CY27"/>
  <c r="DA27" s="1"/>
  <c r="AU24" i="45" s="1"/>
  <c r="CH26" i="43"/>
  <c r="AV23" i="45"/>
  <c r="CF27" i="43"/>
  <c r="FZ29"/>
  <c r="BD31"/>
  <c r="BF31" s="1"/>
  <c r="DR31"/>
  <c r="BY31"/>
  <c r="CA31" s="1"/>
  <c r="CR31"/>
  <c r="CT31" s="1"/>
  <c r="AK30"/>
  <c r="X30" s="1"/>
  <c r="Y30" s="1"/>
  <c r="D27" i="45" s="1"/>
  <c r="U27" s="1"/>
  <c r="DX30" i="43"/>
  <c r="R30"/>
  <c r="GR26"/>
  <c r="GY26"/>
  <c r="GK26"/>
  <c r="AD31"/>
  <c r="BE31"/>
  <c r="Z31"/>
  <c r="FS32"/>
  <c r="GU32" s="1"/>
  <c r="CS31"/>
  <c r="BZ31"/>
  <c r="GT31"/>
  <c r="GG31"/>
  <c r="GF31" s="1"/>
  <c r="GN31"/>
  <c r="GM31" s="1"/>
  <c r="HB31"/>
  <c r="HA31" s="1"/>
  <c r="GB30"/>
  <c r="DO30"/>
  <c r="DP30" s="1"/>
  <c r="AE30"/>
  <c r="C26" i="45"/>
  <c r="GW30" i="43"/>
  <c r="BM27"/>
  <c r="AW24" i="45"/>
  <c r="J32" i="43"/>
  <c r="K32" s="1"/>
  <c r="AL31"/>
  <c r="T26" i="45"/>
  <c r="GX28" i="43"/>
  <c r="GZ28" s="1"/>
  <c r="GJ28"/>
  <c r="GL28" s="1"/>
  <c r="BK28" s="1"/>
  <c r="GC28"/>
  <c r="GQ28"/>
  <c r="GS28" s="1"/>
  <c r="GI30"/>
  <c r="AA30"/>
  <c r="GE27"/>
  <c r="AR27" s="1"/>
  <c r="GA27"/>
  <c r="Z25" i="45"/>
  <c r="W26"/>
  <c r="Y26" s="1"/>
  <c r="AA25"/>
  <c r="AB25" s="1"/>
  <c r="EE29" i="43" l="1"/>
  <c r="N27" i="22"/>
  <c r="O27" s="1"/>
  <c r="F28"/>
  <c r="G28"/>
  <c r="C29"/>
  <c r="E29"/>
  <c r="I29"/>
  <c r="A30"/>
  <c r="T29"/>
  <c r="Q29"/>
  <c r="S29"/>
  <c r="H29"/>
  <c r="P29"/>
  <c r="D29"/>
  <c r="K29"/>
  <c r="B29"/>
  <c r="L29"/>
  <c r="M29"/>
  <c r="X23" i="30"/>
  <c r="X6"/>
  <c r="X19"/>
  <c r="X15"/>
  <c r="X13"/>
  <c r="X26"/>
  <c r="X20"/>
  <c r="X22"/>
  <c r="X10"/>
  <c r="X12"/>
  <c r="X28"/>
  <c r="X21"/>
  <c r="Y7"/>
  <c r="X16"/>
  <c r="X11"/>
  <c r="X9"/>
  <c r="X27"/>
  <c r="X17"/>
  <c r="X14"/>
  <c r="J28" i="22"/>
  <c r="ED29" i="43"/>
  <c r="EV30"/>
  <c r="EU31"/>
  <c r="CY28"/>
  <c r="DA28" s="1"/>
  <c r="AU25" i="45" s="1"/>
  <c r="CH27" i="43"/>
  <c r="AV24" i="45"/>
  <c r="CF28" i="43"/>
  <c r="FZ30"/>
  <c r="GX30" s="1"/>
  <c r="GZ30" s="1"/>
  <c r="ED30"/>
  <c r="AK31"/>
  <c r="X31" s="1"/>
  <c r="Y31" s="1"/>
  <c r="D28" i="45" s="1"/>
  <c r="U28" s="1"/>
  <c r="DX31" i="43"/>
  <c r="R31"/>
  <c r="DR32"/>
  <c r="BY32"/>
  <c r="CA32" s="1"/>
  <c r="BD32"/>
  <c r="BF32" s="1"/>
  <c r="CR32"/>
  <c r="CT32" s="1"/>
  <c r="GR27"/>
  <c r="GD27"/>
  <c r="GY27"/>
  <c r="GK27"/>
  <c r="J33"/>
  <c r="K33" s="1"/>
  <c r="AL32"/>
  <c r="GB31"/>
  <c r="FS33"/>
  <c r="GU33" s="1"/>
  <c r="Z32"/>
  <c r="AD32"/>
  <c r="BE32"/>
  <c r="BZ32"/>
  <c r="CS32"/>
  <c r="GN32"/>
  <c r="GM32" s="1"/>
  <c r="GI32" s="1"/>
  <c r="HB32"/>
  <c r="HA32" s="1"/>
  <c r="GG32"/>
  <c r="GF32" s="1"/>
  <c r="GT32"/>
  <c r="GI31"/>
  <c r="DO31"/>
  <c r="DP31" s="1"/>
  <c r="AE31"/>
  <c r="C27" i="45"/>
  <c r="EE30" i="43"/>
  <c r="BM28"/>
  <c r="AW25" i="45"/>
  <c r="GX29" i="43"/>
  <c r="GZ29" s="1"/>
  <c r="GQ29"/>
  <c r="GS29" s="1"/>
  <c r="GC29"/>
  <c r="GJ29"/>
  <c r="GL29" s="1"/>
  <c r="BK29" s="1"/>
  <c r="GW31"/>
  <c r="AT27"/>
  <c r="AT24" i="45"/>
  <c r="GA28" i="43"/>
  <c r="GE28"/>
  <c r="AR28" s="1"/>
  <c r="T27" i="45"/>
  <c r="GP31" i="43"/>
  <c r="AA31"/>
  <c r="W27" i="45"/>
  <c r="Y27" s="1"/>
  <c r="Z26"/>
  <c r="AA26"/>
  <c r="AB26" s="1"/>
  <c r="J29" i="22" l="1"/>
  <c r="N29" s="1"/>
  <c r="O29" s="1"/>
  <c r="Y9" i="30"/>
  <c r="Y22"/>
  <c r="Y19"/>
  <c r="Y16"/>
  <c r="Y12"/>
  <c r="Y20"/>
  <c r="Y17"/>
  <c r="Y15"/>
  <c r="Y6"/>
  <c r="Y14"/>
  <c r="Y27"/>
  <c r="Z7"/>
  <c r="Y23"/>
  <c r="Y11"/>
  <c r="Y28"/>
  <c r="Y21"/>
  <c r="Y26"/>
  <c r="Y10"/>
  <c r="Y13"/>
  <c r="P30" i="22"/>
  <c r="H30"/>
  <c r="Q30"/>
  <c r="C30"/>
  <c r="T30"/>
  <c r="K30"/>
  <c r="D30"/>
  <c r="A31"/>
  <c r="E30"/>
  <c r="M30"/>
  <c r="I30"/>
  <c r="S30"/>
  <c r="B30"/>
  <c r="L30"/>
  <c r="F29"/>
  <c r="G29"/>
  <c r="N28"/>
  <c r="O28" s="1"/>
  <c r="R28"/>
  <c r="ED31" i="43"/>
  <c r="EV31"/>
  <c r="EU32"/>
  <c r="CY30"/>
  <c r="DA30" s="1"/>
  <c r="AU27" i="45" s="1"/>
  <c r="CY29" i="43"/>
  <c r="DA29" s="1"/>
  <c r="AU26" i="45" s="1"/>
  <c r="AV25"/>
  <c r="CH28" i="43"/>
  <c r="CF29"/>
  <c r="FZ31"/>
  <c r="GX31" s="1"/>
  <c r="GZ31" s="1"/>
  <c r="DR33"/>
  <c r="CR33"/>
  <c r="CT33" s="1"/>
  <c r="BD33"/>
  <c r="BF33" s="1"/>
  <c r="BY33"/>
  <c r="CA33" s="1"/>
  <c r="DX32"/>
  <c r="AK32"/>
  <c r="X32" s="1"/>
  <c r="Y32" s="1"/>
  <c r="D29" i="45" s="1"/>
  <c r="U29" s="1"/>
  <c r="R32" i="43"/>
  <c r="GQ30"/>
  <c r="GS30" s="1"/>
  <c r="GJ30"/>
  <c r="GL30" s="1"/>
  <c r="BK30" s="1"/>
  <c r="AW27" i="45" s="1"/>
  <c r="GC30" i="43"/>
  <c r="GE30" s="1"/>
  <c r="AR30" s="1"/>
  <c r="GW32"/>
  <c r="C28" i="45"/>
  <c r="EE31" i="43"/>
  <c r="GE29"/>
  <c r="AR29" s="1"/>
  <c r="GA29"/>
  <c r="T28" i="45"/>
  <c r="GP32" i="43"/>
  <c r="AA32"/>
  <c r="AE32"/>
  <c r="DO32"/>
  <c r="DP32" s="1"/>
  <c r="AL33"/>
  <c r="GK28"/>
  <c r="GD28"/>
  <c r="GY28"/>
  <c r="GR28"/>
  <c r="AW26" i="45"/>
  <c r="BM29" i="43"/>
  <c r="AT25" i="45"/>
  <c r="AT28" i="43"/>
  <c r="GB32"/>
  <c r="Z33"/>
  <c r="FS34"/>
  <c r="GU34" s="1"/>
  <c r="BE33"/>
  <c r="AD33"/>
  <c r="BZ33"/>
  <c r="CS33"/>
  <c r="GT33"/>
  <c r="HB33"/>
  <c r="HA33" s="1"/>
  <c r="GW33" s="1"/>
  <c r="GN33"/>
  <c r="GM33" s="1"/>
  <c r="GG33"/>
  <c r="GF33" s="1"/>
  <c r="W28" i="45"/>
  <c r="Y28" s="1"/>
  <c r="Z27"/>
  <c r="AA27"/>
  <c r="AB27" s="1"/>
  <c r="R29" i="22" l="1"/>
  <c r="J30"/>
  <c r="T31"/>
  <c r="C31"/>
  <c r="D31"/>
  <c r="I31"/>
  <c r="E31"/>
  <c r="L31"/>
  <c r="Q31"/>
  <c r="H31"/>
  <c r="M31"/>
  <c r="K31"/>
  <c r="B31"/>
  <c r="A32"/>
  <c r="S31"/>
  <c r="P31"/>
  <c r="G30"/>
  <c r="F30"/>
  <c r="Z17" i="30"/>
  <c r="Z21"/>
  <c r="Z28"/>
  <c r="Z10"/>
  <c r="Z13"/>
  <c r="Z12"/>
  <c r="Z23"/>
  <c r="Z19"/>
  <c r="AA7"/>
  <c r="Z16"/>
  <c r="Z20"/>
  <c r="Z22"/>
  <c r="Z26"/>
  <c r="Z15"/>
  <c r="Z11"/>
  <c r="Z6"/>
  <c r="Z9"/>
  <c r="Z27"/>
  <c r="Z14"/>
  <c r="J34" i="43"/>
  <c r="K34" s="1"/>
  <c r="CR34" s="1"/>
  <c r="CT34" s="1"/>
  <c r="EV32"/>
  <c r="EU33"/>
  <c r="CY31"/>
  <c r="DA31" s="1"/>
  <c r="AU28" i="45" s="1"/>
  <c r="CH29" i="43"/>
  <c r="AV26" i="45"/>
  <c r="CF30" i="43"/>
  <c r="FZ32"/>
  <c r="GJ32" s="1"/>
  <c r="GL32" s="1"/>
  <c r="BK32" s="1"/>
  <c r="BM32" s="1"/>
  <c r="ED32"/>
  <c r="DX33"/>
  <c r="AK33"/>
  <c r="X33" s="1"/>
  <c r="Y33" s="1"/>
  <c r="D30" i="45" s="1"/>
  <c r="U30" s="1"/>
  <c r="R33" i="43"/>
  <c r="GC31"/>
  <c r="GE31" s="1"/>
  <c r="AR31" s="1"/>
  <c r="GQ31"/>
  <c r="GS31" s="1"/>
  <c r="GJ31"/>
  <c r="GL31" s="1"/>
  <c r="BK31" s="1"/>
  <c r="BM31" s="1"/>
  <c r="BM30"/>
  <c r="GA30"/>
  <c r="GK30" s="1"/>
  <c r="GI33"/>
  <c r="AA33"/>
  <c r="T29" i="45"/>
  <c r="AT26"/>
  <c r="AT29" i="43"/>
  <c r="AE33"/>
  <c r="DO33"/>
  <c r="DP33" s="1"/>
  <c r="GB33"/>
  <c r="AD34"/>
  <c r="BZ34"/>
  <c r="Z34"/>
  <c r="BE34"/>
  <c r="FS35"/>
  <c r="GU35" s="1"/>
  <c r="CS34"/>
  <c r="GG34"/>
  <c r="GF34" s="1"/>
  <c r="HB34"/>
  <c r="HA34" s="1"/>
  <c r="GN34"/>
  <c r="GM34" s="1"/>
  <c r="GT34"/>
  <c r="AL34"/>
  <c r="GY29"/>
  <c r="GD29"/>
  <c r="GK29"/>
  <c r="GR29"/>
  <c r="GP33"/>
  <c r="AT27" i="45"/>
  <c r="AT30" i="43"/>
  <c r="C29" i="45"/>
  <c r="EE32" i="43"/>
  <c r="W29" i="45"/>
  <c r="Y29" s="1"/>
  <c r="Z28"/>
  <c r="AA28"/>
  <c r="AB28" s="1"/>
  <c r="BY34" i="43" l="1"/>
  <c r="CA34" s="1"/>
  <c r="J31" i="22"/>
  <c r="N31" s="1"/>
  <c r="O31" s="1"/>
  <c r="ED33" i="43"/>
  <c r="AA16" i="30"/>
  <c r="AA23"/>
  <c r="AA26"/>
  <c r="AA20"/>
  <c r="AA10"/>
  <c r="AA13"/>
  <c r="AA19"/>
  <c r="AA6"/>
  <c r="AA15"/>
  <c r="AA14"/>
  <c r="AA27"/>
  <c r="AB7"/>
  <c r="AA21"/>
  <c r="AA22"/>
  <c r="AA17"/>
  <c r="AA28"/>
  <c r="AA9"/>
  <c r="AA12"/>
  <c r="AA11"/>
  <c r="T32" i="22"/>
  <c r="Q32"/>
  <c r="K32"/>
  <c r="M32"/>
  <c r="C32"/>
  <c r="I32"/>
  <c r="D32"/>
  <c r="E32"/>
  <c r="L32"/>
  <c r="H32"/>
  <c r="S32"/>
  <c r="A33"/>
  <c r="P32"/>
  <c r="B32"/>
  <c r="N30"/>
  <c r="O30" s="1"/>
  <c r="R30"/>
  <c r="G31"/>
  <c r="F31"/>
  <c r="DR34" i="43"/>
  <c r="R34" s="1"/>
  <c r="BD34"/>
  <c r="BF34" s="1"/>
  <c r="J35"/>
  <c r="K35" s="1"/>
  <c r="BY35" s="1"/>
  <c r="CA35" s="1"/>
  <c r="EV33"/>
  <c r="EU34"/>
  <c r="AV27" i="45"/>
  <c r="CH30" i="43"/>
  <c r="CF31"/>
  <c r="FZ33"/>
  <c r="AW28" i="45"/>
  <c r="AW29"/>
  <c r="GX32" i="43"/>
  <c r="GZ32" s="1"/>
  <c r="GQ32"/>
  <c r="GS32" s="1"/>
  <c r="GA31"/>
  <c r="GD31" s="1"/>
  <c r="GC32"/>
  <c r="GE32" s="1"/>
  <c r="AR32" s="1"/>
  <c r="AT29" i="45" s="1"/>
  <c r="GR30" i="43"/>
  <c r="GY30"/>
  <c r="GD30"/>
  <c r="GW34"/>
  <c r="GI34"/>
  <c r="BE35"/>
  <c r="CS35"/>
  <c r="FS36"/>
  <c r="GU36" s="1"/>
  <c r="AD35"/>
  <c r="Z35"/>
  <c r="BZ35"/>
  <c r="GG35"/>
  <c r="GF35" s="1"/>
  <c r="HB35"/>
  <c r="HA35" s="1"/>
  <c r="GT35"/>
  <c r="GP35" s="1"/>
  <c r="GN35"/>
  <c r="GM35" s="1"/>
  <c r="AE34"/>
  <c r="DO34"/>
  <c r="DP34" s="1"/>
  <c r="T30" i="45"/>
  <c r="GP34" i="43"/>
  <c r="C30" i="45"/>
  <c r="EE33" i="43"/>
  <c r="AT28" i="45"/>
  <c r="AT31" i="43"/>
  <c r="J36"/>
  <c r="K36" s="1"/>
  <c r="AL35"/>
  <c r="GB34"/>
  <c r="AA34"/>
  <c r="Z29" i="45"/>
  <c r="W30"/>
  <c r="Y30" s="1"/>
  <c r="AA29"/>
  <c r="AB29" s="1"/>
  <c r="R31" i="22" l="1"/>
  <c r="J32"/>
  <c r="N32" s="1"/>
  <c r="O32" s="1"/>
  <c r="D33"/>
  <c r="B33"/>
  <c r="C33"/>
  <c r="I33"/>
  <c r="M33"/>
  <c r="L33"/>
  <c r="Q33"/>
  <c r="K33"/>
  <c r="H33"/>
  <c r="S33"/>
  <c r="P33"/>
  <c r="A34"/>
  <c r="E33"/>
  <c r="T33"/>
  <c r="F32"/>
  <c r="G32"/>
  <c r="AB27" i="30"/>
  <c r="AB23"/>
  <c r="AB22"/>
  <c r="AB28"/>
  <c r="AB10"/>
  <c r="AB12"/>
  <c r="AB26"/>
  <c r="AB16"/>
  <c r="AB9"/>
  <c r="AB19"/>
  <c r="AB17"/>
  <c r="AB14"/>
  <c r="AB6"/>
  <c r="AC7"/>
  <c r="AB11"/>
  <c r="AB13"/>
  <c r="AB20"/>
  <c r="AB21"/>
  <c r="AB15"/>
  <c r="R32" i="22"/>
  <c r="DX34" i="43"/>
  <c r="AK34"/>
  <c r="X34" s="1"/>
  <c r="Y34" s="1"/>
  <c r="D31" i="45" s="1"/>
  <c r="U31" s="1"/>
  <c r="DR35" i="43"/>
  <c r="AK35" s="1"/>
  <c r="BD35"/>
  <c r="BF35" s="1"/>
  <c r="CR35"/>
  <c r="CT35" s="1"/>
  <c r="EV34"/>
  <c r="EU35"/>
  <c r="CY32"/>
  <c r="DA32" s="1"/>
  <c r="AU29" i="45" s="1"/>
  <c r="FZ34" i="43"/>
  <c r="AV28" i="45"/>
  <c r="CH31" i="43"/>
  <c r="CF32"/>
  <c r="BY36"/>
  <c r="CA36" s="1"/>
  <c r="CR36"/>
  <c r="CT36" s="1"/>
  <c r="BD36"/>
  <c r="BF36" s="1"/>
  <c r="DR36"/>
  <c r="GK31"/>
  <c r="GY31"/>
  <c r="GR31"/>
  <c r="GA32"/>
  <c r="GR32" s="1"/>
  <c r="AT32"/>
  <c r="C31" i="45"/>
  <c r="GW35" i="43"/>
  <c r="DO35"/>
  <c r="DP35" s="1"/>
  <c r="AE35"/>
  <c r="GX33"/>
  <c r="GZ33" s="1"/>
  <c r="GJ33"/>
  <c r="GL33" s="1"/>
  <c r="BK33" s="1"/>
  <c r="GC33"/>
  <c r="GQ33"/>
  <c r="GS33" s="1"/>
  <c r="GI35"/>
  <c r="AA35"/>
  <c r="AL36"/>
  <c r="T31" i="45"/>
  <c r="GB35" i="43"/>
  <c r="BE36"/>
  <c r="CS36"/>
  <c r="FS37"/>
  <c r="GU37" s="1"/>
  <c r="BZ36"/>
  <c r="AD36"/>
  <c r="Z36"/>
  <c r="GG36"/>
  <c r="GF36" s="1"/>
  <c r="GN36"/>
  <c r="GM36" s="1"/>
  <c r="GT36"/>
  <c r="HB36"/>
  <c r="HA36" s="1"/>
  <c r="Z30" i="45"/>
  <c r="W31"/>
  <c r="Y31" s="1"/>
  <c r="AA30"/>
  <c r="AB30" s="1"/>
  <c r="EE34" i="43" l="1"/>
  <c r="J33" i="22"/>
  <c r="N33" s="1"/>
  <c r="O33" s="1"/>
  <c r="AC9" i="30"/>
  <c r="AC27"/>
  <c r="AC22"/>
  <c r="AC15"/>
  <c r="AC28"/>
  <c r="AC26"/>
  <c r="AC19"/>
  <c r="AC21"/>
  <c r="AC16"/>
  <c r="AC13"/>
  <c r="AC23"/>
  <c r="AC10"/>
  <c r="AC11"/>
  <c r="AC20"/>
  <c r="AC6"/>
  <c r="AC17"/>
  <c r="AC14"/>
  <c r="AC12"/>
  <c r="AD7"/>
  <c r="G33" i="22"/>
  <c r="F33"/>
  <c r="H34"/>
  <c r="T34"/>
  <c r="D34"/>
  <c r="L34"/>
  <c r="M34"/>
  <c r="Q34"/>
  <c r="C34"/>
  <c r="P34"/>
  <c r="E34"/>
  <c r="B34"/>
  <c r="A35"/>
  <c r="I34"/>
  <c r="S34"/>
  <c r="K34"/>
  <c r="ED34" i="43"/>
  <c r="R35"/>
  <c r="X35"/>
  <c r="Y35" s="1"/>
  <c r="D32" i="45" s="1"/>
  <c r="U32" s="1"/>
  <c r="DX35" i="43"/>
  <c r="J37"/>
  <c r="K37" s="1"/>
  <c r="BY37" s="1"/>
  <c r="CA37" s="1"/>
  <c r="EV35"/>
  <c r="EU36"/>
  <c r="CY33"/>
  <c r="DA33" s="1"/>
  <c r="AU30" i="45" s="1"/>
  <c r="CH32" i="43"/>
  <c r="AV29" i="45"/>
  <c r="CF33" i="43"/>
  <c r="FZ35"/>
  <c r="GQ35" s="1"/>
  <c r="GS35" s="1"/>
  <c r="DX36"/>
  <c r="AK36"/>
  <c r="X36" s="1"/>
  <c r="Y36" s="1"/>
  <c r="D33" i="45" s="1"/>
  <c r="U33" s="1"/>
  <c r="R36" i="43"/>
  <c r="GY32"/>
  <c r="GD32"/>
  <c r="GK32"/>
  <c r="GW36"/>
  <c r="AA36"/>
  <c r="J38"/>
  <c r="K38" s="1"/>
  <c r="AL37"/>
  <c r="BM33"/>
  <c r="AW30" i="45"/>
  <c r="GB36" i="43"/>
  <c r="BZ37"/>
  <c r="Z37"/>
  <c r="AD37"/>
  <c r="CS37"/>
  <c r="FS38"/>
  <c r="GU38" s="1"/>
  <c r="BE37"/>
  <c r="HB37"/>
  <c r="HA37" s="1"/>
  <c r="GN37"/>
  <c r="GM37" s="1"/>
  <c r="GT37"/>
  <c r="GG37"/>
  <c r="GF37" s="1"/>
  <c r="GC34"/>
  <c r="GX34"/>
  <c r="GZ34" s="1"/>
  <c r="GJ34"/>
  <c r="GL34" s="1"/>
  <c r="BK34" s="1"/>
  <c r="GQ34"/>
  <c r="GS34" s="1"/>
  <c r="GE33"/>
  <c r="AR33" s="1"/>
  <c r="GA33"/>
  <c r="GI36"/>
  <c r="C32" i="45"/>
  <c r="T32"/>
  <c r="GP36" i="43"/>
  <c r="DO36"/>
  <c r="DP36" s="1"/>
  <c r="AE36"/>
  <c r="W32" i="45"/>
  <c r="Y32" s="1"/>
  <c r="Z31"/>
  <c r="AA31"/>
  <c r="AB31" s="1"/>
  <c r="R33" i="22" l="1"/>
  <c r="EE35" i="43"/>
  <c r="M35" i="22"/>
  <c r="D35"/>
  <c r="A36"/>
  <c r="E35"/>
  <c r="Q35"/>
  <c r="H35"/>
  <c r="P35"/>
  <c r="B35"/>
  <c r="K35"/>
  <c r="S35"/>
  <c r="T35"/>
  <c r="C35"/>
  <c r="I35"/>
  <c r="L35"/>
  <c r="F34"/>
  <c r="G34"/>
  <c r="J34"/>
  <c r="AD16" i="30"/>
  <c r="AD28"/>
  <c r="AD15"/>
  <c r="AD13"/>
  <c r="AD23"/>
  <c r="AE7"/>
  <c r="AD22"/>
  <c r="AD20"/>
  <c r="AD27"/>
  <c r="AD10"/>
  <c r="AD17"/>
  <c r="AD19"/>
  <c r="AD21"/>
  <c r="AD14"/>
  <c r="AD9"/>
  <c r="AD6"/>
  <c r="AD26"/>
  <c r="AD11"/>
  <c r="AD12"/>
  <c r="ED35" i="43"/>
  <c r="DR37"/>
  <c r="R37" s="1"/>
  <c r="BD37"/>
  <c r="BF37" s="1"/>
  <c r="CR37"/>
  <c r="CT37" s="1"/>
  <c r="EV36"/>
  <c r="EU37"/>
  <c r="CY34"/>
  <c r="DA34" s="1"/>
  <c r="AU31" i="45" s="1"/>
  <c r="AV30"/>
  <c r="CH33" i="43"/>
  <c r="CF34"/>
  <c r="CF35"/>
  <c r="FZ36"/>
  <c r="ED36"/>
  <c r="BD38"/>
  <c r="BF38" s="1"/>
  <c r="DR38"/>
  <c r="BY38"/>
  <c r="CA38" s="1"/>
  <c r="CR38"/>
  <c r="CT38" s="1"/>
  <c r="GC35"/>
  <c r="GE35" s="1"/>
  <c r="AR35" s="1"/>
  <c r="GX35"/>
  <c r="GZ35" s="1"/>
  <c r="GJ35"/>
  <c r="GL35" s="1"/>
  <c r="BK35" s="1"/>
  <c r="AW32" i="45" s="1"/>
  <c r="GD33" i="43"/>
  <c r="GR33"/>
  <c r="GY33"/>
  <c r="GK33"/>
  <c r="GB37"/>
  <c r="AA37"/>
  <c r="AW31" i="45"/>
  <c r="BM34" i="43"/>
  <c r="GW37"/>
  <c r="DO37"/>
  <c r="DP37" s="1"/>
  <c r="AE37"/>
  <c r="AL38"/>
  <c r="GI37"/>
  <c r="C33" i="45"/>
  <c r="EE36" i="43"/>
  <c r="T33" i="45"/>
  <c r="AT33" i="43"/>
  <c r="AT30" i="45"/>
  <c r="GA34" i="43"/>
  <c r="GE34"/>
  <c r="AR34" s="1"/>
  <c r="GP37"/>
  <c r="BZ38"/>
  <c r="AD38"/>
  <c r="BE38"/>
  <c r="FS39"/>
  <c r="GU39" s="1"/>
  <c r="Z38"/>
  <c r="CS38"/>
  <c r="GT38"/>
  <c r="HB38"/>
  <c r="HA38" s="1"/>
  <c r="GG38"/>
  <c r="GF38" s="1"/>
  <c r="GN38"/>
  <c r="GM38" s="1"/>
  <c r="Z32" i="45"/>
  <c r="W33"/>
  <c r="Y33" s="1"/>
  <c r="AA32"/>
  <c r="AB32" s="1"/>
  <c r="R34" i="22" l="1"/>
  <c r="N34"/>
  <c r="O34" s="1"/>
  <c r="J35"/>
  <c r="AE21" i="30"/>
  <c r="AE22"/>
  <c r="AE17"/>
  <c r="AE14"/>
  <c r="AE26"/>
  <c r="AE20"/>
  <c r="AE27"/>
  <c r="AE15"/>
  <c r="AE11"/>
  <c r="AE9"/>
  <c r="AF7"/>
  <c r="AE28"/>
  <c r="AE16"/>
  <c r="AE13"/>
  <c r="AE6"/>
  <c r="AE19"/>
  <c r="AE12"/>
  <c r="AE23"/>
  <c r="AE10"/>
  <c r="C36" i="22"/>
  <c r="Q36"/>
  <c r="B36"/>
  <c r="T36"/>
  <c r="M36"/>
  <c r="A37"/>
  <c r="H36"/>
  <c r="E36"/>
  <c r="K36"/>
  <c r="I36"/>
  <c r="P36"/>
  <c r="L36"/>
  <c r="D36"/>
  <c r="S36"/>
  <c r="F35"/>
  <c r="G35"/>
  <c r="AK37" i="43"/>
  <c r="X37" s="1"/>
  <c r="Y37" s="1"/>
  <c r="D34" i="45" s="1"/>
  <c r="U34" s="1"/>
  <c r="DX37" i="43"/>
  <c r="J39"/>
  <c r="K39" s="1"/>
  <c r="CR39" s="1"/>
  <c r="CT39" s="1"/>
  <c r="EV37"/>
  <c r="EU38"/>
  <c r="CY35"/>
  <c r="DA35" s="1"/>
  <c r="AU32" i="45" s="1"/>
  <c r="AV31"/>
  <c r="CH34" i="43"/>
  <c r="AV32" i="45"/>
  <c r="CH35" i="43"/>
  <c r="FZ37"/>
  <c r="AK38"/>
  <c r="X38" s="1"/>
  <c r="Y38" s="1"/>
  <c r="D35" i="45" s="1"/>
  <c r="U35" s="1"/>
  <c r="DX38" i="43"/>
  <c r="R38"/>
  <c r="BM35"/>
  <c r="GA35"/>
  <c r="GK35" s="1"/>
  <c r="GW38"/>
  <c r="Z39"/>
  <c r="BZ39"/>
  <c r="BE39"/>
  <c r="FS40"/>
  <c r="GU40" s="1"/>
  <c r="AD39"/>
  <c r="CS39"/>
  <c r="GT39"/>
  <c r="GN39"/>
  <c r="GM39" s="1"/>
  <c r="GG39"/>
  <c r="GF39" s="1"/>
  <c r="HB39"/>
  <c r="HA39" s="1"/>
  <c r="GC36"/>
  <c r="GQ36"/>
  <c r="GS36" s="1"/>
  <c r="GX36"/>
  <c r="GZ36" s="1"/>
  <c r="GJ36"/>
  <c r="GL36" s="1"/>
  <c r="BK36" s="1"/>
  <c r="AA38"/>
  <c r="J40"/>
  <c r="K40" s="1"/>
  <c r="AL39"/>
  <c r="GD34"/>
  <c r="GY34"/>
  <c r="GR34"/>
  <c r="GK34"/>
  <c r="GI38"/>
  <c r="DO38"/>
  <c r="DP38" s="1"/>
  <c r="AE38"/>
  <c r="AT34"/>
  <c r="AT31" i="45"/>
  <c r="T34"/>
  <c r="GB38" i="43"/>
  <c r="GP38"/>
  <c r="AT32" i="45"/>
  <c r="AT35" i="43"/>
  <c r="C34" i="45"/>
  <c r="Z33"/>
  <c r="W34"/>
  <c r="Y34" s="1"/>
  <c r="AA33"/>
  <c r="AB33" s="1"/>
  <c r="J36" i="22" l="1"/>
  <c r="R36" s="1"/>
  <c r="BY39" i="43"/>
  <c r="CA39" s="1"/>
  <c r="AF6" i="30"/>
  <c r="AF22"/>
  <c r="AF28"/>
  <c r="AF14"/>
  <c r="AF13"/>
  <c r="AF23"/>
  <c r="AF10"/>
  <c r="AF20"/>
  <c r="AF11"/>
  <c r="AF27"/>
  <c r="AG7"/>
  <c r="AF17"/>
  <c r="AF21"/>
  <c r="AF12"/>
  <c r="AF15"/>
  <c r="AF16"/>
  <c r="AF9"/>
  <c r="AF26"/>
  <c r="AF19"/>
  <c r="G36" i="22"/>
  <c r="F36"/>
  <c r="R35"/>
  <c r="N35"/>
  <c r="O35" s="1"/>
  <c r="H37"/>
  <c r="B37"/>
  <c r="C37"/>
  <c r="M37"/>
  <c r="T37"/>
  <c r="L37"/>
  <c r="A38"/>
  <c r="S37"/>
  <c r="E37"/>
  <c r="P37"/>
  <c r="D37"/>
  <c r="K37"/>
  <c r="I37"/>
  <c r="Q37"/>
  <c r="EE37" i="43"/>
  <c r="BD39"/>
  <c r="BF39" s="1"/>
  <c r="DR39"/>
  <c r="R39" s="1"/>
  <c r="ED37"/>
  <c r="EV38"/>
  <c r="EU39"/>
  <c r="CY36"/>
  <c r="DA36" s="1"/>
  <c r="AU33" i="45" s="1"/>
  <c r="FZ38" i="43"/>
  <c r="CF36"/>
  <c r="ED38"/>
  <c r="BD40"/>
  <c r="BF40" s="1"/>
  <c r="DR40"/>
  <c r="BY40"/>
  <c r="CA40" s="1"/>
  <c r="CR40"/>
  <c r="CT40" s="1"/>
  <c r="GD35"/>
  <c r="GR35"/>
  <c r="GY35"/>
  <c r="AW33" i="45"/>
  <c r="BM36" i="43"/>
  <c r="GW39"/>
  <c r="C35" i="45"/>
  <c r="EE38" i="43"/>
  <c r="GE36"/>
  <c r="AR36" s="1"/>
  <c r="GA36"/>
  <c r="GP39"/>
  <c r="T35" i="45"/>
  <c r="GC37" i="43"/>
  <c r="GX37"/>
  <c r="GZ37" s="1"/>
  <c r="GJ37"/>
  <c r="GL37" s="1"/>
  <c r="BK37" s="1"/>
  <c r="GQ37"/>
  <c r="GS37" s="1"/>
  <c r="GI39"/>
  <c r="BZ40"/>
  <c r="CS40"/>
  <c r="BE40"/>
  <c r="FS41"/>
  <c r="GU41" s="1"/>
  <c r="Z40"/>
  <c r="AD40"/>
  <c r="GT40"/>
  <c r="GN40"/>
  <c r="GM40" s="1"/>
  <c r="GG40"/>
  <c r="GF40" s="1"/>
  <c r="HB40"/>
  <c r="HA40" s="1"/>
  <c r="AL40"/>
  <c r="GB39"/>
  <c r="DO39"/>
  <c r="DP39" s="1"/>
  <c r="AE39"/>
  <c r="AA39"/>
  <c r="Z34" i="45"/>
  <c r="W35"/>
  <c r="Y35" s="1"/>
  <c r="AA34"/>
  <c r="AB34" s="1"/>
  <c r="N36" i="22" l="1"/>
  <c r="O36" s="1"/>
  <c r="AK39" i="43"/>
  <c r="X39" s="1"/>
  <c r="Y39" s="1"/>
  <c r="D36" i="45" s="1"/>
  <c r="U36" s="1"/>
  <c r="AG9" i="30"/>
  <c r="AG22"/>
  <c r="AG6"/>
  <c r="AG28"/>
  <c r="AG11"/>
  <c r="AG16"/>
  <c r="AG27"/>
  <c r="AG21"/>
  <c r="AG15"/>
  <c r="AG12"/>
  <c r="AG17"/>
  <c r="AG26"/>
  <c r="AG19"/>
  <c r="AG10"/>
  <c r="AG23"/>
  <c r="AG20"/>
  <c r="AG14"/>
  <c r="AG13"/>
  <c r="J37" i="22"/>
  <c r="M38"/>
  <c r="H38"/>
  <c r="K38"/>
  <c r="C38"/>
  <c r="P38"/>
  <c r="D38"/>
  <c r="L38"/>
  <c r="Q38"/>
  <c r="A39"/>
  <c r="B38"/>
  <c r="E38"/>
  <c r="S38"/>
  <c r="I38"/>
  <c r="G37"/>
  <c r="F37"/>
  <c r="DX39" i="43"/>
  <c r="J41"/>
  <c r="K41" s="1"/>
  <c r="BY41" s="1"/>
  <c r="CA41" s="1"/>
  <c r="EV39"/>
  <c r="EU40"/>
  <c r="CY37"/>
  <c r="DA37" s="1"/>
  <c r="AU34" i="45" s="1"/>
  <c r="AV33"/>
  <c r="CH36" i="43"/>
  <c r="CF37"/>
  <c r="FZ39"/>
  <c r="GJ39" s="1"/>
  <c r="GL39" s="1"/>
  <c r="BK39" s="1"/>
  <c r="BM39" s="1"/>
  <c r="DX40"/>
  <c r="AK40"/>
  <c r="X40" s="1"/>
  <c r="Y40" s="1"/>
  <c r="D37" i="45" s="1"/>
  <c r="U37" s="1"/>
  <c r="R40" i="43"/>
  <c r="C36" i="45"/>
  <c r="T36"/>
  <c r="GB40" i="43"/>
  <c r="AA40"/>
  <c r="GE37"/>
  <c r="AR37" s="1"/>
  <c r="GA37"/>
  <c r="GW40"/>
  <c r="AE40"/>
  <c r="DO40"/>
  <c r="DP40" s="1"/>
  <c r="GX38"/>
  <c r="GZ38" s="1"/>
  <c r="GQ38"/>
  <c r="GS38" s="1"/>
  <c r="GJ38"/>
  <c r="GL38" s="1"/>
  <c r="BK38" s="1"/>
  <c r="GC38"/>
  <c r="AT33" i="45"/>
  <c r="AT36" i="43"/>
  <c r="AL41"/>
  <c r="GP40"/>
  <c r="BM37"/>
  <c r="AW34" i="45"/>
  <c r="GD36" i="43"/>
  <c r="GK36"/>
  <c r="GR36"/>
  <c r="GY36"/>
  <c r="GI40"/>
  <c r="AD41"/>
  <c r="BE41"/>
  <c r="FS42"/>
  <c r="GU42" s="1"/>
  <c r="CS41"/>
  <c r="Z41"/>
  <c r="BZ41"/>
  <c r="GT41"/>
  <c r="GG41"/>
  <c r="GF41" s="1"/>
  <c r="GN41"/>
  <c r="GM41" s="1"/>
  <c r="HB41"/>
  <c r="HA41" s="1"/>
  <c r="W36" i="45"/>
  <c r="Y36" s="1"/>
  <c r="Z35"/>
  <c r="AA35"/>
  <c r="AB35" s="1"/>
  <c r="EE39" i="43" l="1"/>
  <c r="ED39"/>
  <c r="J38" i="22"/>
  <c r="F38"/>
  <c r="G38"/>
  <c r="R37"/>
  <c r="N37"/>
  <c r="O37" s="1"/>
  <c r="L39"/>
  <c r="L41" s="1"/>
  <c r="I39"/>
  <c r="I41" s="1"/>
  <c r="H39"/>
  <c r="Q39"/>
  <c r="Q41" s="1"/>
  <c r="S39"/>
  <c r="S41" s="1"/>
  <c r="P39"/>
  <c r="P41" s="1"/>
  <c r="C39"/>
  <c r="K39"/>
  <c r="K41" s="1"/>
  <c r="M39"/>
  <c r="M41" s="1"/>
  <c r="B39"/>
  <c r="B41" s="1"/>
  <c r="D39"/>
  <c r="D41" s="1"/>
  <c r="E39"/>
  <c r="E41" s="1"/>
  <c r="DR41" i="43"/>
  <c r="R41" s="1"/>
  <c r="CR41"/>
  <c r="CT41" s="1"/>
  <c r="BD41"/>
  <c r="BF41" s="1"/>
  <c r="J42"/>
  <c r="K42" s="1"/>
  <c r="DR42" s="1"/>
  <c r="S43" i="22"/>
  <c r="ED40" i="43"/>
  <c r="EV40"/>
  <c r="EU41"/>
  <c r="CY38"/>
  <c r="DA38" s="1"/>
  <c r="AU35" i="45" s="1"/>
  <c r="AV34"/>
  <c r="CH37" i="43"/>
  <c r="CF38"/>
  <c r="FZ40"/>
  <c r="GC39"/>
  <c r="GE39" s="1"/>
  <c r="AR39" s="1"/>
  <c r="GQ39"/>
  <c r="GS39" s="1"/>
  <c r="GX39"/>
  <c r="GZ39" s="1"/>
  <c r="AW36" i="45"/>
  <c r="GB41" i="43"/>
  <c r="AL42"/>
  <c r="GK37"/>
  <c r="GY37"/>
  <c r="GR37"/>
  <c r="GD37"/>
  <c r="GI41"/>
  <c r="AA41"/>
  <c r="AE41"/>
  <c r="DO41"/>
  <c r="DP41" s="1"/>
  <c r="AW35" i="45"/>
  <c r="BM38" i="43"/>
  <c r="T37" i="45"/>
  <c r="C37"/>
  <c r="EE40" i="43"/>
  <c r="GW41"/>
  <c r="GE38"/>
  <c r="AR38" s="1"/>
  <c r="GA38"/>
  <c r="GP41"/>
  <c r="Z42"/>
  <c r="BE42"/>
  <c r="CS42"/>
  <c r="FS43"/>
  <c r="GU43" s="1"/>
  <c r="BZ42"/>
  <c r="AD42"/>
  <c r="GT42"/>
  <c r="GN42"/>
  <c r="GM42" s="1"/>
  <c r="HB42"/>
  <c r="HA42" s="1"/>
  <c r="GG42"/>
  <c r="GF42" s="1"/>
  <c r="AT37"/>
  <c r="AT34" i="45"/>
  <c r="Z36"/>
  <c r="W37"/>
  <c r="Y37" s="1"/>
  <c r="AA36"/>
  <c r="AB36" s="1"/>
  <c r="K43" i="22" l="1"/>
  <c r="P43"/>
  <c r="N38"/>
  <c r="O38" s="1"/>
  <c r="R38"/>
  <c r="C41"/>
  <c r="G39"/>
  <c r="F48" s="1"/>
  <c r="F39"/>
  <c r="F53" s="1"/>
  <c r="H41"/>
  <c r="J39"/>
  <c r="N39" s="1"/>
  <c r="O39" s="1"/>
  <c r="DX41" i="43"/>
  <c r="BD42"/>
  <c r="BF42" s="1"/>
  <c r="AK41"/>
  <c r="X41" s="1"/>
  <c r="Y41" s="1"/>
  <c r="CR42"/>
  <c r="CT42" s="1"/>
  <c r="BY42"/>
  <c r="CA42" s="1"/>
  <c r="J43"/>
  <c r="K43" s="1"/>
  <c r="BY43" s="1"/>
  <c r="CA43" s="1"/>
  <c r="EV41"/>
  <c r="EU42"/>
  <c r="CY39"/>
  <c r="DA39" s="1"/>
  <c r="AU36" i="45" s="1"/>
  <c r="CH38" i="43"/>
  <c r="AV35" i="45"/>
  <c r="CF39" i="43"/>
  <c r="FZ41"/>
  <c r="AK42"/>
  <c r="R42"/>
  <c r="GA39"/>
  <c r="GK39" s="1"/>
  <c r="GP42"/>
  <c r="GQ40"/>
  <c r="GS40" s="1"/>
  <c r="GC40"/>
  <c r="GX40"/>
  <c r="GZ40" s="1"/>
  <c r="GJ40"/>
  <c r="GL40" s="1"/>
  <c r="BK40" s="1"/>
  <c r="GW42"/>
  <c r="AA42"/>
  <c r="AT35" i="45"/>
  <c r="AT38" i="43"/>
  <c r="T38" i="45"/>
  <c r="GB42" i="43"/>
  <c r="AE42"/>
  <c r="DO42"/>
  <c r="DP42" s="1"/>
  <c r="GK38"/>
  <c r="GY38"/>
  <c r="GR38"/>
  <c r="GD38"/>
  <c r="C38" i="45"/>
  <c r="GI42" i="43"/>
  <c r="BE43"/>
  <c r="Z43"/>
  <c r="FS44"/>
  <c r="GU44" s="1"/>
  <c r="AD43"/>
  <c r="BZ43"/>
  <c r="CS43"/>
  <c r="GG43"/>
  <c r="GF43" s="1"/>
  <c r="HB43"/>
  <c r="HA43" s="1"/>
  <c r="GT43"/>
  <c r="GN43"/>
  <c r="GM43" s="1"/>
  <c r="AT39"/>
  <c r="AT36" i="45"/>
  <c r="AL43" i="43"/>
  <c r="Z37" i="45"/>
  <c r="W38"/>
  <c r="Y38" s="1"/>
  <c r="AA37"/>
  <c r="AB37" s="1"/>
  <c r="DR43" i="43" l="1"/>
  <c r="R43" s="1"/>
  <c r="B43" i="22"/>
  <c r="F47"/>
  <c r="E52"/>
  <c r="F52"/>
  <c r="G48"/>
  <c r="G47"/>
  <c r="N41"/>
  <c r="N43"/>
  <c r="E53"/>
  <c r="F41"/>
  <c r="F43"/>
  <c r="R39"/>
  <c r="R41" s="1"/>
  <c r="J43"/>
  <c r="J41"/>
  <c r="J44" i="43"/>
  <c r="K44" s="1"/>
  <c r="DR44" s="1"/>
  <c r="I43" i="22"/>
  <c r="E43"/>
  <c r="Q43"/>
  <c r="L43"/>
  <c r="H43"/>
  <c r="C43"/>
  <c r="D43"/>
  <c r="G41"/>
  <c r="M43"/>
  <c r="G43"/>
  <c r="D38" i="45"/>
  <c r="U38" s="1"/>
  <c r="EE41" i="43"/>
  <c r="DX42"/>
  <c r="X42"/>
  <c r="Y42" s="1"/>
  <c r="D39" i="45" s="1"/>
  <c r="U39" s="1"/>
  <c r="CR43" i="43"/>
  <c r="CT43" s="1"/>
  <c r="BD43"/>
  <c r="BF43" s="1"/>
  <c r="ED41"/>
  <c r="EV42"/>
  <c r="EU43"/>
  <c r="CY40"/>
  <c r="DA40" s="1"/>
  <c r="AU37" i="45" s="1"/>
  <c r="AV36"/>
  <c r="CH39" i="43"/>
  <c r="CF40"/>
  <c r="FZ42"/>
  <c r="GC42" s="1"/>
  <c r="GE42" s="1"/>
  <c r="AR42" s="1"/>
  <c r="AK43"/>
  <c r="N53" i="22"/>
  <c r="N52"/>
  <c r="O53"/>
  <c r="O52"/>
  <c r="O43"/>
  <c r="O41"/>
  <c r="GY39" i="43"/>
  <c r="GR39"/>
  <c r="GD39"/>
  <c r="GB43"/>
  <c r="BZ44"/>
  <c r="BE44"/>
  <c r="FS45"/>
  <c r="GU45" s="1"/>
  <c r="CS44"/>
  <c r="Z44"/>
  <c r="AD44"/>
  <c r="GT44"/>
  <c r="HB44"/>
  <c r="HA44" s="1"/>
  <c r="GN44"/>
  <c r="GM44" s="1"/>
  <c r="GG44"/>
  <c r="GF44" s="1"/>
  <c r="GE40"/>
  <c r="AR40" s="1"/>
  <c r="GA40"/>
  <c r="DO43"/>
  <c r="DP43" s="1"/>
  <c r="AE43"/>
  <c r="C39" i="45"/>
  <c r="GW43" i="43"/>
  <c r="J45"/>
  <c r="K45" s="1"/>
  <c r="AL44"/>
  <c r="GP43"/>
  <c r="T39" i="45"/>
  <c r="AW37"/>
  <c r="BM40" i="43"/>
  <c r="GI43"/>
  <c r="AA43"/>
  <c r="GQ41"/>
  <c r="GS41" s="1"/>
  <c r="GC41"/>
  <c r="GJ41"/>
  <c r="GL41" s="1"/>
  <c r="BK41" s="1"/>
  <c r="GX41"/>
  <c r="GZ41" s="1"/>
  <c r="Z38" i="45"/>
  <c r="W39"/>
  <c r="Y39" s="1"/>
  <c r="AA38"/>
  <c r="AB38" s="1"/>
  <c r="Q48" i="22" l="1"/>
  <c r="R48"/>
  <c r="R47"/>
  <c r="Q47"/>
  <c r="CR44" i="43"/>
  <c r="CT44" s="1"/>
  <c r="BD44"/>
  <c r="BF44" s="1"/>
  <c r="R43" i="22"/>
  <c r="BY44" i="43"/>
  <c r="CA44" s="1"/>
  <c r="X43"/>
  <c r="Y43" s="1"/>
  <c r="D40" i="45" s="1"/>
  <c r="U40" s="1"/>
  <c r="ED42" i="43"/>
  <c r="EE42"/>
  <c r="DX43"/>
  <c r="EV43"/>
  <c r="EU44"/>
  <c r="CY41"/>
  <c r="DA41" s="1"/>
  <c r="AU38" i="45" s="1"/>
  <c r="AV37"/>
  <c r="CH40" i="43"/>
  <c r="CF41"/>
  <c r="FZ43"/>
  <c r="BD45"/>
  <c r="BF45" s="1"/>
  <c r="DR45"/>
  <c r="BY45"/>
  <c r="CA45" s="1"/>
  <c r="CR45"/>
  <c r="CT45" s="1"/>
  <c r="AK44"/>
  <c r="R44"/>
  <c r="GX42"/>
  <c r="GZ42" s="1"/>
  <c r="GQ42"/>
  <c r="GS42" s="1"/>
  <c r="GJ42"/>
  <c r="GL42" s="1"/>
  <c r="BK42" s="1"/>
  <c r="GE41"/>
  <c r="AR41" s="1"/>
  <c r="GA41"/>
  <c r="GW44"/>
  <c r="BM41"/>
  <c r="AW38" i="45"/>
  <c r="C40"/>
  <c r="T40"/>
  <c r="AT37"/>
  <c r="AT40" i="43"/>
  <c r="GI44"/>
  <c r="AA44"/>
  <c r="AL45"/>
  <c r="AT42"/>
  <c r="AT39" i="45"/>
  <c r="GR40" i="43"/>
  <c r="GY40"/>
  <c r="GD40"/>
  <c r="GK40"/>
  <c r="GB44"/>
  <c r="AE44"/>
  <c r="DO44"/>
  <c r="DP44" s="1"/>
  <c r="GP44"/>
  <c r="AD45"/>
  <c r="BZ45"/>
  <c r="FS46"/>
  <c r="GU46" s="1"/>
  <c r="CS45"/>
  <c r="BE45"/>
  <c r="Z45"/>
  <c r="GG45"/>
  <c r="GF45" s="1"/>
  <c r="GB45" s="1"/>
  <c r="GT45"/>
  <c r="GN45"/>
  <c r="GM45" s="1"/>
  <c r="HB45"/>
  <c r="HA45" s="1"/>
  <c r="Z39" i="45"/>
  <c r="W40"/>
  <c r="Y40" s="1"/>
  <c r="AA39"/>
  <c r="AB39" s="1"/>
  <c r="X44" i="43" l="1"/>
  <c r="Y44" s="1"/>
  <c r="D41" i="45" s="1"/>
  <c r="U41" s="1"/>
  <c r="DX44" i="43"/>
  <c r="EE43"/>
  <c r="ED43"/>
  <c r="J46"/>
  <c r="K46" s="1"/>
  <c r="CR46" s="1"/>
  <c r="CT46" s="1"/>
  <c r="EV44"/>
  <c r="EU45"/>
  <c r="CY42"/>
  <c r="DA42" s="1"/>
  <c r="AU39" i="45" s="1"/>
  <c r="CH41" i="43"/>
  <c r="AV38" i="45"/>
  <c r="FZ44" i="43"/>
  <c r="AK45"/>
  <c r="X45" s="1"/>
  <c r="Y45" s="1"/>
  <c r="D42" i="45" s="1"/>
  <c r="U42" s="1"/>
  <c r="DX45" i="43"/>
  <c r="R45"/>
  <c r="CF42"/>
  <c r="GA42"/>
  <c r="AW39" i="45"/>
  <c r="BM42" i="43"/>
  <c r="GP45"/>
  <c r="T41" i="45"/>
  <c r="GI45" i="43"/>
  <c r="DO45"/>
  <c r="DP45" s="1"/>
  <c r="AE45"/>
  <c r="AT38" i="45"/>
  <c r="AT41" i="43"/>
  <c r="GW45"/>
  <c r="AA45"/>
  <c r="GX43"/>
  <c r="GZ43" s="1"/>
  <c r="GQ43"/>
  <c r="GS43" s="1"/>
  <c r="GC43"/>
  <c r="GJ43"/>
  <c r="GL43" s="1"/>
  <c r="BK43" s="1"/>
  <c r="AL46"/>
  <c r="GK41"/>
  <c r="GR41"/>
  <c r="GD41"/>
  <c r="GY41"/>
  <c r="CS46"/>
  <c r="AD46"/>
  <c r="Z46"/>
  <c r="BZ46"/>
  <c r="BE46"/>
  <c r="FS47"/>
  <c r="GU47" s="1"/>
  <c r="GN46"/>
  <c r="GM46" s="1"/>
  <c r="GT46"/>
  <c r="HB46"/>
  <c r="HA46" s="1"/>
  <c r="GG46"/>
  <c r="GF46" s="1"/>
  <c r="C41" i="45"/>
  <c r="W41"/>
  <c r="Y41" s="1"/>
  <c r="Z40"/>
  <c r="AA40"/>
  <c r="AB40" s="1"/>
  <c r="EE44" i="43" l="1"/>
  <c r="ED44"/>
  <c r="BY46"/>
  <c r="CA46" s="1"/>
  <c r="BD46"/>
  <c r="BF46" s="1"/>
  <c r="DR46"/>
  <c r="R46" s="1"/>
  <c r="J47"/>
  <c r="K47" s="1"/>
  <c r="BD47" s="1"/>
  <c r="BF47" s="1"/>
  <c r="EV45"/>
  <c r="EU46"/>
  <c r="CY43"/>
  <c r="DA43" s="1"/>
  <c r="AU40" i="45" s="1"/>
  <c r="CF43" i="43"/>
  <c r="FZ45"/>
  <c r="GC45" s="1"/>
  <c r="GE45" s="1"/>
  <c r="AR45" s="1"/>
  <c r="ED45"/>
  <c r="CH42"/>
  <c r="AV39" i="45"/>
  <c r="GY42" i="43"/>
  <c r="GD42"/>
  <c r="GK42"/>
  <c r="GR42"/>
  <c r="GW46"/>
  <c r="BM43"/>
  <c r="AW40" i="45"/>
  <c r="T42"/>
  <c r="GB46" i="43"/>
  <c r="AD47"/>
  <c r="Z47"/>
  <c r="BE47"/>
  <c r="BZ47"/>
  <c r="CS47"/>
  <c r="FS48"/>
  <c r="GU48" s="1"/>
  <c r="HB47"/>
  <c r="HA47" s="1"/>
  <c r="GT47"/>
  <c r="GP47" s="1"/>
  <c r="GN47"/>
  <c r="GM47" s="1"/>
  <c r="GG47"/>
  <c r="GF47" s="1"/>
  <c r="DO46"/>
  <c r="DP46" s="1"/>
  <c r="AE46"/>
  <c r="AL47"/>
  <c r="GC44"/>
  <c r="GJ44"/>
  <c r="GL44" s="1"/>
  <c r="BK44" s="1"/>
  <c r="GX44"/>
  <c r="GZ44" s="1"/>
  <c r="GQ44"/>
  <c r="GS44" s="1"/>
  <c r="GI46"/>
  <c r="AA46"/>
  <c r="GP46"/>
  <c r="GE43"/>
  <c r="AR43" s="1"/>
  <c r="GA43"/>
  <c r="C42" i="45"/>
  <c r="EE45" i="43"/>
  <c r="W42" i="45"/>
  <c r="Y42" s="1"/>
  <c r="Z41"/>
  <c r="AA41"/>
  <c r="AB41" s="1"/>
  <c r="J48" i="43" l="1"/>
  <c r="K48" s="1"/>
  <c r="CR48" s="1"/>
  <c r="CT48" s="1"/>
  <c r="AK46"/>
  <c r="X46" s="1"/>
  <c r="Y46" s="1"/>
  <c r="DX46"/>
  <c r="DR47"/>
  <c r="AK47" s="1"/>
  <c r="BY47"/>
  <c r="CA47" s="1"/>
  <c r="CR47"/>
  <c r="CT47" s="1"/>
  <c r="EV46"/>
  <c r="EU47"/>
  <c r="CY44"/>
  <c r="DA44" s="1"/>
  <c r="AU41" i="45" s="1"/>
  <c r="AV40"/>
  <c r="CH43" i="43"/>
  <c r="CF44"/>
  <c r="FZ46"/>
  <c r="GJ45"/>
  <c r="GL45" s="1"/>
  <c r="BK45" s="1"/>
  <c r="AW42" i="45" s="1"/>
  <c r="GX45" i="43"/>
  <c r="GZ45" s="1"/>
  <c r="GQ45"/>
  <c r="GS45" s="1"/>
  <c r="AT40" i="45"/>
  <c r="AT43" i="43"/>
  <c r="GD43"/>
  <c r="GR43"/>
  <c r="GY43"/>
  <c r="GK43"/>
  <c r="GE44"/>
  <c r="AR44" s="1"/>
  <c r="GA44"/>
  <c r="GB47"/>
  <c r="BE48"/>
  <c r="FS49"/>
  <c r="GU49" s="1"/>
  <c r="BZ48"/>
  <c r="AD48"/>
  <c r="Z48"/>
  <c r="CS48"/>
  <c r="GT48"/>
  <c r="HB48"/>
  <c r="HA48" s="1"/>
  <c r="GG48"/>
  <c r="GF48" s="1"/>
  <c r="GN48"/>
  <c r="GM48" s="1"/>
  <c r="AA47"/>
  <c r="BM44"/>
  <c r="AW41" i="45"/>
  <c r="GW47" i="43"/>
  <c r="AT42" i="45"/>
  <c r="AT45" i="43"/>
  <c r="C43" i="45"/>
  <c r="T43"/>
  <c r="J49" i="43"/>
  <c r="K49" s="1"/>
  <c r="AL48"/>
  <c r="GI47"/>
  <c r="DO47"/>
  <c r="DP47" s="1"/>
  <c r="AE47"/>
  <c r="Z42" i="45"/>
  <c r="W43"/>
  <c r="Y43" s="1"/>
  <c r="AA42"/>
  <c r="AB42" s="1"/>
  <c r="DR48" i="43" l="1"/>
  <c r="AK48" s="1"/>
  <c r="BY48"/>
  <c r="CA48" s="1"/>
  <c r="BD48"/>
  <c r="BF48" s="1"/>
  <c r="D43" i="45"/>
  <c r="U43" s="1"/>
  <c r="EE46" i="43"/>
  <c r="ED46"/>
  <c r="R47"/>
  <c r="X47"/>
  <c r="Y47" s="1"/>
  <c r="D44" i="45" s="1"/>
  <c r="U44" s="1"/>
  <c r="DX47" i="43"/>
  <c r="BM45"/>
  <c r="EV47"/>
  <c r="EU48"/>
  <c r="CY45"/>
  <c r="DA45" s="1"/>
  <c r="AU42" i="45" s="1"/>
  <c r="CH44" i="43"/>
  <c r="AV41" i="45"/>
  <c r="CF45" i="43"/>
  <c r="FZ47"/>
  <c r="BY49"/>
  <c r="CA49" s="1"/>
  <c r="BD49"/>
  <c r="BF49" s="1"/>
  <c r="CR49"/>
  <c r="CT49" s="1"/>
  <c r="DR49"/>
  <c r="GA45"/>
  <c r="GD45" s="1"/>
  <c r="GW48"/>
  <c r="AE48"/>
  <c r="DO48"/>
  <c r="DP48" s="1"/>
  <c r="T44" i="45"/>
  <c r="GB48" i="43"/>
  <c r="AA48"/>
  <c r="AT41" i="45"/>
  <c r="AT44" i="43"/>
  <c r="GI48"/>
  <c r="AD49"/>
  <c r="BZ49"/>
  <c r="FS50"/>
  <c r="GU50" s="1"/>
  <c r="Z49"/>
  <c r="CS49"/>
  <c r="BE49"/>
  <c r="GG49"/>
  <c r="GF49" s="1"/>
  <c r="HB49"/>
  <c r="HA49" s="1"/>
  <c r="GN49"/>
  <c r="GM49" s="1"/>
  <c r="GT49"/>
  <c r="GY44"/>
  <c r="GK44"/>
  <c r="GD44"/>
  <c r="GR44"/>
  <c r="J50"/>
  <c r="K50" s="1"/>
  <c r="AL49"/>
  <c r="GC46"/>
  <c r="GQ46"/>
  <c r="GS46" s="1"/>
  <c r="GJ46"/>
  <c r="GL46" s="1"/>
  <c r="BK46" s="1"/>
  <c r="GX46"/>
  <c r="GZ46" s="1"/>
  <c r="C44" i="45"/>
  <c r="GP48" i="43"/>
  <c r="W44" i="45"/>
  <c r="Y44" s="1"/>
  <c r="Z43"/>
  <c r="AA43"/>
  <c r="AB43" s="1"/>
  <c r="R48" i="43" l="1"/>
  <c r="DX48"/>
  <c r="EE47"/>
  <c r="X48"/>
  <c r="Y48" s="1"/>
  <c r="D45" i="45" s="1"/>
  <c r="U45" s="1"/>
  <c r="ED47" i="43"/>
  <c r="EV48"/>
  <c r="EU49"/>
  <c r="CY46"/>
  <c r="DA46" s="1"/>
  <c r="AU43" i="45" s="1"/>
  <c r="CH45" i="43"/>
  <c r="AV42" i="45"/>
  <c r="CF46" i="43"/>
  <c r="FZ48"/>
  <c r="GX48" s="1"/>
  <c r="GZ48" s="1"/>
  <c r="BY50"/>
  <c r="CA50" s="1"/>
  <c r="DR50"/>
  <c r="CR50"/>
  <c r="CT50" s="1"/>
  <c r="BD50"/>
  <c r="BF50" s="1"/>
  <c r="AK49"/>
  <c r="X49" s="1"/>
  <c r="Y49" s="1"/>
  <c r="D46" i="45" s="1"/>
  <c r="U46" s="1"/>
  <c r="DX49" i="43"/>
  <c r="R49"/>
  <c r="GY45"/>
  <c r="GK45"/>
  <c r="GR45"/>
  <c r="AW43" i="45"/>
  <c r="BM46" i="43"/>
  <c r="AL50"/>
  <c r="GW49"/>
  <c r="AA49"/>
  <c r="GI49"/>
  <c r="AE49"/>
  <c r="DO49"/>
  <c r="DP49" s="1"/>
  <c r="C45" i="45"/>
  <c r="GQ47" i="43"/>
  <c r="GS47" s="1"/>
  <c r="GJ47"/>
  <c r="GL47" s="1"/>
  <c r="BK47" s="1"/>
  <c r="GC47"/>
  <c r="GX47"/>
  <c r="GZ47" s="1"/>
  <c r="GE46"/>
  <c r="AR46" s="1"/>
  <c r="GA46"/>
  <c r="GP49"/>
  <c r="GB49"/>
  <c r="FS51"/>
  <c r="GU51" s="1"/>
  <c r="CS50"/>
  <c r="AD50"/>
  <c r="Z50"/>
  <c r="BZ50"/>
  <c r="BE50"/>
  <c r="HB50"/>
  <c r="HA50" s="1"/>
  <c r="GN50"/>
  <c r="GM50" s="1"/>
  <c r="GT50"/>
  <c r="GG50"/>
  <c r="GF50" s="1"/>
  <c r="T45" i="45"/>
  <c r="Z44"/>
  <c r="W45"/>
  <c r="Y45" s="1"/>
  <c r="AA44"/>
  <c r="AB44" s="1"/>
  <c r="EE48" i="43" l="1"/>
  <c r="ED48"/>
  <c r="J51"/>
  <c r="K51" s="1"/>
  <c r="BY51" s="1"/>
  <c r="CA51" s="1"/>
  <c r="EV49"/>
  <c r="EU50"/>
  <c r="CY47"/>
  <c r="DA47" s="1"/>
  <c r="AU44" i="45" s="1"/>
  <c r="CY48" i="43"/>
  <c r="DA48" s="1"/>
  <c r="AU45" i="45" s="1"/>
  <c r="CH46" i="43"/>
  <c r="AV43" i="45"/>
  <c r="CF47" i="43"/>
  <c r="FZ49"/>
  <c r="GX49" s="1"/>
  <c r="GZ49" s="1"/>
  <c r="ED49"/>
  <c r="AK50"/>
  <c r="X50" s="1"/>
  <c r="Y50" s="1"/>
  <c r="D47" i="45" s="1"/>
  <c r="U47" s="1"/>
  <c r="DX50" i="43"/>
  <c r="R50"/>
  <c r="GJ48"/>
  <c r="GL48" s="1"/>
  <c r="BK48" s="1"/>
  <c r="BM48" s="1"/>
  <c r="GC48"/>
  <c r="GE48" s="1"/>
  <c r="AR48" s="1"/>
  <c r="GQ48"/>
  <c r="GS48" s="1"/>
  <c r="GW50"/>
  <c r="AE50"/>
  <c r="DO50"/>
  <c r="DP50" s="1"/>
  <c r="GE47"/>
  <c r="AR47" s="1"/>
  <c r="GA47"/>
  <c r="C46" i="45"/>
  <c r="EE49" i="43"/>
  <c r="GI50"/>
  <c r="AA50"/>
  <c r="GP50"/>
  <c r="AD51"/>
  <c r="Z51"/>
  <c r="BE51"/>
  <c r="FS52"/>
  <c r="GU52" s="1"/>
  <c r="CS51"/>
  <c r="BZ51"/>
  <c r="GT51"/>
  <c r="GN51"/>
  <c r="GM51" s="1"/>
  <c r="GG51"/>
  <c r="GF51" s="1"/>
  <c r="HB51"/>
  <c r="HA51" s="1"/>
  <c r="GW51" s="1"/>
  <c r="AT46"/>
  <c r="AT43" i="45"/>
  <c r="T46"/>
  <c r="GB50" i="43"/>
  <c r="GD46"/>
  <c r="GR46"/>
  <c r="GY46"/>
  <c r="GK46"/>
  <c r="AW44" i="45"/>
  <c r="BM47" i="43"/>
  <c r="J52"/>
  <c r="K52" s="1"/>
  <c r="AL51"/>
  <c r="Z45" i="45"/>
  <c r="AA45"/>
  <c r="AB45" s="1"/>
  <c r="W46"/>
  <c r="Y46" s="1"/>
  <c r="DR51" i="43" l="1"/>
  <c r="AK51" s="1"/>
  <c r="CR51"/>
  <c r="CT51" s="1"/>
  <c r="BD51"/>
  <c r="BF51" s="1"/>
  <c r="EV50"/>
  <c r="EU51"/>
  <c r="CY49"/>
  <c r="DA49" s="1"/>
  <c r="AU46" i="45" s="1"/>
  <c r="CH47" i="43"/>
  <c r="AV44" i="45"/>
  <c r="CF48" i="43"/>
  <c r="FZ50"/>
  <c r="GX50" s="1"/>
  <c r="GZ50" s="1"/>
  <c r="ED50"/>
  <c r="CR52"/>
  <c r="CT52" s="1"/>
  <c r="BY52"/>
  <c r="CA52" s="1"/>
  <c r="DR52"/>
  <c r="BD52"/>
  <c r="BF52" s="1"/>
  <c r="AW45" i="45"/>
  <c r="GA48" i="43"/>
  <c r="GR48" s="1"/>
  <c r="GJ49"/>
  <c r="GL49" s="1"/>
  <c r="BK49" s="1"/>
  <c r="BM49" s="1"/>
  <c r="GC49"/>
  <c r="GE49" s="1"/>
  <c r="AR49" s="1"/>
  <c r="AT49" s="1"/>
  <c r="GQ49"/>
  <c r="GS49" s="1"/>
  <c r="GP51"/>
  <c r="AT45" i="45"/>
  <c r="AT48" i="43"/>
  <c r="GI51"/>
  <c r="BZ52"/>
  <c r="BE52"/>
  <c r="CS52"/>
  <c r="FS53"/>
  <c r="GU53" s="1"/>
  <c r="AD52"/>
  <c r="Z52"/>
  <c r="GG52"/>
  <c r="GF52" s="1"/>
  <c r="HB52"/>
  <c r="HA52" s="1"/>
  <c r="GN52"/>
  <c r="GM52" s="1"/>
  <c r="GT52"/>
  <c r="C47" i="45"/>
  <c r="EE50" i="43"/>
  <c r="AT44" i="45"/>
  <c r="AT47" i="43"/>
  <c r="J53"/>
  <c r="K53" s="1"/>
  <c r="AL52"/>
  <c r="GB51"/>
  <c r="AE51"/>
  <c r="DO51"/>
  <c r="DP51" s="1"/>
  <c r="GK47"/>
  <c r="GY47"/>
  <c r="GR47"/>
  <c r="GD47"/>
  <c r="AA51"/>
  <c r="T47" i="45"/>
  <c r="Z46"/>
  <c r="W47"/>
  <c r="Y47" s="1"/>
  <c r="AA46"/>
  <c r="AB46" s="1"/>
  <c r="R51" i="43" l="1"/>
  <c r="DX51"/>
  <c r="X51"/>
  <c r="EV51"/>
  <c r="EU52"/>
  <c r="CY50"/>
  <c r="DA50" s="1"/>
  <c r="AU47" i="45" s="1"/>
  <c r="CH48" i="43"/>
  <c r="AV45" i="45"/>
  <c r="CF49" i="43"/>
  <c r="FZ51"/>
  <c r="GX51" s="1"/>
  <c r="GZ51" s="1"/>
  <c r="DX52"/>
  <c r="AK52"/>
  <c r="X52" s="1"/>
  <c r="Y52" s="1"/>
  <c r="D49" i="45" s="1"/>
  <c r="U49" s="1"/>
  <c r="R52" i="43"/>
  <c r="BD53"/>
  <c r="BF53" s="1"/>
  <c r="CR53"/>
  <c r="CT53" s="1"/>
  <c r="DR53"/>
  <c r="BY53"/>
  <c r="CA53" s="1"/>
  <c r="GK48"/>
  <c r="GD48"/>
  <c r="GY48"/>
  <c r="GQ50"/>
  <c r="GS50" s="1"/>
  <c r="GA49"/>
  <c r="GK49" s="1"/>
  <c r="GC50"/>
  <c r="GE50" s="1"/>
  <c r="AR50" s="1"/>
  <c r="AT46" i="45"/>
  <c r="AW46"/>
  <c r="GJ50" i="43"/>
  <c r="GL50" s="1"/>
  <c r="BK50" s="1"/>
  <c r="AW47" i="45" s="1"/>
  <c r="GB52" i="43"/>
  <c r="C48" i="45"/>
  <c r="GW52" i="43"/>
  <c r="FS54"/>
  <c r="GU54" s="1"/>
  <c r="CS53"/>
  <c r="Z53"/>
  <c r="BE53"/>
  <c r="AD53"/>
  <c r="BZ53"/>
  <c r="GG53"/>
  <c r="GF53" s="1"/>
  <c r="GT53"/>
  <c r="GN53"/>
  <c r="GM53" s="1"/>
  <c r="HB53"/>
  <c r="HA53" s="1"/>
  <c r="AL53"/>
  <c r="GI52"/>
  <c r="AE52"/>
  <c r="DO52"/>
  <c r="DP52" s="1"/>
  <c r="T48" i="45"/>
  <c r="GP52" i="43"/>
  <c r="AA52"/>
  <c r="Z47" i="45"/>
  <c r="W48"/>
  <c r="Y48" s="1"/>
  <c r="AA47"/>
  <c r="AB47" s="1"/>
  <c r="J54" i="43" l="1"/>
  <c r="K54" s="1"/>
  <c r="BD54" s="1"/>
  <c r="BF54" s="1"/>
  <c r="Y51"/>
  <c r="ED51"/>
  <c r="ED52"/>
  <c r="EV52"/>
  <c r="EU53"/>
  <c r="CY51"/>
  <c r="DA51" s="1"/>
  <c r="AU48" i="45" s="1"/>
  <c r="CH49" i="43"/>
  <c r="AV46" i="45"/>
  <c r="CF50" i="43"/>
  <c r="FZ52"/>
  <c r="DX53"/>
  <c r="AK53"/>
  <c r="X53" s="1"/>
  <c r="Y53" s="1"/>
  <c r="D50" i="45" s="1"/>
  <c r="U50" s="1"/>
  <c r="R53" i="43"/>
  <c r="GR49"/>
  <c r="GJ51"/>
  <c r="GL51" s="1"/>
  <c r="BK51" s="1"/>
  <c r="BM51" s="1"/>
  <c r="GY49"/>
  <c r="GQ51"/>
  <c r="GS51" s="1"/>
  <c r="GD49"/>
  <c r="GC51"/>
  <c r="BM50"/>
  <c r="GA50"/>
  <c r="GY50" s="1"/>
  <c r="GP53"/>
  <c r="GI53"/>
  <c r="AE53"/>
  <c r="DO53"/>
  <c r="DP53" s="1"/>
  <c r="BZ54"/>
  <c r="CS54"/>
  <c r="BE54"/>
  <c r="AD54"/>
  <c r="Z54"/>
  <c r="FS55"/>
  <c r="GU55" s="1"/>
  <c r="GN54"/>
  <c r="GM54" s="1"/>
  <c r="GG54"/>
  <c r="GF54" s="1"/>
  <c r="GT54"/>
  <c r="HB54"/>
  <c r="HA54" s="1"/>
  <c r="AT47" i="45"/>
  <c r="AT50" i="43"/>
  <c r="GW53"/>
  <c r="C49" i="45"/>
  <c r="EE52" i="43"/>
  <c r="T49" i="45"/>
  <c r="AL54" i="43"/>
  <c r="GB53"/>
  <c r="AA53"/>
  <c r="Z48" i="45"/>
  <c r="W49"/>
  <c r="Y49" s="1"/>
  <c r="AA48"/>
  <c r="AB48" s="1"/>
  <c r="BY54" i="43" l="1"/>
  <c r="CA54" s="1"/>
  <c r="DR54"/>
  <c r="R54" s="1"/>
  <c r="CR54"/>
  <c r="CT54" s="1"/>
  <c r="D48" i="45"/>
  <c r="U48" s="1"/>
  <c r="EE51" i="43"/>
  <c r="J55"/>
  <c r="K55" s="1"/>
  <c r="CR55" s="1"/>
  <c r="CT55" s="1"/>
  <c r="EV53"/>
  <c r="EU54"/>
  <c r="ED53"/>
  <c r="AV47" i="45"/>
  <c r="CH50" i="43"/>
  <c r="CF51"/>
  <c r="FZ53"/>
  <c r="AW48" i="45"/>
  <c r="GA51" i="43"/>
  <c r="GY51" s="1"/>
  <c r="GE51"/>
  <c r="AR51" s="1"/>
  <c r="AT51" s="1"/>
  <c r="GR50"/>
  <c r="GD50"/>
  <c r="GK50"/>
  <c r="GJ52"/>
  <c r="GL52" s="1"/>
  <c r="BK52" s="1"/>
  <c r="GQ52"/>
  <c r="GS52" s="1"/>
  <c r="GC52"/>
  <c r="GX52"/>
  <c r="GZ52" s="1"/>
  <c r="GW54"/>
  <c r="BE55"/>
  <c r="AD55"/>
  <c r="Z55"/>
  <c r="FS56"/>
  <c r="GU56" s="1"/>
  <c r="CS55"/>
  <c r="BZ55"/>
  <c r="GT55"/>
  <c r="GG55"/>
  <c r="GF55" s="1"/>
  <c r="GN55"/>
  <c r="GM55" s="1"/>
  <c r="HB55"/>
  <c r="HA55" s="1"/>
  <c r="J56"/>
  <c r="K56" s="1"/>
  <c r="AL55"/>
  <c r="GI54"/>
  <c r="T50" i="45"/>
  <c r="C50"/>
  <c r="EE53" i="43"/>
  <c r="GB54"/>
  <c r="AE54"/>
  <c r="DO54"/>
  <c r="DP54" s="1"/>
  <c r="GP54"/>
  <c r="AA54"/>
  <c r="Z49" i="45"/>
  <c r="AA49"/>
  <c r="AB49" s="1"/>
  <c r="W50"/>
  <c r="Y50" s="1"/>
  <c r="BD55" i="43" l="1"/>
  <c r="BF55" s="1"/>
  <c r="AK54"/>
  <c r="X54" s="1"/>
  <c r="Y54" s="1"/>
  <c r="D51" i="45" s="1"/>
  <c r="U51" s="1"/>
  <c r="DX54" i="43"/>
  <c r="DR55"/>
  <c r="AK55" s="1"/>
  <c r="BY55"/>
  <c r="CA55" s="1"/>
  <c r="GD51"/>
  <c r="EV54"/>
  <c r="EU55"/>
  <c r="CY52"/>
  <c r="DA52" s="1"/>
  <c r="AU49" i="45" s="1"/>
  <c r="CH51" i="43"/>
  <c r="AV48" i="45"/>
  <c r="CF52" i="43"/>
  <c r="FZ54"/>
  <c r="BY56"/>
  <c r="CA56" s="1"/>
  <c r="BD56"/>
  <c r="BF56" s="1"/>
  <c r="CR56"/>
  <c r="CT56" s="1"/>
  <c r="DR56"/>
  <c r="AT48" i="45"/>
  <c r="GR51" i="43"/>
  <c r="GK51"/>
  <c r="GW55"/>
  <c r="DO55"/>
  <c r="DP55" s="1"/>
  <c r="AE55"/>
  <c r="GJ53"/>
  <c r="GL53" s="1"/>
  <c r="BK53" s="1"/>
  <c r="GQ53"/>
  <c r="GS53" s="1"/>
  <c r="GC53"/>
  <c r="GX53"/>
  <c r="GZ53" s="1"/>
  <c r="GP55"/>
  <c r="AA55"/>
  <c r="AW49" i="45"/>
  <c r="BM52" i="43"/>
  <c r="AL56"/>
  <c r="GB55"/>
  <c r="FS57"/>
  <c r="GU57" s="1"/>
  <c r="BZ56"/>
  <c r="CS56"/>
  <c r="AD56"/>
  <c r="Z56"/>
  <c r="BE56"/>
  <c r="GN56"/>
  <c r="GM56" s="1"/>
  <c r="GT56"/>
  <c r="HB56"/>
  <c r="HA56" s="1"/>
  <c r="GG56"/>
  <c r="GF56" s="1"/>
  <c r="C51" i="45"/>
  <c r="T51"/>
  <c r="GI55" i="43"/>
  <c r="GE52"/>
  <c r="AR52" s="1"/>
  <c r="GA52"/>
  <c r="Z50" i="45"/>
  <c r="W51"/>
  <c r="Y51" s="1"/>
  <c r="AA50"/>
  <c r="AB50" s="1"/>
  <c r="EE54" i="43" l="1"/>
  <c r="ED54"/>
  <c r="X55"/>
  <c r="Y55" s="1"/>
  <c r="D52" i="45" s="1"/>
  <c r="U52" s="1"/>
  <c r="R55" i="43"/>
  <c r="DX55"/>
  <c r="J57"/>
  <c r="K57" s="1"/>
  <c r="CR57" s="1"/>
  <c r="CT57" s="1"/>
  <c r="ED55"/>
  <c r="EV55"/>
  <c r="EU56"/>
  <c r="CY53"/>
  <c r="DA53" s="1"/>
  <c r="AU50" i="45" s="1"/>
  <c r="AV49"/>
  <c r="CH52" i="43"/>
  <c r="CF53"/>
  <c r="FZ55"/>
  <c r="AK56"/>
  <c r="X56" s="1"/>
  <c r="Y56" s="1"/>
  <c r="D53" i="45" s="1"/>
  <c r="U53" s="1"/>
  <c r="DX56" i="43"/>
  <c r="R56"/>
  <c r="GB56"/>
  <c r="T52" i="45"/>
  <c r="AT52" i="43"/>
  <c r="AT49" i="45"/>
  <c r="GI56" i="43"/>
  <c r="GX54"/>
  <c r="GZ54" s="1"/>
  <c r="GC54"/>
  <c r="GQ54"/>
  <c r="GS54" s="1"/>
  <c r="GJ54"/>
  <c r="GL54" s="1"/>
  <c r="BK54" s="1"/>
  <c r="C52" i="45"/>
  <c r="GE53" i="43"/>
  <c r="AR53" s="1"/>
  <c r="GA53"/>
  <c r="GY52"/>
  <c r="GD52"/>
  <c r="GK52"/>
  <c r="GR52"/>
  <c r="GP56"/>
  <c r="AE56"/>
  <c r="DO56"/>
  <c r="DP56" s="1"/>
  <c r="AL57"/>
  <c r="GW56"/>
  <c r="AA56"/>
  <c r="AD57"/>
  <c r="FS58"/>
  <c r="GU58" s="1"/>
  <c r="BE57"/>
  <c r="CS57"/>
  <c r="Z57"/>
  <c r="BZ57"/>
  <c r="GG57"/>
  <c r="GF57" s="1"/>
  <c r="GN57"/>
  <c r="GM57" s="1"/>
  <c r="GT57"/>
  <c r="HB57"/>
  <c r="HA57" s="1"/>
  <c r="AW50" i="45"/>
  <c r="BM53" i="43"/>
  <c r="W52" i="45"/>
  <c r="Y52" s="1"/>
  <c r="Z51"/>
  <c r="AA51"/>
  <c r="AB51" s="1"/>
  <c r="EE55" i="43" l="1"/>
  <c r="BD57"/>
  <c r="BF57" s="1"/>
  <c r="DR57"/>
  <c r="AK57" s="1"/>
  <c r="BY57"/>
  <c r="CA57" s="1"/>
  <c r="J58"/>
  <c r="K58" s="1"/>
  <c r="CR58" s="1"/>
  <c r="CT58" s="1"/>
  <c r="EV56"/>
  <c r="EU57"/>
  <c r="ED56"/>
  <c r="CY54"/>
  <c r="DA54" s="1"/>
  <c r="AU51" i="45" s="1"/>
  <c r="AV50"/>
  <c r="CH53" i="43"/>
  <c r="CF54"/>
  <c r="FZ56"/>
  <c r="GI57"/>
  <c r="GC55"/>
  <c r="GX55"/>
  <c r="GZ55" s="1"/>
  <c r="GQ55"/>
  <c r="GS55" s="1"/>
  <c r="GJ55"/>
  <c r="GL55" s="1"/>
  <c r="BK55" s="1"/>
  <c r="GE54"/>
  <c r="AR54" s="1"/>
  <c r="GA54"/>
  <c r="GP57"/>
  <c r="AA57"/>
  <c r="DO57"/>
  <c r="DP57" s="1"/>
  <c r="AE57"/>
  <c r="AT53"/>
  <c r="AT50" i="45"/>
  <c r="GW57" i="43"/>
  <c r="Z58"/>
  <c r="CS58"/>
  <c r="FS59"/>
  <c r="GU59" s="1"/>
  <c r="AD58"/>
  <c r="BE58"/>
  <c r="BZ58"/>
  <c r="GN58"/>
  <c r="GM58" s="1"/>
  <c r="GG58"/>
  <c r="GF58" s="1"/>
  <c r="GT58"/>
  <c r="HB58"/>
  <c r="HA58" s="1"/>
  <c r="GW58" s="1"/>
  <c r="J59"/>
  <c r="K59" s="1"/>
  <c r="AL58"/>
  <c r="GR53"/>
  <c r="GD53"/>
  <c r="GK53"/>
  <c r="GY53"/>
  <c r="BM54"/>
  <c r="AW51" i="45"/>
  <c r="GB57" i="43"/>
  <c r="C53" i="45"/>
  <c r="EE56" i="43"/>
  <c r="T53" i="45"/>
  <c r="W53"/>
  <c r="Y53" s="1"/>
  <c r="Z52"/>
  <c r="AA52"/>
  <c r="AB52" s="1"/>
  <c r="R57" i="43" l="1"/>
  <c r="DR58"/>
  <c r="AK58" s="1"/>
  <c r="DX57"/>
  <c r="BY58"/>
  <c r="CA58" s="1"/>
  <c r="BD58"/>
  <c r="BF58" s="1"/>
  <c r="X57"/>
  <c r="Y57" s="1"/>
  <c r="D54" i="45" s="1"/>
  <c r="U54" s="1"/>
  <c r="EV57" i="43"/>
  <c r="EU58"/>
  <c r="FZ57"/>
  <c r="CY55"/>
  <c r="DA55" s="1"/>
  <c r="AU52" i="45" s="1"/>
  <c r="AV51"/>
  <c r="CH54" i="43"/>
  <c r="CF55"/>
  <c r="BY59"/>
  <c r="CA59" s="1"/>
  <c r="DR59"/>
  <c r="BD59"/>
  <c r="BF59" s="1"/>
  <c r="CR59"/>
  <c r="CT59" s="1"/>
  <c r="AL59"/>
  <c r="GI58"/>
  <c r="CS59"/>
  <c r="BZ59"/>
  <c r="BE59"/>
  <c r="Z59"/>
  <c r="AD59"/>
  <c r="FS60"/>
  <c r="GU60" s="1"/>
  <c r="GG59"/>
  <c r="GF59" s="1"/>
  <c r="GN59"/>
  <c r="GM59" s="1"/>
  <c r="HB59"/>
  <c r="HA59" s="1"/>
  <c r="GT59"/>
  <c r="GD54"/>
  <c r="GR54"/>
  <c r="GY54"/>
  <c r="GK54"/>
  <c r="GB58"/>
  <c r="AE58"/>
  <c r="DO58"/>
  <c r="DP58" s="1"/>
  <c r="GP58"/>
  <c r="AA58"/>
  <c r="T54" i="45"/>
  <c r="AW52"/>
  <c r="BM55" i="43"/>
  <c r="GC56"/>
  <c r="GJ56"/>
  <c r="GL56" s="1"/>
  <c r="BK56" s="1"/>
  <c r="GQ56"/>
  <c r="GS56" s="1"/>
  <c r="GX56"/>
  <c r="GZ56" s="1"/>
  <c r="C54" i="45"/>
  <c r="AT54" i="43"/>
  <c r="AT51" i="45"/>
  <c r="GA55" i="43"/>
  <c r="GE55"/>
  <c r="AR55" s="1"/>
  <c r="W54" i="45"/>
  <c r="Y54" s="1"/>
  <c r="Z53"/>
  <c r="AA53"/>
  <c r="AB53" s="1"/>
  <c r="ED57" i="43" l="1"/>
  <c r="EE57"/>
  <c r="R58"/>
  <c r="DX58"/>
  <c r="X58"/>
  <c r="Y58" s="1"/>
  <c r="D55" i="45" s="1"/>
  <c r="U55" s="1"/>
  <c r="J60" i="43"/>
  <c r="K60" s="1"/>
  <c r="DR60" s="1"/>
  <c r="EV58"/>
  <c r="EU59"/>
  <c r="CY56"/>
  <c r="DA56" s="1"/>
  <c r="AU53" i="45" s="1"/>
  <c r="CH55" i="43"/>
  <c r="AV52" i="45"/>
  <c r="CF56" i="43"/>
  <c r="FZ58"/>
  <c r="DX59"/>
  <c r="AK59"/>
  <c r="X59" s="1"/>
  <c r="Y59" s="1"/>
  <c r="D56" i="45" s="1"/>
  <c r="U56" s="1"/>
  <c r="R59" i="43"/>
  <c r="GB59"/>
  <c r="GY55"/>
  <c r="GD55"/>
  <c r="GR55"/>
  <c r="GK55"/>
  <c r="GE56"/>
  <c r="AR56" s="1"/>
  <c r="GA56"/>
  <c r="C55" i="45"/>
  <c r="GI59" i="43"/>
  <c r="AA59"/>
  <c r="AL60"/>
  <c r="AT52" i="45"/>
  <c r="AT55" i="43"/>
  <c r="BM56"/>
  <c r="AW53" i="45"/>
  <c r="GJ57" i="43"/>
  <c r="GL57" s="1"/>
  <c r="BK57" s="1"/>
  <c r="GQ57"/>
  <c r="GS57" s="1"/>
  <c r="GC57"/>
  <c r="GX57"/>
  <c r="GZ57" s="1"/>
  <c r="T55" i="45"/>
  <c r="GW59" i="43"/>
  <c r="DO59"/>
  <c r="DP59" s="1"/>
  <c r="AE59"/>
  <c r="GP59"/>
  <c r="FS61"/>
  <c r="GU61" s="1"/>
  <c r="BZ60"/>
  <c r="BE60"/>
  <c r="CS60"/>
  <c r="Z60"/>
  <c r="AD60"/>
  <c r="GT60"/>
  <c r="GG60"/>
  <c r="GF60" s="1"/>
  <c r="GN60"/>
  <c r="GM60" s="1"/>
  <c r="HB60"/>
  <c r="HA60" s="1"/>
  <c r="Z54" i="45"/>
  <c r="W55"/>
  <c r="Y55" s="1"/>
  <c r="AA54"/>
  <c r="AB54" s="1"/>
  <c r="BD60" i="43" l="1"/>
  <c r="BF60" s="1"/>
  <c r="ED58"/>
  <c r="EE58"/>
  <c r="BY60"/>
  <c r="CA60" s="1"/>
  <c r="CR60"/>
  <c r="CT60" s="1"/>
  <c r="J61"/>
  <c r="K61" s="1"/>
  <c r="DR61" s="1"/>
  <c r="EV59"/>
  <c r="EU60"/>
  <c r="ED59"/>
  <c r="CY57"/>
  <c r="DA57" s="1"/>
  <c r="AU54" i="45" s="1"/>
  <c r="AV53"/>
  <c r="CH56" i="43"/>
  <c r="CF57"/>
  <c r="FZ59"/>
  <c r="AK60"/>
  <c r="R60"/>
  <c r="GW60"/>
  <c r="DO60"/>
  <c r="DP60" s="1"/>
  <c r="AE60"/>
  <c r="T56" i="45"/>
  <c r="AL61" i="43"/>
  <c r="AT53" i="45"/>
  <c r="AT56" i="43"/>
  <c r="GP60"/>
  <c r="GE57"/>
  <c r="AR57" s="1"/>
  <c r="GA57"/>
  <c r="GY56"/>
  <c r="GK56"/>
  <c r="GD56"/>
  <c r="GR56"/>
  <c r="GB60"/>
  <c r="C56" i="45"/>
  <c r="EE59" i="43"/>
  <c r="GI60"/>
  <c r="AA60"/>
  <c r="Z61"/>
  <c r="FS62"/>
  <c r="GU62" s="1"/>
  <c r="CS61"/>
  <c r="BZ61"/>
  <c r="AD61"/>
  <c r="BE61"/>
  <c r="HB61"/>
  <c r="HA61" s="1"/>
  <c r="GT61"/>
  <c r="GN61"/>
  <c r="GM61" s="1"/>
  <c r="GG61"/>
  <c r="GF61" s="1"/>
  <c r="AW54" i="45"/>
  <c r="BM57" i="43"/>
  <c r="GX58"/>
  <c r="GZ58" s="1"/>
  <c r="GJ58"/>
  <c r="GL58" s="1"/>
  <c r="BK58" s="1"/>
  <c r="GC58"/>
  <c r="GQ58"/>
  <c r="GS58" s="1"/>
  <c r="W56" i="45"/>
  <c r="Y56" s="1"/>
  <c r="Z55"/>
  <c r="AA55"/>
  <c r="AB55" s="1"/>
  <c r="CR61" i="43" l="1"/>
  <c r="CT61" s="1"/>
  <c r="BY61"/>
  <c r="CA61" s="1"/>
  <c r="DX60"/>
  <c r="BD61"/>
  <c r="BF61" s="1"/>
  <c r="X60"/>
  <c r="Y60" s="1"/>
  <c r="D57" i="45" s="1"/>
  <c r="U57" s="1"/>
  <c r="J62" i="43"/>
  <c r="K62" s="1"/>
  <c r="CR62" s="1"/>
  <c r="CT62" s="1"/>
  <c r="EV60"/>
  <c r="EU61"/>
  <c r="CY58"/>
  <c r="DA58" s="1"/>
  <c r="AU55" i="45" s="1"/>
  <c r="AV54"/>
  <c r="CH57" i="43"/>
  <c r="CF58"/>
  <c r="FZ60"/>
  <c r="AK61"/>
  <c r="R61"/>
  <c r="GB61"/>
  <c r="BE62"/>
  <c r="BZ62"/>
  <c r="AD62"/>
  <c r="Z62"/>
  <c r="FS63"/>
  <c r="GU63" s="1"/>
  <c r="CS62"/>
  <c r="GN62"/>
  <c r="GM62" s="1"/>
  <c r="GG62"/>
  <c r="GF62" s="1"/>
  <c r="HB62"/>
  <c r="HA62" s="1"/>
  <c r="GT62"/>
  <c r="GP62" s="1"/>
  <c r="AT57"/>
  <c r="AT54" i="45"/>
  <c r="T57"/>
  <c r="GW61" i="43"/>
  <c r="C57" i="45"/>
  <c r="GD57" i="43"/>
  <c r="GK57"/>
  <c r="GR57"/>
  <c r="GY57"/>
  <c r="AW55" i="45"/>
  <c r="BM58" i="43"/>
  <c r="GP61"/>
  <c r="GC59"/>
  <c r="GX59"/>
  <c r="GZ59" s="1"/>
  <c r="GQ59"/>
  <c r="GS59" s="1"/>
  <c r="GJ59"/>
  <c r="GL59" s="1"/>
  <c r="BK59" s="1"/>
  <c r="J63"/>
  <c r="K63" s="1"/>
  <c r="AL62"/>
  <c r="GE58"/>
  <c r="AR58" s="1"/>
  <c r="GA58"/>
  <c r="GI61"/>
  <c r="AE61"/>
  <c r="DO61"/>
  <c r="DP61" s="1"/>
  <c r="AA61"/>
  <c r="W57" i="45"/>
  <c r="Y57" s="1"/>
  <c r="Z56"/>
  <c r="AA56"/>
  <c r="AB56" s="1"/>
  <c r="EE60" i="43" l="1"/>
  <c r="ED60"/>
  <c r="X61"/>
  <c r="Y61" s="1"/>
  <c r="D58" i="45" s="1"/>
  <c r="U58" s="1"/>
  <c r="BD62" i="43"/>
  <c r="BF62" s="1"/>
  <c r="BY62"/>
  <c r="CA62" s="1"/>
  <c r="DX61"/>
  <c r="DR62"/>
  <c r="R62" s="1"/>
  <c r="EV61"/>
  <c r="EU62"/>
  <c r="CY59"/>
  <c r="DA59" s="1"/>
  <c r="AU56" i="45" s="1"/>
  <c r="AV55"/>
  <c r="CH58" i="43"/>
  <c r="CF59"/>
  <c r="FZ61"/>
  <c r="BY63"/>
  <c r="CA63" s="1"/>
  <c r="CR63"/>
  <c r="CT63" s="1"/>
  <c r="BD63"/>
  <c r="BF63" s="1"/>
  <c r="DR63"/>
  <c r="GQ60"/>
  <c r="GS60" s="1"/>
  <c r="GX60"/>
  <c r="GZ60" s="1"/>
  <c r="GC60"/>
  <c r="GJ60"/>
  <c r="GL60" s="1"/>
  <c r="BK60" s="1"/>
  <c r="T58" i="45"/>
  <c r="AT55"/>
  <c r="AT58" i="43"/>
  <c r="AW56" i="45"/>
  <c r="BM59" i="43"/>
  <c r="GB62"/>
  <c r="AA62"/>
  <c r="GY58"/>
  <c r="GK58"/>
  <c r="GR58"/>
  <c r="GD58"/>
  <c r="AL63"/>
  <c r="GA59"/>
  <c r="GE59"/>
  <c r="AR59" s="1"/>
  <c r="GW62"/>
  <c r="Z63"/>
  <c r="BE63"/>
  <c r="AD63"/>
  <c r="BZ63"/>
  <c r="CS63"/>
  <c r="FS64"/>
  <c r="GU64" s="1"/>
  <c r="GT63"/>
  <c r="HB63"/>
  <c r="HA63" s="1"/>
  <c r="GG63"/>
  <c r="GF63" s="1"/>
  <c r="GN63"/>
  <c r="GM63" s="1"/>
  <c r="C58" i="45"/>
  <c r="GI62" i="43"/>
  <c r="DO62"/>
  <c r="DP62" s="1"/>
  <c r="AE62"/>
  <c r="W58" i="45"/>
  <c r="Y58" s="1"/>
  <c r="Z57"/>
  <c r="AA57"/>
  <c r="AB57" s="1"/>
  <c r="EE61" i="43" l="1"/>
  <c r="ED61"/>
  <c r="DX62"/>
  <c r="AK62"/>
  <c r="X62" s="1"/>
  <c r="Y62" s="1"/>
  <c r="D59" i="45" s="1"/>
  <c r="U59" s="1"/>
  <c r="J64" i="43"/>
  <c r="K64" s="1"/>
  <c r="CR64" s="1"/>
  <c r="CT64" s="1"/>
  <c r="EV62"/>
  <c r="EU63"/>
  <c r="CY60"/>
  <c r="DA60" s="1"/>
  <c r="AU57" i="45" s="1"/>
  <c r="CH59" i="43"/>
  <c r="AV56" i="45"/>
  <c r="CF60" i="43"/>
  <c r="FZ62"/>
  <c r="AK63"/>
  <c r="X63" s="1"/>
  <c r="Y63" s="1"/>
  <c r="D60" i="45" s="1"/>
  <c r="U60" s="1"/>
  <c r="DX63" i="43"/>
  <c r="R63"/>
  <c r="GP63"/>
  <c r="AE63"/>
  <c r="DO63"/>
  <c r="DP63" s="1"/>
  <c r="BM60"/>
  <c r="AW57" i="45"/>
  <c r="T59"/>
  <c r="GW63" i="43"/>
  <c r="C59" i="45"/>
  <c r="GJ61" i="43"/>
  <c r="GL61" s="1"/>
  <c r="BK61" s="1"/>
  <c r="GC61"/>
  <c r="GX61"/>
  <c r="GZ61" s="1"/>
  <c r="GQ61"/>
  <c r="GS61" s="1"/>
  <c r="GB63"/>
  <c r="AA63"/>
  <c r="GD59"/>
  <c r="GY59"/>
  <c r="GK59"/>
  <c r="GR59"/>
  <c r="GI63"/>
  <c r="AD64"/>
  <c r="BZ64"/>
  <c r="BE64"/>
  <c r="CS64"/>
  <c r="Z64"/>
  <c r="FS65"/>
  <c r="GU65" s="1"/>
  <c r="GN64"/>
  <c r="GM64" s="1"/>
  <c r="HB64"/>
  <c r="HA64" s="1"/>
  <c r="GT64"/>
  <c r="GG64"/>
  <c r="GF64" s="1"/>
  <c r="AT56" i="45"/>
  <c r="AT59" i="43"/>
  <c r="AL64"/>
  <c r="GA60"/>
  <c r="GE60"/>
  <c r="AR60" s="1"/>
  <c r="Z58" i="45"/>
  <c r="AA58"/>
  <c r="AB58" s="1"/>
  <c r="W59"/>
  <c r="Y59" s="1"/>
  <c r="EE62" i="43" l="1"/>
  <c r="J65"/>
  <c r="K65" s="1"/>
  <c r="CR65" s="1"/>
  <c r="CT65" s="1"/>
  <c r="ED62"/>
  <c r="DR64"/>
  <c r="AK64" s="1"/>
  <c r="BD64"/>
  <c r="BF64" s="1"/>
  <c r="BY64"/>
  <c r="CA64" s="1"/>
  <c r="ED63"/>
  <c r="EV63"/>
  <c r="EU64"/>
  <c r="CY61"/>
  <c r="DA61" s="1"/>
  <c r="AU58" i="45" s="1"/>
  <c r="AV57"/>
  <c r="CH60" i="43"/>
  <c r="CF61"/>
  <c r="FZ63"/>
  <c r="GQ62"/>
  <c r="GS62" s="1"/>
  <c r="GJ62"/>
  <c r="GL62" s="1"/>
  <c r="BK62" s="1"/>
  <c r="GX62"/>
  <c r="GZ62" s="1"/>
  <c r="GC62"/>
  <c r="GB64"/>
  <c r="BZ65"/>
  <c r="CS65"/>
  <c r="Z65"/>
  <c r="AD65"/>
  <c r="BE65"/>
  <c r="FS66"/>
  <c r="GU66" s="1"/>
  <c r="GN65"/>
  <c r="GM65" s="1"/>
  <c r="GI65" s="1"/>
  <c r="GG65"/>
  <c r="GF65" s="1"/>
  <c r="GT65"/>
  <c r="HB65"/>
  <c r="HA65" s="1"/>
  <c r="GI64"/>
  <c r="BM61"/>
  <c r="AW58" i="45"/>
  <c r="T60"/>
  <c r="GR60" i="43"/>
  <c r="GY60"/>
  <c r="GK60"/>
  <c r="GD60"/>
  <c r="GW64"/>
  <c r="GA61"/>
  <c r="GE61"/>
  <c r="AR61" s="1"/>
  <c r="AT57" i="45"/>
  <c r="AT60" i="43"/>
  <c r="J66"/>
  <c r="K66" s="1"/>
  <c r="AL65"/>
  <c r="GP64"/>
  <c r="AA64"/>
  <c r="AE64"/>
  <c r="DO64"/>
  <c r="DP64" s="1"/>
  <c r="C60" i="45"/>
  <c r="EE63" i="43"/>
  <c r="W60" i="45"/>
  <c r="Y60" s="1"/>
  <c r="Z59"/>
  <c r="AA59"/>
  <c r="AB59" s="1"/>
  <c r="DR65" i="43" l="1"/>
  <c r="AK65" s="1"/>
  <c r="BY65"/>
  <c r="CA65" s="1"/>
  <c r="BD65"/>
  <c r="BF65" s="1"/>
  <c r="R64"/>
  <c r="X64"/>
  <c r="Y64" s="1"/>
  <c r="D61" i="45" s="1"/>
  <c r="U61" s="1"/>
  <c r="DX64" i="43"/>
  <c r="EV64"/>
  <c r="EU65"/>
  <c r="CY62"/>
  <c r="DA62" s="1"/>
  <c r="AU59" i="45" s="1"/>
  <c r="AV58"/>
  <c r="CH61" i="43"/>
  <c r="CF62"/>
  <c r="FZ64"/>
  <c r="BY66"/>
  <c r="CA66" s="1"/>
  <c r="DR66"/>
  <c r="BD66"/>
  <c r="BF66" s="1"/>
  <c r="CR66"/>
  <c r="CT66" s="1"/>
  <c r="GW65"/>
  <c r="BE66"/>
  <c r="FS67"/>
  <c r="GU67" s="1"/>
  <c r="BZ66"/>
  <c r="Z66"/>
  <c r="CS66"/>
  <c r="AD66"/>
  <c r="HB66"/>
  <c r="HA66" s="1"/>
  <c r="GN66"/>
  <c r="GM66" s="1"/>
  <c r="GI66" s="1"/>
  <c r="GG66"/>
  <c r="GF66" s="1"/>
  <c r="GT66"/>
  <c r="GE62"/>
  <c r="AR62" s="1"/>
  <c r="GA62"/>
  <c r="T61" i="45"/>
  <c r="AA65" i="43"/>
  <c r="GR61"/>
  <c r="GD61"/>
  <c r="GK61"/>
  <c r="GY61"/>
  <c r="GB65"/>
  <c r="AE65"/>
  <c r="DO65"/>
  <c r="DP65" s="1"/>
  <c r="AW59" i="45"/>
  <c r="BM62" i="43"/>
  <c r="C61" i="45"/>
  <c r="J67" i="43"/>
  <c r="K67" s="1"/>
  <c r="AL66"/>
  <c r="AT61"/>
  <c r="AT58" i="45"/>
  <c r="GC63" i="43"/>
  <c r="GJ63"/>
  <c r="GL63" s="1"/>
  <c r="BK63" s="1"/>
  <c r="GQ63"/>
  <c r="GS63" s="1"/>
  <c r="GX63"/>
  <c r="GZ63" s="1"/>
  <c r="GP65"/>
  <c r="W61" i="45"/>
  <c r="Y61" s="1"/>
  <c r="Z60"/>
  <c r="AA60"/>
  <c r="AB60" s="1"/>
  <c r="ED64" i="43" l="1"/>
  <c r="EE64"/>
  <c r="R65"/>
  <c r="X65"/>
  <c r="Y65" s="1"/>
  <c r="D62" i="45" s="1"/>
  <c r="U62" s="1"/>
  <c r="DX65" i="43"/>
  <c r="EV65"/>
  <c r="EU66"/>
  <c r="CY63"/>
  <c r="DA63" s="1"/>
  <c r="AU60" i="45" s="1"/>
  <c r="CH62" i="43"/>
  <c r="AV59" i="45"/>
  <c r="CF63" i="43"/>
  <c r="FZ65"/>
  <c r="BY67"/>
  <c r="CA67" s="1"/>
  <c r="DR67"/>
  <c r="BD67"/>
  <c r="BF67" s="1"/>
  <c r="CR67"/>
  <c r="CT67" s="1"/>
  <c r="AK66"/>
  <c r="X66" s="1"/>
  <c r="Y66" s="1"/>
  <c r="D63" i="45" s="1"/>
  <c r="U63" s="1"/>
  <c r="DX66" i="43"/>
  <c r="R66"/>
  <c r="AL67"/>
  <c r="GP66"/>
  <c r="AE66"/>
  <c r="DO66"/>
  <c r="DP66" s="1"/>
  <c r="AD67"/>
  <c r="Z67"/>
  <c r="FS68"/>
  <c r="GU68" s="1"/>
  <c r="BZ67"/>
  <c r="BE67"/>
  <c r="CS67"/>
  <c r="GN67"/>
  <c r="GM67" s="1"/>
  <c r="GT67"/>
  <c r="GG67"/>
  <c r="GF67" s="1"/>
  <c r="HB67"/>
  <c r="HA67" s="1"/>
  <c r="GA63"/>
  <c r="GE63"/>
  <c r="AR63" s="1"/>
  <c r="AT59" i="45"/>
  <c r="AT62" i="43"/>
  <c r="GW66"/>
  <c r="AW60" i="45"/>
  <c r="BM63" i="43"/>
  <c r="T62" i="45"/>
  <c r="GR62" i="43"/>
  <c r="GY62"/>
  <c r="GK62"/>
  <c r="GD62"/>
  <c r="AA66"/>
  <c r="GC64"/>
  <c r="GQ64"/>
  <c r="GS64" s="1"/>
  <c r="GX64"/>
  <c r="GZ64" s="1"/>
  <c r="GJ64"/>
  <c r="GL64" s="1"/>
  <c r="BK64" s="1"/>
  <c r="C62" i="45"/>
  <c r="GB66" i="43"/>
  <c r="Z61" i="45"/>
  <c r="W62"/>
  <c r="Y62" s="1"/>
  <c r="AA61"/>
  <c r="AB61" s="1"/>
  <c r="EE65" i="43" l="1"/>
  <c r="ED65"/>
  <c r="J68"/>
  <c r="K68" s="1"/>
  <c r="DR68" s="1"/>
  <c r="EV66"/>
  <c r="EU67"/>
  <c r="FZ66"/>
  <c r="GJ66" s="1"/>
  <c r="GL66" s="1"/>
  <c r="BK66" s="1"/>
  <c r="BM66" s="1"/>
  <c r="CY64"/>
  <c r="DA64" s="1"/>
  <c r="AU61" i="45" s="1"/>
  <c r="CH63" i="43"/>
  <c r="AV60" i="45"/>
  <c r="CF64" i="43"/>
  <c r="ED66"/>
  <c r="AK67"/>
  <c r="X67" s="1"/>
  <c r="Y67" s="1"/>
  <c r="D64" i="45" s="1"/>
  <c r="U64" s="1"/>
  <c r="DX67" i="43"/>
  <c r="R67"/>
  <c r="BM64"/>
  <c r="AW61" i="45"/>
  <c r="AT63" i="43"/>
  <c r="AT60" i="45"/>
  <c r="GB67" i="43"/>
  <c r="AE67"/>
  <c r="DO67"/>
  <c r="DP67" s="1"/>
  <c r="GE64"/>
  <c r="AR64" s="1"/>
  <c r="GA64"/>
  <c r="C63" i="45"/>
  <c r="EE66" i="43"/>
  <c r="GW67"/>
  <c r="AA67"/>
  <c r="AL68"/>
  <c r="GJ65"/>
  <c r="GL65" s="1"/>
  <c r="BK65" s="1"/>
  <c r="GX65"/>
  <c r="GZ65" s="1"/>
  <c r="GQ65"/>
  <c r="GS65" s="1"/>
  <c r="GC65"/>
  <c r="GI67"/>
  <c r="BZ68"/>
  <c r="AD68"/>
  <c r="CS68"/>
  <c r="Z68"/>
  <c r="FS69"/>
  <c r="GU69" s="1"/>
  <c r="BE68"/>
  <c r="HB68"/>
  <c r="HA68" s="1"/>
  <c r="GG68"/>
  <c r="GF68" s="1"/>
  <c r="GN68"/>
  <c r="GM68" s="1"/>
  <c r="GT68"/>
  <c r="T63" i="45"/>
  <c r="GY63" i="43"/>
  <c r="GR63"/>
  <c r="GK63"/>
  <c r="GD63"/>
  <c r="GP67"/>
  <c r="Z62" i="45"/>
  <c r="W63"/>
  <c r="Y63" s="1"/>
  <c r="AA62"/>
  <c r="AB62" s="1"/>
  <c r="BY68" i="43" l="1"/>
  <c r="CA68" s="1"/>
  <c r="BD68"/>
  <c r="BF68" s="1"/>
  <c r="CR68"/>
  <c r="CT68" s="1"/>
  <c r="J69"/>
  <c r="K69" s="1"/>
  <c r="BY69" s="1"/>
  <c r="CA69" s="1"/>
  <c r="EV67"/>
  <c r="EU68"/>
  <c r="GC66"/>
  <c r="GE66" s="1"/>
  <c r="AR66" s="1"/>
  <c r="CY65"/>
  <c r="DA65" s="1"/>
  <c r="AU62" i="45" s="1"/>
  <c r="CH64" i="43"/>
  <c r="AV61" i="45"/>
  <c r="CF65" i="43"/>
  <c r="FZ67"/>
  <c r="GQ66"/>
  <c r="GS66" s="1"/>
  <c r="ED67"/>
  <c r="AK68"/>
  <c r="R68"/>
  <c r="GX66"/>
  <c r="GZ66" s="1"/>
  <c r="AW63" i="45"/>
  <c r="GP68" i="43"/>
  <c r="DO68"/>
  <c r="DP68" s="1"/>
  <c r="AE68"/>
  <c r="GE65"/>
  <c r="AR65" s="1"/>
  <c r="GA65"/>
  <c r="GW68"/>
  <c r="BM65"/>
  <c r="AW62" i="45"/>
  <c r="C64"/>
  <c r="EE67" i="43"/>
  <c r="AT64"/>
  <c r="AT61" i="45"/>
  <c r="GB68" i="43"/>
  <c r="AA68"/>
  <c r="GR64"/>
  <c r="GK64"/>
  <c r="GD64"/>
  <c r="GY64"/>
  <c r="GI68"/>
  <c r="CS69"/>
  <c r="AD69"/>
  <c r="FS70"/>
  <c r="GU70" s="1"/>
  <c r="BZ69"/>
  <c r="Z69"/>
  <c r="BE69"/>
  <c r="GT69"/>
  <c r="GG69"/>
  <c r="GF69" s="1"/>
  <c r="HB69"/>
  <c r="HA69" s="1"/>
  <c r="GW69" s="1"/>
  <c r="GN69"/>
  <c r="GM69" s="1"/>
  <c r="J70"/>
  <c r="K70" s="1"/>
  <c r="AL69"/>
  <c r="T64" i="45"/>
  <c r="Z63"/>
  <c r="W64"/>
  <c r="Y64" s="1"/>
  <c r="AA63"/>
  <c r="AB63" s="1"/>
  <c r="CR69" i="43" l="1"/>
  <c r="CT69" s="1"/>
  <c r="DR69"/>
  <c r="AK69" s="1"/>
  <c r="DX68"/>
  <c r="X68"/>
  <c r="Y68" s="1"/>
  <c r="D65" i="45" s="1"/>
  <c r="U65" s="1"/>
  <c r="BD69" i="43"/>
  <c r="BF69" s="1"/>
  <c r="EV68"/>
  <c r="EU69"/>
  <c r="CY66"/>
  <c r="DA66" s="1"/>
  <c r="AU63" i="45" s="1"/>
  <c r="AV62"/>
  <c r="CH65" i="43"/>
  <c r="CF66"/>
  <c r="FZ68"/>
  <c r="GA66"/>
  <c r="GR66" s="1"/>
  <c r="BD70"/>
  <c r="BF70" s="1"/>
  <c r="BY70"/>
  <c r="CA70" s="1"/>
  <c r="CR70"/>
  <c r="CT70" s="1"/>
  <c r="DR70"/>
  <c r="AA69"/>
  <c r="T65" i="45"/>
  <c r="AL70" i="43"/>
  <c r="GI69"/>
  <c r="AE69"/>
  <c r="DO69"/>
  <c r="DP69" s="1"/>
  <c r="AT66"/>
  <c r="AT63" i="45"/>
  <c r="AT65" i="43"/>
  <c r="AT62" i="45"/>
  <c r="GP69" i="43"/>
  <c r="Z70"/>
  <c r="BZ70"/>
  <c r="AD70"/>
  <c r="FS71"/>
  <c r="GU71" s="1"/>
  <c r="BE70"/>
  <c r="CS70"/>
  <c r="GN70"/>
  <c r="GM70" s="1"/>
  <c r="GG70"/>
  <c r="GF70" s="1"/>
  <c r="HB70"/>
  <c r="HA70" s="1"/>
  <c r="GT70"/>
  <c r="C65" i="45"/>
  <c r="GR65" i="43"/>
  <c r="GY65"/>
  <c r="GK65"/>
  <c r="GD65"/>
  <c r="GB69"/>
  <c r="GC67"/>
  <c r="GJ67"/>
  <c r="GL67" s="1"/>
  <c r="BK67" s="1"/>
  <c r="GX67"/>
  <c r="GZ67" s="1"/>
  <c r="GQ67"/>
  <c r="GS67" s="1"/>
  <c r="Z64" i="45"/>
  <c r="W65"/>
  <c r="Y65" s="1"/>
  <c r="AA64"/>
  <c r="AB64" s="1"/>
  <c r="R69" i="43" l="1"/>
  <c r="EE68"/>
  <c r="ED68"/>
  <c r="DX69"/>
  <c r="X69"/>
  <c r="Y69" s="1"/>
  <c r="D66" i="45" s="1"/>
  <c r="U66" s="1"/>
  <c r="J71" i="43"/>
  <c r="K71" s="1"/>
  <c r="CR71" s="1"/>
  <c r="CT71" s="1"/>
  <c r="EV69"/>
  <c r="EU70"/>
  <c r="CY67"/>
  <c r="DA67" s="1"/>
  <c r="AU64" i="45" s="1"/>
  <c r="AV63"/>
  <c r="CH66" i="43"/>
  <c r="CF67"/>
  <c r="GD66"/>
  <c r="FZ69"/>
  <c r="GX69" s="1"/>
  <c r="GZ69" s="1"/>
  <c r="GY66"/>
  <c r="GK66"/>
  <c r="AK70"/>
  <c r="X70" s="1"/>
  <c r="Y70" s="1"/>
  <c r="D67" i="45" s="1"/>
  <c r="U67" s="1"/>
  <c r="DX70" i="43"/>
  <c r="R70"/>
  <c r="BM67"/>
  <c r="AW64" i="45"/>
  <c r="GB70" i="43"/>
  <c r="Z71"/>
  <c r="CS71"/>
  <c r="FS72"/>
  <c r="GU72" s="1"/>
  <c r="AD71"/>
  <c r="BZ71"/>
  <c r="BE71"/>
  <c r="HB71"/>
  <c r="HA71" s="1"/>
  <c r="GT71"/>
  <c r="GN71"/>
  <c r="GM71" s="1"/>
  <c r="GI71" s="1"/>
  <c r="GG71"/>
  <c r="GF71" s="1"/>
  <c r="GW70"/>
  <c r="AA70"/>
  <c r="GJ68"/>
  <c r="GL68" s="1"/>
  <c r="BK68" s="1"/>
  <c r="GQ68"/>
  <c r="GS68" s="1"/>
  <c r="GC68"/>
  <c r="GX68"/>
  <c r="GZ68" s="1"/>
  <c r="C66" i="45"/>
  <c r="GP70" i="43"/>
  <c r="J72"/>
  <c r="K72" s="1"/>
  <c r="AL71"/>
  <c r="GA67"/>
  <c r="GE67"/>
  <c r="AR67" s="1"/>
  <c r="GI70"/>
  <c r="DO70"/>
  <c r="DP70" s="1"/>
  <c r="AE70"/>
  <c r="T66" i="45"/>
  <c r="Z65"/>
  <c r="W66"/>
  <c r="Y66" s="1"/>
  <c r="AA65"/>
  <c r="AB65" s="1"/>
  <c r="EE69" i="43" l="1"/>
  <c r="ED69"/>
  <c r="BD71"/>
  <c r="BF71" s="1"/>
  <c r="BY71"/>
  <c r="CA71" s="1"/>
  <c r="DR71"/>
  <c r="AK71" s="1"/>
  <c r="EV70"/>
  <c r="EU71"/>
  <c r="ED70"/>
  <c r="CY68"/>
  <c r="DA68" s="1"/>
  <c r="AU65" i="45" s="1"/>
  <c r="CY69" i="43"/>
  <c r="DA69" s="1"/>
  <c r="AU66" i="45" s="1"/>
  <c r="CH67" i="43"/>
  <c r="AV64" i="45"/>
  <c r="CF68" i="43"/>
  <c r="FZ70"/>
  <c r="DR72"/>
  <c r="BY72"/>
  <c r="CA72" s="1"/>
  <c r="BD72"/>
  <c r="BF72" s="1"/>
  <c r="CR72"/>
  <c r="CT72" s="1"/>
  <c r="GC69"/>
  <c r="GE69" s="1"/>
  <c r="AR69" s="1"/>
  <c r="GQ69"/>
  <c r="GS69" s="1"/>
  <c r="GJ69"/>
  <c r="GL69" s="1"/>
  <c r="BK69" s="1"/>
  <c r="BM69" s="1"/>
  <c r="T67" i="45"/>
  <c r="AT67" i="43"/>
  <c r="AT64" i="45"/>
  <c r="BM68" i="43"/>
  <c r="AW65" i="45"/>
  <c r="GP71" i="43"/>
  <c r="DO71"/>
  <c r="DP71" s="1"/>
  <c r="AE71"/>
  <c r="AA71"/>
  <c r="AL72"/>
  <c r="GA68"/>
  <c r="GE68"/>
  <c r="AR68" s="1"/>
  <c r="C67" i="45"/>
  <c r="EE70" i="43"/>
  <c r="GB71"/>
  <c r="GD67"/>
  <c r="GK67"/>
  <c r="GY67"/>
  <c r="GR67"/>
  <c r="GW71"/>
  <c r="BZ72"/>
  <c r="BE72"/>
  <c r="AD72"/>
  <c r="FS73"/>
  <c r="GU73" s="1"/>
  <c r="CS72"/>
  <c r="Z72"/>
  <c r="GN72"/>
  <c r="GM72" s="1"/>
  <c r="HB72"/>
  <c r="HA72" s="1"/>
  <c r="GT72"/>
  <c r="GG72"/>
  <c r="GF72" s="1"/>
  <c r="W67" i="45"/>
  <c r="Y67" s="1"/>
  <c r="AA66"/>
  <c r="AB66" s="1"/>
  <c r="Z66"/>
  <c r="J73" i="43" l="1"/>
  <c r="K73" s="1"/>
  <c r="DX71"/>
  <c r="R71"/>
  <c r="X71"/>
  <c r="Y71" s="1"/>
  <c r="D68" i="45" s="1"/>
  <c r="U68" s="1"/>
  <c r="EV71" i="43"/>
  <c r="EU72"/>
  <c r="CH68"/>
  <c r="AV65" i="45"/>
  <c r="CF69" i="43"/>
  <c r="FZ71"/>
  <c r="GJ71" s="1"/>
  <c r="GL71" s="1"/>
  <c r="BK71" s="1"/>
  <c r="BM71" s="1"/>
  <c r="AW66" i="45"/>
  <c r="AK72" i="43"/>
  <c r="X72" s="1"/>
  <c r="Y72" s="1"/>
  <c r="D69" i="45" s="1"/>
  <c r="U69" s="1"/>
  <c r="DX72" i="43"/>
  <c r="R72"/>
  <c r="GA69"/>
  <c r="GY69" s="1"/>
  <c r="GB72"/>
  <c r="AA72"/>
  <c r="AE72"/>
  <c r="DO72"/>
  <c r="DP72" s="1"/>
  <c r="GK68"/>
  <c r="GY68"/>
  <c r="GD68"/>
  <c r="GR68"/>
  <c r="C68" i="45"/>
  <c r="GI72" i="43"/>
  <c r="GW72"/>
  <c r="BZ73"/>
  <c r="FS74"/>
  <c r="J74" s="1"/>
  <c r="K74" s="1"/>
  <c r="BE73"/>
  <c r="CS73"/>
  <c r="AD73"/>
  <c r="Z73"/>
  <c r="HB73"/>
  <c r="HA73" s="1"/>
  <c r="GT73"/>
  <c r="GN73"/>
  <c r="GM73" s="1"/>
  <c r="GG73"/>
  <c r="GF73" s="1"/>
  <c r="AT65" i="45"/>
  <c r="AT68" i="43"/>
  <c r="AL73"/>
  <c r="AT66" i="45"/>
  <c r="AT69" i="43"/>
  <c r="T68" i="45"/>
  <c r="GP72" i="43"/>
  <c r="GJ70"/>
  <c r="GL70" s="1"/>
  <c r="BK70" s="1"/>
  <c r="GX70"/>
  <c r="GZ70" s="1"/>
  <c r="GC70"/>
  <c r="GQ70"/>
  <c r="GS70" s="1"/>
  <c r="W68" i="45"/>
  <c r="Y68" s="1"/>
  <c r="Z67"/>
  <c r="AA67"/>
  <c r="AB67" s="1"/>
  <c r="EE71" i="43" l="1"/>
  <c r="ED71"/>
  <c r="EV72"/>
  <c r="EU73"/>
  <c r="CY70"/>
  <c r="DA70" s="1"/>
  <c r="AU67" i="45" s="1"/>
  <c r="CH69" i="43"/>
  <c r="AV66" i="45"/>
  <c r="CF70" i="43"/>
  <c r="FZ72"/>
  <c r="ED72"/>
  <c r="GC71"/>
  <c r="GE71" s="1"/>
  <c r="AR71" s="1"/>
  <c r="GK69"/>
  <c r="GD69"/>
  <c r="GR69"/>
  <c r="GQ71"/>
  <c r="GS71" s="1"/>
  <c r="GX71"/>
  <c r="GZ71" s="1"/>
  <c r="AW68" i="45"/>
  <c r="AW67"/>
  <c r="BM70" i="43"/>
  <c r="GP73"/>
  <c r="DO73"/>
  <c r="DP73" s="1"/>
  <c r="AE73"/>
  <c r="T69" i="45"/>
  <c r="GI73" i="43"/>
  <c r="AA73"/>
  <c r="BE74"/>
  <c r="FS75"/>
  <c r="J75" s="1"/>
  <c r="K75" s="1"/>
  <c r="C69" i="45"/>
  <c r="EE72" i="43"/>
  <c r="GB73"/>
  <c r="BD73"/>
  <c r="BF73" s="1"/>
  <c r="DR73"/>
  <c r="CR73"/>
  <c r="CT73" s="1"/>
  <c r="BY73"/>
  <c r="CA73" s="1"/>
  <c r="GA70"/>
  <c r="GE70"/>
  <c r="AR70" s="1"/>
  <c r="GW73"/>
  <c r="W69" i="45"/>
  <c r="Y69" s="1"/>
  <c r="Z68"/>
  <c r="AA68"/>
  <c r="AB68" s="1"/>
  <c r="EV73" i="43" l="1"/>
  <c r="EU74"/>
  <c r="CY71"/>
  <c r="DA71" s="1"/>
  <c r="AU68" i="45" s="1"/>
  <c r="AV67"/>
  <c r="CH70" i="43"/>
  <c r="CF71"/>
  <c r="FZ73"/>
  <c r="GA71"/>
  <c r="GR71" s="1"/>
  <c r="AT70"/>
  <c r="AT67" i="45"/>
  <c r="T70"/>
  <c r="CR74" i="43"/>
  <c r="CT74" s="1"/>
  <c r="BD74"/>
  <c r="BF74" s="1"/>
  <c r="DR74"/>
  <c r="Z74" s="1"/>
  <c r="BY74"/>
  <c r="CA74" s="1"/>
  <c r="GX72"/>
  <c r="GZ72" s="1"/>
  <c r="GQ72"/>
  <c r="GS72" s="1"/>
  <c r="GJ72"/>
  <c r="GL72" s="1"/>
  <c r="BK72" s="1"/>
  <c r="GC72"/>
  <c r="GR70"/>
  <c r="GY70"/>
  <c r="GD70"/>
  <c r="GK70"/>
  <c r="BE75"/>
  <c r="FS76"/>
  <c r="J76" s="1"/>
  <c r="K76" s="1"/>
  <c r="AL74"/>
  <c r="BZ74"/>
  <c r="AK73"/>
  <c r="X73" s="1"/>
  <c r="DX73"/>
  <c r="R73"/>
  <c r="C70" i="45"/>
  <c r="AT71" i="43"/>
  <c r="AT68" i="45"/>
  <c r="CS74" i="43"/>
  <c r="Z69" i="45"/>
  <c r="W70"/>
  <c r="Y70" s="1"/>
  <c r="AA69"/>
  <c r="AB69" s="1"/>
  <c r="EU75" i="43" l="1"/>
  <c r="CY72"/>
  <c r="DA72" s="1"/>
  <c r="AU69" i="45" s="1"/>
  <c r="CH71" i="43"/>
  <c r="AV68" i="45"/>
  <c r="CF72" i="43"/>
  <c r="GY71"/>
  <c r="GD71"/>
  <c r="GK71"/>
  <c r="BZ75"/>
  <c r="CS75"/>
  <c r="AA74"/>
  <c r="AW69" i="45"/>
  <c r="BM72" i="43"/>
  <c r="GA72"/>
  <c r="GE72"/>
  <c r="AR72" s="1"/>
  <c r="AK74"/>
  <c r="X74" s="1"/>
  <c r="Y74" s="1"/>
  <c r="D71" i="45" s="1"/>
  <c r="U71" s="1"/>
  <c r="R74" i="43"/>
  <c r="Y73"/>
  <c r="ED73"/>
  <c r="CR75"/>
  <c r="CT75" s="1"/>
  <c r="BY75"/>
  <c r="CA75" s="1"/>
  <c r="BD75"/>
  <c r="BF75" s="1"/>
  <c r="DR75"/>
  <c r="GQ73"/>
  <c r="GS73" s="1"/>
  <c r="GJ73"/>
  <c r="GL73" s="1"/>
  <c r="BK73" s="1"/>
  <c r="GC73"/>
  <c r="GX73"/>
  <c r="GZ73" s="1"/>
  <c r="DX74"/>
  <c r="AL75"/>
  <c r="FS77"/>
  <c r="J77" s="1"/>
  <c r="K77" s="1"/>
  <c r="BE76"/>
  <c r="Z70" i="45"/>
  <c r="W71"/>
  <c r="Y71" s="1"/>
  <c r="AA70"/>
  <c r="AB70" s="1"/>
  <c r="EU76" i="43" l="1"/>
  <c r="CY73"/>
  <c r="AV69" i="45"/>
  <c r="CH72" i="43"/>
  <c r="CF73"/>
  <c r="FS78"/>
  <c r="BZ77"/>
  <c r="GA73"/>
  <c r="GE73"/>
  <c r="AR73" s="1"/>
  <c r="D70" i="45"/>
  <c r="U70" s="1"/>
  <c r="EE73" i="43"/>
  <c r="AT72"/>
  <c r="AT69" i="45"/>
  <c r="EE74" i="43"/>
  <c r="C71" i="45"/>
  <c r="BY76" i="43"/>
  <c r="CA76" s="1"/>
  <c r="BD76"/>
  <c r="BF76" s="1"/>
  <c r="DR76"/>
  <c r="CR76"/>
  <c r="CT76" s="1"/>
  <c r="Z75"/>
  <c r="DX75"/>
  <c r="AK75"/>
  <c r="X75" s="1"/>
  <c r="Y75" s="1"/>
  <c r="D72" i="45" s="1"/>
  <c r="U72" s="1"/>
  <c r="R75" i="43"/>
  <c r="J78"/>
  <c r="K78" s="1"/>
  <c r="ED74"/>
  <c r="BZ76"/>
  <c r="AW70" i="45"/>
  <c r="BM73" i="43"/>
  <c r="GN74"/>
  <c r="GM74" s="1"/>
  <c r="GK72"/>
  <c r="GD72"/>
  <c r="GR72"/>
  <c r="GY72"/>
  <c r="CS76"/>
  <c r="AL76"/>
  <c r="Z71" i="45"/>
  <c r="W72"/>
  <c r="Y72" s="1"/>
  <c r="EU77" i="43" l="1"/>
  <c r="DA73"/>
  <c r="AU70" i="45" s="1"/>
  <c r="HB74" i="43"/>
  <c r="HA74" s="1"/>
  <c r="GW74" s="1"/>
  <c r="GU74"/>
  <c r="GT74" s="1"/>
  <c r="GP74" s="1"/>
  <c r="AV70" i="45"/>
  <c r="CH73" i="43"/>
  <c r="AL77"/>
  <c r="AT73"/>
  <c r="AT70" i="45"/>
  <c r="GG74" i="43"/>
  <c r="GF74" s="1"/>
  <c r="FS79"/>
  <c r="J79" s="1"/>
  <c r="K79" s="1"/>
  <c r="BE78"/>
  <c r="AK76"/>
  <c r="X76" s="1"/>
  <c r="Y76" s="1"/>
  <c r="D73" i="45" s="1"/>
  <c r="U73" s="1"/>
  <c r="DX76" i="43"/>
  <c r="R76"/>
  <c r="DR77"/>
  <c r="Z77" s="1"/>
  <c r="BD77"/>
  <c r="BF77" s="1"/>
  <c r="CR77"/>
  <c r="CT77" s="1"/>
  <c r="BY77"/>
  <c r="CA77" s="1"/>
  <c r="Z76"/>
  <c r="GI74"/>
  <c r="BE77"/>
  <c r="AA75"/>
  <c r="ED75"/>
  <c r="GD73"/>
  <c r="GY73"/>
  <c r="GR73"/>
  <c r="GK73"/>
  <c r="CS77"/>
  <c r="W73" i="45"/>
  <c r="Y73" s="1"/>
  <c r="Z72"/>
  <c r="EU78" i="43" l="1"/>
  <c r="AA77"/>
  <c r="DR78"/>
  <c r="Z78" s="1"/>
  <c r="BD78"/>
  <c r="CR78"/>
  <c r="BY78"/>
  <c r="BZ78"/>
  <c r="C72" i="45"/>
  <c r="EE75" i="43"/>
  <c r="AA76"/>
  <c r="ED76"/>
  <c r="AK77"/>
  <c r="X77" s="1"/>
  <c r="Y77" s="1"/>
  <c r="D74" i="45" s="1"/>
  <c r="U74" s="1"/>
  <c r="DX77" i="43"/>
  <c r="R77"/>
  <c r="GB74"/>
  <c r="FZ74" s="1"/>
  <c r="CS78"/>
  <c r="AL78"/>
  <c r="FS80"/>
  <c r="J80" s="1"/>
  <c r="K80" s="1"/>
  <c r="CS79"/>
  <c r="Z73" i="45"/>
  <c r="W74"/>
  <c r="Y74" s="1"/>
  <c r="EU79" i="43" l="1"/>
  <c r="GX74"/>
  <c r="GZ74" s="1"/>
  <c r="GQ74"/>
  <c r="GS74" s="1"/>
  <c r="GJ74"/>
  <c r="GL74" s="1"/>
  <c r="BK74" s="1"/>
  <c r="GC74"/>
  <c r="BY79"/>
  <c r="DR79"/>
  <c r="CR79"/>
  <c r="BD79"/>
  <c r="C73" i="45"/>
  <c r="EE76" i="43"/>
  <c r="AK78"/>
  <c r="R78"/>
  <c r="EE77"/>
  <c r="C74" i="45"/>
  <c r="AA78" i="43"/>
  <c r="BF78"/>
  <c r="BZ79"/>
  <c r="ED77"/>
  <c r="CT78"/>
  <c r="BE79"/>
  <c r="AL79"/>
  <c r="FS81"/>
  <c r="J81" s="1"/>
  <c r="K81" s="1"/>
  <c r="CA78"/>
  <c r="Z74" i="45"/>
  <c r="W75"/>
  <c r="Y75" s="1"/>
  <c r="EU80" i="43" l="1"/>
  <c r="CY74"/>
  <c r="CF74"/>
  <c r="BY80"/>
  <c r="BD80"/>
  <c r="DR80"/>
  <c r="Z80" s="1"/>
  <c r="CR80"/>
  <c r="X78"/>
  <c r="CT79"/>
  <c r="CS80"/>
  <c r="BF79"/>
  <c r="CA79"/>
  <c r="BZ80"/>
  <c r="FS82"/>
  <c r="J82" s="1"/>
  <c r="K82" s="1"/>
  <c r="BZ81"/>
  <c r="C75" i="45"/>
  <c r="Z79" i="43"/>
  <c r="AK79"/>
  <c r="R79"/>
  <c r="AW71" i="45"/>
  <c r="BM74" i="43"/>
  <c r="GN75"/>
  <c r="GM75" s="1"/>
  <c r="BE80"/>
  <c r="DX78"/>
  <c r="AL80"/>
  <c r="GE74"/>
  <c r="AR74" s="1"/>
  <c r="GA74"/>
  <c r="Z75" i="45"/>
  <c r="W76"/>
  <c r="Y76" s="1"/>
  <c r="EU81" i="43" l="1"/>
  <c r="HB75"/>
  <c r="HA75" s="1"/>
  <c r="GW75" s="1"/>
  <c r="DA74"/>
  <c r="AU71" i="45" s="1"/>
  <c r="BA71" s="1"/>
  <c r="GU75" i="43"/>
  <c r="GT75" s="1"/>
  <c r="GP75" s="1"/>
  <c r="CH74"/>
  <c r="AV71" i="45"/>
  <c r="BC71" s="1"/>
  <c r="DX79" i="43"/>
  <c r="CS81"/>
  <c r="BE71" i="45"/>
  <c r="GR74" i="43"/>
  <c r="GY74"/>
  <c r="GK74"/>
  <c r="GD74"/>
  <c r="AA79"/>
  <c r="DR81"/>
  <c r="CR81"/>
  <c r="BD81"/>
  <c r="BY81"/>
  <c r="ED78"/>
  <c r="Y78"/>
  <c r="AL81"/>
  <c r="CT80"/>
  <c r="CA80"/>
  <c r="AA80"/>
  <c r="BF80"/>
  <c r="AT71" i="45"/>
  <c r="AT74" i="43"/>
  <c r="AD74"/>
  <c r="GG75"/>
  <c r="GF75" s="1"/>
  <c r="GI75"/>
  <c r="X79"/>
  <c r="ED79" s="1"/>
  <c r="BZ82"/>
  <c r="FS83"/>
  <c r="J83" s="1"/>
  <c r="K83" s="1"/>
  <c r="AK80"/>
  <c r="R80"/>
  <c r="BE81"/>
  <c r="Z76" i="45"/>
  <c r="W77"/>
  <c r="Y77" s="1"/>
  <c r="EU82" i="43" l="1"/>
  <c r="CS82"/>
  <c r="AL82"/>
  <c r="BE82"/>
  <c r="DX80"/>
  <c r="J84"/>
  <c r="K84" s="1"/>
  <c r="CS83"/>
  <c r="FS84"/>
  <c r="BF81"/>
  <c r="X80"/>
  <c r="AE74"/>
  <c r="EV74" s="1"/>
  <c r="DO74"/>
  <c r="DP74" s="1"/>
  <c r="Y79"/>
  <c r="EE79" s="1"/>
  <c r="GB75"/>
  <c r="FZ75" s="1"/>
  <c r="C77" i="45"/>
  <c r="CA81" i="43"/>
  <c r="Z81"/>
  <c r="AK81"/>
  <c r="R81"/>
  <c r="BY82"/>
  <c r="BD82"/>
  <c r="CR82"/>
  <c r="DR82"/>
  <c r="AY71" i="45"/>
  <c r="D75"/>
  <c r="U75" s="1"/>
  <c r="EE78" i="43"/>
  <c r="CT81"/>
  <c r="C76" i="45"/>
  <c r="Z77"/>
  <c r="W78"/>
  <c r="Y78" s="1"/>
  <c r="EU83" i="43" l="1"/>
  <c r="GX75"/>
  <c r="GZ75" s="1"/>
  <c r="BE83"/>
  <c r="DX81"/>
  <c r="CA82"/>
  <c r="AK82"/>
  <c r="R82"/>
  <c r="Z82"/>
  <c r="X81"/>
  <c r="ED81" s="1"/>
  <c r="T71" i="45"/>
  <c r="DR83" i="43"/>
  <c r="BD83"/>
  <c r="CR83"/>
  <c r="BY83"/>
  <c r="BF82"/>
  <c r="D76" i="45"/>
  <c r="U76" s="1"/>
  <c r="FS85" i="43"/>
  <c r="J85" s="1"/>
  <c r="K85" s="1"/>
  <c r="CT82"/>
  <c r="AA81"/>
  <c r="Y80"/>
  <c r="ED80"/>
  <c r="BZ83"/>
  <c r="AL83"/>
  <c r="Z78" i="45"/>
  <c r="W79"/>
  <c r="Y79" s="1"/>
  <c r="EU84" i="43" l="1"/>
  <c r="CY75"/>
  <c r="GJ75"/>
  <c r="GL75" s="1"/>
  <c r="BK75" s="1"/>
  <c r="AW72" i="45" s="1"/>
  <c r="GC75" i="43"/>
  <c r="GE75" s="1"/>
  <c r="AR75" s="1"/>
  <c r="GG76" s="1"/>
  <c r="GF76" s="1"/>
  <c r="GQ75"/>
  <c r="GS75" s="1"/>
  <c r="AL84"/>
  <c r="BZ84"/>
  <c r="BE84"/>
  <c r="CS84"/>
  <c r="C78" i="45"/>
  <c r="CT83" i="43"/>
  <c r="Y81"/>
  <c r="CA83"/>
  <c r="Z83"/>
  <c r="AK83"/>
  <c r="R83"/>
  <c r="AS71" i="45"/>
  <c r="AA71"/>
  <c r="AB71" s="1"/>
  <c r="DX82" i="43"/>
  <c r="BY84"/>
  <c r="CR84"/>
  <c r="BD84"/>
  <c r="DR84"/>
  <c r="BF83"/>
  <c r="D77" i="45"/>
  <c r="U77" s="1"/>
  <c r="EE80" i="43"/>
  <c r="BZ85"/>
  <c r="FS86"/>
  <c r="J86" s="1"/>
  <c r="K86" s="1"/>
  <c r="AA82"/>
  <c r="X82"/>
  <c r="W80" i="45"/>
  <c r="Y80" s="1"/>
  <c r="Z79"/>
  <c r="AT75" i="43" l="1"/>
  <c r="EU85"/>
  <c r="AT72" i="45"/>
  <c r="AY72" s="1"/>
  <c r="HB76" i="43"/>
  <c r="HA76" s="1"/>
  <c r="GW76" s="1"/>
  <c r="DA75"/>
  <c r="AU72" i="45" s="1"/>
  <c r="BA72" s="1"/>
  <c r="CF75" i="43"/>
  <c r="BM75"/>
  <c r="GN76"/>
  <c r="GM76" s="1"/>
  <c r="GI76" s="1"/>
  <c r="GA75"/>
  <c r="GD75" s="1"/>
  <c r="ED82"/>
  <c r="CS85"/>
  <c r="AK84"/>
  <c r="R84"/>
  <c r="CA84"/>
  <c r="Y82"/>
  <c r="EE82" s="1"/>
  <c r="CR85"/>
  <c r="BD85"/>
  <c r="BY85"/>
  <c r="DR85"/>
  <c r="CT84"/>
  <c r="DX83"/>
  <c r="FS87"/>
  <c r="J87" s="1"/>
  <c r="K87" s="1"/>
  <c r="BE86"/>
  <c r="BF84"/>
  <c r="AA83"/>
  <c r="D78" i="45"/>
  <c r="U78" s="1"/>
  <c r="C79"/>
  <c r="GB76" i="43"/>
  <c r="X83"/>
  <c r="ED83" s="1"/>
  <c r="BE72" i="45"/>
  <c r="Z84" i="43"/>
  <c r="BE85"/>
  <c r="AL85"/>
  <c r="EE81"/>
  <c r="Z80" i="45"/>
  <c r="W81"/>
  <c r="Y81" s="1"/>
  <c r="EU86" i="43" l="1"/>
  <c r="GU76"/>
  <c r="GT76" s="1"/>
  <c r="GP76" s="1"/>
  <c r="FZ76" s="1"/>
  <c r="GJ76" s="1"/>
  <c r="GL76" s="1"/>
  <c r="BK76" s="1"/>
  <c r="GN77" s="1"/>
  <c r="GM77" s="1"/>
  <c r="AV72" i="45"/>
  <c r="BC72" s="1"/>
  <c r="AD75" i="43"/>
  <c r="CH75"/>
  <c r="GK75"/>
  <c r="GY75"/>
  <c r="GR75"/>
  <c r="Z85"/>
  <c r="AA85" s="1"/>
  <c r="AL86"/>
  <c r="BZ86"/>
  <c r="CA85"/>
  <c r="D79" i="45"/>
  <c r="U79" s="1"/>
  <c r="X84" i="43"/>
  <c r="BE87"/>
  <c r="FS88"/>
  <c r="J88" s="1"/>
  <c r="K88" s="1"/>
  <c r="AA84"/>
  <c r="C80" i="45"/>
  <c r="BY86" i="43"/>
  <c r="BD86"/>
  <c r="CR86"/>
  <c r="DR86"/>
  <c r="AK85"/>
  <c r="R85"/>
  <c r="CT85"/>
  <c r="DX84"/>
  <c r="Y83"/>
  <c r="BF85"/>
  <c r="CS86"/>
  <c r="Z81" i="45"/>
  <c r="W82"/>
  <c r="Y82" s="1"/>
  <c r="EU87" i="43" l="1"/>
  <c r="AE75"/>
  <c r="EV75" s="1"/>
  <c r="DO75"/>
  <c r="DP75" s="1"/>
  <c r="BZ87"/>
  <c r="BM76"/>
  <c r="EE83"/>
  <c r="AL87"/>
  <c r="CS87"/>
  <c r="BD87"/>
  <c r="BY87"/>
  <c r="CA87" s="1"/>
  <c r="CR87"/>
  <c r="DR87"/>
  <c r="ED84"/>
  <c r="GQ76"/>
  <c r="GS76" s="1"/>
  <c r="AW73" i="45"/>
  <c r="BE73" s="1"/>
  <c r="GC76" i="43"/>
  <c r="GE76" s="1"/>
  <c r="AR76" s="1"/>
  <c r="GX76"/>
  <c r="GZ76" s="1"/>
  <c r="C82" i="45"/>
  <c r="CT86" i="43"/>
  <c r="C81" i="45"/>
  <c r="DX85" i="43"/>
  <c r="AK86"/>
  <c r="R86"/>
  <c r="Z86"/>
  <c r="CA86"/>
  <c r="BE88"/>
  <c r="FS89"/>
  <c r="J89" s="1"/>
  <c r="K89" s="1"/>
  <c r="D80" i="45"/>
  <c r="U80" s="1"/>
  <c r="X85" i="43"/>
  <c r="BF86"/>
  <c r="Y84"/>
  <c r="EE84" s="1"/>
  <c r="GI77"/>
  <c r="W83" i="45"/>
  <c r="Z82"/>
  <c r="EU88" i="43" l="1"/>
  <c r="CY76"/>
  <c r="T72" i="45"/>
  <c r="CF76" i="43"/>
  <c r="W84" i="45"/>
  <c r="Y84" s="1"/>
  <c r="Y83"/>
  <c r="Z83" s="1"/>
  <c r="BZ88" i="43"/>
  <c r="CS88"/>
  <c r="AL88"/>
  <c r="CR88"/>
  <c r="BD88"/>
  <c r="DR88"/>
  <c r="BY88"/>
  <c r="CT87"/>
  <c r="BF87"/>
  <c r="AK87"/>
  <c r="R87"/>
  <c r="Z87"/>
  <c r="GA76"/>
  <c r="GD76" s="1"/>
  <c r="FS90"/>
  <c r="BZ89"/>
  <c r="DX86"/>
  <c r="Y85"/>
  <c r="ED85"/>
  <c r="AT76"/>
  <c r="AT73" i="45"/>
  <c r="GG77" i="43"/>
  <c r="GF77" s="1"/>
  <c r="GB77" s="1"/>
  <c r="AA86"/>
  <c r="D81" i="45"/>
  <c r="U81" s="1"/>
  <c r="J90" i="43"/>
  <c r="K90" s="1"/>
  <c r="X86"/>
  <c r="Z84" i="45" l="1"/>
  <c r="W85"/>
  <c r="Y85" s="1"/>
  <c r="EU89" i="43"/>
  <c r="DA76"/>
  <c r="AU73" i="45" s="1"/>
  <c r="BA73" s="1"/>
  <c r="HB77" i="43"/>
  <c r="HA77" s="1"/>
  <c r="GW77" s="1"/>
  <c r="GU77"/>
  <c r="GT77" s="1"/>
  <c r="GP77" s="1"/>
  <c r="CH76"/>
  <c r="AD76"/>
  <c r="AE76" s="1"/>
  <c r="EV76" s="1"/>
  <c r="AV73" i="45"/>
  <c r="BC73" s="1"/>
  <c r="AA72"/>
  <c r="AB72" s="1"/>
  <c r="AS72"/>
  <c r="W86"/>
  <c r="Y86" s="1"/>
  <c r="Z85"/>
  <c r="AL89" i="43"/>
  <c r="GY76"/>
  <c r="GK76"/>
  <c r="DR89"/>
  <c r="BD89"/>
  <c r="CR89"/>
  <c r="CT89" s="1"/>
  <c r="BY89"/>
  <c r="BE89"/>
  <c r="CS89"/>
  <c r="DX87"/>
  <c r="AK88"/>
  <c r="R88"/>
  <c r="Z88"/>
  <c r="CT88"/>
  <c r="CA88"/>
  <c r="BF88"/>
  <c r="GR76"/>
  <c r="X87"/>
  <c r="Y87" s="1"/>
  <c r="D84" i="45" s="1"/>
  <c r="U84" s="1"/>
  <c r="AA87" i="43"/>
  <c r="AY73" i="45"/>
  <c r="C83"/>
  <c r="FS91" i="43"/>
  <c r="J91" s="1"/>
  <c r="K91" s="1"/>
  <c r="BE90"/>
  <c r="Y86"/>
  <c r="D82" i="45"/>
  <c r="U82" s="1"/>
  <c r="EE85" i="43"/>
  <c r="ED86"/>
  <c r="EU90" l="1"/>
  <c r="DO76"/>
  <c r="DP76" s="1"/>
  <c r="FZ77"/>
  <c r="GX77" s="1"/>
  <c r="GZ77" s="1"/>
  <c r="Z86" i="45"/>
  <c r="W87"/>
  <c r="Y87" s="1"/>
  <c r="AL90" i="43"/>
  <c r="BZ90"/>
  <c r="CS90"/>
  <c r="DR90"/>
  <c r="CR90"/>
  <c r="BD90"/>
  <c r="BY90"/>
  <c r="CA89"/>
  <c r="BF89"/>
  <c r="AK89"/>
  <c r="R89"/>
  <c r="Z89"/>
  <c r="ED87"/>
  <c r="X88"/>
  <c r="ED88" s="1"/>
  <c r="AA88"/>
  <c r="DX88"/>
  <c r="EE87"/>
  <c r="C84" i="45"/>
  <c r="BE91" i="43"/>
  <c r="FS92"/>
  <c r="J92" s="1"/>
  <c r="K92" s="1"/>
  <c r="T73" i="45"/>
  <c r="D83"/>
  <c r="U83" s="1"/>
  <c r="EE86" i="43"/>
  <c r="EU91" l="1"/>
  <c r="GJ77"/>
  <c r="GL77" s="1"/>
  <c r="BK77" s="1"/>
  <c r="AW74" i="45" s="1"/>
  <c r="BE74" s="1"/>
  <c r="GC77" i="43"/>
  <c r="GE77" s="1"/>
  <c r="AR77" s="1"/>
  <c r="AT77" s="1"/>
  <c r="GQ77"/>
  <c r="GS77" s="1"/>
  <c r="CF77" s="1"/>
  <c r="CY77"/>
  <c r="Z87" i="45"/>
  <c r="W88"/>
  <c r="Y88" s="1"/>
  <c r="AL91" i="43"/>
  <c r="BZ91"/>
  <c r="CS91"/>
  <c r="CR91"/>
  <c r="CT91" s="1"/>
  <c r="DR91"/>
  <c r="BD91"/>
  <c r="BF91" s="1"/>
  <c r="BY91"/>
  <c r="CA91" s="1"/>
  <c r="DX89"/>
  <c r="BF90"/>
  <c r="AK90"/>
  <c r="X90" s="1"/>
  <c r="Y90" s="1"/>
  <c r="D87" i="45" s="1"/>
  <c r="U87" s="1"/>
  <c r="R90" i="43"/>
  <c r="Z90"/>
  <c r="CA90"/>
  <c r="CT90"/>
  <c r="X89"/>
  <c r="ED89" s="1"/>
  <c r="AA89"/>
  <c r="C85" i="45"/>
  <c r="Y88" i="43"/>
  <c r="AA73" i="45"/>
  <c r="AB73" s="1"/>
  <c r="AS73"/>
  <c r="FS93" i="43"/>
  <c r="BE92"/>
  <c r="J93"/>
  <c r="K93" s="1"/>
  <c r="EU92" l="1"/>
  <c r="GN78"/>
  <c r="GM78" s="1"/>
  <c r="GI78" s="1"/>
  <c r="BM77"/>
  <c r="GG78"/>
  <c r="GF78" s="1"/>
  <c r="GB78" s="1"/>
  <c r="AT74" i="45"/>
  <c r="AY74" s="1"/>
  <c r="GA77" i="43"/>
  <c r="GY77" s="1"/>
  <c r="HB78"/>
  <c r="HA78" s="1"/>
  <c r="GW78" s="1"/>
  <c r="DA77"/>
  <c r="AU74" i="45" s="1"/>
  <c r="BA74" s="1"/>
  <c r="GU78" i="43"/>
  <c r="GT78" s="1"/>
  <c r="GP78" s="1"/>
  <c r="AD77"/>
  <c r="DO77" s="1"/>
  <c r="DP77" s="1"/>
  <c r="CH77"/>
  <c r="AV74" i="45"/>
  <c r="BC74" s="1"/>
  <c r="W89"/>
  <c r="Y89" s="1"/>
  <c r="Z88"/>
  <c r="DX91" i="43"/>
  <c r="AL92"/>
  <c r="CS92"/>
  <c r="AK91"/>
  <c r="X91" s="1"/>
  <c r="Y91" s="1"/>
  <c r="D88" i="45" s="1"/>
  <c r="U88" s="1"/>
  <c r="R91" i="43"/>
  <c r="Z91"/>
  <c r="BZ92"/>
  <c r="DR92"/>
  <c r="BD92"/>
  <c r="BY92"/>
  <c r="CR92"/>
  <c r="DX90"/>
  <c r="AA90"/>
  <c r="ED90"/>
  <c r="Y89"/>
  <c r="D86" i="45" s="1"/>
  <c r="U86" s="1"/>
  <c r="C86"/>
  <c r="EE88" i="43"/>
  <c r="D85" i="45"/>
  <c r="U85" s="1"/>
  <c r="BE93" i="43"/>
  <c r="FS94"/>
  <c r="J94" s="1"/>
  <c r="K94" s="1"/>
  <c r="EU93" l="1"/>
  <c r="AE77"/>
  <c r="EV77" s="1"/>
  <c r="GR77"/>
  <c r="GD77"/>
  <c r="GK77"/>
  <c r="FZ78"/>
  <c r="GC78" s="1"/>
  <c r="GE78" s="1"/>
  <c r="AR78" s="1"/>
  <c r="Z89" i="45"/>
  <c r="W90"/>
  <c r="Y90" s="1"/>
  <c r="CA92" i="43"/>
  <c r="CT92"/>
  <c r="AK92"/>
  <c r="R92"/>
  <c r="Z92"/>
  <c r="ED91"/>
  <c r="AA91"/>
  <c r="BF92"/>
  <c r="CS93"/>
  <c r="BZ93"/>
  <c r="AL93"/>
  <c r="BY93"/>
  <c r="DR93"/>
  <c r="BD93"/>
  <c r="CR93"/>
  <c r="EE89"/>
  <c r="C87" i="45"/>
  <c r="EE90" i="43"/>
  <c r="CS94"/>
  <c r="FS95"/>
  <c r="J95" s="1"/>
  <c r="K95" s="1"/>
  <c r="T74" i="45" l="1"/>
  <c r="AS74" s="1"/>
  <c r="EU94" i="43"/>
  <c r="GX78"/>
  <c r="GZ78" s="1"/>
  <c r="CY78" s="1"/>
  <c r="GQ78"/>
  <c r="GS78" s="1"/>
  <c r="CF78" s="1"/>
  <c r="GJ78"/>
  <c r="GL78" s="1"/>
  <c r="BK78" s="1"/>
  <c r="AW75" i="45" s="1"/>
  <c r="Z90"/>
  <c r="W91"/>
  <c r="Y91" s="1"/>
  <c r="BE94" i="43"/>
  <c r="CR94"/>
  <c r="CT94" s="1"/>
  <c r="BD94"/>
  <c r="BF94" s="1"/>
  <c r="DR94"/>
  <c r="BY94"/>
  <c r="CA94" s="1"/>
  <c r="BZ94"/>
  <c r="AL94"/>
  <c r="X92"/>
  <c r="C88" i="45"/>
  <c r="EE91" i="43"/>
  <c r="DX92"/>
  <c r="AA92"/>
  <c r="BF93"/>
  <c r="CA93"/>
  <c r="CT93"/>
  <c r="AK93"/>
  <c r="R93"/>
  <c r="Z93"/>
  <c r="BZ95"/>
  <c r="FS96"/>
  <c r="AT75" i="45"/>
  <c r="AT78" i="43"/>
  <c r="GG79"/>
  <c r="GF79" s="1"/>
  <c r="GB79" s="1"/>
  <c r="J96"/>
  <c r="K96" s="1"/>
  <c r="AA74" i="45" l="1"/>
  <c r="AB74" s="1"/>
  <c r="EU95" i="43"/>
  <c r="GA78"/>
  <c r="GK78" s="1"/>
  <c r="BM78"/>
  <c r="HB79"/>
  <c r="HA79" s="1"/>
  <c r="GW79" s="1"/>
  <c r="DA78"/>
  <c r="AU75" i="45" s="1"/>
  <c r="GU79" i="43"/>
  <c r="GT79" s="1"/>
  <c r="GP79" s="1"/>
  <c r="AV75" i="45"/>
  <c r="BC75" s="1"/>
  <c r="CH78" i="43"/>
  <c r="AD78"/>
  <c r="AE78" s="1"/>
  <c r="EV78" s="1"/>
  <c r="GN79"/>
  <c r="GM79" s="1"/>
  <c r="GI79" s="1"/>
  <c r="W92" i="45"/>
  <c r="Y92" s="1"/>
  <c r="Z91"/>
  <c r="Z94" i="43"/>
  <c r="AA94" s="1"/>
  <c r="C91" i="45" s="1"/>
  <c r="AL95" i="43"/>
  <c r="CS95"/>
  <c r="DR95"/>
  <c r="Z95" s="1"/>
  <c r="AA95" s="1"/>
  <c r="CR95"/>
  <c r="BY95"/>
  <c r="BD95"/>
  <c r="BE95"/>
  <c r="ED92"/>
  <c r="AK94"/>
  <c r="X94" s="1"/>
  <c r="R94"/>
  <c r="DX94"/>
  <c r="Y92"/>
  <c r="C89" i="45"/>
  <c r="DX93" i="43"/>
  <c r="AA93"/>
  <c r="X93"/>
  <c r="FS97"/>
  <c r="J97" s="1"/>
  <c r="K97" s="1"/>
  <c r="BE75" i="45"/>
  <c r="AY75"/>
  <c r="EU96" i="43" l="1"/>
  <c r="GR78"/>
  <c r="GY78"/>
  <c r="GD78"/>
  <c r="DO78"/>
  <c r="DP78" s="1"/>
  <c r="FZ79"/>
  <c r="GX79" s="1"/>
  <c r="GZ79" s="1"/>
  <c r="Z92" i="45"/>
  <c r="W93"/>
  <c r="Y93" s="1"/>
  <c r="DR96" i="43"/>
  <c r="Z96" s="1"/>
  <c r="CR96"/>
  <c r="BD96"/>
  <c r="BY96"/>
  <c r="AL96"/>
  <c r="BZ96"/>
  <c r="BE96"/>
  <c r="CS96"/>
  <c r="CA95"/>
  <c r="AK95"/>
  <c r="X95" s="1"/>
  <c r="R95"/>
  <c r="BF95"/>
  <c r="CT95"/>
  <c r="Y94"/>
  <c r="ED94"/>
  <c r="EE92"/>
  <c r="D89" i="45"/>
  <c r="U89" s="1"/>
  <c r="C90"/>
  <c r="Y93" i="43"/>
  <c r="ED93"/>
  <c r="C92" i="45"/>
  <c r="BA75"/>
  <c r="J98" i="43"/>
  <c r="K98" s="1"/>
  <c r="FS98"/>
  <c r="BE97"/>
  <c r="T75" i="45"/>
  <c r="EU97" i="43" l="1"/>
  <c r="CY79"/>
  <c r="W94" i="45"/>
  <c r="Y94" s="1"/>
  <c r="Z93"/>
  <c r="BZ97" i="43"/>
  <c r="CS97"/>
  <c r="DR97"/>
  <c r="CR97"/>
  <c r="BY97"/>
  <c r="BD97"/>
  <c r="AL97"/>
  <c r="BF96"/>
  <c r="CA96"/>
  <c r="CT96"/>
  <c r="AA96"/>
  <c r="C93" i="45" s="1"/>
  <c r="AK96" i="43"/>
  <c r="R96"/>
  <c r="Y95"/>
  <c r="ED95"/>
  <c r="DX95"/>
  <c r="D91" i="45"/>
  <c r="U91" s="1"/>
  <c r="EE94" i="43"/>
  <c r="D90" i="45"/>
  <c r="U90" s="1"/>
  <c r="EE93" i="43"/>
  <c r="GJ79"/>
  <c r="GL79" s="1"/>
  <c r="BK79" s="1"/>
  <c r="BM79" s="1"/>
  <c r="GQ79"/>
  <c r="GS79" s="1"/>
  <c r="GC79"/>
  <c r="GE79" s="1"/>
  <c r="AR79" s="1"/>
  <c r="AA75" i="45"/>
  <c r="AB75" s="1"/>
  <c r="AS75"/>
  <c r="FS99" i="43"/>
  <c r="J99" s="1"/>
  <c r="K99" s="1"/>
  <c r="BE98"/>
  <c r="EU98" l="1"/>
  <c r="HB80"/>
  <c r="HA80" s="1"/>
  <c r="GW80" s="1"/>
  <c r="DA79"/>
  <c r="AU76" i="45" s="1"/>
  <c r="BA76" s="1"/>
  <c r="CF79" i="43"/>
  <c r="W95" i="45"/>
  <c r="Y95" s="1"/>
  <c r="Z94"/>
  <c r="GN80" i="43"/>
  <c r="GM80" s="1"/>
  <c r="GI80" s="1"/>
  <c r="AL98"/>
  <c r="CS98"/>
  <c r="BZ98"/>
  <c r="BD98"/>
  <c r="CR98"/>
  <c r="DR98"/>
  <c r="BY98"/>
  <c r="DX96"/>
  <c r="CA97"/>
  <c r="AK97"/>
  <c r="X97" s="1"/>
  <c r="Y97" s="1"/>
  <c r="D94" i="45" s="1"/>
  <c r="U94" s="1"/>
  <c r="R97" i="43"/>
  <c r="Z97"/>
  <c r="BF97"/>
  <c r="CT97"/>
  <c r="X96"/>
  <c r="D92" i="45"/>
  <c r="U92" s="1"/>
  <c r="EE95" i="43"/>
  <c r="AT76" i="45"/>
  <c r="AY76" s="1"/>
  <c r="GG80" i="43"/>
  <c r="GF80" s="1"/>
  <c r="GB80" s="1"/>
  <c r="GA79"/>
  <c r="GR79" s="1"/>
  <c r="AT79"/>
  <c r="AW76" i="45"/>
  <c r="BE76" s="1"/>
  <c r="J100" i="43"/>
  <c r="K100" s="1"/>
  <c r="AL99"/>
  <c r="FS100"/>
  <c r="EU99" l="1"/>
  <c r="GU80"/>
  <c r="GT80" s="1"/>
  <c r="GP80" s="1"/>
  <c r="FZ80" s="1"/>
  <c r="AV76" i="45"/>
  <c r="BC76" s="1"/>
  <c r="AD79" i="43"/>
  <c r="AE79" s="1"/>
  <c r="EV79" s="1"/>
  <c r="CH79"/>
  <c r="W96" i="45"/>
  <c r="Y96" s="1"/>
  <c r="Z95"/>
  <c r="GK79" i="43"/>
  <c r="CS99"/>
  <c r="BE99"/>
  <c r="BZ99"/>
  <c r="CR99"/>
  <c r="BD99"/>
  <c r="DR99"/>
  <c r="BY99"/>
  <c r="CA98"/>
  <c r="CT98"/>
  <c r="BF98"/>
  <c r="GY79"/>
  <c r="GD79"/>
  <c r="AK98"/>
  <c r="R98"/>
  <c r="Z98"/>
  <c r="ED97"/>
  <c r="AA97"/>
  <c r="DX97"/>
  <c r="Y96"/>
  <c r="ED96"/>
  <c r="FS101"/>
  <c r="J101" s="1"/>
  <c r="K101" s="1"/>
  <c r="CS100"/>
  <c r="T76" i="45" l="1"/>
  <c r="AS76" s="1"/>
  <c r="EU100" i="43"/>
  <c r="DO79"/>
  <c r="DP79" s="1"/>
  <c r="W97" i="45"/>
  <c r="Y97" s="1"/>
  <c r="Z96"/>
  <c r="BZ100" i="43"/>
  <c r="BE100"/>
  <c r="DR100"/>
  <c r="Z100" s="1"/>
  <c r="BD100"/>
  <c r="CR100"/>
  <c r="BY100"/>
  <c r="CA100" s="1"/>
  <c r="AL100"/>
  <c r="DX98"/>
  <c r="AK99"/>
  <c r="X99" s="1"/>
  <c r="Y99" s="1"/>
  <c r="D96" i="45" s="1"/>
  <c r="U96" s="1"/>
  <c r="R99" i="43"/>
  <c r="Z99"/>
  <c r="CT99"/>
  <c r="CA99"/>
  <c r="BF99"/>
  <c r="X98"/>
  <c r="AA98"/>
  <c r="EE97"/>
  <c r="C94" i="45"/>
  <c r="D93"/>
  <c r="U93" s="1"/>
  <c r="EE96" i="43"/>
  <c r="GJ80"/>
  <c r="GL80" s="1"/>
  <c r="BK80" s="1"/>
  <c r="GX80"/>
  <c r="GZ80" s="1"/>
  <c r="GQ80"/>
  <c r="GS80" s="1"/>
  <c r="GC80"/>
  <c r="J102"/>
  <c r="K102" s="1"/>
  <c r="FS102"/>
  <c r="AA76" i="45" l="1"/>
  <c r="AB76" s="1"/>
  <c r="EU101" i="43"/>
  <c r="CY80"/>
  <c r="CF80"/>
  <c r="Z97" i="45"/>
  <c r="W98"/>
  <c r="Y98" s="1"/>
  <c r="CS101" i="43"/>
  <c r="BZ101"/>
  <c r="BE101"/>
  <c r="BD101"/>
  <c r="DR101"/>
  <c r="CR101"/>
  <c r="BY101"/>
  <c r="AL101"/>
  <c r="CT100"/>
  <c r="BF100"/>
  <c r="AA100"/>
  <c r="C97" i="45" s="1"/>
  <c r="AK100" i="43"/>
  <c r="R100"/>
  <c r="DX99"/>
  <c r="AA99"/>
  <c r="ED99"/>
  <c r="ED98"/>
  <c r="C95" i="45"/>
  <c r="Y98" i="43"/>
  <c r="FS103"/>
  <c r="J103" s="1"/>
  <c r="K103" s="1"/>
  <c r="GA80"/>
  <c r="GE80"/>
  <c r="AR80" s="1"/>
  <c r="AW77" i="45"/>
  <c r="BM80" i="43"/>
  <c r="GN81"/>
  <c r="GM81" s="1"/>
  <c r="EU102" l="1"/>
  <c r="HB81"/>
  <c r="HA81" s="1"/>
  <c r="GW81" s="1"/>
  <c r="DA80"/>
  <c r="AU77" i="45" s="1"/>
  <c r="GU81" i="43"/>
  <c r="GT81" s="1"/>
  <c r="GP81" s="1"/>
  <c r="AV77" i="45"/>
  <c r="BC77" s="1"/>
  <c r="CH80" i="43"/>
  <c r="Z98" i="45"/>
  <c r="W99"/>
  <c r="Y99" s="1"/>
  <c r="DX100" i="43"/>
  <c r="AL102"/>
  <c r="BE102"/>
  <c r="CS102"/>
  <c r="BZ102"/>
  <c r="DR102"/>
  <c r="CR102"/>
  <c r="BD102"/>
  <c r="BY102"/>
  <c r="CT101"/>
  <c r="BF101"/>
  <c r="CA101"/>
  <c r="AK101"/>
  <c r="R101"/>
  <c r="Z101"/>
  <c r="X100"/>
  <c r="C96" i="45"/>
  <c r="EE99" i="43"/>
  <c r="D95" i="45"/>
  <c r="U95" s="1"/>
  <c r="EE98" i="43"/>
  <c r="AT77" i="45"/>
  <c r="AT80" i="43"/>
  <c r="AD80"/>
  <c r="GG81"/>
  <c r="GF81" s="1"/>
  <c r="GI81"/>
  <c r="FS104"/>
  <c r="J104" s="1"/>
  <c r="K104" s="1"/>
  <c r="BE77" i="45"/>
  <c r="GY80" i="43"/>
  <c r="GR80"/>
  <c r="GD80"/>
  <c r="GK80"/>
  <c r="EU103" l="1"/>
  <c r="Z99" i="45"/>
  <c r="W100"/>
  <c r="Y100" s="1"/>
  <c r="CS103" i="43"/>
  <c r="AL103"/>
  <c r="BZ103"/>
  <c r="BE103"/>
  <c r="BD103"/>
  <c r="DR103"/>
  <c r="CR103"/>
  <c r="BY103"/>
  <c r="BF102"/>
  <c r="CA102"/>
  <c r="CT102"/>
  <c r="AK102"/>
  <c r="R102"/>
  <c r="Z102"/>
  <c r="X101"/>
  <c r="Y101" s="1"/>
  <c r="D98" i="45" s="1"/>
  <c r="U98" s="1"/>
  <c r="DX101" i="43"/>
  <c r="AA101"/>
  <c r="Y100"/>
  <c r="ED100"/>
  <c r="BA77" i="45"/>
  <c r="AE80" i="43"/>
  <c r="EV80" s="1"/>
  <c r="DO80"/>
  <c r="DP80" s="1"/>
  <c r="FS105"/>
  <c r="J105" s="1"/>
  <c r="K105" s="1"/>
  <c r="GB81"/>
  <c r="FZ81" s="1"/>
  <c r="AY77" i="45"/>
  <c r="EU104" i="43" l="1"/>
  <c r="GX81"/>
  <c r="GZ81" s="1"/>
  <c r="Z100" i="45"/>
  <c r="W101"/>
  <c r="Y101" s="1"/>
  <c r="ED101" i="43"/>
  <c r="BZ104"/>
  <c r="CS104"/>
  <c r="BE104"/>
  <c r="CR104"/>
  <c r="CT104" s="1"/>
  <c r="BD104"/>
  <c r="BY104"/>
  <c r="DR104"/>
  <c r="AL104"/>
  <c r="DX102"/>
  <c r="CA103"/>
  <c r="AK103"/>
  <c r="R103"/>
  <c r="Z103"/>
  <c r="CT103"/>
  <c r="BF103"/>
  <c r="AA102"/>
  <c r="X102"/>
  <c r="C98" i="45"/>
  <c r="EE101" i="43"/>
  <c r="D97" i="45"/>
  <c r="U97" s="1"/>
  <c r="EE100" i="43"/>
  <c r="T77" i="45"/>
  <c r="FS106" i="43"/>
  <c r="J106"/>
  <c r="K106" s="1"/>
  <c r="GJ81"/>
  <c r="GL81" s="1"/>
  <c r="BK81" s="1"/>
  <c r="GQ81"/>
  <c r="GS81" s="1"/>
  <c r="EU105" l="1"/>
  <c r="CY81"/>
  <c r="CF81"/>
  <c r="GC81"/>
  <c r="GE81" s="1"/>
  <c r="AR81" s="1"/>
  <c r="AT78" i="45" s="1"/>
  <c r="Z101"/>
  <c r="W102"/>
  <c r="Y102" s="1"/>
  <c r="AL105" i="43"/>
  <c r="BZ105"/>
  <c r="BE105"/>
  <c r="CS105"/>
  <c r="BD105"/>
  <c r="DR105"/>
  <c r="CR105"/>
  <c r="CT105" s="1"/>
  <c r="BY105"/>
  <c r="CA104"/>
  <c r="BF104"/>
  <c r="AK104"/>
  <c r="R104"/>
  <c r="Z104"/>
  <c r="X103"/>
  <c r="ED103" s="1"/>
  <c r="AA103"/>
  <c r="DX103"/>
  <c r="Y102"/>
  <c r="ED102"/>
  <c r="C99" i="45"/>
  <c r="BM81" i="43"/>
  <c r="AW78" i="45"/>
  <c r="GN82" i="43"/>
  <c r="GM82" s="1"/>
  <c r="AA77" i="45"/>
  <c r="AB77" s="1"/>
  <c r="AS77"/>
  <c r="FS107" i="43"/>
  <c r="J107" s="1"/>
  <c r="K107" s="1"/>
  <c r="BZ106"/>
  <c r="GA81" l="1"/>
  <c r="GR81" s="1"/>
  <c r="EU106"/>
  <c r="DA81"/>
  <c r="AU78" i="45" s="1"/>
  <c r="HB82" i="43"/>
  <c r="HA82" s="1"/>
  <c r="GW82" s="1"/>
  <c r="GG82"/>
  <c r="GF82" s="1"/>
  <c r="GB82" s="1"/>
  <c r="AT81"/>
  <c r="GU82"/>
  <c r="GT82" s="1"/>
  <c r="GP82" s="1"/>
  <c r="CH81"/>
  <c r="AD81"/>
  <c r="AE81" s="1"/>
  <c r="EV81" s="1"/>
  <c r="AV78" i="45"/>
  <c r="BC78" s="1"/>
  <c r="Z102"/>
  <c r="W103"/>
  <c r="Y103" s="1"/>
  <c r="DX104" i="43"/>
  <c r="CS106"/>
  <c r="BE106"/>
  <c r="CR106"/>
  <c r="DR106"/>
  <c r="BD106"/>
  <c r="BY106"/>
  <c r="AL106"/>
  <c r="CA105"/>
  <c r="AK105"/>
  <c r="R105"/>
  <c r="Z105"/>
  <c r="BF105"/>
  <c r="X104"/>
  <c r="ED104" s="1"/>
  <c r="AA104"/>
  <c r="Y103"/>
  <c r="D100" i="45" s="1"/>
  <c r="U100" s="1"/>
  <c r="C100"/>
  <c r="EE102" i="43"/>
  <c r="D99" i="45"/>
  <c r="U99" s="1"/>
  <c r="GI82" i="43"/>
  <c r="J108"/>
  <c r="K108" s="1"/>
  <c r="AY78" i="45"/>
  <c r="AL107" i="43"/>
  <c r="FS108"/>
  <c r="BE78" i="45"/>
  <c r="GY81" i="43" l="1"/>
  <c r="GK81"/>
  <c r="GD81"/>
  <c r="EU107"/>
  <c r="DO81"/>
  <c r="DP81" s="1"/>
  <c r="FZ82"/>
  <c r="W104" i="45"/>
  <c r="Y104" s="1"/>
  <c r="Z103"/>
  <c r="BZ107" i="43"/>
  <c r="BE107"/>
  <c r="CS107"/>
  <c r="DR107"/>
  <c r="CR107"/>
  <c r="BD107"/>
  <c r="BY107"/>
  <c r="BF106"/>
  <c r="CT106"/>
  <c r="CA106"/>
  <c r="AK106"/>
  <c r="R106"/>
  <c r="Z106"/>
  <c r="EE103"/>
  <c r="X105"/>
  <c r="ED105" s="1"/>
  <c r="AA105"/>
  <c r="DX105"/>
  <c r="Y104"/>
  <c r="C101" i="45"/>
  <c r="T78"/>
  <c r="FS109" i="43"/>
  <c r="J109" s="1"/>
  <c r="K109" s="1"/>
  <c r="BE108"/>
  <c r="BZ108"/>
  <c r="BA78" i="45"/>
  <c r="EU108" i="43" l="1"/>
  <c r="W105" i="45"/>
  <c r="Y105" s="1"/>
  <c r="Z104"/>
  <c r="CS108" i="43"/>
  <c r="AL108"/>
  <c r="DX106"/>
  <c r="BD108"/>
  <c r="CR108"/>
  <c r="DR108"/>
  <c r="BY108"/>
  <c r="CA108" s="1"/>
  <c r="CT107"/>
  <c r="CA107"/>
  <c r="BF107"/>
  <c r="AK107"/>
  <c r="R107"/>
  <c r="Z107"/>
  <c r="AA106"/>
  <c r="X106"/>
  <c r="Y105"/>
  <c r="C102" i="45"/>
  <c r="EE104" i="43"/>
  <c r="D101" i="45"/>
  <c r="U101" s="1"/>
  <c r="FS110" i="43"/>
  <c r="GJ82"/>
  <c r="GL82" s="1"/>
  <c r="BK82" s="1"/>
  <c r="GX82"/>
  <c r="GZ82" s="1"/>
  <c r="GC82"/>
  <c r="GQ82"/>
  <c r="GS82" s="1"/>
  <c r="J110"/>
  <c r="K110" s="1"/>
  <c r="AA78" i="45"/>
  <c r="AB78" s="1"/>
  <c r="AS78"/>
  <c r="EU109" i="43" l="1"/>
  <c r="CY82"/>
  <c r="CF82"/>
  <c r="CR110"/>
  <c r="CT110" s="1"/>
  <c r="BD110"/>
  <c r="BF110" s="1"/>
  <c r="DR110"/>
  <c r="Z110" s="1"/>
  <c r="BY110"/>
  <c r="CA110" s="1"/>
  <c r="Z105" i="45"/>
  <c r="W106"/>
  <c r="Y106" s="1"/>
  <c r="BZ109" i="43"/>
  <c r="BE109"/>
  <c r="AL109"/>
  <c r="CS109"/>
  <c r="BY109"/>
  <c r="BD109"/>
  <c r="CR109"/>
  <c r="DR109"/>
  <c r="BF108"/>
  <c r="EE105"/>
  <c r="AK108"/>
  <c r="X108" s="1"/>
  <c r="Y108" s="1"/>
  <c r="D105" i="45" s="1"/>
  <c r="U105" s="1"/>
  <c r="R108" i="43"/>
  <c r="Z108"/>
  <c r="CT108"/>
  <c r="ED106"/>
  <c r="X107"/>
  <c r="DX107"/>
  <c r="AA107"/>
  <c r="D102" i="45"/>
  <c r="U102" s="1"/>
  <c r="Y106" i="43"/>
  <c r="C103" i="45"/>
  <c r="GA82" i="43"/>
  <c r="GE82"/>
  <c r="AR82" s="1"/>
  <c r="FS111"/>
  <c r="CS110"/>
  <c r="BZ110"/>
  <c r="BE110"/>
  <c r="J111"/>
  <c r="K111" s="1"/>
  <c r="AL110"/>
  <c r="BM82"/>
  <c r="AW79" i="45"/>
  <c r="GN83" i="43"/>
  <c r="GM83" s="1"/>
  <c r="EU110" l="1"/>
  <c r="DA82"/>
  <c r="AU79" i="45" s="1"/>
  <c r="HB83" i="43"/>
  <c r="HA83" s="1"/>
  <c r="GW83" s="1"/>
  <c r="GU83"/>
  <c r="GT83" s="1"/>
  <c r="GP83" s="1"/>
  <c r="CH82"/>
  <c r="AV79" i="45"/>
  <c r="BC79" s="1"/>
  <c r="BD111" i="43"/>
  <c r="BF111" s="1"/>
  <c r="CR111"/>
  <c r="CT111" s="1"/>
  <c r="BY111"/>
  <c r="CA111" s="1"/>
  <c r="DR111"/>
  <c r="Z111" s="1"/>
  <c r="AK110"/>
  <c r="X110" s="1"/>
  <c r="Y110" s="1"/>
  <c r="D107" i="45" s="1"/>
  <c r="U107" s="1"/>
  <c r="R110" i="43"/>
  <c r="DX110"/>
  <c r="W107" i="45"/>
  <c r="Y107" s="1"/>
  <c r="Z106"/>
  <c r="CT109" i="43"/>
  <c r="ED107"/>
  <c r="DX108"/>
  <c r="CA109"/>
  <c r="AK109"/>
  <c r="R109"/>
  <c r="Z109"/>
  <c r="BF109"/>
  <c r="ED108"/>
  <c r="AA108"/>
  <c r="EE106"/>
  <c r="Y107"/>
  <c r="D104" i="45" s="1"/>
  <c r="U104" s="1"/>
  <c r="C104"/>
  <c r="D103"/>
  <c r="U103" s="1"/>
  <c r="BE79"/>
  <c r="AA110" i="43"/>
  <c r="FS112"/>
  <c r="BE111"/>
  <c r="BZ111"/>
  <c r="CS111"/>
  <c r="GI83"/>
  <c r="GY82"/>
  <c r="GR82"/>
  <c r="GD82"/>
  <c r="GK82"/>
  <c r="J112"/>
  <c r="K112" s="1"/>
  <c r="AL111"/>
  <c r="AT82"/>
  <c r="AT79" i="45"/>
  <c r="AD82" i="43"/>
  <c r="GG83"/>
  <c r="GF83" s="1"/>
  <c r="EU111" l="1"/>
  <c r="ED110"/>
  <c r="CR112"/>
  <c r="CT112" s="1"/>
  <c r="BY112"/>
  <c r="CA112" s="1"/>
  <c r="DR112"/>
  <c r="Z112" s="1"/>
  <c r="BD112"/>
  <c r="BF112" s="1"/>
  <c r="AK111"/>
  <c r="X111" s="1"/>
  <c r="Y111" s="1"/>
  <c r="D108" i="45" s="1"/>
  <c r="U108" s="1"/>
  <c r="DX111" i="43"/>
  <c r="R111"/>
  <c r="Z107" i="45"/>
  <c r="W108"/>
  <c r="Y108" s="1"/>
  <c r="EE107" i="43"/>
  <c r="X109"/>
  <c r="AA109"/>
  <c r="DX109"/>
  <c r="EE108"/>
  <c r="C105" i="45"/>
  <c r="GB83" i="43"/>
  <c r="FZ83" s="1"/>
  <c r="AY79" i="45"/>
  <c r="AA111" i="43"/>
  <c r="BA79" i="45"/>
  <c r="J113" i="43"/>
  <c r="K113" s="1"/>
  <c r="AL112"/>
  <c r="FS113"/>
  <c r="BE112"/>
  <c r="BZ112"/>
  <c r="CS112"/>
  <c r="AE82"/>
  <c r="EV82" s="1"/>
  <c r="DO82"/>
  <c r="DP82" s="1"/>
  <c r="C107" i="45"/>
  <c r="EE110" i="43"/>
  <c r="EU112" l="1"/>
  <c r="ED111"/>
  <c r="DR113"/>
  <c r="Z113" s="1"/>
  <c r="CR113"/>
  <c r="CT113" s="1"/>
  <c r="BD113"/>
  <c r="BF113" s="1"/>
  <c r="BY113"/>
  <c r="CA113" s="1"/>
  <c r="AK112"/>
  <c r="X112" s="1"/>
  <c r="Y112" s="1"/>
  <c r="D109" i="45" s="1"/>
  <c r="U109" s="1"/>
  <c r="DX112" i="43"/>
  <c r="R112"/>
  <c r="W109" i="45"/>
  <c r="Y109" s="1"/>
  <c r="Z108"/>
  <c r="ED109" i="43"/>
  <c r="Y109"/>
  <c r="C106" i="45"/>
  <c r="T79"/>
  <c r="AL113" i="43"/>
  <c r="GQ83"/>
  <c r="GS83" s="1"/>
  <c r="GX83"/>
  <c r="GZ83" s="1"/>
  <c r="GJ83"/>
  <c r="GL83" s="1"/>
  <c r="BK83" s="1"/>
  <c r="C108" i="45"/>
  <c r="EE111" i="43"/>
  <c r="GC83"/>
  <c r="AA112"/>
  <c r="FS114"/>
  <c r="J114" s="1"/>
  <c r="K114" s="1"/>
  <c r="BZ113"/>
  <c r="BE113"/>
  <c r="CS113"/>
  <c r="EU113" l="1"/>
  <c r="CY83"/>
  <c r="CF83"/>
  <c r="ED112"/>
  <c r="AK113"/>
  <c r="X113" s="1"/>
  <c r="Y113" s="1"/>
  <c r="D110" i="45" s="1"/>
  <c r="U110" s="1"/>
  <c r="DX113" i="43"/>
  <c r="R113"/>
  <c r="DR114"/>
  <c r="Z114" s="1"/>
  <c r="BD114"/>
  <c r="BF114" s="1"/>
  <c r="BY114"/>
  <c r="CA114" s="1"/>
  <c r="CR114"/>
  <c r="CT114" s="1"/>
  <c r="W110" i="45"/>
  <c r="Y110" s="1"/>
  <c r="Z109"/>
  <c r="EE109" i="43"/>
  <c r="D106" i="45"/>
  <c r="U106" s="1"/>
  <c r="AW80"/>
  <c r="BM83" i="43"/>
  <c r="GN84"/>
  <c r="GM84" s="1"/>
  <c r="AA113"/>
  <c r="GE83"/>
  <c r="AR83" s="1"/>
  <c r="GA83"/>
  <c r="AL114"/>
  <c r="AA79" i="45"/>
  <c r="AB79" s="1"/>
  <c r="AS79"/>
  <c r="EE112" i="43"/>
  <c r="C109" i="45"/>
  <c r="FS115" i="43"/>
  <c r="J115" s="1"/>
  <c r="K115" s="1"/>
  <c r="CS114"/>
  <c r="BZ114"/>
  <c r="BE114"/>
  <c r="ED113" l="1"/>
  <c r="EU114"/>
  <c r="DA83"/>
  <c r="AU80" i="45" s="1"/>
  <c r="HB84" i="43"/>
  <c r="HA84" s="1"/>
  <c r="GW84" s="1"/>
  <c r="GU84"/>
  <c r="GT84" s="1"/>
  <c r="GP84" s="1"/>
  <c r="CH83"/>
  <c r="AV80" i="45"/>
  <c r="BC80" s="1"/>
  <c r="DR115" i="43"/>
  <c r="Z115" s="1"/>
  <c r="BD115"/>
  <c r="BF115" s="1"/>
  <c r="BY115"/>
  <c r="CA115" s="1"/>
  <c r="CR115"/>
  <c r="CT115" s="1"/>
  <c r="AK114"/>
  <c r="X114" s="1"/>
  <c r="Y114" s="1"/>
  <c r="D111" i="45" s="1"/>
  <c r="U111" s="1"/>
  <c r="DX114" i="43"/>
  <c r="R114"/>
  <c r="W111" i="45"/>
  <c r="Y111" s="1"/>
  <c r="Z110"/>
  <c r="AA114" i="43"/>
  <c r="FS116"/>
  <c r="BZ115"/>
  <c r="BE115"/>
  <c r="CS115"/>
  <c r="GR83"/>
  <c r="GD83"/>
  <c r="GY83"/>
  <c r="GK83"/>
  <c r="GI84"/>
  <c r="EE113"/>
  <c r="C110" i="45"/>
  <c r="BE80"/>
  <c r="J116" i="43"/>
  <c r="K116" s="1"/>
  <c r="AL115"/>
  <c r="AT83"/>
  <c r="AT80" i="45"/>
  <c r="AD83" i="43"/>
  <c r="GG84"/>
  <c r="GF84" s="1"/>
  <c r="GB84" s="1"/>
  <c r="EU115" l="1"/>
  <c r="ED114"/>
  <c r="FZ84"/>
  <c r="GC84" s="1"/>
  <c r="GE84" s="1"/>
  <c r="AR84" s="1"/>
  <c r="AK115"/>
  <c r="X115" s="1"/>
  <c r="Y115" s="1"/>
  <c r="D112" i="45" s="1"/>
  <c r="U112" s="1"/>
  <c r="DX115" i="43"/>
  <c r="R115"/>
  <c r="BY116"/>
  <c r="CA116" s="1"/>
  <c r="BD116"/>
  <c r="BF116" s="1"/>
  <c r="CR116"/>
  <c r="CT116" s="1"/>
  <c r="DR116"/>
  <c r="Z116" s="1"/>
  <c r="Z111" i="45"/>
  <c r="W112"/>
  <c r="Y112" s="1"/>
  <c r="AA115" i="43"/>
  <c r="AL116"/>
  <c r="FS117"/>
  <c r="FS118" s="1"/>
  <c r="FS119" s="1"/>
  <c r="BZ116"/>
  <c r="CS116"/>
  <c r="BE116"/>
  <c r="AY80" i="45"/>
  <c r="DO83" i="43"/>
  <c r="DP83" s="1"/>
  <c r="AE83"/>
  <c r="EV83" s="1"/>
  <c r="BA80" i="45"/>
  <c r="C111"/>
  <c r="EE114" i="43"/>
  <c r="EU116" l="1"/>
  <c r="ED115"/>
  <c r="J117"/>
  <c r="K117" s="1"/>
  <c r="BE117" s="1"/>
  <c r="DX116"/>
  <c r="AK116"/>
  <c r="X116" s="1"/>
  <c r="Y116" s="1"/>
  <c r="D113" i="45" s="1"/>
  <c r="U113" s="1"/>
  <c r="R116" i="43"/>
  <c r="Z112" i="45"/>
  <c r="W113"/>
  <c r="Y113" s="1"/>
  <c r="GX84" i="43"/>
  <c r="GZ84" s="1"/>
  <c r="GQ84"/>
  <c r="GS84" s="1"/>
  <c r="GJ84"/>
  <c r="GL84" s="1"/>
  <c r="BK84" s="1"/>
  <c r="BM84" s="1"/>
  <c r="T80" i="45"/>
  <c r="AA116" i="43"/>
  <c r="AT81" i="45"/>
  <c r="AT84" i="43"/>
  <c r="GG85"/>
  <c r="GF85" s="1"/>
  <c r="C112" i="45"/>
  <c r="EE115" i="43"/>
  <c r="EU117" l="1"/>
  <c r="CS117"/>
  <c r="AL117"/>
  <c r="BZ117"/>
  <c r="ED116"/>
  <c r="CY84"/>
  <c r="CF84"/>
  <c r="J118"/>
  <c r="K118" s="1"/>
  <c r="BZ118" s="1"/>
  <c r="DR117"/>
  <c r="BD117"/>
  <c r="BF117" s="1"/>
  <c r="CR117"/>
  <c r="CT117" s="1"/>
  <c r="BY117"/>
  <c r="CA117" s="1"/>
  <c r="W114" i="45"/>
  <c r="Y114" s="1"/>
  <c r="Z113"/>
  <c r="GA84" i="43"/>
  <c r="GD84" s="1"/>
  <c r="AW81" i="45"/>
  <c r="BE81" s="1"/>
  <c r="GN85" i="43"/>
  <c r="GM85" s="1"/>
  <c r="GI85" s="1"/>
  <c r="C113" i="45"/>
  <c r="EE116" i="43"/>
  <c r="AA80" i="45"/>
  <c r="AB80" s="1"/>
  <c r="AS80"/>
  <c r="GB85" i="43"/>
  <c r="AY81" i="45"/>
  <c r="EU118" i="43" l="1"/>
  <c r="HB85"/>
  <c r="HA85" s="1"/>
  <c r="GW85" s="1"/>
  <c r="DA84"/>
  <c r="AU81" i="45" s="1"/>
  <c r="BA81" s="1"/>
  <c r="GU85" i="43"/>
  <c r="GT85" s="1"/>
  <c r="GP85" s="1"/>
  <c r="AV81" i="45"/>
  <c r="BC81" s="1"/>
  <c r="CH84" i="43"/>
  <c r="AD84"/>
  <c r="AE84" s="1"/>
  <c r="EV84" s="1"/>
  <c r="AL118"/>
  <c r="CS118"/>
  <c r="AK117"/>
  <c r="X117" s="1"/>
  <c r="Y117" s="1"/>
  <c r="D114" i="45" s="1"/>
  <c r="U114" s="1"/>
  <c r="DX117" i="43"/>
  <c r="R117"/>
  <c r="Z117"/>
  <c r="J119"/>
  <c r="K119" s="1"/>
  <c r="BE119" s="1"/>
  <c r="CR118"/>
  <c r="CT118" s="1"/>
  <c r="BD118"/>
  <c r="BF118" s="1"/>
  <c r="DR118"/>
  <c r="BY118"/>
  <c r="CA118" s="1"/>
  <c r="BE118"/>
  <c r="Z114" i="45"/>
  <c r="W115"/>
  <c r="Y115" s="1"/>
  <c r="GY84" i="43"/>
  <c r="GR84"/>
  <c r="GK84"/>
  <c r="FS120"/>
  <c r="T81" i="45" l="1"/>
  <c r="AA81" s="1"/>
  <c r="AB81" s="1"/>
  <c r="EU119" i="43"/>
  <c r="FZ85"/>
  <c r="GC85" s="1"/>
  <c r="DO84"/>
  <c r="DP84" s="1"/>
  <c r="CS119"/>
  <c r="BZ119"/>
  <c r="ED117"/>
  <c r="AA117"/>
  <c r="AK118"/>
  <c r="X118" s="1"/>
  <c r="Y118" s="1"/>
  <c r="D115" i="45" s="1"/>
  <c r="U115" s="1"/>
  <c r="DX118" i="43"/>
  <c r="R118"/>
  <c r="Z118"/>
  <c r="AL119"/>
  <c r="DR119"/>
  <c r="Z119" s="1"/>
  <c r="CR119"/>
  <c r="CT119" s="1"/>
  <c r="BD119"/>
  <c r="BF119" s="1"/>
  <c r="BY119"/>
  <c r="CA119" s="1"/>
  <c r="Z115" i="45"/>
  <c r="W116"/>
  <c r="Y116" s="1"/>
  <c r="J120" i="43"/>
  <c r="K120" s="1"/>
  <c r="FS121"/>
  <c r="GJ85" l="1"/>
  <c r="GL85" s="1"/>
  <c r="BK85" s="1"/>
  <c r="AW82" i="45" s="1"/>
  <c r="AS81"/>
  <c r="EU120" i="43"/>
  <c r="GQ85"/>
  <c r="GS85" s="1"/>
  <c r="CF85" s="1"/>
  <c r="GX85"/>
  <c r="GZ85" s="1"/>
  <c r="CY85" s="1"/>
  <c r="AA119"/>
  <c r="C116" i="45" s="1"/>
  <c r="R119" i="43"/>
  <c r="DX119"/>
  <c r="AK119"/>
  <c r="X119" s="1"/>
  <c r="Y119" s="1"/>
  <c r="D116" i="45" s="1"/>
  <c r="U116" s="1"/>
  <c r="AA118" i="43"/>
  <c r="ED118"/>
  <c r="C114" i="45"/>
  <c r="EE117" i="43"/>
  <c r="Z116" i="45"/>
  <c r="W117"/>
  <c r="Y117" s="1"/>
  <c r="DR120" i="43"/>
  <c r="Z120" s="1"/>
  <c r="CR120"/>
  <c r="BD120"/>
  <c r="BY120"/>
  <c r="AL120"/>
  <c r="BZ120"/>
  <c r="CS120"/>
  <c r="BE120"/>
  <c r="J121"/>
  <c r="K121" s="1"/>
  <c r="GE85"/>
  <c r="AR85" s="1"/>
  <c r="FS122"/>
  <c r="GN86" l="1"/>
  <c r="GM86" s="1"/>
  <c r="GI86" s="1"/>
  <c r="BM85"/>
  <c r="EU121"/>
  <c r="GA85"/>
  <c r="GR85" s="1"/>
  <c r="HB86"/>
  <c r="HA86" s="1"/>
  <c r="GW86" s="1"/>
  <c r="DA85"/>
  <c r="AU82" i="45" s="1"/>
  <c r="GU86" i="43"/>
  <c r="GT86" s="1"/>
  <c r="GP86" s="1"/>
  <c r="AV82" i="45"/>
  <c r="BC82" s="1"/>
  <c r="CH85" i="43"/>
  <c r="EE119"/>
  <c r="EE118"/>
  <c r="C115" i="45"/>
  <c r="ED119" i="43"/>
  <c r="Z117" i="45"/>
  <c r="W118"/>
  <c r="Y118" s="1"/>
  <c r="BZ121" i="43"/>
  <c r="AL121"/>
  <c r="AK120"/>
  <c r="R120"/>
  <c r="CT120"/>
  <c r="BF120"/>
  <c r="CA120"/>
  <c r="AA120"/>
  <c r="C117" i="45" s="1"/>
  <c r="CR121" i="43"/>
  <c r="BD121"/>
  <c r="DR121"/>
  <c r="BY121"/>
  <c r="BE121"/>
  <c r="CS121"/>
  <c r="J122"/>
  <c r="K122" s="1"/>
  <c r="AL122" s="1"/>
  <c r="FS123"/>
  <c r="J123" s="1"/>
  <c r="K123" s="1"/>
  <c r="AT85"/>
  <c r="AT82" i="45"/>
  <c r="AD85" i="43"/>
  <c r="GG86"/>
  <c r="GF86" s="1"/>
  <c r="BE82" i="45"/>
  <c r="GY85" i="43" l="1"/>
  <c r="GD85"/>
  <c r="GK85"/>
  <c r="EU122"/>
  <c r="W119" i="45"/>
  <c r="Y119" s="1"/>
  <c r="Z118"/>
  <c r="CR123" i="43"/>
  <c r="CT123" s="1"/>
  <c r="DR123"/>
  <c r="Z123" s="1"/>
  <c r="BD123"/>
  <c r="BF123" s="1"/>
  <c r="BY123"/>
  <c r="CA123" s="1"/>
  <c r="BZ122"/>
  <c r="CS122"/>
  <c r="BE122"/>
  <c r="BD122"/>
  <c r="BF122" s="1"/>
  <c r="DR122"/>
  <c r="CR122"/>
  <c r="CT122" s="1"/>
  <c r="BY122"/>
  <c r="CA122" s="1"/>
  <c r="X120"/>
  <c r="DX120"/>
  <c r="CT121"/>
  <c r="BF121"/>
  <c r="AK121"/>
  <c r="R121"/>
  <c r="Z121"/>
  <c r="CA121"/>
  <c r="AY82" i="45"/>
  <c r="AE85" i="43"/>
  <c r="EV85" s="1"/>
  <c r="DO85"/>
  <c r="DP85" s="1"/>
  <c r="FS124"/>
  <c r="BE123"/>
  <c r="BZ123"/>
  <c r="CS123"/>
  <c r="GB86"/>
  <c r="FZ86" s="1"/>
  <c r="AL123"/>
  <c r="BA82" i="45"/>
  <c r="EU123" i="43" l="1"/>
  <c r="GJ86"/>
  <c r="GL86" s="1"/>
  <c r="BK86" s="1"/>
  <c r="J124"/>
  <c r="K124" s="1"/>
  <c r="CR124" s="1"/>
  <c r="W120" i="45"/>
  <c r="Y120" s="1"/>
  <c r="Z119"/>
  <c r="Y120" i="43"/>
  <c r="AK123"/>
  <c r="X123" s="1"/>
  <c r="Y123" s="1"/>
  <c r="D120" i="45" s="1"/>
  <c r="U120" s="1"/>
  <c r="DX123" i="43"/>
  <c r="R123"/>
  <c r="AK122"/>
  <c r="X122" s="1"/>
  <c r="Y122" s="1"/>
  <c r="D119" i="45" s="1"/>
  <c r="U119" s="1"/>
  <c r="DX122" i="43"/>
  <c r="R122"/>
  <c r="Z122"/>
  <c r="ED120"/>
  <c r="AA121"/>
  <c r="X121"/>
  <c r="DX121"/>
  <c r="AA123"/>
  <c r="T82" i="45"/>
  <c r="FS125" i="43"/>
  <c r="EU124" l="1"/>
  <c r="AL124"/>
  <c r="CS124"/>
  <c r="BZ124"/>
  <c r="BE124"/>
  <c r="GX86"/>
  <c r="GZ86" s="1"/>
  <c r="GQ86"/>
  <c r="GS86" s="1"/>
  <c r="GC86"/>
  <c r="GE86" s="1"/>
  <c r="AR86" s="1"/>
  <c r="AT83" i="45" s="1"/>
  <c r="BD124" i="43"/>
  <c r="BF124" s="1"/>
  <c r="BY124"/>
  <c r="CA124" s="1"/>
  <c r="DR124"/>
  <c r="Z124" s="1"/>
  <c r="AA124" s="1"/>
  <c r="J125"/>
  <c r="K125" s="1"/>
  <c r="CR125" s="1"/>
  <c r="Z120" i="45"/>
  <c r="W121"/>
  <c r="Y121" s="1"/>
  <c r="EE120" i="43"/>
  <c r="D117" i="45"/>
  <c r="U117" s="1"/>
  <c r="ED123" i="43"/>
  <c r="CT124"/>
  <c r="ED122"/>
  <c r="AA122"/>
  <c r="ED121"/>
  <c r="C118" i="45"/>
  <c r="Y121" i="43"/>
  <c r="FS126"/>
  <c r="AA82" i="45"/>
  <c r="AB82" s="1"/>
  <c r="AS82"/>
  <c r="BM86" i="43"/>
  <c r="AW83" i="45"/>
  <c r="GN87" i="43"/>
  <c r="GM87" s="1"/>
  <c r="EE123"/>
  <c r="C120" i="45"/>
  <c r="EU125" i="43" l="1"/>
  <c r="AK124"/>
  <c r="X124" s="1"/>
  <c r="Y124" s="1"/>
  <c r="D121" i="45" s="1"/>
  <c r="U121" s="1"/>
  <c r="AT86" i="43"/>
  <c r="BE125"/>
  <c r="CY86"/>
  <c r="CF86"/>
  <c r="GA86"/>
  <c r="GK86" s="1"/>
  <c r="GG87"/>
  <c r="GF87" s="1"/>
  <c r="GB87" s="1"/>
  <c r="R124"/>
  <c r="AL125"/>
  <c r="CS125"/>
  <c r="BZ125"/>
  <c r="DR125"/>
  <c r="AK125" s="1"/>
  <c r="BY125"/>
  <c r="CA125" s="1"/>
  <c r="BD125"/>
  <c r="BF125" s="1"/>
  <c r="Z121" i="45"/>
  <c r="W122"/>
  <c r="Y122" s="1"/>
  <c r="CT125" i="43"/>
  <c r="DX124"/>
  <c r="C119" i="45"/>
  <c r="EE122" i="43"/>
  <c r="EE121"/>
  <c r="D118" i="45"/>
  <c r="U118" s="1"/>
  <c r="J126" i="43"/>
  <c r="K126" s="1"/>
  <c r="GI87"/>
  <c r="AY83" i="45"/>
  <c r="FS127" i="43"/>
  <c r="J127" s="1"/>
  <c r="K127" s="1"/>
  <c r="BE83" i="45"/>
  <c r="C121"/>
  <c r="EU126" i="43" l="1"/>
  <c r="R125"/>
  <c r="EE124"/>
  <c r="ED124"/>
  <c r="DA86"/>
  <c r="AU83" i="45" s="1"/>
  <c r="BA83" s="1"/>
  <c r="HB87" i="43"/>
  <c r="HA87" s="1"/>
  <c r="GW87" s="1"/>
  <c r="GU87"/>
  <c r="GT87" s="1"/>
  <c r="GP87" s="1"/>
  <c r="CH86"/>
  <c r="AD86"/>
  <c r="AV83" i="45"/>
  <c r="BC83" s="1"/>
  <c r="GR86" i="43"/>
  <c r="GD86"/>
  <c r="GY86"/>
  <c r="Z125"/>
  <c r="AA125" s="1"/>
  <c r="C122" i="45" s="1"/>
  <c r="W123"/>
  <c r="Y123" s="1"/>
  <c r="Z122"/>
  <c r="AL126" i="43"/>
  <c r="CS126"/>
  <c r="DX125"/>
  <c r="BZ126"/>
  <c r="DR127"/>
  <c r="Z127" s="1"/>
  <c r="CR127"/>
  <c r="CT127" s="1"/>
  <c r="BD127"/>
  <c r="BF127" s="1"/>
  <c r="BY127"/>
  <c r="CA127" s="1"/>
  <c r="CR126"/>
  <c r="BD126"/>
  <c r="DR126"/>
  <c r="BY126"/>
  <c r="BE126"/>
  <c r="X125"/>
  <c r="FS128"/>
  <c r="BZ127"/>
  <c r="BE127"/>
  <c r="CS127"/>
  <c r="AL127"/>
  <c r="EU127" l="1"/>
  <c r="FZ87"/>
  <c r="GJ87" s="1"/>
  <c r="GL87" s="1"/>
  <c r="BK87" s="1"/>
  <c r="AW84" i="45" s="1"/>
  <c r="DO86" i="43"/>
  <c r="DP86" s="1"/>
  <c r="AE86"/>
  <c r="EV86" s="1"/>
  <c r="J128"/>
  <c r="K128" s="1"/>
  <c r="DR128" s="1"/>
  <c r="Z128" s="1"/>
  <c r="Z123" i="45"/>
  <c r="W124"/>
  <c r="Y124" s="1"/>
  <c r="AK127" i="43"/>
  <c r="X127" s="1"/>
  <c r="Y127" s="1"/>
  <c r="D124" i="45" s="1"/>
  <c r="U124" s="1"/>
  <c r="DX127" i="43"/>
  <c r="R127"/>
  <c r="Z126"/>
  <c r="AK126"/>
  <c r="R126"/>
  <c r="CT126"/>
  <c r="CA126"/>
  <c r="BF126"/>
  <c r="Y125"/>
  <c r="ED125"/>
  <c r="FS129"/>
  <c r="AA127"/>
  <c r="CR128" l="1"/>
  <c r="CT128" s="1"/>
  <c r="EU128"/>
  <c r="BZ128"/>
  <c r="GQ87"/>
  <c r="GS87" s="1"/>
  <c r="CF87" s="1"/>
  <c r="BM87"/>
  <c r="GC87"/>
  <c r="GE87" s="1"/>
  <c r="AR87" s="1"/>
  <c r="AT87" s="1"/>
  <c r="ED127"/>
  <c r="GN88"/>
  <c r="GM88" s="1"/>
  <c r="GI88" s="1"/>
  <c r="GX87"/>
  <c r="GZ87" s="1"/>
  <c r="CY87" s="1"/>
  <c r="AL128"/>
  <c r="CS128"/>
  <c r="BE128"/>
  <c r="T83" i="45"/>
  <c r="BY128" i="43"/>
  <c r="CA128" s="1"/>
  <c r="BD128"/>
  <c r="BF128" s="1"/>
  <c r="Z124" i="45"/>
  <c r="W125"/>
  <c r="Y125" s="1"/>
  <c r="AA126" i="43"/>
  <c r="AK128"/>
  <c r="R128"/>
  <c r="X126"/>
  <c r="DX126"/>
  <c r="D122" i="45"/>
  <c r="U122" s="1"/>
  <c r="EE125" i="43"/>
  <c r="J129"/>
  <c r="K129" s="1"/>
  <c r="BE84" i="45"/>
  <c r="FS130" i="43"/>
  <c r="AA128"/>
  <c r="C124" i="45"/>
  <c r="EE127" i="43"/>
  <c r="EU129" l="1"/>
  <c r="GG88"/>
  <c r="GF88" s="1"/>
  <c r="GB88" s="1"/>
  <c r="AT84" i="45"/>
  <c r="AY84" s="1"/>
  <c r="GA87" i="43"/>
  <c r="GY87" s="1"/>
  <c r="DX128"/>
  <c r="DA87"/>
  <c r="AU84" i="45" s="1"/>
  <c r="BA84" s="1"/>
  <c r="HB88" i="43"/>
  <c r="HA88" s="1"/>
  <c r="GW88" s="1"/>
  <c r="GU88"/>
  <c r="GT88" s="1"/>
  <c r="GP88" s="1"/>
  <c r="AV84" i="45"/>
  <c r="BC84" s="1"/>
  <c r="AD87" i="43"/>
  <c r="AE87" s="1"/>
  <c r="EV87" s="1"/>
  <c r="CH87"/>
  <c r="AS83" i="45"/>
  <c r="AA83"/>
  <c r="AB83" s="1"/>
  <c r="X128" i="43"/>
  <c r="Y128" s="1"/>
  <c r="D125" i="45" s="1"/>
  <c r="U125" s="1"/>
  <c r="W126"/>
  <c r="Y126" s="1"/>
  <c r="Z125"/>
  <c r="C123"/>
  <c r="BZ129" i="43"/>
  <c r="BE129"/>
  <c r="AL129"/>
  <c r="CS129"/>
  <c r="CR129"/>
  <c r="BD129"/>
  <c r="DR129"/>
  <c r="BY129"/>
  <c r="Y126"/>
  <c r="ED126"/>
  <c r="J130"/>
  <c r="K130" s="1"/>
  <c r="BZ130" s="1"/>
  <c r="C125" i="45"/>
  <c r="FS131" i="43"/>
  <c r="J131" s="1"/>
  <c r="K131" s="1"/>
  <c r="GD87" l="1"/>
  <c r="EU130"/>
  <c r="ED128"/>
  <c r="DO87"/>
  <c r="DP87" s="1"/>
  <c r="GK87"/>
  <c r="GR87"/>
  <c r="FZ88"/>
  <c r="GX88" s="1"/>
  <c r="GZ88" s="1"/>
  <c r="EE128"/>
  <c r="AL130"/>
  <c r="Z126" i="45"/>
  <c r="W127"/>
  <c r="Y127" s="1"/>
  <c r="DR131" i="43"/>
  <c r="Z131" s="1"/>
  <c r="BD131"/>
  <c r="BF131" s="1"/>
  <c r="CR131"/>
  <c r="CT131" s="1"/>
  <c r="BY131"/>
  <c r="CA131" s="1"/>
  <c r="CR130"/>
  <c r="CT130" s="1"/>
  <c r="BD130"/>
  <c r="BF130" s="1"/>
  <c r="DR130"/>
  <c r="BY130"/>
  <c r="CA130" s="1"/>
  <c r="CS130"/>
  <c r="BE130"/>
  <c r="AK129"/>
  <c r="R129"/>
  <c r="Z129"/>
  <c r="CT129"/>
  <c r="CA129"/>
  <c r="BF129"/>
  <c r="D123" i="45"/>
  <c r="U123" s="1"/>
  <c r="EE126" i="43"/>
  <c r="T84" i="45"/>
  <c r="FS132" i="43"/>
  <c r="CS131"/>
  <c r="BE131"/>
  <c r="BZ131"/>
  <c r="AL131"/>
  <c r="EU131" l="1"/>
  <c r="GJ88"/>
  <c r="GL88" s="1"/>
  <c r="BK88" s="1"/>
  <c r="BM88" s="1"/>
  <c r="CY88"/>
  <c r="GC88"/>
  <c r="GE88" s="1"/>
  <c r="AR88" s="1"/>
  <c r="AT85" i="45" s="1"/>
  <c r="GQ88" i="43"/>
  <c r="GS88" s="1"/>
  <c r="W128" i="45"/>
  <c r="Z127"/>
  <c r="AK131" i="43"/>
  <c r="X131" s="1"/>
  <c r="Y131" s="1"/>
  <c r="D128" i="45" s="1"/>
  <c r="U128" s="1"/>
  <c r="DX131" i="43"/>
  <c r="R131"/>
  <c r="AK130"/>
  <c r="X130" s="1"/>
  <c r="Y130" s="1"/>
  <c r="D127" i="45" s="1"/>
  <c r="U127" s="1"/>
  <c r="DX130" i="43"/>
  <c r="R130"/>
  <c r="Z130"/>
  <c r="AA129"/>
  <c r="X129"/>
  <c r="DX129"/>
  <c r="J132"/>
  <c r="K132" s="1"/>
  <c r="FS133"/>
  <c r="AA84" i="45"/>
  <c r="AB84" s="1"/>
  <c r="AS84"/>
  <c r="AA131" i="43"/>
  <c r="GN89" l="1"/>
  <c r="GM89" s="1"/>
  <c r="GI89" s="1"/>
  <c r="AW85" i="45"/>
  <c r="BE85" s="1"/>
  <c r="EU132" i="43"/>
  <c r="DA88"/>
  <c r="AU85" i="45" s="1"/>
  <c r="BA85" s="1"/>
  <c r="HB89" i="43"/>
  <c r="HA89" s="1"/>
  <c r="GW89" s="1"/>
  <c r="GA88"/>
  <c r="GK88" s="1"/>
  <c r="CF88"/>
  <c r="GG89"/>
  <c r="GF89" s="1"/>
  <c r="GB89" s="1"/>
  <c r="AT88"/>
  <c r="Y128" i="45"/>
  <c r="Z128" s="1"/>
  <c r="ED131" i="43"/>
  <c r="AL132"/>
  <c r="BE132"/>
  <c r="BZ132"/>
  <c r="CS132"/>
  <c r="BD132"/>
  <c r="CR132"/>
  <c r="DR132"/>
  <c r="BY132"/>
  <c r="ED130"/>
  <c r="AA130"/>
  <c r="C126" i="45"/>
  <c r="Y129" i="43"/>
  <c r="ED129"/>
  <c r="J133"/>
  <c r="K133" s="1"/>
  <c r="AL133" s="1"/>
  <c r="EE131"/>
  <c r="C128" i="45"/>
  <c r="AY85"/>
  <c r="FS134" i="43"/>
  <c r="EU133" l="1"/>
  <c r="GR88"/>
  <c r="GY88"/>
  <c r="GD88"/>
  <c r="GU89"/>
  <c r="GT89" s="1"/>
  <c r="GP89" s="1"/>
  <c r="FZ89" s="1"/>
  <c r="AV85" i="45"/>
  <c r="BC85" s="1"/>
  <c r="AD88" i="43"/>
  <c r="CH88"/>
  <c r="J134"/>
  <c r="K134" s="1"/>
  <c r="BD134" s="1"/>
  <c r="BF134" s="1"/>
  <c r="BE133"/>
  <c r="BZ133"/>
  <c r="CS133"/>
  <c r="BD133"/>
  <c r="BF133" s="1"/>
  <c r="DR133"/>
  <c r="CR133"/>
  <c r="CT133" s="1"/>
  <c r="BY133"/>
  <c r="CA133" s="1"/>
  <c r="AK132"/>
  <c r="R132"/>
  <c r="Z132"/>
  <c r="BF132"/>
  <c r="CA132"/>
  <c r="CT132"/>
  <c r="EE130"/>
  <c r="C127" i="45"/>
  <c r="D126"/>
  <c r="U126" s="1"/>
  <c r="EE129" i="43"/>
  <c r="FS135"/>
  <c r="J135" s="1"/>
  <c r="K135" s="1"/>
  <c r="AL134" l="1"/>
  <c r="EU134"/>
  <c r="BE134"/>
  <c r="CS134"/>
  <c r="BZ134"/>
  <c r="DO88"/>
  <c r="DP88" s="1"/>
  <c r="AE88"/>
  <c r="EV88" s="1"/>
  <c r="BY134"/>
  <c r="CA134" s="1"/>
  <c r="CR134"/>
  <c r="CT134" s="1"/>
  <c r="DR134"/>
  <c r="Z134" s="1"/>
  <c r="AA134" s="1"/>
  <c r="CR135"/>
  <c r="BD135"/>
  <c r="DR135"/>
  <c r="BY135"/>
  <c r="AK133"/>
  <c r="X133" s="1"/>
  <c r="Y133" s="1"/>
  <c r="D130" i="45" s="1"/>
  <c r="U130" s="1"/>
  <c r="DX133" i="43"/>
  <c r="R133"/>
  <c r="Z133"/>
  <c r="AA132"/>
  <c r="X132"/>
  <c r="DX132"/>
  <c r="FS136"/>
  <c r="BZ135"/>
  <c r="CS135"/>
  <c r="BE135"/>
  <c r="AL135"/>
  <c r="GX89"/>
  <c r="GZ89" s="1"/>
  <c r="GQ89"/>
  <c r="GS89" s="1"/>
  <c r="GJ89"/>
  <c r="GL89" s="1"/>
  <c r="BK89" s="1"/>
  <c r="GC89"/>
  <c r="EU135" l="1"/>
  <c r="CY89"/>
  <c r="T85" i="45"/>
  <c r="CF89" i="43"/>
  <c r="R134"/>
  <c r="DX134"/>
  <c r="AK134"/>
  <c r="X134" s="1"/>
  <c r="Y134" s="1"/>
  <c r="D131" i="45" s="1"/>
  <c r="U131" s="1"/>
  <c r="Z135" i="43"/>
  <c r="AA135" s="1"/>
  <c r="AK135"/>
  <c r="R135"/>
  <c r="CT135"/>
  <c r="CA135"/>
  <c r="BF135"/>
  <c r="AA133"/>
  <c r="ED133"/>
  <c r="ED132"/>
  <c r="Y132"/>
  <c r="C129" i="45"/>
  <c r="J136" i="43"/>
  <c r="K136" s="1"/>
  <c r="BM89"/>
  <c r="C131" i="45"/>
  <c r="AW86"/>
  <c r="GN90" i="43"/>
  <c r="GM90" s="1"/>
  <c r="FS137"/>
  <c r="GA89"/>
  <c r="GE89"/>
  <c r="AR89" s="1"/>
  <c r="EU136" l="1"/>
  <c r="EE134"/>
  <c r="DA89"/>
  <c r="AU86" i="45" s="1"/>
  <c r="BA86" s="1"/>
  <c r="HB90" i="43"/>
  <c r="HA90" s="1"/>
  <c r="GW90" s="1"/>
  <c r="GU90"/>
  <c r="GT90" s="1"/>
  <c r="GP90" s="1"/>
  <c r="CH89"/>
  <c r="AV86" i="45"/>
  <c r="BC86" s="1"/>
  <c r="AA85"/>
  <c r="AB85" s="1"/>
  <c r="AS85"/>
  <c r="ED134" i="43"/>
  <c r="BE136"/>
  <c r="BZ136"/>
  <c r="AL136"/>
  <c r="CS136"/>
  <c r="BD136"/>
  <c r="DR136"/>
  <c r="CR136"/>
  <c r="BY136"/>
  <c r="X135"/>
  <c r="DX135"/>
  <c r="EE133"/>
  <c r="C130" i="45"/>
  <c r="EE132" i="43"/>
  <c r="D129" i="45"/>
  <c r="U129" s="1"/>
  <c r="J137" i="43"/>
  <c r="K137" s="1"/>
  <c r="BZ137" s="1"/>
  <c r="AT89"/>
  <c r="AT86" i="45"/>
  <c r="AD89" i="43"/>
  <c r="GG90"/>
  <c r="GF90" s="1"/>
  <c r="GB90" s="1"/>
  <c r="C132" i="45"/>
  <c r="BE86"/>
  <c r="FS138" i="43"/>
  <c r="GI90"/>
  <c r="GR89"/>
  <c r="GK89"/>
  <c r="GD89"/>
  <c r="GY89"/>
  <c r="EU137" l="1"/>
  <c r="FZ90"/>
  <c r="AL137"/>
  <c r="BE137"/>
  <c r="CS137"/>
  <c r="DR137"/>
  <c r="BD137"/>
  <c r="BF137" s="1"/>
  <c r="CR137"/>
  <c r="CT137" s="1"/>
  <c r="BY137"/>
  <c r="CA137" s="1"/>
  <c r="CT136"/>
  <c r="BF136"/>
  <c r="CA136"/>
  <c r="AK136"/>
  <c r="R136"/>
  <c r="Z136"/>
  <c r="Y135"/>
  <c r="ED135"/>
  <c r="J138"/>
  <c r="K138" s="1"/>
  <c r="BZ138" s="1"/>
  <c r="FS139"/>
  <c r="AY86" i="45"/>
  <c r="DO89" i="43"/>
  <c r="DP89" s="1"/>
  <c r="AE89"/>
  <c r="EV89" s="1"/>
  <c r="EU138" l="1"/>
  <c r="AL138"/>
  <c r="CS138"/>
  <c r="BE138"/>
  <c r="CR138"/>
  <c r="BY138"/>
  <c r="DR138"/>
  <c r="BD138"/>
  <c r="AK137"/>
  <c r="X137" s="1"/>
  <c r="Y137" s="1"/>
  <c r="D134" i="45" s="1"/>
  <c r="U134" s="1"/>
  <c r="DX137" i="43"/>
  <c r="R137"/>
  <c r="Z137"/>
  <c r="DX136"/>
  <c r="X136"/>
  <c r="AA136"/>
  <c r="D132" i="45"/>
  <c r="U132" s="1"/>
  <c r="EE135" i="43"/>
  <c r="J139"/>
  <c r="K139" s="1"/>
  <c r="T86" i="45"/>
  <c r="FS140" i="43"/>
  <c r="GC90"/>
  <c r="GX90"/>
  <c r="GZ90" s="1"/>
  <c r="GQ90"/>
  <c r="GS90" s="1"/>
  <c r="GJ90"/>
  <c r="GL90" s="1"/>
  <c r="BK90" s="1"/>
  <c r="EU139" l="1"/>
  <c r="CY90"/>
  <c r="CF90"/>
  <c r="CS139"/>
  <c r="AL139"/>
  <c r="BZ139"/>
  <c r="BE139"/>
  <c r="DR139"/>
  <c r="BD139"/>
  <c r="BF139" s="1"/>
  <c r="CR139"/>
  <c r="BY139"/>
  <c r="CA139" s="1"/>
  <c r="AK138"/>
  <c r="R138"/>
  <c r="Z138"/>
  <c r="CT138"/>
  <c r="BF138"/>
  <c r="CA138"/>
  <c r="ED136"/>
  <c r="AA137"/>
  <c r="ED137"/>
  <c r="C133" i="45"/>
  <c r="Y136" i="43"/>
  <c r="J140"/>
  <c r="K140" s="1"/>
  <c r="BM90"/>
  <c r="AS86" i="45"/>
  <c r="AA86"/>
  <c r="AB86" s="1"/>
  <c r="FS141" i="43"/>
  <c r="J141" s="1"/>
  <c r="K141" s="1"/>
  <c r="AW87" i="45"/>
  <c r="GN91" i="43"/>
  <c r="GM91" s="1"/>
  <c r="GE90"/>
  <c r="AR90" s="1"/>
  <c r="GA90"/>
  <c r="EU140" l="1"/>
  <c r="DA90"/>
  <c r="AU87" i="45" s="1"/>
  <c r="BA87" s="1"/>
  <c r="HB91" i="43"/>
  <c r="HA91" s="1"/>
  <c r="GW91" s="1"/>
  <c r="GU91"/>
  <c r="GT91" s="1"/>
  <c r="GP91" s="1"/>
  <c r="AV87" i="45"/>
  <c r="BC87" s="1"/>
  <c r="CH90" i="43"/>
  <c r="CR141"/>
  <c r="CT141" s="1"/>
  <c r="BD141"/>
  <c r="BF141" s="1"/>
  <c r="DR141"/>
  <c r="Z141" s="1"/>
  <c r="BY141"/>
  <c r="CA141" s="1"/>
  <c r="CS140"/>
  <c r="BZ140"/>
  <c r="BE140"/>
  <c r="AL140"/>
  <c r="CR140"/>
  <c r="DR140"/>
  <c r="BD140"/>
  <c r="BY140"/>
  <c r="CT139"/>
  <c r="DX139" s="1"/>
  <c r="AK139"/>
  <c r="R139"/>
  <c r="Z139"/>
  <c r="DX138"/>
  <c r="X138"/>
  <c r="AA138"/>
  <c r="EE137"/>
  <c r="C134" i="45"/>
  <c r="EE136" i="43"/>
  <c r="D133" i="45"/>
  <c r="U133" s="1"/>
  <c r="AT90" i="43"/>
  <c r="BE87" i="45"/>
  <c r="AT87"/>
  <c r="AD90" i="43"/>
  <c r="GG91"/>
  <c r="GF91" s="1"/>
  <c r="GK90"/>
  <c r="GD90"/>
  <c r="GY90"/>
  <c r="GR90"/>
  <c r="GI91"/>
  <c r="FS142"/>
  <c r="CS141"/>
  <c r="BE141"/>
  <c r="BZ141"/>
  <c r="AL141"/>
  <c r="EU141" l="1"/>
  <c r="AK141"/>
  <c r="X141" s="1"/>
  <c r="Y141" s="1"/>
  <c r="D138" i="45" s="1"/>
  <c r="U138" s="1"/>
  <c r="DX141" i="43"/>
  <c r="R141"/>
  <c r="CA140"/>
  <c r="AK140"/>
  <c r="X140" s="1"/>
  <c r="Y140" s="1"/>
  <c r="D137" i="45" s="1"/>
  <c r="U137" s="1"/>
  <c r="R140" i="43"/>
  <c r="Z140"/>
  <c r="BF140"/>
  <c r="CT140"/>
  <c r="X139"/>
  <c r="Y139" s="1"/>
  <c r="D136" i="45" s="1"/>
  <c r="U136" s="1"/>
  <c r="ED138" i="43"/>
  <c r="AA139"/>
  <c r="Y138"/>
  <c r="C135" i="45"/>
  <c r="J142" i="43"/>
  <c r="K142" s="1"/>
  <c r="AY87" i="45"/>
  <c r="AE90" i="43"/>
  <c r="EV90" s="1"/>
  <c r="DO90"/>
  <c r="DP90" s="1"/>
  <c r="GB91"/>
  <c r="FZ91" s="1"/>
  <c r="AA141"/>
  <c r="FS143"/>
  <c r="J143" s="1"/>
  <c r="K143" s="1"/>
  <c r="EU142" l="1"/>
  <c r="ED141"/>
  <c r="ED139"/>
  <c r="CR143"/>
  <c r="CT143" s="1"/>
  <c r="BD143"/>
  <c r="BF143" s="1"/>
  <c r="DR143"/>
  <c r="Z143" s="1"/>
  <c r="BY143"/>
  <c r="AL142"/>
  <c r="BZ142"/>
  <c r="BD142"/>
  <c r="DR142"/>
  <c r="CR142"/>
  <c r="BY142"/>
  <c r="BE142"/>
  <c r="CS142"/>
  <c r="AA140"/>
  <c r="ED140"/>
  <c r="DX140"/>
  <c r="EE139"/>
  <c r="C136" i="45"/>
  <c r="EE138" i="43"/>
  <c r="D135" i="45"/>
  <c r="U135" s="1"/>
  <c r="T87"/>
  <c r="C138"/>
  <c r="EE141" i="43"/>
  <c r="FS144"/>
  <c r="CS143"/>
  <c r="BE143"/>
  <c r="BZ143"/>
  <c r="GX91"/>
  <c r="GZ91" s="1"/>
  <c r="GJ91"/>
  <c r="GL91" s="1"/>
  <c r="BK91" s="1"/>
  <c r="GQ91"/>
  <c r="GS91" s="1"/>
  <c r="AL143"/>
  <c r="GC91"/>
  <c r="EU143" l="1"/>
  <c r="CY91"/>
  <c r="CF91"/>
  <c r="AK143"/>
  <c r="X143" s="1"/>
  <c r="R143"/>
  <c r="CA143"/>
  <c r="DX143" s="1"/>
  <c r="CT142"/>
  <c r="BF142"/>
  <c r="CA142"/>
  <c r="AK142"/>
  <c r="R142"/>
  <c r="Z142"/>
  <c r="EE140"/>
  <c r="C137" i="45"/>
  <c r="J144" i="43"/>
  <c r="K144" s="1"/>
  <c r="BM91"/>
  <c r="AS87" i="45"/>
  <c r="AA87"/>
  <c r="AB87" s="1"/>
  <c r="AW88"/>
  <c r="GN92" i="43"/>
  <c r="GM92" s="1"/>
  <c r="AA143"/>
  <c r="GE91"/>
  <c r="AR91" s="1"/>
  <c r="GA91"/>
  <c r="FS145"/>
  <c r="J145" s="1"/>
  <c r="K145" s="1"/>
  <c r="EU144" l="1"/>
  <c r="DA91"/>
  <c r="AU88" i="45" s="1"/>
  <c r="BA88" s="1"/>
  <c r="HB92" i="43"/>
  <c r="HA92" s="1"/>
  <c r="GW92" s="1"/>
  <c r="GU92"/>
  <c r="GT92" s="1"/>
  <c r="GP92" s="1"/>
  <c r="AV88" i="45"/>
  <c r="BC88" s="1"/>
  <c r="CH91" i="43"/>
  <c r="CS144"/>
  <c r="BZ144"/>
  <c r="BE144"/>
  <c r="AL144"/>
  <c r="BD145"/>
  <c r="BF145" s="1"/>
  <c r="CR145"/>
  <c r="CT145" s="1"/>
  <c r="DR145"/>
  <c r="Z145" s="1"/>
  <c r="BY145"/>
  <c r="CA145" s="1"/>
  <c r="DR144"/>
  <c r="CR144"/>
  <c r="BD144"/>
  <c r="BY144"/>
  <c r="Y143"/>
  <c r="D140" i="45" s="1"/>
  <c r="U140" s="1"/>
  <c r="ED143" i="43"/>
  <c r="DX142"/>
  <c r="AA142"/>
  <c r="X142"/>
  <c r="AT91"/>
  <c r="BE88" i="45"/>
  <c r="C140"/>
  <c r="FS146" i="43"/>
  <c r="CS145"/>
  <c r="BZ145"/>
  <c r="BE145"/>
  <c r="AL145"/>
  <c r="AT88" i="45"/>
  <c r="AD91" i="43"/>
  <c r="GG92"/>
  <c r="GF92" s="1"/>
  <c r="GR91"/>
  <c r="GY91"/>
  <c r="GK91"/>
  <c r="GD91"/>
  <c r="GI92"/>
  <c r="EU145" l="1"/>
  <c r="EE143"/>
  <c r="AK145"/>
  <c r="X145" s="1"/>
  <c r="Y145" s="1"/>
  <c r="D142" i="45" s="1"/>
  <c r="U142" s="1"/>
  <c r="R145" i="43"/>
  <c r="DX145"/>
  <c r="BF144"/>
  <c r="AK144"/>
  <c r="R144"/>
  <c r="Z144"/>
  <c r="CA144"/>
  <c r="CT144"/>
  <c r="C139" i="45"/>
  <c r="Y142" i="43"/>
  <c r="ED142"/>
  <c r="J146"/>
  <c r="K146" s="1"/>
  <c r="AY88" i="45"/>
  <c r="GB92" i="43"/>
  <c r="FZ92" s="1"/>
  <c r="AA145"/>
  <c r="FS147"/>
  <c r="DO91"/>
  <c r="DP91" s="1"/>
  <c r="AE91"/>
  <c r="EV91" s="1"/>
  <c r="EU146" l="1"/>
  <c r="BZ146"/>
  <c r="CS146"/>
  <c r="CR146"/>
  <c r="DR146"/>
  <c r="BD146"/>
  <c r="BY146"/>
  <c r="AL146"/>
  <c r="BE146"/>
  <c r="ED145"/>
  <c r="AA144"/>
  <c r="X144"/>
  <c r="DX144"/>
  <c r="EE142"/>
  <c r="D139" i="45"/>
  <c r="U139" s="1"/>
  <c r="J147" i="43"/>
  <c r="K147" s="1"/>
  <c r="T88" i="45"/>
  <c r="EE145" i="43"/>
  <c r="C142" i="45"/>
  <c r="GX92" i="43"/>
  <c r="GZ92" s="1"/>
  <c r="GQ92"/>
  <c r="GS92" s="1"/>
  <c r="GJ92"/>
  <c r="GL92" s="1"/>
  <c r="BK92" s="1"/>
  <c r="FS148"/>
  <c r="GC92"/>
  <c r="EU147" l="1"/>
  <c r="CY92"/>
  <c r="CF92"/>
  <c r="AL147"/>
  <c r="BZ147"/>
  <c r="CS147"/>
  <c r="BE147"/>
  <c r="BD147"/>
  <c r="BF147" s="1"/>
  <c r="CR147"/>
  <c r="CT147" s="1"/>
  <c r="DR147"/>
  <c r="BY147"/>
  <c r="CA147" s="1"/>
  <c r="Z146"/>
  <c r="BF146"/>
  <c r="CT146"/>
  <c r="CA146"/>
  <c r="AK146"/>
  <c r="R146"/>
  <c r="ED144"/>
  <c r="Y144"/>
  <c r="C141" i="45"/>
  <c r="J148" i="43"/>
  <c r="K148" s="1"/>
  <c r="BE148" s="1"/>
  <c r="BM92"/>
  <c r="AS88" i="45"/>
  <c r="AA88"/>
  <c r="AB88" s="1"/>
  <c r="GE92" i="43"/>
  <c r="AR92" s="1"/>
  <c r="GA92"/>
  <c r="AW89" i="45"/>
  <c r="GN93" i="43"/>
  <c r="GM93" s="1"/>
  <c r="FS149"/>
  <c r="EU148" l="1"/>
  <c r="HB93"/>
  <c r="HA93" s="1"/>
  <c r="GW93" s="1"/>
  <c r="DA92"/>
  <c r="AU89" i="45" s="1"/>
  <c r="GU93" i="43"/>
  <c r="GT93" s="1"/>
  <c r="GP93" s="1"/>
  <c r="CH92"/>
  <c r="AV89" i="45"/>
  <c r="BC89" s="1"/>
  <c r="AA146" i="43"/>
  <c r="CS148"/>
  <c r="AL148"/>
  <c r="BZ148"/>
  <c r="DR148"/>
  <c r="CR148"/>
  <c r="BD148"/>
  <c r="BY148"/>
  <c r="EE144"/>
  <c r="DX146"/>
  <c r="AK147"/>
  <c r="X147" s="1"/>
  <c r="Y147" s="1"/>
  <c r="D144" i="45" s="1"/>
  <c r="U144" s="1"/>
  <c r="R147" i="43"/>
  <c r="Z147"/>
  <c r="DX147"/>
  <c r="X146"/>
  <c r="D141" i="45"/>
  <c r="U141" s="1"/>
  <c r="J149" i="43"/>
  <c r="K149" s="1"/>
  <c r="BZ149" s="1"/>
  <c r="BE89" i="45"/>
  <c r="AT92" i="43"/>
  <c r="FS150"/>
  <c r="GI93"/>
  <c r="AT89" i="45"/>
  <c r="AD92" i="43"/>
  <c r="GG93"/>
  <c r="GF93" s="1"/>
  <c r="GK92"/>
  <c r="GY92"/>
  <c r="GR92"/>
  <c r="GD92"/>
  <c r="BE149" l="1"/>
  <c r="CR149"/>
  <c r="CT149" s="1"/>
  <c r="DR149"/>
  <c r="Z149" s="1"/>
  <c r="AA149" s="1"/>
  <c r="BD149"/>
  <c r="BY149"/>
  <c r="CA149" s="1"/>
  <c r="AL149"/>
  <c r="CS149"/>
  <c r="C143" i="45"/>
  <c r="BF148" i="43"/>
  <c r="AK148"/>
  <c r="R148"/>
  <c r="Z148"/>
  <c r="CA148"/>
  <c r="CT148"/>
  <c r="ED147"/>
  <c r="AA147"/>
  <c r="Y146"/>
  <c r="ED146"/>
  <c r="J150"/>
  <c r="K150" s="1"/>
  <c r="BE150" s="1"/>
  <c r="AY89" i="45"/>
  <c r="BA89"/>
  <c r="DO92" i="43"/>
  <c r="DP92" s="1"/>
  <c r="AE92"/>
  <c r="EV92" s="1"/>
  <c r="GB93"/>
  <c r="FZ93" s="1"/>
  <c r="FS151"/>
  <c r="J151" s="1"/>
  <c r="K151" s="1"/>
  <c r="GC93" l="1"/>
  <c r="GE93" s="1"/>
  <c r="AR93" s="1"/>
  <c r="AL150"/>
  <c r="CS150"/>
  <c r="BD151"/>
  <c r="BF151" s="1"/>
  <c r="DR151"/>
  <c r="Z151" s="1"/>
  <c r="CR151"/>
  <c r="CT151" s="1"/>
  <c r="BY151"/>
  <c r="CA151" s="1"/>
  <c r="BZ150"/>
  <c r="DR150"/>
  <c r="CR150"/>
  <c r="BD150"/>
  <c r="BY150"/>
  <c r="BF149"/>
  <c r="AK149"/>
  <c r="X149" s="1"/>
  <c r="R149"/>
  <c r="DX148"/>
  <c r="AA148"/>
  <c r="X148"/>
  <c r="C144" i="45"/>
  <c r="EE147" i="43"/>
  <c r="D143" i="45"/>
  <c r="U143" s="1"/>
  <c r="EE146" i="43"/>
  <c r="T89" i="45"/>
  <c r="C146"/>
  <c r="AL151" i="43"/>
  <c r="GX93"/>
  <c r="GZ93" s="1"/>
  <c r="GQ93"/>
  <c r="GS93" s="1"/>
  <c r="GJ93"/>
  <c r="GL93" s="1"/>
  <c r="BK93" s="1"/>
  <c r="FS152"/>
  <c r="J152" s="1"/>
  <c r="K152" s="1"/>
  <c r="CS151"/>
  <c r="BZ151"/>
  <c r="BE151"/>
  <c r="CY93" l="1"/>
  <c r="CF93"/>
  <c r="DX149"/>
  <c r="DR152"/>
  <c r="CR152"/>
  <c r="BD152"/>
  <c r="BY152"/>
  <c r="DX151"/>
  <c r="AK151"/>
  <c r="X151" s="1"/>
  <c r="Y151" s="1"/>
  <c r="D148" i="45" s="1"/>
  <c r="U148" s="1"/>
  <c r="R151" i="43"/>
  <c r="BF150"/>
  <c r="AK150"/>
  <c r="R150"/>
  <c r="Z150"/>
  <c r="CA150"/>
  <c r="CT150"/>
  <c r="Y149"/>
  <c r="ED149"/>
  <c r="Y148"/>
  <c r="ED148"/>
  <c r="C145" i="45"/>
  <c r="AS89"/>
  <c r="BM93" i="43"/>
  <c r="AT93"/>
  <c r="AA89" i="45"/>
  <c r="AB89" s="1"/>
  <c r="GA93" i="43"/>
  <c r="GR93" s="1"/>
  <c r="AT90" i="45"/>
  <c r="GG94" i="43"/>
  <c r="GF94" s="1"/>
  <c r="GB94" s="1"/>
  <c r="AW90" i="45"/>
  <c r="GN94" i="43"/>
  <c r="GM94" s="1"/>
  <c r="AA151"/>
  <c r="FS153"/>
  <c r="CS152"/>
  <c r="BZ152"/>
  <c r="BE152"/>
  <c r="Z152"/>
  <c r="AL152"/>
  <c r="HB94" l="1"/>
  <c r="HA94" s="1"/>
  <c r="GW94" s="1"/>
  <c r="DA93"/>
  <c r="AU90" i="45" s="1"/>
  <c r="GU94" i="43"/>
  <c r="GT94" s="1"/>
  <c r="GP94" s="1"/>
  <c r="CH93"/>
  <c r="AD93"/>
  <c r="DO93" s="1"/>
  <c r="DP93" s="1"/>
  <c r="AV90" i="45"/>
  <c r="BC90" s="1"/>
  <c r="ED151" i="43"/>
  <c r="CA152"/>
  <c r="CT152"/>
  <c r="BF152"/>
  <c r="AK152"/>
  <c r="R152"/>
  <c r="EE148"/>
  <c r="X150"/>
  <c r="AA150"/>
  <c r="DX150"/>
  <c r="D146" i="45"/>
  <c r="U146" s="1"/>
  <c r="EE149" i="43"/>
  <c r="D145" i="45"/>
  <c r="U145" s="1"/>
  <c r="J153" i="43"/>
  <c r="K153" s="1"/>
  <c r="GD93"/>
  <c r="BE90" i="45"/>
  <c r="AY90"/>
  <c r="GK93" i="43"/>
  <c r="GY93"/>
  <c r="EE151"/>
  <c r="C148" i="45"/>
  <c r="GI94" i="43"/>
  <c r="AA152"/>
  <c r="FS154"/>
  <c r="AE93" l="1"/>
  <c r="EV93" s="1"/>
  <c r="FZ94"/>
  <c r="GC94" s="1"/>
  <c r="J154"/>
  <c r="K154" s="1"/>
  <c r="CR154" s="1"/>
  <c r="CT154" s="1"/>
  <c r="DX152"/>
  <c r="AL153"/>
  <c r="BE153"/>
  <c r="BD153"/>
  <c r="DR153"/>
  <c r="CR153"/>
  <c r="BY153"/>
  <c r="BZ153"/>
  <c r="CS153"/>
  <c r="X152"/>
  <c r="ED150"/>
  <c r="C147" i="45"/>
  <c r="Y150" i="43"/>
  <c r="BA90" i="45"/>
  <c r="FS155" i="43"/>
  <c r="C149" i="45"/>
  <c r="T90" l="1"/>
  <c r="AA90" s="1"/>
  <c r="AB90" s="1"/>
  <c r="BE154" i="43"/>
  <c r="AL154"/>
  <c r="BZ154"/>
  <c r="CS154"/>
  <c r="DR154"/>
  <c r="Z154" s="1"/>
  <c r="AA154" s="1"/>
  <c r="BD154"/>
  <c r="BF154" s="1"/>
  <c r="BY154"/>
  <c r="CA154" s="1"/>
  <c r="J155"/>
  <c r="K155" s="1"/>
  <c r="CR155" s="1"/>
  <c r="CT155" s="1"/>
  <c r="CT153"/>
  <c r="BF153"/>
  <c r="CA153"/>
  <c r="AK153"/>
  <c r="R153"/>
  <c r="Z153"/>
  <c r="Y152"/>
  <c r="ED152"/>
  <c r="D147" i="45"/>
  <c r="U147" s="1"/>
  <c r="EE150" i="43"/>
  <c r="GQ94"/>
  <c r="GS94" s="1"/>
  <c r="GJ94"/>
  <c r="GL94" s="1"/>
  <c r="BK94" s="1"/>
  <c r="GX94"/>
  <c r="GZ94" s="1"/>
  <c r="FS156"/>
  <c r="FS157" s="1"/>
  <c r="FS158" s="1"/>
  <c r="FS159" s="1"/>
  <c r="FS160" s="1"/>
  <c r="FS161" s="1"/>
  <c r="FS162" s="1"/>
  <c r="FS163" s="1"/>
  <c r="FS164" s="1"/>
  <c r="FS165" s="1"/>
  <c r="FS166" s="1"/>
  <c r="FS167" s="1"/>
  <c r="FS168" s="1"/>
  <c r="FS169" s="1"/>
  <c r="FS170" s="1"/>
  <c r="FS171" s="1"/>
  <c r="FS172" s="1"/>
  <c r="FS173" s="1"/>
  <c r="FS174" s="1"/>
  <c r="FS175" s="1"/>
  <c r="FS176" s="1"/>
  <c r="FS177" s="1"/>
  <c r="FS178" s="1"/>
  <c r="FS179" s="1"/>
  <c r="FS180" s="1"/>
  <c r="FS181" s="1"/>
  <c r="FS182" s="1"/>
  <c r="FS183" s="1"/>
  <c r="FS184" s="1"/>
  <c r="FS185" s="1"/>
  <c r="FS186" s="1"/>
  <c r="FS187" s="1"/>
  <c r="FS188" s="1"/>
  <c r="FS189" s="1"/>
  <c r="FS190" s="1"/>
  <c r="FS191" s="1"/>
  <c r="FS192" s="1"/>
  <c r="FS193" s="1"/>
  <c r="FS194" s="1"/>
  <c r="FS195" s="1"/>
  <c r="FS196" s="1"/>
  <c r="FS197" s="1"/>
  <c r="FS198" s="1"/>
  <c r="FS199" s="1"/>
  <c r="FS200" s="1"/>
  <c r="FS201" s="1"/>
  <c r="FS202" s="1"/>
  <c r="FS203" s="1"/>
  <c r="FS204" s="1"/>
  <c r="FS205" s="1"/>
  <c r="FS206" s="1"/>
  <c r="FS207" s="1"/>
  <c r="FS208" s="1"/>
  <c r="FS209" s="1"/>
  <c r="FS210" s="1"/>
  <c r="FS211" s="1"/>
  <c r="FS212" s="1"/>
  <c r="FS213" s="1"/>
  <c r="FS214" s="1"/>
  <c r="FS215" s="1"/>
  <c r="FS216" s="1"/>
  <c r="FS217" s="1"/>
  <c r="FS218" s="1"/>
  <c r="FS219" s="1"/>
  <c r="FS220" s="1"/>
  <c r="FS221" s="1"/>
  <c r="FS222" s="1"/>
  <c r="FS223" s="1"/>
  <c r="FS224" s="1"/>
  <c r="FS225" s="1"/>
  <c r="FS226" s="1"/>
  <c r="FS227" s="1"/>
  <c r="FS228" s="1"/>
  <c r="FS229" s="1"/>
  <c r="FS230" s="1"/>
  <c r="FS231" s="1"/>
  <c r="FS232" s="1"/>
  <c r="FS233" s="1"/>
  <c r="FS234" s="1"/>
  <c r="FS235" s="1"/>
  <c r="FS236" s="1"/>
  <c r="FS237" s="1"/>
  <c r="FS238" s="1"/>
  <c r="FS239" s="1"/>
  <c r="FS240" s="1"/>
  <c r="FS241" s="1"/>
  <c r="FS242" s="1"/>
  <c r="FS243" s="1"/>
  <c r="FS244" s="1"/>
  <c r="FS245" s="1"/>
  <c r="FS246" s="1"/>
  <c r="FS247" s="1"/>
  <c r="FS248" s="1"/>
  <c r="FS249" s="1"/>
  <c r="FS250" s="1"/>
  <c r="FS251" s="1"/>
  <c r="FS252" s="1"/>
  <c r="FS253" s="1"/>
  <c r="FS254" s="1"/>
  <c r="FS255" s="1"/>
  <c r="FS256" s="1"/>
  <c r="FS257" s="1"/>
  <c r="FS258" s="1"/>
  <c r="FS259" s="1"/>
  <c r="FS260" s="1"/>
  <c r="FS261" s="1"/>
  <c r="FS262" s="1"/>
  <c r="FS263" s="1"/>
  <c r="FS264" s="1"/>
  <c r="FS265" s="1"/>
  <c r="FS266" s="1"/>
  <c r="FS267" s="1"/>
  <c r="FS268" s="1"/>
  <c r="FS269" s="1"/>
  <c r="FS270" s="1"/>
  <c r="FS271" s="1"/>
  <c r="FS272" s="1"/>
  <c r="FS273" s="1"/>
  <c r="FS274" s="1"/>
  <c r="FS275" s="1"/>
  <c r="FS276" s="1"/>
  <c r="FS277" s="1"/>
  <c r="FS278" s="1"/>
  <c r="FS279" s="1"/>
  <c r="FS280" s="1"/>
  <c r="FS281" s="1"/>
  <c r="FS282" s="1"/>
  <c r="FS283" s="1"/>
  <c r="FS284" s="1"/>
  <c r="FS285" s="1"/>
  <c r="FS286" s="1"/>
  <c r="FS287" s="1"/>
  <c r="FS288" s="1"/>
  <c r="FS289" s="1"/>
  <c r="FS290" s="1"/>
  <c r="FS291" s="1"/>
  <c r="FS292" s="1"/>
  <c r="FS293" s="1"/>
  <c r="FS294" s="1"/>
  <c r="FS295" s="1"/>
  <c r="FS296" s="1"/>
  <c r="FS297" s="1"/>
  <c r="FS298" s="1"/>
  <c r="FS299" s="1"/>
  <c r="FS300" s="1"/>
  <c r="FS301" s="1"/>
  <c r="FS302" s="1"/>
  <c r="FS303" s="1"/>
  <c r="FS304" s="1"/>
  <c r="GE94"/>
  <c r="AR94" s="1"/>
  <c r="AS90" i="45" l="1"/>
  <c r="BE155" i="43"/>
  <c r="CY94"/>
  <c r="CF94"/>
  <c r="AL155"/>
  <c r="BZ155"/>
  <c r="R154"/>
  <c r="CS155"/>
  <c r="AK154"/>
  <c r="X154" s="1"/>
  <c r="Y154" s="1"/>
  <c r="D151" i="45" s="1"/>
  <c r="U151" s="1"/>
  <c r="DX154" i="43"/>
  <c r="BD155"/>
  <c r="BF155" s="1"/>
  <c r="DR155"/>
  <c r="Z155" s="1"/>
  <c r="AA155" s="1"/>
  <c r="BY155"/>
  <c r="CA155" s="1"/>
  <c r="J157"/>
  <c r="K157" s="1"/>
  <c r="AL157" s="1"/>
  <c r="FS305"/>
  <c r="AA153"/>
  <c r="X153"/>
  <c r="DX153"/>
  <c r="D149" i="45"/>
  <c r="U149" s="1"/>
  <c r="EE152" i="43"/>
  <c r="J156"/>
  <c r="K156" s="1"/>
  <c r="AT94"/>
  <c r="AW91" i="45"/>
  <c r="BM94" i="43"/>
  <c r="GA94"/>
  <c r="GD94" s="1"/>
  <c r="GN95"/>
  <c r="GM95" s="1"/>
  <c r="GI95" s="1"/>
  <c r="C151" i="45"/>
  <c r="GG95" i="43"/>
  <c r="GF95" s="1"/>
  <c r="AT91" i="45"/>
  <c r="EE154" i="43" l="1"/>
  <c r="ED154"/>
  <c r="DA94"/>
  <c r="AU91" i="45" s="1"/>
  <c r="BA91" s="1"/>
  <c r="HB95" i="43"/>
  <c r="HA95" s="1"/>
  <c r="GW95" s="1"/>
  <c r="GU95"/>
  <c r="GT95" s="1"/>
  <c r="GP95" s="1"/>
  <c r="CH94"/>
  <c r="AV91" i="45"/>
  <c r="BC91" s="1"/>
  <c r="AD94" i="43"/>
  <c r="DO94" s="1"/>
  <c r="DP94" s="1"/>
  <c r="DX155"/>
  <c r="AK155"/>
  <c r="X155" s="1"/>
  <c r="Y155" s="1"/>
  <c r="D152" i="45" s="1"/>
  <c r="U152" s="1"/>
  <c r="R155" i="43"/>
  <c r="BE157"/>
  <c r="BZ157"/>
  <c r="J158"/>
  <c r="K158" s="1"/>
  <c r="BZ158" s="1"/>
  <c r="CR157"/>
  <c r="CT157" s="1"/>
  <c r="BD157"/>
  <c r="BF157" s="1"/>
  <c r="BY157"/>
  <c r="CA157" s="1"/>
  <c r="DR157"/>
  <c r="CS157"/>
  <c r="FS306"/>
  <c r="BZ156"/>
  <c r="AL156"/>
  <c r="CS156"/>
  <c r="BE156"/>
  <c r="CR156"/>
  <c r="DR156"/>
  <c r="BD156"/>
  <c r="BY156"/>
  <c r="ED153"/>
  <c r="Y153"/>
  <c r="C150" i="45"/>
  <c r="GR94" i="43"/>
  <c r="AY91" i="45"/>
  <c r="BE91"/>
  <c r="GK94" i="43"/>
  <c r="GY94"/>
  <c r="GB95"/>
  <c r="C152" i="45"/>
  <c r="ED155" i="43" l="1"/>
  <c r="EE155"/>
  <c r="FZ95"/>
  <c r="GQ95" s="1"/>
  <c r="GS95" s="1"/>
  <c r="AE94"/>
  <c r="EV94" s="1"/>
  <c r="AL158"/>
  <c r="CS158"/>
  <c r="DX157"/>
  <c r="R157"/>
  <c r="AK157"/>
  <c r="X157" s="1"/>
  <c r="Y157" s="1"/>
  <c r="Z157"/>
  <c r="BE158"/>
  <c r="J159"/>
  <c r="K159" s="1"/>
  <c r="BE159" s="1"/>
  <c r="BD158"/>
  <c r="BF158" s="1"/>
  <c r="DR158"/>
  <c r="CR158"/>
  <c r="CT158" s="1"/>
  <c r="BY158"/>
  <c r="CA158" s="1"/>
  <c r="FS307"/>
  <c r="Z156"/>
  <c r="EE153"/>
  <c r="BF156"/>
  <c r="CT156"/>
  <c r="CA156"/>
  <c r="AK156"/>
  <c r="R156"/>
  <c r="D150" i="45"/>
  <c r="U150" s="1"/>
  <c r="T91" l="1"/>
  <c r="AA91" s="1"/>
  <c r="AB91" s="1"/>
  <c r="GJ95" i="43"/>
  <c r="GL95" s="1"/>
  <c r="BK95" s="1"/>
  <c r="AW92" i="45" s="1"/>
  <c r="GC95" i="43"/>
  <c r="GE95" s="1"/>
  <c r="AR95" s="1"/>
  <c r="AT92" i="45" s="1"/>
  <c r="CF95" i="43"/>
  <c r="GX95"/>
  <c r="GZ95" s="1"/>
  <c r="CS159"/>
  <c r="R158"/>
  <c r="AK158"/>
  <c r="X158" s="1"/>
  <c r="Y158" s="1"/>
  <c r="D155" i="45" s="1"/>
  <c r="U155" s="1"/>
  <c r="DX158" i="43"/>
  <c r="AA157"/>
  <c r="EE157" s="1"/>
  <c r="ED157"/>
  <c r="Z158"/>
  <c r="AL159"/>
  <c r="BD159"/>
  <c r="BF159" s="1"/>
  <c r="DR159"/>
  <c r="Z159" s="1"/>
  <c r="CR159"/>
  <c r="CT159" s="1"/>
  <c r="BY159"/>
  <c r="CA159" s="1"/>
  <c r="J160"/>
  <c r="K160" s="1"/>
  <c r="BE160" s="1"/>
  <c r="BZ159"/>
  <c r="AA156"/>
  <c r="C153" i="45" s="1"/>
  <c r="FS308" i="43"/>
  <c r="DX156"/>
  <c r="X156"/>
  <c r="GN96" l="1"/>
  <c r="GM96" s="1"/>
  <c r="GI96" s="1"/>
  <c r="BM95"/>
  <c r="AS91" i="45"/>
  <c r="GA95" i="43"/>
  <c r="GD95" s="1"/>
  <c r="AT95"/>
  <c r="GG96"/>
  <c r="GF96" s="1"/>
  <c r="GB96" s="1"/>
  <c r="C154" i="45"/>
  <c r="CY95" i="43"/>
  <c r="GU96"/>
  <c r="GT96" s="1"/>
  <c r="GP96" s="1"/>
  <c r="AV92" i="45"/>
  <c r="BC92" s="1"/>
  <c r="CH95" i="43"/>
  <c r="BZ160"/>
  <c r="CS160"/>
  <c r="AA159"/>
  <c r="R159"/>
  <c r="AK159"/>
  <c r="X159" s="1"/>
  <c r="Y159" s="1"/>
  <c r="D156" i="45" s="1"/>
  <c r="U156" s="1"/>
  <c r="DX159" i="43"/>
  <c r="J161"/>
  <c r="K161" s="1"/>
  <c r="CS161" s="1"/>
  <c r="ED158"/>
  <c r="AA158"/>
  <c r="EE158" s="1"/>
  <c r="AL160"/>
  <c r="DR160"/>
  <c r="BD160"/>
  <c r="BF160" s="1"/>
  <c r="BY160"/>
  <c r="CA160" s="1"/>
  <c r="CR160"/>
  <c r="CT160" s="1"/>
  <c r="FS309"/>
  <c r="Y156"/>
  <c r="ED156"/>
  <c r="AY92" i="45"/>
  <c r="BE92"/>
  <c r="GR95" i="43" l="1"/>
  <c r="GK95"/>
  <c r="GY95"/>
  <c r="DA95"/>
  <c r="AU92" i="45" s="1"/>
  <c r="BA92" s="1"/>
  <c r="HB96" i="43"/>
  <c r="HA96" s="1"/>
  <c r="GW96" s="1"/>
  <c r="FZ96" s="1"/>
  <c r="AD95"/>
  <c r="AL161"/>
  <c r="C155" i="45"/>
  <c r="DR161" i="43"/>
  <c r="BD161"/>
  <c r="BF161" s="1"/>
  <c r="CR161"/>
  <c r="CT161" s="1"/>
  <c r="BY161"/>
  <c r="CA161" s="1"/>
  <c r="BE161"/>
  <c r="EE159"/>
  <c r="AK160"/>
  <c r="X160" s="1"/>
  <c r="Y160" s="1"/>
  <c r="D157" i="45" s="1"/>
  <c r="U157" s="1"/>
  <c r="DX160" i="43"/>
  <c r="R160"/>
  <c r="Z160"/>
  <c r="ED159"/>
  <c r="J162"/>
  <c r="K162" s="1"/>
  <c r="CS162" s="1"/>
  <c r="BZ161"/>
  <c r="FS310"/>
  <c r="D154" i="45"/>
  <c r="U154" s="1"/>
  <c r="D153"/>
  <c r="U153" s="1"/>
  <c r="EE156" i="43"/>
  <c r="C156" i="45"/>
  <c r="DO95" i="43" l="1"/>
  <c r="DP95" s="1"/>
  <c r="AE95"/>
  <c r="EV95" s="1"/>
  <c r="GX96"/>
  <c r="GZ96" s="1"/>
  <c r="BE162"/>
  <c r="BZ162"/>
  <c r="J163"/>
  <c r="K163" s="1"/>
  <c r="BZ163" s="1"/>
  <c r="BY162"/>
  <c r="CA162" s="1"/>
  <c r="DR162"/>
  <c r="BD162"/>
  <c r="BF162" s="1"/>
  <c r="CR162"/>
  <c r="CT162" s="1"/>
  <c r="R161"/>
  <c r="AK161"/>
  <c r="X161" s="1"/>
  <c r="Y161" s="1"/>
  <c r="D158" i="45" s="1"/>
  <c r="U158" s="1"/>
  <c r="DX161" i="43"/>
  <c r="Z161"/>
  <c r="AA160"/>
  <c r="EE160" s="1"/>
  <c r="ED160"/>
  <c r="AL162"/>
  <c r="FS311"/>
  <c r="GQ96"/>
  <c r="GS96" s="1"/>
  <c r="GJ96"/>
  <c r="GL96" s="1"/>
  <c r="BK96" s="1"/>
  <c r="GC96"/>
  <c r="GE96" s="1"/>
  <c r="AR96" s="1"/>
  <c r="C157" i="45" l="1"/>
  <c r="T92"/>
  <c r="CY96" i="43"/>
  <c r="CF96"/>
  <c r="AL163"/>
  <c r="ED161"/>
  <c r="AA161"/>
  <c r="EE161" s="1"/>
  <c r="CS163"/>
  <c r="J164"/>
  <c r="K164" s="1"/>
  <c r="BZ164" s="1"/>
  <c r="BE163"/>
  <c r="AK162"/>
  <c r="X162" s="1"/>
  <c r="Y162" s="1"/>
  <c r="D159" i="45" s="1"/>
  <c r="U159" s="1"/>
  <c r="R162" i="43"/>
  <c r="DX162"/>
  <c r="Z162"/>
  <c r="DR163"/>
  <c r="BD163"/>
  <c r="BF163" s="1"/>
  <c r="BY163"/>
  <c r="CA163" s="1"/>
  <c r="CR163"/>
  <c r="CT163" s="1"/>
  <c r="FS312"/>
  <c r="AT96"/>
  <c r="AW93" i="45"/>
  <c r="BM96" i="43"/>
  <c r="GN97"/>
  <c r="GM97" s="1"/>
  <c r="GI97" s="1"/>
  <c r="GA96"/>
  <c r="GD96" s="1"/>
  <c r="AT93" i="45"/>
  <c r="GG97" i="43"/>
  <c r="GF97" s="1"/>
  <c r="C158" i="45" l="1"/>
  <c r="DA96" i="43"/>
  <c r="AU93" i="45" s="1"/>
  <c r="BA93" s="1"/>
  <c r="HB97" i="43"/>
  <c r="HA97" s="1"/>
  <c r="GW97" s="1"/>
  <c r="AS92" i="45"/>
  <c r="AA92"/>
  <c r="AB92" s="1"/>
  <c r="GU97" i="43"/>
  <c r="GT97" s="1"/>
  <c r="GP97" s="1"/>
  <c r="CH96"/>
  <c r="AD96"/>
  <c r="DO96" s="1"/>
  <c r="DP96" s="1"/>
  <c r="AV93" i="45"/>
  <c r="BC93" s="1"/>
  <c r="CS164" i="43"/>
  <c r="ED162"/>
  <c r="AA162"/>
  <c r="EE162" s="1"/>
  <c r="AK163"/>
  <c r="X163" s="1"/>
  <c r="Y163" s="1"/>
  <c r="D160" i="45" s="1"/>
  <c r="U160" s="1"/>
  <c r="DX163" i="43"/>
  <c r="R163"/>
  <c r="Z163"/>
  <c r="DR164"/>
  <c r="Z164" s="1"/>
  <c r="CR164"/>
  <c r="CT164" s="1"/>
  <c r="BY164"/>
  <c r="CA164" s="1"/>
  <c r="BD164"/>
  <c r="BF164" s="1"/>
  <c r="J165"/>
  <c r="K165" s="1"/>
  <c r="BE165" s="1"/>
  <c r="BE164"/>
  <c r="AL164"/>
  <c r="FS313"/>
  <c r="GK96"/>
  <c r="BE93" i="45"/>
  <c r="AY93"/>
  <c r="GR96" i="43"/>
  <c r="GY96"/>
  <c r="GB97"/>
  <c r="AE96" l="1"/>
  <c r="EV96" s="1"/>
  <c r="FZ97"/>
  <c r="GX97" s="1"/>
  <c r="GZ97" s="1"/>
  <c r="C159" i="45"/>
  <c r="BZ165" i="43"/>
  <c r="AL165"/>
  <c r="CS165"/>
  <c r="BD165"/>
  <c r="BF165" s="1"/>
  <c r="BY165"/>
  <c r="CA165" s="1"/>
  <c r="DR165"/>
  <c r="CR165"/>
  <c r="CT165" s="1"/>
  <c r="AA163"/>
  <c r="EE163" s="1"/>
  <c r="ED163"/>
  <c r="AA164"/>
  <c r="J166"/>
  <c r="K166" s="1"/>
  <c r="AL166" s="1"/>
  <c r="R164"/>
  <c r="DX164"/>
  <c r="AK164"/>
  <c r="X164" s="1"/>
  <c r="Y164" s="1"/>
  <c r="D161" i="45" s="1"/>
  <c r="U161" s="1"/>
  <c r="FS314" i="43"/>
  <c r="T93" i="45" l="1"/>
  <c r="AS93" s="1"/>
  <c r="C160"/>
  <c r="GQ97" i="43"/>
  <c r="GS97" s="1"/>
  <c r="CF97" s="1"/>
  <c r="GC97"/>
  <c r="GE97" s="1"/>
  <c r="AR97" s="1"/>
  <c r="GJ97"/>
  <c r="GL97" s="1"/>
  <c r="BK97" s="1"/>
  <c r="GN98" s="1"/>
  <c r="GM98" s="1"/>
  <c r="CY97"/>
  <c r="BZ166"/>
  <c r="J167"/>
  <c r="K167" s="1"/>
  <c r="CS167" s="1"/>
  <c r="R165"/>
  <c r="AK165"/>
  <c r="X165" s="1"/>
  <c r="Y165" s="1"/>
  <c r="D162" i="45" s="1"/>
  <c r="U162" s="1"/>
  <c r="DX165" i="43"/>
  <c r="Z165"/>
  <c r="EE164"/>
  <c r="BE166"/>
  <c r="ED164"/>
  <c r="CS166"/>
  <c r="BD166"/>
  <c r="BF166" s="1"/>
  <c r="BY166"/>
  <c r="CA166" s="1"/>
  <c r="CR166"/>
  <c r="CT166" s="1"/>
  <c r="DR166"/>
  <c r="FS315"/>
  <c r="C161" i="45"/>
  <c r="BM97" i="43" l="1"/>
  <c r="AA93" i="45"/>
  <c r="AB93" s="1"/>
  <c r="AW94"/>
  <c r="BE94" s="1"/>
  <c r="GA97" i="43"/>
  <c r="GY97" s="1"/>
  <c r="DA97"/>
  <c r="AU94" i="45" s="1"/>
  <c r="BA94" s="1"/>
  <c r="HB98" i="43"/>
  <c r="HA98" s="1"/>
  <c r="GW98" s="1"/>
  <c r="GU98"/>
  <c r="GT98" s="1"/>
  <c r="GP98" s="1"/>
  <c r="AV94" i="45"/>
  <c r="BC94" s="1"/>
  <c r="CH97" i="43"/>
  <c r="BE167"/>
  <c r="AL167"/>
  <c r="ED165"/>
  <c r="AA165"/>
  <c r="EE165" s="1"/>
  <c r="J168"/>
  <c r="K168" s="1"/>
  <c r="BE168" s="1"/>
  <c r="R166"/>
  <c r="DX166"/>
  <c r="AK166"/>
  <c r="X166" s="1"/>
  <c r="Y166" s="1"/>
  <c r="D163" i="45" s="1"/>
  <c r="U163" s="1"/>
  <c r="BZ167" i="43"/>
  <c r="CR167"/>
  <c r="CT167" s="1"/>
  <c r="DR167"/>
  <c r="BY167"/>
  <c r="CA167" s="1"/>
  <c r="BD167"/>
  <c r="BF167" s="1"/>
  <c r="Z166"/>
  <c r="FS316"/>
  <c r="AT97"/>
  <c r="AT94" i="45"/>
  <c r="GG98" i="43"/>
  <c r="GF98" s="1"/>
  <c r="GB98" s="1"/>
  <c r="AD97"/>
  <c r="GI98"/>
  <c r="GD97" l="1"/>
  <c r="C162" i="45"/>
  <c r="GR97" i="43"/>
  <c r="GK97"/>
  <c r="FZ98"/>
  <c r="CS168"/>
  <c r="J169"/>
  <c r="K169" s="1"/>
  <c r="BE169" s="1"/>
  <c r="ED166"/>
  <c r="AA166"/>
  <c r="EE166" s="1"/>
  <c r="BZ168"/>
  <c r="BY168"/>
  <c r="CA168" s="1"/>
  <c r="DR168"/>
  <c r="BD168"/>
  <c r="BF168" s="1"/>
  <c r="CR168"/>
  <c r="CT168" s="1"/>
  <c r="Z167"/>
  <c r="R167"/>
  <c r="DX167"/>
  <c r="AK167"/>
  <c r="X167" s="1"/>
  <c r="Y167" s="1"/>
  <c r="D164" i="45" s="1"/>
  <c r="U164" s="1"/>
  <c r="AL168" i="43"/>
  <c r="FS317"/>
  <c r="AY94" i="45"/>
  <c r="AE97" i="43"/>
  <c r="EV97" s="1"/>
  <c r="DO97"/>
  <c r="DP97" s="1"/>
  <c r="C163" i="45" l="1"/>
  <c r="Z168" i="43"/>
  <c r="R168"/>
  <c r="AK168"/>
  <c r="X168" s="1"/>
  <c r="Y168" s="1"/>
  <c r="D165" i="45" s="1"/>
  <c r="U165" s="1"/>
  <c r="DX168" i="43"/>
  <c r="CS169"/>
  <c r="J170"/>
  <c r="K170" s="1"/>
  <c r="CS170" s="1"/>
  <c r="BZ169"/>
  <c r="AA167"/>
  <c r="EE167" s="1"/>
  <c r="ED167"/>
  <c r="AL169"/>
  <c r="DR169"/>
  <c r="BY169"/>
  <c r="CA169" s="1"/>
  <c r="CR169"/>
  <c r="CT169" s="1"/>
  <c r="BD169"/>
  <c r="BF169" s="1"/>
  <c r="FS318"/>
  <c r="T94" i="45"/>
  <c r="GC98" i="43"/>
  <c r="GX98"/>
  <c r="GZ98" s="1"/>
  <c r="GJ98"/>
  <c r="GL98" s="1"/>
  <c r="BK98" s="1"/>
  <c r="GQ98"/>
  <c r="GS98" s="1"/>
  <c r="C164" i="45" l="1"/>
  <c r="CY98" i="43"/>
  <c r="CF98"/>
  <c r="AL170"/>
  <c r="BZ170"/>
  <c r="R169"/>
  <c r="DX169"/>
  <c r="AK169"/>
  <c r="X169" s="1"/>
  <c r="Y169" s="1"/>
  <c r="D166" i="45" s="1"/>
  <c r="U166" s="1"/>
  <c r="Z169" i="43"/>
  <c r="BE170"/>
  <c r="BD170"/>
  <c r="BY170"/>
  <c r="CR170"/>
  <c r="DR170"/>
  <c r="AA168"/>
  <c r="EE168" s="1"/>
  <c r="ED168"/>
  <c r="J171"/>
  <c r="K171" s="1"/>
  <c r="AL171" s="1"/>
  <c r="FS319"/>
  <c r="BM98"/>
  <c r="AS94" i="45"/>
  <c r="AA94"/>
  <c r="AB94" s="1"/>
  <c r="GE98" i="43"/>
  <c r="AR98" s="1"/>
  <c r="GA98"/>
  <c r="AW95" i="45"/>
  <c r="GN99" i="43"/>
  <c r="GM99" s="1"/>
  <c r="C165" i="45" l="1"/>
  <c r="DA98" i="43"/>
  <c r="AU95" i="45" s="1"/>
  <c r="BA95" s="1"/>
  <c r="HB99" i="43"/>
  <c r="HA99" s="1"/>
  <c r="GW99" s="1"/>
  <c r="GU99"/>
  <c r="GT99" s="1"/>
  <c r="GP99" s="1"/>
  <c r="CH98"/>
  <c r="AV95" i="45"/>
  <c r="BC95" s="1"/>
  <c r="CS171" i="43"/>
  <c r="CT170"/>
  <c r="AA169"/>
  <c r="EE169" s="1"/>
  <c r="ED169"/>
  <c r="Z170"/>
  <c r="R170"/>
  <c r="AK170"/>
  <c r="BZ171"/>
  <c r="DR171"/>
  <c r="BD171"/>
  <c r="BY171"/>
  <c r="CR171"/>
  <c r="BF170"/>
  <c r="J172"/>
  <c r="K172" s="1"/>
  <c r="AL172" s="1"/>
  <c r="CA170"/>
  <c r="BE171"/>
  <c r="FS320"/>
  <c r="AT98"/>
  <c r="BE95" i="45"/>
  <c r="GY98" i="43"/>
  <c r="GK98"/>
  <c r="GD98"/>
  <c r="GR98"/>
  <c r="GI99"/>
  <c r="GG99"/>
  <c r="GF99" s="1"/>
  <c r="AT95" i="45"/>
  <c r="AD98" i="43"/>
  <c r="C166" i="45" l="1"/>
  <c r="BZ172" i="43"/>
  <c r="CS172"/>
  <c r="J173"/>
  <c r="K173" s="1"/>
  <c r="AL173" s="1"/>
  <c r="BF171"/>
  <c r="X170"/>
  <c r="ED170" s="1"/>
  <c r="CA171"/>
  <c r="AA170"/>
  <c r="C167" i="45" s="1"/>
  <c r="CT171" i="43"/>
  <c r="DX170"/>
  <c r="BE172"/>
  <c r="CR172"/>
  <c r="BD172"/>
  <c r="BY172"/>
  <c r="DR172"/>
  <c r="AK171"/>
  <c r="R171"/>
  <c r="Z171"/>
  <c r="FS321"/>
  <c r="AY95" i="45"/>
  <c r="GB99" i="43"/>
  <c r="FZ99" s="1"/>
  <c r="DO98"/>
  <c r="DP98" s="1"/>
  <c r="AE98"/>
  <c r="EV98" s="1"/>
  <c r="DX171" l="1"/>
  <c r="CS173"/>
  <c r="CT172"/>
  <c r="BE173"/>
  <c r="AA171"/>
  <c r="C168" i="45" s="1"/>
  <c r="X171" i="43"/>
  <c r="ED171" s="1"/>
  <c r="BF172"/>
  <c r="Y170"/>
  <c r="R172"/>
  <c r="AK172"/>
  <c r="Z172"/>
  <c r="CA172"/>
  <c r="BZ173"/>
  <c r="DR173"/>
  <c r="BD173"/>
  <c r="CR173"/>
  <c r="BY173"/>
  <c r="J174"/>
  <c r="K174" s="1"/>
  <c r="FS322"/>
  <c r="GU322" s="1"/>
  <c r="T95" i="45"/>
  <c r="GX99" i="43"/>
  <c r="GZ99" s="1"/>
  <c r="GJ99"/>
  <c r="GL99" s="1"/>
  <c r="BK99" s="1"/>
  <c r="GQ99"/>
  <c r="GS99" s="1"/>
  <c r="GC99"/>
  <c r="CY99" l="1"/>
  <c r="CF99"/>
  <c r="AL174"/>
  <c r="J175"/>
  <c r="K175" s="1"/>
  <c r="BZ175" s="1"/>
  <c r="BF173"/>
  <c r="BE174"/>
  <c r="DX172"/>
  <c r="CT173"/>
  <c r="X172"/>
  <c r="ED172" s="1"/>
  <c r="D167" i="45"/>
  <c r="U167" s="1"/>
  <c r="BZ174" i="43"/>
  <c r="CR174"/>
  <c r="DR174"/>
  <c r="BY174"/>
  <c r="BD174"/>
  <c r="CA173"/>
  <c r="Z173"/>
  <c r="R173"/>
  <c r="AK173"/>
  <c r="AA172"/>
  <c r="Y171"/>
  <c r="CS174"/>
  <c r="EE170"/>
  <c r="FS323"/>
  <c r="GU323" s="1"/>
  <c r="BM99"/>
  <c r="AS95" i="45"/>
  <c r="AA95"/>
  <c r="AB95" s="1"/>
  <c r="GA99" i="43"/>
  <c r="GE99"/>
  <c r="AR99" s="1"/>
  <c r="AW96" i="45"/>
  <c r="GN100" i="43"/>
  <c r="GM100" s="1"/>
  <c r="DA99" l="1"/>
  <c r="AU96" i="45" s="1"/>
  <c r="BA96" s="1"/>
  <c r="HB100" i="43"/>
  <c r="HA100" s="1"/>
  <c r="GW100" s="1"/>
  <c r="GU100"/>
  <c r="GT100" s="1"/>
  <c r="GP100" s="1"/>
  <c r="CH99"/>
  <c r="AV96" i="45"/>
  <c r="BC96" s="1"/>
  <c r="DX173" i="43"/>
  <c r="C169" i="45"/>
  <c r="AL175" i="43"/>
  <c r="D168" i="45"/>
  <c r="U168" s="1"/>
  <c r="AA173" i="43"/>
  <c r="C170" i="45" s="1"/>
  <c r="BF174" i="43"/>
  <c r="Y172"/>
  <c r="CS175"/>
  <c r="CT174"/>
  <c r="J176"/>
  <c r="K176" s="1"/>
  <c r="AK174"/>
  <c r="R174"/>
  <c r="Z174"/>
  <c r="EE171"/>
  <c r="X173"/>
  <c r="CA174"/>
  <c r="BE175"/>
  <c r="BY175"/>
  <c r="CR175"/>
  <c r="DR175"/>
  <c r="BD175"/>
  <c r="FS324"/>
  <c r="GU324" s="1"/>
  <c r="AT99"/>
  <c r="BE96" i="45"/>
  <c r="GI100" i="43"/>
  <c r="AT96" i="45"/>
  <c r="GG100" i="43"/>
  <c r="GF100" s="1"/>
  <c r="GB100" s="1"/>
  <c r="AD99"/>
  <c r="GD99"/>
  <c r="GY99"/>
  <c r="GK99"/>
  <c r="GR99"/>
  <c r="FZ100" l="1"/>
  <c r="EE172"/>
  <c r="Z175"/>
  <c r="BE176"/>
  <c r="BZ176"/>
  <c r="CS176"/>
  <c r="BF175"/>
  <c r="Y173"/>
  <c r="EE173" s="1"/>
  <c r="DX174"/>
  <c r="CA175"/>
  <c r="AL176"/>
  <c r="DR176"/>
  <c r="BY176"/>
  <c r="CR176"/>
  <c r="BD176"/>
  <c r="D169" i="45"/>
  <c r="U169" s="1"/>
  <c r="ED173" i="43"/>
  <c r="CT175"/>
  <c r="AA174"/>
  <c r="C171" i="45" s="1"/>
  <c r="X174" i="43"/>
  <c r="ED174" s="1"/>
  <c r="J177"/>
  <c r="K177" s="1"/>
  <c r="R175"/>
  <c r="AK175"/>
  <c r="FS325"/>
  <c r="GU325" s="1"/>
  <c r="AY96" i="45"/>
  <c r="AE99" i="43"/>
  <c r="EV99" s="1"/>
  <c r="DO99"/>
  <c r="DP99" s="1"/>
  <c r="AA175" l="1"/>
  <c r="AL177"/>
  <c r="DX175"/>
  <c r="CS177"/>
  <c r="BE177"/>
  <c r="CT176"/>
  <c r="BZ177"/>
  <c r="J178"/>
  <c r="K178" s="1"/>
  <c r="CS178" s="1"/>
  <c r="BF176"/>
  <c r="Z176"/>
  <c r="R176"/>
  <c r="AK176"/>
  <c r="D170" i="45"/>
  <c r="U170" s="1"/>
  <c r="X175" i="43"/>
  <c r="BD177"/>
  <c r="BY177"/>
  <c r="CR177"/>
  <c r="DR177"/>
  <c r="Y174"/>
  <c r="CA176"/>
  <c r="FS326"/>
  <c r="GU326" s="1"/>
  <c r="T96" i="45"/>
  <c r="GC100" i="43"/>
  <c r="GX100"/>
  <c r="GZ100" s="1"/>
  <c r="GJ100"/>
  <c r="GL100" s="1"/>
  <c r="BK100" s="1"/>
  <c r="GQ100"/>
  <c r="GS100" s="1"/>
  <c r="C172" i="45" l="1"/>
  <c r="CY100" i="43"/>
  <c r="CF100"/>
  <c r="D171" i="45"/>
  <c r="U171" s="1"/>
  <c r="CA177" i="43"/>
  <c r="CT177"/>
  <c r="Y175"/>
  <c r="ED175"/>
  <c r="BE178"/>
  <c r="BD178"/>
  <c r="CR178"/>
  <c r="BY178"/>
  <c r="DR178"/>
  <c r="DX176"/>
  <c r="R177"/>
  <c r="AK177"/>
  <c r="Z177"/>
  <c r="AA176"/>
  <c r="J179"/>
  <c r="K179" s="1"/>
  <c r="EE174"/>
  <c r="BF177"/>
  <c r="BZ178"/>
  <c r="AL178"/>
  <c r="X176"/>
  <c r="FS327"/>
  <c r="GU327" s="1"/>
  <c r="BM100"/>
  <c r="AS96" i="45"/>
  <c r="AA96"/>
  <c r="AB96" s="1"/>
  <c r="GN101" i="43"/>
  <c r="GM101" s="1"/>
  <c r="AW97" i="45"/>
  <c r="GE100" i="43"/>
  <c r="AR100" s="1"/>
  <c r="GA100"/>
  <c r="C173" i="45" l="1"/>
  <c r="DA100" i="43"/>
  <c r="AU97" i="45" s="1"/>
  <c r="HB101" i="43"/>
  <c r="HA101" s="1"/>
  <c r="GW101" s="1"/>
  <c r="GU101"/>
  <c r="GT101" s="1"/>
  <c r="GP101" s="1"/>
  <c r="CH100"/>
  <c r="AV97" i="45"/>
  <c r="BC97" s="1"/>
  <c r="AL179" i="43"/>
  <c r="CR179"/>
  <c r="CT179" s="1"/>
  <c r="BD179"/>
  <c r="DR179"/>
  <c r="BY179"/>
  <c r="CA179" s="1"/>
  <c r="BZ179"/>
  <c r="CS179"/>
  <c r="BE179"/>
  <c r="DX177"/>
  <c r="Y176"/>
  <c r="EE176" s="1"/>
  <c r="AA177"/>
  <c r="C174" i="45" s="1"/>
  <c r="CA178" i="43"/>
  <c r="R178"/>
  <c r="AK178"/>
  <c r="Z178"/>
  <c r="X177"/>
  <c r="BF178"/>
  <c r="D172" i="45"/>
  <c r="U172" s="1"/>
  <c r="EE175" i="43"/>
  <c r="ED176"/>
  <c r="J180"/>
  <c r="K180" s="1"/>
  <c r="CT178"/>
  <c r="FS328"/>
  <c r="GU328" s="1"/>
  <c r="AT100"/>
  <c r="BE97" i="45"/>
  <c r="GG101" i="43"/>
  <c r="GF101" s="1"/>
  <c r="AD100"/>
  <c r="AT97" i="45"/>
  <c r="GI101" i="43"/>
  <c r="GR100"/>
  <c r="GY100"/>
  <c r="GK100"/>
  <c r="GD100"/>
  <c r="BD180" l="1"/>
  <c r="BY180"/>
  <c r="DR180"/>
  <c r="CR180"/>
  <c r="BZ180"/>
  <c r="CS180"/>
  <c r="AL180"/>
  <c r="BE180"/>
  <c r="BF179"/>
  <c r="Z179"/>
  <c r="AA179" s="1"/>
  <c r="AK179"/>
  <c r="R179"/>
  <c r="Y177"/>
  <c r="X178"/>
  <c r="D173" i="45"/>
  <c r="U173" s="1"/>
  <c r="DX178" i="43"/>
  <c r="ED177"/>
  <c r="AL181"/>
  <c r="Z181"/>
  <c r="BE181"/>
  <c r="J181"/>
  <c r="K181" s="1"/>
  <c r="CS181"/>
  <c r="BZ181"/>
  <c r="AA178"/>
  <c r="FS329"/>
  <c r="GU329" s="1"/>
  <c r="BA97" i="45"/>
  <c r="AY97"/>
  <c r="DO100" i="43"/>
  <c r="DP100" s="1"/>
  <c r="AE100"/>
  <c r="EV100" s="1"/>
  <c r="GB101"/>
  <c r="FZ101" s="1"/>
  <c r="Z180" l="1"/>
  <c r="AA180" s="1"/>
  <c r="DX179"/>
  <c r="BD181"/>
  <c r="DR181"/>
  <c r="CR181"/>
  <c r="BY181"/>
  <c r="AK180"/>
  <c r="X180" s="1"/>
  <c r="R180"/>
  <c r="BF180"/>
  <c r="CT180"/>
  <c r="CA180"/>
  <c r="C175" i="45"/>
  <c r="X179" i="43"/>
  <c r="Y179" s="1"/>
  <c r="EE177"/>
  <c r="ED178"/>
  <c r="D174" i="45"/>
  <c r="U174" s="1"/>
  <c r="BE182" i="43"/>
  <c r="Z182"/>
  <c r="J182"/>
  <c r="K182" s="1"/>
  <c r="CS182"/>
  <c r="AL182"/>
  <c r="BZ182"/>
  <c r="AA181"/>
  <c r="Y178"/>
  <c r="FS330"/>
  <c r="GU330" s="1"/>
  <c r="T97" i="45"/>
  <c r="C176"/>
  <c r="GX101" i="43"/>
  <c r="GZ101" s="1"/>
  <c r="GJ101"/>
  <c r="GL101" s="1"/>
  <c r="BK101" s="1"/>
  <c r="GQ101"/>
  <c r="GS101" s="1"/>
  <c r="GC101"/>
  <c r="DR182" l="1"/>
  <c r="BD182"/>
  <c r="BF182" s="1"/>
  <c r="CR182"/>
  <c r="CT182" s="1"/>
  <c r="BY182"/>
  <c r="CA182" s="1"/>
  <c r="ED179"/>
  <c r="CT181"/>
  <c r="CA181"/>
  <c r="BF181"/>
  <c r="AK181"/>
  <c r="R181"/>
  <c r="CY101"/>
  <c r="CF101"/>
  <c r="Y180"/>
  <c r="ED180"/>
  <c r="DX180"/>
  <c r="EE178"/>
  <c r="D176" i="45"/>
  <c r="U176" s="1"/>
  <c r="EE179" i="43"/>
  <c r="CS183"/>
  <c r="BE183"/>
  <c r="AL183"/>
  <c r="BZ183"/>
  <c r="Z183"/>
  <c r="J183"/>
  <c r="K183" s="1"/>
  <c r="D175" i="45"/>
  <c r="U175" s="1"/>
  <c r="AA182" i="43"/>
  <c r="FS331"/>
  <c r="GU331" s="1"/>
  <c r="BM101"/>
  <c r="AS97" i="45"/>
  <c r="AA97"/>
  <c r="AB97" s="1"/>
  <c r="GN102" i="43"/>
  <c r="GM102" s="1"/>
  <c r="AW98" i="45"/>
  <c r="GA101" i="43"/>
  <c r="GE101"/>
  <c r="AR101" s="1"/>
  <c r="C177" i="45"/>
  <c r="AK182" i="43" l="1"/>
  <c r="X182" s="1"/>
  <c r="DX182"/>
  <c r="R182"/>
  <c r="BD183"/>
  <c r="DR183"/>
  <c r="CR183"/>
  <c r="BY183"/>
  <c r="DX181"/>
  <c r="X181"/>
  <c r="DA101"/>
  <c r="AU98" i="45" s="1"/>
  <c r="BA98" s="1"/>
  <c r="HB102" i="43"/>
  <c r="HA102" s="1"/>
  <c r="GW102" s="1"/>
  <c r="GU102"/>
  <c r="GT102" s="1"/>
  <c r="GP102" s="1"/>
  <c r="CH101"/>
  <c r="AV98" i="45"/>
  <c r="BC98" s="1"/>
  <c r="D177"/>
  <c r="U177" s="1"/>
  <c r="EE180" i="43"/>
  <c r="BZ184"/>
  <c r="Z184"/>
  <c r="BE184"/>
  <c r="AL184"/>
  <c r="J184"/>
  <c r="K184" s="1"/>
  <c r="CS184"/>
  <c r="AA183"/>
  <c r="FS332"/>
  <c r="GU332" s="1"/>
  <c r="AT101"/>
  <c r="BE98" i="45"/>
  <c r="GY101" i="43"/>
  <c r="GK101"/>
  <c r="GR101"/>
  <c r="GD101"/>
  <c r="C178" i="45"/>
  <c r="AD101" i="43"/>
  <c r="AT98" i="45"/>
  <c r="GG102" i="43"/>
  <c r="GF102" s="1"/>
  <c r="GB102" s="1"/>
  <c r="GI102"/>
  <c r="CA183" l="1"/>
  <c r="BF183"/>
  <c r="Y182"/>
  <c r="ED182"/>
  <c r="AK183"/>
  <c r="R183"/>
  <c r="CT183"/>
  <c r="CR184"/>
  <c r="DR184"/>
  <c r="BY184"/>
  <c r="BD184"/>
  <c r="Y181"/>
  <c r="ED181"/>
  <c r="FZ102"/>
  <c r="CS185"/>
  <c r="AL185"/>
  <c r="BZ185"/>
  <c r="Z185"/>
  <c r="BE185"/>
  <c r="J185"/>
  <c r="K185" s="1"/>
  <c r="AA184"/>
  <c r="FS333"/>
  <c r="GU333" s="1"/>
  <c r="AY98" i="45"/>
  <c r="C179"/>
  <c r="AE101" i="43"/>
  <c r="EV101" s="1"/>
  <c r="DO101"/>
  <c r="DP101" s="1"/>
  <c r="CR185" l="1"/>
  <c r="CT185" s="1"/>
  <c r="BD185"/>
  <c r="BF185" s="1"/>
  <c r="DR185"/>
  <c r="BY185"/>
  <c r="CA185" s="1"/>
  <c r="DX183"/>
  <c r="D179" i="45"/>
  <c r="U179" s="1"/>
  <c r="EE182" i="43"/>
  <c r="X183"/>
  <c r="CA184"/>
  <c r="CT184"/>
  <c r="BF184"/>
  <c r="AK184"/>
  <c r="R184"/>
  <c r="D178" i="45"/>
  <c r="U178" s="1"/>
  <c r="EE181" i="43"/>
  <c r="AA185"/>
  <c r="BE186"/>
  <c r="CS186"/>
  <c r="BZ186"/>
  <c r="AL186"/>
  <c r="Z186"/>
  <c r="J186"/>
  <c r="K186" s="1"/>
  <c r="FS334"/>
  <c r="GU334" s="1"/>
  <c r="T98" i="45"/>
  <c r="AS182"/>
  <c r="BA182"/>
  <c r="C180"/>
  <c r="GC102" i="43"/>
  <c r="GX102"/>
  <c r="GZ102" s="1"/>
  <c r="GJ102"/>
  <c r="GL102" s="1"/>
  <c r="BK102" s="1"/>
  <c r="GQ102"/>
  <c r="GS102" s="1"/>
  <c r="BD186" l="1"/>
  <c r="DR186"/>
  <c r="CR186"/>
  <c r="BY186"/>
  <c r="AK185"/>
  <c r="X185" s="1"/>
  <c r="DX185"/>
  <c r="R185"/>
  <c r="Y183"/>
  <c r="ED183"/>
  <c r="X184"/>
  <c r="DX184"/>
  <c r="CY102"/>
  <c r="CF102"/>
  <c r="J187"/>
  <c r="K187" s="1"/>
  <c r="CS187"/>
  <c r="BZ187"/>
  <c r="Z187"/>
  <c r="BE187"/>
  <c r="AL187"/>
  <c r="AA186"/>
  <c r="FS335"/>
  <c r="GU335" s="1"/>
  <c r="BM102"/>
  <c r="AS98" i="45"/>
  <c r="AA98"/>
  <c r="AB98" s="1"/>
  <c r="C181"/>
  <c r="GA102" i="43"/>
  <c r="GE102"/>
  <c r="AR102" s="1"/>
  <c r="GN103"/>
  <c r="GM103" s="1"/>
  <c r="AW99" i="45"/>
  <c r="AS183"/>
  <c r="BA183"/>
  <c r="BD187" i="43" l="1"/>
  <c r="CR187"/>
  <c r="DR187"/>
  <c r="BY187"/>
  <c r="CT186"/>
  <c r="BF186"/>
  <c r="CA186"/>
  <c r="AK186"/>
  <c r="R186"/>
  <c r="Y185"/>
  <c r="ED185"/>
  <c r="D180" i="45"/>
  <c r="U180" s="1"/>
  <c r="EE183" i="43"/>
  <c r="Y184"/>
  <c r="ED184"/>
  <c r="HB103"/>
  <c r="HA103" s="1"/>
  <c r="GW103" s="1"/>
  <c r="DA102"/>
  <c r="AU99" i="45" s="1"/>
  <c r="BA99" s="1"/>
  <c r="GU103" i="43"/>
  <c r="GT103" s="1"/>
  <c r="GP103" s="1"/>
  <c r="AV99" i="45"/>
  <c r="BC99" s="1"/>
  <c r="CH102" i="43"/>
  <c r="AA187"/>
  <c r="Z188"/>
  <c r="AL188"/>
  <c r="J188"/>
  <c r="K188" s="1"/>
  <c r="BE188"/>
  <c r="CS188"/>
  <c r="BZ188"/>
  <c r="FS336"/>
  <c r="GU336" s="1"/>
  <c r="AT102"/>
  <c r="BE99" i="45"/>
  <c r="GD102" i="43"/>
  <c r="GR102"/>
  <c r="GY102"/>
  <c r="GK102"/>
  <c r="AS184" i="45"/>
  <c r="BA184"/>
  <c r="C182"/>
  <c r="GI103" i="43"/>
  <c r="AD102"/>
  <c r="GG103"/>
  <c r="GF103" s="1"/>
  <c r="AT99" i="45"/>
  <c r="BD188" i="43" l="1"/>
  <c r="DR188"/>
  <c r="CR188"/>
  <c r="BY188"/>
  <c r="BF187"/>
  <c r="CT187"/>
  <c r="CA187"/>
  <c r="AK187"/>
  <c r="R187"/>
  <c r="DX186"/>
  <c r="X186"/>
  <c r="D182" i="45"/>
  <c r="U182" s="1"/>
  <c r="EE185" i="43"/>
  <c r="D181" i="45"/>
  <c r="U181" s="1"/>
  <c r="EE184" i="43"/>
  <c r="BC182" i="45"/>
  <c r="BC183"/>
  <c r="BE182"/>
  <c r="BE183"/>
  <c r="AY182"/>
  <c r="AY183"/>
  <c r="AA188" i="43"/>
  <c r="Z189"/>
  <c r="BE189"/>
  <c r="J189"/>
  <c r="K189" s="1"/>
  <c r="AL189"/>
  <c r="CS189"/>
  <c r="BZ189"/>
  <c r="FS337"/>
  <c r="GU337" s="1"/>
  <c r="AY99" i="45"/>
  <c r="C183"/>
  <c r="BA185"/>
  <c r="AS185"/>
  <c r="DO102" i="43"/>
  <c r="DP102" s="1"/>
  <c r="AE102"/>
  <c r="EV102" s="1"/>
  <c r="GB103"/>
  <c r="FZ103" s="1"/>
  <c r="DX187" l="1"/>
  <c r="DR189"/>
  <c r="CR189"/>
  <c r="BD189"/>
  <c r="BY189"/>
  <c r="CT188"/>
  <c r="BF188"/>
  <c r="CA188"/>
  <c r="AK188"/>
  <c r="R188"/>
  <c r="X187"/>
  <c r="Y186"/>
  <c r="ED186"/>
  <c r="GC103"/>
  <c r="GE103" s="1"/>
  <c r="AR103" s="1"/>
  <c r="AA189"/>
  <c r="J190"/>
  <c r="K190" s="1"/>
  <c r="BE190"/>
  <c r="CS190"/>
  <c r="BZ190"/>
  <c r="AL190"/>
  <c r="Z190"/>
  <c r="FS338"/>
  <c r="GU338" s="1"/>
  <c r="T99" i="45"/>
  <c r="C184"/>
  <c r="AS186"/>
  <c r="BA186"/>
  <c r="GX103" i="43"/>
  <c r="GZ103" s="1"/>
  <c r="GJ103"/>
  <c r="GL103" s="1"/>
  <c r="BK103" s="1"/>
  <c r="CR190" l="1"/>
  <c r="BD190"/>
  <c r="DR190"/>
  <c r="BY190"/>
  <c r="CA189"/>
  <c r="CT189"/>
  <c r="BF189"/>
  <c r="AK189"/>
  <c r="X189" s="1"/>
  <c r="R189"/>
  <c r="Y187"/>
  <c r="D184" i="45" s="1"/>
  <c r="U184" s="1"/>
  <c r="ED187" i="43"/>
  <c r="DX188"/>
  <c r="X188"/>
  <c r="D183" i="45"/>
  <c r="U183" s="1"/>
  <c r="EE186" i="43"/>
  <c r="CY103"/>
  <c r="GQ103"/>
  <c r="GS103" s="1"/>
  <c r="AA190"/>
  <c r="CS191"/>
  <c r="AL191"/>
  <c r="BZ191"/>
  <c r="Z191"/>
  <c r="BE191"/>
  <c r="J191"/>
  <c r="K191" s="1"/>
  <c r="FS339"/>
  <c r="GU339" s="1"/>
  <c r="AT103"/>
  <c r="BM103"/>
  <c r="AS99" i="45"/>
  <c r="AA99"/>
  <c r="AB99" s="1"/>
  <c r="AT100"/>
  <c r="GG104" i="43"/>
  <c r="GF104" s="1"/>
  <c r="C185" i="45"/>
  <c r="GN104" i="43"/>
  <c r="GM104" s="1"/>
  <c r="AW100" i="45"/>
  <c r="AS187"/>
  <c r="BA187"/>
  <c r="DX189" i="43" l="1"/>
  <c r="DR191"/>
  <c r="CR191"/>
  <c r="BD191"/>
  <c r="BY191"/>
  <c r="CA191" s="1"/>
  <c r="CA190"/>
  <c r="BF190"/>
  <c r="AK190"/>
  <c r="R190"/>
  <c r="CT190"/>
  <c r="Y189"/>
  <c r="ED189"/>
  <c r="EE187"/>
  <c r="Y188"/>
  <c r="ED188"/>
  <c r="HB104"/>
  <c r="HA104" s="1"/>
  <c r="GW104" s="1"/>
  <c r="DA103"/>
  <c r="AU100" i="45" s="1"/>
  <c r="BA100" s="1"/>
  <c r="CF103" i="43"/>
  <c r="GA103"/>
  <c r="GR103" s="1"/>
  <c r="BC184" i="45"/>
  <c r="BE184"/>
  <c r="BE192" i="43"/>
  <c r="CS192"/>
  <c r="AL192"/>
  <c r="BZ192"/>
  <c r="Z192"/>
  <c r="J192"/>
  <c r="K192" s="1"/>
  <c r="AA191"/>
  <c r="FS340"/>
  <c r="GU340" s="1"/>
  <c r="BE100" i="45"/>
  <c r="AY100"/>
  <c r="GI104" i="43"/>
  <c r="C186" i="45"/>
  <c r="AS188"/>
  <c r="BA188"/>
  <c r="GB104" i="43"/>
  <c r="CR192" l="1"/>
  <c r="BD192"/>
  <c r="DR192"/>
  <c r="BY192"/>
  <c r="CT191"/>
  <c r="BF191"/>
  <c r="AK191"/>
  <c r="R191"/>
  <c r="X190"/>
  <c r="DX190"/>
  <c r="D186" i="45"/>
  <c r="U186" s="1"/>
  <c r="EE189" i="43"/>
  <c r="D185" i="45"/>
  <c r="U185" s="1"/>
  <c r="EE188" i="43"/>
  <c r="GK103"/>
  <c r="GD103"/>
  <c r="GY103"/>
  <c r="GU104"/>
  <c r="GT104" s="1"/>
  <c r="GP104" s="1"/>
  <c r="FZ104" s="1"/>
  <c r="GX104" s="1"/>
  <c r="GZ104" s="1"/>
  <c r="AD103"/>
  <c r="CH103"/>
  <c r="AV100" i="45"/>
  <c r="BC100" s="1"/>
  <c r="AY184"/>
  <c r="CS193" i="43"/>
  <c r="BZ193"/>
  <c r="Z193"/>
  <c r="BE193"/>
  <c r="AL193"/>
  <c r="J193"/>
  <c r="K193" s="1"/>
  <c r="AA192"/>
  <c r="FS341"/>
  <c r="GU341" s="1"/>
  <c r="C187" i="45"/>
  <c r="AS189"/>
  <c r="BA189"/>
  <c r="BD193" i="43" l="1"/>
  <c r="CR193"/>
  <c r="DR193"/>
  <c r="BY193"/>
  <c r="DX191"/>
  <c r="AK192"/>
  <c r="R192"/>
  <c r="CT192"/>
  <c r="CA192"/>
  <c r="BF192"/>
  <c r="X191"/>
  <c r="Y190"/>
  <c r="ED190"/>
  <c r="CY104"/>
  <c r="DO103"/>
  <c r="DP103" s="1"/>
  <c r="AE103"/>
  <c r="EV103" s="1"/>
  <c r="J194"/>
  <c r="K194" s="1"/>
  <c r="CS194"/>
  <c r="BZ194"/>
  <c r="BE194"/>
  <c r="AL194"/>
  <c r="Z194"/>
  <c r="AA193"/>
  <c r="FS342"/>
  <c r="GU342" s="1"/>
  <c r="GQ104"/>
  <c r="GS104" s="1"/>
  <c r="GC104"/>
  <c r="GE104" s="1"/>
  <c r="AR104" s="1"/>
  <c r="GJ104"/>
  <c r="GL104" s="1"/>
  <c r="BK104" s="1"/>
  <c r="AS190" i="45"/>
  <c r="BA190"/>
  <c r="C188"/>
  <c r="CR194" i="43" l="1"/>
  <c r="CT194" s="1"/>
  <c r="BD194"/>
  <c r="DR194"/>
  <c r="BY194"/>
  <c r="BF193"/>
  <c r="CT193"/>
  <c r="CA193"/>
  <c r="AK193"/>
  <c r="R193"/>
  <c r="ED191"/>
  <c r="Y191"/>
  <c r="X192"/>
  <c r="DX192"/>
  <c r="D187" i="45"/>
  <c r="U187" s="1"/>
  <c r="EE190" i="43"/>
  <c r="DA104"/>
  <c r="AU101" i="45" s="1"/>
  <c r="BA101" s="1"/>
  <c r="HB105" i="43"/>
  <c r="HA105" s="1"/>
  <c r="GW105" s="1"/>
  <c r="CF104"/>
  <c r="T100" i="45"/>
  <c r="AA194" i="43"/>
  <c r="AL195"/>
  <c r="CS195"/>
  <c r="BZ195"/>
  <c r="BE195"/>
  <c r="Z195"/>
  <c r="J195"/>
  <c r="K195" s="1"/>
  <c r="FS343"/>
  <c r="GU343" s="1"/>
  <c r="AT104"/>
  <c r="GN105"/>
  <c r="GM105" s="1"/>
  <c r="GI105" s="1"/>
  <c r="BM104"/>
  <c r="AW101" i="45"/>
  <c r="GA104" i="43"/>
  <c r="GD104" s="1"/>
  <c r="C189" i="45"/>
  <c r="AT101"/>
  <c r="GG105" i="43"/>
  <c r="GF105" s="1"/>
  <c r="GB105" s="1"/>
  <c r="BA191" i="45"/>
  <c r="AS191"/>
  <c r="D188" l="1"/>
  <c r="U188" s="1"/>
  <c r="DR195" i="43"/>
  <c r="BY195"/>
  <c r="CR195"/>
  <c r="BD195"/>
  <c r="DX193"/>
  <c r="AK194"/>
  <c r="R194"/>
  <c r="CA194"/>
  <c r="BF194"/>
  <c r="X193"/>
  <c r="EE191"/>
  <c r="Y192"/>
  <c r="ED192"/>
  <c r="GU105"/>
  <c r="GT105" s="1"/>
  <c r="GP105" s="1"/>
  <c r="FZ105" s="1"/>
  <c r="AV101" i="45"/>
  <c r="BC101" s="1"/>
  <c r="AD104" i="43"/>
  <c r="DO104" s="1"/>
  <c r="DP104" s="1"/>
  <c r="CH104"/>
  <c r="AA100" i="45"/>
  <c r="AB100" s="1"/>
  <c r="AS100"/>
  <c r="BE185"/>
  <c r="BC185"/>
  <c r="AA195" i="43"/>
  <c r="BZ196"/>
  <c r="BE196"/>
  <c r="AL196"/>
  <c r="Z196"/>
  <c r="J196"/>
  <c r="K196" s="1"/>
  <c r="CS196"/>
  <c r="FS344"/>
  <c r="GU344" s="1"/>
  <c r="BE101" i="45"/>
  <c r="AY101"/>
  <c r="GR104" i="43"/>
  <c r="GK104"/>
  <c r="GY104"/>
  <c r="C190" i="45"/>
  <c r="BA192"/>
  <c r="AS192"/>
  <c r="CR196" i="43" l="1"/>
  <c r="CT196" s="1"/>
  <c r="BD196"/>
  <c r="DR196"/>
  <c r="BY196"/>
  <c r="BF195"/>
  <c r="CA195"/>
  <c r="AE104"/>
  <c r="ED193"/>
  <c r="CT195"/>
  <c r="AK195"/>
  <c r="R195"/>
  <c r="Y193"/>
  <c r="D190" i="45" s="1"/>
  <c r="U190" s="1"/>
  <c r="DX194" i="43"/>
  <c r="X194"/>
  <c r="D189" i="45"/>
  <c r="U189" s="1"/>
  <c r="EE192" i="43"/>
  <c r="AY185" i="45"/>
  <c r="J197" i="43"/>
  <c r="K197" s="1"/>
  <c r="AL197"/>
  <c r="CS197"/>
  <c r="BZ197"/>
  <c r="BE197"/>
  <c r="Z197"/>
  <c r="AA196"/>
  <c r="FS345"/>
  <c r="GU345" s="1"/>
  <c r="BA193" i="45"/>
  <c r="AS193"/>
  <c r="GC105" i="43"/>
  <c r="GX105"/>
  <c r="GZ105" s="1"/>
  <c r="GJ105"/>
  <c r="GL105" s="1"/>
  <c r="BK105" s="1"/>
  <c r="GQ105"/>
  <c r="GS105" s="1"/>
  <c r="C191" i="45"/>
  <c r="T101" l="1"/>
  <c r="AS101" s="1"/>
  <c r="EV104" i="43"/>
  <c r="BD197"/>
  <c r="BF197" s="1"/>
  <c r="CR197"/>
  <c r="CT197" s="1"/>
  <c r="DR197"/>
  <c r="BY197"/>
  <c r="CA197" s="1"/>
  <c r="AK196"/>
  <c r="R196"/>
  <c r="CA196"/>
  <c r="BF196"/>
  <c r="X195"/>
  <c r="EE193"/>
  <c r="DX195"/>
  <c r="Y194"/>
  <c r="ED194"/>
  <c r="CY105"/>
  <c r="CF105"/>
  <c r="AA197"/>
  <c r="CS198"/>
  <c r="AL198"/>
  <c r="J198"/>
  <c r="K198" s="1"/>
  <c r="BZ198"/>
  <c r="Z198"/>
  <c r="BE198"/>
  <c r="FS346"/>
  <c r="GU346" s="1"/>
  <c r="BM105"/>
  <c r="GE105"/>
  <c r="AR105" s="1"/>
  <c r="GA105"/>
  <c r="AW102" i="45"/>
  <c r="GN106" i="43"/>
  <c r="GM106" s="1"/>
  <c r="C192" i="45"/>
  <c r="AS194"/>
  <c r="BA194"/>
  <c r="AA101" l="1"/>
  <c r="AB101" s="1"/>
  <c r="Y195" i="43"/>
  <c r="D192" i="45" s="1"/>
  <c r="U192" s="1"/>
  <c r="CR198" i="43"/>
  <c r="DR198"/>
  <c r="BD198"/>
  <c r="BY198"/>
  <c r="AK197"/>
  <c r="X197" s="1"/>
  <c r="DX197"/>
  <c r="R197"/>
  <c r="ED195"/>
  <c r="X196"/>
  <c r="DX196"/>
  <c r="D191" i="45"/>
  <c r="U191" s="1"/>
  <c r="EE194" i="43"/>
  <c r="DA105"/>
  <c r="AU102" i="45" s="1"/>
  <c r="BA102" s="1"/>
  <c r="HB106" i="43"/>
  <c r="HA106" s="1"/>
  <c r="GW106" s="1"/>
  <c r="GU106"/>
  <c r="GT106" s="1"/>
  <c r="GP106" s="1"/>
  <c r="AV102" i="45"/>
  <c r="BC102" s="1"/>
  <c r="CH105" i="43"/>
  <c r="Z199"/>
  <c r="BE199"/>
  <c r="AL199"/>
  <c r="J199"/>
  <c r="K199" s="1"/>
  <c r="CS199"/>
  <c r="BZ199"/>
  <c r="AA198"/>
  <c r="FS347"/>
  <c r="GU347" s="1"/>
  <c r="AT105"/>
  <c r="BE102" i="45"/>
  <c r="AD105" i="43"/>
  <c r="GG106"/>
  <c r="GF106" s="1"/>
  <c r="AT102" i="45"/>
  <c r="GY105" i="43"/>
  <c r="GK105"/>
  <c r="GD105"/>
  <c r="GR105"/>
  <c r="C193" i="45"/>
  <c r="AS195"/>
  <c r="BA195"/>
  <c r="GI106" i="43"/>
  <c r="EE195" l="1"/>
  <c r="CT198"/>
  <c r="AK198"/>
  <c r="R198"/>
  <c r="Y197"/>
  <c r="ED197"/>
  <c r="BF198"/>
  <c r="CA198"/>
  <c r="BD199"/>
  <c r="DR199"/>
  <c r="CR199"/>
  <c r="BY199"/>
  <c r="Y196"/>
  <c r="ED196"/>
  <c r="BE186" i="45"/>
  <c r="AY186"/>
  <c r="BC186"/>
  <c r="AA199" i="43"/>
  <c r="AL200"/>
  <c r="J200"/>
  <c r="K200" s="1"/>
  <c r="BE200"/>
  <c r="CS200"/>
  <c r="BZ200"/>
  <c r="Z200"/>
  <c r="FS348"/>
  <c r="GU348" s="1"/>
  <c r="AY102" i="45"/>
  <c r="BA196"/>
  <c r="AS196"/>
  <c r="C194"/>
  <c r="DO105" i="43"/>
  <c r="DP105" s="1"/>
  <c r="AE105"/>
  <c r="EV105" s="1"/>
  <c r="GB106"/>
  <c r="FZ106" s="1"/>
  <c r="CR200" l="1"/>
  <c r="CT200" s="1"/>
  <c r="BD200"/>
  <c r="BF200" s="1"/>
  <c r="DR200"/>
  <c r="BY200"/>
  <c r="CA200" s="1"/>
  <c r="D194" i="45"/>
  <c r="U194" s="1"/>
  <c r="EE197" i="43"/>
  <c r="X198"/>
  <c r="DX198"/>
  <c r="CT199"/>
  <c r="BF199"/>
  <c r="CA199"/>
  <c r="AK199"/>
  <c r="R199"/>
  <c r="D193" i="45"/>
  <c r="U193" s="1"/>
  <c r="EE196" i="43"/>
  <c r="GX106"/>
  <c r="GZ106" s="1"/>
  <c r="AL201"/>
  <c r="BZ201"/>
  <c r="Z201"/>
  <c r="BE201"/>
  <c r="J201"/>
  <c r="K201" s="1"/>
  <c r="CS201"/>
  <c r="AA200"/>
  <c r="FS349"/>
  <c r="GU349" s="1"/>
  <c r="T102" i="45"/>
  <c r="C195"/>
  <c r="AS197"/>
  <c r="BA197"/>
  <c r="CR201" i="43" l="1"/>
  <c r="CT201" s="1"/>
  <c r="BD201"/>
  <c r="DR201"/>
  <c r="BY201"/>
  <c r="AK200"/>
  <c r="X200" s="1"/>
  <c r="DX200"/>
  <c r="R200"/>
  <c r="Y198"/>
  <c r="ED198"/>
  <c r="DX199"/>
  <c r="X199"/>
  <c r="CY106"/>
  <c r="GQ106"/>
  <c r="GS106" s="1"/>
  <c r="GJ106"/>
  <c r="GL106" s="1"/>
  <c r="BK106" s="1"/>
  <c r="AW103" i="45" s="1"/>
  <c r="GC106" i="43"/>
  <c r="GE106" s="1"/>
  <c r="AR106" s="1"/>
  <c r="AT106" s="1"/>
  <c r="AA201"/>
  <c r="BE202"/>
  <c r="CS202"/>
  <c r="BZ202"/>
  <c r="Z202"/>
  <c r="AL202"/>
  <c r="J202"/>
  <c r="K202" s="1"/>
  <c r="FS350"/>
  <c r="GU350" s="1"/>
  <c r="AS102" i="45"/>
  <c r="AA102"/>
  <c r="AB102" s="1"/>
  <c r="BA198"/>
  <c r="AS198"/>
  <c r="C196"/>
  <c r="BD202" i="43" l="1"/>
  <c r="BF202" s="1"/>
  <c r="DR202"/>
  <c r="CR202"/>
  <c r="BY202"/>
  <c r="GG107"/>
  <c r="GF107" s="1"/>
  <c r="GB107" s="1"/>
  <c r="AK201"/>
  <c r="R201"/>
  <c r="CA201"/>
  <c r="BF201"/>
  <c r="Y200"/>
  <c r="ED200"/>
  <c r="D195" i="45"/>
  <c r="U195" s="1"/>
  <c r="EE198" i="43"/>
  <c r="AT103" i="45"/>
  <c r="AY103" s="1"/>
  <c r="Y199" i="43"/>
  <c r="ED199"/>
  <c r="GN107"/>
  <c r="GM107" s="1"/>
  <c r="GI107" s="1"/>
  <c r="BM106"/>
  <c r="DA106"/>
  <c r="AU103" i="45" s="1"/>
  <c r="BA103" s="1"/>
  <c r="HB107" i="43"/>
  <c r="HA107" s="1"/>
  <c r="GW107" s="1"/>
  <c r="CF106"/>
  <c r="GA106"/>
  <c r="GD106" s="1"/>
  <c r="BE187" i="45"/>
  <c r="AA202" i="43"/>
  <c r="CS203"/>
  <c r="BZ203"/>
  <c r="AL203"/>
  <c r="Z203"/>
  <c r="BE203"/>
  <c r="J203"/>
  <c r="K203" s="1"/>
  <c r="FS351"/>
  <c r="GU351" s="1"/>
  <c r="BE103" i="45"/>
  <c r="AS199"/>
  <c r="BA199"/>
  <c r="C197"/>
  <c r="BD203" i="43" l="1"/>
  <c r="DR203"/>
  <c r="CR203"/>
  <c r="CT203" s="1"/>
  <c r="BY203"/>
  <c r="CA202"/>
  <c r="CT202"/>
  <c r="AK202"/>
  <c r="R202"/>
  <c r="X201"/>
  <c r="DX201"/>
  <c r="D197" i="45"/>
  <c r="U197" s="1"/>
  <c r="EE200" i="43"/>
  <c r="D196" i="45"/>
  <c r="U196" s="1"/>
  <c r="EE199" i="43"/>
  <c r="GK106"/>
  <c r="GU107"/>
  <c r="GT107" s="1"/>
  <c r="GP107" s="1"/>
  <c r="FZ107" s="1"/>
  <c r="CH106"/>
  <c r="AD106"/>
  <c r="AE106" s="1"/>
  <c r="EV106" s="1"/>
  <c r="AV103" i="45"/>
  <c r="BC103" s="1"/>
  <c r="GY106" i="43"/>
  <c r="GR106"/>
  <c r="BC187" i="45"/>
  <c r="AY187"/>
  <c r="AA203" i="43"/>
  <c r="BZ204"/>
  <c r="AL204"/>
  <c r="Z204"/>
  <c r="J204"/>
  <c r="K204" s="1"/>
  <c r="BE204"/>
  <c r="CS204"/>
  <c r="FS352"/>
  <c r="GU352" s="1"/>
  <c r="AS200" i="45"/>
  <c r="BA200"/>
  <c r="C198"/>
  <c r="T103" l="1"/>
  <c r="AS103" s="1"/>
  <c r="CR204" i="43"/>
  <c r="DR204"/>
  <c r="BD204"/>
  <c r="BY204"/>
  <c r="CA204" s="1"/>
  <c r="BF203"/>
  <c r="CA203"/>
  <c r="AK203"/>
  <c r="X203" s="1"/>
  <c r="R203"/>
  <c r="X202"/>
  <c r="ED202" s="1"/>
  <c r="DX202"/>
  <c r="Y201"/>
  <c r="ED201"/>
  <c r="DO106"/>
  <c r="DP106" s="1"/>
  <c r="J205"/>
  <c r="K205" s="1"/>
  <c r="CS205"/>
  <c r="BZ205"/>
  <c r="AL205"/>
  <c r="Z205"/>
  <c r="BE205"/>
  <c r="AA204"/>
  <c r="FS353"/>
  <c r="GU353" s="1"/>
  <c r="C199" i="45"/>
  <c r="BA201"/>
  <c r="AS201"/>
  <c r="GX107" i="43"/>
  <c r="GZ107" s="1"/>
  <c r="GJ107"/>
  <c r="GL107" s="1"/>
  <c r="BK107" s="1"/>
  <c r="GC107"/>
  <c r="GQ107"/>
  <c r="GS107" s="1"/>
  <c r="AA103" i="45" l="1"/>
  <c r="AB103" s="1"/>
  <c r="Y202" i="43"/>
  <c r="EE202" s="1"/>
  <c r="DX203"/>
  <c r="BD205"/>
  <c r="DR205"/>
  <c r="CR205"/>
  <c r="BY205"/>
  <c r="BF204"/>
  <c r="CT204"/>
  <c r="AK204"/>
  <c r="R204"/>
  <c r="Y203"/>
  <c r="ED203"/>
  <c r="D198" i="45"/>
  <c r="U198" s="1"/>
  <c r="EE201" i="43"/>
  <c r="CY107"/>
  <c r="CF107"/>
  <c r="AA205"/>
  <c r="Z206"/>
  <c r="J206"/>
  <c r="K206" s="1"/>
  <c r="AL206"/>
  <c r="CS206"/>
  <c r="BZ206"/>
  <c r="BE206"/>
  <c r="FS354"/>
  <c r="GU354" s="1"/>
  <c r="BM107"/>
  <c r="AS202" i="45"/>
  <c r="BA202"/>
  <c r="C200"/>
  <c r="GN108" i="43"/>
  <c r="GM108" s="1"/>
  <c r="AW104" i="45"/>
  <c r="GE107" i="43"/>
  <c r="AR107" s="1"/>
  <c r="GA107"/>
  <c r="D199" i="45" l="1"/>
  <c r="U199" s="1"/>
  <c r="BD206" i="43"/>
  <c r="DR206"/>
  <c r="CR206"/>
  <c r="BY206"/>
  <c r="CT205"/>
  <c r="BF205"/>
  <c r="CA205"/>
  <c r="AK205"/>
  <c r="X205" s="1"/>
  <c r="R205"/>
  <c r="DX204"/>
  <c r="X204"/>
  <c r="D200" i="45"/>
  <c r="U200" s="1"/>
  <c r="EE203" i="43"/>
  <c r="DA107"/>
  <c r="AU104" i="45" s="1"/>
  <c r="BA104" s="1"/>
  <c r="HB108" i="43"/>
  <c r="HA108" s="1"/>
  <c r="GW108" s="1"/>
  <c r="GU108"/>
  <c r="GT108" s="1"/>
  <c r="GP108" s="1"/>
  <c r="AV104" i="45"/>
  <c r="BC104" s="1"/>
  <c r="CH107" i="43"/>
  <c r="BE188" i="45"/>
  <c r="AY188"/>
  <c r="BC188"/>
  <c r="AA206" i="43"/>
  <c r="BE207"/>
  <c r="AL207"/>
  <c r="Z207"/>
  <c r="J207"/>
  <c r="K207" s="1"/>
  <c r="CS207"/>
  <c r="BZ207"/>
  <c r="FS355"/>
  <c r="GU355" s="1"/>
  <c r="AT107"/>
  <c r="BE104" i="45"/>
  <c r="AT104"/>
  <c r="GG108" i="43"/>
  <c r="GF108" s="1"/>
  <c r="AD107"/>
  <c r="GI108"/>
  <c r="AS203" i="45"/>
  <c r="BA203"/>
  <c r="GK107" i="43"/>
  <c r="GY107"/>
  <c r="GR107"/>
  <c r="GD107"/>
  <c r="C201" i="45"/>
  <c r="BD207" i="43" l="1"/>
  <c r="DR207"/>
  <c r="CR207"/>
  <c r="BY207"/>
  <c r="DX205"/>
  <c r="CA206"/>
  <c r="BF206"/>
  <c r="AK206"/>
  <c r="R206"/>
  <c r="CT206"/>
  <c r="Y205"/>
  <c r="ED205"/>
  <c r="Y204"/>
  <c r="ED204"/>
  <c r="AA207"/>
  <c r="BE208"/>
  <c r="Z208"/>
  <c r="AL208"/>
  <c r="J208"/>
  <c r="K208" s="1"/>
  <c r="CS208"/>
  <c r="BZ208"/>
  <c r="FS356"/>
  <c r="GU356" s="1"/>
  <c r="AY104" i="45"/>
  <c r="AS204"/>
  <c r="BA204"/>
  <c r="GB108" i="43"/>
  <c r="FZ108" s="1"/>
  <c r="AE107"/>
  <c r="EV107" s="1"/>
  <c r="DO107"/>
  <c r="DP107" s="1"/>
  <c r="C202" i="45"/>
  <c r="BD208" i="43" l="1"/>
  <c r="DR208"/>
  <c r="CR208"/>
  <c r="BY208"/>
  <c r="CA208" s="1"/>
  <c r="CT207"/>
  <c r="BF207"/>
  <c r="CA207"/>
  <c r="AK207"/>
  <c r="R207"/>
  <c r="DX206"/>
  <c r="X206"/>
  <c r="D202" i="45"/>
  <c r="U202" s="1"/>
  <c r="EE205" i="43"/>
  <c r="D201" i="45"/>
  <c r="U201" s="1"/>
  <c r="EE204" i="43"/>
  <c r="GJ108"/>
  <c r="GL108" s="1"/>
  <c r="BK108" s="1"/>
  <c r="AA208"/>
  <c r="CS209"/>
  <c r="BE209"/>
  <c r="BZ209"/>
  <c r="Z209"/>
  <c r="J209"/>
  <c r="K209" s="1"/>
  <c r="AL209"/>
  <c r="FS357"/>
  <c r="GU357" s="1"/>
  <c r="T104" i="45"/>
  <c r="AS205"/>
  <c r="BA205"/>
  <c r="GX108" i="43"/>
  <c r="GZ108" s="1"/>
  <c r="C203" i="45"/>
  <c r="CR209" i="43" l="1"/>
  <c r="BD209"/>
  <c r="DR209"/>
  <c r="BY209"/>
  <c r="BF208"/>
  <c r="DX207"/>
  <c r="CT208"/>
  <c r="AK208"/>
  <c r="R208"/>
  <c r="X207"/>
  <c r="Y207" s="1"/>
  <c r="Y206"/>
  <c r="ED206"/>
  <c r="CY108"/>
  <c r="GC108"/>
  <c r="GE108" s="1"/>
  <c r="AR108" s="1"/>
  <c r="AT108" s="1"/>
  <c r="GQ108"/>
  <c r="GS108" s="1"/>
  <c r="AL210"/>
  <c r="J210"/>
  <c r="K210" s="1"/>
  <c r="CS210"/>
  <c r="BZ210"/>
  <c r="BE210"/>
  <c r="Z210"/>
  <c r="AA209"/>
  <c r="FS358"/>
  <c r="GU358" s="1"/>
  <c r="BM108"/>
  <c r="AS104" i="45"/>
  <c r="AA104"/>
  <c r="AB104" s="1"/>
  <c r="AW105"/>
  <c r="GN109" i="43"/>
  <c r="GM109" s="1"/>
  <c r="C204" i="45"/>
  <c r="AS206"/>
  <c r="BA206"/>
  <c r="BF209" i="43" l="1"/>
  <c r="CR210"/>
  <c r="BD210"/>
  <c r="DR210"/>
  <c r="BY210"/>
  <c r="CT209"/>
  <c r="AK209"/>
  <c r="R209"/>
  <c r="CA209"/>
  <c r="ED207"/>
  <c r="DX208"/>
  <c r="X208"/>
  <c r="D204" i="45"/>
  <c r="U204" s="1"/>
  <c r="EE207" i="43"/>
  <c r="D203" i="45"/>
  <c r="U203" s="1"/>
  <c r="EE206" i="43"/>
  <c r="GA108"/>
  <c r="GY108" s="1"/>
  <c r="GG109"/>
  <c r="GF109" s="1"/>
  <c r="GB109" s="1"/>
  <c r="HB109"/>
  <c r="HA109" s="1"/>
  <c r="GW109" s="1"/>
  <c r="DA108"/>
  <c r="AU105" i="45" s="1"/>
  <c r="BA105" s="1"/>
  <c r="AT105"/>
  <c r="AY105" s="1"/>
  <c r="CF108" i="43"/>
  <c r="BE189" i="45"/>
  <c r="BC189"/>
  <c r="AA210" i="43"/>
  <c r="AL211"/>
  <c r="J211"/>
  <c r="K211" s="1"/>
  <c r="CS211"/>
  <c r="BZ211"/>
  <c r="Z211"/>
  <c r="BE211"/>
  <c r="FS359"/>
  <c r="GU359" s="1"/>
  <c r="BE105" i="45"/>
  <c r="C205"/>
  <c r="GI109" i="43"/>
  <c r="BD211" l="1"/>
  <c r="BF211" s="1"/>
  <c r="CR211"/>
  <c r="DR211"/>
  <c r="BY211"/>
  <c r="CA210"/>
  <c r="AK210"/>
  <c r="R210"/>
  <c r="CT210"/>
  <c r="BF210"/>
  <c r="X209"/>
  <c r="ED209" s="1"/>
  <c r="DX209"/>
  <c r="Y208"/>
  <c r="ED208"/>
  <c r="GD108"/>
  <c r="GK108"/>
  <c r="GR108"/>
  <c r="GU109"/>
  <c r="GT109" s="1"/>
  <c r="GP109" s="1"/>
  <c r="FZ109" s="1"/>
  <c r="AV105" i="45"/>
  <c r="BC105" s="1"/>
  <c r="AD108" i="43"/>
  <c r="CH108"/>
  <c r="AY189" i="45"/>
  <c r="BE212" i="43"/>
  <c r="CS212"/>
  <c r="BZ212"/>
  <c r="Z212"/>
  <c r="J212"/>
  <c r="K212" s="1"/>
  <c r="AL212"/>
  <c r="AA211"/>
  <c r="FS360"/>
  <c r="GU360" s="1"/>
  <c r="C206" i="45"/>
  <c r="BD212" i="43" l="1"/>
  <c r="DR212"/>
  <c r="CR212"/>
  <c r="BY212"/>
  <c r="CT211"/>
  <c r="Y209"/>
  <c r="D206" i="45" s="1"/>
  <c r="U206" s="1"/>
  <c r="AK211" i="43"/>
  <c r="R211"/>
  <c r="CA211"/>
  <c r="X210"/>
  <c r="DX210"/>
  <c r="D205" i="45"/>
  <c r="U205" s="1"/>
  <c r="EE208" i="43"/>
  <c r="DO108"/>
  <c r="DP108" s="1"/>
  <c r="AE108"/>
  <c r="EV108" s="1"/>
  <c r="Z213"/>
  <c r="BE213"/>
  <c r="J213"/>
  <c r="K213" s="1"/>
  <c r="CS213"/>
  <c r="BZ213"/>
  <c r="AL213"/>
  <c r="AA212"/>
  <c r="FS361"/>
  <c r="GU361" s="1"/>
  <c r="C207" i="45"/>
  <c r="GX109" i="43"/>
  <c r="GZ109" s="1"/>
  <c r="GC109"/>
  <c r="GJ109"/>
  <c r="GL109" s="1"/>
  <c r="BK109" s="1"/>
  <c r="GQ109"/>
  <c r="GS109" s="1"/>
  <c r="EE209" l="1"/>
  <c r="CR213"/>
  <c r="DR213"/>
  <c r="BD213"/>
  <c r="BY213"/>
  <c r="CA212"/>
  <c r="CT212"/>
  <c r="BF212"/>
  <c r="AK212"/>
  <c r="R212"/>
  <c r="X211"/>
  <c r="DX211"/>
  <c r="Y210"/>
  <c r="ED210"/>
  <c r="CY109"/>
  <c r="T105" i="45"/>
  <c r="CF109" i="43"/>
  <c r="BE214"/>
  <c r="CS214"/>
  <c r="AL214"/>
  <c r="BZ214"/>
  <c r="Z214"/>
  <c r="J214"/>
  <c r="K214" s="1"/>
  <c r="AA213"/>
  <c r="FS362"/>
  <c r="GU362" s="1"/>
  <c r="BM109"/>
  <c r="GE109"/>
  <c r="AR109" s="1"/>
  <c r="GA109"/>
  <c r="C208" i="45"/>
  <c r="AW106"/>
  <c r="GN110" i="43"/>
  <c r="GM110" s="1"/>
  <c r="DX212" l="1"/>
  <c r="CR214"/>
  <c r="BD214"/>
  <c r="DR214"/>
  <c r="BY214"/>
  <c r="CT213"/>
  <c r="BF213"/>
  <c r="ED211"/>
  <c r="CA213"/>
  <c r="AK213"/>
  <c r="R213"/>
  <c r="Y211"/>
  <c r="X212"/>
  <c r="D207" i="45"/>
  <c r="U207" s="1"/>
  <c r="EE210" i="43"/>
  <c r="DA109"/>
  <c r="AU106" i="45" s="1"/>
  <c r="BA106" s="1"/>
  <c r="HB110" i="43"/>
  <c r="HA110" s="1"/>
  <c r="GW110" s="1"/>
  <c r="GU110"/>
  <c r="GT110" s="1"/>
  <c r="GP110" s="1"/>
  <c r="CH109"/>
  <c r="AV106" i="45"/>
  <c r="BC106" s="1"/>
  <c r="AA105"/>
  <c r="AB105" s="1"/>
  <c r="AS105"/>
  <c r="BE190"/>
  <c r="BC190"/>
  <c r="Z215" i="43"/>
  <c r="BE215"/>
  <c r="J215"/>
  <c r="K215" s="1"/>
  <c r="CS215"/>
  <c r="BZ215"/>
  <c r="AL215"/>
  <c r="AA214"/>
  <c r="FS363"/>
  <c r="GU363" s="1"/>
  <c r="AT109"/>
  <c r="BE106" i="45"/>
  <c r="AD109" i="43"/>
  <c r="AT106" i="45"/>
  <c r="GG110" i="43"/>
  <c r="GF110" s="1"/>
  <c r="C209" i="45"/>
  <c r="GI110" i="43"/>
  <c r="GY109"/>
  <c r="GR109"/>
  <c r="GD109"/>
  <c r="GK109"/>
  <c r="BD215" l="1"/>
  <c r="CR215"/>
  <c r="DR215"/>
  <c r="BY215"/>
  <c r="CA214"/>
  <c r="AK214"/>
  <c r="R214"/>
  <c r="CT214"/>
  <c r="BF214"/>
  <c r="EE211"/>
  <c r="D208" i="45"/>
  <c r="U208" s="1"/>
  <c r="X213" i="43"/>
  <c r="ED213" s="1"/>
  <c r="DX213"/>
  <c r="Y212"/>
  <c r="ED212"/>
  <c r="AY190" i="45"/>
  <c r="Z216" i="43"/>
  <c r="J216"/>
  <c r="K216" s="1"/>
  <c r="BE216"/>
  <c r="CS216"/>
  <c r="AL216"/>
  <c r="BZ216"/>
  <c r="AA215"/>
  <c r="FS364"/>
  <c r="GU364" s="1"/>
  <c r="AY106" i="45"/>
  <c r="GB110" i="43"/>
  <c r="FZ110" s="1"/>
  <c r="C210" i="45"/>
  <c r="AE109" i="43"/>
  <c r="EV109" s="1"/>
  <c r="DO109"/>
  <c r="DP109" s="1"/>
  <c r="Y213" l="1"/>
  <c r="BD216"/>
  <c r="DR216"/>
  <c r="BY216"/>
  <c r="CR216"/>
  <c r="BF215"/>
  <c r="CT215"/>
  <c r="AK215"/>
  <c r="R215"/>
  <c r="CA215"/>
  <c r="X214"/>
  <c r="DX214"/>
  <c r="D210" i="45"/>
  <c r="U210" s="1"/>
  <c r="D209"/>
  <c r="U209" s="1"/>
  <c r="EE212" i="43"/>
  <c r="GJ110"/>
  <c r="GL110" s="1"/>
  <c r="BK110" s="1"/>
  <c r="AA216"/>
  <c r="J217"/>
  <c r="K217" s="1"/>
  <c r="CS217"/>
  <c r="BZ217"/>
  <c r="Z217"/>
  <c r="BE217"/>
  <c r="AL217"/>
  <c r="FS365"/>
  <c r="GU365" s="1"/>
  <c r="T106" i="45"/>
  <c r="C211"/>
  <c r="GQ110" i="43"/>
  <c r="GS110" s="1"/>
  <c r="EE213" l="1"/>
  <c r="DR217"/>
  <c r="CR217"/>
  <c r="CT217" s="1"/>
  <c r="BD217"/>
  <c r="BF217" s="1"/>
  <c r="BY217"/>
  <c r="CA217" s="1"/>
  <c r="CA216"/>
  <c r="BF216"/>
  <c r="AK216"/>
  <c r="R216"/>
  <c r="CT216"/>
  <c r="X215"/>
  <c r="DX215"/>
  <c r="Y214"/>
  <c r="ED214"/>
  <c r="CF110"/>
  <c r="GX110"/>
  <c r="GZ110" s="1"/>
  <c r="GC110"/>
  <c r="GE110" s="1"/>
  <c r="AR110" s="1"/>
  <c r="GG111" s="1"/>
  <c r="GF111" s="1"/>
  <c r="AA217"/>
  <c r="J218"/>
  <c r="K218" s="1"/>
  <c r="CR218" s="1"/>
  <c r="CS218"/>
  <c r="BE218"/>
  <c r="BZ218"/>
  <c r="AL218"/>
  <c r="Z218"/>
  <c r="FS366"/>
  <c r="GU366" s="1"/>
  <c r="BM110"/>
  <c r="AS106" i="45"/>
  <c r="AA106"/>
  <c r="AB106" s="1"/>
  <c r="C212"/>
  <c r="AW107"/>
  <c r="GN111" i="43"/>
  <c r="GM111" s="1"/>
  <c r="BD218" l="1"/>
  <c r="DR218"/>
  <c r="BY218"/>
  <c r="AK217"/>
  <c r="X217" s="1"/>
  <c r="DX217"/>
  <c r="R217"/>
  <c r="Y215"/>
  <c r="ED215"/>
  <c r="X216"/>
  <c r="DX216"/>
  <c r="D211" i="45"/>
  <c r="U211" s="1"/>
  <c r="EE214" i="43"/>
  <c r="CY110"/>
  <c r="GU111"/>
  <c r="GT111" s="1"/>
  <c r="GP111" s="1"/>
  <c r="CH110"/>
  <c r="AV107" i="45"/>
  <c r="BC107" s="1"/>
  <c r="AT110" i="43"/>
  <c r="AT107" i="45"/>
  <c r="AY107" s="1"/>
  <c r="GA110" i="43"/>
  <c r="GY110" s="1"/>
  <c r="AY191" i="45"/>
  <c r="BE191"/>
  <c r="BC191"/>
  <c r="AA218" i="43"/>
  <c r="J219"/>
  <c r="K219" s="1"/>
  <c r="CR219" s="1"/>
  <c r="CS219"/>
  <c r="BZ219"/>
  <c r="AL219"/>
  <c r="Z219"/>
  <c r="BE219"/>
  <c r="FS367"/>
  <c r="GU367" s="1"/>
  <c r="BE107" i="45"/>
  <c r="GB111" i="43"/>
  <c r="GI111"/>
  <c r="C213" i="45"/>
  <c r="D212" l="1"/>
  <c r="U212" s="1"/>
  <c r="EE215" i="43"/>
  <c r="CT218"/>
  <c r="Y217"/>
  <c r="ED217"/>
  <c r="BF218"/>
  <c r="AK218"/>
  <c r="R218"/>
  <c r="CA218"/>
  <c r="BD219"/>
  <c r="DR219"/>
  <c r="BY219"/>
  <c r="Y216"/>
  <c r="ED216"/>
  <c r="HB111"/>
  <c r="HA111" s="1"/>
  <c r="GW111" s="1"/>
  <c r="FZ111" s="1"/>
  <c r="GX111" s="1"/>
  <c r="GZ111" s="1"/>
  <c r="AD110"/>
  <c r="DA110"/>
  <c r="AU107" i="45" s="1"/>
  <c r="BA107" s="1"/>
  <c r="GD110" i="43"/>
  <c r="GK110"/>
  <c r="GR110"/>
  <c r="AL220"/>
  <c r="BZ220"/>
  <c r="Z220"/>
  <c r="J220"/>
  <c r="K220" s="1"/>
  <c r="BE220"/>
  <c r="CS220"/>
  <c r="AA219"/>
  <c r="FS368"/>
  <c r="GU368" s="1"/>
  <c r="C214" i="45"/>
  <c r="CR220" i="43" l="1"/>
  <c r="BD220"/>
  <c r="BF220" s="1"/>
  <c r="DR220"/>
  <c r="BY220"/>
  <c r="CA220" s="1"/>
  <c r="DX218"/>
  <c r="X218"/>
  <c r="D214" i="45"/>
  <c r="U214" s="1"/>
  <c r="EE217" i="43"/>
  <c r="BF219"/>
  <c r="CT219"/>
  <c r="AK219"/>
  <c r="R219"/>
  <c r="CA219"/>
  <c r="D213" i="45"/>
  <c r="U213" s="1"/>
  <c r="EE216" i="43"/>
  <c r="AE110"/>
  <c r="EV110" s="1"/>
  <c r="DO110"/>
  <c r="DP110" s="1"/>
  <c r="CY111"/>
  <c r="BE221"/>
  <c r="J221"/>
  <c r="K221" s="1"/>
  <c r="CR221" s="1"/>
  <c r="Z221"/>
  <c r="CS221"/>
  <c r="AL221"/>
  <c r="BZ221"/>
  <c r="AA220"/>
  <c r="FS369"/>
  <c r="GU369" s="1"/>
  <c r="GQ111"/>
  <c r="GS111" s="1"/>
  <c r="GJ111"/>
  <c r="GL111" s="1"/>
  <c r="BK111" s="1"/>
  <c r="GC111"/>
  <c r="GE111" s="1"/>
  <c r="AR111" s="1"/>
  <c r="C215" i="45"/>
  <c r="CT220" i="43" l="1"/>
  <c r="CT221"/>
  <c r="DR221"/>
  <c r="BD221"/>
  <c r="BY221"/>
  <c r="AK220"/>
  <c r="X220" s="1"/>
  <c r="R220"/>
  <c r="Y218"/>
  <c r="ED218"/>
  <c r="X219"/>
  <c r="DX219"/>
  <c r="DA111"/>
  <c r="AU108" i="45" s="1"/>
  <c r="BA108" s="1"/>
  <c r="HB112" i="43"/>
  <c r="HA112" s="1"/>
  <c r="GW112" s="1"/>
  <c r="T107" i="45"/>
  <c r="CF111" i="43"/>
  <c r="AA221"/>
  <c r="BE222"/>
  <c r="AL222"/>
  <c r="Z222"/>
  <c r="J222"/>
  <c r="K222" s="1"/>
  <c r="CS222"/>
  <c r="BZ222"/>
  <c r="FS370"/>
  <c r="GU370" s="1"/>
  <c r="AW108" i="45"/>
  <c r="BE108" s="1"/>
  <c r="AT111" i="43"/>
  <c r="GN112"/>
  <c r="GM112" s="1"/>
  <c r="GI112" s="1"/>
  <c r="BM111"/>
  <c r="GA111"/>
  <c r="GY111" s="1"/>
  <c r="GG112"/>
  <c r="GF112" s="1"/>
  <c r="AT108" i="45"/>
  <c r="C216"/>
  <c r="DX220" i="43" l="1"/>
  <c r="CR222"/>
  <c r="BD222"/>
  <c r="BF222" s="1"/>
  <c r="DR222"/>
  <c r="BY222"/>
  <c r="CA222" s="1"/>
  <c r="CA221"/>
  <c r="AK221"/>
  <c r="X221" s="1"/>
  <c r="R221"/>
  <c r="BF221"/>
  <c r="Y220"/>
  <c r="ED220"/>
  <c r="D215" i="45"/>
  <c r="U215" s="1"/>
  <c r="EE218" i="43"/>
  <c r="Y219"/>
  <c r="ED219"/>
  <c r="AA107" i="45"/>
  <c r="AB107" s="1"/>
  <c r="AS107"/>
  <c r="GU112" i="43"/>
  <c r="GT112" s="1"/>
  <c r="GP112" s="1"/>
  <c r="AV108" i="45"/>
  <c r="BC108" s="1"/>
  <c r="AD111" i="43"/>
  <c r="DO111" s="1"/>
  <c r="DP111" s="1"/>
  <c r="CH111"/>
  <c r="BE192" i="45"/>
  <c r="BC192"/>
  <c r="AL223" i="43"/>
  <c r="CS223"/>
  <c r="BE223"/>
  <c r="BZ223"/>
  <c r="Z223"/>
  <c r="J223"/>
  <c r="K223" s="1"/>
  <c r="AA222"/>
  <c r="FS371"/>
  <c r="GU371" s="1"/>
  <c r="AY108" i="45"/>
  <c r="GK111" i="43"/>
  <c r="GD111"/>
  <c r="GR111"/>
  <c r="GB112"/>
  <c r="C217" i="45"/>
  <c r="CR223" i="43" l="1"/>
  <c r="CT223" s="1"/>
  <c r="DR223"/>
  <c r="BD223"/>
  <c r="BY223"/>
  <c r="AK222"/>
  <c r="R222"/>
  <c r="CT222"/>
  <c r="Y221"/>
  <c r="ED221"/>
  <c r="DX221"/>
  <c r="D217" i="45"/>
  <c r="U217" s="1"/>
  <c r="EE220" i="43"/>
  <c r="D216" i="45"/>
  <c r="U216" s="1"/>
  <c r="EE219" i="43"/>
  <c r="AE111"/>
  <c r="EV111" s="1"/>
  <c r="FZ112"/>
  <c r="GX112" s="1"/>
  <c r="GZ112" s="1"/>
  <c r="AY192" i="45"/>
  <c r="BZ224" i="43"/>
  <c r="Z224"/>
  <c r="J224"/>
  <c r="K224" s="1"/>
  <c r="BE224"/>
  <c r="CS224"/>
  <c r="AL224"/>
  <c r="AA223"/>
  <c r="FS372"/>
  <c r="GU372" s="1"/>
  <c r="C218" i="45"/>
  <c r="CR224" i="43" l="1"/>
  <c r="BD224"/>
  <c r="BF224" s="1"/>
  <c r="DR224"/>
  <c r="BY224"/>
  <c r="BF223"/>
  <c r="CA223"/>
  <c r="AK223"/>
  <c r="R223"/>
  <c r="X222"/>
  <c r="DX222"/>
  <c r="D218" i="45"/>
  <c r="U218" s="1"/>
  <c r="EE221" i="43"/>
  <c r="GC112"/>
  <c r="GE112" s="1"/>
  <c r="AR112" s="1"/>
  <c r="T108" i="45"/>
  <c r="AA108" s="1"/>
  <c r="AB108" s="1"/>
  <c r="GQ112" i="43"/>
  <c r="GS112" s="1"/>
  <c r="CF112" s="1"/>
  <c r="GJ112"/>
  <c r="GL112" s="1"/>
  <c r="BK112" s="1"/>
  <c r="GN113" s="1"/>
  <c r="GM113" s="1"/>
  <c r="CY112"/>
  <c r="AA224"/>
  <c r="AL225"/>
  <c r="CS225"/>
  <c r="BZ225"/>
  <c r="Z225"/>
  <c r="BE225"/>
  <c r="J225"/>
  <c r="K225" s="1"/>
  <c r="FS373"/>
  <c r="GU373" s="1"/>
  <c r="C219" i="45"/>
  <c r="CR225" i="43" l="1"/>
  <c r="DR225"/>
  <c r="BD225"/>
  <c r="BY225"/>
  <c r="CA224"/>
  <c r="DX223"/>
  <c r="AK224"/>
  <c r="R224"/>
  <c r="CT224"/>
  <c r="X223"/>
  <c r="Y222"/>
  <c r="ED222"/>
  <c r="AS108" i="45"/>
  <c r="AW109"/>
  <c r="BE109" s="1"/>
  <c r="GA112" i="43"/>
  <c r="GD112" s="1"/>
  <c r="BM112"/>
  <c r="DA112"/>
  <c r="AU109" i="45" s="1"/>
  <c r="BA109" s="1"/>
  <c r="HB113" i="43"/>
  <c r="HA113" s="1"/>
  <c r="GW113" s="1"/>
  <c r="GU113"/>
  <c r="GT113" s="1"/>
  <c r="GP113" s="1"/>
  <c r="CH112"/>
  <c r="AV109" i="45"/>
  <c r="BC109" s="1"/>
  <c r="BZ226" i="43"/>
  <c r="Z226"/>
  <c r="AL226"/>
  <c r="J226"/>
  <c r="K226" s="1"/>
  <c r="BE226"/>
  <c r="CS226"/>
  <c r="AA225"/>
  <c r="FS374"/>
  <c r="GU374" s="1"/>
  <c r="AT112"/>
  <c r="AT109" i="45"/>
  <c r="AD112" i="43"/>
  <c r="GG113"/>
  <c r="GF113" s="1"/>
  <c r="GI113"/>
  <c r="C220" i="45"/>
  <c r="Y223" i="43" l="1"/>
  <c r="ED223"/>
  <c r="CR226"/>
  <c r="BD226"/>
  <c r="DR226"/>
  <c r="BY226"/>
  <c r="CT225"/>
  <c r="BF225"/>
  <c r="CA225"/>
  <c r="AK225"/>
  <c r="R225"/>
  <c r="X224"/>
  <c r="D220" i="45"/>
  <c r="U220" s="1"/>
  <c r="D219"/>
  <c r="U219" s="1"/>
  <c r="EE222" i="43"/>
  <c r="GR112"/>
  <c r="GY112"/>
  <c r="GK112"/>
  <c r="BC193" i="45"/>
  <c r="BE193"/>
  <c r="CS227" i="43"/>
  <c r="BZ227"/>
  <c r="AL227"/>
  <c r="Z227"/>
  <c r="BE227"/>
  <c r="J227"/>
  <c r="K227" s="1"/>
  <c r="AA226"/>
  <c r="FS375"/>
  <c r="GU375" s="1"/>
  <c r="AY109" i="45"/>
  <c r="DO112" i="43"/>
  <c r="DP112" s="1"/>
  <c r="AE112"/>
  <c r="EV112" s="1"/>
  <c r="GB113"/>
  <c r="FZ113" s="1"/>
  <c r="C221" i="45"/>
  <c r="EE223" i="43" l="1"/>
  <c r="CR227"/>
  <c r="DR227"/>
  <c r="BD227"/>
  <c r="BY227"/>
  <c r="BF226"/>
  <c r="CA226"/>
  <c r="AK226"/>
  <c r="R226"/>
  <c r="CT226"/>
  <c r="DX225"/>
  <c r="X225"/>
  <c r="Y224"/>
  <c r="ED224"/>
  <c r="GC113"/>
  <c r="GE113" s="1"/>
  <c r="AR113" s="1"/>
  <c r="AY193" i="45"/>
  <c r="AA227" i="43"/>
  <c r="BE228"/>
  <c r="CS228"/>
  <c r="BZ228"/>
  <c r="AL228"/>
  <c r="Z228"/>
  <c r="J228"/>
  <c r="K228" s="1"/>
  <c r="FS376"/>
  <c r="GU376" s="1"/>
  <c r="T109" i="45"/>
  <c r="C222"/>
  <c r="GX113" i="43"/>
  <c r="GZ113" s="1"/>
  <c r="GJ113"/>
  <c r="GL113" s="1"/>
  <c r="BK113" s="1"/>
  <c r="CR228" l="1"/>
  <c r="DR228"/>
  <c r="BD228"/>
  <c r="BY228"/>
  <c r="ED225"/>
  <c r="Y225"/>
  <c r="D222" i="45" s="1"/>
  <c r="U222" s="1"/>
  <c r="CT227" i="43"/>
  <c r="AK227"/>
  <c r="R227"/>
  <c r="BF227"/>
  <c r="CA227"/>
  <c r="X226"/>
  <c r="DX226"/>
  <c r="D221" i="45"/>
  <c r="U221" s="1"/>
  <c r="EE224" i="43"/>
  <c r="CY113"/>
  <c r="GQ113"/>
  <c r="GS113" s="1"/>
  <c r="AA228"/>
  <c r="Z229"/>
  <c r="BE229"/>
  <c r="J229"/>
  <c r="K229" s="1"/>
  <c r="AL229"/>
  <c r="CS229"/>
  <c r="BZ229"/>
  <c r="FS377"/>
  <c r="GU377" s="1"/>
  <c r="AT113"/>
  <c r="BM113"/>
  <c r="AS109" i="45"/>
  <c r="AA109"/>
  <c r="AB109" s="1"/>
  <c r="C223"/>
  <c r="AW110"/>
  <c r="GN114" i="43"/>
  <c r="GM114" s="1"/>
  <c r="GG114"/>
  <c r="GF114" s="1"/>
  <c r="AT110" i="45"/>
  <c r="EE225" i="43" l="1"/>
  <c r="CR229"/>
  <c r="DR229"/>
  <c r="BD229"/>
  <c r="BY229"/>
  <c r="CA228"/>
  <c r="BF228"/>
  <c r="CT228"/>
  <c r="AK228"/>
  <c r="R228"/>
  <c r="X227"/>
  <c r="Y227" s="1"/>
  <c r="DX227"/>
  <c r="Y226"/>
  <c r="ED226"/>
  <c r="HB114"/>
  <c r="HA114" s="1"/>
  <c r="GW114" s="1"/>
  <c r="DA113"/>
  <c r="AU110" i="45" s="1"/>
  <c r="CF113" i="43"/>
  <c r="GA113"/>
  <c r="GK113" s="1"/>
  <c r="BZ230"/>
  <c r="Z230"/>
  <c r="J230"/>
  <c r="K230" s="1"/>
  <c r="BE230"/>
  <c r="CS230"/>
  <c r="AL230"/>
  <c r="AA229"/>
  <c r="FS378"/>
  <c r="GU378" s="1"/>
  <c r="AY110" i="45"/>
  <c r="BE110"/>
  <c r="GB114" i="43"/>
  <c r="C224" i="45"/>
  <c r="GI114" i="43"/>
  <c r="CR230" l="1"/>
  <c r="BD230"/>
  <c r="DR230"/>
  <c r="BY230"/>
  <c r="CA230" s="1"/>
  <c r="CT229"/>
  <c r="BF229"/>
  <c r="CA229"/>
  <c r="AK229"/>
  <c r="R229"/>
  <c r="ED227"/>
  <c r="DX228"/>
  <c r="X228"/>
  <c r="D224" i="45"/>
  <c r="U224" s="1"/>
  <c r="EE227" i="43"/>
  <c r="D223" i="45"/>
  <c r="U223" s="1"/>
  <c r="EE226" i="43"/>
  <c r="GR113"/>
  <c r="GU114"/>
  <c r="GT114" s="1"/>
  <c r="GP114" s="1"/>
  <c r="FZ114" s="1"/>
  <c r="AD113"/>
  <c r="CH113"/>
  <c r="AV110" i="45"/>
  <c r="BC110" s="1"/>
  <c r="GY113" i="43"/>
  <c r="GD113"/>
  <c r="BE194" i="45"/>
  <c r="BC194"/>
  <c r="AA230" i="43"/>
  <c r="CS231"/>
  <c r="BZ231"/>
  <c r="AL231"/>
  <c r="Z231"/>
  <c r="BE231"/>
  <c r="J231"/>
  <c r="K231" s="1"/>
  <c r="FS379"/>
  <c r="GU379" s="1"/>
  <c r="BA110" i="45"/>
  <c r="C225"/>
  <c r="CR231" i="43" l="1"/>
  <c r="CT231" s="1"/>
  <c r="BD231"/>
  <c r="BF231" s="1"/>
  <c r="DR231"/>
  <c r="BY231"/>
  <c r="CA231" s="1"/>
  <c r="BF230"/>
  <c r="DX229"/>
  <c r="AK230"/>
  <c r="R230"/>
  <c r="CT230"/>
  <c r="X229"/>
  <c r="ED229" s="1"/>
  <c r="Y228"/>
  <c r="ED228"/>
  <c r="AE113"/>
  <c r="EV113" s="1"/>
  <c r="DO113"/>
  <c r="DP113" s="1"/>
  <c r="AY194" i="45"/>
  <c r="AA231" i="43"/>
  <c r="BZ232"/>
  <c r="AL232"/>
  <c r="Z232"/>
  <c r="J232"/>
  <c r="K232" s="1"/>
  <c r="BE232"/>
  <c r="CS232"/>
  <c r="FS380"/>
  <c r="GU380" s="1"/>
  <c r="GX114"/>
  <c r="GZ114" s="1"/>
  <c r="GJ114"/>
  <c r="GL114" s="1"/>
  <c r="BK114" s="1"/>
  <c r="GC114"/>
  <c r="GQ114"/>
  <c r="GS114" s="1"/>
  <c r="C226" i="45"/>
  <c r="Y229" i="43" l="1"/>
  <c r="EE229" s="1"/>
  <c r="AK231"/>
  <c r="X231" s="1"/>
  <c r="DX231"/>
  <c r="R231"/>
  <c r="CR232"/>
  <c r="BD232"/>
  <c r="DR232"/>
  <c r="BY232"/>
  <c r="X230"/>
  <c r="DX230"/>
  <c r="D225" i="45"/>
  <c r="U225" s="1"/>
  <c r="EE228" i="43"/>
  <c r="CY114"/>
  <c r="T110" i="45"/>
  <c r="CF114" i="43"/>
  <c r="R262"/>
  <c r="AA232"/>
  <c r="BZ233"/>
  <c r="Z233"/>
  <c r="BE233"/>
  <c r="J233"/>
  <c r="K233" s="1"/>
  <c r="AL233"/>
  <c r="CS233"/>
  <c r="FS381"/>
  <c r="GU381" s="1"/>
  <c r="BM114"/>
  <c r="C227" i="45"/>
  <c r="GN115" i="43"/>
  <c r="GM115" s="1"/>
  <c r="AW111" i="45"/>
  <c r="GE114" i="43"/>
  <c r="AR114" s="1"/>
  <c r="GA114"/>
  <c r="D226" i="45" l="1"/>
  <c r="U226" s="1"/>
  <c r="CT232" i="43"/>
  <c r="Y231"/>
  <c r="ED231"/>
  <c r="BF232"/>
  <c r="AK232"/>
  <c r="R232"/>
  <c r="CA232"/>
  <c r="CR233"/>
  <c r="DR233"/>
  <c r="BD233"/>
  <c r="BY233"/>
  <c r="Y230"/>
  <c r="ED230"/>
  <c r="DA114"/>
  <c r="AU111" i="45" s="1"/>
  <c r="HB115" i="43"/>
  <c r="HA115" s="1"/>
  <c r="GW115" s="1"/>
  <c r="GU115"/>
  <c r="GT115" s="1"/>
  <c r="GP115" s="1"/>
  <c r="CH114"/>
  <c r="AV111" i="45"/>
  <c r="BC111" s="1"/>
  <c r="AA110"/>
  <c r="AB110" s="1"/>
  <c r="AS110"/>
  <c r="R263" i="43"/>
  <c r="AA233"/>
  <c r="J234"/>
  <c r="K234" s="1"/>
  <c r="BE234"/>
  <c r="CS234"/>
  <c r="BZ234"/>
  <c r="AL234"/>
  <c r="Z234"/>
  <c r="FS382"/>
  <c r="GU382" s="1"/>
  <c r="BE111" i="45"/>
  <c r="AT114" i="43"/>
  <c r="GI115"/>
  <c r="GG115"/>
  <c r="GF115" s="1"/>
  <c r="AD114"/>
  <c r="AT111" i="45"/>
  <c r="GK114" i="43"/>
  <c r="GY114"/>
  <c r="GD114"/>
  <c r="GR114"/>
  <c r="C228" i="45"/>
  <c r="BD234" i="43" l="1"/>
  <c r="BF234" s="1"/>
  <c r="DR234"/>
  <c r="CR234"/>
  <c r="CT234" s="1"/>
  <c r="BY234"/>
  <c r="CA234" s="1"/>
  <c r="X232"/>
  <c r="D228" i="45"/>
  <c r="U228" s="1"/>
  <c r="EE231" i="43"/>
  <c r="DX232"/>
  <c r="BF233"/>
  <c r="CT233"/>
  <c r="CA233"/>
  <c r="AK233"/>
  <c r="R233"/>
  <c r="D227" i="45"/>
  <c r="U227" s="1"/>
  <c r="EE230" i="43"/>
  <c r="R264"/>
  <c r="BE195" i="45"/>
  <c r="BC195"/>
  <c r="AY195"/>
  <c r="AA234" i="43"/>
  <c r="J235"/>
  <c r="K235" s="1"/>
  <c r="AL235"/>
  <c r="CS235"/>
  <c r="BZ235"/>
  <c r="Z235"/>
  <c r="BE235"/>
  <c r="FS383"/>
  <c r="GU383" s="1"/>
  <c r="AY111" i="45"/>
  <c r="BA111"/>
  <c r="AE114" i="43"/>
  <c r="EV114" s="1"/>
  <c r="DO114"/>
  <c r="DP114" s="1"/>
  <c r="C229" i="45"/>
  <c r="GB115" i="43"/>
  <c r="FZ115" s="1"/>
  <c r="BD235" l="1"/>
  <c r="CR235"/>
  <c r="DR235"/>
  <c r="BY235"/>
  <c r="DX234"/>
  <c r="AK234"/>
  <c r="X234" s="1"/>
  <c r="R234"/>
  <c r="Y232"/>
  <c r="ED232"/>
  <c r="DX233"/>
  <c r="X233"/>
  <c r="GQ115"/>
  <c r="GS115" s="1"/>
  <c r="R265"/>
  <c r="J236"/>
  <c r="K236" s="1"/>
  <c r="AL236"/>
  <c r="BE236"/>
  <c r="CS236"/>
  <c r="BZ236"/>
  <c r="Z236"/>
  <c r="AA235"/>
  <c r="FS384"/>
  <c r="GU384" s="1"/>
  <c r="T111" i="45"/>
  <c r="C230"/>
  <c r="GX115" i="43"/>
  <c r="GZ115" s="1"/>
  <c r="GJ115"/>
  <c r="GL115" s="1"/>
  <c r="BK115" s="1"/>
  <c r="CR236" l="1"/>
  <c r="BD236"/>
  <c r="DR236"/>
  <c r="BY236"/>
  <c r="AK235"/>
  <c r="R235"/>
  <c r="BF235"/>
  <c r="CA235"/>
  <c r="CT235"/>
  <c r="Y234"/>
  <c r="ED234"/>
  <c r="D229" i="45"/>
  <c r="U229" s="1"/>
  <c r="EE232" i="43"/>
  <c r="Y233"/>
  <c r="ED233"/>
  <c r="CY115"/>
  <c r="CF115"/>
  <c r="GC115"/>
  <c r="GE115" s="1"/>
  <c r="AR115" s="1"/>
  <c r="AT115" s="1"/>
  <c r="R266"/>
  <c r="AA236"/>
  <c r="CS237"/>
  <c r="BZ237"/>
  <c r="Z237"/>
  <c r="BE237"/>
  <c r="J237"/>
  <c r="K237" s="1"/>
  <c r="AL237"/>
  <c r="FS385"/>
  <c r="GU385" s="1"/>
  <c r="BM115"/>
  <c r="AS111" i="45"/>
  <c r="AA111"/>
  <c r="AB111" s="1"/>
  <c r="GN116" i="43"/>
  <c r="GM116" s="1"/>
  <c r="AW112" i="45"/>
  <c r="C231"/>
  <c r="BD237" i="43" l="1"/>
  <c r="CR237"/>
  <c r="DR237"/>
  <c r="BY237"/>
  <c r="CA236"/>
  <c r="CT236"/>
  <c r="BF236"/>
  <c r="AK236"/>
  <c r="R236"/>
  <c r="X235"/>
  <c r="DX235"/>
  <c r="D231" i="45"/>
  <c r="U231" s="1"/>
  <c r="EE234" i="43"/>
  <c r="D230" i="45"/>
  <c r="U230" s="1"/>
  <c r="EE233" i="43"/>
  <c r="GG116"/>
  <c r="GF116" s="1"/>
  <c r="GB116" s="1"/>
  <c r="GA115"/>
  <c r="GR115" s="1"/>
  <c r="DA115"/>
  <c r="AU112" i="45" s="1"/>
  <c r="HB116" i="43"/>
  <c r="HA116" s="1"/>
  <c r="GW116" s="1"/>
  <c r="AT112" i="45"/>
  <c r="AY112" s="1"/>
  <c r="GU116" i="43"/>
  <c r="GT116" s="1"/>
  <c r="GP116" s="1"/>
  <c r="CH115"/>
  <c r="AD115"/>
  <c r="DO115" s="1"/>
  <c r="DP115" s="1"/>
  <c r="AV112" i="45"/>
  <c r="BC112" s="1"/>
  <c r="R267" i="43"/>
  <c r="BE196" i="45"/>
  <c r="AY196"/>
  <c r="BC196"/>
  <c r="J238" i="43"/>
  <c r="K238" s="1"/>
  <c r="AL238"/>
  <c r="BE238"/>
  <c r="CS238"/>
  <c r="BZ238"/>
  <c r="Z238"/>
  <c r="AA237"/>
  <c r="BE112" i="45"/>
  <c r="C232"/>
  <c r="GI116" i="43"/>
  <c r="DX236" l="1"/>
  <c r="CR238"/>
  <c r="BD238"/>
  <c r="DR238"/>
  <c r="BY238"/>
  <c r="AK237"/>
  <c r="R237"/>
  <c r="BF237"/>
  <c r="CA237"/>
  <c r="CT237"/>
  <c r="X236"/>
  <c r="Y235"/>
  <c r="ED235"/>
  <c r="GK115"/>
  <c r="GY115"/>
  <c r="GD115"/>
  <c r="AE115"/>
  <c r="EV115" s="1"/>
  <c r="FZ116"/>
  <c r="R268"/>
  <c r="BZ239"/>
  <c r="Z239"/>
  <c r="BE239"/>
  <c r="AL239"/>
  <c r="J239"/>
  <c r="K239" s="1"/>
  <c r="CS239"/>
  <c r="AA238"/>
  <c r="BA112" i="45"/>
  <c r="C233"/>
  <c r="DR239" i="43" l="1"/>
  <c r="BD239"/>
  <c r="CR239"/>
  <c r="BY239"/>
  <c r="CT238"/>
  <c r="BF238"/>
  <c r="CA238"/>
  <c r="T112" i="45"/>
  <c r="AS112" s="1"/>
  <c r="AK238" i="43"/>
  <c r="R238"/>
  <c r="ED236"/>
  <c r="Y236"/>
  <c r="D233" i="45" s="1"/>
  <c r="U233" s="1"/>
  <c r="X237" i="43"/>
  <c r="DX237"/>
  <c r="D232" i="45"/>
  <c r="U232" s="1"/>
  <c r="EE235" i="43"/>
  <c r="R269"/>
  <c r="J240"/>
  <c r="K240" s="1"/>
  <c r="BE240"/>
  <c r="CS240"/>
  <c r="BZ240"/>
  <c r="AL240"/>
  <c r="Z240"/>
  <c r="AA239"/>
  <c r="C234" i="45"/>
  <c r="GX116" i="43"/>
  <c r="GZ116" s="1"/>
  <c r="GC116"/>
  <c r="GQ116"/>
  <c r="GS116" s="1"/>
  <c r="GJ116"/>
  <c r="GL116" s="1"/>
  <c r="BK116" s="1"/>
  <c r="AA112" i="45" l="1"/>
  <c r="AB112" s="1"/>
  <c r="BD240" i="43"/>
  <c r="DR240"/>
  <c r="CR240"/>
  <c r="CT240" s="1"/>
  <c r="BY240"/>
  <c r="CA240" s="1"/>
  <c r="DX238"/>
  <c r="CT239"/>
  <c r="AK239"/>
  <c r="R239"/>
  <c r="CA239"/>
  <c r="BF239"/>
  <c r="X238"/>
  <c r="ED238" s="1"/>
  <c r="EE236"/>
  <c r="Y237"/>
  <c r="ED237"/>
  <c r="CY116"/>
  <c r="CF116"/>
  <c r="R270"/>
  <c r="AA240"/>
  <c r="CS241"/>
  <c r="BZ241"/>
  <c r="Z241"/>
  <c r="BE241"/>
  <c r="AL241"/>
  <c r="J241"/>
  <c r="K241" s="1"/>
  <c r="BM116"/>
  <c r="C235" i="45"/>
  <c r="AW113"/>
  <c r="GN117" i="43"/>
  <c r="GM117" s="1"/>
  <c r="GA116"/>
  <c r="GE116"/>
  <c r="AR116" s="1"/>
  <c r="CR241" l="1"/>
  <c r="BD241"/>
  <c r="DR241"/>
  <c r="BY241"/>
  <c r="BF240"/>
  <c r="Y238"/>
  <c r="AK240"/>
  <c r="R240"/>
  <c r="X239"/>
  <c r="DX239"/>
  <c r="D234" i="45"/>
  <c r="U234" s="1"/>
  <c r="EE237" i="43"/>
  <c r="DA116"/>
  <c r="AU113" i="45" s="1"/>
  <c r="HB117" i="43"/>
  <c r="HA117" s="1"/>
  <c r="GW117" s="1"/>
  <c r="GU117"/>
  <c r="GT117" s="1"/>
  <c r="GP117" s="1"/>
  <c r="AV113" i="45"/>
  <c r="BC113" s="1"/>
  <c r="CH116" i="43"/>
  <c r="R271"/>
  <c r="BC197" i="45"/>
  <c r="BE197"/>
  <c r="AL242" i="43"/>
  <c r="BZ242"/>
  <c r="Z242"/>
  <c r="J242"/>
  <c r="K242" s="1"/>
  <c r="BE242"/>
  <c r="CS242"/>
  <c r="AA241"/>
  <c r="BE113" i="45"/>
  <c r="AT116" i="43"/>
  <c r="C236" i="45"/>
  <c r="GI117" i="43"/>
  <c r="GD116"/>
  <c r="GY116"/>
  <c r="GR116"/>
  <c r="GK116"/>
  <c r="GG117"/>
  <c r="GF117" s="1"/>
  <c r="AT113" i="45"/>
  <c r="AD116" i="43"/>
  <c r="D235" i="45" l="1"/>
  <c r="U235" s="1"/>
  <c r="DX240" i="43"/>
  <c r="BD242"/>
  <c r="CR242"/>
  <c r="DR242"/>
  <c r="BY242"/>
  <c r="EE238"/>
  <c r="AK241"/>
  <c r="R241"/>
  <c r="CT241"/>
  <c r="CA241"/>
  <c r="BF241"/>
  <c r="X240"/>
  <c r="Y239"/>
  <c r="ED239"/>
  <c r="R272"/>
  <c r="AY197" i="45"/>
  <c r="J243" i="43"/>
  <c r="K243" s="1"/>
  <c r="CS243"/>
  <c r="BZ243"/>
  <c r="AL243"/>
  <c r="Z243"/>
  <c r="BE243"/>
  <c r="AA242"/>
  <c r="BA113" i="45"/>
  <c r="AY113"/>
  <c r="GB117" i="43"/>
  <c r="FZ117" s="1"/>
  <c r="AE116"/>
  <c r="EV116" s="1"/>
  <c r="DO116"/>
  <c r="DP116" s="1"/>
  <c r="C237" i="45"/>
  <c r="CR243" i="43" l="1"/>
  <c r="BD243"/>
  <c r="BF243" s="1"/>
  <c r="DR243"/>
  <c r="BY243"/>
  <c r="BF242"/>
  <c r="CT242"/>
  <c r="CA242"/>
  <c r="ED240"/>
  <c r="AK242"/>
  <c r="X242" s="1"/>
  <c r="R242"/>
  <c r="Y240"/>
  <c r="EE240" s="1"/>
  <c r="X241"/>
  <c r="DX241"/>
  <c r="D236" i="45"/>
  <c r="U236" s="1"/>
  <c r="EE239" i="43"/>
  <c r="GC117"/>
  <c r="GE117" s="1"/>
  <c r="AR117" s="1"/>
  <c r="R273"/>
  <c r="AA243"/>
  <c r="J244"/>
  <c r="K244" s="1"/>
  <c r="CS244"/>
  <c r="BZ244"/>
  <c r="BE244"/>
  <c r="Z244"/>
  <c r="AL244"/>
  <c r="T113" i="45"/>
  <c r="C238"/>
  <c r="GX117" i="43"/>
  <c r="GZ117" s="1"/>
  <c r="GQ117"/>
  <c r="GS117" s="1"/>
  <c r="GJ117"/>
  <c r="GL117" s="1"/>
  <c r="BK117" s="1"/>
  <c r="DX242" l="1"/>
  <c r="CR244"/>
  <c r="BD244"/>
  <c r="DR244"/>
  <c r="BY244"/>
  <c r="CT243"/>
  <c r="AK243"/>
  <c r="R243"/>
  <c r="CA243"/>
  <c r="Y242"/>
  <c r="ED242"/>
  <c r="D237" i="45"/>
  <c r="U237" s="1"/>
  <c r="Y241" i="43"/>
  <c r="ED241"/>
  <c r="CY117"/>
  <c r="CF117"/>
  <c r="R274"/>
  <c r="Z245"/>
  <c r="J245"/>
  <c r="K245" s="1"/>
  <c r="AL245"/>
  <c r="CS245"/>
  <c r="BZ245"/>
  <c r="BE245"/>
  <c r="AA244"/>
  <c r="GN118"/>
  <c r="GM118" s="1"/>
  <c r="GI118" s="1"/>
  <c r="GG118"/>
  <c r="GF118" s="1"/>
  <c r="BM117"/>
  <c r="AT117"/>
  <c r="AS113" i="45"/>
  <c r="AA113"/>
  <c r="AB113" s="1"/>
  <c r="AW114"/>
  <c r="C239"/>
  <c r="GA117" i="43"/>
  <c r="AT114" i="45"/>
  <c r="CR245" i="43" l="1"/>
  <c r="DR245"/>
  <c r="BD245"/>
  <c r="BF245" s="1"/>
  <c r="BY245"/>
  <c r="CA244"/>
  <c r="CT244"/>
  <c r="AK244"/>
  <c r="R244"/>
  <c r="BF244"/>
  <c r="DX243"/>
  <c r="X243"/>
  <c r="D239" i="45"/>
  <c r="U239" s="1"/>
  <c r="EE242" i="43"/>
  <c r="D238" i="45"/>
  <c r="U238" s="1"/>
  <c r="EE241" i="43"/>
  <c r="DA117"/>
  <c r="AU114" i="45" s="1"/>
  <c r="BA114" s="1"/>
  <c r="HB118" i="43"/>
  <c r="HA118" s="1"/>
  <c r="GW118" s="1"/>
  <c r="GU118"/>
  <c r="GT118" s="1"/>
  <c r="GP118" s="1"/>
  <c r="AD117"/>
  <c r="AE117" s="1"/>
  <c r="EV117" s="1"/>
  <c r="CH117"/>
  <c r="AV114" i="45"/>
  <c r="BC114" s="1"/>
  <c r="R275" i="43"/>
  <c r="BC198" i="45"/>
  <c r="BE198"/>
  <c r="AA245" i="43"/>
  <c r="BZ246"/>
  <c r="BE246"/>
  <c r="Z246"/>
  <c r="J246"/>
  <c r="K246" s="1"/>
  <c r="AL246"/>
  <c r="CS246"/>
  <c r="GB118"/>
  <c r="AY114" i="45"/>
  <c r="BE114"/>
  <c r="GK117" i="43"/>
  <c r="GY117"/>
  <c r="GR117"/>
  <c r="GD117"/>
  <c r="C240" i="45"/>
  <c r="CR246" i="43" l="1"/>
  <c r="BD246"/>
  <c r="DR246"/>
  <c r="BY246"/>
  <c r="CT245"/>
  <c r="CA245"/>
  <c r="AK245"/>
  <c r="R245"/>
  <c r="X244"/>
  <c r="DX244"/>
  <c r="Y243"/>
  <c r="ED243"/>
  <c r="DO117"/>
  <c r="DP117" s="1"/>
  <c r="FZ118"/>
  <c r="GQ118" s="1"/>
  <c r="GS118" s="1"/>
  <c r="R276"/>
  <c r="AY198" i="45"/>
  <c r="AA246" i="43"/>
  <c r="CS247"/>
  <c r="BZ247"/>
  <c r="BE247"/>
  <c r="AL247"/>
  <c r="Z247"/>
  <c r="J247"/>
  <c r="K247" s="1"/>
  <c r="T114" i="45"/>
  <c r="C241"/>
  <c r="DX245" i="43" l="1"/>
  <c r="ED244"/>
  <c r="CR247"/>
  <c r="BD247"/>
  <c r="DR247"/>
  <c r="BY247"/>
  <c r="Y244"/>
  <c r="CA246"/>
  <c r="CT246"/>
  <c r="AK246"/>
  <c r="R246"/>
  <c r="BF246"/>
  <c r="X245"/>
  <c r="D240" i="45"/>
  <c r="U240" s="1"/>
  <c r="EE243" i="43"/>
  <c r="CF118"/>
  <c r="R277"/>
  <c r="AA247"/>
  <c r="BZ248"/>
  <c r="BE248"/>
  <c r="Z248"/>
  <c r="J248"/>
  <c r="K248" s="1"/>
  <c r="AL248"/>
  <c r="CS248"/>
  <c r="GX118"/>
  <c r="GZ118" s="1"/>
  <c r="GC118"/>
  <c r="GE118" s="1"/>
  <c r="AR118" s="1"/>
  <c r="GJ118"/>
  <c r="GL118" s="1"/>
  <c r="BK118" s="1"/>
  <c r="AS114" i="45"/>
  <c r="AA114"/>
  <c r="AB114" s="1"/>
  <c r="C242"/>
  <c r="EE244" i="43" l="1"/>
  <c r="D241" i="45"/>
  <c r="U241" s="1"/>
  <c r="BD248" i="43"/>
  <c r="DR248"/>
  <c r="CR248"/>
  <c r="BY248"/>
  <c r="BF247"/>
  <c r="AK247"/>
  <c r="R247"/>
  <c r="CT247"/>
  <c r="CA247"/>
  <c r="X246"/>
  <c r="DX246"/>
  <c r="Y245"/>
  <c r="ED245"/>
  <c r="CY118"/>
  <c r="GU119"/>
  <c r="GT119" s="1"/>
  <c r="GP119" s="1"/>
  <c r="CH118"/>
  <c r="R278"/>
  <c r="AA248"/>
  <c r="J249"/>
  <c r="K249" s="1"/>
  <c r="AL249"/>
  <c r="CS249"/>
  <c r="BE249"/>
  <c r="BZ249"/>
  <c r="Z249"/>
  <c r="BM118"/>
  <c r="GN119"/>
  <c r="GM119" s="1"/>
  <c r="GI119" s="1"/>
  <c r="GA118"/>
  <c r="GK118" s="1"/>
  <c r="GG119"/>
  <c r="GF119" s="1"/>
  <c r="GB119" s="1"/>
  <c r="AT118"/>
  <c r="AV115" i="45"/>
  <c r="AW115"/>
  <c r="AT115"/>
  <c r="C243"/>
  <c r="Y246" i="43" l="1"/>
  <c r="D243" i="45" s="1"/>
  <c r="U243" s="1"/>
  <c r="ED246" i="43"/>
  <c r="DR249"/>
  <c r="CR249"/>
  <c r="BD249"/>
  <c r="BY249"/>
  <c r="CT248"/>
  <c r="CA248"/>
  <c r="BF248"/>
  <c r="AK248"/>
  <c r="R248"/>
  <c r="X247"/>
  <c r="DX247"/>
  <c r="D242" i="45"/>
  <c r="U242" s="1"/>
  <c r="EE245" i="43"/>
  <c r="DA118"/>
  <c r="AU115" i="45" s="1"/>
  <c r="BA115" s="1"/>
  <c r="HB119" i="43"/>
  <c r="HA119" s="1"/>
  <c r="GW119" s="1"/>
  <c r="FZ119" s="1"/>
  <c r="AD118"/>
  <c r="AE118" s="1"/>
  <c r="EV118" s="1"/>
  <c r="R279"/>
  <c r="BE199" i="45"/>
  <c r="AY199"/>
  <c r="BC199"/>
  <c r="Z250" i="43"/>
  <c r="J250"/>
  <c r="K250" s="1"/>
  <c r="AL250"/>
  <c r="CS250"/>
  <c r="BZ250"/>
  <c r="BE250"/>
  <c r="AA249"/>
  <c r="GR118"/>
  <c r="GD118"/>
  <c r="GY118"/>
  <c r="BC115" i="45"/>
  <c r="AY115"/>
  <c r="BE115"/>
  <c r="C244"/>
  <c r="EE246" i="43" l="1"/>
  <c r="CR250"/>
  <c r="BD250"/>
  <c r="DR250"/>
  <c r="BY250"/>
  <c r="BF249"/>
  <c r="AK249"/>
  <c r="X249" s="1"/>
  <c r="R249"/>
  <c r="CA249"/>
  <c r="CT249"/>
  <c r="X248"/>
  <c r="DX248"/>
  <c r="DO118"/>
  <c r="DP118" s="1"/>
  <c r="Y247"/>
  <c r="ED247"/>
  <c r="R280"/>
  <c r="AA250"/>
  <c r="BZ251"/>
  <c r="Z251"/>
  <c r="BE251"/>
  <c r="J251"/>
  <c r="K251" s="1"/>
  <c r="AL251"/>
  <c r="CS251"/>
  <c r="GC119"/>
  <c r="GQ119"/>
  <c r="GS119" s="1"/>
  <c r="GX119"/>
  <c r="GZ119" s="1"/>
  <c r="GJ119"/>
  <c r="GL119" s="1"/>
  <c r="BK119" s="1"/>
  <c r="T115" i="45"/>
  <c r="C245"/>
  <c r="Y248" i="43" l="1"/>
  <c r="D245" i="45" s="1"/>
  <c r="U245" s="1"/>
  <c r="ED248" i="43"/>
  <c r="CR251"/>
  <c r="DR251"/>
  <c r="BD251"/>
  <c r="BY251"/>
  <c r="CA250"/>
  <c r="CT250"/>
  <c r="AK250"/>
  <c r="R250"/>
  <c r="BF250"/>
  <c r="DX249"/>
  <c r="D244" i="45"/>
  <c r="U244" s="1"/>
  <c r="EE247" i="43"/>
  <c r="CY119"/>
  <c r="CF119"/>
  <c r="R281"/>
  <c r="AA251"/>
  <c r="BZ252"/>
  <c r="Z252"/>
  <c r="AL252"/>
  <c r="J252"/>
  <c r="K252" s="1"/>
  <c r="BE252"/>
  <c r="CS252"/>
  <c r="BM119"/>
  <c r="GE119"/>
  <c r="AR119" s="1"/>
  <c r="GA119"/>
  <c r="AS115" i="45"/>
  <c r="AA115"/>
  <c r="AB115" s="1"/>
  <c r="C246"/>
  <c r="AW116"/>
  <c r="GN120" i="43"/>
  <c r="GM120" s="1"/>
  <c r="EE248" l="1"/>
  <c r="BF251"/>
  <c r="DR252"/>
  <c r="CR252"/>
  <c r="BD252"/>
  <c r="BY252"/>
  <c r="CT251"/>
  <c r="CA251"/>
  <c r="AK251"/>
  <c r="R251"/>
  <c r="X250"/>
  <c r="DX250"/>
  <c r="Y249"/>
  <c r="ED249"/>
  <c r="DA119"/>
  <c r="AU116" i="45" s="1"/>
  <c r="HB120" i="43"/>
  <c r="HA120" s="1"/>
  <c r="GW120" s="1"/>
  <c r="GU120"/>
  <c r="GT120" s="1"/>
  <c r="GP120" s="1"/>
  <c r="CH119"/>
  <c r="AV116" i="45"/>
  <c r="BC116" s="1"/>
  <c r="R282" i="43"/>
  <c r="CS253"/>
  <c r="BZ253"/>
  <c r="Z253"/>
  <c r="BE253"/>
  <c r="J253"/>
  <c r="K253" s="1"/>
  <c r="AL253"/>
  <c r="AA252"/>
  <c r="AT119"/>
  <c r="AD119"/>
  <c r="GY119"/>
  <c r="GK119"/>
  <c r="GR119"/>
  <c r="GD119"/>
  <c r="BE116" i="45"/>
  <c r="C247"/>
  <c r="AT116"/>
  <c r="GG120" i="43"/>
  <c r="GF120" s="1"/>
  <c r="GI120"/>
  <c r="Y250" l="1"/>
  <c r="D247" i="45" s="1"/>
  <c r="U247" s="1"/>
  <c r="CT252" i="43"/>
  <c r="BF252"/>
  <c r="CA252"/>
  <c r="AK252"/>
  <c r="R252"/>
  <c r="BD253"/>
  <c r="DR253"/>
  <c r="CR253"/>
  <c r="BY253"/>
  <c r="ED250"/>
  <c r="DX251"/>
  <c r="X251"/>
  <c r="D246" i="45"/>
  <c r="U246" s="1"/>
  <c r="EE249" i="43"/>
  <c r="R283"/>
  <c r="BC200" i="45"/>
  <c r="BE200"/>
  <c r="AY200"/>
  <c r="J254" i="43"/>
  <c r="K254" s="1"/>
  <c r="AL254"/>
  <c r="BE254"/>
  <c r="CS254"/>
  <c r="BZ254"/>
  <c r="Z254"/>
  <c r="AA253"/>
  <c r="BA116" i="45"/>
  <c r="DO119" i="43"/>
  <c r="DP119" s="1"/>
  <c r="AE119"/>
  <c r="EV119" s="1"/>
  <c r="AY116" i="45"/>
  <c r="GB120" i="43"/>
  <c r="FZ120" s="1"/>
  <c r="C248" i="45"/>
  <c r="EE250" i="43" l="1"/>
  <c r="DX252"/>
  <c r="X252"/>
  <c r="AK253"/>
  <c r="R253"/>
  <c r="CT253"/>
  <c r="CA253"/>
  <c r="BF253"/>
  <c r="BD254"/>
  <c r="DR254"/>
  <c r="AK254" s="1"/>
  <c r="CR254"/>
  <c r="BY254"/>
  <c r="Y251"/>
  <c r="ED251"/>
  <c r="GQ120"/>
  <c r="GS120" s="1"/>
  <c r="R284"/>
  <c r="AA254"/>
  <c r="J255"/>
  <c r="K255" s="1"/>
  <c r="CS255"/>
  <c r="AL255"/>
  <c r="BZ255"/>
  <c r="Z255"/>
  <c r="BE255"/>
  <c r="T116" i="45"/>
  <c r="GX120" i="43"/>
  <c r="GZ120" s="1"/>
  <c r="GJ120"/>
  <c r="GL120" s="1"/>
  <c r="BK120" s="1"/>
  <c r="C249" i="45"/>
  <c r="ED252" i="43" l="1"/>
  <c r="Y252"/>
  <c r="EE252" s="1"/>
  <c r="DR255"/>
  <c r="CR255"/>
  <c r="BD255"/>
  <c r="BY255"/>
  <c r="X253"/>
  <c r="DX253"/>
  <c r="CT254"/>
  <c r="BF254"/>
  <c r="CA254"/>
  <c r="R254"/>
  <c r="D248" i="45"/>
  <c r="U248" s="1"/>
  <c r="EE251" i="43"/>
  <c r="CY120"/>
  <c r="CF120"/>
  <c r="GC120"/>
  <c r="GE120" s="1"/>
  <c r="AR120" s="1"/>
  <c r="AT120" s="1"/>
  <c r="R285"/>
  <c r="AA255"/>
  <c r="Z256"/>
  <c r="J256"/>
  <c r="K256" s="1"/>
  <c r="AL256"/>
  <c r="BE256"/>
  <c r="CS256"/>
  <c r="BZ256"/>
  <c r="BM120"/>
  <c r="AS116" i="45"/>
  <c r="AA116"/>
  <c r="AB116" s="1"/>
  <c r="C250"/>
  <c r="AW117"/>
  <c r="GN121" i="43"/>
  <c r="GM121" s="1"/>
  <c r="D249" i="45" l="1"/>
  <c r="U249" s="1"/>
  <c r="BF255" i="43"/>
  <c r="CA255"/>
  <c r="CT255"/>
  <c r="BD256"/>
  <c r="DR256"/>
  <c r="CR256"/>
  <c r="BY256"/>
  <c r="DX254"/>
  <c r="AK255"/>
  <c r="R255"/>
  <c r="Y253"/>
  <c r="ED253"/>
  <c r="GG121"/>
  <c r="GF121" s="1"/>
  <c r="GB121" s="1"/>
  <c r="AT117" i="45"/>
  <c r="AY117" s="1"/>
  <c r="GA120" i="43"/>
  <c r="GR120" s="1"/>
  <c r="DA120"/>
  <c r="AU117" i="45" s="1"/>
  <c r="HB121" i="43"/>
  <c r="HA121" s="1"/>
  <c r="GW121" s="1"/>
  <c r="GU121"/>
  <c r="GT121" s="1"/>
  <c r="GP121" s="1"/>
  <c r="AD120"/>
  <c r="DO120" s="1"/>
  <c r="DP120" s="1"/>
  <c r="CH120"/>
  <c r="AV117" i="45"/>
  <c r="BC117" s="1"/>
  <c r="R286" i="43"/>
  <c r="BE201" i="45"/>
  <c r="BC201"/>
  <c r="AY201"/>
  <c r="AA256" i="43"/>
  <c r="J257"/>
  <c r="K257" s="1"/>
  <c r="CS257"/>
  <c r="AL257"/>
  <c r="BZ257"/>
  <c r="Z257"/>
  <c r="BE257"/>
  <c r="BE117" i="45"/>
  <c r="C251"/>
  <c r="GI121" i="43"/>
  <c r="DX255" l="1"/>
  <c r="CR257"/>
  <c r="BD257"/>
  <c r="DR257"/>
  <c r="BY257"/>
  <c r="BF256"/>
  <c r="X255"/>
  <c r="Y255" s="1"/>
  <c r="CT256"/>
  <c r="CA256"/>
  <c r="AK256"/>
  <c r="R256"/>
  <c r="D250" i="45"/>
  <c r="U250" s="1"/>
  <c r="EE253" i="43"/>
  <c r="AE120"/>
  <c r="EV120" s="1"/>
  <c r="GD120"/>
  <c r="GK120"/>
  <c r="GY120"/>
  <c r="FZ121"/>
  <c r="R287"/>
  <c r="AA257"/>
  <c r="J258"/>
  <c r="K258" s="1"/>
  <c r="BE258"/>
  <c r="CS258"/>
  <c r="AL258"/>
  <c r="BZ258"/>
  <c r="Z258"/>
  <c r="BA117" i="45"/>
  <c r="C252"/>
  <c r="DX256" i="43" l="1"/>
  <c r="ED255"/>
  <c r="BD258"/>
  <c r="DR258"/>
  <c r="CR258"/>
  <c r="BY258"/>
  <c r="AK257"/>
  <c r="R257"/>
  <c r="CT257"/>
  <c r="CA257"/>
  <c r="BF257"/>
  <c r="X256"/>
  <c r="ED256" s="1"/>
  <c r="D252" i="45"/>
  <c r="U252" s="1"/>
  <c r="EE255" i="43"/>
  <c r="T117" i="45"/>
  <c r="AA117" s="1"/>
  <c r="AB117" s="1"/>
  <c r="R288" i="43"/>
  <c r="AA258"/>
  <c r="Z259"/>
  <c r="BE259"/>
  <c r="J259"/>
  <c r="K259" s="1"/>
  <c r="CS259"/>
  <c r="AL259"/>
  <c r="BZ259"/>
  <c r="C253" i="45"/>
  <c r="GX121" i="43"/>
  <c r="GZ121" s="1"/>
  <c r="GC121"/>
  <c r="GQ121"/>
  <c r="GS121" s="1"/>
  <c r="GJ121"/>
  <c r="GL121" s="1"/>
  <c r="BK121" s="1"/>
  <c r="Y256" l="1"/>
  <c r="CR259"/>
  <c r="BD259"/>
  <c r="DR259"/>
  <c r="BY259"/>
  <c r="CA258"/>
  <c r="BF258"/>
  <c r="CT258"/>
  <c r="AK258"/>
  <c r="R258"/>
  <c r="X257"/>
  <c r="DX257"/>
  <c r="D253" i="45"/>
  <c r="U253" s="1"/>
  <c r="AS117"/>
  <c r="CY121" i="43"/>
  <c r="CF121"/>
  <c r="R289"/>
  <c r="BC202" i="45"/>
  <c r="AA259" i="43"/>
  <c r="BE260"/>
  <c r="CS260"/>
  <c r="BZ260"/>
  <c r="Z260"/>
  <c r="J260"/>
  <c r="K260" s="1"/>
  <c r="AL260"/>
  <c r="BM121"/>
  <c r="AW118" i="45"/>
  <c r="GN122" i="43"/>
  <c r="GM122" s="1"/>
  <c r="C254" i="45"/>
  <c r="GE121" i="43"/>
  <c r="AR121" s="1"/>
  <c r="GA121"/>
  <c r="EE256" l="1"/>
  <c r="DX258"/>
  <c r="BD260"/>
  <c r="DR260"/>
  <c r="CR260"/>
  <c r="BY260"/>
  <c r="AK259"/>
  <c r="R259"/>
  <c r="CT259"/>
  <c r="CA259"/>
  <c r="BF259"/>
  <c r="X258"/>
  <c r="Y257"/>
  <c r="ED257"/>
  <c r="DA121"/>
  <c r="AU118" i="45" s="1"/>
  <c r="HB122" i="43"/>
  <c r="HA122" s="1"/>
  <c r="GW122" s="1"/>
  <c r="GU122"/>
  <c r="GT122" s="1"/>
  <c r="GP122" s="1"/>
  <c r="CH121"/>
  <c r="AV118" i="45"/>
  <c r="BC118" s="1"/>
  <c r="R290" i="43"/>
  <c r="AY202" i="45"/>
  <c r="BE202"/>
  <c r="Z261" i="43"/>
  <c r="BE261"/>
  <c r="J261"/>
  <c r="K261" s="1"/>
  <c r="CS261"/>
  <c r="BZ261"/>
  <c r="AL261"/>
  <c r="AA260"/>
  <c r="BE118" i="45"/>
  <c r="AT121" i="43"/>
  <c r="GR121"/>
  <c r="GD121"/>
  <c r="GK121"/>
  <c r="GY121"/>
  <c r="C255" i="45"/>
  <c r="GI122" i="43"/>
  <c r="AT118" i="45"/>
  <c r="AD121" i="43"/>
  <c r="GG122"/>
  <c r="GF122" s="1"/>
  <c r="BD261" l="1"/>
  <c r="DR261"/>
  <c r="CR261"/>
  <c r="BY261"/>
  <c r="CA260"/>
  <c r="BF260"/>
  <c r="Y258"/>
  <c r="CT260"/>
  <c r="AK260"/>
  <c r="R260"/>
  <c r="ED258"/>
  <c r="X259"/>
  <c r="DX259"/>
  <c r="D254" i="45"/>
  <c r="U254" s="1"/>
  <c r="EE257" i="43"/>
  <c r="R291"/>
  <c r="BE262"/>
  <c r="CS262"/>
  <c r="BZ262"/>
  <c r="AL262"/>
  <c r="Z262"/>
  <c r="J262"/>
  <c r="K262" s="1"/>
  <c r="AK262" s="1"/>
  <c r="X262" s="1"/>
  <c r="Y262" s="1"/>
  <c r="D259" i="45" s="1"/>
  <c r="U259" s="1"/>
  <c r="AA261" i="43"/>
  <c r="AY118" i="45"/>
  <c r="BA118"/>
  <c r="GB122" i="43"/>
  <c r="FZ122" s="1"/>
  <c r="C256" i="45"/>
  <c r="DO121" i="43"/>
  <c r="DP121" s="1"/>
  <c r="AE121"/>
  <c r="EV121" s="1"/>
  <c r="D255" i="45" l="1"/>
  <c r="U255" s="1"/>
  <c r="EE258" i="43"/>
  <c r="DX260"/>
  <c r="CT261"/>
  <c r="BF261"/>
  <c r="CA261"/>
  <c r="AK261"/>
  <c r="R261"/>
  <c r="X260"/>
  <c r="Y259"/>
  <c r="ED259"/>
  <c r="GJ122"/>
  <c r="GL122" s="1"/>
  <c r="BK122" s="1"/>
  <c r="R292"/>
  <c r="Z263"/>
  <c r="BE263"/>
  <c r="J263"/>
  <c r="K263" s="1"/>
  <c r="AK263" s="1"/>
  <c r="X263" s="1"/>
  <c r="Y263" s="1"/>
  <c r="D260" i="45" s="1"/>
  <c r="U260" s="1"/>
  <c r="AL263" i="43"/>
  <c r="CS263"/>
  <c r="BZ263"/>
  <c r="AA262"/>
  <c r="EE262" s="1"/>
  <c r="ED262"/>
  <c r="T118" i="45"/>
  <c r="GX122" i="43"/>
  <c r="GZ122" s="1"/>
  <c r="C257" i="45"/>
  <c r="ED260" i="43" l="1"/>
  <c r="Y260"/>
  <c r="EE260" s="1"/>
  <c r="DX261"/>
  <c r="X261"/>
  <c r="D256" i="45"/>
  <c r="U256" s="1"/>
  <c r="EE259" i="43"/>
  <c r="CY122"/>
  <c r="GC122"/>
  <c r="GE122" s="1"/>
  <c r="AR122" s="1"/>
  <c r="AT119" i="45" s="1"/>
  <c r="GQ122" i="43"/>
  <c r="GS122" s="1"/>
  <c r="R293"/>
  <c r="BC203" i="45"/>
  <c r="BE203"/>
  <c r="BE264" i="43"/>
  <c r="CS264"/>
  <c r="BZ264"/>
  <c r="Z264"/>
  <c r="AL264"/>
  <c r="J264"/>
  <c r="K264" s="1"/>
  <c r="AK264" s="1"/>
  <c r="X264" s="1"/>
  <c r="Y264" s="1"/>
  <c r="D261" i="45" s="1"/>
  <c r="U261" s="1"/>
  <c r="AA263" i="43"/>
  <c r="EE263" s="1"/>
  <c r="ED263"/>
  <c r="BM122"/>
  <c r="AS118" i="45"/>
  <c r="AA118"/>
  <c r="AB118" s="1"/>
  <c r="AW119"/>
  <c r="GN123" i="43"/>
  <c r="GM123" s="1"/>
  <c r="C258" i="45"/>
  <c r="D257" l="1"/>
  <c r="U257" s="1"/>
  <c r="Y261" i="43"/>
  <c r="ED261"/>
  <c r="GA122"/>
  <c r="GR122" s="1"/>
  <c r="GG123"/>
  <c r="GF123" s="1"/>
  <c r="GB123" s="1"/>
  <c r="DA122"/>
  <c r="AU119" i="45" s="1"/>
  <c r="BA119" s="1"/>
  <c r="HB123" i="43"/>
  <c r="HA123" s="1"/>
  <c r="GW123" s="1"/>
  <c r="CF122"/>
  <c r="AT122"/>
  <c r="R294"/>
  <c r="AY203" i="45"/>
  <c r="AA264" i="43"/>
  <c r="EE264" s="1"/>
  <c r="ED264"/>
  <c r="Z265"/>
  <c r="BE265"/>
  <c r="AL265"/>
  <c r="J265"/>
  <c r="K265" s="1"/>
  <c r="AK265" s="1"/>
  <c r="X265" s="1"/>
  <c r="Y265" s="1"/>
  <c r="D262" i="45" s="1"/>
  <c r="U262" s="1"/>
  <c r="CS265" i="43"/>
  <c r="BZ265"/>
  <c r="AY119" i="45"/>
  <c r="BE119"/>
  <c r="GI123" i="43"/>
  <c r="C259" i="45"/>
  <c r="D258" l="1"/>
  <c r="U258" s="1"/>
  <c r="EE261" i="43"/>
  <c r="GD122"/>
  <c r="GK122"/>
  <c r="GY122"/>
  <c r="GU123"/>
  <c r="GT123" s="1"/>
  <c r="GP123" s="1"/>
  <c r="FZ123" s="1"/>
  <c r="GX123" s="1"/>
  <c r="GZ123" s="1"/>
  <c r="AD122"/>
  <c r="CH122"/>
  <c r="AV119" i="45"/>
  <c r="BC119" s="1"/>
  <c r="R295" i="43"/>
  <c r="BE266"/>
  <c r="CS266"/>
  <c r="BZ266"/>
  <c r="AL266"/>
  <c r="Z266"/>
  <c r="J266"/>
  <c r="K266" s="1"/>
  <c r="AA265"/>
  <c r="EE265" s="1"/>
  <c r="ED265"/>
  <c r="C260" i="45"/>
  <c r="AK266" i="43" l="1"/>
  <c r="CY123"/>
  <c r="DO122"/>
  <c r="DP122" s="1"/>
  <c r="AE122"/>
  <c r="EV122" s="1"/>
  <c r="R296"/>
  <c r="BE204" i="45"/>
  <c r="BC204"/>
  <c r="AA266" i="43"/>
  <c r="Z267"/>
  <c r="BE267"/>
  <c r="J267"/>
  <c r="K267" s="1"/>
  <c r="AL267"/>
  <c r="CS267"/>
  <c r="BZ267"/>
  <c r="GQ123"/>
  <c r="GS123" s="1"/>
  <c r="GJ123"/>
  <c r="GL123" s="1"/>
  <c r="BK123" s="1"/>
  <c r="GC123"/>
  <c r="GE123" s="1"/>
  <c r="AR123" s="1"/>
  <c r="C261" i="45"/>
  <c r="X266" i="43" l="1"/>
  <c r="AK267"/>
  <c r="HB124"/>
  <c r="HA124" s="1"/>
  <c r="GW124" s="1"/>
  <c r="DA123"/>
  <c r="AU120" i="45" s="1"/>
  <c r="BA120" s="1"/>
  <c r="CF123" i="43"/>
  <c r="T119" i="45"/>
  <c r="R297" i="43"/>
  <c r="AY204" i="45"/>
  <c r="J268" i="43"/>
  <c r="K268" s="1"/>
  <c r="AK268" s="1"/>
  <c r="X268" s="1"/>
  <c r="Y268" s="1"/>
  <c r="D265" i="45" s="1"/>
  <c r="U265" s="1"/>
  <c r="CS268" i="43"/>
  <c r="BE268"/>
  <c r="BZ268"/>
  <c r="Z268"/>
  <c r="AL268"/>
  <c r="AA267"/>
  <c r="BM123"/>
  <c r="AT120" i="45"/>
  <c r="AT123" i="43"/>
  <c r="GG124"/>
  <c r="GF124" s="1"/>
  <c r="GB124" s="1"/>
  <c r="GA123"/>
  <c r="GY123" s="1"/>
  <c r="AW120" i="45"/>
  <c r="GN124" i="43"/>
  <c r="GM124" s="1"/>
  <c r="GI124" s="1"/>
  <c r="C262" i="45"/>
  <c r="Y266" i="43" l="1"/>
  <c r="ED266"/>
  <c r="X267"/>
  <c r="GU124"/>
  <c r="GT124" s="1"/>
  <c r="GP124" s="1"/>
  <c r="FZ124" s="1"/>
  <c r="GJ124" s="1"/>
  <c r="GL124" s="1"/>
  <c r="BK124" s="1"/>
  <c r="CH123"/>
  <c r="AD123"/>
  <c r="AE123" s="1"/>
  <c r="AV120" i="45"/>
  <c r="BC120" s="1"/>
  <c r="AS119"/>
  <c r="AA119"/>
  <c r="AB119" s="1"/>
  <c r="R298" i="43"/>
  <c r="AA268"/>
  <c r="EE268" s="1"/>
  <c r="ED268"/>
  <c r="CS269"/>
  <c r="AL269"/>
  <c r="BZ269"/>
  <c r="Z269"/>
  <c r="BE269"/>
  <c r="J269"/>
  <c r="K269" s="1"/>
  <c r="BE120" i="45"/>
  <c r="AY120"/>
  <c r="GD123" i="43"/>
  <c r="GK123"/>
  <c r="GR123"/>
  <c r="C263" i="45"/>
  <c r="AK269" i="43" l="1"/>
  <c r="D263" i="45"/>
  <c r="U263" s="1"/>
  <c r="EE266" i="43"/>
  <c r="Y267"/>
  <c r="ED267"/>
  <c r="DO123"/>
  <c r="DP123" s="1"/>
  <c r="T120" i="45"/>
  <c r="AA120" s="1"/>
  <c r="AB120" s="1"/>
  <c r="EV123" i="43"/>
  <c r="R299"/>
  <c r="AA269"/>
  <c r="BZ270"/>
  <c r="AL270"/>
  <c r="Z270"/>
  <c r="J270"/>
  <c r="K270" s="1"/>
  <c r="AK270" s="1"/>
  <c r="X270" s="1"/>
  <c r="Y270" s="1"/>
  <c r="D267" i="45" s="1"/>
  <c r="U267" s="1"/>
  <c r="BE270" i="43"/>
  <c r="CS270"/>
  <c r="BM124"/>
  <c r="GQ124"/>
  <c r="GS124" s="1"/>
  <c r="GX124"/>
  <c r="GZ124" s="1"/>
  <c r="GC124"/>
  <c r="AW121" i="45"/>
  <c r="GN125" i="43"/>
  <c r="GM125" s="1"/>
  <c r="C264" i="45"/>
  <c r="X269" i="43" l="1"/>
  <c r="D264" i="45"/>
  <c r="U264" s="1"/>
  <c r="EE267" i="43"/>
  <c r="AS120" i="45"/>
  <c r="CY124" i="43"/>
  <c r="CF124"/>
  <c r="R300"/>
  <c r="BE205" i="45"/>
  <c r="BC205"/>
  <c r="ED270" i="43"/>
  <c r="AA270"/>
  <c r="EE270" s="1"/>
  <c r="AL271"/>
  <c r="J271"/>
  <c r="K271" s="1"/>
  <c r="AK271" s="1"/>
  <c r="X271" s="1"/>
  <c r="Y271" s="1"/>
  <c r="D268" i="45" s="1"/>
  <c r="U268" s="1"/>
  <c r="CS271" i="43"/>
  <c r="BZ271"/>
  <c r="Z271"/>
  <c r="BE271"/>
  <c r="BE121" i="45"/>
  <c r="GA124" i="43"/>
  <c r="GK124" s="1"/>
  <c r="GE124"/>
  <c r="AR124" s="1"/>
  <c r="GI125"/>
  <c r="C265" i="45"/>
  <c r="Y269" i="43" l="1"/>
  <c r="ED269"/>
  <c r="HB125"/>
  <c r="HA125" s="1"/>
  <c r="GW125" s="1"/>
  <c r="DA124"/>
  <c r="AU121" i="45" s="1"/>
  <c r="BA121" s="1"/>
  <c r="GU125" i="43"/>
  <c r="GT125" s="1"/>
  <c r="GP125" s="1"/>
  <c r="CH124"/>
  <c r="AV121" i="45"/>
  <c r="BC121" s="1"/>
  <c r="R301" i="43"/>
  <c r="AY205" i="45"/>
  <c r="BZ272" i="43"/>
  <c r="BE272"/>
  <c r="AL272"/>
  <c r="Z272"/>
  <c r="J272"/>
  <c r="K272" s="1"/>
  <c r="AK272" s="1"/>
  <c r="X272" s="1"/>
  <c r="Y272" s="1"/>
  <c r="D269" i="45" s="1"/>
  <c r="U269" s="1"/>
  <c r="CS272" i="43"/>
  <c r="ED271"/>
  <c r="AA271"/>
  <c r="EE271" s="1"/>
  <c r="GG125"/>
  <c r="GF125" s="1"/>
  <c r="GB125" s="1"/>
  <c r="AT124"/>
  <c r="AD124"/>
  <c r="GR124"/>
  <c r="GD124"/>
  <c r="GY124"/>
  <c r="AT121" i="45"/>
  <c r="C266"/>
  <c r="D266" l="1"/>
  <c r="U266" s="1"/>
  <c r="EE269" i="43"/>
  <c r="FZ125"/>
  <c r="GC125" s="1"/>
  <c r="GE125" s="1"/>
  <c r="AR125" s="1"/>
  <c r="R302"/>
  <c r="ED272"/>
  <c r="AA272"/>
  <c r="EE272" s="1"/>
  <c r="J273"/>
  <c r="K273" s="1"/>
  <c r="AK273" s="1"/>
  <c r="X273" s="1"/>
  <c r="Y273" s="1"/>
  <c r="D270" i="45" s="1"/>
  <c r="U270" s="1"/>
  <c r="AL273" i="43"/>
  <c r="CS273"/>
  <c r="BZ273"/>
  <c r="BE273"/>
  <c r="Z273"/>
  <c r="DO124"/>
  <c r="DP124" s="1"/>
  <c r="AY121" i="45"/>
  <c r="AE124" i="43"/>
  <c r="EV124" s="1"/>
  <c r="C267" i="45"/>
  <c r="GJ125" i="43" l="1"/>
  <c r="GL125" s="1"/>
  <c r="BK125" s="1"/>
  <c r="GN126" s="1"/>
  <c r="GM126" s="1"/>
  <c r="GX125"/>
  <c r="GZ125" s="1"/>
  <c r="CY125" s="1"/>
  <c r="GQ125"/>
  <c r="GS125" s="1"/>
  <c r="CF125" s="1"/>
  <c r="R303"/>
  <c r="ED273"/>
  <c r="AA273"/>
  <c r="EE273" s="1"/>
  <c r="J274"/>
  <c r="K274" s="1"/>
  <c r="CS274"/>
  <c r="BZ274"/>
  <c r="AL274"/>
  <c r="BE274"/>
  <c r="Z274"/>
  <c r="AT125"/>
  <c r="T121" i="45"/>
  <c r="AT122"/>
  <c r="GG126" i="43"/>
  <c r="GF126" s="1"/>
  <c r="C268" i="45"/>
  <c r="BM125" i="43" l="1"/>
  <c r="AK274"/>
  <c r="AW122" i="45"/>
  <c r="BE122" s="1"/>
  <c r="GA125" i="43"/>
  <c r="GR125" s="1"/>
  <c r="DA125"/>
  <c r="AU122" i="45" s="1"/>
  <c r="BA122" s="1"/>
  <c r="HB126" i="43"/>
  <c r="HA126" s="1"/>
  <c r="GW126" s="1"/>
  <c r="GU126"/>
  <c r="GT126" s="1"/>
  <c r="GP126" s="1"/>
  <c r="CH125"/>
  <c r="AD125"/>
  <c r="AE125" s="1"/>
  <c r="EV125" s="1"/>
  <c r="AV122" i="45"/>
  <c r="BC122" s="1"/>
  <c r="R304" i="43"/>
  <c r="BC206" i="45"/>
  <c r="BE206"/>
  <c r="AA274" i="43"/>
  <c r="CS275"/>
  <c r="BZ275"/>
  <c r="BE275"/>
  <c r="AL275"/>
  <c r="Z275"/>
  <c r="J275"/>
  <c r="K275" s="1"/>
  <c r="AY122" i="45"/>
  <c r="AS121"/>
  <c r="AA121"/>
  <c r="AB121" s="1"/>
  <c r="GI126" i="43"/>
  <c r="GB126"/>
  <c r="C269" i="45"/>
  <c r="X274" i="43" l="1"/>
  <c r="AK275"/>
  <c r="GK125"/>
  <c r="GD125"/>
  <c r="GY125"/>
  <c r="DO125"/>
  <c r="DP125" s="1"/>
  <c r="FZ126"/>
  <c r="R305"/>
  <c r="AY206" i="45"/>
  <c r="AA275" i="43"/>
  <c r="BE276"/>
  <c r="AL276"/>
  <c r="Z276"/>
  <c r="J276"/>
  <c r="K276" s="1"/>
  <c r="AK276" s="1"/>
  <c r="X276" s="1"/>
  <c r="Y276" s="1"/>
  <c r="D273" i="45" s="1"/>
  <c r="U273" s="1"/>
  <c r="CS276" i="43"/>
  <c r="BZ276"/>
  <c r="T122" i="45"/>
  <c r="C270"/>
  <c r="Y274" i="43" l="1"/>
  <c r="ED274"/>
  <c r="X275"/>
  <c r="R306"/>
  <c r="ED276"/>
  <c r="AA276"/>
  <c r="EE276" s="1"/>
  <c r="CS277"/>
  <c r="BZ277"/>
  <c r="AL277"/>
  <c r="Z277"/>
  <c r="BE277"/>
  <c r="J277"/>
  <c r="K277" s="1"/>
  <c r="AK277" s="1"/>
  <c r="X277" s="1"/>
  <c r="Y277" s="1"/>
  <c r="D274" i="45" s="1"/>
  <c r="U274" s="1"/>
  <c r="AS122"/>
  <c r="AA122"/>
  <c r="AB122" s="1"/>
  <c r="GX126" i="43"/>
  <c r="GZ126" s="1"/>
  <c r="GJ126"/>
  <c r="GL126" s="1"/>
  <c r="BK126" s="1"/>
  <c r="GC126"/>
  <c r="GQ126"/>
  <c r="GS126" s="1"/>
  <c r="C271" i="45"/>
  <c r="D271" l="1"/>
  <c r="U271" s="1"/>
  <c r="EE274" i="43"/>
  <c r="Y275"/>
  <c r="ED275"/>
  <c r="CY126"/>
  <c r="CF126"/>
  <c r="R307"/>
  <c r="AA277"/>
  <c r="EE277" s="1"/>
  <c r="ED277"/>
  <c r="AL278"/>
  <c r="BE278"/>
  <c r="CS278"/>
  <c r="BZ278"/>
  <c r="Z278"/>
  <c r="J278"/>
  <c r="K278" s="1"/>
  <c r="AK278" s="1"/>
  <c r="X278" s="1"/>
  <c r="Y278" s="1"/>
  <c r="D275" i="45" s="1"/>
  <c r="U275" s="1"/>
  <c r="BM126" i="43"/>
  <c r="C272" i="45"/>
  <c r="GN127" i="43"/>
  <c r="GM127" s="1"/>
  <c r="AW123" i="45"/>
  <c r="GA126" i="43"/>
  <c r="GE126"/>
  <c r="AR126" s="1"/>
  <c r="D272" i="45" l="1"/>
  <c r="U272" s="1"/>
  <c r="EE275" i="43"/>
  <c r="DA126"/>
  <c r="AU123" i="45" s="1"/>
  <c r="BA123" s="1"/>
  <c r="HB127" i="43"/>
  <c r="HA127" s="1"/>
  <c r="GW127" s="1"/>
  <c r="GU127"/>
  <c r="GT127" s="1"/>
  <c r="GP127" s="1"/>
  <c r="CH126"/>
  <c r="AV123" i="45"/>
  <c r="BC123" s="1"/>
  <c r="R308" i="43"/>
  <c r="AA278"/>
  <c r="EE278" s="1"/>
  <c r="ED278"/>
  <c r="J279"/>
  <c r="K279" s="1"/>
  <c r="AK279" s="1"/>
  <c r="X279" s="1"/>
  <c r="Y279" s="1"/>
  <c r="D276" i="45" s="1"/>
  <c r="U276" s="1"/>
  <c r="CS279" i="43"/>
  <c r="BZ279"/>
  <c r="AL279"/>
  <c r="Z279"/>
  <c r="BE279"/>
  <c r="AT126"/>
  <c r="BE123" i="45"/>
  <c r="GI127" i="43"/>
  <c r="C273" i="45"/>
  <c r="GY126" i="43"/>
  <c r="GD126"/>
  <c r="GK126"/>
  <c r="GR126"/>
  <c r="GG127"/>
  <c r="GF127" s="1"/>
  <c r="AT123" i="45"/>
  <c r="AD126" i="43"/>
  <c r="R309" l="1"/>
  <c r="BZ280"/>
  <c r="Z280"/>
  <c r="J280"/>
  <c r="K280" s="1"/>
  <c r="AK280" s="1"/>
  <c r="X280" s="1"/>
  <c r="Y280" s="1"/>
  <c r="D277" i="45" s="1"/>
  <c r="U277" s="1"/>
  <c r="AL280" i="43"/>
  <c r="BE280"/>
  <c r="CS280"/>
  <c r="AA279"/>
  <c r="EE279" s="1"/>
  <c r="ED279"/>
  <c r="AY123" i="45"/>
  <c r="AE126" i="43"/>
  <c r="EV126" s="1"/>
  <c r="DO126"/>
  <c r="DP126" s="1"/>
  <c r="C274" i="45"/>
  <c r="GB127" i="43"/>
  <c r="FZ127" s="1"/>
  <c r="GJ127" l="1"/>
  <c r="GL127" s="1"/>
  <c r="BK127" s="1"/>
  <c r="R310"/>
  <c r="AA280"/>
  <c r="EE280" s="1"/>
  <c r="ED280"/>
  <c r="J281"/>
  <c r="K281" s="1"/>
  <c r="AK281" s="1"/>
  <c r="X281" s="1"/>
  <c r="Y281" s="1"/>
  <c r="D278" i="45" s="1"/>
  <c r="U278" s="1"/>
  <c r="CS281" i="43"/>
  <c r="BZ281"/>
  <c r="AL281"/>
  <c r="Z281"/>
  <c r="BE281"/>
  <c r="T123" i="45"/>
  <c r="C275"/>
  <c r="GC127" i="43" l="1"/>
  <c r="GE127" s="1"/>
  <c r="AR127" s="1"/>
  <c r="AT124" i="45" s="1"/>
  <c r="GX127" i="43"/>
  <c r="GZ127" s="1"/>
  <c r="GQ127"/>
  <c r="GS127" s="1"/>
  <c r="R311"/>
  <c r="AA281"/>
  <c r="EE281" s="1"/>
  <c r="ED281"/>
  <c r="J282"/>
  <c r="K282" s="1"/>
  <c r="AK282" s="1"/>
  <c r="X282" s="1"/>
  <c r="Y282" s="1"/>
  <c r="D279" i="45" s="1"/>
  <c r="U279" s="1"/>
  <c r="BE282" i="43"/>
  <c r="CS282"/>
  <c r="BZ282"/>
  <c r="AL282"/>
  <c r="Z282"/>
  <c r="BM127"/>
  <c r="AS123" i="45"/>
  <c r="AA123"/>
  <c r="AB123" s="1"/>
  <c r="GN128" i="43"/>
  <c r="GM128" s="1"/>
  <c r="AW124" i="45"/>
  <c r="C276"/>
  <c r="AT127" i="43" l="1"/>
  <c r="CY127"/>
  <c r="GG128"/>
  <c r="GF128" s="1"/>
  <c r="GB128" s="1"/>
  <c r="CF127"/>
  <c r="GA127"/>
  <c r="GR127" s="1"/>
  <c r="R312"/>
  <c r="AA282"/>
  <c r="EE282" s="1"/>
  <c r="ED282"/>
  <c r="J283"/>
  <c r="K283" s="1"/>
  <c r="AK283" s="1"/>
  <c r="X283" s="1"/>
  <c r="Y283" s="1"/>
  <c r="D280" i="45" s="1"/>
  <c r="U280" s="1"/>
  <c r="CS283" i="43"/>
  <c r="AL283"/>
  <c r="BZ283"/>
  <c r="Z283"/>
  <c r="BE283"/>
  <c r="AY124" i="45"/>
  <c r="BE124"/>
  <c r="GI128" i="43"/>
  <c r="C277" i="45"/>
  <c r="HB128" i="43" l="1"/>
  <c r="HA128" s="1"/>
  <c r="GW128" s="1"/>
  <c r="DA127"/>
  <c r="AU124" i="45" s="1"/>
  <c r="BA124" s="1"/>
  <c r="GU128" i="43"/>
  <c r="GT128" s="1"/>
  <c r="GP128" s="1"/>
  <c r="AV124" i="45"/>
  <c r="BC124" s="1"/>
  <c r="CH127" i="43"/>
  <c r="AD127"/>
  <c r="DO127" s="1"/>
  <c r="DP127" s="1"/>
  <c r="GD127"/>
  <c r="GY127"/>
  <c r="GK127"/>
  <c r="R313"/>
  <c r="AA283"/>
  <c r="EE283" s="1"/>
  <c r="ED283"/>
  <c r="BZ284"/>
  <c r="AL284"/>
  <c r="Z284"/>
  <c r="J284"/>
  <c r="K284" s="1"/>
  <c r="AK284" s="1"/>
  <c r="X284" s="1"/>
  <c r="Y284" s="1"/>
  <c r="D281" i="45" s="1"/>
  <c r="U281" s="1"/>
  <c r="BE284" i="43"/>
  <c r="CS284"/>
  <c r="C278" i="45"/>
  <c r="FZ128" i="43" l="1"/>
  <c r="GC128" s="1"/>
  <c r="GE128" s="1"/>
  <c r="AR128" s="1"/>
  <c r="AE127"/>
  <c r="EV127" s="1"/>
  <c r="R314"/>
  <c r="AA284"/>
  <c r="EE284" s="1"/>
  <c r="ED284"/>
  <c r="J285"/>
  <c r="K285" s="1"/>
  <c r="AK285" s="1"/>
  <c r="X285" s="1"/>
  <c r="Y285" s="1"/>
  <c r="D282" i="45" s="1"/>
  <c r="U282" s="1"/>
  <c r="CS285" i="43"/>
  <c r="BZ285"/>
  <c r="AL285"/>
  <c r="Z285"/>
  <c r="BE285"/>
  <c r="C279" i="45"/>
  <c r="GJ128" i="43" l="1"/>
  <c r="GL128" s="1"/>
  <c r="BK128" s="1"/>
  <c r="GN129" s="1"/>
  <c r="GM129" s="1"/>
  <c r="GI129" s="1"/>
  <c r="GX128"/>
  <c r="GZ128" s="1"/>
  <c r="CY128" s="1"/>
  <c r="GQ128"/>
  <c r="GS128" s="1"/>
  <c r="CF128" s="1"/>
  <c r="T124" i="45"/>
  <c r="R315" i="43"/>
  <c r="AA285"/>
  <c r="EE285" s="1"/>
  <c r="ED285"/>
  <c r="BE286"/>
  <c r="CS286"/>
  <c r="BZ286"/>
  <c r="AL286"/>
  <c r="Z286"/>
  <c r="J286"/>
  <c r="K286" s="1"/>
  <c r="AK286" s="1"/>
  <c r="X286" s="1"/>
  <c r="Y286" s="1"/>
  <c r="D283" i="45" s="1"/>
  <c r="U283" s="1"/>
  <c r="AT128" i="43"/>
  <c r="C280" i="45"/>
  <c r="GG129" i="43"/>
  <c r="GF129" s="1"/>
  <c r="AT125" i="45"/>
  <c r="BM128" i="43" l="1"/>
  <c r="AW125" i="45"/>
  <c r="BE125" s="1"/>
  <c r="GA128" i="43"/>
  <c r="GK128" s="1"/>
  <c r="DA128"/>
  <c r="AU125" i="45" s="1"/>
  <c r="BA125" s="1"/>
  <c r="HB129" i="43"/>
  <c r="HA129" s="1"/>
  <c r="GW129" s="1"/>
  <c r="GU129"/>
  <c r="GT129" s="1"/>
  <c r="GP129" s="1"/>
  <c r="AD128"/>
  <c r="DO128" s="1"/>
  <c r="DP128" s="1"/>
  <c r="AV125" i="45"/>
  <c r="BC125" s="1"/>
  <c r="CH128" i="43"/>
  <c r="AA124" i="45"/>
  <c r="AB124" s="1"/>
  <c r="AS124"/>
  <c r="R316" i="43"/>
  <c r="J287"/>
  <c r="K287" s="1"/>
  <c r="AK287" s="1"/>
  <c r="X287" s="1"/>
  <c r="Y287" s="1"/>
  <c r="D284" i="45" s="1"/>
  <c r="U284" s="1"/>
  <c r="AL287" i="43"/>
  <c r="CS287"/>
  <c r="BZ287"/>
  <c r="Z287"/>
  <c r="BE287"/>
  <c r="AA286"/>
  <c r="EE286" s="1"/>
  <c r="ED286"/>
  <c r="AY125" i="45"/>
  <c r="C281"/>
  <c r="GB129" i="43"/>
  <c r="AE128" l="1"/>
  <c r="EV128" s="1"/>
  <c r="GY128"/>
  <c r="FZ129"/>
  <c r="GC129" s="1"/>
  <c r="GE129" s="1"/>
  <c r="AR129" s="1"/>
  <c r="GR128"/>
  <c r="GD128"/>
  <c r="R317"/>
  <c r="AA287"/>
  <c r="EE287" s="1"/>
  <c r="ED287"/>
  <c r="J288"/>
  <c r="K288" s="1"/>
  <c r="AK288" s="1"/>
  <c r="X288" s="1"/>
  <c r="Y288" s="1"/>
  <c r="D285" i="45" s="1"/>
  <c r="U285" s="1"/>
  <c r="BE288" i="43"/>
  <c r="CS288"/>
  <c r="BZ288"/>
  <c r="AL288"/>
  <c r="Z288"/>
  <c r="C282" i="45"/>
  <c r="T125" l="1"/>
  <c r="AS125" s="1"/>
  <c r="GQ129" i="43"/>
  <c r="GS129" s="1"/>
  <c r="CF129" s="1"/>
  <c r="GX129"/>
  <c r="GZ129" s="1"/>
  <c r="CY129" s="1"/>
  <c r="GJ129"/>
  <c r="GL129" s="1"/>
  <c r="BK129" s="1"/>
  <c r="BM129" s="1"/>
  <c r="R318"/>
  <c r="ED288"/>
  <c r="AA288"/>
  <c r="EE288" s="1"/>
  <c r="BZ289"/>
  <c r="AL289"/>
  <c r="Z289"/>
  <c r="BE289"/>
  <c r="J289"/>
  <c r="K289" s="1"/>
  <c r="AK289" s="1"/>
  <c r="X289" s="1"/>
  <c r="Y289" s="1"/>
  <c r="D286" i="45" s="1"/>
  <c r="U286" s="1"/>
  <c r="CS289" i="43"/>
  <c r="AT129"/>
  <c r="C283" i="45"/>
  <c r="AT126"/>
  <c r="GG130" i="43"/>
  <c r="GF130" s="1"/>
  <c r="AA125" i="45" l="1"/>
  <c r="AB125" s="1"/>
  <c r="GN130" i="43"/>
  <c r="GM130" s="1"/>
  <c r="GI130" s="1"/>
  <c r="AW126" i="45"/>
  <c r="BE126" s="1"/>
  <c r="GA129" i="43"/>
  <c r="GR129" s="1"/>
  <c r="DA129"/>
  <c r="AU126" i="45" s="1"/>
  <c r="HB130" i="43"/>
  <c r="HA130" s="1"/>
  <c r="GW130" s="1"/>
  <c r="GU130"/>
  <c r="GT130" s="1"/>
  <c r="GP130" s="1"/>
  <c r="CH129"/>
  <c r="AV126" i="45"/>
  <c r="BC126" s="1"/>
  <c r="AD129" i="43"/>
  <c r="AE129" s="1"/>
  <c r="EV129" s="1"/>
  <c r="R319"/>
  <c r="BZ290"/>
  <c r="AL290"/>
  <c r="Z290"/>
  <c r="J290"/>
  <c r="K290" s="1"/>
  <c r="AK290" s="1"/>
  <c r="X290" s="1"/>
  <c r="Y290" s="1"/>
  <c r="D287" i="45" s="1"/>
  <c r="U287" s="1"/>
  <c r="BE290" i="43"/>
  <c r="CS290"/>
  <c r="AA289"/>
  <c r="EE289" s="1"/>
  <c r="ED289"/>
  <c r="AY126" i="45"/>
  <c r="C284"/>
  <c r="GB130" i="43"/>
  <c r="GD129" l="1"/>
  <c r="GY129"/>
  <c r="GK129"/>
  <c r="DO129"/>
  <c r="DP129" s="1"/>
  <c r="FZ130"/>
  <c r="GX130" s="1"/>
  <c r="GZ130" s="1"/>
  <c r="R320"/>
  <c r="AA290"/>
  <c r="EE290" s="1"/>
  <c r="ED290"/>
  <c r="Z291"/>
  <c r="BE291"/>
  <c r="AL291"/>
  <c r="J291"/>
  <c r="K291" s="1"/>
  <c r="AK291" s="1"/>
  <c r="X291" s="1"/>
  <c r="Y291" s="1"/>
  <c r="D288" i="45" s="1"/>
  <c r="U288" s="1"/>
  <c r="CS291" i="43"/>
  <c r="BZ291"/>
  <c r="BA126" i="45"/>
  <c r="T126"/>
  <c r="C285"/>
  <c r="CY130" i="43" l="1"/>
  <c r="R321"/>
  <c r="BZ292"/>
  <c r="Z292"/>
  <c r="J292"/>
  <c r="K292" s="1"/>
  <c r="AK292" s="1"/>
  <c r="X292" s="1"/>
  <c r="Y292" s="1"/>
  <c r="D289" i="45" s="1"/>
  <c r="U289" s="1"/>
  <c r="AL292" i="43"/>
  <c r="BE292"/>
  <c r="CS292"/>
  <c r="AA291"/>
  <c r="EE291" s="1"/>
  <c r="ED291"/>
  <c r="AS126" i="45"/>
  <c r="AA126"/>
  <c r="AB126" s="1"/>
  <c r="GJ130" i="43"/>
  <c r="GL130" s="1"/>
  <c r="BK130" s="1"/>
  <c r="GC130"/>
  <c r="GE130" s="1"/>
  <c r="AR130" s="1"/>
  <c r="GQ130"/>
  <c r="GS130" s="1"/>
  <c r="C286" i="45"/>
  <c r="DA130" i="43" l="1"/>
  <c r="AU127" i="45" s="1"/>
  <c r="BA127" s="1"/>
  <c r="HB131" i="43"/>
  <c r="HA131" s="1"/>
  <c r="GW131" s="1"/>
  <c r="CF130"/>
  <c r="AD322"/>
  <c r="GG322"/>
  <c r="GF322" s="1"/>
  <c r="GN322"/>
  <c r="GM322" s="1"/>
  <c r="R322"/>
  <c r="GT322"/>
  <c r="HB322"/>
  <c r="HA322" s="1"/>
  <c r="AA292"/>
  <c r="EE292" s="1"/>
  <c r="ED292"/>
  <c r="AL293"/>
  <c r="CS293"/>
  <c r="BZ293"/>
  <c r="Z293"/>
  <c r="BE293"/>
  <c r="J293"/>
  <c r="K293" s="1"/>
  <c r="AK293" s="1"/>
  <c r="X293" s="1"/>
  <c r="Y293" s="1"/>
  <c r="D290" i="45" s="1"/>
  <c r="U290" s="1"/>
  <c r="AT130" i="43"/>
  <c r="GN131"/>
  <c r="GM131" s="1"/>
  <c r="GI131" s="1"/>
  <c r="BM130"/>
  <c r="AW127" i="45"/>
  <c r="GA130" i="43"/>
  <c r="GY130" s="1"/>
  <c r="AT127" i="45"/>
  <c r="GG131" i="43"/>
  <c r="GF131" s="1"/>
  <c r="C287" i="45"/>
  <c r="GU131" i="43" l="1"/>
  <c r="GT131" s="1"/>
  <c r="GP131" s="1"/>
  <c r="CH130"/>
  <c r="AV127" i="45"/>
  <c r="BC127" s="1"/>
  <c r="AD130" i="43"/>
  <c r="DO130" s="1"/>
  <c r="DP130" s="1"/>
  <c r="GW322"/>
  <c r="GB322"/>
  <c r="GI322"/>
  <c r="AE322"/>
  <c r="T319" i="45" s="1"/>
  <c r="DO322" i="43"/>
  <c r="DP322" s="1"/>
  <c r="GP322"/>
  <c r="AD323"/>
  <c r="HB323"/>
  <c r="HA323" s="1"/>
  <c r="GT323"/>
  <c r="GN323"/>
  <c r="GM323" s="1"/>
  <c r="GG323"/>
  <c r="GF323" s="1"/>
  <c r="Z294"/>
  <c r="J294"/>
  <c r="K294" s="1"/>
  <c r="AK294" s="1"/>
  <c r="X294" s="1"/>
  <c r="Y294" s="1"/>
  <c r="D291" i="45" s="1"/>
  <c r="U291" s="1"/>
  <c r="CS294" i="43"/>
  <c r="BE294"/>
  <c r="BZ294"/>
  <c r="AL294"/>
  <c r="ED293"/>
  <c r="AA293"/>
  <c r="EE293" s="1"/>
  <c r="AY127" i="45"/>
  <c r="BE127"/>
  <c r="GD130" i="43"/>
  <c r="GR130"/>
  <c r="GK130"/>
  <c r="C288" i="45"/>
  <c r="GB131" i="43"/>
  <c r="AE130" l="1"/>
  <c r="EV130" s="1"/>
  <c r="FZ131"/>
  <c r="GQ131" s="1"/>
  <c r="GS131" s="1"/>
  <c r="FZ322"/>
  <c r="GW323"/>
  <c r="GB323"/>
  <c r="GP323"/>
  <c r="GI323"/>
  <c r="GT324"/>
  <c r="HB324"/>
  <c r="HA324" s="1"/>
  <c r="GG324"/>
  <c r="GF324" s="1"/>
  <c r="GN324"/>
  <c r="GM324" s="1"/>
  <c r="AD324"/>
  <c r="DO323"/>
  <c r="DP323" s="1"/>
  <c r="AE323"/>
  <c r="T320" i="45" s="1"/>
  <c r="CS295" i="43"/>
  <c r="AL295"/>
  <c r="BZ295"/>
  <c r="Z295"/>
  <c r="BE295"/>
  <c r="J295"/>
  <c r="K295" s="1"/>
  <c r="AK295" s="1"/>
  <c r="X295" s="1"/>
  <c r="Y295" s="1"/>
  <c r="D292" i="45" s="1"/>
  <c r="U292" s="1"/>
  <c r="ED294" i="43"/>
  <c r="AA294"/>
  <c r="EE294" s="1"/>
  <c r="C289" i="45"/>
  <c r="T127" l="1"/>
  <c r="AA127" s="1"/>
  <c r="AB127" s="1"/>
  <c r="GX131" i="43"/>
  <c r="GZ131" s="1"/>
  <c r="CY131" s="1"/>
  <c r="GJ131"/>
  <c r="GL131" s="1"/>
  <c r="BK131" s="1"/>
  <c r="BM131" s="1"/>
  <c r="GC131"/>
  <c r="GE131" s="1"/>
  <c r="AR131" s="1"/>
  <c r="CF131"/>
  <c r="FZ323"/>
  <c r="GW324"/>
  <c r="AE324"/>
  <c r="T321" i="45" s="1"/>
  <c r="DO324" i="43"/>
  <c r="DP324" s="1"/>
  <c r="GB324"/>
  <c r="GI324"/>
  <c r="GC322"/>
  <c r="GJ322"/>
  <c r="GL322" s="1"/>
  <c r="BK322" s="1"/>
  <c r="BM322" s="1"/>
  <c r="GQ322"/>
  <c r="GS322" s="1"/>
  <c r="GX322"/>
  <c r="GZ322" s="1"/>
  <c r="AD325"/>
  <c r="HB325"/>
  <c r="HA325" s="1"/>
  <c r="GN325"/>
  <c r="GM325" s="1"/>
  <c r="GT325"/>
  <c r="GG325"/>
  <c r="GF325" s="1"/>
  <c r="GP324"/>
  <c r="ED295"/>
  <c r="AA295"/>
  <c r="EE295" s="1"/>
  <c r="J296"/>
  <c r="K296" s="1"/>
  <c r="AK296" s="1"/>
  <c r="X296" s="1"/>
  <c r="Y296" s="1"/>
  <c r="D293" i="45" s="1"/>
  <c r="U293" s="1"/>
  <c r="BE296" i="43"/>
  <c r="CS296"/>
  <c r="AL296"/>
  <c r="BZ296"/>
  <c r="Z296"/>
  <c r="C290" i="45"/>
  <c r="AS127" l="1"/>
  <c r="GN132" i="43"/>
  <c r="GM132" s="1"/>
  <c r="GI132" s="1"/>
  <c r="AW128" i="45"/>
  <c r="BE128" s="1"/>
  <c r="GA131" i="43"/>
  <c r="GK131" s="1"/>
  <c r="DA131"/>
  <c r="AU128" i="45" s="1"/>
  <c r="BA128" s="1"/>
  <c r="HB132" i="43"/>
  <c r="HA132" s="1"/>
  <c r="GW132" s="1"/>
  <c r="CY322"/>
  <c r="DA322" s="1"/>
  <c r="AU319" i="45" s="1"/>
  <c r="GU132" i="43"/>
  <c r="GT132" s="1"/>
  <c r="GP132" s="1"/>
  <c r="AV128" i="45"/>
  <c r="BC128" s="1"/>
  <c r="CH131" i="43"/>
  <c r="CF322"/>
  <c r="CH322" s="1"/>
  <c r="FZ324"/>
  <c r="GP325"/>
  <c r="GW325"/>
  <c r="GB325"/>
  <c r="GI325"/>
  <c r="GE322"/>
  <c r="AR322" s="1"/>
  <c r="AT322" s="1"/>
  <c r="GA322"/>
  <c r="AD326"/>
  <c r="GG326"/>
  <c r="GF326" s="1"/>
  <c r="GN326"/>
  <c r="GM326" s="1"/>
  <c r="GT326"/>
  <c r="HB326"/>
  <c r="HA326" s="1"/>
  <c r="GQ323"/>
  <c r="GS323" s="1"/>
  <c r="GX323"/>
  <c r="GZ323" s="1"/>
  <c r="GC323"/>
  <c r="GJ323"/>
  <c r="GL323" s="1"/>
  <c r="BK323" s="1"/>
  <c r="BM323" s="1"/>
  <c r="DO325"/>
  <c r="DP325" s="1"/>
  <c r="AE325"/>
  <c r="T322" i="45" s="1"/>
  <c r="Z297" i="43"/>
  <c r="BE297"/>
  <c r="AL297"/>
  <c r="J297"/>
  <c r="K297" s="1"/>
  <c r="AK297" s="1"/>
  <c r="X297" s="1"/>
  <c r="Y297" s="1"/>
  <c r="D294" i="45" s="1"/>
  <c r="U294" s="1"/>
  <c r="CS297" i="43"/>
  <c r="BZ297"/>
  <c r="AA296"/>
  <c r="EE296" s="1"/>
  <c r="ED296"/>
  <c r="AT131"/>
  <c r="C291" i="45"/>
  <c r="AD131" i="43"/>
  <c r="AT128" i="45"/>
  <c r="GG132" i="43"/>
  <c r="GF132" s="1"/>
  <c r="GD131" l="1"/>
  <c r="GR131"/>
  <c r="GY131"/>
  <c r="CY323"/>
  <c r="DA323" s="1"/>
  <c r="AU320" i="45" s="1"/>
  <c r="CF323" i="43"/>
  <c r="CH323" s="1"/>
  <c r="FZ325"/>
  <c r="GA323"/>
  <c r="GE323"/>
  <c r="AR323" s="1"/>
  <c r="AT323" s="1"/>
  <c r="GP326"/>
  <c r="GB326"/>
  <c r="GW326"/>
  <c r="GI326"/>
  <c r="GK322"/>
  <c r="GR322"/>
  <c r="GD322"/>
  <c r="GY322"/>
  <c r="GQ324"/>
  <c r="GS324" s="1"/>
  <c r="GC324"/>
  <c r="GX324"/>
  <c r="GZ324" s="1"/>
  <c r="GJ324"/>
  <c r="GL324" s="1"/>
  <c r="BK324" s="1"/>
  <c r="BM324" s="1"/>
  <c r="AD327"/>
  <c r="GT327"/>
  <c r="GG327"/>
  <c r="GF327" s="1"/>
  <c r="HB327"/>
  <c r="HA327" s="1"/>
  <c r="GN327"/>
  <c r="GM327" s="1"/>
  <c r="DO326"/>
  <c r="DP326" s="1"/>
  <c r="AE326"/>
  <c r="T323" i="45" s="1"/>
  <c r="ED297" i="43"/>
  <c r="AA297"/>
  <c r="EE297" s="1"/>
  <c r="BE298"/>
  <c r="AL298"/>
  <c r="Z298"/>
  <c r="J298"/>
  <c r="K298" s="1"/>
  <c r="AK298" s="1"/>
  <c r="X298" s="1"/>
  <c r="Y298" s="1"/>
  <c r="D295" i="45" s="1"/>
  <c r="U295" s="1"/>
  <c r="CS298" i="43"/>
  <c r="BZ298"/>
  <c r="AY128" i="45"/>
  <c r="GB132" i="43"/>
  <c r="FZ132" s="1"/>
  <c r="C292" i="45"/>
  <c r="AE131" i="43"/>
  <c r="EV131" s="1"/>
  <c r="DO131"/>
  <c r="DP131" s="1"/>
  <c r="CY324" l="1"/>
  <c r="DA324" s="1"/>
  <c r="AU321" i="45" s="1"/>
  <c r="CF324" i="43"/>
  <c r="CH324" s="1"/>
  <c r="FZ326"/>
  <c r="GC132"/>
  <c r="GE132" s="1"/>
  <c r="AR132" s="1"/>
  <c r="GI327"/>
  <c r="GE324"/>
  <c r="AR324" s="1"/>
  <c r="AT324" s="1"/>
  <c r="GA324"/>
  <c r="GK323"/>
  <c r="GR323"/>
  <c r="GD323"/>
  <c r="GY323"/>
  <c r="GT328"/>
  <c r="HB328"/>
  <c r="HA328" s="1"/>
  <c r="GG328"/>
  <c r="GF328" s="1"/>
  <c r="GN328"/>
  <c r="GM328" s="1"/>
  <c r="AD328"/>
  <c r="GP327"/>
  <c r="GB327"/>
  <c r="GX325"/>
  <c r="GZ325" s="1"/>
  <c r="GJ325"/>
  <c r="GL325" s="1"/>
  <c r="BK325" s="1"/>
  <c r="BM325" s="1"/>
  <c r="GQ325"/>
  <c r="GS325" s="1"/>
  <c r="GC325"/>
  <c r="GW327"/>
  <c r="DO327"/>
  <c r="DP327" s="1"/>
  <c r="AE327"/>
  <c r="T324" i="45" s="1"/>
  <c r="AL299" i="43"/>
  <c r="J299"/>
  <c r="K299" s="1"/>
  <c r="AK299" s="1"/>
  <c r="X299" s="1"/>
  <c r="Y299" s="1"/>
  <c r="D296" i="45" s="1"/>
  <c r="U296" s="1"/>
  <c r="CS299" i="43"/>
  <c r="BZ299"/>
  <c r="BE299"/>
  <c r="Z299"/>
  <c r="ED298"/>
  <c r="AA298"/>
  <c r="EE298" s="1"/>
  <c r="T128" i="45"/>
  <c r="GX132" i="43"/>
  <c r="GZ132" s="1"/>
  <c r="GQ132"/>
  <c r="GS132" s="1"/>
  <c r="GJ132"/>
  <c r="GL132" s="1"/>
  <c r="BK132" s="1"/>
  <c r="C293" i="45"/>
  <c r="CY325" i="43" l="1"/>
  <c r="DA325" s="1"/>
  <c r="AU322" i="45" s="1"/>
  <c r="CY132" i="43"/>
  <c r="CF132"/>
  <c r="CF325"/>
  <c r="CH325" s="1"/>
  <c r="FZ327"/>
  <c r="GE325"/>
  <c r="AR325" s="1"/>
  <c r="AT325" s="1"/>
  <c r="GA325"/>
  <c r="GI328"/>
  <c r="GQ326"/>
  <c r="GS326" s="1"/>
  <c r="GJ326"/>
  <c r="GL326" s="1"/>
  <c r="BK326" s="1"/>
  <c r="BM326" s="1"/>
  <c r="GC326"/>
  <c r="GX326"/>
  <c r="GZ326" s="1"/>
  <c r="GP328"/>
  <c r="AD329"/>
  <c r="HB329"/>
  <c r="HA329" s="1"/>
  <c r="GN329"/>
  <c r="GM329" s="1"/>
  <c r="GT329"/>
  <c r="GG329"/>
  <c r="GF329" s="1"/>
  <c r="GW328"/>
  <c r="DO328"/>
  <c r="DP328" s="1"/>
  <c r="AE328"/>
  <c r="T325" i="45" s="1"/>
  <c r="GB328" i="43"/>
  <c r="GY324"/>
  <c r="GK324"/>
  <c r="GR324"/>
  <c r="GD324"/>
  <c r="BZ300"/>
  <c r="BE300"/>
  <c r="Z300"/>
  <c r="AL300"/>
  <c r="J300"/>
  <c r="K300" s="1"/>
  <c r="AK300" s="1"/>
  <c r="X300" s="1"/>
  <c r="Y300" s="1"/>
  <c r="D297" i="45" s="1"/>
  <c r="U297" s="1"/>
  <c r="CS300" i="43"/>
  <c r="AA299"/>
  <c r="EE299" s="1"/>
  <c r="ED299"/>
  <c r="BM132"/>
  <c r="AT132"/>
  <c r="AS128" i="45"/>
  <c r="AA128"/>
  <c r="AB128" s="1"/>
  <c r="GA132" i="43"/>
  <c r="AT129" i="45"/>
  <c r="GG133" i="43"/>
  <c r="GF133" s="1"/>
  <c r="C294" i="45"/>
  <c r="GN133" i="43"/>
  <c r="GM133" s="1"/>
  <c r="AW129" i="45"/>
  <c r="AR325" l="1"/>
  <c r="FZ328" i="43"/>
  <c r="GX328" s="1"/>
  <c r="GZ328" s="1"/>
  <c r="HB133"/>
  <c r="HA133" s="1"/>
  <c r="GW133" s="1"/>
  <c r="DA132"/>
  <c r="AU129" i="45" s="1"/>
  <c r="BA129" s="1"/>
  <c r="CY326" i="43"/>
  <c r="DA326" s="1"/>
  <c r="AU323" i="45" s="1"/>
  <c r="GU133" i="43"/>
  <c r="GT133" s="1"/>
  <c r="GP133" s="1"/>
  <c r="CH132"/>
  <c r="AV129" i="45"/>
  <c r="BC129" s="1"/>
  <c r="AD132" i="43"/>
  <c r="DO132" s="1"/>
  <c r="DP132" s="1"/>
  <c r="CF326"/>
  <c r="CH326" s="1"/>
  <c r="GB329"/>
  <c r="GI329"/>
  <c r="AD330"/>
  <c r="GT330"/>
  <c r="HB330"/>
  <c r="HA330" s="1"/>
  <c r="GW330" s="1"/>
  <c r="GG330"/>
  <c r="GF330" s="1"/>
  <c r="GN330"/>
  <c r="GM330" s="1"/>
  <c r="GD325"/>
  <c r="GY325"/>
  <c r="GK325"/>
  <c r="GR325"/>
  <c r="AE329"/>
  <c r="T326" i="45" s="1"/>
  <c r="DO329" i="43"/>
  <c r="DP329" s="1"/>
  <c r="GE326"/>
  <c r="AR326" s="1"/>
  <c r="AT326" s="1"/>
  <c r="GA326"/>
  <c r="GC327"/>
  <c r="GJ327"/>
  <c r="GL327" s="1"/>
  <c r="BK327" s="1"/>
  <c r="BM327" s="1"/>
  <c r="GQ327"/>
  <c r="GS327" s="1"/>
  <c r="GX327"/>
  <c r="GZ327" s="1"/>
  <c r="GP329"/>
  <c r="GW329"/>
  <c r="BZ301"/>
  <c r="BE301"/>
  <c r="Z301"/>
  <c r="AL301"/>
  <c r="J301"/>
  <c r="K301" s="1"/>
  <c r="AK301" s="1"/>
  <c r="X301" s="1"/>
  <c r="Y301" s="1"/>
  <c r="D298" i="45" s="1"/>
  <c r="U298" s="1"/>
  <c r="CS301" i="43"/>
  <c r="ED300"/>
  <c r="AA300"/>
  <c r="EE300" s="1"/>
  <c r="BE129" i="45"/>
  <c r="AY129"/>
  <c r="GK132" i="43"/>
  <c r="GR132"/>
  <c r="GY132"/>
  <c r="GD132"/>
  <c r="GI133"/>
  <c r="GB133"/>
  <c r="C295" i="45"/>
  <c r="AR326" l="1"/>
  <c r="AE132" i="43"/>
  <c r="EV132" s="1"/>
  <c r="GJ328"/>
  <c r="GL328" s="1"/>
  <c r="BK328" s="1"/>
  <c r="BM328" s="1"/>
  <c r="GQ328"/>
  <c r="GS328" s="1"/>
  <c r="CF328" s="1"/>
  <c r="CH328" s="1"/>
  <c r="CY327"/>
  <c r="DA327" s="1"/>
  <c r="AU324" i="45" s="1"/>
  <c r="CY328" i="43"/>
  <c r="DA328" s="1"/>
  <c r="AU325" i="45" s="1"/>
  <c r="CF327" i="43"/>
  <c r="CH327" s="1"/>
  <c r="FZ329"/>
  <c r="FZ133"/>
  <c r="GX133" s="1"/>
  <c r="GZ133" s="1"/>
  <c r="GC328"/>
  <c r="GE328" s="1"/>
  <c r="AR328" s="1"/>
  <c r="AT328" s="1"/>
  <c r="DO330"/>
  <c r="DP330" s="1"/>
  <c r="AE330"/>
  <c r="T327" i="45" s="1"/>
  <c r="GB330" i="43"/>
  <c r="GI330"/>
  <c r="HB331"/>
  <c r="HA331" s="1"/>
  <c r="GN331"/>
  <c r="GM331" s="1"/>
  <c r="GI331" s="1"/>
  <c r="AD331"/>
  <c r="GT331"/>
  <c r="GG331"/>
  <c r="GF331" s="1"/>
  <c r="GA327"/>
  <c r="GE327"/>
  <c r="AR327" s="1"/>
  <c r="AT327" s="1"/>
  <c r="GY326"/>
  <c r="GK326"/>
  <c r="GR326"/>
  <c r="GD326"/>
  <c r="GP330"/>
  <c r="BE302"/>
  <c r="Z302"/>
  <c r="J302"/>
  <c r="K302" s="1"/>
  <c r="AK302" s="1"/>
  <c r="X302" s="1"/>
  <c r="Y302" s="1"/>
  <c r="D299" i="45" s="1"/>
  <c r="U299" s="1"/>
  <c r="CS302" i="43"/>
  <c r="AL302"/>
  <c r="BZ302"/>
  <c r="AA301"/>
  <c r="EE301" s="1"/>
  <c r="ED301"/>
  <c r="C296" i="45"/>
  <c r="AR327" l="1"/>
  <c r="AZ325"/>
  <c r="T129"/>
  <c r="AS129" s="1"/>
  <c r="GA328" i="43"/>
  <c r="GD328" s="1"/>
  <c r="CY133"/>
  <c r="FZ330"/>
  <c r="GW331"/>
  <c r="GP331"/>
  <c r="GB331"/>
  <c r="AD332"/>
  <c r="GT332"/>
  <c r="HB332"/>
  <c r="HA332" s="1"/>
  <c r="GG332"/>
  <c r="GF332" s="1"/>
  <c r="GN332"/>
  <c r="GM332" s="1"/>
  <c r="GJ329"/>
  <c r="GL329" s="1"/>
  <c r="BK329" s="1"/>
  <c r="BM329" s="1"/>
  <c r="GX329"/>
  <c r="GZ329" s="1"/>
  <c r="GC329"/>
  <c r="GQ329"/>
  <c r="GS329" s="1"/>
  <c r="GK327"/>
  <c r="GR327"/>
  <c r="GD327"/>
  <c r="GY327"/>
  <c r="DO331"/>
  <c r="DP331" s="1"/>
  <c r="AE331"/>
  <c r="T328" i="45" s="1"/>
  <c r="ED302" i="43"/>
  <c r="AA302"/>
  <c r="EE302" s="1"/>
  <c r="BZ303"/>
  <c r="AL303"/>
  <c r="Z303"/>
  <c r="BE303"/>
  <c r="J303"/>
  <c r="K303" s="1"/>
  <c r="AK303" s="1"/>
  <c r="X303" s="1"/>
  <c r="Y303" s="1"/>
  <c r="D300" i="45" s="1"/>
  <c r="U300" s="1"/>
  <c r="CS303" i="43"/>
  <c r="GQ133"/>
  <c r="GS133" s="1"/>
  <c r="GJ133"/>
  <c r="GL133" s="1"/>
  <c r="BK133" s="1"/>
  <c r="GC133"/>
  <c r="C297" i="45"/>
  <c r="AR328" l="1"/>
  <c r="W129"/>
  <c r="Y129" s="1"/>
  <c r="GR328" i="43"/>
  <c r="GK328"/>
  <c r="GY328"/>
  <c r="FZ331"/>
  <c r="GJ331" s="1"/>
  <c r="GL331" s="1"/>
  <c r="BK331" s="1"/>
  <c r="BM331" s="1"/>
  <c r="DA133"/>
  <c r="AU130" i="45" s="1"/>
  <c r="BA130" s="1"/>
  <c r="HB134" i="43"/>
  <c r="HA134" s="1"/>
  <c r="GW134" s="1"/>
  <c r="CY329"/>
  <c r="DA329" s="1"/>
  <c r="AU326" i="45" s="1"/>
  <c r="CF133" i="43"/>
  <c r="CF329"/>
  <c r="CH329" s="1"/>
  <c r="GP332"/>
  <c r="GW332"/>
  <c r="GB332"/>
  <c r="AE332"/>
  <c r="T329" i="45" s="1"/>
  <c r="DO332" i="43"/>
  <c r="DP332" s="1"/>
  <c r="GX330"/>
  <c r="GZ330" s="1"/>
  <c r="GJ330"/>
  <c r="GL330" s="1"/>
  <c r="BK330" s="1"/>
  <c r="BM330" s="1"/>
  <c r="GQ330"/>
  <c r="GS330" s="1"/>
  <c r="GC330"/>
  <c r="GE329"/>
  <c r="AR329" s="1"/>
  <c r="AT329" s="1"/>
  <c r="GA329"/>
  <c r="GI332"/>
  <c r="AD333"/>
  <c r="HB333"/>
  <c r="HA333" s="1"/>
  <c r="GN333"/>
  <c r="GM333" s="1"/>
  <c r="GT333"/>
  <c r="GP333" s="1"/>
  <c r="GG333"/>
  <c r="GF333" s="1"/>
  <c r="J304"/>
  <c r="K304" s="1"/>
  <c r="BE304"/>
  <c r="CS304"/>
  <c r="BZ304"/>
  <c r="Z304"/>
  <c r="AL304"/>
  <c r="AA303"/>
  <c r="EE303" s="1"/>
  <c r="ED303"/>
  <c r="AW130" i="45"/>
  <c r="BM133" i="43"/>
  <c r="GN134"/>
  <c r="GM134" s="1"/>
  <c r="GI134" s="1"/>
  <c r="GA133"/>
  <c r="GY133" s="1"/>
  <c r="GE133"/>
  <c r="AR133" s="1"/>
  <c r="C298" i="45"/>
  <c r="AR329" l="1"/>
  <c r="AZ326"/>
  <c r="AK304" i="43"/>
  <c r="AA129" i="45"/>
  <c r="AB129" s="1"/>
  <c r="Z129"/>
  <c r="GQ331" i="43"/>
  <c r="GS331" s="1"/>
  <c r="CF331" s="1"/>
  <c r="CH331" s="1"/>
  <c r="CY330"/>
  <c r="DA330" s="1"/>
  <c r="AU327" i="45" s="1"/>
  <c r="GU134" i="43"/>
  <c r="GT134" s="1"/>
  <c r="GP134" s="1"/>
  <c r="CH133"/>
  <c r="AV130" i="45"/>
  <c r="BC130" s="1"/>
  <c r="CF330" i="43"/>
  <c r="CH330" s="1"/>
  <c r="FZ332"/>
  <c r="GX331"/>
  <c r="GZ331" s="1"/>
  <c r="GC331"/>
  <c r="GE331" s="1"/>
  <c r="AR331" s="1"/>
  <c r="AT331" s="1"/>
  <c r="AD334"/>
  <c r="GT334"/>
  <c r="GG334"/>
  <c r="GF334" s="1"/>
  <c r="HB334"/>
  <c r="HA334" s="1"/>
  <c r="GN334"/>
  <c r="GM334" s="1"/>
  <c r="GI333"/>
  <c r="GA330"/>
  <c r="GE330"/>
  <c r="AR330" s="1"/>
  <c r="AT330" s="1"/>
  <c r="DO333"/>
  <c r="DP333" s="1"/>
  <c r="AE333"/>
  <c r="T330" i="45" s="1"/>
  <c r="GB333" i="43"/>
  <c r="GW333"/>
  <c r="GY329"/>
  <c r="GK329"/>
  <c r="GR329"/>
  <c r="GD329"/>
  <c r="J305"/>
  <c r="K305" s="1"/>
  <c r="AK305" s="1"/>
  <c r="X305" s="1"/>
  <c r="Y305" s="1"/>
  <c r="D302" i="45" s="1"/>
  <c r="U302" s="1"/>
  <c r="CS305" i="43"/>
  <c r="BZ305"/>
  <c r="Z305"/>
  <c r="BE305"/>
  <c r="AL305"/>
  <c r="AA304"/>
  <c r="BE130" i="45"/>
  <c r="AD133" i="43"/>
  <c r="AE133" s="1"/>
  <c r="EV133" s="1"/>
  <c r="AT133"/>
  <c r="GR133"/>
  <c r="GK133"/>
  <c r="GD133"/>
  <c r="GG134"/>
  <c r="GF134" s="1"/>
  <c r="GB134" s="1"/>
  <c r="AT130" i="45"/>
  <c r="C299"/>
  <c r="AR330" l="1"/>
  <c r="AZ327"/>
  <c r="X304" i="43"/>
  <c r="FZ134"/>
  <c r="GJ134" s="1"/>
  <c r="GL134" s="1"/>
  <c r="BK134" s="1"/>
  <c r="GA331"/>
  <c r="GK331" s="1"/>
  <c r="CY331"/>
  <c r="DA331" s="1"/>
  <c r="AU328" i="45" s="1"/>
  <c r="FZ333" i="43"/>
  <c r="GJ333" s="1"/>
  <c r="GL333" s="1"/>
  <c r="BK333" s="1"/>
  <c r="BM333" s="1"/>
  <c r="GW334"/>
  <c r="DO334"/>
  <c r="DP334" s="1"/>
  <c r="AE334"/>
  <c r="T331" i="45" s="1"/>
  <c r="GI334" i="43"/>
  <c r="GP334"/>
  <c r="AD335"/>
  <c r="GN335"/>
  <c r="GM335" s="1"/>
  <c r="GT335"/>
  <c r="GG335"/>
  <c r="GF335" s="1"/>
  <c r="HB335"/>
  <c r="HA335" s="1"/>
  <c r="GW335" s="1"/>
  <c r="GX332"/>
  <c r="GZ332" s="1"/>
  <c r="GC332"/>
  <c r="GQ332"/>
  <c r="GS332" s="1"/>
  <c r="GJ332"/>
  <c r="GL332" s="1"/>
  <c r="BK332" s="1"/>
  <c r="BM332" s="1"/>
  <c r="GY330"/>
  <c r="GD330"/>
  <c r="GR330"/>
  <c r="GK330"/>
  <c r="GB334"/>
  <c r="ED305"/>
  <c r="AA305"/>
  <c r="EE305" s="1"/>
  <c r="AL306"/>
  <c r="Z306"/>
  <c r="J306"/>
  <c r="K306" s="1"/>
  <c r="AK306" s="1"/>
  <c r="X306" s="1"/>
  <c r="Y306" s="1"/>
  <c r="D303" i="45" s="1"/>
  <c r="U303" s="1"/>
  <c r="BE306" i="43"/>
  <c r="CS306"/>
  <c r="BZ306"/>
  <c r="DO133"/>
  <c r="DP133" s="1"/>
  <c r="AY130" i="45"/>
  <c r="T130"/>
  <c r="C300"/>
  <c r="AR331" l="1"/>
  <c r="AZ328"/>
  <c r="Y304" i="43"/>
  <c r="ED304"/>
  <c r="GX134"/>
  <c r="GZ134" s="1"/>
  <c r="GC134"/>
  <c r="GE134" s="1"/>
  <c r="AR134" s="1"/>
  <c r="GG135" s="1"/>
  <c r="GF135" s="1"/>
  <c r="GQ134"/>
  <c r="GS134" s="1"/>
  <c r="CF134" s="1"/>
  <c r="GX333"/>
  <c r="GZ333" s="1"/>
  <c r="CY333" s="1"/>
  <c r="DA333" s="1"/>
  <c r="AU330" i="45" s="1"/>
  <c r="GY331" i="43"/>
  <c r="GD331"/>
  <c r="GR331"/>
  <c r="CY332"/>
  <c r="DA332" s="1"/>
  <c r="AU329" i="45" s="1"/>
  <c r="CY134" i="43"/>
  <c r="FZ334"/>
  <c r="GC334" s="1"/>
  <c r="GE334" s="1"/>
  <c r="AR334" s="1"/>
  <c r="AT334" s="1"/>
  <c r="CF332"/>
  <c r="CH332" s="1"/>
  <c r="GQ333"/>
  <c r="GS333" s="1"/>
  <c r="GC333"/>
  <c r="GE333" s="1"/>
  <c r="AR333" s="1"/>
  <c r="AT333" s="1"/>
  <c r="GB335"/>
  <c r="GI335"/>
  <c r="GP335"/>
  <c r="GE332"/>
  <c r="AR332" s="1"/>
  <c r="AT332" s="1"/>
  <c r="GA332"/>
  <c r="AD336"/>
  <c r="GN336"/>
  <c r="GM336" s="1"/>
  <c r="HB336"/>
  <c r="HA336" s="1"/>
  <c r="GG336"/>
  <c r="GF336" s="1"/>
  <c r="GT336"/>
  <c r="DO335"/>
  <c r="DP335" s="1"/>
  <c r="AE335"/>
  <c r="T332" i="45" s="1"/>
  <c r="BZ307" i="43"/>
  <c r="Z307"/>
  <c r="BE307"/>
  <c r="AL307"/>
  <c r="J307"/>
  <c r="K307" s="1"/>
  <c r="AK307" s="1"/>
  <c r="X307" s="1"/>
  <c r="Y307" s="1"/>
  <c r="D304" i="45" s="1"/>
  <c r="U304" s="1"/>
  <c r="CS307" i="43"/>
  <c r="ED306"/>
  <c r="AA306"/>
  <c r="EE306" s="1"/>
  <c r="GN135"/>
  <c r="GM135" s="1"/>
  <c r="GI135" s="1"/>
  <c r="BM134"/>
  <c r="AS130" i="45"/>
  <c r="W130"/>
  <c r="Y130" s="1"/>
  <c r="AW131"/>
  <c r="C301"/>
  <c r="AR332" l="1"/>
  <c r="AZ330"/>
  <c r="AZ329"/>
  <c r="D301"/>
  <c r="U301" s="1"/>
  <c r="EE304" i="43"/>
  <c r="AT134"/>
  <c r="AT131" i="45"/>
  <c r="AY131" s="1"/>
  <c r="GA134" i="43"/>
  <c r="GY134" s="1"/>
  <c r="GX334"/>
  <c r="GZ334" s="1"/>
  <c r="CY334" s="1"/>
  <c r="DA334" s="1"/>
  <c r="AU331" i="45" s="1"/>
  <c r="GJ334" i="43"/>
  <c r="GL334" s="1"/>
  <c r="BK334" s="1"/>
  <c r="BM334" s="1"/>
  <c r="HB135"/>
  <c r="HA135" s="1"/>
  <c r="GW135" s="1"/>
  <c r="DA134"/>
  <c r="AU131" i="45" s="1"/>
  <c r="BA131" s="1"/>
  <c r="GQ334" i="43"/>
  <c r="GS334" s="1"/>
  <c r="CF334" s="1"/>
  <c r="CH334" s="1"/>
  <c r="GU135"/>
  <c r="GT135" s="1"/>
  <c r="GP135" s="1"/>
  <c r="AD134"/>
  <c r="DO134" s="1"/>
  <c r="DP134" s="1"/>
  <c r="CH134"/>
  <c r="AV131" i="45"/>
  <c r="BC131" s="1"/>
  <c r="CF333" i="43"/>
  <c r="CH333" s="1"/>
  <c r="FZ335"/>
  <c r="GC335" s="1"/>
  <c r="GA333"/>
  <c r="GY333" s="1"/>
  <c r="GP336"/>
  <c r="GI336"/>
  <c r="GW336"/>
  <c r="GR332"/>
  <c r="GD332"/>
  <c r="GY332"/>
  <c r="GK332"/>
  <c r="GB336"/>
  <c r="AD337"/>
  <c r="GT337"/>
  <c r="GG337"/>
  <c r="GF337" s="1"/>
  <c r="HB337"/>
  <c r="HA337" s="1"/>
  <c r="GN337"/>
  <c r="GM337" s="1"/>
  <c r="DO336"/>
  <c r="DP336" s="1"/>
  <c r="AE336"/>
  <c r="T333" i="45" s="1"/>
  <c r="BE308" i="43"/>
  <c r="CS308"/>
  <c r="BZ308"/>
  <c r="AL308"/>
  <c r="Z308"/>
  <c r="J308"/>
  <c r="K308" s="1"/>
  <c r="AK308" s="1"/>
  <c r="X308" s="1"/>
  <c r="Y308" s="1"/>
  <c r="D305" i="45" s="1"/>
  <c r="U305" s="1"/>
  <c r="AA307" i="43"/>
  <c r="EE307" s="1"/>
  <c r="ED307"/>
  <c r="BE131" i="45"/>
  <c r="AA130"/>
  <c r="AB130" s="1"/>
  <c r="Z130"/>
  <c r="GD134" i="43"/>
  <c r="GB135"/>
  <c r="C302" i="45"/>
  <c r="AR333" l="1"/>
  <c r="AZ331"/>
  <c r="GK134" i="43"/>
  <c r="GR134"/>
  <c r="AE134"/>
  <c r="EV134" s="1"/>
  <c r="GR333"/>
  <c r="FZ135"/>
  <c r="GC135" s="1"/>
  <c r="GE135" s="1"/>
  <c r="AR135" s="1"/>
  <c r="GK333"/>
  <c r="GD333"/>
  <c r="GA334"/>
  <c r="GR334" s="1"/>
  <c r="FZ336"/>
  <c r="GJ336" s="1"/>
  <c r="GL336" s="1"/>
  <c r="BK336" s="1"/>
  <c r="BM336" s="1"/>
  <c r="GX335"/>
  <c r="GZ335" s="1"/>
  <c r="GJ335"/>
  <c r="GL335" s="1"/>
  <c r="BK335" s="1"/>
  <c r="BM335" s="1"/>
  <c r="GQ335"/>
  <c r="GS335" s="1"/>
  <c r="GI337"/>
  <c r="GB337"/>
  <c r="AD338"/>
  <c r="GT338"/>
  <c r="GN338"/>
  <c r="GM338" s="1"/>
  <c r="GG338"/>
  <c r="GF338" s="1"/>
  <c r="HB338"/>
  <c r="HA338" s="1"/>
  <c r="DO337"/>
  <c r="DP337" s="1"/>
  <c r="AE337"/>
  <c r="T334" i="45" s="1"/>
  <c r="GE335" i="43"/>
  <c r="AR335" s="1"/>
  <c r="AT335" s="1"/>
  <c r="GW337"/>
  <c r="GP337"/>
  <c r="AA308"/>
  <c r="EE308" s="1"/>
  <c r="ED308"/>
  <c r="CS309"/>
  <c r="BZ309"/>
  <c r="AL309"/>
  <c r="Z309"/>
  <c r="BE309"/>
  <c r="J309"/>
  <c r="K309" s="1"/>
  <c r="AK309" s="1"/>
  <c r="X309" s="1"/>
  <c r="Y309" s="1"/>
  <c r="D306" i="45" s="1"/>
  <c r="U306" s="1"/>
  <c r="C303"/>
  <c r="AR334" l="1"/>
  <c r="T131"/>
  <c r="AS131" s="1"/>
  <c r="GX135" i="43"/>
  <c r="GZ135" s="1"/>
  <c r="CY135" s="1"/>
  <c r="GJ135"/>
  <c r="GL135" s="1"/>
  <c r="BK135" s="1"/>
  <c r="BM135" s="1"/>
  <c r="GX336"/>
  <c r="GZ336" s="1"/>
  <c r="CY336" s="1"/>
  <c r="DA336" s="1"/>
  <c r="AU333" i="45" s="1"/>
  <c r="GY334" i="43"/>
  <c r="GD334"/>
  <c r="GQ135"/>
  <c r="GS135" s="1"/>
  <c r="CF135" s="1"/>
  <c r="GK334"/>
  <c r="GQ336"/>
  <c r="GS336" s="1"/>
  <c r="CF336" s="1"/>
  <c r="CH336" s="1"/>
  <c r="CY335"/>
  <c r="DA335" s="1"/>
  <c r="AU332" i="45" s="1"/>
  <c r="CF335" i="43"/>
  <c r="CH335" s="1"/>
  <c r="FZ337"/>
  <c r="GA335"/>
  <c r="GK335" s="1"/>
  <c r="GC336"/>
  <c r="GE336" s="1"/>
  <c r="AR336" s="1"/>
  <c r="AT336" s="1"/>
  <c r="GB338"/>
  <c r="GW338"/>
  <c r="GT339"/>
  <c r="GG339"/>
  <c r="GF339" s="1"/>
  <c r="GB339" s="1"/>
  <c r="HB339"/>
  <c r="HA339" s="1"/>
  <c r="GN339"/>
  <c r="GM339" s="1"/>
  <c r="AD339"/>
  <c r="GP338"/>
  <c r="GI338"/>
  <c r="DO338"/>
  <c r="DP338" s="1"/>
  <c r="AE338"/>
  <c r="T335" i="45" s="1"/>
  <c r="AA309" i="43"/>
  <c r="EE309" s="1"/>
  <c r="ED309"/>
  <c r="BZ310"/>
  <c r="Z310"/>
  <c r="J310"/>
  <c r="K310" s="1"/>
  <c r="AK310" s="1"/>
  <c r="X310" s="1"/>
  <c r="Y310" s="1"/>
  <c r="D307" i="45" s="1"/>
  <c r="U307" s="1"/>
  <c r="BE310" i="43"/>
  <c r="CS310"/>
  <c r="AL310"/>
  <c r="AT135"/>
  <c r="C304" i="45"/>
  <c r="GG136" i="43"/>
  <c r="GF136" s="1"/>
  <c r="GB136" s="1"/>
  <c r="AT132" i="45"/>
  <c r="AR335" l="1"/>
  <c r="AZ332"/>
  <c r="AZ333"/>
  <c r="W131"/>
  <c r="Y131" s="1"/>
  <c r="GN136" i="43"/>
  <c r="GM136" s="1"/>
  <c r="GI136" s="1"/>
  <c r="AW132" i="45"/>
  <c r="BE132" s="1"/>
  <c r="GA135" i="43"/>
  <c r="GY135" s="1"/>
  <c r="DA135"/>
  <c r="AU132" i="45" s="1"/>
  <c r="BA132" s="1"/>
  <c r="HB136" i="43"/>
  <c r="HA136" s="1"/>
  <c r="GW136" s="1"/>
  <c r="GU136"/>
  <c r="GT136" s="1"/>
  <c r="GP136" s="1"/>
  <c r="AD135"/>
  <c r="AE135" s="1"/>
  <c r="EV135" s="1"/>
  <c r="AV132" i="45"/>
  <c r="BC132" s="1"/>
  <c r="CH135" i="43"/>
  <c r="FZ338"/>
  <c r="GR335"/>
  <c r="GD335"/>
  <c r="GY335"/>
  <c r="GA336"/>
  <c r="GR336" s="1"/>
  <c r="AD340"/>
  <c r="GN340"/>
  <c r="GM340" s="1"/>
  <c r="GG340"/>
  <c r="GF340" s="1"/>
  <c r="HB340"/>
  <c r="HA340" s="1"/>
  <c r="GT340"/>
  <c r="GW339"/>
  <c r="GP339"/>
  <c r="GC337"/>
  <c r="GX337"/>
  <c r="GZ337" s="1"/>
  <c r="GJ337"/>
  <c r="GL337" s="1"/>
  <c r="BK337" s="1"/>
  <c r="BM337" s="1"/>
  <c r="GQ337"/>
  <c r="GS337" s="1"/>
  <c r="GI339"/>
  <c r="AE339"/>
  <c r="T336" i="45" s="1"/>
  <c r="DO339" i="43"/>
  <c r="DP339" s="1"/>
  <c r="AA310"/>
  <c r="EE310" s="1"/>
  <c r="ED310"/>
  <c r="CS311"/>
  <c r="AL311"/>
  <c r="BZ311"/>
  <c r="Z311"/>
  <c r="BE311"/>
  <c r="J311"/>
  <c r="K311" s="1"/>
  <c r="AK311" s="1"/>
  <c r="X311" s="1"/>
  <c r="Y311" s="1"/>
  <c r="D308" i="45" s="1"/>
  <c r="U308" s="1"/>
  <c r="AY132"/>
  <c r="C305"/>
  <c r="AR336" l="1"/>
  <c r="AA131"/>
  <c r="AB131" s="1"/>
  <c r="Z131"/>
  <c r="GK336" i="43"/>
  <c r="DO135"/>
  <c r="DP135" s="1"/>
  <c r="GD135"/>
  <c r="GR135"/>
  <c r="GK135"/>
  <c r="FZ136"/>
  <c r="GJ136" s="1"/>
  <c r="GL136" s="1"/>
  <c r="BK136" s="1"/>
  <c r="CY337"/>
  <c r="DA337" s="1"/>
  <c r="AU334" i="45" s="1"/>
  <c r="CF337" i="43"/>
  <c r="CH337" s="1"/>
  <c r="FZ339"/>
  <c r="GC339" s="1"/>
  <c r="GE339" s="1"/>
  <c r="AR339" s="1"/>
  <c r="AT339" s="1"/>
  <c r="GD336"/>
  <c r="GY336"/>
  <c r="GE337"/>
  <c r="AR337" s="1"/>
  <c r="AT337" s="1"/>
  <c r="GA337"/>
  <c r="AE340"/>
  <c r="T337" i="45" s="1"/>
  <c r="DO340" i="43"/>
  <c r="DP340" s="1"/>
  <c r="AD341"/>
  <c r="HB341"/>
  <c r="HA341" s="1"/>
  <c r="GN341"/>
  <c r="GM341" s="1"/>
  <c r="GT341"/>
  <c r="GG341"/>
  <c r="GF341" s="1"/>
  <c r="GI340"/>
  <c r="GP340"/>
  <c r="GB340"/>
  <c r="GC338"/>
  <c r="GQ338"/>
  <c r="GS338" s="1"/>
  <c r="GX338"/>
  <c r="GZ338" s="1"/>
  <c r="GJ338"/>
  <c r="GL338" s="1"/>
  <c r="BK338" s="1"/>
  <c r="BM338" s="1"/>
  <c r="GW340"/>
  <c r="AA311"/>
  <c r="EE311" s="1"/>
  <c r="ED311"/>
  <c r="BZ312"/>
  <c r="Z312"/>
  <c r="AL312"/>
  <c r="J312"/>
  <c r="K312" s="1"/>
  <c r="AK312" s="1"/>
  <c r="X312" s="1"/>
  <c r="Y312" s="1"/>
  <c r="D309" i="45" s="1"/>
  <c r="U309" s="1"/>
  <c r="BE312" i="43"/>
  <c r="CS312"/>
  <c r="T132" i="45"/>
  <c r="C306"/>
  <c r="AR337" l="1"/>
  <c r="AZ334"/>
  <c r="GQ339" i="43"/>
  <c r="GS339" s="1"/>
  <c r="CF339" s="1"/>
  <c r="CH339" s="1"/>
  <c r="GJ339"/>
  <c r="GL339" s="1"/>
  <c r="BK339" s="1"/>
  <c r="BM339" s="1"/>
  <c r="CY338"/>
  <c r="DA338" s="1"/>
  <c r="AU335" i="45" s="1"/>
  <c r="CF338" i="43"/>
  <c r="CH338" s="1"/>
  <c r="FZ340"/>
  <c r="GX339"/>
  <c r="GZ339" s="1"/>
  <c r="GB341"/>
  <c r="DO341"/>
  <c r="DP341" s="1"/>
  <c r="AE341"/>
  <c r="T338" i="45" s="1"/>
  <c r="GA338" i="43"/>
  <c r="GE338"/>
  <c r="AR338" s="1"/>
  <c r="AT338" s="1"/>
  <c r="GW341"/>
  <c r="GK337"/>
  <c r="GR337"/>
  <c r="GD337"/>
  <c r="GY337"/>
  <c r="AD342"/>
  <c r="HB342"/>
  <c r="HA342" s="1"/>
  <c r="GT342"/>
  <c r="GN342"/>
  <c r="GM342" s="1"/>
  <c r="GG342"/>
  <c r="GF342" s="1"/>
  <c r="GI341"/>
  <c r="GP341"/>
  <c r="J313"/>
  <c r="K313" s="1"/>
  <c r="AK313" s="1"/>
  <c r="X313" s="1"/>
  <c r="Y313" s="1"/>
  <c r="D310" i="45" s="1"/>
  <c r="U310" s="1"/>
  <c r="BZ313" i="43"/>
  <c r="CS313"/>
  <c r="BE313"/>
  <c r="Z313"/>
  <c r="AL313"/>
  <c r="AA312"/>
  <c r="EE312" s="1"/>
  <c r="ED312"/>
  <c r="BM136"/>
  <c r="AS132" i="45"/>
  <c r="W132"/>
  <c r="Y132" s="1"/>
  <c r="GC136" i="43"/>
  <c r="GE136" s="1"/>
  <c r="AR136" s="1"/>
  <c r="GX136"/>
  <c r="GZ136" s="1"/>
  <c r="GQ136"/>
  <c r="GS136" s="1"/>
  <c r="GN137"/>
  <c r="GM137" s="1"/>
  <c r="AW133" i="45"/>
  <c r="C307"/>
  <c r="AR338" l="1"/>
  <c r="AZ335"/>
  <c r="GA339" i="43"/>
  <c r="GY339" s="1"/>
  <c r="CY136"/>
  <c r="CY339"/>
  <c r="DA339" s="1"/>
  <c r="AU336" i="45" s="1"/>
  <c r="CF136" i="43"/>
  <c r="FZ341"/>
  <c r="GQ340"/>
  <c r="GS340" s="1"/>
  <c r="GX340"/>
  <c r="GZ340" s="1"/>
  <c r="GJ340"/>
  <c r="GL340" s="1"/>
  <c r="BK340" s="1"/>
  <c r="BM340" s="1"/>
  <c r="GC340"/>
  <c r="GP342"/>
  <c r="GI342"/>
  <c r="AE342"/>
  <c r="T339" i="45" s="1"/>
  <c r="DO342" i="43"/>
  <c r="DP342" s="1"/>
  <c r="GR338"/>
  <c r="GD338"/>
  <c r="GY338"/>
  <c r="GK338"/>
  <c r="GB342"/>
  <c r="HB343"/>
  <c r="HA343" s="1"/>
  <c r="GN343"/>
  <c r="GM343" s="1"/>
  <c r="AD343"/>
  <c r="GT343"/>
  <c r="GG343"/>
  <c r="GF343" s="1"/>
  <c r="GW342"/>
  <c r="J314"/>
  <c r="K314" s="1"/>
  <c r="AK314" s="1"/>
  <c r="X314" s="1"/>
  <c r="Y314" s="1"/>
  <c r="D311" i="45" s="1"/>
  <c r="U311" s="1"/>
  <c r="CS314" i="43"/>
  <c r="AL314"/>
  <c r="BE314"/>
  <c r="BZ314"/>
  <c r="Z314"/>
  <c r="AA313"/>
  <c r="EE313" s="1"/>
  <c r="ED313"/>
  <c r="Z132" i="45"/>
  <c r="AT136" i="43"/>
  <c r="BE133" i="45"/>
  <c r="AA132"/>
  <c r="AB132" s="1"/>
  <c r="GA136" i="43"/>
  <c r="GD136" s="1"/>
  <c r="GG137"/>
  <c r="GF137" s="1"/>
  <c r="AT133" i="45"/>
  <c r="C308"/>
  <c r="GI137" i="43"/>
  <c r="AR339" i="45" l="1"/>
  <c r="AZ336"/>
  <c r="GD339" i="43"/>
  <c r="GK339"/>
  <c r="GR339"/>
  <c r="HB137"/>
  <c r="HA137" s="1"/>
  <c r="GW137" s="1"/>
  <c r="DA136"/>
  <c r="AU133" i="45" s="1"/>
  <c r="BA133" s="1"/>
  <c r="CY340" i="43"/>
  <c r="DA340" s="1"/>
  <c r="AU337" i="45" s="1"/>
  <c r="GU137" i="43"/>
  <c r="GT137" s="1"/>
  <c r="GP137" s="1"/>
  <c r="AV133" i="45"/>
  <c r="BC133" s="1"/>
  <c r="AD136" i="43"/>
  <c r="DO136" s="1"/>
  <c r="DP136" s="1"/>
  <c r="CH136"/>
  <c r="CF340"/>
  <c r="CH340" s="1"/>
  <c r="FZ342"/>
  <c r="GI343"/>
  <c r="AE343"/>
  <c r="T340" i="45" s="1"/>
  <c r="DO343" i="43"/>
  <c r="DP343" s="1"/>
  <c r="GP343"/>
  <c r="AD344"/>
  <c r="GN344"/>
  <c r="GM344" s="1"/>
  <c r="GG344"/>
  <c r="GF344" s="1"/>
  <c r="HB344"/>
  <c r="HA344" s="1"/>
  <c r="GT344"/>
  <c r="GQ341"/>
  <c r="GS341" s="1"/>
  <c r="GC341"/>
  <c r="GJ341"/>
  <c r="GL341" s="1"/>
  <c r="BK341" s="1"/>
  <c r="BM341" s="1"/>
  <c r="GX341"/>
  <c r="GZ341" s="1"/>
  <c r="GB343"/>
  <c r="GW343"/>
  <c r="GA340"/>
  <c r="GE340"/>
  <c r="AR340" s="1"/>
  <c r="AT340" s="1"/>
  <c r="Z315"/>
  <c r="BE315"/>
  <c r="J315"/>
  <c r="K315" s="1"/>
  <c r="CS315"/>
  <c r="AL315"/>
  <c r="BZ315"/>
  <c r="AA314"/>
  <c r="EE314" s="1"/>
  <c r="ED314"/>
  <c r="AY133" i="45"/>
  <c r="GK136" i="43"/>
  <c r="GY136"/>
  <c r="GR136"/>
  <c r="GB137"/>
  <c r="C309" i="45"/>
  <c r="AR340" l="1"/>
  <c r="AZ337"/>
  <c r="AK315" i="43"/>
  <c r="AE136"/>
  <c r="EV136" s="1"/>
  <c r="FZ137"/>
  <c r="GJ137" s="1"/>
  <c r="GL137" s="1"/>
  <c r="BK137" s="1"/>
  <c r="CY341"/>
  <c r="DA341" s="1"/>
  <c r="AU338" i="45" s="1"/>
  <c r="CF341" i="43"/>
  <c r="CH341" s="1"/>
  <c r="FZ343"/>
  <c r="GC343" s="1"/>
  <c r="GE343" s="1"/>
  <c r="AR343" s="1"/>
  <c r="AT343" s="1"/>
  <c r="GP344"/>
  <c r="GB344"/>
  <c r="GR340"/>
  <c r="GD340"/>
  <c r="GY340"/>
  <c r="GK340"/>
  <c r="GW344"/>
  <c r="GE341"/>
  <c r="AR341" s="1"/>
  <c r="AT341" s="1"/>
  <c r="GA341"/>
  <c r="DO344"/>
  <c r="DP344" s="1"/>
  <c r="AE344"/>
  <c r="T341" i="45" s="1"/>
  <c r="GQ342" i="43"/>
  <c r="GS342" s="1"/>
  <c r="GX342"/>
  <c r="GZ342" s="1"/>
  <c r="GJ342"/>
  <c r="GL342" s="1"/>
  <c r="BK342" s="1"/>
  <c r="BM342" s="1"/>
  <c r="GC342"/>
  <c r="AD345"/>
  <c r="HB345"/>
  <c r="HA345" s="1"/>
  <c r="GW345" s="1"/>
  <c r="GN345"/>
  <c r="GM345" s="1"/>
  <c r="GT345"/>
  <c r="GG345"/>
  <c r="GF345" s="1"/>
  <c r="GI344"/>
  <c r="AA315"/>
  <c r="CS316"/>
  <c r="BE316"/>
  <c r="BZ316"/>
  <c r="Z316"/>
  <c r="AL316"/>
  <c r="J316"/>
  <c r="K316" s="1"/>
  <c r="AK316" s="1"/>
  <c r="X316" s="1"/>
  <c r="Y316" s="1"/>
  <c r="D313" i="45" s="1"/>
  <c r="U313" s="1"/>
  <c r="C310"/>
  <c r="AR341" l="1"/>
  <c r="AZ338"/>
  <c r="X315" i="43"/>
  <c r="T133" i="45"/>
  <c r="W133" s="1"/>
  <c r="Y133" s="1"/>
  <c r="GC137" i="43"/>
  <c r="GE137" s="1"/>
  <c r="AR137" s="1"/>
  <c r="AT137" s="1"/>
  <c r="GQ137"/>
  <c r="GS137" s="1"/>
  <c r="CF137" s="1"/>
  <c r="GX137"/>
  <c r="GZ137" s="1"/>
  <c r="CY137" s="1"/>
  <c r="GJ343"/>
  <c r="GL343" s="1"/>
  <c r="BK343" s="1"/>
  <c r="BM343" s="1"/>
  <c r="GQ343"/>
  <c r="GS343" s="1"/>
  <c r="CF343" s="1"/>
  <c r="CH343" s="1"/>
  <c r="CY342"/>
  <c r="DA342" s="1"/>
  <c r="AU339" i="45" s="1"/>
  <c r="CF342" i="43"/>
  <c r="CH342" s="1"/>
  <c r="FZ344"/>
  <c r="GX343"/>
  <c r="GZ343" s="1"/>
  <c r="GP345"/>
  <c r="GD341"/>
  <c r="GY341"/>
  <c r="GK341"/>
  <c r="GR341"/>
  <c r="GB345"/>
  <c r="AD346"/>
  <c r="GN346"/>
  <c r="GM346" s="1"/>
  <c r="GG346"/>
  <c r="GF346" s="1"/>
  <c r="HB346"/>
  <c r="HA346" s="1"/>
  <c r="GT346"/>
  <c r="GE342"/>
  <c r="AR342" s="1"/>
  <c r="AT342" s="1"/>
  <c r="GA342"/>
  <c r="GI345"/>
  <c r="DO345"/>
  <c r="DP345" s="1"/>
  <c r="AE345"/>
  <c r="T342" i="45" s="1"/>
  <c r="AR342" s="1"/>
  <c r="J317" i="43"/>
  <c r="K317" s="1"/>
  <c r="AK317" s="1"/>
  <c r="X317" s="1"/>
  <c r="Y317" s="1"/>
  <c r="D314" i="45" s="1"/>
  <c r="U314" s="1"/>
  <c r="CS317" i="43"/>
  <c r="BZ317"/>
  <c r="BE317"/>
  <c r="AL317"/>
  <c r="Z317"/>
  <c r="AA316"/>
  <c r="EE316" s="1"/>
  <c r="ED316"/>
  <c r="BM137"/>
  <c r="C311" i="45"/>
  <c r="GN138" i="43"/>
  <c r="GM138" s="1"/>
  <c r="AW134" i="45"/>
  <c r="AZ339" l="1"/>
  <c r="GG138" i="43"/>
  <c r="GF138" s="1"/>
  <c r="GB138" s="1"/>
  <c r="Y315"/>
  <c r="ED315"/>
  <c r="AS133" i="45"/>
  <c r="AT134"/>
  <c r="AY134" s="1"/>
  <c r="GA137" i="43"/>
  <c r="GD137" s="1"/>
  <c r="DA137"/>
  <c r="AU134" i="45" s="1"/>
  <c r="BA134" s="1"/>
  <c r="HB138" i="43"/>
  <c r="HA138" s="1"/>
  <c r="GW138" s="1"/>
  <c r="CY343"/>
  <c r="DA343" s="1"/>
  <c r="AU340" i="45" s="1"/>
  <c r="GU138" i="43"/>
  <c r="GT138" s="1"/>
  <c r="GP138" s="1"/>
  <c r="AD137"/>
  <c r="AE137" s="1"/>
  <c r="EV137" s="1"/>
  <c r="CH137"/>
  <c r="AV134" i="45"/>
  <c r="BC134" s="1"/>
  <c r="FZ345" i="43"/>
  <c r="GA343"/>
  <c r="GD343" s="1"/>
  <c r="GP346"/>
  <c r="GB346"/>
  <c r="GW346"/>
  <c r="GD342"/>
  <c r="GY342"/>
  <c r="GK342"/>
  <c r="GR342"/>
  <c r="AE346"/>
  <c r="T343" i="45" s="1"/>
  <c r="DO346" i="43"/>
  <c r="DP346" s="1"/>
  <c r="GQ344"/>
  <c r="GS344" s="1"/>
  <c r="GJ344"/>
  <c r="GL344" s="1"/>
  <c r="BK344" s="1"/>
  <c r="BM344" s="1"/>
  <c r="GC344"/>
  <c r="GX344"/>
  <c r="GZ344" s="1"/>
  <c r="AD347"/>
  <c r="HB347"/>
  <c r="HA347" s="1"/>
  <c r="GN347"/>
  <c r="GM347" s="1"/>
  <c r="GT347"/>
  <c r="GG347"/>
  <c r="GF347" s="1"/>
  <c r="GI346"/>
  <c r="AA317"/>
  <c r="EE317" s="1"/>
  <c r="ED317"/>
  <c r="BZ318"/>
  <c r="AL318"/>
  <c r="Z318"/>
  <c r="J318"/>
  <c r="K318" s="1"/>
  <c r="AK318" s="1"/>
  <c r="X318" s="1"/>
  <c r="Y318" s="1"/>
  <c r="D315" i="45" s="1"/>
  <c r="U315" s="1"/>
  <c r="BE318" i="43"/>
  <c r="CS318"/>
  <c r="Z133" i="45"/>
  <c r="BE134"/>
  <c r="AA133"/>
  <c r="AB133" s="1"/>
  <c r="C312"/>
  <c r="GI138" i="43"/>
  <c r="AR343" i="45" l="1"/>
  <c r="AZ340"/>
  <c r="GY137" i="43"/>
  <c r="D312" i="45"/>
  <c r="U312" s="1"/>
  <c r="EE315" i="43"/>
  <c r="GK137"/>
  <c r="GR137"/>
  <c r="DO137"/>
  <c r="DP137" s="1"/>
  <c r="GR343"/>
  <c r="GY343"/>
  <c r="GK343"/>
  <c r="CY344"/>
  <c r="DA344" s="1"/>
  <c r="AU341" i="45" s="1"/>
  <c r="CF344" i="43"/>
  <c r="CH344" s="1"/>
  <c r="FZ138"/>
  <c r="FZ346"/>
  <c r="GW347"/>
  <c r="GX345"/>
  <c r="GZ345" s="1"/>
  <c r="GQ345"/>
  <c r="GS345" s="1"/>
  <c r="GC345"/>
  <c r="GJ345"/>
  <c r="GL345" s="1"/>
  <c r="BK345" s="1"/>
  <c r="BM345" s="1"/>
  <c r="GI347"/>
  <c r="DO347"/>
  <c r="DP347" s="1"/>
  <c r="AE347"/>
  <c r="T344" i="45" s="1"/>
  <c r="GP347" i="43"/>
  <c r="GB347"/>
  <c r="AD348"/>
  <c r="HB348"/>
  <c r="HA348" s="1"/>
  <c r="GN348"/>
  <c r="GM348" s="1"/>
  <c r="GT348"/>
  <c r="GG348"/>
  <c r="GF348" s="1"/>
  <c r="GA344"/>
  <c r="GE344"/>
  <c r="AR344" s="1"/>
  <c r="AT344" s="1"/>
  <c r="AL319"/>
  <c r="Z319"/>
  <c r="BE319"/>
  <c r="J319"/>
  <c r="K319" s="1"/>
  <c r="AK319" s="1"/>
  <c r="X319" s="1"/>
  <c r="Y319" s="1"/>
  <c r="D316" i="45" s="1"/>
  <c r="U316" s="1"/>
  <c r="CS319" i="43"/>
  <c r="BZ319"/>
  <c r="AA318"/>
  <c r="EE318" s="1"/>
  <c r="ED318"/>
  <c r="T134" i="45"/>
  <c r="C313"/>
  <c r="AR344" l="1"/>
  <c r="AZ341"/>
  <c r="CY345" i="43"/>
  <c r="DA345" s="1"/>
  <c r="AU342" i="45" s="1"/>
  <c r="CF345" i="43"/>
  <c r="CH345" s="1"/>
  <c r="FZ347"/>
  <c r="GJ347" s="1"/>
  <c r="GL347" s="1"/>
  <c r="BK347" s="1"/>
  <c r="BM347" s="1"/>
  <c r="GB348"/>
  <c r="GW348"/>
  <c r="GC346"/>
  <c r="GX346"/>
  <c r="GZ346" s="1"/>
  <c r="GQ346"/>
  <c r="GS346" s="1"/>
  <c r="GJ346"/>
  <c r="GL346" s="1"/>
  <c r="BK346" s="1"/>
  <c r="BM346" s="1"/>
  <c r="GE345"/>
  <c r="AR345" s="1"/>
  <c r="AT345" s="1"/>
  <c r="GA345"/>
  <c r="AD349"/>
  <c r="GG349"/>
  <c r="GF349" s="1"/>
  <c r="HB349"/>
  <c r="HA349" s="1"/>
  <c r="GT349"/>
  <c r="GP349" s="1"/>
  <c r="GN349"/>
  <c r="GM349" s="1"/>
  <c r="GI348"/>
  <c r="GR344"/>
  <c r="GD344"/>
  <c r="GY344"/>
  <c r="GK344"/>
  <c r="GP348"/>
  <c r="AE348"/>
  <c r="T345" i="45" s="1"/>
  <c r="DO348" i="43"/>
  <c r="DP348" s="1"/>
  <c r="AL320"/>
  <c r="Z320"/>
  <c r="J320"/>
  <c r="K320" s="1"/>
  <c r="AK320" s="1"/>
  <c r="X320" s="1"/>
  <c r="Y320" s="1"/>
  <c r="D317" i="45" s="1"/>
  <c r="U317" s="1"/>
  <c r="CS320" i="43"/>
  <c r="BE320"/>
  <c r="BZ320"/>
  <c r="ED319"/>
  <c r="AA319"/>
  <c r="EE319" s="1"/>
  <c r="AS134" i="45"/>
  <c r="W134"/>
  <c r="Y134" s="1"/>
  <c r="C314"/>
  <c r="GX138" i="43"/>
  <c r="GZ138" s="1"/>
  <c r="GQ138"/>
  <c r="GS138" s="1"/>
  <c r="GJ138"/>
  <c r="GL138" s="1"/>
  <c r="BK138" s="1"/>
  <c r="GC138"/>
  <c r="GX347" l="1"/>
  <c r="GZ347" s="1"/>
  <c r="CY347" s="1"/>
  <c r="DA347" s="1"/>
  <c r="AU344" i="45" s="1"/>
  <c r="AR345"/>
  <c r="AZ342"/>
  <c r="GC347" i="43"/>
  <c r="GE347" s="1"/>
  <c r="AR347" s="1"/>
  <c r="AT347" s="1"/>
  <c r="GQ347"/>
  <c r="GS347" s="1"/>
  <c r="CF347" s="1"/>
  <c r="CH347" s="1"/>
  <c r="CY138"/>
  <c r="CY346"/>
  <c r="DA346" s="1"/>
  <c r="AU343" i="45" s="1"/>
  <c r="CF138" i="43"/>
  <c r="CF346"/>
  <c r="CH346" s="1"/>
  <c r="FZ348"/>
  <c r="GI349"/>
  <c r="GA346"/>
  <c r="GE346"/>
  <c r="AR346" s="1"/>
  <c r="AT346" s="1"/>
  <c r="GW349"/>
  <c r="GY345"/>
  <c r="GD345"/>
  <c r="GR345"/>
  <c r="GK345"/>
  <c r="GG350"/>
  <c r="GF350" s="1"/>
  <c r="HB350"/>
  <c r="HA350" s="1"/>
  <c r="GN350"/>
  <c r="GM350" s="1"/>
  <c r="GI350" s="1"/>
  <c r="GT350"/>
  <c r="AD350"/>
  <c r="DO349"/>
  <c r="DP349" s="1"/>
  <c r="AE349"/>
  <c r="T346" i="45" s="1"/>
  <c r="GB349" i="43"/>
  <c r="BZ321"/>
  <c r="Z321"/>
  <c r="BE321"/>
  <c r="J321"/>
  <c r="K321" s="1"/>
  <c r="AK321" s="1"/>
  <c r="X321" s="1"/>
  <c r="Y321" s="1"/>
  <c r="D318" i="45" s="1"/>
  <c r="U318" s="1"/>
  <c r="CS321" i="43"/>
  <c r="AL321"/>
  <c r="ED320"/>
  <c r="AA320"/>
  <c r="EE320" s="1"/>
  <c r="BM138"/>
  <c r="AA134" i="45"/>
  <c r="AB134" s="1"/>
  <c r="Z134"/>
  <c r="GA138" i="43"/>
  <c r="GE138"/>
  <c r="AR138" s="1"/>
  <c r="C315" i="45"/>
  <c r="AW135"/>
  <c r="GN139" i="43"/>
  <c r="GM139" s="1"/>
  <c r="AR346" i="45" l="1"/>
  <c r="AZ343"/>
  <c r="AZ344"/>
  <c r="FZ349" i="43"/>
  <c r="GC349" s="1"/>
  <c r="GE349" s="1"/>
  <c r="AR349" s="1"/>
  <c r="AT349" s="1"/>
  <c r="GA347"/>
  <c r="GK347" s="1"/>
  <c r="DA138"/>
  <c r="AU135" i="45" s="1"/>
  <c r="BA135" s="1"/>
  <c r="HB139" i="43"/>
  <c r="HA139" s="1"/>
  <c r="GW139" s="1"/>
  <c r="GU139"/>
  <c r="GT139" s="1"/>
  <c r="GP139" s="1"/>
  <c r="CH138"/>
  <c r="AV135" i="45"/>
  <c r="BC135" s="1"/>
  <c r="AD351" i="43"/>
  <c r="GT351"/>
  <c r="HB351"/>
  <c r="HA351" s="1"/>
  <c r="GG351"/>
  <c r="GF351" s="1"/>
  <c r="GN351"/>
  <c r="GM351" s="1"/>
  <c r="GX348"/>
  <c r="GZ348" s="1"/>
  <c r="GJ348"/>
  <c r="GL348" s="1"/>
  <c r="BK348" s="1"/>
  <c r="BM348" s="1"/>
  <c r="GC348"/>
  <c r="GQ348"/>
  <c r="GS348" s="1"/>
  <c r="GB350"/>
  <c r="GP350"/>
  <c r="GW350"/>
  <c r="GR346"/>
  <c r="GD346"/>
  <c r="GY346"/>
  <c r="GK346"/>
  <c r="DO350"/>
  <c r="DP350" s="1"/>
  <c r="AE350"/>
  <c r="T347" i="45" s="1"/>
  <c r="AR347" s="1"/>
  <c r="J322" i="43"/>
  <c r="K322" s="1"/>
  <c r="AK322" s="1"/>
  <c r="X322" s="1"/>
  <c r="Y322" s="1"/>
  <c r="D319" i="45" s="1"/>
  <c r="U319" s="1"/>
  <c r="CS322" i="43"/>
  <c r="BE322"/>
  <c r="BZ322"/>
  <c r="AL322"/>
  <c r="Z322"/>
  <c r="AA321"/>
  <c r="EE321" s="1"/>
  <c r="ED321"/>
  <c r="AT138"/>
  <c r="BE135" i="45"/>
  <c r="GY138" i="43"/>
  <c r="GR138"/>
  <c r="GD138"/>
  <c r="GK138"/>
  <c r="AT135" i="45"/>
  <c r="GG139" i="43"/>
  <c r="GF139" s="1"/>
  <c r="AD138"/>
  <c r="GI139"/>
  <c r="C316" i="45"/>
  <c r="GX349" i="43" l="1"/>
  <c r="GZ349" s="1"/>
  <c r="CY349" s="1"/>
  <c r="DA349" s="1"/>
  <c r="AU346" i="45" s="1"/>
  <c r="GJ349" i="43"/>
  <c r="GL349" s="1"/>
  <c r="BK349" s="1"/>
  <c r="BM349" s="1"/>
  <c r="GY347"/>
  <c r="GR347"/>
  <c r="GD347"/>
  <c r="CY348"/>
  <c r="DA348" s="1"/>
  <c r="AU345" i="45" s="1"/>
  <c r="CF348" i="43"/>
  <c r="CH348" s="1"/>
  <c r="FZ350"/>
  <c r="GQ349"/>
  <c r="GS349" s="1"/>
  <c r="GB351"/>
  <c r="DO351"/>
  <c r="DP351" s="1"/>
  <c r="AE351"/>
  <c r="T348" i="45" s="1"/>
  <c r="AR348" s="1"/>
  <c r="GE348" i="43"/>
  <c r="AR348" s="1"/>
  <c r="AT348" s="1"/>
  <c r="GA348"/>
  <c r="GI351"/>
  <c r="AD352"/>
  <c r="HB352"/>
  <c r="HA352" s="1"/>
  <c r="GN352"/>
  <c r="GM352" s="1"/>
  <c r="GG352"/>
  <c r="GF352" s="1"/>
  <c r="GT352"/>
  <c r="GP351"/>
  <c r="GW351"/>
  <c r="AA322"/>
  <c r="EE322" s="1"/>
  <c r="ED322"/>
  <c r="J323"/>
  <c r="K323" s="1"/>
  <c r="CS323"/>
  <c r="BZ323"/>
  <c r="AL323"/>
  <c r="Z323"/>
  <c r="BE323"/>
  <c r="AY135" i="45"/>
  <c r="DO138" i="43"/>
  <c r="DP138" s="1"/>
  <c r="AE138"/>
  <c r="EV138" s="1"/>
  <c r="C317" i="45"/>
  <c r="GB139" i="43"/>
  <c r="FZ139" s="1"/>
  <c r="AZ346" i="45" l="1"/>
  <c r="AZ345"/>
  <c r="BD323" i="43"/>
  <c r="CR323"/>
  <c r="DR323"/>
  <c r="BY323"/>
  <c r="GA349"/>
  <c r="GY349" s="1"/>
  <c r="CF349"/>
  <c r="CH349" s="1"/>
  <c r="FZ351"/>
  <c r="GJ350"/>
  <c r="GL350" s="1"/>
  <c r="BK350" s="1"/>
  <c r="BM350" s="1"/>
  <c r="GQ350"/>
  <c r="GS350" s="1"/>
  <c r="GX350"/>
  <c r="GZ350" s="1"/>
  <c r="GC350"/>
  <c r="GB352"/>
  <c r="AE352"/>
  <c r="T349" i="45" s="1"/>
  <c r="AR349" s="1"/>
  <c r="DO352" i="43"/>
  <c r="DP352" s="1"/>
  <c r="GT353"/>
  <c r="HB353"/>
  <c r="HA353" s="1"/>
  <c r="GG353"/>
  <c r="GF353" s="1"/>
  <c r="GN353"/>
  <c r="GM353" s="1"/>
  <c r="AD353"/>
  <c r="GW352"/>
  <c r="GR348"/>
  <c r="GD348"/>
  <c r="GY348"/>
  <c r="GK348"/>
  <c r="GP352"/>
  <c r="GI352"/>
  <c r="BZ324"/>
  <c r="AL324"/>
  <c r="J324"/>
  <c r="K324" s="1"/>
  <c r="BE324"/>
  <c r="CS324"/>
  <c r="Z324"/>
  <c r="AA323"/>
  <c r="T135" i="45"/>
  <c r="GX139" i="43"/>
  <c r="GZ139" s="1"/>
  <c r="GQ139"/>
  <c r="GS139" s="1"/>
  <c r="GJ139"/>
  <c r="GL139" s="1"/>
  <c r="BK139" s="1"/>
  <c r="GC139"/>
  <c r="C318" i="45"/>
  <c r="BD324" i="43" l="1"/>
  <c r="BF324" s="1"/>
  <c r="DR324"/>
  <c r="CR324"/>
  <c r="CT324" s="1"/>
  <c r="BY324"/>
  <c r="CA324" s="1"/>
  <c r="AK323"/>
  <c r="R323"/>
  <c r="BF323"/>
  <c r="CA323"/>
  <c r="CT323"/>
  <c r="GK349"/>
  <c r="GD349"/>
  <c r="GR349"/>
  <c r="CY350"/>
  <c r="DA350" s="1"/>
  <c r="AU347" i="45" s="1"/>
  <c r="CY139" i="43"/>
  <c r="CF350"/>
  <c r="CH350" s="1"/>
  <c r="CF139"/>
  <c r="FZ352"/>
  <c r="GI353"/>
  <c r="GP353"/>
  <c r="DO353"/>
  <c r="DP353" s="1"/>
  <c r="AE353"/>
  <c r="T350" i="45" s="1"/>
  <c r="GW353" i="43"/>
  <c r="GX351"/>
  <c r="GZ351" s="1"/>
  <c r="GC351"/>
  <c r="GQ351"/>
  <c r="GS351" s="1"/>
  <c r="GJ351"/>
  <c r="GL351" s="1"/>
  <c r="BK351" s="1"/>
  <c r="BM351" s="1"/>
  <c r="HB354"/>
  <c r="HA354" s="1"/>
  <c r="AD354"/>
  <c r="GN354"/>
  <c r="GM354" s="1"/>
  <c r="GT354"/>
  <c r="GG354"/>
  <c r="GF354" s="1"/>
  <c r="GB353"/>
  <c r="GE350"/>
  <c r="AR350" s="1"/>
  <c r="AT350" s="1"/>
  <c r="GA350"/>
  <c r="AA324"/>
  <c r="BZ325"/>
  <c r="AL325"/>
  <c r="Z325"/>
  <c r="BE325"/>
  <c r="J325"/>
  <c r="K325" s="1"/>
  <c r="CS325"/>
  <c r="BM139"/>
  <c r="AS135" i="45"/>
  <c r="W135"/>
  <c r="Y135" s="1"/>
  <c r="GE139" i="43"/>
  <c r="AR139" s="1"/>
  <c r="GA139"/>
  <c r="C319" i="45"/>
  <c r="GN140" i="43"/>
  <c r="GM140" s="1"/>
  <c r="AW136" i="45"/>
  <c r="AZ347" l="1"/>
  <c r="BD325" i="43"/>
  <c r="DR325"/>
  <c r="CR325"/>
  <c r="BY325"/>
  <c r="AK324"/>
  <c r="X324" s="1"/>
  <c r="DX324"/>
  <c r="R324"/>
  <c r="X323"/>
  <c r="DX323"/>
  <c r="FZ353"/>
  <c r="GX353" s="1"/>
  <c r="GZ353" s="1"/>
  <c r="DA139"/>
  <c r="AU136" i="45" s="1"/>
  <c r="BA136" s="1"/>
  <c r="HB140" i="43"/>
  <c r="HA140" s="1"/>
  <c r="GW140" s="1"/>
  <c r="CY351"/>
  <c r="DA351" s="1"/>
  <c r="AU348" i="45" s="1"/>
  <c r="GU140" i="43"/>
  <c r="GT140" s="1"/>
  <c r="GP140" s="1"/>
  <c r="CH139"/>
  <c r="AV136" i="45"/>
  <c r="BC136" s="1"/>
  <c r="CF351" i="43"/>
  <c r="CH351" s="1"/>
  <c r="GI354"/>
  <c r="GP354"/>
  <c r="AD355"/>
  <c r="GT355"/>
  <c r="GG355"/>
  <c r="GF355" s="1"/>
  <c r="HB355"/>
  <c r="HA355" s="1"/>
  <c r="GN355"/>
  <c r="GM355" s="1"/>
  <c r="GI355" s="1"/>
  <c r="GW354"/>
  <c r="GA351"/>
  <c r="GE351"/>
  <c r="AR351" s="1"/>
  <c r="AT351" s="1"/>
  <c r="GQ352"/>
  <c r="GS352" s="1"/>
  <c r="GC352"/>
  <c r="GX352"/>
  <c r="GZ352" s="1"/>
  <c r="GJ352"/>
  <c r="GL352" s="1"/>
  <c r="BK352" s="1"/>
  <c r="BM352" s="1"/>
  <c r="GY350"/>
  <c r="GK350"/>
  <c r="GR350"/>
  <c r="GD350"/>
  <c r="GB354"/>
  <c r="DO354"/>
  <c r="DP354" s="1"/>
  <c r="AE354"/>
  <c r="T351" i="45" s="1"/>
  <c r="AA325" i="43"/>
  <c r="J326"/>
  <c r="K326" s="1"/>
  <c r="CS326"/>
  <c r="Z326"/>
  <c r="BE326"/>
  <c r="BZ326"/>
  <c r="AL326"/>
  <c r="Z135" i="45"/>
  <c r="AT139" i="43"/>
  <c r="BE136" i="45"/>
  <c r="AA135"/>
  <c r="AB135" s="1"/>
  <c r="AT319"/>
  <c r="AW319"/>
  <c r="AV319"/>
  <c r="GI140" i="43"/>
  <c r="AD139"/>
  <c r="GG140"/>
  <c r="GF140" s="1"/>
  <c r="AT136" i="45"/>
  <c r="C320"/>
  <c r="GD139" i="43"/>
  <c r="GY139"/>
  <c r="GK139"/>
  <c r="GR139"/>
  <c r="AZ348" i="45" l="1"/>
  <c r="BD326" i="43"/>
  <c r="DR326"/>
  <c r="CR326"/>
  <c r="BY326"/>
  <c r="CA326" s="1"/>
  <c r="ED323"/>
  <c r="Y323"/>
  <c r="CT325"/>
  <c r="BF325"/>
  <c r="CA325"/>
  <c r="AK325"/>
  <c r="R325"/>
  <c r="Y324"/>
  <c r="ED324"/>
  <c r="GJ353"/>
  <c r="GL353" s="1"/>
  <c r="BK353" s="1"/>
  <c r="BM353" s="1"/>
  <c r="FZ354"/>
  <c r="GQ354" s="1"/>
  <c r="GS354" s="1"/>
  <c r="CY353"/>
  <c r="DA353" s="1"/>
  <c r="CY352"/>
  <c r="DA352" s="1"/>
  <c r="AU349" i="45" s="1"/>
  <c r="AZ349" s="1"/>
  <c r="CF352" i="43"/>
  <c r="CH352" s="1"/>
  <c r="GQ353"/>
  <c r="GS353" s="1"/>
  <c r="GC353"/>
  <c r="GE353" s="1"/>
  <c r="AR353" s="1"/>
  <c r="AT353" s="1"/>
  <c r="GA352"/>
  <c r="GE352"/>
  <c r="AR352" s="1"/>
  <c r="AT352" s="1"/>
  <c r="GW355"/>
  <c r="DO355"/>
  <c r="DP355" s="1"/>
  <c r="AE355"/>
  <c r="T352" i="45" s="1"/>
  <c r="GR351" i="43"/>
  <c r="GD351"/>
  <c r="GY351"/>
  <c r="GK351"/>
  <c r="GP355"/>
  <c r="GT356"/>
  <c r="GG356"/>
  <c r="GF356" s="1"/>
  <c r="AD356"/>
  <c r="HB356"/>
  <c r="HA356" s="1"/>
  <c r="GN356"/>
  <c r="GM356" s="1"/>
  <c r="GB355"/>
  <c r="BZ327"/>
  <c r="AL327"/>
  <c r="BE327"/>
  <c r="Z327"/>
  <c r="J327"/>
  <c r="K327" s="1"/>
  <c r="CS327"/>
  <c r="AA326"/>
  <c r="AY136" i="45"/>
  <c r="AW320"/>
  <c r="AV320"/>
  <c r="AE139" i="43"/>
  <c r="EV139" s="1"/>
  <c r="DO139"/>
  <c r="DP139" s="1"/>
  <c r="GB140"/>
  <c r="FZ140" s="1"/>
  <c r="C321" i="45"/>
  <c r="BD327" i="43" l="1"/>
  <c r="CR327"/>
  <c r="DR327"/>
  <c r="BY327"/>
  <c r="CT326"/>
  <c r="BF326"/>
  <c r="D320" i="45"/>
  <c r="U320" s="1"/>
  <c r="EE323" i="43"/>
  <c r="AK326"/>
  <c r="X326" s="1"/>
  <c r="R326"/>
  <c r="X325"/>
  <c r="DX325"/>
  <c r="D321" i="45"/>
  <c r="U321" s="1"/>
  <c r="EE324" i="43"/>
  <c r="GX354"/>
  <c r="GZ354" s="1"/>
  <c r="CY354" s="1"/>
  <c r="DA354" s="1"/>
  <c r="FZ355"/>
  <c r="GJ355" s="1"/>
  <c r="GL355" s="1"/>
  <c r="BK355" s="1"/>
  <c r="BM355" s="1"/>
  <c r="CF354"/>
  <c r="CH354" s="1"/>
  <c r="CF353"/>
  <c r="CH353" s="1"/>
  <c r="GC140"/>
  <c r="GE140" s="1"/>
  <c r="AR140" s="1"/>
  <c r="GJ354"/>
  <c r="GL354" s="1"/>
  <c r="BK354" s="1"/>
  <c r="BM354" s="1"/>
  <c r="GA353"/>
  <c r="GY353" s="1"/>
  <c r="GC354"/>
  <c r="GE354" s="1"/>
  <c r="AR354" s="1"/>
  <c r="AT354" s="1"/>
  <c r="GW356"/>
  <c r="GD352"/>
  <c r="GY352"/>
  <c r="GK352"/>
  <c r="GR352"/>
  <c r="GI356"/>
  <c r="GP356"/>
  <c r="AD357"/>
  <c r="HB357"/>
  <c r="HA357" s="1"/>
  <c r="GT357"/>
  <c r="GN357"/>
  <c r="GM357" s="1"/>
  <c r="GG357"/>
  <c r="GF357" s="1"/>
  <c r="GB356"/>
  <c r="DO356"/>
  <c r="DP356" s="1"/>
  <c r="AE356"/>
  <c r="T353" i="45" s="1"/>
  <c r="CS328" i="43"/>
  <c r="BZ328"/>
  <c r="Z328"/>
  <c r="J328"/>
  <c r="K328" s="1"/>
  <c r="AL328"/>
  <c r="BE328"/>
  <c r="AA327"/>
  <c r="T136" i="45"/>
  <c r="AV321"/>
  <c r="AW321"/>
  <c r="GX140" i="43"/>
  <c r="GZ140" s="1"/>
  <c r="GQ140"/>
  <c r="GS140" s="1"/>
  <c r="GJ140"/>
  <c r="GL140" s="1"/>
  <c r="BK140" s="1"/>
  <c r="C322" i="45"/>
  <c r="AT320"/>
  <c r="DX326" i="43" l="1"/>
  <c r="CR328"/>
  <c r="DR328"/>
  <c r="BD328"/>
  <c r="BY328"/>
  <c r="AK327"/>
  <c r="R327"/>
  <c r="BF327"/>
  <c r="CA327"/>
  <c r="CT327"/>
  <c r="Y326"/>
  <c r="ED326"/>
  <c r="ED325"/>
  <c r="Y325"/>
  <c r="GQ355"/>
  <c r="GS355" s="1"/>
  <c r="CF355" s="1"/>
  <c r="CH355" s="1"/>
  <c r="GC355"/>
  <c r="GE355" s="1"/>
  <c r="AR355" s="1"/>
  <c r="AT355" s="1"/>
  <c r="CY140"/>
  <c r="CF140"/>
  <c r="FZ356"/>
  <c r="GQ356" s="1"/>
  <c r="GS356" s="1"/>
  <c r="GD353"/>
  <c r="GR353"/>
  <c r="GK353"/>
  <c r="GX355"/>
  <c r="GZ355" s="1"/>
  <c r="GA354"/>
  <c r="GY354" s="1"/>
  <c r="GI357"/>
  <c r="DO357"/>
  <c r="DP357" s="1"/>
  <c r="AE357"/>
  <c r="T354" i="45" s="1"/>
  <c r="GB357" i="43"/>
  <c r="GW357"/>
  <c r="AD358"/>
  <c r="HB358"/>
  <c r="HA358" s="1"/>
  <c r="GN358"/>
  <c r="GM358" s="1"/>
  <c r="GT358"/>
  <c r="GG358"/>
  <c r="GF358" s="1"/>
  <c r="GP357"/>
  <c r="AA328"/>
  <c r="J329"/>
  <c r="K329" s="1"/>
  <c r="CS329"/>
  <c r="BZ329"/>
  <c r="AL329"/>
  <c r="BE329"/>
  <c r="Z329"/>
  <c r="AT140"/>
  <c r="BM140"/>
  <c r="AS136" i="45"/>
  <c r="W136"/>
  <c r="Y136" s="1"/>
  <c r="AV323"/>
  <c r="AW322"/>
  <c r="AV322"/>
  <c r="GN141" i="43"/>
  <c r="GM141" s="1"/>
  <c r="AW137" i="45"/>
  <c r="GG141" i="43"/>
  <c r="GF141" s="1"/>
  <c r="AT137" i="45"/>
  <c r="GA140" i="43"/>
  <c r="AT321" i="45"/>
  <c r="C323"/>
  <c r="DR329" i="43" l="1"/>
  <c r="CR329"/>
  <c r="BD329"/>
  <c r="BY329"/>
  <c r="BF328"/>
  <c r="CA328"/>
  <c r="CT328"/>
  <c r="AK328"/>
  <c r="X328" s="1"/>
  <c r="R328"/>
  <c r="X327"/>
  <c r="DX327"/>
  <c r="EE325"/>
  <c r="D323" i="45"/>
  <c r="U323" s="1"/>
  <c r="EE326" i="43"/>
  <c r="D322" i="45"/>
  <c r="U322" s="1"/>
  <c r="GX356" i="43"/>
  <c r="GZ356" s="1"/>
  <c r="CY356" s="1"/>
  <c r="DA356" s="1"/>
  <c r="DA140"/>
  <c r="AU137" i="45" s="1"/>
  <c r="BA137" s="1"/>
  <c r="HB141" i="43"/>
  <c r="HA141" s="1"/>
  <c r="GW141" s="1"/>
  <c r="CY355"/>
  <c r="DA355" s="1"/>
  <c r="GU141"/>
  <c r="GT141" s="1"/>
  <c r="GP141" s="1"/>
  <c r="AV137" i="45"/>
  <c r="BC137" s="1"/>
  <c r="AD140" i="43"/>
  <c r="AE140" s="1"/>
  <c r="EV140" s="1"/>
  <c r="CH140"/>
  <c r="CF356"/>
  <c r="CH356" s="1"/>
  <c r="FZ357"/>
  <c r="GD354"/>
  <c r="GR354"/>
  <c r="GA355"/>
  <c r="GK355" s="1"/>
  <c r="GK354"/>
  <c r="GJ356"/>
  <c r="GL356" s="1"/>
  <c r="BK356" s="1"/>
  <c r="BM356" s="1"/>
  <c r="GC356"/>
  <c r="GE356" s="1"/>
  <c r="AR356" s="1"/>
  <c r="AT356" s="1"/>
  <c r="GP358"/>
  <c r="DO358"/>
  <c r="DP358" s="1"/>
  <c r="AE358"/>
  <c r="T355" i="45" s="1"/>
  <c r="GB358" i="43"/>
  <c r="GW358"/>
  <c r="AD359"/>
  <c r="GT359"/>
  <c r="GP359" s="1"/>
  <c r="HB359"/>
  <c r="HA359" s="1"/>
  <c r="GG359"/>
  <c r="GF359" s="1"/>
  <c r="GN359"/>
  <c r="GM359" s="1"/>
  <c r="GI358"/>
  <c r="AA329"/>
  <c r="J330"/>
  <c r="K330" s="1"/>
  <c r="CS330"/>
  <c r="BZ330"/>
  <c r="AL330"/>
  <c r="Z330"/>
  <c r="BE330"/>
  <c r="BE137" i="45"/>
  <c r="AY137"/>
  <c r="AA136"/>
  <c r="AB136" s="1"/>
  <c r="Z136"/>
  <c r="AW323"/>
  <c r="AT323"/>
  <c r="AT322"/>
  <c r="GB141" i="43"/>
  <c r="C324" i="45"/>
  <c r="GD140" i="43"/>
  <c r="GY140"/>
  <c r="GR140"/>
  <c r="GK140"/>
  <c r="GI141"/>
  <c r="DR330" l="1"/>
  <c r="CR330"/>
  <c r="BD330"/>
  <c r="BF330" s="1"/>
  <c r="BY330"/>
  <c r="ED327"/>
  <c r="DX328"/>
  <c r="Y327"/>
  <c r="D324" i="45" s="1"/>
  <c r="U324" s="1"/>
  <c r="BF329" i="43"/>
  <c r="AK329"/>
  <c r="R329"/>
  <c r="CA329"/>
  <c r="CT329"/>
  <c r="Y328"/>
  <c r="ED328"/>
  <c r="DO140"/>
  <c r="DP140" s="1"/>
  <c r="GD355"/>
  <c r="FZ358"/>
  <c r="FZ141"/>
  <c r="GR355"/>
  <c r="GY355"/>
  <c r="GA356"/>
  <c r="GK356" s="1"/>
  <c r="GB359"/>
  <c r="GI359"/>
  <c r="DO359"/>
  <c r="DP359" s="1"/>
  <c r="AE359"/>
  <c r="T356" i="45" s="1"/>
  <c r="GJ357" i="43"/>
  <c r="GL357" s="1"/>
  <c r="BK357" s="1"/>
  <c r="BM357" s="1"/>
  <c r="GC357"/>
  <c r="GX357"/>
  <c r="GZ357" s="1"/>
  <c r="GQ357"/>
  <c r="GS357" s="1"/>
  <c r="AD360"/>
  <c r="GT360"/>
  <c r="HB360"/>
  <c r="HA360" s="1"/>
  <c r="GN360"/>
  <c r="GM360" s="1"/>
  <c r="GG360"/>
  <c r="GF360" s="1"/>
  <c r="GW359"/>
  <c r="Z331"/>
  <c r="BE331"/>
  <c r="AL331"/>
  <c r="J331"/>
  <c r="K331" s="1"/>
  <c r="CS331"/>
  <c r="BZ331"/>
  <c r="AA330"/>
  <c r="T137" i="45"/>
  <c r="AV324"/>
  <c r="AW324"/>
  <c r="C325"/>
  <c r="EE327" i="43" l="1"/>
  <c r="BD331"/>
  <c r="DR331"/>
  <c r="CR331"/>
  <c r="CT331" s="1"/>
  <c r="BY331"/>
  <c r="CA331" s="1"/>
  <c r="CT330"/>
  <c r="CA330"/>
  <c r="AK330"/>
  <c r="X330" s="1"/>
  <c r="R330"/>
  <c r="X329"/>
  <c r="DX329"/>
  <c r="D325" i="45"/>
  <c r="U325" s="1"/>
  <c r="EE328" i="43"/>
  <c r="CY357"/>
  <c r="DA357" s="1"/>
  <c r="CF357"/>
  <c r="CH357" s="1"/>
  <c r="FZ359"/>
  <c r="GY356"/>
  <c r="GR356"/>
  <c r="GD356"/>
  <c r="GP360"/>
  <c r="GA357"/>
  <c r="GE357"/>
  <c r="AR357" s="1"/>
  <c r="AT357" s="1"/>
  <c r="AD361"/>
  <c r="GT361"/>
  <c r="HB361"/>
  <c r="HA361" s="1"/>
  <c r="GG361"/>
  <c r="GF361" s="1"/>
  <c r="GN361"/>
  <c r="GM361" s="1"/>
  <c r="GW360"/>
  <c r="GI360"/>
  <c r="GX358"/>
  <c r="GZ358" s="1"/>
  <c r="GQ358"/>
  <c r="GS358" s="1"/>
  <c r="GC358"/>
  <c r="GJ358"/>
  <c r="GL358" s="1"/>
  <c r="BK358" s="1"/>
  <c r="BM358" s="1"/>
  <c r="GB360"/>
  <c r="AE360"/>
  <c r="T357" i="45" s="1"/>
  <c r="DO360" i="43"/>
  <c r="DP360" s="1"/>
  <c r="J332"/>
  <c r="K332" s="1"/>
  <c r="CS332"/>
  <c r="AL332"/>
  <c r="BE332"/>
  <c r="BZ332"/>
  <c r="Z332"/>
  <c r="AA331"/>
  <c r="AS137" i="45"/>
  <c r="W137"/>
  <c r="Y137" s="1"/>
  <c r="C326"/>
  <c r="AT324"/>
  <c r="AW325"/>
  <c r="AV325"/>
  <c r="BB325" s="1"/>
  <c r="GX141" i="43"/>
  <c r="GZ141" s="1"/>
  <c r="GC141"/>
  <c r="GJ141"/>
  <c r="GL141" s="1"/>
  <c r="BK141" s="1"/>
  <c r="GQ141"/>
  <c r="GS141" s="1"/>
  <c r="DX330" l="1"/>
  <c r="ED329"/>
  <c r="BD332"/>
  <c r="DR332"/>
  <c r="CR332"/>
  <c r="BY332"/>
  <c r="Y329"/>
  <c r="BF331"/>
  <c r="AK331"/>
  <c r="R331"/>
  <c r="Y330"/>
  <c r="ED330"/>
  <c r="CY141"/>
  <c r="CY358"/>
  <c r="DA358" s="1"/>
  <c r="CF141"/>
  <c r="CF358"/>
  <c r="CH358" s="1"/>
  <c r="FZ360"/>
  <c r="GP361"/>
  <c r="GQ359"/>
  <c r="GS359" s="1"/>
  <c r="GX359"/>
  <c r="GZ359" s="1"/>
  <c r="GC359"/>
  <c r="GJ359"/>
  <c r="GL359" s="1"/>
  <c r="BK359" s="1"/>
  <c r="BM359" s="1"/>
  <c r="GW361"/>
  <c r="AE361"/>
  <c r="T358" i="45" s="1"/>
  <c r="DO361" i="43"/>
  <c r="DP361" s="1"/>
  <c r="GA358"/>
  <c r="GE358"/>
  <c r="AR358" s="1"/>
  <c r="AT358" s="1"/>
  <c r="GB361"/>
  <c r="GY357"/>
  <c r="GK357"/>
  <c r="GR357"/>
  <c r="GD357"/>
  <c r="GI361"/>
  <c r="AD362"/>
  <c r="HB362"/>
  <c r="HA362" s="1"/>
  <c r="GN362"/>
  <c r="GM362" s="1"/>
  <c r="GI362" s="1"/>
  <c r="GT362"/>
  <c r="GG362"/>
  <c r="GF362" s="1"/>
  <c r="AA332"/>
  <c r="BZ333"/>
  <c r="AL333"/>
  <c r="BE333"/>
  <c r="Z333"/>
  <c r="J333"/>
  <c r="K333" s="1"/>
  <c r="CS333"/>
  <c r="Z137" i="45"/>
  <c r="BM141" i="43"/>
  <c r="AA137" i="45"/>
  <c r="AB137" s="1"/>
  <c r="BD325"/>
  <c r="GE141" i="43"/>
  <c r="AR141" s="1"/>
  <c r="GA141"/>
  <c r="AT325" i="45"/>
  <c r="AW138"/>
  <c r="GN142" i="43"/>
  <c r="GM142" s="1"/>
  <c r="C327" i="45"/>
  <c r="AV326"/>
  <c r="AW326"/>
  <c r="EE329" i="43" l="1"/>
  <c r="D326" i="45"/>
  <c r="U326" s="1"/>
  <c r="DR333" i="43"/>
  <c r="CR333"/>
  <c r="BD333"/>
  <c r="BY333"/>
  <c r="CA333" s="1"/>
  <c r="BF332"/>
  <c r="CT332"/>
  <c r="CA332"/>
  <c r="AK332"/>
  <c r="X332" s="1"/>
  <c r="R332"/>
  <c r="X331"/>
  <c r="DX331"/>
  <c r="D327" i="45"/>
  <c r="U327" s="1"/>
  <c r="EE330" i="43"/>
  <c r="HB142"/>
  <c r="HA142" s="1"/>
  <c r="GW142" s="1"/>
  <c r="DA141"/>
  <c r="AU138" i="45" s="1"/>
  <c r="BA138" s="1"/>
  <c r="CY359" i="43"/>
  <c r="DA359" s="1"/>
  <c r="GU142"/>
  <c r="GT142" s="1"/>
  <c r="GP142" s="1"/>
  <c r="AV138" i="45"/>
  <c r="BC138" s="1"/>
  <c r="CH141" i="43"/>
  <c r="CF359"/>
  <c r="CH359" s="1"/>
  <c r="FZ361"/>
  <c r="GP362"/>
  <c r="GE359"/>
  <c r="AR359" s="1"/>
  <c r="AT359" s="1"/>
  <c r="GA359"/>
  <c r="DO362"/>
  <c r="DP362" s="1"/>
  <c r="AE362"/>
  <c r="T359" i="45" s="1"/>
  <c r="GB362" i="43"/>
  <c r="GW362"/>
  <c r="GJ360"/>
  <c r="GL360" s="1"/>
  <c r="BK360" s="1"/>
  <c r="BM360" s="1"/>
  <c r="GQ360"/>
  <c r="GS360" s="1"/>
  <c r="GX360"/>
  <c r="GZ360" s="1"/>
  <c r="GC360"/>
  <c r="AD363"/>
  <c r="GG363"/>
  <c r="GF363" s="1"/>
  <c r="HB363"/>
  <c r="HA363" s="1"/>
  <c r="GT363"/>
  <c r="GP363" s="1"/>
  <c r="GN363"/>
  <c r="GM363" s="1"/>
  <c r="GK358"/>
  <c r="GR358"/>
  <c r="GD358"/>
  <c r="GY358"/>
  <c r="BE334"/>
  <c r="CS334"/>
  <c r="BZ334"/>
  <c r="Z334"/>
  <c r="J334"/>
  <c r="K334" s="1"/>
  <c r="AL334"/>
  <c r="AA333"/>
  <c r="AT141"/>
  <c r="BE138" i="45"/>
  <c r="AT328"/>
  <c r="C328"/>
  <c r="AX325"/>
  <c r="BD326"/>
  <c r="GI142" i="43"/>
  <c r="AW327" i="45"/>
  <c r="AV327"/>
  <c r="BB327" s="1"/>
  <c r="AD141" i="43"/>
  <c r="AT138" i="45"/>
  <c r="GG142" i="43"/>
  <c r="GF142" s="1"/>
  <c r="BB326" i="45"/>
  <c r="AT326"/>
  <c r="GK141" i="43"/>
  <c r="GY141"/>
  <c r="GR141"/>
  <c r="GD141"/>
  <c r="CT333" l="1"/>
  <c r="ED331"/>
  <c r="Y331"/>
  <c r="EE331" s="1"/>
  <c r="DX332"/>
  <c r="BD334"/>
  <c r="BF334" s="1"/>
  <c r="DR334"/>
  <c r="CR334"/>
  <c r="BY334"/>
  <c r="BF333"/>
  <c r="AK333"/>
  <c r="R333"/>
  <c r="Y332"/>
  <c r="ED332"/>
  <c r="CY360"/>
  <c r="DA360" s="1"/>
  <c r="CF360"/>
  <c r="CH360" s="1"/>
  <c r="FZ362"/>
  <c r="GI363"/>
  <c r="GB363"/>
  <c r="HB364"/>
  <c r="HA364" s="1"/>
  <c r="GN364"/>
  <c r="GM364" s="1"/>
  <c r="GT364"/>
  <c r="GG364"/>
  <c r="GF364" s="1"/>
  <c r="AD364"/>
  <c r="GW363"/>
  <c r="GE360"/>
  <c r="AR360" s="1"/>
  <c r="AT360" s="1"/>
  <c r="GA360"/>
  <c r="GC361"/>
  <c r="GQ361"/>
  <c r="GS361" s="1"/>
  <c r="GX361"/>
  <c r="GZ361" s="1"/>
  <c r="GJ361"/>
  <c r="GL361" s="1"/>
  <c r="BK361" s="1"/>
  <c r="BM361" s="1"/>
  <c r="AE363"/>
  <c r="T360" i="45" s="1"/>
  <c r="DO363" i="43"/>
  <c r="DP363" s="1"/>
  <c r="GR359"/>
  <c r="GK359"/>
  <c r="GD359"/>
  <c r="GY359"/>
  <c r="AA334"/>
  <c r="BE335"/>
  <c r="Z335"/>
  <c r="J335"/>
  <c r="K335" s="1"/>
  <c r="CS335"/>
  <c r="AL335"/>
  <c r="BZ335"/>
  <c r="AY138" i="45"/>
  <c r="AV328"/>
  <c r="BB328" s="1"/>
  <c r="AW328"/>
  <c r="BD328" s="1"/>
  <c r="AE141" i="43"/>
  <c r="EV141" s="1"/>
  <c r="DO141"/>
  <c r="DP141" s="1"/>
  <c r="BD327" i="45"/>
  <c r="AX326"/>
  <c r="GB142" i="43"/>
  <c r="FZ142" s="1"/>
  <c r="AT327" i="45"/>
  <c r="AX328" s="1"/>
  <c r="C329"/>
  <c r="D328" l="1"/>
  <c r="U328" s="1"/>
  <c r="DR335" i="43"/>
  <c r="CR335"/>
  <c r="BD335"/>
  <c r="BY335"/>
  <c r="CA335" s="1"/>
  <c r="CT334"/>
  <c r="CA334"/>
  <c r="AK334"/>
  <c r="X334" s="1"/>
  <c r="R334"/>
  <c r="X333"/>
  <c r="DX333"/>
  <c r="D329" i="45"/>
  <c r="U329" s="1"/>
  <c r="EE332" i="43"/>
  <c r="CY361"/>
  <c r="DA361" s="1"/>
  <c r="CF361"/>
  <c r="CH361" s="1"/>
  <c r="FZ363"/>
  <c r="GB364"/>
  <c r="AD365"/>
  <c r="GG365"/>
  <c r="GF365" s="1"/>
  <c r="HB365"/>
  <c r="HA365" s="1"/>
  <c r="GT365"/>
  <c r="GN365"/>
  <c r="GM365" s="1"/>
  <c r="GJ362"/>
  <c r="GL362" s="1"/>
  <c r="BK362" s="1"/>
  <c r="BM362" s="1"/>
  <c r="GX362"/>
  <c r="GZ362" s="1"/>
  <c r="GQ362"/>
  <c r="GS362" s="1"/>
  <c r="GC362"/>
  <c r="GW364"/>
  <c r="GR360"/>
  <c r="GD360"/>
  <c r="GY360"/>
  <c r="GK360"/>
  <c r="DO364"/>
  <c r="DP364" s="1"/>
  <c r="AE364"/>
  <c r="T361" i="45" s="1"/>
  <c r="GI364" i="43"/>
  <c r="GE361"/>
  <c r="AR361" s="1"/>
  <c r="AT361" s="1"/>
  <c r="GA361"/>
  <c r="GP364"/>
  <c r="AA335"/>
  <c r="BE336"/>
  <c r="CS336"/>
  <c r="BZ336"/>
  <c r="Z336"/>
  <c r="AL336"/>
  <c r="J336"/>
  <c r="K336" s="1"/>
  <c r="T138" i="45"/>
  <c r="AX327"/>
  <c r="C330"/>
  <c r="GX142" i="43"/>
  <c r="GZ142" s="1"/>
  <c r="GJ142"/>
  <c r="GL142" s="1"/>
  <c r="BK142" s="1"/>
  <c r="GQ142"/>
  <c r="GS142" s="1"/>
  <c r="AW329" i="45"/>
  <c r="AV329"/>
  <c r="GC142" i="43"/>
  <c r="DR336" l="1"/>
  <c r="BD336"/>
  <c r="BF336" s="1"/>
  <c r="CR336"/>
  <c r="CT336" s="1"/>
  <c r="BY336"/>
  <c r="Y333"/>
  <c r="CT335"/>
  <c r="DX334"/>
  <c r="ED333"/>
  <c r="BF335"/>
  <c r="AK335"/>
  <c r="X335" s="1"/>
  <c r="R335"/>
  <c r="Y334"/>
  <c r="ED334"/>
  <c r="CY362"/>
  <c r="DA362" s="1"/>
  <c r="CY142"/>
  <c r="CF362"/>
  <c r="CH362" s="1"/>
  <c r="CF142"/>
  <c r="FZ364"/>
  <c r="GE362"/>
  <c r="AR362" s="1"/>
  <c r="AT362" s="1"/>
  <c r="GA362"/>
  <c r="GI365"/>
  <c r="AD366"/>
  <c r="HB366"/>
  <c r="HA366" s="1"/>
  <c r="GW366" s="1"/>
  <c r="GN366"/>
  <c r="GM366" s="1"/>
  <c r="GT366"/>
  <c r="GG366"/>
  <c r="GF366" s="1"/>
  <c r="GY361"/>
  <c r="GK361"/>
  <c r="GR361"/>
  <c r="GD361"/>
  <c r="GW365"/>
  <c r="DO365"/>
  <c r="DP365" s="1"/>
  <c r="AE365"/>
  <c r="T362" i="45" s="1"/>
  <c r="GQ363" i="43"/>
  <c r="GS363" s="1"/>
  <c r="GC363"/>
  <c r="GJ363"/>
  <c r="GL363" s="1"/>
  <c r="BK363" s="1"/>
  <c r="BM363" s="1"/>
  <c r="GX363"/>
  <c r="GZ363" s="1"/>
  <c r="GP365"/>
  <c r="GB365"/>
  <c r="Z337"/>
  <c r="CS337"/>
  <c r="BZ337"/>
  <c r="J337"/>
  <c r="K337" s="1"/>
  <c r="AL337"/>
  <c r="BE337"/>
  <c r="AA336"/>
  <c r="BM142"/>
  <c r="AS138" i="45"/>
  <c r="W138"/>
  <c r="Y138" s="1"/>
  <c r="GA142" i="43"/>
  <c r="GE142"/>
  <c r="AR142" s="1"/>
  <c r="BD329" i="45"/>
  <c r="GN143" i="43"/>
  <c r="GM143" s="1"/>
  <c r="AW139" i="45"/>
  <c r="C331"/>
  <c r="AW330"/>
  <c r="AV330"/>
  <c r="BB330" s="1"/>
  <c r="AT329"/>
  <c r="BB329"/>
  <c r="EE333" i="43" l="1"/>
  <c r="D330" i="45"/>
  <c r="U330" s="1"/>
  <c r="CR337" i="43"/>
  <c r="DR337"/>
  <c r="BD337"/>
  <c r="BY337"/>
  <c r="AK336"/>
  <c r="X336" s="1"/>
  <c r="R336"/>
  <c r="CA336"/>
  <c r="DX335"/>
  <c r="Y335"/>
  <c r="ED335"/>
  <c r="D331" i="45"/>
  <c r="U331" s="1"/>
  <c r="EE334" i="43"/>
  <c r="DA142"/>
  <c r="AU139" i="45" s="1"/>
  <c r="BA139" s="1"/>
  <c r="HB143" i="43"/>
  <c r="HA143" s="1"/>
  <c r="GW143" s="1"/>
  <c r="CY363"/>
  <c r="DA363" s="1"/>
  <c r="GU143"/>
  <c r="GT143" s="1"/>
  <c r="GP143" s="1"/>
  <c r="CH142"/>
  <c r="AV139" i="45"/>
  <c r="BC139" s="1"/>
  <c r="CF363" i="43"/>
  <c r="CH363" s="1"/>
  <c r="FZ365"/>
  <c r="GB366"/>
  <c r="DO366"/>
  <c r="DP366" s="1"/>
  <c r="AE366"/>
  <c r="T363" i="45" s="1"/>
  <c r="GE363" i="43"/>
  <c r="AR363" s="1"/>
  <c r="AT363" s="1"/>
  <c r="GA363"/>
  <c r="GK362"/>
  <c r="GR362"/>
  <c r="GY362"/>
  <c r="GD362"/>
  <c r="AD367"/>
  <c r="GN367"/>
  <c r="GM367" s="1"/>
  <c r="GG367"/>
  <c r="GF367" s="1"/>
  <c r="HB367"/>
  <c r="HA367" s="1"/>
  <c r="GT367"/>
  <c r="GI366"/>
  <c r="GQ364"/>
  <c r="GS364" s="1"/>
  <c r="GX364"/>
  <c r="GZ364" s="1"/>
  <c r="GJ364"/>
  <c r="GL364" s="1"/>
  <c r="BK364" s="1"/>
  <c r="BM364" s="1"/>
  <c r="GC364"/>
  <c r="GP366"/>
  <c r="AA337"/>
  <c r="Z338"/>
  <c r="BZ338"/>
  <c r="AL338"/>
  <c r="J338"/>
  <c r="K338" s="1"/>
  <c r="CS338"/>
  <c r="BE338"/>
  <c r="Z138" i="45"/>
  <c r="AT142" i="43"/>
  <c r="BE139" i="45"/>
  <c r="AA138"/>
  <c r="AB138" s="1"/>
  <c r="AV332"/>
  <c r="C332"/>
  <c r="AT330"/>
  <c r="AX330" s="1"/>
  <c r="GI143" i="43"/>
  <c r="GR142"/>
  <c r="GD142"/>
  <c r="GY142"/>
  <c r="GK142"/>
  <c r="AV331" i="45"/>
  <c r="AW331"/>
  <c r="AX329"/>
  <c r="GG143" i="43"/>
  <c r="GF143" s="1"/>
  <c r="GB143" s="1"/>
  <c r="AT139" i="45"/>
  <c r="AD142" i="43"/>
  <c r="BD330" i="45"/>
  <c r="BD338" i="43" l="1"/>
  <c r="CR338"/>
  <c r="DR338"/>
  <c r="BY338"/>
  <c r="CA337"/>
  <c r="BF337"/>
  <c r="CT337"/>
  <c r="AK337"/>
  <c r="R337"/>
  <c r="Y336"/>
  <c r="ED336"/>
  <c r="DX336"/>
  <c r="D332" i="45"/>
  <c r="U332" s="1"/>
  <c r="EE335" i="43"/>
  <c r="CY364"/>
  <c r="DA364" s="1"/>
  <c r="CF364"/>
  <c r="CH364" s="1"/>
  <c r="FZ143"/>
  <c r="GQ143" s="1"/>
  <c r="GS143" s="1"/>
  <c r="FZ366"/>
  <c r="GP367"/>
  <c r="GB367"/>
  <c r="GT368"/>
  <c r="GG368"/>
  <c r="GF368" s="1"/>
  <c r="AD368"/>
  <c r="HB368"/>
  <c r="HA368" s="1"/>
  <c r="GN368"/>
  <c r="GM368" s="1"/>
  <c r="GR363"/>
  <c r="GK363"/>
  <c r="GD363"/>
  <c r="GY363"/>
  <c r="DO367"/>
  <c r="DP367" s="1"/>
  <c r="AE367"/>
  <c r="T364" i="45" s="1"/>
  <c r="GE364" i="43"/>
  <c r="AR364" s="1"/>
  <c r="AT364" s="1"/>
  <c r="GA364"/>
  <c r="GJ365"/>
  <c r="GL365" s="1"/>
  <c r="BK365" s="1"/>
  <c r="BM365" s="1"/>
  <c r="GC365"/>
  <c r="GX365"/>
  <c r="GZ365" s="1"/>
  <c r="GQ365"/>
  <c r="GS365" s="1"/>
  <c r="GW367"/>
  <c r="GI367"/>
  <c r="AA338"/>
  <c r="BZ339"/>
  <c r="J339"/>
  <c r="K339" s="1"/>
  <c r="BE339"/>
  <c r="Z339"/>
  <c r="CS339"/>
  <c r="AL339"/>
  <c r="AY139" i="45"/>
  <c r="BB332"/>
  <c r="AW332"/>
  <c r="BD332" s="1"/>
  <c r="AV333"/>
  <c r="BB333" s="1"/>
  <c r="AT331"/>
  <c r="AT332"/>
  <c r="BD331"/>
  <c r="DO142" i="43"/>
  <c r="DP142" s="1"/>
  <c r="AE142"/>
  <c r="EV142" s="1"/>
  <c r="BB331" i="45"/>
  <c r="C333"/>
  <c r="CT338" i="43" l="1"/>
  <c r="CR339"/>
  <c r="BD339"/>
  <c r="DR339"/>
  <c r="BY339"/>
  <c r="BF338"/>
  <c r="AK338"/>
  <c r="X338" s="1"/>
  <c r="R338"/>
  <c r="CA338"/>
  <c r="X337"/>
  <c r="DX337"/>
  <c r="D333" i="45"/>
  <c r="U333" s="1"/>
  <c r="EE336" i="43"/>
  <c r="CY365"/>
  <c r="DA365" s="1"/>
  <c r="CF143"/>
  <c r="CF365"/>
  <c r="CH365" s="1"/>
  <c r="FZ367"/>
  <c r="DO368"/>
  <c r="DP368" s="1"/>
  <c r="AE368"/>
  <c r="T365" i="45" s="1"/>
  <c r="GX366" i="43"/>
  <c r="GZ366" s="1"/>
  <c r="GJ366"/>
  <c r="GL366" s="1"/>
  <c r="BK366" s="1"/>
  <c r="BM366" s="1"/>
  <c r="GC366"/>
  <c r="GQ366"/>
  <c r="GS366" s="1"/>
  <c r="GE365"/>
  <c r="AR365" s="1"/>
  <c r="AT365" s="1"/>
  <c r="GA365"/>
  <c r="AD369"/>
  <c r="GG369"/>
  <c r="GF369" s="1"/>
  <c r="HB369"/>
  <c r="HA369" s="1"/>
  <c r="GT369"/>
  <c r="GN369"/>
  <c r="GM369" s="1"/>
  <c r="GI369" s="1"/>
  <c r="GP368"/>
  <c r="GW368"/>
  <c r="GB368"/>
  <c r="GD364"/>
  <c r="GY364"/>
  <c r="GK364"/>
  <c r="GR364"/>
  <c r="GI368"/>
  <c r="J340"/>
  <c r="K340" s="1"/>
  <c r="BZ340"/>
  <c r="AL340"/>
  <c r="BE340"/>
  <c r="Z340"/>
  <c r="CS340"/>
  <c r="AA339"/>
  <c r="T139" i="45"/>
  <c r="AW333"/>
  <c r="BD333" s="1"/>
  <c r="AT333"/>
  <c r="AX333" s="1"/>
  <c r="GC143" i="43"/>
  <c r="GE143" s="1"/>
  <c r="AR143" s="1"/>
  <c r="GX143"/>
  <c r="GZ143" s="1"/>
  <c r="GJ143"/>
  <c r="GL143" s="1"/>
  <c r="BK143" s="1"/>
  <c r="C334" i="45"/>
  <c r="AX331"/>
  <c r="AX332"/>
  <c r="Y337" i="43" l="1"/>
  <c r="EE337" s="1"/>
  <c r="CR340"/>
  <c r="BD340"/>
  <c r="DR340"/>
  <c r="BY340"/>
  <c r="CA339"/>
  <c r="AK339"/>
  <c r="R339"/>
  <c r="CT339"/>
  <c r="BF339"/>
  <c r="Y338"/>
  <c r="ED338"/>
  <c r="DX338"/>
  <c r="ED337"/>
  <c r="CY143"/>
  <c r="CY366"/>
  <c r="DA366" s="1"/>
  <c r="GU144"/>
  <c r="GT144" s="1"/>
  <c r="GP144" s="1"/>
  <c r="AV140" i="45"/>
  <c r="BC140" s="1"/>
  <c r="CH143" i="43"/>
  <c r="CF366"/>
  <c r="CH366" s="1"/>
  <c r="FZ368"/>
  <c r="GW369"/>
  <c r="DO369"/>
  <c r="DP369" s="1"/>
  <c r="AE369"/>
  <c r="T366" i="45" s="1"/>
  <c r="GE366" i="43"/>
  <c r="AR366" s="1"/>
  <c r="AT366" s="1"/>
  <c r="GA366"/>
  <c r="GC367"/>
  <c r="GJ367"/>
  <c r="GL367" s="1"/>
  <c r="BK367" s="1"/>
  <c r="BM367" s="1"/>
  <c r="GQ367"/>
  <c r="GS367" s="1"/>
  <c r="GX367"/>
  <c r="GZ367" s="1"/>
  <c r="GP369"/>
  <c r="GB369"/>
  <c r="AD370"/>
  <c r="GT370"/>
  <c r="GG370"/>
  <c r="GF370" s="1"/>
  <c r="HB370"/>
  <c r="HA370" s="1"/>
  <c r="GN370"/>
  <c r="GM370" s="1"/>
  <c r="GD365"/>
  <c r="GY365"/>
  <c r="GK365"/>
  <c r="GR365"/>
  <c r="J341"/>
  <c r="K341" s="1"/>
  <c r="AL341"/>
  <c r="CS341"/>
  <c r="BZ341"/>
  <c r="BE341"/>
  <c r="Z341"/>
  <c r="AA340"/>
  <c r="AT143"/>
  <c r="AW140" i="45"/>
  <c r="BM143" i="43"/>
  <c r="AS139" i="45"/>
  <c r="W139"/>
  <c r="Y139" s="1"/>
  <c r="GA143" i="43"/>
  <c r="GY143" s="1"/>
  <c r="GN144"/>
  <c r="GM144" s="1"/>
  <c r="GI144" s="1"/>
  <c r="AT140" i="45"/>
  <c r="GG144" i="43"/>
  <c r="GF144" s="1"/>
  <c r="AW334" i="45"/>
  <c r="AV334"/>
  <c r="C335"/>
  <c r="D334" l="1"/>
  <c r="U334" s="1"/>
  <c r="DR341" i="43"/>
  <c r="BY341"/>
  <c r="CA341" s="1"/>
  <c r="CR341"/>
  <c r="CT341" s="1"/>
  <c r="BD341"/>
  <c r="BF341" s="1"/>
  <c r="CT340"/>
  <c r="BF340"/>
  <c r="AK340"/>
  <c r="X340" s="1"/>
  <c r="R340"/>
  <c r="CA340"/>
  <c r="X339"/>
  <c r="DX339"/>
  <c r="D335" i="45"/>
  <c r="U335" s="1"/>
  <c r="EE338" i="43"/>
  <c r="DA143"/>
  <c r="AU140" i="45" s="1"/>
  <c r="BA140" s="1"/>
  <c r="HB144" i="43"/>
  <c r="HA144" s="1"/>
  <c r="GW144" s="1"/>
  <c r="AD143"/>
  <c r="AE143" s="1"/>
  <c r="EV143" s="1"/>
  <c r="CY367"/>
  <c r="DA367" s="1"/>
  <c r="CF367"/>
  <c r="CH367" s="1"/>
  <c r="FZ369"/>
  <c r="GJ369" s="1"/>
  <c r="GL369" s="1"/>
  <c r="BK369" s="1"/>
  <c r="BM369" s="1"/>
  <c r="GI370"/>
  <c r="GB370"/>
  <c r="GJ368"/>
  <c r="GL368" s="1"/>
  <c r="BK368" s="1"/>
  <c r="BM368" s="1"/>
  <c r="GX368"/>
  <c r="GZ368" s="1"/>
  <c r="GQ368"/>
  <c r="GS368" s="1"/>
  <c r="GC368"/>
  <c r="GD366"/>
  <c r="GY366"/>
  <c r="GK366"/>
  <c r="GR366"/>
  <c r="AD371"/>
  <c r="GN371"/>
  <c r="GM371" s="1"/>
  <c r="GT371"/>
  <c r="GG371"/>
  <c r="GF371" s="1"/>
  <c r="HB371"/>
  <c r="HA371" s="1"/>
  <c r="DO370"/>
  <c r="DP370" s="1"/>
  <c r="AE370"/>
  <c r="T367" i="45" s="1"/>
  <c r="GA367" i="43"/>
  <c r="GE367"/>
  <c r="AR367" s="1"/>
  <c r="AT367" s="1"/>
  <c r="GW370"/>
  <c r="GP370"/>
  <c r="CS342"/>
  <c r="BE342"/>
  <c r="AL342"/>
  <c r="Z342"/>
  <c r="J342"/>
  <c r="K342" s="1"/>
  <c r="BZ342"/>
  <c r="AA341"/>
  <c r="BE140" i="45"/>
  <c r="AY140"/>
  <c r="AA139"/>
  <c r="AB139" s="1"/>
  <c r="Z139"/>
  <c r="GD143" i="43"/>
  <c r="GR143"/>
  <c r="GK143"/>
  <c r="AT334" i="45"/>
  <c r="BD334"/>
  <c r="C336"/>
  <c r="BB334"/>
  <c r="GB144" i="43"/>
  <c r="AW335" i="45"/>
  <c r="AV335"/>
  <c r="AK341" i="43" l="1"/>
  <c r="X341" s="1"/>
  <c r="DX341"/>
  <c r="R341"/>
  <c r="Y339"/>
  <c r="CR342"/>
  <c r="BD342"/>
  <c r="DR342"/>
  <c r="BY342"/>
  <c r="ED339"/>
  <c r="Y340"/>
  <c r="ED340"/>
  <c r="DX340"/>
  <c r="FZ144"/>
  <c r="GJ144" s="1"/>
  <c r="GL144" s="1"/>
  <c r="BK144" s="1"/>
  <c r="DO143"/>
  <c r="DP143" s="1"/>
  <c r="GQ369"/>
  <c r="GS369" s="1"/>
  <c r="CF369" s="1"/>
  <c r="CH369" s="1"/>
  <c r="CY368"/>
  <c r="DA368" s="1"/>
  <c r="CF368"/>
  <c r="CH368" s="1"/>
  <c r="FZ370"/>
  <c r="GX369"/>
  <c r="GZ369" s="1"/>
  <c r="GC369"/>
  <c r="GE369" s="1"/>
  <c r="AR369" s="1"/>
  <c r="AT369" s="1"/>
  <c r="GY367"/>
  <c r="GK367"/>
  <c r="GR367"/>
  <c r="GD367"/>
  <c r="GB371"/>
  <c r="GI371"/>
  <c r="GW371"/>
  <c r="AD372"/>
  <c r="GG372"/>
  <c r="GF372" s="1"/>
  <c r="GN372"/>
  <c r="GM372" s="1"/>
  <c r="GT372"/>
  <c r="HB372"/>
  <c r="HA372" s="1"/>
  <c r="GP371"/>
  <c r="DO371"/>
  <c r="DP371" s="1"/>
  <c r="AE371"/>
  <c r="T368" i="45" s="1"/>
  <c r="GE368" i="43"/>
  <c r="AR368" s="1"/>
  <c r="AT368" s="1"/>
  <c r="GA368"/>
  <c r="BZ343"/>
  <c r="BE343"/>
  <c r="Z343"/>
  <c r="J343"/>
  <c r="K343" s="1"/>
  <c r="AL343"/>
  <c r="CS343"/>
  <c r="AA342"/>
  <c r="T140" i="45"/>
  <c r="AV336"/>
  <c r="BB336" s="1"/>
  <c r="AW336"/>
  <c r="BD336" s="1"/>
  <c r="C337"/>
  <c r="AX334"/>
  <c r="BB335"/>
  <c r="AT335"/>
  <c r="BD335"/>
  <c r="D336" l="1"/>
  <c r="U336" s="1"/>
  <c r="EE339" i="43"/>
  <c r="Y341"/>
  <c r="ED341"/>
  <c r="BD343"/>
  <c r="BF343" s="1"/>
  <c r="CR343"/>
  <c r="CT343" s="1"/>
  <c r="DR343"/>
  <c r="BY343"/>
  <c r="CA343" s="1"/>
  <c r="AK342"/>
  <c r="R342"/>
  <c r="CT342"/>
  <c r="CA342"/>
  <c r="BF342"/>
  <c r="D337" i="45"/>
  <c r="U337" s="1"/>
  <c r="EE340" i="43"/>
  <c r="GC144"/>
  <c r="GE144" s="1"/>
  <c r="AR144" s="1"/>
  <c r="GX144"/>
  <c r="GZ144" s="1"/>
  <c r="CY144" s="1"/>
  <c r="GQ144"/>
  <c r="GS144" s="1"/>
  <c r="CF144" s="1"/>
  <c r="CY369"/>
  <c r="DA369" s="1"/>
  <c r="GA369"/>
  <c r="GK369" s="1"/>
  <c r="FZ371"/>
  <c r="GR368"/>
  <c r="GD368"/>
  <c r="GY368"/>
  <c r="GK368"/>
  <c r="GW372"/>
  <c r="GI372"/>
  <c r="GC370"/>
  <c r="GX370"/>
  <c r="GZ370" s="1"/>
  <c r="GJ370"/>
  <c r="GL370" s="1"/>
  <c r="BK370" s="1"/>
  <c r="BM370" s="1"/>
  <c r="GQ370"/>
  <c r="GS370" s="1"/>
  <c r="GN373"/>
  <c r="GM373" s="1"/>
  <c r="GT373"/>
  <c r="GG373"/>
  <c r="GF373" s="1"/>
  <c r="HB373"/>
  <c r="HA373" s="1"/>
  <c r="AD373"/>
  <c r="AE372"/>
  <c r="T369" i="45" s="1"/>
  <c r="DO372" i="43"/>
  <c r="DP372" s="1"/>
  <c r="GP372"/>
  <c r="GB372"/>
  <c r="AA343"/>
  <c r="Z344"/>
  <c r="J344"/>
  <c r="K344" s="1"/>
  <c r="BZ344"/>
  <c r="CS344"/>
  <c r="BE344"/>
  <c r="AL344"/>
  <c r="BM144"/>
  <c r="AS140" i="45"/>
  <c r="W140"/>
  <c r="Y140" s="1"/>
  <c r="AW337"/>
  <c r="AV337"/>
  <c r="BB337" s="1"/>
  <c r="AT336"/>
  <c r="AX336" s="1"/>
  <c r="C338"/>
  <c r="AX335"/>
  <c r="AW141"/>
  <c r="GN145" i="43"/>
  <c r="GM145" s="1"/>
  <c r="D338" i="45" l="1"/>
  <c r="U338" s="1"/>
  <c r="EE341" i="43"/>
  <c r="BD344"/>
  <c r="DR344"/>
  <c r="CR344"/>
  <c r="BY344"/>
  <c r="AK343"/>
  <c r="X343" s="1"/>
  <c r="DX343"/>
  <c r="R343"/>
  <c r="X342"/>
  <c r="DX342"/>
  <c r="GA144"/>
  <c r="GR144" s="1"/>
  <c r="GR369"/>
  <c r="DA144"/>
  <c r="AU141" i="45" s="1"/>
  <c r="BA141" s="1"/>
  <c r="HB145" i="43"/>
  <c r="HA145" s="1"/>
  <c r="GW145" s="1"/>
  <c r="CY370"/>
  <c r="DA370" s="1"/>
  <c r="GD369"/>
  <c r="GY369"/>
  <c r="GU145"/>
  <c r="GT145" s="1"/>
  <c r="GP145" s="1"/>
  <c r="CH144"/>
  <c r="AV141" i="45"/>
  <c r="BC141" s="1"/>
  <c r="CF370" i="43"/>
  <c r="CH370" s="1"/>
  <c r="FZ372"/>
  <c r="GP373"/>
  <c r="GJ371"/>
  <c r="GL371" s="1"/>
  <c r="BK371" s="1"/>
  <c r="BM371" s="1"/>
  <c r="GC371"/>
  <c r="GX371"/>
  <c r="GZ371" s="1"/>
  <c r="GQ371"/>
  <c r="GS371" s="1"/>
  <c r="GB373"/>
  <c r="GI373"/>
  <c r="GE370"/>
  <c r="AR370" s="1"/>
  <c r="AT370" s="1"/>
  <c r="GA370"/>
  <c r="GW373"/>
  <c r="AD374"/>
  <c r="GT374"/>
  <c r="GP374" s="1"/>
  <c r="HB374"/>
  <c r="HA374" s="1"/>
  <c r="GG374"/>
  <c r="GF374" s="1"/>
  <c r="GN374"/>
  <c r="GM374" s="1"/>
  <c r="DO373"/>
  <c r="DP373" s="1"/>
  <c r="AE373"/>
  <c r="T370" i="45" s="1"/>
  <c r="AA344" i="43"/>
  <c r="CS345"/>
  <c r="AL345"/>
  <c r="BZ345"/>
  <c r="J345"/>
  <c r="K345" s="1"/>
  <c r="BE345"/>
  <c r="Z345"/>
  <c r="AT144"/>
  <c r="BE141" i="45"/>
  <c r="AA140"/>
  <c r="AB140" s="1"/>
  <c r="Z140"/>
  <c r="AW338"/>
  <c r="AV338"/>
  <c r="C339"/>
  <c r="AT337"/>
  <c r="AX337" s="1"/>
  <c r="AD144" i="43"/>
  <c r="AT141" i="45"/>
  <c r="GG145" i="43"/>
  <c r="GF145" s="1"/>
  <c r="BD337" i="45"/>
  <c r="GI145" i="43"/>
  <c r="BD345" l="1"/>
  <c r="DR345"/>
  <c r="CR345"/>
  <c r="BY345"/>
  <c r="ED342"/>
  <c r="Y342"/>
  <c r="CT344"/>
  <c r="BF344"/>
  <c r="CA344"/>
  <c r="AK344"/>
  <c r="R344"/>
  <c r="Y343"/>
  <c r="ED343"/>
  <c r="D339" i="45"/>
  <c r="U339" s="1"/>
  <c r="GD144" i="43"/>
  <c r="GK144"/>
  <c r="GY144"/>
  <c r="CY371"/>
  <c r="DA371" s="1"/>
  <c r="CF371"/>
  <c r="CH371" s="1"/>
  <c r="FZ373"/>
  <c r="GD370"/>
  <c r="GY370"/>
  <c r="GK370"/>
  <c r="GR370"/>
  <c r="GT375"/>
  <c r="AD375"/>
  <c r="GG375"/>
  <c r="GF375" s="1"/>
  <c r="HB375"/>
  <c r="HA375" s="1"/>
  <c r="GN375"/>
  <c r="GM375" s="1"/>
  <c r="GW374"/>
  <c r="GB374"/>
  <c r="GJ372"/>
  <c r="GL372" s="1"/>
  <c r="BK372" s="1"/>
  <c r="BM372" s="1"/>
  <c r="GQ372"/>
  <c r="GS372" s="1"/>
  <c r="GX372"/>
  <c r="GZ372" s="1"/>
  <c r="GC372"/>
  <c r="GI374"/>
  <c r="DO374"/>
  <c r="DP374" s="1"/>
  <c r="AE374"/>
  <c r="T371" i="45" s="1"/>
  <c r="GE371" i="43"/>
  <c r="AR371" s="1"/>
  <c r="AT371" s="1"/>
  <c r="GA371"/>
  <c r="J346"/>
  <c r="K346" s="1"/>
  <c r="CS346"/>
  <c r="BE346"/>
  <c r="AL346"/>
  <c r="Z346"/>
  <c r="BZ346"/>
  <c r="AA345"/>
  <c r="AY141" i="45"/>
  <c r="AW340"/>
  <c r="BD338"/>
  <c r="GB145" i="43"/>
  <c r="FZ145" s="1"/>
  <c r="AT338" i="45"/>
  <c r="AX338" s="1"/>
  <c r="AW339"/>
  <c r="AV339"/>
  <c r="BB338"/>
  <c r="C340"/>
  <c r="DO144" i="43"/>
  <c r="DP144" s="1"/>
  <c r="AE144"/>
  <c r="EV144" s="1"/>
  <c r="EE342" l="1"/>
  <c r="BD346"/>
  <c r="CR346"/>
  <c r="DR346"/>
  <c r="BY346"/>
  <c r="DX344"/>
  <c r="CT345"/>
  <c r="CA345"/>
  <c r="BF345"/>
  <c r="AK345"/>
  <c r="X345" s="1"/>
  <c r="R345"/>
  <c r="X344"/>
  <c r="D340" i="45"/>
  <c r="U340" s="1"/>
  <c r="EE343" i="43"/>
  <c r="CY372"/>
  <c r="DA372" s="1"/>
  <c r="CF372"/>
  <c r="CH372" s="1"/>
  <c r="FZ374"/>
  <c r="GQ374" s="1"/>
  <c r="GS374" s="1"/>
  <c r="GC145"/>
  <c r="GE145" s="1"/>
  <c r="AR145" s="1"/>
  <c r="GD371"/>
  <c r="GY371"/>
  <c r="GK371"/>
  <c r="GR371"/>
  <c r="GW375"/>
  <c r="GI375"/>
  <c r="GP375"/>
  <c r="GJ373"/>
  <c r="GL373" s="1"/>
  <c r="BK373" s="1"/>
  <c r="BM373" s="1"/>
  <c r="GX373"/>
  <c r="GZ373" s="1"/>
  <c r="GQ373"/>
  <c r="GS373" s="1"/>
  <c r="GC373"/>
  <c r="GA372"/>
  <c r="GE372"/>
  <c r="AR372" s="1"/>
  <c r="AT372" s="1"/>
  <c r="AD376"/>
  <c r="GT376"/>
  <c r="HB376"/>
  <c r="HA376" s="1"/>
  <c r="GG376"/>
  <c r="GF376" s="1"/>
  <c r="GN376"/>
  <c r="GM376" s="1"/>
  <c r="AE375"/>
  <c r="T372" i="45" s="1"/>
  <c r="DO375" i="43"/>
  <c r="DP375" s="1"/>
  <c r="GB375"/>
  <c r="BE347"/>
  <c r="BZ347"/>
  <c r="Z347"/>
  <c r="CS347"/>
  <c r="AL347"/>
  <c r="J347"/>
  <c r="K347" s="1"/>
  <c r="AA346"/>
  <c r="T141" i="45"/>
  <c r="AT340"/>
  <c r="AV340"/>
  <c r="BB340" s="1"/>
  <c r="AT339"/>
  <c r="BB339"/>
  <c r="GJ145" i="43"/>
  <c r="GL145" s="1"/>
  <c r="BK145" s="1"/>
  <c r="BD339" i="45"/>
  <c r="BD340"/>
  <c r="C341"/>
  <c r="BD347" i="43" l="1"/>
  <c r="CR347"/>
  <c r="DR347"/>
  <c r="BY347"/>
  <c r="Y344"/>
  <c r="ED344"/>
  <c r="DX345"/>
  <c r="AK346"/>
  <c r="R346"/>
  <c r="BF346"/>
  <c r="CA346"/>
  <c r="CT346"/>
  <c r="Y345"/>
  <c r="ED345"/>
  <c r="CY373"/>
  <c r="DA373" s="1"/>
  <c r="CF373"/>
  <c r="CH373" s="1"/>
  <c r="CF374"/>
  <c r="CH374" s="1"/>
  <c r="FZ375"/>
  <c r="GQ375" s="1"/>
  <c r="GS375" s="1"/>
  <c r="GX145"/>
  <c r="GZ145" s="1"/>
  <c r="GQ145"/>
  <c r="GS145" s="1"/>
  <c r="GC374"/>
  <c r="GE374" s="1"/>
  <c r="AR374" s="1"/>
  <c r="AT374" s="1"/>
  <c r="GJ374"/>
  <c r="GL374" s="1"/>
  <c r="BK374" s="1"/>
  <c r="BM374" s="1"/>
  <c r="GX374"/>
  <c r="GZ374" s="1"/>
  <c r="GP376"/>
  <c r="GY372"/>
  <c r="GK372"/>
  <c r="GR372"/>
  <c r="GD372"/>
  <c r="GW376"/>
  <c r="GB376"/>
  <c r="AE376"/>
  <c r="T373" i="45" s="1"/>
  <c r="DO376" i="43"/>
  <c r="DP376" s="1"/>
  <c r="GI376"/>
  <c r="GT377"/>
  <c r="GG377"/>
  <c r="GF377" s="1"/>
  <c r="AD377"/>
  <c r="HB377"/>
  <c r="HA377" s="1"/>
  <c r="GN377"/>
  <c r="GM377" s="1"/>
  <c r="GE373"/>
  <c r="AR373" s="1"/>
  <c r="AT373" s="1"/>
  <c r="GA373"/>
  <c r="AA347"/>
  <c r="Z348"/>
  <c r="AL348"/>
  <c r="J348"/>
  <c r="K348" s="1"/>
  <c r="CS348"/>
  <c r="BZ348"/>
  <c r="BE348"/>
  <c r="AT145"/>
  <c r="BM145"/>
  <c r="AS141" i="45"/>
  <c r="W141"/>
  <c r="Y141" s="1"/>
  <c r="AX340"/>
  <c r="AV341"/>
  <c r="AW341"/>
  <c r="C342"/>
  <c r="AX339"/>
  <c r="AT142"/>
  <c r="GG146" i="43"/>
  <c r="GF146" s="1"/>
  <c r="AW142" i="45"/>
  <c r="GN146" i="43"/>
  <c r="GM146" s="1"/>
  <c r="EE344" l="1"/>
  <c r="D341" i="45"/>
  <c r="U341" s="1"/>
  <c r="CR348" i="43"/>
  <c r="BD348"/>
  <c r="DR348"/>
  <c r="BY348"/>
  <c r="CA347"/>
  <c r="BF347"/>
  <c r="CT347"/>
  <c r="AK347"/>
  <c r="X347" s="1"/>
  <c r="R347"/>
  <c r="X346"/>
  <c r="DX346"/>
  <c r="D342" i="45"/>
  <c r="U342" s="1"/>
  <c r="EE345" i="43"/>
  <c r="GA145"/>
  <c r="GD145" s="1"/>
  <c r="CY145"/>
  <c r="CY374"/>
  <c r="DA374" s="1"/>
  <c r="CF375"/>
  <c r="CH375" s="1"/>
  <c r="CF145"/>
  <c r="FZ376"/>
  <c r="GJ375"/>
  <c r="GL375" s="1"/>
  <c r="BK375" s="1"/>
  <c r="BM375" s="1"/>
  <c r="GX375"/>
  <c r="GZ375" s="1"/>
  <c r="GC375"/>
  <c r="GE375" s="1"/>
  <c r="AR375" s="1"/>
  <c r="AT375" s="1"/>
  <c r="GA374"/>
  <c r="GD374" s="1"/>
  <c r="GI377"/>
  <c r="GP377"/>
  <c r="AD378"/>
  <c r="GT378"/>
  <c r="HB378"/>
  <c r="HA378" s="1"/>
  <c r="GG378"/>
  <c r="GF378" s="1"/>
  <c r="GN378"/>
  <c r="GM378" s="1"/>
  <c r="GI378" s="1"/>
  <c r="GB377"/>
  <c r="AE377"/>
  <c r="T374" i="45" s="1"/>
  <c r="DO377" i="43"/>
  <c r="DP377" s="1"/>
  <c r="GD373"/>
  <c r="GY373"/>
  <c r="GK373"/>
  <c r="GR373"/>
  <c r="GW377"/>
  <c r="CS349"/>
  <c r="BZ349"/>
  <c r="AL349"/>
  <c r="Z349"/>
  <c r="BE349"/>
  <c r="J349"/>
  <c r="K349" s="1"/>
  <c r="AA348"/>
  <c r="AY142" i="45"/>
  <c r="BE142"/>
  <c r="AA141"/>
  <c r="AB141" s="1"/>
  <c r="Z141"/>
  <c r="BB341"/>
  <c r="GI146" i="43"/>
  <c r="GB146"/>
  <c r="AV342" i="45"/>
  <c r="BB342" s="1"/>
  <c r="AW342"/>
  <c r="AT341"/>
  <c r="C343"/>
  <c r="BD341"/>
  <c r="DX347" i="43" l="1"/>
  <c r="ED346"/>
  <c r="DR349"/>
  <c r="CR349"/>
  <c r="BD349"/>
  <c r="BF349" s="1"/>
  <c r="BY349"/>
  <c r="CA349" s="1"/>
  <c r="AK348"/>
  <c r="R348"/>
  <c r="CT348"/>
  <c r="CA348"/>
  <c r="BF348"/>
  <c r="Y347"/>
  <c r="ED347"/>
  <c r="Y346"/>
  <c r="GY145"/>
  <c r="GK145"/>
  <c r="GR145"/>
  <c r="DA145"/>
  <c r="AU142" i="45" s="1"/>
  <c r="BA142" s="1"/>
  <c r="HB146" i="43"/>
  <c r="HA146" s="1"/>
  <c r="GW146" s="1"/>
  <c r="CY375"/>
  <c r="DA375" s="1"/>
  <c r="GU146"/>
  <c r="GT146" s="1"/>
  <c r="GP146" s="1"/>
  <c r="AV142" i="45"/>
  <c r="BC142" s="1"/>
  <c r="AD145" i="43"/>
  <c r="CH145"/>
  <c r="FZ377"/>
  <c r="GA375"/>
  <c r="GK375" s="1"/>
  <c r="GR374"/>
  <c r="GK374"/>
  <c r="GY374"/>
  <c r="GP378"/>
  <c r="GW378"/>
  <c r="GB378"/>
  <c r="AD379"/>
  <c r="HB379"/>
  <c r="HA379" s="1"/>
  <c r="GN379"/>
  <c r="GM379" s="1"/>
  <c r="GT379"/>
  <c r="GG379"/>
  <c r="GF379" s="1"/>
  <c r="GX376"/>
  <c r="GZ376" s="1"/>
  <c r="GJ376"/>
  <c r="GL376" s="1"/>
  <c r="BK376" s="1"/>
  <c r="BM376" s="1"/>
  <c r="GQ376"/>
  <c r="GS376" s="1"/>
  <c r="GC376"/>
  <c r="DO378"/>
  <c r="DP378" s="1"/>
  <c r="AE378"/>
  <c r="T375" i="45" s="1"/>
  <c r="AA349" i="43"/>
  <c r="Z350"/>
  <c r="BE350"/>
  <c r="J350"/>
  <c r="K350" s="1"/>
  <c r="CS350"/>
  <c r="AL350"/>
  <c r="BZ350"/>
  <c r="AX341" i="45"/>
  <c r="AT342"/>
  <c r="BD342"/>
  <c r="AV343"/>
  <c r="BB343" s="1"/>
  <c r="AW343"/>
  <c r="C344"/>
  <c r="CR350" i="43" l="1"/>
  <c r="BD350"/>
  <c r="DR350"/>
  <c r="BY350"/>
  <c r="CT349"/>
  <c r="DX349" s="1"/>
  <c r="AK349"/>
  <c r="X349" s="1"/>
  <c r="R349"/>
  <c r="X348"/>
  <c r="DX348"/>
  <c r="EE346"/>
  <c r="D344" i="45"/>
  <c r="U344" s="1"/>
  <c r="EE347" i="43"/>
  <c r="D343" i="45"/>
  <c r="U343" s="1"/>
  <c r="FZ146" i="43"/>
  <c r="GJ146" s="1"/>
  <c r="GL146" s="1"/>
  <c r="BK146" s="1"/>
  <c r="BM146" s="1"/>
  <c r="CY376"/>
  <c r="DA376" s="1"/>
  <c r="CF376"/>
  <c r="CH376" s="1"/>
  <c r="DO145"/>
  <c r="DP145" s="1"/>
  <c r="AE145"/>
  <c r="EV145" s="1"/>
  <c r="FZ378"/>
  <c r="GQ378" s="1"/>
  <c r="GS378" s="1"/>
  <c r="GD375"/>
  <c r="GR375"/>
  <c r="GY375"/>
  <c r="GP379"/>
  <c r="GW379"/>
  <c r="GQ377"/>
  <c r="GS377" s="1"/>
  <c r="GC377"/>
  <c r="GX377"/>
  <c r="GZ377" s="1"/>
  <c r="GJ377"/>
  <c r="GL377" s="1"/>
  <c r="BK377" s="1"/>
  <c r="BM377" s="1"/>
  <c r="GE376"/>
  <c r="AR376" s="1"/>
  <c r="AT376" s="1"/>
  <c r="GA376"/>
  <c r="GB379"/>
  <c r="GI379"/>
  <c r="AD380"/>
  <c r="GT380"/>
  <c r="HB380"/>
  <c r="HA380" s="1"/>
  <c r="GG380"/>
  <c r="GF380" s="1"/>
  <c r="GN380"/>
  <c r="GM380" s="1"/>
  <c r="AE379"/>
  <c r="T376" i="45" s="1"/>
  <c r="DO379" i="43"/>
  <c r="DP379" s="1"/>
  <c r="BE351"/>
  <c r="Z351"/>
  <c r="J351"/>
  <c r="K351" s="1"/>
  <c r="CS351"/>
  <c r="BZ351"/>
  <c r="AL351"/>
  <c r="AA350"/>
  <c r="AT343" i="45"/>
  <c r="AX343" s="1"/>
  <c r="AV344"/>
  <c r="BB344" s="1"/>
  <c r="AW344"/>
  <c r="BD344" s="1"/>
  <c r="C345"/>
  <c r="AX342"/>
  <c r="BD343"/>
  <c r="DR351" i="43" l="1"/>
  <c r="CR351"/>
  <c r="BD351"/>
  <c r="BY351"/>
  <c r="CA351" s="1"/>
  <c r="AK350"/>
  <c r="R350"/>
  <c r="CT350"/>
  <c r="CA350"/>
  <c r="BF350"/>
  <c r="Y348"/>
  <c r="ED348"/>
  <c r="Y349"/>
  <c r="ED349"/>
  <c r="AW143" i="45"/>
  <c r="BE143" s="1"/>
  <c r="GJ378" i="43"/>
  <c r="GL378" s="1"/>
  <c r="BK378" s="1"/>
  <c r="BM378" s="1"/>
  <c r="GX146"/>
  <c r="GZ146" s="1"/>
  <c r="CY146" s="1"/>
  <c r="GN147"/>
  <c r="GM147" s="1"/>
  <c r="GI147" s="1"/>
  <c r="GC378"/>
  <c r="GE378" s="1"/>
  <c r="AR378" s="1"/>
  <c r="AT378" s="1"/>
  <c r="GX378"/>
  <c r="GZ378" s="1"/>
  <c r="CY378" s="1"/>
  <c r="DA378" s="1"/>
  <c r="GC146"/>
  <c r="GE146" s="1"/>
  <c r="AR146" s="1"/>
  <c r="GQ146"/>
  <c r="GS146" s="1"/>
  <c r="CF146" s="1"/>
  <c r="CY377"/>
  <c r="DA377" s="1"/>
  <c r="FZ379"/>
  <c r="GX379" s="1"/>
  <c r="GZ379" s="1"/>
  <c r="CF378"/>
  <c r="CH378" s="1"/>
  <c r="CF377"/>
  <c r="CH377" s="1"/>
  <c r="T142" i="45"/>
  <c r="GI380" i="43"/>
  <c r="AD381"/>
  <c r="HB381"/>
  <c r="HA381" s="1"/>
  <c r="GN381"/>
  <c r="GM381" s="1"/>
  <c r="GT381"/>
  <c r="GG381"/>
  <c r="GF381" s="1"/>
  <c r="GP380"/>
  <c r="GY376"/>
  <c r="GK376"/>
  <c r="GR376"/>
  <c r="GD376"/>
  <c r="GE377"/>
  <c r="AR377" s="1"/>
  <c r="AT377" s="1"/>
  <c r="GA377"/>
  <c r="GW380"/>
  <c r="GB380"/>
  <c r="DO380"/>
  <c r="DP380" s="1"/>
  <c r="AE380"/>
  <c r="T377" i="45" s="1"/>
  <c r="AA351" i="43"/>
  <c r="BZ352"/>
  <c r="AL352"/>
  <c r="BE352"/>
  <c r="Z352"/>
  <c r="J352"/>
  <c r="K352" s="1"/>
  <c r="CS352"/>
  <c r="AV346" i="45"/>
  <c r="AV345"/>
  <c r="AW345"/>
  <c r="BD345" s="1"/>
  <c r="C346"/>
  <c r="AT344"/>
  <c r="CR352" i="43" l="1"/>
  <c r="DR352"/>
  <c r="BD352"/>
  <c r="BY352"/>
  <c r="CT351"/>
  <c r="BF351"/>
  <c r="AK351"/>
  <c r="X351" s="1"/>
  <c r="R351"/>
  <c r="X350"/>
  <c r="EE348"/>
  <c r="D345" i="45"/>
  <c r="U345" s="1"/>
  <c r="DX350" i="43"/>
  <c r="D346" i="45"/>
  <c r="U346" s="1"/>
  <c r="EE349" i="43"/>
  <c r="GQ379"/>
  <c r="GS379" s="1"/>
  <c r="CF379" s="1"/>
  <c r="CH379" s="1"/>
  <c r="GC379"/>
  <c r="GA378"/>
  <c r="GK378" s="1"/>
  <c r="GA146"/>
  <c r="GK146" s="1"/>
  <c r="DA146"/>
  <c r="AU143" i="45" s="1"/>
  <c r="BA143" s="1"/>
  <c r="HB147" i="43"/>
  <c r="HA147" s="1"/>
  <c r="GW147" s="1"/>
  <c r="CY379"/>
  <c r="DA379" s="1"/>
  <c r="GU147"/>
  <c r="GT147" s="1"/>
  <c r="GP147" s="1"/>
  <c r="AV143" i="45"/>
  <c r="BC143" s="1"/>
  <c r="CH146" i="43"/>
  <c r="W142" i="45"/>
  <c r="AS142"/>
  <c r="FZ380" i="43"/>
  <c r="GJ379"/>
  <c r="GL379" s="1"/>
  <c r="BK379" s="1"/>
  <c r="BM379" s="1"/>
  <c r="GY377"/>
  <c r="GK377"/>
  <c r="GR377"/>
  <c r="GD377"/>
  <c r="GB381"/>
  <c r="GI381"/>
  <c r="AD382"/>
  <c r="R382"/>
  <c r="HB382"/>
  <c r="HA382" s="1"/>
  <c r="GT382"/>
  <c r="GG382"/>
  <c r="GF382" s="1"/>
  <c r="GN382"/>
  <c r="GM382" s="1"/>
  <c r="AE381"/>
  <c r="T378" i="45" s="1"/>
  <c r="DO381" i="43"/>
  <c r="DP381" s="1"/>
  <c r="GP381"/>
  <c r="GW381"/>
  <c r="AA352"/>
  <c r="BZ353"/>
  <c r="Z353"/>
  <c r="J353"/>
  <c r="K353" s="1"/>
  <c r="BE353"/>
  <c r="CS353"/>
  <c r="AL353"/>
  <c r="AT146"/>
  <c r="AW346" i="45"/>
  <c r="BD346" s="1"/>
  <c r="AT346"/>
  <c r="GG147" i="43"/>
  <c r="GF147" s="1"/>
  <c r="GB147" s="1"/>
  <c r="AD146"/>
  <c r="AT143" i="45"/>
  <c r="AT347"/>
  <c r="AX344"/>
  <c r="BB345"/>
  <c r="BB346"/>
  <c r="C347"/>
  <c r="AT345"/>
  <c r="AX345" s="1"/>
  <c r="CR353" i="43" l="1"/>
  <c r="DR353"/>
  <c r="BD353"/>
  <c r="BY353"/>
  <c r="Y350"/>
  <c r="CT352"/>
  <c r="AK352"/>
  <c r="R352"/>
  <c r="BF352"/>
  <c r="CA352"/>
  <c r="DX351"/>
  <c r="ED350"/>
  <c r="GY146"/>
  <c r="Y351"/>
  <c r="ED351"/>
  <c r="GD146"/>
  <c r="GR146"/>
  <c r="GR378"/>
  <c r="FZ147"/>
  <c r="GX147" s="1"/>
  <c r="GZ147" s="1"/>
  <c r="GD378"/>
  <c r="GY378"/>
  <c r="GA379"/>
  <c r="GY379" s="1"/>
  <c r="GE379"/>
  <c r="AR379" s="1"/>
  <c r="AT379" s="1"/>
  <c r="Y142" i="45"/>
  <c r="Z142" s="1"/>
  <c r="AA142"/>
  <c r="AB142" s="1"/>
  <c r="FZ381" i="43"/>
  <c r="GP382"/>
  <c r="DO382"/>
  <c r="DP382" s="1"/>
  <c r="AE382"/>
  <c r="T379" i="45" s="1"/>
  <c r="GB382" i="43"/>
  <c r="GI382"/>
  <c r="AD383"/>
  <c r="GG383"/>
  <c r="GF383" s="1"/>
  <c r="HB383"/>
  <c r="HA383" s="1"/>
  <c r="GN383"/>
  <c r="GM383" s="1"/>
  <c r="R383"/>
  <c r="GT383"/>
  <c r="GC380"/>
  <c r="GQ380"/>
  <c r="GS380" s="1"/>
  <c r="GJ380"/>
  <c r="GL380" s="1"/>
  <c r="BK380" s="1"/>
  <c r="BM380" s="1"/>
  <c r="GX380"/>
  <c r="GZ380" s="1"/>
  <c r="GW382"/>
  <c r="J354"/>
  <c r="K354" s="1"/>
  <c r="AL354"/>
  <c r="CS354"/>
  <c r="BZ354"/>
  <c r="Z354"/>
  <c r="BE354"/>
  <c r="AA353"/>
  <c r="AY143" i="45"/>
  <c r="AX346"/>
  <c r="AW347"/>
  <c r="BD347" s="1"/>
  <c r="AV347"/>
  <c r="BB347" s="1"/>
  <c r="AT348"/>
  <c r="AX348" s="1"/>
  <c r="DO146" i="43"/>
  <c r="DP146" s="1"/>
  <c r="AE146"/>
  <c r="EV146" s="1"/>
  <c r="AX347" i="45"/>
  <c r="C348"/>
  <c r="EE350" i="43" l="1"/>
  <c r="D347" i="45"/>
  <c r="U347" s="1"/>
  <c r="BD354" i="43"/>
  <c r="DR354"/>
  <c r="CR354"/>
  <c r="BY354"/>
  <c r="BF353"/>
  <c r="CA353"/>
  <c r="CT353"/>
  <c r="AK353"/>
  <c r="X353" s="1"/>
  <c r="R353"/>
  <c r="X352"/>
  <c r="DX352"/>
  <c r="D348" i="45"/>
  <c r="U348" s="1"/>
  <c r="EE351" i="43"/>
  <c r="GC147"/>
  <c r="GE147" s="1"/>
  <c r="AR147" s="1"/>
  <c r="AT147" s="1"/>
  <c r="GD379"/>
  <c r="GK379"/>
  <c r="GR379"/>
  <c r="CY147"/>
  <c r="CY380"/>
  <c r="DA380" s="1"/>
  <c r="CF380"/>
  <c r="CH380" s="1"/>
  <c r="FZ382"/>
  <c r="GJ147"/>
  <c r="GL147" s="1"/>
  <c r="BK147" s="1"/>
  <c r="BM147" s="1"/>
  <c r="GQ147"/>
  <c r="GS147" s="1"/>
  <c r="GE380"/>
  <c r="AR380" s="1"/>
  <c r="AT380" s="1"/>
  <c r="GA380"/>
  <c r="GI383"/>
  <c r="GJ381"/>
  <c r="GL381" s="1"/>
  <c r="BK381" s="1"/>
  <c r="BM381" s="1"/>
  <c r="GX381"/>
  <c r="GZ381" s="1"/>
  <c r="GC381"/>
  <c r="GQ381"/>
  <c r="GS381" s="1"/>
  <c r="AD384"/>
  <c r="R384"/>
  <c r="GT384"/>
  <c r="HB384"/>
  <c r="HA384" s="1"/>
  <c r="GG384"/>
  <c r="GF384" s="1"/>
  <c r="GN384"/>
  <c r="GM384" s="1"/>
  <c r="DO383"/>
  <c r="DP383" s="1"/>
  <c r="AE383"/>
  <c r="GB383"/>
  <c r="GP383"/>
  <c r="GW383"/>
  <c r="BZ355"/>
  <c r="J355"/>
  <c r="K355" s="1"/>
  <c r="Z355"/>
  <c r="BE355"/>
  <c r="AL355"/>
  <c r="CS355"/>
  <c r="AA354"/>
  <c r="T143" i="45"/>
  <c r="AW348"/>
  <c r="BD348" s="1"/>
  <c r="AV348"/>
  <c r="BB348" s="1"/>
  <c r="C349"/>
  <c r="CR355" i="43" l="1"/>
  <c r="BD355"/>
  <c r="DR355"/>
  <c r="BY355"/>
  <c r="Y352"/>
  <c r="D349" i="45" s="1"/>
  <c r="U349" s="1"/>
  <c r="ED352" i="43"/>
  <c r="DX353"/>
  <c r="CT354"/>
  <c r="BF354"/>
  <c r="CA354"/>
  <c r="AK354"/>
  <c r="X354" s="1"/>
  <c r="R354"/>
  <c r="Y353"/>
  <c r="ED353"/>
  <c r="AW144" i="45"/>
  <c r="BE144" s="1"/>
  <c r="AT144"/>
  <c r="AY144" s="1"/>
  <c r="GG148" i="43"/>
  <c r="GF148" s="1"/>
  <c r="GB148" s="1"/>
  <c r="GA147"/>
  <c r="GY147" s="1"/>
  <c r="GN148"/>
  <c r="GM148" s="1"/>
  <c r="GI148" s="1"/>
  <c r="HB148"/>
  <c r="HA148" s="1"/>
  <c r="GW148" s="1"/>
  <c r="DA147"/>
  <c r="AU144" i="45" s="1"/>
  <c r="BA144" s="1"/>
  <c r="CY381" i="43"/>
  <c r="DA381" s="1"/>
  <c r="CF147"/>
  <c r="CF381"/>
  <c r="CH381" s="1"/>
  <c r="FZ383"/>
  <c r="GW384"/>
  <c r="DO384"/>
  <c r="DP384" s="1"/>
  <c r="AE384"/>
  <c r="GC382"/>
  <c r="GQ382"/>
  <c r="GS382" s="1"/>
  <c r="GX382"/>
  <c r="GZ382" s="1"/>
  <c r="GJ382"/>
  <c r="GL382" s="1"/>
  <c r="BK382" s="1"/>
  <c r="BM382" s="1"/>
  <c r="GB384"/>
  <c r="GY380"/>
  <c r="GK380"/>
  <c r="GR380"/>
  <c r="GD380"/>
  <c r="GI384"/>
  <c r="AD385"/>
  <c r="R385"/>
  <c r="GT385"/>
  <c r="GG385"/>
  <c r="GF385" s="1"/>
  <c r="HB385"/>
  <c r="HA385" s="1"/>
  <c r="GN385"/>
  <c r="GM385" s="1"/>
  <c r="GE381"/>
  <c r="AR381" s="1"/>
  <c r="AT381" s="1"/>
  <c r="GA381"/>
  <c r="GP384"/>
  <c r="AA355"/>
  <c r="BZ356"/>
  <c r="AL356"/>
  <c r="Z356"/>
  <c r="BE356"/>
  <c r="J356"/>
  <c r="K356" s="1"/>
  <c r="CS356"/>
  <c r="AS143" i="45"/>
  <c r="W143"/>
  <c r="Y143" s="1"/>
  <c r="C350"/>
  <c r="AV349"/>
  <c r="BB349" s="1"/>
  <c r="AW349"/>
  <c r="BD349" s="1"/>
  <c r="EE352" i="43" l="1"/>
  <c r="BD356"/>
  <c r="DR356"/>
  <c r="CR356"/>
  <c r="BY356"/>
  <c r="DX354"/>
  <c r="CA355"/>
  <c r="CT355"/>
  <c r="BF355"/>
  <c r="AK355"/>
  <c r="X355" s="1"/>
  <c r="R355"/>
  <c r="Y354"/>
  <c r="ED354"/>
  <c r="D350" i="45"/>
  <c r="U350" s="1"/>
  <c r="EE353" i="43"/>
  <c r="GD147"/>
  <c r="GK147"/>
  <c r="GR147"/>
  <c r="CY382"/>
  <c r="DA382" s="1"/>
  <c r="GU148"/>
  <c r="GT148" s="1"/>
  <c r="AV144" i="45"/>
  <c r="BC144" s="1"/>
  <c r="AD147" i="43"/>
  <c r="CH147"/>
  <c r="CF382"/>
  <c r="CH382" s="1"/>
  <c r="FZ384"/>
  <c r="GJ383"/>
  <c r="GL383" s="1"/>
  <c r="BK383" s="1"/>
  <c r="BM383" s="1"/>
  <c r="GC383"/>
  <c r="GX383"/>
  <c r="GZ383" s="1"/>
  <c r="GQ383"/>
  <c r="GS383" s="1"/>
  <c r="GW385"/>
  <c r="AE385"/>
  <c r="DO385"/>
  <c r="DP385" s="1"/>
  <c r="GA382"/>
  <c r="GE382"/>
  <c r="AR382" s="1"/>
  <c r="AT382" s="1"/>
  <c r="GI385"/>
  <c r="GP385"/>
  <c r="GD381"/>
  <c r="GY381"/>
  <c r="GK381"/>
  <c r="GR381"/>
  <c r="GB385"/>
  <c r="CS357"/>
  <c r="BZ357"/>
  <c r="AL357"/>
  <c r="Z357"/>
  <c r="BE357"/>
  <c r="J357"/>
  <c r="K357" s="1"/>
  <c r="AA356"/>
  <c r="AA143" i="45"/>
  <c r="AB143" s="1"/>
  <c r="Z143"/>
  <c r="C351"/>
  <c r="AT349"/>
  <c r="AX349" s="1"/>
  <c r="DX355" i="43" l="1"/>
  <c r="CR357"/>
  <c r="DR357"/>
  <c r="BD357"/>
  <c r="BY357"/>
  <c r="CA357" s="1"/>
  <c r="CT356"/>
  <c r="BF356"/>
  <c r="CA356"/>
  <c r="AK356"/>
  <c r="R356"/>
  <c r="Y355"/>
  <c r="ED355"/>
  <c r="D351" i="45"/>
  <c r="U351" s="1"/>
  <c r="EE354" i="43"/>
  <c r="CY383"/>
  <c r="DA383" s="1"/>
  <c r="GP148"/>
  <c r="FZ148" s="1"/>
  <c r="CF383"/>
  <c r="CH383" s="1"/>
  <c r="DO147"/>
  <c r="DP147" s="1"/>
  <c r="AE147"/>
  <c r="EV147" s="1"/>
  <c r="FZ385"/>
  <c r="GQ385" s="1"/>
  <c r="GS385" s="1"/>
  <c r="GY382"/>
  <c r="GK382"/>
  <c r="GR382"/>
  <c r="GD382"/>
  <c r="GE383"/>
  <c r="AR383" s="1"/>
  <c r="AT383" s="1"/>
  <c r="GA383"/>
  <c r="GJ384"/>
  <c r="GL384" s="1"/>
  <c r="BK384" s="1"/>
  <c r="BM384" s="1"/>
  <c r="GQ384"/>
  <c r="GS384" s="1"/>
  <c r="GX384"/>
  <c r="GZ384" s="1"/>
  <c r="GC384"/>
  <c r="AA357"/>
  <c r="Z358"/>
  <c r="BE358"/>
  <c r="J358"/>
  <c r="K358" s="1"/>
  <c r="AL358"/>
  <c r="CS358"/>
  <c r="BZ358"/>
  <c r="C352" i="45"/>
  <c r="CR358" i="43" l="1"/>
  <c r="BD358"/>
  <c r="DR358"/>
  <c r="BY358"/>
  <c r="BF357"/>
  <c r="CT357"/>
  <c r="AK357"/>
  <c r="X357" s="1"/>
  <c r="R357"/>
  <c r="X356"/>
  <c r="DX356"/>
  <c r="D352" i="45"/>
  <c r="U352" s="1"/>
  <c r="EE355" i="43"/>
  <c r="CY384"/>
  <c r="DA384" s="1"/>
  <c r="GJ385"/>
  <c r="GL385" s="1"/>
  <c r="BK385" s="1"/>
  <c r="BM385" s="1"/>
  <c r="GJ148"/>
  <c r="GL148" s="1"/>
  <c r="BK148" s="1"/>
  <c r="GC148"/>
  <c r="GX148"/>
  <c r="GZ148" s="1"/>
  <c r="T144" i="45"/>
  <c r="GQ148" i="43"/>
  <c r="GS148" s="1"/>
  <c r="CF385"/>
  <c r="CH385" s="1"/>
  <c r="CF384"/>
  <c r="CH384" s="1"/>
  <c r="GX385"/>
  <c r="GZ385" s="1"/>
  <c r="GC385"/>
  <c r="GE385" s="1"/>
  <c r="AR385" s="1"/>
  <c r="AT385" s="1"/>
  <c r="GA384"/>
  <c r="GE384"/>
  <c r="AR384" s="1"/>
  <c r="AT384" s="1"/>
  <c r="GK383"/>
  <c r="GR383"/>
  <c r="GD383"/>
  <c r="GY383"/>
  <c r="AL359"/>
  <c r="BE359"/>
  <c r="Z359"/>
  <c r="J359"/>
  <c r="K359" s="1"/>
  <c r="CS359"/>
  <c r="BZ359"/>
  <c r="AA358"/>
  <c r="C353" i="45"/>
  <c r="DX357" i="43" l="1"/>
  <c r="Y356"/>
  <c r="EE356" s="1"/>
  <c r="ED356"/>
  <c r="DR359"/>
  <c r="CR359"/>
  <c r="BD359"/>
  <c r="BY359"/>
  <c r="AK358"/>
  <c r="R358"/>
  <c r="CT358"/>
  <c r="CA358"/>
  <c r="BF358"/>
  <c r="Y357"/>
  <c r="ED357"/>
  <c r="CY148"/>
  <c r="CY385"/>
  <c r="DA385" s="1"/>
  <c r="AS144" i="45"/>
  <c r="W144"/>
  <c r="AA144" s="1"/>
  <c r="AB144" s="1"/>
  <c r="AW145"/>
  <c r="BE145" s="1"/>
  <c r="BM148" i="43"/>
  <c r="GN149"/>
  <c r="GM149" s="1"/>
  <c r="GI149" s="1"/>
  <c r="CF148"/>
  <c r="GE148"/>
  <c r="AR148" s="1"/>
  <c r="GA148"/>
  <c r="GA385"/>
  <c r="GD385" s="1"/>
  <c r="GR384"/>
  <c r="GD384"/>
  <c r="GY384"/>
  <c r="GK384"/>
  <c r="AA359"/>
  <c r="BE360"/>
  <c r="Z360"/>
  <c r="J360"/>
  <c r="K360" s="1"/>
  <c r="CS360"/>
  <c r="AL360"/>
  <c r="BZ360"/>
  <c r="C354" i="45"/>
  <c r="D353" l="1"/>
  <c r="U353" s="1"/>
  <c r="CR360" i="43"/>
  <c r="BD360"/>
  <c r="DR360"/>
  <c r="BY360"/>
  <c r="BF359"/>
  <c r="CA359"/>
  <c r="CT359"/>
  <c r="AK359"/>
  <c r="X359" s="1"/>
  <c r="R359"/>
  <c r="X358"/>
  <c r="DX358"/>
  <c r="D354" i="45"/>
  <c r="U354" s="1"/>
  <c r="EE357" i="43"/>
  <c r="DA148"/>
  <c r="AU145" i="45" s="1"/>
  <c r="BA145" s="1"/>
  <c r="HB149" i="43"/>
  <c r="HA149" s="1"/>
  <c r="GW149" s="1"/>
  <c r="GU149"/>
  <c r="GT149" s="1"/>
  <c r="AV145" i="45"/>
  <c r="BC145" s="1"/>
  <c r="CH148" i="43"/>
  <c r="GK148"/>
  <c r="GY148"/>
  <c r="GD148"/>
  <c r="GR148"/>
  <c r="Y144" i="45"/>
  <c r="Z144" s="1"/>
  <c r="GK385" i="43"/>
  <c r="GG149"/>
  <c r="GF149" s="1"/>
  <c r="AT148"/>
  <c r="AT145" i="45"/>
  <c r="AY145" s="1"/>
  <c r="AD148" i="43"/>
  <c r="GR385"/>
  <c r="GY385"/>
  <c r="AA360"/>
  <c r="J361"/>
  <c r="K361" s="1"/>
  <c r="CS361"/>
  <c r="AL361"/>
  <c r="BE361"/>
  <c r="BZ361"/>
  <c r="Z361"/>
  <c r="C355" i="45"/>
  <c r="Y358" i="43" l="1"/>
  <c r="BD361"/>
  <c r="CR361"/>
  <c r="DR361"/>
  <c r="BY361"/>
  <c r="DX359"/>
  <c r="AK360"/>
  <c r="R360"/>
  <c r="CT360"/>
  <c r="CA360"/>
  <c r="BF360"/>
  <c r="ED358"/>
  <c r="Y359"/>
  <c r="ED359"/>
  <c r="GP149"/>
  <c r="AE148"/>
  <c r="EV148" s="1"/>
  <c r="DO148"/>
  <c r="DP148" s="1"/>
  <c r="GB149"/>
  <c r="AA361"/>
  <c r="BE362"/>
  <c r="AL362"/>
  <c r="Z362"/>
  <c r="J362"/>
  <c r="K362" s="1"/>
  <c r="CS362"/>
  <c r="BZ362"/>
  <c r="C356" i="45"/>
  <c r="D355" l="1"/>
  <c r="U355" s="1"/>
  <c r="EE358" i="43"/>
  <c r="BD362"/>
  <c r="DR362"/>
  <c r="CR362"/>
  <c r="BY362"/>
  <c r="CA361"/>
  <c r="BF361"/>
  <c r="CT361"/>
  <c r="AK361"/>
  <c r="X361" s="1"/>
  <c r="R361"/>
  <c r="X360"/>
  <c r="DX360"/>
  <c r="D356" i="45"/>
  <c r="U356" s="1"/>
  <c r="EE359" i="43"/>
  <c r="FZ149"/>
  <c r="GQ149" s="1"/>
  <c r="GS149" s="1"/>
  <c r="CF149" s="1"/>
  <c r="T145" i="45"/>
  <c r="BE363" i="43"/>
  <c r="CS363"/>
  <c r="Z363"/>
  <c r="BZ363"/>
  <c r="AL363"/>
  <c r="J363"/>
  <c r="K363" s="1"/>
  <c r="AA362"/>
  <c r="C357" i="45"/>
  <c r="CR363" i="43" l="1"/>
  <c r="BD363"/>
  <c r="DR363"/>
  <c r="BY363"/>
  <c r="CA363" s="1"/>
  <c r="Y360"/>
  <c r="DX361"/>
  <c r="ED360"/>
  <c r="CT362"/>
  <c r="BF362"/>
  <c r="CA362"/>
  <c r="AK362"/>
  <c r="R362"/>
  <c r="Y361"/>
  <c r="ED361"/>
  <c r="GJ149"/>
  <c r="GL149" s="1"/>
  <c r="BK149" s="1"/>
  <c r="AW146" i="45" s="1"/>
  <c r="BE146" s="1"/>
  <c r="GX149" i="43"/>
  <c r="GZ149" s="1"/>
  <c r="CY149" s="1"/>
  <c r="GC149"/>
  <c r="GE149" s="1"/>
  <c r="AR149" s="1"/>
  <c r="AT146" i="45" s="1"/>
  <c r="AY146" s="1"/>
  <c r="GU150" i="43"/>
  <c r="GT150" s="1"/>
  <c r="GP150" s="1"/>
  <c r="CH149"/>
  <c r="AV146" i="45"/>
  <c r="BC146" s="1"/>
  <c r="W145"/>
  <c r="AA145" s="1"/>
  <c r="AB145" s="1"/>
  <c r="AS145"/>
  <c r="BZ364" i="43"/>
  <c r="BE364"/>
  <c r="AL364"/>
  <c r="Z364"/>
  <c r="J364"/>
  <c r="K364" s="1"/>
  <c r="CS364"/>
  <c r="AA363"/>
  <c r="C358" i="45"/>
  <c r="D357" l="1"/>
  <c r="U357" s="1"/>
  <c r="EE360" i="43"/>
  <c r="BD364"/>
  <c r="DR364"/>
  <c r="CR364"/>
  <c r="BY364"/>
  <c r="CT363"/>
  <c r="BF363"/>
  <c r="DX362"/>
  <c r="AK363"/>
  <c r="X363" s="1"/>
  <c r="R363"/>
  <c r="X362"/>
  <c r="D358" i="45"/>
  <c r="U358" s="1"/>
  <c r="EE361" i="43"/>
  <c r="AT149"/>
  <c r="BM149"/>
  <c r="GG150"/>
  <c r="GF150" s="1"/>
  <c r="GB150" s="1"/>
  <c r="GA149"/>
  <c r="GK149" s="1"/>
  <c r="GN150"/>
  <c r="GM150" s="1"/>
  <c r="GI150" s="1"/>
  <c r="AD149"/>
  <c r="DO149" s="1"/>
  <c r="DP149" s="1"/>
  <c r="HB150"/>
  <c r="HA150" s="1"/>
  <c r="GW150" s="1"/>
  <c r="DA149"/>
  <c r="AU146" i="45" s="1"/>
  <c r="BA146" s="1"/>
  <c r="Y145"/>
  <c r="Z145" s="1"/>
  <c r="AA364" i="43"/>
  <c r="AL365"/>
  <c r="BE365"/>
  <c r="Z365"/>
  <c r="CS365"/>
  <c r="J365"/>
  <c r="K365" s="1"/>
  <c r="BZ365"/>
  <c r="C359" i="45"/>
  <c r="CR365" i="43" l="1"/>
  <c r="DR365"/>
  <c r="BD365"/>
  <c r="BY365"/>
  <c r="CA365" s="1"/>
  <c r="DX363"/>
  <c r="CT364"/>
  <c r="BF364"/>
  <c r="CA364"/>
  <c r="AK364"/>
  <c r="R364"/>
  <c r="Y363"/>
  <c r="ED363"/>
  <c r="Y362"/>
  <c r="ED362"/>
  <c r="GR149"/>
  <c r="GD149"/>
  <c r="GY149"/>
  <c r="FZ150"/>
  <c r="GC150" s="1"/>
  <c r="AE149"/>
  <c r="CS366"/>
  <c r="AL366"/>
  <c r="BZ366"/>
  <c r="BE366"/>
  <c r="Z366"/>
  <c r="J366"/>
  <c r="K366" s="1"/>
  <c r="AA365"/>
  <c r="C360" i="45"/>
  <c r="BD366" i="43" l="1"/>
  <c r="DR366"/>
  <c r="CR366"/>
  <c r="BY366"/>
  <c r="CT365"/>
  <c r="BF365"/>
  <c r="AK365"/>
  <c r="X365" s="1"/>
  <c r="R365"/>
  <c r="X364"/>
  <c r="D359" i="45"/>
  <c r="U359" s="1"/>
  <c r="DX364" i="43"/>
  <c r="D360" i="45"/>
  <c r="U360" s="1"/>
  <c r="EE363" i="43"/>
  <c r="EE362"/>
  <c r="EU149"/>
  <c r="EV149" s="1"/>
  <c r="T146" i="45"/>
  <c r="AS146" s="1"/>
  <c r="GJ150" i="43"/>
  <c r="GL150" s="1"/>
  <c r="BK150" s="1"/>
  <c r="AW147" i="45" s="1"/>
  <c r="BE147" s="1"/>
  <c r="GX150" i="43"/>
  <c r="GZ150" s="1"/>
  <c r="CY150" s="1"/>
  <c r="GQ150"/>
  <c r="GS150" s="1"/>
  <c r="CF150" s="1"/>
  <c r="GE150"/>
  <c r="AR150" s="1"/>
  <c r="AA366"/>
  <c r="AL367"/>
  <c r="BZ367"/>
  <c r="BE367"/>
  <c r="Z367"/>
  <c r="J367"/>
  <c r="K367" s="1"/>
  <c r="CS367"/>
  <c r="C361" i="45"/>
  <c r="DX365" i="43" l="1"/>
  <c r="CR367"/>
  <c r="BD367"/>
  <c r="DR367"/>
  <c r="BY367"/>
  <c r="CA367" s="1"/>
  <c r="Y364"/>
  <c r="ED364"/>
  <c r="CT366"/>
  <c r="BF366"/>
  <c r="CA366"/>
  <c r="AK366"/>
  <c r="X366" s="1"/>
  <c r="R366"/>
  <c r="Y365"/>
  <c r="ED365"/>
  <c r="BM150"/>
  <c r="W146" i="45"/>
  <c r="AA146" s="1"/>
  <c r="AB146" s="1"/>
  <c r="GN151" i="43"/>
  <c r="GM151" s="1"/>
  <c r="GI151" s="1"/>
  <c r="CH150"/>
  <c r="GU151"/>
  <c r="GT151" s="1"/>
  <c r="GP151" s="1"/>
  <c r="AV147" i="45"/>
  <c r="BC147" s="1"/>
  <c r="GA150" i="43"/>
  <c r="GR150" s="1"/>
  <c r="GG151"/>
  <c r="GF151" s="1"/>
  <c r="GB151" s="1"/>
  <c r="AT150"/>
  <c r="AD150"/>
  <c r="AT147" i="45"/>
  <c r="AY147" s="1"/>
  <c r="HB151" i="43"/>
  <c r="HA151" s="1"/>
  <c r="GW151" s="1"/>
  <c r="DA150"/>
  <c r="AU147" i="45" s="1"/>
  <c r="BA147" s="1"/>
  <c r="AA367" i="43"/>
  <c r="J368"/>
  <c r="K368" s="1"/>
  <c r="CS368"/>
  <c r="BZ368"/>
  <c r="BE368"/>
  <c r="Z368"/>
  <c r="AL368"/>
  <c r="C362" i="45"/>
  <c r="EE364" i="43" l="1"/>
  <c r="D361" i="45"/>
  <c r="U361" s="1"/>
  <c r="CR368" i="43"/>
  <c r="BD368"/>
  <c r="DR368"/>
  <c r="BY368"/>
  <c r="CT367"/>
  <c r="BF367"/>
  <c r="AK367"/>
  <c r="X367" s="1"/>
  <c r="R367"/>
  <c r="Y366"/>
  <c r="ED366"/>
  <c r="DX366"/>
  <c r="D362" i="45"/>
  <c r="U362" s="1"/>
  <c r="EE365" i="43"/>
  <c r="Y146" i="45"/>
  <c r="Z146" s="1"/>
  <c r="GD150" i="43"/>
  <c r="GY150"/>
  <c r="GK150"/>
  <c r="FZ151"/>
  <c r="DO150"/>
  <c r="DP150" s="1"/>
  <c r="AE150"/>
  <c r="Z369"/>
  <c r="CS369"/>
  <c r="AL369"/>
  <c r="J369"/>
  <c r="K369" s="1"/>
  <c r="BZ369"/>
  <c r="BE369"/>
  <c r="AA368"/>
  <c r="C363" i="45"/>
  <c r="BD369" i="43" l="1"/>
  <c r="DR369"/>
  <c r="CR369"/>
  <c r="BY369"/>
  <c r="DX367"/>
  <c r="AK368"/>
  <c r="R368"/>
  <c r="CT368"/>
  <c r="CA368"/>
  <c r="BF368"/>
  <c r="Y367"/>
  <c r="ED367"/>
  <c r="D363" i="45"/>
  <c r="U363" s="1"/>
  <c r="EE366" i="43"/>
  <c r="EU150"/>
  <c r="EV150" s="1"/>
  <c r="GJ151"/>
  <c r="GL151" s="1"/>
  <c r="BK151" s="1"/>
  <c r="GQ151"/>
  <c r="GS151" s="1"/>
  <c r="CF151" s="1"/>
  <c r="CH151" s="1"/>
  <c r="GX151"/>
  <c r="GZ151" s="1"/>
  <c r="GC151"/>
  <c r="T147" i="45"/>
  <c r="AA369" i="43"/>
  <c r="AL370"/>
  <c r="J370"/>
  <c r="K370" s="1"/>
  <c r="CS370"/>
  <c r="BZ370"/>
  <c r="BE370"/>
  <c r="Z370"/>
  <c r="C364" i="45"/>
  <c r="BD370" i="43" l="1"/>
  <c r="DR370"/>
  <c r="CR370"/>
  <c r="BY370"/>
  <c r="CA369"/>
  <c r="BF369"/>
  <c r="CT369"/>
  <c r="AK369"/>
  <c r="X369" s="1"/>
  <c r="R369"/>
  <c r="X368"/>
  <c r="DX368"/>
  <c r="D364" i="45"/>
  <c r="U364" s="1"/>
  <c r="EE367" i="43"/>
  <c r="BM151"/>
  <c r="AW148" i="45"/>
  <c r="BE148" s="1"/>
  <c r="GN152" i="43"/>
  <c r="GM152" s="1"/>
  <c r="GI152" s="1"/>
  <c r="AV148" i="45"/>
  <c r="BC148" s="1"/>
  <c r="AS147"/>
  <c r="W147"/>
  <c r="CY151" i="43"/>
  <c r="GU152"/>
  <c r="GT152" s="1"/>
  <c r="GP152" s="1"/>
  <c r="GE151"/>
  <c r="AR151" s="1"/>
  <c r="GA151"/>
  <c r="BE371"/>
  <c r="Z371"/>
  <c r="BZ371"/>
  <c r="J371"/>
  <c r="K371" s="1"/>
  <c r="AL371"/>
  <c r="CS371"/>
  <c r="AA370"/>
  <c r="C365" i="45"/>
  <c r="BD371" i="43" l="1"/>
  <c r="CR371"/>
  <c r="DR371"/>
  <c r="BY371"/>
  <c r="ED368"/>
  <c r="DX369"/>
  <c r="CT370"/>
  <c r="BF370"/>
  <c r="CA370"/>
  <c r="AK370"/>
  <c r="X370" s="1"/>
  <c r="R370"/>
  <c r="Y369"/>
  <c r="ED369"/>
  <c r="Y368"/>
  <c r="DA151"/>
  <c r="AU148" i="45" s="1"/>
  <c r="BA148" s="1"/>
  <c r="HB152" i="43"/>
  <c r="HA152" s="1"/>
  <c r="GW152" s="1"/>
  <c r="Y147" i="45"/>
  <c r="Z147" s="1"/>
  <c r="AT151" i="43"/>
  <c r="AD151"/>
  <c r="AT148" i="45"/>
  <c r="AY148" s="1"/>
  <c r="GG152" i="43"/>
  <c r="GF152" s="1"/>
  <c r="GB152" s="1"/>
  <c r="GK151"/>
  <c r="GR151"/>
  <c r="GD151"/>
  <c r="GY151"/>
  <c r="AA147" i="45"/>
  <c r="AB147" s="1"/>
  <c r="Z372" i="43"/>
  <c r="AL372"/>
  <c r="J372"/>
  <c r="K372" s="1"/>
  <c r="BE372"/>
  <c r="CS372"/>
  <c r="BZ372"/>
  <c r="AA371"/>
  <c r="C366" i="45"/>
  <c r="DR372" i="43" l="1"/>
  <c r="CR372"/>
  <c r="BD372"/>
  <c r="BY372"/>
  <c r="BF371"/>
  <c r="CT371"/>
  <c r="CA371"/>
  <c r="AK371"/>
  <c r="X371" s="1"/>
  <c r="R371"/>
  <c r="DX370"/>
  <c r="Y370"/>
  <c r="ED370"/>
  <c r="D366" i="45"/>
  <c r="U366" s="1"/>
  <c r="EE369" i="43"/>
  <c r="D365" i="45"/>
  <c r="U365" s="1"/>
  <c r="EE368" i="43"/>
  <c r="AE151"/>
  <c r="EV151" s="1"/>
  <c r="DO151"/>
  <c r="DP151" s="1"/>
  <c r="FZ152"/>
  <c r="AA372"/>
  <c r="CS373"/>
  <c r="AL373"/>
  <c r="BZ373"/>
  <c r="Z373"/>
  <c r="BE373"/>
  <c r="J373"/>
  <c r="K373" s="1"/>
  <c r="Z148" i="45"/>
  <c r="C367"/>
  <c r="C20" i="35" l="1"/>
  <c r="DX371" i="43"/>
  <c r="BD373"/>
  <c r="C72" i="35" s="1"/>
  <c r="DR373" i="43"/>
  <c r="C25" i="35" s="1"/>
  <c r="CR373" i="43"/>
  <c r="C100" i="35" s="1"/>
  <c r="BY373" i="43"/>
  <c r="BF372"/>
  <c r="AK372"/>
  <c r="R372"/>
  <c r="CA372"/>
  <c r="CT372"/>
  <c r="Y371"/>
  <c r="ED371"/>
  <c r="D367" i="45"/>
  <c r="U367" s="1"/>
  <c r="EE370" i="43"/>
  <c r="T148" i="45"/>
  <c r="AS148" s="1"/>
  <c r="GJ152" i="43"/>
  <c r="GL152" s="1"/>
  <c r="BK152" s="1"/>
  <c r="GQ152"/>
  <c r="GS152" s="1"/>
  <c r="CF152" s="1"/>
  <c r="GU153" s="1"/>
  <c r="GT153" s="1"/>
  <c r="GP153" s="1"/>
  <c r="GX152"/>
  <c r="GZ152" s="1"/>
  <c r="GC152"/>
  <c r="J374"/>
  <c r="K374" s="1"/>
  <c r="CS374"/>
  <c r="BE374"/>
  <c r="BZ374"/>
  <c r="Z374"/>
  <c r="AL374"/>
  <c r="AA373"/>
  <c r="C368" i="45"/>
  <c r="C87" i="35" l="1"/>
  <c r="D20"/>
  <c r="CR374" i="43"/>
  <c r="D100" i="35" s="1"/>
  <c r="DR374" i="43"/>
  <c r="D25" i="35" s="1"/>
  <c r="BD374" i="43"/>
  <c r="BY374"/>
  <c r="CA373"/>
  <c r="C86" i="35" s="1"/>
  <c r="BF373" i="43"/>
  <c r="C71" i="35" s="1"/>
  <c r="CT373" i="43"/>
  <c r="C99" i="35" s="1"/>
  <c r="AK373" i="43"/>
  <c r="X373" s="1"/>
  <c r="R373"/>
  <c r="X372"/>
  <c r="C33" i="35" s="1"/>
  <c r="DX372" i="43"/>
  <c r="D368" i="45"/>
  <c r="U368" s="1"/>
  <c r="EE371" i="43"/>
  <c r="CH152"/>
  <c r="AV149" i="45"/>
  <c r="BC149" s="1"/>
  <c r="GE152" i="43"/>
  <c r="AR152" s="1"/>
  <c r="GA152"/>
  <c r="CY152"/>
  <c r="GN153"/>
  <c r="GM153" s="1"/>
  <c r="GI153" s="1"/>
  <c r="BM152"/>
  <c r="AW149" i="45"/>
  <c r="BE149" s="1"/>
  <c r="AA148"/>
  <c r="AB148" s="1"/>
  <c r="Z375" i="43"/>
  <c r="BE375"/>
  <c r="AL375"/>
  <c r="J375"/>
  <c r="K375" s="1"/>
  <c r="E20" i="35" s="1"/>
  <c r="CS375" i="43"/>
  <c r="BZ375"/>
  <c r="AA374"/>
  <c r="C369" i="45"/>
  <c r="C58" i="35" l="1"/>
  <c r="D87"/>
  <c r="D72"/>
  <c r="DR375" i="43"/>
  <c r="E25" i="35" s="1"/>
  <c r="BD375" i="43"/>
  <c r="E72" i="35" s="1"/>
  <c r="CR375" i="43"/>
  <c r="E100" i="35" s="1"/>
  <c r="BY375" i="43"/>
  <c r="CA375" s="1"/>
  <c r="DX373"/>
  <c r="C26" i="35" s="1"/>
  <c r="ED372" i="43"/>
  <c r="BF374"/>
  <c r="D71" i="35" s="1"/>
  <c r="CT374" i="43"/>
  <c r="CA374"/>
  <c r="D86" i="35" s="1"/>
  <c r="AK374" i="43"/>
  <c r="R374"/>
  <c r="Y372"/>
  <c r="Y373"/>
  <c r="ED373"/>
  <c r="DA152"/>
  <c r="AU149" i="45" s="1"/>
  <c r="BA149" s="1"/>
  <c r="HB153" i="43"/>
  <c r="HA153" s="1"/>
  <c r="GW153" s="1"/>
  <c r="GG153"/>
  <c r="GF153" s="1"/>
  <c r="GB153" s="1"/>
  <c r="AT152"/>
  <c r="AD152"/>
  <c r="AT149" i="45"/>
  <c r="AY149" s="1"/>
  <c r="GY152" i="43"/>
  <c r="GD152"/>
  <c r="GR152"/>
  <c r="GK152"/>
  <c r="BE376"/>
  <c r="BZ376"/>
  <c r="F88" i="35" s="1"/>
  <c r="AL376" i="43"/>
  <c r="F60" i="35" s="1"/>
  <c r="Z376" i="43"/>
  <c r="F35" i="35" s="1"/>
  <c r="J376" i="43"/>
  <c r="K376" s="1"/>
  <c r="CS376"/>
  <c r="F101" i="35" s="1"/>
  <c r="AA375" i="43"/>
  <c r="C370" i="45"/>
  <c r="C34" i="35" l="1"/>
  <c r="F73"/>
  <c r="D58"/>
  <c r="E87"/>
  <c r="D99"/>
  <c r="F20"/>
  <c r="E86"/>
  <c r="EE372" i="43"/>
  <c r="DR376"/>
  <c r="F25" i="35" s="1"/>
  <c r="CR376" i="43"/>
  <c r="F100" i="35" s="1"/>
  <c r="BD376" i="43"/>
  <c r="F72" i="35" s="1"/>
  <c r="BY376" i="43"/>
  <c r="BF375"/>
  <c r="CT375"/>
  <c r="E99" i="35" s="1"/>
  <c r="D369" i="45"/>
  <c r="U369" s="1"/>
  <c r="AK375" i="43"/>
  <c r="X375" s="1"/>
  <c r="R375"/>
  <c r="X374"/>
  <c r="D33" i="35" s="1"/>
  <c r="DX374" i="43"/>
  <c r="D26" i="35" s="1"/>
  <c r="D370" i="45"/>
  <c r="U370" s="1"/>
  <c r="EE373" i="43"/>
  <c r="AE152"/>
  <c r="EV152" s="1"/>
  <c r="DO152"/>
  <c r="DP152" s="1"/>
  <c r="FZ153"/>
  <c r="GC153" s="1"/>
  <c r="GE153" s="1"/>
  <c r="AR153" s="1"/>
  <c r="AT150" i="45" s="1"/>
  <c r="AL377" i="43"/>
  <c r="G60" i="35" s="1"/>
  <c r="BZ377" i="43"/>
  <c r="G88" i="35" s="1"/>
  <c r="Z377" i="43"/>
  <c r="G35" i="35" s="1"/>
  <c r="BE377" i="43"/>
  <c r="J377"/>
  <c r="K377" s="1"/>
  <c r="G20" i="35" s="1"/>
  <c r="CS377" i="43"/>
  <c r="G101" i="35" s="1"/>
  <c r="AA376" i="43"/>
  <c r="F36" i="35" s="1"/>
  <c r="C371" i="45"/>
  <c r="G73" i="35" l="1"/>
  <c r="E71"/>
  <c r="E58"/>
  <c r="F87"/>
  <c r="E33"/>
  <c r="DX375" i="43"/>
  <c r="ED374"/>
  <c r="Y374"/>
  <c r="CR377"/>
  <c r="G100" i="35" s="1"/>
  <c r="BD377" i="43"/>
  <c r="DR377"/>
  <c r="BY377"/>
  <c r="G87" i="35" s="1"/>
  <c r="BF376" i="43"/>
  <c r="F71" i="35" s="1"/>
  <c r="AK376" i="43"/>
  <c r="R376"/>
  <c r="CA376"/>
  <c r="CT376"/>
  <c r="F99" i="35" s="1"/>
  <c r="Y375" i="43"/>
  <c r="ED375"/>
  <c r="D371" i="45"/>
  <c r="U371" s="1"/>
  <c r="EE374" i="43"/>
  <c r="GG154"/>
  <c r="GF154" s="1"/>
  <c r="GB154" s="1"/>
  <c r="GJ153"/>
  <c r="GL153" s="1"/>
  <c r="BK153" s="1"/>
  <c r="BM153" s="1"/>
  <c r="T149" i="45"/>
  <c r="AS149" s="1"/>
  <c r="AT153" i="43"/>
  <c r="GQ153"/>
  <c r="GS153" s="1"/>
  <c r="CF153" s="1"/>
  <c r="GX153"/>
  <c r="GZ153" s="1"/>
  <c r="BE378"/>
  <c r="H73" i="35" s="1"/>
  <c r="CS378" i="43"/>
  <c r="BZ378"/>
  <c r="H88" i="35" s="1"/>
  <c r="Z378" i="43"/>
  <c r="AL378"/>
  <c r="J378"/>
  <c r="K378" s="1"/>
  <c r="AA377"/>
  <c r="AY150" i="45"/>
  <c r="Z149"/>
  <c r="C372"/>
  <c r="F58" i="35" l="1"/>
  <c r="G25"/>
  <c r="H35"/>
  <c r="F86"/>
  <c r="E34"/>
  <c r="D34"/>
  <c r="E26"/>
  <c r="G36"/>
  <c r="H60"/>
  <c r="G72"/>
  <c r="H101"/>
  <c r="H20"/>
  <c r="DR378" i="43"/>
  <c r="CR378"/>
  <c r="BD378"/>
  <c r="BY378"/>
  <c r="CT377"/>
  <c r="G99" i="35" s="1"/>
  <c r="BF377" i="43"/>
  <c r="G71" i="35" s="1"/>
  <c r="CA377" i="43"/>
  <c r="G86" i="35" s="1"/>
  <c r="AK377" i="43"/>
  <c r="X377" s="1"/>
  <c r="DX377"/>
  <c r="R377"/>
  <c r="X376"/>
  <c r="DX376"/>
  <c r="D372" i="45"/>
  <c r="U372" s="1"/>
  <c r="EE375" i="43"/>
  <c r="GN154"/>
  <c r="GM154" s="1"/>
  <c r="GI154" s="1"/>
  <c r="AW150" i="45"/>
  <c r="BE150" s="1"/>
  <c r="GA153" i="43"/>
  <c r="CY153"/>
  <c r="AA149" i="45"/>
  <c r="AB149" s="1"/>
  <c r="GU154" i="43"/>
  <c r="GT154" s="1"/>
  <c r="GP154" s="1"/>
  <c r="AV150" i="45"/>
  <c r="BC150" s="1"/>
  <c r="CH153" i="43"/>
  <c r="BE379"/>
  <c r="CS379"/>
  <c r="I101" i="35" s="1"/>
  <c r="Z379" i="43"/>
  <c r="I35" i="35" s="1"/>
  <c r="AL379" i="43"/>
  <c r="I60" i="35" s="1"/>
  <c r="J379" i="43"/>
  <c r="K379" s="1"/>
  <c r="I20" i="35" s="1"/>
  <c r="BZ379" i="43"/>
  <c r="I88" i="35" s="1"/>
  <c r="AA378" i="43"/>
  <c r="H36" i="35" s="1"/>
  <c r="C373" i="45"/>
  <c r="G26" i="35" l="1"/>
  <c r="I100"/>
  <c r="CR379" i="43"/>
  <c r="CT379" s="1"/>
  <c r="DR379"/>
  <c r="BD379"/>
  <c r="BF379" s="1"/>
  <c r="BY379"/>
  <c r="CA379" s="1"/>
  <c r="H100" i="35"/>
  <c r="H25"/>
  <c r="G58"/>
  <c r="H72"/>
  <c r="I73"/>
  <c r="H87"/>
  <c r="F26"/>
  <c r="G33"/>
  <c r="F33"/>
  <c r="I25"/>
  <c r="Y376" i="43"/>
  <c r="ED376"/>
  <c r="BF378"/>
  <c r="I71" i="35" s="1"/>
  <c r="AK378" i="43"/>
  <c r="R378"/>
  <c r="CA378"/>
  <c r="I86" i="35" s="1"/>
  <c r="CT378" i="43"/>
  <c r="I99" i="35" s="1"/>
  <c r="Y377" i="43"/>
  <c r="ED377"/>
  <c r="D373" i="45"/>
  <c r="U373" s="1"/>
  <c r="GY153" i="43"/>
  <c r="GR153"/>
  <c r="GK153"/>
  <c r="GD153"/>
  <c r="DA153"/>
  <c r="AU150" i="45" s="1"/>
  <c r="BA150" s="1"/>
  <c r="HB154" i="43"/>
  <c r="HA154" s="1"/>
  <c r="GW154" s="1"/>
  <c r="FZ154" s="1"/>
  <c r="GX154" s="1"/>
  <c r="GZ154" s="1"/>
  <c r="AD153"/>
  <c r="DO153" s="1"/>
  <c r="DP153" s="1"/>
  <c r="Z380"/>
  <c r="J35" i="35" s="1"/>
  <c r="J380" i="43"/>
  <c r="K380" s="1"/>
  <c r="CS380"/>
  <c r="AL380"/>
  <c r="BE380"/>
  <c r="BZ380"/>
  <c r="AA379"/>
  <c r="Z150" i="45"/>
  <c r="C374"/>
  <c r="I72" i="35" l="1"/>
  <c r="CR380" i="43"/>
  <c r="DR380"/>
  <c r="BD380"/>
  <c r="BY380"/>
  <c r="J20" i="35"/>
  <c r="I87"/>
  <c r="AK379" i="43"/>
  <c r="X379" s="1"/>
  <c r="DX379"/>
  <c r="R379"/>
  <c r="I36" i="35"/>
  <c r="H71"/>
  <c r="G34"/>
  <c r="F34"/>
  <c r="H58"/>
  <c r="H99"/>
  <c r="H86"/>
  <c r="J88"/>
  <c r="J101"/>
  <c r="J60"/>
  <c r="J73"/>
  <c r="EE376" i="43"/>
  <c r="X378"/>
  <c r="DX378"/>
  <c r="D374" i="45"/>
  <c r="U374" s="1"/>
  <c r="EE377" i="43"/>
  <c r="AE153"/>
  <c r="EV153" s="1"/>
  <c r="CY154"/>
  <c r="GJ154"/>
  <c r="GL154" s="1"/>
  <c r="BK154" s="1"/>
  <c r="BM154" s="1"/>
  <c r="GC154"/>
  <c r="GE154" s="1"/>
  <c r="AR154" s="1"/>
  <c r="AT154" s="1"/>
  <c r="GQ154"/>
  <c r="GS154" s="1"/>
  <c r="CF154" s="1"/>
  <c r="AA380"/>
  <c r="BZ381"/>
  <c r="K88" i="35" s="1"/>
  <c r="AL381" i="43"/>
  <c r="K60" i="35" s="1"/>
  <c r="BE381" i="43"/>
  <c r="K73" i="35" s="1"/>
  <c r="Z381" i="43"/>
  <c r="K35" i="35" s="1"/>
  <c r="J381" i="43"/>
  <c r="K381" s="1"/>
  <c r="CS381"/>
  <c r="K101" i="35" s="1"/>
  <c r="C375" i="45"/>
  <c r="I58" i="35" l="1"/>
  <c r="CR381" i="43"/>
  <c r="DR381"/>
  <c r="BD381"/>
  <c r="BY381"/>
  <c r="K20" i="35"/>
  <c r="CT380" i="43"/>
  <c r="J99" i="35" s="1"/>
  <c r="J100"/>
  <c r="AK380" i="43"/>
  <c r="R380"/>
  <c r="J25" i="35"/>
  <c r="BF380" i="43"/>
  <c r="J71" i="35" s="1"/>
  <c r="J72"/>
  <c r="CA380" i="43"/>
  <c r="J86" i="35" s="1"/>
  <c r="J87"/>
  <c r="Y379" i="43"/>
  <c r="ED379"/>
  <c r="J36" i="35"/>
  <c r="ED378" i="43"/>
  <c r="H33" i="35"/>
  <c r="I26"/>
  <c r="H26"/>
  <c r="I33"/>
  <c r="Y378" i="43"/>
  <c r="H34" i="35" s="1"/>
  <c r="GG155" i="43"/>
  <c r="GF155" s="1"/>
  <c r="GB155" s="1"/>
  <c r="GN155"/>
  <c r="GM155" s="1"/>
  <c r="GI155" s="1"/>
  <c r="AW151" i="45"/>
  <c r="BE151" s="1"/>
  <c r="T150"/>
  <c r="AS150" s="1"/>
  <c r="AT151"/>
  <c r="AY151" s="1"/>
  <c r="GA154" i="43"/>
  <c r="GD154" s="1"/>
  <c r="DA154"/>
  <c r="AU151" i="45" s="1"/>
  <c r="BA151" s="1"/>
  <c r="HB155" i="43"/>
  <c r="HA155" s="1"/>
  <c r="GW155" s="1"/>
  <c r="GU155"/>
  <c r="GT155" s="1"/>
  <c r="GP155" s="1"/>
  <c r="AD154"/>
  <c r="DO154" s="1"/>
  <c r="DP154" s="1"/>
  <c r="CH154"/>
  <c r="AV151" i="45"/>
  <c r="BC151" s="1"/>
  <c r="AA381" i="43"/>
  <c r="AL382"/>
  <c r="Z382"/>
  <c r="J382"/>
  <c r="CS382"/>
  <c r="BE382"/>
  <c r="BZ382"/>
  <c r="C376" i="45"/>
  <c r="CT381" i="43" l="1"/>
  <c r="K99" i="35" s="1"/>
  <c r="K100"/>
  <c r="AK381" i="43"/>
  <c r="X381" s="1"/>
  <c r="R381"/>
  <c r="K25" i="35"/>
  <c r="BF381" i="43"/>
  <c r="K71" i="35" s="1"/>
  <c r="K72"/>
  <c r="CA381" i="43"/>
  <c r="K86" i="35" s="1"/>
  <c r="K87"/>
  <c r="X380" i="43"/>
  <c r="J58" i="35"/>
  <c r="DX380" i="43"/>
  <c r="J26" i="35" s="1"/>
  <c r="D376" i="45"/>
  <c r="U376" s="1"/>
  <c r="EE379" i="43"/>
  <c r="K36" i="35"/>
  <c r="EE378" i="43"/>
  <c r="I34" i="35"/>
  <c r="D375" i="45"/>
  <c r="U375" s="1"/>
  <c r="AE154" i="43"/>
  <c r="EV154" s="1"/>
  <c r="FZ155"/>
  <c r="GJ155" s="1"/>
  <c r="GL155" s="1"/>
  <c r="BK155" s="1"/>
  <c r="GY154"/>
  <c r="GK154"/>
  <c r="GR154"/>
  <c r="AA150" i="45"/>
  <c r="AB150" s="1"/>
  <c r="AA382" i="43"/>
  <c r="EE382" s="1"/>
  <c r="ED382"/>
  <c r="J383"/>
  <c r="CS383"/>
  <c r="C101" i="35" s="1"/>
  <c r="BZ383" i="43"/>
  <c r="C88" i="35" s="1"/>
  <c r="BE383" i="43"/>
  <c r="C73" i="35" s="1"/>
  <c r="AL383" i="43"/>
  <c r="C60" i="35" s="1"/>
  <c r="Z383" i="43"/>
  <c r="C35" i="35" s="1"/>
  <c r="T151" i="45"/>
  <c r="C377"/>
  <c r="Y381" i="43" l="1"/>
  <c r="ED381"/>
  <c r="DX381"/>
  <c r="K26" i="35" s="1"/>
  <c r="Y380" i="43"/>
  <c r="ED380"/>
  <c r="J33" i="35"/>
  <c r="GX155" i="43"/>
  <c r="GZ155" s="1"/>
  <c r="CY155" s="1"/>
  <c r="GQ155"/>
  <c r="GS155" s="1"/>
  <c r="GC155"/>
  <c r="GE155" s="1"/>
  <c r="AR155" s="1"/>
  <c r="AT155" s="1"/>
  <c r="AA383"/>
  <c r="ED383"/>
  <c r="Z384"/>
  <c r="D35" i="35" s="1"/>
  <c r="J384" i="43"/>
  <c r="CS384"/>
  <c r="D101" i="35" s="1"/>
  <c r="AL384" i="43"/>
  <c r="D60" i="35" s="1"/>
  <c r="BE384" i="43"/>
  <c r="D73" i="35" s="1"/>
  <c r="BZ384" i="43"/>
  <c r="D88" i="35" s="1"/>
  <c r="BM155" i="43"/>
  <c r="AS151" i="45"/>
  <c r="C378"/>
  <c r="GN156" i="43"/>
  <c r="GM156" s="1"/>
  <c r="AW152" i="45"/>
  <c r="EE383" i="43" l="1"/>
  <c r="C36" i="35"/>
  <c r="D378" i="45"/>
  <c r="U378" s="1"/>
  <c r="EE381" i="43"/>
  <c r="D377" i="45"/>
  <c r="U377" s="1"/>
  <c r="EE380" i="43"/>
  <c r="J34" i="35"/>
  <c r="GG156" i="43"/>
  <c r="GF156" s="1"/>
  <c r="GB156" s="1"/>
  <c r="DA155"/>
  <c r="AU152" i="45" s="1"/>
  <c r="BA152" s="1"/>
  <c r="HB156" i="43"/>
  <c r="HA156" s="1"/>
  <c r="GW156" s="1"/>
  <c r="CF155"/>
  <c r="AT152" i="45"/>
  <c r="AY152" s="1"/>
  <c r="GA155" i="43"/>
  <c r="GK155" s="1"/>
  <c r="AA384"/>
  <c r="ED384"/>
  <c r="J385"/>
  <c r="CS385"/>
  <c r="E101" i="35" s="1"/>
  <c r="BZ385" i="43"/>
  <c r="E88" i="35" s="1"/>
  <c r="AL385" i="43"/>
  <c r="E60" i="35" s="1"/>
  <c r="Z385" i="43"/>
  <c r="E35" i="35" s="1"/>
  <c r="BE385" i="43"/>
  <c r="E73" i="35" s="1"/>
  <c r="BE152" i="45"/>
  <c r="AA151"/>
  <c r="AB151" s="1"/>
  <c r="Z151"/>
  <c r="C379"/>
  <c r="GI156" i="43"/>
  <c r="EE384" l="1"/>
  <c r="D36" i="35"/>
  <c r="GR155" i="43"/>
  <c r="GY155"/>
  <c r="GD155"/>
  <c r="GU156"/>
  <c r="GT156" s="1"/>
  <c r="GP156" s="1"/>
  <c r="FZ156" s="1"/>
  <c r="CH155"/>
  <c r="AV152" i="45"/>
  <c r="BC152" s="1"/>
  <c r="AD155" i="43"/>
  <c r="ED385"/>
  <c r="AA385"/>
  <c r="E36" i="35" s="1"/>
  <c r="C380" i="45"/>
  <c r="EE385" i="43" l="1"/>
  <c r="C382" i="45"/>
  <c r="AE155" i="43"/>
  <c r="EV155" s="1"/>
  <c r="DO155"/>
  <c r="DP155" s="1"/>
  <c r="GX156"/>
  <c r="GZ156" s="1"/>
  <c r="GC156"/>
  <c r="GJ156"/>
  <c r="GL156" s="1"/>
  <c r="BK156" s="1"/>
  <c r="GQ156"/>
  <c r="GS156" s="1"/>
  <c r="CY156" l="1"/>
  <c r="CF156"/>
  <c r="T152" i="45"/>
  <c r="GN157" i="43"/>
  <c r="GM157" s="1"/>
  <c r="BM156"/>
  <c r="GE156"/>
  <c r="AR156" s="1"/>
  <c r="GA156"/>
  <c r="AW153" i="45"/>
  <c r="HB157" i="43" l="1"/>
  <c r="HA157" s="1"/>
  <c r="GW157" s="1"/>
  <c r="DA156"/>
  <c r="AU153" i="45" s="1"/>
  <c r="BA153" s="1"/>
  <c r="GU157" i="43"/>
  <c r="GT157" s="1"/>
  <c r="GP157" s="1"/>
  <c r="AV153" i="45"/>
  <c r="BC153" s="1"/>
  <c r="CH156" i="43"/>
  <c r="AA152" i="45"/>
  <c r="AB152" s="1"/>
  <c r="AS152"/>
  <c r="GI157" i="43"/>
  <c r="GG157"/>
  <c r="GF157" s="1"/>
  <c r="GB157" s="1"/>
  <c r="AT156"/>
  <c r="BE153" i="45"/>
  <c r="AT153"/>
  <c r="AD156" i="43"/>
  <c r="GR156"/>
  <c r="GY156"/>
  <c r="GD156"/>
  <c r="GK156"/>
  <c r="FZ157" l="1"/>
  <c r="AY153" i="45"/>
  <c r="DO156" i="43"/>
  <c r="DP156" s="1"/>
  <c r="AE156"/>
  <c r="EV156" s="1"/>
  <c r="GC157" l="1"/>
  <c r="GQ157"/>
  <c r="GS157" s="1"/>
  <c r="GJ157"/>
  <c r="GL157" s="1"/>
  <c r="BK157" s="1"/>
  <c r="GX157"/>
  <c r="GZ157" s="1"/>
  <c r="T153" i="45"/>
  <c r="CY157" i="43" l="1"/>
  <c r="CF157"/>
  <c r="GN158"/>
  <c r="GM158" s="1"/>
  <c r="BM157"/>
  <c r="GE157"/>
  <c r="AR157" s="1"/>
  <c r="AT154" i="45" s="1"/>
  <c r="GA157" i="43"/>
  <c r="AS153" i="45"/>
  <c r="AA153"/>
  <c r="AB153" s="1"/>
  <c r="AW154"/>
  <c r="HB158" i="43" l="1"/>
  <c r="HA158" s="1"/>
  <c r="GW158" s="1"/>
  <c r="DA157"/>
  <c r="AU154" i="45" s="1"/>
  <c r="BA154" s="1"/>
  <c r="GU158" i="43"/>
  <c r="GT158" s="1"/>
  <c r="GP158" s="1"/>
  <c r="CH157"/>
  <c r="AV154" i="45"/>
  <c r="BC154" s="1"/>
  <c r="GI158" i="43"/>
  <c r="AD157"/>
  <c r="AT157"/>
  <c r="GG158"/>
  <c r="GF158" s="1"/>
  <c r="GK157"/>
  <c r="GR157"/>
  <c r="GD157"/>
  <c r="GY157"/>
  <c r="AY154" i="45"/>
  <c r="BE154"/>
  <c r="GB158" i="43" l="1"/>
  <c r="FZ158" s="1"/>
  <c r="DO157"/>
  <c r="DP157" s="1"/>
  <c r="AE157"/>
  <c r="EV157" s="1"/>
  <c r="T154" i="45" l="1"/>
  <c r="AS154" s="1"/>
  <c r="GX158" i="43"/>
  <c r="GZ158" s="1"/>
  <c r="GQ158"/>
  <c r="GS158" s="1"/>
  <c r="AA154" i="45" l="1"/>
  <c r="AB154" s="1"/>
  <c r="CY158" i="43"/>
  <c r="CF158"/>
  <c r="GC158"/>
  <c r="GE158" s="1"/>
  <c r="AR158" s="1"/>
  <c r="GJ158"/>
  <c r="GL158" s="1"/>
  <c r="BK158" s="1"/>
  <c r="BM158" s="1"/>
  <c r="DA158" l="1"/>
  <c r="AU155" i="45" s="1"/>
  <c r="BA155" s="1"/>
  <c r="HB159" i="43"/>
  <c r="HA159" s="1"/>
  <c r="GW159" s="1"/>
  <c r="GU159"/>
  <c r="GT159" s="1"/>
  <c r="GP159" s="1"/>
  <c r="CH158"/>
  <c r="AV155" i="45"/>
  <c r="BC155" s="1"/>
  <c r="AD158" i="43"/>
  <c r="DO158" s="1"/>
  <c r="DP158" s="1"/>
  <c r="GN159"/>
  <c r="GM159" s="1"/>
  <c r="GI159" s="1"/>
  <c r="AW155" i="45"/>
  <c r="BE155" s="1"/>
  <c r="GG159" i="43"/>
  <c r="GF159" s="1"/>
  <c r="GB159" s="1"/>
  <c r="AT158"/>
  <c r="GA158"/>
  <c r="GR158" s="1"/>
  <c r="AT155" i="45"/>
  <c r="AE158" i="43" l="1"/>
  <c r="EV158" s="1"/>
  <c r="FZ159"/>
  <c r="GC159" s="1"/>
  <c r="GY158"/>
  <c r="GK158"/>
  <c r="GD158"/>
  <c r="AY155" i="45"/>
  <c r="GQ159" i="43" l="1"/>
  <c r="GS159" s="1"/>
  <c r="GJ159"/>
  <c r="GL159" s="1"/>
  <c r="BK159" s="1"/>
  <c r="GX159"/>
  <c r="GZ159" s="1"/>
  <c r="GE159"/>
  <c r="AR159" s="1"/>
  <c r="T155" i="45"/>
  <c r="CY159" i="43" l="1"/>
  <c r="CF159"/>
  <c r="BM159"/>
  <c r="GN160"/>
  <c r="GM160" s="1"/>
  <c r="GI160" s="1"/>
  <c r="GA159"/>
  <c r="GY159" s="1"/>
  <c r="GG160"/>
  <c r="GF160" s="1"/>
  <c r="AT159"/>
  <c r="AS155" i="45"/>
  <c r="AA155"/>
  <c r="AB155" s="1"/>
  <c r="AW156"/>
  <c r="DA159" i="43" l="1"/>
  <c r="AU156" i="45" s="1"/>
  <c r="BA156" s="1"/>
  <c r="HB160" i="43"/>
  <c r="HA160" s="1"/>
  <c r="GW160" s="1"/>
  <c r="GU160"/>
  <c r="GT160" s="1"/>
  <c r="GP160" s="1"/>
  <c r="CH159"/>
  <c r="AD159"/>
  <c r="DO159" s="1"/>
  <c r="DP159" s="1"/>
  <c r="AV156" i="45"/>
  <c r="BC156" s="1"/>
  <c r="GK159" i="43"/>
  <c r="GD159"/>
  <c r="GR159"/>
  <c r="GB160"/>
  <c r="BE156" i="45"/>
  <c r="AT156"/>
  <c r="FZ160" i="43" l="1"/>
  <c r="GJ160" s="1"/>
  <c r="GL160" s="1"/>
  <c r="BK160" s="1"/>
  <c r="AE159"/>
  <c r="EV159" s="1"/>
  <c r="AY156" i="45"/>
  <c r="GQ160" i="43" l="1"/>
  <c r="GS160" s="1"/>
  <c r="GX160"/>
  <c r="GZ160" s="1"/>
  <c r="GC160"/>
  <c r="GE160" s="1"/>
  <c r="AR160" s="1"/>
  <c r="AT160" s="1"/>
  <c r="GN161"/>
  <c r="GM161" s="1"/>
  <c r="BM160"/>
  <c r="T156" i="45"/>
  <c r="AW157"/>
  <c r="CY160" i="43" l="1"/>
  <c r="CF160"/>
  <c r="GA160"/>
  <c r="GD160" s="1"/>
  <c r="GG161"/>
  <c r="GF161" s="1"/>
  <c r="GB161" s="1"/>
  <c r="BE157" i="45"/>
  <c r="GI161" i="43"/>
  <c r="AS156" i="45"/>
  <c r="AA156"/>
  <c r="AB156" s="1"/>
  <c r="AT157"/>
  <c r="GY160" i="43" l="1"/>
  <c r="GR160"/>
  <c r="GK160"/>
  <c r="DA160"/>
  <c r="AU157" i="45" s="1"/>
  <c r="HB161" i="43"/>
  <c r="HA161" s="1"/>
  <c r="GW161" s="1"/>
  <c r="GU161"/>
  <c r="GT161" s="1"/>
  <c r="GP161" s="1"/>
  <c r="AV157" i="45"/>
  <c r="BC157" s="1"/>
  <c r="CH160" i="43"/>
  <c r="AD160"/>
  <c r="AY157" i="45"/>
  <c r="BA157" l="1"/>
  <c r="FZ161" i="43"/>
  <c r="GQ161" s="1"/>
  <c r="GS161" s="1"/>
  <c r="DO160"/>
  <c r="DP160" s="1"/>
  <c r="AE160"/>
  <c r="EV160" s="1"/>
  <c r="GC161" l="1"/>
  <c r="GE161" s="1"/>
  <c r="AR161" s="1"/>
  <c r="GX161"/>
  <c r="GJ161"/>
  <c r="GL161" s="1"/>
  <c r="BK161" s="1"/>
  <c r="GN162" s="1"/>
  <c r="GM162" s="1"/>
  <c r="GI162" s="1"/>
  <c r="T157" i="45"/>
  <c r="CF161" i="43"/>
  <c r="BM161" l="1"/>
  <c r="GZ161"/>
  <c r="CY161" s="1"/>
  <c r="GA161"/>
  <c r="GD161" s="1"/>
  <c r="AW158" i="45"/>
  <c r="BE158" s="1"/>
  <c r="GU162" i="43"/>
  <c r="GT162" s="1"/>
  <c r="GP162" s="1"/>
  <c r="CH161"/>
  <c r="AV158" i="45"/>
  <c r="BC158" s="1"/>
  <c r="AA157"/>
  <c r="AB157" s="1"/>
  <c r="AS157"/>
  <c r="AT158"/>
  <c r="AT161" i="43"/>
  <c r="GG162"/>
  <c r="GF162" s="1"/>
  <c r="GB162" s="1"/>
  <c r="GR161" l="1"/>
  <c r="GK161"/>
  <c r="GY161"/>
  <c r="AD161"/>
  <c r="AE161" s="1"/>
  <c r="EV161" s="1"/>
  <c r="DA161"/>
  <c r="AU158" i="45" s="1"/>
  <c r="HB162" i="43"/>
  <c r="HA162" s="1"/>
  <c r="GW162" s="1"/>
  <c r="FZ162" s="1"/>
  <c r="GJ162" s="1"/>
  <c r="GL162" s="1"/>
  <c r="BK162" s="1"/>
  <c r="AY158" i="45"/>
  <c r="BA158" l="1"/>
  <c r="DO161" i="43"/>
  <c r="DP161" s="1"/>
  <c r="GQ162"/>
  <c r="GS162" s="1"/>
  <c r="CF162" s="1"/>
  <c r="GX162"/>
  <c r="GZ162" s="1"/>
  <c r="GC162"/>
  <c r="GN163"/>
  <c r="GM163" s="1"/>
  <c r="GI163" s="1"/>
  <c r="BM162"/>
  <c r="T158" i="45"/>
  <c r="AW159"/>
  <c r="GA162" i="43" l="1"/>
  <c r="GY162" s="1"/>
  <c r="GE162"/>
  <c r="AR162" s="1"/>
  <c r="AT162" s="1"/>
  <c r="CY162"/>
  <c r="GU163"/>
  <c r="GT163" s="1"/>
  <c r="GP163" s="1"/>
  <c r="CH162"/>
  <c r="AV159" i="45"/>
  <c r="BC159" s="1"/>
  <c r="BE159"/>
  <c r="AS158"/>
  <c r="AA158"/>
  <c r="AB158" s="1"/>
  <c r="GG163" i="43"/>
  <c r="GF163" s="1"/>
  <c r="GK162" l="1"/>
  <c r="GR162"/>
  <c r="GD162"/>
  <c r="AT159" i="45"/>
  <c r="AY159" s="1"/>
  <c r="DA162" i="43"/>
  <c r="AU159" i="45" s="1"/>
  <c r="HB163" i="43"/>
  <c r="HA163" s="1"/>
  <c r="GW163" s="1"/>
  <c r="AD162"/>
  <c r="DO162" s="1"/>
  <c r="DP162" s="1"/>
  <c r="GB163"/>
  <c r="BA159" i="45" l="1"/>
  <c r="FZ163" i="43"/>
  <c r="GC163" s="1"/>
  <c r="GE163" s="1"/>
  <c r="AR163" s="1"/>
  <c r="AE162"/>
  <c r="EV162" s="1"/>
  <c r="T159" i="45" l="1"/>
  <c r="AS159" s="1"/>
  <c r="GX163" i="43"/>
  <c r="GZ163" s="1"/>
  <c r="CY163" s="1"/>
  <c r="GQ163"/>
  <c r="GS163" s="1"/>
  <c r="GJ163"/>
  <c r="GL163" s="1"/>
  <c r="BK163" s="1"/>
  <c r="BM163" s="1"/>
  <c r="AT163"/>
  <c r="GG164"/>
  <c r="GF164" s="1"/>
  <c r="AA159" i="45" l="1"/>
  <c r="AB159" s="1"/>
  <c r="AW160"/>
  <c r="BE160" s="1"/>
  <c r="GA163" i="43"/>
  <c r="GD163" s="1"/>
  <c r="GN164"/>
  <c r="GM164" s="1"/>
  <c r="GI164" s="1"/>
  <c r="DA163"/>
  <c r="AU160" i="45" s="1"/>
  <c r="HB164" i="43"/>
  <c r="HA164" s="1"/>
  <c r="GW164" s="1"/>
  <c r="CF163"/>
  <c r="GB164"/>
  <c r="AT160" i="45"/>
  <c r="BA160" l="1"/>
  <c r="GY163" i="43"/>
  <c r="GR163"/>
  <c r="GK163"/>
  <c r="GU164"/>
  <c r="GT164" s="1"/>
  <c r="GP164" s="1"/>
  <c r="FZ164" s="1"/>
  <c r="GJ164" s="1"/>
  <c r="GL164" s="1"/>
  <c r="BK164" s="1"/>
  <c r="AD163"/>
  <c r="AV160" i="45"/>
  <c r="BC160" s="1"/>
  <c r="CH163" i="43"/>
  <c r="AY160" i="45"/>
  <c r="GQ164" i="43" l="1"/>
  <c r="GS164" s="1"/>
  <c r="CF164" s="1"/>
  <c r="GC164"/>
  <c r="GE164" s="1"/>
  <c r="AR164" s="1"/>
  <c r="GX164"/>
  <c r="GZ164" s="1"/>
  <c r="DO163"/>
  <c r="DP163" s="1"/>
  <c r="AE163"/>
  <c r="EV163" s="1"/>
  <c r="GN165"/>
  <c r="GM165" s="1"/>
  <c r="GI165" s="1"/>
  <c r="BM164"/>
  <c r="CY164" l="1"/>
  <c r="GA164"/>
  <c r="GY164" s="1"/>
  <c r="GU165"/>
  <c r="GT165" s="1"/>
  <c r="GP165" s="1"/>
  <c r="CH164"/>
  <c r="T160" i="45"/>
  <c r="AT164" i="43"/>
  <c r="GG165"/>
  <c r="GF165" s="1"/>
  <c r="AV161" i="45"/>
  <c r="AW161"/>
  <c r="AT161"/>
  <c r="GK164" i="43" l="1"/>
  <c r="GR164"/>
  <c r="GD164"/>
  <c r="DA164"/>
  <c r="AU161" i="45" s="1"/>
  <c r="HB165" i="43"/>
  <c r="HA165" s="1"/>
  <c r="GW165" s="1"/>
  <c r="AD164"/>
  <c r="AE164" s="1"/>
  <c r="EV164" s="1"/>
  <c r="AA160" i="45"/>
  <c r="AB160" s="1"/>
  <c r="AS160"/>
  <c r="AY161"/>
  <c r="BC161"/>
  <c r="BE161"/>
  <c r="GB165" i="43"/>
  <c r="BA161" i="45" l="1"/>
  <c r="DO164" i="43"/>
  <c r="DP164" s="1"/>
  <c r="FZ165"/>
  <c r="GJ165" s="1"/>
  <c r="GL165" s="1"/>
  <c r="BK165" s="1"/>
  <c r="T161" i="45"/>
  <c r="GQ165" i="43" l="1"/>
  <c r="GS165" s="1"/>
  <c r="GX165"/>
  <c r="GZ165" s="1"/>
  <c r="GC165"/>
  <c r="GE165" s="1"/>
  <c r="AR165" s="1"/>
  <c r="AT165" s="1"/>
  <c r="GN166"/>
  <c r="GM166" s="1"/>
  <c r="GI166" s="1"/>
  <c r="BM165"/>
  <c r="AS161" i="45"/>
  <c r="AA161"/>
  <c r="AB161" s="1"/>
  <c r="GG166" i="43" l="1"/>
  <c r="GF166" s="1"/>
  <c r="GB166" s="1"/>
  <c r="CY165"/>
  <c r="CF165"/>
  <c r="GA165"/>
  <c r="GD165" s="1"/>
  <c r="AW162" i="45"/>
  <c r="HB166" i="43" l="1"/>
  <c r="HA166" s="1"/>
  <c r="GW166" s="1"/>
  <c r="DA165"/>
  <c r="AU162" i="45" s="1"/>
  <c r="BA162" s="1"/>
  <c r="GU166" i="43"/>
  <c r="GT166" s="1"/>
  <c r="GP166" s="1"/>
  <c r="CH165"/>
  <c r="AD165"/>
  <c r="AE165" s="1"/>
  <c r="EV165" s="1"/>
  <c r="AV162" i="45"/>
  <c r="BC162" s="1"/>
  <c r="GR165" i="43"/>
  <c r="GY165"/>
  <c r="GK165"/>
  <c r="BE162" i="45"/>
  <c r="AT162"/>
  <c r="T162" l="1"/>
  <c r="AS162" s="1"/>
  <c r="FZ166" i="43"/>
  <c r="GQ166" s="1"/>
  <c r="GS166" s="1"/>
  <c r="CF166" s="1"/>
  <c r="DO165"/>
  <c r="DP165" s="1"/>
  <c r="AY162" i="45"/>
  <c r="AA162" l="1"/>
  <c r="AB162" s="1"/>
  <c r="GC166" i="43"/>
  <c r="GE166" s="1"/>
  <c r="AR166" s="1"/>
  <c r="GG167" s="1"/>
  <c r="GF167" s="1"/>
  <c r="GB167" s="1"/>
  <c r="GJ166"/>
  <c r="GL166" s="1"/>
  <c r="BK166" s="1"/>
  <c r="BM166" s="1"/>
  <c r="GX166"/>
  <c r="GZ166" s="1"/>
  <c r="CY166" s="1"/>
  <c r="GU167"/>
  <c r="GT167" s="1"/>
  <c r="GP167" s="1"/>
  <c r="CH166"/>
  <c r="GA166" l="1"/>
  <c r="GY166" s="1"/>
  <c r="GN167"/>
  <c r="GM167" s="1"/>
  <c r="GI167" s="1"/>
  <c r="AT166"/>
  <c r="DA166"/>
  <c r="AU163" i="45" s="1"/>
  <c r="AZ163" s="1"/>
  <c r="HB167" i="43"/>
  <c r="HA167" s="1"/>
  <c r="GW167" s="1"/>
  <c r="AD166"/>
  <c r="AT163" i="45"/>
  <c r="AX163" s="1"/>
  <c r="AV163"/>
  <c r="AW163"/>
  <c r="FZ167" i="43" l="1"/>
  <c r="GC167" s="1"/>
  <c r="GE167" s="1"/>
  <c r="AR167" s="1"/>
  <c r="GK166"/>
  <c r="BA163" i="45"/>
  <c r="GR166" i="43"/>
  <c r="GD166"/>
  <c r="DO166"/>
  <c r="DP166" s="1"/>
  <c r="AE166"/>
  <c r="EV166" s="1"/>
  <c r="BE163" i="45"/>
  <c r="BD163"/>
  <c r="AY163"/>
  <c r="BB163"/>
  <c r="BC163"/>
  <c r="GX167" i="43" l="1"/>
  <c r="GZ167" s="1"/>
  <c r="CY167" s="1"/>
  <c r="GJ167"/>
  <c r="GL167" s="1"/>
  <c r="BK167" s="1"/>
  <c r="GN168" s="1"/>
  <c r="GM168" s="1"/>
  <c r="GI168" s="1"/>
  <c r="GQ167"/>
  <c r="GS167" s="1"/>
  <c r="CF167" s="1"/>
  <c r="GU168" s="1"/>
  <c r="GT168" s="1"/>
  <c r="GP168" s="1"/>
  <c r="T163" i="45"/>
  <c r="AT167" i="43"/>
  <c r="GG168"/>
  <c r="GF168" s="1"/>
  <c r="GB168" s="1"/>
  <c r="BM167" l="1"/>
  <c r="CH167"/>
  <c r="GA167"/>
  <c r="GY167" s="1"/>
  <c r="HB168"/>
  <c r="HA168" s="1"/>
  <c r="GW168" s="1"/>
  <c r="FZ168" s="1"/>
  <c r="DA167"/>
  <c r="AU164" i="45" s="1"/>
  <c r="AZ164" s="1"/>
  <c r="AD167" i="43"/>
  <c r="AE167" s="1"/>
  <c r="EV167" s="1"/>
  <c r="AR163" i="45"/>
  <c r="AA163"/>
  <c r="AB163" s="1"/>
  <c r="AS163"/>
  <c r="T164"/>
  <c r="DO167" i="43" l="1"/>
  <c r="DP167" s="1"/>
  <c r="GK167"/>
  <c r="GD167"/>
  <c r="GR167"/>
  <c r="BA164" i="45"/>
  <c r="GC168" i="43"/>
  <c r="GE168" s="1"/>
  <c r="AR168" s="1"/>
  <c r="GQ168"/>
  <c r="GS168" s="1"/>
  <c r="CF168" s="1"/>
  <c r="GX168"/>
  <c r="GZ168" s="1"/>
  <c r="CY168" s="1"/>
  <c r="GJ168"/>
  <c r="GL168" s="1"/>
  <c r="BK168" s="1"/>
  <c r="GN169" s="1"/>
  <c r="GM169" s="1"/>
  <c r="GI169" s="1"/>
  <c r="AR164" i="45"/>
  <c r="AS164"/>
  <c r="AA164"/>
  <c r="AB164" s="1"/>
  <c r="AW164"/>
  <c r="AV164"/>
  <c r="BM168" i="43" l="1"/>
  <c r="GA168"/>
  <c r="GY168" s="1"/>
  <c r="GG169"/>
  <c r="GF169" s="1"/>
  <c r="GB169" s="1"/>
  <c r="AT168"/>
  <c r="DA168"/>
  <c r="AU165" i="45" s="1"/>
  <c r="HB169" i="43"/>
  <c r="HA169" s="1"/>
  <c r="GW169" s="1"/>
  <c r="GU169"/>
  <c r="GT169" s="1"/>
  <c r="GP169" s="1"/>
  <c r="CH168"/>
  <c r="AD168"/>
  <c r="AE168" s="1"/>
  <c r="EV168" s="1"/>
  <c r="BE164" i="45"/>
  <c r="BD164"/>
  <c r="BC164"/>
  <c r="BB164"/>
  <c r="AT164"/>
  <c r="GD168" i="43" l="1"/>
  <c r="DO168"/>
  <c r="DP168" s="1"/>
  <c r="GK168"/>
  <c r="GR168"/>
  <c r="FZ169"/>
  <c r="GX169" s="1"/>
  <c r="GZ169" s="1"/>
  <c r="AZ165" i="45"/>
  <c r="BA165"/>
  <c r="T165"/>
  <c r="AX164"/>
  <c r="AY164"/>
  <c r="GJ169" i="43" l="1"/>
  <c r="GL169" s="1"/>
  <c r="BK169" s="1"/>
  <c r="GN170" s="1"/>
  <c r="GM170" s="1"/>
  <c r="GI170" s="1"/>
  <c r="GC169"/>
  <c r="GE169" s="1"/>
  <c r="AR169" s="1"/>
  <c r="AT169" s="1"/>
  <c r="GQ169"/>
  <c r="GS169" s="1"/>
  <c r="CF169" s="1"/>
  <c r="CY169"/>
  <c r="AR165" i="45"/>
  <c r="AS165"/>
  <c r="AA165"/>
  <c r="AB165" s="1"/>
  <c r="GG170" i="43" l="1"/>
  <c r="GF170" s="1"/>
  <c r="GB170" s="1"/>
  <c r="BM169"/>
  <c r="GA169"/>
  <c r="GR169" s="1"/>
  <c r="DA169"/>
  <c r="AU166" i="45" s="1"/>
  <c r="BA166" s="1"/>
  <c r="HB170" i="43"/>
  <c r="HA170" s="1"/>
  <c r="GW170" s="1"/>
  <c r="GU170"/>
  <c r="GT170" s="1"/>
  <c r="GP170" s="1"/>
  <c r="CH169"/>
  <c r="AD169"/>
  <c r="AW165" i="45"/>
  <c r="AV165"/>
  <c r="AZ166" l="1"/>
  <c r="GD169" i="43"/>
  <c r="GY169"/>
  <c r="GK169"/>
  <c r="FZ170"/>
  <c r="GX170" s="1"/>
  <c r="GZ170" s="1"/>
  <c r="AE169"/>
  <c r="EV169" s="1"/>
  <c r="DO169"/>
  <c r="DP169" s="1"/>
  <c r="BB165" i="45"/>
  <c r="BC165"/>
  <c r="BE165"/>
  <c r="BD165"/>
  <c r="AT165"/>
  <c r="GQ170" i="43" l="1"/>
  <c r="GS170" s="1"/>
  <c r="CF170" s="1"/>
  <c r="GC170"/>
  <c r="GE170" s="1"/>
  <c r="AR170" s="1"/>
  <c r="GG171" s="1"/>
  <c r="GF171" s="1"/>
  <c r="GB171" s="1"/>
  <c r="GJ170"/>
  <c r="GL170" s="1"/>
  <c r="BK170" s="1"/>
  <c r="GN171" s="1"/>
  <c r="GM171" s="1"/>
  <c r="GI171" s="1"/>
  <c r="CY170"/>
  <c r="T166" i="45"/>
  <c r="AY165"/>
  <c r="AX165"/>
  <c r="AT170" i="43" l="1"/>
  <c r="BM170"/>
  <c r="GA170"/>
  <c r="GY170" s="1"/>
  <c r="HB171"/>
  <c r="HA171" s="1"/>
  <c r="GW171" s="1"/>
  <c r="DA170"/>
  <c r="AU167" i="45" s="1"/>
  <c r="GU171" i="43"/>
  <c r="GT171" s="1"/>
  <c r="CH170"/>
  <c r="AD170"/>
  <c r="AS166" i="45"/>
  <c r="AA166"/>
  <c r="AB166" s="1"/>
  <c r="AR166"/>
  <c r="GD170" i="43" l="1"/>
  <c r="GR170"/>
  <c r="GK170"/>
  <c r="BA167" i="45"/>
  <c r="AZ167"/>
  <c r="GP171" i="43"/>
  <c r="FZ171" s="1"/>
  <c r="GQ171" s="1"/>
  <c r="GS171" s="1"/>
  <c r="AE170"/>
  <c r="EV170" s="1"/>
  <c r="DO170"/>
  <c r="DP170" s="1"/>
  <c r="AW166" i="45"/>
  <c r="AT166"/>
  <c r="AV166"/>
  <c r="GC171" i="43" l="1"/>
  <c r="GJ171"/>
  <c r="GL171" s="1"/>
  <c r="BK171" s="1"/>
  <c r="GX171"/>
  <c r="GZ171" s="1"/>
  <c r="CF171"/>
  <c r="T167" i="45"/>
  <c r="AX166"/>
  <c r="AY166"/>
  <c r="BB166"/>
  <c r="BC166"/>
  <c r="BD166"/>
  <c r="BE166"/>
  <c r="CY171" i="43" l="1"/>
  <c r="GU172"/>
  <c r="GT172" s="1"/>
  <c r="CH171"/>
  <c r="GE171"/>
  <c r="AR171" s="1"/>
  <c r="GA171"/>
  <c r="AA167" i="45"/>
  <c r="AB167" s="1"/>
  <c r="AS167"/>
  <c r="AR167"/>
  <c r="GN172" i="43"/>
  <c r="GM172" s="1"/>
  <c r="BM171"/>
  <c r="HB172" l="1"/>
  <c r="HA172" s="1"/>
  <c r="GW172" s="1"/>
  <c r="DA171"/>
  <c r="AU168" i="45" s="1"/>
  <c r="BA168" s="1"/>
  <c r="GP172" i="43"/>
  <c r="AT171"/>
  <c r="GG172"/>
  <c r="GF172" s="1"/>
  <c r="AD171"/>
  <c r="GI172"/>
  <c r="GR171"/>
  <c r="GK171"/>
  <c r="GY171"/>
  <c r="GD171"/>
  <c r="AW167" i="45"/>
  <c r="AZ168" l="1"/>
  <c r="AE171" i="43"/>
  <c r="EV171" s="1"/>
  <c r="DO171"/>
  <c r="DP171" s="1"/>
  <c r="GB172"/>
  <c r="FZ172" s="1"/>
  <c r="BD167" i="45"/>
  <c r="BE167"/>
  <c r="AV167"/>
  <c r="AT167"/>
  <c r="T168" l="1"/>
  <c r="GX172" i="43"/>
  <c r="GZ172" s="1"/>
  <c r="GJ172"/>
  <c r="GL172" s="1"/>
  <c r="BK172" s="1"/>
  <c r="GQ172"/>
  <c r="GS172" s="1"/>
  <c r="GC172"/>
  <c r="AX167" i="45"/>
  <c r="AY167"/>
  <c r="BC167"/>
  <c r="BB167"/>
  <c r="CY172" i="43" l="1"/>
  <c r="CF172"/>
  <c r="GE172"/>
  <c r="AR172" s="1"/>
  <c r="GA172"/>
  <c r="AA168" i="45"/>
  <c r="AB168" s="1"/>
  <c r="AR168"/>
  <c r="AS168"/>
  <c r="BM172" i="43"/>
  <c r="GN173"/>
  <c r="GM173" s="1"/>
  <c r="HB173" l="1"/>
  <c r="HA173" s="1"/>
  <c r="GW173" s="1"/>
  <c r="DA172"/>
  <c r="AU169" i="45" s="1"/>
  <c r="GU173" i="43"/>
  <c r="GT173" s="1"/>
  <c r="CH172"/>
  <c r="GI173"/>
  <c r="AT172"/>
  <c r="GG173"/>
  <c r="GF173" s="1"/>
  <c r="AD172"/>
  <c r="GK172"/>
  <c r="GR172"/>
  <c r="GD172"/>
  <c r="GY172"/>
  <c r="AV168" i="45"/>
  <c r="AW168"/>
  <c r="AT168"/>
  <c r="GB173" i="43" l="1"/>
  <c r="GP173"/>
  <c r="DO172"/>
  <c r="DP172" s="1"/>
  <c r="AE172"/>
  <c r="EV172" s="1"/>
  <c r="BA169" i="45"/>
  <c r="AZ169"/>
  <c r="BE168"/>
  <c r="BD168"/>
  <c r="AY168"/>
  <c r="AX168"/>
  <c r="BC168"/>
  <c r="BB168"/>
  <c r="FZ173" i="43" l="1"/>
  <c r="T169" i="45"/>
  <c r="GJ173" i="43" l="1"/>
  <c r="GL173" s="1"/>
  <c r="BK173" s="1"/>
  <c r="GX173"/>
  <c r="GZ173" s="1"/>
  <c r="GQ173"/>
  <c r="GS173" s="1"/>
  <c r="GC173"/>
  <c r="AA169" i="45"/>
  <c r="AB169" s="1"/>
  <c r="AS169"/>
  <c r="AR169"/>
  <c r="CY173" i="43" l="1"/>
  <c r="GN174"/>
  <c r="GM174" s="1"/>
  <c r="BM173"/>
  <c r="CF173"/>
  <c r="GE173"/>
  <c r="AR173" s="1"/>
  <c r="GA173"/>
  <c r="AV169" i="45"/>
  <c r="AW169"/>
  <c r="HB174" i="43" l="1"/>
  <c r="HA174" s="1"/>
  <c r="GW174" s="1"/>
  <c r="DA173"/>
  <c r="AU170" i="45" s="1"/>
  <c r="GU174" i="43"/>
  <c r="GT174" s="1"/>
  <c r="CH173"/>
  <c r="AT173"/>
  <c r="GG174"/>
  <c r="GF174" s="1"/>
  <c r="AD173"/>
  <c r="GI174"/>
  <c r="GD173"/>
  <c r="GY173"/>
  <c r="GR173"/>
  <c r="GK173"/>
  <c r="BD169" i="45"/>
  <c r="BE169"/>
  <c r="BC169"/>
  <c r="BB169"/>
  <c r="AT169"/>
  <c r="BA170" l="1"/>
  <c r="AZ170"/>
  <c r="GP174" i="43"/>
  <c r="GB174"/>
  <c r="AE173"/>
  <c r="EV173" s="1"/>
  <c r="DO173"/>
  <c r="DP173" s="1"/>
  <c r="AY169" i="45"/>
  <c r="AX169"/>
  <c r="FZ174" i="43" l="1"/>
  <c r="GQ174" s="1"/>
  <c r="T170" i="45"/>
  <c r="GJ174" i="43" l="1"/>
  <c r="GL174" s="1"/>
  <c r="BK174" s="1"/>
  <c r="GX174"/>
  <c r="GC174"/>
  <c r="GE174" s="1"/>
  <c r="AR174" s="1"/>
  <c r="AA170" i="45"/>
  <c r="AB170" s="1"/>
  <c r="AS170"/>
  <c r="AR170"/>
  <c r="AV170"/>
  <c r="AW170"/>
  <c r="AT174" i="43" l="1"/>
  <c r="AW171" i="45"/>
  <c r="BD171" s="1"/>
  <c r="GG175" i="43"/>
  <c r="GF175" s="1"/>
  <c r="GB175" s="1"/>
  <c r="BM174"/>
  <c r="GN175"/>
  <c r="GM175" s="1"/>
  <c r="GI175" s="1"/>
  <c r="GA174"/>
  <c r="BE170" i="45"/>
  <c r="BD170"/>
  <c r="BC170"/>
  <c r="BB170"/>
  <c r="AT170"/>
  <c r="BE171" l="1"/>
  <c r="GY174" i="43"/>
  <c r="GZ174" s="1"/>
  <c r="GK174"/>
  <c r="GR174"/>
  <c r="GS174" s="1"/>
  <c r="CF174" s="1"/>
  <c r="GD174"/>
  <c r="AY170" i="45"/>
  <c r="AX170"/>
  <c r="CH174" i="43" l="1"/>
  <c r="CY174"/>
  <c r="GU175"/>
  <c r="GT175" s="1"/>
  <c r="GP175" s="1"/>
  <c r="DA174" l="1"/>
  <c r="HB175"/>
  <c r="HA175" s="1"/>
  <c r="GW175" s="1"/>
  <c r="FZ175" s="1"/>
  <c r="GC175" s="1"/>
  <c r="AD174"/>
  <c r="AV171" i="45"/>
  <c r="AT171"/>
  <c r="GQ175" i="43" l="1"/>
  <c r="AU171" i="45"/>
  <c r="GJ175" i="43"/>
  <c r="GL175" s="1"/>
  <c r="BK175" s="1"/>
  <c r="DO174"/>
  <c r="DP174" s="1"/>
  <c r="AE174"/>
  <c r="EV174" s="1"/>
  <c r="GX175"/>
  <c r="GE175"/>
  <c r="AR175" s="1"/>
  <c r="AX171" i="45"/>
  <c r="AY171"/>
  <c r="BB171"/>
  <c r="BC171"/>
  <c r="BM175" i="43" l="1"/>
  <c r="GA175"/>
  <c r="GD175" s="1"/>
  <c r="GN176"/>
  <c r="GM176" s="1"/>
  <c r="GI176" s="1"/>
  <c r="T171" i="45"/>
  <c r="BA171"/>
  <c r="AZ171"/>
  <c r="GG176" i="43"/>
  <c r="GF176" s="1"/>
  <c r="AT175"/>
  <c r="AW172" i="45"/>
  <c r="GY175" i="43" l="1"/>
  <c r="GZ175" s="1"/>
  <c r="CY175" s="1"/>
  <c r="GR175"/>
  <c r="GS175" s="1"/>
  <c r="CF175" s="1"/>
  <c r="GK175"/>
  <c r="AA171" i="45"/>
  <c r="AB171" s="1"/>
  <c r="AR171"/>
  <c r="AS171"/>
  <c r="GB176" i="43"/>
  <c r="BE172" i="45"/>
  <c r="BD172"/>
  <c r="AT172"/>
  <c r="HB176" i="43" l="1"/>
  <c r="HA176" s="1"/>
  <c r="GW176" s="1"/>
  <c r="DA175"/>
  <c r="GU176"/>
  <c r="GT176" s="1"/>
  <c r="CH175"/>
  <c r="AD175"/>
  <c r="AV172" i="45"/>
  <c r="AX172"/>
  <c r="AY172"/>
  <c r="AU172" l="1"/>
  <c r="BA172" s="1"/>
  <c r="BC172"/>
  <c r="BB172"/>
  <c r="GP176" i="43"/>
  <c r="FZ176" s="1"/>
  <c r="DO175"/>
  <c r="DP175" s="1"/>
  <c r="AE175"/>
  <c r="EV175" s="1"/>
  <c r="AZ172" i="45" l="1"/>
  <c r="T172"/>
  <c r="GJ176" i="43"/>
  <c r="GL176" s="1"/>
  <c r="BK176" s="1"/>
  <c r="GC176"/>
  <c r="GX176"/>
  <c r="GQ176"/>
  <c r="AW173" i="45" l="1"/>
  <c r="BE173" s="1"/>
  <c r="AA172"/>
  <c r="AB172" s="1"/>
  <c r="AS172"/>
  <c r="AR172"/>
  <c r="GE176" i="43"/>
  <c r="AR176" s="1"/>
  <c r="GA176"/>
  <c r="GN177"/>
  <c r="GM177" s="1"/>
  <c r="BM176"/>
  <c r="BA181" i="45"/>
  <c r="BA179"/>
  <c r="BA178"/>
  <c r="BA180"/>
  <c r="AS181"/>
  <c r="AS179"/>
  <c r="AS178"/>
  <c r="AS180"/>
  <c r="BD173"/>
  <c r="GR176" i="43" l="1"/>
  <c r="GS176" s="1"/>
  <c r="GK176"/>
  <c r="GD176"/>
  <c r="GY176"/>
  <c r="GI177"/>
  <c r="AT176"/>
  <c r="GG177"/>
  <c r="GF177" s="1"/>
  <c r="AT173" i="45"/>
  <c r="GZ176" i="43" l="1"/>
  <c r="CY176" s="1"/>
  <c r="GB177"/>
  <c r="CF176"/>
  <c r="AX173" i="45"/>
  <c r="AY173"/>
  <c r="HB177" i="43" l="1"/>
  <c r="HA177" s="1"/>
  <c r="GW177" s="1"/>
  <c r="DA176"/>
  <c r="GU177"/>
  <c r="GT177" s="1"/>
  <c r="CH176"/>
  <c r="AV173" i="45"/>
  <c r="AD176" i="43"/>
  <c r="AU173" i="45" l="1"/>
  <c r="AZ173" s="1"/>
  <c r="DO176" i="43"/>
  <c r="DP176" s="1"/>
  <c r="AE176"/>
  <c r="EV176" s="1"/>
  <c r="GP177"/>
  <c r="FZ177" s="1"/>
  <c r="BB173" i="45"/>
  <c r="BC173"/>
  <c r="BA173" l="1"/>
  <c r="T173"/>
  <c r="GJ177" i="43"/>
  <c r="GL177" s="1"/>
  <c r="BK177" s="1"/>
  <c r="GC177"/>
  <c r="GE177" s="1"/>
  <c r="AR177" s="1"/>
  <c r="GX177"/>
  <c r="GQ177"/>
  <c r="AT177" l="1"/>
  <c r="GG178"/>
  <c r="GF178" s="1"/>
  <c r="AT174" i="45"/>
  <c r="AA173"/>
  <c r="AB173" s="1"/>
  <c r="AR173"/>
  <c r="AS173"/>
  <c r="GA177" i="43"/>
  <c r="GN178"/>
  <c r="GM178" s="1"/>
  <c r="BM177"/>
  <c r="AW174" i="45"/>
  <c r="GD177" i="43" l="1"/>
  <c r="GR177"/>
  <c r="GS177" s="1"/>
  <c r="GK177"/>
  <c r="GY177"/>
  <c r="AX174" i="45"/>
  <c r="AY174"/>
  <c r="BE174"/>
  <c r="BD174"/>
  <c r="GI178" i="43"/>
  <c r="GB178"/>
  <c r="BC181" i="45"/>
  <c r="BC180"/>
  <c r="BC179"/>
  <c r="BC178"/>
  <c r="BE181"/>
  <c r="BE179"/>
  <c r="BE178"/>
  <c r="BE180"/>
  <c r="BC177"/>
  <c r="BE177"/>
  <c r="GZ177" i="43" l="1"/>
  <c r="CY177" s="1"/>
  <c r="CF177"/>
  <c r="BE384" i="45"/>
  <c r="AY181"/>
  <c r="AY179"/>
  <c r="AY178"/>
  <c r="AY180"/>
  <c r="AY177"/>
  <c r="DA177" i="43" l="1"/>
  <c r="HB178"/>
  <c r="HA178" s="1"/>
  <c r="GW178" s="1"/>
  <c r="GU178"/>
  <c r="GT178" s="1"/>
  <c r="CH177"/>
  <c r="AV174" i="45"/>
  <c r="AD177" i="43"/>
  <c r="BA177" i="45"/>
  <c r="BC384" s="1"/>
  <c r="BA384"/>
  <c r="AU174" l="1"/>
  <c r="BA174" s="1"/>
  <c r="AE177" i="43"/>
  <c r="EV177" s="1"/>
  <c r="DO177"/>
  <c r="DP177" s="1"/>
  <c r="GP178"/>
  <c r="FZ178" s="1"/>
  <c r="GQ178" s="1"/>
  <c r="BB174" i="45"/>
  <c r="BC174"/>
  <c r="AS177"/>
  <c r="AZ174" l="1"/>
  <c r="T174"/>
  <c r="GC178" i="43"/>
  <c r="GJ178"/>
  <c r="GL178" s="1"/>
  <c r="BK178" s="1"/>
  <c r="GX178"/>
  <c r="GE178" l="1"/>
  <c r="AR178" s="1"/>
  <c r="GA178"/>
  <c r="BM178"/>
  <c r="GN179"/>
  <c r="GM179" s="1"/>
  <c r="AW175" i="45"/>
  <c r="AA174"/>
  <c r="AB174" s="1"/>
  <c r="AS174"/>
  <c r="AR174"/>
  <c r="GI179" i="43" l="1"/>
  <c r="GG179"/>
  <c r="GF179" s="1"/>
  <c r="AT178"/>
  <c r="AT175" i="45"/>
  <c r="BD175"/>
  <c r="BE175"/>
  <c r="GY178" i="43"/>
  <c r="GD178"/>
  <c r="GR178"/>
  <c r="GS178" s="1"/>
  <c r="GK178"/>
  <c r="GZ178" l="1"/>
  <c r="CY178" s="1"/>
  <c r="AX175" i="45"/>
  <c r="AY175"/>
  <c r="GB179" i="43"/>
  <c r="CF178"/>
  <c r="DA178" l="1"/>
  <c r="HB179"/>
  <c r="HA179" s="1"/>
  <c r="GW179" s="1"/>
  <c r="GU179"/>
  <c r="GT179" s="1"/>
  <c r="CH178"/>
  <c r="AV175" i="45"/>
  <c r="AD178" i="43"/>
  <c r="AU175" i="45" l="1"/>
  <c r="AE178" i="43"/>
  <c r="EV178" s="1"/>
  <c r="DO178"/>
  <c r="DP178" s="1"/>
  <c r="GP179"/>
  <c r="FZ179" s="1"/>
  <c r="GQ179" s="1"/>
  <c r="BC175" i="45"/>
  <c r="BB175"/>
  <c r="BA175" l="1"/>
  <c r="AZ175"/>
  <c r="GX179" i="43"/>
  <c r="GJ179"/>
  <c r="GL179" s="1"/>
  <c r="BK179" s="1"/>
  <c r="GC179"/>
  <c r="T175" i="45"/>
  <c r="AA175" l="1"/>
  <c r="AB175" s="1"/>
  <c r="AR175"/>
  <c r="AS175"/>
  <c r="AW176"/>
  <c r="GN180" i="43"/>
  <c r="GM180" s="1"/>
  <c r="BM179"/>
  <c r="GE179"/>
  <c r="AR179" s="1"/>
  <c r="GA179"/>
  <c r="GG180" l="1"/>
  <c r="GF180" s="1"/>
  <c r="AT179"/>
  <c r="AT176" i="45"/>
  <c r="BD176"/>
  <c r="BE176"/>
  <c r="GY179" i="43"/>
  <c r="GD179"/>
  <c r="GR179"/>
  <c r="GS179" s="1"/>
  <c r="GK179"/>
  <c r="GI180"/>
  <c r="GZ179" l="1"/>
  <c r="CY179" s="1"/>
  <c r="CF179"/>
  <c r="GB180"/>
  <c r="AY176" i="45"/>
  <c r="AX176"/>
  <c r="DA179" i="43" l="1"/>
  <c r="HB180"/>
  <c r="HA180" s="1"/>
  <c r="GW180" s="1"/>
  <c r="GU180"/>
  <c r="GT180" s="1"/>
  <c r="GP180" s="1"/>
  <c r="CH179"/>
  <c r="AV176" i="45"/>
  <c r="AD179" i="43"/>
  <c r="AU176" i="45" l="1"/>
  <c r="DO179" i="43"/>
  <c r="DP179" s="1"/>
  <c r="AE179"/>
  <c r="EV179" s="1"/>
  <c r="BC176" i="45"/>
  <c r="BB176"/>
  <c r="AZ176" l="1"/>
  <c r="BA176"/>
  <c r="FZ180" i="43"/>
  <c r="T176" i="45"/>
  <c r="GQ180" i="43" l="1"/>
  <c r="GJ180"/>
  <c r="GL180" s="1"/>
  <c r="BK180" s="1"/>
  <c r="GC180"/>
  <c r="GX180"/>
  <c r="AA176" i="45"/>
  <c r="AB176" s="1"/>
  <c r="AS176"/>
  <c r="AR176"/>
  <c r="GN181" i="43" l="1"/>
  <c r="GM181" s="1"/>
  <c r="GI181" s="1"/>
  <c r="GE180"/>
  <c r="AR180" s="1"/>
  <c r="GA180"/>
  <c r="AW177" i="45"/>
  <c r="BM180" i="43"/>
  <c r="GG181" l="1"/>
  <c r="GF181" s="1"/>
  <c r="GB181" s="1"/>
  <c r="BD177" i="45"/>
  <c r="GR180" i="43"/>
  <c r="GS180" s="1"/>
  <c r="CF180" s="1"/>
  <c r="GU181" s="1"/>
  <c r="GT181" s="1"/>
  <c r="GP181" s="1"/>
  <c r="GD180"/>
  <c r="GY180"/>
  <c r="GK180"/>
  <c r="AT180"/>
  <c r="AT177" i="45"/>
  <c r="AV177" l="1"/>
  <c r="BB177" s="1"/>
  <c r="CH180" i="43"/>
  <c r="GZ180"/>
  <c r="CY180" s="1"/>
  <c r="AX177" i="45"/>
  <c r="HB181" i="43" l="1"/>
  <c r="HA181" s="1"/>
  <c r="GW181" s="1"/>
  <c r="FZ181" s="1"/>
  <c r="AD180"/>
  <c r="DA180"/>
  <c r="DO180" l="1"/>
  <c r="DP180" s="1"/>
  <c r="AU177" i="45"/>
  <c r="AE180" i="43"/>
  <c r="EV180" s="1"/>
  <c r="GJ181"/>
  <c r="GL181" s="1"/>
  <c r="BK181" s="1"/>
  <c r="GQ181"/>
  <c r="GS181" s="1"/>
  <c r="CF181" s="1"/>
  <c r="GC181"/>
  <c r="GX181"/>
  <c r="GZ181" s="1"/>
  <c r="CY181" s="1"/>
  <c r="AZ177" i="45" l="1"/>
  <c r="T177"/>
  <c r="AA177" s="1"/>
  <c r="AB177" s="1"/>
  <c r="BM181" i="43"/>
  <c r="AW178" i="45"/>
  <c r="GN182" i="43"/>
  <c r="GM182" s="1"/>
  <c r="CH181"/>
  <c r="GU182"/>
  <c r="GT182" s="1"/>
  <c r="AV178" i="45"/>
  <c r="GA181" i="43"/>
  <c r="GE181"/>
  <c r="AR181" s="1"/>
  <c r="HB182"/>
  <c r="HA182" s="1"/>
  <c r="DA181"/>
  <c r="AR177" i="45" l="1"/>
  <c r="AU178"/>
  <c r="GW182" i="43"/>
  <c r="GP182"/>
  <c r="BB178" i="45"/>
  <c r="BD178"/>
  <c r="GR181" i="43"/>
  <c r="GK181"/>
  <c r="GY181"/>
  <c r="GD181"/>
  <c r="GI182"/>
  <c r="AT181"/>
  <c r="AD181"/>
  <c r="GG182"/>
  <c r="GF182" s="1"/>
  <c r="AT178" i="45"/>
  <c r="AZ178" l="1"/>
  <c r="AE181" i="43"/>
  <c r="EV181" s="1"/>
  <c r="DO181"/>
  <c r="DP181" s="1"/>
  <c r="GB182"/>
  <c r="FZ182" s="1"/>
  <c r="AX178" i="45"/>
  <c r="T178" l="1"/>
  <c r="GQ182" i="43"/>
  <c r="GS182" s="1"/>
  <c r="CF182" s="1"/>
  <c r="GJ182"/>
  <c r="GL182" s="1"/>
  <c r="BK182" s="1"/>
  <c r="GX182"/>
  <c r="GZ182" s="1"/>
  <c r="CY182" s="1"/>
  <c r="GC182"/>
  <c r="BM182" l="1"/>
  <c r="CH182"/>
  <c r="HB183"/>
  <c r="HA183" s="1"/>
  <c r="GW183" s="1"/>
  <c r="DA182"/>
  <c r="AA178" i="45"/>
  <c r="AB178" s="1"/>
  <c r="AR178"/>
  <c r="AV179"/>
  <c r="GU183" i="43"/>
  <c r="GT183" s="1"/>
  <c r="GE182"/>
  <c r="AR182" s="1"/>
  <c r="GA182"/>
  <c r="AW179" i="45"/>
  <c r="GN183" i="43"/>
  <c r="GM183" s="1"/>
  <c r="AU179" i="45" l="1"/>
  <c r="AT182" i="43"/>
  <c r="BD179" i="45"/>
  <c r="BB179"/>
  <c r="GG183" i="43"/>
  <c r="GF183" s="1"/>
  <c r="AT179" i="45"/>
  <c r="AD182" i="43"/>
  <c r="GK182"/>
  <c r="GY182"/>
  <c r="GR182"/>
  <c r="GD182"/>
  <c r="GP183"/>
  <c r="GI183"/>
  <c r="AZ179" i="45" l="1"/>
  <c r="AX179"/>
  <c r="GB183" i="43"/>
  <c r="FZ183" s="1"/>
  <c r="GC183" s="1"/>
  <c r="AE182"/>
  <c r="EV182" s="1"/>
  <c r="DO182"/>
  <c r="DP182" s="1"/>
  <c r="T179" i="45" l="1"/>
  <c r="GX183" i="43"/>
  <c r="GZ183" s="1"/>
  <c r="CY183" s="1"/>
  <c r="GJ183"/>
  <c r="GL183" s="1"/>
  <c r="BK183" s="1"/>
  <c r="GQ183"/>
  <c r="GS183" s="1"/>
  <c r="CF183" s="1"/>
  <c r="GE183"/>
  <c r="AR183" s="1"/>
  <c r="BM183" l="1"/>
  <c r="CH183"/>
  <c r="AT183"/>
  <c r="HB184"/>
  <c r="HA184" s="1"/>
  <c r="GW184" s="1"/>
  <c r="DA183"/>
  <c r="AR179" i="45"/>
  <c r="AA179"/>
  <c r="AB179" s="1"/>
  <c r="AW180"/>
  <c r="GN184" i="43"/>
  <c r="GM184" s="1"/>
  <c r="AV180" i="45"/>
  <c r="GU184" i="43"/>
  <c r="GT184" s="1"/>
  <c r="GG184"/>
  <c r="GF184" s="1"/>
  <c r="AT180" i="45"/>
  <c r="AD183" i="43"/>
  <c r="GA183"/>
  <c r="BB180" i="45" l="1"/>
  <c r="BD180"/>
  <c r="AX180"/>
  <c r="AU180"/>
  <c r="DO183" i="43"/>
  <c r="DP183" s="1"/>
  <c r="AE183"/>
  <c r="EV183" s="1"/>
  <c r="GR183"/>
  <c r="GK183"/>
  <c r="GD183"/>
  <c r="GY183"/>
  <c r="GP184"/>
  <c r="GB184"/>
  <c r="GI184"/>
  <c r="AZ180" i="45" l="1"/>
  <c r="T180"/>
  <c r="FZ184" i="43"/>
  <c r="GJ184" s="1"/>
  <c r="GL184" s="1"/>
  <c r="BK184" s="1"/>
  <c r="AR180" i="45" l="1"/>
  <c r="BM184" i="43"/>
  <c r="AA180" i="45"/>
  <c r="AB180" s="1"/>
  <c r="GX184" i="43"/>
  <c r="GZ184" s="1"/>
  <c r="CY184" s="1"/>
  <c r="GC184"/>
  <c r="GE184" s="1"/>
  <c r="AR184" s="1"/>
  <c r="GQ184"/>
  <c r="GS184" s="1"/>
  <c r="CF184" s="1"/>
  <c r="AW181" i="45"/>
  <c r="GN185" i="43"/>
  <c r="GM185" s="1"/>
  <c r="BD181" i="45" l="1"/>
  <c r="AV181"/>
  <c r="CH184" i="43"/>
  <c r="HB185"/>
  <c r="HA185" s="1"/>
  <c r="GW185" s="1"/>
  <c r="DA184"/>
  <c r="AT181" i="45"/>
  <c r="AT184" i="43"/>
  <c r="GA184"/>
  <c r="GR184" s="1"/>
  <c r="GG185"/>
  <c r="GF185" s="1"/>
  <c r="GB185" s="1"/>
  <c r="GU185"/>
  <c r="GT185" s="1"/>
  <c r="GP185" s="1"/>
  <c r="AD184"/>
  <c r="GI185"/>
  <c r="AX181" i="45" l="1"/>
  <c r="BB181"/>
  <c r="DO184" i="43"/>
  <c r="DP184" s="1"/>
  <c r="GK184"/>
  <c r="AU181" i="45"/>
  <c r="AZ181" s="1"/>
  <c r="GD184" i="43"/>
  <c r="GY184"/>
  <c r="AE184"/>
  <c r="EV184" s="1"/>
  <c r="FZ185"/>
  <c r="T181" i="45" l="1"/>
  <c r="GX185" i="43"/>
  <c r="GZ185" s="1"/>
  <c r="CY185" s="1"/>
  <c r="GQ185"/>
  <c r="GS185" s="1"/>
  <c r="CF185" s="1"/>
  <c r="GC185"/>
  <c r="GJ185"/>
  <c r="GL185" s="1"/>
  <c r="BK185" s="1"/>
  <c r="BM185" l="1"/>
  <c r="CH185"/>
  <c r="AR181" i="45"/>
  <c r="HB186" i="43"/>
  <c r="HA186" s="1"/>
  <c r="GW186" s="1"/>
  <c r="DA185"/>
  <c r="AA181" i="45"/>
  <c r="AB181" s="1"/>
  <c r="AV182"/>
  <c r="GU186" i="43"/>
  <c r="GT186" s="1"/>
  <c r="GE185"/>
  <c r="AR185" s="1"/>
  <c r="GA185"/>
  <c r="GN186"/>
  <c r="GM186" s="1"/>
  <c r="AW182" i="45"/>
  <c r="AT185" i="43" l="1"/>
  <c r="AU182" i="45"/>
  <c r="AZ182" s="1"/>
  <c r="BD182"/>
  <c r="BB182"/>
  <c r="GG186" i="43"/>
  <c r="GF186" s="1"/>
  <c r="AT182" i="45"/>
  <c r="AD185" i="43"/>
  <c r="GI186"/>
  <c r="GR185"/>
  <c r="GK185"/>
  <c r="GD185"/>
  <c r="GY185"/>
  <c r="GP186"/>
  <c r="AX182" i="45" l="1"/>
  <c r="GB186" i="43"/>
  <c r="FZ186" s="1"/>
  <c r="GC186" s="1"/>
  <c r="DO185"/>
  <c r="DP185" s="1"/>
  <c r="AE185"/>
  <c r="EV185" s="1"/>
  <c r="T182" i="45" l="1"/>
  <c r="GX186" i="43"/>
  <c r="GZ186" s="1"/>
  <c r="CY186" s="1"/>
  <c r="GQ186"/>
  <c r="GS186" s="1"/>
  <c r="CF186" s="1"/>
  <c r="GJ186"/>
  <c r="GL186" s="1"/>
  <c r="BK186" s="1"/>
  <c r="GE186"/>
  <c r="AR186" s="1"/>
  <c r="GG187" l="1"/>
  <c r="GF187" s="1"/>
  <c r="GB187" s="1"/>
  <c r="GU187"/>
  <c r="GT187" s="1"/>
  <c r="GP187" s="1"/>
  <c r="GN187"/>
  <c r="GM187" s="1"/>
  <c r="GI187" s="1"/>
  <c r="AT186"/>
  <c r="AW183" i="45"/>
  <c r="BM186" i="43"/>
  <c r="HB187"/>
  <c r="HA187" s="1"/>
  <c r="GW187" s="1"/>
  <c r="DA186"/>
  <c r="AV183" i="45"/>
  <c r="CH186" i="43"/>
  <c r="AR182" i="45"/>
  <c r="AA182"/>
  <c r="AB182" s="1"/>
  <c r="GA186" i="43"/>
  <c r="GK186" s="1"/>
  <c r="AT183" i="45"/>
  <c r="AD186" i="43"/>
  <c r="FZ187" l="1"/>
  <c r="GX187" s="1"/>
  <c r="GZ187" s="1"/>
  <c r="CY187" s="1"/>
  <c r="AU183" i="45"/>
  <c r="AZ183" s="1"/>
  <c r="AX183"/>
  <c r="BB183"/>
  <c r="BD183"/>
  <c r="GD186" i="43"/>
  <c r="GR186"/>
  <c r="GY186"/>
  <c r="GQ187"/>
  <c r="GS187" s="1"/>
  <c r="CF187" s="1"/>
  <c r="AE186"/>
  <c r="EV186" s="1"/>
  <c r="DO186"/>
  <c r="DP186" s="1"/>
  <c r="GC187" l="1"/>
  <c r="GE187" s="1"/>
  <c r="AR187" s="1"/>
  <c r="GJ187"/>
  <c r="GL187" s="1"/>
  <c r="BK187" s="1"/>
  <c r="GN188" s="1"/>
  <c r="GM188" s="1"/>
  <c r="GI188" s="1"/>
  <c r="HB188"/>
  <c r="HA188" s="1"/>
  <c r="GW188" s="1"/>
  <c r="DA187"/>
  <c r="CH187"/>
  <c r="T183" i="45"/>
  <c r="GU188" i="43"/>
  <c r="GT188" s="1"/>
  <c r="AV184" i="45"/>
  <c r="AW184" l="1"/>
  <c r="BD184" s="1"/>
  <c r="BM187" i="43"/>
  <c r="GA187"/>
  <c r="GK187" s="1"/>
  <c r="AU184" i="45"/>
  <c r="AZ184" s="1"/>
  <c r="AD187" i="43"/>
  <c r="AT187"/>
  <c r="BB184" i="45"/>
  <c r="AR183"/>
  <c r="AA183"/>
  <c r="AB183" s="1"/>
  <c r="AT184"/>
  <c r="GG188" i="43"/>
  <c r="GF188" s="1"/>
  <c r="GP188"/>
  <c r="GR187" l="1"/>
  <c r="GD187"/>
  <c r="GY187"/>
  <c r="DO187"/>
  <c r="DP187" s="1"/>
  <c r="AE187"/>
  <c r="EV187" s="1"/>
  <c r="AX184" i="45"/>
  <c r="GB188" i="43"/>
  <c r="FZ188" s="1"/>
  <c r="T184" i="45" l="1"/>
  <c r="GJ188" i="43"/>
  <c r="GL188" s="1"/>
  <c r="BK188" s="1"/>
  <c r="GX188"/>
  <c r="GZ188" s="1"/>
  <c r="CY188" s="1"/>
  <c r="GQ188"/>
  <c r="GS188" s="1"/>
  <c r="CF188" s="1"/>
  <c r="GC188"/>
  <c r="AA184" i="45" l="1"/>
  <c r="AB184" s="1"/>
  <c r="AR184"/>
  <c r="BM188" i="43"/>
  <c r="CH188"/>
  <c r="HB189"/>
  <c r="HA189" s="1"/>
  <c r="GW189" s="1"/>
  <c r="DA188"/>
  <c r="AW185" i="45"/>
  <c r="GN189" i="43"/>
  <c r="GM189" s="1"/>
  <c r="AV185" i="45"/>
  <c r="GU189" i="43"/>
  <c r="GT189" s="1"/>
  <c r="GP189" s="1"/>
  <c r="GE188"/>
  <c r="AR188" s="1"/>
  <c r="GA188"/>
  <c r="AU185" i="45" l="1"/>
  <c r="AZ185" s="1"/>
  <c r="AT188" i="43"/>
  <c r="BD185" i="45"/>
  <c r="BB185"/>
  <c r="GI189" i="43"/>
  <c r="AT185" i="45"/>
  <c r="GG189" i="43"/>
  <c r="GF189" s="1"/>
  <c r="AD188"/>
  <c r="GY188"/>
  <c r="GK188"/>
  <c r="GR188"/>
  <c r="GD188"/>
  <c r="AX185" i="45" l="1"/>
  <c r="AE188" i="43"/>
  <c r="EV188" s="1"/>
  <c r="DO188"/>
  <c r="DP188" s="1"/>
  <c r="GB189"/>
  <c r="FZ189" s="1"/>
  <c r="T185" i="45" l="1"/>
  <c r="GQ189" i="43"/>
  <c r="GS189" s="1"/>
  <c r="CF189" s="1"/>
  <c r="GX189"/>
  <c r="GZ189" s="1"/>
  <c r="CY189" s="1"/>
  <c r="GJ189"/>
  <c r="GL189" s="1"/>
  <c r="BK189" s="1"/>
  <c r="GC189"/>
  <c r="CH189" l="1"/>
  <c r="BM189"/>
  <c r="HB190"/>
  <c r="HA190" s="1"/>
  <c r="GW190" s="1"/>
  <c r="DA189"/>
  <c r="AA185" i="45"/>
  <c r="AB185" s="1"/>
  <c r="AR185"/>
  <c r="GU190" i="43"/>
  <c r="GT190" s="1"/>
  <c r="AV186" i="45"/>
  <c r="AW186"/>
  <c r="GN190" i="43"/>
  <c r="GM190" s="1"/>
  <c r="GE189"/>
  <c r="AR189" s="1"/>
  <c r="GA189"/>
  <c r="AU186" i="45" l="1"/>
  <c r="AZ186" s="1"/>
  <c r="AT189" i="43"/>
  <c r="BD186" i="45"/>
  <c r="BB186"/>
  <c r="GP190" i="43"/>
  <c r="GI190"/>
  <c r="AT186" i="45"/>
  <c r="GG190" i="43"/>
  <c r="GF190" s="1"/>
  <c r="GB190" s="1"/>
  <c r="AD189"/>
  <c r="GY189"/>
  <c r="GK189"/>
  <c r="GD189"/>
  <c r="GR189"/>
  <c r="AX186" i="45" l="1"/>
  <c r="FZ190" i="43"/>
  <c r="GC190" s="1"/>
  <c r="AE189"/>
  <c r="EV189" s="1"/>
  <c r="DO189"/>
  <c r="DP189" s="1"/>
  <c r="T186" i="45" l="1"/>
  <c r="GQ190" i="43"/>
  <c r="GS190" s="1"/>
  <c r="CF190" s="1"/>
  <c r="GX190"/>
  <c r="GZ190" s="1"/>
  <c r="CY190" s="1"/>
  <c r="GJ190"/>
  <c r="GL190" s="1"/>
  <c r="BK190" s="1"/>
  <c r="GE190"/>
  <c r="AR190" s="1"/>
  <c r="AT190" l="1"/>
  <c r="GN191"/>
  <c r="GM191" s="1"/>
  <c r="GI191" s="1"/>
  <c r="BM190"/>
  <c r="GU191"/>
  <c r="GT191" s="1"/>
  <c r="GP191" s="1"/>
  <c r="CH190"/>
  <c r="HB191"/>
  <c r="HA191" s="1"/>
  <c r="GW191" s="1"/>
  <c r="DA190"/>
  <c r="AR186" i="45"/>
  <c r="AA186"/>
  <c r="AB186" s="1"/>
  <c r="AV187"/>
  <c r="AW187"/>
  <c r="GA190" i="43"/>
  <c r="GD190" s="1"/>
  <c r="AT187" i="45"/>
  <c r="GG191" i="43"/>
  <c r="GF191" s="1"/>
  <c r="AD190"/>
  <c r="AU187" i="45" l="1"/>
  <c r="AZ187" s="1"/>
  <c r="BB187"/>
  <c r="AX187"/>
  <c r="BD187"/>
  <c r="GY190" i="43"/>
  <c r="GK190"/>
  <c r="GR190"/>
  <c r="GB191"/>
  <c r="FZ191" s="1"/>
  <c r="GC191" s="1"/>
  <c r="DO190"/>
  <c r="DP190" s="1"/>
  <c r="AE190"/>
  <c r="EV190" s="1"/>
  <c r="T187" i="45" l="1"/>
  <c r="GQ191" i="43"/>
  <c r="GS191" s="1"/>
  <c r="CF191" s="1"/>
  <c r="GX191"/>
  <c r="GZ191" s="1"/>
  <c r="CY191" s="1"/>
  <c r="GJ191"/>
  <c r="GL191" s="1"/>
  <c r="BK191" s="1"/>
  <c r="GE191"/>
  <c r="AR191" s="1"/>
  <c r="BM191" l="1"/>
  <c r="AT191"/>
  <c r="CH191"/>
  <c r="HB192"/>
  <c r="HA192" s="1"/>
  <c r="GW192" s="1"/>
  <c r="DA191"/>
  <c r="AR187" i="45"/>
  <c r="AA187"/>
  <c r="AB187" s="1"/>
  <c r="AV188"/>
  <c r="GU192" i="43"/>
  <c r="GT192" s="1"/>
  <c r="GA191"/>
  <c r="AW188" i="45"/>
  <c r="GN192" i="43"/>
  <c r="GM192" s="1"/>
  <c r="GI192" s="1"/>
  <c r="AT188" i="45"/>
  <c r="GG192" i="43"/>
  <c r="GF192" s="1"/>
  <c r="AD191"/>
  <c r="AU188" i="45" l="1"/>
  <c r="AZ188" s="1"/>
  <c r="AX188"/>
  <c r="BD188"/>
  <c r="BB188"/>
  <c r="GB192" i="43"/>
  <c r="GP192"/>
  <c r="GR191"/>
  <c r="GD191"/>
  <c r="GK191"/>
  <c r="GY191"/>
  <c r="DO191"/>
  <c r="DP191" s="1"/>
  <c r="AE191"/>
  <c r="EV191" s="1"/>
  <c r="T188" i="45" l="1"/>
  <c r="FZ192" i="43"/>
  <c r="AR188" i="45" l="1"/>
  <c r="AA188"/>
  <c r="AB188" s="1"/>
  <c r="GJ192" i="43"/>
  <c r="GL192" s="1"/>
  <c r="BK192" s="1"/>
  <c r="GX192"/>
  <c r="GZ192" s="1"/>
  <c r="CY192" s="1"/>
  <c r="GQ192"/>
  <c r="GS192" s="1"/>
  <c r="CF192" s="1"/>
  <c r="GC192"/>
  <c r="CH192" l="1"/>
  <c r="BM192"/>
  <c r="HB193"/>
  <c r="HA193" s="1"/>
  <c r="GW193" s="1"/>
  <c r="DA192"/>
  <c r="GN193"/>
  <c r="GM193" s="1"/>
  <c r="AW189" i="45"/>
  <c r="GU193" i="43"/>
  <c r="GT193" s="1"/>
  <c r="GP193" s="1"/>
  <c r="AV189" i="45"/>
  <c r="GE192" i="43"/>
  <c r="AR192" s="1"/>
  <c r="GA192"/>
  <c r="AU189" i="45" l="1"/>
  <c r="AT192" i="43"/>
  <c r="BB189" i="45"/>
  <c r="BD189"/>
  <c r="AZ189"/>
  <c r="GI193" i="43"/>
  <c r="AT189" i="45"/>
  <c r="GG193" i="43"/>
  <c r="GF193" s="1"/>
  <c r="AD192"/>
  <c r="GR192"/>
  <c r="GD192"/>
  <c r="GY192"/>
  <c r="GK192"/>
  <c r="AX189" i="45" l="1"/>
  <c r="DO192" i="43"/>
  <c r="DP192" s="1"/>
  <c r="AE192"/>
  <c r="EV192" s="1"/>
  <c r="GB193"/>
  <c r="FZ193" s="1"/>
  <c r="T189" i="45" l="1"/>
  <c r="GQ193" i="43"/>
  <c r="GS193" s="1"/>
  <c r="CF193" s="1"/>
  <c r="GX193"/>
  <c r="GZ193" s="1"/>
  <c r="CY193" s="1"/>
  <c r="GJ193"/>
  <c r="GL193" s="1"/>
  <c r="BK193" s="1"/>
  <c r="GC193"/>
  <c r="CH193" l="1"/>
  <c r="BM193"/>
  <c r="HB194"/>
  <c r="HA194" s="1"/>
  <c r="GW194" s="1"/>
  <c r="DA193"/>
  <c r="AR189" i="45"/>
  <c r="AA189"/>
  <c r="AB189" s="1"/>
  <c r="AV190"/>
  <c r="GU194" i="43"/>
  <c r="GT194" s="1"/>
  <c r="GN194"/>
  <c r="GM194" s="1"/>
  <c r="AW190" i="45"/>
  <c r="GE193" i="43"/>
  <c r="AR193" s="1"/>
  <c r="GA193"/>
  <c r="AT193" l="1"/>
  <c r="AU190" i="45"/>
  <c r="AZ190" s="1"/>
  <c r="BD190"/>
  <c r="BB190"/>
  <c r="GI194" i="43"/>
  <c r="GP194"/>
  <c r="AT190" i="45"/>
  <c r="AD193" i="43"/>
  <c r="GG194"/>
  <c r="GF194" s="1"/>
  <c r="GD193"/>
  <c r="GY193"/>
  <c r="GK193"/>
  <c r="GR193"/>
  <c r="AE193" l="1"/>
  <c r="EV193" s="1"/>
  <c r="AX190" i="45"/>
  <c r="DO193" i="43"/>
  <c r="DP193" s="1"/>
  <c r="GB194"/>
  <c r="FZ194" s="1"/>
  <c r="T190" i="45" l="1"/>
  <c r="GX194" i="43"/>
  <c r="GZ194" s="1"/>
  <c r="CY194" s="1"/>
  <c r="GQ194"/>
  <c r="GS194" s="1"/>
  <c r="CF194" s="1"/>
  <c r="GJ194"/>
  <c r="GL194" s="1"/>
  <c r="BK194" s="1"/>
  <c r="GC194"/>
  <c r="CH194" l="1"/>
  <c r="BM194"/>
  <c r="HB195"/>
  <c r="HA195" s="1"/>
  <c r="GW195" s="1"/>
  <c r="DA194"/>
  <c r="AR190" i="45"/>
  <c r="AA190"/>
  <c r="AB190" s="1"/>
  <c r="GU195" i="43"/>
  <c r="GT195" s="1"/>
  <c r="AV191" i="45"/>
  <c r="GN195" i="43"/>
  <c r="GM195" s="1"/>
  <c r="AW191" i="45"/>
  <c r="GA194" i="43"/>
  <c r="GE194"/>
  <c r="AR194" s="1"/>
  <c r="AU191" i="45" l="1"/>
  <c r="AZ191" s="1"/>
  <c r="AT194" i="43"/>
  <c r="BD191" i="45"/>
  <c r="BB191"/>
  <c r="GI195" i="43"/>
  <c r="GR194"/>
  <c r="GY194"/>
  <c r="GK194"/>
  <c r="GD194"/>
  <c r="GP195"/>
  <c r="AT191" i="45"/>
  <c r="GG195" i="43"/>
  <c r="GF195" s="1"/>
  <c r="AD194"/>
  <c r="AX191" i="45" l="1"/>
  <c r="GB195" i="43"/>
  <c r="FZ195" s="1"/>
  <c r="GC195" s="1"/>
  <c r="DO194"/>
  <c r="DP194" s="1"/>
  <c r="AE194"/>
  <c r="EV194" s="1"/>
  <c r="T191" i="45" l="1"/>
  <c r="GE195" i="43"/>
  <c r="AR195" s="1"/>
  <c r="GX195"/>
  <c r="GZ195" s="1"/>
  <c r="CY195" s="1"/>
  <c r="GQ195"/>
  <c r="GS195" s="1"/>
  <c r="CF195" s="1"/>
  <c r="GJ195"/>
  <c r="GL195" s="1"/>
  <c r="BK195" s="1"/>
  <c r="BM195" l="1"/>
  <c r="AT195"/>
  <c r="CH195"/>
  <c r="HB196"/>
  <c r="HA196" s="1"/>
  <c r="GW196" s="1"/>
  <c r="DA195"/>
  <c r="AR191" i="45"/>
  <c r="AA191"/>
  <c r="AB191" s="1"/>
  <c r="AW192"/>
  <c r="GN196" i="43"/>
  <c r="GM196" s="1"/>
  <c r="AT192" i="45"/>
  <c r="GG196" i="43"/>
  <c r="GF196" s="1"/>
  <c r="AD195"/>
  <c r="GA195"/>
  <c r="AV192" i="45"/>
  <c r="GU196" i="43"/>
  <c r="GT196" s="1"/>
  <c r="GP196" s="1"/>
  <c r="AU192" i="45" l="1"/>
  <c r="AZ192" s="1"/>
  <c r="AX192"/>
  <c r="BD192"/>
  <c r="BB192"/>
  <c r="DO195" i="43"/>
  <c r="DP195" s="1"/>
  <c r="AE195"/>
  <c r="EV195" s="1"/>
  <c r="GD195"/>
  <c r="GK195"/>
  <c r="GR195"/>
  <c r="GY195"/>
  <c r="GI196"/>
  <c r="GB196"/>
  <c r="T192" i="45" l="1"/>
  <c r="FZ196" i="43"/>
  <c r="GC196" s="1"/>
  <c r="GE196" s="1"/>
  <c r="AR196" s="1"/>
  <c r="AT196" l="1"/>
  <c r="AR192" i="45"/>
  <c r="AA192"/>
  <c r="AB192" s="1"/>
  <c r="GQ196" i="43"/>
  <c r="GS196" s="1"/>
  <c r="CF196" s="1"/>
  <c r="GX196"/>
  <c r="GZ196" s="1"/>
  <c r="CY196" s="1"/>
  <c r="GJ196"/>
  <c r="GL196" s="1"/>
  <c r="BK196" s="1"/>
  <c r="AT193" i="45"/>
  <c r="GG197" i="43"/>
  <c r="GF197" s="1"/>
  <c r="GB197" s="1"/>
  <c r="AX193" i="45" l="1"/>
  <c r="AV193"/>
  <c r="CH196" i="43"/>
  <c r="HB197"/>
  <c r="HA197" s="1"/>
  <c r="GW197" s="1"/>
  <c r="DA196"/>
  <c r="AW193" i="45"/>
  <c r="BM196" i="43"/>
  <c r="GA196"/>
  <c r="GY196" s="1"/>
  <c r="AD196"/>
  <c r="GU197"/>
  <c r="GT197" s="1"/>
  <c r="GP197" s="1"/>
  <c r="GN197"/>
  <c r="GM197" s="1"/>
  <c r="GI197" s="1"/>
  <c r="DO196" l="1"/>
  <c r="DP196" s="1"/>
  <c r="AU193" i="45"/>
  <c r="AZ193" s="1"/>
  <c r="BD193"/>
  <c r="BB193"/>
  <c r="GR196" i="43"/>
  <c r="GD196"/>
  <c r="GK196"/>
  <c r="AE196"/>
  <c r="EV196" s="1"/>
  <c r="FZ197"/>
  <c r="GJ197" s="1"/>
  <c r="GL197" s="1"/>
  <c r="BK197" s="1"/>
  <c r="BM197" l="1"/>
  <c r="T193" i="45"/>
  <c r="GC197" i="43"/>
  <c r="GE197" s="1"/>
  <c r="AR197" s="1"/>
  <c r="GX197"/>
  <c r="GZ197" s="1"/>
  <c r="CY197" s="1"/>
  <c r="GQ197"/>
  <c r="GS197" s="1"/>
  <c r="CF197" s="1"/>
  <c r="GN198"/>
  <c r="GM198" s="1"/>
  <c r="GI198" s="1"/>
  <c r="AW194" i="45"/>
  <c r="AT197" i="43" l="1"/>
  <c r="BD194" i="45"/>
  <c r="AV194"/>
  <c r="CH197" i="43"/>
  <c r="HB198"/>
  <c r="HA198" s="1"/>
  <c r="GW198" s="1"/>
  <c r="DA197"/>
  <c r="AR193" i="45"/>
  <c r="AA193"/>
  <c r="AB193" s="1"/>
  <c r="GU198" i="43"/>
  <c r="GT198" s="1"/>
  <c r="GP198" s="1"/>
  <c r="GA197"/>
  <c r="GR197" s="1"/>
  <c r="GG198"/>
  <c r="GF198" s="1"/>
  <c r="AT194" i="45"/>
  <c r="AD197" i="43"/>
  <c r="AU194" i="45" l="1"/>
  <c r="AZ194" s="1"/>
  <c r="AX194"/>
  <c r="BB194"/>
  <c r="GK197" i="43"/>
  <c r="GY197"/>
  <c r="GD197"/>
  <c r="GB198"/>
  <c r="FZ198" s="1"/>
  <c r="GC198" s="1"/>
  <c r="AE197"/>
  <c r="EV197" s="1"/>
  <c r="DO197"/>
  <c r="DP197" s="1"/>
  <c r="T194" i="45" l="1"/>
  <c r="GJ198" i="43"/>
  <c r="GL198" s="1"/>
  <c r="BK198" s="1"/>
  <c r="GX198"/>
  <c r="GZ198" s="1"/>
  <c r="CY198" s="1"/>
  <c r="GQ198"/>
  <c r="GS198" s="1"/>
  <c r="CF198" s="1"/>
  <c r="GE198"/>
  <c r="AR198" s="1"/>
  <c r="CH198" l="1"/>
  <c r="AT198"/>
  <c r="BM198"/>
  <c r="HB199"/>
  <c r="HA199" s="1"/>
  <c r="GW199" s="1"/>
  <c r="DA198"/>
  <c r="AR194" i="45"/>
  <c r="AA194"/>
  <c r="AB194" s="1"/>
  <c r="AW195"/>
  <c r="GN199" i="43"/>
  <c r="GM199" s="1"/>
  <c r="GI199" s="1"/>
  <c r="GA198"/>
  <c r="AV195" i="45"/>
  <c r="GU199" i="43"/>
  <c r="GT199" s="1"/>
  <c r="GG199"/>
  <c r="GF199" s="1"/>
  <c r="AT195" i="45"/>
  <c r="AD198" i="43"/>
  <c r="BD195" i="45" l="1"/>
  <c r="AX195"/>
  <c r="BB195"/>
  <c r="AU195"/>
  <c r="AE198" i="43"/>
  <c r="EV198" s="1"/>
  <c r="DO198"/>
  <c r="DP198" s="1"/>
  <c r="GP199"/>
  <c r="GR198"/>
  <c r="GK198"/>
  <c r="GY198"/>
  <c r="GD198"/>
  <c r="GB199"/>
  <c r="AZ195" i="45" l="1"/>
  <c r="T195"/>
  <c r="FZ199" i="43"/>
  <c r="GC199" s="1"/>
  <c r="GE199" s="1"/>
  <c r="AR199" s="1"/>
  <c r="AR195" i="45" l="1"/>
  <c r="AT199" i="43"/>
  <c r="AA195" i="45"/>
  <c r="AB195" s="1"/>
  <c r="GQ199" i="43"/>
  <c r="GS199" s="1"/>
  <c r="CF199" s="1"/>
  <c r="GJ199"/>
  <c r="GL199" s="1"/>
  <c r="BK199" s="1"/>
  <c r="GX199"/>
  <c r="GZ199" s="1"/>
  <c r="CY199" s="1"/>
  <c r="GG200"/>
  <c r="GF200" s="1"/>
  <c r="AT196" i="45"/>
  <c r="AX196" l="1"/>
  <c r="AW196"/>
  <c r="BM199" i="43"/>
  <c r="HB200"/>
  <c r="HA200" s="1"/>
  <c r="GW200" s="1"/>
  <c r="DA199"/>
  <c r="AV196" i="45"/>
  <c r="CH199" i="43"/>
  <c r="GN200"/>
  <c r="GM200" s="1"/>
  <c r="GI200" s="1"/>
  <c r="GU200"/>
  <c r="GT200" s="1"/>
  <c r="GP200" s="1"/>
  <c r="AD199"/>
  <c r="GA199"/>
  <c r="GK199" s="1"/>
  <c r="GB200"/>
  <c r="BB196" i="45" l="1"/>
  <c r="BD196"/>
  <c r="DO199" i="43"/>
  <c r="DP199" s="1"/>
  <c r="AU196" i="45"/>
  <c r="GY199" i="43"/>
  <c r="GR199"/>
  <c r="GD199"/>
  <c r="AE199"/>
  <c r="EV199" s="1"/>
  <c r="FZ200"/>
  <c r="AZ196" i="45" l="1"/>
  <c r="T196"/>
  <c r="GX200" i="43"/>
  <c r="GZ200" s="1"/>
  <c r="CY200" s="1"/>
  <c r="GQ200"/>
  <c r="GS200" s="1"/>
  <c r="CF200" s="1"/>
  <c r="GC200"/>
  <c r="GJ200"/>
  <c r="GL200" s="1"/>
  <c r="BK200" s="1"/>
  <c r="CH200" l="1"/>
  <c r="BM200"/>
  <c r="AR196" i="45"/>
  <c r="HB201" i="43"/>
  <c r="HA201" s="1"/>
  <c r="GW201" s="1"/>
  <c r="DA200"/>
  <c r="AA196" i="45"/>
  <c r="AB196" s="1"/>
  <c r="AV197"/>
  <c r="GU201" i="43"/>
  <c r="GT201" s="1"/>
  <c r="GE200"/>
  <c r="AR200" s="1"/>
  <c r="GA200"/>
  <c r="AW197" i="45"/>
  <c r="GN201" i="43"/>
  <c r="GM201" s="1"/>
  <c r="GI201" s="1"/>
  <c r="AT200" l="1"/>
  <c r="AU197" i="45"/>
  <c r="AZ197" s="1"/>
  <c r="BD197"/>
  <c r="BB197"/>
  <c r="GG201" i="43"/>
  <c r="GF201" s="1"/>
  <c r="AT197" i="45"/>
  <c r="AD200" i="43"/>
  <c r="GK200"/>
  <c r="GD200"/>
  <c r="GR200"/>
  <c r="GY200"/>
  <c r="GP201"/>
  <c r="AX197" i="45" l="1"/>
  <c r="GB201" i="43"/>
  <c r="FZ201" s="1"/>
  <c r="GC201" s="1"/>
  <c r="AE200"/>
  <c r="EV200" s="1"/>
  <c r="DO200"/>
  <c r="DP200" s="1"/>
  <c r="T197" i="45" l="1"/>
  <c r="GJ201" i="43"/>
  <c r="GL201" s="1"/>
  <c r="BK201" s="1"/>
  <c r="GX201"/>
  <c r="GZ201" s="1"/>
  <c r="CY201" s="1"/>
  <c r="GQ201"/>
  <c r="GS201" s="1"/>
  <c r="CF201" s="1"/>
  <c r="GE201"/>
  <c r="AR201" s="1"/>
  <c r="CH201" l="1"/>
  <c r="AT201"/>
  <c r="BM201"/>
  <c r="HB202"/>
  <c r="HA202" s="1"/>
  <c r="GW202" s="1"/>
  <c r="DA201"/>
  <c r="AR197" i="45"/>
  <c r="AA197"/>
  <c r="AB197" s="1"/>
  <c r="AW198"/>
  <c r="GN202" i="43"/>
  <c r="GM202" s="1"/>
  <c r="GA201"/>
  <c r="AV198" i="45"/>
  <c r="GU202" i="43"/>
  <c r="GT202" s="1"/>
  <c r="GP202" s="1"/>
  <c r="GG202"/>
  <c r="GF202" s="1"/>
  <c r="AT198" i="45"/>
  <c r="AD201" i="43"/>
  <c r="AU198" i="45" l="1"/>
  <c r="AZ198" s="1"/>
  <c r="BD198"/>
  <c r="AX198"/>
  <c r="BB198"/>
  <c r="GI202" i="43"/>
  <c r="DO201"/>
  <c r="DP201" s="1"/>
  <c r="AE201"/>
  <c r="EV201" s="1"/>
  <c r="GK201"/>
  <c r="GR201"/>
  <c r="GY201"/>
  <c r="GD201"/>
  <c r="GB202"/>
  <c r="T198" i="45" l="1"/>
  <c r="X198" s="1"/>
  <c r="FZ202" i="43"/>
  <c r="GC202" s="1"/>
  <c r="GE202" s="1"/>
  <c r="AR202" s="1"/>
  <c r="AT202" l="1"/>
  <c r="AR198" i="45"/>
  <c r="AA198"/>
  <c r="AB198" s="1"/>
  <c r="GX202" i="43"/>
  <c r="GZ202" s="1"/>
  <c r="CY202" s="1"/>
  <c r="GJ202"/>
  <c r="GL202" s="1"/>
  <c r="BK202" s="1"/>
  <c r="GQ202"/>
  <c r="GS202" s="1"/>
  <c r="CF202" s="1"/>
  <c r="AT199" i="45"/>
  <c r="GG203" i="43"/>
  <c r="GF203" s="1"/>
  <c r="AX199" i="45" l="1"/>
  <c r="HB203" i="43"/>
  <c r="HA203" s="1"/>
  <c r="GW203" s="1"/>
  <c r="DA202"/>
  <c r="AW199" i="45"/>
  <c r="BM202" i="43"/>
  <c r="AV199" i="45"/>
  <c r="CH202" i="43"/>
  <c r="AD202"/>
  <c r="GU203"/>
  <c r="GT203" s="1"/>
  <c r="GP203" s="1"/>
  <c r="GN203"/>
  <c r="GM203" s="1"/>
  <c r="GI203" s="1"/>
  <c r="GA202"/>
  <c r="GY202" s="1"/>
  <c r="GB203"/>
  <c r="AU199" i="45" l="1"/>
  <c r="AZ199" s="1"/>
  <c r="DO202" i="43"/>
  <c r="DP202" s="1"/>
  <c r="BB199" i="45"/>
  <c r="BD199"/>
  <c r="GR202" i="43"/>
  <c r="AE202"/>
  <c r="EV202" s="1"/>
  <c r="GD202"/>
  <c r="GK202"/>
  <c r="FZ203"/>
  <c r="T199" i="45" l="1"/>
  <c r="X199" s="1"/>
  <c r="GJ203" i="43"/>
  <c r="GL203" s="1"/>
  <c r="BK203" s="1"/>
  <c r="GX203"/>
  <c r="GZ203" s="1"/>
  <c r="CY203" s="1"/>
  <c r="GC203"/>
  <c r="GQ203"/>
  <c r="GS203" s="1"/>
  <c r="CF203" s="1"/>
  <c r="BM203" l="1"/>
  <c r="CH203"/>
  <c r="HB204"/>
  <c r="HA204" s="1"/>
  <c r="GW204" s="1"/>
  <c r="DA203"/>
  <c r="AR199" i="45"/>
  <c r="AA199"/>
  <c r="AB199" s="1"/>
  <c r="GN204" i="43"/>
  <c r="GM204" s="1"/>
  <c r="AW200" i="45"/>
  <c r="GE203" i="43"/>
  <c r="AR203" s="1"/>
  <c r="GA203"/>
  <c r="AV200" i="45"/>
  <c r="GU204" i="43"/>
  <c r="GT204" s="1"/>
  <c r="GP204" s="1"/>
  <c r="AU200" i="45" l="1"/>
  <c r="AZ200" s="1"/>
  <c r="AT203" i="43"/>
  <c r="BB200" i="45"/>
  <c r="BD200"/>
  <c r="GG204" i="43"/>
  <c r="GF204" s="1"/>
  <c r="AT200" i="45"/>
  <c r="AD203" i="43"/>
  <c r="GI204"/>
  <c r="GD203"/>
  <c r="GY203"/>
  <c r="GR203"/>
  <c r="GK203"/>
  <c r="AX200" i="45" l="1"/>
  <c r="GB204" i="43"/>
  <c r="FZ204" s="1"/>
  <c r="GC204" s="1"/>
  <c r="DO203"/>
  <c r="DP203" s="1"/>
  <c r="AE203"/>
  <c r="EV203" l="1"/>
  <c r="EY203"/>
  <c r="T200" i="45"/>
  <c r="X200" s="1"/>
  <c r="GQ204" i="43"/>
  <c r="GS204" s="1"/>
  <c r="CF204" s="1"/>
  <c r="GX204"/>
  <c r="GZ204" s="1"/>
  <c r="CY204" s="1"/>
  <c r="GJ204"/>
  <c r="GL204" s="1"/>
  <c r="BK204" s="1"/>
  <c r="GE204"/>
  <c r="AR204" s="1"/>
  <c r="AT204" l="1"/>
  <c r="CH204"/>
  <c r="BM204"/>
  <c r="HB205"/>
  <c r="HA205" s="1"/>
  <c r="GW205" s="1"/>
  <c r="DA204"/>
  <c r="AR200" i="45"/>
  <c r="AA200"/>
  <c r="AB200" s="1"/>
  <c r="AV201"/>
  <c r="GU205" i="43"/>
  <c r="GT205" s="1"/>
  <c r="GA204"/>
  <c r="AW201" i="45"/>
  <c r="GN205" i="43"/>
  <c r="GM205" s="1"/>
  <c r="GG205"/>
  <c r="GF205" s="1"/>
  <c r="AT201" i="45"/>
  <c r="AX201" s="1"/>
  <c r="AD204" i="43"/>
  <c r="AU201" i="45" l="1"/>
  <c r="AZ201" s="1"/>
  <c r="BB201"/>
  <c r="BD201"/>
  <c r="DO204" i="43"/>
  <c r="DP204" s="1"/>
  <c r="AE204"/>
  <c r="GI205"/>
  <c r="GP205"/>
  <c r="GB205"/>
  <c r="GY204"/>
  <c r="GK204"/>
  <c r="GD204"/>
  <c r="GR204"/>
  <c r="EY204" l="1"/>
  <c r="EU204" s="1"/>
  <c r="EV204" s="1"/>
  <c r="T201" i="45"/>
  <c r="X201" s="1"/>
  <c r="W201" s="1"/>
  <c r="FZ205" i="43"/>
  <c r="GX205" s="1"/>
  <c r="GZ205" s="1"/>
  <c r="CY205" s="1"/>
  <c r="Z201" i="45" l="1"/>
  <c r="HB206" i="43"/>
  <c r="HA206" s="1"/>
  <c r="GW206" s="1"/>
  <c r="DA205"/>
  <c r="AR201" i="45"/>
  <c r="AB201"/>
  <c r="GJ205" i="43"/>
  <c r="GL205" s="1"/>
  <c r="BK205" s="1"/>
  <c r="GC205"/>
  <c r="GE205" s="1"/>
  <c r="AR205" s="1"/>
  <c r="GQ205"/>
  <c r="GS205" s="1"/>
  <c r="CF205" s="1"/>
  <c r="AT205" l="1"/>
  <c r="AU202" i="45"/>
  <c r="AZ202" s="1"/>
  <c r="CH205" i="43"/>
  <c r="GN206"/>
  <c r="GM206" s="1"/>
  <c r="GI206" s="1"/>
  <c r="BM205"/>
  <c r="GA205"/>
  <c r="GR205" s="1"/>
  <c r="AW202" i="45"/>
  <c r="AV202"/>
  <c r="GU206" i="43"/>
  <c r="GT206" s="1"/>
  <c r="GP206" s="1"/>
  <c r="GG206"/>
  <c r="GF206" s="1"/>
  <c r="AT202" i="45"/>
  <c r="AD205" i="43"/>
  <c r="AX202" i="45" l="1"/>
  <c r="BD202"/>
  <c r="BB202"/>
  <c r="GD205" i="43"/>
  <c r="GK205"/>
  <c r="GY205"/>
  <c r="GB206"/>
  <c r="FZ206" s="1"/>
  <c r="GC206" s="1"/>
  <c r="AE205"/>
  <c r="DO205"/>
  <c r="DP205" s="1"/>
  <c r="EY205" l="1"/>
  <c r="EU205" s="1"/>
  <c r="EV205" s="1"/>
  <c r="T202" i="45"/>
  <c r="GQ206" i="43"/>
  <c r="GS206" s="1"/>
  <c r="CF206" s="1"/>
  <c r="GX206"/>
  <c r="GZ206" s="1"/>
  <c r="CY206" s="1"/>
  <c r="GJ206"/>
  <c r="GL206" s="1"/>
  <c r="BK206" s="1"/>
  <c r="GE206"/>
  <c r="AR206" s="1"/>
  <c r="X202" i="45" l="1"/>
  <c r="W202" s="1"/>
  <c r="Z202" s="1"/>
  <c r="CH206" i="43"/>
  <c r="BM206"/>
  <c r="AT206"/>
  <c r="HB207"/>
  <c r="HA207" s="1"/>
  <c r="GW207" s="1"/>
  <c r="DA206"/>
  <c r="AR202" i="45"/>
  <c r="AB202"/>
  <c r="GU207" i="43"/>
  <c r="GT207" s="1"/>
  <c r="GP207" s="1"/>
  <c r="AV203" i="45"/>
  <c r="GA206" i="43"/>
  <c r="GN207"/>
  <c r="GM207" s="1"/>
  <c r="AW203" i="45"/>
  <c r="GG207" i="43"/>
  <c r="GF207" s="1"/>
  <c r="AT203" i="45"/>
  <c r="AD206" i="43"/>
  <c r="AU203" i="45" l="1"/>
  <c r="AZ203" s="1"/>
  <c r="AX203"/>
  <c r="BD203"/>
  <c r="BB203"/>
  <c r="GI207" i="43"/>
  <c r="GD206"/>
  <c r="GY206"/>
  <c r="GK206"/>
  <c r="GR206"/>
  <c r="AE206"/>
  <c r="DO206"/>
  <c r="DP206" s="1"/>
  <c r="GB207"/>
  <c r="EY206" l="1"/>
  <c r="EU206" s="1"/>
  <c r="EV206" s="1"/>
  <c r="T203" i="45"/>
  <c r="X203" s="1"/>
  <c r="W203" s="1"/>
  <c r="FZ207" i="43"/>
  <c r="GJ207" s="1"/>
  <c r="GL207" s="1"/>
  <c r="BK207" s="1"/>
  <c r="Z203" i="45" l="1"/>
  <c r="AW204"/>
  <c r="BM207" i="43"/>
  <c r="AR203" i="45"/>
  <c r="AB203"/>
  <c r="GN208" i="43"/>
  <c r="GM208" s="1"/>
  <c r="GI208" s="1"/>
  <c r="GQ207"/>
  <c r="GS207" s="1"/>
  <c r="CF207" s="1"/>
  <c r="GX207"/>
  <c r="GZ207" s="1"/>
  <c r="CY207" s="1"/>
  <c r="GC207"/>
  <c r="GE207" s="1"/>
  <c r="AR207" s="1"/>
  <c r="AT207" l="1"/>
  <c r="BD204" i="45"/>
  <c r="HB208" i="43"/>
  <c r="HA208" s="1"/>
  <c r="GW208" s="1"/>
  <c r="DA207"/>
  <c r="AV204" i="45"/>
  <c r="CH207" i="43"/>
  <c r="GU208"/>
  <c r="GT208" s="1"/>
  <c r="GP208" s="1"/>
  <c r="GA207"/>
  <c r="GR207" s="1"/>
  <c r="GG208"/>
  <c r="GF208" s="1"/>
  <c r="AT204" i="45"/>
  <c r="AD207" i="43"/>
  <c r="AU204" i="45" l="1"/>
  <c r="AZ204" s="1"/>
  <c r="BB204"/>
  <c r="AX204"/>
  <c r="GK207" i="43"/>
  <c r="GY207"/>
  <c r="GD207"/>
  <c r="GB208"/>
  <c r="FZ208" s="1"/>
  <c r="GC208" s="1"/>
  <c r="DO207"/>
  <c r="DP207" s="1"/>
  <c r="AE207"/>
  <c r="EY207" l="1"/>
  <c r="EU207" s="1"/>
  <c r="EV207" s="1"/>
  <c r="T204" i="45"/>
  <c r="X204" s="1"/>
  <c r="W204" s="1"/>
  <c r="GQ208" i="43"/>
  <c r="GS208" s="1"/>
  <c r="CF208" s="1"/>
  <c r="GX208"/>
  <c r="GZ208" s="1"/>
  <c r="CY208" s="1"/>
  <c r="GJ208"/>
  <c r="GL208" s="1"/>
  <c r="BK208" s="1"/>
  <c r="GE208"/>
  <c r="AR208" s="1"/>
  <c r="BM208" l="1"/>
  <c r="AT208"/>
  <c r="CH208"/>
  <c r="Z204" i="45"/>
  <c r="HB209" i="43"/>
  <c r="HA209" s="1"/>
  <c r="GW209" s="1"/>
  <c r="DA208"/>
  <c r="AR204" i="45"/>
  <c r="AA204"/>
  <c r="AB204" s="1"/>
  <c r="GU209" i="43"/>
  <c r="GT209" s="1"/>
  <c r="AV205" i="45"/>
  <c r="GA208" i="43"/>
  <c r="GN209"/>
  <c r="GM209" s="1"/>
  <c r="AW205" i="45"/>
  <c r="AT205"/>
  <c r="GG209" i="43"/>
  <c r="GF209" s="1"/>
  <c r="GB209" s="1"/>
  <c r="AD208"/>
  <c r="AU205" i="45" l="1"/>
  <c r="AZ205" s="1"/>
  <c r="AX205"/>
  <c r="BD205"/>
  <c r="BB205"/>
  <c r="GP209" i="43"/>
  <c r="GI209"/>
  <c r="DO208"/>
  <c r="DP208" s="1"/>
  <c r="AE208"/>
  <c r="GK208"/>
  <c r="GD208"/>
  <c r="GY208"/>
  <c r="GR208"/>
  <c r="EY208" l="1"/>
  <c r="EU208" s="1"/>
  <c r="EV208" s="1"/>
  <c r="T205" i="45"/>
  <c r="X205" s="1"/>
  <c r="FZ209" i="43"/>
  <c r="GQ209" s="1"/>
  <c r="GS209" s="1"/>
  <c r="CF209" s="1"/>
  <c r="W205" i="45" l="1"/>
  <c r="AA205" s="1"/>
  <c r="AV206"/>
  <c r="CH209" i="43"/>
  <c r="AR205" i="45"/>
  <c r="GC209" i="43"/>
  <c r="GE209" s="1"/>
  <c r="AR209" s="1"/>
  <c r="GU210"/>
  <c r="GT210" s="1"/>
  <c r="GP210" s="1"/>
  <c r="GJ209"/>
  <c r="GL209" s="1"/>
  <c r="BK209" s="1"/>
  <c r="GX209"/>
  <c r="GZ209" s="1"/>
  <c r="CY209" s="1"/>
  <c r="AB205" i="45" l="1"/>
  <c r="Z205"/>
  <c r="AT209" i="43"/>
  <c r="BB206" i="45"/>
  <c r="HB210" i="43"/>
  <c r="HA210" s="1"/>
  <c r="GW210" s="1"/>
  <c r="DA209"/>
  <c r="GN210"/>
  <c r="GM210" s="1"/>
  <c r="GI210" s="1"/>
  <c r="BM209"/>
  <c r="GA209"/>
  <c r="GY209" s="1"/>
  <c r="AW206" i="45"/>
  <c r="AT206"/>
  <c r="GG210" i="43"/>
  <c r="GF210" s="1"/>
  <c r="AD209"/>
  <c r="AU206" i="45" l="1"/>
  <c r="AZ206" s="1"/>
  <c r="AX206"/>
  <c r="BD206"/>
  <c r="GK209" i="43"/>
  <c r="GR209"/>
  <c r="GD209"/>
  <c r="DO209"/>
  <c r="DP209" s="1"/>
  <c r="AE209"/>
  <c r="GB210"/>
  <c r="FZ210" s="1"/>
  <c r="EY209" l="1"/>
  <c r="EU209" s="1"/>
  <c r="EV209" s="1"/>
  <c r="T206" i="45"/>
  <c r="GQ210" i="43"/>
  <c r="GS210" s="1"/>
  <c r="CF210" s="1"/>
  <c r="GX210"/>
  <c r="GZ210" s="1"/>
  <c r="CY210" s="1"/>
  <c r="GJ210"/>
  <c r="GL210" s="1"/>
  <c r="BK210" s="1"/>
  <c r="GC210"/>
  <c r="BM210" l="1"/>
  <c r="CH210"/>
  <c r="HB211"/>
  <c r="HA211" s="1"/>
  <c r="GW211" s="1"/>
  <c r="DA210"/>
  <c r="AR206" i="45"/>
  <c r="X206"/>
  <c r="W206" s="1"/>
  <c r="AA206" s="1"/>
  <c r="AV207"/>
  <c r="GU211" i="43"/>
  <c r="GT211" s="1"/>
  <c r="AW207" i="45"/>
  <c r="GN211" i="43"/>
  <c r="GM211" s="1"/>
  <c r="GE210"/>
  <c r="AR210" s="1"/>
  <c r="GA210"/>
  <c r="AT210" l="1"/>
  <c r="AU207" i="45"/>
  <c r="AZ207" s="1"/>
  <c r="BB207"/>
  <c r="BD207"/>
  <c r="AB206"/>
  <c r="Z206"/>
  <c r="GP211" i="43"/>
  <c r="AT207" i="45"/>
  <c r="GG211" i="43"/>
  <c r="GF211" s="1"/>
  <c r="AD210"/>
  <c r="GI211"/>
  <c r="GY210"/>
  <c r="GR210"/>
  <c r="GD210"/>
  <c r="GK210"/>
  <c r="AX207" i="45" l="1"/>
  <c r="AE210" i="43"/>
  <c r="DO210"/>
  <c r="DP210" s="1"/>
  <c r="GB211"/>
  <c r="FZ211" s="1"/>
  <c r="EY210" l="1"/>
  <c r="EU210" s="1"/>
  <c r="EV210" s="1"/>
  <c r="T207" i="45"/>
  <c r="GX211" i="43"/>
  <c r="GZ211" s="1"/>
  <c r="CY211" s="1"/>
  <c r="GJ211"/>
  <c r="GL211" s="1"/>
  <c r="BK211" s="1"/>
  <c r="GQ211"/>
  <c r="GS211" s="1"/>
  <c r="CF211" s="1"/>
  <c r="GC211"/>
  <c r="BM211" l="1"/>
  <c r="CH211"/>
  <c r="HB212"/>
  <c r="HA212" s="1"/>
  <c r="GW212" s="1"/>
  <c r="DA211"/>
  <c r="AR207" i="45"/>
  <c r="X207"/>
  <c r="W207" s="1"/>
  <c r="AA207" s="1"/>
  <c r="AW208"/>
  <c r="GN212" i="43"/>
  <c r="GM212" s="1"/>
  <c r="AV208" i="45"/>
  <c r="GU212" i="43"/>
  <c r="GT212" s="1"/>
  <c r="GE211"/>
  <c r="AR211" s="1"/>
  <c r="GA211"/>
  <c r="AT211" l="1"/>
  <c r="AU208" i="45"/>
  <c r="AZ208" s="1"/>
  <c r="BB208"/>
  <c r="BD208"/>
  <c r="AB207"/>
  <c r="Z207"/>
  <c r="GP212" i="43"/>
  <c r="GG212"/>
  <c r="GF212" s="1"/>
  <c r="AD211"/>
  <c r="AT208" i="45"/>
  <c r="GD211" i="43"/>
  <c r="GY211"/>
  <c r="GK211"/>
  <c r="GR211"/>
  <c r="GI212"/>
  <c r="AX208" i="45" l="1"/>
  <c r="GB212" i="43"/>
  <c r="FZ212" s="1"/>
  <c r="GC212" s="1"/>
  <c r="AE211"/>
  <c r="DO211"/>
  <c r="DP211" s="1"/>
  <c r="EY211" l="1"/>
  <c r="EU211" s="1"/>
  <c r="EV211" s="1"/>
  <c r="T208" i="45"/>
  <c r="GX212" i="43"/>
  <c r="GZ212" s="1"/>
  <c r="CY212" s="1"/>
  <c r="GQ212"/>
  <c r="GS212" s="1"/>
  <c r="CF212" s="1"/>
  <c r="GJ212"/>
  <c r="GL212" s="1"/>
  <c r="BK212" s="1"/>
  <c r="GE212"/>
  <c r="AR212" s="1"/>
  <c r="AT212" l="1"/>
  <c r="CH212"/>
  <c r="BM212"/>
  <c r="HB213"/>
  <c r="HA213" s="1"/>
  <c r="GW213" s="1"/>
  <c r="DA212"/>
  <c r="AR208" i="45"/>
  <c r="X208"/>
  <c r="W208" s="1"/>
  <c r="AA208" s="1"/>
  <c r="AD212" i="43"/>
  <c r="GG213"/>
  <c r="GF213" s="1"/>
  <c r="AT209" i="45"/>
  <c r="GU213" i="43"/>
  <c r="GT213" s="1"/>
  <c r="AV209" i="45"/>
  <c r="AW209"/>
  <c r="GN213" i="43"/>
  <c r="GM213" s="1"/>
  <c r="GA212"/>
  <c r="AU209" i="45" l="1"/>
  <c r="AZ209" s="1"/>
  <c r="BD209"/>
  <c r="BB209"/>
  <c r="AX209"/>
  <c r="AB208"/>
  <c r="Z208"/>
  <c r="GI213" i="43"/>
  <c r="GK212"/>
  <c r="GR212"/>
  <c r="GD212"/>
  <c r="GY212"/>
  <c r="GP213"/>
  <c r="DO212"/>
  <c r="DP212" s="1"/>
  <c r="AE212"/>
  <c r="GB213"/>
  <c r="EY212" l="1"/>
  <c r="EU212" s="1"/>
  <c r="EV212" s="1"/>
  <c r="T209" i="45"/>
  <c r="FZ213" i="43"/>
  <c r="GX213" s="1"/>
  <c r="GZ213" s="1"/>
  <c r="CY213" s="1"/>
  <c r="HB214" l="1"/>
  <c r="HA214" s="1"/>
  <c r="GW214" s="1"/>
  <c r="DA213"/>
  <c r="AR209" i="45"/>
  <c r="X209"/>
  <c r="W209" s="1"/>
  <c r="AA209" s="1"/>
  <c r="GJ213" i="43"/>
  <c r="GL213" s="1"/>
  <c r="BK213" s="1"/>
  <c r="GQ213"/>
  <c r="GS213" s="1"/>
  <c r="CF213" s="1"/>
  <c r="GC213"/>
  <c r="GE213" s="1"/>
  <c r="AR213" s="1"/>
  <c r="AU210" i="45" l="1"/>
  <c r="AZ210" s="1"/>
  <c r="AT213" i="43"/>
  <c r="AW210" i="45"/>
  <c r="BM213" i="43"/>
  <c r="AB209" i="45"/>
  <c r="GU214" i="43"/>
  <c r="GT214" s="1"/>
  <c r="GP214" s="1"/>
  <c r="CH213"/>
  <c r="Z209" i="45"/>
  <c r="GN214" i="43"/>
  <c r="GM214" s="1"/>
  <c r="GI214" s="1"/>
  <c r="GA213"/>
  <c r="GD213" s="1"/>
  <c r="AV210" i="45"/>
  <c r="AD213" i="43"/>
  <c r="AT210" i="45"/>
  <c r="GG214" i="43"/>
  <c r="GF214" s="1"/>
  <c r="AX210" i="45" l="1"/>
  <c r="BB210"/>
  <c r="BD210"/>
  <c r="GY213" i="43"/>
  <c r="GK213"/>
  <c r="GR213"/>
  <c r="DO213"/>
  <c r="DP213" s="1"/>
  <c r="AE213"/>
  <c r="GB214"/>
  <c r="FZ214" s="1"/>
  <c r="EY213" l="1"/>
  <c r="EU213" s="1"/>
  <c r="EV213" s="1"/>
  <c r="T210" i="45"/>
  <c r="GX214" i="43"/>
  <c r="GZ214" s="1"/>
  <c r="CY214" s="1"/>
  <c r="GJ214"/>
  <c r="GL214" s="1"/>
  <c r="BK214" s="1"/>
  <c r="GQ214"/>
  <c r="GS214" s="1"/>
  <c r="CF214" s="1"/>
  <c r="GC214"/>
  <c r="CH214" l="1"/>
  <c r="BM214"/>
  <c r="HB215"/>
  <c r="HA215" s="1"/>
  <c r="GW215" s="1"/>
  <c r="DA214"/>
  <c r="AR210" i="45"/>
  <c r="X210"/>
  <c r="W210" s="1"/>
  <c r="AA210" s="1"/>
  <c r="GN215" i="43"/>
  <c r="GM215" s="1"/>
  <c r="AW211" i="45"/>
  <c r="GU215" i="43"/>
  <c r="GT215" s="1"/>
  <c r="AV211" i="45"/>
  <c r="GE214" i="43"/>
  <c r="AR214" s="1"/>
  <c r="GA214"/>
  <c r="AT214" l="1"/>
  <c r="AU211" i="45"/>
  <c r="AZ211" s="1"/>
  <c r="BB211"/>
  <c r="BD211"/>
  <c r="AB210"/>
  <c r="Z210"/>
  <c r="GG215" i="43"/>
  <c r="GF215" s="1"/>
  <c r="AT211" i="45"/>
  <c r="AD214" i="43"/>
  <c r="GI215"/>
  <c r="GK214"/>
  <c r="GD214"/>
  <c r="GY214"/>
  <c r="GR214"/>
  <c r="GP215"/>
  <c r="AX211" i="45" l="1"/>
  <c r="GB215" i="43"/>
  <c r="FZ215" s="1"/>
  <c r="GC215" s="1"/>
  <c r="DO214"/>
  <c r="DP214" s="1"/>
  <c r="AE214"/>
  <c r="EY214" l="1"/>
  <c r="EU214" s="1"/>
  <c r="EV214" s="1"/>
  <c r="T211" i="45"/>
  <c r="GX215" i="43"/>
  <c r="GZ215" s="1"/>
  <c r="CY215" s="1"/>
  <c r="GQ215"/>
  <c r="GS215" s="1"/>
  <c r="CF215" s="1"/>
  <c r="GJ215"/>
  <c r="GL215" s="1"/>
  <c r="BK215" s="1"/>
  <c r="GE215"/>
  <c r="AR215" s="1"/>
  <c r="AT215" l="1"/>
  <c r="CH215"/>
  <c r="BM215"/>
  <c r="HB216"/>
  <c r="HA216" s="1"/>
  <c r="GW216" s="1"/>
  <c r="DA215"/>
  <c r="AR211" i="45"/>
  <c r="X211"/>
  <c r="W211" s="1"/>
  <c r="AA211" s="1"/>
  <c r="GA215" i="43"/>
  <c r="GY215" s="1"/>
  <c r="GU216"/>
  <c r="GT216" s="1"/>
  <c r="AV212" i="45"/>
  <c r="AW212"/>
  <c r="GN216" i="43"/>
  <c r="GM216" s="1"/>
  <c r="GI216" s="1"/>
  <c r="AT212" i="45"/>
  <c r="GG216" i="43"/>
  <c r="GF216" s="1"/>
  <c r="AD215"/>
  <c r="AB211" i="45" l="1"/>
  <c r="AU212"/>
  <c r="AZ212" s="1"/>
  <c r="GD215" i="43"/>
  <c r="AX212" i="45"/>
  <c r="BD212"/>
  <c r="BB212"/>
  <c r="Z211"/>
  <c r="GK215" i="43"/>
  <c r="GR215"/>
  <c r="DO215"/>
  <c r="DP215" s="1"/>
  <c r="AE215"/>
  <c r="GP216"/>
  <c r="GB216"/>
  <c r="EY215" l="1"/>
  <c r="EU215" s="1"/>
  <c r="EV215" s="1"/>
  <c r="T212" i="45"/>
  <c r="FZ216" i="43"/>
  <c r="GC216" s="1"/>
  <c r="GE216" s="1"/>
  <c r="AR216" s="1"/>
  <c r="AT216" l="1"/>
  <c r="AR212" i="45"/>
  <c r="X212"/>
  <c r="W212" s="1"/>
  <c r="AA212" s="1"/>
  <c r="GQ216" i="43"/>
  <c r="GS216" s="1"/>
  <c r="CF216" s="1"/>
  <c r="GJ216"/>
  <c r="GL216" s="1"/>
  <c r="BK216" s="1"/>
  <c r="GX216"/>
  <c r="GZ216" s="1"/>
  <c r="CY216" s="1"/>
  <c r="AT213" i="45"/>
  <c r="GG217" i="43"/>
  <c r="GF217" s="1"/>
  <c r="AX213" i="45" l="1"/>
  <c r="AV213"/>
  <c r="CH216" i="43"/>
  <c r="AW213" i="45"/>
  <c r="BM216" i="43"/>
  <c r="HB217"/>
  <c r="HA217" s="1"/>
  <c r="GW217" s="1"/>
  <c r="DA216"/>
  <c r="AB212" i="45"/>
  <c r="Z212"/>
  <c r="AD216" i="43"/>
  <c r="GN217"/>
  <c r="GM217" s="1"/>
  <c r="GI217" s="1"/>
  <c r="GU217"/>
  <c r="GT217" s="1"/>
  <c r="GP217" s="1"/>
  <c r="GA216"/>
  <c r="GD216" s="1"/>
  <c r="GB217"/>
  <c r="AU213" i="45" l="1"/>
  <c r="AE216" i="43"/>
  <c r="BD213" i="45"/>
  <c r="BB213"/>
  <c r="GR216" i="43"/>
  <c r="GK216"/>
  <c r="DO216"/>
  <c r="DP216" s="1"/>
  <c r="GY216"/>
  <c r="FZ217"/>
  <c r="T213" i="45" l="1"/>
  <c r="X213" s="1"/>
  <c r="W213" s="1"/>
  <c r="AA213" s="1"/>
  <c r="EY216" i="43"/>
  <c r="EU216" s="1"/>
  <c r="EV216" s="1"/>
  <c r="AZ213" i="45"/>
  <c r="GX217" i="43"/>
  <c r="GZ217" s="1"/>
  <c r="CY217" s="1"/>
  <c r="GQ217"/>
  <c r="GS217" s="1"/>
  <c r="CF217" s="1"/>
  <c r="GC217"/>
  <c r="GJ217"/>
  <c r="GL217" s="1"/>
  <c r="BK217" s="1"/>
  <c r="AR213" i="45" l="1"/>
  <c r="BM217" i="43"/>
  <c r="CH217"/>
  <c r="HB218"/>
  <c r="HA218" s="1"/>
  <c r="GW218" s="1"/>
  <c r="DA217"/>
  <c r="Z213" i="45"/>
  <c r="AB213"/>
  <c r="GU218" i="43"/>
  <c r="GT218" s="1"/>
  <c r="GP218" s="1"/>
  <c r="AV214" i="45"/>
  <c r="GE217" i="43"/>
  <c r="AR217" s="1"/>
  <c r="GA217"/>
  <c r="AW214" i="45"/>
  <c r="GN218" i="43"/>
  <c r="GM218" s="1"/>
  <c r="AU214" i="45" l="1"/>
  <c r="AZ214" s="1"/>
  <c r="AT217" i="43"/>
  <c r="BD214" i="45"/>
  <c r="BB214"/>
  <c r="GI218" i="43"/>
  <c r="GG218"/>
  <c r="GF218" s="1"/>
  <c r="AT214" i="45"/>
  <c r="AD217" i="43"/>
  <c r="GY217"/>
  <c r="GK217"/>
  <c r="GD217"/>
  <c r="GR217"/>
  <c r="AX214" i="45" l="1"/>
  <c r="AE217" i="43"/>
  <c r="DO217"/>
  <c r="DP217" s="1"/>
  <c r="GB218"/>
  <c r="FZ218" s="1"/>
  <c r="GC218" s="1"/>
  <c r="EY217" l="1"/>
  <c r="EU217" s="1"/>
  <c r="EV217" s="1"/>
  <c r="T214" i="45"/>
  <c r="GQ218" i="43"/>
  <c r="GS218" s="1"/>
  <c r="CF218" s="1"/>
  <c r="GX218"/>
  <c r="GZ218" s="1"/>
  <c r="CY218" s="1"/>
  <c r="GJ218"/>
  <c r="GL218" s="1"/>
  <c r="BK218" s="1"/>
  <c r="GE218"/>
  <c r="AR218" s="1"/>
  <c r="CH218" l="1"/>
  <c r="BM218"/>
  <c r="AT218"/>
  <c r="HB219"/>
  <c r="HA219" s="1"/>
  <c r="GW219" s="1"/>
  <c r="DA218"/>
  <c r="AR214" i="45"/>
  <c r="X214"/>
  <c r="W214" s="1"/>
  <c r="AA214" s="1"/>
  <c r="GU219" i="43"/>
  <c r="GT219" s="1"/>
  <c r="AV215" i="45"/>
  <c r="GA218" i="43"/>
  <c r="AW215" i="45"/>
  <c r="GN219" i="43"/>
  <c r="GM219" s="1"/>
  <c r="AT215" i="45"/>
  <c r="GG219" i="43"/>
  <c r="GF219" s="1"/>
  <c r="AD218"/>
  <c r="BD215" i="45" l="1"/>
  <c r="AX215"/>
  <c r="BB215"/>
  <c r="AU215"/>
  <c r="AB214"/>
  <c r="Z214"/>
  <c r="GP219" i="43"/>
  <c r="GI219"/>
  <c r="DO218"/>
  <c r="DP218" s="1"/>
  <c r="AE218"/>
  <c r="GY218"/>
  <c r="GR218"/>
  <c r="GD218"/>
  <c r="GK218"/>
  <c r="GB219"/>
  <c r="EY218" l="1"/>
  <c r="EU218" s="1"/>
  <c r="EV218" s="1"/>
  <c r="AZ215" i="45"/>
  <c r="T215"/>
  <c r="X215" s="1"/>
  <c r="FZ219" i="43"/>
  <c r="GX219" s="1"/>
  <c r="GZ219" s="1"/>
  <c r="CY219" s="1"/>
  <c r="AR215" i="45" l="1"/>
  <c r="HB220" i="43"/>
  <c r="HA220" s="1"/>
  <c r="GW220" s="1"/>
  <c r="DA219"/>
  <c r="W215" i="45"/>
  <c r="AA215" s="1"/>
  <c r="GQ219" i="43"/>
  <c r="GS219" s="1"/>
  <c r="CF219" s="1"/>
  <c r="GC219"/>
  <c r="GE219" s="1"/>
  <c r="AR219" s="1"/>
  <c r="GJ219"/>
  <c r="GL219" s="1"/>
  <c r="BK219" s="1"/>
  <c r="AT219" l="1"/>
  <c r="AU216" i="45"/>
  <c r="AV216"/>
  <c r="CH219" i="43"/>
  <c r="GN220"/>
  <c r="GM220" s="1"/>
  <c r="GI220" s="1"/>
  <c r="BM219"/>
  <c r="Z215" i="45"/>
  <c r="AB215"/>
  <c r="GU220" i="43"/>
  <c r="GT220" s="1"/>
  <c r="GP220" s="1"/>
  <c r="GA219"/>
  <c r="GK219" s="1"/>
  <c r="AW216" i="45"/>
  <c r="AT216"/>
  <c r="GG220" i="43"/>
  <c r="GF220" s="1"/>
  <c r="AD219"/>
  <c r="BB216" i="45" l="1"/>
  <c r="BD216"/>
  <c r="AX216"/>
  <c r="AZ216"/>
  <c r="GR219" i="43"/>
  <c r="GD219"/>
  <c r="GY219"/>
  <c r="GB220"/>
  <c r="FZ220" s="1"/>
  <c r="GC220" s="1"/>
  <c r="AE219"/>
  <c r="DO219"/>
  <c r="DP219" s="1"/>
  <c r="EY219" l="1"/>
  <c r="EU219" s="1"/>
  <c r="EV219" s="1"/>
  <c r="T216" i="45"/>
  <c r="GQ220" i="43"/>
  <c r="GS220" s="1"/>
  <c r="CF220" s="1"/>
  <c r="GX220"/>
  <c r="GZ220" s="1"/>
  <c r="CY220" s="1"/>
  <c r="GJ220"/>
  <c r="GL220" s="1"/>
  <c r="BK220" s="1"/>
  <c r="GE220"/>
  <c r="AR220" s="1"/>
  <c r="BM220" l="1"/>
  <c r="AT220"/>
  <c r="CH220"/>
  <c r="X216" i="45"/>
  <c r="W216" s="1"/>
  <c r="Z216" s="1"/>
  <c r="AR216"/>
  <c r="HB221" i="43"/>
  <c r="HA221" s="1"/>
  <c r="GW221" s="1"/>
  <c r="DA220"/>
  <c r="AV217" i="45"/>
  <c r="GU221" i="43"/>
  <c r="GT221" s="1"/>
  <c r="GA220"/>
  <c r="GN221"/>
  <c r="GM221" s="1"/>
  <c r="AW217" i="45"/>
  <c r="GG221" i="43"/>
  <c r="GF221" s="1"/>
  <c r="AT217" i="45"/>
  <c r="AD220" i="43"/>
  <c r="AU217" i="45" l="1"/>
  <c r="AZ217" s="1"/>
  <c r="AA216"/>
  <c r="AB216" s="1"/>
  <c r="AX217"/>
  <c r="BD217"/>
  <c r="BB217"/>
  <c r="GI221" i="43"/>
  <c r="AE220"/>
  <c r="DO220"/>
  <c r="DP220" s="1"/>
  <c r="GP221"/>
  <c r="GB221"/>
  <c r="GK220"/>
  <c r="GR220"/>
  <c r="GD220"/>
  <c r="GY220"/>
  <c r="EY220" l="1"/>
  <c r="EU220" s="1"/>
  <c r="EV220" s="1"/>
  <c r="T217" i="45"/>
  <c r="FZ221" i="43"/>
  <c r="GX221" s="1"/>
  <c r="GZ221" s="1"/>
  <c r="CY221" s="1"/>
  <c r="HB222" l="1"/>
  <c r="HA222" s="1"/>
  <c r="GW222" s="1"/>
  <c r="DA221"/>
  <c r="X217" i="45"/>
  <c r="W217" s="1"/>
  <c r="AR217"/>
  <c r="GC221" i="43"/>
  <c r="GE221" s="1"/>
  <c r="AR221" s="1"/>
  <c r="GQ221"/>
  <c r="GS221" s="1"/>
  <c r="CF221" s="1"/>
  <c r="GJ221"/>
  <c r="GL221" s="1"/>
  <c r="BK221" s="1"/>
  <c r="AU218" i="45" l="1"/>
  <c r="AT221" i="43"/>
  <c r="GN222"/>
  <c r="GM222" s="1"/>
  <c r="GI222" s="1"/>
  <c r="BM221"/>
  <c r="Z217" i="45"/>
  <c r="GU222" i="43"/>
  <c r="GT222" s="1"/>
  <c r="GP222" s="1"/>
  <c r="CH221"/>
  <c r="AA217" i="45"/>
  <c r="AB217" s="1"/>
  <c r="AV218"/>
  <c r="AW218"/>
  <c r="GA221" i="43"/>
  <c r="GK221" s="1"/>
  <c r="AT218" i="45"/>
  <c r="GG222" i="43"/>
  <c r="GF222" s="1"/>
  <c r="GB222" s="1"/>
  <c r="AD221"/>
  <c r="AZ218" i="45" l="1"/>
  <c r="BB218"/>
  <c r="AX218"/>
  <c r="BD218"/>
  <c r="GR221" i="43"/>
  <c r="GD221"/>
  <c r="GY221"/>
  <c r="DO221"/>
  <c r="DP221" s="1"/>
  <c r="AE221"/>
  <c r="FZ222"/>
  <c r="EY221" l="1"/>
  <c r="EU221" s="1"/>
  <c r="EV221" s="1"/>
  <c r="T218" i="45"/>
  <c r="X218" s="1"/>
  <c r="W218" s="1"/>
  <c r="GC222" i="43"/>
  <c r="GX222"/>
  <c r="GZ222" s="1"/>
  <c r="CY222" s="1"/>
  <c r="GQ222"/>
  <c r="GS222" s="1"/>
  <c r="CF222" s="1"/>
  <c r="GJ222"/>
  <c r="GL222" s="1"/>
  <c r="BK222" s="1"/>
  <c r="Z218" i="45" l="1"/>
  <c r="CH222" i="43"/>
  <c r="BM222"/>
  <c r="HB223"/>
  <c r="HA223" s="1"/>
  <c r="GW223" s="1"/>
  <c r="DA222"/>
  <c r="AR218" i="45"/>
  <c r="AA218"/>
  <c r="AB218" s="1"/>
  <c r="GE222" i="43"/>
  <c r="AR222" s="1"/>
  <c r="GA222"/>
  <c r="GU223"/>
  <c r="GT223" s="1"/>
  <c r="AV219" i="45"/>
  <c r="GN223" i="43"/>
  <c r="GM223" s="1"/>
  <c r="AW219" i="45"/>
  <c r="AT222" i="43" l="1"/>
  <c r="AU219" i="45"/>
  <c r="AZ219" s="1"/>
  <c r="BD219"/>
  <c r="BB219"/>
  <c r="GP223" i="43"/>
  <c r="AT219" i="45"/>
  <c r="GG223" i="43"/>
  <c r="GF223" s="1"/>
  <c r="AD222"/>
  <c r="GD222"/>
  <c r="GR222"/>
  <c r="GY222"/>
  <c r="GK222"/>
  <c r="GI223"/>
  <c r="AX219" i="45" l="1"/>
  <c r="DO222" i="43"/>
  <c r="DP222" s="1"/>
  <c r="AE222"/>
  <c r="EV222" s="1"/>
  <c r="GB223"/>
  <c r="FZ223" s="1"/>
  <c r="GC223" s="1"/>
  <c r="T219" i="45" l="1"/>
  <c r="GE223" i="43"/>
  <c r="AR223" s="1"/>
  <c r="GX223"/>
  <c r="GZ223" s="1"/>
  <c r="CY223" s="1"/>
  <c r="GQ223"/>
  <c r="GS223" s="1"/>
  <c r="CF223" s="1"/>
  <c r="GJ223"/>
  <c r="GL223" s="1"/>
  <c r="BK223" s="1"/>
  <c r="Z219" i="45" l="1"/>
  <c r="BM223" i="43"/>
  <c r="AT223"/>
  <c r="CH223"/>
  <c r="HB224"/>
  <c r="HA224" s="1"/>
  <c r="GW224" s="1"/>
  <c r="DA223"/>
  <c r="AR219" i="45"/>
  <c r="AA219"/>
  <c r="AB219" s="1"/>
  <c r="AW220"/>
  <c r="GN224" i="43"/>
  <c r="GM224" s="1"/>
  <c r="AT220" i="45"/>
  <c r="GG224" i="43"/>
  <c r="GF224" s="1"/>
  <c r="AD223"/>
  <c r="GA223"/>
  <c r="AV220" i="45"/>
  <c r="GU224" i="43"/>
  <c r="GT224" s="1"/>
  <c r="GP224" s="1"/>
  <c r="AU220" i="45" l="1"/>
  <c r="AX220"/>
  <c r="BD220"/>
  <c r="BB220"/>
  <c r="AE223" i="43"/>
  <c r="EV223" s="1"/>
  <c r="DO223"/>
  <c r="DP223" s="1"/>
  <c r="GI224"/>
  <c r="GY223"/>
  <c r="GD223"/>
  <c r="GK223"/>
  <c r="GR223"/>
  <c r="GB224"/>
  <c r="AZ220" i="45" l="1"/>
  <c r="T220"/>
  <c r="FZ224" i="43"/>
  <c r="GQ224" s="1"/>
  <c r="GS224" s="1"/>
  <c r="CF224" s="1"/>
  <c r="Z220" i="45" l="1"/>
  <c r="CH224" i="43"/>
  <c r="AR220" i="45"/>
  <c r="AA220"/>
  <c r="AB220" s="1"/>
  <c r="GJ224" i="43"/>
  <c r="GL224" s="1"/>
  <c r="BK224" s="1"/>
  <c r="GC224"/>
  <c r="GE224" s="1"/>
  <c r="AR224" s="1"/>
  <c r="GX224"/>
  <c r="GZ224" s="1"/>
  <c r="CY224" s="1"/>
  <c r="AV221" i="45"/>
  <c r="GU225" i="43"/>
  <c r="GT225" s="1"/>
  <c r="AT224" l="1"/>
  <c r="BB221" i="45"/>
  <c r="GN225" i="43"/>
  <c r="GM225" s="1"/>
  <c r="GI225" s="1"/>
  <c r="BM224"/>
  <c r="HB225"/>
  <c r="HA225" s="1"/>
  <c r="GW225" s="1"/>
  <c r="DA224"/>
  <c r="GA224"/>
  <c r="GY224" s="1"/>
  <c r="AW221" i="45"/>
  <c r="GP225" i="43"/>
  <c r="GG225"/>
  <c r="GF225" s="1"/>
  <c r="AT221" i="45"/>
  <c r="AD224" i="43"/>
  <c r="AU221" i="45" l="1"/>
  <c r="AZ221" s="1"/>
  <c r="BD221"/>
  <c r="AX221"/>
  <c r="GD224" i="43"/>
  <c r="GR224"/>
  <c r="GK224"/>
  <c r="GB225"/>
  <c r="FZ225" s="1"/>
  <c r="GC225" s="1"/>
  <c r="AE224"/>
  <c r="EV224" s="1"/>
  <c r="DO224"/>
  <c r="DP224" s="1"/>
  <c r="T221" i="45" l="1"/>
  <c r="GX225" i="43"/>
  <c r="GZ225" s="1"/>
  <c r="CY225" s="1"/>
  <c r="GJ225"/>
  <c r="GL225" s="1"/>
  <c r="BK225" s="1"/>
  <c r="GQ225"/>
  <c r="GS225" s="1"/>
  <c r="CF225" s="1"/>
  <c r="GE225"/>
  <c r="AR225" s="1"/>
  <c r="Z221" i="45" l="1"/>
  <c r="CH225" i="43"/>
  <c r="AT225"/>
  <c r="BM225"/>
  <c r="HB226"/>
  <c r="HA226" s="1"/>
  <c r="GW226" s="1"/>
  <c r="DA225"/>
  <c r="AR221" i="45"/>
  <c r="AA221"/>
  <c r="AB221" s="1"/>
  <c r="GA225" i="43"/>
  <c r="GY225" s="1"/>
  <c r="GN226"/>
  <c r="GM226" s="1"/>
  <c r="AW222" i="45"/>
  <c r="GU226" i="43"/>
  <c r="GT226" s="1"/>
  <c r="GP226" s="1"/>
  <c r="AV222" i="45"/>
  <c r="AT222"/>
  <c r="GG226" i="43"/>
  <c r="GF226" s="1"/>
  <c r="AD225"/>
  <c r="AU222" i="45" l="1"/>
  <c r="AX222"/>
  <c r="BB222"/>
  <c r="BD222"/>
  <c r="AZ222"/>
  <c r="GD225" i="43"/>
  <c r="GK225"/>
  <c r="GR225"/>
  <c r="DO225"/>
  <c r="DP225" s="1"/>
  <c r="AE225"/>
  <c r="EV225" s="1"/>
  <c r="GI226"/>
  <c r="GB226"/>
  <c r="T222" i="45" l="1"/>
  <c r="FZ226" i="43"/>
  <c r="GC226" s="1"/>
  <c r="Z222" i="45" l="1"/>
  <c r="AR222"/>
  <c r="AA222"/>
  <c r="AB222" s="1"/>
  <c r="GQ226" i="43"/>
  <c r="GS226" s="1"/>
  <c r="CF226" s="1"/>
  <c r="GX226"/>
  <c r="GZ226" s="1"/>
  <c r="CY226" s="1"/>
  <c r="GJ226"/>
  <c r="GL226" s="1"/>
  <c r="BK226" s="1"/>
  <c r="GE226"/>
  <c r="AR226" s="1"/>
  <c r="AT226" l="1"/>
  <c r="AV223" i="45"/>
  <c r="CH226" i="43"/>
  <c r="AW223" i="45"/>
  <c r="BM226" i="43"/>
  <c r="HB227"/>
  <c r="HA227" s="1"/>
  <c r="GW227" s="1"/>
  <c r="DA226"/>
  <c r="GN227"/>
  <c r="GM227" s="1"/>
  <c r="GI227" s="1"/>
  <c r="GU227"/>
  <c r="GT227" s="1"/>
  <c r="GP227" s="1"/>
  <c r="GA226"/>
  <c r="GD226" s="1"/>
  <c r="AT223" i="45"/>
  <c r="GG227" i="43"/>
  <c r="GF227" s="1"/>
  <c r="AD226"/>
  <c r="AU223" i="45" l="1"/>
  <c r="AZ223" s="1"/>
  <c r="BD223"/>
  <c r="BB223"/>
  <c r="AX223"/>
  <c r="GK226" i="43"/>
  <c r="GY226"/>
  <c r="GR226"/>
  <c r="GB227"/>
  <c r="FZ227" s="1"/>
  <c r="GC227" s="1"/>
  <c r="AE226"/>
  <c r="EV226" s="1"/>
  <c r="DO226"/>
  <c r="DP226" s="1"/>
  <c r="T223" i="45" l="1"/>
  <c r="GJ227" i="43"/>
  <c r="GL227" s="1"/>
  <c r="BK227" s="1"/>
  <c r="GX227"/>
  <c r="GZ227" s="1"/>
  <c r="CY227" s="1"/>
  <c r="GQ227"/>
  <c r="GS227" s="1"/>
  <c r="CF227" s="1"/>
  <c r="GE227"/>
  <c r="AR227" s="1"/>
  <c r="Z223" i="45" l="1"/>
  <c r="CH227" i="43"/>
  <c r="AT227"/>
  <c r="BM227"/>
  <c r="HB228"/>
  <c r="HA228" s="1"/>
  <c r="GW228" s="1"/>
  <c r="DA227"/>
  <c r="AR223" i="45"/>
  <c r="AA223"/>
  <c r="AB223" s="1"/>
  <c r="AW224"/>
  <c r="GN228" i="43"/>
  <c r="GM228" s="1"/>
  <c r="GI228" s="1"/>
  <c r="GA227"/>
  <c r="GU228"/>
  <c r="GT228" s="1"/>
  <c r="AV224" i="45"/>
  <c r="GG228" i="43"/>
  <c r="GF228" s="1"/>
  <c r="AT224" i="45"/>
  <c r="AD227" i="43"/>
  <c r="Z224" i="45" l="1"/>
  <c r="AU224"/>
  <c r="AZ224" s="1"/>
  <c r="BD224"/>
  <c r="AX224"/>
  <c r="BB224"/>
  <c r="GP228" i="43"/>
  <c r="GY227"/>
  <c r="GK227"/>
  <c r="GR227"/>
  <c r="GD227"/>
  <c r="AE227"/>
  <c r="EV227" s="1"/>
  <c r="DO227"/>
  <c r="DP227" s="1"/>
  <c r="GB228"/>
  <c r="Z225" i="45" l="1"/>
  <c r="T224"/>
  <c r="FZ228" i="43"/>
  <c r="GC228" s="1"/>
  <c r="GE228" s="1"/>
  <c r="AR228" s="1"/>
  <c r="Z226" i="45" l="1"/>
  <c r="AT228" i="43"/>
  <c r="AR224" i="45"/>
  <c r="AA224"/>
  <c r="AB224" s="1"/>
  <c r="GQ228" i="43"/>
  <c r="GS228" s="1"/>
  <c r="CF228" s="1"/>
  <c r="GJ228"/>
  <c r="GL228" s="1"/>
  <c r="BK228" s="1"/>
  <c r="GX228"/>
  <c r="GZ228" s="1"/>
  <c r="CY228" s="1"/>
  <c r="AT225" i="45"/>
  <c r="GG229" i="43"/>
  <c r="GF229" s="1"/>
  <c r="Z227" i="45" l="1"/>
  <c r="AX225"/>
  <c r="AV225"/>
  <c r="CH228" i="43"/>
  <c r="AW225" i="45"/>
  <c r="BM228" i="43"/>
  <c r="HB229"/>
  <c r="HA229" s="1"/>
  <c r="GW229" s="1"/>
  <c r="DA228"/>
  <c r="GN229"/>
  <c r="GM229" s="1"/>
  <c r="GI229" s="1"/>
  <c r="GU229"/>
  <c r="GT229" s="1"/>
  <c r="GP229" s="1"/>
  <c r="AD228"/>
  <c r="GA228"/>
  <c r="GY228" s="1"/>
  <c r="GB229"/>
  <c r="Z228" i="45" l="1"/>
  <c r="AE228" i="43"/>
  <c r="AU225" i="45"/>
  <c r="AZ225" s="1"/>
  <c r="BD225"/>
  <c r="BB225"/>
  <c r="DO228" i="43"/>
  <c r="DP228" s="1"/>
  <c r="GK228"/>
  <c r="GR228"/>
  <c r="GD228"/>
  <c r="FZ229"/>
  <c r="T225" i="45" l="1"/>
  <c r="AR225" s="1"/>
  <c r="EV228" i="43"/>
  <c r="Z229" i="45"/>
  <c r="GJ229" i="43"/>
  <c r="GL229" s="1"/>
  <c r="BK229" s="1"/>
  <c r="GX229"/>
  <c r="GZ229" s="1"/>
  <c r="CY229" s="1"/>
  <c r="GC229"/>
  <c r="GQ229"/>
  <c r="GS229" s="1"/>
  <c r="CF229" s="1"/>
  <c r="AA225" i="45" l="1"/>
  <c r="AB225" s="1"/>
  <c r="Z230"/>
  <c r="BM229" i="43"/>
  <c r="CH229"/>
  <c r="HB230"/>
  <c r="HA230" s="1"/>
  <c r="GW230" s="1"/>
  <c r="DA229"/>
  <c r="AW226" i="45"/>
  <c r="GN230" i="43"/>
  <c r="GM230" s="1"/>
  <c r="GE229"/>
  <c r="AR229" s="1"/>
  <c r="GA229"/>
  <c r="AV226" i="45"/>
  <c r="GU230" i="43"/>
  <c r="GT230" s="1"/>
  <c r="Z231" i="45" l="1"/>
  <c r="AT229" i="43"/>
  <c r="AU226" i="45"/>
  <c r="AZ226" s="1"/>
  <c r="BB226"/>
  <c r="BD226"/>
  <c r="AT226"/>
  <c r="GG230" i="43"/>
  <c r="GF230" s="1"/>
  <c r="AD229"/>
  <c r="GI230"/>
  <c r="GY229"/>
  <c r="GK229"/>
  <c r="GR229"/>
  <c r="GD229"/>
  <c r="GP230"/>
  <c r="W233" i="45" l="1"/>
  <c r="Z232"/>
  <c r="AX226"/>
  <c r="GB230" i="43"/>
  <c r="FZ230" s="1"/>
  <c r="GC230" s="1"/>
  <c r="AE229"/>
  <c r="EV229" s="1"/>
  <c r="DO229"/>
  <c r="DP229" s="1"/>
  <c r="W234" i="45" l="1"/>
  <c r="Z233"/>
  <c r="T226"/>
  <c r="GX230" i="43"/>
  <c r="GZ230" s="1"/>
  <c r="CY230" s="1"/>
  <c r="GQ230"/>
  <c r="GS230" s="1"/>
  <c r="CF230" s="1"/>
  <c r="GJ230"/>
  <c r="GL230" s="1"/>
  <c r="BK230" s="1"/>
  <c r="GE230"/>
  <c r="AR230" s="1"/>
  <c r="Z234" i="45" l="1"/>
  <c r="W235"/>
  <c r="AT230" i="43"/>
  <c r="CH230"/>
  <c r="BM230"/>
  <c r="HB231"/>
  <c r="HA231" s="1"/>
  <c r="GW231" s="1"/>
  <c r="DA230"/>
  <c r="AR226" i="45"/>
  <c r="AA226"/>
  <c r="AB226" s="1"/>
  <c r="AD230" i="43"/>
  <c r="AT227" i="45"/>
  <c r="GG231" i="43"/>
  <c r="GF231" s="1"/>
  <c r="AW227" i="45"/>
  <c r="GN231" i="43"/>
  <c r="GM231" s="1"/>
  <c r="AV227" i="45"/>
  <c r="GU231" i="43"/>
  <c r="GT231" s="1"/>
  <c r="GA230"/>
  <c r="W236" i="45" l="1"/>
  <c r="Z235"/>
  <c r="AU227"/>
  <c r="AZ227" s="1"/>
  <c r="BB227"/>
  <c r="BD227"/>
  <c r="AX227"/>
  <c r="GP231" i="43"/>
  <c r="GB231"/>
  <c r="GR230"/>
  <c r="GD230"/>
  <c r="GY230"/>
  <c r="GK230"/>
  <c r="GI231"/>
  <c r="AE230"/>
  <c r="EV230" s="1"/>
  <c r="DO230"/>
  <c r="DP230" s="1"/>
  <c r="W237" i="45" l="1"/>
  <c r="Z236"/>
  <c r="T227"/>
  <c r="FZ231" i="43"/>
  <c r="GX231" s="1"/>
  <c r="GZ231" s="1"/>
  <c r="CY231" s="1"/>
  <c r="W238" i="45" l="1"/>
  <c r="Z237"/>
  <c r="HB232" i="43"/>
  <c r="HA232" s="1"/>
  <c r="GW232" s="1"/>
  <c r="DA231"/>
  <c r="AR227" i="45"/>
  <c r="AA227"/>
  <c r="AB227" s="1"/>
  <c r="GC231" i="43"/>
  <c r="GE231" s="1"/>
  <c r="AR231" s="1"/>
  <c r="GJ231"/>
  <c r="GL231" s="1"/>
  <c r="BK231" s="1"/>
  <c r="GQ231"/>
  <c r="GS231" s="1"/>
  <c r="CF231" s="1"/>
  <c r="W239" i="45" l="1"/>
  <c r="Z238"/>
  <c r="AT231" i="43"/>
  <c r="AU228" i="45"/>
  <c r="AZ228" s="1"/>
  <c r="AV228"/>
  <c r="CH231" i="43"/>
  <c r="AW228" i="45"/>
  <c r="BM231" i="43"/>
  <c r="GU232"/>
  <c r="GT232" s="1"/>
  <c r="GP232" s="1"/>
  <c r="GN232"/>
  <c r="GM232" s="1"/>
  <c r="GI232" s="1"/>
  <c r="GA231"/>
  <c r="GD231" s="1"/>
  <c r="AD231"/>
  <c r="AT228" i="45"/>
  <c r="GG232" i="43"/>
  <c r="GF232" s="1"/>
  <c r="W240" i="45" l="1"/>
  <c r="Z239"/>
  <c r="AX228"/>
  <c r="BD228"/>
  <c r="BB228"/>
  <c r="GK231" i="43"/>
  <c r="GY231"/>
  <c r="GR231"/>
  <c r="AE231"/>
  <c r="EV231" s="1"/>
  <c r="DO231"/>
  <c r="DP231" s="1"/>
  <c r="GB232"/>
  <c r="FZ232" s="1"/>
  <c r="W241" i="45" l="1"/>
  <c r="Z240"/>
  <c r="T228"/>
  <c r="GX232" i="43"/>
  <c r="GZ232" s="1"/>
  <c r="CY232" s="1"/>
  <c r="GJ232"/>
  <c r="GL232" s="1"/>
  <c r="BK232" s="1"/>
  <c r="GQ232"/>
  <c r="GS232" s="1"/>
  <c r="CF232" s="1"/>
  <c r="GC232"/>
  <c r="W242" i="45" l="1"/>
  <c r="Z241"/>
  <c r="BM232" i="43"/>
  <c r="CH232"/>
  <c r="HB233"/>
  <c r="HA233" s="1"/>
  <c r="GW233" s="1"/>
  <c r="DA232"/>
  <c r="AR228" i="45"/>
  <c r="AA228"/>
  <c r="AB228" s="1"/>
  <c r="AW229"/>
  <c r="GN233" i="43"/>
  <c r="GM233" s="1"/>
  <c r="AV229" i="45"/>
  <c r="GU233" i="43"/>
  <c r="GT233" s="1"/>
  <c r="GE232"/>
  <c r="AR232" s="1"/>
  <c r="GA232"/>
  <c r="W243" i="45" l="1"/>
  <c r="Z242"/>
  <c r="BB229"/>
  <c r="BD229"/>
  <c r="AU229"/>
  <c r="AT232" i="43"/>
  <c r="GP233"/>
  <c r="AD232"/>
  <c r="AT229" i="45"/>
  <c r="GG233" i="43"/>
  <c r="GF233" s="1"/>
  <c r="GK232"/>
  <c r="GR232"/>
  <c r="GD232"/>
  <c r="GY232"/>
  <c r="GI233"/>
  <c r="W244" i="45" l="1"/>
  <c r="Z243"/>
  <c r="AX229"/>
  <c r="AZ229"/>
  <c r="GB233" i="43"/>
  <c r="FZ233" s="1"/>
  <c r="GC233" s="1"/>
  <c r="DO232"/>
  <c r="DP232" s="1"/>
  <c r="AE232"/>
  <c r="EV232" s="1"/>
  <c r="W245" i="45" l="1"/>
  <c r="Z244"/>
  <c r="T229"/>
  <c r="GX233" i="43"/>
  <c r="GZ233" s="1"/>
  <c r="CY233" s="1"/>
  <c r="GJ233"/>
  <c r="GL233" s="1"/>
  <c r="BK233" s="1"/>
  <c r="GQ233"/>
  <c r="GS233" s="1"/>
  <c r="CF233" s="1"/>
  <c r="GE233"/>
  <c r="AR233" s="1"/>
  <c r="W246" i="45" l="1"/>
  <c r="Z245"/>
  <c r="AR229"/>
  <c r="AT233" i="43"/>
  <c r="BM233"/>
  <c r="CH233"/>
  <c r="HB234"/>
  <c r="HA234" s="1"/>
  <c r="GW234" s="1"/>
  <c r="DA233"/>
  <c r="AA229" i="45"/>
  <c r="AB229" s="1"/>
  <c r="AW230"/>
  <c r="GN234" i="43"/>
  <c r="GM234" s="1"/>
  <c r="AV230" i="45"/>
  <c r="GU234" i="43"/>
  <c r="GT234" s="1"/>
  <c r="AT230" i="45"/>
  <c r="GG234" i="43"/>
  <c r="GF234" s="1"/>
  <c r="AD233"/>
  <c r="GA233"/>
  <c r="W247" i="45" l="1"/>
  <c r="Z246"/>
  <c r="AX230"/>
  <c r="BD230"/>
  <c r="BB230"/>
  <c r="AY384"/>
  <c r="AU230"/>
  <c r="DO233" i="43"/>
  <c r="DP233" s="1"/>
  <c r="AE233"/>
  <c r="EV233" s="1"/>
  <c r="GR233"/>
  <c r="GD233"/>
  <c r="GY233"/>
  <c r="GK233"/>
  <c r="GP234"/>
  <c r="GB234"/>
  <c r="GI234"/>
  <c r="W248" i="45" l="1"/>
  <c r="Z247"/>
  <c r="AZ230"/>
  <c r="T230"/>
  <c r="FZ234" i="43"/>
  <c r="GQ234" s="1"/>
  <c r="GS234" s="1"/>
  <c r="CF234" s="1"/>
  <c r="W249" i="45" l="1"/>
  <c r="Z248"/>
  <c r="CH234" i="43"/>
  <c r="AR230" i="45"/>
  <c r="AA230"/>
  <c r="AB230" s="1"/>
  <c r="GX234" i="43"/>
  <c r="GZ234" s="1"/>
  <c r="CY234" s="1"/>
  <c r="GC234"/>
  <c r="GE234" s="1"/>
  <c r="AR234" s="1"/>
  <c r="GJ234"/>
  <c r="GL234" s="1"/>
  <c r="BK234" s="1"/>
  <c r="AV231" i="45"/>
  <c r="GU235" i="43"/>
  <c r="GT235" s="1"/>
  <c r="W250" i="45" l="1"/>
  <c r="W251" s="1"/>
  <c r="Z249"/>
  <c r="BB231"/>
  <c r="GN235" i="43"/>
  <c r="GM235" s="1"/>
  <c r="GI235" s="1"/>
  <c r="BM234"/>
  <c r="HB235"/>
  <c r="HA235" s="1"/>
  <c r="GW235" s="1"/>
  <c r="DA234"/>
  <c r="GG235"/>
  <c r="GF235" s="1"/>
  <c r="GB235" s="1"/>
  <c r="AT234"/>
  <c r="AT231" i="45"/>
  <c r="AW231"/>
  <c r="AD234" i="43"/>
  <c r="GA234"/>
  <c r="GK234" s="1"/>
  <c r="GP235"/>
  <c r="Z250" i="45" l="1"/>
  <c r="AU231"/>
  <c r="AZ231" s="1"/>
  <c r="AE234" i="43"/>
  <c r="EV234" s="1"/>
  <c r="AX231" i="45"/>
  <c r="BD231"/>
  <c r="GY234" i="43"/>
  <c r="GR234"/>
  <c r="GD234"/>
  <c r="DO234"/>
  <c r="DP234" s="1"/>
  <c r="FZ235"/>
  <c r="GX235" s="1"/>
  <c r="GZ235" s="1"/>
  <c r="CY235" s="1"/>
  <c r="Z251" i="45" l="1"/>
  <c r="W252"/>
  <c r="T231"/>
  <c r="AA231" s="1"/>
  <c r="AB231" s="1"/>
  <c r="HB236" i="43"/>
  <c r="HA236" s="1"/>
  <c r="GW236" s="1"/>
  <c r="DA235"/>
  <c r="GQ235"/>
  <c r="GS235" s="1"/>
  <c r="CF235" s="1"/>
  <c r="GC235"/>
  <c r="GJ235"/>
  <c r="GL235" s="1"/>
  <c r="BK235" s="1"/>
  <c r="W253" i="45" l="1"/>
  <c r="Z252"/>
  <c r="AR231"/>
  <c r="AU232"/>
  <c r="AZ232" s="1"/>
  <c r="BM235" i="43"/>
  <c r="AV232" i="45"/>
  <c r="CH235" i="43"/>
  <c r="GU236"/>
  <c r="GT236" s="1"/>
  <c r="GP236" s="1"/>
  <c r="GA235"/>
  <c r="GR235" s="1"/>
  <c r="GE235"/>
  <c r="AR235" s="1"/>
  <c r="AW232" i="45"/>
  <c r="GN236" i="43"/>
  <c r="GM236" s="1"/>
  <c r="GI236" s="1"/>
  <c r="W254" i="45" l="1"/>
  <c r="Z253"/>
  <c r="BD232"/>
  <c r="BB232"/>
  <c r="GG236" i="43"/>
  <c r="GF236" s="1"/>
  <c r="GB236" s="1"/>
  <c r="FZ236" s="1"/>
  <c r="GC236" s="1"/>
  <c r="AT235"/>
  <c r="GK235"/>
  <c r="GD235"/>
  <c r="AD235"/>
  <c r="GY235"/>
  <c r="AT232" i="45"/>
  <c r="W255" l="1"/>
  <c r="Z254"/>
  <c r="DO235" i="43"/>
  <c r="DP235" s="1"/>
  <c r="AX232" i="45"/>
  <c r="AE235" i="43"/>
  <c r="GX236"/>
  <c r="GZ236" s="1"/>
  <c r="CY236" s="1"/>
  <c r="GJ236"/>
  <c r="GL236" s="1"/>
  <c r="BK236" s="1"/>
  <c r="GQ236"/>
  <c r="GS236" s="1"/>
  <c r="CF236" s="1"/>
  <c r="GE236"/>
  <c r="AR236" s="1"/>
  <c r="EV235" l="1"/>
  <c r="EY235"/>
  <c r="W256" i="45"/>
  <c r="Z255"/>
  <c r="BM236" i="43"/>
  <c r="CH236"/>
  <c r="AT236"/>
  <c r="HB237"/>
  <c r="HA237" s="1"/>
  <c r="GW237" s="1"/>
  <c r="DA236"/>
  <c r="T232" i="45"/>
  <c r="GA236" i="43"/>
  <c r="GK236" s="1"/>
  <c r="AW233" i="45"/>
  <c r="GN237" i="43"/>
  <c r="GM237" s="1"/>
  <c r="AV233" i="45"/>
  <c r="GU237" i="43"/>
  <c r="GT237" s="1"/>
  <c r="GG237"/>
  <c r="GF237" s="1"/>
  <c r="GB237" s="1"/>
  <c r="AT233" i="45"/>
  <c r="AD236" i="43"/>
  <c r="W257" i="45" l="1"/>
  <c r="Z256"/>
  <c r="AU233"/>
  <c r="AZ233" s="1"/>
  <c r="BB233"/>
  <c r="BD233"/>
  <c r="AX233"/>
  <c r="AR232"/>
  <c r="AA232"/>
  <c r="AB232" s="1"/>
  <c r="GY236" i="43"/>
  <c r="GR236"/>
  <c r="GD236"/>
  <c r="DO236"/>
  <c r="DP236" s="1"/>
  <c r="AE236"/>
  <c r="GP237"/>
  <c r="GI237"/>
  <c r="EV236" l="1"/>
  <c r="EY236"/>
  <c r="W258" i="45"/>
  <c r="Z257"/>
  <c r="T233"/>
  <c r="FZ237" i="43"/>
  <c r="GJ237" s="1"/>
  <c r="GL237" s="1"/>
  <c r="BK237" s="1"/>
  <c r="W259" i="45" l="1"/>
  <c r="Z258"/>
  <c r="BM237" i="43"/>
  <c r="AR233" i="45"/>
  <c r="AA233"/>
  <c r="AB233" s="1"/>
  <c r="GC237" i="43"/>
  <c r="GE237" s="1"/>
  <c r="AR237" s="1"/>
  <c r="GX237"/>
  <c r="GZ237" s="1"/>
  <c r="CY237" s="1"/>
  <c r="GQ237"/>
  <c r="GS237" s="1"/>
  <c r="CF237" s="1"/>
  <c r="AW234" i="45"/>
  <c r="GN238" i="43"/>
  <c r="GM238" s="1"/>
  <c r="GI238" s="1"/>
  <c r="W260" i="45" l="1"/>
  <c r="W261" s="1"/>
  <c r="W262" s="1"/>
  <c r="W263" s="1"/>
  <c r="Z259"/>
  <c r="AT237" i="43"/>
  <c r="BD234" i="45"/>
  <c r="HB238" i="43"/>
  <c r="HA238" s="1"/>
  <c r="GW238" s="1"/>
  <c r="DA237"/>
  <c r="AV234" i="45"/>
  <c r="CH237" i="43"/>
  <c r="GU238"/>
  <c r="GT238" s="1"/>
  <c r="GP238" s="1"/>
  <c r="GA237"/>
  <c r="GY237" s="1"/>
  <c r="AT234" i="45"/>
  <c r="GG238" i="43"/>
  <c r="GF238" s="1"/>
  <c r="AD237"/>
  <c r="Z263" i="45" l="1"/>
  <c r="W264"/>
  <c r="Z260"/>
  <c r="AU234"/>
  <c r="AZ234" s="1"/>
  <c r="AX234"/>
  <c r="BB234"/>
  <c r="GK237" i="43"/>
  <c r="GR237"/>
  <c r="GD237"/>
  <c r="GB238"/>
  <c r="FZ238" s="1"/>
  <c r="GC238" s="1"/>
  <c r="DO237"/>
  <c r="DP237" s="1"/>
  <c r="AE237"/>
  <c r="EV237" l="1"/>
  <c r="EY237"/>
  <c r="Z264" i="45"/>
  <c r="W265"/>
  <c r="Z261"/>
  <c r="Z262"/>
  <c r="T234"/>
  <c r="GJ238" i="43"/>
  <c r="GL238" s="1"/>
  <c r="BK238" s="1"/>
  <c r="GX238"/>
  <c r="GZ238" s="1"/>
  <c r="CY238" s="1"/>
  <c r="GQ238"/>
  <c r="GS238" s="1"/>
  <c r="CF238" s="1"/>
  <c r="GE238"/>
  <c r="AR238" s="1"/>
  <c r="Z265" i="45" l="1"/>
  <c r="W266"/>
  <c r="BM238" i="43"/>
  <c r="CH238"/>
  <c r="AT238"/>
  <c r="HB239"/>
  <c r="HA239" s="1"/>
  <c r="GW239" s="1"/>
  <c r="DA238"/>
  <c r="AR234" i="45"/>
  <c r="AA234"/>
  <c r="AB234" s="1"/>
  <c r="GN239" i="43"/>
  <c r="GM239" s="1"/>
  <c r="AW235" i="45"/>
  <c r="GA238" i="43"/>
  <c r="GU239"/>
  <c r="GT239" s="1"/>
  <c r="AV235" i="45"/>
  <c r="GG239" i="43"/>
  <c r="GF239" s="1"/>
  <c r="AT235" i="45"/>
  <c r="AD238" i="43"/>
  <c r="Z266" i="45" l="1"/>
  <c r="W267"/>
  <c r="AU235"/>
  <c r="AZ235" s="1"/>
  <c r="BD235"/>
  <c r="AX235"/>
  <c r="BB235"/>
  <c r="GI239" i="43"/>
  <c r="GB239"/>
  <c r="GR238"/>
  <c r="GD238"/>
  <c r="GK238"/>
  <c r="GY238"/>
  <c r="DO238"/>
  <c r="DP238" s="1"/>
  <c r="AE238"/>
  <c r="GP239"/>
  <c r="Z267" i="45" l="1"/>
  <c r="EV238" i="43"/>
  <c r="EY238"/>
  <c r="T235" i="45"/>
  <c r="FZ239" i="43"/>
  <c r="GX239" s="1"/>
  <c r="GZ239" s="1"/>
  <c r="CY239" s="1"/>
  <c r="HB240" l="1"/>
  <c r="HA240" s="1"/>
  <c r="GW240" s="1"/>
  <c r="DA239"/>
  <c r="AR235" i="45"/>
  <c r="AA235"/>
  <c r="AB235" s="1"/>
  <c r="GJ239" i="43"/>
  <c r="GL239" s="1"/>
  <c r="BK239" s="1"/>
  <c r="GC239"/>
  <c r="GE239" s="1"/>
  <c r="AR239" s="1"/>
  <c r="GQ239"/>
  <c r="GS239" s="1"/>
  <c r="CF239" s="1"/>
  <c r="AT239" l="1"/>
  <c r="AU236" i="45"/>
  <c r="AZ236" s="1"/>
  <c r="GU240" i="43"/>
  <c r="GT240" s="1"/>
  <c r="GP240" s="1"/>
  <c r="CH239"/>
  <c r="AW236" i="45"/>
  <c r="BM239" i="43"/>
  <c r="GN240"/>
  <c r="GM240" s="1"/>
  <c r="GI240" s="1"/>
  <c r="AV236" i="45"/>
  <c r="GA239" i="43"/>
  <c r="GR239" s="1"/>
  <c r="AT236" i="45"/>
  <c r="GG240" i="43"/>
  <c r="GF240" s="1"/>
  <c r="AD239"/>
  <c r="AX236" i="45" l="1"/>
  <c r="BB236"/>
  <c r="BD236"/>
  <c r="GK239" i="43"/>
  <c r="GY239"/>
  <c r="GD239"/>
  <c r="GB240"/>
  <c r="FZ240" s="1"/>
  <c r="GC240" s="1"/>
  <c r="DO239"/>
  <c r="DP239" s="1"/>
  <c r="AE239"/>
  <c r="EV239" l="1"/>
  <c r="EY239"/>
  <c r="T236" i="45"/>
  <c r="GQ240" i="43"/>
  <c r="GS240" s="1"/>
  <c r="CF240" s="1"/>
  <c r="GX240"/>
  <c r="GZ240" s="1"/>
  <c r="CY240" s="1"/>
  <c r="GJ240"/>
  <c r="GL240" s="1"/>
  <c r="BK240" s="1"/>
  <c r="GE240"/>
  <c r="AR240" s="1"/>
  <c r="BM240" l="1"/>
  <c r="AT240"/>
  <c r="CH240"/>
  <c r="HB241"/>
  <c r="HA241" s="1"/>
  <c r="GW241" s="1"/>
  <c r="DA240"/>
  <c r="AR236" i="45"/>
  <c r="AA236"/>
  <c r="AB236" s="1"/>
  <c r="AV237"/>
  <c r="GU241" i="43"/>
  <c r="GT241" s="1"/>
  <c r="GA240"/>
  <c r="AW237" i="45"/>
  <c r="GN241" i="43"/>
  <c r="GM241" s="1"/>
  <c r="GG241"/>
  <c r="GF241" s="1"/>
  <c r="AT237" i="45"/>
  <c r="AD240" i="43"/>
  <c r="AU237" i="45" l="1"/>
  <c r="AZ237" s="1"/>
  <c r="BD237"/>
  <c r="BB237"/>
  <c r="AX237"/>
  <c r="GP241" i="43"/>
  <c r="GI241"/>
  <c r="GR240"/>
  <c r="GK240"/>
  <c r="GD240"/>
  <c r="GY240"/>
  <c r="AE240"/>
  <c r="DO240"/>
  <c r="DP240" s="1"/>
  <c r="GB241"/>
  <c r="EV240" l="1"/>
  <c r="EY240"/>
  <c r="T237" i="45"/>
  <c r="FZ241" i="43"/>
  <c r="GX241" s="1"/>
  <c r="GZ241" s="1"/>
  <c r="CY241" s="1"/>
  <c r="HB242" l="1"/>
  <c r="HA242" s="1"/>
  <c r="GW242" s="1"/>
  <c r="DA241"/>
  <c r="AR237" i="45"/>
  <c r="AA237"/>
  <c r="AB237" s="1"/>
  <c r="GQ241" i="43"/>
  <c r="GS241" s="1"/>
  <c r="CF241" s="1"/>
  <c r="GC241"/>
  <c r="GJ241"/>
  <c r="GL241" s="1"/>
  <c r="BK241" s="1"/>
  <c r="AU238" i="45" l="1"/>
  <c r="AZ238" s="1"/>
  <c r="AW238"/>
  <c r="BM241" i="43"/>
  <c r="AV238" i="45"/>
  <c r="CH241" i="43"/>
  <c r="GA241"/>
  <c r="GD241" s="1"/>
  <c r="GN242"/>
  <c r="GM242" s="1"/>
  <c r="GI242" s="1"/>
  <c r="GU242"/>
  <c r="GT242" s="1"/>
  <c r="GP242" s="1"/>
  <c r="GE241"/>
  <c r="AR241" s="1"/>
  <c r="BB238" i="45" l="1"/>
  <c r="BD238"/>
  <c r="GY241" i="43"/>
  <c r="GG242"/>
  <c r="GF242" s="1"/>
  <c r="GB242" s="1"/>
  <c r="FZ242" s="1"/>
  <c r="GC242" s="1"/>
  <c r="AT241"/>
  <c r="GK241"/>
  <c r="GR241"/>
  <c r="AD241"/>
  <c r="AT238" i="45"/>
  <c r="AE241" i="43" l="1"/>
  <c r="AX238" i="45"/>
  <c r="DO241" i="43"/>
  <c r="DP241" s="1"/>
  <c r="GX242"/>
  <c r="GZ242" s="1"/>
  <c r="CY242" s="1"/>
  <c r="GJ242"/>
  <c r="GL242" s="1"/>
  <c r="BK242" s="1"/>
  <c r="GQ242"/>
  <c r="GS242" s="1"/>
  <c r="CF242" s="1"/>
  <c r="GE242"/>
  <c r="AR242" s="1"/>
  <c r="EV241" l="1"/>
  <c r="EY241"/>
  <c r="BM242"/>
  <c r="AT242"/>
  <c r="CH242"/>
  <c r="T238" i="45"/>
  <c r="AA238" s="1"/>
  <c r="AB238" s="1"/>
  <c r="HB243" i="43"/>
  <c r="HA243" s="1"/>
  <c r="GW243" s="1"/>
  <c r="DA242"/>
  <c r="GA242"/>
  <c r="GR242" s="1"/>
  <c r="GN243"/>
  <c r="GM243" s="1"/>
  <c r="AW239" i="45"/>
  <c r="AV239"/>
  <c r="GU243" i="43"/>
  <c r="GT243" s="1"/>
  <c r="GP243" s="1"/>
  <c r="GG243"/>
  <c r="GF243" s="1"/>
  <c r="AT239" i="45"/>
  <c r="AD242" i="43"/>
  <c r="AR238" i="45" l="1"/>
  <c r="AU239"/>
  <c r="AZ239" s="1"/>
  <c r="BB239"/>
  <c r="AX239"/>
  <c r="BD239"/>
  <c r="GD242" i="43"/>
  <c r="GY242"/>
  <c r="GK242"/>
  <c r="DO242"/>
  <c r="DP242" s="1"/>
  <c r="AE242"/>
  <c r="GB243"/>
  <c r="GI243"/>
  <c r="EV242" l="1"/>
  <c r="EY242"/>
  <c r="T239" i="45"/>
  <c r="FZ243" i="43"/>
  <c r="GJ243" s="1"/>
  <c r="GL243" s="1"/>
  <c r="BK243" s="1"/>
  <c r="BM243" l="1"/>
  <c r="AR239" i="45"/>
  <c r="AA239"/>
  <c r="AB239" s="1"/>
  <c r="GQ243" i="43"/>
  <c r="GS243" s="1"/>
  <c r="CF243" s="1"/>
  <c r="GX243"/>
  <c r="GZ243" s="1"/>
  <c r="CY243" s="1"/>
  <c r="GC243"/>
  <c r="GE243" s="1"/>
  <c r="AR243" s="1"/>
  <c r="AW240" i="45"/>
  <c r="GN244" i="43"/>
  <c r="GM244" s="1"/>
  <c r="GI244" s="1"/>
  <c r="AT243" l="1"/>
  <c r="BD240" i="45"/>
  <c r="AV240"/>
  <c r="CH243" i="43"/>
  <c r="HB244"/>
  <c r="HA244" s="1"/>
  <c r="GW244" s="1"/>
  <c r="DA243"/>
  <c r="GU244"/>
  <c r="GT244" s="1"/>
  <c r="GP244" s="1"/>
  <c r="GA243"/>
  <c r="GR243" s="1"/>
  <c r="AT240" i="45"/>
  <c r="GG244" i="43"/>
  <c r="GF244" s="1"/>
  <c r="AD243"/>
  <c r="AU240" i="45" l="1"/>
  <c r="AZ240" s="1"/>
  <c r="AX240"/>
  <c r="BB240"/>
  <c r="GD243" i="43"/>
  <c r="GK243"/>
  <c r="GY243"/>
  <c r="DO243"/>
  <c r="DP243" s="1"/>
  <c r="AE243"/>
  <c r="GB244"/>
  <c r="FZ244" s="1"/>
  <c r="EV243" l="1"/>
  <c r="EY243"/>
  <c r="T240" i="45"/>
  <c r="GJ244" i="43"/>
  <c r="GL244" s="1"/>
  <c r="BK244" s="1"/>
  <c r="GX244"/>
  <c r="GZ244" s="1"/>
  <c r="CY244" s="1"/>
  <c r="GQ244"/>
  <c r="GS244" s="1"/>
  <c r="CF244" s="1"/>
  <c r="GC244"/>
  <c r="CH244" l="1"/>
  <c r="BM244"/>
  <c r="HB245"/>
  <c r="HA245" s="1"/>
  <c r="GW245" s="1"/>
  <c r="DA244"/>
  <c r="AR240" i="45"/>
  <c r="AA240"/>
  <c r="AB240" s="1"/>
  <c r="GN245" i="43"/>
  <c r="GM245" s="1"/>
  <c r="AW241" i="45"/>
  <c r="AV241"/>
  <c r="GU245" i="43"/>
  <c r="GT245" s="1"/>
  <c r="GE244"/>
  <c r="AR244" s="1"/>
  <c r="GA244"/>
  <c r="AU241" i="45" l="1"/>
  <c r="AZ241" s="1"/>
  <c r="AT244" i="43"/>
  <c r="BB241" i="45"/>
  <c r="BD241"/>
  <c r="GI245" i="43"/>
  <c r="AT241" i="45"/>
  <c r="GG245" i="43"/>
  <c r="GF245" s="1"/>
  <c r="AD244"/>
  <c r="GP245"/>
  <c r="GY244"/>
  <c r="GR244"/>
  <c r="GD244"/>
  <c r="GK244"/>
  <c r="AX241" i="45" l="1"/>
  <c r="AE244" i="43"/>
  <c r="DO244"/>
  <c r="DP244" s="1"/>
  <c r="GB245"/>
  <c r="FZ245" s="1"/>
  <c r="EV244" l="1"/>
  <c r="EY244"/>
  <c r="T241" i="45"/>
  <c r="GX245" i="43"/>
  <c r="GZ245" s="1"/>
  <c r="CY245" s="1"/>
  <c r="GQ245"/>
  <c r="GS245" s="1"/>
  <c r="CF245" s="1"/>
  <c r="GJ245"/>
  <c r="GL245" s="1"/>
  <c r="BK245" s="1"/>
  <c r="GC245"/>
  <c r="CH245" l="1"/>
  <c r="BM245"/>
  <c r="HB246"/>
  <c r="HA246" s="1"/>
  <c r="GW246" s="1"/>
  <c r="DA245"/>
  <c r="AR241" i="45"/>
  <c r="AA241"/>
  <c r="AB241" s="1"/>
  <c r="AV242"/>
  <c r="GU246" i="43"/>
  <c r="GT246" s="1"/>
  <c r="GP246" s="1"/>
  <c r="AW242" i="45"/>
  <c r="GN246" i="43"/>
  <c r="GM246" s="1"/>
  <c r="GE245"/>
  <c r="AR245" s="1"/>
  <c r="GA245"/>
  <c r="AT245" l="1"/>
  <c r="AU242" i="45"/>
  <c r="AZ242" s="1"/>
  <c r="BD242"/>
  <c r="BB242"/>
  <c r="GI246" i="43"/>
  <c r="AT242" i="45"/>
  <c r="GG246" i="43"/>
  <c r="GF246" s="1"/>
  <c r="AD245"/>
  <c r="GD245"/>
  <c r="GY245"/>
  <c r="GR245"/>
  <c r="GK245"/>
  <c r="AX242" i="45" l="1"/>
  <c r="DO245" i="43"/>
  <c r="DP245" s="1"/>
  <c r="AE245"/>
  <c r="GB246"/>
  <c r="FZ246" s="1"/>
  <c r="EV245" l="1"/>
  <c r="EY245"/>
  <c r="T242" i="45"/>
  <c r="GQ246" i="43"/>
  <c r="GS246" s="1"/>
  <c r="CF246" s="1"/>
  <c r="GX246"/>
  <c r="GZ246" s="1"/>
  <c r="CY246" s="1"/>
  <c r="GJ246"/>
  <c r="GL246" s="1"/>
  <c r="BK246" s="1"/>
  <c r="GC246"/>
  <c r="CH246" l="1"/>
  <c r="BM246"/>
  <c r="HB247"/>
  <c r="HA247" s="1"/>
  <c r="GW247" s="1"/>
  <c r="DA246"/>
  <c r="AR242" i="45"/>
  <c r="AA242"/>
  <c r="AB242" s="1"/>
  <c r="AV243"/>
  <c r="GU247" i="43"/>
  <c r="GT247" s="1"/>
  <c r="GN247"/>
  <c r="GM247" s="1"/>
  <c r="GI247" s="1"/>
  <c r="AW243" i="45"/>
  <c r="GE246" i="43"/>
  <c r="AR246" s="1"/>
  <c r="GA246"/>
  <c r="AT246" l="1"/>
  <c r="AU243" i="45"/>
  <c r="AZ243" s="1"/>
  <c r="BD243"/>
  <c r="BB243"/>
  <c r="GP247" i="43"/>
  <c r="GG247"/>
  <c r="GF247" s="1"/>
  <c r="AT243" i="45"/>
  <c r="AD246" i="43"/>
  <c r="GD246"/>
  <c r="GK246"/>
  <c r="GR246"/>
  <c r="GY246"/>
  <c r="AX243" i="45" l="1"/>
  <c r="AE246" i="43"/>
  <c r="DO246"/>
  <c r="DP246" s="1"/>
  <c r="GB247"/>
  <c r="FZ247" s="1"/>
  <c r="EV246" l="1"/>
  <c r="EY246"/>
  <c r="T243" i="45"/>
  <c r="GJ247" i="43"/>
  <c r="GL247" s="1"/>
  <c r="BK247" s="1"/>
  <c r="GX247"/>
  <c r="GZ247" s="1"/>
  <c r="CY247" s="1"/>
  <c r="GQ247"/>
  <c r="GS247" s="1"/>
  <c r="CF247" s="1"/>
  <c r="GC247"/>
  <c r="BM247" l="1"/>
  <c r="CH247"/>
  <c r="HB248"/>
  <c r="HA248" s="1"/>
  <c r="GW248" s="1"/>
  <c r="DA247"/>
  <c r="AR243" i="45"/>
  <c r="AA243"/>
  <c r="AB243" s="1"/>
  <c r="AW244"/>
  <c r="GN248" i="43"/>
  <c r="GM248" s="1"/>
  <c r="AV244" i="45"/>
  <c r="GU248" i="43"/>
  <c r="GT248" s="1"/>
  <c r="GE247"/>
  <c r="AR247" s="1"/>
  <c r="GA247"/>
  <c r="AT247" l="1"/>
  <c r="AU244" i="45"/>
  <c r="AZ244" s="1"/>
  <c r="BB244"/>
  <c r="BD244"/>
  <c r="GI248" i="43"/>
  <c r="AT244" i="45"/>
  <c r="AD247" i="43"/>
  <c r="GG248"/>
  <c r="GF248" s="1"/>
  <c r="GP248"/>
  <c r="GK247"/>
  <c r="GD247"/>
  <c r="GR247"/>
  <c r="GY247"/>
  <c r="AX244" i="45" l="1"/>
  <c r="GB248" i="43"/>
  <c r="FZ248" s="1"/>
  <c r="GC248" s="1"/>
  <c r="AE247"/>
  <c r="DO247"/>
  <c r="DP247" s="1"/>
  <c r="EV247" l="1"/>
  <c r="EY247"/>
  <c r="T244" i="45"/>
  <c r="GX248" i="43"/>
  <c r="GZ248" s="1"/>
  <c r="CY248" s="1"/>
  <c r="GQ248"/>
  <c r="GS248" s="1"/>
  <c r="CF248" s="1"/>
  <c r="GJ248"/>
  <c r="GL248" s="1"/>
  <c r="BK248" s="1"/>
  <c r="GE248"/>
  <c r="AR248" s="1"/>
  <c r="AT248" l="1"/>
  <c r="CH248"/>
  <c r="BM248"/>
  <c r="HB249"/>
  <c r="HA249" s="1"/>
  <c r="GW249" s="1"/>
  <c r="DA248"/>
  <c r="AR244" i="45"/>
  <c r="AA244"/>
  <c r="AB244" s="1"/>
  <c r="GA248" i="43"/>
  <c r="GR248" s="1"/>
  <c r="AV245" i="45"/>
  <c r="GU249" i="43"/>
  <c r="GT249" s="1"/>
  <c r="GN249"/>
  <c r="GM249" s="1"/>
  <c r="AW245" i="45"/>
  <c r="AT245"/>
  <c r="GG249" i="43"/>
  <c r="GF249" s="1"/>
  <c r="AD248"/>
  <c r="AU245" i="45" l="1"/>
  <c r="AZ245" s="1"/>
  <c r="AX245"/>
  <c r="BD245"/>
  <c r="BB245"/>
  <c r="GK248" i="43"/>
  <c r="GY248"/>
  <c r="GD248"/>
  <c r="GB249"/>
  <c r="GP249"/>
  <c r="AE248"/>
  <c r="DO248"/>
  <c r="DP248" s="1"/>
  <c r="GI249"/>
  <c r="EV248" l="1"/>
  <c r="EY248"/>
  <c r="T245" i="45"/>
  <c r="FZ249" i="43"/>
  <c r="AR245" i="45" l="1"/>
  <c r="AA245"/>
  <c r="AB245" s="1"/>
  <c r="GX249" i="43"/>
  <c r="GZ249" s="1"/>
  <c r="CY249" s="1"/>
  <c r="GQ249"/>
  <c r="GS249" s="1"/>
  <c r="CF249" s="1"/>
  <c r="GJ249"/>
  <c r="GL249" s="1"/>
  <c r="BK249" s="1"/>
  <c r="GC249"/>
  <c r="BM249" l="1"/>
  <c r="CH249"/>
  <c r="HB250"/>
  <c r="HA250" s="1"/>
  <c r="GW250" s="1"/>
  <c r="DA249"/>
  <c r="AV246" i="45"/>
  <c r="GU250" i="43"/>
  <c r="GT250" s="1"/>
  <c r="GP250" s="1"/>
  <c r="GN250"/>
  <c r="GM250" s="1"/>
  <c r="AW246" i="45"/>
  <c r="GE249" i="43"/>
  <c r="AR249" s="1"/>
  <c r="GA249"/>
  <c r="AU246" i="45" l="1"/>
  <c r="AZ246" s="1"/>
  <c r="AT249" i="43"/>
  <c r="BB246" i="45"/>
  <c r="BD246"/>
  <c r="GI250" i="43"/>
  <c r="AT246" i="45"/>
  <c r="GG250" i="43"/>
  <c r="GF250" s="1"/>
  <c r="AD249"/>
  <c r="GR249"/>
  <c r="GY249"/>
  <c r="GK249"/>
  <c r="GD249"/>
  <c r="AX246" i="45" l="1"/>
  <c r="DO249" i="43"/>
  <c r="DP249" s="1"/>
  <c r="AE249"/>
  <c r="GB250"/>
  <c r="FZ250" s="1"/>
  <c r="GC250" s="1"/>
  <c r="EV249" l="1"/>
  <c r="EY249"/>
  <c r="T246" i="45"/>
  <c r="GQ250" i="43"/>
  <c r="GS250" s="1"/>
  <c r="CF250" s="1"/>
  <c r="GX250"/>
  <c r="GZ250" s="1"/>
  <c r="CY250" s="1"/>
  <c r="GJ250"/>
  <c r="GL250" s="1"/>
  <c r="BK250" s="1"/>
  <c r="GE250"/>
  <c r="AR250" s="1"/>
  <c r="AT250" l="1"/>
  <c r="CH250"/>
  <c r="BM250"/>
  <c r="HB251"/>
  <c r="HA251" s="1"/>
  <c r="GW251" s="1"/>
  <c r="DA250"/>
  <c r="AR246" i="45"/>
  <c r="AA246"/>
  <c r="AB246" s="1"/>
  <c r="AV247"/>
  <c r="GU251" i="43"/>
  <c r="GT251" s="1"/>
  <c r="GA250"/>
  <c r="AW247" i="45"/>
  <c r="GN251" i="43"/>
  <c r="GM251" s="1"/>
  <c r="GI251" s="1"/>
  <c r="GG251"/>
  <c r="GF251" s="1"/>
  <c r="AT247" i="45"/>
  <c r="AD250" i="43"/>
  <c r="AU247" i="45" l="1"/>
  <c r="AZ247" s="1"/>
  <c r="BB247"/>
  <c r="BD247"/>
  <c r="AX247"/>
  <c r="GP251" i="43"/>
  <c r="GK250"/>
  <c r="GD250"/>
  <c r="GR250"/>
  <c r="GY250"/>
  <c r="AE250"/>
  <c r="DO250"/>
  <c r="DP250" s="1"/>
  <c r="GB251"/>
  <c r="EV250" l="1"/>
  <c r="EY250"/>
  <c r="T247" i="45"/>
  <c r="FZ251" i="43"/>
  <c r="GC251" s="1"/>
  <c r="GE251" s="1"/>
  <c r="AR251" s="1"/>
  <c r="AT251" l="1"/>
  <c r="AR247" i="45"/>
  <c r="AA247"/>
  <c r="AB247" s="1"/>
  <c r="GQ251" i="43"/>
  <c r="GS251" s="1"/>
  <c r="CF251" s="1"/>
  <c r="GX251"/>
  <c r="GZ251" s="1"/>
  <c r="CY251" s="1"/>
  <c r="GJ251"/>
  <c r="GL251" s="1"/>
  <c r="BK251" s="1"/>
  <c r="GG252"/>
  <c r="GF252" s="1"/>
  <c r="AT248" i="45"/>
  <c r="AX248" l="1"/>
  <c r="HB252" i="43"/>
  <c r="HA252" s="1"/>
  <c r="GW252" s="1"/>
  <c r="DA251"/>
  <c r="AV248" i="45"/>
  <c r="CH251" i="43"/>
  <c r="GN252"/>
  <c r="GM252" s="1"/>
  <c r="GI252" s="1"/>
  <c r="BM251"/>
  <c r="AD251"/>
  <c r="AW248" i="45"/>
  <c r="GU252" i="43"/>
  <c r="GT252" s="1"/>
  <c r="GP252" s="1"/>
  <c r="GA251"/>
  <c r="GY251" s="1"/>
  <c r="GB252"/>
  <c r="AU248" i="45" l="1"/>
  <c r="AZ248" s="1"/>
  <c r="AE251" i="43"/>
  <c r="BD248" i="45"/>
  <c r="BB248"/>
  <c r="DO251" i="43"/>
  <c r="DP251" s="1"/>
  <c r="GK251"/>
  <c r="GR251"/>
  <c r="GD251"/>
  <c r="FZ252"/>
  <c r="GQ252" s="1"/>
  <c r="GS252" s="1"/>
  <c r="CF252" s="1"/>
  <c r="T248" i="45" l="1"/>
  <c r="AA248" s="1"/>
  <c r="AB248" s="1"/>
  <c r="EV251" i="43"/>
  <c r="EY251"/>
  <c r="CH252"/>
  <c r="GX252"/>
  <c r="GZ252" s="1"/>
  <c r="CY252" s="1"/>
  <c r="GC252"/>
  <c r="GE252" s="1"/>
  <c r="AR252" s="1"/>
  <c r="GJ252"/>
  <c r="GL252" s="1"/>
  <c r="BK252" s="1"/>
  <c r="AV249" i="45"/>
  <c r="GU253" i="43"/>
  <c r="GT253" s="1"/>
  <c r="AR248" i="45" l="1"/>
  <c r="BB249"/>
  <c r="HB253" i="43"/>
  <c r="HA253" s="1"/>
  <c r="GW253" s="1"/>
  <c r="DA252"/>
  <c r="GG253"/>
  <c r="GF253" s="1"/>
  <c r="GB253" s="1"/>
  <c r="AT252"/>
  <c r="AW249" i="45"/>
  <c r="BM252" i="43"/>
  <c r="GA252"/>
  <c r="GK252" s="1"/>
  <c r="AD252"/>
  <c r="AT249" i="45"/>
  <c r="GN253" i="43"/>
  <c r="GM253" s="1"/>
  <c r="GI253" s="1"/>
  <c r="GP253"/>
  <c r="AE252" l="1"/>
  <c r="AU249" i="45"/>
  <c r="AX249"/>
  <c r="BD249"/>
  <c r="T249"/>
  <c r="GY252" i="43"/>
  <c r="GD252"/>
  <c r="DO252"/>
  <c r="DP252" s="1"/>
  <c r="GR252"/>
  <c r="FZ253"/>
  <c r="EV252" l="1"/>
  <c r="EY252"/>
  <c r="AZ249" i="45"/>
  <c r="AR249"/>
  <c r="AA249"/>
  <c r="AB249" s="1"/>
  <c r="GX253" i="43"/>
  <c r="GZ253" s="1"/>
  <c r="CY253" s="1"/>
  <c r="GJ253"/>
  <c r="GL253" s="1"/>
  <c r="BK253" s="1"/>
  <c r="GQ253"/>
  <c r="GS253" s="1"/>
  <c r="CF253" s="1"/>
  <c r="GC253"/>
  <c r="BM253" l="1"/>
  <c r="CH253"/>
  <c r="HB254"/>
  <c r="HA254" s="1"/>
  <c r="GW254" s="1"/>
  <c r="DA253"/>
  <c r="GN254"/>
  <c r="GM254" s="1"/>
  <c r="GI254" s="1"/>
  <c r="AW250" i="45"/>
  <c r="GU254" i="43"/>
  <c r="GT254" s="1"/>
  <c r="AV250" i="45"/>
  <c r="GE253" i="43"/>
  <c r="AR253" s="1"/>
  <c r="GA253"/>
  <c r="BB250" i="45" l="1"/>
  <c r="BD250"/>
  <c r="AU250"/>
  <c r="AT253" i="43"/>
  <c r="GP254"/>
  <c r="AT250" i="45"/>
  <c r="AD253" i="43"/>
  <c r="GD253"/>
  <c r="GY253"/>
  <c r="GR253"/>
  <c r="GK253"/>
  <c r="AX250" i="45" l="1"/>
  <c r="AZ250"/>
  <c r="AE253" i="43"/>
  <c r="DO253"/>
  <c r="DP253" s="1"/>
  <c r="EV253" l="1"/>
  <c r="EY253"/>
  <c r="T250" i="45"/>
  <c r="AR250" l="1"/>
  <c r="AA250"/>
  <c r="AB250" s="1"/>
  <c r="V254" l="1"/>
  <c r="AQ257" i="43"/>
  <c r="V264" i="45"/>
  <c r="AQ267" i="43"/>
  <c r="V255" i="45"/>
  <c r="AQ258" i="43"/>
  <c r="V260" i="45"/>
  <c r="AQ263" i="43"/>
  <c r="V265" i="45"/>
  <c r="AQ268" i="43"/>
  <c r="V253" i="45"/>
  <c r="AQ256" i="43"/>
  <c r="V262" i="45"/>
  <c r="AQ265" i="43"/>
  <c r="AQ259"/>
  <c r="V256" i="45"/>
  <c r="V258"/>
  <c r="AQ261" i="43"/>
  <c r="V252" i="45"/>
  <c r="AQ264" i="43"/>
  <c r="V261" i="45"/>
  <c r="AQ262" i="43"/>
  <c r="V259" i="45"/>
  <c r="V257"/>
  <c r="AQ260" i="43"/>
  <c r="V263" i="45"/>
  <c r="AQ266" i="43"/>
  <c r="AQ255"/>
  <c r="AQ254"/>
  <c r="K59" i="35" s="1"/>
  <c r="K58"/>
  <c r="X254" i="43"/>
  <c r="K33" i="35" s="1"/>
  <c r="GG254" i="43"/>
  <c r="GF254" s="1"/>
  <c r="GB254" l="1"/>
  <c r="FZ254" s="1"/>
  <c r="ED254"/>
  <c r="Y254"/>
  <c r="K34" i="35" l="1"/>
  <c r="D251" i="45"/>
  <c r="U251" s="1"/>
  <c r="EE254" i="43"/>
  <c r="GX254"/>
  <c r="GZ254" s="1"/>
  <c r="CY254" s="1"/>
  <c r="GQ254"/>
  <c r="GS254" s="1"/>
  <c r="CF254" s="1"/>
  <c r="GJ254"/>
  <c r="GL254" s="1"/>
  <c r="BK254" s="1"/>
  <c r="GC254"/>
  <c r="AW251" i="45" l="1"/>
  <c r="BM254" i="43"/>
  <c r="GN255"/>
  <c r="GM255" s="1"/>
  <c r="AV251" i="45"/>
  <c r="CH254" i="43"/>
  <c r="GU255"/>
  <c r="GT255" s="1"/>
  <c r="GA254"/>
  <c r="GE254"/>
  <c r="AR254" s="1"/>
  <c r="DA254"/>
  <c r="HB255"/>
  <c r="HA255" s="1"/>
  <c r="GW255" l="1"/>
  <c r="GR254"/>
  <c r="GK254"/>
  <c r="GY254"/>
  <c r="GD254"/>
  <c r="BD251" i="45"/>
  <c r="AU251"/>
  <c r="AT254" i="43"/>
  <c r="AT251" i="45"/>
  <c r="AD254" i="43"/>
  <c r="GG255"/>
  <c r="GF255" s="1"/>
  <c r="BB251" i="45"/>
  <c r="GP255" i="43"/>
  <c r="GI255"/>
  <c r="DO254" l="1"/>
  <c r="DP254" s="1"/>
  <c r="AE254"/>
  <c r="GB255"/>
  <c r="FZ255" s="1"/>
  <c r="GC255" s="1"/>
  <c r="AX251" i="45"/>
  <c r="AZ251"/>
  <c r="GE255" i="43" l="1"/>
  <c r="AR255" s="1"/>
  <c r="EY254"/>
  <c r="T251" i="45"/>
  <c r="EV254" i="43"/>
  <c r="GJ255"/>
  <c r="GL255" s="1"/>
  <c r="BK255" s="1"/>
  <c r="GX255"/>
  <c r="GZ255" s="1"/>
  <c r="CY255" s="1"/>
  <c r="GQ255"/>
  <c r="GS255" s="1"/>
  <c r="CF255" s="1"/>
  <c r="AA251" i="45" l="1"/>
  <c r="AB251" s="1"/>
  <c r="AR251"/>
  <c r="GA255" i="43"/>
  <c r="AV252" i="45"/>
  <c r="CH255" i="43"/>
  <c r="GU256"/>
  <c r="GT256" s="1"/>
  <c r="AT252" i="45"/>
  <c r="AD255" i="43"/>
  <c r="AT255"/>
  <c r="GG256"/>
  <c r="GF256" s="1"/>
  <c r="AW252" i="45"/>
  <c r="BM255" i="43"/>
  <c r="GN256"/>
  <c r="GM256" s="1"/>
  <c r="DA255"/>
  <c r="AU252" i="45" s="1"/>
  <c r="HB256" i="43"/>
  <c r="HA256" s="1"/>
  <c r="GW256" l="1"/>
  <c r="BD252" i="45"/>
  <c r="AX252"/>
  <c r="GY255" i="43"/>
  <c r="GR255"/>
  <c r="GD255"/>
  <c r="GK255"/>
  <c r="GB256"/>
  <c r="DO255"/>
  <c r="DP255" s="1"/>
  <c r="AE255"/>
  <c r="BB252" i="45"/>
  <c r="GI256" i="43"/>
  <c r="AZ252" i="45"/>
  <c r="GP256" i="43"/>
  <c r="FZ256" l="1"/>
  <c r="EV255"/>
  <c r="EY255"/>
  <c r="T252" i="45"/>
  <c r="AA252" l="1"/>
  <c r="AB252" s="1"/>
  <c r="AR252"/>
  <c r="GX256" i="43"/>
  <c r="GZ256" s="1"/>
  <c r="CY256" s="1"/>
  <c r="GC256"/>
  <c r="GQ256"/>
  <c r="GS256" s="1"/>
  <c r="CF256" s="1"/>
  <c r="GJ256"/>
  <c r="GL256" s="1"/>
  <c r="BK256" s="1"/>
  <c r="DA256" l="1"/>
  <c r="AU253" i="45" s="1"/>
  <c r="HB257" i="43"/>
  <c r="HA257" s="1"/>
  <c r="GA256"/>
  <c r="GE256"/>
  <c r="AR256" s="1"/>
  <c r="CH256"/>
  <c r="AV253" i="45"/>
  <c r="GU257" i="43"/>
  <c r="GT257" s="1"/>
  <c r="AW253" i="45"/>
  <c r="BM256" i="43"/>
  <c r="GN257"/>
  <c r="GM257" s="1"/>
  <c r="GR256" l="1"/>
  <c r="GY256"/>
  <c r="GK256"/>
  <c r="GD256"/>
  <c r="BD253" i="45"/>
  <c r="AT253"/>
  <c r="AT256" i="43"/>
  <c r="AD256"/>
  <c r="GG257"/>
  <c r="GF257" s="1"/>
  <c r="AZ253" i="45"/>
  <c r="GI257" i="43"/>
  <c r="BB253" i="45"/>
  <c r="GW257" i="43"/>
  <c r="GP257"/>
  <c r="AE256" l="1"/>
  <c r="DO256"/>
  <c r="DP256" s="1"/>
  <c r="GB257"/>
  <c r="FZ257" s="1"/>
  <c r="AX253" i="45"/>
  <c r="T253" l="1"/>
  <c r="EV256" i="43"/>
  <c r="EY256"/>
  <c r="GJ257"/>
  <c r="GL257" s="1"/>
  <c r="BK257" s="1"/>
  <c r="GX257"/>
  <c r="GZ257" s="1"/>
  <c r="CY257" s="1"/>
  <c r="GQ257"/>
  <c r="GS257" s="1"/>
  <c r="CF257" s="1"/>
  <c r="GC257"/>
  <c r="AA253" i="45" l="1"/>
  <c r="AB253" s="1"/>
  <c r="AR253"/>
  <c r="CH257" i="43"/>
  <c r="AV254" i="45"/>
  <c r="GU258" i="43"/>
  <c r="GT258" s="1"/>
  <c r="DA257"/>
  <c r="AU254" i="45" s="1"/>
  <c r="HB258" i="43"/>
  <c r="HA258" s="1"/>
  <c r="GA257"/>
  <c r="GE257"/>
  <c r="AR257" s="1"/>
  <c r="AW254" i="45"/>
  <c r="BM257" i="43"/>
  <c r="GN258"/>
  <c r="GM258" s="1"/>
  <c r="AT257" l="1"/>
  <c r="AD257"/>
  <c r="AT254" i="45"/>
  <c r="GG258" i="43"/>
  <c r="GF258" s="1"/>
  <c r="GW258"/>
  <c r="GI258"/>
  <c r="GY257"/>
  <c r="GR257"/>
  <c r="GD257"/>
  <c r="GK257"/>
  <c r="BB254" i="45"/>
  <c r="GP258" i="43"/>
  <c r="BD254" i="45"/>
  <c r="AZ254"/>
  <c r="DO257" i="43" l="1"/>
  <c r="DP257" s="1"/>
  <c r="AE257"/>
  <c r="AX254" i="45"/>
  <c r="GB258" i="43"/>
  <c r="FZ258" s="1"/>
  <c r="EV257" l="1"/>
  <c r="T254" i="45"/>
  <c r="EY257" i="43"/>
  <c r="GJ258"/>
  <c r="GL258" s="1"/>
  <c r="BK258" s="1"/>
  <c r="GX258"/>
  <c r="GZ258" s="1"/>
  <c r="CY258" s="1"/>
  <c r="GQ258"/>
  <c r="GS258" s="1"/>
  <c r="CF258" s="1"/>
  <c r="GC258"/>
  <c r="AV255" i="45" l="1"/>
  <c r="CH258" i="43"/>
  <c r="GU259"/>
  <c r="GT259" s="1"/>
  <c r="DA258"/>
  <c r="AU255" i="45" s="1"/>
  <c r="HB259" i="43"/>
  <c r="HA259" s="1"/>
  <c r="AA254" i="45"/>
  <c r="AB254" s="1"/>
  <c r="AR254"/>
  <c r="GA258" i="43"/>
  <c r="GE258"/>
  <c r="AR258" s="1"/>
  <c r="BM258"/>
  <c r="AW255" i="45"/>
  <c r="GN259" i="43"/>
  <c r="GM259" s="1"/>
  <c r="AT258" l="1"/>
  <c r="AT255" i="45"/>
  <c r="AD258" i="43"/>
  <c r="GG259"/>
  <c r="GF259" s="1"/>
  <c r="BD255" i="45"/>
  <c r="GW259" i="43"/>
  <c r="BB255" i="45"/>
  <c r="GR258" i="43"/>
  <c r="GD258"/>
  <c r="GK258"/>
  <c r="GY258"/>
  <c r="GI259"/>
  <c r="GP259"/>
  <c r="AZ255" i="45"/>
  <c r="AX255" l="1"/>
  <c r="AE258" i="43"/>
  <c r="DO258"/>
  <c r="DP258" s="1"/>
  <c r="GB259"/>
  <c r="FZ259" s="1"/>
  <c r="GJ259" l="1"/>
  <c r="GL259" s="1"/>
  <c r="BK259" s="1"/>
  <c r="GX259"/>
  <c r="GZ259" s="1"/>
  <c r="CY259" s="1"/>
  <c r="GQ259"/>
  <c r="GS259" s="1"/>
  <c r="CF259" s="1"/>
  <c r="GC259"/>
  <c r="EV258"/>
  <c r="T255" i="45"/>
  <c r="EY258" i="43"/>
  <c r="CH259" l="1"/>
  <c r="AV256" i="45"/>
  <c r="GU260" i="43"/>
  <c r="GT260" s="1"/>
  <c r="GA259"/>
  <c r="GE259"/>
  <c r="AR259" s="1"/>
  <c r="AW256" i="45"/>
  <c r="BM259" i="43"/>
  <c r="GN260"/>
  <c r="GM260" s="1"/>
  <c r="AA255" i="45"/>
  <c r="AB255" s="1"/>
  <c r="AR255"/>
  <c r="DA259" i="43"/>
  <c r="AU256" i="45" s="1"/>
  <c r="HB260" i="43"/>
  <c r="HA260" s="1"/>
  <c r="AZ256" i="45" l="1"/>
  <c r="AT259" i="43"/>
  <c r="AD259"/>
  <c r="AT256" i="45"/>
  <c r="GG260" i="43"/>
  <c r="GF260" s="1"/>
  <c r="GW260"/>
  <c r="BD256" i="45"/>
  <c r="BB256"/>
  <c r="GP260" i="43"/>
  <c r="GI260"/>
  <c r="GK259"/>
  <c r="GD259"/>
  <c r="GR259"/>
  <c r="GY259"/>
  <c r="AX256" i="45" l="1"/>
  <c r="GB260" i="43"/>
  <c r="FZ260" s="1"/>
  <c r="DO259"/>
  <c r="DP259" s="1"/>
  <c r="AE259"/>
  <c r="GX260" l="1"/>
  <c r="GZ260" s="1"/>
  <c r="CY260" s="1"/>
  <c r="GJ260"/>
  <c r="GL260" s="1"/>
  <c r="BK260" s="1"/>
  <c r="GQ260"/>
  <c r="GS260" s="1"/>
  <c r="CF260" s="1"/>
  <c r="GC260"/>
  <c r="EV259"/>
  <c r="T256" i="45"/>
  <c r="EY259" i="43"/>
  <c r="CH260" l="1"/>
  <c r="AV257" i="45"/>
  <c r="GU261" i="43"/>
  <c r="GT261" s="1"/>
  <c r="GA260"/>
  <c r="GE260"/>
  <c r="AR260" s="1"/>
  <c r="DA260"/>
  <c r="HB261"/>
  <c r="HA261" s="1"/>
  <c r="AA256" i="45"/>
  <c r="AB256" s="1"/>
  <c r="AR256"/>
  <c r="AW257"/>
  <c r="BM260" i="43"/>
  <c r="GN261"/>
  <c r="GM261" s="1"/>
  <c r="AU257" i="45" l="1"/>
  <c r="AZ257" s="1"/>
  <c r="GI261" i="43"/>
  <c r="AT260"/>
  <c r="AD260"/>
  <c r="AT257" i="45"/>
  <c r="GG261" i="43"/>
  <c r="GF261" s="1"/>
  <c r="BB257" i="45"/>
  <c r="BD257"/>
  <c r="GW261" i="43"/>
  <c r="GP261"/>
  <c r="GD260"/>
  <c r="GR260"/>
  <c r="GK260"/>
  <c r="GY260"/>
  <c r="AX257" i="45" l="1"/>
  <c r="GB261" i="43"/>
  <c r="FZ261" s="1"/>
  <c r="GC261" s="1"/>
  <c r="DO260"/>
  <c r="DP260" s="1"/>
  <c r="AE260"/>
  <c r="GE261" l="1"/>
  <c r="AR261" s="1"/>
  <c r="EY260"/>
  <c r="T257" i="45"/>
  <c r="EV260" i="43"/>
  <c r="GQ261"/>
  <c r="GS261" s="1"/>
  <c r="CF261" s="1"/>
  <c r="GJ261"/>
  <c r="GL261" s="1"/>
  <c r="BK261" s="1"/>
  <c r="GX261"/>
  <c r="GZ261" s="1"/>
  <c r="CY261" s="1"/>
  <c r="AA257" i="45" l="1"/>
  <c r="AB257" s="1"/>
  <c r="AR257"/>
  <c r="GA261" i="43"/>
  <c r="AV258" i="45"/>
  <c r="CH261" i="43"/>
  <c r="GU262"/>
  <c r="GT262" s="1"/>
  <c r="AD261"/>
  <c r="AT258" i="45"/>
  <c r="AT261" i="43"/>
  <c r="GG262"/>
  <c r="GF262" s="1"/>
  <c r="AW258" i="45"/>
  <c r="BM261" i="43"/>
  <c r="GN262"/>
  <c r="GM262" s="1"/>
  <c r="DA261"/>
  <c r="HB262"/>
  <c r="HA262" s="1"/>
  <c r="AU258" i="45" l="1"/>
  <c r="AZ258" s="1"/>
  <c r="GW262" i="43"/>
  <c r="AX258" i="45"/>
  <c r="BB258"/>
  <c r="GI262" i="43"/>
  <c r="GB262"/>
  <c r="GP262"/>
  <c r="BD258" i="45"/>
  <c r="DO261" i="43"/>
  <c r="DP261" s="1"/>
  <c r="AE261"/>
  <c r="GK261"/>
  <c r="GY261"/>
  <c r="GR261"/>
  <c r="GD261"/>
  <c r="FZ262" l="1"/>
  <c r="GX262" s="1"/>
  <c r="GZ262" s="1"/>
  <c r="CY262" s="1"/>
  <c r="T258" i="45"/>
  <c r="EY261" i="43"/>
  <c r="EV261"/>
  <c r="DA262" l="1"/>
  <c r="HB263"/>
  <c r="HA263" s="1"/>
  <c r="GW263" s="1"/>
  <c r="GQ262"/>
  <c r="GS262" s="1"/>
  <c r="CF262" s="1"/>
  <c r="GC262"/>
  <c r="GE262" s="1"/>
  <c r="AR262" s="1"/>
  <c r="GJ262"/>
  <c r="GL262" s="1"/>
  <c r="BK262" s="1"/>
  <c r="AA258" i="45"/>
  <c r="AB258" s="1"/>
  <c r="AR258"/>
  <c r="GA262" i="43" l="1"/>
  <c r="GK262" s="1"/>
  <c r="AU259" i="45"/>
  <c r="AZ259" s="1"/>
  <c r="CH262" i="43"/>
  <c r="AV259" i="45"/>
  <c r="BB259" s="1"/>
  <c r="GU263" i="43"/>
  <c r="GT263" s="1"/>
  <c r="GP263" s="1"/>
  <c r="BM262"/>
  <c r="GN263"/>
  <c r="GM263" s="1"/>
  <c r="GI263" s="1"/>
  <c r="AW259" i="45"/>
  <c r="BD259" s="1"/>
  <c r="AD262" i="43"/>
  <c r="AT259" i="45"/>
  <c r="AT262" i="43"/>
  <c r="GG263"/>
  <c r="GF263" s="1"/>
  <c r="GD262"/>
  <c r="GY262" l="1"/>
  <c r="GR262"/>
  <c r="DO262"/>
  <c r="DP262" s="1"/>
  <c r="AE262"/>
  <c r="AX259" i="45"/>
  <c r="GB263" i="43"/>
  <c r="FZ263" s="1"/>
  <c r="GC263" s="1"/>
  <c r="GQ263" l="1"/>
  <c r="GS263" s="1"/>
  <c r="CF263" s="1"/>
  <c r="GJ263"/>
  <c r="GL263" s="1"/>
  <c r="BK263" s="1"/>
  <c r="GX263"/>
  <c r="GZ263" s="1"/>
  <c r="CY263" s="1"/>
  <c r="GE263"/>
  <c r="AR263" s="1"/>
  <c r="EY262"/>
  <c r="EV262"/>
  <c r="T259" i="45"/>
  <c r="AA259" l="1"/>
  <c r="AB259" s="1"/>
  <c r="AR259"/>
  <c r="AT260"/>
  <c r="AT263" i="43"/>
  <c r="GG264"/>
  <c r="GF264" s="1"/>
  <c r="AD263"/>
  <c r="AV260" i="45"/>
  <c r="CH263" i="43"/>
  <c r="GU264"/>
  <c r="GT264" s="1"/>
  <c r="GA263"/>
  <c r="AW260" i="45"/>
  <c r="BM263" i="43"/>
  <c r="GN264"/>
  <c r="GM264" s="1"/>
  <c r="DA263"/>
  <c r="HB264"/>
  <c r="HA264" s="1"/>
  <c r="AU260" i="45" l="1"/>
  <c r="AZ260" s="1"/>
  <c r="GY263" i="43"/>
  <c r="GR263"/>
  <c r="GD263"/>
  <c r="GK263"/>
  <c r="GB264"/>
  <c r="GP264"/>
  <c r="GI264"/>
  <c r="DO263"/>
  <c r="DP263" s="1"/>
  <c r="AE263"/>
  <c r="GW264"/>
  <c r="BD260" i="45"/>
  <c r="BB260"/>
  <c r="AX260"/>
  <c r="FZ264" i="43" l="1"/>
  <c r="T260" i="45"/>
  <c r="EY263" i="43"/>
  <c r="EU263" s="1"/>
  <c r="EV263" s="1"/>
  <c r="AA260" i="45" l="1"/>
  <c r="AB260" s="1"/>
  <c r="AR260"/>
  <c r="GQ264" i="43"/>
  <c r="GS264" s="1"/>
  <c r="CF264" s="1"/>
  <c r="GX264"/>
  <c r="GZ264" s="1"/>
  <c r="CY264" s="1"/>
  <c r="GC264"/>
  <c r="GJ264"/>
  <c r="GL264" s="1"/>
  <c r="BK264" s="1"/>
  <c r="DA264" l="1"/>
  <c r="HB265"/>
  <c r="HA265" s="1"/>
  <c r="GA264"/>
  <c r="GE264"/>
  <c r="AR264" s="1"/>
  <c r="AW261" i="45"/>
  <c r="BM264" i="43"/>
  <c r="GN265"/>
  <c r="GM265" s="1"/>
  <c r="CH264"/>
  <c r="AV261" i="45"/>
  <c r="GU265" i="43"/>
  <c r="GT265" s="1"/>
  <c r="AU261" i="45" l="1"/>
  <c r="GI265" i="43"/>
  <c r="BB261" i="45"/>
  <c r="BD261"/>
  <c r="AZ261"/>
  <c r="GW265" i="43"/>
  <c r="GR264"/>
  <c r="GY264"/>
  <c r="GD264"/>
  <c r="GK264"/>
  <c r="GP265"/>
  <c r="AT264"/>
  <c r="AD264"/>
  <c r="AT261" i="45"/>
  <c r="GG265" i="43"/>
  <c r="GF265" s="1"/>
  <c r="DO264" l="1"/>
  <c r="DP264" s="1"/>
  <c r="AE264"/>
  <c r="AX261" i="45"/>
  <c r="GB265" i="43"/>
  <c r="FZ265" s="1"/>
  <c r="GJ265" l="1"/>
  <c r="GL265" s="1"/>
  <c r="BK265" s="1"/>
  <c r="GX265"/>
  <c r="GZ265" s="1"/>
  <c r="CY265" s="1"/>
  <c r="GQ265"/>
  <c r="GS265" s="1"/>
  <c r="CF265" s="1"/>
  <c r="EY264"/>
  <c r="EU264" s="1"/>
  <c r="T261" i="45"/>
  <c r="GC265" i="43"/>
  <c r="AA261" i="45" l="1"/>
  <c r="AB261" s="1"/>
  <c r="AR261"/>
  <c r="BM265" i="43"/>
  <c r="AW262" i="45"/>
  <c r="GN266" i="43"/>
  <c r="GM266" s="1"/>
  <c r="DA265"/>
  <c r="HB266"/>
  <c r="HA266" s="1"/>
  <c r="EV264"/>
  <c r="CH265"/>
  <c r="AV262" i="45"/>
  <c r="GU266" i="43"/>
  <c r="GT266" s="1"/>
  <c r="GA265"/>
  <c r="GE265"/>
  <c r="AR265" s="1"/>
  <c r="AU262" i="45" l="1"/>
  <c r="AZ262" s="1"/>
  <c r="AT265" i="43"/>
  <c r="AT262" i="45"/>
  <c r="AD265" i="43"/>
  <c r="GG266"/>
  <c r="GF266" s="1"/>
  <c r="BB262" i="45"/>
  <c r="GP266" i="43"/>
  <c r="BD262" i="45"/>
  <c r="GI266" i="43"/>
  <c r="GR265"/>
  <c r="GD265"/>
  <c r="GY265"/>
  <c r="GK265"/>
  <c r="GW266"/>
  <c r="AX262" i="45" l="1"/>
  <c r="DO265" i="43"/>
  <c r="DP265" s="1"/>
  <c r="AE265"/>
  <c r="GB266"/>
  <c r="FZ266" s="1"/>
  <c r="GC266" s="1"/>
  <c r="GE266" l="1"/>
  <c r="AR266" s="1"/>
  <c r="T262" i="45"/>
  <c r="EY265" i="43"/>
  <c r="EU265" s="1"/>
  <c r="EV265" s="1"/>
  <c r="GQ266"/>
  <c r="GS266" s="1"/>
  <c r="CF266" s="1"/>
  <c r="GJ266"/>
  <c r="GL266" s="1"/>
  <c r="BK266" s="1"/>
  <c r="GX266"/>
  <c r="GZ266" s="1"/>
  <c r="CY266" s="1"/>
  <c r="BM266" l="1"/>
  <c r="AW263" i="45"/>
  <c r="GN267" i="43"/>
  <c r="GM267" s="1"/>
  <c r="GA266"/>
  <c r="CH266"/>
  <c r="AV263" i="45"/>
  <c r="GU267" i="43"/>
  <c r="GT267" s="1"/>
  <c r="AD266"/>
  <c r="AT263" i="45"/>
  <c r="AT266" i="43"/>
  <c r="GG267"/>
  <c r="GF267" s="1"/>
  <c r="AA262" i="45"/>
  <c r="AB262" s="1"/>
  <c r="AR262"/>
  <c r="DA266" i="43"/>
  <c r="HB267"/>
  <c r="HA267" s="1"/>
  <c r="AU263" i="45" l="1"/>
  <c r="DO266" i="43"/>
  <c r="DP266" s="1"/>
  <c r="AE266"/>
  <c r="GR266"/>
  <c r="GD266"/>
  <c r="GY266"/>
  <c r="GK266"/>
  <c r="GW267"/>
  <c r="AX263" i="45"/>
  <c r="BD263"/>
  <c r="BB263"/>
  <c r="GI267" i="43"/>
  <c r="AZ263" i="45"/>
  <c r="GB267" i="43"/>
  <c r="GP267"/>
  <c r="FZ267" l="1"/>
  <c r="GX267" s="1"/>
  <c r="GZ267" s="1"/>
  <c r="CY267" s="1"/>
  <c r="EY266"/>
  <c r="EU266" s="1"/>
  <c r="EV266" s="1"/>
  <c r="T263" i="45"/>
  <c r="GJ267" i="43" l="1"/>
  <c r="GL267" s="1"/>
  <c r="BK267" s="1"/>
  <c r="GC267"/>
  <c r="GE267" s="1"/>
  <c r="AR267" s="1"/>
  <c r="DA267"/>
  <c r="HB268"/>
  <c r="HA268" s="1"/>
  <c r="GW268" s="1"/>
  <c r="GQ267"/>
  <c r="GS267" s="1"/>
  <c r="CF267" s="1"/>
  <c r="AA263" i="45"/>
  <c r="AB263" s="1"/>
  <c r="AR263"/>
  <c r="GN268" i="43" l="1"/>
  <c r="GM268" s="1"/>
  <c r="GI268" s="1"/>
  <c r="AW264" i="45"/>
  <c r="BD264" s="1"/>
  <c r="BM267" i="43"/>
  <c r="AV264" i="45"/>
  <c r="BB264" s="1"/>
  <c r="AU264"/>
  <c r="AZ264" s="1"/>
  <c r="GA267" i="43"/>
  <c r="GR267" s="1"/>
  <c r="CH267"/>
  <c r="GU268"/>
  <c r="GT268" s="1"/>
  <c r="GP268" s="1"/>
  <c r="AT264" i="45"/>
  <c r="AT267" i="43"/>
  <c r="AD267"/>
  <c r="GG268"/>
  <c r="GF268" s="1"/>
  <c r="GK267" l="1"/>
  <c r="GY267"/>
  <c r="GD267"/>
  <c r="DO267"/>
  <c r="DP267" s="1"/>
  <c r="AE267"/>
  <c r="AX264" i="45"/>
  <c r="GB268" i="43"/>
  <c r="FZ268" s="1"/>
  <c r="GX268" l="1"/>
  <c r="GZ268" s="1"/>
  <c r="CY268" s="1"/>
  <c r="GQ268"/>
  <c r="GS268" s="1"/>
  <c r="CF268" s="1"/>
  <c r="GJ268"/>
  <c r="GL268" s="1"/>
  <c r="BK268" s="1"/>
  <c r="EY267"/>
  <c r="EU267" s="1"/>
  <c r="EV267" s="1"/>
  <c r="T264" i="45"/>
  <c r="GC268" i="43"/>
  <c r="HB269" l="1"/>
  <c r="HA269" s="1"/>
  <c r="DA268"/>
  <c r="AA264" i="45"/>
  <c r="AB264" s="1"/>
  <c r="AR264"/>
  <c r="CH268" i="43"/>
  <c r="AV265" i="45"/>
  <c r="GU269" i="43"/>
  <c r="GT269" s="1"/>
  <c r="AW265" i="45"/>
  <c r="BM268" i="43"/>
  <c r="GN269"/>
  <c r="GM269" s="1"/>
  <c r="GA268"/>
  <c r="GE268"/>
  <c r="AR268" s="1"/>
  <c r="AU265" i="45" l="1"/>
  <c r="AZ265" s="1"/>
  <c r="GW269" i="43"/>
  <c r="AT265" i="45"/>
  <c r="AT268" i="43"/>
  <c r="AD268"/>
  <c r="GG269"/>
  <c r="GF269" s="1"/>
  <c r="BD265" i="45"/>
  <c r="GI269" i="43"/>
  <c r="BB265" i="45"/>
  <c r="GY268" i="43"/>
  <c r="GR268"/>
  <c r="GK268"/>
  <c r="GD268"/>
  <c r="GP269"/>
  <c r="DO268" l="1"/>
  <c r="DP268" s="1"/>
  <c r="AE268"/>
  <c r="GB269"/>
  <c r="FZ269" s="1"/>
  <c r="AX265" i="45"/>
  <c r="EY268" i="43" l="1"/>
  <c r="EU268" s="1"/>
  <c r="T265" i="45"/>
  <c r="GJ269" i="43"/>
  <c r="GL269" s="1"/>
  <c r="BK269" s="1"/>
  <c r="GX269"/>
  <c r="GZ269" s="1"/>
  <c r="CY269" s="1"/>
  <c r="GQ269"/>
  <c r="GS269" s="1"/>
  <c r="CF269" s="1"/>
  <c r="GC269"/>
  <c r="EV268" l="1"/>
  <c r="GA269"/>
  <c r="GE269"/>
  <c r="AR269" s="1"/>
  <c r="DA269"/>
  <c r="HB270"/>
  <c r="HA270" s="1"/>
  <c r="CH269"/>
  <c r="AV266" i="45"/>
  <c r="GU270" i="43"/>
  <c r="GT270" s="1"/>
  <c r="AA265" i="45"/>
  <c r="AB265" s="1"/>
  <c r="AR265"/>
  <c r="AW266"/>
  <c r="BM269" i="43"/>
  <c r="GN270"/>
  <c r="GM270" s="1"/>
  <c r="AU266" i="45" l="1"/>
  <c r="AZ266" s="1"/>
  <c r="GK269" i="43"/>
  <c r="GY269"/>
  <c r="GR269"/>
  <c r="GD269"/>
  <c r="GI270"/>
  <c r="BB266" i="45"/>
  <c r="AT269" i="43"/>
  <c r="AT266" i="45"/>
  <c r="AD269" i="43"/>
  <c r="GG270"/>
  <c r="GF270" s="1"/>
  <c r="GP270"/>
  <c r="BD266" i="45"/>
  <c r="GW270" i="43"/>
  <c r="AX266" i="45" l="1"/>
  <c r="DO269" i="43"/>
  <c r="DP269" s="1"/>
  <c r="AE269"/>
  <c r="GB270"/>
  <c r="FZ270" s="1"/>
  <c r="EY269" l="1"/>
  <c r="EU269" s="1"/>
  <c r="EV269" s="1"/>
  <c r="GJ270"/>
  <c r="GL270" s="1"/>
  <c r="BK270" s="1"/>
  <c r="GQ270"/>
  <c r="GS270" s="1"/>
  <c r="CF270" s="1"/>
  <c r="GX270"/>
  <c r="GZ270" s="1"/>
  <c r="CY270" s="1"/>
  <c r="ES269"/>
  <c r="ER269" s="1"/>
  <c r="T266" i="45"/>
  <c r="GC270" i="43"/>
  <c r="CH270" l="1"/>
  <c r="BM270"/>
  <c r="HB271"/>
  <c r="HA271" s="1"/>
  <c r="GW271" s="1"/>
  <c r="DA270"/>
  <c r="AV267" i="45"/>
  <c r="GU271" i="43"/>
  <c r="GT271" s="1"/>
  <c r="GA270"/>
  <c r="GE270"/>
  <c r="AR270" s="1"/>
  <c r="AW267" i="45"/>
  <c r="GN271" i="43"/>
  <c r="GM271" s="1"/>
  <c r="AA266" i="45"/>
  <c r="AB266" s="1"/>
  <c r="AR266"/>
  <c r="AT270" i="43" l="1"/>
  <c r="AU267" i="45"/>
  <c r="AZ267" s="1"/>
  <c r="BD267"/>
  <c r="BB267"/>
  <c r="GI271" i="43"/>
  <c r="GP271"/>
  <c r="GY270"/>
  <c r="GD270"/>
  <c r="GK270"/>
  <c r="GR270"/>
  <c r="AT267" i="45"/>
  <c r="AD270" i="43"/>
  <c r="GG271"/>
  <c r="GF271" s="1"/>
  <c r="AX267" i="45" l="1"/>
  <c r="AE270" i="43"/>
  <c r="DO270"/>
  <c r="DP270" s="1"/>
  <c r="GB271"/>
  <c r="FZ271" s="1"/>
  <c r="T267" i="45" l="1"/>
  <c r="EY270" i="43"/>
  <c r="EU270" s="1"/>
  <c r="EV270" s="1"/>
  <c r="GX271"/>
  <c r="GZ271" s="1"/>
  <c r="CY271" s="1"/>
  <c r="GJ271"/>
  <c r="GL271" s="1"/>
  <c r="BK271" s="1"/>
  <c r="GQ271"/>
  <c r="GS271" s="1"/>
  <c r="CF271" s="1"/>
  <c r="ES270"/>
  <c r="ER270" s="1"/>
  <c r="GC271"/>
  <c r="BM271" l="1"/>
  <c r="CH271"/>
  <c r="AA267" i="45"/>
  <c r="AB267" s="1"/>
  <c r="AR267"/>
  <c r="HB272" i="43"/>
  <c r="HA272" s="1"/>
  <c r="GW272" s="1"/>
  <c r="DA271"/>
  <c r="AW268" i="45"/>
  <c r="GN272" i="43"/>
  <c r="GM272" s="1"/>
  <c r="AV268" i="45"/>
  <c r="GU272" i="43"/>
  <c r="GT272" s="1"/>
  <c r="GA271"/>
  <c r="GE271"/>
  <c r="AU268" i="45" l="1"/>
  <c r="AR271" i="43"/>
  <c r="AT268" i="45" s="1"/>
  <c r="BB268"/>
  <c r="BD268"/>
  <c r="GP272" i="43"/>
  <c r="GY271"/>
  <c r="GR271"/>
  <c r="GK271"/>
  <c r="GD271"/>
  <c r="GI272"/>
  <c r="AD271" l="1"/>
  <c r="DO271" s="1"/>
  <c r="DP271" s="1"/>
  <c r="GG272"/>
  <c r="GF272" s="1"/>
  <c r="GB272" s="1"/>
  <c r="FZ272" s="1"/>
  <c r="AZ268" i="45"/>
  <c r="AT271" i="43"/>
  <c r="AX268" i="45"/>
  <c r="AE271" i="43" l="1"/>
  <c r="ES271" s="1"/>
  <c r="ER271" s="1"/>
  <c r="GX272"/>
  <c r="GZ272" s="1"/>
  <c r="CY272" s="1"/>
  <c r="GQ272"/>
  <c r="GS272" s="1"/>
  <c r="CF272" s="1"/>
  <c r="GJ272"/>
  <c r="GL272" s="1"/>
  <c r="BK272" s="1"/>
  <c r="GC272"/>
  <c r="T268" i="45" l="1"/>
  <c r="AR268" s="1"/>
  <c r="EY271" i="43"/>
  <c r="EU271" s="1"/>
  <c r="EV271" s="1"/>
  <c r="BM272"/>
  <c r="CH272"/>
  <c r="HB273"/>
  <c r="HA273" s="1"/>
  <c r="GW273" s="1"/>
  <c r="DA272"/>
  <c r="W268" i="45"/>
  <c r="AV269"/>
  <c r="GU273" i="43"/>
  <c r="GT273" s="1"/>
  <c r="AW269" i="45"/>
  <c r="GN273" i="43"/>
  <c r="GM273" s="1"/>
  <c r="GA272"/>
  <c r="GE272"/>
  <c r="AR272" s="1"/>
  <c r="AU269" i="45" l="1"/>
  <c r="AZ269" s="1"/>
  <c r="AT272" i="43"/>
  <c r="BD269" i="45"/>
  <c r="BB269"/>
  <c r="AA268"/>
  <c r="AB268" s="1"/>
  <c r="Z268"/>
  <c r="GI273" i="43"/>
  <c r="GY272"/>
  <c r="GK272"/>
  <c r="GR272"/>
  <c r="GD272"/>
  <c r="AT269" i="45"/>
  <c r="AD272" i="43"/>
  <c r="GG273"/>
  <c r="GF273" s="1"/>
  <c r="GP273"/>
  <c r="AX269" i="45" l="1"/>
  <c r="GB273" i="43"/>
  <c r="FZ273" s="1"/>
  <c r="GC273" s="1"/>
  <c r="DO272"/>
  <c r="DP272" s="1"/>
  <c r="AE272"/>
  <c r="T269" i="45" l="1"/>
  <c r="W269" s="1"/>
  <c r="EY272" i="43"/>
  <c r="EU272" s="1"/>
  <c r="EU273" s="1"/>
  <c r="EU274" s="1"/>
  <c r="EU275" s="1"/>
  <c r="EU276" s="1"/>
  <c r="EU277" s="1"/>
  <c r="EU278" s="1"/>
  <c r="EU279" s="1"/>
  <c r="EU280" s="1"/>
  <c r="EU281" s="1"/>
  <c r="EU282" s="1"/>
  <c r="EU283" s="1"/>
  <c r="EU284" s="1"/>
  <c r="EU285" s="1"/>
  <c r="EU286" s="1"/>
  <c r="EU287" s="1"/>
  <c r="EU288" s="1"/>
  <c r="EU289" s="1"/>
  <c r="EU290" s="1"/>
  <c r="EU291" s="1"/>
  <c r="EU292" s="1"/>
  <c r="EU293" s="1"/>
  <c r="EU294" s="1"/>
  <c r="EU295" s="1"/>
  <c r="EU296" s="1"/>
  <c r="EU297" s="1"/>
  <c r="EU298" s="1"/>
  <c r="EU299" s="1"/>
  <c r="EU300" s="1"/>
  <c r="EU301" s="1"/>
  <c r="EU302" s="1"/>
  <c r="EU303" s="1"/>
  <c r="EU304" s="1"/>
  <c r="EU305" s="1"/>
  <c r="EU306" s="1"/>
  <c r="EU307" s="1"/>
  <c r="EU308" s="1"/>
  <c r="EU309" s="1"/>
  <c r="EU310" s="1"/>
  <c r="EU311" s="1"/>
  <c r="EU312" s="1"/>
  <c r="EU313" s="1"/>
  <c r="GX273"/>
  <c r="GZ273" s="1"/>
  <c r="CY273" s="1"/>
  <c r="GJ273"/>
  <c r="GL273" s="1"/>
  <c r="BK273" s="1"/>
  <c r="GQ273"/>
  <c r="GS273" s="1"/>
  <c r="CF273" s="1"/>
  <c r="GE273"/>
  <c r="AR273" s="1"/>
  <c r="ES272"/>
  <c r="ER272" s="1"/>
  <c r="AT273" l="1"/>
  <c r="BM273"/>
  <c r="CH273"/>
  <c r="HB274"/>
  <c r="HA274" s="1"/>
  <c r="GW274" s="1"/>
  <c r="DA273"/>
  <c r="AR269" i="45"/>
  <c r="AA269"/>
  <c r="AB269" s="1"/>
  <c r="Z269"/>
  <c r="EU314" i="43"/>
  <c r="EV272"/>
  <c r="AW270" i="45"/>
  <c r="GN274" i="43"/>
  <c r="GM274" s="1"/>
  <c r="AV270" i="45"/>
  <c r="GU274" i="43"/>
  <c r="GT274" s="1"/>
  <c r="AT270" i="45"/>
  <c r="AD273" i="43"/>
  <c r="GG274"/>
  <c r="GF274" s="1"/>
  <c r="GA273"/>
  <c r="AU270" i="45" l="1"/>
  <c r="AZ270" s="1"/>
  <c r="AX270"/>
  <c r="BB270"/>
  <c r="BD270"/>
  <c r="EU315" i="43"/>
  <c r="GB274"/>
  <c r="GK273"/>
  <c r="GR273"/>
  <c r="GY273"/>
  <c r="GD273"/>
  <c r="GP274"/>
  <c r="AE273"/>
  <c r="DO273"/>
  <c r="DP273" s="1"/>
  <c r="GI274"/>
  <c r="EV273" l="1"/>
  <c r="T270" i="45"/>
  <c r="EU316" i="43"/>
  <c r="ES273"/>
  <c r="ER273" s="1"/>
  <c r="FZ274"/>
  <c r="AR270" i="45" l="1"/>
  <c r="W270"/>
  <c r="EU317" i="43"/>
  <c r="GX274"/>
  <c r="GZ274" s="1"/>
  <c r="CY274" s="1"/>
  <c r="GQ274"/>
  <c r="GS274" s="1"/>
  <c r="CF274" s="1"/>
  <c r="GJ274"/>
  <c r="GL274" s="1"/>
  <c r="BK274" s="1"/>
  <c r="GC274"/>
  <c r="BM274" l="1"/>
  <c r="CH274"/>
  <c r="HB275"/>
  <c r="HA275" s="1"/>
  <c r="GW275" s="1"/>
  <c r="DA274"/>
  <c r="AA270" i="45"/>
  <c r="AB270" s="1"/>
  <c r="W271"/>
  <c r="Z270"/>
  <c r="EU318" i="43"/>
  <c r="GA274"/>
  <c r="GE274"/>
  <c r="AR274" s="1"/>
  <c r="AV271" i="45"/>
  <c r="GU275" i="43"/>
  <c r="GT275" s="1"/>
  <c r="AW271" i="45"/>
  <c r="GN275" i="43"/>
  <c r="GM275" s="1"/>
  <c r="AT274" l="1"/>
  <c r="Z271" i="45"/>
  <c r="W272"/>
  <c r="AU271"/>
  <c r="BD271"/>
  <c r="BB271"/>
  <c r="EU319" i="43"/>
  <c r="GR274"/>
  <c r="GK274"/>
  <c r="GY274"/>
  <c r="GD274"/>
  <c r="GP275"/>
  <c r="AD274"/>
  <c r="AT271" i="45"/>
  <c r="GG275" i="43"/>
  <c r="GF275" s="1"/>
  <c r="GI275"/>
  <c r="Z272" i="45" l="1"/>
  <c r="W273"/>
  <c r="W274" s="1"/>
  <c r="AZ271"/>
  <c r="AX271"/>
  <c r="EU320" i="43"/>
  <c r="GB275"/>
  <c r="FZ275" s="1"/>
  <c r="GC275" s="1"/>
  <c r="AE274"/>
  <c r="DO274"/>
  <c r="DP274" s="1"/>
  <c r="Z273" i="45" l="1"/>
  <c r="T271"/>
  <c r="AR271" s="1"/>
  <c r="EU321" i="43"/>
  <c r="GE275"/>
  <c r="AR275" s="1"/>
  <c r="GX275"/>
  <c r="GZ275" s="1"/>
  <c r="CY275" s="1"/>
  <c r="GQ275"/>
  <c r="GS275" s="1"/>
  <c r="CF275" s="1"/>
  <c r="GJ275"/>
  <c r="GL275" s="1"/>
  <c r="BK275" s="1"/>
  <c r="ES274"/>
  <c r="ER274" s="1"/>
  <c r="EV274"/>
  <c r="Z274" i="45" l="1"/>
  <c r="W275"/>
  <c r="W276" s="1"/>
  <c r="AT275" i="43"/>
  <c r="CH275"/>
  <c r="BM275"/>
  <c r="HB276"/>
  <c r="HA276" s="1"/>
  <c r="GW276" s="1"/>
  <c r="DA275"/>
  <c r="AA271" i="45"/>
  <c r="AB271" s="1"/>
  <c r="EU322" i="43"/>
  <c r="AV272" i="45"/>
  <c r="GU276" i="43"/>
  <c r="GT276" s="1"/>
  <c r="AW272" i="45"/>
  <c r="GN276" i="43"/>
  <c r="GM276" s="1"/>
  <c r="GA275"/>
  <c r="AT272" i="45"/>
  <c r="AD275" i="43"/>
  <c r="GG276"/>
  <c r="GF276" s="1"/>
  <c r="Z275" i="45" l="1"/>
  <c r="Z276"/>
  <c r="BB272"/>
  <c r="AX272"/>
  <c r="BD272"/>
  <c r="AU272"/>
  <c r="EU323" i="43"/>
  <c r="EV322"/>
  <c r="GB276"/>
  <c r="GR275"/>
  <c r="GD275"/>
  <c r="GK275"/>
  <c r="GY275"/>
  <c r="AE275"/>
  <c r="DO275"/>
  <c r="DP275" s="1"/>
  <c r="GI276"/>
  <c r="GP276"/>
  <c r="W277" i="45" l="1"/>
  <c r="AZ272"/>
  <c r="T272"/>
  <c r="EV323" i="43"/>
  <c r="EU324"/>
  <c r="FZ276"/>
  <c r="EV275"/>
  <c r="ES275"/>
  <c r="ER275" s="1"/>
  <c r="Z277" i="45" l="1"/>
  <c r="W278"/>
  <c r="AA272"/>
  <c r="AB272" s="1"/>
  <c r="AR272"/>
  <c r="EU325" i="43"/>
  <c r="EV324"/>
  <c r="GX276"/>
  <c r="GZ276" s="1"/>
  <c r="CY276" s="1"/>
  <c r="GC276"/>
  <c r="GJ276"/>
  <c r="GL276" s="1"/>
  <c r="BK276" s="1"/>
  <c r="GQ276"/>
  <c r="GS276" s="1"/>
  <c r="CF276" s="1"/>
  <c r="Z278" i="45" l="1"/>
  <c r="W279"/>
  <c r="CH276" i="43"/>
  <c r="BM276"/>
  <c r="HB277"/>
  <c r="HA277" s="1"/>
  <c r="GW277" s="1"/>
  <c r="DA276"/>
  <c r="EU326"/>
  <c r="EV325"/>
  <c r="GA276"/>
  <c r="GE276"/>
  <c r="AR276" s="1"/>
  <c r="AW273" i="45"/>
  <c r="GN277" i="43"/>
  <c r="GM277" s="1"/>
  <c r="AV273" i="45"/>
  <c r="GU277" i="43"/>
  <c r="GT277" s="1"/>
  <c r="Z279" i="45" l="1"/>
  <c r="W280"/>
  <c r="AU273"/>
  <c r="AZ273" s="1"/>
  <c r="AT276" i="43"/>
  <c r="BB273" i="45"/>
  <c r="BD273"/>
  <c r="EU327" i="43"/>
  <c r="EV326"/>
  <c r="GI277"/>
  <c r="GR276"/>
  <c r="GK276"/>
  <c r="GD276"/>
  <c r="GY276"/>
  <c r="GP277"/>
  <c r="AT273" i="45"/>
  <c r="AD276" i="43"/>
  <c r="GG277"/>
  <c r="GF277" s="1"/>
  <c r="Z280" i="45" l="1"/>
  <c r="W281"/>
  <c r="W282" s="1"/>
  <c r="W283" s="1"/>
  <c r="AX273"/>
  <c r="EV327" i="43"/>
  <c r="EU328"/>
  <c r="AE276"/>
  <c r="DO276"/>
  <c r="DP276" s="1"/>
  <c r="GB277"/>
  <c r="FZ277" s="1"/>
  <c r="Z283" i="45" l="1"/>
  <c r="W284"/>
  <c r="Z281"/>
  <c r="Z282"/>
  <c r="T273"/>
  <c r="EU329" i="43"/>
  <c r="EV328"/>
  <c r="EV276"/>
  <c r="ES276"/>
  <c r="ER276" s="1"/>
  <c r="GX277"/>
  <c r="GZ277" s="1"/>
  <c r="CY277" s="1"/>
  <c r="GQ277"/>
  <c r="GS277" s="1"/>
  <c r="CF277" s="1"/>
  <c r="GJ277"/>
  <c r="GL277" s="1"/>
  <c r="BK277" s="1"/>
  <c r="GC277"/>
  <c r="Z284" i="45" l="1"/>
  <c r="W285"/>
  <c r="BM277" i="43"/>
  <c r="CH277"/>
  <c r="AR273" i="45"/>
  <c r="AA273"/>
  <c r="AB273" s="1"/>
  <c r="HB278" i="43"/>
  <c r="HA278" s="1"/>
  <c r="GW278" s="1"/>
  <c r="DA277"/>
  <c r="EU330"/>
  <c r="EV329"/>
  <c r="AW274" i="45"/>
  <c r="GN278" i="43"/>
  <c r="GM278" s="1"/>
  <c r="GA277"/>
  <c r="GE277"/>
  <c r="AR277" s="1"/>
  <c r="AV274" i="45"/>
  <c r="GU278" i="43"/>
  <c r="GT278" s="1"/>
  <c r="Z285" i="45" l="1"/>
  <c r="W286"/>
  <c r="AT277" i="43"/>
  <c r="AU274" i="45"/>
  <c r="AZ274" s="1"/>
  <c r="BB274"/>
  <c r="BD274"/>
  <c r="EU331" i="43"/>
  <c r="EV330"/>
  <c r="GP278"/>
  <c r="GI278"/>
  <c r="GR277"/>
  <c r="GK277"/>
  <c r="GD277"/>
  <c r="GY277"/>
  <c r="AT274" i="45"/>
  <c r="AD277" i="43"/>
  <c r="GG278"/>
  <c r="GF278" s="1"/>
  <c r="W287" i="45" l="1"/>
  <c r="W288" s="1"/>
  <c r="Z286"/>
  <c r="AX274"/>
  <c r="EV331" i="43"/>
  <c r="EU332"/>
  <c r="AE277"/>
  <c r="DO277"/>
  <c r="DP277" s="1"/>
  <c r="GB278"/>
  <c r="FZ278" s="1"/>
  <c r="Z287" i="45" l="1"/>
  <c r="T274"/>
  <c r="EU333" i="43"/>
  <c r="EV332"/>
  <c r="ES277"/>
  <c r="ER277" s="1"/>
  <c r="EV277"/>
  <c r="GX278"/>
  <c r="GZ278" s="1"/>
  <c r="CY278" s="1"/>
  <c r="GJ278"/>
  <c r="GL278" s="1"/>
  <c r="BK278" s="1"/>
  <c r="GQ278"/>
  <c r="GS278" s="1"/>
  <c r="CF278" s="1"/>
  <c r="GC278"/>
  <c r="Z288" i="45" l="1"/>
  <c r="W289"/>
  <c r="W290" s="1"/>
  <c r="W291" s="1"/>
  <c r="W292" s="1"/>
  <c r="CH278" i="43"/>
  <c r="BM278"/>
  <c r="HB279"/>
  <c r="HA279" s="1"/>
  <c r="GW279" s="1"/>
  <c r="DA278"/>
  <c r="AA274" i="45"/>
  <c r="AB274" s="1"/>
  <c r="AR274"/>
  <c r="EU334" i="43"/>
  <c r="EV333"/>
  <c r="AV275" i="45"/>
  <c r="GU279" i="43"/>
  <c r="GT279" s="1"/>
  <c r="GA278"/>
  <c r="GE278"/>
  <c r="AR278" s="1"/>
  <c r="AW275" i="45"/>
  <c r="GN279" i="43"/>
  <c r="GM279" s="1"/>
  <c r="Z292" i="45" l="1"/>
  <c r="W293"/>
  <c r="Z289"/>
  <c r="AT278" i="43"/>
  <c r="AU275" i="45"/>
  <c r="AZ275" s="1"/>
  <c r="BD275"/>
  <c r="BB275"/>
  <c r="EU335" i="43"/>
  <c r="EV334"/>
  <c r="GP279"/>
  <c r="GI279"/>
  <c r="AD278"/>
  <c r="AT275" i="45"/>
  <c r="GG279" i="43"/>
  <c r="GF279" s="1"/>
  <c r="GY278"/>
  <c r="GR278"/>
  <c r="GK278"/>
  <c r="GD278"/>
  <c r="Z293" i="45" l="1"/>
  <c r="W294"/>
  <c r="Z290"/>
  <c r="Z291"/>
  <c r="AX275"/>
  <c r="EV335" i="43"/>
  <c r="EU336"/>
  <c r="DO278"/>
  <c r="DP278" s="1"/>
  <c r="AE278"/>
  <c r="GB279"/>
  <c r="FZ279" s="1"/>
  <c r="Z294" i="45" l="1"/>
  <c r="W295"/>
  <c r="W296" s="1"/>
  <c r="T275"/>
  <c r="AR275" s="1"/>
  <c r="EU337" i="43"/>
  <c r="EV336"/>
  <c r="ES278"/>
  <c r="ER278" s="1"/>
  <c r="EV278"/>
  <c r="GX279"/>
  <c r="GZ279" s="1"/>
  <c r="CY279" s="1"/>
  <c r="GJ279"/>
  <c r="GL279" s="1"/>
  <c r="BK279" s="1"/>
  <c r="GQ279"/>
  <c r="GS279" s="1"/>
  <c r="CF279" s="1"/>
  <c r="GC279"/>
  <c r="Z295" i="45" l="1"/>
  <c r="CH279" i="43"/>
  <c r="BM279"/>
  <c r="HB280"/>
  <c r="HA280" s="1"/>
  <c r="GW280" s="1"/>
  <c r="DA279"/>
  <c r="AA275" i="45"/>
  <c r="AB275" s="1"/>
  <c r="EU338" i="43"/>
  <c r="EV337"/>
  <c r="AV276" i="45"/>
  <c r="GU280" i="43"/>
  <c r="GT280" s="1"/>
  <c r="GA279"/>
  <c r="GE279"/>
  <c r="AR279" s="1"/>
  <c r="AW276" i="45"/>
  <c r="GN280" i="43"/>
  <c r="GM280" s="1"/>
  <c r="Z296" i="45" l="1"/>
  <c r="W297"/>
  <c r="AT279" i="43"/>
  <c r="AU276" i="45"/>
  <c r="AZ276" s="1"/>
  <c r="BD276"/>
  <c r="BB276"/>
  <c r="EU339" i="43"/>
  <c r="EV338"/>
  <c r="GI280"/>
  <c r="AT276" i="45"/>
  <c r="AD279" i="43"/>
  <c r="GG280"/>
  <c r="GF280" s="1"/>
  <c r="GP280"/>
  <c r="GD279"/>
  <c r="GR279"/>
  <c r="GY279"/>
  <c r="GK279"/>
  <c r="Z297" i="45" l="1"/>
  <c r="W298"/>
  <c r="AX276"/>
  <c r="EV339" i="43"/>
  <c r="EU340"/>
  <c r="GB280"/>
  <c r="FZ280" s="1"/>
  <c r="DO279"/>
  <c r="DP279" s="1"/>
  <c r="AE279"/>
  <c r="Z298" i="45" l="1"/>
  <c r="W299"/>
  <c r="T276"/>
  <c r="AR276" s="1"/>
  <c r="EU341" i="43"/>
  <c r="EV340"/>
  <c r="GX280"/>
  <c r="GZ280" s="1"/>
  <c r="CY280" s="1"/>
  <c r="GJ280"/>
  <c r="GL280" s="1"/>
  <c r="BK280" s="1"/>
  <c r="GQ280"/>
  <c r="GS280" s="1"/>
  <c r="CF280" s="1"/>
  <c r="GC280"/>
  <c r="ES279"/>
  <c r="ER279" s="1"/>
  <c r="EV279"/>
  <c r="Z299" i="45" l="1"/>
  <c r="W300"/>
  <c r="BM280" i="43"/>
  <c r="CH280"/>
  <c r="HB281"/>
  <c r="HA281" s="1"/>
  <c r="GW281" s="1"/>
  <c r="DA280"/>
  <c r="AA276" i="45"/>
  <c r="AB276" s="1"/>
  <c r="EU342" i="43"/>
  <c r="EV341"/>
  <c r="AW277" i="45"/>
  <c r="GN281" i="43"/>
  <c r="GM281" s="1"/>
  <c r="AV277" i="45"/>
  <c r="GU281" i="43"/>
  <c r="GT281" s="1"/>
  <c r="GA280"/>
  <c r="GE280"/>
  <c r="AR280" s="1"/>
  <c r="Z300" i="45" l="1"/>
  <c r="W301"/>
  <c r="W302" s="1"/>
  <c r="W303" s="1"/>
  <c r="AU277"/>
  <c r="AT280" i="43"/>
  <c r="BB277" i="45"/>
  <c r="BD277"/>
  <c r="EU343" i="43"/>
  <c r="EV342"/>
  <c r="GP281"/>
  <c r="GY280"/>
  <c r="GR280"/>
  <c r="GD280"/>
  <c r="GK280"/>
  <c r="AD280"/>
  <c r="AT277" i="45"/>
  <c r="GG281" i="43"/>
  <c r="GF281" s="1"/>
  <c r="GI281"/>
  <c r="Z303" i="45" l="1"/>
  <c r="W304"/>
  <c r="Z301"/>
  <c r="Z302"/>
  <c r="AZ277"/>
  <c r="AX277"/>
  <c r="EU344" i="43"/>
  <c r="EV343"/>
  <c r="GB281"/>
  <c r="FZ281" s="1"/>
  <c r="GC281" s="1"/>
  <c r="AE280"/>
  <c r="DO280"/>
  <c r="DP280" s="1"/>
  <c r="Z304" i="45" l="1"/>
  <c r="W305"/>
  <c r="T277"/>
  <c r="EU345" i="43"/>
  <c r="EV344"/>
  <c r="GX281"/>
  <c r="GZ281" s="1"/>
  <c r="CY281" s="1"/>
  <c r="GQ281"/>
  <c r="GS281" s="1"/>
  <c r="CF281" s="1"/>
  <c r="GJ281"/>
  <c r="GL281" s="1"/>
  <c r="BK281" s="1"/>
  <c r="GE281"/>
  <c r="AR281" s="1"/>
  <c r="ES280"/>
  <c r="ER280" s="1"/>
  <c r="EV280"/>
  <c r="Z305" i="45" l="1"/>
  <c r="W306"/>
  <c r="BM281" i="43"/>
  <c r="CH281"/>
  <c r="AT281"/>
  <c r="AR277" i="45"/>
  <c r="HB282" i="43"/>
  <c r="HA282" s="1"/>
  <c r="GW282" s="1"/>
  <c r="DA281"/>
  <c r="AA277" i="45"/>
  <c r="AB277" s="1"/>
  <c r="EU346" i="43"/>
  <c r="EV345"/>
  <c r="AD281"/>
  <c r="AT278" i="45"/>
  <c r="GG282" i="43"/>
  <c r="GF282" s="1"/>
  <c r="AV278" i="45"/>
  <c r="GU282" i="43"/>
  <c r="GT282" s="1"/>
  <c r="AW278" i="45"/>
  <c r="GN282" i="43"/>
  <c r="GM282" s="1"/>
  <c r="GA281"/>
  <c r="Z306" i="45" l="1"/>
  <c r="W307"/>
  <c r="AU278"/>
  <c r="AZ278" s="1"/>
  <c r="BD278"/>
  <c r="AX278"/>
  <c r="BB278"/>
  <c r="EV346" i="43"/>
  <c r="EU347"/>
  <c r="GI282"/>
  <c r="GB282"/>
  <c r="GR281"/>
  <c r="GD281"/>
  <c r="GY281"/>
  <c r="GK281"/>
  <c r="AE281"/>
  <c r="DO281"/>
  <c r="DP281" s="1"/>
  <c r="GP282"/>
  <c r="Z307" i="45" l="1"/>
  <c r="W308"/>
  <c r="T278"/>
  <c r="EU348" i="43"/>
  <c r="EV347"/>
  <c r="EV281"/>
  <c r="ES281"/>
  <c r="ER281" s="1"/>
  <c r="FZ282"/>
  <c r="Z308" i="45" l="1"/>
  <c r="W309"/>
  <c r="AA278"/>
  <c r="AB278" s="1"/>
  <c r="AR278"/>
  <c r="EU349" i="43"/>
  <c r="EV349" s="1"/>
  <c r="EU350" s="1"/>
  <c r="EV350" s="1"/>
  <c r="EU351" s="1"/>
  <c r="EV351" s="1"/>
  <c r="EU352" s="1"/>
  <c r="EV352" s="1"/>
  <c r="EU353" s="1"/>
  <c r="EV353" s="1"/>
  <c r="EU354" s="1"/>
  <c r="EV354" s="1"/>
  <c r="EU355" s="1"/>
  <c r="EV355" s="1"/>
  <c r="EU356" s="1"/>
  <c r="EV356" s="1"/>
  <c r="EU357" s="1"/>
  <c r="EV357" s="1"/>
  <c r="EU358" s="1"/>
  <c r="EV358" s="1"/>
  <c r="EU359" s="1"/>
  <c r="EV359" s="1"/>
  <c r="EU360" s="1"/>
  <c r="EV360" s="1"/>
  <c r="EU361" s="1"/>
  <c r="EV361" s="1"/>
  <c r="EU362" s="1"/>
  <c r="EV362" s="1"/>
  <c r="EU363" s="1"/>
  <c r="EV363" s="1"/>
  <c r="EU364" s="1"/>
  <c r="EV364" s="1"/>
  <c r="EU365" s="1"/>
  <c r="EV365" s="1"/>
  <c r="EU366" s="1"/>
  <c r="EV366" s="1"/>
  <c r="EU367" s="1"/>
  <c r="EV367" s="1"/>
  <c r="EU368" s="1"/>
  <c r="EV368" s="1"/>
  <c r="EU369" s="1"/>
  <c r="EV369" s="1"/>
  <c r="EU370" s="1"/>
  <c r="EV370" s="1"/>
  <c r="EU371" s="1"/>
  <c r="EV371" s="1"/>
  <c r="EU372" s="1"/>
  <c r="EV372" s="1"/>
  <c r="EU373" s="1"/>
  <c r="EV373" s="1"/>
  <c r="EU374" s="1"/>
  <c r="EV374" s="1"/>
  <c r="EU375" s="1"/>
  <c r="EV375" s="1"/>
  <c r="EU376" s="1"/>
  <c r="EV376" s="1"/>
  <c r="EU377" s="1"/>
  <c r="EV377" s="1"/>
  <c r="EU378" s="1"/>
  <c r="EV378" s="1"/>
  <c r="EU379" s="1"/>
  <c r="EV379" s="1"/>
  <c r="EU380" s="1"/>
  <c r="EV380" s="1"/>
  <c r="EU381" s="1"/>
  <c r="EV381" s="1"/>
  <c r="EU382" s="1"/>
  <c r="EV382" s="1"/>
  <c r="EU383" s="1"/>
  <c r="EV383" s="1"/>
  <c r="EU384" s="1"/>
  <c r="EV384" s="1"/>
  <c r="EU385" s="1"/>
  <c r="EV385" s="1"/>
  <c r="EV348"/>
  <c r="GX282"/>
  <c r="GZ282" s="1"/>
  <c r="CY282" s="1"/>
  <c r="GC282"/>
  <c r="GJ282"/>
  <c r="GL282" s="1"/>
  <c r="BK282" s="1"/>
  <c r="GQ282"/>
  <c r="GS282" s="1"/>
  <c r="CF282" s="1"/>
  <c r="Z309" i="45" l="1"/>
  <c r="W310"/>
  <c r="W311" s="1"/>
  <c r="W312" s="1"/>
  <c r="BM282" i="43"/>
  <c r="CH282"/>
  <c r="HB283"/>
  <c r="HA283" s="1"/>
  <c r="GW283" s="1"/>
  <c r="DA282"/>
  <c r="AV279" i="45"/>
  <c r="GU283" i="43"/>
  <c r="GT283" s="1"/>
  <c r="GA282"/>
  <c r="GE282"/>
  <c r="AR282" s="1"/>
  <c r="AW279" i="45"/>
  <c r="GN283" i="43"/>
  <c r="GM283" s="1"/>
  <c r="Z312" i="45" l="1"/>
  <c r="W313"/>
  <c r="Z311"/>
  <c r="Z310"/>
  <c r="AU279"/>
  <c r="AZ279" s="1"/>
  <c r="AT282" i="43"/>
  <c r="BB279" i="45"/>
  <c r="BD279"/>
  <c r="AT279"/>
  <c r="AD282" i="43"/>
  <c r="GG283"/>
  <c r="GF283" s="1"/>
  <c r="GD282"/>
  <c r="GK282"/>
  <c r="GR282"/>
  <c r="GY282"/>
  <c r="GP283"/>
  <c r="GI283"/>
  <c r="Z313" i="45" l="1"/>
  <c r="W314"/>
  <c r="AX279"/>
  <c r="AE282" i="43"/>
  <c r="DO282"/>
  <c r="DP282" s="1"/>
  <c r="GB283"/>
  <c r="FZ283" s="1"/>
  <c r="Z314" i="45" l="1"/>
  <c r="W315"/>
  <c r="T279"/>
  <c r="AR279" s="1"/>
  <c r="GX283" i="43"/>
  <c r="GZ283" s="1"/>
  <c r="CY283" s="1"/>
  <c r="GJ283"/>
  <c r="GL283" s="1"/>
  <c r="BK283" s="1"/>
  <c r="GQ283"/>
  <c r="GS283" s="1"/>
  <c r="CF283" s="1"/>
  <c r="EV282"/>
  <c r="ES282"/>
  <c r="ER282" s="1"/>
  <c r="GC283"/>
  <c r="Z315" i="45" l="1"/>
  <c r="W316"/>
  <c r="CH283" i="43"/>
  <c r="BM283"/>
  <c r="HB284"/>
  <c r="HA284" s="1"/>
  <c r="GW284" s="1"/>
  <c r="DA283"/>
  <c r="AA279" i="45"/>
  <c r="AB279" s="1"/>
  <c r="GA283" i="43"/>
  <c r="GE283"/>
  <c r="AR283" s="1"/>
  <c r="AW280" i="45"/>
  <c r="GN284" i="43"/>
  <c r="GM284" s="1"/>
  <c r="AV280" i="45"/>
  <c r="GU284" i="43"/>
  <c r="GT284" s="1"/>
  <c r="Z316" i="45" l="1"/>
  <c r="W317"/>
  <c r="AT283" i="43"/>
  <c r="AU280" i="45"/>
  <c r="AZ280" s="1"/>
  <c r="BD280"/>
  <c r="BB280"/>
  <c r="GI284" i="43"/>
  <c r="GD283"/>
  <c r="GY283"/>
  <c r="GR283"/>
  <c r="GK283"/>
  <c r="GP284"/>
  <c r="AD283"/>
  <c r="AT280" i="45"/>
  <c r="GG284" i="43"/>
  <c r="GF284" s="1"/>
  <c r="Z317" i="45" l="1"/>
  <c r="W318"/>
  <c r="AX280"/>
  <c r="AE283" i="43"/>
  <c r="DO283"/>
  <c r="DP283" s="1"/>
  <c r="GB284"/>
  <c r="FZ284" s="1"/>
  <c r="Z318" i="45" l="1"/>
  <c r="W319"/>
  <c r="W320" s="1"/>
  <c r="W321" s="1"/>
  <c r="W322" s="1"/>
  <c r="W323" s="1"/>
  <c r="W324" s="1"/>
  <c r="W325" s="1"/>
  <c r="W326" s="1"/>
  <c r="W327" s="1"/>
  <c r="W328" s="1"/>
  <c r="W329" s="1"/>
  <c r="W330" s="1"/>
  <c r="W331" s="1"/>
  <c r="W332" s="1"/>
  <c r="W333" s="1"/>
  <c r="W334" s="1"/>
  <c r="W335" s="1"/>
  <c r="W336" s="1"/>
  <c r="W337" s="1"/>
  <c r="W338" s="1"/>
  <c r="W339" s="1"/>
  <c r="W340" s="1"/>
  <c r="W341" s="1"/>
  <c r="W342" s="1"/>
  <c r="W343" s="1"/>
  <c r="W344" s="1"/>
  <c r="W345" s="1"/>
  <c r="W346" s="1"/>
  <c r="W347" s="1"/>
  <c r="W348" s="1"/>
  <c r="W349" s="1"/>
  <c r="W350" s="1"/>
  <c r="W351" s="1"/>
  <c r="W352" s="1"/>
  <c r="W353" s="1"/>
  <c r="W354" s="1"/>
  <c r="W355" s="1"/>
  <c r="W356" s="1"/>
  <c r="W357" s="1"/>
  <c r="W358" s="1"/>
  <c r="W359" s="1"/>
  <c r="W360" s="1"/>
  <c r="W361" s="1"/>
  <c r="W362" s="1"/>
  <c r="W363" s="1"/>
  <c r="W364" s="1"/>
  <c r="W365" s="1"/>
  <c r="W366" s="1"/>
  <c r="W367" s="1"/>
  <c r="W368" s="1"/>
  <c r="W369" s="1"/>
  <c r="W370" s="1"/>
  <c r="W371" s="1"/>
  <c r="W372" s="1"/>
  <c r="W373" s="1"/>
  <c r="W374" s="1"/>
  <c r="W375" s="1"/>
  <c r="W376" s="1"/>
  <c r="W377" s="1"/>
  <c r="W378" s="1"/>
  <c r="W379" s="1"/>
  <c r="T280"/>
  <c r="ES283" i="43"/>
  <c r="ER283" s="1"/>
  <c r="EV283"/>
  <c r="GX284"/>
  <c r="GZ284" s="1"/>
  <c r="CY284" s="1"/>
  <c r="GQ284"/>
  <c r="GS284" s="1"/>
  <c r="CF284" s="1"/>
  <c r="GJ284"/>
  <c r="GL284" s="1"/>
  <c r="BK284" s="1"/>
  <c r="GC284"/>
  <c r="W380" i="45" l="1"/>
  <c r="Z379"/>
  <c r="AA379"/>
  <c r="AB379" s="1"/>
  <c r="Z378"/>
  <c r="AA378"/>
  <c r="AB378" s="1"/>
  <c r="Z377"/>
  <c r="AA377"/>
  <c r="AB377" s="1"/>
  <c r="Z376"/>
  <c r="AA376"/>
  <c r="AB376" s="1"/>
  <c r="Z375"/>
  <c r="AA375"/>
  <c r="AB375" s="1"/>
  <c r="Z374"/>
  <c r="AA374"/>
  <c r="AB374" s="1"/>
  <c r="Z373"/>
  <c r="AA373"/>
  <c r="AB373" s="1"/>
  <c r="Z372"/>
  <c r="AA372"/>
  <c r="AB372" s="1"/>
  <c r="Z371"/>
  <c r="AA371"/>
  <c r="AB371" s="1"/>
  <c r="Z370"/>
  <c r="AA370"/>
  <c r="AB370" s="1"/>
  <c r="Z369"/>
  <c r="AA369"/>
  <c r="AB369" s="1"/>
  <c r="Z368"/>
  <c r="AA368"/>
  <c r="AB368" s="1"/>
  <c r="Z367"/>
  <c r="AA367"/>
  <c r="AB367" s="1"/>
  <c r="Z366"/>
  <c r="AA366"/>
  <c r="AB366" s="1"/>
  <c r="Z365"/>
  <c r="AA365"/>
  <c r="AB365" s="1"/>
  <c r="Z364"/>
  <c r="AA364"/>
  <c r="AB364" s="1"/>
  <c r="Z363"/>
  <c r="AA363"/>
  <c r="AB363" s="1"/>
  <c r="Z362"/>
  <c r="AA362"/>
  <c r="AB362" s="1"/>
  <c r="Z361"/>
  <c r="AA361"/>
  <c r="AB361" s="1"/>
  <c r="Z360"/>
  <c r="AA360"/>
  <c r="AB360" s="1"/>
  <c r="Z359"/>
  <c r="AA359"/>
  <c r="AB359" s="1"/>
  <c r="Z358"/>
  <c r="AA358"/>
  <c r="AB358" s="1"/>
  <c r="Z357"/>
  <c r="AA357"/>
  <c r="AB357" s="1"/>
  <c r="Z356"/>
  <c r="AA356"/>
  <c r="AB356" s="1"/>
  <c r="Z355"/>
  <c r="AA355"/>
  <c r="AB355" s="1"/>
  <c r="Z354"/>
  <c r="AA354"/>
  <c r="AB354" s="1"/>
  <c r="Z353"/>
  <c r="AA353"/>
  <c r="AB353" s="1"/>
  <c r="Z352"/>
  <c r="AA352"/>
  <c r="AB352" s="1"/>
  <c r="Z351"/>
  <c r="AA351"/>
  <c r="AB351" s="1"/>
  <c r="Z350"/>
  <c r="AA350"/>
  <c r="AB350" s="1"/>
  <c r="Z349"/>
  <c r="AA349"/>
  <c r="AB349" s="1"/>
  <c r="Z348"/>
  <c r="AA348"/>
  <c r="AB348" s="1"/>
  <c r="Z347"/>
  <c r="AA347"/>
  <c r="AB347" s="1"/>
  <c r="Z346"/>
  <c r="AA346"/>
  <c r="AB346" s="1"/>
  <c r="Z345"/>
  <c r="AA345"/>
  <c r="AB345" s="1"/>
  <c r="Z344"/>
  <c r="AA344"/>
  <c r="AB344" s="1"/>
  <c r="Z343"/>
  <c r="AA343"/>
  <c r="AB343" s="1"/>
  <c r="Z342"/>
  <c r="AA342"/>
  <c r="AB342" s="1"/>
  <c r="Z341"/>
  <c r="AA341"/>
  <c r="AB341" s="1"/>
  <c r="Z340"/>
  <c r="AA340"/>
  <c r="AB340" s="1"/>
  <c r="Z339"/>
  <c r="AA339"/>
  <c r="AB339" s="1"/>
  <c r="Z338"/>
  <c r="AA338"/>
  <c r="AB338" s="1"/>
  <c r="Z337"/>
  <c r="AA337"/>
  <c r="AB337" s="1"/>
  <c r="Z336"/>
  <c r="AA336"/>
  <c r="AB336" s="1"/>
  <c r="Z335"/>
  <c r="AA335"/>
  <c r="AB335" s="1"/>
  <c r="Z334"/>
  <c r="AA334"/>
  <c r="AB334" s="1"/>
  <c r="Z333"/>
  <c r="AA333"/>
  <c r="AB333" s="1"/>
  <c r="Z332"/>
  <c r="AA332"/>
  <c r="AB332" s="1"/>
  <c r="Z331"/>
  <c r="AA331"/>
  <c r="AB331" s="1"/>
  <c r="Z330"/>
  <c r="AA330"/>
  <c r="AB330" s="1"/>
  <c r="Z329"/>
  <c r="AA329"/>
  <c r="AB329" s="1"/>
  <c r="Z328"/>
  <c r="AA328"/>
  <c r="AB328" s="1"/>
  <c r="Z327"/>
  <c r="AA327"/>
  <c r="AB327" s="1"/>
  <c r="Z326"/>
  <c r="AA326"/>
  <c r="AB326" s="1"/>
  <c r="Z325"/>
  <c r="AA325"/>
  <c r="AB325" s="1"/>
  <c r="Z324"/>
  <c r="AA324"/>
  <c r="AB324" s="1"/>
  <c r="Z323"/>
  <c r="AA323"/>
  <c r="AB323" s="1"/>
  <c r="Z322"/>
  <c r="AA322"/>
  <c r="AB322" s="1"/>
  <c r="Z321"/>
  <c r="AA321"/>
  <c r="AB321" s="1"/>
  <c r="Z320"/>
  <c r="AA320"/>
  <c r="AB320" s="1"/>
  <c r="Z319"/>
  <c r="AA319"/>
  <c r="AB319" s="1"/>
  <c r="AV281"/>
  <c r="CH284" i="43"/>
  <c r="BM284"/>
  <c r="HB285"/>
  <c r="HA285" s="1"/>
  <c r="GW285" s="1"/>
  <c r="DA284"/>
  <c r="AR280" i="45"/>
  <c r="AA280"/>
  <c r="AB280" s="1"/>
  <c r="AW281"/>
  <c r="GN285" i="43"/>
  <c r="GM285" s="1"/>
  <c r="GA284"/>
  <c r="GE284"/>
  <c r="AR284" s="1"/>
  <c r="GU285"/>
  <c r="GT285" s="1"/>
  <c r="AA380" i="45" l="1"/>
  <c r="AB380" s="1"/>
  <c r="Z380"/>
  <c r="AU281"/>
  <c r="AZ281" s="1"/>
  <c r="AT284" i="43"/>
  <c r="BD281" i="45"/>
  <c r="BB281"/>
  <c r="GP285" i="43"/>
  <c r="GI285"/>
  <c r="AT281" i="45"/>
  <c r="AD284" i="43"/>
  <c r="GG285"/>
  <c r="GF285" s="1"/>
  <c r="GD284"/>
  <c r="GR284"/>
  <c r="GY284"/>
  <c r="GK284"/>
  <c r="AX281" i="45" l="1"/>
  <c r="AE284" i="43"/>
  <c r="DO284"/>
  <c r="DP284" s="1"/>
  <c r="GB285"/>
  <c r="FZ285" s="1"/>
  <c r="T281" i="45" l="1"/>
  <c r="ES284" i="43"/>
  <c r="ER284" s="1"/>
  <c r="EV284"/>
  <c r="GX285"/>
  <c r="GZ285" s="1"/>
  <c r="CY285" s="1"/>
  <c r="GJ285"/>
  <c r="GL285" s="1"/>
  <c r="BK285" s="1"/>
  <c r="GQ285"/>
  <c r="GS285" s="1"/>
  <c r="CF285" s="1"/>
  <c r="GC285"/>
  <c r="BM285" l="1"/>
  <c r="CH285"/>
  <c r="HB286"/>
  <c r="HA286" s="1"/>
  <c r="GW286" s="1"/>
  <c r="DA285"/>
  <c r="AR281" i="45"/>
  <c r="AA281"/>
  <c r="AB281" s="1"/>
  <c r="AV282"/>
  <c r="GU286" i="43"/>
  <c r="GT286" s="1"/>
  <c r="GA285"/>
  <c r="GE285"/>
  <c r="AR285" s="1"/>
  <c r="AW282" i="45"/>
  <c r="GN286" i="43"/>
  <c r="GM286" s="1"/>
  <c r="AU282" i="45" l="1"/>
  <c r="AZ282" s="1"/>
  <c r="AT285" i="43"/>
  <c r="BD282" i="45"/>
  <c r="BB282"/>
  <c r="GP286" i="43"/>
  <c r="GI286"/>
  <c r="AT282" i="45"/>
  <c r="AD285" i="43"/>
  <c r="GG286"/>
  <c r="GF286" s="1"/>
  <c r="GY285"/>
  <c r="GK285"/>
  <c r="GR285"/>
  <c r="GD285"/>
  <c r="AX282" i="45" l="1"/>
  <c r="DO285" i="43"/>
  <c r="DP285" s="1"/>
  <c r="AE285"/>
  <c r="GB286"/>
  <c r="FZ286" s="1"/>
  <c r="T282" i="45" l="1"/>
  <c r="EV285" i="43"/>
  <c r="ES285"/>
  <c r="ER285" s="1"/>
  <c r="GX286"/>
  <c r="GZ286" s="1"/>
  <c r="CY286" s="1"/>
  <c r="GJ286"/>
  <c r="GL286" s="1"/>
  <c r="BK286" s="1"/>
  <c r="GQ286"/>
  <c r="GS286" s="1"/>
  <c r="CF286" s="1"/>
  <c r="GC286"/>
  <c r="BM286" l="1"/>
  <c r="CH286"/>
  <c r="HB287"/>
  <c r="HA287" s="1"/>
  <c r="GW287" s="1"/>
  <c r="DA286"/>
  <c r="AA282" i="45"/>
  <c r="AB282" s="1"/>
  <c r="AR282"/>
  <c r="GA286" i="43"/>
  <c r="GE286"/>
  <c r="AR286" s="1"/>
  <c r="AV283" i="45"/>
  <c r="GU287" i="43"/>
  <c r="GT287" s="1"/>
  <c r="AW283" i="45"/>
  <c r="GN287" i="43"/>
  <c r="GM287" s="1"/>
  <c r="AT286" l="1"/>
  <c r="AU283" i="45"/>
  <c r="AZ283" s="1"/>
  <c r="BD283"/>
  <c r="BB283"/>
  <c r="GI287" i="43"/>
  <c r="GD286"/>
  <c r="GK286"/>
  <c r="GR286"/>
  <c r="GY286"/>
  <c r="AT283" i="45"/>
  <c r="AD286" i="43"/>
  <c r="GG287"/>
  <c r="GF287" s="1"/>
  <c r="GP287"/>
  <c r="AX283" i="45" l="1"/>
  <c r="GB287" i="43"/>
  <c r="FZ287" s="1"/>
  <c r="GC287" s="1"/>
  <c r="AE286"/>
  <c r="DO286"/>
  <c r="DP286" s="1"/>
  <c r="T283" i="45" l="1"/>
  <c r="GX287" i="43"/>
  <c r="GZ287" s="1"/>
  <c r="CY287" s="1"/>
  <c r="GJ287"/>
  <c r="GL287" s="1"/>
  <c r="BK287" s="1"/>
  <c r="GQ287"/>
  <c r="GS287" s="1"/>
  <c r="CF287" s="1"/>
  <c r="GE287"/>
  <c r="AR287" s="1"/>
  <c r="EV286"/>
  <c r="ES286"/>
  <c r="ER286" s="1"/>
  <c r="CH287" l="1"/>
  <c r="AT287"/>
  <c r="BM287"/>
  <c r="HB288"/>
  <c r="HA288" s="1"/>
  <c r="GW288" s="1"/>
  <c r="DA287"/>
  <c r="AR283" i="45"/>
  <c r="AA283"/>
  <c r="AB283" s="1"/>
  <c r="AW284"/>
  <c r="GN288" i="43"/>
  <c r="GM288" s="1"/>
  <c r="AD287"/>
  <c r="AT284" i="45"/>
  <c r="GG288" i="43"/>
  <c r="GF288" s="1"/>
  <c r="AV284" i="45"/>
  <c r="GU288" i="43"/>
  <c r="GT288" s="1"/>
  <c r="GA287"/>
  <c r="AU284" i="45" l="1"/>
  <c r="AZ284" s="1"/>
  <c r="BD284"/>
  <c r="BB284"/>
  <c r="AX284"/>
  <c r="GP288" i="43"/>
  <c r="AE287"/>
  <c r="DO287"/>
  <c r="DP287" s="1"/>
  <c r="GK287"/>
  <c r="GD287"/>
  <c r="GY287"/>
  <c r="GR287"/>
  <c r="GB288"/>
  <c r="GI288"/>
  <c r="T284" i="45" l="1"/>
  <c r="AA284" s="1"/>
  <c r="AB284" s="1"/>
  <c r="FZ288" i="43"/>
  <c r="ES287"/>
  <c r="ER287" s="1"/>
  <c r="EV287"/>
  <c r="AR284" i="45" l="1"/>
  <c r="GX288" i="43"/>
  <c r="GZ288" s="1"/>
  <c r="CY288" s="1"/>
  <c r="GQ288"/>
  <c r="GS288" s="1"/>
  <c r="CF288" s="1"/>
  <c r="GC288"/>
  <c r="GJ288"/>
  <c r="GL288" s="1"/>
  <c r="BK288" s="1"/>
  <c r="BM288" l="1"/>
  <c r="CH288"/>
  <c r="HB289"/>
  <c r="HA289" s="1"/>
  <c r="GW289" s="1"/>
  <c r="DA288"/>
  <c r="AV285" i="45"/>
  <c r="GU289" i="43"/>
  <c r="GT289" s="1"/>
  <c r="GA288"/>
  <c r="GE288"/>
  <c r="AR288" s="1"/>
  <c r="AW285" i="45"/>
  <c r="GN289" i="43"/>
  <c r="GM289" s="1"/>
  <c r="AU285" i="45" l="1"/>
  <c r="AZ285" s="1"/>
  <c r="AT288" i="43"/>
  <c r="BD285" i="45"/>
  <c r="BB285"/>
  <c r="GI289" i="43"/>
  <c r="GY288"/>
  <c r="GR288"/>
  <c r="GK288"/>
  <c r="GD288"/>
  <c r="AT285" i="45"/>
  <c r="AD288" i="43"/>
  <c r="GG289"/>
  <c r="GF289" s="1"/>
  <c r="GP289"/>
  <c r="AX285" i="45" l="1"/>
  <c r="GB289" i="43"/>
  <c r="FZ289" s="1"/>
  <c r="GC289" s="1"/>
  <c r="DO288"/>
  <c r="DP288" s="1"/>
  <c r="AE288"/>
  <c r="T285" i="45" l="1"/>
  <c r="AA285" s="1"/>
  <c r="AB285" s="1"/>
  <c r="GX289" i="43"/>
  <c r="GZ289" s="1"/>
  <c r="CY289" s="1"/>
  <c r="GJ289"/>
  <c r="GL289" s="1"/>
  <c r="BK289" s="1"/>
  <c r="GQ289"/>
  <c r="GS289" s="1"/>
  <c r="CF289" s="1"/>
  <c r="GE289"/>
  <c r="AR289" s="1"/>
  <c r="ES288"/>
  <c r="ER288" s="1"/>
  <c r="EV288"/>
  <c r="CH289" l="1"/>
  <c r="AT289"/>
  <c r="BM289"/>
  <c r="AR285" i="45"/>
  <c r="HB290" i="43"/>
  <c r="HA290" s="1"/>
  <c r="GW290" s="1"/>
  <c r="DA289"/>
  <c r="AD289"/>
  <c r="AT286" i="45"/>
  <c r="GG290" i="43"/>
  <c r="GF290" s="1"/>
  <c r="AW286" i="45"/>
  <c r="GN290" i="43"/>
  <c r="GM290" s="1"/>
  <c r="AV286" i="45"/>
  <c r="GU290" i="43"/>
  <c r="GT290" s="1"/>
  <c r="GA289"/>
  <c r="AU286" i="45" l="1"/>
  <c r="AZ286" s="1"/>
  <c r="BB286"/>
  <c r="BD286"/>
  <c r="AX286"/>
  <c r="GP290" i="43"/>
  <c r="GB290"/>
  <c r="GR289"/>
  <c r="GD289"/>
  <c r="GK289"/>
  <c r="GY289"/>
  <c r="AE289"/>
  <c r="DO289"/>
  <c r="DP289" s="1"/>
  <c r="GI290"/>
  <c r="T286" i="45" l="1"/>
  <c r="AA286" s="1"/>
  <c r="AB286" s="1"/>
  <c r="EV289" i="43"/>
  <c r="ES289"/>
  <c r="ER289" s="1"/>
  <c r="FZ290"/>
  <c r="AR286" i="45" l="1"/>
  <c r="GX290" i="43"/>
  <c r="GZ290" s="1"/>
  <c r="CY290" s="1"/>
  <c r="GC290"/>
  <c r="GJ290"/>
  <c r="GL290" s="1"/>
  <c r="BK290" s="1"/>
  <c r="GQ290"/>
  <c r="GS290" s="1"/>
  <c r="CF290" s="1"/>
  <c r="BM290" l="1"/>
  <c r="CH290"/>
  <c r="HB291"/>
  <c r="HA291" s="1"/>
  <c r="GW291" s="1"/>
  <c r="DA290"/>
  <c r="AV287" i="45"/>
  <c r="GU291" i="43"/>
  <c r="GT291" s="1"/>
  <c r="GA290"/>
  <c r="GE290"/>
  <c r="AR290" s="1"/>
  <c r="AW287" i="45"/>
  <c r="GN291" i="43"/>
  <c r="GM291" s="1"/>
  <c r="AU287" i="45" l="1"/>
  <c r="AZ287" s="1"/>
  <c r="AT290" i="43"/>
  <c r="BB287" i="45"/>
  <c r="BD287"/>
  <c r="AT287"/>
  <c r="AD290" i="43"/>
  <c r="GG291"/>
  <c r="GF291" s="1"/>
  <c r="GK290"/>
  <c r="GD290"/>
  <c r="GY290"/>
  <c r="GR290"/>
  <c r="GP291"/>
  <c r="GI291"/>
  <c r="AX287" i="45" l="1"/>
  <c r="DO290" i="43"/>
  <c r="DP290" s="1"/>
  <c r="AE290"/>
  <c r="GB291"/>
  <c r="FZ291" s="1"/>
  <c r="T287" i="45" l="1"/>
  <c r="AA287" s="1"/>
  <c r="AB287" s="1"/>
  <c r="EV290" i="43"/>
  <c r="ES290"/>
  <c r="ER290" s="1"/>
  <c r="GX291"/>
  <c r="GZ291" s="1"/>
  <c r="CY291" s="1"/>
  <c r="GJ291"/>
  <c r="GL291" s="1"/>
  <c r="BK291" s="1"/>
  <c r="GQ291"/>
  <c r="GS291" s="1"/>
  <c r="CF291" s="1"/>
  <c r="GC291"/>
  <c r="BM291" l="1"/>
  <c r="CH291"/>
  <c r="AR287" i="45"/>
  <c r="HB292" i="43"/>
  <c r="HA292" s="1"/>
  <c r="GW292" s="1"/>
  <c r="DA291"/>
  <c r="GA291"/>
  <c r="GE291"/>
  <c r="AR291" s="1"/>
  <c r="AV288" i="45"/>
  <c r="GU292" i="43"/>
  <c r="GT292" s="1"/>
  <c r="AW288" i="45"/>
  <c r="GN292" i="43"/>
  <c r="GM292" s="1"/>
  <c r="AT291" l="1"/>
  <c r="AU288" i="45"/>
  <c r="AZ288" s="1"/>
  <c r="BB288"/>
  <c r="BD288"/>
  <c r="GI292" i="43"/>
  <c r="GK291"/>
  <c r="GR291"/>
  <c r="GY291"/>
  <c r="GD291"/>
  <c r="AT288" i="45"/>
  <c r="AD291" i="43"/>
  <c r="GG292"/>
  <c r="GF292" s="1"/>
  <c r="GP292"/>
  <c r="AX288" i="45" l="1"/>
  <c r="GB292" i="43"/>
  <c r="FZ292" s="1"/>
  <c r="GC292" s="1"/>
  <c r="DO291"/>
  <c r="DP291" s="1"/>
  <c r="AE291"/>
  <c r="T288" i="45" l="1"/>
  <c r="AR288" s="1"/>
  <c r="GX292" i="43"/>
  <c r="GZ292" s="1"/>
  <c r="CY292" s="1"/>
  <c r="GJ292"/>
  <c r="GL292" s="1"/>
  <c r="BK292" s="1"/>
  <c r="GQ292"/>
  <c r="GS292" s="1"/>
  <c r="CF292" s="1"/>
  <c r="GE292"/>
  <c r="AR292" s="1"/>
  <c r="EV291"/>
  <c r="ES291"/>
  <c r="ER291" s="1"/>
  <c r="AT292" l="1"/>
  <c r="BM292"/>
  <c r="CH292"/>
  <c r="HB293"/>
  <c r="HA293" s="1"/>
  <c r="GW293" s="1"/>
  <c r="DA292"/>
  <c r="AA288" i="45"/>
  <c r="AB288" s="1"/>
  <c r="AW289"/>
  <c r="GN293" i="43"/>
  <c r="GM293" s="1"/>
  <c r="AV289" i="45"/>
  <c r="GU293" i="43"/>
  <c r="GT293" s="1"/>
  <c r="AD292"/>
  <c r="AT289" i="45"/>
  <c r="GG293" i="43"/>
  <c r="GF293" s="1"/>
  <c r="GA292"/>
  <c r="AU289" i="45" l="1"/>
  <c r="AZ289" s="1"/>
  <c r="AX289"/>
  <c r="BB289"/>
  <c r="BD289"/>
  <c r="GB293" i="43"/>
  <c r="GP293"/>
  <c r="AE292"/>
  <c r="DO292"/>
  <c r="DP292" s="1"/>
  <c r="GY292"/>
  <c r="GD292"/>
  <c r="GR292"/>
  <c r="GK292"/>
  <c r="GI293"/>
  <c r="T289" i="45" l="1"/>
  <c r="AA289" s="1"/>
  <c r="AB289" s="1"/>
  <c r="ES292" i="43"/>
  <c r="ER292" s="1"/>
  <c r="EV292"/>
  <c r="FZ293"/>
  <c r="AR289" i="45" l="1"/>
  <c r="GX293" i="43"/>
  <c r="GZ293" s="1"/>
  <c r="CY293" s="1"/>
  <c r="GQ293"/>
  <c r="GS293" s="1"/>
  <c r="CF293" s="1"/>
  <c r="GJ293"/>
  <c r="GL293" s="1"/>
  <c r="BK293" s="1"/>
  <c r="GC293"/>
  <c r="BM293" l="1"/>
  <c r="CH293"/>
  <c r="HB294"/>
  <c r="HA294" s="1"/>
  <c r="GW294" s="1"/>
  <c r="DA293"/>
  <c r="GA293"/>
  <c r="GE293"/>
  <c r="AR293" s="1"/>
  <c r="AV290" i="45"/>
  <c r="GU294" i="43"/>
  <c r="GT294" s="1"/>
  <c r="AW290" i="45"/>
  <c r="GN294" i="43"/>
  <c r="GM294" s="1"/>
  <c r="AT293" l="1"/>
  <c r="AU290" i="45"/>
  <c r="AZ290" s="1"/>
  <c r="BD290"/>
  <c r="BB290"/>
  <c r="GD293" i="43"/>
  <c r="GK293"/>
  <c r="GY293"/>
  <c r="GR293"/>
  <c r="GP294"/>
  <c r="AT290" i="45"/>
  <c r="AD293" i="43"/>
  <c r="GG294"/>
  <c r="GF294" s="1"/>
  <c r="GI294"/>
  <c r="AX290" i="45" l="1"/>
  <c r="GB294" i="43"/>
  <c r="FZ294" s="1"/>
  <c r="GC294" s="1"/>
  <c r="AE293"/>
  <c r="DO293"/>
  <c r="DP293" s="1"/>
  <c r="T290" i="45" l="1"/>
  <c r="AA290" s="1"/>
  <c r="AB290" s="1"/>
  <c r="GE294" i="43"/>
  <c r="AR294" s="1"/>
  <c r="GX294"/>
  <c r="GZ294" s="1"/>
  <c r="CY294" s="1"/>
  <c r="GQ294"/>
  <c r="GS294" s="1"/>
  <c r="CF294" s="1"/>
  <c r="GJ294"/>
  <c r="GL294" s="1"/>
  <c r="BK294" s="1"/>
  <c r="ES293"/>
  <c r="ER293" s="1"/>
  <c r="EV293"/>
  <c r="CH294" l="1"/>
  <c r="BM294"/>
  <c r="AT294"/>
  <c r="AR290" i="45"/>
  <c r="HB295" i="43"/>
  <c r="HA295" s="1"/>
  <c r="GW295" s="1"/>
  <c r="DA294"/>
  <c r="AW291" i="45"/>
  <c r="GN295" i="43"/>
  <c r="GM295" s="1"/>
  <c r="GA294"/>
  <c r="AD294"/>
  <c r="AT291" i="45"/>
  <c r="GG295" i="43"/>
  <c r="GF295" s="1"/>
  <c r="AV291" i="45"/>
  <c r="GU295" i="43"/>
  <c r="GT295" s="1"/>
  <c r="AU291" i="45" l="1"/>
  <c r="AZ291" s="1"/>
  <c r="BB291"/>
  <c r="AX291"/>
  <c r="BD291"/>
  <c r="GI295" i="43"/>
  <c r="GP295"/>
  <c r="GK294"/>
  <c r="GY294"/>
  <c r="GD294"/>
  <c r="GR294"/>
  <c r="GB295"/>
  <c r="DO294"/>
  <c r="DP294" s="1"/>
  <c r="AE294"/>
  <c r="T291" i="45" l="1"/>
  <c r="EV294" i="43"/>
  <c r="ES294"/>
  <c r="ER294" s="1"/>
  <c r="FZ295"/>
  <c r="AR291" i="45" l="1"/>
  <c r="AA291"/>
  <c r="AB291" s="1"/>
  <c r="GX295" i="43"/>
  <c r="GZ295" s="1"/>
  <c r="CY295" s="1"/>
  <c r="GQ295"/>
  <c r="GS295" s="1"/>
  <c r="CF295" s="1"/>
  <c r="GJ295"/>
  <c r="GL295" s="1"/>
  <c r="BK295" s="1"/>
  <c r="GC295"/>
  <c r="BM295" l="1"/>
  <c r="CH295"/>
  <c r="HB296"/>
  <c r="HA296" s="1"/>
  <c r="GW296" s="1"/>
  <c r="DA295"/>
  <c r="GA295"/>
  <c r="GE295"/>
  <c r="AR295" s="1"/>
  <c r="AV292" i="45"/>
  <c r="GU296" i="43"/>
  <c r="GT296" s="1"/>
  <c r="AW292" i="45"/>
  <c r="GN296" i="43"/>
  <c r="GM296" s="1"/>
  <c r="AT295" l="1"/>
  <c r="AU292" i="45"/>
  <c r="AZ292" s="1"/>
  <c r="BD292"/>
  <c r="BB292"/>
  <c r="GK295" i="43"/>
  <c r="GY295"/>
  <c r="GD295"/>
  <c r="GR295"/>
  <c r="GP296"/>
  <c r="AD295"/>
  <c r="AT292" i="45"/>
  <c r="GG296" i="43"/>
  <c r="GF296" s="1"/>
  <c r="GI296"/>
  <c r="AX292" i="45" l="1"/>
  <c r="GB296" i="43"/>
  <c r="FZ296" s="1"/>
  <c r="GC296" s="1"/>
  <c r="AE295"/>
  <c r="DO295"/>
  <c r="DP295" s="1"/>
  <c r="T292" i="45" l="1"/>
  <c r="GX296" i="43"/>
  <c r="GZ296" s="1"/>
  <c r="CY296" s="1"/>
  <c r="GQ296"/>
  <c r="GS296" s="1"/>
  <c r="CF296" s="1"/>
  <c r="GJ296"/>
  <c r="GL296" s="1"/>
  <c r="BK296" s="1"/>
  <c r="GE296"/>
  <c r="AR296" s="1"/>
  <c r="ES295"/>
  <c r="ER295" s="1"/>
  <c r="EV295"/>
  <c r="BM296" l="1"/>
  <c r="AT296"/>
  <c r="CH296"/>
  <c r="HB297"/>
  <c r="HA297" s="1"/>
  <c r="GW297" s="1"/>
  <c r="DA296"/>
  <c r="AA292" i="45"/>
  <c r="AB292" s="1"/>
  <c r="AR292"/>
  <c r="AT293"/>
  <c r="AD296" i="43"/>
  <c r="GG297"/>
  <c r="GF297" s="1"/>
  <c r="AV293" i="45"/>
  <c r="GU297" i="43"/>
  <c r="GT297" s="1"/>
  <c r="AW293" i="45"/>
  <c r="GN297" i="43"/>
  <c r="GM297" s="1"/>
  <c r="GA296"/>
  <c r="AU293" i="45" l="1"/>
  <c r="AZ293" s="1"/>
  <c r="AX293"/>
  <c r="BD293"/>
  <c r="BB293"/>
  <c r="GR296" i="43"/>
  <c r="GY296"/>
  <c r="GK296"/>
  <c r="GD296"/>
  <c r="GI297"/>
  <c r="GB297"/>
  <c r="GP297"/>
  <c r="DO296"/>
  <c r="DP296" s="1"/>
  <c r="AE296"/>
  <c r="T293" i="45" l="1"/>
  <c r="FZ297" i="43"/>
  <c r="GX297" s="1"/>
  <c r="GZ297" s="1"/>
  <c r="CY297" s="1"/>
  <c r="EV296"/>
  <c r="ES296"/>
  <c r="ER296" s="1"/>
  <c r="HB298" l="1"/>
  <c r="HA298" s="1"/>
  <c r="GW298" s="1"/>
  <c r="DA297"/>
  <c r="AA293" i="45"/>
  <c r="AB293" s="1"/>
  <c r="AR293"/>
  <c r="GQ297" i="43"/>
  <c r="GS297" s="1"/>
  <c r="CF297" s="1"/>
  <c r="GJ297"/>
  <c r="GL297" s="1"/>
  <c r="BK297" s="1"/>
  <c r="GC297"/>
  <c r="GE297" s="1"/>
  <c r="AR297" s="1"/>
  <c r="AU294" i="45" l="1"/>
  <c r="AZ294" s="1"/>
  <c r="AT297" i="43"/>
  <c r="GN298"/>
  <c r="GM298" s="1"/>
  <c r="GI298" s="1"/>
  <c r="BM297"/>
  <c r="AV294" i="45"/>
  <c r="CH297" i="43"/>
  <c r="GU298"/>
  <c r="GT298" s="1"/>
  <c r="GP298" s="1"/>
  <c r="AW294" i="45"/>
  <c r="GA297" i="43"/>
  <c r="GR297" s="1"/>
  <c r="AD297"/>
  <c r="AT294" i="45"/>
  <c r="GG298" i="43"/>
  <c r="GF298" s="1"/>
  <c r="BD294" i="45" l="1"/>
  <c r="AX294"/>
  <c r="BB294"/>
  <c r="GK297" i="43"/>
  <c r="GD297"/>
  <c r="GY297"/>
  <c r="GB298"/>
  <c r="FZ298" s="1"/>
  <c r="DO297"/>
  <c r="DP297" s="1"/>
  <c r="AE297"/>
  <c r="T294" i="45" l="1"/>
  <c r="GX298" i="43"/>
  <c r="GZ298" s="1"/>
  <c r="CY298" s="1"/>
  <c r="GJ298"/>
  <c r="GL298" s="1"/>
  <c r="BK298" s="1"/>
  <c r="GQ298"/>
  <c r="GS298" s="1"/>
  <c r="CF298" s="1"/>
  <c r="GC298"/>
  <c r="ES297"/>
  <c r="ER297" s="1"/>
  <c r="EV297"/>
  <c r="CH298" l="1"/>
  <c r="BM298"/>
  <c r="HB299"/>
  <c r="HA299" s="1"/>
  <c r="GW299" s="1"/>
  <c r="DA298"/>
  <c r="AR294" i="45"/>
  <c r="AA294"/>
  <c r="AB294" s="1"/>
  <c r="AW295"/>
  <c r="GN299" i="43"/>
  <c r="GM299" s="1"/>
  <c r="AV295" i="45"/>
  <c r="GU299" i="43"/>
  <c r="GT299" s="1"/>
  <c r="GA298"/>
  <c r="GE298"/>
  <c r="AR298" s="1"/>
  <c r="AT298" l="1"/>
  <c r="AU295" i="45"/>
  <c r="AZ295" s="1"/>
  <c r="BB295"/>
  <c r="BD295"/>
  <c r="GP299" i="43"/>
  <c r="GR298"/>
  <c r="GK298"/>
  <c r="GD298"/>
  <c r="GY298"/>
  <c r="AT295" i="45"/>
  <c r="AD298" i="43"/>
  <c r="GG299"/>
  <c r="GF299" s="1"/>
  <c r="GI299"/>
  <c r="AX295" i="45" l="1"/>
  <c r="GB299" i="43"/>
  <c r="FZ299" s="1"/>
  <c r="GC299" s="1"/>
  <c r="DO298"/>
  <c r="DP298" s="1"/>
  <c r="AE298"/>
  <c r="T295" i="45" l="1"/>
  <c r="GX299" i="43"/>
  <c r="GZ299" s="1"/>
  <c r="CY299" s="1"/>
  <c r="GQ299"/>
  <c r="GS299" s="1"/>
  <c r="CF299" s="1"/>
  <c r="GJ299"/>
  <c r="GL299" s="1"/>
  <c r="BK299" s="1"/>
  <c r="GE299"/>
  <c r="AR299" s="1"/>
  <c r="ES298"/>
  <c r="ER298" s="1"/>
  <c r="EV298"/>
  <c r="BM299" l="1"/>
  <c r="AT299"/>
  <c r="CH299"/>
  <c r="HB300"/>
  <c r="HA300" s="1"/>
  <c r="GW300" s="1"/>
  <c r="DA299"/>
  <c r="AA295" i="45"/>
  <c r="AB295" s="1"/>
  <c r="AR295"/>
  <c r="AV296"/>
  <c r="GU300" i="43"/>
  <c r="GT300" s="1"/>
  <c r="AW296" i="45"/>
  <c r="GN300" i="43"/>
  <c r="GM300" s="1"/>
  <c r="AT296" i="45"/>
  <c r="AD299" i="43"/>
  <c r="GG300"/>
  <c r="GF300" s="1"/>
  <c r="GA299"/>
  <c r="AU296" i="45" l="1"/>
  <c r="AZ296" s="1"/>
  <c r="AX296"/>
  <c r="BD296"/>
  <c r="BB296"/>
  <c r="GB300" i="43"/>
  <c r="GR299"/>
  <c r="GY299"/>
  <c r="GK299"/>
  <c r="GD299"/>
  <c r="GI300"/>
  <c r="DO299"/>
  <c r="DP299" s="1"/>
  <c r="AE299"/>
  <c r="GP300"/>
  <c r="T296" i="45" l="1"/>
  <c r="FZ300" i="43"/>
  <c r="EV299"/>
  <c r="ES299"/>
  <c r="ER299" s="1"/>
  <c r="AR296" i="45" l="1"/>
  <c r="AA296"/>
  <c r="AB296" s="1"/>
  <c r="GX300" i="43"/>
  <c r="GZ300" s="1"/>
  <c r="CY300" s="1"/>
  <c r="GJ300"/>
  <c r="GL300" s="1"/>
  <c r="BK300" s="1"/>
  <c r="GQ300"/>
  <c r="GS300" s="1"/>
  <c r="CF300" s="1"/>
  <c r="GC300"/>
  <c r="CH300" l="1"/>
  <c r="BM300"/>
  <c r="HB301"/>
  <c r="HA301" s="1"/>
  <c r="GW301" s="1"/>
  <c r="DA300"/>
  <c r="AW297" i="45"/>
  <c r="GN301" i="43"/>
  <c r="GM301" s="1"/>
  <c r="AV297" i="45"/>
  <c r="GU301" i="43"/>
  <c r="GT301" s="1"/>
  <c r="GA300"/>
  <c r="GE300"/>
  <c r="AR300" s="1"/>
  <c r="AU297" i="45" l="1"/>
  <c r="AZ297" s="1"/>
  <c r="AT300" i="43"/>
  <c r="BB297" i="45"/>
  <c r="BD297"/>
  <c r="GD300" i="43"/>
  <c r="GY300"/>
  <c r="GR300"/>
  <c r="GK300"/>
  <c r="AT297" i="45"/>
  <c r="AD300" i="43"/>
  <c r="GG301"/>
  <c r="GF301" s="1"/>
  <c r="GP301"/>
  <c r="GI301"/>
  <c r="AX297" i="45" l="1"/>
  <c r="AE300" i="43"/>
  <c r="DO300"/>
  <c r="DP300" s="1"/>
  <c r="GB301"/>
  <c r="FZ301" s="1"/>
  <c r="T297" i="45" l="1"/>
  <c r="EV300" i="43"/>
  <c r="ES300"/>
  <c r="ER300" s="1"/>
  <c r="GX301"/>
  <c r="GZ301" s="1"/>
  <c r="CY301" s="1"/>
  <c r="GJ301"/>
  <c r="GL301" s="1"/>
  <c r="BK301" s="1"/>
  <c r="GQ301"/>
  <c r="GS301" s="1"/>
  <c r="CF301" s="1"/>
  <c r="GC301"/>
  <c r="BM301" l="1"/>
  <c r="CH301"/>
  <c r="AR297" i="45"/>
  <c r="AA297"/>
  <c r="AB297" s="1"/>
  <c r="HB302" i="43"/>
  <c r="HA302" s="1"/>
  <c r="GW302" s="1"/>
  <c r="DA301"/>
  <c r="GA301"/>
  <c r="GE301"/>
  <c r="AR301" s="1"/>
  <c r="AV298" i="45"/>
  <c r="GU302" i="43"/>
  <c r="GT302" s="1"/>
  <c r="AW298" i="45"/>
  <c r="GN302" i="43"/>
  <c r="GM302" s="1"/>
  <c r="AT301" l="1"/>
  <c r="AU298" i="45"/>
  <c r="AZ298" s="1"/>
  <c r="BD298"/>
  <c r="BB298"/>
  <c r="GI302" i="43"/>
  <c r="GK301"/>
  <c r="GD301"/>
  <c r="GR301"/>
  <c r="GY301"/>
  <c r="AT298" i="45"/>
  <c r="AD301" i="43"/>
  <c r="GG302"/>
  <c r="GF302" s="1"/>
  <c r="GP302"/>
  <c r="AX298" i="45" l="1"/>
  <c r="GB302" i="43"/>
  <c r="FZ302" s="1"/>
  <c r="GC302" s="1"/>
  <c r="DO301"/>
  <c r="DP301" s="1"/>
  <c r="AE301"/>
  <c r="T298" i="45" l="1"/>
  <c r="GX302" i="43"/>
  <c r="GZ302" s="1"/>
  <c r="CY302" s="1"/>
  <c r="GJ302"/>
  <c r="GL302" s="1"/>
  <c r="BK302" s="1"/>
  <c r="GQ302"/>
  <c r="GS302" s="1"/>
  <c r="CF302" s="1"/>
  <c r="GE302"/>
  <c r="AR302" s="1"/>
  <c r="ES301"/>
  <c r="ER301" s="1"/>
  <c r="EV301"/>
  <c r="CH302" l="1"/>
  <c r="AT302"/>
  <c r="BM302"/>
  <c r="AR298" i="45"/>
  <c r="HB303" i="43"/>
  <c r="HA303" s="1"/>
  <c r="GW303" s="1"/>
  <c r="DA302"/>
  <c r="AA298" i="45"/>
  <c r="AB298" s="1"/>
  <c r="AT299"/>
  <c r="AD302" i="43"/>
  <c r="GG303"/>
  <c r="GF303" s="1"/>
  <c r="AW299" i="45"/>
  <c r="GN303" i="43"/>
  <c r="GM303" s="1"/>
  <c r="AV299" i="45"/>
  <c r="GU303" i="43"/>
  <c r="GT303" s="1"/>
  <c r="GA302"/>
  <c r="AU299" i="45" l="1"/>
  <c r="AZ299" s="1"/>
  <c r="BB299"/>
  <c r="BD299"/>
  <c r="AX299"/>
  <c r="GK302" i="43"/>
  <c r="GY302"/>
  <c r="GD302"/>
  <c r="GR302"/>
  <c r="GP303"/>
  <c r="GB303"/>
  <c r="GI303"/>
  <c r="DO302"/>
  <c r="DP302" s="1"/>
  <c r="AE302"/>
  <c r="T299" i="45" l="1"/>
  <c r="AA299" s="1"/>
  <c r="AB299" s="1"/>
  <c r="FZ303" i="43"/>
  <c r="GX303" s="1"/>
  <c r="GZ303" s="1"/>
  <c r="CY303" s="1"/>
  <c r="ES302"/>
  <c r="ER302" s="1"/>
  <c r="EV302"/>
  <c r="AR299" i="45" l="1"/>
  <c r="HB304" i="43"/>
  <c r="HA304" s="1"/>
  <c r="GW304" s="1"/>
  <c r="DA303"/>
  <c r="GJ303"/>
  <c r="GL303" s="1"/>
  <c r="BK303" s="1"/>
  <c r="GC303"/>
  <c r="GE303" s="1"/>
  <c r="AR303" s="1"/>
  <c r="GQ303"/>
  <c r="GS303" s="1"/>
  <c r="CF303" s="1"/>
  <c r="AT303" l="1"/>
  <c r="AU300" i="45"/>
  <c r="AZ300" s="1"/>
  <c r="AV300"/>
  <c r="CH303" i="43"/>
  <c r="AW300" i="45"/>
  <c r="BM303" i="43"/>
  <c r="GU304"/>
  <c r="GT304" s="1"/>
  <c r="GP304" s="1"/>
  <c r="GN304"/>
  <c r="GM304" s="1"/>
  <c r="GI304" s="1"/>
  <c r="GA303"/>
  <c r="GR303" s="1"/>
  <c r="AT300" i="45"/>
  <c r="AD303" i="43"/>
  <c r="GG304"/>
  <c r="GF304" s="1"/>
  <c r="AX300" i="45" l="1"/>
  <c r="BD300"/>
  <c r="BB300"/>
  <c r="GD303" i="43"/>
  <c r="GK303"/>
  <c r="GY303"/>
  <c r="GB304"/>
  <c r="FZ304" s="1"/>
  <c r="GC304" s="1"/>
  <c r="AE303"/>
  <c r="DO303"/>
  <c r="DP303" s="1"/>
  <c r="T300" i="45" l="1"/>
  <c r="GX304" i="43"/>
  <c r="GZ304" s="1"/>
  <c r="CY304" s="1"/>
  <c r="GJ304"/>
  <c r="GL304" s="1"/>
  <c r="BK304" s="1"/>
  <c r="GQ304"/>
  <c r="GS304" s="1"/>
  <c r="CF304" s="1"/>
  <c r="GE304"/>
  <c r="AR304" s="1"/>
  <c r="EV303"/>
  <c r="ES303"/>
  <c r="ER303" s="1"/>
  <c r="CH304" l="1"/>
  <c r="AT304"/>
  <c r="BM304"/>
  <c r="AA300" i="45"/>
  <c r="AB300" s="1"/>
  <c r="AR300"/>
  <c r="HB305" i="43"/>
  <c r="HA305" s="1"/>
  <c r="GW305" s="1"/>
  <c r="DA304"/>
  <c r="AW301" i="45"/>
  <c r="GN305" i="43"/>
  <c r="GM305" s="1"/>
  <c r="AV301" i="45"/>
  <c r="GU305" i="43"/>
  <c r="GT305" s="1"/>
  <c r="AT301" i="45"/>
  <c r="AD304" i="43"/>
  <c r="GG305"/>
  <c r="GF305" s="1"/>
  <c r="GA304"/>
  <c r="BB301" i="45" l="1"/>
  <c r="AX301"/>
  <c r="BD301"/>
  <c r="AU301"/>
  <c r="GB305" i="43"/>
  <c r="GP305"/>
  <c r="GD304"/>
  <c r="GK304"/>
  <c r="GY304"/>
  <c r="GR304"/>
  <c r="DO304"/>
  <c r="DP304" s="1"/>
  <c r="AE304"/>
  <c r="GI305"/>
  <c r="AZ301" i="45" l="1"/>
  <c r="T301"/>
  <c r="FZ305" i="43"/>
  <c r="ES304"/>
  <c r="ER304" s="1"/>
  <c r="EV304"/>
  <c r="AA301" i="45" l="1"/>
  <c r="AB301" s="1"/>
  <c r="AR301"/>
  <c r="GX305" i="43"/>
  <c r="GZ305" s="1"/>
  <c r="CY305" s="1"/>
  <c r="GQ305"/>
  <c r="GS305" s="1"/>
  <c r="CF305" s="1"/>
  <c r="GJ305"/>
  <c r="GL305" s="1"/>
  <c r="BK305" s="1"/>
  <c r="GC305"/>
  <c r="CH305" l="1"/>
  <c r="BM305"/>
  <c r="HB306"/>
  <c r="HA306" s="1"/>
  <c r="GW306" s="1"/>
  <c r="DA305"/>
  <c r="AV302" i="45"/>
  <c r="GU306" i="43"/>
  <c r="GT306" s="1"/>
  <c r="AW302" i="45"/>
  <c r="GN306" i="43"/>
  <c r="GM306" s="1"/>
  <c r="GA305"/>
  <c r="GE305"/>
  <c r="AR305" s="1"/>
  <c r="AT305" l="1"/>
  <c r="AU302" i="45"/>
  <c r="AZ302" s="1"/>
  <c r="BD302"/>
  <c r="BB302"/>
  <c r="AD305" i="43"/>
  <c r="AT302" i="45"/>
  <c r="GG306" i="43"/>
  <c r="GF306" s="1"/>
  <c r="GI306"/>
  <c r="GD305"/>
  <c r="GK305"/>
  <c r="GY305"/>
  <c r="GR305"/>
  <c r="GP306"/>
  <c r="AX302" i="45" l="1"/>
  <c r="AE305" i="43"/>
  <c r="DO305"/>
  <c r="DP305" s="1"/>
  <c r="GB306"/>
  <c r="FZ306" s="1"/>
  <c r="T302" i="45" l="1"/>
  <c r="EV305" i="43"/>
  <c r="ES305"/>
  <c r="ER305" s="1"/>
  <c r="GX306"/>
  <c r="GZ306" s="1"/>
  <c r="CY306" s="1"/>
  <c r="GQ306"/>
  <c r="GS306" s="1"/>
  <c r="CF306" s="1"/>
  <c r="GJ306"/>
  <c r="GL306" s="1"/>
  <c r="BK306" s="1"/>
  <c r="GC306"/>
  <c r="CH306" l="1"/>
  <c r="BM306"/>
  <c r="HB307"/>
  <c r="HA307" s="1"/>
  <c r="GW307" s="1"/>
  <c r="DA306"/>
  <c r="AR302" i="45"/>
  <c r="AA302"/>
  <c r="AB302" s="1"/>
  <c r="AW303"/>
  <c r="GN307" i="43"/>
  <c r="GM307" s="1"/>
  <c r="GA306"/>
  <c r="GE306"/>
  <c r="AR306" s="1"/>
  <c r="AV303" i="45"/>
  <c r="GU307" i="43"/>
  <c r="GT307" s="1"/>
  <c r="AU303" i="45" l="1"/>
  <c r="AT306" i="43"/>
  <c r="BB303" i="45"/>
  <c r="BD303"/>
  <c r="AD306" i="43"/>
  <c r="AT303" i="45"/>
  <c r="GG307" i="43"/>
  <c r="GF307" s="1"/>
  <c r="GP307"/>
  <c r="GR306"/>
  <c r="GK306"/>
  <c r="GY306"/>
  <c r="GD306"/>
  <c r="GI307"/>
  <c r="AZ303" i="45" l="1"/>
  <c r="AX303"/>
  <c r="DO306" i="43"/>
  <c r="DP306" s="1"/>
  <c r="AE306"/>
  <c r="GB307"/>
  <c r="FZ307" s="1"/>
  <c r="T303" i="45" l="1"/>
  <c r="ES306" i="43"/>
  <c r="ER306" s="1"/>
  <c r="EV306"/>
  <c r="GX307"/>
  <c r="GZ307" s="1"/>
  <c r="CY307" s="1"/>
  <c r="GJ307"/>
  <c r="GL307" s="1"/>
  <c r="BK307" s="1"/>
  <c r="GQ307"/>
  <c r="GS307" s="1"/>
  <c r="CF307" s="1"/>
  <c r="GC307"/>
  <c r="BM307" l="1"/>
  <c r="CH307"/>
  <c r="HB308"/>
  <c r="HA308" s="1"/>
  <c r="GW308" s="1"/>
  <c r="DA307"/>
  <c r="AR303" i="45"/>
  <c r="AA303"/>
  <c r="AB303" s="1"/>
  <c r="AV304"/>
  <c r="GU308" i="43"/>
  <c r="GT308" s="1"/>
  <c r="GA307"/>
  <c r="GE307"/>
  <c r="AR307" s="1"/>
  <c r="AW304" i="45"/>
  <c r="GN308" i="43"/>
  <c r="GM308" s="1"/>
  <c r="AU304" i="45" l="1"/>
  <c r="AT307" i="43"/>
  <c r="BD304" i="45"/>
  <c r="BB304"/>
  <c r="GP308" i="43"/>
  <c r="GI308"/>
  <c r="GD307"/>
  <c r="GK307"/>
  <c r="GY307"/>
  <c r="GR307"/>
  <c r="AD307"/>
  <c r="AT304" i="45"/>
  <c r="GG308" i="43"/>
  <c r="GF308" s="1"/>
  <c r="AZ304" i="45" l="1"/>
  <c r="AX304"/>
  <c r="GB308" i="43"/>
  <c r="FZ308" s="1"/>
  <c r="AE307"/>
  <c r="DO307"/>
  <c r="DP307" s="1"/>
  <c r="T304" i="45" l="1"/>
  <c r="GX308" i="43"/>
  <c r="GZ308" s="1"/>
  <c r="CY308" s="1"/>
  <c r="GJ308"/>
  <c r="GL308" s="1"/>
  <c r="BK308" s="1"/>
  <c r="GQ308"/>
  <c r="GS308" s="1"/>
  <c r="CF308" s="1"/>
  <c r="GC308"/>
  <c r="EV307"/>
  <c r="ES307"/>
  <c r="ER307" s="1"/>
  <c r="CH308" l="1"/>
  <c r="BM308"/>
  <c r="HB309"/>
  <c r="HA309" s="1"/>
  <c r="GW309" s="1"/>
  <c r="DA308"/>
  <c r="AR304" i="45"/>
  <c r="AA304"/>
  <c r="AB304" s="1"/>
  <c r="AW305"/>
  <c r="GN309" i="43"/>
  <c r="GM309" s="1"/>
  <c r="AV305" i="45"/>
  <c r="GU309" i="43"/>
  <c r="GT309" s="1"/>
  <c r="GA308"/>
  <c r="GE308"/>
  <c r="AR308" s="1"/>
  <c r="AU305" i="45" l="1"/>
  <c r="AZ305" s="1"/>
  <c r="AT308" i="43"/>
  <c r="BB305" i="45"/>
  <c r="BD305"/>
  <c r="GP309" i="43"/>
  <c r="GD308"/>
  <c r="GY308"/>
  <c r="GR308"/>
  <c r="GK308"/>
  <c r="AD308"/>
  <c r="AT305" i="45"/>
  <c r="GG309" i="43"/>
  <c r="GF309" s="1"/>
  <c r="GI309"/>
  <c r="AX305" i="45" l="1"/>
  <c r="GB309" i="43"/>
  <c r="FZ309" s="1"/>
  <c r="GC309" s="1"/>
  <c r="DO308"/>
  <c r="DP308" s="1"/>
  <c r="AE308"/>
  <c r="T305" i="45" l="1"/>
  <c r="GX309" i="43"/>
  <c r="GZ309" s="1"/>
  <c r="CY309" s="1"/>
  <c r="GQ309"/>
  <c r="GS309" s="1"/>
  <c r="CF309" s="1"/>
  <c r="GJ309"/>
  <c r="GL309" s="1"/>
  <c r="BK309" s="1"/>
  <c r="GE309"/>
  <c r="AR309" s="1"/>
  <c r="EV308"/>
  <c r="ES308"/>
  <c r="ER308" s="1"/>
  <c r="BM309" l="1"/>
  <c r="AT309"/>
  <c r="CH309"/>
  <c r="HB310"/>
  <c r="HA310" s="1"/>
  <c r="GW310" s="1"/>
  <c r="DA309"/>
  <c r="AA305" i="45"/>
  <c r="AB305" s="1"/>
  <c r="AR305"/>
  <c r="AV306"/>
  <c r="GU310" i="43"/>
  <c r="GT310" s="1"/>
  <c r="AW306" i="45"/>
  <c r="GN310" i="43"/>
  <c r="GM310" s="1"/>
  <c r="AT306" i="45"/>
  <c r="AD309" i="43"/>
  <c r="GG310"/>
  <c r="GF310" s="1"/>
  <c r="GA309"/>
  <c r="AU306" i="45" l="1"/>
  <c r="AX306"/>
  <c r="BD306"/>
  <c r="BB306"/>
  <c r="GB310" i="43"/>
  <c r="GI310"/>
  <c r="GD309"/>
  <c r="GK309"/>
  <c r="GY309"/>
  <c r="GR309"/>
  <c r="AE309"/>
  <c r="DO309"/>
  <c r="DP309" s="1"/>
  <c r="GP310"/>
  <c r="AZ306" i="45" l="1"/>
  <c r="T306"/>
  <c r="EV309" i="43"/>
  <c r="ES309"/>
  <c r="ER309" s="1"/>
  <c r="FZ310"/>
  <c r="AA306" i="45" l="1"/>
  <c r="AB306" s="1"/>
  <c r="AR306"/>
  <c r="GX310" i="43"/>
  <c r="GZ310" s="1"/>
  <c r="CY310" s="1"/>
  <c r="GJ310"/>
  <c r="GL310" s="1"/>
  <c r="BK310" s="1"/>
  <c r="GQ310"/>
  <c r="GS310" s="1"/>
  <c r="CF310" s="1"/>
  <c r="GC310"/>
  <c r="CH310" l="1"/>
  <c r="BM310"/>
  <c r="HB311"/>
  <c r="HA311" s="1"/>
  <c r="GW311" s="1"/>
  <c r="DA310"/>
  <c r="GA310"/>
  <c r="GE310"/>
  <c r="AR310" s="1"/>
  <c r="AW307" i="45"/>
  <c r="GN311" i="43"/>
  <c r="GM311" s="1"/>
  <c r="AV307" i="45"/>
  <c r="GU311" i="43"/>
  <c r="GT311" s="1"/>
  <c r="AT310" l="1"/>
  <c r="AU307" i="45"/>
  <c r="BB307"/>
  <c r="BD307"/>
  <c r="GR310" i="43"/>
  <c r="GY310"/>
  <c r="GD310"/>
  <c r="GK310"/>
  <c r="GI311"/>
  <c r="AT307" i="45"/>
  <c r="AD310" i="43"/>
  <c r="GG311"/>
  <c r="GF311" s="1"/>
  <c r="GP311"/>
  <c r="AZ307" i="45" l="1"/>
  <c r="AX307"/>
  <c r="GB311" i="43"/>
  <c r="FZ311" s="1"/>
  <c r="GC311" s="1"/>
  <c r="AE310"/>
  <c r="DO310"/>
  <c r="DP310" s="1"/>
  <c r="T307" i="45" l="1"/>
  <c r="GX311" i="43"/>
  <c r="GZ311" s="1"/>
  <c r="CY311" s="1"/>
  <c r="GJ311"/>
  <c r="GL311" s="1"/>
  <c r="BK311" s="1"/>
  <c r="GQ311"/>
  <c r="GS311" s="1"/>
  <c r="CF311" s="1"/>
  <c r="GE311"/>
  <c r="AR311" s="1"/>
  <c r="ES310"/>
  <c r="ER310" s="1"/>
  <c r="EV310"/>
  <c r="CH311" l="1"/>
  <c r="AT311"/>
  <c r="BM311"/>
  <c r="AA307" i="45"/>
  <c r="AB307" s="1"/>
  <c r="HB312" i="43"/>
  <c r="HA312" s="1"/>
  <c r="GW312" s="1"/>
  <c r="DA311"/>
  <c r="AR307" i="45"/>
  <c r="AT308"/>
  <c r="AD311" i="43"/>
  <c r="GG312"/>
  <c r="GF312" s="1"/>
  <c r="AW308" i="45"/>
  <c r="GN312" i="43"/>
  <c r="GM312" s="1"/>
  <c r="GU312"/>
  <c r="GT312" s="1"/>
  <c r="AV308" i="45"/>
  <c r="GA311" i="43"/>
  <c r="AU308" i="45" l="1"/>
  <c r="BD308"/>
  <c r="BB308"/>
  <c r="AX308"/>
  <c r="AZ308"/>
  <c r="GB312" i="43"/>
  <c r="GD311"/>
  <c r="GY311"/>
  <c r="GR311"/>
  <c r="GK311"/>
  <c r="GI312"/>
  <c r="GP312"/>
  <c r="AE311"/>
  <c r="DO311"/>
  <c r="DP311" s="1"/>
  <c r="T308" i="45" l="1"/>
  <c r="FZ312" i="43"/>
  <c r="ES311"/>
  <c r="ER311" s="1"/>
  <c r="EV311"/>
  <c r="AR308" i="45" l="1"/>
  <c r="AA308"/>
  <c r="AB308" s="1"/>
  <c r="GX312" i="43"/>
  <c r="GZ312" s="1"/>
  <c r="CY312" s="1"/>
  <c r="GJ312"/>
  <c r="GL312" s="1"/>
  <c r="BK312" s="1"/>
  <c r="GC312"/>
  <c r="GQ312"/>
  <c r="GS312" s="1"/>
  <c r="CF312" s="1"/>
  <c r="GU313" l="1"/>
  <c r="GT313" s="1"/>
  <c r="GP313" s="1"/>
  <c r="GN313"/>
  <c r="GM313" s="1"/>
  <c r="GI313" s="1"/>
  <c r="HB313"/>
  <c r="HA313" s="1"/>
  <c r="DA312"/>
  <c r="AW309" i="45"/>
  <c r="BM312" i="43"/>
  <c r="AV309" i="45"/>
  <c r="CH312" i="43"/>
  <c r="GA312"/>
  <c r="GE312"/>
  <c r="AR312" s="1"/>
  <c r="GW313" l="1"/>
  <c r="GG313"/>
  <c r="GF313" s="1"/>
  <c r="AT312"/>
  <c r="AU309" i="45"/>
  <c r="BB309"/>
  <c r="BD309"/>
  <c r="GR312" i="43"/>
  <c r="GY312"/>
  <c r="GK312"/>
  <c r="GD312"/>
  <c r="AD312"/>
  <c r="AT309" i="45"/>
  <c r="GB313" i="43" l="1"/>
  <c r="FZ313" s="1"/>
  <c r="GC313" s="1"/>
  <c r="AZ309" i="45"/>
  <c r="AX309"/>
  <c r="DO312" i="43"/>
  <c r="DP312" s="1"/>
  <c r="AE312"/>
  <c r="GQ313" l="1"/>
  <c r="GS313" s="1"/>
  <c r="CF313" s="1"/>
  <c r="GJ313"/>
  <c r="GL313" s="1"/>
  <c r="BK313" s="1"/>
  <c r="GX313"/>
  <c r="GZ313" s="1"/>
  <c r="CY313" s="1"/>
  <c r="GE313"/>
  <c r="AR313" s="1"/>
  <c r="T309" i="45"/>
  <c r="ES312" i="43"/>
  <c r="ER312" s="1"/>
  <c r="EV312"/>
  <c r="AT313" l="1"/>
  <c r="AD313"/>
  <c r="GG314"/>
  <c r="GF314" s="1"/>
  <c r="AT310" i="45"/>
  <c r="CH313" i="43"/>
  <c r="GU314"/>
  <c r="GT314" s="1"/>
  <c r="GP314" s="1"/>
  <c r="AV310" i="45"/>
  <c r="GA313" i="43"/>
  <c r="BM313"/>
  <c r="GN314"/>
  <c r="GM314" s="1"/>
  <c r="AW310" i="45"/>
  <c r="DA313" i="43"/>
  <c r="HB314"/>
  <c r="HA314" s="1"/>
  <c r="AA309" i="45"/>
  <c r="AB309" s="1"/>
  <c r="AR309"/>
  <c r="GI314" i="43" l="1"/>
  <c r="BB310" i="45"/>
  <c r="BD310"/>
  <c r="AE313" i="43"/>
  <c r="DO313"/>
  <c r="DP313" s="1"/>
  <c r="GD313"/>
  <c r="GK313"/>
  <c r="GR313"/>
  <c r="GY313"/>
  <c r="GB314"/>
  <c r="GW314"/>
  <c r="AU310" i="45"/>
  <c r="AX310"/>
  <c r="T310" l="1"/>
  <c r="EV313" i="43"/>
  <c r="ES313"/>
  <c r="ER313" s="1"/>
  <c r="AZ310" i="45"/>
  <c r="FZ314" i="43"/>
  <c r="AA310" i="45" l="1"/>
  <c r="AB310" s="1"/>
  <c r="AR310"/>
  <c r="GQ314" i="43"/>
  <c r="GS314" s="1"/>
  <c r="CF314" s="1"/>
  <c r="GX314"/>
  <c r="GZ314" s="1"/>
  <c r="CY314" s="1"/>
  <c r="GJ314"/>
  <c r="GL314" s="1"/>
  <c r="BK314" s="1"/>
  <c r="GC314"/>
  <c r="DA314" l="1"/>
  <c r="HB315"/>
  <c r="HA315" s="1"/>
  <c r="BM314"/>
  <c r="GN315"/>
  <c r="GM315" s="1"/>
  <c r="AW311" i="45"/>
  <c r="GE314" i="43"/>
  <c r="AR314" s="1"/>
  <c r="GA314"/>
  <c r="CH314"/>
  <c r="GU315"/>
  <c r="GT315" s="1"/>
  <c r="AV311" i="45"/>
  <c r="AU311" l="1"/>
  <c r="AZ311" s="1"/>
  <c r="GP315" i="43"/>
  <c r="BD311" i="45"/>
  <c r="BB311"/>
  <c r="AT314" i="43"/>
  <c r="AD314"/>
  <c r="GG315"/>
  <c r="GF315" s="1"/>
  <c r="AT311" i="45"/>
  <c r="GW315" i="43"/>
  <c r="GR314"/>
  <c r="GK314"/>
  <c r="GY314"/>
  <c r="GD314"/>
  <c r="GI315"/>
  <c r="AE314" l="1"/>
  <c r="DO314"/>
  <c r="DP314" s="1"/>
  <c r="GB315"/>
  <c r="FZ315" s="1"/>
  <c r="AX311" i="45"/>
  <c r="T311" l="1"/>
  <c r="EV314" i="43"/>
  <c r="ES314"/>
  <c r="ER314" s="1"/>
  <c r="GX315"/>
  <c r="GZ315" s="1"/>
  <c r="CY315" s="1"/>
  <c r="GJ315"/>
  <c r="GL315" s="1"/>
  <c r="BK315" s="1"/>
  <c r="GQ315"/>
  <c r="GS315" s="1"/>
  <c r="CF315" s="1"/>
  <c r="GC315"/>
  <c r="CH315" l="1"/>
  <c r="BM315"/>
  <c r="HB316"/>
  <c r="HA316" s="1"/>
  <c r="GW316" s="1"/>
  <c r="DA315"/>
  <c r="AA311" i="45"/>
  <c r="AB311" s="1"/>
  <c r="AR311"/>
  <c r="GU316" i="43"/>
  <c r="GT316" s="1"/>
  <c r="GP316" s="1"/>
  <c r="AV312" i="45"/>
  <c r="GN316" i="43"/>
  <c r="GM316" s="1"/>
  <c r="AW312" i="45"/>
  <c r="GE315" i="43"/>
  <c r="AR315" s="1"/>
  <c r="GA315"/>
  <c r="AU312" i="45" l="1"/>
  <c r="AZ312" s="1"/>
  <c r="AT315" i="43"/>
  <c r="BD312" i="45"/>
  <c r="BB312"/>
  <c r="AD315" i="43"/>
  <c r="GG316"/>
  <c r="GF316" s="1"/>
  <c r="AT312" i="45"/>
  <c r="GY315" i="43"/>
  <c r="GK315"/>
  <c r="GD315"/>
  <c r="GR315"/>
  <c r="GI316"/>
  <c r="AX312" i="45" l="1"/>
  <c r="DO315" i="43"/>
  <c r="DP315" s="1"/>
  <c r="AE315"/>
  <c r="GB316"/>
  <c r="FZ316" s="1"/>
  <c r="GC316" s="1"/>
  <c r="T312" i="45" l="1"/>
  <c r="GE316" i="43"/>
  <c r="AR316" s="1"/>
  <c r="EV315"/>
  <c r="ES315"/>
  <c r="ER315" s="1"/>
  <c r="GQ316"/>
  <c r="GS316" s="1"/>
  <c r="CF316" s="1"/>
  <c r="GX316"/>
  <c r="GZ316" s="1"/>
  <c r="CY316" s="1"/>
  <c r="GJ316"/>
  <c r="GL316" s="1"/>
  <c r="BK316" s="1"/>
  <c r="CH316" l="1"/>
  <c r="BM316"/>
  <c r="AT316"/>
  <c r="HB317"/>
  <c r="HA317" s="1"/>
  <c r="GW317" s="1"/>
  <c r="DA316"/>
  <c r="AA312" i="45"/>
  <c r="AB312" s="1"/>
  <c r="AR312"/>
  <c r="GU317" i="43"/>
  <c r="GT317" s="1"/>
  <c r="AV313" i="45"/>
  <c r="AD316" i="43"/>
  <c r="GG317"/>
  <c r="GF317" s="1"/>
  <c r="AT313" i="45"/>
  <c r="GN317" i="43"/>
  <c r="GM317" s="1"/>
  <c r="AW313" i="45"/>
  <c r="GA316" i="43"/>
  <c r="AU313" i="45" l="1"/>
  <c r="AZ313" s="1"/>
  <c r="BD313"/>
  <c r="AX313"/>
  <c r="BB313"/>
  <c r="GP317" i="43"/>
  <c r="GI317"/>
  <c r="DO316"/>
  <c r="DP316" s="1"/>
  <c r="AE316"/>
  <c r="GR316"/>
  <c r="GD316"/>
  <c r="GY316"/>
  <c r="GK316"/>
  <c r="GB317"/>
  <c r="T313" i="45" l="1"/>
  <c r="FZ317" i="43"/>
  <c r="GX317" s="1"/>
  <c r="GZ317" s="1"/>
  <c r="CY317" s="1"/>
  <c r="EV316"/>
  <c r="ES316"/>
  <c r="ER316" s="1"/>
  <c r="HB318" l="1"/>
  <c r="HA318" s="1"/>
  <c r="GW318" s="1"/>
  <c r="DA317"/>
  <c r="AA313" i="45"/>
  <c r="AB313" s="1"/>
  <c r="AR313"/>
  <c r="GC317" i="43"/>
  <c r="GE317" s="1"/>
  <c r="AR317" s="1"/>
  <c r="GJ317"/>
  <c r="GL317" s="1"/>
  <c r="BK317" s="1"/>
  <c r="GQ317"/>
  <c r="GS317" s="1"/>
  <c r="CF317" s="1"/>
  <c r="AU314" i="45" l="1"/>
  <c r="AZ314" s="1"/>
  <c r="AT317" i="43"/>
  <c r="AW314" i="45"/>
  <c r="BM317" i="43"/>
  <c r="AV314" i="45"/>
  <c r="CH317" i="43"/>
  <c r="GU318"/>
  <c r="GT318" s="1"/>
  <c r="GP318" s="1"/>
  <c r="GN318"/>
  <c r="GM318" s="1"/>
  <c r="GI318" s="1"/>
  <c r="GA317"/>
  <c r="GK317" s="1"/>
  <c r="AD317"/>
  <c r="GG318"/>
  <c r="GF318" s="1"/>
  <c r="AT314" i="45"/>
  <c r="AX314" l="1"/>
  <c r="BB314"/>
  <c r="BD314"/>
  <c r="GD317" i="43"/>
  <c r="GY317"/>
  <c r="GR317"/>
  <c r="DO317"/>
  <c r="DP317" s="1"/>
  <c r="AE317"/>
  <c r="GB318"/>
  <c r="FZ318" s="1"/>
  <c r="GC318" s="1"/>
  <c r="T314" i="45" l="1"/>
  <c r="EV317" i="43"/>
  <c r="ES317"/>
  <c r="ER317" s="1"/>
  <c r="GX318"/>
  <c r="GZ318" s="1"/>
  <c r="CY318" s="1"/>
  <c r="GQ318"/>
  <c r="GS318" s="1"/>
  <c r="CF318" s="1"/>
  <c r="GJ318"/>
  <c r="GL318" s="1"/>
  <c r="BK318" s="1"/>
  <c r="GE318"/>
  <c r="AR318" s="1"/>
  <c r="CH318" l="1"/>
  <c r="BM318"/>
  <c r="AR314" i="45"/>
  <c r="HB319" i="43"/>
  <c r="HA319" s="1"/>
  <c r="GW319" s="1"/>
  <c r="DA318"/>
  <c r="GG319"/>
  <c r="GF319" s="1"/>
  <c r="GB319" s="1"/>
  <c r="AT318"/>
  <c r="AA314" i="45"/>
  <c r="AB314" s="1"/>
  <c r="AW315"/>
  <c r="GN319" i="43"/>
  <c r="GM319" s="1"/>
  <c r="GI319" s="1"/>
  <c r="AV315" i="45"/>
  <c r="GU319" i="43"/>
  <c r="GT319" s="1"/>
  <c r="AD318"/>
  <c r="AT315" i="45"/>
  <c r="GA318" i="43"/>
  <c r="AU315" i="45" l="1"/>
  <c r="AZ315" s="1"/>
  <c r="BB315"/>
  <c r="AX315"/>
  <c r="BD315"/>
  <c r="GP319" i="43"/>
  <c r="FZ319" s="1"/>
  <c r="DO318"/>
  <c r="DP318" s="1"/>
  <c r="AE318"/>
  <c r="GY318"/>
  <c r="GD318"/>
  <c r="GR318"/>
  <c r="GK318"/>
  <c r="T315" i="45" l="1"/>
  <c r="GJ319" i="43"/>
  <c r="GL319" s="1"/>
  <c r="BK319" s="1"/>
  <c r="GX319"/>
  <c r="GZ319" s="1"/>
  <c r="CY319" s="1"/>
  <c r="GC319"/>
  <c r="GQ319"/>
  <c r="GS319" s="1"/>
  <c r="CF319" s="1"/>
  <c r="EV318"/>
  <c r="ES318"/>
  <c r="ER318" s="1"/>
  <c r="CH319" l="1"/>
  <c r="BM319"/>
  <c r="AR315" i="45"/>
  <c r="HB320" i="43"/>
  <c r="HA320" s="1"/>
  <c r="GW320" s="1"/>
  <c r="DA319"/>
  <c r="AA315" i="45"/>
  <c r="AB315" s="1"/>
  <c r="GN320" i="43"/>
  <c r="GM320" s="1"/>
  <c r="AW316" i="45"/>
  <c r="GE319" i="43"/>
  <c r="AR319" s="1"/>
  <c r="GA319"/>
  <c r="GU320"/>
  <c r="GT320" s="1"/>
  <c r="AV316" i="45"/>
  <c r="AT319" i="43" l="1"/>
  <c r="AU316" i="45"/>
  <c r="AZ316" s="1"/>
  <c r="BB316"/>
  <c r="BD316"/>
  <c r="AD319" i="43"/>
  <c r="GG320"/>
  <c r="GF320" s="1"/>
  <c r="AT316" i="45"/>
  <c r="GD319" i="43"/>
  <c r="GK319"/>
  <c r="GR319"/>
  <c r="GY319"/>
  <c r="GI320"/>
  <c r="GP320"/>
  <c r="AX316" i="45" l="1"/>
  <c r="DO319" i="43"/>
  <c r="DP319" s="1"/>
  <c r="AE319"/>
  <c r="GB320"/>
  <c r="FZ320" s="1"/>
  <c r="T316" i="45" l="1"/>
  <c r="EV319" i="43"/>
  <c r="ES319"/>
  <c r="ER319" s="1"/>
  <c r="GX320"/>
  <c r="GZ320" s="1"/>
  <c r="CY320" s="1"/>
  <c r="GQ320"/>
  <c r="GS320" s="1"/>
  <c r="CF320" s="1"/>
  <c r="GJ320"/>
  <c r="GL320" s="1"/>
  <c r="BK320" s="1"/>
  <c r="GC320"/>
  <c r="CH320" l="1"/>
  <c r="BM320"/>
  <c r="AR316" i="45"/>
  <c r="HB321" i="43"/>
  <c r="HA321" s="1"/>
  <c r="GW321" s="1"/>
  <c r="DA320"/>
  <c r="AA316" i="45"/>
  <c r="AB316" s="1"/>
  <c r="GA320" i="43"/>
  <c r="GE320"/>
  <c r="AR320" s="1"/>
  <c r="GN321"/>
  <c r="GM321" s="1"/>
  <c r="AW317" i="45"/>
  <c r="GU321" i="43"/>
  <c r="GT321" s="1"/>
  <c r="AV317" i="45"/>
  <c r="AT320" i="43" l="1"/>
  <c r="AU317" i="45"/>
  <c r="AZ317" s="1"/>
  <c r="BD317"/>
  <c r="BB317"/>
  <c r="GD320" i="43"/>
  <c r="GY320"/>
  <c r="GR320"/>
  <c r="GK320"/>
  <c r="AD320"/>
  <c r="GG321"/>
  <c r="GF321" s="1"/>
  <c r="AT317" i="45"/>
  <c r="GI321" i="43"/>
  <c r="GP321"/>
  <c r="AX317" i="45" l="1"/>
  <c r="AE320" i="43"/>
  <c r="DO320"/>
  <c r="DP320" s="1"/>
  <c r="GB321"/>
  <c r="FZ321" s="1"/>
  <c r="T317" i="45" l="1"/>
  <c r="EV320" i="43"/>
  <c r="ES320"/>
  <c r="ER320" s="1"/>
  <c r="GX321"/>
  <c r="GZ321" s="1"/>
  <c r="CY321" s="1"/>
  <c r="GQ321"/>
  <c r="GS321" s="1"/>
  <c r="CF321" s="1"/>
  <c r="C91" i="35" s="1"/>
  <c r="GJ321" i="43"/>
  <c r="GL321" s="1"/>
  <c r="BK321" s="1"/>
  <c r="C76" i="35" s="1"/>
  <c r="GC321" i="43"/>
  <c r="D104" i="35" l="1"/>
  <c r="C104"/>
  <c r="E91"/>
  <c r="D91"/>
  <c r="E76"/>
  <c r="D76"/>
  <c r="F104"/>
  <c r="E104"/>
  <c r="G91"/>
  <c r="F91"/>
  <c r="G76"/>
  <c r="F76"/>
  <c r="H104"/>
  <c r="G104"/>
  <c r="I91"/>
  <c r="H91"/>
  <c r="I76"/>
  <c r="H76"/>
  <c r="J104"/>
  <c r="I104"/>
  <c r="K91"/>
  <c r="J91"/>
  <c r="K76"/>
  <c r="J76"/>
  <c r="DA321" i="43"/>
  <c r="K104" i="35"/>
  <c r="AV318" i="45"/>
  <c r="CH321" i="43"/>
  <c r="C92" i="35" s="1"/>
  <c r="AW318" i="45"/>
  <c r="BM321" i="43"/>
  <c r="C77" i="35" s="1"/>
  <c r="AA317" i="45"/>
  <c r="AB317" s="1"/>
  <c r="AR317"/>
  <c r="GA321" i="43"/>
  <c r="GE321"/>
  <c r="AR321" s="1"/>
  <c r="D63" i="35" l="1"/>
  <c r="C63"/>
  <c r="D105"/>
  <c r="C105"/>
  <c r="E92"/>
  <c r="D92"/>
  <c r="E77"/>
  <c r="D77"/>
  <c r="F63"/>
  <c r="E63"/>
  <c r="F105"/>
  <c r="E105"/>
  <c r="G77"/>
  <c r="F77"/>
  <c r="G92"/>
  <c r="F92"/>
  <c r="H63"/>
  <c r="G63"/>
  <c r="H105"/>
  <c r="G105"/>
  <c r="I92"/>
  <c r="H92"/>
  <c r="I77"/>
  <c r="H77"/>
  <c r="J105"/>
  <c r="I105"/>
  <c r="J63"/>
  <c r="I63"/>
  <c r="K77"/>
  <c r="J77"/>
  <c r="K92"/>
  <c r="J92"/>
  <c r="AU318" i="45"/>
  <c r="K105" i="35"/>
  <c r="AT321" i="43"/>
  <c r="C64" i="35" s="1"/>
  <c r="K63"/>
  <c r="BD324" i="45"/>
  <c r="BD321"/>
  <c r="BD320"/>
  <c r="BD323"/>
  <c r="BD319"/>
  <c r="BD322"/>
  <c r="BD318"/>
  <c r="BB324"/>
  <c r="BB322"/>
  <c r="BB323"/>
  <c r="BB321"/>
  <c r="BB320"/>
  <c r="BB319"/>
  <c r="BB318"/>
  <c r="AD321" i="43"/>
  <c r="C40" i="35" s="1"/>
  <c r="AT318" i="45"/>
  <c r="GK321" i="43"/>
  <c r="GY321"/>
  <c r="GD321"/>
  <c r="GR321"/>
  <c r="E40" i="35" l="1"/>
  <c r="D40"/>
  <c r="E64"/>
  <c r="D64"/>
  <c r="BB383" i="45"/>
  <c r="BB384" s="1"/>
  <c r="BC388" s="1"/>
  <c r="G40" i="35"/>
  <c r="F40"/>
  <c r="G64"/>
  <c r="F64"/>
  <c r="I40"/>
  <c r="H40"/>
  <c r="I64"/>
  <c r="H64"/>
  <c r="BD383" i="45"/>
  <c r="BD384" s="1"/>
  <c r="BE389" s="1"/>
  <c r="K64" i="35"/>
  <c r="J64"/>
  <c r="K40"/>
  <c r="J40"/>
  <c r="AZ323" i="45"/>
  <c r="AZ321"/>
  <c r="AZ319"/>
  <c r="AZ324"/>
  <c r="AZ322"/>
  <c r="AZ318"/>
  <c r="AZ320"/>
  <c r="AX324"/>
  <c r="AX323"/>
  <c r="AX321"/>
  <c r="AX322"/>
  <c r="AX319"/>
  <c r="AX320"/>
  <c r="AX318"/>
  <c r="DO321" i="43"/>
  <c r="DP321" s="1"/>
  <c r="AE321"/>
  <c r="D39" i="35" l="1"/>
  <c r="C39"/>
  <c r="F39"/>
  <c r="E39"/>
  <c r="H39"/>
  <c r="G39"/>
  <c r="AX383" i="45"/>
  <c r="AX384" s="1"/>
  <c r="AY386" s="1"/>
  <c r="J39" i="35"/>
  <c r="I39"/>
  <c r="AZ383" i="45"/>
  <c r="AZ384" s="1"/>
  <c r="BA387" s="1"/>
  <c r="T318"/>
  <c r="AR320" s="1"/>
  <c r="K39" i="35"/>
  <c r="EV321" i="43"/>
  <c r="ES321"/>
  <c r="ER321" s="1"/>
  <c r="ES322" s="1"/>
  <c r="ER322" s="1"/>
  <c r="AR324" i="45" l="1"/>
  <c r="AR323"/>
  <c r="AR322"/>
  <c r="AR321"/>
  <c r="AR318"/>
  <c r="AA318"/>
  <c r="AB318" s="1"/>
  <c r="AR319"/>
  <c r="AR383" l="1"/>
  <c r="AR384" s="1"/>
  <c r="AS385" s="1"/>
</calcChain>
</file>

<file path=xl/comments1.xml><?xml version="1.0" encoding="utf-8"?>
<comments xmlns="http://schemas.openxmlformats.org/spreadsheetml/2006/main">
  <authors>
    <author>jmoline</author>
    <author>cjohnso2</author>
  </authors>
  <commentList>
    <comment ref="W2" authorId="0">
      <text>
        <r>
          <rPr>
            <b/>
            <sz val="8"/>
            <color indexed="81"/>
            <rFont val="Tahoma"/>
            <family val="2"/>
          </rPr>
          <t>jmoline:</t>
        </r>
        <r>
          <rPr>
            <sz val="8"/>
            <color indexed="81"/>
            <rFont val="Tahoma"/>
            <family val="2"/>
          </rPr>
          <t xml:space="preserve">
Some manual manipulation of this column will be needed around the July 1 time.</t>
        </r>
      </text>
    </comment>
    <comment ref="X2" authorId="0">
      <text>
        <r>
          <rPr>
            <b/>
            <sz val="8"/>
            <color indexed="81"/>
            <rFont val="Tahoma"/>
            <family val="2"/>
          </rPr>
          <t>jmoline:</t>
        </r>
        <r>
          <rPr>
            <sz val="8"/>
            <color indexed="81"/>
            <rFont val="Tahoma"/>
            <family val="2"/>
          </rPr>
          <t xml:space="preserve">
Some manual manipulation of this column will be needed around the July 1 time.</t>
        </r>
      </text>
    </comment>
    <comment ref="W5" authorId="0">
      <text>
        <r>
          <rPr>
            <b/>
            <sz val="8"/>
            <color indexed="81"/>
            <rFont val="Tahoma"/>
            <family val="2"/>
          </rPr>
          <t>jmoline:</t>
        </r>
        <r>
          <rPr>
            <sz val="8"/>
            <color indexed="81"/>
            <rFont val="Tahoma"/>
            <family val="2"/>
          </rPr>
          <t xml:space="preserve">
changed from =IF(B5&lt;1,#N/A,#REF!-X5*1.983)</t>
        </r>
      </text>
    </comment>
    <comment ref="T12" authorId="0">
      <text>
        <r>
          <rPr>
            <b/>
            <sz val="8"/>
            <color indexed="81"/>
            <rFont val="Tahoma"/>
            <family val="2"/>
          </rPr>
          <t>jmoline:</t>
        </r>
        <r>
          <rPr>
            <sz val="8"/>
            <color indexed="81"/>
            <rFont val="Tahoma"/>
            <family val="2"/>
          </rPr>
          <t xml:space="preserve">
changed from =VLOOKUP(K7,Sheet1!$B$8:$IV$895,112,FALSE)</t>
        </r>
      </text>
    </comment>
    <comment ref="AC12" authorId="0">
      <text>
        <r>
          <rPr>
            <b/>
            <sz val="8"/>
            <color indexed="81"/>
            <rFont val="Tahoma"/>
            <family val="2"/>
          </rPr>
          <t>jmoline:</t>
        </r>
        <r>
          <rPr>
            <sz val="8"/>
            <color indexed="81"/>
            <rFont val="Tahoma"/>
            <family val="2"/>
          </rPr>
          <t xml:space="preserve">
changed from =VLOOKUP(K7,Sheet1!$B$8:$IV$895,112,FALSE)</t>
        </r>
      </text>
    </comment>
    <comment ref="AK70" authorId="0">
      <text>
        <r>
          <rPr>
            <b/>
            <sz val="8"/>
            <color indexed="81"/>
            <rFont val="Tahoma"/>
            <family val="2"/>
          </rPr>
          <t>jmoline:</t>
        </r>
        <r>
          <rPr>
            <sz val="8"/>
            <color indexed="81"/>
            <rFont val="Tahoma"/>
            <family val="2"/>
          </rPr>
          <t xml:space="preserve">
2/29/08 data deleted</t>
        </r>
      </text>
    </comment>
    <comment ref="W129" authorId="0">
      <text>
        <r>
          <rPr>
            <b/>
            <sz val="8"/>
            <color indexed="81"/>
            <rFont val="Tahoma"/>
            <family val="2"/>
          </rPr>
          <t>jmoline:</t>
        </r>
        <r>
          <rPr>
            <sz val="8"/>
            <color indexed="81"/>
            <rFont val="Tahoma"/>
            <family val="2"/>
          </rPr>
          <t xml:space="preserve">
changed equation 4/29/10 to start storing 1135 water</t>
        </r>
      </text>
    </comment>
    <comment ref="W148" authorId="0">
      <text>
        <r>
          <rPr>
            <b/>
            <sz val="8"/>
            <color indexed="81"/>
            <rFont val="Tahoma"/>
            <family val="2"/>
          </rPr>
          <t>jmoline:</t>
        </r>
        <r>
          <rPr>
            <sz val="8"/>
            <color indexed="81"/>
            <rFont val="Tahoma"/>
            <family val="2"/>
          </rPr>
          <t xml:space="preserve">
manually set to 5000</t>
        </r>
      </text>
    </comment>
    <comment ref="W149" authorId="0">
      <text>
        <r>
          <rPr>
            <b/>
            <sz val="8"/>
            <color indexed="81"/>
            <rFont val="Tahoma"/>
            <family val="2"/>
          </rPr>
          <t>jmoline:</t>
        </r>
        <r>
          <rPr>
            <sz val="8"/>
            <color indexed="81"/>
            <rFont val="Tahoma"/>
            <family val="2"/>
          </rPr>
          <t xml:space="preserve">
manually set to 5000</t>
        </r>
      </text>
    </comment>
    <comment ref="W150" authorId="0">
      <text>
        <r>
          <rPr>
            <b/>
            <sz val="8"/>
            <color indexed="81"/>
            <rFont val="Tahoma"/>
            <family val="2"/>
          </rPr>
          <t>jmoline:</t>
        </r>
        <r>
          <rPr>
            <sz val="8"/>
            <color indexed="81"/>
            <rFont val="Tahoma"/>
            <family val="2"/>
          </rPr>
          <t xml:space="preserve">
manually set to 5000</t>
        </r>
      </text>
    </comment>
    <comment ref="W151" authorId="0">
      <text>
        <r>
          <rPr>
            <b/>
            <sz val="8"/>
            <color indexed="81"/>
            <rFont val="Tahoma"/>
            <family val="2"/>
          </rPr>
          <t>jmoline:</t>
        </r>
        <r>
          <rPr>
            <sz val="8"/>
            <color indexed="81"/>
            <rFont val="Tahoma"/>
            <family val="2"/>
          </rPr>
          <t xml:space="preserve">
manually set to 5000</t>
        </r>
      </text>
    </comment>
    <comment ref="W152" authorId="0">
      <text>
        <r>
          <rPr>
            <b/>
            <sz val="8"/>
            <color indexed="81"/>
            <rFont val="Tahoma"/>
            <family val="2"/>
          </rPr>
          <t>jmoline:</t>
        </r>
        <r>
          <rPr>
            <sz val="8"/>
            <color indexed="81"/>
            <rFont val="Tahoma"/>
            <family val="2"/>
          </rPr>
          <t xml:space="preserve">
manually set to 5000</t>
        </r>
      </text>
    </comment>
    <comment ref="W153" authorId="0">
      <text>
        <r>
          <rPr>
            <b/>
            <sz val="8"/>
            <color indexed="81"/>
            <rFont val="Tahoma"/>
            <family val="2"/>
          </rPr>
          <t>jmoline:</t>
        </r>
        <r>
          <rPr>
            <sz val="8"/>
            <color indexed="81"/>
            <rFont val="Tahoma"/>
            <family val="2"/>
          </rPr>
          <t xml:space="preserve">
manually set to 5000</t>
        </r>
      </text>
    </comment>
    <comment ref="W154" authorId="0">
      <text>
        <r>
          <rPr>
            <b/>
            <sz val="8"/>
            <color indexed="81"/>
            <rFont val="Tahoma"/>
            <family val="2"/>
          </rPr>
          <t>jmoline:</t>
        </r>
        <r>
          <rPr>
            <sz val="8"/>
            <color indexed="81"/>
            <rFont val="Tahoma"/>
            <family val="2"/>
          </rPr>
          <t xml:space="preserve">
manually set to 5000</t>
        </r>
      </text>
    </comment>
    <comment ref="W155" authorId="0">
      <text>
        <r>
          <rPr>
            <b/>
            <sz val="8"/>
            <color indexed="81"/>
            <rFont val="Tahoma"/>
            <family val="2"/>
          </rPr>
          <t>jmoline:</t>
        </r>
        <r>
          <rPr>
            <sz val="8"/>
            <color indexed="81"/>
            <rFont val="Tahoma"/>
            <family val="2"/>
          </rPr>
          <t xml:space="preserve">
manually set to 5000</t>
        </r>
      </text>
    </comment>
    <comment ref="W156" authorId="0">
      <text>
        <r>
          <rPr>
            <b/>
            <sz val="8"/>
            <color indexed="81"/>
            <rFont val="Tahoma"/>
            <family val="2"/>
          </rPr>
          <t>jmoline:</t>
        </r>
        <r>
          <rPr>
            <sz val="8"/>
            <color indexed="81"/>
            <rFont val="Tahoma"/>
            <family val="2"/>
          </rPr>
          <t xml:space="preserve">
manually set to 5000</t>
        </r>
      </text>
    </comment>
    <comment ref="W157" authorId="0">
      <text>
        <r>
          <rPr>
            <b/>
            <sz val="8"/>
            <color indexed="81"/>
            <rFont val="Tahoma"/>
            <family val="2"/>
          </rPr>
          <t>jmoline:</t>
        </r>
        <r>
          <rPr>
            <sz val="8"/>
            <color indexed="81"/>
            <rFont val="Tahoma"/>
            <family val="2"/>
          </rPr>
          <t xml:space="preserve">
manually set to 5000</t>
        </r>
      </text>
    </comment>
    <comment ref="W158" authorId="0">
      <text>
        <r>
          <rPr>
            <b/>
            <sz val="8"/>
            <color indexed="81"/>
            <rFont val="Tahoma"/>
            <family val="2"/>
          </rPr>
          <t>jmoline:</t>
        </r>
        <r>
          <rPr>
            <sz val="8"/>
            <color indexed="81"/>
            <rFont val="Tahoma"/>
            <family val="2"/>
          </rPr>
          <t xml:space="preserve">
manually set to 5000</t>
        </r>
      </text>
    </comment>
    <comment ref="W159" authorId="0">
      <text>
        <r>
          <rPr>
            <b/>
            <sz val="8"/>
            <color indexed="81"/>
            <rFont val="Tahoma"/>
            <family val="2"/>
          </rPr>
          <t>jmoline:</t>
        </r>
        <r>
          <rPr>
            <sz val="8"/>
            <color indexed="81"/>
            <rFont val="Tahoma"/>
            <family val="2"/>
          </rPr>
          <t xml:space="preserve">
manually set to 5000</t>
        </r>
      </text>
    </comment>
    <comment ref="W160" authorId="0">
      <text>
        <r>
          <rPr>
            <b/>
            <sz val="8"/>
            <color indexed="81"/>
            <rFont val="Tahoma"/>
            <family val="2"/>
          </rPr>
          <t>jmoline:</t>
        </r>
        <r>
          <rPr>
            <sz val="8"/>
            <color indexed="81"/>
            <rFont val="Tahoma"/>
            <family val="2"/>
          </rPr>
          <t xml:space="preserve">
manually set to 5000</t>
        </r>
      </text>
    </comment>
    <comment ref="W161" authorId="0">
      <text>
        <r>
          <rPr>
            <b/>
            <sz val="8"/>
            <color indexed="81"/>
            <rFont val="Tahoma"/>
            <family val="2"/>
          </rPr>
          <t>jmoline:</t>
        </r>
        <r>
          <rPr>
            <sz val="8"/>
            <color indexed="81"/>
            <rFont val="Tahoma"/>
            <family val="2"/>
          </rPr>
          <t xml:space="preserve">
manually set to 5000</t>
        </r>
      </text>
    </comment>
    <comment ref="W162" authorId="0">
      <text>
        <r>
          <rPr>
            <b/>
            <sz val="8"/>
            <color indexed="81"/>
            <rFont val="Tahoma"/>
            <family val="2"/>
          </rPr>
          <t>jmoline:</t>
        </r>
        <r>
          <rPr>
            <sz val="8"/>
            <color indexed="81"/>
            <rFont val="Tahoma"/>
            <family val="2"/>
          </rPr>
          <t xml:space="preserve">
manually set to 5000</t>
        </r>
      </text>
    </comment>
    <comment ref="W163" authorId="0">
      <text>
        <r>
          <rPr>
            <b/>
            <sz val="8"/>
            <color indexed="81"/>
            <rFont val="Tahoma"/>
            <family val="2"/>
          </rPr>
          <t>jmoline:</t>
        </r>
        <r>
          <rPr>
            <sz val="8"/>
            <color indexed="81"/>
            <rFont val="Tahoma"/>
            <family val="2"/>
          </rPr>
          <t xml:space="preserve">
manually set to 5000</t>
        </r>
      </text>
    </comment>
    <comment ref="W164" authorId="0">
      <text>
        <r>
          <rPr>
            <b/>
            <sz val="8"/>
            <color indexed="81"/>
            <rFont val="Tahoma"/>
            <family val="2"/>
          </rPr>
          <t>jmoline:</t>
        </r>
        <r>
          <rPr>
            <sz val="8"/>
            <color indexed="81"/>
            <rFont val="Tahoma"/>
            <family val="2"/>
          </rPr>
          <t xml:space="preserve">
manually set to 5000</t>
        </r>
      </text>
    </comment>
    <comment ref="W165" authorId="0">
      <text>
        <r>
          <rPr>
            <b/>
            <sz val="8"/>
            <color indexed="81"/>
            <rFont val="Tahoma"/>
            <family val="2"/>
          </rPr>
          <t>jmoline:</t>
        </r>
        <r>
          <rPr>
            <sz val="8"/>
            <color indexed="81"/>
            <rFont val="Tahoma"/>
            <family val="2"/>
          </rPr>
          <t xml:space="preserve">
manually set to 5000</t>
        </r>
      </text>
    </comment>
    <comment ref="W166" authorId="0">
      <text>
        <r>
          <rPr>
            <b/>
            <sz val="8"/>
            <color indexed="81"/>
            <rFont val="Tahoma"/>
            <family val="2"/>
          </rPr>
          <t>jmoline:</t>
        </r>
        <r>
          <rPr>
            <sz val="8"/>
            <color indexed="81"/>
            <rFont val="Tahoma"/>
            <family val="2"/>
          </rPr>
          <t xml:space="preserve">
manually set to 5000</t>
        </r>
      </text>
    </comment>
    <comment ref="W167" authorId="0">
      <text>
        <r>
          <rPr>
            <b/>
            <sz val="8"/>
            <color indexed="81"/>
            <rFont val="Tahoma"/>
            <family val="2"/>
          </rPr>
          <t>jmoline:</t>
        </r>
        <r>
          <rPr>
            <sz val="8"/>
            <color indexed="81"/>
            <rFont val="Tahoma"/>
            <family val="2"/>
          </rPr>
          <t xml:space="preserve">
manually set to 5000</t>
        </r>
      </text>
    </comment>
    <comment ref="W168" authorId="0">
      <text>
        <r>
          <rPr>
            <b/>
            <sz val="8"/>
            <color indexed="81"/>
            <rFont val="Tahoma"/>
            <family val="2"/>
          </rPr>
          <t>jmoline:</t>
        </r>
        <r>
          <rPr>
            <sz val="8"/>
            <color indexed="81"/>
            <rFont val="Tahoma"/>
            <family val="2"/>
          </rPr>
          <t xml:space="preserve">
manually set to 5000</t>
        </r>
      </text>
    </comment>
    <comment ref="W169" authorId="0">
      <text>
        <r>
          <rPr>
            <b/>
            <sz val="8"/>
            <color indexed="81"/>
            <rFont val="Tahoma"/>
            <family val="2"/>
          </rPr>
          <t>jmoline:</t>
        </r>
        <r>
          <rPr>
            <sz val="8"/>
            <color indexed="81"/>
            <rFont val="Tahoma"/>
            <family val="2"/>
          </rPr>
          <t xml:space="preserve">
manually set to 5000</t>
        </r>
      </text>
    </comment>
    <comment ref="W170" authorId="0">
      <text>
        <r>
          <rPr>
            <b/>
            <sz val="8"/>
            <color indexed="81"/>
            <rFont val="Tahoma"/>
            <family val="2"/>
          </rPr>
          <t>jmoline:</t>
        </r>
        <r>
          <rPr>
            <sz val="8"/>
            <color indexed="81"/>
            <rFont val="Tahoma"/>
            <family val="2"/>
          </rPr>
          <t xml:space="preserve">
manually set to 5000</t>
        </r>
      </text>
    </comment>
    <comment ref="W171" authorId="0">
      <text>
        <r>
          <rPr>
            <b/>
            <sz val="8"/>
            <color indexed="81"/>
            <rFont val="Tahoma"/>
            <family val="2"/>
          </rPr>
          <t>jmoline:</t>
        </r>
        <r>
          <rPr>
            <sz val="8"/>
            <color indexed="81"/>
            <rFont val="Tahoma"/>
            <family val="2"/>
          </rPr>
          <t xml:space="preserve">
manually set to 5000</t>
        </r>
      </text>
    </comment>
    <comment ref="W172" authorId="0">
      <text>
        <r>
          <rPr>
            <b/>
            <sz val="8"/>
            <color indexed="81"/>
            <rFont val="Tahoma"/>
            <family val="2"/>
          </rPr>
          <t>jmoline:</t>
        </r>
        <r>
          <rPr>
            <sz val="8"/>
            <color indexed="81"/>
            <rFont val="Tahoma"/>
            <family val="2"/>
          </rPr>
          <t xml:space="preserve">
manually set to 5000</t>
        </r>
      </text>
    </comment>
    <comment ref="W173" authorId="0">
      <text>
        <r>
          <rPr>
            <b/>
            <sz val="8"/>
            <color indexed="81"/>
            <rFont val="Tahoma"/>
            <family val="2"/>
          </rPr>
          <t>jmoline:</t>
        </r>
        <r>
          <rPr>
            <sz val="8"/>
            <color indexed="81"/>
            <rFont val="Tahoma"/>
            <family val="2"/>
          </rPr>
          <t xml:space="preserve">
manually set to 5000</t>
        </r>
      </text>
    </comment>
    <comment ref="W174" authorId="0">
      <text>
        <r>
          <rPr>
            <b/>
            <sz val="8"/>
            <color indexed="81"/>
            <rFont val="Tahoma"/>
            <family val="2"/>
          </rPr>
          <t>jmoline:</t>
        </r>
        <r>
          <rPr>
            <sz val="8"/>
            <color indexed="81"/>
            <rFont val="Tahoma"/>
            <family val="2"/>
          </rPr>
          <t xml:space="preserve">
manually set to 5000</t>
        </r>
      </text>
    </comment>
    <comment ref="W175" authorId="0">
      <text>
        <r>
          <rPr>
            <b/>
            <sz val="8"/>
            <color indexed="81"/>
            <rFont val="Tahoma"/>
            <family val="2"/>
          </rPr>
          <t>jmoline:</t>
        </r>
        <r>
          <rPr>
            <sz val="8"/>
            <color indexed="81"/>
            <rFont val="Tahoma"/>
            <family val="2"/>
          </rPr>
          <t xml:space="preserve">
manually set to 5000</t>
        </r>
      </text>
    </comment>
    <comment ref="W176" authorId="0">
      <text>
        <r>
          <rPr>
            <b/>
            <sz val="8"/>
            <color indexed="81"/>
            <rFont val="Tahoma"/>
            <family val="2"/>
          </rPr>
          <t>jmoline:</t>
        </r>
        <r>
          <rPr>
            <sz val="8"/>
            <color indexed="81"/>
            <rFont val="Tahoma"/>
            <family val="2"/>
          </rPr>
          <t xml:space="preserve">
manually set to 5000</t>
        </r>
      </text>
    </comment>
    <comment ref="W177" authorId="0">
      <text>
        <r>
          <rPr>
            <b/>
            <sz val="8"/>
            <color indexed="81"/>
            <rFont val="Tahoma"/>
            <family val="2"/>
          </rPr>
          <t>jmoline:</t>
        </r>
        <r>
          <rPr>
            <sz val="8"/>
            <color indexed="81"/>
            <rFont val="Tahoma"/>
            <family val="2"/>
          </rPr>
          <t xml:space="preserve">
manually set to 5000</t>
        </r>
      </text>
    </comment>
    <comment ref="W178" authorId="0">
      <text>
        <r>
          <rPr>
            <b/>
            <sz val="8"/>
            <color indexed="81"/>
            <rFont val="Tahoma"/>
            <family val="2"/>
          </rPr>
          <t>jmoline:</t>
        </r>
        <r>
          <rPr>
            <sz val="8"/>
            <color indexed="81"/>
            <rFont val="Tahoma"/>
            <family val="2"/>
          </rPr>
          <t xml:space="preserve">
manually set to 5000</t>
        </r>
      </text>
    </comment>
    <comment ref="W179" authorId="0">
      <text>
        <r>
          <rPr>
            <b/>
            <sz val="8"/>
            <color indexed="81"/>
            <rFont val="Tahoma"/>
            <family val="2"/>
          </rPr>
          <t>jmoline:</t>
        </r>
        <r>
          <rPr>
            <sz val="8"/>
            <color indexed="81"/>
            <rFont val="Tahoma"/>
            <family val="2"/>
          </rPr>
          <t xml:space="preserve">
manually set to 5000</t>
        </r>
      </text>
    </comment>
    <comment ref="W180" authorId="0">
      <text>
        <r>
          <rPr>
            <b/>
            <sz val="8"/>
            <color indexed="81"/>
            <rFont val="Tahoma"/>
            <family val="2"/>
          </rPr>
          <t>jmoline:</t>
        </r>
        <r>
          <rPr>
            <sz val="8"/>
            <color indexed="81"/>
            <rFont val="Tahoma"/>
            <family val="2"/>
          </rPr>
          <t xml:space="preserve">
manually set to 5000</t>
        </r>
      </text>
    </comment>
    <comment ref="W181" authorId="0">
      <text>
        <r>
          <rPr>
            <b/>
            <sz val="8"/>
            <color indexed="81"/>
            <rFont val="Tahoma"/>
            <family val="2"/>
          </rPr>
          <t>jmoline:</t>
        </r>
        <r>
          <rPr>
            <sz val="8"/>
            <color indexed="81"/>
            <rFont val="Tahoma"/>
            <family val="2"/>
          </rPr>
          <t xml:space="preserve">
manually set to 5000</t>
        </r>
      </text>
    </comment>
    <comment ref="W182" authorId="0">
      <text>
        <r>
          <rPr>
            <b/>
            <sz val="8"/>
            <color indexed="81"/>
            <rFont val="Tahoma"/>
            <family val="2"/>
          </rPr>
          <t>jmoline:</t>
        </r>
        <r>
          <rPr>
            <sz val="8"/>
            <color indexed="81"/>
            <rFont val="Tahoma"/>
            <family val="2"/>
          </rPr>
          <t xml:space="preserve">
manually set to 5000</t>
        </r>
      </text>
    </comment>
    <comment ref="W183" authorId="0">
      <text>
        <r>
          <rPr>
            <b/>
            <sz val="8"/>
            <color indexed="81"/>
            <rFont val="Tahoma"/>
            <family val="2"/>
          </rPr>
          <t>jmoline:</t>
        </r>
        <r>
          <rPr>
            <sz val="8"/>
            <color indexed="81"/>
            <rFont val="Tahoma"/>
            <family val="2"/>
          </rPr>
          <t xml:space="preserve">
manually set to 5000</t>
        </r>
      </text>
    </comment>
    <comment ref="W184" authorId="0">
      <text>
        <r>
          <rPr>
            <b/>
            <sz val="8"/>
            <color indexed="81"/>
            <rFont val="Tahoma"/>
            <family val="2"/>
          </rPr>
          <t>jmoline:</t>
        </r>
        <r>
          <rPr>
            <sz val="8"/>
            <color indexed="81"/>
            <rFont val="Tahoma"/>
            <family val="2"/>
          </rPr>
          <t xml:space="preserve">
manually set to 5000</t>
        </r>
      </text>
    </comment>
    <comment ref="W185" authorId="0">
      <text>
        <r>
          <rPr>
            <b/>
            <sz val="8"/>
            <color indexed="81"/>
            <rFont val="Tahoma"/>
            <family val="2"/>
          </rPr>
          <t>jmoline:</t>
        </r>
        <r>
          <rPr>
            <sz val="8"/>
            <color indexed="81"/>
            <rFont val="Tahoma"/>
            <family val="2"/>
          </rPr>
          <t xml:space="preserve">
manually set to 5000</t>
        </r>
      </text>
    </comment>
    <comment ref="W186" authorId="0">
      <text>
        <r>
          <rPr>
            <b/>
            <sz val="8"/>
            <color indexed="81"/>
            <rFont val="Tahoma"/>
            <family val="2"/>
          </rPr>
          <t>jmoline:</t>
        </r>
        <r>
          <rPr>
            <sz val="8"/>
            <color indexed="81"/>
            <rFont val="Tahoma"/>
            <family val="2"/>
          </rPr>
          <t xml:space="preserve">
manually set to 5000</t>
        </r>
      </text>
    </comment>
    <comment ref="W187" authorId="0">
      <text>
        <r>
          <rPr>
            <b/>
            <sz val="8"/>
            <color indexed="81"/>
            <rFont val="Tahoma"/>
            <family val="2"/>
          </rPr>
          <t>jmoline:</t>
        </r>
        <r>
          <rPr>
            <sz val="8"/>
            <color indexed="81"/>
            <rFont val="Tahoma"/>
            <family val="2"/>
          </rPr>
          <t xml:space="preserve">
manually set to 5000</t>
        </r>
      </text>
    </comment>
    <comment ref="W188" authorId="0">
      <text>
        <r>
          <rPr>
            <b/>
            <sz val="8"/>
            <color indexed="81"/>
            <rFont val="Tahoma"/>
            <family val="2"/>
          </rPr>
          <t>jmoline:</t>
        </r>
        <r>
          <rPr>
            <sz val="8"/>
            <color indexed="81"/>
            <rFont val="Tahoma"/>
            <family val="2"/>
          </rPr>
          <t xml:space="preserve">
manually set to 5000</t>
        </r>
      </text>
    </comment>
    <comment ref="W189" authorId="0">
      <text>
        <r>
          <rPr>
            <b/>
            <sz val="8"/>
            <color indexed="81"/>
            <rFont val="Tahoma"/>
            <family val="2"/>
          </rPr>
          <t>jmoline:</t>
        </r>
        <r>
          <rPr>
            <sz val="8"/>
            <color indexed="81"/>
            <rFont val="Tahoma"/>
            <family val="2"/>
          </rPr>
          <t xml:space="preserve">
manually set to 5000</t>
        </r>
      </text>
    </comment>
    <comment ref="W190" authorId="0">
      <text>
        <r>
          <rPr>
            <b/>
            <sz val="8"/>
            <color indexed="81"/>
            <rFont val="Tahoma"/>
            <family val="2"/>
          </rPr>
          <t>jmoline:</t>
        </r>
        <r>
          <rPr>
            <sz val="8"/>
            <color indexed="81"/>
            <rFont val="Tahoma"/>
            <family val="2"/>
          </rPr>
          <t xml:space="preserve">
manually set to 15000 CLJ</t>
        </r>
      </text>
    </comment>
    <comment ref="Y190" authorId="1">
      <text>
        <r>
          <rPr>
            <b/>
            <sz val="8"/>
            <color indexed="81"/>
            <rFont val="Tahoma"/>
            <family val="2"/>
          </rPr>
          <t>cjohnso2:</t>
        </r>
        <r>
          <rPr>
            <sz val="8"/>
            <color indexed="81"/>
            <rFont val="Tahoma"/>
            <family val="2"/>
          </rPr>
          <t xml:space="preserve">
Modified formula to reflect 2500 for 1135 water on date of donation
</t>
        </r>
      </text>
    </comment>
    <comment ref="W191" authorId="1">
      <text>
        <r>
          <rPr>
            <b/>
            <sz val="8"/>
            <color indexed="81"/>
            <rFont val="Tahoma"/>
            <family val="2"/>
          </rPr>
          <t>cjohnso2:</t>
        </r>
        <r>
          <rPr>
            <sz val="8"/>
            <color indexed="81"/>
            <rFont val="Tahoma"/>
            <family val="2"/>
          </rPr>
          <t xml:space="preserve">
Manually Set to 15000
</t>
        </r>
      </text>
    </comment>
    <comment ref="W192" authorId="0">
      <text>
        <r>
          <rPr>
            <b/>
            <sz val="8"/>
            <color indexed="81"/>
            <rFont val="Tahoma"/>
            <family val="2"/>
          </rPr>
          <t>jmoline:</t>
        </r>
        <r>
          <rPr>
            <sz val="8"/>
            <color indexed="81"/>
            <rFont val="Tahoma"/>
            <family val="2"/>
          </rPr>
          <t xml:space="preserve">
manually set to 5000</t>
        </r>
      </text>
    </comment>
    <comment ref="W193" authorId="0">
      <text>
        <r>
          <rPr>
            <b/>
            <sz val="8"/>
            <color indexed="81"/>
            <rFont val="Tahoma"/>
            <family val="2"/>
          </rPr>
          <t>jmoline:</t>
        </r>
        <r>
          <rPr>
            <sz val="8"/>
            <color indexed="81"/>
            <rFont val="Tahoma"/>
            <family val="2"/>
          </rPr>
          <t xml:space="preserve">
Some manual manipulation of this column will be needed around the July 1 time.</t>
        </r>
      </text>
    </comment>
    <comment ref="X193" authorId="0">
      <text>
        <r>
          <rPr>
            <b/>
            <sz val="8"/>
            <color indexed="81"/>
            <rFont val="Tahoma"/>
            <family val="2"/>
          </rPr>
          <t>jmoline:</t>
        </r>
        <r>
          <rPr>
            <sz val="8"/>
            <color indexed="81"/>
            <rFont val="Tahoma"/>
            <family val="2"/>
          </rPr>
          <t xml:space="preserve">
Some manual manipulation of this column will be needed around the July 1 time.</t>
        </r>
      </text>
    </comment>
    <comment ref="W201" authorId="1">
      <text>
        <r>
          <rPr>
            <b/>
            <sz val="8"/>
            <color indexed="81"/>
            <rFont val="Tahoma"/>
            <family val="2"/>
          </rPr>
          <t>cjohnso2:</t>
        </r>
        <r>
          <rPr>
            <sz val="8"/>
            <color indexed="81"/>
            <rFont val="Tahoma"/>
            <family val="2"/>
          </rPr>
          <t xml:space="preserve">
Modified formula to reflect use of 1135 + Resource Agency
</t>
        </r>
      </text>
    </comment>
    <comment ref="AA204" authorId="0">
      <text>
        <r>
          <rPr>
            <b/>
            <sz val="8"/>
            <color indexed="81"/>
            <rFont val="Tahoma"/>
            <family val="2"/>
          </rPr>
          <t>jmoline:</t>
        </r>
        <r>
          <rPr>
            <sz val="8"/>
            <color indexed="81"/>
            <rFont val="Tahoma"/>
            <family val="2"/>
          </rPr>
          <t xml:space="preserve">
Once conservation pool level started to drop to below the guide curve, 1135 water was used to keep the conservation pool at the guide curve.
-----Original Message-----
From: Steve Fransen [mailto:Steven.M.Fransen@noaa.gov] 
Sent: Thursday, July 14, 2011 8:32 AM
To: Patterson, Tyler
Cc: Brettmann, Kenneth L NWS; DLL-NWS-EN-HH-WM Hanson Dam Coordination
Subject: Re: Follow-up to today's Hanson dam water management coordination meeting (UNCLASSIFIED)
Hi Tyler,
The reason is to stretch the steelhead incubation fraction of the 
flexible water budget beyond July 18 - when it would have run out and 
then the river would gradually downramp to ~ 600 cfs - through July 25, 
when the majority of steelhead redds should complete fry emergence.  
There is an unquantified risk that some of the highest eleveation redds 
will experience dewatering as a result of this action.  However, MIT 
surveys observed no redds in less than one foot of water at 980 cfs.  
This decrease in discharge (980 to 825 cfs) is about 0.15', so an ad hoc 
subcommittee of Tim Romanski, Holly Cocolli, Greg Volkhardt, and me 
decided yesterday to request this flow change.  Peggy Miller was part of 
the discussion during the Tuesday conference call, but I wasn't able to 
contact her yesterday.  Our best estimate is that this flow modification 
extends the highest likelihood that the preponderance of steelhead redds 
will remain watered through fry emergence.  We feel it is the best 
choice given the information at hand.  An alternative briefly considered 
was to continue at 950 cfs and use about half of the water reserved for 
chinook later this summer, but we concluded that wasn't the best way to 
manage uncertainty.
If you have any further questions, contact me at 360-753-6038 or others 
listed above.
SF
Patterson, Tyler wrote:
&gt; Sooo, why did flow drop by 180 cfs yesterday?! We're at 825 cfs at Auburn this morning.
&gt;
&gt; Tyler H. Patterson 
&gt; Fisheries Biologist  |  Tacoma Water  |  253-606-2636
&gt;
&gt; -----Original Message-----
&gt; From: Brettmann, Kenneth L NWS [mailto:Kenneth.L.Brettmann@usace.army.mil] 
&gt; Sent: Tuesday, July 12, 2011 3:47 PM
&gt; To: DLL-NWS-EN-HH-WM Hanson Dam Coordination
&gt; Subject: Follow-up to today's Hanson dam water management coordination meeting (UNCLASSIFIED)
&gt;
&gt; Classification: UNCLASSIFIED
&gt; Caveats: NONE
&gt;
&gt; Folks,
&gt;
&gt; This email provides follow-up information from today's Hanson dam water
&gt; management coordination meeting. Specifically, much of the call was used to
&gt; discuss several potential options for using stored water from the "flexible"
&gt; conservation storage to guide short-term operations to protect steelhead
&gt; redds. The purpose of this email is to provide details for three potential
&gt; options. Steve Fransen agreed to setup a conference call ASAP that will
&gt; likely include Steve, Holly, Peggy Miller, and Tim Romanski to discuss these
&gt; options and agree on a preferred alternative to be communicated to the Corps
&gt; via Ken Brettmann.
&gt;
&gt; The 3 options are as follows:
&gt;
&gt; Option 1) Maintain 950 cfs at Auburn through 7/18, followed by a relatively
&gt; gradual ramp-down over one week to roughly 600 cfs at Auburn by 7/25.
&gt; Estimated use of flexible augmentation water for this option is 6,250 AF
&gt; (i.e., this option uses one half of the 12,500 AF that was designated as
&gt; flexible water several weeks ago, so 6,250 AF would remain for use later in
&gt; the year).
&gt;
&gt; Option 2) Maintain 950 cfs at Auburn through 7/25, followed by a steep
&gt; ramp-down over 2 days to roughly 500 cfs at Auburn by 7/27. Estimated use of
&gt; flexible augmentation water for this option is 9,700 AF (i.e., this option
&gt; leaves about 2,800 AF of flexible water for use later in the year).        
&gt;
&gt; Option 3) Maintain roughly 825 cfs at Auburn from 7/13 through 7/25, followed
&gt; by a steep ramp-down over 2 days to roughly 500 cfs at Auburn by 7/27.
&gt; Estimated use of flexible augmentation water for this option is 6,250 AF
&gt; (i.e., this option leaves about 6,250 AF of flexible water for use later in
&gt; the year).        
&gt;
&gt;
&gt; The short-term course of action will be to continue to target 950 cfs at
&gt; Auburn until the key stakeholders have discussed these options and have
&gt; agreed on a preferred course of action that is communicated back to the
&gt; Corps.
&gt;
&gt; Please let me know if you have any questions.
&gt;
&gt; Regards,
&gt;
&gt; Ken
&gt;   
&gt;
&gt;
&gt;
&gt; Ken Brettmann, P.E.
&gt; Senior Water Manager, Western Washington
&gt; Water Management Section
&gt; Seattle District Army Corps of Engineers
&gt;
&gt; tel: 206-764-6567
&gt; fax: 206-764-6678
&gt; e-mail: kenneth.l.brettmann@usace.army.mil
&gt;
&gt;
&gt;
&gt; Classification: UNCLASSIFIED
&gt; Caveats: NONE
&gt;
</t>
        </r>
      </text>
    </comment>
    <comment ref="W219" authorId="1">
      <text>
        <r>
          <rPr>
            <b/>
            <sz val="8"/>
            <color indexed="81"/>
            <rFont val="Tahoma"/>
            <family val="2"/>
          </rPr>
          <t>cjohnso2:</t>
        </r>
        <r>
          <rPr>
            <sz val="8"/>
            <color indexed="81"/>
            <rFont val="Tahoma"/>
            <family val="2"/>
          </rPr>
          <t xml:space="preserve">
Changed to 8785 AFper COE stop of use of 1135
Calculated number was 8512.2
</t>
        </r>
      </text>
    </comment>
    <comment ref="Y246" authorId="1">
      <text>
        <r>
          <rPr>
            <b/>
            <sz val="8"/>
            <color indexed="81"/>
            <rFont val="Tahoma"/>
            <family val="2"/>
          </rPr>
          <t>cjohnso2:</t>
        </r>
        <r>
          <rPr>
            <sz val="8"/>
            <color indexed="81"/>
            <rFont val="Tahoma"/>
            <family val="2"/>
          </rPr>
          <t xml:space="preserve">
Remaining 1135 water was made available to Resource Agencies for use on 8/23/11</t>
        </r>
      </text>
    </comment>
    <comment ref="V251" authorId="1">
      <text>
        <r>
          <rPr>
            <b/>
            <sz val="8"/>
            <color indexed="81"/>
            <rFont val="Tahoma"/>
            <family val="2"/>
          </rPr>
          <t>cjohnso2:</t>
        </r>
        <r>
          <rPr>
            <sz val="8"/>
            <color indexed="81"/>
            <rFont val="Tahoma"/>
            <family val="2"/>
          </rPr>
          <t xml:space="preserve">
We started to show a required use of storage to spupport Auburn, but COE has been above guide curve so they do not show usage yet.</t>
        </r>
      </text>
    </comment>
    <comment ref="T260" authorId="1">
      <text>
        <r>
          <rPr>
            <b/>
            <sz val="8"/>
            <color indexed="81"/>
            <rFont val="Tahoma"/>
            <family val="2"/>
          </rPr>
          <t>cjohnso2:</t>
        </r>
        <r>
          <rPr>
            <sz val="8"/>
            <color indexed="81"/>
            <rFont val="Tahoma"/>
            <family val="2"/>
          </rPr>
          <t xml:space="preserve">
Donated 1600 AF</t>
        </r>
      </text>
    </comment>
    <comment ref="W260" authorId="1">
      <text>
        <r>
          <rPr>
            <b/>
            <sz val="8"/>
            <color indexed="81"/>
            <rFont val="Tahoma"/>
            <family val="2"/>
          </rPr>
          <t>cjohnso2:</t>
        </r>
        <r>
          <rPr>
            <sz val="8"/>
            <color indexed="81"/>
            <rFont val="Tahoma"/>
            <family val="2"/>
          </rPr>
          <t xml:space="preserve">
Donated 1600 from M&amp;I pot</t>
        </r>
      </text>
    </comment>
    <comment ref="W274" authorId="1">
      <text>
        <r>
          <rPr>
            <b/>
            <sz val="8"/>
            <color indexed="81"/>
            <rFont val="Tahoma"/>
            <family val="2"/>
          </rPr>
          <t>cjohnso2:</t>
        </r>
        <r>
          <rPr>
            <sz val="8"/>
            <color indexed="81"/>
            <rFont val="Tahoma"/>
            <family val="2"/>
          </rPr>
          <t xml:space="preserve">
Donated 600 AF to 1135 + Resource from Tacoma</t>
        </r>
      </text>
    </comment>
    <comment ref="X274" authorId="1">
      <text>
        <r>
          <rPr>
            <b/>
            <sz val="8"/>
            <color indexed="81"/>
            <rFont val="Tahoma"/>
            <family val="2"/>
          </rPr>
          <t>cjohnso2:</t>
        </r>
        <r>
          <rPr>
            <sz val="8"/>
            <color indexed="81"/>
            <rFont val="Tahoma"/>
            <family val="2"/>
          </rPr>
          <t xml:space="preserve">
Per 9/20 Fill call, request from Holly Coccolli of MIT was to gradually bring up to flows necessary to move through 11,000 AF starting 9/23 to 10/15.  Average flows per Ken  Brettmann will be 245 cfs.  Ove 4 days ramping will be an increase of 61.3 cfs.</t>
        </r>
      </text>
    </comment>
    <comment ref="T288" authorId="1">
      <text>
        <r>
          <rPr>
            <b/>
            <sz val="8"/>
            <color indexed="81"/>
            <rFont val="Tahoma"/>
            <family val="2"/>
          </rPr>
          <t>cjohnso2:</t>
        </r>
        <r>
          <rPr>
            <sz val="8"/>
            <color indexed="81"/>
            <rFont val="Tahoma"/>
            <family val="2"/>
          </rPr>
          <t xml:space="preserve">
Donated 1000 AF</t>
        </r>
      </text>
    </comment>
    <comment ref="W288" authorId="1">
      <text>
        <r>
          <rPr>
            <b/>
            <sz val="8"/>
            <color indexed="81"/>
            <rFont val="Tahoma"/>
            <family val="2"/>
          </rPr>
          <t>cjohnso2:</t>
        </r>
        <r>
          <rPr>
            <sz val="8"/>
            <color indexed="81"/>
            <rFont val="Tahoma"/>
            <family val="2"/>
          </rPr>
          <t xml:space="preserve">
Donated 1000 AF of Storage to the 1135 Storage Pool
</t>
        </r>
      </text>
    </comment>
    <comment ref="X289" authorId="1">
      <text>
        <r>
          <rPr>
            <b/>
            <sz val="8"/>
            <color indexed="81"/>
            <rFont val="Tahoma"/>
            <family val="2"/>
          </rPr>
          <t>cjohnso2:</t>
        </r>
        <r>
          <rPr>
            <sz val="8"/>
            <color indexed="81"/>
            <rFont val="Tahoma"/>
            <family val="2"/>
          </rPr>
          <t xml:space="preserve">
Per HH Fill call bumping up flows by another 50 cfs.</t>
        </r>
      </text>
    </comment>
    <comment ref="W293" authorId="1">
      <text>
        <r>
          <rPr>
            <b/>
            <sz val="8"/>
            <color indexed="81"/>
            <rFont val="Tahoma"/>
            <family val="2"/>
          </rPr>
          <t>cjohnso2:</t>
        </r>
        <r>
          <rPr>
            <sz val="8"/>
            <color indexed="81"/>
            <rFont val="Tahoma"/>
            <family val="2"/>
          </rPr>
          <t xml:space="preserve">
We will donate another 1100 AF to the resource agencies on Monday.  </t>
        </r>
      </text>
    </comment>
    <comment ref="W302" authorId="1">
      <text>
        <r>
          <rPr>
            <b/>
            <sz val="8"/>
            <color indexed="81"/>
            <rFont val="Tahoma"/>
            <family val="2"/>
          </rPr>
          <t>cjohnso2:</t>
        </r>
        <r>
          <rPr>
            <sz val="8"/>
            <color indexed="81"/>
            <rFont val="Tahoma"/>
            <family val="2"/>
          </rPr>
          <t xml:space="preserve">
Donated 340 AF to 1135 Resource Water</t>
        </r>
      </text>
    </comment>
    <comment ref="X302" authorId="1">
      <text>
        <r>
          <rPr>
            <b/>
            <sz val="8"/>
            <color indexed="81"/>
            <rFont val="Tahoma"/>
            <family val="2"/>
          </rPr>
          <t>cjohnso2:</t>
        </r>
        <r>
          <rPr>
            <sz val="8"/>
            <color indexed="81"/>
            <rFont val="Tahoma"/>
            <family val="2"/>
          </rPr>
          <t xml:space="preserve">
Per fill call 1135 resource was used up except for donation
</t>
        </r>
      </text>
    </comment>
    <comment ref="X303" authorId="1">
      <text>
        <r>
          <rPr>
            <b/>
            <sz val="8"/>
            <color indexed="81"/>
            <rFont val="Tahoma"/>
            <family val="2"/>
          </rPr>
          <t>cjohnso2:</t>
        </r>
        <r>
          <rPr>
            <sz val="8"/>
            <color indexed="81"/>
            <rFont val="Tahoma"/>
            <family val="2"/>
          </rPr>
          <t xml:space="preserve">
Used up last of 1135 donated water</t>
        </r>
      </text>
    </comment>
  </commentList>
</comments>
</file>

<file path=xl/comments2.xml><?xml version="1.0" encoding="utf-8"?>
<comments xmlns="http://schemas.openxmlformats.org/spreadsheetml/2006/main">
  <authors>
    <author>cjohnso2</author>
  </authors>
  <commentList>
    <comment ref="A109" authorId="0">
      <text>
        <r>
          <rPr>
            <b/>
            <sz val="8"/>
            <color indexed="81"/>
            <rFont val="Tahoma"/>
            <family val="2"/>
          </rPr>
          <t>cjohnso2:</t>
        </r>
        <r>
          <rPr>
            <sz val="8"/>
            <color indexed="81"/>
            <rFont val="Tahoma"/>
            <family val="2"/>
          </rPr>
          <t xml:space="preserve">
If above 1% check P1/P5 averages.</t>
        </r>
      </text>
    </comment>
  </commentList>
</comments>
</file>

<file path=xl/comments3.xml><?xml version="1.0" encoding="utf-8"?>
<comments xmlns="http://schemas.openxmlformats.org/spreadsheetml/2006/main">
  <authors>
    <author>jmoline</author>
  </authors>
  <commentList>
    <comment ref="V9" authorId="0">
      <text>
        <r>
          <rPr>
            <b/>
            <sz val="8"/>
            <color indexed="81"/>
            <rFont val="Tahoma"/>
            <family val="2"/>
          </rPr>
          <t>jmoline:</t>
        </r>
        <r>
          <rPr>
            <sz val="8"/>
            <color indexed="81"/>
            <rFont val="Tahoma"/>
            <family val="2"/>
          </rPr>
          <t xml:space="preserve">
changed reference from Sheet1!DT$8:DT$385 to 'Calculations II'!$BP$8:$BP$385 on 8-22-11</t>
        </r>
      </text>
    </comment>
  </commentList>
</comments>
</file>

<file path=xl/comments4.xml><?xml version="1.0" encoding="utf-8"?>
<comments xmlns="http://schemas.openxmlformats.org/spreadsheetml/2006/main">
  <authors>
    <author>jmoline</author>
  </authors>
  <commentList>
    <comment ref="K7" authorId="0">
      <text>
        <r>
          <rPr>
            <b/>
            <sz val="8"/>
            <color indexed="81"/>
            <rFont val="Tahoma"/>
            <family val="2"/>
          </rPr>
          <t>jmoline:</t>
        </r>
        <r>
          <rPr>
            <sz val="8"/>
            <color indexed="81"/>
            <rFont val="Tahoma"/>
            <family val="2"/>
          </rPr>
          <t xml:space="preserve">
changed from McMillin Spill to Non-Revenue Usage on 6/10/10</t>
        </r>
      </text>
    </comment>
    <comment ref="B43" authorId="0">
      <text>
        <r>
          <rPr>
            <b/>
            <sz val="8"/>
            <color indexed="81"/>
            <rFont val="Tahoma"/>
            <family val="2"/>
          </rPr>
          <t>jmoline:</t>
        </r>
        <r>
          <rPr>
            <sz val="8"/>
            <color indexed="81"/>
            <rFont val="Tahoma"/>
            <family val="2"/>
          </rPr>
          <t xml:space="preserve">
average formulas changed on 4/5/10 to exclude zeros</t>
        </r>
      </text>
    </comment>
    <comment ref="F47" authorId="0">
      <text>
        <r>
          <rPr>
            <b/>
            <sz val="8"/>
            <color indexed="81"/>
            <rFont val="Tahoma"/>
            <family val="2"/>
          </rPr>
          <t>jmoline:</t>
        </r>
        <r>
          <rPr>
            <sz val="8"/>
            <color indexed="81"/>
            <rFont val="Tahoma"/>
            <family val="2"/>
          </rPr>
          <t xml:space="preserve">
adjusted formula for February on 5/17/10</t>
        </r>
      </text>
    </comment>
    <comment ref="Q47" authorId="0">
      <text>
        <r>
          <rPr>
            <b/>
            <sz val="8"/>
            <color indexed="81"/>
            <rFont val="Tahoma"/>
            <family val="2"/>
          </rPr>
          <t>jmoline:</t>
        </r>
        <r>
          <rPr>
            <sz val="8"/>
            <color indexed="81"/>
            <rFont val="Tahoma"/>
            <family val="2"/>
          </rPr>
          <t xml:space="preserve">
adjusted formula for February on 5/17/10</t>
        </r>
      </text>
    </comment>
    <comment ref="E52" authorId="0">
      <text>
        <r>
          <rPr>
            <b/>
            <sz val="8"/>
            <color indexed="81"/>
            <rFont val="Tahoma"/>
            <family val="2"/>
          </rPr>
          <t>jmoline:</t>
        </r>
        <r>
          <rPr>
            <sz val="8"/>
            <color indexed="81"/>
            <rFont val="Tahoma"/>
            <family val="2"/>
          </rPr>
          <t xml:space="preserve">
adjusted formula for February on 5/17/10</t>
        </r>
      </text>
    </comment>
    <comment ref="N52" authorId="0">
      <text>
        <r>
          <rPr>
            <b/>
            <sz val="8"/>
            <color indexed="81"/>
            <rFont val="Tahoma"/>
            <family val="2"/>
          </rPr>
          <t>jmoline:</t>
        </r>
        <r>
          <rPr>
            <sz val="8"/>
            <color indexed="81"/>
            <rFont val="Tahoma"/>
            <family val="2"/>
          </rPr>
          <t xml:space="preserve">
adjusted formula for February on 5/17/10</t>
        </r>
      </text>
    </comment>
  </commentList>
</comments>
</file>

<file path=xl/comments5.xml><?xml version="1.0" encoding="utf-8"?>
<comments xmlns="http://schemas.openxmlformats.org/spreadsheetml/2006/main">
  <authors>
    <author>Michael Washington</author>
    <author>jmoline</author>
    <author>cjohnso2</author>
    <author>cnelson</author>
  </authors>
  <commentList>
    <comment ref="D7" authorId="0">
      <text>
        <r>
          <rPr>
            <b/>
            <sz val="8"/>
            <color indexed="81"/>
            <rFont val="Tahoma"/>
            <family val="2"/>
          </rPr>
          <t>Michael Washington:</t>
        </r>
        <r>
          <rPr>
            <sz val="8"/>
            <color indexed="81"/>
            <rFont val="Tahoma"/>
            <family val="2"/>
          </rPr>
          <t xml:space="preserve">
Tacoma Report Page - Row 35</t>
        </r>
      </text>
    </comment>
    <comment ref="E7" authorId="0">
      <text>
        <r>
          <rPr>
            <b/>
            <sz val="8"/>
            <color indexed="81"/>
            <rFont val="Tahoma"/>
            <family val="2"/>
          </rPr>
          <t>Michael Washington:</t>
        </r>
        <r>
          <rPr>
            <sz val="8"/>
            <color indexed="81"/>
            <rFont val="Tahoma"/>
            <family val="2"/>
          </rPr>
          <t xml:space="preserve">
Tacoma Report Page - Row 36</t>
        </r>
      </text>
    </comment>
    <comment ref="F7" authorId="0">
      <text>
        <r>
          <rPr>
            <b/>
            <sz val="8"/>
            <color indexed="81"/>
            <rFont val="Tahoma"/>
            <family val="2"/>
          </rPr>
          <t>Michael Washington:</t>
        </r>
        <r>
          <rPr>
            <sz val="8"/>
            <color indexed="81"/>
            <rFont val="Tahoma"/>
            <family val="2"/>
          </rPr>
          <t xml:space="preserve">
Tacoma Report Page - Row 37</t>
        </r>
      </text>
    </comment>
    <comment ref="G7" authorId="0">
      <text>
        <r>
          <rPr>
            <b/>
            <sz val="8"/>
            <color indexed="81"/>
            <rFont val="Tahoma"/>
            <family val="2"/>
          </rPr>
          <t>Michael Washington:</t>
        </r>
        <r>
          <rPr>
            <sz val="8"/>
            <color indexed="81"/>
            <rFont val="Tahoma"/>
            <family val="2"/>
          </rPr>
          <t xml:space="preserve">
Tacoma Report Page - Row 35</t>
        </r>
      </text>
    </comment>
    <comment ref="H7" authorId="0">
      <text>
        <r>
          <rPr>
            <b/>
            <sz val="8"/>
            <color indexed="81"/>
            <rFont val="Tahoma"/>
            <family val="2"/>
          </rPr>
          <t>Michael Washington:</t>
        </r>
        <r>
          <rPr>
            <sz val="8"/>
            <color indexed="81"/>
            <rFont val="Tahoma"/>
            <family val="2"/>
          </rPr>
          <t xml:space="preserve">
Tacoma Report Page - Row 28, Regional Water Supply  Page - Row 41</t>
        </r>
      </text>
    </comment>
    <comment ref="I7" authorId="1">
      <text>
        <r>
          <rPr>
            <b/>
            <sz val="8"/>
            <color indexed="81"/>
            <rFont val="Tahoma"/>
            <family val="2"/>
          </rPr>
          <t>jmoline:</t>
        </r>
        <r>
          <rPr>
            <sz val="8"/>
            <color indexed="81"/>
            <rFont val="Tahoma"/>
            <family val="2"/>
          </rPr>
          <t xml:space="preserve">
added units to all column headings on 5/10/10</t>
        </r>
      </text>
    </comment>
    <comment ref="BB7" authorId="1">
      <text>
        <r>
          <rPr>
            <b/>
            <sz val="8"/>
            <color indexed="81"/>
            <rFont val="Tahoma"/>
            <family val="2"/>
          </rPr>
          <t>jmoline:</t>
        </r>
        <r>
          <rPr>
            <sz val="8"/>
            <color indexed="81"/>
            <rFont val="Tahoma"/>
            <family val="2"/>
          </rPr>
          <t xml:space="preserve">
changed from "Black Diamond Wholesale" to allow data from Auburn, etc.</t>
        </r>
      </text>
    </comment>
    <comment ref="EI7" authorId="1">
      <text>
        <r>
          <rPr>
            <b/>
            <sz val="8"/>
            <color indexed="81"/>
            <rFont val="Tahoma"/>
            <family val="2"/>
          </rPr>
          <t>jmoline:</t>
        </r>
        <r>
          <rPr>
            <sz val="8"/>
            <color indexed="81"/>
            <rFont val="Tahoma"/>
            <family val="2"/>
          </rPr>
          <t xml:space="preserve">
added 5/6/10</t>
        </r>
      </text>
    </comment>
    <comment ref="EJ7" authorId="1">
      <text>
        <r>
          <rPr>
            <b/>
            <sz val="8"/>
            <color indexed="81"/>
            <rFont val="Tahoma"/>
            <family val="2"/>
          </rPr>
          <t>jmoline:</t>
        </r>
        <r>
          <rPr>
            <sz val="8"/>
            <color indexed="81"/>
            <rFont val="Tahoma"/>
            <family val="2"/>
          </rPr>
          <t xml:space="preserve">
added 5/6/10</t>
        </r>
      </text>
    </comment>
    <comment ref="EK7" authorId="1">
      <text>
        <r>
          <rPr>
            <b/>
            <sz val="8"/>
            <color indexed="81"/>
            <rFont val="Tahoma"/>
            <family val="2"/>
          </rPr>
          <t>jmoline:</t>
        </r>
        <r>
          <rPr>
            <sz val="8"/>
            <color indexed="81"/>
            <rFont val="Tahoma"/>
            <family val="2"/>
          </rPr>
          <t xml:space="preserve">
added 5/6/10</t>
        </r>
      </text>
    </comment>
    <comment ref="AS10" authorId="1">
      <text>
        <r>
          <rPr>
            <b/>
            <sz val="8"/>
            <color indexed="81"/>
            <rFont val="Tahoma"/>
            <family val="2"/>
          </rPr>
          <t>jmoline:</t>
        </r>
        <r>
          <rPr>
            <sz val="8"/>
            <color indexed="81"/>
            <rFont val="Tahoma"/>
            <family val="2"/>
          </rPr>
          <t xml:space="preserve">
Changed from 103.80 to the read for the previous day.  From the WinCC trending, it appears that communication with Cumberland was lost during this time.</t>
        </r>
      </text>
    </comment>
    <comment ref="CO10" authorId="1">
      <text>
        <r>
          <rPr>
            <b/>
            <sz val="8"/>
            <color indexed="81"/>
            <rFont val="Tahoma"/>
            <family val="2"/>
          </rPr>
          <t>jmoline:</t>
        </r>
        <r>
          <rPr>
            <sz val="8"/>
            <color indexed="81"/>
            <rFont val="Tahoma"/>
            <family val="2"/>
          </rPr>
          <t xml:space="preserve">
ran 12A briefly</t>
        </r>
      </text>
    </comment>
    <comment ref="FF12" authorId="1">
      <text>
        <r>
          <rPr>
            <b/>
            <sz val="8"/>
            <color indexed="81"/>
            <rFont val="Tahoma"/>
            <family val="2"/>
          </rPr>
          <t>jmoline:</t>
        </r>
        <r>
          <rPr>
            <sz val="8"/>
            <color indexed="81"/>
            <rFont val="Tahoma"/>
            <family val="2"/>
          </rPr>
          <t xml:space="preserve">
changed from 1.7 to 170</t>
        </r>
      </text>
    </comment>
    <comment ref="CY14" authorId="1">
      <text>
        <r>
          <rPr>
            <b/>
            <sz val="8"/>
            <color indexed="81"/>
            <rFont val="Tahoma"/>
            <family val="2"/>
          </rPr>
          <t>jmoline:</t>
        </r>
        <r>
          <rPr>
            <sz val="8"/>
            <color indexed="81"/>
            <rFont val="Tahoma"/>
            <family val="2"/>
          </rPr>
          <t xml:space="preserve">
changed from #N/A to 1078.62</t>
        </r>
      </text>
    </comment>
    <comment ref="BW16" authorId="1">
      <text>
        <r>
          <rPr>
            <b/>
            <sz val="8"/>
            <color indexed="81"/>
            <rFont val="Tahoma"/>
            <family val="2"/>
          </rPr>
          <t>jmoline:</t>
        </r>
        <r>
          <rPr>
            <sz val="8"/>
            <color indexed="81"/>
            <rFont val="Tahoma"/>
            <family val="2"/>
          </rPr>
          <t xml:space="preserve">
Changed from 6.66 to 0.60.  Sample line appears to have been flushed around 10:30 AM Sunday morning, causing an artificially high measured turb spike.</t>
        </r>
      </text>
    </comment>
    <comment ref="BC17" authorId="1">
      <text>
        <r>
          <rPr>
            <b/>
            <sz val="8"/>
            <color indexed="81"/>
            <rFont val="Tahoma"/>
            <family val="2"/>
          </rPr>
          <t>jmoline:</t>
        </r>
        <r>
          <rPr>
            <sz val="8"/>
            <color indexed="81"/>
            <rFont val="Tahoma"/>
            <family val="2"/>
          </rPr>
          <t xml:space="preserve">
changed from 1.65 to .86 per WinCC</t>
        </r>
      </text>
    </comment>
    <comment ref="BD17" authorId="1">
      <text>
        <r>
          <rPr>
            <b/>
            <sz val="8"/>
            <color indexed="81"/>
            <rFont val="Tahoma"/>
            <family val="2"/>
          </rPr>
          <t>jmoline:</t>
        </r>
        <r>
          <rPr>
            <sz val="8"/>
            <color indexed="81"/>
            <rFont val="Tahoma"/>
            <family val="2"/>
          </rPr>
          <t xml:space="preserve">
changed from 0 to 1.65 per WinCC</t>
        </r>
      </text>
    </comment>
    <comment ref="BC18" authorId="1">
      <text>
        <r>
          <rPr>
            <b/>
            <sz val="8"/>
            <color indexed="81"/>
            <rFont val="Tahoma"/>
            <family val="2"/>
          </rPr>
          <t>jmoline:</t>
        </r>
        <r>
          <rPr>
            <sz val="8"/>
            <color indexed="81"/>
            <rFont val="Tahoma"/>
            <family val="2"/>
          </rPr>
          <t xml:space="preserve">
changed from 1.64 to .87 per WinCC</t>
        </r>
      </text>
    </comment>
    <comment ref="BD18" authorId="1">
      <text>
        <r>
          <rPr>
            <b/>
            <sz val="8"/>
            <color indexed="81"/>
            <rFont val="Tahoma"/>
            <family val="2"/>
          </rPr>
          <t>jmoline:</t>
        </r>
        <r>
          <rPr>
            <sz val="8"/>
            <color indexed="81"/>
            <rFont val="Tahoma"/>
            <family val="2"/>
          </rPr>
          <t xml:space="preserve">
changed from 0 to 1.65 per WinCC</t>
        </r>
      </text>
    </comment>
    <comment ref="BC19" authorId="1">
      <text>
        <r>
          <rPr>
            <b/>
            <sz val="8"/>
            <color indexed="81"/>
            <rFont val="Tahoma"/>
            <family val="2"/>
          </rPr>
          <t>jmoline:</t>
        </r>
        <r>
          <rPr>
            <sz val="8"/>
            <color indexed="81"/>
            <rFont val="Tahoma"/>
            <family val="2"/>
          </rPr>
          <t xml:space="preserve">
changed from 1.64 to .87 per WinCC</t>
        </r>
      </text>
    </comment>
    <comment ref="BD19" authorId="1">
      <text>
        <r>
          <rPr>
            <b/>
            <sz val="8"/>
            <color indexed="81"/>
            <rFont val="Tahoma"/>
            <family val="2"/>
          </rPr>
          <t>jmoline:</t>
        </r>
        <r>
          <rPr>
            <sz val="8"/>
            <color indexed="81"/>
            <rFont val="Tahoma"/>
            <family val="2"/>
          </rPr>
          <t xml:space="preserve">
changed from 0 to 1.65 per WinCC</t>
        </r>
      </text>
    </comment>
    <comment ref="BC20" authorId="1">
      <text>
        <r>
          <rPr>
            <b/>
            <sz val="8"/>
            <color indexed="81"/>
            <rFont val="Tahoma"/>
            <family val="2"/>
          </rPr>
          <t>jmoline:</t>
        </r>
        <r>
          <rPr>
            <sz val="8"/>
            <color indexed="81"/>
            <rFont val="Tahoma"/>
            <family val="2"/>
          </rPr>
          <t xml:space="preserve">
changed from 1.1 to 1.64 per WinCC trending for the CK meter</t>
        </r>
      </text>
    </comment>
    <comment ref="AS23" authorId="2">
      <text>
        <r>
          <rPr>
            <b/>
            <sz val="8"/>
            <color indexed="81"/>
            <rFont val="Tahoma"/>
            <family val="2"/>
          </rPr>
          <t>cjohnso2:</t>
        </r>
        <r>
          <rPr>
            <sz val="8"/>
            <color indexed="81"/>
            <rFont val="Tahoma"/>
            <family val="2"/>
          </rPr>
          <t xml:space="preserve">
Potential Communication Failure at Cumberland - reading was 80 C/F</t>
        </r>
      </text>
    </comment>
    <comment ref="AV24" authorId="2">
      <text>
        <r>
          <rPr>
            <b/>
            <sz val="8"/>
            <color indexed="81"/>
            <rFont val="Tahoma"/>
            <family val="2"/>
          </rPr>
          <t>cjohnso2:</t>
        </r>
        <r>
          <rPr>
            <sz val="8"/>
            <color indexed="81"/>
            <rFont val="Tahoma"/>
            <family val="2"/>
          </rPr>
          <t xml:space="preserve">
It appears 214th failed to start per the trending.  Directed Jared to O/S and contacted Duc.</t>
        </r>
      </text>
    </comment>
    <comment ref="BO24" authorId="2">
      <text>
        <r>
          <rPr>
            <b/>
            <sz val="8"/>
            <color indexed="81"/>
            <rFont val="Tahoma"/>
            <family val="2"/>
          </rPr>
          <t>cjohnso2:</t>
        </r>
        <r>
          <rPr>
            <sz val="8"/>
            <color indexed="81"/>
            <rFont val="Tahoma"/>
            <family val="2"/>
          </rPr>
          <t xml:space="preserve">
Changed from 103.70.  New number pulled from trending average.</t>
        </r>
      </text>
    </comment>
    <comment ref="I32" authorId="1">
      <text>
        <r>
          <rPr>
            <b/>
            <sz val="8"/>
            <color indexed="81"/>
            <rFont val="Tahoma"/>
            <family val="2"/>
          </rPr>
          <t>jmoline:</t>
        </r>
        <r>
          <rPr>
            <sz val="8"/>
            <color indexed="81"/>
            <rFont val="Tahoma"/>
            <family val="2"/>
          </rPr>
          <t xml:space="preserve">
changed from 0 to os</t>
        </r>
      </text>
    </comment>
    <comment ref="EX32" authorId="1">
      <text>
        <r>
          <rPr>
            <b/>
            <sz val="8"/>
            <color indexed="81"/>
            <rFont val="Tahoma"/>
            <family val="2"/>
          </rPr>
          <t>jmoline:</t>
        </r>
        <r>
          <rPr>
            <sz val="8"/>
            <color indexed="81"/>
            <rFont val="Tahoma"/>
            <family val="2"/>
          </rPr>
          <t xml:space="preserve">
changed from 58510 to 59389 per D. Rodahl</t>
        </r>
      </text>
    </comment>
    <comment ref="I33" authorId="1">
      <text>
        <r>
          <rPr>
            <b/>
            <sz val="8"/>
            <color indexed="81"/>
            <rFont val="Tahoma"/>
            <family val="2"/>
          </rPr>
          <t>jmoline:</t>
        </r>
        <r>
          <rPr>
            <sz val="8"/>
            <color indexed="81"/>
            <rFont val="Tahoma"/>
            <family val="2"/>
          </rPr>
          <t xml:space="preserve">
changed from 0 to os</t>
        </r>
      </text>
    </comment>
    <comment ref="FN33" authorId="1">
      <text>
        <r>
          <rPr>
            <b/>
            <sz val="8"/>
            <color indexed="81"/>
            <rFont val="Tahoma"/>
            <family val="2"/>
          </rPr>
          <t>jmoline:</t>
        </r>
        <r>
          <rPr>
            <sz val="8"/>
            <color indexed="81"/>
            <rFont val="Tahoma"/>
            <family val="2"/>
          </rPr>
          <t xml:space="preserve">
changed from 1 to 0 per D. Rodahl</t>
        </r>
      </text>
    </comment>
    <comment ref="I34" authorId="1">
      <text>
        <r>
          <rPr>
            <b/>
            <sz val="8"/>
            <color indexed="81"/>
            <rFont val="Tahoma"/>
            <family val="2"/>
          </rPr>
          <t>jmoline:</t>
        </r>
        <r>
          <rPr>
            <sz val="8"/>
            <color indexed="81"/>
            <rFont val="Tahoma"/>
            <family val="2"/>
          </rPr>
          <t xml:space="preserve">
changed from 0 to os</t>
        </r>
      </text>
    </comment>
    <comment ref="CP36" authorId="1">
      <text>
        <r>
          <rPr>
            <b/>
            <sz val="8"/>
            <color indexed="81"/>
            <rFont val="Tahoma"/>
            <family val="2"/>
          </rPr>
          <t>jmoline:</t>
        </r>
        <r>
          <rPr>
            <sz val="8"/>
            <color indexed="81"/>
            <rFont val="Tahoma"/>
            <family val="2"/>
          </rPr>
          <t xml:space="preserve">
changed from 0 to 16.10 per WinCC 24-hour average</t>
        </r>
      </text>
    </comment>
    <comment ref="CQ36" authorId="1">
      <text>
        <r>
          <rPr>
            <b/>
            <sz val="8"/>
            <color indexed="81"/>
            <rFont val="Tahoma"/>
            <family val="2"/>
          </rPr>
          <t>jmoline:</t>
        </r>
        <r>
          <rPr>
            <sz val="8"/>
            <color indexed="81"/>
            <rFont val="Tahoma"/>
            <family val="2"/>
          </rPr>
          <t xml:space="preserve">
changed from 0 to 45.36</t>
        </r>
      </text>
    </comment>
    <comment ref="Q38" authorId="2">
      <text>
        <r>
          <rPr>
            <b/>
            <sz val="8"/>
            <color indexed="81"/>
            <rFont val="Tahoma"/>
            <family val="2"/>
          </rPr>
          <t>cjohnso2:</t>
        </r>
        <r>
          <rPr>
            <sz val="8"/>
            <color indexed="81"/>
            <rFont val="Tahoma"/>
            <family val="2"/>
          </rPr>
          <t xml:space="preserve">
Per Jeff Bolam this is the read we get although the number is suspect and should be 0.</t>
        </r>
      </text>
    </comment>
    <comment ref="BI38" authorId="1">
      <text>
        <r>
          <rPr>
            <b/>
            <sz val="8"/>
            <color indexed="81"/>
            <rFont val="Tahoma"/>
            <family val="2"/>
          </rPr>
          <t>jmoline:</t>
        </r>
        <r>
          <rPr>
            <sz val="8"/>
            <color indexed="81"/>
            <rFont val="Tahoma"/>
            <family val="2"/>
          </rPr>
          <t xml:space="preserve">
changed from 0.03</t>
        </r>
      </text>
    </comment>
    <comment ref="BK38" authorId="1">
      <text>
        <r>
          <rPr>
            <b/>
            <sz val="8"/>
            <color indexed="81"/>
            <rFont val="Tahoma"/>
            <family val="2"/>
          </rPr>
          <t>jmoline:</t>
        </r>
        <r>
          <rPr>
            <sz val="8"/>
            <color indexed="81"/>
            <rFont val="Tahoma"/>
            <family val="2"/>
          </rPr>
          <t xml:space="preserve">
changed from 0.05</t>
        </r>
      </text>
    </comment>
    <comment ref="H39" authorId="1">
      <text>
        <r>
          <rPr>
            <b/>
            <sz val="8"/>
            <color indexed="81"/>
            <rFont val="Tahoma"/>
            <family val="2"/>
          </rPr>
          <t>jmoline:</t>
        </r>
        <r>
          <rPr>
            <sz val="8"/>
            <color indexed="81"/>
            <rFont val="Tahoma"/>
            <family val="2"/>
          </rPr>
          <t xml:space="preserve">
changed from 0 to os</t>
        </r>
      </text>
    </comment>
    <comment ref="BI39" authorId="1">
      <text>
        <r>
          <rPr>
            <b/>
            <sz val="8"/>
            <color indexed="81"/>
            <rFont val="Tahoma"/>
            <family val="2"/>
          </rPr>
          <t>jmoline:</t>
        </r>
        <r>
          <rPr>
            <sz val="8"/>
            <color indexed="81"/>
            <rFont val="Tahoma"/>
            <family val="2"/>
          </rPr>
          <t xml:space="preserve">
changed from 0.03</t>
        </r>
      </text>
    </comment>
    <comment ref="BK39" authorId="1">
      <text>
        <r>
          <rPr>
            <b/>
            <sz val="8"/>
            <color indexed="81"/>
            <rFont val="Tahoma"/>
            <family val="2"/>
          </rPr>
          <t>jmoline:</t>
        </r>
        <r>
          <rPr>
            <sz val="8"/>
            <color indexed="81"/>
            <rFont val="Tahoma"/>
            <family val="2"/>
          </rPr>
          <t xml:space="preserve">
changed from 0.05</t>
        </r>
      </text>
    </comment>
    <comment ref="CL39" authorId="1">
      <text>
        <r>
          <rPr>
            <b/>
            <sz val="8"/>
            <color indexed="81"/>
            <rFont val="Tahoma"/>
            <family val="2"/>
          </rPr>
          <t>jmoline:</t>
        </r>
        <r>
          <rPr>
            <sz val="8"/>
            <color indexed="81"/>
            <rFont val="Tahoma"/>
            <family val="2"/>
          </rPr>
          <t xml:space="preserve">
changed from 3 to 466.9 (shifted data left)</t>
        </r>
      </text>
    </comment>
    <comment ref="CM39" authorId="1">
      <text>
        <r>
          <rPr>
            <b/>
            <sz val="8"/>
            <color indexed="81"/>
            <rFont val="Tahoma"/>
            <family val="2"/>
          </rPr>
          <t>jmoline:</t>
        </r>
        <r>
          <rPr>
            <sz val="8"/>
            <color indexed="81"/>
            <rFont val="Tahoma"/>
            <family val="2"/>
          </rPr>
          <t xml:space="preserve">
changed from 466.9 to 10.8 (shifted data left)</t>
        </r>
      </text>
    </comment>
    <comment ref="CN39" authorId="1">
      <text>
        <r>
          <rPr>
            <b/>
            <sz val="8"/>
            <color indexed="81"/>
            <rFont val="Tahoma"/>
            <family val="2"/>
          </rPr>
          <t>jmoline:</t>
        </r>
        <r>
          <rPr>
            <sz val="8"/>
            <color indexed="81"/>
            <rFont val="Tahoma"/>
            <family val="2"/>
          </rPr>
          <t xml:space="preserve">
changed from 10.8 to 1.7  per SCADA trending</t>
        </r>
      </text>
    </comment>
    <comment ref="DI39" authorId="1">
      <text>
        <r>
          <rPr>
            <b/>
            <sz val="8"/>
            <color indexed="81"/>
            <rFont val="Tahoma"/>
            <family val="2"/>
          </rPr>
          <t>jmoline:</t>
        </r>
        <r>
          <rPr>
            <sz val="8"/>
            <color indexed="81"/>
            <rFont val="Tahoma"/>
            <family val="2"/>
          </rPr>
          <t xml:space="preserve">
per T. Wolff</t>
        </r>
      </text>
    </comment>
    <comment ref="DJ39" authorId="1">
      <text>
        <r>
          <rPr>
            <b/>
            <sz val="8"/>
            <color indexed="81"/>
            <rFont val="Tahoma"/>
            <family val="2"/>
          </rPr>
          <t>jmoline:</t>
        </r>
        <r>
          <rPr>
            <sz val="8"/>
            <color indexed="81"/>
            <rFont val="Tahoma"/>
            <family val="2"/>
          </rPr>
          <t xml:space="preserve">
per T. Wolff</t>
        </r>
      </text>
    </comment>
    <comment ref="H40" authorId="1">
      <text>
        <r>
          <rPr>
            <b/>
            <sz val="8"/>
            <color indexed="81"/>
            <rFont val="Tahoma"/>
            <family val="2"/>
          </rPr>
          <t>jmoline:</t>
        </r>
        <r>
          <rPr>
            <sz val="8"/>
            <color indexed="81"/>
            <rFont val="Tahoma"/>
            <family val="2"/>
          </rPr>
          <t xml:space="preserve">
changed from 0 to os</t>
        </r>
      </text>
    </comment>
    <comment ref="BI40" authorId="2">
      <text>
        <r>
          <rPr>
            <b/>
            <sz val="8"/>
            <color indexed="81"/>
            <rFont val="Tahoma"/>
            <family val="2"/>
          </rPr>
          <t>cjohnso2:</t>
        </r>
        <r>
          <rPr>
            <sz val="8"/>
            <color indexed="81"/>
            <rFont val="Tahoma"/>
            <family val="2"/>
          </rPr>
          <t xml:space="preserve">
Change from 0.03 as Kent is off
</t>
        </r>
      </text>
    </comment>
    <comment ref="BK40" authorId="2">
      <text>
        <r>
          <rPr>
            <b/>
            <sz val="8"/>
            <color indexed="81"/>
            <rFont val="Tahoma"/>
            <family val="2"/>
          </rPr>
          <t>cjohnso2:</t>
        </r>
        <r>
          <rPr>
            <sz val="8"/>
            <color indexed="81"/>
            <rFont val="Tahoma"/>
            <family val="2"/>
          </rPr>
          <t xml:space="preserve">
Changed from 0.05 because LUD is off
</t>
        </r>
      </text>
    </comment>
    <comment ref="CA40" authorId="2">
      <text>
        <r>
          <rPr>
            <b/>
            <sz val="8"/>
            <color indexed="81"/>
            <rFont val="Tahoma"/>
            <family val="2"/>
          </rPr>
          <t>cjohnso2:</t>
        </r>
        <r>
          <rPr>
            <sz val="8"/>
            <color indexed="81"/>
            <rFont val="Tahoma"/>
            <family val="2"/>
          </rPr>
          <t xml:space="preserve">
Altitude Valve is sticking.  Phil Dooley was working on.</t>
        </r>
      </text>
    </comment>
    <comment ref="DI40" authorId="2">
      <text>
        <r>
          <rPr>
            <b/>
            <sz val="8"/>
            <color indexed="81"/>
            <rFont val="Tahoma"/>
            <family val="2"/>
          </rPr>
          <t>cjohnso2:</t>
        </r>
        <r>
          <rPr>
            <sz val="8"/>
            <color indexed="81"/>
            <rFont val="Tahoma"/>
            <family val="2"/>
          </rPr>
          <t xml:space="preserve">
Per P. Cunningham</t>
        </r>
      </text>
    </comment>
    <comment ref="DJ40" authorId="2">
      <text>
        <r>
          <rPr>
            <b/>
            <sz val="8"/>
            <color indexed="81"/>
            <rFont val="Tahoma"/>
            <family val="2"/>
          </rPr>
          <t>cjohnso2:</t>
        </r>
        <r>
          <rPr>
            <sz val="8"/>
            <color indexed="81"/>
            <rFont val="Tahoma"/>
            <family val="2"/>
          </rPr>
          <t xml:space="preserve">
Per P. Cunningham
</t>
        </r>
      </text>
    </comment>
    <comment ref="H41" authorId="1">
      <text>
        <r>
          <rPr>
            <b/>
            <sz val="8"/>
            <color indexed="81"/>
            <rFont val="Tahoma"/>
            <family val="2"/>
          </rPr>
          <t>jmoline:</t>
        </r>
        <r>
          <rPr>
            <sz val="8"/>
            <color indexed="81"/>
            <rFont val="Tahoma"/>
            <family val="2"/>
          </rPr>
          <t xml:space="preserve">
changed from 0 to os</t>
        </r>
      </text>
    </comment>
    <comment ref="BI41" authorId="2">
      <text>
        <r>
          <rPr>
            <b/>
            <sz val="8"/>
            <color indexed="81"/>
            <rFont val="Tahoma"/>
            <family val="2"/>
          </rPr>
          <t>cjohnso2:</t>
        </r>
        <r>
          <rPr>
            <sz val="8"/>
            <color indexed="81"/>
            <rFont val="Tahoma"/>
            <family val="2"/>
          </rPr>
          <t xml:space="preserve">
Change from 0.03 as Kent is off
</t>
        </r>
      </text>
    </comment>
    <comment ref="BK41" authorId="2">
      <text>
        <r>
          <rPr>
            <b/>
            <sz val="8"/>
            <color indexed="81"/>
            <rFont val="Tahoma"/>
            <family val="2"/>
          </rPr>
          <t>cjohnso2:</t>
        </r>
        <r>
          <rPr>
            <sz val="8"/>
            <color indexed="81"/>
            <rFont val="Tahoma"/>
            <family val="2"/>
          </rPr>
          <t xml:space="preserve">
Changed from 0.05 because LUD is off
</t>
        </r>
      </text>
    </comment>
    <comment ref="CK41" authorId="2">
      <text>
        <r>
          <rPr>
            <b/>
            <sz val="8"/>
            <color indexed="81"/>
            <rFont val="Tahoma"/>
            <family val="2"/>
          </rPr>
          <t>cjohnso2:</t>
        </r>
        <r>
          <rPr>
            <sz val="8"/>
            <color indexed="81"/>
            <rFont val="Tahoma"/>
            <family val="2"/>
          </rPr>
          <t xml:space="preserve">
Corrected by T. Wolff</t>
        </r>
      </text>
    </comment>
    <comment ref="CL41" authorId="2">
      <text>
        <r>
          <rPr>
            <b/>
            <sz val="8"/>
            <color indexed="81"/>
            <rFont val="Tahoma"/>
            <family val="2"/>
          </rPr>
          <t>cjohnso2:</t>
        </r>
        <r>
          <rPr>
            <sz val="8"/>
            <color indexed="81"/>
            <rFont val="Tahoma"/>
            <family val="2"/>
          </rPr>
          <t xml:space="preserve">
Per T. Wolf…changed form 141</t>
        </r>
      </text>
    </comment>
    <comment ref="DI41" authorId="2">
      <text>
        <r>
          <rPr>
            <b/>
            <sz val="8"/>
            <color indexed="81"/>
            <rFont val="Tahoma"/>
            <family val="2"/>
          </rPr>
          <t>cjohnso2:</t>
        </r>
        <r>
          <rPr>
            <sz val="8"/>
            <color indexed="81"/>
            <rFont val="Tahoma"/>
            <family val="2"/>
          </rPr>
          <t xml:space="preserve">
per T. Wolff</t>
        </r>
      </text>
    </comment>
    <comment ref="DJ41" authorId="2">
      <text>
        <r>
          <rPr>
            <b/>
            <sz val="8"/>
            <color indexed="81"/>
            <rFont val="Tahoma"/>
            <family val="2"/>
          </rPr>
          <t>cjohnso2:</t>
        </r>
        <r>
          <rPr>
            <sz val="8"/>
            <color indexed="81"/>
            <rFont val="Tahoma"/>
            <family val="2"/>
          </rPr>
          <t xml:space="preserve">
Per T. Wolff</t>
        </r>
      </text>
    </comment>
    <comment ref="I42" authorId="1">
      <text>
        <r>
          <rPr>
            <b/>
            <sz val="8"/>
            <color indexed="81"/>
            <rFont val="Tahoma"/>
            <family val="2"/>
          </rPr>
          <t>jmoline:</t>
        </r>
        <r>
          <rPr>
            <sz val="8"/>
            <color indexed="81"/>
            <rFont val="Tahoma"/>
            <family val="2"/>
          </rPr>
          <t xml:space="preserve">
changed from 0 to os</t>
        </r>
      </text>
    </comment>
    <comment ref="BI42" authorId="1">
      <text>
        <r>
          <rPr>
            <b/>
            <sz val="8"/>
            <color indexed="81"/>
            <rFont val="Tahoma"/>
            <family val="2"/>
          </rPr>
          <t>jmoline:</t>
        </r>
        <r>
          <rPr>
            <sz val="8"/>
            <color indexed="81"/>
            <rFont val="Tahoma"/>
            <family val="2"/>
          </rPr>
          <t xml:space="preserve">
changed from 0.03</t>
        </r>
      </text>
    </comment>
    <comment ref="BK42" authorId="1">
      <text>
        <r>
          <rPr>
            <b/>
            <sz val="8"/>
            <color indexed="81"/>
            <rFont val="Tahoma"/>
            <family val="2"/>
          </rPr>
          <t>jmoline:</t>
        </r>
        <r>
          <rPr>
            <sz val="8"/>
            <color indexed="81"/>
            <rFont val="Tahoma"/>
            <family val="2"/>
          </rPr>
          <t xml:space="preserve">
changed from 0.05</t>
        </r>
      </text>
    </comment>
    <comment ref="CV42" authorId="1">
      <text>
        <r>
          <rPr>
            <b/>
            <sz val="8"/>
            <color indexed="81"/>
            <rFont val="Tahoma"/>
            <family val="2"/>
          </rPr>
          <t>jmoline:</t>
        </r>
        <r>
          <rPr>
            <sz val="8"/>
            <color indexed="81"/>
            <rFont val="Tahoma"/>
            <family val="2"/>
          </rPr>
          <t xml:space="preserve">
manually copied from WCC Sheet</t>
        </r>
      </text>
    </comment>
    <comment ref="CW42" authorId="1">
      <text>
        <r>
          <rPr>
            <b/>
            <sz val="8"/>
            <color indexed="81"/>
            <rFont val="Tahoma"/>
            <family val="2"/>
          </rPr>
          <t>jmoline:</t>
        </r>
        <r>
          <rPr>
            <sz val="8"/>
            <color indexed="81"/>
            <rFont val="Tahoma"/>
            <family val="2"/>
          </rPr>
          <t xml:space="preserve">
manually copied from WCC Sheet</t>
        </r>
      </text>
    </comment>
    <comment ref="CX42" authorId="1">
      <text>
        <r>
          <rPr>
            <b/>
            <sz val="8"/>
            <color indexed="81"/>
            <rFont val="Tahoma"/>
            <family val="2"/>
          </rPr>
          <t>jmoline:</t>
        </r>
        <r>
          <rPr>
            <sz val="8"/>
            <color indexed="81"/>
            <rFont val="Tahoma"/>
            <family val="2"/>
          </rPr>
          <t xml:space="preserve">
manually copied from WCC Sheet</t>
        </r>
      </text>
    </comment>
    <comment ref="CY42" authorId="1">
      <text>
        <r>
          <rPr>
            <b/>
            <sz val="8"/>
            <color indexed="81"/>
            <rFont val="Tahoma"/>
            <family val="2"/>
          </rPr>
          <t>jmoline:</t>
        </r>
        <r>
          <rPr>
            <sz val="8"/>
            <color indexed="81"/>
            <rFont val="Tahoma"/>
            <family val="2"/>
          </rPr>
          <t xml:space="preserve">
copied from Corps website</t>
        </r>
      </text>
    </comment>
    <comment ref="I43" authorId="1">
      <text>
        <r>
          <rPr>
            <b/>
            <sz val="8"/>
            <color indexed="81"/>
            <rFont val="Tahoma"/>
            <family val="2"/>
          </rPr>
          <t>jmoline:</t>
        </r>
        <r>
          <rPr>
            <sz val="8"/>
            <color indexed="81"/>
            <rFont val="Tahoma"/>
            <family val="2"/>
          </rPr>
          <t xml:space="preserve">
changed from 0 to os</t>
        </r>
      </text>
    </comment>
    <comment ref="BI43" authorId="1">
      <text>
        <r>
          <rPr>
            <b/>
            <sz val="8"/>
            <color indexed="81"/>
            <rFont val="Tahoma"/>
            <family val="2"/>
          </rPr>
          <t>jmoline:</t>
        </r>
        <r>
          <rPr>
            <sz val="8"/>
            <color indexed="81"/>
            <rFont val="Tahoma"/>
            <family val="2"/>
          </rPr>
          <t xml:space="preserve">
changed from 0.03</t>
        </r>
      </text>
    </comment>
    <comment ref="BK43" authorId="1">
      <text>
        <r>
          <rPr>
            <b/>
            <sz val="8"/>
            <color indexed="81"/>
            <rFont val="Tahoma"/>
            <family val="2"/>
          </rPr>
          <t>jmoline:</t>
        </r>
        <r>
          <rPr>
            <sz val="8"/>
            <color indexed="81"/>
            <rFont val="Tahoma"/>
            <family val="2"/>
          </rPr>
          <t xml:space="preserve">
changed from 0.05</t>
        </r>
      </text>
    </comment>
    <comment ref="BI44" authorId="1">
      <text>
        <r>
          <rPr>
            <b/>
            <sz val="8"/>
            <color indexed="81"/>
            <rFont val="Tahoma"/>
            <family val="2"/>
          </rPr>
          <t>jmoline:</t>
        </r>
        <r>
          <rPr>
            <sz val="8"/>
            <color indexed="81"/>
            <rFont val="Tahoma"/>
            <family val="2"/>
          </rPr>
          <t xml:space="preserve">
changed from 0.03</t>
        </r>
      </text>
    </comment>
    <comment ref="BK44" authorId="1">
      <text>
        <r>
          <rPr>
            <b/>
            <sz val="8"/>
            <color indexed="81"/>
            <rFont val="Tahoma"/>
            <family val="2"/>
          </rPr>
          <t>jmoline:</t>
        </r>
        <r>
          <rPr>
            <sz val="8"/>
            <color indexed="81"/>
            <rFont val="Tahoma"/>
            <family val="2"/>
          </rPr>
          <t xml:space="preserve">
changed from 0.05</t>
        </r>
      </text>
    </comment>
    <comment ref="EQ45" authorId="1">
      <text>
        <r>
          <rPr>
            <b/>
            <sz val="8"/>
            <color indexed="81"/>
            <rFont val="Tahoma"/>
            <family val="2"/>
          </rPr>
          <t>jmoline:</t>
        </r>
        <r>
          <rPr>
            <sz val="8"/>
            <color indexed="81"/>
            <rFont val="Tahoma"/>
            <family val="2"/>
          </rPr>
          <t xml:space="preserve">
data per fax from J. Paris</t>
        </r>
      </text>
    </comment>
    <comment ref="ER45" authorId="1">
      <text>
        <r>
          <rPr>
            <b/>
            <sz val="8"/>
            <color indexed="81"/>
            <rFont val="Tahoma"/>
            <family val="2"/>
          </rPr>
          <t>jmoline:</t>
        </r>
        <r>
          <rPr>
            <sz val="8"/>
            <color indexed="81"/>
            <rFont val="Tahoma"/>
            <family val="2"/>
          </rPr>
          <t xml:space="preserve">
data per fax from J. Paris</t>
        </r>
      </text>
    </comment>
    <comment ref="ES45" authorId="1">
      <text>
        <r>
          <rPr>
            <b/>
            <sz val="8"/>
            <color indexed="81"/>
            <rFont val="Tahoma"/>
            <family val="2"/>
          </rPr>
          <t>jmoline:</t>
        </r>
        <r>
          <rPr>
            <sz val="8"/>
            <color indexed="81"/>
            <rFont val="Tahoma"/>
            <family val="2"/>
          </rPr>
          <t xml:space="preserve">
data per fax from J. Paris</t>
        </r>
      </text>
    </comment>
    <comment ref="ET45" authorId="1">
      <text>
        <r>
          <rPr>
            <b/>
            <sz val="8"/>
            <color indexed="81"/>
            <rFont val="Tahoma"/>
            <family val="2"/>
          </rPr>
          <t>jmoline:</t>
        </r>
        <r>
          <rPr>
            <sz val="8"/>
            <color indexed="81"/>
            <rFont val="Tahoma"/>
            <family val="2"/>
          </rPr>
          <t xml:space="preserve">
data per fax from J. Paris</t>
        </r>
      </text>
    </comment>
    <comment ref="EU45" authorId="1">
      <text>
        <r>
          <rPr>
            <b/>
            <sz val="8"/>
            <color indexed="81"/>
            <rFont val="Tahoma"/>
            <family val="2"/>
          </rPr>
          <t>jmoline:</t>
        </r>
        <r>
          <rPr>
            <sz val="8"/>
            <color indexed="81"/>
            <rFont val="Tahoma"/>
            <family val="2"/>
          </rPr>
          <t xml:space="preserve">
data per fax from J. Paris</t>
        </r>
      </text>
    </comment>
    <comment ref="EV45" authorId="1">
      <text>
        <r>
          <rPr>
            <b/>
            <sz val="8"/>
            <color indexed="81"/>
            <rFont val="Tahoma"/>
            <family val="2"/>
          </rPr>
          <t>jmoline:</t>
        </r>
        <r>
          <rPr>
            <sz val="8"/>
            <color indexed="81"/>
            <rFont val="Tahoma"/>
            <family val="2"/>
          </rPr>
          <t xml:space="preserve">
data per fax from J. Paris</t>
        </r>
      </text>
    </comment>
    <comment ref="EW45" authorId="1">
      <text>
        <r>
          <rPr>
            <b/>
            <sz val="8"/>
            <color indexed="81"/>
            <rFont val="Tahoma"/>
            <family val="2"/>
          </rPr>
          <t>jmoline:</t>
        </r>
        <r>
          <rPr>
            <sz val="8"/>
            <color indexed="81"/>
            <rFont val="Tahoma"/>
            <family val="2"/>
          </rPr>
          <t xml:space="preserve">
data per fax from J. Paris</t>
        </r>
      </text>
    </comment>
    <comment ref="EX45" authorId="1">
      <text>
        <r>
          <rPr>
            <b/>
            <sz val="8"/>
            <color indexed="81"/>
            <rFont val="Tahoma"/>
            <family val="2"/>
          </rPr>
          <t>jmoline:</t>
        </r>
        <r>
          <rPr>
            <sz val="8"/>
            <color indexed="81"/>
            <rFont val="Tahoma"/>
            <family val="2"/>
          </rPr>
          <t xml:space="preserve">
data per fax from J. Paris</t>
        </r>
      </text>
    </comment>
    <comment ref="EY45" authorId="1">
      <text>
        <r>
          <rPr>
            <b/>
            <sz val="8"/>
            <color indexed="81"/>
            <rFont val="Tahoma"/>
            <family val="2"/>
          </rPr>
          <t>jmoline:</t>
        </r>
        <r>
          <rPr>
            <sz val="8"/>
            <color indexed="81"/>
            <rFont val="Tahoma"/>
            <family val="2"/>
          </rPr>
          <t xml:space="preserve">
data per fax from J. Paris</t>
        </r>
      </text>
    </comment>
    <comment ref="EZ45" authorId="1">
      <text>
        <r>
          <rPr>
            <b/>
            <sz val="8"/>
            <color indexed="81"/>
            <rFont val="Tahoma"/>
            <family val="2"/>
          </rPr>
          <t>jmoline:</t>
        </r>
        <r>
          <rPr>
            <sz val="8"/>
            <color indexed="81"/>
            <rFont val="Tahoma"/>
            <family val="2"/>
          </rPr>
          <t xml:space="preserve">
data per fax from J. Paris</t>
        </r>
      </text>
    </comment>
    <comment ref="FA45" authorId="1">
      <text>
        <r>
          <rPr>
            <b/>
            <sz val="8"/>
            <color indexed="81"/>
            <rFont val="Tahoma"/>
            <family val="2"/>
          </rPr>
          <t>jmoline:</t>
        </r>
        <r>
          <rPr>
            <sz val="8"/>
            <color indexed="81"/>
            <rFont val="Tahoma"/>
            <family val="2"/>
          </rPr>
          <t xml:space="preserve">
data per fax from J. Paris</t>
        </r>
      </text>
    </comment>
    <comment ref="FB45" authorId="1">
      <text>
        <r>
          <rPr>
            <b/>
            <sz val="8"/>
            <color indexed="81"/>
            <rFont val="Tahoma"/>
            <family val="2"/>
          </rPr>
          <t>jmoline:</t>
        </r>
        <r>
          <rPr>
            <sz val="8"/>
            <color indexed="81"/>
            <rFont val="Tahoma"/>
            <family val="2"/>
          </rPr>
          <t xml:space="preserve">
data per fax from J. Paris</t>
        </r>
      </text>
    </comment>
    <comment ref="FC45" authorId="1">
      <text>
        <r>
          <rPr>
            <b/>
            <sz val="8"/>
            <color indexed="81"/>
            <rFont val="Tahoma"/>
            <family val="2"/>
          </rPr>
          <t>jmoline:</t>
        </r>
        <r>
          <rPr>
            <sz val="8"/>
            <color indexed="81"/>
            <rFont val="Tahoma"/>
            <family val="2"/>
          </rPr>
          <t xml:space="preserve">
data per fax from J. Paris</t>
        </r>
      </text>
    </comment>
    <comment ref="FD45" authorId="1">
      <text>
        <r>
          <rPr>
            <b/>
            <sz val="8"/>
            <color indexed="81"/>
            <rFont val="Tahoma"/>
            <family val="2"/>
          </rPr>
          <t>jmoline:</t>
        </r>
        <r>
          <rPr>
            <sz val="8"/>
            <color indexed="81"/>
            <rFont val="Tahoma"/>
            <family val="2"/>
          </rPr>
          <t xml:space="preserve">
data per fax from J. Paris</t>
        </r>
      </text>
    </comment>
    <comment ref="FE45" authorId="1">
      <text>
        <r>
          <rPr>
            <b/>
            <sz val="8"/>
            <color indexed="81"/>
            <rFont val="Tahoma"/>
            <family val="2"/>
          </rPr>
          <t>jmoline:</t>
        </r>
        <r>
          <rPr>
            <sz val="8"/>
            <color indexed="81"/>
            <rFont val="Tahoma"/>
            <family val="2"/>
          </rPr>
          <t xml:space="preserve">
data per fax from J. Paris</t>
        </r>
      </text>
    </comment>
    <comment ref="FF45" authorId="1">
      <text>
        <r>
          <rPr>
            <b/>
            <sz val="8"/>
            <color indexed="81"/>
            <rFont val="Tahoma"/>
            <family val="2"/>
          </rPr>
          <t>jmoline:</t>
        </r>
        <r>
          <rPr>
            <sz val="8"/>
            <color indexed="81"/>
            <rFont val="Tahoma"/>
            <family val="2"/>
          </rPr>
          <t xml:space="preserve">
data per fax from J. Paris</t>
        </r>
      </text>
    </comment>
    <comment ref="FG45" authorId="1">
      <text>
        <r>
          <rPr>
            <b/>
            <sz val="8"/>
            <color indexed="81"/>
            <rFont val="Tahoma"/>
            <family val="2"/>
          </rPr>
          <t>jmoline:</t>
        </r>
        <r>
          <rPr>
            <sz val="8"/>
            <color indexed="81"/>
            <rFont val="Tahoma"/>
            <family val="2"/>
          </rPr>
          <t xml:space="preserve">
data per fax from J. Paris</t>
        </r>
      </text>
    </comment>
    <comment ref="FH45" authorId="1">
      <text>
        <r>
          <rPr>
            <b/>
            <sz val="8"/>
            <color indexed="81"/>
            <rFont val="Tahoma"/>
            <family val="2"/>
          </rPr>
          <t>jmoline:</t>
        </r>
        <r>
          <rPr>
            <sz val="8"/>
            <color indexed="81"/>
            <rFont val="Tahoma"/>
            <family val="2"/>
          </rPr>
          <t xml:space="preserve">
data per fax from J. Paris</t>
        </r>
      </text>
    </comment>
    <comment ref="FI45" authorId="1">
      <text>
        <r>
          <rPr>
            <b/>
            <sz val="8"/>
            <color indexed="81"/>
            <rFont val="Tahoma"/>
            <family val="2"/>
          </rPr>
          <t>jmoline:</t>
        </r>
        <r>
          <rPr>
            <sz val="8"/>
            <color indexed="81"/>
            <rFont val="Tahoma"/>
            <family val="2"/>
          </rPr>
          <t xml:space="preserve">
data per fax from J. Paris</t>
        </r>
      </text>
    </comment>
    <comment ref="FJ45" authorId="1">
      <text>
        <r>
          <rPr>
            <b/>
            <sz val="8"/>
            <color indexed="81"/>
            <rFont val="Tahoma"/>
            <family val="2"/>
          </rPr>
          <t>jmoline:</t>
        </r>
        <r>
          <rPr>
            <sz val="8"/>
            <color indexed="81"/>
            <rFont val="Tahoma"/>
            <family val="2"/>
          </rPr>
          <t xml:space="preserve">
data per fax from J. Paris</t>
        </r>
      </text>
    </comment>
    <comment ref="FK45" authorId="1">
      <text>
        <r>
          <rPr>
            <b/>
            <sz val="8"/>
            <color indexed="81"/>
            <rFont val="Tahoma"/>
            <family val="2"/>
          </rPr>
          <t>jmoline:</t>
        </r>
        <r>
          <rPr>
            <sz val="8"/>
            <color indexed="81"/>
            <rFont val="Tahoma"/>
            <family val="2"/>
          </rPr>
          <t xml:space="preserve">
data per fax from J. Paris</t>
        </r>
      </text>
    </comment>
    <comment ref="FL45" authorId="1">
      <text>
        <r>
          <rPr>
            <b/>
            <sz val="8"/>
            <color indexed="81"/>
            <rFont val="Tahoma"/>
            <family val="2"/>
          </rPr>
          <t>jmoline:</t>
        </r>
        <r>
          <rPr>
            <sz val="8"/>
            <color indexed="81"/>
            <rFont val="Tahoma"/>
            <family val="2"/>
          </rPr>
          <t xml:space="preserve">
data per fax from J. Paris</t>
        </r>
      </text>
    </comment>
    <comment ref="FM45" authorId="1">
      <text>
        <r>
          <rPr>
            <b/>
            <sz val="8"/>
            <color indexed="81"/>
            <rFont val="Tahoma"/>
            <family val="2"/>
          </rPr>
          <t>jmoline:</t>
        </r>
        <r>
          <rPr>
            <sz val="8"/>
            <color indexed="81"/>
            <rFont val="Tahoma"/>
            <family val="2"/>
          </rPr>
          <t xml:space="preserve">
data per fax from J. Paris</t>
        </r>
      </text>
    </comment>
    <comment ref="FN45" authorId="1">
      <text>
        <r>
          <rPr>
            <b/>
            <sz val="8"/>
            <color indexed="81"/>
            <rFont val="Tahoma"/>
            <family val="2"/>
          </rPr>
          <t>jmoline:</t>
        </r>
        <r>
          <rPr>
            <sz val="8"/>
            <color indexed="81"/>
            <rFont val="Tahoma"/>
            <family val="2"/>
          </rPr>
          <t xml:space="preserve">
data per fax from J. Paris</t>
        </r>
      </text>
    </comment>
    <comment ref="FN49" authorId="1">
      <text>
        <r>
          <rPr>
            <b/>
            <sz val="8"/>
            <color indexed="81"/>
            <rFont val="Tahoma"/>
            <family val="2"/>
          </rPr>
          <t>jmoline:</t>
        </r>
        <r>
          <rPr>
            <sz val="8"/>
            <color indexed="81"/>
            <rFont val="Tahoma"/>
            <family val="2"/>
          </rPr>
          <t xml:space="preserve">
changed from o to 0</t>
        </r>
      </text>
    </comment>
    <comment ref="D53" authorId="1">
      <text>
        <r>
          <rPr>
            <b/>
            <sz val="8"/>
            <color indexed="81"/>
            <rFont val="Tahoma"/>
            <family val="2"/>
          </rPr>
          <t>jmoline:</t>
        </r>
        <r>
          <rPr>
            <sz val="8"/>
            <color indexed="81"/>
            <rFont val="Tahoma"/>
            <family val="2"/>
          </rPr>
          <t xml:space="preserve">
values from 3-1-11 e-mail from J. Bolam</t>
        </r>
      </text>
    </comment>
    <comment ref="E53" authorId="1">
      <text>
        <r>
          <rPr>
            <b/>
            <sz val="8"/>
            <color indexed="81"/>
            <rFont val="Tahoma"/>
            <family val="2"/>
          </rPr>
          <t>jmoline:</t>
        </r>
        <r>
          <rPr>
            <sz val="8"/>
            <color indexed="81"/>
            <rFont val="Tahoma"/>
            <family val="2"/>
          </rPr>
          <t xml:space="preserve">
values from 3-1-11 e-mail from J. Bolam</t>
        </r>
      </text>
    </comment>
    <comment ref="F53" authorId="1">
      <text>
        <r>
          <rPr>
            <b/>
            <sz val="8"/>
            <color indexed="81"/>
            <rFont val="Tahoma"/>
            <family val="2"/>
          </rPr>
          <t>jmoline:</t>
        </r>
        <r>
          <rPr>
            <sz val="8"/>
            <color indexed="81"/>
            <rFont val="Tahoma"/>
            <family val="2"/>
          </rPr>
          <t xml:space="preserve">
values from 3-1-11 e-mail from J. Bolam</t>
        </r>
      </text>
    </comment>
    <comment ref="G53" authorId="1">
      <text>
        <r>
          <rPr>
            <b/>
            <sz val="8"/>
            <color indexed="81"/>
            <rFont val="Tahoma"/>
            <family val="2"/>
          </rPr>
          <t>jmoline:</t>
        </r>
        <r>
          <rPr>
            <sz val="8"/>
            <color indexed="81"/>
            <rFont val="Tahoma"/>
            <family val="2"/>
          </rPr>
          <t xml:space="preserve">
values from 3-1-11 e-mail from J. Bolam</t>
        </r>
      </text>
    </comment>
    <comment ref="H53" authorId="1">
      <text>
        <r>
          <rPr>
            <b/>
            <sz val="8"/>
            <color indexed="81"/>
            <rFont val="Tahoma"/>
            <family val="2"/>
          </rPr>
          <t>jmoline:</t>
        </r>
        <r>
          <rPr>
            <sz val="8"/>
            <color indexed="81"/>
            <rFont val="Tahoma"/>
            <family val="2"/>
          </rPr>
          <t xml:space="preserve">
values from 3-1-11 e-mail from J. Bolam</t>
        </r>
      </text>
    </comment>
    <comment ref="I53" authorId="1">
      <text>
        <r>
          <rPr>
            <b/>
            <sz val="8"/>
            <color indexed="81"/>
            <rFont val="Tahoma"/>
            <family val="2"/>
          </rPr>
          <t>jmoline:</t>
        </r>
        <r>
          <rPr>
            <sz val="8"/>
            <color indexed="81"/>
            <rFont val="Tahoma"/>
            <family val="2"/>
          </rPr>
          <t xml:space="preserve">
values from 3-1-11 e-mail from J. Bolam</t>
        </r>
      </text>
    </comment>
    <comment ref="J53" authorId="1">
      <text>
        <r>
          <rPr>
            <b/>
            <sz val="8"/>
            <color indexed="81"/>
            <rFont val="Tahoma"/>
            <family val="2"/>
          </rPr>
          <t>jmoline:</t>
        </r>
        <r>
          <rPr>
            <sz val="8"/>
            <color indexed="81"/>
            <rFont val="Tahoma"/>
            <family val="2"/>
          </rPr>
          <t xml:space="preserve">
values from 3-1-11 e-mail from J. Bolam</t>
        </r>
      </text>
    </comment>
    <comment ref="K53" authorId="1">
      <text>
        <r>
          <rPr>
            <b/>
            <sz val="8"/>
            <color indexed="81"/>
            <rFont val="Tahoma"/>
            <family val="2"/>
          </rPr>
          <t>jmoline:</t>
        </r>
        <r>
          <rPr>
            <sz val="8"/>
            <color indexed="81"/>
            <rFont val="Tahoma"/>
            <family val="2"/>
          </rPr>
          <t xml:space="preserve">
values from 3-1-11 e-mail from J. Bolam</t>
        </r>
      </text>
    </comment>
    <comment ref="L53" authorId="1">
      <text>
        <r>
          <rPr>
            <b/>
            <sz val="8"/>
            <color indexed="81"/>
            <rFont val="Tahoma"/>
            <family val="2"/>
          </rPr>
          <t>jmoline:</t>
        </r>
        <r>
          <rPr>
            <sz val="8"/>
            <color indexed="81"/>
            <rFont val="Tahoma"/>
            <family val="2"/>
          </rPr>
          <t xml:space="preserve">
values from 3-1-11 e-mail from J. Bolam</t>
        </r>
      </text>
    </comment>
    <comment ref="M53" authorId="1">
      <text>
        <r>
          <rPr>
            <b/>
            <sz val="8"/>
            <color indexed="81"/>
            <rFont val="Tahoma"/>
            <family val="2"/>
          </rPr>
          <t>jmoline:</t>
        </r>
        <r>
          <rPr>
            <sz val="8"/>
            <color indexed="81"/>
            <rFont val="Tahoma"/>
            <family val="2"/>
          </rPr>
          <t xml:space="preserve">
values from 3-1-11 e-mail from J. Bolam</t>
        </r>
      </text>
    </comment>
    <comment ref="N53" authorId="1">
      <text>
        <r>
          <rPr>
            <b/>
            <sz val="8"/>
            <color indexed="81"/>
            <rFont val="Tahoma"/>
            <family val="2"/>
          </rPr>
          <t>jmoline:</t>
        </r>
        <r>
          <rPr>
            <sz val="8"/>
            <color indexed="81"/>
            <rFont val="Tahoma"/>
            <family val="2"/>
          </rPr>
          <t xml:space="preserve">
values from 3-1-11 e-mail from J. Bolam</t>
        </r>
      </text>
    </comment>
    <comment ref="O53" authorId="1">
      <text>
        <r>
          <rPr>
            <b/>
            <sz val="8"/>
            <color indexed="81"/>
            <rFont val="Tahoma"/>
            <family val="2"/>
          </rPr>
          <t>jmoline:</t>
        </r>
        <r>
          <rPr>
            <sz val="8"/>
            <color indexed="81"/>
            <rFont val="Tahoma"/>
            <family val="2"/>
          </rPr>
          <t xml:space="preserve">
values from 3-1-11 e-mail from J. Bolam</t>
        </r>
      </text>
    </comment>
    <comment ref="P53" authorId="1">
      <text>
        <r>
          <rPr>
            <b/>
            <sz val="8"/>
            <color indexed="81"/>
            <rFont val="Tahoma"/>
            <family val="2"/>
          </rPr>
          <t>jmoline:</t>
        </r>
        <r>
          <rPr>
            <sz val="8"/>
            <color indexed="81"/>
            <rFont val="Tahoma"/>
            <family val="2"/>
          </rPr>
          <t xml:space="preserve">
values from 3-1-11 e-mail from J. Bolam</t>
        </r>
      </text>
    </comment>
    <comment ref="Q53" authorId="1">
      <text>
        <r>
          <rPr>
            <b/>
            <sz val="8"/>
            <color indexed="81"/>
            <rFont val="Tahoma"/>
            <family val="2"/>
          </rPr>
          <t>jmoline:</t>
        </r>
        <r>
          <rPr>
            <sz val="8"/>
            <color indexed="81"/>
            <rFont val="Tahoma"/>
            <family val="2"/>
          </rPr>
          <t xml:space="preserve">
values from 3-1-11 e-mail from J. Bolam</t>
        </r>
      </text>
    </comment>
    <comment ref="R53" authorId="1">
      <text>
        <r>
          <rPr>
            <b/>
            <sz val="8"/>
            <color indexed="81"/>
            <rFont val="Tahoma"/>
            <family val="2"/>
          </rPr>
          <t>jmoline:</t>
        </r>
        <r>
          <rPr>
            <sz val="8"/>
            <color indexed="81"/>
            <rFont val="Tahoma"/>
            <family val="2"/>
          </rPr>
          <t xml:space="preserve">
values from 3-1-11 e-mail from J. Bolam</t>
        </r>
      </text>
    </comment>
    <comment ref="S53" authorId="1">
      <text>
        <r>
          <rPr>
            <b/>
            <sz val="8"/>
            <color indexed="81"/>
            <rFont val="Tahoma"/>
            <family val="2"/>
          </rPr>
          <t>jmoline:</t>
        </r>
        <r>
          <rPr>
            <sz val="8"/>
            <color indexed="81"/>
            <rFont val="Tahoma"/>
            <family val="2"/>
          </rPr>
          <t xml:space="preserve">
values from 3-1-11 e-mail from J. Bolam</t>
        </r>
      </text>
    </comment>
    <comment ref="T53" authorId="1">
      <text>
        <r>
          <rPr>
            <b/>
            <sz val="8"/>
            <color indexed="81"/>
            <rFont val="Tahoma"/>
            <family val="2"/>
          </rPr>
          <t>jmoline:</t>
        </r>
        <r>
          <rPr>
            <sz val="8"/>
            <color indexed="81"/>
            <rFont val="Tahoma"/>
            <family val="2"/>
          </rPr>
          <t xml:space="preserve">
values from 3-1-11 e-mail from J. Bolam</t>
        </r>
      </text>
    </comment>
    <comment ref="U53" authorId="1">
      <text>
        <r>
          <rPr>
            <b/>
            <sz val="8"/>
            <color indexed="81"/>
            <rFont val="Tahoma"/>
            <family val="2"/>
          </rPr>
          <t>jmoline:</t>
        </r>
        <r>
          <rPr>
            <sz val="8"/>
            <color indexed="81"/>
            <rFont val="Tahoma"/>
            <family val="2"/>
          </rPr>
          <t xml:space="preserve">
values from 3-1-11 e-mail from J. Bolam</t>
        </r>
      </text>
    </comment>
    <comment ref="V53" authorId="1">
      <text>
        <r>
          <rPr>
            <b/>
            <sz val="8"/>
            <color indexed="81"/>
            <rFont val="Tahoma"/>
            <family val="2"/>
          </rPr>
          <t>jmoline:</t>
        </r>
        <r>
          <rPr>
            <sz val="8"/>
            <color indexed="81"/>
            <rFont val="Tahoma"/>
            <family val="2"/>
          </rPr>
          <t xml:space="preserve">
values from 3-1-11 e-mail from J. Bolam</t>
        </r>
      </text>
    </comment>
    <comment ref="W53" authorId="1">
      <text>
        <r>
          <rPr>
            <b/>
            <sz val="8"/>
            <color indexed="81"/>
            <rFont val="Tahoma"/>
            <family val="2"/>
          </rPr>
          <t>jmoline:</t>
        </r>
        <r>
          <rPr>
            <sz val="8"/>
            <color indexed="81"/>
            <rFont val="Tahoma"/>
            <family val="2"/>
          </rPr>
          <t xml:space="preserve">
values from 3-1-11 e-mail from J. Bolam</t>
        </r>
      </text>
    </comment>
    <comment ref="X53" authorId="1">
      <text>
        <r>
          <rPr>
            <b/>
            <sz val="8"/>
            <color indexed="81"/>
            <rFont val="Tahoma"/>
            <family val="2"/>
          </rPr>
          <t>jmoline:</t>
        </r>
        <r>
          <rPr>
            <sz val="8"/>
            <color indexed="81"/>
            <rFont val="Tahoma"/>
            <family val="2"/>
          </rPr>
          <t xml:space="preserve">
values from 3-1-11 e-mail from J. Bolam</t>
        </r>
      </text>
    </comment>
    <comment ref="Y53" authorId="1">
      <text>
        <r>
          <rPr>
            <b/>
            <sz val="8"/>
            <color indexed="81"/>
            <rFont val="Tahoma"/>
            <family val="2"/>
          </rPr>
          <t>jmoline:</t>
        </r>
        <r>
          <rPr>
            <sz val="8"/>
            <color indexed="81"/>
            <rFont val="Tahoma"/>
            <family val="2"/>
          </rPr>
          <t xml:space="preserve">
values from 3-1-11 e-mail from J. Bolam</t>
        </r>
      </text>
    </comment>
    <comment ref="Z53" authorId="1">
      <text>
        <r>
          <rPr>
            <b/>
            <sz val="8"/>
            <color indexed="81"/>
            <rFont val="Tahoma"/>
            <family val="2"/>
          </rPr>
          <t>jmoline:</t>
        </r>
        <r>
          <rPr>
            <sz val="8"/>
            <color indexed="81"/>
            <rFont val="Tahoma"/>
            <family val="2"/>
          </rPr>
          <t xml:space="preserve">
values from 3-1-11 e-mail from J. Bolam</t>
        </r>
      </text>
    </comment>
    <comment ref="AA53" authorId="1">
      <text>
        <r>
          <rPr>
            <b/>
            <sz val="8"/>
            <color indexed="81"/>
            <rFont val="Tahoma"/>
            <family val="2"/>
          </rPr>
          <t>jmoline:</t>
        </r>
        <r>
          <rPr>
            <sz val="8"/>
            <color indexed="81"/>
            <rFont val="Tahoma"/>
            <family val="2"/>
          </rPr>
          <t xml:space="preserve">
values from 3-1-11 e-mail from J. Bolam</t>
        </r>
      </text>
    </comment>
    <comment ref="AB53" authorId="1">
      <text>
        <r>
          <rPr>
            <b/>
            <sz val="8"/>
            <color indexed="81"/>
            <rFont val="Tahoma"/>
            <family val="2"/>
          </rPr>
          <t>jmoline:</t>
        </r>
        <r>
          <rPr>
            <sz val="8"/>
            <color indexed="81"/>
            <rFont val="Tahoma"/>
            <family val="2"/>
          </rPr>
          <t xml:space="preserve">
values from 3-1-11 e-mail from J. Bolam</t>
        </r>
      </text>
    </comment>
    <comment ref="BC60" authorId="1">
      <text>
        <r>
          <rPr>
            <b/>
            <sz val="8"/>
            <color indexed="81"/>
            <rFont val="Tahoma"/>
            <family val="2"/>
          </rPr>
          <t>jmoline:</t>
        </r>
        <r>
          <rPr>
            <sz val="8"/>
            <color indexed="81"/>
            <rFont val="Tahoma"/>
            <family val="2"/>
          </rPr>
          <t xml:space="preserve">
changed from 0.00 to 0.76 perWinCC Yesterday Flow (mgal)</t>
        </r>
      </text>
    </comment>
    <comment ref="BN60" authorId="1">
      <text>
        <r>
          <rPr>
            <b/>
            <sz val="8"/>
            <color indexed="81"/>
            <rFont val="Tahoma"/>
            <family val="2"/>
          </rPr>
          <t>jmoline:</t>
        </r>
        <r>
          <rPr>
            <sz val="8"/>
            <color indexed="81"/>
            <rFont val="Tahoma"/>
            <family val="2"/>
          </rPr>
          <t xml:space="preserve">
Comm failure, but WinCC trending did not appear to have been affected</t>
        </r>
      </text>
    </comment>
    <comment ref="CO60" authorId="1">
      <text>
        <r>
          <rPr>
            <b/>
            <sz val="8"/>
            <color indexed="81"/>
            <rFont val="Tahoma"/>
            <family val="2"/>
          </rPr>
          <t>jmoline:</t>
        </r>
        <r>
          <rPr>
            <sz val="8"/>
            <color indexed="81"/>
            <rFont val="Tahoma"/>
            <family val="2"/>
          </rPr>
          <t xml:space="preserve">
57.08 per WinCC
T. Wolff originally had 0.57, then changed to 0.74
Well 4A started per T. Wolff</t>
        </r>
      </text>
    </comment>
    <comment ref="BC61" authorId="1">
      <text>
        <r>
          <rPr>
            <b/>
            <sz val="8"/>
            <color indexed="81"/>
            <rFont val="Tahoma"/>
            <family val="2"/>
          </rPr>
          <t>jmoline:</t>
        </r>
        <r>
          <rPr>
            <sz val="8"/>
            <color indexed="81"/>
            <rFont val="Tahoma"/>
            <family val="2"/>
          </rPr>
          <t xml:space="preserve">
0.00 replaced with 3.42, the daily average for the CK meter (see below)
We have recently been able to enter the “Yesterday Flow (mgal)” reads for C1 and C2 from the Covington screen of WinCC into the Midnight Report.  However, if there is a problem with these numbers, the daily average from the trending for “T5-Tacoma TSSL_Flow” (CK meter) should be entered for C1 (in this case, the C2 read should be entered as zero, since all flow for C1 and C2 passes through the CK meter).  </t>
        </r>
      </text>
    </comment>
    <comment ref="BD61" authorId="1">
      <text>
        <r>
          <rPr>
            <b/>
            <sz val="8"/>
            <color indexed="81"/>
            <rFont val="Tahoma"/>
            <family val="2"/>
          </rPr>
          <t>jmoline:</t>
        </r>
        <r>
          <rPr>
            <sz val="8"/>
            <color indexed="81"/>
            <rFont val="Tahoma"/>
            <family val="2"/>
          </rPr>
          <t xml:space="preserve">
2.36 replaced with 0, since the CK read was used for C1</t>
        </r>
      </text>
    </comment>
    <comment ref="BC62" authorId="1">
      <text>
        <r>
          <rPr>
            <b/>
            <sz val="8"/>
            <color indexed="81"/>
            <rFont val="Tahoma"/>
            <family val="2"/>
          </rPr>
          <t>jmoline:</t>
        </r>
        <r>
          <rPr>
            <sz val="8"/>
            <color indexed="81"/>
            <rFont val="Tahoma"/>
            <family val="2"/>
          </rPr>
          <t xml:space="preserve">
changed from 0.00 to 1.44 perWinCC Yesterday Flow (mgal)</t>
        </r>
      </text>
    </comment>
    <comment ref="G68" authorId="2">
      <text>
        <r>
          <rPr>
            <b/>
            <sz val="8"/>
            <color indexed="81"/>
            <rFont val="Tahoma"/>
            <family val="2"/>
          </rPr>
          <t>cjohnso2:</t>
        </r>
        <r>
          <rPr>
            <sz val="8"/>
            <color indexed="81"/>
            <rFont val="Tahoma"/>
            <family val="2"/>
          </rPr>
          <t xml:space="preserve">
Corrected from zero per HW</t>
        </r>
      </text>
    </comment>
    <comment ref="D71" authorId="1">
      <text>
        <r>
          <rPr>
            <b/>
            <sz val="8"/>
            <color indexed="81"/>
            <rFont val="Tahoma"/>
            <family val="2"/>
          </rPr>
          <t>jmoline:</t>
        </r>
        <r>
          <rPr>
            <sz val="8"/>
            <color indexed="81"/>
            <rFont val="Tahoma"/>
            <family val="2"/>
          </rPr>
          <t xml:space="preserve">
values from 3-1-11 e-mail from J. Bolam</t>
        </r>
      </text>
    </comment>
    <comment ref="E71" authorId="1">
      <text>
        <r>
          <rPr>
            <b/>
            <sz val="8"/>
            <color indexed="81"/>
            <rFont val="Tahoma"/>
            <family val="2"/>
          </rPr>
          <t>jmoline:</t>
        </r>
        <r>
          <rPr>
            <sz val="8"/>
            <color indexed="81"/>
            <rFont val="Tahoma"/>
            <family val="2"/>
          </rPr>
          <t xml:space="preserve">
values from 3-1-11 e-mail from J. Bolam</t>
        </r>
      </text>
    </comment>
    <comment ref="F71" authorId="1">
      <text>
        <r>
          <rPr>
            <b/>
            <sz val="8"/>
            <color indexed="81"/>
            <rFont val="Tahoma"/>
            <family val="2"/>
          </rPr>
          <t>jmoline:</t>
        </r>
        <r>
          <rPr>
            <sz val="8"/>
            <color indexed="81"/>
            <rFont val="Tahoma"/>
            <family val="2"/>
          </rPr>
          <t xml:space="preserve">
values from 3-1-11 e-mail from J. Bolam</t>
        </r>
      </text>
    </comment>
    <comment ref="G71" authorId="1">
      <text>
        <r>
          <rPr>
            <b/>
            <sz val="8"/>
            <color indexed="81"/>
            <rFont val="Tahoma"/>
            <family val="2"/>
          </rPr>
          <t>jmoline:</t>
        </r>
        <r>
          <rPr>
            <sz val="8"/>
            <color indexed="81"/>
            <rFont val="Tahoma"/>
            <family val="2"/>
          </rPr>
          <t xml:space="preserve">
values from 3-1-11 e-mail from J. Bolam</t>
        </r>
      </text>
    </comment>
    <comment ref="H71" authorId="1">
      <text>
        <r>
          <rPr>
            <b/>
            <sz val="8"/>
            <color indexed="81"/>
            <rFont val="Tahoma"/>
            <family val="2"/>
          </rPr>
          <t>jmoline:</t>
        </r>
        <r>
          <rPr>
            <sz val="8"/>
            <color indexed="81"/>
            <rFont val="Tahoma"/>
            <family val="2"/>
          </rPr>
          <t xml:space="preserve">
values from 3-1-11 e-mail from J. Bolam</t>
        </r>
      </text>
    </comment>
    <comment ref="I71" authorId="1">
      <text>
        <r>
          <rPr>
            <b/>
            <sz val="8"/>
            <color indexed="81"/>
            <rFont val="Tahoma"/>
            <family val="2"/>
          </rPr>
          <t>jmoline:</t>
        </r>
        <r>
          <rPr>
            <sz val="8"/>
            <color indexed="81"/>
            <rFont val="Tahoma"/>
            <family val="2"/>
          </rPr>
          <t xml:space="preserve">
values from 3-1-11 e-mail from J. Bolam</t>
        </r>
      </text>
    </comment>
    <comment ref="J71" authorId="1">
      <text>
        <r>
          <rPr>
            <b/>
            <sz val="8"/>
            <color indexed="81"/>
            <rFont val="Tahoma"/>
            <family val="2"/>
          </rPr>
          <t>jmoline:</t>
        </r>
        <r>
          <rPr>
            <sz val="8"/>
            <color indexed="81"/>
            <rFont val="Tahoma"/>
            <family val="2"/>
          </rPr>
          <t xml:space="preserve">
values from 3-1-11 e-mail from J. Bolam</t>
        </r>
      </text>
    </comment>
    <comment ref="K71" authorId="1">
      <text>
        <r>
          <rPr>
            <b/>
            <sz val="8"/>
            <color indexed="81"/>
            <rFont val="Tahoma"/>
            <family val="2"/>
          </rPr>
          <t>jmoline:</t>
        </r>
        <r>
          <rPr>
            <sz val="8"/>
            <color indexed="81"/>
            <rFont val="Tahoma"/>
            <family val="2"/>
          </rPr>
          <t xml:space="preserve">
values from 3-1-11 e-mail from J. Bolam</t>
        </r>
      </text>
    </comment>
    <comment ref="L71" authorId="1">
      <text>
        <r>
          <rPr>
            <b/>
            <sz val="8"/>
            <color indexed="81"/>
            <rFont val="Tahoma"/>
            <family val="2"/>
          </rPr>
          <t>jmoline:</t>
        </r>
        <r>
          <rPr>
            <sz val="8"/>
            <color indexed="81"/>
            <rFont val="Tahoma"/>
            <family val="2"/>
          </rPr>
          <t xml:space="preserve">
values from 3-1-11 e-mail from J. Bolam</t>
        </r>
      </text>
    </comment>
    <comment ref="M71" authorId="1">
      <text>
        <r>
          <rPr>
            <b/>
            <sz val="8"/>
            <color indexed="81"/>
            <rFont val="Tahoma"/>
            <family val="2"/>
          </rPr>
          <t>jmoline:</t>
        </r>
        <r>
          <rPr>
            <sz val="8"/>
            <color indexed="81"/>
            <rFont val="Tahoma"/>
            <family val="2"/>
          </rPr>
          <t xml:space="preserve">
values from 3-1-11 e-mail from J. Bolam</t>
        </r>
      </text>
    </comment>
    <comment ref="N71" authorId="1">
      <text>
        <r>
          <rPr>
            <b/>
            <sz val="8"/>
            <color indexed="81"/>
            <rFont val="Tahoma"/>
            <family val="2"/>
          </rPr>
          <t>jmoline:</t>
        </r>
        <r>
          <rPr>
            <sz val="8"/>
            <color indexed="81"/>
            <rFont val="Tahoma"/>
            <family val="2"/>
          </rPr>
          <t xml:space="preserve">
values from 3-1-11 e-mail from J. Bolam</t>
        </r>
      </text>
    </comment>
    <comment ref="O71" authorId="1">
      <text>
        <r>
          <rPr>
            <b/>
            <sz val="8"/>
            <color indexed="81"/>
            <rFont val="Tahoma"/>
            <family val="2"/>
          </rPr>
          <t>jmoline:</t>
        </r>
        <r>
          <rPr>
            <sz val="8"/>
            <color indexed="81"/>
            <rFont val="Tahoma"/>
            <family val="2"/>
          </rPr>
          <t xml:space="preserve">
values from 3-1-11 e-mail from J. Bolam</t>
        </r>
      </text>
    </comment>
    <comment ref="P71" authorId="1">
      <text>
        <r>
          <rPr>
            <b/>
            <sz val="8"/>
            <color indexed="81"/>
            <rFont val="Tahoma"/>
            <family val="2"/>
          </rPr>
          <t>jmoline:</t>
        </r>
        <r>
          <rPr>
            <sz val="8"/>
            <color indexed="81"/>
            <rFont val="Tahoma"/>
            <family val="2"/>
          </rPr>
          <t xml:space="preserve">
values from 3-1-11 e-mail from J. Bolam</t>
        </r>
      </text>
    </comment>
    <comment ref="Q71" authorId="1">
      <text>
        <r>
          <rPr>
            <b/>
            <sz val="8"/>
            <color indexed="81"/>
            <rFont val="Tahoma"/>
            <family val="2"/>
          </rPr>
          <t>jmoline:</t>
        </r>
        <r>
          <rPr>
            <sz val="8"/>
            <color indexed="81"/>
            <rFont val="Tahoma"/>
            <family val="2"/>
          </rPr>
          <t xml:space="preserve">
values from 3-1-11 e-mail from J. Bolam</t>
        </r>
      </text>
    </comment>
    <comment ref="R71" authorId="1">
      <text>
        <r>
          <rPr>
            <b/>
            <sz val="8"/>
            <color indexed="81"/>
            <rFont val="Tahoma"/>
            <family val="2"/>
          </rPr>
          <t>jmoline:</t>
        </r>
        <r>
          <rPr>
            <sz val="8"/>
            <color indexed="81"/>
            <rFont val="Tahoma"/>
            <family val="2"/>
          </rPr>
          <t xml:space="preserve">
values from 3-1-11 e-mail from J. Bolam</t>
        </r>
      </text>
    </comment>
    <comment ref="S71" authorId="1">
      <text>
        <r>
          <rPr>
            <b/>
            <sz val="8"/>
            <color indexed="81"/>
            <rFont val="Tahoma"/>
            <family val="2"/>
          </rPr>
          <t>jmoline:</t>
        </r>
        <r>
          <rPr>
            <sz val="8"/>
            <color indexed="81"/>
            <rFont val="Tahoma"/>
            <family val="2"/>
          </rPr>
          <t xml:space="preserve">
values from 3-1-11 e-mail from J. Bolam</t>
        </r>
      </text>
    </comment>
    <comment ref="T71" authorId="1">
      <text>
        <r>
          <rPr>
            <b/>
            <sz val="8"/>
            <color indexed="81"/>
            <rFont val="Tahoma"/>
            <family val="2"/>
          </rPr>
          <t>jmoline:</t>
        </r>
        <r>
          <rPr>
            <sz val="8"/>
            <color indexed="81"/>
            <rFont val="Tahoma"/>
            <family val="2"/>
          </rPr>
          <t xml:space="preserve">
values from 3-1-11 e-mail from J. Bolam</t>
        </r>
      </text>
    </comment>
    <comment ref="U71" authorId="1">
      <text>
        <r>
          <rPr>
            <b/>
            <sz val="8"/>
            <color indexed="81"/>
            <rFont val="Tahoma"/>
            <family val="2"/>
          </rPr>
          <t>jmoline:</t>
        </r>
        <r>
          <rPr>
            <sz val="8"/>
            <color indexed="81"/>
            <rFont val="Tahoma"/>
            <family val="2"/>
          </rPr>
          <t xml:space="preserve">
values from 3-1-11 e-mail from J. Bolam</t>
        </r>
      </text>
    </comment>
    <comment ref="V71" authorId="1">
      <text>
        <r>
          <rPr>
            <b/>
            <sz val="8"/>
            <color indexed="81"/>
            <rFont val="Tahoma"/>
            <family val="2"/>
          </rPr>
          <t>jmoline:</t>
        </r>
        <r>
          <rPr>
            <sz val="8"/>
            <color indexed="81"/>
            <rFont val="Tahoma"/>
            <family val="2"/>
          </rPr>
          <t xml:space="preserve">
values from 3-1-11 e-mail from J. Bolam</t>
        </r>
      </text>
    </comment>
    <comment ref="W71" authorId="1">
      <text>
        <r>
          <rPr>
            <b/>
            <sz val="8"/>
            <color indexed="81"/>
            <rFont val="Tahoma"/>
            <family val="2"/>
          </rPr>
          <t>jmoline:</t>
        </r>
        <r>
          <rPr>
            <sz val="8"/>
            <color indexed="81"/>
            <rFont val="Tahoma"/>
            <family val="2"/>
          </rPr>
          <t xml:space="preserve">
values from 3-1-11 e-mail from J. Bolam</t>
        </r>
      </text>
    </comment>
    <comment ref="X71" authorId="1">
      <text>
        <r>
          <rPr>
            <b/>
            <sz val="8"/>
            <color indexed="81"/>
            <rFont val="Tahoma"/>
            <family val="2"/>
          </rPr>
          <t>jmoline:</t>
        </r>
        <r>
          <rPr>
            <sz val="8"/>
            <color indexed="81"/>
            <rFont val="Tahoma"/>
            <family val="2"/>
          </rPr>
          <t xml:space="preserve">
values from 3-1-11 e-mail from J. Bolam</t>
        </r>
      </text>
    </comment>
    <comment ref="Y71" authorId="1">
      <text>
        <r>
          <rPr>
            <b/>
            <sz val="8"/>
            <color indexed="81"/>
            <rFont val="Tahoma"/>
            <family val="2"/>
          </rPr>
          <t>jmoline:</t>
        </r>
        <r>
          <rPr>
            <sz val="8"/>
            <color indexed="81"/>
            <rFont val="Tahoma"/>
            <family val="2"/>
          </rPr>
          <t xml:space="preserve">
values from 3-1-11 e-mail from J. Bolam</t>
        </r>
      </text>
    </comment>
    <comment ref="Z71" authorId="1">
      <text>
        <r>
          <rPr>
            <b/>
            <sz val="8"/>
            <color indexed="81"/>
            <rFont val="Tahoma"/>
            <family val="2"/>
          </rPr>
          <t>jmoline:</t>
        </r>
        <r>
          <rPr>
            <sz val="8"/>
            <color indexed="81"/>
            <rFont val="Tahoma"/>
            <family val="2"/>
          </rPr>
          <t xml:space="preserve">
values from 3-1-11 e-mail from J. Bolam</t>
        </r>
      </text>
    </comment>
    <comment ref="AA71" authorId="1">
      <text>
        <r>
          <rPr>
            <b/>
            <sz val="8"/>
            <color indexed="81"/>
            <rFont val="Tahoma"/>
            <family val="2"/>
          </rPr>
          <t>jmoline:</t>
        </r>
        <r>
          <rPr>
            <sz val="8"/>
            <color indexed="81"/>
            <rFont val="Tahoma"/>
            <family val="2"/>
          </rPr>
          <t xml:space="preserve">
values from 3-1-11 e-mail from J. Bolam</t>
        </r>
      </text>
    </comment>
    <comment ref="AB71" authorId="1">
      <text>
        <r>
          <rPr>
            <b/>
            <sz val="8"/>
            <color indexed="81"/>
            <rFont val="Tahoma"/>
            <family val="2"/>
          </rPr>
          <t>jmoline:</t>
        </r>
        <r>
          <rPr>
            <sz val="8"/>
            <color indexed="81"/>
            <rFont val="Tahoma"/>
            <family val="2"/>
          </rPr>
          <t xml:space="preserve">
values from 3-1-11 e-mail from J. Bolam</t>
        </r>
      </text>
    </comment>
    <comment ref="D72" authorId="1">
      <text>
        <r>
          <rPr>
            <b/>
            <sz val="8"/>
            <color indexed="81"/>
            <rFont val="Tahoma"/>
            <family val="2"/>
          </rPr>
          <t>jmoline:</t>
        </r>
        <r>
          <rPr>
            <sz val="8"/>
            <color indexed="81"/>
            <rFont val="Tahoma"/>
            <family val="2"/>
          </rPr>
          <t xml:space="preserve">
values from 3-1-11 e-mail from J. Bolam</t>
        </r>
      </text>
    </comment>
    <comment ref="E72" authorId="1">
      <text>
        <r>
          <rPr>
            <b/>
            <sz val="8"/>
            <color indexed="81"/>
            <rFont val="Tahoma"/>
            <family val="2"/>
          </rPr>
          <t>jmoline:</t>
        </r>
        <r>
          <rPr>
            <sz val="8"/>
            <color indexed="81"/>
            <rFont val="Tahoma"/>
            <family val="2"/>
          </rPr>
          <t xml:space="preserve">
values from 3-1-11 e-mail from J. Bolam</t>
        </r>
      </text>
    </comment>
    <comment ref="F72" authorId="1">
      <text>
        <r>
          <rPr>
            <b/>
            <sz val="8"/>
            <color indexed="81"/>
            <rFont val="Tahoma"/>
            <family val="2"/>
          </rPr>
          <t>jmoline:</t>
        </r>
        <r>
          <rPr>
            <sz val="8"/>
            <color indexed="81"/>
            <rFont val="Tahoma"/>
            <family val="2"/>
          </rPr>
          <t xml:space="preserve">
values from 3-1-11 e-mail from J. Bolam</t>
        </r>
      </text>
    </comment>
    <comment ref="G72" authorId="1">
      <text>
        <r>
          <rPr>
            <b/>
            <sz val="8"/>
            <color indexed="81"/>
            <rFont val="Tahoma"/>
            <family val="2"/>
          </rPr>
          <t>jmoline:</t>
        </r>
        <r>
          <rPr>
            <sz val="8"/>
            <color indexed="81"/>
            <rFont val="Tahoma"/>
            <family val="2"/>
          </rPr>
          <t xml:space="preserve">
values from 3-1-11 e-mail from J. Bolam</t>
        </r>
      </text>
    </comment>
    <comment ref="H72" authorId="1">
      <text>
        <r>
          <rPr>
            <b/>
            <sz val="8"/>
            <color indexed="81"/>
            <rFont val="Tahoma"/>
            <family val="2"/>
          </rPr>
          <t>jmoline:</t>
        </r>
        <r>
          <rPr>
            <sz val="8"/>
            <color indexed="81"/>
            <rFont val="Tahoma"/>
            <family val="2"/>
          </rPr>
          <t xml:space="preserve">
values from 3-1-11 e-mail from J. Bolam</t>
        </r>
      </text>
    </comment>
    <comment ref="I72" authorId="1">
      <text>
        <r>
          <rPr>
            <b/>
            <sz val="8"/>
            <color indexed="81"/>
            <rFont val="Tahoma"/>
            <family val="2"/>
          </rPr>
          <t>jmoline:</t>
        </r>
        <r>
          <rPr>
            <sz val="8"/>
            <color indexed="81"/>
            <rFont val="Tahoma"/>
            <family val="2"/>
          </rPr>
          <t xml:space="preserve">
values from 3-1-11 e-mail from J. Bolam</t>
        </r>
      </text>
    </comment>
    <comment ref="J72" authorId="1">
      <text>
        <r>
          <rPr>
            <b/>
            <sz val="8"/>
            <color indexed="81"/>
            <rFont val="Tahoma"/>
            <family val="2"/>
          </rPr>
          <t>jmoline:</t>
        </r>
        <r>
          <rPr>
            <sz val="8"/>
            <color indexed="81"/>
            <rFont val="Tahoma"/>
            <family val="2"/>
          </rPr>
          <t xml:space="preserve">
values from 3-1-11 e-mail from J. Bolam</t>
        </r>
      </text>
    </comment>
    <comment ref="K72" authorId="1">
      <text>
        <r>
          <rPr>
            <b/>
            <sz val="8"/>
            <color indexed="81"/>
            <rFont val="Tahoma"/>
            <family val="2"/>
          </rPr>
          <t>jmoline:</t>
        </r>
        <r>
          <rPr>
            <sz val="8"/>
            <color indexed="81"/>
            <rFont val="Tahoma"/>
            <family val="2"/>
          </rPr>
          <t xml:space="preserve">
values from 3-1-11 e-mail from J. Bolam</t>
        </r>
      </text>
    </comment>
    <comment ref="L72" authorId="1">
      <text>
        <r>
          <rPr>
            <b/>
            <sz val="8"/>
            <color indexed="81"/>
            <rFont val="Tahoma"/>
            <family val="2"/>
          </rPr>
          <t>jmoline:</t>
        </r>
        <r>
          <rPr>
            <sz val="8"/>
            <color indexed="81"/>
            <rFont val="Tahoma"/>
            <family val="2"/>
          </rPr>
          <t xml:space="preserve">
values from 3-1-11 e-mail from J. Bolam</t>
        </r>
      </text>
    </comment>
    <comment ref="M72" authorId="1">
      <text>
        <r>
          <rPr>
            <b/>
            <sz val="8"/>
            <color indexed="81"/>
            <rFont val="Tahoma"/>
            <family val="2"/>
          </rPr>
          <t>jmoline:</t>
        </r>
        <r>
          <rPr>
            <sz val="8"/>
            <color indexed="81"/>
            <rFont val="Tahoma"/>
            <family val="2"/>
          </rPr>
          <t xml:space="preserve">
values from 3-1-11 e-mail from J. Bolam</t>
        </r>
      </text>
    </comment>
    <comment ref="N72" authorId="1">
      <text>
        <r>
          <rPr>
            <b/>
            <sz val="8"/>
            <color indexed="81"/>
            <rFont val="Tahoma"/>
            <family val="2"/>
          </rPr>
          <t>jmoline:</t>
        </r>
        <r>
          <rPr>
            <sz val="8"/>
            <color indexed="81"/>
            <rFont val="Tahoma"/>
            <family val="2"/>
          </rPr>
          <t xml:space="preserve">
values from 3-1-11 e-mail from J. Bolam</t>
        </r>
      </text>
    </comment>
    <comment ref="O72" authorId="1">
      <text>
        <r>
          <rPr>
            <b/>
            <sz val="8"/>
            <color indexed="81"/>
            <rFont val="Tahoma"/>
            <family val="2"/>
          </rPr>
          <t>jmoline:</t>
        </r>
        <r>
          <rPr>
            <sz val="8"/>
            <color indexed="81"/>
            <rFont val="Tahoma"/>
            <family val="2"/>
          </rPr>
          <t xml:space="preserve">
values from 3-1-11 e-mail from J. Bolam</t>
        </r>
      </text>
    </comment>
    <comment ref="P72" authorId="1">
      <text>
        <r>
          <rPr>
            <b/>
            <sz val="8"/>
            <color indexed="81"/>
            <rFont val="Tahoma"/>
            <family val="2"/>
          </rPr>
          <t>jmoline:</t>
        </r>
        <r>
          <rPr>
            <sz val="8"/>
            <color indexed="81"/>
            <rFont val="Tahoma"/>
            <family val="2"/>
          </rPr>
          <t xml:space="preserve">
values from 3-1-11 e-mail from J. Bolam</t>
        </r>
      </text>
    </comment>
    <comment ref="Q72" authorId="1">
      <text>
        <r>
          <rPr>
            <b/>
            <sz val="8"/>
            <color indexed="81"/>
            <rFont val="Tahoma"/>
            <family val="2"/>
          </rPr>
          <t>jmoline:</t>
        </r>
        <r>
          <rPr>
            <sz val="8"/>
            <color indexed="81"/>
            <rFont val="Tahoma"/>
            <family val="2"/>
          </rPr>
          <t xml:space="preserve">
values from 3-1-11 e-mail from J. Bolam</t>
        </r>
      </text>
    </comment>
    <comment ref="R72" authorId="1">
      <text>
        <r>
          <rPr>
            <b/>
            <sz val="8"/>
            <color indexed="81"/>
            <rFont val="Tahoma"/>
            <family val="2"/>
          </rPr>
          <t>jmoline:</t>
        </r>
        <r>
          <rPr>
            <sz val="8"/>
            <color indexed="81"/>
            <rFont val="Tahoma"/>
            <family val="2"/>
          </rPr>
          <t xml:space="preserve">
values from 3-1-11 e-mail from J. Bolam</t>
        </r>
      </text>
    </comment>
    <comment ref="S72" authorId="1">
      <text>
        <r>
          <rPr>
            <b/>
            <sz val="8"/>
            <color indexed="81"/>
            <rFont val="Tahoma"/>
            <family val="2"/>
          </rPr>
          <t>jmoline:</t>
        </r>
        <r>
          <rPr>
            <sz val="8"/>
            <color indexed="81"/>
            <rFont val="Tahoma"/>
            <family val="2"/>
          </rPr>
          <t xml:space="preserve">
values from 3-1-11 e-mail from J. Bolam</t>
        </r>
      </text>
    </comment>
    <comment ref="T72" authorId="1">
      <text>
        <r>
          <rPr>
            <b/>
            <sz val="8"/>
            <color indexed="81"/>
            <rFont val="Tahoma"/>
            <family val="2"/>
          </rPr>
          <t>jmoline:</t>
        </r>
        <r>
          <rPr>
            <sz val="8"/>
            <color indexed="81"/>
            <rFont val="Tahoma"/>
            <family val="2"/>
          </rPr>
          <t xml:space="preserve">
values from 3-1-11 e-mail from J. Bolam</t>
        </r>
      </text>
    </comment>
    <comment ref="U72" authorId="1">
      <text>
        <r>
          <rPr>
            <b/>
            <sz val="8"/>
            <color indexed="81"/>
            <rFont val="Tahoma"/>
            <family val="2"/>
          </rPr>
          <t>jmoline:</t>
        </r>
        <r>
          <rPr>
            <sz val="8"/>
            <color indexed="81"/>
            <rFont val="Tahoma"/>
            <family val="2"/>
          </rPr>
          <t xml:space="preserve">
values from 3-1-11 e-mail from J. Bolam</t>
        </r>
      </text>
    </comment>
    <comment ref="V72" authorId="1">
      <text>
        <r>
          <rPr>
            <b/>
            <sz val="8"/>
            <color indexed="81"/>
            <rFont val="Tahoma"/>
            <family val="2"/>
          </rPr>
          <t>jmoline:</t>
        </r>
        <r>
          <rPr>
            <sz val="8"/>
            <color indexed="81"/>
            <rFont val="Tahoma"/>
            <family val="2"/>
          </rPr>
          <t xml:space="preserve">
values from 3-1-11 e-mail from J. Bolam</t>
        </r>
      </text>
    </comment>
    <comment ref="W72" authorId="1">
      <text>
        <r>
          <rPr>
            <b/>
            <sz val="8"/>
            <color indexed="81"/>
            <rFont val="Tahoma"/>
            <family val="2"/>
          </rPr>
          <t>jmoline:</t>
        </r>
        <r>
          <rPr>
            <sz val="8"/>
            <color indexed="81"/>
            <rFont val="Tahoma"/>
            <family val="2"/>
          </rPr>
          <t xml:space="preserve">
values from 3-1-11 e-mail from J. Bolam</t>
        </r>
      </text>
    </comment>
    <comment ref="X72" authorId="1">
      <text>
        <r>
          <rPr>
            <b/>
            <sz val="8"/>
            <color indexed="81"/>
            <rFont val="Tahoma"/>
            <family val="2"/>
          </rPr>
          <t>jmoline:</t>
        </r>
        <r>
          <rPr>
            <sz val="8"/>
            <color indexed="81"/>
            <rFont val="Tahoma"/>
            <family val="2"/>
          </rPr>
          <t xml:space="preserve">
values from 3-1-11 e-mail from J. Bolam</t>
        </r>
      </text>
    </comment>
    <comment ref="Y72" authorId="1">
      <text>
        <r>
          <rPr>
            <b/>
            <sz val="8"/>
            <color indexed="81"/>
            <rFont val="Tahoma"/>
            <family val="2"/>
          </rPr>
          <t>jmoline:</t>
        </r>
        <r>
          <rPr>
            <sz val="8"/>
            <color indexed="81"/>
            <rFont val="Tahoma"/>
            <family val="2"/>
          </rPr>
          <t xml:space="preserve">
values from 3-1-11 e-mail from J. Bolam</t>
        </r>
      </text>
    </comment>
    <comment ref="Z72" authorId="1">
      <text>
        <r>
          <rPr>
            <b/>
            <sz val="8"/>
            <color indexed="81"/>
            <rFont val="Tahoma"/>
            <family val="2"/>
          </rPr>
          <t>jmoline:</t>
        </r>
        <r>
          <rPr>
            <sz val="8"/>
            <color indexed="81"/>
            <rFont val="Tahoma"/>
            <family val="2"/>
          </rPr>
          <t xml:space="preserve">
values from 3-1-11 e-mail from J. Bolam</t>
        </r>
      </text>
    </comment>
    <comment ref="AA72" authorId="1">
      <text>
        <r>
          <rPr>
            <b/>
            <sz val="8"/>
            <color indexed="81"/>
            <rFont val="Tahoma"/>
            <family val="2"/>
          </rPr>
          <t>jmoline:</t>
        </r>
        <r>
          <rPr>
            <sz val="8"/>
            <color indexed="81"/>
            <rFont val="Tahoma"/>
            <family val="2"/>
          </rPr>
          <t xml:space="preserve">
values from 3-1-11 e-mail from J. Bolam</t>
        </r>
      </text>
    </comment>
    <comment ref="AB72" authorId="1">
      <text>
        <r>
          <rPr>
            <b/>
            <sz val="8"/>
            <color indexed="81"/>
            <rFont val="Tahoma"/>
            <family val="2"/>
          </rPr>
          <t>jmoline:</t>
        </r>
        <r>
          <rPr>
            <sz val="8"/>
            <color indexed="81"/>
            <rFont val="Tahoma"/>
            <family val="2"/>
          </rPr>
          <t xml:space="preserve">
values from 3-1-11 e-mail from J. Bolam</t>
        </r>
      </text>
    </comment>
    <comment ref="EW72" authorId="1">
      <text>
        <r>
          <rPr>
            <b/>
            <sz val="8"/>
            <color indexed="81"/>
            <rFont val="Tahoma"/>
            <family val="2"/>
          </rPr>
          <t>jmoline:</t>
        </r>
        <r>
          <rPr>
            <sz val="8"/>
            <color indexed="81"/>
            <rFont val="Tahoma"/>
            <family val="2"/>
          </rPr>
          <t xml:space="preserve">
Outlet Meter Reading and Recycle Pump Meter Reading values appear to have been swapped</t>
        </r>
      </text>
    </comment>
    <comment ref="EX72" authorId="1">
      <text>
        <r>
          <rPr>
            <b/>
            <sz val="8"/>
            <color indexed="81"/>
            <rFont val="Tahoma"/>
            <family val="2"/>
          </rPr>
          <t>jmoline:</t>
        </r>
        <r>
          <rPr>
            <sz val="8"/>
            <color indexed="81"/>
            <rFont val="Tahoma"/>
            <family val="2"/>
          </rPr>
          <t xml:space="preserve">
Outlet Meter Reading and Recycle Pump Meter Reading values appear to have been swapped</t>
        </r>
      </text>
    </comment>
    <comment ref="CL73" authorId="1">
      <text>
        <r>
          <rPr>
            <b/>
            <sz val="8"/>
            <color indexed="81"/>
            <rFont val="Tahoma"/>
            <family val="2"/>
          </rPr>
          <t>jmoline:</t>
        </r>
        <r>
          <rPr>
            <sz val="8"/>
            <color indexed="81"/>
            <rFont val="Tahoma"/>
            <family val="2"/>
          </rPr>
          <t xml:space="preserve">
changed from 5.8.7 to 503.9</t>
        </r>
      </text>
    </comment>
    <comment ref="BC75" authorId="1">
      <text>
        <r>
          <rPr>
            <b/>
            <sz val="8"/>
            <color indexed="81"/>
            <rFont val="Tahoma"/>
            <family val="2"/>
          </rPr>
          <t>jmoline:</t>
        </r>
        <r>
          <rPr>
            <sz val="8"/>
            <color indexed="81"/>
            <rFont val="Tahoma"/>
            <family val="2"/>
          </rPr>
          <t xml:space="preserve">
changed from 1.05 to 0.70 per C1 Yesterday Flow (mgal)</t>
        </r>
      </text>
    </comment>
    <comment ref="BD75" authorId="1">
      <text>
        <r>
          <rPr>
            <b/>
            <sz val="8"/>
            <color indexed="81"/>
            <rFont val="Tahoma"/>
            <family val="2"/>
          </rPr>
          <t>jmoline:</t>
        </r>
        <r>
          <rPr>
            <sz val="8"/>
            <color indexed="81"/>
            <rFont val="Tahoma"/>
            <family val="2"/>
          </rPr>
          <t xml:space="preserve">
changed from 0 to 1.05 per C2 Yesterday Flow (mgal)</t>
        </r>
      </text>
    </comment>
    <comment ref="BC76" authorId="1">
      <text>
        <r>
          <rPr>
            <b/>
            <sz val="8"/>
            <color indexed="81"/>
            <rFont val="Tahoma"/>
            <family val="2"/>
          </rPr>
          <t>jmoline:</t>
        </r>
        <r>
          <rPr>
            <sz val="8"/>
            <color indexed="81"/>
            <rFont val="Tahoma"/>
            <family val="2"/>
          </rPr>
          <t xml:space="preserve">
changed from 1.51 to 2.46, the daily average for the CK meter</t>
        </r>
      </text>
    </comment>
    <comment ref="BC77" authorId="1">
      <text>
        <r>
          <rPr>
            <b/>
            <sz val="8"/>
            <color indexed="81"/>
            <rFont val="Tahoma"/>
            <family val="2"/>
          </rPr>
          <t>jmoline:</t>
        </r>
        <r>
          <rPr>
            <sz val="8"/>
            <color indexed="81"/>
            <rFont val="Tahoma"/>
            <family val="2"/>
          </rPr>
          <t xml:space="preserve">
changed from 1.52 to 2.47, the daily average for the CK meter</t>
        </r>
      </text>
    </comment>
    <comment ref="BC78" authorId="1">
      <text>
        <r>
          <rPr>
            <b/>
            <sz val="8"/>
            <color indexed="81"/>
            <rFont val="Tahoma"/>
            <family val="2"/>
          </rPr>
          <t>jmoline:</t>
        </r>
        <r>
          <rPr>
            <sz val="8"/>
            <color indexed="81"/>
            <rFont val="Tahoma"/>
            <family val="2"/>
          </rPr>
          <t xml:space="preserve">
changed from 1.51 to 2.47, the daily average for the CK meter</t>
        </r>
      </text>
    </comment>
    <comment ref="BC79" authorId="1">
      <text>
        <r>
          <rPr>
            <b/>
            <sz val="8"/>
            <color indexed="81"/>
            <rFont val="Tahoma"/>
            <family val="2"/>
          </rPr>
          <t>jmoline:</t>
        </r>
        <r>
          <rPr>
            <sz val="8"/>
            <color indexed="81"/>
            <rFont val="Tahoma"/>
            <family val="2"/>
          </rPr>
          <t xml:space="preserve">
changed from 1.51 to 2.46, the daily average for the CK meter</t>
        </r>
      </text>
    </comment>
    <comment ref="BC80" authorId="1">
      <text>
        <r>
          <rPr>
            <b/>
            <sz val="8"/>
            <color indexed="81"/>
            <rFont val="Tahoma"/>
            <family val="2"/>
          </rPr>
          <t>jmoline:</t>
        </r>
        <r>
          <rPr>
            <sz val="8"/>
            <color indexed="81"/>
            <rFont val="Tahoma"/>
            <family val="2"/>
          </rPr>
          <t xml:space="preserve">
changed from 1.51 to 1.00 per WinCC</t>
        </r>
      </text>
    </comment>
    <comment ref="BD80" authorId="1">
      <text>
        <r>
          <rPr>
            <b/>
            <sz val="8"/>
            <color indexed="81"/>
            <rFont val="Tahoma"/>
            <family val="2"/>
          </rPr>
          <t>jmoline:</t>
        </r>
        <r>
          <rPr>
            <sz val="8"/>
            <color indexed="81"/>
            <rFont val="Tahoma"/>
            <family val="2"/>
          </rPr>
          <t xml:space="preserve">
changed from 0.00 to 1.52 per WinCC</t>
        </r>
      </text>
    </comment>
    <comment ref="BI80" authorId="1">
      <text>
        <r>
          <rPr>
            <b/>
            <sz val="8"/>
            <color indexed="81"/>
            <rFont val="Tahoma"/>
            <family val="2"/>
          </rPr>
          <t>jmoline:</t>
        </r>
        <r>
          <rPr>
            <sz val="8"/>
            <color indexed="81"/>
            <rFont val="Tahoma"/>
            <family val="2"/>
          </rPr>
          <t xml:space="preserve">
changed from 0.03</t>
        </r>
      </text>
    </comment>
    <comment ref="BC81" authorId="1">
      <text>
        <r>
          <rPr>
            <b/>
            <sz val="8"/>
            <color indexed="81"/>
            <rFont val="Tahoma"/>
            <family val="2"/>
          </rPr>
          <t>jmoline:</t>
        </r>
        <r>
          <rPr>
            <sz val="8"/>
            <color indexed="81"/>
            <rFont val="Tahoma"/>
            <family val="2"/>
          </rPr>
          <t xml:space="preserve">
changed from 1.52 to 1.00 per WinCC</t>
        </r>
      </text>
    </comment>
    <comment ref="BD81" authorId="1">
      <text>
        <r>
          <rPr>
            <b/>
            <sz val="8"/>
            <color indexed="81"/>
            <rFont val="Tahoma"/>
            <family val="2"/>
          </rPr>
          <t>jmoline:</t>
        </r>
        <r>
          <rPr>
            <sz val="8"/>
            <color indexed="81"/>
            <rFont val="Tahoma"/>
            <family val="2"/>
          </rPr>
          <t xml:space="preserve">
changed from 0.00 to 1.52 per WinCC</t>
        </r>
      </text>
    </comment>
    <comment ref="BI81" authorId="1">
      <text>
        <r>
          <rPr>
            <b/>
            <sz val="8"/>
            <color indexed="81"/>
            <rFont val="Tahoma"/>
            <family val="2"/>
          </rPr>
          <t>jmoline:</t>
        </r>
        <r>
          <rPr>
            <sz val="8"/>
            <color indexed="81"/>
            <rFont val="Tahoma"/>
            <family val="2"/>
          </rPr>
          <t xml:space="preserve">
changed from 0.03</t>
        </r>
      </text>
    </comment>
    <comment ref="BC82" authorId="1">
      <text>
        <r>
          <rPr>
            <b/>
            <sz val="8"/>
            <color indexed="81"/>
            <rFont val="Tahoma"/>
            <family val="2"/>
          </rPr>
          <t>jmoline:</t>
        </r>
        <r>
          <rPr>
            <sz val="8"/>
            <color indexed="81"/>
            <rFont val="Tahoma"/>
            <family val="2"/>
          </rPr>
          <t xml:space="preserve">
changed from 0.00 to 1.00 per WinCC</t>
        </r>
      </text>
    </comment>
    <comment ref="BD82" authorId="1">
      <text>
        <r>
          <rPr>
            <b/>
            <sz val="8"/>
            <color indexed="81"/>
            <rFont val="Tahoma"/>
            <family val="2"/>
          </rPr>
          <t>jmoline:</t>
        </r>
        <r>
          <rPr>
            <sz val="8"/>
            <color indexed="81"/>
            <rFont val="Tahoma"/>
            <family val="2"/>
          </rPr>
          <t xml:space="preserve">
changed from 1.50 to 1.51 per WinCC</t>
        </r>
      </text>
    </comment>
    <comment ref="BI82" authorId="1">
      <text>
        <r>
          <rPr>
            <b/>
            <sz val="8"/>
            <color indexed="81"/>
            <rFont val="Tahoma"/>
            <family val="2"/>
          </rPr>
          <t>jmoline:</t>
        </r>
        <r>
          <rPr>
            <sz val="8"/>
            <color indexed="81"/>
            <rFont val="Tahoma"/>
            <family val="2"/>
          </rPr>
          <t xml:space="preserve">
changed from 0.03</t>
        </r>
      </text>
    </comment>
    <comment ref="BI83" authorId="1">
      <text>
        <r>
          <rPr>
            <b/>
            <sz val="8"/>
            <color indexed="81"/>
            <rFont val="Tahoma"/>
            <family val="2"/>
          </rPr>
          <t>jmoline:</t>
        </r>
        <r>
          <rPr>
            <sz val="8"/>
            <color indexed="81"/>
            <rFont val="Tahoma"/>
            <family val="2"/>
          </rPr>
          <t xml:space="preserve">
changed from 0.03</t>
        </r>
      </text>
    </comment>
    <comment ref="EX83" authorId="1">
      <text>
        <r>
          <rPr>
            <b/>
            <sz val="8"/>
            <color indexed="81"/>
            <rFont val="Tahoma"/>
            <family val="2"/>
          </rPr>
          <t>jmoline:</t>
        </r>
        <r>
          <rPr>
            <sz val="8"/>
            <color indexed="81"/>
            <rFont val="Tahoma"/>
            <family val="2"/>
          </rPr>
          <t xml:space="preserve">
changed from 100510 to 510</t>
        </r>
      </text>
    </comment>
    <comment ref="BC84" authorId="1">
      <text>
        <r>
          <rPr>
            <b/>
            <sz val="8"/>
            <color indexed="81"/>
            <rFont val="Tahoma"/>
            <family val="2"/>
          </rPr>
          <t>jmoline:</t>
        </r>
        <r>
          <rPr>
            <sz val="8"/>
            <color indexed="81"/>
            <rFont val="Tahoma"/>
            <family val="2"/>
          </rPr>
          <t xml:space="preserve">
changed from 0.01 to 0</t>
        </r>
      </text>
    </comment>
    <comment ref="BI84" authorId="1">
      <text>
        <r>
          <rPr>
            <b/>
            <sz val="8"/>
            <color indexed="81"/>
            <rFont val="Tahoma"/>
            <family val="2"/>
          </rPr>
          <t>jmoline:</t>
        </r>
        <r>
          <rPr>
            <sz val="8"/>
            <color indexed="81"/>
            <rFont val="Tahoma"/>
            <family val="2"/>
          </rPr>
          <t xml:space="preserve">
changed from 0.03</t>
        </r>
      </text>
    </comment>
    <comment ref="BK84" authorId="1">
      <text>
        <r>
          <rPr>
            <b/>
            <sz val="8"/>
            <color indexed="81"/>
            <rFont val="Tahoma"/>
            <family val="2"/>
          </rPr>
          <t>jmoline:</t>
        </r>
        <r>
          <rPr>
            <sz val="8"/>
            <color indexed="81"/>
            <rFont val="Tahoma"/>
            <family val="2"/>
          </rPr>
          <t xml:space="preserve">
changed from 0.05</t>
        </r>
      </text>
    </comment>
    <comment ref="BI85" authorId="1">
      <text>
        <r>
          <rPr>
            <b/>
            <sz val="8"/>
            <color indexed="81"/>
            <rFont val="Tahoma"/>
            <family val="2"/>
          </rPr>
          <t>jmoline:</t>
        </r>
        <r>
          <rPr>
            <sz val="8"/>
            <color indexed="81"/>
            <rFont val="Tahoma"/>
            <family val="2"/>
          </rPr>
          <t xml:space="preserve">
changed from 0.03</t>
        </r>
      </text>
    </comment>
    <comment ref="BI86" authorId="1">
      <text>
        <r>
          <rPr>
            <b/>
            <sz val="8"/>
            <color indexed="81"/>
            <rFont val="Tahoma"/>
            <family val="2"/>
          </rPr>
          <t>jmoline:</t>
        </r>
        <r>
          <rPr>
            <sz val="8"/>
            <color indexed="81"/>
            <rFont val="Tahoma"/>
            <family val="2"/>
          </rPr>
          <t xml:space="preserve">
changed from 0.03</t>
        </r>
      </text>
    </comment>
    <comment ref="CY91" authorId="2">
      <text>
        <r>
          <rPr>
            <b/>
            <sz val="8"/>
            <color indexed="81"/>
            <rFont val="Tahoma"/>
            <family val="2"/>
          </rPr>
          <t>cjohnso2:</t>
        </r>
        <r>
          <rPr>
            <sz val="8"/>
            <color indexed="81"/>
            <rFont val="Tahoma"/>
            <family val="2"/>
          </rPr>
          <t xml:space="preserve">
Entered from COE Website</t>
        </r>
      </text>
    </comment>
    <comment ref="DH92" authorId="1">
      <text>
        <r>
          <rPr>
            <b/>
            <sz val="8"/>
            <color indexed="81"/>
            <rFont val="Tahoma"/>
            <family val="2"/>
          </rPr>
          <t>jmoline:</t>
        </r>
        <r>
          <rPr>
            <sz val="8"/>
            <color indexed="81"/>
            <rFont val="Tahoma"/>
            <family val="2"/>
          </rPr>
          <t xml:space="preserve">
per Arlene</t>
        </r>
      </text>
    </comment>
    <comment ref="DI92" authorId="1">
      <text>
        <r>
          <rPr>
            <b/>
            <sz val="8"/>
            <color indexed="81"/>
            <rFont val="Tahoma"/>
            <family val="2"/>
          </rPr>
          <t>jmoline:</t>
        </r>
        <r>
          <rPr>
            <sz val="8"/>
            <color indexed="81"/>
            <rFont val="Tahoma"/>
            <family val="2"/>
          </rPr>
          <t xml:space="preserve">
per Arlene</t>
        </r>
      </text>
    </comment>
    <comment ref="DJ92" authorId="1">
      <text>
        <r>
          <rPr>
            <b/>
            <sz val="8"/>
            <color indexed="81"/>
            <rFont val="Tahoma"/>
            <family val="2"/>
          </rPr>
          <t>jmoline:</t>
        </r>
        <r>
          <rPr>
            <sz val="8"/>
            <color indexed="81"/>
            <rFont val="Tahoma"/>
            <family val="2"/>
          </rPr>
          <t xml:space="preserve">
per Arlene</t>
        </r>
      </text>
    </comment>
    <comment ref="Q94" authorId="1">
      <text>
        <r>
          <rPr>
            <b/>
            <sz val="8"/>
            <color indexed="81"/>
            <rFont val="Tahoma"/>
            <family val="2"/>
          </rPr>
          <t>jmoline:</t>
        </r>
        <r>
          <rPr>
            <sz val="8"/>
            <color indexed="81"/>
            <rFont val="Tahoma"/>
            <family val="2"/>
          </rPr>
          <t xml:space="preserve">
From: Bolam, Jeff 
Sent: Friday, March 25, 2011 3:20 PM
To: Johnson, Christopher
Cc: Johnson, Ronald; Pederson, Gary
Subject: RE: Operations Report Data
Chris,
That looks like a number generated from R5’s chemical flow meter and it is not real.  I will be deleting that anomalous read from the monthly report we send to DOH.  We are not treating water in R5 and the meters do jump around a quite bit when the reactor is offline.  A better number to use is 0.0 
J bolam
From: Johnson, Christopher 
Sent: Thursday, March 24, 2011 10:08 AM
To: Bolam, Jeff
Cc: Johnson, Christopher
Subject: Operations Report Data
Hi Jeff,
Could you let me know if I need to change this to zero or delete the negative.
3/21/11 – Chlorine Dosage = - 4.61
Thank you,
Christopher Johnson
</t>
        </r>
      </text>
    </comment>
    <comment ref="BB95" authorId="1">
      <text>
        <r>
          <rPr>
            <b/>
            <sz val="8"/>
            <color indexed="81"/>
            <rFont val="Tahoma"/>
            <family val="2"/>
          </rPr>
          <t>jmoline:</t>
        </r>
        <r>
          <rPr>
            <sz val="8"/>
            <color indexed="81"/>
            <rFont val="Tahoma"/>
            <family val="2"/>
          </rPr>
          <t xml:space="preserve">
Auburn B St meter read was 1,921,684 gallons between 3/22 and 3/25.  Auburn took 600 gpm for 48 hours between 3/23 and 3/25</t>
        </r>
      </text>
    </comment>
    <comment ref="BO97" authorId="2">
      <text>
        <r>
          <rPr>
            <b/>
            <sz val="8"/>
            <color indexed="81"/>
            <rFont val="Tahoma"/>
            <family val="2"/>
          </rPr>
          <t>cjohnso2:</t>
        </r>
        <r>
          <rPr>
            <sz val="8"/>
            <color indexed="81"/>
            <rFont val="Tahoma"/>
            <family val="2"/>
          </rPr>
          <t xml:space="preserve">
Changed from 15.9 per WCC
</t>
        </r>
      </text>
    </comment>
    <comment ref="BW99" authorId="1">
      <text>
        <r>
          <rPr>
            <b/>
            <sz val="8"/>
            <color indexed="81"/>
            <rFont val="Tahoma"/>
            <family val="2"/>
          </rPr>
          <t>jmoline:</t>
        </r>
        <r>
          <rPr>
            <sz val="8"/>
            <color indexed="81"/>
            <rFont val="Tahoma"/>
            <family val="2"/>
          </rPr>
          <t xml:space="preserve">
changed from 6.04 to 0.9; 6.04 was a brief spike around 5:30 pm likely due to maintenance of sampling equipment</t>
        </r>
      </text>
    </comment>
    <comment ref="BW100" authorId="1">
      <text>
        <r>
          <rPr>
            <b/>
            <sz val="8"/>
            <color indexed="81"/>
            <rFont val="Tahoma"/>
            <family val="2"/>
          </rPr>
          <t>jmoline:</t>
        </r>
        <r>
          <rPr>
            <sz val="8"/>
            <color indexed="81"/>
            <rFont val="Tahoma"/>
            <family val="2"/>
          </rPr>
          <t xml:space="preserve">
changed from 9.6 to 0.8; 9.6 was a brief spike around 8:30 am likely due to maintenance of sampling equipment</t>
        </r>
      </text>
    </comment>
    <comment ref="AS101" authorId="1">
      <text>
        <r>
          <rPr>
            <b/>
            <sz val="8"/>
            <color indexed="81"/>
            <rFont val="Tahoma"/>
            <family val="2"/>
          </rPr>
          <t>jmoline:</t>
        </r>
        <r>
          <rPr>
            <sz val="8"/>
            <color indexed="81"/>
            <rFont val="Tahoma"/>
            <family val="2"/>
          </rPr>
          <t xml:space="preserve">
changed from o/s to 0 per SCADA, so calculations work properly</t>
        </r>
      </text>
    </comment>
    <comment ref="AS103" authorId="1">
      <text>
        <r>
          <rPr>
            <b/>
            <sz val="8"/>
            <color indexed="81"/>
            <rFont val="Tahoma"/>
            <family val="2"/>
          </rPr>
          <t>jmoline:</t>
        </r>
        <r>
          <rPr>
            <sz val="8"/>
            <color indexed="81"/>
            <rFont val="Tahoma"/>
            <family val="2"/>
          </rPr>
          <t xml:space="preserve">
changed from o/s to 1.1 per SCADA, so calculations work properly</t>
        </r>
      </text>
    </comment>
    <comment ref="DI103" authorId="1">
      <text>
        <r>
          <rPr>
            <b/>
            <sz val="8"/>
            <color indexed="81"/>
            <rFont val="Tahoma"/>
            <family val="2"/>
          </rPr>
          <t>jmoline:</t>
        </r>
        <r>
          <rPr>
            <sz val="8"/>
            <color indexed="81"/>
            <rFont val="Tahoma"/>
            <family val="2"/>
          </rPr>
          <t xml:space="preserve">
changed from 68 to 0.68</t>
        </r>
      </text>
    </comment>
    <comment ref="BT104" authorId="1">
      <text>
        <r>
          <rPr>
            <b/>
            <sz val="8"/>
            <color indexed="81"/>
            <rFont val="Tahoma"/>
            <family val="2"/>
          </rPr>
          <t>jmoline:</t>
        </r>
        <r>
          <rPr>
            <sz val="8"/>
            <color indexed="81"/>
            <rFont val="Tahoma"/>
            <family val="2"/>
          </rPr>
          <t xml:space="preserve">
changed from 17.9 to 27.9 per SCADA</t>
        </r>
      </text>
    </comment>
    <comment ref="BP108" authorId="1">
      <text>
        <r>
          <rPr>
            <b/>
            <sz val="8"/>
            <color indexed="81"/>
            <rFont val="Tahoma"/>
            <family val="2"/>
          </rPr>
          <t>jmoline:</t>
        </r>
        <r>
          <rPr>
            <sz val="8"/>
            <color indexed="81"/>
            <rFont val="Tahoma"/>
            <family val="2"/>
          </rPr>
          <t xml:space="preserve">
changed from 4 to 0 per WinCC</t>
        </r>
      </text>
    </comment>
    <comment ref="BK110" authorId="1">
      <text>
        <r>
          <rPr>
            <b/>
            <sz val="8"/>
            <color indexed="81"/>
            <rFont val="Tahoma"/>
            <family val="2"/>
          </rPr>
          <t>jmoline:</t>
        </r>
        <r>
          <rPr>
            <sz val="8"/>
            <color indexed="81"/>
            <rFont val="Tahoma"/>
            <family val="2"/>
          </rPr>
          <t xml:space="preserve">
Changed from 0.  Per Tom Zawacki, LH planned to open this connection for a few minutes at around 1,400 gpm for a vibration analysis.</t>
        </r>
      </text>
    </comment>
    <comment ref="EK110" authorId="1">
      <text>
        <r>
          <rPr>
            <b/>
            <sz val="8"/>
            <color indexed="81"/>
            <rFont val="Tahoma"/>
            <family val="2"/>
          </rPr>
          <t>jmoline:</t>
        </r>
        <r>
          <rPr>
            <sz val="8"/>
            <color indexed="81"/>
            <rFont val="Tahoma"/>
            <family val="2"/>
          </rPr>
          <t xml:space="preserve">
Tom Zawacki asked to open the L1 connection to about 1400 gpm for two runs of about 5 minutes each, to allow vibration analysis work to proceed.</t>
        </r>
      </text>
    </comment>
    <comment ref="H116" authorId="1">
      <text>
        <r>
          <rPr>
            <b/>
            <sz val="8"/>
            <color indexed="81"/>
            <rFont val="Tahoma"/>
            <family val="2"/>
          </rPr>
          <t>jmoline:</t>
        </r>
        <r>
          <rPr>
            <sz val="8"/>
            <color indexed="81"/>
            <rFont val="Tahoma"/>
            <family val="2"/>
          </rPr>
          <t xml:space="preserve">
changed from 6+.21 to 6.21</t>
        </r>
      </text>
    </comment>
    <comment ref="BB117" authorId="1">
      <text>
        <r>
          <rPr>
            <b/>
            <sz val="8"/>
            <color indexed="81"/>
            <rFont val="Tahoma"/>
            <family val="2"/>
          </rPr>
          <t>jmoline:</t>
        </r>
        <r>
          <rPr>
            <sz val="8"/>
            <color indexed="81"/>
            <rFont val="Tahoma"/>
            <family val="2"/>
          </rPr>
          <t xml:space="preserve">
per Kevin Horn, 8,647 gallons was used at the Auburn 'B' St connection on Wed morning</t>
        </r>
      </text>
    </comment>
    <comment ref="EJ118" authorId="1">
      <text>
        <r>
          <rPr>
            <b/>
            <sz val="8"/>
            <color indexed="81"/>
            <rFont val="Tahoma"/>
            <family val="2"/>
          </rPr>
          <t>jmoline:</t>
        </r>
        <r>
          <rPr>
            <sz val="8"/>
            <color indexed="81"/>
            <rFont val="Tahoma"/>
            <family val="2"/>
          </rPr>
          <t xml:space="preserve">
Our schedule is for 2.5 MGD if second diversion water is available.  If it does not become available between now and next Thursday, we'd like to purchase 1.0 MG on Thursday to displace the two week old water in our transmission main.  Jason, please contact me if you need more information, have questions, etc.  Thanks . . . have a great day.  Mike Amburgey</t>
        </r>
      </text>
    </comment>
    <comment ref="BI122" authorId="1">
      <text>
        <r>
          <rPr>
            <b/>
            <sz val="8"/>
            <color indexed="81"/>
            <rFont val="Tahoma"/>
            <family val="2"/>
          </rPr>
          <t>jmoline:</t>
        </r>
        <r>
          <rPr>
            <sz val="8"/>
            <color indexed="81"/>
            <rFont val="Tahoma"/>
            <family val="2"/>
          </rPr>
          <t xml:space="preserve">
changed from 0.03</t>
        </r>
      </text>
    </comment>
    <comment ref="BI123" authorId="1">
      <text>
        <r>
          <rPr>
            <b/>
            <sz val="8"/>
            <color indexed="81"/>
            <rFont val="Tahoma"/>
            <family val="2"/>
          </rPr>
          <t>jmoline:</t>
        </r>
        <r>
          <rPr>
            <sz val="8"/>
            <color indexed="81"/>
            <rFont val="Tahoma"/>
            <family val="2"/>
          </rPr>
          <t xml:space="preserve">
changed from 0.03</t>
        </r>
      </text>
    </comment>
    <comment ref="AV124" authorId="1">
      <text>
        <r>
          <rPr>
            <b/>
            <sz val="8"/>
            <color indexed="81"/>
            <rFont val="Tahoma"/>
            <family val="2"/>
          </rPr>
          <t>jmoline:</t>
        </r>
        <r>
          <rPr>
            <sz val="8"/>
            <color indexed="81"/>
            <rFont val="Tahoma"/>
            <family val="2"/>
          </rPr>
          <t xml:space="preserve">
changed from 1474.8 to 269.3</t>
        </r>
      </text>
    </comment>
    <comment ref="AW124" authorId="1">
      <text>
        <r>
          <rPr>
            <b/>
            <sz val="8"/>
            <color indexed="81"/>
            <rFont val="Tahoma"/>
            <family val="2"/>
          </rPr>
          <t>jmoline:</t>
        </r>
        <r>
          <rPr>
            <sz val="8"/>
            <color indexed="81"/>
            <rFont val="Tahoma"/>
            <family val="2"/>
          </rPr>
          <t xml:space="preserve">
changed from 1762.8 to 299.8</t>
        </r>
      </text>
    </comment>
    <comment ref="BI124" authorId="1">
      <text>
        <r>
          <rPr>
            <b/>
            <sz val="8"/>
            <color indexed="81"/>
            <rFont val="Tahoma"/>
            <family val="2"/>
          </rPr>
          <t>jmoline:</t>
        </r>
        <r>
          <rPr>
            <sz val="8"/>
            <color indexed="81"/>
            <rFont val="Tahoma"/>
            <family val="2"/>
          </rPr>
          <t xml:space="preserve">
changed from 0.03</t>
        </r>
      </text>
    </comment>
    <comment ref="BI125" authorId="1">
      <text>
        <r>
          <rPr>
            <b/>
            <sz val="8"/>
            <color indexed="81"/>
            <rFont val="Tahoma"/>
            <family val="2"/>
          </rPr>
          <t>jmoline:</t>
        </r>
        <r>
          <rPr>
            <sz val="8"/>
            <color indexed="81"/>
            <rFont val="Tahoma"/>
            <family val="2"/>
          </rPr>
          <t xml:space="preserve">
changed from 0.01</t>
        </r>
      </text>
    </comment>
    <comment ref="CO129" authorId="1">
      <text>
        <r>
          <rPr>
            <b/>
            <sz val="8"/>
            <color indexed="81"/>
            <rFont val="Tahoma"/>
            <family val="2"/>
          </rPr>
          <t>jmoline:</t>
        </r>
        <r>
          <rPr>
            <sz val="8"/>
            <color indexed="81"/>
            <rFont val="Tahoma"/>
            <family val="2"/>
          </rPr>
          <t xml:space="preserve">
Well 2C</t>
        </r>
      </text>
    </comment>
    <comment ref="CO130" authorId="1">
      <text>
        <r>
          <rPr>
            <b/>
            <sz val="8"/>
            <color indexed="81"/>
            <rFont val="Tahoma"/>
            <family val="2"/>
          </rPr>
          <t>jmoline:</t>
        </r>
        <r>
          <rPr>
            <sz val="8"/>
            <color indexed="81"/>
            <rFont val="Tahoma"/>
            <family val="2"/>
          </rPr>
          <t xml:space="preserve">
changed from 1798.9 to 1799.2 per WinCC for Well 2C, which displays as Well TF1</t>
        </r>
      </text>
    </comment>
    <comment ref="CO131" authorId="1">
      <text>
        <r>
          <rPr>
            <b/>
            <sz val="8"/>
            <color indexed="81"/>
            <rFont val="Tahoma"/>
            <family val="2"/>
          </rPr>
          <t>jmoline:</t>
        </r>
        <r>
          <rPr>
            <sz val="8"/>
            <color indexed="81"/>
            <rFont val="Tahoma"/>
            <family val="2"/>
          </rPr>
          <t xml:space="preserve">
changed from 1798.7 to 2116.1 per WinCC</t>
        </r>
      </text>
    </comment>
    <comment ref="CO132" authorId="1">
      <text>
        <r>
          <rPr>
            <b/>
            <sz val="8"/>
            <color indexed="81"/>
            <rFont val="Tahoma"/>
            <family val="2"/>
          </rPr>
          <t>jmoline:</t>
        </r>
        <r>
          <rPr>
            <sz val="8"/>
            <color indexed="81"/>
            <rFont val="Tahoma"/>
            <family val="2"/>
          </rPr>
          <t xml:space="preserve">
changed from 2092.0 to 2101.3 per WinCC</t>
        </r>
      </text>
    </comment>
    <comment ref="BO134" authorId="1">
      <text>
        <r>
          <rPr>
            <b/>
            <sz val="8"/>
            <color indexed="81"/>
            <rFont val="Tahoma"/>
            <family val="2"/>
          </rPr>
          <t>jmoline:</t>
        </r>
        <r>
          <rPr>
            <sz val="8"/>
            <color indexed="81"/>
            <rFont val="Tahoma"/>
            <family val="2"/>
          </rPr>
          <t xml:space="preserve">
changed from 17334.4 to 1728.6 per WinCC</t>
        </r>
      </text>
    </comment>
    <comment ref="BF137" authorId="1">
      <text>
        <r>
          <rPr>
            <b/>
            <sz val="8"/>
            <color indexed="81"/>
            <rFont val="Tahoma"/>
            <family val="2"/>
          </rPr>
          <t>jmoline:</t>
        </r>
        <r>
          <rPr>
            <sz val="8"/>
            <color indexed="81"/>
            <rFont val="Tahoma"/>
            <family val="2"/>
          </rPr>
          <t xml:space="preserve">
changed from 0 to 0.39</t>
        </r>
      </text>
    </comment>
    <comment ref="BM138" authorId="1">
      <text>
        <r>
          <rPr>
            <b/>
            <sz val="8"/>
            <color indexed="81"/>
            <rFont val="Tahoma"/>
            <family val="2"/>
          </rPr>
          <t>jmoline:</t>
        </r>
        <r>
          <rPr>
            <sz val="8"/>
            <color indexed="81"/>
            <rFont val="Tahoma"/>
            <family val="2"/>
          </rPr>
          <t xml:space="preserve">
changed from 0 to 0.06 per WinCC 24-hr average, since LH performed an emergency shutdown test on 5/4/11</t>
        </r>
      </text>
    </comment>
    <comment ref="CG139" authorId="1">
      <text>
        <r>
          <rPr>
            <b/>
            <sz val="8"/>
            <color indexed="81"/>
            <rFont val="Tahoma"/>
            <family val="2"/>
          </rPr>
          <t>jmoline:</t>
        </r>
        <r>
          <rPr>
            <sz val="8"/>
            <color indexed="81"/>
            <rFont val="Tahoma"/>
            <family val="2"/>
          </rPr>
          <t xml:space="preserve">
changed from 1.7 to 318.2 per WinCC 24-hr average</t>
        </r>
      </text>
    </comment>
    <comment ref="CY139" authorId="2">
      <text>
        <r>
          <rPr>
            <b/>
            <sz val="8"/>
            <color indexed="81"/>
            <rFont val="Tahoma"/>
            <family val="2"/>
          </rPr>
          <t>cjohnso2:</t>
        </r>
        <r>
          <rPr>
            <sz val="8"/>
            <color indexed="81"/>
            <rFont val="Tahoma"/>
            <family val="2"/>
          </rPr>
          <t xml:space="preserve">
changed from 1148.41 to an average of Thursday and Saturday
---------------------------------------------------------
Per COE, as of 7 AM the Forebay sensor has not been reading correctly.  Hope to correct by Friday
----------------------------------------------------------
From: Johnson, Christopher 
Sent: Friday, May 06, 2011 11:00 AM
To: Moline, Jason
Cc: McMeen, Chris; George, Glen; Lorenz, Hilary; Volkhardt, Greg; Johnson, Christopher
Subject: Howard Hanson Forebay sensor
Per Adam Price of the COE, their Forebay reading is not correct at the dam, so they have not had accurate information since 7 AM yesterday.  They are hoping to have it restored today.  This issue will affect both the depth and inflow measurements from their website.  Adam recommends taking a linear interpolation once it is corrected.  We will make that adjustment as soon as we know it is correct again.  
Thank you,
Christopher Johnson</t>
        </r>
      </text>
    </comment>
    <comment ref="DH140" authorId="1">
      <text>
        <r>
          <rPr>
            <b/>
            <sz val="8"/>
            <color indexed="81"/>
            <rFont val="Tahoma"/>
            <family val="2"/>
          </rPr>
          <t>jmoline:</t>
        </r>
        <r>
          <rPr>
            <sz val="8"/>
            <color indexed="81"/>
            <rFont val="Tahoma"/>
            <family val="2"/>
          </rPr>
          <t xml:space="preserve">
Per Bob Langdon, there was a mercury spill (?) and this site has not been accessible since 5/6/11.</t>
        </r>
      </text>
    </comment>
    <comment ref="DH141" authorId="1">
      <text>
        <r>
          <rPr>
            <b/>
            <sz val="8"/>
            <color indexed="81"/>
            <rFont val="Tahoma"/>
            <family val="2"/>
          </rPr>
          <t>jmoline:</t>
        </r>
        <r>
          <rPr>
            <sz val="8"/>
            <color indexed="81"/>
            <rFont val="Tahoma"/>
            <family val="2"/>
          </rPr>
          <t xml:space="preserve">
Per Bob Langdon, there was a mercury spill (?) and this site has not been accessible since 5/6/11.</t>
        </r>
      </text>
    </comment>
    <comment ref="DH142" authorId="1">
      <text>
        <r>
          <rPr>
            <b/>
            <sz val="8"/>
            <color indexed="81"/>
            <rFont val="Tahoma"/>
            <family val="2"/>
          </rPr>
          <t>jmoline:</t>
        </r>
        <r>
          <rPr>
            <sz val="8"/>
            <color indexed="81"/>
            <rFont val="Tahoma"/>
            <family val="2"/>
          </rPr>
          <t xml:space="preserve">
Per Bob Langdon, there was a mercury spill (?) and this site has not been accessible since 5/6/11.</t>
        </r>
      </text>
    </comment>
    <comment ref="BK143" authorId="1">
      <text>
        <r>
          <rPr>
            <b/>
            <sz val="8"/>
            <color indexed="81"/>
            <rFont val="Tahoma"/>
            <family val="2"/>
          </rPr>
          <t>jmoline:</t>
        </r>
        <r>
          <rPr>
            <sz val="8"/>
            <color indexed="81"/>
            <rFont val="Tahoma"/>
            <family val="2"/>
          </rPr>
          <t xml:space="preserve">
changed from 51 to 2.75 per WinCC 24-hr average</t>
        </r>
      </text>
    </comment>
    <comment ref="BL143" authorId="1">
      <text>
        <r>
          <rPr>
            <b/>
            <sz val="8"/>
            <color indexed="81"/>
            <rFont val="Tahoma"/>
            <family val="2"/>
          </rPr>
          <t>jmoline:</t>
        </r>
        <r>
          <rPr>
            <sz val="8"/>
            <color indexed="81"/>
            <rFont val="Tahoma"/>
            <family val="2"/>
          </rPr>
          <t xml:space="preserve">
changed from 34 to 3.30 per WinCC 24-hr average</t>
        </r>
      </text>
    </comment>
    <comment ref="DH143" authorId="1">
      <text>
        <r>
          <rPr>
            <b/>
            <sz val="8"/>
            <color indexed="81"/>
            <rFont val="Tahoma"/>
            <family val="2"/>
          </rPr>
          <t>jmoline:</t>
        </r>
        <r>
          <rPr>
            <sz val="8"/>
            <color indexed="81"/>
            <rFont val="Tahoma"/>
            <family val="2"/>
          </rPr>
          <t xml:space="preserve">
Per Bob Langdon, there was a mercury spill (?) and this site has not been accessible since 5/6/11.</t>
        </r>
      </text>
    </comment>
    <comment ref="CX149" authorId="2">
      <text>
        <r>
          <rPr>
            <b/>
            <sz val="8"/>
            <color indexed="81"/>
            <rFont val="Tahoma"/>
            <family val="2"/>
          </rPr>
          <t>cjohnso2:</t>
        </r>
        <r>
          <rPr>
            <sz val="8"/>
            <color indexed="81"/>
            <rFont val="Tahoma"/>
            <family val="2"/>
          </rPr>
          <t xml:space="preserve">
Time did not enter from Macro - took average of 5/15 data downloaded into WCC spreadsheet</t>
        </r>
      </text>
    </comment>
    <comment ref="L150" authorId="2">
      <text>
        <r>
          <rPr>
            <b/>
            <sz val="8"/>
            <color indexed="81"/>
            <rFont val="Tahoma"/>
            <family val="2"/>
          </rPr>
          <t>cjohnso2:</t>
        </r>
        <r>
          <rPr>
            <sz val="8"/>
            <color indexed="81"/>
            <rFont val="Tahoma"/>
            <family val="2"/>
          </rPr>
          <t xml:space="preserve">
Per Jeff Bolam</t>
        </r>
      </text>
    </comment>
    <comment ref="EY150" authorId="2">
      <text>
        <r>
          <rPr>
            <b/>
            <sz val="8"/>
            <color indexed="81"/>
            <rFont val="Tahoma"/>
            <family val="2"/>
          </rPr>
          <t>cjohnso2:</t>
        </r>
        <r>
          <rPr>
            <sz val="8"/>
            <color indexed="81"/>
            <rFont val="Tahoma"/>
            <family val="2"/>
          </rPr>
          <t xml:space="preserve">
North and south were switched</t>
        </r>
      </text>
    </comment>
    <comment ref="EZ150" authorId="2">
      <text>
        <r>
          <rPr>
            <b/>
            <sz val="8"/>
            <color indexed="81"/>
            <rFont val="Tahoma"/>
            <family val="2"/>
          </rPr>
          <t>cjohnso2:</t>
        </r>
        <r>
          <rPr>
            <sz val="8"/>
            <color indexed="81"/>
            <rFont val="Tahoma"/>
            <family val="2"/>
          </rPr>
          <t xml:space="preserve">
North and South were switched</t>
        </r>
      </text>
    </comment>
    <comment ref="BK151" authorId="2">
      <text>
        <r>
          <rPr>
            <b/>
            <sz val="8"/>
            <color indexed="81"/>
            <rFont val="Tahoma"/>
            <family val="2"/>
          </rPr>
          <t>cjohnso2:</t>
        </r>
        <r>
          <rPr>
            <sz val="8"/>
            <color indexed="81"/>
            <rFont val="Tahoma"/>
            <family val="2"/>
          </rPr>
          <t xml:space="preserve">
Change from 0.05 to 0.0</t>
        </r>
      </text>
    </comment>
    <comment ref="BP151" authorId="2">
      <text>
        <r>
          <rPr>
            <b/>
            <sz val="8"/>
            <color indexed="81"/>
            <rFont val="Tahoma"/>
            <family val="2"/>
          </rPr>
          <t>cjohnso2:</t>
        </r>
        <r>
          <rPr>
            <sz val="8"/>
            <color indexed="81"/>
            <rFont val="Tahoma"/>
            <family val="2"/>
          </rPr>
          <t xml:space="preserve">
Maintenance</t>
        </r>
      </text>
    </comment>
    <comment ref="EY151" authorId="2">
      <text>
        <r>
          <rPr>
            <b/>
            <sz val="8"/>
            <color indexed="81"/>
            <rFont val="Tahoma"/>
            <family val="2"/>
          </rPr>
          <t>cjohnso2:</t>
        </r>
        <r>
          <rPr>
            <sz val="8"/>
            <color indexed="81"/>
            <rFont val="Tahoma"/>
            <family val="2"/>
          </rPr>
          <t xml:space="preserve">
Switched from 0 - transposed 1N and 1S</t>
        </r>
      </text>
    </comment>
    <comment ref="EZ151" authorId="2">
      <text>
        <r>
          <rPr>
            <b/>
            <sz val="8"/>
            <color indexed="81"/>
            <rFont val="Tahoma"/>
            <family val="2"/>
          </rPr>
          <t>cjohnso2:</t>
        </r>
        <r>
          <rPr>
            <sz val="8"/>
            <color indexed="81"/>
            <rFont val="Tahoma"/>
            <family val="2"/>
          </rPr>
          <t xml:space="preserve">
Switched from 0 - transposed 1N and 1S</t>
        </r>
      </text>
    </comment>
    <comment ref="BK152" authorId="2">
      <text>
        <r>
          <rPr>
            <b/>
            <sz val="8"/>
            <color indexed="81"/>
            <rFont val="Tahoma"/>
            <family val="2"/>
          </rPr>
          <t>cjohnso2:</t>
        </r>
        <r>
          <rPr>
            <sz val="8"/>
            <color indexed="81"/>
            <rFont val="Tahoma"/>
            <family val="2"/>
          </rPr>
          <t xml:space="preserve">
Changed from 0.05 to 0
</t>
        </r>
      </text>
    </comment>
    <comment ref="BN153" authorId="1">
      <text>
        <r>
          <rPr>
            <b/>
            <sz val="8"/>
            <color indexed="81"/>
            <rFont val="Tahoma"/>
            <family val="2"/>
          </rPr>
          <t>jmoline:</t>
        </r>
        <r>
          <rPr>
            <sz val="8"/>
            <color indexed="81"/>
            <rFont val="Tahoma"/>
            <family val="2"/>
          </rPr>
          <t xml:space="preserve">
value shifted one cell to the left</t>
        </r>
      </text>
    </comment>
    <comment ref="BO153" authorId="1">
      <text>
        <r>
          <rPr>
            <b/>
            <sz val="8"/>
            <color indexed="81"/>
            <rFont val="Tahoma"/>
            <family val="2"/>
          </rPr>
          <t>jmoline:</t>
        </r>
        <r>
          <rPr>
            <sz val="8"/>
            <color indexed="81"/>
            <rFont val="Tahoma"/>
            <family val="2"/>
          </rPr>
          <t xml:space="preserve">
value shifted one cell to the left</t>
        </r>
      </text>
    </comment>
    <comment ref="BP153" authorId="1">
      <text>
        <r>
          <rPr>
            <b/>
            <sz val="8"/>
            <color indexed="81"/>
            <rFont val="Tahoma"/>
            <family val="2"/>
          </rPr>
          <t>jmoline:</t>
        </r>
        <r>
          <rPr>
            <sz val="8"/>
            <color indexed="81"/>
            <rFont val="Tahoma"/>
            <family val="2"/>
          </rPr>
          <t xml:space="preserve">
zero value inserted after shifting original value one cell to the left</t>
        </r>
      </text>
    </comment>
    <comment ref="I154" authorId="1">
      <text>
        <r>
          <rPr>
            <b/>
            <sz val="8"/>
            <color indexed="81"/>
            <rFont val="Tahoma"/>
            <family val="2"/>
          </rPr>
          <t>jmoline:</t>
        </r>
        <r>
          <rPr>
            <sz val="8"/>
            <color indexed="81"/>
            <rFont val="Tahoma"/>
            <family val="2"/>
          </rPr>
          <t xml:space="preserve">
changed from 0 to os</t>
        </r>
      </text>
    </comment>
    <comment ref="W154" authorId="1">
      <text>
        <r>
          <rPr>
            <b/>
            <sz val="8"/>
            <color indexed="81"/>
            <rFont val="Tahoma"/>
            <family val="2"/>
          </rPr>
          <t>jmoline:</t>
        </r>
        <r>
          <rPr>
            <sz val="8"/>
            <color indexed="81"/>
            <rFont val="Tahoma"/>
            <family val="2"/>
          </rPr>
          <t xml:space="preserve">
changed from 32 to 50 per Kelly Peters</t>
        </r>
      </text>
    </comment>
    <comment ref="I155" authorId="1">
      <text>
        <r>
          <rPr>
            <b/>
            <sz val="8"/>
            <color indexed="81"/>
            <rFont val="Tahoma"/>
            <family val="2"/>
          </rPr>
          <t>jmoline:</t>
        </r>
        <r>
          <rPr>
            <sz val="8"/>
            <color indexed="81"/>
            <rFont val="Tahoma"/>
            <family val="2"/>
          </rPr>
          <t xml:space="preserve">
changed from 0 to os</t>
        </r>
      </text>
    </comment>
    <comment ref="W155" authorId="1">
      <text>
        <r>
          <rPr>
            <b/>
            <sz val="8"/>
            <color indexed="81"/>
            <rFont val="Tahoma"/>
            <family val="2"/>
          </rPr>
          <t>jmoline:</t>
        </r>
        <r>
          <rPr>
            <sz val="8"/>
            <color indexed="81"/>
            <rFont val="Tahoma"/>
            <family val="2"/>
          </rPr>
          <t xml:space="preserve">
changed from 32 to 48 per Kelly Peters</t>
        </r>
      </text>
    </comment>
    <comment ref="I156" authorId="1">
      <text>
        <r>
          <rPr>
            <b/>
            <sz val="8"/>
            <color indexed="81"/>
            <rFont val="Tahoma"/>
            <family val="2"/>
          </rPr>
          <t>jmoline:</t>
        </r>
        <r>
          <rPr>
            <sz val="8"/>
            <color indexed="81"/>
            <rFont val="Tahoma"/>
            <family val="2"/>
          </rPr>
          <t xml:space="preserve">
changed from 0 to os</t>
        </r>
      </text>
    </comment>
    <comment ref="W156" authorId="1">
      <text>
        <r>
          <rPr>
            <b/>
            <sz val="8"/>
            <color indexed="81"/>
            <rFont val="Tahoma"/>
            <family val="2"/>
          </rPr>
          <t>jmoline:</t>
        </r>
        <r>
          <rPr>
            <sz val="8"/>
            <color indexed="81"/>
            <rFont val="Tahoma"/>
            <family val="2"/>
          </rPr>
          <t xml:space="preserve">
changed from 44.06 to 47 per Kelly Peters</t>
        </r>
      </text>
    </comment>
    <comment ref="AR158" authorId="1">
      <text>
        <r>
          <rPr>
            <b/>
            <sz val="8"/>
            <color indexed="81"/>
            <rFont val="Tahoma"/>
            <family val="2"/>
          </rPr>
          <t>jmoline:</t>
        </r>
        <r>
          <rPr>
            <sz val="8"/>
            <color indexed="81"/>
            <rFont val="Tahoma"/>
            <family val="2"/>
          </rPr>
          <t xml:space="preserve">
WCC data pasted in from the older version of the Midnight Report</t>
        </r>
      </text>
    </comment>
    <comment ref="EJ161" authorId="1">
      <text>
        <r>
          <rPr>
            <b/>
            <sz val="8"/>
            <color indexed="81"/>
            <rFont val="Tahoma"/>
            <family val="2"/>
          </rPr>
          <t>jmoline:</t>
        </r>
        <r>
          <rPr>
            <sz val="8"/>
            <color indexed="81"/>
            <rFont val="Tahoma"/>
            <family val="2"/>
          </rPr>
          <t xml:space="preserve">
Good morning all.  We'll go with 2.5 MGD when available.  If that doesn't happen before tomorrow, we would like to purchase 1.0 MGD on Friday starting around 8:15 a.m. and shutting down Saturday same time.  The 1.0 MGD / 700 gpm would will be distributed through C-1, C-2, and C-6 so as to clear our transmission mains.  Jason, please let me know if that works for you.  Thanks . . . enjoy your Holiday weekend!  Mike Amburgey  </t>
        </r>
      </text>
    </comment>
    <comment ref="CD162" authorId="1">
      <text>
        <r>
          <rPr>
            <b/>
            <sz val="8"/>
            <color indexed="81"/>
            <rFont val="Tahoma"/>
            <family val="2"/>
          </rPr>
          <t>jmoline:</t>
        </r>
        <r>
          <rPr>
            <sz val="8"/>
            <color indexed="81"/>
            <rFont val="Tahoma"/>
            <family val="2"/>
          </rPr>
          <t xml:space="preserve">
changed from 133.37 to 13.37</t>
        </r>
      </text>
    </comment>
    <comment ref="EJ162" authorId="1">
      <text>
        <r>
          <rPr>
            <b/>
            <sz val="8"/>
            <color indexed="81"/>
            <rFont val="Tahoma"/>
            <family val="2"/>
          </rPr>
          <t>jmoline:</t>
        </r>
        <r>
          <rPr>
            <sz val="8"/>
            <color indexed="81"/>
            <rFont val="Tahoma"/>
            <family val="2"/>
          </rPr>
          <t xml:space="preserve">
Good morning all.  We'll go with 2.5 MGD when available.  If that doesn't happen before tomorrow, we would like to purchase 1.0 MGD on Friday starting around 8:15 a.m. and shutting down Saturday same time.  The 1.0 MGD / 700 gpm would will be distributed through C-1, C-2, and C-6 so as to clear our transmission mains.  Jason, please let me know if that works for you.  Thanks . . . enjoy your Holiday weekend!  Mike Amburgey  </t>
        </r>
      </text>
    </comment>
    <comment ref="BK165" authorId="2">
      <text>
        <r>
          <rPr>
            <b/>
            <sz val="8"/>
            <color indexed="81"/>
            <rFont val="Tahoma"/>
            <family val="2"/>
          </rPr>
          <t>cjohnso2:</t>
        </r>
        <r>
          <rPr>
            <sz val="8"/>
            <color indexed="81"/>
            <rFont val="Tahoma"/>
            <family val="2"/>
          </rPr>
          <t xml:space="preserve">
Correct from 0.05 - Still on NF
</t>
        </r>
      </text>
    </comment>
    <comment ref="BK166" authorId="2">
      <text>
        <r>
          <rPr>
            <b/>
            <sz val="8"/>
            <color indexed="81"/>
            <rFont val="Tahoma"/>
            <family val="2"/>
          </rPr>
          <t>cjohnso2:</t>
        </r>
        <r>
          <rPr>
            <sz val="8"/>
            <color indexed="81"/>
            <rFont val="Tahoma"/>
            <family val="2"/>
          </rPr>
          <t xml:space="preserve">
Changed form 0.04.
</t>
        </r>
      </text>
    </comment>
    <comment ref="AY168" authorId="1">
      <text>
        <r>
          <rPr>
            <b/>
            <sz val="8"/>
            <color indexed="81"/>
            <rFont val="Tahoma"/>
            <family val="2"/>
          </rPr>
          <t>jmoline:</t>
        </r>
        <r>
          <rPr>
            <sz val="8"/>
            <color indexed="81"/>
            <rFont val="Tahoma"/>
            <family val="2"/>
          </rPr>
          <t xml:space="preserve">
changed from 0.42 to 0</t>
        </r>
      </text>
    </comment>
    <comment ref="AZ168" authorId="1">
      <text>
        <r>
          <rPr>
            <b/>
            <sz val="8"/>
            <color indexed="81"/>
            <rFont val="Tahoma"/>
            <family val="2"/>
          </rPr>
          <t>jmoline:</t>
        </r>
        <r>
          <rPr>
            <sz val="8"/>
            <color indexed="81"/>
            <rFont val="Tahoma"/>
            <family val="2"/>
          </rPr>
          <t xml:space="preserve">
changed from 1.64 to 0</t>
        </r>
      </text>
    </comment>
    <comment ref="CD169" authorId="1">
      <text>
        <r>
          <rPr>
            <b/>
            <sz val="8"/>
            <color indexed="81"/>
            <rFont val="Tahoma"/>
            <family val="2"/>
          </rPr>
          <t>jmoline:</t>
        </r>
        <r>
          <rPr>
            <sz val="8"/>
            <color indexed="81"/>
            <rFont val="Tahoma"/>
            <family val="2"/>
          </rPr>
          <t xml:space="preserve">
changed from na to 14.15 per WinCC end of day midnight read</t>
        </r>
      </text>
    </comment>
    <comment ref="AB180" authorId="1">
      <text>
        <r>
          <rPr>
            <b/>
            <sz val="8"/>
            <color indexed="81"/>
            <rFont val="Tahoma"/>
            <family val="2"/>
          </rPr>
          <t>jmoline:</t>
        </r>
        <r>
          <rPr>
            <sz val="8"/>
            <color indexed="81"/>
            <rFont val="Tahoma"/>
            <family val="2"/>
          </rPr>
          <t xml:space="preserve">
changed from 26.85 to 29.91 per WinCC 24-hr average</t>
        </r>
      </text>
    </comment>
    <comment ref="EY180" authorId="1">
      <text>
        <r>
          <rPr>
            <b/>
            <sz val="8"/>
            <color indexed="81"/>
            <rFont val="Tahoma"/>
            <family val="2"/>
          </rPr>
          <t>jmoline:</t>
        </r>
        <r>
          <rPr>
            <sz val="8"/>
            <color indexed="81"/>
            <rFont val="Tahoma"/>
            <family val="2"/>
          </rPr>
          <t xml:space="preserve">
changed from 19044 to 19.44</t>
        </r>
      </text>
    </comment>
    <comment ref="EZ180" authorId="1">
      <text>
        <r>
          <rPr>
            <b/>
            <sz val="8"/>
            <color indexed="81"/>
            <rFont val="Tahoma"/>
            <family val="2"/>
          </rPr>
          <t>jmoline:</t>
        </r>
        <r>
          <rPr>
            <sz val="8"/>
            <color indexed="81"/>
            <rFont val="Tahoma"/>
            <family val="2"/>
          </rPr>
          <t xml:space="preserve">
changed from 19042 to 19.42</t>
        </r>
      </text>
    </comment>
    <comment ref="AB181" authorId="1">
      <text>
        <r>
          <rPr>
            <b/>
            <sz val="8"/>
            <color indexed="81"/>
            <rFont val="Tahoma"/>
            <family val="2"/>
          </rPr>
          <t>jmoline:</t>
        </r>
        <r>
          <rPr>
            <sz val="8"/>
            <color indexed="81"/>
            <rFont val="Tahoma"/>
            <family val="2"/>
          </rPr>
          <t xml:space="preserve">
changed from 32.16 to 29.05 per WinCC 24-hr average</t>
        </r>
      </text>
    </comment>
    <comment ref="BW182" authorId="1">
      <text>
        <r>
          <rPr>
            <b/>
            <sz val="8"/>
            <color indexed="81"/>
            <rFont val="Tahoma"/>
            <family val="2"/>
          </rPr>
          <t>jmoline:</t>
        </r>
        <r>
          <rPr>
            <sz val="8"/>
            <color indexed="81"/>
            <rFont val="Tahoma"/>
            <family val="2"/>
          </rPr>
          <t xml:space="preserve">
changed from 10.00 to 1.81; larger turb spike was likely due to maintenance of sampling equipment</t>
        </r>
      </text>
    </comment>
    <comment ref="CY182" authorId="1">
      <text>
        <r>
          <rPr>
            <b/>
            <sz val="8"/>
            <color indexed="81"/>
            <rFont val="Tahoma"/>
            <family val="2"/>
          </rPr>
          <t>jmoline:</t>
        </r>
        <r>
          <rPr>
            <sz val="8"/>
            <color indexed="81"/>
            <rFont val="Tahoma"/>
            <family val="2"/>
          </rPr>
          <t xml:space="preserve">
changed from -901 to 1167.04</t>
        </r>
      </text>
    </comment>
    <comment ref="AA184" authorId="1">
      <text>
        <r>
          <rPr>
            <b/>
            <sz val="8"/>
            <color indexed="81"/>
            <rFont val="Tahoma"/>
            <family val="2"/>
          </rPr>
          <t>jmoline:</t>
        </r>
        <r>
          <rPr>
            <sz val="8"/>
            <color indexed="81"/>
            <rFont val="Tahoma"/>
            <family val="2"/>
          </rPr>
          <t xml:space="preserve">
changed from -966.70 to 33.36 per WinCC 24-hr average</t>
        </r>
      </text>
    </comment>
    <comment ref="AA185" authorId="1">
      <text>
        <r>
          <rPr>
            <b/>
            <sz val="8"/>
            <color indexed="81"/>
            <rFont val="Tahoma"/>
            <family val="2"/>
          </rPr>
          <t>jmoline:</t>
        </r>
        <r>
          <rPr>
            <sz val="8"/>
            <color indexed="81"/>
            <rFont val="Tahoma"/>
            <family val="2"/>
          </rPr>
          <t xml:space="preserve">
changed from 1033.3 to 33.3</t>
        </r>
      </text>
    </comment>
    <comment ref="CO185" authorId="1">
      <text>
        <r>
          <rPr>
            <b/>
            <sz val="8"/>
            <color indexed="81"/>
            <rFont val="Tahoma"/>
            <family val="2"/>
          </rPr>
          <t>jmoline:</t>
        </r>
        <r>
          <rPr>
            <sz val="8"/>
            <color indexed="81"/>
            <rFont val="Tahoma"/>
            <family val="2"/>
          </rPr>
          <t xml:space="preserve">
converted from mgd to gpm</t>
        </r>
      </text>
    </comment>
    <comment ref="CO186" authorId="2">
      <text>
        <r>
          <rPr>
            <b/>
            <sz val="8"/>
            <color indexed="81"/>
            <rFont val="Tahoma"/>
            <family val="2"/>
          </rPr>
          <t>cjohnso2:
Converted to GPM from 10.79 MGD</t>
        </r>
      </text>
    </comment>
    <comment ref="CO187" authorId="2">
      <text>
        <r>
          <rPr>
            <b/>
            <sz val="8"/>
            <color indexed="81"/>
            <rFont val="Tahoma"/>
            <family val="2"/>
          </rPr>
          <t>cjohnso2:</t>
        </r>
        <r>
          <rPr>
            <sz val="8"/>
            <color indexed="81"/>
            <rFont val="Tahoma"/>
            <family val="2"/>
          </rPr>
          <t xml:space="preserve">
Changed from gpm to MGD</t>
        </r>
      </text>
    </comment>
    <comment ref="AB188" authorId="2">
      <text>
        <r>
          <rPr>
            <b/>
            <sz val="8"/>
            <color indexed="81"/>
            <rFont val="Tahoma"/>
            <family val="2"/>
          </rPr>
          <t>cjohnso2:</t>
        </r>
        <r>
          <rPr>
            <sz val="8"/>
            <color indexed="81"/>
            <rFont val="Tahoma"/>
            <family val="2"/>
          </rPr>
          <t xml:space="preserve">
Changed from 29.90</t>
        </r>
      </text>
    </comment>
    <comment ref="CO188" authorId="2">
      <text>
        <r>
          <rPr>
            <b/>
            <sz val="8"/>
            <color indexed="81"/>
            <rFont val="Tahoma"/>
            <family val="2"/>
          </rPr>
          <t>cjohnso2:</t>
        </r>
        <r>
          <rPr>
            <sz val="8"/>
            <color indexed="81"/>
            <rFont val="Tahoma"/>
            <family val="2"/>
          </rPr>
          <t xml:space="preserve">
Changed form GPM to MGD
</t>
        </r>
      </text>
    </comment>
    <comment ref="AB189" authorId="2">
      <text>
        <r>
          <rPr>
            <b/>
            <sz val="8"/>
            <color indexed="81"/>
            <rFont val="Tahoma"/>
            <family val="2"/>
          </rPr>
          <t>cjohnso2:</t>
        </r>
        <r>
          <rPr>
            <sz val="8"/>
            <color indexed="81"/>
            <rFont val="Tahoma"/>
            <family val="2"/>
          </rPr>
          <t xml:space="preserve">
Changed from 11.40, avg. taken from SCADA</t>
        </r>
      </text>
    </comment>
    <comment ref="CO189" authorId="2">
      <text>
        <r>
          <rPr>
            <b/>
            <sz val="8"/>
            <color indexed="81"/>
            <rFont val="Tahoma"/>
            <family val="2"/>
          </rPr>
          <t>cjohnso2:</t>
        </r>
        <r>
          <rPr>
            <sz val="8"/>
            <color indexed="81"/>
            <rFont val="Tahoma"/>
            <family val="2"/>
          </rPr>
          <t xml:space="preserve">
Changed form GPM to MGD</t>
        </r>
      </text>
    </comment>
    <comment ref="W190" authorId="2">
      <text>
        <r>
          <rPr>
            <b/>
            <sz val="8"/>
            <color indexed="81"/>
            <rFont val="Tahoma"/>
            <family val="2"/>
          </rPr>
          <t>cjohnso2:</t>
        </r>
        <r>
          <rPr>
            <sz val="8"/>
            <color indexed="81"/>
            <rFont val="Tahoma"/>
            <family val="2"/>
          </rPr>
          <t xml:space="preserve">
Per operator 52 degrees, nothing had been entered
</t>
        </r>
      </text>
    </comment>
    <comment ref="BD190" authorId="2">
      <text>
        <r>
          <rPr>
            <b/>
            <sz val="8"/>
            <color indexed="81"/>
            <rFont val="Tahoma"/>
            <family val="2"/>
          </rPr>
          <t>cjohnso2:</t>
        </r>
        <r>
          <rPr>
            <sz val="8"/>
            <color indexed="81"/>
            <rFont val="Tahoma"/>
            <family val="2"/>
          </rPr>
          <t xml:space="preserve">
Changed from 1.02</t>
        </r>
      </text>
    </comment>
    <comment ref="CO190" authorId="2">
      <text>
        <r>
          <rPr>
            <b/>
            <sz val="8"/>
            <color indexed="81"/>
            <rFont val="Tahoma"/>
            <family val="2"/>
          </rPr>
          <t>cjohnso2:</t>
        </r>
        <r>
          <rPr>
            <sz val="8"/>
            <color indexed="81"/>
            <rFont val="Tahoma"/>
            <family val="2"/>
          </rPr>
          <t xml:space="preserve">
Changed form GPM to MGD</t>
        </r>
      </text>
    </comment>
    <comment ref="CO191" authorId="2">
      <text>
        <r>
          <rPr>
            <b/>
            <sz val="8"/>
            <color indexed="81"/>
            <rFont val="Tahoma"/>
            <family val="2"/>
          </rPr>
          <t>cjohnso2:</t>
        </r>
        <r>
          <rPr>
            <sz val="8"/>
            <color indexed="81"/>
            <rFont val="Tahoma"/>
            <family val="2"/>
          </rPr>
          <t xml:space="preserve">
Changed form GPM to MGD</t>
        </r>
      </text>
    </comment>
    <comment ref="BE192" authorId="2">
      <text>
        <r>
          <rPr>
            <b/>
            <sz val="8"/>
            <color indexed="81"/>
            <rFont val="Tahoma"/>
            <family val="2"/>
          </rPr>
          <t>cjohnso2:</t>
        </r>
        <r>
          <rPr>
            <sz val="8"/>
            <color indexed="81"/>
            <rFont val="Tahoma"/>
            <family val="2"/>
          </rPr>
          <t xml:space="preserve">
Moved 0.4 read to C6…not using C3
</t>
        </r>
      </text>
    </comment>
    <comment ref="BE193" authorId="2">
      <text>
        <r>
          <rPr>
            <b/>
            <sz val="8"/>
            <color indexed="81"/>
            <rFont val="Tahoma"/>
            <family val="2"/>
          </rPr>
          <t>cjohnso2:  Moved to C-6.</t>
        </r>
      </text>
    </comment>
    <comment ref="I194" authorId="2">
      <text>
        <r>
          <rPr>
            <b/>
            <sz val="8"/>
            <color indexed="81"/>
            <rFont val="Tahoma"/>
            <family val="2"/>
          </rPr>
          <t>cjohnso2:</t>
        </r>
        <r>
          <rPr>
            <sz val="8"/>
            <color indexed="81"/>
            <rFont val="Tahoma"/>
            <family val="2"/>
          </rPr>
          <t xml:space="preserve">
Operator didn't write it down</t>
        </r>
      </text>
    </comment>
    <comment ref="J194" authorId="2">
      <text>
        <r>
          <rPr>
            <b/>
            <sz val="8"/>
            <color indexed="81"/>
            <rFont val="Tahoma"/>
            <family val="2"/>
          </rPr>
          <t>cjohnso2:</t>
        </r>
        <r>
          <rPr>
            <sz val="8"/>
            <color indexed="81"/>
            <rFont val="Tahoma"/>
            <family val="2"/>
          </rPr>
          <t xml:space="preserve">
Peak from opening valve</t>
        </r>
      </text>
    </comment>
    <comment ref="BE194" authorId="2">
      <text>
        <r>
          <rPr>
            <b/>
            <sz val="8"/>
            <color indexed="81"/>
            <rFont val="Tahoma"/>
            <family val="2"/>
          </rPr>
          <t>cjohnso2:</t>
        </r>
        <r>
          <rPr>
            <sz val="8"/>
            <color indexed="81"/>
            <rFont val="Tahoma"/>
            <family val="2"/>
          </rPr>
          <t xml:space="preserve">
Moved to C6 - 0.5
</t>
        </r>
      </text>
    </comment>
    <comment ref="CO195" authorId="2">
      <text>
        <r>
          <rPr>
            <b/>
            <sz val="8"/>
            <color indexed="81"/>
            <rFont val="Tahoma"/>
            <family val="2"/>
          </rPr>
          <t>cjohnso2:</t>
        </r>
        <r>
          <rPr>
            <sz val="8"/>
            <color indexed="81"/>
            <rFont val="Tahoma"/>
            <family val="2"/>
          </rPr>
          <t xml:space="preserve">
Changed to gpm from MGD
</t>
        </r>
      </text>
    </comment>
    <comment ref="CY197" authorId="1">
      <text>
        <r>
          <rPr>
            <b/>
            <sz val="8"/>
            <color indexed="81"/>
            <rFont val="Tahoma"/>
            <family val="2"/>
          </rPr>
          <t>jmoline:</t>
        </r>
        <r>
          <rPr>
            <sz val="8"/>
            <color indexed="81"/>
            <rFont val="Tahoma"/>
            <family val="2"/>
          </rPr>
          <t xml:space="preserve">
changed from -901 to 1166.65</t>
        </r>
      </text>
    </comment>
    <comment ref="W199" authorId="1">
      <text>
        <r>
          <rPr>
            <b/>
            <sz val="8"/>
            <color indexed="81"/>
            <rFont val="Tahoma"/>
            <family val="2"/>
          </rPr>
          <t>jmoline:</t>
        </r>
        <r>
          <rPr>
            <sz val="8"/>
            <color indexed="81"/>
            <rFont val="Tahoma"/>
            <family val="2"/>
          </rPr>
          <t xml:space="preserve">
Changed from 32 per e-mail below:
From: Johnson, Ronald 
Sent: Thursday, July 07, 2011 6:11 AM
To: Moline, Jason; Bolam, Jeff
Subject: Midnight Report 7/4/11
Jason,
  The water temp for R-1 &amp; R-5 for Monday the 4th  was 11.2
Ron
</t>
        </r>
      </text>
    </comment>
    <comment ref="X199" authorId="1">
      <text>
        <r>
          <rPr>
            <b/>
            <sz val="8"/>
            <color indexed="81"/>
            <rFont val="Tahoma"/>
            <family val="2"/>
          </rPr>
          <t>jmoline:</t>
        </r>
        <r>
          <rPr>
            <sz val="8"/>
            <color indexed="81"/>
            <rFont val="Tahoma"/>
            <family val="2"/>
          </rPr>
          <t xml:space="preserve">
Changed from 32 per e-mail below:
From: Johnson, Ronald 
Sent: Thursday, July 07, 2011 6:11 AM
To: Moline, Jason; Bolam, Jeff
Subject: Midnight Report 7/4/11
Jason,
  The water temp for R-1 &amp; R-5 for Monday the 4th  was 11.2
Ron
</t>
        </r>
      </text>
    </comment>
    <comment ref="BK199" authorId="1">
      <text>
        <r>
          <rPr>
            <b/>
            <sz val="8"/>
            <color indexed="81"/>
            <rFont val="Tahoma"/>
            <family val="2"/>
          </rPr>
          <t>jmoline:</t>
        </r>
        <r>
          <rPr>
            <sz val="8"/>
            <color indexed="81"/>
            <rFont val="Tahoma"/>
            <family val="2"/>
          </rPr>
          <t xml:space="preserve">
changed from 3.82 to 3.86 per Report P5 Supply Trend</t>
        </r>
      </text>
    </comment>
    <comment ref="BL199" authorId="1">
      <text>
        <r>
          <rPr>
            <b/>
            <sz val="8"/>
            <color indexed="81"/>
            <rFont val="Tahoma"/>
            <family val="2"/>
          </rPr>
          <t>jmoline:</t>
        </r>
        <r>
          <rPr>
            <sz val="8"/>
            <color indexed="81"/>
            <rFont val="Tahoma"/>
            <family val="2"/>
          </rPr>
          <t xml:space="preserve">
changed from 3.25 to 4.69 per Report P5 Supply Trend</t>
        </r>
      </text>
    </comment>
    <comment ref="BK200" authorId="1">
      <text>
        <r>
          <rPr>
            <b/>
            <sz val="8"/>
            <color indexed="81"/>
            <rFont val="Tahoma"/>
            <family val="2"/>
          </rPr>
          <t>jmoline:</t>
        </r>
        <r>
          <rPr>
            <sz val="8"/>
            <color indexed="81"/>
            <rFont val="Tahoma"/>
            <family val="2"/>
          </rPr>
          <t xml:space="preserve">
changed from 3.83 to 3.85 per Report P5 Supply Trend</t>
        </r>
      </text>
    </comment>
    <comment ref="BL200" authorId="1">
      <text>
        <r>
          <rPr>
            <b/>
            <sz val="8"/>
            <color indexed="81"/>
            <rFont val="Tahoma"/>
            <family val="2"/>
          </rPr>
          <t>jmoline:</t>
        </r>
        <r>
          <rPr>
            <sz val="8"/>
            <color indexed="81"/>
            <rFont val="Tahoma"/>
            <family val="2"/>
          </rPr>
          <t xml:space="preserve">
changed from 3.25 to 4.69 per Report P5 Supply Trend</t>
        </r>
      </text>
    </comment>
    <comment ref="BK201" authorId="1">
      <text>
        <r>
          <rPr>
            <b/>
            <sz val="8"/>
            <color indexed="81"/>
            <rFont val="Tahoma"/>
            <family val="2"/>
          </rPr>
          <t>jmoline:</t>
        </r>
        <r>
          <rPr>
            <sz val="8"/>
            <color indexed="81"/>
            <rFont val="Tahoma"/>
            <family val="2"/>
          </rPr>
          <t xml:space="preserve">
changed from 3.81 to 3.85 per Report P5 Supply Trend</t>
        </r>
      </text>
    </comment>
    <comment ref="BL201" authorId="1">
      <text>
        <r>
          <rPr>
            <b/>
            <sz val="8"/>
            <color indexed="81"/>
            <rFont val="Tahoma"/>
            <family val="2"/>
          </rPr>
          <t>jmoline:</t>
        </r>
        <r>
          <rPr>
            <sz val="8"/>
            <color indexed="81"/>
            <rFont val="Tahoma"/>
            <family val="2"/>
          </rPr>
          <t xml:space="preserve">
changed from 3.25 to 4.69 per Report P5 Supply Trend</t>
        </r>
      </text>
    </comment>
    <comment ref="BK202" authorId="1">
      <text>
        <r>
          <rPr>
            <b/>
            <sz val="8"/>
            <color indexed="81"/>
            <rFont val="Tahoma"/>
            <family val="2"/>
          </rPr>
          <t>jmoline:</t>
        </r>
        <r>
          <rPr>
            <sz val="8"/>
            <color indexed="81"/>
            <rFont val="Tahoma"/>
            <family val="2"/>
          </rPr>
          <t xml:space="preserve">
changed from 3.82 to 3.86 per Report P5 Supply Trend</t>
        </r>
      </text>
    </comment>
    <comment ref="BL202" authorId="1">
      <text>
        <r>
          <rPr>
            <b/>
            <sz val="8"/>
            <color indexed="81"/>
            <rFont val="Tahoma"/>
            <family val="2"/>
          </rPr>
          <t>jmoline:</t>
        </r>
        <r>
          <rPr>
            <sz val="8"/>
            <color indexed="81"/>
            <rFont val="Tahoma"/>
            <family val="2"/>
          </rPr>
          <t xml:space="preserve">
changed from 3.25 to 4.69 per Report P5 Supply Trend</t>
        </r>
      </text>
    </comment>
    <comment ref="BF203" authorId="2">
      <text>
        <r>
          <rPr>
            <b/>
            <sz val="8"/>
            <color indexed="81"/>
            <rFont val="Tahoma"/>
            <family val="2"/>
          </rPr>
          <t>cjohnso2:</t>
        </r>
        <r>
          <rPr>
            <sz val="8"/>
            <color indexed="81"/>
            <rFont val="Tahoma"/>
            <family val="2"/>
          </rPr>
          <t xml:space="preserve">
From WinCC Average of C6
</t>
        </r>
      </text>
    </comment>
    <comment ref="BL203" authorId="2">
      <text>
        <r>
          <rPr>
            <b/>
            <sz val="8"/>
            <color indexed="81"/>
            <rFont val="Tahoma"/>
            <family val="2"/>
          </rPr>
          <t>cjohnso2:</t>
        </r>
        <r>
          <rPr>
            <sz val="8"/>
            <color indexed="81"/>
            <rFont val="Tahoma"/>
            <family val="2"/>
          </rPr>
          <t xml:space="preserve">
changed from 3.75 using WinCC Average for LUD2 Flow to 5.05</t>
        </r>
      </text>
    </comment>
    <comment ref="FL203" authorId="2">
      <text>
        <r>
          <rPr>
            <b/>
            <sz val="8"/>
            <color indexed="81"/>
            <rFont val="Tahoma"/>
            <family val="2"/>
          </rPr>
          <t>cjohnso2:</t>
        </r>
        <r>
          <rPr>
            <sz val="8"/>
            <color indexed="81"/>
            <rFont val="Tahoma"/>
            <family val="2"/>
          </rPr>
          <t xml:space="preserve">
Changed per Dave R. from 8.93
</t>
        </r>
      </text>
    </comment>
    <comment ref="Z204" authorId="2">
      <text>
        <r>
          <rPr>
            <b/>
            <sz val="8"/>
            <color indexed="81"/>
            <rFont val="Tahoma"/>
            <family val="2"/>
          </rPr>
          <t>cjohnso2:</t>
        </r>
        <r>
          <rPr>
            <sz val="8"/>
            <color indexed="81"/>
            <rFont val="Tahoma"/>
            <family val="2"/>
          </rPr>
          <t xml:space="preserve">
Originally 
16.82</t>
        </r>
      </text>
    </comment>
    <comment ref="AS204" authorId="2">
      <text>
        <r>
          <rPr>
            <b/>
            <sz val="8"/>
            <color indexed="81"/>
            <rFont val="Tahoma"/>
            <family val="2"/>
          </rPr>
          <t>cjohnso2:</t>
        </r>
        <r>
          <rPr>
            <sz val="8"/>
            <color indexed="81"/>
            <rFont val="Tahoma"/>
            <family val="2"/>
          </rPr>
          <t xml:space="preserve">
Changed from 112.60.</t>
        </r>
      </text>
    </comment>
    <comment ref="BF204" authorId="2">
      <text>
        <r>
          <rPr>
            <b/>
            <sz val="8"/>
            <color indexed="81"/>
            <rFont val="Tahoma"/>
            <family val="2"/>
          </rPr>
          <t>cjohnso2:</t>
        </r>
        <r>
          <rPr>
            <sz val="8"/>
            <color indexed="81"/>
            <rFont val="Tahoma"/>
            <family val="2"/>
          </rPr>
          <t xml:space="preserve">
changed from 0 to WinCC Average</t>
        </r>
      </text>
    </comment>
    <comment ref="BK204" authorId="2">
      <text>
        <r>
          <rPr>
            <b/>
            <sz val="8"/>
            <color indexed="81"/>
            <rFont val="Tahoma"/>
            <family val="2"/>
          </rPr>
          <t>cjohnso2:</t>
        </r>
        <r>
          <rPr>
            <sz val="8"/>
            <color indexed="81"/>
            <rFont val="Tahoma"/>
            <family val="2"/>
          </rPr>
          <t xml:space="preserve">
changed from 4.32 to 4.36 per WinCC Trend for LUD1</t>
        </r>
      </text>
    </comment>
    <comment ref="BL204" authorId="2">
      <text>
        <r>
          <rPr>
            <b/>
            <sz val="8"/>
            <color indexed="81"/>
            <rFont val="Tahoma"/>
            <family val="2"/>
          </rPr>
          <t>cjohnso2:</t>
        </r>
        <r>
          <rPr>
            <sz val="8"/>
            <color indexed="81"/>
            <rFont val="Tahoma"/>
            <family val="2"/>
          </rPr>
          <t xml:space="preserve">
Changed from 3.75  to 5.20 using WinCC trend</t>
        </r>
      </text>
    </comment>
    <comment ref="DI205" authorId="1">
      <text>
        <r>
          <rPr>
            <b/>
            <sz val="8"/>
            <color indexed="81"/>
            <rFont val="Tahoma"/>
            <family val="2"/>
          </rPr>
          <t>jmoline:</t>
        </r>
        <r>
          <rPr>
            <sz val="8"/>
            <color indexed="81"/>
            <rFont val="Tahoma"/>
            <family val="2"/>
          </rPr>
          <t xml:space="preserve">
changed from 33 to 0.33</t>
        </r>
      </text>
    </comment>
    <comment ref="AV206" authorId="2">
      <text>
        <r>
          <rPr>
            <b/>
            <sz val="8"/>
            <color indexed="81"/>
            <rFont val="Tahoma"/>
            <family val="2"/>
          </rPr>
          <t>cjohnso2:</t>
        </r>
        <r>
          <rPr>
            <sz val="8"/>
            <color indexed="81"/>
            <rFont val="Tahoma"/>
            <family val="2"/>
          </rPr>
          <t xml:space="preserve">
Operator included maximum  of 1551.3 not average</t>
        </r>
      </text>
    </comment>
    <comment ref="AW206" authorId="2">
      <text>
        <r>
          <rPr>
            <b/>
            <sz val="8"/>
            <color indexed="81"/>
            <rFont val="Tahoma"/>
            <family val="2"/>
          </rPr>
          <t>cjohnso2:</t>
        </r>
        <r>
          <rPr>
            <sz val="8"/>
            <color indexed="81"/>
            <rFont val="Tahoma"/>
            <family val="2"/>
          </rPr>
          <t xml:space="preserve">
Changed from maximum 2056.8 to average </t>
        </r>
      </text>
    </comment>
    <comment ref="AX206" authorId="2">
      <text>
        <r>
          <rPr>
            <b/>
            <sz val="8"/>
            <color indexed="81"/>
            <rFont val="Tahoma"/>
            <family val="2"/>
          </rPr>
          <t>cjohnso2:</t>
        </r>
        <r>
          <rPr>
            <sz val="8"/>
            <color indexed="81"/>
            <rFont val="Tahoma"/>
            <family val="2"/>
          </rPr>
          <t xml:space="preserve">
Changed from mzx of 
334.30 to average
</t>
        </r>
      </text>
    </comment>
    <comment ref="CW206" authorId="2">
      <text>
        <r>
          <rPr>
            <b/>
            <sz val="8"/>
            <color indexed="81"/>
            <rFont val="Tahoma"/>
            <family val="2"/>
          </rPr>
          <t>cjohnso2:</t>
        </r>
        <r>
          <rPr>
            <sz val="8"/>
            <color indexed="81"/>
            <rFont val="Tahoma"/>
            <family val="2"/>
          </rPr>
          <t xml:space="preserve">
Pulled from USGS Real-time Site</t>
        </r>
      </text>
    </comment>
    <comment ref="CX206" authorId="2">
      <text>
        <r>
          <rPr>
            <b/>
            <sz val="8"/>
            <color indexed="81"/>
            <rFont val="Tahoma"/>
            <family val="2"/>
          </rPr>
          <t>cjohnso2:</t>
        </r>
        <r>
          <rPr>
            <sz val="8"/>
            <color indexed="81"/>
            <rFont val="Tahoma"/>
            <family val="2"/>
          </rPr>
          <t xml:space="preserve">
Pulled from USGS website real-time</t>
        </r>
      </text>
    </comment>
    <comment ref="CY206" authorId="2">
      <text>
        <r>
          <rPr>
            <b/>
            <sz val="8"/>
            <color indexed="81"/>
            <rFont val="Tahoma"/>
            <family val="2"/>
          </rPr>
          <t>cjohnso2:</t>
        </r>
        <r>
          <rPr>
            <sz val="8"/>
            <color indexed="81"/>
            <rFont val="Tahoma"/>
            <family val="2"/>
          </rPr>
          <t xml:space="preserve">
Pulled from COE HH</t>
        </r>
      </text>
    </comment>
    <comment ref="EF209" authorId="2">
      <text>
        <r>
          <rPr>
            <b/>
            <sz val="8"/>
            <color indexed="81"/>
            <rFont val="Tahoma"/>
            <family val="2"/>
          </rPr>
          <t>cjohnso2:</t>
        </r>
        <r>
          <rPr>
            <sz val="8"/>
            <color indexed="81"/>
            <rFont val="Tahoma"/>
            <family val="2"/>
          </rPr>
          <t xml:space="preserve">
Covington requested a change down of 0.5.  Changing from 2.5 to 2.0.  Tacoma is taking the extra.</t>
        </r>
      </text>
    </comment>
    <comment ref="BI210" authorId="2">
      <text>
        <r>
          <rPr>
            <b/>
            <sz val="8"/>
            <color indexed="81"/>
            <rFont val="Tahoma"/>
            <family val="2"/>
          </rPr>
          <t>cjohnso2:</t>
        </r>
        <r>
          <rPr>
            <sz val="8"/>
            <color indexed="81"/>
            <rFont val="Tahoma"/>
            <family val="2"/>
          </rPr>
          <t xml:space="preserve">
Changed from 1.02…1.58 was placed in the FCF totalizer
</t>
        </r>
      </text>
    </comment>
    <comment ref="BJ210" authorId="2">
      <text>
        <r>
          <rPr>
            <b/>
            <sz val="8"/>
            <color indexed="81"/>
            <rFont val="Tahoma"/>
            <family val="2"/>
          </rPr>
          <t>cjohnso2:</t>
        </r>
        <r>
          <rPr>
            <sz val="8"/>
            <color indexed="81"/>
            <rFont val="Tahoma"/>
            <family val="2"/>
          </rPr>
          <t xml:space="preserve">
Changed from 1.58
</t>
        </r>
      </text>
    </comment>
    <comment ref="BF213" authorId="1">
      <text>
        <r>
          <rPr>
            <b/>
            <sz val="8"/>
            <color indexed="81"/>
            <rFont val="Tahoma"/>
            <family val="2"/>
          </rPr>
          <t>jmoline:</t>
        </r>
        <r>
          <rPr>
            <sz val="8"/>
            <color indexed="81"/>
            <rFont val="Tahoma"/>
            <family val="2"/>
          </rPr>
          <t xml:space="preserve">
values for C6 and K1 were switched</t>
        </r>
      </text>
    </comment>
    <comment ref="BG213" authorId="1">
      <text>
        <r>
          <rPr>
            <b/>
            <sz val="8"/>
            <color indexed="81"/>
            <rFont val="Tahoma"/>
            <family val="2"/>
          </rPr>
          <t>jmoline:</t>
        </r>
        <r>
          <rPr>
            <sz val="8"/>
            <color indexed="81"/>
            <rFont val="Tahoma"/>
            <family val="2"/>
          </rPr>
          <t xml:space="preserve">
values for C6 and K1 were switched</t>
        </r>
      </text>
    </comment>
    <comment ref="BH213" authorId="1">
      <text>
        <r>
          <rPr>
            <b/>
            <sz val="8"/>
            <color indexed="81"/>
            <rFont val="Tahoma"/>
            <family val="2"/>
          </rPr>
          <t>jmoline:</t>
        </r>
        <r>
          <rPr>
            <sz val="8"/>
            <color indexed="81"/>
            <rFont val="Tahoma"/>
            <family val="2"/>
          </rPr>
          <t xml:space="preserve">
values for K3 and K2 were switched</t>
        </r>
      </text>
    </comment>
    <comment ref="BI213" authorId="1">
      <text>
        <r>
          <rPr>
            <b/>
            <sz val="8"/>
            <color indexed="81"/>
            <rFont val="Tahoma"/>
            <family val="2"/>
          </rPr>
          <t>jmoline:</t>
        </r>
        <r>
          <rPr>
            <sz val="8"/>
            <color indexed="81"/>
            <rFont val="Tahoma"/>
            <family val="2"/>
          </rPr>
          <t xml:space="preserve">
values for K3 and K2 were switched</t>
        </r>
      </text>
    </comment>
    <comment ref="BG214" authorId="1">
      <text>
        <r>
          <rPr>
            <b/>
            <sz val="8"/>
            <color indexed="81"/>
            <rFont val="Tahoma"/>
            <family val="2"/>
          </rPr>
          <t>jmoline:</t>
        </r>
        <r>
          <rPr>
            <sz val="8"/>
            <color indexed="81"/>
            <rFont val="Tahoma"/>
            <family val="2"/>
          </rPr>
          <t xml:space="preserve">
values for K1 and K3 were switched</t>
        </r>
      </text>
    </comment>
    <comment ref="BI214" authorId="1">
      <text>
        <r>
          <rPr>
            <b/>
            <sz val="8"/>
            <color indexed="81"/>
            <rFont val="Tahoma"/>
            <family val="2"/>
          </rPr>
          <t>jmoline:</t>
        </r>
        <r>
          <rPr>
            <sz val="8"/>
            <color indexed="81"/>
            <rFont val="Tahoma"/>
            <family val="2"/>
          </rPr>
          <t xml:space="preserve">
values for K1 and K3 were switched</t>
        </r>
      </text>
    </comment>
    <comment ref="CN214" authorId="1">
      <text>
        <r>
          <rPr>
            <b/>
            <sz val="8"/>
            <color indexed="81"/>
            <rFont val="Tahoma"/>
            <family val="2"/>
          </rPr>
          <t>jmoline:</t>
        </r>
        <r>
          <rPr>
            <sz val="8"/>
            <color indexed="81"/>
            <rFont val="Tahoma"/>
            <family val="2"/>
          </rPr>
          <t xml:space="preserve">
changed from 34.1 to 1.38</t>
        </r>
      </text>
    </comment>
    <comment ref="DT214" authorId="1">
      <text>
        <r>
          <rPr>
            <b/>
            <sz val="8"/>
            <color indexed="81"/>
            <rFont val="Tahoma"/>
            <family val="2"/>
          </rPr>
          <t>jmoline:</t>
        </r>
        <r>
          <rPr>
            <sz val="8"/>
            <color indexed="81"/>
            <rFont val="Tahoma"/>
            <family val="2"/>
          </rPr>
          <t xml:space="preserve">
33.8*2-19*3=11</t>
        </r>
      </text>
    </comment>
    <comment ref="BG215" authorId="1">
      <text>
        <r>
          <rPr>
            <b/>
            <sz val="8"/>
            <color indexed="81"/>
            <rFont val="Tahoma"/>
            <family val="2"/>
          </rPr>
          <t>jmoline:</t>
        </r>
        <r>
          <rPr>
            <sz val="8"/>
            <color indexed="81"/>
            <rFont val="Tahoma"/>
            <family val="2"/>
          </rPr>
          <t xml:space="preserve">
values for K1 and K3 were switched</t>
        </r>
      </text>
    </comment>
    <comment ref="BI215" authorId="1">
      <text>
        <r>
          <rPr>
            <b/>
            <sz val="8"/>
            <color indexed="81"/>
            <rFont val="Tahoma"/>
            <family val="2"/>
          </rPr>
          <t>jmoline:</t>
        </r>
        <r>
          <rPr>
            <sz val="8"/>
            <color indexed="81"/>
            <rFont val="Tahoma"/>
            <family val="2"/>
          </rPr>
          <t xml:space="preserve">
values for K1 and K3 were switched</t>
        </r>
      </text>
    </comment>
    <comment ref="BG216" authorId="1">
      <text>
        <r>
          <rPr>
            <b/>
            <sz val="8"/>
            <color indexed="81"/>
            <rFont val="Tahoma"/>
            <family val="2"/>
          </rPr>
          <t>jmoline:</t>
        </r>
        <r>
          <rPr>
            <sz val="8"/>
            <color indexed="81"/>
            <rFont val="Tahoma"/>
            <family val="2"/>
          </rPr>
          <t xml:space="preserve">
values for K1 and K3 were switched</t>
        </r>
      </text>
    </comment>
    <comment ref="BI216" authorId="1">
      <text>
        <r>
          <rPr>
            <b/>
            <sz val="8"/>
            <color indexed="81"/>
            <rFont val="Tahoma"/>
            <family val="2"/>
          </rPr>
          <t>jmoline:</t>
        </r>
        <r>
          <rPr>
            <sz val="8"/>
            <color indexed="81"/>
            <rFont val="Tahoma"/>
            <family val="2"/>
          </rPr>
          <t xml:space="preserve">
values for K1 and K3 were switched</t>
        </r>
      </text>
    </comment>
    <comment ref="CV216" authorId="1">
      <text>
        <r>
          <rPr>
            <b/>
            <sz val="8"/>
            <color indexed="81"/>
            <rFont val="Tahoma"/>
            <family val="2"/>
          </rPr>
          <t>jmoline:</t>
        </r>
        <r>
          <rPr>
            <sz val="8"/>
            <color indexed="81"/>
            <rFont val="Tahoma"/>
            <family val="2"/>
          </rPr>
          <t xml:space="preserve">
revised WCC Sheet and entered data on 7/25/11</t>
        </r>
      </text>
    </comment>
    <comment ref="CW216" authorId="1">
      <text>
        <r>
          <rPr>
            <b/>
            <sz val="8"/>
            <color indexed="81"/>
            <rFont val="Tahoma"/>
            <family val="2"/>
          </rPr>
          <t>jmoline:</t>
        </r>
        <r>
          <rPr>
            <sz val="8"/>
            <color indexed="81"/>
            <rFont val="Tahoma"/>
            <family val="2"/>
          </rPr>
          <t xml:space="preserve">
revised WCC Sheet and entered data on 7/25/11</t>
        </r>
      </text>
    </comment>
    <comment ref="CX216" authorId="1">
      <text>
        <r>
          <rPr>
            <b/>
            <sz val="8"/>
            <color indexed="81"/>
            <rFont val="Tahoma"/>
            <family val="2"/>
          </rPr>
          <t>jmoline:</t>
        </r>
        <r>
          <rPr>
            <sz val="8"/>
            <color indexed="81"/>
            <rFont val="Tahoma"/>
            <family val="2"/>
          </rPr>
          <t xml:space="preserve">
revised WCC Sheet and entered data on 7/25/11</t>
        </r>
      </text>
    </comment>
    <comment ref="BG217" authorId="1">
      <text>
        <r>
          <rPr>
            <b/>
            <sz val="8"/>
            <color indexed="81"/>
            <rFont val="Tahoma"/>
            <family val="2"/>
          </rPr>
          <t>jmoline:</t>
        </r>
        <r>
          <rPr>
            <sz val="8"/>
            <color indexed="81"/>
            <rFont val="Tahoma"/>
            <family val="2"/>
          </rPr>
          <t xml:space="preserve">
values for K1 and K3 were switched</t>
        </r>
      </text>
    </comment>
    <comment ref="BI217" authorId="1">
      <text>
        <r>
          <rPr>
            <b/>
            <sz val="8"/>
            <color indexed="81"/>
            <rFont val="Tahoma"/>
            <family val="2"/>
          </rPr>
          <t>jmoline:</t>
        </r>
        <r>
          <rPr>
            <sz val="8"/>
            <color indexed="81"/>
            <rFont val="Tahoma"/>
            <family val="2"/>
          </rPr>
          <t xml:space="preserve">
values for K1 and K3 were switched</t>
        </r>
      </text>
    </comment>
    <comment ref="CV217" authorId="1">
      <text>
        <r>
          <rPr>
            <b/>
            <sz val="8"/>
            <color indexed="81"/>
            <rFont val="Tahoma"/>
            <family val="2"/>
          </rPr>
          <t>jmoline:</t>
        </r>
        <r>
          <rPr>
            <sz val="8"/>
            <color indexed="81"/>
            <rFont val="Tahoma"/>
            <family val="2"/>
          </rPr>
          <t xml:space="preserve">
revised WCC Sheet and entered data on 7/25/11</t>
        </r>
      </text>
    </comment>
    <comment ref="CW217" authorId="1">
      <text>
        <r>
          <rPr>
            <b/>
            <sz val="8"/>
            <color indexed="81"/>
            <rFont val="Tahoma"/>
            <family val="2"/>
          </rPr>
          <t>jmoline:</t>
        </r>
        <r>
          <rPr>
            <sz val="8"/>
            <color indexed="81"/>
            <rFont val="Tahoma"/>
            <family val="2"/>
          </rPr>
          <t xml:space="preserve">
revised WCC Sheet and entered data on 7/25/11</t>
        </r>
      </text>
    </comment>
    <comment ref="CX217" authorId="1">
      <text>
        <r>
          <rPr>
            <b/>
            <sz val="8"/>
            <color indexed="81"/>
            <rFont val="Tahoma"/>
            <family val="2"/>
          </rPr>
          <t>jmoline:</t>
        </r>
        <r>
          <rPr>
            <sz val="8"/>
            <color indexed="81"/>
            <rFont val="Tahoma"/>
            <family val="2"/>
          </rPr>
          <t xml:space="preserve">
revised WCC Sheet and entered data on 7/25/11</t>
        </r>
      </text>
    </comment>
    <comment ref="BG218" authorId="1">
      <text>
        <r>
          <rPr>
            <b/>
            <sz val="8"/>
            <color indexed="81"/>
            <rFont val="Tahoma"/>
            <family val="2"/>
          </rPr>
          <t>jmoline:</t>
        </r>
        <r>
          <rPr>
            <sz val="8"/>
            <color indexed="81"/>
            <rFont val="Tahoma"/>
            <family val="2"/>
          </rPr>
          <t xml:space="preserve">
values for K1 and K3 were switched</t>
        </r>
      </text>
    </comment>
    <comment ref="BI218" authorId="1">
      <text>
        <r>
          <rPr>
            <b/>
            <sz val="8"/>
            <color indexed="81"/>
            <rFont val="Tahoma"/>
            <family val="2"/>
          </rPr>
          <t>jmoline:</t>
        </r>
        <r>
          <rPr>
            <sz val="8"/>
            <color indexed="81"/>
            <rFont val="Tahoma"/>
            <family val="2"/>
          </rPr>
          <t xml:space="preserve">
values for K1 and K3 were switched</t>
        </r>
      </text>
    </comment>
    <comment ref="CV218" authorId="1">
      <text>
        <r>
          <rPr>
            <b/>
            <sz val="8"/>
            <color indexed="81"/>
            <rFont val="Tahoma"/>
            <family val="2"/>
          </rPr>
          <t>jmoline:</t>
        </r>
        <r>
          <rPr>
            <sz val="8"/>
            <color indexed="81"/>
            <rFont val="Tahoma"/>
            <family val="2"/>
          </rPr>
          <t xml:space="preserve">
revised WCC Sheet and entered data on 7/25/11</t>
        </r>
      </text>
    </comment>
    <comment ref="CW218" authorId="1">
      <text>
        <r>
          <rPr>
            <b/>
            <sz val="8"/>
            <color indexed="81"/>
            <rFont val="Tahoma"/>
            <family val="2"/>
          </rPr>
          <t>jmoline:</t>
        </r>
        <r>
          <rPr>
            <sz val="8"/>
            <color indexed="81"/>
            <rFont val="Tahoma"/>
            <family val="2"/>
          </rPr>
          <t xml:space="preserve">
revised WCC Sheet and entered data on 7/25/11</t>
        </r>
      </text>
    </comment>
    <comment ref="CX218" authorId="1">
      <text>
        <r>
          <rPr>
            <b/>
            <sz val="8"/>
            <color indexed="81"/>
            <rFont val="Tahoma"/>
            <family val="2"/>
          </rPr>
          <t>jmoline:</t>
        </r>
        <r>
          <rPr>
            <sz val="8"/>
            <color indexed="81"/>
            <rFont val="Tahoma"/>
            <family val="2"/>
          </rPr>
          <t xml:space="preserve">
revised WCC Sheet and entered data on 7/25/11</t>
        </r>
      </text>
    </comment>
    <comment ref="BG219" authorId="1">
      <text>
        <r>
          <rPr>
            <b/>
            <sz val="8"/>
            <color indexed="81"/>
            <rFont val="Tahoma"/>
            <family val="2"/>
          </rPr>
          <t>jmoline:</t>
        </r>
        <r>
          <rPr>
            <sz val="8"/>
            <color indexed="81"/>
            <rFont val="Tahoma"/>
            <family val="2"/>
          </rPr>
          <t xml:space="preserve">
values for K1 and K3 were switched</t>
        </r>
      </text>
    </comment>
    <comment ref="BI219" authorId="1">
      <text>
        <r>
          <rPr>
            <b/>
            <sz val="8"/>
            <color indexed="81"/>
            <rFont val="Tahoma"/>
            <family val="2"/>
          </rPr>
          <t>jmoline:</t>
        </r>
        <r>
          <rPr>
            <sz val="8"/>
            <color indexed="81"/>
            <rFont val="Tahoma"/>
            <family val="2"/>
          </rPr>
          <t xml:space="preserve">
values for K1 and K3 were switched</t>
        </r>
      </text>
    </comment>
    <comment ref="CV219" authorId="1">
      <text>
        <r>
          <rPr>
            <b/>
            <sz val="8"/>
            <color indexed="81"/>
            <rFont val="Tahoma"/>
            <family val="2"/>
          </rPr>
          <t>jmoline:</t>
        </r>
        <r>
          <rPr>
            <sz val="8"/>
            <color indexed="81"/>
            <rFont val="Tahoma"/>
            <family val="2"/>
          </rPr>
          <t xml:space="preserve">
revised WCC Sheet and entered data on 7/25/11</t>
        </r>
      </text>
    </comment>
    <comment ref="CW219" authorId="1">
      <text>
        <r>
          <rPr>
            <b/>
            <sz val="8"/>
            <color indexed="81"/>
            <rFont val="Tahoma"/>
            <family val="2"/>
          </rPr>
          <t>jmoline:</t>
        </r>
        <r>
          <rPr>
            <sz val="8"/>
            <color indexed="81"/>
            <rFont val="Tahoma"/>
            <family val="2"/>
          </rPr>
          <t xml:space="preserve">
revised WCC Sheet and entered data on 7/25/11</t>
        </r>
      </text>
    </comment>
    <comment ref="CX219" authorId="1">
      <text>
        <r>
          <rPr>
            <b/>
            <sz val="8"/>
            <color indexed="81"/>
            <rFont val="Tahoma"/>
            <family val="2"/>
          </rPr>
          <t>jmoline:</t>
        </r>
        <r>
          <rPr>
            <sz val="8"/>
            <color indexed="81"/>
            <rFont val="Tahoma"/>
            <family val="2"/>
          </rPr>
          <t xml:space="preserve">
revised WCC Sheet and entered data on 7/25/11</t>
        </r>
      </text>
    </comment>
    <comment ref="BG220" authorId="1">
      <text>
        <r>
          <rPr>
            <b/>
            <sz val="8"/>
            <color indexed="81"/>
            <rFont val="Tahoma"/>
            <family val="2"/>
          </rPr>
          <t>jmoline:</t>
        </r>
        <r>
          <rPr>
            <sz val="8"/>
            <color indexed="81"/>
            <rFont val="Tahoma"/>
            <family val="2"/>
          </rPr>
          <t xml:space="preserve">
values for K1 and K3 were switched</t>
        </r>
      </text>
    </comment>
    <comment ref="BI220" authorId="1">
      <text>
        <r>
          <rPr>
            <b/>
            <sz val="8"/>
            <color indexed="81"/>
            <rFont val="Tahoma"/>
            <family val="2"/>
          </rPr>
          <t>jmoline:</t>
        </r>
        <r>
          <rPr>
            <sz val="8"/>
            <color indexed="81"/>
            <rFont val="Tahoma"/>
            <family val="2"/>
          </rPr>
          <t xml:space="preserve">
values for K1 and K3 were switched</t>
        </r>
      </text>
    </comment>
    <comment ref="BZ220" authorId="1">
      <text>
        <r>
          <rPr>
            <b/>
            <sz val="8"/>
            <color indexed="81"/>
            <rFont val="Tahoma"/>
            <family val="2"/>
          </rPr>
          <t>jmoline:</t>
        </r>
        <r>
          <rPr>
            <sz val="8"/>
            <color indexed="81"/>
            <rFont val="Tahoma"/>
            <family val="2"/>
          </rPr>
          <t xml:space="preserve">
changed from 16..0 to 16.0</t>
        </r>
      </text>
    </comment>
    <comment ref="BG221" authorId="1">
      <text>
        <r>
          <rPr>
            <b/>
            <sz val="8"/>
            <color indexed="81"/>
            <rFont val="Tahoma"/>
            <family val="2"/>
          </rPr>
          <t>jmoline:</t>
        </r>
        <r>
          <rPr>
            <sz val="8"/>
            <color indexed="81"/>
            <rFont val="Tahoma"/>
            <family val="2"/>
          </rPr>
          <t xml:space="preserve">
values for K1 and K3 were switched</t>
        </r>
      </text>
    </comment>
    <comment ref="BI221" authorId="1">
      <text>
        <r>
          <rPr>
            <b/>
            <sz val="8"/>
            <color indexed="81"/>
            <rFont val="Tahoma"/>
            <family val="2"/>
          </rPr>
          <t>jmoline:</t>
        </r>
        <r>
          <rPr>
            <sz val="8"/>
            <color indexed="81"/>
            <rFont val="Tahoma"/>
            <family val="2"/>
          </rPr>
          <t xml:space="preserve">
values for K1 and K3 were switched</t>
        </r>
      </text>
    </comment>
    <comment ref="BG222" authorId="1">
      <text>
        <r>
          <rPr>
            <b/>
            <sz val="8"/>
            <color indexed="81"/>
            <rFont val="Tahoma"/>
            <family val="2"/>
          </rPr>
          <t>jmoline:</t>
        </r>
        <r>
          <rPr>
            <sz val="8"/>
            <color indexed="81"/>
            <rFont val="Tahoma"/>
            <family val="2"/>
          </rPr>
          <t xml:space="preserve">
values for K1 and K3 were switched</t>
        </r>
      </text>
    </comment>
    <comment ref="BI222" authorId="1">
      <text>
        <r>
          <rPr>
            <b/>
            <sz val="8"/>
            <color indexed="81"/>
            <rFont val="Tahoma"/>
            <family val="2"/>
          </rPr>
          <t>jmoline:</t>
        </r>
        <r>
          <rPr>
            <sz val="8"/>
            <color indexed="81"/>
            <rFont val="Tahoma"/>
            <family val="2"/>
          </rPr>
          <t xml:space="preserve">
values for K1 and K3 were switched</t>
        </r>
      </text>
    </comment>
    <comment ref="BG223" authorId="1">
      <text>
        <r>
          <rPr>
            <b/>
            <sz val="8"/>
            <color indexed="81"/>
            <rFont val="Tahoma"/>
            <family val="2"/>
          </rPr>
          <t>jmoline:</t>
        </r>
        <r>
          <rPr>
            <sz val="8"/>
            <color indexed="81"/>
            <rFont val="Tahoma"/>
            <family val="2"/>
          </rPr>
          <t xml:space="preserve">
values for K1 and K3 were switched</t>
        </r>
      </text>
    </comment>
    <comment ref="BI223" authorId="1">
      <text>
        <r>
          <rPr>
            <b/>
            <sz val="8"/>
            <color indexed="81"/>
            <rFont val="Tahoma"/>
            <family val="2"/>
          </rPr>
          <t>jmoline:</t>
        </r>
        <r>
          <rPr>
            <sz val="8"/>
            <color indexed="81"/>
            <rFont val="Tahoma"/>
            <family val="2"/>
          </rPr>
          <t xml:space="preserve">
values for K1 and K3 were switched</t>
        </r>
      </text>
    </comment>
    <comment ref="BG224" authorId="2">
      <text>
        <r>
          <rPr>
            <b/>
            <sz val="8"/>
            <color indexed="81"/>
            <rFont val="Tahoma"/>
            <family val="2"/>
          </rPr>
          <t>cjohnso2:</t>
        </r>
        <r>
          <rPr>
            <sz val="8"/>
            <color indexed="81"/>
            <rFont val="Tahoma"/>
            <family val="2"/>
          </rPr>
          <t xml:space="preserve">
Values for K1 and K3 were switched
</t>
        </r>
      </text>
    </comment>
    <comment ref="BI224" authorId="2">
      <text>
        <r>
          <rPr>
            <b/>
            <sz val="8"/>
            <color indexed="81"/>
            <rFont val="Tahoma"/>
            <family val="2"/>
          </rPr>
          <t>cjohnso2:</t>
        </r>
        <r>
          <rPr>
            <sz val="8"/>
            <color indexed="81"/>
            <rFont val="Tahoma"/>
            <family val="2"/>
          </rPr>
          <t xml:space="preserve">
Values for K1 and K3 were switched</t>
        </r>
      </text>
    </comment>
    <comment ref="BG225" authorId="2">
      <text>
        <r>
          <rPr>
            <b/>
            <sz val="8"/>
            <color indexed="81"/>
            <rFont val="Tahoma"/>
            <family val="2"/>
          </rPr>
          <t>cjohnso2:</t>
        </r>
        <r>
          <rPr>
            <sz val="8"/>
            <color indexed="81"/>
            <rFont val="Tahoma"/>
            <family val="2"/>
          </rPr>
          <t xml:space="preserve">
Values for K1 and K3 were switched</t>
        </r>
      </text>
    </comment>
    <comment ref="BI225" authorId="2">
      <text>
        <r>
          <rPr>
            <b/>
            <sz val="8"/>
            <color indexed="81"/>
            <rFont val="Tahoma"/>
            <family val="2"/>
          </rPr>
          <t>cjohnso2:</t>
        </r>
        <r>
          <rPr>
            <sz val="8"/>
            <color indexed="81"/>
            <rFont val="Tahoma"/>
            <family val="2"/>
          </rPr>
          <t xml:space="preserve">
Values for K1 and K3 were switched</t>
        </r>
      </text>
    </comment>
    <comment ref="BG226" authorId="2">
      <text>
        <r>
          <rPr>
            <b/>
            <sz val="8"/>
            <color indexed="81"/>
            <rFont val="Tahoma"/>
            <family val="2"/>
          </rPr>
          <t>cjohnso2:</t>
        </r>
        <r>
          <rPr>
            <sz val="8"/>
            <color indexed="81"/>
            <rFont val="Tahoma"/>
            <family val="2"/>
          </rPr>
          <t xml:space="preserve">
Values for K1 and K3 were switched</t>
        </r>
      </text>
    </comment>
    <comment ref="BI226" authorId="2">
      <text>
        <r>
          <rPr>
            <b/>
            <sz val="8"/>
            <color indexed="81"/>
            <rFont val="Tahoma"/>
            <family val="2"/>
          </rPr>
          <t>cjohnso2:</t>
        </r>
        <r>
          <rPr>
            <sz val="8"/>
            <color indexed="81"/>
            <rFont val="Tahoma"/>
            <family val="2"/>
          </rPr>
          <t xml:space="preserve">
Values for K1 and K3 were switched</t>
        </r>
      </text>
    </comment>
    <comment ref="EF227" authorId="2">
      <text>
        <r>
          <rPr>
            <b/>
            <sz val="8"/>
            <color indexed="81"/>
            <rFont val="Tahoma"/>
            <family val="2"/>
          </rPr>
          <t>cjohnso2:</t>
        </r>
        <r>
          <rPr>
            <sz val="8"/>
            <color indexed="81"/>
            <rFont val="Tahoma"/>
            <family val="2"/>
          </rPr>
          <t xml:space="preserve">
Covington requested staying at 4 for the rest of the week instead of reducing to 3.5 </t>
        </r>
      </text>
    </comment>
    <comment ref="CO228" authorId="2">
      <text>
        <r>
          <rPr>
            <b/>
            <sz val="8"/>
            <color indexed="81"/>
            <rFont val="Tahoma"/>
            <family val="2"/>
          </rPr>
          <t>cjohnso2:</t>
        </r>
        <r>
          <rPr>
            <sz val="8"/>
            <color indexed="81"/>
            <rFont val="Tahoma"/>
            <family val="2"/>
          </rPr>
          <t xml:space="preserve">
changed from MGD to gpm
</t>
        </r>
      </text>
    </comment>
    <comment ref="EF228" authorId="2">
      <text>
        <r>
          <rPr>
            <b/>
            <sz val="8"/>
            <color indexed="81"/>
            <rFont val="Tahoma"/>
            <family val="2"/>
          </rPr>
          <t>cjohnso2:</t>
        </r>
        <r>
          <rPr>
            <sz val="8"/>
            <color indexed="81"/>
            <rFont val="Tahoma"/>
            <family val="2"/>
          </rPr>
          <t xml:space="preserve">
Covington requested staying at 4 for the rest of the week instead of reducing to 3.5 </t>
        </r>
      </text>
    </comment>
    <comment ref="EF229" authorId="2">
      <text>
        <r>
          <rPr>
            <b/>
            <sz val="8"/>
            <color indexed="81"/>
            <rFont val="Tahoma"/>
            <family val="2"/>
          </rPr>
          <t>cjohnso2:</t>
        </r>
        <r>
          <rPr>
            <sz val="8"/>
            <color indexed="81"/>
            <rFont val="Tahoma"/>
            <family val="2"/>
          </rPr>
          <t xml:space="preserve">
Covington requested staying at 4 for the rest of the week instead of reducing to 3.5 </t>
        </r>
      </text>
    </comment>
    <comment ref="EF230" authorId="2">
      <text>
        <r>
          <rPr>
            <b/>
            <sz val="8"/>
            <color indexed="81"/>
            <rFont val="Tahoma"/>
            <family val="2"/>
          </rPr>
          <t>cjohnso2:</t>
        </r>
        <r>
          <rPr>
            <sz val="8"/>
            <color indexed="81"/>
            <rFont val="Tahoma"/>
            <family val="2"/>
          </rPr>
          <t xml:space="preserve">
Covington requested staying at 4 for the rest of the week instead of reducing to 3.5 </t>
        </r>
      </text>
    </comment>
    <comment ref="CO231" authorId="2">
      <text>
        <r>
          <rPr>
            <b/>
            <sz val="8"/>
            <color indexed="81"/>
            <rFont val="Tahoma"/>
            <family val="2"/>
          </rPr>
          <t>cjohnso2:</t>
        </r>
        <r>
          <rPr>
            <sz val="8"/>
            <color indexed="81"/>
            <rFont val="Tahoma"/>
            <family val="2"/>
          </rPr>
          <t xml:space="preserve">
Converted to gpm
</t>
        </r>
      </text>
    </comment>
    <comment ref="CY231" authorId="2">
      <text>
        <r>
          <rPr>
            <b/>
            <sz val="8"/>
            <color indexed="81"/>
            <rFont val="Tahoma"/>
            <family val="2"/>
          </rPr>
          <t>cjohnso2:</t>
        </r>
        <r>
          <rPr>
            <sz val="8"/>
            <color indexed="81"/>
            <rFont val="Tahoma"/>
            <family val="2"/>
          </rPr>
          <t xml:space="preserve">
No information from HH - Took average between Thursday and Saturday.
</t>
        </r>
      </text>
    </comment>
    <comment ref="W232" authorId="2">
      <text>
        <r>
          <rPr>
            <b/>
            <sz val="8"/>
            <color indexed="81"/>
            <rFont val="Tahoma"/>
            <family val="2"/>
          </rPr>
          <t>cjohnso2:</t>
        </r>
        <r>
          <rPr>
            <sz val="8"/>
            <color indexed="81"/>
            <rFont val="Tahoma"/>
            <family val="2"/>
          </rPr>
          <t xml:space="preserve">
Per Gary changed to mat R5
</t>
        </r>
      </text>
    </comment>
    <comment ref="CO233" authorId="2">
      <text>
        <r>
          <rPr>
            <b/>
            <sz val="8"/>
            <color indexed="81"/>
            <rFont val="Tahoma"/>
            <family val="2"/>
          </rPr>
          <t>cjohnso2:</t>
        </r>
        <r>
          <rPr>
            <sz val="8"/>
            <color indexed="81"/>
            <rFont val="Tahoma"/>
            <family val="2"/>
          </rPr>
          <t xml:space="preserve">
Converted to GPM
</t>
        </r>
      </text>
    </comment>
    <comment ref="DH233" authorId="2">
      <text>
        <r>
          <rPr>
            <b/>
            <sz val="8"/>
            <color indexed="81"/>
            <rFont val="Tahoma"/>
            <family val="2"/>
          </rPr>
          <t>cjohnso2:</t>
        </r>
        <r>
          <rPr>
            <sz val="8"/>
            <color indexed="81"/>
            <rFont val="Tahoma"/>
            <family val="2"/>
          </rPr>
          <t xml:space="preserve">
From Fran 8/9…not originally input
</t>
        </r>
      </text>
    </comment>
    <comment ref="DI233" authorId="2">
      <text>
        <r>
          <rPr>
            <b/>
            <sz val="8"/>
            <color indexed="81"/>
            <rFont val="Tahoma"/>
            <family val="2"/>
          </rPr>
          <t>cjohnso2:</t>
        </r>
        <r>
          <rPr>
            <sz val="8"/>
            <color indexed="81"/>
            <rFont val="Tahoma"/>
            <family val="2"/>
          </rPr>
          <t xml:space="preserve">
From Fran 8/9…not originally input</t>
        </r>
      </text>
    </comment>
    <comment ref="CM241" authorId="1">
      <text>
        <r>
          <rPr>
            <b/>
            <sz val="8"/>
            <color indexed="81"/>
            <rFont val="Tahoma"/>
            <family val="2"/>
          </rPr>
          <t>jmoline:</t>
        </r>
        <r>
          <rPr>
            <sz val="8"/>
            <color indexed="81"/>
            <rFont val="Tahoma"/>
            <family val="2"/>
          </rPr>
          <t xml:space="preserve">
Reversed 48" and 24" flow per Paul Schrup</t>
        </r>
      </text>
    </comment>
    <comment ref="CN241" authorId="1">
      <text>
        <r>
          <rPr>
            <b/>
            <sz val="8"/>
            <color indexed="81"/>
            <rFont val="Tahoma"/>
            <family val="2"/>
          </rPr>
          <t>jmoline:</t>
        </r>
        <r>
          <rPr>
            <sz val="8"/>
            <color indexed="81"/>
            <rFont val="Tahoma"/>
            <family val="2"/>
          </rPr>
          <t xml:space="preserve">
Reversed 48" and 24" flow per Paul Schrup</t>
        </r>
      </text>
    </comment>
    <comment ref="CM242" authorId="1">
      <text>
        <r>
          <rPr>
            <b/>
            <sz val="8"/>
            <color indexed="81"/>
            <rFont val="Tahoma"/>
            <family val="2"/>
          </rPr>
          <t>jmoline:</t>
        </r>
        <r>
          <rPr>
            <sz val="8"/>
            <color indexed="81"/>
            <rFont val="Tahoma"/>
            <family val="2"/>
          </rPr>
          <t xml:space="preserve">
Reversed 48" and 24" flow per Paul Schrup</t>
        </r>
      </text>
    </comment>
    <comment ref="CN242" authorId="1">
      <text>
        <r>
          <rPr>
            <b/>
            <sz val="8"/>
            <color indexed="81"/>
            <rFont val="Tahoma"/>
            <family val="2"/>
          </rPr>
          <t>jmoline:</t>
        </r>
        <r>
          <rPr>
            <sz val="8"/>
            <color indexed="81"/>
            <rFont val="Tahoma"/>
            <family val="2"/>
          </rPr>
          <t xml:space="preserve">
Reversed 48" and 24" flow per Paul Schrup</t>
        </r>
      </text>
    </comment>
    <comment ref="EF242" authorId="2">
      <text>
        <r>
          <rPr>
            <b/>
            <sz val="8"/>
            <color indexed="81"/>
            <rFont val="Tahoma"/>
            <family val="2"/>
          </rPr>
          <t>cjohnso2:</t>
        </r>
        <r>
          <rPr>
            <sz val="8"/>
            <color indexed="81"/>
            <rFont val="Tahoma"/>
            <family val="2"/>
          </rPr>
          <t xml:space="preserve">
Covington requested an increase of 1 MGD to deal with a treatment issue
they will maintain the rest of this week.  Minor change in average…COE not notified of change &lt; 1 cfs for the week change</t>
        </r>
      </text>
    </comment>
    <comment ref="CM243" authorId="1">
      <text>
        <r>
          <rPr>
            <b/>
            <sz val="8"/>
            <color indexed="81"/>
            <rFont val="Tahoma"/>
            <family val="2"/>
          </rPr>
          <t>jmoline:</t>
        </r>
        <r>
          <rPr>
            <sz val="8"/>
            <color indexed="81"/>
            <rFont val="Tahoma"/>
            <family val="2"/>
          </rPr>
          <t xml:space="preserve">
Reversed 48" and 24" flow per Paul Schrup</t>
        </r>
      </text>
    </comment>
    <comment ref="CN243" authorId="1">
      <text>
        <r>
          <rPr>
            <b/>
            <sz val="8"/>
            <color indexed="81"/>
            <rFont val="Tahoma"/>
            <family val="2"/>
          </rPr>
          <t>jmoline:</t>
        </r>
        <r>
          <rPr>
            <sz val="8"/>
            <color indexed="81"/>
            <rFont val="Tahoma"/>
            <family val="2"/>
          </rPr>
          <t xml:space="preserve">
Reversed 48" and 24" flow per Paul Schrup</t>
        </r>
      </text>
    </comment>
    <comment ref="EF243" authorId="2">
      <text>
        <r>
          <rPr>
            <b/>
            <sz val="8"/>
            <color indexed="81"/>
            <rFont val="Tahoma"/>
            <family val="2"/>
          </rPr>
          <t xml:space="preserve">cjohnso2:  Hi guys.  We’re having some treatment issues at our primary well field so I tried calling each of you to inquire about taking an additional 695 GPM (1.0 MGD) starting this afternoon.  Bob at  WCC felt confident in reducing your take to accommodate our need so he authorized the flow change and said he would follow up with you Chris.  As I indicated to him, the inquiry is more along the lines of convenience vs. emergency.
Update – After speaking with you Chris we’ll maintain the increased flow rate until the next schedule kicks in.  Thanks for your help.
Mike Amburgey
Facility Operations Manager
</t>
        </r>
      </text>
    </comment>
    <comment ref="EF244" authorId="2">
      <text>
        <r>
          <rPr>
            <b/>
            <sz val="8"/>
            <color indexed="81"/>
            <rFont val="Tahoma"/>
            <family val="2"/>
          </rPr>
          <t>cjohnso2:</t>
        </r>
        <r>
          <rPr>
            <sz val="8"/>
            <color indexed="81"/>
            <rFont val="Tahoma"/>
            <family val="2"/>
          </rPr>
          <t xml:space="preserve">
Changed by Covington
</t>
        </r>
      </text>
    </comment>
    <comment ref="BW250" authorId="2">
      <text>
        <r>
          <rPr>
            <b/>
            <sz val="8"/>
            <color indexed="81"/>
            <rFont val="Tahoma"/>
            <family val="2"/>
          </rPr>
          <t>cjohnso2:</t>
        </r>
        <r>
          <rPr>
            <sz val="8"/>
            <color indexed="81"/>
            <rFont val="Tahoma"/>
            <family val="2"/>
          </rPr>
          <t xml:space="preserve">
Per John Paris - Dave Schmidt was perfomring some maintenance
</t>
        </r>
      </text>
    </comment>
    <comment ref="CY252" authorId="2">
      <text>
        <r>
          <rPr>
            <b/>
            <sz val="8"/>
            <color indexed="81"/>
            <rFont val="Tahoma"/>
            <family val="2"/>
          </rPr>
          <t>cjohnso2:</t>
        </r>
        <r>
          <rPr>
            <sz val="8"/>
            <color indexed="81"/>
            <rFont val="Tahoma"/>
            <family val="2"/>
          </rPr>
          <t xml:space="preserve">
Changed from -901.00.  Taken from COE website 
</t>
        </r>
      </text>
    </comment>
    <comment ref="BI255" authorId="2">
      <text>
        <r>
          <rPr>
            <b/>
            <sz val="8"/>
            <color indexed="81"/>
            <rFont val="Tahoma"/>
            <family val="2"/>
          </rPr>
          <t>cjohnso2:</t>
        </r>
        <r>
          <rPr>
            <sz val="8"/>
            <color indexed="81"/>
            <rFont val="Tahoma"/>
            <family val="2"/>
          </rPr>
          <t xml:space="preserve">
Moved from Kent #1 - entry error
</t>
        </r>
      </text>
    </comment>
    <comment ref="BU255" authorId="2">
      <text>
        <r>
          <rPr>
            <b/>
            <sz val="8"/>
            <color indexed="81"/>
            <rFont val="Tahoma"/>
            <family val="2"/>
          </rPr>
          <t>cjohnso2:</t>
        </r>
        <r>
          <rPr>
            <sz val="8"/>
            <color indexed="81"/>
            <rFont val="Tahoma"/>
            <family val="2"/>
          </rPr>
          <t xml:space="preserve">
Changed from 388.3
</t>
        </r>
      </text>
    </comment>
    <comment ref="AS256" authorId="2">
      <text>
        <r>
          <rPr>
            <b/>
            <sz val="8"/>
            <color indexed="81"/>
            <rFont val="Tahoma"/>
            <family val="2"/>
          </rPr>
          <t>cjohnso2:</t>
        </r>
        <r>
          <rPr>
            <sz val="8"/>
            <color indexed="81"/>
            <rFont val="Tahoma"/>
            <family val="2"/>
          </rPr>
          <t xml:space="preserve">
Veirified number in SCADA but there was a comm failure.  Need to look at chart recorder when it comes in.</t>
        </r>
      </text>
    </comment>
    <comment ref="BI256" authorId="2">
      <text>
        <r>
          <rPr>
            <b/>
            <sz val="8"/>
            <color indexed="81"/>
            <rFont val="Tahoma"/>
            <family val="2"/>
          </rPr>
          <t>cjohnso2:</t>
        </r>
        <r>
          <rPr>
            <sz val="8"/>
            <color indexed="81"/>
            <rFont val="Tahoma"/>
            <family val="2"/>
          </rPr>
          <t xml:space="preserve">
moved entry from Kent 1
</t>
        </r>
      </text>
    </comment>
    <comment ref="AA257" authorId="2">
      <text>
        <r>
          <rPr>
            <b/>
            <sz val="8"/>
            <color indexed="81"/>
            <rFont val="Tahoma"/>
            <family val="2"/>
          </rPr>
          <t>cjohnso2:</t>
        </r>
        <r>
          <rPr>
            <sz val="8"/>
            <color indexed="81"/>
            <rFont val="Tahoma"/>
            <family val="2"/>
          </rPr>
          <t xml:space="preserve">
Change from 45.72 to 46.10
</t>
        </r>
      </text>
    </comment>
    <comment ref="AB257" authorId="2">
      <text>
        <r>
          <rPr>
            <b/>
            <sz val="8"/>
            <color indexed="81"/>
            <rFont val="Tahoma"/>
            <family val="2"/>
          </rPr>
          <t>cjohnso2:</t>
        </r>
        <r>
          <rPr>
            <sz val="8"/>
            <color indexed="81"/>
            <rFont val="Tahoma"/>
            <family val="2"/>
          </rPr>
          <t xml:space="preserve">
Change from 27.55 to 28.54 from wincc</t>
        </r>
      </text>
    </comment>
    <comment ref="AS257" authorId="2">
      <text>
        <r>
          <rPr>
            <b/>
            <sz val="8"/>
            <color indexed="81"/>
            <rFont val="Tahoma"/>
            <family val="2"/>
          </rPr>
          <t>cjohnso2:</t>
        </r>
        <r>
          <rPr>
            <sz val="8"/>
            <color indexed="81"/>
            <rFont val="Tahoma"/>
            <family val="2"/>
          </rPr>
          <t xml:space="preserve">
See comment previous day - need to look at chart recorder.</t>
        </r>
      </text>
    </comment>
    <comment ref="BI257" authorId="2">
      <text>
        <r>
          <rPr>
            <b/>
            <sz val="8"/>
            <color indexed="81"/>
            <rFont val="Tahoma"/>
            <family val="2"/>
          </rPr>
          <t>cjohnso2:</t>
        </r>
        <r>
          <rPr>
            <sz val="8"/>
            <color indexed="81"/>
            <rFont val="Tahoma"/>
            <family val="2"/>
          </rPr>
          <t xml:space="preserve">
Moved from Kent 1</t>
        </r>
      </text>
    </comment>
    <comment ref="EG257" authorId="2">
      <text>
        <r>
          <rPr>
            <b/>
            <sz val="8"/>
            <color indexed="81"/>
            <rFont val="Tahoma"/>
            <family val="2"/>
          </rPr>
          <t>cjohnso2:</t>
        </r>
        <r>
          <rPr>
            <sz val="8"/>
            <color indexed="81"/>
            <rFont val="Tahoma"/>
            <family val="2"/>
          </rPr>
          <t xml:space="preserve">
Tom Z. of Lakehaven requested dropping down to 10.5 - Change to storage used was made with COE on Wendnesday at 1030.</t>
        </r>
      </text>
    </comment>
    <comment ref="AA258" authorId="2">
      <text>
        <r>
          <rPr>
            <b/>
            <sz val="8"/>
            <color indexed="81"/>
            <rFont val="Tahoma"/>
            <family val="2"/>
          </rPr>
          <t>cjohnso2:</t>
        </r>
        <r>
          <rPr>
            <sz val="8"/>
            <color indexed="81"/>
            <rFont val="Tahoma"/>
            <family val="2"/>
          </rPr>
          <t xml:space="preserve">
Change from 46.00 to 45.53 from WinCC P1 Average</t>
        </r>
      </text>
    </comment>
    <comment ref="AB258" authorId="2">
      <text>
        <r>
          <rPr>
            <b/>
            <sz val="8"/>
            <color indexed="81"/>
            <rFont val="Tahoma"/>
            <family val="2"/>
          </rPr>
          <t>cjohnso2:</t>
        </r>
        <r>
          <rPr>
            <sz val="8"/>
            <color indexed="81"/>
            <rFont val="Tahoma"/>
            <family val="2"/>
          </rPr>
          <t xml:space="preserve">
Change from 28.00 to 26.37 per Wincc Average of P5</t>
        </r>
      </text>
    </comment>
    <comment ref="BI258" authorId="2">
      <text>
        <r>
          <rPr>
            <b/>
            <sz val="8"/>
            <color indexed="81"/>
            <rFont val="Tahoma"/>
            <family val="2"/>
          </rPr>
          <t>cjohnso2:</t>
        </r>
        <r>
          <rPr>
            <sz val="8"/>
            <color indexed="81"/>
            <rFont val="Tahoma"/>
            <family val="2"/>
          </rPr>
          <t xml:space="preserve">
Moved from K1</t>
        </r>
      </text>
    </comment>
    <comment ref="BK258" authorId="2">
      <text>
        <r>
          <rPr>
            <b/>
            <sz val="8"/>
            <color indexed="81"/>
            <rFont val="Tahoma"/>
            <family val="2"/>
          </rPr>
          <t>cjohnso2:</t>
        </r>
        <r>
          <rPr>
            <sz val="8"/>
            <color indexed="81"/>
            <rFont val="Tahoma"/>
            <family val="2"/>
          </rPr>
          <t xml:space="preserve">
Spoke w/ Tom Z. of Lakehaven.  They had a communication failure and took about 1 MGD more than intended.  I told him the COE adjusts for overages on M&amp;I and it didn't not have an operational affect.  LUD was very apologetic.
</t>
        </r>
      </text>
    </comment>
    <comment ref="BL258" authorId="2">
      <text>
        <r>
          <rPr>
            <b/>
            <sz val="8"/>
            <color indexed="81"/>
            <rFont val="Tahoma"/>
            <family val="2"/>
          </rPr>
          <t>cjohnso2:</t>
        </r>
        <r>
          <rPr>
            <sz val="8"/>
            <color indexed="81"/>
            <rFont val="Tahoma"/>
            <family val="2"/>
          </rPr>
          <t xml:space="preserve">
cjohnso2:
Spoke w/ Tom Z. of Lakehaven.  They had a communication failure and took about 1 MGD more than intended.  I told him the COE adjusts for overages on M&amp;I and it didn't not have an operational affect.  LUD was very apologetic.</t>
        </r>
      </text>
    </comment>
    <comment ref="AA259" authorId="2">
      <text>
        <r>
          <rPr>
            <b/>
            <sz val="8"/>
            <color indexed="81"/>
            <rFont val="Tahoma"/>
            <family val="2"/>
          </rPr>
          <t>cjohnso2:</t>
        </r>
        <r>
          <rPr>
            <sz val="8"/>
            <color indexed="81"/>
            <rFont val="Tahoma"/>
            <family val="2"/>
          </rPr>
          <t xml:space="preserve">
changed from 45.6 to 46.26 per WinCC Average to improve % error </t>
        </r>
      </text>
    </comment>
    <comment ref="AB259" authorId="2">
      <text>
        <r>
          <rPr>
            <b/>
            <sz val="8"/>
            <color indexed="81"/>
            <rFont val="Tahoma"/>
            <family val="2"/>
          </rPr>
          <t>cjohnso2:</t>
        </r>
        <r>
          <rPr>
            <sz val="8"/>
            <color indexed="81"/>
            <rFont val="Tahoma"/>
            <family val="2"/>
          </rPr>
          <t xml:space="preserve">
changed from 29.65 to 30.67 per WinCC Average SSP</t>
        </r>
      </text>
    </comment>
    <comment ref="BI259" authorId="2">
      <text>
        <r>
          <rPr>
            <b/>
            <sz val="8"/>
            <color indexed="81"/>
            <rFont val="Tahoma"/>
            <family val="2"/>
          </rPr>
          <t>cjohnso2:</t>
        </r>
        <r>
          <rPr>
            <sz val="8"/>
            <color indexed="81"/>
            <rFont val="Tahoma"/>
            <family val="2"/>
          </rPr>
          <t xml:space="preserve">
Moved from Kent 1</t>
        </r>
      </text>
    </comment>
    <comment ref="BI260" authorId="2">
      <text>
        <r>
          <rPr>
            <b/>
            <sz val="8"/>
            <color indexed="81"/>
            <rFont val="Tahoma"/>
            <family val="2"/>
          </rPr>
          <t>cjohnso2:</t>
        </r>
        <r>
          <rPr>
            <sz val="8"/>
            <color indexed="81"/>
            <rFont val="Tahoma"/>
            <family val="2"/>
          </rPr>
          <t xml:space="preserve">
Moved from Kent 1</t>
        </r>
      </text>
    </comment>
    <comment ref="BN260" authorId="2">
      <text>
        <r>
          <rPr>
            <b/>
            <sz val="8"/>
            <color indexed="81"/>
            <rFont val="Tahoma"/>
            <family val="2"/>
          </rPr>
          <t>cjohnso2:</t>
        </r>
        <r>
          <rPr>
            <sz val="8"/>
            <color indexed="81"/>
            <rFont val="Tahoma"/>
            <family val="2"/>
          </rPr>
          <t xml:space="preserve">
Per WCC 12.70
</t>
        </r>
      </text>
    </comment>
    <comment ref="BO260" authorId="2">
      <text>
        <r>
          <rPr>
            <b/>
            <sz val="8"/>
            <color indexed="81"/>
            <rFont val="Tahoma"/>
            <family val="2"/>
          </rPr>
          <t>cjohnso2:</t>
        </r>
        <r>
          <rPr>
            <sz val="8"/>
            <color indexed="81"/>
            <rFont val="Tahoma"/>
            <family val="2"/>
          </rPr>
          <t xml:space="preserve">
misentry moved from p5 flow 356th…
</t>
        </r>
      </text>
    </comment>
    <comment ref="BI261" authorId="2">
      <text>
        <r>
          <rPr>
            <b/>
            <sz val="8"/>
            <color indexed="81"/>
            <rFont val="Tahoma"/>
            <family val="2"/>
          </rPr>
          <t>cjohnso2:</t>
        </r>
        <r>
          <rPr>
            <sz val="8"/>
            <color indexed="81"/>
            <rFont val="Tahoma"/>
            <family val="2"/>
          </rPr>
          <t xml:space="preserve">
Moved from Kent 1</t>
        </r>
      </text>
    </comment>
    <comment ref="BI262" authorId="2">
      <text>
        <r>
          <rPr>
            <b/>
            <sz val="8"/>
            <color indexed="81"/>
            <rFont val="Tahoma"/>
            <family val="2"/>
          </rPr>
          <t>cjohnso2:</t>
        </r>
        <r>
          <rPr>
            <sz val="8"/>
            <color indexed="81"/>
            <rFont val="Tahoma"/>
            <family val="2"/>
          </rPr>
          <t xml:space="preserve">
Moved from Kent 1
</t>
        </r>
      </text>
    </comment>
    <comment ref="BI263" authorId="2">
      <text>
        <r>
          <rPr>
            <b/>
            <sz val="8"/>
            <color indexed="81"/>
            <rFont val="Tahoma"/>
            <family val="2"/>
          </rPr>
          <t>cjohnso2:</t>
        </r>
        <r>
          <rPr>
            <sz val="8"/>
            <color indexed="81"/>
            <rFont val="Tahoma"/>
            <family val="2"/>
          </rPr>
          <t xml:space="preserve">
Moved from Kent 1</t>
        </r>
      </text>
    </comment>
    <comment ref="DW263" authorId="2">
      <text>
        <r>
          <rPr>
            <b/>
            <sz val="8"/>
            <color indexed="81"/>
            <rFont val="Tahoma"/>
            <family val="2"/>
          </rPr>
          <t>cjohnso2:</t>
        </r>
        <r>
          <rPr>
            <sz val="8"/>
            <color indexed="81"/>
            <rFont val="Tahoma"/>
            <family val="2"/>
          </rPr>
          <t xml:space="preserve">
Donated 1600 AF to 1135</t>
        </r>
      </text>
    </comment>
    <comment ref="BI264" authorId="2">
      <text>
        <r>
          <rPr>
            <b/>
            <sz val="8"/>
            <color indexed="81"/>
            <rFont val="Tahoma"/>
            <family val="2"/>
          </rPr>
          <t>cjohnso2:</t>
        </r>
        <r>
          <rPr>
            <sz val="8"/>
            <color indexed="81"/>
            <rFont val="Tahoma"/>
            <family val="2"/>
          </rPr>
          <t xml:space="preserve">
Moved from Kent 1</t>
        </r>
      </text>
    </comment>
    <comment ref="BI265" authorId="2">
      <text>
        <r>
          <rPr>
            <b/>
            <sz val="8"/>
            <color indexed="81"/>
            <rFont val="Tahoma"/>
            <family val="2"/>
          </rPr>
          <t>cjohnso2:</t>
        </r>
        <r>
          <rPr>
            <sz val="8"/>
            <color indexed="81"/>
            <rFont val="Tahoma"/>
            <family val="2"/>
          </rPr>
          <t xml:space="preserve">
Moved from Kent 1</t>
        </r>
      </text>
    </comment>
    <comment ref="BI266" authorId="2">
      <text>
        <r>
          <rPr>
            <b/>
            <sz val="8"/>
            <color indexed="81"/>
            <rFont val="Tahoma"/>
            <family val="2"/>
          </rPr>
          <t>cjohnso2:</t>
        </r>
        <r>
          <rPr>
            <sz val="8"/>
            <color indexed="81"/>
            <rFont val="Tahoma"/>
            <family val="2"/>
          </rPr>
          <t xml:space="preserve">
Moved from Kent 1</t>
        </r>
      </text>
    </comment>
    <comment ref="BI267" authorId="2">
      <text>
        <r>
          <rPr>
            <b/>
            <sz val="8"/>
            <color indexed="81"/>
            <rFont val="Tahoma"/>
            <family val="2"/>
          </rPr>
          <t>cjohnso2:</t>
        </r>
        <r>
          <rPr>
            <sz val="8"/>
            <color indexed="81"/>
            <rFont val="Tahoma"/>
            <family val="2"/>
          </rPr>
          <t xml:space="preserve">
Moved from Kent 1</t>
        </r>
      </text>
    </comment>
    <comment ref="BI268" authorId="2">
      <text>
        <r>
          <rPr>
            <b/>
            <sz val="8"/>
            <color indexed="81"/>
            <rFont val="Tahoma"/>
            <family val="2"/>
          </rPr>
          <t>cjohnso2:</t>
        </r>
        <r>
          <rPr>
            <sz val="8"/>
            <color indexed="81"/>
            <rFont val="Tahoma"/>
            <family val="2"/>
          </rPr>
          <t xml:space="preserve">
Moved from Kent 1
</t>
        </r>
      </text>
    </comment>
    <comment ref="AA271" authorId="2">
      <text>
        <r>
          <rPr>
            <b/>
            <sz val="8"/>
            <color indexed="81"/>
            <rFont val="Tahoma"/>
            <family val="2"/>
          </rPr>
          <t>cjohnso2:</t>
        </r>
        <r>
          <rPr>
            <sz val="8"/>
            <color indexed="81"/>
            <rFont val="Tahoma"/>
            <family val="2"/>
          </rPr>
          <t xml:space="preserve">
Changed form 45.91, taken from 24 hour to correct 3% error on summary - Chris</t>
        </r>
      </text>
    </comment>
    <comment ref="BI271" authorId="2">
      <text>
        <r>
          <rPr>
            <b/>
            <sz val="8"/>
            <color indexed="81"/>
            <rFont val="Tahoma"/>
            <family val="2"/>
          </rPr>
          <t>cjohnso2:</t>
        </r>
        <r>
          <rPr>
            <sz val="8"/>
            <color indexed="81"/>
            <rFont val="Tahoma"/>
            <family val="2"/>
          </rPr>
          <t xml:space="preserve">
Changed from 1.00 using Average flow from K3</t>
        </r>
      </text>
    </comment>
    <comment ref="AV272" authorId="2">
      <text>
        <r>
          <rPr>
            <b/>
            <sz val="8"/>
            <color indexed="81"/>
            <rFont val="Tahoma"/>
            <family val="2"/>
          </rPr>
          <t>cjohnso2:</t>
        </r>
        <r>
          <rPr>
            <sz val="8"/>
            <color indexed="81"/>
            <rFont val="Tahoma"/>
            <family val="2"/>
          </rPr>
          <t xml:space="preserve">
Out of Service for SCADA Upgrade</t>
        </r>
      </text>
    </comment>
    <comment ref="CO272" authorId="2">
      <text>
        <r>
          <rPr>
            <b/>
            <sz val="8"/>
            <color indexed="81"/>
            <rFont val="Tahoma"/>
            <family val="2"/>
          </rPr>
          <t>cjohnso2:</t>
        </r>
        <r>
          <rPr>
            <sz val="8"/>
            <color indexed="81"/>
            <rFont val="Tahoma"/>
            <family val="2"/>
          </rPr>
          <t xml:space="preserve">
Wire to Water </t>
        </r>
      </text>
    </comment>
    <comment ref="BI273" authorId="2">
      <text>
        <r>
          <rPr>
            <b/>
            <sz val="8"/>
            <color indexed="81"/>
            <rFont val="Tahoma"/>
            <family val="2"/>
          </rPr>
          <t>cjohnso2:</t>
        </r>
        <r>
          <rPr>
            <sz val="8"/>
            <color indexed="81"/>
            <rFont val="Tahoma"/>
            <family val="2"/>
          </rPr>
          <t xml:space="preserve">
Changed from 1.00 using WinCC Average</t>
        </r>
      </text>
    </comment>
    <comment ref="BI274" authorId="2">
      <text>
        <r>
          <rPr>
            <b/>
            <sz val="8"/>
            <color indexed="81"/>
            <rFont val="Tahoma"/>
            <family val="2"/>
          </rPr>
          <t>cjohnso2:</t>
        </r>
        <r>
          <rPr>
            <sz val="8"/>
            <color indexed="81"/>
            <rFont val="Tahoma"/>
            <family val="2"/>
          </rPr>
          <t xml:space="preserve">
Changed from 1.00 using WinCC Average</t>
        </r>
      </text>
    </comment>
    <comment ref="CG274" authorId="2">
      <text>
        <r>
          <rPr>
            <b/>
            <sz val="8"/>
            <color indexed="81"/>
            <rFont val="Tahoma"/>
            <family val="2"/>
          </rPr>
          <t>cjohnso2:</t>
        </r>
        <r>
          <rPr>
            <sz val="8"/>
            <color indexed="81"/>
            <rFont val="Tahoma"/>
            <family val="2"/>
          </rPr>
          <t xml:space="preserve">
Modified from 52.51</t>
        </r>
      </text>
    </comment>
    <comment ref="CY274" authorId="2">
      <text>
        <r>
          <rPr>
            <b/>
            <sz val="8"/>
            <color indexed="81"/>
            <rFont val="Tahoma"/>
            <family val="2"/>
          </rPr>
          <t>cjohnso2:</t>
        </r>
        <r>
          <rPr>
            <sz val="8"/>
            <color indexed="81"/>
            <rFont val="Tahoma"/>
            <family val="2"/>
          </rPr>
          <t xml:space="preserve">
Taken from COE Dataquery
</t>
        </r>
      </text>
    </comment>
    <comment ref="BI275" authorId="2">
      <text>
        <r>
          <rPr>
            <b/>
            <sz val="8"/>
            <color indexed="81"/>
            <rFont val="Tahoma"/>
            <family val="2"/>
          </rPr>
          <t>cjohnso2:</t>
        </r>
        <r>
          <rPr>
            <sz val="8"/>
            <color indexed="81"/>
            <rFont val="Tahoma"/>
            <family val="2"/>
          </rPr>
          <t xml:space="preserve">
Changed from 1.00 using WinCC Average</t>
        </r>
      </text>
    </comment>
    <comment ref="BW276" authorId="2">
      <text>
        <r>
          <rPr>
            <b/>
            <sz val="8"/>
            <color indexed="81"/>
            <rFont val="Tahoma"/>
            <family val="2"/>
          </rPr>
          <t>cjohnso2:</t>
        </r>
        <r>
          <rPr>
            <sz val="8"/>
            <color indexed="81"/>
            <rFont val="Tahoma"/>
            <family val="2"/>
          </rPr>
          <t xml:space="preserve">
Chris:
I was looking at that last week as well, and I talked to Dave and John, as well as Mike Shoblom.  As I looked back through SCADA trends, these spikes appear to have also occurred in 2009 and 2010, at similar times of the year.  The spikes appear to last only a few minutes, and don’t seem to correspond to any unique conditions.  Sometimes they occur as outflow increases, sometimes as outflow is decreasing, and sometimes during a relatively stable outflow rate.  They also occur at different times of the day / night, and do not correspond to maintenance activities being performed on the analyzers.
In talking with John and Dave, one theory floated was that they have noted that outflows from each individual reservoir may not be consistently identical.  They have noted that one reservoir appears to draw a little harder (noting a small whirlpool at the outlet), before alternating to the other basin.  Since we don’t have individual outlet meters, we have no way to verify if this is occurring or not.  It may be possible that this phenomenon may be scouring some sediment off the floor near the outlet, resulting in the short spikes we are seeing.
At least in one case, they did note that they took a grab sample during one of these spikes, and it matched the analyzer….so these may be real.
Not sure there is anything we can do until the new reservoirs are in service.
</t>
        </r>
      </text>
    </comment>
    <comment ref="CY282" authorId="2">
      <text>
        <r>
          <rPr>
            <b/>
            <sz val="8"/>
            <color indexed="81"/>
            <rFont val="Tahoma"/>
            <family val="2"/>
          </rPr>
          <t>cjohnso2:</t>
        </r>
        <r>
          <rPr>
            <sz val="8"/>
            <color indexed="81"/>
            <rFont val="Tahoma"/>
            <family val="2"/>
          </rPr>
          <t xml:space="preserve">
value interpolated from Saturday and Monday values.  CN 9/29/11.</t>
        </r>
      </text>
    </comment>
    <comment ref="AV285" authorId="2">
      <text>
        <r>
          <rPr>
            <b/>
            <sz val="8"/>
            <color indexed="81"/>
            <rFont val="Tahoma"/>
            <family val="2"/>
          </rPr>
          <t>cnelson:</t>
        </r>
        <r>
          <rPr>
            <sz val="8"/>
            <color indexed="81"/>
            <rFont val="Tahoma"/>
            <family val="2"/>
          </rPr>
          <t xml:space="preserve"> estimated daily production based on consumption trends.   See Chris's note below. 10/17/11.</t>
        </r>
        <r>
          <rPr>
            <b/>
            <sz val="8"/>
            <color indexed="81"/>
            <rFont val="Tahoma"/>
            <family val="2"/>
          </rPr>
          <t xml:space="preserve">
cjohnso2:</t>
        </r>
        <r>
          <rPr>
            <sz val="8"/>
            <color indexed="81"/>
            <rFont val="Tahoma"/>
            <family val="2"/>
          </rPr>
          <t xml:space="preserve">
214th was placed back in service but flowmeter is not active…will need to estimate flow from previous history once meter is back on line.  </t>
        </r>
      </text>
    </comment>
    <comment ref="Q286" authorId="2">
      <text>
        <r>
          <rPr>
            <b/>
            <sz val="8"/>
            <color indexed="81"/>
            <rFont val="Tahoma"/>
            <family val="2"/>
          </rPr>
          <t>cjohnso2:</t>
        </r>
        <r>
          <rPr>
            <sz val="8"/>
            <color indexed="81"/>
            <rFont val="Tahoma"/>
            <family val="2"/>
          </rPr>
          <t xml:space="preserve">
Per HW Operator changed from 0 to 2.23</t>
        </r>
      </text>
    </comment>
    <comment ref="AV286" authorId="2">
      <text>
        <r>
          <rPr>
            <b/>
            <sz val="8"/>
            <color indexed="81"/>
            <rFont val="Tahoma"/>
            <family val="2"/>
          </rPr>
          <t xml:space="preserve">cnelson: </t>
        </r>
        <r>
          <rPr>
            <sz val="8"/>
            <color indexed="81"/>
            <rFont val="Tahoma"/>
            <family val="2"/>
          </rPr>
          <t xml:space="preserve">estimated daily production based on consumption trends.   See Chris's note below. 10/17/11.
</t>
        </r>
        <r>
          <rPr>
            <b/>
            <sz val="8"/>
            <color indexed="81"/>
            <rFont val="Tahoma"/>
            <family val="2"/>
          </rPr>
          <t xml:space="preserve">
cjohnso2:</t>
        </r>
        <r>
          <rPr>
            <sz val="8"/>
            <color indexed="81"/>
            <rFont val="Tahoma"/>
            <family val="2"/>
          </rPr>
          <t xml:space="preserve">
214th was placed back in service but flowmeter is not active…will need to estimate flow from previous history once meter is back on line.</t>
        </r>
        <r>
          <rPr>
            <b/>
            <sz val="8"/>
            <color indexed="81"/>
            <rFont val="Tahoma"/>
            <family val="2"/>
          </rPr>
          <t xml:space="preserve">  
cjohnso2:</t>
        </r>
        <r>
          <rPr>
            <sz val="8"/>
            <color indexed="81"/>
            <rFont val="Tahoma"/>
            <family val="2"/>
          </rPr>
          <t xml:space="preserve">
Will need to estimate since flow meter is not working.  </t>
        </r>
      </text>
    </comment>
    <comment ref="AV287" authorId="3">
      <text>
        <r>
          <rPr>
            <b/>
            <sz val="10"/>
            <color indexed="81"/>
            <rFont val="Tahoma"/>
            <family val="2"/>
          </rPr>
          <t>cnelson:</t>
        </r>
        <r>
          <rPr>
            <sz val="8"/>
            <color indexed="81"/>
            <rFont val="Tahoma"/>
            <family val="2"/>
          </rPr>
          <t xml:space="preserve">
cnelson: estimated daily production based on consumption trends.   See Chris's note below. 10/17/11.
cjohnso2:
214th was placed back in service but flowmeter is not active…will need to estimate flow from previous history once meter is back on line.  </t>
        </r>
      </text>
    </comment>
    <comment ref="AV288" authorId="3">
      <text>
        <r>
          <rPr>
            <b/>
            <sz val="10"/>
            <color indexed="81"/>
            <rFont val="Tahoma"/>
            <family val="2"/>
          </rPr>
          <t>cnelson:</t>
        </r>
        <r>
          <rPr>
            <sz val="8"/>
            <color indexed="81"/>
            <rFont val="Tahoma"/>
            <family val="2"/>
          </rPr>
          <t xml:space="preserve">
cnelson: estimated daily production based on consumption trends.   See Chris's note below. 10/17/11.
cjohnso2:
214th was placed back in service but flowmeter is not active…will need to estimate flow from previous history once meter is back on line.  </t>
        </r>
      </text>
    </comment>
    <comment ref="AW288" authorId="3">
      <text>
        <r>
          <rPr>
            <b/>
            <sz val="10"/>
            <color indexed="81"/>
            <rFont val="Tahoma"/>
            <family val="2"/>
          </rPr>
          <t>cnelson:</t>
        </r>
        <r>
          <rPr>
            <sz val="10"/>
            <color indexed="81"/>
            <rFont val="Tahoma"/>
            <family val="2"/>
          </rPr>
          <t xml:space="preserve">
Confirmed 0 read in SCADA.  10/17/11
</t>
        </r>
      </text>
    </comment>
    <comment ref="AV289" authorId="3">
      <text>
        <r>
          <rPr>
            <b/>
            <sz val="10"/>
            <color indexed="81"/>
            <rFont val="Tahoma"/>
            <family val="2"/>
          </rPr>
          <t>cnelson:</t>
        </r>
        <r>
          <rPr>
            <sz val="8"/>
            <color indexed="81"/>
            <rFont val="Tahoma"/>
            <family val="2"/>
          </rPr>
          <t xml:space="preserve">
cnelson: estimated daily production based on consumption trends.   See Chris's note below. 10/17/11.
cjohnso2:
214th was placed back in service but flowmeter is not active…will need to estimate flow from previous history once meter is back on line.  </t>
        </r>
      </text>
    </comment>
    <comment ref="AW289" authorId="3">
      <text>
        <r>
          <rPr>
            <b/>
            <sz val="10"/>
            <color indexed="81"/>
            <rFont val="Tahoma"/>
            <family val="2"/>
          </rPr>
          <t>cnelson:</t>
        </r>
        <r>
          <rPr>
            <sz val="10"/>
            <color indexed="81"/>
            <rFont val="Tahoma"/>
            <family val="2"/>
          </rPr>
          <t xml:space="preserve">
changed from 0 to 475 based on SCADA
10/17/11</t>
        </r>
      </text>
    </comment>
    <comment ref="AX289" authorId="3">
      <text>
        <r>
          <rPr>
            <b/>
            <sz val="10"/>
            <color indexed="81"/>
            <rFont val="Tahoma"/>
            <family val="2"/>
          </rPr>
          <t>cnelson:</t>
        </r>
        <r>
          <rPr>
            <sz val="10"/>
            <color indexed="81"/>
            <rFont val="Tahoma"/>
            <family val="2"/>
          </rPr>
          <t xml:space="preserve">
Changed from 435 to 0.0 based on SCADA. 10/17/11</t>
        </r>
      </text>
    </comment>
    <comment ref="AV290" authorId="3">
      <text>
        <r>
          <rPr>
            <b/>
            <sz val="10"/>
            <color indexed="81"/>
            <rFont val="Tahoma"/>
            <family val="2"/>
          </rPr>
          <t>cnelson:</t>
        </r>
        <r>
          <rPr>
            <sz val="8"/>
            <color indexed="81"/>
            <rFont val="Tahoma"/>
            <family val="2"/>
          </rPr>
          <t xml:space="preserve">
cnelson: estimated daily production based on consumption trends.   See Chris's note below. 10/17/11.
cjohnso2:
214th was placed back in service but flowmeter is not active…will need to estimate flow from previous history once meter is back on line.  </t>
        </r>
      </text>
    </comment>
    <comment ref="AW290" authorId="3">
      <text>
        <r>
          <rPr>
            <b/>
            <sz val="10"/>
            <color indexed="81"/>
            <rFont val="Tahoma"/>
            <family val="2"/>
          </rPr>
          <t>cnelson:</t>
        </r>
        <r>
          <rPr>
            <sz val="10"/>
            <color indexed="81"/>
            <rFont val="Tahoma"/>
            <family val="2"/>
          </rPr>
          <t xml:space="preserve">
Confirmed 0 read in SCADA. 10/17/11.</t>
        </r>
      </text>
    </comment>
    <comment ref="AX290" authorId="3">
      <text>
        <r>
          <rPr>
            <b/>
            <sz val="10"/>
            <color indexed="81"/>
            <rFont val="Tahoma"/>
            <family val="2"/>
          </rPr>
          <t>cnelson:</t>
        </r>
        <r>
          <rPr>
            <sz val="10"/>
            <color indexed="81"/>
            <rFont val="Tahoma"/>
            <family val="2"/>
          </rPr>
          <t xml:space="preserve">
Changed from 0.0 to 0.1 based on SCADA. 10/17/11.</t>
        </r>
      </text>
    </comment>
    <comment ref="AV291" authorId="3">
      <text>
        <r>
          <rPr>
            <b/>
            <sz val="8"/>
            <color indexed="81"/>
            <rFont val="Tahoma"/>
            <family val="2"/>
          </rPr>
          <t>cnelson:</t>
        </r>
        <r>
          <rPr>
            <sz val="8"/>
            <color indexed="81"/>
            <rFont val="Tahoma"/>
            <family val="2"/>
          </rPr>
          <t xml:space="preserve">
cnelson: estimated daily production based on consumption trends.   See Chris's note below. 10/17/11.
cjohnso2:
214th was placed back in service but flowmeter is not active…will need to estimate flow from previous history once meter is back on line.</t>
        </r>
        <r>
          <rPr>
            <sz val="10"/>
            <color indexed="81"/>
            <rFont val="Tahoma"/>
            <family val="2"/>
          </rPr>
          <t xml:space="preserve">  </t>
        </r>
      </text>
    </comment>
    <comment ref="AV292" authorId="3">
      <text>
        <r>
          <rPr>
            <b/>
            <sz val="10"/>
            <color indexed="81"/>
            <rFont val="Tahoma"/>
            <family val="2"/>
          </rPr>
          <t>cnelson:</t>
        </r>
        <r>
          <rPr>
            <sz val="8"/>
            <color indexed="81"/>
            <rFont val="Tahoma"/>
            <family val="2"/>
          </rPr>
          <t xml:space="preserve">
cnelson: estimated daily production based on consumption trends.   See Chris's note below. 10/17/11.
cjohnso2:
214th was placed back in service but flowmeter is not active…will need to estimate flow from previous history once meter is back on line.  </t>
        </r>
      </text>
    </comment>
    <comment ref="AV293" authorId="3">
      <text>
        <r>
          <rPr>
            <b/>
            <sz val="10"/>
            <color indexed="81"/>
            <rFont val="Tahoma"/>
            <family val="2"/>
          </rPr>
          <t>cnelson:</t>
        </r>
        <r>
          <rPr>
            <sz val="8"/>
            <color indexed="81"/>
            <rFont val="Tahoma"/>
            <family val="2"/>
          </rPr>
          <t xml:space="preserve">
cnelson: estimated daily production based on consumption trends.   See Chris's note below. 10/17/11.
cjohnso2:
214th was placed back in service but flowmeter is not active…will need to estimate flow from previous history once meter is back on line.  </t>
        </r>
      </text>
    </comment>
    <comment ref="L302" authorId="3">
      <text>
        <r>
          <rPr>
            <b/>
            <sz val="10"/>
            <color indexed="81"/>
            <rFont val="Tahoma"/>
            <family val="2"/>
          </rPr>
          <t>cnelson:</t>
        </r>
        <r>
          <rPr>
            <sz val="10"/>
            <color indexed="81"/>
            <rFont val="Tahoma"/>
            <family val="2"/>
          </rPr>
          <t xml:space="preserve">
Changed from 38.42 to 0 per email from J.B. on 11/15.
</t>
        </r>
      </text>
    </comment>
    <comment ref="AA305" authorId="3">
      <text>
        <r>
          <rPr>
            <b/>
            <sz val="10"/>
            <color indexed="81"/>
            <rFont val="Tahoma"/>
            <family val="2"/>
          </rPr>
          <t xml:space="preserve">cnelson:
</t>
        </r>
        <r>
          <rPr>
            <sz val="10"/>
            <color indexed="81"/>
            <rFont val="Tahoma"/>
            <family val="2"/>
          </rPr>
          <t>Revised from 121.20 using SCADA on 10/19/11.</t>
        </r>
        <r>
          <rPr>
            <b/>
            <sz val="10"/>
            <color indexed="81"/>
            <rFont val="Tahoma"/>
            <family val="2"/>
          </rPr>
          <t xml:space="preserve">
</t>
        </r>
      </text>
    </comment>
    <comment ref="AB305" authorId="3">
      <text>
        <r>
          <rPr>
            <b/>
            <sz val="10"/>
            <color indexed="81"/>
            <rFont val="Tahoma"/>
            <family val="2"/>
          </rPr>
          <t>cnelson:</t>
        </r>
        <r>
          <rPr>
            <sz val="10"/>
            <color indexed="81"/>
            <rFont val="Tahoma"/>
            <family val="2"/>
          </rPr>
          <t xml:space="preserve">
Revised from 104.41 using SCADA average on 10/19/11.</t>
        </r>
      </text>
    </comment>
    <comment ref="CP309" authorId="3">
      <text>
        <r>
          <rPr>
            <b/>
            <sz val="10"/>
            <color indexed="81"/>
            <rFont val="Tahoma"/>
            <family val="2"/>
          </rPr>
          <t>cnelson:</t>
        </r>
        <r>
          <rPr>
            <sz val="10"/>
            <color indexed="81"/>
            <rFont val="Tahoma"/>
            <family val="2"/>
          </rPr>
          <t xml:space="preserve">
Numbers transposed during data entry.  Revised per SCADA.  10-25-11
</t>
        </r>
      </text>
    </comment>
    <comment ref="CQ309" authorId="3">
      <text>
        <r>
          <rPr>
            <b/>
            <sz val="10"/>
            <color indexed="81"/>
            <rFont val="Tahoma"/>
            <family val="2"/>
          </rPr>
          <t>cnelson:</t>
        </r>
        <r>
          <rPr>
            <sz val="10"/>
            <color indexed="81"/>
            <rFont val="Tahoma"/>
            <family val="2"/>
          </rPr>
          <t xml:space="preserve">
Numbers transposed during data entry.  Revised per SCADA.  10-25-11</t>
        </r>
      </text>
    </comment>
    <comment ref="AV311" authorId="2">
      <text>
        <r>
          <rPr>
            <b/>
            <sz val="8"/>
            <color indexed="81"/>
            <rFont val="Tahoma"/>
            <family val="2"/>
          </rPr>
          <t>cjohnso2:</t>
        </r>
        <r>
          <rPr>
            <sz val="8"/>
            <color indexed="81"/>
            <rFont val="Tahoma"/>
            <family val="2"/>
          </rPr>
          <t xml:space="preserve">
Low suction setpoint was causing 214th to not start</t>
        </r>
      </text>
    </comment>
    <comment ref="AV312" authorId="2">
      <text>
        <r>
          <rPr>
            <b/>
            <sz val="8"/>
            <color indexed="81"/>
            <rFont val="Tahoma"/>
            <family val="2"/>
          </rPr>
          <t>cjohnso2:</t>
        </r>
        <r>
          <rPr>
            <sz val="8"/>
            <color indexed="81"/>
            <rFont val="Tahoma"/>
            <family val="2"/>
          </rPr>
          <t xml:space="preserve">
Low suction pressure wasn't allowing it to start</t>
        </r>
      </text>
    </comment>
    <comment ref="CY314" authorId="2">
      <text>
        <r>
          <rPr>
            <b/>
            <sz val="8"/>
            <color indexed="81"/>
            <rFont val="Tahoma"/>
            <family val="2"/>
          </rPr>
          <t>cjohnso2:</t>
        </r>
        <r>
          <rPr>
            <sz val="8"/>
            <color indexed="81"/>
            <rFont val="Tahoma"/>
            <family val="2"/>
          </rPr>
          <t xml:space="preserve">
Taken from Corps Dataquery website</t>
        </r>
      </text>
    </comment>
    <comment ref="AA318" authorId="3">
      <text>
        <r>
          <rPr>
            <b/>
            <sz val="10"/>
            <color indexed="81"/>
            <rFont val="Tahoma"/>
            <family val="2"/>
          </rPr>
          <t>cnelson:</t>
        </r>
        <r>
          <rPr>
            <sz val="10"/>
            <color indexed="81"/>
            <rFont val="Tahoma"/>
            <family val="2"/>
          </rPr>
          <t xml:space="preserve">
Changed from 27.40 using SCADA P1 Flow</t>
        </r>
      </text>
    </comment>
    <comment ref="AB318" authorId="3">
      <text>
        <r>
          <rPr>
            <b/>
            <sz val="10"/>
            <color indexed="81"/>
            <rFont val="Tahoma"/>
            <family val="2"/>
          </rPr>
          <t>cnelson:</t>
        </r>
        <r>
          <rPr>
            <sz val="10"/>
            <color indexed="81"/>
            <rFont val="Tahoma"/>
            <family val="2"/>
          </rPr>
          <t xml:space="preserve">
Changed from 19.02 using SCADA P5 Flow</t>
        </r>
      </text>
    </comment>
    <comment ref="BJ321" authorId="3">
      <text>
        <r>
          <rPr>
            <b/>
            <sz val="10"/>
            <color indexed="81"/>
            <rFont val="Tahoma"/>
            <family val="2"/>
          </rPr>
          <t>cnelson:</t>
        </r>
        <r>
          <rPr>
            <sz val="10"/>
            <color indexed="81"/>
            <rFont val="Tahoma"/>
            <family val="2"/>
          </rPr>
          <t xml:space="preserve">
Totalizer not reading correctly.  Verify number. 11/4/11</t>
        </r>
      </text>
    </comment>
    <comment ref="AA324" authorId="3">
      <text>
        <r>
          <rPr>
            <b/>
            <sz val="10"/>
            <color indexed="81"/>
            <rFont val="Tahoma"/>
            <family val="2"/>
          </rPr>
          <t>cnelson:</t>
        </r>
        <r>
          <rPr>
            <sz val="10"/>
            <color indexed="81"/>
            <rFont val="Tahoma"/>
            <family val="2"/>
          </rPr>
          <t xml:space="preserve">
Changed from 27.67 using SCADA average.  11/7/11.</t>
        </r>
      </text>
    </comment>
    <comment ref="AB324" authorId="3">
      <text>
        <r>
          <rPr>
            <b/>
            <sz val="10"/>
            <color indexed="81"/>
            <rFont val="Tahoma"/>
            <family val="2"/>
          </rPr>
          <t>cnelson:</t>
        </r>
        <r>
          <rPr>
            <sz val="10"/>
            <color indexed="81"/>
            <rFont val="Tahoma"/>
            <family val="2"/>
          </rPr>
          <t xml:space="preserve">
Changed from 19.85 using SCADA average.  11/7/11.</t>
        </r>
      </text>
    </comment>
    <comment ref="BJ324" authorId="3">
      <text>
        <r>
          <rPr>
            <b/>
            <sz val="10"/>
            <color indexed="81"/>
            <rFont val="Tahoma"/>
            <family val="2"/>
          </rPr>
          <t>cnelson:</t>
        </r>
        <r>
          <rPr>
            <sz val="10"/>
            <color indexed="81"/>
            <rFont val="Tahoma"/>
            <family val="2"/>
          </rPr>
          <t xml:space="preserve">
Changed from 1.10 to 19.08 using SCADA.  11/7/11</t>
        </r>
      </text>
    </comment>
    <comment ref="BU325" authorId="3">
      <text>
        <r>
          <rPr>
            <b/>
            <sz val="10"/>
            <color indexed="81"/>
            <rFont val="Tahoma"/>
            <family val="2"/>
          </rPr>
          <t>cnelson:</t>
        </r>
        <r>
          <rPr>
            <sz val="10"/>
            <color indexed="81"/>
            <rFont val="Tahoma"/>
            <family val="2"/>
          </rPr>
          <t xml:space="preserve">
Changed from 32.3 to 22.4 using SCADA.  11/10/11.</t>
        </r>
      </text>
    </comment>
    <comment ref="AB328" authorId="3">
      <text>
        <r>
          <rPr>
            <b/>
            <sz val="10"/>
            <color indexed="81"/>
            <rFont val="Tahoma"/>
            <family val="2"/>
          </rPr>
          <t>cnelson:</t>
        </r>
        <r>
          <rPr>
            <sz val="10"/>
            <color indexed="81"/>
            <rFont val="Tahoma"/>
            <family val="2"/>
          </rPr>
          <t xml:space="preserve">
Changed from 9.40 to 9.35 using SCADA.  11/14/11</t>
        </r>
      </text>
    </comment>
    <comment ref="AA329" authorId="3">
      <text>
        <r>
          <rPr>
            <b/>
            <sz val="10"/>
            <color indexed="81"/>
            <rFont val="Tahoma"/>
            <family val="2"/>
          </rPr>
          <t>cnelson:</t>
        </r>
        <r>
          <rPr>
            <sz val="10"/>
            <color indexed="81"/>
            <rFont val="Tahoma"/>
            <family val="2"/>
          </rPr>
          <t xml:space="preserve">
Changed from 26.30 to 26.44 per SCADA.  11/14/11.
</t>
        </r>
      </text>
    </comment>
    <comment ref="AB329" authorId="3">
      <text>
        <r>
          <rPr>
            <b/>
            <sz val="10"/>
            <color indexed="81"/>
            <rFont val="Tahoma"/>
            <family val="2"/>
          </rPr>
          <t>cnelson:</t>
        </r>
        <r>
          <rPr>
            <sz val="10"/>
            <color indexed="81"/>
            <rFont val="Tahoma"/>
            <family val="2"/>
          </rPr>
          <t xml:space="preserve">
Changed from 18.80 to 18.90.  11/14/11</t>
        </r>
      </text>
    </comment>
    <comment ref="AA330" authorId="3">
      <text>
        <r>
          <rPr>
            <b/>
            <sz val="10"/>
            <color indexed="81"/>
            <rFont val="Tahoma"/>
            <family val="2"/>
          </rPr>
          <t>cnelson:</t>
        </r>
        <r>
          <rPr>
            <sz val="10"/>
            <color indexed="81"/>
            <rFont val="Tahoma"/>
            <family val="2"/>
          </rPr>
          <t xml:space="preserve">
Changed from 26.20 to 26.49 per SCADA.  11/14/11</t>
        </r>
      </text>
    </comment>
    <comment ref="AB330" authorId="3">
      <text>
        <r>
          <rPr>
            <b/>
            <sz val="10"/>
            <color indexed="81"/>
            <rFont val="Tahoma"/>
            <family val="2"/>
          </rPr>
          <t>cnelson:</t>
        </r>
        <r>
          <rPr>
            <sz val="10"/>
            <color indexed="81"/>
            <rFont val="Tahoma"/>
            <family val="2"/>
          </rPr>
          <t xml:space="preserve">
Changed from 18.90 to 19.08. 11/14/11</t>
        </r>
      </text>
    </comment>
    <comment ref="AA331" authorId="3">
      <text>
        <r>
          <rPr>
            <b/>
            <sz val="10"/>
            <color indexed="81"/>
            <rFont val="Tahoma"/>
            <family val="2"/>
          </rPr>
          <t>cnelson:</t>
        </r>
        <r>
          <rPr>
            <sz val="10"/>
            <color indexed="81"/>
            <rFont val="Tahoma"/>
            <family val="2"/>
          </rPr>
          <t xml:space="preserve">
Changed from 26.97 to 26.85 per SCADA. 11/14/11</t>
        </r>
      </text>
    </comment>
    <comment ref="AB331" authorId="3">
      <text>
        <r>
          <rPr>
            <b/>
            <sz val="10"/>
            <color indexed="81"/>
            <rFont val="Tahoma"/>
            <family val="2"/>
          </rPr>
          <t>cnelson:</t>
        </r>
        <r>
          <rPr>
            <sz val="10"/>
            <color indexed="81"/>
            <rFont val="Tahoma"/>
            <family val="2"/>
          </rPr>
          <t xml:space="preserve">
Changed from 18.60 to 18.47.  11/14/11</t>
        </r>
      </text>
    </comment>
    <comment ref="AA332" authorId="3">
      <text>
        <r>
          <rPr>
            <b/>
            <sz val="10"/>
            <color indexed="81"/>
            <rFont val="Tahoma"/>
            <family val="2"/>
          </rPr>
          <t>cnelson:</t>
        </r>
        <r>
          <rPr>
            <sz val="10"/>
            <color indexed="81"/>
            <rFont val="Tahoma"/>
            <family val="2"/>
          </rPr>
          <t xml:space="preserve">
Changed from 27.03 to 26.74 using WinCC Average. 11/15/11</t>
        </r>
      </text>
    </comment>
    <comment ref="AB332" authorId="3">
      <text>
        <r>
          <rPr>
            <b/>
            <sz val="10"/>
            <color indexed="81"/>
            <rFont val="Tahoma"/>
            <family val="2"/>
          </rPr>
          <t>cnelson:</t>
        </r>
        <r>
          <rPr>
            <sz val="10"/>
            <color indexed="81"/>
            <rFont val="Tahoma"/>
            <family val="2"/>
          </rPr>
          <t xml:space="preserve">
Changed from 11.40 to 11.19 using WinCC Average on 11/15/11.
</t>
        </r>
      </text>
    </comment>
    <comment ref="AB336" authorId="3">
      <text>
        <r>
          <rPr>
            <b/>
            <sz val="10"/>
            <color indexed="81"/>
            <rFont val="Tahoma"/>
            <family val="2"/>
          </rPr>
          <t>cnelson:</t>
        </r>
        <r>
          <rPr>
            <sz val="10"/>
            <color indexed="81"/>
            <rFont val="Tahoma"/>
            <family val="2"/>
          </rPr>
          <t xml:space="preserve">
Changed from -290.90 to 9.04 per WinCC.</t>
        </r>
      </text>
    </comment>
    <comment ref="AB337" authorId="3">
      <text>
        <r>
          <rPr>
            <b/>
            <sz val="10"/>
            <color indexed="81"/>
            <rFont val="Tahoma"/>
            <family val="2"/>
          </rPr>
          <t>cnelson:</t>
        </r>
        <r>
          <rPr>
            <sz val="10"/>
            <color indexed="81"/>
            <rFont val="Tahoma"/>
            <family val="2"/>
          </rPr>
          <t xml:space="preserve">
Changed from 308.90 to 8.80 per WinCC.</t>
        </r>
      </text>
    </comment>
    <comment ref="BK339" authorId="3">
      <text>
        <r>
          <rPr>
            <b/>
            <sz val="10"/>
            <color indexed="81"/>
            <rFont val="Tahoma"/>
            <family val="2"/>
          </rPr>
          <t>cnelson:</t>
        </r>
        <r>
          <rPr>
            <sz val="10"/>
            <color indexed="81"/>
            <rFont val="Tahoma"/>
            <family val="2"/>
          </rPr>
          <t xml:space="preserve">
Changed from 0.0 to 1.75 per WinCC.</t>
        </r>
      </text>
    </comment>
    <comment ref="BL339" authorId="3">
      <text>
        <r>
          <rPr>
            <b/>
            <sz val="10"/>
            <color indexed="81"/>
            <rFont val="Tahoma"/>
            <family val="2"/>
          </rPr>
          <t>cnelson:</t>
        </r>
        <r>
          <rPr>
            <sz val="10"/>
            <color indexed="81"/>
            <rFont val="Tahoma"/>
            <family val="2"/>
          </rPr>
          <t xml:space="preserve">
Changed from 1.53 to 1.75 using WinCC</t>
        </r>
      </text>
    </comment>
    <comment ref="BM339" authorId="3">
      <text>
        <r>
          <rPr>
            <b/>
            <sz val="10"/>
            <color indexed="81"/>
            <rFont val="Tahoma"/>
            <family val="2"/>
          </rPr>
          <t>cnelson:</t>
        </r>
        <r>
          <rPr>
            <sz val="10"/>
            <color indexed="81"/>
            <rFont val="Tahoma"/>
            <family val="2"/>
          </rPr>
          <t xml:space="preserve">
Changed from 1.71 to 0.0 per WinCC</t>
        </r>
      </text>
    </comment>
    <comment ref="AA340" authorId="3">
      <text>
        <r>
          <rPr>
            <b/>
            <sz val="10"/>
            <color indexed="81"/>
            <rFont val="Tahoma"/>
            <family val="2"/>
          </rPr>
          <t>cnelson:</t>
        </r>
        <r>
          <rPr>
            <sz val="10"/>
            <color indexed="81"/>
            <rFont val="Tahoma"/>
            <family val="2"/>
          </rPr>
          <t xml:space="preserve">
changed from 28.31 to 27.68 per WinCC</t>
        </r>
      </text>
    </comment>
    <comment ref="AB340" authorId="3">
      <text>
        <r>
          <rPr>
            <b/>
            <sz val="10"/>
            <color indexed="81"/>
            <rFont val="Tahoma"/>
            <family val="2"/>
          </rPr>
          <t>cnelson:</t>
        </r>
        <r>
          <rPr>
            <sz val="10"/>
            <color indexed="81"/>
            <rFont val="Tahoma"/>
            <family val="2"/>
          </rPr>
          <t xml:space="preserve">
Changed from 23.64 to 23.08 per WinCC.</t>
        </r>
      </text>
    </comment>
    <comment ref="AA341" authorId="3">
      <text>
        <r>
          <rPr>
            <b/>
            <sz val="10"/>
            <color indexed="81"/>
            <rFont val="Tahoma"/>
            <family val="2"/>
          </rPr>
          <t>cnelson:</t>
        </r>
        <r>
          <rPr>
            <sz val="10"/>
            <color indexed="81"/>
            <rFont val="Tahoma"/>
            <family val="2"/>
          </rPr>
          <t xml:space="preserve">
Changed to 26.99 per WinCC from "Value".</t>
        </r>
      </text>
    </comment>
    <comment ref="CY345" authorId="3">
      <text>
        <r>
          <rPr>
            <b/>
            <sz val="10"/>
            <color indexed="81"/>
            <rFont val="Tahoma"/>
            <family val="2"/>
          </rPr>
          <t>cnelson:</t>
        </r>
        <r>
          <rPr>
            <sz val="10"/>
            <color indexed="81"/>
            <rFont val="Tahoma"/>
            <family val="2"/>
          </rPr>
          <t xml:space="preserve">
Changed from (-)901.0.  Data obtained from Corps website.</t>
        </r>
      </text>
    </comment>
    <comment ref="AA347" authorId="3">
      <text>
        <r>
          <rPr>
            <b/>
            <sz val="10"/>
            <color indexed="81"/>
            <rFont val="Tahoma"/>
            <family val="2"/>
          </rPr>
          <t>cnelson:</t>
        </r>
        <r>
          <rPr>
            <sz val="10"/>
            <color indexed="81"/>
            <rFont val="Tahoma"/>
            <family val="2"/>
          </rPr>
          <t xml:space="preserve">
changed from 26.00 to 25.40
</t>
        </r>
      </text>
    </comment>
    <comment ref="AB347" authorId="3">
      <text>
        <r>
          <rPr>
            <b/>
            <sz val="10"/>
            <color indexed="81"/>
            <rFont val="Tahoma"/>
            <family val="2"/>
          </rPr>
          <t>cnelson:</t>
        </r>
        <r>
          <rPr>
            <sz val="10"/>
            <color indexed="81"/>
            <rFont val="Tahoma"/>
            <family val="2"/>
          </rPr>
          <t xml:space="preserve">
Changed from 20.0 to 19.17
</t>
        </r>
      </text>
    </comment>
    <comment ref="AV349" authorId="2">
      <text>
        <r>
          <rPr>
            <b/>
            <sz val="8"/>
            <color indexed="81"/>
            <rFont val="Tahoma"/>
            <family val="2"/>
          </rPr>
          <t>cjohnso2:</t>
        </r>
        <r>
          <rPr>
            <sz val="8"/>
            <color indexed="81"/>
            <rFont val="Tahoma"/>
            <family val="2"/>
          </rPr>
          <t xml:space="preserve">
Changed from 3.36.  </t>
        </r>
      </text>
    </comment>
    <comment ref="AA351" authorId="2">
      <text>
        <r>
          <rPr>
            <b/>
            <sz val="8"/>
            <color indexed="81"/>
            <rFont val="Tahoma"/>
            <family val="2"/>
          </rPr>
          <t>cjohnso2: Changed from 27.00 using 24 hour average</t>
        </r>
      </text>
    </comment>
    <comment ref="AA352" authorId="2">
      <text>
        <r>
          <rPr>
            <b/>
            <sz val="8"/>
            <color indexed="81"/>
            <rFont val="Tahoma"/>
            <family val="2"/>
          </rPr>
          <t>cjohnso2:</t>
        </r>
        <r>
          <rPr>
            <sz val="8"/>
            <color indexed="81"/>
            <rFont val="Tahoma"/>
            <family val="2"/>
          </rPr>
          <t xml:space="preserve">
Changed from 26.00 using 24 hour.</t>
        </r>
      </text>
    </comment>
    <comment ref="AB352" authorId="2">
      <text>
        <r>
          <rPr>
            <b/>
            <sz val="8"/>
            <color indexed="81"/>
            <rFont val="Tahoma"/>
            <family val="2"/>
          </rPr>
          <t>cjohnso2:</t>
        </r>
        <r>
          <rPr>
            <sz val="8"/>
            <color indexed="81"/>
            <rFont val="Tahoma"/>
            <family val="2"/>
          </rPr>
          <t xml:space="preserve">
Changed using 24 hour flow</t>
        </r>
      </text>
    </comment>
    <comment ref="CY352" authorId="2">
      <text>
        <r>
          <rPr>
            <b/>
            <sz val="8"/>
            <color indexed="81"/>
            <rFont val="Tahoma"/>
            <family val="2"/>
          </rPr>
          <t>cjohnso2:</t>
        </r>
        <r>
          <rPr>
            <sz val="8"/>
            <color indexed="81"/>
            <rFont val="Tahoma"/>
            <family val="2"/>
          </rPr>
          <t xml:space="preserve">
cjohnso2:  -901 - Corps site says 1075.62
</t>
        </r>
      </text>
    </comment>
    <comment ref="AA353" authorId="3">
      <text>
        <r>
          <rPr>
            <b/>
            <sz val="10"/>
            <color indexed="81"/>
            <rFont val="Tahoma"/>
            <family val="2"/>
          </rPr>
          <t>cnelson:</t>
        </r>
        <r>
          <rPr>
            <sz val="10"/>
            <color indexed="81"/>
            <rFont val="Tahoma"/>
            <family val="2"/>
          </rPr>
          <t xml:space="preserve">
Changed from 27.5 to 26.8 per totalizer reading for FIT11010.
</t>
        </r>
      </text>
    </comment>
    <comment ref="AA354" authorId="3">
      <text>
        <r>
          <rPr>
            <b/>
            <sz val="10"/>
            <color indexed="81"/>
            <rFont val="Tahoma"/>
            <family val="2"/>
          </rPr>
          <t>cnelson:</t>
        </r>
        <r>
          <rPr>
            <sz val="10"/>
            <color indexed="81"/>
            <rFont val="Tahoma"/>
            <family val="2"/>
          </rPr>
          <t xml:space="preserve">
changed from 26.5 to 27.2 per daily totalizer read for FIT11010 in HOC P1 FCF.
</t>
        </r>
      </text>
    </comment>
    <comment ref="AB354" authorId="3">
      <text>
        <r>
          <rPr>
            <b/>
            <sz val="10"/>
            <color indexed="81"/>
            <rFont val="Tahoma"/>
            <family val="2"/>
          </rPr>
          <t>cnelson:</t>
        </r>
        <r>
          <rPr>
            <sz val="10"/>
            <color indexed="81"/>
            <rFont val="Tahoma"/>
            <family val="2"/>
          </rPr>
          <t xml:space="preserve">
Changed from 26.72 to 27.4 per daily totalizer read for FIT15010 in HOC P1 FCF.</t>
        </r>
      </text>
    </comment>
    <comment ref="CP356" authorId="3">
      <text>
        <r>
          <rPr>
            <b/>
            <sz val="10"/>
            <color indexed="81"/>
            <rFont val="Tahoma"/>
            <family val="2"/>
          </rPr>
          <t>cnelson:</t>
        </r>
        <r>
          <rPr>
            <sz val="10"/>
            <color indexed="81"/>
            <rFont val="Tahoma"/>
            <family val="2"/>
          </rPr>
          <t xml:space="preserve">
Typo.  Changed from 1381.00 to 13.81 per WinCC.
</t>
        </r>
      </text>
    </comment>
    <comment ref="AB359" authorId="3">
      <text>
        <r>
          <rPr>
            <b/>
            <sz val="10"/>
            <color indexed="81"/>
            <rFont val="Tahoma"/>
            <family val="2"/>
          </rPr>
          <t>cnelson:</t>
        </r>
        <r>
          <rPr>
            <sz val="10"/>
            <color indexed="81"/>
            <rFont val="Tahoma"/>
            <family val="2"/>
          </rPr>
          <t xml:space="preserve">
Changed from 24.62 to 24.10 per totalizer read for FIT15010.</t>
        </r>
      </text>
    </comment>
    <comment ref="BN360" authorId="3">
      <text>
        <r>
          <rPr>
            <b/>
            <sz val="10"/>
            <color indexed="81"/>
            <rFont val="Tahoma"/>
            <family val="2"/>
          </rPr>
          <t>cnelson:</t>
        </r>
        <r>
          <rPr>
            <sz val="10"/>
            <color indexed="81"/>
            <rFont val="Tahoma"/>
            <family val="2"/>
          </rPr>
          <t xml:space="preserve">
Need to adjust based on meter maintenance performed on 12/16.</t>
        </r>
      </text>
    </comment>
    <comment ref="AA361" authorId="3">
      <text>
        <r>
          <rPr>
            <b/>
            <sz val="10"/>
            <color indexed="81"/>
            <rFont val="Tahoma"/>
            <family val="2"/>
          </rPr>
          <t>cnelson:</t>
        </r>
        <r>
          <rPr>
            <sz val="10"/>
            <color indexed="81"/>
            <rFont val="Tahoma"/>
            <family val="2"/>
          </rPr>
          <t xml:space="preserve">
Changed from 28.0 to 27.3 using Totalizer for FIT11010.</t>
        </r>
      </text>
    </comment>
    <comment ref="AB361" authorId="3">
      <text>
        <r>
          <rPr>
            <b/>
            <sz val="10"/>
            <color indexed="81"/>
            <rFont val="Tahoma"/>
            <family val="2"/>
          </rPr>
          <t>cnelson:</t>
        </r>
        <r>
          <rPr>
            <sz val="10"/>
            <color indexed="81"/>
            <rFont val="Tahoma"/>
            <family val="2"/>
          </rPr>
          <t xml:space="preserve">
Changed from 26.0 to 25.9 using totalizer for FIT15010.
</t>
        </r>
      </text>
    </comment>
    <comment ref="BN361" authorId="3">
      <text>
        <r>
          <rPr>
            <b/>
            <sz val="10"/>
            <color indexed="81"/>
            <rFont val="Tahoma"/>
            <family val="2"/>
          </rPr>
          <t>cnelson:</t>
        </r>
        <r>
          <rPr>
            <sz val="10"/>
            <color indexed="81"/>
            <rFont val="Tahoma"/>
            <family val="2"/>
          </rPr>
          <t xml:space="preserve">
Need to adjust based on meter maintenance performed on 12/16.</t>
        </r>
      </text>
    </comment>
    <comment ref="BN362" authorId="3">
      <text>
        <r>
          <rPr>
            <b/>
            <sz val="10"/>
            <color indexed="81"/>
            <rFont val="Tahoma"/>
            <family val="2"/>
          </rPr>
          <t>cnelson:</t>
        </r>
        <r>
          <rPr>
            <sz val="10"/>
            <color indexed="81"/>
            <rFont val="Tahoma"/>
            <family val="2"/>
          </rPr>
          <t xml:space="preserve">
Need to adjust based on meter maintenance performed on 12/16.
</t>
        </r>
      </text>
    </comment>
    <comment ref="BN363" authorId="3">
      <text>
        <r>
          <rPr>
            <b/>
            <sz val="10"/>
            <color indexed="81"/>
            <rFont val="Tahoma"/>
            <family val="2"/>
          </rPr>
          <t>cnelson:</t>
        </r>
        <r>
          <rPr>
            <sz val="10"/>
            <color indexed="81"/>
            <rFont val="Tahoma"/>
            <family val="2"/>
          </rPr>
          <t xml:space="preserve">
Need to adjust based on meter maintenance performed on 12/16.</t>
        </r>
      </text>
    </comment>
    <comment ref="AB364" authorId="3">
      <text>
        <r>
          <rPr>
            <b/>
            <sz val="10"/>
            <color indexed="81"/>
            <rFont val="Tahoma"/>
            <family val="2"/>
          </rPr>
          <t>cnelson:</t>
        </r>
        <r>
          <rPr>
            <sz val="10"/>
            <color indexed="81"/>
            <rFont val="Tahoma"/>
            <family val="2"/>
          </rPr>
          <t xml:space="preserve">
Changed from  30.45 to 29.96 per WinCC 24-hr trending average</t>
        </r>
      </text>
    </comment>
    <comment ref="AB365" authorId="3">
      <text>
        <r>
          <rPr>
            <b/>
            <sz val="10"/>
            <color indexed="81"/>
            <rFont val="Tahoma"/>
            <family val="2"/>
          </rPr>
          <t>cnelson:</t>
        </r>
        <r>
          <rPr>
            <sz val="10"/>
            <color indexed="81"/>
            <rFont val="Tahoma"/>
            <family val="2"/>
          </rPr>
          <t xml:space="preserve">
Changed from 28.00 to 28.82 per WinCC 24-hr average trending.</t>
        </r>
      </text>
    </comment>
    <comment ref="AA366" authorId="3">
      <text>
        <r>
          <rPr>
            <b/>
            <sz val="10"/>
            <color indexed="81"/>
            <rFont val="Tahoma"/>
            <family val="2"/>
          </rPr>
          <t>cnelson:</t>
        </r>
        <r>
          <rPr>
            <sz val="10"/>
            <color indexed="81"/>
            <rFont val="Tahoma"/>
            <family val="2"/>
          </rPr>
          <t xml:space="preserve">
Changed from 30.00 to 28.8 per totalizer for FIT11010.</t>
        </r>
      </text>
    </comment>
    <comment ref="AB366" authorId="3">
      <text>
        <r>
          <rPr>
            <b/>
            <sz val="10"/>
            <color indexed="81"/>
            <rFont val="Tahoma"/>
            <family val="2"/>
          </rPr>
          <t>cnelson:</t>
        </r>
        <r>
          <rPr>
            <sz val="10"/>
            <color indexed="81"/>
            <rFont val="Tahoma"/>
            <family val="2"/>
          </rPr>
          <t xml:space="preserve">
Changed from 29.0 to 27.92 per totalizer read for FIT15010.</t>
        </r>
      </text>
    </comment>
    <comment ref="AA367" authorId="3">
      <text>
        <r>
          <rPr>
            <b/>
            <sz val="10"/>
            <color indexed="81"/>
            <rFont val="Tahoma"/>
            <family val="2"/>
          </rPr>
          <t>cnelson:</t>
        </r>
        <r>
          <rPr>
            <sz val="10"/>
            <color indexed="81"/>
            <rFont val="Tahoma"/>
            <family val="2"/>
          </rPr>
          <t xml:space="preserve">
Changed from 27.94 to 28.89 per totalizer for FIT11010</t>
        </r>
      </text>
    </comment>
    <comment ref="AB367" authorId="3">
      <text>
        <r>
          <rPr>
            <b/>
            <sz val="10"/>
            <color indexed="81"/>
            <rFont val="Tahoma"/>
            <family val="2"/>
          </rPr>
          <t>cnelson:</t>
        </r>
        <r>
          <rPr>
            <sz val="10"/>
            <color indexed="81"/>
            <rFont val="Tahoma"/>
            <family val="2"/>
          </rPr>
          <t xml:space="preserve">
Changed from 26.92 to 27.28 per totalizer for FIT15010
</t>
        </r>
      </text>
    </comment>
    <comment ref="BF367" authorId="3">
      <text>
        <r>
          <rPr>
            <b/>
            <sz val="10"/>
            <color indexed="81"/>
            <rFont val="Tahoma"/>
            <family val="2"/>
          </rPr>
          <t>cnelson:</t>
        </r>
        <r>
          <rPr>
            <sz val="10"/>
            <color indexed="81"/>
            <rFont val="Tahoma"/>
            <family val="2"/>
          </rPr>
          <t xml:space="preserve">
Changed from 0.0 to 0.17 per totalizer on Covington page
</t>
        </r>
      </text>
    </comment>
    <comment ref="BK367" authorId="3">
      <text>
        <r>
          <rPr>
            <b/>
            <sz val="10"/>
            <color indexed="81"/>
            <rFont val="Tahoma"/>
            <family val="2"/>
          </rPr>
          <t>cnelson:</t>
        </r>
        <r>
          <rPr>
            <sz val="10"/>
            <color indexed="81"/>
            <rFont val="Tahoma"/>
            <family val="2"/>
          </rPr>
          <t xml:space="preserve">
Changed from 2.48 to 2.58 per WinCC Trend
</t>
        </r>
      </text>
    </comment>
    <comment ref="BL367" authorId="3">
      <text>
        <r>
          <rPr>
            <b/>
            <sz val="10"/>
            <color indexed="81"/>
            <rFont val="Tahoma"/>
            <family val="2"/>
          </rPr>
          <t>cnelson:</t>
        </r>
        <r>
          <rPr>
            <sz val="10"/>
            <color indexed="81"/>
            <rFont val="Tahoma"/>
            <family val="2"/>
          </rPr>
          <t xml:space="preserve">
Changed from 2.56 to 3.92 per WinCC trend average</t>
        </r>
      </text>
    </comment>
    <comment ref="BN367" authorId="3">
      <text>
        <r>
          <rPr>
            <b/>
            <sz val="10"/>
            <color indexed="81"/>
            <rFont val="Tahoma"/>
            <family val="2"/>
          </rPr>
          <t>cnelson:</t>
        </r>
        <r>
          <rPr>
            <sz val="10"/>
            <color indexed="81"/>
            <rFont val="Tahoma"/>
            <family val="2"/>
          </rPr>
          <t xml:space="preserve">
Transducer cables and connections worked on by electrical.  Meter was down for a couple short periods, may be causing low total.</t>
        </r>
      </text>
    </comment>
    <comment ref="AA368" authorId="3">
      <text>
        <r>
          <rPr>
            <b/>
            <sz val="10"/>
            <color indexed="81"/>
            <rFont val="Tahoma"/>
            <family val="2"/>
          </rPr>
          <t>cnelson:</t>
        </r>
        <r>
          <rPr>
            <sz val="10"/>
            <color indexed="81"/>
            <rFont val="Tahoma"/>
            <family val="2"/>
          </rPr>
          <t xml:space="preserve">
Changed from 29.16 to 28.81 per totalizer for FIT11010
</t>
        </r>
      </text>
    </comment>
    <comment ref="AB368" authorId="3">
      <text>
        <r>
          <rPr>
            <b/>
            <sz val="10"/>
            <color indexed="81"/>
            <rFont val="Tahoma"/>
            <family val="2"/>
          </rPr>
          <t>cnelson:</t>
        </r>
        <r>
          <rPr>
            <sz val="10"/>
            <color indexed="81"/>
            <rFont val="Tahoma"/>
            <family val="2"/>
          </rPr>
          <t xml:space="preserve">
Changed from 26.4 to 26.1 per totalizer FIT15010.</t>
        </r>
      </text>
    </comment>
    <comment ref="BK368" authorId="3">
      <text>
        <r>
          <rPr>
            <b/>
            <sz val="10"/>
            <color indexed="81"/>
            <rFont val="Tahoma"/>
            <family val="2"/>
          </rPr>
          <t>cnelson:</t>
        </r>
        <r>
          <rPr>
            <sz val="10"/>
            <color indexed="81"/>
            <rFont val="Tahoma"/>
            <family val="2"/>
          </rPr>
          <t xml:space="preserve">
changed from 2.02 to 3.09 per 24-hr trend in SCADA for T3-LUD1_Flow
</t>
        </r>
      </text>
    </comment>
    <comment ref="BL368" authorId="3">
      <text>
        <r>
          <rPr>
            <b/>
            <sz val="10"/>
            <color indexed="81"/>
            <rFont val="Tahoma"/>
            <family val="2"/>
          </rPr>
          <t>cnelson:</t>
        </r>
        <r>
          <rPr>
            <sz val="10"/>
            <color indexed="81"/>
            <rFont val="Tahoma"/>
            <family val="2"/>
          </rPr>
          <t xml:space="preserve">
Changed from 3.07 to 3.47 per 24-hr trend in WinCC for T9-LUD2-Flow.
</t>
        </r>
      </text>
    </comment>
    <comment ref="AB369" authorId="3">
      <text>
        <r>
          <rPr>
            <b/>
            <sz val="10"/>
            <color indexed="81"/>
            <rFont val="Tahoma"/>
            <family val="2"/>
          </rPr>
          <t>cnelson:</t>
        </r>
        <r>
          <rPr>
            <sz val="10"/>
            <color indexed="81"/>
            <rFont val="Tahoma"/>
            <family val="2"/>
          </rPr>
          <t xml:space="preserve">
Changed from 24.68 to 24.99 per FIT15010 totalizer</t>
        </r>
      </text>
    </comment>
    <comment ref="BK369" authorId="3">
      <text>
        <r>
          <rPr>
            <b/>
            <sz val="10"/>
            <color indexed="81"/>
            <rFont val="Tahoma"/>
            <family val="2"/>
          </rPr>
          <t>cnelson:</t>
        </r>
        <r>
          <rPr>
            <sz val="10"/>
            <color indexed="81"/>
            <rFont val="Tahoma"/>
            <family val="2"/>
          </rPr>
          <t xml:space="preserve">
Changed from 1.93 to 3.18 per WinCC trending average.
</t>
        </r>
      </text>
    </comment>
    <comment ref="BL369" authorId="3">
      <text>
        <r>
          <rPr>
            <b/>
            <sz val="10"/>
            <color indexed="81"/>
            <rFont val="Tahoma"/>
            <family val="2"/>
          </rPr>
          <t>cnelson:</t>
        </r>
        <r>
          <rPr>
            <sz val="10"/>
            <color indexed="81"/>
            <rFont val="Tahoma"/>
            <family val="2"/>
          </rPr>
          <t xml:space="preserve">
Changed from 3.14 to 3.37 per WinCC trending average.</t>
        </r>
      </text>
    </comment>
    <comment ref="BN369" authorId="3">
      <text>
        <r>
          <rPr>
            <b/>
            <sz val="10"/>
            <color indexed="81"/>
            <rFont val="Tahoma"/>
            <family val="2"/>
          </rPr>
          <t>cnelson:</t>
        </r>
        <r>
          <rPr>
            <sz val="10"/>
            <color indexed="81"/>
            <rFont val="Tahoma"/>
            <family val="2"/>
          </rPr>
          <t xml:space="preserve">
Changed from 17.4 to 16.42 per WinCC trending average in the Report Tab, PL5 Supply Trend.</t>
        </r>
      </text>
    </comment>
    <comment ref="BF370" authorId="3">
      <text>
        <r>
          <rPr>
            <b/>
            <sz val="10"/>
            <color indexed="81"/>
            <rFont val="Tahoma"/>
            <family val="2"/>
          </rPr>
          <t>cnelson:</t>
        </r>
        <r>
          <rPr>
            <sz val="10"/>
            <color indexed="81"/>
            <rFont val="Tahoma"/>
            <family val="2"/>
          </rPr>
          <t xml:space="preserve">
Changed from 0.0 to 0.15 per WinCC trending on Covington Page
</t>
        </r>
      </text>
    </comment>
    <comment ref="BF371" authorId="3">
      <text>
        <r>
          <rPr>
            <b/>
            <sz val="10"/>
            <color indexed="81"/>
            <rFont val="Tahoma"/>
            <family val="2"/>
          </rPr>
          <t>cnelson:</t>
        </r>
        <r>
          <rPr>
            <sz val="10"/>
            <color indexed="81"/>
            <rFont val="Tahoma"/>
            <family val="2"/>
          </rPr>
          <t xml:space="preserve">
Changed from 0.00 to 0.50 per Wincc Trending on Covington Page</t>
        </r>
      </text>
    </comment>
    <comment ref="BK371" authorId="3">
      <text>
        <r>
          <rPr>
            <b/>
            <sz val="10"/>
            <color indexed="81"/>
            <rFont val="Tahoma"/>
            <family val="2"/>
          </rPr>
          <t>cnelson:</t>
        </r>
        <r>
          <rPr>
            <sz val="10"/>
            <color indexed="81"/>
            <rFont val="Tahoma"/>
            <family val="2"/>
          </rPr>
          <t xml:space="preserve">
Changed from 1.92 to 3.18 per WinCC average in LH Page</t>
        </r>
      </text>
    </comment>
    <comment ref="AB372" authorId="3">
      <text>
        <r>
          <rPr>
            <b/>
            <sz val="10"/>
            <color indexed="81"/>
            <rFont val="Tahoma"/>
            <family val="2"/>
          </rPr>
          <t>cnelson:</t>
        </r>
        <r>
          <rPr>
            <sz val="10"/>
            <color indexed="81"/>
            <rFont val="Tahoma"/>
            <family val="2"/>
          </rPr>
          <t xml:space="preserve">
changed from 24.50 to 23.99 per Totalizer for meter</t>
        </r>
      </text>
    </comment>
    <comment ref="BF372" authorId="3">
      <text>
        <r>
          <rPr>
            <b/>
            <sz val="10"/>
            <color indexed="81"/>
            <rFont val="Tahoma"/>
            <family val="2"/>
          </rPr>
          <t>cnelson:</t>
        </r>
        <r>
          <rPr>
            <sz val="10"/>
            <color indexed="81"/>
            <rFont val="Tahoma"/>
            <family val="2"/>
          </rPr>
          <t xml:space="preserve">
Changed from 0.00 to 0.50 per WinCC Trending on Covington Page</t>
        </r>
      </text>
    </comment>
    <comment ref="BK372" authorId="3">
      <text>
        <r>
          <rPr>
            <b/>
            <sz val="10"/>
            <color indexed="81"/>
            <rFont val="Tahoma"/>
            <family val="2"/>
          </rPr>
          <t>cnelson:</t>
        </r>
        <r>
          <rPr>
            <sz val="10"/>
            <color indexed="81"/>
            <rFont val="Tahoma"/>
            <family val="2"/>
          </rPr>
          <t xml:space="preserve">
Changed from 1.92 to 3.18 per WinCC midnight to midnight average treding of LH Page</t>
        </r>
      </text>
    </comment>
    <comment ref="BL372" authorId="3">
      <text>
        <r>
          <rPr>
            <b/>
            <sz val="10"/>
            <color indexed="81"/>
            <rFont val="Tahoma"/>
            <family val="2"/>
          </rPr>
          <t>cnelson:</t>
        </r>
        <r>
          <rPr>
            <sz val="10"/>
            <color indexed="81"/>
            <rFont val="Tahoma"/>
            <family val="2"/>
          </rPr>
          <t xml:space="preserve">
Changed from 3.14 to 3.37 per WinCC average in LH Page</t>
        </r>
      </text>
    </comment>
    <comment ref="BF373" authorId="3">
      <text>
        <r>
          <rPr>
            <b/>
            <sz val="10"/>
            <color indexed="81"/>
            <rFont val="Tahoma"/>
            <family val="2"/>
          </rPr>
          <t>cnelson:</t>
        </r>
        <r>
          <rPr>
            <sz val="10"/>
            <color indexed="81"/>
            <rFont val="Tahoma"/>
            <family val="2"/>
          </rPr>
          <t xml:space="preserve">
Changed from 0.00 to 0.50 per WinCC Trending on Covington Page</t>
        </r>
      </text>
    </comment>
    <comment ref="BK373" authorId="3">
      <text>
        <r>
          <rPr>
            <b/>
            <sz val="10"/>
            <color indexed="81"/>
            <rFont val="Tahoma"/>
            <family val="2"/>
          </rPr>
          <t>cnelson:</t>
        </r>
        <r>
          <rPr>
            <sz val="10"/>
            <color indexed="81"/>
            <rFont val="Tahoma"/>
            <family val="2"/>
          </rPr>
          <t xml:space="preserve">
Changed from 2.21 to 2.60 per Winn CC trending average on LH page</t>
        </r>
      </text>
    </comment>
    <comment ref="BL373" authorId="3">
      <text>
        <r>
          <rPr>
            <b/>
            <sz val="10"/>
            <color indexed="81"/>
            <rFont val="Tahoma"/>
            <family val="2"/>
          </rPr>
          <t>cnelson:</t>
        </r>
        <r>
          <rPr>
            <sz val="10"/>
            <color indexed="81"/>
            <rFont val="Tahoma"/>
            <family val="2"/>
          </rPr>
          <t xml:space="preserve">
Changed from 3.03 to 4.66 per WinCC midnight to midnight trending of LH Page
</t>
        </r>
      </text>
    </comment>
    <comment ref="BK374" authorId="3">
      <text>
        <r>
          <rPr>
            <b/>
            <sz val="10"/>
            <color indexed="81"/>
            <rFont val="Tahoma"/>
            <family val="2"/>
          </rPr>
          <t>cnelson:</t>
        </r>
        <r>
          <rPr>
            <sz val="10"/>
            <color indexed="81"/>
            <rFont val="Tahoma"/>
            <family val="2"/>
          </rPr>
          <t xml:space="preserve">
Changed from 1.58 to 1.85 per WinCC midnight to midnight trending from LH Page</t>
        </r>
      </text>
    </comment>
    <comment ref="AB375" authorId="3">
      <text>
        <r>
          <rPr>
            <b/>
            <sz val="10"/>
            <color indexed="81"/>
            <rFont val="Tahoma"/>
            <family val="2"/>
          </rPr>
          <t>cnelson:</t>
        </r>
        <r>
          <rPr>
            <sz val="10"/>
            <color indexed="81"/>
            <rFont val="Tahoma"/>
            <family val="2"/>
          </rPr>
          <t xml:space="preserve">
Changed from 22.00 to 21.7 per totalizer for FIT15010
</t>
        </r>
      </text>
    </comment>
    <comment ref="CV375" authorId="3">
      <text>
        <r>
          <rPr>
            <b/>
            <sz val="10"/>
            <color indexed="81"/>
            <rFont val="Tahoma"/>
            <family val="2"/>
          </rPr>
          <t>cnelson:</t>
        </r>
        <r>
          <rPr>
            <sz val="10"/>
            <color indexed="81"/>
            <rFont val="Tahoma"/>
            <family val="2"/>
          </rPr>
          <t xml:space="preserve">
Value taken from Corps website</t>
        </r>
      </text>
    </comment>
    <comment ref="CY375" authorId="3">
      <text>
        <r>
          <rPr>
            <b/>
            <sz val="10"/>
            <color indexed="81"/>
            <rFont val="Tahoma"/>
            <family val="2"/>
          </rPr>
          <t>cnelson:</t>
        </r>
        <r>
          <rPr>
            <sz val="10"/>
            <color indexed="81"/>
            <rFont val="Tahoma"/>
            <family val="2"/>
          </rPr>
          <t xml:space="preserve">
Value taken from Corps website
</t>
        </r>
      </text>
    </comment>
    <comment ref="AB377" authorId="3">
      <text>
        <r>
          <rPr>
            <b/>
            <sz val="10"/>
            <color indexed="81"/>
            <rFont val="Tahoma"/>
            <family val="2"/>
          </rPr>
          <t>cnelson:</t>
        </r>
        <r>
          <rPr>
            <sz val="10"/>
            <color indexed="81"/>
            <rFont val="Tahoma"/>
            <family val="2"/>
          </rPr>
          <t xml:space="preserve">
Changed from 14.70 to 14.09 per totalizer for FIT15010</t>
        </r>
      </text>
    </comment>
  </commentList>
</comments>
</file>

<file path=xl/comments6.xml><?xml version="1.0" encoding="utf-8"?>
<comments xmlns="http://schemas.openxmlformats.org/spreadsheetml/2006/main">
  <authors>
    <author>jmoline</author>
    <author>cjohnso2</author>
    <author>cnelson</author>
  </authors>
  <commentList>
    <comment ref="A1" authorId="0">
      <text>
        <r>
          <rPr>
            <b/>
            <sz val="8"/>
            <color indexed="81"/>
            <rFont val="Tahoma"/>
            <family val="2"/>
          </rPr>
          <t>jmoline:</t>
        </r>
        <r>
          <rPr>
            <sz val="8"/>
            <color indexed="81"/>
            <rFont val="Tahoma"/>
            <family val="2"/>
          </rPr>
          <t xml:space="preserve">
Must be the year of the report for equations to work properly.</t>
        </r>
      </text>
    </comment>
    <comment ref="GG5" authorId="0">
      <text>
        <r>
          <rPr>
            <b/>
            <sz val="8"/>
            <color indexed="81"/>
            <rFont val="Tahoma"/>
            <family val="2"/>
          </rPr>
          <t>jmoline:</t>
        </r>
        <r>
          <rPr>
            <sz val="8"/>
            <color indexed="81"/>
            <rFont val="Tahoma"/>
            <family val="2"/>
          </rPr>
          <t xml:space="preserve">
After end of storage date, =0.  Then adds storage adjustment.</t>
        </r>
      </text>
    </comment>
    <comment ref="D7" authorId="0">
      <text>
        <r>
          <rPr>
            <b/>
            <sz val="8"/>
            <color indexed="81"/>
            <rFont val="Tahoma"/>
            <family val="2"/>
          </rPr>
          <t>jmoline:</t>
        </r>
        <r>
          <rPr>
            <sz val="8"/>
            <color indexed="81"/>
            <rFont val="Tahoma"/>
            <family val="2"/>
          </rPr>
          <t xml:space="preserve">
From July 15 to Sept 15, uses 200 cfs, per Section 2.2.1 of MIT Agreement.  From Sept 16 to July 14, uses 300 cfs.</t>
        </r>
      </text>
    </comment>
    <comment ref="E7" authorId="0">
      <text>
        <r>
          <rPr>
            <b/>
            <sz val="8"/>
            <color indexed="81"/>
            <rFont val="Tahoma"/>
            <family val="2"/>
          </rPr>
          <t>jmoline:</t>
        </r>
        <r>
          <rPr>
            <sz val="8"/>
            <color indexed="81"/>
            <rFont val="Tahoma"/>
            <family val="2"/>
          </rPr>
          <t xml:space="preserve">
From July 15 to Sept 15, uses 400 cfs, per Section 2.2.2 of MIT Agreement.  Otherwise uses 250 cfs.</t>
        </r>
      </text>
    </comment>
    <comment ref="H7" authorId="0">
      <text>
        <r>
          <rPr>
            <b/>
            <sz val="8"/>
            <color indexed="81"/>
            <rFont val="Tahoma"/>
            <family val="2"/>
          </rPr>
          <t>jmoline:</t>
        </r>
        <r>
          <rPr>
            <sz val="8"/>
            <color indexed="81"/>
            <rFont val="Tahoma"/>
            <family val="2"/>
          </rPr>
          <t xml:space="preserve">
HH Inflow must be greater than FDWR (113 cfs) plus Palmer min (200 or 300 cfs) for SDWR</t>
        </r>
      </text>
    </comment>
    <comment ref="J7" authorId="0">
      <text>
        <r>
          <rPr>
            <b/>
            <sz val="8"/>
            <color indexed="81"/>
            <rFont val="Tahoma"/>
            <family val="2"/>
          </rPr>
          <t>jmoline:</t>
        </r>
        <r>
          <rPr>
            <sz val="8"/>
            <color indexed="81"/>
            <rFont val="Tahoma"/>
            <family val="2"/>
          </rPr>
          <t xml:space="preserve">
revised on 5/3/10 to use old formula except during refill period, where SDWR=64.64 MGD unless flow at Palmer is below minimum</t>
        </r>
      </text>
    </comment>
    <comment ref="X7" authorId="0">
      <text>
        <r>
          <rPr>
            <b/>
            <sz val="8"/>
            <color indexed="81"/>
            <rFont val="Tahoma"/>
            <family val="2"/>
          </rPr>
          <t>jmoline:</t>
        </r>
        <r>
          <rPr>
            <sz val="8"/>
            <color indexed="81"/>
            <rFont val="Tahoma"/>
            <family val="2"/>
          </rPr>
          <t xml:space="preserve">
equation changed 7/21/10
sum of Tacoma, Kent, Covington, and Lakehaven storage use</t>
        </r>
      </text>
    </comment>
    <comment ref="AD7" authorId="0">
      <text>
        <r>
          <rPr>
            <b/>
            <sz val="8"/>
            <color indexed="81"/>
            <rFont val="Tahoma"/>
            <family val="2"/>
          </rPr>
          <t>jmoline:</t>
        </r>
        <r>
          <rPr>
            <sz val="8"/>
            <color indexed="81"/>
            <rFont val="Tahoma"/>
            <family val="2"/>
          </rPr>
          <t xml:space="preserve">
If the date is after the begin storage date and before the storage split date, use the sum of all the partners' (incl. Tacoma) storage or the maximum storage, whichever is less.
If the date is the storage split date, use the maximum storage after split.
If the date is after the storage split date and before the end of the storage season, use the sum of all the partners' (incl. Tacoma) storage.
If the date is the end of the storage season or after, use 0.</t>
        </r>
      </text>
    </comment>
    <comment ref="AI7" authorId="0">
      <text>
        <r>
          <rPr>
            <b/>
            <sz val="8"/>
            <color indexed="81"/>
            <rFont val="Tahoma"/>
            <family val="2"/>
          </rPr>
          <t>jmoline:</t>
        </r>
        <r>
          <rPr>
            <sz val="8"/>
            <color indexed="81"/>
            <rFont val="Tahoma"/>
            <family val="2"/>
          </rPr>
          <t xml:space="preserve">
= CWA + Auburn + CWA via Covington</t>
        </r>
      </text>
    </comment>
    <comment ref="AK7" authorId="0">
      <text>
        <r>
          <rPr>
            <b/>
            <sz val="8"/>
            <color indexed="81"/>
            <rFont val="Tahoma"/>
            <family val="2"/>
          </rPr>
          <t>jmoline:</t>
        </r>
        <r>
          <rPr>
            <sz val="8"/>
            <color indexed="81"/>
            <rFont val="Tahoma"/>
            <family val="2"/>
          </rPr>
          <t xml:space="preserve">
If SDW Taken is less than SDWR Available, gets 0.  Otherwise gets P1 plus P5 @ 356th minus SDWR Available minus FDWR (as long as this is greater than the Tacoma Delivery Schedule and is positive).
</t>
        </r>
      </text>
    </comment>
    <comment ref="AP7" authorId="0">
      <text>
        <r>
          <rPr>
            <b/>
            <sz val="8"/>
            <color indexed="81"/>
            <rFont val="Tahoma"/>
            <family val="2"/>
          </rPr>
          <t>jmoline:</t>
        </r>
        <r>
          <rPr>
            <sz val="8"/>
            <color indexed="81"/>
            <rFont val="Tahoma"/>
            <family val="2"/>
          </rPr>
          <t xml:space="preserve">
This is the extra water at Palmer, minus the extra water at Auburn, minus the unused portion of the FDWR.</t>
        </r>
      </text>
    </comment>
    <comment ref="BD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BF7" authorId="0">
      <text>
        <r>
          <rPr>
            <b/>
            <sz val="8"/>
            <color indexed="81"/>
            <rFont val="Tahoma"/>
            <family val="2"/>
          </rPr>
          <t>jmoline:</t>
        </r>
        <r>
          <rPr>
            <sz val="8"/>
            <color indexed="81"/>
            <rFont val="Tahoma"/>
            <family val="2"/>
          </rPr>
          <t xml:space="preserve">
Meter adjusted minus storage drawdown, or zero, whichever is greater.
</t>
        </r>
      </text>
    </comment>
    <comment ref="BG7" authorId="0">
      <text>
        <r>
          <rPr>
            <b/>
            <sz val="8"/>
            <color indexed="81"/>
            <rFont val="Tahoma"/>
            <family val="2"/>
          </rPr>
          <t>jmoline:</t>
        </r>
        <r>
          <rPr>
            <sz val="8"/>
            <color indexed="81"/>
            <rFont val="Tahoma"/>
            <family val="2"/>
          </rPr>
          <t xml:space="preserve">
Column added 5/6/10, and revised 5/25/10.
Formula per 2/12/10 motion.  Returns 0 if the partner has not asked for North Fork water, or if P1+P5=0 (to avoid DIV/0 message).
Old formula charged for North Fork water unless it looked like the partner was shut off:
=IF(AND($O9&gt;0,BA9&gt;Sheet1!EE9-0.1),(1-($O9-Sheet1!$L9)/$O9)*BB9,0)</t>
        </r>
      </text>
    </comment>
    <comment ref="BH7" authorId="0">
      <text>
        <r>
          <rPr>
            <b/>
            <sz val="8"/>
            <color indexed="81"/>
            <rFont val="Tahoma"/>
            <family val="2"/>
          </rPr>
          <t>jmoline:</t>
        </r>
        <r>
          <rPr>
            <sz val="8"/>
            <color indexed="81"/>
            <rFont val="Tahoma"/>
            <family val="2"/>
          </rPr>
          <t xml:space="preserve">
Added 5/7/10.  Generally this is the adjusted actual minus the partner's North Fork water.  However, if the unadjusted actual is significantly below the schedule, no North Fork water was used that day or the day before, and the schedule is not changing, the schedule is used.</t>
        </r>
      </text>
    </comment>
    <comment ref="BY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CA7" authorId="0">
      <text>
        <r>
          <rPr>
            <b/>
            <sz val="8"/>
            <color indexed="81"/>
            <rFont val="Tahoma"/>
            <family val="2"/>
          </rPr>
          <t>jmoline:</t>
        </r>
        <r>
          <rPr>
            <sz val="8"/>
            <color indexed="81"/>
            <rFont val="Tahoma"/>
            <family val="2"/>
          </rPr>
          <t xml:space="preserve">
includes both SDWR ROR and any FDWR ROR (such as North Fork Water)</t>
        </r>
      </text>
    </comment>
    <comment ref="CB7" authorId="0">
      <text>
        <r>
          <rPr>
            <b/>
            <sz val="8"/>
            <color indexed="81"/>
            <rFont val="Tahoma"/>
            <family val="2"/>
          </rPr>
          <t>jmoline:</t>
        </r>
        <r>
          <rPr>
            <sz val="8"/>
            <color indexed="81"/>
            <rFont val="Tahoma"/>
            <family val="2"/>
          </rPr>
          <t xml:space="preserve">
added 5/6/10, revised 5/25/10</t>
        </r>
      </text>
    </comment>
    <comment ref="CC7" authorId="0">
      <text>
        <r>
          <rPr>
            <b/>
            <sz val="8"/>
            <color indexed="81"/>
            <rFont val="Tahoma"/>
            <family val="2"/>
          </rPr>
          <t>jmoline:</t>
        </r>
        <r>
          <rPr>
            <sz val="8"/>
            <color indexed="81"/>
            <rFont val="Tahoma"/>
            <family val="2"/>
          </rPr>
          <t xml:space="preserve">
added 5/7/10</t>
        </r>
      </text>
    </comment>
    <comment ref="CR7" authorId="0">
      <text>
        <r>
          <rPr>
            <b/>
            <sz val="8"/>
            <color indexed="81"/>
            <rFont val="Tahoma"/>
            <family val="2"/>
          </rPr>
          <t>jmoline:</t>
        </r>
        <r>
          <rPr>
            <sz val="8"/>
            <color indexed="81"/>
            <rFont val="Tahoma"/>
            <family val="2"/>
          </rPr>
          <t xml:space="preserve">
Equation revised 7/20/10.
During storage use season, uses either the partner's adjusted flow, or the partner's scheduled flow, whichever is greater.  Otherwise uses the partner's adjusted flow minus the partner's share of the SDWR.</t>
        </r>
      </text>
    </comment>
    <comment ref="CU7" authorId="0">
      <text>
        <r>
          <rPr>
            <b/>
            <sz val="8"/>
            <color indexed="81"/>
            <rFont val="Tahoma"/>
            <family val="2"/>
          </rPr>
          <t>jmoline:</t>
        </r>
        <r>
          <rPr>
            <sz val="8"/>
            <color indexed="81"/>
            <rFont val="Tahoma"/>
            <family val="2"/>
          </rPr>
          <t xml:space="preserve">
added 5/6/10, revised 5/25/10</t>
        </r>
      </text>
    </comment>
    <comment ref="CV7" authorId="0">
      <text>
        <r>
          <rPr>
            <b/>
            <sz val="8"/>
            <color indexed="81"/>
            <rFont val="Tahoma"/>
            <family val="2"/>
          </rPr>
          <t>jmoline:</t>
        </r>
        <r>
          <rPr>
            <sz val="8"/>
            <color indexed="81"/>
            <rFont val="Tahoma"/>
            <family val="2"/>
          </rPr>
          <t xml:space="preserve">
added 5/7/10</t>
        </r>
      </text>
    </comment>
    <comment ref="DR7" authorId="0">
      <text>
        <r>
          <rPr>
            <b/>
            <sz val="8"/>
            <color indexed="81"/>
            <rFont val="Tahoma"/>
            <family val="2"/>
          </rPr>
          <t>jmoline:</t>
        </r>
        <r>
          <rPr>
            <sz val="8"/>
            <color indexed="81"/>
            <rFont val="Tahoma"/>
            <family val="2"/>
          </rPr>
          <t xml:space="preserve">
equals zero during storage use season</t>
        </r>
      </text>
    </comment>
    <comment ref="FL7" authorId="0">
      <text>
        <r>
          <rPr>
            <b/>
            <sz val="8"/>
            <color indexed="81"/>
            <rFont val="Tahoma"/>
            <family val="2"/>
          </rPr>
          <t>jmoline:</t>
        </r>
        <r>
          <rPr>
            <sz val="8"/>
            <color indexed="81"/>
            <rFont val="Tahoma"/>
            <family val="2"/>
          </rPr>
          <t xml:space="preserve">
column added 7/9/10</t>
        </r>
      </text>
    </comment>
    <comment ref="FM7" authorId="0">
      <text>
        <r>
          <rPr>
            <b/>
            <sz val="8"/>
            <color indexed="81"/>
            <rFont val="Tahoma"/>
            <family val="2"/>
          </rPr>
          <t>jmoline:</t>
        </r>
        <r>
          <rPr>
            <sz val="8"/>
            <color indexed="81"/>
            <rFont val="Tahoma"/>
            <family val="2"/>
          </rPr>
          <t xml:space="preserve">
column added 7/9/10</t>
        </r>
      </text>
    </comment>
    <comment ref="FZ7" authorId="0">
      <text>
        <r>
          <rPr>
            <b/>
            <sz val="8"/>
            <color indexed="81"/>
            <rFont val="Tahoma"/>
            <family val="2"/>
          </rPr>
          <t>jmoline:</t>
        </r>
        <r>
          <rPr>
            <sz val="8"/>
            <color indexed="81"/>
            <rFont val="Tahoma"/>
            <family val="2"/>
          </rPr>
          <t xml:space="preserve">
Distributes extra SDWR ROR from the partners that are full to the partners that are not full, and tops off all the partners on the storage attained date.</t>
        </r>
      </text>
    </comment>
    <comment ref="GR7" authorId="0">
      <text>
        <r>
          <rPr>
            <b/>
            <sz val="8"/>
            <color indexed="81"/>
            <rFont val="Tahoma"/>
            <family val="2"/>
          </rPr>
          <t>jmoline:</t>
        </r>
        <r>
          <rPr>
            <sz val="8"/>
            <color indexed="81"/>
            <rFont val="Tahoma"/>
            <family val="2"/>
          </rPr>
          <t xml:space="preserve">
This is excess SDWR water available after one or more of the partners already has attained full storage.</t>
        </r>
      </text>
    </comment>
    <comment ref="GS7" authorId="0">
      <text>
        <r>
          <rPr>
            <b/>
            <sz val="8"/>
            <color indexed="81"/>
            <rFont val="Tahoma"/>
            <family val="2"/>
          </rPr>
          <t>jmoline:</t>
        </r>
        <r>
          <rPr>
            <sz val="8"/>
            <color indexed="81"/>
            <rFont val="Tahoma"/>
            <family val="2"/>
          </rPr>
          <t xml:space="preserve">
Takes extra water when available, but not more than necessary to fill the partner's storage.</t>
        </r>
      </text>
    </comment>
    <comment ref="CB8" authorId="0">
      <text>
        <r>
          <rPr>
            <b/>
            <sz val="8"/>
            <color indexed="81"/>
            <rFont val="Tahoma"/>
            <family val="2"/>
          </rPr>
          <t>jmoline:</t>
        </r>
        <r>
          <rPr>
            <sz val="8"/>
            <color indexed="81"/>
            <rFont val="Tahoma"/>
            <family val="2"/>
          </rPr>
          <t xml:space="preserve">
Formula per 2/12/10 motion.  Returns 0 if the partner has not asked for North Fork water, or if P1+P5=0 (to avoid DIV/0 message).</t>
        </r>
      </text>
    </comment>
    <comment ref="CC8" authorId="0">
      <text>
        <r>
          <rPr>
            <b/>
            <sz val="8"/>
            <color indexed="81"/>
            <rFont val="Tahoma"/>
            <family val="2"/>
          </rPr>
          <t>jmoline:</t>
        </r>
        <r>
          <rPr>
            <sz val="8"/>
            <color indexed="81"/>
            <rFont val="Tahoma"/>
            <family val="2"/>
          </rPr>
          <t xml:space="preserve">
Generally this is the adjusted actual minus the partner's North Fork water.  However, if the unadjusted actual is significantly below the schedule, no North Fork water was used that day or the day before, and the schedule is not changing, the schedule is used.</t>
        </r>
      </text>
    </comment>
    <comment ref="CU8" authorId="0">
      <text>
        <r>
          <rPr>
            <b/>
            <sz val="8"/>
            <color indexed="81"/>
            <rFont val="Tahoma"/>
            <family val="2"/>
          </rPr>
          <t>jmoline:</t>
        </r>
        <r>
          <rPr>
            <sz val="8"/>
            <color indexed="81"/>
            <rFont val="Tahoma"/>
            <family val="2"/>
          </rPr>
          <t xml:space="preserve">
Formula per 2/12/10 motion.  Returns 0 if the partner has not asked for North Fork water, or if P1+P5=0 (to avoid DIV/0 message).</t>
        </r>
      </text>
    </comment>
    <comment ref="CV8" authorId="0">
      <text>
        <r>
          <rPr>
            <b/>
            <sz val="8"/>
            <color indexed="81"/>
            <rFont val="Tahoma"/>
            <family val="2"/>
          </rPr>
          <t>jmoline:</t>
        </r>
        <r>
          <rPr>
            <sz val="8"/>
            <color indexed="81"/>
            <rFont val="Tahoma"/>
            <family val="2"/>
          </rPr>
          <t xml:space="preserve">
Generally this is the adjusted actual minus the partner's North Fork water.  However, if the unadjusted actual is significantly below the schedule, no North Fork water was used that day or the day before, and the schedule is not changing, the schedule is used.</t>
        </r>
      </text>
    </comment>
    <comment ref="DX8" authorId="0">
      <text>
        <r>
          <rPr>
            <b/>
            <sz val="8"/>
            <color indexed="81"/>
            <rFont val="Tahoma"/>
            <family val="2"/>
          </rPr>
          <t>jmoline:</t>
        </r>
        <r>
          <rPr>
            <sz val="8"/>
            <color indexed="81"/>
            <rFont val="Tahoma"/>
            <family val="2"/>
          </rPr>
          <t xml:space="preserve">
formula revised 5/27/10 to only show 2nd Diversion ROR Taken by Tacoma</t>
        </r>
      </text>
    </comment>
    <comment ref="FW8" authorId="0">
      <text>
        <r>
          <rPr>
            <b/>
            <sz val="8"/>
            <color indexed="81"/>
            <rFont val="Tahoma"/>
            <family val="2"/>
          </rPr>
          <t>jmoline:</t>
        </r>
        <r>
          <rPr>
            <sz val="8"/>
            <color indexed="81"/>
            <rFont val="Tahoma"/>
            <family val="2"/>
          </rPr>
          <t xml:space="preserve">
changed from 1456.39 MG to 10000 AF on 6/14/10</t>
        </r>
      </text>
    </comment>
    <comment ref="BK174" authorId="0">
      <text>
        <r>
          <rPr>
            <b/>
            <sz val="8"/>
            <color indexed="81"/>
            <rFont val="Tahoma"/>
            <family val="2"/>
          </rPr>
          <t>jmoline:</t>
        </r>
        <r>
          <rPr>
            <sz val="8"/>
            <color indexed="81"/>
            <rFont val="Tahoma"/>
            <family val="2"/>
          </rPr>
          <t xml:space="preserve">
changed to not exceed maximum storage of 1267.56 MG</t>
        </r>
      </text>
    </comment>
    <comment ref="BM174" authorId="0">
      <text>
        <r>
          <rPr>
            <b/>
            <sz val="8"/>
            <color indexed="81"/>
            <rFont val="Tahoma"/>
            <family val="2"/>
          </rPr>
          <t>jmoline:</t>
        </r>
        <r>
          <rPr>
            <sz val="8"/>
            <color indexed="81"/>
            <rFont val="Tahoma"/>
            <family val="2"/>
          </rPr>
          <t xml:space="preserve">
Kent at full storage June 9</t>
        </r>
      </text>
    </comment>
    <comment ref="DX210" authorId="0">
      <text>
        <r>
          <rPr>
            <b/>
            <sz val="8"/>
            <color indexed="81"/>
            <rFont val="Tahoma"/>
            <family val="2"/>
          </rPr>
          <t>jmoline:</t>
        </r>
        <r>
          <rPr>
            <sz val="8"/>
            <color indexed="81"/>
            <rFont val="Tahoma"/>
            <family val="2"/>
          </rPr>
          <t xml:space="preserve">
manually set to 0, since Tacoma has enough water from FDWR</t>
        </r>
      </text>
    </comment>
    <comment ref="DX211" authorId="0">
      <text>
        <r>
          <rPr>
            <b/>
            <sz val="8"/>
            <color indexed="81"/>
            <rFont val="Tahoma"/>
            <family val="2"/>
          </rPr>
          <t>jmoline:</t>
        </r>
        <r>
          <rPr>
            <sz val="8"/>
            <color indexed="81"/>
            <rFont val="Tahoma"/>
            <family val="2"/>
          </rPr>
          <t xml:space="preserve">
manually changed from 2.98 to 0, since Tacoma has enough water from FDWR</t>
        </r>
      </text>
    </comment>
    <comment ref="DX212" authorId="0">
      <text>
        <r>
          <rPr>
            <b/>
            <sz val="8"/>
            <color indexed="81"/>
            <rFont val="Tahoma"/>
            <family val="2"/>
          </rPr>
          <t>jmoline:</t>
        </r>
        <r>
          <rPr>
            <sz val="8"/>
            <color indexed="81"/>
            <rFont val="Tahoma"/>
            <family val="2"/>
          </rPr>
          <t xml:space="preserve">
manually changed from 2.98 to 0, since Tacoma has enough water from FDWR</t>
        </r>
      </text>
    </comment>
    <comment ref="DS215" authorId="0">
      <text>
        <r>
          <rPr>
            <b/>
            <sz val="8"/>
            <color indexed="81"/>
            <rFont val="Tahoma"/>
            <family val="2"/>
          </rPr>
          <t>jmoline:</t>
        </r>
        <r>
          <rPr>
            <sz val="8"/>
            <color indexed="81"/>
            <rFont val="Tahoma"/>
            <family val="2"/>
          </rPr>
          <t xml:space="preserve">
manually set to 0, since partners are using storage and Tacoma is using FDWR</t>
        </r>
      </text>
    </comment>
    <comment ref="CR218" authorId="0">
      <text>
        <r>
          <rPr>
            <b/>
            <sz val="8"/>
            <color indexed="81"/>
            <rFont val="Tahoma"/>
            <family val="2"/>
          </rPr>
          <t>jmoline:</t>
        </r>
        <r>
          <rPr>
            <sz val="8"/>
            <color indexed="81"/>
            <rFont val="Tahoma"/>
            <family val="2"/>
          </rPr>
          <t xml:space="preserve">
allows LH to use otherwise unused SDWR ROR water as this becomes less available</t>
        </r>
      </text>
    </comment>
    <comment ref="DX224" authorId="1">
      <text>
        <r>
          <rPr>
            <b/>
            <sz val="8"/>
            <color indexed="81"/>
            <rFont val="Tahoma"/>
            <family val="2"/>
          </rPr>
          <t>cjohnso2:</t>
        </r>
        <r>
          <rPr>
            <sz val="8"/>
            <color indexed="81"/>
            <rFont val="Tahoma"/>
            <family val="2"/>
          </rPr>
          <t xml:space="preserve">
Manually set to 0 from 2.96 since Tacoma has enough 1st Diversion ROR
</t>
        </r>
      </text>
    </comment>
    <comment ref="AK254" authorId="1">
      <text>
        <r>
          <rPr>
            <b/>
            <sz val="8"/>
            <color indexed="81"/>
            <rFont val="Tahoma"/>
            <family val="2"/>
          </rPr>
          <t>cjohnso2:</t>
        </r>
        <r>
          <rPr>
            <sz val="8"/>
            <color indexed="81"/>
            <rFont val="Tahoma"/>
            <family val="2"/>
          </rPr>
          <t xml:space="preserve">
This Column may need t be adjusted or included in th Total storage adjustment.  </t>
        </r>
      </text>
    </comment>
    <comment ref="AP254" authorId="1">
      <text>
        <r>
          <rPr>
            <b/>
            <sz val="8"/>
            <color indexed="81"/>
            <rFont val="Tahoma"/>
            <family val="2"/>
          </rPr>
          <t>cjohnso2:</t>
        </r>
        <r>
          <rPr>
            <sz val="8"/>
            <color indexed="81"/>
            <rFont val="Tahoma"/>
            <family val="2"/>
          </rPr>
          <t xml:space="preserve">
Per conversation w/ on 9/8/11 Adam Price, Corps has been above guide curve therfore they are not docking us for storage to support Auburn flows</t>
        </r>
      </text>
    </comment>
    <comment ref="AR254" authorId="0">
      <text>
        <r>
          <rPr>
            <b/>
            <sz val="8"/>
            <color indexed="81"/>
            <rFont val="Tahoma"/>
            <family val="2"/>
          </rPr>
          <t>cjohnso2:</t>
        </r>
        <r>
          <rPr>
            <sz val="8"/>
            <color indexed="81"/>
            <rFont val="Tahoma"/>
            <family val="2"/>
          </rPr>
          <t xml:space="preserve">
revised on 9/6/11
 to subtract out Tacoma water to support Auburn at 250 cfs</t>
        </r>
      </text>
    </comment>
    <comment ref="AR255" authorId="0">
      <text>
        <r>
          <rPr>
            <b/>
            <sz val="8"/>
            <color indexed="81"/>
            <rFont val="Tahoma"/>
            <family val="2"/>
          </rPr>
          <t>cjohnso2:
revised on 9/6/11
 to subtract out Tacoma water to support Auburn at 250 cfs</t>
        </r>
      </text>
    </comment>
    <comment ref="AR256" authorId="0">
      <text>
        <r>
          <rPr>
            <b/>
            <sz val="8"/>
            <color indexed="81"/>
            <rFont val="Tahoma"/>
            <family val="2"/>
          </rPr>
          <t>cjohnso2:
revised on 9/6/11
 to subtract out Tacoma water to support Auburn at 250 cfs</t>
        </r>
      </text>
    </comment>
    <comment ref="AR257" authorId="0">
      <text>
        <r>
          <rPr>
            <b/>
            <sz val="8"/>
            <color indexed="81"/>
            <rFont val="Tahoma"/>
            <family val="2"/>
          </rPr>
          <t>cjohnso2:
revised on 9/6/11
 to subtract out Tacoma water to support Auburn at 250 cfs</t>
        </r>
      </text>
    </comment>
    <comment ref="AR258" authorId="0">
      <text>
        <r>
          <rPr>
            <b/>
            <sz val="8"/>
            <color indexed="81"/>
            <rFont val="Tahoma"/>
            <family val="2"/>
          </rPr>
          <t>cjohnso2:
revised on 9/6/11
 to subtract out Tacoma water to support Auburn at 250 cfs</t>
        </r>
      </text>
    </comment>
    <comment ref="AR259" authorId="1">
      <text>
        <r>
          <rPr>
            <b/>
            <sz val="8"/>
            <color indexed="81"/>
            <rFont val="Tahoma"/>
            <family val="2"/>
          </rPr>
          <t>cjohnso2:</t>
        </r>
        <r>
          <rPr>
            <sz val="8"/>
            <color indexed="81"/>
            <rFont val="Tahoma"/>
            <family val="2"/>
          </rPr>
          <t xml:space="preserve">
revised on 9/6/11
 to subtract out Tacoma water to support Auburn at 250 cfs</t>
        </r>
      </text>
    </comment>
    <comment ref="AR260" authorId="1">
      <text>
        <r>
          <rPr>
            <b/>
            <sz val="8"/>
            <color indexed="81"/>
            <rFont val="Tahoma"/>
            <family val="2"/>
          </rPr>
          <t>cjohnso2:</t>
        </r>
        <r>
          <rPr>
            <sz val="8"/>
            <color indexed="81"/>
            <rFont val="Tahoma"/>
            <family val="2"/>
          </rPr>
          <t xml:space="preserve">
revised on 9/6/11
 to subtract out Tacoma water to support Auburn at 250 cfs</t>
        </r>
      </text>
    </comment>
    <comment ref="AR261" authorId="1">
      <text>
        <r>
          <rPr>
            <b/>
            <sz val="8"/>
            <color indexed="81"/>
            <rFont val="Tahoma"/>
            <family val="2"/>
          </rPr>
          <t>cjohnso2:</t>
        </r>
        <r>
          <rPr>
            <sz val="8"/>
            <color indexed="81"/>
            <rFont val="Tahoma"/>
            <family val="2"/>
          </rPr>
          <t xml:space="preserve">
cjohnso2:
revised on 9/6/11
 to subtract out Tacoma water to support Auburn at 250 cfs</t>
        </r>
      </text>
    </comment>
    <comment ref="AR262" authorId="1">
      <text>
        <r>
          <rPr>
            <b/>
            <sz val="8"/>
            <color indexed="81"/>
            <rFont val="Tahoma"/>
            <family val="2"/>
          </rPr>
          <t>cjohnso2:</t>
        </r>
        <r>
          <rPr>
            <sz val="8"/>
            <color indexed="81"/>
            <rFont val="Tahoma"/>
            <family val="2"/>
          </rPr>
          <t xml:space="preserve">
cjohnso2:
revised on 9/6/11
 to subtract out Tacoma water to support Auburn at 250 cfs</t>
        </r>
      </text>
    </comment>
    <comment ref="AR263" authorId="1">
      <text>
        <r>
          <rPr>
            <b/>
            <sz val="8"/>
            <color indexed="81"/>
            <rFont val="Tahoma"/>
            <family val="2"/>
          </rPr>
          <t>cjohnso2:</t>
        </r>
        <r>
          <rPr>
            <sz val="8"/>
            <color indexed="81"/>
            <rFont val="Tahoma"/>
            <family val="2"/>
          </rPr>
          <t xml:space="preserve">
Reflects Donation</t>
        </r>
      </text>
    </comment>
    <comment ref="AD271" authorId="0">
      <text>
        <r>
          <rPr>
            <b/>
            <sz val="8"/>
            <color indexed="81"/>
            <rFont val="Tahoma"/>
            <family val="2"/>
          </rPr>
          <t>jmoline:</t>
        </r>
        <r>
          <rPr>
            <sz val="8"/>
            <color indexed="81"/>
            <rFont val="Tahoma"/>
            <family val="2"/>
          </rPr>
          <t xml:space="preserve">
donated 1600 AF to 1135 water</t>
        </r>
      </text>
    </comment>
    <comment ref="AP279" authorId="1">
      <text>
        <r>
          <rPr>
            <b/>
            <sz val="8"/>
            <color indexed="81"/>
            <rFont val="Tahoma"/>
            <family val="2"/>
          </rPr>
          <t>cjohnso2:</t>
        </r>
        <r>
          <rPr>
            <sz val="8"/>
            <color indexed="81"/>
            <rFont val="Tahoma"/>
            <family val="2"/>
          </rPr>
          <t xml:space="preserve">
Ken Brettmann confirmed no Tacoma Storage is being used to maintain Auburn Flows.</t>
        </r>
      </text>
    </comment>
    <comment ref="BD310" authorId="2">
      <text>
        <r>
          <rPr>
            <b/>
            <sz val="10"/>
            <color indexed="81"/>
            <rFont val="Tahoma"/>
            <family val="2"/>
          </rPr>
          <t>cnelson:</t>
        </r>
        <r>
          <rPr>
            <sz val="10"/>
            <color indexed="81"/>
            <rFont val="Tahoma"/>
            <family val="2"/>
          </rPr>
          <t xml:space="preserve">
Changed to 0
</t>
        </r>
      </text>
    </comment>
    <comment ref="BY310" authorId="2">
      <text>
        <r>
          <rPr>
            <b/>
            <sz val="10"/>
            <color indexed="81"/>
            <rFont val="Tahoma"/>
            <family val="2"/>
          </rPr>
          <t>cnelson:</t>
        </r>
        <r>
          <rPr>
            <sz val="10"/>
            <color indexed="81"/>
            <rFont val="Tahoma"/>
            <family val="2"/>
          </rPr>
          <t xml:space="preserve">
Changed to 0</t>
        </r>
      </text>
    </comment>
    <comment ref="CR310" authorId="2">
      <text>
        <r>
          <rPr>
            <b/>
            <sz val="10"/>
            <color indexed="81"/>
            <rFont val="Tahoma"/>
            <family val="2"/>
          </rPr>
          <t>cnelson:</t>
        </r>
        <r>
          <rPr>
            <sz val="10"/>
            <color indexed="81"/>
            <rFont val="Tahoma"/>
            <family val="2"/>
          </rPr>
          <t xml:space="preserve">
Changed to 0</t>
        </r>
      </text>
    </comment>
    <comment ref="BD311" authorId="2">
      <text>
        <r>
          <rPr>
            <b/>
            <sz val="10"/>
            <color indexed="81"/>
            <rFont val="Tahoma"/>
            <family val="2"/>
          </rPr>
          <t>cnelson:</t>
        </r>
        <r>
          <rPr>
            <sz val="10"/>
            <color indexed="81"/>
            <rFont val="Tahoma"/>
            <family val="2"/>
          </rPr>
          <t xml:space="preserve">
Changed to 0</t>
        </r>
      </text>
    </comment>
    <comment ref="BY311" authorId="2">
      <text>
        <r>
          <rPr>
            <b/>
            <sz val="10"/>
            <color indexed="81"/>
            <rFont val="Tahoma"/>
            <family val="2"/>
          </rPr>
          <t>cnelson:</t>
        </r>
        <r>
          <rPr>
            <sz val="10"/>
            <color indexed="81"/>
            <rFont val="Tahoma"/>
            <family val="2"/>
          </rPr>
          <t xml:space="preserve">
Changed to 0</t>
        </r>
      </text>
    </comment>
    <comment ref="CR311" authorId="2">
      <text>
        <r>
          <rPr>
            <b/>
            <sz val="10"/>
            <color indexed="81"/>
            <rFont val="Tahoma"/>
            <family val="2"/>
          </rPr>
          <t>cnelson:</t>
        </r>
        <r>
          <rPr>
            <sz val="10"/>
            <color indexed="81"/>
            <rFont val="Tahoma"/>
            <family val="2"/>
          </rPr>
          <t xml:space="preserve">
Changed to 0</t>
        </r>
      </text>
    </comment>
    <comment ref="BD312" authorId="2">
      <text>
        <r>
          <rPr>
            <b/>
            <sz val="10"/>
            <color indexed="81"/>
            <rFont val="Tahoma"/>
            <family val="2"/>
          </rPr>
          <t>cnelson:</t>
        </r>
        <r>
          <rPr>
            <sz val="10"/>
            <color indexed="81"/>
            <rFont val="Tahoma"/>
            <family val="2"/>
          </rPr>
          <t xml:space="preserve">
Changed to 0</t>
        </r>
      </text>
    </comment>
    <comment ref="BY312" authorId="2">
      <text>
        <r>
          <rPr>
            <b/>
            <sz val="10"/>
            <color indexed="81"/>
            <rFont val="Tahoma"/>
            <family val="2"/>
          </rPr>
          <t>cnelson:</t>
        </r>
        <r>
          <rPr>
            <sz val="10"/>
            <color indexed="81"/>
            <rFont val="Tahoma"/>
            <family val="2"/>
          </rPr>
          <t xml:space="preserve">
Changed to 0</t>
        </r>
      </text>
    </comment>
    <comment ref="CR312" authorId="2">
      <text>
        <r>
          <rPr>
            <b/>
            <sz val="10"/>
            <color indexed="81"/>
            <rFont val="Tahoma"/>
            <family val="2"/>
          </rPr>
          <t>cnelson:</t>
        </r>
        <r>
          <rPr>
            <sz val="10"/>
            <color indexed="81"/>
            <rFont val="Tahoma"/>
            <family val="2"/>
          </rPr>
          <t xml:space="preserve">
Changed to 0</t>
        </r>
      </text>
    </comment>
    <comment ref="BD313" authorId="2">
      <text>
        <r>
          <rPr>
            <b/>
            <sz val="10"/>
            <color indexed="81"/>
            <rFont val="Tahoma"/>
            <family val="2"/>
          </rPr>
          <t>cnelson:</t>
        </r>
        <r>
          <rPr>
            <sz val="10"/>
            <color indexed="81"/>
            <rFont val="Tahoma"/>
            <family val="2"/>
          </rPr>
          <t xml:space="preserve">
Changed to 0</t>
        </r>
      </text>
    </comment>
    <comment ref="BY313" authorId="2">
      <text>
        <r>
          <rPr>
            <b/>
            <sz val="10"/>
            <color indexed="81"/>
            <rFont val="Tahoma"/>
            <family val="2"/>
          </rPr>
          <t>cnelson:</t>
        </r>
        <r>
          <rPr>
            <sz val="10"/>
            <color indexed="81"/>
            <rFont val="Tahoma"/>
            <family val="2"/>
          </rPr>
          <t xml:space="preserve">
Changed to 0</t>
        </r>
      </text>
    </comment>
    <comment ref="BD314" authorId="2">
      <text>
        <r>
          <rPr>
            <b/>
            <sz val="10"/>
            <color indexed="81"/>
            <rFont val="Tahoma"/>
            <family val="2"/>
          </rPr>
          <t>cnelson:</t>
        </r>
        <r>
          <rPr>
            <sz val="10"/>
            <color indexed="81"/>
            <rFont val="Tahoma"/>
            <family val="2"/>
          </rPr>
          <t xml:space="preserve">
Changed to 0</t>
        </r>
      </text>
    </comment>
    <comment ref="BD315" authorId="2">
      <text>
        <r>
          <rPr>
            <b/>
            <sz val="10"/>
            <color indexed="81"/>
            <rFont val="Tahoma"/>
            <family val="2"/>
          </rPr>
          <t>cnelson:</t>
        </r>
        <r>
          <rPr>
            <sz val="10"/>
            <color indexed="81"/>
            <rFont val="Tahoma"/>
            <family val="2"/>
          </rPr>
          <t xml:space="preserve">
Changed to 0</t>
        </r>
      </text>
    </comment>
    <comment ref="BD316" authorId="2">
      <text>
        <r>
          <rPr>
            <b/>
            <sz val="10"/>
            <color indexed="81"/>
            <rFont val="Tahoma"/>
            <family val="2"/>
          </rPr>
          <t>cnelson:</t>
        </r>
        <r>
          <rPr>
            <sz val="10"/>
            <color indexed="81"/>
            <rFont val="Tahoma"/>
            <family val="2"/>
          </rPr>
          <t xml:space="preserve">
Changed to 0</t>
        </r>
      </text>
    </comment>
    <comment ref="BY316" authorId="2">
      <text>
        <r>
          <rPr>
            <b/>
            <sz val="10"/>
            <color indexed="81"/>
            <rFont val="Tahoma"/>
            <family val="2"/>
          </rPr>
          <t>cnelson:</t>
        </r>
        <r>
          <rPr>
            <sz val="10"/>
            <color indexed="81"/>
            <rFont val="Tahoma"/>
            <family val="2"/>
          </rPr>
          <t xml:space="preserve">
Changed to 0</t>
        </r>
      </text>
    </comment>
    <comment ref="CR316" authorId="2">
      <text>
        <r>
          <rPr>
            <b/>
            <sz val="10"/>
            <color indexed="81"/>
            <rFont val="Tahoma"/>
            <family val="2"/>
          </rPr>
          <t>cnelson:</t>
        </r>
        <r>
          <rPr>
            <sz val="10"/>
            <color indexed="81"/>
            <rFont val="Tahoma"/>
            <family val="2"/>
          </rPr>
          <t xml:space="preserve">
Changed to 0</t>
        </r>
      </text>
    </comment>
    <comment ref="BD317" authorId="2">
      <text>
        <r>
          <rPr>
            <b/>
            <sz val="10"/>
            <color indexed="81"/>
            <rFont val="Tahoma"/>
            <family val="2"/>
          </rPr>
          <t>cnelson:</t>
        </r>
        <r>
          <rPr>
            <sz val="10"/>
            <color indexed="81"/>
            <rFont val="Tahoma"/>
            <family val="2"/>
          </rPr>
          <t xml:space="preserve">
Changed to 0</t>
        </r>
      </text>
    </comment>
    <comment ref="BY317" authorId="2">
      <text>
        <r>
          <rPr>
            <b/>
            <sz val="10"/>
            <color indexed="81"/>
            <rFont val="Tahoma"/>
            <family val="2"/>
          </rPr>
          <t>cnelson:</t>
        </r>
        <r>
          <rPr>
            <sz val="10"/>
            <color indexed="81"/>
            <rFont val="Tahoma"/>
            <family val="2"/>
          </rPr>
          <t xml:space="preserve">
Changed to 0</t>
        </r>
      </text>
    </comment>
    <comment ref="CR317" authorId="2">
      <text>
        <r>
          <rPr>
            <b/>
            <sz val="10"/>
            <color indexed="81"/>
            <rFont val="Tahoma"/>
            <family val="2"/>
          </rPr>
          <t>cnelson:</t>
        </r>
        <r>
          <rPr>
            <sz val="10"/>
            <color indexed="81"/>
            <rFont val="Tahoma"/>
            <family val="2"/>
          </rPr>
          <t xml:space="preserve">
Changed to 0</t>
        </r>
      </text>
    </comment>
    <comment ref="BD318" authorId="2">
      <text>
        <r>
          <rPr>
            <b/>
            <sz val="10"/>
            <color indexed="81"/>
            <rFont val="Tahoma"/>
            <family val="2"/>
          </rPr>
          <t>cnelson:</t>
        </r>
        <r>
          <rPr>
            <sz val="10"/>
            <color indexed="81"/>
            <rFont val="Tahoma"/>
            <family val="2"/>
          </rPr>
          <t xml:space="preserve">
Changed to 0</t>
        </r>
      </text>
    </comment>
    <comment ref="BY318" authorId="2">
      <text>
        <r>
          <rPr>
            <b/>
            <sz val="10"/>
            <color indexed="81"/>
            <rFont val="Tahoma"/>
            <family val="2"/>
          </rPr>
          <t>cnelson:</t>
        </r>
        <r>
          <rPr>
            <sz val="10"/>
            <color indexed="81"/>
            <rFont val="Tahoma"/>
            <family val="2"/>
          </rPr>
          <t xml:space="preserve">
Changed to 0</t>
        </r>
      </text>
    </comment>
    <comment ref="CR318" authorId="2">
      <text>
        <r>
          <rPr>
            <b/>
            <sz val="10"/>
            <color indexed="81"/>
            <rFont val="Tahoma"/>
            <family val="2"/>
          </rPr>
          <t>cnelson:</t>
        </r>
        <r>
          <rPr>
            <sz val="10"/>
            <color indexed="81"/>
            <rFont val="Tahoma"/>
            <family val="2"/>
          </rPr>
          <t xml:space="preserve">
Changed to 0</t>
        </r>
      </text>
    </comment>
    <comment ref="BD319" authorId="2">
      <text>
        <r>
          <rPr>
            <b/>
            <sz val="10"/>
            <color indexed="81"/>
            <rFont val="Tahoma"/>
            <family val="2"/>
          </rPr>
          <t>cnelson:</t>
        </r>
        <r>
          <rPr>
            <sz val="10"/>
            <color indexed="81"/>
            <rFont val="Tahoma"/>
            <family val="2"/>
          </rPr>
          <t xml:space="preserve">
Changed to 0</t>
        </r>
      </text>
    </comment>
    <comment ref="BY319" authorId="2">
      <text>
        <r>
          <rPr>
            <b/>
            <sz val="10"/>
            <color indexed="81"/>
            <rFont val="Tahoma"/>
            <family val="2"/>
          </rPr>
          <t>cnelson:</t>
        </r>
        <r>
          <rPr>
            <sz val="10"/>
            <color indexed="81"/>
            <rFont val="Tahoma"/>
            <family val="2"/>
          </rPr>
          <t xml:space="preserve">
Changed to 0</t>
        </r>
      </text>
    </comment>
    <comment ref="CR319" authorId="2">
      <text>
        <r>
          <rPr>
            <b/>
            <sz val="10"/>
            <color indexed="81"/>
            <rFont val="Tahoma"/>
            <family val="2"/>
          </rPr>
          <t>cnelson:</t>
        </r>
        <r>
          <rPr>
            <sz val="10"/>
            <color indexed="81"/>
            <rFont val="Tahoma"/>
            <family val="2"/>
          </rPr>
          <t xml:space="preserve">
Changed to 0</t>
        </r>
      </text>
    </comment>
    <comment ref="BD320" authorId="2">
      <text>
        <r>
          <rPr>
            <b/>
            <sz val="10"/>
            <color indexed="81"/>
            <rFont val="Tahoma"/>
            <family val="2"/>
          </rPr>
          <t>cnelson:</t>
        </r>
        <r>
          <rPr>
            <sz val="10"/>
            <color indexed="81"/>
            <rFont val="Tahoma"/>
            <family val="2"/>
          </rPr>
          <t xml:space="preserve">
Changed to 0
</t>
        </r>
      </text>
    </comment>
    <comment ref="CR320" authorId="2">
      <text>
        <r>
          <rPr>
            <b/>
            <sz val="10"/>
            <color indexed="81"/>
            <rFont val="Tahoma"/>
            <family val="2"/>
          </rPr>
          <t>cnelson:</t>
        </r>
        <r>
          <rPr>
            <sz val="10"/>
            <color indexed="81"/>
            <rFont val="Tahoma"/>
            <family val="2"/>
          </rPr>
          <t xml:space="preserve">
Adjust to 0 due to river turbidity. 11/9/11
</t>
        </r>
      </text>
    </comment>
    <comment ref="CR321" authorId="2">
      <text>
        <r>
          <rPr>
            <b/>
            <sz val="10"/>
            <color indexed="81"/>
            <rFont val="Tahoma"/>
            <family val="2"/>
          </rPr>
          <t>cnelson:</t>
        </r>
        <r>
          <rPr>
            <sz val="10"/>
            <color indexed="81"/>
            <rFont val="Tahoma"/>
            <family val="2"/>
          </rPr>
          <t xml:space="preserve">
Adjusted to 0 due to river turbidity.  11/9/11.</t>
        </r>
      </text>
    </comment>
    <comment ref="AP330" authorId="1">
      <text>
        <r>
          <rPr>
            <b/>
            <sz val="8"/>
            <color indexed="81"/>
            <rFont val="Tahoma"/>
            <family val="2"/>
          </rPr>
          <t>cjohnso2:</t>
        </r>
        <r>
          <rPr>
            <sz val="8"/>
            <color indexed="81"/>
            <rFont val="Tahoma"/>
            <family val="2"/>
          </rPr>
          <t xml:space="preserve">
Need to verify formula is doing what it needs to.  Formula indicated we would need to support Auburn flow.  </t>
        </r>
      </text>
    </comment>
    <comment ref="CB334" authorId="0">
      <text>
        <r>
          <rPr>
            <b/>
            <sz val="8"/>
            <color indexed="81"/>
            <rFont val="Tahoma"/>
            <family val="2"/>
          </rPr>
          <t>jmoline:</t>
        </r>
        <r>
          <rPr>
            <sz val="8"/>
            <color indexed="81"/>
            <rFont val="Tahoma"/>
            <family val="2"/>
          </rPr>
          <t xml:space="preserve">
manually changed to not exceed Covington Meter Adjusted</t>
        </r>
      </text>
    </comment>
    <comment ref="CC337" authorId="0">
      <text>
        <r>
          <rPr>
            <b/>
            <sz val="8"/>
            <color indexed="81"/>
            <rFont val="Tahoma"/>
            <family val="2"/>
          </rPr>
          <t>jmoline:</t>
        </r>
        <r>
          <rPr>
            <sz val="8"/>
            <color indexed="81"/>
            <rFont val="Tahoma"/>
            <family val="2"/>
          </rPr>
          <t xml:space="preserve">
manually changed from -0.03 to 0</t>
        </r>
      </text>
    </comment>
  </commentList>
</comments>
</file>

<file path=xl/comments7.xml><?xml version="1.0" encoding="utf-8"?>
<comments xmlns="http://schemas.openxmlformats.org/spreadsheetml/2006/main">
  <authors>
    <author>jmoline</author>
  </authors>
  <commentList>
    <comment ref="X7" authorId="0">
      <text>
        <r>
          <rPr>
            <b/>
            <sz val="8"/>
            <color indexed="81"/>
            <rFont val="Tahoma"/>
            <family val="2"/>
          </rPr>
          <t>jmoline:</t>
        </r>
        <r>
          <rPr>
            <sz val="8"/>
            <color indexed="81"/>
            <rFont val="Tahoma"/>
            <family val="2"/>
          </rPr>
          <t xml:space="preserve">
formula changed on 3/14/11 from =(Sheet1!EX9-Sheet1!EX8)/1000</t>
        </r>
      </text>
    </comment>
    <comment ref="AG7" authorId="0">
      <text>
        <r>
          <rPr>
            <b/>
            <sz val="8"/>
            <color indexed="81"/>
            <rFont val="Tahoma"/>
            <family val="2"/>
          </rPr>
          <t>jmoline:</t>
        </r>
        <r>
          <rPr>
            <sz val="8"/>
            <color indexed="81"/>
            <rFont val="Tahoma"/>
            <family val="2"/>
          </rPr>
          <t xml:space="preserve">
subtracted total non-revenue usage to correct annual consumption report on 8-22-11</t>
        </r>
      </text>
    </comment>
    <comment ref="AH7" authorId="0">
      <text>
        <r>
          <rPr>
            <b/>
            <sz val="8"/>
            <color indexed="81"/>
            <rFont val="Tahoma"/>
            <family val="2"/>
          </rPr>
          <t>jmoline:</t>
        </r>
        <r>
          <rPr>
            <sz val="8"/>
            <color indexed="81"/>
            <rFont val="Tahoma"/>
            <family val="2"/>
          </rPr>
          <t xml:space="preserve">
subtracted total non-revenue usage to correct annual consumption report on 8-22-11</t>
        </r>
      </text>
    </comment>
    <comment ref="AI7" authorId="0">
      <text>
        <r>
          <rPr>
            <b/>
            <sz val="8"/>
            <color indexed="81"/>
            <rFont val="Tahoma"/>
            <family val="2"/>
          </rPr>
          <t>jmoline:</t>
        </r>
        <r>
          <rPr>
            <sz val="8"/>
            <color indexed="81"/>
            <rFont val="Tahoma"/>
            <family val="2"/>
          </rPr>
          <t xml:space="preserve">
subtracted total non-revenue usage to correct annual consumption report on 8-22-11</t>
        </r>
      </text>
    </comment>
    <comment ref="BK7" authorId="0">
      <text>
        <r>
          <rPr>
            <b/>
            <sz val="8"/>
            <color indexed="81"/>
            <rFont val="Tahoma"/>
            <family val="2"/>
          </rPr>
          <t>jmoline:</t>
        </r>
        <r>
          <rPr>
            <sz val="8"/>
            <color indexed="81"/>
            <rFont val="Tahoma"/>
            <family val="2"/>
          </rPr>
          <t xml:space="preserve">
added 3/15/10</t>
        </r>
      </text>
    </comment>
    <comment ref="BM7" authorId="0">
      <text>
        <r>
          <rPr>
            <b/>
            <sz val="8"/>
            <color indexed="81"/>
            <rFont val="Tahoma"/>
            <family val="2"/>
          </rPr>
          <t>jmoline:</t>
        </r>
        <r>
          <rPr>
            <sz val="8"/>
            <color indexed="81"/>
            <rFont val="Tahoma"/>
            <family val="2"/>
          </rPr>
          <t xml:space="preserve">
Added 6/10/10.  Assumes that all water in McMillin below 11.5' goes to the spillway or the cleaning pond.</t>
        </r>
      </text>
    </comment>
    <comment ref="BN7" authorId="0">
      <text>
        <r>
          <rPr>
            <b/>
            <sz val="8"/>
            <color indexed="81"/>
            <rFont val="Tahoma"/>
            <family val="2"/>
          </rPr>
          <t>jmoline:</t>
        </r>
        <r>
          <rPr>
            <sz val="8"/>
            <color indexed="81"/>
            <rFont val="Tahoma"/>
            <family val="2"/>
          </rPr>
          <t xml:space="preserve">
Added 6/10/10.  Assumes that all water in McMillin below 11.5' goes to the spillway or the cleaning pond.</t>
        </r>
      </text>
    </comment>
    <comment ref="BP7" authorId="0">
      <text>
        <r>
          <rPr>
            <b/>
            <sz val="8"/>
            <color indexed="81"/>
            <rFont val="Tahoma"/>
            <family val="2"/>
          </rPr>
          <t>jmoline:</t>
        </r>
        <r>
          <rPr>
            <sz val="8"/>
            <color indexed="81"/>
            <rFont val="Tahoma"/>
            <family val="2"/>
          </rPr>
          <t xml:space="preserve">
Added 6/10/10.  Sum of manually entered non-revenue water, draining McMillin below 11.5', and McMillin spillway.</t>
        </r>
      </text>
    </comment>
    <comment ref="X189" authorId="0">
      <text>
        <r>
          <rPr>
            <b/>
            <sz val="8"/>
            <color indexed="81"/>
            <rFont val="Tahoma"/>
            <family val="2"/>
          </rPr>
          <t>jmoline:</t>
        </r>
        <r>
          <rPr>
            <sz val="8"/>
            <color indexed="81"/>
            <rFont val="Tahoma"/>
            <family val="2"/>
          </rPr>
          <t xml:space="preserve">
It appears that the meter has turned over, so this calculation has been modified for this day.</t>
        </r>
      </text>
    </comment>
    <comment ref="X325" authorId="0">
      <text>
        <r>
          <rPr>
            <b/>
            <sz val="8"/>
            <color indexed="81"/>
            <rFont val="Tahoma"/>
            <family val="2"/>
          </rPr>
          <t>jmoline:</t>
        </r>
        <r>
          <rPr>
            <sz val="8"/>
            <color indexed="81"/>
            <rFont val="Tahoma"/>
            <family val="2"/>
          </rPr>
          <t xml:space="preserve">
It appears that the meter has turned over, so this calculation has been modified for this day.</t>
        </r>
      </text>
    </comment>
  </commentList>
</comments>
</file>

<file path=xl/sharedStrings.xml><?xml version="1.0" encoding="utf-8"?>
<sst xmlns="http://schemas.openxmlformats.org/spreadsheetml/2006/main" count="5699" uniqueCount="789">
  <si>
    <t>Date/Time</t>
  </si>
  <si>
    <t>Date</t>
  </si>
  <si>
    <t>Time</t>
  </si>
  <si>
    <t>Sunday</t>
  </si>
  <si>
    <t>Monday</t>
  </si>
  <si>
    <t>Tuesday</t>
  </si>
  <si>
    <t>Wednesday</t>
  </si>
  <si>
    <t>Thursday</t>
  </si>
  <si>
    <t>Friday</t>
  </si>
  <si>
    <t>Saturday</t>
  </si>
  <si>
    <t xml:space="preserve"> </t>
  </si>
  <si>
    <t>-CFS</t>
  </si>
  <si>
    <t>-FT</t>
  </si>
  <si>
    <t>-MG</t>
  </si>
  <si>
    <t>-PPM</t>
  </si>
  <si>
    <t>-LBS</t>
  </si>
  <si>
    <t>-IN</t>
  </si>
  <si>
    <t>-F</t>
  </si>
  <si>
    <t>Wells</t>
  </si>
  <si>
    <t>Simpson</t>
  </si>
  <si>
    <t>Supply</t>
  </si>
  <si>
    <t>McMillin</t>
  </si>
  <si>
    <t>SSP Weekly Midnight (12 am) Operations Report</t>
  </si>
  <si>
    <t>Howard Hanson Reservoir Elev.</t>
  </si>
  <si>
    <t>-FEET</t>
  </si>
  <si>
    <t>Howard Hanson Reservoir Storage</t>
  </si>
  <si>
    <t>-AF</t>
  </si>
  <si>
    <t>Change in HH Reservoir Storage</t>
  </si>
  <si>
    <t xml:space="preserve">Howard Hanson Reservoir Inflow </t>
  </si>
  <si>
    <t>Below HHD Dam Outflow (12105900)</t>
  </si>
  <si>
    <t>Green River at Palmer (12106700)</t>
  </si>
  <si>
    <t>Min. at Palmer for 2nd Div WR</t>
  </si>
  <si>
    <t>Green River at Auburn (12113000)</t>
  </si>
  <si>
    <t>Min. at Auburn for 2nd Div WR</t>
  </si>
  <si>
    <t>Min. at Auburn for 1st Div WR</t>
  </si>
  <si>
    <t>-MGD</t>
  </si>
  <si>
    <t>Available 1st Water Right Diversion</t>
  </si>
  <si>
    <t xml:space="preserve">  -MG</t>
  </si>
  <si>
    <t xml:space="preserve"> -CFS</t>
  </si>
  <si>
    <t>SDWR Storage Accumulation (+)</t>
  </si>
  <si>
    <t>Total Storage</t>
  </si>
  <si>
    <t>-NTU</t>
  </si>
  <si>
    <t>UVT</t>
  </si>
  <si>
    <t>%</t>
  </si>
  <si>
    <t>Total Tacoma Wholesale</t>
  </si>
  <si>
    <t>1st Diversion water going down P5</t>
  </si>
  <si>
    <t>Daily Storage Drawdown (-)</t>
  </si>
  <si>
    <t>Daily Storage Accumulation (+)</t>
  </si>
  <si>
    <t>Total  Storage</t>
  </si>
  <si>
    <t>KENT - Meter total</t>
  </si>
  <si>
    <t>KENT - Meter adjusted</t>
  </si>
  <si>
    <t>COVINGTON - Meter total</t>
  </si>
  <si>
    <t>COVINGTON - Meter adjusted</t>
  </si>
  <si>
    <t>LAKEHAVEN  - Meter total</t>
  </si>
  <si>
    <t>LAKEHAVEN  - Meter adjusted</t>
  </si>
  <si>
    <t>TOTAL KENT/CWD/LUD</t>
  </si>
  <si>
    <t>TOTAL OF ALL DELIVERY METERS</t>
  </si>
  <si>
    <t>DIFFERENCE FROM P5 METER</t>
  </si>
  <si>
    <t>% OF TOTAL</t>
  </si>
  <si>
    <t>HHD Elevation</t>
  </si>
  <si>
    <t>AF</t>
  </si>
  <si>
    <t>feet</t>
  </si>
  <si>
    <t>cfs</t>
  </si>
  <si>
    <t>SECOND SUPPLY PROJECT</t>
  </si>
  <si>
    <t>PARTNERS</t>
  </si>
  <si>
    <t>First Diversion Right</t>
  </si>
  <si>
    <t>Wet Year</t>
  </si>
  <si>
    <t>Wet to Average Year</t>
  </si>
  <si>
    <t>Average Year</t>
  </si>
  <si>
    <t>Average to Dry Year</t>
  </si>
  <si>
    <t>Drought Year</t>
  </si>
  <si>
    <t>2nd Diversion Water Right</t>
  </si>
  <si>
    <t>Flow at Palmer Gage 12106700</t>
  </si>
  <si>
    <t>Total</t>
  </si>
  <si>
    <t>% of Total Flow</t>
  </si>
  <si>
    <t>Total Adjusted Kent, Covington, Lakehaven</t>
  </si>
  <si>
    <t>TACOMA PUBLIC UTILITIES</t>
  </si>
  <si>
    <t>WATER DIVISION</t>
  </si>
  <si>
    <t>214th Street Pump Station</t>
  </si>
  <si>
    <t>Fennel Creek 705 Pump Station</t>
  </si>
  <si>
    <t>Total Consumption</t>
  </si>
  <si>
    <t>NF No. 6 Well Water Available</t>
  </si>
  <si>
    <t>Turbidity - Raw River</t>
  </si>
  <si>
    <t>Turbidity - Finished River</t>
  </si>
  <si>
    <t>CL/Day</t>
  </si>
  <si>
    <t>Rainfall</t>
  </si>
  <si>
    <t>Snow</t>
  </si>
  <si>
    <t>Air Temperature</t>
  </si>
  <si>
    <t>Water Temperature</t>
  </si>
  <si>
    <t>Turbidity - Outlet</t>
  </si>
  <si>
    <t>Free Cl Residual - Inlet</t>
  </si>
  <si>
    <t>Free Cl Residual - Below Plant</t>
  </si>
  <si>
    <t>Consumption</t>
  </si>
  <si>
    <t>McMillin Pump Station No. 2</t>
  </si>
  <si>
    <t>Total Tacoma Consumption (mg)</t>
  </si>
  <si>
    <t xml:space="preserve">  -PPM</t>
  </si>
  <si>
    <t xml:space="preserve"> -LBS</t>
  </si>
  <si>
    <t xml:space="preserve">  -EL</t>
  </si>
  <si>
    <t>McMillin Reservoir</t>
  </si>
  <si>
    <t xml:space="preserve">Simpson </t>
  </si>
  <si>
    <t>High Service</t>
  </si>
  <si>
    <t>North End Service</t>
  </si>
  <si>
    <t>Middle Service</t>
  </si>
  <si>
    <t>Depth of Indian Hill 0.5 mg Reservoir</t>
  </si>
  <si>
    <t>Depth of Indian Hill 3.5 mg Reservoir</t>
  </si>
  <si>
    <t>Hood Street Reservoir</t>
  </si>
  <si>
    <t>Portland Avenue Reservoir</t>
  </si>
  <si>
    <t>North End Reservoirs</t>
  </si>
  <si>
    <t>Alaska Street Reservoir</t>
  </si>
  <si>
    <t>Northeast Tacoma Reservoirs</t>
  </si>
  <si>
    <t>Flow 48"</t>
  </si>
  <si>
    <t>Flow 24"</t>
  </si>
  <si>
    <t>Generator</t>
  </si>
  <si>
    <t>-kW</t>
  </si>
  <si>
    <t>Headworks</t>
  </si>
  <si>
    <t>Supply Summary</t>
  </si>
  <si>
    <t>SDWR Storage Accumlation (MG)</t>
  </si>
  <si>
    <t>FDW Taken Down P5 (Tacoma Adjusted-SDWR Storage Use (MG)</t>
  </si>
  <si>
    <t>Water Quality</t>
  </si>
  <si>
    <t>24 Hour Source Data</t>
  </si>
  <si>
    <t>Instantaneous Source Data</t>
  </si>
  <si>
    <t>Available 2nd Water Right Diversion (Max)</t>
  </si>
  <si>
    <t>Headworks Flow Meter, P1</t>
  </si>
  <si>
    <t>Headworks Flow Meter, P5</t>
  </si>
  <si>
    <t>Northfork Wells</t>
  </si>
  <si>
    <t>Turbidity (Max.) River</t>
  </si>
  <si>
    <t>Turbidity (Max.) Finished</t>
  </si>
  <si>
    <t>McMillin - Outlet</t>
  </si>
  <si>
    <t>Height of Water Over Dam</t>
  </si>
  <si>
    <t>Total Diversion (P1+P5)</t>
  </si>
  <si>
    <t>Begin Storage Date</t>
  </si>
  <si>
    <t>Storage Attained Date</t>
  </si>
  <si>
    <t>Maximum Storage (MG)</t>
  </si>
  <si>
    <t>Date of Storage split</t>
  </si>
  <si>
    <t>Maximum Storage after split (MG)</t>
  </si>
  <si>
    <t>End of Storage Season</t>
  </si>
  <si>
    <t>Municipal</t>
  </si>
  <si>
    <t>River Flows</t>
  </si>
  <si>
    <t>Instream flow requirements for Tacoma Diversions</t>
  </si>
  <si>
    <t>Howard Hanson Dam</t>
  </si>
  <si>
    <t>Natural River flow (HHD inflow info) - See USACE website for hourly inflow data</t>
  </si>
  <si>
    <t>Total Diversion            (P1 &amp; P5)</t>
  </si>
  <si>
    <t>Water Stored</t>
  </si>
  <si>
    <t>Stored Water taken</t>
  </si>
  <si>
    <t>Pipeline 1</t>
  </si>
  <si>
    <t>Pipeline 5</t>
  </si>
  <si>
    <t>NF well use</t>
  </si>
  <si>
    <t>Green River Turbidity</t>
  </si>
  <si>
    <r>
      <t xml:space="preserve">Auburn Gage  </t>
    </r>
    <r>
      <rPr>
        <sz val="8"/>
        <rFont val="Arial"/>
        <family val="2"/>
      </rPr>
      <t>(unoficial - see USGS website)</t>
    </r>
  </si>
  <si>
    <r>
      <t xml:space="preserve">Palmer Gage  </t>
    </r>
    <r>
      <rPr>
        <sz val="8"/>
        <rFont val="Arial"/>
        <family val="2"/>
      </rPr>
      <t>(unoficial - see USGS website)</t>
    </r>
  </si>
  <si>
    <t>Auburn / 1st Diversion</t>
  </si>
  <si>
    <t>Auburn / 2nd Diversion</t>
  </si>
  <si>
    <t>Palmer / 2nd Diversion</t>
  </si>
  <si>
    <t>Equivalent 98% guide curve elevation</t>
  </si>
  <si>
    <t>HHD municipal storage</t>
  </si>
  <si>
    <t>HHD 1135+other  resource storage</t>
  </si>
  <si>
    <t>sufficient for 1st Diverson?</t>
  </si>
  <si>
    <t>sufficient for 2nd Diverson?</t>
  </si>
  <si>
    <t>HHD Conservation/Flood Storage Guide Curve</t>
  </si>
  <si>
    <t>ntu</t>
  </si>
  <si>
    <t>ft</t>
  </si>
  <si>
    <t>Yes/No</t>
  </si>
  <si>
    <t>Change In Storage by Elevation (CFS)</t>
  </si>
  <si>
    <t>Change In Municipal Storage (MGD)</t>
  </si>
  <si>
    <t>Change In Municipal Storage (CFS)</t>
  </si>
  <si>
    <t>NF</t>
  </si>
  <si>
    <t>Other</t>
  </si>
  <si>
    <t>Tacoma</t>
  </si>
  <si>
    <t>HW</t>
  </si>
  <si>
    <t>TOTAL</t>
  </si>
  <si>
    <t>PL5</t>
  </si>
  <si>
    <t>Reservoirs</t>
  </si>
  <si>
    <t>General</t>
  </si>
  <si>
    <t>Wholesale</t>
  </si>
  <si>
    <t>Partners</t>
  </si>
  <si>
    <t>Totals</t>
  </si>
  <si>
    <t>DATE</t>
  </si>
  <si>
    <t>AMOUNT</t>
  </si>
  <si>
    <t>Lowest Day In This Month</t>
  </si>
  <si>
    <t>Highest Day In This Month</t>
  </si>
  <si>
    <t>#1 NORTH</t>
  </si>
  <si>
    <t>#1 SOUTH</t>
  </si>
  <si>
    <t>#2 BASIN</t>
  </si>
  <si>
    <t>Ave Diff Per</t>
  </si>
  <si>
    <t>PORTLAND AVE</t>
  </si>
  <si>
    <t>GAGE</t>
  </si>
  <si>
    <t>CAPACITY</t>
  </si>
  <si>
    <t>1/10th Of A Foot</t>
  </si>
  <si>
    <t>RESERVOIR</t>
  </si>
  <si>
    <t>gal</t>
  </si>
  <si>
    <t>Near Spill Condition</t>
  </si>
  <si>
    <t>-</t>
  </si>
  <si>
    <t>* NOTE: red italicized font are estimated values</t>
  </si>
  <si>
    <t>/</t>
  </si>
  <si>
    <t>area =</t>
  </si>
  <si>
    <t>Change in Hood Street Reservoir (MG)</t>
  </si>
  <si>
    <t xml:space="preserve">Change in Alaska Street Reservoir (MG) </t>
  </si>
  <si>
    <t>Change in Northend Reservoir (MG)</t>
  </si>
  <si>
    <t>Change in McMillin 1# N Storage (MG)</t>
  </si>
  <si>
    <t>Change in McMillin 1# S Storage (MG)</t>
  </si>
  <si>
    <t>Change in McMillin 2# Storage (MG)</t>
  </si>
  <si>
    <t>Total Change In Storage at McMillin (MG)</t>
  </si>
  <si>
    <t>Total Change In Portland Avenue (MG)</t>
  </si>
  <si>
    <t>Total Change in other Reservoirs</t>
  </si>
  <si>
    <t>Is McMillin #1N Spilling</t>
  </si>
  <si>
    <t>Is McMillin #2 Spilling</t>
  </si>
  <si>
    <t>Is McMillin #1 N Spilling</t>
  </si>
  <si>
    <t>Outflow from McMillin Reservoir</t>
  </si>
  <si>
    <t>Inflow to McMillin Reservoir</t>
  </si>
  <si>
    <t>Net flow minus water used in storage change</t>
  </si>
  <si>
    <t>Spill Test</t>
  </si>
  <si>
    <t>Total Consumption W/ Partners</t>
  </si>
  <si>
    <t>P5</t>
  </si>
  <si>
    <t>Month</t>
  </si>
  <si>
    <t>January</t>
  </si>
  <si>
    <t>February</t>
  </si>
  <si>
    <t>March</t>
  </si>
  <si>
    <t>April</t>
  </si>
  <si>
    <t>May</t>
  </si>
  <si>
    <t>June</t>
  </si>
  <si>
    <t>July</t>
  </si>
  <si>
    <t>August</t>
  </si>
  <si>
    <t>September</t>
  </si>
  <si>
    <t>October</t>
  </si>
  <si>
    <t>November</t>
  </si>
  <si>
    <t>December</t>
  </si>
  <si>
    <t>Daily</t>
  </si>
  <si>
    <t>Averages</t>
  </si>
  <si>
    <t>Non-Revenue</t>
  </si>
  <si>
    <t>Usage</t>
  </si>
  <si>
    <t>Reason For use</t>
  </si>
  <si>
    <t>Tacoma Net</t>
  </si>
  <si>
    <t xml:space="preserve">Reason For </t>
  </si>
  <si>
    <t>Non Revenue Usage</t>
  </si>
  <si>
    <t>OTHER USE</t>
  </si>
  <si>
    <t>Enter the 1st day of the month for reporting</t>
  </si>
  <si>
    <t>Indian Hill Reservoir 3.5 (MG)</t>
  </si>
  <si>
    <t>Storage Manual Adjustment</t>
  </si>
  <si>
    <t>Tacoma Manual Storage Adjustment (AF)</t>
  </si>
  <si>
    <t>Covington Manual Storage Adjustment (AF)</t>
  </si>
  <si>
    <t>Lakehaven Manual Storage Adjustment (AF)</t>
  </si>
  <si>
    <t>Kent Manual Storage Adjustment (AF)</t>
  </si>
  <si>
    <t>Headworks Report</t>
  </si>
  <si>
    <t>Total Manual Adjustment (AF)</t>
  </si>
  <si>
    <t>From Water Control Manual</t>
  </si>
  <si>
    <t>hhdelev_wcm</t>
  </si>
  <si>
    <t>hhdcap_wcm</t>
  </si>
  <si>
    <t>storage</t>
  </si>
  <si>
    <t>stage</t>
  </si>
  <si>
    <t>Kent Daily Storage Drawdown(-) (MG)</t>
  </si>
  <si>
    <t>Kent Daily Storage Accumulation (+) (MG)</t>
  </si>
  <si>
    <t>Covington Daily Storage Drawdown(-) (MG)</t>
  </si>
  <si>
    <t>Covington Daily Storage Accumulation (+) (MG)</t>
  </si>
  <si>
    <t>Lakehaven Daily Storage Accumulation (+) (MG)</t>
  </si>
  <si>
    <t>Tacoma Manual Storage Adjustment (+) (MG)</t>
  </si>
  <si>
    <t>Kent Manual Storage Adjustment (+) (MG)</t>
  </si>
  <si>
    <t>Covington Manual Storage Adjustment (+) (MG)</t>
  </si>
  <si>
    <t>Lakehaven Manual Storage Adjustment (+) (MG)</t>
  </si>
  <si>
    <t>Total Manual Adjustment (MG) (+)</t>
  </si>
  <si>
    <t>Tacoma O&amp;M Share P1</t>
  </si>
  <si>
    <t>Tacoma O&amp;M Share P5</t>
  </si>
  <si>
    <t>Kent O&amp;M Share</t>
  </si>
  <si>
    <t>Covington O&amp;M Share</t>
  </si>
  <si>
    <t>Lakehaven  O&amp;M Share</t>
  </si>
  <si>
    <t>Accounting/Billing</t>
  </si>
  <si>
    <t>Daily Delivery Schedules</t>
  </si>
  <si>
    <t xml:space="preserve">Tacoma </t>
  </si>
  <si>
    <t>Kent</t>
  </si>
  <si>
    <t>Covington</t>
  </si>
  <si>
    <t>Lakehaven</t>
  </si>
  <si>
    <t>Non Revenue Water (MG)</t>
  </si>
  <si>
    <t>Enter Date:</t>
  </si>
  <si>
    <t>Cumberland Pump Station</t>
  </si>
  <si>
    <t>PH (Average), P1</t>
  </si>
  <si>
    <t>PH (Average), P5</t>
  </si>
  <si>
    <t>McMillin Valve 271 open 1=Yes</t>
  </si>
  <si>
    <t>Reservoir Level</t>
  </si>
  <si>
    <t>Reservoir Level +248.5</t>
  </si>
  <si>
    <t>Total Storage Net (MG)</t>
  </si>
  <si>
    <t>Total Storage Net (AF)</t>
  </si>
  <si>
    <t>Length =</t>
  </si>
  <si>
    <t>Depth of Indian Hill 1.0 mg Reservoir</t>
  </si>
  <si>
    <t>diameter or width =</t>
  </si>
  <si>
    <t>REGIONAL WATER SUPPLY PROJECT MIDNIGHT OPERATIONS REPORT</t>
  </si>
  <si>
    <t xml:space="preserve">Flow at Auburn Gage 12113000 </t>
  </si>
  <si>
    <t>Look up table</t>
  </si>
  <si>
    <t>Flows to be maintained at Auburn Gage 12113000 July 15-December 7</t>
  </si>
  <si>
    <t>P5 (Tacoma Consumption)</t>
  </si>
  <si>
    <t>Flowmeter, Headworks Reservoir</t>
  </si>
  <si>
    <t>Indian Hill Reservoir 1.5 (MG)</t>
  </si>
  <si>
    <t>Indian Hill Reservoir .5 (MG)</t>
  </si>
  <si>
    <t>Rainfall (inches)</t>
  </si>
  <si>
    <t>Snow On Ground (inches)</t>
  </si>
  <si>
    <t>Chlorine (LBS/Day)</t>
  </si>
  <si>
    <t>Flowmeter, P1 Total</t>
  </si>
  <si>
    <t>Total of All Deliveries</t>
  </si>
  <si>
    <t>Total CWD/Kent/LUD</t>
  </si>
  <si>
    <t>P5 Fluoride (Average)</t>
  </si>
  <si>
    <t>Total Tacoma P1+P5+Wells</t>
  </si>
  <si>
    <t>* Indicates 8 am reading</t>
  </si>
  <si>
    <t>CL/Day*</t>
  </si>
  <si>
    <t>Fluoride</t>
  </si>
  <si>
    <t>-mg/L</t>
  </si>
  <si>
    <t>PH</t>
  </si>
  <si>
    <t>P5 Meter-Total Delivery</t>
  </si>
  <si>
    <t>HHD Conservation / Flood Storage (Dead Storage not included)</t>
  </si>
  <si>
    <t>1135 + resource water daily use</t>
  </si>
  <si>
    <t>Does Tacoma Water Need Extra Water?</t>
  </si>
  <si>
    <t>Total Tacoma Storage (MG)</t>
  </si>
  <si>
    <t>Amount of Extra Water Received (MG)</t>
  </si>
  <si>
    <t>Amount of Extra Water that could be received by Tacoma? (MG)</t>
  </si>
  <si>
    <t>Does Covington Water Need Extra Water?</t>
  </si>
  <si>
    <t>Amount of Extra Water that could be received by Covington? (MG)</t>
  </si>
  <si>
    <t>Total Covington Storage (MG)</t>
  </si>
  <si>
    <t>Covington Total Storage with out Extra Water (MG)</t>
  </si>
  <si>
    <t>Tacoma Total Storage with out Extra Water (MG)</t>
  </si>
  <si>
    <t>Does Kent Water Need Extra Water?</t>
  </si>
  <si>
    <t>Amount of Extra Water that could be received by Kent? (MG)</t>
  </si>
  <si>
    <t>Kent Total Storage with out Extra Water (MG)</t>
  </si>
  <si>
    <t>Total Kent Storage (MG)</t>
  </si>
  <si>
    <t>Does Lakehaven Water Need Extra Water?</t>
  </si>
  <si>
    <t>Amount of Extra Water that could be received by Lakehaven? (MG)</t>
  </si>
  <si>
    <t>Lakehaven Total Storage with out Extra Water (MG)</t>
  </si>
  <si>
    <t>Total Lakehaven Storage (MG)</t>
  </si>
  <si>
    <t>Total Extra Water Available</t>
  </si>
  <si>
    <t>Word to look up percentage</t>
  </si>
  <si>
    <t>Extra Water Available from Covington (MG)</t>
  </si>
  <si>
    <t>Extra Water Available from Kent (MG)</t>
  </si>
  <si>
    <t>Extra Water Available from Lakehaven (MG)</t>
  </si>
  <si>
    <t>Tacoma Total Storage with out Extra Water (AF)</t>
  </si>
  <si>
    <t>Total Tacoma Storage (AF)</t>
  </si>
  <si>
    <t>Covington Total Storage with out Extra Water (AF)</t>
  </si>
  <si>
    <t>Total Covington Storage (AF)</t>
  </si>
  <si>
    <t>Kent Total Storage with out Extra Water (AF)</t>
  </si>
  <si>
    <t>Lakehaven Total Storage with out Extra Water (AF)</t>
  </si>
  <si>
    <t>Total Lakehaven Storage (AF)</t>
  </si>
  <si>
    <t>Total Kent Storage (AF)</t>
  </si>
  <si>
    <t>MGD to CFS</t>
  </si>
  <si>
    <t>MG to AF</t>
  </si>
  <si>
    <t>AF per day to CFS</t>
  </si>
  <si>
    <t>AF to MG</t>
  </si>
  <si>
    <t>CFS to MGD</t>
  </si>
  <si>
    <t>FDW taken down P5</t>
  </si>
  <si>
    <t>SDW Taken Schedules</t>
  </si>
  <si>
    <t>NE Tacoma Supply (MG)</t>
  </si>
  <si>
    <r>
      <t xml:space="preserve">1  </t>
    </r>
    <r>
      <rPr>
        <sz val="8"/>
        <color indexed="9"/>
        <rFont val="Arial"/>
        <family val="2"/>
      </rPr>
      <t>217th Ave SE 288th ST</t>
    </r>
  </si>
  <si>
    <r>
      <t xml:space="preserve">3  </t>
    </r>
    <r>
      <rPr>
        <sz val="8"/>
        <color indexed="9"/>
        <rFont val="Arial"/>
        <family val="2"/>
      </rPr>
      <t>120TH AVE SE &amp; SE 296TH ST</t>
    </r>
  </si>
  <si>
    <r>
      <t xml:space="preserve">1  </t>
    </r>
    <r>
      <rPr>
        <sz val="8"/>
        <color indexed="9"/>
        <rFont val="Arial"/>
        <family val="2"/>
      </rPr>
      <t>219th Ave SE &amp; SE 304TH ST</t>
    </r>
  </si>
  <si>
    <r>
      <t xml:space="preserve">2  </t>
    </r>
    <r>
      <rPr>
        <sz val="8"/>
        <color indexed="9"/>
        <rFont val="Arial"/>
        <family val="2"/>
      </rPr>
      <t>22048 SE 288th St.</t>
    </r>
  </si>
  <si>
    <r>
      <t xml:space="preserve">1  </t>
    </r>
    <r>
      <rPr>
        <sz val="8"/>
        <color indexed="9"/>
        <rFont val="Arial"/>
        <family val="2"/>
      </rPr>
      <t>44th AVE. S. &amp; 313th SST</t>
    </r>
  </si>
  <si>
    <r>
      <t>2</t>
    </r>
    <r>
      <rPr>
        <sz val="8"/>
        <color indexed="9"/>
        <rFont val="Arial"/>
        <family val="2"/>
      </rPr>
      <t xml:space="preserve">  1ST WAY S &amp; S 332ND ST</t>
    </r>
  </si>
  <si>
    <r>
      <t xml:space="preserve">3  </t>
    </r>
    <r>
      <rPr>
        <sz val="8"/>
        <color indexed="9"/>
        <rFont val="Arial"/>
        <family val="2"/>
      </rPr>
      <t>SW 356TH ST &amp; 15TH AVE SW</t>
    </r>
  </si>
  <si>
    <t>Control</t>
  </si>
  <si>
    <t>Chlorinator #</t>
  </si>
  <si>
    <t>Rotometer</t>
  </si>
  <si>
    <t>Outlet Meter Reading</t>
  </si>
  <si>
    <t>Chlorine Usage (LBS/Day)</t>
  </si>
  <si>
    <t>Inlet pH - Online</t>
  </si>
  <si>
    <t>Inlet pH - Grab</t>
  </si>
  <si>
    <t>Outlet pH - Online</t>
  </si>
  <si>
    <t>Outlet pH - Grab</t>
  </si>
  <si>
    <t>Valve 271 open 1=Yes</t>
  </si>
  <si>
    <t>Date for Annual Report</t>
  </si>
  <si>
    <t>Palmer Pump Station (Future) MG</t>
  </si>
  <si>
    <t>Cumberland Pump Station MG</t>
  </si>
  <si>
    <t>214TH STREET PUMP STATION MG</t>
  </si>
  <si>
    <t>198th Avenue E. Pump Station MG</t>
  </si>
  <si>
    <t>Fennel Creek 705 Pump Station MG</t>
  </si>
  <si>
    <t>Orting Valley MG</t>
  </si>
  <si>
    <t>High Cedars MG</t>
  </si>
  <si>
    <t>Marine View Pump Station MG</t>
  </si>
  <si>
    <t>Wells MG</t>
  </si>
  <si>
    <t>356th Pump Station MG</t>
  </si>
  <si>
    <t>McMillin Pump Station No. 2 MG</t>
  </si>
  <si>
    <t>Northend High Service MG</t>
  </si>
  <si>
    <t>Northend End Service MG</t>
  </si>
  <si>
    <t>Alaska Street Middle Service MG</t>
  </si>
  <si>
    <t>GPM To MGD</t>
  </si>
  <si>
    <t>Recycle  Pump Meter Reading</t>
  </si>
  <si>
    <t>CWA Wholesale</t>
  </si>
  <si>
    <t>Is extra Water Available from Tacoma (MG)</t>
  </si>
  <si>
    <t>Percentage Lookup Table</t>
  </si>
  <si>
    <t>Partner</t>
  </si>
  <si>
    <t>P</t>
  </si>
  <si>
    <t>1 Partner needs</t>
  </si>
  <si>
    <t>PP</t>
  </si>
  <si>
    <t>2 Partner needs</t>
  </si>
  <si>
    <t>PPP</t>
  </si>
  <si>
    <t>3 Partner needs</t>
  </si>
  <si>
    <t>T</t>
  </si>
  <si>
    <t>Tacoma only needs</t>
  </si>
  <si>
    <t>TP</t>
  </si>
  <si>
    <t>Tacoma &amp; 1 partner</t>
  </si>
  <si>
    <t>TPP</t>
  </si>
  <si>
    <t>Tacoma &amp; 2 Partner</t>
  </si>
  <si>
    <t>TPPP</t>
  </si>
  <si>
    <t>all need</t>
  </si>
  <si>
    <t>SDWR Kent Meter Total</t>
  </si>
  <si>
    <t>SDWR Kent Adjusted Flow</t>
  </si>
  <si>
    <t>FM Kent Meter Total</t>
  </si>
  <si>
    <t>FM Kent Meter Adjusted</t>
  </si>
  <si>
    <t>Kent Meter Total (MG)</t>
  </si>
  <si>
    <t>Kent Meter Adjusted (MG)</t>
  </si>
  <si>
    <t>SDWR Covington Meter Total</t>
  </si>
  <si>
    <t>SDWR Covington Adjusted Flow</t>
  </si>
  <si>
    <t>FM Covington Meter Total</t>
  </si>
  <si>
    <t>FM Covington Meter Adjusted</t>
  </si>
  <si>
    <t>Covington CWA Wholesale</t>
  </si>
  <si>
    <t>CWA Water via for Covington (MG)</t>
  </si>
  <si>
    <t>SDWR Lakehaven Meter Total</t>
  </si>
  <si>
    <t>SDWR Lakehaven Adjusted Flow</t>
  </si>
  <si>
    <t>FM Lakehaven Meter Total</t>
  </si>
  <si>
    <t>FM Lakehaven Adjusted Flow</t>
  </si>
  <si>
    <t>Covington Meter Total (MG)</t>
  </si>
  <si>
    <t>Lakehaven Meter Total (MG)</t>
  </si>
  <si>
    <t>Lakehaven Meter Adjusted (MG)</t>
  </si>
  <si>
    <t>Covington Meter Adjusted (MG)</t>
  </si>
  <si>
    <t>CWA Water via Covington Meter</t>
  </si>
  <si>
    <t>PL-1 Trends</t>
  </si>
  <si>
    <t>PL-5 Trends</t>
  </si>
  <si>
    <t>McMillin Trends</t>
  </si>
  <si>
    <t>Intown Reservoir Trends</t>
  </si>
  <si>
    <t>Intown Demands</t>
  </si>
  <si>
    <t>Future</t>
  </si>
  <si>
    <t>IH Supply MG</t>
  </si>
  <si>
    <t>Enumclaw Wholesale MG</t>
  </si>
  <si>
    <t>Other Meter Total</t>
  </si>
  <si>
    <t>Other Meter adjusted</t>
  </si>
  <si>
    <t>Other Covington Meter Total</t>
  </si>
  <si>
    <t>Other Covington Meter Adjusted</t>
  </si>
  <si>
    <t>Other Lakehaven Meter Total</t>
  </si>
  <si>
    <t>Other Lakehaven Adjusted Flow</t>
  </si>
  <si>
    <t>HH Dam Reservoir Elevation</t>
  </si>
  <si>
    <t>Depth of Reservoir No. 1 S - +569.3</t>
  </si>
  <si>
    <t>Depth of Reservoir No. 1 N - +569.3</t>
  </si>
  <si>
    <t>198th Ave. East Pump Station</t>
  </si>
  <si>
    <t xml:space="preserve">Green River at Palmer </t>
  </si>
  <si>
    <t>CL Residual PL 2*</t>
  </si>
  <si>
    <t>CL Residual PL 4*</t>
  </si>
  <si>
    <t>Total Tacoma Consumption With Partners (mg)</t>
  </si>
  <si>
    <t>Total CWD/Kent/LUD Adjusted flow (MG)</t>
  </si>
  <si>
    <t>PRODUCED BY SOURCES (MG)</t>
  </si>
  <si>
    <t>DELIVERED TO DISTRIBUTION SYSTEM (MG)</t>
  </si>
  <si>
    <t>P1</t>
  </si>
  <si>
    <t>Total w/</t>
  </si>
  <si>
    <t>Total Res</t>
  </si>
  <si>
    <t>Spill</t>
  </si>
  <si>
    <t>(adjusted)</t>
  </si>
  <si>
    <t>Annual</t>
  </si>
  <si>
    <t>Total Change in Reservoirs (McMillin + Other Reservoirs</t>
  </si>
  <si>
    <t>Total Tacoma Produced (City Wells + P1 + P5 - Partners- Wholsale)</t>
  </si>
  <si>
    <t>Total Tacoma Produced, Delivered to Tacoma (P1+P5356+Change In Reservoir+Wells-Partners-Wholesale</t>
  </si>
  <si>
    <t>Total Tacoma W/ Partners</t>
  </si>
  <si>
    <t>CWA</t>
  </si>
  <si>
    <t>Lakehaven O&amp;M Share Forced Majeure</t>
  </si>
  <si>
    <t>Kent O&amp;M Share Forced Majeure</t>
  </si>
  <si>
    <t>Covington O&amp;M Share Forced Majeure</t>
  </si>
  <si>
    <t>Participants Delivery</t>
  </si>
  <si>
    <t>Equivalent 98% guide curve elevation (ft)</t>
  </si>
  <si>
    <t>HHD Conservation/Flood Storage Guide Curve (AF)</t>
  </si>
  <si>
    <t>Change</t>
  </si>
  <si>
    <t>P5 @356</t>
  </si>
  <si>
    <t>Tacoma W/O</t>
  </si>
  <si>
    <t>Simpson*</t>
  </si>
  <si>
    <t>Total*</t>
  </si>
  <si>
    <t xml:space="preserve">Partners </t>
  </si>
  <si>
    <t>STORAGE ADJUSTMENTS</t>
  </si>
  <si>
    <t>TACOMA WATER</t>
  </si>
  <si>
    <t>Monthly</t>
  </si>
  <si>
    <t>NonNF</t>
  </si>
  <si>
    <t>w/Partners*</t>
  </si>
  <si>
    <t>DAILY PRODUCTION (MG)</t>
  </si>
  <si>
    <t>DAILY DELIVERY TO SYSTEM (MG)</t>
  </si>
  <si>
    <t>Lowest Day In This Month*</t>
  </si>
  <si>
    <t>Highest Day In This Month*</t>
  </si>
  <si>
    <t>TACOMA ONLY</t>
  </si>
  <si>
    <t>*note: these values include changes to reservoir levels</t>
  </si>
  <si>
    <t>calcs</t>
  </si>
  <si>
    <t>2+3+4-10-11</t>
  </si>
  <si>
    <t>2+3+4</t>
  </si>
  <si>
    <t>5+6+7</t>
  </si>
  <si>
    <t>2+3+(5+6+7)+8-9</t>
  </si>
  <si>
    <t>2+3+(5+6+7)+8</t>
  </si>
  <si>
    <t>2+3+(5+6+7)+8+10+11</t>
  </si>
  <si>
    <t>Lowest Day of This Year</t>
  </si>
  <si>
    <t>Highest Day of This Year</t>
  </si>
  <si>
    <t>Enter the 1st day reporting year (ie.1/1/2009)</t>
  </si>
  <si>
    <t>Lowest Day In This Year</t>
  </si>
  <si>
    <t>Highest Day In This Year</t>
  </si>
  <si>
    <t>Highest Day In This Year*</t>
  </si>
  <si>
    <t>Lowest Day In This Year*</t>
  </si>
  <si>
    <t>Total Produced With Partners W/Partners</t>
  </si>
  <si>
    <t>Palmer Minimum for SDWR (cfs)</t>
  </si>
  <si>
    <t>Auburn Minimum for SDWR (cfs)</t>
  </si>
  <si>
    <t>Auburn Minimum for FDWR (cfs)</t>
  </si>
  <si>
    <t>SDWR Available (MGD)</t>
  </si>
  <si>
    <t>FDWR Available (MGD)</t>
  </si>
  <si>
    <t>Headworks Flow Meter, P1            (cfs)</t>
  </si>
  <si>
    <t>Headworks Flow Meter, P5             (cfs)</t>
  </si>
  <si>
    <t>24 Hr. Flow P1          (cfs)</t>
  </si>
  <si>
    <t>24 Hr. Flow P5           (cfs)</t>
  </si>
  <si>
    <t>Flow meter, Reservoir (cfs)</t>
  </si>
  <si>
    <t>SDWR Storage Use   (MG)</t>
  </si>
  <si>
    <t>SDWR Storage Accumulation (cfs)</t>
  </si>
  <si>
    <t>SDWR Storage Use    (cfs)</t>
  </si>
  <si>
    <t>Change In Total Storage (AF)</t>
  </si>
  <si>
    <t>Municipal Total Storage Net    (MG)</t>
  </si>
  <si>
    <t>Municipal Total Storage Net       (AF)</t>
  </si>
  <si>
    <t>Tacoma Meter Total (P5 Total Tacoma Meter + Wholesale) (MG)</t>
  </si>
  <si>
    <t>CWA Meter Total (CWA Meter + Covington CWA Water) (MG)</t>
  </si>
  <si>
    <t>Total Tacoma Wholesale (MG)</t>
  </si>
  <si>
    <t>Tacoma      Daily     Storage Accumulation     (+)               (MG)</t>
  </si>
  <si>
    <t>Tacoma Daily Storage Drawdown             (-)               (MG)</t>
  </si>
  <si>
    <t>Mcmillin</t>
  </si>
  <si>
    <t>Total Diversion (P1 +P5) (cfs)</t>
  </si>
  <si>
    <t>2nd Div     HH Inflow Restriction (MGD)</t>
  </si>
  <si>
    <t>2nd Div Auburn Restriction (MGD)</t>
  </si>
  <si>
    <t>2nd Div Palmer Restriction (MGD)</t>
  </si>
  <si>
    <t>P1+P5-NF+    (Auburn Gage - Auburn Minimum) (MGD)</t>
  </si>
  <si>
    <t>Change in Storage (AF)</t>
  </si>
  <si>
    <t>Howard Hanson Storage (AF)</t>
  </si>
  <si>
    <t>HH Inflow+2% (MGD)</t>
  </si>
  <si>
    <t>Total Diversion     (P1 +P5) (MG)</t>
  </si>
  <si>
    <t>FDW Taken by Tacoma, Min (73 mgd, P1Total+Adjusted P5 @356th) (MGD)</t>
  </si>
  <si>
    <t>Lakehaven Daily Storage Drawdown      (-) (MG)</t>
  </si>
  <si>
    <t>CWA - All Meters total</t>
  </si>
  <si>
    <t>Force Majeure/NF Water for Covington (MG)</t>
  </si>
  <si>
    <t>SDW Taken (ROR)</t>
  </si>
  <si>
    <t>HHD Guide Curve</t>
  </si>
  <si>
    <t>Forecast date to have Municipal Storage at 20000AF (using 10 day moving average)</t>
  </si>
  <si>
    <t>Total Diversion (P1 &amp; P5)</t>
  </si>
  <si>
    <t>Municipal Water Stored</t>
  </si>
  <si>
    <t>Municipal Stored Water taken</t>
  </si>
  <si>
    <t>HHD Total Storage (including 1220 AF dead storage)</t>
  </si>
  <si>
    <t>HHD total storage (without 1220 AF dead storage)</t>
  </si>
  <si>
    <t>change in storage</t>
  </si>
  <si>
    <t>Municipal Storage</t>
  </si>
  <si>
    <t>Tacoma Support of Auburn Flow &gt;=250cfs</t>
  </si>
  <si>
    <t>HHD Conservation / Flood Storage (includes 1220AF dead storage)</t>
  </si>
  <si>
    <t>HHD Conservation / Flood Storage (minus 1220AF dead storage)</t>
  </si>
  <si>
    <t>Conservation / Flood Storage Guide Curve (includes 1220AF dead storage)</t>
  </si>
  <si>
    <t>Guide Curve change in storage</t>
  </si>
  <si>
    <t>HHD Conservation/Flood Storage Guide Curve (not including dead storage)</t>
  </si>
  <si>
    <t>Natural River Flow -- calculated HHD Inflow (unsmoothed calculated estimate)</t>
  </si>
  <si>
    <t>Forecast date to have Municipal Storage at 0AF (using 10 day moving average)</t>
  </si>
  <si>
    <t>Actual Cumulative Tacoma Storage</t>
  </si>
  <si>
    <t>Actual Cumulative Lakehaven Storage</t>
  </si>
  <si>
    <t>Actual Cumulative Covington Storage</t>
  </si>
  <si>
    <t>Actual Cumulative Kent Storage</t>
  </si>
  <si>
    <t>Forecast date to have Tacoma Storage at 0AF (using 10 day moving average)</t>
  </si>
  <si>
    <t>Forecast date to have Tacoma Storage at 20000AF (using 10 day moving average)</t>
  </si>
  <si>
    <t>Forecast date to have Lakehaven Storage at 0AF (using 10 day moving average)</t>
  </si>
  <si>
    <t>Forecast date to have Lakehaven Storage at 3889AF (using 10 day moving average)</t>
  </si>
  <si>
    <t>Forecast date to have Covington Storage at 0AF (using 10 day moving average)</t>
  </si>
  <si>
    <t>Forecast date to have Covington Storage at 3889AF (using 10 day moving average)</t>
  </si>
  <si>
    <t>Forecast date to have Kent Storage at 0AF (using 10 day moving average)</t>
  </si>
  <si>
    <t>Forecast date to have Kent Storage at 3889AF (using 10 day moving average)</t>
  </si>
  <si>
    <t>HHD total storage (incl. dead storage)</t>
  </si>
  <si>
    <t>HHD Conservation/Flood Storage</t>
  </si>
  <si>
    <t>Natural River Flow (unsmoothed calculated estimate)</t>
  </si>
  <si>
    <t>old 8am line number</t>
  </si>
  <si>
    <t>Release in excess of what is needed for Palmer at 110cfs (cfs)</t>
  </si>
  <si>
    <t>Total HHD Storage (AF)</t>
  </si>
  <si>
    <t>P5 Flow to Tacoma @ 356th Adjusted  (MG)</t>
  </si>
  <si>
    <t>Total Manual Adjustment (Partners)</t>
  </si>
  <si>
    <t>Amount Borrowed from Corp      (-Pay back, + borrowed)</t>
  </si>
  <si>
    <t>P5 at 356th PS - Meter total</t>
  </si>
  <si>
    <t>P5 at 356th PS - Meter adjusted</t>
  </si>
  <si>
    <t>NE Tacoma (356th PS + Marine View PS)</t>
  </si>
  <si>
    <t>Force Majeure/NF Water to Kent</t>
  </si>
  <si>
    <t>R5 Water Temp. (if operating, R1 if not)</t>
  </si>
  <si>
    <t>Inlet Flow</t>
  </si>
  <si>
    <t>Outlet Flow</t>
  </si>
  <si>
    <t>Recycle Pump Flow</t>
  </si>
  <si>
    <t>Mcmillin Recycle Pump Flow</t>
  </si>
  <si>
    <t>Tacoma w/o</t>
  </si>
  <si>
    <t># of Full Cylinders</t>
  </si>
  <si>
    <t>R5 CL Residual (Average)</t>
  </si>
  <si>
    <t>R1 CL Residual (average)</t>
  </si>
  <si>
    <t>Kent Daily Taken ROR (MG)</t>
  </si>
  <si>
    <t>Covington Daily Taken ROR (MG)</t>
  </si>
  <si>
    <t>Lakehaven Daily Taken ROR (MG)</t>
  </si>
  <si>
    <t>ROR Taken by Lakehaven</t>
  </si>
  <si>
    <t>ROR Taken by Covington</t>
  </si>
  <si>
    <t>ROR Taken by Kent</t>
  </si>
  <si>
    <t>ROR Taken by Tacoma (MG)</t>
  </si>
  <si>
    <t>2008 HHD Total Storage (including 1220 AF dead storage)</t>
  </si>
  <si>
    <t>HHD Elevation (00:00 hrs)</t>
  </si>
  <si>
    <t>2009 HHD Total Storage (including 1220 AF dead storage)</t>
  </si>
  <si>
    <t>Tacoma Total Consumption MG</t>
  </si>
  <si>
    <t>P5 pH (Average) (if operating, R1 if not)</t>
  </si>
  <si>
    <t>Forecasts:</t>
  </si>
  <si>
    <t>North Fork Water Used</t>
  </si>
  <si>
    <t>Kent North Fork Water Used (MG)</t>
  </si>
  <si>
    <t>Covington North Fork Water Used (MG)</t>
  </si>
  <si>
    <t>Lakehaven North Fork Water Used (MG)</t>
  </si>
  <si>
    <t>Covington O&amp;M Share (MG)</t>
  </si>
  <si>
    <t>Lakehaven O&amp;M Share (MG)</t>
  </si>
  <si>
    <t>Kent O&amp;M Share (MG)</t>
  </si>
  <si>
    <t>Air Temperature (degrees Fahrenheit)</t>
  </si>
  <si>
    <t>Water Height Over Dam (ft)</t>
  </si>
  <si>
    <t xml:space="preserve">Turbidity River, Max (ntu) </t>
  </si>
  <si>
    <t>UVT (%)</t>
  </si>
  <si>
    <t>Turbidity Blended Water (max), R1 (ntu)</t>
  </si>
  <si>
    <t>Turbidity Blended Water (max), R5 (ntu)</t>
  </si>
  <si>
    <t>Flow meter, Reservoir (MG)</t>
  </si>
  <si>
    <t>N0. 6 Well Water Available (ft)</t>
  </si>
  <si>
    <t>Chlorine Residual (average), R1 (ppm)</t>
  </si>
  <si>
    <t>Chlorine Dosage, P1 (ppm)</t>
  </si>
  <si>
    <t>Chlorine Residual (average), R5 (ppm)</t>
  </si>
  <si>
    <t>Chlorine Dosage, P5 (ppm)</t>
  </si>
  <si>
    <t>Fluoride (Average), P1 (mg/L)</t>
  </si>
  <si>
    <t>Fluoride (Average), P5 (mg/L)</t>
  </si>
  <si>
    <t>Water Temp. (Grab) SS#5, R1 (degrees Fahrenheit)</t>
  </si>
  <si>
    <t>Water Temp (Grab) SS #5, R5 (degrees Fahrenheit)</t>
  </si>
  <si>
    <t>Headworks Flow Meter, P1 (MGD)</t>
  </si>
  <si>
    <t>Headworks Flow Meter, P5 (MGD)</t>
  </si>
  <si>
    <t>24 Hr. Flow P1 (MG)</t>
  </si>
  <si>
    <t>24 Hr. Flow P5 (MG)</t>
  </si>
  <si>
    <t>Inlet Chlorine Resid. - Online (ppm)</t>
  </si>
  <si>
    <t>Inlet Chlorine Resid. - Grab (ppm)</t>
  </si>
  <si>
    <t>Outlet Chlorine Resid. - Online (ppm)</t>
  </si>
  <si>
    <t>Outlet Chlorine Resid. - Grab (ppm)</t>
  </si>
  <si>
    <t>Inlet Turbidity - Grab (ntu)</t>
  </si>
  <si>
    <t>Outlet Turbidity - Online (ntu)</t>
  </si>
  <si>
    <t>Outlet Turbidity - Grab (ntu)</t>
  </si>
  <si>
    <t>Reservoir Level #1 North (ft)</t>
  </si>
  <si>
    <t>Reservoir Level #1 South (ft)</t>
  </si>
  <si>
    <t>Reservoir Level #2 (ft)</t>
  </si>
  <si>
    <t>Tacoma Delivery Schedule (MGD)</t>
  </si>
  <si>
    <t>Kent Delivery Schedule (MGD)</t>
  </si>
  <si>
    <t>Covington Delivery Schedule (MGD)</t>
  </si>
  <si>
    <t>Lakehaven Delivery Schedule (MGD)</t>
  </si>
  <si>
    <t>CWA Delivery Schedule (MGD)</t>
  </si>
  <si>
    <t>Forced Majeure/NF Water Delivered to Kent (MG)</t>
  </si>
  <si>
    <t>Forced Majeure/NF Water Delivered to Covington or CWA via Covington (MG)</t>
  </si>
  <si>
    <t>Forced Majeure/NF Water Delivered to Lakehaven (MG)</t>
  </si>
  <si>
    <t>Hood Street CL2 Res. PL-2 (ppm)</t>
  </si>
  <si>
    <t>Hood Street CL2 Res. PL-4 (ppm)</t>
  </si>
  <si>
    <t>HHD Elev. (ft)</t>
  </si>
  <si>
    <t>Hood Street CL2/Day (lbs)</t>
  </si>
  <si>
    <t>Below HHD Outflow (12105900) (cfs)</t>
  </si>
  <si>
    <t>Green River at Auburn (12113000) (cfs)</t>
  </si>
  <si>
    <t>Green River at Palmer (12106700) (cfs)</t>
  </si>
  <si>
    <t>Cumberland Pump Station (gpm)</t>
  </si>
  <si>
    <t>Palmer Pump Station (gpm) FUTURE</t>
  </si>
  <si>
    <t>Enumclaw Wholesale (gpm) FUTURE</t>
  </si>
  <si>
    <t>214th Street Pump Station (gpm)</t>
  </si>
  <si>
    <t>198th Avenue E. Pump Station (gpm)</t>
  </si>
  <si>
    <t>Fennel Creek Pump Station (gpm)</t>
  </si>
  <si>
    <t>Orting Valley (gpm) FUTURE</t>
  </si>
  <si>
    <t>High Cedars (gpm) FUTURE</t>
  </si>
  <si>
    <t>P1 Flow @ 214th Pump Station (MG)</t>
  </si>
  <si>
    <t>CWA Wholesale (MG) FUTURE</t>
  </si>
  <si>
    <t>1  COV -- 219th Ave SE &amp; SE 304th ST (MG)</t>
  </si>
  <si>
    <t>2  COV -- 22048 SE 288th St. (MG)</t>
  </si>
  <si>
    <t>3  COV -- 188TH AVE SE &amp; SE 304TH ST (MG) FUTURE</t>
  </si>
  <si>
    <t>1  KENT -- 217th Ave SE 288th ST (MG) FUTURE</t>
  </si>
  <si>
    <t>2  KENT -- 124TH AVE SE &amp; SE 296TH ST (MG) FUTURE</t>
  </si>
  <si>
    <t>3  KENT -- 120TH AVE SE &amp; SE 296TH ST (MG)</t>
  </si>
  <si>
    <t>FCF TOTALIZER (MG)</t>
  </si>
  <si>
    <t>1  LH -- 44th AVE. S. &amp; 313th ST (MG)</t>
  </si>
  <si>
    <t>2  LH -- 1ST WAY S &amp; S 332ND ST (MG)</t>
  </si>
  <si>
    <t>3  LH -- SW 356TH ST &amp; 15TH AVE SW (MG) FUTURE</t>
  </si>
  <si>
    <t>P5 Flow at 356th Pump Station (MG)</t>
  </si>
  <si>
    <t>356th Pump Station (gpm)</t>
  </si>
  <si>
    <t>Marine View Pump Station (gpm)</t>
  </si>
  <si>
    <t>DEPTH OF  NO. 1 N. (ft)</t>
  </si>
  <si>
    <t>DEPTH OF  NO. 1 S. (ft)</t>
  </si>
  <si>
    <t>DEPTH OF  NO. 2 (ft)</t>
  </si>
  <si>
    <t>McMillin Inflow (MG)</t>
  </si>
  <si>
    <t>McMILLIN outflow (MG)</t>
  </si>
  <si>
    <t>McMillin Pump Station No. 2 (gpm)</t>
  </si>
  <si>
    <t>TURBIDITY UNITS OUTLET max (ntu)</t>
  </si>
  <si>
    <t>FREE CL RESID. INLET Average (ppm)</t>
  </si>
  <si>
    <t>FREE CL RESID. BELOW PLANT Average (ppm)</t>
  </si>
  <si>
    <t>PA Reservoir Staff Gage (ft)</t>
  </si>
  <si>
    <t>Alaska Street Staff Gage (ft)</t>
  </si>
  <si>
    <t>Northend Staff Gage (ft)</t>
  </si>
  <si>
    <t>IH 0.5 mg Reservoir Level (ft)</t>
  </si>
  <si>
    <t>IH 1.0 mg Reservoir Level (ft)</t>
  </si>
  <si>
    <t>IH 3.5 mg Reservoir Level (ft)</t>
  </si>
  <si>
    <t>Hood Street Staff Gage (ft)</t>
  </si>
  <si>
    <t>Hood Street Generator (kW)</t>
  </si>
  <si>
    <t>PA Inlet (MG)</t>
  </si>
  <si>
    <t>PA Outlet (MG)</t>
  </si>
  <si>
    <t>Alaska Street Middle Service (gpm)</t>
  </si>
  <si>
    <t>Hood Street 48" Flow (MG)</t>
  </si>
  <si>
    <t>Hood Street 24" Flow (MG)</t>
  </si>
  <si>
    <t>Wells (gpm)</t>
  </si>
  <si>
    <t>Simpson CONSUMPTION (MG)</t>
  </si>
  <si>
    <t>Simpson WATER TEMP. (degrees Fahrenheit)</t>
  </si>
  <si>
    <t>Hood Street CL2/Day (lbs) FUTURE</t>
  </si>
  <si>
    <t>Hood Street CL2 Res. PL-2 (ppm) FUTURE</t>
  </si>
  <si>
    <t>Hood Street CL2 Res. PL-4 (ppm) FUTURE</t>
  </si>
  <si>
    <t>PA CL2/Day (lbs) FUTURE</t>
  </si>
  <si>
    <t>1st Diversion reduction to keep Auburn above 250 (MGD)</t>
  </si>
  <si>
    <t>Release in excess of what is needed for Auburn at 250cfs cfs with 15cfs buffer (cfs)</t>
  </si>
  <si>
    <t>2nd Diversion water to Support Auburn at 250 cfs with a 15cfs buffer (cfs)</t>
  </si>
  <si>
    <t># days it took to store 20000AF</t>
  </si>
  <si>
    <t>AF/day</t>
  </si>
  <si>
    <t>cfs/day</t>
  </si>
  <si>
    <t>(Unadjusted)</t>
  </si>
  <si>
    <t>Total Non-Revenue Use MG</t>
  </si>
  <si>
    <t>Non-Revenue Draining of McMillin 1# N (MG)</t>
  </si>
  <si>
    <t>Non-</t>
  </si>
  <si>
    <t>Revenue</t>
  </si>
  <si>
    <t>Non-Revenue Draining of McMillin 1# S (MG)</t>
  </si>
  <si>
    <t>OTHER</t>
  </si>
  <si>
    <t>STORAGE ADJUSTMENTS (MG)</t>
  </si>
  <si>
    <t>Palmer Pump Station (FUTURE)</t>
  </si>
  <si>
    <t>Enumclaw Wholesale (FUTURE)</t>
  </si>
  <si>
    <t>Orting Valley (FUTURE)</t>
  </si>
  <si>
    <t>High Cedars (FUTURE)</t>
  </si>
  <si>
    <t>FDWR Taken by Tacoma</t>
  </si>
  <si>
    <t>SDWR Taken ROR Total</t>
  </si>
  <si>
    <t>Tacoma Daily Storage Drawdown (-)</t>
  </si>
  <si>
    <t>Tacoma Daily Storage Accumulation (+)</t>
  </si>
  <si>
    <t>Tacoma Storage Manual Adjustment</t>
  </si>
  <si>
    <t>Tacoma Total Storage</t>
  </si>
  <si>
    <r>
      <t xml:space="preserve">3  </t>
    </r>
    <r>
      <rPr>
        <sz val="8"/>
        <color indexed="55"/>
        <rFont val="Arial"/>
        <family val="2"/>
      </rPr>
      <t>188TH AVE SE &amp; SE 304TH ST</t>
    </r>
  </si>
  <si>
    <r>
      <t xml:space="preserve">2  </t>
    </r>
    <r>
      <rPr>
        <sz val="8"/>
        <color indexed="55"/>
        <rFont val="Arial"/>
        <family val="2"/>
      </rPr>
      <t>124TH AVE SE &amp; SE 296TH ST</t>
    </r>
  </si>
  <si>
    <t>CWA Meter (T6 meter only) (FUTURE)</t>
  </si>
  <si>
    <t>SDWR Taken (MGD)</t>
  </si>
  <si>
    <t>Total CWD/Kent/LUD Unadjusted flow (MG)</t>
  </si>
  <si>
    <t>Storing</t>
  </si>
  <si>
    <t>RWS</t>
  </si>
  <si>
    <t>Storage</t>
  </si>
  <si>
    <t>Started Using Storage Date</t>
  </si>
  <si>
    <t>Stopped Using Storage Date</t>
  </si>
  <si>
    <t>Northend High Service 478 Zone (gpm)</t>
  </si>
  <si>
    <t>Northend End Service 446 Zone (gpm)</t>
  </si>
  <si>
    <t>Left Scale Read</t>
  </si>
  <si>
    <t>Right Scale Read</t>
  </si>
  <si>
    <t>Water to Support Auburn at 250 cfs</t>
  </si>
  <si>
    <t>Tacoma water to Support Auburn at 250 cfs (MGD)</t>
  </si>
  <si>
    <t>SDWR Storage Use Incl. Auburn Support (-)</t>
  </si>
  <si>
    <t>1135 + Resource Water Daily Use</t>
  </si>
  <si>
    <t>Municipal Storage Daily Use</t>
  </si>
  <si>
    <t>Total 1135 + Resource Water</t>
  </si>
  <si>
    <t>Portion of 1135 + Resource Water Available to Tacoma for Maintaining Auburn Gage at 250 cfs Min</t>
  </si>
  <si>
    <t>DELIVERED TO PARTNERS (MG)</t>
  </si>
  <si>
    <t>os</t>
  </si>
  <si>
    <t>Comp</t>
  </si>
  <si>
    <t>2010 HHD Total Storage (including 1220 AF dead storage)</t>
  </si>
  <si>
    <t>maint</t>
  </si>
  <si>
    <t>Flow</t>
  </si>
  <si>
    <t>Other P5 Wholesale</t>
  </si>
  <si>
    <t>Other P5 Wholesale (MG)</t>
  </si>
  <si>
    <r>
      <t xml:space="preserve">6  </t>
    </r>
    <r>
      <rPr>
        <sz val="8"/>
        <color theme="0"/>
        <rFont val="Arial"/>
        <family val="2"/>
      </rPr>
      <t>164th Ave SE &amp; Kent-Black Diamond Rd</t>
    </r>
  </si>
  <si>
    <t>6  COV -- 164th Ave SE &amp; Kent-Black Diamond Rd (MG)</t>
  </si>
  <si>
    <t>N/A</t>
  </si>
  <si>
    <t>Kent Use Blended (Partially NF) Water? 1=Yes</t>
  </si>
  <si>
    <t>Lakehaven Use Blended (Partially NF) Water? 1=Yes</t>
  </si>
  <si>
    <t>Covington Use Blended (Partially NF) Water? 1=Yes</t>
  </si>
  <si>
    <t>O/S</t>
  </si>
  <si>
    <t>o/s</t>
  </si>
  <si>
    <t>Yes</t>
  </si>
  <si>
    <t>No</t>
  </si>
  <si>
    <t>Portion of 1135 + Resource Water for Agency Augmentation of Green River Flows</t>
  </si>
  <si>
    <t>Leak Test New McMillin Res. No. 1</t>
  </si>
  <si>
    <t>Leak Test New McMillin Res. No. 2</t>
  </si>
  <si>
    <t>Leak Test New McMillin Res. Nos. 1 &amp; 2</t>
  </si>
  <si>
    <t>SDWR Taken ROR by Tacoma</t>
  </si>
  <si>
    <t>Total Tacoma Without Simpson (City Wells + P1 + P5365 +Change in Reservoir - Simpson - Total Non-Revenue Usage)</t>
  </si>
  <si>
    <t>Total Tacoma - Total Non-Revenue Usage</t>
  </si>
  <si>
    <t>Total W/Partners* - Total Non-Revenue Usage</t>
  </si>
  <si>
    <r>
      <t xml:space="preserve">Auburn Gage  </t>
    </r>
    <r>
      <rPr>
        <sz val="8"/>
        <rFont val="Calibri"/>
        <family val="2"/>
        <scheme val="minor"/>
      </rPr>
      <t>(unofficial - see USGS website)</t>
    </r>
  </si>
  <si>
    <r>
      <t xml:space="preserve">Palmer Gage  </t>
    </r>
    <r>
      <rPr>
        <sz val="8"/>
        <rFont val="Calibri"/>
        <family val="2"/>
        <scheme val="minor"/>
      </rPr>
      <t>(unofficial - see USGS website)</t>
    </r>
  </si>
  <si>
    <r>
      <t xml:space="preserve">HHD Outflow </t>
    </r>
    <r>
      <rPr>
        <sz val="8"/>
        <rFont val="Calibri"/>
        <family val="2"/>
        <scheme val="minor"/>
      </rPr>
      <t>(unofficial)</t>
    </r>
  </si>
  <si>
    <t>1135 Daily Use (cfs)</t>
  </si>
  <si>
    <t>1135 + Resource Water (Flexible) AF</t>
  </si>
  <si>
    <t>Force Majeure/NF Water to Covington</t>
  </si>
  <si>
    <t>Force Majeure/NF Water to Lakehaven</t>
  </si>
  <si>
    <t>HHD Inflow Calculation (cfs)</t>
  </si>
  <si>
    <t>Force Majeure/NF/Other Water for Kent (MG)</t>
  </si>
  <si>
    <t>Force Majeure / NF Water for Lakehaven (MG)</t>
  </si>
  <si>
    <t xml:space="preserve">                  o/s</t>
  </si>
  <si>
    <t xml:space="preserve">                 O/S</t>
  </si>
  <si>
    <t xml:space="preserve">           O/S</t>
  </si>
  <si>
    <t xml:space="preserve">       O/S</t>
  </si>
  <si>
    <t xml:space="preserve">         O/S</t>
  </si>
  <si>
    <t xml:space="preserve">             O/S</t>
  </si>
  <si>
    <t>Jan</t>
  </si>
  <si>
    <t>Feb</t>
  </si>
  <si>
    <t>CWD</t>
  </si>
  <si>
    <t>LH</t>
  </si>
  <si>
    <t>TOTAL 2011</t>
  </si>
  <si>
    <t>(MG)</t>
  </si>
</sst>
</file>

<file path=xl/styles.xml><?xml version="1.0" encoding="utf-8"?>
<styleSheet xmlns="http://schemas.openxmlformats.org/spreadsheetml/2006/main">
  <numFmts count="10">
    <numFmt numFmtId="164" formatCode="mm/dd/yy"/>
    <numFmt numFmtId="165" formatCode="h:mm;@"/>
    <numFmt numFmtId="166" formatCode="0.0"/>
    <numFmt numFmtId="167" formatCode="0.000"/>
    <numFmt numFmtId="168" formatCode="mmmm\-yy"/>
    <numFmt numFmtId="169" formatCode="m/d"/>
    <numFmt numFmtId="170" formatCode="m/d/yy"/>
    <numFmt numFmtId="171" formatCode="[$-409]d\-mmm;@"/>
    <numFmt numFmtId="172" formatCode="m/d;@"/>
    <numFmt numFmtId="173" formatCode="m/d/yy;@"/>
  </numFmts>
  <fonts count="53">
    <font>
      <sz val="10"/>
      <name val="Arial"/>
    </font>
    <font>
      <sz val="10"/>
      <name val="Arial"/>
      <family val="2"/>
    </font>
    <font>
      <sz val="10"/>
      <name val="Times New Roman"/>
      <family val="1"/>
    </font>
    <font>
      <sz val="12"/>
      <color indexed="12"/>
      <name val="Times New Roman"/>
      <family val="1"/>
    </font>
    <font>
      <sz val="8"/>
      <color indexed="16"/>
      <name val="Arial"/>
      <family val="2"/>
    </font>
    <font>
      <sz val="10"/>
      <name val="Arial"/>
      <family val="2"/>
    </font>
    <font>
      <sz val="12"/>
      <name val="Arial"/>
      <family val="2"/>
    </font>
    <font>
      <sz val="10"/>
      <name val="Arial"/>
      <family val="2"/>
    </font>
    <font>
      <sz val="10"/>
      <color indexed="12"/>
      <name val="Arial"/>
      <family val="2"/>
    </font>
    <font>
      <sz val="12"/>
      <name val="Arial"/>
      <family val="2"/>
    </font>
    <font>
      <sz val="8"/>
      <name val="Arial"/>
      <family val="2"/>
    </font>
    <font>
      <u/>
      <sz val="10"/>
      <color indexed="12"/>
      <name val="Arial"/>
      <family val="2"/>
    </font>
    <font>
      <sz val="10"/>
      <name val="Arial"/>
      <family val="2"/>
    </font>
    <font>
      <b/>
      <sz val="12"/>
      <color indexed="16"/>
      <name val="Arial"/>
      <family val="2"/>
    </font>
    <font>
      <b/>
      <sz val="10"/>
      <color indexed="16"/>
      <name val="Arial"/>
      <family val="2"/>
    </font>
    <font>
      <sz val="10"/>
      <color indexed="16"/>
      <name val="Arial"/>
      <family val="2"/>
    </font>
    <font>
      <b/>
      <sz val="10"/>
      <color indexed="16"/>
      <name val="Arial"/>
      <family val="2"/>
    </font>
    <font>
      <b/>
      <sz val="8"/>
      <color indexed="16"/>
      <name val="Arial"/>
      <family val="2"/>
    </font>
    <font>
      <b/>
      <sz val="8"/>
      <name val="Arial"/>
      <family val="2"/>
    </font>
    <font>
      <sz val="8"/>
      <name val="Arial"/>
      <family val="2"/>
    </font>
    <font>
      <sz val="14"/>
      <color indexed="8"/>
      <name val="Arial"/>
      <family val="2"/>
    </font>
    <font>
      <sz val="17"/>
      <color indexed="8"/>
      <name val="Arial"/>
      <family val="2"/>
    </font>
    <font>
      <b/>
      <sz val="12"/>
      <color indexed="8"/>
      <name val="Arial"/>
      <family val="2"/>
    </font>
    <font>
      <b/>
      <sz val="10"/>
      <color indexed="8"/>
      <name val="Arial"/>
      <family val="2"/>
    </font>
    <font>
      <b/>
      <sz val="8"/>
      <color indexed="8"/>
      <name val="Arial"/>
      <family val="2"/>
    </font>
    <font>
      <i/>
      <sz val="8"/>
      <color indexed="10"/>
      <name val="Arial"/>
      <family val="2"/>
    </font>
    <font>
      <b/>
      <sz val="8"/>
      <name val="Arial"/>
      <family val="2"/>
    </font>
    <font>
      <sz val="10"/>
      <color indexed="12"/>
      <name val="Arial"/>
      <family val="2"/>
    </font>
    <font>
      <sz val="8"/>
      <color indexed="8"/>
      <name val="Arial"/>
      <family val="2"/>
    </font>
    <font>
      <sz val="10"/>
      <color indexed="8"/>
      <name val="Arial"/>
      <family val="2"/>
    </font>
    <font>
      <sz val="10"/>
      <color indexed="16"/>
      <name val="Arial"/>
      <family val="2"/>
    </font>
    <font>
      <sz val="8"/>
      <color indexed="16"/>
      <name val="Arial"/>
      <family val="2"/>
    </font>
    <font>
      <b/>
      <sz val="8"/>
      <color indexed="16"/>
      <name val="Arial"/>
      <family val="2"/>
    </font>
    <font>
      <sz val="8"/>
      <color indexed="9"/>
      <name val="Arial"/>
      <family val="2"/>
    </font>
    <font>
      <sz val="8"/>
      <name val="Arial"/>
      <family val="2"/>
    </font>
    <font>
      <sz val="6"/>
      <name val="Arial"/>
      <family val="2"/>
    </font>
    <font>
      <sz val="6"/>
      <name val="Arial"/>
      <family val="2"/>
    </font>
    <font>
      <sz val="8"/>
      <color indexed="81"/>
      <name val="Tahoma"/>
      <family val="2"/>
    </font>
    <font>
      <b/>
      <sz val="8"/>
      <color indexed="81"/>
      <name val="Tahoma"/>
      <family val="2"/>
    </font>
    <font>
      <sz val="12"/>
      <color indexed="12"/>
      <name val="Arial"/>
      <family val="2"/>
    </font>
    <font>
      <sz val="10"/>
      <color indexed="48"/>
      <name val="Arial"/>
      <family val="2"/>
    </font>
    <font>
      <sz val="10"/>
      <name val="MS Sans Serif"/>
      <family val="2"/>
    </font>
    <font>
      <sz val="8"/>
      <name val="Arial"/>
      <family val="2"/>
    </font>
    <font>
      <b/>
      <sz val="10"/>
      <name val="MS Sans Serif"/>
      <family val="2"/>
    </font>
    <font>
      <sz val="8"/>
      <color indexed="55"/>
      <name val="Arial"/>
      <family val="2"/>
    </font>
    <font>
      <sz val="8"/>
      <color theme="0"/>
      <name val="Arial"/>
      <family val="2"/>
    </font>
    <font>
      <b/>
      <sz val="8"/>
      <color theme="0"/>
      <name val="Arial"/>
      <family val="2"/>
    </font>
    <font>
      <b/>
      <sz val="10"/>
      <color indexed="12"/>
      <name val="Arial"/>
      <family val="2"/>
    </font>
    <font>
      <b/>
      <sz val="8"/>
      <name val="Calibri"/>
      <family val="2"/>
      <scheme val="minor"/>
    </font>
    <font>
      <sz val="8"/>
      <name val="Calibri"/>
      <family val="2"/>
      <scheme val="minor"/>
    </font>
    <font>
      <sz val="8"/>
      <color rgb="FF0070C0"/>
      <name val="Arial"/>
      <family val="2"/>
    </font>
    <font>
      <sz val="10"/>
      <color indexed="81"/>
      <name val="Tahoma"/>
      <family val="2"/>
    </font>
    <font>
      <b/>
      <sz val="10"/>
      <color indexed="81"/>
      <name val="Tahoma"/>
      <family val="2"/>
    </font>
  </fonts>
  <fills count="26">
    <fill>
      <patternFill patternType="none"/>
    </fill>
    <fill>
      <patternFill patternType="gray125"/>
    </fill>
    <fill>
      <patternFill patternType="solid">
        <fgColor indexed="9"/>
      </patternFill>
    </fill>
    <fill>
      <patternFill patternType="mediumGray">
        <fgColor indexed="22"/>
      </patternFill>
    </fill>
    <fill>
      <patternFill patternType="solid">
        <fgColor indexed="27"/>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55"/>
        <bgColor indexed="64"/>
      </patternFill>
    </fill>
    <fill>
      <patternFill patternType="solid">
        <fgColor indexed="51"/>
        <bgColor indexed="64"/>
      </patternFill>
    </fill>
    <fill>
      <patternFill patternType="solid">
        <fgColor theme="0" tint="-0.249977111117893"/>
        <bgColor indexed="64"/>
      </patternFill>
    </fill>
    <fill>
      <patternFill patternType="solid">
        <fgColor theme="0"/>
        <bgColor indexed="64"/>
      </patternFill>
    </fill>
    <fill>
      <patternFill patternType="solid">
        <fgColor theme="1" tint="0.34998626667073579"/>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0" tint="-4.9989318521683403E-2"/>
        <bgColor indexed="64"/>
      </patternFill>
    </fill>
  </fills>
  <borders count="83">
    <border>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medium">
        <color indexed="64"/>
      </top>
      <bottom/>
      <diagonal/>
    </border>
    <border>
      <left style="medium">
        <color indexed="64"/>
      </left>
      <right/>
      <top/>
      <bottom style="double">
        <color indexed="64"/>
      </bottom>
      <diagonal/>
    </border>
    <border>
      <left/>
      <right style="thin">
        <color indexed="64"/>
      </right>
      <top style="medium">
        <color indexed="64"/>
      </top>
      <bottom/>
      <diagonal/>
    </border>
    <border>
      <left/>
      <right style="medium">
        <color indexed="64"/>
      </right>
      <top/>
      <bottom style="double">
        <color indexed="64"/>
      </bottom>
      <diagonal/>
    </border>
    <border>
      <left style="thin">
        <color indexed="64"/>
      </left>
      <right style="medium">
        <color indexed="64"/>
      </right>
      <top/>
      <bottom style="double">
        <color indexed="64"/>
      </bottom>
      <diagonal/>
    </border>
    <border>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style="medium">
        <color indexed="64"/>
      </left>
      <right style="medium">
        <color indexed="64"/>
      </right>
      <top/>
      <bottom/>
      <diagonal/>
    </border>
    <border>
      <left/>
      <right style="thin">
        <color indexed="64"/>
      </right>
      <top/>
      <bottom style="medium">
        <color indexed="64"/>
      </bottom>
      <diagonal/>
    </border>
    <border>
      <left style="thin">
        <color indexed="64"/>
      </left>
      <right/>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double">
        <color indexed="64"/>
      </bottom>
      <diagonal/>
    </border>
    <border>
      <left style="medium">
        <color indexed="64"/>
      </left>
      <right style="medium">
        <color indexed="64"/>
      </right>
      <top/>
      <bottom style="double">
        <color indexed="64"/>
      </bottom>
      <diagonal/>
    </border>
  </borders>
  <cellStyleXfs count="11">
    <xf numFmtId="0" fontId="0" fillId="0" borderId="0"/>
    <xf numFmtId="0" fontId="5" fillId="0" borderId="0"/>
    <xf numFmtId="0" fontId="42" fillId="2" borderId="0"/>
    <xf numFmtId="0" fontId="4" fillId="0" borderId="0" applyNumberFormat="0" applyFill="0" applyBorder="0" applyAlignment="0" applyProtection="0"/>
    <xf numFmtId="9" fontId="1" fillId="0" borderId="0" applyFont="0" applyFill="0" applyBorder="0" applyAlignment="0" applyProtection="0"/>
    <xf numFmtId="0" fontId="41" fillId="0" borderId="0" applyNumberFormat="0" applyFont="0" applyFill="0" applyBorder="0" applyAlignment="0" applyProtection="0">
      <alignment horizontal="left"/>
    </xf>
    <xf numFmtId="15" fontId="41" fillId="0" borderId="0" applyFont="0" applyFill="0" applyBorder="0" applyAlignment="0" applyProtection="0"/>
    <xf numFmtId="4" fontId="41" fillId="0" borderId="0" applyFont="0" applyFill="0" applyBorder="0" applyAlignment="0" applyProtection="0"/>
    <xf numFmtId="0" fontId="43" fillId="0" borderId="1">
      <alignment horizontal="center"/>
    </xf>
    <xf numFmtId="3" fontId="41" fillId="0" borderId="0" applyFont="0" applyFill="0" applyBorder="0" applyAlignment="0" applyProtection="0"/>
    <xf numFmtId="0" fontId="41" fillId="3" borderId="0" applyNumberFormat="0" applyFont="0" applyBorder="0" applyAlignment="0" applyProtection="0"/>
  </cellStyleXfs>
  <cellXfs count="939">
    <xf numFmtId="0" fontId="0" fillId="0" borderId="0" xfId="0"/>
    <xf numFmtId="0" fontId="1" fillId="0" borderId="0" xfId="0" applyFont="1"/>
    <xf numFmtId="0" fontId="12" fillId="0" borderId="0" xfId="0" applyFont="1"/>
    <xf numFmtId="0" fontId="5" fillId="0" borderId="0" xfId="0" applyFont="1"/>
    <xf numFmtId="0" fontId="5" fillId="0" borderId="0" xfId="0" applyFont="1" applyAlignment="1">
      <alignment wrapText="1"/>
    </xf>
    <xf numFmtId="0" fontId="0" fillId="0" borderId="0" xfId="0" applyNumberFormat="1" applyAlignment="1" applyProtection="1">
      <alignment horizontal="center"/>
    </xf>
    <xf numFmtId="0" fontId="13" fillId="0" borderId="0" xfId="0" applyFont="1" applyFill="1" applyProtection="1"/>
    <xf numFmtId="0" fontId="14" fillId="0" borderId="0" xfId="0" applyFont="1" applyFill="1" applyProtection="1"/>
    <xf numFmtId="168" fontId="15" fillId="0" borderId="0" xfId="3" applyNumberFormat="1" applyFont="1" applyFill="1" applyAlignment="1" applyProtection="1">
      <alignment horizontal="centerContinuous"/>
    </xf>
    <xf numFmtId="168" fontId="15" fillId="0" borderId="0" xfId="3" quotePrefix="1" applyNumberFormat="1" applyFont="1" applyFill="1" applyAlignment="1" applyProtection="1">
      <alignment horizontal="centerContinuous"/>
    </xf>
    <xf numFmtId="168" fontId="4" fillId="0" borderId="0" xfId="3" applyNumberFormat="1" applyFill="1" applyAlignment="1" applyProtection="1">
      <alignment horizontal="centerContinuous"/>
    </xf>
    <xf numFmtId="0" fontId="4" fillId="0" borderId="0" xfId="3" applyFill="1" applyAlignment="1" applyProtection="1">
      <alignment horizontal="centerContinuous"/>
    </xf>
    <xf numFmtId="0" fontId="4" fillId="0" borderId="0" xfId="3" applyFont="1" applyFill="1" applyAlignment="1" applyProtection="1">
      <alignment horizontal="centerContinuous"/>
    </xf>
    <xf numFmtId="0" fontId="4" fillId="0" borderId="0" xfId="3" applyAlignment="1" applyProtection="1">
      <alignment horizontal="centerContinuous"/>
    </xf>
    <xf numFmtId="0" fontId="17" fillId="0" borderId="0" xfId="3" applyFont="1" applyFill="1" applyProtection="1"/>
    <xf numFmtId="0" fontId="4" fillId="0" borderId="0" xfId="3" applyFill="1" applyProtection="1"/>
    <xf numFmtId="14" fontId="17" fillId="0" borderId="0" xfId="3" applyNumberFormat="1" applyFont="1" applyAlignment="1" applyProtection="1">
      <alignment horizontal="center"/>
    </xf>
    <xf numFmtId="0" fontId="4" fillId="0" borderId="0" xfId="0" applyFont="1" applyFill="1" applyProtection="1"/>
    <xf numFmtId="0" fontId="4" fillId="0" borderId="2" xfId="3" applyFill="1" applyBorder="1" applyProtection="1"/>
    <xf numFmtId="0" fontId="4" fillId="0" borderId="3" xfId="3" applyFill="1" applyBorder="1" applyProtection="1"/>
    <xf numFmtId="2" fontId="0" fillId="0" borderId="0" xfId="0" applyNumberFormat="1" applyFill="1" applyProtection="1"/>
    <xf numFmtId="2" fontId="4" fillId="0" borderId="4" xfId="3" applyNumberFormat="1" applyFont="1" applyFill="1" applyBorder="1" applyProtection="1"/>
    <xf numFmtId="2" fontId="4" fillId="0" borderId="5" xfId="3" quotePrefix="1" applyNumberFormat="1" applyFont="1" applyFill="1" applyBorder="1" applyAlignment="1" applyProtection="1">
      <alignment horizontal="right"/>
    </xf>
    <xf numFmtId="2" fontId="4" fillId="0" borderId="5" xfId="3" quotePrefix="1" applyNumberFormat="1" applyFill="1" applyBorder="1" applyAlignment="1" applyProtection="1">
      <alignment horizontal="right"/>
    </xf>
    <xf numFmtId="2" fontId="4" fillId="0" borderId="6" xfId="3" applyNumberFormat="1" applyFont="1" applyFill="1" applyBorder="1" applyAlignment="1" applyProtection="1"/>
    <xf numFmtId="16" fontId="0" fillId="0" borderId="0" xfId="0" applyNumberFormat="1"/>
    <xf numFmtId="0" fontId="15" fillId="0" borderId="0" xfId="3" applyFont="1" applyFill="1" applyAlignment="1" applyProtection="1">
      <alignment horizontal="right"/>
    </xf>
    <xf numFmtId="0" fontId="4" fillId="0" borderId="7" xfId="3" applyFill="1" applyBorder="1" applyProtection="1"/>
    <xf numFmtId="0" fontId="4" fillId="0" borderId="8" xfId="3" applyFill="1" applyBorder="1" applyProtection="1"/>
    <xf numFmtId="169" fontId="0" fillId="0" borderId="0" xfId="0" applyNumberFormat="1"/>
    <xf numFmtId="2" fontId="0" fillId="0" borderId="0" xfId="0" applyNumberFormat="1"/>
    <xf numFmtId="14" fontId="5" fillId="0" borderId="0" xfId="0" applyNumberFormat="1" applyFont="1" applyAlignment="1">
      <alignment wrapText="1"/>
    </xf>
    <xf numFmtId="0" fontId="0" fillId="0" borderId="0" xfId="0" applyAlignment="1">
      <alignment wrapText="1"/>
    </xf>
    <xf numFmtId="0" fontId="7" fillId="0" borderId="0" xfId="0" applyFont="1" applyAlignment="1">
      <alignment wrapText="1"/>
    </xf>
    <xf numFmtId="2" fontId="4" fillId="0" borderId="9" xfId="3" applyNumberFormat="1" applyFont="1" applyFill="1" applyBorder="1" applyAlignment="1" applyProtection="1"/>
    <xf numFmtId="0" fontId="4" fillId="0" borderId="10" xfId="3" applyFont="1" applyFill="1" applyBorder="1" applyAlignment="1" applyProtection="1">
      <alignment horizontal="center"/>
    </xf>
    <xf numFmtId="16" fontId="4" fillId="0" borderId="11" xfId="3" applyNumberFormat="1" applyFill="1" applyBorder="1" applyAlignment="1" applyProtection="1">
      <alignment horizontal="center"/>
    </xf>
    <xf numFmtId="2" fontId="10" fillId="0" borderId="12" xfId="0" applyNumberFormat="1" applyFont="1" applyBorder="1" applyAlignment="1">
      <alignment horizontal="center"/>
    </xf>
    <xf numFmtId="2" fontId="10" fillId="0" borderId="13" xfId="0" applyNumberFormat="1" applyFont="1" applyBorder="1" applyAlignment="1">
      <alignment horizontal="center"/>
    </xf>
    <xf numFmtId="2" fontId="10" fillId="0" borderId="14" xfId="0" applyNumberFormat="1" applyFont="1" applyBorder="1" applyAlignment="1">
      <alignment horizontal="center"/>
    </xf>
    <xf numFmtId="2" fontId="10" fillId="0" borderId="15" xfId="0" applyNumberFormat="1" applyFont="1" applyBorder="1" applyAlignment="1">
      <alignment horizontal="center"/>
    </xf>
    <xf numFmtId="2" fontId="10" fillId="0" borderId="16" xfId="0" applyNumberFormat="1" applyFont="1" applyBorder="1" applyAlignment="1">
      <alignment horizontal="center"/>
    </xf>
    <xf numFmtId="2" fontId="4" fillId="0" borderId="17" xfId="3" quotePrefix="1" applyNumberFormat="1" applyFont="1" applyFill="1" applyBorder="1" applyAlignment="1" applyProtection="1">
      <alignment horizontal="right"/>
    </xf>
    <xf numFmtId="2" fontId="10" fillId="0" borderId="18" xfId="0" applyNumberFormat="1" applyFont="1" applyBorder="1" applyAlignment="1">
      <alignment horizontal="center"/>
    </xf>
    <xf numFmtId="2" fontId="10" fillId="0" borderId="19" xfId="0" applyNumberFormat="1" applyFont="1" applyBorder="1" applyAlignment="1">
      <alignment horizontal="center"/>
    </xf>
    <xf numFmtId="2" fontId="10" fillId="0" borderId="20" xfId="0" applyNumberFormat="1" applyFont="1" applyBorder="1" applyAlignment="1">
      <alignment horizontal="center"/>
    </xf>
    <xf numFmtId="2" fontId="4" fillId="0" borderId="6" xfId="3" applyNumberFormat="1" applyFont="1" applyFill="1" applyBorder="1" applyProtection="1"/>
    <xf numFmtId="0" fontId="0" fillId="0" borderId="0" xfId="0" applyNumberFormat="1" applyFill="1" applyAlignment="1">
      <alignment horizontal="center" wrapText="1"/>
    </xf>
    <xf numFmtId="0" fontId="0" fillId="0" borderId="0" xfId="0" applyNumberFormat="1" applyFill="1" applyAlignment="1">
      <alignment wrapText="1"/>
    </xf>
    <xf numFmtId="0" fontId="0" fillId="0" borderId="0" xfId="0" applyNumberFormat="1" applyFill="1" applyBorder="1" applyAlignment="1">
      <alignment horizontal="center"/>
    </xf>
    <xf numFmtId="0" fontId="0" fillId="0" borderId="21" xfId="0" applyNumberFormat="1" applyFill="1" applyBorder="1" applyAlignment="1">
      <alignment horizontal="center"/>
    </xf>
    <xf numFmtId="0" fontId="0" fillId="0" borderId="0" xfId="0" applyNumberFormat="1"/>
    <xf numFmtId="0" fontId="10" fillId="0" borderId="0" xfId="0" applyNumberFormat="1" applyFont="1" applyFill="1"/>
    <xf numFmtId="0" fontId="10" fillId="0" borderId="0" xfId="0" applyNumberFormat="1" applyFont="1" applyFill="1" applyBorder="1"/>
    <xf numFmtId="0" fontId="10" fillId="0" borderId="1" xfId="0" applyNumberFormat="1" applyFont="1" applyFill="1" applyBorder="1"/>
    <xf numFmtId="0" fontId="10" fillId="0" borderId="0" xfId="0" applyNumberFormat="1" applyFont="1" applyFill="1" applyBorder="1" applyAlignment="1">
      <alignment horizontal="center"/>
    </xf>
    <xf numFmtId="0" fontId="10" fillId="0" borderId="22" xfId="0" applyNumberFormat="1" applyFont="1" applyFill="1" applyBorder="1" applyAlignment="1">
      <alignment horizontal="center"/>
    </xf>
    <xf numFmtId="2" fontId="10" fillId="0" borderId="0" xfId="0" applyNumberFormat="1" applyFont="1" applyFill="1" applyBorder="1" applyAlignment="1">
      <alignment horizontal="center"/>
    </xf>
    <xf numFmtId="2" fontId="10" fillId="0" borderId="23" xfId="0" applyNumberFormat="1" applyFont="1" applyFill="1" applyBorder="1" applyAlignment="1">
      <alignment horizontal="center"/>
    </xf>
    <xf numFmtId="0" fontId="10" fillId="0" borderId="24" xfId="0" applyNumberFormat="1" applyFont="1" applyFill="1" applyBorder="1" applyAlignment="1">
      <alignment horizontal="center"/>
    </xf>
    <xf numFmtId="2" fontId="24" fillId="0" borderId="0" xfId="0" applyNumberFormat="1" applyFont="1" applyFill="1" applyBorder="1" applyAlignment="1">
      <alignment horizontal="center"/>
    </xf>
    <xf numFmtId="0" fontId="10" fillId="0" borderId="22" xfId="0" applyNumberFormat="1" applyFont="1" applyFill="1" applyBorder="1"/>
    <xf numFmtId="2" fontId="10" fillId="0" borderId="0" xfId="0" applyNumberFormat="1" applyFont="1" applyFill="1"/>
    <xf numFmtId="166" fontId="0" fillId="0" borderId="0" xfId="0" applyNumberFormat="1" applyFill="1" applyAlignment="1">
      <alignment horizontal="center"/>
    </xf>
    <xf numFmtId="166" fontId="0" fillId="0" borderId="21" xfId="0" applyNumberFormat="1" applyFill="1" applyBorder="1" applyAlignment="1">
      <alignment horizontal="center"/>
    </xf>
    <xf numFmtId="1" fontId="0" fillId="0" borderId="21" xfId="0" applyNumberFormat="1" applyFill="1" applyBorder="1" applyAlignment="1">
      <alignment horizontal="center"/>
    </xf>
    <xf numFmtId="0" fontId="0" fillId="0" borderId="0" xfId="0" applyNumberFormat="1" applyFill="1"/>
    <xf numFmtId="166" fontId="0" fillId="0" borderId="24" xfId="0" applyNumberFormat="1" applyFill="1" applyBorder="1" applyAlignment="1">
      <alignment horizontal="center"/>
    </xf>
    <xf numFmtId="1" fontId="0" fillId="0" borderId="24" xfId="0" applyNumberFormat="1" applyFill="1" applyBorder="1" applyAlignment="1">
      <alignment horizontal="center"/>
    </xf>
    <xf numFmtId="0" fontId="0" fillId="0" borderId="24" xfId="0" applyNumberFormat="1" applyFill="1" applyBorder="1" applyAlignment="1">
      <alignment horizontal="center"/>
    </xf>
    <xf numFmtId="166" fontId="0" fillId="0" borderId="25" xfId="0" applyNumberFormat="1" applyFill="1" applyBorder="1" applyAlignment="1">
      <alignment horizontal="center"/>
    </xf>
    <xf numFmtId="1" fontId="0" fillId="0" borderId="25" xfId="0" applyNumberFormat="1" applyFill="1" applyBorder="1" applyAlignment="1">
      <alignment horizontal="center"/>
    </xf>
    <xf numFmtId="0" fontId="0" fillId="0" borderId="25" xfId="0" applyNumberFormat="1" applyFill="1" applyBorder="1" applyAlignment="1">
      <alignment horizontal="center"/>
    </xf>
    <xf numFmtId="1" fontId="25" fillId="0" borderId="26" xfId="0" applyNumberFormat="1" applyFont="1" applyFill="1" applyBorder="1" applyAlignment="1">
      <alignment horizontal="center"/>
    </xf>
    <xf numFmtId="0" fontId="25" fillId="0" borderId="26" xfId="0" applyNumberFormat="1" applyFont="1" applyFill="1" applyBorder="1" applyAlignment="1">
      <alignment horizontal="center"/>
    </xf>
    <xf numFmtId="2" fontId="0" fillId="0" borderId="21" xfId="0" applyNumberFormat="1" applyFill="1" applyBorder="1" applyAlignment="1">
      <alignment horizontal="center"/>
    </xf>
    <xf numFmtId="1" fontId="25" fillId="0" borderId="22" xfId="0" applyNumberFormat="1" applyFont="1" applyFill="1" applyBorder="1" applyAlignment="1">
      <alignment horizontal="center"/>
    </xf>
    <xf numFmtId="0" fontId="25" fillId="0" borderId="22" xfId="0" applyNumberFormat="1" applyFont="1" applyFill="1" applyBorder="1" applyAlignment="1">
      <alignment horizontal="center"/>
    </xf>
    <xf numFmtId="2" fontId="0" fillId="0" borderId="24" xfId="0" applyNumberFormat="1" applyFill="1" applyBorder="1" applyAlignment="1">
      <alignment horizontal="center"/>
    </xf>
    <xf numFmtId="1" fontId="10" fillId="0" borderId="22" xfId="0" applyNumberFormat="1" applyFont="1" applyFill="1" applyBorder="1" applyAlignment="1">
      <alignment horizontal="center"/>
    </xf>
    <xf numFmtId="1" fontId="0" fillId="0" borderId="22" xfId="0" applyNumberFormat="1" applyFill="1" applyBorder="1" applyAlignment="1">
      <alignment horizontal="center"/>
    </xf>
    <xf numFmtId="0" fontId="0" fillId="0" borderId="22" xfId="0" applyNumberFormat="1" applyFill="1" applyBorder="1" applyAlignment="1">
      <alignment horizontal="center"/>
    </xf>
    <xf numFmtId="2" fontId="0" fillId="0" borderId="25" xfId="0" applyNumberFormat="1" applyFill="1" applyBorder="1" applyAlignment="1">
      <alignment horizontal="center"/>
    </xf>
    <xf numFmtId="1" fontId="0" fillId="0" borderId="0" xfId="0" applyNumberFormat="1" applyFill="1" applyAlignment="1">
      <alignment horizontal="center"/>
    </xf>
    <xf numFmtId="167" fontId="0" fillId="0" borderId="0" xfId="0" applyNumberFormat="1" applyFill="1" applyBorder="1" applyAlignment="1">
      <alignment horizontal="center"/>
    </xf>
    <xf numFmtId="167" fontId="0" fillId="0" borderId="24" xfId="0" applyNumberFormat="1" applyFill="1" applyBorder="1" applyAlignment="1">
      <alignment horizontal="center"/>
    </xf>
    <xf numFmtId="1" fontId="0" fillId="0" borderId="27" xfId="0" applyNumberFormat="1" applyFill="1" applyBorder="1" applyAlignment="1">
      <alignment horizontal="center"/>
    </xf>
    <xf numFmtId="0" fontId="0" fillId="0" borderId="27" xfId="0" applyNumberFormat="1" applyFill="1" applyBorder="1" applyAlignment="1">
      <alignment horizontal="center"/>
    </xf>
    <xf numFmtId="0" fontId="25" fillId="0" borderId="27" xfId="0" applyNumberFormat="1" applyFont="1" applyFill="1" applyBorder="1" applyAlignment="1">
      <alignment horizontal="center"/>
    </xf>
    <xf numFmtId="166" fontId="0" fillId="0" borderId="0" xfId="0" applyNumberFormat="1" applyFill="1" applyAlignment="1">
      <alignment horizontal="left"/>
    </xf>
    <xf numFmtId="0" fontId="0" fillId="0" borderId="0" xfId="0" applyNumberFormat="1" applyFill="1" applyAlignment="1">
      <alignment horizontal="center"/>
    </xf>
    <xf numFmtId="0" fontId="26" fillId="0" borderId="21" xfId="0" quotePrefix="1" applyNumberFormat="1" applyFont="1" applyFill="1" applyBorder="1" applyAlignment="1" applyProtection="1">
      <alignment horizontal="right"/>
      <protection locked="0"/>
    </xf>
    <xf numFmtId="0" fontId="26" fillId="0" borderId="21" xfId="0" applyNumberFormat="1" applyFont="1" applyFill="1" applyBorder="1" applyAlignment="1" applyProtection="1">
      <alignment horizontal="center"/>
      <protection locked="0"/>
    </xf>
    <xf numFmtId="0" fontId="26" fillId="0" borderId="5" xfId="0" quotePrefix="1" applyNumberFormat="1" applyFont="1" applyFill="1" applyBorder="1" applyAlignment="1" applyProtection="1">
      <alignment horizontal="center"/>
      <protection locked="0"/>
    </xf>
    <xf numFmtId="0" fontId="26" fillId="0" borderId="26" xfId="0" applyNumberFormat="1" applyFont="1" applyFill="1" applyBorder="1" applyAlignment="1" applyProtection="1">
      <alignment horizontal="left"/>
      <protection locked="0"/>
    </xf>
    <xf numFmtId="0" fontId="26" fillId="0" borderId="25" xfId="0" quotePrefix="1" applyNumberFormat="1" applyFont="1" applyFill="1" applyBorder="1" applyAlignment="1" applyProtection="1">
      <alignment horizontal="right"/>
      <protection locked="0"/>
    </xf>
    <xf numFmtId="1" fontId="26" fillId="0" borderId="25" xfId="0" applyNumberFormat="1" applyFont="1" applyFill="1" applyBorder="1" applyAlignment="1" applyProtection="1">
      <alignment horizontal="center"/>
      <protection locked="0"/>
    </xf>
    <xf numFmtId="1" fontId="26" fillId="0" borderId="28" xfId="0" applyNumberFormat="1" applyFont="1" applyFill="1" applyBorder="1" applyAlignment="1" applyProtection="1">
      <alignment horizontal="right"/>
      <protection locked="0"/>
    </xf>
    <xf numFmtId="1" fontId="26" fillId="0" borderId="29" xfId="0" quotePrefix="1" applyNumberFormat="1" applyFont="1" applyFill="1" applyBorder="1" applyAlignment="1" applyProtection="1">
      <alignment horizontal="center"/>
      <protection locked="0"/>
    </xf>
    <xf numFmtId="1" fontId="26" fillId="0" borderId="27" xfId="0" applyNumberFormat="1" applyFont="1" applyFill="1" applyBorder="1" applyAlignment="1" applyProtection="1">
      <alignment horizontal="left"/>
      <protection locked="0"/>
    </xf>
    <xf numFmtId="0" fontId="5" fillId="0" borderId="0" xfId="0" applyFont="1" applyAlignment="1">
      <alignment horizontal="center" wrapText="1"/>
    </xf>
    <xf numFmtId="0" fontId="7" fillId="0" borderId="0" xfId="0" applyFont="1" applyBorder="1" applyAlignment="1">
      <alignment horizontal="center"/>
    </xf>
    <xf numFmtId="14" fontId="7" fillId="0" borderId="0" xfId="0" applyNumberFormat="1" applyFont="1" applyBorder="1" applyAlignment="1">
      <alignment horizontal="center"/>
    </xf>
    <xf numFmtId="14" fontId="27" fillId="0" borderId="0" xfId="0" applyNumberFormat="1" applyFont="1" applyBorder="1" applyAlignment="1">
      <alignment horizontal="center"/>
    </xf>
    <xf numFmtId="165" fontId="7" fillId="0" borderId="0" xfId="0" applyNumberFormat="1" applyFont="1" applyBorder="1" applyAlignment="1">
      <alignment horizontal="center"/>
    </xf>
    <xf numFmtId="166" fontId="7" fillId="0" borderId="0" xfId="0" applyNumberFormat="1" applyFont="1" applyBorder="1" applyAlignment="1">
      <alignment horizontal="center"/>
    </xf>
    <xf numFmtId="2" fontId="7" fillId="0" borderId="0" xfId="0" applyNumberFormat="1" applyFont="1" applyBorder="1" applyAlignment="1">
      <alignment horizontal="center"/>
    </xf>
    <xf numFmtId="0" fontId="7" fillId="0" borderId="0" xfId="0" quotePrefix="1" applyFont="1" applyBorder="1" applyAlignment="1">
      <alignment horizontal="center"/>
    </xf>
    <xf numFmtId="0" fontId="23" fillId="4" borderId="30" xfId="0" applyNumberFormat="1" applyFont="1" applyFill="1" applyBorder="1" applyAlignment="1">
      <alignment horizontal="center"/>
    </xf>
    <xf numFmtId="168" fontId="10" fillId="0" borderId="0" xfId="0" applyNumberFormat="1" applyFont="1" applyFill="1"/>
    <xf numFmtId="0" fontId="7" fillId="0" borderId="10" xfId="0" applyFont="1" applyBorder="1" applyAlignment="1">
      <alignment horizontal="center" wrapText="1"/>
    </xf>
    <xf numFmtId="170" fontId="0" fillId="0" borderId="0" xfId="0" applyNumberFormat="1"/>
    <xf numFmtId="2" fontId="4" fillId="0" borderId="31" xfId="3" applyNumberFormat="1" applyFont="1" applyFill="1" applyBorder="1" applyAlignment="1" applyProtection="1"/>
    <xf numFmtId="2" fontId="4" fillId="0" borderId="32" xfId="3" applyNumberFormat="1" applyFont="1" applyFill="1" applyBorder="1" applyAlignment="1" applyProtection="1"/>
    <xf numFmtId="2" fontId="4" fillId="0" borderId="17" xfId="3" quotePrefix="1" applyNumberFormat="1" applyFill="1" applyBorder="1" applyAlignment="1" applyProtection="1">
      <alignment horizontal="right"/>
    </xf>
    <xf numFmtId="164" fontId="14" fillId="5" borderId="0" xfId="3" applyNumberFormat="1" applyFont="1" applyFill="1" applyAlignment="1" applyProtection="1">
      <alignment horizontal="left"/>
      <protection locked="0"/>
    </xf>
    <xf numFmtId="14" fontId="0" fillId="0" borderId="0" xfId="0" applyNumberFormat="1"/>
    <xf numFmtId="16" fontId="0" fillId="0" borderId="0" xfId="0" applyNumberFormat="1" applyFill="1"/>
    <xf numFmtId="0" fontId="7" fillId="0" borderId="0" xfId="0" applyFont="1"/>
    <xf numFmtId="0" fontId="26" fillId="0" borderId="0" xfId="0" applyNumberFormat="1" applyFont="1" applyFill="1" applyBorder="1" applyAlignment="1" applyProtection="1">
      <alignment horizontal="right"/>
      <protection locked="0"/>
    </xf>
    <xf numFmtId="0" fontId="26" fillId="0" borderId="29" xfId="0" applyNumberFormat="1" applyFont="1" applyFill="1" applyBorder="1" applyAlignment="1" applyProtection="1">
      <alignment horizontal="right"/>
      <protection locked="0"/>
    </xf>
    <xf numFmtId="0" fontId="26" fillId="0" borderId="33" xfId="0" applyNumberFormat="1" applyFont="1" applyFill="1" applyBorder="1" applyAlignment="1" applyProtection="1">
      <alignment horizontal="right"/>
      <protection locked="0"/>
    </xf>
    <xf numFmtId="0" fontId="26" fillId="0" borderId="21" xfId="0" applyNumberFormat="1" applyFont="1" applyFill="1" applyBorder="1" applyAlignment="1" applyProtection="1">
      <alignment horizontal="right"/>
      <protection locked="0"/>
    </xf>
    <xf numFmtId="1" fontId="26" fillId="0" borderId="33" xfId="0" applyNumberFormat="1" applyFont="1" applyFill="1" applyBorder="1" applyAlignment="1" applyProtection="1">
      <alignment horizontal="right"/>
      <protection locked="0"/>
    </xf>
    <xf numFmtId="0" fontId="30" fillId="0" borderId="0" xfId="0" applyFont="1" applyFill="1" applyProtection="1"/>
    <xf numFmtId="2" fontId="7" fillId="0" borderId="0" xfId="0" applyNumberFormat="1" applyFont="1" applyFill="1" applyProtection="1"/>
    <xf numFmtId="2" fontId="4" fillId="0" borderId="34" xfId="3" quotePrefix="1" applyNumberFormat="1" applyFont="1" applyFill="1" applyBorder="1" applyAlignment="1" applyProtection="1">
      <alignment horizontal="right"/>
    </xf>
    <xf numFmtId="168" fontId="31" fillId="0" borderId="0" xfId="3" applyNumberFormat="1" applyFont="1" applyFill="1" applyAlignment="1" applyProtection="1">
      <alignment horizontal="centerContinuous"/>
    </xf>
    <xf numFmtId="0" fontId="31" fillId="0" borderId="0" xfId="3" applyFont="1" applyFill="1" applyAlignment="1" applyProtection="1">
      <alignment horizontal="right"/>
    </xf>
    <xf numFmtId="168" fontId="31" fillId="0" borderId="0" xfId="3" applyNumberFormat="1" applyFont="1" applyFill="1" applyAlignment="1" applyProtection="1">
      <alignment horizontal="left"/>
    </xf>
    <xf numFmtId="168" fontId="31" fillId="0" borderId="0" xfId="3" quotePrefix="1" applyNumberFormat="1" applyFont="1" applyFill="1" applyAlignment="1" applyProtection="1">
      <alignment horizontal="centerContinuous"/>
    </xf>
    <xf numFmtId="0" fontId="10" fillId="0" borderId="0" xfId="0" applyNumberFormat="1" applyFont="1" applyAlignment="1" applyProtection="1">
      <alignment horizontal="center"/>
    </xf>
    <xf numFmtId="0" fontId="31" fillId="0" borderId="2" xfId="3" applyFont="1" applyFill="1" applyBorder="1" applyProtection="1"/>
    <xf numFmtId="0" fontId="31" fillId="0" borderId="7" xfId="3" applyFont="1" applyFill="1" applyBorder="1" applyProtection="1"/>
    <xf numFmtId="0" fontId="31" fillId="0" borderId="10" xfId="3" applyFont="1" applyFill="1" applyBorder="1" applyAlignment="1" applyProtection="1">
      <alignment horizontal="center"/>
    </xf>
    <xf numFmtId="0" fontId="31" fillId="0" borderId="7" xfId="3" applyFont="1" applyFill="1" applyBorder="1" applyAlignment="1" applyProtection="1">
      <alignment horizontal="center"/>
    </xf>
    <xf numFmtId="0" fontId="31" fillId="0" borderId="3" xfId="3" applyFont="1" applyFill="1" applyBorder="1" applyProtection="1"/>
    <xf numFmtId="0" fontId="31" fillId="0" borderId="8" xfId="3" applyFont="1" applyFill="1" applyBorder="1" applyProtection="1"/>
    <xf numFmtId="16" fontId="31" fillId="0" borderId="11" xfId="3" applyNumberFormat="1" applyFont="1" applyFill="1" applyBorder="1" applyAlignment="1" applyProtection="1">
      <alignment horizontal="center"/>
    </xf>
    <xf numFmtId="16" fontId="31" fillId="0" borderId="8" xfId="3" applyNumberFormat="1" applyFont="1" applyFill="1" applyBorder="1" applyAlignment="1" applyProtection="1">
      <alignment horizontal="center"/>
    </xf>
    <xf numFmtId="2" fontId="31" fillId="0" borderId="2" xfId="3" applyNumberFormat="1" applyFont="1" applyFill="1" applyBorder="1" applyProtection="1"/>
    <xf numFmtId="2" fontId="31" fillId="0" borderId="17" xfId="3" quotePrefix="1" applyNumberFormat="1" applyFont="1" applyFill="1" applyBorder="1" applyAlignment="1" applyProtection="1">
      <alignment horizontal="right"/>
    </xf>
    <xf numFmtId="2" fontId="31" fillId="0" borderId="9" xfId="3" applyNumberFormat="1" applyFont="1" applyFill="1" applyBorder="1" applyProtection="1"/>
    <xf numFmtId="2" fontId="31" fillId="0" borderId="35" xfId="3" quotePrefix="1" applyNumberFormat="1" applyFont="1" applyFill="1" applyBorder="1" applyAlignment="1" applyProtection="1">
      <alignment horizontal="right"/>
    </xf>
    <xf numFmtId="2" fontId="31" fillId="0" borderId="34" xfId="3" quotePrefix="1" applyNumberFormat="1" applyFont="1" applyFill="1" applyBorder="1" applyAlignment="1" applyProtection="1">
      <alignment horizontal="right"/>
    </xf>
    <xf numFmtId="2" fontId="31" fillId="0" borderId="5" xfId="3" quotePrefix="1" applyNumberFormat="1" applyFont="1" applyFill="1" applyBorder="1" applyAlignment="1" applyProtection="1">
      <alignment horizontal="right"/>
    </xf>
    <xf numFmtId="2" fontId="10" fillId="0" borderId="4" xfId="0" applyNumberFormat="1" applyFont="1" applyBorder="1" applyAlignment="1">
      <alignment horizontal="center"/>
    </xf>
    <xf numFmtId="2" fontId="31" fillId="0" borderId="4" xfId="3" applyNumberFormat="1" applyFont="1" applyFill="1" applyBorder="1" applyProtection="1"/>
    <xf numFmtId="2" fontId="31" fillId="0" borderId="36" xfId="3" quotePrefix="1" applyNumberFormat="1" applyFont="1" applyFill="1" applyBorder="1" applyAlignment="1" applyProtection="1">
      <alignment horizontal="right"/>
    </xf>
    <xf numFmtId="2" fontId="31" fillId="0" borderId="32" xfId="3" applyNumberFormat="1" applyFont="1" applyFill="1" applyBorder="1" applyProtection="1"/>
    <xf numFmtId="2" fontId="31" fillId="0" borderId="6" xfId="3" applyNumberFormat="1" applyFont="1" applyFill="1" applyBorder="1" applyAlignment="1" applyProtection="1">
      <alignment horizontal="left"/>
    </xf>
    <xf numFmtId="2" fontId="31" fillId="0" borderId="0" xfId="3" quotePrefix="1" applyNumberFormat="1" applyFont="1" applyFill="1" applyBorder="1" applyAlignment="1" applyProtection="1">
      <alignment horizontal="right"/>
    </xf>
    <xf numFmtId="2" fontId="31" fillId="0" borderId="37" xfId="3" applyNumberFormat="1" applyFont="1" applyFill="1" applyBorder="1" applyProtection="1"/>
    <xf numFmtId="2" fontId="31" fillId="0" borderId="29" xfId="3" quotePrefix="1" applyNumberFormat="1" applyFont="1" applyFill="1" applyBorder="1" applyAlignment="1" applyProtection="1">
      <alignment horizontal="right"/>
    </xf>
    <xf numFmtId="2" fontId="31" fillId="0" borderId="37" xfId="3" applyNumberFormat="1" applyFont="1" applyFill="1" applyBorder="1" applyAlignment="1" applyProtection="1"/>
    <xf numFmtId="2" fontId="31" fillId="0" borderId="3" xfId="3" applyNumberFormat="1" applyFont="1" applyFill="1" applyBorder="1" applyAlignment="1" applyProtection="1"/>
    <xf numFmtId="2" fontId="31" fillId="0" borderId="1" xfId="3" quotePrefix="1" applyNumberFormat="1" applyFont="1" applyFill="1" applyBorder="1" applyAlignment="1" applyProtection="1">
      <alignment horizontal="right"/>
    </xf>
    <xf numFmtId="1" fontId="31" fillId="0" borderId="38" xfId="3" quotePrefix="1" applyNumberFormat="1" applyFont="1" applyFill="1" applyBorder="1" applyAlignment="1" applyProtection="1">
      <alignment horizontal="right"/>
    </xf>
    <xf numFmtId="1" fontId="31" fillId="0" borderId="34" xfId="3" quotePrefix="1" applyNumberFormat="1" applyFont="1" applyFill="1" applyBorder="1" applyAlignment="1" applyProtection="1">
      <alignment horizontal="right"/>
    </xf>
    <xf numFmtId="1" fontId="31" fillId="0" borderId="35" xfId="3" quotePrefix="1" applyNumberFormat="1" applyFont="1" applyFill="1" applyBorder="1" applyAlignment="1" applyProtection="1">
      <alignment horizontal="right"/>
    </xf>
    <xf numFmtId="1" fontId="31" fillId="0" borderId="37" xfId="3" applyNumberFormat="1" applyFont="1" applyFill="1" applyBorder="1" applyProtection="1"/>
    <xf numFmtId="1" fontId="31" fillId="0" borderId="39" xfId="3" applyNumberFormat="1" applyFont="1" applyFill="1" applyBorder="1" applyAlignment="1" applyProtection="1">
      <alignment horizontal="right"/>
    </xf>
    <xf numFmtId="1" fontId="31" fillId="0" borderId="40" xfId="3" quotePrefix="1" applyNumberFormat="1" applyFont="1" applyFill="1" applyBorder="1" applyAlignment="1" applyProtection="1">
      <alignment horizontal="right"/>
    </xf>
    <xf numFmtId="2" fontId="31" fillId="0" borderId="37" xfId="0" applyNumberFormat="1" applyFont="1" applyFill="1" applyBorder="1" applyProtection="1"/>
    <xf numFmtId="2" fontId="31" fillId="0" borderId="4" xfId="3" applyNumberFormat="1" applyFont="1" applyFill="1" applyBorder="1" applyAlignment="1" applyProtection="1"/>
    <xf numFmtId="2" fontId="10" fillId="0" borderId="41" xfId="0" applyNumberFormat="1" applyFont="1" applyBorder="1" applyAlignment="1">
      <alignment horizontal="center"/>
    </xf>
    <xf numFmtId="2" fontId="31" fillId="0" borderId="32" xfId="3" applyNumberFormat="1" applyFont="1" applyFill="1" applyBorder="1" applyAlignment="1" applyProtection="1"/>
    <xf numFmtId="2" fontId="31" fillId="0" borderId="40" xfId="3" quotePrefix="1" applyNumberFormat="1" applyFont="1" applyFill="1" applyBorder="1" applyAlignment="1" applyProtection="1">
      <alignment horizontal="right"/>
    </xf>
    <xf numFmtId="2" fontId="31" fillId="0" borderId="6" xfId="3" applyNumberFormat="1" applyFont="1" applyFill="1" applyBorder="1" applyAlignment="1" applyProtection="1"/>
    <xf numFmtId="2" fontId="31" fillId="0" borderId="8" xfId="3" quotePrefix="1" applyNumberFormat="1" applyFont="1" applyFill="1" applyBorder="1" applyAlignment="1" applyProtection="1">
      <alignment horizontal="right"/>
    </xf>
    <xf numFmtId="2" fontId="31" fillId="0" borderId="42" xfId="3" applyNumberFormat="1" applyFont="1" applyFill="1" applyBorder="1" applyProtection="1"/>
    <xf numFmtId="2" fontId="31" fillId="0" borderId="7" xfId="3" quotePrefix="1" applyNumberFormat="1" applyFont="1" applyFill="1" applyBorder="1" applyAlignment="1" applyProtection="1">
      <alignment horizontal="right"/>
    </xf>
    <xf numFmtId="2" fontId="10" fillId="0" borderId="43" xfId="0" applyNumberFormat="1" applyFont="1" applyBorder="1" applyAlignment="1">
      <alignment horizontal="center"/>
    </xf>
    <xf numFmtId="2" fontId="31" fillId="0" borderId="44" xfId="3" quotePrefix="1" applyNumberFormat="1" applyFont="1" applyFill="1" applyBorder="1" applyAlignment="1" applyProtection="1">
      <alignment horizontal="right"/>
    </xf>
    <xf numFmtId="2" fontId="10" fillId="0" borderId="42" xfId="0" applyNumberFormat="1" applyFont="1" applyFill="1" applyBorder="1" applyProtection="1"/>
    <xf numFmtId="2" fontId="31" fillId="0" borderId="8" xfId="0" applyNumberFormat="1" applyFont="1" applyFill="1" applyBorder="1" applyAlignment="1" applyProtection="1">
      <alignment horizontal="right"/>
    </xf>
    <xf numFmtId="10" fontId="10" fillId="0" borderId="43" xfId="4" applyNumberFormat="1" applyFont="1" applyBorder="1" applyAlignment="1">
      <alignment horizontal="center"/>
    </xf>
    <xf numFmtId="10" fontId="10" fillId="0" borderId="41" xfId="4" applyNumberFormat="1" applyFont="1" applyBorder="1" applyAlignment="1">
      <alignment horizontal="center"/>
    </xf>
    <xf numFmtId="0" fontId="0" fillId="6" borderId="45" xfId="0" applyNumberFormat="1" applyFill="1" applyBorder="1" applyAlignment="1">
      <alignment horizontal="left"/>
    </xf>
    <xf numFmtId="0" fontId="0" fillId="6" borderId="5" xfId="0" applyNumberFormat="1" applyFill="1" applyBorder="1" applyAlignment="1">
      <alignment horizontal="left"/>
    </xf>
    <xf numFmtId="0" fontId="0" fillId="6" borderId="26" xfId="0" applyNumberFormat="1" applyFill="1" applyBorder="1" applyAlignment="1">
      <alignment horizontal="left"/>
    </xf>
    <xf numFmtId="0" fontId="0" fillId="6" borderId="33" xfId="0" applyNumberFormat="1" applyFill="1" applyBorder="1" applyAlignment="1">
      <alignment horizontal="center"/>
    </xf>
    <xf numFmtId="0" fontId="0" fillId="6" borderId="0" xfId="0" applyNumberFormat="1" applyFill="1" applyBorder="1" applyAlignment="1">
      <alignment horizontal="center"/>
    </xf>
    <xf numFmtId="167" fontId="0" fillId="6" borderId="0" xfId="0" applyNumberFormat="1" applyFill="1" applyBorder="1" applyAlignment="1">
      <alignment horizontal="center"/>
    </xf>
    <xf numFmtId="167" fontId="0" fillId="6" borderId="22" xfId="0" applyNumberFormat="1" applyFill="1" applyBorder="1" applyAlignment="1">
      <alignment horizontal="center"/>
    </xf>
    <xf numFmtId="2" fontId="0" fillId="6" borderId="0" xfId="0" applyNumberFormat="1" applyFill="1" applyBorder="1" applyAlignment="1">
      <alignment horizontal="center"/>
    </xf>
    <xf numFmtId="0" fontId="34" fillId="6" borderId="46" xfId="0" applyNumberFormat="1" applyFont="1" applyFill="1" applyBorder="1" applyAlignment="1">
      <alignment horizontal="center"/>
    </xf>
    <xf numFmtId="0" fontId="0" fillId="6" borderId="36" xfId="0" applyNumberFormat="1" applyFill="1" applyBorder="1" applyAlignment="1">
      <alignment horizontal="center"/>
    </xf>
    <xf numFmtId="167" fontId="0" fillId="6" borderId="36" xfId="0" applyNumberFormat="1" applyFill="1" applyBorder="1" applyAlignment="1">
      <alignment horizontal="center"/>
    </xf>
    <xf numFmtId="167" fontId="0" fillId="6" borderId="47" xfId="0" applyNumberFormat="1" applyFill="1" applyBorder="1" applyAlignment="1">
      <alignment horizontal="center"/>
    </xf>
    <xf numFmtId="0" fontId="0" fillId="6" borderId="45" xfId="0" applyNumberFormat="1" applyFill="1" applyBorder="1" applyAlignment="1">
      <alignment horizontal="center"/>
    </xf>
    <xf numFmtId="167" fontId="0" fillId="6" borderId="5" xfId="0" applyNumberFormat="1" applyFill="1" applyBorder="1" applyAlignment="1">
      <alignment horizontal="center"/>
    </xf>
    <xf numFmtId="167" fontId="0" fillId="6" borderId="26" xfId="0" applyNumberFormat="1" applyFill="1" applyBorder="1" applyAlignment="1">
      <alignment horizontal="center"/>
    </xf>
    <xf numFmtId="0" fontId="0" fillId="6" borderId="28" xfId="0" applyNumberFormat="1" applyFill="1" applyBorder="1" applyAlignment="1">
      <alignment horizontal="center"/>
    </xf>
    <xf numFmtId="167" fontId="0" fillId="6" borderId="29" xfId="0" applyNumberFormat="1" applyFill="1" applyBorder="1" applyAlignment="1">
      <alignment horizontal="center"/>
    </xf>
    <xf numFmtId="167" fontId="0" fillId="6" borderId="27" xfId="0" applyNumberFormat="1" applyFill="1" applyBorder="1" applyAlignment="1">
      <alignment horizontal="center"/>
    </xf>
    <xf numFmtId="2" fontId="10" fillId="0" borderId="12" xfId="0" applyNumberFormat="1" applyFont="1" applyFill="1" applyBorder="1" applyAlignment="1">
      <alignment horizontal="center"/>
    </xf>
    <xf numFmtId="2" fontId="10" fillId="0" borderId="14" xfId="0" applyNumberFormat="1" applyFont="1" applyFill="1" applyBorder="1" applyAlignment="1">
      <alignment horizontal="center"/>
    </xf>
    <xf numFmtId="0" fontId="0" fillId="0" borderId="0" xfId="0" applyAlignment="1"/>
    <xf numFmtId="2" fontId="5" fillId="0" borderId="24" xfId="0" applyNumberFormat="1" applyFont="1" applyBorder="1" applyAlignment="1"/>
    <xf numFmtId="2" fontId="10" fillId="0" borderId="48" xfId="0" applyNumberFormat="1" applyFont="1" applyBorder="1" applyAlignment="1">
      <alignment horizontal="center"/>
    </xf>
    <xf numFmtId="2" fontId="10" fillId="0" borderId="47" xfId="0" applyNumberFormat="1" applyFont="1" applyBorder="1" applyAlignment="1">
      <alignment horizontal="center"/>
    </xf>
    <xf numFmtId="2" fontId="10" fillId="0" borderId="49" xfId="0" applyNumberFormat="1" applyFont="1" applyBorder="1" applyAlignment="1">
      <alignment horizontal="center"/>
    </xf>
    <xf numFmtId="2" fontId="10" fillId="0" borderId="31" xfId="0" applyNumberFormat="1" applyFont="1" applyBorder="1" applyAlignment="1">
      <alignment horizontal="center"/>
    </xf>
    <xf numFmtId="2" fontId="10" fillId="0" borderId="32" xfId="0" applyNumberFormat="1" applyFont="1" applyBorder="1" applyAlignment="1">
      <alignment horizontal="center"/>
    </xf>
    <xf numFmtId="2" fontId="10" fillId="0" borderId="42" xfId="0" applyNumberFormat="1" applyFont="1" applyBorder="1" applyAlignment="1">
      <alignment horizontal="center"/>
    </xf>
    <xf numFmtId="2" fontId="10" fillId="0" borderId="4" xfId="0" applyNumberFormat="1" applyFont="1" applyFill="1" applyBorder="1" applyAlignment="1">
      <alignment horizontal="center"/>
    </xf>
    <xf numFmtId="10" fontId="10" fillId="0" borderId="42" xfId="4" applyNumberFormat="1" applyFont="1" applyBorder="1" applyAlignment="1">
      <alignment horizontal="center"/>
    </xf>
    <xf numFmtId="2" fontId="10" fillId="0" borderId="50" xfId="0" applyNumberFormat="1" applyFont="1" applyBorder="1" applyAlignment="1">
      <alignment horizontal="center"/>
    </xf>
    <xf numFmtId="2" fontId="10" fillId="0" borderId="47" xfId="0" applyNumberFormat="1" applyFont="1" applyFill="1" applyBorder="1" applyAlignment="1">
      <alignment horizontal="center"/>
    </xf>
    <xf numFmtId="10" fontId="10" fillId="0" borderId="50" xfId="4" applyNumberFormat="1" applyFont="1" applyBorder="1" applyAlignment="1">
      <alignment horizontal="center"/>
    </xf>
    <xf numFmtId="168" fontId="4" fillId="0" borderId="0" xfId="3" applyNumberFormat="1" applyFont="1" applyFill="1" applyAlignment="1" applyProtection="1">
      <alignment horizontal="left"/>
    </xf>
    <xf numFmtId="168" fontId="4" fillId="0" borderId="0" xfId="3" quotePrefix="1" applyNumberFormat="1" applyFont="1" applyFill="1" applyAlignment="1" applyProtection="1">
      <alignment horizontal="centerContinuous"/>
    </xf>
    <xf numFmtId="0" fontId="31" fillId="0" borderId="0" xfId="3" applyFont="1" applyFill="1" applyAlignment="1" applyProtection="1">
      <alignment horizontal="centerContinuous"/>
    </xf>
    <xf numFmtId="0" fontId="32" fillId="0" borderId="0" xfId="0" applyFont="1" applyFill="1" applyProtection="1"/>
    <xf numFmtId="0" fontId="4" fillId="0" borderId="0" xfId="3" applyFont="1" applyAlignment="1" applyProtection="1">
      <alignment horizontal="centerContinuous"/>
    </xf>
    <xf numFmtId="0" fontId="17" fillId="0" borderId="0" xfId="0" applyFont="1" applyFill="1" applyProtection="1"/>
    <xf numFmtId="0" fontId="31" fillId="0" borderId="0" xfId="3" applyFont="1" applyFill="1" applyProtection="1"/>
    <xf numFmtId="14" fontId="32" fillId="0" borderId="0" xfId="3" applyNumberFormat="1" applyFont="1" applyAlignment="1" applyProtection="1">
      <alignment horizontal="center"/>
    </xf>
    <xf numFmtId="0" fontId="4" fillId="0" borderId="2" xfId="3" applyFont="1" applyFill="1" applyBorder="1" applyProtection="1"/>
    <xf numFmtId="0" fontId="4" fillId="0" borderId="7" xfId="3" applyFont="1" applyFill="1" applyBorder="1" applyProtection="1"/>
    <xf numFmtId="0" fontId="4" fillId="0" borderId="3" xfId="3" applyFont="1" applyFill="1" applyBorder="1" applyProtection="1"/>
    <xf numFmtId="0" fontId="4" fillId="0" borderId="8" xfId="3" applyFont="1" applyFill="1" applyBorder="1" applyProtection="1"/>
    <xf numFmtId="16" fontId="4" fillId="0" borderId="11" xfId="3" applyNumberFormat="1" applyFont="1" applyFill="1" applyBorder="1" applyAlignment="1" applyProtection="1">
      <alignment horizontal="center"/>
    </xf>
    <xf numFmtId="2" fontId="31" fillId="0" borderId="31" xfId="3" applyNumberFormat="1" applyFont="1" applyFill="1" applyBorder="1" applyProtection="1"/>
    <xf numFmtId="2" fontId="31" fillId="0" borderId="38" xfId="3" quotePrefix="1" applyNumberFormat="1" applyFont="1" applyFill="1" applyBorder="1" applyAlignment="1" applyProtection="1">
      <alignment horizontal="right"/>
    </xf>
    <xf numFmtId="2" fontId="34" fillId="0" borderId="18" xfId="0" applyNumberFormat="1" applyFont="1" applyBorder="1" applyAlignment="1">
      <alignment horizontal="center"/>
    </xf>
    <xf numFmtId="2" fontId="34" fillId="0" borderId="13" xfId="0" applyNumberFormat="1" applyFont="1" applyBorder="1" applyAlignment="1">
      <alignment horizontal="center"/>
    </xf>
    <xf numFmtId="2" fontId="34" fillId="0" borderId="51" xfId="0" applyNumberFormat="1" applyFont="1" applyBorder="1" applyAlignment="1">
      <alignment horizontal="center"/>
    </xf>
    <xf numFmtId="2" fontId="34" fillId="0" borderId="12" xfId="0" applyNumberFormat="1" applyFont="1" applyBorder="1" applyAlignment="1">
      <alignment horizontal="center"/>
    </xf>
    <xf numFmtId="2" fontId="34" fillId="0" borderId="14" xfId="0" applyNumberFormat="1" applyFont="1" applyBorder="1" applyAlignment="1">
      <alignment horizontal="center"/>
    </xf>
    <xf numFmtId="2" fontId="4" fillId="0" borderId="32" xfId="3" applyNumberFormat="1" applyFont="1" applyFill="1" applyBorder="1" applyProtection="1"/>
    <xf numFmtId="2" fontId="4" fillId="0" borderId="40" xfId="3" quotePrefix="1" applyNumberFormat="1" applyFont="1" applyFill="1" applyBorder="1" applyAlignment="1" applyProtection="1">
      <alignment horizontal="right"/>
    </xf>
    <xf numFmtId="2" fontId="4" fillId="0" borderId="9" xfId="3" applyNumberFormat="1" applyFont="1" applyFill="1" applyBorder="1" applyProtection="1"/>
    <xf numFmtId="2" fontId="4" fillId="0" borderId="35" xfId="3" quotePrefix="1" applyNumberFormat="1" applyFont="1" applyFill="1" applyBorder="1" applyAlignment="1" applyProtection="1">
      <alignment horizontal="right"/>
    </xf>
    <xf numFmtId="2" fontId="4" fillId="0" borderId="37" xfId="3" applyNumberFormat="1" applyFont="1" applyFill="1" applyBorder="1" applyProtection="1"/>
    <xf numFmtId="2" fontId="4" fillId="0" borderId="52" xfId="3" quotePrefix="1" applyNumberFormat="1" applyFont="1" applyFill="1" applyBorder="1" applyAlignment="1" applyProtection="1">
      <alignment horizontal="right"/>
    </xf>
    <xf numFmtId="2" fontId="31" fillId="0" borderId="35" xfId="3" quotePrefix="1" applyNumberFormat="1" applyFont="1" applyFill="1" applyBorder="1" applyAlignment="1" applyProtection="1">
      <alignment horizontal="center"/>
    </xf>
    <xf numFmtId="2" fontId="4" fillId="0" borderId="35" xfId="3" quotePrefix="1" applyNumberFormat="1" applyFont="1" applyFill="1" applyBorder="1" applyProtection="1"/>
    <xf numFmtId="1" fontId="10" fillId="0" borderId="12" xfId="0" applyNumberFormat="1" applyFont="1" applyBorder="1" applyAlignment="1">
      <alignment horizontal="center"/>
    </xf>
    <xf numFmtId="1" fontId="10" fillId="0" borderId="14" xfId="0" applyNumberFormat="1" applyFont="1" applyBorder="1" applyAlignment="1">
      <alignment horizontal="center"/>
    </xf>
    <xf numFmtId="2" fontId="31" fillId="0" borderId="35" xfId="3" quotePrefix="1" applyNumberFormat="1" applyFont="1" applyFill="1" applyBorder="1" applyProtection="1"/>
    <xf numFmtId="2" fontId="4" fillId="0" borderId="35" xfId="3" quotePrefix="1" applyNumberFormat="1" applyFont="1" applyFill="1" applyBorder="1" applyAlignment="1" applyProtection="1">
      <alignment horizontal="center"/>
    </xf>
    <xf numFmtId="2" fontId="4" fillId="0" borderId="39" xfId="3" quotePrefix="1" applyNumberFormat="1" applyFont="1" applyFill="1" applyBorder="1" applyAlignment="1" applyProtection="1">
      <alignment horizontal="right"/>
    </xf>
    <xf numFmtId="2" fontId="31" fillId="0" borderId="52" xfId="3" quotePrefix="1" applyNumberFormat="1" applyFont="1" applyFill="1" applyBorder="1" applyAlignment="1" applyProtection="1">
      <alignment horizontal="right"/>
    </xf>
    <xf numFmtId="1" fontId="4" fillId="0" borderId="39" xfId="3" quotePrefix="1" applyNumberFormat="1" applyFont="1" applyFill="1" applyBorder="1" applyAlignment="1" applyProtection="1">
      <alignment horizontal="right"/>
    </xf>
    <xf numFmtId="1" fontId="31" fillId="0" borderId="3" xfId="3" applyNumberFormat="1" applyFont="1" applyFill="1" applyBorder="1" applyProtection="1"/>
    <xf numFmtId="1" fontId="31" fillId="0" borderId="8" xfId="3" quotePrefix="1" applyNumberFormat="1" applyFont="1" applyFill="1" applyBorder="1" applyAlignment="1" applyProtection="1">
      <alignment horizontal="right"/>
    </xf>
    <xf numFmtId="1" fontId="34" fillId="0" borderId="15" xfId="0" applyNumberFormat="1" applyFont="1" applyBorder="1" applyAlignment="1">
      <alignment horizontal="center"/>
    </xf>
    <xf numFmtId="1" fontId="34" fillId="0" borderId="16" xfId="0" applyNumberFormat="1" applyFont="1" applyBorder="1" applyAlignment="1">
      <alignment horizontal="center"/>
    </xf>
    <xf numFmtId="1" fontId="4" fillId="0" borderId="3" xfId="3" applyNumberFormat="1" applyFont="1" applyFill="1" applyBorder="1" applyProtection="1"/>
    <xf numFmtId="1" fontId="4" fillId="0" borderId="8" xfId="3" quotePrefix="1" applyNumberFormat="1" applyFont="1" applyFill="1" applyBorder="1" applyAlignment="1" applyProtection="1">
      <alignment horizontal="right"/>
    </xf>
    <xf numFmtId="1" fontId="4" fillId="0" borderId="32" xfId="3" applyNumberFormat="1" applyFont="1" applyFill="1" applyBorder="1" applyProtection="1"/>
    <xf numFmtId="2" fontId="4" fillId="0" borderId="8" xfId="3" quotePrefix="1" applyNumberFormat="1" applyFont="1" applyFill="1" applyBorder="1" applyAlignment="1" applyProtection="1">
      <alignment horizontal="right"/>
    </xf>
    <xf numFmtId="1" fontId="10" fillId="0" borderId="15" xfId="0" applyNumberFormat="1" applyFont="1" applyBorder="1" applyAlignment="1">
      <alignment horizontal="center"/>
    </xf>
    <xf numFmtId="1" fontId="10" fillId="0" borderId="16" xfId="0" applyNumberFormat="1" applyFont="1" applyBorder="1" applyAlignment="1">
      <alignment horizontal="center"/>
    </xf>
    <xf numFmtId="2" fontId="34" fillId="0" borderId="15" xfId="0" applyNumberFormat="1" applyFont="1" applyBorder="1" applyAlignment="1">
      <alignment horizontal="center"/>
    </xf>
    <xf numFmtId="2" fontId="34" fillId="0" borderId="16" xfId="0" applyNumberFormat="1" applyFont="1" applyBorder="1" applyAlignment="1">
      <alignment horizontal="center"/>
    </xf>
    <xf numFmtId="2" fontId="31" fillId="0" borderId="2" xfId="3" applyNumberFormat="1" applyFont="1" applyFill="1" applyBorder="1" applyAlignment="1" applyProtection="1"/>
    <xf numFmtId="2" fontId="4" fillId="0" borderId="53" xfId="3" quotePrefix="1" applyNumberFormat="1" applyFont="1" applyFill="1" applyBorder="1" applyAlignment="1" applyProtection="1">
      <alignment horizontal="right"/>
    </xf>
    <xf numFmtId="2" fontId="4" fillId="0" borderId="4" xfId="3" applyNumberFormat="1" applyFont="1" applyFill="1" applyBorder="1" applyAlignment="1" applyProtection="1"/>
    <xf numFmtId="2" fontId="4" fillId="0" borderId="3" xfId="3" applyNumberFormat="1" applyFont="1" applyFill="1" applyBorder="1" applyAlignment="1" applyProtection="1"/>
    <xf numFmtId="2" fontId="31" fillId="0" borderId="6" xfId="3" applyNumberFormat="1" applyFont="1" applyFill="1" applyBorder="1" applyProtection="1"/>
    <xf numFmtId="2" fontId="31" fillId="0" borderId="3" xfId="3" applyNumberFormat="1" applyFont="1" applyFill="1" applyBorder="1" applyProtection="1"/>
    <xf numFmtId="0" fontId="34" fillId="0" borderId="0" xfId="0" applyFont="1"/>
    <xf numFmtId="2" fontId="4" fillId="0" borderId="0" xfId="3" applyNumberFormat="1" applyFont="1" applyFill="1" applyBorder="1" applyProtection="1"/>
    <xf numFmtId="0" fontId="10" fillId="0" borderId="0" xfId="0" applyFont="1"/>
    <xf numFmtId="2" fontId="34" fillId="0" borderId="31" xfId="0" applyNumberFormat="1" applyFont="1" applyBorder="1" applyAlignment="1">
      <alignment horizontal="center"/>
    </xf>
    <xf numFmtId="2" fontId="34" fillId="0" borderId="4" xfId="0" applyNumberFormat="1" applyFont="1" applyBorder="1" applyAlignment="1">
      <alignment horizontal="center"/>
    </xf>
    <xf numFmtId="2" fontId="34" fillId="0" borderId="48" xfId="0" applyNumberFormat="1" applyFont="1" applyBorder="1" applyAlignment="1">
      <alignment horizontal="center"/>
    </xf>
    <xf numFmtId="2" fontId="34" fillId="0" borderId="47" xfId="0" applyNumberFormat="1" applyFont="1" applyBorder="1" applyAlignment="1">
      <alignment horizontal="center"/>
    </xf>
    <xf numFmtId="1" fontId="34" fillId="0" borderId="32" xfId="0" applyNumberFormat="1" applyFont="1" applyBorder="1" applyAlignment="1">
      <alignment horizontal="center"/>
    </xf>
    <xf numFmtId="1" fontId="34" fillId="0" borderId="49" xfId="0" applyNumberFormat="1" applyFont="1" applyBorder="1" applyAlignment="1">
      <alignment horizontal="center"/>
    </xf>
    <xf numFmtId="1" fontId="10" fillId="0" borderId="32" xfId="0" applyNumberFormat="1" applyFont="1" applyBorder="1" applyAlignment="1">
      <alignment horizontal="center"/>
    </xf>
    <xf numFmtId="1" fontId="10" fillId="0" borderId="49" xfId="0" applyNumberFormat="1" applyFont="1" applyBorder="1" applyAlignment="1">
      <alignment horizontal="center"/>
    </xf>
    <xf numFmtId="2" fontId="34" fillId="0" borderId="32" xfId="0" applyNumberFormat="1" applyFont="1" applyBorder="1" applyAlignment="1">
      <alignment horizontal="center"/>
    </xf>
    <xf numFmtId="2" fontId="34" fillId="0" borderId="49" xfId="0" applyNumberFormat="1" applyFont="1" applyBorder="1" applyAlignment="1">
      <alignment horizontal="center"/>
    </xf>
    <xf numFmtId="2" fontId="4" fillId="0" borderId="36" xfId="3" quotePrefix="1" applyNumberFormat="1" applyFont="1" applyFill="1" applyBorder="1" applyAlignment="1" applyProtection="1">
      <alignment horizontal="center"/>
    </xf>
    <xf numFmtId="2" fontId="4" fillId="0" borderId="40" xfId="3" quotePrefix="1" applyNumberFormat="1" applyFont="1" applyFill="1" applyBorder="1" applyAlignment="1" applyProtection="1">
      <alignment horizontal="center"/>
    </xf>
    <xf numFmtId="0" fontId="20" fillId="0" borderId="0" xfId="0" applyNumberFormat="1" applyFont="1" applyFill="1" applyBorder="1" applyAlignment="1">
      <alignment horizontal="center"/>
    </xf>
    <xf numFmtId="0" fontId="22" fillId="0" borderId="0" xfId="0" applyNumberFormat="1" applyFont="1" applyFill="1" applyBorder="1" applyAlignment="1">
      <alignment horizontal="center"/>
    </xf>
    <xf numFmtId="168" fontId="22" fillId="0" borderId="0" xfId="0" applyNumberFormat="1" applyFont="1" applyFill="1" applyBorder="1" applyAlignment="1">
      <alignment horizontal="center"/>
    </xf>
    <xf numFmtId="0" fontId="10" fillId="0" borderId="0" xfId="0" applyNumberFormat="1" applyFont="1" applyFill="1" applyAlignment="1"/>
    <xf numFmtId="0" fontId="5" fillId="7" borderId="54" xfId="0" applyNumberFormat="1" applyFont="1" applyFill="1" applyBorder="1" applyAlignment="1">
      <alignment horizontal="center"/>
    </xf>
    <xf numFmtId="0" fontId="23" fillId="7" borderId="55" xfId="0" applyNumberFormat="1" applyFont="1" applyFill="1" applyBorder="1" applyAlignment="1">
      <alignment horizontal="center"/>
    </xf>
    <xf numFmtId="0" fontId="23" fillId="7" borderId="54" xfId="0" applyNumberFormat="1" applyFont="1" applyFill="1" applyBorder="1" applyAlignment="1">
      <alignment horizontal="center"/>
    </xf>
    <xf numFmtId="0" fontId="23" fillId="7" borderId="56" xfId="0" applyNumberFormat="1" applyFont="1" applyFill="1" applyBorder="1" applyAlignment="1">
      <alignment horizontal="center"/>
    </xf>
    <xf numFmtId="0" fontId="5" fillId="7" borderId="56" xfId="0" applyNumberFormat="1" applyFont="1" applyFill="1" applyBorder="1" applyAlignment="1">
      <alignment horizontal="center"/>
    </xf>
    <xf numFmtId="0" fontId="23" fillId="7" borderId="57" xfId="0" quotePrefix="1" applyNumberFormat="1" applyFont="1" applyFill="1" applyBorder="1" applyAlignment="1">
      <alignment horizontal="center"/>
    </xf>
    <xf numFmtId="0" fontId="23" fillId="7" borderId="25" xfId="0" applyNumberFormat="1" applyFont="1" applyFill="1" applyBorder="1" applyAlignment="1">
      <alignment horizontal="center"/>
    </xf>
    <xf numFmtId="0" fontId="23" fillId="7" borderId="25" xfId="0" quotePrefix="1" applyNumberFormat="1" applyFont="1" applyFill="1" applyBorder="1" applyAlignment="1">
      <alignment horizontal="center"/>
    </xf>
    <xf numFmtId="0" fontId="23" fillId="7" borderId="58" xfId="0" applyNumberFormat="1" applyFont="1" applyFill="1" applyBorder="1" applyAlignment="1">
      <alignment horizontal="center"/>
    </xf>
    <xf numFmtId="2" fontId="10" fillId="0" borderId="59" xfId="0" applyNumberFormat="1" applyFont="1" applyFill="1" applyBorder="1" applyAlignment="1">
      <alignment horizontal="center"/>
    </xf>
    <xf numFmtId="2" fontId="10" fillId="0" borderId="60" xfId="0" applyNumberFormat="1" applyFont="1" applyFill="1" applyBorder="1" applyAlignment="1">
      <alignment horizontal="center"/>
    </xf>
    <xf numFmtId="2" fontId="10" fillId="0" borderId="24" xfId="0" applyNumberFormat="1" applyFont="1" applyFill="1" applyBorder="1" applyAlignment="1">
      <alignment horizontal="center"/>
    </xf>
    <xf numFmtId="2" fontId="10" fillId="8" borderId="24" xfId="0" applyNumberFormat="1" applyFont="1" applyFill="1" applyBorder="1" applyAlignment="1">
      <alignment horizontal="center"/>
    </xf>
    <xf numFmtId="2" fontId="10" fillId="8" borderId="59" xfId="0" applyNumberFormat="1" applyFont="1" applyFill="1" applyBorder="1" applyAlignment="1">
      <alignment horizontal="center"/>
    </xf>
    <xf numFmtId="2" fontId="10" fillId="9" borderId="24" xfId="0" applyNumberFormat="1" applyFont="1" applyFill="1" applyBorder="1" applyAlignment="1">
      <alignment horizontal="center"/>
    </xf>
    <xf numFmtId="2" fontId="10" fillId="9" borderId="59" xfId="0" applyNumberFormat="1" applyFont="1" applyFill="1" applyBorder="1" applyAlignment="1">
      <alignment horizontal="center"/>
    </xf>
    <xf numFmtId="0" fontId="18" fillId="0" borderId="61" xfId="0" applyNumberFormat="1" applyFont="1" applyFill="1" applyBorder="1" applyAlignment="1">
      <alignment horizontal="left"/>
    </xf>
    <xf numFmtId="2" fontId="24" fillId="9" borderId="25" xfId="0" applyNumberFormat="1" applyFont="1" applyFill="1" applyBorder="1" applyAlignment="1">
      <alignment horizontal="center"/>
    </xf>
    <xf numFmtId="2" fontId="24" fillId="9" borderId="58" xfId="0" applyNumberFormat="1" applyFont="1" applyFill="1" applyBorder="1" applyAlignment="1">
      <alignment horizontal="center"/>
    </xf>
    <xf numFmtId="0" fontId="10" fillId="9" borderId="21" xfId="0" applyNumberFormat="1" applyFont="1" applyFill="1" applyBorder="1"/>
    <xf numFmtId="0" fontId="10" fillId="9" borderId="62" xfId="0" applyNumberFormat="1" applyFont="1" applyFill="1" applyBorder="1"/>
    <xf numFmtId="2" fontId="24" fillId="8" borderId="63" xfId="0" applyNumberFormat="1" applyFont="1" applyFill="1" applyBorder="1" applyAlignment="1">
      <alignment horizontal="center"/>
    </xf>
    <xf numFmtId="2" fontId="24" fillId="8" borderId="64" xfId="0" applyNumberFormat="1" applyFont="1" applyFill="1" applyBorder="1" applyAlignment="1">
      <alignment horizontal="center"/>
    </xf>
    <xf numFmtId="2" fontId="24" fillId="9" borderId="63" xfId="0" applyNumberFormat="1" applyFont="1" applyFill="1" applyBorder="1" applyAlignment="1">
      <alignment horizontal="center"/>
    </xf>
    <xf numFmtId="2" fontId="24" fillId="9" borderId="64" xfId="0" applyNumberFormat="1" applyFont="1" applyFill="1" applyBorder="1" applyAlignment="1">
      <alignment horizontal="center"/>
    </xf>
    <xf numFmtId="0" fontId="18" fillId="0" borderId="0" xfId="0" applyNumberFormat="1" applyFont="1" applyFill="1" applyBorder="1" applyAlignment="1">
      <alignment horizontal="left"/>
    </xf>
    <xf numFmtId="0" fontId="23" fillId="8" borderId="42" xfId="0" applyNumberFormat="1" applyFont="1" applyFill="1" applyBorder="1" applyAlignment="1">
      <alignment horizontal="left"/>
    </xf>
    <xf numFmtId="0" fontId="23" fillId="8" borderId="65" xfId="0" applyNumberFormat="1" applyFont="1" applyFill="1" applyBorder="1" applyAlignment="1">
      <alignment horizontal="left"/>
    </xf>
    <xf numFmtId="0" fontId="23" fillId="8" borderId="65" xfId="0" applyNumberFormat="1" applyFont="1" applyFill="1" applyBorder="1" applyAlignment="1">
      <alignment horizontal="center"/>
    </xf>
    <xf numFmtId="0" fontId="23" fillId="8" borderId="44" xfId="0" applyNumberFormat="1" applyFont="1" applyFill="1" applyBorder="1" applyAlignment="1">
      <alignment horizontal="center"/>
    </xf>
    <xf numFmtId="0" fontId="23" fillId="9" borderId="42" xfId="0" applyNumberFormat="1" applyFont="1" applyFill="1" applyBorder="1" applyAlignment="1"/>
    <xf numFmtId="0" fontId="23" fillId="9" borderId="65" xfId="0" applyNumberFormat="1" applyFont="1" applyFill="1" applyBorder="1" applyAlignment="1"/>
    <xf numFmtId="0" fontId="23" fillId="9" borderId="65" xfId="0" applyNumberFormat="1" applyFont="1" applyFill="1" applyBorder="1" applyAlignment="1">
      <alignment horizontal="center"/>
    </xf>
    <xf numFmtId="0" fontId="23" fillId="9" borderId="44" xfId="0" applyNumberFormat="1" applyFont="1" applyFill="1" applyBorder="1" applyAlignment="1">
      <alignment horizontal="center"/>
    </xf>
    <xf numFmtId="0" fontId="24" fillId="8" borderId="6" xfId="0" applyNumberFormat="1" applyFont="1" applyFill="1" applyBorder="1"/>
    <xf numFmtId="0" fontId="24" fillId="8" borderId="0" xfId="0" applyNumberFormat="1" applyFont="1" applyFill="1" applyBorder="1"/>
    <xf numFmtId="0" fontId="35" fillId="8" borderId="0" xfId="0" applyNumberFormat="1" applyFont="1" applyFill="1" applyBorder="1" applyAlignment="1">
      <alignment horizontal="center"/>
    </xf>
    <xf numFmtId="0" fontId="18" fillId="8" borderId="0" xfId="0" applyNumberFormat="1" applyFont="1" applyFill="1" applyBorder="1" applyAlignment="1">
      <alignment horizontal="center"/>
    </xf>
    <xf numFmtId="2" fontId="18" fillId="8" borderId="52" xfId="0" applyNumberFormat="1" applyFont="1" applyFill="1" applyBorder="1" applyAlignment="1">
      <alignment horizontal="center"/>
    </xf>
    <xf numFmtId="0" fontId="24" fillId="9" borderId="6" xfId="0" applyNumberFormat="1" applyFont="1" applyFill="1" applyBorder="1"/>
    <xf numFmtId="0" fontId="24" fillId="9" borderId="0" xfId="0" applyNumberFormat="1" applyFont="1" applyFill="1" applyBorder="1"/>
    <xf numFmtId="0" fontId="35" fillId="9" borderId="0" xfId="0" applyNumberFormat="1" applyFont="1" applyFill="1" applyBorder="1" applyAlignment="1">
      <alignment horizontal="center"/>
    </xf>
    <xf numFmtId="0" fontId="18" fillId="9" borderId="0" xfId="0" applyNumberFormat="1" applyFont="1" applyFill="1" applyBorder="1" applyAlignment="1">
      <alignment horizontal="center"/>
    </xf>
    <xf numFmtId="2" fontId="18" fillId="9" borderId="52" xfId="0" applyNumberFormat="1" applyFont="1" applyFill="1" applyBorder="1" applyAlignment="1">
      <alignment horizontal="center"/>
    </xf>
    <xf numFmtId="0" fontId="10" fillId="0" borderId="0" xfId="0" applyNumberFormat="1" applyFont="1" applyFill="1" applyAlignment="1">
      <alignment horizontal="center"/>
    </xf>
    <xf numFmtId="0" fontId="24" fillId="8" borderId="3" xfId="0" applyNumberFormat="1" applyFont="1" applyFill="1" applyBorder="1"/>
    <xf numFmtId="0" fontId="24" fillId="8" borderId="1" xfId="0" applyNumberFormat="1" applyFont="1" applyFill="1" applyBorder="1"/>
    <xf numFmtId="0" fontId="35" fillId="8" borderId="1" xfId="0" applyNumberFormat="1" applyFont="1" applyFill="1" applyBorder="1" applyAlignment="1">
      <alignment horizontal="center"/>
    </xf>
    <xf numFmtId="0" fontId="18" fillId="8" borderId="1" xfId="0" applyNumberFormat="1" applyFont="1" applyFill="1" applyBorder="1" applyAlignment="1">
      <alignment horizontal="center"/>
    </xf>
    <xf numFmtId="2" fontId="18" fillId="8" borderId="8" xfId="0" applyNumberFormat="1" applyFont="1" applyFill="1" applyBorder="1" applyAlignment="1">
      <alignment horizontal="center"/>
    </xf>
    <xf numFmtId="0" fontId="24" fillId="9" borderId="3" xfId="0" applyNumberFormat="1" applyFont="1" applyFill="1" applyBorder="1"/>
    <xf numFmtId="0" fontId="24" fillId="9" borderId="1" xfId="0" applyNumberFormat="1" applyFont="1" applyFill="1" applyBorder="1"/>
    <xf numFmtId="0" fontId="35" fillId="9" borderId="1" xfId="0" applyNumberFormat="1" applyFont="1" applyFill="1" applyBorder="1" applyAlignment="1">
      <alignment horizontal="center"/>
    </xf>
    <xf numFmtId="0" fontId="18" fillId="9" borderId="1" xfId="0" applyNumberFormat="1" applyFont="1" applyFill="1" applyBorder="1" applyAlignment="1">
      <alignment horizontal="center"/>
    </xf>
    <xf numFmtId="2" fontId="18" fillId="9" borderId="8" xfId="0" applyNumberFormat="1" applyFont="1" applyFill="1" applyBorder="1" applyAlignment="1">
      <alignment horizontal="center"/>
    </xf>
    <xf numFmtId="0" fontId="35" fillId="10" borderId="0" xfId="0" applyNumberFormat="1" applyFont="1" applyFill="1" applyAlignment="1">
      <alignment horizontal="center"/>
    </xf>
    <xf numFmtId="0" fontId="36" fillId="0" borderId="0" xfId="0" applyNumberFormat="1" applyFont="1" applyAlignment="1">
      <alignment horizontal="center"/>
    </xf>
    <xf numFmtId="0" fontId="36" fillId="10" borderId="0" xfId="0" applyNumberFormat="1" applyFont="1" applyFill="1" applyAlignment="1">
      <alignment horizontal="center"/>
    </xf>
    <xf numFmtId="0" fontId="10" fillId="10" borderId="0" xfId="0" applyNumberFormat="1" applyFont="1" applyFill="1"/>
    <xf numFmtId="14" fontId="28" fillId="5" borderId="0" xfId="0" applyNumberFormat="1" applyFont="1" applyFill="1" applyBorder="1" applyAlignment="1"/>
    <xf numFmtId="0" fontId="10" fillId="0" borderId="0" xfId="0" applyNumberFormat="1" applyFont="1" applyFill="1" applyBorder="1" applyAlignment="1"/>
    <xf numFmtId="0" fontId="20" fillId="0" borderId="0" xfId="0" applyNumberFormat="1" applyFont="1" applyFill="1" applyBorder="1" applyAlignment="1"/>
    <xf numFmtId="0" fontId="10" fillId="0" borderId="1" xfId="0" applyNumberFormat="1" applyFont="1" applyFill="1" applyBorder="1" applyAlignment="1"/>
    <xf numFmtId="0" fontId="10" fillId="0" borderId="33" xfId="0" applyNumberFormat="1" applyFont="1" applyFill="1" applyBorder="1" applyAlignment="1"/>
    <xf numFmtId="2" fontId="10" fillId="0" borderId="66" xfId="0" applyNumberFormat="1" applyFont="1" applyFill="1" applyBorder="1" applyAlignment="1">
      <alignment horizontal="center"/>
    </xf>
    <xf numFmtId="0" fontId="23" fillId="7" borderId="67" xfId="0" applyNumberFormat="1" applyFont="1" applyFill="1" applyBorder="1" applyAlignment="1">
      <alignment horizontal="center"/>
    </xf>
    <xf numFmtId="0" fontId="23" fillId="7" borderId="28" xfId="0" quotePrefix="1" applyNumberFormat="1" applyFont="1" applyFill="1" applyBorder="1" applyAlignment="1">
      <alignment horizontal="center"/>
    </xf>
    <xf numFmtId="0" fontId="10" fillId="0" borderId="6" xfId="0" applyNumberFormat="1" applyFont="1" applyFill="1" applyBorder="1" applyAlignment="1">
      <alignment horizontal="center"/>
    </xf>
    <xf numFmtId="2" fontId="10" fillId="0" borderId="6" xfId="0" applyNumberFormat="1" applyFont="1" applyFill="1" applyBorder="1" applyAlignment="1">
      <alignment horizontal="center"/>
    </xf>
    <xf numFmtId="2" fontId="10" fillId="0" borderId="68" xfId="0" applyNumberFormat="1" applyFont="1" applyFill="1" applyBorder="1" applyAlignment="1">
      <alignment horizontal="center"/>
    </xf>
    <xf numFmtId="0" fontId="23" fillId="7" borderId="69" xfId="0" applyNumberFormat="1" applyFont="1" applyFill="1" applyBorder="1" applyAlignment="1">
      <alignment horizontal="center"/>
    </xf>
    <xf numFmtId="0" fontId="23" fillId="7" borderId="27" xfId="0" quotePrefix="1" applyNumberFormat="1" applyFont="1" applyFill="1" applyBorder="1" applyAlignment="1">
      <alignment horizontal="center"/>
    </xf>
    <xf numFmtId="0" fontId="10" fillId="0" borderId="52" xfId="0" applyNumberFormat="1" applyFont="1" applyFill="1" applyBorder="1" applyAlignment="1">
      <alignment horizontal="center"/>
    </xf>
    <xf numFmtId="2" fontId="10" fillId="0" borderId="52" xfId="0" applyNumberFormat="1" applyFont="1" applyFill="1" applyBorder="1" applyAlignment="1">
      <alignment horizontal="center"/>
    </xf>
    <xf numFmtId="2" fontId="10" fillId="0" borderId="70" xfId="0" applyNumberFormat="1" applyFont="1" applyFill="1" applyBorder="1" applyAlignment="1">
      <alignment horizontal="center"/>
    </xf>
    <xf numFmtId="0" fontId="23" fillId="7" borderId="17" xfId="0" applyNumberFormat="1" applyFont="1" applyFill="1" applyBorder="1" applyAlignment="1">
      <alignment horizontal="center"/>
    </xf>
    <xf numFmtId="2" fontId="10" fillId="0" borderId="71" xfId="0" applyNumberFormat="1" applyFont="1" applyFill="1" applyBorder="1" applyAlignment="1">
      <alignment horizontal="center"/>
    </xf>
    <xf numFmtId="0" fontId="10" fillId="0" borderId="59" xfId="0" applyNumberFormat="1" applyFont="1" applyFill="1" applyBorder="1" applyAlignment="1">
      <alignment horizontal="center"/>
    </xf>
    <xf numFmtId="0" fontId="23" fillId="7" borderId="7" xfId="0" quotePrefix="1" applyNumberFormat="1" applyFont="1" applyFill="1" applyBorder="1" applyAlignment="1">
      <alignment horizontal="center"/>
    </xf>
    <xf numFmtId="0" fontId="23" fillId="7" borderId="39" xfId="0" applyNumberFormat="1" applyFont="1" applyFill="1" applyBorder="1" applyAlignment="1">
      <alignment horizontal="center"/>
    </xf>
    <xf numFmtId="2" fontId="10" fillId="0" borderId="52" xfId="0" quotePrefix="1" applyNumberFormat="1" applyFont="1" applyFill="1" applyBorder="1" applyAlignment="1">
      <alignment horizontal="center"/>
    </xf>
    <xf numFmtId="0" fontId="23" fillId="0" borderId="1" xfId="0" applyNumberFormat="1" applyFont="1" applyFill="1" applyBorder="1" applyAlignment="1">
      <alignment horizontal="center"/>
    </xf>
    <xf numFmtId="0" fontId="23" fillId="0" borderId="8" xfId="0" applyNumberFormat="1" applyFont="1" applyFill="1" applyBorder="1" applyAlignment="1">
      <alignment horizontal="center"/>
    </xf>
    <xf numFmtId="168" fontId="21" fillId="0" borderId="0" xfId="0" applyNumberFormat="1" applyFont="1" applyFill="1" applyBorder="1" applyAlignment="1">
      <alignment horizontal="center"/>
    </xf>
    <xf numFmtId="0" fontId="10" fillId="8" borderId="24" xfId="0" applyNumberFormat="1" applyFont="1" applyFill="1" applyBorder="1" applyAlignment="1">
      <alignment horizontal="center"/>
    </xf>
    <xf numFmtId="0" fontId="10" fillId="8" borderId="59" xfId="0" applyNumberFormat="1" applyFont="1" applyFill="1" applyBorder="1" applyAlignment="1">
      <alignment horizontal="center"/>
    </xf>
    <xf numFmtId="2" fontId="10" fillId="8" borderId="66" xfId="0" applyNumberFormat="1" applyFont="1" applyFill="1" applyBorder="1" applyAlignment="1">
      <alignment horizontal="center"/>
    </xf>
    <xf numFmtId="2" fontId="24" fillId="0" borderId="62" xfId="0" applyNumberFormat="1" applyFont="1" applyFill="1" applyBorder="1" applyAlignment="1">
      <alignment horizontal="center"/>
    </xf>
    <xf numFmtId="2" fontId="24" fillId="0" borderId="9" xfId="0" applyNumberFormat="1" applyFont="1" applyFill="1" applyBorder="1" applyAlignment="1">
      <alignment horizontal="center"/>
    </xf>
    <xf numFmtId="2" fontId="24" fillId="0" borderId="21" xfId="0" applyNumberFormat="1" applyFont="1" applyFill="1" applyBorder="1" applyAlignment="1">
      <alignment horizontal="center"/>
    </xf>
    <xf numFmtId="2" fontId="24" fillId="0" borderId="26" xfId="0" applyNumberFormat="1" applyFont="1" applyFill="1" applyBorder="1" applyAlignment="1">
      <alignment horizontal="center"/>
    </xf>
    <xf numFmtId="2" fontId="10" fillId="0" borderId="0" xfId="0" quotePrefix="1" applyNumberFormat="1" applyFont="1" applyFill="1" applyBorder="1" applyAlignment="1">
      <alignment horizontal="center"/>
    </xf>
    <xf numFmtId="0" fontId="10" fillId="0" borderId="72" xfId="0" applyNumberFormat="1" applyFont="1" applyFill="1" applyBorder="1"/>
    <xf numFmtId="2" fontId="18" fillId="0" borderId="52" xfId="0" applyNumberFormat="1" applyFont="1" applyFill="1" applyBorder="1" applyAlignment="1">
      <alignment horizontal="center"/>
    </xf>
    <xf numFmtId="2" fontId="18" fillId="0" borderId="64" xfId="0" applyNumberFormat="1" applyFont="1" applyFill="1" applyBorder="1" applyAlignment="1">
      <alignment horizontal="center"/>
    </xf>
    <xf numFmtId="2" fontId="18" fillId="0" borderId="3" xfId="0" applyNumberFormat="1" applyFont="1" applyFill="1" applyBorder="1" applyAlignment="1">
      <alignment horizontal="center"/>
    </xf>
    <xf numFmtId="2" fontId="18" fillId="0" borderId="63" xfId="0" applyNumberFormat="1" applyFont="1" applyFill="1" applyBorder="1" applyAlignment="1">
      <alignment horizontal="center"/>
    </xf>
    <xf numFmtId="2" fontId="18" fillId="0" borderId="1" xfId="0" applyNumberFormat="1" applyFont="1" applyFill="1" applyBorder="1" applyAlignment="1">
      <alignment horizontal="center"/>
    </xf>
    <xf numFmtId="0" fontId="23" fillId="7" borderId="57" xfId="0" applyNumberFormat="1" applyFont="1" applyFill="1" applyBorder="1" applyAlignment="1">
      <alignment horizontal="center"/>
    </xf>
    <xf numFmtId="0" fontId="10" fillId="0" borderId="60" xfId="0" applyNumberFormat="1" applyFont="1" applyFill="1" applyBorder="1" applyAlignment="1">
      <alignment horizontal="center"/>
    </xf>
    <xf numFmtId="169" fontId="24" fillId="0" borderId="60" xfId="0" applyNumberFormat="1" applyFont="1" applyFill="1" applyBorder="1" applyAlignment="1">
      <alignment horizontal="center"/>
    </xf>
    <xf numFmtId="0" fontId="18" fillId="0" borderId="60" xfId="0" applyNumberFormat="1" applyFont="1" applyFill="1" applyBorder="1" applyAlignment="1">
      <alignment horizontal="left"/>
    </xf>
    <xf numFmtId="0" fontId="18" fillId="0" borderId="60" xfId="0" quotePrefix="1" applyNumberFormat="1" applyFont="1" applyFill="1" applyBorder="1" applyAlignment="1">
      <alignment horizontal="left"/>
    </xf>
    <xf numFmtId="0" fontId="18" fillId="0" borderId="73" xfId="0" applyNumberFormat="1" applyFont="1" applyFill="1" applyBorder="1" applyAlignment="1">
      <alignment horizontal="left"/>
    </xf>
    <xf numFmtId="2" fontId="24" fillId="0" borderId="35" xfId="0" applyNumberFormat="1" applyFont="1" applyFill="1" applyBorder="1" applyAlignment="1">
      <alignment horizontal="center"/>
    </xf>
    <xf numFmtId="2" fontId="18" fillId="0" borderId="73" xfId="0" applyNumberFormat="1" applyFont="1" applyFill="1" applyBorder="1" applyAlignment="1">
      <alignment horizontal="center"/>
    </xf>
    <xf numFmtId="2" fontId="24" fillId="9" borderId="74" xfId="0" applyNumberFormat="1" applyFont="1" applyFill="1" applyBorder="1" applyAlignment="1">
      <alignment horizontal="center"/>
    </xf>
    <xf numFmtId="2" fontId="18" fillId="0" borderId="74" xfId="0" applyNumberFormat="1" applyFont="1" applyFill="1" applyBorder="1" applyAlignment="1">
      <alignment horizontal="center"/>
    </xf>
    <xf numFmtId="2" fontId="10" fillId="0" borderId="60" xfId="0" quotePrefix="1" applyNumberFormat="1" applyFont="1" applyFill="1" applyBorder="1" applyAlignment="1">
      <alignment horizontal="center"/>
    </xf>
    <xf numFmtId="2" fontId="10" fillId="0" borderId="75" xfId="0" applyNumberFormat="1" applyFont="1" applyFill="1" applyBorder="1" applyAlignment="1">
      <alignment horizontal="center"/>
    </xf>
    <xf numFmtId="2" fontId="24" fillId="8" borderId="21" xfId="0" applyNumberFormat="1" applyFont="1" applyFill="1" applyBorder="1" applyAlignment="1">
      <alignment horizontal="center"/>
    </xf>
    <xf numFmtId="2" fontId="24" fillId="8" borderId="62" xfId="0" applyNumberFormat="1" applyFont="1" applyFill="1" applyBorder="1" applyAlignment="1">
      <alignment horizontal="center"/>
    </xf>
    <xf numFmtId="2" fontId="24" fillId="0" borderId="45" xfId="0" applyNumberFormat="1" applyFont="1" applyFill="1" applyBorder="1" applyAlignment="1">
      <alignment horizontal="center"/>
    </xf>
    <xf numFmtId="2" fontId="24" fillId="0" borderId="61" xfId="0" applyNumberFormat="1" applyFont="1" applyFill="1" applyBorder="1" applyAlignment="1">
      <alignment horizontal="center"/>
    </xf>
    <xf numFmtId="2" fontId="18" fillId="0" borderId="35" xfId="0" applyNumberFormat="1" applyFont="1" applyFill="1" applyBorder="1" applyAlignment="1">
      <alignment horizontal="center"/>
    </xf>
    <xf numFmtId="0" fontId="10" fillId="9" borderId="24" xfId="0" applyNumberFormat="1" applyFont="1" applyFill="1" applyBorder="1" applyAlignment="1">
      <alignment horizontal="center"/>
    </xf>
    <xf numFmtId="0" fontId="10" fillId="9" borderId="59" xfId="0" applyNumberFormat="1" applyFont="1" applyFill="1" applyBorder="1" applyAlignment="1">
      <alignment horizontal="center"/>
    </xf>
    <xf numFmtId="0" fontId="10" fillId="0" borderId="17" xfId="0" applyNumberFormat="1" applyFont="1" applyFill="1" applyBorder="1"/>
    <xf numFmtId="0" fontId="35" fillId="0" borderId="0" xfId="0" applyNumberFormat="1" applyFont="1" applyAlignment="1">
      <alignment horizontal="center"/>
    </xf>
    <xf numFmtId="170" fontId="18" fillId="8" borderId="1" xfId="0" applyNumberFormat="1" applyFont="1" applyFill="1" applyBorder="1" applyAlignment="1">
      <alignment horizontal="center"/>
    </xf>
    <xf numFmtId="170" fontId="18" fillId="8" borderId="0" xfId="0" applyNumberFormat="1" applyFont="1" applyFill="1" applyBorder="1" applyAlignment="1">
      <alignment horizontal="center"/>
    </xf>
    <xf numFmtId="170" fontId="18" fillId="9" borderId="0" xfId="0" applyNumberFormat="1" applyFont="1" applyFill="1" applyBorder="1" applyAlignment="1">
      <alignment horizontal="center"/>
    </xf>
    <xf numFmtId="170" fontId="18" fillId="9" borderId="1" xfId="0" applyNumberFormat="1" applyFont="1" applyFill="1" applyBorder="1" applyAlignment="1">
      <alignment horizontal="center"/>
    </xf>
    <xf numFmtId="2" fontId="16" fillId="0" borderId="42" xfId="3" applyNumberFormat="1" applyFont="1" applyFill="1" applyBorder="1" applyAlignment="1" applyProtection="1">
      <alignment horizontal="center"/>
    </xf>
    <xf numFmtId="2" fontId="16" fillId="0" borderId="65" xfId="3" applyNumberFormat="1" applyFont="1" applyFill="1" applyBorder="1" applyAlignment="1" applyProtection="1">
      <alignment horizontal="center"/>
    </xf>
    <xf numFmtId="2" fontId="16" fillId="0" borderId="17" xfId="3" applyNumberFormat="1" applyFont="1" applyFill="1" applyBorder="1" applyAlignment="1" applyProtection="1">
      <alignment horizontal="center"/>
    </xf>
    <xf numFmtId="2" fontId="16" fillId="0" borderId="1" xfId="3" applyNumberFormat="1" applyFont="1" applyFill="1" applyBorder="1" applyAlignment="1" applyProtection="1">
      <alignment horizontal="center"/>
    </xf>
    <xf numFmtId="2" fontId="34" fillId="0" borderId="19" xfId="0" applyNumberFormat="1" applyFont="1" applyBorder="1" applyAlignment="1">
      <alignment horizontal="center"/>
    </xf>
    <xf numFmtId="2" fontId="29" fillId="0" borderId="24" xfId="3" applyNumberFormat="1" applyFont="1" applyFill="1" applyBorder="1" applyAlignment="1" applyProtection="1">
      <alignment horizontal="center" wrapText="1"/>
    </xf>
    <xf numFmtId="0" fontId="5" fillId="0" borderId="0" xfId="0" applyFont="1" applyAlignment="1">
      <alignment horizontal="right"/>
    </xf>
    <xf numFmtId="0" fontId="5" fillId="0" borderId="0" xfId="0" applyFont="1" applyBorder="1"/>
    <xf numFmtId="0" fontId="5" fillId="0" borderId="0" xfId="0" applyFont="1" applyFill="1" applyBorder="1" applyAlignment="1">
      <alignment horizontal="center"/>
    </xf>
    <xf numFmtId="0" fontId="12" fillId="0" borderId="24" xfId="0" applyFont="1" applyBorder="1"/>
    <xf numFmtId="0" fontId="12" fillId="0" borderId="0" xfId="0" applyFont="1" applyBorder="1"/>
    <xf numFmtId="14" fontId="39" fillId="0" borderId="12" xfId="0" applyNumberFormat="1" applyFont="1" applyBorder="1" applyAlignment="1">
      <alignment horizontal="center"/>
    </xf>
    <xf numFmtId="165" fontId="5" fillId="0" borderId="24" xfId="0" applyNumberFormat="1" applyFont="1" applyBorder="1" applyAlignment="1"/>
    <xf numFmtId="0" fontId="5" fillId="0" borderId="24" xfId="0" applyNumberFormat="1" applyFont="1" applyBorder="1" applyAlignment="1"/>
    <xf numFmtId="2" fontId="8" fillId="0" borderId="24" xfId="0" applyNumberFormat="1" applyFont="1" applyBorder="1" applyAlignment="1"/>
    <xf numFmtId="2" fontId="12" fillId="0" borderId="24" xfId="0" applyNumberFormat="1" applyFont="1" applyBorder="1" applyAlignment="1"/>
    <xf numFmtId="2" fontId="40" fillId="0" borderId="24" xfId="0" applyNumberFormat="1" applyFont="1" applyBorder="1" applyAlignment="1"/>
    <xf numFmtId="0" fontId="5" fillId="0" borderId="24" xfId="0" applyFont="1" applyBorder="1"/>
    <xf numFmtId="2" fontId="12" fillId="0" borderId="0" xfId="0" applyNumberFormat="1" applyFont="1" applyBorder="1" applyAlignment="1"/>
    <xf numFmtId="0" fontId="5" fillId="0" borderId="0" xfId="0" applyFont="1" applyFill="1"/>
    <xf numFmtId="14" fontId="39" fillId="0" borderId="25" xfId="0" applyNumberFormat="1" applyFont="1" applyBorder="1" applyAlignment="1">
      <alignment horizontal="center"/>
    </xf>
    <xf numFmtId="2" fontId="12" fillId="0" borderId="12" xfId="0" applyNumberFormat="1" applyFont="1" applyBorder="1" applyAlignment="1"/>
    <xf numFmtId="2" fontId="27" fillId="0" borderId="12" xfId="0" applyNumberFormat="1" applyFont="1" applyBorder="1" applyAlignment="1"/>
    <xf numFmtId="2" fontId="5" fillId="0" borderId="12" xfId="0" applyNumberFormat="1" applyFont="1" applyBorder="1" applyAlignment="1"/>
    <xf numFmtId="2" fontId="8" fillId="0" borderId="12" xfId="0" applyNumberFormat="1" applyFont="1" applyBorder="1" applyAlignment="1"/>
    <xf numFmtId="2" fontId="40" fillId="0" borderId="12" xfId="0" applyNumberFormat="1" applyFont="1" applyBorder="1" applyAlignment="1"/>
    <xf numFmtId="0" fontId="12" fillId="0" borderId="0" xfId="0" applyFont="1" applyAlignment="1">
      <alignment horizontal="right"/>
    </xf>
    <xf numFmtId="2" fontId="12" fillId="0" borderId="0" xfId="0" applyNumberFormat="1" applyFont="1" applyAlignment="1">
      <alignment horizontal="right"/>
    </xf>
    <xf numFmtId="2" fontId="27" fillId="0" borderId="0" xfId="0" applyNumberFormat="1" applyFont="1" applyAlignment="1">
      <alignment horizontal="right"/>
    </xf>
    <xf numFmtId="2" fontId="5" fillId="0" borderId="0" xfId="0" applyNumberFormat="1" applyFont="1" applyAlignment="1">
      <alignment horizontal="right"/>
    </xf>
    <xf numFmtId="0" fontId="5" fillId="0" borderId="0" xfId="0" applyFont="1" applyBorder="1" applyAlignment="1">
      <alignment horizontal="right"/>
    </xf>
    <xf numFmtId="1" fontId="29" fillId="0" borderId="0" xfId="3" applyNumberFormat="1" applyFont="1" applyFill="1" applyBorder="1" applyAlignment="1" applyProtection="1">
      <alignment horizontal="center" wrapText="1"/>
    </xf>
    <xf numFmtId="0" fontId="5" fillId="0" borderId="0" xfId="0" applyFont="1" applyBorder="1" applyAlignment="1">
      <alignment horizontal="center"/>
    </xf>
    <xf numFmtId="2" fontId="5" fillId="0" borderId="0" xfId="0" applyNumberFormat="1" applyFont="1" applyAlignment="1">
      <alignment horizontal="center"/>
    </xf>
    <xf numFmtId="0" fontId="5" fillId="0" borderId="12" xfId="0" applyFont="1" applyFill="1" applyBorder="1" applyAlignment="1">
      <alignment horizontal="center"/>
    </xf>
    <xf numFmtId="0" fontId="12" fillId="0" borderId="12" xfId="0" applyFont="1" applyBorder="1" applyAlignment="1">
      <alignment horizontal="center"/>
    </xf>
    <xf numFmtId="0" fontId="0" fillId="0" borderId="12" xfId="0" applyBorder="1" applyAlignment="1">
      <alignment horizontal="center"/>
    </xf>
    <xf numFmtId="2" fontId="29" fillId="0" borderId="57" xfId="3" applyNumberFormat="1" applyFont="1" applyFill="1" applyBorder="1" applyAlignment="1" applyProtection="1">
      <alignment horizontal="center" wrapText="1"/>
    </xf>
    <xf numFmtId="2" fontId="29" fillId="0" borderId="25" xfId="3" applyNumberFormat="1" applyFont="1" applyFill="1" applyBorder="1" applyAlignment="1" applyProtection="1">
      <alignment horizontal="center" wrapText="1"/>
    </xf>
    <xf numFmtId="0" fontId="5" fillId="0" borderId="25" xfId="0" applyFont="1" applyFill="1" applyBorder="1" applyAlignment="1">
      <alignment horizontal="center" wrapText="1"/>
    </xf>
    <xf numFmtId="1" fontId="29" fillId="0" borderId="25" xfId="3" applyNumberFormat="1" applyFont="1" applyFill="1" applyBorder="1" applyAlignment="1" applyProtection="1">
      <alignment horizontal="center" wrapText="1"/>
    </xf>
    <xf numFmtId="0" fontId="12" fillId="0" borderId="25" xfId="0" applyFont="1" applyFill="1" applyBorder="1" applyAlignment="1">
      <alignment horizontal="center" wrapText="1"/>
    </xf>
    <xf numFmtId="0" fontId="12" fillId="0" borderId="25" xfId="0" applyFont="1" applyFill="1" applyBorder="1" applyAlignment="1">
      <alignment horizontal="center"/>
    </xf>
    <xf numFmtId="0" fontId="12" fillId="0" borderId="29" xfId="0" applyFont="1" applyFill="1" applyBorder="1" applyAlignment="1">
      <alignment horizontal="center"/>
    </xf>
    <xf numFmtId="0" fontId="12" fillId="0" borderId="25" xfId="0" applyFont="1" applyFill="1" applyBorder="1" applyAlignment="1">
      <alignment horizontal="right"/>
    </xf>
    <xf numFmtId="0" fontId="5" fillId="0" borderId="0" xfId="0" applyFont="1" applyFill="1" applyAlignment="1">
      <alignment horizontal="right"/>
    </xf>
    <xf numFmtId="0" fontId="5" fillId="0" borderId="24" xfId="0" applyFont="1" applyFill="1" applyBorder="1" applyAlignment="1" applyProtection="1">
      <alignment horizontal="center" wrapText="1"/>
      <protection locked="0"/>
    </xf>
    <xf numFmtId="2" fontId="5" fillId="0" borderId="24" xfId="0" applyNumberFormat="1" applyFont="1" applyFill="1" applyBorder="1" applyAlignment="1"/>
    <xf numFmtId="2" fontId="12" fillId="0" borderId="12" xfId="0" applyNumberFormat="1" applyFont="1" applyFill="1" applyBorder="1" applyAlignment="1"/>
    <xf numFmtId="0" fontId="12" fillId="0" borderId="25" xfId="0" applyFont="1" applyFill="1" applyBorder="1"/>
    <xf numFmtId="0" fontId="5" fillId="0" borderId="24" xfId="0" applyFont="1" applyFill="1" applyBorder="1"/>
    <xf numFmtId="0" fontId="12" fillId="0" borderId="0" xfId="0" applyFont="1" applyFill="1" applyBorder="1"/>
    <xf numFmtId="2" fontId="34" fillId="0" borderId="51" xfId="0" applyNumberFormat="1" applyFont="1" applyFill="1" applyBorder="1" applyAlignment="1">
      <alignment horizontal="center"/>
    </xf>
    <xf numFmtId="2" fontId="34" fillId="0" borderId="14" xfId="0" applyNumberFormat="1" applyFont="1" applyFill="1" applyBorder="1" applyAlignment="1">
      <alignment horizontal="center"/>
    </xf>
    <xf numFmtId="0" fontId="12" fillId="0" borderId="12" xfId="0" applyFont="1" applyFill="1" applyBorder="1"/>
    <xf numFmtId="0" fontId="42" fillId="0" borderId="0" xfId="2" applyNumberFormat="1" applyFill="1" applyBorder="1" applyAlignment="1">
      <alignment horizontal="center"/>
    </xf>
    <xf numFmtId="0" fontId="42" fillId="0" borderId="0" xfId="2" applyNumberFormat="1" applyFill="1" applyBorder="1"/>
    <xf numFmtId="171" fontId="42" fillId="11" borderId="0" xfId="2" applyNumberFormat="1" applyFill="1" applyBorder="1"/>
    <xf numFmtId="0" fontId="42" fillId="6" borderId="0" xfId="2" applyNumberFormat="1" applyFill="1" applyBorder="1"/>
    <xf numFmtId="0" fontId="42" fillId="11" borderId="0" xfId="2" applyNumberFormat="1" applyFill="1" applyBorder="1"/>
    <xf numFmtId="0" fontId="18" fillId="10" borderId="56" xfId="2" applyNumberFormat="1" applyFont="1" applyFill="1" applyBorder="1" applyAlignment="1">
      <alignment horizontal="center" textRotation="90" wrapText="1"/>
    </xf>
    <xf numFmtId="0" fontId="18" fillId="10" borderId="0" xfId="2" applyNumberFormat="1" applyFont="1" applyFill="1" applyBorder="1" applyAlignment="1">
      <alignment horizontal="center" textRotation="90" wrapText="1"/>
    </xf>
    <xf numFmtId="0" fontId="42" fillId="0" borderId="0" xfId="2" applyNumberFormat="1" applyFill="1" applyBorder="1" applyAlignment="1">
      <alignment textRotation="90"/>
    </xf>
    <xf numFmtId="0" fontId="42" fillId="11" borderId="0" xfId="2" applyNumberFormat="1" applyFill="1" applyBorder="1" applyAlignment="1">
      <alignment textRotation="90" wrapText="1"/>
    </xf>
    <xf numFmtId="0" fontId="42" fillId="10" borderId="0" xfId="2" applyNumberFormat="1" applyFill="1" applyBorder="1" applyAlignment="1">
      <alignment horizontal="center"/>
    </xf>
    <xf numFmtId="171" fontId="10" fillId="11" borderId="33" xfId="3" applyNumberFormat="1" applyFont="1" applyFill="1" applyBorder="1" applyAlignment="1" applyProtection="1">
      <alignment horizontal="center"/>
    </xf>
    <xf numFmtId="171" fontId="42" fillId="0" borderId="0" xfId="2" applyNumberFormat="1" applyFill="1" applyBorder="1"/>
    <xf numFmtId="2" fontId="10" fillId="0" borderId="0" xfId="3" applyNumberFormat="1" applyFont="1" applyFill="1" applyBorder="1" applyAlignment="1" applyProtection="1">
      <alignment horizontal="center"/>
    </xf>
    <xf numFmtId="171" fontId="42" fillId="0" borderId="0" xfId="2" applyNumberFormat="1" applyFill="1" applyBorder="1" applyAlignment="1">
      <alignment horizontal="right"/>
    </xf>
    <xf numFmtId="171" fontId="42" fillId="11" borderId="12" xfId="2" applyNumberFormat="1" applyFill="1" applyBorder="1" applyAlignment="1">
      <alignment horizontal="right"/>
    </xf>
    <xf numFmtId="0" fontId="42" fillId="0" borderId="0" xfId="2" applyNumberFormat="1" applyFill="1" applyBorder="1" applyAlignment="1">
      <alignment horizontal="right"/>
    </xf>
    <xf numFmtId="171" fontId="42" fillId="11" borderId="27" xfId="2" applyNumberFormat="1" applyFill="1" applyBorder="1" applyAlignment="1">
      <alignment horizontal="right"/>
    </xf>
    <xf numFmtId="0" fontId="5" fillId="0" borderId="12" xfId="0" applyFont="1" applyFill="1" applyBorder="1" applyAlignment="1">
      <alignment horizontal="right"/>
    </xf>
    <xf numFmtId="0" fontId="5" fillId="0" borderId="0" xfId="0" applyFont="1" applyFill="1" applyBorder="1" applyAlignment="1">
      <alignment horizontal="right"/>
    </xf>
    <xf numFmtId="0" fontId="5" fillId="0" borderId="24" xfId="0" applyFont="1" applyFill="1" applyBorder="1" applyAlignment="1" applyProtection="1">
      <alignment horizontal="right" wrapText="1"/>
      <protection locked="0"/>
    </xf>
    <xf numFmtId="2" fontId="5" fillId="0" borderId="24" xfId="0" applyNumberFormat="1" applyFont="1" applyFill="1" applyBorder="1" applyAlignment="1">
      <alignment horizontal="right"/>
    </xf>
    <xf numFmtId="0" fontId="12" fillId="0" borderId="0" xfId="0" applyFont="1" applyFill="1" applyAlignment="1">
      <alignment horizontal="right"/>
    </xf>
    <xf numFmtId="2" fontId="12" fillId="0" borderId="24" xfId="0" applyNumberFormat="1" applyFont="1" applyFill="1" applyBorder="1" applyAlignment="1"/>
    <xf numFmtId="2" fontId="27" fillId="0" borderId="24" xfId="0" applyNumberFormat="1" applyFont="1" applyFill="1" applyBorder="1" applyAlignment="1"/>
    <xf numFmtId="0" fontId="12" fillId="0" borderId="0" xfId="0" applyFont="1" applyFill="1"/>
    <xf numFmtId="172" fontId="24" fillId="0" borderId="60" xfId="0" applyNumberFormat="1" applyFont="1" applyFill="1" applyBorder="1" applyAlignment="1">
      <alignment horizontal="center"/>
    </xf>
    <xf numFmtId="172" fontId="18" fillId="0" borderId="60" xfId="0" applyNumberFormat="1" applyFont="1" applyFill="1" applyBorder="1" applyAlignment="1">
      <alignment horizontal="center"/>
    </xf>
    <xf numFmtId="172" fontId="18" fillId="0" borderId="75" xfId="0" applyNumberFormat="1" applyFont="1" applyFill="1" applyBorder="1" applyAlignment="1">
      <alignment horizontal="center"/>
    </xf>
    <xf numFmtId="2" fontId="18" fillId="0" borderId="58" xfId="0" applyNumberFormat="1" applyFont="1" applyFill="1" applyBorder="1" applyAlignment="1">
      <alignment horizontal="center"/>
    </xf>
    <xf numFmtId="2" fontId="18" fillId="0" borderId="37" xfId="0" applyNumberFormat="1" applyFont="1" applyFill="1" applyBorder="1" applyAlignment="1">
      <alignment horizontal="center"/>
    </xf>
    <xf numFmtId="2" fontId="18" fillId="0" borderId="25" xfId="0" applyNumberFormat="1" applyFont="1" applyFill="1" applyBorder="1" applyAlignment="1">
      <alignment horizontal="center"/>
    </xf>
    <xf numFmtId="2" fontId="18" fillId="0" borderId="29" xfId="0" applyNumberFormat="1" applyFont="1" applyFill="1" applyBorder="1" applyAlignment="1">
      <alignment horizontal="center"/>
    </xf>
    <xf numFmtId="2" fontId="24" fillId="8" borderId="25" xfId="0" applyNumberFormat="1" applyFont="1" applyFill="1" applyBorder="1" applyAlignment="1">
      <alignment horizontal="center"/>
    </xf>
    <xf numFmtId="2" fontId="24" fillId="8" borderId="58" xfId="0" applyNumberFormat="1" applyFont="1" applyFill="1" applyBorder="1" applyAlignment="1">
      <alignment horizontal="center"/>
    </xf>
    <xf numFmtId="2" fontId="24" fillId="9" borderId="28" xfId="0" applyNumberFormat="1" applyFont="1" applyFill="1" applyBorder="1" applyAlignment="1">
      <alignment horizontal="center"/>
    </xf>
    <xf numFmtId="2" fontId="18" fillId="0" borderId="28" xfId="0" applyNumberFormat="1" applyFont="1" applyFill="1" applyBorder="1" applyAlignment="1">
      <alignment horizontal="center"/>
    </xf>
    <xf numFmtId="2" fontId="18" fillId="0" borderId="57" xfId="0" applyNumberFormat="1" applyFont="1" applyFill="1" applyBorder="1" applyAlignment="1">
      <alignment horizontal="center"/>
    </xf>
    <xf numFmtId="166" fontId="10" fillId="10" borderId="24" xfId="3" applyNumberFormat="1" applyFont="1" applyFill="1" applyBorder="1" applyAlignment="1" applyProtection="1">
      <alignment horizontal="center"/>
    </xf>
    <xf numFmtId="0" fontId="42" fillId="10" borderId="1" xfId="2" applyNumberFormat="1" applyFill="1" applyBorder="1" applyAlignment="1">
      <alignment horizontal="center" vertical="center" wrapText="1"/>
    </xf>
    <xf numFmtId="2" fontId="10" fillId="10" borderId="24" xfId="3" applyNumberFormat="1" applyFont="1" applyFill="1" applyBorder="1" applyAlignment="1" applyProtection="1">
      <alignment horizontal="center"/>
    </xf>
    <xf numFmtId="1" fontId="10" fillId="10" borderId="24" xfId="3" applyNumberFormat="1" applyFont="1" applyFill="1" applyBorder="1" applyAlignment="1" applyProtection="1">
      <alignment horizontal="center"/>
    </xf>
    <xf numFmtId="171" fontId="42" fillId="10" borderId="76" xfId="2" applyNumberFormat="1" applyFill="1" applyBorder="1" applyAlignment="1">
      <alignment horizontal="center" vertical="center" wrapText="1"/>
    </xf>
    <xf numFmtId="0" fontId="42" fillId="10" borderId="6" xfId="2" applyNumberFormat="1" applyFill="1" applyBorder="1" applyAlignment="1">
      <alignment horizontal="center"/>
    </xf>
    <xf numFmtId="0" fontId="18" fillId="10" borderId="54" xfId="2" applyNumberFormat="1" applyFont="1" applyFill="1" applyBorder="1" applyAlignment="1">
      <alignment horizontal="center" textRotation="90" wrapText="1"/>
    </xf>
    <xf numFmtId="0" fontId="18" fillId="10" borderId="69" xfId="2" applyNumberFormat="1" applyFont="1" applyFill="1" applyBorder="1" applyAlignment="1">
      <alignment horizontal="center" textRotation="90" wrapText="1"/>
    </xf>
    <xf numFmtId="0" fontId="18" fillId="10" borderId="55" xfId="2" applyNumberFormat="1" applyFont="1" applyFill="1" applyBorder="1" applyAlignment="1">
      <alignment horizontal="center" textRotation="90" wrapText="1"/>
    </xf>
    <xf numFmtId="171" fontId="42" fillId="10" borderId="11" xfId="2" applyNumberFormat="1" applyFill="1" applyBorder="1" applyAlignment="1">
      <alignment horizontal="center"/>
    </xf>
    <xf numFmtId="0" fontId="42" fillId="10" borderId="20" xfId="2" applyNumberFormat="1" applyFill="1" applyBorder="1" applyAlignment="1">
      <alignment horizontal="center"/>
    </xf>
    <xf numFmtId="0" fontId="42" fillId="10" borderId="49" xfId="2" applyNumberFormat="1" applyFill="1" applyBorder="1" applyAlignment="1">
      <alignment horizontal="center"/>
    </xf>
    <xf numFmtId="0" fontId="42" fillId="10" borderId="15" xfId="2" applyNumberFormat="1" applyFill="1" applyBorder="1" applyAlignment="1">
      <alignment horizontal="center"/>
    </xf>
    <xf numFmtId="0" fontId="42" fillId="10" borderId="16" xfId="2" applyNumberFormat="1" applyFill="1" applyBorder="1" applyAlignment="1">
      <alignment horizontal="center"/>
    </xf>
    <xf numFmtId="171" fontId="42" fillId="10" borderId="11" xfId="2" applyNumberFormat="1" applyFill="1" applyBorder="1"/>
    <xf numFmtId="171" fontId="42" fillId="10" borderId="0" xfId="2" applyNumberFormat="1" applyFill="1" applyBorder="1"/>
    <xf numFmtId="2" fontId="10" fillId="10" borderId="56" xfId="3" applyNumberFormat="1" applyFont="1" applyFill="1" applyBorder="1" applyAlignment="1" applyProtection="1">
      <alignment horizontal="center"/>
    </xf>
    <xf numFmtId="0" fontId="42" fillId="10" borderId="0" xfId="2" applyNumberFormat="1" applyFill="1" applyBorder="1"/>
    <xf numFmtId="2" fontId="10" fillId="10" borderId="0" xfId="3" applyNumberFormat="1" applyFont="1" applyFill="1" applyBorder="1" applyAlignment="1" applyProtection="1">
      <alignment horizontal="center"/>
    </xf>
    <xf numFmtId="1" fontId="4" fillId="0" borderId="4" xfId="3" applyNumberFormat="1" applyFont="1" applyFill="1" applyBorder="1" applyProtection="1"/>
    <xf numFmtId="0" fontId="5" fillId="0" borderId="24" xfId="0" applyNumberFormat="1" applyFont="1" applyFill="1" applyBorder="1" applyAlignment="1"/>
    <xf numFmtId="2" fontId="8" fillId="0" borderId="24" xfId="0" applyNumberFormat="1" applyFont="1" applyFill="1" applyBorder="1" applyAlignment="1"/>
    <xf numFmtId="2" fontId="40" fillId="0" borderId="24" xfId="0" applyNumberFormat="1" applyFont="1" applyFill="1" applyBorder="1" applyAlignment="1"/>
    <xf numFmtId="0" fontId="20" fillId="0" borderId="0" xfId="0" applyNumberFormat="1" applyFont="1" applyFill="1" applyBorder="1" applyAlignment="1">
      <alignment horizontal="left"/>
    </xf>
    <xf numFmtId="171" fontId="10" fillId="11" borderId="45" xfId="3" applyNumberFormat="1" applyFont="1" applyFill="1" applyBorder="1" applyAlignment="1" applyProtection="1">
      <alignment horizontal="center"/>
    </xf>
    <xf numFmtId="171" fontId="10" fillId="11" borderId="0" xfId="3" applyNumberFormat="1" applyFont="1" applyFill="1" applyBorder="1" applyAlignment="1" applyProtection="1">
      <alignment horizontal="center"/>
    </xf>
    <xf numFmtId="0" fontId="0" fillId="0" borderId="0" xfId="0" applyBorder="1"/>
    <xf numFmtId="171" fontId="10" fillId="0" borderId="0" xfId="3" applyNumberFormat="1" applyFont="1" applyFill="1" applyBorder="1" applyAlignment="1" applyProtection="1">
      <alignment horizontal="center"/>
    </xf>
    <xf numFmtId="0" fontId="42" fillId="11" borderId="28" xfId="2" applyNumberFormat="1" applyFill="1" applyBorder="1"/>
    <xf numFmtId="0" fontId="42" fillId="6" borderId="45" xfId="2" applyNumberFormat="1" applyFill="1" applyBorder="1"/>
    <xf numFmtId="171" fontId="42" fillId="6" borderId="26" xfId="2" applyNumberFormat="1" applyFill="1" applyBorder="1" applyAlignment="1">
      <alignment horizontal="right"/>
    </xf>
    <xf numFmtId="0" fontId="42" fillId="6" borderId="28" xfId="2" applyNumberFormat="1" applyFill="1" applyBorder="1"/>
    <xf numFmtId="0" fontId="42" fillId="6" borderId="29" xfId="2" applyNumberFormat="1" applyFill="1" applyBorder="1"/>
    <xf numFmtId="173" fontId="42" fillId="6" borderId="0" xfId="2" applyNumberFormat="1" applyFill="1" applyBorder="1"/>
    <xf numFmtId="171" fontId="42" fillId="6" borderId="12" xfId="2" applyNumberFormat="1" applyFill="1" applyBorder="1" applyAlignment="1">
      <alignment horizontal="right"/>
    </xf>
    <xf numFmtId="171" fontId="10" fillId="6" borderId="21" xfId="3" applyNumberFormat="1" applyFont="1" applyFill="1" applyBorder="1" applyAlignment="1" applyProtection="1">
      <alignment horizontal="center"/>
    </xf>
    <xf numFmtId="171" fontId="10" fillId="6" borderId="24" xfId="3" applyNumberFormat="1" applyFont="1" applyFill="1" applyBorder="1" applyAlignment="1" applyProtection="1">
      <alignment horizontal="center"/>
    </xf>
    <xf numFmtId="171" fontId="10" fillId="6" borderId="25" xfId="3" applyNumberFormat="1" applyFont="1" applyFill="1" applyBorder="1" applyAlignment="1" applyProtection="1">
      <alignment horizontal="center"/>
    </xf>
    <xf numFmtId="171" fontId="10" fillId="6" borderId="22" xfId="3" applyNumberFormat="1" applyFont="1" applyFill="1" applyBorder="1" applyAlignment="1" applyProtection="1">
      <alignment horizontal="center"/>
    </xf>
    <xf numFmtId="171" fontId="10" fillId="6" borderId="27" xfId="3" applyNumberFormat="1" applyFont="1" applyFill="1" applyBorder="1" applyAlignment="1" applyProtection="1">
      <alignment horizontal="center"/>
    </xf>
    <xf numFmtId="0" fontId="42" fillId="6" borderId="33" xfId="2" applyNumberFormat="1" applyFill="1" applyBorder="1" applyAlignment="1">
      <alignment textRotation="90" wrapText="1"/>
    </xf>
    <xf numFmtId="0" fontId="42" fillId="6" borderId="22" xfId="2" applyNumberFormat="1" applyFill="1" applyBorder="1" applyAlignment="1">
      <alignment textRotation="90" wrapText="1"/>
    </xf>
    <xf numFmtId="0" fontId="42" fillId="12" borderId="33" xfId="2" applyNumberFormat="1" applyFill="1" applyBorder="1" applyAlignment="1">
      <alignment horizontal="center"/>
    </xf>
    <xf numFmtId="0" fontId="42" fillId="12" borderId="0" xfId="2" applyNumberFormat="1" applyFill="1" applyBorder="1" applyAlignment="1">
      <alignment horizontal="center"/>
    </xf>
    <xf numFmtId="0" fontId="42" fillId="12" borderId="22" xfId="2" applyNumberFormat="1" applyFill="1" applyBorder="1" applyAlignment="1">
      <alignment horizontal="center"/>
    </xf>
    <xf numFmtId="0" fontId="42" fillId="11" borderId="6" xfId="2" applyNumberFormat="1" applyFill="1" applyBorder="1" applyAlignment="1">
      <alignment textRotation="90" wrapText="1"/>
    </xf>
    <xf numFmtId="171" fontId="10" fillId="11" borderId="3" xfId="3" applyNumberFormat="1" applyFont="1" applyFill="1" applyBorder="1" applyAlignment="1" applyProtection="1">
      <alignment horizontal="center"/>
    </xf>
    <xf numFmtId="0" fontId="42" fillId="6" borderId="77" xfId="2" applyNumberFormat="1" applyFill="1" applyBorder="1"/>
    <xf numFmtId="0" fontId="42" fillId="6" borderId="74" xfId="2" applyNumberFormat="1" applyFill="1" applyBorder="1"/>
    <xf numFmtId="0" fontId="0" fillId="0" borderId="2" xfId="0" applyBorder="1"/>
    <xf numFmtId="171" fontId="10" fillId="0" borderId="7" xfId="3" applyNumberFormat="1" applyFont="1" applyFill="1" applyBorder="1" applyAlignment="1" applyProtection="1">
      <alignment horizontal="center"/>
    </xf>
    <xf numFmtId="0" fontId="0" fillId="0" borderId="6" xfId="0" applyBorder="1"/>
    <xf numFmtId="171" fontId="10" fillId="0" borderId="52" xfId="3" applyNumberFormat="1" applyFont="1" applyFill="1" applyBorder="1" applyAlignment="1" applyProtection="1">
      <alignment horizontal="center"/>
    </xf>
    <xf numFmtId="171" fontId="10" fillId="11" borderId="61" xfId="3" applyNumberFormat="1" applyFont="1" applyFill="1" applyBorder="1" applyAlignment="1" applyProtection="1">
      <alignment horizontal="center"/>
    </xf>
    <xf numFmtId="171" fontId="10" fillId="11" borderId="60" xfId="3" applyNumberFormat="1" applyFont="1" applyFill="1" applyBorder="1" applyAlignment="1" applyProtection="1">
      <alignment horizontal="center"/>
    </xf>
    <xf numFmtId="0" fontId="0" fillId="0" borderId="52" xfId="0" applyBorder="1"/>
    <xf numFmtId="171" fontId="10" fillId="11" borderId="57" xfId="3" applyNumberFormat="1" applyFont="1" applyFill="1" applyBorder="1" applyAlignment="1" applyProtection="1">
      <alignment horizontal="center"/>
    </xf>
    <xf numFmtId="0" fontId="0" fillId="0" borderId="3" xfId="0" applyBorder="1"/>
    <xf numFmtId="0" fontId="42" fillId="0" borderId="52" xfId="2" applyNumberFormat="1" applyFill="1" applyBorder="1"/>
    <xf numFmtId="0" fontId="42" fillId="0" borderId="1" xfId="2" applyNumberFormat="1" applyFill="1" applyBorder="1"/>
    <xf numFmtId="0" fontId="42" fillId="0" borderId="8" xfId="2" applyNumberFormat="1" applyFill="1" applyBorder="1"/>
    <xf numFmtId="0" fontId="0" fillId="0" borderId="33" xfId="0" applyBorder="1"/>
    <xf numFmtId="171" fontId="10" fillId="0" borderId="22" xfId="3" applyNumberFormat="1" applyFont="1" applyFill="1" applyBorder="1" applyAlignment="1" applyProtection="1">
      <alignment horizontal="center"/>
    </xf>
    <xf numFmtId="0" fontId="0" fillId="0" borderId="22" xfId="0" applyBorder="1"/>
    <xf numFmtId="0" fontId="42" fillId="0" borderId="33" xfId="2" applyNumberFormat="1" applyFill="1" applyBorder="1"/>
    <xf numFmtId="0" fontId="42" fillId="0" borderId="22" xfId="2" applyNumberFormat="1" applyFill="1" applyBorder="1"/>
    <xf numFmtId="171" fontId="10" fillId="0" borderId="69" xfId="3" applyNumberFormat="1" applyFont="1" applyFill="1" applyBorder="1" applyAlignment="1" applyProtection="1">
      <alignment horizontal="center"/>
    </xf>
    <xf numFmtId="0" fontId="0" fillId="0" borderId="67" xfId="0" applyBorder="1"/>
    <xf numFmtId="0" fontId="42" fillId="0" borderId="77" xfId="2" applyNumberFormat="1" applyFill="1" applyBorder="1"/>
    <xf numFmtId="0" fontId="42" fillId="0" borderId="74" xfId="2" applyNumberFormat="1" applyFill="1" applyBorder="1"/>
    <xf numFmtId="171" fontId="42" fillId="0" borderId="42" xfId="2" applyNumberFormat="1" applyFont="1" applyFill="1" applyBorder="1" applyAlignment="1">
      <alignment vertical="center"/>
    </xf>
    <xf numFmtId="0" fontId="42" fillId="0" borderId="65" xfId="2" applyNumberFormat="1" applyFill="1" applyBorder="1" applyAlignment="1">
      <alignment horizontal="center"/>
    </xf>
    <xf numFmtId="0" fontId="42" fillId="0" borderId="65" xfId="2" applyNumberFormat="1" applyFill="1" applyBorder="1"/>
    <xf numFmtId="0" fontId="42" fillId="0" borderId="44" xfId="2" applyNumberFormat="1" applyFill="1" applyBorder="1"/>
    <xf numFmtId="171" fontId="10" fillId="0" borderId="17" xfId="3" applyNumberFormat="1" applyFont="1" applyFill="1" applyBorder="1" applyAlignment="1" applyProtection="1">
      <alignment horizontal="center"/>
    </xf>
    <xf numFmtId="0" fontId="0" fillId="0" borderId="1" xfId="0" applyBorder="1"/>
    <xf numFmtId="0" fontId="0" fillId="0" borderId="17" xfId="0" applyBorder="1"/>
    <xf numFmtId="2" fontId="10" fillId="12" borderId="24" xfId="3" applyNumberFormat="1" applyFont="1" applyFill="1" applyBorder="1" applyAlignment="1" applyProtection="1">
      <alignment horizontal="center"/>
    </xf>
    <xf numFmtId="2" fontId="10" fillId="12" borderId="25" xfId="3" applyNumberFormat="1" applyFont="1" applyFill="1" applyBorder="1" applyAlignment="1" applyProtection="1">
      <alignment horizontal="center"/>
    </xf>
    <xf numFmtId="0" fontId="42" fillId="0" borderId="24" xfId="2" applyNumberFormat="1" applyFill="1" applyBorder="1"/>
    <xf numFmtId="2" fontId="10" fillId="12" borderId="54" xfId="3" applyNumberFormat="1" applyFont="1" applyFill="1" applyBorder="1" applyAlignment="1" applyProtection="1">
      <alignment horizontal="center"/>
    </xf>
    <xf numFmtId="2" fontId="10" fillId="12" borderId="56" xfId="3" applyNumberFormat="1" applyFont="1" applyFill="1" applyBorder="1" applyAlignment="1" applyProtection="1">
      <alignment horizontal="center"/>
    </xf>
    <xf numFmtId="2" fontId="10" fillId="12" borderId="55" xfId="3" applyNumberFormat="1" applyFont="1" applyFill="1" applyBorder="1" applyAlignment="1" applyProtection="1">
      <alignment horizontal="center"/>
    </xf>
    <xf numFmtId="2" fontId="10" fillId="12" borderId="60" xfId="3" applyNumberFormat="1" applyFont="1" applyFill="1" applyBorder="1" applyAlignment="1" applyProtection="1">
      <alignment horizontal="center"/>
    </xf>
    <xf numFmtId="2" fontId="10" fillId="12" borderId="59" xfId="3" applyNumberFormat="1" applyFont="1" applyFill="1" applyBorder="1" applyAlignment="1" applyProtection="1">
      <alignment horizontal="center"/>
    </xf>
    <xf numFmtId="2" fontId="10" fillId="12" borderId="57" xfId="3" applyNumberFormat="1" applyFont="1" applyFill="1" applyBorder="1" applyAlignment="1" applyProtection="1">
      <alignment horizontal="center"/>
    </xf>
    <xf numFmtId="2" fontId="10" fillId="12" borderId="58" xfId="3" applyNumberFormat="1" applyFont="1" applyFill="1" applyBorder="1" applyAlignment="1" applyProtection="1">
      <alignment horizontal="center"/>
    </xf>
    <xf numFmtId="0" fontId="42" fillId="0" borderId="60" xfId="2" applyNumberFormat="1" applyFill="1" applyBorder="1"/>
    <xf numFmtId="0" fontId="42" fillId="0" borderId="59" xfId="2" applyNumberFormat="1" applyFill="1" applyBorder="1"/>
    <xf numFmtId="0" fontId="42" fillId="0" borderId="73" xfId="2" applyNumberFormat="1" applyFill="1" applyBorder="1"/>
    <xf numFmtId="0" fontId="42" fillId="0" borderId="63" xfId="2" applyNumberFormat="1" applyFill="1" applyBorder="1"/>
    <xf numFmtId="0" fontId="42" fillId="0" borderId="64" xfId="2" applyNumberFormat="1" applyFill="1" applyBorder="1"/>
    <xf numFmtId="171" fontId="42" fillId="11" borderId="1" xfId="2" applyNumberFormat="1" applyFill="1" applyBorder="1"/>
    <xf numFmtId="0" fontId="42" fillId="0" borderId="17" xfId="2" applyNumberFormat="1" applyFill="1" applyBorder="1" applyAlignment="1">
      <alignment horizontal="center"/>
    </xf>
    <xf numFmtId="0" fontId="42" fillId="0" borderId="17" xfId="2" applyNumberFormat="1" applyFill="1" applyBorder="1"/>
    <xf numFmtId="0" fontId="42" fillId="12" borderId="18" xfId="2" applyNumberFormat="1" applyFill="1" applyBorder="1" applyAlignment="1">
      <alignment textRotation="90" wrapText="1"/>
    </xf>
    <xf numFmtId="0" fontId="42" fillId="12" borderId="13" xfId="2" applyNumberFormat="1" applyFill="1" applyBorder="1" applyAlignment="1">
      <alignment textRotation="90" wrapText="1"/>
    </xf>
    <xf numFmtId="0" fontId="42" fillId="12" borderId="51" xfId="2" applyNumberFormat="1" applyFill="1" applyBorder="1" applyAlignment="1">
      <alignment textRotation="90" wrapText="1"/>
    </xf>
    <xf numFmtId="0" fontId="42" fillId="12" borderId="20" xfId="2" applyNumberFormat="1" applyFill="1" applyBorder="1" applyAlignment="1">
      <alignment horizontal="center"/>
    </xf>
    <xf numFmtId="0" fontId="42" fillId="12" borderId="15" xfId="2" applyNumberFormat="1" applyFill="1" applyBorder="1" applyAlignment="1">
      <alignment horizontal="center"/>
    </xf>
    <xf numFmtId="0" fontId="42" fillId="12" borderId="16" xfId="2" applyNumberFormat="1" applyFill="1" applyBorder="1" applyAlignment="1">
      <alignment horizontal="center"/>
    </xf>
    <xf numFmtId="0" fontId="18" fillId="0" borderId="0" xfId="2" applyNumberFormat="1" applyFont="1" applyFill="1" applyBorder="1" applyAlignment="1">
      <alignment horizontal="center" textRotation="90" wrapText="1"/>
    </xf>
    <xf numFmtId="2" fontId="14" fillId="0" borderId="42" xfId="3" applyNumberFormat="1" applyFont="1" applyFill="1" applyBorder="1" applyAlignment="1" applyProtection="1">
      <alignment horizontal="center"/>
    </xf>
    <xf numFmtId="0" fontId="18" fillId="0" borderId="73" xfId="0" quotePrefix="1" applyNumberFormat="1" applyFont="1" applyFill="1" applyBorder="1" applyAlignment="1">
      <alignment horizontal="left"/>
    </xf>
    <xf numFmtId="2" fontId="18" fillId="0" borderId="8" xfId="0" applyNumberFormat="1" applyFont="1" applyFill="1" applyBorder="1" applyAlignment="1">
      <alignment horizontal="center"/>
    </xf>
    <xf numFmtId="2" fontId="10" fillId="8" borderId="71" xfId="0" applyNumberFormat="1" applyFont="1" applyFill="1" applyBorder="1" applyAlignment="1">
      <alignment horizontal="center"/>
    </xf>
    <xf numFmtId="0" fontId="42" fillId="11" borderId="36" xfId="2" applyNumberFormat="1" applyFill="1" applyBorder="1"/>
    <xf numFmtId="2" fontId="10" fillId="0" borderId="33" xfId="0" applyNumberFormat="1" applyFont="1" applyFill="1" applyBorder="1" applyAlignment="1">
      <alignment horizontal="center"/>
    </xf>
    <xf numFmtId="2" fontId="10" fillId="0" borderId="78" xfId="0" applyNumberFormat="1" applyFont="1" applyFill="1" applyBorder="1" applyAlignment="1">
      <alignment horizontal="center"/>
    </xf>
    <xf numFmtId="0" fontId="10" fillId="0" borderId="33" xfId="0" applyNumberFormat="1" applyFont="1" applyFill="1" applyBorder="1" applyAlignment="1">
      <alignment horizontal="center"/>
    </xf>
    <xf numFmtId="0" fontId="23" fillId="7" borderId="10" xfId="0" applyNumberFormat="1" applyFont="1" applyFill="1" applyBorder="1" applyAlignment="1">
      <alignment horizontal="center"/>
    </xf>
    <xf numFmtId="0" fontId="23" fillId="7" borderId="79" xfId="0" applyNumberFormat="1" applyFont="1" applyFill="1" applyBorder="1" applyAlignment="1">
      <alignment horizontal="center"/>
    </xf>
    <xf numFmtId="2" fontId="10" fillId="0" borderId="76" xfId="0" quotePrefix="1" applyNumberFormat="1" applyFont="1" applyFill="1" applyBorder="1" applyAlignment="1">
      <alignment horizontal="center"/>
    </xf>
    <xf numFmtId="0" fontId="10" fillId="0" borderId="76" xfId="0" applyNumberFormat="1" applyFont="1" applyFill="1" applyBorder="1" applyAlignment="1">
      <alignment horizontal="center"/>
    </xf>
    <xf numFmtId="2" fontId="18" fillId="0" borderId="79" xfId="0" applyNumberFormat="1" applyFont="1" applyFill="1" applyBorder="1" applyAlignment="1">
      <alignment horizontal="center"/>
    </xf>
    <xf numFmtId="2" fontId="24" fillId="0" borderId="80" xfId="0" applyNumberFormat="1" applyFont="1" applyFill="1" applyBorder="1" applyAlignment="1">
      <alignment horizontal="center"/>
    </xf>
    <xf numFmtId="2" fontId="18" fillId="0" borderId="11" xfId="0" applyNumberFormat="1" applyFont="1" applyFill="1" applyBorder="1" applyAlignment="1">
      <alignment horizontal="center"/>
    </xf>
    <xf numFmtId="2" fontId="10" fillId="9" borderId="66" xfId="0" applyNumberFormat="1" applyFont="1" applyFill="1" applyBorder="1" applyAlignment="1">
      <alignment horizontal="center"/>
    </xf>
    <xf numFmtId="2" fontId="10" fillId="9" borderId="71" xfId="0" applyNumberFormat="1" applyFont="1" applyFill="1" applyBorder="1" applyAlignment="1">
      <alignment horizontal="center"/>
    </xf>
    <xf numFmtId="1" fontId="0" fillId="13" borderId="22" xfId="0" applyNumberFormat="1" applyFill="1" applyBorder="1" applyAlignment="1">
      <alignment horizontal="center"/>
    </xf>
    <xf numFmtId="0" fontId="23" fillId="7" borderId="27" xfId="0" applyNumberFormat="1" applyFont="1" applyFill="1" applyBorder="1" applyAlignment="1">
      <alignment horizontal="center"/>
    </xf>
    <xf numFmtId="2" fontId="10" fillId="0" borderId="22" xfId="0" applyNumberFormat="1" applyFont="1" applyFill="1" applyBorder="1" applyAlignment="1">
      <alignment horizontal="center"/>
    </xf>
    <xf numFmtId="2" fontId="10" fillId="0" borderId="81" xfId="0" applyNumberFormat="1" applyFont="1" applyFill="1" applyBorder="1" applyAlignment="1">
      <alignment horizontal="center"/>
    </xf>
    <xf numFmtId="2" fontId="18" fillId="0" borderId="27" xfId="0" applyNumberFormat="1" applyFont="1" applyFill="1" applyBorder="1" applyAlignment="1">
      <alignment horizontal="center"/>
    </xf>
    <xf numFmtId="2" fontId="18" fillId="0" borderId="77" xfId="0" applyNumberFormat="1" applyFont="1" applyFill="1" applyBorder="1" applyAlignment="1">
      <alignment horizontal="center"/>
    </xf>
    <xf numFmtId="2" fontId="10" fillId="0" borderId="76" xfId="0" applyNumberFormat="1" applyFont="1" applyFill="1" applyBorder="1" applyAlignment="1">
      <alignment horizontal="center"/>
    </xf>
    <xf numFmtId="2" fontId="10" fillId="0" borderId="82" xfId="0" applyNumberFormat="1" applyFont="1" applyFill="1" applyBorder="1" applyAlignment="1">
      <alignment horizontal="center"/>
    </xf>
    <xf numFmtId="2" fontId="4" fillId="14" borderId="31" xfId="3" applyNumberFormat="1" applyFont="1" applyFill="1" applyBorder="1" applyProtection="1"/>
    <xf numFmtId="2" fontId="31" fillId="14" borderId="38" xfId="3" quotePrefix="1" applyNumberFormat="1" applyFont="1" applyFill="1" applyBorder="1" applyAlignment="1" applyProtection="1">
      <alignment horizontal="right"/>
    </xf>
    <xf numFmtId="2" fontId="34" fillId="14" borderId="31" xfId="0" applyNumberFormat="1" applyFont="1" applyFill="1" applyBorder="1" applyAlignment="1">
      <alignment horizontal="center"/>
    </xf>
    <xf numFmtId="2" fontId="34" fillId="14" borderId="13" xfId="0" applyNumberFormat="1" applyFont="1" applyFill="1" applyBorder="1" applyAlignment="1">
      <alignment horizontal="center"/>
    </xf>
    <xf numFmtId="2" fontId="34" fillId="14" borderId="48" xfId="0" applyNumberFormat="1" applyFont="1" applyFill="1" applyBorder="1" applyAlignment="1">
      <alignment horizontal="center"/>
    </xf>
    <xf numFmtId="2" fontId="34" fillId="14" borderId="51" xfId="0" applyNumberFormat="1" applyFont="1" applyFill="1" applyBorder="1" applyAlignment="1">
      <alignment horizontal="center"/>
    </xf>
    <xf numFmtId="2" fontId="4" fillId="14" borderId="4" xfId="3" applyNumberFormat="1" applyFont="1" applyFill="1" applyBorder="1" applyProtection="1"/>
    <xf numFmtId="2" fontId="31" fillId="14" borderId="34" xfId="3" quotePrefix="1" applyNumberFormat="1" applyFont="1" applyFill="1" applyBorder="1" applyAlignment="1" applyProtection="1">
      <alignment horizontal="right"/>
    </xf>
    <xf numFmtId="2" fontId="34" fillId="14" borderId="4" xfId="0" applyNumberFormat="1" applyFont="1" applyFill="1" applyBorder="1" applyAlignment="1">
      <alignment horizontal="center"/>
    </xf>
    <xf numFmtId="2" fontId="34" fillId="14" borderId="12" xfId="0" applyNumberFormat="1" applyFont="1" applyFill="1" applyBorder="1" applyAlignment="1">
      <alignment horizontal="center"/>
    </xf>
    <xf numFmtId="2" fontId="34" fillId="14" borderId="47" xfId="0" applyNumberFormat="1" applyFont="1" applyFill="1" applyBorder="1" applyAlignment="1">
      <alignment horizontal="center"/>
    </xf>
    <xf numFmtId="2" fontId="10" fillId="14" borderId="14" xfId="0" applyNumberFormat="1" applyFont="1" applyFill="1" applyBorder="1" applyAlignment="1">
      <alignment horizontal="center"/>
    </xf>
    <xf numFmtId="2" fontId="34" fillId="14" borderId="14" xfId="0" applyNumberFormat="1" applyFont="1" applyFill="1" applyBorder="1" applyAlignment="1">
      <alignment horizontal="center"/>
    </xf>
    <xf numFmtId="2" fontId="4" fillId="14" borderId="34" xfId="3" quotePrefix="1" applyNumberFormat="1" applyFont="1" applyFill="1" applyBorder="1" applyAlignment="1" applyProtection="1">
      <alignment horizontal="right"/>
    </xf>
    <xf numFmtId="2" fontId="10" fillId="14" borderId="4" xfId="0" applyNumberFormat="1" applyFont="1" applyFill="1" applyBorder="1" applyAlignment="1">
      <alignment horizontal="center"/>
    </xf>
    <xf numFmtId="2" fontId="10" fillId="14" borderId="12" xfId="0" applyNumberFormat="1" applyFont="1" applyFill="1" applyBorder="1" applyAlignment="1">
      <alignment horizontal="center"/>
    </xf>
    <xf numFmtId="2" fontId="10" fillId="14" borderId="47" xfId="0" applyNumberFormat="1" applyFont="1" applyFill="1" applyBorder="1" applyAlignment="1">
      <alignment horizontal="center"/>
    </xf>
    <xf numFmtId="2" fontId="31" fillId="14" borderId="36" xfId="3" quotePrefix="1" applyNumberFormat="1" applyFont="1" applyFill="1" applyBorder="1" applyAlignment="1" applyProtection="1">
      <alignment horizontal="right"/>
    </xf>
    <xf numFmtId="2" fontId="4" fillId="14" borderId="4" xfId="3" applyNumberFormat="1" applyFont="1" applyFill="1" applyBorder="1" applyAlignment="1" applyProtection="1"/>
    <xf numFmtId="164" fontId="32" fillId="15" borderId="0" xfId="3" applyNumberFormat="1" applyFont="1" applyFill="1" applyAlignment="1" applyProtection="1">
      <alignment horizontal="left"/>
      <protection locked="0"/>
    </xf>
    <xf numFmtId="164" fontId="17" fillId="15" borderId="0" xfId="3" applyNumberFormat="1" applyFont="1" applyFill="1" applyAlignment="1" applyProtection="1">
      <alignment horizontal="left"/>
      <protection locked="0"/>
    </xf>
    <xf numFmtId="1" fontId="5" fillId="0" borderId="24" xfId="0" applyNumberFormat="1" applyFont="1" applyFill="1" applyBorder="1"/>
    <xf numFmtId="166" fontId="10" fillId="13" borderId="24" xfId="3" applyNumberFormat="1" applyFont="1" applyFill="1" applyBorder="1" applyAlignment="1" applyProtection="1">
      <alignment horizontal="center"/>
    </xf>
    <xf numFmtId="2" fontId="4" fillId="0" borderId="37" xfId="3" applyNumberFormat="1" applyFont="1" applyFill="1" applyBorder="1" applyAlignment="1" applyProtection="1"/>
    <xf numFmtId="4" fontId="18" fillId="0" borderId="60" xfId="0" quotePrefix="1" applyNumberFormat="1" applyFont="1" applyFill="1" applyBorder="1" applyAlignment="1">
      <alignment horizontal="left"/>
    </xf>
    <xf numFmtId="4" fontId="24" fillId="0" borderId="59" xfId="0" applyNumberFormat="1" applyFont="1" applyFill="1" applyBorder="1" applyAlignment="1">
      <alignment horizontal="center"/>
    </xf>
    <xf numFmtId="4" fontId="24" fillId="0" borderId="6" xfId="0" applyNumberFormat="1" applyFont="1" applyFill="1" applyBorder="1" applyAlignment="1">
      <alignment horizontal="center"/>
    </xf>
    <xf numFmtId="4" fontId="24" fillId="0" borderId="24" xfId="0" applyNumberFormat="1" applyFont="1" applyFill="1" applyBorder="1" applyAlignment="1">
      <alignment horizontal="center"/>
    </xf>
    <xf numFmtId="4" fontId="24" fillId="8" borderId="24" xfId="0" applyNumberFormat="1" applyFont="1" applyFill="1" applyBorder="1" applyAlignment="1">
      <alignment horizontal="center"/>
    </xf>
    <xf numFmtId="4" fontId="24" fillId="8" borderId="59" xfId="0" applyNumberFormat="1" applyFont="1" applyFill="1" applyBorder="1" applyAlignment="1">
      <alignment horizontal="center"/>
    </xf>
    <xf numFmtId="4" fontId="24" fillId="0" borderId="0" xfId="0" applyNumberFormat="1" applyFont="1" applyFill="1" applyBorder="1" applyAlignment="1">
      <alignment horizontal="center"/>
    </xf>
    <xf numFmtId="4" fontId="24" fillId="0" borderId="52" xfId="0" applyNumberFormat="1" applyFont="1" applyFill="1" applyBorder="1" applyAlignment="1">
      <alignment horizontal="center"/>
    </xf>
    <xf numFmtId="4" fontId="24" fillId="9" borderId="25" xfId="0" applyNumberFormat="1" applyFont="1" applyFill="1" applyBorder="1" applyAlignment="1">
      <alignment horizontal="center"/>
    </xf>
    <xf numFmtId="4" fontId="24" fillId="9" borderId="58" xfId="0" applyNumberFormat="1" applyFont="1" applyFill="1" applyBorder="1" applyAlignment="1">
      <alignment horizontal="center"/>
    </xf>
    <xf numFmtId="4" fontId="0" fillId="0" borderId="0" xfId="0" applyNumberFormat="1"/>
    <xf numFmtId="4" fontId="10" fillId="0" borderId="0" xfId="0" applyNumberFormat="1" applyFont="1" applyFill="1"/>
    <xf numFmtId="0" fontId="23" fillId="7" borderId="79" xfId="0" quotePrefix="1" applyNumberFormat="1" applyFont="1" applyFill="1" applyBorder="1" applyAlignment="1">
      <alignment horizontal="center"/>
    </xf>
    <xf numFmtId="4" fontId="24" fillId="0" borderId="76" xfId="0" applyNumberFormat="1" applyFont="1" applyFill="1" applyBorder="1" applyAlignment="1">
      <alignment horizontal="center"/>
    </xf>
    <xf numFmtId="2" fontId="5" fillId="0" borderId="24" xfId="0" applyNumberFormat="1" applyFont="1" applyFill="1" applyBorder="1"/>
    <xf numFmtId="2" fontId="12" fillId="0" borderId="0" xfId="0" applyNumberFormat="1" applyFont="1" applyFill="1" applyBorder="1" applyAlignment="1"/>
    <xf numFmtId="0" fontId="12" fillId="0" borderId="24" xfId="0" applyFont="1" applyFill="1" applyBorder="1"/>
    <xf numFmtId="0" fontId="5" fillId="0" borderId="0" xfId="0" applyFont="1" applyFill="1" applyBorder="1"/>
    <xf numFmtId="166" fontId="5" fillId="0" borderId="24" xfId="0" applyNumberFormat="1" applyFont="1" applyFill="1" applyBorder="1" applyAlignment="1"/>
    <xf numFmtId="2" fontId="5" fillId="0" borderId="0" xfId="0" applyNumberFormat="1" applyFont="1" applyFill="1" applyBorder="1" applyAlignment="1"/>
    <xf numFmtId="0" fontId="6" fillId="0" borderId="25" xfId="0" applyFont="1" applyFill="1" applyBorder="1" applyAlignment="1" applyProtection="1">
      <alignment horizontal="right" wrapText="1"/>
      <protection locked="0"/>
    </xf>
    <xf numFmtId="0" fontId="5" fillId="0" borderId="2" xfId="0" applyFont="1" applyFill="1" applyBorder="1" applyAlignment="1">
      <alignment horizontal="center"/>
    </xf>
    <xf numFmtId="0" fontId="5" fillId="0" borderId="17" xfId="0" applyFont="1" applyFill="1" applyBorder="1" applyAlignment="1"/>
    <xf numFmtId="0" fontId="5" fillId="0" borderId="0" xfId="0" applyFont="1" applyFill="1" applyBorder="1" applyAlignment="1"/>
    <xf numFmtId="0" fontId="5" fillId="0" borderId="6" xfId="0" applyFont="1" applyFill="1" applyBorder="1" applyAlignment="1"/>
    <xf numFmtId="0" fontId="5" fillId="0" borderId="0" xfId="0" applyFont="1" applyFill="1" applyAlignment="1"/>
    <xf numFmtId="0" fontId="5" fillId="0" borderId="0" xfId="0" applyFont="1" applyFill="1" applyAlignment="1">
      <alignment horizontal="center"/>
    </xf>
    <xf numFmtId="0" fontId="5" fillId="0" borderId="29" xfId="0" applyFont="1" applyFill="1" applyBorder="1"/>
    <xf numFmtId="0" fontId="5" fillId="0" borderId="57" xfId="0" applyFont="1" applyFill="1" applyBorder="1" applyAlignment="1">
      <alignment horizontal="right"/>
    </xf>
    <xf numFmtId="2" fontId="5" fillId="0" borderId="25" xfId="0" applyNumberFormat="1" applyFont="1" applyFill="1" applyBorder="1" applyAlignment="1">
      <alignment horizontal="right"/>
    </xf>
    <xf numFmtId="2" fontId="8" fillId="0" borderId="25" xfId="0" applyNumberFormat="1" applyFont="1" applyFill="1" applyBorder="1" applyAlignment="1">
      <alignment horizontal="right"/>
    </xf>
    <xf numFmtId="2" fontId="12" fillId="0" borderId="25" xfId="0" applyNumberFormat="1" applyFont="1" applyFill="1" applyBorder="1" applyAlignment="1">
      <alignment horizontal="right"/>
    </xf>
    <xf numFmtId="0" fontId="12" fillId="0" borderId="29" xfId="0" applyFont="1" applyFill="1" applyBorder="1"/>
    <xf numFmtId="0" fontId="12" fillId="0" borderId="0" xfId="0" applyFont="1" applyFill="1" applyAlignment="1">
      <alignment wrapText="1"/>
    </xf>
    <xf numFmtId="0" fontId="12" fillId="0" borderId="11" xfId="0" applyFont="1" applyFill="1" applyBorder="1" applyAlignment="1">
      <alignment horizontal="center" wrapText="1"/>
    </xf>
    <xf numFmtId="0" fontId="5" fillId="0" borderId="0" xfId="0" applyFont="1" applyFill="1" applyAlignment="1">
      <alignment wrapText="1"/>
    </xf>
    <xf numFmtId="0" fontId="5" fillId="0" borderId="24" xfId="0" applyFont="1" applyFill="1" applyBorder="1" applyAlignment="1">
      <alignment wrapText="1"/>
    </xf>
    <xf numFmtId="0" fontId="7" fillId="0" borderId="24" xfId="0" applyFont="1" applyFill="1" applyBorder="1" applyAlignment="1" applyProtection="1">
      <alignment horizontal="center" wrapText="1"/>
      <protection locked="0"/>
    </xf>
    <xf numFmtId="0" fontId="7" fillId="0" borderId="0" xfId="0" applyFont="1" applyFill="1" applyAlignment="1">
      <alignment wrapText="1"/>
    </xf>
    <xf numFmtId="0" fontId="9" fillId="0" borderId="25" xfId="0" applyFont="1" applyFill="1" applyBorder="1" applyAlignment="1" applyProtection="1">
      <alignment wrapText="1"/>
      <protection locked="0"/>
    </xf>
    <xf numFmtId="0" fontId="9" fillId="0" borderId="63" xfId="0" applyFont="1" applyFill="1" applyBorder="1" applyAlignment="1" applyProtection="1">
      <alignment wrapText="1"/>
      <protection locked="0"/>
    </xf>
    <xf numFmtId="0" fontId="12" fillId="0" borderId="24" xfId="0" applyFont="1" applyFill="1" applyBorder="1" applyAlignment="1">
      <alignment wrapText="1"/>
    </xf>
    <xf numFmtId="0" fontId="12" fillId="0" borderId="24" xfId="0" applyFont="1" applyFill="1" applyBorder="1" applyAlignment="1" applyProtection="1">
      <alignment horizontal="center" wrapText="1"/>
      <protection locked="0"/>
    </xf>
    <xf numFmtId="0" fontId="5" fillId="0" borderId="24" xfId="0" applyFont="1" applyFill="1" applyBorder="1" applyAlignment="1" applyProtection="1">
      <alignment horizontal="center" wrapText="1"/>
    </xf>
    <xf numFmtId="0" fontId="7" fillId="0" borderId="24" xfId="0" applyFont="1" applyFill="1" applyBorder="1" applyAlignment="1" applyProtection="1">
      <alignment horizontal="center" wrapText="1"/>
    </xf>
    <xf numFmtId="0" fontId="7" fillId="0" borderId="0" xfId="0" applyFont="1" applyFill="1" applyBorder="1" applyAlignment="1" applyProtection="1">
      <alignment horizontal="center" wrapText="1"/>
    </xf>
    <xf numFmtId="0" fontId="7" fillId="0" borderId="0" xfId="0" applyFont="1" applyFill="1" applyBorder="1" applyAlignment="1">
      <alignment wrapText="1"/>
    </xf>
    <xf numFmtId="1" fontId="5" fillId="0" borderId="0" xfId="0" applyNumberFormat="1" applyFont="1" applyFill="1" applyAlignment="1">
      <alignment horizontal="center"/>
    </xf>
    <xf numFmtId="2" fontId="5" fillId="0" borderId="0" xfId="0" applyNumberFormat="1" applyFont="1" applyFill="1" applyAlignment="1">
      <alignment horizontal="center"/>
    </xf>
    <xf numFmtId="0" fontId="5" fillId="0" borderId="0" xfId="0" applyFont="1" applyFill="1" applyAlignment="1">
      <alignment horizontal="left"/>
    </xf>
    <xf numFmtId="0" fontId="5" fillId="0" borderId="21" xfId="0" applyFont="1" applyFill="1" applyBorder="1" applyAlignment="1">
      <alignment horizontal="center"/>
    </xf>
    <xf numFmtId="1" fontId="5" fillId="0" borderId="21" xfId="0" applyNumberFormat="1" applyFont="1" applyFill="1" applyBorder="1" applyAlignment="1">
      <alignment horizontal="center"/>
    </xf>
    <xf numFmtId="0" fontId="5" fillId="0" borderId="24" xfId="0" applyFont="1" applyFill="1" applyBorder="1" applyAlignment="1">
      <alignment horizontal="center"/>
    </xf>
    <xf numFmtId="1" fontId="5" fillId="0" borderId="24" xfId="0" applyNumberFormat="1" applyFont="1" applyFill="1" applyBorder="1" applyAlignment="1">
      <alignment horizontal="center"/>
    </xf>
    <xf numFmtId="0" fontId="5" fillId="0" borderId="0" xfId="0" applyFont="1" applyFill="1" applyAlignment="1">
      <alignment horizontal="center" wrapText="1"/>
    </xf>
    <xf numFmtId="0" fontId="5" fillId="0" borderId="25" xfId="0" applyFont="1" applyFill="1" applyBorder="1" applyAlignment="1">
      <alignment horizontal="center"/>
    </xf>
    <xf numFmtId="1" fontId="5" fillId="0" borderId="25" xfId="0" applyNumberFormat="1" applyFont="1" applyFill="1" applyBorder="1" applyAlignment="1">
      <alignment horizontal="center" wrapText="1"/>
    </xf>
    <xf numFmtId="0" fontId="5" fillId="0" borderId="25" xfId="0" applyNumberFormat="1" applyFont="1" applyFill="1" applyBorder="1" applyAlignment="1">
      <alignment horizontal="center" wrapText="1"/>
    </xf>
    <xf numFmtId="0" fontId="12" fillId="0" borderId="0" xfId="0" applyFont="1" applyFill="1" applyBorder="1" applyAlignment="1">
      <alignment horizontal="center"/>
    </xf>
    <xf numFmtId="14" fontId="27" fillId="0" borderId="25" xfId="0" applyNumberFormat="1" applyFont="1" applyFill="1" applyBorder="1" applyAlignment="1">
      <alignment horizontal="center"/>
    </xf>
    <xf numFmtId="165" fontId="5" fillId="0" borderId="12" xfId="0" applyNumberFormat="1" applyFont="1" applyFill="1" applyBorder="1" applyAlignment="1">
      <alignment horizontal="center"/>
    </xf>
    <xf numFmtId="0" fontId="12" fillId="0" borderId="0" xfId="0" applyFont="1" applyFill="1" applyAlignment="1">
      <alignment horizontal="center"/>
    </xf>
    <xf numFmtId="2" fontId="5" fillId="0" borderId="0" xfId="0" quotePrefix="1" applyNumberFormat="1" applyFont="1" applyFill="1" applyAlignment="1">
      <alignment horizontal="center"/>
    </xf>
    <xf numFmtId="2" fontId="12" fillId="0" borderId="0" xfId="0" applyNumberFormat="1" applyFont="1" applyFill="1" applyAlignment="1">
      <alignment horizontal="center"/>
    </xf>
    <xf numFmtId="2" fontId="5" fillId="0" borderId="0" xfId="0" applyNumberFormat="1" applyFont="1" applyFill="1" applyBorder="1" applyAlignment="1">
      <alignment horizontal="center"/>
    </xf>
    <xf numFmtId="173" fontId="5" fillId="0" borderId="0" xfId="0" applyNumberFormat="1" applyFont="1" applyFill="1" applyAlignment="1">
      <alignment horizontal="center"/>
    </xf>
    <xf numFmtId="2" fontId="5" fillId="0" borderId="45" xfId="0" applyNumberFormat="1" applyFont="1" applyFill="1" applyBorder="1" applyAlignment="1">
      <alignment horizontal="center"/>
    </xf>
    <xf numFmtId="2" fontId="5" fillId="0" borderId="5" xfId="0" applyNumberFormat="1" applyFont="1" applyFill="1" applyBorder="1" applyAlignment="1">
      <alignment horizontal="center"/>
    </xf>
    <xf numFmtId="2" fontId="5" fillId="0" borderId="5" xfId="0" applyNumberFormat="1" applyFont="1" applyFill="1" applyBorder="1" applyAlignment="1">
      <alignment horizontal="right"/>
    </xf>
    <xf numFmtId="2" fontId="5" fillId="0" borderId="26" xfId="0" applyNumberFormat="1" applyFont="1" applyFill="1" applyBorder="1" applyAlignment="1">
      <alignment horizontal="center"/>
    </xf>
    <xf numFmtId="165" fontId="12" fillId="0" borderId="12" xfId="0" applyNumberFormat="1" applyFont="1" applyFill="1" applyBorder="1" applyAlignment="1">
      <alignment horizontal="center"/>
    </xf>
    <xf numFmtId="2" fontId="12" fillId="0" borderId="0" xfId="0" quotePrefix="1" applyNumberFormat="1" applyFont="1" applyFill="1" applyAlignment="1">
      <alignment horizontal="center"/>
    </xf>
    <xf numFmtId="2" fontId="12" fillId="0" borderId="0" xfId="0" applyNumberFormat="1" applyFont="1" applyFill="1" applyBorder="1" applyAlignment="1">
      <alignment horizontal="center"/>
    </xf>
    <xf numFmtId="2" fontId="12" fillId="0" borderId="33" xfId="0" applyNumberFormat="1" applyFont="1" applyFill="1" applyBorder="1" applyAlignment="1">
      <alignment horizontal="center"/>
    </xf>
    <xf numFmtId="2" fontId="12" fillId="0" borderId="0" xfId="0" applyNumberFormat="1" applyFont="1" applyFill="1" applyBorder="1" applyAlignment="1">
      <alignment horizontal="right"/>
    </xf>
    <xf numFmtId="2" fontId="12" fillId="0" borderId="22" xfId="0" applyNumberFormat="1" applyFont="1" applyFill="1" applyBorder="1" applyAlignment="1">
      <alignment horizontal="center"/>
    </xf>
    <xf numFmtId="173" fontId="12" fillId="0" borderId="0" xfId="0" applyNumberFormat="1" applyFont="1" applyFill="1" applyAlignment="1">
      <alignment horizontal="center"/>
    </xf>
    <xf numFmtId="0" fontId="0" fillId="0" borderId="0" xfId="0" applyFill="1"/>
    <xf numFmtId="2" fontId="5" fillId="0" borderId="28" xfId="0" applyNumberFormat="1" applyFont="1" applyFill="1" applyBorder="1" applyAlignment="1">
      <alignment horizontal="center"/>
    </xf>
    <xf numFmtId="2" fontId="5" fillId="0" borderId="29" xfId="0" applyNumberFormat="1" applyFont="1" applyFill="1" applyBorder="1" applyAlignment="1">
      <alignment horizontal="center"/>
    </xf>
    <xf numFmtId="2" fontId="5" fillId="0" borderId="29" xfId="0" applyNumberFormat="1" applyFont="1" applyFill="1" applyBorder="1" applyAlignment="1">
      <alignment horizontal="right"/>
    </xf>
    <xf numFmtId="2" fontId="5" fillId="0" borderId="27" xfId="0" applyNumberFormat="1" applyFont="1" applyFill="1" applyBorder="1" applyAlignment="1">
      <alignment horizontal="center"/>
    </xf>
    <xf numFmtId="1" fontId="12" fillId="0" borderId="0" xfId="0" applyNumberFormat="1" applyFont="1" applyFill="1" applyAlignment="1">
      <alignment horizontal="center"/>
    </xf>
    <xf numFmtId="2" fontId="5" fillId="0" borderId="0" xfId="0" applyNumberFormat="1" applyFont="1" applyBorder="1" applyAlignment="1"/>
    <xf numFmtId="0" fontId="5" fillId="16" borderId="24" xfId="0" applyFont="1" applyFill="1" applyBorder="1" applyAlignment="1" applyProtection="1">
      <alignment horizontal="center" wrapText="1"/>
      <protection locked="0"/>
    </xf>
    <xf numFmtId="2" fontId="5" fillId="16" borderId="24" xfId="0" applyNumberFormat="1" applyFont="1" applyFill="1" applyBorder="1" applyAlignment="1"/>
    <xf numFmtId="0" fontId="45" fillId="17" borderId="0" xfId="2" applyNumberFormat="1" applyFont="1" applyFill="1" applyBorder="1" applyAlignment="1">
      <alignment horizontal="center"/>
    </xf>
    <xf numFmtId="0" fontId="46" fillId="17" borderId="0" xfId="2" applyNumberFormat="1" applyFont="1" applyFill="1" applyBorder="1" applyAlignment="1">
      <alignment horizontal="center" textRotation="90" wrapText="1"/>
    </xf>
    <xf numFmtId="2" fontId="45" fillId="17" borderId="0" xfId="3" applyNumberFormat="1" applyFont="1" applyFill="1" applyBorder="1" applyAlignment="1" applyProtection="1">
      <alignment horizontal="center"/>
    </xf>
    <xf numFmtId="0" fontId="45" fillId="17" borderId="0" xfId="2" applyNumberFormat="1" applyFont="1" applyFill="1" applyBorder="1"/>
    <xf numFmtId="2" fontId="45" fillId="17" borderId="0" xfId="3" applyNumberFormat="1" applyFont="1" applyFill="1" applyBorder="1" applyAlignment="1" applyProtection="1">
      <alignment horizontal="right"/>
    </xf>
    <xf numFmtId="0" fontId="45" fillId="17" borderId="0" xfId="2" applyNumberFormat="1" applyFont="1" applyFill="1" applyBorder="1" applyAlignment="1">
      <alignment horizontal="right"/>
    </xf>
    <xf numFmtId="166" fontId="45" fillId="17" borderId="0" xfId="2" applyNumberFormat="1" applyFont="1" applyFill="1" applyBorder="1" applyAlignment="1">
      <alignment horizontal="right"/>
    </xf>
    <xf numFmtId="0" fontId="42" fillId="18" borderId="15" xfId="2" applyNumberFormat="1" applyFill="1" applyBorder="1" applyAlignment="1">
      <alignment horizontal="center"/>
    </xf>
    <xf numFmtId="0" fontId="18" fillId="18" borderId="56" xfId="2" applyNumberFormat="1" applyFont="1" applyFill="1" applyBorder="1" applyAlignment="1">
      <alignment horizontal="center" textRotation="90" wrapText="1"/>
    </xf>
    <xf numFmtId="166" fontId="10" fillId="18" borderId="24" xfId="3" applyNumberFormat="1" applyFont="1" applyFill="1" applyBorder="1" applyAlignment="1" applyProtection="1">
      <alignment horizontal="center"/>
    </xf>
    <xf numFmtId="0" fontId="42" fillId="18" borderId="0" xfId="2" applyNumberFormat="1" applyFill="1" applyBorder="1"/>
    <xf numFmtId="0" fontId="42" fillId="17" borderId="15" xfId="2" applyNumberFormat="1" applyFill="1" applyBorder="1" applyAlignment="1">
      <alignment horizontal="center"/>
    </xf>
    <xf numFmtId="0" fontId="18" fillId="17" borderId="56" xfId="2" applyNumberFormat="1" applyFont="1" applyFill="1" applyBorder="1" applyAlignment="1">
      <alignment horizontal="center" textRotation="90" wrapText="1"/>
    </xf>
    <xf numFmtId="166" fontId="10" fillId="17" borderId="24" xfId="3" applyNumberFormat="1" applyFont="1" applyFill="1" applyBorder="1" applyAlignment="1" applyProtection="1">
      <alignment horizontal="center"/>
    </xf>
    <xf numFmtId="0" fontId="42" fillId="17" borderId="0" xfId="2" applyNumberFormat="1" applyFill="1" applyBorder="1"/>
    <xf numFmtId="0" fontId="0" fillId="0" borderId="29" xfId="0" applyBorder="1"/>
    <xf numFmtId="0" fontId="10" fillId="0" borderId="29" xfId="0" applyNumberFormat="1" applyFont="1" applyFill="1" applyBorder="1"/>
    <xf numFmtId="0" fontId="23" fillId="7" borderId="29" xfId="0" applyNumberFormat="1" applyFont="1" applyFill="1" applyBorder="1" applyAlignment="1">
      <alignment horizontal="center"/>
    </xf>
    <xf numFmtId="0" fontId="5" fillId="16" borderId="0" xfId="0" applyFont="1" applyFill="1" applyAlignment="1">
      <alignment horizontal="right"/>
    </xf>
    <xf numFmtId="2" fontId="12" fillId="16" borderId="12" xfId="0" applyNumberFormat="1" applyFont="1" applyFill="1" applyBorder="1" applyAlignment="1"/>
    <xf numFmtId="2" fontId="12" fillId="16" borderId="24" xfId="0" applyNumberFormat="1" applyFont="1" applyFill="1" applyBorder="1" applyAlignment="1"/>
    <xf numFmtId="2" fontId="5" fillId="19" borderId="24" xfId="0" applyNumberFormat="1" applyFont="1" applyFill="1" applyBorder="1" applyAlignment="1"/>
    <xf numFmtId="0" fontId="5" fillId="17" borderId="24" xfId="0" applyFont="1" applyFill="1" applyBorder="1"/>
    <xf numFmtId="2" fontId="5" fillId="0" borderId="0" xfId="0" applyNumberFormat="1" applyFont="1" applyFill="1" applyBorder="1"/>
    <xf numFmtId="2" fontId="8" fillId="20" borderId="24" xfId="0" applyNumberFormat="1" applyFont="1" applyFill="1" applyBorder="1" applyAlignment="1"/>
    <xf numFmtId="0" fontId="1" fillId="0" borderId="0" xfId="0" applyFont="1" applyFill="1"/>
    <xf numFmtId="165" fontId="1" fillId="0" borderId="24" xfId="0" applyNumberFormat="1" applyFont="1" applyBorder="1" applyAlignment="1"/>
    <xf numFmtId="0" fontId="1" fillId="0" borderId="24" xfId="0" applyNumberFormat="1" applyFont="1" applyFill="1" applyBorder="1" applyAlignment="1"/>
    <xf numFmtId="2" fontId="1" fillId="0" borderId="24" xfId="0" applyNumberFormat="1" applyFont="1" applyFill="1" applyBorder="1" applyAlignment="1"/>
    <xf numFmtId="0" fontId="1" fillId="0" borderId="24" xfId="0" applyFont="1" applyFill="1" applyBorder="1"/>
    <xf numFmtId="2" fontId="1" fillId="0" borderId="0" xfId="0" applyNumberFormat="1" applyFont="1" applyFill="1" applyBorder="1" applyAlignment="1"/>
    <xf numFmtId="2" fontId="1" fillId="16" borderId="24" xfId="0" applyNumberFormat="1" applyFont="1" applyFill="1" applyBorder="1" applyAlignment="1"/>
    <xf numFmtId="2" fontId="1" fillId="0" borderId="24" xfId="0" applyNumberFormat="1" applyFont="1" applyFill="1" applyBorder="1" applyAlignment="1">
      <alignment horizontal="right"/>
    </xf>
    <xf numFmtId="0" fontId="1" fillId="0" borderId="24" xfId="0" applyFont="1" applyBorder="1"/>
    <xf numFmtId="0" fontId="1" fillId="0" borderId="0" xfId="0" applyFont="1" applyFill="1" applyBorder="1"/>
    <xf numFmtId="0" fontId="1" fillId="0" borderId="0" xfId="0" applyFont="1" applyBorder="1"/>
    <xf numFmtId="2" fontId="47" fillId="0" borderId="24" xfId="0" applyNumberFormat="1" applyFont="1" applyFill="1" applyBorder="1" applyAlignment="1">
      <alignment horizontal="right"/>
    </xf>
    <xf numFmtId="0" fontId="1" fillId="0" borderId="24" xfId="0" applyFont="1" applyFill="1" applyBorder="1" applyAlignment="1" applyProtection="1">
      <alignment horizontal="center" wrapText="1"/>
      <protection locked="0"/>
    </xf>
    <xf numFmtId="0" fontId="1" fillId="0" borderId="0" xfId="0" applyFont="1" applyFill="1" applyBorder="1" applyAlignment="1">
      <alignment horizontal="center"/>
    </xf>
    <xf numFmtId="2" fontId="10" fillId="0" borderId="16" xfId="0" applyNumberFormat="1" applyFont="1" applyFill="1" applyBorder="1" applyAlignment="1">
      <alignment horizontal="center"/>
    </xf>
    <xf numFmtId="2" fontId="10" fillId="0" borderId="31" xfId="0" applyNumberFormat="1" applyFont="1" applyFill="1" applyBorder="1" applyAlignment="1">
      <alignment horizontal="center"/>
    </xf>
    <xf numFmtId="2" fontId="10" fillId="0" borderId="13" xfId="0" applyNumberFormat="1" applyFont="1" applyFill="1" applyBorder="1" applyAlignment="1">
      <alignment horizontal="center"/>
    </xf>
    <xf numFmtId="2" fontId="10" fillId="0" borderId="48" xfId="0" applyNumberFormat="1" applyFont="1" applyFill="1" applyBorder="1" applyAlignment="1">
      <alignment horizontal="center"/>
    </xf>
    <xf numFmtId="2" fontId="10" fillId="0" borderId="51" xfId="0" applyNumberFormat="1" applyFont="1" applyFill="1" applyBorder="1" applyAlignment="1">
      <alignment horizontal="center"/>
    </xf>
    <xf numFmtId="2" fontId="10" fillId="0" borderId="19" xfId="0" applyNumberFormat="1" applyFont="1" applyFill="1" applyBorder="1" applyAlignment="1">
      <alignment horizontal="center"/>
    </xf>
    <xf numFmtId="2" fontId="10" fillId="0" borderId="32" xfId="0" applyNumberFormat="1" applyFont="1" applyFill="1" applyBorder="1" applyAlignment="1">
      <alignment horizontal="center"/>
    </xf>
    <xf numFmtId="2" fontId="10" fillId="0" borderId="15" xfId="0" applyNumberFormat="1" applyFont="1" applyFill="1" applyBorder="1" applyAlignment="1">
      <alignment horizontal="center"/>
    </xf>
    <xf numFmtId="2" fontId="10" fillId="0" borderId="49" xfId="0" applyNumberFormat="1" applyFont="1" applyFill="1" applyBorder="1" applyAlignment="1">
      <alignment horizontal="center"/>
    </xf>
    <xf numFmtId="2" fontId="5" fillId="21" borderId="24" xfId="0" applyNumberFormat="1" applyFont="1" applyFill="1" applyBorder="1" applyAlignment="1"/>
    <xf numFmtId="0" fontId="5" fillId="17" borderId="0" xfId="0" applyFont="1" applyFill="1"/>
    <xf numFmtId="0" fontId="12" fillId="17" borderId="0" xfId="0" applyFont="1" applyFill="1" applyBorder="1"/>
    <xf numFmtId="2" fontId="27" fillId="17" borderId="24" xfId="0" applyNumberFormat="1" applyFont="1" applyFill="1" applyBorder="1" applyAlignment="1"/>
    <xf numFmtId="2" fontId="5" fillId="17" borderId="24" xfId="0" applyNumberFormat="1" applyFont="1" applyFill="1" applyBorder="1" applyAlignment="1"/>
    <xf numFmtId="2" fontId="12" fillId="17" borderId="24" xfId="0" applyNumberFormat="1" applyFont="1" applyFill="1" applyBorder="1" applyAlignment="1"/>
    <xf numFmtId="2" fontId="40" fillId="17" borderId="24" xfId="0" applyNumberFormat="1" applyFont="1" applyFill="1" applyBorder="1" applyAlignment="1"/>
    <xf numFmtId="0" fontId="1" fillId="0" borderId="0" xfId="0" applyFont="1" applyAlignment="1">
      <alignment horizontal="center"/>
    </xf>
    <xf numFmtId="0" fontId="1" fillId="10" borderId="21" xfId="0" applyFont="1" applyFill="1" applyBorder="1" applyAlignment="1">
      <alignment horizontal="center"/>
    </xf>
    <xf numFmtId="0" fontId="1" fillId="10" borderId="24" xfId="0" applyFont="1" applyFill="1" applyBorder="1" applyAlignment="1">
      <alignment horizontal="center"/>
    </xf>
    <xf numFmtId="0" fontId="1" fillId="10" borderId="25" xfId="0" applyNumberFormat="1" applyFont="1" applyFill="1" applyBorder="1" applyAlignment="1">
      <alignment horizontal="center" textRotation="90" wrapText="1"/>
    </xf>
    <xf numFmtId="2" fontId="1" fillId="0" borderId="0" xfId="0" applyNumberFormat="1" applyFont="1" applyAlignment="1">
      <alignment horizontal="center"/>
    </xf>
    <xf numFmtId="2" fontId="1" fillId="0" borderId="22" xfId="3" applyNumberFormat="1" applyFont="1" applyFill="1" applyBorder="1" applyAlignment="1" applyProtection="1">
      <alignment horizontal="center"/>
    </xf>
    <xf numFmtId="2" fontId="1" fillId="0" borderId="0" xfId="3" applyNumberFormat="1" applyFont="1" applyFill="1" applyBorder="1" applyAlignment="1" applyProtection="1">
      <alignment horizontal="center"/>
    </xf>
    <xf numFmtId="166" fontId="10" fillId="8" borderId="24" xfId="3" applyNumberFormat="1" applyFont="1" applyFill="1" applyBorder="1" applyAlignment="1" applyProtection="1">
      <alignment horizontal="center"/>
    </xf>
    <xf numFmtId="166" fontId="10" fillId="0" borderId="24" xfId="3" applyNumberFormat="1" applyFont="1" applyFill="1" applyBorder="1" applyAlignment="1" applyProtection="1">
      <alignment horizontal="center"/>
    </xf>
    <xf numFmtId="166" fontId="10" fillId="19" borderId="24" xfId="3" applyNumberFormat="1" applyFont="1" applyFill="1" applyBorder="1" applyAlignment="1" applyProtection="1">
      <alignment horizontal="center"/>
    </xf>
    <xf numFmtId="2" fontId="5" fillId="19" borderId="0" xfId="0" applyNumberFormat="1" applyFont="1" applyFill="1" applyAlignment="1">
      <alignment horizontal="center"/>
    </xf>
    <xf numFmtId="2" fontId="7" fillId="0" borderId="0" xfId="0" applyNumberFormat="1" applyFont="1"/>
    <xf numFmtId="2" fontId="8" fillId="19" borderId="24" xfId="0" applyNumberFormat="1" applyFont="1" applyFill="1" applyBorder="1" applyAlignment="1"/>
    <xf numFmtId="166" fontId="10" fillId="10" borderId="0" xfId="3" applyNumberFormat="1" applyFont="1" applyFill="1" applyBorder="1" applyAlignment="1" applyProtection="1">
      <alignment horizontal="center"/>
    </xf>
    <xf numFmtId="1" fontId="10" fillId="10" borderId="0" xfId="3" applyNumberFormat="1" applyFont="1" applyFill="1" applyBorder="1" applyAlignment="1" applyProtection="1">
      <alignment horizontal="center"/>
    </xf>
    <xf numFmtId="166" fontId="10" fillId="18" borderId="0" xfId="3" applyNumberFormat="1" applyFont="1" applyFill="1" applyBorder="1" applyAlignment="1" applyProtection="1">
      <alignment horizontal="center"/>
    </xf>
    <xf numFmtId="166" fontId="10" fillId="17" borderId="0" xfId="3" applyNumberFormat="1" applyFont="1" applyFill="1" applyBorder="1" applyAlignment="1" applyProtection="1">
      <alignment horizontal="center"/>
    </xf>
    <xf numFmtId="171" fontId="42" fillId="22" borderId="12" xfId="2" applyNumberFormat="1" applyFill="1" applyBorder="1" applyAlignment="1">
      <alignment horizontal="right"/>
    </xf>
    <xf numFmtId="171" fontId="42" fillId="23" borderId="12" xfId="2" applyNumberFormat="1" applyFill="1" applyBorder="1" applyAlignment="1">
      <alignment horizontal="right"/>
    </xf>
    <xf numFmtId="0" fontId="42" fillId="23" borderId="46" xfId="2" applyNumberFormat="1" applyFill="1" applyBorder="1"/>
    <xf numFmtId="0" fontId="42" fillId="23" borderId="36" xfId="2" applyNumberFormat="1" applyFill="1" applyBorder="1"/>
    <xf numFmtId="171" fontId="42" fillId="23" borderId="47" xfId="2" applyNumberFormat="1" applyFill="1" applyBorder="1" applyAlignment="1">
      <alignment horizontal="right"/>
    </xf>
    <xf numFmtId="171" fontId="10" fillId="23" borderId="26" xfId="3" applyNumberFormat="1" applyFont="1" applyFill="1" applyBorder="1" applyAlignment="1" applyProtection="1">
      <alignment horizontal="center"/>
    </xf>
    <xf numFmtId="171" fontId="10" fillId="23" borderId="22" xfId="3" applyNumberFormat="1" applyFont="1" applyFill="1" applyBorder="1" applyAlignment="1" applyProtection="1">
      <alignment horizontal="center"/>
    </xf>
    <xf numFmtId="171" fontId="10" fillId="23" borderId="27" xfId="3" applyNumberFormat="1" applyFont="1" applyFill="1" applyBorder="1" applyAlignment="1" applyProtection="1">
      <alignment horizontal="center"/>
    </xf>
    <xf numFmtId="171" fontId="10" fillId="23" borderId="21" xfId="3" applyNumberFormat="1" applyFont="1" applyFill="1" applyBorder="1" applyAlignment="1" applyProtection="1">
      <alignment horizontal="center"/>
    </xf>
    <xf numFmtId="171" fontId="10" fillId="23" borderId="24" xfId="3" applyNumberFormat="1" applyFont="1" applyFill="1" applyBorder="1" applyAlignment="1" applyProtection="1">
      <alignment horizontal="center"/>
    </xf>
    <xf numFmtId="0" fontId="42" fillId="23" borderId="0" xfId="2" applyNumberFormat="1" applyFill="1" applyBorder="1" applyAlignment="1">
      <alignment textRotation="90" wrapText="1"/>
    </xf>
    <xf numFmtId="0" fontId="42" fillId="23" borderId="22" xfId="2" applyNumberFormat="1" applyFill="1" applyBorder="1" applyAlignment="1">
      <alignment textRotation="90" wrapText="1"/>
    </xf>
    <xf numFmtId="0" fontId="42" fillId="23" borderId="1" xfId="2" applyNumberFormat="1" applyFill="1" applyBorder="1"/>
    <xf numFmtId="0" fontId="42" fillId="23" borderId="77" xfId="2" applyNumberFormat="1" applyFill="1" applyBorder="1"/>
    <xf numFmtId="0" fontId="42" fillId="22" borderId="33" xfId="2" applyNumberFormat="1" applyFill="1" applyBorder="1" applyAlignment="1">
      <alignment textRotation="90" wrapText="1"/>
    </xf>
    <xf numFmtId="0" fontId="42" fillId="22" borderId="22" xfId="2" applyNumberFormat="1" applyFill="1" applyBorder="1" applyAlignment="1">
      <alignment textRotation="90" wrapText="1"/>
    </xf>
    <xf numFmtId="0" fontId="42" fillId="22" borderId="74" xfId="2" applyNumberFormat="1" applyFill="1" applyBorder="1"/>
    <xf numFmtId="0" fontId="42" fillId="22" borderId="77" xfId="2" applyNumberFormat="1" applyFill="1" applyBorder="1"/>
    <xf numFmtId="171" fontId="10" fillId="22" borderId="21" xfId="3" applyNumberFormat="1" applyFont="1" applyFill="1" applyBorder="1" applyAlignment="1" applyProtection="1">
      <alignment horizontal="center"/>
    </xf>
    <xf numFmtId="171" fontId="10" fillId="22" borderId="24" xfId="3" applyNumberFormat="1" applyFont="1" applyFill="1" applyBorder="1" applyAlignment="1" applyProtection="1">
      <alignment horizontal="center"/>
    </xf>
    <xf numFmtId="171" fontId="10" fillId="22" borderId="22" xfId="3" applyNumberFormat="1" applyFont="1" applyFill="1" applyBorder="1" applyAlignment="1" applyProtection="1">
      <alignment horizontal="center"/>
    </xf>
    <xf numFmtId="171" fontId="10" fillId="22" borderId="27" xfId="3" applyNumberFormat="1" applyFont="1" applyFill="1" applyBorder="1" applyAlignment="1" applyProtection="1">
      <alignment horizontal="center"/>
    </xf>
    <xf numFmtId="171" fontId="10" fillId="22" borderId="25" xfId="3" applyNumberFormat="1" applyFont="1" applyFill="1" applyBorder="1" applyAlignment="1" applyProtection="1">
      <alignment horizontal="center"/>
    </xf>
    <xf numFmtId="0" fontId="42" fillId="22" borderId="46" xfId="2" applyNumberFormat="1" applyFill="1" applyBorder="1"/>
    <xf numFmtId="0" fontId="42" fillId="22" borderId="36" xfId="2" applyNumberFormat="1" applyFill="1" applyBorder="1"/>
    <xf numFmtId="0" fontId="42" fillId="22" borderId="5" xfId="2" applyNumberFormat="1" applyFill="1" applyBorder="1"/>
    <xf numFmtId="0" fontId="42" fillId="22" borderId="45" xfId="2" applyNumberFormat="1" applyFill="1" applyBorder="1"/>
    <xf numFmtId="171" fontId="42" fillId="22" borderId="26" xfId="2" applyNumberFormat="1" applyFill="1" applyBorder="1" applyAlignment="1">
      <alignment horizontal="right"/>
    </xf>
    <xf numFmtId="0" fontId="42" fillId="24" borderId="46" xfId="2" applyNumberFormat="1" applyFill="1" applyBorder="1"/>
    <xf numFmtId="0" fontId="42" fillId="24" borderId="36" xfId="2" applyNumberFormat="1" applyFill="1" applyBorder="1"/>
    <xf numFmtId="171" fontId="42" fillId="24" borderId="47" xfId="2" applyNumberFormat="1" applyFill="1" applyBorder="1" applyAlignment="1">
      <alignment horizontal="right"/>
    </xf>
    <xf numFmtId="171" fontId="42" fillId="24" borderId="12" xfId="2" applyNumberFormat="1" applyFill="1" applyBorder="1" applyAlignment="1">
      <alignment horizontal="right"/>
    </xf>
    <xf numFmtId="0" fontId="42" fillId="24" borderId="33" xfId="2" applyNumberFormat="1" applyFill="1" applyBorder="1" applyAlignment="1">
      <alignment textRotation="90" wrapText="1"/>
    </xf>
    <xf numFmtId="0" fontId="42" fillId="24" borderId="52" xfId="2" applyNumberFormat="1" applyFill="1" applyBorder="1" applyAlignment="1">
      <alignment textRotation="90" wrapText="1"/>
    </xf>
    <xf numFmtId="0" fontId="42" fillId="24" borderId="74" xfId="2" applyNumberFormat="1" applyFill="1" applyBorder="1"/>
    <xf numFmtId="0" fontId="42" fillId="24" borderId="8" xfId="2" applyNumberFormat="1" applyFill="1" applyBorder="1"/>
    <xf numFmtId="171" fontId="10" fillId="24" borderId="21" xfId="3" applyNumberFormat="1" applyFont="1" applyFill="1" applyBorder="1" applyAlignment="1" applyProtection="1">
      <alignment horizontal="center"/>
    </xf>
    <xf numFmtId="171" fontId="10" fillId="24" borderId="24" xfId="3" applyNumberFormat="1" applyFont="1" applyFill="1" applyBorder="1" applyAlignment="1" applyProtection="1">
      <alignment horizontal="center"/>
    </xf>
    <xf numFmtId="171" fontId="10" fillId="24" borderId="25" xfId="3" applyNumberFormat="1" applyFont="1" applyFill="1" applyBorder="1" applyAlignment="1" applyProtection="1">
      <alignment horizontal="center"/>
    </xf>
    <xf numFmtId="171" fontId="10" fillId="24" borderId="62" xfId="3" applyNumberFormat="1" applyFont="1" applyFill="1" applyBorder="1" applyAlignment="1" applyProtection="1">
      <alignment horizontal="center"/>
    </xf>
    <xf numFmtId="171" fontId="10" fillId="24" borderId="59" xfId="3" applyNumberFormat="1" applyFont="1" applyFill="1" applyBorder="1" applyAlignment="1" applyProtection="1">
      <alignment horizontal="center"/>
    </xf>
    <xf numFmtId="171" fontId="10" fillId="24" borderId="58" xfId="3" applyNumberFormat="1" applyFont="1" applyFill="1" applyBorder="1" applyAlignment="1" applyProtection="1">
      <alignment horizontal="center"/>
    </xf>
    <xf numFmtId="2" fontId="8" fillId="17" borderId="24" xfId="0" applyNumberFormat="1" applyFont="1" applyFill="1" applyBorder="1" applyAlignment="1"/>
    <xf numFmtId="2" fontId="10" fillId="0" borderId="52" xfId="0" applyNumberFormat="1" applyFont="1" applyFill="1" applyBorder="1" applyAlignment="1">
      <alignment horizontal="left"/>
    </xf>
    <xf numFmtId="2" fontId="12" fillId="19" borderId="0" xfId="0" applyNumberFormat="1" applyFont="1" applyFill="1" applyAlignment="1">
      <alignment horizontal="center"/>
    </xf>
    <xf numFmtId="0" fontId="48" fillId="10" borderId="54" xfId="2" applyNumberFormat="1" applyFont="1" applyFill="1" applyBorder="1" applyAlignment="1">
      <alignment horizontal="center" textRotation="90" wrapText="1"/>
    </xf>
    <xf numFmtId="0" fontId="48" fillId="10" borderId="69" xfId="2" applyNumberFormat="1" applyFont="1" applyFill="1" applyBorder="1" applyAlignment="1">
      <alignment horizontal="center" textRotation="90" wrapText="1"/>
    </xf>
    <xf numFmtId="0" fontId="48" fillId="10" borderId="56" xfId="2" applyNumberFormat="1" applyFont="1" applyFill="1" applyBorder="1" applyAlignment="1">
      <alignment horizontal="center" textRotation="90" wrapText="1"/>
    </xf>
    <xf numFmtId="0" fontId="48" fillId="10" borderId="55" xfId="2" applyNumberFormat="1" applyFont="1" applyFill="1" applyBorder="1" applyAlignment="1">
      <alignment horizontal="center" textRotation="90" wrapText="1"/>
    </xf>
    <xf numFmtId="0" fontId="48" fillId="10" borderId="67" xfId="2" applyNumberFormat="1" applyFont="1" applyFill="1" applyBorder="1" applyAlignment="1">
      <alignment horizontal="center" textRotation="90" wrapText="1"/>
    </xf>
    <xf numFmtId="0" fontId="48" fillId="10" borderId="51" xfId="2" applyNumberFormat="1" applyFont="1" applyFill="1" applyBorder="1" applyAlignment="1">
      <alignment horizontal="center" textRotation="90" wrapText="1"/>
    </xf>
    <xf numFmtId="0" fontId="48" fillId="18" borderId="67" xfId="2" applyNumberFormat="1" applyFont="1" applyFill="1" applyBorder="1" applyAlignment="1">
      <alignment horizontal="center" textRotation="90" wrapText="1"/>
    </xf>
    <xf numFmtId="0" fontId="48" fillId="17" borderId="67" xfId="2" applyNumberFormat="1" applyFont="1" applyFill="1" applyBorder="1" applyAlignment="1">
      <alignment horizontal="center" textRotation="90" wrapText="1"/>
    </xf>
    <xf numFmtId="171" fontId="49" fillId="10" borderId="10" xfId="2" applyNumberFormat="1" applyFont="1" applyFill="1" applyBorder="1" applyAlignment="1">
      <alignment horizontal="center"/>
    </xf>
    <xf numFmtId="0" fontId="1" fillId="0" borderId="25" xfId="0" applyNumberFormat="1" applyFont="1" applyFill="1" applyBorder="1" applyAlignment="1">
      <alignment horizontal="center" textRotation="90" wrapText="1"/>
    </xf>
    <xf numFmtId="166" fontId="12" fillId="0" borderId="0" xfId="0" applyNumberFormat="1" applyFont="1" applyFill="1" applyAlignment="1">
      <alignment horizontal="center"/>
    </xf>
    <xf numFmtId="2" fontId="10" fillId="17" borderId="14" xfId="0" applyNumberFormat="1" applyFont="1" applyFill="1" applyBorder="1" applyAlignment="1">
      <alignment horizontal="center"/>
    </xf>
    <xf numFmtId="2" fontId="34" fillId="17" borderId="14" xfId="0" applyNumberFormat="1" applyFont="1" applyFill="1" applyBorder="1" applyAlignment="1">
      <alignment horizontal="center"/>
    </xf>
    <xf numFmtId="2" fontId="34" fillId="17" borderId="16" xfId="0" applyNumberFormat="1" applyFont="1" applyFill="1" applyBorder="1" applyAlignment="1">
      <alignment horizontal="center"/>
    </xf>
    <xf numFmtId="2" fontId="10" fillId="17" borderId="51" xfId="0" applyNumberFormat="1" applyFont="1" applyFill="1" applyBorder="1" applyAlignment="1">
      <alignment horizontal="center"/>
    </xf>
    <xf numFmtId="2" fontId="10" fillId="17" borderId="16" xfId="0" applyNumberFormat="1" applyFont="1" applyFill="1" applyBorder="1" applyAlignment="1">
      <alignment horizontal="center"/>
    </xf>
    <xf numFmtId="166" fontId="50" fillId="0" borderId="24" xfId="3" applyNumberFormat="1" applyFont="1" applyFill="1" applyBorder="1" applyAlignment="1" applyProtection="1">
      <alignment horizontal="center"/>
    </xf>
    <xf numFmtId="0" fontId="1" fillId="0" borderId="25" xfId="0" applyFont="1" applyFill="1" applyBorder="1" applyAlignment="1">
      <alignment horizontal="center" wrapText="1"/>
    </xf>
    <xf numFmtId="0" fontId="12" fillId="19" borderId="0" xfId="0" applyFont="1" applyFill="1" applyBorder="1"/>
    <xf numFmtId="0" fontId="5" fillId="19" borderId="0" xfId="0" applyFont="1" applyFill="1"/>
    <xf numFmtId="0" fontId="5" fillId="19" borderId="24" xfId="0" applyFont="1" applyFill="1" applyBorder="1"/>
    <xf numFmtId="2" fontId="5" fillId="24" borderId="24" xfId="0" applyNumberFormat="1" applyFont="1" applyFill="1" applyBorder="1" applyAlignment="1"/>
    <xf numFmtId="2" fontId="5" fillId="24" borderId="0" xfId="0" applyNumberFormat="1" applyFont="1" applyFill="1" applyAlignment="1">
      <alignment horizontal="center"/>
    </xf>
    <xf numFmtId="2" fontId="34" fillId="0" borderId="12" xfId="0" applyNumberFormat="1" applyFont="1" applyFill="1" applyBorder="1" applyAlignment="1">
      <alignment horizontal="center"/>
    </xf>
    <xf numFmtId="0" fontId="0" fillId="25" borderId="0" xfId="0" applyFill="1"/>
    <xf numFmtId="2" fontId="1" fillId="0" borderId="12" xfId="0" applyNumberFormat="1" applyFont="1" applyFill="1" applyBorder="1" applyAlignment="1"/>
    <xf numFmtId="2" fontId="1" fillId="0" borderId="12" xfId="0" applyNumberFormat="1" applyFont="1" applyBorder="1" applyAlignment="1"/>
    <xf numFmtId="0" fontId="42" fillId="10" borderId="42" xfId="2" applyNumberFormat="1" applyFill="1" applyBorder="1" applyAlignment="1">
      <alignment horizontal="center" vertical="center" wrapText="1"/>
    </xf>
    <xf numFmtId="0" fontId="42" fillId="10" borderId="65" xfId="2" applyNumberFormat="1" applyFill="1" applyBorder="1" applyAlignment="1">
      <alignment horizontal="center" vertical="center" wrapText="1"/>
    </xf>
    <xf numFmtId="0" fontId="42" fillId="10" borderId="44" xfId="2" applyNumberFormat="1" applyFill="1" applyBorder="1" applyAlignment="1">
      <alignment horizontal="center" vertical="center" wrapText="1"/>
    </xf>
    <xf numFmtId="0" fontId="42" fillId="10" borderId="42" xfId="2" applyNumberFormat="1" applyFill="1" applyBorder="1" applyAlignment="1">
      <alignment horizontal="center" vertical="center"/>
    </xf>
    <xf numFmtId="0" fontId="42" fillId="10" borderId="65" xfId="2" applyNumberFormat="1" applyFill="1" applyBorder="1" applyAlignment="1">
      <alignment horizontal="center" vertical="center"/>
    </xf>
    <xf numFmtId="0" fontId="42" fillId="10" borderId="44" xfId="2" applyNumberFormat="1" applyFill="1" applyBorder="1" applyAlignment="1">
      <alignment horizontal="center" vertical="center"/>
    </xf>
    <xf numFmtId="0" fontId="42" fillId="10" borderId="3" xfId="2" applyNumberFormat="1" applyFill="1" applyBorder="1" applyAlignment="1">
      <alignment horizontal="center" vertical="center" wrapText="1"/>
    </xf>
    <xf numFmtId="0" fontId="42" fillId="10" borderId="1" xfId="2" applyNumberFormat="1" applyFill="1" applyBorder="1" applyAlignment="1">
      <alignment horizontal="center" vertical="center" wrapText="1"/>
    </xf>
    <xf numFmtId="0" fontId="42" fillId="10" borderId="8" xfId="2" applyNumberFormat="1" applyFill="1" applyBorder="1" applyAlignment="1">
      <alignment horizontal="center" vertical="center" wrapText="1"/>
    </xf>
    <xf numFmtId="0" fontId="42" fillId="0" borderId="46" xfId="2" applyNumberFormat="1" applyFill="1" applyBorder="1" applyAlignment="1">
      <alignment horizontal="center"/>
    </xf>
    <xf numFmtId="0" fontId="42" fillId="0" borderId="47" xfId="2" applyNumberFormat="1" applyFill="1" applyBorder="1" applyAlignment="1">
      <alignment horizontal="center"/>
    </xf>
    <xf numFmtId="0" fontId="42" fillId="10" borderId="42" xfId="2" applyNumberFormat="1" applyFill="1" applyBorder="1" applyAlignment="1">
      <alignment horizontal="center" wrapText="1"/>
    </xf>
    <xf numFmtId="0" fontId="42" fillId="10" borderId="65" xfId="2" applyNumberFormat="1" applyFill="1" applyBorder="1" applyAlignment="1">
      <alignment horizontal="center" wrapText="1"/>
    </xf>
    <xf numFmtId="0" fontId="42" fillId="10" borderId="44" xfId="2" applyNumberFormat="1" applyFill="1" applyBorder="1" applyAlignment="1">
      <alignment horizontal="center" wrapText="1"/>
    </xf>
    <xf numFmtId="2" fontId="17" fillId="0" borderId="42" xfId="3" applyNumberFormat="1" applyFont="1" applyFill="1" applyBorder="1" applyAlignment="1" applyProtection="1">
      <alignment horizontal="center"/>
    </xf>
    <xf numFmtId="0" fontId="0" fillId="0" borderId="65" xfId="0" applyBorder="1"/>
    <xf numFmtId="0" fontId="0" fillId="0" borderId="44" xfId="0" applyBorder="1"/>
    <xf numFmtId="2" fontId="17" fillId="0" borderId="65" xfId="3" applyNumberFormat="1" applyFont="1" applyFill="1" applyBorder="1" applyAlignment="1" applyProtection="1">
      <alignment horizontal="center"/>
    </xf>
    <xf numFmtId="2" fontId="17" fillId="0" borderId="44" xfId="3" applyNumberFormat="1" applyFont="1" applyFill="1" applyBorder="1" applyAlignment="1" applyProtection="1">
      <alignment horizontal="center"/>
    </xf>
    <xf numFmtId="0" fontId="17" fillId="0" borderId="0" xfId="3" applyFont="1" applyFill="1" applyAlignment="1" applyProtection="1">
      <alignment horizontal="center"/>
    </xf>
    <xf numFmtId="0" fontId="19" fillId="0" borderId="0" xfId="0" applyFont="1" applyAlignment="1">
      <alignment horizontal="center"/>
    </xf>
    <xf numFmtId="2" fontId="17" fillId="0" borderId="17" xfId="3" applyNumberFormat="1" applyFont="1" applyFill="1" applyBorder="1" applyAlignment="1" applyProtection="1">
      <alignment horizontal="center"/>
    </xf>
    <xf numFmtId="2" fontId="17" fillId="0" borderId="7" xfId="3" applyNumberFormat="1" applyFont="1" applyFill="1" applyBorder="1" applyAlignment="1" applyProtection="1">
      <alignment horizontal="center"/>
    </xf>
    <xf numFmtId="0" fontId="13" fillId="0" borderId="0" xfId="3" applyFont="1" applyFill="1" applyAlignment="1" applyProtection="1">
      <alignment horizontal="center"/>
    </xf>
    <xf numFmtId="2" fontId="16" fillId="0" borderId="42" xfId="3" applyNumberFormat="1" applyFont="1" applyFill="1" applyBorder="1" applyAlignment="1" applyProtection="1">
      <alignment horizontal="center"/>
    </xf>
    <xf numFmtId="2" fontId="16" fillId="0" borderId="65" xfId="3" applyNumberFormat="1" applyFont="1" applyFill="1" applyBorder="1" applyAlignment="1" applyProtection="1">
      <alignment horizontal="center"/>
    </xf>
    <xf numFmtId="2" fontId="16" fillId="0" borderId="17" xfId="3" applyNumberFormat="1" applyFont="1" applyFill="1" applyBorder="1" applyAlignment="1" applyProtection="1">
      <alignment horizontal="center"/>
    </xf>
    <xf numFmtId="2" fontId="16" fillId="0" borderId="7" xfId="3" applyNumberFormat="1" applyFont="1" applyFill="1" applyBorder="1" applyAlignment="1" applyProtection="1">
      <alignment horizontal="center"/>
    </xf>
    <xf numFmtId="2" fontId="16" fillId="0" borderId="1" xfId="3" applyNumberFormat="1" applyFont="1" applyFill="1" applyBorder="1" applyAlignment="1" applyProtection="1">
      <alignment horizontal="center"/>
    </xf>
    <xf numFmtId="2" fontId="16" fillId="0" borderId="44" xfId="3" applyNumberFormat="1" applyFont="1" applyFill="1" applyBorder="1" applyAlignment="1" applyProtection="1">
      <alignment horizontal="center"/>
    </xf>
    <xf numFmtId="2" fontId="16" fillId="0" borderId="0" xfId="3" applyNumberFormat="1" applyFont="1" applyFill="1" applyBorder="1" applyAlignment="1" applyProtection="1">
      <alignment horizontal="center"/>
    </xf>
    <xf numFmtId="0" fontId="23" fillId="9" borderId="42" xfId="0" applyNumberFormat="1" applyFont="1" applyFill="1" applyBorder="1" applyAlignment="1">
      <alignment horizontal="center"/>
    </xf>
    <xf numFmtId="0" fontId="23" fillId="9" borderId="65" xfId="0" applyNumberFormat="1" applyFont="1" applyFill="1" applyBorder="1" applyAlignment="1">
      <alignment horizontal="center"/>
    </xf>
    <xf numFmtId="0" fontId="23" fillId="9" borderId="44" xfId="0" applyNumberFormat="1" applyFont="1" applyFill="1" applyBorder="1" applyAlignment="1">
      <alignment horizontal="center"/>
    </xf>
    <xf numFmtId="0" fontId="0" fillId="0" borderId="65" xfId="0" applyBorder="1" applyAlignment="1">
      <alignment horizontal="center"/>
    </xf>
    <xf numFmtId="0" fontId="0" fillId="0" borderId="44" xfId="0" applyBorder="1" applyAlignment="1">
      <alignment horizontal="center"/>
    </xf>
    <xf numFmtId="0" fontId="20" fillId="0" borderId="0" xfId="0" applyNumberFormat="1" applyFont="1" applyFill="1" applyBorder="1" applyAlignment="1">
      <alignment horizontal="center"/>
    </xf>
    <xf numFmtId="168" fontId="21" fillId="0" borderId="0" xfId="0" applyNumberFormat="1" applyFont="1" applyFill="1" applyBorder="1" applyAlignment="1">
      <alignment horizontal="center"/>
    </xf>
    <xf numFmtId="0" fontId="23" fillId="8" borderId="42" xfId="0" applyNumberFormat="1" applyFont="1" applyFill="1" applyBorder="1" applyAlignment="1">
      <alignment horizontal="center"/>
    </xf>
    <xf numFmtId="0" fontId="23" fillId="8" borderId="65" xfId="0" applyNumberFormat="1" applyFont="1" applyFill="1" applyBorder="1" applyAlignment="1">
      <alignment horizontal="center"/>
    </xf>
    <xf numFmtId="0" fontId="23" fillId="8" borderId="44" xfId="0" applyNumberFormat="1" applyFont="1" applyFill="1" applyBorder="1" applyAlignment="1">
      <alignment horizontal="center"/>
    </xf>
    <xf numFmtId="0" fontId="23" fillId="4" borderId="42" xfId="0" applyNumberFormat="1" applyFont="1" applyFill="1" applyBorder="1" applyAlignment="1">
      <alignment horizontal="center"/>
    </xf>
    <xf numFmtId="0" fontId="23" fillId="4" borderId="65" xfId="0" applyNumberFormat="1" applyFont="1" applyFill="1" applyBorder="1" applyAlignment="1">
      <alignment horizontal="center"/>
    </xf>
    <xf numFmtId="0" fontId="23" fillId="4" borderId="44" xfId="0" applyNumberFormat="1" applyFont="1" applyFill="1" applyBorder="1" applyAlignment="1">
      <alignment horizontal="center"/>
    </xf>
    <xf numFmtId="0" fontId="5" fillId="0" borderId="76" xfId="0" applyFont="1" applyFill="1" applyBorder="1" applyAlignment="1">
      <alignment horizontal="center"/>
    </xf>
    <xf numFmtId="0" fontId="5" fillId="0" borderId="6" xfId="0" applyFont="1" applyFill="1" applyBorder="1" applyAlignment="1">
      <alignment horizontal="center"/>
    </xf>
    <xf numFmtId="0" fontId="5" fillId="0" borderId="37" xfId="0" applyFont="1" applyFill="1" applyBorder="1" applyAlignment="1">
      <alignment horizontal="center"/>
    </xf>
    <xf numFmtId="0" fontId="5" fillId="0" borderId="39" xfId="0" applyFont="1" applyFill="1" applyBorder="1" applyAlignment="1">
      <alignment horizontal="center"/>
    </xf>
    <xf numFmtId="0" fontId="5" fillId="0" borderId="21" xfId="0" applyFont="1" applyFill="1" applyBorder="1" applyAlignment="1">
      <alignment horizontal="center"/>
    </xf>
    <xf numFmtId="0" fontId="5" fillId="0" borderId="24" xfId="0" applyFont="1" applyFill="1" applyBorder="1" applyAlignment="1">
      <alignment horizontal="center"/>
    </xf>
    <xf numFmtId="0" fontId="5" fillId="0" borderId="21" xfId="0" applyFont="1" applyFill="1" applyBorder="1" applyAlignment="1">
      <alignment horizontal="center" wrapText="1"/>
    </xf>
    <xf numFmtId="0" fontId="0" fillId="0" borderId="24" xfId="0" applyFill="1" applyBorder="1" applyAlignment="1">
      <alignment horizontal="center" wrapText="1"/>
    </xf>
    <xf numFmtId="0" fontId="0" fillId="0" borderId="25" xfId="0" applyFill="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12" fillId="0" borderId="30" xfId="0" applyFont="1" applyBorder="1" applyAlignment="1">
      <alignment horizontal="center"/>
    </xf>
    <xf numFmtId="0" fontId="2" fillId="0" borderId="42" xfId="0" applyFont="1" applyFill="1" applyBorder="1" applyAlignment="1">
      <alignment horizontal="center"/>
    </xf>
    <xf numFmtId="0" fontId="2" fillId="0" borderId="44" xfId="0" applyFont="1" applyFill="1" applyBorder="1" applyAlignment="1">
      <alignment horizontal="center"/>
    </xf>
    <xf numFmtId="0" fontId="14" fillId="0" borderId="0" xfId="3" applyFont="1" applyFill="1" applyAlignment="1" applyProtection="1">
      <alignment horizontal="center"/>
    </xf>
    <xf numFmtId="0" fontId="0" fillId="0" borderId="0" xfId="0" applyAlignment="1">
      <alignment horizontal="center"/>
    </xf>
  </cellXfs>
  <cellStyles count="11">
    <cellStyle name="Normal" xfId="0" builtinId="0"/>
    <cellStyle name="Normal 2" xfId="1"/>
    <cellStyle name="Normal_REPORT09" xfId="2"/>
    <cellStyle name="OP_REPORT" xfId="3"/>
    <cellStyle name="Percent" xfId="4" builtinId="5"/>
    <cellStyle name="PSChar" xfId="5"/>
    <cellStyle name="PSDate" xfId="6"/>
    <cellStyle name="PSDec" xfId="7"/>
    <cellStyle name="PSHeading" xfId="8"/>
    <cellStyle name="PSInt" xfId="9"/>
    <cellStyle name="PSSpacer" xfId="10"/>
  </cellStyles>
  <dxfs count="60">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lor rgb="FF99CCFF"/>
      </font>
    </dxf>
    <dxf>
      <font>
        <color rgb="FFCCFFCC"/>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7"/>
      </font>
    </dxf>
    <dxf>
      <font>
        <condense val="0"/>
        <extend val="0"/>
        <color indexed="8"/>
      </font>
    </dxf>
    <dxf>
      <font>
        <condense val="0"/>
        <extend val="0"/>
        <color indexed="47"/>
      </font>
    </dxf>
    <dxf>
      <font>
        <condense val="0"/>
        <extend val="0"/>
        <color indexed="41"/>
      </font>
    </dxf>
    <dxf>
      <font>
        <condense val="0"/>
        <extend val="0"/>
        <color indexed="8"/>
      </font>
    </dxf>
    <dxf>
      <font>
        <condense val="0"/>
        <extend val="0"/>
        <color indexed="41"/>
      </font>
    </dxf>
    <dxf>
      <font>
        <condense val="0"/>
        <extend val="0"/>
        <color indexed="9"/>
      </font>
    </dxf>
    <dxf>
      <font>
        <condense val="0"/>
        <extend val="0"/>
        <color indexed="8"/>
      </font>
    </dxf>
    <dxf>
      <font>
        <condense val="0"/>
        <extend val="0"/>
        <color indexed="9"/>
      </font>
    </dxf>
    <dxf>
      <font>
        <condense val="0"/>
        <extend val="0"/>
        <color indexed="43"/>
      </font>
    </dxf>
    <dxf>
      <font>
        <condense val="0"/>
        <extend val="0"/>
        <color indexed="8"/>
      </font>
    </dxf>
    <dxf>
      <font>
        <condense val="0"/>
        <extend val="0"/>
        <color indexed="43"/>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
      <font>
        <condense val="0"/>
        <extend val="0"/>
        <color indexed="9"/>
      </font>
    </dxf>
    <dxf>
      <font>
        <condense val="0"/>
        <extend val="0"/>
        <color indexed="8"/>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worksheet" Target="worksheets/sheet10.xml"/><Relationship Id="rId18" Type="http://schemas.openxmlformats.org/officeDocument/2006/relationships/theme" Target="theme/theme1.xml"/><Relationship Id="rId3" Type="http://schemas.openxmlformats.org/officeDocument/2006/relationships/chartsheet" Target="chartsheets/sheet3.xml"/><Relationship Id="rId21" Type="http://schemas.openxmlformats.org/officeDocument/2006/relationships/calcChain" Target="calcChain.xml"/><Relationship Id="rId7" Type="http://schemas.openxmlformats.org/officeDocument/2006/relationships/worksheet" Target="worksheets/sheet4.xml"/><Relationship Id="rId12" Type="http://schemas.openxmlformats.org/officeDocument/2006/relationships/worksheet" Target="worksheets/sheet9.xml"/><Relationship Id="rId17" Type="http://schemas.openxmlformats.org/officeDocument/2006/relationships/externalLink" Target="externalLinks/externalLink1.xml"/><Relationship Id="rId2" Type="http://schemas.openxmlformats.org/officeDocument/2006/relationships/chartsheet" Target="chartsheets/sheet2.xml"/><Relationship Id="rId16" Type="http://schemas.openxmlformats.org/officeDocument/2006/relationships/worksheet" Target="worksheets/sheet13.xml"/><Relationship Id="rId20" Type="http://schemas.openxmlformats.org/officeDocument/2006/relationships/sharedStrings" Target="sharedStrings.xml"/><Relationship Id="rId1" Type="http://schemas.openxmlformats.org/officeDocument/2006/relationships/chartsheet" Target="chartsheets/sheet1.xml"/><Relationship Id="rId6" Type="http://schemas.openxmlformats.org/officeDocument/2006/relationships/worksheet" Target="worksheets/sheet3.xml"/><Relationship Id="rId11" Type="http://schemas.openxmlformats.org/officeDocument/2006/relationships/worksheet" Target="worksheets/sheet8.xml"/><Relationship Id="rId5" Type="http://schemas.openxmlformats.org/officeDocument/2006/relationships/worksheet" Target="worksheets/sheet2.xml"/><Relationship Id="rId15" Type="http://schemas.openxmlformats.org/officeDocument/2006/relationships/worksheet" Target="worksheets/sheet12.xml"/><Relationship Id="rId10" Type="http://schemas.openxmlformats.org/officeDocument/2006/relationships/worksheet" Target="worksheets/sheet7.xml"/><Relationship Id="rId19" Type="http://schemas.openxmlformats.org/officeDocument/2006/relationships/styles" Target="styles.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worksheet" Target="worksheets/sheet1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2011 HHD Storage</a:t>
            </a:r>
          </a:p>
        </c:rich>
      </c:tx>
      <c:layout>
        <c:manualLayout>
          <c:xMode val="edge"/>
          <c:yMode val="edge"/>
          <c:x val="0.80112132252125201"/>
          <c:y val="8.4563729144751867E-2"/>
        </c:manualLayout>
      </c:layout>
      <c:spPr>
        <a:noFill/>
        <a:ln w="25400">
          <a:noFill/>
        </a:ln>
      </c:spPr>
    </c:title>
    <c:plotArea>
      <c:layout>
        <c:manualLayout>
          <c:layoutTarget val="inner"/>
          <c:xMode val="edge"/>
          <c:yMode val="edge"/>
          <c:x val="0.13194207440487848"/>
          <c:y val="7.7174750043404114E-2"/>
          <c:w val="0.86692458180837562"/>
          <c:h val="0.63680757723200765"/>
        </c:manualLayout>
      </c:layout>
      <c:lineChart>
        <c:grouping val="standard"/>
        <c:ser>
          <c:idx val="4"/>
          <c:order val="0"/>
          <c:tx>
            <c:strRef>
              <c:f>Summary!$Q$2</c:f>
              <c:strCache>
                <c:ptCount val="1"/>
                <c:pt idx="0">
                  <c:v>HHD Total Storage (including 1220 AF dead storage)</c:v>
                </c:pt>
              </c:strCache>
            </c:strRef>
          </c:tx>
          <c:marker>
            <c:symbol val="none"/>
          </c:marker>
          <c:cat>
            <c:numRef>
              <c:f>Summary!$A$5:$A$380</c:f>
              <c:numCache>
                <c:formatCode>[$-409]d\-mmm;@</c:formatCode>
                <c:ptCount val="376"/>
                <c:pt idx="0">
                  <c:v>40537</c:v>
                </c:pt>
                <c:pt idx="1">
                  <c:v>40538</c:v>
                </c:pt>
                <c:pt idx="2">
                  <c:v>40539</c:v>
                </c:pt>
                <c:pt idx="3">
                  <c:v>40540</c:v>
                </c:pt>
                <c:pt idx="4">
                  <c:v>40541</c:v>
                </c:pt>
                <c:pt idx="5">
                  <c:v>40542</c:v>
                </c:pt>
                <c:pt idx="6">
                  <c:v>40543</c:v>
                </c:pt>
                <c:pt idx="7">
                  <c:v>40544</c:v>
                </c:pt>
                <c:pt idx="8">
                  <c:v>40545</c:v>
                </c:pt>
                <c:pt idx="9">
                  <c:v>40546</c:v>
                </c:pt>
                <c:pt idx="10">
                  <c:v>40547</c:v>
                </c:pt>
                <c:pt idx="11">
                  <c:v>40548</c:v>
                </c:pt>
                <c:pt idx="12">
                  <c:v>40549</c:v>
                </c:pt>
                <c:pt idx="13">
                  <c:v>40550</c:v>
                </c:pt>
                <c:pt idx="14">
                  <c:v>40551</c:v>
                </c:pt>
                <c:pt idx="15">
                  <c:v>40552</c:v>
                </c:pt>
                <c:pt idx="16">
                  <c:v>40553</c:v>
                </c:pt>
                <c:pt idx="17">
                  <c:v>40554</c:v>
                </c:pt>
                <c:pt idx="18">
                  <c:v>40555</c:v>
                </c:pt>
                <c:pt idx="19">
                  <c:v>40556</c:v>
                </c:pt>
                <c:pt idx="20">
                  <c:v>40557</c:v>
                </c:pt>
                <c:pt idx="21">
                  <c:v>40558</c:v>
                </c:pt>
                <c:pt idx="22">
                  <c:v>40559</c:v>
                </c:pt>
                <c:pt idx="23">
                  <c:v>40560</c:v>
                </c:pt>
                <c:pt idx="24">
                  <c:v>40561</c:v>
                </c:pt>
                <c:pt idx="25">
                  <c:v>40562</c:v>
                </c:pt>
                <c:pt idx="26">
                  <c:v>40563</c:v>
                </c:pt>
                <c:pt idx="27">
                  <c:v>40564</c:v>
                </c:pt>
                <c:pt idx="28">
                  <c:v>40565</c:v>
                </c:pt>
                <c:pt idx="29">
                  <c:v>40566</c:v>
                </c:pt>
                <c:pt idx="30">
                  <c:v>40567</c:v>
                </c:pt>
                <c:pt idx="31">
                  <c:v>40568</c:v>
                </c:pt>
                <c:pt idx="32">
                  <c:v>40569</c:v>
                </c:pt>
                <c:pt idx="33">
                  <c:v>40570</c:v>
                </c:pt>
                <c:pt idx="34">
                  <c:v>40571</c:v>
                </c:pt>
                <c:pt idx="35">
                  <c:v>40572</c:v>
                </c:pt>
                <c:pt idx="36">
                  <c:v>40573</c:v>
                </c:pt>
                <c:pt idx="37">
                  <c:v>40574</c:v>
                </c:pt>
                <c:pt idx="38">
                  <c:v>40575</c:v>
                </c:pt>
                <c:pt idx="39">
                  <c:v>40576</c:v>
                </c:pt>
                <c:pt idx="40">
                  <c:v>40577</c:v>
                </c:pt>
                <c:pt idx="41">
                  <c:v>40578</c:v>
                </c:pt>
                <c:pt idx="42">
                  <c:v>40579</c:v>
                </c:pt>
                <c:pt idx="43">
                  <c:v>40580</c:v>
                </c:pt>
                <c:pt idx="44">
                  <c:v>40581</c:v>
                </c:pt>
                <c:pt idx="45">
                  <c:v>40582</c:v>
                </c:pt>
                <c:pt idx="46">
                  <c:v>40583</c:v>
                </c:pt>
                <c:pt idx="47">
                  <c:v>40584</c:v>
                </c:pt>
                <c:pt idx="48">
                  <c:v>40585</c:v>
                </c:pt>
                <c:pt idx="49">
                  <c:v>40586</c:v>
                </c:pt>
                <c:pt idx="50">
                  <c:v>40587</c:v>
                </c:pt>
                <c:pt idx="51">
                  <c:v>40588</c:v>
                </c:pt>
                <c:pt idx="52">
                  <c:v>40589</c:v>
                </c:pt>
                <c:pt idx="53">
                  <c:v>40590</c:v>
                </c:pt>
                <c:pt idx="54">
                  <c:v>40591</c:v>
                </c:pt>
                <c:pt idx="55">
                  <c:v>40592</c:v>
                </c:pt>
                <c:pt idx="56">
                  <c:v>40593</c:v>
                </c:pt>
                <c:pt idx="57">
                  <c:v>40594</c:v>
                </c:pt>
                <c:pt idx="58">
                  <c:v>40595</c:v>
                </c:pt>
                <c:pt idx="59">
                  <c:v>40596</c:v>
                </c:pt>
                <c:pt idx="60">
                  <c:v>40597</c:v>
                </c:pt>
                <c:pt idx="61">
                  <c:v>40598</c:v>
                </c:pt>
                <c:pt idx="62">
                  <c:v>40599</c:v>
                </c:pt>
                <c:pt idx="63">
                  <c:v>40600</c:v>
                </c:pt>
                <c:pt idx="64">
                  <c:v>40601</c:v>
                </c:pt>
                <c:pt idx="65">
                  <c:v>40602</c:v>
                </c:pt>
                <c:pt idx="66">
                  <c:v>40603</c:v>
                </c:pt>
                <c:pt idx="67">
                  <c:v>40604</c:v>
                </c:pt>
                <c:pt idx="68">
                  <c:v>40605</c:v>
                </c:pt>
                <c:pt idx="69">
                  <c:v>40606</c:v>
                </c:pt>
                <c:pt idx="70">
                  <c:v>40607</c:v>
                </c:pt>
                <c:pt idx="71">
                  <c:v>40608</c:v>
                </c:pt>
                <c:pt idx="72">
                  <c:v>40609</c:v>
                </c:pt>
                <c:pt idx="73">
                  <c:v>40610</c:v>
                </c:pt>
                <c:pt idx="74">
                  <c:v>40611</c:v>
                </c:pt>
                <c:pt idx="75">
                  <c:v>40612</c:v>
                </c:pt>
                <c:pt idx="76">
                  <c:v>40613</c:v>
                </c:pt>
                <c:pt idx="77">
                  <c:v>40614</c:v>
                </c:pt>
                <c:pt idx="78">
                  <c:v>40615</c:v>
                </c:pt>
                <c:pt idx="79">
                  <c:v>40616</c:v>
                </c:pt>
                <c:pt idx="80">
                  <c:v>40617</c:v>
                </c:pt>
                <c:pt idx="81">
                  <c:v>40618</c:v>
                </c:pt>
                <c:pt idx="82">
                  <c:v>40619</c:v>
                </c:pt>
                <c:pt idx="83">
                  <c:v>40620</c:v>
                </c:pt>
                <c:pt idx="84">
                  <c:v>40621</c:v>
                </c:pt>
                <c:pt idx="85">
                  <c:v>40622</c:v>
                </c:pt>
                <c:pt idx="86">
                  <c:v>40623</c:v>
                </c:pt>
                <c:pt idx="87">
                  <c:v>40624</c:v>
                </c:pt>
                <c:pt idx="88">
                  <c:v>40625</c:v>
                </c:pt>
                <c:pt idx="89">
                  <c:v>40626</c:v>
                </c:pt>
                <c:pt idx="90">
                  <c:v>40627</c:v>
                </c:pt>
                <c:pt idx="91">
                  <c:v>40628</c:v>
                </c:pt>
                <c:pt idx="92">
                  <c:v>40629</c:v>
                </c:pt>
                <c:pt idx="93">
                  <c:v>40630</c:v>
                </c:pt>
                <c:pt idx="94">
                  <c:v>40631</c:v>
                </c:pt>
                <c:pt idx="95">
                  <c:v>40632</c:v>
                </c:pt>
                <c:pt idx="96">
                  <c:v>40633</c:v>
                </c:pt>
                <c:pt idx="97">
                  <c:v>40634</c:v>
                </c:pt>
                <c:pt idx="98">
                  <c:v>40635</c:v>
                </c:pt>
                <c:pt idx="99">
                  <c:v>40636</c:v>
                </c:pt>
                <c:pt idx="100">
                  <c:v>40637</c:v>
                </c:pt>
                <c:pt idx="101">
                  <c:v>40638</c:v>
                </c:pt>
                <c:pt idx="102">
                  <c:v>40639</c:v>
                </c:pt>
                <c:pt idx="103">
                  <c:v>40640</c:v>
                </c:pt>
                <c:pt idx="104">
                  <c:v>40641</c:v>
                </c:pt>
                <c:pt idx="105">
                  <c:v>40642</c:v>
                </c:pt>
                <c:pt idx="106">
                  <c:v>40643</c:v>
                </c:pt>
                <c:pt idx="107">
                  <c:v>40644</c:v>
                </c:pt>
                <c:pt idx="108">
                  <c:v>40645</c:v>
                </c:pt>
                <c:pt idx="109">
                  <c:v>40646</c:v>
                </c:pt>
                <c:pt idx="110">
                  <c:v>40647</c:v>
                </c:pt>
                <c:pt idx="111">
                  <c:v>40648</c:v>
                </c:pt>
                <c:pt idx="112">
                  <c:v>40649</c:v>
                </c:pt>
                <c:pt idx="113">
                  <c:v>40650</c:v>
                </c:pt>
                <c:pt idx="114">
                  <c:v>40651</c:v>
                </c:pt>
                <c:pt idx="115">
                  <c:v>40652</c:v>
                </c:pt>
                <c:pt idx="116">
                  <c:v>40653</c:v>
                </c:pt>
                <c:pt idx="117">
                  <c:v>40654</c:v>
                </c:pt>
                <c:pt idx="118">
                  <c:v>40655</c:v>
                </c:pt>
                <c:pt idx="119">
                  <c:v>40656</c:v>
                </c:pt>
                <c:pt idx="120">
                  <c:v>40657</c:v>
                </c:pt>
                <c:pt idx="121">
                  <c:v>40658</c:v>
                </c:pt>
                <c:pt idx="122">
                  <c:v>40659</c:v>
                </c:pt>
                <c:pt idx="123">
                  <c:v>40660</c:v>
                </c:pt>
                <c:pt idx="124">
                  <c:v>40661</c:v>
                </c:pt>
                <c:pt idx="125">
                  <c:v>40662</c:v>
                </c:pt>
                <c:pt idx="126">
                  <c:v>40663</c:v>
                </c:pt>
                <c:pt idx="127">
                  <c:v>40664</c:v>
                </c:pt>
                <c:pt idx="128">
                  <c:v>40665</c:v>
                </c:pt>
                <c:pt idx="129">
                  <c:v>40666</c:v>
                </c:pt>
                <c:pt idx="130">
                  <c:v>40667</c:v>
                </c:pt>
                <c:pt idx="131">
                  <c:v>40668</c:v>
                </c:pt>
                <c:pt idx="132">
                  <c:v>40669</c:v>
                </c:pt>
                <c:pt idx="133">
                  <c:v>40670</c:v>
                </c:pt>
                <c:pt idx="134">
                  <c:v>40671</c:v>
                </c:pt>
                <c:pt idx="135">
                  <c:v>40672</c:v>
                </c:pt>
                <c:pt idx="136">
                  <c:v>40673</c:v>
                </c:pt>
                <c:pt idx="137">
                  <c:v>40674</c:v>
                </c:pt>
                <c:pt idx="138">
                  <c:v>40675</c:v>
                </c:pt>
                <c:pt idx="139">
                  <c:v>40676</c:v>
                </c:pt>
                <c:pt idx="140">
                  <c:v>40677</c:v>
                </c:pt>
                <c:pt idx="141">
                  <c:v>40678</c:v>
                </c:pt>
                <c:pt idx="142">
                  <c:v>40679</c:v>
                </c:pt>
                <c:pt idx="143">
                  <c:v>40680</c:v>
                </c:pt>
                <c:pt idx="144">
                  <c:v>40681</c:v>
                </c:pt>
                <c:pt idx="145">
                  <c:v>40682</c:v>
                </c:pt>
                <c:pt idx="146">
                  <c:v>40683</c:v>
                </c:pt>
                <c:pt idx="147">
                  <c:v>40684</c:v>
                </c:pt>
                <c:pt idx="148">
                  <c:v>40685</c:v>
                </c:pt>
                <c:pt idx="149">
                  <c:v>40686</c:v>
                </c:pt>
                <c:pt idx="150">
                  <c:v>40687</c:v>
                </c:pt>
                <c:pt idx="151">
                  <c:v>40688</c:v>
                </c:pt>
                <c:pt idx="152">
                  <c:v>40689</c:v>
                </c:pt>
                <c:pt idx="153">
                  <c:v>40690</c:v>
                </c:pt>
                <c:pt idx="154">
                  <c:v>40691</c:v>
                </c:pt>
                <c:pt idx="155">
                  <c:v>40692</c:v>
                </c:pt>
                <c:pt idx="156">
                  <c:v>40693</c:v>
                </c:pt>
                <c:pt idx="157">
                  <c:v>40694</c:v>
                </c:pt>
                <c:pt idx="158">
                  <c:v>40695</c:v>
                </c:pt>
                <c:pt idx="159">
                  <c:v>40696</c:v>
                </c:pt>
                <c:pt idx="160">
                  <c:v>40697</c:v>
                </c:pt>
                <c:pt idx="161">
                  <c:v>40698</c:v>
                </c:pt>
                <c:pt idx="162">
                  <c:v>40699</c:v>
                </c:pt>
                <c:pt idx="163">
                  <c:v>40700</c:v>
                </c:pt>
                <c:pt idx="164">
                  <c:v>40701</c:v>
                </c:pt>
                <c:pt idx="165">
                  <c:v>40702</c:v>
                </c:pt>
                <c:pt idx="166">
                  <c:v>40703</c:v>
                </c:pt>
                <c:pt idx="167">
                  <c:v>40704</c:v>
                </c:pt>
                <c:pt idx="168">
                  <c:v>40705</c:v>
                </c:pt>
                <c:pt idx="169">
                  <c:v>40706</c:v>
                </c:pt>
                <c:pt idx="170">
                  <c:v>40707</c:v>
                </c:pt>
                <c:pt idx="171">
                  <c:v>40708</c:v>
                </c:pt>
                <c:pt idx="172">
                  <c:v>40709</c:v>
                </c:pt>
                <c:pt idx="173">
                  <c:v>40710</c:v>
                </c:pt>
                <c:pt idx="174">
                  <c:v>40711</c:v>
                </c:pt>
                <c:pt idx="175">
                  <c:v>40712</c:v>
                </c:pt>
                <c:pt idx="176">
                  <c:v>40713</c:v>
                </c:pt>
                <c:pt idx="177">
                  <c:v>40714</c:v>
                </c:pt>
                <c:pt idx="178">
                  <c:v>40715</c:v>
                </c:pt>
                <c:pt idx="179">
                  <c:v>40716</c:v>
                </c:pt>
                <c:pt idx="180">
                  <c:v>40717</c:v>
                </c:pt>
                <c:pt idx="181">
                  <c:v>40718</c:v>
                </c:pt>
                <c:pt idx="182">
                  <c:v>40719</c:v>
                </c:pt>
                <c:pt idx="183">
                  <c:v>40720</c:v>
                </c:pt>
                <c:pt idx="184">
                  <c:v>40721</c:v>
                </c:pt>
                <c:pt idx="185">
                  <c:v>40722</c:v>
                </c:pt>
                <c:pt idx="186">
                  <c:v>40723</c:v>
                </c:pt>
                <c:pt idx="187">
                  <c:v>40724</c:v>
                </c:pt>
                <c:pt idx="188">
                  <c:v>40725</c:v>
                </c:pt>
                <c:pt idx="189">
                  <c:v>40726</c:v>
                </c:pt>
                <c:pt idx="190">
                  <c:v>40727</c:v>
                </c:pt>
                <c:pt idx="191">
                  <c:v>40728</c:v>
                </c:pt>
                <c:pt idx="192">
                  <c:v>40729</c:v>
                </c:pt>
                <c:pt idx="193">
                  <c:v>40730</c:v>
                </c:pt>
                <c:pt idx="194">
                  <c:v>40731</c:v>
                </c:pt>
                <c:pt idx="195">
                  <c:v>40732</c:v>
                </c:pt>
                <c:pt idx="196">
                  <c:v>40733</c:v>
                </c:pt>
                <c:pt idx="197">
                  <c:v>40734</c:v>
                </c:pt>
                <c:pt idx="198">
                  <c:v>40735</c:v>
                </c:pt>
                <c:pt idx="199">
                  <c:v>40736</c:v>
                </c:pt>
                <c:pt idx="200">
                  <c:v>40737</c:v>
                </c:pt>
                <c:pt idx="201">
                  <c:v>40738</c:v>
                </c:pt>
                <c:pt idx="202">
                  <c:v>40739</c:v>
                </c:pt>
                <c:pt idx="203">
                  <c:v>40740</c:v>
                </c:pt>
                <c:pt idx="204">
                  <c:v>40741</c:v>
                </c:pt>
                <c:pt idx="205">
                  <c:v>40742</c:v>
                </c:pt>
                <c:pt idx="206">
                  <c:v>40743</c:v>
                </c:pt>
                <c:pt idx="207">
                  <c:v>40744</c:v>
                </c:pt>
                <c:pt idx="208">
                  <c:v>40745</c:v>
                </c:pt>
                <c:pt idx="209">
                  <c:v>40746</c:v>
                </c:pt>
                <c:pt idx="210">
                  <c:v>40747</c:v>
                </c:pt>
                <c:pt idx="211">
                  <c:v>40748</c:v>
                </c:pt>
                <c:pt idx="212">
                  <c:v>40749</c:v>
                </c:pt>
                <c:pt idx="213">
                  <c:v>40750</c:v>
                </c:pt>
                <c:pt idx="214">
                  <c:v>40751</c:v>
                </c:pt>
                <c:pt idx="215">
                  <c:v>40752</c:v>
                </c:pt>
                <c:pt idx="216">
                  <c:v>40753</c:v>
                </c:pt>
                <c:pt idx="217">
                  <c:v>40754</c:v>
                </c:pt>
                <c:pt idx="218">
                  <c:v>40755</c:v>
                </c:pt>
                <c:pt idx="219">
                  <c:v>40756</c:v>
                </c:pt>
                <c:pt idx="220">
                  <c:v>40757</c:v>
                </c:pt>
                <c:pt idx="221">
                  <c:v>40758</c:v>
                </c:pt>
                <c:pt idx="222">
                  <c:v>40759</c:v>
                </c:pt>
                <c:pt idx="223">
                  <c:v>40760</c:v>
                </c:pt>
                <c:pt idx="224">
                  <c:v>40761</c:v>
                </c:pt>
                <c:pt idx="225">
                  <c:v>40762</c:v>
                </c:pt>
                <c:pt idx="226">
                  <c:v>40763</c:v>
                </c:pt>
                <c:pt idx="227">
                  <c:v>40764</c:v>
                </c:pt>
                <c:pt idx="228">
                  <c:v>40765</c:v>
                </c:pt>
                <c:pt idx="229">
                  <c:v>40766</c:v>
                </c:pt>
                <c:pt idx="230">
                  <c:v>40767</c:v>
                </c:pt>
                <c:pt idx="231">
                  <c:v>40768</c:v>
                </c:pt>
                <c:pt idx="232">
                  <c:v>40769</c:v>
                </c:pt>
                <c:pt idx="233">
                  <c:v>40770</c:v>
                </c:pt>
                <c:pt idx="234">
                  <c:v>40771</c:v>
                </c:pt>
                <c:pt idx="235">
                  <c:v>40772</c:v>
                </c:pt>
                <c:pt idx="236">
                  <c:v>40773</c:v>
                </c:pt>
                <c:pt idx="237">
                  <c:v>40774</c:v>
                </c:pt>
                <c:pt idx="238">
                  <c:v>40775</c:v>
                </c:pt>
                <c:pt idx="239">
                  <c:v>40776</c:v>
                </c:pt>
                <c:pt idx="240">
                  <c:v>40777</c:v>
                </c:pt>
                <c:pt idx="241">
                  <c:v>40778</c:v>
                </c:pt>
                <c:pt idx="242">
                  <c:v>40779</c:v>
                </c:pt>
                <c:pt idx="243">
                  <c:v>40780</c:v>
                </c:pt>
                <c:pt idx="244">
                  <c:v>40781</c:v>
                </c:pt>
                <c:pt idx="245">
                  <c:v>40782</c:v>
                </c:pt>
                <c:pt idx="246">
                  <c:v>40783</c:v>
                </c:pt>
                <c:pt idx="247">
                  <c:v>40784</c:v>
                </c:pt>
                <c:pt idx="248">
                  <c:v>40785</c:v>
                </c:pt>
                <c:pt idx="249">
                  <c:v>40786</c:v>
                </c:pt>
                <c:pt idx="250">
                  <c:v>40787</c:v>
                </c:pt>
                <c:pt idx="251">
                  <c:v>40788</c:v>
                </c:pt>
                <c:pt idx="252">
                  <c:v>40789</c:v>
                </c:pt>
                <c:pt idx="253">
                  <c:v>40790</c:v>
                </c:pt>
                <c:pt idx="254">
                  <c:v>40791</c:v>
                </c:pt>
                <c:pt idx="255">
                  <c:v>40792</c:v>
                </c:pt>
                <c:pt idx="256">
                  <c:v>40793</c:v>
                </c:pt>
                <c:pt idx="257">
                  <c:v>40794</c:v>
                </c:pt>
                <c:pt idx="258">
                  <c:v>40795</c:v>
                </c:pt>
                <c:pt idx="259">
                  <c:v>40796</c:v>
                </c:pt>
                <c:pt idx="260">
                  <c:v>40797</c:v>
                </c:pt>
                <c:pt idx="261">
                  <c:v>40798</c:v>
                </c:pt>
                <c:pt idx="262">
                  <c:v>40799</c:v>
                </c:pt>
                <c:pt idx="263">
                  <c:v>40800</c:v>
                </c:pt>
                <c:pt idx="264">
                  <c:v>40801</c:v>
                </c:pt>
                <c:pt idx="265">
                  <c:v>40802</c:v>
                </c:pt>
                <c:pt idx="266">
                  <c:v>40803</c:v>
                </c:pt>
                <c:pt idx="267">
                  <c:v>40804</c:v>
                </c:pt>
                <c:pt idx="268">
                  <c:v>40805</c:v>
                </c:pt>
                <c:pt idx="269">
                  <c:v>40806</c:v>
                </c:pt>
                <c:pt idx="270">
                  <c:v>40807</c:v>
                </c:pt>
                <c:pt idx="271">
                  <c:v>40808</c:v>
                </c:pt>
                <c:pt idx="272">
                  <c:v>40809</c:v>
                </c:pt>
                <c:pt idx="273">
                  <c:v>40810</c:v>
                </c:pt>
                <c:pt idx="274">
                  <c:v>40811</c:v>
                </c:pt>
                <c:pt idx="275">
                  <c:v>40812</c:v>
                </c:pt>
                <c:pt idx="276">
                  <c:v>40813</c:v>
                </c:pt>
                <c:pt idx="277">
                  <c:v>40814</c:v>
                </c:pt>
                <c:pt idx="278">
                  <c:v>40815</c:v>
                </c:pt>
                <c:pt idx="279">
                  <c:v>40816</c:v>
                </c:pt>
                <c:pt idx="280">
                  <c:v>40817</c:v>
                </c:pt>
                <c:pt idx="281">
                  <c:v>40818</c:v>
                </c:pt>
                <c:pt idx="282">
                  <c:v>40819</c:v>
                </c:pt>
                <c:pt idx="283">
                  <c:v>40820</c:v>
                </c:pt>
                <c:pt idx="284">
                  <c:v>40821</c:v>
                </c:pt>
                <c:pt idx="285">
                  <c:v>40822</c:v>
                </c:pt>
                <c:pt idx="286">
                  <c:v>40823</c:v>
                </c:pt>
                <c:pt idx="287">
                  <c:v>40824</c:v>
                </c:pt>
                <c:pt idx="288">
                  <c:v>40825</c:v>
                </c:pt>
                <c:pt idx="289">
                  <c:v>40826</c:v>
                </c:pt>
                <c:pt idx="290">
                  <c:v>40827</c:v>
                </c:pt>
                <c:pt idx="291">
                  <c:v>40828</c:v>
                </c:pt>
                <c:pt idx="292">
                  <c:v>40829</c:v>
                </c:pt>
                <c:pt idx="293">
                  <c:v>40830</c:v>
                </c:pt>
                <c:pt idx="294">
                  <c:v>40831</c:v>
                </c:pt>
                <c:pt idx="295">
                  <c:v>40832</c:v>
                </c:pt>
                <c:pt idx="296">
                  <c:v>40833</c:v>
                </c:pt>
                <c:pt idx="297">
                  <c:v>40834</c:v>
                </c:pt>
                <c:pt idx="298">
                  <c:v>40835</c:v>
                </c:pt>
                <c:pt idx="299">
                  <c:v>40836</c:v>
                </c:pt>
                <c:pt idx="300">
                  <c:v>40837</c:v>
                </c:pt>
                <c:pt idx="301">
                  <c:v>40838</c:v>
                </c:pt>
                <c:pt idx="302">
                  <c:v>40839</c:v>
                </c:pt>
                <c:pt idx="303">
                  <c:v>40840</c:v>
                </c:pt>
                <c:pt idx="304">
                  <c:v>40841</c:v>
                </c:pt>
                <c:pt idx="305">
                  <c:v>40842</c:v>
                </c:pt>
                <c:pt idx="306">
                  <c:v>40843</c:v>
                </c:pt>
                <c:pt idx="307">
                  <c:v>40844</c:v>
                </c:pt>
                <c:pt idx="308">
                  <c:v>40845</c:v>
                </c:pt>
                <c:pt idx="309">
                  <c:v>40846</c:v>
                </c:pt>
                <c:pt idx="310">
                  <c:v>40847</c:v>
                </c:pt>
                <c:pt idx="311">
                  <c:v>40848</c:v>
                </c:pt>
                <c:pt idx="312">
                  <c:v>40849</c:v>
                </c:pt>
                <c:pt idx="313">
                  <c:v>40850</c:v>
                </c:pt>
                <c:pt idx="314">
                  <c:v>40851</c:v>
                </c:pt>
                <c:pt idx="315">
                  <c:v>40852</c:v>
                </c:pt>
                <c:pt idx="316">
                  <c:v>40853</c:v>
                </c:pt>
                <c:pt idx="317">
                  <c:v>40854</c:v>
                </c:pt>
                <c:pt idx="318">
                  <c:v>40855</c:v>
                </c:pt>
                <c:pt idx="319">
                  <c:v>40856</c:v>
                </c:pt>
                <c:pt idx="320">
                  <c:v>40857</c:v>
                </c:pt>
                <c:pt idx="321">
                  <c:v>40858</c:v>
                </c:pt>
                <c:pt idx="322">
                  <c:v>40859</c:v>
                </c:pt>
                <c:pt idx="323">
                  <c:v>40860</c:v>
                </c:pt>
                <c:pt idx="324">
                  <c:v>40861</c:v>
                </c:pt>
                <c:pt idx="325">
                  <c:v>40862</c:v>
                </c:pt>
                <c:pt idx="326">
                  <c:v>40863</c:v>
                </c:pt>
                <c:pt idx="327">
                  <c:v>40864</c:v>
                </c:pt>
                <c:pt idx="328">
                  <c:v>40865</c:v>
                </c:pt>
                <c:pt idx="329">
                  <c:v>40866</c:v>
                </c:pt>
                <c:pt idx="330">
                  <c:v>40867</c:v>
                </c:pt>
                <c:pt idx="331">
                  <c:v>40868</c:v>
                </c:pt>
                <c:pt idx="332">
                  <c:v>40869</c:v>
                </c:pt>
                <c:pt idx="333">
                  <c:v>40870</c:v>
                </c:pt>
                <c:pt idx="334">
                  <c:v>40871</c:v>
                </c:pt>
                <c:pt idx="335">
                  <c:v>40872</c:v>
                </c:pt>
                <c:pt idx="336">
                  <c:v>40873</c:v>
                </c:pt>
                <c:pt idx="337">
                  <c:v>40874</c:v>
                </c:pt>
                <c:pt idx="338">
                  <c:v>40875</c:v>
                </c:pt>
                <c:pt idx="339">
                  <c:v>40876</c:v>
                </c:pt>
                <c:pt idx="340">
                  <c:v>40877</c:v>
                </c:pt>
                <c:pt idx="341">
                  <c:v>40878</c:v>
                </c:pt>
                <c:pt idx="342">
                  <c:v>40879</c:v>
                </c:pt>
                <c:pt idx="343">
                  <c:v>40880</c:v>
                </c:pt>
                <c:pt idx="344">
                  <c:v>40881</c:v>
                </c:pt>
                <c:pt idx="345">
                  <c:v>40882</c:v>
                </c:pt>
                <c:pt idx="346">
                  <c:v>40883</c:v>
                </c:pt>
                <c:pt idx="347">
                  <c:v>40884</c:v>
                </c:pt>
                <c:pt idx="348">
                  <c:v>40885</c:v>
                </c:pt>
                <c:pt idx="349">
                  <c:v>40886</c:v>
                </c:pt>
                <c:pt idx="350">
                  <c:v>40887</c:v>
                </c:pt>
                <c:pt idx="351">
                  <c:v>40888</c:v>
                </c:pt>
                <c:pt idx="352">
                  <c:v>40889</c:v>
                </c:pt>
                <c:pt idx="353">
                  <c:v>40890</c:v>
                </c:pt>
                <c:pt idx="354">
                  <c:v>40891</c:v>
                </c:pt>
                <c:pt idx="355">
                  <c:v>40892</c:v>
                </c:pt>
                <c:pt idx="356">
                  <c:v>40893</c:v>
                </c:pt>
                <c:pt idx="357">
                  <c:v>40894</c:v>
                </c:pt>
                <c:pt idx="358">
                  <c:v>40895</c:v>
                </c:pt>
                <c:pt idx="359">
                  <c:v>40896</c:v>
                </c:pt>
                <c:pt idx="360">
                  <c:v>40897</c:v>
                </c:pt>
                <c:pt idx="361">
                  <c:v>40898</c:v>
                </c:pt>
                <c:pt idx="362">
                  <c:v>40899</c:v>
                </c:pt>
                <c:pt idx="363">
                  <c:v>40900</c:v>
                </c:pt>
                <c:pt idx="364">
                  <c:v>40901</c:v>
                </c:pt>
                <c:pt idx="365">
                  <c:v>40902</c:v>
                </c:pt>
                <c:pt idx="366">
                  <c:v>40903</c:v>
                </c:pt>
                <c:pt idx="367">
                  <c:v>40904</c:v>
                </c:pt>
                <c:pt idx="368">
                  <c:v>40905</c:v>
                </c:pt>
                <c:pt idx="369">
                  <c:v>40906</c:v>
                </c:pt>
                <c:pt idx="370">
                  <c:v>40907</c:v>
                </c:pt>
                <c:pt idx="371">
                  <c:v>40908</c:v>
                </c:pt>
                <c:pt idx="372">
                  <c:v>40909</c:v>
                </c:pt>
                <c:pt idx="373">
                  <c:v>40910</c:v>
                </c:pt>
                <c:pt idx="374">
                  <c:v>40911</c:v>
                </c:pt>
              </c:numCache>
            </c:numRef>
          </c:cat>
          <c:val>
            <c:numRef>
              <c:f>Summary!$Q$5:$Q$380</c:f>
              <c:numCache>
                <c:formatCode>0.0</c:formatCode>
                <c:ptCount val="376"/>
                <c:pt idx="0">
                  <c:v>2136.600000003074</c:v>
                </c:pt>
                <c:pt idx="1">
                  <c:v>2202.3500000032536</c:v>
                </c:pt>
                <c:pt idx="2">
                  <c:v>2106.7000000030444</c:v>
                </c:pt>
                <c:pt idx="3">
                  <c:v>2052.1000000029853</c:v>
                </c:pt>
                <c:pt idx="4">
                  <c:v>1981.7200000028363</c:v>
                </c:pt>
                <c:pt idx="5">
                  <c:v>2123.6000000030444</c:v>
                </c:pt>
                <c:pt idx="6">
                  <c:v>2230.7000000032535</c:v>
                </c:pt>
                <c:pt idx="7">
                  <c:v>2178.050000003223</c:v>
                </c:pt>
                <c:pt idx="8">
                  <c:v>2030.0000000029559</c:v>
                </c:pt>
                <c:pt idx="9">
                  <c:v>1902.3400000027502</c:v>
                </c:pt>
                <c:pt idx="10">
                  <c:v>1877.5800000026629</c:v>
                </c:pt>
                <c:pt idx="11">
                  <c:v>1849.5200000026352</c:v>
                </c:pt>
                <c:pt idx="12">
                  <c:v>2245.5500000032844</c:v>
                </c:pt>
                <c:pt idx="13">
                  <c:v>3441.5000000054283</c:v>
                </c:pt>
                <c:pt idx="14">
                  <c:v>3917.6000000064369</c:v>
                </c:pt>
                <c:pt idx="15">
                  <c:v>2762.9600000042092</c:v>
                </c:pt>
                <c:pt idx="16">
                  <c:v>1966.6000000028075</c:v>
                </c:pt>
                <c:pt idx="17">
                  <c:v>1776.320000002552</c:v>
                </c:pt>
                <c:pt idx="18">
                  <c:v>1887.3400000026629</c:v>
                </c:pt>
                <c:pt idx="19">
                  <c:v>2304.4000000034698</c:v>
                </c:pt>
                <c:pt idx="20">
                  <c:v>2192.9000000032229</c:v>
                </c:pt>
                <c:pt idx="21">
                  <c:v>1966.6000000028075</c:v>
                </c:pt>
                <c:pt idx="22">
                  <c:v>18438.950000040626</c:v>
                </c:pt>
                <c:pt idx="23">
                  <c:v>37140.750000090891</c:v>
                </c:pt>
                <c:pt idx="24">
                  <c:v>36616.070000088934</c:v>
                </c:pt>
                <c:pt idx="25">
                  <c:v>29442.000000073953</c:v>
                </c:pt>
                <c:pt idx="26">
                  <c:v>21903.550000051877</c:v>
                </c:pt>
                <c:pt idx="27">
                  <c:v>18081.680000039301</c:v>
                </c:pt>
                <c:pt idx="28">
                  <c:v>15688.640000033691</c:v>
                </c:pt>
                <c:pt idx="29">
                  <c:v>11184.570000022492</c:v>
                </c:pt>
                <c:pt idx="30">
                  <c:v>6934.2500000125683</c:v>
                </c:pt>
                <c:pt idx="31">
                  <c:v>5481.8800000093897</c:v>
                </c:pt>
                <c:pt idx="32">
                  <c:v>3848.6800000061498</c:v>
                </c:pt>
                <c:pt idx="33">
                  <c:v>2787.4400000042442</c:v>
                </c:pt>
                <c:pt idx="34">
                  <c:v>2617.1500000039637</c:v>
                </c:pt>
                <c:pt idx="35">
                  <c:v>2946.0000000045266</c:v>
                </c:pt>
                <c:pt idx="36">
                  <c:v>3250.8400000051183</c:v>
                </c:pt>
                <c:pt idx="37">
                  <c:v>2549.2700000037717</c:v>
                </c:pt>
                <c:pt idx="38">
                  <c:v>1940.1400000028077</c:v>
                </c:pt>
                <c:pt idx="39">
                  <c:v>1933.8400000027789</c:v>
                </c:pt>
                <c:pt idx="40">
                  <c:v>1964.0800000028075</c:v>
                </c:pt>
                <c:pt idx="41">
                  <c:v>2496.3600000037068</c:v>
                </c:pt>
                <c:pt idx="42">
                  <c:v>3135.1600000048252</c:v>
                </c:pt>
                <c:pt idx="43">
                  <c:v>2403.8000000035336</c:v>
                </c:pt>
                <c:pt idx="44">
                  <c:v>2326.8000000034699</c:v>
                </c:pt>
                <c:pt idx="45">
                  <c:v>2174.0000000032232</c:v>
                </c:pt>
                <c:pt idx="46">
                  <c:v>1980.4600000028363</c:v>
                </c:pt>
                <c:pt idx="47">
                  <c:v>1971.6400000028361</c:v>
                </c:pt>
                <c:pt idx="48">
                  <c:v>1989.2800000028362</c:v>
                </c:pt>
                <c:pt idx="49">
                  <c:v>2010.700000002865</c:v>
                </c:pt>
                <c:pt idx="50">
                  <c:v>2155.1000000031922</c:v>
                </c:pt>
                <c:pt idx="51">
                  <c:v>2117.1000000030444</c:v>
                </c:pt>
                <c:pt idx="52">
                  <c:v>2106.7000000030444</c:v>
                </c:pt>
                <c:pt idx="53">
                  <c:v>2043.0000000029854</c:v>
                </c:pt>
                <c:pt idx="54">
                  <c:v>2020.9000000029559</c:v>
                </c:pt>
                <c:pt idx="55">
                  <c:v>2282.0000000034379</c:v>
                </c:pt>
                <c:pt idx="56">
                  <c:v>2449.170000003674</c:v>
                </c:pt>
                <c:pt idx="57">
                  <c:v>2457.7500000036744</c:v>
                </c:pt>
                <c:pt idx="58">
                  <c:v>2366.0000000035016</c:v>
                </c:pt>
                <c:pt idx="59">
                  <c:v>2128.8000000030447</c:v>
                </c:pt>
                <c:pt idx="60">
                  <c:v>1907.3800000027788</c:v>
                </c:pt>
                <c:pt idx="61">
                  <c:v>1872.7000000026351</c:v>
                </c:pt>
                <c:pt idx="62">
                  <c:v>1773.8800000025522</c:v>
                </c:pt>
                <c:pt idx="63">
                  <c:v>1865.3800000026351</c:v>
                </c:pt>
                <c:pt idx="64">
                  <c:v>1765.4600000024684</c:v>
                </c:pt>
                <c:pt idx="65">
                  <c:v>1713.5400000024147</c:v>
                </c:pt>
                <c:pt idx="66">
                  <c:v>1817.8000000026075</c:v>
                </c:pt>
                <c:pt idx="67">
                  <c:v>2087.2000000030148</c:v>
                </c:pt>
                <c:pt idx="68">
                  <c:v>2314.2000000034695</c:v>
                </c:pt>
                <c:pt idx="69">
                  <c:v>2489.2100000037067</c:v>
                </c:pt>
                <c:pt idx="70">
                  <c:v>2657.3800000039978</c:v>
                </c:pt>
                <c:pt idx="71">
                  <c:v>2792.0300000042444</c:v>
                </c:pt>
                <c:pt idx="72">
                  <c:v>2969.7000000045628</c:v>
                </c:pt>
                <c:pt idx="73">
                  <c:v>3210.5200000050804</c:v>
                </c:pt>
                <c:pt idx="74">
                  <c:v>3576.3300000057388</c:v>
                </c:pt>
                <c:pt idx="75">
                  <c:v>4405.6400000072672</c:v>
                </c:pt>
                <c:pt idx="76">
                  <c:v>4852.1400000080876</c:v>
                </c:pt>
                <c:pt idx="77">
                  <c:v>5252.3400000089414</c:v>
                </c:pt>
                <c:pt idx="78">
                  <c:v>5558.4400000094956</c:v>
                </c:pt>
                <c:pt idx="79">
                  <c:v>5845.4000000102496</c:v>
                </c:pt>
                <c:pt idx="80">
                  <c:v>6234.8800000109441</c:v>
                </c:pt>
                <c:pt idx="81">
                  <c:v>6840.7500000125056</c:v>
                </c:pt>
                <c:pt idx="82">
                  <c:v>7430.9200000137625</c:v>
                </c:pt>
                <c:pt idx="83">
                  <c:v>8051.680000015197</c:v>
                </c:pt>
                <c:pt idx="84">
                  <c:v>8647.7500000165528</c:v>
                </c:pt>
                <c:pt idx="85">
                  <c:v>9060.5800000173913</c:v>
                </c:pt>
                <c:pt idx="86">
                  <c:v>9398.2800000182251</c:v>
                </c:pt>
                <c:pt idx="87">
                  <c:v>9678.360000018969</c:v>
                </c:pt>
                <c:pt idx="88">
                  <c:v>9854.3600000191291</c:v>
                </c:pt>
                <c:pt idx="89">
                  <c:v>10237.750000019945</c:v>
                </c:pt>
                <c:pt idx="90">
                  <c:v>10684.16000002092</c:v>
                </c:pt>
                <c:pt idx="91">
                  <c:v>10919.4000000216</c:v>
                </c:pt>
                <c:pt idx="92">
                  <c:v>11133.740000022493</c:v>
                </c:pt>
                <c:pt idx="93">
                  <c:v>11387.890000022669</c:v>
                </c:pt>
                <c:pt idx="94">
                  <c:v>11746.690000023615</c:v>
                </c:pt>
                <c:pt idx="95">
                  <c:v>16550.520000036016</c:v>
                </c:pt>
                <c:pt idx="96">
                  <c:v>23961.400000058078</c:v>
                </c:pt>
                <c:pt idx="97">
                  <c:v>26110.300000063355</c:v>
                </c:pt>
                <c:pt idx="98">
                  <c:v>28022.880000069974</c:v>
                </c:pt>
                <c:pt idx="99">
                  <c:v>27088.520000067554</c:v>
                </c:pt>
                <c:pt idx="100">
                  <c:v>25292.170000060953</c:v>
                </c:pt>
                <c:pt idx="101">
                  <c:v>24802.720000060439</c:v>
                </c:pt>
                <c:pt idx="102">
                  <c:v>24637.060000060268</c:v>
                </c:pt>
                <c:pt idx="103">
                  <c:v>24930.730000060608</c:v>
                </c:pt>
                <c:pt idx="104">
                  <c:v>25375.000000062653</c:v>
                </c:pt>
                <c:pt idx="105">
                  <c:v>25800.700000063003</c:v>
                </c:pt>
                <c:pt idx="106">
                  <c:v>26071.600000063354</c:v>
                </c:pt>
                <c:pt idx="107">
                  <c:v>26458.270000065273</c:v>
                </c:pt>
                <c:pt idx="108">
                  <c:v>26791.330000065453</c:v>
                </c:pt>
                <c:pt idx="109">
                  <c:v>27186.200000067554</c:v>
                </c:pt>
                <c:pt idx="110">
                  <c:v>27511.800000067924</c:v>
                </c:pt>
                <c:pt idx="111">
                  <c:v>27922.800000069972</c:v>
                </c:pt>
                <c:pt idx="112">
                  <c:v>28598.520000072065</c:v>
                </c:pt>
                <c:pt idx="113">
                  <c:v>29305.680000072643</c:v>
                </c:pt>
                <c:pt idx="114">
                  <c:v>29779.350000074344</c:v>
                </c:pt>
                <c:pt idx="115">
                  <c:v>30038.850000074541</c:v>
                </c:pt>
                <c:pt idx="116">
                  <c:v>30237.800000074738</c:v>
                </c:pt>
                <c:pt idx="117">
                  <c:v>30438.70000007606</c:v>
                </c:pt>
                <c:pt idx="118">
                  <c:v>30500.160000076059</c:v>
                </c:pt>
                <c:pt idx="119">
                  <c:v>30658.20000007626</c:v>
                </c:pt>
                <c:pt idx="120">
                  <c:v>30895.260000076458</c:v>
                </c:pt>
                <c:pt idx="121">
                  <c:v>30965.500000076459</c:v>
                </c:pt>
                <c:pt idx="122">
                  <c:v>31088.420000076661</c:v>
                </c:pt>
                <c:pt idx="123">
                  <c:v>31336.640000078085</c:v>
                </c:pt>
                <c:pt idx="124">
                  <c:v>31327.720000078087</c:v>
                </c:pt>
                <c:pt idx="125">
                  <c:v>31220.680000077882</c:v>
                </c:pt>
                <c:pt idx="126">
                  <c:v>31167.440000076658</c:v>
                </c:pt>
                <c:pt idx="127">
                  <c:v>30930.38000007646</c:v>
                </c:pt>
                <c:pt idx="128">
                  <c:v>30983.060000076461</c:v>
                </c:pt>
                <c:pt idx="129">
                  <c:v>31292.040000077883</c:v>
                </c:pt>
                <c:pt idx="130">
                  <c:v>31631.000000078289</c:v>
                </c:pt>
                <c:pt idx="131">
                  <c:v>32090.575000079738</c:v>
                </c:pt>
                <c:pt idx="132">
                  <c:v>32556.650000080252</c:v>
                </c:pt>
                <c:pt idx="133">
                  <c:v>33239.320000082116</c:v>
                </c:pt>
                <c:pt idx="134">
                  <c:v>33928.990000084006</c:v>
                </c:pt>
                <c:pt idx="135">
                  <c:v>33763.150000082533</c:v>
                </c:pt>
                <c:pt idx="136">
                  <c:v>34124.920000084217</c:v>
                </c:pt>
                <c:pt idx="137">
                  <c:v>34572.760000084643</c:v>
                </c:pt>
                <c:pt idx="138">
                  <c:v>35032.660000086253</c:v>
                </c:pt>
                <c:pt idx="139">
                  <c:v>35202.94000008647</c:v>
                </c:pt>
                <c:pt idx="140">
                  <c:v>35713.780000086903</c:v>
                </c:pt>
                <c:pt idx="141">
                  <c:v>44217.100000106315</c:v>
                </c:pt>
                <c:pt idx="142">
                  <c:v>46770.170000111088</c:v>
                </c:pt>
                <c:pt idx="143">
                  <c:v>45193.680000108492</c:v>
                </c:pt>
                <c:pt idx="144">
                  <c:v>43736.800000105082</c:v>
                </c:pt>
                <c:pt idx="145">
                  <c:v>43111.400000104361</c:v>
                </c:pt>
                <c:pt idx="146">
                  <c:v>42931.200000104116</c:v>
                </c:pt>
                <c:pt idx="147">
                  <c:v>43196.200000104363</c:v>
                </c:pt>
                <c:pt idx="148">
                  <c:v>43185.600000104358</c:v>
                </c:pt>
                <c:pt idx="149">
                  <c:v>43217.400000104601</c:v>
                </c:pt>
                <c:pt idx="150">
                  <c:v>43397.600000104598</c:v>
                </c:pt>
                <c:pt idx="151">
                  <c:v>43652.000000104839</c:v>
                </c:pt>
                <c:pt idx="152">
                  <c:v>44131.500000106316</c:v>
                </c:pt>
                <c:pt idx="153">
                  <c:v>44527.400000106558</c:v>
                </c:pt>
                <c:pt idx="154">
                  <c:v>44816.300000107047</c:v>
                </c:pt>
                <c:pt idx="155">
                  <c:v>44988.100000108243</c:v>
                </c:pt>
                <c:pt idx="156">
                  <c:v>45388.440000108742</c:v>
                </c:pt>
                <c:pt idx="157">
                  <c:v>45886.160000109237</c:v>
                </c:pt>
                <c:pt idx="158">
                  <c:v>46485.99000011084</c:v>
                </c:pt>
                <c:pt idx="159">
                  <c:v>46726.450000111086</c:v>
                </c:pt>
                <c:pt idx="160">
                  <c:v>46988.770000111334</c:v>
                </c:pt>
                <c:pt idx="161">
                  <c:v>47473.320000112704</c:v>
                </c:pt>
                <c:pt idx="162">
                  <c:v>48014.280000113205</c:v>
                </c:pt>
                <c:pt idx="163">
                  <c:v>48369.100000114842</c:v>
                </c:pt>
                <c:pt idx="164">
                  <c:v>48636.700000115095</c:v>
                </c:pt>
                <c:pt idx="165">
                  <c:v>48781.6500001151</c:v>
                </c:pt>
                <c:pt idx="166">
                  <c:v>48748.200000115095</c:v>
                </c:pt>
                <c:pt idx="167">
                  <c:v>49105.000000115353</c:v>
                </c:pt>
                <c:pt idx="168">
                  <c:v>49598.240000117003</c:v>
                </c:pt>
                <c:pt idx="169">
                  <c:v>49778.400000117261</c:v>
                </c:pt>
                <c:pt idx="170">
                  <c:v>49969.820000117259</c:v>
                </c:pt>
                <c:pt idx="171">
                  <c:v>50262.580000117516</c:v>
                </c:pt>
                <c:pt idx="172">
                  <c:v>50533.660000119031</c:v>
                </c:pt>
                <c:pt idx="173">
                  <c:v>50613.320000119289</c:v>
                </c:pt>
                <c:pt idx="174">
                  <c:v>50499.520000119024</c:v>
                </c:pt>
                <c:pt idx="175">
                  <c:v>50465.380000119025</c:v>
                </c:pt>
                <c:pt idx="176">
                  <c:v>50670.220000119283</c:v>
                </c:pt>
                <c:pt idx="177">
                  <c:v>50670.220000119283</c:v>
                </c:pt>
                <c:pt idx="178">
                  <c:v>50681.600000119281</c:v>
                </c:pt>
                <c:pt idx="179">
                  <c:v>50852.300000119285</c:v>
                </c:pt>
                <c:pt idx="180">
                  <c:v>50727.120000119285</c:v>
                </c:pt>
                <c:pt idx="181">
                  <c:v>50658.840000119286</c:v>
                </c:pt>
                <c:pt idx="182">
                  <c:v>50613.320000119289</c:v>
                </c:pt>
                <c:pt idx="183">
                  <c:v>50341.40000011777</c:v>
                </c:pt>
                <c:pt idx="184">
                  <c:v>50262.580000117516</c:v>
                </c:pt>
                <c:pt idx="185">
                  <c:v>50352.660000117772</c:v>
                </c:pt>
                <c:pt idx="186">
                  <c:v>50476.760000119029</c:v>
                </c:pt>
                <c:pt idx="187">
                  <c:v>50363.920000117774</c:v>
                </c:pt>
                <c:pt idx="188">
                  <c:v>50228.800000117517</c:v>
                </c:pt>
                <c:pt idx="189">
                  <c:v>50059.900000117515</c:v>
                </c:pt>
                <c:pt idx="190">
                  <c:v>49947.300000117255</c:v>
                </c:pt>
                <c:pt idx="191">
                  <c:v>49699.580000117006</c:v>
                </c:pt>
                <c:pt idx="192">
                  <c:v>49519.420000117003</c:v>
                </c:pt>
                <c:pt idx="193">
                  <c:v>49384.300000116746</c:v>
                </c:pt>
                <c:pt idx="194">
                  <c:v>49205.350000115606</c:v>
                </c:pt>
                <c:pt idx="195">
                  <c:v>48915.45000011535</c:v>
                </c:pt>
                <c:pt idx="196">
                  <c:v>48447.150000114845</c:v>
                </c:pt>
                <c:pt idx="197">
                  <c:v>48014.280000113205</c:v>
                </c:pt>
                <c:pt idx="198">
                  <c:v>47550.600000112958</c:v>
                </c:pt>
                <c:pt idx="199">
                  <c:v>47076.210000111336</c:v>
                </c:pt>
                <c:pt idx="200">
                  <c:v>46846.68000011109</c:v>
                </c:pt>
                <c:pt idx="201">
                  <c:v>46715.520000111086</c:v>
                </c:pt>
                <c:pt idx="202">
                  <c:v>46431.340000110838</c:v>
                </c:pt>
                <c:pt idx="203">
                  <c:v>46201.810000110592</c:v>
                </c:pt>
                <c:pt idx="204">
                  <c:v>45907.800000109237</c:v>
                </c:pt>
                <c:pt idx="205">
                  <c:v>45518.280000108738</c:v>
                </c:pt>
                <c:pt idx="206">
                  <c:v>45020.560000108249</c:v>
                </c:pt>
                <c:pt idx="207">
                  <c:v>44538.100000106802</c:v>
                </c:pt>
                <c:pt idx="208">
                  <c:v>44067.300000106319</c:v>
                </c:pt>
                <c:pt idx="209">
                  <c:v>43535.400000104841</c:v>
                </c:pt>
                <c:pt idx="210">
                  <c:v>42963.000000104359</c:v>
                </c:pt>
                <c:pt idx="211">
                  <c:v>42374.730000102361</c:v>
                </c:pt>
                <c:pt idx="212">
                  <c:v>41798.88000010189</c:v>
                </c:pt>
                <c:pt idx="213">
                  <c:v>41488.680000100198</c:v>
                </c:pt>
                <c:pt idx="214">
                  <c:v>41199.720000099958</c:v>
                </c:pt>
                <c:pt idx="215">
                  <c:v>41044.920000099723</c:v>
                </c:pt>
                <c:pt idx="216">
                  <c:v>40962.360000099725</c:v>
                </c:pt>
                <c:pt idx="217">
                  <c:v>40879.800000099727</c:v>
                </c:pt>
                <c:pt idx="218">
                  <c:v>40786.92000009949</c:v>
                </c:pt>
                <c:pt idx="219">
                  <c:v>40684.320000098043</c:v>
                </c:pt>
                <c:pt idx="220">
                  <c:v>40582.620000097813</c:v>
                </c:pt>
                <c:pt idx="221">
                  <c:v>40480.920000097816</c:v>
                </c:pt>
                <c:pt idx="222">
                  <c:v>40358.880000097815</c:v>
                </c:pt>
                <c:pt idx="223">
                  <c:v>40191.075000097466</c:v>
                </c:pt>
                <c:pt idx="224">
                  <c:v>40023.270000097349</c:v>
                </c:pt>
                <c:pt idx="225">
                  <c:v>39850.38000009735</c:v>
                </c:pt>
                <c:pt idx="226">
                  <c:v>39779.190000097122</c:v>
                </c:pt>
                <c:pt idx="227">
                  <c:v>39587.64000009578</c:v>
                </c:pt>
                <c:pt idx="228">
                  <c:v>39427.160000095551</c:v>
                </c:pt>
                <c:pt idx="229">
                  <c:v>39276.710000095329</c:v>
                </c:pt>
                <c:pt idx="230">
                  <c:v>39136.290000095323</c:v>
                </c:pt>
                <c:pt idx="231">
                  <c:v>38975.810000095102</c:v>
                </c:pt>
                <c:pt idx="232">
                  <c:v>38835.390000095103</c:v>
                </c:pt>
                <c:pt idx="233">
                  <c:v>38725.060000094869</c:v>
                </c:pt>
                <c:pt idx="234">
                  <c:v>38576.430000093322</c:v>
                </c:pt>
                <c:pt idx="235">
                  <c:v>38428.080000093323</c:v>
                </c:pt>
                <c:pt idx="236">
                  <c:v>38289.620000093098</c:v>
                </c:pt>
                <c:pt idx="237">
                  <c:v>38131.380000093093</c:v>
                </c:pt>
                <c:pt idx="238">
                  <c:v>37963.25000009287</c:v>
                </c:pt>
                <c:pt idx="239">
                  <c:v>37785.230000092648</c:v>
                </c:pt>
                <c:pt idx="240">
                  <c:v>37618.500000091335</c:v>
                </c:pt>
                <c:pt idx="241">
                  <c:v>37530.750000091117</c:v>
                </c:pt>
                <c:pt idx="242">
                  <c:v>37384.500000091117</c:v>
                </c:pt>
                <c:pt idx="243">
                  <c:v>37228.500000090891</c:v>
                </c:pt>
                <c:pt idx="244">
                  <c:v>37053.000000090673</c:v>
                </c:pt>
                <c:pt idx="245">
                  <c:v>36897.000000090673</c:v>
                </c:pt>
                <c:pt idx="246">
                  <c:v>36731.390000089152</c:v>
                </c:pt>
                <c:pt idx="247">
                  <c:v>36529.580000088936</c:v>
                </c:pt>
                <c:pt idx="248">
                  <c:v>36298.940000088711</c:v>
                </c:pt>
                <c:pt idx="249">
                  <c:v>36077.910000088501</c:v>
                </c:pt>
                <c:pt idx="250">
                  <c:v>35818.440000088274</c:v>
                </c:pt>
                <c:pt idx="251">
                  <c:v>35534.040000086679</c:v>
                </c:pt>
                <c:pt idx="252">
                  <c:v>35231.320000086467</c:v>
                </c:pt>
                <c:pt idx="253">
                  <c:v>34928.600000086037</c:v>
                </c:pt>
                <c:pt idx="254">
                  <c:v>34628.740000084646</c:v>
                </c:pt>
                <c:pt idx="255">
                  <c:v>34320.850000084429</c:v>
                </c:pt>
                <c:pt idx="256">
                  <c:v>34003.630000084013</c:v>
                </c:pt>
                <c:pt idx="257">
                  <c:v>33698.820000082538</c:v>
                </c:pt>
                <c:pt idx="258">
                  <c:v>33395.55000008233</c:v>
                </c:pt>
                <c:pt idx="259">
                  <c:v>33073.900000081914</c:v>
                </c:pt>
                <c:pt idx="260">
                  <c:v>32755.750000080458</c:v>
                </c:pt>
                <c:pt idx="261">
                  <c:v>32439.00000008025</c:v>
                </c:pt>
                <c:pt idx="262">
                  <c:v>32140.350000079841</c:v>
                </c:pt>
                <c:pt idx="263">
                  <c:v>31854.000000078489</c:v>
                </c:pt>
                <c:pt idx="264">
                  <c:v>31559.640000078289</c:v>
                </c:pt>
                <c:pt idx="265">
                  <c:v>31202.840000077882</c:v>
                </c:pt>
                <c:pt idx="266">
                  <c:v>30807.460000076258</c:v>
                </c:pt>
                <c:pt idx="267">
                  <c:v>30544.060000076061</c:v>
                </c:pt>
                <c:pt idx="268">
                  <c:v>30289.700000074739</c:v>
                </c:pt>
                <c:pt idx="269">
                  <c:v>29891.800000074345</c:v>
                </c:pt>
                <c:pt idx="270">
                  <c:v>29356.800000072839</c:v>
                </c:pt>
                <c:pt idx="271">
                  <c:v>28734.840000072261</c:v>
                </c:pt>
                <c:pt idx="272">
                  <c:v>28039.560000069974</c:v>
                </c:pt>
                <c:pt idx="273">
                  <c:v>27292.02000006774</c:v>
                </c:pt>
                <c:pt idx="274">
                  <c:v>26601.010000065271</c:v>
                </c:pt>
                <c:pt idx="275">
                  <c:v>25924.540000063178</c:v>
                </c:pt>
                <c:pt idx="276">
                  <c:v>25277.11000006078</c:v>
                </c:pt>
                <c:pt idx="277">
                  <c:v>24467.860000058579</c:v>
                </c:pt>
                <c:pt idx="278">
                  <c:v>23716.640000056334</c:v>
                </c:pt>
                <c:pt idx="279">
                  <c:v>22986.350000054201</c:v>
                </c:pt>
                <c:pt idx="280">
                  <c:v>22269.130000052184</c:v>
                </c:pt>
                <c:pt idx="281">
                  <c:v>21565.480000050044</c:v>
                </c:pt>
                <c:pt idx="282">
                  <c:v>20869.800000048021</c:v>
                </c:pt>
                <c:pt idx="283">
                  <c:v>20132.400000046033</c:v>
                </c:pt>
                <c:pt idx="284">
                  <c:v>19346.440000043949</c:v>
                </c:pt>
                <c:pt idx="285">
                  <c:v>18575.510000040755</c:v>
                </c:pt>
                <c:pt idx="286">
                  <c:v>17837.920000039048</c:v>
                </c:pt>
                <c:pt idx="287">
                  <c:v>17041.820000037394</c:v>
                </c:pt>
                <c:pt idx="288">
                  <c:v>16208.31000003503</c:v>
                </c:pt>
                <c:pt idx="289">
                  <c:v>15422.960000032665</c:v>
                </c:pt>
                <c:pt idx="290">
                  <c:v>15009.680000032218</c:v>
                </c:pt>
                <c:pt idx="291">
                  <c:v>14615.600000031105</c:v>
                </c:pt>
                <c:pt idx="292">
                  <c:v>13955.170000028991</c:v>
                </c:pt>
                <c:pt idx="293">
                  <c:v>13157.800000027521</c:v>
                </c:pt>
                <c:pt idx="294">
                  <c:v>12266.520000024731</c:v>
                </c:pt>
                <c:pt idx="295">
                  <c:v>11337.060000022671</c:v>
                </c:pt>
                <c:pt idx="296">
                  <c:v>10376.230000020667</c:v>
                </c:pt>
                <c:pt idx="297">
                  <c:v>9477.4000000183023</c:v>
                </c:pt>
                <c:pt idx="298">
                  <c:v>8664.0000000166274</c:v>
                </c:pt>
                <c:pt idx="299">
                  <c:v>7987.0000000151267</c:v>
                </c:pt>
                <c:pt idx="300">
                  <c:v>7445.4700000138282</c:v>
                </c:pt>
                <c:pt idx="301">
                  <c:v>7705.000000014461</c:v>
                </c:pt>
                <c:pt idx="302">
                  <c:v>8885.0000000167747</c:v>
                </c:pt>
                <c:pt idx="303">
                  <c:v>8755.0000000167001</c:v>
                </c:pt>
                <c:pt idx="304">
                  <c:v>8165.6400000152671</c:v>
                </c:pt>
                <c:pt idx="305">
                  <c:v>7413.4600000137625</c:v>
                </c:pt>
                <c:pt idx="306">
                  <c:v>6611.9000000119149</c:v>
                </c:pt>
                <c:pt idx="307">
                  <c:v>5882.150000010306</c:v>
                </c:pt>
                <c:pt idx="308">
                  <c:v>5241.0400000089412</c:v>
                </c:pt>
                <c:pt idx="309">
                  <c:v>4845.7500000080881</c:v>
                </c:pt>
                <c:pt idx="310">
                  <c:v>5024.4000000085034</c:v>
                </c:pt>
                <c:pt idx="311">
                  <c:v>4764.8100000079912</c:v>
                </c:pt>
                <c:pt idx="312">
                  <c:v>4287.0500000071297</c:v>
                </c:pt>
                <c:pt idx="313">
                  <c:v>3769.5600000060663</c:v>
                </c:pt>
                <c:pt idx="314">
                  <c:v>3262.6000000051185</c:v>
                </c:pt>
                <c:pt idx="315">
                  <c:v>2778.2600000042439</c:v>
                </c:pt>
                <c:pt idx="316">
                  <c:v>2345.0000000035016</c:v>
                </c:pt>
                <c:pt idx="317">
                  <c:v>2066.4000000030151</c:v>
                </c:pt>
                <c:pt idx="318">
                  <c:v>1916.200000002779</c:v>
                </c:pt>
                <c:pt idx="319">
                  <c:v>1825.1200000026074</c:v>
                </c:pt>
                <c:pt idx="320">
                  <c:v>1848.3000000026354</c:v>
                </c:pt>
                <c:pt idx="321">
                  <c:v>1974.1600000028363</c:v>
                </c:pt>
                <c:pt idx="322">
                  <c:v>1942.6600000028077</c:v>
                </c:pt>
                <c:pt idx="323">
                  <c:v>2426.2900000036416</c:v>
                </c:pt>
                <c:pt idx="324">
                  <c:v>3006.0400000045984</c:v>
                </c:pt>
                <c:pt idx="325">
                  <c:v>2291.8000000034381</c:v>
                </c:pt>
                <c:pt idx="326">
                  <c:v>1991.8000000028362</c:v>
                </c:pt>
                <c:pt idx="327">
                  <c:v>2466.3300000036743</c:v>
                </c:pt>
                <c:pt idx="328">
                  <c:v>2163.2000000031921</c:v>
                </c:pt>
                <c:pt idx="329">
                  <c:v>1937.6200000027791</c:v>
                </c:pt>
                <c:pt idx="330">
                  <c:v>1955.2600000028076</c:v>
                </c:pt>
                <c:pt idx="331">
                  <c:v>1906.1200000027502</c:v>
                </c:pt>
                <c:pt idx="332">
                  <c:v>2026.1000000029558</c:v>
                </c:pt>
                <c:pt idx="333">
                  <c:v>2403.8000000035336</c:v>
                </c:pt>
                <c:pt idx="334">
                  <c:v>2100.2000000030444</c:v>
                </c:pt>
                <c:pt idx="335">
                  <c:v>2152.4000000031924</c:v>
                </c:pt>
                <c:pt idx="336">
                  <c:v>2353.4000000035016</c:v>
                </c:pt>
                <c:pt idx="337">
                  <c:v>2773.6700000042438</c:v>
                </c:pt>
                <c:pt idx="338">
                  <c:v>3143.2600000048255</c:v>
                </c:pt>
                <c:pt idx="339">
                  <c:v>2462.0400000036743</c:v>
                </c:pt>
                <c:pt idx="340">
                  <c:v>1964.0800000028075</c:v>
                </c:pt>
                <c:pt idx="341">
                  <c:v>1898.5600000027503</c:v>
                </c:pt>
                <c:pt idx="342">
                  <c:v>1972.9000000028364</c:v>
                </c:pt>
                <c:pt idx="343">
                  <c:v>1933.8400000027789</c:v>
                </c:pt>
                <c:pt idx="344">
                  <c:v>1844.6400000026076</c:v>
                </c:pt>
                <c:pt idx="345">
                  <c:v>1856.8400000026354</c:v>
                </c:pt>
                <c:pt idx="346">
                  <c:v>1865.3800000026351</c:v>
                </c:pt>
                <c:pt idx="347">
                  <c:v>1860.5000000026353</c:v>
                </c:pt>
                <c:pt idx="348">
                  <c:v>1817.8000000026075</c:v>
                </c:pt>
                <c:pt idx="349">
                  <c:v>1908.6400000027788</c:v>
                </c:pt>
                <c:pt idx="350">
                  <c:v>2010.700000002865</c:v>
                </c:pt>
                <c:pt idx="351">
                  <c:v>1940.1400000028077</c:v>
                </c:pt>
                <c:pt idx="352">
                  <c:v>1825.1200000026074</c:v>
                </c:pt>
                <c:pt idx="353">
                  <c:v>1792.1800000025798</c:v>
                </c:pt>
                <c:pt idx="354">
                  <c:v>1794.6200000025799</c:v>
                </c:pt>
                <c:pt idx="355">
                  <c:v>1795.8400000025799</c:v>
                </c:pt>
                <c:pt idx="356">
                  <c:v>1803.1600000025796</c:v>
                </c:pt>
                <c:pt idx="357">
                  <c:v>1790.9600000025798</c:v>
                </c:pt>
                <c:pt idx="358">
                  <c:v>1828.7800000026075</c:v>
                </c:pt>
                <c:pt idx="359">
                  <c:v>1860.5000000026353</c:v>
                </c:pt>
                <c:pt idx="360">
                  <c:v>1861.7200000026353</c:v>
                </c:pt>
                <c:pt idx="361">
                  <c:v>1853.1800000026353</c:v>
                </c:pt>
                <c:pt idx="362">
                  <c:v>1826.3400000026074</c:v>
                </c:pt>
                <c:pt idx="363">
                  <c:v>1854.4000000026354</c:v>
                </c:pt>
                <c:pt idx="364">
                  <c:v>1902.3400000027502</c:v>
                </c:pt>
                <c:pt idx="365">
                  <c:v>2022.2000000029559</c:v>
                </c:pt>
                <c:pt idx="366">
                  <c:v>2032.6000000029558</c:v>
                </c:pt>
                <c:pt idx="367">
                  <c:v>2030.0000000029559</c:v>
                </c:pt>
                <c:pt idx="368">
                  <c:v>4873.4400000081359</c:v>
                </c:pt>
                <c:pt idx="369">
                  <c:v>5345.0000000092841</c:v>
                </c:pt>
                <c:pt idx="370">
                  <c:v>6144.1600000108301</c:v>
                </c:pt>
                <c:pt idx="371">
                  <c:v>4686.0000000079426</c:v>
                </c:pt>
                <c:pt idx="372">
                  <c:v>3835.8000000061502</c:v>
                </c:pt>
                <c:pt idx="373">
                  <c:v>3093.0400000047885</c:v>
                </c:pt>
                <c:pt idx="374">
                  <c:v>#N/A</c:v>
                </c:pt>
                <c:pt idx="375">
                  <c:v>#N/A</c:v>
                </c:pt>
              </c:numCache>
            </c:numRef>
          </c:val>
        </c:ser>
        <c:ser>
          <c:idx val="0"/>
          <c:order val="1"/>
          <c:tx>
            <c:strRef>
              <c:f>Summary!$T$2</c:f>
              <c:strCache>
                <c:ptCount val="1"/>
                <c:pt idx="0">
                  <c:v>Municipal Storage</c:v>
                </c:pt>
              </c:strCache>
            </c:strRef>
          </c:tx>
          <c:spPr>
            <a:ln w="25400">
              <a:solidFill>
                <a:srgbClr val="00FF00"/>
              </a:solidFill>
              <a:prstDash val="solid"/>
            </a:ln>
          </c:spPr>
          <c:marker>
            <c:symbol val="none"/>
          </c:marker>
          <c:cat>
            <c:numRef>
              <c:f>Summary!$A$5:$A$380</c:f>
              <c:numCache>
                <c:formatCode>[$-409]d\-mmm;@</c:formatCode>
                <c:ptCount val="376"/>
                <c:pt idx="0">
                  <c:v>40537</c:v>
                </c:pt>
                <c:pt idx="1">
                  <c:v>40538</c:v>
                </c:pt>
                <c:pt idx="2">
                  <c:v>40539</c:v>
                </c:pt>
                <c:pt idx="3">
                  <c:v>40540</c:v>
                </c:pt>
                <c:pt idx="4">
                  <c:v>40541</c:v>
                </c:pt>
                <c:pt idx="5">
                  <c:v>40542</c:v>
                </c:pt>
                <c:pt idx="6">
                  <c:v>40543</c:v>
                </c:pt>
                <c:pt idx="7">
                  <c:v>40544</c:v>
                </c:pt>
                <c:pt idx="8">
                  <c:v>40545</c:v>
                </c:pt>
                <c:pt idx="9">
                  <c:v>40546</c:v>
                </c:pt>
                <c:pt idx="10">
                  <c:v>40547</c:v>
                </c:pt>
                <c:pt idx="11">
                  <c:v>40548</c:v>
                </c:pt>
                <c:pt idx="12">
                  <c:v>40549</c:v>
                </c:pt>
                <c:pt idx="13">
                  <c:v>40550</c:v>
                </c:pt>
                <c:pt idx="14">
                  <c:v>40551</c:v>
                </c:pt>
                <c:pt idx="15">
                  <c:v>40552</c:v>
                </c:pt>
                <c:pt idx="16">
                  <c:v>40553</c:v>
                </c:pt>
                <c:pt idx="17">
                  <c:v>40554</c:v>
                </c:pt>
                <c:pt idx="18">
                  <c:v>40555</c:v>
                </c:pt>
                <c:pt idx="19">
                  <c:v>40556</c:v>
                </c:pt>
                <c:pt idx="20">
                  <c:v>40557</c:v>
                </c:pt>
                <c:pt idx="21">
                  <c:v>40558</c:v>
                </c:pt>
                <c:pt idx="22">
                  <c:v>40559</c:v>
                </c:pt>
                <c:pt idx="23">
                  <c:v>40560</c:v>
                </c:pt>
                <c:pt idx="24">
                  <c:v>40561</c:v>
                </c:pt>
                <c:pt idx="25">
                  <c:v>40562</c:v>
                </c:pt>
                <c:pt idx="26">
                  <c:v>40563</c:v>
                </c:pt>
                <c:pt idx="27">
                  <c:v>40564</c:v>
                </c:pt>
                <c:pt idx="28">
                  <c:v>40565</c:v>
                </c:pt>
                <c:pt idx="29">
                  <c:v>40566</c:v>
                </c:pt>
                <c:pt idx="30">
                  <c:v>40567</c:v>
                </c:pt>
                <c:pt idx="31">
                  <c:v>40568</c:v>
                </c:pt>
                <c:pt idx="32">
                  <c:v>40569</c:v>
                </c:pt>
                <c:pt idx="33">
                  <c:v>40570</c:v>
                </c:pt>
                <c:pt idx="34">
                  <c:v>40571</c:v>
                </c:pt>
                <c:pt idx="35">
                  <c:v>40572</c:v>
                </c:pt>
                <c:pt idx="36">
                  <c:v>40573</c:v>
                </c:pt>
                <c:pt idx="37">
                  <c:v>40574</c:v>
                </c:pt>
                <c:pt idx="38">
                  <c:v>40575</c:v>
                </c:pt>
                <c:pt idx="39">
                  <c:v>40576</c:v>
                </c:pt>
                <c:pt idx="40">
                  <c:v>40577</c:v>
                </c:pt>
                <c:pt idx="41">
                  <c:v>40578</c:v>
                </c:pt>
                <c:pt idx="42">
                  <c:v>40579</c:v>
                </c:pt>
                <c:pt idx="43">
                  <c:v>40580</c:v>
                </c:pt>
                <c:pt idx="44">
                  <c:v>40581</c:v>
                </c:pt>
                <c:pt idx="45">
                  <c:v>40582</c:v>
                </c:pt>
                <c:pt idx="46">
                  <c:v>40583</c:v>
                </c:pt>
                <c:pt idx="47">
                  <c:v>40584</c:v>
                </c:pt>
                <c:pt idx="48">
                  <c:v>40585</c:v>
                </c:pt>
                <c:pt idx="49">
                  <c:v>40586</c:v>
                </c:pt>
                <c:pt idx="50">
                  <c:v>40587</c:v>
                </c:pt>
                <c:pt idx="51">
                  <c:v>40588</c:v>
                </c:pt>
                <c:pt idx="52">
                  <c:v>40589</c:v>
                </c:pt>
                <c:pt idx="53">
                  <c:v>40590</c:v>
                </c:pt>
                <c:pt idx="54">
                  <c:v>40591</c:v>
                </c:pt>
                <c:pt idx="55">
                  <c:v>40592</c:v>
                </c:pt>
                <c:pt idx="56">
                  <c:v>40593</c:v>
                </c:pt>
                <c:pt idx="57">
                  <c:v>40594</c:v>
                </c:pt>
                <c:pt idx="58">
                  <c:v>40595</c:v>
                </c:pt>
                <c:pt idx="59">
                  <c:v>40596</c:v>
                </c:pt>
                <c:pt idx="60">
                  <c:v>40597</c:v>
                </c:pt>
                <c:pt idx="61">
                  <c:v>40598</c:v>
                </c:pt>
                <c:pt idx="62">
                  <c:v>40599</c:v>
                </c:pt>
                <c:pt idx="63">
                  <c:v>40600</c:v>
                </c:pt>
                <c:pt idx="64">
                  <c:v>40601</c:v>
                </c:pt>
                <c:pt idx="65">
                  <c:v>40602</c:v>
                </c:pt>
                <c:pt idx="66">
                  <c:v>40603</c:v>
                </c:pt>
                <c:pt idx="67">
                  <c:v>40604</c:v>
                </c:pt>
                <c:pt idx="68">
                  <c:v>40605</c:v>
                </c:pt>
                <c:pt idx="69">
                  <c:v>40606</c:v>
                </c:pt>
                <c:pt idx="70">
                  <c:v>40607</c:v>
                </c:pt>
                <c:pt idx="71">
                  <c:v>40608</c:v>
                </c:pt>
                <c:pt idx="72">
                  <c:v>40609</c:v>
                </c:pt>
                <c:pt idx="73">
                  <c:v>40610</c:v>
                </c:pt>
                <c:pt idx="74">
                  <c:v>40611</c:v>
                </c:pt>
                <c:pt idx="75">
                  <c:v>40612</c:v>
                </c:pt>
                <c:pt idx="76">
                  <c:v>40613</c:v>
                </c:pt>
                <c:pt idx="77">
                  <c:v>40614</c:v>
                </c:pt>
                <c:pt idx="78">
                  <c:v>40615</c:v>
                </c:pt>
                <c:pt idx="79">
                  <c:v>40616</c:v>
                </c:pt>
                <c:pt idx="80">
                  <c:v>40617</c:v>
                </c:pt>
                <c:pt idx="81">
                  <c:v>40618</c:v>
                </c:pt>
                <c:pt idx="82">
                  <c:v>40619</c:v>
                </c:pt>
                <c:pt idx="83">
                  <c:v>40620</c:v>
                </c:pt>
                <c:pt idx="84">
                  <c:v>40621</c:v>
                </c:pt>
                <c:pt idx="85">
                  <c:v>40622</c:v>
                </c:pt>
                <c:pt idx="86">
                  <c:v>40623</c:v>
                </c:pt>
                <c:pt idx="87">
                  <c:v>40624</c:v>
                </c:pt>
                <c:pt idx="88">
                  <c:v>40625</c:v>
                </c:pt>
                <c:pt idx="89">
                  <c:v>40626</c:v>
                </c:pt>
                <c:pt idx="90">
                  <c:v>40627</c:v>
                </c:pt>
                <c:pt idx="91">
                  <c:v>40628</c:v>
                </c:pt>
                <c:pt idx="92">
                  <c:v>40629</c:v>
                </c:pt>
                <c:pt idx="93">
                  <c:v>40630</c:v>
                </c:pt>
                <c:pt idx="94">
                  <c:v>40631</c:v>
                </c:pt>
                <c:pt idx="95">
                  <c:v>40632</c:v>
                </c:pt>
                <c:pt idx="96">
                  <c:v>40633</c:v>
                </c:pt>
                <c:pt idx="97">
                  <c:v>40634</c:v>
                </c:pt>
                <c:pt idx="98">
                  <c:v>40635</c:v>
                </c:pt>
                <c:pt idx="99">
                  <c:v>40636</c:v>
                </c:pt>
                <c:pt idx="100">
                  <c:v>40637</c:v>
                </c:pt>
                <c:pt idx="101">
                  <c:v>40638</c:v>
                </c:pt>
                <c:pt idx="102">
                  <c:v>40639</c:v>
                </c:pt>
                <c:pt idx="103">
                  <c:v>40640</c:v>
                </c:pt>
                <c:pt idx="104">
                  <c:v>40641</c:v>
                </c:pt>
                <c:pt idx="105">
                  <c:v>40642</c:v>
                </c:pt>
                <c:pt idx="106">
                  <c:v>40643</c:v>
                </c:pt>
                <c:pt idx="107">
                  <c:v>40644</c:v>
                </c:pt>
                <c:pt idx="108">
                  <c:v>40645</c:v>
                </c:pt>
                <c:pt idx="109">
                  <c:v>40646</c:v>
                </c:pt>
                <c:pt idx="110">
                  <c:v>40647</c:v>
                </c:pt>
                <c:pt idx="111">
                  <c:v>40648</c:v>
                </c:pt>
                <c:pt idx="112">
                  <c:v>40649</c:v>
                </c:pt>
                <c:pt idx="113">
                  <c:v>40650</c:v>
                </c:pt>
                <c:pt idx="114">
                  <c:v>40651</c:v>
                </c:pt>
                <c:pt idx="115">
                  <c:v>40652</c:v>
                </c:pt>
                <c:pt idx="116">
                  <c:v>40653</c:v>
                </c:pt>
                <c:pt idx="117">
                  <c:v>40654</c:v>
                </c:pt>
                <c:pt idx="118">
                  <c:v>40655</c:v>
                </c:pt>
                <c:pt idx="119">
                  <c:v>40656</c:v>
                </c:pt>
                <c:pt idx="120">
                  <c:v>40657</c:v>
                </c:pt>
                <c:pt idx="121">
                  <c:v>40658</c:v>
                </c:pt>
                <c:pt idx="122">
                  <c:v>40659</c:v>
                </c:pt>
                <c:pt idx="123">
                  <c:v>40660</c:v>
                </c:pt>
                <c:pt idx="124">
                  <c:v>40661</c:v>
                </c:pt>
                <c:pt idx="125">
                  <c:v>40662</c:v>
                </c:pt>
                <c:pt idx="126">
                  <c:v>40663</c:v>
                </c:pt>
                <c:pt idx="127">
                  <c:v>40664</c:v>
                </c:pt>
                <c:pt idx="128">
                  <c:v>40665</c:v>
                </c:pt>
                <c:pt idx="129">
                  <c:v>40666</c:v>
                </c:pt>
                <c:pt idx="130">
                  <c:v>40667</c:v>
                </c:pt>
                <c:pt idx="131">
                  <c:v>40668</c:v>
                </c:pt>
                <c:pt idx="132">
                  <c:v>40669</c:v>
                </c:pt>
                <c:pt idx="133">
                  <c:v>40670</c:v>
                </c:pt>
                <c:pt idx="134">
                  <c:v>40671</c:v>
                </c:pt>
                <c:pt idx="135">
                  <c:v>40672</c:v>
                </c:pt>
                <c:pt idx="136">
                  <c:v>40673</c:v>
                </c:pt>
                <c:pt idx="137">
                  <c:v>40674</c:v>
                </c:pt>
                <c:pt idx="138">
                  <c:v>40675</c:v>
                </c:pt>
                <c:pt idx="139">
                  <c:v>40676</c:v>
                </c:pt>
                <c:pt idx="140">
                  <c:v>40677</c:v>
                </c:pt>
                <c:pt idx="141">
                  <c:v>40678</c:v>
                </c:pt>
                <c:pt idx="142">
                  <c:v>40679</c:v>
                </c:pt>
                <c:pt idx="143">
                  <c:v>40680</c:v>
                </c:pt>
                <c:pt idx="144">
                  <c:v>40681</c:v>
                </c:pt>
                <c:pt idx="145">
                  <c:v>40682</c:v>
                </c:pt>
                <c:pt idx="146">
                  <c:v>40683</c:v>
                </c:pt>
                <c:pt idx="147">
                  <c:v>40684</c:v>
                </c:pt>
                <c:pt idx="148">
                  <c:v>40685</c:v>
                </c:pt>
                <c:pt idx="149">
                  <c:v>40686</c:v>
                </c:pt>
                <c:pt idx="150">
                  <c:v>40687</c:v>
                </c:pt>
                <c:pt idx="151">
                  <c:v>40688</c:v>
                </c:pt>
                <c:pt idx="152">
                  <c:v>40689</c:v>
                </c:pt>
                <c:pt idx="153">
                  <c:v>40690</c:v>
                </c:pt>
                <c:pt idx="154">
                  <c:v>40691</c:v>
                </c:pt>
                <c:pt idx="155">
                  <c:v>40692</c:v>
                </c:pt>
                <c:pt idx="156">
                  <c:v>40693</c:v>
                </c:pt>
                <c:pt idx="157">
                  <c:v>40694</c:v>
                </c:pt>
                <c:pt idx="158">
                  <c:v>40695</c:v>
                </c:pt>
                <c:pt idx="159">
                  <c:v>40696</c:v>
                </c:pt>
                <c:pt idx="160">
                  <c:v>40697</c:v>
                </c:pt>
                <c:pt idx="161">
                  <c:v>40698</c:v>
                </c:pt>
                <c:pt idx="162">
                  <c:v>40699</c:v>
                </c:pt>
                <c:pt idx="163">
                  <c:v>40700</c:v>
                </c:pt>
                <c:pt idx="164">
                  <c:v>40701</c:v>
                </c:pt>
                <c:pt idx="165">
                  <c:v>40702</c:v>
                </c:pt>
                <c:pt idx="166">
                  <c:v>40703</c:v>
                </c:pt>
                <c:pt idx="167">
                  <c:v>40704</c:v>
                </c:pt>
                <c:pt idx="168">
                  <c:v>40705</c:v>
                </c:pt>
                <c:pt idx="169">
                  <c:v>40706</c:v>
                </c:pt>
                <c:pt idx="170">
                  <c:v>40707</c:v>
                </c:pt>
                <c:pt idx="171">
                  <c:v>40708</c:v>
                </c:pt>
                <c:pt idx="172">
                  <c:v>40709</c:v>
                </c:pt>
                <c:pt idx="173">
                  <c:v>40710</c:v>
                </c:pt>
                <c:pt idx="174">
                  <c:v>40711</c:v>
                </c:pt>
                <c:pt idx="175">
                  <c:v>40712</c:v>
                </c:pt>
                <c:pt idx="176">
                  <c:v>40713</c:v>
                </c:pt>
                <c:pt idx="177">
                  <c:v>40714</c:v>
                </c:pt>
                <c:pt idx="178">
                  <c:v>40715</c:v>
                </c:pt>
                <c:pt idx="179">
                  <c:v>40716</c:v>
                </c:pt>
                <c:pt idx="180">
                  <c:v>40717</c:v>
                </c:pt>
                <c:pt idx="181">
                  <c:v>40718</c:v>
                </c:pt>
                <c:pt idx="182">
                  <c:v>40719</c:v>
                </c:pt>
                <c:pt idx="183">
                  <c:v>40720</c:v>
                </c:pt>
                <c:pt idx="184">
                  <c:v>40721</c:v>
                </c:pt>
                <c:pt idx="185">
                  <c:v>40722</c:v>
                </c:pt>
                <c:pt idx="186">
                  <c:v>40723</c:v>
                </c:pt>
                <c:pt idx="187">
                  <c:v>40724</c:v>
                </c:pt>
                <c:pt idx="188">
                  <c:v>40725</c:v>
                </c:pt>
                <c:pt idx="189">
                  <c:v>40726</c:v>
                </c:pt>
                <c:pt idx="190">
                  <c:v>40727</c:v>
                </c:pt>
                <c:pt idx="191">
                  <c:v>40728</c:v>
                </c:pt>
                <c:pt idx="192">
                  <c:v>40729</c:v>
                </c:pt>
                <c:pt idx="193">
                  <c:v>40730</c:v>
                </c:pt>
                <c:pt idx="194">
                  <c:v>40731</c:v>
                </c:pt>
                <c:pt idx="195">
                  <c:v>40732</c:v>
                </c:pt>
                <c:pt idx="196">
                  <c:v>40733</c:v>
                </c:pt>
                <c:pt idx="197">
                  <c:v>40734</c:v>
                </c:pt>
                <c:pt idx="198">
                  <c:v>40735</c:v>
                </c:pt>
                <c:pt idx="199">
                  <c:v>40736</c:v>
                </c:pt>
                <c:pt idx="200">
                  <c:v>40737</c:v>
                </c:pt>
                <c:pt idx="201">
                  <c:v>40738</c:v>
                </c:pt>
                <c:pt idx="202">
                  <c:v>40739</c:v>
                </c:pt>
                <c:pt idx="203">
                  <c:v>40740</c:v>
                </c:pt>
                <c:pt idx="204">
                  <c:v>40741</c:v>
                </c:pt>
                <c:pt idx="205">
                  <c:v>40742</c:v>
                </c:pt>
                <c:pt idx="206">
                  <c:v>40743</c:v>
                </c:pt>
                <c:pt idx="207">
                  <c:v>40744</c:v>
                </c:pt>
                <c:pt idx="208">
                  <c:v>40745</c:v>
                </c:pt>
                <c:pt idx="209">
                  <c:v>40746</c:v>
                </c:pt>
                <c:pt idx="210">
                  <c:v>40747</c:v>
                </c:pt>
                <c:pt idx="211">
                  <c:v>40748</c:v>
                </c:pt>
                <c:pt idx="212">
                  <c:v>40749</c:v>
                </c:pt>
                <c:pt idx="213">
                  <c:v>40750</c:v>
                </c:pt>
                <c:pt idx="214">
                  <c:v>40751</c:v>
                </c:pt>
                <c:pt idx="215">
                  <c:v>40752</c:v>
                </c:pt>
                <c:pt idx="216">
                  <c:v>40753</c:v>
                </c:pt>
                <c:pt idx="217">
                  <c:v>40754</c:v>
                </c:pt>
                <c:pt idx="218">
                  <c:v>40755</c:v>
                </c:pt>
                <c:pt idx="219">
                  <c:v>40756</c:v>
                </c:pt>
                <c:pt idx="220">
                  <c:v>40757</c:v>
                </c:pt>
                <c:pt idx="221">
                  <c:v>40758</c:v>
                </c:pt>
                <c:pt idx="222">
                  <c:v>40759</c:v>
                </c:pt>
                <c:pt idx="223">
                  <c:v>40760</c:v>
                </c:pt>
                <c:pt idx="224">
                  <c:v>40761</c:v>
                </c:pt>
                <c:pt idx="225">
                  <c:v>40762</c:v>
                </c:pt>
                <c:pt idx="226">
                  <c:v>40763</c:v>
                </c:pt>
                <c:pt idx="227">
                  <c:v>40764</c:v>
                </c:pt>
                <c:pt idx="228">
                  <c:v>40765</c:v>
                </c:pt>
                <c:pt idx="229">
                  <c:v>40766</c:v>
                </c:pt>
                <c:pt idx="230">
                  <c:v>40767</c:v>
                </c:pt>
                <c:pt idx="231">
                  <c:v>40768</c:v>
                </c:pt>
                <c:pt idx="232">
                  <c:v>40769</c:v>
                </c:pt>
                <c:pt idx="233">
                  <c:v>40770</c:v>
                </c:pt>
                <c:pt idx="234">
                  <c:v>40771</c:v>
                </c:pt>
                <c:pt idx="235">
                  <c:v>40772</c:v>
                </c:pt>
                <c:pt idx="236">
                  <c:v>40773</c:v>
                </c:pt>
                <c:pt idx="237">
                  <c:v>40774</c:v>
                </c:pt>
                <c:pt idx="238">
                  <c:v>40775</c:v>
                </c:pt>
                <c:pt idx="239">
                  <c:v>40776</c:v>
                </c:pt>
                <c:pt idx="240">
                  <c:v>40777</c:v>
                </c:pt>
                <c:pt idx="241">
                  <c:v>40778</c:v>
                </c:pt>
                <c:pt idx="242">
                  <c:v>40779</c:v>
                </c:pt>
                <c:pt idx="243">
                  <c:v>40780</c:v>
                </c:pt>
                <c:pt idx="244">
                  <c:v>40781</c:v>
                </c:pt>
                <c:pt idx="245">
                  <c:v>40782</c:v>
                </c:pt>
                <c:pt idx="246">
                  <c:v>40783</c:v>
                </c:pt>
                <c:pt idx="247">
                  <c:v>40784</c:v>
                </c:pt>
                <c:pt idx="248">
                  <c:v>40785</c:v>
                </c:pt>
                <c:pt idx="249">
                  <c:v>40786</c:v>
                </c:pt>
                <c:pt idx="250">
                  <c:v>40787</c:v>
                </c:pt>
                <c:pt idx="251">
                  <c:v>40788</c:v>
                </c:pt>
                <c:pt idx="252">
                  <c:v>40789</c:v>
                </c:pt>
                <c:pt idx="253">
                  <c:v>40790</c:v>
                </c:pt>
                <c:pt idx="254">
                  <c:v>40791</c:v>
                </c:pt>
                <c:pt idx="255">
                  <c:v>40792</c:v>
                </c:pt>
                <c:pt idx="256">
                  <c:v>40793</c:v>
                </c:pt>
                <c:pt idx="257">
                  <c:v>40794</c:v>
                </c:pt>
                <c:pt idx="258">
                  <c:v>40795</c:v>
                </c:pt>
                <c:pt idx="259">
                  <c:v>40796</c:v>
                </c:pt>
                <c:pt idx="260">
                  <c:v>40797</c:v>
                </c:pt>
                <c:pt idx="261">
                  <c:v>40798</c:v>
                </c:pt>
                <c:pt idx="262">
                  <c:v>40799</c:v>
                </c:pt>
                <c:pt idx="263">
                  <c:v>40800</c:v>
                </c:pt>
                <c:pt idx="264">
                  <c:v>40801</c:v>
                </c:pt>
                <c:pt idx="265">
                  <c:v>40802</c:v>
                </c:pt>
                <c:pt idx="266">
                  <c:v>40803</c:v>
                </c:pt>
                <c:pt idx="267">
                  <c:v>40804</c:v>
                </c:pt>
                <c:pt idx="268">
                  <c:v>40805</c:v>
                </c:pt>
                <c:pt idx="269">
                  <c:v>40806</c:v>
                </c:pt>
                <c:pt idx="270">
                  <c:v>40807</c:v>
                </c:pt>
                <c:pt idx="271">
                  <c:v>40808</c:v>
                </c:pt>
                <c:pt idx="272">
                  <c:v>40809</c:v>
                </c:pt>
                <c:pt idx="273">
                  <c:v>40810</c:v>
                </c:pt>
                <c:pt idx="274">
                  <c:v>40811</c:v>
                </c:pt>
                <c:pt idx="275">
                  <c:v>40812</c:v>
                </c:pt>
                <c:pt idx="276">
                  <c:v>40813</c:v>
                </c:pt>
                <c:pt idx="277">
                  <c:v>40814</c:v>
                </c:pt>
                <c:pt idx="278">
                  <c:v>40815</c:v>
                </c:pt>
                <c:pt idx="279">
                  <c:v>40816</c:v>
                </c:pt>
                <c:pt idx="280">
                  <c:v>40817</c:v>
                </c:pt>
                <c:pt idx="281">
                  <c:v>40818</c:v>
                </c:pt>
                <c:pt idx="282">
                  <c:v>40819</c:v>
                </c:pt>
                <c:pt idx="283">
                  <c:v>40820</c:v>
                </c:pt>
                <c:pt idx="284">
                  <c:v>40821</c:v>
                </c:pt>
                <c:pt idx="285">
                  <c:v>40822</c:v>
                </c:pt>
                <c:pt idx="286">
                  <c:v>40823</c:v>
                </c:pt>
                <c:pt idx="287">
                  <c:v>40824</c:v>
                </c:pt>
                <c:pt idx="288">
                  <c:v>40825</c:v>
                </c:pt>
                <c:pt idx="289">
                  <c:v>40826</c:v>
                </c:pt>
                <c:pt idx="290">
                  <c:v>40827</c:v>
                </c:pt>
                <c:pt idx="291">
                  <c:v>40828</c:v>
                </c:pt>
                <c:pt idx="292">
                  <c:v>40829</c:v>
                </c:pt>
                <c:pt idx="293">
                  <c:v>40830</c:v>
                </c:pt>
                <c:pt idx="294">
                  <c:v>40831</c:v>
                </c:pt>
                <c:pt idx="295">
                  <c:v>40832</c:v>
                </c:pt>
                <c:pt idx="296">
                  <c:v>40833</c:v>
                </c:pt>
                <c:pt idx="297">
                  <c:v>40834</c:v>
                </c:pt>
                <c:pt idx="298">
                  <c:v>40835</c:v>
                </c:pt>
                <c:pt idx="299">
                  <c:v>40836</c:v>
                </c:pt>
                <c:pt idx="300">
                  <c:v>40837</c:v>
                </c:pt>
                <c:pt idx="301">
                  <c:v>40838</c:v>
                </c:pt>
                <c:pt idx="302">
                  <c:v>40839</c:v>
                </c:pt>
                <c:pt idx="303">
                  <c:v>40840</c:v>
                </c:pt>
                <c:pt idx="304">
                  <c:v>40841</c:v>
                </c:pt>
                <c:pt idx="305">
                  <c:v>40842</c:v>
                </c:pt>
                <c:pt idx="306">
                  <c:v>40843</c:v>
                </c:pt>
                <c:pt idx="307">
                  <c:v>40844</c:v>
                </c:pt>
                <c:pt idx="308">
                  <c:v>40845</c:v>
                </c:pt>
                <c:pt idx="309">
                  <c:v>40846</c:v>
                </c:pt>
                <c:pt idx="310">
                  <c:v>40847</c:v>
                </c:pt>
                <c:pt idx="311">
                  <c:v>40848</c:v>
                </c:pt>
                <c:pt idx="312">
                  <c:v>40849</c:v>
                </c:pt>
                <c:pt idx="313">
                  <c:v>40850</c:v>
                </c:pt>
                <c:pt idx="314">
                  <c:v>40851</c:v>
                </c:pt>
                <c:pt idx="315">
                  <c:v>40852</c:v>
                </c:pt>
                <c:pt idx="316">
                  <c:v>40853</c:v>
                </c:pt>
                <c:pt idx="317">
                  <c:v>40854</c:v>
                </c:pt>
                <c:pt idx="318">
                  <c:v>40855</c:v>
                </c:pt>
                <c:pt idx="319">
                  <c:v>40856</c:v>
                </c:pt>
                <c:pt idx="320">
                  <c:v>40857</c:v>
                </c:pt>
                <c:pt idx="321">
                  <c:v>40858</c:v>
                </c:pt>
                <c:pt idx="322">
                  <c:v>40859</c:v>
                </c:pt>
                <c:pt idx="323">
                  <c:v>40860</c:v>
                </c:pt>
                <c:pt idx="324">
                  <c:v>40861</c:v>
                </c:pt>
                <c:pt idx="325">
                  <c:v>40862</c:v>
                </c:pt>
                <c:pt idx="326">
                  <c:v>40863</c:v>
                </c:pt>
                <c:pt idx="327">
                  <c:v>40864</c:v>
                </c:pt>
                <c:pt idx="328">
                  <c:v>40865</c:v>
                </c:pt>
                <c:pt idx="329">
                  <c:v>40866</c:v>
                </c:pt>
                <c:pt idx="330">
                  <c:v>40867</c:v>
                </c:pt>
                <c:pt idx="331">
                  <c:v>40868</c:v>
                </c:pt>
                <c:pt idx="332">
                  <c:v>40869</c:v>
                </c:pt>
                <c:pt idx="333">
                  <c:v>40870</c:v>
                </c:pt>
                <c:pt idx="334">
                  <c:v>40871</c:v>
                </c:pt>
                <c:pt idx="335">
                  <c:v>40872</c:v>
                </c:pt>
                <c:pt idx="336">
                  <c:v>40873</c:v>
                </c:pt>
                <c:pt idx="337">
                  <c:v>40874</c:v>
                </c:pt>
                <c:pt idx="338">
                  <c:v>40875</c:v>
                </c:pt>
                <c:pt idx="339">
                  <c:v>40876</c:v>
                </c:pt>
                <c:pt idx="340">
                  <c:v>40877</c:v>
                </c:pt>
                <c:pt idx="341">
                  <c:v>40878</c:v>
                </c:pt>
                <c:pt idx="342">
                  <c:v>40879</c:v>
                </c:pt>
                <c:pt idx="343">
                  <c:v>40880</c:v>
                </c:pt>
                <c:pt idx="344">
                  <c:v>40881</c:v>
                </c:pt>
                <c:pt idx="345">
                  <c:v>40882</c:v>
                </c:pt>
                <c:pt idx="346">
                  <c:v>40883</c:v>
                </c:pt>
                <c:pt idx="347">
                  <c:v>40884</c:v>
                </c:pt>
                <c:pt idx="348">
                  <c:v>40885</c:v>
                </c:pt>
                <c:pt idx="349">
                  <c:v>40886</c:v>
                </c:pt>
                <c:pt idx="350">
                  <c:v>40887</c:v>
                </c:pt>
                <c:pt idx="351">
                  <c:v>40888</c:v>
                </c:pt>
                <c:pt idx="352">
                  <c:v>40889</c:v>
                </c:pt>
                <c:pt idx="353">
                  <c:v>40890</c:v>
                </c:pt>
                <c:pt idx="354">
                  <c:v>40891</c:v>
                </c:pt>
                <c:pt idx="355">
                  <c:v>40892</c:v>
                </c:pt>
                <c:pt idx="356">
                  <c:v>40893</c:v>
                </c:pt>
                <c:pt idx="357">
                  <c:v>40894</c:v>
                </c:pt>
                <c:pt idx="358">
                  <c:v>40895</c:v>
                </c:pt>
                <c:pt idx="359">
                  <c:v>40896</c:v>
                </c:pt>
                <c:pt idx="360">
                  <c:v>40897</c:v>
                </c:pt>
                <c:pt idx="361">
                  <c:v>40898</c:v>
                </c:pt>
                <c:pt idx="362">
                  <c:v>40899</c:v>
                </c:pt>
                <c:pt idx="363">
                  <c:v>40900</c:v>
                </c:pt>
                <c:pt idx="364">
                  <c:v>40901</c:v>
                </c:pt>
                <c:pt idx="365">
                  <c:v>40902</c:v>
                </c:pt>
                <c:pt idx="366">
                  <c:v>40903</c:v>
                </c:pt>
                <c:pt idx="367">
                  <c:v>40904</c:v>
                </c:pt>
                <c:pt idx="368">
                  <c:v>40905</c:v>
                </c:pt>
                <c:pt idx="369">
                  <c:v>40906</c:v>
                </c:pt>
                <c:pt idx="370">
                  <c:v>40907</c:v>
                </c:pt>
                <c:pt idx="371">
                  <c:v>40908</c:v>
                </c:pt>
                <c:pt idx="372">
                  <c:v>40909</c:v>
                </c:pt>
                <c:pt idx="373">
                  <c:v>40910</c:v>
                </c:pt>
                <c:pt idx="374">
                  <c:v>40911</c:v>
                </c:pt>
              </c:numCache>
            </c:numRef>
          </c:cat>
          <c:val>
            <c:numRef>
              <c:f>Summary!$T$5:$T$380</c:f>
              <c:numCache>
                <c:formatCode>0.0</c:formatCode>
                <c:ptCount val="3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198.31551999999999</c:v>
                </c:pt>
                <c:pt idx="67">
                  <c:v>376.49928508670411</c:v>
                </c:pt>
                <c:pt idx="68">
                  <c:v>548.75746303206768</c:v>
                </c:pt>
                <c:pt idx="69">
                  <c:v>720.72312743361385</c:v>
                </c:pt>
                <c:pt idx="70">
                  <c:v>893.1106411730143</c:v>
                </c:pt>
                <c:pt idx="71">
                  <c:v>1064.7047699331556</c:v>
                </c:pt>
                <c:pt idx="72">
                  <c:v>1236.7574308335006</c:v>
                </c:pt>
                <c:pt idx="73">
                  <c:v>1408.7704053789548</c:v>
                </c:pt>
                <c:pt idx="74">
                  <c:v>1581.0263688471646</c:v>
                </c:pt>
                <c:pt idx="75">
                  <c:v>1772.8648733583605</c:v>
                </c:pt>
                <c:pt idx="76">
                  <c:v>1971.1803933583606</c:v>
                </c:pt>
                <c:pt idx="77">
                  <c:v>2161.9748695576664</c:v>
                </c:pt>
                <c:pt idx="78">
                  <c:v>2335.0449041409952</c:v>
                </c:pt>
                <c:pt idx="79">
                  <c:v>2511.7872476704097</c:v>
                </c:pt>
                <c:pt idx="80">
                  <c:v>2698.1663025407256</c:v>
                </c:pt>
                <c:pt idx="81">
                  <c:v>2869.9018793019945</c:v>
                </c:pt>
                <c:pt idx="82">
                  <c:v>3041.8532549124902</c:v>
                </c:pt>
                <c:pt idx="83">
                  <c:v>3214.3637312674095</c:v>
                </c:pt>
                <c:pt idx="84">
                  <c:v>3385.8490012674088</c:v>
                </c:pt>
                <c:pt idx="85">
                  <c:v>3558.0707879340725</c:v>
                </c:pt>
                <c:pt idx="86">
                  <c:v>3730.7003574930177</c:v>
                </c:pt>
                <c:pt idx="87">
                  <c:v>3901.8007593634893</c:v>
                </c:pt>
                <c:pt idx="88">
                  <c:v>4073.7839010425555</c:v>
                </c:pt>
                <c:pt idx="89">
                  <c:v>4244.8170347562418</c:v>
                </c:pt>
                <c:pt idx="90">
                  <c:v>4416.1751794976844</c:v>
                </c:pt>
                <c:pt idx="91">
                  <c:v>4589.0789325229962</c:v>
                </c:pt>
                <c:pt idx="92">
                  <c:v>4760.8778127814776</c:v>
                </c:pt>
                <c:pt idx="93">
                  <c:v>4932.2851680755912</c:v>
                </c:pt>
                <c:pt idx="94">
                  <c:v>5104.31672013972</c:v>
                </c:pt>
                <c:pt idx="95">
                  <c:v>5289.5894173032902</c:v>
                </c:pt>
                <c:pt idx="96">
                  <c:v>5485.8624057964398</c:v>
                </c:pt>
                <c:pt idx="97">
                  <c:v>5684.1779257964408</c:v>
                </c:pt>
                <c:pt idx="98">
                  <c:v>5882.4934457964391</c:v>
                </c:pt>
                <c:pt idx="99">
                  <c:v>6080.8089657964401</c:v>
                </c:pt>
                <c:pt idx="100">
                  <c:v>6279.1244857964384</c:v>
                </c:pt>
                <c:pt idx="101">
                  <c:v>6477.4400057964394</c:v>
                </c:pt>
                <c:pt idx="102">
                  <c:v>6675.5235527219238</c:v>
                </c:pt>
                <c:pt idx="103">
                  <c:v>6873.839072721923</c:v>
                </c:pt>
                <c:pt idx="104">
                  <c:v>7072.1545927219231</c:v>
                </c:pt>
                <c:pt idx="105">
                  <c:v>7270.4701127219241</c:v>
                </c:pt>
                <c:pt idx="106">
                  <c:v>7468.7856327219233</c:v>
                </c:pt>
                <c:pt idx="107">
                  <c:v>7667.1011527219234</c:v>
                </c:pt>
                <c:pt idx="108">
                  <c:v>7865.4166727219226</c:v>
                </c:pt>
                <c:pt idx="109">
                  <c:v>8063.7321927219227</c:v>
                </c:pt>
                <c:pt idx="110">
                  <c:v>8255.0338118119125</c:v>
                </c:pt>
                <c:pt idx="111">
                  <c:v>8428.4329828865011</c:v>
                </c:pt>
                <c:pt idx="112">
                  <c:v>8600.3125481315801</c:v>
                </c:pt>
                <c:pt idx="113">
                  <c:v>8771.386388332754</c:v>
                </c:pt>
                <c:pt idx="114">
                  <c:v>8939.832904508663</c:v>
                </c:pt>
                <c:pt idx="115">
                  <c:v>9110.6315762270187</c:v>
                </c:pt>
                <c:pt idx="116">
                  <c:v>9283.5539242062896</c:v>
                </c:pt>
                <c:pt idx="117">
                  <c:v>9455.4288623881112</c:v>
                </c:pt>
                <c:pt idx="118">
                  <c:v>9626.7756099794606</c:v>
                </c:pt>
                <c:pt idx="119">
                  <c:v>9799.7306737737217</c:v>
                </c:pt>
                <c:pt idx="120">
                  <c:v>9970.5824614317135</c:v>
                </c:pt>
                <c:pt idx="121">
                  <c:v>10141.694895802526</c:v>
                </c:pt>
                <c:pt idx="122">
                  <c:v>10309.545654109877</c:v>
                </c:pt>
                <c:pt idx="123">
                  <c:v>10478.581709352165</c:v>
                </c:pt>
                <c:pt idx="124">
                  <c:v>10648.972547212914</c:v>
                </c:pt>
                <c:pt idx="125">
                  <c:v>10821.609894834928</c:v>
                </c:pt>
                <c:pt idx="126">
                  <c:v>10996.745573581136</c:v>
                </c:pt>
                <c:pt idx="127">
                  <c:v>11171.527874783764</c:v>
                </c:pt>
                <c:pt idx="128">
                  <c:v>11343.892330591187</c:v>
                </c:pt>
                <c:pt idx="129">
                  <c:v>11514.346219250152</c:v>
                </c:pt>
                <c:pt idx="130">
                  <c:v>11687.804053464615</c:v>
                </c:pt>
                <c:pt idx="131">
                  <c:v>11859.841739262814</c:v>
                </c:pt>
                <c:pt idx="132">
                  <c:v>12030.402908401127</c:v>
                </c:pt>
                <c:pt idx="133">
                  <c:v>12202.44784831455</c:v>
                </c:pt>
                <c:pt idx="134">
                  <c:v>12374.406459223639</c:v>
                </c:pt>
                <c:pt idx="135">
                  <c:v>12553.187174719766</c:v>
                </c:pt>
                <c:pt idx="136">
                  <c:v>12727.837374212553</c:v>
                </c:pt>
                <c:pt idx="137">
                  <c:v>12899.867275247037</c:v>
                </c:pt>
                <c:pt idx="138">
                  <c:v>13071.726256674925</c:v>
                </c:pt>
                <c:pt idx="139">
                  <c:v>13243.512873644624</c:v>
                </c:pt>
                <c:pt idx="140">
                  <c:v>13415.190509469532</c:v>
                </c:pt>
                <c:pt idx="141">
                  <c:v>13594.864513680066</c:v>
                </c:pt>
                <c:pt idx="142">
                  <c:v>13793.180033680064</c:v>
                </c:pt>
                <c:pt idx="143">
                  <c:v>13991.495553680064</c:v>
                </c:pt>
                <c:pt idx="144">
                  <c:v>14189.811073680066</c:v>
                </c:pt>
                <c:pt idx="145">
                  <c:v>14388.126593680065</c:v>
                </c:pt>
                <c:pt idx="146">
                  <c:v>14586.442113680065</c:v>
                </c:pt>
                <c:pt idx="147">
                  <c:v>14784.757633680067</c:v>
                </c:pt>
                <c:pt idx="148">
                  <c:v>14983.073153680065</c:v>
                </c:pt>
                <c:pt idx="149">
                  <c:v>15181.388673680065</c:v>
                </c:pt>
                <c:pt idx="150">
                  <c:v>15379.704193680063</c:v>
                </c:pt>
                <c:pt idx="151">
                  <c:v>15578.019713680065</c:v>
                </c:pt>
                <c:pt idx="152">
                  <c:v>15776.335233680065</c:v>
                </c:pt>
                <c:pt idx="153">
                  <c:v>15972.939364296995</c:v>
                </c:pt>
                <c:pt idx="154">
                  <c:v>16170.524310383955</c:v>
                </c:pt>
                <c:pt idx="155">
                  <c:v>16368.839830383953</c:v>
                </c:pt>
                <c:pt idx="156">
                  <c:v>16567.155350383953</c:v>
                </c:pt>
                <c:pt idx="157">
                  <c:v>16765.470870383953</c:v>
                </c:pt>
                <c:pt idx="158">
                  <c:v>16963.786390383953</c:v>
                </c:pt>
                <c:pt idx="159">
                  <c:v>17147.964339911061</c:v>
                </c:pt>
                <c:pt idx="160">
                  <c:v>17318.379827951016</c:v>
                </c:pt>
                <c:pt idx="161">
                  <c:v>17488.075796911755</c:v>
                </c:pt>
                <c:pt idx="162">
                  <c:v>17657.743804350575</c:v>
                </c:pt>
                <c:pt idx="163">
                  <c:v>17827.40941794535</c:v>
                </c:pt>
                <c:pt idx="164">
                  <c:v>17997.410360167574</c:v>
                </c:pt>
                <c:pt idx="165">
                  <c:v>18167.668680167575</c:v>
                </c:pt>
                <c:pt idx="166">
                  <c:v>18440.711232694062</c:v>
                </c:pt>
                <c:pt idx="167">
                  <c:v>18609.772763884692</c:v>
                </c:pt>
                <c:pt idx="168">
                  <c:v>18778.278383070632</c:v>
                </c:pt>
                <c:pt idx="169">
                  <c:v>18947.034233403312</c:v>
                </c:pt>
                <c:pt idx="170">
                  <c:v>19114.819806675856</c:v>
                </c:pt>
                <c:pt idx="171">
                  <c:v>19250.766067392993</c:v>
                </c:pt>
                <c:pt idx="172">
                  <c:v>20000</c:v>
                </c:pt>
                <c:pt idx="173">
                  <c:v>20000</c:v>
                </c:pt>
                <c:pt idx="174">
                  <c:v>20000</c:v>
                </c:pt>
                <c:pt idx="175">
                  <c:v>20000</c:v>
                </c:pt>
                <c:pt idx="176">
                  <c:v>20000</c:v>
                </c:pt>
                <c:pt idx="177">
                  <c:v>20000</c:v>
                </c:pt>
                <c:pt idx="178">
                  <c:v>20000</c:v>
                </c:pt>
                <c:pt idx="179">
                  <c:v>20000</c:v>
                </c:pt>
                <c:pt idx="180">
                  <c:v>20000</c:v>
                </c:pt>
                <c:pt idx="181">
                  <c:v>20000</c:v>
                </c:pt>
                <c:pt idx="182">
                  <c:v>20000</c:v>
                </c:pt>
                <c:pt idx="183">
                  <c:v>20000</c:v>
                </c:pt>
                <c:pt idx="184">
                  <c:v>20000</c:v>
                </c:pt>
                <c:pt idx="185">
                  <c:v>10000</c:v>
                </c:pt>
                <c:pt idx="186">
                  <c:v>10000</c:v>
                </c:pt>
                <c:pt idx="187">
                  <c:v>10000</c:v>
                </c:pt>
                <c:pt idx="188">
                  <c:v>10000</c:v>
                </c:pt>
                <c:pt idx="189">
                  <c:v>10000</c:v>
                </c:pt>
                <c:pt idx="190">
                  <c:v>10000</c:v>
                </c:pt>
                <c:pt idx="191">
                  <c:v>10000</c:v>
                </c:pt>
                <c:pt idx="192">
                  <c:v>10000</c:v>
                </c:pt>
                <c:pt idx="193">
                  <c:v>10000</c:v>
                </c:pt>
                <c:pt idx="194">
                  <c:v>10000</c:v>
                </c:pt>
                <c:pt idx="195">
                  <c:v>10000</c:v>
                </c:pt>
                <c:pt idx="196">
                  <c:v>10000</c:v>
                </c:pt>
                <c:pt idx="197">
                  <c:v>10000</c:v>
                </c:pt>
                <c:pt idx="198">
                  <c:v>10000</c:v>
                </c:pt>
                <c:pt idx="199">
                  <c:v>10000</c:v>
                </c:pt>
                <c:pt idx="200">
                  <c:v>10000</c:v>
                </c:pt>
                <c:pt idx="201">
                  <c:v>10000</c:v>
                </c:pt>
                <c:pt idx="202">
                  <c:v>10000</c:v>
                </c:pt>
                <c:pt idx="203">
                  <c:v>10000</c:v>
                </c:pt>
                <c:pt idx="204">
                  <c:v>10000</c:v>
                </c:pt>
                <c:pt idx="205">
                  <c:v>10000</c:v>
                </c:pt>
                <c:pt idx="206">
                  <c:v>10000</c:v>
                </c:pt>
                <c:pt idx="207">
                  <c:v>10000</c:v>
                </c:pt>
                <c:pt idx="208">
                  <c:v>10000</c:v>
                </c:pt>
                <c:pt idx="209">
                  <c:v>10000</c:v>
                </c:pt>
                <c:pt idx="210">
                  <c:v>10000</c:v>
                </c:pt>
                <c:pt idx="211">
                  <c:v>10000</c:v>
                </c:pt>
                <c:pt idx="212">
                  <c:v>10000</c:v>
                </c:pt>
                <c:pt idx="213">
                  <c:v>10000</c:v>
                </c:pt>
                <c:pt idx="214">
                  <c:v>10000</c:v>
                </c:pt>
                <c:pt idx="215">
                  <c:v>10000</c:v>
                </c:pt>
                <c:pt idx="216">
                  <c:v>9953.0615334661907</c:v>
                </c:pt>
                <c:pt idx="217">
                  <c:v>9903.8098698133872</c:v>
                </c:pt>
                <c:pt idx="218">
                  <c:v>9854.5497286369173</c:v>
                </c:pt>
                <c:pt idx="219">
                  <c:v>9805.5930516884582</c:v>
                </c:pt>
                <c:pt idx="220">
                  <c:v>9756.1849717772493</c:v>
                </c:pt>
                <c:pt idx="221">
                  <c:v>9707.2997529304648</c:v>
                </c:pt>
                <c:pt idx="222">
                  <c:v>9657.1588596628135</c:v>
                </c:pt>
                <c:pt idx="223">
                  <c:v>9597.045919285456</c:v>
                </c:pt>
                <c:pt idx="224">
                  <c:v>9532.8028565449913</c:v>
                </c:pt>
                <c:pt idx="225">
                  <c:v>9468.7448542820966</c:v>
                </c:pt>
                <c:pt idx="226">
                  <c:v>9405.8979201911898</c:v>
                </c:pt>
                <c:pt idx="227">
                  <c:v>9344.5379201911892</c:v>
                </c:pt>
                <c:pt idx="228">
                  <c:v>9283.1281011406936</c:v>
                </c:pt>
                <c:pt idx="229">
                  <c:v>9221.768101140693</c:v>
                </c:pt>
                <c:pt idx="230">
                  <c:v>9165.6500800922386</c:v>
                </c:pt>
                <c:pt idx="231">
                  <c:v>9110.4260800922384</c:v>
                </c:pt>
                <c:pt idx="232">
                  <c:v>9053.1323975525574</c:v>
                </c:pt>
                <c:pt idx="233">
                  <c:v>9000.0271084317974</c:v>
                </c:pt>
                <c:pt idx="234">
                  <c:v>8946.0674307531735</c:v>
                </c:pt>
                <c:pt idx="235">
                  <c:v>8890.8434307531734</c:v>
                </c:pt>
                <c:pt idx="236">
                  <c:v>8834.9838628217167</c:v>
                </c:pt>
                <c:pt idx="237">
                  <c:v>8775.1578628217176</c:v>
                </c:pt>
                <c:pt idx="238">
                  <c:v>8713.797862821717</c:v>
                </c:pt>
                <c:pt idx="239">
                  <c:v>8651.6214989287164</c:v>
                </c:pt>
                <c:pt idx="240">
                  <c:v>8591.7954989287173</c:v>
                </c:pt>
                <c:pt idx="241">
                  <c:v>8531.9694989287163</c:v>
                </c:pt>
                <c:pt idx="242">
                  <c:v>8472.1434989287172</c:v>
                </c:pt>
                <c:pt idx="243">
                  <c:v>8412.3174989287163</c:v>
                </c:pt>
                <c:pt idx="244">
                  <c:v>8354.0254989287168</c:v>
                </c:pt>
                <c:pt idx="245">
                  <c:v>8294.1994989287159</c:v>
                </c:pt>
                <c:pt idx="246">
                  <c:v>8234.2536769486978</c:v>
                </c:pt>
                <c:pt idx="247">
                  <c:v>8176.3923260467363</c:v>
                </c:pt>
                <c:pt idx="248">
                  <c:v>8119.6343260467356</c:v>
                </c:pt>
                <c:pt idx="249">
                  <c:v>8067.2476785729787</c:v>
                </c:pt>
                <c:pt idx="250">
                  <c:v>8012.1436853757004</c:v>
                </c:pt>
                <c:pt idx="251">
                  <c:v>7958.6289782398244</c:v>
                </c:pt>
                <c:pt idx="252">
                  <c:v>7903.4049782398242</c:v>
                </c:pt>
                <c:pt idx="253">
                  <c:v>7847.9293410836763</c:v>
                </c:pt>
                <c:pt idx="254">
                  <c:v>7792.705341083677</c:v>
                </c:pt>
                <c:pt idx="255">
                  <c:v>6138.7046006745304</c:v>
                </c:pt>
                <c:pt idx="256">
                  <c:v>6084.9404913603039</c:v>
                </c:pt>
                <c:pt idx="257">
                  <c:v>6031.2504913603043</c:v>
                </c:pt>
                <c:pt idx="258">
                  <c:v>5978.3869267846585</c:v>
                </c:pt>
                <c:pt idx="259">
                  <c:v>5926.0818244404609</c:v>
                </c:pt>
                <c:pt idx="260">
                  <c:v>5873.7165351965241</c:v>
                </c:pt>
                <c:pt idx="261">
                  <c:v>5822.9713057662384</c:v>
                </c:pt>
                <c:pt idx="262">
                  <c:v>5773.8344245780081</c:v>
                </c:pt>
                <c:pt idx="263">
                  <c:v>5724.7464245780075</c:v>
                </c:pt>
                <c:pt idx="264">
                  <c:v>5675.6584245780077</c:v>
                </c:pt>
                <c:pt idx="265">
                  <c:v>5634.1584925025381</c:v>
                </c:pt>
                <c:pt idx="266">
                  <c:v>5594.0671433160533</c:v>
                </c:pt>
                <c:pt idx="267">
                  <c:v>5554.1831433160532</c:v>
                </c:pt>
                <c:pt idx="268">
                  <c:v>5514.1336708607723</c:v>
                </c:pt>
                <c:pt idx="269">
                  <c:v>4874.033461730337</c:v>
                </c:pt>
                <c:pt idx="270">
                  <c:v>4833.9111988875038</c:v>
                </c:pt>
                <c:pt idx="271">
                  <c:v>4793.5864149062108</c:v>
                </c:pt>
                <c:pt idx="272">
                  <c:v>4755.7608449707222</c:v>
                </c:pt>
                <c:pt idx="273">
                  <c:v>4718.7416011297955</c:v>
                </c:pt>
                <c:pt idx="274">
                  <c:v>4681.6894761168714</c:v>
                </c:pt>
                <c:pt idx="275">
                  <c:v>4644.2848320884677</c:v>
                </c:pt>
                <c:pt idx="276">
                  <c:v>4607.3945531492727</c:v>
                </c:pt>
                <c:pt idx="277">
                  <c:v>4570.5426795383491</c:v>
                </c:pt>
                <c:pt idx="278">
                  <c:v>4533.5938184972101</c:v>
                </c:pt>
                <c:pt idx="279">
                  <c:v>4499.2231079688636</c:v>
                </c:pt>
                <c:pt idx="280">
                  <c:v>4463.6341896503154</c:v>
                </c:pt>
                <c:pt idx="281">
                  <c:v>4427.943201923571</c:v>
                </c:pt>
                <c:pt idx="282">
                  <c:v>4393.4379921580967</c:v>
                </c:pt>
                <c:pt idx="283">
                  <c:v>3359.3014606729444</c:v>
                </c:pt>
                <c:pt idx="284">
                  <c:v>3325.0876789916397</c:v>
                </c:pt>
                <c:pt idx="285">
                  <c:v>3291.0989657248792</c:v>
                </c:pt>
                <c:pt idx="286">
                  <c:v>3259.3873547659728</c:v>
                </c:pt>
                <c:pt idx="287">
                  <c:v>3228.5305107680888</c:v>
                </c:pt>
                <c:pt idx="288">
                  <c:v>3197.5277332825544</c:v>
                </c:pt>
                <c:pt idx="289">
                  <c:v>2065.562485548151</c:v>
                </c:pt>
                <c:pt idx="290">
                  <c:v>2034.5993494182492</c:v>
                </c:pt>
                <c:pt idx="291">
                  <c:v>2003.6125494182472</c:v>
                </c:pt>
                <c:pt idx="292">
                  <c:v>1972.6438915000651</c:v>
                </c:pt>
                <c:pt idx="293">
                  <c:v>1941.2876901127765</c:v>
                </c:pt>
                <c:pt idx="294">
                  <c:v>1910.0222627265009</c:v>
                </c:pt>
                <c:pt idx="295">
                  <c:v>1879.23703352604</c:v>
                </c:pt>
                <c:pt idx="296">
                  <c:v>1848.0061171624011</c:v>
                </c:pt>
                <c:pt idx="297">
                  <c:v>1477.0370475768723</c:v>
                </c:pt>
                <c:pt idx="298">
                  <c:v>1445.761481698732</c:v>
                </c:pt>
                <c:pt idx="299">
                  <c:v>1414.7927987676997</c:v>
                </c:pt>
                <c:pt idx="300">
                  <c:v>1385.0697808892387</c:v>
                </c:pt>
                <c:pt idx="301">
                  <c:v>1355.9039232840607</c:v>
                </c:pt>
                <c:pt idx="302">
                  <c:v>1355.9039232840607</c:v>
                </c:pt>
                <c:pt idx="303">
                  <c:v>1355.9039232840607</c:v>
                </c:pt>
                <c:pt idx="304">
                  <c:v>1355.9039232840607</c:v>
                </c:pt>
                <c:pt idx="305">
                  <c:v>1335.9619232840607</c:v>
                </c:pt>
                <c:pt idx="306">
                  <c:v>1309.65643127259</c:v>
                </c:pt>
                <c:pt idx="307">
                  <c:v>1283.57843127259</c:v>
                </c:pt>
                <c:pt idx="308">
                  <c:v>1283.57843127259</c:v>
                </c:pt>
                <c:pt idx="309">
                  <c:v>1283.57843127259</c:v>
                </c:pt>
                <c:pt idx="310">
                  <c:v>1283.57843127259</c:v>
                </c:pt>
                <c:pt idx="311">
                  <c:v>1283.57843127259</c:v>
                </c:pt>
                <c:pt idx="312">
                  <c:v>1277.4424312725901</c:v>
                </c:pt>
                <c:pt idx="313">
                  <c:v>1264.2254574861815</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#N/A</c:v>
                </c:pt>
              </c:numCache>
            </c:numRef>
          </c:val>
        </c:ser>
        <c:ser>
          <c:idx val="1"/>
          <c:order val="2"/>
          <c:tx>
            <c:strRef>
              <c:f>Summary!$W$2</c:f>
              <c:strCache>
                <c:ptCount val="1"/>
                <c:pt idx="0">
                  <c:v>Total 1135 + Resource Water</c:v>
                </c:pt>
              </c:strCache>
            </c:strRef>
          </c:tx>
          <c:marker>
            <c:symbol val="none"/>
          </c:marker>
          <c:cat>
            <c:numRef>
              <c:f>Summary!$A$5:$A$380</c:f>
              <c:numCache>
                <c:formatCode>[$-409]d\-mmm;@</c:formatCode>
                <c:ptCount val="376"/>
                <c:pt idx="0">
                  <c:v>40537</c:v>
                </c:pt>
                <c:pt idx="1">
                  <c:v>40538</c:v>
                </c:pt>
                <c:pt idx="2">
                  <c:v>40539</c:v>
                </c:pt>
                <c:pt idx="3">
                  <c:v>40540</c:v>
                </c:pt>
                <c:pt idx="4">
                  <c:v>40541</c:v>
                </c:pt>
                <c:pt idx="5">
                  <c:v>40542</c:v>
                </c:pt>
                <c:pt idx="6">
                  <c:v>40543</c:v>
                </c:pt>
                <c:pt idx="7">
                  <c:v>40544</c:v>
                </c:pt>
                <c:pt idx="8">
                  <c:v>40545</c:v>
                </c:pt>
                <c:pt idx="9">
                  <c:v>40546</c:v>
                </c:pt>
                <c:pt idx="10">
                  <c:v>40547</c:v>
                </c:pt>
                <c:pt idx="11">
                  <c:v>40548</c:v>
                </c:pt>
                <c:pt idx="12">
                  <c:v>40549</c:v>
                </c:pt>
                <c:pt idx="13">
                  <c:v>40550</c:v>
                </c:pt>
                <c:pt idx="14">
                  <c:v>40551</c:v>
                </c:pt>
                <c:pt idx="15">
                  <c:v>40552</c:v>
                </c:pt>
                <c:pt idx="16">
                  <c:v>40553</c:v>
                </c:pt>
                <c:pt idx="17">
                  <c:v>40554</c:v>
                </c:pt>
                <c:pt idx="18">
                  <c:v>40555</c:v>
                </c:pt>
                <c:pt idx="19">
                  <c:v>40556</c:v>
                </c:pt>
                <c:pt idx="20">
                  <c:v>40557</c:v>
                </c:pt>
                <c:pt idx="21">
                  <c:v>40558</c:v>
                </c:pt>
                <c:pt idx="22">
                  <c:v>40559</c:v>
                </c:pt>
                <c:pt idx="23">
                  <c:v>40560</c:v>
                </c:pt>
                <c:pt idx="24">
                  <c:v>40561</c:v>
                </c:pt>
                <c:pt idx="25">
                  <c:v>40562</c:v>
                </c:pt>
                <c:pt idx="26">
                  <c:v>40563</c:v>
                </c:pt>
                <c:pt idx="27">
                  <c:v>40564</c:v>
                </c:pt>
                <c:pt idx="28">
                  <c:v>40565</c:v>
                </c:pt>
                <c:pt idx="29">
                  <c:v>40566</c:v>
                </c:pt>
                <c:pt idx="30">
                  <c:v>40567</c:v>
                </c:pt>
                <c:pt idx="31">
                  <c:v>40568</c:v>
                </c:pt>
                <c:pt idx="32">
                  <c:v>40569</c:v>
                </c:pt>
                <c:pt idx="33">
                  <c:v>40570</c:v>
                </c:pt>
                <c:pt idx="34">
                  <c:v>40571</c:v>
                </c:pt>
                <c:pt idx="35">
                  <c:v>40572</c:v>
                </c:pt>
                <c:pt idx="36">
                  <c:v>40573</c:v>
                </c:pt>
                <c:pt idx="37">
                  <c:v>40574</c:v>
                </c:pt>
                <c:pt idx="38">
                  <c:v>40575</c:v>
                </c:pt>
                <c:pt idx="39">
                  <c:v>40576</c:v>
                </c:pt>
                <c:pt idx="40">
                  <c:v>40577</c:v>
                </c:pt>
                <c:pt idx="41">
                  <c:v>40578</c:v>
                </c:pt>
                <c:pt idx="42">
                  <c:v>40579</c:v>
                </c:pt>
                <c:pt idx="43">
                  <c:v>40580</c:v>
                </c:pt>
                <c:pt idx="44">
                  <c:v>40581</c:v>
                </c:pt>
                <c:pt idx="45">
                  <c:v>40582</c:v>
                </c:pt>
                <c:pt idx="46">
                  <c:v>40583</c:v>
                </c:pt>
                <c:pt idx="47">
                  <c:v>40584</c:v>
                </c:pt>
                <c:pt idx="48">
                  <c:v>40585</c:v>
                </c:pt>
                <c:pt idx="49">
                  <c:v>40586</c:v>
                </c:pt>
                <c:pt idx="50">
                  <c:v>40587</c:v>
                </c:pt>
                <c:pt idx="51">
                  <c:v>40588</c:v>
                </c:pt>
                <c:pt idx="52">
                  <c:v>40589</c:v>
                </c:pt>
                <c:pt idx="53">
                  <c:v>40590</c:v>
                </c:pt>
                <c:pt idx="54">
                  <c:v>40591</c:v>
                </c:pt>
                <c:pt idx="55">
                  <c:v>40592</c:v>
                </c:pt>
                <c:pt idx="56">
                  <c:v>40593</c:v>
                </c:pt>
                <c:pt idx="57">
                  <c:v>40594</c:v>
                </c:pt>
                <c:pt idx="58">
                  <c:v>40595</c:v>
                </c:pt>
                <c:pt idx="59">
                  <c:v>40596</c:v>
                </c:pt>
                <c:pt idx="60">
                  <c:v>40597</c:v>
                </c:pt>
                <c:pt idx="61">
                  <c:v>40598</c:v>
                </c:pt>
                <c:pt idx="62">
                  <c:v>40599</c:v>
                </c:pt>
                <c:pt idx="63">
                  <c:v>40600</c:v>
                </c:pt>
                <c:pt idx="64">
                  <c:v>40601</c:v>
                </c:pt>
                <c:pt idx="65">
                  <c:v>40602</c:v>
                </c:pt>
                <c:pt idx="66">
                  <c:v>40603</c:v>
                </c:pt>
                <c:pt idx="67">
                  <c:v>40604</c:v>
                </c:pt>
                <c:pt idx="68">
                  <c:v>40605</c:v>
                </c:pt>
                <c:pt idx="69">
                  <c:v>40606</c:v>
                </c:pt>
                <c:pt idx="70">
                  <c:v>40607</c:v>
                </c:pt>
                <c:pt idx="71">
                  <c:v>40608</c:v>
                </c:pt>
                <c:pt idx="72">
                  <c:v>40609</c:v>
                </c:pt>
                <c:pt idx="73">
                  <c:v>40610</c:v>
                </c:pt>
                <c:pt idx="74">
                  <c:v>40611</c:v>
                </c:pt>
                <c:pt idx="75">
                  <c:v>40612</c:v>
                </c:pt>
                <c:pt idx="76">
                  <c:v>40613</c:v>
                </c:pt>
                <c:pt idx="77">
                  <c:v>40614</c:v>
                </c:pt>
                <c:pt idx="78">
                  <c:v>40615</c:v>
                </c:pt>
                <c:pt idx="79">
                  <c:v>40616</c:v>
                </c:pt>
                <c:pt idx="80">
                  <c:v>40617</c:v>
                </c:pt>
                <c:pt idx="81">
                  <c:v>40618</c:v>
                </c:pt>
                <c:pt idx="82">
                  <c:v>40619</c:v>
                </c:pt>
                <c:pt idx="83">
                  <c:v>40620</c:v>
                </c:pt>
                <c:pt idx="84">
                  <c:v>40621</c:v>
                </c:pt>
                <c:pt idx="85">
                  <c:v>40622</c:v>
                </c:pt>
                <c:pt idx="86">
                  <c:v>40623</c:v>
                </c:pt>
                <c:pt idx="87">
                  <c:v>40624</c:v>
                </c:pt>
                <c:pt idx="88">
                  <c:v>40625</c:v>
                </c:pt>
                <c:pt idx="89">
                  <c:v>40626</c:v>
                </c:pt>
                <c:pt idx="90">
                  <c:v>40627</c:v>
                </c:pt>
                <c:pt idx="91">
                  <c:v>40628</c:v>
                </c:pt>
                <c:pt idx="92">
                  <c:v>40629</c:v>
                </c:pt>
                <c:pt idx="93">
                  <c:v>40630</c:v>
                </c:pt>
                <c:pt idx="94">
                  <c:v>40631</c:v>
                </c:pt>
                <c:pt idx="95">
                  <c:v>40632</c:v>
                </c:pt>
                <c:pt idx="96">
                  <c:v>40633</c:v>
                </c:pt>
                <c:pt idx="97">
                  <c:v>40634</c:v>
                </c:pt>
                <c:pt idx="98">
                  <c:v>40635</c:v>
                </c:pt>
                <c:pt idx="99">
                  <c:v>40636</c:v>
                </c:pt>
                <c:pt idx="100">
                  <c:v>40637</c:v>
                </c:pt>
                <c:pt idx="101">
                  <c:v>40638</c:v>
                </c:pt>
                <c:pt idx="102">
                  <c:v>40639</c:v>
                </c:pt>
                <c:pt idx="103">
                  <c:v>40640</c:v>
                </c:pt>
                <c:pt idx="104">
                  <c:v>40641</c:v>
                </c:pt>
                <c:pt idx="105">
                  <c:v>40642</c:v>
                </c:pt>
                <c:pt idx="106">
                  <c:v>40643</c:v>
                </c:pt>
                <c:pt idx="107">
                  <c:v>40644</c:v>
                </c:pt>
                <c:pt idx="108">
                  <c:v>40645</c:v>
                </c:pt>
                <c:pt idx="109">
                  <c:v>40646</c:v>
                </c:pt>
                <c:pt idx="110">
                  <c:v>40647</c:v>
                </c:pt>
                <c:pt idx="111">
                  <c:v>40648</c:v>
                </c:pt>
                <c:pt idx="112">
                  <c:v>40649</c:v>
                </c:pt>
                <c:pt idx="113">
                  <c:v>40650</c:v>
                </c:pt>
                <c:pt idx="114">
                  <c:v>40651</c:v>
                </c:pt>
                <c:pt idx="115">
                  <c:v>40652</c:v>
                </c:pt>
                <c:pt idx="116">
                  <c:v>40653</c:v>
                </c:pt>
                <c:pt idx="117">
                  <c:v>40654</c:v>
                </c:pt>
                <c:pt idx="118">
                  <c:v>40655</c:v>
                </c:pt>
                <c:pt idx="119">
                  <c:v>40656</c:v>
                </c:pt>
                <c:pt idx="120">
                  <c:v>40657</c:v>
                </c:pt>
                <c:pt idx="121">
                  <c:v>40658</c:v>
                </c:pt>
                <c:pt idx="122">
                  <c:v>40659</c:v>
                </c:pt>
                <c:pt idx="123">
                  <c:v>40660</c:v>
                </c:pt>
                <c:pt idx="124">
                  <c:v>40661</c:v>
                </c:pt>
                <c:pt idx="125">
                  <c:v>40662</c:v>
                </c:pt>
                <c:pt idx="126">
                  <c:v>40663</c:v>
                </c:pt>
                <c:pt idx="127">
                  <c:v>40664</c:v>
                </c:pt>
                <c:pt idx="128">
                  <c:v>40665</c:v>
                </c:pt>
                <c:pt idx="129">
                  <c:v>40666</c:v>
                </c:pt>
                <c:pt idx="130">
                  <c:v>40667</c:v>
                </c:pt>
                <c:pt idx="131">
                  <c:v>40668</c:v>
                </c:pt>
                <c:pt idx="132">
                  <c:v>40669</c:v>
                </c:pt>
                <c:pt idx="133">
                  <c:v>40670</c:v>
                </c:pt>
                <c:pt idx="134">
                  <c:v>40671</c:v>
                </c:pt>
                <c:pt idx="135">
                  <c:v>40672</c:v>
                </c:pt>
                <c:pt idx="136">
                  <c:v>40673</c:v>
                </c:pt>
                <c:pt idx="137">
                  <c:v>40674</c:v>
                </c:pt>
                <c:pt idx="138">
                  <c:v>40675</c:v>
                </c:pt>
                <c:pt idx="139">
                  <c:v>40676</c:v>
                </c:pt>
                <c:pt idx="140">
                  <c:v>40677</c:v>
                </c:pt>
                <c:pt idx="141">
                  <c:v>40678</c:v>
                </c:pt>
                <c:pt idx="142">
                  <c:v>40679</c:v>
                </c:pt>
                <c:pt idx="143">
                  <c:v>40680</c:v>
                </c:pt>
                <c:pt idx="144">
                  <c:v>40681</c:v>
                </c:pt>
                <c:pt idx="145">
                  <c:v>40682</c:v>
                </c:pt>
                <c:pt idx="146">
                  <c:v>40683</c:v>
                </c:pt>
                <c:pt idx="147">
                  <c:v>40684</c:v>
                </c:pt>
                <c:pt idx="148">
                  <c:v>40685</c:v>
                </c:pt>
                <c:pt idx="149">
                  <c:v>40686</c:v>
                </c:pt>
                <c:pt idx="150">
                  <c:v>40687</c:v>
                </c:pt>
                <c:pt idx="151">
                  <c:v>40688</c:v>
                </c:pt>
                <c:pt idx="152">
                  <c:v>40689</c:v>
                </c:pt>
                <c:pt idx="153">
                  <c:v>40690</c:v>
                </c:pt>
                <c:pt idx="154">
                  <c:v>40691</c:v>
                </c:pt>
                <c:pt idx="155">
                  <c:v>40692</c:v>
                </c:pt>
                <c:pt idx="156">
                  <c:v>40693</c:v>
                </c:pt>
                <c:pt idx="157">
                  <c:v>40694</c:v>
                </c:pt>
                <c:pt idx="158">
                  <c:v>40695</c:v>
                </c:pt>
                <c:pt idx="159">
                  <c:v>40696</c:v>
                </c:pt>
                <c:pt idx="160">
                  <c:v>40697</c:v>
                </c:pt>
                <c:pt idx="161">
                  <c:v>40698</c:v>
                </c:pt>
                <c:pt idx="162">
                  <c:v>40699</c:v>
                </c:pt>
                <c:pt idx="163">
                  <c:v>40700</c:v>
                </c:pt>
                <c:pt idx="164">
                  <c:v>40701</c:v>
                </c:pt>
                <c:pt idx="165">
                  <c:v>40702</c:v>
                </c:pt>
                <c:pt idx="166">
                  <c:v>40703</c:v>
                </c:pt>
                <c:pt idx="167">
                  <c:v>40704</c:v>
                </c:pt>
                <c:pt idx="168">
                  <c:v>40705</c:v>
                </c:pt>
                <c:pt idx="169">
                  <c:v>40706</c:v>
                </c:pt>
                <c:pt idx="170">
                  <c:v>40707</c:v>
                </c:pt>
                <c:pt idx="171">
                  <c:v>40708</c:v>
                </c:pt>
                <c:pt idx="172">
                  <c:v>40709</c:v>
                </c:pt>
                <c:pt idx="173">
                  <c:v>40710</c:v>
                </c:pt>
                <c:pt idx="174">
                  <c:v>40711</c:v>
                </c:pt>
                <c:pt idx="175">
                  <c:v>40712</c:v>
                </c:pt>
                <c:pt idx="176">
                  <c:v>40713</c:v>
                </c:pt>
                <c:pt idx="177">
                  <c:v>40714</c:v>
                </c:pt>
                <c:pt idx="178">
                  <c:v>40715</c:v>
                </c:pt>
                <c:pt idx="179">
                  <c:v>40716</c:v>
                </c:pt>
                <c:pt idx="180">
                  <c:v>40717</c:v>
                </c:pt>
                <c:pt idx="181">
                  <c:v>40718</c:v>
                </c:pt>
                <c:pt idx="182">
                  <c:v>40719</c:v>
                </c:pt>
                <c:pt idx="183">
                  <c:v>40720</c:v>
                </c:pt>
                <c:pt idx="184">
                  <c:v>40721</c:v>
                </c:pt>
                <c:pt idx="185">
                  <c:v>40722</c:v>
                </c:pt>
                <c:pt idx="186">
                  <c:v>40723</c:v>
                </c:pt>
                <c:pt idx="187">
                  <c:v>40724</c:v>
                </c:pt>
                <c:pt idx="188">
                  <c:v>40725</c:v>
                </c:pt>
                <c:pt idx="189">
                  <c:v>40726</c:v>
                </c:pt>
                <c:pt idx="190">
                  <c:v>40727</c:v>
                </c:pt>
                <c:pt idx="191">
                  <c:v>40728</c:v>
                </c:pt>
                <c:pt idx="192">
                  <c:v>40729</c:v>
                </c:pt>
                <c:pt idx="193">
                  <c:v>40730</c:v>
                </c:pt>
                <c:pt idx="194">
                  <c:v>40731</c:v>
                </c:pt>
                <c:pt idx="195">
                  <c:v>40732</c:v>
                </c:pt>
                <c:pt idx="196">
                  <c:v>40733</c:v>
                </c:pt>
                <c:pt idx="197">
                  <c:v>40734</c:v>
                </c:pt>
                <c:pt idx="198">
                  <c:v>40735</c:v>
                </c:pt>
                <c:pt idx="199">
                  <c:v>40736</c:v>
                </c:pt>
                <c:pt idx="200">
                  <c:v>40737</c:v>
                </c:pt>
                <c:pt idx="201">
                  <c:v>40738</c:v>
                </c:pt>
                <c:pt idx="202">
                  <c:v>40739</c:v>
                </c:pt>
                <c:pt idx="203">
                  <c:v>40740</c:v>
                </c:pt>
                <c:pt idx="204">
                  <c:v>40741</c:v>
                </c:pt>
                <c:pt idx="205">
                  <c:v>40742</c:v>
                </c:pt>
                <c:pt idx="206">
                  <c:v>40743</c:v>
                </c:pt>
                <c:pt idx="207">
                  <c:v>40744</c:v>
                </c:pt>
                <c:pt idx="208">
                  <c:v>40745</c:v>
                </c:pt>
                <c:pt idx="209">
                  <c:v>40746</c:v>
                </c:pt>
                <c:pt idx="210">
                  <c:v>40747</c:v>
                </c:pt>
                <c:pt idx="211">
                  <c:v>40748</c:v>
                </c:pt>
                <c:pt idx="212">
                  <c:v>40749</c:v>
                </c:pt>
                <c:pt idx="213">
                  <c:v>40750</c:v>
                </c:pt>
                <c:pt idx="214">
                  <c:v>40751</c:v>
                </c:pt>
                <c:pt idx="215">
                  <c:v>40752</c:v>
                </c:pt>
                <c:pt idx="216">
                  <c:v>40753</c:v>
                </c:pt>
                <c:pt idx="217">
                  <c:v>40754</c:v>
                </c:pt>
                <c:pt idx="218">
                  <c:v>40755</c:v>
                </c:pt>
                <c:pt idx="219">
                  <c:v>40756</c:v>
                </c:pt>
                <c:pt idx="220">
                  <c:v>40757</c:v>
                </c:pt>
                <c:pt idx="221">
                  <c:v>40758</c:v>
                </c:pt>
                <c:pt idx="222">
                  <c:v>40759</c:v>
                </c:pt>
                <c:pt idx="223">
                  <c:v>40760</c:v>
                </c:pt>
                <c:pt idx="224">
                  <c:v>40761</c:v>
                </c:pt>
                <c:pt idx="225">
                  <c:v>40762</c:v>
                </c:pt>
                <c:pt idx="226">
                  <c:v>40763</c:v>
                </c:pt>
                <c:pt idx="227">
                  <c:v>40764</c:v>
                </c:pt>
                <c:pt idx="228">
                  <c:v>40765</c:v>
                </c:pt>
                <c:pt idx="229">
                  <c:v>40766</c:v>
                </c:pt>
                <c:pt idx="230">
                  <c:v>40767</c:v>
                </c:pt>
                <c:pt idx="231">
                  <c:v>40768</c:v>
                </c:pt>
                <c:pt idx="232">
                  <c:v>40769</c:v>
                </c:pt>
                <c:pt idx="233">
                  <c:v>40770</c:v>
                </c:pt>
                <c:pt idx="234">
                  <c:v>40771</c:v>
                </c:pt>
                <c:pt idx="235">
                  <c:v>40772</c:v>
                </c:pt>
                <c:pt idx="236">
                  <c:v>40773</c:v>
                </c:pt>
                <c:pt idx="237">
                  <c:v>40774</c:v>
                </c:pt>
                <c:pt idx="238">
                  <c:v>40775</c:v>
                </c:pt>
                <c:pt idx="239">
                  <c:v>40776</c:v>
                </c:pt>
                <c:pt idx="240">
                  <c:v>40777</c:v>
                </c:pt>
                <c:pt idx="241">
                  <c:v>40778</c:v>
                </c:pt>
                <c:pt idx="242">
                  <c:v>40779</c:v>
                </c:pt>
                <c:pt idx="243">
                  <c:v>40780</c:v>
                </c:pt>
                <c:pt idx="244">
                  <c:v>40781</c:v>
                </c:pt>
                <c:pt idx="245">
                  <c:v>40782</c:v>
                </c:pt>
                <c:pt idx="246">
                  <c:v>40783</c:v>
                </c:pt>
                <c:pt idx="247">
                  <c:v>40784</c:v>
                </c:pt>
                <c:pt idx="248">
                  <c:v>40785</c:v>
                </c:pt>
                <c:pt idx="249">
                  <c:v>40786</c:v>
                </c:pt>
                <c:pt idx="250">
                  <c:v>40787</c:v>
                </c:pt>
                <c:pt idx="251">
                  <c:v>40788</c:v>
                </c:pt>
                <c:pt idx="252">
                  <c:v>40789</c:v>
                </c:pt>
                <c:pt idx="253">
                  <c:v>40790</c:v>
                </c:pt>
                <c:pt idx="254">
                  <c:v>40791</c:v>
                </c:pt>
                <c:pt idx="255">
                  <c:v>40792</c:v>
                </c:pt>
                <c:pt idx="256">
                  <c:v>40793</c:v>
                </c:pt>
                <c:pt idx="257">
                  <c:v>40794</c:v>
                </c:pt>
                <c:pt idx="258">
                  <c:v>40795</c:v>
                </c:pt>
                <c:pt idx="259">
                  <c:v>40796</c:v>
                </c:pt>
                <c:pt idx="260">
                  <c:v>40797</c:v>
                </c:pt>
                <c:pt idx="261">
                  <c:v>40798</c:v>
                </c:pt>
                <c:pt idx="262">
                  <c:v>40799</c:v>
                </c:pt>
                <c:pt idx="263">
                  <c:v>40800</c:v>
                </c:pt>
                <c:pt idx="264">
                  <c:v>40801</c:v>
                </c:pt>
                <c:pt idx="265">
                  <c:v>40802</c:v>
                </c:pt>
                <c:pt idx="266">
                  <c:v>40803</c:v>
                </c:pt>
                <c:pt idx="267">
                  <c:v>40804</c:v>
                </c:pt>
                <c:pt idx="268">
                  <c:v>40805</c:v>
                </c:pt>
                <c:pt idx="269">
                  <c:v>40806</c:v>
                </c:pt>
                <c:pt idx="270">
                  <c:v>40807</c:v>
                </c:pt>
                <c:pt idx="271">
                  <c:v>40808</c:v>
                </c:pt>
                <c:pt idx="272">
                  <c:v>40809</c:v>
                </c:pt>
                <c:pt idx="273">
                  <c:v>40810</c:v>
                </c:pt>
                <c:pt idx="274">
                  <c:v>40811</c:v>
                </c:pt>
                <c:pt idx="275">
                  <c:v>40812</c:v>
                </c:pt>
                <c:pt idx="276">
                  <c:v>40813</c:v>
                </c:pt>
                <c:pt idx="277">
                  <c:v>40814</c:v>
                </c:pt>
                <c:pt idx="278">
                  <c:v>40815</c:v>
                </c:pt>
                <c:pt idx="279">
                  <c:v>40816</c:v>
                </c:pt>
                <c:pt idx="280">
                  <c:v>40817</c:v>
                </c:pt>
                <c:pt idx="281">
                  <c:v>40818</c:v>
                </c:pt>
                <c:pt idx="282">
                  <c:v>40819</c:v>
                </c:pt>
                <c:pt idx="283">
                  <c:v>40820</c:v>
                </c:pt>
                <c:pt idx="284">
                  <c:v>40821</c:v>
                </c:pt>
                <c:pt idx="285">
                  <c:v>40822</c:v>
                </c:pt>
                <c:pt idx="286">
                  <c:v>40823</c:v>
                </c:pt>
                <c:pt idx="287">
                  <c:v>40824</c:v>
                </c:pt>
                <c:pt idx="288">
                  <c:v>40825</c:v>
                </c:pt>
                <c:pt idx="289">
                  <c:v>40826</c:v>
                </c:pt>
                <c:pt idx="290">
                  <c:v>40827</c:v>
                </c:pt>
                <c:pt idx="291">
                  <c:v>40828</c:v>
                </c:pt>
                <c:pt idx="292">
                  <c:v>40829</c:v>
                </c:pt>
                <c:pt idx="293">
                  <c:v>40830</c:v>
                </c:pt>
                <c:pt idx="294">
                  <c:v>40831</c:v>
                </c:pt>
                <c:pt idx="295">
                  <c:v>40832</c:v>
                </c:pt>
                <c:pt idx="296">
                  <c:v>40833</c:v>
                </c:pt>
                <c:pt idx="297">
                  <c:v>40834</c:v>
                </c:pt>
                <c:pt idx="298">
                  <c:v>40835</c:v>
                </c:pt>
                <c:pt idx="299">
                  <c:v>40836</c:v>
                </c:pt>
                <c:pt idx="300">
                  <c:v>40837</c:v>
                </c:pt>
                <c:pt idx="301">
                  <c:v>40838</c:v>
                </c:pt>
                <c:pt idx="302">
                  <c:v>40839</c:v>
                </c:pt>
                <c:pt idx="303">
                  <c:v>40840</c:v>
                </c:pt>
                <c:pt idx="304">
                  <c:v>40841</c:v>
                </c:pt>
                <c:pt idx="305">
                  <c:v>40842</c:v>
                </c:pt>
                <c:pt idx="306">
                  <c:v>40843</c:v>
                </c:pt>
                <c:pt idx="307">
                  <c:v>40844</c:v>
                </c:pt>
                <c:pt idx="308">
                  <c:v>40845</c:v>
                </c:pt>
                <c:pt idx="309">
                  <c:v>40846</c:v>
                </c:pt>
                <c:pt idx="310">
                  <c:v>40847</c:v>
                </c:pt>
                <c:pt idx="311">
                  <c:v>40848</c:v>
                </c:pt>
                <c:pt idx="312">
                  <c:v>40849</c:v>
                </c:pt>
                <c:pt idx="313">
                  <c:v>40850</c:v>
                </c:pt>
                <c:pt idx="314">
                  <c:v>40851</c:v>
                </c:pt>
                <c:pt idx="315">
                  <c:v>40852</c:v>
                </c:pt>
                <c:pt idx="316">
                  <c:v>40853</c:v>
                </c:pt>
                <c:pt idx="317">
                  <c:v>40854</c:v>
                </c:pt>
                <c:pt idx="318">
                  <c:v>40855</c:v>
                </c:pt>
                <c:pt idx="319">
                  <c:v>40856</c:v>
                </c:pt>
                <c:pt idx="320">
                  <c:v>40857</c:v>
                </c:pt>
                <c:pt idx="321">
                  <c:v>40858</c:v>
                </c:pt>
                <c:pt idx="322">
                  <c:v>40859</c:v>
                </c:pt>
                <c:pt idx="323">
                  <c:v>40860</c:v>
                </c:pt>
                <c:pt idx="324">
                  <c:v>40861</c:v>
                </c:pt>
                <c:pt idx="325">
                  <c:v>40862</c:v>
                </c:pt>
                <c:pt idx="326">
                  <c:v>40863</c:v>
                </c:pt>
                <c:pt idx="327">
                  <c:v>40864</c:v>
                </c:pt>
                <c:pt idx="328">
                  <c:v>40865</c:v>
                </c:pt>
                <c:pt idx="329">
                  <c:v>40866</c:v>
                </c:pt>
                <c:pt idx="330">
                  <c:v>40867</c:v>
                </c:pt>
                <c:pt idx="331">
                  <c:v>40868</c:v>
                </c:pt>
                <c:pt idx="332">
                  <c:v>40869</c:v>
                </c:pt>
                <c:pt idx="333">
                  <c:v>40870</c:v>
                </c:pt>
                <c:pt idx="334">
                  <c:v>40871</c:v>
                </c:pt>
                <c:pt idx="335">
                  <c:v>40872</c:v>
                </c:pt>
                <c:pt idx="336">
                  <c:v>40873</c:v>
                </c:pt>
                <c:pt idx="337">
                  <c:v>40874</c:v>
                </c:pt>
                <c:pt idx="338">
                  <c:v>40875</c:v>
                </c:pt>
                <c:pt idx="339">
                  <c:v>40876</c:v>
                </c:pt>
                <c:pt idx="340">
                  <c:v>40877</c:v>
                </c:pt>
                <c:pt idx="341">
                  <c:v>40878</c:v>
                </c:pt>
                <c:pt idx="342">
                  <c:v>40879</c:v>
                </c:pt>
                <c:pt idx="343">
                  <c:v>40880</c:v>
                </c:pt>
                <c:pt idx="344">
                  <c:v>40881</c:v>
                </c:pt>
                <c:pt idx="345">
                  <c:v>40882</c:v>
                </c:pt>
                <c:pt idx="346">
                  <c:v>40883</c:v>
                </c:pt>
                <c:pt idx="347">
                  <c:v>40884</c:v>
                </c:pt>
                <c:pt idx="348">
                  <c:v>40885</c:v>
                </c:pt>
                <c:pt idx="349">
                  <c:v>40886</c:v>
                </c:pt>
                <c:pt idx="350">
                  <c:v>40887</c:v>
                </c:pt>
                <c:pt idx="351">
                  <c:v>40888</c:v>
                </c:pt>
                <c:pt idx="352">
                  <c:v>40889</c:v>
                </c:pt>
                <c:pt idx="353">
                  <c:v>40890</c:v>
                </c:pt>
                <c:pt idx="354">
                  <c:v>40891</c:v>
                </c:pt>
                <c:pt idx="355">
                  <c:v>40892</c:v>
                </c:pt>
                <c:pt idx="356">
                  <c:v>40893</c:v>
                </c:pt>
                <c:pt idx="357">
                  <c:v>40894</c:v>
                </c:pt>
                <c:pt idx="358">
                  <c:v>40895</c:v>
                </c:pt>
                <c:pt idx="359">
                  <c:v>40896</c:v>
                </c:pt>
                <c:pt idx="360">
                  <c:v>40897</c:v>
                </c:pt>
                <c:pt idx="361">
                  <c:v>40898</c:v>
                </c:pt>
                <c:pt idx="362">
                  <c:v>40899</c:v>
                </c:pt>
                <c:pt idx="363">
                  <c:v>40900</c:v>
                </c:pt>
                <c:pt idx="364">
                  <c:v>40901</c:v>
                </c:pt>
                <c:pt idx="365">
                  <c:v>40902</c:v>
                </c:pt>
                <c:pt idx="366">
                  <c:v>40903</c:v>
                </c:pt>
                <c:pt idx="367">
                  <c:v>40904</c:v>
                </c:pt>
                <c:pt idx="368">
                  <c:v>40905</c:v>
                </c:pt>
                <c:pt idx="369">
                  <c:v>40906</c:v>
                </c:pt>
                <c:pt idx="370">
                  <c:v>40907</c:v>
                </c:pt>
                <c:pt idx="371">
                  <c:v>40908</c:v>
                </c:pt>
                <c:pt idx="372">
                  <c:v>40909</c:v>
                </c:pt>
                <c:pt idx="373">
                  <c:v>40910</c:v>
                </c:pt>
                <c:pt idx="374">
                  <c:v>40911</c:v>
                </c:pt>
              </c:numCache>
            </c:numRef>
          </c:cat>
          <c:val>
            <c:numRef>
              <c:f>Summary!$W$5:$W$380</c:f>
              <c:numCache>
                <c:formatCode>0.0</c:formatCode>
                <c:ptCount val="3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4402.2354864262488</c:v>
                </c:pt>
                <c:pt idx="142">
                  <c:v>5000</c:v>
                </c:pt>
                <c:pt idx="143">
                  <c:v>5000</c:v>
                </c:pt>
                <c:pt idx="144">
                  <c:v>5000</c:v>
                </c:pt>
                <c:pt idx="145">
                  <c:v>5000</c:v>
                </c:pt>
                <c:pt idx="146">
                  <c:v>5000</c:v>
                </c:pt>
                <c:pt idx="147">
                  <c:v>5000</c:v>
                </c:pt>
                <c:pt idx="148">
                  <c:v>5000</c:v>
                </c:pt>
                <c:pt idx="149">
                  <c:v>5000</c:v>
                </c:pt>
                <c:pt idx="150">
                  <c:v>5000</c:v>
                </c:pt>
                <c:pt idx="151">
                  <c:v>5000</c:v>
                </c:pt>
                <c:pt idx="152">
                  <c:v>5000</c:v>
                </c:pt>
                <c:pt idx="153">
                  <c:v>5000</c:v>
                </c:pt>
                <c:pt idx="154">
                  <c:v>5000</c:v>
                </c:pt>
                <c:pt idx="155">
                  <c:v>5000</c:v>
                </c:pt>
                <c:pt idx="156">
                  <c:v>5000</c:v>
                </c:pt>
                <c:pt idx="157">
                  <c:v>5000</c:v>
                </c:pt>
                <c:pt idx="158">
                  <c:v>5000</c:v>
                </c:pt>
                <c:pt idx="159">
                  <c:v>5000</c:v>
                </c:pt>
                <c:pt idx="160">
                  <c:v>5000</c:v>
                </c:pt>
                <c:pt idx="161">
                  <c:v>5000</c:v>
                </c:pt>
                <c:pt idx="162">
                  <c:v>5000</c:v>
                </c:pt>
                <c:pt idx="163">
                  <c:v>5000</c:v>
                </c:pt>
                <c:pt idx="164">
                  <c:v>5000</c:v>
                </c:pt>
                <c:pt idx="165">
                  <c:v>5000</c:v>
                </c:pt>
                <c:pt idx="166">
                  <c:v>5000</c:v>
                </c:pt>
                <c:pt idx="167">
                  <c:v>5000</c:v>
                </c:pt>
                <c:pt idx="168">
                  <c:v>5000</c:v>
                </c:pt>
                <c:pt idx="169">
                  <c:v>5000</c:v>
                </c:pt>
                <c:pt idx="170">
                  <c:v>5000</c:v>
                </c:pt>
                <c:pt idx="171">
                  <c:v>5000</c:v>
                </c:pt>
                <c:pt idx="172">
                  <c:v>5000</c:v>
                </c:pt>
                <c:pt idx="173">
                  <c:v>5000</c:v>
                </c:pt>
                <c:pt idx="174">
                  <c:v>5000</c:v>
                </c:pt>
                <c:pt idx="175">
                  <c:v>5000</c:v>
                </c:pt>
                <c:pt idx="176">
                  <c:v>5000</c:v>
                </c:pt>
                <c:pt idx="177">
                  <c:v>5000</c:v>
                </c:pt>
                <c:pt idx="178">
                  <c:v>5000</c:v>
                </c:pt>
                <c:pt idx="179">
                  <c:v>5000</c:v>
                </c:pt>
                <c:pt idx="180">
                  <c:v>5000</c:v>
                </c:pt>
                <c:pt idx="181">
                  <c:v>5000</c:v>
                </c:pt>
                <c:pt idx="182">
                  <c:v>5000</c:v>
                </c:pt>
                <c:pt idx="183">
                  <c:v>5000</c:v>
                </c:pt>
                <c:pt idx="184">
                  <c:v>5000</c:v>
                </c:pt>
                <c:pt idx="185">
                  <c:v>15000</c:v>
                </c:pt>
                <c:pt idx="186">
                  <c:v>15000</c:v>
                </c:pt>
                <c:pt idx="187">
                  <c:v>15000</c:v>
                </c:pt>
                <c:pt idx="188">
                  <c:v>15000</c:v>
                </c:pt>
                <c:pt idx="189">
                  <c:v>15000</c:v>
                </c:pt>
                <c:pt idx="190">
                  <c:v>15000</c:v>
                </c:pt>
                <c:pt idx="191">
                  <c:v>15000</c:v>
                </c:pt>
                <c:pt idx="192">
                  <c:v>15000</c:v>
                </c:pt>
                <c:pt idx="193">
                  <c:v>15000</c:v>
                </c:pt>
                <c:pt idx="194">
                  <c:v>15000</c:v>
                </c:pt>
                <c:pt idx="195">
                  <c:v>15000</c:v>
                </c:pt>
                <c:pt idx="196">
                  <c:v>14987.550000058676</c:v>
                </c:pt>
                <c:pt idx="197">
                  <c:v>14626.080000057194</c:v>
                </c:pt>
                <c:pt idx="198">
                  <c:v>14162.400000056947</c:v>
                </c:pt>
                <c:pt idx="199">
                  <c:v>13759.410000055326</c:v>
                </c:pt>
                <c:pt idx="200">
                  <c:v>13601.280000055242</c:v>
                </c:pt>
                <c:pt idx="201">
                  <c:v>13470.120000055238</c:v>
                </c:pt>
                <c:pt idx="202">
                  <c:v>13257.340000054992</c:v>
                </c:pt>
                <c:pt idx="203">
                  <c:v>13097.310000056234</c:v>
                </c:pt>
                <c:pt idx="204">
                  <c:v>12803.300000054878</c:v>
                </c:pt>
                <c:pt idx="205">
                  <c:v>12483.280000054536</c:v>
                </c:pt>
                <c:pt idx="206">
                  <c:v>11985.560000054047</c:v>
                </c:pt>
                <c:pt idx="207">
                  <c:v>11572.6000000526</c:v>
                </c:pt>
                <c:pt idx="208">
                  <c:v>11171.300000052273</c:v>
                </c:pt>
                <c:pt idx="209">
                  <c:v>10639.400000050795</c:v>
                </c:pt>
                <c:pt idx="210">
                  <c:v>10136.500000050313</c:v>
                </c:pt>
                <c:pt idx="211">
                  <c:v>9617.7300000483156</c:v>
                </c:pt>
                <c:pt idx="212">
                  <c:v>9041.8800000478441</c:v>
                </c:pt>
                <c:pt idx="213">
                  <c:v>8801.1800000463118</c:v>
                </c:pt>
                <c:pt idx="214">
                  <c:v>8785</c:v>
                </c:pt>
                <c:pt idx="215">
                  <c:v>8785</c:v>
                </c:pt>
                <c:pt idx="216">
                  <c:v>8785</c:v>
                </c:pt>
                <c:pt idx="217">
                  <c:v>8785</c:v>
                </c:pt>
                <c:pt idx="218">
                  <c:v>8785</c:v>
                </c:pt>
                <c:pt idx="219">
                  <c:v>8785</c:v>
                </c:pt>
                <c:pt idx="220">
                  <c:v>8785</c:v>
                </c:pt>
                <c:pt idx="221">
                  <c:v>8785</c:v>
                </c:pt>
                <c:pt idx="222">
                  <c:v>8785</c:v>
                </c:pt>
                <c:pt idx="223">
                  <c:v>8785</c:v>
                </c:pt>
                <c:pt idx="224">
                  <c:v>8785</c:v>
                </c:pt>
                <c:pt idx="225">
                  <c:v>8785</c:v>
                </c:pt>
                <c:pt idx="226">
                  <c:v>8785</c:v>
                </c:pt>
                <c:pt idx="227">
                  <c:v>8785</c:v>
                </c:pt>
                <c:pt idx="228">
                  <c:v>8785</c:v>
                </c:pt>
                <c:pt idx="229">
                  <c:v>8785</c:v>
                </c:pt>
                <c:pt idx="230">
                  <c:v>8785</c:v>
                </c:pt>
                <c:pt idx="231">
                  <c:v>8785</c:v>
                </c:pt>
                <c:pt idx="232">
                  <c:v>8785</c:v>
                </c:pt>
                <c:pt idx="233">
                  <c:v>8785</c:v>
                </c:pt>
                <c:pt idx="234">
                  <c:v>8785</c:v>
                </c:pt>
                <c:pt idx="235">
                  <c:v>8785</c:v>
                </c:pt>
                <c:pt idx="236">
                  <c:v>8785</c:v>
                </c:pt>
                <c:pt idx="237">
                  <c:v>8785</c:v>
                </c:pt>
                <c:pt idx="238">
                  <c:v>8785</c:v>
                </c:pt>
                <c:pt idx="239">
                  <c:v>8785</c:v>
                </c:pt>
                <c:pt idx="240">
                  <c:v>8785</c:v>
                </c:pt>
                <c:pt idx="241">
                  <c:v>8785</c:v>
                </c:pt>
                <c:pt idx="242">
                  <c:v>8785</c:v>
                </c:pt>
                <c:pt idx="243">
                  <c:v>8785</c:v>
                </c:pt>
                <c:pt idx="244">
                  <c:v>8785</c:v>
                </c:pt>
                <c:pt idx="245">
                  <c:v>8785</c:v>
                </c:pt>
                <c:pt idx="246">
                  <c:v>8785</c:v>
                </c:pt>
                <c:pt idx="247">
                  <c:v>8785</c:v>
                </c:pt>
                <c:pt idx="248">
                  <c:v>8785</c:v>
                </c:pt>
                <c:pt idx="249">
                  <c:v>8785</c:v>
                </c:pt>
                <c:pt idx="250">
                  <c:v>8785</c:v>
                </c:pt>
                <c:pt idx="251">
                  <c:v>8785</c:v>
                </c:pt>
                <c:pt idx="252">
                  <c:v>8785</c:v>
                </c:pt>
                <c:pt idx="253">
                  <c:v>8785</c:v>
                </c:pt>
                <c:pt idx="254">
                  <c:v>8785</c:v>
                </c:pt>
                <c:pt idx="255">
                  <c:v>10385</c:v>
                </c:pt>
                <c:pt idx="256">
                  <c:v>10385</c:v>
                </c:pt>
                <c:pt idx="257">
                  <c:v>10385</c:v>
                </c:pt>
                <c:pt idx="258">
                  <c:v>10385</c:v>
                </c:pt>
                <c:pt idx="259">
                  <c:v>10385</c:v>
                </c:pt>
                <c:pt idx="260">
                  <c:v>10385</c:v>
                </c:pt>
                <c:pt idx="261">
                  <c:v>10385</c:v>
                </c:pt>
                <c:pt idx="262">
                  <c:v>10385</c:v>
                </c:pt>
                <c:pt idx="263">
                  <c:v>10385</c:v>
                </c:pt>
                <c:pt idx="264">
                  <c:v>10385</c:v>
                </c:pt>
                <c:pt idx="265">
                  <c:v>10385</c:v>
                </c:pt>
                <c:pt idx="266">
                  <c:v>10385</c:v>
                </c:pt>
                <c:pt idx="267">
                  <c:v>10385</c:v>
                </c:pt>
                <c:pt idx="268">
                  <c:v>10385</c:v>
                </c:pt>
                <c:pt idx="269">
                  <c:v>10863.54125</c:v>
                </c:pt>
                <c:pt idx="270">
                  <c:v>10620.623750000001</c:v>
                </c:pt>
                <c:pt idx="271">
                  <c:v>10256.247500000001</c:v>
                </c:pt>
                <c:pt idx="272">
                  <c:v>9770.4125000000022</c:v>
                </c:pt>
                <c:pt idx="273">
                  <c:v>9284.5775000000031</c:v>
                </c:pt>
                <c:pt idx="274">
                  <c:v>8798.7425000000039</c:v>
                </c:pt>
                <c:pt idx="275">
                  <c:v>8312.9075000000048</c:v>
                </c:pt>
                <c:pt idx="276">
                  <c:v>7827.0725000000048</c:v>
                </c:pt>
                <c:pt idx="277">
                  <c:v>7341.2375000000047</c:v>
                </c:pt>
                <c:pt idx="278">
                  <c:v>6855.4025000000047</c:v>
                </c:pt>
                <c:pt idx="279">
                  <c:v>6369.5675000000047</c:v>
                </c:pt>
                <c:pt idx="280">
                  <c:v>5883.7325000000046</c:v>
                </c:pt>
                <c:pt idx="281">
                  <c:v>5397.8975000000046</c:v>
                </c:pt>
                <c:pt idx="282">
                  <c:v>4912.0625000000045</c:v>
                </c:pt>
                <c:pt idx="283">
                  <c:v>5426.2275000000045</c:v>
                </c:pt>
                <c:pt idx="284">
                  <c:v>4841.2425000000048</c:v>
                </c:pt>
                <c:pt idx="285">
                  <c:v>4256.2575000000052</c:v>
                </c:pt>
                <c:pt idx="286">
                  <c:v>3671.272500000005</c:v>
                </c:pt>
                <c:pt idx="287">
                  <c:v>3086.2875000000049</c:v>
                </c:pt>
                <c:pt idx="288">
                  <c:v>2501.3025000000048</c:v>
                </c:pt>
                <c:pt idx="289">
                  <c:v>3016.3175000000047</c:v>
                </c:pt>
                <c:pt idx="290">
                  <c:v>2431.3325000000045</c:v>
                </c:pt>
                <c:pt idx="291">
                  <c:v>1846.3475000000044</c:v>
                </c:pt>
                <c:pt idx="292">
                  <c:v>1261.3625000000043</c:v>
                </c:pt>
                <c:pt idx="293">
                  <c:v>676.37750000000426</c:v>
                </c:pt>
                <c:pt idx="294">
                  <c:v>190.54250000000422</c:v>
                </c:pt>
                <c:pt idx="295">
                  <c:v>-2.3799999995759435E-2</c:v>
                </c:pt>
                <c:pt idx="296">
                  <c:v>-2.3799999995759435E-2</c:v>
                </c:pt>
                <c:pt idx="297">
                  <c:v>339.97620000000427</c:v>
                </c:pt>
                <c:pt idx="298">
                  <c:v>-9.1499999957136424E-3</c:v>
                </c:pt>
                <c:pt idx="299">
                  <c:v>-9.1499999957136424E-3</c:v>
                </c:pt>
                <c:pt idx="300">
                  <c:v>-9.1499999957136424E-3</c:v>
                </c:pt>
                <c:pt idx="301">
                  <c:v>-9.1499999957136424E-3</c:v>
                </c:pt>
                <c:pt idx="302">
                  <c:v>-9.1499999957136424E-3</c:v>
                </c:pt>
                <c:pt idx="303">
                  <c:v>-9.1499999957136424E-3</c:v>
                </c:pt>
                <c:pt idx="304">
                  <c:v>-9.1499999957136424E-3</c:v>
                </c:pt>
                <c:pt idx="305">
                  <c:v>-9.1499999957136424E-3</c:v>
                </c:pt>
                <c:pt idx="306">
                  <c:v>-9.1499999957136424E-3</c:v>
                </c:pt>
                <c:pt idx="307">
                  <c:v>-9.1499999957136424E-3</c:v>
                </c:pt>
                <c:pt idx="308">
                  <c:v>-9.1499999957136424E-3</c:v>
                </c:pt>
                <c:pt idx="309">
                  <c:v>-9.1499999957136424E-3</c:v>
                </c:pt>
                <c:pt idx="310">
                  <c:v>-9.1499999957136424E-3</c:v>
                </c:pt>
                <c:pt idx="311">
                  <c:v>-9.1499999957136424E-3</c:v>
                </c:pt>
                <c:pt idx="312">
                  <c:v>-9.1499999957136424E-3</c:v>
                </c:pt>
                <c:pt idx="313">
                  <c:v>-9.1499999957136424E-3</c:v>
                </c:pt>
                <c:pt idx="314">
                  <c:v>-9.1499999957136424E-3</c:v>
                </c:pt>
                <c:pt idx="315">
                  <c:v>-9.1499999957136424E-3</c:v>
                </c:pt>
                <c:pt idx="316">
                  <c:v>-9.1499999957136424E-3</c:v>
                </c:pt>
                <c:pt idx="317">
                  <c:v>-9.1499999957136424E-3</c:v>
                </c:pt>
                <c:pt idx="318">
                  <c:v>-9.1499999957136424E-3</c:v>
                </c:pt>
                <c:pt idx="319">
                  <c:v>-9.1499999957136424E-3</c:v>
                </c:pt>
                <c:pt idx="320">
                  <c:v>-9.1499999957136424E-3</c:v>
                </c:pt>
                <c:pt idx="321">
                  <c:v>-9.1499999957136424E-3</c:v>
                </c:pt>
                <c:pt idx="322">
                  <c:v>-9.1499999957136424E-3</c:v>
                </c:pt>
                <c:pt idx="323">
                  <c:v>-9.1499999957136424E-3</c:v>
                </c:pt>
                <c:pt idx="324">
                  <c:v>-9.1499999957136424E-3</c:v>
                </c:pt>
                <c:pt idx="325">
                  <c:v>-9.1499999957136424E-3</c:v>
                </c:pt>
                <c:pt idx="326">
                  <c:v>-9.1499999957136424E-3</c:v>
                </c:pt>
                <c:pt idx="327">
                  <c:v>-9.1499999957136424E-3</c:v>
                </c:pt>
                <c:pt idx="328">
                  <c:v>-9.1499999957136424E-3</c:v>
                </c:pt>
                <c:pt idx="329">
                  <c:v>-9.1499999957136424E-3</c:v>
                </c:pt>
                <c:pt idx="330">
                  <c:v>-9.1499999957136424E-3</c:v>
                </c:pt>
                <c:pt idx="331">
                  <c:v>-9.1499999957136424E-3</c:v>
                </c:pt>
                <c:pt idx="332">
                  <c:v>-9.1499999957136424E-3</c:v>
                </c:pt>
                <c:pt idx="333">
                  <c:v>-9.1499999957136424E-3</c:v>
                </c:pt>
                <c:pt idx="334">
                  <c:v>-9.1499999957136424E-3</c:v>
                </c:pt>
                <c:pt idx="335">
                  <c:v>-9.1499999957136424E-3</c:v>
                </c:pt>
                <c:pt idx="336">
                  <c:v>-9.1499999957136424E-3</c:v>
                </c:pt>
                <c:pt idx="337">
                  <c:v>-9.1499999957136424E-3</c:v>
                </c:pt>
                <c:pt idx="338">
                  <c:v>-9.1499999957136424E-3</c:v>
                </c:pt>
                <c:pt idx="339">
                  <c:v>-9.1499999957136424E-3</c:v>
                </c:pt>
                <c:pt idx="340">
                  <c:v>-9.1499999957136424E-3</c:v>
                </c:pt>
                <c:pt idx="341">
                  <c:v>-9.1499999957136424E-3</c:v>
                </c:pt>
                <c:pt idx="342">
                  <c:v>-9.1499999957136424E-3</c:v>
                </c:pt>
                <c:pt idx="343">
                  <c:v>-9.1499999957136424E-3</c:v>
                </c:pt>
                <c:pt idx="344">
                  <c:v>-9.1499999957136424E-3</c:v>
                </c:pt>
                <c:pt idx="345">
                  <c:v>-9.1499999957136424E-3</c:v>
                </c:pt>
                <c:pt idx="346">
                  <c:v>-9.1499999957136424E-3</c:v>
                </c:pt>
                <c:pt idx="347">
                  <c:v>-9.1499999957136424E-3</c:v>
                </c:pt>
                <c:pt idx="348">
                  <c:v>-9.1499999957136424E-3</c:v>
                </c:pt>
                <c:pt idx="349">
                  <c:v>-9.1499999957136424E-3</c:v>
                </c:pt>
                <c:pt idx="350">
                  <c:v>-9.1499999957136424E-3</c:v>
                </c:pt>
                <c:pt idx="351">
                  <c:v>-9.1499999957136424E-3</c:v>
                </c:pt>
                <c:pt idx="352">
                  <c:v>-9.1499999957136424E-3</c:v>
                </c:pt>
                <c:pt idx="353">
                  <c:v>-9.1499999957136424E-3</c:v>
                </c:pt>
                <c:pt idx="354">
                  <c:v>-9.1499999957136424E-3</c:v>
                </c:pt>
                <c:pt idx="355">
                  <c:v>-9.1499999957136424E-3</c:v>
                </c:pt>
                <c:pt idx="356">
                  <c:v>-9.1499999957136424E-3</c:v>
                </c:pt>
                <c:pt idx="357">
                  <c:v>-9.1499999957136424E-3</c:v>
                </c:pt>
                <c:pt idx="358">
                  <c:v>-9.1499999957136424E-3</c:v>
                </c:pt>
                <c:pt idx="359">
                  <c:v>-9.1499999957136424E-3</c:v>
                </c:pt>
                <c:pt idx="360">
                  <c:v>-9.1499999957136424E-3</c:v>
                </c:pt>
                <c:pt idx="361">
                  <c:v>-9.1499999957136424E-3</c:v>
                </c:pt>
                <c:pt idx="362">
                  <c:v>-9.1499999957136424E-3</c:v>
                </c:pt>
                <c:pt idx="363">
                  <c:v>-9.1499999957136424E-3</c:v>
                </c:pt>
                <c:pt idx="364">
                  <c:v>-9.1499999957136424E-3</c:v>
                </c:pt>
                <c:pt idx="365">
                  <c:v>-9.1499999957136424E-3</c:v>
                </c:pt>
                <c:pt idx="366">
                  <c:v>-9.1499999957136424E-3</c:v>
                </c:pt>
                <c:pt idx="367">
                  <c:v>-9.1499999957136424E-3</c:v>
                </c:pt>
                <c:pt idx="368">
                  <c:v>-9.1499999957136424E-3</c:v>
                </c:pt>
                <c:pt idx="369">
                  <c:v>-9.1499999957136424E-3</c:v>
                </c:pt>
                <c:pt idx="370">
                  <c:v>-9.1499999957136424E-3</c:v>
                </c:pt>
                <c:pt idx="371">
                  <c:v>-9.1499999957136424E-3</c:v>
                </c:pt>
                <c:pt idx="372">
                  <c:v>-9.1499999957136424E-3</c:v>
                </c:pt>
                <c:pt idx="373">
                  <c:v>-9.1499999957136424E-3</c:v>
                </c:pt>
                <c:pt idx="374">
                  <c:v>-9.1499999957136424E-3</c:v>
                </c:pt>
                <c:pt idx="375">
                  <c:v>-9.1499999957136424E-3</c:v>
                </c:pt>
              </c:numCache>
            </c:numRef>
          </c:val>
        </c:ser>
        <c:ser>
          <c:idx val="2"/>
          <c:order val="3"/>
          <c:tx>
            <c:strRef>
              <c:f>Summary!$AA$2</c:f>
              <c:strCache>
                <c:ptCount val="1"/>
                <c:pt idx="0">
                  <c:v>HHD Conservation / Flood Storage (includes 1220AF dead storage)</c:v>
                </c:pt>
              </c:strCache>
            </c:strRef>
          </c:tx>
          <c:spPr>
            <a:ln w="25400">
              <a:solidFill>
                <a:srgbClr val="FF00FF"/>
              </a:solidFill>
              <a:prstDash val="solid"/>
            </a:ln>
          </c:spPr>
          <c:marker>
            <c:symbol val="none"/>
          </c:marker>
          <c:cat>
            <c:numRef>
              <c:f>Summary!$A$5:$A$380</c:f>
              <c:numCache>
                <c:formatCode>[$-409]d\-mmm;@</c:formatCode>
                <c:ptCount val="376"/>
                <c:pt idx="0">
                  <c:v>40537</c:v>
                </c:pt>
                <c:pt idx="1">
                  <c:v>40538</c:v>
                </c:pt>
                <c:pt idx="2">
                  <c:v>40539</c:v>
                </c:pt>
                <c:pt idx="3">
                  <c:v>40540</c:v>
                </c:pt>
                <c:pt idx="4">
                  <c:v>40541</c:v>
                </c:pt>
                <c:pt idx="5">
                  <c:v>40542</c:v>
                </c:pt>
                <c:pt idx="6">
                  <c:v>40543</c:v>
                </c:pt>
                <c:pt idx="7">
                  <c:v>40544</c:v>
                </c:pt>
                <c:pt idx="8">
                  <c:v>40545</c:v>
                </c:pt>
                <c:pt idx="9">
                  <c:v>40546</c:v>
                </c:pt>
                <c:pt idx="10">
                  <c:v>40547</c:v>
                </c:pt>
                <c:pt idx="11">
                  <c:v>40548</c:v>
                </c:pt>
                <c:pt idx="12">
                  <c:v>40549</c:v>
                </c:pt>
                <c:pt idx="13">
                  <c:v>40550</c:v>
                </c:pt>
                <c:pt idx="14">
                  <c:v>40551</c:v>
                </c:pt>
                <c:pt idx="15">
                  <c:v>40552</c:v>
                </c:pt>
                <c:pt idx="16">
                  <c:v>40553</c:v>
                </c:pt>
                <c:pt idx="17">
                  <c:v>40554</c:v>
                </c:pt>
                <c:pt idx="18">
                  <c:v>40555</c:v>
                </c:pt>
                <c:pt idx="19">
                  <c:v>40556</c:v>
                </c:pt>
                <c:pt idx="20">
                  <c:v>40557</c:v>
                </c:pt>
                <c:pt idx="21">
                  <c:v>40558</c:v>
                </c:pt>
                <c:pt idx="22">
                  <c:v>40559</c:v>
                </c:pt>
                <c:pt idx="23">
                  <c:v>40560</c:v>
                </c:pt>
                <c:pt idx="24">
                  <c:v>40561</c:v>
                </c:pt>
                <c:pt idx="25">
                  <c:v>40562</c:v>
                </c:pt>
                <c:pt idx="26">
                  <c:v>40563</c:v>
                </c:pt>
                <c:pt idx="27">
                  <c:v>40564</c:v>
                </c:pt>
                <c:pt idx="28">
                  <c:v>40565</c:v>
                </c:pt>
                <c:pt idx="29">
                  <c:v>40566</c:v>
                </c:pt>
                <c:pt idx="30">
                  <c:v>40567</c:v>
                </c:pt>
                <c:pt idx="31">
                  <c:v>40568</c:v>
                </c:pt>
                <c:pt idx="32">
                  <c:v>40569</c:v>
                </c:pt>
                <c:pt idx="33">
                  <c:v>40570</c:v>
                </c:pt>
                <c:pt idx="34">
                  <c:v>40571</c:v>
                </c:pt>
                <c:pt idx="35">
                  <c:v>40572</c:v>
                </c:pt>
                <c:pt idx="36">
                  <c:v>40573</c:v>
                </c:pt>
                <c:pt idx="37">
                  <c:v>40574</c:v>
                </c:pt>
                <c:pt idx="38">
                  <c:v>40575</c:v>
                </c:pt>
                <c:pt idx="39">
                  <c:v>40576</c:v>
                </c:pt>
                <c:pt idx="40">
                  <c:v>40577</c:v>
                </c:pt>
                <c:pt idx="41">
                  <c:v>40578</c:v>
                </c:pt>
                <c:pt idx="42">
                  <c:v>40579</c:v>
                </c:pt>
                <c:pt idx="43">
                  <c:v>40580</c:v>
                </c:pt>
                <c:pt idx="44">
                  <c:v>40581</c:v>
                </c:pt>
                <c:pt idx="45">
                  <c:v>40582</c:v>
                </c:pt>
                <c:pt idx="46">
                  <c:v>40583</c:v>
                </c:pt>
                <c:pt idx="47">
                  <c:v>40584</c:v>
                </c:pt>
                <c:pt idx="48">
                  <c:v>40585</c:v>
                </c:pt>
                <c:pt idx="49">
                  <c:v>40586</c:v>
                </c:pt>
                <c:pt idx="50">
                  <c:v>40587</c:v>
                </c:pt>
                <c:pt idx="51">
                  <c:v>40588</c:v>
                </c:pt>
                <c:pt idx="52">
                  <c:v>40589</c:v>
                </c:pt>
                <c:pt idx="53">
                  <c:v>40590</c:v>
                </c:pt>
                <c:pt idx="54">
                  <c:v>40591</c:v>
                </c:pt>
                <c:pt idx="55">
                  <c:v>40592</c:v>
                </c:pt>
                <c:pt idx="56">
                  <c:v>40593</c:v>
                </c:pt>
                <c:pt idx="57">
                  <c:v>40594</c:v>
                </c:pt>
                <c:pt idx="58">
                  <c:v>40595</c:v>
                </c:pt>
                <c:pt idx="59">
                  <c:v>40596</c:v>
                </c:pt>
                <c:pt idx="60">
                  <c:v>40597</c:v>
                </c:pt>
                <c:pt idx="61">
                  <c:v>40598</c:v>
                </c:pt>
                <c:pt idx="62">
                  <c:v>40599</c:v>
                </c:pt>
                <c:pt idx="63">
                  <c:v>40600</c:v>
                </c:pt>
                <c:pt idx="64">
                  <c:v>40601</c:v>
                </c:pt>
                <c:pt idx="65">
                  <c:v>40602</c:v>
                </c:pt>
                <c:pt idx="66">
                  <c:v>40603</c:v>
                </c:pt>
                <c:pt idx="67">
                  <c:v>40604</c:v>
                </c:pt>
                <c:pt idx="68">
                  <c:v>40605</c:v>
                </c:pt>
                <c:pt idx="69">
                  <c:v>40606</c:v>
                </c:pt>
                <c:pt idx="70">
                  <c:v>40607</c:v>
                </c:pt>
                <c:pt idx="71">
                  <c:v>40608</c:v>
                </c:pt>
                <c:pt idx="72">
                  <c:v>40609</c:v>
                </c:pt>
                <c:pt idx="73">
                  <c:v>40610</c:v>
                </c:pt>
                <c:pt idx="74">
                  <c:v>40611</c:v>
                </c:pt>
                <c:pt idx="75">
                  <c:v>40612</c:v>
                </c:pt>
                <c:pt idx="76">
                  <c:v>40613</c:v>
                </c:pt>
                <c:pt idx="77">
                  <c:v>40614</c:v>
                </c:pt>
                <c:pt idx="78">
                  <c:v>40615</c:v>
                </c:pt>
                <c:pt idx="79">
                  <c:v>40616</c:v>
                </c:pt>
                <c:pt idx="80">
                  <c:v>40617</c:v>
                </c:pt>
                <c:pt idx="81">
                  <c:v>40618</c:v>
                </c:pt>
                <c:pt idx="82">
                  <c:v>40619</c:v>
                </c:pt>
                <c:pt idx="83">
                  <c:v>40620</c:v>
                </c:pt>
                <c:pt idx="84">
                  <c:v>40621</c:v>
                </c:pt>
                <c:pt idx="85">
                  <c:v>40622</c:v>
                </c:pt>
                <c:pt idx="86">
                  <c:v>40623</c:v>
                </c:pt>
                <c:pt idx="87">
                  <c:v>40624</c:v>
                </c:pt>
                <c:pt idx="88">
                  <c:v>40625</c:v>
                </c:pt>
                <c:pt idx="89">
                  <c:v>40626</c:v>
                </c:pt>
                <c:pt idx="90">
                  <c:v>40627</c:v>
                </c:pt>
                <c:pt idx="91">
                  <c:v>40628</c:v>
                </c:pt>
                <c:pt idx="92">
                  <c:v>40629</c:v>
                </c:pt>
                <c:pt idx="93">
                  <c:v>40630</c:v>
                </c:pt>
                <c:pt idx="94">
                  <c:v>40631</c:v>
                </c:pt>
                <c:pt idx="95">
                  <c:v>40632</c:v>
                </c:pt>
                <c:pt idx="96">
                  <c:v>40633</c:v>
                </c:pt>
                <c:pt idx="97">
                  <c:v>40634</c:v>
                </c:pt>
                <c:pt idx="98">
                  <c:v>40635</c:v>
                </c:pt>
                <c:pt idx="99">
                  <c:v>40636</c:v>
                </c:pt>
                <c:pt idx="100">
                  <c:v>40637</c:v>
                </c:pt>
                <c:pt idx="101">
                  <c:v>40638</c:v>
                </c:pt>
                <c:pt idx="102">
                  <c:v>40639</c:v>
                </c:pt>
                <c:pt idx="103">
                  <c:v>40640</c:v>
                </c:pt>
                <c:pt idx="104">
                  <c:v>40641</c:v>
                </c:pt>
                <c:pt idx="105">
                  <c:v>40642</c:v>
                </c:pt>
                <c:pt idx="106">
                  <c:v>40643</c:v>
                </c:pt>
                <c:pt idx="107">
                  <c:v>40644</c:v>
                </c:pt>
                <c:pt idx="108">
                  <c:v>40645</c:v>
                </c:pt>
                <c:pt idx="109">
                  <c:v>40646</c:v>
                </c:pt>
                <c:pt idx="110">
                  <c:v>40647</c:v>
                </c:pt>
                <c:pt idx="111">
                  <c:v>40648</c:v>
                </c:pt>
                <c:pt idx="112">
                  <c:v>40649</c:v>
                </c:pt>
                <c:pt idx="113">
                  <c:v>40650</c:v>
                </c:pt>
                <c:pt idx="114">
                  <c:v>40651</c:v>
                </c:pt>
                <c:pt idx="115">
                  <c:v>40652</c:v>
                </c:pt>
                <c:pt idx="116">
                  <c:v>40653</c:v>
                </c:pt>
                <c:pt idx="117">
                  <c:v>40654</c:v>
                </c:pt>
                <c:pt idx="118">
                  <c:v>40655</c:v>
                </c:pt>
                <c:pt idx="119">
                  <c:v>40656</c:v>
                </c:pt>
                <c:pt idx="120">
                  <c:v>40657</c:v>
                </c:pt>
                <c:pt idx="121">
                  <c:v>40658</c:v>
                </c:pt>
                <c:pt idx="122">
                  <c:v>40659</c:v>
                </c:pt>
                <c:pt idx="123">
                  <c:v>40660</c:v>
                </c:pt>
                <c:pt idx="124">
                  <c:v>40661</c:v>
                </c:pt>
                <c:pt idx="125">
                  <c:v>40662</c:v>
                </c:pt>
                <c:pt idx="126">
                  <c:v>40663</c:v>
                </c:pt>
                <c:pt idx="127">
                  <c:v>40664</c:v>
                </c:pt>
                <c:pt idx="128">
                  <c:v>40665</c:v>
                </c:pt>
                <c:pt idx="129">
                  <c:v>40666</c:v>
                </c:pt>
                <c:pt idx="130">
                  <c:v>40667</c:v>
                </c:pt>
                <c:pt idx="131">
                  <c:v>40668</c:v>
                </c:pt>
                <c:pt idx="132">
                  <c:v>40669</c:v>
                </c:pt>
                <c:pt idx="133">
                  <c:v>40670</c:v>
                </c:pt>
                <c:pt idx="134">
                  <c:v>40671</c:v>
                </c:pt>
                <c:pt idx="135">
                  <c:v>40672</c:v>
                </c:pt>
                <c:pt idx="136">
                  <c:v>40673</c:v>
                </c:pt>
                <c:pt idx="137">
                  <c:v>40674</c:v>
                </c:pt>
                <c:pt idx="138">
                  <c:v>40675</c:v>
                </c:pt>
                <c:pt idx="139">
                  <c:v>40676</c:v>
                </c:pt>
                <c:pt idx="140">
                  <c:v>40677</c:v>
                </c:pt>
                <c:pt idx="141">
                  <c:v>40678</c:v>
                </c:pt>
                <c:pt idx="142">
                  <c:v>40679</c:v>
                </c:pt>
                <c:pt idx="143">
                  <c:v>40680</c:v>
                </c:pt>
                <c:pt idx="144">
                  <c:v>40681</c:v>
                </c:pt>
                <c:pt idx="145">
                  <c:v>40682</c:v>
                </c:pt>
                <c:pt idx="146">
                  <c:v>40683</c:v>
                </c:pt>
                <c:pt idx="147">
                  <c:v>40684</c:v>
                </c:pt>
                <c:pt idx="148">
                  <c:v>40685</c:v>
                </c:pt>
                <c:pt idx="149">
                  <c:v>40686</c:v>
                </c:pt>
                <c:pt idx="150">
                  <c:v>40687</c:v>
                </c:pt>
                <c:pt idx="151">
                  <c:v>40688</c:v>
                </c:pt>
                <c:pt idx="152">
                  <c:v>40689</c:v>
                </c:pt>
                <c:pt idx="153">
                  <c:v>40690</c:v>
                </c:pt>
                <c:pt idx="154">
                  <c:v>40691</c:v>
                </c:pt>
                <c:pt idx="155">
                  <c:v>40692</c:v>
                </c:pt>
                <c:pt idx="156">
                  <c:v>40693</c:v>
                </c:pt>
                <c:pt idx="157">
                  <c:v>40694</c:v>
                </c:pt>
                <c:pt idx="158">
                  <c:v>40695</c:v>
                </c:pt>
                <c:pt idx="159">
                  <c:v>40696</c:v>
                </c:pt>
                <c:pt idx="160">
                  <c:v>40697</c:v>
                </c:pt>
                <c:pt idx="161">
                  <c:v>40698</c:v>
                </c:pt>
                <c:pt idx="162">
                  <c:v>40699</c:v>
                </c:pt>
                <c:pt idx="163">
                  <c:v>40700</c:v>
                </c:pt>
                <c:pt idx="164">
                  <c:v>40701</c:v>
                </c:pt>
                <c:pt idx="165">
                  <c:v>40702</c:v>
                </c:pt>
                <c:pt idx="166">
                  <c:v>40703</c:v>
                </c:pt>
                <c:pt idx="167">
                  <c:v>40704</c:v>
                </c:pt>
                <c:pt idx="168">
                  <c:v>40705</c:v>
                </c:pt>
                <c:pt idx="169">
                  <c:v>40706</c:v>
                </c:pt>
                <c:pt idx="170">
                  <c:v>40707</c:v>
                </c:pt>
                <c:pt idx="171">
                  <c:v>40708</c:v>
                </c:pt>
                <c:pt idx="172">
                  <c:v>40709</c:v>
                </c:pt>
                <c:pt idx="173">
                  <c:v>40710</c:v>
                </c:pt>
                <c:pt idx="174">
                  <c:v>40711</c:v>
                </c:pt>
                <c:pt idx="175">
                  <c:v>40712</c:v>
                </c:pt>
                <c:pt idx="176">
                  <c:v>40713</c:v>
                </c:pt>
                <c:pt idx="177">
                  <c:v>40714</c:v>
                </c:pt>
                <c:pt idx="178">
                  <c:v>40715</c:v>
                </c:pt>
                <c:pt idx="179">
                  <c:v>40716</c:v>
                </c:pt>
                <c:pt idx="180">
                  <c:v>40717</c:v>
                </c:pt>
                <c:pt idx="181">
                  <c:v>40718</c:v>
                </c:pt>
                <c:pt idx="182">
                  <c:v>40719</c:v>
                </c:pt>
                <c:pt idx="183">
                  <c:v>40720</c:v>
                </c:pt>
                <c:pt idx="184">
                  <c:v>40721</c:v>
                </c:pt>
                <c:pt idx="185">
                  <c:v>40722</c:v>
                </c:pt>
                <c:pt idx="186">
                  <c:v>40723</c:v>
                </c:pt>
                <c:pt idx="187">
                  <c:v>40724</c:v>
                </c:pt>
                <c:pt idx="188">
                  <c:v>40725</c:v>
                </c:pt>
                <c:pt idx="189">
                  <c:v>40726</c:v>
                </c:pt>
                <c:pt idx="190">
                  <c:v>40727</c:v>
                </c:pt>
                <c:pt idx="191">
                  <c:v>40728</c:v>
                </c:pt>
                <c:pt idx="192">
                  <c:v>40729</c:v>
                </c:pt>
                <c:pt idx="193">
                  <c:v>40730</c:v>
                </c:pt>
                <c:pt idx="194">
                  <c:v>40731</c:v>
                </c:pt>
                <c:pt idx="195">
                  <c:v>40732</c:v>
                </c:pt>
                <c:pt idx="196">
                  <c:v>40733</c:v>
                </c:pt>
                <c:pt idx="197">
                  <c:v>40734</c:v>
                </c:pt>
                <c:pt idx="198">
                  <c:v>40735</c:v>
                </c:pt>
                <c:pt idx="199">
                  <c:v>40736</c:v>
                </c:pt>
                <c:pt idx="200">
                  <c:v>40737</c:v>
                </c:pt>
                <c:pt idx="201">
                  <c:v>40738</c:v>
                </c:pt>
                <c:pt idx="202">
                  <c:v>40739</c:v>
                </c:pt>
                <c:pt idx="203">
                  <c:v>40740</c:v>
                </c:pt>
                <c:pt idx="204">
                  <c:v>40741</c:v>
                </c:pt>
                <c:pt idx="205">
                  <c:v>40742</c:v>
                </c:pt>
                <c:pt idx="206">
                  <c:v>40743</c:v>
                </c:pt>
                <c:pt idx="207">
                  <c:v>40744</c:v>
                </c:pt>
                <c:pt idx="208">
                  <c:v>40745</c:v>
                </c:pt>
                <c:pt idx="209">
                  <c:v>40746</c:v>
                </c:pt>
                <c:pt idx="210">
                  <c:v>40747</c:v>
                </c:pt>
                <c:pt idx="211">
                  <c:v>40748</c:v>
                </c:pt>
                <c:pt idx="212">
                  <c:v>40749</c:v>
                </c:pt>
                <c:pt idx="213">
                  <c:v>40750</c:v>
                </c:pt>
                <c:pt idx="214">
                  <c:v>40751</c:v>
                </c:pt>
                <c:pt idx="215">
                  <c:v>40752</c:v>
                </c:pt>
                <c:pt idx="216">
                  <c:v>40753</c:v>
                </c:pt>
                <c:pt idx="217">
                  <c:v>40754</c:v>
                </c:pt>
                <c:pt idx="218">
                  <c:v>40755</c:v>
                </c:pt>
                <c:pt idx="219">
                  <c:v>40756</c:v>
                </c:pt>
                <c:pt idx="220">
                  <c:v>40757</c:v>
                </c:pt>
                <c:pt idx="221">
                  <c:v>40758</c:v>
                </c:pt>
                <c:pt idx="222">
                  <c:v>40759</c:v>
                </c:pt>
                <c:pt idx="223">
                  <c:v>40760</c:v>
                </c:pt>
                <c:pt idx="224">
                  <c:v>40761</c:v>
                </c:pt>
                <c:pt idx="225">
                  <c:v>40762</c:v>
                </c:pt>
                <c:pt idx="226">
                  <c:v>40763</c:v>
                </c:pt>
                <c:pt idx="227">
                  <c:v>40764</c:v>
                </c:pt>
                <c:pt idx="228">
                  <c:v>40765</c:v>
                </c:pt>
                <c:pt idx="229">
                  <c:v>40766</c:v>
                </c:pt>
                <c:pt idx="230">
                  <c:v>40767</c:v>
                </c:pt>
                <c:pt idx="231">
                  <c:v>40768</c:v>
                </c:pt>
                <c:pt idx="232">
                  <c:v>40769</c:v>
                </c:pt>
                <c:pt idx="233">
                  <c:v>40770</c:v>
                </c:pt>
                <c:pt idx="234">
                  <c:v>40771</c:v>
                </c:pt>
                <c:pt idx="235">
                  <c:v>40772</c:v>
                </c:pt>
                <c:pt idx="236">
                  <c:v>40773</c:v>
                </c:pt>
                <c:pt idx="237">
                  <c:v>40774</c:v>
                </c:pt>
                <c:pt idx="238">
                  <c:v>40775</c:v>
                </c:pt>
                <c:pt idx="239">
                  <c:v>40776</c:v>
                </c:pt>
                <c:pt idx="240">
                  <c:v>40777</c:v>
                </c:pt>
                <c:pt idx="241">
                  <c:v>40778</c:v>
                </c:pt>
                <c:pt idx="242">
                  <c:v>40779</c:v>
                </c:pt>
                <c:pt idx="243">
                  <c:v>40780</c:v>
                </c:pt>
                <c:pt idx="244">
                  <c:v>40781</c:v>
                </c:pt>
                <c:pt idx="245">
                  <c:v>40782</c:v>
                </c:pt>
                <c:pt idx="246">
                  <c:v>40783</c:v>
                </c:pt>
                <c:pt idx="247">
                  <c:v>40784</c:v>
                </c:pt>
                <c:pt idx="248">
                  <c:v>40785</c:v>
                </c:pt>
                <c:pt idx="249">
                  <c:v>40786</c:v>
                </c:pt>
                <c:pt idx="250">
                  <c:v>40787</c:v>
                </c:pt>
                <c:pt idx="251">
                  <c:v>40788</c:v>
                </c:pt>
                <c:pt idx="252">
                  <c:v>40789</c:v>
                </c:pt>
                <c:pt idx="253">
                  <c:v>40790</c:v>
                </c:pt>
                <c:pt idx="254">
                  <c:v>40791</c:v>
                </c:pt>
                <c:pt idx="255">
                  <c:v>40792</c:v>
                </c:pt>
                <c:pt idx="256">
                  <c:v>40793</c:v>
                </c:pt>
                <c:pt idx="257">
                  <c:v>40794</c:v>
                </c:pt>
                <c:pt idx="258">
                  <c:v>40795</c:v>
                </c:pt>
                <c:pt idx="259">
                  <c:v>40796</c:v>
                </c:pt>
                <c:pt idx="260">
                  <c:v>40797</c:v>
                </c:pt>
                <c:pt idx="261">
                  <c:v>40798</c:v>
                </c:pt>
                <c:pt idx="262">
                  <c:v>40799</c:v>
                </c:pt>
                <c:pt idx="263">
                  <c:v>40800</c:v>
                </c:pt>
                <c:pt idx="264">
                  <c:v>40801</c:v>
                </c:pt>
                <c:pt idx="265">
                  <c:v>40802</c:v>
                </c:pt>
                <c:pt idx="266">
                  <c:v>40803</c:v>
                </c:pt>
                <c:pt idx="267">
                  <c:v>40804</c:v>
                </c:pt>
                <c:pt idx="268">
                  <c:v>40805</c:v>
                </c:pt>
                <c:pt idx="269">
                  <c:v>40806</c:v>
                </c:pt>
                <c:pt idx="270">
                  <c:v>40807</c:v>
                </c:pt>
                <c:pt idx="271">
                  <c:v>40808</c:v>
                </c:pt>
                <c:pt idx="272">
                  <c:v>40809</c:v>
                </c:pt>
                <c:pt idx="273">
                  <c:v>40810</c:v>
                </c:pt>
                <c:pt idx="274">
                  <c:v>40811</c:v>
                </c:pt>
                <c:pt idx="275">
                  <c:v>40812</c:v>
                </c:pt>
                <c:pt idx="276">
                  <c:v>40813</c:v>
                </c:pt>
                <c:pt idx="277">
                  <c:v>40814</c:v>
                </c:pt>
                <c:pt idx="278">
                  <c:v>40815</c:v>
                </c:pt>
                <c:pt idx="279">
                  <c:v>40816</c:v>
                </c:pt>
                <c:pt idx="280">
                  <c:v>40817</c:v>
                </c:pt>
                <c:pt idx="281">
                  <c:v>40818</c:v>
                </c:pt>
                <c:pt idx="282">
                  <c:v>40819</c:v>
                </c:pt>
                <c:pt idx="283">
                  <c:v>40820</c:v>
                </c:pt>
                <c:pt idx="284">
                  <c:v>40821</c:v>
                </c:pt>
                <c:pt idx="285">
                  <c:v>40822</c:v>
                </c:pt>
                <c:pt idx="286">
                  <c:v>40823</c:v>
                </c:pt>
                <c:pt idx="287">
                  <c:v>40824</c:v>
                </c:pt>
                <c:pt idx="288">
                  <c:v>40825</c:v>
                </c:pt>
                <c:pt idx="289">
                  <c:v>40826</c:v>
                </c:pt>
                <c:pt idx="290">
                  <c:v>40827</c:v>
                </c:pt>
                <c:pt idx="291">
                  <c:v>40828</c:v>
                </c:pt>
                <c:pt idx="292">
                  <c:v>40829</c:v>
                </c:pt>
                <c:pt idx="293">
                  <c:v>40830</c:v>
                </c:pt>
                <c:pt idx="294">
                  <c:v>40831</c:v>
                </c:pt>
                <c:pt idx="295">
                  <c:v>40832</c:v>
                </c:pt>
                <c:pt idx="296">
                  <c:v>40833</c:v>
                </c:pt>
                <c:pt idx="297">
                  <c:v>40834</c:v>
                </c:pt>
                <c:pt idx="298">
                  <c:v>40835</c:v>
                </c:pt>
                <c:pt idx="299">
                  <c:v>40836</c:v>
                </c:pt>
                <c:pt idx="300">
                  <c:v>40837</c:v>
                </c:pt>
                <c:pt idx="301">
                  <c:v>40838</c:v>
                </c:pt>
                <c:pt idx="302">
                  <c:v>40839</c:v>
                </c:pt>
                <c:pt idx="303">
                  <c:v>40840</c:v>
                </c:pt>
                <c:pt idx="304">
                  <c:v>40841</c:v>
                </c:pt>
                <c:pt idx="305">
                  <c:v>40842</c:v>
                </c:pt>
                <c:pt idx="306">
                  <c:v>40843</c:v>
                </c:pt>
                <c:pt idx="307">
                  <c:v>40844</c:v>
                </c:pt>
                <c:pt idx="308">
                  <c:v>40845</c:v>
                </c:pt>
                <c:pt idx="309">
                  <c:v>40846</c:v>
                </c:pt>
                <c:pt idx="310">
                  <c:v>40847</c:v>
                </c:pt>
                <c:pt idx="311">
                  <c:v>40848</c:v>
                </c:pt>
                <c:pt idx="312">
                  <c:v>40849</c:v>
                </c:pt>
                <c:pt idx="313">
                  <c:v>40850</c:v>
                </c:pt>
                <c:pt idx="314">
                  <c:v>40851</c:v>
                </c:pt>
                <c:pt idx="315">
                  <c:v>40852</c:v>
                </c:pt>
                <c:pt idx="316">
                  <c:v>40853</c:v>
                </c:pt>
                <c:pt idx="317">
                  <c:v>40854</c:v>
                </c:pt>
                <c:pt idx="318">
                  <c:v>40855</c:v>
                </c:pt>
                <c:pt idx="319">
                  <c:v>40856</c:v>
                </c:pt>
                <c:pt idx="320">
                  <c:v>40857</c:v>
                </c:pt>
                <c:pt idx="321">
                  <c:v>40858</c:v>
                </c:pt>
                <c:pt idx="322">
                  <c:v>40859</c:v>
                </c:pt>
                <c:pt idx="323">
                  <c:v>40860</c:v>
                </c:pt>
                <c:pt idx="324">
                  <c:v>40861</c:v>
                </c:pt>
                <c:pt idx="325">
                  <c:v>40862</c:v>
                </c:pt>
                <c:pt idx="326">
                  <c:v>40863</c:v>
                </c:pt>
                <c:pt idx="327">
                  <c:v>40864</c:v>
                </c:pt>
                <c:pt idx="328">
                  <c:v>40865</c:v>
                </c:pt>
                <c:pt idx="329">
                  <c:v>40866</c:v>
                </c:pt>
                <c:pt idx="330">
                  <c:v>40867</c:v>
                </c:pt>
                <c:pt idx="331">
                  <c:v>40868</c:v>
                </c:pt>
                <c:pt idx="332">
                  <c:v>40869</c:v>
                </c:pt>
                <c:pt idx="333">
                  <c:v>40870</c:v>
                </c:pt>
                <c:pt idx="334">
                  <c:v>40871</c:v>
                </c:pt>
                <c:pt idx="335">
                  <c:v>40872</c:v>
                </c:pt>
                <c:pt idx="336">
                  <c:v>40873</c:v>
                </c:pt>
                <c:pt idx="337">
                  <c:v>40874</c:v>
                </c:pt>
                <c:pt idx="338">
                  <c:v>40875</c:v>
                </c:pt>
                <c:pt idx="339">
                  <c:v>40876</c:v>
                </c:pt>
                <c:pt idx="340">
                  <c:v>40877</c:v>
                </c:pt>
                <c:pt idx="341">
                  <c:v>40878</c:v>
                </c:pt>
                <c:pt idx="342">
                  <c:v>40879</c:v>
                </c:pt>
                <c:pt idx="343">
                  <c:v>40880</c:v>
                </c:pt>
                <c:pt idx="344">
                  <c:v>40881</c:v>
                </c:pt>
                <c:pt idx="345">
                  <c:v>40882</c:v>
                </c:pt>
                <c:pt idx="346">
                  <c:v>40883</c:v>
                </c:pt>
                <c:pt idx="347">
                  <c:v>40884</c:v>
                </c:pt>
                <c:pt idx="348">
                  <c:v>40885</c:v>
                </c:pt>
                <c:pt idx="349">
                  <c:v>40886</c:v>
                </c:pt>
                <c:pt idx="350">
                  <c:v>40887</c:v>
                </c:pt>
                <c:pt idx="351">
                  <c:v>40888</c:v>
                </c:pt>
                <c:pt idx="352">
                  <c:v>40889</c:v>
                </c:pt>
                <c:pt idx="353">
                  <c:v>40890</c:v>
                </c:pt>
                <c:pt idx="354">
                  <c:v>40891</c:v>
                </c:pt>
                <c:pt idx="355">
                  <c:v>40892</c:v>
                </c:pt>
                <c:pt idx="356">
                  <c:v>40893</c:v>
                </c:pt>
                <c:pt idx="357">
                  <c:v>40894</c:v>
                </c:pt>
                <c:pt idx="358">
                  <c:v>40895</c:v>
                </c:pt>
                <c:pt idx="359">
                  <c:v>40896</c:v>
                </c:pt>
                <c:pt idx="360">
                  <c:v>40897</c:v>
                </c:pt>
                <c:pt idx="361">
                  <c:v>40898</c:v>
                </c:pt>
                <c:pt idx="362">
                  <c:v>40899</c:v>
                </c:pt>
                <c:pt idx="363">
                  <c:v>40900</c:v>
                </c:pt>
                <c:pt idx="364">
                  <c:v>40901</c:v>
                </c:pt>
                <c:pt idx="365">
                  <c:v>40902</c:v>
                </c:pt>
                <c:pt idx="366">
                  <c:v>40903</c:v>
                </c:pt>
                <c:pt idx="367">
                  <c:v>40904</c:v>
                </c:pt>
                <c:pt idx="368">
                  <c:v>40905</c:v>
                </c:pt>
                <c:pt idx="369">
                  <c:v>40906</c:v>
                </c:pt>
                <c:pt idx="370">
                  <c:v>40907</c:v>
                </c:pt>
                <c:pt idx="371">
                  <c:v>40908</c:v>
                </c:pt>
                <c:pt idx="372">
                  <c:v>40909</c:v>
                </c:pt>
                <c:pt idx="373">
                  <c:v>40910</c:v>
                </c:pt>
                <c:pt idx="374">
                  <c:v>40911</c:v>
                </c:pt>
              </c:numCache>
            </c:numRef>
          </c:cat>
          <c:val>
            <c:numRef>
              <c:f>Summary!$AA$5:$AA$380</c:f>
              <c:numCache>
                <c:formatCode>0.0</c:formatCode>
                <c:ptCount val="376"/>
                <c:pt idx="0">
                  <c:v>2136.600000003074</c:v>
                </c:pt>
                <c:pt idx="1">
                  <c:v>2202.3500000032536</c:v>
                </c:pt>
                <c:pt idx="2">
                  <c:v>2106.7000000030444</c:v>
                </c:pt>
                <c:pt idx="3">
                  <c:v>2052.1000000029853</c:v>
                </c:pt>
                <c:pt idx="4">
                  <c:v>1981.7200000028363</c:v>
                </c:pt>
                <c:pt idx="5">
                  <c:v>2123.6000000030444</c:v>
                </c:pt>
                <c:pt idx="6">
                  <c:v>2230.7000000032535</c:v>
                </c:pt>
                <c:pt idx="7">
                  <c:v>2178.050000003223</c:v>
                </c:pt>
                <c:pt idx="8">
                  <c:v>2030.0000000029559</c:v>
                </c:pt>
                <c:pt idx="9">
                  <c:v>1902.3400000027502</c:v>
                </c:pt>
                <c:pt idx="10">
                  <c:v>1877.5800000026629</c:v>
                </c:pt>
                <c:pt idx="11">
                  <c:v>1849.5200000026352</c:v>
                </c:pt>
                <c:pt idx="12">
                  <c:v>2245.5500000032844</c:v>
                </c:pt>
                <c:pt idx="13">
                  <c:v>3441.5000000054283</c:v>
                </c:pt>
                <c:pt idx="14">
                  <c:v>3917.6000000064369</c:v>
                </c:pt>
                <c:pt idx="15">
                  <c:v>2762.9600000042092</c:v>
                </c:pt>
                <c:pt idx="16">
                  <c:v>1966.6000000028075</c:v>
                </c:pt>
                <c:pt idx="17">
                  <c:v>1776.320000002552</c:v>
                </c:pt>
                <c:pt idx="18">
                  <c:v>1887.3400000026629</c:v>
                </c:pt>
                <c:pt idx="19">
                  <c:v>2304.4000000034698</c:v>
                </c:pt>
                <c:pt idx="20">
                  <c:v>2192.9000000032229</c:v>
                </c:pt>
                <c:pt idx="21">
                  <c:v>1966.6000000028075</c:v>
                </c:pt>
                <c:pt idx="22">
                  <c:v>18438.950000040626</c:v>
                </c:pt>
                <c:pt idx="23">
                  <c:v>37140.750000090891</c:v>
                </c:pt>
                <c:pt idx="24">
                  <c:v>36616.070000088934</c:v>
                </c:pt>
                <c:pt idx="25">
                  <c:v>29442.000000073953</c:v>
                </c:pt>
                <c:pt idx="26">
                  <c:v>21903.550000051877</c:v>
                </c:pt>
                <c:pt idx="27">
                  <c:v>18081.680000039301</c:v>
                </c:pt>
                <c:pt idx="28">
                  <c:v>15688.640000033691</c:v>
                </c:pt>
                <c:pt idx="29">
                  <c:v>11184.570000022492</c:v>
                </c:pt>
                <c:pt idx="30">
                  <c:v>6934.2500000125683</c:v>
                </c:pt>
                <c:pt idx="31">
                  <c:v>5481.8800000093897</c:v>
                </c:pt>
                <c:pt idx="32">
                  <c:v>3848.6800000061498</c:v>
                </c:pt>
                <c:pt idx="33">
                  <c:v>2787.4400000042442</c:v>
                </c:pt>
                <c:pt idx="34">
                  <c:v>2617.1500000039637</c:v>
                </c:pt>
                <c:pt idx="35">
                  <c:v>2946.0000000045266</c:v>
                </c:pt>
                <c:pt idx="36">
                  <c:v>3250.8400000051183</c:v>
                </c:pt>
                <c:pt idx="37">
                  <c:v>2549.2700000037717</c:v>
                </c:pt>
                <c:pt idx="38">
                  <c:v>1940.1400000028077</c:v>
                </c:pt>
                <c:pt idx="39">
                  <c:v>1933.8400000027789</c:v>
                </c:pt>
                <c:pt idx="40">
                  <c:v>1964.0800000028075</c:v>
                </c:pt>
                <c:pt idx="41">
                  <c:v>2496.3600000037068</c:v>
                </c:pt>
                <c:pt idx="42">
                  <c:v>3135.1600000048252</c:v>
                </c:pt>
                <c:pt idx="43">
                  <c:v>2403.8000000035336</c:v>
                </c:pt>
                <c:pt idx="44">
                  <c:v>2326.8000000034699</c:v>
                </c:pt>
                <c:pt idx="45">
                  <c:v>2174.0000000032232</c:v>
                </c:pt>
                <c:pt idx="46">
                  <c:v>1980.4600000028363</c:v>
                </c:pt>
                <c:pt idx="47">
                  <c:v>1971.6400000028361</c:v>
                </c:pt>
                <c:pt idx="48">
                  <c:v>1989.2800000028362</c:v>
                </c:pt>
                <c:pt idx="49">
                  <c:v>2010.700000002865</c:v>
                </c:pt>
                <c:pt idx="50">
                  <c:v>2155.1000000031922</c:v>
                </c:pt>
                <c:pt idx="51">
                  <c:v>2117.1000000030444</c:v>
                </c:pt>
                <c:pt idx="52">
                  <c:v>2106.7000000030444</c:v>
                </c:pt>
                <c:pt idx="53">
                  <c:v>2043.0000000029854</c:v>
                </c:pt>
                <c:pt idx="54">
                  <c:v>2020.9000000029559</c:v>
                </c:pt>
                <c:pt idx="55">
                  <c:v>2282.0000000034379</c:v>
                </c:pt>
                <c:pt idx="56">
                  <c:v>2449.170000003674</c:v>
                </c:pt>
                <c:pt idx="57">
                  <c:v>2457.7500000036744</c:v>
                </c:pt>
                <c:pt idx="58">
                  <c:v>2366.0000000035016</c:v>
                </c:pt>
                <c:pt idx="59">
                  <c:v>2128.8000000030447</c:v>
                </c:pt>
                <c:pt idx="60">
                  <c:v>1907.3800000027788</c:v>
                </c:pt>
                <c:pt idx="61">
                  <c:v>1872.7000000026351</c:v>
                </c:pt>
                <c:pt idx="62">
                  <c:v>1773.8800000025522</c:v>
                </c:pt>
                <c:pt idx="63">
                  <c:v>1865.3800000026351</c:v>
                </c:pt>
                <c:pt idx="64">
                  <c:v>1765.4600000024684</c:v>
                </c:pt>
                <c:pt idx="65">
                  <c:v>1713.5400000024147</c:v>
                </c:pt>
                <c:pt idx="66">
                  <c:v>1619.4844800026076</c:v>
                </c:pt>
                <c:pt idx="67">
                  <c:v>1710.7007149163107</c:v>
                </c:pt>
                <c:pt idx="68">
                  <c:v>1765.4425369714018</c:v>
                </c:pt>
                <c:pt idx="69">
                  <c:v>1768.4868725700928</c:v>
                </c:pt>
                <c:pt idx="70">
                  <c:v>1764.2693588309835</c:v>
                </c:pt>
                <c:pt idx="71">
                  <c:v>1727.3252300710888</c:v>
                </c:pt>
                <c:pt idx="72">
                  <c:v>1732.9425691710621</c:v>
                </c:pt>
                <c:pt idx="73">
                  <c:v>1801.7495946261256</c:v>
                </c:pt>
                <c:pt idx="74">
                  <c:v>1995.3036311585743</c:v>
                </c:pt>
                <c:pt idx="75">
                  <c:v>2632.7751266489067</c:v>
                </c:pt>
                <c:pt idx="76">
                  <c:v>2880.959606649727</c:v>
                </c:pt>
                <c:pt idx="77">
                  <c:v>3090.365130451275</c:v>
                </c:pt>
                <c:pt idx="78">
                  <c:v>3223.3950958685004</c:v>
                </c:pt>
                <c:pt idx="79">
                  <c:v>3333.61275233984</c:v>
                </c:pt>
                <c:pt idx="80">
                  <c:v>3536.7136974702184</c:v>
                </c:pt>
                <c:pt idx="81">
                  <c:v>3970.848120710511</c:v>
                </c:pt>
                <c:pt idx="82">
                  <c:v>4389.0667451012723</c:v>
                </c:pt>
                <c:pt idx="83">
                  <c:v>4837.316268747787</c:v>
                </c:pt>
                <c:pt idx="84">
                  <c:v>5261.9009987491445</c:v>
                </c:pt>
                <c:pt idx="85">
                  <c:v>5502.5092120833187</c:v>
                </c:pt>
                <c:pt idx="86">
                  <c:v>5667.5796425252074</c:v>
                </c:pt>
                <c:pt idx="87">
                  <c:v>5776.5592406554797</c:v>
                </c:pt>
                <c:pt idx="88">
                  <c:v>5780.5760989765731</c:v>
                </c:pt>
                <c:pt idx="89">
                  <c:v>5992.9329652637034</c:v>
                </c:pt>
                <c:pt idx="90">
                  <c:v>6267.9848205232356</c:v>
                </c:pt>
                <c:pt idx="91">
                  <c:v>6330.321067498604</c:v>
                </c:pt>
                <c:pt idx="92">
                  <c:v>6372.8621872410158</c:v>
                </c:pt>
                <c:pt idx="93">
                  <c:v>6455.6048319470783</c:v>
                </c:pt>
                <c:pt idx="94">
                  <c:v>6642.3732798838946</c:v>
                </c:pt>
                <c:pt idx="95">
                  <c:v>11260.930582732726</c:v>
                </c:pt>
                <c:pt idx="96">
                  <c:v>18475.537594261637</c:v>
                </c:pt>
                <c:pt idx="97">
                  <c:v>20426.122074266914</c:v>
                </c:pt>
                <c:pt idx="98">
                  <c:v>22140.386554273537</c:v>
                </c:pt>
                <c:pt idx="99">
                  <c:v>21007.711034271113</c:v>
                </c:pt>
                <c:pt idx="100">
                  <c:v>19013.045514264515</c:v>
                </c:pt>
                <c:pt idx="101">
                  <c:v>18325.279994263998</c:v>
                </c:pt>
                <c:pt idx="102">
                  <c:v>17961.536447338345</c:v>
                </c:pt>
                <c:pt idx="103">
                  <c:v>18056.890927338685</c:v>
                </c:pt>
                <c:pt idx="104">
                  <c:v>18302.84540734073</c:v>
                </c:pt>
                <c:pt idx="105">
                  <c:v>18530.22988734108</c:v>
                </c:pt>
                <c:pt idx="106">
                  <c:v>18602.814367341431</c:v>
                </c:pt>
                <c:pt idx="107">
                  <c:v>18791.16884734335</c:v>
                </c:pt>
                <c:pt idx="108">
                  <c:v>18925.913327343529</c:v>
                </c:pt>
                <c:pt idx="109">
                  <c:v>19122.467807345631</c:v>
                </c:pt>
                <c:pt idx="110">
                  <c:v>19256.766188256013</c:v>
                </c:pt>
                <c:pt idx="111">
                  <c:v>19494.367017183471</c:v>
                </c:pt>
                <c:pt idx="112">
                  <c:v>19998.207451940485</c:v>
                </c:pt>
                <c:pt idx="113">
                  <c:v>20534.293611739889</c:v>
                </c:pt>
                <c:pt idx="114">
                  <c:v>20839.517095565679</c:v>
                </c:pt>
                <c:pt idx="115">
                  <c:v>20928.218423847524</c:v>
                </c:pt>
                <c:pt idx="116">
                  <c:v>20954.246075868446</c:v>
                </c:pt>
                <c:pt idx="117">
                  <c:v>20983.271137687949</c:v>
                </c:pt>
                <c:pt idx="118">
                  <c:v>20873.384390096599</c:v>
                </c:pt>
                <c:pt idx="119">
                  <c:v>20858.46932630254</c:v>
                </c:pt>
                <c:pt idx="120">
                  <c:v>20924.677538644744</c:v>
                </c:pt>
                <c:pt idx="121">
                  <c:v>20823.805104273932</c:v>
                </c:pt>
                <c:pt idx="122">
                  <c:v>20778.874345966782</c:v>
                </c:pt>
                <c:pt idx="123">
                  <c:v>20858.05829072592</c:v>
                </c:pt>
                <c:pt idx="124">
                  <c:v>20678.747452865173</c:v>
                </c:pt>
                <c:pt idx="125">
                  <c:v>20399.070105242954</c:v>
                </c:pt>
                <c:pt idx="126">
                  <c:v>20170.694426495524</c:v>
                </c:pt>
                <c:pt idx="127">
                  <c:v>19758.852125292695</c:v>
                </c:pt>
                <c:pt idx="128">
                  <c:v>19639.167669485272</c:v>
                </c:pt>
                <c:pt idx="129">
                  <c:v>19777.693780827729</c:v>
                </c:pt>
                <c:pt idx="130">
                  <c:v>19943.195946613676</c:v>
                </c:pt>
                <c:pt idx="131">
                  <c:v>20230.733260816924</c:v>
                </c:pt>
                <c:pt idx="132">
                  <c:v>20526.247091679124</c:v>
                </c:pt>
                <c:pt idx="133">
                  <c:v>21036.872151767566</c:v>
                </c:pt>
                <c:pt idx="134">
                  <c:v>21554.583540860367</c:v>
                </c:pt>
                <c:pt idx="135">
                  <c:v>21209.962825362767</c:v>
                </c:pt>
                <c:pt idx="136">
                  <c:v>21397.082625871662</c:v>
                </c:pt>
                <c:pt idx="137">
                  <c:v>21672.892724837606</c:v>
                </c:pt>
                <c:pt idx="138">
                  <c:v>21960.933743411326</c:v>
                </c:pt>
                <c:pt idx="139">
                  <c:v>21959.427126441846</c:v>
                </c:pt>
                <c:pt idx="140">
                  <c:v>22298.589490617371</c:v>
                </c:pt>
                <c:pt idx="141">
                  <c:v>26220</c:v>
                </c:pt>
                <c:pt idx="142">
                  <c:v>27976.989966431021</c:v>
                </c:pt>
                <c:pt idx="143">
                  <c:v>26202.18444642843</c:v>
                </c:pt>
                <c:pt idx="144">
                  <c:v>24546.988926425016</c:v>
                </c:pt>
                <c:pt idx="145">
                  <c:v>23723.273406424298</c:v>
                </c:pt>
                <c:pt idx="146">
                  <c:v>23344.75788642405</c:v>
                </c:pt>
                <c:pt idx="147">
                  <c:v>23411.442366424297</c:v>
                </c:pt>
                <c:pt idx="148">
                  <c:v>23202.526846424291</c:v>
                </c:pt>
                <c:pt idx="149">
                  <c:v>23036.011326424537</c:v>
                </c:pt>
                <c:pt idx="150">
                  <c:v>23017.895806424534</c:v>
                </c:pt>
                <c:pt idx="151">
                  <c:v>23073.980286424776</c:v>
                </c:pt>
                <c:pt idx="152">
                  <c:v>23355.164766426249</c:v>
                </c:pt>
                <c:pt idx="153">
                  <c:v>23554.460635809563</c:v>
                </c:pt>
                <c:pt idx="154">
                  <c:v>23645.775689723094</c:v>
                </c:pt>
                <c:pt idx="155">
                  <c:v>23619.26016972429</c:v>
                </c:pt>
                <c:pt idx="156">
                  <c:v>23821.284649724788</c:v>
                </c:pt>
                <c:pt idx="157">
                  <c:v>24120.689129725284</c:v>
                </c:pt>
                <c:pt idx="158">
                  <c:v>24522.203609726886</c:v>
                </c:pt>
                <c:pt idx="159">
                  <c:v>24578.485660200025</c:v>
                </c:pt>
                <c:pt idx="160">
                  <c:v>24670.390172160318</c:v>
                </c:pt>
                <c:pt idx="161">
                  <c:v>24985.244203200949</c:v>
                </c:pt>
                <c:pt idx="162">
                  <c:v>25356.53619576263</c:v>
                </c:pt>
                <c:pt idx="163">
                  <c:v>25541.690582169493</c:v>
                </c:pt>
                <c:pt idx="164">
                  <c:v>25639.289639947521</c:v>
                </c:pt>
                <c:pt idx="165">
                  <c:v>25613.981319947525</c:v>
                </c:pt>
                <c:pt idx="166">
                  <c:v>25307.488767421033</c:v>
                </c:pt>
                <c:pt idx="167">
                  <c:v>25495.227236230661</c:v>
                </c:pt>
                <c:pt idx="168">
                  <c:v>25819.961617046371</c:v>
                </c:pt>
                <c:pt idx="169">
                  <c:v>25831.365766713949</c:v>
                </c:pt>
                <c:pt idx="170">
                  <c:v>25855.000193441403</c:v>
                </c:pt>
                <c:pt idx="171">
                  <c:v>26011.813932724523</c:v>
                </c:pt>
                <c:pt idx="172">
                  <c:v>25533.660000119031</c:v>
                </c:pt>
                <c:pt idx="173">
                  <c:v>25613.320000119289</c:v>
                </c:pt>
                <c:pt idx="174">
                  <c:v>25499.520000119024</c:v>
                </c:pt>
                <c:pt idx="175">
                  <c:v>25465.380000119025</c:v>
                </c:pt>
                <c:pt idx="176">
                  <c:v>25670.220000119283</c:v>
                </c:pt>
                <c:pt idx="177">
                  <c:v>25670.220000119283</c:v>
                </c:pt>
                <c:pt idx="178">
                  <c:v>25681.600000119281</c:v>
                </c:pt>
                <c:pt idx="179">
                  <c:v>25852.300000119285</c:v>
                </c:pt>
                <c:pt idx="180">
                  <c:v>25727.120000119285</c:v>
                </c:pt>
                <c:pt idx="181">
                  <c:v>25658.840000119286</c:v>
                </c:pt>
                <c:pt idx="182">
                  <c:v>25613.320000119289</c:v>
                </c:pt>
                <c:pt idx="183">
                  <c:v>25341.40000011777</c:v>
                </c:pt>
                <c:pt idx="184">
                  <c:v>25262.580000117516</c:v>
                </c:pt>
                <c:pt idx="185">
                  <c:v>25352.660000117772</c:v>
                </c:pt>
                <c:pt idx="186">
                  <c:v>25476.760000119029</c:v>
                </c:pt>
                <c:pt idx="187">
                  <c:v>25363.920000117774</c:v>
                </c:pt>
                <c:pt idx="188">
                  <c:v>25228.800000117517</c:v>
                </c:pt>
                <c:pt idx="189">
                  <c:v>25059.900000117515</c:v>
                </c:pt>
                <c:pt idx="190">
                  <c:v>24947.300000117255</c:v>
                </c:pt>
                <c:pt idx="191">
                  <c:v>24699.580000117006</c:v>
                </c:pt>
                <c:pt idx="192">
                  <c:v>24519.420000117003</c:v>
                </c:pt>
                <c:pt idx="193">
                  <c:v>24384.300000116746</c:v>
                </c:pt>
                <c:pt idx="194">
                  <c:v>24205.350000115606</c:v>
                </c:pt>
                <c:pt idx="195">
                  <c:v>23915.45000011535</c:v>
                </c:pt>
                <c:pt idx="196">
                  <c:v>23459.600000056169</c:v>
                </c:pt>
                <c:pt idx="197">
                  <c:v>23388.200000056011</c:v>
                </c:pt>
                <c:pt idx="198">
                  <c:v>23388.200000056011</c:v>
                </c:pt>
                <c:pt idx="199">
                  <c:v>23316.80000005601</c:v>
                </c:pt>
                <c:pt idx="200">
                  <c:v>23245.400000055848</c:v>
                </c:pt>
                <c:pt idx="201">
                  <c:v>23245.400000055848</c:v>
                </c:pt>
                <c:pt idx="202">
                  <c:v>23174.000000055847</c:v>
                </c:pt>
                <c:pt idx="203">
                  <c:v>23104.500000054359</c:v>
                </c:pt>
                <c:pt idx="204">
                  <c:v>23104.500000054359</c:v>
                </c:pt>
                <c:pt idx="205">
                  <c:v>23035.000000054202</c:v>
                </c:pt>
                <c:pt idx="206">
                  <c:v>23035.000000054202</c:v>
                </c:pt>
                <c:pt idx="207">
                  <c:v>22965.500000054202</c:v>
                </c:pt>
                <c:pt idx="208">
                  <c:v>22896.000000054046</c:v>
                </c:pt>
                <c:pt idx="209">
                  <c:v>22896.000000054046</c:v>
                </c:pt>
                <c:pt idx="210">
                  <c:v>22826.500000054046</c:v>
                </c:pt>
                <c:pt idx="211">
                  <c:v>22757.000000054046</c:v>
                </c:pt>
                <c:pt idx="212">
                  <c:v>22757.000000054046</c:v>
                </c:pt>
                <c:pt idx="213">
                  <c:v>22687.500000053886</c:v>
                </c:pt>
                <c:pt idx="214">
                  <c:v>22414.720000099958</c:v>
                </c:pt>
                <c:pt idx="215">
                  <c:v>22259.920000099723</c:v>
                </c:pt>
                <c:pt idx="216">
                  <c:v>22224.298466633532</c:v>
                </c:pt>
                <c:pt idx="217">
                  <c:v>22190.99013028634</c:v>
                </c:pt>
                <c:pt idx="218">
                  <c:v>22147.370271462572</c:v>
                </c:pt>
                <c:pt idx="219">
                  <c:v>22093.726948409585</c:v>
                </c:pt>
                <c:pt idx="220">
                  <c:v>22041.435028320564</c:v>
                </c:pt>
                <c:pt idx="221">
                  <c:v>21988.620247167353</c:v>
                </c:pt>
                <c:pt idx="222">
                  <c:v>21916.721140435002</c:v>
                </c:pt>
                <c:pt idx="223">
                  <c:v>21809.029080812012</c:v>
                </c:pt>
                <c:pt idx="224">
                  <c:v>21705.467143552356</c:v>
                </c:pt>
                <c:pt idx="225">
                  <c:v>21596.635145815253</c:v>
                </c:pt>
                <c:pt idx="226">
                  <c:v>21588.292079905932</c:v>
                </c:pt>
                <c:pt idx="227">
                  <c:v>21458.102079904591</c:v>
                </c:pt>
                <c:pt idx="228">
                  <c:v>21359.031898954858</c:v>
                </c:pt>
                <c:pt idx="229">
                  <c:v>21269.941898954636</c:v>
                </c:pt>
                <c:pt idx="230">
                  <c:v>21185.639920003086</c:v>
                </c:pt>
                <c:pt idx="231">
                  <c:v>21080.383920002863</c:v>
                </c:pt>
                <c:pt idx="232">
                  <c:v>20997.257602542544</c:v>
                </c:pt>
                <c:pt idx="233">
                  <c:v>20940.032891663071</c:v>
                </c:pt>
                <c:pt idx="234">
                  <c:v>20845.362569340148</c:v>
                </c:pt>
                <c:pt idx="235">
                  <c:v>20752.236569340152</c:v>
                </c:pt>
                <c:pt idx="236">
                  <c:v>20669.63613727138</c:v>
                </c:pt>
                <c:pt idx="237">
                  <c:v>20571.222137271376</c:v>
                </c:pt>
                <c:pt idx="238">
                  <c:v>20464.452137271153</c:v>
                </c:pt>
                <c:pt idx="239">
                  <c:v>20348.60850116393</c:v>
                </c:pt>
                <c:pt idx="240">
                  <c:v>20241.704501162618</c:v>
                </c:pt>
                <c:pt idx="241">
                  <c:v>20213.7805011624</c:v>
                </c:pt>
                <c:pt idx="242">
                  <c:v>20127.356501162401</c:v>
                </c:pt>
                <c:pt idx="243">
                  <c:v>20031.182501162177</c:v>
                </c:pt>
                <c:pt idx="244">
                  <c:v>19913.974501161956</c:v>
                </c:pt>
                <c:pt idx="245">
                  <c:v>19817.800501161957</c:v>
                </c:pt>
                <c:pt idx="246">
                  <c:v>19712.136323140454</c:v>
                </c:pt>
                <c:pt idx="247">
                  <c:v>19568.187674042201</c:v>
                </c:pt>
                <c:pt idx="248">
                  <c:v>19394.305674041974</c:v>
                </c:pt>
                <c:pt idx="249">
                  <c:v>19225.662321515523</c:v>
                </c:pt>
                <c:pt idx="250">
                  <c:v>19021.296314712574</c:v>
                </c:pt>
                <c:pt idx="251">
                  <c:v>18790.411021846856</c:v>
                </c:pt>
                <c:pt idx="252">
                  <c:v>18542.915021846642</c:v>
                </c:pt>
                <c:pt idx="253">
                  <c:v>18295.67065900236</c:v>
                </c:pt>
                <c:pt idx="254">
                  <c:v>18051.034659000969</c:v>
                </c:pt>
                <c:pt idx="255">
                  <c:v>17797.145399409899</c:v>
                </c:pt>
                <c:pt idx="256">
                  <c:v>17533.68950872371</c:v>
                </c:pt>
                <c:pt idx="257">
                  <c:v>17282.569508722234</c:v>
                </c:pt>
                <c:pt idx="258">
                  <c:v>17032.16307329767</c:v>
                </c:pt>
                <c:pt idx="259">
                  <c:v>16762.818175641452</c:v>
                </c:pt>
                <c:pt idx="260">
                  <c:v>16497.033464883934</c:v>
                </c:pt>
                <c:pt idx="261">
                  <c:v>16231.028694314013</c:v>
                </c:pt>
                <c:pt idx="262">
                  <c:v>15981.515575501835</c:v>
                </c:pt>
                <c:pt idx="263">
                  <c:v>15744.253575500483</c:v>
                </c:pt>
                <c:pt idx="264">
                  <c:v>15498.981575500282</c:v>
                </c:pt>
                <c:pt idx="265">
                  <c:v>15183.681507575344</c:v>
                </c:pt>
                <c:pt idx="266">
                  <c:v>14828.392856760205</c:v>
                </c:pt>
                <c:pt idx="267">
                  <c:v>14604.876856760005</c:v>
                </c:pt>
                <c:pt idx="268">
                  <c:v>14390.566329213965</c:v>
                </c:pt>
                <c:pt idx="269">
                  <c:v>14154.225288344007</c:v>
                </c:pt>
                <c:pt idx="270">
                  <c:v>13902.265051185334</c:v>
                </c:pt>
                <c:pt idx="271">
                  <c:v>13685.006085166049</c:v>
                </c:pt>
                <c:pt idx="272">
                  <c:v>13513.38665509925</c:v>
                </c:pt>
                <c:pt idx="273">
                  <c:v>13288.700898937943</c:v>
                </c:pt>
                <c:pt idx="274">
                  <c:v>13120.578023948397</c:v>
                </c:pt>
                <c:pt idx="275">
                  <c:v>12967.347667974707</c:v>
                </c:pt>
                <c:pt idx="276">
                  <c:v>12842.642946911503</c:v>
                </c:pt>
                <c:pt idx="277">
                  <c:v>12556.079820520225</c:v>
                </c:pt>
                <c:pt idx="278">
                  <c:v>12327.643681559119</c:v>
                </c:pt>
                <c:pt idx="279">
                  <c:v>12117.559392085332</c:v>
                </c:pt>
                <c:pt idx="280">
                  <c:v>11921.763310401864</c:v>
                </c:pt>
                <c:pt idx="281">
                  <c:v>11739.639298126467</c:v>
                </c:pt>
                <c:pt idx="282">
                  <c:v>11564.299507889922</c:v>
                </c:pt>
                <c:pt idx="283">
                  <c:v>11346.871039373083</c:v>
                </c:pt>
                <c:pt idx="284">
                  <c:v>11180.109821052305</c:v>
                </c:pt>
                <c:pt idx="285">
                  <c:v>11028.15353431587</c:v>
                </c:pt>
                <c:pt idx="286">
                  <c:v>10907.260145273071</c:v>
                </c:pt>
                <c:pt idx="287">
                  <c:v>10727.001989269302</c:v>
                </c:pt>
                <c:pt idx="288">
                  <c:v>10509.479766752469</c:v>
                </c:pt>
                <c:pt idx="289">
                  <c:v>10341.080014484509</c:v>
                </c:pt>
                <c:pt idx="290">
                  <c:v>10543.748150613965</c:v>
                </c:pt>
                <c:pt idx="291">
                  <c:v>10765.639950612855</c:v>
                </c:pt>
                <c:pt idx="292">
                  <c:v>10721.163608528921</c:v>
                </c:pt>
                <c:pt idx="293">
                  <c:v>10540.13480991474</c:v>
                </c:pt>
                <c:pt idx="294">
                  <c:v>10165.955237298225</c:v>
                </c:pt>
                <c:pt idx="295">
                  <c:v>9457.8467664966265</c:v>
                </c:pt>
                <c:pt idx="296">
                  <c:v>8528.2476828582621</c:v>
                </c:pt>
                <c:pt idx="297">
                  <c:v>7660.3867524414254</c:v>
                </c:pt>
                <c:pt idx="298">
                  <c:v>7218.2476683178911</c:v>
                </c:pt>
                <c:pt idx="299">
                  <c:v>6572.2163512474226</c:v>
                </c:pt>
                <c:pt idx="300">
                  <c:v>6060.4093691245844</c:v>
                </c:pt>
                <c:pt idx="301">
                  <c:v>6349.1052267303958</c:v>
                </c:pt>
                <c:pt idx="302">
                  <c:v>7529.1052267327095</c:v>
                </c:pt>
                <c:pt idx="303">
                  <c:v>7399.1052267326349</c:v>
                </c:pt>
                <c:pt idx="304">
                  <c:v>6809.7452267312019</c:v>
                </c:pt>
                <c:pt idx="305">
                  <c:v>6077.5072267296973</c:v>
                </c:pt>
                <c:pt idx="306">
                  <c:v>5302.2527187393198</c:v>
                </c:pt>
                <c:pt idx="307">
                  <c:v>4598.5807187377113</c:v>
                </c:pt>
                <c:pt idx="308">
                  <c:v>3957.470718736347</c:v>
                </c:pt>
                <c:pt idx="309">
                  <c:v>3562.1807187354939</c:v>
                </c:pt>
                <c:pt idx="310">
                  <c:v>3740.8307187359092</c:v>
                </c:pt>
                <c:pt idx="311">
                  <c:v>3481.240718735397</c:v>
                </c:pt>
                <c:pt idx="312">
                  <c:v>3009.6167187345354</c:v>
                </c:pt>
                <c:pt idx="313">
                  <c:v>2505.3436925198807</c:v>
                </c:pt>
                <c:pt idx="314">
                  <c:v>3262.6091500051143</c:v>
                </c:pt>
                <c:pt idx="315">
                  <c:v>2778.2691500042397</c:v>
                </c:pt>
                <c:pt idx="316">
                  <c:v>2345.0091500034973</c:v>
                </c:pt>
                <c:pt idx="317">
                  <c:v>2066.4091500030108</c:v>
                </c:pt>
                <c:pt idx="318">
                  <c:v>1916.2091500027748</c:v>
                </c:pt>
                <c:pt idx="319">
                  <c:v>1825.1291500026032</c:v>
                </c:pt>
                <c:pt idx="320">
                  <c:v>1848.3091500026312</c:v>
                </c:pt>
                <c:pt idx="321">
                  <c:v>1974.1691500028321</c:v>
                </c:pt>
                <c:pt idx="322">
                  <c:v>1942.6691500028035</c:v>
                </c:pt>
                <c:pt idx="323">
                  <c:v>2426.2991500036374</c:v>
                </c:pt>
                <c:pt idx="324">
                  <c:v>3006.0491500045941</c:v>
                </c:pt>
                <c:pt idx="325">
                  <c:v>2291.8091500034338</c:v>
                </c:pt>
                <c:pt idx="326">
                  <c:v>1991.809150002832</c:v>
                </c:pt>
                <c:pt idx="327">
                  <c:v>2466.3391500036701</c:v>
                </c:pt>
                <c:pt idx="328">
                  <c:v>2163.2091500031879</c:v>
                </c:pt>
                <c:pt idx="329">
                  <c:v>1937.6291500027748</c:v>
                </c:pt>
                <c:pt idx="330">
                  <c:v>1955.2691500028034</c:v>
                </c:pt>
                <c:pt idx="331">
                  <c:v>1906.129150002746</c:v>
                </c:pt>
                <c:pt idx="332">
                  <c:v>2026.1091500029515</c:v>
                </c:pt>
                <c:pt idx="333">
                  <c:v>2403.8091500035293</c:v>
                </c:pt>
                <c:pt idx="334">
                  <c:v>2100.2091500030401</c:v>
                </c:pt>
                <c:pt idx="335">
                  <c:v>2152.4091500031882</c:v>
                </c:pt>
                <c:pt idx="336">
                  <c:v>2353.4091500034974</c:v>
                </c:pt>
                <c:pt idx="337">
                  <c:v>2773.6791500042395</c:v>
                </c:pt>
                <c:pt idx="338">
                  <c:v>3143.2691500048213</c:v>
                </c:pt>
                <c:pt idx="339">
                  <c:v>2462.0491500036701</c:v>
                </c:pt>
                <c:pt idx="340">
                  <c:v>1964.0891500028033</c:v>
                </c:pt>
                <c:pt idx="341">
                  <c:v>1898.569150002746</c:v>
                </c:pt>
                <c:pt idx="342">
                  <c:v>1972.9091500028321</c:v>
                </c:pt>
                <c:pt idx="343">
                  <c:v>1933.8491500027746</c:v>
                </c:pt>
                <c:pt idx="344">
                  <c:v>1844.6491500026034</c:v>
                </c:pt>
                <c:pt idx="345">
                  <c:v>1856.8491500026312</c:v>
                </c:pt>
                <c:pt idx="346">
                  <c:v>1865.3891500026309</c:v>
                </c:pt>
                <c:pt idx="347">
                  <c:v>1860.509150002631</c:v>
                </c:pt>
                <c:pt idx="348">
                  <c:v>1817.8091500026032</c:v>
                </c:pt>
                <c:pt idx="349">
                  <c:v>1908.6491500027746</c:v>
                </c:pt>
                <c:pt idx="350">
                  <c:v>2010.7091500028607</c:v>
                </c:pt>
                <c:pt idx="351">
                  <c:v>1940.1491500028035</c:v>
                </c:pt>
                <c:pt idx="352">
                  <c:v>1825.1291500026032</c:v>
                </c:pt>
                <c:pt idx="353">
                  <c:v>1792.1891500025756</c:v>
                </c:pt>
                <c:pt idx="354">
                  <c:v>1794.6291500025757</c:v>
                </c:pt>
                <c:pt idx="355">
                  <c:v>1795.8491500025757</c:v>
                </c:pt>
                <c:pt idx="356">
                  <c:v>1803.1691500025754</c:v>
                </c:pt>
                <c:pt idx="357">
                  <c:v>1790.9691500025756</c:v>
                </c:pt>
                <c:pt idx="358">
                  <c:v>1828.7891500026033</c:v>
                </c:pt>
                <c:pt idx="359">
                  <c:v>1860.509150002631</c:v>
                </c:pt>
                <c:pt idx="360">
                  <c:v>1861.7291500026311</c:v>
                </c:pt>
                <c:pt idx="361">
                  <c:v>1853.1891500026311</c:v>
                </c:pt>
                <c:pt idx="362">
                  <c:v>1826.3491500026032</c:v>
                </c:pt>
                <c:pt idx="363">
                  <c:v>1854.4091500026311</c:v>
                </c:pt>
                <c:pt idx="364">
                  <c:v>1902.349150002746</c:v>
                </c:pt>
                <c:pt idx="365">
                  <c:v>2022.2091500029517</c:v>
                </c:pt>
                <c:pt idx="366">
                  <c:v>2032.6091500029515</c:v>
                </c:pt>
                <c:pt idx="367">
                  <c:v>2030.0091500029516</c:v>
                </c:pt>
                <c:pt idx="368">
                  <c:v>4873.4491500081313</c:v>
                </c:pt>
                <c:pt idx="369">
                  <c:v>5345.0091500092794</c:v>
                </c:pt>
                <c:pt idx="370">
                  <c:v>6144.1691500108254</c:v>
                </c:pt>
                <c:pt idx="371">
                  <c:v>4686.0091500079379</c:v>
                </c:pt>
                <c:pt idx="372">
                  <c:v>3835.809150006146</c:v>
                </c:pt>
                <c:pt idx="373">
                  <c:v>3093.0491500047842</c:v>
                </c:pt>
                <c:pt idx="374">
                  <c:v>#N/A</c:v>
                </c:pt>
                <c:pt idx="375">
                  <c:v>#N/A</c:v>
                </c:pt>
              </c:numCache>
            </c:numRef>
          </c:val>
        </c:ser>
        <c:ser>
          <c:idx val="3"/>
          <c:order val="4"/>
          <c:tx>
            <c:strRef>
              <c:f>Summary!$AC$2</c:f>
              <c:strCache>
                <c:ptCount val="1"/>
                <c:pt idx="0">
                  <c:v>Conservation / Flood Storage Guide Curve (includes 1220AF dead storage)</c:v>
                </c:pt>
              </c:strCache>
            </c:strRef>
          </c:tx>
          <c:marker>
            <c:symbol val="none"/>
          </c:marker>
          <c:cat>
            <c:numRef>
              <c:f>Summary!$A$5:$A$380</c:f>
              <c:numCache>
                <c:formatCode>[$-409]d\-mmm;@</c:formatCode>
                <c:ptCount val="376"/>
                <c:pt idx="0">
                  <c:v>40537</c:v>
                </c:pt>
                <c:pt idx="1">
                  <c:v>40538</c:v>
                </c:pt>
                <c:pt idx="2">
                  <c:v>40539</c:v>
                </c:pt>
                <c:pt idx="3">
                  <c:v>40540</c:v>
                </c:pt>
                <c:pt idx="4">
                  <c:v>40541</c:v>
                </c:pt>
                <c:pt idx="5">
                  <c:v>40542</c:v>
                </c:pt>
                <c:pt idx="6">
                  <c:v>40543</c:v>
                </c:pt>
                <c:pt idx="7">
                  <c:v>40544</c:v>
                </c:pt>
                <c:pt idx="8">
                  <c:v>40545</c:v>
                </c:pt>
                <c:pt idx="9">
                  <c:v>40546</c:v>
                </c:pt>
                <c:pt idx="10">
                  <c:v>40547</c:v>
                </c:pt>
                <c:pt idx="11">
                  <c:v>40548</c:v>
                </c:pt>
                <c:pt idx="12">
                  <c:v>40549</c:v>
                </c:pt>
                <c:pt idx="13">
                  <c:v>40550</c:v>
                </c:pt>
                <c:pt idx="14">
                  <c:v>40551</c:v>
                </c:pt>
                <c:pt idx="15">
                  <c:v>40552</c:v>
                </c:pt>
                <c:pt idx="16">
                  <c:v>40553</c:v>
                </c:pt>
                <c:pt idx="17">
                  <c:v>40554</c:v>
                </c:pt>
                <c:pt idx="18">
                  <c:v>40555</c:v>
                </c:pt>
                <c:pt idx="19">
                  <c:v>40556</c:v>
                </c:pt>
                <c:pt idx="20">
                  <c:v>40557</c:v>
                </c:pt>
                <c:pt idx="21">
                  <c:v>40558</c:v>
                </c:pt>
                <c:pt idx="22">
                  <c:v>40559</c:v>
                </c:pt>
                <c:pt idx="23">
                  <c:v>40560</c:v>
                </c:pt>
                <c:pt idx="24">
                  <c:v>40561</c:v>
                </c:pt>
                <c:pt idx="25">
                  <c:v>40562</c:v>
                </c:pt>
                <c:pt idx="26">
                  <c:v>40563</c:v>
                </c:pt>
                <c:pt idx="27">
                  <c:v>40564</c:v>
                </c:pt>
                <c:pt idx="28">
                  <c:v>40565</c:v>
                </c:pt>
                <c:pt idx="29">
                  <c:v>40566</c:v>
                </c:pt>
                <c:pt idx="30">
                  <c:v>40567</c:v>
                </c:pt>
                <c:pt idx="31">
                  <c:v>40568</c:v>
                </c:pt>
                <c:pt idx="32">
                  <c:v>40569</c:v>
                </c:pt>
                <c:pt idx="33">
                  <c:v>40570</c:v>
                </c:pt>
                <c:pt idx="34">
                  <c:v>40571</c:v>
                </c:pt>
                <c:pt idx="35">
                  <c:v>40572</c:v>
                </c:pt>
                <c:pt idx="36">
                  <c:v>40573</c:v>
                </c:pt>
                <c:pt idx="37">
                  <c:v>40574</c:v>
                </c:pt>
                <c:pt idx="38">
                  <c:v>40575</c:v>
                </c:pt>
                <c:pt idx="39">
                  <c:v>40576</c:v>
                </c:pt>
                <c:pt idx="40">
                  <c:v>40577</c:v>
                </c:pt>
                <c:pt idx="41">
                  <c:v>40578</c:v>
                </c:pt>
                <c:pt idx="42">
                  <c:v>40579</c:v>
                </c:pt>
                <c:pt idx="43">
                  <c:v>40580</c:v>
                </c:pt>
                <c:pt idx="44">
                  <c:v>40581</c:v>
                </c:pt>
                <c:pt idx="45">
                  <c:v>40582</c:v>
                </c:pt>
                <c:pt idx="46">
                  <c:v>40583</c:v>
                </c:pt>
                <c:pt idx="47">
                  <c:v>40584</c:v>
                </c:pt>
                <c:pt idx="48">
                  <c:v>40585</c:v>
                </c:pt>
                <c:pt idx="49">
                  <c:v>40586</c:v>
                </c:pt>
                <c:pt idx="50">
                  <c:v>40587</c:v>
                </c:pt>
                <c:pt idx="51">
                  <c:v>40588</c:v>
                </c:pt>
                <c:pt idx="52">
                  <c:v>40589</c:v>
                </c:pt>
                <c:pt idx="53">
                  <c:v>40590</c:v>
                </c:pt>
                <c:pt idx="54">
                  <c:v>40591</c:v>
                </c:pt>
                <c:pt idx="55">
                  <c:v>40592</c:v>
                </c:pt>
                <c:pt idx="56">
                  <c:v>40593</c:v>
                </c:pt>
                <c:pt idx="57">
                  <c:v>40594</c:v>
                </c:pt>
                <c:pt idx="58">
                  <c:v>40595</c:v>
                </c:pt>
                <c:pt idx="59">
                  <c:v>40596</c:v>
                </c:pt>
                <c:pt idx="60">
                  <c:v>40597</c:v>
                </c:pt>
                <c:pt idx="61">
                  <c:v>40598</c:v>
                </c:pt>
                <c:pt idx="62">
                  <c:v>40599</c:v>
                </c:pt>
                <c:pt idx="63">
                  <c:v>40600</c:v>
                </c:pt>
                <c:pt idx="64">
                  <c:v>40601</c:v>
                </c:pt>
                <c:pt idx="65">
                  <c:v>40602</c:v>
                </c:pt>
                <c:pt idx="66">
                  <c:v>40603</c:v>
                </c:pt>
                <c:pt idx="67">
                  <c:v>40604</c:v>
                </c:pt>
                <c:pt idx="68">
                  <c:v>40605</c:v>
                </c:pt>
                <c:pt idx="69">
                  <c:v>40606</c:v>
                </c:pt>
                <c:pt idx="70">
                  <c:v>40607</c:v>
                </c:pt>
                <c:pt idx="71">
                  <c:v>40608</c:v>
                </c:pt>
                <c:pt idx="72">
                  <c:v>40609</c:v>
                </c:pt>
                <c:pt idx="73">
                  <c:v>40610</c:v>
                </c:pt>
                <c:pt idx="74">
                  <c:v>40611</c:v>
                </c:pt>
                <c:pt idx="75">
                  <c:v>40612</c:v>
                </c:pt>
                <c:pt idx="76">
                  <c:v>40613</c:v>
                </c:pt>
                <c:pt idx="77">
                  <c:v>40614</c:v>
                </c:pt>
                <c:pt idx="78">
                  <c:v>40615</c:v>
                </c:pt>
                <c:pt idx="79">
                  <c:v>40616</c:v>
                </c:pt>
                <c:pt idx="80">
                  <c:v>40617</c:v>
                </c:pt>
                <c:pt idx="81">
                  <c:v>40618</c:v>
                </c:pt>
                <c:pt idx="82">
                  <c:v>40619</c:v>
                </c:pt>
                <c:pt idx="83">
                  <c:v>40620</c:v>
                </c:pt>
                <c:pt idx="84">
                  <c:v>40621</c:v>
                </c:pt>
                <c:pt idx="85">
                  <c:v>40622</c:v>
                </c:pt>
                <c:pt idx="86">
                  <c:v>40623</c:v>
                </c:pt>
                <c:pt idx="87">
                  <c:v>40624</c:v>
                </c:pt>
                <c:pt idx="88">
                  <c:v>40625</c:v>
                </c:pt>
                <c:pt idx="89">
                  <c:v>40626</c:v>
                </c:pt>
                <c:pt idx="90">
                  <c:v>40627</c:v>
                </c:pt>
                <c:pt idx="91">
                  <c:v>40628</c:v>
                </c:pt>
                <c:pt idx="92">
                  <c:v>40629</c:v>
                </c:pt>
                <c:pt idx="93">
                  <c:v>40630</c:v>
                </c:pt>
                <c:pt idx="94">
                  <c:v>40631</c:v>
                </c:pt>
                <c:pt idx="95">
                  <c:v>40632</c:v>
                </c:pt>
                <c:pt idx="96">
                  <c:v>40633</c:v>
                </c:pt>
                <c:pt idx="97">
                  <c:v>40634</c:v>
                </c:pt>
                <c:pt idx="98">
                  <c:v>40635</c:v>
                </c:pt>
                <c:pt idx="99">
                  <c:v>40636</c:v>
                </c:pt>
                <c:pt idx="100">
                  <c:v>40637</c:v>
                </c:pt>
                <c:pt idx="101">
                  <c:v>40638</c:v>
                </c:pt>
                <c:pt idx="102">
                  <c:v>40639</c:v>
                </c:pt>
                <c:pt idx="103">
                  <c:v>40640</c:v>
                </c:pt>
                <c:pt idx="104">
                  <c:v>40641</c:v>
                </c:pt>
                <c:pt idx="105">
                  <c:v>40642</c:v>
                </c:pt>
                <c:pt idx="106">
                  <c:v>40643</c:v>
                </c:pt>
                <c:pt idx="107">
                  <c:v>40644</c:v>
                </c:pt>
                <c:pt idx="108">
                  <c:v>40645</c:v>
                </c:pt>
                <c:pt idx="109">
                  <c:v>40646</c:v>
                </c:pt>
                <c:pt idx="110">
                  <c:v>40647</c:v>
                </c:pt>
                <c:pt idx="111">
                  <c:v>40648</c:v>
                </c:pt>
                <c:pt idx="112">
                  <c:v>40649</c:v>
                </c:pt>
                <c:pt idx="113">
                  <c:v>40650</c:v>
                </c:pt>
                <c:pt idx="114">
                  <c:v>40651</c:v>
                </c:pt>
                <c:pt idx="115">
                  <c:v>40652</c:v>
                </c:pt>
                <c:pt idx="116">
                  <c:v>40653</c:v>
                </c:pt>
                <c:pt idx="117">
                  <c:v>40654</c:v>
                </c:pt>
                <c:pt idx="118">
                  <c:v>40655</c:v>
                </c:pt>
                <c:pt idx="119">
                  <c:v>40656</c:v>
                </c:pt>
                <c:pt idx="120">
                  <c:v>40657</c:v>
                </c:pt>
                <c:pt idx="121">
                  <c:v>40658</c:v>
                </c:pt>
                <c:pt idx="122">
                  <c:v>40659</c:v>
                </c:pt>
                <c:pt idx="123">
                  <c:v>40660</c:v>
                </c:pt>
                <c:pt idx="124">
                  <c:v>40661</c:v>
                </c:pt>
                <c:pt idx="125">
                  <c:v>40662</c:v>
                </c:pt>
                <c:pt idx="126">
                  <c:v>40663</c:v>
                </c:pt>
                <c:pt idx="127">
                  <c:v>40664</c:v>
                </c:pt>
                <c:pt idx="128">
                  <c:v>40665</c:v>
                </c:pt>
                <c:pt idx="129">
                  <c:v>40666</c:v>
                </c:pt>
                <c:pt idx="130">
                  <c:v>40667</c:v>
                </c:pt>
                <c:pt idx="131">
                  <c:v>40668</c:v>
                </c:pt>
                <c:pt idx="132">
                  <c:v>40669</c:v>
                </c:pt>
                <c:pt idx="133">
                  <c:v>40670</c:v>
                </c:pt>
                <c:pt idx="134">
                  <c:v>40671</c:v>
                </c:pt>
                <c:pt idx="135">
                  <c:v>40672</c:v>
                </c:pt>
                <c:pt idx="136">
                  <c:v>40673</c:v>
                </c:pt>
                <c:pt idx="137">
                  <c:v>40674</c:v>
                </c:pt>
                <c:pt idx="138">
                  <c:v>40675</c:v>
                </c:pt>
                <c:pt idx="139">
                  <c:v>40676</c:v>
                </c:pt>
                <c:pt idx="140">
                  <c:v>40677</c:v>
                </c:pt>
                <c:pt idx="141">
                  <c:v>40678</c:v>
                </c:pt>
                <c:pt idx="142">
                  <c:v>40679</c:v>
                </c:pt>
                <c:pt idx="143">
                  <c:v>40680</c:v>
                </c:pt>
                <c:pt idx="144">
                  <c:v>40681</c:v>
                </c:pt>
                <c:pt idx="145">
                  <c:v>40682</c:v>
                </c:pt>
                <c:pt idx="146">
                  <c:v>40683</c:v>
                </c:pt>
                <c:pt idx="147">
                  <c:v>40684</c:v>
                </c:pt>
                <c:pt idx="148">
                  <c:v>40685</c:v>
                </c:pt>
                <c:pt idx="149">
                  <c:v>40686</c:v>
                </c:pt>
                <c:pt idx="150">
                  <c:v>40687</c:v>
                </c:pt>
                <c:pt idx="151">
                  <c:v>40688</c:v>
                </c:pt>
                <c:pt idx="152">
                  <c:v>40689</c:v>
                </c:pt>
                <c:pt idx="153">
                  <c:v>40690</c:v>
                </c:pt>
                <c:pt idx="154">
                  <c:v>40691</c:v>
                </c:pt>
                <c:pt idx="155">
                  <c:v>40692</c:v>
                </c:pt>
                <c:pt idx="156">
                  <c:v>40693</c:v>
                </c:pt>
                <c:pt idx="157">
                  <c:v>40694</c:v>
                </c:pt>
                <c:pt idx="158">
                  <c:v>40695</c:v>
                </c:pt>
                <c:pt idx="159">
                  <c:v>40696</c:v>
                </c:pt>
                <c:pt idx="160">
                  <c:v>40697</c:v>
                </c:pt>
                <c:pt idx="161">
                  <c:v>40698</c:v>
                </c:pt>
                <c:pt idx="162">
                  <c:v>40699</c:v>
                </c:pt>
                <c:pt idx="163">
                  <c:v>40700</c:v>
                </c:pt>
                <c:pt idx="164">
                  <c:v>40701</c:v>
                </c:pt>
                <c:pt idx="165">
                  <c:v>40702</c:v>
                </c:pt>
                <c:pt idx="166">
                  <c:v>40703</c:v>
                </c:pt>
                <c:pt idx="167">
                  <c:v>40704</c:v>
                </c:pt>
                <c:pt idx="168">
                  <c:v>40705</c:v>
                </c:pt>
                <c:pt idx="169">
                  <c:v>40706</c:v>
                </c:pt>
                <c:pt idx="170">
                  <c:v>40707</c:v>
                </c:pt>
                <c:pt idx="171">
                  <c:v>40708</c:v>
                </c:pt>
                <c:pt idx="172">
                  <c:v>40709</c:v>
                </c:pt>
                <c:pt idx="173">
                  <c:v>40710</c:v>
                </c:pt>
                <c:pt idx="174">
                  <c:v>40711</c:v>
                </c:pt>
                <c:pt idx="175">
                  <c:v>40712</c:v>
                </c:pt>
                <c:pt idx="176">
                  <c:v>40713</c:v>
                </c:pt>
                <c:pt idx="177">
                  <c:v>40714</c:v>
                </c:pt>
                <c:pt idx="178">
                  <c:v>40715</c:v>
                </c:pt>
                <c:pt idx="179">
                  <c:v>40716</c:v>
                </c:pt>
                <c:pt idx="180">
                  <c:v>40717</c:v>
                </c:pt>
                <c:pt idx="181">
                  <c:v>40718</c:v>
                </c:pt>
                <c:pt idx="182">
                  <c:v>40719</c:v>
                </c:pt>
                <c:pt idx="183">
                  <c:v>40720</c:v>
                </c:pt>
                <c:pt idx="184">
                  <c:v>40721</c:v>
                </c:pt>
                <c:pt idx="185">
                  <c:v>40722</c:v>
                </c:pt>
                <c:pt idx="186">
                  <c:v>40723</c:v>
                </c:pt>
                <c:pt idx="187">
                  <c:v>40724</c:v>
                </c:pt>
                <c:pt idx="188">
                  <c:v>40725</c:v>
                </c:pt>
                <c:pt idx="189">
                  <c:v>40726</c:v>
                </c:pt>
                <c:pt idx="190">
                  <c:v>40727</c:v>
                </c:pt>
                <c:pt idx="191">
                  <c:v>40728</c:v>
                </c:pt>
                <c:pt idx="192">
                  <c:v>40729</c:v>
                </c:pt>
                <c:pt idx="193">
                  <c:v>40730</c:v>
                </c:pt>
                <c:pt idx="194">
                  <c:v>40731</c:v>
                </c:pt>
                <c:pt idx="195">
                  <c:v>40732</c:v>
                </c:pt>
                <c:pt idx="196">
                  <c:v>40733</c:v>
                </c:pt>
                <c:pt idx="197">
                  <c:v>40734</c:v>
                </c:pt>
                <c:pt idx="198">
                  <c:v>40735</c:v>
                </c:pt>
                <c:pt idx="199">
                  <c:v>40736</c:v>
                </c:pt>
                <c:pt idx="200">
                  <c:v>40737</c:v>
                </c:pt>
                <c:pt idx="201">
                  <c:v>40738</c:v>
                </c:pt>
                <c:pt idx="202">
                  <c:v>40739</c:v>
                </c:pt>
                <c:pt idx="203">
                  <c:v>40740</c:v>
                </c:pt>
                <c:pt idx="204">
                  <c:v>40741</c:v>
                </c:pt>
                <c:pt idx="205">
                  <c:v>40742</c:v>
                </c:pt>
                <c:pt idx="206">
                  <c:v>40743</c:v>
                </c:pt>
                <c:pt idx="207">
                  <c:v>40744</c:v>
                </c:pt>
                <c:pt idx="208">
                  <c:v>40745</c:v>
                </c:pt>
                <c:pt idx="209">
                  <c:v>40746</c:v>
                </c:pt>
                <c:pt idx="210">
                  <c:v>40747</c:v>
                </c:pt>
                <c:pt idx="211">
                  <c:v>40748</c:v>
                </c:pt>
                <c:pt idx="212">
                  <c:v>40749</c:v>
                </c:pt>
                <c:pt idx="213">
                  <c:v>40750</c:v>
                </c:pt>
                <c:pt idx="214">
                  <c:v>40751</c:v>
                </c:pt>
                <c:pt idx="215">
                  <c:v>40752</c:v>
                </c:pt>
                <c:pt idx="216">
                  <c:v>40753</c:v>
                </c:pt>
                <c:pt idx="217">
                  <c:v>40754</c:v>
                </c:pt>
                <c:pt idx="218">
                  <c:v>40755</c:v>
                </c:pt>
                <c:pt idx="219">
                  <c:v>40756</c:v>
                </c:pt>
                <c:pt idx="220">
                  <c:v>40757</c:v>
                </c:pt>
                <c:pt idx="221">
                  <c:v>40758</c:v>
                </c:pt>
                <c:pt idx="222">
                  <c:v>40759</c:v>
                </c:pt>
                <c:pt idx="223">
                  <c:v>40760</c:v>
                </c:pt>
                <c:pt idx="224">
                  <c:v>40761</c:v>
                </c:pt>
                <c:pt idx="225">
                  <c:v>40762</c:v>
                </c:pt>
                <c:pt idx="226">
                  <c:v>40763</c:v>
                </c:pt>
                <c:pt idx="227">
                  <c:v>40764</c:v>
                </c:pt>
                <c:pt idx="228">
                  <c:v>40765</c:v>
                </c:pt>
                <c:pt idx="229">
                  <c:v>40766</c:v>
                </c:pt>
                <c:pt idx="230">
                  <c:v>40767</c:v>
                </c:pt>
                <c:pt idx="231">
                  <c:v>40768</c:v>
                </c:pt>
                <c:pt idx="232">
                  <c:v>40769</c:v>
                </c:pt>
                <c:pt idx="233">
                  <c:v>40770</c:v>
                </c:pt>
                <c:pt idx="234">
                  <c:v>40771</c:v>
                </c:pt>
                <c:pt idx="235">
                  <c:v>40772</c:v>
                </c:pt>
                <c:pt idx="236">
                  <c:v>40773</c:v>
                </c:pt>
                <c:pt idx="237">
                  <c:v>40774</c:v>
                </c:pt>
                <c:pt idx="238">
                  <c:v>40775</c:v>
                </c:pt>
                <c:pt idx="239">
                  <c:v>40776</c:v>
                </c:pt>
                <c:pt idx="240">
                  <c:v>40777</c:v>
                </c:pt>
                <c:pt idx="241">
                  <c:v>40778</c:v>
                </c:pt>
                <c:pt idx="242">
                  <c:v>40779</c:v>
                </c:pt>
                <c:pt idx="243">
                  <c:v>40780</c:v>
                </c:pt>
                <c:pt idx="244">
                  <c:v>40781</c:v>
                </c:pt>
                <c:pt idx="245">
                  <c:v>40782</c:v>
                </c:pt>
                <c:pt idx="246">
                  <c:v>40783</c:v>
                </c:pt>
                <c:pt idx="247">
                  <c:v>40784</c:v>
                </c:pt>
                <c:pt idx="248">
                  <c:v>40785</c:v>
                </c:pt>
                <c:pt idx="249">
                  <c:v>40786</c:v>
                </c:pt>
                <c:pt idx="250">
                  <c:v>40787</c:v>
                </c:pt>
                <c:pt idx="251">
                  <c:v>40788</c:v>
                </c:pt>
                <c:pt idx="252">
                  <c:v>40789</c:v>
                </c:pt>
                <c:pt idx="253">
                  <c:v>40790</c:v>
                </c:pt>
                <c:pt idx="254">
                  <c:v>40791</c:v>
                </c:pt>
                <c:pt idx="255">
                  <c:v>40792</c:v>
                </c:pt>
                <c:pt idx="256">
                  <c:v>40793</c:v>
                </c:pt>
                <c:pt idx="257">
                  <c:v>40794</c:v>
                </c:pt>
                <c:pt idx="258">
                  <c:v>40795</c:v>
                </c:pt>
                <c:pt idx="259">
                  <c:v>40796</c:v>
                </c:pt>
                <c:pt idx="260">
                  <c:v>40797</c:v>
                </c:pt>
                <c:pt idx="261">
                  <c:v>40798</c:v>
                </c:pt>
                <c:pt idx="262">
                  <c:v>40799</c:v>
                </c:pt>
                <c:pt idx="263">
                  <c:v>40800</c:v>
                </c:pt>
                <c:pt idx="264">
                  <c:v>40801</c:v>
                </c:pt>
                <c:pt idx="265">
                  <c:v>40802</c:v>
                </c:pt>
                <c:pt idx="266">
                  <c:v>40803</c:v>
                </c:pt>
                <c:pt idx="267">
                  <c:v>40804</c:v>
                </c:pt>
                <c:pt idx="268">
                  <c:v>40805</c:v>
                </c:pt>
                <c:pt idx="269">
                  <c:v>40806</c:v>
                </c:pt>
                <c:pt idx="270">
                  <c:v>40807</c:v>
                </c:pt>
                <c:pt idx="271">
                  <c:v>40808</c:v>
                </c:pt>
                <c:pt idx="272">
                  <c:v>40809</c:v>
                </c:pt>
                <c:pt idx="273">
                  <c:v>40810</c:v>
                </c:pt>
                <c:pt idx="274">
                  <c:v>40811</c:v>
                </c:pt>
                <c:pt idx="275">
                  <c:v>40812</c:v>
                </c:pt>
                <c:pt idx="276">
                  <c:v>40813</c:v>
                </c:pt>
                <c:pt idx="277">
                  <c:v>40814</c:v>
                </c:pt>
                <c:pt idx="278">
                  <c:v>40815</c:v>
                </c:pt>
                <c:pt idx="279">
                  <c:v>40816</c:v>
                </c:pt>
                <c:pt idx="280">
                  <c:v>40817</c:v>
                </c:pt>
                <c:pt idx="281">
                  <c:v>40818</c:v>
                </c:pt>
                <c:pt idx="282">
                  <c:v>40819</c:v>
                </c:pt>
                <c:pt idx="283">
                  <c:v>40820</c:v>
                </c:pt>
                <c:pt idx="284">
                  <c:v>40821</c:v>
                </c:pt>
                <c:pt idx="285">
                  <c:v>40822</c:v>
                </c:pt>
                <c:pt idx="286">
                  <c:v>40823</c:v>
                </c:pt>
                <c:pt idx="287">
                  <c:v>40824</c:v>
                </c:pt>
                <c:pt idx="288">
                  <c:v>40825</c:v>
                </c:pt>
                <c:pt idx="289">
                  <c:v>40826</c:v>
                </c:pt>
                <c:pt idx="290">
                  <c:v>40827</c:v>
                </c:pt>
                <c:pt idx="291">
                  <c:v>40828</c:v>
                </c:pt>
                <c:pt idx="292">
                  <c:v>40829</c:v>
                </c:pt>
                <c:pt idx="293">
                  <c:v>40830</c:v>
                </c:pt>
                <c:pt idx="294">
                  <c:v>40831</c:v>
                </c:pt>
                <c:pt idx="295">
                  <c:v>40832</c:v>
                </c:pt>
                <c:pt idx="296">
                  <c:v>40833</c:v>
                </c:pt>
                <c:pt idx="297">
                  <c:v>40834</c:v>
                </c:pt>
                <c:pt idx="298">
                  <c:v>40835</c:v>
                </c:pt>
                <c:pt idx="299">
                  <c:v>40836</c:v>
                </c:pt>
                <c:pt idx="300">
                  <c:v>40837</c:v>
                </c:pt>
                <c:pt idx="301">
                  <c:v>40838</c:v>
                </c:pt>
                <c:pt idx="302">
                  <c:v>40839</c:v>
                </c:pt>
                <c:pt idx="303">
                  <c:v>40840</c:v>
                </c:pt>
                <c:pt idx="304">
                  <c:v>40841</c:v>
                </c:pt>
                <c:pt idx="305">
                  <c:v>40842</c:v>
                </c:pt>
                <c:pt idx="306">
                  <c:v>40843</c:v>
                </c:pt>
                <c:pt idx="307">
                  <c:v>40844</c:v>
                </c:pt>
                <c:pt idx="308">
                  <c:v>40845</c:v>
                </c:pt>
                <c:pt idx="309">
                  <c:v>40846</c:v>
                </c:pt>
                <c:pt idx="310">
                  <c:v>40847</c:v>
                </c:pt>
                <c:pt idx="311">
                  <c:v>40848</c:v>
                </c:pt>
                <c:pt idx="312">
                  <c:v>40849</c:v>
                </c:pt>
                <c:pt idx="313">
                  <c:v>40850</c:v>
                </c:pt>
                <c:pt idx="314">
                  <c:v>40851</c:v>
                </c:pt>
                <c:pt idx="315">
                  <c:v>40852</c:v>
                </c:pt>
                <c:pt idx="316">
                  <c:v>40853</c:v>
                </c:pt>
                <c:pt idx="317">
                  <c:v>40854</c:v>
                </c:pt>
                <c:pt idx="318">
                  <c:v>40855</c:v>
                </c:pt>
                <c:pt idx="319">
                  <c:v>40856</c:v>
                </c:pt>
                <c:pt idx="320">
                  <c:v>40857</c:v>
                </c:pt>
                <c:pt idx="321">
                  <c:v>40858</c:v>
                </c:pt>
                <c:pt idx="322">
                  <c:v>40859</c:v>
                </c:pt>
                <c:pt idx="323">
                  <c:v>40860</c:v>
                </c:pt>
                <c:pt idx="324">
                  <c:v>40861</c:v>
                </c:pt>
                <c:pt idx="325">
                  <c:v>40862</c:v>
                </c:pt>
                <c:pt idx="326">
                  <c:v>40863</c:v>
                </c:pt>
                <c:pt idx="327">
                  <c:v>40864</c:v>
                </c:pt>
                <c:pt idx="328">
                  <c:v>40865</c:v>
                </c:pt>
                <c:pt idx="329">
                  <c:v>40866</c:v>
                </c:pt>
                <c:pt idx="330">
                  <c:v>40867</c:v>
                </c:pt>
                <c:pt idx="331">
                  <c:v>40868</c:v>
                </c:pt>
                <c:pt idx="332">
                  <c:v>40869</c:v>
                </c:pt>
                <c:pt idx="333">
                  <c:v>40870</c:v>
                </c:pt>
                <c:pt idx="334">
                  <c:v>40871</c:v>
                </c:pt>
                <c:pt idx="335">
                  <c:v>40872</c:v>
                </c:pt>
                <c:pt idx="336">
                  <c:v>40873</c:v>
                </c:pt>
                <c:pt idx="337">
                  <c:v>40874</c:v>
                </c:pt>
                <c:pt idx="338">
                  <c:v>40875</c:v>
                </c:pt>
                <c:pt idx="339">
                  <c:v>40876</c:v>
                </c:pt>
                <c:pt idx="340">
                  <c:v>40877</c:v>
                </c:pt>
                <c:pt idx="341">
                  <c:v>40878</c:v>
                </c:pt>
                <c:pt idx="342">
                  <c:v>40879</c:v>
                </c:pt>
                <c:pt idx="343">
                  <c:v>40880</c:v>
                </c:pt>
                <c:pt idx="344">
                  <c:v>40881</c:v>
                </c:pt>
                <c:pt idx="345">
                  <c:v>40882</c:v>
                </c:pt>
                <c:pt idx="346">
                  <c:v>40883</c:v>
                </c:pt>
                <c:pt idx="347">
                  <c:v>40884</c:v>
                </c:pt>
                <c:pt idx="348">
                  <c:v>40885</c:v>
                </c:pt>
                <c:pt idx="349">
                  <c:v>40886</c:v>
                </c:pt>
                <c:pt idx="350">
                  <c:v>40887</c:v>
                </c:pt>
                <c:pt idx="351">
                  <c:v>40888</c:v>
                </c:pt>
                <c:pt idx="352">
                  <c:v>40889</c:v>
                </c:pt>
                <c:pt idx="353">
                  <c:v>40890</c:v>
                </c:pt>
                <c:pt idx="354">
                  <c:v>40891</c:v>
                </c:pt>
                <c:pt idx="355">
                  <c:v>40892</c:v>
                </c:pt>
                <c:pt idx="356">
                  <c:v>40893</c:v>
                </c:pt>
                <c:pt idx="357">
                  <c:v>40894</c:v>
                </c:pt>
                <c:pt idx="358">
                  <c:v>40895</c:v>
                </c:pt>
                <c:pt idx="359">
                  <c:v>40896</c:v>
                </c:pt>
                <c:pt idx="360">
                  <c:v>40897</c:v>
                </c:pt>
                <c:pt idx="361">
                  <c:v>40898</c:v>
                </c:pt>
                <c:pt idx="362">
                  <c:v>40899</c:v>
                </c:pt>
                <c:pt idx="363">
                  <c:v>40900</c:v>
                </c:pt>
                <c:pt idx="364">
                  <c:v>40901</c:v>
                </c:pt>
                <c:pt idx="365">
                  <c:v>40902</c:v>
                </c:pt>
                <c:pt idx="366">
                  <c:v>40903</c:v>
                </c:pt>
                <c:pt idx="367">
                  <c:v>40904</c:v>
                </c:pt>
                <c:pt idx="368">
                  <c:v>40905</c:v>
                </c:pt>
                <c:pt idx="369">
                  <c:v>40906</c:v>
                </c:pt>
                <c:pt idx="370">
                  <c:v>40907</c:v>
                </c:pt>
                <c:pt idx="371">
                  <c:v>40908</c:v>
                </c:pt>
                <c:pt idx="372">
                  <c:v>40909</c:v>
                </c:pt>
                <c:pt idx="373">
                  <c:v>40910</c:v>
                </c:pt>
                <c:pt idx="374">
                  <c:v>40911</c:v>
                </c:pt>
              </c:numCache>
            </c:numRef>
          </c:cat>
          <c:val>
            <c:numRef>
              <c:f>Summary!$AC$5:$AC$380</c:f>
              <c:numCache>
                <c:formatCode>0.0</c:formatCode>
                <c:ptCount val="376"/>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24155</c:v>
                </c:pt>
                <c:pt idx="189">
                  <c:v>23816.6000000565</c:v>
                </c:pt>
                <c:pt idx="190">
                  <c:v>23745.200000056335</c:v>
                </c:pt>
                <c:pt idx="191">
                  <c:v>23673.800000056333</c:v>
                </c:pt>
                <c:pt idx="192">
                  <c:v>23673.800000056333</c:v>
                </c:pt>
                <c:pt idx="193">
                  <c:v>23602.400000056172</c:v>
                </c:pt>
                <c:pt idx="194">
                  <c:v>23531.00000005617</c:v>
                </c:pt>
                <c:pt idx="195">
                  <c:v>23531.00000005617</c:v>
                </c:pt>
                <c:pt idx="196">
                  <c:v>23459.600000056169</c:v>
                </c:pt>
                <c:pt idx="197">
                  <c:v>23388.200000056011</c:v>
                </c:pt>
                <c:pt idx="198">
                  <c:v>23388.200000056011</c:v>
                </c:pt>
                <c:pt idx="199">
                  <c:v>23316.80000005601</c:v>
                </c:pt>
                <c:pt idx="200">
                  <c:v>23245.400000055848</c:v>
                </c:pt>
                <c:pt idx="201">
                  <c:v>23245.400000055848</c:v>
                </c:pt>
                <c:pt idx="202">
                  <c:v>23174.000000055847</c:v>
                </c:pt>
                <c:pt idx="203">
                  <c:v>23104.500000054359</c:v>
                </c:pt>
                <c:pt idx="204">
                  <c:v>23104.500000054359</c:v>
                </c:pt>
                <c:pt idx="205">
                  <c:v>23035.000000054202</c:v>
                </c:pt>
                <c:pt idx="206">
                  <c:v>23035.000000054202</c:v>
                </c:pt>
                <c:pt idx="207">
                  <c:v>22965.500000054202</c:v>
                </c:pt>
                <c:pt idx="208">
                  <c:v>22896.000000054046</c:v>
                </c:pt>
                <c:pt idx="209">
                  <c:v>22896.000000054046</c:v>
                </c:pt>
                <c:pt idx="210">
                  <c:v>22826.500000054046</c:v>
                </c:pt>
                <c:pt idx="211">
                  <c:v>22757.000000054046</c:v>
                </c:pt>
                <c:pt idx="212">
                  <c:v>22757.000000054046</c:v>
                </c:pt>
                <c:pt idx="213">
                  <c:v>22687.500000053886</c:v>
                </c:pt>
                <c:pt idx="214">
                  <c:v>22687.500000053886</c:v>
                </c:pt>
                <c:pt idx="215">
                  <c:v>22618.000000053886</c:v>
                </c:pt>
                <c:pt idx="216">
                  <c:v>22548.500000053729</c:v>
                </c:pt>
                <c:pt idx="217">
                  <c:v>22548.500000053729</c:v>
                </c:pt>
                <c:pt idx="218">
                  <c:v>22479.000000053729</c:v>
                </c:pt>
                <c:pt idx="219">
                  <c:v>22343.600000052182</c:v>
                </c:pt>
                <c:pt idx="220">
                  <c:v>22208.200000052031</c:v>
                </c:pt>
                <c:pt idx="221">
                  <c:v>22072.80000005203</c:v>
                </c:pt>
                <c:pt idx="222">
                  <c:v>21937.400000051875</c:v>
                </c:pt>
                <c:pt idx="223">
                  <c:v>21802.000000051721</c:v>
                </c:pt>
                <c:pt idx="224">
                  <c:v>21670.600000050043</c:v>
                </c:pt>
                <c:pt idx="225">
                  <c:v>21539.200000049896</c:v>
                </c:pt>
                <c:pt idx="226">
                  <c:v>21407.800000049894</c:v>
                </c:pt>
                <c:pt idx="227">
                  <c:v>21276.400000049747</c:v>
                </c:pt>
                <c:pt idx="228">
                  <c:v>21145.000000049597</c:v>
                </c:pt>
                <c:pt idx="229">
                  <c:v>21017.000000048167</c:v>
                </c:pt>
                <c:pt idx="230">
                  <c:v>20889.000000048021</c:v>
                </c:pt>
                <c:pt idx="231">
                  <c:v>20761.000000048021</c:v>
                </c:pt>
                <c:pt idx="232">
                  <c:v>20633.000000047876</c:v>
                </c:pt>
                <c:pt idx="233">
                  <c:v>20505.00000004773</c:v>
                </c:pt>
                <c:pt idx="234">
                  <c:v>20380.800000046172</c:v>
                </c:pt>
                <c:pt idx="235">
                  <c:v>20256.60000004603</c:v>
                </c:pt>
                <c:pt idx="236">
                  <c:v>20132.400000046033</c:v>
                </c:pt>
                <c:pt idx="237">
                  <c:v>20070.300000045889</c:v>
                </c:pt>
                <c:pt idx="238">
                  <c:v>19946.100000045746</c:v>
                </c:pt>
                <c:pt idx="239">
                  <c:v>19823.600000044495</c:v>
                </c:pt>
                <c:pt idx="240">
                  <c:v>19702.800000044357</c:v>
                </c:pt>
                <c:pt idx="241">
                  <c:v>19582.000000044223</c:v>
                </c:pt>
                <c:pt idx="242">
                  <c:v>19461.200000044086</c:v>
                </c:pt>
                <c:pt idx="243">
                  <c:v>19340.400000043948</c:v>
                </c:pt>
                <c:pt idx="244">
                  <c:v>19221.500000042564</c:v>
                </c:pt>
                <c:pt idx="245">
                  <c:v>19163.00000004243</c:v>
                </c:pt>
                <c:pt idx="246">
                  <c:v>19046.000000042299</c:v>
                </c:pt>
                <c:pt idx="247">
                  <c:v>18929.000000042299</c:v>
                </c:pt>
                <c:pt idx="248">
                  <c:v>18812.000000042164</c:v>
                </c:pt>
                <c:pt idx="249">
                  <c:v>18695.000000042033</c:v>
                </c:pt>
                <c:pt idx="250">
                  <c:v>18524.300000040752</c:v>
                </c:pt>
                <c:pt idx="251">
                  <c:v>18296.700000040495</c:v>
                </c:pt>
                <c:pt idx="252">
                  <c:v>18126.000000040367</c:v>
                </c:pt>
                <c:pt idx="253">
                  <c:v>17959.800000039173</c:v>
                </c:pt>
                <c:pt idx="254">
                  <c:v>17738.200000038923</c:v>
                </c:pt>
                <c:pt idx="255">
                  <c:v>17572.000000038795</c:v>
                </c:pt>
                <c:pt idx="256">
                  <c:v>17409.700000037763</c:v>
                </c:pt>
                <c:pt idx="257">
                  <c:v>17193.300000037518</c:v>
                </c:pt>
                <c:pt idx="258">
                  <c:v>17031.000000037395</c:v>
                </c:pt>
                <c:pt idx="259">
                  <c:v>16872.600000036375</c:v>
                </c:pt>
                <c:pt idx="260">
                  <c:v>16661.400000036137</c:v>
                </c:pt>
                <c:pt idx="261">
                  <c:v>16503.000000036016</c:v>
                </c:pt>
                <c:pt idx="262">
                  <c:v>16347.900000035148</c:v>
                </c:pt>
                <c:pt idx="263">
                  <c:v>16141.100000034914</c:v>
                </c:pt>
                <c:pt idx="264">
                  <c:v>15986.000000034795</c:v>
                </c:pt>
                <c:pt idx="265">
                  <c:v>15834.800000033805</c:v>
                </c:pt>
                <c:pt idx="266">
                  <c:v>15734.000000033691</c:v>
                </c:pt>
                <c:pt idx="267">
                  <c:v>15582.800000033576</c:v>
                </c:pt>
                <c:pt idx="268">
                  <c:v>15432.800000032665</c:v>
                </c:pt>
                <c:pt idx="269">
                  <c:v>15334.400000032554</c:v>
                </c:pt>
                <c:pt idx="270">
                  <c:v>15186.800000032441</c:v>
                </c:pt>
                <c:pt idx="271">
                  <c:v>15039.200000032219</c:v>
                </c:pt>
                <c:pt idx="272">
                  <c:v>14942.000000031432</c:v>
                </c:pt>
                <c:pt idx="273">
                  <c:v>14798.000000031214</c:v>
                </c:pt>
                <c:pt idx="274">
                  <c:v>14654.000000031105</c:v>
                </c:pt>
                <c:pt idx="275">
                  <c:v>14558.000000030996</c:v>
                </c:pt>
                <c:pt idx="276">
                  <c:v>14416.400000030113</c:v>
                </c:pt>
                <c:pt idx="277">
                  <c:v>14276.000000030008</c:v>
                </c:pt>
                <c:pt idx="278">
                  <c:v>14182.400000029902</c:v>
                </c:pt>
                <c:pt idx="279">
                  <c:v>14042.000000029795</c:v>
                </c:pt>
                <c:pt idx="280">
                  <c:v>13904.900000028991</c:v>
                </c:pt>
                <c:pt idx="281">
                  <c:v>13722.100000028784</c:v>
                </c:pt>
                <c:pt idx="282">
                  <c:v>13585.000000028678</c:v>
                </c:pt>
                <c:pt idx="283">
                  <c:v>13451.500000027825</c:v>
                </c:pt>
                <c:pt idx="284">
                  <c:v>13273.500000027623</c:v>
                </c:pt>
                <c:pt idx="285">
                  <c:v>13140.000000027521</c:v>
                </c:pt>
                <c:pt idx="286">
                  <c:v>13009.800000026742</c:v>
                </c:pt>
                <c:pt idx="287">
                  <c:v>12836.200000026545</c:v>
                </c:pt>
                <c:pt idx="288">
                  <c:v>12706.000000026446</c:v>
                </c:pt>
                <c:pt idx="289">
                  <c:v>12579.100000025681</c:v>
                </c:pt>
                <c:pt idx="290">
                  <c:v>12409.900000025487</c:v>
                </c:pt>
                <c:pt idx="291">
                  <c:v>12283.000000025391</c:v>
                </c:pt>
                <c:pt idx="292">
                  <c:v>12159.400000024638</c:v>
                </c:pt>
                <c:pt idx="293">
                  <c:v>11994.600000024449</c:v>
                </c:pt>
                <c:pt idx="294">
                  <c:v>11871.000000024356</c:v>
                </c:pt>
                <c:pt idx="295">
                  <c:v>11630.400000023523</c:v>
                </c:pt>
                <c:pt idx="296">
                  <c:v>11430.900000022759</c:v>
                </c:pt>
                <c:pt idx="297">
                  <c:v>11196.300000022491</c:v>
                </c:pt>
                <c:pt idx="298">
                  <c:v>11003.000000021686</c:v>
                </c:pt>
                <c:pt idx="299">
                  <c:v>10775.000000021515</c:v>
                </c:pt>
                <c:pt idx="300">
                  <c:v>10550.600000020751</c:v>
                </c:pt>
                <c:pt idx="301">
                  <c:v>10365.100000020582</c:v>
                </c:pt>
                <c:pt idx="302">
                  <c:v>10147.500000019863</c:v>
                </c:pt>
                <c:pt idx="303">
                  <c:v>9931.8000000192151</c:v>
                </c:pt>
                <c:pt idx="304">
                  <c:v>9755.8000000190477</c:v>
                </c:pt>
                <c:pt idx="305">
                  <c:v>9546.2000000183816</c:v>
                </c:pt>
                <c:pt idx="306">
                  <c:v>9374.2000000182252</c:v>
                </c:pt>
                <c:pt idx="307">
                  <c:v>9170.8000000175416</c:v>
                </c:pt>
                <c:pt idx="308">
                  <c:v>8970.4000000173146</c:v>
                </c:pt>
                <c:pt idx="309">
                  <c:v>8807.0000000167001</c:v>
                </c:pt>
                <c:pt idx="310">
                  <c:v>8612.0000000165528</c:v>
                </c:pt>
                <c:pt idx="311">
                  <c:v>8295.0000000158579</c:v>
                </c:pt>
                <c:pt idx="312">
                  <c:v>7987.0000000151267</c:v>
                </c:pt>
                <c:pt idx="313">
                  <c:v>7687.000000014461</c:v>
                </c:pt>
                <c:pt idx="314">
                  <c:v>7396.0000000137625</c:v>
                </c:pt>
                <c:pt idx="315">
                  <c:v>7113.0000000131267</c:v>
                </c:pt>
                <c:pt idx="316">
                  <c:v>6838.0000000125056</c:v>
                </c:pt>
                <c:pt idx="317">
                  <c:v>6572.0000000118544</c:v>
                </c:pt>
                <c:pt idx="318">
                  <c:v>6313.0000000113068</c:v>
                </c:pt>
                <c:pt idx="319">
                  <c:v>6061.0000000107721</c:v>
                </c:pt>
                <c:pt idx="320">
                  <c:v>5816.00000001025</c:v>
                </c:pt>
                <c:pt idx="321">
                  <c:v>5577.0000000097816</c:v>
                </c:pt>
                <c:pt idx="322">
                  <c:v>5345.0000000092841</c:v>
                </c:pt>
                <c:pt idx="323">
                  <c:v>5119.0000000088385</c:v>
                </c:pt>
                <c:pt idx="324">
                  <c:v>4899.0000000084037</c:v>
                </c:pt>
                <c:pt idx="325">
                  <c:v>4686.0000000079426</c:v>
                </c:pt>
                <c:pt idx="326">
                  <c:v>4437.800000007267</c:v>
                </c:pt>
                <c:pt idx="327">
                  <c:v>4198.6000000068634</c:v>
                </c:pt>
                <c:pt idx="328">
                  <c:v>3967.0000000064801</c:v>
                </c:pt>
                <c:pt idx="329">
                  <c:v>3743.8000000060665</c:v>
                </c:pt>
                <c:pt idx="330">
                  <c:v>3528.000000005698</c:v>
                </c:pt>
                <c:pt idx="331">
                  <c:v>3321.4000000051569</c:v>
                </c:pt>
                <c:pt idx="332">
                  <c:v>3122.2000000047883</c:v>
                </c:pt>
                <c:pt idx="333">
                  <c:v>2930.2000000045264</c:v>
                </c:pt>
                <c:pt idx="334">
                  <c:v>2744.6000000042095</c:v>
                </c:pt>
                <c:pt idx="335">
                  <c:v>2565.0000000039299</c:v>
                </c:pt>
                <c:pt idx="336">
                  <c:v>2394.0000000035334</c:v>
                </c:pt>
                <c:pt idx="337">
                  <c:v>2228.0000000032537</c:v>
                </c:pt>
                <c:pt idx="338">
                  <c:v>2069.000000003015</c:v>
                </c:pt>
                <c:pt idx="339">
                  <c:v>1916.200000002779</c:v>
                </c:pt>
                <c:pt idx="340">
                  <c:v>1769.000000002552</c:v>
                </c:pt>
                <c:pt idx="341">
                  <c:v>1686.400000002388</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numCache>
            </c:numRef>
          </c:val>
        </c:ser>
        <c:ser>
          <c:idx val="5"/>
          <c:order val="5"/>
          <c:tx>
            <c:strRef>
              <c:f>Summary!$AK$2</c:f>
              <c:strCache>
                <c:ptCount val="1"/>
                <c:pt idx="0">
                  <c:v>2008 HHD Total Storage (including 1220 AF dead storage)</c:v>
                </c:pt>
              </c:strCache>
            </c:strRef>
          </c:tx>
          <c:spPr>
            <a:ln w="6350">
              <a:prstDash val="dash"/>
            </a:ln>
          </c:spPr>
          <c:marker>
            <c:symbol val="none"/>
          </c:marker>
          <c:cat>
            <c:numRef>
              <c:f>Summary!$A$5:$A$380</c:f>
              <c:numCache>
                <c:formatCode>[$-409]d\-mmm;@</c:formatCode>
                <c:ptCount val="376"/>
                <c:pt idx="0">
                  <c:v>40537</c:v>
                </c:pt>
                <c:pt idx="1">
                  <c:v>40538</c:v>
                </c:pt>
                <c:pt idx="2">
                  <c:v>40539</c:v>
                </c:pt>
                <c:pt idx="3">
                  <c:v>40540</c:v>
                </c:pt>
                <c:pt idx="4">
                  <c:v>40541</c:v>
                </c:pt>
                <c:pt idx="5">
                  <c:v>40542</c:v>
                </c:pt>
                <c:pt idx="6">
                  <c:v>40543</c:v>
                </c:pt>
                <c:pt idx="7">
                  <c:v>40544</c:v>
                </c:pt>
                <c:pt idx="8">
                  <c:v>40545</c:v>
                </c:pt>
                <c:pt idx="9">
                  <c:v>40546</c:v>
                </c:pt>
                <c:pt idx="10">
                  <c:v>40547</c:v>
                </c:pt>
                <c:pt idx="11">
                  <c:v>40548</c:v>
                </c:pt>
                <c:pt idx="12">
                  <c:v>40549</c:v>
                </c:pt>
                <c:pt idx="13">
                  <c:v>40550</c:v>
                </c:pt>
                <c:pt idx="14">
                  <c:v>40551</c:v>
                </c:pt>
                <c:pt idx="15">
                  <c:v>40552</c:v>
                </c:pt>
                <c:pt idx="16">
                  <c:v>40553</c:v>
                </c:pt>
                <c:pt idx="17">
                  <c:v>40554</c:v>
                </c:pt>
                <c:pt idx="18">
                  <c:v>40555</c:v>
                </c:pt>
                <c:pt idx="19">
                  <c:v>40556</c:v>
                </c:pt>
                <c:pt idx="20">
                  <c:v>40557</c:v>
                </c:pt>
                <c:pt idx="21">
                  <c:v>40558</c:v>
                </c:pt>
                <c:pt idx="22">
                  <c:v>40559</c:v>
                </c:pt>
                <c:pt idx="23">
                  <c:v>40560</c:v>
                </c:pt>
                <c:pt idx="24">
                  <c:v>40561</c:v>
                </c:pt>
                <c:pt idx="25">
                  <c:v>40562</c:v>
                </c:pt>
                <c:pt idx="26">
                  <c:v>40563</c:v>
                </c:pt>
                <c:pt idx="27">
                  <c:v>40564</c:v>
                </c:pt>
                <c:pt idx="28">
                  <c:v>40565</c:v>
                </c:pt>
                <c:pt idx="29">
                  <c:v>40566</c:v>
                </c:pt>
                <c:pt idx="30">
                  <c:v>40567</c:v>
                </c:pt>
                <c:pt idx="31">
                  <c:v>40568</c:v>
                </c:pt>
                <c:pt idx="32">
                  <c:v>40569</c:v>
                </c:pt>
                <c:pt idx="33">
                  <c:v>40570</c:v>
                </c:pt>
                <c:pt idx="34">
                  <c:v>40571</c:v>
                </c:pt>
                <c:pt idx="35">
                  <c:v>40572</c:v>
                </c:pt>
                <c:pt idx="36">
                  <c:v>40573</c:v>
                </c:pt>
                <c:pt idx="37">
                  <c:v>40574</c:v>
                </c:pt>
                <c:pt idx="38">
                  <c:v>40575</c:v>
                </c:pt>
                <c:pt idx="39">
                  <c:v>40576</c:v>
                </c:pt>
                <c:pt idx="40">
                  <c:v>40577</c:v>
                </c:pt>
                <c:pt idx="41">
                  <c:v>40578</c:v>
                </c:pt>
                <c:pt idx="42">
                  <c:v>40579</c:v>
                </c:pt>
                <c:pt idx="43">
                  <c:v>40580</c:v>
                </c:pt>
                <c:pt idx="44">
                  <c:v>40581</c:v>
                </c:pt>
                <c:pt idx="45">
                  <c:v>40582</c:v>
                </c:pt>
                <c:pt idx="46">
                  <c:v>40583</c:v>
                </c:pt>
                <c:pt idx="47">
                  <c:v>40584</c:v>
                </c:pt>
                <c:pt idx="48">
                  <c:v>40585</c:v>
                </c:pt>
                <c:pt idx="49">
                  <c:v>40586</c:v>
                </c:pt>
                <c:pt idx="50">
                  <c:v>40587</c:v>
                </c:pt>
                <c:pt idx="51">
                  <c:v>40588</c:v>
                </c:pt>
                <c:pt idx="52">
                  <c:v>40589</c:v>
                </c:pt>
                <c:pt idx="53">
                  <c:v>40590</c:v>
                </c:pt>
                <c:pt idx="54">
                  <c:v>40591</c:v>
                </c:pt>
                <c:pt idx="55">
                  <c:v>40592</c:v>
                </c:pt>
                <c:pt idx="56">
                  <c:v>40593</c:v>
                </c:pt>
                <c:pt idx="57">
                  <c:v>40594</c:v>
                </c:pt>
                <c:pt idx="58">
                  <c:v>40595</c:v>
                </c:pt>
                <c:pt idx="59">
                  <c:v>40596</c:v>
                </c:pt>
                <c:pt idx="60">
                  <c:v>40597</c:v>
                </c:pt>
                <c:pt idx="61">
                  <c:v>40598</c:v>
                </c:pt>
                <c:pt idx="62">
                  <c:v>40599</c:v>
                </c:pt>
                <c:pt idx="63">
                  <c:v>40600</c:v>
                </c:pt>
                <c:pt idx="64">
                  <c:v>40601</c:v>
                </c:pt>
                <c:pt idx="65">
                  <c:v>40602</c:v>
                </c:pt>
                <c:pt idx="66">
                  <c:v>40603</c:v>
                </c:pt>
                <c:pt idx="67">
                  <c:v>40604</c:v>
                </c:pt>
                <c:pt idx="68">
                  <c:v>40605</c:v>
                </c:pt>
                <c:pt idx="69">
                  <c:v>40606</c:v>
                </c:pt>
                <c:pt idx="70">
                  <c:v>40607</c:v>
                </c:pt>
                <c:pt idx="71">
                  <c:v>40608</c:v>
                </c:pt>
                <c:pt idx="72">
                  <c:v>40609</c:v>
                </c:pt>
                <c:pt idx="73">
                  <c:v>40610</c:v>
                </c:pt>
                <c:pt idx="74">
                  <c:v>40611</c:v>
                </c:pt>
                <c:pt idx="75">
                  <c:v>40612</c:v>
                </c:pt>
                <c:pt idx="76">
                  <c:v>40613</c:v>
                </c:pt>
                <c:pt idx="77">
                  <c:v>40614</c:v>
                </c:pt>
                <c:pt idx="78">
                  <c:v>40615</c:v>
                </c:pt>
                <c:pt idx="79">
                  <c:v>40616</c:v>
                </c:pt>
                <c:pt idx="80">
                  <c:v>40617</c:v>
                </c:pt>
                <c:pt idx="81">
                  <c:v>40618</c:v>
                </c:pt>
                <c:pt idx="82">
                  <c:v>40619</c:v>
                </c:pt>
                <c:pt idx="83">
                  <c:v>40620</c:v>
                </c:pt>
                <c:pt idx="84">
                  <c:v>40621</c:v>
                </c:pt>
                <c:pt idx="85">
                  <c:v>40622</c:v>
                </c:pt>
                <c:pt idx="86">
                  <c:v>40623</c:v>
                </c:pt>
                <c:pt idx="87">
                  <c:v>40624</c:v>
                </c:pt>
                <c:pt idx="88">
                  <c:v>40625</c:v>
                </c:pt>
                <c:pt idx="89">
                  <c:v>40626</c:v>
                </c:pt>
                <c:pt idx="90">
                  <c:v>40627</c:v>
                </c:pt>
                <c:pt idx="91">
                  <c:v>40628</c:v>
                </c:pt>
                <c:pt idx="92">
                  <c:v>40629</c:v>
                </c:pt>
                <c:pt idx="93">
                  <c:v>40630</c:v>
                </c:pt>
                <c:pt idx="94">
                  <c:v>40631</c:v>
                </c:pt>
                <c:pt idx="95">
                  <c:v>40632</c:v>
                </c:pt>
                <c:pt idx="96">
                  <c:v>40633</c:v>
                </c:pt>
                <c:pt idx="97">
                  <c:v>40634</c:v>
                </c:pt>
                <c:pt idx="98">
                  <c:v>40635</c:v>
                </c:pt>
                <c:pt idx="99">
                  <c:v>40636</c:v>
                </c:pt>
                <c:pt idx="100">
                  <c:v>40637</c:v>
                </c:pt>
                <c:pt idx="101">
                  <c:v>40638</c:v>
                </c:pt>
                <c:pt idx="102">
                  <c:v>40639</c:v>
                </c:pt>
                <c:pt idx="103">
                  <c:v>40640</c:v>
                </c:pt>
                <c:pt idx="104">
                  <c:v>40641</c:v>
                </c:pt>
                <c:pt idx="105">
                  <c:v>40642</c:v>
                </c:pt>
                <c:pt idx="106">
                  <c:v>40643</c:v>
                </c:pt>
                <c:pt idx="107">
                  <c:v>40644</c:v>
                </c:pt>
                <c:pt idx="108">
                  <c:v>40645</c:v>
                </c:pt>
                <c:pt idx="109">
                  <c:v>40646</c:v>
                </c:pt>
                <c:pt idx="110">
                  <c:v>40647</c:v>
                </c:pt>
                <c:pt idx="111">
                  <c:v>40648</c:v>
                </c:pt>
                <c:pt idx="112">
                  <c:v>40649</c:v>
                </c:pt>
                <c:pt idx="113">
                  <c:v>40650</c:v>
                </c:pt>
                <c:pt idx="114">
                  <c:v>40651</c:v>
                </c:pt>
                <c:pt idx="115">
                  <c:v>40652</c:v>
                </c:pt>
                <c:pt idx="116">
                  <c:v>40653</c:v>
                </c:pt>
                <c:pt idx="117">
                  <c:v>40654</c:v>
                </c:pt>
                <c:pt idx="118">
                  <c:v>40655</c:v>
                </c:pt>
                <c:pt idx="119">
                  <c:v>40656</c:v>
                </c:pt>
                <c:pt idx="120">
                  <c:v>40657</c:v>
                </c:pt>
                <c:pt idx="121">
                  <c:v>40658</c:v>
                </c:pt>
                <c:pt idx="122">
                  <c:v>40659</c:v>
                </c:pt>
                <c:pt idx="123">
                  <c:v>40660</c:v>
                </c:pt>
                <c:pt idx="124">
                  <c:v>40661</c:v>
                </c:pt>
                <c:pt idx="125">
                  <c:v>40662</c:v>
                </c:pt>
                <c:pt idx="126">
                  <c:v>40663</c:v>
                </c:pt>
                <c:pt idx="127">
                  <c:v>40664</c:v>
                </c:pt>
                <c:pt idx="128">
                  <c:v>40665</c:v>
                </c:pt>
                <c:pt idx="129">
                  <c:v>40666</c:v>
                </c:pt>
                <c:pt idx="130">
                  <c:v>40667</c:v>
                </c:pt>
                <c:pt idx="131">
                  <c:v>40668</c:v>
                </c:pt>
                <c:pt idx="132">
                  <c:v>40669</c:v>
                </c:pt>
                <c:pt idx="133">
                  <c:v>40670</c:v>
                </c:pt>
                <c:pt idx="134">
                  <c:v>40671</c:v>
                </c:pt>
                <c:pt idx="135">
                  <c:v>40672</c:v>
                </c:pt>
                <c:pt idx="136">
                  <c:v>40673</c:v>
                </c:pt>
                <c:pt idx="137">
                  <c:v>40674</c:v>
                </c:pt>
                <c:pt idx="138">
                  <c:v>40675</c:v>
                </c:pt>
                <c:pt idx="139">
                  <c:v>40676</c:v>
                </c:pt>
                <c:pt idx="140">
                  <c:v>40677</c:v>
                </c:pt>
                <c:pt idx="141">
                  <c:v>40678</c:v>
                </c:pt>
                <c:pt idx="142">
                  <c:v>40679</c:v>
                </c:pt>
                <c:pt idx="143">
                  <c:v>40680</c:v>
                </c:pt>
                <c:pt idx="144">
                  <c:v>40681</c:v>
                </c:pt>
                <c:pt idx="145">
                  <c:v>40682</c:v>
                </c:pt>
                <c:pt idx="146">
                  <c:v>40683</c:v>
                </c:pt>
                <c:pt idx="147">
                  <c:v>40684</c:v>
                </c:pt>
                <c:pt idx="148">
                  <c:v>40685</c:v>
                </c:pt>
                <c:pt idx="149">
                  <c:v>40686</c:v>
                </c:pt>
                <c:pt idx="150">
                  <c:v>40687</c:v>
                </c:pt>
                <c:pt idx="151">
                  <c:v>40688</c:v>
                </c:pt>
                <c:pt idx="152">
                  <c:v>40689</c:v>
                </c:pt>
                <c:pt idx="153">
                  <c:v>40690</c:v>
                </c:pt>
                <c:pt idx="154">
                  <c:v>40691</c:v>
                </c:pt>
                <c:pt idx="155">
                  <c:v>40692</c:v>
                </c:pt>
                <c:pt idx="156">
                  <c:v>40693</c:v>
                </c:pt>
                <c:pt idx="157">
                  <c:v>40694</c:v>
                </c:pt>
                <c:pt idx="158">
                  <c:v>40695</c:v>
                </c:pt>
                <c:pt idx="159">
                  <c:v>40696</c:v>
                </c:pt>
                <c:pt idx="160">
                  <c:v>40697</c:v>
                </c:pt>
                <c:pt idx="161">
                  <c:v>40698</c:v>
                </c:pt>
                <c:pt idx="162">
                  <c:v>40699</c:v>
                </c:pt>
                <c:pt idx="163">
                  <c:v>40700</c:v>
                </c:pt>
                <c:pt idx="164">
                  <c:v>40701</c:v>
                </c:pt>
                <c:pt idx="165">
                  <c:v>40702</c:v>
                </c:pt>
                <c:pt idx="166">
                  <c:v>40703</c:v>
                </c:pt>
                <c:pt idx="167">
                  <c:v>40704</c:v>
                </c:pt>
                <c:pt idx="168">
                  <c:v>40705</c:v>
                </c:pt>
                <c:pt idx="169">
                  <c:v>40706</c:v>
                </c:pt>
                <c:pt idx="170">
                  <c:v>40707</c:v>
                </c:pt>
                <c:pt idx="171">
                  <c:v>40708</c:v>
                </c:pt>
                <c:pt idx="172">
                  <c:v>40709</c:v>
                </c:pt>
                <c:pt idx="173">
                  <c:v>40710</c:v>
                </c:pt>
                <c:pt idx="174">
                  <c:v>40711</c:v>
                </c:pt>
                <c:pt idx="175">
                  <c:v>40712</c:v>
                </c:pt>
                <c:pt idx="176">
                  <c:v>40713</c:v>
                </c:pt>
                <c:pt idx="177">
                  <c:v>40714</c:v>
                </c:pt>
                <c:pt idx="178">
                  <c:v>40715</c:v>
                </c:pt>
                <c:pt idx="179">
                  <c:v>40716</c:v>
                </c:pt>
                <c:pt idx="180">
                  <c:v>40717</c:v>
                </c:pt>
                <c:pt idx="181">
                  <c:v>40718</c:v>
                </c:pt>
                <c:pt idx="182">
                  <c:v>40719</c:v>
                </c:pt>
                <c:pt idx="183">
                  <c:v>40720</c:v>
                </c:pt>
                <c:pt idx="184">
                  <c:v>40721</c:v>
                </c:pt>
                <c:pt idx="185">
                  <c:v>40722</c:v>
                </c:pt>
                <c:pt idx="186">
                  <c:v>40723</c:v>
                </c:pt>
                <c:pt idx="187">
                  <c:v>40724</c:v>
                </c:pt>
                <c:pt idx="188">
                  <c:v>40725</c:v>
                </c:pt>
                <c:pt idx="189">
                  <c:v>40726</c:v>
                </c:pt>
                <c:pt idx="190">
                  <c:v>40727</c:v>
                </c:pt>
                <c:pt idx="191">
                  <c:v>40728</c:v>
                </c:pt>
                <c:pt idx="192">
                  <c:v>40729</c:v>
                </c:pt>
                <c:pt idx="193">
                  <c:v>40730</c:v>
                </c:pt>
                <c:pt idx="194">
                  <c:v>40731</c:v>
                </c:pt>
                <c:pt idx="195">
                  <c:v>40732</c:v>
                </c:pt>
                <c:pt idx="196">
                  <c:v>40733</c:v>
                </c:pt>
                <c:pt idx="197">
                  <c:v>40734</c:v>
                </c:pt>
                <c:pt idx="198">
                  <c:v>40735</c:v>
                </c:pt>
                <c:pt idx="199">
                  <c:v>40736</c:v>
                </c:pt>
                <c:pt idx="200">
                  <c:v>40737</c:v>
                </c:pt>
                <c:pt idx="201">
                  <c:v>40738</c:v>
                </c:pt>
                <c:pt idx="202">
                  <c:v>40739</c:v>
                </c:pt>
                <c:pt idx="203">
                  <c:v>40740</c:v>
                </c:pt>
                <c:pt idx="204">
                  <c:v>40741</c:v>
                </c:pt>
                <c:pt idx="205">
                  <c:v>40742</c:v>
                </c:pt>
                <c:pt idx="206">
                  <c:v>40743</c:v>
                </c:pt>
                <c:pt idx="207">
                  <c:v>40744</c:v>
                </c:pt>
                <c:pt idx="208">
                  <c:v>40745</c:v>
                </c:pt>
                <c:pt idx="209">
                  <c:v>40746</c:v>
                </c:pt>
                <c:pt idx="210">
                  <c:v>40747</c:v>
                </c:pt>
                <c:pt idx="211">
                  <c:v>40748</c:v>
                </c:pt>
                <c:pt idx="212">
                  <c:v>40749</c:v>
                </c:pt>
                <c:pt idx="213">
                  <c:v>40750</c:v>
                </c:pt>
                <c:pt idx="214">
                  <c:v>40751</c:v>
                </c:pt>
                <c:pt idx="215">
                  <c:v>40752</c:v>
                </c:pt>
                <c:pt idx="216">
                  <c:v>40753</c:v>
                </c:pt>
                <c:pt idx="217">
                  <c:v>40754</c:v>
                </c:pt>
                <c:pt idx="218">
                  <c:v>40755</c:v>
                </c:pt>
                <c:pt idx="219">
                  <c:v>40756</c:v>
                </c:pt>
                <c:pt idx="220">
                  <c:v>40757</c:v>
                </c:pt>
                <c:pt idx="221">
                  <c:v>40758</c:v>
                </c:pt>
                <c:pt idx="222">
                  <c:v>40759</c:v>
                </c:pt>
                <c:pt idx="223">
                  <c:v>40760</c:v>
                </c:pt>
                <c:pt idx="224">
                  <c:v>40761</c:v>
                </c:pt>
                <c:pt idx="225">
                  <c:v>40762</c:v>
                </c:pt>
                <c:pt idx="226">
                  <c:v>40763</c:v>
                </c:pt>
                <c:pt idx="227">
                  <c:v>40764</c:v>
                </c:pt>
                <c:pt idx="228">
                  <c:v>40765</c:v>
                </c:pt>
                <c:pt idx="229">
                  <c:v>40766</c:v>
                </c:pt>
                <c:pt idx="230">
                  <c:v>40767</c:v>
                </c:pt>
                <c:pt idx="231">
                  <c:v>40768</c:v>
                </c:pt>
                <c:pt idx="232">
                  <c:v>40769</c:v>
                </c:pt>
                <c:pt idx="233">
                  <c:v>40770</c:v>
                </c:pt>
                <c:pt idx="234">
                  <c:v>40771</c:v>
                </c:pt>
                <c:pt idx="235">
                  <c:v>40772</c:v>
                </c:pt>
                <c:pt idx="236">
                  <c:v>40773</c:v>
                </c:pt>
                <c:pt idx="237">
                  <c:v>40774</c:v>
                </c:pt>
                <c:pt idx="238">
                  <c:v>40775</c:v>
                </c:pt>
                <c:pt idx="239">
                  <c:v>40776</c:v>
                </c:pt>
                <c:pt idx="240">
                  <c:v>40777</c:v>
                </c:pt>
                <c:pt idx="241">
                  <c:v>40778</c:v>
                </c:pt>
                <c:pt idx="242">
                  <c:v>40779</c:v>
                </c:pt>
                <c:pt idx="243">
                  <c:v>40780</c:v>
                </c:pt>
                <c:pt idx="244">
                  <c:v>40781</c:v>
                </c:pt>
                <c:pt idx="245">
                  <c:v>40782</c:v>
                </c:pt>
                <c:pt idx="246">
                  <c:v>40783</c:v>
                </c:pt>
                <c:pt idx="247">
                  <c:v>40784</c:v>
                </c:pt>
                <c:pt idx="248">
                  <c:v>40785</c:v>
                </c:pt>
                <c:pt idx="249">
                  <c:v>40786</c:v>
                </c:pt>
                <c:pt idx="250">
                  <c:v>40787</c:v>
                </c:pt>
                <c:pt idx="251">
                  <c:v>40788</c:v>
                </c:pt>
                <c:pt idx="252">
                  <c:v>40789</c:v>
                </c:pt>
                <c:pt idx="253">
                  <c:v>40790</c:v>
                </c:pt>
                <c:pt idx="254">
                  <c:v>40791</c:v>
                </c:pt>
                <c:pt idx="255">
                  <c:v>40792</c:v>
                </c:pt>
                <c:pt idx="256">
                  <c:v>40793</c:v>
                </c:pt>
                <c:pt idx="257">
                  <c:v>40794</c:v>
                </c:pt>
                <c:pt idx="258">
                  <c:v>40795</c:v>
                </c:pt>
                <c:pt idx="259">
                  <c:v>40796</c:v>
                </c:pt>
                <c:pt idx="260">
                  <c:v>40797</c:v>
                </c:pt>
                <c:pt idx="261">
                  <c:v>40798</c:v>
                </c:pt>
                <c:pt idx="262">
                  <c:v>40799</c:v>
                </c:pt>
                <c:pt idx="263">
                  <c:v>40800</c:v>
                </c:pt>
                <c:pt idx="264">
                  <c:v>40801</c:v>
                </c:pt>
                <c:pt idx="265">
                  <c:v>40802</c:v>
                </c:pt>
                <c:pt idx="266">
                  <c:v>40803</c:v>
                </c:pt>
                <c:pt idx="267">
                  <c:v>40804</c:v>
                </c:pt>
                <c:pt idx="268">
                  <c:v>40805</c:v>
                </c:pt>
                <c:pt idx="269">
                  <c:v>40806</c:v>
                </c:pt>
                <c:pt idx="270">
                  <c:v>40807</c:v>
                </c:pt>
                <c:pt idx="271">
                  <c:v>40808</c:v>
                </c:pt>
                <c:pt idx="272">
                  <c:v>40809</c:v>
                </c:pt>
                <c:pt idx="273">
                  <c:v>40810</c:v>
                </c:pt>
                <c:pt idx="274">
                  <c:v>40811</c:v>
                </c:pt>
                <c:pt idx="275">
                  <c:v>40812</c:v>
                </c:pt>
                <c:pt idx="276">
                  <c:v>40813</c:v>
                </c:pt>
                <c:pt idx="277">
                  <c:v>40814</c:v>
                </c:pt>
                <c:pt idx="278">
                  <c:v>40815</c:v>
                </c:pt>
                <c:pt idx="279">
                  <c:v>40816</c:v>
                </c:pt>
                <c:pt idx="280">
                  <c:v>40817</c:v>
                </c:pt>
                <c:pt idx="281">
                  <c:v>40818</c:v>
                </c:pt>
                <c:pt idx="282">
                  <c:v>40819</c:v>
                </c:pt>
                <c:pt idx="283">
                  <c:v>40820</c:v>
                </c:pt>
                <c:pt idx="284">
                  <c:v>40821</c:v>
                </c:pt>
                <c:pt idx="285">
                  <c:v>40822</c:v>
                </c:pt>
                <c:pt idx="286">
                  <c:v>40823</c:v>
                </c:pt>
                <c:pt idx="287">
                  <c:v>40824</c:v>
                </c:pt>
                <c:pt idx="288">
                  <c:v>40825</c:v>
                </c:pt>
                <c:pt idx="289">
                  <c:v>40826</c:v>
                </c:pt>
                <c:pt idx="290">
                  <c:v>40827</c:v>
                </c:pt>
                <c:pt idx="291">
                  <c:v>40828</c:v>
                </c:pt>
                <c:pt idx="292">
                  <c:v>40829</c:v>
                </c:pt>
                <c:pt idx="293">
                  <c:v>40830</c:v>
                </c:pt>
                <c:pt idx="294">
                  <c:v>40831</c:v>
                </c:pt>
                <c:pt idx="295">
                  <c:v>40832</c:v>
                </c:pt>
                <c:pt idx="296">
                  <c:v>40833</c:v>
                </c:pt>
                <c:pt idx="297">
                  <c:v>40834</c:v>
                </c:pt>
                <c:pt idx="298">
                  <c:v>40835</c:v>
                </c:pt>
                <c:pt idx="299">
                  <c:v>40836</c:v>
                </c:pt>
                <c:pt idx="300">
                  <c:v>40837</c:v>
                </c:pt>
                <c:pt idx="301">
                  <c:v>40838</c:v>
                </c:pt>
                <c:pt idx="302">
                  <c:v>40839</c:v>
                </c:pt>
                <c:pt idx="303">
                  <c:v>40840</c:v>
                </c:pt>
                <c:pt idx="304">
                  <c:v>40841</c:v>
                </c:pt>
                <c:pt idx="305">
                  <c:v>40842</c:v>
                </c:pt>
                <c:pt idx="306">
                  <c:v>40843</c:v>
                </c:pt>
                <c:pt idx="307">
                  <c:v>40844</c:v>
                </c:pt>
                <c:pt idx="308">
                  <c:v>40845</c:v>
                </c:pt>
                <c:pt idx="309">
                  <c:v>40846</c:v>
                </c:pt>
                <c:pt idx="310">
                  <c:v>40847</c:v>
                </c:pt>
                <c:pt idx="311">
                  <c:v>40848</c:v>
                </c:pt>
                <c:pt idx="312">
                  <c:v>40849</c:v>
                </c:pt>
                <c:pt idx="313">
                  <c:v>40850</c:v>
                </c:pt>
                <c:pt idx="314">
                  <c:v>40851</c:v>
                </c:pt>
                <c:pt idx="315">
                  <c:v>40852</c:v>
                </c:pt>
                <c:pt idx="316">
                  <c:v>40853</c:v>
                </c:pt>
                <c:pt idx="317">
                  <c:v>40854</c:v>
                </c:pt>
                <c:pt idx="318">
                  <c:v>40855</c:v>
                </c:pt>
                <c:pt idx="319">
                  <c:v>40856</c:v>
                </c:pt>
                <c:pt idx="320">
                  <c:v>40857</c:v>
                </c:pt>
                <c:pt idx="321">
                  <c:v>40858</c:v>
                </c:pt>
                <c:pt idx="322">
                  <c:v>40859</c:v>
                </c:pt>
                <c:pt idx="323">
                  <c:v>40860</c:v>
                </c:pt>
                <c:pt idx="324">
                  <c:v>40861</c:v>
                </c:pt>
                <c:pt idx="325">
                  <c:v>40862</c:v>
                </c:pt>
                <c:pt idx="326">
                  <c:v>40863</c:v>
                </c:pt>
                <c:pt idx="327">
                  <c:v>40864</c:v>
                </c:pt>
                <c:pt idx="328">
                  <c:v>40865</c:v>
                </c:pt>
                <c:pt idx="329">
                  <c:v>40866</c:v>
                </c:pt>
                <c:pt idx="330">
                  <c:v>40867</c:v>
                </c:pt>
                <c:pt idx="331">
                  <c:v>40868</c:v>
                </c:pt>
                <c:pt idx="332">
                  <c:v>40869</c:v>
                </c:pt>
                <c:pt idx="333">
                  <c:v>40870</c:v>
                </c:pt>
                <c:pt idx="334">
                  <c:v>40871</c:v>
                </c:pt>
                <c:pt idx="335">
                  <c:v>40872</c:v>
                </c:pt>
                <c:pt idx="336">
                  <c:v>40873</c:v>
                </c:pt>
                <c:pt idx="337">
                  <c:v>40874</c:v>
                </c:pt>
                <c:pt idx="338">
                  <c:v>40875</c:v>
                </c:pt>
                <c:pt idx="339">
                  <c:v>40876</c:v>
                </c:pt>
                <c:pt idx="340">
                  <c:v>40877</c:v>
                </c:pt>
                <c:pt idx="341">
                  <c:v>40878</c:v>
                </c:pt>
                <c:pt idx="342">
                  <c:v>40879</c:v>
                </c:pt>
                <c:pt idx="343">
                  <c:v>40880</c:v>
                </c:pt>
                <c:pt idx="344">
                  <c:v>40881</c:v>
                </c:pt>
                <c:pt idx="345">
                  <c:v>40882</c:v>
                </c:pt>
                <c:pt idx="346">
                  <c:v>40883</c:v>
                </c:pt>
                <c:pt idx="347">
                  <c:v>40884</c:v>
                </c:pt>
                <c:pt idx="348">
                  <c:v>40885</c:v>
                </c:pt>
                <c:pt idx="349">
                  <c:v>40886</c:v>
                </c:pt>
                <c:pt idx="350">
                  <c:v>40887</c:v>
                </c:pt>
                <c:pt idx="351">
                  <c:v>40888</c:v>
                </c:pt>
                <c:pt idx="352">
                  <c:v>40889</c:v>
                </c:pt>
                <c:pt idx="353">
                  <c:v>40890</c:v>
                </c:pt>
                <c:pt idx="354">
                  <c:v>40891</c:v>
                </c:pt>
                <c:pt idx="355">
                  <c:v>40892</c:v>
                </c:pt>
                <c:pt idx="356">
                  <c:v>40893</c:v>
                </c:pt>
                <c:pt idx="357">
                  <c:v>40894</c:v>
                </c:pt>
                <c:pt idx="358">
                  <c:v>40895</c:v>
                </c:pt>
                <c:pt idx="359">
                  <c:v>40896</c:v>
                </c:pt>
                <c:pt idx="360">
                  <c:v>40897</c:v>
                </c:pt>
                <c:pt idx="361">
                  <c:v>40898</c:v>
                </c:pt>
                <c:pt idx="362">
                  <c:v>40899</c:v>
                </c:pt>
                <c:pt idx="363">
                  <c:v>40900</c:v>
                </c:pt>
                <c:pt idx="364">
                  <c:v>40901</c:v>
                </c:pt>
                <c:pt idx="365">
                  <c:v>40902</c:v>
                </c:pt>
                <c:pt idx="366">
                  <c:v>40903</c:v>
                </c:pt>
                <c:pt idx="367">
                  <c:v>40904</c:v>
                </c:pt>
                <c:pt idx="368">
                  <c:v>40905</c:v>
                </c:pt>
                <c:pt idx="369">
                  <c:v>40906</c:v>
                </c:pt>
                <c:pt idx="370">
                  <c:v>40907</c:v>
                </c:pt>
                <c:pt idx="371">
                  <c:v>40908</c:v>
                </c:pt>
                <c:pt idx="372">
                  <c:v>40909</c:v>
                </c:pt>
                <c:pt idx="373">
                  <c:v>40910</c:v>
                </c:pt>
                <c:pt idx="374">
                  <c:v>40911</c:v>
                </c:pt>
              </c:numCache>
            </c:numRef>
          </c:cat>
          <c:val>
            <c:numRef>
              <c:f>Summary!$AK$12:$AK$376</c:f>
              <c:numCache>
                <c:formatCode>General</c:formatCode>
                <c:ptCount val="365"/>
                <c:pt idx="0">
                  <c:v>2179.4000000032229</c:v>
                </c:pt>
                <c:pt idx="1">
                  <c:v>2178.050000003223</c:v>
                </c:pt>
                <c:pt idx="2">
                  <c:v>2178.050000003223</c:v>
                </c:pt>
                <c:pt idx="3">
                  <c:v>2110.6000000030444</c:v>
                </c:pt>
                <c:pt idx="4">
                  <c:v>2246.9000000032843</c:v>
                </c:pt>
                <c:pt idx="5">
                  <c:v>2257.7000000032845</c:v>
                </c:pt>
                <c:pt idx="6">
                  <c:v>2257.7000000032845</c:v>
                </c:pt>
                <c:pt idx="7">
                  <c:v>1996.8400000028362</c:v>
                </c:pt>
                <c:pt idx="8">
                  <c:v>2045.6000000029853</c:v>
                </c:pt>
                <c:pt idx="9">
                  <c:v>1784.8600000025799</c:v>
                </c:pt>
                <c:pt idx="10">
                  <c:v>1614.5200000022551</c:v>
                </c:pt>
                <c:pt idx="11">
                  <c:v>2098.9000000030446</c:v>
                </c:pt>
                <c:pt idx="12">
                  <c:v>2761.4300000042094</c:v>
                </c:pt>
                <c:pt idx="13">
                  <c:v>3262.6000000051185</c:v>
                </c:pt>
                <c:pt idx="14">
                  <c:v>2422.0000000036416</c:v>
                </c:pt>
                <c:pt idx="15">
                  <c:v>1945.1800000028077</c:v>
                </c:pt>
                <c:pt idx="16">
                  <c:v>1627.060000002255</c:v>
                </c:pt>
                <c:pt idx="17">
                  <c:v>1730.0600000024415</c:v>
                </c:pt>
                <c:pt idx="18">
                  <c:v>1864.1600000026351</c:v>
                </c:pt>
                <c:pt idx="19">
                  <c:v>1959.0400000028076</c:v>
                </c:pt>
                <c:pt idx="20">
                  <c:v>1899.8200000027502</c:v>
                </c:pt>
                <c:pt idx="21">
                  <c:v>1730.0600000024415</c:v>
                </c:pt>
                <c:pt idx="22">
                  <c:v>1559.8000000022032</c:v>
                </c:pt>
                <c:pt idx="23">
                  <c:v>1559.8000000022032</c:v>
                </c:pt>
                <c:pt idx="24">
                  <c:v>1471.6000000020322</c:v>
                </c:pt>
                <c:pt idx="25">
                  <c:v>1498.8500000020572</c:v>
                </c:pt>
                <c:pt idx="26">
                  <c:v>1566.6400000022034</c:v>
                </c:pt>
                <c:pt idx="27">
                  <c:v>1582.6000000022291</c:v>
                </c:pt>
                <c:pt idx="28">
                  <c:v>1484.6800000020323</c:v>
                </c:pt>
                <c:pt idx="29">
                  <c:v>1436.7200000019827</c:v>
                </c:pt>
                <c:pt idx="30">
                  <c:v>1291.4000000017395</c:v>
                </c:pt>
                <c:pt idx="31">
                  <c:v>1240.4000000016931</c:v>
                </c:pt>
                <c:pt idx="32">
                  <c:v>1399.3800000019041</c:v>
                </c:pt>
                <c:pt idx="33">
                  <c:v>1525.0100000020818</c:v>
                </c:pt>
                <c:pt idx="34">
                  <c:v>1621.360000002255</c:v>
                </c:pt>
                <c:pt idx="35">
                  <c:v>1510.840000002057</c:v>
                </c:pt>
                <c:pt idx="36">
                  <c:v>1493.4000000020324</c:v>
                </c:pt>
                <c:pt idx="37">
                  <c:v>1356.9800000018558</c:v>
                </c:pt>
                <c:pt idx="38">
                  <c:v>1643.020000002281</c:v>
                </c:pt>
                <c:pt idx="39">
                  <c:v>2287.6000000034378</c:v>
                </c:pt>
                <c:pt idx="40">
                  <c:v>2964.9600000045266</c:v>
                </c:pt>
                <c:pt idx="41">
                  <c:v>2500.6500000037067</c:v>
                </c:pt>
                <c:pt idx="42">
                  <c:v>2046.9000000029855</c:v>
                </c:pt>
                <c:pt idx="43">
                  <c:v>2088.500000003015</c:v>
                </c:pt>
                <c:pt idx="44">
                  <c:v>2010.700000002865</c:v>
                </c:pt>
                <c:pt idx="45">
                  <c:v>1866.6000000026352</c:v>
                </c:pt>
                <c:pt idx="46">
                  <c:v>1956.5200000028076</c:v>
                </c:pt>
                <c:pt idx="47">
                  <c:v>2058.6000000029853</c:v>
                </c:pt>
                <c:pt idx="48">
                  <c:v>2011.9600000028649</c:v>
                </c:pt>
                <c:pt idx="49">
                  <c:v>1893.5200000027503</c:v>
                </c:pt>
                <c:pt idx="50">
                  <c:v>1772.6600000025521</c:v>
                </c:pt>
                <c:pt idx="51">
                  <c:v>1637.3200000022809</c:v>
                </c:pt>
                <c:pt idx="52">
                  <c:v>1798.2800000025798</c:v>
                </c:pt>
                <c:pt idx="53">
                  <c:v>2126.2000000030444</c:v>
                </c:pt>
                <c:pt idx="54">
                  <c:v>2406.6000000035651</c:v>
                </c:pt>
                <c:pt idx="55">
                  <c:v>2627.5800000039976</c:v>
                </c:pt>
                <c:pt idx="56">
                  <c:v>2781.3200000042439</c:v>
                </c:pt>
                <c:pt idx="57">
                  <c:v>2816.5100000042789</c:v>
                </c:pt>
                <c:pt idx="58">
                  <c:v>2958.6400000045269</c:v>
                </c:pt>
                <c:pt idx="59">
                  <c:v>3698.050000005861</c:v>
                </c:pt>
                <c:pt idx="60">
                  <c:v>4453.8800000073124</c:v>
                </c:pt>
                <c:pt idx="61">
                  <c:v>4373.480000007221</c:v>
                </c:pt>
                <c:pt idx="62">
                  <c:v>4357.400000007221</c:v>
                </c:pt>
                <c:pt idx="63">
                  <c:v>4439.8100000072664</c:v>
                </c:pt>
                <c:pt idx="64">
                  <c:v>4540.4000000076139</c:v>
                </c:pt>
                <c:pt idx="65">
                  <c:v>4683.9200000077562</c:v>
                </c:pt>
                <c:pt idx="66">
                  <c:v>4813.8000000080392</c:v>
                </c:pt>
                <c:pt idx="67">
                  <c:v>4980.4000000084534</c:v>
                </c:pt>
                <c:pt idx="68">
                  <c:v>5119.0000000088385</c:v>
                </c:pt>
                <c:pt idx="69">
                  <c:v>5694.1100000098904</c:v>
                </c:pt>
                <c:pt idx="70">
                  <c:v>6265.1200000109438</c:v>
                </c:pt>
                <c:pt idx="71">
                  <c:v>6388.1100000113656</c:v>
                </c:pt>
                <c:pt idx="72">
                  <c:v>6424.370000011425</c:v>
                </c:pt>
                <c:pt idx="73">
                  <c:v>6736.9200000119754</c:v>
                </c:pt>
                <c:pt idx="74">
                  <c:v>6948.0000000126311</c:v>
                </c:pt>
                <c:pt idx="75">
                  <c:v>6948.0000000126311</c:v>
                </c:pt>
                <c:pt idx="76">
                  <c:v>7107.5000000127557</c:v>
                </c:pt>
                <c:pt idx="77">
                  <c:v>7396.0000000137625</c:v>
                </c:pt>
                <c:pt idx="78">
                  <c:v>7987.0000000151267</c:v>
                </c:pt>
                <c:pt idx="79">
                  <c:v>8612.0000000165528</c:v>
                </c:pt>
                <c:pt idx="80">
                  <c:v>8797.2500000167001</c:v>
                </c:pt>
                <c:pt idx="81">
                  <c:v>9766.3600000190472</c:v>
                </c:pt>
                <c:pt idx="82">
                  <c:v>10535.760000020751</c:v>
                </c:pt>
                <c:pt idx="83">
                  <c:v>11165.020000022492</c:v>
                </c:pt>
                <c:pt idx="84">
                  <c:v>11738.670000023616</c:v>
                </c:pt>
                <c:pt idx="85">
                  <c:v>12196.480000024638</c:v>
                </c:pt>
                <c:pt idx="86">
                  <c:v>12549.49000002568</c:v>
                </c:pt>
                <c:pt idx="87">
                  <c:v>12979.420000026741</c:v>
                </c:pt>
                <c:pt idx="88">
                  <c:v>13335.800000027724</c:v>
                </c:pt>
                <c:pt idx="89">
                  <c:v>13589.57000002868</c:v>
                </c:pt>
                <c:pt idx="90">
                  <c:v>13850.060000028887</c:v>
                </c:pt>
                <c:pt idx="91">
                  <c:v>14093.480000029795</c:v>
                </c:pt>
                <c:pt idx="92">
                  <c:v>14271.320000030008</c:v>
                </c:pt>
                <c:pt idx="93">
                  <c:v>14350.880000030114</c:v>
                </c:pt>
                <c:pt idx="94">
                  <c:v>13882.05000002899</c:v>
                </c:pt>
                <c:pt idx="95">
                  <c:v>13909.47000002899</c:v>
                </c:pt>
                <c:pt idx="96">
                  <c:v>13731.240000028783</c:v>
                </c:pt>
                <c:pt idx="97">
                  <c:v>13735.810000028783</c:v>
                </c:pt>
                <c:pt idx="98">
                  <c:v>13923.180000028991</c:v>
                </c:pt>
                <c:pt idx="99">
                  <c:v>14191.760000029901</c:v>
                </c:pt>
                <c:pt idx="100">
                  <c:v>14649.200000031105</c:v>
                </c:pt>
                <c:pt idx="101">
                  <c:v>14999.840000032218</c:v>
                </c:pt>
                <c:pt idx="102">
                  <c:v>16084.230000034913</c:v>
                </c:pt>
                <c:pt idx="103">
                  <c:v>17534.130000037887</c:v>
                </c:pt>
                <c:pt idx="104">
                  <c:v>18194.280000040366</c:v>
                </c:pt>
                <c:pt idx="105">
                  <c:v>17921.020000039174</c:v>
                </c:pt>
                <c:pt idx="106">
                  <c:v>17605.240000038797</c:v>
                </c:pt>
                <c:pt idx="107">
                  <c:v>17583.080000038797</c:v>
                </c:pt>
                <c:pt idx="108">
                  <c:v>17749.280000038925</c:v>
                </c:pt>
                <c:pt idx="109">
                  <c:v>17727.120000038925</c:v>
                </c:pt>
                <c:pt idx="110">
                  <c:v>17458.390000037762</c:v>
                </c:pt>
                <c:pt idx="111">
                  <c:v>17285.270000037643</c:v>
                </c:pt>
                <c:pt idx="112">
                  <c:v>17377.240000037764</c:v>
                </c:pt>
                <c:pt idx="113">
                  <c:v>17765.900000038924</c:v>
                </c:pt>
                <c:pt idx="114">
                  <c:v>18154.450000040364</c:v>
                </c:pt>
                <c:pt idx="115">
                  <c:v>18087.220000039299</c:v>
                </c:pt>
                <c:pt idx="116">
                  <c:v>17976.420000039176</c:v>
                </c:pt>
                <c:pt idx="117">
                  <c:v>18177.210000040366</c:v>
                </c:pt>
                <c:pt idx="118">
                  <c:v>19040.150000042297</c:v>
                </c:pt>
                <c:pt idx="119">
                  <c:v>19527.640000044219</c:v>
                </c:pt>
                <c:pt idx="120">
                  <c:v>19908.840000045748</c:v>
                </c:pt>
                <c:pt idx="121">
                  <c:v>20132.400000046033</c:v>
                </c:pt>
                <c:pt idx="122">
                  <c:v>20113.77000004589</c:v>
                </c:pt>
                <c:pt idx="123">
                  <c:v>20008.20000004589</c:v>
                </c:pt>
                <c:pt idx="124">
                  <c:v>20206.92000004603</c:v>
                </c:pt>
                <c:pt idx="125">
                  <c:v>21604.900000050045</c:v>
                </c:pt>
                <c:pt idx="126">
                  <c:v>22390.990000052181</c:v>
                </c:pt>
                <c:pt idx="127">
                  <c:v>22937.700000054203</c:v>
                </c:pt>
                <c:pt idx="128">
                  <c:v>23014.150000054204</c:v>
                </c:pt>
                <c:pt idx="129">
                  <c:v>23014.150000054204</c:v>
                </c:pt>
                <c:pt idx="130">
                  <c:v>23431.040000056008</c:v>
                </c:pt>
                <c:pt idx="131">
                  <c:v>24697.300000060266</c:v>
                </c:pt>
                <c:pt idx="132">
                  <c:v>24945.79000006061</c:v>
                </c:pt>
                <c:pt idx="133">
                  <c:v>25036.15000006061</c:v>
                </c:pt>
                <c:pt idx="134">
                  <c:v>26823.050000065454</c:v>
                </c:pt>
                <c:pt idx="135">
                  <c:v>28181.340000070162</c:v>
                </c:pt>
                <c:pt idx="136">
                  <c:v>30350.900000075861</c:v>
                </c:pt>
                <c:pt idx="137">
                  <c:v>33294.460000082116</c:v>
                </c:pt>
                <c:pt idx="138">
                  <c:v>34796.680000084853</c:v>
                </c:pt>
                <c:pt idx="139">
                  <c:v>34227.550000084222</c:v>
                </c:pt>
                <c:pt idx="140">
                  <c:v>34563.430000084642</c:v>
                </c:pt>
                <c:pt idx="141">
                  <c:v>36068.3000000885</c:v>
                </c:pt>
                <c:pt idx="142">
                  <c:v>35240.780000086466</c:v>
                </c:pt>
                <c:pt idx="143">
                  <c:v>34190.230000084222</c:v>
                </c:pt>
                <c:pt idx="144">
                  <c:v>33230.130000082121</c:v>
                </c:pt>
                <c:pt idx="145">
                  <c:v>33294.460000082116</c:v>
                </c:pt>
                <c:pt idx="146">
                  <c:v>34096.93000008422</c:v>
                </c:pt>
                <c:pt idx="147">
                  <c:v>34750.030000084851</c:v>
                </c:pt>
                <c:pt idx="148">
                  <c:v>35051.580000086251</c:v>
                </c:pt>
                <c:pt idx="149">
                  <c:v>35184.020000086253</c:v>
                </c:pt>
                <c:pt idx="150">
                  <c:v>35952.980000088493</c:v>
                </c:pt>
                <c:pt idx="151">
                  <c:v>36529.580000088936</c:v>
                </c:pt>
                <c:pt idx="152">
                  <c:v>36770.250000090447</c:v>
                </c:pt>
                <c:pt idx="153">
                  <c:v>36877.500000090673</c:v>
                </c:pt>
                <c:pt idx="154">
                  <c:v>37834.680000092652</c:v>
                </c:pt>
                <c:pt idx="155">
                  <c:v>39106.200000095327</c:v>
                </c:pt>
                <c:pt idx="156">
                  <c:v>40114.800000097588</c:v>
                </c:pt>
                <c:pt idx="157">
                  <c:v>42343.320000102365</c:v>
                </c:pt>
                <c:pt idx="158">
                  <c:v>44827.000000107044</c:v>
                </c:pt>
                <c:pt idx="159">
                  <c:v>45182.860000108492</c:v>
                </c:pt>
                <c:pt idx="160">
                  <c:v>44998.92000010825</c:v>
                </c:pt>
                <c:pt idx="161">
                  <c:v>45940.260000109236</c:v>
                </c:pt>
                <c:pt idx="162">
                  <c:v>46201.810000110592</c:v>
                </c:pt>
                <c:pt idx="163">
                  <c:v>46048.790000110341</c:v>
                </c:pt>
                <c:pt idx="164">
                  <c:v>46354.830000110589</c:v>
                </c:pt>
                <c:pt idx="165">
                  <c:v>46649.940000110844</c:v>
                </c:pt>
                <c:pt idx="166">
                  <c:v>46693.660000110838</c:v>
                </c:pt>
                <c:pt idx="167">
                  <c:v>46912.260000111091</c:v>
                </c:pt>
                <c:pt idx="168">
                  <c:v>47043.420000111335</c:v>
                </c:pt>
                <c:pt idx="169">
                  <c:v>47054.350000111335</c:v>
                </c:pt>
                <c:pt idx="170">
                  <c:v>47396.040000112705</c:v>
                </c:pt>
                <c:pt idx="171">
                  <c:v>47937.000000113214</c:v>
                </c:pt>
                <c:pt idx="172">
                  <c:v>48781.6500001151</c:v>
                </c:pt>
                <c:pt idx="173">
                  <c:v>49418.080000116744</c:v>
                </c:pt>
                <c:pt idx="174">
                  <c:v>49654.540000117006</c:v>
                </c:pt>
                <c:pt idx="175">
                  <c:v>49699.580000117006</c:v>
                </c:pt>
                <c:pt idx="176">
                  <c:v>49665.800000117008</c:v>
                </c:pt>
                <c:pt idx="177">
                  <c:v>49609.500000117005</c:v>
                </c:pt>
                <c:pt idx="178">
                  <c:v>49553.200000117002</c:v>
                </c:pt>
                <c:pt idx="179">
                  <c:v>49665.800000117008</c:v>
                </c:pt>
                <c:pt idx="180">
                  <c:v>50116.200000117511</c:v>
                </c:pt>
                <c:pt idx="181">
                  <c:v>50431.480000117772</c:v>
                </c:pt>
                <c:pt idx="182">
                  <c:v>50352.660000117772</c:v>
                </c:pt>
                <c:pt idx="183">
                  <c:v>50116.200000117511</c:v>
                </c:pt>
                <c:pt idx="184">
                  <c:v>49879.740000117257</c:v>
                </c:pt>
                <c:pt idx="185">
                  <c:v>49305.700000115605</c:v>
                </c:pt>
                <c:pt idx="186">
                  <c:v>48725.9000001151</c:v>
                </c:pt>
                <c:pt idx="187">
                  <c:v>48036.360000113207</c:v>
                </c:pt>
                <c:pt idx="188">
                  <c:v>47274.60000011271</c:v>
                </c:pt>
                <c:pt idx="189">
                  <c:v>46201.810000110592</c:v>
                </c:pt>
                <c:pt idx="190">
                  <c:v>45096.300000108495</c:v>
                </c:pt>
                <c:pt idx="191">
                  <c:v>43811.000000105079</c:v>
                </c:pt>
                <c:pt idx="192">
                  <c:v>42846.40000010412</c:v>
                </c:pt>
                <c:pt idx="193">
                  <c:v>41809.350000101891</c:v>
                </c:pt>
                <c:pt idx="194">
                  <c:v>40983.000000099724</c:v>
                </c:pt>
                <c:pt idx="195">
                  <c:v>40389.390000097817</c:v>
                </c:pt>
                <c:pt idx="196">
                  <c:v>39819.870000097115</c:v>
                </c:pt>
                <c:pt idx="197">
                  <c:v>39517.430000095555</c:v>
                </c:pt>
                <c:pt idx="198">
                  <c:v>39206.50000009533</c:v>
                </c:pt>
                <c:pt idx="199">
                  <c:v>39246.620000095325</c:v>
                </c:pt>
                <c:pt idx="200">
                  <c:v>39186.440000095325</c:v>
                </c:pt>
                <c:pt idx="201">
                  <c:v>39076.110000095097</c:v>
                </c:pt>
                <c:pt idx="202">
                  <c:v>39046.020000095101</c:v>
                </c:pt>
                <c:pt idx="203">
                  <c:v>39025.960000095103</c:v>
                </c:pt>
                <c:pt idx="204">
                  <c:v>38975.810000095102</c:v>
                </c:pt>
                <c:pt idx="205">
                  <c:v>38905.600000095095</c:v>
                </c:pt>
                <c:pt idx="206">
                  <c:v>38825.360000094872</c:v>
                </c:pt>
                <c:pt idx="207">
                  <c:v>38745.120000094874</c:v>
                </c:pt>
                <c:pt idx="208">
                  <c:v>38675.330000093549</c:v>
                </c:pt>
                <c:pt idx="209">
                  <c:v>38546.760000093316</c:v>
                </c:pt>
                <c:pt idx="210">
                  <c:v>38536.870000093317</c:v>
                </c:pt>
                <c:pt idx="211">
                  <c:v>38576.430000093322</c:v>
                </c:pt>
                <c:pt idx="212">
                  <c:v>38526.980000093317</c:v>
                </c:pt>
                <c:pt idx="213">
                  <c:v>38378.630000093326</c:v>
                </c:pt>
                <c:pt idx="214">
                  <c:v>38161.050000093099</c:v>
                </c:pt>
                <c:pt idx="215">
                  <c:v>37923.690000092873</c:v>
                </c:pt>
                <c:pt idx="216">
                  <c:v>37755.56000009265</c:v>
                </c:pt>
                <c:pt idx="217">
                  <c:v>37589.250000091117</c:v>
                </c:pt>
                <c:pt idx="218">
                  <c:v>37433.250000091117</c:v>
                </c:pt>
                <c:pt idx="219">
                  <c:v>37277.250000090891</c:v>
                </c:pt>
                <c:pt idx="220">
                  <c:v>37150.500000090891</c:v>
                </c:pt>
                <c:pt idx="221">
                  <c:v>37092.000000090673</c:v>
                </c:pt>
                <c:pt idx="222">
                  <c:v>37004.250000090673</c:v>
                </c:pt>
                <c:pt idx="223">
                  <c:v>36887.250000090673</c:v>
                </c:pt>
                <c:pt idx="224">
                  <c:v>36741.000000090447</c:v>
                </c:pt>
                <c:pt idx="225">
                  <c:v>36606.460000088933</c:v>
                </c:pt>
                <c:pt idx="226">
                  <c:v>36443.090000088931</c:v>
                </c:pt>
                <c:pt idx="227">
                  <c:v>36308.550000088711</c:v>
                </c:pt>
                <c:pt idx="228">
                  <c:v>36077.910000088501</c:v>
                </c:pt>
                <c:pt idx="229">
                  <c:v>35914.540000088491</c:v>
                </c:pt>
                <c:pt idx="230">
                  <c:v>35704.320000086896</c:v>
                </c:pt>
                <c:pt idx="231">
                  <c:v>35638.100000086684</c:v>
                </c:pt>
                <c:pt idx="232">
                  <c:v>35818.440000088274</c:v>
                </c:pt>
                <c:pt idx="233">
                  <c:v>35885.710000088278</c:v>
                </c:pt>
                <c:pt idx="234">
                  <c:v>35723.240000086902</c:v>
                </c:pt>
                <c:pt idx="235">
                  <c:v>35486.740000086684</c:v>
                </c:pt>
                <c:pt idx="236">
                  <c:v>35288.080000086469</c:v>
                </c:pt>
                <c:pt idx="237">
                  <c:v>35155.640000086256</c:v>
                </c:pt>
                <c:pt idx="238">
                  <c:v>35089.420000086255</c:v>
                </c:pt>
                <c:pt idx="239">
                  <c:v>35165.100000086255</c:v>
                </c:pt>
                <c:pt idx="240">
                  <c:v>35165.100000086255</c:v>
                </c:pt>
                <c:pt idx="241">
                  <c:v>35202.94000008647</c:v>
                </c:pt>
                <c:pt idx="242">
                  <c:v>35155.640000086256</c:v>
                </c:pt>
                <c:pt idx="243">
                  <c:v>35070.500000086256</c:v>
                </c:pt>
                <c:pt idx="244">
                  <c:v>34947.520000086035</c:v>
                </c:pt>
                <c:pt idx="245">
                  <c:v>34787.350000084858</c:v>
                </c:pt>
                <c:pt idx="246">
                  <c:v>34600.750000084641</c:v>
                </c:pt>
                <c:pt idx="247">
                  <c:v>34460.800000084433</c:v>
                </c:pt>
                <c:pt idx="248">
                  <c:v>34274.200000084427</c:v>
                </c:pt>
                <c:pt idx="249">
                  <c:v>34180.900000084221</c:v>
                </c:pt>
                <c:pt idx="250">
                  <c:v>34059.61000008422</c:v>
                </c:pt>
                <c:pt idx="251">
                  <c:v>33919.660000084004</c:v>
                </c:pt>
                <c:pt idx="252">
                  <c:v>33763.150000082533</c:v>
                </c:pt>
                <c:pt idx="253">
                  <c:v>33588.540000082539</c:v>
                </c:pt>
                <c:pt idx="254">
                  <c:v>33413.930000082328</c:v>
                </c:pt>
                <c:pt idx="255">
                  <c:v>33239.320000082116</c:v>
                </c:pt>
                <c:pt idx="256">
                  <c:v>33055.52000008191</c:v>
                </c:pt>
                <c:pt idx="257">
                  <c:v>32864.350000080456</c:v>
                </c:pt>
                <c:pt idx="258">
                  <c:v>32647.150000080459</c:v>
                </c:pt>
                <c:pt idx="259">
                  <c:v>32457.100000080252</c:v>
                </c:pt>
                <c:pt idx="260">
                  <c:v>32167.500000079839</c:v>
                </c:pt>
                <c:pt idx="261">
                  <c:v>31880.760000078488</c:v>
                </c:pt>
                <c:pt idx="262">
                  <c:v>31577.480000078285</c:v>
                </c:pt>
                <c:pt idx="263">
                  <c:v>31515.040000078083</c:v>
                </c:pt>
                <c:pt idx="264">
                  <c:v>31515.040000078083</c:v>
                </c:pt>
                <c:pt idx="265">
                  <c:v>30912.820000076459</c:v>
                </c:pt>
                <c:pt idx="266">
                  <c:v>30211.850000074737</c:v>
                </c:pt>
                <c:pt idx="267">
                  <c:v>29658.250000074149</c:v>
                </c:pt>
                <c:pt idx="268">
                  <c:v>28973.400000072452</c:v>
                </c:pt>
                <c:pt idx="269">
                  <c:v>28423.200000070352</c:v>
                </c:pt>
                <c:pt idx="270">
                  <c:v>27839.400000069785</c:v>
                </c:pt>
                <c:pt idx="271">
                  <c:v>27292.02000006774</c:v>
                </c:pt>
                <c:pt idx="272">
                  <c:v>26680.310000065449</c:v>
                </c:pt>
                <c:pt idx="273">
                  <c:v>26040.64000006318</c:v>
                </c:pt>
                <c:pt idx="274">
                  <c:v>25429.180000062654</c:v>
                </c:pt>
                <c:pt idx="275">
                  <c:v>24772.600000060436</c:v>
                </c:pt>
                <c:pt idx="276">
                  <c:v>24027.460000058243</c:v>
                </c:pt>
                <c:pt idx="277">
                  <c:v>23273.960000056009</c:v>
                </c:pt>
                <c:pt idx="278">
                  <c:v>22513.750000053729</c:v>
                </c:pt>
                <c:pt idx="279">
                  <c:v>21762.580000050191</c:v>
                </c:pt>
                <c:pt idx="280">
                  <c:v>21145.000000049597</c:v>
                </c:pt>
                <c:pt idx="281">
                  <c:v>20405.640000046173</c:v>
                </c:pt>
                <c:pt idx="282">
                  <c:v>19708.840000044358</c:v>
                </c:pt>
                <c:pt idx="283">
                  <c:v>19063.550000042433</c:v>
                </c:pt>
                <c:pt idx="284">
                  <c:v>18524.300000040752</c:v>
                </c:pt>
                <c:pt idx="285">
                  <c:v>17682.800000038922</c:v>
                </c:pt>
                <c:pt idx="286">
                  <c:v>17139.200000037519</c:v>
                </c:pt>
                <c:pt idx="287">
                  <c:v>16719.480000036256</c:v>
                </c:pt>
                <c:pt idx="288">
                  <c:v>16197.970000035029</c:v>
                </c:pt>
                <c:pt idx="289">
                  <c:v>15633.200000033577</c:v>
                </c:pt>
                <c:pt idx="290">
                  <c:v>15049.040000032219</c:v>
                </c:pt>
                <c:pt idx="291">
                  <c:v>14472.560000030222</c:v>
                </c:pt>
                <c:pt idx="292">
                  <c:v>13859.200000028888</c:v>
                </c:pt>
                <c:pt idx="293">
                  <c:v>13389.200000027724</c:v>
                </c:pt>
                <c:pt idx="294">
                  <c:v>12914.320000026644</c:v>
                </c:pt>
                <c:pt idx="295">
                  <c:v>12541.030000025583</c:v>
                </c:pt>
                <c:pt idx="296">
                  <c:v>12258.28000002473</c:v>
                </c:pt>
                <c:pt idx="297">
                  <c:v>11858.970000023706</c:v>
                </c:pt>
                <c:pt idx="298">
                  <c:v>11494.060000023341</c:v>
                </c:pt>
                <c:pt idx="299">
                  <c:v>11044.800000021773</c:v>
                </c:pt>
                <c:pt idx="300">
                  <c:v>10744.600000021428</c:v>
                </c:pt>
                <c:pt idx="301">
                  <c:v>10461.560000020667</c:v>
                </c:pt>
                <c:pt idx="302">
                  <c:v>10089.740000019781</c:v>
                </c:pt>
                <c:pt idx="303">
                  <c:v>9766.3600000190472</c:v>
                </c:pt>
                <c:pt idx="304">
                  <c:v>9487.7200000183802</c:v>
                </c:pt>
                <c:pt idx="305">
                  <c:v>9487.7200000183802</c:v>
                </c:pt>
                <c:pt idx="306">
                  <c:v>9053.900000017391</c:v>
                </c:pt>
                <c:pt idx="307">
                  <c:v>8748.5000000167001</c:v>
                </c:pt>
                <c:pt idx="308">
                  <c:v>8352.0600000159284</c:v>
                </c:pt>
                <c:pt idx="309">
                  <c:v>7620.0700000139614</c:v>
                </c:pt>
                <c:pt idx="310">
                  <c:v>9288.200000018147</c:v>
                </c:pt>
                <c:pt idx="311">
                  <c:v>8621.7500000165528</c:v>
                </c:pt>
                <c:pt idx="312">
                  <c:v>4987.0000000085038</c:v>
                </c:pt>
                <c:pt idx="313">
                  <c:v>2867.0000000044547</c:v>
                </c:pt>
                <c:pt idx="314">
                  <c:v>2599.270000003964</c:v>
                </c:pt>
                <c:pt idx="315">
                  <c:v>2367.4000000035016</c:v>
                </c:pt>
                <c:pt idx="316">
                  <c:v>22154.040000052028</c:v>
                </c:pt>
                <c:pt idx="317">
                  <c:v>23773.760000056333</c:v>
                </c:pt>
                <c:pt idx="318">
                  <c:v>18603.960000040752</c:v>
                </c:pt>
                <c:pt idx="319">
                  <c:v>13496.000000027825</c:v>
                </c:pt>
                <c:pt idx="320">
                  <c:v>7506.5800000138943</c:v>
                </c:pt>
                <c:pt idx="321">
                  <c:v>3925.2000000064368</c:v>
                </c:pt>
                <c:pt idx="322">
                  <c:v>2839.4600000042792</c:v>
                </c:pt>
                <c:pt idx="323">
                  <c:v>1754.8400000024685</c:v>
                </c:pt>
                <c:pt idx="324">
                  <c:v>1725.3400000024415</c:v>
                </c:pt>
                <c:pt idx="325">
                  <c:v>1695.8400000024149</c:v>
                </c:pt>
                <c:pt idx="326">
                  <c:v>1764.2800000024683</c:v>
                </c:pt>
                <c:pt idx="327">
                  <c:v>1794.6200000025799</c:v>
                </c:pt>
                <c:pt idx="328">
                  <c:v>1692.3000000023881</c:v>
                </c:pt>
                <c:pt idx="329">
                  <c:v>1686.400000002388</c:v>
                </c:pt>
                <c:pt idx="330">
                  <c:v>1912.420000002779</c:v>
                </c:pt>
                <c:pt idx="331">
                  <c:v>2151.0500000031925</c:v>
                </c:pt>
                <c:pt idx="332">
                  <c:v>2366.0000000035016</c:v>
                </c:pt>
                <c:pt idx="333">
                  <c:v>3245.8000000050806</c:v>
                </c:pt>
                <c:pt idx="334">
                  <c:v>2597.7800000039638</c:v>
                </c:pt>
                <c:pt idx="335">
                  <c:v>1801.9400000025798</c:v>
                </c:pt>
                <c:pt idx="336">
                  <c:v>1898.5600000027503</c:v>
                </c:pt>
                <c:pt idx="337">
                  <c:v>1860.5000000026353</c:v>
                </c:pt>
                <c:pt idx="338">
                  <c:v>1799.5000000025798</c:v>
                </c:pt>
                <c:pt idx="339">
                  <c:v>1891.0000000027503</c:v>
                </c:pt>
                <c:pt idx="340">
                  <c:v>1991.8000000028362</c:v>
                </c:pt>
                <c:pt idx="341">
                  <c:v>2052.1000000029853</c:v>
                </c:pt>
                <c:pt idx="342">
                  <c:v>1845.8600000026354</c:v>
                </c:pt>
                <c:pt idx="343">
                  <c:v>1705.2800000024147</c:v>
                </c:pt>
                <c:pt idx="344">
                  <c:v>1948.9600000028076</c:v>
                </c:pt>
                <c:pt idx="345">
                  <c:v>2033.9000000029855</c:v>
                </c:pt>
                <c:pt idx="346">
                  <c:v>2122.3000000030447</c:v>
                </c:pt>
                <c:pt idx="347">
                  <c:v>1945.1800000028077</c:v>
                </c:pt>
                <c:pt idx="348">
                  <c:v>1621.360000002255</c:v>
                </c:pt>
                <c:pt idx="349">
                  <c:v>1812.9200000025796</c:v>
                </c:pt>
                <c:pt idx="350">
                  <c:v>1937.6200000027791</c:v>
                </c:pt>
                <c:pt idx="351">
                  <c:v>1984.2400000028363</c:v>
                </c:pt>
                <c:pt idx="352">
                  <c:v>1901.0800000027502</c:v>
                </c:pt>
                <c:pt idx="353">
                  <c:v>2050.8000000029856</c:v>
                </c:pt>
                <c:pt idx="354">
                  <c:v>2056.0000000029854</c:v>
                </c:pt>
                <c:pt idx="355">
                  <c:v>2083.3000000030152</c:v>
                </c:pt>
                <c:pt idx="356">
                  <c:v>2102.8000000030447</c:v>
                </c:pt>
                <c:pt idx="357">
                  <c:v>2109.3000000030447</c:v>
                </c:pt>
                <c:pt idx="358">
                  <c:v>2075.500000003015</c:v>
                </c:pt>
                <c:pt idx="359">
                  <c:v>2075.500000003015</c:v>
                </c:pt>
                <c:pt idx="360">
                  <c:v>1858.0600000026352</c:v>
                </c:pt>
                <c:pt idx="361">
                  <c:v>3120.5800000047884</c:v>
                </c:pt>
                <c:pt idx="362">
                  <c:v>2549.2700000037717</c:v>
                </c:pt>
                <c:pt idx="363">
                  <c:v>2013.2200000028649</c:v>
                </c:pt>
                <c:pt idx="364">
                  <c:v>1579.1800000022031</c:v>
                </c:pt>
              </c:numCache>
            </c:numRef>
          </c:val>
        </c:ser>
        <c:ser>
          <c:idx val="6"/>
          <c:order val="6"/>
          <c:tx>
            <c:strRef>
              <c:f>Summary!$AL$2</c:f>
              <c:strCache>
                <c:ptCount val="1"/>
                <c:pt idx="0">
                  <c:v>2009 HHD Total Storage (including 1220 AF dead storage)</c:v>
                </c:pt>
              </c:strCache>
            </c:strRef>
          </c:tx>
          <c:spPr>
            <a:ln w="6350">
              <a:prstDash val="dash"/>
            </a:ln>
          </c:spPr>
          <c:marker>
            <c:symbol val="none"/>
          </c:marker>
          <c:cat>
            <c:numRef>
              <c:f>Summary!$A$5:$A$380</c:f>
              <c:numCache>
                <c:formatCode>[$-409]d\-mmm;@</c:formatCode>
                <c:ptCount val="376"/>
                <c:pt idx="0">
                  <c:v>40537</c:v>
                </c:pt>
                <c:pt idx="1">
                  <c:v>40538</c:v>
                </c:pt>
                <c:pt idx="2">
                  <c:v>40539</c:v>
                </c:pt>
                <c:pt idx="3">
                  <c:v>40540</c:v>
                </c:pt>
                <c:pt idx="4">
                  <c:v>40541</c:v>
                </c:pt>
                <c:pt idx="5">
                  <c:v>40542</c:v>
                </c:pt>
                <c:pt idx="6">
                  <c:v>40543</c:v>
                </c:pt>
                <c:pt idx="7">
                  <c:v>40544</c:v>
                </c:pt>
                <c:pt idx="8">
                  <c:v>40545</c:v>
                </c:pt>
                <c:pt idx="9">
                  <c:v>40546</c:v>
                </c:pt>
                <c:pt idx="10">
                  <c:v>40547</c:v>
                </c:pt>
                <c:pt idx="11">
                  <c:v>40548</c:v>
                </c:pt>
                <c:pt idx="12">
                  <c:v>40549</c:v>
                </c:pt>
                <c:pt idx="13">
                  <c:v>40550</c:v>
                </c:pt>
                <c:pt idx="14">
                  <c:v>40551</c:v>
                </c:pt>
                <c:pt idx="15">
                  <c:v>40552</c:v>
                </c:pt>
                <c:pt idx="16">
                  <c:v>40553</c:v>
                </c:pt>
                <c:pt idx="17">
                  <c:v>40554</c:v>
                </c:pt>
                <c:pt idx="18">
                  <c:v>40555</c:v>
                </c:pt>
                <c:pt idx="19">
                  <c:v>40556</c:v>
                </c:pt>
                <c:pt idx="20">
                  <c:v>40557</c:v>
                </c:pt>
                <c:pt idx="21">
                  <c:v>40558</c:v>
                </c:pt>
                <c:pt idx="22">
                  <c:v>40559</c:v>
                </c:pt>
                <c:pt idx="23">
                  <c:v>40560</c:v>
                </c:pt>
                <c:pt idx="24">
                  <c:v>40561</c:v>
                </c:pt>
                <c:pt idx="25">
                  <c:v>40562</c:v>
                </c:pt>
                <c:pt idx="26">
                  <c:v>40563</c:v>
                </c:pt>
                <c:pt idx="27">
                  <c:v>40564</c:v>
                </c:pt>
                <c:pt idx="28">
                  <c:v>40565</c:v>
                </c:pt>
                <c:pt idx="29">
                  <c:v>40566</c:v>
                </c:pt>
                <c:pt idx="30">
                  <c:v>40567</c:v>
                </c:pt>
                <c:pt idx="31">
                  <c:v>40568</c:v>
                </c:pt>
                <c:pt idx="32">
                  <c:v>40569</c:v>
                </c:pt>
                <c:pt idx="33">
                  <c:v>40570</c:v>
                </c:pt>
                <c:pt idx="34">
                  <c:v>40571</c:v>
                </c:pt>
                <c:pt idx="35">
                  <c:v>40572</c:v>
                </c:pt>
                <c:pt idx="36">
                  <c:v>40573</c:v>
                </c:pt>
                <c:pt idx="37">
                  <c:v>40574</c:v>
                </c:pt>
                <c:pt idx="38">
                  <c:v>40575</c:v>
                </c:pt>
                <c:pt idx="39">
                  <c:v>40576</c:v>
                </c:pt>
                <c:pt idx="40">
                  <c:v>40577</c:v>
                </c:pt>
                <c:pt idx="41">
                  <c:v>40578</c:v>
                </c:pt>
                <c:pt idx="42">
                  <c:v>40579</c:v>
                </c:pt>
                <c:pt idx="43">
                  <c:v>40580</c:v>
                </c:pt>
                <c:pt idx="44">
                  <c:v>40581</c:v>
                </c:pt>
                <c:pt idx="45">
                  <c:v>40582</c:v>
                </c:pt>
                <c:pt idx="46">
                  <c:v>40583</c:v>
                </c:pt>
                <c:pt idx="47">
                  <c:v>40584</c:v>
                </c:pt>
                <c:pt idx="48">
                  <c:v>40585</c:v>
                </c:pt>
                <c:pt idx="49">
                  <c:v>40586</c:v>
                </c:pt>
                <c:pt idx="50">
                  <c:v>40587</c:v>
                </c:pt>
                <c:pt idx="51">
                  <c:v>40588</c:v>
                </c:pt>
                <c:pt idx="52">
                  <c:v>40589</c:v>
                </c:pt>
                <c:pt idx="53">
                  <c:v>40590</c:v>
                </c:pt>
                <c:pt idx="54">
                  <c:v>40591</c:v>
                </c:pt>
                <c:pt idx="55">
                  <c:v>40592</c:v>
                </c:pt>
                <c:pt idx="56">
                  <c:v>40593</c:v>
                </c:pt>
                <c:pt idx="57">
                  <c:v>40594</c:v>
                </c:pt>
                <c:pt idx="58">
                  <c:v>40595</c:v>
                </c:pt>
                <c:pt idx="59">
                  <c:v>40596</c:v>
                </c:pt>
                <c:pt idx="60">
                  <c:v>40597</c:v>
                </c:pt>
                <c:pt idx="61">
                  <c:v>40598</c:v>
                </c:pt>
                <c:pt idx="62">
                  <c:v>40599</c:v>
                </c:pt>
                <c:pt idx="63">
                  <c:v>40600</c:v>
                </c:pt>
                <c:pt idx="64">
                  <c:v>40601</c:v>
                </c:pt>
                <c:pt idx="65">
                  <c:v>40602</c:v>
                </c:pt>
                <c:pt idx="66">
                  <c:v>40603</c:v>
                </c:pt>
                <c:pt idx="67">
                  <c:v>40604</c:v>
                </c:pt>
                <c:pt idx="68">
                  <c:v>40605</c:v>
                </c:pt>
                <c:pt idx="69">
                  <c:v>40606</c:v>
                </c:pt>
                <c:pt idx="70">
                  <c:v>40607</c:v>
                </c:pt>
                <c:pt idx="71">
                  <c:v>40608</c:v>
                </c:pt>
                <c:pt idx="72">
                  <c:v>40609</c:v>
                </c:pt>
                <c:pt idx="73">
                  <c:v>40610</c:v>
                </c:pt>
                <c:pt idx="74">
                  <c:v>40611</c:v>
                </c:pt>
                <c:pt idx="75">
                  <c:v>40612</c:v>
                </c:pt>
                <c:pt idx="76">
                  <c:v>40613</c:v>
                </c:pt>
                <c:pt idx="77">
                  <c:v>40614</c:v>
                </c:pt>
                <c:pt idx="78">
                  <c:v>40615</c:v>
                </c:pt>
                <c:pt idx="79">
                  <c:v>40616</c:v>
                </c:pt>
                <c:pt idx="80">
                  <c:v>40617</c:v>
                </c:pt>
                <c:pt idx="81">
                  <c:v>40618</c:v>
                </c:pt>
                <c:pt idx="82">
                  <c:v>40619</c:v>
                </c:pt>
                <c:pt idx="83">
                  <c:v>40620</c:v>
                </c:pt>
                <c:pt idx="84">
                  <c:v>40621</c:v>
                </c:pt>
                <c:pt idx="85">
                  <c:v>40622</c:v>
                </c:pt>
                <c:pt idx="86">
                  <c:v>40623</c:v>
                </c:pt>
                <c:pt idx="87">
                  <c:v>40624</c:v>
                </c:pt>
                <c:pt idx="88">
                  <c:v>40625</c:v>
                </c:pt>
                <c:pt idx="89">
                  <c:v>40626</c:v>
                </c:pt>
                <c:pt idx="90">
                  <c:v>40627</c:v>
                </c:pt>
                <c:pt idx="91">
                  <c:v>40628</c:v>
                </c:pt>
                <c:pt idx="92">
                  <c:v>40629</c:v>
                </c:pt>
                <c:pt idx="93">
                  <c:v>40630</c:v>
                </c:pt>
                <c:pt idx="94">
                  <c:v>40631</c:v>
                </c:pt>
                <c:pt idx="95">
                  <c:v>40632</c:v>
                </c:pt>
                <c:pt idx="96">
                  <c:v>40633</c:v>
                </c:pt>
                <c:pt idx="97">
                  <c:v>40634</c:v>
                </c:pt>
                <c:pt idx="98">
                  <c:v>40635</c:v>
                </c:pt>
                <c:pt idx="99">
                  <c:v>40636</c:v>
                </c:pt>
                <c:pt idx="100">
                  <c:v>40637</c:v>
                </c:pt>
                <c:pt idx="101">
                  <c:v>40638</c:v>
                </c:pt>
                <c:pt idx="102">
                  <c:v>40639</c:v>
                </c:pt>
                <c:pt idx="103">
                  <c:v>40640</c:v>
                </c:pt>
                <c:pt idx="104">
                  <c:v>40641</c:v>
                </c:pt>
                <c:pt idx="105">
                  <c:v>40642</c:v>
                </c:pt>
                <c:pt idx="106">
                  <c:v>40643</c:v>
                </c:pt>
                <c:pt idx="107">
                  <c:v>40644</c:v>
                </c:pt>
                <c:pt idx="108">
                  <c:v>40645</c:v>
                </c:pt>
                <c:pt idx="109">
                  <c:v>40646</c:v>
                </c:pt>
                <c:pt idx="110">
                  <c:v>40647</c:v>
                </c:pt>
                <c:pt idx="111">
                  <c:v>40648</c:v>
                </c:pt>
                <c:pt idx="112">
                  <c:v>40649</c:v>
                </c:pt>
                <c:pt idx="113">
                  <c:v>40650</c:v>
                </c:pt>
                <c:pt idx="114">
                  <c:v>40651</c:v>
                </c:pt>
                <c:pt idx="115">
                  <c:v>40652</c:v>
                </c:pt>
                <c:pt idx="116">
                  <c:v>40653</c:v>
                </c:pt>
                <c:pt idx="117">
                  <c:v>40654</c:v>
                </c:pt>
                <c:pt idx="118">
                  <c:v>40655</c:v>
                </c:pt>
                <c:pt idx="119">
                  <c:v>40656</c:v>
                </c:pt>
                <c:pt idx="120">
                  <c:v>40657</c:v>
                </c:pt>
                <c:pt idx="121">
                  <c:v>40658</c:v>
                </c:pt>
                <c:pt idx="122">
                  <c:v>40659</c:v>
                </c:pt>
                <c:pt idx="123">
                  <c:v>40660</c:v>
                </c:pt>
                <c:pt idx="124">
                  <c:v>40661</c:v>
                </c:pt>
                <c:pt idx="125">
                  <c:v>40662</c:v>
                </c:pt>
                <c:pt idx="126">
                  <c:v>40663</c:v>
                </c:pt>
                <c:pt idx="127">
                  <c:v>40664</c:v>
                </c:pt>
                <c:pt idx="128">
                  <c:v>40665</c:v>
                </c:pt>
                <c:pt idx="129">
                  <c:v>40666</c:v>
                </c:pt>
                <c:pt idx="130">
                  <c:v>40667</c:v>
                </c:pt>
                <c:pt idx="131">
                  <c:v>40668</c:v>
                </c:pt>
                <c:pt idx="132">
                  <c:v>40669</c:v>
                </c:pt>
                <c:pt idx="133">
                  <c:v>40670</c:v>
                </c:pt>
                <c:pt idx="134">
                  <c:v>40671</c:v>
                </c:pt>
                <c:pt idx="135">
                  <c:v>40672</c:v>
                </c:pt>
                <c:pt idx="136">
                  <c:v>40673</c:v>
                </c:pt>
                <c:pt idx="137">
                  <c:v>40674</c:v>
                </c:pt>
                <c:pt idx="138">
                  <c:v>40675</c:v>
                </c:pt>
                <c:pt idx="139">
                  <c:v>40676</c:v>
                </c:pt>
                <c:pt idx="140">
                  <c:v>40677</c:v>
                </c:pt>
                <c:pt idx="141">
                  <c:v>40678</c:v>
                </c:pt>
                <c:pt idx="142">
                  <c:v>40679</c:v>
                </c:pt>
                <c:pt idx="143">
                  <c:v>40680</c:v>
                </c:pt>
                <c:pt idx="144">
                  <c:v>40681</c:v>
                </c:pt>
                <c:pt idx="145">
                  <c:v>40682</c:v>
                </c:pt>
                <c:pt idx="146">
                  <c:v>40683</c:v>
                </c:pt>
                <c:pt idx="147">
                  <c:v>40684</c:v>
                </c:pt>
                <c:pt idx="148">
                  <c:v>40685</c:v>
                </c:pt>
                <c:pt idx="149">
                  <c:v>40686</c:v>
                </c:pt>
                <c:pt idx="150">
                  <c:v>40687</c:v>
                </c:pt>
                <c:pt idx="151">
                  <c:v>40688</c:v>
                </c:pt>
                <c:pt idx="152">
                  <c:v>40689</c:v>
                </c:pt>
                <c:pt idx="153">
                  <c:v>40690</c:v>
                </c:pt>
                <c:pt idx="154">
                  <c:v>40691</c:v>
                </c:pt>
                <c:pt idx="155">
                  <c:v>40692</c:v>
                </c:pt>
                <c:pt idx="156">
                  <c:v>40693</c:v>
                </c:pt>
                <c:pt idx="157">
                  <c:v>40694</c:v>
                </c:pt>
                <c:pt idx="158">
                  <c:v>40695</c:v>
                </c:pt>
                <c:pt idx="159">
                  <c:v>40696</c:v>
                </c:pt>
                <c:pt idx="160">
                  <c:v>40697</c:v>
                </c:pt>
                <c:pt idx="161">
                  <c:v>40698</c:v>
                </c:pt>
                <c:pt idx="162">
                  <c:v>40699</c:v>
                </c:pt>
                <c:pt idx="163">
                  <c:v>40700</c:v>
                </c:pt>
                <c:pt idx="164">
                  <c:v>40701</c:v>
                </c:pt>
                <c:pt idx="165">
                  <c:v>40702</c:v>
                </c:pt>
                <c:pt idx="166">
                  <c:v>40703</c:v>
                </c:pt>
                <c:pt idx="167">
                  <c:v>40704</c:v>
                </c:pt>
                <c:pt idx="168">
                  <c:v>40705</c:v>
                </c:pt>
                <c:pt idx="169">
                  <c:v>40706</c:v>
                </c:pt>
                <c:pt idx="170">
                  <c:v>40707</c:v>
                </c:pt>
                <c:pt idx="171">
                  <c:v>40708</c:v>
                </c:pt>
                <c:pt idx="172">
                  <c:v>40709</c:v>
                </c:pt>
                <c:pt idx="173">
                  <c:v>40710</c:v>
                </c:pt>
                <c:pt idx="174">
                  <c:v>40711</c:v>
                </c:pt>
                <c:pt idx="175">
                  <c:v>40712</c:v>
                </c:pt>
                <c:pt idx="176">
                  <c:v>40713</c:v>
                </c:pt>
                <c:pt idx="177">
                  <c:v>40714</c:v>
                </c:pt>
                <c:pt idx="178">
                  <c:v>40715</c:v>
                </c:pt>
                <c:pt idx="179">
                  <c:v>40716</c:v>
                </c:pt>
                <c:pt idx="180">
                  <c:v>40717</c:v>
                </c:pt>
                <c:pt idx="181">
                  <c:v>40718</c:v>
                </c:pt>
                <c:pt idx="182">
                  <c:v>40719</c:v>
                </c:pt>
                <c:pt idx="183">
                  <c:v>40720</c:v>
                </c:pt>
                <c:pt idx="184">
                  <c:v>40721</c:v>
                </c:pt>
                <c:pt idx="185">
                  <c:v>40722</c:v>
                </c:pt>
                <c:pt idx="186">
                  <c:v>40723</c:v>
                </c:pt>
                <c:pt idx="187">
                  <c:v>40724</c:v>
                </c:pt>
                <c:pt idx="188">
                  <c:v>40725</c:v>
                </c:pt>
                <c:pt idx="189">
                  <c:v>40726</c:v>
                </c:pt>
                <c:pt idx="190">
                  <c:v>40727</c:v>
                </c:pt>
                <c:pt idx="191">
                  <c:v>40728</c:v>
                </c:pt>
                <c:pt idx="192">
                  <c:v>40729</c:v>
                </c:pt>
                <c:pt idx="193">
                  <c:v>40730</c:v>
                </c:pt>
                <c:pt idx="194">
                  <c:v>40731</c:v>
                </c:pt>
                <c:pt idx="195">
                  <c:v>40732</c:v>
                </c:pt>
                <c:pt idx="196">
                  <c:v>40733</c:v>
                </c:pt>
                <c:pt idx="197">
                  <c:v>40734</c:v>
                </c:pt>
                <c:pt idx="198">
                  <c:v>40735</c:v>
                </c:pt>
                <c:pt idx="199">
                  <c:v>40736</c:v>
                </c:pt>
                <c:pt idx="200">
                  <c:v>40737</c:v>
                </c:pt>
                <c:pt idx="201">
                  <c:v>40738</c:v>
                </c:pt>
                <c:pt idx="202">
                  <c:v>40739</c:v>
                </c:pt>
                <c:pt idx="203">
                  <c:v>40740</c:v>
                </c:pt>
                <c:pt idx="204">
                  <c:v>40741</c:v>
                </c:pt>
                <c:pt idx="205">
                  <c:v>40742</c:v>
                </c:pt>
                <c:pt idx="206">
                  <c:v>40743</c:v>
                </c:pt>
                <c:pt idx="207">
                  <c:v>40744</c:v>
                </c:pt>
                <c:pt idx="208">
                  <c:v>40745</c:v>
                </c:pt>
                <c:pt idx="209">
                  <c:v>40746</c:v>
                </c:pt>
                <c:pt idx="210">
                  <c:v>40747</c:v>
                </c:pt>
                <c:pt idx="211">
                  <c:v>40748</c:v>
                </c:pt>
                <c:pt idx="212">
                  <c:v>40749</c:v>
                </c:pt>
                <c:pt idx="213">
                  <c:v>40750</c:v>
                </c:pt>
                <c:pt idx="214">
                  <c:v>40751</c:v>
                </c:pt>
                <c:pt idx="215">
                  <c:v>40752</c:v>
                </c:pt>
                <c:pt idx="216">
                  <c:v>40753</c:v>
                </c:pt>
                <c:pt idx="217">
                  <c:v>40754</c:v>
                </c:pt>
                <c:pt idx="218">
                  <c:v>40755</c:v>
                </c:pt>
                <c:pt idx="219">
                  <c:v>40756</c:v>
                </c:pt>
                <c:pt idx="220">
                  <c:v>40757</c:v>
                </c:pt>
                <c:pt idx="221">
                  <c:v>40758</c:v>
                </c:pt>
                <c:pt idx="222">
                  <c:v>40759</c:v>
                </c:pt>
                <c:pt idx="223">
                  <c:v>40760</c:v>
                </c:pt>
                <c:pt idx="224">
                  <c:v>40761</c:v>
                </c:pt>
                <c:pt idx="225">
                  <c:v>40762</c:v>
                </c:pt>
                <c:pt idx="226">
                  <c:v>40763</c:v>
                </c:pt>
                <c:pt idx="227">
                  <c:v>40764</c:v>
                </c:pt>
                <c:pt idx="228">
                  <c:v>40765</c:v>
                </c:pt>
                <c:pt idx="229">
                  <c:v>40766</c:v>
                </c:pt>
                <c:pt idx="230">
                  <c:v>40767</c:v>
                </c:pt>
                <c:pt idx="231">
                  <c:v>40768</c:v>
                </c:pt>
                <c:pt idx="232">
                  <c:v>40769</c:v>
                </c:pt>
                <c:pt idx="233">
                  <c:v>40770</c:v>
                </c:pt>
                <c:pt idx="234">
                  <c:v>40771</c:v>
                </c:pt>
                <c:pt idx="235">
                  <c:v>40772</c:v>
                </c:pt>
                <c:pt idx="236">
                  <c:v>40773</c:v>
                </c:pt>
                <c:pt idx="237">
                  <c:v>40774</c:v>
                </c:pt>
                <c:pt idx="238">
                  <c:v>40775</c:v>
                </c:pt>
                <c:pt idx="239">
                  <c:v>40776</c:v>
                </c:pt>
                <c:pt idx="240">
                  <c:v>40777</c:v>
                </c:pt>
                <c:pt idx="241">
                  <c:v>40778</c:v>
                </c:pt>
                <c:pt idx="242">
                  <c:v>40779</c:v>
                </c:pt>
                <c:pt idx="243">
                  <c:v>40780</c:v>
                </c:pt>
                <c:pt idx="244">
                  <c:v>40781</c:v>
                </c:pt>
                <c:pt idx="245">
                  <c:v>40782</c:v>
                </c:pt>
                <c:pt idx="246">
                  <c:v>40783</c:v>
                </c:pt>
                <c:pt idx="247">
                  <c:v>40784</c:v>
                </c:pt>
                <c:pt idx="248">
                  <c:v>40785</c:v>
                </c:pt>
                <c:pt idx="249">
                  <c:v>40786</c:v>
                </c:pt>
                <c:pt idx="250">
                  <c:v>40787</c:v>
                </c:pt>
                <c:pt idx="251">
                  <c:v>40788</c:v>
                </c:pt>
                <c:pt idx="252">
                  <c:v>40789</c:v>
                </c:pt>
                <c:pt idx="253">
                  <c:v>40790</c:v>
                </c:pt>
                <c:pt idx="254">
                  <c:v>40791</c:v>
                </c:pt>
                <c:pt idx="255">
                  <c:v>40792</c:v>
                </c:pt>
                <c:pt idx="256">
                  <c:v>40793</c:v>
                </c:pt>
                <c:pt idx="257">
                  <c:v>40794</c:v>
                </c:pt>
                <c:pt idx="258">
                  <c:v>40795</c:v>
                </c:pt>
                <c:pt idx="259">
                  <c:v>40796</c:v>
                </c:pt>
                <c:pt idx="260">
                  <c:v>40797</c:v>
                </c:pt>
                <c:pt idx="261">
                  <c:v>40798</c:v>
                </c:pt>
                <c:pt idx="262">
                  <c:v>40799</c:v>
                </c:pt>
                <c:pt idx="263">
                  <c:v>40800</c:v>
                </c:pt>
                <c:pt idx="264">
                  <c:v>40801</c:v>
                </c:pt>
                <c:pt idx="265">
                  <c:v>40802</c:v>
                </c:pt>
                <c:pt idx="266">
                  <c:v>40803</c:v>
                </c:pt>
                <c:pt idx="267">
                  <c:v>40804</c:v>
                </c:pt>
                <c:pt idx="268">
                  <c:v>40805</c:v>
                </c:pt>
                <c:pt idx="269">
                  <c:v>40806</c:v>
                </c:pt>
                <c:pt idx="270">
                  <c:v>40807</c:v>
                </c:pt>
                <c:pt idx="271">
                  <c:v>40808</c:v>
                </c:pt>
                <c:pt idx="272">
                  <c:v>40809</c:v>
                </c:pt>
                <c:pt idx="273">
                  <c:v>40810</c:v>
                </c:pt>
                <c:pt idx="274">
                  <c:v>40811</c:v>
                </c:pt>
                <c:pt idx="275">
                  <c:v>40812</c:v>
                </c:pt>
                <c:pt idx="276">
                  <c:v>40813</c:v>
                </c:pt>
                <c:pt idx="277">
                  <c:v>40814</c:v>
                </c:pt>
                <c:pt idx="278">
                  <c:v>40815</c:v>
                </c:pt>
                <c:pt idx="279">
                  <c:v>40816</c:v>
                </c:pt>
                <c:pt idx="280">
                  <c:v>40817</c:v>
                </c:pt>
                <c:pt idx="281">
                  <c:v>40818</c:v>
                </c:pt>
                <c:pt idx="282">
                  <c:v>40819</c:v>
                </c:pt>
                <c:pt idx="283">
                  <c:v>40820</c:v>
                </c:pt>
                <c:pt idx="284">
                  <c:v>40821</c:v>
                </c:pt>
                <c:pt idx="285">
                  <c:v>40822</c:v>
                </c:pt>
                <c:pt idx="286">
                  <c:v>40823</c:v>
                </c:pt>
                <c:pt idx="287">
                  <c:v>40824</c:v>
                </c:pt>
                <c:pt idx="288">
                  <c:v>40825</c:v>
                </c:pt>
                <c:pt idx="289">
                  <c:v>40826</c:v>
                </c:pt>
                <c:pt idx="290">
                  <c:v>40827</c:v>
                </c:pt>
                <c:pt idx="291">
                  <c:v>40828</c:v>
                </c:pt>
                <c:pt idx="292">
                  <c:v>40829</c:v>
                </c:pt>
                <c:pt idx="293">
                  <c:v>40830</c:v>
                </c:pt>
                <c:pt idx="294">
                  <c:v>40831</c:v>
                </c:pt>
                <c:pt idx="295">
                  <c:v>40832</c:v>
                </c:pt>
                <c:pt idx="296">
                  <c:v>40833</c:v>
                </c:pt>
                <c:pt idx="297">
                  <c:v>40834</c:v>
                </c:pt>
                <c:pt idx="298">
                  <c:v>40835</c:v>
                </c:pt>
                <c:pt idx="299">
                  <c:v>40836</c:v>
                </c:pt>
                <c:pt idx="300">
                  <c:v>40837</c:v>
                </c:pt>
                <c:pt idx="301">
                  <c:v>40838</c:v>
                </c:pt>
                <c:pt idx="302">
                  <c:v>40839</c:v>
                </c:pt>
                <c:pt idx="303">
                  <c:v>40840</c:v>
                </c:pt>
                <c:pt idx="304">
                  <c:v>40841</c:v>
                </c:pt>
                <c:pt idx="305">
                  <c:v>40842</c:v>
                </c:pt>
                <c:pt idx="306">
                  <c:v>40843</c:v>
                </c:pt>
                <c:pt idx="307">
                  <c:v>40844</c:v>
                </c:pt>
                <c:pt idx="308">
                  <c:v>40845</c:v>
                </c:pt>
                <c:pt idx="309">
                  <c:v>40846</c:v>
                </c:pt>
                <c:pt idx="310">
                  <c:v>40847</c:v>
                </c:pt>
                <c:pt idx="311">
                  <c:v>40848</c:v>
                </c:pt>
                <c:pt idx="312">
                  <c:v>40849</c:v>
                </c:pt>
                <c:pt idx="313">
                  <c:v>40850</c:v>
                </c:pt>
                <c:pt idx="314">
                  <c:v>40851</c:v>
                </c:pt>
                <c:pt idx="315">
                  <c:v>40852</c:v>
                </c:pt>
                <c:pt idx="316">
                  <c:v>40853</c:v>
                </c:pt>
                <c:pt idx="317">
                  <c:v>40854</c:v>
                </c:pt>
                <c:pt idx="318">
                  <c:v>40855</c:v>
                </c:pt>
                <c:pt idx="319">
                  <c:v>40856</c:v>
                </c:pt>
                <c:pt idx="320">
                  <c:v>40857</c:v>
                </c:pt>
                <c:pt idx="321">
                  <c:v>40858</c:v>
                </c:pt>
                <c:pt idx="322">
                  <c:v>40859</c:v>
                </c:pt>
                <c:pt idx="323">
                  <c:v>40860</c:v>
                </c:pt>
                <c:pt idx="324">
                  <c:v>40861</c:v>
                </c:pt>
                <c:pt idx="325">
                  <c:v>40862</c:v>
                </c:pt>
                <c:pt idx="326">
                  <c:v>40863</c:v>
                </c:pt>
                <c:pt idx="327">
                  <c:v>40864</c:v>
                </c:pt>
                <c:pt idx="328">
                  <c:v>40865</c:v>
                </c:pt>
                <c:pt idx="329">
                  <c:v>40866</c:v>
                </c:pt>
                <c:pt idx="330">
                  <c:v>40867</c:v>
                </c:pt>
                <c:pt idx="331">
                  <c:v>40868</c:v>
                </c:pt>
                <c:pt idx="332">
                  <c:v>40869</c:v>
                </c:pt>
                <c:pt idx="333">
                  <c:v>40870</c:v>
                </c:pt>
                <c:pt idx="334">
                  <c:v>40871</c:v>
                </c:pt>
                <c:pt idx="335">
                  <c:v>40872</c:v>
                </c:pt>
                <c:pt idx="336">
                  <c:v>40873</c:v>
                </c:pt>
                <c:pt idx="337">
                  <c:v>40874</c:v>
                </c:pt>
                <c:pt idx="338">
                  <c:v>40875</c:v>
                </c:pt>
                <c:pt idx="339">
                  <c:v>40876</c:v>
                </c:pt>
                <c:pt idx="340">
                  <c:v>40877</c:v>
                </c:pt>
                <c:pt idx="341">
                  <c:v>40878</c:v>
                </c:pt>
                <c:pt idx="342">
                  <c:v>40879</c:v>
                </c:pt>
                <c:pt idx="343">
                  <c:v>40880</c:v>
                </c:pt>
                <c:pt idx="344">
                  <c:v>40881</c:v>
                </c:pt>
                <c:pt idx="345">
                  <c:v>40882</c:v>
                </c:pt>
                <c:pt idx="346">
                  <c:v>40883</c:v>
                </c:pt>
                <c:pt idx="347">
                  <c:v>40884</c:v>
                </c:pt>
                <c:pt idx="348">
                  <c:v>40885</c:v>
                </c:pt>
                <c:pt idx="349">
                  <c:v>40886</c:v>
                </c:pt>
                <c:pt idx="350">
                  <c:v>40887</c:v>
                </c:pt>
                <c:pt idx="351">
                  <c:v>40888</c:v>
                </c:pt>
                <c:pt idx="352">
                  <c:v>40889</c:v>
                </c:pt>
                <c:pt idx="353">
                  <c:v>40890</c:v>
                </c:pt>
                <c:pt idx="354">
                  <c:v>40891</c:v>
                </c:pt>
                <c:pt idx="355">
                  <c:v>40892</c:v>
                </c:pt>
                <c:pt idx="356">
                  <c:v>40893</c:v>
                </c:pt>
                <c:pt idx="357">
                  <c:v>40894</c:v>
                </c:pt>
                <c:pt idx="358">
                  <c:v>40895</c:v>
                </c:pt>
                <c:pt idx="359">
                  <c:v>40896</c:v>
                </c:pt>
                <c:pt idx="360">
                  <c:v>40897</c:v>
                </c:pt>
                <c:pt idx="361">
                  <c:v>40898</c:v>
                </c:pt>
                <c:pt idx="362">
                  <c:v>40899</c:v>
                </c:pt>
                <c:pt idx="363">
                  <c:v>40900</c:v>
                </c:pt>
                <c:pt idx="364">
                  <c:v>40901</c:v>
                </c:pt>
                <c:pt idx="365">
                  <c:v>40902</c:v>
                </c:pt>
                <c:pt idx="366">
                  <c:v>40903</c:v>
                </c:pt>
                <c:pt idx="367">
                  <c:v>40904</c:v>
                </c:pt>
                <c:pt idx="368">
                  <c:v>40905</c:v>
                </c:pt>
                <c:pt idx="369">
                  <c:v>40906</c:v>
                </c:pt>
                <c:pt idx="370">
                  <c:v>40907</c:v>
                </c:pt>
                <c:pt idx="371">
                  <c:v>40908</c:v>
                </c:pt>
                <c:pt idx="372">
                  <c:v>40909</c:v>
                </c:pt>
                <c:pt idx="373">
                  <c:v>40910</c:v>
                </c:pt>
                <c:pt idx="374">
                  <c:v>40911</c:v>
                </c:pt>
              </c:numCache>
            </c:numRef>
          </c:cat>
          <c:val>
            <c:numRef>
              <c:f>Summary!$AL$12:$AL$376</c:f>
              <c:numCache>
                <c:formatCode>General</c:formatCode>
                <c:ptCount val="365"/>
                <c:pt idx="0">
                  <c:v>1938.8800000028077</c:v>
                </c:pt>
                <c:pt idx="1">
                  <c:v>1658.080000002361</c:v>
                </c:pt>
                <c:pt idx="2">
                  <c:v>1658.080000002361</c:v>
                </c:pt>
                <c:pt idx="3">
                  <c:v>2228.0000000032537</c:v>
                </c:pt>
                <c:pt idx="4">
                  <c:v>2053.4000000029855</c:v>
                </c:pt>
                <c:pt idx="5">
                  <c:v>1738.3200000024415</c:v>
                </c:pt>
                <c:pt idx="6">
                  <c:v>1541.5600000021773</c:v>
                </c:pt>
                <c:pt idx="7">
                  <c:v>10270.240000019945</c:v>
                </c:pt>
                <c:pt idx="8">
                  <c:v>60041.160000138101</c:v>
                </c:pt>
                <c:pt idx="9">
                  <c:v>78014.680000177352</c:v>
                </c:pt>
                <c:pt idx="10">
                  <c:v>75804.200000173121</c:v>
                </c:pt>
                <c:pt idx="11">
                  <c:v>70012.500000159052</c:v>
                </c:pt>
                <c:pt idx="12">
                  <c:v>64206.960000146806</c:v>
                </c:pt>
                <c:pt idx="13">
                  <c:v>59905.640000137821</c:v>
                </c:pt>
                <c:pt idx="14">
                  <c:v>52384.810000122008</c:v>
                </c:pt>
                <c:pt idx="15">
                  <c:v>44313.400000106558</c:v>
                </c:pt>
                <c:pt idx="16">
                  <c:v>36858.000000090447</c:v>
                </c:pt>
                <c:pt idx="17">
                  <c:v>29442.000000073953</c:v>
                </c:pt>
                <c:pt idx="18">
                  <c:v>22309.750000052183</c:v>
                </c:pt>
                <c:pt idx="19">
                  <c:v>15759.200000033692</c:v>
                </c:pt>
                <c:pt idx="20">
                  <c:v>9808.6000000190488</c:v>
                </c:pt>
                <c:pt idx="21">
                  <c:v>5862.5500000103057</c:v>
                </c:pt>
                <c:pt idx="22">
                  <c:v>4165.2800000068628</c:v>
                </c:pt>
                <c:pt idx="23">
                  <c:v>3203.8000000050424</c:v>
                </c:pt>
                <c:pt idx="24">
                  <c:v>3020.2600000045982</c:v>
                </c:pt>
                <c:pt idx="25">
                  <c:v>2857.8200000043134</c:v>
                </c:pt>
                <c:pt idx="26">
                  <c:v>2565.0000000039299</c:v>
                </c:pt>
                <c:pt idx="27">
                  <c:v>2149.7000000031921</c:v>
                </c:pt>
                <c:pt idx="28">
                  <c:v>2059.9000000029855</c:v>
                </c:pt>
                <c:pt idx="29">
                  <c:v>1901.0800000027502</c:v>
                </c:pt>
                <c:pt idx="30">
                  <c:v>1873.9200000026351</c:v>
                </c:pt>
                <c:pt idx="31">
                  <c:v>1979.2000000028363</c:v>
                </c:pt>
                <c:pt idx="32">
                  <c:v>2286.2000000034377</c:v>
                </c:pt>
                <c:pt idx="33">
                  <c:v>2287.6000000034378</c:v>
                </c:pt>
                <c:pt idx="34">
                  <c:v>1948.9600000028076</c:v>
                </c:pt>
                <c:pt idx="35">
                  <c:v>1909.9000000027791</c:v>
                </c:pt>
                <c:pt idx="36">
                  <c:v>1913.680000002779</c:v>
                </c:pt>
                <c:pt idx="37">
                  <c:v>1913.680000002779</c:v>
                </c:pt>
                <c:pt idx="38">
                  <c:v>1993.0600000028362</c:v>
                </c:pt>
                <c:pt idx="39">
                  <c:v>2252.3000000032844</c:v>
                </c:pt>
                <c:pt idx="40">
                  <c:v>2196.9500000032231</c:v>
                </c:pt>
                <c:pt idx="41">
                  <c:v>2027.4000000029559</c:v>
                </c:pt>
                <c:pt idx="42">
                  <c:v>1803.1600000025796</c:v>
                </c:pt>
                <c:pt idx="43">
                  <c:v>1901.0800000027502</c:v>
                </c:pt>
                <c:pt idx="44">
                  <c:v>2017.0000000029559</c:v>
                </c:pt>
                <c:pt idx="45">
                  <c:v>2096.3000000030152</c:v>
                </c:pt>
                <c:pt idx="46">
                  <c:v>2126.2000000030444</c:v>
                </c:pt>
                <c:pt idx="47">
                  <c:v>2106.7000000030444</c:v>
                </c:pt>
                <c:pt idx="48">
                  <c:v>2048.2000000029852</c:v>
                </c:pt>
                <c:pt idx="49">
                  <c:v>2003.140000002865</c:v>
                </c:pt>
                <c:pt idx="50">
                  <c:v>1951.4800000028076</c:v>
                </c:pt>
                <c:pt idx="51">
                  <c:v>2026.1000000029558</c:v>
                </c:pt>
                <c:pt idx="52">
                  <c:v>2168.6000000032232</c:v>
                </c:pt>
                <c:pt idx="53">
                  <c:v>2286.2000000034377</c:v>
                </c:pt>
                <c:pt idx="54">
                  <c:v>2416.4000000035653</c:v>
                </c:pt>
                <c:pt idx="55">
                  <c:v>2597.7800000039638</c:v>
                </c:pt>
                <c:pt idx="56">
                  <c:v>3215.5600000050804</c:v>
                </c:pt>
                <c:pt idx="57">
                  <c:v>4041.1000000065233</c:v>
                </c:pt>
                <c:pt idx="58">
                  <c:v>4579.9200000076617</c:v>
                </c:pt>
                <c:pt idx="59">
                  <c:v>5024.4000000085034</c:v>
                </c:pt>
                <c:pt idx="60">
                  <c:v>5333.7000000090438</c:v>
                </c:pt>
                <c:pt idx="61">
                  <c:v>5655.8700000098361</c:v>
                </c:pt>
                <c:pt idx="62">
                  <c:v>6081.1600000107719</c:v>
                </c:pt>
                <c:pt idx="63">
                  <c:v>6651.8000000119155</c:v>
                </c:pt>
                <c:pt idx="64">
                  <c:v>7620.0700000139614</c:v>
                </c:pt>
                <c:pt idx="65">
                  <c:v>8520.0700000160741</c:v>
                </c:pt>
                <c:pt idx="66">
                  <c:v>9214.2200000175435</c:v>
                </c:pt>
                <c:pt idx="67">
                  <c:v>9759.3200000190482</c:v>
                </c:pt>
                <c:pt idx="68">
                  <c:v>10158.330000019863</c:v>
                </c:pt>
                <c:pt idx="69">
                  <c:v>10476.400000020751</c:v>
                </c:pt>
                <c:pt idx="70">
                  <c:v>10673.030000020921</c:v>
                </c:pt>
                <c:pt idx="71">
                  <c:v>10759.800000021514</c:v>
                </c:pt>
                <c:pt idx="72">
                  <c:v>10797.800000021514</c:v>
                </c:pt>
                <c:pt idx="73">
                  <c:v>10839.600000021514</c:v>
                </c:pt>
                <c:pt idx="74">
                  <c:v>11006.800000021687</c:v>
                </c:pt>
                <c:pt idx="75">
                  <c:v>11251.040000022582</c:v>
                </c:pt>
                <c:pt idx="76">
                  <c:v>11510.100000023342</c:v>
                </c:pt>
                <c:pt idx="77">
                  <c:v>11814.860000023615</c:v>
                </c:pt>
                <c:pt idx="78">
                  <c:v>12097.600000024544</c:v>
                </c:pt>
                <c:pt idx="79">
                  <c:v>12532.570000025584</c:v>
                </c:pt>
                <c:pt idx="80">
                  <c:v>13255.700000027622</c:v>
                </c:pt>
                <c:pt idx="81">
                  <c:v>14168.360000029901</c:v>
                </c:pt>
                <c:pt idx="82">
                  <c:v>14922.800000031322</c:v>
                </c:pt>
                <c:pt idx="83">
                  <c:v>15562.640000033576</c:v>
                </c:pt>
                <c:pt idx="84">
                  <c:v>16534.680000036016</c:v>
                </c:pt>
                <c:pt idx="85">
                  <c:v>16925.400000036378</c:v>
                </c:pt>
                <c:pt idx="86">
                  <c:v>16872.600000036375</c:v>
                </c:pt>
                <c:pt idx="87">
                  <c:v>16666.680000036136</c:v>
                </c:pt>
                <c:pt idx="88">
                  <c:v>16497.830000035265</c:v>
                </c:pt>
                <c:pt idx="89">
                  <c:v>16311.710000035149</c:v>
                </c:pt>
                <c:pt idx="90">
                  <c:v>16306.540000035031</c:v>
                </c:pt>
                <c:pt idx="91">
                  <c:v>17025.720000036497</c:v>
                </c:pt>
                <c:pt idx="92">
                  <c:v>17760.360000038923</c:v>
                </c:pt>
                <c:pt idx="93">
                  <c:v>19209.800000042564</c:v>
                </c:pt>
                <c:pt idx="94">
                  <c:v>20473.950000046316</c:v>
                </c:pt>
                <c:pt idx="95">
                  <c:v>21081.000000048312</c:v>
                </c:pt>
                <c:pt idx="96">
                  <c:v>21552.340000049895</c:v>
                </c:pt>
                <c:pt idx="97">
                  <c:v>22093.110000052027</c:v>
                </c:pt>
                <c:pt idx="98">
                  <c:v>22777.850000054044</c:v>
                </c:pt>
                <c:pt idx="99">
                  <c:v>23104.500000054359</c:v>
                </c:pt>
                <c:pt idx="100">
                  <c:v>23007.200000054203</c:v>
                </c:pt>
                <c:pt idx="101">
                  <c:v>23035.000000054202</c:v>
                </c:pt>
                <c:pt idx="102">
                  <c:v>22944.650000054204</c:v>
                </c:pt>
                <c:pt idx="103">
                  <c:v>25043.680000060609</c:v>
                </c:pt>
                <c:pt idx="104">
                  <c:v>24938.260000060611</c:v>
                </c:pt>
                <c:pt idx="105">
                  <c:v>24923.200000060609</c:v>
                </c:pt>
                <c:pt idx="106">
                  <c:v>25171.690000060778</c:v>
                </c:pt>
                <c:pt idx="107">
                  <c:v>25284.640000060954</c:v>
                </c:pt>
                <c:pt idx="108">
                  <c:v>25707.820000063002</c:v>
                </c:pt>
                <c:pt idx="109">
                  <c:v>26017.420000063179</c:v>
                </c:pt>
                <c:pt idx="110">
                  <c:v>26228.300000064912</c:v>
                </c:pt>
                <c:pt idx="111">
                  <c:v>26902.350000065631</c:v>
                </c:pt>
                <c:pt idx="112">
                  <c:v>27080.380000067555</c:v>
                </c:pt>
                <c:pt idx="113">
                  <c:v>26743.750000065451</c:v>
                </c:pt>
                <c:pt idx="114">
                  <c:v>26331.39000006509</c:v>
                </c:pt>
                <c:pt idx="115">
                  <c:v>26791.330000065453</c:v>
                </c:pt>
                <c:pt idx="116">
                  <c:v>26823.050000065454</c:v>
                </c:pt>
                <c:pt idx="117">
                  <c:v>26767.540000065452</c:v>
                </c:pt>
                <c:pt idx="118">
                  <c:v>27129.220000067555</c:v>
                </c:pt>
                <c:pt idx="119">
                  <c:v>27674.600000068109</c:v>
                </c:pt>
                <c:pt idx="120">
                  <c:v>28389.840000070351</c:v>
                </c:pt>
                <c:pt idx="121">
                  <c:v>29118.240000072452</c:v>
                </c:pt>
                <c:pt idx="122">
                  <c:v>29033.040000072451</c:v>
                </c:pt>
                <c:pt idx="123">
                  <c:v>29314.200000072644</c:v>
                </c:pt>
                <c:pt idx="124">
                  <c:v>29796.650000074344</c:v>
                </c:pt>
                <c:pt idx="125">
                  <c:v>30159.950000074539</c:v>
                </c:pt>
                <c:pt idx="126">
                  <c:v>30500.160000076059</c:v>
                </c:pt>
                <c:pt idx="127">
                  <c:v>30710.88000007626</c:v>
                </c:pt>
                <c:pt idx="128">
                  <c:v>31097.20000007666</c:v>
                </c:pt>
                <c:pt idx="129">
                  <c:v>32574.75000008025</c:v>
                </c:pt>
                <c:pt idx="130">
                  <c:v>33404.740000082325</c:v>
                </c:pt>
                <c:pt idx="131">
                  <c:v>34180.900000084221</c:v>
                </c:pt>
                <c:pt idx="132">
                  <c:v>35297.540000086468</c:v>
                </c:pt>
                <c:pt idx="133">
                  <c:v>36039.470000088499</c:v>
                </c:pt>
                <c:pt idx="134">
                  <c:v>36154.790000088717</c:v>
                </c:pt>
                <c:pt idx="135">
                  <c:v>37150.500000090891</c:v>
                </c:pt>
                <c:pt idx="136">
                  <c:v>38398.410000093325</c:v>
                </c:pt>
                <c:pt idx="137">
                  <c:v>38985.840000095101</c:v>
                </c:pt>
                <c:pt idx="138">
                  <c:v>39407.100000095554</c:v>
                </c:pt>
                <c:pt idx="139">
                  <c:v>40165.650000097587</c:v>
                </c:pt>
                <c:pt idx="140">
                  <c:v>40226.670000097583</c:v>
                </c:pt>
                <c:pt idx="141">
                  <c:v>40480.920000097816</c:v>
                </c:pt>
                <c:pt idx="142">
                  <c:v>40900.440000099727</c:v>
                </c:pt>
                <c:pt idx="143">
                  <c:v>41519.640000100197</c:v>
                </c:pt>
                <c:pt idx="144">
                  <c:v>42406.140000102365</c:v>
                </c:pt>
                <c:pt idx="145">
                  <c:v>43249.200000104604</c:v>
                </c:pt>
                <c:pt idx="146">
                  <c:v>43906.800000106072</c:v>
                </c:pt>
                <c:pt idx="147">
                  <c:v>44420.400000106558</c:v>
                </c:pt>
                <c:pt idx="148">
                  <c:v>44741.400000106805</c:v>
                </c:pt>
                <c:pt idx="149">
                  <c:v>45074.660000108495</c:v>
                </c:pt>
                <c:pt idx="150">
                  <c:v>45691.400000108988</c:v>
                </c:pt>
                <c:pt idx="151">
                  <c:v>46245.530000110593</c:v>
                </c:pt>
                <c:pt idx="152">
                  <c:v>46464.130000110839</c:v>
                </c:pt>
                <c:pt idx="153">
                  <c:v>46955.980000111085</c:v>
                </c:pt>
                <c:pt idx="154">
                  <c:v>47473.320000112704</c:v>
                </c:pt>
                <c:pt idx="155">
                  <c:v>48047.400000113208</c:v>
                </c:pt>
                <c:pt idx="156">
                  <c:v>48748.200000115095</c:v>
                </c:pt>
                <c:pt idx="157">
                  <c:v>49328.00000011675</c:v>
                </c:pt>
                <c:pt idx="158">
                  <c:v>49981.080000117254</c:v>
                </c:pt>
                <c:pt idx="159">
                  <c:v>50658.840000119286</c:v>
                </c:pt>
                <c:pt idx="160">
                  <c:v>51398.5400001198</c:v>
                </c:pt>
                <c:pt idx="161">
                  <c:v>52074.580000121743</c:v>
                </c:pt>
                <c:pt idx="162">
                  <c:v>52672.060000122263</c:v>
                </c:pt>
                <c:pt idx="163">
                  <c:v>52938.370000123803</c:v>
                </c:pt>
                <c:pt idx="164">
                  <c:v>52223.950000121746</c:v>
                </c:pt>
                <c:pt idx="165">
                  <c:v>51307.500000119799</c:v>
                </c:pt>
                <c:pt idx="166">
                  <c:v>50408.960000117768</c:v>
                </c:pt>
                <c:pt idx="167">
                  <c:v>49541.940000117</c:v>
                </c:pt>
                <c:pt idx="168">
                  <c:v>48636.700000115095</c:v>
                </c:pt>
                <c:pt idx="169">
                  <c:v>47782.440000112962</c:v>
                </c:pt>
                <c:pt idx="170">
                  <c:v>47120.040000112458</c:v>
                </c:pt>
                <c:pt idx="171">
                  <c:v>46300.180000110595</c:v>
                </c:pt>
                <c:pt idx="172">
                  <c:v>45312.700000108496</c:v>
                </c:pt>
                <c:pt idx="173">
                  <c:v>44420.400000106558</c:v>
                </c:pt>
                <c:pt idx="174">
                  <c:v>43365.800000104602</c:v>
                </c:pt>
                <c:pt idx="175">
                  <c:v>42364.26000010236</c:v>
                </c:pt>
                <c:pt idx="176">
                  <c:v>41426.760000100199</c:v>
                </c:pt>
                <c:pt idx="177">
                  <c:v>40602.96000009805</c:v>
                </c:pt>
                <c:pt idx="178">
                  <c:v>39941.910000097356</c:v>
                </c:pt>
                <c:pt idx="179">
                  <c:v>39216.530000095328</c:v>
                </c:pt>
                <c:pt idx="180">
                  <c:v>38536.870000093317</c:v>
                </c:pt>
                <c:pt idx="181">
                  <c:v>37953.360000092871</c:v>
                </c:pt>
                <c:pt idx="182">
                  <c:v>37384.500000091117</c:v>
                </c:pt>
                <c:pt idx="183">
                  <c:v>36877.500000090673</c:v>
                </c:pt>
                <c:pt idx="184">
                  <c:v>36279.72000008871</c:v>
                </c:pt>
                <c:pt idx="185">
                  <c:v>35647.560000086683</c:v>
                </c:pt>
                <c:pt idx="186">
                  <c:v>35004.280000086248</c:v>
                </c:pt>
                <c:pt idx="187">
                  <c:v>34358.170000084428</c:v>
                </c:pt>
                <c:pt idx="188">
                  <c:v>33726.390000082538</c:v>
                </c:pt>
                <c:pt idx="189">
                  <c:v>33129.040000082125</c:v>
                </c:pt>
                <c:pt idx="190">
                  <c:v>32665.250000080458</c:v>
                </c:pt>
                <c:pt idx="191">
                  <c:v>32529.50000008025</c:v>
                </c:pt>
                <c:pt idx="192">
                  <c:v>32565.700000080251</c:v>
                </c:pt>
                <c:pt idx="193">
                  <c:v>32520.450000080251</c:v>
                </c:pt>
                <c:pt idx="194">
                  <c:v>32484.25000008025</c:v>
                </c:pt>
                <c:pt idx="195">
                  <c:v>32439.00000008025</c:v>
                </c:pt>
                <c:pt idx="196">
                  <c:v>32366.600000080045</c:v>
                </c:pt>
                <c:pt idx="197">
                  <c:v>32276.100000080045</c:v>
                </c:pt>
                <c:pt idx="198">
                  <c:v>32176.550000079838</c:v>
                </c:pt>
                <c:pt idx="199">
                  <c:v>32032.400000078691</c:v>
                </c:pt>
                <c:pt idx="200">
                  <c:v>31871.84000007849</c:v>
                </c:pt>
                <c:pt idx="201">
                  <c:v>31746.960000078492</c:v>
                </c:pt>
                <c:pt idx="202">
                  <c:v>31622.080000078287</c:v>
                </c:pt>
                <c:pt idx="203">
                  <c:v>31470.440000078084</c:v>
                </c:pt>
                <c:pt idx="204">
                  <c:v>31309.880000078087</c:v>
                </c:pt>
                <c:pt idx="205">
                  <c:v>31149.880000076661</c:v>
                </c:pt>
                <c:pt idx="206">
                  <c:v>30991.84000007646</c:v>
                </c:pt>
                <c:pt idx="207">
                  <c:v>30833.800000076259</c:v>
                </c:pt>
                <c:pt idx="208">
                  <c:v>30658.20000007626</c:v>
                </c:pt>
                <c:pt idx="209">
                  <c:v>30465.04000007606</c:v>
                </c:pt>
                <c:pt idx="210">
                  <c:v>30281.050000074738</c:v>
                </c:pt>
                <c:pt idx="211">
                  <c:v>30064.800000074541</c:v>
                </c:pt>
                <c:pt idx="212">
                  <c:v>29848.550000074345</c:v>
                </c:pt>
                <c:pt idx="213">
                  <c:v>29623.650000074147</c:v>
                </c:pt>
                <c:pt idx="214">
                  <c:v>29399.400000072841</c:v>
                </c:pt>
                <c:pt idx="215">
                  <c:v>29160.840000072647</c:v>
                </c:pt>
                <c:pt idx="216">
                  <c:v>28913.760000072452</c:v>
                </c:pt>
                <c:pt idx="217">
                  <c:v>28658.160000072065</c:v>
                </c:pt>
                <c:pt idx="218">
                  <c:v>28406.520000070352</c:v>
                </c:pt>
                <c:pt idx="219">
                  <c:v>28156.320000070162</c:v>
                </c:pt>
                <c:pt idx="220">
                  <c:v>27922.800000069972</c:v>
                </c:pt>
                <c:pt idx="221">
                  <c:v>27690.880000068108</c:v>
                </c:pt>
                <c:pt idx="222">
                  <c:v>27479.240000067926</c:v>
                </c:pt>
                <c:pt idx="223">
                  <c:v>27340.86000006774</c:v>
                </c:pt>
                <c:pt idx="224">
                  <c:v>27259.460000067738</c:v>
                </c:pt>
                <c:pt idx="225">
                  <c:v>27186.200000067554</c:v>
                </c:pt>
                <c:pt idx="226">
                  <c:v>27088.520000067554</c:v>
                </c:pt>
                <c:pt idx="227">
                  <c:v>26950.140000067371</c:v>
                </c:pt>
                <c:pt idx="228">
                  <c:v>26791.330000065453</c:v>
                </c:pt>
                <c:pt idx="229">
                  <c:v>26624.800000065272</c:v>
                </c:pt>
                <c:pt idx="230">
                  <c:v>26426.550000065094</c:v>
                </c:pt>
                <c:pt idx="231">
                  <c:v>26204.510000064911</c:v>
                </c:pt>
                <c:pt idx="232">
                  <c:v>25940.020000063178</c:v>
                </c:pt>
                <c:pt idx="233">
                  <c:v>25700.080000063001</c:v>
                </c:pt>
                <c:pt idx="234">
                  <c:v>25452.400000062655</c:v>
                </c:pt>
                <c:pt idx="235">
                  <c:v>25194.280000060782</c:v>
                </c:pt>
                <c:pt idx="236">
                  <c:v>24930.730000060608</c:v>
                </c:pt>
                <c:pt idx="237">
                  <c:v>24682.240000060265</c:v>
                </c:pt>
                <c:pt idx="238">
                  <c:v>24423.820000058578</c:v>
                </c:pt>
                <c:pt idx="239">
                  <c:v>24174.26000005841</c:v>
                </c:pt>
                <c:pt idx="240">
                  <c:v>23910.020000058081</c:v>
                </c:pt>
                <c:pt idx="241">
                  <c:v>23652.380000056335</c:v>
                </c:pt>
                <c:pt idx="242">
                  <c:v>23402.48000005601</c:v>
                </c:pt>
                <c:pt idx="243">
                  <c:v>23160.100000054361</c:v>
                </c:pt>
                <c:pt idx="244">
                  <c:v>22937.700000054203</c:v>
                </c:pt>
                <c:pt idx="245">
                  <c:v>22729.200000053886</c:v>
                </c:pt>
                <c:pt idx="246">
                  <c:v>22534.600000053728</c:v>
                </c:pt>
                <c:pt idx="247">
                  <c:v>22323.290000052184</c:v>
                </c:pt>
                <c:pt idx="248">
                  <c:v>22181.120000052029</c:v>
                </c:pt>
                <c:pt idx="249">
                  <c:v>22113.420000052029</c:v>
                </c:pt>
                <c:pt idx="250">
                  <c:v>22113.420000052029</c:v>
                </c:pt>
                <c:pt idx="251">
                  <c:v>22045.720000051875</c:v>
                </c:pt>
                <c:pt idx="252">
                  <c:v>21923.860000051878</c:v>
                </c:pt>
                <c:pt idx="253">
                  <c:v>21762.580000050191</c:v>
                </c:pt>
                <c:pt idx="254">
                  <c:v>21578.620000050047</c:v>
                </c:pt>
                <c:pt idx="255">
                  <c:v>21401.230000049894</c:v>
                </c:pt>
                <c:pt idx="256">
                  <c:v>21197.560000049598</c:v>
                </c:pt>
                <c:pt idx="257">
                  <c:v>20991.400000048168</c:v>
                </c:pt>
                <c:pt idx="258">
                  <c:v>20767.400000048023</c:v>
                </c:pt>
                <c:pt idx="259">
                  <c:v>20492.580000046313</c:v>
                </c:pt>
                <c:pt idx="260">
                  <c:v>20219.340000046031</c:v>
                </c:pt>
                <c:pt idx="261">
                  <c:v>19946.100000045746</c:v>
                </c:pt>
                <c:pt idx="262">
                  <c:v>19739.040000044359</c:v>
                </c:pt>
                <c:pt idx="263">
                  <c:v>19533.68000004422</c:v>
                </c:pt>
                <c:pt idx="264">
                  <c:v>19274.150000042566</c:v>
                </c:pt>
                <c:pt idx="265">
                  <c:v>18946.550000042298</c:v>
                </c:pt>
                <c:pt idx="266">
                  <c:v>18626.720000040881</c:v>
                </c:pt>
                <c:pt idx="267">
                  <c:v>18205.660000040494</c:v>
                </c:pt>
                <c:pt idx="268">
                  <c:v>17660.640000038922</c:v>
                </c:pt>
                <c:pt idx="269">
                  <c:v>17090.510000037393</c:v>
                </c:pt>
                <c:pt idx="270">
                  <c:v>16524.120000036015</c:v>
                </c:pt>
                <c:pt idx="271">
                  <c:v>15965.840000033921</c:v>
                </c:pt>
                <c:pt idx="272">
                  <c:v>15413.120000032553</c:v>
                </c:pt>
                <c:pt idx="273">
                  <c:v>14841.200000031324</c:v>
                </c:pt>
                <c:pt idx="274">
                  <c:v>14332.160000030008</c:v>
                </c:pt>
                <c:pt idx="275">
                  <c:v>13850.060000028887</c:v>
                </c:pt>
                <c:pt idx="276">
                  <c:v>13349.150000027723</c:v>
                </c:pt>
                <c:pt idx="277">
                  <c:v>12836.200000026545</c:v>
                </c:pt>
                <c:pt idx="278">
                  <c:v>12405.670000025488</c:v>
                </c:pt>
                <c:pt idx="279">
                  <c:v>12072.880000024543</c:v>
                </c:pt>
                <c:pt idx="280">
                  <c:v>11802.830000023614</c:v>
                </c:pt>
                <c:pt idx="281">
                  <c:v>11534.160000023434</c:v>
                </c:pt>
                <c:pt idx="282">
                  <c:v>11254.950000022582</c:v>
                </c:pt>
                <c:pt idx="283">
                  <c:v>10968.800000021687</c:v>
                </c:pt>
                <c:pt idx="284">
                  <c:v>10680.450000020919</c:v>
                </c:pt>
                <c:pt idx="285">
                  <c:v>10391.070000020667</c:v>
                </c:pt>
                <c:pt idx="286">
                  <c:v>10003.1000000197</c:v>
                </c:pt>
                <c:pt idx="287">
                  <c:v>9549.6400000183821</c:v>
                </c:pt>
                <c:pt idx="288">
                  <c:v>8947.0200000173154</c:v>
                </c:pt>
                <c:pt idx="289">
                  <c:v>7900.0000000146656</c:v>
                </c:pt>
                <c:pt idx="290">
                  <c:v>6625.2000000119151</c:v>
                </c:pt>
                <c:pt idx="291">
                  <c:v>5600.9000000097813</c:v>
                </c:pt>
                <c:pt idx="292">
                  <c:v>4971.6000000084541</c:v>
                </c:pt>
                <c:pt idx="293">
                  <c:v>4563.2800000076613</c:v>
                </c:pt>
                <c:pt idx="294">
                  <c:v>4265.240000006952</c:v>
                </c:pt>
                <c:pt idx="295">
                  <c:v>4006.9000000064802</c:v>
                </c:pt>
                <c:pt idx="296">
                  <c:v>3953.7000000064368</c:v>
                </c:pt>
                <c:pt idx="297">
                  <c:v>3538.7400000056982</c:v>
                </c:pt>
                <c:pt idx="298">
                  <c:v>2878.0600000044547</c:v>
                </c:pt>
                <c:pt idx="299">
                  <c:v>3215.5600000050804</c:v>
                </c:pt>
                <c:pt idx="300">
                  <c:v>2796.620000004244</c:v>
                </c:pt>
                <c:pt idx="301">
                  <c:v>2167.2500000032232</c:v>
                </c:pt>
                <c:pt idx="302">
                  <c:v>1779.9800000025521</c:v>
                </c:pt>
                <c:pt idx="303">
                  <c:v>1779.9800000025521</c:v>
                </c:pt>
                <c:pt idx="304">
                  <c:v>2402.4000000035335</c:v>
                </c:pt>
                <c:pt idx="305">
                  <c:v>2630.5600000039976</c:v>
                </c:pt>
                <c:pt idx="306">
                  <c:v>2126.2000000030444</c:v>
                </c:pt>
                <c:pt idx="307">
                  <c:v>1894.7800000027503</c:v>
                </c:pt>
                <c:pt idx="308">
                  <c:v>1882.460000002663</c:v>
                </c:pt>
                <c:pt idx="309">
                  <c:v>1784.8600000025799</c:v>
                </c:pt>
                <c:pt idx="310">
                  <c:v>1873.9200000026351</c:v>
                </c:pt>
                <c:pt idx="311">
                  <c:v>2328.2000000034695</c:v>
                </c:pt>
                <c:pt idx="312">
                  <c:v>2808.8600000042443</c:v>
                </c:pt>
                <c:pt idx="313">
                  <c:v>2524.960000003739</c:v>
                </c:pt>
                <c:pt idx="314">
                  <c:v>2175.3500000032232</c:v>
                </c:pt>
                <c:pt idx="315">
                  <c:v>2134.0000000030741</c:v>
                </c:pt>
                <c:pt idx="316">
                  <c:v>1970.3800000028361</c:v>
                </c:pt>
                <c:pt idx="317">
                  <c:v>1936.3600000027791</c:v>
                </c:pt>
                <c:pt idx="318">
                  <c:v>1918.720000002779</c:v>
                </c:pt>
                <c:pt idx="319">
                  <c:v>2190.2000000032231</c:v>
                </c:pt>
                <c:pt idx="320">
                  <c:v>2039.1000000029853</c:v>
                </c:pt>
                <c:pt idx="321">
                  <c:v>1938.8800000028077</c:v>
                </c:pt>
                <c:pt idx="322">
                  <c:v>1917.460000002779</c:v>
                </c:pt>
                <c:pt idx="323">
                  <c:v>1986.7600000028363</c:v>
                </c:pt>
                <c:pt idx="324">
                  <c:v>2037.8000000029854</c:v>
                </c:pt>
                <c:pt idx="325">
                  <c:v>1969.1200000028075</c:v>
                </c:pt>
                <c:pt idx="326">
                  <c:v>2190.2000000032231</c:v>
                </c:pt>
                <c:pt idx="327">
                  <c:v>2019.6000000029558</c:v>
                </c:pt>
                <c:pt idx="328">
                  <c:v>2349.2000000035014</c:v>
                </c:pt>
                <c:pt idx="329">
                  <c:v>2267.1500000033152</c:v>
                </c:pt>
                <c:pt idx="330">
                  <c:v>1912.420000002779</c:v>
                </c:pt>
                <c:pt idx="331">
                  <c:v>2536.4000000037395</c:v>
                </c:pt>
                <c:pt idx="332">
                  <c:v>2983.9200000045626</c:v>
                </c:pt>
                <c:pt idx="333">
                  <c:v>2998.1400000045624</c:v>
                </c:pt>
                <c:pt idx="334">
                  <c:v>2387.0000000035334</c:v>
                </c:pt>
                <c:pt idx="335">
                  <c:v>1970.3800000028361</c:v>
                </c:pt>
                <c:pt idx="336">
                  <c:v>1761.9200000024684</c:v>
                </c:pt>
                <c:pt idx="337">
                  <c:v>1693.4800000023879</c:v>
                </c:pt>
                <c:pt idx="338">
                  <c:v>1753.6600000024416</c:v>
                </c:pt>
                <c:pt idx="339">
                  <c:v>1752.4800000024416</c:v>
                </c:pt>
                <c:pt idx="340">
                  <c:v>1699.3800000024148</c:v>
                </c:pt>
                <c:pt idx="341">
                  <c:v>1636.1800000022549</c:v>
                </c:pt>
                <c:pt idx="342">
                  <c:v>1771.4400000025521</c:v>
                </c:pt>
                <c:pt idx="343">
                  <c:v>1836.1000000026074</c:v>
                </c:pt>
                <c:pt idx="344">
                  <c:v>1894.7800000027503</c:v>
                </c:pt>
                <c:pt idx="345">
                  <c:v>1995.5800000028362</c:v>
                </c:pt>
                <c:pt idx="346">
                  <c:v>2039.1000000029853</c:v>
                </c:pt>
                <c:pt idx="347">
                  <c:v>1995.5800000028362</c:v>
                </c:pt>
                <c:pt idx="348">
                  <c:v>1644.1600000022809</c:v>
                </c:pt>
                <c:pt idx="349">
                  <c:v>1632.7600000022551</c:v>
                </c:pt>
                <c:pt idx="350">
                  <c:v>1750.1200000024417</c:v>
                </c:pt>
                <c:pt idx="351">
                  <c:v>1760.7400000024684</c:v>
                </c:pt>
                <c:pt idx="352">
                  <c:v>2039.1000000029853</c:v>
                </c:pt>
                <c:pt idx="353">
                  <c:v>2562.1400000037715</c:v>
                </c:pt>
                <c:pt idx="354">
                  <c:v>2480.6300000037063</c:v>
                </c:pt>
                <c:pt idx="355">
                  <c:v>2155.1000000031922</c:v>
                </c:pt>
                <c:pt idx="356">
                  <c:v>2036.5000000029854</c:v>
                </c:pt>
                <c:pt idx="357">
                  <c:v>2179.4000000032229</c:v>
                </c:pt>
                <c:pt idx="358">
                  <c:v>2296.0000000034379</c:v>
                </c:pt>
                <c:pt idx="359">
                  <c:v>2276.600000003315</c:v>
                </c:pt>
                <c:pt idx="360">
                  <c:v>2198.3000000032539</c:v>
                </c:pt>
                <c:pt idx="361">
                  <c:v>2061.2000000029852</c:v>
                </c:pt>
                <c:pt idx="362">
                  <c:v>1880.020000002663</c:v>
                </c:pt>
                <c:pt idx="363">
                  <c:v>1880.020000002663</c:v>
                </c:pt>
                <c:pt idx="364">
                  <c:v>1726.5200000024415</c:v>
                </c:pt>
              </c:numCache>
            </c:numRef>
          </c:val>
        </c:ser>
        <c:ser>
          <c:idx val="7"/>
          <c:order val="7"/>
          <c:tx>
            <c:strRef>
              <c:f>Summary!$AM$2</c:f>
              <c:strCache>
                <c:ptCount val="1"/>
                <c:pt idx="0">
                  <c:v>2010 HHD Total Storage (including 1220 AF dead storage)</c:v>
                </c:pt>
              </c:strCache>
            </c:strRef>
          </c:tx>
          <c:spPr>
            <a:ln w="6350">
              <a:solidFill>
                <a:srgbClr val="FF0000"/>
              </a:solidFill>
              <a:prstDash val="dash"/>
            </a:ln>
          </c:spPr>
          <c:marker>
            <c:symbol val="none"/>
          </c:marker>
          <c:cat>
            <c:numRef>
              <c:f>Summary!$A$5:$A$380</c:f>
              <c:numCache>
                <c:formatCode>[$-409]d\-mmm;@</c:formatCode>
                <c:ptCount val="376"/>
                <c:pt idx="0">
                  <c:v>40537</c:v>
                </c:pt>
                <c:pt idx="1">
                  <c:v>40538</c:v>
                </c:pt>
                <c:pt idx="2">
                  <c:v>40539</c:v>
                </c:pt>
                <c:pt idx="3">
                  <c:v>40540</c:v>
                </c:pt>
                <c:pt idx="4">
                  <c:v>40541</c:v>
                </c:pt>
                <c:pt idx="5">
                  <c:v>40542</c:v>
                </c:pt>
                <c:pt idx="6">
                  <c:v>40543</c:v>
                </c:pt>
                <c:pt idx="7">
                  <c:v>40544</c:v>
                </c:pt>
                <c:pt idx="8">
                  <c:v>40545</c:v>
                </c:pt>
                <c:pt idx="9">
                  <c:v>40546</c:v>
                </c:pt>
                <c:pt idx="10">
                  <c:v>40547</c:v>
                </c:pt>
                <c:pt idx="11">
                  <c:v>40548</c:v>
                </c:pt>
                <c:pt idx="12">
                  <c:v>40549</c:v>
                </c:pt>
                <c:pt idx="13">
                  <c:v>40550</c:v>
                </c:pt>
                <c:pt idx="14">
                  <c:v>40551</c:v>
                </c:pt>
                <c:pt idx="15">
                  <c:v>40552</c:v>
                </c:pt>
                <c:pt idx="16">
                  <c:v>40553</c:v>
                </c:pt>
                <c:pt idx="17">
                  <c:v>40554</c:v>
                </c:pt>
                <c:pt idx="18">
                  <c:v>40555</c:v>
                </c:pt>
                <c:pt idx="19">
                  <c:v>40556</c:v>
                </c:pt>
                <c:pt idx="20">
                  <c:v>40557</c:v>
                </c:pt>
                <c:pt idx="21">
                  <c:v>40558</c:v>
                </c:pt>
                <c:pt idx="22">
                  <c:v>40559</c:v>
                </c:pt>
                <c:pt idx="23">
                  <c:v>40560</c:v>
                </c:pt>
                <c:pt idx="24">
                  <c:v>40561</c:v>
                </c:pt>
                <c:pt idx="25">
                  <c:v>40562</c:v>
                </c:pt>
                <c:pt idx="26">
                  <c:v>40563</c:v>
                </c:pt>
                <c:pt idx="27">
                  <c:v>40564</c:v>
                </c:pt>
                <c:pt idx="28">
                  <c:v>40565</c:v>
                </c:pt>
                <c:pt idx="29">
                  <c:v>40566</c:v>
                </c:pt>
                <c:pt idx="30">
                  <c:v>40567</c:v>
                </c:pt>
                <c:pt idx="31">
                  <c:v>40568</c:v>
                </c:pt>
                <c:pt idx="32">
                  <c:v>40569</c:v>
                </c:pt>
                <c:pt idx="33">
                  <c:v>40570</c:v>
                </c:pt>
                <c:pt idx="34">
                  <c:v>40571</c:v>
                </c:pt>
                <c:pt idx="35">
                  <c:v>40572</c:v>
                </c:pt>
                <c:pt idx="36">
                  <c:v>40573</c:v>
                </c:pt>
                <c:pt idx="37">
                  <c:v>40574</c:v>
                </c:pt>
                <c:pt idx="38">
                  <c:v>40575</c:v>
                </c:pt>
                <c:pt idx="39">
                  <c:v>40576</c:v>
                </c:pt>
                <c:pt idx="40">
                  <c:v>40577</c:v>
                </c:pt>
                <c:pt idx="41">
                  <c:v>40578</c:v>
                </c:pt>
                <c:pt idx="42">
                  <c:v>40579</c:v>
                </c:pt>
                <c:pt idx="43">
                  <c:v>40580</c:v>
                </c:pt>
                <c:pt idx="44">
                  <c:v>40581</c:v>
                </c:pt>
                <c:pt idx="45">
                  <c:v>40582</c:v>
                </c:pt>
                <c:pt idx="46">
                  <c:v>40583</c:v>
                </c:pt>
                <c:pt idx="47">
                  <c:v>40584</c:v>
                </c:pt>
                <c:pt idx="48">
                  <c:v>40585</c:v>
                </c:pt>
                <c:pt idx="49">
                  <c:v>40586</c:v>
                </c:pt>
                <c:pt idx="50">
                  <c:v>40587</c:v>
                </c:pt>
                <c:pt idx="51">
                  <c:v>40588</c:v>
                </c:pt>
                <c:pt idx="52">
                  <c:v>40589</c:v>
                </c:pt>
                <c:pt idx="53">
                  <c:v>40590</c:v>
                </c:pt>
                <c:pt idx="54">
                  <c:v>40591</c:v>
                </c:pt>
                <c:pt idx="55">
                  <c:v>40592</c:v>
                </c:pt>
                <c:pt idx="56">
                  <c:v>40593</c:v>
                </c:pt>
                <c:pt idx="57">
                  <c:v>40594</c:v>
                </c:pt>
                <c:pt idx="58">
                  <c:v>40595</c:v>
                </c:pt>
                <c:pt idx="59">
                  <c:v>40596</c:v>
                </c:pt>
                <c:pt idx="60">
                  <c:v>40597</c:v>
                </c:pt>
                <c:pt idx="61">
                  <c:v>40598</c:v>
                </c:pt>
                <c:pt idx="62">
                  <c:v>40599</c:v>
                </c:pt>
                <c:pt idx="63">
                  <c:v>40600</c:v>
                </c:pt>
                <c:pt idx="64">
                  <c:v>40601</c:v>
                </c:pt>
                <c:pt idx="65">
                  <c:v>40602</c:v>
                </c:pt>
                <c:pt idx="66">
                  <c:v>40603</c:v>
                </c:pt>
                <c:pt idx="67">
                  <c:v>40604</c:v>
                </c:pt>
                <c:pt idx="68">
                  <c:v>40605</c:v>
                </c:pt>
                <c:pt idx="69">
                  <c:v>40606</c:v>
                </c:pt>
                <c:pt idx="70">
                  <c:v>40607</c:v>
                </c:pt>
                <c:pt idx="71">
                  <c:v>40608</c:v>
                </c:pt>
                <c:pt idx="72">
                  <c:v>40609</c:v>
                </c:pt>
                <c:pt idx="73">
                  <c:v>40610</c:v>
                </c:pt>
                <c:pt idx="74">
                  <c:v>40611</c:v>
                </c:pt>
                <c:pt idx="75">
                  <c:v>40612</c:v>
                </c:pt>
                <c:pt idx="76">
                  <c:v>40613</c:v>
                </c:pt>
                <c:pt idx="77">
                  <c:v>40614</c:v>
                </c:pt>
                <c:pt idx="78">
                  <c:v>40615</c:v>
                </c:pt>
                <c:pt idx="79">
                  <c:v>40616</c:v>
                </c:pt>
                <c:pt idx="80">
                  <c:v>40617</c:v>
                </c:pt>
                <c:pt idx="81">
                  <c:v>40618</c:v>
                </c:pt>
                <c:pt idx="82">
                  <c:v>40619</c:v>
                </c:pt>
                <c:pt idx="83">
                  <c:v>40620</c:v>
                </c:pt>
                <c:pt idx="84">
                  <c:v>40621</c:v>
                </c:pt>
                <c:pt idx="85">
                  <c:v>40622</c:v>
                </c:pt>
                <c:pt idx="86">
                  <c:v>40623</c:v>
                </c:pt>
                <c:pt idx="87">
                  <c:v>40624</c:v>
                </c:pt>
                <c:pt idx="88">
                  <c:v>40625</c:v>
                </c:pt>
                <c:pt idx="89">
                  <c:v>40626</c:v>
                </c:pt>
                <c:pt idx="90">
                  <c:v>40627</c:v>
                </c:pt>
                <c:pt idx="91">
                  <c:v>40628</c:v>
                </c:pt>
                <c:pt idx="92">
                  <c:v>40629</c:v>
                </c:pt>
                <c:pt idx="93">
                  <c:v>40630</c:v>
                </c:pt>
                <c:pt idx="94">
                  <c:v>40631</c:v>
                </c:pt>
                <c:pt idx="95">
                  <c:v>40632</c:v>
                </c:pt>
                <c:pt idx="96">
                  <c:v>40633</c:v>
                </c:pt>
                <c:pt idx="97">
                  <c:v>40634</c:v>
                </c:pt>
                <c:pt idx="98">
                  <c:v>40635</c:v>
                </c:pt>
                <c:pt idx="99">
                  <c:v>40636</c:v>
                </c:pt>
                <c:pt idx="100">
                  <c:v>40637</c:v>
                </c:pt>
                <c:pt idx="101">
                  <c:v>40638</c:v>
                </c:pt>
                <c:pt idx="102">
                  <c:v>40639</c:v>
                </c:pt>
                <c:pt idx="103">
                  <c:v>40640</c:v>
                </c:pt>
                <c:pt idx="104">
                  <c:v>40641</c:v>
                </c:pt>
                <c:pt idx="105">
                  <c:v>40642</c:v>
                </c:pt>
                <c:pt idx="106">
                  <c:v>40643</c:v>
                </c:pt>
                <c:pt idx="107">
                  <c:v>40644</c:v>
                </c:pt>
                <c:pt idx="108">
                  <c:v>40645</c:v>
                </c:pt>
                <c:pt idx="109">
                  <c:v>40646</c:v>
                </c:pt>
                <c:pt idx="110">
                  <c:v>40647</c:v>
                </c:pt>
                <c:pt idx="111">
                  <c:v>40648</c:v>
                </c:pt>
                <c:pt idx="112">
                  <c:v>40649</c:v>
                </c:pt>
                <c:pt idx="113">
                  <c:v>40650</c:v>
                </c:pt>
                <c:pt idx="114">
                  <c:v>40651</c:v>
                </c:pt>
                <c:pt idx="115">
                  <c:v>40652</c:v>
                </c:pt>
                <c:pt idx="116">
                  <c:v>40653</c:v>
                </c:pt>
                <c:pt idx="117">
                  <c:v>40654</c:v>
                </c:pt>
                <c:pt idx="118">
                  <c:v>40655</c:v>
                </c:pt>
                <c:pt idx="119">
                  <c:v>40656</c:v>
                </c:pt>
                <c:pt idx="120">
                  <c:v>40657</c:v>
                </c:pt>
                <c:pt idx="121">
                  <c:v>40658</c:v>
                </c:pt>
                <c:pt idx="122">
                  <c:v>40659</c:v>
                </c:pt>
                <c:pt idx="123">
                  <c:v>40660</c:v>
                </c:pt>
                <c:pt idx="124">
                  <c:v>40661</c:v>
                </c:pt>
                <c:pt idx="125">
                  <c:v>40662</c:v>
                </c:pt>
                <c:pt idx="126">
                  <c:v>40663</c:v>
                </c:pt>
                <c:pt idx="127">
                  <c:v>40664</c:v>
                </c:pt>
                <c:pt idx="128">
                  <c:v>40665</c:v>
                </c:pt>
                <c:pt idx="129">
                  <c:v>40666</c:v>
                </c:pt>
                <c:pt idx="130">
                  <c:v>40667</c:v>
                </c:pt>
                <c:pt idx="131">
                  <c:v>40668</c:v>
                </c:pt>
                <c:pt idx="132">
                  <c:v>40669</c:v>
                </c:pt>
                <c:pt idx="133">
                  <c:v>40670</c:v>
                </c:pt>
                <c:pt idx="134">
                  <c:v>40671</c:v>
                </c:pt>
                <c:pt idx="135">
                  <c:v>40672</c:v>
                </c:pt>
                <c:pt idx="136">
                  <c:v>40673</c:v>
                </c:pt>
                <c:pt idx="137">
                  <c:v>40674</c:v>
                </c:pt>
                <c:pt idx="138">
                  <c:v>40675</c:v>
                </c:pt>
                <c:pt idx="139">
                  <c:v>40676</c:v>
                </c:pt>
                <c:pt idx="140">
                  <c:v>40677</c:v>
                </c:pt>
                <c:pt idx="141">
                  <c:v>40678</c:v>
                </c:pt>
                <c:pt idx="142">
                  <c:v>40679</c:v>
                </c:pt>
                <c:pt idx="143">
                  <c:v>40680</c:v>
                </c:pt>
                <c:pt idx="144">
                  <c:v>40681</c:v>
                </c:pt>
                <c:pt idx="145">
                  <c:v>40682</c:v>
                </c:pt>
                <c:pt idx="146">
                  <c:v>40683</c:v>
                </c:pt>
                <c:pt idx="147">
                  <c:v>40684</c:v>
                </c:pt>
                <c:pt idx="148">
                  <c:v>40685</c:v>
                </c:pt>
                <c:pt idx="149">
                  <c:v>40686</c:v>
                </c:pt>
                <c:pt idx="150">
                  <c:v>40687</c:v>
                </c:pt>
                <c:pt idx="151">
                  <c:v>40688</c:v>
                </c:pt>
                <c:pt idx="152">
                  <c:v>40689</c:v>
                </c:pt>
                <c:pt idx="153">
                  <c:v>40690</c:v>
                </c:pt>
                <c:pt idx="154">
                  <c:v>40691</c:v>
                </c:pt>
                <c:pt idx="155">
                  <c:v>40692</c:v>
                </c:pt>
                <c:pt idx="156">
                  <c:v>40693</c:v>
                </c:pt>
                <c:pt idx="157">
                  <c:v>40694</c:v>
                </c:pt>
                <c:pt idx="158">
                  <c:v>40695</c:v>
                </c:pt>
                <c:pt idx="159">
                  <c:v>40696</c:v>
                </c:pt>
                <c:pt idx="160">
                  <c:v>40697</c:v>
                </c:pt>
                <c:pt idx="161">
                  <c:v>40698</c:v>
                </c:pt>
                <c:pt idx="162">
                  <c:v>40699</c:v>
                </c:pt>
                <c:pt idx="163">
                  <c:v>40700</c:v>
                </c:pt>
                <c:pt idx="164">
                  <c:v>40701</c:v>
                </c:pt>
                <c:pt idx="165">
                  <c:v>40702</c:v>
                </c:pt>
                <c:pt idx="166">
                  <c:v>40703</c:v>
                </c:pt>
                <c:pt idx="167">
                  <c:v>40704</c:v>
                </c:pt>
                <c:pt idx="168">
                  <c:v>40705</c:v>
                </c:pt>
                <c:pt idx="169">
                  <c:v>40706</c:v>
                </c:pt>
                <c:pt idx="170">
                  <c:v>40707</c:v>
                </c:pt>
                <c:pt idx="171">
                  <c:v>40708</c:v>
                </c:pt>
                <c:pt idx="172">
                  <c:v>40709</c:v>
                </c:pt>
                <c:pt idx="173">
                  <c:v>40710</c:v>
                </c:pt>
                <c:pt idx="174">
                  <c:v>40711</c:v>
                </c:pt>
                <c:pt idx="175">
                  <c:v>40712</c:v>
                </c:pt>
                <c:pt idx="176">
                  <c:v>40713</c:v>
                </c:pt>
                <c:pt idx="177">
                  <c:v>40714</c:v>
                </c:pt>
                <c:pt idx="178">
                  <c:v>40715</c:v>
                </c:pt>
                <c:pt idx="179">
                  <c:v>40716</c:v>
                </c:pt>
                <c:pt idx="180">
                  <c:v>40717</c:v>
                </c:pt>
                <c:pt idx="181">
                  <c:v>40718</c:v>
                </c:pt>
                <c:pt idx="182">
                  <c:v>40719</c:v>
                </c:pt>
                <c:pt idx="183">
                  <c:v>40720</c:v>
                </c:pt>
                <c:pt idx="184">
                  <c:v>40721</c:v>
                </c:pt>
                <c:pt idx="185">
                  <c:v>40722</c:v>
                </c:pt>
                <c:pt idx="186">
                  <c:v>40723</c:v>
                </c:pt>
                <c:pt idx="187">
                  <c:v>40724</c:v>
                </c:pt>
                <c:pt idx="188">
                  <c:v>40725</c:v>
                </c:pt>
                <c:pt idx="189">
                  <c:v>40726</c:v>
                </c:pt>
                <c:pt idx="190">
                  <c:v>40727</c:v>
                </c:pt>
                <c:pt idx="191">
                  <c:v>40728</c:v>
                </c:pt>
                <c:pt idx="192">
                  <c:v>40729</c:v>
                </c:pt>
                <c:pt idx="193">
                  <c:v>40730</c:v>
                </c:pt>
                <c:pt idx="194">
                  <c:v>40731</c:v>
                </c:pt>
                <c:pt idx="195">
                  <c:v>40732</c:v>
                </c:pt>
                <c:pt idx="196">
                  <c:v>40733</c:v>
                </c:pt>
                <c:pt idx="197">
                  <c:v>40734</c:v>
                </c:pt>
                <c:pt idx="198">
                  <c:v>40735</c:v>
                </c:pt>
                <c:pt idx="199">
                  <c:v>40736</c:v>
                </c:pt>
                <c:pt idx="200">
                  <c:v>40737</c:v>
                </c:pt>
                <c:pt idx="201">
                  <c:v>40738</c:v>
                </c:pt>
                <c:pt idx="202">
                  <c:v>40739</c:v>
                </c:pt>
                <c:pt idx="203">
                  <c:v>40740</c:v>
                </c:pt>
                <c:pt idx="204">
                  <c:v>40741</c:v>
                </c:pt>
                <c:pt idx="205">
                  <c:v>40742</c:v>
                </c:pt>
                <c:pt idx="206">
                  <c:v>40743</c:v>
                </c:pt>
                <c:pt idx="207">
                  <c:v>40744</c:v>
                </c:pt>
                <c:pt idx="208">
                  <c:v>40745</c:v>
                </c:pt>
                <c:pt idx="209">
                  <c:v>40746</c:v>
                </c:pt>
                <c:pt idx="210">
                  <c:v>40747</c:v>
                </c:pt>
                <c:pt idx="211">
                  <c:v>40748</c:v>
                </c:pt>
                <c:pt idx="212">
                  <c:v>40749</c:v>
                </c:pt>
                <c:pt idx="213">
                  <c:v>40750</c:v>
                </c:pt>
                <c:pt idx="214">
                  <c:v>40751</c:v>
                </c:pt>
                <c:pt idx="215">
                  <c:v>40752</c:v>
                </c:pt>
                <c:pt idx="216">
                  <c:v>40753</c:v>
                </c:pt>
                <c:pt idx="217">
                  <c:v>40754</c:v>
                </c:pt>
                <c:pt idx="218">
                  <c:v>40755</c:v>
                </c:pt>
                <c:pt idx="219">
                  <c:v>40756</c:v>
                </c:pt>
                <c:pt idx="220">
                  <c:v>40757</c:v>
                </c:pt>
                <c:pt idx="221">
                  <c:v>40758</c:v>
                </c:pt>
                <c:pt idx="222">
                  <c:v>40759</c:v>
                </c:pt>
                <c:pt idx="223">
                  <c:v>40760</c:v>
                </c:pt>
                <c:pt idx="224">
                  <c:v>40761</c:v>
                </c:pt>
                <c:pt idx="225">
                  <c:v>40762</c:v>
                </c:pt>
                <c:pt idx="226">
                  <c:v>40763</c:v>
                </c:pt>
                <c:pt idx="227">
                  <c:v>40764</c:v>
                </c:pt>
                <c:pt idx="228">
                  <c:v>40765</c:v>
                </c:pt>
                <c:pt idx="229">
                  <c:v>40766</c:v>
                </c:pt>
                <c:pt idx="230">
                  <c:v>40767</c:v>
                </c:pt>
                <c:pt idx="231">
                  <c:v>40768</c:v>
                </c:pt>
                <c:pt idx="232">
                  <c:v>40769</c:v>
                </c:pt>
                <c:pt idx="233">
                  <c:v>40770</c:v>
                </c:pt>
                <c:pt idx="234">
                  <c:v>40771</c:v>
                </c:pt>
                <c:pt idx="235">
                  <c:v>40772</c:v>
                </c:pt>
                <c:pt idx="236">
                  <c:v>40773</c:v>
                </c:pt>
                <c:pt idx="237">
                  <c:v>40774</c:v>
                </c:pt>
                <c:pt idx="238">
                  <c:v>40775</c:v>
                </c:pt>
                <c:pt idx="239">
                  <c:v>40776</c:v>
                </c:pt>
                <c:pt idx="240">
                  <c:v>40777</c:v>
                </c:pt>
                <c:pt idx="241">
                  <c:v>40778</c:v>
                </c:pt>
                <c:pt idx="242">
                  <c:v>40779</c:v>
                </c:pt>
                <c:pt idx="243">
                  <c:v>40780</c:v>
                </c:pt>
                <c:pt idx="244">
                  <c:v>40781</c:v>
                </c:pt>
                <c:pt idx="245">
                  <c:v>40782</c:v>
                </c:pt>
                <c:pt idx="246">
                  <c:v>40783</c:v>
                </c:pt>
                <c:pt idx="247">
                  <c:v>40784</c:v>
                </c:pt>
                <c:pt idx="248">
                  <c:v>40785</c:v>
                </c:pt>
                <c:pt idx="249">
                  <c:v>40786</c:v>
                </c:pt>
                <c:pt idx="250">
                  <c:v>40787</c:v>
                </c:pt>
                <c:pt idx="251">
                  <c:v>40788</c:v>
                </c:pt>
                <c:pt idx="252">
                  <c:v>40789</c:v>
                </c:pt>
                <c:pt idx="253">
                  <c:v>40790</c:v>
                </c:pt>
                <c:pt idx="254">
                  <c:v>40791</c:v>
                </c:pt>
                <c:pt idx="255">
                  <c:v>40792</c:v>
                </c:pt>
                <c:pt idx="256">
                  <c:v>40793</c:v>
                </c:pt>
                <c:pt idx="257">
                  <c:v>40794</c:v>
                </c:pt>
                <c:pt idx="258">
                  <c:v>40795</c:v>
                </c:pt>
                <c:pt idx="259">
                  <c:v>40796</c:v>
                </c:pt>
                <c:pt idx="260">
                  <c:v>40797</c:v>
                </c:pt>
                <c:pt idx="261">
                  <c:v>40798</c:v>
                </c:pt>
                <c:pt idx="262">
                  <c:v>40799</c:v>
                </c:pt>
                <c:pt idx="263">
                  <c:v>40800</c:v>
                </c:pt>
                <c:pt idx="264">
                  <c:v>40801</c:v>
                </c:pt>
                <c:pt idx="265">
                  <c:v>40802</c:v>
                </c:pt>
                <c:pt idx="266">
                  <c:v>40803</c:v>
                </c:pt>
                <c:pt idx="267">
                  <c:v>40804</c:v>
                </c:pt>
                <c:pt idx="268">
                  <c:v>40805</c:v>
                </c:pt>
                <c:pt idx="269">
                  <c:v>40806</c:v>
                </c:pt>
                <c:pt idx="270">
                  <c:v>40807</c:v>
                </c:pt>
                <c:pt idx="271">
                  <c:v>40808</c:v>
                </c:pt>
                <c:pt idx="272">
                  <c:v>40809</c:v>
                </c:pt>
                <c:pt idx="273">
                  <c:v>40810</c:v>
                </c:pt>
                <c:pt idx="274">
                  <c:v>40811</c:v>
                </c:pt>
                <c:pt idx="275">
                  <c:v>40812</c:v>
                </c:pt>
                <c:pt idx="276">
                  <c:v>40813</c:v>
                </c:pt>
                <c:pt idx="277">
                  <c:v>40814</c:v>
                </c:pt>
                <c:pt idx="278">
                  <c:v>40815</c:v>
                </c:pt>
                <c:pt idx="279">
                  <c:v>40816</c:v>
                </c:pt>
                <c:pt idx="280">
                  <c:v>40817</c:v>
                </c:pt>
                <c:pt idx="281">
                  <c:v>40818</c:v>
                </c:pt>
                <c:pt idx="282">
                  <c:v>40819</c:v>
                </c:pt>
                <c:pt idx="283">
                  <c:v>40820</c:v>
                </c:pt>
                <c:pt idx="284">
                  <c:v>40821</c:v>
                </c:pt>
                <c:pt idx="285">
                  <c:v>40822</c:v>
                </c:pt>
                <c:pt idx="286">
                  <c:v>40823</c:v>
                </c:pt>
                <c:pt idx="287">
                  <c:v>40824</c:v>
                </c:pt>
                <c:pt idx="288">
                  <c:v>40825</c:v>
                </c:pt>
                <c:pt idx="289">
                  <c:v>40826</c:v>
                </c:pt>
                <c:pt idx="290">
                  <c:v>40827</c:v>
                </c:pt>
                <c:pt idx="291">
                  <c:v>40828</c:v>
                </c:pt>
                <c:pt idx="292">
                  <c:v>40829</c:v>
                </c:pt>
                <c:pt idx="293">
                  <c:v>40830</c:v>
                </c:pt>
                <c:pt idx="294">
                  <c:v>40831</c:v>
                </c:pt>
                <c:pt idx="295">
                  <c:v>40832</c:v>
                </c:pt>
                <c:pt idx="296">
                  <c:v>40833</c:v>
                </c:pt>
                <c:pt idx="297">
                  <c:v>40834</c:v>
                </c:pt>
                <c:pt idx="298">
                  <c:v>40835</c:v>
                </c:pt>
                <c:pt idx="299">
                  <c:v>40836</c:v>
                </c:pt>
                <c:pt idx="300">
                  <c:v>40837</c:v>
                </c:pt>
                <c:pt idx="301">
                  <c:v>40838</c:v>
                </c:pt>
                <c:pt idx="302">
                  <c:v>40839</c:v>
                </c:pt>
                <c:pt idx="303">
                  <c:v>40840</c:v>
                </c:pt>
                <c:pt idx="304">
                  <c:v>40841</c:v>
                </c:pt>
                <c:pt idx="305">
                  <c:v>40842</c:v>
                </c:pt>
                <c:pt idx="306">
                  <c:v>40843</c:v>
                </c:pt>
                <c:pt idx="307">
                  <c:v>40844</c:v>
                </c:pt>
                <c:pt idx="308">
                  <c:v>40845</c:v>
                </c:pt>
                <c:pt idx="309">
                  <c:v>40846</c:v>
                </c:pt>
                <c:pt idx="310">
                  <c:v>40847</c:v>
                </c:pt>
                <c:pt idx="311">
                  <c:v>40848</c:v>
                </c:pt>
                <c:pt idx="312">
                  <c:v>40849</c:v>
                </c:pt>
                <c:pt idx="313">
                  <c:v>40850</c:v>
                </c:pt>
                <c:pt idx="314">
                  <c:v>40851</c:v>
                </c:pt>
                <c:pt idx="315">
                  <c:v>40852</c:v>
                </c:pt>
                <c:pt idx="316">
                  <c:v>40853</c:v>
                </c:pt>
                <c:pt idx="317">
                  <c:v>40854</c:v>
                </c:pt>
                <c:pt idx="318">
                  <c:v>40855</c:v>
                </c:pt>
                <c:pt idx="319">
                  <c:v>40856</c:v>
                </c:pt>
                <c:pt idx="320">
                  <c:v>40857</c:v>
                </c:pt>
                <c:pt idx="321">
                  <c:v>40858</c:v>
                </c:pt>
                <c:pt idx="322">
                  <c:v>40859</c:v>
                </c:pt>
                <c:pt idx="323">
                  <c:v>40860</c:v>
                </c:pt>
                <c:pt idx="324">
                  <c:v>40861</c:v>
                </c:pt>
                <c:pt idx="325">
                  <c:v>40862</c:v>
                </c:pt>
                <c:pt idx="326">
                  <c:v>40863</c:v>
                </c:pt>
                <c:pt idx="327">
                  <c:v>40864</c:v>
                </c:pt>
                <c:pt idx="328">
                  <c:v>40865</c:v>
                </c:pt>
                <c:pt idx="329">
                  <c:v>40866</c:v>
                </c:pt>
                <c:pt idx="330">
                  <c:v>40867</c:v>
                </c:pt>
                <c:pt idx="331">
                  <c:v>40868</c:v>
                </c:pt>
                <c:pt idx="332">
                  <c:v>40869</c:v>
                </c:pt>
                <c:pt idx="333">
                  <c:v>40870</c:v>
                </c:pt>
                <c:pt idx="334">
                  <c:v>40871</c:v>
                </c:pt>
                <c:pt idx="335">
                  <c:v>40872</c:v>
                </c:pt>
                <c:pt idx="336">
                  <c:v>40873</c:v>
                </c:pt>
                <c:pt idx="337">
                  <c:v>40874</c:v>
                </c:pt>
                <c:pt idx="338">
                  <c:v>40875</c:v>
                </c:pt>
                <c:pt idx="339">
                  <c:v>40876</c:v>
                </c:pt>
                <c:pt idx="340">
                  <c:v>40877</c:v>
                </c:pt>
                <c:pt idx="341">
                  <c:v>40878</c:v>
                </c:pt>
                <c:pt idx="342">
                  <c:v>40879</c:v>
                </c:pt>
                <c:pt idx="343">
                  <c:v>40880</c:v>
                </c:pt>
                <c:pt idx="344">
                  <c:v>40881</c:v>
                </c:pt>
                <c:pt idx="345">
                  <c:v>40882</c:v>
                </c:pt>
                <c:pt idx="346">
                  <c:v>40883</c:v>
                </c:pt>
                <c:pt idx="347">
                  <c:v>40884</c:v>
                </c:pt>
                <c:pt idx="348">
                  <c:v>40885</c:v>
                </c:pt>
                <c:pt idx="349">
                  <c:v>40886</c:v>
                </c:pt>
                <c:pt idx="350">
                  <c:v>40887</c:v>
                </c:pt>
                <c:pt idx="351">
                  <c:v>40888</c:v>
                </c:pt>
                <c:pt idx="352">
                  <c:v>40889</c:v>
                </c:pt>
                <c:pt idx="353">
                  <c:v>40890</c:v>
                </c:pt>
                <c:pt idx="354">
                  <c:v>40891</c:v>
                </c:pt>
                <c:pt idx="355">
                  <c:v>40892</c:v>
                </c:pt>
                <c:pt idx="356">
                  <c:v>40893</c:v>
                </c:pt>
                <c:pt idx="357">
                  <c:v>40894</c:v>
                </c:pt>
                <c:pt idx="358">
                  <c:v>40895</c:v>
                </c:pt>
                <c:pt idx="359">
                  <c:v>40896</c:v>
                </c:pt>
                <c:pt idx="360">
                  <c:v>40897</c:v>
                </c:pt>
                <c:pt idx="361">
                  <c:v>40898</c:v>
                </c:pt>
                <c:pt idx="362">
                  <c:v>40899</c:v>
                </c:pt>
                <c:pt idx="363">
                  <c:v>40900</c:v>
                </c:pt>
                <c:pt idx="364">
                  <c:v>40901</c:v>
                </c:pt>
                <c:pt idx="365">
                  <c:v>40902</c:v>
                </c:pt>
                <c:pt idx="366">
                  <c:v>40903</c:v>
                </c:pt>
                <c:pt idx="367">
                  <c:v>40904</c:v>
                </c:pt>
                <c:pt idx="368">
                  <c:v>40905</c:v>
                </c:pt>
                <c:pt idx="369">
                  <c:v>40906</c:v>
                </c:pt>
                <c:pt idx="370">
                  <c:v>40907</c:v>
                </c:pt>
                <c:pt idx="371">
                  <c:v>40908</c:v>
                </c:pt>
                <c:pt idx="372">
                  <c:v>40909</c:v>
                </c:pt>
                <c:pt idx="373">
                  <c:v>40910</c:v>
                </c:pt>
                <c:pt idx="374">
                  <c:v>40911</c:v>
                </c:pt>
              </c:numCache>
            </c:numRef>
          </c:cat>
          <c:val>
            <c:numRef>
              <c:f>Summary!$AM$12:$AM$376</c:f>
              <c:numCache>
                <c:formatCode>General</c:formatCode>
                <c:ptCount val="365"/>
                <c:pt idx="0" formatCode="0.00">
                  <c:v>1947.7000000028077</c:v>
                </c:pt>
                <c:pt idx="1">
                  <c:v>2335.2000000035014</c:v>
                </c:pt>
                <c:pt idx="2">
                  <c:v>2347.8000000035017</c:v>
                </c:pt>
                <c:pt idx="3">
                  <c:v>2382.8000000035336</c:v>
                </c:pt>
                <c:pt idx="4">
                  <c:v>1896.0400000027503</c:v>
                </c:pt>
                <c:pt idx="5">
                  <c:v>1188.6400000015819</c:v>
                </c:pt>
                <c:pt idx="6">
                  <c:v>1990.5400000028362</c:v>
                </c:pt>
                <c:pt idx="7">
                  <c:v>2040.4000000029855</c:v>
                </c:pt>
                <c:pt idx="8">
                  <c:v>2245.5500000032844</c:v>
                </c:pt>
                <c:pt idx="9">
                  <c:v>2136.600000003074</c:v>
                </c:pt>
                <c:pt idx="10">
                  <c:v>1837.3200000026075</c:v>
                </c:pt>
                <c:pt idx="11">
                  <c:v>1794.6200000025799</c:v>
                </c:pt>
                <c:pt idx="12">
                  <c:v>2011.9600000028649</c:v>
                </c:pt>
                <c:pt idx="13">
                  <c:v>2178.050000003223</c:v>
                </c:pt>
                <c:pt idx="14">
                  <c:v>2250.9500000032845</c:v>
                </c:pt>
                <c:pt idx="15">
                  <c:v>2269.850000003315</c:v>
                </c:pt>
                <c:pt idx="16">
                  <c:v>2004.400000002865</c:v>
                </c:pt>
                <c:pt idx="17">
                  <c:v>1951.4800000028076</c:v>
                </c:pt>
                <c:pt idx="18">
                  <c:v>1848.3000000026354</c:v>
                </c:pt>
                <c:pt idx="19">
                  <c:v>1770.2200000025521</c:v>
                </c:pt>
                <c:pt idx="20">
                  <c:v>1741.8600000024417</c:v>
                </c:pt>
                <c:pt idx="21">
                  <c:v>1870.2600000026353</c:v>
                </c:pt>
                <c:pt idx="22">
                  <c:v>2031.3000000029558</c:v>
                </c:pt>
                <c:pt idx="23">
                  <c:v>2072.9000000030151</c:v>
                </c:pt>
                <c:pt idx="24">
                  <c:v>1882.460000002663</c:v>
                </c:pt>
                <c:pt idx="25">
                  <c:v>1797.0600000025797</c:v>
                </c:pt>
                <c:pt idx="26">
                  <c:v>1812.9200000025796</c:v>
                </c:pt>
                <c:pt idx="27">
                  <c:v>1805.6000000025797</c:v>
                </c:pt>
                <c:pt idx="28">
                  <c:v>1793.4000000025799</c:v>
                </c:pt>
                <c:pt idx="29">
                  <c:v>1750.1200000024417</c:v>
                </c:pt>
                <c:pt idx="30">
                  <c:v>1743.0400000024415</c:v>
                </c:pt>
                <c:pt idx="31">
                  <c:v>1725.3400000024415</c:v>
                </c:pt>
                <c:pt idx="32">
                  <c:v>1708.8200000024146</c:v>
                </c:pt>
                <c:pt idx="33">
                  <c:v>1713.5400000024147</c:v>
                </c:pt>
                <c:pt idx="34">
                  <c:v>1712.3600000024146</c:v>
                </c:pt>
                <c:pt idx="35">
                  <c:v>1722.9800000024147</c:v>
                </c:pt>
                <c:pt idx="36">
                  <c:v>1770.2200000025521</c:v>
                </c:pt>
                <c:pt idx="37">
                  <c:v>1794.6200000025799</c:v>
                </c:pt>
                <c:pt idx="38">
                  <c:v>1770.2200000025521</c:v>
                </c:pt>
                <c:pt idx="39">
                  <c:v>1737.1400000024414</c:v>
                </c:pt>
                <c:pt idx="40">
                  <c:v>1722.9800000024147</c:v>
                </c:pt>
                <c:pt idx="41">
                  <c:v>1721.8000000024147</c:v>
                </c:pt>
                <c:pt idx="42">
                  <c:v>1776.320000002552</c:v>
                </c:pt>
                <c:pt idx="43">
                  <c:v>1955.2600000028076</c:v>
                </c:pt>
                <c:pt idx="44">
                  <c:v>2324.0000000034697</c:v>
                </c:pt>
                <c:pt idx="45">
                  <c:v>2149.7000000031921</c:v>
                </c:pt>
                <c:pt idx="46">
                  <c:v>1938.8800000028077</c:v>
                </c:pt>
                <c:pt idx="47">
                  <c:v>1809.2600000025798</c:v>
                </c:pt>
                <c:pt idx="48">
                  <c:v>1733.6000000024414</c:v>
                </c:pt>
                <c:pt idx="49">
                  <c:v>1854.4000000026354</c:v>
                </c:pt>
                <c:pt idx="50">
                  <c:v>1967.8600000028075</c:v>
                </c:pt>
                <c:pt idx="51">
                  <c:v>1926.2800000027789</c:v>
                </c:pt>
                <c:pt idx="52">
                  <c:v>1788.5200000025798</c:v>
                </c:pt>
                <c:pt idx="53">
                  <c:v>1712.3600000024146</c:v>
                </c:pt>
                <c:pt idx="54">
                  <c:v>1725.3400000024415</c:v>
                </c:pt>
                <c:pt idx="55">
                  <c:v>1724.1600000024146</c:v>
                </c:pt>
                <c:pt idx="56">
                  <c:v>1893.5200000027503</c:v>
                </c:pt>
                <c:pt idx="57">
                  <c:v>2109.3000000030447</c:v>
                </c:pt>
                <c:pt idx="58">
                  <c:v>2253.6500000032843</c:v>
                </c:pt>
                <c:pt idx="59">
                  <c:v>2346.4000000035016</c:v>
                </c:pt>
                <c:pt idx="60">
                  <c:v>2557.8500000037716</c:v>
                </c:pt>
                <c:pt idx="61">
                  <c:v>2822.6300000042788</c:v>
                </c:pt>
                <c:pt idx="62">
                  <c:v>2958.6400000045269</c:v>
                </c:pt>
                <c:pt idx="63">
                  <c:v>3177.2800000048624</c:v>
                </c:pt>
                <c:pt idx="64">
                  <c:v>3333.1600000051567</c:v>
                </c:pt>
                <c:pt idx="65">
                  <c:v>3439.7700000054283</c:v>
                </c:pt>
                <c:pt idx="66">
                  <c:v>3594.2300000057385</c:v>
                </c:pt>
                <c:pt idx="67">
                  <c:v>3741.9600000060664</c:v>
                </c:pt>
                <c:pt idx="68">
                  <c:v>3870.7600000061916</c:v>
                </c:pt>
                <c:pt idx="69">
                  <c:v>4128.0400000068184</c:v>
                </c:pt>
                <c:pt idx="70">
                  <c:v>4511.2800000076149</c:v>
                </c:pt>
                <c:pt idx="71">
                  <c:v>4899.0000000084037</c:v>
                </c:pt>
                <c:pt idx="72">
                  <c:v>5198.1000000088898</c:v>
                </c:pt>
                <c:pt idx="73">
                  <c:v>5426.2000000093376</c:v>
                </c:pt>
                <c:pt idx="74">
                  <c:v>5660.6500000098358</c:v>
                </c:pt>
                <c:pt idx="75">
                  <c:v>5992.400000010417</c:v>
                </c:pt>
                <c:pt idx="76">
                  <c:v>6272.6800000109442</c:v>
                </c:pt>
                <c:pt idx="77">
                  <c:v>6517.610000011483</c:v>
                </c:pt>
                <c:pt idx="78">
                  <c:v>6720.9600000119754</c:v>
                </c:pt>
                <c:pt idx="79">
                  <c:v>6986.5000000126311</c:v>
                </c:pt>
                <c:pt idx="80">
                  <c:v>7356.3800000133197</c:v>
                </c:pt>
                <c:pt idx="81">
                  <c:v>7669.5400000140271</c:v>
                </c:pt>
                <c:pt idx="82">
                  <c:v>7951.0000000147338</c:v>
                </c:pt>
                <c:pt idx="83">
                  <c:v>8320.3600000158585</c:v>
                </c:pt>
                <c:pt idx="84">
                  <c:v>8823.2500000167747</c:v>
                </c:pt>
                <c:pt idx="85">
                  <c:v>9244.2800000176194</c:v>
                </c:pt>
                <c:pt idx="86">
                  <c:v>9713.5600000189679</c:v>
                </c:pt>
                <c:pt idx="87">
                  <c:v>10771.200000021514</c:v>
                </c:pt>
                <c:pt idx="88">
                  <c:v>12142.920000024638</c:v>
                </c:pt>
                <c:pt idx="89">
                  <c:v>13349.150000027723</c:v>
                </c:pt>
                <c:pt idx="90">
                  <c:v>14383.640000030115</c:v>
                </c:pt>
                <c:pt idx="91">
                  <c:v>15329.480000032554</c:v>
                </c:pt>
                <c:pt idx="92">
                  <c:v>16177.290000034913</c:v>
                </c:pt>
                <c:pt idx="93">
                  <c:v>16872.600000036375</c:v>
                </c:pt>
                <c:pt idx="94">
                  <c:v>17517.900000037887</c:v>
                </c:pt>
                <c:pt idx="95">
                  <c:v>18194.280000040366</c:v>
                </c:pt>
                <c:pt idx="96">
                  <c:v>18940.7000000423</c:v>
                </c:pt>
                <c:pt idx="97">
                  <c:v>20194.500000046031</c:v>
                </c:pt>
                <c:pt idx="98">
                  <c:v>21289.540000049747</c:v>
                </c:pt>
                <c:pt idx="99">
                  <c:v>22099.880000052028</c:v>
                </c:pt>
                <c:pt idx="100">
                  <c:v>22743.100000054044</c:v>
                </c:pt>
                <c:pt idx="101">
                  <c:v>23309.66000005601</c:v>
                </c:pt>
                <c:pt idx="102">
                  <c:v>23983.420000058246</c:v>
                </c:pt>
                <c:pt idx="103">
                  <c:v>24674.710000060266</c:v>
                </c:pt>
                <c:pt idx="104">
                  <c:v>25352.410000060951</c:v>
                </c:pt>
                <c:pt idx="105">
                  <c:v>26009.680000063181</c:v>
                </c:pt>
                <c:pt idx="106">
                  <c:v>26862.700000065634</c:v>
                </c:pt>
                <c:pt idx="107">
                  <c:v>27723.440000068109</c:v>
                </c:pt>
                <c:pt idx="108">
                  <c:v>28539.96000007054</c:v>
                </c:pt>
                <c:pt idx="109">
                  <c:v>29632.300000074149</c:v>
                </c:pt>
                <c:pt idx="110">
                  <c:v>31149.880000076661</c:v>
                </c:pt>
                <c:pt idx="111">
                  <c:v>32059.160000078693</c:v>
                </c:pt>
                <c:pt idx="112">
                  <c:v>32801.000000080458</c:v>
                </c:pt>
                <c:pt idx="113">
                  <c:v>33625.300000082541</c:v>
                </c:pt>
                <c:pt idx="114">
                  <c:v>34283.530000084429</c:v>
                </c:pt>
                <c:pt idx="115">
                  <c:v>35108.340000086253</c:v>
                </c:pt>
                <c:pt idx="116">
                  <c:v>36020.250000088497</c:v>
                </c:pt>
                <c:pt idx="117">
                  <c:v>37131.000000090891</c:v>
                </c:pt>
                <c:pt idx="118">
                  <c:v>38378.630000093326</c:v>
                </c:pt>
                <c:pt idx="119">
                  <c:v>39296.770000095326</c:v>
                </c:pt>
                <c:pt idx="120">
                  <c:v>40358.880000097815</c:v>
                </c:pt>
                <c:pt idx="121">
                  <c:v>41798.88000010189</c:v>
                </c:pt>
                <c:pt idx="122">
                  <c:v>43662.600000104845</c:v>
                </c:pt>
                <c:pt idx="123">
                  <c:v>44677.200000106801</c:v>
                </c:pt>
                <c:pt idx="124">
                  <c:v>45886.160000109237</c:v>
                </c:pt>
                <c:pt idx="125">
                  <c:v>47307.720000112713</c:v>
                </c:pt>
                <c:pt idx="126">
                  <c:v>48815.100000115097</c:v>
                </c:pt>
                <c:pt idx="127">
                  <c:v>50273.840000117518</c:v>
                </c:pt>
                <c:pt idx="128">
                  <c:v>51592.000000121217</c:v>
                </c:pt>
                <c:pt idx="129">
                  <c:v>52787.440000123541</c:v>
                </c:pt>
                <c:pt idx="130">
                  <c:v>53878.7800001246</c:v>
                </c:pt>
                <c:pt idx="131">
                  <c:v>54805.210000126688</c:v>
                </c:pt>
                <c:pt idx="132">
                  <c:v>52488.220000122004</c:v>
                </c:pt>
                <c:pt idx="133">
                  <c:v>50897.820000119544</c:v>
                </c:pt>
                <c:pt idx="134">
                  <c:v>50522.280000119026</c:v>
                </c:pt>
                <c:pt idx="135">
                  <c:v>50499.520000119024</c:v>
                </c:pt>
                <c:pt idx="136">
                  <c:v>50579.180000119028</c:v>
                </c:pt>
                <c:pt idx="137">
                  <c:v>50738.500000119282</c:v>
                </c:pt>
                <c:pt idx="138">
                  <c:v>50408.960000117768</c:v>
                </c:pt>
                <c:pt idx="139">
                  <c:v>50363.920000117774</c:v>
                </c:pt>
                <c:pt idx="140">
                  <c:v>50251.320000117514</c:v>
                </c:pt>
                <c:pt idx="141">
                  <c:v>50408.960000117768</c:v>
                </c:pt>
                <c:pt idx="142">
                  <c:v>50273.840000117518</c:v>
                </c:pt>
                <c:pt idx="143">
                  <c:v>50408.960000117768</c:v>
                </c:pt>
                <c:pt idx="144">
                  <c:v>50510.900000119029</c:v>
                </c:pt>
                <c:pt idx="145">
                  <c:v>50556.420000119026</c:v>
                </c:pt>
                <c:pt idx="146">
                  <c:v>50647.460000119281</c:v>
                </c:pt>
                <c:pt idx="147">
                  <c:v>51182.320000119806</c:v>
                </c:pt>
                <c:pt idx="148">
                  <c:v>51023.000000119544</c:v>
                </c:pt>
                <c:pt idx="149">
                  <c:v>50818.160000119286</c:v>
                </c:pt>
                <c:pt idx="150">
                  <c:v>50533.660000119031</c:v>
                </c:pt>
                <c:pt idx="151">
                  <c:v>50533.660000119031</c:v>
                </c:pt>
                <c:pt idx="152">
                  <c:v>50772.640000119289</c:v>
                </c:pt>
                <c:pt idx="153">
                  <c:v>50636.080000119284</c:v>
                </c:pt>
                <c:pt idx="154">
                  <c:v>50408.960000117768</c:v>
                </c:pt>
                <c:pt idx="155">
                  <c:v>50330.140000117775</c:v>
                </c:pt>
                <c:pt idx="156">
                  <c:v>50375.180000117769</c:v>
                </c:pt>
                <c:pt idx="157">
                  <c:v>50545.040000119028</c:v>
                </c:pt>
                <c:pt idx="158">
                  <c:v>50886.440000119539</c:v>
                </c:pt>
                <c:pt idx="159">
                  <c:v>50704.360000119283</c:v>
                </c:pt>
                <c:pt idx="160">
                  <c:v>50863.680000119282</c:v>
                </c:pt>
                <c:pt idx="161">
                  <c:v>50863.680000119282</c:v>
                </c:pt>
                <c:pt idx="162">
                  <c:v>50499.520000119024</c:v>
                </c:pt>
                <c:pt idx="163">
                  <c:v>50488.140000119027</c:v>
                </c:pt>
                <c:pt idx="164">
                  <c:v>50545.040000119028</c:v>
                </c:pt>
                <c:pt idx="165">
                  <c:v>50488.140000119027</c:v>
                </c:pt>
                <c:pt idx="166">
                  <c:v>50579.180000119028</c:v>
                </c:pt>
                <c:pt idx="167">
                  <c:v>50431.480000117772</c:v>
                </c:pt>
                <c:pt idx="168">
                  <c:v>50476.760000119029</c:v>
                </c:pt>
                <c:pt idx="169">
                  <c:v>50556.420000119026</c:v>
                </c:pt>
                <c:pt idx="170">
                  <c:v>50499.520000119024</c:v>
                </c:pt>
                <c:pt idx="171">
                  <c:v>50375.180000117769</c:v>
                </c:pt>
                <c:pt idx="172">
                  <c:v>50330.140000117775</c:v>
                </c:pt>
                <c:pt idx="173">
                  <c:v>50341.40000011777</c:v>
                </c:pt>
                <c:pt idx="174">
                  <c:v>50408.960000117768</c:v>
                </c:pt>
                <c:pt idx="175">
                  <c:v>50420.22000011777</c:v>
                </c:pt>
                <c:pt idx="176">
                  <c:v>50330.140000117775</c:v>
                </c:pt>
                <c:pt idx="177">
                  <c:v>50251.320000117776</c:v>
                </c:pt>
                <c:pt idx="178">
                  <c:v>50172.500000117514</c:v>
                </c:pt>
                <c:pt idx="179">
                  <c:v>50172.500000117514</c:v>
                </c:pt>
                <c:pt idx="180">
                  <c:v>50172.500000117514</c:v>
                </c:pt>
                <c:pt idx="181">
                  <c:v>50172.500000117514</c:v>
                </c:pt>
                <c:pt idx="182">
                  <c:v>50330.140000117775</c:v>
                </c:pt>
                <c:pt idx="183">
                  <c:v>50465.380000119025</c:v>
                </c:pt>
                <c:pt idx="184">
                  <c:v>50465.380000119025</c:v>
                </c:pt>
                <c:pt idx="185">
                  <c:v>50465.380000119025</c:v>
                </c:pt>
                <c:pt idx="186">
                  <c:v>50386.440000117771</c:v>
                </c:pt>
                <c:pt idx="187">
                  <c:v>50307.620000117517</c:v>
                </c:pt>
                <c:pt idx="188">
                  <c:v>50262.580000117516</c:v>
                </c:pt>
                <c:pt idx="189">
                  <c:v>50228.800000117517</c:v>
                </c:pt>
                <c:pt idx="190">
                  <c:v>50149.98000011751</c:v>
                </c:pt>
                <c:pt idx="191">
                  <c:v>49992.340000117256</c:v>
                </c:pt>
                <c:pt idx="192">
                  <c:v>49800.920000117258</c:v>
                </c:pt>
                <c:pt idx="193">
                  <c:v>49575.720000116999</c:v>
                </c:pt>
                <c:pt idx="194">
                  <c:v>49328.00000011675</c:v>
                </c:pt>
                <c:pt idx="195">
                  <c:v>49026.95000011535</c:v>
                </c:pt>
                <c:pt idx="196">
                  <c:v>48647.850000115097</c:v>
                </c:pt>
                <c:pt idx="197">
                  <c:v>48235.300000114592</c:v>
                </c:pt>
                <c:pt idx="198">
                  <c:v>47782.440000112962</c:v>
                </c:pt>
                <c:pt idx="199">
                  <c:v>47329.800000112707</c:v>
                </c:pt>
                <c:pt idx="200">
                  <c:v>46879.47000011109</c:v>
                </c:pt>
                <c:pt idx="201" formatCode="0.0">
                  <c:v>46595.290000110843</c:v>
                </c:pt>
                <c:pt idx="202" formatCode="0.0">
                  <c:v>46442.270000110839</c:v>
                </c:pt>
                <c:pt idx="203" formatCode="0.0">
                  <c:v>46365.760000110589</c:v>
                </c:pt>
                <c:pt idx="204" formatCode="0.0">
                  <c:v>46267.390000110594</c:v>
                </c:pt>
                <c:pt idx="205" formatCode="0.0">
                  <c:v>46147.160000110343</c:v>
                </c:pt>
                <c:pt idx="206" formatCode="0.0">
                  <c:v>45972.720000109235</c:v>
                </c:pt>
                <c:pt idx="207" formatCode="0.0">
                  <c:v>45767.140000108986</c:v>
                </c:pt>
                <c:pt idx="208" formatCode="0.0">
                  <c:v>45518.280000108738</c:v>
                </c:pt>
                <c:pt idx="209" formatCode="0.0">
                  <c:v>45280.240000108497</c:v>
                </c:pt>
                <c:pt idx="210" formatCode="0.0">
                  <c:v>45117.940000108494</c:v>
                </c:pt>
                <c:pt idx="211" formatCode="0.0">
                  <c:v>44977.280000108251</c:v>
                </c:pt>
                <c:pt idx="212" formatCode="0.0">
                  <c:v>44848.400000107045</c:v>
                </c:pt>
                <c:pt idx="213" formatCode="0.0">
                  <c:v>44687.900000106805</c:v>
                </c:pt>
                <c:pt idx="214" formatCode="0.0">
                  <c:v>44516.700000106561</c:v>
                </c:pt>
                <c:pt idx="215" formatCode="0.0">
                  <c:v>44356.200000106561</c:v>
                </c:pt>
                <c:pt idx="216" formatCode="0.0">
                  <c:v>44174.300000106319</c:v>
                </c:pt>
                <c:pt idx="217" formatCode="0.0">
                  <c:v>44003.100000106315</c:v>
                </c:pt>
                <c:pt idx="218" formatCode="0.0">
                  <c:v>43896.100000106075</c:v>
                </c:pt>
                <c:pt idx="219" formatCode="0.0">
                  <c:v>43789.800000105082</c:v>
                </c:pt>
                <c:pt idx="220">
                  <c:v>43652.000000104839</c:v>
                </c:pt>
                <c:pt idx="221">
                  <c:v>43514.200000104844</c:v>
                </c:pt>
                <c:pt idx="222">
                  <c:v>43408.200000104604</c:v>
                </c:pt>
                <c:pt idx="223">
                  <c:v>43270.400000104601</c:v>
                </c:pt>
                <c:pt idx="224">
                  <c:v>43079.600000104358</c:v>
                </c:pt>
                <c:pt idx="225">
                  <c:v>42846.40000010412</c:v>
                </c:pt>
                <c:pt idx="226">
                  <c:v>42605.070000102605</c:v>
                </c:pt>
                <c:pt idx="227">
                  <c:v>42353.790000102366</c:v>
                </c:pt>
                <c:pt idx="228">
                  <c:v>42071.100000102124</c:v>
                </c:pt>
                <c:pt idx="229">
                  <c:v>41798.88000010189</c:v>
                </c:pt>
                <c:pt idx="230">
                  <c:v>41519.640000100197</c:v>
                </c:pt>
                <c:pt idx="231">
                  <c:v>41261.640000099957</c:v>
                </c:pt>
                <c:pt idx="232">
                  <c:v>40983.000000099724</c:v>
                </c:pt>
                <c:pt idx="233">
                  <c:v>40704.660000098047</c:v>
                </c:pt>
                <c:pt idx="234">
                  <c:v>40440.240000097816</c:v>
                </c:pt>
                <c:pt idx="235">
                  <c:v>40175.820000097585</c:v>
                </c:pt>
                <c:pt idx="236">
                  <c:v>39880.890000097352</c:v>
                </c:pt>
                <c:pt idx="237">
                  <c:v>39537.490000095553</c:v>
                </c:pt>
                <c:pt idx="238">
                  <c:v>39246.620000095325</c:v>
                </c:pt>
                <c:pt idx="239">
                  <c:v>38945.720000095098</c:v>
                </c:pt>
                <c:pt idx="240">
                  <c:v>38655.550000093543</c:v>
                </c:pt>
                <c:pt idx="241">
                  <c:v>38348.960000093321</c:v>
                </c:pt>
                <c:pt idx="242">
                  <c:v>38368.740000093327</c:v>
                </c:pt>
                <c:pt idx="243">
                  <c:v>38586.320000093547</c:v>
                </c:pt>
                <c:pt idx="244">
                  <c:v>38339.070000093321</c:v>
                </c:pt>
                <c:pt idx="245">
                  <c:v>38121.490000093094</c:v>
                </c:pt>
                <c:pt idx="246">
                  <c:v>37903.910000092874</c:v>
                </c:pt>
                <c:pt idx="247">
                  <c:v>37667.250000091335</c:v>
                </c:pt>
                <c:pt idx="248">
                  <c:v>37482.000000091117</c:v>
                </c:pt>
                <c:pt idx="249">
                  <c:v>37404.000000091117</c:v>
                </c:pt>
                <c:pt idx="250">
                  <c:v>37472.250000091117</c:v>
                </c:pt>
                <c:pt idx="251">
                  <c:v>37394.250000091117</c:v>
                </c:pt>
                <c:pt idx="252">
                  <c:v>37170.000000090891</c:v>
                </c:pt>
                <c:pt idx="253">
                  <c:v>36838.500000090447</c:v>
                </c:pt>
                <c:pt idx="254">
                  <c:v>36452.700000088931</c:v>
                </c:pt>
                <c:pt idx="255">
                  <c:v>36039.470000088499</c:v>
                </c:pt>
                <c:pt idx="256">
                  <c:v>35562.420000086684</c:v>
                </c:pt>
                <c:pt idx="257">
                  <c:v>34947.520000086035</c:v>
                </c:pt>
                <c:pt idx="258">
                  <c:v>34199.560000084217</c:v>
                </c:pt>
                <c:pt idx="259">
                  <c:v>33294.460000082116</c:v>
                </c:pt>
                <c:pt idx="260">
                  <c:v>32420.900000080252</c:v>
                </c:pt>
                <c:pt idx="261">
                  <c:v>31595.320000078289</c:v>
                </c:pt>
                <c:pt idx="262">
                  <c:v>31018.18000007646</c:v>
                </c:pt>
                <c:pt idx="263">
                  <c:v>30412.36000007586</c:v>
                </c:pt>
                <c:pt idx="264">
                  <c:v>29632.300000074149</c:v>
                </c:pt>
                <c:pt idx="265">
                  <c:v>28794.480000072257</c:v>
                </c:pt>
                <c:pt idx="266">
                  <c:v>27939.480000069972</c:v>
                </c:pt>
                <c:pt idx="267">
                  <c:v>27031.540000067373</c:v>
                </c:pt>
                <c:pt idx="268">
                  <c:v>26133.520000063356</c:v>
                </c:pt>
                <c:pt idx="269">
                  <c:v>25149.100000060778</c:v>
                </c:pt>
                <c:pt idx="270">
                  <c:v>24313.720000058413</c:v>
                </c:pt>
                <c:pt idx="271">
                  <c:v>23459.600000056169</c:v>
                </c:pt>
                <c:pt idx="272">
                  <c:v>22569.350000053888</c:v>
                </c:pt>
                <c:pt idx="273">
                  <c:v>21710.020000050044</c:v>
                </c:pt>
                <c:pt idx="274">
                  <c:v>20837.800000048021</c:v>
                </c:pt>
                <c:pt idx="275">
                  <c:v>19964.730000045889</c:v>
                </c:pt>
                <c:pt idx="276">
                  <c:v>19098.650000042431</c:v>
                </c:pt>
                <c:pt idx="277">
                  <c:v>18217.040000040495</c:v>
                </c:pt>
                <c:pt idx="278">
                  <c:v>17285.270000037643</c:v>
                </c:pt>
                <c:pt idx="279">
                  <c:v>16244.50000003503</c:v>
                </c:pt>
                <c:pt idx="280">
                  <c:v>15039.200000032219</c:v>
                </c:pt>
                <c:pt idx="281">
                  <c:v>13840.920000028887</c:v>
                </c:pt>
                <c:pt idx="282">
                  <c:v>13358.050000027724</c:v>
                </c:pt>
                <c:pt idx="283">
                  <c:v>12771.100000026545</c:v>
                </c:pt>
                <c:pt idx="284">
                  <c:v>11974.000000024451</c:v>
                </c:pt>
                <c:pt idx="285">
                  <c:v>11079.000000022403</c:v>
                </c:pt>
                <c:pt idx="286">
                  <c:v>10179.990000019865</c:v>
                </c:pt>
                <c:pt idx="287">
                  <c:v>9322.6000000182248</c:v>
                </c:pt>
                <c:pt idx="288">
                  <c:v>8443.9900000160014</c:v>
                </c:pt>
                <c:pt idx="289">
                  <c:v>7576.4200000138953</c:v>
                </c:pt>
                <c:pt idx="290">
                  <c:v>6790.1200000120361</c:v>
                </c:pt>
                <c:pt idx="291">
                  <c:v>6083.6800000107723</c:v>
                </c:pt>
                <c:pt idx="292">
                  <c:v>5393.7200000093362</c:v>
                </c:pt>
                <c:pt idx="293">
                  <c:v>4663.1200000077561</c:v>
                </c:pt>
                <c:pt idx="294">
                  <c:v>3881.800000006192</c:v>
                </c:pt>
                <c:pt idx="295">
                  <c:v>3127.0600000048253</c:v>
                </c:pt>
                <c:pt idx="296">
                  <c:v>2567.9800000039299</c:v>
                </c:pt>
                <c:pt idx="297">
                  <c:v>2740.0100000042094</c:v>
                </c:pt>
                <c:pt idx="298">
                  <c:v>3338.2000000051949</c:v>
                </c:pt>
                <c:pt idx="299">
                  <c:v>4509.200000007615</c:v>
                </c:pt>
                <c:pt idx="300">
                  <c:v>4369.4600000072205</c:v>
                </c:pt>
                <c:pt idx="301">
                  <c:v>3683.7300000058199</c:v>
                </c:pt>
                <c:pt idx="302">
                  <c:v>2966.5400000045624</c:v>
                </c:pt>
                <c:pt idx="303">
                  <c:v>2620.1300000039637</c:v>
                </c:pt>
                <c:pt idx="304">
                  <c:v>3287.8000000051188</c:v>
                </c:pt>
                <c:pt idx="305">
                  <c:v>4155.4800000068626</c:v>
                </c:pt>
                <c:pt idx="306">
                  <c:v>2847.1100000042788</c:v>
                </c:pt>
                <c:pt idx="307">
                  <c:v>2333.8000000034699</c:v>
                </c:pt>
                <c:pt idx="308">
                  <c:v>2361.8000000035017</c:v>
                </c:pt>
                <c:pt idx="309">
                  <c:v>2380.0000000035334</c:v>
                </c:pt>
                <c:pt idx="310">
                  <c:v>2651.4200000039978</c:v>
                </c:pt>
                <c:pt idx="311">
                  <c:v>2510.660000003707</c:v>
                </c:pt>
                <c:pt idx="312">
                  <c:v>2156.4500000031921</c:v>
                </c:pt>
                <c:pt idx="313">
                  <c:v>2048.2000000029852</c:v>
                </c:pt>
                <c:pt idx="314">
                  <c:v>1945.1800000028077</c:v>
                </c:pt>
                <c:pt idx="315">
                  <c:v>1955.2600000028076</c:v>
                </c:pt>
                <c:pt idx="316">
                  <c:v>2043.0000000029854</c:v>
                </c:pt>
                <c:pt idx="317">
                  <c:v>2494.9300000037065</c:v>
                </c:pt>
                <c:pt idx="318">
                  <c:v>2536.4000000037395</c:v>
                </c:pt>
                <c:pt idx="319">
                  <c:v>3567.380000005739</c:v>
                </c:pt>
                <c:pt idx="320">
                  <c:v>2298.8000000034381</c:v>
                </c:pt>
                <c:pt idx="321">
                  <c:v>1872.7000000026351</c:v>
                </c:pt>
                <c:pt idx="322">
                  <c:v>2524.960000003739</c:v>
                </c:pt>
                <c:pt idx="323">
                  <c:v>2529.2500000037389</c:v>
                </c:pt>
                <c:pt idx="324">
                  <c:v>2427.7200000036419</c:v>
                </c:pt>
                <c:pt idx="325">
                  <c:v>2091.1000000030149</c:v>
                </c:pt>
                <c:pt idx="326">
                  <c:v>1943.9200000028077</c:v>
                </c:pt>
                <c:pt idx="327">
                  <c:v>2067.7000000030148</c:v>
                </c:pt>
                <c:pt idx="328">
                  <c:v>2245.5500000032844</c:v>
                </c:pt>
                <c:pt idx="329">
                  <c:v>2324.0000000034697</c:v>
                </c:pt>
                <c:pt idx="330">
                  <c:v>2349.2000000035014</c:v>
                </c:pt>
                <c:pt idx="331">
                  <c:v>2296.0000000034379</c:v>
                </c:pt>
                <c:pt idx="332">
                  <c:v>2062.5000000029854</c:v>
                </c:pt>
                <c:pt idx="333">
                  <c:v>1744.2200000024416</c:v>
                </c:pt>
                <c:pt idx="334">
                  <c:v>1737.1400000024414</c:v>
                </c:pt>
                <c:pt idx="335">
                  <c:v>1989.2800000028362</c:v>
                </c:pt>
                <c:pt idx="336">
                  <c:v>2062.5000000029854</c:v>
                </c:pt>
                <c:pt idx="337">
                  <c:v>2054.7000000029852</c:v>
                </c:pt>
                <c:pt idx="338">
                  <c:v>1960.3000000028076</c:v>
                </c:pt>
                <c:pt idx="339">
                  <c:v>1880.020000002663</c:v>
                </c:pt>
                <c:pt idx="340">
                  <c:v>1907.3800000027788</c:v>
                </c:pt>
                <c:pt idx="341">
                  <c:v>1907.3800000027788</c:v>
                </c:pt>
                <c:pt idx="342">
                  <c:v>2161.8500000031922</c:v>
                </c:pt>
                <c:pt idx="343">
                  <c:v>2649.9300000039975</c:v>
                </c:pt>
                <c:pt idx="344">
                  <c:v>2206.4000000032538</c:v>
                </c:pt>
                <c:pt idx="345">
                  <c:v>2788.970000004244</c:v>
                </c:pt>
                <c:pt idx="346">
                  <c:v>5261.3800000089932</c:v>
                </c:pt>
                <c:pt idx="347">
                  <c:v>5333.7000000090438</c:v>
                </c:pt>
                <c:pt idx="348">
                  <c:v>3306.2800000051566</c:v>
                </c:pt>
                <c:pt idx="349">
                  <c:v>2037.8000000029854</c:v>
                </c:pt>
                <c:pt idx="350">
                  <c:v>2252.3000000032844</c:v>
                </c:pt>
                <c:pt idx="351">
                  <c:v>2569.4700000039302</c:v>
                </c:pt>
                <c:pt idx="352">
                  <c:v>2460.610000003674</c:v>
                </c:pt>
                <c:pt idx="353">
                  <c:v>2020.9000000029559</c:v>
                </c:pt>
                <c:pt idx="354">
                  <c:v>1848.3000000026354</c:v>
                </c:pt>
                <c:pt idx="355">
                  <c:v>1845.8600000026354</c:v>
                </c:pt>
                <c:pt idx="356">
                  <c:v>1836.1000000026074</c:v>
                </c:pt>
                <c:pt idx="357">
                  <c:v>1955.2600000028076</c:v>
                </c:pt>
                <c:pt idx="358">
                  <c:v>2136.600000003074</c:v>
                </c:pt>
                <c:pt idx="359">
                  <c:v>2202.3500000032536</c:v>
                </c:pt>
                <c:pt idx="360">
                  <c:v>2106.7000000030444</c:v>
                </c:pt>
                <c:pt idx="361">
                  <c:v>2052.1000000029853</c:v>
                </c:pt>
                <c:pt idx="362">
                  <c:v>1981.7200000028363</c:v>
                </c:pt>
                <c:pt idx="363">
                  <c:v>2123.6000000030444</c:v>
                </c:pt>
                <c:pt idx="364">
                  <c:v>2230.7000000032535</c:v>
                </c:pt>
              </c:numCache>
            </c:numRef>
          </c:val>
        </c:ser>
        <c:marker val="1"/>
        <c:axId val="100881920"/>
        <c:axId val="100883456"/>
      </c:lineChart>
      <c:dateAx>
        <c:axId val="100881920"/>
        <c:scaling>
          <c:orientation val="minMax"/>
          <c:max val="40908"/>
          <c:min val="40544"/>
        </c:scaling>
        <c:axPos val="b"/>
        <c:numFmt formatCode="[$-409]d\-mmm;@" sourceLinked="0"/>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00883456"/>
        <c:crossesAt val="-1"/>
        <c:auto val="1"/>
        <c:lblOffset val="100"/>
        <c:baseTimeUnit val="days"/>
      </c:dateAx>
      <c:valAx>
        <c:axId val="100883456"/>
        <c:scaling>
          <c:orientation val="minMax"/>
          <c:max val="55000"/>
          <c:min val="0"/>
        </c:scaling>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22940416032E-2"/>
              <c:y val="0.39747963411192438"/>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0881920"/>
        <c:crosses val="autoZero"/>
        <c:crossBetween val="between"/>
        <c:majorUnit val="5000"/>
        <c:minorUnit val="1000"/>
      </c:valAx>
      <c:spPr>
        <a:noFill/>
        <a:ln w="12700">
          <a:solidFill>
            <a:srgbClr val="808080"/>
          </a:solidFill>
          <a:prstDash val="solid"/>
        </a:ln>
      </c:spPr>
    </c:plotArea>
    <c:legend>
      <c:legendPos val="r"/>
      <c:layout>
        <c:manualLayout>
          <c:xMode val="edge"/>
          <c:yMode val="edge"/>
          <c:x val="2.3548922056384744E-2"/>
          <c:y val="0.78992017048455065"/>
          <c:w val="0.95469320066375696"/>
          <c:h val="0.1997405966277559"/>
        </c:manualLayout>
      </c:layout>
      <c:overlay val="1"/>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Partner Storage for 2011</a:t>
            </a:r>
          </a:p>
        </c:rich>
      </c:tx>
      <c:layout>
        <c:manualLayout>
          <c:xMode val="edge"/>
          <c:yMode val="edge"/>
          <c:x val="0.37260018083023932"/>
          <c:y val="3.4815796540283959E-2"/>
        </c:manualLayout>
      </c:layout>
      <c:spPr>
        <a:noFill/>
        <a:ln w="25400">
          <a:noFill/>
        </a:ln>
      </c:spPr>
    </c:title>
    <c:plotArea>
      <c:layout>
        <c:manualLayout>
          <c:layoutTarget val="inner"/>
          <c:xMode val="edge"/>
          <c:yMode val="edge"/>
          <c:x val="0.12005277044860088"/>
          <c:y val="0.11764812325288609"/>
          <c:w val="0.85092348284960462"/>
          <c:h val="0.72906608625141367"/>
        </c:manualLayout>
      </c:layout>
      <c:lineChart>
        <c:grouping val="standard"/>
        <c:ser>
          <c:idx val="5"/>
          <c:order val="0"/>
          <c:tx>
            <c:strRef>
              <c:f>Calculation!$AT$7</c:f>
              <c:strCache>
                <c:ptCount val="1"/>
                <c:pt idx="0">
                  <c:v>Total Tacoma Storage (AF)</c:v>
                </c:pt>
              </c:strCache>
            </c:strRef>
          </c:tx>
          <c:spPr>
            <a:ln w="25400">
              <a:solidFill>
                <a:srgbClr val="99CC00"/>
              </a:solidFill>
              <a:prstDash val="solid"/>
            </a:ln>
          </c:spPr>
          <c:marker>
            <c:symbol val="none"/>
          </c:marker>
          <c:cat>
            <c:numRef>
              <c:f>Calculation!$B$8:$B$385</c:f>
              <c:numCache>
                <c:formatCode>m/d/yyyy</c:formatCode>
                <c:ptCount val="378"/>
                <c:pt idx="0">
                  <c:v>40537</c:v>
                </c:pt>
                <c:pt idx="1">
                  <c:v>40538</c:v>
                </c:pt>
                <c:pt idx="2">
                  <c:v>40539</c:v>
                </c:pt>
                <c:pt idx="3">
                  <c:v>40540</c:v>
                </c:pt>
                <c:pt idx="4">
                  <c:v>40541</c:v>
                </c:pt>
                <c:pt idx="5">
                  <c:v>40542</c:v>
                </c:pt>
                <c:pt idx="6">
                  <c:v>40543</c:v>
                </c:pt>
                <c:pt idx="7">
                  <c:v>40544</c:v>
                </c:pt>
                <c:pt idx="8">
                  <c:v>40545</c:v>
                </c:pt>
                <c:pt idx="9">
                  <c:v>40546</c:v>
                </c:pt>
                <c:pt idx="10">
                  <c:v>40547</c:v>
                </c:pt>
                <c:pt idx="11">
                  <c:v>40548</c:v>
                </c:pt>
                <c:pt idx="12">
                  <c:v>40549</c:v>
                </c:pt>
                <c:pt idx="13">
                  <c:v>40550</c:v>
                </c:pt>
                <c:pt idx="14">
                  <c:v>40551</c:v>
                </c:pt>
                <c:pt idx="15">
                  <c:v>40552</c:v>
                </c:pt>
                <c:pt idx="16">
                  <c:v>40553</c:v>
                </c:pt>
                <c:pt idx="17">
                  <c:v>40554</c:v>
                </c:pt>
                <c:pt idx="18">
                  <c:v>40555</c:v>
                </c:pt>
                <c:pt idx="19">
                  <c:v>40556</c:v>
                </c:pt>
                <c:pt idx="20">
                  <c:v>40557</c:v>
                </c:pt>
                <c:pt idx="21">
                  <c:v>40558</c:v>
                </c:pt>
                <c:pt idx="22">
                  <c:v>40559</c:v>
                </c:pt>
                <c:pt idx="23">
                  <c:v>40560</c:v>
                </c:pt>
                <c:pt idx="24">
                  <c:v>40561</c:v>
                </c:pt>
                <c:pt idx="25">
                  <c:v>40562</c:v>
                </c:pt>
                <c:pt idx="26">
                  <c:v>40563</c:v>
                </c:pt>
                <c:pt idx="27">
                  <c:v>40564</c:v>
                </c:pt>
                <c:pt idx="28">
                  <c:v>40565</c:v>
                </c:pt>
                <c:pt idx="29">
                  <c:v>40566</c:v>
                </c:pt>
                <c:pt idx="30">
                  <c:v>40567</c:v>
                </c:pt>
                <c:pt idx="31">
                  <c:v>40568</c:v>
                </c:pt>
                <c:pt idx="32">
                  <c:v>40569</c:v>
                </c:pt>
                <c:pt idx="33">
                  <c:v>40570</c:v>
                </c:pt>
                <c:pt idx="34">
                  <c:v>40571</c:v>
                </c:pt>
                <c:pt idx="35">
                  <c:v>40572</c:v>
                </c:pt>
                <c:pt idx="36">
                  <c:v>40573</c:v>
                </c:pt>
                <c:pt idx="37">
                  <c:v>40574</c:v>
                </c:pt>
                <c:pt idx="38">
                  <c:v>40575</c:v>
                </c:pt>
                <c:pt idx="39">
                  <c:v>40576</c:v>
                </c:pt>
                <c:pt idx="40">
                  <c:v>40577</c:v>
                </c:pt>
                <c:pt idx="41">
                  <c:v>40578</c:v>
                </c:pt>
                <c:pt idx="42">
                  <c:v>40579</c:v>
                </c:pt>
                <c:pt idx="43">
                  <c:v>40580</c:v>
                </c:pt>
                <c:pt idx="44">
                  <c:v>40581</c:v>
                </c:pt>
                <c:pt idx="45">
                  <c:v>40582</c:v>
                </c:pt>
                <c:pt idx="46">
                  <c:v>40583</c:v>
                </c:pt>
                <c:pt idx="47">
                  <c:v>40584</c:v>
                </c:pt>
                <c:pt idx="48">
                  <c:v>40585</c:v>
                </c:pt>
                <c:pt idx="49">
                  <c:v>40586</c:v>
                </c:pt>
                <c:pt idx="50">
                  <c:v>40587</c:v>
                </c:pt>
                <c:pt idx="51">
                  <c:v>40588</c:v>
                </c:pt>
                <c:pt idx="52">
                  <c:v>40589</c:v>
                </c:pt>
                <c:pt idx="53">
                  <c:v>40590</c:v>
                </c:pt>
                <c:pt idx="54">
                  <c:v>40591</c:v>
                </c:pt>
                <c:pt idx="55">
                  <c:v>40592</c:v>
                </c:pt>
                <c:pt idx="56">
                  <c:v>40593</c:v>
                </c:pt>
                <c:pt idx="57">
                  <c:v>40594</c:v>
                </c:pt>
                <c:pt idx="58">
                  <c:v>40595</c:v>
                </c:pt>
                <c:pt idx="59">
                  <c:v>40596</c:v>
                </c:pt>
                <c:pt idx="60">
                  <c:v>40597</c:v>
                </c:pt>
                <c:pt idx="61">
                  <c:v>40598</c:v>
                </c:pt>
                <c:pt idx="62">
                  <c:v>40599</c:v>
                </c:pt>
                <c:pt idx="63">
                  <c:v>40600</c:v>
                </c:pt>
                <c:pt idx="64">
                  <c:v>40601</c:v>
                </c:pt>
                <c:pt idx="65">
                  <c:v>40602</c:v>
                </c:pt>
                <c:pt idx="66">
                  <c:v>40603</c:v>
                </c:pt>
                <c:pt idx="67">
                  <c:v>40604</c:v>
                </c:pt>
                <c:pt idx="68">
                  <c:v>40605</c:v>
                </c:pt>
                <c:pt idx="69">
                  <c:v>40606</c:v>
                </c:pt>
                <c:pt idx="70">
                  <c:v>40607</c:v>
                </c:pt>
                <c:pt idx="71">
                  <c:v>40608</c:v>
                </c:pt>
                <c:pt idx="72">
                  <c:v>40609</c:v>
                </c:pt>
                <c:pt idx="73">
                  <c:v>40610</c:v>
                </c:pt>
                <c:pt idx="74">
                  <c:v>40611</c:v>
                </c:pt>
                <c:pt idx="75">
                  <c:v>40612</c:v>
                </c:pt>
                <c:pt idx="76">
                  <c:v>40613</c:v>
                </c:pt>
                <c:pt idx="77">
                  <c:v>40614</c:v>
                </c:pt>
                <c:pt idx="78">
                  <c:v>40615</c:v>
                </c:pt>
                <c:pt idx="79">
                  <c:v>40616</c:v>
                </c:pt>
                <c:pt idx="80">
                  <c:v>40617</c:v>
                </c:pt>
                <c:pt idx="81">
                  <c:v>40618</c:v>
                </c:pt>
                <c:pt idx="82">
                  <c:v>40619</c:v>
                </c:pt>
                <c:pt idx="83">
                  <c:v>40620</c:v>
                </c:pt>
                <c:pt idx="84">
                  <c:v>40621</c:v>
                </c:pt>
                <c:pt idx="85">
                  <c:v>40622</c:v>
                </c:pt>
                <c:pt idx="86">
                  <c:v>40623</c:v>
                </c:pt>
                <c:pt idx="87">
                  <c:v>40624</c:v>
                </c:pt>
                <c:pt idx="88">
                  <c:v>40625</c:v>
                </c:pt>
                <c:pt idx="89">
                  <c:v>40626</c:v>
                </c:pt>
                <c:pt idx="90">
                  <c:v>40627</c:v>
                </c:pt>
                <c:pt idx="91">
                  <c:v>40628</c:v>
                </c:pt>
                <c:pt idx="92">
                  <c:v>40629</c:v>
                </c:pt>
                <c:pt idx="93">
                  <c:v>40630</c:v>
                </c:pt>
                <c:pt idx="94">
                  <c:v>40631</c:v>
                </c:pt>
                <c:pt idx="95">
                  <c:v>40632</c:v>
                </c:pt>
                <c:pt idx="96">
                  <c:v>40633</c:v>
                </c:pt>
                <c:pt idx="97">
                  <c:v>40634</c:v>
                </c:pt>
                <c:pt idx="98">
                  <c:v>40635</c:v>
                </c:pt>
                <c:pt idx="99">
                  <c:v>40636</c:v>
                </c:pt>
                <c:pt idx="100">
                  <c:v>40637</c:v>
                </c:pt>
                <c:pt idx="101">
                  <c:v>40638</c:v>
                </c:pt>
                <c:pt idx="102">
                  <c:v>40639</c:v>
                </c:pt>
                <c:pt idx="103">
                  <c:v>40640</c:v>
                </c:pt>
                <c:pt idx="104">
                  <c:v>40641</c:v>
                </c:pt>
                <c:pt idx="105">
                  <c:v>40642</c:v>
                </c:pt>
                <c:pt idx="106">
                  <c:v>40643</c:v>
                </c:pt>
                <c:pt idx="107">
                  <c:v>40644</c:v>
                </c:pt>
                <c:pt idx="108">
                  <c:v>40645</c:v>
                </c:pt>
                <c:pt idx="109">
                  <c:v>40646</c:v>
                </c:pt>
                <c:pt idx="110">
                  <c:v>40647</c:v>
                </c:pt>
                <c:pt idx="111">
                  <c:v>40648</c:v>
                </c:pt>
                <c:pt idx="112">
                  <c:v>40649</c:v>
                </c:pt>
                <c:pt idx="113">
                  <c:v>40650</c:v>
                </c:pt>
                <c:pt idx="114">
                  <c:v>40651</c:v>
                </c:pt>
                <c:pt idx="115">
                  <c:v>40652</c:v>
                </c:pt>
                <c:pt idx="116">
                  <c:v>40653</c:v>
                </c:pt>
                <c:pt idx="117">
                  <c:v>40654</c:v>
                </c:pt>
                <c:pt idx="118">
                  <c:v>40655</c:v>
                </c:pt>
                <c:pt idx="119">
                  <c:v>40656</c:v>
                </c:pt>
                <c:pt idx="120">
                  <c:v>40657</c:v>
                </c:pt>
                <c:pt idx="121">
                  <c:v>40658</c:v>
                </c:pt>
                <c:pt idx="122">
                  <c:v>40659</c:v>
                </c:pt>
                <c:pt idx="123">
                  <c:v>40660</c:v>
                </c:pt>
                <c:pt idx="124">
                  <c:v>40661</c:v>
                </c:pt>
                <c:pt idx="125">
                  <c:v>40662</c:v>
                </c:pt>
                <c:pt idx="126">
                  <c:v>40663</c:v>
                </c:pt>
                <c:pt idx="127">
                  <c:v>40664</c:v>
                </c:pt>
                <c:pt idx="128">
                  <c:v>40665</c:v>
                </c:pt>
                <c:pt idx="129">
                  <c:v>40666</c:v>
                </c:pt>
                <c:pt idx="130">
                  <c:v>40667</c:v>
                </c:pt>
                <c:pt idx="131">
                  <c:v>40668</c:v>
                </c:pt>
                <c:pt idx="132">
                  <c:v>40669</c:v>
                </c:pt>
                <c:pt idx="133">
                  <c:v>40670</c:v>
                </c:pt>
                <c:pt idx="134">
                  <c:v>40671</c:v>
                </c:pt>
                <c:pt idx="135">
                  <c:v>40672</c:v>
                </c:pt>
                <c:pt idx="136">
                  <c:v>40673</c:v>
                </c:pt>
                <c:pt idx="137">
                  <c:v>40674</c:v>
                </c:pt>
                <c:pt idx="138">
                  <c:v>40675</c:v>
                </c:pt>
                <c:pt idx="139">
                  <c:v>40676</c:v>
                </c:pt>
                <c:pt idx="140">
                  <c:v>40677</c:v>
                </c:pt>
                <c:pt idx="141">
                  <c:v>40678</c:v>
                </c:pt>
                <c:pt idx="142">
                  <c:v>40679</c:v>
                </c:pt>
                <c:pt idx="143">
                  <c:v>40680</c:v>
                </c:pt>
                <c:pt idx="144">
                  <c:v>40681</c:v>
                </c:pt>
                <c:pt idx="145">
                  <c:v>40682</c:v>
                </c:pt>
                <c:pt idx="146">
                  <c:v>40683</c:v>
                </c:pt>
                <c:pt idx="147">
                  <c:v>40684</c:v>
                </c:pt>
                <c:pt idx="148">
                  <c:v>40685</c:v>
                </c:pt>
                <c:pt idx="149">
                  <c:v>40686</c:v>
                </c:pt>
                <c:pt idx="150">
                  <c:v>40687</c:v>
                </c:pt>
                <c:pt idx="151">
                  <c:v>40688</c:v>
                </c:pt>
                <c:pt idx="152">
                  <c:v>40689</c:v>
                </c:pt>
                <c:pt idx="153">
                  <c:v>40690</c:v>
                </c:pt>
                <c:pt idx="154">
                  <c:v>40691</c:v>
                </c:pt>
                <c:pt idx="155">
                  <c:v>40692</c:v>
                </c:pt>
                <c:pt idx="156">
                  <c:v>40693</c:v>
                </c:pt>
                <c:pt idx="157">
                  <c:v>40694</c:v>
                </c:pt>
                <c:pt idx="158">
                  <c:v>40695</c:v>
                </c:pt>
                <c:pt idx="159">
                  <c:v>40696</c:v>
                </c:pt>
                <c:pt idx="160">
                  <c:v>40697</c:v>
                </c:pt>
                <c:pt idx="161">
                  <c:v>40698</c:v>
                </c:pt>
                <c:pt idx="162">
                  <c:v>40699</c:v>
                </c:pt>
                <c:pt idx="163">
                  <c:v>40700</c:v>
                </c:pt>
                <c:pt idx="164">
                  <c:v>40701</c:v>
                </c:pt>
                <c:pt idx="165">
                  <c:v>40702</c:v>
                </c:pt>
                <c:pt idx="166">
                  <c:v>40703</c:v>
                </c:pt>
                <c:pt idx="167">
                  <c:v>40704</c:v>
                </c:pt>
                <c:pt idx="168">
                  <c:v>40705</c:v>
                </c:pt>
                <c:pt idx="169">
                  <c:v>40706</c:v>
                </c:pt>
                <c:pt idx="170">
                  <c:v>40707</c:v>
                </c:pt>
                <c:pt idx="171">
                  <c:v>40708</c:v>
                </c:pt>
                <c:pt idx="172">
                  <c:v>40709</c:v>
                </c:pt>
                <c:pt idx="173">
                  <c:v>40710</c:v>
                </c:pt>
                <c:pt idx="174">
                  <c:v>40711</c:v>
                </c:pt>
                <c:pt idx="175">
                  <c:v>40712</c:v>
                </c:pt>
                <c:pt idx="176">
                  <c:v>40713</c:v>
                </c:pt>
                <c:pt idx="177">
                  <c:v>40714</c:v>
                </c:pt>
                <c:pt idx="178">
                  <c:v>40715</c:v>
                </c:pt>
                <c:pt idx="179">
                  <c:v>40716</c:v>
                </c:pt>
                <c:pt idx="180">
                  <c:v>40717</c:v>
                </c:pt>
                <c:pt idx="181">
                  <c:v>40718</c:v>
                </c:pt>
                <c:pt idx="182">
                  <c:v>40719</c:v>
                </c:pt>
                <c:pt idx="183">
                  <c:v>40720</c:v>
                </c:pt>
                <c:pt idx="184">
                  <c:v>40721</c:v>
                </c:pt>
                <c:pt idx="185">
                  <c:v>40722</c:v>
                </c:pt>
                <c:pt idx="186">
                  <c:v>40723</c:v>
                </c:pt>
                <c:pt idx="187">
                  <c:v>40724</c:v>
                </c:pt>
                <c:pt idx="188">
                  <c:v>40725</c:v>
                </c:pt>
                <c:pt idx="189">
                  <c:v>40726</c:v>
                </c:pt>
                <c:pt idx="190">
                  <c:v>40727</c:v>
                </c:pt>
                <c:pt idx="191">
                  <c:v>40728</c:v>
                </c:pt>
                <c:pt idx="192">
                  <c:v>40729</c:v>
                </c:pt>
                <c:pt idx="193">
                  <c:v>40730</c:v>
                </c:pt>
                <c:pt idx="194">
                  <c:v>40731</c:v>
                </c:pt>
                <c:pt idx="195">
                  <c:v>40732</c:v>
                </c:pt>
                <c:pt idx="196">
                  <c:v>40733</c:v>
                </c:pt>
                <c:pt idx="197">
                  <c:v>40734</c:v>
                </c:pt>
                <c:pt idx="198">
                  <c:v>40735</c:v>
                </c:pt>
                <c:pt idx="199">
                  <c:v>40736</c:v>
                </c:pt>
                <c:pt idx="200">
                  <c:v>40737</c:v>
                </c:pt>
                <c:pt idx="201">
                  <c:v>40738</c:v>
                </c:pt>
                <c:pt idx="202">
                  <c:v>40739</c:v>
                </c:pt>
                <c:pt idx="203">
                  <c:v>40740</c:v>
                </c:pt>
                <c:pt idx="204">
                  <c:v>40741</c:v>
                </c:pt>
                <c:pt idx="205">
                  <c:v>40742</c:v>
                </c:pt>
                <c:pt idx="206">
                  <c:v>40743</c:v>
                </c:pt>
                <c:pt idx="207">
                  <c:v>40744</c:v>
                </c:pt>
                <c:pt idx="208">
                  <c:v>40745</c:v>
                </c:pt>
                <c:pt idx="209">
                  <c:v>40746</c:v>
                </c:pt>
                <c:pt idx="210">
                  <c:v>40747</c:v>
                </c:pt>
                <c:pt idx="211">
                  <c:v>40748</c:v>
                </c:pt>
                <c:pt idx="212">
                  <c:v>40749</c:v>
                </c:pt>
                <c:pt idx="213">
                  <c:v>40750</c:v>
                </c:pt>
                <c:pt idx="214">
                  <c:v>40751</c:v>
                </c:pt>
                <c:pt idx="215">
                  <c:v>40752</c:v>
                </c:pt>
                <c:pt idx="216">
                  <c:v>40753</c:v>
                </c:pt>
                <c:pt idx="217">
                  <c:v>40754</c:v>
                </c:pt>
                <c:pt idx="218">
                  <c:v>40755</c:v>
                </c:pt>
                <c:pt idx="219">
                  <c:v>40756</c:v>
                </c:pt>
                <c:pt idx="220">
                  <c:v>40757</c:v>
                </c:pt>
                <c:pt idx="221">
                  <c:v>40758</c:v>
                </c:pt>
                <c:pt idx="222">
                  <c:v>40759</c:v>
                </c:pt>
                <c:pt idx="223">
                  <c:v>40760</c:v>
                </c:pt>
                <c:pt idx="224">
                  <c:v>40761</c:v>
                </c:pt>
                <c:pt idx="225">
                  <c:v>40762</c:v>
                </c:pt>
                <c:pt idx="226">
                  <c:v>40763</c:v>
                </c:pt>
                <c:pt idx="227">
                  <c:v>40764</c:v>
                </c:pt>
                <c:pt idx="228">
                  <c:v>40765</c:v>
                </c:pt>
                <c:pt idx="229">
                  <c:v>40766</c:v>
                </c:pt>
                <c:pt idx="230">
                  <c:v>40767</c:v>
                </c:pt>
                <c:pt idx="231">
                  <c:v>40768</c:v>
                </c:pt>
                <c:pt idx="232">
                  <c:v>40769</c:v>
                </c:pt>
                <c:pt idx="233">
                  <c:v>40770</c:v>
                </c:pt>
                <c:pt idx="234">
                  <c:v>40771</c:v>
                </c:pt>
                <c:pt idx="235">
                  <c:v>40772</c:v>
                </c:pt>
                <c:pt idx="236">
                  <c:v>40773</c:v>
                </c:pt>
                <c:pt idx="237">
                  <c:v>40774</c:v>
                </c:pt>
                <c:pt idx="238">
                  <c:v>40775</c:v>
                </c:pt>
                <c:pt idx="239">
                  <c:v>40776</c:v>
                </c:pt>
                <c:pt idx="240">
                  <c:v>40777</c:v>
                </c:pt>
                <c:pt idx="241">
                  <c:v>40778</c:v>
                </c:pt>
                <c:pt idx="242">
                  <c:v>40779</c:v>
                </c:pt>
                <c:pt idx="243">
                  <c:v>40780</c:v>
                </c:pt>
                <c:pt idx="244">
                  <c:v>40781</c:v>
                </c:pt>
                <c:pt idx="245">
                  <c:v>40782</c:v>
                </c:pt>
                <c:pt idx="246">
                  <c:v>40783</c:v>
                </c:pt>
                <c:pt idx="247">
                  <c:v>40784</c:v>
                </c:pt>
                <c:pt idx="248">
                  <c:v>40785</c:v>
                </c:pt>
                <c:pt idx="249">
                  <c:v>40786</c:v>
                </c:pt>
                <c:pt idx="250">
                  <c:v>40787</c:v>
                </c:pt>
                <c:pt idx="251">
                  <c:v>40788</c:v>
                </c:pt>
                <c:pt idx="252">
                  <c:v>40789</c:v>
                </c:pt>
                <c:pt idx="253">
                  <c:v>40790</c:v>
                </c:pt>
                <c:pt idx="254">
                  <c:v>40791</c:v>
                </c:pt>
                <c:pt idx="255">
                  <c:v>40792</c:v>
                </c:pt>
                <c:pt idx="256">
                  <c:v>40793</c:v>
                </c:pt>
                <c:pt idx="257">
                  <c:v>40794</c:v>
                </c:pt>
                <c:pt idx="258">
                  <c:v>40795</c:v>
                </c:pt>
                <c:pt idx="259">
                  <c:v>40796</c:v>
                </c:pt>
                <c:pt idx="260">
                  <c:v>40797</c:v>
                </c:pt>
                <c:pt idx="261">
                  <c:v>40798</c:v>
                </c:pt>
                <c:pt idx="262">
                  <c:v>40799</c:v>
                </c:pt>
                <c:pt idx="263">
                  <c:v>40800</c:v>
                </c:pt>
                <c:pt idx="264">
                  <c:v>40801</c:v>
                </c:pt>
                <c:pt idx="265">
                  <c:v>40802</c:v>
                </c:pt>
                <c:pt idx="266">
                  <c:v>40803</c:v>
                </c:pt>
                <c:pt idx="267">
                  <c:v>40804</c:v>
                </c:pt>
                <c:pt idx="268">
                  <c:v>40805</c:v>
                </c:pt>
                <c:pt idx="269">
                  <c:v>40806</c:v>
                </c:pt>
                <c:pt idx="270">
                  <c:v>40807</c:v>
                </c:pt>
                <c:pt idx="271">
                  <c:v>40808</c:v>
                </c:pt>
                <c:pt idx="272">
                  <c:v>40809</c:v>
                </c:pt>
                <c:pt idx="273">
                  <c:v>40810</c:v>
                </c:pt>
                <c:pt idx="274">
                  <c:v>40811</c:v>
                </c:pt>
                <c:pt idx="275">
                  <c:v>40812</c:v>
                </c:pt>
                <c:pt idx="276">
                  <c:v>40813</c:v>
                </c:pt>
                <c:pt idx="277">
                  <c:v>40814</c:v>
                </c:pt>
                <c:pt idx="278">
                  <c:v>40815</c:v>
                </c:pt>
                <c:pt idx="279">
                  <c:v>40816</c:v>
                </c:pt>
                <c:pt idx="280">
                  <c:v>40817</c:v>
                </c:pt>
                <c:pt idx="281">
                  <c:v>40818</c:v>
                </c:pt>
                <c:pt idx="282">
                  <c:v>40819</c:v>
                </c:pt>
                <c:pt idx="283">
                  <c:v>40820</c:v>
                </c:pt>
                <c:pt idx="284">
                  <c:v>40821</c:v>
                </c:pt>
                <c:pt idx="285">
                  <c:v>40822</c:v>
                </c:pt>
                <c:pt idx="286">
                  <c:v>40823</c:v>
                </c:pt>
                <c:pt idx="287">
                  <c:v>40824</c:v>
                </c:pt>
                <c:pt idx="288">
                  <c:v>40825</c:v>
                </c:pt>
                <c:pt idx="289">
                  <c:v>40826</c:v>
                </c:pt>
                <c:pt idx="290">
                  <c:v>40827</c:v>
                </c:pt>
                <c:pt idx="291">
                  <c:v>40828</c:v>
                </c:pt>
                <c:pt idx="292">
                  <c:v>40829</c:v>
                </c:pt>
                <c:pt idx="293">
                  <c:v>40830</c:v>
                </c:pt>
                <c:pt idx="294">
                  <c:v>40831</c:v>
                </c:pt>
                <c:pt idx="295">
                  <c:v>40832</c:v>
                </c:pt>
                <c:pt idx="296">
                  <c:v>40833</c:v>
                </c:pt>
                <c:pt idx="297">
                  <c:v>40834</c:v>
                </c:pt>
                <c:pt idx="298">
                  <c:v>40835</c:v>
                </c:pt>
                <c:pt idx="299">
                  <c:v>40836</c:v>
                </c:pt>
                <c:pt idx="300">
                  <c:v>40837</c:v>
                </c:pt>
                <c:pt idx="301">
                  <c:v>40838</c:v>
                </c:pt>
                <c:pt idx="302">
                  <c:v>40839</c:v>
                </c:pt>
                <c:pt idx="303">
                  <c:v>40840</c:v>
                </c:pt>
                <c:pt idx="304">
                  <c:v>40841</c:v>
                </c:pt>
                <c:pt idx="305">
                  <c:v>40842</c:v>
                </c:pt>
                <c:pt idx="306">
                  <c:v>40843</c:v>
                </c:pt>
                <c:pt idx="307">
                  <c:v>40844</c:v>
                </c:pt>
                <c:pt idx="308">
                  <c:v>40845</c:v>
                </c:pt>
                <c:pt idx="309">
                  <c:v>40846</c:v>
                </c:pt>
                <c:pt idx="310">
                  <c:v>40847</c:v>
                </c:pt>
                <c:pt idx="311">
                  <c:v>40848</c:v>
                </c:pt>
                <c:pt idx="312">
                  <c:v>40849</c:v>
                </c:pt>
                <c:pt idx="313">
                  <c:v>40850</c:v>
                </c:pt>
                <c:pt idx="314">
                  <c:v>40851</c:v>
                </c:pt>
                <c:pt idx="315">
                  <c:v>40852</c:v>
                </c:pt>
                <c:pt idx="316">
                  <c:v>40853</c:v>
                </c:pt>
                <c:pt idx="317">
                  <c:v>40854</c:v>
                </c:pt>
                <c:pt idx="318">
                  <c:v>40855</c:v>
                </c:pt>
                <c:pt idx="319">
                  <c:v>40856</c:v>
                </c:pt>
                <c:pt idx="320">
                  <c:v>40857</c:v>
                </c:pt>
                <c:pt idx="321">
                  <c:v>40858</c:v>
                </c:pt>
                <c:pt idx="322">
                  <c:v>40859</c:v>
                </c:pt>
                <c:pt idx="323">
                  <c:v>40860</c:v>
                </c:pt>
                <c:pt idx="324">
                  <c:v>40861</c:v>
                </c:pt>
                <c:pt idx="325">
                  <c:v>40862</c:v>
                </c:pt>
                <c:pt idx="326">
                  <c:v>40863</c:v>
                </c:pt>
                <c:pt idx="327">
                  <c:v>40864</c:v>
                </c:pt>
                <c:pt idx="328">
                  <c:v>40865</c:v>
                </c:pt>
                <c:pt idx="329">
                  <c:v>40866</c:v>
                </c:pt>
                <c:pt idx="330">
                  <c:v>40867</c:v>
                </c:pt>
                <c:pt idx="331">
                  <c:v>40868</c:v>
                </c:pt>
                <c:pt idx="332">
                  <c:v>40869</c:v>
                </c:pt>
                <c:pt idx="333">
                  <c:v>40870</c:v>
                </c:pt>
                <c:pt idx="334">
                  <c:v>40871</c:v>
                </c:pt>
                <c:pt idx="335">
                  <c:v>40872</c:v>
                </c:pt>
                <c:pt idx="336">
                  <c:v>40873</c:v>
                </c:pt>
                <c:pt idx="337">
                  <c:v>40874</c:v>
                </c:pt>
                <c:pt idx="338">
                  <c:v>40875</c:v>
                </c:pt>
                <c:pt idx="339">
                  <c:v>40876</c:v>
                </c:pt>
                <c:pt idx="340">
                  <c:v>40877</c:v>
                </c:pt>
                <c:pt idx="341">
                  <c:v>40878</c:v>
                </c:pt>
                <c:pt idx="342">
                  <c:v>40879</c:v>
                </c:pt>
                <c:pt idx="343">
                  <c:v>40880</c:v>
                </c:pt>
                <c:pt idx="344">
                  <c:v>40881</c:v>
                </c:pt>
                <c:pt idx="345">
                  <c:v>40882</c:v>
                </c:pt>
                <c:pt idx="346">
                  <c:v>40883</c:v>
                </c:pt>
                <c:pt idx="347">
                  <c:v>40884</c:v>
                </c:pt>
                <c:pt idx="348">
                  <c:v>40885</c:v>
                </c:pt>
                <c:pt idx="349">
                  <c:v>40886</c:v>
                </c:pt>
                <c:pt idx="350">
                  <c:v>40887</c:v>
                </c:pt>
                <c:pt idx="351">
                  <c:v>40888</c:v>
                </c:pt>
                <c:pt idx="352">
                  <c:v>40889</c:v>
                </c:pt>
                <c:pt idx="353">
                  <c:v>40890</c:v>
                </c:pt>
                <c:pt idx="354">
                  <c:v>40891</c:v>
                </c:pt>
                <c:pt idx="355">
                  <c:v>40892</c:v>
                </c:pt>
                <c:pt idx="356">
                  <c:v>40893</c:v>
                </c:pt>
                <c:pt idx="357">
                  <c:v>40894</c:v>
                </c:pt>
                <c:pt idx="358">
                  <c:v>40895</c:v>
                </c:pt>
                <c:pt idx="359">
                  <c:v>40896</c:v>
                </c:pt>
                <c:pt idx="360">
                  <c:v>40897</c:v>
                </c:pt>
                <c:pt idx="361">
                  <c:v>40898</c:v>
                </c:pt>
                <c:pt idx="362">
                  <c:v>40899</c:v>
                </c:pt>
                <c:pt idx="363">
                  <c:v>40900</c:v>
                </c:pt>
                <c:pt idx="364">
                  <c:v>40901</c:v>
                </c:pt>
                <c:pt idx="365">
                  <c:v>40902</c:v>
                </c:pt>
                <c:pt idx="366">
                  <c:v>40903</c:v>
                </c:pt>
                <c:pt idx="367">
                  <c:v>40904</c:v>
                </c:pt>
                <c:pt idx="368">
                  <c:v>40905</c:v>
                </c:pt>
                <c:pt idx="369">
                  <c:v>40906</c:v>
                </c:pt>
                <c:pt idx="370">
                  <c:v>40907</c:v>
                </c:pt>
                <c:pt idx="371">
                  <c:v>40908</c:v>
                </c:pt>
                <c:pt idx="372">
                  <c:v>40909</c:v>
                </c:pt>
                <c:pt idx="373">
                  <c:v>40910</c:v>
                </c:pt>
                <c:pt idx="374">
                  <c:v>40911</c:v>
                </c:pt>
                <c:pt idx="375">
                  <c:v>40912</c:v>
                </c:pt>
                <c:pt idx="376">
                  <c:v>40913</c:v>
                </c:pt>
                <c:pt idx="377">
                  <c:v>40914</c:v>
                </c:pt>
              </c:numCache>
            </c:numRef>
          </c:cat>
          <c:val>
            <c:numRef>
              <c:f>Calculation!$AT$8:$AT$385</c:f>
              <c:numCache>
                <c:formatCode>0.00</c:formatCode>
                <c:ptCount val="3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82.631466666666668</c:v>
                </c:pt>
                <c:pt idx="67">
                  <c:v>165.26293333333334</c:v>
                </c:pt>
                <c:pt idx="68">
                  <c:v>247.89439999999999</c:v>
                </c:pt>
                <c:pt idx="69">
                  <c:v>330.52586666666667</c:v>
                </c:pt>
                <c:pt idx="70">
                  <c:v>413.15733333333333</c:v>
                </c:pt>
                <c:pt idx="71">
                  <c:v>495.78879999999998</c:v>
                </c:pt>
                <c:pt idx="72">
                  <c:v>578.42026666666663</c:v>
                </c:pt>
                <c:pt idx="73">
                  <c:v>661.05173333333335</c:v>
                </c:pt>
                <c:pt idx="74">
                  <c:v>743.68320000000006</c:v>
                </c:pt>
                <c:pt idx="75">
                  <c:v>826.31466666666665</c:v>
                </c:pt>
                <c:pt idx="76">
                  <c:v>908.94613333333325</c:v>
                </c:pt>
                <c:pt idx="77">
                  <c:v>991.57759999999996</c:v>
                </c:pt>
                <c:pt idx="78">
                  <c:v>1074.2090666666666</c:v>
                </c:pt>
                <c:pt idx="79">
                  <c:v>1156.8405333333333</c:v>
                </c:pt>
                <c:pt idx="80">
                  <c:v>1239.472</c:v>
                </c:pt>
                <c:pt idx="81">
                  <c:v>1322.1034666666667</c:v>
                </c:pt>
                <c:pt idx="82">
                  <c:v>1404.7349333333334</c:v>
                </c:pt>
                <c:pt idx="83">
                  <c:v>1487.3664000000001</c:v>
                </c:pt>
                <c:pt idx="84">
                  <c:v>1569.9978666666668</c:v>
                </c:pt>
                <c:pt idx="85">
                  <c:v>1652.6293333333333</c:v>
                </c:pt>
                <c:pt idx="86">
                  <c:v>1735.2607999999998</c:v>
                </c:pt>
                <c:pt idx="87">
                  <c:v>1817.8922666666663</c:v>
                </c:pt>
                <c:pt idx="88">
                  <c:v>1900.5237333333328</c:v>
                </c:pt>
                <c:pt idx="89">
                  <c:v>1983.1551999999992</c:v>
                </c:pt>
                <c:pt idx="90">
                  <c:v>2065.786666666666</c:v>
                </c:pt>
                <c:pt idx="91">
                  <c:v>2148.4181333333322</c:v>
                </c:pt>
                <c:pt idx="92">
                  <c:v>2231.0495999999989</c:v>
                </c:pt>
                <c:pt idx="93">
                  <c:v>2313.6810666666652</c:v>
                </c:pt>
                <c:pt idx="94">
                  <c:v>2396.3125333333319</c:v>
                </c:pt>
                <c:pt idx="95">
                  <c:v>2478.9439999999981</c:v>
                </c:pt>
                <c:pt idx="96">
                  <c:v>2561.5754666666649</c:v>
                </c:pt>
                <c:pt idx="97">
                  <c:v>2644.2069333333311</c:v>
                </c:pt>
                <c:pt idx="98">
                  <c:v>2726.8383999999978</c:v>
                </c:pt>
                <c:pt idx="99">
                  <c:v>2809.4698666666645</c:v>
                </c:pt>
                <c:pt idx="100">
                  <c:v>2892.1013333333308</c:v>
                </c:pt>
                <c:pt idx="101">
                  <c:v>2974.7327999999975</c:v>
                </c:pt>
                <c:pt idx="102">
                  <c:v>3057.3642666666638</c:v>
                </c:pt>
                <c:pt idx="103">
                  <c:v>3139.9957333333305</c:v>
                </c:pt>
                <c:pt idx="104">
                  <c:v>3222.6271999999967</c:v>
                </c:pt>
                <c:pt idx="105">
                  <c:v>3305.2586666666639</c:v>
                </c:pt>
                <c:pt idx="106">
                  <c:v>3387.8901333333306</c:v>
                </c:pt>
                <c:pt idx="107">
                  <c:v>3470.5215999999973</c:v>
                </c:pt>
                <c:pt idx="108">
                  <c:v>3553.1530666666645</c:v>
                </c:pt>
                <c:pt idx="109">
                  <c:v>3635.7845333333312</c:v>
                </c:pt>
                <c:pt idx="110">
                  <c:v>3718.4159999999979</c:v>
                </c:pt>
                <c:pt idx="111">
                  <c:v>3801.0474666666651</c:v>
                </c:pt>
                <c:pt idx="112">
                  <c:v>3883.6789333333318</c:v>
                </c:pt>
                <c:pt idx="113">
                  <c:v>3966.3103999999985</c:v>
                </c:pt>
                <c:pt idx="114">
                  <c:v>4048.9418666666652</c:v>
                </c:pt>
                <c:pt idx="115">
                  <c:v>4131.5733333333319</c:v>
                </c:pt>
                <c:pt idx="116">
                  <c:v>4214.2047999999995</c:v>
                </c:pt>
                <c:pt idx="117">
                  <c:v>4296.8362666666662</c:v>
                </c:pt>
                <c:pt idx="118">
                  <c:v>4379.4677333333329</c:v>
                </c:pt>
                <c:pt idx="119">
                  <c:v>4462.0991999999997</c:v>
                </c:pt>
                <c:pt idx="120">
                  <c:v>4544.7306666666664</c:v>
                </c:pt>
                <c:pt idx="121">
                  <c:v>4627.3621333333331</c:v>
                </c:pt>
                <c:pt idx="122">
                  <c:v>4709.9935999999998</c:v>
                </c:pt>
                <c:pt idx="123">
                  <c:v>4792.6250666666674</c:v>
                </c:pt>
                <c:pt idx="124">
                  <c:v>4875.2565333333341</c:v>
                </c:pt>
                <c:pt idx="125">
                  <c:v>4957.8880000000008</c:v>
                </c:pt>
                <c:pt idx="126">
                  <c:v>5040.5194666666675</c:v>
                </c:pt>
                <c:pt idx="127">
                  <c:v>5123.1509333333343</c:v>
                </c:pt>
                <c:pt idx="128">
                  <c:v>5205.782400000001</c:v>
                </c:pt>
                <c:pt idx="129">
                  <c:v>5288.4138666666686</c:v>
                </c:pt>
                <c:pt idx="130">
                  <c:v>5371.0453333333353</c:v>
                </c:pt>
                <c:pt idx="131">
                  <c:v>5453.676800000002</c:v>
                </c:pt>
                <c:pt idx="132">
                  <c:v>5536.3082666666687</c:v>
                </c:pt>
                <c:pt idx="133">
                  <c:v>5618.9397333333354</c:v>
                </c:pt>
                <c:pt idx="134">
                  <c:v>5701.5712000000021</c:v>
                </c:pt>
                <c:pt idx="135">
                  <c:v>5784.2026666666698</c:v>
                </c:pt>
                <c:pt idx="136">
                  <c:v>5866.8341333333365</c:v>
                </c:pt>
                <c:pt idx="137">
                  <c:v>5949.4656000000032</c:v>
                </c:pt>
                <c:pt idx="138">
                  <c:v>6032.0970666666699</c:v>
                </c:pt>
                <c:pt idx="139">
                  <c:v>6114.7285333333366</c:v>
                </c:pt>
                <c:pt idx="140">
                  <c:v>6197.3600000000033</c:v>
                </c:pt>
                <c:pt idx="141">
                  <c:v>6279.99146666667</c:v>
                </c:pt>
                <c:pt idx="142">
                  <c:v>6362.6229333333367</c:v>
                </c:pt>
                <c:pt idx="143">
                  <c:v>6445.2544000000034</c:v>
                </c:pt>
                <c:pt idx="144">
                  <c:v>6527.8858666666702</c:v>
                </c:pt>
                <c:pt idx="145">
                  <c:v>6610.5173333333369</c:v>
                </c:pt>
                <c:pt idx="146">
                  <c:v>6693.1488000000045</c:v>
                </c:pt>
                <c:pt idx="147">
                  <c:v>6775.7802666666712</c:v>
                </c:pt>
                <c:pt idx="148">
                  <c:v>6858.4117333333379</c:v>
                </c:pt>
                <c:pt idx="149">
                  <c:v>6941.0432000000046</c:v>
                </c:pt>
                <c:pt idx="150">
                  <c:v>7023.6746666666713</c:v>
                </c:pt>
                <c:pt idx="151">
                  <c:v>7106.306133333338</c:v>
                </c:pt>
                <c:pt idx="152">
                  <c:v>7188.9376000000047</c:v>
                </c:pt>
                <c:pt idx="153">
                  <c:v>7271.5690666666724</c:v>
                </c:pt>
                <c:pt idx="154">
                  <c:v>7354.2005333333391</c:v>
                </c:pt>
                <c:pt idx="155">
                  <c:v>7436.8320000000058</c:v>
                </c:pt>
                <c:pt idx="156">
                  <c:v>7519.4634666666725</c:v>
                </c:pt>
                <c:pt idx="157">
                  <c:v>7602.0949333333392</c:v>
                </c:pt>
                <c:pt idx="158">
                  <c:v>7684.7264000000059</c:v>
                </c:pt>
                <c:pt idx="159">
                  <c:v>7767.3578666666735</c:v>
                </c:pt>
                <c:pt idx="160">
                  <c:v>7849.9893333333403</c:v>
                </c:pt>
                <c:pt idx="161">
                  <c:v>7932.620800000007</c:v>
                </c:pt>
                <c:pt idx="162">
                  <c:v>8015.2522666666737</c:v>
                </c:pt>
                <c:pt idx="163">
                  <c:v>8097.8837333333404</c:v>
                </c:pt>
                <c:pt idx="164">
                  <c:v>8180.5152000000071</c:v>
                </c:pt>
                <c:pt idx="165">
                  <c:v>8263.1466666666747</c:v>
                </c:pt>
                <c:pt idx="166">
                  <c:v>8333.3333333333321</c:v>
                </c:pt>
                <c:pt idx="167">
                  <c:v>8333.3333333333321</c:v>
                </c:pt>
                <c:pt idx="168">
                  <c:v>8333.3333333333321</c:v>
                </c:pt>
                <c:pt idx="169">
                  <c:v>8333.3333333333321</c:v>
                </c:pt>
                <c:pt idx="170">
                  <c:v>8333.3333333333321</c:v>
                </c:pt>
                <c:pt idx="171">
                  <c:v>8333.3333333333321</c:v>
                </c:pt>
                <c:pt idx="172">
                  <c:v>8333.3333333333321</c:v>
                </c:pt>
                <c:pt idx="173">
                  <c:v>8333.3333333333321</c:v>
                </c:pt>
                <c:pt idx="174">
                  <c:v>8333.3333333333321</c:v>
                </c:pt>
                <c:pt idx="175">
                  <c:v>8333.3333333333321</c:v>
                </c:pt>
                <c:pt idx="176">
                  <c:v>8333.3333333333321</c:v>
                </c:pt>
                <c:pt idx="177">
                  <c:v>8333.3333333333321</c:v>
                </c:pt>
                <c:pt idx="178">
                  <c:v>8333.3333333333321</c:v>
                </c:pt>
                <c:pt idx="179">
                  <c:v>8333.3333333333321</c:v>
                </c:pt>
                <c:pt idx="180">
                  <c:v>8333.3333333333321</c:v>
                </c:pt>
                <c:pt idx="181">
                  <c:v>8333.3333333333321</c:v>
                </c:pt>
                <c:pt idx="182">
                  <c:v>8333.3333333333321</c:v>
                </c:pt>
                <c:pt idx="183">
                  <c:v>8333.3333333333321</c:v>
                </c:pt>
                <c:pt idx="184">
                  <c:v>8333.3333333333321</c:v>
                </c:pt>
                <c:pt idx="185">
                  <c:v>4166.6666666666661</c:v>
                </c:pt>
                <c:pt idx="186">
                  <c:v>4166.6666666666661</c:v>
                </c:pt>
                <c:pt idx="187">
                  <c:v>4166.6666666666661</c:v>
                </c:pt>
                <c:pt idx="188">
                  <c:v>4166.6666666666661</c:v>
                </c:pt>
                <c:pt idx="189">
                  <c:v>4166.6666666666661</c:v>
                </c:pt>
                <c:pt idx="190">
                  <c:v>4166.6666666666661</c:v>
                </c:pt>
                <c:pt idx="191">
                  <c:v>4166.6666666666661</c:v>
                </c:pt>
                <c:pt idx="192">
                  <c:v>4166.6666666666661</c:v>
                </c:pt>
                <c:pt idx="193">
                  <c:v>4166.6666666666661</c:v>
                </c:pt>
                <c:pt idx="194">
                  <c:v>4166.6666666666661</c:v>
                </c:pt>
                <c:pt idx="195">
                  <c:v>4166.6666666666661</c:v>
                </c:pt>
                <c:pt idx="196">
                  <c:v>4166.6666666666661</c:v>
                </c:pt>
                <c:pt idx="197">
                  <c:v>4166.6666666666661</c:v>
                </c:pt>
                <c:pt idx="198">
                  <c:v>4166.6666666666661</c:v>
                </c:pt>
                <c:pt idx="199">
                  <c:v>4166.6666666666661</c:v>
                </c:pt>
                <c:pt idx="200">
                  <c:v>4166.6666666666661</c:v>
                </c:pt>
                <c:pt idx="201">
                  <c:v>4166.6666666666661</c:v>
                </c:pt>
                <c:pt idx="202">
                  <c:v>4166.6666666666661</c:v>
                </c:pt>
                <c:pt idx="203">
                  <c:v>4166.6666666666661</c:v>
                </c:pt>
                <c:pt idx="204">
                  <c:v>4166.6666666666661</c:v>
                </c:pt>
                <c:pt idx="205">
                  <c:v>4166.6666666666661</c:v>
                </c:pt>
                <c:pt idx="206">
                  <c:v>4166.6666666666661</c:v>
                </c:pt>
                <c:pt idx="207">
                  <c:v>4166.6666666666661</c:v>
                </c:pt>
                <c:pt idx="208">
                  <c:v>4166.6666666666661</c:v>
                </c:pt>
                <c:pt idx="209">
                  <c:v>4166.6666666666661</c:v>
                </c:pt>
                <c:pt idx="210">
                  <c:v>4166.6666666666661</c:v>
                </c:pt>
                <c:pt idx="211">
                  <c:v>4166.6666666666661</c:v>
                </c:pt>
                <c:pt idx="212">
                  <c:v>4166.6666666666661</c:v>
                </c:pt>
                <c:pt idx="213">
                  <c:v>4166.6666666666661</c:v>
                </c:pt>
                <c:pt idx="214">
                  <c:v>4166.6666666666661</c:v>
                </c:pt>
                <c:pt idx="215">
                  <c:v>4166.6666666666661</c:v>
                </c:pt>
                <c:pt idx="216">
                  <c:v>4166.6666666666661</c:v>
                </c:pt>
                <c:pt idx="217">
                  <c:v>4166.6666666666661</c:v>
                </c:pt>
                <c:pt idx="218">
                  <c:v>4166.6666666666661</c:v>
                </c:pt>
                <c:pt idx="219">
                  <c:v>4166.6666666666661</c:v>
                </c:pt>
                <c:pt idx="220">
                  <c:v>4166.6666666666661</c:v>
                </c:pt>
                <c:pt idx="221">
                  <c:v>4166.6666666666661</c:v>
                </c:pt>
                <c:pt idx="222">
                  <c:v>4166.6666666666661</c:v>
                </c:pt>
                <c:pt idx="223">
                  <c:v>4166.6666666666661</c:v>
                </c:pt>
                <c:pt idx="224">
                  <c:v>4166.6666666666661</c:v>
                </c:pt>
                <c:pt idx="225">
                  <c:v>4166.6666666666661</c:v>
                </c:pt>
                <c:pt idx="226">
                  <c:v>4166.6666666666661</c:v>
                </c:pt>
                <c:pt idx="227">
                  <c:v>4166.6666666666661</c:v>
                </c:pt>
                <c:pt idx="228">
                  <c:v>4166.6666666666661</c:v>
                </c:pt>
                <c:pt idx="229">
                  <c:v>4166.6666666666661</c:v>
                </c:pt>
                <c:pt idx="230">
                  <c:v>4166.6666666666661</c:v>
                </c:pt>
                <c:pt idx="231">
                  <c:v>4166.6666666666661</c:v>
                </c:pt>
                <c:pt idx="232">
                  <c:v>4166.6666666666661</c:v>
                </c:pt>
                <c:pt idx="233">
                  <c:v>4166.6666666666661</c:v>
                </c:pt>
                <c:pt idx="234">
                  <c:v>4166.6666666666661</c:v>
                </c:pt>
                <c:pt idx="235">
                  <c:v>4166.6666666666661</c:v>
                </c:pt>
                <c:pt idx="236">
                  <c:v>4166.6666666666661</c:v>
                </c:pt>
                <c:pt idx="237">
                  <c:v>4166.6666666666661</c:v>
                </c:pt>
                <c:pt idx="238">
                  <c:v>4166.6666666666661</c:v>
                </c:pt>
                <c:pt idx="239">
                  <c:v>4166.6666666666661</c:v>
                </c:pt>
                <c:pt idx="240">
                  <c:v>4166.6666666666661</c:v>
                </c:pt>
                <c:pt idx="241">
                  <c:v>4166.6666666666661</c:v>
                </c:pt>
                <c:pt idx="242">
                  <c:v>4166.6666666666661</c:v>
                </c:pt>
                <c:pt idx="243">
                  <c:v>4166.6666666666661</c:v>
                </c:pt>
                <c:pt idx="244">
                  <c:v>4166.6666666666661</c:v>
                </c:pt>
                <c:pt idx="245">
                  <c:v>4166.6666666666661</c:v>
                </c:pt>
                <c:pt idx="246">
                  <c:v>4166.6666666666661</c:v>
                </c:pt>
                <c:pt idx="247">
                  <c:v>4166.6666666666661</c:v>
                </c:pt>
                <c:pt idx="248">
                  <c:v>4166.6666666666661</c:v>
                </c:pt>
                <c:pt idx="249">
                  <c:v>4166.6666666666661</c:v>
                </c:pt>
                <c:pt idx="250">
                  <c:v>4166.6666666666661</c:v>
                </c:pt>
                <c:pt idx="251">
                  <c:v>4166.6666666666661</c:v>
                </c:pt>
                <c:pt idx="252">
                  <c:v>4166.6666666666661</c:v>
                </c:pt>
                <c:pt idx="253">
                  <c:v>4166.6666666666661</c:v>
                </c:pt>
                <c:pt idx="254">
                  <c:v>4166.6666666666661</c:v>
                </c:pt>
                <c:pt idx="255">
                  <c:v>2566.3978666666662</c:v>
                </c:pt>
                <c:pt idx="256">
                  <c:v>2566.3978666666662</c:v>
                </c:pt>
                <c:pt idx="257">
                  <c:v>2566.3978666666662</c:v>
                </c:pt>
                <c:pt idx="258">
                  <c:v>2566.3978666666662</c:v>
                </c:pt>
                <c:pt idx="259">
                  <c:v>2566.3978666666662</c:v>
                </c:pt>
                <c:pt idx="260">
                  <c:v>2566.3978666666662</c:v>
                </c:pt>
                <c:pt idx="261">
                  <c:v>2566.3978666666662</c:v>
                </c:pt>
                <c:pt idx="262">
                  <c:v>2566.3978666666662</c:v>
                </c:pt>
                <c:pt idx="263">
                  <c:v>2566.3978666666662</c:v>
                </c:pt>
                <c:pt idx="264">
                  <c:v>2566.3978666666662</c:v>
                </c:pt>
                <c:pt idx="265">
                  <c:v>2566.3978666666662</c:v>
                </c:pt>
                <c:pt idx="266">
                  <c:v>2566.3978666666662</c:v>
                </c:pt>
                <c:pt idx="267">
                  <c:v>2566.3978666666662</c:v>
                </c:pt>
                <c:pt idx="268">
                  <c:v>2566.3978666666662</c:v>
                </c:pt>
                <c:pt idx="269">
                  <c:v>1966.2970666666663</c:v>
                </c:pt>
                <c:pt idx="270">
                  <c:v>1966.2970666666663</c:v>
                </c:pt>
                <c:pt idx="271">
                  <c:v>1966.2970666666663</c:v>
                </c:pt>
                <c:pt idx="272">
                  <c:v>1966.2970666666663</c:v>
                </c:pt>
                <c:pt idx="273">
                  <c:v>1966.2970666666663</c:v>
                </c:pt>
                <c:pt idx="274">
                  <c:v>1966.2970666666663</c:v>
                </c:pt>
                <c:pt idx="275">
                  <c:v>1966.2970666666663</c:v>
                </c:pt>
                <c:pt idx="276">
                  <c:v>1966.2970666666663</c:v>
                </c:pt>
                <c:pt idx="277">
                  <c:v>1966.2970666666663</c:v>
                </c:pt>
                <c:pt idx="278">
                  <c:v>1966.2970666666663</c:v>
                </c:pt>
                <c:pt idx="279">
                  <c:v>1966.2970666666663</c:v>
                </c:pt>
                <c:pt idx="280">
                  <c:v>1966.2970666666663</c:v>
                </c:pt>
                <c:pt idx="281">
                  <c:v>1966.2970666666663</c:v>
                </c:pt>
                <c:pt idx="282">
                  <c:v>1966.2970666666663</c:v>
                </c:pt>
                <c:pt idx="283">
                  <c:v>966.12906666666618</c:v>
                </c:pt>
                <c:pt idx="284">
                  <c:v>966.12906666666618</c:v>
                </c:pt>
                <c:pt idx="285">
                  <c:v>966.12906666666618</c:v>
                </c:pt>
                <c:pt idx="286">
                  <c:v>966.12906666666618</c:v>
                </c:pt>
                <c:pt idx="287">
                  <c:v>966.12906666666618</c:v>
                </c:pt>
                <c:pt idx="288">
                  <c:v>966.12906666666618</c:v>
                </c:pt>
                <c:pt idx="289">
                  <c:v>632.07295466666619</c:v>
                </c:pt>
                <c:pt idx="290">
                  <c:v>632.07295466666619</c:v>
                </c:pt>
                <c:pt idx="291">
                  <c:v>632.07295466666619</c:v>
                </c:pt>
                <c:pt idx="292">
                  <c:v>632.07295466666619</c:v>
                </c:pt>
                <c:pt idx="293">
                  <c:v>632.07295466666619</c:v>
                </c:pt>
                <c:pt idx="294">
                  <c:v>632.07295466666619</c:v>
                </c:pt>
                <c:pt idx="295">
                  <c:v>632.07295466666619</c:v>
                </c:pt>
                <c:pt idx="296">
                  <c:v>632.07295466666619</c:v>
                </c:pt>
                <c:pt idx="297">
                  <c:v>292.01583466666614</c:v>
                </c:pt>
                <c:pt idx="298">
                  <c:v>292.01583466666614</c:v>
                </c:pt>
                <c:pt idx="299">
                  <c:v>292.01583466666614</c:v>
                </c:pt>
                <c:pt idx="300">
                  <c:v>292.01583466666614</c:v>
                </c:pt>
                <c:pt idx="301">
                  <c:v>292.01583466666614</c:v>
                </c:pt>
                <c:pt idx="302">
                  <c:v>292.01583466666614</c:v>
                </c:pt>
                <c:pt idx="303">
                  <c:v>292.01583466666614</c:v>
                </c:pt>
                <c:pt idx="304">
                  <c:v>292.01583466666614</c:v>
                </c:pt>
                <c:pt idx="305">
                  <c:v>292.01583466666614</c:v>
                </c:pt>
                <c:pt idx="306">
                  <c:v>292.01583466666614</c:v>
                </c:pt>
                <c:pt idx="307">
                  <c:v>292.01583466666614</c:v>
                </c:pt>
                <c:pt idx="308">
                  <c:v>292.01583466666614</c:v>
                </c:pt>
                <c:pt idx="309">
                  <c:v>292.01583466666614</c:v>
                </c:pt>
                <c:pt idx="310">
                  <c:v>292.01583466666614</c:v>
                </c:pt>
                <c:pt idx="311">
                  <c:v>292.01583466666614</c:v>
                </c:pt>
                <c:pt idx="312">
                  <c:v>292.01583466666614</c:v>
                </c:pt>
                <c:pt idx="313">
                  <c:v>292.01583466666614</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numCache>
            </c:numRef>
          </c:val>
        </c:ser>
        <c:ser>
          <c:idx val="0"/>
          <c:order val="1"/>
          <c:tx>
            <c:strRef>
              <c:f>Calculation!$DA$7</c:f>
              <c:strCache>
                <c:ptCount val="1"/>
                <c:pt idx="0">
                  <c:v>Total Lakehaven Storage (AF)</c:v>
                </c:pt>
              </c:strCache>
            </c:strRef>
          </c:tx>
          <c:marker>
            <c:symbol val="none"/>
          </c:marker>
          <c:cat>
            <c:numRef>
              <c:f>Calculation!$B$8:$B$385</c:f>
              <c:numCache>
                <c:formatCode>m/d/yyyy</c:formatCode>
                <c:ptCount val="378"/>
                <c:pt idx="0">
                  <c:v>40537</c:v>
                </c:pt>
                <c:pt idx="1">
                  <c:v>40538</c:v>
                </c:pt>
                <c:pt idx="2">
                  <c:v>40539</c:v>
                </c:pt>
                <c:pt idx="3">
                  <c:v>40540</c:v>
                </c:pt>
                <c:pt idx="4">
                  <c:v>40541</c:v>
                </c:pt>
                <c:pt idx="5">
                  <c:v>40542</c:v>
                </c:pt>
                <c:pt idx="6">
                  <c:v>40543</c:v>
                </c:pt>
                <c:pt idx="7">
                  <c:v>40544</c:v>
                </c:pt>
                <c:pt idx="8">
                  <c:v>40545</c:v>
                </c:pt>
                <c:pt idx="9">
                  <c:v>40546</c:v>
                </c:pt>
                <c:pt idx="10">
                  <c:v>40547</c:v>
                </c:pt>
                <c:pt idx="11">
                  <c:v>40548</c:v>
                </c:pt>
                <c:pt idx="12">
                  <c:v>40549</c:v>
                </c:pt>
                <c:pt idx="13">
                  <c:v>40550</c:v>
                </c:pt>
                <c:pt idx="14">
                  <c:v>40551</c:v>
                </c:pt>
                <c:pt idx="15">
                  <c:v>40552</c:v>
                </c:pt>
                <c:pt idx="16">
                  <c:v>40553</c:v>
                </c:pt>
                <c:pt idx="17">
                  <c:v>40554</c:v>
                </c:pt>
                <c:pt idx="18">
                  <c:v>40555</c:v>
                </c:pt>
                <c:pt idx="19">
                  <c:v>40556</c:v>
                </c:pt>
                <c:pt idx="20">
                  <c:v>40557</c:v>
                </c:pt>
                <c:pt idx="21">
                  <c:v>40558</c:v>
                </c:pt>
                <c:pt idx="22">
                  <c:v>40559</c:v>
                </c:pt>
                <c:pt idx="23">
                  <c:v>40560</c:v>
                </c:pt>
                <c:pt idx="24">
                  <c:v>40561</c:v>
                </c:pt>
                <c:pt idx="25">
                  <c:v>40562</c:v>
                </c:pt>
                <c:pt idx="26">
                  <c:v>40563</c:v>
                </c:pt>
                <c:pt idx="27">
                  <c:v>40564</c:v>
                </c:pt>
                <c:pt idx="28">
                  <c:v>40565</c:v>
                </c:pt>
                <c:pt idx="29">
                  <c:v>40566</c:v>
                </c:pt>
                <c:pt idx="30">
                  <c:v>40567</c:v>
                </c:pt>
                <c:pt idx="31">
                  <c:v>40568</c:v>
                </c:pt>
                <c:pt idx="32">
                  <c:v>40569</c:v>
                </c:pt>
                <c:pt idx="33">
                  <c:v>40570</c:v>
                </c:pt>
                <c:pt idx="34">
                  <c:v>40571</c:v>
                </c:pt>
                <c:pt idx="35">
                  <c:v>40572</c:v>
                </c:pt>
                <c:pt idx="36">
                  <c:v>40573</c:v>
                </c:pt>
                <c:pt idx="37">
                  <c:v>40574</c:v>
                </c:pt>
                <c:pt idx="38">
                  <c:v>40575</c:v>
                </c:pt>
                <c:pt idx="39">
                  <c:v>40576</c:v>
                </c:pt>
                <c:pt idx="40">
                  <c:v>40577</c:v>
                </c:pt>
                <c:pt idx="41">
                  <c:v>40578</c:v>
                </c:pt>
                <c:pt idx="42">
                  <c:v>40579</c:v>
                </c:pt>
                <c:pt idx="43">
                  <c:v>40580</c:v>
                </c:pt>
                <c:pt idx="44">
                  <c:v>40581</c:v>
                </c:pt>
                <c:pt idx="45">
                  <c:v>40582</c:v>
                </c:pt>
                <c:pt idx="46">
                  <c:v>40583</c:v>
                </c:pt>
                <c:pt idx="47">
                  <c:v>40584</c:v>
                </c:pt>
                <c:pt idx="48">
                  <c:v>40585</c:v>
                </c:pt>
                <c:pt idx="49">
                  <c:v>40586</c:v>
                </c:pt>
                <c:pt idx="50">
                  <c:v>40587</c:v>
                </c:pt>
                <c:pt idx="51">
                  <c:v>40588</c:v>
                </c:pt>
                <c:pt idx="52">
                  <c:v>40589</c:v>
                </c:pt>
                <c:pt idx="53">
                  <c:v>40590</c:v>
                </c:pt>
                <c:pt idx="54">
                  <c:v>40591</c:v>
                </c:pt>
                <c:pt idx="55">
                  <c:v>40592</c:v>
                </c:pt>
                <c:pt idx="56">
                  <c:v>40593</c:v>
                </c:pt>
                <c:pt idx="57">
                  <c:v>40594</c:v>
                </c:pt>
                <c:pt idx="58">
                  <c:v>40595</c:v>
                </c:pt>
                <c:pt idx="59">
                  <c:v>40596</c:v>
                </c:pt>
                <c:pt idx="60">
                  <c:v>40597</c:v>
                </c:pt>
                <c:pt idx="61">
                  <c:v>40598</c:v>
                </c:pt>
                <c:pt idx="62">
                  <c:v>40599</c:v>
                </c:pt>
                <c:pt idx="63">
                  <c:v>40600</c:v>
                </c:pt>
                <c:pt idx="64">
                  <c:v>40601</c:v>
                </c:pt>
                <c:pt idx="65">
                  <c:v>40602</c:v>
                </c:pt>
                <c:pt idx="66">
                  <c:v>40603</c:v>
                </c:pt>
                <c:pt idx="67">
                  <c:v>40604</c:v>
                </c:pt>
                <c:pt idx="68">
                  <c:v>40605</c:v>
                </c:pt>
                <c:pt idx="69">
                  <c:v>40606</c:v>
                </c:pt>
                <c:pt idx="70">
                  <c:v>40607</c:v>
                </c:pt>
                <c:pt idx="71">
                  <c:v>40608</c:v>
                </c:pt>
                <c:pt idx="72">
                  <c:v>40609</c:v>
                </c:pt>
                <c:pt idx="73">
                  <c:v>40610</c:v>
                </c:pt>
                <c:pt idx="74">
                  <c:v>40611</c:v>
                </c:pt>
                <c:pt idx="75">
                  <c:v>40612</c:v>
                </c:pt>
                <c:pt idx="76">
                  <c:v>40613</c:v>
                </c:pt>
                <c:pt idx="77">
                  <c:v>40614</c:v>
                </c:pt>
                <c:pt idx="78">
                  <c:v>40615</c:v>
                </c:pt>
                <c:pt idx="79">
                  <c:v>40616</c:v>
                </c:pt>
                <c:pt idx="80">
                  <c:v>40617</c:v>
                </c:pt>
                <c:pt idx="81">
                  <c:v>40618</c:v>
                </c:pt>
                <c:pt idx="82">
                  <c:v>40619</c:v>
                </c:pt>
                <c:pt idx="83">
                  <c:v>40620</c:v>
                </c:pt>
                <c:pt idx="84">
                  <c:v>40621</c:v>
                </c:pt>
                <c:pt idx="85">
                  <c:v>40622</c:v>
                </c:pt>
                <c:pt idx="86">
                  <c:v>40623</c:v>
                </c:pt>
                <c:pt idx="87">
                  <c:v>40624</c:v>
                </c:pt>
                <c:pt idx="88">
                  <c:v>40625</c:v>
                </c:pt>
                <c:pt idx="89">
                  <c:v>40626</c:v>
                </c:pt>
                <c:pt idx="90">
                  <c:v>40627</c:v>
                </c:pt>
                <c:pt idx="91">
                  <c:v>40628</c:v>
                </c:pt>
                <c:pt idx="92">
                  <c:v>40629</c:v>
                </c:pt>
                <c:pt idx="93">
                  <c:v>40630</c:v>
                </c:pt>
                <c:pt idx="94">
                  <c:v>40631</c:v>
                </c:pt>
                <c:pt idx="95">
                  <c:v>40632</c:v>
                </c:pt>
                <c:pt idx="96">
                  <c:v>40633</c:v>
                </c:pt>
                <c:pt idx="97">
                  <c:v>40634</c:v>
                </c:pt>
                <c:pt idx="98">
                  <c:v>40635</c:v>
                </c:pt>
                <c:pt idx="99">
                  <c:v>40636</c:v>
                </c:pt>
                <c:pt idx="100">
                  <c:v>40637</c:v>
                </c:pt>
                <c:pt idx="101">
                  <c:v>40638</c:v>
                </c:pt>
                <c:pt idx="102">
                  <c:v>40639</c:v>
                </c:pt>
                <c:pt idx="103">
                  <c:v>40640</c:v>
                </c:pt>
                <c:pt idx="104">
                  <c:v>40641</c:v>
                </c:pt>
                <c:pt idx="105">
                  <c:v>40642</c:v>
                </c:pt>
                <c:pt idx="106">
                  <c:v>40643</c:v>
                </c:pt>
                <c:pt idx="107">
                  <c:v>40644</c:v>
                </c:pt>
                <c:pt idx="108">
                  <c:v>40645</c:v>
                </c:pt>
                <c:pt idx="109">
                  <c:v>40646</c:v>
                </c:pt>
                <c:pt idx="110">
                  <c:v>40647</c:v>
                </c:pt>
                <c:pt idx="111">
                  <c:v>40648</c:v>
                </c:pt>
                <c:pt idx="112">
                  <c:v>40649</c:v>
                </c:pt>
                <c:pt idx="113">
                  <c:v>40650</c:v>
                </c:pt>
                <c:pt idx="114">
                  <c:v>40651</c:v>
                </c:pt>
                <c:pt idx="115">
                  <c:v>40652</c:v>
                </c:pt>
                <c:pt idx="116">
                  <c:v>40653</c:v>
                </c:pt>
                <c:pt idx="117">
                  <c:v>40654</c:v>
                </c:pt>
                <c:pt idx="118">
                  <c:v>40655</c:v>
                </c:pt>
                <c:pt idx="119">
                  <c:v>40656</c:v>
                </c:pt>
                <c:pt idx="120">
                  <c:v>40657</c:v>
                </c:pt>
                <c:pt idx="121">
                  <c:v>40658</c:v>
                </c:pt>
                <c:pt idx="122">
                  <c:v>40659</c:v>
                </c:pt>
                <c:pt idx="123">
                  <c:v>40660</c:v>
                </c:pt>
                <c:pt idx="124">
                  <c:v>40661</c:v>
                </c:pt>
                <c:pt idx="125">
                  <c:v>40662</c:v>
                </c:pt>
                <c:pt idx="126">
                  <c:v>40663</c:v>
                </c:pt>
                <c:pt idx="127">
                  <c:v>40664</c:v>
                </c:pt>
                <c:pt idx="128">
                  <c:v>40665</c:v>
                </c:pt>
                <c:pt idx="129">
                  <c:v>40666</c:v>
                </c:pt>
                <c:pt idx="130">
                  <c:v>40667</c:v>
                </c:pt>
                <c:pt idx="131">
                  <c:v>40668</c:v>
                </c:pt>
                <c:pt idx="132">
                  <c:v>40669</c:v>
                </c:pt>
                <c:pt idx="133">
                  <c:v>40670</c:v>
                </c:pt>
                <c:pt idx="134">
                  <c:v>40671</c:v>
                </c:pt>
                <c:pt idx="135">
                  <c:v>40672</c:v>
                </c:pt>
                <c:pt idx="136">
                  <c:v>40673</c:v>
                </c:pt>
                <c:pt idx="137">
                  <c:v>40674</c:v>
                </c:pt>
                <c:pt idx="138">
                  <c:v>40675</c:v>
                </c:pt>
                <c:pt idx="139">
                  <c:v>40676</c:v>
                </c:pt>
                <c:pt idx="140">
                  <c:v>40677</c:v>
                </c:pt>
                <c:pt idx="141">
                  <c:v>40678</c:v>
                </c:pt>
                <c:pt idx="142">
                  <c:v>40679</c:v>
                </c:pt>
                <c:pt idx="143">
                  <c:v>40680</c:v>
                </c:pt>
                <c:pt idx="144">
                  <c:v>40681</c:v>
                </c:pt>
                <c:pt idx="145">
                  <c:v>40682</c:v>
                </c:pt>
                <c:pt idx="146">
                  <c:v>40683</c:v>
                </c:pt>
                <c:pt idx="147">
                  <c:v>40684</c:v>
                </c:pt>
                <c:pt idx="148">
                  <c:v>40685</c:v>
                </c:pt>
                <c:pt idx="149">
                  <c:v>40686</c:v>
                </c:pt>
                <c:pt idx="150">
                  <c:v>40687</c:v>
                </c:pt>
                <c:pt idx="151">
                  <c:v>40688</c:v>
                </c:pt>
                <c:pt idx="152">
                  <c:v>40689</c:v>
                </c:pt>
                <c:pt idx="153">
                  <c:v>40690</c:v>
                </c:pt>
                <c:pt idx="154">
                  <c:v>40691</c:v>
                </c:pt>
                <c:pt idx="155">
                  <c:v>40692</c:v>
                </c:pt>
                <c:pt idx="156">
                  <c:v>40693</c:v>
                </c:pt>
                <c:pt idx="157">
                  <c:v>40694</c:v>
                </c:pt>
                <c:pt idx="158">
                  <c:v>40695</c:v>
                </c:pt>
                <c:pt idx="159">
                  <c:v>40696</c:v>
                </c:pt>
                <c:pt idx="160">
                  <c:v>40697</c:v>
                </c:pt>
                <c:pt idx="161">
                  <c:v>40698</c:v>
                </c:pt>
                <c:pt idx="162">
                  <c:v>40699</c:v>
                </c:pt>
                <c:pt idx="163">
                  <c:v>40700</c:v>
                </c:pt>
                <c:pt idx="164">
                  <c:v>40701</c:v>
                </c:pt>
                <c:pt idx="165">
                  <c:v>40702</c:v>
                </c:pt>
                <c:pt idx="166">
                  <c:v>40703</c:v>
                </c:pt>
                <c:pt idx="167">
                  <c:v>40704</c:v>
                </c:pt>
                <c:pt idx="168">
                  <c:v>40705</c:v>
                </c:pt>
                <c:pt idx="169">
                  <c:v>40706</c:v>
                </c:pt>
                <c:pt idx="170">
                  <c:v>40707</c:v>
                </c:pt>
                <c:pt idx="171">
                  <c:v>40708</c:v>
                </c:pt>
                <c:pt idx="172">
                  <c:v>40709</c:v>
                </c:pt>
                <c:pt idx="173">
                  <c:v>40710</c:v>
                </c:pt>
                <c:pt idx="174">
                  <c:v>40711</c:v>
                </c:pt>
                <c:pt idx="175">
                  <c:v>40712</c:v>
                </c:pt>
                <c:pt idx="176">
                  <c:v>40713</c:v>
                </c:pt>
                <c:pt idx="177">
                  <c:v>40714</c:v>
                </c:pt>
                <c:pt idx="178">
                  <c:v>40715</c:v>
                </c:pt>
                <c:pt idx="179">
                  <c:v>40716</c:v>
                </c:pt>
                <c:pt idx="180">
                  <c:v>40717</c:v>
                </c:pt>
                <c:pt idx="181">
                  <c:v>40718</c:v>
                </c:pt>
                <c:pt idx="182">
                  <c:v>40719</c:v>
                </c:pt>
                <c:pt idx="183">
                  <c:v>40720</c:v>
                </c:pt>
                <c:pt idx="184">
                  <c:v>40721</c:v>
                </c:pt>
                <c:pt idx="185">
                  <c:v>40722</c:v>
                </c:pt>
                <c:pt idx="186">
                  <c:v>40723</c:v>
                </c:pt>
                <c:pt idx="187">
                  <c:v>40724</c:v>
                </c:pt>
                <c:pt idx="188">
                  <c:v>40725</c:v>
                </c:pt>
                <c:pt idx="189">
                  <c:v>40726</c:v>
                </c:pt>
                <c:pt idx="190">
                  <c:v>40727</c:v>
                </c:pt>
                <c:pt idx="191">
                  <c:v>40728</c:v>
                </c:pt>
                <c:pt idx="192">
                  <c:v>40729</c:v>
                </c:pt>
                <c:pt idx="193">
                  <c:v>40730</c:v>
                </c:pt>
                <c:pt idx="194">
                  <c:v>40731</c:v>
                </c:pt>
                <c:pt idx="195">
                  <c:v>40732</c:v>
                </c:pt>
                <c:pt idx="196">
                  <c:v>40733</c:v>
                </c:pt>
                <c:pt idx="197">
                  <c:v>40734</c:v>
                </c:pt>
                <c:pt idx="198">
                  <c:v>40735</c:v>
                </c:pt>
                <c:pt idx="199">
                  <c:v>40736</c:v>
                </c:pt>
                <c:pt idx="200">
                  <c:v>40737</c:v>
                </c:pt>
                <c:pt idx="201">
                  <c:v>40738</c:v>
                </c:pt>
                <c:pt idx="202">
                  <c:v>40739</c:v>
                </c:pt>
                <c:pt idx="203">
                  <c:v>40740</c:v>
                </c:pt>
                <c:pt idx="204">
                  <c:v>40741</c:v>
                </c:pt>
                <c:pt idx="205">
                  <c:v>40742</c:v>
                </c:pt>
                <c:pt idx="206">
                  <c:v>40743</c:v>
                </c:pt>
                <c:pt idx="207">
                  <c:v>40744</c:v>
                </c:pt>
                <c:pt idx="208">
                  <c:v>40745</c:v>
                </c:pt>
                <c:pt idx="209">
                  <c:v>40746</c:v>
                </c:pt>
                <c:pt idx="210">
                  <c:v>40747</c:v>
                </c:pt>
                <c:pt idx="211">
                  <c:v>40748</c:v>
                </c:pt>
                <c:pt idx="212">
                  <c:v>40749</c:v>
                </c:pt>
                <c:pt idx="213">
                  <c:v>40750</c:v>
                </c:pt>
                <c:pt idx="214">
                  <c:v>40751</c:v>
                </c:pt>
                <c:pt idx="215">
                  <c:v>40752</c:v>
                </c:pt>
                <c:pt idx="216">
                  <c:v>40753</c:v>
                </c:pt>
                <c:pt idx="217">
                  <c:v>40754</c:v>
                </c:pt>
                <c:pt idx="218">
                  <c:v>40755</c:v>
                </c:pt>
                <c:pt idx="219">
                  <c:v>40756</c:v>
                </c:pt>
                <c:pt idx="220">
                  <c:v>40757</c:v>
                </c:pt>
                <c:pt idx="221">
                  <c:v>40758</c:v>
                </c:pt>
                <c:pt idx="222">
                  <c:v>40759</c:v>
                </c:pt>
                <c:pt idx="223">
                  <c:v>40760</c:v>
                </c:pt>
                <c:pt idx="224">
                  <c:v>40761</c:v>
                </c:pt>
                <c:pt idx="225">
                  <c:v>40762</c:v>
                </c:pt>
                <c:pt idx="226">
                  <c:v>40763</c:v>
                </c:pt>
                <c:pt idx="227">
                  <c:v>40764</c:v>
                </c:pt>
                <c:pt idx="228">
                  <c:v>40765</c:v>
                </c:pt>
                <c:pt idx="229">
                  <c:v>40766</c:v>
                </c:pt>
                <c:pt idx="230">
                  <c:v>40767</c:v>
                </c:pt>
                <c:pt idx="231">
                  <c:v>40768</c:v>
                </c:pt>
                <c:pt idx="232">
                  <c:v>40769</c:v>
                </c:pt>
                <c:pt idx="233">
                  <c:v>40770</c:v>
                </c:pt>
                <c:pt idx="234">
                  <c:v>40771</c:v>
                </c:pt>
                <c:pt idx="235">
                  <c:v>40772</c:v>
                </c:pt>
                <c:pt idx="236">
                  <c:v>40773</c:v>
                </c:pt>
                <c:pt idx="237">
                  <c:v>40774</c:v>
                </c:pt>
                <c:pt idx="238">
                  <c:v>40775</c:v>
                </c:pt>
                <c:pt idx="239">
                  <c:v>40776</c:v>
                </c:pt>
                <c:pt idx="240">
                  <c:v>40777</c:v>
                </c:pt>
                <c:pt idx="241">
                  <c:v>40778</c:v>
                </c:pt>
                <c:pt idx="242">
                  <c:v>40779</c:v>
                </c:pt>
                <c:pt idx="243">
                  <c:v>40780</c:v>
                </c:pt>
                <c:pt idx="244">
                  <c:v>40781</c:v>
                </c:pt>
                <c:pt idx="245">
                  <c:v>40782</c:v>
                </c:pt>
                <c:pt idx="246">
                  <c:v>40783</c:v>
                </c:pt>
                <c:pt idx="247">
                  <c:v>40784</c:v>
                </c:pt>
                <c:pt idx="248">
                  <c:v>40785</c:v>
                </c:pt>
                <c:pt idx="249">
                  <c:v>40786</c:v>
                </c:pt>
                <c:pt idx="250">
                  <c:v>40787</c:v>
                </c:pt>
                <c:pt idx="251">
                  <c:v>40788</c:v>
                </c:pt>
                <c:pt idx="252">
                  <c:v>40789</c:v>
                </c:pt>
                <c:pt idx="253">
                  <c:v>40790</c:v>
                </c:pt>
                <c:pt idx="254">
                  <c:v>40791</c:v>
                </c:pt>
                <c:pt idx="255">
                  <c:v>40792</c:v>
                </c:pt>
                <c:pt idx="256">
                  <c:v>40793</c:v>
                </c:pt>
                <c:pt idx="257">
                  <c:v>40794</c:v>
                </c:pt>
                <c:pt idx="258">
                  <c:v>40795</c:v>
                </c:pt>
                <c:pt idx="259">
                  <c:v>40796</c:v>
                </c:pt>
                <c:pt idx="260">
                  <c:v>40797</c:v>
                </c:pt>
                <c:pt idx="261">
                  <c:v>40798</c:v>
                </c:pt>
                <c:pt idx="262">
                  <c:v>40799</c:v>
                </c:pt>
                <c:pt idx="263">
                  <c:v>40800</c:v>
                </c:pt>
                <c:pt idx="264">
                  <c:v>40801</c:v>
                </c:pt>
                <c:pt idx="265">
                  <c:v>40802</c:v>
                </c:pt>
                <c:pt idx="266">
                  <c:v>40803</c:v>
                </c:pt>
                <c:pt idx="267">
                  <c:v>40804</c:v>
                </c:pt>
                <c:pt idx="268">
                  <c:v>40805</c:v>
                </c:pt>
                <c:pt idx="269">
                  <c:v>40806</c:v>
                </c:pt>
                <c:pt idx="270">
                  <c:v>40807</c:v>
                </c:pt>
                <c:pt idx="271">
                  <c:v>40808</c:v>
                </c:pt>
                <c:pt idx="272">
                  <c:v>40809</c:v>
                </c:pt>
                <c:pt idx="273">
                  <c:v>40810</c:v>
                </c:pt>
                <c:pt idx="274">
                  <c:v>40811</c:v>
                </c:pt>
                <c:pt idx="275">
                  <c:v>40812</c:v>
                </c:pt>
                <c:pt idx="276">
                  <c:v>40813</c:v>
                </c:pt>
                <c:pt idx="277">
                  <c:v>40814</c:v>
                </c:pt>
                <c:pt idx="278">
                  <c:v>40815</c:v>
                </c:pt>
                <c:pt idx="279">
                  <c:v>40816</c:v>
                </c:pt>
                <c:pt idx="280">
                  <c:v>40817</c:v>
                </c:pt>
                <c:pt idx="281">
                  <c:v>40818</c:v>
                </c:pt>
                <c:pt idx="282">
                  <c:v>40819</c:v>
                </c:pt>
                <c:pt idx="283">
                  <c:v>40820</c:v>
                </c:pt>
                <c:pt idx="284">
                  <c:v>40821</c:v>
                </c:pt>
                <c:pt idx="285">
                  <c:v>40822</c:v>
                </c:pt>
                <c:pt idx="286">
                  <c:v>40823</c:v>
                </c:pt>
                <c:pt idx="287">
                  <c:v>40824</c:v>
                </c:pt>
                <c:pt idx="288">
                  <c:v>40825</c:v>
                </c:pt>
                <c:pt idx="289">
                  <c:v>40826</c:v>
                </c:pt>
                <c:pt idx="290">
                  <c:v>40827</c:v>
                </c:pt>
                <c:pt idx="291">
                  <c:v>40828</c:v>
                </c:pt>
                <c:pt idx="292">
                  <c:v>40829</c:v>
                </c:pt>
                <c:pt idx="293">
                  <c:v>40830</c:v>
                </c:pt>
                <c:pt idx="294">
                  <c:v>40831</c:v>
                </c:pt>
                <c:pt idx="295">
                  <c:v>40832</c:v>
                </c:pt>
                <c:pt idx="296">
                  <c:v>40833</c:v>
                </c:pt>
                <c:pt idx="297">
                  <c:v>40834</c:v>
                </c:pt>
                <c:pt idx="298">
                  <c:v>40835</c:v>
                </c:pt>
                <c:pt idx="299">
                  <c:v>40836</c:v>
                </c:pt>
                <c:pt idx="300">
                  <c:v>40837</c:v>
                </c:pt>
                <c:pt idx="301">
                  <c:v>40838</c:v>
                </c:pt>
                <c:pt idx="302">
                  <c:v>40839</c:v>
                </c:pt>
                <c:pt idx="303">
                  <c:v>40840</c:v>
                </c:pt>
                <c:pt idx="304">
                  <c:v>40841</c:v>
                </c:pt>
                <c:pt idx="305">
                  <c:v>40842</c:v>
                </c:pt>
                <c:pt idx="306">
                  <c:v>40843</c:v>
                </c:pt>
                <c:pt idx="307">
                  <c:v>40844</c:v>
                </c:pt>
                <c:pt idx="308">
                  <c:v>40845</c:v>
                </c:pt>
                <c:pt idx="309">
                  <c:v>40846</c:v>
                </c:pt>
                <c:pt idx="310">
                  <c:v>40847</c:v>
                </c:pt>
                <c:pt idx="311">
                  <c:v>40848</c:v>
                </c:pt>
                <c:pt idx="312">
                  <c:v>40849</c:v>
                </c:pt>
                <c:pt idx="313">
                  <c:v>40850</c:v>
                </c:pt>
                <c:pt idx="314">
                  <c:v>40851</c:v>
                </c:pt>
                <c:pt idx="315">
                  <c:v>40852</c:v>
                </c:pt>
                <c:pt idx="316">
                  <c:v>40853</c:v>
                </c:pt>
                <c:pt idx="317">
                  <c:v>40854</c:v>
                </c:pt>
                <c:pt idx="318">
                  <c:v>40855</c:v>
                </c:pt>
                <c:pt idx="319">
                  <c:v>40856</c:v>
                </c:pt>
                <c:pt idx="320">
                  <c:v>40857</c:v>
                </c:pt>
                <c:pt idx="321">
                  <c:v>40858</c:v>
                </c:pt>
                <c:pt idx="322">
                  <c:v>40859</c:v>
                </c:pt>
                <c:pt idx="323">
                  <c:v>40860</c:v>
                </c:pt>
                <c:pt idx="324">
                  <c:v>40861</c:v>
                </c:pt>
                <c:pt idx="325">
                  <c:v>40862</c:v>
                </c:pt>
                <c:pt idx="326">
                  <c:v>40863</c:v>
                </c:pt>
                <c:pt idx="327">
                  <c:v>40864</c:v>
                </c:pt>
                <c:pt idx="328">
                  <c:v>40865</c:v>
                </c:pt>
                <c:pt idx="329">
                  <c:v>40866</c:v>
                </c:pt>
                <c:pt idx="330">
                  <c:v>40867</c:v>
                </c:pt>
                <c:pt idx="331">
                  <c:v>40868</c:v>
                </c:pt>
                <c:pt idx="332">
                  <c:v>40869</c:v>
                </c:pt>
                <c:pt idx="333">
                  <c:v>40870</c:v>
                </c:pt>
                <c:pt idx="334">
                  <c:v>40871</c:v>
                </c:pt>
                <c:pt idx="335">
                  <c:v>40872</c:v>
                </c:pt>
                <c:pt idx="336">
                  <c:v>40873</c:v>
                </c:pt>
                <c:pt idx="337">
                  <c:v>40874</c:v>
                </c:pt>
                <c:pt idx="338">
                  <c:v>40875</c:v>
                </c:pt>
                <c:pt idx="339">
                  <c:v>40876</c:v>
                </c:pt>
                <c:pt idx="340">
                  <c:v>40877</c:v>
                </c:pt>
                <c:pt idx="341">
                  <c:v>40878</c:v>
                </c:pt>
                <c:pt idx="342">
                  <c:v>40879</c:v>
                </c:pt>
                <c:pt idx="343">
                  <c:v>40880</c:v>
                </c:pt>
                <c:pt idx="344">
                  <c:v>40881</c:v>
                </c:pt>
                <c:pt idx="345">
                  <c:v>40882</c:v>
                </c:pt>
                <c:pt idx="346">
                  <c:v>40883</c:v>
                </c:pt>
                <c:pt idx="347">
                  <c:v>40884</c:v>
                </c:pt>
                <c:pt idx="348">
                  <c:v>40885</c:v>
                </c:pt>
                <c:pt idx="349">
                  <c:v>40886</c:v>
                </c:pt>
                <c:pt idx="350">
                  <c:v>40887</c:v>
                </c:pt>
                <c:pt idx="351">
                  <c:v>40888</c:v>
                </c:pt>
                <c:pt idx="352">
                  <c:v>40889</c:v>
                </c:pt>
                <c:pt idx="353">
                  <c:v>40890</c:v>
                </c:pt>
                <c:pt idx="354">
                  <c:v>40891</c:v>
                </c:pt>
                <c:pt idx="355">
                  <c:v>40892</c:v>
                </c:pt>
                <c:pt idx="356">
                  <c:v>40893</c:v>
                </c:pt>
                <c:pt idx="357">
                  <c:v>40894</c:v>
                </c:pt>
                <c:pt idx="358">
                  <c:v>40895</c:v>
                </c:pt>
                <c:pt idx="359">
                  <c:v>40896</c:v>
                </c:pt>
                <c:pt idx="360">
                  <c:v>40897</c:v>
                </c:pt>
                <c:pt idx="361">
                  <c:v>40898</c:v>
                </c:pt>
                <c:pt idx="362">
                  <c:v>40899</c:v>
                </c:pt>
                <c:pt idx="363">
                  <c:v>40900</c:v>
                </c:pt>
                <c:pt idx="364">
                  <c:v>40901</c:v>
                </c:pt>
                <c:pt idx="365">
                  <c:v>40902</c:v>
                </c:pt>
                <c:pt idx="366">
                  <c:v>40903</c:v>
                </c:pt>
                <c:pt idx="367">
                  <c:v>40904</c:v>
                </c:pt>
                <c:pt idx="368">
                  <c:v>40905</c:v>
                </c:pt>
                <c:pt idx="369">
                  <c:v>40906</c:v>
                </c:pt>
                <c:pt idx="370">
                  <c:v>40907</c:v>
                </c:pt>
                <c:pt idx="371">
                  <c:v>40908</c:v>
                </c:pt>
                <c:pt idx="372">
                  <c:v>40909</c:v>
                </c:pt>
                <c:pt idx="373">
                  <c:v>40910</c:v>
                </c:pt>
                <c:pt idx="374">
                  <c:v>40911</c:v>
                </c:pt>
                <c:pt idx="375">
                  <c:v>40912</c:v>
                </c:pt>
                <c:pt idx="376">
                  <c:v>40913</c:v>
                </c:pt>
                <c:pt idx="377">
                  <c:v>40914</c:v>
                </c:pt>
              </c:numCache>
            </c:numRef>
          </c:cat>
          <c:val>
            <c:numRef>
              <c:f>Calculation!$DA$8:$DA$385</c:f>
              <c:numCache>
                <c:formatCode>0.00</c:formatCode>
                <c:ptCount val="3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38.561351111111115</c:v>
                </c:pt>
                <c:pt idx="67">
                  <c:v>62.453051355169393</c:v>
                </c:pt>
                <c:pt idx="68">
                  <c:v>82.507244328535222</c:v>
                </c:pt>
                <c:pt idx="69">
                  <c:v>102.37569787980203</c:v>
                </c:pt>
                <c:pt idx="70">
                  <c:v>122.50812650826211</c:v>
                </c:pt>
                <c:pt idx="71">
                  <c:v>142.09068030767153</c:v>
                </c:pt>
                <c:pt idx="72">
                  <c:v>162.09375962193667</c:v>
                </c:pt>
                <c:pt idx="73">
                  <c:v>182.09583800577505</c:v>
                </c:pt>
                <c:pt idx="74">
                  <c:v>202.24786497045156</c:v>
                </c:pt>
                <c:pt idx="75">
                  <c:v>236.14330918915419</c:v>
                </c:pt>
                <c:pt idx="76">
                  <c:v>274.70466030026535</c:v>
                </c:pt>
                <c:pt idx="77">
                  <c:v>307.85452867673075</c:v>
                </c:pt>
                <c:pt idx="78">
                  <c:v>328.61988187117174</c:v>
                </c:pt>
                <c:pt idx="79">
                  <c:v>352.01837180581424</c:v>
                </c:pt>
                <c:pt idx="80">
                  <c:v>382.1173036085674</c:v>
                </c:pt>
                <c:pt idx="81">
                  <c:v>401.92364804188219</c:v>
                </c:pt>
                <c:pt idx="82">
                  <c:v>421.82446389243586</c:v>
                </c:pt>
                <c:pt idx="83">
                  <c:v>442.18296144639487</c:v>
                </c:pt>
                <c:pt idx="84">
                  <c:v>461.81268755750597</c:v>
                </c:pt>
                <c:pt idx="85">
                  <c:v>481.96210533528154</c:v>
                </c:pt>
                <c:pt idx="86">
                  <c:v>502.41696679122242</c:v>
                </c:pt>
                <c:pt idx="87">
                  <c:v>521.76202254858049</c:v>
                </c:pt>
                <c:pt idx="88">
                  <c:v>541.75211737019117</c:v>
                </c:pt>
                <c:pt idx="89">
                  <c:v>560.64477139116889</c:v>
                </c:pt>
                <c:pt idx="90">
                  <c:v>580.18479696937368</c:v>
                </c:pt>
                <c:pt idx="91">
                  <c:v>600.87803719257806</c:v>
                </c:pt>
                <c:pt idx="92">
                  <c:v>620.72904904682321</c:v>
                </c:pt>
                <c:pt idx="93">
                  <c:v>640.34098839322621</c:v>
                </c:pt>
                <c:pt idx="94">
                  <c:v>660.36522527588033</c:v>
                </c:pt>
                <c:pt idx="95">
                  <c:v>689.54325060538747</c:v>
                </c:pt>
                <c:pt idx="96">
                  <c:v>726.06207020964962</c:v>
                </c:pt>
                <c:pt idx="97">
                  <c:v>764.62342132076071</c:v>
                </c:pt>
                <c:pt idx="98">
                  <c:v>803.18477243187181</c:v>
                </c:pt>
                <c:pt idx="99">
                  <c:v>841.74612354298279</c:v>
                </c:pt>
                <c:pt idx="100">
                  <c:v>880.30747465409388</c:v>
                </c:pt>
                <c:pt idx="101">
                  <c:v>918.86882576520486</c:v>
                </c:pt>
                <c:pt idx="102">
                  <c:v>957.19820380180124</c:v>
                </c:pt>
                <c:pt idx="103">
                  <c:v>995.75955491291234</c:v>
                </c:pt>
                <c:pt idx="104">
                  <c:v>1034.3209060240233</c:v>
                </c:pt>
                <c:pt idx="105">
                  <c:v>1072.8822571351343</c:v>
                </c:pt>
                <c:pt idx="106">
                  <c:v>1111.4436082462453</c:v>
                </c:pt>
                <c:pt idx="107">
                  <c:v>1150.0049593573565</c:v>
                </c:pt>
                <c:pt idx="108">
                  <c:v>1188.5663104684675</c:v>
                </c:pt>
                <c:pt idx="109">
                  <c:v>1227.1276615795784</c:v>
                </c:pt>
                <c:pt idx="110">
                  <c:v>1260.6201431254722</c:v>
                </c:pt>
                <c:pt idx="111">
                  <c:v>1280.4399316575696</c:v>
                </c:pt>
                <c:pt idx="112">
                  <c:v>1300.3387942894178</c:v>
                </c:pt>
                <c:pt idx="113">
                  <c:v>1319.6782124583665</c:v>
                </c:pt>
                <c:pt idx="114">
                  <c:v>1335.2445222692863</c:v>
                </c:pt>
                <c:pt idx="115">
                  <c:v>1354.4219253502215</c:v>
                </c:pt>
                <c:pt idx="116">
                  <c:v>1374.4820992592579</c:v>
                </c:pt>
                <c:pt idx="117">
                  <c:v>1394.3958821407045</c:v>
                </c:pt>
                <c:pt idx="118">
                  <c:v>1414.0603207984236</c:v>
                </c:pt>
                <c:pt idx="119">
                  <c:v>1434.7236711641006</c:v>
                </c:pt>
                <c:pt idx="120">
                  <c:v>1454.0604096358065</c:v>
                </c:pt>
                <c:pt idx="121">
                  <c:v>1474.7140526307599</c:v>
                </c:pt>
                <c:pt idx="122">
                  <c:v>1494.1559215592426</c:v>
                </c:pt>
                <c:pt idx="123">
                  <c:v>1514.2718236982541</c:v>
                </c:pt>
                <c:pt idx="124">
                  <c:v>1534.1651223371148</c:v>
                </c:pt>
                <c:pt idx="125">
                  <c:v>1553.5156323267306</c:v>
                </c:pt>
                <c:pt idx="126">
                  <c:v>1573.1373570475487</c:v>
                </c:pt>
                <c:pt idx="127">
                  <c:v>1593.0023564658854</c:v>
                </c:pt>
                <c:pt idx="128">
                  <c:v>1613.2703344576385</c:v>
                </c:pt>
                <c:pt idx="129">
                  <c:v>1632.3188357445406</c:v>
                </c:pt>
                <c:pt idx="130">
                  <c:v>1653.3780501972976</c:v>
                </c:pt>
                <c:pt idx="131">
                  <c:v>1673.535761327357</c:v>
                </c:pt>
                <c:pt idx="132">
                  <c:v>1692.5421712100103</c:v>
                </c:pt>
                <c:pt idx="133">
                  <c:v>1712.7141162605153</c:v>
                </c:pt>
                <c:pt idx="134">
                  <c:v>1732.6342810825056</c:v>
                </c:pt>
                <c:pt idx="135">
                  <c:v>1754.1167929958674</c:v>
                </c:pt>
                <c:pt idx="136">
                  <c:v>1774.1037986762833</c:v>
                </c:pt>
                <c:pt idx="137">
                  <c:v>1794.1916903046372</c:v>
                </c:pt>
                <c:pt idx="138">
                  <c:v>1814.1686350908799</c:v>
                </c:pt>
                <c:pt idx="139">
                  <c:v>1834.054627891617</c:v>
                </c:pt>
                <c:pt idx="140">
                  <c:v>1853.8823268141714</c:v>
                </c:pt>
                <c:pt idx="141">
                  <c:v>1879.2431352352273</c:v>
                </c:pt>
                <c:pt idx="142">
                  <c:v>1917.8044863463383</c:v>
                </c:pt>
                <c:pt idx="143">
                  <c:v>1956.3658374574495</c:v>
                </c:pt>
                <c:pt idx="144">
                  <c:v>1994.9271885685605</c:v>
                </c:pt>
                <c:pt idx="145">
                  <c:v>2033.4885396796715</c:v>
                </c:pt>
                <c:pt idx="146">
                  <c:v>2072.0498907907827</c:v>
                </c:pt>
                <c:pt idx="147">
                  <c:v>2110.6112419018937</c:v>
                </c:pt>
                <c:pt idx="148">
                  <c:v>2149.1725930130046</c:v>
                </c:pt>
                <c:pt idx="149">
                  <c:v>2187.7339441241156</c:v>
                </c:pt>
                <c:pt idx="150">
                  <c:v>2226.2952952352266</c:v>
                </c:pt>
                <c:pt idx="151">
                  <c:v>2264.8566463463376</c:v>
                </c:pt>
                <c:pt idx="152">
                  <c:v>2303.4179974574486</c:v>
                </c:pt>
                <c:pt idx="153">
                  <c:v>2341.9793485685595</c:v>
                </c:pt>
                <c:pt idx="154">
                  <c:v>2380.540699679671</c:v>
                </c:pt>
                <c:pt idx="155">
                  <c:v>2419.102050790782</c:v>
                </c:pt>
                <c:pt idx="156">
                  <c:v>2457.6634019018929</c:v>
                </c:pt>
                <c:pt idx="157">
                  <c:v>2496.2247530130039</c:v>
                </c:pt>
                <c:pt idx="158">
                  <c:v>2534.7861041241149</c:v>
                </c:pt>
                <c:pt idx="159">
                  <c:v>2563.2892277842466</c:v>
                </c:pt>
                <c:pt idx="160">
                  <c:v>2582.0146757742614</c:v>
                </c:pt>
                <c:pt idx="161">
                  <c:v>2600.2181109500361</c:v>
                </c:pt>
                <c:pt idx="162">
                  <c:v>2618.5558667071491</c:v>
                </c:pt>
                <c:pt idx="163">
                  <c:v>2636.750871308458</c:v>
                </c:pt>
                <c:pt idx="164">
                  <c:v>2655.1272668640145</c:v>
                </c:pt>
                <c:pt idx="165">
                  <c:v>2673.4182179751247</c:v>
                </c:pt>
                <c:pt idx="166">
                  <c:v>2752.3217832502792</c:v>
                </c:pt>
                <c:pt idx="167">
                  <c:v>2830.0658713569787</c:v>
                </c:pt>
                <c:pt idx="168">
                  <c:v>2907.4168048509573</c:v>
                </c:pt>
                <c:pt idx="169">
                  <c:v>2984.8067746356919</c:v>
                </c:pt>
                <c:pt idx="170">
                  <c:v>3061.6309731899069</c:v>
                </c:pt>
                <c:pt idx="171">
                  <c:v>3139.6549562818832</c:v>
                </c:pt>
                <c:pt idx="172">
                  <c:v>3888.8888888888882</c:v>
                </c:pt>
                <c:pt idx="173">
                  <c:v>3888.8888888888882</c:v>
                </c:pt>
                <c:pt idx="174">
                  <c:v>3888.8888888888882</c:v>
                </c:pt>
                <c:pt idx="175">
                  <c:v>3888.8888888888882</c:v>
                </c:pt>
                <c:pt idx="176">
                  <c:v>3888.8888888888882</c:v>
                </c:pt>
                <c:pt idx="177">
                  <c:v>3888.8888888888882</c:v>
                </c:pt>
                <c:pt idx="178">
                  <c:v>3888.8888888888882</c:v>
                </c:pt>
                <c:pt idx="179">
                  <c:v>3888.8888888888882</c:v>
                </c:pt>
                <c:pt idx="180">
                  <c:v>3888.8888888888882</c:v>
                </c:pt>
                <c:pt idx="181">
                  <c:v>3888.8888888888882</c:v>
                </c:pt>
                <c:pt idx="182">
                  <c:v>3888.8888888888882</c:v>
                </c:pt>
                <c:pt idx="183">
                  <c:v>3888.8888888888882</c:v>
                </c:pt>
                <c:pt idx="184">
                  <c:v>3888.8888888888882</c:v>
                </c:pt>
                <c:pt idx="185">
                  <c:v>1944.4444444444441</c:v>
                </c:pt>
                <c:pt idx="186">
                  <c:v>1944.4444444444441</c:v>
                </c:pt>
                <c:pt idx="187">
                  <c:v>1944.4444444444441</c:v>
                </c:pt>
                <c:pt idx="188">
                  <c:v>1944.4444444444441</c:v>
                </c:pt>
                <c:pt idx="189">
                  <c:v>1944.4444444444441</c:v>
                </c:pt>
                <c:pt idx="190">
                  <c:v>1944.4444444444441</c:v>
                </c:pt>
                <c:pt idx="191">
                  <c:v>1944.4444444444441</c:v>
                </c:pt>
                <c:pt idx="192">
                  <c:v>1944.4444444444441</c:v>
                </c:pt>
                <c:pt idx="193">
                  <c:v>1944.4444444444441</c:v>
                </c:pt>
                <c:pt idx="194">
                  <c:v>1944.4444444444441</c:v>
                </c:pt>
                <c:pt idx="195">
                  <c:v>1944.4444444444441</c:v>
                </c:pt>
                <c:pt idx="196">
                  <c:v>1944.4444444444441</c:v>
                </c:pt>
                <c:pt idx="197">
                  <c:v>1944.4444444444441</c:v>
                </c:pt>
                <c:pt idx="198">
                  <c:v>1944.4444444444441</c:v>
                </c:pt>
                <c:pt idx="199">
                  <c:v>1944.4444444444441</c:v>
                </c:pt>
                <c:pt idx="200">
                  <c:v>1944.4444444444441</c:v>
                </c:pt>
                <c:pt idx="201">
                  <c:v>1944.4444444444441</c:v>
                </c:pt>
                <c:pt idx="202">
                  <c:v>1944.4444444444441</c:v>
                </c:pt>
                <c:pt idx="203">
                  <c:v>1944.4444444444441</c:v>
                </c:pt>
                <c:pt idx="204">
                  <c:v>1944.4444444444441</c:v>
                </c:pt>
                <c:pt idx="205">
                  <c:v>1944.4444444444441</c:v>
                </c:pt>
                <c:pt idx="206">
                  <c:v>1944.4444444444441</c:v>
                </c:pt>
                <c:pt idx="207">
                  <c:v>1944.4444444444441</c:v>
                </c:pt>
                <c:pt idx="208">
                  <c:v>1944.4444444444441</c:v>
                </c:pt>
                <c:pt idx="209">
                  <c:v>1944.4444444444441</c:v>
                </c:pt>
                <c:pt idx="210">
                  <c:v>1944.4444444444441</c:v>
                </c:pt>
                <c:pt idx="211">
                  <c:v>1944.4444444444441</c:v>
                </c:pt>
                <c:pt idx="212">
                  <c:v>1944.4444444444441</c:v>
                </c:pt>
                <c:pt idx="213">
                  <c:v>1944.4444444444441</c:v>
                </c:pt>
                <c:pt idx="214">
                  <c:v>1944.4444444444441</c:v>
                </c:pt>
                <c:pt idx="215">
                  <c:v>1944.4444444444441</c:v>
                </c:pt>
                <c:pt idx="216">
                  <c:v>1915.9139779106356</c:v>
                </c:pt>
                <c:pt idx="217">
                  <c:v>1885.2783612741073</c:v>
                </c:pt>
                <c:pt idx="218">
                  <c:v>1854.6150200976369</c:v>
                </c:pt>
                <c:pt idx="219">
                  <c:v>1824.0663431491794</c:v>
                </c:pt>
                <c:pt idx="220">
                  <c:v>1793.2978104077811</c:v>
                </c:pt>
                <c:pt idx="221">
                  <c:v>1762.8707814127265</c:v>
                </c:pt>
                <c:pt idx="222">
                  <c:v>1731.7113539359887</c:v>
                </c:pt>
                <c:pt idx="223">
                  <c:v>1696.1424135586308</c:v>
                </c:pt>
                <c:pt idx="224">
                  <c:v>1659.5113508181651</c:v>
                </c:pt>
                <c:pt idx="225">
                  <c:v>1623.0653485552716</c:v>
                </c:pt>
                <c:pt idx="226">
                  <c:v>1584.7624144643642</c:v>
                </c:pt>
                <c:pt idx="227">
                  <c:v>1547.9464144643641</c:v>
                </c:pt>
                <c:pt idx="228">
                  <c:v>1511.0805954138684</c:v>
                </c:pt>
                <c:pt idx="229">
                  <c:v>1474.2645954138686</c:v>
                </c:pt>
                <c:pt idx="230">
                  <c:v>1439.6225743654134</c:v>
                </c:pt>
                <c:pt idx="231">
                  <c:v>1405.8745743654133</c:v>
                </c:pt>
                <c:pt idx="232">
                  <c:v>1370.8969394447784</c:v>
                </c:pt>
                <c:pt idx="233">
                  <c:v>1337.1489394447783</c:v>
                </c:pt>
                <c:pt idx="234">
                  <c:v>1302.8561660282437</c:v>
                </c:pt>
                <c:pt idx="235">
                  <c:v>1269.1081660282437</c:v>
                </c:pt>
                <c:pt idx="236">
                  <c:v>1234.9057865912791</c:v>
                </c:pt>
                <c:pt idx="237">
                  <c:v>1198.0897865912791</c:v>
                </c:pt>
                <c:pt idx="238">
                  <c:v>1161.2737865912791</c:v>
                </c:pt>
                <c:pt idx="239">
                  <c:v>1124.0420612412499</c:v>
                </c:pt>
                <c:pt idx="240">
                  <c:v>1087.2260612412501</c:v>
                </c:pt>
                <c:pt idx="241">
                  <c:v>1050.4100612412501</c:v>
                </c:pt>
                <c:pt idx="242">
                  <c:v>1013.5940612412501</c:v>
                </c:pt>
                <c:pt idx="243">
                  <c:v>976.77806124125004</c:v>
                </c:pt>
                <c:pt idx="244">
                  <c:v>939.96206124125001</c:v>
                </c:pt>
                <c:pt idx="245">
                  <c:v>903.14606124124998</c:v>
                </c:pt>
                <c:pt idx="246">
                  <c:v>866.21023926123178</c:v>
                </c:pt>
                <c:pt idx="247">
                  <c:v>829.28544788868214</c:v>
                </c:pt>
                <c:pt idx="248">
                  <c:v>792.46944788868211</c:v>
                </c:pt>
                <c:pt idx="249">
                  <c:v>760.02480041492424</c:v>
                </c:pt>
                <c:pt idx="250">
                  <c:v>724.86280721764535</c:v>
                </c:pt>
                <c:pt idx="251">
                  <c:v>691.29010008177045</c:v>
                </c:pt>
                <c:pt idx="252">
                  <c:v>659.07610008177051</c:v>
                </c:pt>
                <c:pt idx="253">
                  <c:v>626.6104629256231</c:v>
                </c:pt>
                <c:pt idx="254">
                  <c:v>594.39646292562304</c:v>
                </c:pt>
                <c:pt idx="255">
                  <c:v>562.14052251647627</c:v>
                </c:pt>
                <c:pt idx="256">
                  <c:v>529.92652251647633</c:v>
                </c:pt>
                <c:pt idx="257">
                  <c:v>497.71252251647633</c:v>
                </c:pt>
                <c:pt idx="258">
                  <c:v>466.49949053615654</c:v>
                </c:pt>
                <c:pt idx="259">
                  <c:v>435.67915891808906</c:v>
                </c:pt>
                <c:pt idx="260">
                  <c:v>404.99915891808905</c:v>
                </c:pt>
                <c:pt idx="261">
                  <c:v>373.89661284308471</c:v>
                </c:pt>
                <c:pt idx="262">
                  <c:v>343.2166128430847</c:v>
                </c:pt>
                <c:pt idx="263">
                  <c:v>312.5366128430847</c:v>
                </c:pt>
                <c:pt idx="264">
                  <c:v>281.85661284308469</c:v>
                </c:pt>
                <c:pt idx="265">
                  <c:v>254.17381284308615</c:v>
                </c:pt>
                <c:pt idx="266">
                  <c:v>228.04960725276331</c:v>
                </c:pt>
                <c:pt idx="267">
                  <c:v>201.97160725276331</c:v>
                </c:pt>
                <c:pt idx="268">
                  <c:v>175.88667307390492</c:v>
                </c:pt>
                <c:pt idx="269">
                  <c:v>766.36608347390404</c:v>
                </c:pt>
                <c:pt idx="270">
                  <c:v>740.25580760186233</c:v>
                </c:pt>
                <c:pt idx="271">
                  <c:v>713.80204262086261</c:v>
                </c:pt>
                <c:pt idx="272">
                  <c:v>689.8905454595689</c:v>
                </c:pt>
                <c:pt idx="273">
                  <c:v>666.68970058404659</c:v>
                </c:pt>
                <c:pt idx="274">
                  <c:v>643.58686781918448</c:v>
                </c:pt>
                <c:pt idx="275">
                  <c:v>620.22807840666246</c:v>
                </c:pt>
                <c:pt idx="276">
                  <c:v>597.17765462917396</c:v>
                </c:pt>
                <c:pt idx="277">
                  <c:v>574.13178101825054</c:v>
                </c:pt>
                <c:pt idx="278">
                  <c:v>551.08327186644635</c:v>
                </c:pt>
                <c:pt idx="279">
                  <c:v>527.76801000759565</c:v>
                </c:pt>
                <c:pt idx="280">
                  <c:v>504.66205366359259</c:v>
                </c:pt>
                <c:pt idx="281">
                  <c:v>481.46289387972803</c:v>
                </c:pt>
                <c:pt idx="282">
                  <c:v>458.45289387972798</c:v>
                </c:pt>
                <c:pt idx="283">
                  <c:v>435.24362576091346</c:v>
                </c:pt>
                <c:pt idx="284">
                  <c:v>411.99303604949563</c:v>
                </c:pt>
                <c:pt idx="285">
                  <c:v>388.75253486071932</c:v>
                </c:pt>
                <c:pt idx="286">
                  <c:v>367.97806910729304</c:v>
                </c:pt>
                <c:pt idx="287">
                  <c:v>347.87950538439509</c:v>
                </c:pt>
                <c:pt idx="288">
                  <c:v>327.82534020817207</c:v>
                </c:pt>
                <c:pt idx="289">
                  <c:v>798.57951160922812</c:v>
                </c:pt>
                <c:pt idx="290">
                  <c:v>778.5490834630873</c:v>
                </c:pt>
                <c:pt idx="291">
                  <c:v>758.48436346308597</c:v>
                </c:pt>
                <c:pt idx="292">
                  <c:v>738.53428650885587</c:v>
                </c:pt>
                <c:pt idx="293">
                  <c:v>718.29949645104875</c:v>
                </c:pt>
                <c:pt idx="294">
                  <c:v>698.13422079954546</c:v>
                </c:pt>
                <c:pt idx="295">
                  <c:v>678.18629573195415</c:v>
                </c:pt>
                <c:pt idx="296">
                  <c:v>658.05219118649802</c:v>
                </c:pt>
                <c:pt idx="297">
                  <c:v>637.88864551958216</c:v>
                </c:pt>
                <c:pt idx="298">
                  <c:v>617.63694246581622</c:v>
                </c:pt>
                <c:pt idx="299">
                  <c:v>597.46411513823148</c:v>
                </c:pt>
                <c:pt idx="300">
                  <c:v>577.4498996474008</c:v>
                </c:pt>
                <c:pt idx="301">
                  <c:v>557.50789964740079</c:v>
                </c:pt>
                <c:pt idx="302">
                  <c:v>557.50789964740079</c:v>
                </c:pt>
                <c:pt idx="303">
                  <c:v>557.50789964740079</c:v>
                </c:pt>
                <c:pt idx="304">
                  <c:v>557.50789964740079</c:v>
                </c:pt>
                <c:pt idx="305">
                  <c:v>537.56589964740078</c:v>
                </c:pt>
                <c:pt idx="306">
                  <c:v>517.39640763593013</c:v>
                </c:pt>
                <c:pt idx="307">
                  <c:v>497.45440763593012</c:v>
                </c:pt>
                <c:pt idx="308">
                  <c:v>497.45440763593012</c:v>
                </c:pt>
                <c:pt idx="309">
                  <c:v>497.45440763593012</c:v>
                </c:pt>
                <c:pt idx="310">
                  <c:v>497.45440763593012</c:v>
                </c:pt>
                <c:pt idx="311">
                  <c:v>497.45440763593012</c:v>
                </c:pt>
                <c:pt idx="312">
                  <c:v>497.45440763593012</c:v>
                </c:pt>
                <c:pt idx="313">
                  <c:v>497.45440763593012</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numCache>
            </c:numRef>
          </c:val>
        </c:ser>
        <c:ser>
          <c:idx val="1"/>
          <c:order val="2"/>
          <c:tx>
            <c:strRef>
              <c:f>Calculation!$CH$7</c:f>
              <c:strCache>
                <c:ptCount val="1"/>
                <c:pt idx="0">
                  <c:v>Total Covington Storage (AF)</c:v>
                </c:pt>
              </c:strCache>
            </c:strRef>
          </c:tx>
          <c:spPr>
            <a:ln w="25400">
              <a:solidFill>
                <a:schemeClr val="accent2">
                  <a:lumMod val="75000"/>
                </a:schemeClr>
              </a:solidFill>
              <a:prstDash val="solid"/>
            </a:ln>
          </c:spPr>
          <c:marker>
            <c:symbol val="none"/>
          </c:marker>
          <c:cat>
            <c:numRef>
              <c:f>Calculation!$B$8:$B$385</c:f>
              <c:numCache>
                <c:formatCode>m/d/yyyy</c:formatCode>
                <c:ptCount val="378"/>
                <c:pt idx="0">
                  <c:v>40537</c:v>
                </c:pt>
                <c:pt idx="1">
                  <c:v>40538</c:v>
                </c:pt>
                <c:pt idx="2">
                  <c:v>40539</c:v>
                </c:pt>
                <c:pt idx="3">
                  <c:v>40540</c:v>
                </c:pt>
                <c:pt idx="4">
                  <c:v>40541</c:v>
                </c:pt>
                <c:pt idx="5">
                  <c:v>40542</c:v>
                </c:pt>
                <c:pt idx="6">
                  <c:v>40543</c:v>
                </c:pt>
                <c:pt idx="7">
                  <c:v>40544</c:v>
                </c:pt>
                <c:pt idx="8">
                  <c:v>40545</c:v>
                </c:pt>
                <c:pt idx="9">
                  <c:v>40546</c:v>
                </c:pt>
                <c:pt idx="10">
                  <c:v>40547</c:v>
                </c:pt>
                <c:pt idx="11">
                  <c:v>40548</c:v>
                </c:pt>
                <c:pt idx="12">
                  <c:v>40549</c:v>
                </c:pt>
                <c:pt idx="13">
                  <c:v>40550</c:v>
                </c:pt>
                <c:pt idx="14">
                  <c:v>40551</c:v>
                </c:pt>
                <c:pt idx="15">
                  <c:v>40552</c:v>
                </c:pt>
                <c:pt idx="16">
                  <c:v>40553</c:v>
                </c:pt>
                <c:pt idx="17">
                  <c:v>40554</c:v>
                </c:pt>
                <c:pt idx="18">
                  <c:v>40555</c:v>
                </c:pt>
                <c:pt idx="19">
                  <c:v>40556</c:v>
                </c:pt>
                <c:pt idx="20">
                  <c:v>40557</c:v>
                </c:pt>
                <c:pt idx="21">
                  <c:v>40558</c:v>
                </c:pt>
                <c:pt idx="22">
                  <c:v>40559</c:v>
                </c:pt>
                <c:pt idx="23">
                  <c:v>40560</c:v>
                </c:pt>
                <c:pt idx="24">
                  <c:v>40561</c:v>
                </c:pt>
                <c:pt idx="25">
                  <c:v>40562</c:v>
                </c:pt>
                <c:pt idx="26">
                  <c:v>40563</c:v>
                </c:pt>
                <c:pt idx="27">
                  <c:v>40564</c:v>
                </c:pt>
                <c:pt idx="28">
                  <c:v>40565</c:v>
                </c:pt>
                <c:pt idx="29">
                  <c:v>40566</c:v>
                </c:pt>
                <c:pt idx="30">
                  <c:v>40567</c:v>
                </c:pt>
                <c:pt idx="31">
                  <c:v>40568</c:v>
                </c:pt>
                <c:pt idx="32">
                  <c:v>40569</c:v>
                </c:pt>
                <c:pt idx="33">
                  <c:v>40570</c:v>
                </c:pt>
                <c:pt idx="34">
                  <c:v>40571</c:v>
                </c:pt>
                <c:pt idx="35">
                  <c:v>40572</c:v>
                </c:pt>
                <c:pt idx="36">
                  <c:v>40573</c:v>
                </c:pt>
                <c:pt idx="37">
                  <c:v>40574</c:v>
                </c:pt>
                <c:pt idx="38">
                  <c:v>40575</c:v>
                </c:pt>
                <c:pt idx="39">
                  <c:v>40576</c:v>
                </c:pt>
                <c:pt idx="40">
                  <c:v>40577</c:v>
                </c:pt>
                <c:pt idx="41">
                  <c:v>40578</c:v>
                </c:pt>
                <c:pt idx="42">
                  <c:v>40579</c:v>
                </c:pt>
                <c:pt idx="43">
                  <c:v>40580</c:v>
                </c:pt>
                <c:pt idx="44">
                  <c:v>40581</c:v>
                </c:pt>
                <c:pt idx="45">
                  <c:v>40582</c:v>
                </c:pt>
                <c:pt idx="46">
                  <c:v>40583</c:v>
                </c:pt>
                <c:pt idx="47">
                  <c:v>40584</c:v>
                </c:pt>
                <c:pt idx="48">
                  <c:v>40585</c:v>
                </c:pt>
                <c:pt idx="49">
                  <c:v>40586</c:v>
                </c:pt>
                <c:pt idx="50">
                  <c:v>40587</c:v>
                </c:pt>
                <c:pt idx="51">
                  <c:v>40588</c:v>
                </c:pt>
                <c:pt idx="52">
                  <c:v>40589</c:v>
                </c:pt>
                <c:pt idx="53">
                  <c:v>40590</c:v>
                </c:pt>
                <c:pt idx="54">
                  <c:v>40591</c:v>
                </c:pt>
                <c:pt idx="55">
                  <c:v>40592</c:v>
                </c:pt>
                <c:pt idx="56">
                  <c:v>40593</c:v>
                </c:pt>
                <c:pt idx="57">
                  <c:v>40594</c:v>
                </c:pt>
                <c:pt idx="58">
                  <c:v>40595</c:v>
                </c:pt>
                <c:pt idx="59">
                  <c:v>40596</c:v>
                </c:pt>
                <c:pt idx="60">
                  <c:v>40597</c:v>
                </c:pt>
                <c:pt idx="61">
                  <c:v>40598</c:v>
                </c:pt>
                <c:pt idx="62">
                  <c:v>40599</c:v>
                </c:pt>
                <c:pt idx="63">
                  <c:v>40600</c:v>
                </c:pt>
                <c:pt idx="64">
                  <c:v>40601</c:v>
                </c:pt>
                <c:pt idx="65">
                  <c:v>40602</c:v>
                </c:pt>
                <c:pt idx="66">
                  <c:v>40603</c:v>
                </c:pt>
                <c:pt idx="67">
                  <c:v>40604</c:v>
                </c:pt>
                <c:pt idx="68">
                  <c:v>40605</c:v>
                </c:pt>
                <c:pt idx="69">
                  <c:v>40606</c:v>
                </c:pt>
                <c:pt idx="70">
                  <c:v>40607</c:v>
                </c:pt>
                <c:pt idx="71">
                  <c:v>40608</c:v>
                </c:pt>
                <c:pt idx="72">
                  <c:v>40609</c:v>
                </c:pt>
                <c:pt idx="73">
                  <c:v>40610</c:v>
                </c:pt>
                <c:pt idx="74">
                  <c:v>40611</c:v>
                </c:pt>
                <c:pt idx="75">
                  <c:v>40612</c:v>
                </c:pt>
                <c:pt idx="76">
                  <c:v>40613</c:v>
                </c:pt>
                <c:pt idx="77">
                  <c:v>40614</c:v>
                </c:pt>
                <c:pt idx="78">
                  <c:v>40615</c:v>
                </c:pt>
                <c:pt idx="79">
                  <c:v>40616</c:v>
                </c:pt>
                <c:pt idx="80">
                  <c:v>40617</c:v>
                </c:pt>
                <c:pt idx="81">
                  <c:v>40618</c:v>
                </c:pt>
                <c:pt idx="82">
                  <c:v>40619</c:v>
                </c:pt>
                <c:pt idx="83">
                  <c:v>40620</c:v>
                </c:pt>
                <c:pt idx="84">
                  <c:v>40621</c:v>
                </c:pt>
                <c:pt idx="85">
                  <c:v>40622</c:v>
                </c:pt>
                <c:pt idx="86">
                  <c:v>40623</c:v>
                </c:pt>
                <c:pt idx="87">
                  <c:v>40624</c:v>
                </c:pt>
                <c:pt idx="88">
                  <c:v>40625</c:v>
                </c:pt>
                <c:pt idx="89">
                  <c:v>40626</c:v>
                </c:pt>
                <c:pt idx="90">
                  <c:v>40627</c:v>
                </c:pt>
                <c:pt idx="91">
                  <c:v>40628</c:v>
                </c:pt>
                <c:pt idx="92">
                  <c:v>40629</c:v>
                </c:pt>
                <c:pt idx="93">
                  <c:v>40630</c:v>
                </c:pt>
                <c:pt idx="94">
                  <c:v>40631</c:v>
                </c:pt>
                <c:pt idx="95">
                  <c:v>40632</c:v>
                </c:pt>
                <c:pt idx="96">
                  <c:v>40633</c:v>
                </c:pt>
                <c:pt idx="97">
                  <c:v>40634</c:v>
                </c:pt>
                <c:pt idx="98">
                  <c:v>40635</c:v>
                </c:pt>
                <c:pt idx="99">
                  <c:v>40636</c:v>
                </c:pt>
                <c:pt idx="100">
                  <c:v>40637</c:v>
                </c:pt>
                <c:pt idx="101">
                  <c:v>40638</c:v>
                </c:pt>
                <c:pt idx="102">
                  <c:v>40639</c:v>
                </c:pt>
                <c:pt idx="103">
                  <c:v>40640</c:v>
                </c:pt>
                <c:pt idx="104">
                  <c:v>40641</c:v>
                </c:pt>
                <c:pt idx="105">
                  <c:v>40642</c:v>
                </c:pt>
                <c:pt idx="106">
                  <c:v>40643</c:v>
                </c:pt>
                <c:pt idx="107">
                  <c:v>40644</c:v>
                </c:pt>
                <c:pt idx="108">
                  <c:v>40645</c:v>
                </c:pt>
                <c:pt idx="109">
                  <c:v>40646</c:v>
                </c:pt>
                <c:pt idx="110">
                  <c:v>40647</c:v>
                </c:pt>
                <c:pt idx="111">
                  <c:v>40648</c:v>
                </c:pt>
                <c:pt idx="112">
                  <c:v>40649</c:v>
                </c:pt>
                <c:pt idx="113">
                  <c:v>40650</c:v>
                </c:pt>
                <c:pt idx="114">
                  <c:v>40651</c:v>
                </c:pt>
                <c:pt idx="115">
                  <c:v>40652</c:v>
                </c:pt>
                <c:pt idx="116">
                  <c:v>40653</c:v>
                </c:pt>
                <c:pt idx="117">
                  <c:v>40654</c:v>
                </c:pt>
                <c:pt idx="118">
                  <c:v>40655</c:v>
                </c:pt>
                <c:pt idx="119">
                  <c:v>40656</c:v>
                </c:pt>
                <c:pt idx="120">
                  <c:v>40657</c:v>
                </c:pt>
                <c:pt idx="121">
                  <c:v>40658</c:v>
                </c:pt>
                <c:pt idx="122">
                  <c:v>40659</c:v>
                </c:pt>
                <c:pt idx="123">
                  <c:v>40660</c:v>
                </c:pt>
                <c:pt idx="124">
                  <c:v>40661</c:v>
                </c:pt>
                <c:pt idx="125">
                  <c:v>40662</c:v>
                </c:pt>
                <c:pt idx="126">
                  <c:v>40663</c:v>
                </c:pt>
                <c:pt idx="127">
                  <c:v>40664</c:v>
                </c:pt>
                <c:pt idx="128">
                  <c:v>40665</c:v>
                </c:pt>
                <c:pt idx="129">
                  <c:v>40666</c:v>
                </c:pt>
                <c:pt idx="130">
                  <c:v>40667</c:v>
                </c:pt>
                <c:pt idx="131">
                  <c:v>40668</c:v>
                </c:pt>
                <c:pt idx="132">
                  <c:v>40669</c:v>
                </c:pt>
                <c:pt idx="133">
                  <c:v>40670</c:v>
                </c:pt>
                <c:pt idx="134">
                  <c:v>40671</c:v>
                </c:pt>
                <c:pt idx="135">
                  <c:v>40672</c:v>
                </c:pt>
                <c:pt idx="136">
                  <c:v>40673</c:v>
                </c:pt>
                <c:pt idx="137">
                  <c:v>40674</c:v>
                </c:pt>
                <c:pt idx="138">
                  <c:v>40675</c:v>
                </c:pt>
                <c:pt idx="139">
                  <c:v>40676</c:v>
                </c:pt>
                <c:pt idx="140">
                  <c:v>40677</c:v>
                </c:pt>
                <c:pt idx="141">
                  <c:v>40678</c:v>
                </c:pt>
                <c:pt idx="142">
                  <c:v>40679</c:v>
                </c:pt>
                <c:pt idx="143">
                  <c:v>40680</c:v>
                </c:pt>
                <c:pt idx="144">
                  <c:v>40681</c:v>
                </c:pt>
                <c:pt idx="145">
                  <c:v>40682</c:v>
                </c:pt>
                <c:pt idx="146">
                  <c:v>40683</c:v>
                </c:pt>
                <c:pt idx="147">
                  <c:v>40684</c:v>
                </c:pt>
                <c:pt idx="148">
                  <c:v>40685</c:v>
                </c:pt>
                <c:pt idx="149">
                  <c:v>40686</c:v>
                </c:pt>
                <c:pt idx="150">
                  <c:v>40687</c:v>
                </c:pt>
                <c:pt idx="151">
                  <c:v>40688</c:v>
                </c:pt>
                <c:pt idx="152">
                  <c:v>40689</c:v>
                </c:pt>
                <c:pt idx="153">
                  <c:v>40690</c:v>
                </c:pt>
                <c:pt idx="154">
                  <c:v>40691</c:v>
                </c:pt>
                <c:pt idx="155">
                  <c:v>40692</c:v>
                </c:pt>
                <c:pt idx="156">
                  <c:v>40693</c:v>
                </c:pt>
                <c:pt idx="157">
                  <c:v>40694</c:v>
                </c:pt>
                <c:pt idx="158">
                  <c:v>40695</c:v>
                </c:pt>
                <c:pt idx="159">
                  <c:v>40696</c:v>
                </c:pt>
                <c:pt idx="160">
                  <c:v>40697</c:v>
                </c:pt>
                <c:pt idx="161">
                  <c:v>40698</c:v>
                </c:pt>
                <c:pt idx="162">
                  <c:v>40699</c:v>
                </c:pt>
                <c:pt idx="163">
                  <c:v>40700</c:v>
                </c:pt>
                <c:pt idx="164">
                  <c:v>40701</c:v>
                </c:pt>
                <c:pt idx="165">
                  <c:v>40702</c:v>
                </c:pt>
                <c:pt idx="166">
                  <c:v>40703</c:v>
                </c:pt>
                <c:pt idx="167">
                  <c:v>40704</c:v>
                </c:pt>
                <c:pt idx="168">
                  <c:v>40705</c:v>
                </c:pt>
                <c:pt idx="169">
                  <c:v>40706</c:v>
                </c:pt>
                <c:pt idx="170">
                  <c:v>40707</c:v>
                </c:pt>
                <c:pt idx="171">
                  <c:v>40708</c:v>
                </c:pt>
                <c:pt idx="172">
                  <c:v>40709</c:v>
                </c:pt>
                <c:pt idx="173">
                  <c:v>40710</c:v>
                </c:pt>
                <c:pt idx="174">
                  <c:v>40711</c:v>
                </c:pt>
                <c:pt idx="175">
                  <c:v>40712</c:v>
                </c:pt>
                <c:pt idx="176">
                  <c:v>40713</c:v>
                </c:pt>
                <c:pt idx="177">
                  <c:v>40714</c:v>
                </c:pt>
                <c:pt idx="178">
                  <c:v>40715</c:v>
                </c:pt>
                <c:pt idx="179">
                  <c:v>40716</c:v>
                </c:pt>
                <c:pt idx="180">
                  <c:v>40717</c:v>
                </c:pt>
                <c:pt idx="181">
                  <c:v>40718</c:v>
                </c:pt>
                <c:pt idx="182">
                  <c:v>40719</c:v>
                </c:pt>
                <c:pt idx="183">
                  <c:v>40720</c:v>
                </c:pt>
                <c:pt idx="184">
                  <c:v>40721</c:v>
                </c:pt>
                <c:pt idx="185">
                  <c:v>40722</c:v>
                </c:pt>
                <c:pt idx="186">
                  <c:v>40723</c:v>
                </c:pt>
                <c:pt idx="187">
                  <c:v>40724</c:v>
                </c:pt>
                <c:pt idx="188">
                  <c:v>40725</c:v>
                </c:pt>
                <c:pt idx="189">
                  <c:v>40726</c:v>
                </c:pt>
                <c:pt idx="190">
                  <c:v>40727</c:v>
                </c:pt>
                <c:pt idx="191">
                  <c:v>40728</c:v>
                </c:pt>
                <c:pt idx="192">
                  <c:v>40729</c:v>
                </c:pt>
                <c:pt idx="193">
                  <c:v>40730</c:v>
                </c:pt>
                <c:pt idx="194">
                  <c:v>40731</c:v>
                </c:pt>
                <c:pt idx="195">
                  <c:v>40732</c:v>
                </c:pt>
                <c:pt idx="196">
                  <c:v>40733</c:v>
                </c:pt>
                <c:pt idx="197">
                  <c:v>40734</c:v>
                </c:pt>
                <c:pt idx="198">
                  <c:v>40735</c:v>
                </c:pt>
                <c:pt idx="199">
                  <c:v>40736</c:v>
                </c:pt>
                <c:pt idx="200">
                  <c:v>40737</c:v>
                </c:pt>
                <c:pt idx="201">
                  <c:v>40738</c:v>
                </c:pt>
                <c:pt idx="202">
                  <c:v>40739</c:v>
                </c:pt>
                <c:pt idx="203">
                  <c:v>40740</c:v>
                </c:pt>
                <c:pt idx="204">
                  <c:v>40741</c:v>
                </c:pt>
                <c:pt idx="205">
                  <c:v>40742</c:v>
                </c:pt>
                <c:pt idx="206">
                  <c:v>40743</c:v>
                </c:pt>
                <c:pt idx="207">
                  <c:v>40744</c:v>
                </c:pt>
                <c:pt idx="208">
                  <c:v>40745</c:v>
                </c:pt>
                <c:pt idx="209">
                  <c:v>40746</c:v>
                </c:pt>
                <c:pt idx="210">
                  <c:v>40747</c:v>
                </c:pt>
                <c:pt idx="211">
                  <c:v>40748</c:v>
                </c:pt>
                <c:pt idx="212">
                  <c:v>40749</c:v>
                </c:pt>
                <c:pt idx="213">
                  <c:v>40750</c:v>
                </c:pt>
                <c:pt idx="214">
                  <c:v>40751</c:v>
                </c:pt>
                <c:pt idx="215">
                  <c:v>40752</c:v>
                </c:pt>
                <c:pt idx="216">
                  <c:v>40753</c:v>
                </c:pt>
                <c:pt idx="217">
                  <c:v>40754</c:v>
                </c:pt>
                <c:pt idx="218">
                  <c:v>40755</c:v>
                </c:pt>
                <c:pt idx="219">
                  <c:v>40756</c:v>
                </c:pt>
                <c:pt idx="220">
                  <c:v>40757</c:v>
                </c:pt>
                <c:pt idx="221">
                  <c:v>40758</c:v>
                </c:pt>
                <c:pt idx="222">
                  <c:v>40759</c:v>
                </c:pt>
                <c:pt idx="223">
                  <c:v>40760</c:v>
                </c:pt>
                <c:pt idx="224">
                  <c:v>40761</c:v>
                </c:pt>
                <c:pt idx="225">
                  <c:v>40762</c:v>
                </c:pt>
                <c:pt idx="226">
                  <c:v>40763</c:v>
                </c:pt>
                <c:pt idx="227">
                  <c:v>40764</c:v>
                </c:pt>
                <c:pt idx="228">
                  <c:v>40765</c:v>
                </c:pt>
                <c:pt idx="229">
                  <c:v>40766</c:v>
                </c:pt>
                <c:pt idx="230">
                  <c:v>40767</c:v>
                </c:pt>
                <c:pt idx="231">
                  <c:v>40768</c:v>
                </c:pt>
                <c:pt idx="232">
                  <c:v>40769</c:v>
                </c:pt>
                <c:pt idx="233">
                  <c:v>40770</c:v>
                </c:pt>
                <c:pt idx="234">
                  <c:v>40771</c:v>
                </c:pt>
                <c:pt idx="235">
                  <c:v>40772</c:v>
                </c:pt>
                <c:pt idx="236">
                  <c:v>40773</c:v>
                </c:pt>
                <c:pt idx="237">
                  <c:v>40774</c:v>
                </c:pt>
                <c:pt idx="238">
                  <c:v>40775</c:v>
                </c:pt>
                <c:pt idx="239">
                  <c:v>40776</c:v>
                </c:pt>
                <c:pt idx="240">
                  <c:v>40777</c:v>
                </c:pt>
                <c:pt idx="241">
                  <c:v>40778</c:v>
                </c:pt>
                <c:pt idx="242">
                  <c:v>40779</c:v>
                </c:pt>
                <c:pt idx="243">
                  <c:v>40780</c:v>
                </c:pt>
                <c:pt idx="244">
                  <c:v>40781</c:v>
                </c:pt>
                <c:pt idx="245">
                  <c:v>40782</c:v>
                </c:pt>
                <c:pt idx="246">
                  <c:v>40783</c:v>
                </c:pt>
                <c:pt idx="247">
                  <c:v>40784</c:v>
                </c:pt>
                <c:pt idx="248">
                  <c:v>40785</c:v>
                </c:pt>
                <c:pt idx="249">
                  <c:v>40786</c:v>
                </c:pt>
                <c:pt idx="250">
                  <c:v>40787</c:v>
                </c:pt>
                <c:pt idx="251">
                  <c:v>40788</c:v>
                </c:pt>
                <c:pt idx="252">
                  <c:v>40789</c:v>
                </c:pt>
                <c:pt idx="253">
                  <c:v>40790</c:v>
                </c:pt>
                <c:pt idx="254">
                  <c:v>40791</c:v>
                </c:pt>
                <c:pt idx="255">
                  <c:v>40792</c:v>
                </c:pt>
                <c:pt idx="256">
                  <c:v>40793</c:v>
                </c:pt>
                <c:pt idx="257">
                  <c:v>40794</c:v>
                </c:pt>
                <c:pt idx="258">
                  <c:v>40795</c:v>
                </c:pt>
                <c:pt idx="259">
                  <c:v>40796</c:v>
                </c:pt>
                <c:pt idx="260">
                  <c:v>40797</c:v>
                </c:pt>
                <c:pt idx="261">
                  <c:v>40798</c:v>
                </c:pt>
                <c:pt idx="262">
                  <c:v>40799</c:v>
                </c:pt>
                <c:pt idx="263">
                  <c:v>40800</c:v>
                </c:pt>
                <c:pt idx="264">
                  <c:v>40801</c:v>
                </c:pt>
                <c:pt idx="265">
                  <c:v>40802</c:v>
                </c:pt>
                <c:pt idx="266">
                  <c:v>40803</c:v>
                </c:pt>
                <c:pt idx="267">
                  <c:v>40804</c:v>
                </c:pt>
                <c:pt idx="268">
                  <c:v>40805</c:v>
                </c:pt>
                <c:pt idx="269">
                  <c:v>40806</c:v>
                </c:pt>
                <c:pt idx="270">
                  <c:v>40807</c:v>
                </c:pt>
                <c:pt idx="271">
                  <c:v>40808</c:v>
                </c:pt>
                <c:pt idx="272">
                  <c:v>40809</c:v>
                </c:pt>
                <c:pt idx="273">
                  <c:v>40810</c:v>
                </c:pt>
                <c:pt idx="274">
                  <c:v>40811</c:v>
                </c:pt>
                <c:pt idx="275">
                  <c:v>40812</c:v>
                </c:pt>
                <c:pt idx="276">
                  <c:v>40813</c:v>
                </c:pt>
                <c:pt idx="277">
                  <c:v>40814</c:v>
                </c:pt>
                <c:pt idx="278">
                  <c:v>40815</c:v>
                </c:pt>
                <c:pt idx="279">
                  <c:v>40816</c:v>
                </c:pt>
                <c:pt idx="280">
                  <c:v>40817</c:v>
                </c:pt>
                <c:pt idx="281">
                  <c:v>40818</c:v>
                </c:pt>
                <c:pt idx="282">
                  <c:v>40819</c:v>
                </c:pt>
                <c:pt idx="283">
                  <c:v>40820</c:v>
                </c:pt>
                <c:pt idx="284">
                  <c:v>40821</c:v>
                </c:pt>
                <c:pt idx="285">
                  <c:v>40822</c:v>
                </c:pt>
                <c:pt idx="286">
                  <c:v>40823</c:v>
                </c:pt>
                <c:pt idx="287">
                  <c:v>40824</c:v>
                </c:pt>
                <c:pt idx="288">
                  <c:v>40825</c:v>
                </c:pt>
                <c:pt idx="289">
                  <c:v>40826</c:v>
                </c:pt>
                <c:pt idx="290">
                  <c:v>40827</c:v>
                </c:pt>
                <c:pt idx="291">
                  <c:v>40828</c:v>
                </c:pt>
                <c:pt idx="292">
                  <c:v>40829</c:v>
                </c:pt>
                <c:pt idx="293">
                  <c:v>40830</c:v>
                </c:pt>
                <c:pt idx="294">
                  <c:v>40831</c:v>
                </c:pt>
                <c:pt idx="295">
                  <c:v>40832</c:v>
                </c:pt>
                <c:pt idx="296">
                  <c:v>40833</c:v>
                </c:pt>
                <c:pt idx="297">
                  <c:v>40834</c:v>
                </c:pt>
                <c:pt idx="298">
                  <c:v>40835</c:v>
                </c:pt>
                <c:pt idx="299">
                  <c:v>40836</c:v>
                </c:pt>
                <c:pt idx="300">
                  <c:v>40837</c:v>
                </c:pt>
                <c:pt idx="301">
                  <c:v>40838</c:v>
                </c:pt>
                <c:pt idx="302">
                  <c:v>40839</c:v>
                </c:pt>
                <c:pt idx="303">
                  <c:v>40840</c:v>
                </c:pt>
                <c:pt idx="304">
                  <c:v>40841</c:v>
                </c:pt>
                <c:pt idx="305">
                  <c:v>40842</c:v>
                </c:pt>
                <c:pt idx="306">
                  <c:v>40843</c:v>
                </c:pt>
                <c:pt idx="307">
                  <c:v>40844</c:v>
                </c:pt>
                <c:pt idx="308">
                  <c:v>40845</c:v>
                </c:pt>
                <c:pt idx="309">
                  <c:v>40846</c:v>
                </c:pt>
                <c:pt idx="310">
                  <c:v>40847</c:v>
                </c:pt>
                <c:pt idx="311">
                  <c:v>40848</c:v>
                </c:pt>
                <c:pt idx="312">
                  <c:v>40849</c:v>
                </c:pt>
                <c:pt idx="313">
                  <c:v>40850</c:v>
                </c:pt>
                <c:pt idx="314">
                  <c:v>40851</c:v>
                </c:pt>
                <c:pt idx="315">
                  <c:v>40852</c:v>
                </c:pt>
                <c:pt idx="316">
                  <c:v>40853</c:v>
                </c:pt>
                <c:pt idx="317">
                  <c:v>40854</c:v>
                </c:pt>
                <c:pt idx="318">
                  <c:v>40855</c:v>
                </c:pt>
                <c:pt idx="319">
                  <c:v>40856</c:v>
                </c:pt>
                <c:pt idx="320">
                  <c:v>40857</c:v>
                </c:pt>
                <c:pt idx="321">
                  <c:v>40858</c:v>
                </c:pt>
                <c:pt idx="322">
                  <c:v>40859</c:v>
                </c:pt>
                <c:pt idx="323">
                  <c:v>40860</c:v>
                </c:pt>
                <c:pt idx="324">
                  <c:v>40861</c:v>
                </c:pt>
                <c:pt idx="325">
                  <c:v>40862</c:v>
                </c:pt>
                <c:pt idx="326">
                  <c:v>40863</c:v>
                </c:pt>
                <c:pt idx="327">
                  <c:v>40864</c:v>
                </c:pt>
                <c:pt idx="328">
                  <c:v>40865</c:v>
                </c:pt>
                <c:pt idx="329">
                  <c:v>40866</c:v>
                </c:pt>
                <c:pt idx="330">
                  <c:v>40867</c:v>
                </c:pt>
                <c:pt idx="331">
                  <c:v>40868</c:v>
                </c:pt>
                <c:pt idx="332">
                  <c:v>40869</c:v>
                </c:pt>
                <c:pt idx="333">
                  <c:v>40870</c:v>
                </c:pt>
                <c:pt idx="334">
                  <c:v>40871</c:v>
                </c:pt>
                <c:pt idx="335">
                  <c:v>40872</c:v>
                </c:pt>
                <c:pt idx="336">
                  <c:v>40873</c:v>
                </c:pt>
                <c:pt idx="337">
                  <c:v>40874</c:v>
                </c:pt>
                <c:pt idx="338">
                  <c:v>40875</c:v>
                </c:pt>
                <c:pt idx="339">
                  <c:v>40876</c:v>
                </c:pt>
                <c:pt idx="340">
                  <c:v>40877</c:v>
                </c:pt>
                <c:pt idx="341">
                  <c:v>40878</c:v>
                </c:pt>
                <c:pt idx="342">
                  <c:v>40879</c:v>
                </c:pt>
                <c:pt idx="343">
                  <c:v>40880</c:v>
                </c:pt>
                <c:pt idx="344">
                  <c:v>40881</c:v>
                </c:pt>
                <c:pt idx="345">
                  <c:v>40882</c:v>
                </c:pt>
                <c:pt idx="346">
                  <c:v>40883</c:v>
                </c:pt>
                <c:pt idx="347">
                  <c:v>40884</c:v>
                </c:pt>
                <c:pt idx="348">
                  <c:v>40885</c:v>
                </c:pt>
                <c:pt idx="349">
                  <c:v>40886</c:v>
                </c:pt>
                <c:pt idx="350">
                  <c:v>40887</c:v>
                </c:pt>
                <c:pt idx="351">
                  <c:v>40888</c:v>
                </c:pt>
                <c:pt idx="352">
                  <c:v>40889</c:v>
                </c:pt>
                <c:pt idx="353">
                  <c:v>40890</c:v>
                </c:pt>
                <c:pt idx="354">
                  <c:v>40891</c:v>
                </c:pt>
                <c:pt idx="355">
                  <c:v>40892</c:v>
                </c:pt>
                <c:pt idx="356">
                  <c:v>40893</c:v>
                </c:pt>
                <c:pt idx="357">
                  <c:v>40894</c:v>
                </c:pt>
                <c:pt idx="358">
                  <c:v>40895</c:v>
                </c:pt>
                <c:pt idx="359">
                  <c:v>40896</c:v>
                </c:pt>
                <c:pt idx="360">
                  <c:v>40897</c:v>
                </c:pt>
                <c:pt idx="361">
                  <c:v>40898</c:v>
                </c:pt>
                <c:pt idx="362">
                  <c:v>40899</c:v>
                </c:pt>
                <c:pt idx="363">
                  <c:v>40900</c:v>
                </c:pt>
                <c:pt idx="364">
                  <c:v>40901</c:v>
                </c:pt>
                <c:pt idx="365">
                  <c:v>40902</c:v>
                </c:pt>
                <c:pt idx="366">
                  <c:v>40903</c:v>
                </c:pt>
                <c:pt idx="367">
                  <c:v>40904</c:v>
                </c:pt>
                <c:pt idx="368">
                  <c:v>40905</c:v>
                </c:pt>
                <c:pt idx="369">
                  <c:v>40906</c:v>
                </c:pt>
                <c:pt idx="370">
                  <c:v>40907</c:v>
                </c:pt>
                <c:pt idx="371">
                  <c:v>40908</c:v>
                </c:pt>
                <c:pt idx="372">
                  <c:v>40909</c:v>
                </c:pt>
                <c:pt idx="373">
                  <c:v>40910</c:v>
                </c:pt>
                <c:pt idx="374">
                  <c:v>40911</c:v>
                </c:pt>
                <c:pt idx="375">
                  <c:v>40912</c:v>
                </c:pt>
                <c:pt idx="376">
                  <c:v>40913</c:v>
                </c:pt>
                <c:pt idx="377">
                  <c:v>40914</c:v>
                </c:pt>
              </c:numCache>
            </c:numRef>
          </c:cat>
          <c:val>
            <c:numRef>
              <c:f>Calculation!$CH$8:$CH$385</c:f>
              <c:numCache>
                <c:formatCode>0.00</c:formatCode>
                <c:ptCount val="3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38.561351111111115</c:v>
                </c:pt>
                <c:pt idx="67">
                  <c:v>71.660598175979146</c:v>
                </c:pt>
                <c:pt idx="68">
                  <c:v>102.67176537019914</c:v>
                </c:pt>
                <c:pt idx="69">
                  <c:v>133.57615844270074</c:v>
                </c:pt>
                <c:pt idx="70">
                  <c:v>164.63842577586325</c:v>
                </c:pt>
                <c:pt idx="71">
                  <c:v>195.45718295881744</c:v>
                </c:pt>
                <c:pt idx="72">
                  <c:v>226.31394676711935</c:v>
                </c:pt>
                <c:pt idx="73">
                  <c:v>257.1320251509577</c:v>
                </c:pt>
                <c:pt idx="74">
                  <c:v>288.04314387671269</c:v>
                </c:pt>
                <c:pt idx="75">
                  <c:v>324.79338639142844</c:v>
                </c:pt>
                <c:pt idx="76">
                  <c:v>363.35473750253954</c:v>
                </c:pt>
                <c:pt idx="77">
                  <c:v>399.80652754760234</c:v>
                </c:pt>
                <c:pt idx="78">
                  <c:v>430.91839115871204</c:v>
                </c:pt>
                <c:pt idx="79">
                  <c:v>463.06942697570634</c:v>
                </c:pt>
                <c:pt idx="80">
                  <c:v>498.15673226549154</c:v>
                </c:pt>
                <c:pt idx="81">
                  <c:v>528.89314681566782</c:v>
                </c:pt>
                <c:pt idx="82">
                  <c:v>559.75088879783164</c:v>
                </c:pt>
                <c:pt idx="83">
                  <c:v>590.71004982101408</c:v>
                </c:pt>
                <c:pt idx="84">
                  <c:v>621.37277593212514</c:v>
                </c:pt>
                <c:pt idx="85">
                  <c:v>652.25232704323548</c:v>
                </c:pt>
                <c:pt idx="86">
                  <c:v>683.23421736846126</c:v>
                </c:pt>
                <c:pt idx="87">
                  <c:v>713.79674570379791</c:v>
                </c:pt>
                <c:pt idx="88">
                  <c:v>744.59697478347607</c:v>
                </c:pt>
                <c:pt idx="89">
                  <c:v>775.54463669840652</c:v>
                </c:pt>
                <c:pt idx="90">
                  <c:v>806.16993808386792</c:v>
                </c:pt>
                <c:pt idx="91">
                  <c:v>837.18763310819725</c:v>
                </c:pt>
                <c:pt idx="92">
                  <c:v>867.9426837346557</c:v>
                </c:pt>
                <c:pt idx="93">
                  <c:v>898.54528190458939</c:v>
                </c:pt>
                <c:pt idx="94">
                  <c:v>929.35977930828574</c:v>
                </c:pt>
                <c:pt idx="95">
                  <c:v>964.26163336457125</c:v>
                </c:pt>
                <c:pt idx="96">
                  <c:v>1002.8229844756823</c:v>
                </c:pt>
                <c:pt idx="97">
                  <c:v>1041.3843355867934</c:v>
                </c:pt>
                <c:pt idx="98">
                  <c:v>1079.9456866979044</c:v>
                </c:pt>
                <c:pt idx="99">
                  <c:v>1118.5070378090154</c:v>
                </c:pt>
                <c:pt idx="100">
                  <c:v>1157.0683889201264</c:v>
                </c:pt>
                <c:pt idx="101">
                  <c:v>1195.6297400312374</c:v>
                </c:pt>
                <c:pt idx="102">
                  <c:v>1234.1910911423486</c:v>
                </c:pt>
                <c:pt idx="103">
                  <c:v>1272.7524422534595</c:v>
                </c:pt>
                <c:pt idx="104">
                  <c:v>1311.3137933645705</c:v>
                </c:pt>
                <c:pt idx="105">
                  <c:v>1349.8751444756815</c:v>
                </c:pt>
                <c:pt idx="106">
                  <c:v>1388.4364955867927</c:v>
                </c:pt>
                <c:pt idx="107">
                  <c:v>1426.9978466979037</c:v>
                </c:pt>
                <c:pt idx="108">
                  <c:v>1465.5591978090147</c:v>
                </c:pt>
                <c:pt idx="109">
                  <c:v>1504.1205489201257</c:v>
                </c:pt>
                <c:pt idx="110">
                  <c:v>1540.7368686864443</c:v>
                </c:pt>
                <c:pt idx="111">
                  <c:v>1573.1234334511585</c:v>
                </c:pt>
                <c:pt idx="112">
                  <c:v>1603.9113182866097</c:v>
                </c:pt>
                <c:pt idx="113">
                  <c:v>1634.452922541057</c:v>
                </c:pt>
                <c:pt idx="114">
                  <c:v>1666.1403111282673</c:v>
                </c:pt>
                <c:pt idx="115">
                  <c:v>1696.5687619879118</c:v>
                </c:pt>
                <c:pt idx="116">
                  <c:v>1728.2381182803692</c:v>
                </c:pt>
                <c:pt idx="117">
                  <c:v>1759.006455802964</c:v>
                </c:pt>
                <c:pt idx="118">
                  <c:v>1789.495946958818</c:v>
                </c:pt>
                <c:pt idx="119">
                  <c:v>1820.5948426096238</c:v>
                </c:pt>
                <c:pt idx="120">
                  <c:v>1850.9170740181326</c:v>
                </c:pt>
                <c:pt idx="121">
                  <c:v>1880.1830476162129</c:v>
                </c:pt>
                <c:pt idx="122">
                  <c:v>1907.3991192173019</c:v>
                </c:pt>
                <c:pt idx="123">
                  <c:v>1935.1264545428035</c:v>
                </c:pt>
                <c:pt idx="124">
                  <c:v>1964.4311759869115</c:v>
                </c:pt>
                <c:pt idx="125">
                  <c:v>1996.5251958415326</c:v>
                </c:pt>
                <c:pt idx="126">
                  <c:v>2030.8463320891453</c:v>
                </c:pt>
                <c:pt idx="127">
                  <c:v>2064.5708160956583</c:v>
                </c:pt>
                <c:pt idx="128">
                  <c:v>2095.4744761335496</c:v>
                </c:pt>
                <c:pt idx="129">
                  <c:v>2125.6870457278351</c:v>
                </c:pt>
                <c:pt idx="130">
                  <c:v>2156.8928477117643</c:v>
                </c:pt>
                <c:pt idx="131">
                  <c:v>2187.5800046021268</c:v>
                </c:pt>
                <c:pt idx="132">
                  <c:v>2217.9419460800082</c:v>
                </c:pt>
                <c:pt idx="133">
                  <c:v>2248.6221231651452</c:v>
                </c:pt>
                <c:pt idx="134">
                  <c:v>2279.4677514744676</c:v>
                </c:pt>
                <c:pt idx="135">
                  <c:v>2315.5731372794562</c:v>
                </c:pt>
                <c:pt idx="136">
                  <c:v>2349.0435133140481</c:v>
                </c:pt>
                <c:pt idx="137">
                  <c:v>2379.7927049424006</c:v>
                </c:pt>
                <c:pt idx="138">
                  <c:v>2410.4819238062669</c:v>
                </c:pt>
                <c:pt idx="139">
                  <c:v>2441.1897301974527</c:v>
                </c:pt>
                <c:pt idx="140">
                  <c:v>2471.8468493220298</c:v>
                </c:pt>
                <c:pt idx="141">
                  <c:v>2504.9672273337269</c:v>
                </c:pt>
                <c:pt idx="142">
                  <c:v>2543.5285784448383</c:v>
                </c:pt>
                <c:pt idx="143">
                  <c:v>2582.0899295559493</c:v>
                </c:pt>
                <c:pt idx="144">
                  <c:v>2620.6512806670603</c:v>
                </c:pt>
                <c:pt idx="145">
                  <c:v>2659.2126317781713</c:v>
                </c:pt>
                <c:pt idx="146">
                  <c:v>2697.7739828892823</c:v>
                </c:pt>
                <c:pt idx="147">
                  <c:v>2736.3353340003932</c:v>
                </c:pt>
                <c:pt idx="148">
                  <c:v>2774.8966851115042</c:v>
                </c:pt>
                <c:pt idx="149">
                  <c:v>2813.4580362226152</c:v>
                </c:pt>
                <c:pt idx="150">
                  <c:v>2852.0193873337266</c:v>
                </c:pt>
                <c:pt idx="151">
                  <c:v>2890.5807384448376</c:v>
                </c:pt>
                <c:pt idx="152">
                  <c:v>2929.1420895559486</c:v>
                </c:pt>
                <c:pt idx="153">
                  <c:v>2965.992051283989</c:v>
                </c:pt>
                <c:pt idx="154">
                  <c:v>3003.8228284820566</c:v>
                </c:pt>
                <c:pt idx="155">
                  <c:v>3042.3841795931676</c:v>
                </c:pt>
                <c:pt idx="156">
                  <c:v>3080.9455307042786</c:v>
                </c:pt>
                <c:pt idx="157">
                  <c:v>3119.50688181539</c:v>
                </c:pt>
                <c:pt idx="158">
                  <c:v>3158.068232926501</c:v>
                </c:pt>
                <c:pt idx="159">
                  <c:v>3192.5502410156978</c:v>
                </c:pt>
                <c:pt idx="160">
                  <c:v>3223.0474632878586</c:v>
                </c:pt>
                <c:pt idx="161">
                  <c:v>3253.3471792950431</c:v>
                </c:pt>
                <c:pt idx="162">
                  <c:v>3283.4846131989752</c:v>
                </c:pt>
                <c:pt idx="163">
                  <c:v>3313.7624044146623</c:v>
                </c:pt>
                <c:pt idx="164">
                  <c:v>3344.1941333035516</c:v>
                </c:pt>
                <c:pt idx="165">
                  <c:v>3374.9686844146627</c:v>
                </c:pt>
                <c:pt idx="166">
                  <c:v>3466.1672272215656</c:v>
                </c:pt>
                <c:pt idx="167">
                  <c:v>3557.484670305495</c:v>
                </c:pt>
                <c:pt idx="168">
                  <c:v>3648.6393559974531</c:v>
                </c:pt>
                <c:pt idx="169">
                  <c:v>3740.0052365453985</c:v>
                </c:pt>
                <c:pt idx="170">
                  <c:v>3830.9666112637306</c:v>
                </c:pt>
                <c:pt idx="171">
                  <c:v>3888.8888888888882</c:v>
                </c:pt>
                <c:pt idx="172">
                  <c:v>3888.8888888888882</c:v>
                </c:pt>
                <c:pt idx="173">
                  <c:v>3888.8888888888882</c:v>
                </c:pt>
                <c:pt idx="174">
                  <c:v>3888.8888888888882</c:v>
                </c:pt>
                <c:pt idx="175">
                  <c:v>3888.8888888888882</c:v>
                </c:pt>
                <c:pt idx="176">
                  <c:v>3888.8888888888882</c:v>
                </c:pt>
                <c:pt idx="177">
                  <c:v>3888.8888888888882</c:v>
                </c:pt>
                <c:pt idx="178">
                  <c:v>3888.8888888888882</c:v>
                </c:pt>
                <c:pt idx="179">
                  <c:v>3888.8888888888882</c:v>
                </c:pt>
                <c:pt idx="180">
                  <c:v>3888.8888888888882</c:v>
                </c:pt>
                <c:pt idx="181">
                  <c:v>3888.8888888888882</c:v>
                </c:pt>
                <c:pt idx="182">
                  <c:v>3888.8888888888882</c:v>
                </c:pt>
                <c:pt idx="183">
                  <c:v>3888.8888888888882</c:v>
                </c:pt>
                <c:pt idx="184">
                  <c:v>3888.8888888888882</c:v>
                </c:pt>
                <c:pt idx="185">
                  <c:v>1944.4444444444441</c:v>
                </c:pt>
                <c:pt idx="186">
                  <c:v>1944.4444444444441</c:v>
                </c:pt>
                <c:pt idx="187">
                  <c:v>1944.4444444444441</c:v>
                </c:pt>
                <c:pt idx="188">
                  <c:v>1944.4444444444441</c:v>
                </c:pt>
                <c:pt idx="189">
                  <c:v>1944.4444444444441</c:v>
                </c:pt>
                <c:pt idx="190">
                  <c:v>1944.4444444444441</c:v>
                </c:pt>
                <c:pt idx="191">
                  <c:v>1944.4444444444441</c:v>
                </c:pt>
                <c:pt idx="192">
                  <c:v>1944.4444444444441</c:v>
                </c:pt>
                <c:pt idx="193">
                  <c:v>1944.4444444444441</c:v>
                </c:pt>
                <c:pt idx="194">
                  <c:v>1944.4444444444441</c:v>
                </c:pt>
                <c:pt idx="195">
                  <c:v>1944.4444444444441</c:v>
                </c:pt>
                <c:pt idx="196">
                  <c:v>1944.4444444444441</c:v>
                </c:pt>
                <c:pt idx="197">
                  <c:v>1944.4444444444441</c:v>
                </c:pt>
                <c:pt idx="198">
                  <c:v>1944.4444444444441</c:v>
                </c:pt>
                <c:pt idx="199">
                  <c:v>1944.4444444444441</c:v>
                </c:pt>
                <c:pt idx="200">
                  <c:v>1944.4444444444441</c:v>
                </c:pt>
                <c:pt idx="201">
                  <c:v>1944.4444444444441</c:v>
                </c:pt>
                <c:pt idx="202">
                  <c:v>1944.4444444444441</c:v>
                </c:pt>
                <c:pt idx="203">
                  <c:v>1944.4444444444441</c:v>
                </c:pt>
                <c:pt idx="204">
                  <c:v>1944.4444444444441</c:v>
                </c:pt>
                <c:pt idx="205">
                  <c:v>1944.4444444444441</c:v>
                </c:pt>
                <c:pt idx="206">
                  <c:v>1944.4444444444441</c:v>
                </c:pt>
                <c:pt idx="207">
                  <c:v>1944.4444444444441</c:v>
                </c:pt>
                <c:pt idx="208">
                  <c:v>1944.4444444444441</c:v>
                </c:pt>
                <c:pt idx="209">
                  <c:v>1944.4444444444441</c:v>
                </c:pt>
                <c:pt idx="210">
                  <c:v>1944.4444444444441</c:v>
                </c:pt>
                <c:pt idx="211">
                  <c:v>1944.4444444444441</c:v>
                </c:pt>
                <c:pt idx="212">
                  <c:v>1944.4444444444441</c:v>
                </c:pt>
                <c:pt idx="213">
                  <c:v>1944.4444444444441</c:v>
                </c:pt>
                <c:pt idx="214">
                  <c:v>1944.4444444444441</c:v>
                </c:pt>
                <c:pt idx="215">
                  <c:v>1944.4444444444441</c:v>
                </c:pt>
                <c:pt idx="216">
                  <c:v>1932.1724444444442</c:v>
                </c:pt>
                <c:pt idx="217">
                  <c:v>1919.6923974281694</c:v>
                </c:pt>
                <c:pt idx="218">
                  <c:v>1907.2315974281694</c:v>
                </c:pt>
                <c:pt idx="219">
                  <c:v>1894.9595974281692</c:v>
                </c:pt>
                <c:pt idx="220">
                  <c:v>1882.4560502583579</c:v>
                </c:pt>
                <c:pt idx="221">
                  <c:v>1870.1338604066293</c:v>
                </c:pt>
                <c:pt idx="222">
                  <c:v>1857.4588390601596</c:v>
                </c:pt>
                <c:pt idx="223">
                  <c:v>1842.1188390601594</c:v>
                </c:pt>
                <c:pt idx="224">
                  <c:v>1823.7108390601595</c:v>
                </c:pt>
                <c:pt idx="225">
                  <c:v>1805.3028390601596</c:v>
                </c:pt>
                <c:pt idx="226">
                  <c:v>1789.9628390601595</c:v>
                </c:pt>
                <c:pt idx="227">
                  <c:v>1774.6228390601595</c:v>
                </c:pt>
                <c:pt idx="228">
                  <c:v>1759.2828390601594</c:v>
                </c:pt>
                <c:pt idx="229">
                  <c:v>1743.9428390601595</c:v>
                </c:pt>
                <c:pt idx="230">
                  <c:v>1728.6028390601596</c:v>
                </c:pt>
                <c:pt idx="231">
                  <c:v>1713.2628390601594</c:v>
                </c:pt>
                <c:pt idx="232">
                  <c:v>1697.2459311236516</c:v>
                </c:pt>
                <c:pt idx="233">
                  <c:v>1684.0246420028932</c:v>
                </c:pt>
                <c:pt idx="234">
                  <c:v>1670.4937377408035</c:v>
                </c:pt>
                <c:pt idx="235">
                  <c:v>1655.1537377408035</c:v>
                </c:pt>
                <c:pt idx="236">
                  <c:v>1639.6325492463113</c:v>
                </c:pt>
                <c:pt idx="237">
                  <c:v>1622.7585492463113</c:v>
                </c:pt>
                <c:pt idx="238">
                  <c:v>1604.3505492463112</c:v>
                </c:pt>
                <c:pt idx="239">
                  <c:v>1585.6111982616781</c:v>
                </c:pt>
                <c:pt idx="240">
                  <c:v>1568.737198261678</c:v>
                </c:pt>
                <c:pt idx="241">
                  <c:v>1551.863198261678</c:v>
                </c:pt>
                <c:pt idx="242">
                  <c:v>1534.989198261678</c:v>
                </c:pt>
                <c:pt idx="243">
                  <c:v>1518.115198261678</c:v>
                </c:pt>
                <c:pt idx="244">
                  <c:v>1502.775198261678</c:v>
                </c:pt>
                <c:pt idx="245">
                  <c:v>1485.901198261678</c:v>
                </c:pt>
                <c:pt idx="246">
                  <c:v>1469.027198261678</c:v>
                </c:pt>
                <c:pt idx="247">
                  <c:v>1454.2266387322659</c:v>
                </c:pt>
                <c:pt idx="248">
                  <c:v>1440.4206387322661</c:v>
                </c:pt>
                <c:pt idx="249">
                  <c:v>1426.614638732266</c:v>
                </c:pt>
                <c:pt idx="250">
                  <c:v>1412.808638732266</c:v>
                </c:pt>
                <c:pt idx="251">
                  <c:v>1399.002638732266</c:v>
                </c:pt>
                <c:pt idx="252">
                  <c:v>1382.1286387322659</c:v>
                </c:pt>
                <c:pt idx="253">
                  <c:v>1365.2546387322659</c:v>
                </c:pt>
                <c:pt idx="254">
                  <c:v>1348.3806387322661</c:v>
                </c:pt>
                <c:pt idx="255">
                  <c:v>1333.040638732266</c:v>
                </c:pt>
                <c:pt idx="256">
                  <c:v>1317.6265294180398</c:v>
                </c:pt>
                <c:pt idx="257">
                  <c:v>1302.2865294180399</c:v>
                </c:pt>
                <c:pt idx="258">
                  <c:v>1286.7719968227138</c:v>
                </c:pt>
                <c:pt idx="259">
                  <c:v>1271.4232260965846</c:v>
                </c:pt>
                <c:pt idx="260">
                  <c:v>1255.8739368526467</c:v>
                </c:pt>
                <c:pt idx="261">
                  <c:v>1242.3672534973659</c:v>
                </c:pt>
                <c:pt idx="262">
                  <c:v>1230.0463723091348</c:v>
                </c:pt>
                <c:pt idx="263">
                  <c:v>1217.7743723091348</c:v>
                </c:pt>
                <c:pt idx="264">
                  <c:v>1205.5023723091349</c:v>
                </c:pt>
                <c:pt idx="265">
                  <c:v>1197.8212402336635</c:v>
                </c:pt>
                <c:pt idx="266">
                  <c:v>1189.9900966375012</c:v>
                </c:pt>
                <c:pt idx="267">
                  <c:v>1182.3200966375011</c:v>
                </c:pt>
                <c:pt idx="268">
                  <c:v>1174.4915583610793</c:v>
                </c:pt>
                <c:pt idx="269">
                  <c:v>550.14873883064445</c:v>
                </c:pt>
                <c:pt idx="270">
                  <c:v>542.27275185985252</c:v>
                </c:pt>
                <c:pt idx="271">
                  <c:v>534.53773285956026</c:v>
                </c:pt>
                <c:pt idx="272">
                  <c:v>526.75966008536557</c:v>
                </c:pt>
                <c:pt idx="273">
                  <c:v>519.07726111996089</c:v>
                </c:pt>
                <c:pt idx="274">
                  <c:v>511.26396887189742</c:v>
                </c:pt>
                <c:pt idx="275">
                  <c:v>503.35411425601694</c:v>
                </c:pt>
                <c:pt idx="276">
                  <c:v>495.65025909430989</c:v>
                </c:pt>
                <c:pt idx="277">
                  <c:v>487.98025909430987</c:v>
                </c:pt>
                <c:pt idx="278">
                  <c:v>480.21590720497528</c:v>
                </c:pt>
                <c:pt idx="279">
                  <c:v>472.49562182124993</c:v>
                </c:pt>
                <c:pt idx="280">
                  <c:v>463.29162182124992</c:v>
                </c:pt>
                <c:pt idx="281">
                  <c:v>454.08762182124991</c:v>
                </c:pt>
                <c:pt idx="282">
                  <c:v>445.82448695004695</c:v>
                </c:pt>
                <c:pt idx="283">
                  <c:v>438.13929883123416</c:v>
                </c:pt>
                <c:pt idx="284">
                  <c:v>430.25565516749521</c:v>
                </c:pt>
                <c:pt idx="285">
                  <c:v>422.58565516749519</c:v>
                </c:pt>
                <c:pt idx="286">
                  <c:v>414.73412914009731</c:v>
                </c:pt>
                <c:pt idx="287">
                  <c:v>407.05845066310104</c:v>
                </c:pt>
                <c:pt idx="288">
                  <c:v>399.17783835379015</c:v>
                </c:pt>
                <c:pt idx="289">
                  <c:v>391.48354057131922</c:v>
                </c:pt>
                <c:pt idx="290">
                  <c:v>383.61883258755842</c:v>
                </c:pt>
                <c:pt idx="291">
                  <c:v>375.91815258755793</c:v>
                </c:pt>
                <c:pt idx="292">
                  <c:v>368.09158393628303</c:v>
                </c:pt>
                <c:pt idx="293">
                  <c:v>360.18302476865153</c:v>
                </c:pt>
                <c:pt idx="294">
                  <c:v>352.28958353503555</c:v>
                </c:pt>
                <c:pt idx="295">
                  <c:v>344.61958353503559</c:v>
                </c:pt>
                <c:pt idx="296">
                  <c:v>336.71963717139857</c:v>
                </c:pt>
                <c:pt idx="297">
                  <c:v>329.04963717139862</c:v>
                </c:pt>
                <c:pt idx="298">
                  <c:v>321.12236502802841</c:v>
                </c:pt>
                <c:pt idx="299">
                  <c:v>313.4110395969945</c:v>
                </c:pt>
                <c:pt idx="300">
                  <c:v>306.77023720936415</c:v>
                </c:pt>
                <c:pt idx="301">
                  <c:v>300.63423720936419</c:v>
                </c:pt>
                <c:pt idx="302">
                  <c:v>300.63423720936419</c:v>
                </c:pt>
                <c:pt idx="303">
                  <c:v>300.63423720936419</c:v>
                </c:pt>
                <c:pt idx="304">
                  <c:v>300.63423720936419</c:v>
                </c:pt>
                <c:pt idx="305">
                  <c:v>300.63423720936419</c:v>
                </c:pt>
                <c:pt idx="306">
                  <c:v>294.49823720936416</c:v>
                </c:pt>
                <c:pt idx="307">
                  <c:v>288.36223720936414</c:v>
                </c:pt>
                <c:pt idx="308">
                  <c:v>288.36223720936414</c:v>
                </c:pt>
                <c:pt idx="309">
                  <c:v>288.36223720936414</c:v>
                </c:pt>
                <c:pt idx="310">
                  <c:v>288.36223720936414</c:v>
                </c:pt>
                <c:pt idx="311">
                  <c:v>288.36223720936414</c:v>
                </c:pt>
                <c:pt idx="312">
                  <c:v>282.22623720936417</c:v>
                </c:pt>
                <c:pt idx="313">
                  <c:v>272.0772634229557</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numCache>
            </c:numRef>
          </c:val>
        </c:ser>
        <c:ser>
          <c:idx val="2"/>
          <c:order val="3"/>
          <c:tx>
            <c:strRef>
              <c:f>Calculation!$BM$7</c:f>
              <c:strCache>
                <c:ptCount val="1"/>
                <c:pt idx="0">
                  <c:v>Total Kent Storage (AF)</c:v>
                </c:pt>
              </c:strCache>
            </c:strRef>
          </c:tx>
          <c:spPr>
            <a:ln w="25400">
              <a:solidFill>
                <a:srgbClr val="FF9900"/>
              </a:solidFill>
              <a:prstDash val="solid"/>
            </a:ln>
          </c:spPr>
          <c:marker>
            <c:symbol val="none"/>
          </c:marker>
          <c:val>
            <c:numRef>
              <c:f>Calculation!$BM$8:$BM$385</c:f>
              <c:numCache>
                <c:formatCode>0.00</c:formatCode>
                <c:ptCount val="3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38.561351111111115</c:v>
                </c:pt>
                <c:pt idx="67">
                  <c:v>77.12270222222223</c:v>
                </c:pt>
                <c:pt idx="68">
                  <c:v>115.68405333333332</c:v>
                </c:pt>
                <c:pt idx="69">
                  <c:v>154.24540444444446</c:v>
                </c:pt>
                <c:pt idx="70">
                  <c:v>192.80675555555558</c:v>
                </c:pt>
                <c:pt idx="71">
                  <c:v>231.3681066666667</c:v>
                </c:pt>
                <c:pt idx="72">
                  <c:v>269.92945777777783</c:v>
                </c:pt>
                <c:pt idx="73">
                  <c:v>308.49080888888892</c:v>
                </c:pt>
                <c:pt idx="74">
                  <c:v>347.05216000000007</c:v>
                </c:pt>
                <c:pt idx="75">
                  <c:v>385.61351111111117</c:v>
                </c:pt>
                <c:pt idx="76">
                  <c:v>424.17486222222226</c:v>
                </c:pt>
                <c:pt idx="77">
                  <c:v>462.73621333333341</c:v>
                </c:pt>
                <c:pt idx="78">
                  <c:v>501.2975644444445</c:v>
                </c:pt>
                <c:pt idx="79">
                  <c:v>539.85891555555565</c:v>
                </c:pt>
                <c:pt idx="80">
                  <c:v>578.42026666666675</c:v>
                </c:pt>
                <c:pt idx="81">
                  <c:v>616.98161777777784</c:v>
                </c:pt>
                <c:pt idx="82">
                  <c:v>655.54296888888905</c:v>
                </c:pt>
                <c:pt idx="83">
                  <c:v>694.10432000000014</c:v>
                </c:pt>
                <c:pt idx="84">
                  <c:v>732.66567111111124</c:v>
                </c:pt>
                <c:pt idx="85">
                  <c:v>771.22702222222233</c:v>
                </c:pt>
                <c:pt idx="86">
                  <c:v>809.78837333333354</c:v>
                </c:pt>
                <c:pt idx="87">
                  <c:v>848.34972444444452</c:v>
                </c:pt>
                <c:pt idx="88">
                  <c:v>886.91107555555561</c:v>
                </c:pt>
                <c:pt idx="89">
                  <c:v>925.47242666666659</c:v>
                </c:pt>
                <c:pt idx="90">
                  <c:v>964.03377777777769</c:v>
                </c:pt>
                <c:pt idx="91">
                  <c:v>1002.5951288888887</c:v>
                </c:pt>
                <c:pt idx="92">
                  <c:v>1041.1564799999996</c:v>
                </c:pt>
                <c:pt idx="93">
                  <c:v>1079.7178311111109</c:v>
                </c:pt>
                <c:pt idx="94">
                  <c:v>1118.2791822222218</c:v>
                </c:pt>
                <c:pt idx="95">
                  <c:v>1156.8405333333328</c:v>
                </c:pt>
                <c:pt idx="96">
                  <c:v>1195.4018844444438</c:v>
                </c:pt>
                <c:pt idx="97">
                  <c:v>1233.963235555555</c:v>
                </c:pt>
                <c:pt idx="98">
                  <c:v>1272.524586666666</c:v>
                </c:pt>
                <c:pt idx="99">
                  <c:v>1311.085937777777</c:v>
                </c:pt>
                <c:pt idx="100">
                  <c:v>1349.6472888888879</c:v>
                </c:pt>
                <c:pt idx="101">
                  <c:v>1388.2086399999991</c:v>
                </c:pt>
                <c:pt idx="102">
                  <c:v>1426.7699911111101</c:v>
                </c:pt>
                <c:pt idx="103">
                  <c:v>1465.3313422222211</c:v>
                </c:pt>
                <c:pt idx="104">
                  <c:v>1503.8926933333321</c:v>
                </c:pt>
                <c:pt idx="105">
                  <c:v>1542.4540444444431</c:v>
                </c:pt>
                <c:pt idx="106">
                  <c:v>1581.0153955555543</c:v>
                </c:pt>
                <c:pt idx="107">
                  <c:v>1619.5767466666653</c:v>
                </c:pt>
                <c:pt idx="108">
                  <c:v>1658.1380977777762</c:v>
                </c:pt>
                <c:pt idx="109">
                  <c:v>1696.6994488888872</c:v>
                </c:pt>
                <c:pt idx="110">
                  <c:v>1735.2607999999984</c:v>
                </c:pt>
                <c:pt idx="111">
                  <c:v>1773.8221511111094</c:v>
                </c:pt>
                <c:pt idx="112">
                  <c:v>1812.3835022222204</c:v>
                </c:pt>
                <c:pt idx="113">
                  <c:v>1850.9448533333314</c:v>
                </c:pt>
                <c:pt idx="114">
                  <c:v>1889.5062044444426</c:v>
                </c:pt>
                <c:pt idx="115">
                  <c:v>1928.0675555555536</c:v>
                </c:pt>
                <c:pt idx="116">
                  <c:v>1966.6289066666645</c:v>
                </c:pt>
                <c:pt idx="117">
                  <c:v>2005.1902577777755</c:v>
                </c:pt>
                <c:pt idx="118">
                  <c:v>2043.7516088888867</c:v>
                </c:pt>
                <c:pt idx="119">
                  <c:v>2082.3129599999975</c:v>
                </c:pt>
                <c:pt idx="120">
                  <c:v>2120.8743111111089</c:v>
                </c:pt>
                <c:pt idx="121">
                  <c:v>2159.4356622222199</c:v>
                </c:pt>
                <c:pt idx="122">
                  <c:v>2197.9970133333309</c:v>
                </c:pt>
                <c:pt idx="123">
                  <c:v>2236.5583644444418</c:v>
                </c:pt>
                <c:pt idx="124">
                  <c:v>2275.1197155555528</c:v>
                </c:pt>
                <c:pt idx="125">
                  <c:v>2313.6810666666638</c:v>
                </c:pt>
                <c:pt idx="126">
                  <c:v>2352.2424177777748</c:v>
                </c:pt>
                <c:pt idx="127">
                  <c:v>2390.8037688888858</c:v>
                </c:pt>
                <c:pt idx="128">
                  <c:v>2429.3651199999972</c:v>
                </c:pt>
                <c:pt idx="129">
                  <c:v>2467.9264711111082</c:v>
                </c:pt>
                <c:pt idx="130">
                  <c:v>2506.4878222222192</c:v>
                </c:pt>
                <c:pt idx="131">
                  <c:v>2545.0491733333301</c:v>
                </c:pt>
                <c:pt idx="132">
                  <c:v>2583.6105244444411</c:v>
                </c:pt>
                <c:pt idx="133">
                  <c:v>2622.1718755555521</c:v>
                </c:pt>
                <c:pt idx="134">
                  <c:v>2660.7332266666631</c:v>
                </c:pt>
                <c:pt idx="135">
                  <c:v>2699.2945777777741</c:v>
                </c:pt>
                <c:pt idx="136">
                  <c:v>2737.8559288888855</c:v>
                </c:pt>
                <c:pt idx="137">
                  <c:v>2776.4172799999965</c:v>
                </c:pt>
                <c:pt idx="138">
                  <c:v>2814.9786311111075</c:v>
                </c:pt>
                <c:pt idx="139">
                  <c:v>2853.5399822222184</c:v>
                </c:pt>
                <c:pt idx="140">
                  <c:v>2892.1013333333294</c:v>
                </c:pt>
                <c:pt idx="141">
                  <c:v>2930.6626844444404</c:v>
                </c:pt>
                <c:pt idx="142">
                  <c:v>2969.2240355555514</c:v>
                </c:pt>
                <c:pt idx="143">
                  <c:v>3007.7853866666624</c:v>
                </c:pt>
                <c:pt idx="144">
                  <c:v>3046.3467377777738</c:v>
                </c:pt>
                <c:pt idx="145">
                  <c:v>3084.9080888888848</c:v>
                </c:pt>
                <c:pt idx="146">
                  <c:v>3123.4694399999958</c:v>
                </c:pt>
                <c:pt idx="147">
                  <c:v>3162.0307911111072</c:v>
                </c:pt>
                <c:pt idx="148">
                  <c:v>3200.5921422222186</c:v>
                </c:pt>
                <c:pt idx="149">
                  <c:v>3239.1534933333296</c:v>
                </c:pt>
                <c:pt idx="150">
                  <c:v>3277.714844444441</c:v>
                </c:pt>
                <c:pt idx="151">
                  <c:v>3316.2761955555525</c:v>
                </c:pt>
                <c:pt idx="152">
                  <c:v>3354.8375466666639</c:v>
                </c:pt>
                <c:pt idx="153">
                  <c:v>3393.3988977777753</c:v>
                </c:pt>
                <c:pt idx="154">
                  <c:v>3431.9602488888868</c:v>
                </c:pt>
                <c:pt idx="155">
                  <c:v>3470.5215999999982</c:v>
                </c:pt>
                <c:pt idx="156">
                  <c:v>3509.0829511111097</c:v>
                </c:pt>
                <c:pt idx="157">
                  <c:v>3547.6443022222211</c:v>
                </c:pt>
                <c:pt idx="158">
                  <c:v>3586.2056533333321</c:v>
                </c:pt>
                <c:pt idx="159">
                  <c:v>3624.7670044444435</c:v>
                </c:pt>
                <c:pt idx="160">
                  <c:v>3663.3283555555549</c:v>
                </c:pt>
                <c:pt idx="161">
                  <c:v>3701.8897066666664</c:v>
                </c:pt>
                <c:pt idx="162">
                  <c:v>3740.4510577777778</c:v>
                </c:pt>
                <c:pt idx="163">
                  <c:v>3779.0124088888892</c:v>
                </c:pt>
                <c:pt idx="164">
                  <c:v>3817.5737600000007</c:v>
                </c:pt>
                <c:pt idx="165">
                  <c:v>3856.1351111111121</c:v>
                </c:pt>
                <c:pt idx="166">
                  <c:v>3888.8888888888882</c:v>
                </c:pt>
                <c:pt idx="167">
                  <c:v>3888.8888888888882</c:v>
                </c:pt>
                <c:pt idx="168">
                  <c:v>3888.8888888888882</c:v>
                </c:pt>
                <c:pt idx="169">
                  <c:v>3888.8888888888882</c:v>
                </c:pt>
                <c:pt idx="170">
                  <c:v>3888.8888888888882</c:v>
                </c:pt>
                <c:pt idx="171">
                  <c:v>3888.8888888888882</c:v>
                </c:pt>
                <c:pt idx="172">
                  <c:v>3888.8888888888882</c:v>
                </c:pt>
                <c:pt idx="173">
                  <c:v>3888.8888888888882</c:v>
                </c:pt>
                <c:pt idx="174">
                  <c:v>3888.8888888888882</c:v>
                </c:pt>
                <c:pt idx="175">
                  <c:v>3888.8888888888882</c:v>
                </c:pt>
                <c:pt idx="176">
                  <c:v>3888.8888888888882</c:v>
                </c:pt>
                <c:pt idx="177">
                  <c:v>3888.8888888888882</c:v>
                </c:pt>
                <c:pt idx="178">
                  <c:v>3888.8888888888882</c:v>
                </c:pt>
                <c:pt idx="179">
                  <c:v>3888.8888888888882</c:v>
                </c:pt>
                <c:pt idx="180">
                  <c:v>3888.8888888888882</c:v>
                </c:pt>
                <c:pt idx="181">
                  <c:v>3888.8888888888882</c:v>
                </c:pt>
                <c:pt idx="182">
                  <c:v>3888.8888888888882</c:v>
                </c:pt>
                <c:pt idx="183">
                  <c:v>3888.8888888888882</c:v>
                </c:pt>
                <c:pt idx="184">
                  <c:v>3888.8888888888882</c:v>
                </c:pt>
                <c:pt idx="185">
                  <c:v>1944.4444444444441</c:v>
                </c:pt>
                <c:pt idx="186">
                  <c:v>1944.4444444444441</c:v>
                </c:pt>
                <c:pt idx="187">
                  <c:v>1944.4444444444441</c:v>
                </c:pt>
                <c:pt idx="188">
                  <c:v>1944.4444444444441</c:v>
                </c:pt>
                <c:pt idx="189">
                  <c:v>1944.4444444444441</c:v>
                </c:pt>
                <c:pt idx="190">
                  <c:v>1944.4444444444441</c:v>
                </c:pt>
                <c:pt idx="191">
                  <c:v>1944.4444444444441</c:v>
                </c:pt>
                <c:pt idx="192">
                  <c:v>1944.4444444444441</c:v>
                </c:pt>
                <c:pt idx="193">
                  <c:v>1944.4444444444441</c:v>
                </c:pt>
                <c:pt idx="194">
                  <c:v>1944.4444444444441</c:v>
                </c:pt>
                <c:pt idx="195">
                  <c:v>1944.4444444444441</c:v>
                </c:pt>
                <c:pt idx="196">
                  <c:v>1944.4444444444441</c:v>
                </c:pt>
                <c:pt idx="197">
                  <c:v>1944.4444444444441</c:v>
                </c:pt>
                <c:pt idx="198">
                  <c:v>1944.4444444444441</c:v>
                </c:pt>
                <c:pt idx="199">
                  <c:v>1944.4444444444441</c:v>
                </c:pt>
                <c:pt idx="200">
                  <c:v>1944.4444444444441</c:v>
                </c:pt>
                <c:pt idx="201">
                  <c:v>1944.4444444444441</c:v>
                </c:pt>
                <c:pt idx="202">
                  <c:v>1944.4444444444441</c:v>
                </c:pt>
                <c:pt idx="203">
                  <c:v>1944.4444444444441</c:v>
                </c:pt>
                <c:pt idx="204">
                  <c:v>1944.4444444444441</c:v>
                </c:pt>
                <c:pt idx="205">
                  <c:v>1944.4444444444441</c:v>
                </c:pt>
                <c:pt idx="206">
                  <c:v>1944.4444444444441</c:v>
                </c:pt>
                <c:pt idx="207">
                  <c:v>1944.4444444444441</c:v>
                </c:pt>
                <c:pt idx="208">
                  <c:v>1944.4444444444441</c:v>
                </c:pt>
                <c:pt idx="209">
                  <c:v>1944.4444444444441</c:v>
                </c:pt>
                <c:pt idx="210">
                  <c:v>1944.4444444444441</c:v>
                </c:pt>
                <c:pt idx="211">
                  <c:v>1944.4444444444441</c:v>
                </c:pt>
                <c:pt idx="212">
                  <c:v>1944.4444444444441</c:v>
                </c:pt>
                <c:pt idx="213">
                  <c:v>1944.4444444444441</c:v>
                </c:pt>
                <c:pt idx="214">
                  <c:v>1944.4444444444441</c:v>
                </c:pt>
                <c:pt idx="215">
                  <c:v>1944.4444444444441</c:v>
                </c:pt>
                <c:pt idx="216">
                  <c:v>1938.3084444444441</c:v>
                </c:pt>
                <c:pt idx="217">
                  <c:v>1932.1724444444442</c:v>
                </c:pt>
                <c:pt idx="218">
                  <c:v>1926.0364444444442</c:v>
                </c:pt>
                <c:pt idx="219">
                  <c:v>1919.9004444444442</c:v>
                </c:pt>
                <c:pt idx="220">
                  <c:v>1913.7644444444443</c:v>
                </c:pt>
                <c:pt idx="221">
                  <c:v>1907.6284444444443</c:v>
                </c:pt>
                <c:pt idx="222">
                  <c:v>1901.3219999999999</c:v>
                </c:pt>
                <c:pt idx="223">
                  <c:v>1892.1179999999997</c:v>
                </c:pt>
                <c:pt idx="224">
                  <c:v>1882.9139999999998</c:v>
                </c:pt>
                <c:pt idx="225">
                  <c:v>1873.7099999999998</c:v>
                </c:pt>
                <c:pt idx="226">
                  <c:v>1864.5059999999999</c:v>
                </c:pt>
                <c:pt idx="227">
                  <c:v>1855.3019999999997</c:v>
                </c:pt>
                <c:pt idx="228">
                  <c:v>1846.0979999999997</c:v>
                </c:pt>
                <c:pt idx="229">
                  <c:v>1836.8939999999998</c:v>
                </c:pt>
                <c:pt idx="230">
                  <c:v>1830.7579999999998</c:v>
                </c:pt>
                <c:pt idx="231">
                  <c:v>1824.6219999999998</c:v>
                </c:pt>
                <c:pt idx="232">
                  <c:v>1818.32286031746</c:v>
                </c:pt>
                <c:pt idx="233">
                  <c:v>1812.1868603174601</c:v>
                </c:pt>
                <c:pt idx="234">
                  <c:v>1806.0508603174601</c:v>
                </c:pt>
                <c:pt idx="235">
                  <c:v>1799.9148603174601</c:v>
                </c:pt>
                <c:pt idx="236">
                  <c:v>1793.7788603174599</c:v>
                </c:pt>
                <c:pt idx="237">
                  <c:v>1787.64286031746</c:v>
                </c:pt>
                <c:pt idx="238">
                  <c:v>1781.50686031746</c:v>
                </c:pt>
                <c:pt idx="239">
                  <c:v>1775.3015727591219</c:v>
                </c:pt>
                <c:pt idx="240">
                  <c:v>1769.1655727591219</c:v>
                </c:pt>
                <c:pt idx="241">
                  <c:v>1763.0295727591219</c:v>
                </c:pt>
                <c:pt idx="242">
                  <c:v>1756.893572759122</c:v>
                </c:pt>
                <c:pt idx="243">
                  <c:v>1750.757572759122</c:v>
                </c:pt>
                <c:pt idx="244">
                  <c:v>1744.621572759122</c:v>
                </c:pt>
                <c:pt idx="245">
                  <c:v>1738.4855727591219</c:v>
                </c:pt>
                <c:pt idx="246">
                  <c:v>1732.3495727591219</c:v>
                </c:pt>
                <c:pt idx="247">
                  <c:v>1726.2135727591219</c:v>
                </c:pt>
                <c:pt idx="248">
                  <c:v>1720.0775727591219</c:v>
                </c:pt>
                <c:pt idx="249">
                  <c:v>1713.941572759122</c:v>
                </c:pt>
                <c:pt idx="250">
                  <c:v>1707.805572759122</c:v>
                </c:pt>
                <c:pt idx="251">
                  <c:v>1701.669572759122</c:v>
                </c:pt>
                <c:pt idx="252">
                  <c:v>1695.5335727591219</c:v>
                </c:pt>
                <c:pt idx="253">
                  <c:v>1689.3975727591219</c:v>
                </c:pt>
                <c:pt idx="254">
                  <c:v>1683.2615727591219</c:v>
                </c:pt>
                <c:pt idx="255">
                  <c:v>1677.125572759122</c:v>
                </c:pt>
                <c:pt idx="256">
                  <c:v>1670.989572759122</c:v>
                </c:pt>
                <c:pt idx="257">
                  <c:v>1664.853572759122</c:v>
                </c:pt>
                <c:pt idx="258">
                  <c:v>1658.717572759122</c:v>
                </c:pt>
                <c:pt idx="259">
                  <c:v>1652.5815727591219</c:v>
                </c:pt>
                <c:pt idx="260">
                  <c:v>1646.4455727591219</c:v>
                </c:pt>
                <c:pt idx="261">
                  <c:v>1640.3095727591219</c:v>
                </c:pt>
                <c:pt idx="262">
                  <c:v>1634.173572759122</c:v>
                </c:pt>
                <c:pt idx="263">
                  <c:v>1628.037572759122</c:v>
                </c:pt>
                <c:pt idx="264">
                  <c:v>1621.901572759122</c:v>
                </c:pt>
                <c:pt idx="265">
                  <c:v>1615.7655727591221</c:v>
                </c:pt>
                <c:pt idx="266">
                  <c:v>1609.6295727591219</c:v>
                </c:pt>
                <c:pt idx="267">
                  <c:v>1603.4935727591219</c:v>
                </c:pt>
                <c:pt idx="268">
                  <c:v>1597.3575727591219</c:v>
                </c:pt>
                <c:pt idx="269">
                  <c:v>1591.221572759122</c:v>
                </c:pt>
                <c:pt idx="270">
                  <c:v>1585.085572759122</c:v>
                </c:pt>
                <c:pt idx="271">
                  <c:v>1578.949572759122</c:v>
                </c:pt>
                <c:pt idx="272">
                  <c:v>1572.8135727591221</c:v>
                </c:pt>
                <c:pt idx="273">
                  <c:v>1566.6775727591219</c:v>
                </c:pt>
                <c:pt idx="274">
                  <c:v>1560.5415727591219</c:v>
                </c:pt>
                <c:pt idx="275">
                  <c:v>1554.4055727591219</c:v>
                </c:pt>
                <c:pt idx="276">
                  <c:v>1548.269572759122</c:v>
                </c:pt>
                <c:pt idx="277">
                  <c:v>1542.133572759122</c:v>
                </c:pt>
                <c:pt idx="278">
                  <c:v>1535.997572759122</c:v>
                </c:pt>
                <c:pt idx="279">
                  <c:v>1532.6624094733527</c:v>
                </c:pt>
                <c:pt idx="280">
                  <c:v>1529.3834474988057</c:v>
                </c:pt>
                <c:pt idx="281">
                  <c:v>1526.0956195559268</c:v>
                </c:pt>
                <c:pt idx="282">
                  <c:v>1522.8635446616556</c:v>
                </c:pt>
                <c:pt idx="283">
                  <c:v>1519.7894694141305</c:v>
                </c:pt>
                <c:pt idx="284">
                  <c:v>1516.7099211079824</c:v>
                </c:pt>
                <c:pt idx="285">
                  <c:v>1513.6317090299988</c:v>
                </c:pt>
                <c:pt idx="286">
                  <c:v>1510.5460898519163</c:v>
                </c:pt>
                <c:pt idx="287">
                  <c:v>1507.4634880539259</c:v>
                </c:pt>
                <c:pt idx="288">
                  <c:v>1504.3954880539259</c:v>
                </c:pt>
                <c:pt idx="289">
                  <c:v>243.42647870093739</c:v>
                </c:pt>
                <c:pt idx="290">
                  <c:v>240.35847870093738</c:v>
                </c:pt>
                <c:pt idx="291">
                  <c:v>237.13707870093717</c:v>
                </c:pt>
                <c:pt idx="292">
                  <c:v>233.94506638826033</c:v>
                </c:pt>
                <c:pt idx="293">
                  <c:v>230.73221422641004</c:v>
                </c:pt>
                <c:pt idx="294">
                  <c:v>227.52550372525357</c:v>
                </c:pt>
                <c:pt idx="295">
                  <c:v>224.35819959238407</c:v>
                </c:pt>
                <c:pt idx="296">
                  <c:v>221.16133413783837</c:v>
                </c:pt>
                <c:pt idx="297">
                  <c:v>218.08293021922526</c:v>
                </c:pt>
                <c:pt idx="298">
                  <c:v>214.98633953822127</c:v>
                </c:pt>
                <c:pt idx="299">
                  <c:v>211.90180936580774</c:v>
                </c:pt>
                <c:pt idx="300">
                  <c:v>208.83380936580772</c:v>
                </c:pt>
                <c:pt idx="301">
                  <c:v>205.74595176062971</c:v>
                </c:pt>
                <c:pt idx="302">
                  <c:v>205.74595176062971</c:v>
                </c:pt>
                <c:pt idx="303">
                  <c:v>205.74595176062971</c:v>
                </c:pt>
                <c:pt idx="304">
                  <c:v>205.74595176062971</c:v>
                </c:pt>
                <c:pt idx="305">
                  <c:v>205.74595176062971</c:v>
                </c:pt>
                <c:pt idx="306">
                  <c:v>205.74595176062971</c:v>
                </c:pt>
                <c:pt idx="307">
                  <c:v>205.74595176062971</c:v>
                </c:pt>
                <c:pt idx="308">
                  <c:v>205.74595176062971</c:v>
                </c:pt>
                <c:pt idx="309">
                  <c:v>205.74595176062971</c:v>
                </c:pt>
                <c:pt idx="310">
                  <c:v>205.74595176062971</c:v>
                </c:pt>
                <c:pt idx="311">
                  <c:v>205.74595176062971</c:v>
                </c:pt>
                <c:pt idx="312">
                  <c:v>205.74595176062971</c:v>
                </c:pt>
                <c:pt idx="313">
                  <c:v>202.6779517606297</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numCache>
            </c:numRef>
          </c:val>
        </c:ser>
        <c:marker val="1"/>
        <c:axId val="101603584"/>
        <c:axId val="101613568"/>
      </c:lineChart>
      <c:dateAx>
        <c:axId val="101603584"/>
        <c:scaling>
          <c:orientation val="minMax"/>
          <c:max val="40908"/>
          <c:min val="40544"/>
        </c:scaling>
        <c:axPos val="b"/>
        <c:numFmt formatCode="[$-409]d\-mmm;@" sourceLinked="0"/>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01613568"/>
        <c:crossesAt val="-1"/>
        <c:auto val="1"/>
        <c:lblOffset val="100"/>
        <c:baseTimeUnit val="days"/>
      </c:dateAx>
      <c:valAx>
        <c:axId val="101613568"/>
        <c:scaling>
          <c:orientation val="minMax"/>
          <c:max val="8500"/>
          <c:min val="0"/>
        </c:scaling>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40758784802E-2"/>
              <c:y val="0.39747944873231938"/>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1603584"/>
        <c:crosses val="autoZero"/>
        <c:crossBetween val="between"/>
        <c:majorUnit val="500"/>
        <c:minorUnit val="500"/>
      </c:valAx>
      <c:spPr>
        <a:noFill/>
        <a:ln w="12700">
          <a:solidFill>
            <a:srgbClr val="808080"/>
          </a:solidFill>
          <a:prstDash val="solid"/>
        </a:ln>
      </c:spPr>
    </c:plotArea>
    <c:legend>
      <c:legendPos val="r"/>
      <c:layout>
        <c:manualLayout>
          <c:xMode val="edge"/>
          <c:yMode val="edge"/>
          <c:x val="0.64771460423634364"/>
          <c:y val="0.14026402640264041"/>
          <c:w val="0.28985507246376796"/>
          <c:h val="0.22442244224422744"/>
        </c:manualLayout>
      </c:layout>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1135 + Resource Storage for 2011</a:t>
            </a:r>
          </a:p>
        </c:rich>
      </c:tx>
      <c:layout>
        <c:manualLayout>
          <c:xMode val="edge"/>
          <c:yMode val="edge"/>
          <c:x val="0.37260018083023932"/>
          <c:y val="3.4815796540283959E-2"/>
        </c:manualLayout>
      </c:layout>
      <c:spPr>
        <a:noFill/>
        <a:ln w="25400">
          <a:noFill/>
        </a:ln>
      </c:spPr>
    </c:title>
    <c:plotArea>
      <c:layout>
        <c:manualLayout>
          <c:layoutTarget val="inner"/>
          <c:xMode val="edge"/>
          <c:yMode val="edge"/>
          <c:x val="0.12005277044860092"/>
          <c:y val="0.11764812325288609"/>
          <c:w val="0.85092348284960462"/>
          <c:h val="0.72906608625141367"/>
        </c:manualLayout>
      </c:layout>
      <c:lineChart>
        <c:grouping val="standard"/>
        <c:ser>
          <c:idx val="2"/>
          <c:order val="0"/>
          <c:tx>
            <c:strRef>
              <c:f>Summary!$W$2</c:f>
              <c:strCache>
                <c:ptCount val="1"/>
                <c:pt idx="0">
                  <c:v>Total 1135 + Resource Water</c:v>
                </c:pt>
              </c:strCache>
            </c:strRef>
          </c:tx>
          <c:marker>
            <c:symbol val="none"/>
          </c:marker>
          <c:val>
            <c:numRef>
              <c:f>Summary!$W$12:$W$376</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4402.2354864262488</c:v>
                </c:pt>
                <c:pt idx="135">
                  <c:v>5000</c:v>
                </c:pt>
                <c:pt idx="136">
                  <c:v>5000</c:v>
                </c:pt>
                <c:pt idx="137">
                  <c:v>5000</c:v>
                </c:pt>
                <c:pt idx="138">
                  <c:v>5000</c:v>
                </c:pt>
                <c:pt idx="139">
                  <c:v>5000</c:v>
                </c:pt>
                <c:pt idx="140">
                  <c:v>5000</c:v>
                </c:pt>
                <c:pt idx="141">
                  <c:v>5000</c:v>
                </c:pt>
                <c:pt idx="142">
                  <c:v>5000</c:v>
                </c:pt>
                <c:pt idx="143">
                  <c:v>5000</c:v>
                </c:pt>
                <c:pt idx="144">
                  <c:v>5000</c:v>
                </c:pt>
                <c:pt idx="145">
                  <c:v>5000</c:v>
                </c:pt>
                <c:pt idx="146">
                  <c:v>5000</c:v>
                </c:pt>
                <c:pt idx="147">
                  <c:v>5000</c:v>
                </c:pt>
                <c:pt idx="148">
                  <c:v>5000</c:v>
                </c:pt>
                <c:pt idx="149">
                  <c:v>5000</c:v>
                </c:pt>
                <c:pt idx="150">
                  <c:v>5000</c:v>
                </c:pt>
                <c:pt idx="151">
                  <c:v>5000</c:v>
                </c:pt>
                <c:pt idx="152">
                  <c:v>5000</c:v>
                </c:pt>
                <c:pt idx="153">
                  <c:v>5000</c:v>
                </c:pt>
                <c:pt idx="154">
                  <c:v>5000</c:v>
                </c:pt>
                <c:pt idx="155">
                  <c:v>5000</c:v>
                </c:pt>
                <c:pt idx="156">
                  <c:v>5000</c:v>
                </c:pt>
                <c:pt idx="157">
                  <c:v>5000</c:v>
                </c:pt>
                <c:pt idx="158">
                  <c:v>5000</c:v>
                </c:pt>
                <c:pt idx="159">
                  <c:v>5000</c:v>
                </c:pt>
                <c:pt idx="160">
                  <c:v>5000</c:v>
                </c:pt>
                <c:pt idx="161">
                  <c:v>5000</c:v>
                </c:pt>
                <c:pt idx="162">
                  <c:v>5000</c:v>
                </c:pt>
                <c:pt idx="163">
                  <c:v>5000</c:v>
                </c:pt>
                <c:pt idx="164">
                  <c:v>5000</c:v>
                </c:pt>
                <c:pt idx="165">
                  <c:v>5000</c:v>
                </c:pt>
                <c:pt idx="166">
                  <c:v>5000</c:v>
                </c:pt>
                <c:pt idx="167">
                  <c:v>5000</c:v>
                </c:pt>
                <c:pt idx="168">
                  <c:v>5000</c:v>
                </c:pt>
                <c:pt idx="169">
                  <c:v>5000</c:v>
                </c:pt>
                <c:pt idx="170">
                  <c:v>5000</c:v>
                </c:pt>
                <c:pt idx="171">
                  <c:v>5000</c:v>
                </c:pt>
                <c:pt idx="172">
                  <c:v>5000</c:v>
                </c:pt>
                <c:pt idx="173">
                  <c:v>5000</c:v>
                </c:pt>
                <c:pt idx="174">
                  <c:v>5000</c:v>
                </c:pt>
                <c:pt idx="175">
                  <c:v>5000</c:v>
                </c:pt>
                <c:pt idx="176">
                  <c:v>5000</c:v>
                </c:pt>
                <c:pt idx="177">
                  <c:v>5000</c:v>
                </c:pt>
                <c:pt idx="178">
                  <c:v>15000</c:v>
                </c:pt>
                <c:pt idx="179">
                  <c:v>15000</c:v>
                </c:pt>
                <c:pt idx="180">
                  <c:v>15000</c:v>
                </c:pt>
                <c:pt idx="181">
                  <c:v>15000</c:v>
                </c:pt>
                <c:pt idx="182">
                  <c:v>15000</c:v>
                </c:pt>
                <c:pt idx="183">
                  <c:v>15000</c:v>
                </c:pt>
                <c:pt idx="184">
                  <c:v>15000</c:v>
                </c:pt>
                <c:pt idx="185">
                  <c:v>15000</c:v>
                </c:pt>
                <c:pt idx="186">
                  <c:v>15000</c:v>
                </c:pt>
                <c:pt idx="187">
                  <c:v>15000</c:v>
                </c:pt>
                <c:pt idx="188">
                  <c:v>15000</c:v>
                </c:pt>
                <c:pt idx="189">
                  <c:v>14987.550000058676</c:v>
                </c:pt>
                <c:pt idx="190">
                  <c:v>14626.080000057194</c:v>
                </c:pt>
                <c:pt idx="191">
                  <c:v>14162.400000056947</c:v>
                </c:pt>
                <c:pt idx="192">
                  <c:v>13759.410000055326</c:v>
                </c:pt>
                <c:pt idx="193">
                  <c:v>13601.280000055242</c:v>
                </c:pt>
                <c:pt idx="194">
                  <c:v>13470.120000055238</c:v>
                </c:pt>
                <c:pt idx="195">
                  <c:v>13257.340000054992</c:v>
                </c:pt>
                <c:pt idx="196">
                  <c:v>13097.310000056234</c:v>
                </c:pt>
                <c:pt idx="197">
                  <c:v>12803.300000054878</c:v>
                </c:pt>
                <c:pt idx="198">
                  <c:v>12483.280000054536</c:v>
                </c:pt>
                <c:pt idx="199">
                  <c:v>11985.560000054047</c:v>
                </c:pt>
                <c:pt idx="200">
                  <c:v>11572.6000000526</c:v>
                </c:pt>
                <c:pt idx="201">
                  <c:v>11171.300000052273</c:v>
                </c:pt>
                <c:pt idx="202">
                  <c:v>10639.400000050795</c:v>
                </c:pt>
                <c:pt idx="203">
                  <c:v>10136.500000050313</c:v>
                </c:pt>
                <c:pt idx="204">
                  <c:v>9617.7300000483156</c:v>
                </c:pt>
                <c:pt idx="205">
                  <c:v>9041.8800000478441</c:v>
                </c:pt>
                <c:pt idx="206">
                  <c:v>8801.1800000463118</c:v>
                </c:pt>
                <c:pt idx="207">
                  <c:v>8785</c:v>
                </c:pt>
                <c:pt idx="208">
                  <c:v>8785</c:v>
                </c:pt>
                <c:pt idx="209">
                  <c:v>8785</c:v>
                </c:pt>
                <c:pt idx="210">
                  <c:v>8785</c:v>
                </c:pt>
                <c:pt idx="211">
                  <c:v>8785</c:v>
                </c:pt>
                <c:pt idx="212">
                  <c:v>8785</c:v>
                </c:pt>
                <c:pt idx="213">
                  <c:v>8785</c:v>
                </c:pt>
                <c:pt idx="214">
                  <c:v>8785</c:v>
                </c:pt>
                <c:pt idx="215">
                  <c:v>8785</c:v>
                </c:pt>
                <c:pt idx="216">
                  <c:v>8785</c:v>
                </c:pt>
                <c:pt idx="217">
                  <c:v>8785</c:v>
                </c:pt>
                <c:pt idx="218">
                  <c:v>8785</c:v>
                </c:pt>
                <c:pt idx="219">
                  <c:v>8785</c:v>
                </c:pt>
                <c:pt idx="220">
                  <c:v>8785</c:v>
                </c:pt>
                <c:pt idx="221">
                  <c:v>8785</c:v>
                </c:pt>
                <c:pt idx="222">
                  <c:v>8785</c:v>
                </c:pt>
                <c:pt idx="223">
                  <c:v>8785</c:v>
                </c:pt>
                <c:pt idx="224">
                  <c:v>8785</c:v>
                </c:pt>
                <c:pt idx="225">
                  <c:v>8785</c:v>
                </c:pt>
                <c:pt idx="226">
                  <c:v>8785</c:v>
                </c:pt>
                <c:pt idx="227">
                  <c:v>8785</c:v>
                </c:pt>
                <c:pt idx="228">
                  <c:v>8785</c:v>
                </c:pt>
                <c:pt idx="229">
                  <c:v>8785</c:v>
                </c:pt>
                <c:pt idx="230">
                  <c:v>8785</c:v>
                </c:pt>
                <c:pt idx="231">
                  <c:v>8785</c:v>
                </c:pt>
                <c:pt idx="232">
                  <c:v>8785</c:v>
                </c:pt>
                <c:pt idx="233">
                  <c:v>8785</c:v>
                </c:pt>
                <c:pt idx="234">
                  <c:v>8785</c:v>
                </c:pt>
                <c:pt idx="235">
                  <c:v>8785</c:v>
                </c:pt>
                <c:pt idx="236">
                  <c:v>8785</c:v>
                </c:pt>
                <c:pt idx="237">
                  <c:v>8785</c:v>
                </c:pt>
                <c:pt idx="238">
                  <c:v>8785</c:v>
                </c:pt>
                <c:pt idx="239">
                  <c:v>8785</c:v>
                </c:pt>
                <c:pt idx="240">
                  <c:v>8785</c:v>
                </c:pt>
                <c:pt idx="241">
                  <c:v>8785</c:v>
                </c:pt>
                <c:pt idx="242">
                  <c:v>8785</c:v>
                </c:pt>
                <c:pt idx="243">
                  <c:v>8785</c:v>
                </c:pt>
                <c:pt idx="244">
                  <c:v>8785</c:v>
                </c:pt>
                <c:pt idx="245">
                  <c:v>8785</c:v>
                </c:pt>
                <c:pt idx="246">
                  <c:v>8785</c:v>
                </c:pt>
                <c:pt idx="247">
                  <c:v>8785</c:v>
                </c:pt>
                <c:pt idx="248">
                  <c:v>10385</c:v>
                </c:pt>
                <c:pt idx="249">
                  <c:v>10385</c:v>
                </c:pt>
                <c:pt idx="250">
                  <c:v>10385</c:v>
                </c:pt>
                <c:pt idx="251">
                  <c:v>10385</c:v>
                </c:pt>
                <c:pt idx="252">
                  <c:v>10385</c:v>
                </c:pt>
                <c:pt idx="253">
                  <c:v>10385</c:v>
                </c:pt>
                <c:pt idx="254">
                  <c:v>10385</c:v>
                </c:pt>
                <c:pt idx="255">
                  <c:v>10385</c:v>
                </c:pt>
                <c:pt idx="256">
                  <c:v>10385</c:v>
                </c:pt>
                <c:pt idx="257">
                  <c:v>10385</c:v>
                </c:pt>
                <c:pt idx="258">
                  <c:v>10385</c:v>
                </c:pt>
                <c:pt idx="259">
                  <c:v>10385</c:v>
                </c:pt>
                <c:pt idx="260">
                  <c:v>10385</c:v>
                </c:pt>
                <c:pt idx="261">
                  <c:v>10385</c:v>
                </c:pt>
                <c:pt idx="262">
                  <c:v>10863.54125</c:v>
                </c:pt>
                <c:pt idx="263">
                  <c:v>10620.623750000001</c:v>
                </c:pt>
                <c:pt idx="264">
                  <c:v>10256.247500000001</c:v>
                </c:pt>
                <c:pt idx="265">
                  <c:v>9770.4125000000022</c:v>
                </c:pt>
                <c:pt idx="266">
                  <c:v>9284.5775000000031</c:v>
                </c:pt>
                <c:pt idx="267">
                  <c:v>8798.7425000000039</c:v>
                </c:pt>
                <c:pt idx="268">
                  <c:v>8312.9075000000048</c:v>
                </c:pt>
                <c:pt idx="269">
                  <c:v>7827.0725000000048</c:v>
                </c:pt>
                <c:pt idx="270">
                  <c:v>7341.2375000000047</c:v>
                </c:pt>
                <c:pt idx="271">
                  <c:v>6855.4025000000047</c:v>
                </c:pt>
                <c:pt idx="272">
                  <c:v>6369.5675000000047</c:v>
                </c:pt>
                <c:pt idx="273">
                  <c:v>5883.7325000000046</c:v>
                </c:pt>
                <c:pt idx="274">
                  <c:v>5397.8975000000046</c:v>
                </c:pt>
                <c:pt idx="275">
                  <c:v>4912.0625000000045</c:v>
                </c:pt>
                <c:pt idx="276">
                  <c:v>5426.2275000000045</c:v>
                </c:pt>
                <c:pt idx="277">
                  <c:v>4841.2425000000048</c:v>
                </c:pt>
                <c:pt idx="278">
                  <c:v>4256.2575000000052</c:v>
                </c:pt>
                <c:pt idx="279">
                  <c:v>3671.272500000005</c:v>
                </c:pt>
                <c:pt idx="280">
                  <c:v>3086.2875000000049</c:v>
                </c:pt>
                <c:pt idx="281">
                  <c:v>2501.3025000000048</c:v>
                </c:pt>
                <c:pt idx="282">
                  <c:v>3016.3175000000047</c:v>
                </c:pt>
                <c:pt idx="283">
                  <c:v>2431.3325000000045</c:v>
                </c:pt>
                <c:pt idx="284">
                  <c:v>1846.3475000000044</c:v>
                </c:pt>
                <c:pt idx="285">
                  <c:v>1261.3625000000043</c:v>
                </c:pt>
                <c:pt idx="286">
                  <c:v>676.37750000000426</c:v>
                </c:pt>
                <c:pt idx="287">
                  <c:v>190.54250000000422</c:v>
                </c:pt>
                <c:pt idx="288">
                  <c:v>-2.3799999995759435E-2</c:v>
                </c:pt>
                <c:pt idx="289">
                  <c:v>-2.3799999995759435E-2</c:v>
                </c:pt>
                <c:pt idx="290">
                  <c:v>339.97620000000427</c:v>
                </c:pt>
                <c:pt idx="291">
                  <c:v>-9.1499999957136424E-3</c:v>
                </c:pt>
                <c:pt idx="292">
                  <c:v>-9.1499999957136424E-3</c:v>
                </c:pt>
                <c:pt idx="293">
                  <c:v>-9.1499999957136424E-3</c:v>
                </c:pt>
                <c:pt idx="294">
                  <c:v>-9.1499999957136424E-3</c:v>
                </c:pt>
                <c:pt idx="295">
                  <c:v>-9.1499999957136424E-3</c:v>
                </c:pt>
                <c:pt idx="296">
                  <c:v>-9.1499999957136424E-3</c:v>
                </c:pt>
                <c:pt idx="297">
                  <c:v>-9.1499999957136424E-3</c:v>
                </c:pt>
                <c:pt idx="298">
                  <c:v>-9.1499999957136424E-3</c:v>
                </c:pt>
                <c:pt idx="299">
                  <c:v>-9.1499999957136424E-3</c:v>
                </c:pt>
                <c:pt idx="300">
                  <c:v>-9.1499999957136424E-3</c:v>
                </c:pt>
                <c:pt idx="301">
                  <c:v>-9.1499999957136424E-3</c:v>
                </c:pt>
                <c:pt idx="302">
                  <c:v>-9.1499999957136424E-3</c:v>
                </c:pt>
                <c:pt idx="303">
                  <c:v>-9.1499999957136424E-3</c:v>
                </c:pt>
                <c:pt idx="304">
                  <c:v>-9.1499999957136424E-3</c:v>
                </c:pt>
                <c:pt idx="305">
                  <c:v>-9.1499999957136424E-3</c:v>
                </c:pt>
                <c:pt idx="306">
                  <c:v>-9.1499999957136424E-3</c:v>
                </c:pt>
                <c:pt idx="307">
                  <c:v>-9.1499999957136424E-3</c:v>
                </c:pt>
                <c:pt idx="308">
                  <c:v>-9.1499999957136424E-3</c:v>
                </c:pt>
                <c:pt idx="309">
                  <c:v>-9.1499999957136424E-3</c:v>
                </c:pt>
                <c:pt idx="310">
                  <c:v>-9.1499999957136424E-3</c:v>
                </c:pt>
                <c:pt idx="311">
                  <c:v>-9.1499999957136424E-3</c:v>
                </c:pt>
                <c:pt idx="312">
                  <c:v>-9.1499999957136424E-3</c:v>
                </c:pt>
                <c:pt idx="313">
                  <c:v>-9.1499999957136424E-3</c:v>
                </c:pt>
                <c:pt idx="314">
                  <c:v>-9.1499999957136424E-3</c:v>
                </c:pt>
                <c:pt idx="315">
                  <c:v>-9.1499999957136424E-3</c:v>
                </c:pt>
                <c:pt idx="316">
                  <c:v>-9.1499999957136424E-3</c:v>
                </c:pt>
                <c:pt idx="317">
                  <c:v>-9.1499999957136424E-3</c:v>
                </c:pt>
                <c:pt idx="318">
                  <c:v>-9.1499999957136424E-3</c:v>
                </c:pt>
                <c:pt idx="319">
                  <c:v>-9.1499999957136424E-3</c:v>
                </c:pt>
                <c:pt idx="320">
                  <c:v>-9.1499999957136424E-3</c:v>
                </c:pt>
                <c:pt idx="321">
                  <c:v>-9.1499999957136424E-3</c:v>
                </c:pt>
                <c:pt idx="322">
                  <c:v>-9.1499999957136424E-3</c:v>
                </c:pt>
                <c:pt idx="323">
                  <c:v>-9.1499999957136424E-3</c:v>
                </c:pt>
                <c:pt idx="324">
                  <c:v>-9.1499999957136424E-3</c:v>
                </c:pt>
                <c:pt idx="325">
                  <c:v>-9.1499999957136424E-3</c:v>
                </c:pt>
                <c:pt idx="326">
                  <c:v>-9.1499999957136424E-3</c:v>
                </c:pt>
                <c:pt idx="327">
                  <c:v>-9.1499999957136424E-3</c:v>
                </c:pt>
                <c:pt idx="328">
                  <c:v>-9.1499999957136424E-3</c:v>
                </c:pt>
                <c:pt idx="329">
                  <c:v>-9.1499999957136424E-3</c:v>
                </c:pt>
                <c:pt idx="330">
                  <c:v>-9.1499999957136424E-3</c:v>
                </c:pt>
                <c:pt idx="331">
                  <c:v>-9.1499999957136424E-3</c:v>
                </c:pt>
                <c:pt idx="332">
                  <c:v>-9.1499999957136424E-3</c:v>
                </c:pt>
                <c:pt idx="333">
                  <c:v>-9.1499999957136424E-3</c:v>
                </c:pt>
                <c:pt idx="334">
                  <c:v>-9.1499999957136424E-3</c:v>
                </c:pt>
                <c:pt idx="335">
                  <c:v>-9.1499999957136424E-3</c:v>
                </c:pt>
                <c:pt idx="336">
                  <c:v>-9.1499999957136424E-3</c:v>
                </c:pt>
                <c:pt idx="337">
                  <c:v>-9.1499999957136424E-3</c:v>
                </c:pt>
                <c:pt idx="338">
                  <c:v>-9.1499999957136424E-3</c:v>
                </c:pt>
                <c:pt idx="339">
                  <c:v>-9.1499999957136424E-3</c:v>
                </c:pt>
                <c:pt idx="340">
                  <c:v>-9.1499999957136424E-3</c:v>
                </c:pt>
                <c:pt idx="341">
                  <c:v>-9.1499999957136424E-3</c:v>
                </c:pt>
                <c:pt idx="342">
                  <c:v>-9.1499999957136424E-3</c:v>
                </c:pt>
                <c:pt idx="343">
                  <c:v>-9.1499999957136424E-3</c:v>
                </c:pt>
                <c:pt idx="344">
                  <c:v>-9.1499999957136424E-3</c:v>
                </c:pt>
                <c:pt idx="345">
                  <c:v>-9.1499999957136424E-3</c:v>
                </c:pt>
                <c:pt idx="346">
                  <c:v>-9.1499999957136424E-3</c:v>
                </c:pt>
                <c:pt idx="347">
                  <c:v>-9.1499999957136424E-3</c:v>
                </c:pt>
                <c:pt idx="348">
                  <c:v>-9.1499999957136424E-3</c:v>
                </c:pt>
                <c:pt idx="349">
                  <c:v>-9.1499999957136424E-3</c:v>
                </c:pt>
                <c:pt idx="350">
                  <c:v>-9.1499999957136424E-3</c:v>
                </c:pt>
                <c:pt idx="351">
                  <c:v>-9.1499999957136424E-3</c:v>
                </c:pt>
                <c:pt idx="352">
                  <c:v>-9.1499999957136424E-3</c:v>
                </c:pt>
                <c:pt idx="353">
                  <c:v>-9.1499999957136424E-3</c:v>
                </c:pt>
                <c:pt idx="354">
                  <c:v>-9.1499999957136424E-3</c:v>
                </c:pt>
                <c:pt idx="355">
                  <c:v>-9.1499999957136424E-3</c:v>
                </c:pt>
                <c:pt idx="356">
                  <c:v>-9.1499999957136424E-3</c:v>
                </c:pt>
                <c:pt idx="357">
                  <c:v>-9.1499999957136424E-3</c:v>
                </c:pt>
                <c:pt idx="358">
                  <c:v>-9.1499999957136424E-3</c:v>
                </c:pt>
                <c:pt idx="359">
                  <c:v>-9.1499999957136424E-3</c:v>
                </c:pt>
                <c:pt idx="360">
                  <c:v>-9.1499999957136424E-3</c:v>
                </c:pt>
                <c:pt idx="361">
                  <c:v>-9.1499999957136424E-3</c:v>
                </c:pt>
                <c:pt idx="362">
                  <c:v>-9.1499999957136424E-3</c:v>
                </c:pt>
                <c:pt idx="363">
                  <c:v>-9.1499999957136424E-3</c:v>
                </c:pt>
                <c:pt idx="364">
                  <c:v>-9.1499999957136424E-3</c:v>
                </c:pt>
              </c:numCache>
            </c:numRef>
          </c:val>
        </c:ser>
        <c:ser>
          <c:idx val="0"/>
          <c:order val="1"/>
          <c:tx>
            <c:strRef>
              <c:f>Summary!$Y$2</c:f>
              <c:strCache>
                <c:ptCount val="1"/>
                <c:pt idx="0">
                  <c:v>Portion of 1135 + Resource Water Available to Tacoma for Maintaining Auburn Gage at 250 cfs Min</c:v>
                </c:pt>
              </c:strCache>
            </c:strRef>
          </c:tx>
          <c:marker>
            <c:symbol val="none"/>
          </c:marker>
          <c:cat>
            <c:numRef>
              <c:f>Summary!$A$12:$A$376</c:f>
              <c:numCache>
                <c:formatCode>[$-409]d\-mmm;@</c:formatCode>
                <c:ptCount val="365"/>
                <c:pt idx="0">
                  <c:v>40544</c:v>
                </c:pt>
                <c:pt idx="1">
                  <c:v>40545</c:v>
                </c:pt>
                <c:pt idx="2">
                  <c:v>40546</c:v>
                </c:pt>
                <c:pt idx="3">
                  <c:v>40547</c:v>
                </c:pt>
                <c:pt idx="4">
                  <c:v>40548</c:v>
                </c:pt>
                <c:pt idx="5">
                  <c:v>40549</c:v>
                </c:pt>
                <c:pt idx="6">
                  <c:v>40550</c:v>
                </c:pt>
                <c:pt idx="7">
                  <c:v>40551</c:v>
                </c:pt>
                <c:pt idx="8">
                  <c:v>40552</c:v>
                </c:pt>
                <c:pt idx="9">
                  <c:v>40553</c:v>
                </c:pt>
                <c:pt idx="10">
                  <c:v>40554</c:v>
                </c:pt>
                <c:pt idx="11">
                  <c:v>40555</c:v>
                </c:pt>
                <c:pt idx="12">
                  <c:v>40556</c:v>
                </c:pt>
                <c:pt idx="13">
                  <c:v>40557</c:v>
                </c:pt>
                <c:pt idx="14">
                  <c:v>40558</c:v>
                </c:pt>
                <c:pt idx="15">
                  <c:v>40559</c:v>
                </c:pt>
                <c:pt idx="16">
                  <c:v>40560</c:v>
                </c:pt>
                <c:pt idx="17">
                  <c:v>40561</c:v>
                </c:pt>
                <c:pt idx="18">
                  <c:v>40562</c:v>
                </c:pt>
                <c:pt idx="19">
                  <c:v>40563</c:v>
                </c:pt>
                <c:pt idx="20">
                  <c:v>40564</c:v>
                </c:pt>
                <c:pt idx="21">
                  <c:v>40565</c:v>
                </c:pt>
                <c:pt idx="22">
                  <c:v>40566</c:v>
                </c:pt>
                <c:pt idx="23">
                  <c:v>40567</c:v>
                </c:pt>
                <c:pt idx="24">
                  <c:v>40568</c:v>
                </c:pt>
                <c:pt idx="25">
                  <c:v>40569</c:v>
                </c:pt>
                <c:pt idx="26">
                  <c:v>40570</c:v>
                </c:pt>
                <c:pt idx="27">
                  <c:v>40571</c:v>
                </c:pt>
                <c:pt idx="28">
                  <c:v>40572</c:v>
                </c:pt>
                <c:pt idx="29">
                  <c:v>40573</c:v>
                </c:pt>
                <c:pt idx="30">
                  <c:v>40574</c:v>
                </c:pt>
                <c:pt idx="31">
                  <c:v>40575</c:v>
                </c:pt>
                <c:pt idx="32">
                  <c:v>40576</c:v>
                </c:pt>
                <c:pt idx="33">
                  <c:v>40577</c:v>
                </c:pt>
                <c:pt idx="34">
                  <c:v>40578</c:v>
                </c:pt>
                <c:pt idx="35">
                  <c:v>40579</c:v>
                </c:pt>
                <c:pt idx="36">
                  <c:v>40580</c:v>
                </c:pt>
                <c:pt idx="37">
                  <c:v>40581</c:v>
                </c:pt>
                <c:pt idx="38">
                  <c:v>40582</c:v>
                </c:pt>
                <c:pt idx="39">
                  <c:v>40583</c:v>
                </c:pt>
                <c:pt idx="40">
                  <c:v>40584</c:v>
                </c:pt>
                <c:pt idx="41">
                  <c:v>40585</c:v>
                </c:pt>
                <c:pt idx="42">
                  <c:v>40586</c:v>
                </c:pt>
                <c:pt idx="43">
                  <c:v>40587</c:v>
                </c:pt>
                <c:pt idx="44">
                  <c:v>40588</c:v>
                </c:pt>
                <c:pt idx="45">
                  <c:v>40589</c:v>
                </c:pt>
                <c:pt idx="46">
                  <c:v>40590</c:v>
                </c:pt>
                <c:pt idx="47">
                  <c:v>40591</c:v>
                </c:pt>
                <c:pt idx="48">
                  <c:v>40592</c:v>
                </c:pt>
                <c:pt idx="49">
                  <c:v>40593</c:v>
                </c:pt>
                <c:pt idx="50">
                  <c:v>40594</c:v>
                </c:pt>
                <c:pt idx="51">
                  <c:v>40595</c:v>
                </c:pt>
                <c:pt idx="52">
                  <c:v>40596</c:v>
                </c:pt>
                <c:pt idx="53">
                  <c:v>40597</c:v>
                </c:pt>
                <c:pt idx="54">
                  <c:v>40598</c:v>
                </c:pt>
                <c:pt idx="55">
                  <c:v>40599</c:v>
                </c:pt>
                <c:pt idx="56">
                  <c:v>40600</c:v>
                </c:pt>
                <c:pt idx="57">
                  <c:v>40601</c:v>
                </c:pt>
                <c:pt idx="58">
                  <c:v>40602</c:v>
                </c:pt>
                <c:pt idx="59">
                  <c:v>40603</c:v>
                </c:pt>
                <c:pt idx="60">
                  <c:v>40604</c:v>
                </c:pt>
                <c:pt idx="61">
                  <c:v>40605</c:v>
                </c:pt>
                <c:pt idx="62">
                  <c:v>40606</c:v>
                </c:pt>
                <c:pt idx="63">
                  <c:v>40607</c:v>
                </c:pt>
                <c:pt idx="64">
                  <c:v>40608</c:v>
                </c:pt>
                <c:pt idx="65">
                  <c:v>40609</c:v>
                </c:pt>
                <c:pt idx="66">
                  <c:v>40610</c:v>
                </c:pt>
                <c:pt idx="67">
                  <c:v>40611</c:v>
                </c:pt>
                <c:pt idx="68">
                  <c:v>40612</c:v>
                </c:pt>
                <c:pt idx="69">
                  <c:v>40613</c:v>
                </c:pt>
                <c:pt idx="70">
                  <c:v>40614</c:v>
                </c:pt>
                <c:pt idx="71">
                  <c:v>40615</c:v>
                </c:pt>
                <c:pt idx="72">
                  <c:v>40616</c:v>
                </c:pt>
                <c:pt idx="73">
                  <c:v>40617</c:v>
                </c:pt>
                <c:pt idx="74">
                  <c:v>40618</c:v>
                </c:pt>
                <c:pt idx="75">
                  <c:v>40619</c:v>
                </c:pt>
                <c:pt idx="76">
                  <c:v>40620</c:v>
                </c:pt>
                <c:pt idx="77">
                  <c:v>40621</c:v>
                </c:pt>
                <c:pt idx="78">
                  <c:v>40622</c:v>
                </c:pt>
                <c:pt idx="79">
                  <c:v>40623</c:v>
                </c:pt>
                <c:pt idx="80">
                  <c:v>40624</c:v>
                </c:pt>
                <c:pt idx="81">
                  <c:v>40625</c:v>
                </c:pt>
                <c:pt idx="82">
                  <c:v>40626</c:v>
                </c:pt>
                <c:pt idx="83">
                  <c:v>40627</c:v>
                </c:pt>
                <c:pt idx="84">
                  <c:v>40628</c:v>
                </c:pt>
                <c:pt idx="85">
                  <c:v>40629</c:v>
                </c:pt>
                <c:pt idx="86">
                  <c:v>40630</c:v>
                </c:pt>
                <c:pt idx="87">
                  <c:v>40631</c:v>
                </c:pt>
                <c:pt idx="88">
                  <c:v>40632</c:v>
                </c:pt>
                <c:pt idx="89">
                  <c:v>40633</c:v>
                </c:pt>
                <c:pt idx="90">
                  <c:v>40634</c:v>
                </c:pt>
                <c:pt idx="91">
                  <c:v>40635</c:v>
                </c:pt>
                <c:pt idx="92">
                  <c:v>40636</c:v>
                </c:pt>
                <c:pt idx="93">
                  <c:v>40637</c:v>
                </c:pt>
                <c:pt idx="94">
                  <c:v>40638</c:v>
                </c:pt>
                <c:pt idx="95">
                  <c:v>40639</c:v>
                </c:pt>
                <c:pt idx="96">
                  <c:v>40640</c:v>
                </c:pt>
                <c:pt idx="97">
                  <c:v>40641</c:v>
                </c:pt>
                <c:pt idx="98">
                  <c:v>40642</c:v>
                </c:pt>
                <c:pt idx="99">
                  <c:v>40643</c:v>
                </c:pt>
                <c:pt idx="100">
                  <c:v>40644</c:v>
                </c:pt>
                <c:pt idx="101">
                  <c:v>40645</c:v>
                </c:pt>
                <c:pt idx="102">
                  <c:v>40646</c:v>
                </c:pt>
                <c:pt idx="103">
                  <c:v>40647</c:v>
                </c:pt>
                <c:pt idx="104">
                  <c:v>40648</c:v>
                </c:pt>
                <c:pt idx="105">
                  <c:v>40649</c:v>
                </c:pt>
                <c:pt idx="106">
                  <c:v>40650</c:v>
                </c:pt>
                <c:pt idx="107">
                  <c:v>40651</c:v>
                </c:pt>
                <c:pt idx="108">
                  <c:v>40652</c:v>
                </c:pt>
                <c:pt idx="109">
                  <c:v>40653</c:v>
                </c:pt>
                <c:pt idx="110">
                  <c:v>40654</c:v>
                </c:pt>
                <c:pt idx="111">
                  <c:v>40655</c:v>
                </c:pt>
                <c:pt idx="112">
                  <c:v>40656</c:v>
                </c:pt>
                <c:pt idx="113">
                  <c:v>40657</c:v>
                </c:pt>
                <c:pt idx="114">
                  <c:v>40658</c:v>
                </c:pt>
                <c:pt idx="115">
                  <c:v>40659</c:v>
                </c:pt>
                <c:pt idx="116">
                  <c:v>40660</c:v>
                </c:pt>
                <c:pt idx="117">
                  <c:v>40661</c:v>
                </c:pt>
                <c:pt idx="118">
                  <c:v>40662</c:v>
                </c:pt>
                <c:pt idx="119">
                  <c:v>40663</c:v>
                </c:pt>
                <c:pt idx="120">
                  <c:v>40664</c:v>
                </c:pt>
                <c:pt idx="121">
                  <c:v>40665</c:v>
                </c:pt>
                <c:pt idx="122">
                  <c:v>40666</c:v>
                </c:pt>
                <c:pt idx="123">
                  <c:v>40667</c:v>
                </c:pt>
                <c:pt idx="124">
                  <c:v>40668</c:v>
                </c:pt>
                <c:pt idx="125">
                  <c:v>40669</c:v>
                </c:pt>
                <c:pt idx="126">
                  <c:v>40670</c:v>
                </c:pt>
                <c:pt idx="127">
                  <c:v>40671</c:v>
                </c:pt>
                <c:pt idx="128">
                  <c:v>40672</c:v>
                </c:pt>
                <c:pt idx="129">
                  <c:v>40673</c:v>
                </c:pt>
                <c:pt idx="130">
                  <c:v>40674</c:v>
                </c:pt>
                <c:pt idx="131">
                  <c:v>40675</c:v>
                </c:pt>
                <c:pt idx="132">
                  <c:v>40676</c:v>
                </c:pt>
                <c:pt idx="133">
                  <c:v>40677</c:v>
                </c:pt>
                <c:pt idx="134">
                  <c:v>40678</c:v>
                </c:pt>
                <c:pt idx="135">
                  <c:v>40679</c:v>
                </c:pt>
                <c:pt idx="136">
                  <c:v>40680</c:v>
                </c:pt>
                <c:pt idx="137">
                  <c:v>40681</c:v>
                </c:pt>
                <c:pt idx="138">
                  <c:v>40682</c:v>
                </c:pt>
                <c:pt idx="139">
                  <c:v>40683</c:v>
                </c:pt>
                <c:pt idx="140">
                  <c:v>40684</c:v>
                </c:pt>
                <c:pt idx="141">
                  <c:v>40685</c:v>
                </c:pt>
                <c:pt idx="142">
                  <c:v>40686</c:v>
                </c:pt>
                <c:pt idx="143">
                  <c:v>40687</c:v>
                </c:pt>
                <c:pt idx="144">
                  <c:v>40688</c:v>
                </c:pt>
                <c:pt idx="145">
                  <c:v>40689</c:v>
                </c:pt>
                <c:pt idx="146">
                  <c:v>40690</c:v>
                </c:pt>
                <c:pt idx="147">
                  <c:v>40691</c:v>
                </c:pt>
                <c:pt idx="148">
                  <c:v>40692</c:v>
                </c:pt>
                <c:pt idx="149">
                  <c:v>40693</c:v>
                </c:pt>
                <c:pt idx="150">
                  <c:v>40694</c:v>
                </c:pt>
                <c:pt idx="151">
                  <c:v>40695</c:v>
                </c:pt>
                <c:pt idx="152">
                  <c:v>40696</c:v>
                </c:pt>
                <c:pt idx="153">
                  <c:v>40697</c:v>
                </c:pt>
                <c:pt idx="154">
                  <c:v>40698</c:v>
                </c:pt>
                <c:pt idx="155">
                  <c:v>40699</c:v>
                </c:pt>
                <c:pt idx="156">
                  <c:v>40700</c:v>
                </c:pt>
                <c:pt idx="157">
                  <c:v>40701</c:v>
                </c:pt>
                <c:pt idx="158">
                  <c:v>40702</c:v>
                </c:pt>
                <c:pt idx="159">
                  <c:v>40703</c:v>
                </c:pt>
                <c:pt idx="160">
                  <c:v>40704</c:v>
                </c:pt>
                <c:pt idx="161">
                  <c:v>40705</c:v>
                </c:pt>
                <c:pt idx="162">
                  <c:v>40706</c:v>
                </c:pt>
                <c:pt idx="163">
                  <c:v>40707</c:v>
                </c:pt>
                <c:pt idx="164">
                  <c:v>40708</c:v>
                </c:pt>
                <c:pt idx="165">
                  <c:v>40709</c:v>
                </c:pt>
                <c:pt idx="166">
                  <c:v>40710</c:v>
                </c:pt>
                <c:pt idx="167">
                  <c:v>40711</c:v>
                </c:pt>
                <c:pt idx="168">
                  <c:v>40712</c:v>
                </c:pt>
                <c:pt idx="169">
                  <c:v>40713</c:v>
                </c:pt>
                <c:pt idx="170">
                  <c:v>40714</c:v>
                </c:pt>
                <c:pt idx="171">
                  <c:v>40715</c:v>
                </c:pt>
                <c:pt idx="172">
                  <c:v>40716</c:v>
                </c:pt>
                <c:pt idx="173">
                  <c:v>40717</c:v>
                </c:pt>
                <c:pt idx="174">
                  <c:v>40718</c:v>
                </c:pt>
                <c:pt idx="175">
                  <c:v>40719</c:v>
                </c:pt>
                <c:pt idx="176">
                  <c:v>40720</c:v>
                </c:pt>
                <c:pt idx="177">
                  <c:v>40721</c:v>
                </c:pt>
                <c:pt idx="178">
                  <c:v>40722</c:v>
                </c:pt>
                <c:pt idx="179">
                  <c:v>40723</c:v>
                </c:pt>
                <c:pt idx="180">
                  <c:v>40724</c:v>
                </c:pt>
                <c:pt idx="181">
                  <c:v>40725</c:v>
                </c:pt>
                <c:pt idx="182">
                  <c:v>40726</c:v>
                </c:pt>
                <c:pt idx="183">
                  <c:v>40727</c:v>
                </c:pt>
                <c:pt idx="184">
                  <c:v>40728</c:v>
                </c:pt>
                <c:pt idx="185">
                  <c:v>40729</c:v>
                </c:pt>
                <c:pt idx="186">
                  <c:v>40730</c:v>
                </c:pt>
                <c:pt idx="187">
                  <c:v>40731</c:v>
                </c:pt>
                <c:pt idx="188">
                  <c:v>40732</c:v>
                </c:pt>
                <c:pt idx="189">
                  <c:v>40733</c:v>
                </c:pt>
                <c:pt idx="190">
                  <c:v>40734</c:v>
                </c:pt>
                <c:pt idx="191">
                  <c:v>40735</c:v>
                </c:pt>
                <c:pt idx="192">
                  <c:v>40736</c:v>
                </c:pt>
                <c:pt idx="193">
                  <c:v>40737</c:v>
                </c:pt>
                <c:pt idx="194">
                  <c:v>40738</c:v>
                </c:pt>
                <c:pt idx="195">
                  <c:v>40739</c:v>
                </c:pt>
                <c:pt idx="196">
                  <c:v>40740</c:v>
                </c:pt>
                <c:pt idx="197">
                  <c:v>40741</c:v>
                </c:pt>
                <c:pt idx="198">
                  <c:v>40742</c:v>
                </c:pt>
                <c:pt idx="199">
                  <c:v>40743</c:v>
                </c:pt>
                <c:pt idx="200">
                  <c:v>40744</c:v>
                </c:pt>
                <c:pt idx="201">
                  <c:v>40745</c:v>
                </c:pt>
                <c:pt idx="202">
                  <c:v>40746</c:v>
                </c:pt>
                <c:pt idx="203">
                  <c:v>40747</c:v>
                </c:pt>
                <c:pt idx="204">
                  <c:v>40748</c:v>
                </c:pt>
                <c:pt idx="205">
                  <c:v>40749</c:v>
                </c:pt>
                <c:pt idx="206">
                  <c:v>40750</c:v>
                </c:pt>
                <c:pt idx="207">
                  <c:v>40751</c:v>
                </c:pt>
                <c:pt idx="208">
                  <c:v>40752</c:v>
                </c:pt>
                <c:pt idx="209">
                  <c:v>40753</c:v>
                </c:pt>
                <c:pt idx="210">
                  <c:v>40754</c:v>
                </c:pt>
                <c:pt idx="211">
                  <c:v>40755</c:v>
                </c:pt>
                <c:pt idx="212">
                  <c:v>40756</c:v>
                </c:pt>
                <c:pt idx="213">
                  <c:v>40757</c:v>
                </c:pt>
                <c:pt idx="214">
                  <c:v>40758</c:v>
                </c:pt>
                <c:pt idx="215">
                  <c:v>40759</c:v>
                </c:pt>
                <c:pt idx="216">
                  <c:v>40760</c:v>
                </c:pt>
                <c:pt idx="217">
                  <c:v>40761</c:v>
                </c:pt>
                <c:pt idx="218">
                  <c:v>40762</c:v>
                </c:pt>
                <c:pt idx="219">
                  <c:v>40763</c:v>
                </c:pt>
                <c:pt idx="220">
                  <c:v>40764</c:v>
                </c:pt>
                <c:pt idx="221">
                  <c:v>40765</c:v>
                </c:pt>
                <c:pt idx="222">
                  <c:v>40766</c:v>
                </c:pt>
                <c:pt idx="223">
                  <c:v>40767</c:v>
                </c:pt>
                <c:pt idx="224">
                  <c:v>40768</c:v>
                </c:pt>
                <c:pt idx="225">
                  <c:v>40769</c:v>
                </c:pt>
                <c:pt idx="226">
                  <c:v>40770</c:v>
                </c:pt>
                <c:pt idx="227">
                  <c:v>40771</c:v>
                </c:pt>
                <c:pt idx="228">
                  <c:v>40772</c:v>
                </c:pt>
                <c:pt idx="229">
                  <c:v>40773</c:v>
                </c:pt>
                <c:pt idx="230">
                  <c:v>40774</c:v>
                </c:pt>
                <c:pt idx="231">
                  <c:v>40775</c:v>
                </c:pt>
                <c:pt idx="232">
                  <c:v>40776</c:v>
                </c:pt>
                <c:pt idx="233">
                  <c:v>40777</c:v>
                </c:pt>
                <c:pt idx="234">
                  <c:v>40778</c:v>
                </c:pt>
                <c:pt idx="235">
                  <c:v>40779</c:v>
                </c:pt>
                <c:pt idx="236">
                  <c:v>40780</c:v>
                </c:pt>
                <c:pt idx="237">
                  <c:v>40781</c:v>
                </c:pt>
                <c:pt idx="238">
                  <c:v>40782</c:v>
                </c:pt>
                <c:pt idx="239">
                  <c:v>40783</c:v>
                </c:pt>
                <c:pt idx="240">
                  <c:v>40784</c:v>
                </c:pt>
                <c:pt idx="241">
                  <c:v>40785</c:v>
                </c:pt>
                <c:pt idx="242">
                  <c:v>40786</c:v>
                </c:pt>
                <c:pt idx="243">
                  <c:v>40787</c:v>
                </c:pt>
                <c:pt idx="244">
                  <c:v>40788</c:v>
                </c:pt>
                <c:pt idx="245">
                  <c:v>40789</c:v>
                </c:pt>
                <c:pt idx="246">
                  <c:v>40790</c:v>
                </c:pt>
                <c:pt idx="247">
                  <c:v>40791</c:v>
                </c:pt>
                <c:pt idx="248">
                  <c:v>40792</c:v>
                </c:pt>
                <c:pt idx="249">
                  <c:v>40793</c:v>
                </c:pt>
                <c:pt idx="250">
                  <c:v>40794</c:v>
                </c:pt>
                <c:pt idx="251">
                  <c:v>40795</c:v>
                </c:pt>
                <c:pt idx="252">
                  <c:v>40796</c:v>
                </c:pt>
                <c:pt idx="253">
                  <c:v>40797</c:v>
                </c:pt>
                <c:pt idx="254">
                  <c:v>40798</c:v>
                </c:pt>
                <c:pt idx="255">
                  <c:v>40799</c:v>
                </c:pt>
                <c:pt idx="256">
                  <c:v>40800</c:v>
                </c:pt>
                <c:pt idx="257">
                  <c:v>40801</c:v>
                </c:pt>
                <c:pt idx="258">
                  <c:v>40802</c:v>
                </c:pt>
                <c:pt idx="259">
                  <c:v>40803</c:v>
                </c:pt>
                <c:pt idx="260">
                  <c:v>40804</c:v>
                </c:pt>
                <c:pt idx="261">
                  <c:v>40805</c:v>
                </c:pt>
                <c:pt idx="262">
                  <c:v>40806</c:v>
                </c:pt>
                <c:pt idx="263">
                  <c:v>40807</c:v>
                </c:pt>
                <c:pt idx="264">
                  <c:v>40808</c:v>
                </c:pt>
                <c:pt idx="265">
                  <c:v>40809</c:v>
                </c:pt>
                <c:pt idx="266">
                  <c:v>40810</c:v>
                </c:pt>
                <c:pt idx="267">
                  <c:v>40811</c:v>
                </c:pt>
                <c:pt idx="268">
                  <c:v>40812</c:v>
                </c:pt>
                <c:pt idx="269">
                  <c:v>40813</c:v>
                </c:pt>
                <c:pt idx="270">
                  <c:v>40814</c:v>
                </c:pt>
                <c:pt idx="271">
                  <c:v>40815</c:v>
                </c:pt>
                <c:pt idx="272">
                  <c:v>40816</c:v>
                </c:pt>
                <c:pt idx="273">
                  <c:v>40817</c:v>
                </c:pt>
                <c:pt idx="274">
                  <c:v>40818</c:v>
                </c:pt>
                <c:pt idx="275">
                  <c:v>40819</c:v>
                </c:pt>
                <c:pt idx="276">
                  <c:v>40820</c:v>
                </c:pt>
                <c:pt idx="277">
                  <c:v>40821</c:v>
                </c:pt>
                <c:pt idx="278">
                  <c:v>40822</c:v>
                </c:pt>
                <c:pt idx="279">
                  <c:v>40823</c:v>
                </c:pt>
                <c:pt idx="280">
                  <c:v>40824</c:v>
                </c:pt>
                <c:pt idx="281">
                  <c:v>40825</c:v>
                </c:pt>
                <c:pt idx="282">
                  <c:v>40826</c:v>
                </c:pt>
                <c:pt idx="283">
                  <c:v>40827</c:v>
                </c:pt>
                <c:pt idx="284">
                  <c:v>40828</c:v>
                </c:pt>
                <c:pt idx="285">
                  <c:v>40829</c:v>
                </c:pt>
                <c:pt idx="286">
                  <c:v>40830</c:v>
                </c:pt>
                <c:pt idx="287">
                  <c:v>40831</c:v>
                </c:pt>
                <c:pt idx="288">
                  <c:v>40832</c:v>
                </c:pt>
                <c:pt idx="289">
                  <c:v>40833</c:v>
                </c:pt>
                <c:pt idx="290">
                  <c:v>40834</c:v>
                </c:pt>
                <c:pt idx="291">
                  <c:v>40835</c:v>
                </c:pt>
                <c:pt idx="292">
                  <c:v>40836</c:v>
                </c:pt>
                <c:pt idx="293">
                  <c:v>40837</c:v>
                </c:pt>
                <c:pt idx="294">
                  <c:v>40838</c:v>
                </c:pt>
                <c:pt idx="295">
                  <c:v>40839</c:v>
                </c:pt>
                <c:pt idx="296">
                  <c:v>40840</c:v>
                </c:pt>
                <c:pt idx="297">
                  <c:v>40841</c:v>
                </c:pt>
                <c:pt idx="298">
                  <c:v>40842</c:v>
                </c:pt>
                <c:pt idx="299">
                  <c:v>40843</c:v>
                </c:pt>
                <c:pt idx="300">
                  <c:v>40844</c:v>
                </c:pt>
                <c:pt idx="301">
                  <c:v>40845</c:v>
                </c:pt>
                <c:pt idx="302">
                  <c:v>40846</c:v>
                </c:pt>
                <c:pt idx="303">
                  <c:v>40847</c:v>
                </c:pt>
                <c:pt idx="304">
                  <c:v>40848</c:v>
                </c:pt>
                <c:pt idx="305">
                  <c:v>40849</c:v>
                </c:pt>
                <c:pt idx="306">
                  <c:v>40850</c:v>
                </c:pt>
                <c:pt idx="307">
                  <c:v>40851</c:v>
                </c:pt>
                <c:pt idx="308">
                  <c:v>40852</c:v>
                </c:pt>
                <c:pt idx="309">
                  <c:v>40853</c:v>
                </c:pt>
                <c:pt idx="310">
                  <c:v>40854</c:v>
                </c:pt>
                <c:pt idx="311">
                  <c:v>40855</c:v>
                </c:pt>
                <c:pt idx="312">
                  <c:v>40856</c:v>
                </c:pt>
                <c:pt idx="313">
                  <c:v>40857</c:v>
                </c:pt>
                <c:pt idx="314">
                  <c:v>40858</c:v>
                </c:pt>
                <c:pt idx="315">
                  <c:v>40859</c:v>
                </c:pt>
                <c:pt idx="316">
                  <c:v>40860</c:v>
                </c:pt>
                <c:pt idx="317">
                  <c:v>40861</c:v>
                </c:pt>
                <c:pt idx="318">
                  <c:v>40862</c:v>
                </c:pt>
                <c:pt idx="319">
                  <c:v>40863</c:v>
                </c:pt>
                <c:pt idx="320">
                  <c:v>40864</c:v>
                </c:pt>
                <c:pt idx="321">
                  <c:v>40865</c:v>
                </c:pt>
                <c:pt idx="322">
                  <c:v>40866</c:v>
                </c:pt>
                <c:pt idx="323">
                  <c:v>40867</c:v>
                </c:pt>
                <c:pt idx="324">
                  <c:v>40868</c:v>
                </c:pt>
                <c:pt idx="325">
                  <c:v>40869</c:v>
                </c:pt>
                <c:pt idx="326">
                  <c:v>40870</c:v>
                </c:pt>
                <c:pt idx="327">
                  <c:v>40871</c:v>
                </c:pt>
                <c:pt idx="328">
                  <c:v>40872</c:v>
                </c:pt>
                <c:pt idx="329">
                  <c:v>40873</c:v>
                </c:pt>
                <c:pt idx="330">
                  <c:v>40874</c:v>
                </c:pt>
                <c:pt idx="331">
                  <c:v>40875</c:v>
                </c:pt>
                <c:pt idx="332">
                  <c:v>40876</c:v>
                </c:pt>
                <c:pt idx="333">
                  <c:v>40877</c:v>
                </c:pt>
                <c:pt idx="334">
                  <c:v>40878</c:v>
                </c:pt>
                <c:pt idx="335">
                  <c:v>40879</c:v>
                </c:pt>
                <c:pt idx="336">
                  <c:v>40880</c:v>
                </c:pt>
                <c:pt idx="337">
                  <c:v>40881</c:v>
                </c:pt>
                <c:pt idx="338">
                  <c:v>40882</c:v>
                </c:pt>
                <c:pt idx="339">
                  <c:v>40883</c:v>
                </c:pt>
                <c:pt idx="340">
                  <c:v>40884</c:v>
                </c:pt>
                <c:pt idx="341">
                  <c:v>40885</c:v>
                </c:pt>
                <c:pt idx="342">
                  <c:v>40886</c:v>
                </c:pt>
                <c:pt idx="343">
                  <c:v>40887</c:v>
                </c:pt>
                <c:pt idx="344">
                  <c:v>40888</c:v>
                </c:pt>
                <c:pt idx="345">
                  <c:v>40889</c:v>
                </c:pt>
                <c:pt idx="346">
                  <c:v>40890</c:v>
                </c:pt>
                <c:pt idx="347">
                  <c:v>40891</c:v>
                </c:pt>
                <c:pt idx="348">
                  <c:v>40892</c:v>
                </c:pt>
                <c:pt idx="349">
                  <c:v>40893</c:v>
                </c:pt>
                <c:pt idx="350">
                  <c:v>40894</c:v>
                </c:pt>
                <c:pt idx="351">
                  <c:v>40895</c:v>
                </c:pt>
                <c:pt idx="352">
                  <c:v>40896</c:v>
                </c:pt>
                <c:pt idx="353">
                  <c:v>40897</c:v>
                </c:pt>
                <c:pt idx="354">
                  <c:v>40898</c:v>
                </c:pt>
                <c:pt idx="355">
                  <c:v>40899</c:v>
                </c:pt>
                <c:pt idx="356">
                  <c:v>40900</c:v>
                </c:pt>
                <c:pt idx="357">
                  <c:v>40901</c:v>
                </c:pt>
                <c:pt idx="358">
                  <c:v>40902</c:v>
                </c:pt>
                <c:pt idx="359">
                  <c:v>40903</c:v>
                </c:pt>
                <c:pt idx="360">
                  <c:v>40904</c:v>
                </c:pt>
                <c:pt idx="361">
                  <c:v>40905</c:v>
                </c:pt>
                <c:pt idx="362">
                  <c:v>40906</c:v>
                </c:pt>
                <c:pt idx="363">
                  <c:v>40907</c:v>
                </c:pt>
                <c:pt idx="364">
                  <c:v>40908</c:v>
                </c:pt>
              </c:numCache>
            </c:numRef>
          </c:cat>
          <c:val>
            <c:numRef>
              <c:f>Summary!$Y$12:$Y$376</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2201.1177432131244</c:v>
                </c:pt>
                <c:pt idx="135">
                  <c:v>2500</c:v>
                </c:pt>
                <c:pt idx="136">
                  <c:v>2500</c:v>
                </c:pt>
                <c:pt idx="137">
                  <c:v>2500</c:v>
                </c:pt>
                <c:pt idx="138">
                  <c:v>2500</c:v>
                </c:pt>
                <c:pt idx="139">
                  <c:v>2500</c:v>
                </c:pt>
                <c:pt idx="140">
                  <c:v>2500</c:v>
                </c:pt>
                <c:pt idx="141">
                  <c:v>2500</c:v>
                </c:pt>
                <c:pt idx="142">
                  <c:v>2500</c:v>
                </c:pt>
                <c:pt idx="143">
                  <c:v>2500</c:v>
                </c:pt>
                <c:pt idx="144">
                  <c:v>2500</c:v>
                </c:pt>
                <c:pt idx="145">
                  <c:v>2500</c:v>
                </c:pt>
                <c:pt idx="146">
                  <c:v>2500</c:v>
                </c:pt>
                <c:pt idx="147">
                  <c:v>2500</c:v>
                </c:pt>
                <c:pt idx="148">
                  <c:v>2500</c:v>
                </c:pt>
                <c:pt idx="149">
                  <c:v>2500</c:v>
                </c:pt>
                <c:pt idx="150">
                  <c:v>2500</c:v>
                </c:pt>
                <c:pt idx="151">
                  <c:v>2500</c:v>
                </c:pt>
                <c:pt idx="152">
                  <c:v>2500</c:v>
                </c:pt>
                <c:pt idx="153">
                  <c:v>2500</c:v>
                </c:pt>
                <c:pt idx="154">
                  <c:v>2500</c:v>
                </c:pt>
                <c:pt idx="155">
                  <c:v>2500</c:v>
                </c:pt>
                <c:pt idx="156">
                  <c:v>2500</c:v>
                </c:pt>
                <c:pt idx="157">
                  <c:v>2500</c:v>
                </c:pt>
                <c:pt idx="158">
                  <c:v>2500</c:v>
                </c:pt>
                <c:pt idx="159">
                  <c:v>2500</c:v>
                </c:pt>
                <c:pt idx="160">
                  <c:v>2500</c:v>
                </c:pt>
                <c:pt idx="161">
                  <c:v>2500</c:v>
                </c:pt>
                <c:pt idx="162">
                  <c:v>2500</c:v>
                </c:pt>
                <c:pt idx="163">
                  <c:v>2500</c:v>
                </c:pt>
                <c:pt idx="164">
                  <c:v>2500</c:v>
                </c:pt>
                <c:pt idx="165">
                  <c:v>2500</c:v>
                </c:pt>
                <c:pt idx="166">
                  <c:v>2500</c:v>
                </c:pt>
                <c:pt idx="167">
                  <c:v>2500</c:v>
                </c:pt>
                <c:pt idx="168">
                  <c:v>2500</c:v>
                </c:pt>
                <c:pt idx="169">
                  <c:v>2500</c:v>
                </c:pt>
                <c:pt idx="170">
                  <c:v>2500</c:v>
                </c:pt>
                <c:pt idx="171">
                  <c:v>2500</c:v>
                </c:pt>
                <c:pt idx="172">
                  <c:v>2500</c:v>
                </c:pt>
                <c:pt idx="173">
                  <c:v>2500</c:v>
                </c:pt>
                <c:pt idx="174">
                  <c:v>2500</c:v>
                </c:pt>
                <c:pt idx="175">
                  <c:v>2500</c:v>
                </c:pt>
                <c:pt idx="176">
                  <c:v>2500</c:v>
                </c:pt>
                <c:pt idx="177">
                  <c:v>2500</c:v>
                </c:pt>
                <c:pt idx="178">
                  <c:v>2500</c:v>
                </c:pt>
                <c:pt idx="179">
                  <c:v>2500</c:v>
                </c:pt>
                <c:pt idx="180">
                  <c:v>2500</c:v>
                </c:pt>
                <c:pt idx="181">
                  <c:v>2500</c:v>
                </c:pt>
                <c:pt idx="182">
                  <c:v>2500</c:v>
                </c:pt>
                <c:pt idx="183">
                  <c:v>2500</c:v>
                </c:pt>
                <c:pt idx="184">
                  <c:v>2500</c:v>
                </c:pt>
                <c:pt idx="185">
                  <c:v>2500</c:v>
                </c:pt>
                <c:pt idx="186">
                  <c:v>2500</c:v>
                </c:pt>
                <c:pt idx="187">
                  <c:v>2500</c:v>
                </c:pt>
                <c:pt idx="188">
                  <c:v>2500</c:v>
                </c:pt>
                <c:pt idx="189">
                  <c:v>2500</c:v>
                </c:pt>
                <c:pt idx="190">
                  <c:v>2500</c:v>
                </c:pt>
                <c:pt idx="191">
                  <c:v>2500</c:v>
                </c:pt>
                <c:pt idx="192">
                  <c:v>2500</c:v>
                </c:pt>
                <c:pt idx="193">
                  <c:v>2500</c:v>
                </c:pt>
                <c:pt idx="194">
                  <c:v>2500</c:v>
                </c:pt>
                <c:pt idx="195">
                  <c:v>2500</c:v>
                </c:pt>
                <c:pt idx="196">
                  <c:v>2500</c:v>
                </c:pt>
                <c:pt idx="197">
                  <c:v>2500</c:v>
                </c:pt>
                <c:pt idx="198">
                  <c:v>2500</c:v>
                </c:pt>
                <c:pt idx="199">
                  <c:v>2500</c:v>
                </c:pt>
                <c:pt idx="200">
                  <c:v>2500</c:v>
                </c:pt>
                <c:pt idx="201">
                  <c:v>2500</c:v>
                </c:pt>
                <c:pt idx="202">
                  <c:v>2500</c:v>
                </c:pt>
                <c:pt idx="203">
                  <c:v>2500</c:v>
                </c:pt>
                <c:pt idx="204">
                  <c:v>2500</c:v>
                </c:pt>
                <c:pt idx="205">
                  <c:v>2500</c:v>
                </c:pt>
                <c:pt idx="206">
                  <c:v>2500</c:v>
                </c:pt>
                <c:pt idx="207">
                  <c:v>2500</c:v>
                </c:pt>
                <c:pt idx="208">
                  <c:v>2500</c:v>
                </c:pt>
                <c:pt idx="209">
                  <c:v>2500</c:v>
                </c:pt>
                <c:pt idx="210">
                  <c:v>2500</c:v>
                </c:pt>
                <c:pt idx="211">
                  <c:v>2500</c:v>
                </c:pt>
                <c:pt idx="212">
                  <c:v>2500</c:v>
                </c:pt>
                <c:pt idx="213">
                  <c:v>2500</c:v>
                </c:pt>
                <c:pt idx="214">
                  <c:v>2500</c:v>
                </c:pt>
                <c:pt idx="215">
                  <c:v>2500</c:v>
                </c:pt>
                <c:pt idx="216">
                  <c:v>2500</c:v>
                </c:pt>
                <c:pt idx="217">
                  <c:v>2500</c:v>
                </c:pt>
                <c:pt idx="218">
                  <c:v>2500</c:v>
                </c:pt>
                <c:pt idx="219">
                  <c:v>2500</c:v>
                </c:pt>
                <c:pt idx="220">
                  <c:v>2500</c:v>
                </c:pt>
                <c:pt idx="221">
                  <c:v>2500</c:v>
                </c:pt>
                <c:pt idx="222">
                  <c:v>2500</c:v>
                </c:pt>
                <c:pt idx="223">
                  <c:v>2500</c:v>
                </c:pt>
                <c:pt idx="224">
                  <c:v>2500</c:v>
                </c:pt>
                <c:pt idx="225">
                  <c:v>2500</c:v>
                </c:pt>
                <c:pt idx="226">
                  <c:v>2500</c:v>
                </c:pt>
                <c:pt idx="227">
                  <c:v>2500</c:v>
                </c:pt>
                <c:pt idx="228">
                  <c:v>2500</c:v>
                </c:pt>
                <c:pt idx="229">
                  <c:v>2500</c:v>
                </c:pt>
                <c:pt idx="230">
                  <c:v>2500</c:v>
                </c:pt>
                <c:pt idx="231">
                  <c:v>2500</c:v>
                </c:pt>
                <c:pt idx="232">
                  <c:v>2500</c:v>
                </c:pt>
                <c:pt idx="233">
                  <c:v>2500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er>
        <c:ser>
          <c:idx val="1"/>
          <c:order val="2"/>
          <c:tx>
            <c:strRef>
              <c:f>Summary!$Z$2</c:f>
              <c:strCache>
                <c:ptCount val="1"/>
                <c:pt idx="0">
                  <c:v>Portion of 1135 + Resource Water for Agency Augmentation of Green River Flows</c:v>
                </c:pt>
              </c:strCache>
            </c:strRef>
          </c:tx>
          <c:marker>
            <c:symbol val="none"/>
          </c:marker>
          <c:cat>
            <c:numRef>
              <c:f>Summary!$A$12:$A$376</c:f>
              <c:numCache>
                <c:formatCode>[$-409]d\-mmm;@</c:formatCode>
                <c:ptCount val="365"/>
                <c:pt idx="0">
                  <c:v>40544</c:v>
                </c:pt>
                <c:pt idx="1">
                  <c:v>40545</c:v>
                </c:pt>
                <c:pt idx="2">
                  <c:v>40546</c:v>
                </c:pt>
                <c:pt idx="3">
                  <c:v>40547</c:v>
                </c:pt>
                <c:pt idx="4">
                  <c:v>40548</c:v>
                </c:pt>
                <c:pt idx="5">
                  <c:v>40549</c:v>
                </c:pt>
                <c:pt idx="6">
                  <c:v>40550</c:v>
                </c:pt>
                <c:pt idx="7">
                  <c:v>40551</c:v>
                </c:pt>
                <c:pt idx="8">
                  <c:v>40552</c:v>
                </c:pt>
                <c:pt idx="9">
                  <c:v>40553</c:v>
                </c:pt>
                <c:pt idx="10">
                  <c:v>40554</c:v>
                </c:pt>
                <c:pt idx="11">
                  <c:v>40555</c:v>
                </c:pt>
                <c:pt idx="12">
                  <c:v>40556</c:v>
                </c:pt>
                <c:pt idx="13">
                  <c:v>40557</c:v>
                </c:pt>
                <c:pt idx="14">
                  <c:v>40558</c:v>
                </c:pt>
                <c:pt idx="15">
                  <c:v>40559</c:v>
                </c:pt>
                <c:pt idx="16">
                  <c:v>40560</c:v>
                </c:pt>
                <c:pt idx="17">
                  <c:v>40561</c:v>
                </c:pt>
                <c:pt idx="18">
                  <c:v>40562</c:v>
                </c:pt>
                <c:pt idx="19">
                  <c:v>40563</c:v>
                </c:pt>
                <c:pt idx="20">
                  <c:v>40564</c:v>
                </c:pt>
                <c:pt idx="21">
                  <c:v>40565</c:v>
                </c:pt>
                <c:pt idx="22">
                  <c:v>40566</c:v>
                </c:pt>
                <c:pt idx="23">
                  <c:v>40567</c:v>
                </c:pt>
                <c:pt idx="24">
                  <c:v>40568</c:v>
                </c:pt>
                <c:pt idx="25">
                  <c:v>40569</c:v>
                </c:pt>
                <c:pt idx="26">
                  <c:v>40570</c:v>
                </c:pt>
                <c:pt idx="27">
                  <c:v>40571</c:v>
                </c:pt>
                <c:pt idx="28">
                  <c:v>40572</c:v>
                </c:pt>
                <c:pt idx="29">
                  <c:v>40573</c:v>
                </c:pt>
                <c:pt idx="30">
                  <c:v>40574</c:v>
                </c:pt>
                <c:pt idx="31">
                  <c:v>40575</c:v>
                </c:pt>
                <c:pt idx="32">
                  <c:v>40576</c:v>
                </c:pt>
                <c:pt idx="33">
                  <c:v>40577</c:v>
                </c:pt>
                <c:pt idx="34">
                  <c:v>40578</c:v>
                </c:pt>
                <c:pt idx="35">
                  <c:v>40579</c:v>
                </c:pt>
                <c:pt idx="36">
                  <c:v>40580</c:v>
                </c:pt>
                <c:pt idx="37">
                  <c:v>40581</c:v>
                </c:pt>
                <c:pt idx="38">
                  <c:v>40582</c:v>
                </c:pt>
                <c:pt idx="39">
                  <c:v>40583</c:v>
                </c:pt>
                <c:pt idx="40">
                  <c:v>40584</c:v>
                </c:pt>
                <c:pt idx="41">
                  <c:v>40585</c:v>
                </c:pt>
                <c:pt idx="42">
                  <c:v>40586</c:v>
                </c:pt>
                <c:pt idx="43">
                  <c:v>40587</c:v>
                </c:pt>
                <c:pt idx="44">
                  <c:v>40588</c:v>
                </c:pt>
                <c:pt idx="45">
                  <c:v>40589</c:v>
                </c:pt>
                <c:pt idx="46">
                  <c:v>40590</c:v>
                </c:pt>
                <c:pt idx="47">
                  <c:v>40591</c:v>
                </c:pt>
                <c:pt idx="48">
                  <c:v>40592</c:v>
                </c:pt>
                <c:pt idx="49">
                  <c:v>40593</c:v>
                </c:pt>
                <c:pt idx="50">
                  <c:v>40594</c:v>
                </c:pt>
                <c:pt idx="51">
                  <c:v>40595</c:v>
                </c:pt>
                <c:pt idx="52">
                  <c:v>40596</c:v>
                </c:pt>
                <c:pt idx="53">
                  <c:v>40597</c:v>
                </c:pt>
                <c:pt idx="54">
                  <c:v>40598</c:v>
                </c:pt>
                <c:pt idx="55">
                  <c:v>40599</c:v>
                </c:pt>
                <c:pt idx="56">
                  <c:v>40600</c:v>
                </c:pt>
                <c:pt idx="57">
                  <c:v>40601</c:v>
                </c:pt>
                <c:pt idx="58">
                  <c:v>40602</c:v>
                </c:pt>
                <c:pt idx="59">
                  <c:v>40603</c:v>
                </c:pt>
                <c:pt idx="60">
                  <c:v>40604</c:v>
                </c:pt>
                <c:pt idx="61">
                  <c:v>40605</c:v>
                </c:pt>
                <c:pt idx="62">
                  <c:v>40606</c:v>
                </c:pt>
                <c:pt idx="63">
                  <c:v>40607</c:v>
                </c:pt>
                <c:pt idx="64">
                  <c:v>40608</c:v>
                </c:pt>
                <c:pt idx="65">
                  <c:v>40609</c:v>
                </c:pt>
                <c:pt idx="66">
                  <c:v>40610</c:v>
                </c:pt>
                <c:pt idx="67">
                  <c:v>40611</c:v>
                </c:pt>
                <c:pt idx="68">
                  <c:v>40612</c:v>
                </c:pt>
                <c:pt idx="69">
                  <c:v>40613</c:v>
                </c:pt>
                <c:pt idx="70">
                  <c:v>40614</c:v>
                </c:pt>
                <c:pt idx="71">
                  <c:v>40615</c:v>
                </c:pt>
                <c:pt idx="72">
                  <c:v>40616</c:v>
                </c:pt>
                <c:pt idx="73">
                  <c:v>40617</c:v>
                </c:pt>
                <c:pt idx="74">
                  <c:v>40618</c:v>
                </c:pt>
                <c:pt idx="75">
                  <c:v>40619</c:v>
                </c:pt>
                <c:pt idx="76">
                  <c:v>40620</c:v>
                </c:pt>
                <c:pt idx="77">
                  <c:v>40621</c:v>
                </c:pt>
                <c:pt idx="78">
                  <c:v>40622</c:v>
                </c:pt>
                <c:pt idx="79">
                  <c:v>40623</c:v>
                </c:pt>
                <c:pt idx="80">
                  <c:v>40624</c:v>
                </c:pt>
                <c:pt idx="81">
                  <c:v>40625</c:v>
                </c:pt>
                <c:pt idx="82">
                  <c:v>40626</c:v>
                </c:pt>
                <c:pt idx="83">
                  <c:v>40627</c:v>
                </c:pt>
                <c:pt idx="84">
                  <c:v>40628</c:v>
                </c:pt>
                <c:pt idx="85">
                  <c:v>40629</c:v>
                </c:pt>
                <c:pt idx="86">
                  <c:v>40630</c:v>
                </c:pt>
                <c:pt idx="87">
                  <c:v>40631</c:v>
                </c:pt>
                <c:pt idx="88">
                  <c:v>40632</c:v>
                </c:pt>
                <c:pt idx="89">
                  <c:v>40633</c:v>
                </c:pt>
                <c:pt idx="90">
                  <c:v>40634</c:v>
                </c:pt>
                <c:pt idx="91">
                  <c:v>40635</c:v>
                </c:pt>
                <c:pt idx="92">
                  <c:v>40636</c:v>
                </c:pt>
                <c:pt idx="93">
                  <c:v>40637</c:v>
                </c:pt>
                <c:pt idx="94">
                  <c:v>40638</c:v>
                </c:pt>
                <c:pt idx="95">
                  <c:v>40639</c:v>
                </c:pt>
                <c:pt idx="96">
                  <c:v>40640</c:v>
                </c:pt>
                <c:pt idx="97">
                  <c:v>40641</c:v>
                </c:pt>
                <c:pt idx="98">
                  <c:v>40642</c:v>
                </c:pt>
                <c:pt idx="99">
                  <c:v>40643</c:v>
                </c:pt>
                <c:pt idx="100">
                  <c:v>40644</c:v>
                </c:pt>
                <c:pt idx="101">
                  <c:v>40645</c:v>
                </c:pt>
                <c:pt idx="102">
                  <c:v>40646</c:v>
                </c:pt>
                <c:pt idx="103">
                  <c:v>40647</c:v>
                </c:pt>
                <c:pt idx="104">
                  <c:v>40648</c:v>
                </c:pt>
                <c:pt idx="105">
                  <c:v>40649</c:v>
                </c:pt>
                <c:pt idx="106">
                  <c:v>40650</c:v>
                </c:pt>
                <c:pt idx="107">
                  <c:v>40651</c:v>
                </c:pt>
                <c:pt idx="108">
                  <c:v>40652</c:v>
                </c:pt>
                <c:pt idx="109">
                  <c:v>40653</c:v>
                </c:pt>
                <c:pt idx="110">
                  <c:v>40654</c:v>
                </c:pt>
                <c:pt idx="111">
                  <c:v>40655</c:v>
                </c:pt>
                <c:pt idx="112">
                  <c:v>40656</c:v>
                </c:pt>
                <c:pt idx="113">
                  <c:v>40657</c:v>
                </c:pt>
                <c:pt idx="114">
                  <c:v>40658</c:v>
                </c:pt>
                <c:pt idx="115">
                  <c:v>40659</c:v>
                </c:pt>
                <c:pt idx="116">
                  <c:v>40660</c:v>
                </c:pt>
                <c:pt idx="117">
                  <c:v>40661</c:v>
                </c:pt>
                <c:pt idx="118">
                  <c:v>40662</c:v>
                </c:pt>
                <c:pt idx="119">
                  <c:v>40663</c:v>
                </c:pt>
                <c:pt idx="120">
                  <c:v>40664</c:v>
                </c:pt>
                <c:pt idx="121">
                  <c:v>40665</c:v>
                </c:pt>
                <c:pt idx="122">
                  <c:v>40666</c:v>
                </c:pt>
                <c:pt idx="123">
                  <c:v>40667</c:v>
                </c:pt>
                <c:pt idx="124">
                  <c:v>40668</c:v>
                </c:pt>
                <c:pt idx="125">
                  <c:v>40669</c:v>
                </c:pt>
                <c:pt idx="126">
                  <c:v>40670</c:v>
                </c:pt>
                <c:pt idx="127">
                  <c:v>40671</c:v>
                </c:pt>
                <c:pt idx="128">
                  <c:v>40672</c:v>
                </c:pt>
                <c:pt idx="129">
                  <c:v>40673</c:v>
                </c:pt>
                <c:pt idx="130">
                  <c:v>40674</c:v>
                </c:pt>
                <c:pt idx="131">
                  <c:v>40675</c:v>
                </c:pt>
                <c:pt idx="132">
                  <c:v>40676</c:v>
                </c:pt>
                <c:pt idx="133">
                  <c:v>40677</c:v>
                </c:pt>
                <c:pt idx="134">
                  <c:v>40678</c:v>
                </c:pt>
                <c:pt idx="135">
                  <c:v>40679</c:v>
                </c:pt>
                <c:pt idx="136">
                  <c:v>40680</c:v>
                </c:pt>
                <c:pt idx="137">
                  <c:v>40681</c:v>
                </c:pt>
                <c:pt idx="138">
                  <c:v>40682</c:v>
                </c:pt>
                <c:pt idx="139">
                  <c:v>40683</c:v>
                </c:pt>
                <c:pt idx="140">
                  <c:v>40684</c:v>
                </c:pt>
                <c:pt idx="141">
                  <c:v>40685</c:v>
                </c:pt>
                <c:pt idx="142">
                  <c:v>40686</c:v>
                </c:pt>
                <c:pt idx="143">
                  <c:v>40687</c:v>
                </c:pt>
                <c:pt idx="144">
                  <c:v>40688</c:v>
                </c:pt>
                <c:pt idx="145">
                  <c:v>40689</c:v>
                </c:pt>
                <c:pt idx="146">
                  <c:v>40690</c:v>
                </c:pt>
                <c:pt idx="147">
                  <c:v>40691</c:v>
                </c:pt>
                <c:pt idx="148">
                  <c:v>40692</c:v>
                </c:pt>
                <c:pt idx="149">
                  <c:v>40693</c:v>
                </c:pt>
                <c:pt idx="150">
                  <c:v>40694</c:v>
                </c:pt>
                <c:pt idx="151">
                  <c:v>40695</c:v>
                </c:pt>
                <c:pt idx="152">
                  <c:v>40696</c:v>
                </c:pt>
                <c:pt idx="153">
                  <c:v>40697</c:v>
                </c:pt>
                <c:pt idx="154">
                  <c:v>40698</c:v>
                </c:pt>
                <c:pt idx="155">
                  <c:v>40699</c:v>
                </c:pt>
                <c:pt idx="156">
                  <c:v>40700</c:v>
                </c:pt>
                <c:pt idx="157">
                  <c:v>40701</c:v>
                </c:pt>
                <c:pt idx="158">
                  <c:v>40702</c:v>
                </c:pt>
                <c:pt idx="159">
                  <c:v>40703</c:v>
                </c:pt>
                <c:pt idx="160">
                  <c:v>40704</c:v>
                </c:pt>
                <c:pt idx="161">
                  <c:v>40705</c:v>
                </c:pt>
                <c:pt idx="162">
                  <c:v>40706</c:v>
                </c:pt>
                <c:pt idx="163">
                  <c:v>40707</c:v>
                </c:pt>
                <c:pt idx="164">
                  <c:v>40708</c:v>
                </c:pt>
                <c:pt idx="165">
                  <c:v>40709</c:v>
                </c:pt>
                <c:pt idx="166">
                  <c:v>40710</c:v>
                </c:pt>
                <c:pt idx="167">
                  <c:v>40711</c:v>
                </c:pt>
                <c:pt idx="168">
                  <c:v>40712</c:v>
                </c:pt>
                <c:pt idx="169">
                  <c:v>40713</c:v>
                </c:pt>
                <c:pt idx="170">
                  <c:v>40714</c:v>
                </c:pt>
                <c:pt idx="171">
                  <c:v>40715</c:v>
                </c:pt>
                <c:pt idx="172">
                  <c:v>40716</c:v>
                </c:pt>
                <c:pt idx="173">
                  <c:v>40717</c:v>
                </c:pt>
                <c:pt idx="174">
                  <c:v>40718</c:v>
                </c:pt>
                <c:pt idx="175">
                  <c:v>40719</c:v>
                </c:pt>
                <c:pt idx="176">
                  <c:v>40720</c:v>
                </c:pt>
                <c:pt idx="177">
                  <c:v>40721</c:v>
                </c:pt>
                <c:pt idx="178">
                  <c:v>40722</c:v>
                </c:pt>
                <c:pt idx="179">
                  <c:v>40723</c:v>
                </c:pt>
                <c:pt idx="180">
                  <c:v>40724</c:v>
                </c:pt>
                <c:pt idx="181">
                  <c:v>40725</c:v>
                </c:pt>
                <c:pt idx="182">
                  <c:v>40726</c:v>
                </c:pt>
                <c:pt idx="183">
                  <c:v>40727</c:v>
                </c:pt>
                <c:pt idx="184">
                  <c:v>40728</c:v>
                </c:pt>
                <c:pt idx="185">
                  <c:v>40729</c:v>
                </c:pt>
                <c:pt idx="186">
                  <c:v>40730</c:v>
                </c:pt>
                <c:pt idx="187">
                  <c:v>40731</c:v>
                </c:pt>
                <c:pt idx="188">
                  <c:v>40732</c:v>
                </c:pt>
                <c:pt idx="189">
                  <c:v>40733</c:v>
                </c:pt>
                <c:pt idx="190">
                  <c:v>40734</c:v>
                </c:pt>
                <c:pt idx="191">
                  <c:v>40735</c:v>
                </c:pt>
                <c:pt idx="192">
                  <c:v>40736</c:v>
                </c:pt>
                <c:pt idx="193">
                  <c:v>40737</c:v>
                </c:pt>
                <c:pt idx="194">
                  <c:v>40738</c:v>
                </c:pt>
                <c:pt idx="195">
                  <c:v>40739</c:v>
                </c:pt>
                <c:pt idx="196">
                  <c:v>40740</c:v>
                </c:pt>
                <c:pt idx="197">
                  <c:v>40741</c:v>
                </c:pt>
                <c:pt idx="198">
                  <c:v>40742</c:v>
                </c:pt>
                <c:pt idx="199">
                  <c:v>40743</c:v>
                </c:pt>
                <c:pt idx="200">
                  <c:v>40744</c:v>
                </c:pt>
                <c:pt idx="201">
                  <c:v>40745</c:v>
                </c:pt>
                <c:pt idx="202">
                  <c:v>40746</c:v>
                </c:pt>
                <c:pt idx="203">
                  <c:v>40747</c:v>
                </c:pt>
                <c:pt idx="204">
                  <c:v>40748</c:v>
                </c:pt>
                <c:pt idx="205">
                  <c:v>40749</c:v>
                </c:pt>
                <c:pt idx="206">
                  <c:v>40750</c:v>
                </c:pt>
                <c:pt idx="207">
                  <c:v>40751</c:v>
                </c:pt>
                <c:pt idx="208">
                  <c:v>40752</c:v>
                </c:pt>
                <c:pt idx="209">
                  <c:v>40753</c:v>
                </c:pt>
                <c:pt idx="210">
                  <c:v>40754</c:v>
                </c:pt>
                <c:pt idx="211">
                  <c:v>40755</c:v>
                </c:pt>
                <c:pt idx="212">
                  <c:v>40756</c:v>
                </c:pt>
                <c:pt idx="213">
                  <c:v>40757</c:v>
                </c:pt>
                <c:pt idx="214">
                  <c:v>40758</c:v>
                </c:pt>
                <c:pt idx="215">
                  <c:v>40759</c:v>
                </c:pt>
                <c:pt idx="216">
                  <c:v>40760</c:v>
                </c:pt>
                <c:pt idx="217">
                  <c:v>40761</c:v>
                </c:pt>
                <c:pt idx="218">
                  <c:v>40762</c:v>
                </c:pt>
                <c:pt idx="219">
                  <c:v>40763</c:v>
                </c:pt>
                <c:pt idx="220">
                  <c:v>40764</c:v>
                </c:pt>
                <c:pt idx="221">
                  <c:v>40765</c:v>
                </c:pt>
                <c:pt idx="222">
                  <c:v>40766</c:v>
                </c:pt>
                <c:pt idx="223">
                  <c:v>40767</c:v>
                </c:pt>
                <c:pt idx="224">
                  <c:v>40768</c:v>
                </c:pt>
                <c:pt idx="225">
                  <c:v>40769</c:v>
                </c:pt>
                <c:pt idx="226">
                  <c:v>40770</c:v>
                </c:pt>
                <c:pt idx="227">
                  <c:v>40771</c:v>
                </c:pt>
                <c:pt idx="228">
                  <c:v>40772</c:v>
                </c:pt>
                <c:pt idx="229">
                  <c:v>40773</c:v>
                </c:pt>
                <c:pt idx="230">
                  <c:v>40774</c:v>
                </c:pt>
                <c:pt idx="231">
                  <c:v>40775</c:v>
                </c:pt>
                <c:pt idx="232">
                  <c:v>40776</c:v>
                </c:pt>
                <c:pt idx="233">
                  <c:v>40777</c:v>
                </c:pt>
                <c:pt idx="234">
                  <c:v>40778</c:v>
                </c:pt>
                <c:pt idx="235">
                  <c:v>40779</c:v>
                </c:pt>
                <c:pt idx="236">
                  <c:v>40780</c:v>
                </c:pt>
                <c:pt idx="237">
                  <c:v>40781</c:v>
                </c:pt>
                <c:pt idx="238">
                  <c:v>40782</c:v>
                </c:pt>
                <c:pt idx="239">
                  <c:v>40783</c:v>
                </c:pt>
                <c:pt idx="240">
                  <c:v>40784</c:v>
                </c:pt>
                <c:pt idx="241">
                  <c:v>40785</c:v>
                </c:pt>
                <c:pt idx="242">
                  <c:v>40786</c:v>
                </c:pt>
                <c:pt idx="243">
                  <c:v>40787</c:v>
                </c:pt>
                <c:pt idx="244">
                  <c:v>40788</c:v>
                </c:pt>
                <c:pt idx="245">
                  <c:v>40789</c:v>
                </c:pt>
                <c:pt idx="246">
                  <c:v>40790</c:v>
                </c:pt>
                <c:pt idx="247">
                  <c:v>40791</c:v>
                </c:pt>
                <c:pt idx="248">
                  <c:v>40792</c:v>
                </c:pt>
                <c:pt idx="249">
                  <c:v>40793</c:v>
                </c:pt>
                <c:pt idx="250">
                  <c:v>40794</c:v>
                </c:pt>
                <c:pt idx="251">
                  <c:v>40795</c:v>
                </c:pt>
                <c:pt idx="252">
                  <c:v>40796</c:v>
                </c:pt>
                <c:pt idx="253">
                  <c:v>40797</c:v>
                </c:pt>
                <c:pt idx="254">
                  <c:v>40798</c:v>
                </c:pt>
                <c:pt idx="255">
                  <c:v>40799</c:v>
                </c:pt>
                <c:pt idx="256">
                  <c:v>40800</c:v>
                </c:pt>
                <c:pt idx="257">
                  <c:v>40801</c:v>
                </c:pt>
                <c:pt idx="258">
                  <c:v>40802</c:v>
                </c:pt>
                <c:pt idx="259">
                  <c:v>40803</c:v>
                </c:pt>
                <c:pt idx="260">
                  <c:v>40804</c:v>
                </c:pt>
                <c:pt idx="261">
                  <c:v>40805</c:v>
                </c:pt>
                <c:pt idx="262">
                  <c:v>40806</c:v>
                </c:pt>
                <c:pt idx="263">
                  <c:v>40807</c:v>
                </c:pt>
                <c:pt idx="264">
                  <c:v>40808</c:v>
                </c:pt>
                <c:pt idx="265">
                  <c:v>40809</c:v>
                </c:pt>
                <c:pt idx="266">
                  <c:v>40810</c:v>
                </c:pt>
                <c:pt idx="267">
                  <c:v>40811</c:v>
                </c:pt>
                <c:pt idx="268">
                  <c:v>40812</c:v>
                </c:pt>
                <c:pt idx="269">
                  <c:v>40813</c:v>
                </c:pt>
                <c:pt idx="270">
                  <c:v>40814</c:v>
                </c:pt>
                <c:pt idx="271">
                  <c:v>40815</c:v>
                </c:pt>
                <c:pt idx="272">
                  <c:v>40816</c:v>
                </c:pt>
                <c:pt idx="273">
                  <c:v>40817</c:v>
                </c:pt>
                <c:pt idx="274">
                  <c:v>40818</c:v>
                </c:pt>
                <c:pt idx="275">
                  <c:v>40819</c:v>
                </c:pt>
                <c:pt idx="276">
                  <c:v>40820</c:v>
                </c:pt>
                <c:pt idx="277">
                  <c:v>40821</c:v>
                </c:pt>
                <c:pt idx="278">
                  <c:v>40822</c:v>
                </c:pt>
                <c:pt idx="279">
                  <c:v>40823</c:v>
                </c:pt>
                <c:pt idx="280">
                  <c:v>40824</c:v>
                </c:pt>
                <c:pt idx="281">
                  <c:v>40825</c:v>
                </c:pt>
                <c:pt idx="282">
                  <c:v>40826</c:v>
                </c:pt>
                <c:pt idx="283">
                  <c:v>40827</c:v>
                </c:pt>
                <c:pt idx="284">
                  <c:v>40828</c:v>
                </c:pt>
                <c:pt idx="285">
                  <c:v>40829</c:v>
                </c:pt>
                <c:pt idx="286">
                  <c:v>40830</c:v>
                </c:pt>
                <c:pt idx="287">
                  <c:v>40831</c:v>
                </c:pt>
                <c:pt idx="288">
                  <c:v>40832</c:v>
                </c:pt>
                <c:pt idx="289">
                  <c:v>40833</c:v>
                </c:pt>
                <c:pt idx="290">
                  <c:v>40834</c:v>
                </c:pt>
                <c:pt idx="291">
                  <c:v>40835</c:v>
                </c:pt>
                <c:pt idx="292">
                  <c:v>40836</c:v>
                </c:pt>
                <c:pt idx="293">
                  <c:v>40837</c:v>
                </c:pt>
                <c:pt idx="294">
                  <c:v>40838</c:v>
                </c:pt>
                <c:pt idx="295">
                  <c:v>40839</c:v>
                </c:pt>
                <c:pt idx="296">
                  <c:v>40840</c:v>
                </c:pt>
                <c:pt idx="297">
                  <c:v>40841</c:v>
                </c:pt>
                <c:pt idx="298">
                  <c:v>40842</c:v>
                </c:pt>
                <c:pt idx="299">
                  <c:v>40843</c:v>
                </c:pt>
                <c:pt idx="300">
                  <c:v>40844</c:v>
                </c:pt>
                <c:pt idx="301">
                  <c:v>40845</c:v>
                </c:pt>
                <c:pt idx="302">
                  <c:v>40846</c:v>
                </c:pt>
                <c:pt idx="303">
                  <c:v>40847</c:v>
                </c:pt>
                <c:pt idx="304">
                  <c:v>40848</c:v>
                </c:pt>
                <c:pt idx="305">
                  <c:v>40849</c:v>
                </c:pt>
                <c:pt idx="306">
                  <c:v>40850</c:v>
                </c:pt>
                <c:pt idx="307">
                  <c:v>40851</c:v>
                </c:pt>
                <c:pt idx="308">
                  <c:v>40852</c:v>
                </c:pt>
                <c:pt idx="309">
                  <c:v>40853</c:v>
                </c:pt>
                <c:pt idx="310">
                  <c:v>40854</c:v>
                </c:pt>
                <c:pt idx="311">
                  <c:v>40855</c:v>
                </c:pt>
                <c:pt idx="312">
                  <c:v>40856</c:v>
                </c:pt>
                <c:pt idx="313">
                  <c:v>40857</c:v>
                </c:pt>
                <c:pt idx="314">
                  <c:v>40858</c:v>
                </c:pt>
                <c:pt idx="315">
                  <c:v>40859</c:v>
                </c:pt>
                <c:pt idx="316">
                  <c:v>40860</c:v>
                </c:pt>
                <c:pt idx="317">
                  <c:v>40861</c:v>
                </c:pt>
                <c:pt idx="318">
                  <c:v>40862</c:v>
                </c:pt>
                <c:pt idx="319">
                  <c:v>40863</c:v>
                </c:pt>
                <c:pt idx="320">
                  <c:v>40864</c:v>
                </c:pt>
                <c:pt idx="321">
                  <c:v>40865</c:v>
                </c:pt>
                <c:pt idx="322">
                  <c:v>40866</c:v>
                </c:pt>
                <c:pt idx="323">
                  <c:v>40867</c:v>
                </c:pt>
                <c:pt idx="324">
                  <c:v>40868</c:v>
                </c:pt>
                <c:pt idx="325">
                  <c:v>40869</c:v>
                </c:pt>
                <c:pt idx="326">
                  <c:v>40870</c:v>
                </c:pt>
                <c:pt idx="327">
                  <c:v>40871</c:v>
                </c:pt>
                <c:pt idx="328">
                  <c:v>40872</c:v>
                </c:pt>
                <c:pt idx="329">
                  <c:v>40873</c:v>
                </c:pt>
                <c:pt idx="330">
                  <c:v>40874</c:v>
                </c:pt>
                <c:pt idx="331">
                  <c:v>40875</c:v>
                </c:pt>
                <c:pt idx="332">
                  <c:v>40876</c:v>
                </c:pt>
                <c:pt idx="333">
                  <c:v>40877</c:v>
                </c:pt>
                <c:pt idx="334">
                  <c:v>40878</c:v>
                </c:pt>
                <c:pt idx="335">
                  <c:v>40879</c:v>
                </c:pt>
                <c:pt idx="336">
                  <c:v>40880</c:v>
                </c:pt>
                <c:pt idx="337">
                  <c:v>40881</c:v>
                </c:pt>
                <c:pt idx="338">
                  <c:v>40882</c:v>
                </c:pt>
                <c:pt idx="339">
                  <c:v>40883</c:v>
                </c:pt>
                <c:pt idx="340">
                  <c:v>40884</c:v>
                </c:pt>
                <c:pt idx="341">
                  <c:v>40885</c:v>
                </c:pt>
                <c:pt idx="342">
                  <c:v>40886</c:v>
                </c:pt>
                <c:pt idx="343">
                  <c:v>40887</c:v>
                </c:pt>
                <c:pt idx="344">
                  <c:v>40888</c:v>
                </c:pt>
                <c:pt idx="345">
                  <c:v>40889</c:v>
                </c:pt>
                <c:pt idx="346">
                  <c:v>40890</c:v>
                </c:pt>
                <c:pt idx="347">
                  <c:v>40891</c:v>
                </c:pt>
                <c:pt idx="348">
                  <c:v>40892</c:v>
                </c:pt>
                <c:pt idx="349">
                  <c:v>40893</c:v>
                </c:pt>
                <c:pt idx="350">
                  <c:v>40894</c:v>
                </c:pt>
                <c:pt idx="351">
                  <c:v>40895</c:v>
                </c:pt>
                <c:pt idx="352">
                  <c:v>40896</c:v>
                </c:pt>
                <c:pt idx="353">
                  <c:v>40897</c:v>
                </c:pt>
                <c:pt idx="354">
                  <c:v>40898</c:v>
                </c:pt>
                <c:pt idx="355">
                  <c:v>40899</c:v>
                </c:pt>
                <c:pt idx="356">
                  <c:v>40900</c:v>
                </c:pt>
                <c:pt idx="357">
                  <c:v>40901</c:v>
                </c:pt>
                <c:pt idx="358">
                  <c:v>40902</c:v>
                </c:pt>
                <c:pt idx="359">
                  <c:v>40903</c:v>
                </c:pt>
                <c:pt idx="360">
                  <c:v>40904</c:v>
                </c:pt>
                <c:pt idx="361">
                  <c:v>40905</c:v>
                </c:pt>
                <c:pt idx="362">
                  <c:v>40906</c:v>
                </c:pt>
                <c:pt idx="363">
                  <c:v>40907</c:v>
                </c:pt>
                <c:pt idx="364">
                  <c:v>40908</c:v>
                </c:pt>
              </c:numCache>
            </c:numRef>
          </c:cat>
          <c:val>
            <c:numRef>
              <c:f>Summary!$Z$12:$Z$376</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2201.1177432131244</c:v>
                </c:pt>
                <c:pt idx="135">
                  <c:v>2500</c:v>
                </c:pt>
                <c:pt idx="136">
                  <c:v>2500</c:v>
                </c:pt>
                <c:pt idx="137">
                  <c:v>2500</c:v>
                </c:pt>
                <c:pt idx="138">
                  <c:v>2500</c:v>
                </c:pt>
                <c:pt idx="139">
                  <c:v>2500</c:v>
                </c:pt>
                <c:pt idx="140">
                  <c:v>2500</c:v>
                </c:pt>
                <c:pt idx="141">
                  <c:v>2500</c:v>
                </c:pt>
                <c:pt idx="142">
                  <c:v>2500</c:v>
                </c:pt>
                <c:pt idx="143">
                  <c:v>2500</c:v>
                </c:pt>
                <c:pt idx="144">
                  <c:v>2500</c:v>
                </c:pt>
                <c:pt idx="145">
                  <c:v>2500</c:v>
                </c:pt>
                <c:pt idx="146">
                  <c:v>2500</c:v>
                </c:pt>
                <c:pt idx="147">
                  <c:v>2500</c:v>
                </c:pt>
                <c:pt idx="148">
                  <c:v>2500</c:v>
                </c:pt>
                <c:pt idx="149">
                  <c:v>2500</c:v>
                </c:pt>
                <c:pt idx="150">
                  <c:v>2500</c:v>
                </c:pt>
                <c:pt idx="151">
                  <c:v>2500</c:v>
                </c:pt>
                <c:pt idx="152">
                  <c:v>2500</c:v>
                </c:pt>
                <c:pt idx="153">
                  <c:v>2500</c:v>
                </c:pt>
                <c:pt idx="154">
                  <c:v>2500</c:v>
                </c:pt>
                <c:pt idx="155">
                  <c:v>2500</c:v>
                </c:pt>
                <c:pt idx="156">
                  <c:v>2500</c:v>
                </c:pt>
                <c:pt idx="157">
                  <c:v>2500</c:v>
                </c:pt>
                <c:pt idx="158">
                  <c:v>2500</c:v>
                </c:pt>
                <c:pt idx="159">
                  <c:v>2500</c:v>
                </c:pt>
                <c:pt idx="160">
                  <c:v>2500</c:v>
                </c:pt>
                <c:pt idx="161">
                  <c:v>2500</c:v>
                </c:pt>
                <c:pt idx="162">
                  <c:v>2500</c:v>
                </c:pt>
                <c:pt idx="163">
                  <c:v>2500</c:v>
                </c:pt>
                <c:pt idx="164">
                  <c:v>2500</c:v>
                </c:pt>
                <c:pt idx="165">
                  <c:v>2500</c:v>
                </c:pt>
                <c:pt idx="166">
                  <c:v>2500</c:v>
                </c:pt>
                <c:pt idx="167">
                  <c:v>2500</c:v>
                </c:pt>
                <c:pt idx="168">
                  <c:v>2500</c:v>
                </c:pt>
                <c:pt idx="169">
                  <c:v>2500</c:v>
                </c:pt>
                <c:pt idx="170">
                  <c:v>2500</c:v>
                </c:pt>
                <c:pt idx="171">
                  <c:v>2500</c:v>
                </c:pt>
                <c:pt idx="172">
                  <c:v>2500</c:v>
                </c:pt>
                <c:pt idx="173">
                  <c:v>2500</c:v>
                </c:pt>
                <c:pt idx="174">
                  <c:v>2500</c:v>
                </c:pt>
                <c:pt idx="175">
                  <c:v>2500</c:v>
                </c:pt>
                <c:pt idx="176">
                  <c:v>2500</c:v>
                </c:pt>
                <c:pt idx="177">
                  <c:v>2500</c:v>
                </c:pt>
                <c:pt idx="178">
                  <c:v>12500</c:v>
                </c:pt>
                <c:pt idx="179">
                  <c:v>12500</c:v>
                </c:pt>
                <c:pt idx="180">
                  <c:v>12500</c:v>
                </c:pt>
                <c:pt idx="181">
                  <c:v>12500</c:v>
                </c:pt>
                <c:pt idx="182">
                  <c:v>12500</c:v>
                </c:pt>
                <c:pt idx="183">
                  <c:v>12500</c:v>
                </c:pt>
                <c:pt idx="184">
                  <c:v>12500</c:v>
                </c:pt>
                <c:pt idx="185">
                  <c:v>12500</c:v>
                </c:pt>
                <c:pt idx="186">
                  <c:v>12500</c:v>
                </c:pt>
                <c:pt idx="187">
                  <c:v>12500</c:v>
                </c:pt>
                <c:pt idx="188">
                  <c:v>12500</c:v>
                </c:pt>
                <c:pt idx="189">
                  <c:v>12487.550000058676</c:v>
                </c:pt>
                <c:pt idx="190">
                  <c:v>12126.080000057194</c:v>
                </c:pt>
                <c:pt idx="191">
                  <c:v>11662.400000056947</c:v>
                </c:pt>
                <c:pt idx="192">
                  <c:v>11259.410000055326</c:v>
                </c:pt>
                <c:pt idx="193">
                  <c:v>11101.280000055242</c:v>
                </c:pt>
                <c:pt idx="194">
                  <c:v>10970.120000055238</c:v>
                </c:pt>
                <c:pt idx="195">
                  <c:v>10757.340000054992</c:v>
                </c:pt>
                <c:pt idx="196">
                  <c:v>10597.310000056234</c:v>
                </c:pt>
                <c:pt idx="197">
                  <c:v>10303.300000054878</c:v>
                </c:pt>
                <c:pt idx="198">
                  <c:v>9983.2800000545358</c:v>
                </c:pt>
                <c:pt idx="199">
                  <c:v>9485.5600000540471</c:v>
                </c:pt>
                <c:pt idx="200">
                  <c:v>9072.6000000526001</c:v>
                </c:pt>
                <c:pt idx="201">
                  <c:v>8671.3000000522734</c:v>
                </c:pt>
                <c:pt idx="202">
                  <c:v>8139.4000000507949</c:v>
                </c:pt>
                <c:pt idx="203">
                  <c:v>7636.5000000503132</c:v>
                </c:pt>
                <c:pt idx="204">
                  <c:v>7117.7300000483156</c:v>
                </c:pt>
                <c:pt idx="205">
                  <c:v>6541.8800000478441</c:v>
                </c:pt>
                <c:pt idx="206">
                  <c:v>6301.1800000463118</c:v>
                </c:pt>
                <c:pt idx="207">
                  <c:v>6285</c:v>
                </c:pt>
                <c:pt idx="208">
                  <c:v>6285</c:v>
                </c:pt>
                <c:pt idx="209">
                  <c:v>6285</c:v>
                </c:pt>
                <c:pt idx="210">
                  <c:v>6285</c:v>
                </c:pt>
                <c:pt idx="211">
                  <c:v>6285</c:v>
                </c:pt>
                <c:pt idx="212">
                  <c:v>6285</c:v>
                </c:pt>
                <c:pt idx="213">
                  <c:v>6285</c:v>
                </c:pt>
                <c:pt idx="214">
                  <c:v>6285</c:v>
                </c:pt>
                <c:pt idx="215">
                  <c:v>6285</c:v>
                </c:pt>
                <c:pt idx="216">
                  <c:v>6285</c:v>
                </c:pt>
                <c:pt idx="217">
                  <c:v>6285</c:v>
                </c:pt>
                <c:pt idx="218">
                  <c:v>6285</c:v>
                </c:pt>
                <c:pt idx="219">
                  <c:v>6285</c:v>
                </c:pt>
                <c:pt idx="220">
                  <c:v>6285</c:v>
                </c:pt>
                <c:pt idx="221">
                  <c:v>6285</c:v>
                </c:pt>
                <c:pt idx="222">
                  <c:v>6285</c:v>
                </c:pt>
                <c:pt idx="223">
                  <c:v>6285</c:v>
                </c:pt>
                <c:pt idx="224">
                  <c:v>6285</c:v>
                </c:pt>
                <c:pt idx="225">
                  <c:v>6285</c:v>
                </c:pt>
                <c:pt idx="226">
                  <c:v>6285</c:v>
                </c:pt>
                <c:pt idx="227">
                  <c:v>6285</c:v>
                </c:pt>
                <c:pt idx="228">
                  <c:v>6285</c:v>
                </c:pt>
                <c:pt idx="229">
                  <c:v>6285</c:v>
                </c:pt>
                <c:pt idx="230">
                  <c:v>6285</c:v>
                </c:pt>
                <c:pt idx="231">
                  <c:v>6285</c:v>
                </c:pt>
                <c:pt idx="232">
                  <c:v>6285</c:v>
                </c:pt>
                <c:pt idx="233">
                  <c:v>6285</c:v>
                </c:pt>
                <c:pt idx="234">
                  <c:v>8785</c:v>
                </c:pt>
                <c:pt idx="235">
                  <c:v>8785</c:v>
                </c:pt>
                <c:pt idx="236">
                  <c:v>8785</c:v>
                </c:pt>
                <c:pt idx="237">
                  <c:v>8785</c:v>
                </c:pt>
                <c:pt idx="238">
                  <c:v>8785</c:v>
                </c:pt>
                <c:pt idx="239">
                  <c:v>8785</c:v>
                </c:pt>
                <c:pt idx="240">
                  <c:v>8785</c:v>
                </c:pt>
                <c:pt idx="241">
                  <c:v>8785</c:v>
                </c:pt>
                <c:pt idx="242">
                  <c:v>8785</c:v>
                </c:pt>
                <c:pt idx="243">
                  <c:v>8785</c:v>
                </c:pt>
                <c:pt idx="244">
                  <c:v>8785</c:v>
                </c:pt>
                <c:pt idx="245">
                  <c:v>8785</c:v>
                </c:pt>
                <c:pt idx="246">
                  <c:v>8785</c:v>
                </c:pt>
                <c:pt idx="247">
                  <c:v>8785</c:v>
                </c:pt>
                <c:pt idx="248">
                  <c:v>10385</c:v>
                </c:pt>
                <c:pt idx="249">
                  <c:v>10385</c:v>
                </c:pt>
                <c:pt idx="250">
                  <c:v>10385</c:v>
                </c:pt>
                <c:pt idx="251">
                  <c:v>10385</c:v>
                </c:pt>
                <c:pt idx="252">
                  <c:v>10385</c:v>
                </c:pt>
                <c:pt idx="253">
                  <c:v>10385</c:v>
                </c:pt>
                <c:pt idx="254">
                  <c:v>10385</c:v>
                </c:pt>
                <c:pt idx="255">
                  <c:v>10385</c:v>
                </c:pt>
                <c:pt idx="256">
                  <c:v>10385</c:v>
                </c:pt>
                <c:pt idx="257">
                  <c:v>10385</c:v>
                </c:pt>
                <c:pt idx="258">
                  <c:v>10385</c:v>
                </c:pt>
                <c:pt idx="259">
                  <c:v>10385</c:v>
                </c:pt>
                <c:pt idx="260">
                  <c:v>10385</c:v>
                </c:pt>
                <c:pt idx="261">
                  <c:v>10385</c:v>
                </c:pt>
                <c:pt idx="262">
                  <c:v>10863.54125</c:v>
                </c:pt>
                <c:pt idx="263">
                  <c:v>10620.623750000001</c:v>
                </c:pt>
                <c:pt idx="264">
                  <c:v>10256.247500000001</c:v>
                </c:pt>
                <c:pt idx="265">
                  <c:v>9770.4125000000022</c:v>
                </c:pt>
                <c:pt idx="266">
                  <c:v>9284.5775000000031</c:v>
                </c:pt>
                <c:pt idx="267">
                  <c:v>8798.7425000000039</c:v>
                </c:pt>
                <c:pt idx="268">
                  <c:v>8312.9075000000048</c:v>
                </c:pt>
                <c:pt idx="269">
                  <c:v>7827.0725000000048</c:v>
                </c:pt>
                <c:pt idx="270">
                  <c:v>7341.2375000000047</c:v>
                </c:pt>
                <c:pt idx="271">
                  <c:v>6855.4025000000047</c:v>
                </c:pt>
                <c:pt idx="272">
                  <c:v>6369.5675000000047</c:v>
                </c:pt>
                <c:pt idx="273">
                  <c:v>5883.7325000000046</c:v>
                </c:pt>
                <c:pt idx="274">
                  <c:v>5397.8975000000046</c:v>
                </c:pt>
                <c:pt idx="275">
                  <c:v>4912.0625000000045</c:v>
                </c:pt>
                <c:pt idx="276">
                  <c:v>5426.2275000000045</c:v>
                </c:pt>
                <c:pt idx="277">
                  <c:v>4841.2425000000048</c:v>
                </c:pt>
                <c:pt idx="278">
                  <c:v>4256.2575000000052</c:v>
                </c:pt>
                <c:pt idx="279">
                  <c:v>3671.272500000005</c:v>
                </c:pt>
                <c:pt idx="280">
                  <c:v>3086.2875000000049</c:v>
                </c:pt>
                <c:pt idx="281">
                  <c:v>2501.3025000000048</c:v>
                </c:pt>
                <c:pt idx="282">
                  <c:v>3016.3175000000047</c:v>
                </c:pt>
                <c:pt idx="283">
                  <c:v>2431.3325000000045</c:v>
                </c:pt>
                <c:pt idx="284">
                  <c:v>1846.3475000000044</c:v>
                </c:pt>
                <c:pt idx="285">
                  <c:v>1261.3625000000043</c:v>
                </c:pt>
                <c:pt idx="286">
                  <c:v>676.37750000000426</c:v>
                </c:pt>
                <c:pt idx="287">
                  <c:v>190.54250000000422</c:v>
                </c:pt>
                <c:pt idx="288">
                  <c:v>-2.3799999995759435E-2</c:v>
                </c:pt>
                <c:pt idx="289">
                  <c:v>-2.3799999995759435E-2</c:v>
                </c:pt>
                <c:pt idx="290">
                  <c:v>339.97620000000427</c:v>
                </c:pt>
                <c:pt idx="291">
                  <c:v>-9.1499999957136424E-3</c:v>
                </c:pt>
                <c:pt idx="292">
                  <c:v>-9.1499999957136424E-3</c:v>
                </c:pt>
                <c:pt idx="293">
                  <c:v>-9.1499999957136424E-3</c:v>
                </c:pt>
                <c:pt idx="294">
                  <c:v>-9.1499999957136424E-3</c:v>
                </c:pt>
                <c:pt idx="295">
                  <c:v>-9.1499999957136424E-3</c:v>
                </c:pt>
                <c:pt idx="296">
                  <c:v>-9.1499999957136424E-3</c:v>
                </c:pt>
                <c:pt idx="297">
                  <c:v>-9.1499999957136424E-3</c:v>
                </c:pt>
                <c:pt idx="298">
                  <c:v>-9.1499999957136424E-3</c:v>
                </c:pt>
                <c:pt idx="299">
                  <c:v>-9.1499999957136424E-3</c:v>
                </c:pt>
                <c:pt idx="300">
                  <c:v>-9.1499999957136424E-3</c:v>
                </c:pt>
                <c:pt idx="301">
                  <c:v>-9.1499999957136424E-3</c:v>
                </c:pt>
                <c:pt idx="302">
                  <c:v>-9.1499999957136424E-3</c:v>
                </c:pt>
                <c:pt idx="303">
                  <c:v>-9.1499999957136424E-3</c:v>
                </c:pt>
                <c:pt idx="304">
                  <c:v>-9.1499999957136424E-3</c:v>
                </c:pt>
                <c:pt idx="305">
                  <c:v>-9.1499999957136424E-3</c:v>
                </c:pt>
                <c:pt idx="306">
                  <c:v>-9.1499999957136424E-3</c:v>
                </c:pt>
                <c:pt idx="307">
                  <c:v>-9.1499999957136424E-3</c:v>
                </c:pt>
                <c:pt idx="308">
                  <c:v>-9.1499999957136424E-3</c:v>
                </c:pt>
                <c:pt idx="309">
                  <c:v>-9.1499999957136424E-3</c:v>
                </c:pt>
                <c:pt idx="310">
                  <c:v>-9.1499999957136424E-3</c:v>
                </c:pt>
                <c:pt idx="311">
                  <c:v>-9.1499999957136424E-3</c:v>
                </c:pt>
                <c:pt idx="312">
                  <c:v>-9.1499999957136424E-3</c:v>
                </c:pt>
                <c:pt idx="313">
                  <c:v>-9.1499999957136424E-3</c:v>
                </c:pt>
                <c:pt idx="314">
                  <c:v>-9.1499999957136424E-3</c:v>
                </c:pt>
                <c:pt idx="315">
                  <c:v>-9.1499999957136424E-3</c:v>
                </c:pt>
                <c:pt idx="316">
                  <c:v>-9.1499999957136424E-3</c:v>
                </c:pt>
                <c:pt idx="317">
                  <c:v>-9.1499999957136424E-3</c:v>
                </c:pt>
                <c:pt idx="318">
                  <c:v>-9.1499999957136424E-3</c:v>
                </c:pt>
                <c:pt idx="319">
                  <c:v>-9.1499999957136424E-3</c:v>
                </c:pt>
                <c:pt idx="320">
                  <c:v>-9.1499999957136424E-3</c:v>
                </c:pt>
                <c:pt idx="321">
                  <c:v>-9.1499999957136424E-3</c:v>
                </c:pt>
                <c:pt idx="322">
                  <c:v>-9.1499999957136424E-3</c:v>
                </c:pt>
                <c:pt idx="323">
                  <c:v>-9.1499999957136424E-3</c:v>
                </c:pt>
                <c:pt idx="324">
                  <c:v>-9.1499999957136424E-3</c:v>
                </c:pt>
                <c:pt idx="325">
                  <c:v>-9.1499999957136424E-3</c:v>
                </c:pt>
                <c:pt idx="326">
                  <c:v>-9.1499999957136424E-3</c:v>
                </c:pt>
                <c:pt idx="327">
                  <c:v>-9.1499999957136424E-3</c:v>
                </c:pt>
                <c:pt idx="328">
                  <c:v>-9.1499999957136424E-3</c:v>
                </c:pt>
                <c:pt idx="329">
                  <c:v>-9.1499999957136424E-3</c:v>
                </c:pt>
                <c:pt idx="330">
                  <c:v>-9.1499999957136424E-3</c:v>
                </c:pt>
                <c:pt idx="331">
                  <c:v>-9.1499999957136424E-3</c:v>
                </c:pt>
                <c:pt idx="332">
                  <c:v>-9.1499999957136424E-3</c:v>
                </c:pt>
                <c:pt idx="333">
                  <c:v>-9.1499999957136424E-3</c:v>
                </c:pt>
                <c:pt idx="334">
                  <c:v>-9.1499999957136424E-3</c:v>
                </c:pt>
                <c:pt idx="335">
                  <c:v>-9.1499999957136424E-3</c:v>
                </c:pt>
                <c:pt idx="336">
                  <c:v>-9.1499999957136424E-3</c:v>
                </c:pt>
                <c:pt idx="337">
                  <c:v>-9.1499999957136424E-3</c:v>
                </c:pt>
                <c:pt idx="338">
                  <c:v>-9.1499999957136424E-3</c:v>
                </c:pt>
                <c:pt idx="339">
                  <c:v>-9.1499999957136424E-3</c:v>
                </c:pt>
                <c:pt idx="340">
                  <c:v>-9.1499999957136424E-3</c:v>
                </c:pt>
                <c:pt idx="341">
                  <c:v>-9.1499999957136424E-3</c:v>
                </c:pt>
                <c:pt idx="342">
                  <c:v>-9.1499999957136424E-3</c:v>
                </c:pt>
                <c:pt idx="343">
                  <c:v>-9.1499999957136424E-3</c:v>
                </c:pt>
                <c:pt idx="344">
                  <c:v>-9.1499999957136424E-3</c:v>
                </c:pt>
                <c:pt idx="345">
                  <c:v>-9.1499999957136424E-3</c:v>
                </c:pt>
                <c:pt idx="346">
                  <c:v>-9.1499999957136424E-3</c:v>
                </c:pt>
                <c:pt idx="347">
                  <c:v>-9.1499999957136424E-3</c:v>
                </c:pt>
                <c:pt idx="348">
                  <c:v>-9.1499999957136424E-3</c:v>
                </c:pt>
                <c:pt idx="349">
                  <c:v>-9.1499999957136424E-3</c:v>
                </c:pt>
                <c:pt idx="350">
                  <c:v>-9.1499999957136424E-3</c:v>
                </c:pt>
                <c:pt idx="351">
                  <c:v>-9.1499999957136424E-3</c:v>
                </c:pt>
                <c:pt idx="352">
                  <c:v>-9.1499999957136424E-3</c:v>
                </c:pt>
                <c:pt idx="353">
                  <c:v>-9.1499999957136424E-3</c:v>
                </c:pt>
                <c:pt idx="354">
                  <c:v>-9.1499999957136424E-3</c:v>
                </c:pt>
                <c:pt idx="355">
                  <c:v>-9.1499999957136424E-3</c:v>
                </c:pt>
                <c:pt idx="356">
                  <c:v>-9.1499999957136424E-3</c:v>
                </c:pt>
                <c:pt idx="357">
                  <c:v>-9.1499999957136424E-3</c:v>
                </c:pt>
                <c:pt idx="358">
                  <c:v>-9.1499999957136424E-3</c:v>
                </c:pt>
                <c:pt idx="359">
                  <c:v>-9.1499999957136424E-3</c:v>
                </c:pt>
                <c:pt idx="360">
                  <c:v>-9.1499999957136424E-3</c:v>
                </c:pt>
                <c:pt idx="361">
                  <c:v>-9.1499999957136424E-3</c:v>
                </c:pt>
                <c:pt idx="362">
                  <c:v>-9.1499999957136424E-3</c:v>
                </c:pt>
                <c:pt idx="363">
                  <c:v>-9.1499999957136424E-3</c:v>
                </c:pt>
                <c:pt idx="364">
                  <c:v>-9.1499999957136424E-3</c:v>
                </c:pt>
              </c:numCache>
            </c:numRef>
          </c:val>
        </c:ser>
        <c:marker val="1"/>
        <c:axId val="101439360"/>
        <c:axId val="101440896"/>
      </c:lineChart>
      <c:catAx>
        <c:axId val="101439360"/>
        <c:scaling>
          <c:orientation val="minMax"/>
        </c:scaling>
        <c:axPos val="b"/>
        <c:numFmt formatCode="[$-409]d\-mmm;@" sourceLinked="0"/>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01440896"/>
        <c:crossesAt val="-1"/>
        <c:auto val="1"/>
        <c:lblAlgn val="ctr"/>
        <c:lblOffset val="100"/>
        <c:tickLblSkip val="12"/>
        <c:tickMarkSkip val="1"/>
      </c:catAx>
      <c:valAx>
        <c:axId val="101440896"/>
        <c:scaling>
          <c:orientation val="minMax"/>
          <c:max val="18000"/>
          <c:min val="0"/>
        </c:scaling>
        <c:axPos val="l"/>
        <c:majorGridlines>
          <c:spPr>
            <a:ln w="3175">
              <a:solidFill>
                <a:srgbClr val="C0C0C0"/>
              </a:solidFill>
              <a:prstDash val="sysDash"/>
            </a:ln>
          </c:spPr>
        </c:majorGridlines>
        <c:title>
          <c:tx>
            <c:rich>
              <a:bodyPr/>
              <a:lstStyle/>
              <a:p>
                <a:pPr>
                  <a:defRPr sz="1000" b="0" i="0" u="none" strike="noStrike" baseline="0">
                    <a:solidFill>
                      <a:srgbClr val="000000"/>
                    </a:solidFill>
                    <a:latin typeface="Arial"/>
                    <a:ea typeface="Arial"/>
                    <a:cs typeface="Arial"/>
                  </a:defRPr>
                </a:pPr>
                <a:r>
                  <a:rPr lang="en-US"/>
                  <a:t>Storage (AF)</a:t>
                </a:r>
              </a:p>
            </c:rich>
          </c:tx>
          <c:layout>
            <c:manualLayout>
              <c:xMode val="edge"/>
              <c:yMode val="edge"/>
              <c:x val="2.0067240758784802E-2"/>
              <c:y val="0.39747944873231938"/>
            </c:manualLayout>
          </c:layout>
          <c:spPr>
            <a:noFill/>
            <a:ln w="25400">
              <a:noFill/>
            </a:ln>
          </c:spPr>
        </c:title>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01439360"/>
        <c:crosses val="autoZero"/>
        <c:crossBetween val="between"/>
        <c:majorUnit val="1000"/>
        <c:minorUnit val="500"/>
      </c:valAx>
      <c:spPr>
        <a:noFill/>
        <a:ln w="12700">
          <a:solidFill>
            <a:srgbClr val="808080"/>
          </a:solidFill>
          <a:prstDash val="solid"/>
        </a:ln>
      </c:spPr>
    </c:plotArea>
    <c:legend>
      <c:legendPos val="r"/>
      <c:layout>
        <c:manualLayout>
          <c:xMode val="edge"/>
          <c:yMode val="edge"/>
          <c:x val="0.14975845410638974"/>
          <c:y val="0.14026402640264041"/>
          <c:w val="0.31878112225938382"/>
          <c:h val="0.29163656523132908"/>
        </c:manualLayout>
      </c:layout>
      <c:spPr>
        <a:solidFill>
          <a:schemeClr val="bg1"/>
        </a:solidFill>
        <a:ln>
          <a:solidFill>
            <a:srgbClr val="000000"/>
          </a:solidFill>
        </a:ln>
      </c:spPr>
      <c:txPr>
        <a:bodyPr/>
        <a:lstStyle/>
        <a:p>
          <a:pPr>
            <a:defRPr sz="1050" b="0" i="0" u="none" strike="noStrike" baseline="0">
              <a:solidFill>
                <a:srgbClr val="000000"/>
              </a:solidFill>
              <a:latin typeface="Calibri"/>
              <a:ea typeface="Calibri"/>
              <a:cs typeface="Calibri"/>
            </a:defRPr>
          </a:pPr>
          <a:endParaRPr lang="en-US"/>
        </a:p>
      </c:txPr>
    </c:legend>
    <c:plotVisOnly val="1"/>
    <c:dispBlanksAs val="gap"/>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sheet1.xml><?xml version="1.0" encoding="utf-8"?>
<chartsheet xmlns="http://schemas.openxmlformats.org/spreadsheetml/2006/main" xmlns:r="http://schemas.openxmlformats.org/officeDocument/2006/relationships">
  <sheetPr codeName="Chart1"/>
  <sheetViews>
    <sheetView zoomScale="80" workbookViewId="0"/>
  </sheetViews>
  <pageMargins left="0" right="0" top="0" bottom="0"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2"/>
  <sheetViews>
    <sheetView zoomScale="120"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3"/>
  <sheetViews>
    <sheetView workbookViewId="0"/>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23813" y="7937"/>
    <xdr:ext cx="9572625" cy="73437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543925" cy="57721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543925" cy="57721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201\wtr-8am.rpt\REPORT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XXXXXX"/>
      <sheetName val="STORAGE 2009"/>
      <sheetName val="Partner Storage"/>
      <sheetName val="Summary"/>
      <sheetName val="Tacoma (JAN-JUNE)"/>
      <sheetName val="SSP a (JAN-JUNE)"/>
      <sheetName val="SSP b (JAN-JUNE)"/>
      <sheetName val="Tacoma (JULY-DEC)"/>
      <sheetName val="SSP a (JULY-DEC)"/>
      <sheetName val="SSP b (JULY-DEC)"/>
      <sheetName val="JAN"/>
      <sheetName val="FEB"/>
      <sheetName val="MARCH"/>
      <sheetName val="APRIL"/>
      <sheetName val="MAY"/>
      <sheetName val="JUNE"/>
      <sheetName val="JULY"/>
      <sheetName val="AUG"/>
      <sheetName val="SEPT"/>
      <sheetName val="OCT"/>
      <sheetName val="NOV"/>
      <sheetName val="DEC"/>
      <sheetName val="Annual Production Report"/>
      <sheetName val="HHD Capacity Table"/>
      <sheetName val="lookup"/>
      <sheetName val="WORK SHEET"/>
      <sheetName val="Worksheet 2"/>
    </sheetNames>
    <sheetDataSet>
      <sheetData sheetId="0"/>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G3">
            <v>1050</v>
          </cell>
          <cell r="H3">
            <v>64</v>
          </cell>
          <cell r="I3">
            <v>1050.0999999999999</v>
          </cell>
          <cell r="J3">
            <v>66</v>
          </cell>
        </row>
        <row r="4">
          <cell r="G4">
            <v>1050.0999999999999</v>
          </cell>
          <cell r="H4">
            <v>66</v>
          </cell>
          <cell r="I4">
            <v>1050.2</v>
          </cell>
          <cell r="J4">
            <v>68</v>
          </cell>
        </row>
        <row r="5">
          <cell r="G5">
            <v>1050.2</v>
          </cell>
          <cell r="H5">
            <v>68</v>
          </cell>
          <cell r="I5">
            <v>1050.3</v>
          </cell>
          <cell r="J5">
            <v>70</v>
          </cell>
        </row>
        <row r="6">
          <cell r="G6">
            <v>1050.3</v>
          </cell>
          <cell r="H6">
            <v>70</v>
          </cell>
          <cell r="I6">
            <v>1050.4000000000001</v>
          </cell>
          <cell r="J6">
            <v>72</v>
          </cell>
        </row>
        <row r="7">
          <cell r="G7">
            <v>1050.4000000000001</v>
          </cell>
          <cell r="H7">
            <v>72</v>
          </cell>
          <cell r="I7">
            <v>1050.5</v>
          </cell>
          <cell r="J7">
            <v>74</v>
          </cell>
        </row>
        <row r="8">
          <cell r="G8">
            <v>1050.5</v>
          </cell>
          <cell r="H8">
            <v>74</v>
          </cell>
          <cell r="I8">
            <v>1050.5999999999999</v>
          </cell>
          <cell r="J8">
            <v>76</v>
          </cell>
        </row>
        <row r="9">
          <cell r="G9">
            <v>1050.5999999999999</v>
          </cell>
          <cell r="H9">
            <v>76</v>
          </cell>
          <cell r="I9">
            <v>1050.7</v>
          </cell>
          <cell r="J9">
            <v>78</v>
          </cell>
        </row>
        <row r="10">
          <cell r="G10">
            <v>1050.7</v>
          </cell>
          <cell r="H10">
            <v>78</v>
          </cell>
          <cell r="I10">
            <v>1050.8</v>
          </cell>
          <cell r="J10">
            <v>80</v>
          </cell>
        </row>
        <row r="11">
          <cell r="G11">
            <v>1050.8</v>
          </cell>
          <cell r="H11">
            <v>80</v>
          </cell>
          <cell r="I11">
            <v>1050.9000000000001</v>
          </cell>
          <cell r="J11">
            <v>82</v>
          </cell>
        </row>
        <row r="12">
          <cell r="G12">
            <v>1050.9000000000001</v>
          </cell>
          <cell r="H12">
            <v>82</v>
          </cell>
          <cell r="I12">
            <v>1051</v>
          </cell>
          <cell r="J12">
            <v>84</v>
          </cell>
        </row>
        <row r="13">
          <cell r="G13">
            <v>1051</v>
          </cell>
          <cell r="H13">
            <v>84</v>
          </cell>
          <cell r="I13">
            <v>1051.0999999999999</v>
          </cell>
          <cell r="J13">
            <v>86.2</v>
          </cell>
        </row>
        <row r="14">
          <cell r="G14">
            <v>1051.0999999999999</v>
          </cell>
          <cell r="H14">
            <v>86.2</v>
          </cell>
          <cell r="I14">
            <v>1051.2</v>
          </cell>
          <cell r="J14">
            <v>88.4</v>
          </cell>
        </row>
        <row r="15">
          <cell r="G15">
            <v>1051.2</v>
          </cell>
          <cell r="H15">
            <v>88.4</v>
          </cell>
          <cell r="I15">
            <v>1051.3</v>
          </cell>
          <cell r="J15">
            <v>90.6</v>
          </cell>
        </row>
        <row r="16">
          <cell r="G16">
            <v>1051.3</v>
          </cell>
          <cell r="H16">
            <v>90.6</v>
          </cell>
          <cell r="I16">
            <v>1051.4000000000001</v>
          </cell>
          <cell r="J16">
            <v>92.8</v>
          </cell>
        </row>
        <row r="17">
          <cell r="G17">
            <v>1051.4000000000001</v>
          </cell>
          <cell r="H17">
            <v>92.8</v>
          </cell>
          <cell r="I17">
            <v>1051.5</v>
          </cell>
          <cell r="J17">
            <v>95</v>
          </cell>
        </row>
        <row r="18">
          <cell r="G18">
            <v>1051.5</v>
          </cell>
          <cell r="H18">
            <v>95</v>
          </cell>
          <cell r="I18">
            <v>1051.5999999999999</v>
          </cell>
          <cell r="J18">
            <v>97.2</v>
          </cell>
        </row>
        <row r="19">
          <cell r="G19">
            <v>1051.5999999999999</v>
          </cell>
          <cell r="H19">
            <v>97.2</v>
          </cell>
          <cell r="I19">
            <v>1051.7</v>
          </cell>
          <cell r="J19">
            <v>99.4</v>
          </cell>
        </row>
        <row r="20">
          <cell r="G20">
            <v>1051.7</v>
          </cell>
          <cell r="H20">
            <v>99.4</v>
          </cell>
          <cell r="I20">
            <v>1051.8</v>
          </cell>
          <cell r="J20">
            <v>101.6</v>
          </cell>
        </row>
        <row r="21">
          <cell r="G21">
            <v>1051.8</v>
          </cell>
          <cell r="H21">
            <v>101.6</v>
          </cell>
          <cell r="I21">
            <v>1051.9000000000001</v>
          </cell>
          <cell r="J21">
            <v>103.8</v>
          </cell>
        </row>
        <row r="22">
          <cell r="G22">
            <v>1051.9000000000001</v>
          </cell>
          <cell r="H22">
            <v>103.8</v>
          </cell>
          <cell r="I22">
            <v>1052</v>
          </cell>
          <cell r="J22">
            <v>106</v>
          </cell>
        </row>
        <row r="23">
          <cell r="G23">
            <v>1052</v>
          </cell>
          <cell r="H23">
            <v>106</v>
          </cell>
          <cell r="I23">
            <v>1052.0999999999999</v>
          </cell>
          <cell r="J23">
            <v>108.7</v>
          </cell>
        </row>
        <row r="24">
          <cell r="G24">
            <v>1052.0999999999999</v>
          </cell>
          <cell r="H24">
            <v>108.7</v>
          </cell>
          <cell r="I24">
            <v>1052.2</v>
          </cell>
          <cell r="J24">
            <v>111.4</v>
          </cell>
        </row>
        <row r="25">
          <cell r="G25">
            <v>1052.2</v>
          </cell>
          <cell r="H25">
            <v>111.4</v>
          </cell>
          <cell r="I25">
            <v>1052.3</v>
          </cell>
          <cell r="J25">
            <v>114.1</v>
          </cell>
        </row>
        <row r="26">
          <cell r="G26">
            <v>1052.3</v>
          </cell>
          <cell r="H26">
            <v>114.1</v>
          </cell>
          <cell r="I26">
            <v>1052.4000000000001</v>
          </cell>
          <cell r="J26">
            <v>116.8</v>
          </cell>
        </row>
        <row r="27">
          <cell r="G27">
            <v>1052.4000000000001</v>
          </cell>
          <cell r="H27">
            <v>116.8</v>
          </cell>
          <cell r="I27">
            <v>1052.5</v>
          </cell>
          <cell r="J27">
            <v>119.5</v>
          </cell>
        </row>
        <row r="28">
          <cell r="G28">
            <v>1052.5</v>
          </cell>
          <cell r="H28">
            <v>119.5</v>
          </cell>
          <cell r="I28">
            <v>1052.5999999999999</v>
          </cell>
          <cell r="J28">
            <v>122.2</v>
          </cell>
        </row>
        <row r="29">
          <cell r="G29">
            <v>1052.5999999999999</v>
          </cell>
          <cell r="H29">
            <v>122.2</v>
          </cell>
          <cell r="I29">
            <v>1052.7</v>
          </cell>
          <cell r="J29">
            <v>124.9</v>
          </cell>
        </row>
        <row r="30">
          <cell r="G30">
            <v>1052.7</v>
          </cell>
          <cell r="H30">
            <v>124.9</v>
          </cell>
          <cell r="I30">
            <v>1052.8</v>
          </cell>
          <cell r="J30">
            <v>127.6</v>
          </cell>
        </row>
        <row r="31">
          <cell r="G31">
            <v>1052.8</v>
          </cell>
          <cell r="H31">
            <v>127.6</v>
          </cell>
          <cell r="I31">
            <v>1052.9000000000001</v>
          </cell>
          <cell r="J31">
            <v>130.30000000000001</v>
          </cell>
        </row>
        <row r="32">
          <cell r="G32">
            <v>1052.9000000000001</v>
          </cell>
          <cell r="H32">
            <v>130.30000000000001</v>
          </cell>
          <cell r="I32">
            <v>1053</v>
          </cell>
          <cell r="J32">
            <v>133</v>
          </cell>
        </row>
        <row r="33">
          <cell r="G33">
            <v>1053</v>
          </cell>
          <cell r="H33">
            <v>133</v>
          </cell>
          <cell r="I33">
            <v>1053.0999999999999</v>
          </cell>
          <cell r="J33">
            <v>135.9</v>
          </cell>
        </row>
        <row r="34">
          <cell r="G34">
            <v>1053.0999999999999</v>
          </cell>
          <cell r="H34">
            <v>135.9</v>
          </cell>
          <cell r="I34">
            <v>1053.2</v>
          </cell>
          <cell r="J34">
            <v>138.80000000000001</v>
          </cell>
        </row>
        <row r="35">
          <cell r="G35">
            <v>1053.2</v>
          </cell>
          <cell r="H35">
            <v>138.80000000000001</v>
          </cell>
          <cell r="I35">
            <v>1053.3</v>
          </cell>
          <cell r="J35">
            <v>141.69999999999999</v>
          </cell>
        </row>
        <row r="36">
          <cell r="G36">
            <v>1053.3</v>
          </cell>
          <cell r="H36">
            <v>141.69999999999999</v>
          </cell>
          <cell r="I36">
            <v>1053.4000000000001</v>
          </cell>
          <cell r="J36">
            <v>144.6</v>
          </cell>
        </row>
        <row r="37">
          <cell r="G37">
            <v>1053.4000000000001</v>
          </cell>
          <cell r="H37">
            <v>144.6</v>
          </cell>
          <cell r="I37">
            <v>1053.5</v>
          </cell>
          <cell r="J37">
            <v>147.5</v>
          </cell>
        </row>
        <row r="38">
          <cell r="G38">
            <v>1053.5</v>
          </cell>
          <cell r="H38">
            <v>147.5</v>
          </cell>
          <cell r="I38">
            <v>1053.5999999999999</v>
          </cell>
          <cell r="J38">
            <v>150.4</v>
          </cell>
        </row>
        <row r="39">
          <cell r="G39">
            <v>1053.5999999999999</v>
          </cell>
          <cell r="H39">
            <v>150.4</v>
          </cell>
          <cell r="I39">
            <v>1053.7</v>
          </cell>
          <cell r="J39">
            <v>153.30000000000001</v>
          </cell>
        </row>
        <row r="40">
          <cell r="G40">
            <v>1053.7</v>
          </cell>
          <cell r="H40">
            <v>153.30000000000001</v>
          </cell>
          <cell r="I40">
            <v>1053.8</v>
          </cell>
          <cell r="J40">
            <v>156.19999999999999</v>
          </cell>
        </row>
        <row r="41">
          <cell r="G41">
            <v>1053.8</v>
          </cell>
          <cell r="H41">
            <v>156.19999999999999</v>
          </cell>
          <cell r="I41">
            <v>1053.9000000000001</v>
          </cell>
          <cell r="J41">
            <v>159.1</v>
          </cell>
        </row>
        <row r="42">
          <cell r="G42">
            <v>1053.9000000000001</v>
          </cell>
          <cell r="H42">
            <v>159.1</v>
          </cell>
          <cell r="I42">
            <v>1054</v>
          </cell>
          <cell r="J42">
            <v>162</v>
          </cell>
        </row>
        <row r="43">
          <cell r="G43">
            <v>1054</v>
          </cell>
          <cell r="H43">
            <v>162</v>
          </cell>
          <cell r="I43">
            <v>1054.0999999999999</v>
          </cell>
          <cell r="J43">
            <v>165.9</v>
          </cell>
        </row>
        <row r="44">
          <cell r="G44">
            <v>1054.0999999999999</v>
          </cell>
          <cell r="H44">
            <v>165.9</v>
          </cell>
          <cell r="I44">
            <v>1054.2</v>
          </cell>
          <cell r="J44">
            <v>169.8</v>
          </cell>
        </row>
        <row r="45">
          <cell r="G45">
            <v>1054.2</v>
          </cell>
          <cell r="H45">
            <v>169.8</v>
          </cell>
          <cell r="I45">
            <v>1054.3</v>
          </cell>
          <cell r="J45">
            <v>173.7</v>
          </cell>
        </row>
        <row r="46">
          <cell r="G46">
            <v>1054.3</v>
          </cell>
          <cell r="H46">
            <v>173.7</v>
          </cell>
          <cell r="I46">
            <v>1054.4000000000001</v>
          </cell>
          <cell r="J46">
            <v>177.6</v>
          </cell>
        </row>
        <row r="47">
          <cell r="G47">
            <v>1054.4000000000001</v>
          </cell>
          <cell r="H47">
            <v>177.6</v>
          </cell>
          <cell r="I47">
            <v>1054.5</v>
          </cell>
          <cell r="J47">
            <v>181.5</v>
          </cell>
        </row>
        <row r="48">
          <cell r="G48">
            <v>1054.5</v>
          </cell>
          <cell r="H48">
            <v>181.5</v>
          </cell>
          <cell r="I48">
            <v>1054.5999999999999</v>
          </cell>
          <cell r="J48">
            <v>185.4</v>
          </cell>
        </row>
        <row r="49">
          <cell r="G49">
            <v>1054.5999999999999</v>
          </cell>
          <cell r="H49">
            <v>185.4</v>
          </cell>
          <cell r="I49">
            <v>1054.7</v>
          </cell>
          <cell r="J49">
            <v>189.3</v>
          </cell>
        </row>
        <row r="50">
          <cell r="G50">
            <v>1054.7</v>
          </cell>
          <cell r="H50">
            <v>189.3</v>
          </cell>
          <cell r="I50">
            <v>1054.8</v>
          </cell>
          <cell r="J50">
            <v>193.2</v>
          </cell>
        </row>
        <row r="51">
          <cell r="G51">
            <v>1054.8</v>
          </cell>
          <cell r="H51">
            <v>193.2</v>
          </cell>
          <cell r="I51">
            <v>1054.9000000000001</v>
          </cell>
          <cell r="J51">
            <v>197.1</v>
          </cell>
        </row>
        <row r="52">
          <cell r="G52">
            <v>1054.9000000000001</v>
          </cell>
          <cell r="H52">
            <v>197.1</v>
          </cell>
          <cell r="I52">
            <v>1055</v>
          </cell>
          <cell r="J52">
            <v>201</v>
          </cell>
        </row>
        <row r="53">
          <cell r="G53">
            <v>1055</v>
          </cell>
          <cell r="H53">
            <v>201</v>
          </cell>
          <cell r="I53">
            <v>1055.0999999999999</v>
          </cell>
          <cell r="J53">
            <v>204.8</v>
          </cell>
        </row>
        <row r="54">
          <cell r="G54">
            <v>1055.0999999999999</v>
          </cell>
          <cell r="H54">
            <v>204.8</v>
          </cell>
          <cell r="I54">
            <v>1055.2</v>
          </cell>
          <cell r="J54">
            <v>208.6</v>
          </cell>
        </row>
        <row r="55">
          <cell r="G55">
            <v>1055.2</v>
          </cell>
          <cell r="H55">
            <v>208.6</v>
          </cell>
          <cell r="I55">
            <v>1055.3</v>
          </cell>
          <cell r="J55">
            <v>212.4</v>
          </cell>
        </row>
        <row r="56">
          <cell r="G56">
            <v>1055.3</v>
          </cell>
          <cell r="H56">
            <v>212.4</v>
          </cell>
          <cell r="I56">
            <v>1055.4000000000001</v>
          </cell>
          <cell r="J56">
            <v>216.2</v>
          </cell>
        </row>
        <row r="57">
          <cell r="G57">
            <v>1055.4000000000001</v>
          </cell>
          <cell r="H57">
            <v>216.2</v>
          </cell>
          <cell r="I57">
            <v>1055.5</v>
          </cell>
          <cell r="J57">
            <v>220</v>
          </cell>
        </row>
        <row r="58">
          <cell r="G58">
            <v>1055.5</v>
          </cell>
          <cell r="H58">
            <v>220</v>
          </cell>
          <cell r="I58">
            <v>1055.5999999999999</v>
          </cell>
          <cell r="J58">
            <v>223.8</v>
          </cell>
        </row>
        <row r="59">
          <cell r="G59">
            <v>1055.5999999999999</v>
          </cell>
          <cell r="H59">
            <v>223.8</v>
          </cell>
          <cell r="I59">
            <v>1055.7</v>
          </cell>
          <cell r="J59">
            <v>227.6</v>
          </cell>
        </row>
        <row r="60">
          <cell r="G60">
            <v>1055.7</v>
          </cell>
          <cell r="H60">
            <v>227.6</v>
          </cell>
          <cell r="I60">
            <v>1055.8</v>
          </cell>
          <cell r="J60">
            <v>231.4</v>
          </cell>
        </row>
        <row r="61">
          <cell r="G61">
            <v>1055.8</v>
          </cell>
          <cell r="H61">
            <v>231.4</v>
          </cell>
          <cell r="I61">
            <v>1055.9000000000001</v>
          </cell>
          <cell r="J61">
            <v>235.2</v>
          </cell>
        </row>
        <row r="62">
          <cell r="G62">
            <v>1055.9000000000001</v>
          </cell>
          <cell r="H62">
            <v>235.2</v>
          </cell>
          <cell r="I62">
            <v>1056</v>
          </cell>
          <cell r="J62">
            <v>239</v>
          </cell>
        </row>
        <row r="63">
          <cell r="G63">
            <v>1056</v>
          </cell>
          <cell r="H63">
            <v>239</v>
          </cell>
          <cell r="I63">
            <v>1056.0999999999999</v>
          </cell>
          <cell r="J63">
            <v>244.1</v>
          </cell>
        </row>
        <row r="64">
          <cell r="G64">
            <v>1056.0999999999999</v>
          </cell>
          <cell r="H64">
            <v>244.1</v>
          </cell>
          <cell r="I64">
            <v>1056.2</v>
          </cell>
          <cell r="J64">
            <v>249.2</v>
          </cell>
        </row>
        <row r="65">
          <cell r="G65">
            <v>1056.2</v>
          </cell>
          <cell r="H65">
            <v>249.2</v>
          </cell>
          <cell r="I65">
            <v>1056.3</v>
          </cell>
          <cell r="J65">
            <v>254.3</v>
          </cell>
        </row>
        <row r="66">
          <cell r="G66">
            <v>1056.3</v>
          </cell>
          <cell r="H66">
            <v>254.3</v>
          </cell>
          <cell r="I66">
            <v>1056.4000000000001</v>
          </cell>
          <cell r="J66">
            <v>259.39999999999998</v>
          </cell>
        </row>
        <row r="67">
          <cell r="G67">
            <v>1056.4000000000001</v>
          </cell>
          <cell r="H67">
            <v>259.39999999999998</v>
          </cell>
          <cell r="I67">
            <v>1056.5</v>
          </cell>
          <cell r="J67">
            <v>264.5</v>
          </cell>
        </row>
        <row r="68">
          <cell r="G68">
            <v>1056.5</v>
          </cell>
          <cell r="H68">
            <v>264.5</v>
          </cell>
          <cell r="I68">
            <v>1056.5999999999999</v>
          </cell>
          <cell r="J68">
            <v>269.60000000000002</v>
          </cell>
        </row>
        <row r="69">
          <cell r="G69">
            <v>1056.5999999999999</v>
          </cell>
          <cell r="H69">
            <v>269.60000000000002</v>
          </cell>
          <cell r="I69">
            <v>1056.7</v>
          </cell>
          <cell r="J69">
            <v>274.7</v>
          </cell>
        </row>
        <row r="70">
          <cell r="G70">
            <v>1056.7</v>
          </cell>
          <cell r="H70">
            <v>274.7</v>
          </cell>
          <cell r="I70">
            <v>1056.8</v>
          </cell>
          <cell r="J70">
            <v>279.8</v>
          </cell>
        </row>
        <row r="71">
          <cell r="G71">
            <v>1056.8</v>
          </cell>
          <cell r="H71">
            <v>279.8</v>
          </cell>
          <cell r="I71">
            <v>1056.9000000000001</v>
          </cell>
          <cell r="J71">
            <v>284.89999999999998</v>
          </cell>
        </row>
        <row r="72">
          <cell r="G72">
            <v>1056.9000000000001</v>
          </cell>
          <cell r="H72">
            <v>284.89999999999998</v>
          </cell>
          <cell r="I72">
            <v>1057</v>
          </cell>
          <cell r="J72">
            <v>290</v>
          </cell>
        </row>
        <row r="73">
          <cell r="G73">
            <v>1057</v>
          </cell>
          <cell r="H73">
            <v>290</v>
          </cell>
          <cell r="I73">
            <v>1057.0999999999999</v>
          </cell>
          <cell r="J73">
            <v>294</v>
          </cell>
        </row>
        <row r="74">
          <cell r="G74">
            <v>1057.0999999999999</v>
          </cell>
          <cell r="H74">
            <v>294</v>
          </cell>
          <cell r="I74">
            <v>1057.2</v>
          </cell>
          <cell r="J74">
            <v>298</v>
          </cell>
        </row>
        <row r="75">
          <cell r="G75">
            <v>1057.2</v>
          </cell>
          <cell r="H75">
            <v>298</v>
          </cell>
          <cell r="I75">
            <v>1057.3</v>
          </cell>
          <cell r="J75">
            <v>302</v>
          </cell>
        </row>
        <row r="76">
          <cell r="G76">
            <v>1057.3</v>
          </cell>
          <cell r="H76">
            <v>302</v>
          </cell>
          <cell r="I76">
            <v>1057.4000000000001</v>
          </cell>
          <cell r="J76">
            <v>306</v>
          </cell>
        </row>
        <row r="77">
          <cell r="G77">
            <v>1057.4000000000001</v>
          </cell>
          <cell r="H77">
            <v>306</v>
          </cell>
          <cell r="I77">
            <v>1057.5</v>
          </cell>
          <cell r="J77">
            <v>310</v>
          </cell>
        </row>
        <row r="78">
          <cell r="G78">
            <v>1057.5</v>
          </cell>
          <cell r="H78">
            <v>310</v>
          </cell>
          <cell r="I78">
            <v>1057.5999999999949</v>
          </cell>
          <cell r="J78">
            <v>314</v>
          </cell>
        </row>
        <row r="79">
          <cell r="G79">
            <v>1057.5999999999949</v>
          </cell>
          <cell r="H79">
            <v>314</v>
          </cell>
          <cell r="I79">
            <v>1057.6999999999948</v>
          </cell>
          <cell r="J79">
            <v>318</v>
          </cell>
        </row>
        <row r="80">
          <cell r="G80">
            <v>1057.6999999999948</v>
          </cell>
          <cell r="H80">
            <v>318</v>
          </cell>
          <cell r="I80">
            <v>1057.7999999999947</v>
          </cell>
          <cell r="J80">
            <v>322</v>
          </cell>
        </row>
        <row r="81">
          <cell r="G81">
            <v>1057.7999999999947</v>
          </cell>
          <cell r="H81">
            <v>322</v>
          </cell>
          <cell r="I81">
            <v>1057.8999999999946</v>
          </cell>
          <cell r="J81">
            <v>326</v>
          </cell>
        </row>
        <row r="82">
          <cell r="G82">
            <v>1057.8999999999946</v>
          </cell>
          <cell r="H82">
            <v>326</v>
          </cell>
          <cell r="I82">
            <v>1057.9999999999945</v>
          </cell>
          <cell r="J82">
            <v>330</v>
          </cell>
        </row>
        <row r="83">
          <cell r="G83">
            <v>1057.9999999999945</v>
          </cell>
          <cell r="H83">
            <v>330</v>
          </cell>
          <cell r="I83">
            <v>1058.0999999999945</v>
          </cell>
          <cell r="J83">
            <v>335.3</v>
          </cell>
        </row>
        <row r="84">
          <cell r="G84">
            <v>1058.0999999999945</v>
          </cell>
          <cell r="H84">
            <v>335.3</v>
          </cell>
          <cell r="I84">
            <v>1058.1999999999944</v>
          </cell>
          <cell r="J84">
            <v>340.6</v>
          </cell>
        </row>
        <row r="85">
          <cell r="G85">
            <v>1058.1999999999944</v>
          </cell>
          <cell r="H85">
            <v>340.6</v>
          </cell>
          <cell r="I85">
            <v>1058.2999999999943</v>
          </cell>
          <cell r="J85">
            <v>345.9</v>
          </cell>
        </row>
        <row r="86">
          <cell r="G86">
            <v>1058.2999999999943</v>
          </cell>
          <cell r="H86">
            <v>345.9</v>
          </cell>
          <cell r="I86">
            <v>1058.3999999999942</v>
          </cell>
          <cell r="J86">
            <v>351.2</v>
          </cell>
        </row>
        <row r="87">
          <cell r="G87">
            <v>1058.3999999999942</v>
          </cell>
          <cell r="H87">
            <v>351.2</v>
          </cell>
          <cell r="I87">
            <v>1058.4999999999941</v>
          </cell>
          <cell r="J87">
            <v>356.5</v>
          </cell>
        </row>
        <row r="88">
          <cell r="G88">
            <v>1058.4999999999941</v>
          </cell>
          <cell r="H88">
            <v>356.5</v>
          </cell>
          <cell r="I88">
            <v>1058.599999999994</v>
          </cell>
          <cell r="J88">
            <v>361.8</v>
          </cell>
        </row>
        <row r="89">
          <cell r="G89">
            <v>1058.599999999994</v>
          </cell>
          <cell r="H89">
            <v>361.8</v>
          </cell>
          <cell r="I89">
            <v>1058.6999999999939</v>
          </cell>
          <cell r="J89">
            <v>367.1</v>
          </cell>
        </row>
        <row r="90">
          <cell r="G90">
            <v>1058.6999999999939</v>
          </cell>
          <cell r="H90">
            <v>367.1</v>
          </cell>
          <cell r="I90">
            <v>1058.7999999999938</v>
          </cell>
          <cell r="J90">
            <v>372.4</v>
          </cell>
        </row>
        <row r="91">
          <cell r="G91">
            <v>1058.7999999999938</v>
          </cell>
          <cell r="H91">
            <v>372.4</v>
          </cell>
          <cell r="I91">
            <v>1058.8999999999937</v>
          </cell>
          <cell r="J91">
            <v>377.7</v>
          </cell>
        </row>
        <row r="92">
          <cell r="G92">
            <v>1058.8999999999937</v>
          </cell>
          <cell r="H92">
            <v>377.7</v>
          </cell>
          <cell r="I92">
            <v>1058.9999999999936</v>
          </cell>
          <cell r="J92">
            <v>383</v>
          </cell>
        </row>
        <row r="93">
          <cell r="G93">
            <v>1058.9999999999936</v>
          </cell>
          <cell r="H93">
            <v>383</v>
          </cell>
          <cell r="I93">
            <v>1059.0999999999935</v>
          </cell>
          <cell r="J93">
            <v>388.6</v>
          </cell>
        </row>
        <row r="94">
          <cell r="G94">
            <v>1059.0999999999935</v>
          </cell>
          <cell r="H94">
            <v>388.6</v>
          </cell>
          <cell r="I94">
            <v>1059.1999999999935</v>
          </cell>
          <cell r="J94">
            <v>394.2</v>
          </cell>
        </row>
        <row r="95">
          <cell r="G95">
            <v>1059.1999999999935</v>
          </cell>
          <cell r="H95">
            <v>394.2</v>
          </cell>
          <cell r="I95">
            <v>1059.2999999999934</v>
          </cell>
          <cell r="J95">
            <v>399.8</v>
          </cell>
        </row>
        <row r="96">
          <cell r="G96">
            <v>1059.2999999999934</v>
          </cell>
          <cell r="H96">
            <v>399.8</v>
          </cell>
          <cell r="I96">
            <v>1059.3999999999933</v>
          </cell>
          <cell r="J96">
            <v>405.4</v>
          </cell>
        </row>
        <row r="97">
          <cell r="G97">
            <v>1059.3999999999933</v>
          </cell>
          <cell r="H97">
            <v>405.4</v>
          </cell>
          <cell r="I97">
            <v>1059.4999999999932</v>
          </cell>
          <cell r="J97">
            <v>411</v>
          </cell>
        </row>
        <row r="98">
          <cell r="G98">
            <v>1059.4999999999932</v>
          </cell>
          <cell r="H98">
            <v>411</v>
          </cell>
          <cell r="I98">
            <v>1059.5999999999931</v>
          </cell>
          <cell r="J98">
            <v>416.6</v>
          </cell>
        </row>
        <row r="99">
          <cell r="G99">
            <v>1059.5999999999931</v>
          </cell>
          <cell r="H99">
            <v>416.6</v>
          </cell>
          <cell r="I99">
            <v>1059.699999999993</v>
          </cell>
          <cell r="J99">
            <v>422.2</v>
          </cell>
        </row>
        <row r="100">
          <cell r="G100">
            <v>1059.699999999993</v>
          </cell>
          <cell r="H100">
            <v>422.2</v>
          </cell>
          <cell r="I100">
            <v>1059.7999999999929</v>
          </cell>
          <cell r="J100">
            <v>427.8</v>
          </cell>
        </row>
        <row r="101">
          <cell r="G101">
            <v>1059.7999999999929</v>
          </cell>
          <cell r="H101">
            <v>427.8</v>
          </cell>
          <cell r="I101">
            <v>1059.8999999999928</v>
          </cell>
          <cell r="J101">
            <v>433.4</v>
          </cell>
        </row>
        <row r="102">
          <cell r="G102">
            <v>1059.8999999999928</v>
          </cell>
          <cell r="H102">
            <v>433.4</v>
          </cell>
          <cell r="I102">
            <v>1059.9999999999927</v>
          </cell>
          <cell r="J102">
            <v>439</v>
          </cell>
        </row>
        <row r="103">
          <cell r="G103">
            <v>1059.9999999999927</v>
          </cell>
          <cell r="H103">
            <v>439</v>
          </cell>
          <cell r="I103">
            <v>1060.0999999999926</v>
          </cell>
          <cell r="J103">
            <v>445</v>
          </cell>
        </row>
        <row r="104">
          <cell r="G104">
            <v>1060.0999999999926</v>
          </cell>
          <cell r="H104">
            <v>445</v>
          </cell>
          <cell r="I104">
            <v>1060.1999999999925</v>
          </cell>
          <cell r="J104">
            <v>451</v>
          </cell>
        </row>
        <row r="105">
          <cell r="G105">
            <v>1060.1999999999925</v>
          </cell>
          <cell r="H105">
            <v>451</v>
          </cell>
          <cell r="I105">
            <v>1060.2999999999925</v>
          </cell>
          <cell r="J105">
            <v>457</v>
          </cell>
        </row>
        <row r="106">
          <cell r="G106">
            <v>1060.2999999999925</v>
          </cell>
          <cell r="H106">
            <v>457</v>
          </cell>
          <cell r="I106">
            <v>1060.3999999999924</v>
          </cell>
          <cell r="J106">
            <v>463</v>
          </cell>
        </row>
        <row r="107">
          <cell r="G107">
            <v>1060.3999999999924</v>
          </cell>
          <cell r="H107">
            <v>463</v>
          </cell>
          <cell r="I107">
            <v>1060.4999999999923</v>
          </cell>
          <cell r="J107">
            <v>469</v>
          </cell>
        </row>
        <row r="108">
          <cell r="G108">
            <v>1060.4999999999923</v>
          </cell>
          <cell r="H108">
            <v>469</v>
          </cell>
          <cell r="I108">
            <v>1060.5999999999922</v>
          </cell>
          <cell r="J108">
            <v>475</v>
          </cell>
        </row>
        <row r="109">
          <cell r="G109">
            <v>1060.5999999999922</v>
          </cell>
          <cell r="H109">
            <v>475</v>
          </cell>
          <cell r="I109">
            <v>1060.6999999999921</v>
          </cell>
          <cell r="J109">
            <v>481</v>
          </cell>
        </row>
        <row r="110">
          <cell r="G110">
            <v>1060.6999999999921</v>
          </cell>
          <cell r="H110">
            <v>481</v>
          </cell>
          <cell r="I110">
            <v>1060.799999999992</v>
          </cell>
          <cell r="J110">
            <v>487</v>
          </cell>
        </row>
        <row r="111">
          <cell r="G111">
            <v>1060.799999999992</v>
          </cell>
          <cell r="H111">
            <v>487</v>
          </cell>
          <cell r="I111">
            <v>1060.8999999999919</v>
          </cell>
          <cell r="J111">
            <v>493</v>
          </cell>
        </row>
        <row r="112">
          <cell r="G112">
            <v>1060.8999999999919</v>
          </cell>
          <cell r="H112">
            <v>493</v>
          </cell>
          <cell r="I112">
            <v>1060.9999999999918</v>
          </cell>
          <cell r="J112">
            <v>499</v>
          </cell>
        </row>
        <row r="113">
          <cell r="G113">
            <v>1060.9999999999918</v>
          </cell>
          <cell r="H113">
            <v>499</v>
          </cell>
          <cell r="I113">
            <v>1061.0999999999917</v>
          </cell>
          <cell r="J113">
            <v>505.4</v>
          </cell>
        </row>
        <row r="114">
          <cell r="G114">
            <v>1061.0999999999917</v>
          </cell>
          <cell r="H114">
            <v>505.4</v>
          </cell>
          <cell r="I114">
            <v>1061.1999999999916</v>
          </cell>
          <cell r="J114">
            <v>511.8</v>
          </cell>
        </row>
        <row r="115">
          <cell r="G115">
            <v>1061.1999999999916</v>
          </cell>
          <cell r="H115">
            <v>511.8</v>
          </cell>
          <cell r="I115">
            <v>1061.2999999999915</v>
          </cell>
          <cell r="J115">
            <v>518.20000000000005</v>
          </cell>
        </row>
        <row r="116">
          <cell r="G116">
            <v>1061.2999999999915</v>
          </cell>
          <cell r="H116">
            <v>518.20000000000005</v>
          </cell>
          <cell r="I116">
            <v>1061.3999999999915</v>
          </cell>
          <cell r="J116">
            <v>524.6</v>
          </cell>
        </row>
        <row r="117">
          <cell r="G117">
            <v>1061.3999999999915</v>
          </cell>
          <cell r="H117">
            <v>524.6</v>
          </cell>
          <cell r="I117">
            <v>1061.4999999999914</v>
          </cell>
          <cell r="J117">
            <v>531</v>
          </cell>
        </row>
        <row r="118">
          <cell r="G118">
            <v>1061.4999999999914</v>
          </cell>
          <cell r="H118">
            <v>531</v>
          </cell>
          <cell r="I118">
            <v>1061.5999999999913</v>
          </cell>
          <cell r="J118">
            <v>537.4</v>
          </cell>
        </row>
        <row r="119">
          <cell r="G119">
            <v>1061.5999999999913</v>
          </cell>
          <cell r="H119">
            <v>537.4</v>
          </cell>
          <cell r="I119">
            <v>1061.6999999999912</v>
          </cell>
          <cell r="J119">
            <v>543.79999999999995</v>
          </cell>
        </row>
        <row r="120">
          <cell r="G120">
            <v>1061.6999999999912</v>
          </cell>
          <cell r="H120">
            <v>543.79999999999995</v>
          </cell>
          <cell r="I120">
            <v>1061.7999999999911</v>
          </cell>
          <cell r="J120">
            <v>550.20000000000005</v>
          </cell>
        </row>
        <row r="121">
          <cell r="G121">
            <v>1061.7999999999911</v>
          </cell>
          <cell r="H121">
            <v>550.20000000000005</v>
          </cell>
          <cell r="I121">
            <v>1061.899999999991</v>
          </cell>
          <cell r="J121">
            <v>556.6</v>
          </cell>
        </row>
        <row r="122">
          <cell r="G122">
            <v>1061.899999999991</v>
          </cell>
          <cell r="H122">
            <v>556.6</v>
          </cell>
          <cell r="I122">
            <v>1061.9999999999909</v>
          </cell>
          <cell r="J122">
            <v>563</v>
          </cell>
        </row>
        <row r="123">
          <cell r="G123">
            <v>1061.9999999999909</v>
          </cell>
          <cell r="H123">
            <v>563</v>
          </cell>
          <cell r="I123">
            <v>1062.0999999999908</v>
          </cell>
          <cell r="J123">
            <v>569.70000000000005</v>
          </cell>
        </row>
        <row r="124">
          <cell r="G124">
            <v>1062.0999999999908</v>
          </cell>
          <cell r="H124">
            <v>569.70000000000005</v>
          </cell>
          <cell r="I124">
            <v>1062.1999999999907</v>
          </cell>
          <cell r="J124">
            <v>576.4</v>
          </cell>
        </row>
        <row r="125">
          <cell r="G125">
            <v>1062.1999999999907</v>
          </cell>
          <cell r="H125">
            <v>576.4</v>
          </cell>
          <cell r="I125">
            <v>1062.2999999999906</v>
          </cell>
          <cell r="J125">
            <v>583.1</v>
          </cell>
        </row>
        <row r="126">
          <cell r="G126">
            <v>1062.2999999999906</v>
          </cell>
          <cell r="H126">
            <v>583.1</v>
          </cell>
          <cell r="I126">
            <v>1062.3999999999905</v>
          </cell>
          <cell r="J126">
            <v>589.79999999999995</v>
          </cell>
        </row>
        <row r="127">
          <cell r="G127">
            <v>1062.3999999999905</v>
          </cell>
          <cell r="H127">
            <v>589.79999999999995</v>
          </cell>
          <cell r="I127">
            <v>1062.4999999999905</v>
          </cell>
          <cell r="J127">
            <v>596.5</v>
          </cell>
        </row>
        <row r="128">
          <cell r="G128">
            <v>1062.4999999999905</v>
          </cell>
          <cell r="H128">
            <v>596.5</v>
          </cell>
          <cell r="I128">
            <v>1062.5999999999904</v>
          </cell>
          <cell r="J128">
            <v>603.20000000000005</v>
          </cell>
        </row>
        <row r="129">
          <cell r="G129">
            <v>1062.5999999999904</v>
          </cell>
          <cell r="H129">
            <v>603.20000000000005</v>
          </cell>
          <cell r="I129">
            <v>1062.6999999999903</v>
          </cell>
          <cell r="J129">
            <v>609.9</v>
          </cell>
        </row>
        <row r="130">
          <cell r="G130">
            <v>1062.6999999999903</v>
          </cell>
          <cell r="H130">
            <v>609.9</v>
          </cell>
          <cell r="I130">
            <v>1062.7999999999902</v>
          </cell>
          <cell r="J130">
            <v>616.6</v>
          </cell>
        </row>
        <row r="131">
          <cell r="G131">
            <v>1062.7999999999902</v>
          </cell>
          <cell r="H131">
            <v>616.6</v>
          </cell>
          <cell r="I131">
            <v>1062.8999999999901</v>
          </cell>
          <cell r="J131">
            <v>623.29999999999995</v>
          </cell>
        </row>
        <row r="132">
          <cell r="G132">
            <v>1062.8999999999901</v>
          </cell>
          <cell r="H132">
            <v>623.29999999999995</v>
          </cell>
          <cell r="I132">
            <v>1062.99999999999</v>
          </cell>
          <cell r="J132">
            <v>630</v>
          </cell>
        </row>
        <row r="133">
          <cell r="G133">
            <v>1062.99999999999</v>
          </cell>
          <cell r="H133">
            <v>630</v>
          </cell>
          <cell r="I133">
            <v>1063.0999999999899</v>
          </cell>
          <cell r="J133">
            <v>637.20000000000005</v>
          </cell>
        </row>
        <row r="134">
          <cell r="G134">
            <v>1063.0999999999899</v>
          </cell>
          <cell r="H134">
            <v>637.20000000000005</v>
          </cell>
          <cell r="I134">
            <v>1063.1999999999898</v>
          </cell>
          <cell r="J134">
            <v>644.4</v>
          </cell>
        </row>
        <row r="135">
          <cell r="G135">
            <v>1063.1999999999898</v>
          </cell>
          <cell r="H135">
            <v>644.4</v>
          </cell>
          <cell r="I135">
            <v>1063.2999999999897</v>
          </cell>
          <cell r="J135">
            <v>651.6</v>
          </cell>
        </row>
        <row r="136">
          <cell r="G136">
            <v>1063.2999999999897</v>
          </cell>
          <cell r="H136">
            <v>651.6</v>
          </cell>
          <cell r="I136">
            <v>1063.3999999999896</v>
          </cell>
          <cell r="J136">
            <v>658.8</v>
          </cell>
        </row>
        <row r="137">
          <cell r="G137">
            <v>1063.3999999999896</v>
          </cell>
          <cell r="H137">
            <v>658.8</v>
          </cell>
          <cell r="I137">
            <v>1063.4999999999895</v>
          </cell>
          <cell r="J137">
            <v>666</v>
          </cell>
        </row>
        <row r="138">
          <cell r="G138">
            <v>1063.4999999999895</v>
          </cell>
          <cell r="H138">
            <v>666</v>
          </cell>
          <cell r="I138">
            <v>1063.5999999999894</v>
          </cell>
          <cell r="J138">
            <v>673.2</v>
          </cell>
        </row>
        <row r="139">
          <cell r="G139">
            <v>1063.5999999999894</v>
          </cell>
          <cell r="H139">
            <v>673.2</v>
          </cell>
          <cell r="I139">
            <v>1063.6999999999894</v>
          </cell>
          <cell r="J139">
            <v>680.4</v>
          </cell>
        </row>
        <row r="140">
          <cell r="G140">
            <v>1063.6999999999894</v>
          </cell>
          <cell r="H140">
            <v>680.4</v>
          </cell>
          <cell r="I140">
            <v>1063.7999999999893</v>
          </cell>
          <cell r="J140">
            <v>687.6</v>
          </cell>
        </row>
        <row r="141">
          <cell r="G141">
            <v>1063.7999999999893</v>
          </cell>
          <cell r="H141">
            <v>687.6</v>
          </cell>
          <cell r="I141">
            <v>1063.8999999999892</v>
          </cell>
          <cell r="J141">
            <v>694.8</v>
          </cell>
        </row>
        <row r="142">
          <cell r="G142">
            <v>1063.8999999999892</v>
          </cell>
          <cell r="H142">
            <v>694.8</v>
          </cell>
          <cell r="I142">
            <v>1063.9999999999891</v>
          </cell>
          <cell r="J142">
            <v>702</v>
          </cell>
        </row>
        <row r="143">
          <cell r="G143">
            <v>1063.9999999999891</v>
          </cell>
          <cell r="H143">
            <v>702</v>
          </cell>
          <cell r="I143">
            <v>1064.099999999989</v>
          </cell>
          <cell r="J143">
            <v>709.5</v>
          </cell>
        </row>
        <row r="144">
          <cell r="G144">
            <v>1064.099999999989</v>
          </cell>
          <cell r="H144">
            <v>709.5</v>
          </cell>
          <cell r="I144">
            <v>1064.1999999999889</v>
          </cell>
          <cell r="J144">
            <v>717</v>
          </cell>
        </row>
        <row r="145">
          <cell r="G145">
            <v>1064.1999999999889</v>
          </cell>
          <cell r="H145">
            <v>717</v>
          </cell>
          <cell r="I145">
            <v>1064.2999999999888</v>
          </cell>
          <cell r="J145">
            <v>724.5</v>
          </cell>
        </row>
        <row r="146">
          <cell r="G146">
            <v>1064.2999999999888</v>
          </cell>
          <cell r="H146">
            <v>724.5</v>
          </cell>
          <cell r="I146">
            <v>1064.3999999999887</v>
          </cell>
          <cell r="J146">
            <v>732</v>
          </cell>
        </row>
        <row r="147">
          <cell r="G147">
            <v>1064.3999999999887</v>
          </cell>
          <cell r="H147">
            <v>732</v>
          </cell>
          <cell r="I147">
            <v>1064.4999999999886</v>
          </cell>
          <cell r="J147">
            <v>739.5</v>
          </cell>
        </row>
        <row r="148">
          <cell r="G148">
            <v>1064.4999999999886</v>
          </cell>
          <cell r="H148">
            <v>739.5</v>
          </cell>
          <cell r="I148">
            <v>1064.5999999999885</v>
          </cell>
          <cell r="J148">
            <v>747</v>
          </cell>
        </row>
        <row r="149">
          <cell r="G149">
            <v>1064.5999999999885</v>
          </cell>
          <cell r="H149">
            <v>747</v>
          </cell>
          <cell r="I149">
            <v>1064.6999999999884</v>
          </cell>
          <cell r="J149">
            <v>754.5</v>
          </cell>
        </row>
        <row r="150">
          <cell r="G150">
            <v>1064.6999999999884</v>
          </cell>
          <cell r="H150">
            <v>754.5</v>
          </cell>
          <cell r="I150">
            <v>1064.7999999999884</v>
          </cell>
          <cell r="J150">
            <v>762</v>
          </cell>
        </row>
        <row r="151">
          <cell r="G151">
            <v>1064.7999999999884</v>
          </cell>
          <cell r="H151">
            <v>762</v>
          </cell>
          <cell r="I151">
            <v>1064.8999999999883</v>
          </cell>
          <cell r="J151">
            <v>769.5</v>
          </cell>
        </row>
        <row r="152">
          <cell r="G152">
            <v>1064.8999999999883</v>
          </cell>
          <cell r="H152">
            <v>769.5</v>
          </cell>
          <cell r="I152">
            <v>1064.9999999999882</v>
          </cell>
          <cell r="J152">
            <v>777</v>
          </cell>
        </row>
        <row r="153">
          <cell r="G153">
            <v>1064.9999999999882</v>
          </cell>
          <cell r="H153">
            <v>777</v>
          </cell>
          <cell r="I153">
            <v>1065.0999999999881</v>
          </cell>
          <cell r="J153">
            <v>785</v>
          </cell>
        </row>
        <row r="154">
          <cell r="G154">
            <v>1065.0999999999881</v>
          </cell>
          <cell r="H154">
            <v>785</v>
          </cell>
          <cell r="I154">
            <v>1065.199999999988</v>
          </cell>
          <cell r="J154">
            <v>793</v>
          </cell>
        </row>
        <row r="155">
          <cell r="G155">
            <v>1065.199999999988</v>
          </cell>
          <cell r="H155">
            <v>793</v>
          </cell>
          <cell r="I155">
            <v>1065.2999999999879</v>
          </cell>
          <cell r="J155">
            <v>801</v>
          </cell>
        </row>
        <row r="156">
          <cell r="G156">
            <v>1065.2999999999879</v>
          </cell>
          <cell r="H156">
            <v>801</v>
          </cell>
          <cell r="I156">
            <v>1065.3999999999878</v>
          </cell>
          <cell r="J156">
            <v>809</v>
          </cell>
        </row>
        <row r="157">
          <cell r="G157">
            <v>1065.3999999999878</v>
          </cell>
          <cell r="H157">
            <v>809</v>
          </cell>
          <cell r="I157">
            <v>1065.4999999999877</v>
          </cell>
          <cell r="J157">
            <v>817</v>
          </cell>
        </row>
        <row r="158">
          <cell r="G158">
            <v>1065.4999999999877</v>
          </cell>
          <cell r="H158">
            <v>817</v>
          </cell>
          <cell r="I158">
            <v>1065.5999999999876</v>
          </cell>
          <cell r="J158">
            <v>825</v>
          </cell>
        </row>
        <row r="159">
          <cell r="G159">
            <v>1065.5999999999876</v>
          </cell>
          <cell r="H159">
            <v>825</v>
          </cell>
          <cell r="I159">
            <v>1065.6999999999875</v>
          </cell>
          <cell r="J159">
            <v>833</v>
          </cell>
        </row>
        <row r="160">
          <cell r="G160">
            <v>1065.6999999999875</v>
          </cell>
          <cell r="H160">
            <v>833</v>
          </cell>
          <cell r="I160">
            <v>1065.7999999999874</v>
          </cell>
          <cell r="J160">
            <v>841</v>
          </cell>
        </row>
        <row r="161">
          <cell r="G161">
            <v>1065.7999999999874</v>
          </cell>
          <cell r="H161">
            <v>841</v>
          </cell>
          <cell r="I161">
            <v>1065.8999999999874</v>
          </cell>
          <cell r="J161">
            <v>849</v>
          </cell>
        </row>
        <row r="162">
          <cell r="G162">
            <v>1065.8999999999874</v>
          </cell>
          <cell r="H162">
            <v>849</v>
          </cell>
          <cell r="I162">
            <v>1065.9999999999873</v>
          </cell>
          <cell r="J162">
            <v>857</v>
          </cell>
        </row>
        <row r="163">
          <cell r="G163">
            <v>1065.9999999999873</v>
          </cell>
          <cell r="H163">
            <v>857</v>
          </cell>
          <cell r="I163">
            <v>1066.0999999999872</v>
          </cell>
          <cell r="J163">
            <v>865.4</v>
          </cell>
        </row>
        <row r="164">
          <cell r="G164">
            <v>1066.0999999999872</v>
          </cell>
          <cell r="H164">
            <v>865.4</v>
          </cell>
          <cell r="I164">
            <v>1066.1999999999871</v>
          </cell>
          <cell r="J164">
            <v>873.8</v>
          </cell>
        </row>
        <row r="165">
          <cell r="G165">
            <v>1066.1999999999871</v>
          </cell>
          <cell r="H165">
            <v>873.8</v>
          </cell>
          <cell r="I165">
            <v>1066.299999999987</v>
          </cell>
          <cell r="J165">
            <v>882.2</v>
          </cell>
        </row>
        <row r="166">
          <cell r="G166">
            <v>1066.299999999987</v>
          </cell>
          <cell r="H166">
            <v>882.2</v>
          </cell>
          <cell r="I166">
            <v>1066.3999999999869</v>
          </cell>
          <cell r="J166">
            <v>890.6</v>
          </cell>
        </row>
        <row r="167">
          <cell r="G167">
            <v>1066.3999999999869</v>
          </cell>
          <cell r="H167">
            <v>890.6</v>
          </cell>
          <cell r="I167">
            <v>1066.4999999999868</v>
          </cell>
          <cell r="J167">
            <v>899</v>
          </cell>
        </row>
        <row r="168">
          <cell r="G168">
            <v>1066.4999999999868</v>
          </cell>
          <cell r="H168">
            <v>899</v>
          </cell>
          <cell r="I168">
            <v>1066.5999999999867</v>
          </cell>
          <cell r="J168">
            <v>907.4</v>
          </cell>
        </row>
        <row r="169">
          <cell r="G169">
            <v>1066.5999999999867</v>
          </cell>
          <cell r="H169">
            <v>907.4</v>
          </cell>
          <cell r="I169">
            <v>1066.6999999999866</v>
          </cell>
          <cell r="J169">
            <v>915.8</v>
          </cell>
        </row>
        <row r="170">
          <cell r="G170">
            <v>1066.6999999999866</v>
          </cell>
          <cell r="H170">
            <v>915.8</v>
          </cell>
          <cell r="I170">
            <v>1066.7999999999865</v>
          </cell>
          <cell r="J170">
            <v>924.2</v>
          </cell>
        </row>
        <row r="171">
          <cell r="G171">
            <v>1066.7999999999865</v>
          </cell>
          <cell r="H171">
            <v>924.2</v>
          </cell>
          <cell r="I171">
            <v>1066.8999999999864</v>
          </cell>
          <cell r="J171">
            <v>932.6</v>
          </cell>
        </row>
        <row r="172">
          <cell r="G172">
            <v>1066.8999999999864</v>
          </cell>
          <cell r="H172">
            <v>932.6</v>
          </cell>
          <cell r="I172">
            <v>1066.9999999999864</v>
          </cell>
          <cell r="J172">
            <v>941</v>
          </cell>
        </row>
        <row r="173">
          <cell r="G173">
            <v>1066.9999999999864</v>
          </cell>
          <cell r="H173">
            <v>941</v>
          </cell>
          <cell r="I173">
            <v>1067.0999999999863</v>
          </cell>
          <cell r="J173">
            <v>949.8</v>
          </cell>
        </row>
        <row r="174">
          <cell r="G174">
            <v>1067.0999999999863</v>
          </cell>
          <cell r="H174">
            <v>949.8</v>
          </cell>
          <cell r="I174">
            <v>1067.1999999999862</v>
          </cell>
          <cell r="J174">
            <v>958.6</v>
          </cell>
        </row>
        <row r="175">
          <cell r="G175">
            <v>1067.1999999999862</v>
          </cell>
          <cell r="H175">
            <v>958.6</v>
          </cell>
          <cell r="I175">
            <v>1067.2999999999861</v>
          </cell>
          <cell r="J175">
            <v>967.4</v>
          </cell>
        </row>
        <row r="176">
          <cell r="G176">
            <v>1067.2999999999861</v>
          </cell>
          <cell r="H176">
            <v>967.4</v>
          </cell>
          <cell r="I176">
            <v>1067.399999999986</v>
          </cell>
          <cell r="J176">
            <v>976.2</v>
          </cell>
        </row>
        <row r="177">
          <cell r="G177">
            <v>1067.399999999986</v>
          </cell>
          <cell r="H177">
            <v>976.2</v>
          </cell>
          <cell r="I177">
            <v>1067.4999999999859</v>
          </cell>
          <cell r="J177">
            <v>985</v>
          </cell>
        </row>
        <row r="178">
          <cell r="G178">
            <v>1067.4999999999859</v>
          </cell>
          <cell r="H178">
            <v>985</v>
          </cell>
          <cell r="I178">
            <v>1067.5999999999858</v>
          </cell>
          <cell r="J178">
            <v>993.8</v>
          </cell>
        </row>
        <row r="179">
          <cell r="G179">
            <v>1067.5999999999858</v>
          </cell>
          <cell r="H179">
            <v>993.8</v>
          </cell>
          <cell r="I179">
            <v>1067.6999999999857</v>
          </cell>
          <cell r="J179">
            <v>1002.6</v>
          </cell>
        </row>
        <row r="180">
          <cell r="G180">
            <v>1067.6999999999857</v>
          </cell>
          <cell r="H180">
            <v>1002.6</v>
          </cell>
          <cell r="I180">
            <v>1067.7999999999856</v>
          </cell>
          <cell r="J180">
            <v>1011.4</v>
          </cell>
        </row>
        <row r="181">
          <cell r="G181">
            <v>1067.7999999999856</v>
          </cell>
          <cell r="H181">
            <v>1011.4</v>
          </cell>
          <cell r="I181">
            <v>1067.8999999999855</v>
          </cell>
          <cell r="J181">
            <v>1020.2</v>
          </cell>
        </row>
        <row r="182">
          <cell r="G182">
            <v>1067.8999999999855</v>
          </cell>
          <cell r="H182">
            <v>1020.2</v>
          </cell>
          <cell r="I182">
            <v>1067.9999999999854</v>
          </cell>
          <cell r="J182">
            <v>1029</v>
          </cell>
        </row>
        <row r="183">
          <cell r="G183">
            <v>1067.9999999999854</v>
          </cell>
          <cell r="H183">
            <v>1029</v>
          </cell>
          <cell r="I183">
            <v>1068.0999999999854</v>
          </cell>
          <cell r="J183">
            <v>1038.3</v>
          </cell>
        </row>
        <row r="184">
          <cell r="G184">
            <v>1068.0999999999854</v>
          </cell>
          <cell r="H184">
            <v>1038.3</v>
          </cell>
          <cell r="I184">
            <v>1068.1999999999853</v>
          </cell>
          <cell r="J184">
            <v>1047.5999999999999</v>
          </cell>
        </row>
        <row r="185">
          <cell r="G185">
            <v>1068.1999999999853</v>
          </cell>
          <cell r="H185">
            <v>1047.5999999999999</v>
          </cell>
          <cell r="I185">
            <v>1068.2999999999852</v>
          </cell>
          <cell r="J185">
            <v>1056.9000000000001</v>
          </cell>
        </row>
        <row r="186">
          <cell r="G186">
            <v>1068.2999999999852</v>
          </cell>
          <cell r="H186">
            <v>1056.9000000000001</v>
          </cell>
          <cell r="I186">
            <v>1068.3999999999851</v>
          </cell>
          <cell r="J186">
            <v>1066.2</v>
          </cell>
        </row>
        <row r="187">
          <cell r="G187">
            <v>1068.3999999999851</v>
          </cell>
          <cell r="H187">
            <v>1066.2</v>
          </cell>
          <cell r="I187">
            <v>1068.499999999985</v>
          </cell>
          <cell r="J187">
            <v>1075.5</v>
          </cell>
        </row>
        <row r="188">
          <cell r="G188">
            <v>1068.499999999985</v>
          </cell>
          <cell r="H188">
            <v>1075.5</v>
          </cell>
          <cell r="I188">
            <v>1068.5999999999849</v>
          </cell>
          <cell r="J188">
            <v>1084.8</v>
          </cell>
        </row>
        <row r="189">
          <cell r="G189">
            <v>1068.5999999999849</v>
          </cell>
          <cell r="H189">
            <v>1084.8</v>
          </cell>
          <cell r="I189">
            <v>1068.6999999999848</v>
          </cell>
          <cell r="J189">
            <v>1094.0999999999999</v>
          </cell>
        </row>
        <row r="190">
          <cell r="G190">
            <v>1068.6999999999848</v>
          </cell>
          <cell r="H190">
            <v>1094.0999999999999</v>
          </cell>
          <cell r="I190">
            <v>1068.7999999999847</v>
          </cell>
          <cell r="J190">
            <v>1103.4000000000001</v>
          </cell>
        </row>
        <row r="191">
          <cell r="G191">
            <v>1068.7999999999847</v>
          </cell>
          <cell r="H191">
            <v>1103.4000000000001</v>
          </cell>
          <cell r="I191">
            <v>1068.8999999999846</v>
          </cell>
          <cell r="J191">
            <v>1112.7</v>
          </cell>
        </row>
        <row r="192">
          <cell r="G192">
            <v>1068.8999999999846</v>
          </cell>
          <cell r="H192">
            <v>1112.7</v>
          </cell>
          <cell r="I192">
            <v>1068.9999999999845</v>
          </cell>
          <cell r="J192">
            <v>1122</v>
          </cell>
        </row>
        <row r="193">
          <cell r="G193">
            <v>1068.9999999999845</v>
          </cell>
          <cell r="H193">
            <v>1122</v>
          </cell>
          <cell r="I193">
            <v>1069.0999999999844</v>
          </cell>
          <cell r="J193">
            <v>1131.8</v>
          </cell>
        </row>
        <row r="194">
          <cell r="G194">
            <v>1069.0999999999844</v>
          </cell>
          <cell r="H194">
            <v>1131.8</v>
          </cell>
          <cell r="I194">
            <v>1069.1999999999844</v>
          </cell>
          <cell r="J194">
            <v>1141.5999999999999</v>
          </cell>
        </row>
        <row r="195">
          <cell r="G195">
            <v>1069.1999999999844</v>
          </cell>
          <cell r="H195">
            <v>1141.5999999999999</v>
          </cell>
          <cell r="I195">
            <v>1069.2999999999843</v>
          </cell>
          <cell r="J195">
            <v>1151.4000000000001</v>
          </cell>
        </row>
        <row r="196">
          <cell r="G196">
            <v>1069.2999999999843</v>
          </cell>
          <cell r="H196">
            <v>1151.4000000000001</v>
          </cell>
          <cell r="I196">
            <v>1069.3999999999842</v>
          </cell>
          <cell r="J196">
            <v>1161.2</v>
          </cell>
        </row>
        <row r="197">
          <cell r="G197">
            <v>1069.3999999999842</v>
          </cell>
          <cell r="H197">
            <v>1161.2</v>
          </cell>
          <cell r="I197">
            <v>1069.4999999999841</v>
          </cell>
          <cell r="J197">
            <v>1171</v>
          </cell>
        </row>
        <row r="198">
          <cell r="G198">
            <v>1069.4999999999841</v>
          </cell>
          <cell r="H198">
            <v>1171</v>
          </cell>
          <cell r="I198">
            <v>1069.599999999984</v>
          </cell>
          <cell r="J198">
            <v>1180.8</v>
          </cell>
        </row>
        <row r="199">
          <cell r="G199">
            <v>1069.599999999984</v>
          </cell>
          <cell r="H199">
            <v>1180.8</v>
          </cell>
          <cell r="I199">
            <v>1069.6999999999839</v>
          </cell>
          <cell r="J199">
            <v>1190.5999999999999</v>
          </cell>
        </row>
        <row r="200">
          <cell r="G200">
            <v>1069.6999999999839</v>
          </cell>
          <cell r="H200">
            <v>1190.5999999999999</v>
          </cell>
          <cell r="I200">
            <v>1069.7999999999838</v>
          </cell>
          <cell r="J200">
            <v>1200.4000000000001</v>
          </cell>
        </row>
        <row r="201">
          <cell r="G201">
            <v>1069.7999999999838</v>
          </cell>
          <cell r="H201">
            <v>1200.4000000000001</v>
          </cell>
          <cell r="I201">
            <v>1069.8999999999837</v>
          </cell>
          <cell r="J201">
            <v>1210.2</v>
          </cell>
        </row>
        <row r="202">
          <cell r="G202">
            <v>1069.8999999999837</v>
          </cell>
          <cell r="H202">
            <v>1210.2</v>
          </cell>
          <cell r="I202">
            <v>1069.9999999999836</v>
          </cell>
          <cell r="J202">
            <v>1220</v>
          </cell>
        </row>
        <row r="203">
          <cell r="G203">
            <v>1069.9999999999836</v>
          </cell>
          <cell r="H203">
            <v>1220</v>
          </cell>
          <cell r="I203">
            <v>1070.0999999999835</v>
          </cell>
          <cell r="J203">
            <v>1230.2</v>
          </cell>
        </row>
        <row r="204">
          <cell r="G204">
            <v>1070.0999999999835</v>
          </cell>
          <cell r="H204">
            <v>1230.2</v>
          </cell>
          <cell r="I204">
            <v>1070.1999999999834</v>
          </cell>
          <cell r="J204">
            <v>1240.4000000000001</v>
          </cell>
        </row>
        <row r="205">
          <cell r="G205">
            <v>1070.1999999999834</v>
          </cell>
          <cell r="H205">
            <v>1240.4000000000001</v>
          </cell>
          <cell r="I205">
            <v>1070.2999999999834</v>
          </cell>
          <cell r="J205">
            <v>1250.5999999999999</v>
          </cell>
        </row>
        <row r="206">
          <cell r="G206">
            <v>1070.2999999999834</v>
          </cell>
          <cell r="H206">
            <v>1250.5999999999999</v>
          </cell>
          <cell r="I206">
            <v>1070.3999999999833</v>
          </cell>
          <cell r="J206">
            <v>1260.8</v>
          </cell>
        </row>
        <row r="207">
          <cell r="G207">
            <v>1070.3999999999833</v>
          </cell>
          <cell r="H207">
            <v>1260.8</v>
          </cell>
          <cell r="I207">
            <v>1070.4999999999832</v>
          </cell>
          <cell r="J207">
            <v>1271</v>
          </cell>
        </row>
        <row r="208">
          <cell r="G208">
            <v>1070.4999999999832</v>
          </cell>
          <cell r="H208">
            <v>1271</v>
          </cell>
          <cell r="I208">
            <v>1070.5999999999831</v>
          </cell>
          <cell r="J208">
            <v>1281.2</v>
          </cell>
        </row>
        <row r="209">
          <cell r="G209">
            <v>1070.5999999999831</v>
          </cell>
          <cell r="H209">
            <v>1281.2</v>
          </cell>
          <cell r="I209">
            <v>1070.699999999983</v>
          </cell>
          <cell r="J209">
            <v>1291.4000000000001</v>
          </cell>
        </row>
        <row r="210">
          <cell r="G210">
            <v>1070.699999999983</v>
          </cell>
          <cell r="H210">
            <v>1291.4000000000001</v>
          </cell>
          <cell r="I210">
            <v>1070.7999999999829</v>
          </cell>
          <cell r="J210">
            <v>1301.5999999999999</v>
          </cell>
        </row>
        <row r="211">
          <cell r="G211">
            <v>1070.7999999999829</v>
          </cell>
          <cell r="H211">
            <v>1301.5999999999999</v>
          </cell>
          <cell r="I211">
            <v>1070.8999999999828</v>
          </cell>
          <cell r="J211">
            <v>1311.8</v>
          </cell>
        </row>
        <row r="212">
          <cell r="G212">
            <v>1070.8999999999828</v>
          </cell>
          <cell r="H212">
            <v>1311.8</v>
          </cell>
          <cell r="I212">
            <v>1070.9999999999827</v>
          </cell>
          <cell r="J212">
            <v>1322</v>
          </cell>
        </row>
        <row r="213">
          <cell r="G213">
            <v>1070.9999999999827</v>
          </cell>
          <cell r="H213">
            <v>1322</v>
          </cell>
          <cell r="I213">
            <v>1071.0999999999826</v>
          </cell>
          <cell r="J213">
            <v>1332.6</v>
          </cell>
        </row>
        <row r="214">
          <cell r="G214">
            <v>1071.0999999999826</v>
          </cell>
          <cell r="H214">
            <v>1332.6</v>
          </cell>
          <cell r="I214">
            <v>1071.1999999999825</v>
          </cell>
          <cell r="J214">
            <v>1343.2</v>
          </cell>
        </row>
        <row r="215">
          <cell r="G215">
            <v>1071.1999999999825</v>
          </cell>
          <cell r="H215">
            <v>1343.2</v>
          </cell>
          <cell r="I215">
            <v>1071.2999999999824</v>
          </cell>
          <cell r="J215">
            <v>1353.8</v>
          </cell>
        </row>
        <row r="216">
          <cell r="G216">
            <v>1071.2999999999824</v>
          </cell>
          <cell r="H216">
            <v>1353.8</v>
          </cell>
          <cell r="I216">
            <v>1071.3999999999824</v>
          </cell>
          <cell r="J216">
            <v>1364.4</v>
          </cell>
        </row>
        <row r="217">
          <cell r="G217">
            <v>1071.3999999999824</v>
          </cell>
          <cell r="H217">
            <v>1364.4</v>
          </cell>
          <cell r="I217">
            <v>1071.4999999999823</v>
          </cell>
          <cell r="J217">
            <v>1375</v>
          </cell>
        </row>
        <row r="218">
          <cell r="G218">
            <v>1071.4999999999823</v>
          </cell>
          <cell r="H218">
            <v>1375</v>
          </cell>
          <cell r="I218">
            <v>1071.5999999999822</v>
          </cell>
          <cell r="J218">
            <v>1385.6</v>
          </cell>
        </row>
        <row r="219">
          <cell r="G219">
            <v>1071.5999999999822</v>
          </cell>
          <cell r="H219">
            <v>1385.6</v>
          </cell>
          <cell r="I219">
            <v>1071.6999999999821</v>
          </cell>
          <cell r="J219">
            <v>1396.2</v>
          </cell>
        </row>
        <row r="220">
          <cell r="G220">
            <v>1071.6999999999821</v>
          </cell>
          <cell r="H220">
            <v>1396.2</v>
          </cell>
          <cell r="I220">
            <v>1071.799999999982</v>
          </cell>
          <cell r="J220">
            <v>1406.8</v>
          </cell>
        </row>
        <row r="221">
          <cell r="G221">
            <v>1071.799999999982</v>
          </cell>
          <cell r="H221">
            <v>1406.8</v>
          </cell>
          <cell r="I221">
            <v>1071.8999999999819</v>
          </cell>
          <cell r="J221">
            <v>1417.4</v>
          </cell>
        </row>
        <row r="222">
          <cell r="G222">
            <v>1071.8999999999819</v>
          </cell>
          <cell r="H222">
            <v>1417.4</v>
          </cell>
          <cell r="I222">
            <v>1071.9999999999818</v>
          </cell>
          <cell r="J222">
            <v>1428</v>
          </cell>
        </row>
        <row r="223">
          <cell r="G223">
            <v>1071.9999999999818</v>
          </cell>
          <cell r="H223">
            <v>1428</v>
          </cell>
          <cell r="I223">
            <v>1072.0999999999817</v>
          </cell>
          <cell r="J223">
            <v>1438.9</v>
          </cell>
        </row>
        <row r="224">
          <cell r="G224">
            <v>1072.0999999999817</v>
          </cell>
          <cell r="H224">
            <v>1438.9</v>
          </cell>
          <cell r="I224">
            <v>1072.1999999999816</v>
          </cell>
          <cell r="J224">
            <v>1449.8</v>
          </cell>
        </row>
        <row r="225">
          <cell r="G225">
            <v>1072.1999999999816</v>
          </cell>
          <cell r="H225">
            <v>1449.8</v>
          </cell>
          <cell r="I225">
            <v>1072.2999999999815</v>
          </cell>
          <cell r="J225">
            <v>1460.7</v>
          </cell>
        </row>
        <row r="226">
          <cell r="G226">
            <v>1072.2999999999815</v>
          </cell>
          <cell r="H226">
            <v>1460.7</v>
          </cell>
          <cell r="I226">
            <v>1072.3999999999814</v>
          </cell>
          <cell r="J226">
            <v>1471.6</v>
          </cell>
        </row>
        <row r="227">
          <cell r="G227">
            <v>1072.3999999999814</v>
          </cell>
          <cell r="H227">
            <v>1471.6</v>
          </cell>
          <cell r="I227">
            <v>1072.4999999999814</v>
          </cell>
          <cell r="J227">
            <v>1482.5</v>
          </cell>
        </row>
        <row r="228">
          <cell r="G228">
            <v>1072.4999999999814</v>
          </cell>
          <cell r="H228">
            <v>1482.5</v>
          </cell>
          <cell r="I228">
            <v>1072.5999999999813</v>
          </cell>
          <cell r="J228">
            <v>1493.4</v>
          </cell>
        </row>
        <row r="229">
          <cell r="G229">
            <v>1072.5999999999813</v>
          </cell>
          <cell r="H229">
            <v>1493.4</v>
          </cell>
          <cell r="I229">
            <v>1072.6999999999812</v>
          </cell>
          <cell r="J229">
            <v>1504.3</v>
          </cell>
        </row>
        <row r="230">
          <cell r="G230">
            <v>1072.6999999999812</v>
          </cell>
          <cell r="H230">
            <v>1504.3</v>
          </cell>
          <cell r="I230">
            <v>1072.7999999999811</v>
          </cell>
          <cell r="J230">
            <v>1515.2</v>
          </cell>
        </row>
        <row r="231">
          <cell r="G231">
            <v>1072.7999999999811</v>
          </cell>
          <cell r="H231">
            <v>1515.2</v>
          </cell>
          <cell r="I231">
            <v>1072.899999999981</v>
          </cell>
          <cell r="J231">
            <v>1526.1</v>
          </cell>
        </row>
        <row r="232">
          <cell r="G232">
            <v>1072.899999999981</v>
          </cell>
          <cell r="H232">
            <v>1526.1</v>
          </cell>
          <cell r="I232">
            <v>1072.9999999999809</v>
          </cell>
          <cell r="J232">
            <v>1537</v>
          </cell>
        </row>
        <row r="233">
          <cell r="G233">
            <v>1072.9999999999809</v>
          </cell>
          <cell r="H233">
            <v>1537</v>
          </cell>
          <cell r="I233">
            <v>1073.0999999999808</v>
          </cell>
          <cell r="J233">
            <v>1548.4</v>
          </cell>
        </row>
        <row r="234">
          <cell r="G234">
            <v>1073.0999999999808</v>
          </cell>
          <cell r="H234">
            <v>1548.4</v>
          </cell>
          <cell r="I234">
            <v>1073.1999999999807</v>
          </cell>
          <cell r="J234">
            <v>1559.8</v>
          </cell>
        </row>
        <row r="235">
          <cell r="G235">
            <v>1073.1999999999807</v>
          </cell>
          <cell r="H235">
            <v>1559.8</v>
          </cell>
          <cell r="I235">
            <v>1073.2999999999806</v>
          </cell>
          <cell r="J235">
            <v>1571.2</v>
          </cell>
        </row>
        <row r="236">
          <cell r="G236">
            <v>1073.2999999999806</v>
          </cell>
          <cell r="H236">
            <v>1571.2</v>
          </cell>
          <cell r="I236">
            <v>1073.3999999999805</v>
          </cell>
          <cell r="J236">
            <v>1582.6</v>
          </cell>
        </row>
        <row r="237">
          <cell r="G237">
            <v>1073.3999999999805</v>
          </cell>
          <cell r="H237">
            <v>1582.6</v>
          </cell>
          <cell r="I237">
            <v>1073.4999999999804</v>
          </cell>
          <cell r="J237">
            <v>1594</v>
          </cell>
        </row>
        <row r="238">
          <cell r="G238">
            <v>1073.4999999999804</v>
          </cell>
          <cell r="H238">
            <v>1594</v>
          </cell>
          <cell r="I238">
            <v>1073.5999999999804</v>
          </cell>
          <cell r="J238">
            <v>1605.4</v>
          </cell>
        </row>
        <row r="239">
          <cell r="G239">
            <v>1073.5999999999804</v>
          </cell>
          <cell r="H239">
            <v>1605.4</v>
          </cell>
          <cell r="I239">
            <v>1073.6999999999803</v>
          </cell>
          <cell r="J239">
            <v>1616.8</v>
          </cell>
        </row>
        <row r="240">
          <cell r="G240">
            <v>1073.6999999999803</v>
          </cell>
          <cell r="H240">
            <v>1616.8</v>
          </cell>
          <cell r="I240">
            <v>1073.7999999999802</v>
          </cell>
          <cell r="J240">
            <v>1628.2</v>
          </cell>
        </row>
        <row r="241">
          <cell r="G241">
            <v>1073.7999999999802</v>
          </cell>
          <cell r="H241">
            <v>1628.2</v>
          </cell>
          <cell r="I241">
            <v>1073.8999999999801</v>
          </cell>
          <cell r="J241">
            <v>1639.6</v>
          </cell>
        </row>
        <row r="242">
          <cell r="G242">
            <v>1073.8999999999801</v>
          </cell>
          <cell r="H242">
            <v>1639.6</v>
          </cell>
          <cell r="I242">
            <v>1073.99999999998</v>
          </cell>
          <cell r="J242">
            <v>1651</v>
          </cell>
        </row>
        <row r="243">
          <cell r="G243">
            <v>1073.99999999998</v>
          </cell>
          <cell r="H243">
            <v>1651</v>
          </cell>
          <cell r="I243">
            <v>1074.0999999999799</v>
          </cell>
          <cell r="J243">
            <v>1662.8</v>
          </cell>
        </row>
        <row r="244">
          <cell r="G244">
            <v>1074.0999999999799</v>
          </cell>
          <cell r="H244">
            <v>1662.8</v>
          </cell>
          <cell r="I244">
            <v>1074.1999999999798</v>
          </cell>
          <cell r="J244">
            <v>1674.6</v>
          </cell>
        </row>
        <row r="245">
          <cell r="G245">
            <v>1074.1999999999798</v>
          </cell>
          <cell r="H245">
            <v>1674.6</v>
          </cell>
          <cell r="I245">
            <v>1074.2999999999797</v>
          </cell>
          <cell r="J245">
            <v>1686.4</v>
          </cell>
        </row>
        <row r="246">
          <cell r="G246">
            <v>1074.2999999999797</v>
          </cell>
          <cell r="H246">
            <v>1686.4</v>
          </cell>
          <cell r="I246">
            <v>1074.3999999999796</v>
          </cell>
          <cell r="J246">
            <v>1698.2</v>
          </cell>
        </row>
        <row r="247">
          <cell r="G247">
            <v>1074.3999999999796</v>
          </cell>
          <cell r="H247">
            <v>1698.2</v>
          </cell>
          <cell r="I247">
            <v>1074.4999999999795</v>
          </cell>
          <cell r="J247">
            <v>1710</v>
          </cell>
        </row>
        <row r="248">
          <cell r="G248">
            <v>1074.4999999999795</v>
          </cell>
          <cell r="H248">
            <v>1710</v>
          </cell>
          <cell r="I248">
            <v>1074.5999999999794</v>
          </cell>
          <cell r="J248">
            <v>1721.8</v>
          </cell>
        </row>
        <row r="249">
          <cell r="G249">
            <v>1074.5999999999794</v>
          </cell>
          <cell r="H249">
            <v>1721.8</v>
          </cell>
          <cell r="I249">
            <v>1074.6999999999794</v>
          </cell>
          <cell r="J249">
            <v>1733.6</v>
          </cell>
        </row>
        <row r="250">
          <cell r="G250">
            <v>1074.6999999999794</v>
          </cell>
          <cell r="H250">
            <v>1733.6</v>
          </cell>
          <cell r="I250">
            <v>1074.7999999999793</v>
          </cell>
          <cell r="J250">
            <v>1745.4</v>
          </cell>
        </row>
        <row r="251">
          <cell r="G251">
            <v>1074.7999999999793</v>
          </cell>
          <cell r="H251">
            <v>1745.4</v>
          </cell>
          <cell r="I251">
            <v>1074.8999999999792</v>
          </cell>
          <cell r="J251">
            <v>1757.2</v>
          </cell>
        </row>
        <row r="252">
          <cell r="G252">
            <v>1074.8999999999792</v>
          </cell>
          <cell r="H252">
            <v>1757.2</v>
          </cell>
          <cell r="I252">
            <v>1074.9999999999791</v>
          </cell>
          <cell r="J252">
            <v>1769</v>
          </cell>
        </row>
        <row r="253">
          <cell r="G253">
            <v>1074.9999999999791</v>
          </cell>
          <cell r="H253">
            <v>1769</v>
          </cell>
          <cell r="I253">
            <v>1075.099999999979</v>
          </cell>
          <cell r="J253">
            <v>1781.2</v>
          </cell>
        </row>
        <row r="254">
          <cell r="G254">
            <v>1075.099999999979</v>
          </cell>
          <cell r="H254">
            <v>1781.2</v>
          </cell>
          <cell r="I254">
            <v>1075.1999999999789</v>
          </cell>
          <cell r="J254">
            <v>1793.4</v>
          </cell>
        </row>
        <row r="255">
          <cell r="G255">
            <v>1075.1999999999789</v>
          </cell>
          <cell r="H255">
            <v>1793.4</v>
          </cell>
          <cell r="I255">
            <v>1075.2999999999788</v>
          </cell>
          <cell r="J255">
            <v>1805.6</v>
          </cell>
        </row>
        <row r="256">
          <cell r="G256">
            <v>1075.2999999999788</v>
          </cell>
          <cell r="H256">
            <v>1805.6</v>
          </cell>
          <cell r="I256">
            <v>1075.3999999999787</v>
          </cell>
          <cell r="J256">
            <v>1817.8</v>
          </cell>
        </row>
        <row r="257">
          <cell r="G257">
            <v>1075.3999999999787</v>
          </cell>
          <cell r="H257">
            <v>1817.8</v>
          </cell>
          <cell r="I257">
            <v>1075.4999999999786</v>
          </cell>
          <cell r="J257">
            <v>1830</v>
          </cell>
        </row>
        <row r="258">
          <cell r="G258">
            <v>1075.4999999999786</v>
          </cell>
          <cell r="H258">
            <v>1830</v>
          </cell>
          <cell r="I258">
            <v>1075.5999999999785</v>
          </cell>
          <cell r="J258">
            <v>1842.2</v>
          </cell>
        </row>
        <row r="259">
          <cell r="G259">
            <v>1075.5999999999785</v>
          </cell>
          <cell r="H259">
            <v>1842.2</v>
          </cell>
          <cell r="I259">
            <v>1075.6999999999784</v>
          </cell>
          <cell r="J259">
            <v>1854.4</v>
          </cell>
        </row>
        <row r="260">
          <cell r="G260">
            <v>1075.6999999999784</v>
          </cell>
          <cell r="H260">
            <v>1854.4</v>
          </cell>
          <cell r="I260">
            <v>1075.7999999999784</v>
          </cell>
          <cell r="J260">
            <v>1866.6</v>
          </cell>
        </row>
        <row r="261">
          <cell r="G261">
            <v>1075.7999999999784</v>
          </cell>
          <cell r="H261">
            <v>1866.6</v>
          </cell>
          <cell r="I261">
            <v>1075.8999999999783</v>
          </cell>
          <cell r="J261">
            <v>1878.8</v>
          </cell>
        </row>
        <row r="262">
          <cell r="G262">
            <v>1075.8999999999783</v>
          </cell>
          <cell r="H262">
            <v>1878.8</v>
          </cell>
          <cell r="I262">
            <v>1075.9999999999782</v>
          </cell>
          <cell r="J262">
            <v>1891</v>
          </cell>
        </row>
        <row r="263">
          <cell r="G263">
            <v>1075.9999999999782</v>
          </cell>
          <cell r="H263">
            <v>1891</v>
          </cell>
          <cell r="I263">
            <v>1076.0999999999781</v>
          </cell>
          <cell r="J263">
            <v>1903.6</v>
          </cell>
        </row>
        <row r="264">
          <cell r="G264">
            <v>1076.0999999999781</v>
          </cell>
          <cell r="H264">
            <v>1903.6</v>
          </cell>
          <cell r="I264">
            <v>1076.199999999978</v>
          </cell>
          <cell r="J264">
            <v>1916.2</v>
          </cell>
        </row>
        <row r="265">
          <cell r="G265">
            <v>1076.199999999978</v>
          </cell>
          <cell r="H265">
            <v>1916.2</v>
          </cell>
          <cell r="I265">
            <v>1076.2999999999779</v>
          </cell>
          <cell r="J265">
            <v>1928.8</v>
          </cell>
        </row>
        <row r="266">
          <cell r="G266">
            <v>1076.2999999999779</v>
          </cell>
          <cell r="H266">
            <v>1928.8</v>
          </cell>
          <cell r="I266">
            <v>1076.3999999999778</v>
          </cell>
          <cell r="J266">
            <v>1941.4</v>
          </cell>
        </row>
        <row r="267">
          <cell r="G267">
            <v>1076.3999999999778</v>
          </cell>
          <cell r="H267">
            <v>1941.4</v>
          </cell>
          <cell r="I267">
            <v>1076.4999999999777</v>
          </cell>
          <cell r="J267">
            <v>1954</v>
          </cell>
        </row>
        <row r="268">
          <cell r="G268">
            <v>1076.4999999999777</v>
          </cell>
          <cell r="H268">
            <v>1954</v>
          </cell>
          <cell r="I268">
            <v>1076.5999999999776</v>
          </cell>
          <cell r="J268">
            <v>1966.6</v>
          </cell>
        </row>
        <row r="269">
          <cell r="G269">
            <v>1076.5999999999776</v>
          </cell>
          <cell r="H269">
            <v>1966.6</v>
          </cell>
          <cell r="I269">
            <v>1076.6999999999775</v>
          </cell>
          <cell r="J269">
            <v>1979.2</v>
          </cell>
        </row>
        <row r="270">
          <cell r="G270">
            <v>1076.6999999999775</v>
          </cell>
          <cell r="H270">
            <v>1979.2</v>
          </cell>
          <cell r="I270">
            <v>1076.7999999999774</v>
          </cell>
          <cell r="J270">
            <v>1991.8</v>
          </cell>
        </row>
        <row r="271">
          <cell r="G271">
            <v>1076.7999999999774</v>
          </cell>
          <cell r="H271">
            <v>1991.8</v>
          </cell>
          <cell r="I271">
            <v>1076.8999999999774</v>
          </cell>
          <cell r="J271">
            <v>2004.4</v>
          </cell>
        </row>
        <row r="272">
          <cell r="G272">
            <v>1076.8999999999774</v>
          </cell>
          <cell r="H272">
            <v>2004.4</v>
          </cell>
          <cell r="I272">
            <v>1076.9999999999773</v>
          </cell>
          <cell r="J272">
            <v>2017</v>
          </cell>
        </row>
        <row r="273">
          <cell r="G273">
            <v>1076.9999999999773</v>
          </cell>
          <cell r="H273">
            <v>2017</v>
          </cell>
          <cell r="I273">
            <v>1077.0999999999772</v>
          </cell>
          <cell r="J273">
            <v>2030</v>
          </cell>
        </row>
        <row r="274">
          <cell r="G274">
            <v>1077.0999999999772</v>
          </cell>
          <cell r="H274">
            <v>2030</v>
          </cell>
          <cell r="I274">
            <v>1077.1999999999771</v>
          </cell>
          <cell r="J274">
            <v>2043</v>
          </cell>
        </row>
        <row r="275">
          <cell r="G275">
            <v>1077.1999999999771</v>
          </cell>
          <cell r="H275">
            <v>2043</v>
          </cell>
          <cell r="I275">
            <v>1077.299999999977</v>
          </cell>
          <cell r="J275">
            <v>2056</v>
          </cell>
        </row>
        <row r="276">
          <cell r="G276">
            <v>1077.299999999977</v>
          </cell>
          <cell r="H276">
            <v>2056</v>
          </cell>
          <cell r="I276">
            <v>1077.3999999999769</v>
          </cell>
          <cell r="J276">
            <v>2069</v>
          </cell>
        </row>
        <row r="277">
          <cell r="G277">
            <v>1077.3999999999769</v>
          </cell>
          <cell r="H277">
            <v>2069</v>
          </cell>
          <cell r="I277">
            <v>1077.4999999999768</v>
          </cell>
          <cell r="J277">
            <v>2082</v>
          </cell>
        </row>
        <row r="278">
          <cell r="G278">
            <v>1077.4999999999768</v>
          </cell>
          <cell r="H278">
            <v>2082</v>
          </cell>
          <cell r="I278">
            <v>1077.5999999999767</v>
          </cell>
          <cell r="J278">
            <v>2095</v>
          </cell>
        </row>
        <row r="279">
          <cell r="G279">
            <v>1077.5999999999767</v>
          </cell>
          <cell r="H279">
            <v>2095</v>
          </cell>
          <cell r="I279">
            <v>1077.6999999999766</v>
          </cell>
          <cell r="J279">
            <v>2108</v>
          </cell>
        </row>
        <row r="280">
          <cell r="G280">
            <v>1077.6999999999766</v>
          </cell>
          <cell r="H280">
            <v>2108</v>
          </cell>
          <cell r="I280">
            <v>1077.7999999999765</v>
          </cell>
          <cell r="J280">
            <v>2121</v>
          </cell>
        </row>
        <row r="281">
          <cell r="G281">
            <v>1077.7999999999765</v>
          </cell>
          <cell r="H281">
            <v>2121</v>
          </cell>
          <cell r="I281">
            <v>1077.8999999999764</v>
          </cell>
          <cell r="J281">
            <v>2134</v>
          </cell>
        </row>
        <row r="282">
          <cell r="G282">
            <v>1077.8999999999764</v>
          </cell>
          <cell r="H282">
            <v>2134</v>
          </cell>
          <cell r="I282">
            <v>1077.9999999999764</v>
          </cell>
          <cell r="J282">
            <v>2147</v>
          </cell>
        </row>
        <row r="283">
          <cell r="G283">
            <v>1077.9999999999764</v>
          </cell>
          <cell r="H283">
            <v>2147</v>
          </cell>
          <cell r="I283">
            <v>1078.0999999999763</v>
          </cell>
          <cell r="J283">
            <v>2160.5</v>
          </cell>
        </row>
        <row r="284">
          <cell r="G284">
            <v>1078.0999999999763</v>
          </cell>
          <cell r="H284">
            <v>2160.5</v>
          </cell>
          <cell r="I284">
            <v>1078.1999999999762</v>
          </cell>
          <cell r="J284">
            <v>2174</v>
          </cell>
        </row>
        <row r="285">
          <cell r="G285">
            <v>1078.1999999999762</v>
          </cell>
          <cell r="H285">
            <v>2174</v>
          </cell>
          <cell r="I285">
            <v>1078.2999999999761</v>
          </cell>
          <cell r="J285">
            <v>2187.5</v>
          </cell>
        </row>
        <row r="286">
          <cell r="G286">
            <v>1078.2999999999761</v>
          </cell>
          <cell r="H286">
            <v>2187.5</v>
          </cell>
          <cell r="I286">
            <v>1078.399999999976</v>
          </cell>
          <cell r="J286">
            <v>2201</v>
          </cell>
        </row>
        <row r="287">
          <cell r="G287">
            <v>1078.399999999976</v>
          </cell>
          <cell r="H287">
            <v>2201</v>
          </cell>
          <cell r="I287">
            <v>1078.4999999999759</v>
          </cell>
          <cell r="J287">
            <v>2214.5</v>
          </cell>
        </row>
        <row r="288">
          <cell r="G288">
            <v>1078.4999999999759</v>
          </cell>
          <cell r="H288">
            <v>2214.5</v>
          </cell>
          <cell r="I288">
            <v>1078.5999999999758</v>
          </cell>
          <cell r="J288">
            <v>2228</v>
          </cell>
        </row>
        <row r="289">
          <cell r="G289">
            <v>1078.5999999999758</v>
          </cell>
          <cell r="H289">
            <v>2228</v>
          </cell>
          <cell r="I289">
            <v>1078.6999999999757</v>
          </cell>
          <cell r="J289">
            <v>2241.5</v>
          </cell>
        </row>
        <row r="290">
          <cell r="G290">
            <v>1078.6999999999757</v>
          </cell>
          <cell r="H290">
            <v>2241.5</v>
          </cell>
          <cell r="I290">
            <v>1078.7999999999756</v>
          </cell>
          <cell r="J290">
            <v>2255</v>
          </cell>
        </row>
        <row r="291">
          <cell r="G291">
            <v>1078.7999999999756</v>
          </cell>
          <cell r="H291">
            <v>2255</v>
          </cell>
          <cell r="I291">
            <v>1078.8999999999755</v>
          </cell>
          <cell r="J291">
            <v>2268.5</v>
          </cell>
        </row>
        <row r="292">
          <cell r="G292">
            <v>1078.8999999999755</v>
          </cell>
          <cell r="H292">
            <v>2268.5</v>
          </cell>
          <cell r="I292">
            <v>1078.9999999999754</v>
          </cell>
          <cell r="J292">
            <v>2282</v>
          </cell>
        </row>
        <row r="293">
          <cell r="G293">
            <v>1078.9999999999754</v>
          </cell>
          <cell r="H293">
            <v>2282</v>
          </cell>
          <cell r="I293">
            <v>1079.0999999999754</v>
          </cell>
          <cell r="J293">
            <v>2296</v>
          </cell>
        </row>
        <row r="294">
          <cell r="G294">
            <v>1079.0999999999754</v>
          </cell>
          <cell r="H294">
            <v>2296</v>
          </cell>
          <cell r="I294">
            <v>1079.1999999999753</v>
          </cell>
          <cell r="J294">
            <v>2310</v>
          </cell>
        </row>
        <row r="295">
          <cell r="G295">
            <v>1079.1999999999753</v>
          </cell>
          <cell r="H295">
            <v>2310</v>
          </cell>
          <cell r="I295">
            <v>1079.2999999999752</v>
          </cell>
          <cell r="J295">
            <v>2324</v>
          </cell>
        </row>
        <row r="296">
          <cell r="G296">
            <v>1079.2999999999752</v>
          </cell>
          <cell r="H296">
            <v>2324</v>
          </cell>
          <cell r="I296">
            <v>1079.3999999999751</v>
          </cell>
          <cell r="J296">
            <v>2338</v>
          </cell>
        </row>
        <row r="297">
          <cell r="G297">
            <v>1079.3999999999751</v>
          </cell>
          <cell r="H297">
            <v>2338</v>
          </cell>
          <cell r="I297">
            <v>1079.499999999975</v>
          </cell>
          <cell r="J297">
            <v>2352</v>
          </cell>
        </row>
        <row r="298">
          <cell r="G298">
            <v>1079.499999999975</v>
          </cell>
          <cell r="H298">
            <v>2352</v>
          </cell>
          <cell r="I298">
            <v>1079.5999999999749</v>
          </cell>
          <cell r="J298">
            <v>2366</v>
          </cell>
        </row>
        <row r="299">
          <cell r="G299">
            <v>1079.5999999999749</v>
          </cell>
          <cell r="H299">
            <v>2366</v>
          </cell>
          <cell r="I299">
            <v>1079.6999999999748</v>
          </cell>
          <cell r="J299">
            <v>2380</v>
          </cell>
        </row>
        <row r="300">
          <cell r="G300">
            <v>1079.6999999999748</v>
          </cell>
          <cell r="H300">
            <v>2380</v>
          </cell>
          <cell r="I300">
            <v>1079.7999999999747</v>
          </cell>
          <cell r="J300">
            <v>2394</v>
          </cell>
        </row>
        <row r="301">
          <cell r="G301">
            <v>1079.7999999999747</v>
          </cell>
          <cell r="H301">
            <v>2394</v>
          </cell>
          <cell r="I301">
            <v>1079.8999999999746</v>
          </cell>
          <cell r="J301">
            <v>2408</v>
          </cell>
        </row>
        <row r="302">
          <cell r="G302">
            <v>1079.8999999999746</v>
          </cell>
          <cell r="H302">
            <v>2408</v>
          </cell>
          <cell r="I302">
            <v>1079.9999999999745</v>
          </cell>
          <cell r="J302">
            <v>2422</v>
          </cell>
        </row>
        <row r="303">
          <cell r="G303">
            <v>1079.9999999999745</v>
          </cell>
          <cell r="H303">
            <v>2422</v>
          </cell>
          <cell r="I303">
            <v>1080.0999999999744</v>
          </cell>
          <cell r="J303">
            <v>2436.3000000000002</v>
          </cell>
        </row>
        <row r="304">
          <cell r="G304">
            <v>1080.0999999999744</v>
          </cell>
          <cell r="H304">
            <v>2436.3000000000002</v>
          </cell>
          <cell r="I304">
            <v>1080.1999999999744</v>
          </cell>
          <cell r="J304">
            <v>2450.6</v>
          </cell>
        </row>
        <row r="305">
          <cell r="G305">
            <v>1080.1999999999744</v>
          </cell>
          <cell r="H305">
            <v>2450.6</v>
          </cell>
          <cell r="I305">
            <v>1080.2999999999743</v>
          </cell>
          <cell r="J305">
            <v>2464.9</v>
          </cell>
        </row>
        <row r="306">
          <cell r="G306">
            <v>1080.2999999999743</v>
          </cell>
          <cell r="H306">
            <v>2464.9</v>
          </cell>
          <cell r="I306">
            <v>1080.3999999999742</v>
          </cell>
          <cell r="J306">
            <v>2479.1999999999998</v>
          </cell>
        </row>
        <row r="307">
          <cell r="G307">
            <v>1080.3999999999742</v>
          </cell>
          <cell r="H307">
            <v>2479.1999999999998</v>
          </cell>
          <cell r="I307">
            <v>1080.4999999999741</v>
          </cell>
          <cell r="J307">
            <v>2493.5</v>
          </cell>
        </row>
        <row r="308">
          <cell r="G308">
            <v>1080.4999999999741</v>
          </cell>
          <cell r="H308">
            <v>2493.5</v>
          </cell>
          <cell r="I308">
            <v>1080.599999999974</v>
          </cell>
          <cell r="J308">
            <v>2507.8000000000002</v>
          </cell>
        </row>
        <row r="309">
          <cell r="G309">
            <v>1080.599999999974</v>
          </cell>
          <cell r="H309">
            <v>2507.8000000000002</v>
          </cell>
          <cell r="I309">
            <v>1080.6999999999739</v>
          </cell>
          <cell r="J309">
            <v>2522.1</v>
          </cell>
        </row>
        <row r="310">
          <cell r="G310">
            <v>1080.6999999999739</v>
          </cell>
          <cell r="H310">
            <v>2522.1</v>
          </cell>
          <cell r="I310">
            <v>1080.7999999999738</v>
          </cell>
          <cell r="J310">
            <v>2536.4</v>
          </cell>
        </row>
        <row r="311">
          <cell r="G311">
            <v>1080.7999999999738</v>
          </cell>
          <cell r="H311">
            <v>2536.4</v>
          </cell>
          <cell r="I311">
            <v>1080.8999999999737</v>
          </cell>
          <cell r="J311">
            <v>2550.6999999999998</v>
          </cell>
        </row>
        <row r="312">
          <cell r="G312">
            <v>1080.8999999999737</v>
          </cell>
          <cell r="H312">
            <v>2550.6999999999998</v>
          </cell>
          <cell r="I312">
            <v>1080.9999999999736</v>
          </cell>
          <cell r="J312">
            <v>2565</v>
          </cell>
        </row>
        <row r="313">
          <cell r="G313">
            <v>1080.9999999999736</v>
          </cell>
          <cell r="H313">
            <v>2565</v>
          </cell>
          <cell r="I313">
            <v>1081.0999999999735</v>
          </cell>
          <cell r="J313">
            <v>2579.9</v>
          </cell>
        </row>
        <row r="314">
          <cell r="G314">
            <v>1081.0999999999735</v>
          </cell>
          <cell r="H314">
            <v>2579.9</v>
          </cell>
          <cell r="I314">
            <v>1081.1999999999734</v>
          </cell>
          <cell r="J314">
            <v>2594.8000000000002</v>
          </cell>
        </row>
        <row r="315">
          <cell r="G315">
            <v>1081.1999999999734</v>
          </cell>
          <cell r="H315">
            <v>2594.8000000000002</v>
          </cell>
          <cell r="I315">
            <v>1081.2999999999734</v>
          </cell>
          <cell r="J315">
            <v>2609.6999999999998</v>
          </cell>
        </row>
        <row r="316">
          <cell r="G316">
            <v>1081.2999999999734</v>
          </cell>
          <cell r="H316">
            <v>2609.6999999999998</v>
          </cell>
          <cell r="I316">
            <v>1081.3999999999733</v>
          </cell>
          <cell r="J316">
            <v>2624.6</v>
          </cell>
        </row>
        <row r="317">
          <cell r="G317">
            <v>1081.3999999999733</v>
          </cell>
          <cell r="H317">
            <v>2624.6</v>
          </cell>
          <cell r="I317">
            <v>1081.4999999999732</v>
          </cell>
          <cell r="J317">
            <v>2639.5</v>
          </cell>
        </row>
        <row r="318">
          <cell r="G318">
            <v>1081.4999999999732</v>
          </cell>
          <cell r="H318">
            <v>2639.5</v>
          </cell>
          <cell r="I318">
            <v>1081.5999999999731</v>
          </cell>
          <cell r="J318">
            <v>2654.4</v>
          </cell>
        </row>
        <row r="319">
          <cell r="G319">
            <v>1081.5999999999731</v>
          </cell>
          <cell r="H319">
            <v>2654.4</v>
          </cell>
          <cell r="I319">
            <v>1081.699999999973</v>
          </cell>
          <cell r="J319">
            <v>2669.3</v>
          </cell>
        </row>
        <row r="320">
          <cell r="G320">
            <v>1081.699999999973</v>
          </cell>
          <cell r="H320">
            <v>2669.3</v>
          </cell>
          <cell r="I320">
            <v>1081.7999999999729</v>
          </cell>
          <cell r="J320">
            <v>2684.2</v>
          </cell>
        </row>
        <row r="321">
          <cell r="G321">
            <v>1081.7999999999729</v>
          </cell>
          <cell r="H321">
            <v>2684.2</v>
          </cell>
          <cell r="I321">
            <v>1081.8999999999728</v>
          </cell>
          <cell r="J321">
            <v>2699.1</v>
          </cell>
        </row>
        <row r="322">
          <cell r="G322">
            <v>1081.8999999999728</v>
          </cell>
          <cell r="H322">
            <v>2699.1</v>
          </cell>
          <cell r="I322">
            <v>1081.9999999999727</v>
          </cell>
          <cell r="J322">
            <v>2714</v>
          </cell>
        </row>
        <row r="323">
          <cell r="G323">
            <v>1081.9999999999727</v>
          </cell>
          <cell r="H323">
            <v>2714</v>
          </cell>
          <cell r="I323">
            <v>1082.0999999999726</v>
          </cell>
          <cell r="J323">
            <v>2729.3</v>
          </cell>
        </row>
        <row r="324">
          <cell r="G324">
            <v>1082.0999999999726</v>
          </cell>
          <cell r="H324">
            <v>2729.3</v>
          </cell>
          <cell r="I324">
            <v>1082.1999999999725</v>
          </cell>
          <cell r="J324">
            <v>2744.6</v>
          </cell>
        </row>
        <row r="325">
          <cell r="G325">
            <v>1082.1999999999725</v>
          </cell>
          <cell r="H325">
            <v>2744.6</v>
          </cell>
          <cell r="I325">
            <v>1082.2999999999724</v>
          </cell>
          <cell r="J325">
            <v>2759.9</v>
          </cell>
        </row>
        <row r="326">
          <cell r="G326">
            <v>1082.2999999999724</v>
          </cell>
          <cell r="H326">
            <v>2759.9</v>
          </cell>
          <cell r="I326">
            <v>1082.3999999999724</v>
          </cell>
          <cell r="J326">
            <v>2775.2</v>
          </cell>
        </row>
        <row r="327">
          <cell r="G327">
            <v>1082.3999999999724</v>
          </cell>
          <cell r="H327">
            <v>2775.2</v>
          </cell>
          <cell r="I327">
            <v>1082.4999999999723</v>
          </cell>
          <cell r="J327">
            <v>2790.5</v>
          </cell>
        </row>
        <row r="328">
          <cell r="G328">
            <v>1082.4999999999723</v>
          </cell>
          <cell r="H328">
            <v>2790.5</v>
          </cell>
          <cell r="I328">
            <v>1082.5999999999722</v>
          </cell>
          <cell r="J328">
            <v>2805.8</v>
          </cell>
        </row>
        <row r="329">
          <cell r="G329">
            <v>1082.5999999999722</v>
          </cell>
          <cell r="H329">
            <v>2805.8</v>
          </cell>
          <cell r="I329">
            <v>1082.6999999999721</v>
          </cell>
          <cell r="J329">
            <v>2821.1</v>
          </cell>
        </row>
        <row r="330">
          <cell r="G330">
            <v>1082.6999999999721</v>
          </cell>
          <cell r="H330">
            <v>2821.1</v>
          </cell>
          <cell r="I330">
            <v>1082.799999999972</v>
          </cell>
          <cell r="J330">
            <v>2836.4</v>
          </cell>
        </row>
        <row r="331">
          <cell r="G331">
            <v>1082.799999999972</v>
          </cell>
          <cell r="H331">
            <v>2836.4</v>
          </cell>
          <cell r="I331">
            <v>1082.8999999999719</v>
          </cell>
          <cell r="J331">
            <v>2851.7</v>
          </cell>
        </row>
        <row r="332">
          <cell r="G332">
            <v>1082.8999999999719</v>
          </cell>
          <cell r="H332">
            <v>2851.7</v>
          </cell>
          <cell r="I332">
            <v>1082.9999999999718</v>
          </cell>
          <cell r="J332">
            <v>2867</v>
          </cell>
        </row>
        <row r="333">
          <cell r="G333">
            <v>1082.9999999999718</v>
          </cell>
          <cell r="H333">
            <v>2867</v>
          </cell>
          <cell r="I333">
            <v>1083.0999999999717</v>
          </cell>
          <cell r="J333">
            <v>2882.8</v>
          </cell>
        </row>
        <row r="334">
          <cell r="G334">
            <v>1083.0999999999717</v>
          </cell>
          <cell r="H334">
            <v>2882.8</v>
          </cell>
          <cell r="I334">
            <v>1083.1999999999716</v>
          </cell>
          <cell r="J334">
            <v>2898.6</v>
          </cell>
        </row>
        <row r="335">
          <cell r="G335">
            <v>1083.1999999999716</v>
          </cell>
          <cell r="H335">
            <v>2898.6</v>
          </cell>
          <cell r="I335">
            <v>1083.2999999999715</v>
          </cell>
          <cell r="J335">
            <v>2914.4</v>
          </cell>
        </row>
        <row r="336">
          <cell r="G336">
            <v>1083.2999999999715</v>
          </cell>
          <cell r="H336">
            <v>2914.4</v>
          </cell>
          <cell r="I336">
            <v>1083.3999999999714</v>
          </cell>
          <cell r="J336">
            <v>2930.2</v>
          </cell>
        </row>
        <row r="337">
          <cell r="G337">
            <v>1083.3999999999714</v>
          </cell>
          <cell r="H337">
            <v>2930.2</v>
          </cell>
          <cell r="I337">
            <v>1083.4999999999714</v>
          </cell>
          <cell r="J337">
            <v>2946</v>
          </cell>
        </row>
        <row r="338">
          <cell r="G338">
            <v>1083.4999999999714</v>
          </cell>
          <cell r="H338">
            <v>2946</v>
          </cell>
          <cell r="I338">
            <v>1083.5999999999713</v>
          </cell>
          <cell r="J338">
            <v>2961.8</v>
          </cell>
        </row>
        <row r="339">
          <cell r="G339">
            <v>1083.5999999999713</v>
          </cell>
          <cell r="H339">
            <v>2961.8</v>
          </cell>
          <cell r="I339">
            <v>1083.6999999999712</v>
          </cell>
          <cell r="J339">
            <v>2977.6</v>
          </cell>
        </row>
        <row r="340">
          <cell r="G340">
            <v>1083.6999999999712</v>
          </cell>
          <cell r="H340">
            <v>2977.6</v>
          </cell>
          <cell r="I340">
            <v>1083.7999999999711</v>
          </cell>
          <cell r="J340">
            <v>2993.4</v>
          </cell>
        </row>
        <row r="341">
          <cell r="G341">
            <v>1083.7999999999711</v>
          </cell>
          <cell r="H341">
            <v>2993.4</v>
          </cell>
          <cell r="I341">
            <v>1083.899999999971</v>
          </cell>
          <cell r="J341">
            <v>3009.2</v>
          </cell>
        </row>
        <row r="342">
          <cell r="G342">
            <v>1083.899999999971</v>
          </cell>
          <cell r="H342">
            <v>3009.2</v>
          </cell>
          <cell r="I342">
            <v>1083.9999999999709</v>
          </cell>
          <cell r="J342">
            <v>3025</v>
          </cell>
        </row>
        <row r="343">
          <cell r="G343">
            <v>1083.9999999999709</v>
          </cell>
          <cell r="H343">
            <v>3025</v>
          </cell>
          <cell r="I343">
            <v>1084.0999999999708</v>
          </cell>
          <cell r="J343">
            <v>3041.2</v>
          </cell>
        </row>
        <row r="344">
          <cell r="G344">
            <v>1084.0999999999708</v>
          </cell>
          <cell r="H344">
            <v>3041.2</v>
          </cell>
          <cell r="I344">
            <v>1084.1999999999707</v>
          </cell>
          <cell r="J344">
            <v>3057.4</v>
          </cell>
        </row>
        <row r="345">
          <cell r="G345">
            <v>1084.1999999999707</v>
          </cell>
          <cell r="H345">
            <v>3057.4</v>
          </cell>
          <cell r="I345">
            <v>1084.2999999999706</v>
          </cell>
          <cell r="J345">
            <v>3073.6</v>
          </cell>
        </row>
        <row r="346">
          <cell r="G346">
            <v>1084.2999999999706</v>
          </cell>
          <cell r="H346">
            <v>3073.6</v>
          </cell>
          <cell r="I346">
            <v>1084.3999999999705</v>
          </cell>
          <cell r="J346">
            <v>3089.8</v>
          </cell>
        </row>
        <row r="347">
          <cell r="G347">
            <v>1084.3999999999705</v>
          </cell>
          <cell r="H347">
            <v>3089.8</v>
          </cell>
          <cell r="I347">
            <v>1084.4999999999704</v>
          </cell>
          <cell r="J347">
            <v>3106</v>
          </cell>
        </row>
        <row r="348">
          <cell r="G348">
            <v>1084.4999999999704</v>
          </cell>
          <cell r="H348">
            <v>3106</v>
          </cell>
          <cell r="I348">
            <v>1084.5999999999704</v>
          </cell>
          <cell r="J348">
            <v>3122.2</v>
          </cell>
        </row>
        <row r="349">
          <cell r="G349">
            <v>1084.5999999999704</v>
          </cell>
          <cell r="H349">
            <v>3122.2</v>
          </cell>
          <cell r="I349">
            <v>1084.6999999999703</v>
          </cell>
          <cell r="J349">
            <v>3138.4</v>
          </cell>
        </row>
        <row r="350">
          <cell r="G350">
            <v>1084.6999999999703</v>
          </cell>
          <cell r="H350">
            <v>3138.4</v>
          </cell>
          <cell r="I350">
            <v>1084.7999999999702</v>
          </cell>
          <cell r="J350">
            <v>3154.6</v>
          </cell>
        </row>
        <row r="351">
          <cell r="G351">
            <v>1084.7999999999702</v>
          </cell>
          <cell r="H351">
            <v>3154.6</v>
          </cell>
          <cell r="I351">
            <v>1084.8999999999701</v>
          </cell>
          <cell r="J351">
            <v>3170.8</v>
          </cell>
        </row>
        <row r="352">
          <cell r="G352">
            <v>1084.8999999999701</v>
          </cell>
          <cell r="H352">
            <v>3170.8</v>
          </cell>
          <cell r="I352">
            <v>1084.99999999997</v>
          </cell>
          <cell r="J352">
            <v>3187</v>
          </cell>
        </row>
        <row r="353">
          <cell r="G353">
            <v>1084.99999999997</v>
          </cell>
          <cell r="H353">
            <v>3187</v>
          </cell>
          <cell r="I353">
            <v>1085.0999999999699</v>
          </cell>
          <cell r="J353">
            <v>3203.8</v>
          </cell>
        </row>
        <row r="354">
          <cell r="G354">
            <v>1085.0999999999699</v>
          </cell>
          <cell r="H354">
            <v>3203.8</v>
          </cell>
          <cell r="I354">
            <v>1085.1999999999698</v>
          </cell>
          <cell r="J354">
            <v>3220.6</v>
          </cell>
        </row>
        <row r="355">
          <cell r="G355">
            <v>1085.1999999999698</v>
          </cell>
          <cell r="H355">
            <v>3220.6</v>
          </cell>
          <cell r="I355">
            <v>1085.2999999999697</v>
          </cell>
          <cell r="J355">
            <v>3237.4</v>
          </cell>
        </row>
        <row r="356">
          <cell r="G356">
            <v>1085.2999999999697</v>
          </cell>
          <cell r="H356">
            <v>3237.4</v>
          </cell>
          <cell r="I356">
            <v>1085.3999999999696</v>
          </cell>
          <cell r="J356">
            <v>3254.2</v>
          </cell>
        </row>
        <row r="357">
          <cell r="G357">
            <v>1085.3999999999696</v>
          </cell>
          <cell r="H357">
            <v>3254.2</v>
          </cell>
          <cell r="I357">
            <v>1085.4999999999695</v>
          </cell>
          <cell r="J357">
            <v>3271</v>
          </cell>
        </row>
        <row r="358">
          <cell r="G358">
            <v>1085.4999999999695</v>
          </cell>
          <cell r="H358">
            <v>3271</v>
          </cell>
          <cell r="I358">
            <v>1085.5999999999694</v>
          </cell>
          <cell r="J358">
            <v>3287.8</v>
          </cell>
        </row>
        <row r="359">
          <cell r="G359">
            <v>1085.5999999999694</v>
          </cell>
          <cell r="H359">
            <v>3287.8</v>
          </cell>
          <cell r="I359">
            <v>1085.6999999999694</v>
          </cell>
          <cell r="J359">
            <v>3304.6</v>
          </cell>
        </row>
        <row r="360">
          <cell r="G360">
            <v>1085.6999999999694</v>
          </cell>
          <cell r="H360">
            <v>3304.6</v>
          </cell>
          <cell r="I360">
            <v>1085.7999999999693</v>
          </cell>
          <cell r="J360">
            <v>3321.4</v>
          </cell>
        </row>
        <row r="361">
          <cell r="G361">
            <v>1085.7999999999693</v>
          </cell>
          <cell r="H361">
            <v>3321.4</v>
          </cell>
          <cell r="I361">
            <v>1085.8999999999692</v>
          </cell>
          <cell r="J361">
            <v>3338.2</v>
          </cell>
        </row>
        <row r="362">
          <cell r="G362">
            <v>1085.8999999999692</v>
          </cell>
          <cell r="H362">
            <v>3338.2</v>
          </cell>
          <cell r="I362">
            <v>1085.9999999999691</v>
          </cell>
          <cell r="J362">
            <v>3355</v>
          </cell>
        </row>
        <row r="363">
          <cell r="G363">
            <v>1085.9999999999691</v>
          </cell>
          <cell r="H363">
            <v>3355</v>
          </cell>
          <cell r="I363">
            <v>1086.099999999969</v>
          </cell>
          <cell r="J363">
            <v>3372.3</v>
          </cell>
        </row>
        <row r="364">
          <cell r="G364">
            <v>1086.099999999969</v>
          </cell>
          <cell r="H364">
            <v>3372.3</v>
          </cell>
          <cell r="I364">
            <v>1086.1999999999689</v>
          </cell>
          <cell r="J364">
            <v>3389.6</v>
          </cell>
        </row>
        <row r="365">
          <cell r="G365">
            <v>1086.1999999999689</v>
          </cell>
          <cell r="H365">
            <v>3389.6</v>
          </cell>
          <cell r="I365">
            <v>1086.2999999999688</v>
          </cell>
          <cell r="J365">
            <v>3406.9</v>
          </cell>
        </row>
        <row r="366">
          <cell r="G366">
            <v>1086.2999999999688</v>
          </cell>
          <cell r="H366">
            <v>3406.9</v>
          </cell>
          <cell r="I366">
            <v>1086.3999999999687</v>
          </cell>
          <cell r="J366">
            <v>3424.2</v>
          </cell>
        </row>
        <row r="367">
          <cell r="G367">
            <v>1086.3999999999687</v>
          </cell>
          <cell r="H367">
            <v>3424.2</v>
          </cell>
          <cell r="I367">
            <v>1086.4999999999686</v>
          </cell>
          <cell r="J367">
            <v>3441.5</v>
          </cell>
        </row>
        <row r="368">
          <cell r="G368">
            <v>1086.4999999999686</v>
          </cell>
          <cell r="H368">
            <v>3441.5</v>
          </cell>
          <cell r="I368">
            <v>1086.5999999999685</v>
          </cell>
          <cell r="J368">
            <v>3458.8</v>
          </cell>
        </row>
        <row r="369">
          <cell r="G369">
            <v>1086.5999999999685</v>
          </cell>
          <cell r="H369">
            <v>3458.8</v>
          </cell>
          <cell r="I369">
            <v>1086.6999999999684</v>
          </cell>
          <cell r="J369">
            <v>3476.1</v>
          </cell>
        </row>
        <row r="370">
          <cell r="G370">
            <v>1086.6999999999684</v>
          </cell>
          <cell r="H370">
            <v>3476.1</v>
          </cell>
          <cell r="I370">
            <v>1086.7999999999683</v>
          </cell>
          <cell r="J370">
            <v>3493.4</v>
          </cell>
        </row>
        <row r="371">
          <cell r="G371">
            <v>1086.7999999999683</v>
          </cell>
          <cell r="H371">
            <v>3493.4</v>
          </cell>
          <cell r="I371">
            <v>1086.8999999999683</v>
          </cell>
          <cell r="J371">
            <v>3510.7</v>
          </cell>
        </row>
        <row r="372">
          <cell r="G372">
            <v>1086.8999999999683</v>
          </cell>
          <cell r="H372">
            <v>3510.7</v>
          </cell>
          <cell r="I372">
            <v>1086.9999999999682</v>
          </cell>
          <cell r="J372">
            <v>3528</v>
          </cell>
        </row>
        <row r="373">
          <cell r="G373">
            <v>1086.9999999999682</v>
          </cell>
          <cell r="H373">
            <v>3528</v>
          </cell>
          <cell r="I373">
            <v>1087.0999999999681</v>
          </cell>
          <cell r="J373">
            <v>3545.9</v>
          </cell>
        </row>
        <row r="374">
          <cell r="G374">
            <v>1087.0999999999681</v>
          </cell>
          <cell r="H374">
            <v>3545.9</v>
          </cell>
          <cell r="I374">
            <v>1087.199999999968</v>
          </cell>
          <cell r="J374">
            <v>3563.8</v>
          </cell>
        </row>
        <row r="375">
          <cell r="G375">
            <v>1087.199999999968</v>
          </cell>
          <cell r="H375">
            <v>3563.8</v>
          </cell>
          <cell r="I375">
            <v>1087.2999999999679</v>
          </cell>
          <cell r="J375">
            <v>3581.7</v>
          </cell>
        </row>
        <row r="376">
          <cell r="G376">
            <v>1087.2999999999679</v>
          </cell>
          <cell r="H376">
            <v>3581.7</v>
          </cell>
          <cell r="I376">
            <v>1087.3999999999678</v>
          </cell>
          <cell r="J376">
            <v>3599.6</v>
          </cell>
        </row>
        <row r="377">
          <cell r="G377">
            <v>1087.3999999999678</v>
          </cell>
          <cell r="H377">
            <v>3599.6</v>
          </cell>
          <cell r="I377">
            <v>1087.4999999999677</v>
          </cell>
          <cell r="J377">
            <v>3617.5</v>
          </cell>
        </row>
        <row r="378">
          <cell r="G378">
            <v>1087.4999999999677</v>
          </cell>
          <cell r="H378">
            <v>3617.5</v>
          </cell>
          <cell r="I378">
            <v>1087.5999999999676</v>
          </cell>
          <cell r="J378">
            <v>3635.4</v>
          </cell>
        </row>
        <row r="379">
          <cell r="G379">
            <v>1087.5999999999676</v>
          </cell>
          <cell r="H379">
            <v>3635.4</v>
          </cell>
          <cell r="I379">
            <v>1087.6999999999675</v>
          </cell>
          <cell r="J379">
            <v>3653.3</v>
          </cell>
        </row>
        <row r="380">
          <cell r="G380">
            <v>1087.6999999999675</v>
          </cell>
          <cell r="H380">
            <v>3653.3</v>
          </cell>
          <cell r="I380">
            <v>1087.7999999999674</v>
          </cell>
          <cell r="J380">
            <v>3671.2</v>
          </cell>
        </row>
        <row r="381">
          <cell r="G381">
            <v>1087.7999999999674</v>
          </cell>
          <cell r="H381">
            <v>3671.2</v>
          </cell>
          <cell r="I381">
            <v>1087.8999999999673</v>
          </cell>
          <cell r="J381">
            <v>3689.1</v>
          </cell>
        </row>
        <row r="382">
          <cell r="G382">
            <v>1087.8999999999673</v>
          </cell>
          <cell r="H382">
            <v>3689.1</v>
          </cell>
          <cell r="I382">
            <v>1087.9999999999673</v>
          </cell>
          <cell r="J382">
            <v>3707</v>
          </cell>
        </row>
        <row r="383">
          <cell r="G383">
            <v>1087.9999999999673</v>
          </cell>
          <cell r="H383">
            <v>3707</v>
          </cell>
          <cell r="I383">
            <v>1088.0999999999672</v>
          </cell>
          <cell r="J383">
            <v>3725.4</v>
          </cell>
        </row>
        <row r="384">
          <cell r="G384">
            <v>1088.0999999999672</v>
          </cell>
          <cell r="H384">
            <v>3725.4</v>
          </cell>
          <cell r="I384">
            <v>1088.1999999999671</v>
          </cell>
          <cell r="J384">
            <v>3743.8</v>
          </cell>
        </row>
        <row r="385">
          <cell r="G385">
            <v>1088.1999999999671</v>
          </cell>
          <cell r="H385">
            <v>3743.8</v>
          </cell>
          <cell r="I385">
            <v>1088.299999999967</v>
          </cell>
          <cell r="J385">
            <v>3762.2</v>
          </cell>
        </row>
        <row r="386">
          <cell r="G386">
            <v>1088.299999999967</v>
          </cell>
          <cell r="H386">
            <v>3762.2</v>
          </cell>
          <cell r="I386">
            <v>1088.3999999999669</v>
          </cell>
          <cell r="J386">
            <v>3780.6</v>
          </cell>
        </row>
        <row r="387">
          <cell r="G387">
            <v>1088.3999999999669</v>
          </cell>
          <cell r="H387">
            <v>3780.6</v>
          </cell>
          <cell r="I387">
            <v>1088.4999999999668</v>
          </cell>
          <cell r="J387">
            <v>3799</v>
          </cell>
        </row>
        <row r="388">
          <cell r="G388">
            <v>1088.4999999999668</v>
          </cell>
          <cell r="H388">
            <v>3799</v>
          </cell>
          <cell r="I388">
            <v>1088.5999999999667</v>
          </cell>
          <cell r="J388">
            <v>3817.4</v>
          </cell>
        </row>
        <row r="389">
          <cell r="G389">
            <v>1088.5999999999667</v>
          </cell>
          <cell r="H389">
            <v>3817.4</v>
          </cell>
          <cell r="I389">
            <v>1088.6999999999666</v>
          </cell>
          <cell r="J389">
            <v>3835.8</v>
          </cell>
        </row>
        <row r="390">
          <cell r="G390">
            <v>1088.6999999999666</v>
          </cell>
          <cell r="H390">
            <v>3835.8</v>
          </cell>
          <cell r="I390">
            <v>1088.7999999999665</v>
          </cell>
          <cell r="J390">
            <v>3854.2</v>
          </cell>
        </row>
        <row r="391">
          <cell r="G391">
            <v>1088.7999999999665</v>
          </cell>
          <cell r="H391">
            <v>3854.2</v>
          </cell>
          <cell r="I391">
            <v>1088.8999999999664</v>
          </cell>
          <cell r="J391">
            <v>3872.6</v>
          </cell>
        </row>
        <row r="392">
          <cell r="G392">
            <v>1088.8999999999664</v>
          </cell>
          <cell r="H392">
            <v>3872.6</v>
          </cell>
          <cell r="I392">
            <v>1088.9999999999663</v>
          </cell>
          <cell r="J392">
            <v>3891</v>
          </cell>
        </row>
        <row r="393">
          <cell r="G393">
            <v>1088.9999999999663</v>
          </cell>
          <cell r="H393">
            <v>3891</v>
          </cell>
          <cell r="I393">
            <v>1089.0999999999663</v>
          </cell>
          <cell r="J393">
            <v>3910</v>
          </cell>
        </row>
        <row r="394">
          <cell r="G394">
            <v>1089.0999999999663</v>
          </cell>
          <cell r="H394">
            <v>3910</v>
          </cell>
          <cell r="I394">
            <v>1089.1999999999662</v>
          </cell>
          <cell r="J394">
            <v>3929</v>
          </cell>
        </row>
        <row r="395">
          <cell r="G395">
            <v>1089.1999999999662</v>
          </cell>
          <cell r="H395">
            <v>3929</v>
          </cell>
          <cell r="I395">
            <v>1089.2999999999661</v>
          </cell>
          <cell r="J395">
            <v>3948</v>
          </cell>
        </row>
        <row r="396">
          <cell r="G396">
            <v>1089.2999999999661</v>
          </cell>
          <cell r="H396">
            <v>3948</v>
          </cell>
          <cell r="I396">
            <v>1089.399999999966</v>
          </cell>
          <cell r="J396">
            <v>3967</v>
          </cell>
        </row>
        <row r="397">
          <cell r="G397">
            <v>1089.399999999966</v>
          </cell>
          <cell r="H397">
            <v>3967</v>
          </cell>
          <cell r="I397">
            <v>1089.4999999999659</v>
          </cell>
          <cell r="J397">
            <v>3986</v>
          </cell>
        </row>
        <row r="398">
          <cell r="G398">
            <v>1089.4999999999659</v>
          </cell>
          <cell r="H398">
            <v>3986</v>
          </cell>
          <cell r="I398">
            <v>1089.5999999999658</v>
          </cell>
          <cell r="J398">
            <v>4005</v>
          </cell>
        </row>
        <row r="399">
          <cell r="G399">
            <v>1089.5999999999658</v>
          </cell>
          <cell r="H399">
            <v>4005</v>
          </cell>
          <cell r="I399">
            <v>1089.6999999999657</v>
          </cell>
          <cell r="J399">
            <v>4024</v>
          </cell>
        </row>
        <row r="400">
          <cell r="G400">
            <v>1089.6999999999657</v>
          </cell>
          <cell r="H400">
            <v>4024</v>
          </cell>
          <cell r="I400">
            <v>1089.7999999999656</v>
          </cell>
          <cell r="J400">
            <v>4043</v>
          </cell>
        </row>
        <row r="401">
          <cell r="G401">
            <v>1089.7999999999656</v>
          </cell>
          <cell r="H401">
            <v>4043</v>
          </cell>
          <cell r="I401">
            <v>1089.8999999999655</v>
          </cell>
          <cell r="J401">
            <v>4062</v>
          </cell>
        </row>
        <row r="402">
          <cell r="G402">
            <v>1089.8999999999655</v>
          </cell>
          <cell r="H402">
            <v>4062</v>
          </cell>
          <cell r="I402">
            <v>1089.9999999999654</v>
          </cell>
          <cell r="J402">
            <v>4081</v>
          </cell>
        </row>
        <row r="403">
          <cell r="G403">
            <v>1089.9999999999654</v>
          </cell>
          <cell r="H403">
            <v>4081</v>
          </cell>
          <cell r="I403">
            <v>1090.0999999999653</v>
          </cell>
          <cell r="J403">
            <v>4100.6000000000004</v>
          </cell>
        </row>
        <row r="404">
          <cell r="G404">
            <v>1090.0999999999653</v>
          </cell>
          <cell r="H404">
            <v>4100.6000000000004</v>
          </cell>
          <cell r="I404">
            <v>1090.1999999999653</v>
          </cell>
          <cell r="J404">
            <v>4120.2</v>
          </cell>
        </row>
        <row r="405">
          <cell r="G405">
            <v>1090.1999999999653</v>
          </cell>
          <cell r="H405">
            <v>4120.2</v>
          </cell>
          <cell r="I405">
            <v>1090.2999999999652</v>
          </cell>
          <cell r="J405">
            <v>4139.8</v>
          </cell>
        </row>
        <row r="406">
          <cell r="G406">
            <v>1090.2999999999652</v>
          </cell>
          <cell r="H406">
            <v>4139.8</v>
          </cell>
          <cell r="I406">
            <v>1090.3999999999651</v>
          </cell>
          <cell r="J406">
            <v>4159.3999999999996</v>
          </cell>
        </row>
        <row r="407">
          <cell r="G407">
            <v>1090.3999999999651</v>
          </cell>
          <cell r="H407">
            <v>4159.3999999999996</v>
          </cell>
          <cell r="I407">
            <v>1090.499999999965</v>
          </cell>
          <cell r="J407">
            <v>4179</v>
          </cell>
        </row>
        <row r="408">
          <cell r="G408">
            <v>1090.499999999965</v>
          </cell>
          <cell r="H408">
            <v>4179</v>
          </cell>
          <cell r="I408">
            <v>1090.5999999999649</v>
          </cell>
          <cell r="J408">
            <v>4198.6000000000004</v>
          </cell>
        </row>
        <row r="409">
          <cell r="G409">
            <v>1090.5999999999649</v>
          </cell>
          <cell r="H409">
            <v>4198.6000000000004</v>
          </cell>
          <cell r="I409">
            <v>1090.6999999999648</v>
          </cell>
          <cell r="J409">
            <v>4218.2</v>
          </cell>
        </row>
        <row r="410">
          <cell r="G410">
            <v>1090.6999999999648</v>
          </cell>
          <cell r="H410">
            <v>4218.2</v>
          </cell>
          <cell r="I410">
            <v>1090.7999999999647</v>
          </cell>
          <cell r="J410">
            <v>4237.8</v>
          </cell>
        </row>
        <row r="411">
          <cell r="G411">
            <v>1090.7999999999647</v>
          </cell>
          <cell r="H411">
            <v>4237.8</v>
          </cell>
          <cell r="I411">
            <v>1090.8999999999646</v>
          </cell>
          <cell r="J411">
            <v>4257.3999999999996</v>
          </cell>
        </row>
        <row r="412">
          <cell r="G412">
            <v>1090.8999999999646</v>
          </cell>
          <cell r="H412">
            <v>4257.3999999999996</v>
          </cell>
          <cell r="I412">
            <v>1090.9999999999645</v>
          </cell>
          <cell r="J412">
            <v>4277</v>
          </cell>
        </row>
        <row r="413">
          <cell r="G413">
            <v>1090.9999999999645</v>
          </cell>
          <cell r="H413">
            <v>4277</v>
          </cell>
          <cell r="I413">
            <v>1091.0999999999644</v>
          </cell>
          <cell r="J413">
            <v>4297.1000000000004</v>
          </cell>
        </row>
        <row r="414">
          <cell r="G414">
            <v>1091.0999999999644</v>
          </cell>
          <cell r="H414">
            <v>4297.1000000000004</v>
          </cell>
          <cell r="I414">
            <v>1091.1999999999643</v>
          </cell>
          <cell r="J414">
            <v>4317.2</v>
          </cell>
        </row>
        <row r="415">
          <cell r="G415">
            <v>1091.1999999999643</v>
          </cell>
          <cell r="H415">
            <v>4317.2</v>
          </cell>
          <cell r="I415">
            <v>1091.2999999999643</v>
          </cell>
          <cell r="J415">
            <v>4337.3</v>
          </cell>
        </row>
        <row r="416">
          <cell r="G416">
            <v>1091.2999999999643</v>
          </cell>
          <cell r="H416">
            <v>4337.3</v>
          </cell>
          <cell r="I416">
            <v>1091.3999999999642</v>
          </cell>
          <cell r="J416">
            <v>4357.3999999999996</v>
          </cell>
        </row>
        <row r="417">
          <cell r="G417">
            <v>1091.3999999999642</v>
          </cell>
          <cell r="H417">
            <v>4357.3999999999996</v>
          </cell>
          <cell r="I417">
            <v>1091.4999999999641</v>
          </cell>
          <cell r="J417">
            <v>4377.5</v>
          </cell>
        </row>
        <row r="418">
          <cell r="G418">
            <v>1091.4999999999641</v>
          </cell>
          <cell r="H418">
            <v>4377.5</v>
          </cell>
          <cell r="I418">
            <v>1091.599999999964</v>
          </cell>
          <cell r="J418">
            <v>4397.6000000000004</v>
          </cell>
        </row>
        <row r="419">
          <cell r="G419">
            <v>1091.599999999964</v>
          </cell>
          <cell r="H419">
            <v>4397.6000000000004</v>
          </cell>
          <cell r="I419">
            <v>1091.6999999999639</v>
          </cell>
          <cell r="J419">
            <v>4417.7</v>
          </cell>
        </row>
        <row r="420">
          <cell r="G420">
            <v>1091.6999999999639</v>
          </cell>
          <cell r="H420">
            <v>4417.7</v>
          </cell>
          <cell r="I420">
            <v>1091.7999999999638</v>
          </cell>
          <cell r="J420">
            <v>4437.8</v>
          </cell>
        </row>
        <row r="421">
          <cell r="G421">
            <v>1091.7999999999638</v>
          </cell>
          <cell r="H421">
            <v>4437.8</v>
          </cell>
          <cell r="I421">
            <v>1091.8999999999637</v>
          </cell>
          <cell r="J421">
            <v>4457.8999999999996</v>
          </cell>
        </row>
        <row r="422">
          <cell r="G422">
            <v>1091.8999999999637</v>
          </cell>
          <cell r="H422">
            <v>4457.8999999999996</v>
          </cell>
          <cell r="I422">
            <v>1091.9999999999636</v>
          </cell>
          <cell r="J422">
            <v>4478</v>
          </cell>
        </row>
        <row r="423">
          <cell r="G423">
            <v>1091.9999999999636</v>
          </cell>
          <cell r="H423">
            <v>4478</v>
          </cell>
          <cell r="I423">
            <v>1092.0999999999635</v>
          </cell>
          <cell r="J423">
            <v>4498.8</v>
          </cell>
        </row>
        <row r="424">
          <cell r="G424">
            <v>1092.0999999999635</v>
          </cell>
          <cell r="H424">
            <v>4498.8</v>
          </cell>
          <cell r="I424">
            <v>1092.1999999999634</v>
          </cell>
          <cell r="J424">
            <v>4519.6000000000004</v>
          </cell>
        </row>
        <row r="425">
          <cell r="G425">
            <v>1092.1999999999634</v>
          </cell>
          <cell r="H425">
            <v>4519.6000000000004</v>
          </cell>
          <cell r="I425">
            <v>1092.2999999999633</v>
          </cell>
          <cell r="J425">
            <v>4540.3999999999996</v>
          </cell>
        </row>
        <row r="426">
          <cell r="G426">
            <v>1092.2999999999633</v>
          </cell>
          <cell r="H426">
            <v>4540.3999999999996</v>
          </cell>
          <cell r="I426">
            <v>1092.3999999999633</v>
          </cell>
          <cell r="J426">
            <v>4561.2</v>
          </cell>
        </row>
        <row r="427">
          <cell r="G427">
            <v>1092.3999999999633</v>
          </cell>
          <cell r="H427">
            <v>4561.2</v>
          </cell>
          <cell r="I427">
            <v>1092.4999999999632</v>
          </cell>
          <cell r="J427">
            <v>4582</v>
          </cell>
        </row>
        <row r="428">
          <cell r="G428">
            <v>1092.4999999999632</v>
          </cell>
          <cell r="H428">
            <v>4582</v>
          </cell>
          <cell r="I428">
            <v>1092.5999999999631</v>
          </cell>
          <cell r="J428">
            <v>4602.8</v>
          </cell>
        </row>
        <row r="429">
          <cell r="G429">
            <v>1092.5999999999631</v>
          </cell>
          <cell r="H429">
            <v>4602.8</v>
          </cell>
          <cell r="I429">
            <v>1092.699999999963</v>
          </cell>
          <cell r="J429">
            <v>4623.6000000000004</v>
          </cell>
        </row>
        <row r="430">
          <cell r="G430">
            <v>1092.699999999963</v>
          </cell>
          <cell r="H430">
            <v>4623.6000000000004</v>
          </cell>
          <cell r="I430">
            <v>1092.7999999999629</v>
          </cell>
          <cell r="J430">
            <v>4644.3999999999996</v>
          </cell>
        </row>
        <row r="431">
          <cell r="G431">
            <v>1092.7999999999629</v>
          </cell>
          <cell r="H431">
            <v>4644.3999999999996</v>
          </cell>
          <cell r="I431">
            <v>1092.8999999999628</v>
          </cell>
          <cell r="J431">
            <v>4665.2</v>
          </cell>
        </row>
        <row r="432">
          <cell r="G432">
            <v>1092.8999999999628</v>
          </cell>
          <cell r="H432">
            <v>4665.2</v>
          </cell>
          <cell r="I432">
            <v>1092.9999999999627</v>
          </cell>
          <cell r="J432">
            <v>4686</v>
          </cell>
        </row>
        <row r="433">
          <cell r="G433">
            <v>1092.9999999999627</v>
          </cell>
          <cell r="H433">
            <v>4686</v>
          </cell>
          <cell r="I433">
            <v>1093.0999999999626</v>
          </cell>
          <cell r="J433">
            <v>4707.3</v>
          </cell>
        </row>
        <row r="434">
          <cell r="G434">
            <v>1093.0999999999626</v>
          </cell>
          <cell r="H434">
            <v>4707.3</v>
          </cell>
          <cell r="I434">
            <v>1093.1999999999625</v>
          </cell>
          <cell r="J434">
            <v>4728.6000000000004</v>
          </cell>
        </row>
        <row r="435">
          <cell r="G435">
            <v>1093.1999999999625</v>
          </cell>
          <cell r="H435">
            <v>4728.6000000000004</v>
          </cell>
          <cell r="I435">
            <v>1093.2999999999624</v>
          </cell>
          <cell r="J435">
            <v>4749.8999999999996</v>
          </cell>
        </row>
        <row r="436">
          <cell r="G436">
            <v>1093.2999999999624</v>
          </cell>
          <cell r="H436">
            <v>4749.8999999999996</v>
          </cell>
          <cell r="I436">
            <v>1093.3999999999623</v>
          </cell>
          <cell r="J436">
            <v>4771.2</v>
          </cell>
        </row>
        <row r="437">
          <cell r="G437">
            <v>1093.3999999999623</v>
          </cell>
          <cell r="H437">
            <v>4771.2</v>
          </cell>
          <cell r="I437">
            <v>1093.4999999999623</v>
          </cell>
          <cell r="J437">
            <v>4792.5</v>
          </cell>
        </row>
        <row r="438">
          <cell r="G438">
            <v>1093.4999999999623</v>
          </cell>
          <cell r="H438">
            <v>4792.5</v>
          </cell>
          <cell r="I438">
            <v>1093.5999999999622</v>
          </cell>
          <cell r="J438">
            <v>4813.8</v>
          </cell>
        </row>
        <row r="439">
          <cell r="G439">
            <v>1093.5999999999622</v>
          </cell>
          <cell r="H439">
            <v>4813.8</v>
          </cell>
          <cell r="I439">
            <v>1093.6999999999621</v>
          </cell>
          <cell r="J439">
            <v>4835.1000000000004</v>
          </cell>
        </row>
        <row r="440">
          <cell r="G440">
            <v>1093.6999999999621</v>
          </cell>
          <cell r="H440">
            <v>4835.1000000000004</v>
          </cell>
          <cell r="I440">
            <v>1093.799999999962</v>
          </cell>
          <cell r="J440">
            <v>4856.3999999999996</v>
          </cell>
        </row>
        <row r="441">
          <cell r="G441">
            <v>1093.799999999962</v>
          </cell>
          <cell r="H441">
            <v>4856.3999999999996</v>
          </cell>
          <cell r="I441">
            <v>1093.8999999999619</v>
          </cell>
          <cell r="J441">
            <v>4877.7</v>
          </cell>
        </row>
        <row r="442">
          <cell r="G442">
            <v>1093.8999999999619</v>
          </cell>
          <cell r="H442">
            <v>4877.7</v>
          </cell>
          <cell r="I442">
            <v>1093.9999999999618</v>
          </cell>
          <cell r="J442">
            <v>4899</v>
          </cell>
        </row>
        <row r="443">
          <cell r="G443">
            <v>1093.9999999999618</v>
          </cell>
          <cell r="H443">
            <v>4899</v>
          </cell>
          <cell r="I443">
            <v>1094.0999999999617</v>
          </cell>
          <cell r="J443">
            <v>4921</v>
          </cell>
        </row>
        <row r="444">
          <cell r="G444">
            <v>1094.0999999999617</v>
          </cell>
          <cell r="H444">
            <v>4921</v>
          </cell>
          <cell r="I444">
            <v>1094.1999999999616</v>
          </cell>
          <cell r="J444">
            <v>4943</v>
          </cell>
        </row>
        <row r="445">
          <cell r="G445">
            <v>1094.1999999999616</v>
          </cell>
          <cell r="H445">
            <v>4943</v>
          </cell>
          <cell r="I445">
            <v>1094.2999999999615</v>
          </cell>
          <cell r="J445">
            <v>4965</v>
          </cell>
        </row>
        <row r="446">
          <cell r="G446">
            <v>1094.2999999999615</v>
          </cell>
          <cell r="H446">
            <v>4965</v>
          </cell>
          <cell r="I446">
            <v>1094.3999999999614</v>
          </cell>
          <cell r="J446">
            <v>4987</v>
          </cell>
        </row>
        <row r="447">
          <cell r="G447">
            <v>1094.3999999999614</v>
          </cell>
          <cell r="H447">
            <v>4987</v>
          </cell>
          <cell r="I447">
            <v>1094.4999999999613</v>
          </cell>
          <cell r="J447">
            <v>5009</v>
          </cell>
        </row>
        <row r="448">
          <cell r="G448">
            <v>1094.4999999999613</v>
          </cell>
          <cell r="H448">
            <v>5009</v>
          </cell>
          <cell r="I448">
            <v>1094.5999999999613</v>
          </cell>
          <cell r="J448">
            <v>5031</v>
          </cell>
        </row>
        <row r="449">
          <cell r="G449">
            <v>1094.5999999999613</v>
          </cell>
          <cell r="H449">
            <v>5031</v>
          </cell>
          <cell r="I449">
            <v>1094.6999999999612</v>
          </cell>
          <cell r="J449">
            <v>5053</v>
          </cell>
        </row>
        <row r="450">
          <cell r="G450">
            <v>1094.6999999999612</v>
          </cell>
          <cell r="H450">
            <v>5053</v>
          </cell>
          <cell r="I450">
            <v>1094.7999999999611</v>
          </cell>
          <cell r="J450">
            <v>5075</v>
          </cell>
        </row>
        <row r="451">
          <cell r="G451">
            <v>1094.7999999999611</v>
          </cell>
          <cell r="H451">
            <v>5075</v>
          </cell>
          <cell r="I451">
            <v>1094.899999999961</v>
          </cell>
          <cell r="J451">
            <v>5097</v>
          </cell>
        </row>
        <row r="452">
          <cell r="G452">
            <v>1094.899999999961</v>
          </cell>
          <cell r="H452">
            <v>5097</v>
          </cell>
          <cell r="I452">
            <v>1094.9999999999609</v>
          </cell>
          <cell r="J452">
            <v>5119</v>
          </cell>
        </row>
        <row r="453">
          <cell r="G453">
            <v>1094.9999999999609</v>
          </cell>
          <cell r="H453">
            <v>5119</v>
          </cell>
          <cell r="I453">
            <v>1095.0999999999608</v>
          </cell>
          <cell r="J453">
            <v>5141.6000000000004</v>
          </cell>
        </row>
        <row r="454">
          <cell r="G454">
            <v>1095.0999999999608</v>
          </cell>
          <cell r="H454">
            <v>5141.6000000000004</v>
          </cell>
          <cell r="I454">
            <v>1095.1999999999607</v>
          </cell>
          <cell r="J454">
            <v>5164.2</v>
          </cell>
        </row>
        <row r="455">
          <cell r="G455">
            <v>1095.1999999999607</v>
          </cell>
          <cell r="H455">
            <v>5164.2</v>
          </cell>
          <cell r="I455">
            <v>1095.2999999999606</v>
          </cell>
          <cell r="J455">
            <v>5186.8</v>
          </cell>
        </row>
        <row r="456">
          <cell r="G456">
            <v>1095.2999999999606</v>
          </cell>
          <cell r="H456">
            <v>5186.8</v>
          </cell>
          <cell r="I456">
            <v>1095.3999999999605</v>
          </cell>
          <cell r="J456">
            <v>5209.3999999999996</v>
          </cell>
        </row>
        <row r="457">
          <cell r="G457">
            <v>1095.3999999999605</v>
          </cell>
          <cell r="H457">
            <v>5209.3999999999996</v>
          </cell>
          <cell r="I457">
            <v>1095.4999999999604</v>
          </cell>
          <cell r="J457">
            <v>5232</v>
          </cell>
        </row>
        <row r="458">
          <cell r="G458">
            <v>1095.4999999999604</v>
          </cell>
          <cell r="H458">
            <v>5232</v>
          </cell>
          <cell r="I458">
            <v>1095.5999999999603</v>
          </cell>
          <cell r="J458">
            <v>5254.6</v>
          </cell>
        </row>
        <row r="459">
          <cell r="G459">
            <v>1095.5999999999603</v>
          </cell>
          <cell r="H459">
            <v>5254.6</v>
          </cell>
          <cell r="I459">
            <v>1095.6999999999603</v>
          </cell>
          <cell r="J459">
            <v>5277.2</v>
          </cell>
        </row>
        <row r="460">
          <cell r="G460">
            <v>1095.6999999999603</v>
          </cell>
          <cell r="H460">
            <v>5277.2</v>
          </cell>
          <cell r="I460">
            <v>1095.7999999999602</v>
          </cell>
          <cell r="J460">
            <v>5299.8</v>
          </cell>
        </row>
        <row r="461">
          <cell r="G461">
            <v>1095.7999999999602</v>
          </cell>
          <cell r="H461">
            <v>5299.8</v>
          </cell>
          <cell r="I461">
            <v>1095.8999999999601</v>
          </cell>
          <cell r="J461">
            <v>5322.4</v>
          </cell>
        </row>
        <row r="462">
          <cell r="G462">
            <v>1095.8999999999601</v>
          </cell>
          <cell r="H462">
            <v>5322.4</v>
          </cell>
          <cell r="I462">
            <v>1095.99999999996</v>
          </cell>
          <cell r="J462">
            <v>5345</v>
          </cell>
        </row>
        <row r="463">
          <cell r="G463">
            <v>1095.99999999996</v>
          </cell>
          <cell r="H463">
            <v>5345</v>
          </cell>
          <cell r="I463">
            <v>1096.0999999999599</v>
          </cell>
          <cell r="J463">
            <v>5368.2</v>
          </cell>
        </row>
        <row r="464">
          <cell r="G464">
            <v>1096.0999999999599</v>
          </cell>
          <cell r="H464">
            <v>5368.2</v>
          </cell>
          <cell r="I464">
            <v>1096.1999999999598</v>
          </cell>
          <cell r="J464">
            <v>5391.4</v>
          </cell>
        </row>
        <row r="465">
          <cell r="G465">
            <v>1096.1999999999598</v>
          </cell>
          <cell r="H465">
            <v>5391.4</v>
          </cell>
          <cell r="I465">
            <v>1096.2999999999597</v>
          </cell>
          <cell r="J465">
            <v>5414.6</v>
          </cell>
        </row>
        <row r="466">
          <cell r="G466">
            <v>1096.2999999999597</v>
          </cell>
          <cell r="H466">
            <v>5414.6</v>
          </cell>
          <cell r="I466">
            <v>1096.3999999999596</v>
          </cell>
          <cell r="J466">
            <v>5437.8</v>
          </cell>
        </row>
        <row r="467">
          <cell r="G467">
            <v>1096.3999999999596</v>
          </cell>
          <cell r="H467">
            <v>5437.8</v>
          </cell>
          <cell r="I467">
            <v>1096.4999999999595</v>
          </cell>
          <cell r="J467">
            <v>5461</v>
          </cell>
        </row>
        <row r="468">
          <cell r="G468">
            <v>1096.4999999999595</v>
          </cell>
          <cell r="H468">
            <v>5461</v>
          </cell>
          <cell r="I468">
            <v>1096.5999999999594</v>
          </cell>
          <cell r="J468">
            <v>5484.2</v>
          </cell>
        </row>
        <row r="469">
          <cell r="G469">
            <v>1096.5999999999594</v>
          </cell>
          <cell r="H469">
            <v>5484.2</v>
          </cell>
          <cell r="I469">
            <v>1096.6999999999593</v>
          </cell>
          <cell r="J469">
            <v>5507.4</v>
          </cell>
        </row>
        <row r="470">
          <cell r="G470">
            <v>1096.6999999999593</v>
          </cell>
          <cell r="H470">
            <v>5507.4</v>
          </cell>
          <cell r="I470">
            <v>1096.7999999999593</v>
          </cell>
          <cell r="J470">
            <v>5530.6</v>
          </cell>
        </row>
        <row r="471">
          <cell r="G471">
            <v>1096.7999999999593</v>
          </cell>
          <cell r="H471">
            <v>5530.6</v>
          </cell>
          <cell r="I471">
            <v>1096.8999999999592</v>
          </cell>
          <cell r="J471">
            <v>5553.8</v>
          </cell>
        </row>
        <row r="472">
          <cell r="G472">
            <v>1096.8999999999592</v>
          </cell>
          <cell r="H472">
            <v>5553.8</v>
          </cell>
          <cell r="I472">
            <v>1096.9999999999591</v>
          </cell>
          <cell r="J472">
            <v>5577</v>
          </cell>
        </row>
        <row r="473">
          <cell r="G473">
            <v>1096.9999999999591</v>
          </cell>
          <cell r="H473">
            <v>5577</v>
          </cell>
          <cell r="I473">
            <v>1097.099999999959</v>
          </cell>
          <cell r="J473">
            <v>5600.9</v>
          </cell>
        </row>
        <row r="474">
          <cell r="G474">
            <v>1097.099999999959</v>
          </cell>
          <cell r="H474">
            <v>5600.9</v>
          </cell>
          <cell r="I474">
            <v>1097.1999999999589</v>
          </cell>
          <cell r="J474">
            <v>5624.8</v>
          </cell>
        </row>
        <row r="475">
          <cell r="G475">
            <v>1097.1999999999589</v>
          </cell>
          <cell r="H475">
            <v>5624.8</v>
          </cell>
          <cell r="I475">
            <v>1097.2999999999588</v>
          </cell>
          <cell r="J475">
            <v>5648.7</v>
          </cell>
        </row>
        <row r="476">
          <cell r="G476">
            <v>1097.2999999999588</v>
          </cell>
          <cell r="H476">
            <v>5648.7</v>
          </cell>
          <cell r="I476">
            <v>1097.3999999999587</v>
          </cell>
          <cell r="J476">
            <v>5672.6</v>
          </cell>
        </row>
        <row r="477">
          <cell r="G477">
            <v>1097.3999999999587</v>
          </cell>
          <cell r="H477">
            <v>5672.6</v>
          </cell>
          <cell r="I477">
            <v>1097.4999999999586</v>
          </cell>
          <cell r="J477">
            <v>5696.5</v>
          </cell>
        </row>
        <row r="478">
          <cell r="G478">
            <v>1097.4999999999586</v>
          </cell>
          <cell r="H478">
            <v>5696.5</v>
          </cell>
          <cell r="I478">
            <v>1097.5999999999585</v>
          </cell>
          <cell r="J478">
            <v>5720.4</v>
          </cell>
        </row>
        <row r="479">
          <cell r="G479">
            <v>1097.5999999999585</v>
          </cell>
          <cell r="H479">
            <v>5720.4</v>
          </cell>
          <cell r="I479">
            <v>1097.6999999999584</v>
          </cell>
          <cell r="J479">
            <v>5744.3</v>
          </cell>
        </row>
        <row r="480">
          <cell r="G480">
            <v>1097.6999999999584</v>
          </cell>
          <cell r="H480">
            <v>5744.3</v>
          </cell>
          <cell r="I480">
            <v>1097.7999999999583</v>
          </cell>
          <cell r="J480">
            <v>5768.2</v>
          </cell>
        </row>
        <row r="481">
          <cell r="G481">
            <v>1097.7999999999583</v>
          </cell>
          <cell r="H481">
            <v>5768.2</v>
          </cell>
          <cell r="I481">
            <v>1097.8999999999583</v>
          </cell>
          <cell r="J481">
            <v>5792.1</v>
          </cell>
        </row>
        <row r="482">
          <cell r="G482">
            <v>1097.8999999999583</v>
          </cell>
          <cell r="H482">
            <v>5792.1</v>
          </cell>
          <cell r="I482">
            <v>1097.9999999999582</v>
          </cell>
          <cell r="J482">
            <v>5816</v>
          </cell>
        </row>
        <row r="483">
          <cell r="G483">
            <v>1097.9999999999582</v>
          </cell>
          <cell r="H483">
            <v>5816</v>
          </cell>
          <cell r="I483">
            <v>1098.0999999999581</v>
          </cell>
          <cell r="J483">
            <v>5840.5</v>
          </cell>
        </row>
        <row r="484">
          <cell r="G484">
            <v>1098.0999999999581</v>
          </cell>
          <cell r="H484">
            <v>5840.5</v>
          </cell>
          <cell r="I484">
            <v>1098.199999999958</v>
          </cell>
          <cell r="J484">
            <v>5865</v>
          </cell>
        </row>
        <row r="485">
          <cell r="G485">
            <v>1098.199999999958</v>
          </cell>
          <cell r="H485">
            <v>5865</v>
          </cell>
          <cell r="I485">
            <v>1098.2999999999579</v>
          </cell>
          <cell r="J485">
            <v>5889.5</v>
          </cell>
        </row>
        <row r="486">
          <cell r="G486">
            <v>1098.2999999999579</v>
          </cell>
          <cell r="H486">
            <v>5889.5</v>
          </cell>
          <cell r="I486">
            <v>1098.3999999999578</v>
          </cell>
          <cell r="J486">
            <v>5914</v>
          </cell>
        </row>
        <row r="487">
          <cell r="G487">
            <v>1098.3999999999578</v>
          </cell>
          <cell r="H487">
            <v>5914</v>
          </cell>
          <cell r="I487">
            <v>1098.4999999999577</v>
          </cell>
          <cell r="J487">
            <v>5938.5</v>
          </cell>
        </row>
        <row r="488">
          <cell r="G488">
            <v>1098.4999999999577</v>
          </cell>
          <cell r="H488">
            <v>5938.5</v>
          </cell>
          <cell r="I488">
            <v>1098.5999999999576</v>
          </cell>
          <cell r="J488">
            <v>5963</v>
          </cell>
        </row>
        <row r="489">
          <cell r="G489">
            <v>1098.5999999999576</v>
          </cell>
          <cell r="H489">
            <v>5963</v>
          </cell>
          <cell r="I489">
            <v>1098.6999999999575</v>
          </cell>
          <cell r="J489">
            <v>5987.5</v>
          </cell>
        </row>
        <row r="490">
          <cell r="G490">
            <v>1098.6999999999575</v>
          </cell>
          <cell r="H490">
            <v>5987.5</v>
          </cell>
          <cell r="I490">
            <v>1098.7999999999574</v>
          </cell>
          <cell r="J490">
            <v>6012</v>
          </cell>
        </row>
        <row r="491">
          <cell r="G491">
            <v>1098.7999999999574</v>
          </cell>
          <cell r="H491">
            <v>6012</v>
          </cell>
          <cell r="I491">
            <v>1098.8999999999573</v>
          </cell>
          <cell r="J491">
            <v>6036.5</v>
          </cell>
        </row>
        <row r="492">
          <cell r="G492">
            <v>1098.8999999999573</v>
          </cell>
          <cell r="H492">
            <v>6036.5</v>
          </cell>
          <cell r="I492">
            <v>1098.9999999999573</v>
          </cell>
          <cell r="J492">
            <v>6061</v>
          </cell>
        </row>
        <row r="493">
          <cell r="G493">
            <v>1098.9999999999573</v>
          </cell>
          <cell r="H493">
            <v>6061</v>
          </cell>
          <cell r="I493">
            <v>1099.0999999999572</v>
          </cell>
          <cell r="J493">
            <v>6086.2</v>
          </cell>
        </row>
        <row r="494">
          <cell r="G494">
            <v>1099.0999999999572</v>
          </cell>
          <cell r="H494">
            <v>6086.2</v>
          </cell>
          <cell r="I494">
            <v>1099.1999999999571</v>
          </cell>
          <cell r="J494">
            <v>6111.4</v>
          </cell>
        </row>
        <row r="495">
          <cell r="G495">
            <v>1099.1999999999571</v>
          </cell>
          <cell r="H495">
            <v>6111.4</v>
          </cell>
          <cell r="I495">
            <v>1099.299999999957</v>
          </cell>
          <cell r="J495">
            <v>6136.6</v>
          </cell>
        </row>
        <row r="496">
          <cell r="G496">
            <v>1099.299999999957</v>
          </cell>
          <cell r="H496">
            <v>6136.6</v>
          </cell>
          <cell r="I496">
            <v>1099.3999999999569</v>
          </cell>
          <cell r="J496">
            <v>6161.8</v>
          </cell>
        </row>
        <row r="497">
          <cell r="G497">
            <v>1099.3999999999569</v>
          </cell>
          <cell r="H497">
            <v>6161.8</v>
          </cell>
          <cell r="I497">
            <v>1099.4999999999568</v>
          </cell>
          <cell r="J497">
            <v>6187</v>
          </cell>
        </row>
        <row r="498">
          <cell r="G498">
            <v>1099.4999999999568</v>
          </cell>
          <cell r="H498">
            <v>6187</v>
          </cell>
          <cell r="I498">
            <v>1099.5999999999567</v>
          </cell>
          <cell r="J498">
            <v>6212.2</v>
          </cell>
        </row>
        <row r="499">
          <cell r="G499">
            <v>1099.5999999999567</v>
          </cell>
          <cell r="H499">
            <v>6212.2</v>
          </cell>
          <cell r="I499">
            <v>1099.6999999999566</v>
          </cell>
          <cell r="J499">
            <v>6237.4</v>
          </cell>
        </row>
        <row r="500">
          <cell r="G500">
            <v>1099.6999999999566</v>
          </cell>
          <cell r="H500">
            <v>6237.4</v>
          </cell>
          <cell r="I500">
            <v>1099.7999999999565</v>
          </cell>
          <cell r="J500">
            <v>6262.6</v>
          </cell>
        </row>
        <row r="501">
          <cell r="G501">
            <v>1099.7999999999565</v>
          </cell>
          <cell r="H501">
            <v>6262.6</v>
          </cell>
          <cell r="I501">
            <v>1099.8999999999564</v>
          </cell>
          <cell r="J501">
            <v>6287.8</v>
          </cell>
        </row>
        <row r="502">
          <cell r="G502">
            <v>1099.8999999999564</v>
          </cell>
          <cell r="H502">
            <v>6287.8</v>
          </cell>
          <cell r="I502">
            <v>1099.9999999999563</v>
          </cell>
          <cell r="J502">
            <v>6313</v>
          </cell>
        </row>
        <row r="503">
          <cell r="G503">
            <v>1099.9999999999563</v>
          </cell>
          <cell r="H503">
            <v>6313</v>
          </cell>
          <cell r="I503">
            <v>1100.0999999999563</v>
          </cell>
          <cell r="J503">
            <v>6338.9</v>
          </cell>
        </row>
        <row r="504">
          <cell r="G504">
            <v>1100.0999999999563</v>
          </cell>
          <cell r="H504">
            <v>6338.9</v>
          </cell>
          <cell r="I504">
            <v>1100.1999999999562</v>
          </cell>
          <cell r="J504">
            <v>6364.8</v>
          </cell>
        </row>
        <row r="505">
          <cell r="G505">
            <v>1100.1999999999562</v>
          </cell>
          <cell r="H505">
            <v>6364.8</v>
          </cell>
          <cell r="I505">
            <v>1100.2999999999561</v>
          </cell>
          <cell r="J505">
            <v>6390.7</v>
          </cell>
        </row>
        <row r="506">
          <cell r="G506">
            <v>1100.2999999999561</v>
          </cell>
          <cell r="H506">
            <v>6390.7</v>
          </cell>
          <cell r="I506">
            <v>1100.399999999956</v>
          </cell>
          <cell r="J506">
            <v>6416.6</v>
          </cell>
        </row>
        <row r="507">
          <cell r="G507">
            <v>1100.399999999956</v>
          </cell>
          <cell r="H507">
            <v>6416.6</v>
          </cell>
          <cell r="I507">
            <v>1100.4999999999559</v>
          </cell>
          <cell r="J507">
            <v>6442.5</v>
          </cell>
        </row>
        <row r="508">
          <cell r="G508">
            <v>1100.4999999999559</v>
          </cell>
          <cell r="H508">
            <v>6442.5</v>
          </cell>
          <cell r="I508">
            <v>1100.5999999999558</v>
          </cell>
          <cell r="J508">
            <v>6468.4</v>
          </cell>
        </row>
        <row r="509">
          <cell r="G509">
            <v>1100.5999999999558</v>
          </cell>
          <cell r="H509">
            <v>6468.4</v>
          </cell>
          <cell r="I509">
            <v>1100.6999999999557</v>
          </cell>
          <cell r="J509">
            <v>6494.3</v>
          </cell>
        </row>
        <row r="510">
          <cell r="G510">
            <v>1100.6999999999557</v>
          </cell>
          <cell r="H510">
            <v>6494.3</v>
          </cell>
          <cell r="I510">
            <v>1100.7999999999556</v>
          </cell>
          <cell r="J510">
            <v>6520.2</v>
          </cell>
        </row>
        <row r="511">
          <cell r="G511">
            <v>1100.7999999999556</v>
          </cell>
          <cell r="H511">
            <v>6520.2</v>
          </cell>
          <cell r="I511">
            <v>1100.8999999999555</v>
          </cell>
          <cell r="J511">
            <v>6546.1</v>
          </cell>
        </row>
        <row r="512">
          <cell r="G512">
            <v>1100.8999999999555</v>
          </cell>
          <cell r="H512">
            <v>6546.1</v>
          </cell>
          <cell r="I512">
            <v>1100.9999999999554</v>
          </cell>
          <cell r="J512">
            <v>6572</v>
          </cell>
        </row>
        <row r="513">
          <cell r="G513">
            <v>1100.9999999999554</v>
          </cell>
          <cell r="H513">
            <v>6572</v>
          </cell>
          <cell r="I513">
            <v>1101.0999999999553</v>
          </cell>
          <cell r="J513">
            <v>6598.6</v>
          </cell>
        </row>
        <row r="514">
          <cell r="G514">
            <v>1101.0999999999553</v>
          </cell>
          <cell r="H514">
            <v>6598.6</v>
          </cell>
          <cell r="I514">
            <v>1101.1999999999553</v>
          </cell>
          <cell r="J514">
            <v>6625.2</v>
          </cell>
        </row>
        <row r="515">
          <cell r="G515">
            <v>1101.1999999999553</v>
          </cell>
          <cell r="H515">
            <v>6625.2</v>
          </cell>
          <cell r="I515">
            <v>1101.2999999999552</v>
          </cell>
          <cell r="J515">
            <v>6651.8</v>
          </cell>
        </row>
        <row r="516">
          <cell r="G516">
            <v>1101.2999999999552</v>
          </cell>
          <cell r="H516">
            <v>6651.8</v>
          </cell>
          <cell r="I516">
            <v>1101.3999999999551</v>
          </cell>
          <cell r="J516">
            <v>6678.4</v>
          </cell>
        </row>
        <row r="517">
          <cell r="G517">
            <v>1101.3999999999551</v>
          </cell>
          <cell r="H517">
            <v>6678.4</v>
          </cell>
          <cell r="I517">
            <v>1101.499999999955</v>
          </cell>
          <cell r="J517">
            <v>6705</v>
          </cell>
        </row>
        <row r="518">
          <cell r="G518">
            <v>1101.499999999955</v>
          </cell>
          <cell r="H518">
            <v>6705</v>
          </cell>
          <cell r="I518">
            <v>1101.5999999999549</v>
          </cell>
          <cell r="J518">
            <v>6731.6</v>
          </cell>
        </row>
        <row r="519">
          <cell r="G519">
            <v>1101.5999999999549</v>
          </cell>
          <cell r="H519">
            <v>6731.6</v>
          </cell>
          <cell r="I519">
            <v>1101.6999999999548</v>
          </cell>
          <cell r="J519">
            <v>6758.2</v>
          </cell>
        </row>
        <row r="520">
          <cell r="G520">
            <v>1101.6999999999548</v>
          </cell>
          <cell r="H520">
            <v>6758.2</v>
          </cell>
          <cell r="I520">
            <v>1101.7999999999547</v>
          </cell>
          <cell r="J520">
            <v>6784.8</v>
          </cell>
        </row>
        <row r="521">
          <cell r="G521">
            <v>1101.7999999999547</v>
          </cell>
          <cell r="H521">
            <v>6784.8</v>
          </cell>
          <cell r="I521">
            <v>1101.8999999999546</v>
          </cell>
          <cell r="J521">
            <v>6811.4</v>
          </cell>
        </row>
        <row r="522">
          <cell r="G522">
            <v>1101.8999999999546</v>
          </cell>
          <cell r="H522">
            <v>6811.4</v>
          </cell>
          <cell r="I522">
            <v>1101.9999999999545</v>
          </cell>
          <cell r="J522">
            <v>6838</v>
          </cell>
        </row>
        <row r="523">
          <cell r="G523">
            <v>1101.9999999999545</v>
          </cell>
          <cell r="H523">
            <v>6838</v>
          </cell>
          <cell r="I523">
            <v>1102.0999999999544</v>
          </cell>
          <cell r="J523">
            <v>6865.5</v>
          </cell>
        </row>
        <row r="524">
          <cell r="G524">
            <v>1102.0999999999544</v>
          </cell>
          <cell r="H524">
            <v>6865.5</v>
          </cell>
          <cell r="I524">
            <v>1102.1999999999543</v>
          </cell>
          <cell r="J524">
            <v>6893</v>
          </cell>
        </row>
        <row r="525">
          <cell r="G525">
            <v>1102.1999999999543</v>
          </cell>
          <cell r="H525">
            <v>6893</v>
          </cell>
          <cell r="I525">
            <v>1102.2999999999543</v>
          </cell>
          <cell r="J525">
            <v>6920.5</v>
          </cell>
        </row>
        <row r="526">
          <cell r="G526">
            <v>1102.2999999999543</v>
          </cell>
          <cell r="H526">
            <v>6920.5</v>
          </cell>
          <cell r="I526">
            <v>1102.3999999999542</v>
          </cell>
          <cell r="J526">
            <v>6948</v>
          </cell>
        </row>
        <row r="527">
          <cell r="G527">
            <v>1102.3999999999542</v>
          </cell>
          <cell r="H527">
            <v>6948</v>
          </cell>
          <cell r="I527">
            <v>1102.4999999999541</v>
          </cell>
          <cell r="J527">
            <v>6975.5</v>
          </cell>
        </row>
        <row r="528">
          <cell r="G528">
            <v>1102.4999999999541</v>
          </cell>
          <cell r="H528">
            <v>6975.5</v>
          </cell>
          <cell r="I528">
            <v>1102.599999999954</v>
          </cell>
          <cell r="J528">
            <v>7003</v>
          </cell>
        </row>
        <row r="529">
          <cell r="G529">
            <v>1102.599999999954</v>
          </cell>
          <cell r="H529">
            <v>7003</v>
          </cell>
          <cell r="I529">
            <v>1102.6999999999539</v>
          </cell>
          <cell r="J529">
            <v>7030.5</v>
          </cell>
        </row>
        <row r="530">
          <cell r="G530">
            <v>1102.6999999999539</v>
          </cell>
          <cell r="H530">
            <v>7030.5</v>
          </cell>
          <cell r="I530">
            <v>1102.7999999999538</v>
          </cell>
          <cell r="J530">
            <v>7058</v>
          </cell>
        </row>
        <row r="531">
          <cell r="G531">
            <v>1102.7999999999538</v>
          </cell>
          <cell r="H531">
            <v>7058</v>
          </cell>
          <cell r="I531">
            <v>1102.8999999999537</v>
          </cell>
          <cell r="J531">
            <v>7085.5</v>
          </cell>
        </row>
        <row r="532">
          <cell r="G532">
            <v>1102.8999999999537</v>
          </cell>
          <cell r="H532">
            <v>7085.5</v>
          </cell>
          <cell r="I532">
            <v>1102.9999999999536</v>
          </cell>
          <cell r="J532">
            <v>7113</v>
          </cell>
        </row>
        <row r="533">
          <cell r="G533">
            <v>1102.9999999999536</v>
          </cell>
          <cell r="H533">
            <v>7113</v>
          </cell>
          <cell r="I533">
            <v>1103.0999999999535</v>
          </cell>
          <cell r="J533">
            <v>7141.3</v>
          </cell>
        </row>
        <row r="534">
          <cell r="G534">
            <v>1103.0999999999535</v>
          </cell>
          <cell r="H534">
            <v>7141.3</v>
          </cell>
          <cell r="I534">
            <v>1103.1999999999534</v>
          </cell>
          <cell r="J534">
            <v>7169.6</v>
          </cell>
        </row>
        <row r="535">
          <cell r="G535">
            <v>1103.1999999999534</v>
          </cell>
          <cell r="H535">
            <v>7169.6</v>
          </cell>
          <cell r="I535">
            <v>1103.2999999999533</v>
          </cell>
          <cell r="J535">
            <v>7197.9</v>
          </cell>
        </row>
        <row r="536">
          <cell r="G536">
            <v>1103.2999999999533</v>
          </cell>
          <cell r="H536">
            <v>7197.9</v>
          </cell>
          <cell r="I536">
            <v>1103.3999999999533</v>
          </cell>
          <cell r="J536">
            <v>7226.2</v>
          </cell>
        </row>
        <row r="537">
          <cell r="G537">
            <v>1103.3999999999533</v>
          </cell>
          <cell r="H537">
            <v>7226.2</v>
          </cell>
          <cell r="I537">
            <v>1103.4999999999532</v>
          </cell>
          <cell r="J537">
            <v>7254.5</v>
          </cell>
        </row>
        <row r="538">
          <cell r="G538">
            <v>1103.4999999999532</v>
          </cell>
          <cell r="H538">
            <v>7254.5</v>
          </cell>
          <cell r="I538">
            <v>1103.5999999999531</v>
          </cell>
          <cell r="J538">
            <v>7282.8</v>
          </cell>
        </row>
        <row r="539">
          <cell r="G539">
            <v>1103.5999999999531</v>
          </cell>
          <cell r="H539">
            <v>7282.8</v>
          </cell>
          <cell r="I539">
            <v>1103.699999999953</v>
          </cell>
          <cell r="J539">
            <v>7311.1</v>
          </cell>
        </row>
        <row r="540">
          <cell r="G540">
            <v>1103.699999999953</v>
          </cell>
          <cell r="H540">
            <v>7311.1</v>
          </cell>
          <cell r="I540">
            <v>1103.7999999999529</v>
          </cell>
          <cell r="J540">
            <v>7339.4</v>
          </cell>
        </row>
        <row r="541">
          <cell r="G541">
            <v>1103.7999999999529</v>
          </cell>
          <cell r="H541">
            <v>7339.4</v>
          </cell>
          <cell r="I541">
            <v>1103.8999999999528</v>
          </cell>
          <cell r="J541">
            <v>7367.7</v>
          </cell>
        </row>
        <row r="542">
          <cell r="G542">
            <v>1103.8999999999528</v>
          </cell>
          <cell r="H542">
            <v>7367.7</v>
          </cell>
          <cell r="I542">
            <v>1103.9999999999527</v>
          </cell>
          <cell r="J542">
            <v>7396</v>
          </cell>
        </row>
        <row r="543">
          <cell r="G543">
            <v>1103.9999999999527</v>
          </cell>
          <cell r="H543">
            <v>7396</v>
          </cell>
          <cell r="I543">
            <v>1104.0999999999526</v>
          </cell>
          <cell r="J543">
            <v>7425.1</v>
          </cell>
        </row>
        <row r="544">
          <cell r="G544">
            <v>1104.0999999999526</v>
          </cell>
          <cell r="H544">
            <v>7425.1</v>
          </cell>
          <cell r="I544">
            <v>1104.1999999999525</v>
          </cell>
          <cell r="J544">
            <v>7454.2</v>
          </cell>
        </row>
        <row r="545">
          <cell r="G545">
            <v>1104.1999999999525</v>
          </cell>
          <cell r="H545">
            <v>7454.2</v>
          </cell>
          <cell r="I545">
            <v>1104.2999999999524</v>
          </cell>
          <cell r="J545">
            <v>7483.3</v>
          </cell>
        </row>
        <row r="546">
          <cell r="G546">
            <v>1104.2999999999524</v>
          </cell>
          <cell r="H546">
            <v>7483.3</v>
          </cell>
          <cell r="I546">
            <v>1104.3999999999523</v>
          </cell>
          <cell r="J546">
            <v>7512.4</v>
          </cell>
        </row>
        <row r="547">
          <cell r="G547">
            <v>1104.3999999999523</v>
          </cell>
          <cell r="H547">
            <v>7512.4</v>
          </cell>
          <cell r="I547">
            <v>1104.4999999999523</v>
          </cell>
          <cell r="J547">
            <v>7541.5</v>
          </cell>
        </row>
        <row r="548">
          <cell r="G548">
            <v>1104.4999999999523</v>
          </cell>
          <cell r="H548">
            <v>7541.5</v>
          </cell>
          <cell r="I548">
            <v>1104.5999999999522</v>
          </cell>
          <cell r="J548">
            <v>7570.6</v>
          </cell>
        </row>
        <row r="549">
          <cell r="G549">
            <v>1104.5999999999522</v>
          </cell>
          <cell r="H549">
            <v>7570.6</v>
          </cell>
          <cell r="I549">
            <v>1104.6999999999521</v>
          </cell>
          <cell r="J549">
            <v>7599.7</v>
          </cell>
        </row>
        <row r="550">
          <cell r="G550">
            <v>1104.6999999999521</v>
          </cell>
          <cell r="H550">
            <v>7599.7</v>
          </cell>
          <cell r="I550">
            <v>1104.799999999952</v>
          </cell>
          <cell r="J550">
            <v>7628.8</v>
          </cell>
        </row>
        <row r="551">
          <cell r="G551">
            <v>1104.799999999952</v>
          </cell>
          <cell r="H551">
            <v>7628.8</v>
          </cell>
          <cell r="I551">
            <v>1104.8999999999519</v>
          </cell>
          <cell r="J551">
            <v>7657.9</v>
          </cell>
        </row>
        <row r="552">
          <cell r="G552">
            <v>1104.8999999999519</v>
          </cell>
          <cell r="H552">
            <v>7657.9</v>
          </cell>
          <cell r="I552">
            <v>1104.9999999999518</v>
          </cell>
          <cell r="J552">
            <v>7687</v>
          </cell>
        </row>
        <row r="553">
          <cell r="G553">
            <v>1104.9999999999518</v>
          </cell>
          <cell r="H553">
            <v>7687</v>
          </cell>
          <cell r="I553">
            <v>1105.0999999999517</v>
          </cell>
          <cell r="J553">
            <v>7717</v>
          </cell>
        </row>
        <row r="554">
          <cell r="G554">
            <v>1105.0999999999517</v>
          </cell>
          <cell r="H554">
            <v>7717</v>
          </cell>
          <cell r="I554">
            <v>1105.1999999999516</v>
          </cell>
          <cell r="J554">
            <v>7747</v>
          </cell>
        </row>
        <row r="555">
          <cell r="G555">
            <v>1105.1999999999516</v>
          </cell>
          <cell r="H555">
            <v>7747</v>
          </cell>
          <cell r="I555">
            <v>1105.2999999999515</v>
          </cell>
          <cell r="J555">
            <v>7777</v>
          </cell>
        </row>
        <row r="556">
          <cell r="G556">
            <v>1105.2999999999515</v>
          </cell>
          <cell r="H556">
            <v>7777</v>
          </cell>
          <cell r="I556">
            <v>1105.3999999999514</v>
          </cell>
          <cell r="J556">
            <v>7807</v>
          </cell>
        </row>
        <row r="557">
          <cell r="G557">
            <v>1105.3999999999514</v>
          </cell>
          <cell r="H557">
            <v>7807</v>
          </cell>
          <cell r="I557">
            <v>1105.4999999999513</v>
          </cell>
          <cell r="J557">
            <v>7837</v>
          </cell>
        </row>
        <row r="558">
          <cell r="G558">
            <v>1105.4999999999513</v>
          </cell>
          <cell r="H558">
            <v>7837</v>
          </cell>
          <cell r="I558">
            <v>1105.5999999999513</v>
          </cell>
          <cell r="J558">
            <v>7867</v>
          </cell>
        </row>
        <row r="559">
          <cell r="G559">
            <v>1105.5999999999513</v>
          </cell>
          <cell r="H559">
            <v>7867</v>
          </cell>
          <cell r="I559">
            <v>1105.6999999999512</v>
          </cell>
          <cell r="J559">
            <v>7897</v>
          </cell>
        </row>
        <row r="560">
          <cell r="G560">
            <v>1105.6999999999512</v>
          </cell>
          <cell r="H560">
            <v>7897</v>
          </cell>
          <cell r="I560">
            <v>1105.7999999999511</v>
          </cell>
          <cell r="J560">
            <v>7927</v>
          </cell>
        </row>
        <row r="561">
          <cell r="G561">
            <v>1105.7999999999511</v>
          </cell>
          <cell r="H561">
            <v>7927</v>
          </cell>
          <cell r="I561">
            <v>1105.899999999951</v>
          </cell>
          <cell r="J561">
            <v>7957</v>
          </cell>
        </row>
        <row r="562">
          <cell r="G562">
            <v>1105.899999999951</v>
          </cell>
          <cell r="H562">
            <v>7957</v>
          </cell>
          <cell r="I562">
            <v>1105.9999999999509</v>
          </cell>
          <cell r="J562">
            <v>7987</v>
          </cell>
        </row>
        <row r="563">
          <cell r="G563">
            <v>1105.9999999999509</v>
          </cell>
          <cell r="H563">
            <v>7987</v>
          </cell>
          <cell r="I563">
            <v>1106.0999999999508</v>
          </cell>
          <cell r="J563">
            <v>8017.8</v>
          </cell>
        </row>
        <row r="564">
          <cell r="G564">
            <v>1106.0999999999508</v>
          </cell>
          <cell r="H564">
            <v>8017.8</v>
          </cell>
          <cell r="I564">
            <v>1106.1999999999507</v>
          </cell>
          <cell r="J564">
            <v>8048.6</v>
          </cell>
        </row>
        <row r="565">
          <cell r="G565">
            <v>1106.1999999999507</v>
          </cell>
          <cell r="H565">
            <v>8048.6</v>
          </cell>
          <cell r="I565">
            <v>1106.2999999999506</v>
          </cell>
          <cell r="J565">
            <v>8079.4</v>
          </cell>
        </row>
        <row r="566">
          <cell r="G566">
            <v>1106.2999999999506</v>
          </cell>
          <cell r="H566">
            <v>8079.4</v>
          </cell>
          <cell r="I566">
            <v>1106.3999999999505</v>
          </cell>
          <cell r="J566">
            <v>8110.2</v>
          </cell>
        </row>
        <row r="567">
          <cell r="G567">
            <v>1106.3999999999505</v>
          </cell>
          <cell r="H567">
            <v>8110.2</v>
          </cell>
          <cell r="I567">
            <v>1106.4999999999504</v>
          </cell>
          <cell r="J567">
            <v>8141</v>
          </cell>
        </row>
        <row r="568">
          <cell r="G568">
            <v>1106.4999999999504</v>
          </cell>
          <cell r="H568">
            <v>8141</v>
          </cell>
          <cell r="I568">
            <v>1106.5999999999503</v>
          </cell>
          <cell r="J568">
            <v>8171.8</v>
          </cell>
        </row>
        <row r="569">
          <cell r="G569">
            <v>1106.5999999999503</v>
          </cell>
          <cell r="H569">
            <v>8171.8</v>
          </cell>
          <cell r="I569">
            <v>1106.6999999999503</v>
          </cell>
          <cell r="J569">
            <v>8202.6</v>
          </cell>
        </row>
        <row r="570">
          <cell r="G570">
            <v>1106.6999999999503</v>
          </cell>
          <cell r="H570">
            <v>8202.6</v>
          </cell>
          <cell r="I570">
            <v>1106.7999999999502</v>
          </cell>
          <cell r="J570">
            <v>8233.4</v>
          </cell>
        </row>
        <row r="571">
          <cell r="G571">
            <v>1106.7999999999502</v>
          </cell>
          <cell r="H571">
            <v>8233.4</v>
          </cell>
          <cell r="I571">
            <v>1106.8999999999501</v>
          </cell>
          <cell r="J571">
            <v>8264.2000000000007</v>
          </cell>
        </row>
        <row r="572">
          <cell r="G572">
            <v>1106.8999999999501</v>
          </cell>
          <cell r="H572">
            <v>8264.2000000000007</v>
          </cell>
          <cell r="I572">
            <v>1106.99999999995</v>
          </cell>
          <cell r="J572">
            <v>8295</v>
          </cell>
        </row>
        <row r="573">
          <cell r="G573">
            <v>1106.99999999995</v>
          </cell>
          <cell r="H573">
            <v>8295</v>
          </cell>
          <cell r="I573">
            <v>1107.0999999999499</v>
          </cell>
          <cell r="J573">
            <v>8326.7000000000007</v>
          </cell>
        </row>
        <row r="574">
          <cell r="G574">
            <v>1107.0999999999499</v>
          </cell>
          <cell r="H574">
            <v>8326.7000000000007</v>
          </cell>
          <cell r="I574">
            <v>1107.1999999999498</v>
          </cell>
          <cell r="J574">
            <v>8358.4</v>
          </cell>
        </row>
        <row r="575">
          <cell r="G575">
            <v>1107.1999999999498</v>
          </cell>
          <cell r="H575">
            <v>8358.4</v>
          </cell>
          <cell r="I575">
            <v>1107.2999999999497</v>
          </cell>
          <cell r="J575">
            <v>8390.1</v>
          </cell>
        </row>
        <row r="576">
          <cell r="G576">
            <v>1107.2999999999497</v>
          </cell>
          <cell r="H576">
            <v>8390.1</v>
          </cell>
          <cell r="I576">
            <v>1107.3999999999496</v>
          </cell>
          <cell r="J576">
            <v>8421.7999999999993</v>
          </cell>
        </row>
        <row r="577">
          <cell r="G577">
            <v>1107.3999999999496</v>
          </cell>
          <cell r="H577">
            <v>8421.7999999999993</v>
          </cell>
          <cell r="I577">
            <v>1107.4999999999495</v>
          </cell>
          <cell r="J577">
            <v>8453.5</v>
          </cell>
        </row>
        <row r="578">
          <cell r="G578">
            <v>1107.4999999999495</v>
          </cell>
          <cell r="H578">
            <v>8453.5</v>
          </cell>
          <cell r="I578">
            <v>1107.5999999999494</v>
          </cell>
          <cell r="J578">
            <v>8485.2000000000007</v>
          </cell>
        </row>
        <row r="579">
          <cell r="G579">
            <v>1107.5999999999494</v>
          </cell>
          <cell r="H579">
            <v>8485.2000000000007</v>
          </cell>
          <cell r="I579">
            <v>1107.6999999999493</v>
          </cell>
          <cell r="J579">
            <v>8516.9</v>
          </cell>
        </row>
        <row r="580">
          <cell r="G580">
            <v>1107.6999999999493</v>
          </cell>
          <cell r="H580">
            <v>8516.9</v>
          </cell>
          <cell r="I580">
            <v>1107.7999999999493</v>
          </cell>
          <cell r="J580">
            <v>8548.6000000000058</v>
          </cell>
        </row>
        <row r="581">
          <cell r="G581">
            <v>1107.7999999999493</v>
          </cell>
          <cell r="H581">
            <v>8548.6000000000058</v>
          </cell>
          <cell r="I581">
            <v>1107.8999999999492</v>
          </cell>
          <cell r="J581">
            <v>8580.3000000000065</v>
          </cell>
        </row>
        <row r="582">
          <cell r="G582">
            <v>1107.8999999999492</v>
          </cell>
          <cell r="H582">
            <v>8580.3000000000065</v>
          </cell>
          <cell r="I582">
            <v>1107.9999999999491</v>
          </cell>
          <cell r="J582">
            <v>8612</v>
          </cell>
        </row>
        <row r="583">
          <cell r="G583">
            <v>1107.9999999999491</v>
          </cell>
          <cell r="H583">
            <v>8612</v>
          </cell>
          <cell r="I583">
            <v>1108.099999999949</v>
          </cell>
          <cell r="J583">
            <v>8644.5</v>
          </cell>
        </row>
        <row r="584">
          <cell r="G584">
            <v>1108.099999999949</v>
          </cell>
          <cell r="H584">
            <v>8644.5</v>
          </cell>
          <cell r="I584">
            <v>1108.1999999999489</v>
          </cell>
          <cell r="J584">
            <v>8677</v>
          </cell>
        </row>
        <row r="585">
          <cell r="G585">
            <v>1108.1999999999489</v>
          </cell>
          <cell r="H585">
            <v>8677</v>
          </cell>
          <cell r="I585">
            <v>1108.2999999999488</v>
          </cell>
          <cell r="J585">
            <v>8709.5</v>
          </cell>
        </row>
        <row r="586">
          <cell r="G586">
            <v>1108.2999999999488</v>
          </cell>
          <cell r="H586">
            <v>8709.5</v>
          </cell>
          <cell r="I586">
            <v>1108.3999999999487</v>
          </cell>
          <cell r="J586">
            <v>8742</v>
          </cell>
        </row>
        <row r="587">
          <cell r="G587">
            <v>1108.3999999999487</v>
          </cell>
          <cell r="H587">
            <v>8742</v>
          </cell>
          <cell r="I587">
            <v>1108.4999999999486</v>
          </cell>
          <cell r="J587">
            <v>8774.5</v>
          </cell>
        </row>
        <row r="588">
          <cell r="G588">
            <v>1108.4999999999486</v>
          </cell>
          <cell r="H588">
            <v>8774.5</v>
          </cell>
          <cell r="I588">
            <v>1108.5999999999485</v>
          </cell>
          <cell r="J588">
            <v>8807</v>
          </cell>
        </row>
        <row r="589">
          <cell r="G589">
            <v>1108.5999999999485</v>
          </cell>
          <cell r="H589">
            <v>8807</v>
          </cell>
          <cell r="I589">
            <v>1108.6999999999484</v>
          </cell>
          <cell r="J589">
            <v>8839.5</v>
          </cell>
        </row>
        <row r="590">
          <cell r="G590">
            <v>1108.6999999999484</v>
          </cell>
          <cell r="H590">
            <v>8839.5</v>
          </cell>
          <cell r="I590">
            <v>1108.7999999999483</v>
          </cell>
          <cell r="J590">
            <v>8872</v>
          </cell>
        </row>
        <row r="591">
          <cell r="G591">
            <v>1108.7999999999483</v>
          </cell>
          <cell r="H591">
            <v>8872</v>
          </cell>
          <cell r="I591">
            <v>1108.8999999999482</v>
          </cell>
          <cell r="J591">
            <v>8904.5</v>
          </cell>
        </row>
        <row r="592">
          <cell r="G592">
            <v>1108.8999999999482</v>
          </cell>
          <cell r="H592">
            <v>8904.5</v>
          </cell>
          <cell r="I592">
            <v>1108.9999999999482</v>
          </cell>
          <cell r="J592">
            <v>8937</v>
          </cell>
        </row>
        <row r="593">
          <cell r="G593">
            <v>1108.9999999999482</v>
          </cell>
          <cell r="H593">
            <v>8937</v>
          </cell>
          <cell r="I593">
            <v>1109.0999999999481</v>
          </cell>
          <cell r="J593">
            <v>8970.4</v>
          </cell>
        </row>
        <row r="594">
          <cell r="G594">
            <v>1109.0999999999481</v>
          </cell>
          <cell r="H594">
            <v>8970.4</v>
          </cell>
          <cell r="I594">
            <v>1109.199999999948</v>
          </cell>
          <cell r="J594">
            <v>9003.7999999999993</v>
          </cell>
        </row>
        <row r="595">
          <cell r="G595">
            <v>1109.199999999948</v>
          </cell>
          <cell r="H595">
            <v>9003.7999999999993</v>
          </cell>
          <cell r="I595">
            <v>1109.2999999999479</v>
          </cell>
          <cell r="J595">
            <v>9037.2000000000007</v>
          </cell>
        </row>
        <row r="596">
          <cell r="G596">
            <v>1109.2999999999479</v>
          </cell>
          <cell r="H596">
            <v>9037.2000000000007</v>
          </cell>
          <cell r="I596">
            <v>1109.3999999999478</v>
          </cell>
          <cell r="J596">
            <v>9070.6</v>
          </cell>
        </row>
        <row r="597">
          <cell r="G597">
            <v>1109.3999999999478</v>
          </cell>
          <cell r="H597">
            <v>9070.6</v>
          </cell>
          <cell r="I597">
            <v>1109.4999999999477</v>
          </cell>
          <cell r="J597">
            <v>9104</v>
          </cell>
        </row>
        <row r="598">
          <cell r="G598">
            <v>1109.4999999999477</v>
          </cell>
          <cell r="H598">
            <v>9104</v>
          </cell>
          <cell r="I598">
            <v>1109.5999999999476</v>
          </cell>
          <cell r="J598">
            <v>9137.4</v>
          </cell>
        </row>
        <row r="599">
          <cell r="G599">
            <v>1109.5999999999476</v>
          </cell>
          <cell r="H599">
            <v>9137.4</v>
          </cell>
          <cell r="I599">
            <v>1109.6999999999475</v>
          </cell>
          <cell r="J599">
            <v>9170.7999999999993</v>
          </cell>
        </row>
        <row r="600">
          <cell r="G600">
            <v>1109.6999999999475</v>
          </cell>
          <cell r="H600">
            <v>9170.7999999999993</v>
          </cell>
          <cell r="I600">
            <v>1109.7999999999474</v>
          </cell>
          <cell r="J600">
            <v>9204.2000000000007</v>
          </cell>
        </row>
        <row r="601">
          <cell r="G601">
            <v>1109.7999999999474</v>
          </cell>
          <cell r="H601">
            <v>9204.2000000000007</v>
          </cell>
          <cell r="I601">
            <v>1109.8999999999473</v>
          </cell>
          <cell r="J601">
            <v>9237.6</v>
          </cell>
        </row>
        <row r="602">
          <cell r="G602">
            <v>1109.8999999999473</v>
          </cell>
          <cell r="H602">
            <v>9237.6</v>
          </cell>
          <cell r="I602">
            <v>1109.9999999999472</v>
          </cell>
          <cell r="J602">
            <v>9271</v>
          </cell>
        </row>
        <row r="603">
          <cell r="G603">
            <v>1109.9999999999472</v>
          </cell>
          <cell r="H603">
            <v>9271</v>
          </cell>
          <cell r="I603">
            <v>1110.0999999999472</v>
          </cell>
          <cell r="J603">
            <v>9305.4</v>
          </cell>
        </row>
        <row r="604">
          <cell r="G604">
            <v>1110.0999999999472</v>
          </cell>
          <cell r="H604">
            <v>9305.4</v>
          </cell>
          <cell r="I604">
            <v>1110.1999999999471</v>
          </cell>
          <cell r="J604">
            <v>9339.7999999999993</v>
          </cell>
        </row>
        <row r="605">
          <cell r="G605">
            <v>1110.1999999999471</v>
          </cell>
          <cell r="H605">
            <v>9339.7999999999993</v>
          </cell>
          <cell r="I605">
            <v>1110.299999999947</v>
          </cell>
          <cell r="J605">
            <v>9374.2000000000007</v>
          </cell>
        </row>
        <row r="606">
          <cell r="G606">
            <v>1110.299999999947</v>
          </cell>
          <cell r="H606">
            <v>9374.2000000000007</v>
          </cell>
          <cell r="I606">
            <v>1110.3999999999469</v>
          </cell>
          <cell r="J606">
            <v>9408.6</v>
          </cell>
        </row>
        <row r="607">
          <cell r="G607">
            <v>1110.3999999999469</v>
          </cell>
          <cell r="H607">
            <v>9408.6</v>
          </cell>
          <cell r="I607">
            <v>1110.4999999999468</v>
          </cell>
          <cell r="J607">
            <v>9443</v>
          </cell>
        </row>
        <row r="608">
          <cell r="G608">
            <v>1110.4999999999468</v>
          </cell>
          <cell r="H608">
            <v>9443</v>
          </cell>
          <cell r="I608">
            <v>1110.5999999999467</v>
          </cell>
          <cell r="J608">
            <v>9477.4</v>
          </cell>
        </row>
        <row r="609">
          <cell r="G609">
            <v>1110.5999999999467</v>
          </cell>
          <cell r="H609">
            <v>9477.4</v>
          </cell>
          <cell r="I609">
            <v>1110.6999999999466</v>
          </cell>
          <cell r="J609">
            <v>9511.7999999999993</v>
          </cell>
        </row>
        <row r="610">
          <cell r="G610">
            <v>1110.6999999999466</v>
          </cell>
          <cell r="H610">
            <v>9511.7999999999993</v>
          </cell>
          <cell r="I610">
            <v>1110.7999999999465</v>
          </cell>
          <cell r="J610">
            <v>9546.2000000000007</v>
          </cell>
        </row>
        <row r="611">
          <cell r="G611">
            <v>1110.7999999999465</v>
          </cell>
          <cell r="H611">
            <v>9546.2000000000007</v>
          </cell>
          <cell r="I611">
            <v>1110.8999999999464</v>
          </cell>
          <cell r="J611">
            <v>9580.6</v>
          </cell>
        </row>
        <row r="612">
          <cell r="G612">
            <v>1110.8999999999464</v>
          </cell>
          <cell r="H612">
            <v>9580.6</v>
          </cell>
          <cell r="I612">
            <v>1110.9999999999463</v>
          </cell>
          <cell r="J612">
            <v>9615</v>
          </cell>
        </row>
        <row r="613">
          <cell r="G613">
            <v>1110.9999999999463</v>
          </cell>
          <cell r="H613">
            <v>9615</v>
          </cell>
          <cell r="I613">
            <v>1111.0999999999462</v>
          </cell>
          <cell r="J613">
            <v>9650.2000000000007</v>
          </cell>
        </row>
        <row r="614">
          <cell r="G614">
            <v>1111.0999999999462</v>
          </cell>
          <cell r="H614">
            <v>9650.2000000000007</v>
          </cell>
          <cell r="I614">
            <v>1111.1999999999462</v>
          </cell>
          <cell r="J614">
            <v>9685.4</v>
          </cell>
        </row>
        <row r="615">
          <cell r="G615">
            <v>1111.1999999999462</v>
          </cell>
          <cell r="H615">
            <v>9685.4</v>
          </cell>
          <cell r="I615">
            <v>1111.2999999999461</v>
          </cell>
          <cell r="J615">
            <v>9720.6</v>
          </cell>
        </row>
        <row r="616">
          <cell r="G616">
            <v>1111.2999999999461</v>
          </cell>
          <cell r="H616">
            <v>9720.6</v>
          </cell>
          <cell r="I616">
            <v>1111.399999999946</v>
          </cell>
          <cell r="J616">
            <v>9755.7999999999993</v>
          </cell>
        </row>
        <row r="617">
          <cell r="G617">
            <v>1111.399999999946</v>
          </cell>
          <cell r="H617">
            <v>9755.7999999999993</v>
          </cell>
          <cell r="I617">
            <v>1111.4999999999459</v>
          </cell>
          <cell r="J617">
            <v>9791</v>
          </cell>
        </row>
        <row r="618">
          <cell r="G618">
            <v>1111.4999999999459</v>
          </cell>
          <cell r="H618">
            <v>9791</v>
          </cell>
          <cell r="I618">
            <v>1111.5999999999458</v>
          </cell>
          <cell r="J618">
            <v>9826.2000000000007</v>
          </cell>
        </row>
        <row r="619">
          <cell r="G619">
            <v>1111.5999999999458</v>
          </cell>
          <cell r="H619">
            <v>9826.2000000000007</v>
          </cell>
          <cell r="I619">
            <v>1111.6999999999457</v>
          </cell>
          <cell r="J619">
            <v>9861.4</v>
          </cell>
        </row>
        <row r="620">
          <cell r="G620">
            <v>1111.6999999999457</v>
          </cell>
          <cell r="H620">
            <v>9861.4</v>
          </cell>
          <cell r="I620">
            <v>1111.7999999999456</v>
          </cell>
          <cell r="J620">
            <v>9896.6000000000058</v>
          </cell>
        </row>
        <row r="621">
          <cell r="G621">
            <v>1111.7999999999456</v>
          </cell>
          <cell r="H621">
            <v>9896.6000000000058</v>
          </cell>
          <cell r="I621">
            <v>1111.8999999999455</v>
          </cell>
          <cell r="J621">
            <v>9931.8000000000065</v>
          </cell>
        </row>
        <row r="622">
          <cell r="G622">
            <v>1111.8999999999455</v>
          </cell>
          <cell r="H622">
            <v>9931.8000000000065</v>
          </cell>
          <cell r="I622">
            <v>1111.9999999999454</v>
          </cell>
          <cell r="J622">
            <v>9967</v>
          </cell>
        </row>
        <row r="623">
          <cell r="G623">
            <v>1111.9999999999454</v>
          </cell>
          <cell r="H623">
            <v>9967</v>
          </cell>
          <cell r="I623">
            <v>1112.0999999999453</v>
          </cell>
          <cell r="J623">
            <v>10003.1</v>
          </cell>
        </row>
        <row r="624">
          <cell r="G624">
            <v>1112.0999999999453</v>
          </cell>
          <cell r="H624">
            <v>10003.1</v>
          </cell>
          <cell r="I624">
            <v>1112.1999999999452</v>
          </cell>
          <cell r="J624">
            <v>10039.200000000001</v>
          </cell>
        </row>
        <row r="625">
          <cell r="G625">
            <v>1112.1999999999452</v>
          </cell>
          <cell r="H625">
            <v>10039.200000000001</v>
          </cell>
          <cell r="I625">
            <v>1112.2999999999452</v>
          </cell>
          <cell r="J625">
            <v>10075.299999999999</v>
          </cell>
        </row>
        <row r="626">
          <cell r="G626">
            <v>1112.2999999999452</v>
          </cell>
          <cell r="H626">
            <v>10075.299999999999</v>
          </cell>
          <cell r="I626">
            <v>1112.3999999999451</v>
          </cell>
          <cell r="J626">
            <v>10111.4</v>
          </cell>
        </row>
        <row r="627">
          <cell r="G627">
            <v>1112.3999999999451</v>
          </cell>
          <cell r="H627">
            <v>10111.4</v>
          </cell>
          <cell r="I627">
            <v>1112.499999999945</v>
          </cell>
          <cell r="J627">
            <v>10147.5</v>
          </cell>
        </row>
        <row r="628">
          <cell r="G628">
            <v>1112.499999999945</v>
          </cell>
          <cell r="H628">
            <v>10147.5</v>
          </cell>
          <cell r="I628">
            <v>1112.5999999999449</v>
          </cell>
          <cell r="J628">
            <v>10183.6</v>
          </cell>
        </row>
        <row r="629">
          <cell r="G629">
            <v>1112.5999999999449</v>
          </cell>
          <cell r="H629">
            <v>10183.6</v>
          </cell>
          <cell r="I629">
            <v>1112.6999999999448</v>
          </cell>
          <cell r="J629">
            <v>10219.700000000001</v>
          </cell>
        </row>
        <row r="630">
          <cell r="G630">
            <v>1112.6999999999448</v>
          </cell>
          <cell r="H630">
            <v>10219.700000000001</v>
          </cell>
          <cell r="I630">
            <v>1112.7999999999447</v>
          </cell>
          <cell r="J630">
            <v>10255.799999999999</v>
          </cell>
        </row>
        <row r="631">
          <cell r="G631">
            <v>1112.7999999999447</v>
          </cell>
          <cell r="H631">
            <v>10255.799999999999</v>
          </cell>
          <cell r="I631">
            <v>1112.8999999999446</v>
          </cell>
          <cell r="J631">
            <v>10291.9</v>
          </cell>
        </row>
        <row r="632">
          <cell r="G632">
            <v>1112.8999999999446</v>
          </cell>
          <cell r="H632">
            <v>10291.9</v>
          </cell>
          <cell r="I632">
            <v>1112.9999999999445</v>
          </cell>
          <cell r="J632">
            <v>10328</v>
          </cell>
        </row>
        <row r="633">
          <cell r="G633">
            <v>1112.9999999999445</v>
          </cell>
          <cell r="H633">
            <v>10328</v>
          </cell>
          <cell r="I633">
            <v>1113.0999999999444</v>
          </cell>
          <cell r="J633">
            <v>10365.1</v>
          </cell>
        </row>
        <row r="634">
          <cell r="G634">
            <v>1113.0999999999444</v>
          </cell>
          <cell r="H634">
            <v>10365.1</v>
          </cell>
          <cell r="I634">
            <v>1113.1999999999443</v>
          </cell>
          <cell r="J634">
            <v>10402.200000000001</v>
          </cell>
        </row>
        <row r="635">
          <cell r="G635">
            <v>1113.1999999999443</v>
          </cell>
          <cell r="H635">
            <v>10402.200000000001</v>
          </cell>
          <cell r="I635">
            <v>1113.2999999999442</v>
          </cell>
          <cell r="J635">
            <v>10439.299999999999</v>
          </cell>
        </row>
        <row r="636">
          <cell r="G636">
            <v>1113.2999999999442</v>
          </cell>
          <cell r="H636">
            <v>10439.299999999999</v>
          </cell>
          <cell r="I636">
            <v>1113.3999999999442</v>
          </cell>
          <cell r="J636">
            <v>10476.4</v>
          </cell>
        </row>
        <row r="637">
          <cell r="G637">
            <v>1113.3999999999442</v>
          </cell>
          <cell r="H637">
            <v>10476.4</v>
          </cell>
          <cell r="I637">
            <v>1113.4999999999441</v>
          </cell>
          <cell r="J637">
            <v>10513.5</v>
          </cell>
        </row>
        <row r="638">
          <cell r="G638">
            <v>1113.4999999999441</v>
          </cell>
          <cell r="H638">
            <v>10513.5</v>
          </cell>
          <cell r="I638">
            <v>1113.599999999944</v>
          </cell>
          <cell r="J638">
            <v>10550.6</v>
          </cell>
        </row>
        <row r="639">
          <cell r="G639">
            <v>1113.599999999944</v>
          </cell>
          <cell r="H639">
            <v>10550.6</v>
          </cell>
          <cell r="I639">
            <v>1113.6999999999439</v>
          </cell>
          <cell r="J639">
            <v>10587.7</v>
          </cell>
        </row>
        <row r="640">
          <cell r="G640">
            <v>1113.6999999999439</v>
          </cell>
          <cell r="H640">
            <v>10587.7</v>
          </cell>
          <cell r="I640">
            <v>1113.7999999999438</v>
          </cell>
          <cell r="J640">
            <v>10624.8</v>
          </cell>
        </row>
        <row r="641">
          <cell r="G641">
            <v>1113.7999999999438</v>
          </cell>
          <cell r="H641">
            <v>10624.8</v>
          </cell>
          <cell r="I641">
            <v>1113.8999999999437</v>
          </cell>
          <cell r="J641">
            <v>10661.9</v>
          </cell>
        </row>
        <row r="642">
          <cell r="G642">
            <v>1113.8999999999437</v>
          </cell>
          <cell r="H642">
            <v>10661.9</v>
          </cell>
          <cell r="I642">
            <v>1113.9999999999436</v>
          </cell>
          <cell r="J642">
            <v>10699</v>
          </cell>
        </row>
        <row r="643">
          <cell r="G643">
            <v>1113.9999999999436</v>
          </cell>
          <cell r="H643">
            <v>10699</v>
          </cell>
          <cell r="I643">
            <v>1114.0999999999435</v>
          </cell>
          <cell r="J643">
            <v>10737</v>
          </cell>
        </row>
        <row r="644">
          <cell r="G644">
            <v>1114.0999999999435</v>
          </cell>
          <cell r="H644">
            <v>10737</v>
          </cell>
          <cell r="I644">
            <v>1114.1999999999434</v>
          </cell>
          <cell r="J644">
            <v>10775</v>
          </cell>
        </row>
        <row r="645">
          <cell r="G645">
            <v>1114.1999999999434</v>
          </cell>
          <cell r="H645">
            <v>10775</v>
          </cell>
          <cell r="I645">
            <v>1114.2999999999433</v>
          </cell>
          <cell r="J645">
            <v>10813</v>
          </cell>
        </row>
        <row r="646">
          <cell r="G646">
            <v>1114.2999999999433</v>
          </cell>
          <cell r="H646">
            <v>10813</v>
          </cell>
          <cell r="I646">
            <v>1114.3999999999432</v>
          </cell>
          <cell r="J646">
            <v>10851</v>
          </cell>
        </row>
        <row r="647">
          <cell r="G647">
            <v>1114.3999999999432</v>
          </cell>
          <cell r="H647">
            <v>10851</v>
          </cell>
          <cell r="I647">
            <v>1114.4999999999432</v>
          </cell>
          <cell r="J647">
            <v>10889</v>
          </cell>
        </row>
        <row r="648">
          <cell r="G648">
            <v>1114.4999999999432</v>
          </cell>
          <cell r="H648">
            <v>10889</v>
          </cell>
          <cell r="I648">
            <v>1114.5999999999431</v>
          </cell>
          <cell r="J648">
            <v>10927</v>
          </cell>
        </row>
        <row r="649">
          <cell r="G649">
            <v>1114.5999999999431</v>
          </cell>
          <cell r="H649">
            <v>10927</v>
          </cell>
          <cell r="I649">
            <v>1114.699999999943</v>
          </cell>
          <cell r="J649">
            <v>10965</v>
          </cell>
        </row>
        <row r="650">
          <cell r="G650">
            <v>1114.699999999943</v>
          </cell>
          <cell r="H650">
            <v>10965</v>
          </cell>
          <cell r="I650">
            <v>1114.7999999999429</v>
          </cell>
          <cell r="J650">
            <v>11003</v>
          </cell>
        </row>
        <row r="651">
          <cell r="G651">
            <v>1114.7999999999429</v>
          </cell>
          <cell r="H651">
            <v>11003</v>
          </cell>
          <cell r="I651">
            <v>1114.8999999999428</v>
          </cell>
          <cell r="J651">
            <v>11041</v>
          </cell>
        </row>
        <row r="652">
          <cell r="G652">
            <v>1114.8999999999428</v>
          </cell>
          <cell r="H652">
            <v>11041</v>
          </cell>
          <cell r="I652">
            <v>1114.9999999999427</v>
          </cell>
          <cell r="J652">
            <v>11079</v>
          </cell>
        </row>
        <row r="653">
          <cell r="G653">
            <v>1114.9999999999427</v>
          </cell>
          <cell r="H653">
            <v>11079</v>
          </cell>
          <cell r="I653">
            <v>1115.0999999999426</v>
          </cell>
          <cell r="J653">
            <v>11118.1</v>
          </cell>
        </row>
        <row r="654">
          <cell r="G654">
            <v>1115.0999999999426</v>
          </cell>
          <cell r="H654">
            <v>11118.1</v>
          </cell>
          <cell r="I654">
            <v>1115.1999999999425</v>
          </cell>
          <cell r="J654">
            <v>11157.2</v>
          </cell>
        </row>
        <row r="655">
          <cell r="G655">
            <v>1115.1999999999425</v>
          </cell>
          <cell r="H655">
            <v>11157.2</v>
          </cell>
          <cell r="I655">
            <v>1115.2999999999424</v>
          </cell>
          <cell r="J655">
            <v>11196.3</v>
          </cell>
        </row>
        <row r="656">
          <cell r="G656">
            <v>1115.2999999999424</v>
          </cell>
          <cell r="H656">
            <v>11196.3</v>
          </cell>
          <cell r="I656">
            <v>1115.3999999999423</v>
          </cell>
          <cell r="J656">
            <v>11235.4</v>
          </cell>
        </row>
        <row r="657">
          <cell r="G657">
            <v>1115.3999999999423</v>
          </cell>
          <cell r="H657">
            <v>11235.4</v>
          </cell>
          <cell r="I657">
            <v>1115.4999999999422</v>
          </cell>
          <cell r="J657">
            <v>11274.5</v>
          </cell>
        </row>
        <row r="658">
          <cell r="G658">
            <v>1115.4999999999422</v>
          </cell>
          <cell r="H658">
            <v>11274.5</v>
          </cell>
          <cell r="I658">
            <v>1115.5999999999422</v>
          </cell>
          <cell r="J658">
            <v>11313.6</v>
          </cell>
        </row>
        <row r="659">
          <cell r="G659">
            <v>1115.5999999999422</v>
          </cell>
          <cell r="H659">
            <v>11313.6</v>
          </cell>
          <cell r="I659">
            <v>1115.6999999999421</v>
          </cell>
          <cell r="J659">
            <v>11352.7</v>
          </cell>
        </row>
        <row r="660">
          <cell r="G660">
            <v>1115.6999999999421</v>
          </cell>
          <cell r="H660">
            <v>11352.7</v>
          </cell>
          <cell r="I660">
            <v>1115.799999999942</v>
          </cell>
          <cell r="J660">
            <v>11391.8</v>
          </cell>
        </row>
        <row r="661">
          <cell r="G661">
            <v>1115.799999999942</v>
          </cell>
          <cell r="H661">
            <v>11391.8</v>
          </cell>
          <cell r="I661">
            <v>1115.8999999999419</v>
          </cell>
          <cell r="J661">
            <v>11430.9</v>
          </cell>
        </row>
        <row r="662">
          <cell r="G662">
            <v>1115.8999999999419</v>
          </cell>
          <cell r="H662">
            <v>11430.9</v>
          </cell>
          <cell r="I662">
            <v>1115.9999999999418</v>
          </cell>
          <cell r="J662">
            <v>11470</v>
          </cell>
        </row>
        <row r="663">
          <cell r="G663">
            <v>1115.9999999999418</v>
          </cell>
          <cell r="H663">
            <v>11470</v>
          </cell>
          <cell r="I663">
            <v>1116.0999999999417</v>
          </cell>
          <cell r="J663">
            <v>11510.1</v>
          </cell>
        </row>
        <row r="664">
          <cell r="G664">
            <v>1116.0999999999417</v>
          </cell>
          <cell r="H664">
            <v>11510.1</v>
          </cell>
          <cell r="I664">
            <v>1116.1999999999416</v>
          </cell>
          <cell r="J664">
            <v>11550.2</v>
          </cell>
        </row>
        <row r="665">
          <cell r="G665">
            <v>1116.1999999999416</v>
          </cell>
          <cell r="H665">
            <v>11550.2</v>
          </cell>
          <cell r="I665">
            <v>1116.2999999999415</v>
          </cell>
          <cell r="J665">
            <v>11590.3</v>
          </cell>
        </row>
        <row r="666">
          <cell r="G666">
            <v>1116.2999999999415</v>
          </cell>
          <cell r="H666">
            <v>11590.3</v>
          </cell>
          <cell r="I666">
            <v>1116.3999999999414</v>
          </cell>
          <cell r="J666">
            <v>11630.4</v>
          </cell>
        </row>
        <row r="667">
          <cell r="G667">
            <v>1116.3999999999414</v>
          </cell>
          <cell r="H667">
            <v>11630.4</v>
          </cell>
          <cell r="I667">
            <v>1116.4999999999413</v>
          </cell>
          <cell r="J667">
            <v>11670.5</v>
          </cell>
        </row>
        <row r="668">
          <cell r="G668">
            <v>1116.4999999999413</v>
          </cell>
          <cell r="H668">
            <v>11670.5</v>
          </cell>
          <cell r="I668">
            <v>1116.5999999999412</v>
          </cell>
          <cell r="J668">
            <v>11710.6</v>
          </cell>
        </row>
        <row r="669">
          <cell r="G669">
            <v>1116.5999999999412</v>
          </cell>
          <cell r="H669">
            <v>11710.6</v>
          </cell>
          <cell r="I669">
            <v>1116.6999999999412</v>
          </cell>
          <cell r="J669">
            <v>11750.7</v>
          </cell>
        </row>
        <row r="670">
          <cell r="G670">
            <v>1116.6999999999412</v>
          </cell>
          <cell r="H670">
            <v>11750.7</v>
          </cell>
          <cell r="I670">
            <v>1116.7999999999411</v>
          </cell>
          <cell r="J670">
            <v>11790.8</v>
          </cell>
        </row>
        <row r="671">
          <cell r="G671">
            <v>1116.7999999999411</v>
          </cell>
          <cell r="H671">
            <v>11790.8</v>
          </cell>
          <cell r="I671">
            <v>1116.899999999941</v>
          </cell>
          <cell r="J671">
            <v>11830.9</v>
          </cell>
        </row>
        <row r="672">
          <cell r="G672">
            <v>1116.899999999941</v>
          </cell>
          <cell r="H672">
            <v>11830.9</v>
          </cell>
          <cell r="I672">
            <v>1116.9999999999409</v>
          </cell>
          <cell r="J672">
            <v>11871</v>
          </cell>
        </row>
        <row r="673">
          <cell r="G673">
            <v>1116.9999999999409</v>
          </cell>
          <cell r="H673">
            <v>11871</v>
          </cell>
          <cell r="I673">
            <v>1117.0999999999408</v>
          </cell>
          <cell r="J673">
            <v>11912.2</v>
          </cell>
        </row>
        <row r="674">
          <cell r="G674">
            <v>1117.0999999999408</v>
          </cell>
          <cell r="H674">
            <v>11912.2</v>
          </cell>
          <cell r="I674">
            <v>1117.1999999999407</v>
          </cell>
          <cell r="J674">
            <v>11953.4</v>
          </cell>
        </row>
        <row r="675">
          <cell r="G675">
            <v>1117.1999999999407</v>
          </cell>
          <cell r="H675">
            <v>11953.4</v>
          </cell>
          <cell r="I675">
            <v>1117.2999999999406</v>
          </cell>
          <cell r="J675">
            <v>11994.6</v>
          </cell>
        </row>
        <row r="676">
          <cell r="G676">
            <v>1117.2999999999406</v>
          </cell>
          <cell r="H676">
            <v>11994.6</v>
          </cell>
          <cell r="I676">
            <v>1117.3999999999405</v>
          </cell>
          <cell r="J676">
            <v>12035.8</v>
          </cell>
        </row>
        <row r="677">
          <cell r="G677">
            <v>1117.3999999999405</v>
          </cell>
          <cell r="H677">
            <v>12035.8</v>
          </cell>
          <cell r="I677">
            <v>1117.4999999999404</v>
          </cell>
          <cell r="J677">
            <v>12077</v>
          </cell>
        </row>
        <row r="678">
          <cell r="G678">
            <v>1117.4999999999404</v>
          </cell>
          <cell r="H678">
            <v>12077</v>
          </cell>
          <cell r="I678">
            <v>1117.5999999999403</v>
          </cell>
          <cell r="J678">
            <v>12118.2</v>
          </cell>
        </row>
        <row r="679">
          <cell r="G679">
            <v>1117.5999999999403</v>
          </cell>
          <cell r="H679">
            <v>12118.2</v>
          </cell>
          <cell r="I679">
            <v>1117.6999999999402</v>
          </cell>
          <cell r="J679">
            <v>12159.4</v>
          </cell>
        </row>
        <row r="680">
          <cell r="G680">
            <v>1117.6999999999402</v>
          </cell>
          <cell r="H680">
            <v>12159.4</v>
          </cell>
          <cell r="I680">
            <v>1117.7999999999402</v>
          </cell>
          <cell r="J680">
            <v>12200.6</v>
          </cell>
        </row>
        <row r="681">
          <cell r="G681">
            <v>1117.7999999999402</v>
          </cell>
          <cell r="H681">
            <v>12200.6</v>
          </cell>
          <cell r="I681">
            <v>1117.8999999999401</v>
          </cell>
          <cell r="J681">
            <v>12241.8</v>
          </cell>
        </row>
        <row r="682">
          <cell r="G682">
            <v>1117.8999999999401</v>
          </cell>
          <cell r="H682">
            <v>12241.8</v>
          </cell>
          <cell r="I682">
            <v>1117.99999999994</v>
          </cell>
          <cell r="J682">
            <v>12283</v>
          </cell>
        </row>
        <row r="683">
          <cell r="G683">
            <v>1117.99999999994</v>
          </cell>
          <cell r="H683">
            <v>12283</v>
          </cell>
          <cell r="I683">
            <v>1118.0999999999399</v>
          </cell>
          <cell r="J683">
            <v>12325.3</v>
          </cell>
        </row>
        <row r="684">
          <cell r="G684">
            <v>1118.0999999999399</v>
          </cell>
          <cell r="H684">
            <v>12325.3</v>
          </cell>
          <cell r="I684">
            <v>1118.1999999999398</v>
          </cell>
          <cell r="J684">
            <v>12367.6</v>
          </cell>
        </row>
        <row r="685">
          <cell r="G685">
            <v>1118.1999999999398</v>
          </cell>
          <cell r="H685">
            <v>12367.6</v>
          </cell>
          <cell r="I685">
            <v>1118.2999999999397</v>
          </cell>
          <cell r="J685">
            <v>12409.9</v>
          </cell>
        </row>
        <row r="686">
          <cell r="G686">
            <v>1118.2999999999397</v>
          </cell>
          <cell r="H686">
            <v>12409.9</v>
          </cell>
          <cell r="I686">
            <v>1118.3999999999396</v>
          </cell>
          <cell r="J686">
            <v>12452.2</v>
          </cell>
        </row>
        <row r="687">
          <cell r="G687">
            <v>1118.3999999999396</v>
          </cell>
          <cell r="H687">
            <v>12452.2</v>
          </cell>
          <cell r="I687">
            <v>1118.4999999999395</v>
          </cell>
          <cell r="J687">
            <v>12494.5</v>
          </cell>
        </row>
        <row r="688">
          <cell r="G688">
            <v>1118.4999999999395</v>
          </cell>
          <cell r="H688">
            <v>12494.5</v>
          </cell>
          <cell r="I688">
            <v>1118.5999999999394</v>
          </cell>
          <cell r="J688">
            <v>12536.8</v>
          </cell>
        </row>
        <row r="689">
          <cell r="G689">
            <v>1118.5999999999394</v>
          </cell>
          <cell r="H689">
            <v>12536.8</v>
          </cell>
          <cell r="I689">
            <v>1118.6999999999393</v>
          </cell>
          <cell r="J689">
            <v>12579.1</v>
          </cell>
        </row>
        <row r="690">
          <cell r="G690">
            <v>1118.6999999999393</v>
          </cell>
          <cell r="H690">
            <v>12579.1</v>
          </cell>
          <cell r="I690">
            <v>1118.7999999999392</v>
          </cell>
          <cell r="J690">
            <v>12621.4</v>
          </cell>
        </row>
        <row r="691">
          <cell r="G691">
            <v>1118.7999999999392</v>
          </cell>
          <cell r="H691">
            <v>12621.4</v>
          </cell>
          <cell r="I691">
            <v>1118.8999999999392</v>
          </cell>
          <cell r="J691">
            <v>12663.7</v>
          </cell>
        </row>
        <row r="692">
          <cell r="G692">
            <v>1118.8999999999392</v>
          </cell>
          <cell r="H692">
            <v>12663.7</v>
          </cell>
          <cell r="I692">
            <v>1118.9999999999391</v>
          </cell>
          <cell r="J692">
            <v>12706</v>
          </cell>
        </row>
        <row r="693">
          <cell r="G693">
            <v>1118.9999999999391</v>
          </cell>
          <cell r="H693">
            <v>12706</v>
          </cell>
          <cell r="I693">
            <v>1119.099999999939</v>
          </cell>
          <cell r="J693">
            <v>12749.4</v>
          </cell>
        </row>
        <row r="694">
          <cell r="G694">
            <v>1119.099999999939</v>
          </cell>
          <cell r="H694">
            <v>12749.4</v>
          </cell>
          <cell r="I694">
            <v>1119.1999999999389</v>
          </cell>
          <cell r="J694">
            <v>12792.8</v>
          </cell>
        </row>
        <row r="695">
          <cell r="G695">
            <v>1119.1999999999389</v>
          </cell>
          <cell r="H695">
            <v>12792.8</v>
          </cell>
          <cell r="I695">
            <v>1119.2999999999388</v>
          </cell>
          <cell r="J695">
            <v>12836.2</v>
          </cell>
        </row>
        <row r="696">
          <cell r="G696">
            <v>1119.2999999999388</v>
          </cell>
          <cell r="H696">
            <v>12836.2</v>
          </cell>
          <cell r="I696">
            <v>1119.3999999999387</v>
          </cell>
          <cell r="J696">
            <v>12879.6</v>
          </cell>
        </row>
        <row r="697">
          <cell r="G697">
            <v>1119.3999999999387</v>
          </cell>
          <cell r="H697">
            <v>12879.6</v>
          </cell>
          <cell r="I697">
            <v>1119.4999999999386</v>
          </cell>
          <cell r="J697">
            <v>12923</v>
          </cell>
        </row>
        <row r="698">
          <cell r="G698">
            <v>1119.4999999999386</v>
          </cell>
          <cell r="H698">
            <v>12923</v>
          </cell>
          <cell r="I698">
            <v>1119.5999999999385</v>
          </cell>
          <cell r="J698">
            <v>12966.4</v>
          </cell>
        </row>
        <row r="699">
          <cell r="G699">
            <v>1119.5999999999385</v>
          </cell>
          <cell r="H699">
            <v>12966.4</v>
          </cell>
          <cell r="I699">
            <v>1119.6999999999384</v>
          </cell>
          <cell r="J699">
            <v>13009.8</v>
          </cell>
        </row>
        <row r="700">
          <cell r="G700">
            <v>1119.6999999999384</v>
          </cell>
          <cell r="H700">
            <v>13009.8</v>
          </cell>
          <cell r="I700">
            <v>1119.7999999999383</v>
          </cell>
          <cell r="J700">
            <v>13053.2</v>
          </cell>
        </row>
        <row r="701">
          <cell r="G701">
            <v>1119.7999999999383</v>
          </cell>
          <cell r="H701">
            <v>13053.2</v>
          </cell>
          <cell r="I701">
            <v>1119.8999999999382</v>
          </cell>
          <cell r="J701">
            <v>13096.6</v>
          </cell>
        </row>
        <row r="702">
          <cell r="G702">
            <v>1119.8999999999382</v>
          </cell>
          <cell r="H702">
            <v>13096.6</v>
          </cell>
          <cell r="I702">
            <v>1119.9999999999382</v>
          </cell>
          <cell r="J702">
            <v>13140</v>
          </cell>
        </row>
        <row r="703">
          <cell r="G703">
            <v>1119.9999999999382</v>
          </cell>
          <cell r="H703">
            <v>13140</v>
          </cell>
          <cell r="I703">
            <v>1120.0999999999381</v>
          </cell>
          <cell r="J703">
            <v>13184.5</v>
          </cell>
        </row>
        <row r="704">
          <cell r="G704">
            <v>1120.0999999999381</v>
          </cell>
          <cell r="H704">
            <v>13184.5</v>
          </cell>
          <cell r="I704">
            <v>1120.199999999938</v>
          </cell>
          <cell r="J704">
            <v>13229</v>
          </cell>
        </row>
        <row r="705">
          <cell r="G705">
            <v>1120.199999999938</v>
          </cell>
          <cell r="H705">
            <v>13229</v>
          </cell>
          <cell r="I705">
            <v>1120.2999999999379</v>
          </cell>
          <cell r="J705">
            <v>13273.5</v>
          </cell>
        </row>
        <row r="706">
          <cell r="G706">
            <v>1120.2999999999379</v>
          </cell>
          <cell r="H706">
            <v>13273.5</v>
          </cell>
          <cell r="I706">
            <v>1120.3999999999378</v>
          </cell>
          <cell r="J706">
            <v>13318</v>
          </cell>
        </row>
        <row r="707">
          <cell r="G707">
            <v>1120.3999999999378</v>
          </cell>
          <cell r="H707">
            <v>13318</v>
          </cell>
          <cell r="I707">
            <v>1120.4999999999377</v>
          </cell>
          <cell r="J707">
            <v>13362.5</v>
          </cell>
        </row>
        <row r="708">
          <cell r="G708">
            <v>1120.4999999999377</v>
          </cell>
          <cell r="H708">
            <v>13362.5</v>
          </cell>
          <cell r="I708">
            <v>1120.5999999999376</v>
          </cell>
          <cell r="J708">
            <v>13407</v>
          </cell>
        </row>
        <row r="709">
          <cell r="G709">
            <v>1120.5999999999376</v>
          </cell>
          <cell r="H709">
            <v>13407</v>
          </cell>
          <cell r="I709">
            <v>1120.6999999999375</v>
          </cell>
          <cell r="J709">
            <v>13451.5</v>
          </cell>
        </row>
        <row r="710">
          <cell r="G710">
            <v>1120.6999999999375</v>
          </cell>
          <cell r="H710">
            <v>13451.5</v>
          </cell>
          <cell r="I710">
            <v>1120.7999999999374</v>
          </cell>
          <cell r="J710">
            <v>13496</v>
          </cell>
        </row>
        <row r="711">
          <cell r="G711">
            <v>1120.7999999999374</v>
          </cell>
          <cell r="H711">
            <v>13496</v>
          </cell>
          <cell r="I711">
            <v>1120.8999999999373</v>
          </cell>
          <cell r="J711">
            <v>13540.5</v>
          </cell>
        </row>
        <row r="712">
          <cell r="G712">
            <v>1120.8999999999373</v>
          </cell>
          <cell r="H712">
            <v>13540.5</v>
          </cell>
          <cell r="I712">
            <v>1120.9999999999372</v>
          </cell>
          <cell r="J712">
            <v>13585</v>
          </cell>
        </row>
        <row r="713">
          <cell r="G713">
            <v>1120.9999999999372</v>
          </cell>
          <cell r="H713">
            <v>13585</v>
          </cell>
          <cell r="I713">
            <v>1121.0999999999372</v>
          </cell>
          <cell r="J713">
            <v>13630.7</v>
          </cell>
        </row>
        <row r="714">
          <cell r="G714">
            <v>1121.0999999999372</v>
          </cell>
          <cell r="H714">
            <v>13630.7</v>
          </cell>
          <cell r="I714">
            <v>1121.1999999999371</v>
          </cell>
          <cell r="J714">
            <v>13676.4</v>
          </cell>
        </row>
        <row r="715">
          <cell r="G715">
            <v>1121.1999999999371</v>
          </cell>
          <cell r="H715">
            <v>13676.4</v>
          </cell>
          <cell r="I715">
            <v>1121.299999999937</v>
          </cell>
          <cell r="J715">
            <v>13722.1</v>
          </cell>
        </row>
        <row r="716">
          <cell r="G716">
            <v>1121.299999999937</v>
          </cell>
          <cell r="H716">
            <v>13722.1</v>
          </cell>
          <cell r="I716">
            <v>1121.3999999999369</v>
          </cell>
          <cell r="J716">
            <v>13767.8</v>
          </cell>
        </row>
        <row r="717">
          <cell r="G717">
            <v>1121.3999999999369</v>
          </cell>
          <cell r="H717">
            <v>13767.8</v>
          </cell>
          <cell r="I717">
            <v>1121.4999999999368</v>
          </cell>
          <cell r="J717">
            <v>13813.5</v>
          </cell>
        </row>
        <row r="718">
          <cell r="G718">
            <v>1121.4999999999368</v>
          </cell>
          <cell r="H718">
            <v>13813.5</v>
          </cell>
          <cell r="I718">
            <v>1121.5999999999367</v>
          </cell>
          <cell r="J718">
            <v>13859.2</v>
          </cell>
        </row>
        <row r="719">
          <cell r="G719">
            <v>1121.5999999999367</v>
          </cell>
          <cell r="H719">
            <v>13859.2</v>
          </cell>
          <cell r="I719">
            <v>1121.6999999999366</v>
          </cell>
          <cell r="J719">
            <v>13904.9</v>
          </cell>
        </row>
        <row r="720">
          <cell r="G720">
            <v>1121.6999999999366</v>
          </cell>
          <cell r="H720">
            <v>13904.9</v>
          </cell>
          <cell r="I720">
            <v>1121.7999999999365</v>
          </cell>
          <cell r="J720">
            <v>13950.6</v>
          </cell>
        </row>
        <row r="721">
          <cell r="G721">
            <v>1121.7999999999365</v>
          </cell>
          <cell r="H721">
            <v>13950.6</v>
          </cell>
          <cell r="I721">
            <v>1121.8999999999364</v>
          </cell>
          <cell r="J721">
            <v>13996.3</v>
          </cell>
        </row>
        <row r="722">
          <cell r="G722">
            <v>1121.8999999999364</v>
          </cell>
          <cell r="H722">
            <v>13996.3</v>
          </cell>
          <cell r="I722">
            <v>1121.9999999999363</v>
          </cell>
          <cell r="J722">
            <v>14042</v>
          </cell>
        </row>
        <row r="723">
          <cell r="G723">
            <v>1121.9999999999363</v>
          </cell>
          <cell r="H723">
            <v>14042</v>
          </cell>
          <cell r="I723">
            <v>1122.0999999999362</v>
          </cell>
          <cell r="J723">
            <v>14088.8</v>
          </cell>
        </row>
        <row r="724">
          <cell r="G724">
            <v>1122.0999999999362</v>
          </cell>
          <cell r="H724">
            <v>14088.8</v>
          </cell>
          <cell r="I724">
            <v>1122.1999999999362</v>
          </cell>
          <cell r="J724">
            <v>14135.6</v>
          </cell>
        </row>
        <row r="725">
          <cell r="G725">
            <v>1122.1999999999362</v>
          </cell>
          <cell r="H725">
            <v>14135.6</v>
          </cell>
          <cell r="I725">
            <v>1122.2999999999361</v>
          </cell>
          <cell r="J725">
            <v>14182.4</v>
          </cell>
        </row>
        <row r="726">
          <cell r="G726">
            <v>1122.2999999999361</v>
          </cell>
          <cell r="H726">
            <v>14182.4</v>
          </cell>
          <cell r="I726">
            <v>1122.399999999936</v>
          </cell>
          <cell r="J726">
            <v>14229.2</v>
          </cell>
        </row>
        <row r="727">
          <cell r="G727">
            <v>1122.399999999936</v>
          </cell>
          <cell r="H727">
            <v>14229.2</v>
          </cell>
          <cell r="I727">
            <v>1122.4999999999359</v>
          </cell>
          <cell r="J727">
            <v>14276</v>
          </cell>
        </row>
        <row r="728">
          <cell r="G728">
            <v>1122.4999999999359</v>
          </cell>
          <cell r="H728">
            <v>14276</v>
          </cell>
          <cell r="I728">
            <v>1122.5999999999358</v>
          </cell>
          <cell r="J728">
            <v>14322.8</v>
          </cell>
        </row>
        <row r="729">
          <cell r="G729">
            <v>1122.5999999999358</v>
          </cell>
          <cell r="H729">
            <v>14322.8</v>
          </cell>
          <cell r="I729">
            <v>1122.6999999999357</v>
          </cell>
          <cell r="J729">
            <v>14369.6</v>
          </cell>
        </row>
        <row r="730">
          <cell r="G730">
            <v>1122.6999999999357</v>
          </cell>
          <cell r="H730">
            <v>14369.6</v>
          </cell>
          <cell r="I730">
            <v>1122.7999999999356</v>
          </cell>
          <cell r="J730">
            <v>14416.4</v>
          </cell>
        </row>
        <row r="731">
          <cell r="G731">
            <v>1122.7999999999356</v>
          </cell>
          <cell r="H731">
            <v>14416.4</v>
          </cell>
          <cell r="I731">
            <v>1122.8999999999355</v>
          </cell>
          <cell r="J731">
            <v>14463.2</v>
          </cell>
        </row>
        <row r="732">
          <cell r="G732">
            <v>1122.8999999999355</v>
          </cell>
          <cell r="H732">
            <v>14463.2</v>
          </cell>
          <cell r="I732">
            <v>1122.9999999999354</v>
          </cell>
          <cell r="J732">
            <v>14510</v>
          </cell>
        </row>
        <row r="733">
          <cell r="G733">
            <v>1122.9999999999354</v>
          </cell>
          <cell r="H733">
            <v>14510</v>
          </cell>
          <cell r="I733">
            <v>1123.0999999999353</v>
          </cell>
          <cell r="J733">
            <v>14558</v>
          </cell>
        </row>
        <row r="734">
          <cell r="G734">
            <v>1123.0999999999353</v>
          </cell>
          <cell r="H734">
            <v>14558</v>
          </cell>
          <cell r="I734">
            <v>1123.1999999999352</v>
          </cell>
          <cell r="J734">
            <v>14606</v>
          </cell>
        </row>
        <row r="735">
          <cell r="G735">
            <v>1123.1999999999352</v>
          </cell>
          <cell r="H735">
            <v>14606</v>
          </cell>
          <cell r="I735">
            <v>1123.2999999999352</v>
          </cell>
          <cell r="J735">
            <v>14654</v>
          </cell>
        </row>
        <row r="736">
          <cell r="G736">
            <v>1123.2999999999352</v>
          </cell>
          <cell r="H736">
            <v>14654</v>
          </cell>
          <cell r="I736">
            <v>1123.3999999999351</v>
          </cell>
          <cell r="J736">
            <v>14702</v>
          </cell>
        </row>
        <row r="737">
          <cell r="G737">
            <v>1123.3999999999351</v>
          </cell>
          <cell r="H737">
            <v>14702</v>
          </cell>
          <cell r="I737">
            <v>1123.499999999935</v>
          </cell>
          <cell r="J737">
            <v>14750</v>
          </cell>
        </row>
        <row r="738">
          <cell r="G738">
            <v>1123.499999999935</v>
          </cell>
          <cell r="H738">
            <v>14750</v>
          </cell>
          <cell r="I738">
            <v>1123.5999999999349</v>
          </cell>
          <cell r="J738">
            <v>14798</v>
          </cell>
        </row>
        <row r="739">
          <cell r="G739">
            <v>1123.5999999999349</v>
          </cell>
          <cell r="H739">
            <v>14798</v>
          </cell>
          <cell r="I739">
            <v>1123.6999999999348</v>
          </cell>
          <cell r="J739">
            <v>14846</v>
          </cell>
        </row>
        <row r="740">
          <cell r="G740">
            <v>1123.6999999999348</v>
          </cell>
          <cell r="H740">
            <v>14846</v>
          </cell>
          <cell r="I740">
            <v>1123.7999999999347</v>
          </cell>
          <cell r="J740">
            <v>14894</v>
          </cell>
        </row>
        <row r="741">
          <cell r="G741">
            <v>1123.7999999999347</v>
          </cell>
          <cell r="H741">
            <v>14894</v>
          </cell>
          <cell r="I741">
            <v>1123.8999999999346</v>
          </cell>
          <cell r="J741">
            <v>14942</v>
          </cell>
        </row>
        <row r="742">
          <cell r="G742">
            <v>1123.8999999999346</v>
          </cell>
          <cell r="H742">
            <v>14942</v>
          </cell>
          <cell r="I742">
            <v>1123.9999999999345</v>
          </cell>
          <cell r="J742">
            <v>14990</v>
          </cell>
        </row>
        <row r="743">
          <cell r="G743">
            <v>1123.9999999999345</v>
          </cell>
          <cell r="H743">
            <v>14990</v>
          </cell>
          <cell r="I743">
            <v>1124.0999999999344</v>
          </cell>
          <cell r="J743">
            <v>15039.2</v>
          </cell>
        </row>
        <row r="744">
          <cell r="G744">
            <v>1124.0999999999344</v>
          </cell>
          <cell r="H744">
            <v>15039.2</v>
          </cell>
          <cell r="I744">
            <v>1124.1999999999343</v>
          </cell>
          <cell r="J744">
            <v>15088.4</v>
          </cell>
        </row>
        <row r="745">
          <cell r="G745">
            <v>1124.1999999999343</v>
          </cell>
          <cell r="H745">
            <v>15088.4</v>
          </cell>
          <cell r="I745">
            <v>1124.2999999999342</v>
          </cell>
          <cell r="J745">
            <v>15137.6</v>
          </cell>
        </row>
        <row r="746">
          <cell r="G746">
            <v>1124.2999999999342</v>
          </cell>
          <cell r="H746">
            <v>15137.6</v>
          </cell>
          <cell r="I746">
            <v>1124.3999999999342</v>
          </cell>
          <cell r="J746">
            <v>15186.8</v>
          </cell>
        </row>
        <row r="747">
          <cell r="G747">
            <v>1124.3999999999342</v>
          </cell>
          <cell r="H747">
            <v>15186.8</v>
          </cell>
          <cell r="I747">
            <v>1124.4999999999341</v>
          </cell>
          <cell r="J747">
            <v>15236</v>
          </cell>
        </row>
        <row r="748">
          <cell r="G748">
            <v>1124.4999999999341</v>
          </cell>
          <cell r="H748">
            <v>15236</v>
          </cell>
          <cell r="I748">
            <v>1124.599999999934</v>
          </cell>
          <cell r="J748">
            <v>15285.2</v>
          </cell>
        </row>
        <row r="749">
          <cell r="G749">
            <v>1124.599999999934</v>
          </cell>
          <cell r="H749">
            <v>15285.2</v>
          </cell>
          <cell r="I749">
            <v>1124.6999999999339</v>
          </cell>
          <cell r="J749">
            <v>15334.4</v>
          </cell>
        </row>
        <row r="750">
          <cell r="G750">
            <v>1124.6999999999339</v>
          </cell>
          <cell r="H750">
            <v>15334.4</v>
          </cell>
          <cell r="I750">
            <v>1124.7999999999338</v>
          </cell>
          <cell r="J750">
            <v>15383.6</v>
          </cell>
        </row>
        <row r="751">
          <cell r="G751">
            <v>1124.7999999999338</v>
          </cell>
          <cell r="H751">
            <v>15383.6</v>
          </cell>
          <cell r="I751">
            <v>1124.8999999999337</v>
          </cell>
          <cell r="J751">
            <v>15432.8</v>
          </cell>
        </row>
        <row r="752">
          <cell r="G752">
            <v>1124.8999999999337</v>
          </cell>
          <cell r="H752">
            <v>15432.8</v>
          </cell>
          <cell r="I752">
            <v>1124.9999999999336</v>
          </cell>
          <cell r="J752">
            <v>15482</v>
          </cell>
        </row>
        <row r="753">
          <cell r="G753">
            <v>1124.9999999999336</v>
          </cell>
          <cell r="H753">
            <v>15482</v>
          </cell>
          <cell r="I753">
            <v>1125.0999999999335</v>
          </cell>
          <cell r="J753">
            <v>15532.4</v>
          </cell>
        </row>
        <row r="754">
          <cell r="G754">
            <v>1125.0999999999335</v>
          </cell>
          <cell r="H754">
            <v>15532.4</v>
          </cell>
          <cell r="I754">
            <v>1125.1999999999334</v>
          </cell>
          <cell r="J754">
            <v>15582.8</v>
          </cell>
        </row>
        <row r="755">
          <cell r="G755">
            <v>1125.1999999999334</v>
          </cell>
          <cell r="H755">
            <v>15582.8</v>
          </cell>
          <cell r="I755">
            <v>1125.2999999999333</v>
          </cell>
          <cell r="J755">
            <v>15633.2</v>
          </cell>
        </row>
        <row r="756">
          <cell r="G756">
            <v>1125.2999999999333</v>
          </cell>
          <cell r="H756">
            <v>15633.2</v>
          </cell>
          <cell r="I756">
            <v>1125.3999999999332</v>
          </cell>
          <cell r="J756">
            <v>15683.6</v>
          </cell>
        </row>
        <row r="757">
          <cell r="G757">
            <v>1125.3999999999332</v>
          </cell>
          <cell r="H757">
            <v>15683.6</v>
          </cell>
          <cell r="I757">
            <v>1125.4999999999332</v>
          </cell>
          <cell r="J757">
            <v>15734</v>
          </cell>
        </row>
        <row r="758">
          <cell r="G758">
            <v>1125.4999999999332</v>
          </cell>
          <cell r="H758">
            <v>15734</v>
          </cell>
          <cell r="I758">
            <v>1125.5999999999331</v>
          </cell>
          <cell r="J758">
            <v>15784.4</v>
          </cell>
        </row>
        <row r="759">
          <cell r="G759">
            <v>1125.5999999999331</v>
          </cell>
          <cell r="H759">
            <v>15784.4</v>
          </cell>
          <cell r="I759">
            <v>1125.699999999933</v>
          </cell>
          <cell r="J759">
            <v>15834.8</v>
          </cell>
        </row>
        <row r="760">
          <cell r="G760">
            <v>1125.699999999933</v>
          </cell>
          <cell r="H760">
            <v>15834.8</v>
          </cell>
          <cell r="I760">
            <v>1125.7999999999329</v>
          </cell>
          <cell r="J760">
            <v>15885.2</v>
          </cell>
        </row>
        <row r="761">
          <cell r="G761">
            <v>1125.7999999999329</v>
          </cell>
          <cell r="H761">
            <v>15885.2</v>
          </cell>
          <cell r="I761">
            <v>1125.8999999999328</v>
          </cell>
          <cell r="J761">
            <v>15935.6</v>
          </cell>
        </row>
        <row r="762">
          <cell r="G762">
            <v>1125.8999999999328</v>
          </cell>
          <cell r="H762">
            <v>15935.6</v>
          </cell>
          <cell r="I762">
            <v>1125.9999999999327</v>
          </cell>
          <cell r="J762">
            <v>15986</v>
          </cell>
        </row>
        <row r="763">
          <cell r="G763">
            <v>1125.9999999999327</v>
          </cell>
          <cell r="H763">
            <v>15986</v>
          </cell>
          <cell r="I763">
            <v>1126.0999999999326</v>
          </cell>
          <cell r="J763">
            <v>16037.7</v>
          </cell>
        </row>
        <row r="764">
          <cell r="G764">
            <v>1126.0999999999326</v>
          </cell>
          <cell r="H764">
            <v>16037.7</v>
          </cell>
          <cell r="I764">
            <v>1126.1999999999325</v>
          </cell>
          <cell r="J764">
            <v>16089.4</v>
          </cell>
        </row>
        <row r="765">
          <cell r="G765">
            <v>1126.1999999999325</v>
          </cell>
          <cell r="H765">
            <v>16089.4</v>
          </cell>
          <cell r="I765">
            <v>1126.2999999999324</v>
          </cell>
          <cell r="J765">
            <v>16141.1</v>
          </cell>
        </row>
        <row r="766">
          <cell r="G766">
            <v>1126.2999999999324</v>
          </cell>
          <cell r="H766">
            <v>16141.1</v>
          </cell>
          <cell r="I766">
            <v>1126.3999999999323</v>
          </cell>
          <cell r="J766">
            <v>16192.8</v>
          </cell>
        </row>
        <row r="767">
          <cell r="G767">
            <v>1126.3999999999323</v>
          </cell>
          <cell r="H767">
            <v>16192.8</v>
          </cell>
          <cell r="I767">
            <v>1126.4999999999322</v>
          </cell>
          <cell r="J767">
            <v>16244.5</v>
          </cell>
        </row>
        <row r="768">
          <cell r="G768">
            <v>1126.4999999999322</v>
          </cell>
          <cell r="H768">
            <v>16244.5</v>
          </cell>
          <cell r="I768">
            <v>1126.5999999999322</v>
          </cell>
          <cell r="J768">
            <v>16296.2</v>
          </cell>
        </row>
        <row r="769">
          <cell r="G769">
            <v>1126.5999999999322</v>
          </cell>
          <cell r="H769">
            <v>16296.2</v>
          </cell>
          <cell r="I769">
            <v>1126.6999999999321</v>
          </cell>
          <cell r="J769">
            <v>16347.9</v>
          </cell>
        </row>
        <row r="770">
          <cell r="G770">
            <v>1126.6999999999321</v>
          </cell>
          <cell r="H770">
            <v>16347.9</v>
          </cell>
          <cell r="I770">
            <v>1126.799999999932</v>
          </cell>
          <cell r="J770">
            <v>16399.599999999999</v>
          </cell>
        </row>
        <row r="771">
          <cell r="G771">
            <v>1126.799999999932</v>
          </cell>
          <cell r="H771">
            <v>16399.599999999999</v>
          </cell>
          <cell r="I771">
            <v>1126.8999999999319</v>
          </cell>
          <cell r="J771">
            <v>16451.3</v>
          </cell>
        </row>
        <row r="772">
          <cell r="G772">
            <v>1126.8999999999319</v>
          </cell>
          <cell r="H772">
            <v>16451.3</v>
          </cell>
          <cell r="I772">
            <v>1126.9999999999318</v>
          </cell>
          <cell r="J772">
            <v>16503</v>
          </cell>
        </row>
        <row r="773">
          <cell r="G773">
            <v>1126.9999999999318</v>
          </cell>
          <cell r="H773">
            <v>16503</v>
          </cell>
          <cell r="I773">
            <v>1127.0999999999317</v>
          </cell>
          <cell r="J773">
            <v>16555.8</v>
          </cell>
        </row>
        <row r="774">
          <cell r="G774">
            <v>1127.0999999999317</v>
          </cell>
          <cell r="H774">
            <v>16555.8</v>
          </cell>
          <cell r="I774">
            <v>1127.1999999999316</v>
          </cell>
          <cell r="J774">
            <v>16608.599999999999</v>
          </cell>
        </row>
        <row r="775">
          <cell r="G775">
            <v>1127.1999999999316</v>
          </cell>
          <cell r="H775">
            <v>16608.599999999999</v>
          </cell>
          <cell r="I775">
            <v>1127.2999999999315</v>
          </cell>
          <cell r="J775">
            <v>16661.400000000001</v>
          </cell>
        </row>
        <row r="776">
          <cell r="G776">
            <v>1127.2999999999315</v>
          </cell>
          <cell r="H776">
            <v>16661.400000000001</v>
          </cell>
          <cell r="I776">
            <v>1127.3999999999314</v>
          </cell>
          <cell r="J776">
            <v>16714.2</v>
          </cell>
        </row>
        <row r="777">
          <cell r="G777">
            <v>1127.3999999999314</v>
          </cell>
          <cell r="H777">
            <v>16714.2</v>
          </cell>
          <cell r="I777">
            <v>1127.4999999999313</v>
          </cell>
          <cell r="J777">
            <v>16767</v>
          </cell>
        </row>
        <row r="778">
          <cell r="G778">
            <v>1127.4999999999313</v>
          </cell>
          <cell r="H778">
            <v>16767</v>
          </cell>
          <cell r="I778">
            <v>1127.5999999999312</v>
          </cell>
          <cell r="J778">
            <v>16819.8</v>
          </cell>
        </row>
        <row r="779">
          <cell r="G779">
            <v>1127.5999999999312</v>
          </cell>
          <cell r="H779">
            <v>16819.8</v>
          </cell>
          <cell r="I779">
            <v>1127.6999999999312</v>
          </cell>
          <cell r="J779">
            <v>16872.599999999999</v>
          </cell>
        </row>
        <row r="780">
          <cell r="G780">
            <v>1127.6999999999312</v>
          </cell>
          <cell r="H780">
            <v>16872.599999999999</v>
          </cell>
          <cell r="I780">
            <v>1127.7999999999311</v>
          </cell>
          <cell r="J780">
            <v>16925.400000000001</v>
          </cell>
        </row>
        <row r="781">
          <cell r="G781">
            <v>1127.7999999999311</v>
          </cell>
          <cell r="H781">
            <v>16925.400000000001</v>
          </cell>
          <cell r="I781">
            <v>1127.899999999931</v>
          </cell>
          <cell r="J781">
            <v>16978.2</v>
          </cell>
        </row>
        <row r="782">
          <cell r="G782">
            <v>1127.899999999931</v>
          </cell>
          <cell r="H782">
            <v>16978.2</v>
          </cell>
          <cell r="I782">
            <v>1127.9999999999309</v>
          </cell>
          <cell r="J782">
            <v>17031</v>
          </cell>
        </row>
        <row r="783">
          <cell r="G783">
            <v>1127.9999999999309</v>
          </cell>
          <cell r="H783">
            <v>17031</v>
          </cell>
          <cell r="I783">
            <v>1128.0999999999308</v>
          </cell>
          <cell r="J783">
            <v>17085.099999999999</v>
          </cell>
        </row>
        <row r="784">
          <cell r="G784">
            <v>1128.0999999999308</v>
          </cell>
          <cell r="H784">
            <v>17085.099999999999</v>
          </cell>
          <cell r="I784">
            <v>1128.1999999999307</v>
          </cell>
          <cell r="J784">
            <v>17139.2</v>
          </cell>
        </row>
        <row r="785">
          <cell r="G785">
            <v>1128.1999999999307</v>
          </cell>
          <cell r="H785">
            <v>17139.2</v>
          </cell>
          <cell r="I785">
            <v>1128.2999999999306</v>
          </cell>
          <cell r="J785">
            <v>17193.3</v>
          </cell>
        </row>
        <row r="786">
          <cell r="G786">
            <v>1128.2999999999306</v>
          </cell>
          <cell r="H786">
            <v>17193.3</v>
          </cell>
          <cell r="I786">
            <v>1128.3999999999305</v>
          </cell>
          <cell r="J786">
            <v>17247.400000000001</v>
          </cell>
        </row>
        <row r="787">
          <cell r="G787">
            <v>1128.3999999999305</v>
          </cell>
          <cell r="H787">
            <v>17247.400000000001</v>
          </cell>
          <cell r="I787">
            <v>1128.4999999999304</v>
          </cell>
          <cell r="J787">
            <v>17301.5</v>
          </cell>
        </row>
        <row r="788">
          <cell r="G788">
            <v>1128.4999999999304</v>
          </cell>
          <cell r="H788">
            <v>17301.5</v>
          </cell>
          <cell r="I788">
            <v>1128.5999999999303</v>
          </cell>
          <cell r="J788">
            <v>17355.599999999999</v>
          </cell>
        </row>
        <row r="789">
          <cell r="G789">
            <v>1128.5999999999303</v>
          </cell>
          <cell r="H789">
            <v>17355.599999999999</v>
          </cell>
          <cell r="I789">
            <v>1128.6999999999302</v>
          </cell>
          <cell r="J789">
            <v>17409.7</v>
          </cell>
        </row>
        <row r="790">
          <cell r="G790">
            <v>1128.6999999999302</v>
          </cell>
          <cell r="H790">
            <v>17409.7</v>
          </cell>
          <cell r="I790">
            <v>1128.7999999999302</v>
          </cell>
          <cell r="J790">
            <v>17463.8</v>
          </cell>
        </row>
        <row r="791">
          <cell r="G791">
            <v>1128.7999999999302</v>
          </cell>
          <cell r="H791">
            <v>17463.8</v>
          </cell>
          <cell r="I791">
            <v>1128.8999999999301</v>
          </cell>
          <cell r="J791">
            <v>17517.900000000001</v>
          </cell>
        </row>
        <row r="792">
          <cell r="G792">
            <v>1128.8999999999301</v>
          </cell>
          <cell r="H792">
            <v>17517.900000000001</v>
          </cell>
          <cell r="I792">
            <v>1128.99999999993</v>
          </cell>
          <cell r="J792">
            <v>17572</v>
          </cell>
        </row>
        <row r="793">
          <cell r="G793">
            <v>1128.99999999993</v>
          </cell>
          <cell r="H793">
            <v>17572</v>
          </cell>
          <cell r="I793">
            <v>1129.0999999999299</v>
          </cell>
          <cell r="J793">
            <v>17627.400000000001</v>
          </cell>
        </row>
        <row r="794">
          <cell r="G794">
            <v>1129.0999999999299</v>
          </cell>
          <cell r="H794">
            <v>17627.400000000001</v>
          </cell>
          <cell r="I794">
            <v>1129.1999999999298</v>
          </cell>
          <cell r="J794">
            <v>17682.8</v>
          </cell>
        </row>
        <row r="795">
          <cell r="G795">
            <v>1129.1999999999298</v>
          </cell>
          <cell r="H795">
            <v>17682.8</v>
          </cell>
          <cell r="I795">
            <v>1129.2999999999297</v>
          </cell>
          <cell r="J795">
            <v>17738.2</v>
          </cell>
        </row>
        <row r="796">
          <cell r="G796">
            <v>1129.2999999999297</v>
          </cell>
          <cell r="H796">
            <v>17738.2</v>
          </cell>
          <cell r="I796">
            <v>1129.3999999999296</v>
          </cell>
          <cell r="J796">
            <v>17793.599999999999</v>
          </cell>
        </row>
        <row r="797">
          <cell r="G797">
            <v>1129.3999999999296</v>
          </cell>
          <cell r="H797">
            <v>17793.599999999999</v>
          </cell>
          <cell r="I797">
            <v>1129.4999999999295</v>
          </cell>
          <cell r="J797">
            <v>17849</v>
          </cell>
        </row>
        <row r="798">
          <cell r="G798">
            <v>1129.4999999999295</v>
          </cell>
          <cell r="H798">
            <v>17849</v>
          </cell>
          <cell r="I798">
            <v>1129.5999999999294</v>
          </cell>
          <cell r="J798">
            <v>17904.400000000001</v>
          </cell>
        </row>
        <row r="799">
          <cell r="G799">
            <v>1129.5999999999294</v>
          </cell>
          <cell r="H799">
            <v>17904.400000000001</v>
          </cell>
          <cell r="I799">
            <v>1129.6999999999293</v>
          </cell>
          <cell r="J799">
            <v>17959.8</v>
          </cell>
        </row>
        <row r="800">
          <cell r="G800">
            <v>1129.6999999999293</v>
          </cell>
          <cell r="H800">
            <v>17959.8</v>
          </cell>
          <cell r="I800">
            <v>1129.7999999999292</v>
          </cell>
          <cell r="J800">
            <v>18015.2</v>
          </cell>
        </row>
        <row r="801">
          <cell r="G801">
            <v>1129.7999999999292</v>
          </cell>
          <cell r="H801">
            <v>18015.2</v>
          </cell>
          <cell r="I801">
            <v>1129.8999999999292</v>
          </cell>
          <cell r="J801">
            <v>18070.599999999999</v>
          </cell>
        </row>
        <row r="802">
          <cell r="G802">
            <v>1129.8999999999292</v>
          </cell>
          <cell r="H802">
            <v>18070.599999999999</v>
          </cell>
          <cell r="I802">
            <v>1129.9999999999291</v>
          </cell>
          <cell r="J802">
            <v>18126</v>
          </cell>
        </row>
        <row r="803">
          <cell r="G803">
            <v>1129.9999999999291</v>
          </cell>
          <cell r="H803">
            <v>18126</v>
          </cell>
          <cell r="I803">
            <v>1130.099999999929</v>
          </cell>
          <cell r="J803">
            <v>18182.900000000001</v>
          </cell>
        </row>
        <row r="804">
          <cell r="G804">
            <v>1130.099999999929</v>
          </cell>
          <cell r="H804">
            <v>18182.900000000001</v>
          </cell>
          <cell r="I804">
            <v>1130.1999999999289</v>
          </cell>
          <cell r="J804">
            <v>18239.8</v>
          </cell>
        </row>
        <row r="805">
          <cell r="G805">
            <v>1130.1999999999289</v>
          </cell>
          <cell r="H805">
            <v>18239.8</v>
          </cell>
          <cell r="I805">
            <v>1130.2999999999288</v>
          </cell>
          <cell r="J805">
            <v>18296.7</v>
          </cell>
        </row>
        <row r="806">
          <cell r="G806">
            <v>1130.2999999999288</v>
          </cell>
          <cell r="H806">
            <v>18296.7</v>
          </cell>
          <cell r="I806">
            <v>1130.3999999999287</v>
          </cell>
          <cell r="J806">
            <v>18353.599999999999</v>
          </cell>
        </row>
        <row r="807">
          <cell r="G807">
            <v>1130.3999999999287</v>
          </cell>
          <cell r="H807">
            <v>18353.599999999999</v>
          </cell>
          <cell r="I807">
            <v>1130.4999999999286</v>
          </cell>
          <cell r="J807">
            <v>18410.5</v>
          </cell>
        </row>
        <row r="808">
          <cell r="G808">
            <v>1130.4999999999286</v>
          </cell>
          <cell r="H808">
            <v>18410.5</v>
          </cell>
          <cell r="I808">
            <v>1130.5999999999285</v>
          </cell>
          <cell r="J808">
            <v>18467.400000000001</v>
          </cell>
        </row>
        <row r="809">
          <cell r="G809">
            <v>1130.5999999999285</v>
          </cell>
          <cell r="H809">
            <v>18467.400000000001</v>
          </cell>
          <cell r="I809">
            <v>1130.6999999999284</v>
          </cell>
          <cell r="J809">
            <v>18524.3</v>
          </cell>
        </row>
        <row r="810">
          <cell r="G810">
            <v>1130.6999999999284</v>
          </cell>
          <cell r="H810">
            <v>18524.3</v>
          </cell>
          <cell r="I810">
            <v>1130.7999999999283</v>
          </cell>
          <cell r="J810">
            <v>18581.2</v>
          </cell>
        </row>
        <row r="811">
          <cell r="G811">
            <v>1130.7999999999283</v>
          </cell>
          <cell r="H811">
            <v>18581.2</v>
          </cell>
          <cell r="I811">
            <v>1130.8999999999282</v>
          </cell>
          <cell r="J811">
            <v>18638.099999999999</v>
          </cell>
        </row>
        <row r="812">
          <cell r="G812">
            <v>1130.8999999999282</v>
          </cell>
          <cell r="H812">
            <v>18638.099999999999</v>
          </cell>
          <cell r="I812">
            <v>1130.9999999999281</v>
          </cell>
          <cell r="J812">
            <v>18695</v>
          </cell>
        </row>
        <row r="813">
          <cell r="G813">
            <v>1130.9999999999281</v>
          </cell>
          <cell r="H813">
            <v>18695</v>
          </cell>
          <cell r="I813">
            <v>1131.0999999999281</v>
          </cell>
          <cell r="J813">
            <v>18753.5</v>
          </cell>
        </row>
        <row r="814">
          <cell r="G814">
            <v>1131.0999999999281</v>
          </cell>
          <cell r="H814">
            <v>18753.5</v>
          </cell>
          <cell r="I814">
            <v>1131.199999999928</v>
          </cell>
          <cell r="J814">
            <v>18812</v>
          </cell>
        </row>
        <row r="815">
          <cell r="G815">
            <v>1131.199999999928</v>
          </cell>
          <cell r="H815">
            <v>18812</v>
          </cell>
          <cell r="I815">
            <v>1131.2999999999279</v>
          </cell>
          <cell r="J815">
            <v>18870.5</v>
          </cell>
        </row>
        <row r="816">
          <cell r="G816">
            <v>1131.2999999999279</v>
          </cell>
          <cell r="H816">
            <v>18870.5</v>
          </cell>
          <cell r="I816">
            <v>1131.3999999999278</v>
          </cell>
          <cell r="J816">
            <v>18929</v>
          </cell>
        </row>
        <row r="817">
          <cell r="G817">
            <v>1131.3999999999278</v>
          </cell>
          <cell r="H817">
            <v>18929</v>
          </cell>
          <cell r="I817">
            <v>1131.4999999999277</v>
          </cell>
          <cell r="J817">
            <v>18987.5</v>
          </cell>
        </row>
        <row r="818">
          <cell r="G818">
            <v>1131.4999999999277</v>
          </cell>
          <cell r="H818">
            <v>18987.5</v>
          </cell>
          <cell r="I818">
            <v>1131.5999999999276</v>
          </cell>
          <cell r="J818">
            <v>19046</v>
          </cell>
        </row>
        <row r="819">
          <cell r="G819">
            <v>1131.5999999999276</v>
          </cell>
          <cell r="H819">
            <v>19046</v>
          </cell>
          <cell r="I819">
            <v>1131.6999999999275</v>
          </cell>
          <cell r="J819">
            <v>19104.5</v>
          </cell>
        </row>
        <row r="820">
          <cell r="G820">
            <v>1131.6999999999275</v>
          </cell>
          <cell r="H820">
            <v>19104.5</v>
          </cell>
          <cell r="I820">
            <v>1131.7999999999274</v>
          </cell>
          <cell r="J820">
            <v>19163</v>
          </cell>
        </row>
        <row r="821">
          <cell r="G821">
            <v>1131.7999999999274</v>
          </cell>
          <cell r="H821">
            <v>19163</v>
          </cell>
          <cell r="I821">
            <v>1131.8999999999273</v>
          </cell>
          <cell r="J821">
            <v>19221.5</v>
          </cell>
        </row>
        <row r="822">
          <cell r="G822">
            <v>1131.8999999999273</v>
          </cell>
          <cell r="H822">
            <v>19221.5</v>
          </cell>
          <cell r="I822">
            <v>1131.9999999999272</v>
          </cell>
          <cell r="J822">
            <v>19280</v>
          </cell>
        </row>
        <row r="823">
          <cell r="G823">
            <v>1131.9999999999272</v>
          </cell>
          <cell r="H823">
            <v>19280</v>
          </cell>
          <cell r="I823">
            <v>1132.0999999999271</v>
          </cell>
          <cell r="J823">
            <v>19340.400000000001</v>
          </cell>
        </row>
        <row r="824">
          <cell r="G824">
            <v>1132.0999999999271</v>
          </cell>
          <cell r="H824">
            <v>19340.400000000001</v>
          </cell>
          <cell r="I824">
            <v>1132.1999999999271</v>
          </cell>
          <cell r="J824">
            <v>19400.8</v>
          </cell>
        </row>
        <row r="825">
          <cell r="G825">
            <v>1132.1999999999271</v>
          </cell>
          <cell r="H825">
            <v>19400.8</v>
          </cell>
          <cell r="I825">
            <v>1132.299999999927</v>
          </cell>
          <cell r="J825">
            <v>19461.2</v>
          </cell>
        </row>
        <row r="826">
          <cell r="G826">
            <v>1132.299999999927</v>
          </cell>
          <cell r="H826">
            <v>19461.2</v>
          </cell>
          <cell r="I826">
            <v>1132.3999999999269</v>
          </cell>
          <cell r="J826">
            <v>19521.599999999999</v>
          </cell>
        </row>
        <row r="827">
          <cell r="G827">
            <v>1132.3999999999269</v>
          </cell>
          <cell r="H827">
            <v>19521.599999999999</v>
          </cell>
          <cell r="I827">
            <v>1132.4999999999268</v>
          </cell>
          <cell r="J827">
            <v>19582</v>
          </cell>
        </row>
        <row r="828">
          <cell r="G828">
            <v>1132.4999999999268</v>
          </cell>
          <cell r="H828">
            <v>19582</v>
          </cell>
          <cell r="I828">
            <v>1132.5999999999267</v>
          </cell>
          <cell r="J828">
            <v>19642.400000000001</v>
          </cell>
        </row>
        <row r="829">
          <cell r="G829">
            <v>1132.5999999999267</v>
          </cell>
          <cell r="H829">
            <v>19642.400000000001</v>
          </cell>
          <cell r="I829">
            <v>1132.6999999999266</v>
          </cell>
          <cell r="J829">
            <v>19702.8</v>
          </cell>
        </row>
        <row r="830">
          <cell r="G830">
            <v>1132.6999999999266</v>
          </cell>
          <cell r="H830">
            <v>19702.8</v>
          </cell>
          <cell r="I830">
            <v>1132.7999999999265</v>
          </cell>
          <cell r="J830">
            <v>19763.2</v>
          </cell>
        </row>
        <row r="831">
          <cell r="G831">
            <v>1132.7999999999265</v>
          </cell>
          <cell r="H831">
            <v>19763.2</v>
          </cell>
          <cell r="I831">
            <v>1132.8999999999264</v>
          </cell>
          <cell r="J831">
            <v>19823.599999999999</v>
          </cell>
        </row>
        <row r="832">
          <cell r="G832">
            <v>1132.8999999999264</v>
          </cell>
          <cell r="H832">
            <v>19823.599999999999</v>
          </cell>
          <cell r="I832">
            <v>1132.9999999999263</v>
          </cell>
          <cell r="J832">
            <v>19884</v>
          </cell>
        </row>
        <row r="833">
          <cell r="G833">
            <v>1132.9999999999263</v>
          </cell>
          <cell r="H833">
            <v>19884</v>
          </cell>
          <cell r="I833">
            <v>1133.0999999999262</v>
          </cell>
          <cell r="J833">
            <v>19946.099999999999</v>
          </cell>
        </row>
        <row r="834">
          <cell r="G834">
            <v>1133.0999999999262</v>
          </cell>
          <cell r="H834">
            <v>19946.099999999999</v>
          </cell>
          <cell r="I834">
            <v>1133.1999999999261</v>
          </cell>
          <cell r="J834">
            <v>20008.2</v>
          </cell>
        </row>
        <row r="835">
          <cell r="G835">
            <v>1133.1999999999261</v>
          </cell>
          <cell r="H835">
            <v>20008.2</v>
          </cell>
          <cell r="I835">
            <v>1133.2999999999261</v>
          </cell>
          <cell r="J835">
            <v>20070.3</v>
          </cell>
        </row>
        <row r="836">
          <cell r="G836">
            <v>1133.2999999999261</v>
          </cell>
          <cell r="H836">
            <v>20070.3</v>
          </cell>
          <cell r="I836">
            <v>1133.399999999926</v>
          </cell>
          <cell r="J836">
            <v>20132.400000000001</v>
          </cell>
        </row>
        <row r="837">
          <cell r="G837">
            <v>1133.399999999926</v>
          </cell>
          <cell r="H837">
            <v>20132.400000000001</v>
          </cell>
          <cell r="I837">
            <v>1133.4999999999259</v>
          </cell>
          <cell r="J837">
            <v>20194.5</v>
          </cell>
        </row>
        <row r="838">
          <cell r="G838">
            <v>1133.4999999999259</v>
          </cell>
          <cell r="H838">
            <v>20194.5</v>
          </cell>
          <cell r="I838">
            <v>1133.5999999999258</v>
          </cell>
          <cell r="J838">
            <v>20256.599999999999</v>
          </cell>
        </row>
        <row r="839">
          <cell r="G839">
            <v>1133.5999999999258</v>
          </cell>
          <cell r="H839">
            <v>20256.599999999999</v>
          </cell>
          <cell r="I839">
            <v>1133.6999999999257</v>
          </cell>
          <cell r="J839">
            <v>20318.7</v>
          </cell>
        </row>
        <row r="840">
          <cell r="G840">
            <v>1133.6999999999257</v>
          </cell>
          <cell r="H840">
            <v>20318.7</v>
          </cell>
          <cell r="I840">
            <v>1133.7999999999256</v>
          </cell>
          <cell r="J840">
            <v>20380.8</v>
          </cell>
        </row>
        <row r="841">
          <cell r="G841">
            <v>1133.7999999999256</v>
          </cell>
          <cell r="H841">
            <v>20380.8</v>
          </cell>
          <cell r="I841">
            <v>1133.8999999999255</v>
          </cell>
          <cell r="J841">
            <v>20442.900000000001</v>
          </cell>
        </row>
        <row r="842">
          <cell r="G842">
            <v>1133.8999999999255</v>
          </cell>
          <cell r="H842">
            <v>20442.900000000001</v>
          </cell>
          <cell r="I842">
            <v>1133.9999999999254</v>
          </cell>
          <cell r="J842">
            <v>20505</v>
          </cell>
        </row>
        <row r="843">
          <cell r="G843">
            <v>1133.9999999999254</v>
          </cell>
          <cell r="H843">
            <v>20505</v>
          </cell>
          <cell r="I843">
            <v>1134.0999999999253</v>
          </cell>
          <cell r="J843">
            <v>20569</v>
          </cell>
        </row>
        <row r="844">
          <cell r="G844">
            <v>1134.0999999999253</v>
          </cell>
          <cell r="H844">
            <v>20569</v>
          </cell>
          <cell r="I844">
            <v>1134.1999999999252</v>
          </cell>
          <cell r="J844">
            <v>20633</v>
          </cell>
        </row>
        <row r="845">
          <cell r="G845">
            <v>1134.1999999999252</v>
          </cell>
          <cell r="H845">
            <v>20633</v>
          </cell>
          <cell r="I845">
            <v>1134.2999999999251</v>
          </cell>
          <cell r="J845">
            <v>20697</v>
          </cell>
        </row>
        <row r="846">
          <cell r="G846">
            <v>1134.2999999999251</v>
          </cell>
          <cell r="H846">
            <v>20697</v>
          </cell>
          <cell r="I846">
            <v>1134.3999999999251</v>
          </cell>
          <cell r="J846">
            <v>20761</v>
          </cell>
        </row>
        <row r="847">
          <cell r="G847">
            <v>1134.3999999999251</v>
          </cell>
          <cell r="H847">
            <v>20761</v>
          </cell>
          <cell r="I847">
            <v>1134.499999999925</v>
          </cell>
          <cell r="J847">
            <v>20825</v>
          </cell>
        </row>
        <row r="848">
          <cell r="G848">
            <v>1134.499999999925</v>
          </cell>
          <cell r="H848">
            <v>20825</v>
          </cell>
          <cell r="I848">
            <v>1134.5999999999249</v>
          </cell>
          <cell r="J848">
            <v>20889</v>
          </cell>
        </row>
        <row r="849">
          <cell r="G849">
            <v>1134.5999999999249</v>
          </cell>
          <cell r="H849">
            <v>20889</v>
          </cell>
          <cell r="I849">
            <v>1134.6999999999248</v>
          </cell>
          <cell r="J849">
            <v>20953</v>
          </cell>
        </row>
        <row r="850">
          <cell r="G850">
            <v>1134.6999999999248</v>
          </cell>
          <cell r="H850">
            <v>20953</v>
          </cell>
          <cell r="I850">
            <v>1134.7999999999247</v>
          </cell>
          <cell r="J850">
            <v>21017</v>
          </cell>
        </row>
        <row r="851">
          <cell r="G851">
            <v>1134.7999999999247</v>
          </cell>
          <cell r="H851">
            <v>21017</v>
          </cell>
          <cell r="I851">
            <v>1134.8999999999246</v>
          </cell>
          <cell r="J851">
            <v>21081</v>
          </cell>
        </row>
        <row r="852">
          <cell r="G852">
            <v>1134.8999999999246</v>
          </cell>
          <cell r="H852">
            <v>21081</v>
          </cell>
          <cell r="I852">
            <v>1134.9999999999245</v>
          </cell>
          <cell r="J852">
            <v>21145</v>
          </cell>
        </row>
        <row r="853">
          <cell r="G853">
            <v>1134.9999999999245</v>
          </cell>
          <cell r="H853">
            <v>21145</v>
          </cell>
          <cell r="I853">
            <v>1135.0999999999244</v>
          </cell>
          <cell r="J853">
            <v>21210.7</v>
          </cell>
        </row>
        <row r="854">
          <cell r="G854">
            <v>1135.0999999999244</v>
          </cell>
          <cell r="H854">
            <v>21210.7</v>
          </cell>
          <cell r="I854">
            <v>1135.1999999999243</v>
          </cell>
          <cell r="J854">
            <v>21276.400000000001</v>
          </cell>
        </row>
        <row r="855">
          <cell r="G855">
            <v>1135.1999999999243</v>
          </cell>
          <cell r="H855">
            <v>21276.400000000001</v>
          </cell>
          <cell r="I855">
            <v>1135.2999999999242</v>
          </cell>
          <cell r="J855">
            <v>21342.1</v>
          </cell>
        </row>
        <row r="856">
          <cell r="G856">
            <v>1135.2999999999242</v>
          </cell>
          <cell r="H856">
            <v>21342.1</v>
          </cell>
          <cell r="I856">
            <v>1135.3999999999241</v>
          </cell>
          <cell r="J856">
            <v>21407.8</v>
          </cell>
        </row>
        <row r="857">
          <cell r="G857">
            <v>1135.3999999999241</v>
          </cell>
          <cell r="H857">
            <v>21407.8</v>
          </cell>
          <cell r="I857">
            <v>1135.4999999999241</v>
          </cell>
          <cell r="J857">
            <v>21473.5</v>
          </cell>
        </row>
        <row r="858">
          <cell r="G858">
            <v>1135.4999999999241</v>
          </cell>
          <cell r="H858">
            <v>21473.5</v>
          </cell>
          <cell r="I858">
            <v>1135.599999999924</v>
          </cell>
          <cell r="J858">
            <v>21539.200000000001</v>
          </cell>
        </row>
        <row r="859">
          <cell r="G859">
            <v>1135.599999999924</v>
          </cell>
          <cell r="H859">
            <v>21539.200000000001</v>
          </cell>
          <cell r="I859">
            <v>1135.6999999999239</v>
          </cell>
          <cell r="J859">
            <v>21604.9</v>
          </cell>
        </row>
        <row r="860">
          <cell r="G860">
            <v>1135.6999999999239</v>
          </cell>
          <cell r="H860">
            <v>21604.9</v>
          </cell>
          <cell r="I860">
            <v>1135.7999999999238</v>
          </cell>
          <cell r="J860">
            <v>21670.6</v>
          </cell>
        </row>
        <row r="861">
          <cell r="G861">
            <v>1135.7999999999238</v>
          </cell>
          <cell r="H861">
            <v>21670.6</v>
          </cell>
          <cell r="I861">
            <v>1135.8999999999237</v>
          </cell>
          <cell r="J861">
            <v>21736.3</v>
          </cell>
        </row>
        <row r="862">
          <cell r="G862">
            <v>1135.8999999999237</v>
          </cell>
          <cell r="H862">
            <v>21736.3</v>
          </cell>
          <cell r="I862">
            <v>1135.9999999999236</v>
          </cell>
          <cell r="J862">
            <v>21802</v>
          </cell>
        </row>
        <row r="863">
          <cell r="G863">
            <v>1135.9999999999236</v>
          </cell>
          <cell r="H863">
            <v>21802</v>
          </cell>
          <cell r="I863">
            <v>1136.0999999999235</v>
          </cell>
          <cell r="J863">
            <v>21869.7</v>
          </cell>
        </row>
        <row r="864">
          <cell r="G864">
            <v>1136.0999999999235</v>
          </cell>
          <cell r="H864">
            <v>21869.7</v>
          </cell>
          <cell r="I864">
            <v>1136.1999999999234</v>
          </cell>
          <cell r="J864">
            <v>21937.4</v>
          </cell>
        </row>
        <row r="865">
          <cell r="G865">
            <v>1136.1999999999234</v>
          </cell>
          <cell r="H865">
            <v>21937.4</v>
          </cell>
          <cell r="I865">
            <v>1136.2999999999233</v>
          </cell>
          <cell r="J865">
            <v>22005.1</v>
          </cell>
        </row>
        <row r="866">
          <cell r="G866">
            <v>1136.2999999999233</v>
          </cell>
          <cell r="H866">
            <v>22005.1</v>
          </cell>
          <cell r="I866">
            <v>1136.3999999999232</v>
          </cell>
          <cell r="J866">
            <v>22072.799999999999</v>
          </cell>
        </row>
        <row r="867">
          <cell r="G867">
            <v>1136.3999999999232</v>
          </cell>
          <cell r="H867">
            <v>22072.799999999999</v>
          </cell>
          <cell r="I867">
            <v>1136.4999999999231</v>
          </cell>
          <cell r="J867">
            <v>22140.5</v>
          </cell>
        </row>
        <row r="868">
          <cell r="G868">
            <v>1136.4999999999231</v>
          </cell>
          <cell r="H868">
            <v>22140.5</v>
          </cell>
          <cell r="I868">
            <v>1136.5999999999231</v>
          </cell>
          <cell r="J868">
            <v>22208.2</v>
          </cell>
        </row>
        <row r="869">
          <cell r="G869">
            <v>1136.5999999999231</v>
          </cell>
          <cell r="H869">
            <v>22208.2</v>
          </cell>
          <cell r="I869">
            <v>1136.699999999923</v>
          </cell>
          <cell r="J869">
            <v>22275.9</v>
          </cell>
        </row>
        <row r="870">
          <cell r="G870">
            <v>1136.699999999923</v>
          </cell>
          <cell r="H870">
            <v>22275.9</v>
          </cell>
          <cell r="I870">
            <v>1136.7999999999229</v>
          </cell>
          <cell r="J870">
            <v>22343.599999999999</v>
          </cell>
        </row>
        <row r="871">
          <cell r="G871">
            <v>1136.7999999999229</v>
          </cell>
          <cell r="H871">
            <v>22343.599999999999</v>
          </cell>
          <cell r="I871">
            <v>1136.8999999999228</v>
          </cell>
          <cell r="J871">
            <v>22411.3</v>
          </cell>
        </row>
        <row r="872">
          <cell r="G872">
            <v>1136.8999999999228</v>
          </cell>
          <cell r="H872">
            <v>22411.3</v>
          </cell>
          <cell r="I872">
            <v>1136.9999999999227</v>
          </cell>
          <cell r="J872">
            <v>22479</v>
          </cell>
        </row>
        <row r="873">
          <cell r="G873">
            <v>1136.9999999999227</v>
          </cell>
          <cell r="H873">
            <v>22479</v>
          </cell>
          <cell r="I873">
            <v>1137.0999999999226</v>
          </cell>
          <cell r="J873">
            <v>22548.5</v>
          </cell>
        </row>
        <row r="874">
          <cell r="G874">
            <v>1137.0999999999226</v>
          </cell>
          <cell r="H874">
            <v>22548.5</v>
          </cell>
          <cell r="I874">
            <v>1137.1999999999225</v>
          </cell>
          <cell r="J874">
            <v>22618</v>
          </cell>
        </row>
        <row r="875">
          <cell r="G875">
            <v>1137.1999999999225</v>
          </cell>
          <cell r="H875">
            <v>22618</v>
          </cell>
          <cell r="I875">
            <v>1137.2999999999224</v>
          </cell>
          <cell r="J875">
            <v>22687.5</v>
          </cell>
        </row>
        <row r="876">
          <cell r="G876">
            <v>1137.2999999999224</v>
          </cell>
          <cell r="H876">
            <v>22687.5</v>
          </cell>
          <cell r="I876">
            <v>1137.3999999999223</v>
          </cell>
          <cell r="J876">
            <v>22757</v>
          </cell>
        </row>
        <row r="877">
          <cell r="G877">
            <v>1137.3999999999223</v>
          </cell>
          <cell r="H877">
            <v>22757</v>
          </cell>
          <cell r="I877">
            <v>1137.4999999999222</v>
          </cell>
          <cell r="J877">
            <v>22826.5</v>
          </cell>
        </row>
        <row r="878">
          <cell r="G878">
            <v>1137.4999999999222</v>
          </cell>
          <cell r="H878">
            <v>22826.5</v>
          </cell>
          <cell r="I878">
            <v>1137.5999999999221</v>
          </cell>
          <cell r="J878">
            <v>22896</v>
          </cell>
        </row>
        <row r="879">
          <cell r="G879">
            <v>1137.5999999999221</v>
          </cell>
          <cell r="H879">
            <v>22896</v>
          </cell>
          <cell r="I879">
            <v>1137.6999999999221</v>
          </cell>
          <cell r="J879">
            <v>22965.5</v>
          </cell>
        </row>
        <row r="880">
          <cell r="G880">
            <v>1137.6999999999221</v>
          </cell>
          <cell r="H880">
            <v>22965.5</v>
          </cell>
          <cell r="I880">
            <v>1137.799999999922</v>
          </cell>
          <cell r="J880">
            <v>23035</v>
          </cell>
        </row>
        <row r="881">
          <cell r="G881">
            <v>1137.799999999922</v>
          </cell>
          <cell r="H881">
            <v>23035</v>
          </cell>
          <cell r="I881">
            <v>1137.8999999999219</v>
          </cell>
          <cell r="J881">
            <v>23104.5</v>
          </cell>
        </row>
        <row r="882">
          <cell r="G882">
            <v>1137.8999999999219</v>
          </cell>
          <cell r="H882">
            <v>23104.5</v>
          </cell>
          <cell r="I882">
            <v>1137.9999999999218</v>
          </cell>
          <cell r="J882">
            <v>23174</v>
          </cell>
        </row>
        <row r="883">
          <cell r="G883">
            <v>1137.9999999999218</v>
          </cell>
          <cell r="H883">
            <v>23174</v>
          </cell>
          <cell r="I883">
            <v>1138.0999999999217</v>
          </cell>
          <cell r="J883">
            <v>23245.4</v>
          </cell>
        </row>
        <row r="884">
          <cell r="G884">
            <v>1138.0999999999217</v>
          </cell>
          <cell r="H884">
            <v>23245.4</v>
          </cell>
          <cell r="I884">
            <v>1138.1999999999216</v>
          </cell>
          <cell r="J884">
            <v>23316.799999999999</v>
          </cell>
        </row>
        <row r="885">
          <cell r="G885">
            <v>1138.1999999999216</v>
          </cell>
          <cell r="H885">
            <v>23316.799999999999</v>
          </cell>
          <cell r="I885">
            <v>1138.2999999999215</v>
          </cell>
          <cell r="J885">
            <v>23388.2</v>
          </cell>
        </row>
        <row r="886">
          <cell r="G886">
            <v>1138.2999999999215</v>
          </cell>
          <cell r="H886">
            <v>23388.2</v>
          </cell>
          <cell r="I886">
            <v>1138.3999999999214</v>
          </cell>
          <cell r="J886">
            <v>23459.599999999999</v>
          </cell>
        </row>
        <row r="887">
          <cell r="G887">
            <v>1138.3999999999214</v>
          </cell>
          <cell r="H887">
            <v>23459.599999999999</v>
          </cell>
          <cell r="I887">
            <v>1138.4999999999213</v>
          </cell>
          <cell r="J887">
            <v>23531</v>
          </cell>
        </row>
        <row r="888">
          <cell r="G888">
            <v>1138.4999999999213</v>
          </cell>
          <cell r="H888">
            <v>23531</v>
          </cell>
          <cell r="I888">
            <v>1138.5999999999212</v>
          </cell>
          <cell r="J888">
            <v>23602.400000000001</v>
          </cell>
        </row>
        <row r="889">
          <cell r="G889">
            <v>1138.5999999999212</v>
          </cell>
          <cell r="H889">
            <v>23602.400000000001</v>
          </cell>
          <cell r="I889">
            <v>1138.6999999999211</v>
          </cell>
          <cell r="J889">
            <v>23673.8</v>
          </cell>
        </row>
        <row r="890">
          <cell r="G890">
            <v>1138.6999999999211</v>
          </cell>
          <cell r="H890">
            <v>23673.8</v>
          </cell>
          <cell r="I890">
            <v>1138.7999999999211</v>
          </cell>
          <cell r="J890">
            <v>23745.200000000001</v>
          </cell>
        </row>
        <row r="891">
          <cell r="G891">
            <v>1138.7999999999211</v>
          </cell>
          <cell r="H891">
            <v>23745.200000000001</v>
          </cell>
          <cell r="I891">
            <v>1138.899999999921</v>
          </cell>
          <cell r="J891">
            <v>23816.6</v>
          </cell>
        </row>
        <row r="892">
          <cell r="G892">
            <v>1138.899999999921</v>
          </cell>
          <cell r="H892">
            <v>23816.6</v>
          </cell>
          <cell r="I892">
            <v>1138.9999999999209</v>
          </cell>
          <cell r="J892">
            <v>23888</v>
          </cell>
        </row>
        <row r="893">
          <cell r="G893">
            <v>1138.9999999999209</v>
          </cell>
          <cell r="H893">
            <v>23888</v>
          </cell>
          <cell r="I893">
            <v>1139.0999999999208</v>
          </cell>
          <cell r="J893">
            <v>23961.4</v>
          </cell>
        </row>
        <row r="894">
          <cell r="G894">
            <v>1139.0999999999208</v>
          </cell>
          <cell r="H894">
            <v>23961.4</v>
          </cell>
          <cell r="I894">
            <v>1139.1999999999207</v>
          </cell>
          <cell r="J894">
            <v>24034.799999999999</v>
          </cell>
        </row>
        <row r="895">
          <cell r="G895">
            <v>1139.1999999999207</v>
          </cell>
          <cell r="H895">
            <v>24034.799999999999</v>
          </cell>
          <cell r="I895">
            <v>1139.2999999999206</v>
          </cell>
          <cell r="J895">
            <v>24108.2</v>
          </cell>
        </row>
        <row r="896">
          <cell r="G896">
            <v>1139.2999999999206</v>
          </cell>
          <cell r="H896">
            <v>24108.2</v>
          </cell>
          <cell r="I896">
            <v>1139.3999999999205</v>
          </cell>
          <cell r="J896">
            <v>24181.599999999999</v>
          </cell>
        </row>
        <row r="897">
          <cell r="G897">
            <v>1139.3999999999205</v>
          </cell>
          <cell r="H897">
            <v>24181.599999999999</v>
          </cell>
          <cell r="I897">
            <v>1139.4999999999204</v>
          </cell>
          <cell r="J897">
            <v>24255</v>
          </cell>
        </row>
        <row r="898">
          <cell r="G898">
            <v>1139.4999999999204</v>
          </cell>
          <cell r="H898">
            <v>24255</v>
          </cell>
          <cell r="I898">
            <v>1139.5999999999203</v>
          </cell>
          <cell r="J898">
            <v>24328.400000000001</v>
          </cell>
        </row>
        <row r="899">
          <cell r="G899">
            <v>1139.5999999999203</v>
          </cell>
          <cell r="H899">
            <v>24328.400000000001</v>
          </cell>
          <cell r="I899">
            <v>1139.6999999999202</v>
          </cell>
          <cell r="J899">
            <v>24401.8</v>
          </cell>
        </row>
        <row r="900">
          <cell r="G900">
            <v>1139.6999999999202</v>
          </cell>
          <cell r="H900">
            <v>24401.8</v>
          </cell>
          <cell r="I900">
            <v>1139.7999999999201</v>
          </cell>
          <cell r="J900">
            <v>24475.200000000001</v>
          </cell>
        </row>
        <row r="901">
          <cell r="G901">
            <v>1139.7999999999201</v>
          </cell>
          <cell r="H901">
            <v>24475.200000000001</v>
          </cell>
          <cell r="I901">
            <v>1139.8999999999201</v>
          </cell>
          <cell r="J901">
            <v>24548.6</v>
          </cell>
        </row>
        <row r="902">
          <cell r="G902">
            <v>1139.8999999999201</v>
          </cell>
          <cell r="H902">
            <v>24548.6</v>
          </cell>
          <cell r="I902">
            <v>1139.99999999992</v>
          </cell>
          <cell r="J902">
            <v>24622</v>
          </cell>
        </row>
        <row r="903">
          <cell r="G903">
            <v>1139.99999999992</v>
          </cell>
          <cell r="H903">
            <v>24622</v>
          </cell>
          <cell r="I903">
            <v>1140.0999999999199</v>
          </cell>
          <cell r="J903">
            <v>24697.3</v>
          </cell>
        </row>
        <row r="904">
          <cell r="G904">
            <v>1140.0999999999199</v>
          </cell>
          <cell r="H904">
            <v>24697.3</v>
          </cell>
          <cell r="I904">
            <v>1140.1999999999198</v>
          </cell>
          <cell r="J904">
            <v>24772.6</v>
          </cell>
        </row>
        <row r="905">
          <cell r="G905">
            <v>1140.1999999999198</v>
          </cell>
          <cell r="H905">
            <v>24772.6</v>
          </cell>
          <cell r="I905">
            <v>1140.2999999999197</v>
          </cell>
          <cell r="J905">
            <v>24847.9</v>
          </cell>
        </row>
        <row r="906">
          <cell r="G906">
            <v>1140.2999999999197</v>
          </cell>
          <cell r="H906">
            <v>24847.9</v>
          </cell>
          <cell r="I906">
            <v>1140.3999999999196</v>
          </cell>
          <cell r="J906">
            <v>24923.200000000001</v>
          </cell>
        </row>
        <row r="907">
          <cell r="G907">
            <v>1140.3999999999196</v>
          </cell>
          <cell r="H907">
            <v>24923.200000000001</v>
          </cell>
          <cell r="I907">
            <v>1140.4999999999195</v>
          </cell>
          <cell r="J907">
            <v>24998.5</v>
          </cell>
        </row>
        <row r="908">
          <cell r="G908">
            <v>1140.4999999999195</v>
          </cell>
          <cell r="H908">
            <v>24998.5</v>
          </cell>
          <cell r="I908">
            <v>1140.5999999999194</v>
          </cell>
          <cell r="J908">
            <v>25073.8</v>
          </cell>
        </row>
        <row r="909">
          <cell r="G909">
            <v>1140.5999999999194</v>
          </cell>
          <cell r="H909">
            <v>25073.8</v>
          </cell>
          <cell r="I909">
            <v>1140.6999999999193</v>
          </cell>
          <cell r="J909">
            <v>25149.1</v>
          </cell>
        </row>
        <row r="910">
          <cell r="G910">
            <v>1140.6999999999193</v>
          </cell>
          <cell r="H910">
            <v>25149.1</v>
          </cell>
          <cell r="I910">
            <v>1140.7999999999192</v>
          </cell>
          <cell r="J910">
            <v>25224.400000000001</v>
          </cell>
        </row>
        <row r="911">
          <cell r="G911">
            <v>1140.7999999999192</v>
          </cell>
          <cell r="H911">
            <v>25224.400000000001</v>
          </cell>
          <cell r="I911">
            <v>1140.8999999999191</v>
          </cell>
          <cell r="J911">
            <v>25299.7</v>
          </cell>
        </row>
        <row r="912">
          <cell r="G912">
            <v>1140.8999999999191</v>
          </cell>
          <cell r="H912">
            <v>25299.7</v>
          </cell>
          <cell r="I912">
            <v>1140.9999999999191</v>
          </cell>
          <cell r="J912">
            <v>25375</v>
          </cell>
        </row>
        <row r="913">
          <cell r="G913">
            <v>1140.9999999999191</v>
          </cell>
          <cell r="H913">
            <v>25375</v>
          </cell>
          <cell r="I913">
            <v>1141.099999999919</v>
          </cell>
          <cell r="J913">
            <v>25452.400000000001</v>
          </cell>
        </row>
        <row r="914">
          <cell r="G914">
            <v>1141.099999999919</v>
          </cell>
          <cell r="H914">
            <v>25452.400000000001</v>
          </cell>
          <cell r="I914">
            <v>1141.1999999999189</v>
          </cell>
          <cell r="J914">
            <v>25529.8</v>
          </cell>
        </row>
        <row r="915">
          <cell r="G915">
            <v>1141.1999999999189</v>
          </cell>
          <cell r="H915">
            <v>25529.8</v>
          </cell>
          <cell r="I915">
            <v>1141.2999999999188</v>
          </cell>
          <cell r="J915">
            <v>25607.200000000001</v>
          </cell>
        </row>
        <row r="916">
          <cell r="G916">
            <v>1141.2999999999188</v>
          </cell>
          <cell r="H916">
            <v>25607.200000000001</v>
          </cell>
          <cell r="I916">
            <v>1141.3999999999187</v>
          </cell>
          <cell r="J916">
            <v>25684.6</v>
          </cell>
        </row>
        <row r="917">
          <cell r="G917">
            <v>1141.3999999999187</v>
          </cell>
          <cell r="H917">
            <v>25684.6</v>
          </cell>
          <cell r="I917">
            <v>1141.4999999999186</v>
          </cell>
          <cell r="J917">
            <v>25762</v>
          </cell>
        </row>
        <row r="918">
          <cell r="G918">
            <v>1141.4999999999186</v>
          </cell>
          <cell r="H918">
            <v>25762</v>
          </cell>
          <cell r="I918">
            <v>1141.5999999999185</v>
          </cell>
          <cell r="J918">
            <v>25839.4</v>
          </cell>
        </row>
        <row r="919">
          <cell r="G919">
            <v>1141.5999999999185</v>
          </cell>
          <cell r="H919">
            <v>25839.4</v>
          </cell>
          <cell r="I919">
            <v>1141.6999999999184</v>
          </cell>
          <cell r="J919">
            <v>25916.799999999999</v>
          </cell>
        </row>
        <row r="920">
          <cell r="G920">
            <v>1141.6999999999184</v>
          </cell>
          <cell r="H920">
            <v>25916.799999999999</v>
          </cell>
          <cell r="I920">
            <v>1141.7999999999183</v>
          </cell>
          <cell r="J920">
            <v>25994.2</v>
          </cell>
        </row>
        <row r="921">
          <cell r="G921">
            <v>1141.7999999999183</v>
          </cell>
          <cell r="H921">
            <v>25994.2</v>
          </cell>
          <cell r="I921">
            <v>1141.8999999999182</v>
          </cell>
          <cell r="J921">
            <v>26071.599999999999</v>
          </cell>
        </row>
        <row r="922">
          <cell r="G922">
            <v>1141.8999999999182</v>
          </cell>
          <cell r="H922">
            <v>26071.599999999999</v>
          </cell>
          <cell r="I922">
            <v>1141.9999999999181</v>
          </cell>
          <cell r="J922">
            <v>26149</v>
          </cell>
        </row>
        <row r="923">
          <cell r="G923">
            <v>1141.9999999999181</v>
          </cell>
          <cell r="H923">
            <v>26149</v>
          </cell>
          <cell r="I923">
            <v>1142.0999999999181</v>
          </cell>
          <cell r="J923">
            <v>26228.3</v>
          </cell>
        </row>
        <row r="924">
          <cell r="G924">
            <v>1142.0999999999181</v>
          </cell>
          <cell r="H924">
            <v>26228.3</v>
          </cell>
          <cell r="I924">
            <v>1142.199999999918</v>
          </cell>
          <cell r="J924">
            <v>26307.599999999999</v>
          </cell>
        </row>
        <row r="925">
          <cell r="G925">
            <v>1142.199999999918</v>
          </cell>
          <cell r="H925">
            <v>26307.599999999999</v>
          </cell>
          <cell r="I925">
            <v>1142.2999999999179</v>
          </cell>
          <cell r="J925">
            <v>26386.9</v>
          </cell>
        </row>
        <row r="926">
          <cell r="G926">
            <v>1142.2999999999179</v>
          </cell>
          <cell r="H926">
            <v>26386.9</v>
          </cell>
          <cell r="I926">
            <v>1142.3999999999178</v>
          </cell>
          <cell r="J926">
            <v>26466.2</v>
          </cell>
        </row>
        <row r="927">
          <cell r="G927">
            <v>1142.3999999999178</v>
          </cell>
          <cell r="H927">
            <v>26466.2</v>
          </cell>
          <cell r="I927">
            <v>1142.4999999999177</v>
          </cell>
          <cell r="J927">
            <v>26545.5</v>
          </cell>
        </row>
        <row r="928">
          <cell r="G928">
            <v>1142.4999999999177</v>
          </cell>
          <cell r="H928">
            <v>26545.5</v>
          </cell>
          <cell r="I928">
            <v>1142.5999999999176</v>
          </cell>
          <cell r="J928">
            <v>26624.799999999999</v>
          </cell>
        </row>
        <row r="929">
          <cell r="G929">
            <v>1142.5999999999176</v>
          </cell>
          <cell r="H929">
            <v>26624.799999999999</v>
          </cell>
          <cell r="I929">
            <v>1142.6999999999175</v>
          </cell>
          <cell r="J929">
            <v>26704.1</v>
          </cell>
        </row>
        <row r="930">
          <cell r="G930">
            <v>1142.6999999999175</v>
          </cell>
          <cell r="H930">
            <v>26704.1</v>
          </cell>
          <cell r="I930">
            <v>1142.7999999999174</v>
          </cell>
          <cell r="J930">
            <v>26783.4</v>
          </cell>
        </row>
        <row r="931">
          <cell r="G931">
            <v>1142.7999999999174</v>
          </cell>
          <cell r="H931">
            <v>26783.4</v>
          </cell>
          <cell r="I931">
            <v>1142.8999999999173</v>
          </cell>
          <cell r="J931">
            <v>26862.7</v>
          </cell>
        </row>
        <row r="932">
          <cell r="G932">
            <v>1142.8999999999173</v>
          </cell>
          <cell r="H932">
            <v>26862.7</v>
          </cell>
          <cell r="I932">
            <v>1142.9999999999172</v>
          </cell>
          <cell r="J932">
            <v>26942</v>
          </cell>
        </row>
        <row r="933">
          <cell r="G933">
            <v>1142.9999999999172</v>
          </cell>
          <cell r="H933">
            <v>26942</v>
          </cell>
          <cell r="I933">
            <v>1143.0999999999171</v>
          </cell>
          <cell r="J933">
            <v>27023.4</v>
          </cell>
        </row>
        <row r="934">
          <cell r="G934">
            <v>1143.0999999999171</v>
          </cell>
          <cell r="H934">
            <v>27023.4</v>
          </cell>
          <cell r="I934">
            <v>1143.1999999999171</v>
          </cell>
          <cell r="J934">
            <v>27104.799999999999</v>
          </cell>
        </row>
        <row r="935">
          <cell r="G935">
            <v>1143.1999999999171</v>
          </cell>
          <cell r="H935">
            <v>27104.799999999999</v>
          </cell>
          <cell r="I935">
            <v>1143.299999999917</v>
          </cell>
          <cell r="J935">
            <v>27186.2</v>
          </cell>
        </row>
        <row r="936">
          <cell r="G936">
            <v>1143.299999999917</v>
          </cell>
          <cell r="H936">
            <v>27186.2</v>
          </cell>
          <cell r="I936">
            <v>1143.3999999999169</v>
          </cell>
          <cell r="J936">
            <v>27267.599999999999</v>
          </cell>
        </row>
        <row r="937">
          <cell r="G937">
            <v>1143.3999999999169</v>
          </cell>
          <cell r="H937">
            <v>27267.599999999999</v>
          </cell>
          <cell r="I937">
            <v>1143.4999999999168</v>
          </cell>
          <cell r="J937">
            <v>27349</v>
          </cell>
        </row>
        <row r="938">
          <cell r="G938">
            <v>1143.4999999999168</v>
          </cell>
          <cell r="H938">
            <v>27349</v>
          </cell>
          <cell r="I938">
            <v>1143.5999999999167</v>
          </cell>
          <cell r="J938">
            <v>27430.400000000001</v>
          </cell>
        </row>
        <row r="939">
          <cell r="G939">
            <v>1143.5999999999167</v>
          </cell>
          <cell r="H939">
            <v>27430.400000000001</v>
          </cell>
          <cell r="I939">
            <v>1143.6999999999166</v>
          </cell>
          <cell r="J939">
            <v>27511.8</v>
          </cell>
        </row>
        <row r="940">
          <cell r="G940">
            <v>1143.6999999999166</v>
          </cell>
          <cell r="H940">
            <v>27511.8</v>
          </cell>
          <cell r="I940">
            <v>1143.7999999999165</v>
          </cell>
          <cell r="J940">
            <v>27593.200000000001</v>
          </cell>
        </row>
        <row r="941">
          <cell r="G941">
            <v>1143.7999999999165</v>
          </cell>
          <cell r="H941">
            <v>27593.200000000001</v>
          </cell>
          <cell r="I941">
            <v>1143.8999999999164</v>
          </cell>
          <cell r="J941">
            <v>27674.6</v>
          </cell>
        </row>
        <row r="942">
          <cell r="G942">
            <v>1143.8999999999164</v>
          </cell>
          <cell r="H942">
            <v>27674.6</v>
          </cell>
          <cell r="I942">
            <v>1143.9999999999163</v>
          </cell>
          <cell r="J942">
            <v>27756</v>
          </cell>
        </row>
        <row r="943">
          <cell r="G943">
            <v>1143.9999999999163</v>
          </cell>
          <cell r="H943">
            <v>27756</v>
          </cell>
          <cell r="I943">
            <v>1144.0999999999162</v>
          </cell>
          <cell r="J943">
            <v>27839.4</v>
          </cell>
        </row>
        <row r="944">
          <cell r="G944">
            <v>1144.0999999999162</v>
          </cell>
          <cell r="H944">
            <v>27839.4</v>
          </cell>
          <cell r="I944">
            <v>1144.1999999999161</v>
          </cell>
          <cell r="J944">
            <v>27922.799999999999</v>
          </cell>
        </row>
        <row r="945">
          <cell r="G945">
            <v>1144.1999999999161</v>
          </cell>
          <cell r="H945">
            <v>27922.799999999999</v>
          </cell>
          <cell r="I945">
            <v>1144.2999999999161</v>
          </cell>
          <cell r="J945">
            <v>28006.2</v>
          </cell>
        </row>
        <row r="946">
          <cell r="G946">
            <v>1144.2999999999161</v>
          </cell>
          <cell r="H946">
            <v>28006.2</v>
          </cell>
          <cell r="I946">
            <v>1144.399999999916</v>
          </cell>
          <cell r="J946">
            <v>28089.599999999999</v>
          </cell>
        </row>
        <row r="947">
          <cell r="G947">
            <v>1144.399999999916</v>
          </cell>
          <cell r="H947">
            <v>28089.599999999999</v>
          </cell>
          <cell r="I947">
            <v>1144.4999999999159</v>
          </cell>
          <cell r="J947">
            <v>28173</v>
          </cell>
        </row>
        <row r="948">
          <cell r="G948">
            <v>1144.4999999999159</v>
          </cell>
          <cell r="H948">
            <v>28173</v>
          </cell>
          <cell r="I948">
            <v>1144.5999999999158</v>
          </cell>
          <cell r="J948">
            <v>28256.400000000001</v>
          </cell>
        </row>
        <row r="949">
          <cell r="G949">
            <v>1144.5999999999158</v>
          </cell>
          <cell r="H949">
            <v>28256.400000000001</v>
          </cell>
          <cell r="I949">
            <v>1144.6999999999157</v>
          </cell>
          <cell r="J949">
            <v>28339.8</v>
          </cell>
        </row>
        <row r="950">
          <cell r="G950">
            <v>1144.6999999999157</v>
          </cell>
          <cell r="H950">
            <v>28339.8</v>
          </cell>
          <cell r="I950">
            <v>1144.7999999999156</v>
          </cell>
          <cell r="J950">
            <v>28423.200000000001</v>
          </cell>
        </row>
        <row r="951">
          <cell r="G951">
            <v>1144.7999999999156</v>
          </cell>
          <cell r="H951">
            <v>28423.200000000001</v>
          </cell>
          <cell r="I951">
            <v>1144.8999999999155</v>
          </cell>
          <cell r="J951">
            <v>28506.6</v>
          </cell>
        </row>
        <row r="952">
          <cell r="G952">
            <v>1144.8999999999155</v>
          </cell>
          <cell r="H952">
            <v>28506.6</v>
          </cell>
          <cell r="I952">
            <v>1144.9999999999154</v>
          </cell>
          <cell r="J952">
            <v>28590</v>
          </cell>
        </row>
        <row r="953">
          <cell r="G953">
            <v>1144.9999999999154</v>
          </cell>
          <cell r="H953">
            <v>28590</v>
          </cell>
          <cell r="I953">
            <v>1145.0999999999153</v>
          </cell>
          <cell r="J953">
            <v>28675.200000000001</v>
          </cell>
        </row>
        <row r="954">
          <cell r="G954">
            <v>1145.0999999999153</v>
          </cell>
          <cell r="H954">
            <v>28675.200000000001</v>
          </cell>
          <cell r="I954">
            <v>1145.1999999999152</v>
          </cell>
          <cell r="J954">
            <v>28760.400000000001</v>
          </cell>
        </row>
        <row r="955">
          <cell r="G955">
            <v>1145.1999999999152</v>
          </cell>
          <cell r="H955">
            <v>28760.400000000001</v>
          </cell>
          <cell r="I955">
            <v>1145.2999999999151</v>
          </cell>
          <cell r="J955">
            <v>28845.599999999999</v>
          </cell>
        </row>
        <row r="956">
          <cell r="G956">
            <v>1145.2999999999151</v>
          </cell>
          <cell r="H956">
            <v>28845.599999999999</v>
          </cell>
          <cell r="I956">
            <v>1145.3999999999151</v>
          </cell>
          <cell r="J956">
            <v>28930.799999999999</v>
          </cell>
        </row>
        <row r="957">
          <cell r="G957">
            <v>1145.3999999999151</v>
          </cell>
          <cell r="H957">
            <v>28930.799999999999</v>
          </cell>
          <cell r="I957">
            <v>1145.499999999915</v>
          </cell>
          <cell r="J957">
            <v>29016</v>
          </cell>
        </row>
        <row r="958">
          <cell r="G958">
            <v>1145.499999999915</v>
          </cell>
          <cell r="H958">
            <v>29016</v>
          </cell>
          <cell r="I958">
            <v>1145.5999999999149</v>
          </cell>
          <cell r="J958">
            <v>29101.200000000001</v>
          </cell>
        </row>
        <row r="959">
          <cell r="G959">
            <v>1145.5999999999149</v>
          </cell>
          <cell r="H959">
            <v>29101.200000000001</v>
          </cell>
          <cell r="I959">
            <v>1145.6999999999148</v>
          </cell>
          <cell r="J959">
            <v>29186.400000000001</v>
          </cell>
        </row>
        <row r="960">
          <cell r="G960">
            <v>1145.6999999999148</v>
          </cell>
          <cell r="H960">
            <v>29186.400000000001</v>
          </cell>
          <cell r="I960">
            <v>1145.7999999999147</v>
          </cell>
          <cell r="J960">
            <v>29271.599999999999</v>
          </cell>
        </row>
        <row r="961">
          <cell r="G961">
            <v>1145.7999999999147</v>
          </cell>
          <cell r="H961">
            <v>29271.599999999999</v>
          </cell>
          <cell r="I961">
            <v>1145.8999999999146</v>
          </cell>
          <cell r="J961">
            <v>29356.799999999999</v>
          </cell>
        </row>
        <row r="962">
          <cell r="G962">
            <v>1145.8999999999146</v>
          </cell>
          <cell r="H962">
            <v>29356.799999999999</v>
          </cell>
          <cell r="I962">
            <v>1145.9999999999145</v>
          </cell>
          <cell r="J962">
            <v>29442</v>
          </cell>
        </row>
        <row r="963">
          <cell r="G963">
            <v>1145.9999999999145</v>
          </cell>
          <cell r="H963">
            <v>29442</v>
          </cell>
          <cell r="I963">
            <v>1146.0999999999144</v>
          </cell>
          <cell r="J963">
            <v>29528.5</v>
          </cell>
        </row>
        <row r="964">
          <cell r="G964">
            <v>1146.0999999999144</v>
          </cell>
          <cell r="H964">
            <v>29528.5</v>
          </cell>
          <cell r="I964">
            <v>1146.1999999999143</v>
          </cell>
          <cell r="J964">
            <v>29615</v>
          </cell>
        </row>
        <row r="965">
          <cell r="G965">
            <v>1146.1999999999143</v>
          </cell>
          <cell r="H965">
            <v>29615</v>
          </cell>
          <cell r="I965">
            <v>1146.2999999999142</v>
          </cell>
          <cell r="J965">
            <v>29701.5</v>
          </cell>
        </row>
        <row r="966">
          <cell r="G966">
            <v>1146.2999999999142</v>
          </cell>
          <cell r="H966">
            <v>29701.5</v>
          </cell>
          <cell r="I966">
            <v>1146.3999999999141</v>
          </cell>
          <cell r="J966">
            <v>29788</v>
          </cell>
        </row>
        <row r="967">
          <cell r="G967">
            <v>1146.3999999999141</v>
          </cell>
          <cell r="H967">
            <v>29788</v>
          </cell>
          <cell r="I967">
            <v>1146.4999999999141</v>
          </cell>
          <cell r="J967">
            <v>29874.5</v>
          </cell>
        </row>
        <row r="968">
          <cell r="G968">
            <v>1146.4999999999141</v>
          </cell>
          <cell r="H968">
            <v>29874.5</v>
          </cell>
          <cell r="I968">
            <v>1146.599999999914</v>
          </cell>
          <cell r="J968">
            <v>29961</v>
          </cell>
        </row>
        <row r="969">
          <cell r="G969">
            <v>1146.599999999914</v>
          </cell>
          <cell r="H969">
            <v>29961</v>
          </cell>
          <cell r="I969">
            <v>1146.6999999999139</v>
          </cell>
          <cell r="J969">
            <v>30047.5</v>
          </cell>
        </row>
        <row r="970">
          <cell r="G970">
            <v>1146.6999999999139</v>
          </cell>
          <cell r="H970">
            <v>30047.5</v>
          </cell>
          <cell r="I970">
            <v>1146.7999999999138</v>
          </cell>
          <cell r="J970">
            <v>30134</v>
          </cell>
        </row>
        <row r="971">
          <cell r="G971">
            <v>1146.7999999999138</v>
          </cell>
          <cell r="H971">
            <v>30134</v>
          </cell>
          <cell r="I971">
            <v>1146.8999999999137</v>
          </cell>
          <cell r="J971">
            <v>30220.5</v>
          </cell>
        </row>
        <row r="972">
          <cell r="G972">
            <v>1146.8999999999137</v>
          </cell>
          <cell r="H972">
            <v>30220.5</v>
          </cell>
          <cell r="I972">
            <v>1146.9999999999136</v>
          </cell>
          <cell r="J972">
            <v>30307</v>
          </cell>
        </row>
        <row r="973">
          <cell r="G973">
            <v>1146.9999999999136</v>
          </cell>
          <cell r="H973">
            <v>30307</v>
          </cell>
          <cell r="I973">
            <v>1147.0999999999135</v>
          </cell>
          <cell r="J973">
            <v>30394.799999999999</v>
          </cell>
        </row>
        <row r="974">
          <cell r="G974">
            <v>1147.0999999999135</v>
          </cell>
          <cell r="H974">
            <v>30394.799999999999</v>
          </cell>
          <cell r="I974">
            <v>1147.1999999999134</v>
          </cell>
          <cell r="J974">
            <v>30482.6</v>
          </cell>
        </row>
        <row r="975">
          <cell r="G975">
            <v>1147.1999999999134</v>
          </cell>
          <cell r="H975">
            <v>30482.6</v>
          </cell>
          <cell r="I975">
            <v>1147.2999999999133</v>
          </cell>
          <cell r="J975">
            <v>30570.400000000001</v>
          </cell>
        </row>
        <row r="976">
          <cell r="G976">
            <v>1147.2999999999133</v>
          </cell>
          <cell r="H976">
            <v>30570.400000000001</v>
          </cell>
          <cell r="I976">
            <v>1147.3999999999132</v>
          </cell>
          <cell r="J976">
            <v>30658.2</v>
          </cell>
        </row>
        <row r="977">
          <cell r="G977">
            <v>1147.3999999999132</v>
          </cell>
          <cell r="H977">
            <v>30658.2</v>
          </cell>
          <cell r="I977">
            <v>1147.4999999999131</v>
          </cell>
          <cell r="J977">
            <v>30746</v>
          </cell>
        </row>
        <row r="978">
          <cell r="G978">
            <v>1147.4999999999131</v>
          </cell>
          <cell r="H978">
            <v>30746</v>
          </cell>
          <cell r="I978">
            <v>1147.5999999999131</v>
          </cell>
          <cell r="J978">
            <v>30833.8</v>
          </cell>
        </row>
        <row r="979">
          <cell r="G979">
            <v>1147.5999999999131</v>
          </cell>
          <cell r="H979">
            <v>30833.8</v>
          </cell>
          <cell r="I979">
            <v>1147.699999999913</v>
          </cell>
          <cell r="J979">
            <v>30921.599999999999</v>
          </cell>
        </row>
        <row r="980">
          <cell r="G980">
            <v>1147.699999999913</v>
          </cell>
          <cell r="H980">
            <v>30921.599999999999</v>
          </cell>
          <cell r="I980">
            <v>1147.7999999999129</v>
          </cell>
          <cell r="J980">
            <v>31009.4</v>
          </cell>
        </row>
        <row r="981">
          <cell r="G981">
            <v>1147.7999999999129</v>
          </cell>
          <cell r="H981">
            <v>31009.4</v>
          </cell>
          <cell r="I981">
            <v>1147.8999999999128</v>
          </cell>
          <cell r="J981">
            <v>31097.200000000001</v>
          </cell>
        </row>
        <row r="982">
          <cell r="G982">
            <v>1147.8999999999128</v>
          </cell>
          <cell r="H982">
            <v>31097.200000000001</v>
          </cell>
          <cell r="I982">
            <v>1147.9999999999127</v>
          </cell>
          <cell r="J982">
            <v>31185</v>
          </cell>
        </row>
        <row r="983">
          <cell r="G983">
            <v>1147.9999999999127</v>
          </cell>
          <cell r="H983">
            <v>31185</v>
          </cell>
          <cell r="I983">
            <v>1148.0999999999126</v>
          </cell>
          <cell r="J983">
            <v>31274.2</v>
          </cell>
        </row>
        <row r="984">
          <cell r="G984">
            <v>1148.0999999999126</v>
          </cell>
          <cell r="H984">
            <v>31274.2</v>
          </cell>
          <cell r="I984">
            <v>1148.1999999999125</v>
          </cell>
          <cell r="J984">
            <v>31363.4</v>
          </cell>
        </row>
        <row r="985">
          <cell r="G985">
            <v>1148.1999999999125</v>
          </cell>
          <cell r="H985">
            <v>31363.4</v>
          </cell>
          <cell r="I985">
            <v>1148.2999999999124</v>
          </cell>
          <cell r="J985">
            <v>31452.6</v>
          </cell>
        </row>
        <row r="986">
          <cell r="G986">
            <v>1148.2999999999124</v>
          </cell>
          <cell r="H986">
            <v>31452.6</v>
          </cell>
          <cell r="I986">
            <v>1148.3999999999123</v>
          </cell>
          <cell r="J986">
            <v>31541.8</v>
          </cell>
        </row>
        <row r="987">
          <cell r="G987">
            <v>1148.3999999999123</v>
          </cell>
          <cell r="H987">
            <v>31541.8</v>
          </cell>
          <cell r="I987">
            <v>1148.4999999999122</v>
          </cell>
          <cell r="J987">
            <v>31631</v>
          </cell>
        </row>
        <row r="988">
          <cell r="G988">
            <v>1148.4999999999122</v>
          </cell>
          <cell r="H988">
            <v>31631</v>
          </cell>
          <cell r="I988">
            <v>1148.5999999999121</v>
          </cell>
          <cell r="J988">
            <v>31720.2</v>
          </cell>
        </row>
        <row r="989">
          <cell r="G989">
            <v>1148.5999999999121</v>
          </cell>
          <cell r="H989">
            <v>31720.2</v>
          </cell>
          <cell r="I989">
            <v>1148.6999999999121</v>
          </cell>
          <cell r="J989">
            <v>31809.4</v>
          </cell>
        </row>
        <row r="990">
          <cell r="G990">
            <v>1148.6999999999121</v>
          </cell>
          <cell r="H990">
            <v>31809.4</v>
          </cell>
          <cell r="I990">
            <v>1148.799999999912</v>
          </cell>
          <cell r="J990">
            <v>31898.6</v>
          </cell>
        </row>
        <row r="991">
          <cell r="G991">
            <v>1148.799999999912</v>
          </cell>
          <cell r="H991">
            <v>31898.6</v>
          </cell>
          <cell r="I991">
            <v>1148.8999999999119</v>
          </cell>
          <cell r="J991">
            <v>31987.8</v>
          </cell>
        </row>
        <row r="992">
          <cell r="G992">
            <v>1148.8999999999119</v>
          </cell>
          <cell r="H992">
            <v>31987.8</v>
          </cell>
          <cell r="I992">
            <v>1148.9999999999118</v>
          </cell>
          <cell r="J992">
            <v>32077</v>
          </cell>
        </row>
        <row r="993">
          <cell r="G993">
            <v>1148.9999999999118</v>
          </cell>
          <cell r="H993">
            <v>32077</v>
          </cell>
          <cell r="I993">
            <v>1149.0999999999117</v>
          </cell>
          <cell r="J993">
            <v>32167.5</v>
          </cell>
        </row>
        <row r="994">
          <cell r="G994">
            <v>1149.0999999999117</v>
          </cell>
          <cell r="H994">
            <v>32167.5</v>
          </cell>
          <cell r="I994">
            <v>1149.1999999999116</v>
          </cell>
          <cell r="J994">
            <v>32258</v>
          </cell>
        </row>
        <row r="995">
          <cell r="G995">
            <v>1149.1999999999116</v>
          </cell>
          <cell r="H995">
            <v>32258</v>
          </cell>
          <cell r="I995">
            <v>1149.2999999999115</v>
          </cell>
          <cell r="J995">
            <v>32348.5</v>
          </cell>
        </row>
        <row r="996">
          <cell r="G996">
            <v>1149.2999999999115</v>
          </cell>
          <cell r="H996">
            <v>32348.5</v>
          </cell>
          <cell r="I996">
            <v>1149.3999999999114</v>
          </cell>
          <cell r="J996">
            <v>32439</v>
          </cell>
        </row>
        <row r="997">
          <cell r="G997">
            <v>1149.3999999999114</v>
          </cell>
          <cell r="H997">
            <v>32439</v>
          </cell>
          <cell r="I997">
            <v>1149.4999999999113</v>
          </cell>
          <cell r="J997">
            <v>32529.5</v>
          </cell>
        </row>
        <row r="998">
          <cell r="G998">
            <v>1149.4999999999113</v>
          </cell>
          <cell r="H998">
            <v>32529.5</v>
          </cell>
          <cell r="I998">
            <v>1149.5999999999112</v>
          </cell>
          <cell r="J998">
            <v>32620</v>
          </cell>
        </row>
        <row r="999">
          <cell r="G999">
            <v>1149.5999999999112</v>
          </cell>
          <cell r="H999">
            <v>32620</v>
          </cell>
          <cell r="I999">
            <v>1149.6999999999111</v>
          </cell>
          <cell r="J999">
            <v>32710.5</v>
          </cell>
        </row>
        <row r="1000">
          <cell r="G1000">
            <v>1149.6999999999111</v>
          </cell>
          <cell r="H1000">
            <v>32710.5</v>
          </cell>
          <cell r="I1000">
            <v>1149.7999999999111</v>
          </cell>
          <cell r="J1000">
            <v>32801</v>
          </cell>
        </row>
        <row r="1001">
          <cell r="G1001">
            <v>1149.7999999999111</v>
          </cell>
          <cell r="H1001">
            <v>32801</v>
          </cell>
          <cell r="I1001">
            <v>1149.899999999911</v>
          </cell>
          <cell r="J1001">
            <v>32891.5</v>
          </cell>
        </row>
        <row r="1002">
          <cell r="G1002">
            <v>1149.899999999911</v>
          </cell>
          <cell r="H1002">
            <v>32891.5</v>
          </cell>
          <cell r="I1002">
            <v>1149.9999999999109</v>
          </cell>
          <cell r="J1002">
            <v>32982</v>
          </cell>
        </row>
        <row r="1003">
          <cell r="G1003">
            <v>1149.9999999999109</v>
          </cell>
          <cell r="H1003">
            <v>32982</v>
          </cell>
          <cell r="I1003">
            <v>1150.0999999999108</v>
          </cell>
          <cell r="J1003">
            <v>33073.9</v>
          </cell>
        </row>
        <row r="1004">
          <cell r="G1004">
            <v>1150.0999999999108</v>
          </cell>
          <cell r="H1004">
            <v>33073.9</v>
          </cell>
          <cell r="I1004">
            <v>1150.1999999999107</v>
          </cell>
          <cell r="J1004">
            <v>33165.800000000003</v>
          </cell>
        </row>
        <row r="1005">
          <cell r="G1005">
            <v>1150.1999999999107</v>
          </cell>
          <cell r="H1005">
            <v>33165.800000000003</v>
          </cell>
          <cell r="I1005">
            <v>1150.2999999999106</v>
          </cell>
          <cell r="J1005">
            <v>33257.699999999997</v>
          </cell>
        </row>
        <row r="1006">
          <cell r="G1006">
            <v>1150.2999999999106</v>
          </cell>
          <cell r="H1006">
            <v>33257.699999999997</v>
          </cell>
          <cell r="I1006">
            <v>1150.3999999999105</v>
          </cell>
          <cell r="J1006">
            <v>33349.599999999999</v>
          </cell>
        </row>
        <row r="1007">
          <cell r="G1007">
            <v>1150.3999999999105</v>
          </cell>
          <cell r="H1007">
            <v>33349.599999999999</v>
          </cell>
          <cell r="I1007">
            <v>1150.4999999999104</v>
          </cell>
          <cell r="J1007">
            <v>33441.5</v>
          </cell>
        </row>
        <row r="1008">
          <cell r="G1008">
            <v>1150.4999999999104</v>
          </cell>
          <cell r="H1008">
            <v>33441.5</v>
          </cell>
          <cell r="I1008">
            <v>1150.5999999999103</v>
          </cell>
          <cell r="J1008">
            <v>33533.4</v>
          </cell>
        </row>
        <row r="1009">
          <cell r="G1009">
            <v>1150.5999999999103</v>
          </cell>
          <cell r="H1009">
            <v>33533.4</v>
          </cell>
          <cell r="I1009">
            <v>1150.6999999999102</v>
          </cell>
          <cell r="J1009">
            <v>33625.300000000003</v>
          </cell>
        </row>
        <row r="1010">
          <cell r="G1010">
            <v>1150.6999999999102</v>
          </cell>
          <cell r="H1010">
            <v>33625.300000000003</v>
          </cell>
          <cell r="I1010">
            <v>1150.7999999999101</v>
          </cell>
          <cell r="J1010">
            <v>33717.199999999997</v>
          </cell>
        </row>
        <row r="1011">
          <cell r="G1011">
            <v>1150.7999999999101</v>
          </cell>
          <cell r="H1011">
            <v>33717.199999999997</v>
          </cell>
          <cell r="I1011">
            <v>1150.8999999999101</v>
          </cell>
          <cell r="J1011">
            <v>33809.1</v>
          </cell>
        </row>
        <row r="1012">
          <cell r="G1012">
            <v>1150.8999999999101</v>
          </cell>
          <cell r="H1012">
            <v>33809.1</v>
          </cell>
          <cell r="I1012">
            <v>1150.99999999991</v>
          </cell>
          <cell r="J1012">
            <v>33901</v>
          </cell>
        </row>
        <row r="1013">
          <cell r="G1013">
            <v>1150.99999999991</v>
          </cell>
          <cell r="H1013">
            <v>33901</v>
          </cell>
          <cell r="I1013">
            <v>1151.0999999999099</v>
          </cell>
          <cell r="J1013">
            <v>33994.300000000003</v>
          </cell>
        </row>
        <row r="1014">
          <cell r="G1014">
            <v>1151.0999999999099</v>
          </cell>
          <cell r="H1014">
            <v>33994.300000000003</v>
          </cell>
          <cell r="I1014">
            <v>1151.1999999999098</v>
          </cell>
          <cell r="J1014">
            <v>34087.599999999999</v>
          </cell>
        </row>
        <row r="1015">
          <cell r="G1015">
            <v>1151.1999999999098</v>
          </cell>
          <cell r="H1015">
            <v>34087.599999999999</v>
          </cell>
          <cell r="I1015">
            <v>1151.2999999999097</v>
          </cell>
          <cell r="J1015">
            <v>34180.9</v>
          </cell>
        </row>
        <row r="1016">
          <cell r="G1016">
            <v>1151.2999999999097</v>
          </cell>
          <cell r="H1016">
            <v>34180.9</v>
          </cell>
          <cell r="I1016">
            <v>1151.3999999999096</v>
          </cell>
          <cell r="J1016">
            <v>34274.199999999997</v>
          </cell>
        </row>
        <row r="1017">
          <cell r="G1017">
            <v>1151.3999999999096</v>
          </cell>
          <cell r="H1017">
            <v>34274.199999999997</v>
          </cell>
          <cell r="I1017">
            <v>1151.4999999999095</v>
          </cell>
          <cell r="J1017">
            <v>34367.5</v>
          </cell>
        </row>
        <row r="1018">
          <cell r="G1018">
            <v>1151.4999999999095</v>
          </cell>
          <cell r="H1018">
            <v>34367.5</v>
          </cell>
          <cell r="I1018">
            <v>1151.5999999999094</v>
          </cell>
          <cell r="J1018">
            <v>34460.800000000003</v>
          </cell>
        </row>
        <row r="1019">
          <cell r="G1019">
            <v>1151.5999999999094</v>
          </cell>
          <cell r="H1019">
            <v>34460.800000000003</v>
          </cell>
          <cell r="I1019">
            <v>1151.6999999999093</v>
          </cell>
          <cell r="J1019">
            <v>34554.1</v>
          </cell>
        </row>
        <row r="1020">
          <cell r="G1020">
            <v>1151.6999999999093</v>
          </cell>
          <cell r="H1020">
            <v>34554.1</v>
          </cell>
          <cell r="I1020">
            <v>1151.7999999999092</v>
          </cell>
          <cell r="J1020">
            <v>34647.4</v>
          </cell>
        </row>
        <row r="1021">
          <cell r="G1021">
            <v>1151.7999999999092</v>
          </cell>
          <cell r="H1021">
            <v>34647.4</v>
          </cell>
          <cell r="I1021">
            <v>1151.8999999999091</v>
          </cell>
          <cell r="J1021">
            <v>34740.699999999997</v>
          </cell>
        </row>
        <row r="1022">
          <cell r="G1022">
            <v>1151.8999999999091</v>
          </cell>
          <cell r="H1022">
            <v>34740.699999999997</v>
          </cell>
          <cell r="I1022">
            <v>1151.9999999999091</v>
          </cell>
          <cell r="J1022">
            <v>34834</v>
          </cell>
        </row>
        <row r="1023">
          <cell r="G1023">
            <v>1151.9999999999091</v>
          </cell>
          <cell r="H1023">
            <v>34834</v>
          </cell>
          <cell r="I1023">
            <v>1152.099999999909</v>
          </cell>
          <cell r="J1023">
            <v>34928.6</v>
          </cell>
        </row>
        <row r="1024">
          <cell r="G1024">
            <v>1152.099999999909</v>
          </cell>
          <cell r="H1024">
            <v>34928.6</v>
          </cell>
          <cell r="I1024">
            <v>1152.1999999999089</v>
          </cell>
          <cell r="J1024">
            <v>35023.199999999997</v>
          </cell>
        </row>
        <row r="1025">
          <cell r="G1025">
            <v>1152.1999999999089</v>
          </cell>
          <cell r="H1025">
            <v>35023.199999999997</v>
          </cell>
          <cell r="I1025">
            <v>1152.2999999999088</v>
          </cell>
          <cell r="J1025">
            <v>35117.800000000003</v>
          </cell>
        </row>
        <row r="1026">
          <cell r="G1026">
            <v>1152.2999999999088</v>
          </cell>
          <cell r="H1026">
            <v>35117.800000000003</v>
          </cell>
          <cell r="I1026">
            <v>1152.3999999999087</v>
          </cell>
          <cell r="J1026">
            <v>35212.400000000001</v>
          </cell>
        </row>
        <row r="1027">
          <cell r="G1027">
            <v>1152.3999999999087</v>
          </cell>
          <cell r="H1027">
            <v>35212.400000000001</v>
          </cell>
          <cell r="I1027">
            <v>1152.4999999999086</v>
          </cell>
          <cell r="J1027">
            <v>35307</v>
          </cell>
        </row>
        <row r="1028">
          <cell r="G1028">
            <v>1152.4999999999086</v>
          </cell>
          <cell r="H1028">
            <v>35307</v>
          </cell>
          <cell r="I1028">
            <v>1152.5999999999085</v>
          </cell>
          <cell r="J1028">
            <v>35401.599999999999</v>
          </cell>
        </row>
        <row r="1029">
          <cell r="G1029">
            <v>1152.5999999999085</v>
          </cell>
          <cell r="H1029">
            <v>35401.599999999999</v>
          </cell>
          <cell r="I1029">
            <v>1152.6999999999084</v>
          </cell>
          <cell r="J1029">
            <v>35496.199999999997</v>
          </cell>
        </row>
        <row r="1030">
          <cell r="G1030">
            <v>1152.6999999999084</v>
          </cell>
          <cell r="H1030">
            <v>35496.199999999997</v>
          </cell>
          <cell r="I1030">
            <v>1152.7999999999083</v>
          </cell>
          <cell r="J1030">
            <v>35590.800000000003</v>
          </cell>
        </row>
        <row r="1031">
          <cell r="G1031">
            <v>1152.7999999999083</v>
          </cell>
          <cell r="H1031">
            <v>35590.800000000003</v>
          </cell>
          <cell r="I1031">
            <v>1152.8999999999082</v>
          </cell>
          <cell r="J1031">
            <v>35685.4</v>
          </cell>
        </row>
        <row r="1032">
          <cell r="G1032">
            <v>1152.8999999999082</v>
          </cell>
          <cell r="H1032">
            <v>35685.4</v>
          </cell>
          <cell r="I1032">
            <v>1152.9999999999081</v>
          </cell>
          <cell r="J1032">
            <v>35780</v>
          </cell>
        </row>
        <row r="1033">
          <cell r="G1033">
            <v>1152.9999999999081</v>
          </cell>
          <cell r="H1033">
            <v>35780</v>
          </cell>
          <cell r="I1033">
            <v>1153.0999999999081</v>
          </cell>
          <cell r="J1033">
            <v>35876.1</v>
          </cell>
        </row>
        <row r="1034">
          <cell r="G1034">
            <v>1153.0999999999081</v>
          </cell>
          <cell r="H1034">
            <v>35876.1</v>
          </cell>
          <cell r="I1034">
            <v>1153.199999999908</v>
          </cell>
          <cell r="J1034">
            <v>35972.199999999997</v>
          </cell>
        </row>
        <row r="1035">
          <cell r="G1035">
            <v>1153.199999999908</v>
          </cell>
          <cell r="H1035">
            <v>35972.199999999997</v>
          </cell>
          <cell r="I1035">
            <v>1153.2999999999079</v>
          </cell>
          <cell r="J1035">
            <v>36068.300000000003</v>
          </cell>
        </row>
        <row r="1036">
          <cell r="G1036">
            <v>1153.2999999999079</v>
          </cell>
          <cell r="H1036">
            <v>36068.300000000003</v>
          </cell>
          <cell r="I1036">
            <v>1153.3999999999078</v>
          </cell>
          <cell r="J1036">
            <v>36164.400000000001</v>
          </cell>
        </row>
        <row r="1037">
          <cell r="G1037">
            <v>1153.3999999999078</v>
          </cell>
          <cell r="H1037">
            <v>36164.400000000001</v>
          </cell>
          <cell r="I1037">
            <v>1153.4999999999077</v>
          </cell>
          <cell r="J1037">
            <v>36260.5</v>
          </cell>
        </row>
        <row r="1038">
          <cell r="G1038">
            <v>1153.4999999999077</v>
          </cell>
          <cell r="H1038">
            <v>36260.5</v>
          </cell>
          <cell r="I1038">
            <v>1153.5999999999076</v>
          </cell>
          <cell r="J1038">
            <v>36356.6</v>
          </cell>
        </row>
        <row r="1039">
          <cell r="G1039">
            <v>1153.5999999999076</v>
          </cell>
          <cell r="H1039">
            <v>36356.6</v>
          </cell>
          <cell r="I1039">
            <v>1153.6999999999075</v>
          </cell>
          <cell r="J1039">
            <v>36452.699999999997</v>
          </cell>
        </row>
        <row r="1040">
          <cell r="G1040">
            <v>1153.6999999999075</v>
          </cell>
          <cell r="H1040">
            <v>36452.699999999997</v>
          </cell>
          <cell r="I1040">
            <v>1153.7999999999074</v>
          </cell>
          <cell r="J1040">
            <v>36548.800000000003</v>
          </cell>
        </row>
        <row r="1041">
          <cell r="G1041">
            <v>1153.7999999999074</v>
          </cell>
          <cell r="H1041">
            <v>36548.800000000003</v>
          </cell>
          <cell r="I1041">
            <v>1153.8999999999073</v>
          </cell>
          <cell r="J1041">
            <v>36644.9</v>
          </cell>
        </row>
        <row r="1042">
          <cell r="G1042">
            <v>1153.8999999999073</v>
          </cell>
          <cell r="H1042">
            <v>36644.9</v>
          </cell>
          <cell r="I1042">
            <v>1153.9999999999072</v>
          </cell>
          <cell r="J1042">
            <v>36741</v>
          </cell>
        </row>
        <row r="1043">
          <cell r="G1043">
            <v>1153.9999999999072</v>
          </cell>
          <cell r="H1043">
            <v>36741</v>
          </cell>
          <cell r="I1043">
            <v>1154.0999999999071</v>
          </cell>
          <cell r="J1043">
            <v>36838.5</v>
          </cell>
        </row>
        <row r="1044">
          <cell r="G1044">
            <v>1154.0999999999071</v>
          </cell>
          <cell r="H1044">
            <v>36838.5</v>
          </cell>
          <cell r="I1044">
            <v>1154.199999999907</v>
          </cell>
          <cell r="J1044">
            <v>36936</v>
          </cell>
        </row>
        <row r="1045">
          <cell r="G1045">
            <v>1154.199999999907</v>
          </cell>
          <cell r="H1045">
            <v>36936</v>
          </cell>
          <cell r="I1045">
            <v>1154.299999999907</v>
          </cell>
          <cell r="J1045">
            <v>37033.5</v>
          </cell>
        </row>
        <row r="1046">
          <cell r="G1046">
            <v>1154.299999999907</v>
          </cell>
          <cell r="H1046">
            <v>37033.5</v>
          </cell>
          <cell r="I1046">
            <v>1154.3999999999069</v>
          </cell>
          <cell r="J1046">
            <v>37131</v>
          </cell>
        </row>
        <row r="1047">
          <cell r="G1047">
            <v>1154.3999999999069</v>
          </cell>
          <cell r="H1047">
            <v>37131</v>
          </cell>
          <cell r="I1047">
            <v>1154.4999999999068</v>
          </cell>
          <cell r="J1047">
            <v>37228.5</v>
          </cell>
        </row>
        <row r="1048">
          <cell r="G1048">
            <v>1154.4999999999068</v>
          </cell>
          <cell r="H1048">
            <v>37228.5</v>
          </cell>
          <cell r="I1048">
            <v>1154.5999999999067</v>
          </cell>
          <cell r="J1048">
            <v>37326</v>
          </cell>
        </row>
        <row r="1049">
          <cell r="G1049">
            <v>1154.5999999999067</v>
          </cell>
          <cell r="H1049">
            <v>37326</v>
          </cell>
          <cell r="I1049">
            <v>1154.6999999999066</v>
          </cell>
          <cell r="J1049">
            <v>37423.5</v>
          </cell>
        </row>
        <row r="1050">
          <cell r="G1050">
            <v>1154.6999999999066</v>
          </cell>
          <cell r="H1050">
            <v>37423.5</v>
          </cell>
          <cell r="I1050">
            <v>1154.7999999999065</v>
          </cell>
          <cell r="J1050">
            <v>37521</v>
          </cell>
        </row>
        <row r="1051">
          <cell r="G1051">
            <v>1154.7999999999065</v>
          </cell>
          <cell r="H1051">
            <v>37521</v>
          </cell>
          <cell r="I1051">
            <v>1154.8999999999064</v>
          </cell>
          <cell r="J1051">
            <v>37618.5</v>
          </cell>
        </row>
        <row r="1052">
          <cell r="G1052">
            <v>1154.8999999999064</v>
          </cell>
          <cell r="H1052">
            <v>37618.5</v>
          </cell>
          <cell r="I1052">
            <v>1154.9999999999063</v>
          </cell>
          <cell r="J1052">
            <v>37716</v>
          </cell>
        </row>
        <row r="1053">
          <cell r="G1053">
            <v>1154.9999999999063</v>
          </cell>
          <cell r="H1053">
            <v>37716</v>
          </cell>
          <cell r="I1053">
            <v>1155.0999999999062</v>
          </cell>
          <cell r="J1053">
            <v>37814.9</v>
          </cell>
        </row>
        <row r="1054">
          <cell r="G1054">
            <v>1155.0999999999062</v>
          </cell>
          <cell r="H1054">
            <v>37814.9</v>
          </cell>
          <cell r="I1054">
            <v>1155.1999999999061</v>
          </cell>
          <cell r="J1054">
            <v>37913.800000000003</v>
          </cell>
        </row>
        <row r="1055">
          <cell r="G1055">
            <v>1155.1999999999061</v>
          </cell>
          <cell r="H1055">
            <v>37913.800000000003</v>
          </cell>
          <cell r="I1055">
            <v>1155.299999999906</v>
          </cell>
          <cell r="J1055">
            <v>38012.699999999997</v>
          </cell>
        </row>
        <row r="1056">
          <cell r="G1056">
            <v>1155.299999999906</v>
          </cell>
          <cell r="H1056">
            <v>38012.699999999997</v>
          </cell>
          <cell r="I1056">
            <v>1155.399999999906</v>
          </cell>
          <cell r="J1056">
            <v>38111.599999999999</v>
          </cell>
        </row>
        <row r="1057">
          <cell r="G1057">
            <v>1155.399999999906</v>
          </cell>
          <cell r="H1057">
            <v>38111.599999999999</v>
          </cell>
          <cell r="I1057">
            <v>1155.4999999999059</v>
          </cell>
          <cell r="J1057">
            <v>38210.5</v>
          </cell>
        </row>
        <row r="1058">
          <cell r="G1058">
            <v>1155.4999999999059</v>
          </cell>
          <cell r="H1058">
            <v>38210.5</v>
          </cell>
          <cell r="I1058">
            <v>1155.5999999999058</v>
          </cell>
          <cell r="J1058">
            <v>38309.4</v>
          </cell>
        </row>
        <row r="1059">
          <cell r="G1059">
            <v>1155.5999999999058</v>
          </cell>
          <cell r="H1059">
            <v>38309.4</v>
          </cell>
          <cell r="I1059">
            <v>1155.6999999999057</v>
          </cell>
          <cell r="J1059">
            <v>38408.300000000003</v>
          </cell>
        </row>
        <row r="1060">
          <cell r="G1060">
            <v>1155.6999999999057</v>
          </cell>
          <cell r="H1060">
            <v>38408.300000000003</v>
          </cell>
          <cell r="I1060">
            <v>1155.7999999999056</v>
          </cell>
          <cell r="J1060">
            <v>38507.199999999997</v>
          </cell>
        </row>
        <row r="1061">
          <cell r="G1061">
            <v>1155.7999999999056</v>
          </cell>
          <cell r="H1061">
            <v>38507.199999999997</v>
          </cell>
          <cell r="I1061">
            <v>1155.8999999999055</v>
          </cell>
          <cell r="J1061">
            <v>38606.1</v>
          </cell>
        </row>
        <row r="1062">
          <cell r="G1062">
            <v>1155.8999999999055</v>
          </cell>
          <cell r="H1062">
            <v>38606.1</v>
          </cell>
          <cell r="I1062">
            <v>1155.9999999999054</v>
          </cell>
          <cell r="J1062">
            <v>38705</v>
          </cell>
        </row>
        <row r="1063">
          <cell r="G1063">
            <v>1155.9999999999054</v>
          </cell>
          <cell r="H1063">
            <v>38705</v>
          </cell>
          <cell r="I1063">
            <v>1156.0999999999053</v>
          </cell>
          <cell r="J1063">
            <v>38805.300000000003</v>
          </cell>
        </row>
        <row r="1064">
          <cell r="G1064">
            <v>1156.0999999999053</v>
          </cell>
          <cell r="H1064">
            <v>38805.300000000003</v>
          </cell>
          <cell r="I1064">
            <v>1156.1999999999052</v>
          </cell>
          <cell r="J1064">
            <v>38905.599999999999</v>
          </cell>
        </row>
        <row r="1065">
          <cell r="G1065">
            <v>1156.1999999999052</v>
          </cell>
          <cell r="H1065">
            <v>38905.599999999999</v>
          </cell>
          <cell r="I1065">
            <v>1156.2999999999051</v>
          </cell>
          <cell r="J1065">
            <v>39005.9</v>
          </cell>
        </row>
        <row r="1066">
          <cell r="G1066">
            <v>1156.2999999999051</v>
          </cell>
          <cell r="H1066">
            <v>39005.9</v>
          </cell>
          <cell r="I1066">
            <v>1156.399999999905</v>
          </cell>
          <cell r="J1066">
            <v>39106.199999999997</v>
          </cell>
        </row>
        <row r="1067">
          <cell r="G1067">
            <v>1156.399999999905</v>
          </cell>
          <cell r="H1067">
            <v>39106.199999999997</v>
          </cell>
          <cell r="I1067">
            <v>1156.499999999905</v>
          </cell>
          <cell r="J1067">
            <v>39206.5</v>
          </cell>
        </row>
        <row r="1068">
          <cell r="G1068">
            <v>1156.499999999905</v>
          </cell>
          <cell r="H1068">
            <v>39206.5</v>
          </cell>
          <cell r="I1068">
            <v>1156.5999999999049</v>
          </cell>
          <cell r="J1068">
            <v>39306.800000000003</v>
          </cell>
        </row>
        <row r="1069">
          <cell r="G1069">
            <v>1156.5999999999049</v>
          </cell>
          <cell r="H1069">
            <v>39306.800000000003</v>
          </cell>
          <cell r="I1069">
            <v>1156.6999999999048</v>
          </cell>
          <cell r="J1069">
            <v>39407.1</v>
          </cell>
        </row>
        <row r="1070">
          <cell r="G1070">
            <v>1156.6999999999048</v>
          </cell>
          <cell r="H1070">
            <v>39407.1</v>
          </cell>
          <cell r="I1070">
            <v>1156.7999999999047</v>
          </cell>
          <cell r="J1070">
            <v>39507.4</v>
          </cell>
        </row>
        <row r="1071">
          <cell r="G1071">
            <v>1156.7999999999047</v>
          </cell>
          <cell r="H1071">
            <v>39507.4</v>
          </cell>
          <cell r="I1071">
            <v>1156.8999999999046</v>
          </cell>
          <cell r="J1071">
            <v>39607.699999999997</v>
          </cell>
        </row>
        <row r="1072">
          <cell r="G1072">
            <v>1156.8999999999046</v>
          </cell>
          <cell r="H1072">
            <v>39607.699999999997</v>
          </cell>
          <cell r="I1072">
            <v>1156.9999999999045</v>
          </cell>
          <cell r="J1072">
            <v>39708</v>
          </cell>
        </row>
        <row r="1073">
          <cell r="G1073">
            <v>1156.9999999999045</v>
          </cell>
          <cell r="H1073">
            <v>39708</v>
          </cell>
          <cell r="I1073">
            <v>1157.0999999999044</v>
          </cell>
          <cell r="J1073">
            <v>39809.699999999997</v>
          </cell>
        </row>
        <row r="1074">
          <cell r="G1074">
            <v>1157.0999999999044</v>
          </cell>
          <cell r="H1074">
            <v>39809.699999999997</v>
          </cell>
          <cell r="I1074">
            <v>1157.1999999999043</v>
          </cell>
          <cell r="J1074">
            <v>39911.4</v>
          </cell>
        </row>
        <row r="1075">
          <cell r="G1075">
            <v>1157.1999999999043</v>
          </cell>
          <cell r="H1075">
            <v>39911.4</v>
          </cell>
          <cell r="I1075">
            <v>1157.2999999999042</v>
          </cell>
          <cell r="J1075">
            <v>40013.1</v>
          </cell>
        </row>
        <row r="1076">
          <cell r="G1076">
            <v>1157.2999999999042</v>
          </cell>
          <cell r="H1076">
            <v>40013.1</v>
          </cell>
          <cell r="I1076">
            <v>1157.3999999999041</v>
          </cell>
          <cell r="J1076">
            <v>40114.800000000003</v>
          </cell>
        </row>
        <row r="1077">
          <cell r="G1077">
            <v>1157.3999999999041</v>
          </cell>
          <cell r="H1077">
            <v>40114.800000000003</v>
          </cell>
          <cell r="I1077">
            <v>1157.499999999904</v>
          </cell>
          <cell r="J1077">
            <v>40216.5</v>
          </cell>
        </row>
        <row r="1078">
          <cell r="G1078">
            <v>1157.499999999904</v>
          </cell>
          <cell r="H1078">
            <v>40216.5</v>
          </cell>
          <cell r="I1078">
            <v>1157.599999999904</v>
          </cell>
          <cell r="J1078">
            <v>40318.199999999997</v>
          </cell>
        </row>
        <row r="1079">
          <cell r="G1079">
            <v>1157.599999999904</v>
          </cell>
          <cell r="H1079">
            <v>40318.199999999997</v>
          </cell>
          <cell r="I1079">
            <v>1157.6999999999039</v>
          </cell>
          <cell r="J1079">
            <v>40419.9</v>
          </cell>
        </row>
        <row r="1080">
          <cell r="G1080">
            <v>1157.6999999999039</v>
          </cell>
          <cell r="H1080">
            <v>40419.9</v>
          </cell>
          <cell r="I1080">
            <v>1157.7999999999038</v>
          </cell>
          <cell r="J1080">
            <v>40521.599999999999</v>
          </cell>
        </row>
        <row r="1081">
          <cell r="G1081">
            <v>1157.7999999999038</v>
          </cell>
          <cell r="H1081">
            <v>40521.599999999999</v>
          </cell>
          <cell r="I1081">
            <v>1157.8999999999037</v>
          </cell>
          <cell r="J1081">
            <v>40623.300000000003</v>
          </cell>
        </row>
        <row r="1082">
          <cell r="G1082">
            <v>1157.8999999999037</v>
          </cell>
          <cell r="H1082">
            <v>40623.300000000003</v>
          </cell>
          <cell r="I1082">
            <v>1157.9999999999036</v>
          </cell>
          <cell r="J1082">
            <v>40725</v>
          </cell>
        </row>
        <row r="1083">
          <cell r="G1083">
            <v>1157.9999999999036</v>
          </cell>
          <cell r="H1083">
            <v>40725</v>
          </cell>
          <cell r="I1083">
            <v>1158.0999999999035</v>
          </cell>
          <cell r="J1083">
            <v>40828.199999999997</v>
          </cell>
        </row>
        <row r="1084">
          <cell r="G1084">
            <v>1158.0999999999035</v>
          </cell>
          <cell r="H1084">
            <v>40828.199999999997</v>
          </cell>
          <cell r="I1084">
            <v>1158.1999999999034</v>
          </cell>
          <cell r="J1084">
            <v>40931.4</v>
          </cell>
        </row>
        <row r="1085">
          <cell r="G1085">
            <v>1158.1999999999034</v>
          </cell>
          <cell r="H1085">
            <v>40931.4</v>
          </cell>
          <cell r="I1085">
            <v>1158.2999999999033</v>
          </cell>
          <cell r="J1085">
            <v>41034.6</v>
          </cell>
        </row>
        <row r="1086">
          <cell r="G1086">
            <v>1158.2999999999033</v>
          </cell>
          <cell r="H1086">
            <v>41034.6</v>
          </cell>
          <cell r="I1086">
            <v>1158.3999999999032</v>
          </cell>
          <cell r="J1086">
            <v>41137.800000000003</v>
          </cell>
        </row>
        <row r="1087">
          <cell r="G1087">
            <v>1158.3999999999032</v>
          </cell>
          <cell r="H1087">
            <v>41137.800000000003</v>
          </cell>
          <cell r="I1087">
            <v>1158.4999999999031</v>
          </cell>
          <cell r="J1087">
            <v>41241</v>
          </cell>
        </row>
        <row r="1088">
          <cell r="G1088">
            <v>1158.4999999999031</v>
          </cell>
          <cell r="H1088">
            <v>41241</v>
          </cell>
          <cell r="I1088">
            <v>1158.599999999903</v>
          </cell>
          <cell r="J1088">
            <v>41344.199999999997</v>
          </cell>
        </row>
        <row r="1089">
          <cell r="G1089">
            <v>1158.599999999903</v>
          </cell>
          <cell r="H1089">
            <v>41344.199999999997</v>
          </cell>
          <cell r="I1089">
            <v>1158.699999999903</v>
          </cell>
          <cell r="J1089">
            <v>41447.4</v>
          </cell>
        </row>
        <row r="1090">
          <cell r="G1090">
            <v>1158.699999999903</v>
          </cell>
          <cell r="H1090">
            <v>41447.4</v>
          </cell>
          <cell r="I1090">
            <v>1158.7999999999029</v>
          </cell>
          <cell r="J1090">
            <v>41550.6</v>
          </cell>
        </row>
        <row r="1091">
          <cell r="G1091">
            <v>1158.7999999999029</v>
          </cell>
          <cell r="H1091">
            <v>41550.6</v>
          </cell>
          <cell r="I1091">
            <v>1158.8999999999028</v>
          </cell>
          <cell r="J1091">
            <v>41653.800000000003</v>
          </cell>
        </row>
        <row r="1092">
          <cell r="G1092">
            <v>1158.8999999999028</v>
          </cell>
          <cell r="H1092">
            <v>41653.800000000003</v>
          </cell>
          <cell r="I1092">
            <v>1158.9999999999027</v>
          </cell>
          <cell r="J1092">
            <v>41757</v>
          </cell>
        </row>
        <row r="1093">
          <cell r="G1093">
            <v>1158.9999999999027</v>
          </cell>
          <cell r="H1093">
            <v>41757</v>
          </cell>
          <cell r="I1093">
            <v>1159.0999999999026</v>
          </cell>
          <cell r="J1093">
            <v>41861.699999999997</v>
          </cell>
        </row>
        <row r="1094">
          <cell r="G1094">
            <v>1159.0999999999026</v>
          </cell>
          <cell r="H1094">
            <v>41861.699999999997</v>
          </cell>
          <cell r="I1094">
            <v>1159.1999999999025</v>
          </cell>
          <cell r="J1094">
            <v>41966.400000000001</v>
          </cell>
        </row>
        <row r="1095">
          <cell r="G1095">
            <v>1159.1999999999025</v>
          </cell>
          <cell r="H1095">
            <v>41966.400000000001</v>
          </cell>
          <cell r="I1095">
            <v>1159.2999999999024</v>
          </cell>
          <cell r="J1095">
            <v>42071.1</v>
          </cell>
        </row>
        <row r="1096">
          <cell r="G1096">
            <v>1159.2999999999024</v>
          </cell>
          <cell r="H1096">
            <v>42071.1</v>
          </cell>
          <cell r="I1096">
            <v>1159.3999999999023</v>
          </cell>
          <cell r="J1096">
            <v>42175.8</v>
          </cell>
        </row>
        <row r="1097">
          <cell r="G1097">
            <v>1159.3999999999023</v>
          </cell>
          <cell r="H1097">
            <v>42175.8</v>
          </cell>
          <cell r="I1097">
            <v>1159.4999999999022</v>
          </cell>
          <cell r="J1097">
            <v>42280.5</v>
          </cell>
        </row>
        <row r="1098">
          <cell r="G1098">
            <v>1159.4999999999022</v>
          </cell>
          <cell r="H1098">
            <v>42280.5</v>
          </cell>
          <cell r="I1098">
            <v>1159.5999999999021</v>
          </cell>
          <cell r="J1098">
            <v>42385.2</v>
          </cell>
        </row>
        <row r="1099">
          <cell r="G1099">
            <v>1159.5999999999021</v>
          </cell>
          <cell r="H1099">
            <v>42385.2</v>
          </cell>
          <cell r="I1099">
            <v>1159.699999999902</v>
          </cell>
          <cell r="J1099">
            <v>42489.9</v>
          </cell>
        </row>
        <row r="1100">
          <cell r="G1100">
            <v>1159.699999999902</v>
          </cell>
          <cell r="H1100">
            <v>42489.9</v>
          </cell>
          <cell r="I1100">
            <v>1159.799999999902</v>
          </cell>
          <cell r="J1100">
            <v>42594.6</v>
          </cell>
        </row>
        <row r="1101">
          <cell r="G1101">
            <v>1159.799999999902</v>
          </cell>
          <cell r="H1101">
            <v>42594.6</v>
          </cell>
          <cell r="I1101">
            <v>1159.8999999999019</v>
          </cell>
          <cell r="J1101">
            <v>42699.3</v>
          </cell>
        </row>
        <row r="1102">
          <cell r="G1102">
            <v>1159.8999999999019</v>
          </cell>
          <cell r="H1102">
            <v>42699.3</v>
          </cell>
          <cell r="I1102">
            <v>1159.9999999999018</v>
          </cell>
          <cell r="J1102">
            <v>42804</v>
          </cell>
        </row>
        <row r="1103">
          <cell r="G1103">
            <v>1159.9999999999018</v>
          </cell>
          <cell r="H1103">
            <v>42804</v>
          </cell>
          <cell r="I1103">
            <v>1160.0999999999017</v>
          </cell>
          <cell r="J1103">
            <v>42910</v>
          </cell>
        </row>
        <row r="1104">
          <cell r="G1104">
            <v>1160.0999999999017</v>
          </cell>
          <cell r="H1104">
            <v>42910</v>
          </cell>
          <cell r="I1104">
            <v>1160.1999999999016</v>
          </cell>
          <cell r="J1104">
            <v>43016</v>
          </cell>
        </row>
        <row r="1105">
          <cell r="G1105">
            <v>1160.1999999999016</v>
          </cell>
          <cell r="H1105">
            <v>43016</v>
          </cell>
          <cell r="I1105">
            <v>1160.2999999999015</v>
          </cell>
          <cell r="J1105">
            <v>43122</v>
          </cell>
        </row>
        <row r="1106">
          <cell r="G1106">
            <v>1160.2999999999015</v>
          </cell>
          <cell r="H1106">
            <v>43122</v>
          </cell>
          <cell r="I1106">
            <v>1160.3999999999014</v>
          </cell>
          <cell r="J1106">
            <v>43228</v>
          </cell>
        </row>
        <row r="1107">
          <cell r="G1107">
            <v>1160.3999999999014</v>
          </cell>
          <cell r="H1107">
            <v>43228</v>
          </cell>
          <cell r="I1107">
            <v>1160.4999999999013</v>
          </cell>
          <cell r="J1107">
            <v>43334</v>
          </cell>
        </row>
        <row r="1108">
          <cell r="G1108">
            <v>1160.4999999999013</v>
          </cell>
          <cell r="H1108">
            <v>43334</v>
          </cell>
          <cell r="I1108">
            <v>1160.5999999999012</v>
          </cell>
          <cell r="J1108">
            <v>43440</v>
          </cell>
        </row>
        <row r="1109">
          <cell r="G1109">
            <v>1160.5999999999012</v>
          </cell>
          <cell r="H1109">
            <v>43440</v>
          </cell>
          <cell r="I1109">
            <v>1160.6999999999011</v>
          </cell>
          <cell r="J1109">
            <v>43546</v>
          </cell>
        </row>
        <row r="1110">
          <cell r="G1110">
            <v>1160.6999999999011</v>
          </cell>
          <cell r="H1110">
            <v>43546</v>
          </cell>
          <cell r="I1110">
            <v>1160.799999999901</v>
          </cell>
          <cell r="J1110">
            <v>43652</v>
          </cell>
        </row>
        <row r="1111">
          <cell r="G1111">
            <v>1160.799999999901</v>
          </cell>
          <cell r="H1111">
            <v>43652</v>
          </cell>
          <cell r="I1111">
            <v>1160.899999999901</v>
          </cell>
          <cell r="J1111">
            <v>43758</v>
          </cell>
        </row>
        <row r="1112">
          <cell r="G1112">
            <v>1160.899999999901</v>
          </cell>
          <cell r="H1112">
            <v>43758</v>
          </cell>
          <cell r="I1112">
            <v>1160.9999999999009</v>
          </cell>
          <cell r="J1112">
            <v>43864</v>
          </cell>
        </row>
        <row r="1113">
          <cell r="G1113">
            <v>1160.9999999999009</v>
          </cell>
          <cell r="H1113">
            <v>43864</v>
          </cell>
          <cell r="I1113">
            <v>1161.0999999999008</v>
          </cell>
          <cell r="J1113">
            <v>43971</v>
          </cell>
        </row>
        <row r="1114">
          <cell r="G1114">
            <v>1161.0999999999008</v>
          </cell>
          <cell r="H1114">
            <v>43971</v>
          </cell>
          <cell r="I1114">
            <v>1161.1999999999007</v>
          </cell>
          <cell r="J1114">
            <v>44078</v>
          </cell>
        </row>
        <row r="1115">
          <cell r="G1115">
            <v>1161.1999999999007</v>
          </cell>
          <cell r="H1115">
            <v>44078</v>
          </cell>
          <cell r="I1115">
            <v>1161.2999999999006</v>
          </cell>
          <cell r="J1115">
            <v>44185</v>
          </cell>
        </row>
        <row r="1116">
          <cell r="G1116">
            <v>1161.2999999999006</v>
          </cell>
          <cell r="H1116">
            <v>44185</v>
          </cell>
          <cell r="I1116">
            <v>1161.3999999999005</v>
          </cell>
          <cell r="J1116">
            <v>44292</v>
          </cell>
        </row>
        <row r="1117">
          <cell r="G1117">
            <v>1161.3999999999005</v>
          </cell>
          <cell r="H1117">
            <v>44292</v>
          </cell>
          <cell r="I1117">
            <v>1161.4999999999004</v>
          </cell>
          <cell r="J1117">
            <v>44399</v>
          </cell>
        </row>
        <row r="1118">
          <cell r="G1118">
            <v>1161.4999999999004</v>
          </cell>
          <cell r="H1118">
            <v>44399</v>
          </cell>
          <cell r="I1118">
            <v>1161.5999999999003</v>
          </cell>
          <cell r="J1118">
            <v>44506</v>
          </cell>
        </row>
        <row r="1119">
          <cell r="G1119">
            <v>1161.5999999999003</v>
          </cell>
          <cell r="H1119">
            <v>44506</v>
          </cell>
          <cell r="I1119">
            <v>1161.6999999999002</v>
          </cell>
          <cell r="J1119">
            <v>44613</v>
          </cell>
        </row>
        <row r="1120">
          <cell r="G1120">
            <v>1161.6999999999002</v>
          </cell>
          <cell r="H1120">
            <v>44613</v>
          </cell>
          <cell r="I1120">
            <v>1161.7999999999001</v>
          </cell>
          <cell r="J1120">
            <v>44720</v>
          </cell>
        </row>
        <row r="1121">
          <cell r="G1121">
            <v>1161.7999999999001</v>
          </cell>
          <cell r="H1121">
            <v>44720</v>
          </cell>
          <cell r="I1121">
            <v>1161.8999999999</v>
          </cell>
          <cell r="J1121">
            <v>44827</v>
          </cell>
        </row>
        <row r="1122">
          <cell r="G1122">
            <v>1161.8999999999</v>
          </cell>
          <cell r="H1122">
            <v>44827</v>
          </cell>
          <cell r="I1122">
            <v>1161.9999999999</v>
          </cell>
          <cell r="J1122">
            <v>44934</v>
          </cell>
        </row>
        <row r="1123">
          <cell r="G1123">
            <v>1161.9999999999</v>
          </cell>
          <cell r="H1123">
            <v>44934</v>
          </cell>
          <cell r="I1123">
            <v>1162.0999999998999</v>
          </cell>
          <cell r="J1123">
            <v>45042.2</v>
          </cell>
        </row>
        <row r="1124">
          <cell r="G1124">
            <v>1162.0999999998999</v>
          </cell>
          <cell r="H1124">
            <v>45042.2</v>
          </cell>
          <cell r="I1124">
            <v>1162.1999999998998</v>
          </cell>
          <cell r="J1124">
            <v>45150.400000000001</v>
          </cell>
        </row>
        <row r="1125">
          <cell r="G1125">
            <v>1162.1999999998998</v>
          </cell>
          <cell r="H1125">
            <v>45150.400000000001</v>
          </cell>
          <cell r="I1125">
            <v>1162.2999999998997</v>
          </cell>
          <cell r="J1125">
            <v>45258.6</v>
          </cell>
        </row>
        <row r="1126">
          <cell r="G1126">
            <v>1162.2999999998997</v>
          </cell>
          <cell r="H1126">
            <v>45258.6</v>
          </cell>
          <cell r="I1126">
            <v>1162.3999999998996</v>
          </cell>
          <cell r="J1126">
            <v>45366.8</v>
          </cell>
        </row>
        <row r="1127">
          <cell r="G1127">
            <v>1162.3999999998996</v>
          </cell>
          <cell r="H1127">
            <v>45366.8</v>
          </cell>
          <cell r="I1127">
            <v>1162.4999999998995</v>
          </cell>
          <cell r="J1127">
            <v>45475</v>
          </cell>
        </row>
        <row r="1128">
          <cell r="G1128">
            <v>1162.4999999998995</v>
          </cell>
          <cell r="H1128">
            <v>45475</v>
          </cell>
          <cell r="I1128">
            <v>1162.5999999998994</v>
          </cell>
          <cell r="J1128">
            <v>45583.199999999997</v>
          </cell>
        </row>
        <row r="1129">
          <cell r="G1129">
            <v>1162.5999999998994</v>
          </cell>
          <cell r="H1129">
            <v>45583.199999999997</v>
          </cell>
          <cell r="I1129">
            <v>1162.6999999998993</v>
          </cell>
          <cell r="J1129">
            <v>45691.4</v>
          </cell>
        </row>
        <row r="1130">
          <cell r="G1130">
            <v>1162.6999999998993</v>
          </cell>
          <cell r="H1130">
            <v>45691.4</v>
          </cell>
          <cell r="I1130">
            <v>1162.7999999998992</v>
          </cell>
          <cell r="J1130">
            <v>45799.6</v>
          </cell>
        </row>
        <row r="1131">
          <cell r="G1131">
            <v>1162.7999999998992</v>
          </cell>
          <cell r="H1131">
            <v>45799.6</v>
          </cell>
          <cell r="I1131">
            <v>1162.8999999998991</v>
          </cell>
          <cell r="J1131">
            <v>45907.8</v>
          </cell>
        </row>
        <row r="1132">
          <cell r="G1132">
            <v>1162.8999999998991</v>
          </cell>
          <cell r="H1132">
            <v>45907.8</v>
          </cell>
          <cell r="I1132">
            <v>1162.999999999899</v>
          </cell>
          <cell r="J1132">
            <v>46016</v>
          </cell>
        </row>
        <row r="1133">
          <cell r="G1133">
            <v>1162.999999999899</v>
          </cell>
          <cell r="H1133">
            <v>46016</v>
          </cell>
          <cell r="I1133">
            <v>1163.099999999899</v>
          </cell>
          <cell r="J1133">
            <v>46125.3</v>
          </cell>
        </row>
        <row r="1134">
          <cell r="G1134">
            <v>1163.099999999899</v>
          </cell>
          <cell r="H1134">
            <v>46125.3</v>
          </cell>
          <cell r="I1134">
            <v>1163.1999999998989</v>
          </cell>
          <cell r="J1134">
            <v>46234.6</v>
          </cell>
        </row>
        <row r="1135">
          <cell r="G1135">
            <v>1163.1999999998989</v>
          </cell>
          <cell r="H1135">
            <v>46234.6</v>
          </cell>
          <cell r="I1135">
            <v>1163.2999999998988</v>
          </cell>
          <cell r="J1135">
            <v>46343.9</v>
          </cell>
        </row>
        <row r="1136">
          <cell r="G1136">
            <v>1163.2999999998988</v>
          </cell>
          <cell r="H1136">
            <v>46343.9</v>
          </cell>
          <cell r="I1136">
            <v>1163.3999999998987</v>
          </cell>
          <cell r="J1136">
            <v>46453.2</v>
          </cell>
        </row>
        <row r="1137">
          <cell r="G1137">
            <v>1163.3999999998987</v>
          </cell>
          <cell r="H1137">
            <v>46453.2</v>
          </cell>
          <cell r="I1137">
            <v>1163.4999999998986</v>
          </cell>
          <cell r="J1137">
            <v>46562.5</v>
          </cell>
        </row>
        <row r="1138">
          <cell r="G1138">
            <v>1163.4999999998986</v>
          </cell>
          <cell r="H1138">
            <v>46562.5</v>
          </cell>
          <cell r="I1138">
            <v>1163.5999999998985</v>
          </cell>
          <cell r="J1138">
            <v>46671.8</v>
          </cell>
        </row>
        <row r="1139">
          <cell r="G1139">
            <v>1163.5999999998985</v>
          </cell>
          <cell r="H1139">
            <v>46671.8</v>
          </cell>
          <cell r="I1139">
            <v>1163.6999999998984</v>
          </cell>
          <cell r="J1139">
            <v>46781.1</v>
          </cell>
        </row>
        <row r="1140">
          <cell r="G1140">
            <v>1163.6999999998984</v>
          </cell>
          <cell r="H1140">
            <v>46781.1</v>
          </cell>
          <cell r="I1140">
            <v>1163.7999999998983</v>
          </cell>
          <cell r="J1140">
            <v>46890.400000000001</v>
          </cell>
        </row>
        <row r="1141">
          <cell r="G1141">
            <v>1163.7999999998983</v>
          </cell>
          <cell r="H1141">
            <v>46890.400000000001</v>
          </cell>
          <cell r="I1141">
            <v>1163.8999999998982</v>
          </cell>
          <cell r="J1141">
            <v>46999.7</v>
          </cell>
        </row>
        <row r="1142">
          <cell r="G1142">
            <v>1163.8999999998982</v>
          </cell>
          <cell r="H1142">
            <v>46999.7</v>
          </cell>
          <cell r="I1142">
            <v>1163.9999999998981</v>
          </cell>
          <cell r="J1142">
            <v>47109</v>
          </cell>
        </row>
        <row r="1143">
          <cell r="G1143">
            <v>1163.9999999998981</v>
          </cell>
          <cell r="H1143">
            <v>47109</v>
          </cell>
          <cell r="I1143">
            <v>1164.099999999898</v>
          </cell>
          <cell r="J1143">
            <v>47219.4</v>
          </cell>
        </row>
        <row r="1144">
          <cell r="G1144">
            <v>1164.099999999898</v>
          </cell>
          <cell r="H1144">
            <v>47219.4</v>
          </cell>
          <cell r="I1144">
            <v>1164.199999999898</v>
          </cell>
          <cell r="J1144">
            <v>47329.8</v>
          </cell>
        </row>
        <row r="1145">
          <cell r="G1145">
            <v>1164.199999999898</v>
          </cell>
          <cell r="H1145">
            <v>47329.8</v>
          </cell>
          <cell r="I1145">
            <v>1164.2999999998979</v>
          </cell>
          <cell r="J1145">
            <v>47440.2</v>
          </cell>
        </row>
        <row r="1146">
          <cell r="G1146">
            <v>1164.2999999998979</v>
          </cell>
          <cell r="H1146">
            <v>47440.2</v>
          </cell>
          <cell r="I1146">
            <v>1164.3999999998978</v>
          </cell>
          <cell r="J1146">
            <v>47550.6</v>
          </cell>
        </row>
        <row r="1147">
          <cell r="G1147">
            <v>1164.3999999998978</v>
          </cell>
          <cell r="H1147">
            <v>47550.6</v>
          </cell>
          <cell r="I1147">
            <v>1164.4999999998977</v>
          </cell>
          <cell r="J1147">
            <v>47661</v>
          </cell>
        </row>
        <row r="1148">
          <cell r="G1148">
            <v>1164.4999999998977</v>
          </cell>
          <cell r="H1148">
            <v>47661</v>
          </cell>
          <cell r="I1148">
            <v>1164.5999999998976</v>
          </cell>
          <cell r="J1148">
            <v>47771.4</v>
          </cell>
        </row>
        <row r="1149">
          <cell r="G1149">
            <v>1164.5999999998976</v>
          </cell>
          <cell r="H1149">
            <v>47771.4</v>
          </cell>
          <cell r="I1149">
            <v>1164.6999999998975</v>
          </cell>
          <cell r="J1149">
            <v>47881.8</v>
          </cell>
        </row>
        <row r="1150">
          <cell r="G1150">
            <v>1164.6999999998975</v>
          </cell>
          <cell r="H1150">
            <v>47881.8</v>
          </cell>
          <cell r="I1150">
            <v>1164.7999999998974</v>
          </cell>
          <cell r="J1150">
            <v>47992.2</v>
          </cell>
        </row>
        <row r="1151">
          <cell r="G1151">
            <v>1164.7999999998974</v>
          </cell>
          <cell r="H1151">
            <v>47992.2</v>
          </cell>
          <cell r="I1151">
            <v>1164.8999999998973</v>
          </cell>
          <cell r="J1151">
            <v>48102.6</v>
          </cell>
        </row>
        <row r="1152">
          <cell r="G1152">
            <v>1164.8999999998973</v>
          </cell>
          <cell r="H1152">
            <v>48102.6</v>
          </cell>
          <cell r="I1152">
            <v>1164.9999999998972</v>
          </cell>
          <cell r="J1152">
            <v>48213</v>
          </cell>
        </row>
        <row r="1153">
          <cell r="G1153">
            <v>1164.9999999998972</v>
          </cell>
          <cell r="H1153">
            <v>48213</v>
          </cell>
          <cell r="I1153">
            <v>1165.0999999998971</v>
          </cell>
          <cell r="J1153">
            <v>48324.5</v>
          </cell>
        </row>
        <row r="1154">
          <cell r="G1154">
            <v>1165.0999999998971</v>
          </cell>
          <cell r="H1154">
            <v>48324.5</v>
          </cell>
          <cell r="I1154">
            <v>1165.199999999897</v>
          </cell>
          <cell r="J1154">
            <v>48436</v>
          </cell>
        </row>
        <row r="1155">
          <cell r="G1155">
            <v>1165.199999999897</v>
          </cell>
          <cell r="H1155">
            <v>48436</v>
          </cell>
          <cell r="I1155">
            <v>1165.299999999897</v>
          </cell>
          <cell r="J1155">
            <v>48547.5</v>
          </cell>
        </row>
        <row r="1156">
          <cell r="G1156">
            <v>1165.299999999897</v>
          </cell>
          <cell r="H1156">
            <v>48547.5</v>
          </cell>
          <cell r="I1156">
            <v>1165.3999999998969</v>
          </cell>
          <cell r="J1156">
            <v>48659</v>
          </cell>
        </row>
        <row r="1157">
          <cell r="G1157">
            <v>1165.3999999998969</v>
          </cell>
          <cell r="H1157">
            <v>48659</v>
          </cell>
          <cell r="I1157">
            <v>1165.4999999998968</v>
          </cell>
          <cell r="J1157">
            <v>48770.5</v>
          </cell>
        </row>
        <row r="1158">
          <cell r="G1158">
            <v>1165.4999999998968</v>
          </cell>
          <cell r="H1158">
            <v>48770.5</v>
          </cell>
          <cell r="I1158">
            <v>1165.5999999998967</v>
          </cell>
          <cell r="J1158">
            <v>48882</v>
          </cell>
        </row>
        <row r="1159">
          <cell r="G1159">
            <v>1165.5999999998967</v>
          </cell>
          <cell r="H1159">
            <v>48882</v>
          </cell>
          <cell r="I1159">
            <v>1165.6999999998966</v>
          </cell>
          <cell r="J1159">
            <v>48993.5</v>
          </cell>
        </row>
        <row r="1160">
          <cell r="G1160">
            <v>1165.6999999998966</v>
          </cell>
          <cell r="H1160">
            <v>48993.5</v>
          </cell>
          <cell r="I1160">
            <v>1165.7999999998965</v>
          </cell>
          <cell r="J1160">
            <v>49105</v>
          </cell>
        </row>
        <row r="1161">
          <cell r="G1161">
            <v>1165.7999999998965</v>
          </cell>
          <cell r="H1161">
            <v>49105</v>
          </cell>
          <cell r="I1161">
            <v>1165.8999999998964</v>
          </cell>
          <cell r="J1161">
            <v>49216.5</v>
          </cell>
        </row>
        <row r="1162">
          <cell r="G1162">
            <v>1165.8999999998964</v>
          </cell>
          <cell r="H1162">
            <v>49216.5</v>
          </cell>
          <cell r="I1162">
            <v>1165.9999999998963</v>
          </cell>
          <cell r="J1162">
            <v>49328</v>
          </cell>
        </row>
        <row r="1163">
          <cell r="G1163">
            <v>1165.9999999998963</v>
          </cell>
          <cell r="H1163">
            <v>49328</v>
          </cell>
          <cell r="I1163">
            <v>1166.0999999998962</v>
          </cell>
          <cell r="J1163">
            <v>49440.6</v>
          </cell>
        </row>
        <row r="1164">
          <cell r="G1164">
            <v>1166.0999999998962</v>
          </cell>
          <cell r="H1164">
            <v>49440.6</v>
          </cell>
          <cell r="I1164">
            <v>1166.1999999998961</v>
          </cell>
          <cell r="J1164">
            <v>49553.2</v>
          </cell>
        </row>
        <row r="1165">
          <cell r="G1165">
            <v>1166.1999999998961</v>
          </cell>
          <cell r="H1165">
            <v>49553.2</v>
          </cell>
          <cell r="I1165">
            <v>1166.299999999896</v>
          </cell>
          <cell r="J1165">
            <v>49665.8</v>
          </cell>
        </row>
        <row r="1166">
          <cell r="G1166">
            <v>1166.299999999896</v>
          </cell>
          <cell r="H1166">
            <v>49665.8</v>
          </cell>
          <cell r="I1166">
            <v>1166.399999999896</v>
          </cell>
          <cell r="J1166">
            <v>49778.400000000001</v>
          </cell>
        </row>
        <row r="1167">
          <cell r="G1167">
            <v>1166.399999999896</v>
          </cell>
          <cell r="H1167">
            <v>49778.400000000001</v>
          </cell>
          <cell r="I1167">
            <v>1166.4999999998959</v>
          </cell>
          <cell r="J1167">
            <v>49891</v>
          </cell>
        </row>
        <row r="1168">
          <cell r="G1168">
            <v>1166.4999999998959</v>
          </cell>
          <cell r="H1168">
            <v>49891</v>
          </cell>
          <cell r="I1168">
            <v>1166.5999999998958</v>
          </cell>
          <cell r="J1168">
            <v>50003.6</v>
          </cell>
        </row>
        <row r="1169">
          <cell r="G1169">
            <v>1166.5999999998958</v>
          </cell>
          <cell r="H1169">
            <v>50003.6</v>
          </cell>
          <cell r="I1169">
            <v>1166.6999999998957</v>
          </cell>
          <cell r="J1169">
            <v>50116.2</v>
          </cell>
        </row>
        <row r="1170">
          <cell r="G1170">
            <v>1166.6999999998957</v>
          </cell>
          <cell r="H1170">
            <v>50116.2</v>
          </cell>
          <cell r="I1170">
            <v>1166.7999999998956</v>
          </cell>
          <cell r="J1170">
            <v>50228.800000000003</v>
          </cell>
        </row>
        <row r="1171">
          <cell r="G1171">
            <v>1166.7999999998956</v>
          </cell>
          <cell r="H1171">
            <v>50228.800000000003</v>
          </cell>
          <cell r="I1171">
            <v>1166.8999999998955</v>
          </cell>
          <cell r="J1171">
            <v>50341.4</v>
          </cell>
        </row>
        <row r="1172">
          <cell r="G1172">
            <v>1166.8999999998955</v>
          </cell>
          <cell r="H1172">
            <v>50341.4</v>
          </cell>
          <cell r="I1172">
            <v>1166.9999999998954</v>
          </cell>
          <cell r="J1172">
            <v>50454</v>
          </cell>
        </row>
        <row r="1173">
          <cell r="G1173">
            <v>1166.9999999998954</v>
          </cell>
          <cell r="H1173">
            <v>50454</v>
          </cell>
          <cell r="I1173">
            <v>1167.0999999998953</v>
          </cell>
          <cell r="J1173">
            <v>50567.8</v>
          </cell>
        </row>
        <row r="1174">
          <cell r="G1174">
            <v>1167.0999999998953</v>
          </cell>
          <cell r="H1174">
            <v>50567.8</v>
          </cell>
          <cell r="I1174">
            <v>1167.1999999998952</v>
          </cell>
          <cell r="J1174">
            <v>50681.599999999999</v>
          </cell>
        </row>
        <row r="1175">
          <cell r="G1175">
            <v>1167.1999999998952</v>
          </cell>
          <cell r="H1175">
            <v>50681.599999999999</v>
          </cell>
          <cell r="I1175">
            <v>1167.2999999998951</v>
          </cell>
          <cell r="J1175">
            <v>50795.4</v>
          </cell>
        </row>
        <row r="1176">
          <cell r="G1176">
            <v>1167.2999999998951</v>
          </cell>
          <cell r="H1176">
            <v>50795.4</v>
          </cell>
          <cell r="I1176">
            <v>1167.399999999895</v>
          </cell>
          <cell r="J1176">
            <v>50909.2</v>
          </cell>
        </row>
        <row r="1177">
          <cell r="G1177">
            <v>1167.399999999895</v>
          </cell>
          <cell r="H1177">
            <v>50909.2</v>
          </cell>
          <cell r="I1177">
            <v>1167.499999999895</v>
          </cell>
          <cell r="J1177">
            <v>51023</v>
          </cell>
        </row>
        <row r="1178">
          <cell r="G1178">
            <v>1167.499999999895</v>
          </cell>
          <cell r="H1178">
            <v>51023</v>
          </cell>
          <cell r="I1178">
            <v>1167.5999999998949</v>
          </cell>
          <cell r="J1178">
            <v>51136.800000000003</v>
          </cell>
        </row>
        <row r="1179">
          <cell r="G1179">
            <v>1167.5999999998949</v>
          </cell>
          <cell r="H1179">
            <v>51136.800000000003</v>
          </cell>
          <cell r="I1179">
            <v>1167.6999999998948</v>
          </cell>
          <cell r="J1179">
            <v>51250.6</v>
          </cell>
        </row>
        <row r="1180">
          <cell r="G1180">
            <v>1167.6999999998948</v>
          </cell>
          <cell r="H1180">
            <v>51250.6</v>
          </cell>
          <cell r="I1180">
            <v>1167.7999999998947</v>
          </cell>
          <cell r="J1180">
            <v>51364.4</v>
          </cell>
        </row>
        <row r="1181">
          <cell r="G1181">
            <v>1167.7999999998947</v>
          </cell>
          <cell r="H1181">
            <v>51364.4</v>
          </cell>
          <cell r="I1181">
            <v>1167.8999999998946</v>
          </cell>
          <cell r="J1181">
            <v>51478.2</v>
          </cell>
        </row>
        <row r="1182">
          <cell r="G1182">
            <v>1167.8999999998946</v>
          </cell>
          <cell r="H1182">
            <v>51478.2</v>
          </cell>
          <cell r="I1182">
            <v>1167.9999999998945</v>
          </cell>
          <cell r="J1182">
            <v>51592</v>
          </cell>
        </row>
        <row r="1183">
          <cell r="G1183">
            <v>1167.9999999998945</v>
          </cell>
          <cell r="H1183">
            <v>51592</v>
          </cell>
          <cell r="I1183">
            <v>1168.0999999998944</v>
          </cell>
          <cell r="J1183">
            <v>51706.9</v>
          </cell>
        </row>
        <row r="1184">
          <cell r="G1184">
            <v>1168.0999999998944</v>
          </cell>
          <cell r="H1184">
            <v>51706.9</v>
          </cell>
          <cell r="I1184">
            <v>1168.1999999998943</v>
          </cell>
          <cell r="J1184">
            <v>51821.8</v>
          </cell>
        </row>
        <row r="1185">
          <cell r="G1185">
            <v>1168.1999999998943</v>
          </cell>
          <cell r="H1185">
            <v>51821.8</v>
          </cell>
          <cell r="I1185">
            <v>1168.2999999998942</v>
          </cell>
          <cell r="J1185">
            <v>51936.7</v>
          </cell>
        </row>
        <row r="1186">
          <cell r="G1186">
            <v>1168.2999999998942</v>
          </cell>
          <cell r="H1186">
            <v>51936.7</v>
          </cell>
          <cell r="I1186">
            <v>1168.3999999998941</v>
          </cell>
          <cell r="J1186">
            <v>52051.6</v>
          </cell>
        </row>
        <row r="1187">
          <cell r="G1187">
            <v>1168.3999999998941</v>
          </cell>
          <cell r="H1187">
            <v>52051.6</v>
          </cell>
          <cell r="I1187">
            <v>1168.499999999894</v>
          </cell>
          <cell r="J1187">
            <v>52166.5</v>
          </cell>
        </row>
        <row r="1188">
          <cell r="G1188">
            <v>1168.499999999894</v>
          </cell>
          <cell r="H1188">
            <v>52166.5</v>
          </cell>
          <cell r="I1188">
            <v>1168.599999999894</v>
          </cell>
          <cell r="J1188">
            <v>52281.4</v>
          </cell>
        </row>
        <row r="1189">
          <cell r="G1189">
            <v>1168.599999999894</v>
          </cell>
          <cell r="H1189">
            <v>52281.4</v>
          </cell>
          <cell r="I1189">
            <v>1168.6999999998939</v>
          </cell>
          <cell r="J1189">
            <v>52396.3</v>
          </cell>
        </row>
        <row r="1190">
          <cell r="G1190">
            <v>1168.6999999998939</v>
          </cell>
          <cell r="H1190">
            <v>52396.3</v>
          </cell>
          <cell r="I1190">
            <v>1168.7999999998938</v>
          </cell>
          <cell r="J1190">
            <v>52511.199999999997</v>
          </cell>
        </row>
        <row r="1191">
          <cell r="G1191">
            <v>1168.7999999998938</v>
          </cell>
          <cell r="H1191">
            <v>52511.199999999997</v>
          </cell>
          <cell r="I1191">
            <v>1168.8999999998937</v>
          </cell>
          <cell r="J1191">
            <v>52626.1</v>
          </cell>
        </row>
        <row r="1192">
          <cell r="G1192">
            <v>1168.8999999998937</v>
          </cell>
          <cell r="H1192">
            <v>52626.1</v>
          </cell>
          <cell r="I1192">
            <v>1168.9999999998936</v>
          </cell>
          <cell r="J1192">
            <v>52741</v>
          </cell>
        </row>
        <row r="1193">
          <cell r="G1193">
            <v>1168.9999999998936</v>
          </cell>
          <cell r="H1193">
            <v>52741</v>
          </cell>
          <cell r="I1193">
            <v>1169.0999999998935</v>
          </cell>
          <cell r="J1193">
            <v>52857.1</v>
          </cell>
        </row>
        <row r="1194">
          <cell r="G1194">
            <v>1169.0999999998935</v>
          </cell>
          <cell r="H1194">
            <v>52857.1</v>
          </cell>
          <cell r="I1194">
            <v>1169.1999999998934</v>
          </cell>
          <cell r="J1194">
            <v>52973.2</v>
          </cell>
        </row>
        <row r="1195">
          <cell r="G1195">
            <v>1169.1999999998934</v>
          </cell>
          <cell r="H1195">
            <v>52973.2</v>
          </cell>
          <cell r="I1195">
            <v>1169.2999999998933</v>
          </cell>
          <cell r="J1195">
            <v>53089.3</v>
          </cell>
        </row>
        <row r="1196">
          <cell r="G1196">
            <v>1169.2999999998933</v>
          </cell>
          <cell r="H1196">
            <v>53089.3</v>
          </cell>
          <cell r="I1196">
            <v>1169.3999999998932</v>
          </cell>
          <cell r="J1196">
            <v>53205.4</v>
          </cell>
        </row>
        <row r="1197">
          <cell r="G1197">
            <v>1169.3999999998932</v>
          </cell>
          <cell r="H1197">
            <v>53205.4</v>
          </cell>
          <cell r="I1197">
            <v>1169.4999999998931</v>
          </cell>
          <cell r="J1197">
            <v>53321.5</v>
          </cell>
        </row>
        <row r="1198">
          <cell r="G1198">
            <v>1169.4999999998931</v>
          </cell>
          <cell r="H1198">
            <v>53321.5</v>
          </cell>
          <cell r="I1198">
            <v>1169.599999999893</v>
          </cell>
          <cell r="J1198">
            <v>53437.599999999999</v>
          </cell>
        </row>
        <row r="1199">
          <cell r="G1199">
            <v>1169.599999999893</v>
          </cell>
          <cell r="H1199">
            <v>53437.599999999999</v>
          </cell>
          <cell r="I1199">
            <v>1169.699999999893</v>
          </cell>
          <cell r="J1199">
            <v>53553.7</v>
          </cell>
        </row>
        <row r="1200">
          <cell r="G1200">
            <v>1169.699999999893</v>
          </cell>
          <cell r="H1200">
            <v>53553.7</v>
          </cell>
          <cell r="I1200">
            <v>1169.7999999998929</v>
          </cell>
          <cell r="J1200">
            <v>53669.8</v>
          </cell>
        </row>
        <row r="1201">
          <cell r="G1201">
            <v>1169.7999999998929</v>
          </cell>
          <cell r="H1201">
            <v>53669.8</v>
          </cell>
          <cell r="I1201">
            <v>1169.8999999998928</v>
          </cell>
          <cell r="J1201">
            <v>53785.9</v>
          </cell>
        </row>
        <row r="1202">
          <cell r="G1202">
            <v>1169.8999999998928</v>
          </cell>
          <cell r="H1202">
            <v>53785.9</v>
          </cell>
          <cell r="I1202">
            <v>1169.9999999998927</v>
          </cell>
          <cell r="J1202">
            <v>53902</v>
          </cell>
        </row>
        <row r="1203">
          <cell r="G1203">
            <v>1169.9999999998927</v>
          </cell>
          <cell r="H1203">
            <v>53902</v>
          </cell>
          <cell r="I1203">
            <v>1170.0999999998926</v>
          </cell>
          <cell r="J1203">
            <v>54019.3</v>
          </cell>
        </row>
        <row r="1204">
          <cell r="G1204">
            <v>1170.0999999998926</v>
          </cell>
          <cell r="H1204">
            <v>54019.3</v>
          </cell>
          <cell r="I1204">
            <v>1170.1999999998925</v>
          </cell>
          <cell r="J1204">
            <v>54136.6</v>
          </cell>
        </row>
        <row r="1205">
          <cell r="G1205">
            <v>1170.1999999998925</v>
          </cell>
          <cell r="H1205">
            <v>54136.6</v>
          </cell>
          <cell r="I1205">
            <v>1170.2999999998924</v>
          </cell>
          <cell r="J1205">
            <v>54253.9</v>
          </cell>
        </row>
        <row r="1206">
          <cell r="G1206">
            <v>1170.2999999998924</v>
          </cell>
          <cell r="H1206">
            <v>54253.9</v>
          </cell>
          <cell r="I1206">
            <v>1170.3999999998923</v>
          </cell>
          <cell r="J1206">
            <v>54371.199999999997</v>
          </cell>
        </row>
        <row r="1207">
          <cell r="G1207">
            <v>1170.3999999998923</v>
          </cell>
          <cell r="H1207">
            <v>54371.199999999997</v>
          </cell>
          <cell r="I1207">
            <v>1170.4999999998922</v>
          </cell>
          <cell r="J1207">
            <v>54488.5</v>
          </cell>
        </row>
        <row r="1208">
          <cell r="G1208">
            <v>1170.4999999998922</v>
          </cell>
          <cell r="H1208">
            <v>54488.5</v>
          </cell>
          <cell r="I1208">
            <v>1170.5999999998921</v>
          </cell>
          <cell r="J1208">
            <v>54605.8</v>
          </cell>
        </row>
        <row r="1209">
          <cell r="G1209">
            <v>1170.5999999998921</v>
          </cell>
          <cell r="H1209">
            <v>54605.8</v>
          </cell>
          <cell r="I1209">
            <v>1170.699999999892</v>
          </cell>
          <cell r="J1209">
            <v>54723.1</v>
          </cell>
        </row>
        <row r="1210">
          <cell r="G1210">
            <v>1170.699999999892</v>
          </cell>
          <cell r="H1210">
            <v>54723.1</v>
          </cell>
          <cell r="I1210">
            <v>1170.799999999892</v>
          </cell>
          <cell r="J1210">
            <v>54840.4</v>
          </cell>
        </row>
        <row r="1211">
          <cell r="G1211">
            <v>1170.799999999892</v>
          </cell>
          <cell r="H1211">
            <v>54840.4</v>
          </cell>
          <cell r="I1211">
            <v>1170.8999999998919</v>
          </cell>
          <cell r="J1211">
            <v>54957.7</v>
          </cell>
        </row>
        <row r="1212">
          <cell r="G1212">
            <v>1170.8999999998919</v>
          </cell>
          <cell r="H1212">
            <v>54957.7</v>
          </cell>
          <cell r="I1212">
            <v>1170.9999999998918</v>
          </cell>
          <cell r="J1212">
            <v>55075</v>
          </cell>
        </row>
        <row r="1213">
          <cell r="G1213">
            <v>1170.9999999998918</v>
          </cell>
          <cell r="H1213">
            <v>55075</v>
          </cell>
          <cell r="I1213">
            <v>1171.0999999998917</v>
          </cell>
          <cell r="J1213">
            <v>55193.4</v>
          </cell>
        </row>
        <row r="1214">
          <cell r="G1214">
            <v>1171.0999999998917</v>
          </cell>
          <cell r="H1214">
            <v>55193.4</v>
          </cell>
          <cell r="I1214">
            <v>1171.1999999998916</v>
          </cell>
          <cell r="J1214">
            <v>55311.8</v>
          </cell>
        </row>
        <row r="1215">
          <cell r="G1215">
            <v>1171.1999999998916</v>
          </cell>
          <cell r="H1215">
            <v>55311.8</v>
          </cell>
          <cell r="I1215">
            <v>1171.2999999998915</v>
          </cell>
          <cell r="J1215">
            <v>55430.2</v>
          </cell>
        </row>
        <row r="1216">
          <cell r="G1216">
            <v>1171.2999999998915</v>
          </cell>
          <cell r="H1216">
            <v>55430.2</v>
          </cell>
          <cell r="I1216">
            <v>1171.3999999998914</v>
          </cell>
          <cell r="J1216">
            <v>55548.6</v>
          </cell>
        </row>
        <row r="1217">
          <cell r="G1217">
            <v>1171.3999999998914</v>
          </cell>
          <cell r="H1217">
            <v>55548.6</v>
          </cell>
          <cell r="I1217">
            <v>1171.4999999998913</v>
          </cell>
          <cell r="J1217">
            <v>55667</v>
          </cell>
        </row>
        <row r="1218">
          <cell r="G1218">
            <v>1171.4999999998913</v>
          </cell>
          <cell r="H1218">
            <v>55667</v>
          </cell>
          <cell r="I1218">
            <v>1171.5999999998912</v>
          </cell>
          <cell r="J1218">
            <v>55785.4</v>
          </cell>
        </row>
        <row r="1219">
          <cell r="G1219">
            <v>1171.5999999998912</v>
          </cell>
          <cell r="H1219">
            <v>55785.4</v>
          </cell>
          <cell r="I1219">
            <v>1171.6999999998911</v>
          </cell>
          <cell r="J1219">
            <v>55903.8</v>
          </cell>
        </row>
        <row r="1220">
          <cell r="G1220">
            <v>1171.6999999998911</v>
          </cell>
          <cell r="H1220">
            <v>55903.8</v>
          </cell>
          <cell r="I1220">
            <v>1171.799999999891</v>
          </cell>
          <cell r="J1220">
            <v>56022.2</v>
          </cell>
        </row>
        <row r="1221">
          <cell r="G1221">
            <v>1171.799999999891</v>
          </cell>
          <cell r="H1221">
            <v>56022.2</v>
          </cell>
          <cell r="I1221">
            <v>1171.899999999891</v>
          </cell>
          <cell r="J1221">
            <v>56140.6</v>
          </cell>
        </row>
        <row r="1222">
          <cell r="G1222">
            <v>1171.899999999891</v>
          </cell>
          <cell r="H1222">
            <v>56140.6</v>
          </cell>
          <cell r="I1222">
            <v>1171.9999999998909</v>
          </cell>
          <cell r="J1222">
            <v>56259</v>
          </cell>
        </row>
        <row r="1223">
          <cell r="G1223">
            <v>1171.9999999998909</v>
          </cell>
          <cell r="H1223">
            <v>56259</v>
          </cell>
          <cell r="I1223">
            <v>1172.0999999998908</v>
          </cell>
          <cell r="J1223">
            <v>56378.5</v>
          </cell>
        </row>
        <row r="1224">
          <cell r="G1224">
            <v>1172.0999999998908</v>
          </cell>
          <cell r="H1224">
            <v>56378.5</v>
          </cell>
          <cell r="I1224">
            <v>1172.1999999998907</v>
          </cell>
          <cell r="J1224">
            <v>56498</v>
          </cell>
        </row>
        <row r="1225">
          <cell r="G1225">
            <v>1172.1999999998907</v>
          </cell>
          <cell r="H1225">
            <v>56498</v>
          </cell>
          <cell r="I1225">
            <v>1172.2999999998906</v>
          </cell>
          <cell r="J1225">
            <v>56617.5</v>
          </cell>
        </row>
        <row r="1226">
          <cell r="G1226">
            <v>1172.2999999998906</v>
          </cell>
          <cell r="H1226">
            <v>56617.5</v>
          </cell>
          <cell r="I1226">
            <v>1172.3999999998905</v>
          </cell>
          <cell r="J1226">
            <v>56737</v>
          </cell>
        </row>
        <row r="1227">
          <cell r="G1227">
            <v>1172.3999999998905</v>
          </cell>
          <cell r="H1227">
            <v>56737</v>
          </cell>
          <cell r="I1227">
            <v>1172.4999999998904</v>
          </cell>
          <cell r="J1227">
            <v>56856.5</v>
          </cell>
        </row>
        <row r="1228">
          <cell r="G1228">
            <v>1172.4999999998904</v>
          </cell>
          <cell r="H1228">
            <v>56856.5</v>
          </cell>
          <cell r="I1228">
            <v>1172.5999999998903</v>
          </cell>
          <cell r="J1228">
            <v>56976</v>
          </cell>
        </row>
        <row r="1229">
          <cell r="G1229">
            <v>1172.5999999998903</v>
          </cell>
          <cell r="H1229">
            <v>56976</v>
          </cell>
          <cell r="I1229">
            <v>1172.6999999998902</v>
          </cell>
          <cell r="J1229">
            <v>57095.5</v>
          </cell>
        </row>
        <row r="1230">
          <cell r="G1230">
            <v>1172.6999999998902</v>
          </cell>
          <cell r="H1230">
            <v>57095.5</v>
          </cell>
          <cell r="I1230">
            <v>1172.7999999998901</v>
          </cell>
          <cell r="J1230">
            <v>57215</v>
          </cell>
        </row>
        <row r="1231">
          <cell r="G1231">
            <v>1172.7999999998901</v>
          </cell>
          <cell r="H1231">
            <v>57215</v>
          </cell>
          <cell r="I1231">
            <v>1172.89999999989</v>
          </cell>
          <cell r="J1231">
            <v>57334.5</v>
          </cell>
        </row>
        <row r="1232">
          <cell r="G1232">
            <v>1172.89999999989</v>
          </cell>
          <cell r="H1232">
            <v>57334.5</v>
          </cell>
          <cell r="I1232">
            <v>1172.99999999989</v>
          </cell>
          <cell r="J1232">
            <v>57454</v>
          </cell>
        </row>
        <row r="1233">
          <cell r="G1233">
            <v>1172.99999999989</v>
          </cell>
          <cell r="H1233">
            <v>57454</v>
          </cell>
          <cell r="I1233">
            <v>1173.0999999998899</v>
          </cell>
          <cell r="J1233">
            <v>57574.8</v>
          </cell>
        </row>
        <row r="1234">
          <cell r="G1234">
            <v>1173.0999999998899</v>
          </cell>
          <cell r="H1234">
            <v>57574.8</v>
          </cell>
          <cell r="I1234">
            <v>1173.1999999998898</v>
          </cell>
          <cell r="J1234">
            <v>57695.6</v>
          </cell>
        </row>
        <row r="1235">
          <cell r="G1235">
            <v>1173.1999999998898</v>
          </cell>
          <cell r="H1235">
            <v>57695.6</v>
          </cell>
          <cell r="I1235">
            <v>1173.2999999998897</v>
          </cell>
          <cell r="J1235">
            <v>57816.4</v>
          </cell>
        </row>
        <row r="1236">
          <cell r="G1236">
            <v>1173.2999999998897</v>
          </cell>
          <cell r="H1236">
            <v>57816.4</v>
          </cell>
          <cell r="I1236">
            <v>1173.3999999998896</v>
          </cell>
          <cell r="J1236">
            <v>57937.2</v>
          </cell>
        </row>
        <row r="1237">
          <cell r="G1237">
            <v>1173.3999999998896</v>
          </cell>
          <cell r="H1237">
            <v>57937.2</v>
          </cell>
          <cell r="I1237">
            <v>1173.4999999998895</v>
          </cell>
          <cell r="J1237">
            <v>58058</v>
          </cell>
        </row>
        <row r="1238">
          <cell r="G1238">
            <v>1173.4999999998895</v>
          </cell>
          <cell r="H1238">
            <v>58058</v>
          </cell>
          <cell r="I1238">
            <v>1173.5999999998894</v>
          </cell>
          <cell r="J1238">
            <v>58178.8</v>
          </cell>
        </row>
        <row r="1239">
          <cell r="G1239">
            <v>1173.5999999998894</v>
          </cell>
          <cell r="H1239">
            <v>58178.8</v>
          </cell>
          <cell r="I1239">
            <v>1173.6999999998893</v>
          </cell>
          <cell r="J1239">
            <v>58299.6</v>
          </cell>
        </row>
        <row r="1240">
          <cell r="G1240">
            <v>1173.6999999998893</v>
          </cell>
          <cell r="H1240">
            <v>58299.6</v>
          </cell>
          <cell r="I1240">
            <v>1173.7999999998892</v>
          </cell>
          <cell r="J1240">
            <v>58420.4</v>
          </cell>
        </row>
        <row r="1241">
          <cell r="G1241">
            <v>1173.7999999998892</v>
          </cell>
          <cell r="H1241">
            <v>58420.4</v>
          </cell>
          <cell r="I1241">
            <v>1173.8999999998891</v>
          </cell>
          <cell r="J1241">
            <v>58541.2</v>
          </cell>
        </row>
        <row r="1242">
          <cell r="G1242">
            <v>1173.8999999998891</v>
          </cell>
          <cell r="H1242">
            <v>58541.2</v>
          </cell>
          <cell r="I1242">
            <v>1173.999999999889</v>
          </cell>
          <cell r="J1242">
            <v>58662</v>
          </cell>
        </row>
        <row r="1243">
          <cell r="G1243">
            <v>1173.999999999889</v>
          </cell>
          <cell r="H1243">
            <v>58662</v>
          </cell>
          <cell r="I1243">
            <v>1174.099999999889</v>
          </cell>
          <cell r="J1243">
            <v>58783.9</v>
          </cell>
        </row>
        <row r="1244">
          <cell r="G1244">
            <v>1174.099999999889</v>
          </cell>
          <cell r="H1244">
            <v>58783.9</v>
          </cell>
          <cell r="I1244">
            <v>1174.1999999998889</v>
          </cell>
          <cell r="J1244">
            <v>58905.8</v>
          </cell>
        </row>
        <row r="1245">
          <cell r="G1245">
            <v>1174.1999999998889</v>
          </cell>
          <cell r="H1245">
            <v>58905.8</v>
          </cell>
          <cell r="I1245">
            <v>1174.2999999998888</v>
          </cell>
          <cell r="J1245">
            <v>59027.7</v>
          </cell>
        </row>
        <row r="1246">
          <cell r="G1246">
            <v>1174.2999999998888</v>
          </cell>
          <cell r="H1246">
            <v>59027.7</v>
          </cell>
          <cell r="I1246">
            <v>1174.3999999998887</v>
          </cell>
          <cell r="J1246">
            <v>59149.599999999999</v>
          </cell>
        </row>
        <row r="1247">
          <cell r="G1247">
            <v>1174.3999999998887</v>
          </cell>
          <cell r="H1247">
            <v>59149.599999999999</v>
          </cell>
          <cell r="I1247">
            <v>1174.4999999998886</v>
          </cell>
          <cell r="J1247">
            <v>59271.5</v>
          </cell>
        </row>
        <row r="1248">
          <cell r="G1248">
            <v>1174.4999999998886</v>
          </cell>
          <cell r="H1248">
            <v>59271.5</v>
          </cell>
          <cell r="I1248">
            <v>1174.5999999998885</v>
          </cell>
          <cell r="J1248">
            <v>59393.4</v>
          </cell>
        </row>
        <row r="1249">
          <cell r="G1249">
            <v>1174.5999999998885</v>
          </cell>
          <cell r="H1249">
            <v>59393.4</v>
          </cell>
          <cell r="I1249">
            <v>1174.6999999998884</v>
          </cell>
          <cell r="J1249">
            <v>59515.3</v>
          </cell>
        </row>
        <row r="1250">
          <cell r="G1250">
            <v>1174.6999999998884</v>
          </cell>
          <cell r="H1250">
            <v>59515.3</v>
          </cell>
          <cell r="I1250">
            <v>1174.7999999998883</v>
          </cell>
          <cell r="J1250">
            <v>59637.2</v>
          </cell>
        </row>
        <row r="1251">
          <cell r="G1251">
            <v>1174.7999999998883</v>
          </cell>
          <cell r="H1251">
            <v>59637.2</v>
          </cell>
          <cell r="I1251">
            <v>1174.8999999998882</v>
          </cell>
          <cell r="J1251">
            <v>59759.1</v>
          </cell>
        </row>
        <row r="1252">
          <cell r="G1252">
            <v>1174.8999999998882</v>
          </cell>
          <cell r="H1252">
            <v>59759.1</v>
          </cell>
          <cell r="I1252">
            <v>1174.9999999998881</v>
          </cell>
          <cell r="J1252">
            <v>59881</v>
          </cell>
        </row>
        <row r="1253">
          <cell r="G1253">
            <v>1174.9999999998881</v>
          </cell>
          <cell r="H1253">
            <v>59881</v>
          </cell>
          <cell r="I1253">
            <v>1175.099999999888</v>
          </cell>
          <cell r="J1253">
            <v>60004.2</v>
          </cell>
        </row>
        <row r="1254">
          <cell r="G1254">
            <v>1175.099999999888</v>
          </cell>
          <cell r="H1254">
            <v>60004.2</v>
          </cell>
          <cell r="I1254">
            <v>1175.199999999888</v>
          </cell>
          <cell r="J1254">
            <v>60127.4</v>
          </cell>
        </row>
        <row r="1255">
          <cell r="G1255">
            <v>1175.199999999888</v>
          </cell>
          <cell r="H1255">
            <v>60127.4</v>
          </cell>
          <cell r="I1255">
            <v>1175.2999999998879</v>
          </cell>
          <cell r="J1255">
            <v>60250.6</v>
          </cell>
        </row>
        <row r="1256">
          <cell r="G1256">
            <v>1175.2999999998879</v>
          </cell>
          <cell r="H1256">
            <v>60250.6</v>
          </cell>
          <cell r="I1256">
            <v>1175.3999999998878</v>
          </cell>
          <cell r="J1256">
            <v>60373.8</v>
          </cell>
        </row>
        <row r="1257">
          <cell r="G1257">
            <v>1175.3999999998878</v>
          </cell>
          <cell r="H1257">
            <v>60373.8</v>
          </cell>
          <cell r="I1257">
            <v>1175.4999999998877</v>
          </cell>
          <cell r="J1257">
            <v>60497</v>
          </cell>
        </row>
        <row r="1258">
          <cell r="G1258">
            <v>1175.4999999998877</v>
          </cell>
          <cell r="H1258">
            <v>60497</v>
          </cell>
          <cell r="I1258">
            <v>1175.5999999998876</v>
          </cell>
          <cell r="J1258">
            <v>60620.2</v>
          </cell>
        </row>
        <row r="1259">
          <cell r="G1259">
            <v>1175.5999999998876</v>
          </cell>
          <cell r="H1259">
            <v>60620.2</v>
          </cell>
          <cell r="I1259">
            <v>1175.6999999998875</v>
          </cell>
          <cell r="J1259">
            <v>60743.4</v>
          </cell>
        </row>
        <row r="1260">
          <cell r="G1260">
            <v>1175.6999999998875</v>
          </cell>
          <cell r="H1260">
            <v>60743.4</v>
          </cell>
          <cell r="I1260">
            <v>1175.7999999998874</v>
          </cell>
          <cell r="J1260">
            <v>60866.6</v>
          </cell>
        </row>
        <row r="1261">
          <cell r="G1261">
            <v>1175.7999999998874</v>
          </cell>
          <cell r="H1261">
            <v>60866.6</v>
          </cell>
          <cell r="I1261">
            <v>1175.8999999998873</v>
          </cell>
          <cell r="J1261">
            <v>60989.8</v>
          </cell>
        </row>
        <row r="1262">
          <cell r="G1262">
            <v>1175.8999999998873</v>
          </cell>
          <cell r="H1262">
            <v>60989.8</v>
          </cell>
          <cell r="I1262">
            <v>1175.9999999998872</v>
          </cell>
          <cell r="J1262">
            <v>61113</v>
          </cell>
        </row>
        <row r="1263">
          <cell r="G1263">
            <v>1175.9999999998872</v>
          </cell>
          <cell r="H1263">
            <v>61113</v>
          </cell>
          <cell r="I1263">
            <v>1176.0999999998871</v>
          </cell>
          <cell r="J1263">
            <v>61237.599999999999</v>
          </cell>
        </row>
        <row r="1264">
          <cell r="G1264">
            <v>1176.0999999998871</v>
          </cell>
          <cell r="H1264">
            <v>61237.599999999999</v>
          </cell>
          <cell r="I1264">
            <v>1176.199999999887</v>
          </cell>
          <cell r="J1264">
            <v>61362.2</v>
          </cell>
        </row>
        <row r="1265">
          <cell r="G1265">
            <v>1176.199999999887</v>
          </cell>
          <cell r="H1265">
            <v>61362.2</v>
          </cell>
          <cell r="I1265">
            <v>1176.2999999998869</v>
          </cell>
          <cell r="J1265">
            <v>61486.8</v>
          </cell>
        </row>
        <row r="1266">
          <cell r="G1266">
            <v>1176.2999999998869</v>
          </cell>
          <cell r="H1266">
            <v>61486.8</v>
          </cell>
          <cell r="I1266">
            <v>1176.3999999998869</v>
          </cell>
          <cell r="J1266">
            <v>61611.4</v>
          </cell>
        </row>
        <row r="1267">
          <cell r="G1267">
            <v>1176.3999999998869</v>
          </cell>
          <cell r="H1267">
            <v>61611.4</v>
          </cell>
          <cell r="I1267">
            <v>1176.4999999998868</v>
          </cell>
          <cell r="J1267">
            <v>61736</v>
          </cell>
        </row>
        <row r="1268">
          <cell r="G1268">
            <v>1176.4999999998868</v>
          </cell>
          <cell r="H1268">
            <v>61736</v>
          </cell>
          <cell r="I1268">
            <v>1176.5999999998867</v>
          </cell>
          <cell r="J1268">
            <v>61860.6</v>
          </cell>
        </row>
        <row r="1269">
          <cell r="G1269">
            <v>1176.5999999998867</v>
          </cell>
          <cell r="H1269">
            <v>61860.6</v>
          </cell>
          <cell r="I1269">
            <v>1176.6999999998866</v>
          </cell>
          <cell r="J1269">
            <v>61985.2</v>
          </cell>
        </row>
        <row r="1270">
          <cell r="G1270">
            <v>1176.6999999998866</v>
          </cell>
          <cell r="H1270">
            <v>61985.2</v>
          </cell>
          <cell r="I1270">
            <v>1176.7999999998865</v>
          </cell>
          <cell r="J1270">
            <v>62109.8</v>
          </cell>
        </row>
        <row r="1271">
          <cell r="G1271">
            <v>1176.7999999998865</v>
          </cell>
          <cell r="H1271">
            <v>62109.8</v>
          </cell>
          <cell r="I1271">
            <v>1176.8999999998864</v>
          </cell>
          <cell r="J1271">
            <v>62234.400000000001</v>
          </cell>
        </row>
        <row r="1272">
          <cell r="G1272">
            <v>1176.8999999998864</v>
          </cell>
          <cell r="H1272">
            <v>62234.400000000001</v>
          </cell>
          <cell r="I1272">
            <v>1176.9999999998863</v>
          </cell>
          <cell r="J1272">
            <v>62359</v>
          </cell>
        </row>
        <row r="1273">
          <cell r="G1273">
            <v>1176.9999999998863</v>
          </cell>
          <cell r="H1273">
            <v>62359</v>
          </cell>
          <cell r="I1273">
            <v>1177.0999999998862</v>
          </cell>
          <cell r="J1273">
            <v>62485.1</v>
          </cell>
        </row>
        <row r="1274">
          <cell r="G1274">
            <v>1177.0999999998862</v>
          </cell>
          <cell r="H1274">
            <v>62485.1</v>
          </cell>
          <cell r="I1274">
            <v>1177.1999999998861</v>
          </cell>
          <cell r="J1274">
            <v>62611.199999999997</v>
          </cell>
        </row>
        <row r="1275">
          <cell r="G1275">
            <v>1177.1999999998861</v>
          </cell>
          <cell r="H1275">
            <v>62611.199999999997</v>
          </cell>
          <cell r="I1275">
            <v>1177.299999999886</v>
          </cell>
          <cell r="J1275">
            <v>62737.3</v>
          </cell>
        </row>
        <row r="1276">
          <cell r="G1276">
            <v>1177.299999999886</v>
          </cell>
          <cell r="H1276">
            <v>62737.3</v>
          </cell>
          <cell r="I1276">
            <v>1177.3999999998859</v>
          </cell>
          <cell r="J1276">
            <v>62863.4</v>
          </cell>
        </row>
        <row r="1277">
          <cell r="G1277">
            <v>1177.3999999998859</v>
          </cell>
          <cell r="H1277">
            <v>62863.4</v>
          </cell>
          <cell r="I1277">
            <v>1177.4999999998859</v>
          </cell>
          <cell r="J1277">
            <v>62989.5</v>
          </cell>
        </row>
        <row r="1278">
          <cell r="G1278">
            <v>1177.4999999998859</v>
          </cell>
          <cell r="H1278">
            <v>62989.5</v>
          </cell>
          <cell r="I1278">
            <v>1177.5999999998858</v>
          </cell>
          <cell r="J1278">
            <v>63115.6</v>
          </cell>
        </row>
        <row r="1279">
          <cell r="G1279">
            <v>1177.5999999998858</v>
          </cell>
          <cell r="H1279">
            <v>63115.6</v>
          </cell>
          <cell r="I1279">
            <v>1177.6999999998857</v>
          </cell>
          <cell r="J1279">
            <v>63241.7</v>
          </cell>
        </row>
        <row r="1280">
          <cell r="G1280">
            <v>1177.6999999998857</v>
          </cell>
          <cell r="H1280">
            <v>63241.7</v>
          </cell>
          <cell r="I1280">
            <v>1177.7999999998856</v>
          </cell>
          <cell r="J1280">
            <v>63367.8</v>
          </cell>
        </row>
        <row r="1281">
          <cell r="G1281">
            <v>1177.7999999998856</v>
          </cell>
          <cell r="H1281">
            <v>63367.8</v>
          </cell>
          <cell r="I1281">
            <v>1177.8999999998855</v>
          </cell>
          <cell r="J1281">
            <v>63493.9</v>
          </cell>
        </row>
        <row r="1282">
          <cell r="G1282">
            <v>1177.8999999998855</v>
          </cell>
          <cell r="H1282">
            <v>63493.9</v>
          </cell>
          <cell r="I1282">
            <v>1177.9999999998854</v>
          </cell>
          <cell r="J1282">
            <v>63620</v>
          </cell>
        </row>
        <row r="1283">
          <cell r="G1283">
            <v>1177.9999999998854</v>
          </cell>
          <cell r="H1283">
            <v>63620</v>
          </cell>
          <cell r="I1283">
            <v>1178.0999999998853</v>
          </cell>
          <cell r="J1283">
            <v>63747.6</v>
          </cell>
        </row>
        <row r="1284">
          <cell r="G1284">
            <v>1178.0999999998853</v>
          </cell>
          <cell r="H1284">
            <v>63747.6</v>
          </cell>
          <cell r="I1284">
            <v>1178.1999999998852</v>
          </cell>
          <cell r="J1284">
            <v>63875.199999999997</v>
          </cell>
        </row>
        <row r="1285">
          <cell r="G1285">
            <v>1178.1999999998852</v>
          </cell>
          <cell r="H1285">
            <v>63875.199999999997</v>
          </cell>
          <cell r="I1285">
            <v>1178.2999999998851</v>
          </cell>
          <cell r="J1285">
            <v>64002.8</v>
          </cell>
        </row>
        <row r="1286">
          <cell r="G1286">
            <v>1178.2999999998851</v>
          </cell>
          <cell r="H1286">
            <v>64002.8</v>
          </cell>
          <cell r="I1286">
            <v>1178.399999999885</v>
          </cell>
          <cell r="J1286">
            <v>64130.400000000001</v>
          </cell>
        </row>
        <row r="1287">
          <cell r="G1287">
            <v>1178.399999999885</v>
          </cell>
          <cell r="H1287">
            <v>64130.400000000001</v>
          </cell>
          <cell r="I1287">
            <v>1178.4999999998849</v>
          </cell>
          <cell r="J1287">
            <v>64258</v>
          </cell>
        </row>
        <row r="1288">
          <cell r="G1288">
            <v>1178.4999999998849</v>
          </cell>
          <cell r="H1288">
            <v>64258</v>
          </cell>
          <cell r="I1288">
            <v>1178.5999999998849</v>
          </cell>
          <cell r="J1288">
            <v>64385.599999999999</v>
          </cell>
        </row>
        <row r="1289">
          <cell r="G1289">
            <v>1178.5999999998849</v>
          </cell>
          <cell r="H1289">
            <v>64385.599999999999</v>
          </cell>
          <cell r="I1289">
            <v>1178.6999999998848</v>
          </cell>
          <cell r="J1289">
            <v>64513.2</v>
          </cell>
        </row>
        <row r="1290">
          <cell r="G1290">
            <v>1178.6999999998848</v>
          </cell>
          <cell r="H1290">
            <v>64513.2</v>
          </cell>
          <cell r="I1290">
            <v>1178.7999999998847</v>
          </cell>
          <cell r="J1290">
            <v>64640.800000000003</v>
          </cell>
        </row>
        <row r="1291">
          <cell r="G1291">
            <v>1178.7999999998847</v>
          </cell>
          <cell r="H1291">
            <v>64640.800000000003</v>
          </cell>
          <cell r="I1291">
            <v>1178.8999999998846</v>
          </cell>
          <cell r="J1291">
            <v>64768.4</v>
          </cell>
        </row>
        <row r="1292">
          <cell r="G1292">
            <v>1178.8999999998846</v>
          </cell>
          <cell r="H1292">
            <v>64768.4</v>
          </cell>
          <cell r="I1292">
            <v>1178.9999999998845</v>
          </cell>
          <cell r="J1292">
            <v>64896</v>
          </cell>
        </row>
        <row r="1293">
          <cell r="G1293">
            <v>1178.9999999998845</v>
          </cell>
          <cell r="H1293">
            <v>64896</v>
          </cell>
          <cell r="I1293">
            <v>1179.0999999998844</v>
          </cell>
          <cell r="J1293">
            <v>65025</v>
          </cell>
        </row>
        <row r="1294">
          <cell r="G1294">
            <v>1179.0999999998844</v>
          </cell>
          <cell r="H1294">
            <v>65025</v>
          </cell>
          <cell r="I1294">
            <v>1179.1999999998843</v>
          </cell>
          <cell r="J1294">
            <v>65154</v>
          </cell>
        </row>
        <row r="1295">
          <cell r="G1295">
            <v>1179.1999999998843</v>
          </cell>
          <cell r="H1295">
            <v>65154</v>
          </cell>
          <cell r="I1295">
            <v>1179.2999999998842</v>
          </cell>
          <cell r="J1295">
            <v>65283</v>
          </cell>
        </row>
        <row r="1296">
          <cell r="G1296">
            <v>1179.2999999998842</v>
          </cell>
          <cell r="H1296">
            <v>65283</v>
          </cell>
          <cell r="I1296">
            <v>1179.3999999998841</v>
          </cell>
          <cell r="J1296">
            <v>65412</v>
          </cell>
        </row>
        <row r="1297">
          <cell r="G1297">
            <v>1179.3999999998841</v>
          </cell>
          <cell r="H1297">
            <v>65412</v>
          </cell>
          <cell r="I1297">
            <v>1179.499999999884</v>
          </cell>
          <cell r="J1297">
            <v>65541</v>
          </cell>
        </row>
        <row r="1298">
          <cell r="G1298">
            <v>1179.499999999884</v>
          </cell>
          <cell r="H1298">
            <v>65541</v>
          </cell>
          <cell r="I1298">
            <v>1179.5999999998839</v>
          </cell>
          <cell r="J1298">
            <v>65670</v>
          </cell>
        </row>
        <row r="1299">
          <cell r="G1299">
            <v>1179.5999999998839</v>
          </cell>
          <cell r="H1299">
            <v>65670</v>
          </cell>
          <cell r="I1299">
            <v>1179.6999999998839</v>
          </cell>
          <cell r="J1299">
            <v>65799</v>
          </cell>
        </row>
        <row r="1300">
          <cell r="G1300">
            <v>1179.6999999998839</v>
          </cell>
          <cell r="H1300">
            <v>65799</v>
          </cell>
          <cell r="I1300">
            <v>1179.7999999998838</v>
          </cell>
          <cell r="J1300">
            <v>65928</v>
          </cell>
        </row>
        <row r="1301">
          <cell r="G1301">
            <v>1179.7999999998838</v>
          </cell>
          <cell r="H1301">
            <v>65928</v>
          </cell>
          <cell r="I1301">
            <v>1179.8999999998837</v>
          </cell>
          <cell r="J1301">
            <v>66057</v>
          </cell>
        </row>
        <row r="1302">
          <cell r="G1302">
            <v>1179.8999999998837</v>
          </cell>
          <cell r="H1302">
            <v>66057</v>
          </cell>
          <cell r="I1302">
            <v>1179.9999999998836</v>
          </cell>
          <cell r="J1302">
            <v>66186</v>
          </cell>
        </row>
        <row r="1303">
          <cell r="G1303">
            <v>1179.9999999998836</v>
          </cell>
          <cell r="H1303">
            <v>66186</v>
          </cell>
          <cell r="I1303">
            <v>1180.0999999998835</v>
          </cell>
          <cell r="J1303">
            <v>66316.5</v>
          </cell>
        </row>
        <row r="1304">
          <cell r="G1304">
            <v>1180.0999999998835</v>
          </cell>
          <cell r="H1304">
            <v>66316.5</v>
          </cell>
          <cell r="I1304">
            <v>1180.1999999998834</v>
          </cell>
          <cell r="J1304">
            <v>66447</v>
          </cell>
        </row>
        <row r="1305">
          <cell r="G1305">
            <v>1180.1999999998834</v>
          </cell>
          <cell r="H1305">
            <v>66447</v>
          </cell>
          <cell r="I1305">
            <v>1180.2999999998833</v>
          </cell>
          <cell r="J1305">
            <v>66577.5</v>
          </cell>
        </row>
        <row r="1306">
          <cell r="G1306">
            <v>1180.2999999998833</v>
          </cell>
          <cell r="H1306">
            <v>66577.5</v>
          </cell>
          <cell r="I1306">
            <v>1180.3999999998832</v>
          </cell>
          <cell r="J1306">
            <v>66708</v>
          </cell>
        </row>
        <row r="1307">
          <cell r="G1307">
            <v>1180.3999999998832</v>
          </cell>
          <cell r="H1307">
            <v>66708</v>
          </cell>
          <cell r="I1307">
            <v>1180.4999999998831</v>
          </cell>
          <cell r="J1307">
            <v>66838.5</v>
          </cell>
        </row>
        <row r="1308">
          <cell r="G1308">
            <v>1180.4999999998831</v>
          </cell>
          <cell r="H1308">
            <v>66838.5</v>
          </cell>
          <cell r="I1308">
            <v>1180.599999999883</v>
          </cell>
          <cell r="J1308">
            <v>66969</v>
          </cell>
        </row>
        <row r="1309">
          <cell r="G1309">
            <v>1180.599999999883</v>
          </cell>
          <cell r="H1309">
            <v>66969</v>
          </cell>
          <cell r="I1309">
            <v>1180.6999999998829</v>
          </cell>
          <cell r="J1309">
            <v>67099.5</v>
          </cell>
        </row>
        <row r="1310">
          <cell r="G1310">
            <v>1180.6999999998829</v>
          </cell>
          <cell r="H1310">
            <v>67099.5</v>
          </cell>
          <cell r="I1310">
            <v>1180.7999999998829</v>
          </cell>
          <cell r="J1310">
            <v>67230</v>
          </cell>
        </row>
        <row r="1311">
          <cell r="G1311">
            <v>1180.7999999998829</v>
          </cell>
          <cell r="H1311">
            <v>67230</v>
          </cell>
          <cell r="I1311">
            <v>1180.8999999998828</v>
          </cell>
          <cell r="J1311">
            <v>67360.5</v>
          </cell>
        </row>
        <row r="1312">
          <cell r="G1312">
            <v>1180.8999999998828</v>
          </cell>
          <cell r="H1312">
            <v>67360.5</v>
          </cell>
          <cell r="I1312">
            <v>1180.9999999998827</v>
          </cell>
          <cell r="J1312">
            <v>67491</v>
          </cell>
        </row>
        <row r="1313">
          <cell r="G1313">
            <v>1180.9999999998827</v>
          </cell>
          <cell r="H1313">
            <v>67491</v>
          </cell>
          <cell r="I1313">
            <v>1181.0999999998826</v>
          </cell>
          <cell r="J1313">
            <v>67623</v>
          </cell>
        </row>
        <row r="1314">
          <cell r="G1314">
            <v>1181.0999999998826</v>
          </cell>
          <cell r="H1314">
            <v>67623</v>
          </cell>
          <cell r="I1314">
            <v>1181.1999999998825</v>
          </cell>
          <cell r="J1314">
            <v>67755</v>
          </cell>
        </row>
        <row r="1315">
          <cell r="G1315">
            <v>1181.1999999998825</v>
          </cell>
          <cell r="H1315">
            <v>67755</v>
          </cell>
          <cell r="I1315">
            <v>1181.2999999998824</v>
          </cell>
          <cell r="J1315">
            <v>67887</v>
          </cell>
        </row>
        <row r="1316">
          <cell r="G1316">
            <v>1181.2999999998824</v>
          </cell>
          <cell r="H1316">
            <v>67887</v>
          </cell>
          <cell r="I1316">
            <v>1181.3999999998823</v>
          </cell>
          <cell r="J1316">
            <v>68019</v>
          </cell>
        </row>
        <row r="1317">
          <cell r="G1317">
            <v>1181.3999999998823</v>
          </cell>
          <cell r="H1317">
            <v>68019</v>
          </cell>
          <cell r="I1317">
            <v>1181.4999999998822</v>
          </cell>
          <cell r="J1317">
            <v>68151</v>
          </cell>
        </row>
        <row r="1318">
          <cell r="G1318">
            <v>1181.4999999998822</v>
          </cell>
          <cell r="H1318">
            <v>68151</v>
          </cell>
          <cell r="I1318">
            <v>1181.5999999998821</v>
          </cell>
          <cell r="J1318">
            <v>68283</v>
          </cell>
        </row>
        <row r="1319">
          <cell r="G1319">
            <v>1181.5999999998821</v>
          </cell>
          <cell r="H1319">
            <v>68283</v>
          </cell>
          <cell r="I1319">
            <v>1181.699999999882</v>
          </cell>
          <cell r="J1319">
            <v>68415</v>
          </cell>
        </row>
        <row r="1320">
          <cell r="G1320">
            <v>1181.699999999882</v>
          </cell>
          <cell r="H1320">
            <v>68415</v>
          </cell>
          <cell r="I1320">
            <v>1181.7999999998819</v>
          </cell>
          <cell r="J1320">
            <v>68547</v>
          </cell>
        </row>
        <row r="1321">
          <cell r="G1321">
            <v>1181.7999999998819</v>
          </cell>
          <cell r="H1321">
            <v>68547</v>
          </cell>
          <cell r="I1321">
            <v>1181.8999999998819</v>
          </cell>
          <cell r="J1321">
            <v>68679</v>
          </cell>
        </row>
        <row r="1322">
          <cell r="G1322">
            <v>1181.8999999998819</v>
          </cell>
          <cell r="H1322">
            <v>68679</v>
          </cell>
          <cell r="I1322">
            <v>1181.9999999998818</v>
          </cell>
          <cell r="J1322">
            <v>68811</v>
          </cell>
        </row>
        <row r="1323">
          <cell r="G1323">
            <v>1181.9999999998818</v>
          </cell>
          <cell r="H1323">
            <v>68811</v>
          </cell>
          <cell r="I1323">
            <v>1182.0999999998817</v>
          </cell>
          <cell r="J1323">
            <v>68944.5</v>
          </cell>
        </row>
        <row r="1324">
          <cell r="G1324">
            <v>1182.0999999998817</v>
          </cell>
          <cell r="H1324">
            <v>68944.5</v>
          </cell>
          <cell r="I1324">
            <v>1182.1999999998816</v>
          </cell>
          <cell r="J1324">
            <v>69078</v>
          </cell>
        </row>
        <row r="1325">
          <cell r="G1325">
            <v>1182.1999999998816</v>
          </cell>
          <cell r="H1325">
            <v>69078</v>
          </cell>
          <cell r="I1325">
            <v>1182.2999999998815</v>
          </cell>
          <cell r="J1325">
            <v>69211.5</v>
          </cell>
        </row>
        <row r="1326">
          <cell r="G1326">
            <v>1182.2999999998815</v>
          </cell>
          <cell r="H1326">
            <v>69211.5</v>
          </cell>
          <cell r="I1326">
            <v>1182.3999999998814</v>
          </cell>
          <cell r="J1326">
            <v>69345</v>
          </cell>
        </row>
        <row r="1327">
          <cell r="G1327">
            <v>1182.3999999998814</v>
          </cell>
          <cell r="H1327">
            <v>69345</v>
          </cell>
          <cell r="I1327">
            <v>1182.4999999998813</v>
          </cell>
          <cell r="J1327">
            <v>69478.5</v>
          </cell>
        </row>
        <row r="1328">
          <cell r="G1328">
            <v>1182.4999999998813</v>
          </cell>
          <cell r="H1328">
            <v>69478.5</v>
          </cell>
          <cell r="I1328">
            <v>1182.5999999998812</v>
          </cell>
          <cell r="J1328">
            <v>69612</v>
          </cell>
        </row>
        <row r="1329">
          <cell r="G1329">
            <v>1182.5999999998812</v>
          </cell>
          <cell r="H1329">
            <v>69612</v>
          </cell>
          <cell r="I1329">
            <v>1182.6999999998811</v>
          </cell>
          <cell r="J1329">
            <v>69745.5</v>
          </cell>
        </row>
        <row r="1330">
          <cell r="G1330">
            <v>1182.6999999998811</v>
          </cell>
          <cell r="H1330">
            <v>69745.5</v>
          </cell>
          <cell r="I1330">
            <v>1182.799999999881</v>
          </cell>
          <cell r="J1330">
            <v>69879</v>
          </cell>
        </row>
        <row r="1331">
          <cell r="G1331">
            <v>1182.799999999881</v>
          </cell>
          <cell r="H1331">
            <v>69879</v>
          </cell>
          <cell r="I1331">
            <v>1182.8999999998809</v>
          </cell>
          <cell r="J1331">
            <v>70012.5</v>
          </cell>
        </row>
        <row r="1332">
          <cell r="G1332">
            <v>1182.8999999998809</v>
          </cell>
          <cell r="H1332">
            <v>70012.5</v>
          </cell>
          <cell r="I1332">
            <v>1182.9999999998809</v>
          </cell>
          <cell r="J1332">
            <v>70146</v>
          </cell>
        </row>
        <row r="1333">
          <cell r="G1333">
            <v>1182.9999999998809</v>
          </cell>
          <cell r="H1333">
            <v>70146</v>
          </cell>
          <cell r="I1333">
            <v>1183.0999999998808</v>
          </cell>
          <cell r="J1333">
            <v>70280.899999999994</v>
          </cell>
        </row>
        <row r="1334">
          <cell r="G1334">
            <v>1183.0999999998808</v>
          </cell>
          <cell r="H1334">
            <v>70280.899999999994</v>
          </cell>
          <cell r="I1334">
            <v>1183.1999999998807</v>
          </cell>
          <cell r="J1334">
            <v>70415.8</v>
          </cell>
        </row>
        <row r="1335">
          <cell r="G1335">
            <v>1183.1999999998807</v>
          </cell>
          <cell r="H1335">
            <v>70415.8</v>
          </cell>
          <cell r="I1335">
            <v>1183.2999999998806</v>
          </cell>
          <cell r="J1335">
            <v>70550.7</v>
          </cell>
        </row>
        <row r="1336">
          <cell r="G1336">
            <v>1183.2999999998806</v>
          </cell>
          <cell r="H1336">
            <v>70550.7</v>
          </cell>
          <cell r="I1336">
            <v>1183.3999999998805</v>
          </cell>
          <cell r="J1336">
            <v>70685.600000000006</v>
          </cell>
        </row>
        <row r="1337">
          <cell r="G1337">
            <v>1183.3999999998805</v>
          </cell>
          <cell r="H1337">
            <v>70685.600000000006</v>
          </cell>
          <cell r="I1337">
            <v>1183.4999999998804</v>
          </cell>
          <cell r="J1337">
            <v>70820.5</v>
          </cell>
        </row>
        <row r="1338">
          <cell r="G1338">
            <v>1183.4999999998804</v>
          </cell>
          <cell r="H1338">
            <v>70820.5</v>
          </cell>
          <cell r="I1338">
            <v>1183.5999999998803</v>
          </cell>
          <cell r="J1338">
            <v>70955.399999999994</v>
          </cell>
        </row>
        <row r="1339">
          <cell r="G1339">
            <v>1183.5999999998803</v>
          </cell>
          <cell r="H1339">
            <v>70955.399999999994</v>
          </cell>
          <cell r="I1339">
            <v>1183.6999999998802</v>
          </cell>
          <cell r="J1339">
            <v>71090.3</v>
          </cell>
        </row>
        <row r="1340">
          <cell r="G1340">
            <v>1183.6999999998802</v>
          </cell>
          <cell r="H1340">
            <v>71090.3</v>
          </cell>
          <cell r="I1340">
            <v>1183.7999999998801</v>
          </cell>
          <cell r="J1340">
            <v>71225.2</v>
          </cell>
        </row>
        <row r="1341">
          <cell r="G1341">
            <v>1183.7999999998801</v>
          </cell>
          <cell r="H1341">
            <v>71225.2</v>
          </cell>
          <cell r="I1341">
            <v>1183.89999999988</v>
          </cell>
          <cell r="J1341">
            <v>71360.099999999948</v>
          </cell>
        </row>
        <row r="1342">
          <cell r="G1342">
            <v>1183.89999999988</v>
          </cell>
          <cell r="H1342">
            <v>71360.099999999948</v>
          </cell>
          <cell r="I1342">
            <v>1183.9999999998799</v>
          </cell>
          <cell r="J1342">
            <v>71495</v>
          </cell>
        </row>
        <row r="1343">
          <cell r="G1343">
            <v>1183.9999999998799</v>
          </cell>
          <cell r="H1343">
            <v>71495</v>
          </cell>
          <cell r="I1343">
            <v>1184.0999999998799</v>
          </cell>
          <cell r="J1343">
            <v>71631.5</v>
          </cell>
        </row>
        <row r="1344">
          <cell r="G1344">
            <v>1184.0999999998799</v>
          </cell>
          <cell r="H1344">
            <v>71631.5</v>
          </cell>
          <cell r="I1344">
            <v>1184.1999999998798</v>
          </cell>
          <cell r="J1344">
            <v>71768</v>
          </cell>
        </row>
        <row r="1345">
          <cell r="G1345">
            <v>1184.1999999998798</v>
          </cell>
          <cell r="H1345">
            <v>71768</v>
          </cell>
          <cell r="I1345">
            <v>1184.2999999998797</v>
          </cell>
          <cell r="J1345">
            <v>71904.5</v>
          </cell>
        </row>
        <row r="1346">
          <cell r="G1346">
            <v>1184.2999999998797</v>
          </cell>
          <cell r="H1346">
            <v>71904.5</v>
          </cell>
          <cell r="I1346">
            <v>1184.3999999998796</v>
          </cell>
          <cell r="J1346">
            <v>72041</v>
          </cell>
        </row>
        <row r="1347">
          <cell r="G1347">
            <v>1184.3999999998796</v>
          </cell>
          <cell r="H1347">
            <v>72041</v>
          </cell>
          <cell r="I1347">
            <v>1184.4999999998795</v>
          </cell>
          <cell r="J1347">
            <v>72177.5</v>
          </cell>
        </row>
        <row r="1348">
          <cell r="G1348">
            <v>1184.4999999998795</v>
          </cell>
          <cell r="H1348">
            <v>72177.5</v>
          </cell>
          <cell r="I1348">
            <v>1184.5999999998794</v>
          </cell>
          <cell r="J1348">
            <v>72314</v>
          </cell>
        </row>
        <row r="1349">
          <cell r="G1349">
            <v>1184.5999999998794</v>
          </cell>
          <cell r="H1349">
            <v>72314</v>
          </cell>
          <cell r="I1349">
            <v>1184.6999999998793</v>
          </cell>
          <cell r="J1349">
            <v>72450.5</v>
          </cell>
        </row>
        <row r="1350">
          <cell r="G1350">
            <v>1184.6999999998793</v>
          </cell>
          <cell r="H1350">
            <v>72450.5</v>
          </cell>
          <cell r="I1350">
            <v>1184.7999999998792</v>
          </cell>
          <cell r="J1350">
            <v>72587</v>
          </cell>
        </row>
        <row r="1351">
          <cell r="G1351">
            <v>1184.7999999998792</v>
          </cell>
          <cell r="H1351">
            <v>72587</v>
          </cell>
          <cell r="I1351">
            <v>1184.8999999998791</v>
          </cell>
          <cell r="J1351">
            <v>72723.5</v>
          </cell>
        </row>
        <row r="1352">
          <cell r="G1352">
            <v>1184.8999999998791</v>
          </cell>
          <cell r="H1352">
            <v>72723.5</v>
          </cell>
          <cell r="I1352">
            <v>1184.999999999879</v>
          </cell>
          <cell r="J1352">
            <v>72860</v>
          </cell>
        </row>
        <row r="1353">
          <cell r="G1353">
            <v>1184.999999999879</v>
          </cell>
          <cell r="H1353">
            <v>72860</v>
          </cell>
          <cell r="I1353">
            <v>1185.0999999998789</v>
          </cell>
          <cell r="J1353">
            <v>72998</v>
          </cell>
        </row>
        <row r="1354">
          <cell r="G1354">
            <v>1185.0999999998789</v>
          </cell>
          <cell r="H1354">
            <v>72998</v>
          </cell>
          <cell r="I1354">
            <v>1185.1999999998789</v>
          </cell>
          <cell r="J1354">
            <v>73136</v>
          </cell>
        </row>
        <row r="1355">
          <cell r="G1355">
            <v>1185.1999999998789</v>
          </cell>
          <cell r="H1355">
            <v>73136</v>
          </cell>
          <cell r="I1355">
            <v>1185.2999999998788</v>
          </cell>
          <cell r="J1355">
            <v>73274</v>
          </cell>
        </row>
        <row r="1356">
          <cell r="G1356">
            <v>1185.2999999998788</v>
          </cell>
          <cell r="H1356">
            <v>73274</v>
          </cell>
          <cell r="I1356">
            <v>1185.3999999998787</v>
          </cell>
          <cell r="J1356">
            <v>73412</v>
          </cell>
        </row>
        <row r="1357">
          <cell r="G1357">
            <v>1185.3999999998787</v>
          </cell>
          <cell r="H1357">
            <v>73412</v>
          </cell>
          <cell r="I1357">
            <v>1185.4999999998786</v>
          </cell>
          <cell r="J1357">
            <v>73550</v>
          </cell>
        </row>
        <row r="1358">
          <cell r="G1358">
            <v>1185.4999999998786</v>
          </cell>
          <cell r="H1358">
            <v>73550</v>
          </cell>
          <cell r="I1358">
            <v>1185.5999999998785</v>
          </cell>
          <cell r="J1358">
            <v>73688</v>
          </cell>
        </row>
        <row r="1359">
          <cell r="G1359">
            <v>1185.5999999998785</v>
          </cell>
          <cell r="H1359">
            <v>73688</v>
          </cell>
          <cell r="I1359">
            <v>1185.6999999998784</v>
          </cell>
          <cell r="J1359">
            <v>73826</v>
          </cell>
        </row>
        <row r="1360">
          <cell r="G1360">
            <v>1185.6999999998784</v>
          </cell>
          <cell r="H1360">
            <v>73826</v>
          </cell>
          <cell r="I1360">
            <v>1185.7999999998783</v>
          </cell>
          <cell r="J1360">
            <v>73964</v>
          </cell>
        </row>
        <row r="1361">
          <cell r="G1361">
            <v>1185.7999999998783</v>
          </cell>
          <cell r="H1361">
            <v>73964</v>
          </cell>
          <cell r="I1361">
            <v>1185.8999999998782</v>
          </cell>
          <cell r="J1361">
            <v>74102</v>
          </cell>
        </row>
        <row r="1362">
          <cell r="G1362">
            <v>1185.8999999998782</v>
          </cell>
          <cell r="H1362">
            <v>74102</v>
          </cell>
          <cell r="I1362">
            <v>1185.9999999998781</v>
          </cell>
          <cell r="J1362">
            <v>74240</v>
          </cell>
        </row>
        <row r="1363">
          <cell r="G1363">
            <v>1185.9999999998781</v>
          </cell>
          <cell r="H1363">
            <v>74240</v>
          </cell>
          <cell r="I1363">
            <v>1186.099999999878</v>
          </cell>
          <cell r="J1363">
            <v>74379.5</v>
          </cell>
        </row>
        <row r="1364">
          <cell r="G1364">
            <v>1186.099999999878</v>
          </cell>
          <cell r="H1364">
            <v>74379.5</v>
          </cell>
          <cell r="I1364">
            <v>1186.1999999998779</v>
          </cell>
          <cell r="J1364">
            <v>74519</v>
          </cell>
        </row>
        <row r="1365">
          <cell r="G1365">
            <v>1186.1999999998779</v>
          </cell>
          <cell r="H1365">
            <v>74519</v>
          </cell>
          <cell r="I1365">
            <v>1186.2999999998779</v>
          </cell>
          <cell r="J1365">
            <v>74658.5</v>
          </cell>
        </row>
        <row r="1366">
          <cell r="G1366">
            <v>1186.2999999998779</v>
          </cell>
          <cell r="H1366">
            <v>74658.5</v>
          </cell>
          <cell r="I1366">
            <v>1186.3999999998778</v>
          </cell>
          <cell r="J1366">
            <v>74798</v>
          </cell>
        </row>
        <row r="1367">
          <cell r="G1367">
            <v>1186.3999999998778</v>
          </cell>
          <cell r="H1367">
            <v>74798</v>
          </cell>
          <cell r="I1367">
            <v>1186.4999999998777</v>
          </cell>
          <cell r="J1367">
            <v>74937.5</v>
          </cell>
        </row>
        <row r="1368">
          <cell r="G1368">
            <v>1186.4999999998777</v>
          </cell>
          <cell r="H1368">
            <v>74937.5</v>
          </cell>
          <cell r="I1368">
            <v>1186.5999999998776</v>
          </cell>
          <cell r="J1368">
            <v>75077</v>
          </cell>
        </row>
        <row r="1369">
          <cell r="G1369">
            <v>1186.5999999998776</v>
          </cell>
          <cell r="H1369">
            <v>75077</v>
          </cell>
          <cell r="I1369">
            <v>1186.6999999998775</v>
          </cell>
          <cell r="J1369">
            <v>75216.5</v>
          </cell>
        </row>
        <row r="1370">
          <cell r="G1370">
            <v>1186.6999999998775</v>
          </cell>
          <cell r="H1370">
            <v>75216.5</v>
          </cell>
          <cell r="I1370">
            <v>1186.7999999998774</v>
          </cell>
          <cell r="J1370">
            <v>75356</v>
          </cell>
        </row>
        <row r="1371">
          <cell r="G1371">
            <v>1186.7999999998774</v>
          </cell>
          <cell r="H1371">
            <v>75356</v>
          </cell>
          <cell r="I1371">
            <v>1186.8999999998773</v>
          </cell>
          <cell r="J1371">
            <v>75495.5</v>
          </cell>
        </row>
        <row r="1372">
          <cell r="G1372">
            <v>1186.8999999998773</v>
          </cell>
          <cell r="H1372">
            <v>75495.5</v>
          </cell>
          <cell r="I1372">
            <v>1186.9999999998772</v>
          </cell>
          <cell r="J1372">
            <v>75635</v>
          </cell>
        </row>
        <row r="1373">
          <cell r="G1373">
            <v>1186.9999999998772</v>
          </cell>
          <cell r="H1373">
            <v>75635</v>
          </cell>
          <cell r="I1373">
            <v>1187.0999999998771</v>
          </cell>
          <cell r="J1373">
            <v>75776</v>
          </cell>
        </row>
        <row r="1374">
          <cell r="G1374">
            <v>1187.0999999998771</v>
          </cell>
          <cell r="H1374">
            <v>75776</v>
          </cell>
          <cell r="I1374">
            <v>1187.199999999877</v>
          </cell>
          <cell r="J1374">
            <v>75917</v>
          </cell>
        </row>
        <row r="1375">
          <cell r="G1375">
            <v>1187.199999999877</v>
          </cell>
          <cell r="H1375">
            <v>75917</v>
          </cell>
          <cell r="I1375">
            <v>1187.2999999998769</v>
          </cell>
          <cell r="J1375">
            <v>76058</v>
          </cell>
        </row>
        <row r="1376">
          <cell r="G1376">
            <v>1187.2999999998769</v>
          </cell>
          <cell r="H1376">
            <v>76058</v>
          </cell>
          <cell r="I1376">
            <v>1187.3999999998769</v>
          </cell>
          <cell r="J1376">
            <v>76199</v>
          </cell>
        </row>
        <row r="1377">
          <cell r="G1377">
            <v>1187.3999999998769</v>
          </cell>
          <cell r="H1377">
            <v>76199</v>
          </cell>
          <cell r="I1377">
            <v>1187.4999999998768</v>
          </cell>
          <cell r="J1377">
            <v>76340</v>
          </cell>
        </row>
        <row r="1378">
          <cell r="G1378">
            <v>1187.4999999998768</v>
          </cell>
          <cell r="H1378">
            <v>76340</v>
          </cell>
          <cell r="I1378">
            <v>1187.5999999998767</v>
          </cell>
          <cell r="J1378">
            <v>76481</v>
          </cell>
        </row>
        <row r="1379">
          <cell r="G1379">
            <v>1187.5999999998767</v>
          </cell>
          <cell r="H1379">
            <v>76481</v>
          </cell>
          <cell r="I1379">
            <v>1187.6999999998766</v>
          </cell>
          <cell r="J1379">
            <v>76622</v>
          </cell>
        </row>
        <row r="1380">
          <cell r="G1380">
            <v>1187.6999999998766</v>
          </cell>
          <cell r="H1380">
            <v>76622</v>
          </cell>
          <cell r="I1380">
            <v>1187.7999999998765</v>
          </cell>
          <cell r="J1380">
            <v>76763</v>
          </cell>
        </row>
        <row r="1381">
          <cell r="G1381">
            <v>1187.7999999998765</v>
          </cell>
          <cell r="H1381">
            <v>76763</v>
          </cell>
          <cell r="I1381">
            <v>1187.8999999998764</v>
          </cell>
          <cell r="J1381">
            <v>76904</v>
          </cell>
        </row>
        <row r="1382">
          <cell r="G1382">
            <v>1187.8999999998764</v>
          </cell>
          <cell r="H1382">
            <v>76904</v>
          </cell>
          <cell r="I1382">
            <v>1187.9999999998763</v>
          </cell>
          <cell r="J1382">
            <v>77045</v>
          </cell>
        </row>
        <row r="1383">
          <cell r="G1383">
            <v>1187.9999999998763</v>
          </cell>
          <cell r="H1383">
            <v>77045</v>
          </cell>
          <cell r="I1383">
            <v>1188.0999999998762</v>
          </cell>
          <cell r="J1383">
            <v>77187.600000000006</v>
          </cell>
        </row>
        <row r="1384">
          <cell r="G1384">
            <v>1188.0999999998762</v>
          </cell>
          <cell r="H1384">
            <v>77187.600000000006</v>
          </cell>
          <cell r="I1384">
            <v>1188.1999999998761</v>
          </cell>
          <cell r="J1384">
            <v>77330.2</v>
          </cell>
        </row>
        <row r="1385">
          <cell r="G1385">
            <v>1188.1999999998761</v>
          </cell>
          <cell r="H1385">
            <v>77330.2</v>
          </cell>
          <cell r="I1385">
            <v>1188.299999999876</v>
          </cell>
          <cell r="J1385">
            <v>77472.800000000003</v>
          </cell>
        </row>
        <row r="1386">
          <cell r="G1386">
            <v>1188.299999999876</v>
          </cell>
          <cell r="H1386">
            <v>77472.800000000003</v>
          </cell>
          <cell r="I1386">
            <v>1188.3999999998759</v>
          </cell>
          <cell r="J1386">
            <v>77615.399999999994</v>
          </cell>
        </row>
        <row r="1387">
          <cell r="G1387">
            <v>1188.3999999998759</v>
          </cell>
          <cell r="H1387">
            <v>77615.399999999994</v>
          </cell>
          <cell r="I1387">
            <v>1188.4999999998759</v>
          </cell>
          <cell r="J1387">
            <v>77758</v>
          </cell>
        </row>
        <row r="1388">
          <cell r="G1388">
            <v>1188.4999999998759</v>
          </cell>
          <cell r="H1388">
            <v>77758</v>
          </cell>
          <cell r="I1388">
            <v>1188.5999999998758</v>
          </cell>
          <cell r="J1388">
            <v>77900.600000000006</v>
          </cell>
        </row>
        <row r="1389">
          <cell r="G1389">
            <v>1188.5999999998758</v>
          </cell>
          <cell r="H1389">
            <v>77900.600000000006</v>
          </cell>
          <cell r="I1389">
            <v>1188.6999999998757</v>
          </cell>
          <cell r="J1389">
            <v>78043.199999999997</v>
          </cell>
        </row>
        <row r="1390">
          <cell r="G1390">
            <v>1188.6999999998757</v>
          </cell>
          <cell r="H1390">
            <v>78043.199999999997</v>
          </cell>
          <cell r="I1390">
            <v>1188.7999999998756</v>
          </cell>
          <cell r="J1390">
            <v>78185.8</v>
          </cell>
        </row>
        <row r="1391">
          <cell r="G1391">
            <v>1188.7999999998756</v>
          </cell>
          <cell r="H1391">
            <v>78185.8</v>
          </cell>
          <cell r="I1391">
            <v>1188.8999999998755</v>
          </cell>
          <cell r="J1391">
            <v>78328.400000000052</v>
          </cell>
        </row>
        <row r="1392">
          <cell r="G1392">
            <v>1188.8999999998755</v>
          </cell>
          <cell r="H1392">
            <v>78328.400000000052</v>
          </cell>
          <cell r="I1392">
            <v>1188.9999999998754</v>
          </cell>
          <cell r="J1392">
            <v>78471</v>
          </cell>
        </row>
        <row r="1393">
          <cell r="G1393">
            <v>1188.9999999998754</v>
          </cell>
          <cell r="H1393">
            <v>78471</v>
          </cell>
          <cell r="I1393">
            <v>1189.0999999998753</v>
          </cell>
          <cell r="J1393">
            <v>78615.100000000006</v>
          </cell>
        </row>
        <row r="1394">
          <cell r="G1394">
            <v>1189.0999999998753</v>
          </cell>
          <cell r="H1394">
            <v>78615.100000000006</v>
          </cell>
          <cell r="I1394">
            <v>1189.1999999998752</v>
          </cell>
          <cell r="J1394">
            <v>78759.199999999997</v>
          </cell>
        </row>
        <row r="1395">
          <cell r="G1395">
            <v>1189.1999999998752</v>
          </cell>
          <cell r="H1395">
            <v>78759.199999999997</v>
          </cell>
          <cell r="I1395">
            <v>1189.2999999998751</v>
          </cell>
          <cell r="J1395">
            <v>78903.3</v>
          </cell>
        </row>
        <row r="1396">
          <cell r="G1396">
            <v>1189.2999999998751</v>
          </cell>
          <cell r="H1396">
            <v>78903.3</v>
          </cell>
          <cell r="I1396">
            <v>1189.399999999875</v>
          </cell>
          <cell r="J1396">
            <v>79047.399999999994</v>
          </cell>
        </row>
        <row r="1397">
          <cell r="G1397">
            <v>1189.399999999875</v>
          </cell>
          <cell r="H1397">
            <v>79047.399999999994</v>
          </cell>
          <cell r="I1397">
            <v>1189.4999999998749</v>
          </cell>
          <cell r="J1397">
            <v>79191.5</v>
          </cell>
        </row>
        <row r="1398">
          <cell r="G1398">
            <v>1189.4999999998749</v>
          </cell>
          <cell r="H1398">
            <v>79191.5</v>
          </cell>
          <cell r="I1398">
            <v>1189.5999999998749</v>
          </cell>
          <cell r="J1398">
            <v>79335.600000000006</v>
          </cell>
        </row>
        <row r="1399">
          <cell r="G1399">
            <v>1189.5999999998749</v>
          </cell>
          <cell r="H1399">
            <v>79335.600000000006</v>
          </cell>
          <cell r="I1399">
            <v>1189.6999999998748</v>
          </cell>
          <cell r="J1399">
            <v>79479.7</v>
          </cell>
        </row>
        <row r="1400">
          <cell r="G1400">
            <v>1189.6999999998748</v>
          </cell>
          <cell r="H1400">
            <v>79479.7</v>
          </cell>
          <cell r="I1400">
            <v>1189.7999999998747</v>
          </cell>
          <cell r="J1400">
            <v>79623.8</v>
          </cell>
        </row>
        <row r="1401">
          <cell r="G1401">
            <v>1189.7999999998747</v>
          </cell>
          <cell r="H1401">
            <v>79623.8</v>
          </cell>
          <cell r="I1401">
            <v>1189.8999999998746</v>
          </cell>
          <cell r="J1401">
            <v>79767.900000000052</v>
          </cell>
        </row>
        <row r="1402">
          <cell r="G1402">
            <v>1189.8999999998746</v>
          </cell>
          <cell r="H1402">
            <v>79767.900000000052</v>
          </cell>
          <cell r="I1402">
            <v>1189.9999999998745</v>
          </cell>
          <cell r="J1402">
            <v>79912</v>
          </cell>
        </row>
        <row r="1403">
          <cell r="G1403">
            <v>1189.9999999998745</v>
          </cell>
          <cell r="H1403">
            <v>79912</v>
          </cell>
          <cell r="I1403">
            <v>1190.0999999998744</v>
          </cell>
          <cell r="J1403">
            <v>80057.8</v>
          </cell>
        </row>
        <row r="1404">
          <cell r="G1404">
            <v>1190.0999999998744</v>
          </cell>
          <cell r="H1404">
            <v>80057.8</v>
          </cell>
          <cell r="I1404">
            <v>1190.1999999998743</v>
          </cell>
          <cell r="J1404">
            <v>80203.600000000006</v>
          </cell>
        </row>
        <row r="1405">
          <cell r="G1405">
            <v>1190.1999999998743</v>
          </cell>
          <cell r="H1405">
            <v>80203.600000000006</v>
          </cell>
          <cell r="I1405">
            <v>1190.2999999998742</v>
          </cell>
          <cell r="J1405">
            <v>80349.399999999994</v>
          </cell>
        </row>
        <row r="1406">
          <cell r="G1406">
            <v>1190.2999999998742</v>
          </cell>
          <cell r="H1406">
            <v>80349.399999999994</v>
          </cell>
          <cell r="I1406">
            <v>1190.3999999998741</v>
          </cell>
          <cell r="J1406">
            <v>80495.199999999997</v>
          </cell>
        </row>
        <row r="1407">
          <cell r="G1407">
            <v>1190.3999999998741</v>
          </cell>
          <cell r="H1407">
            <v>80495.199999999997</v>
          </cell>
          <cell r="I1407">
            <v>1190.499999999874</v>
          </cell>
          <cell r="J1407">
            <v>80641</v>
          </cell>
        </row>
        <row r="1408">
          <cell r="G1408">
            <v>1190.499999999874</v>
          </cell>
          <cell r="H1408">
            <v>80641</v>
          </cell>
          <cell r="I1408">
            <v>1190.5999999998739</v>
          </cell>
          <cell r="J1408">
            <v>80786.8</v>
          </cell>
        </row>
        <row r="1409">
          <cell r="G1409">
            <v>1190.5999999998739</v>
          </cell>
          <cell r="H1409">
            <v>80786.8</v>
          </cell>
          <cell r="I1409">
            <v>1190.6999999998739</v>
          </cell>
          <cell r="J1409">
            <v>80932.600000000006</v>
          </cell>
        </row>
        <row r="1410">
          <cell r="G1410">
            <v>1190.6999999998739</v>
          </cell>
          <cell r="H1410">
            <v>80932.600000000006</v>
          </cell>
          <cell r="I1410">
            <v>1190.7999999998738</v>
          </cell>
          <cell r="J1410">
            <v>81078.399999999994</v>
          </cell>
        </row>
        <row r="1411">
          <cell r="G1411">
            <v>1190.7999999998738</v>
          </cell>
          <cell r="H1411">
            <v>81078.399999999994</v>
          </cell>
          <cell r="I1411">
            <v>1190.8999999998737</v>
          </cell>
          <cell r="J1411">
            <v>81224.2</v>
          </cell>
        </row>
        <row r="1412">
          <cell r="G1412">
            <v>1190.8999999998737</v>
          </cell>
          <cell r="H1412">
            <v>81224.2</v>
          </cell>
          <cell r="I1412">
            <v>1190.9999999998736</v>
          </cell>
          <cell r="J1412">
            <v>81370</v>
          </cell>
        </row>
        <row r="1413">
          <cell r="G1413">
            <v>1190.9999999998736</v>
          </cell>
          <cell r="H1413">
            <v>81370</v>
          </cell>
          <cell r="I1413">
            <v>1191.0999999998735</v>
          </cell>
          <cell r="J1413">
            <v>81517.600000000006</v>
          </cell>
        </row>
        <row r="1414">
          <cell r="G1414">
            <v>1191.0999999998735</v>
          </cell>
          <cell r="H1414">
            <v>81517.600000000006</v>
          </cell>
          <cell r="I1414">
            <v>1191.1999999998734</v>
          </cell>
          <cell r="J1414">
            <v>81665.2</v>
          </cell>
        </row>
        <row r="1415">
          <cell r="G1415">
            <v>1191.1999999998734</v>
          </cell>
          <cell r="H1415">
            <v>81665.2</v>
          </cell>
          <cell r="I1415">
            <v>1191.2999999998733</v>
          </cell>
          <cell r="J1415">
            <v>81812.800000000003</v>
          </cell>
        </row>
        <row r="1416">
          <cell r="G1416">
            <v>1191.2999999998733</v>
          </cell>
          <cell r="H1416">
            <v>81812.800000000003</v>
          </cell>
          <cell r="I1416">
            <v>1191.3999999998732</v>
          </cell>
          <cell r="J1416">
            <v>81960.399999999994</v>
          </cell>
        </row>
        <row r="1417">
          <cell r="G1417">
            <v>1191.3999999998732</v>
          </cell>
          <cell r="H1417">
            <v>81960.399999999994</v>
          </cell>
          <cell r="I1417">
            <v>1191.4999999998731</v>
          </cell>
          <cell r="J1417">
            <v>82108</v>
          </cell>
        </row>
        <row r="1418">
          <cell r="G1418">
            <v>1191.4999999998731</v>
          </cell>
          <cell r="H1418">
            <v>82108</v>
          </cell>
          <cell r="I1418">
            <v>1191.599999999873</v>
          </cell>
          <cell r="J1418">
            <v>82255.600000000006</v>
          </cell>
        </row>
        <row r="1419">
          <cell r="G1419">
            <v>1191.599999999873</v>
          </cell>
          <cell r="H1419">
            <v>82255.600000000006</v>
          </cell>
          <cell r="I1419">
            <v>1191.6999999998729</v>
          </cell>
          <cell r="J1419">
            <v>82403.199999999997</v>
          </cell>
        </row>
        <row r="1420">
          <cell r="G1420">
            <v>1191.6999999998729</v>
          </cell>
          <cell r="H1420">
            <v>82403.199999999997</v>
          </cell>
          <cell r="I1420">
            <v>1191.7999999998729</v>
          </cell>
          <cell r="J1420">
            <v>82550.8</v>
          </cell>
        </row>
        <row r="1421">
          <cell r="G1421">
            <v>1191.7999999998729</v>
          </cell>
          <cell r="H1421">
            <v>82550.8</v>
          </cell>
          <cell r="I1421">
            <v>1191.8999999998728</v>
          </cell>
          <cell r="J1421">
            <v>82698.400000000052</v>
          </cell>
        </row>
        <row r="1422">
          <cell r="G1422">
            <v>1191.8999999998728</v>
          </cell>
          <cell r="H1422">
            <v>82698.400000000052</v>
          </cell>
          <cell r="I1422">
            <v>1191.9999999998727</v>
          </cell>
          <cell r="J1422">
            <v>82846</v>
          </cell>
        </row>
        <row r="1423">
          <cell r="G1423">
            <v>1191.9999999998727</v>
          </cell>
          <cell r="H1423">
            <v>82846</v>
          </cell>
          <cell r="I1423">
            <v>1192.0999999998726</v>
          </cell>
          <cell r="J1423">
            <v>82995.399999999994</v>
          </cell>
        </row>
        <row r="1424">
          <cell r="G1424">
            <v>1192.0999999998726</v>
          </cell>
          <cell r="H1424">
            <v>82995.399999999994</v>
          </cell>
          <cell r="I1424">
            <v>1192.1999999998725</v>
          </cell>
          <cell r="J1424">
            <v>83144.800000000003</v>
          </cell>
        </row>
        <row r="1425">
          <cell r="G1425">
            <v>1192.1999999998725</v>
          </cell>
          <cell r="H1425">
            <v>83144.800000000003</v>
          </cell>
          <cell r="I1425">
            <v>1192.2999999998724</v>
          </cell>
          <cell r="J1425">
            <v>83294.2</v>
          </cell>
        </row>
        <row r="1426">
          <cell r="G1426">
            <v>1192.2999999998724</v>
          </cell>
          <cell r="H1426">
            <v>83294.2</v>
          </cell>
          <cell r="I1426">
            <v>1192.3999999998723</v>
          </cell>
          <cell r="J1426">
            <v>83443.600000000006</v>
          </cell>
        </row>
        <row r="1427">
          <cell r="G1427">
            <v>1192.3999999998723</v>
          </cell>
          <cell r="H1427">
            <v>83443.600000000006</v>
          </cell>
          <cell r="I1427">
            <v>1192.4999999998722</v>
          </cell>
          <cell r="J1427">
            <v>83593</v>
          </cell>
        </row>
        <row r="1428">
          <cell r="G1428">
            <v>1192.4999999998722</v>
          </cell>
          <cell r="H1428">
            <v>83593</v>
          </cell>
          <cell r="I1428">
            <v>1192.5999999998721</v>
          </cell>
          <cell r="J1428">
            <v>83742.399999999994</v>
          </cell>
        </row>
        <row r="1429">
          <cell r="G1429">
            <v>1192.5999999998721</v>
          </cell>
          <cell r="H1429">
            <v>83742.399999999994</v>
          </cell>
          <cell r="I1429">
            <v>1192.699999999872</v>
          </cell>
          <cell r="J1429">
            <v>83891.8</v>
          </cell>
        </row>
        <row r="1430">
          <cell r="G1430">
            <v>1192.699999999872</v>
          </cell>
          <cell r="H1430">
            <v>83891.8</v>
          </cell>
          <cell r="I1430">
            <v>1192.7999999998719</v>
          </cell>
          <cell r="J1430">
            <v>84041.2</v>
          </cell>
        </row>
        <row r="1431">
          <cell r="G1431">
            <v>1192.7999999998719</v>
          </cell>
          <cell r="H1431">
            <v>84041.2</v>
          </cell>
          <cell r="I1431">
            <v>1192.8999999998719</v>
          </cell>
          <cell r="J1431">
            <v>84190.599999999948</v>
          </cell>
        </row>
        <row r="1432">
          <cell r="G1432">
            <v>1192.8999999998719</v>
          </cell>
          <cell r="H1432">
            <v>84190.599999999948</v>
          </cell>
          <cell r="I1432">
            <v>1192.9999999998718</v>
          </cell>
          <cell r="J1432">
            <v>84340</v>
          </cell>
        </row>
        <row r="1433">
          <cell r="G1433">
            <v>1192.9999999998718</v>
          </cell>
          <cell r="H1433">
            <v>84340</v>
          </cell>
          <cell r="I1433">
            <v>1193.0999999998717</v>
          </cell>
          <cell r="J1433">
            <v>84491.3</v>
          </cell>
        </row>
        <row r="1434">
          <cell r="G1434">
            <v>1193.0999999998717</v>
          </cell>
          <cell r="H1434">
            <v>84491.3</v>
          </cell>
          <cell r="I1434">
            <v>1193.1999999998716</v>
          </cell>
          <cell r="J1434">
            <v>84642.6</v>
          </cell>
        </row>
        <row r="1435">
          <cell r="G1435">
            <v>1193.1999999998716</v>
          </cell>
          <cell r="H1435">
            <v>84642.6</v>
          </cell>
          <cell r="I1435">
            <v>1193.2999999998715</v>
          </cell>
          <cell r="J1435">
            <v>84793.9</v>
          </cell>
        </row>
        <row r="1436">
          <cell r="G1436">
            <v>1193.2999999998715</v>
          </cell>
          <cell r="H1436">
            <v>84793.9</v>
          </cell>
          <cell r="I1436">
            <v>1193.3999999998714</v>
          </cell>
          <cell r="J1436">
            <v>84945.2</v>
          </cell>
        </row>
        <row r="1437">
          <cell r="G1437">
            <v>1193.3999999998714</v>
          </cell>
          <cell r="H1437">
            <v>84945.2</v>
          </cell>
          <cell r="I1437">
            <v>1193.4999999998713</v>
          </cell>
          <cell r="J1437">
            <v>85096.5</v>
          </cell>
        </row>
        <row r="1438">
          <cell r="G1438">
            <v>1193.4999999998713</v>
          </cell>
          <cell r="H1438">
            <v>85096.5</v>
          </cell>
          <cell r="I1438">
            <v>1193.5999999998712</v>
          </cell>
          <cell r="J1438">
            <v>85247.8</v>
          </cell>
        </row>
        <row r="1439">
          <cell r="G1439">
            <v>1193.5999999998712</v>
          </cell>
          <cell r="H1439">
            <v>85247.8</v>
          </cell>
          <cell r="I1439">
            <v>1193.6999999998711</v>
          </cell>
          <cell r="J1439">
            <v>85399.1</v>
          </cell>
        </row>
        <row r="1440">
          <cell r="G1440">
            <v>1193.6999999998711</v>
          </cell>
          <cell r="H1440">
            <v>85399.1</v>
          </cell>
          <cell r="I1440">
            <v>1193.799999999871</v>
          </cell>
          <cell r="J1440">
            <v>85550.399999999994</v>
          </cell>
        </row>
        <row r="1441">
          <cell r="G1441">
            <v>1193.799999999871</v>
          </cell>
          <cell r="H1441">
            <v>85550.399999999994</v>
          </cell>
          <cell r="I1441">
            <v>1193.8999999998709</v>
          </cell>
          <cell r="J1441">
            <v>85701.7</v>
          </cell>
        </row>
        <row r="1442">
          <cell r="G1442">
            <v>1193.8999999998709</v>
          </cell>
          <cell r="H1442">
            <v>85701.7</v>
          </cell>
          <cell r="I1442">
            <v>1193.9999999998709</v>
          </cell>
          <cell r="J1442">
            <v>85853</v>
          </cell>
        </row>
        <row r="1443">
          <cell r="G1443">
            <v>1193.9999999998709</v>
          </cell>
          <cell r="H1443">
            <v>85853</v>
          </cell>
          <cell r="I1443">
            <v>1194.0999999998708</v>
          </cell>
          <cell r="J1443">
            <v>86006</v>
          </cell>
        </row>
        <row r="1444">
          <cell r="G1444">
            <v>1194.0999999998708</v>
          </cell>
          <cell r="H1444">
            <v>86006</v>
          </cell>
          <cell r="I1444">
            <v>1194.1999999998707</v>
          </cell>
          <cell r="J1444">
            <v>86159</v>
          </cell>
        </row>
        <row r="1445">
          <cell r="G1445">
            <v>1194.1999999998707</v>
          </cell>
          <cell r="H1445">
            <v>86159</v>
          </cell>
          <cell r="I1445">
            <v>1194.2999999998706</v>
          </cell>
          <cell r="J1445">
            <v>86312</v>
          </cell>
        </row>
        <row r="1446">
          <cell r="G1446">
            <v>1194.2999999998706</v>
          </cell>
          <cell r="H1446">
            <v>86312</v>
          </cell>
          <cell r="I1446">
            <v>1194.3999999998705</v>
          </cell>
          <cell r="J1446">
            <v>86465</v>
          </cell>
        </row>
        <row r="1447">
          <cell r="G1447">
            <v>1194.3999999998705</v>
          </cell>
          <cell r="H1447">
            <v>86465</v>
          </cell>
          <cell r="I1447">
            <v>1194.4999999998704</v>
          </cell>
          <cell r="J1447">
            <v>86618</v>
          </cell>
        </row>
        <row r="1448">
          <cell r="G1448">
            <v>1194.4999999998704</v>
          </cell>
          <cell r="H1448">
            <v>86618</v>
          </cell>
          <cell r="I1448">
            <v>1194.5999999998703</v>
          </cell>
          <cell r="J1448">
            <v>86771</v>
          </cell>
        </row>
        <row r="1449">
          <cell r="G1449">
            <v>1194.5999999998703</v>
          </cell>
          <cell r="H1449">
            <v>86771</v>
          </cell>
          <cell r="I1449">
            <v>1194.6999999998702</v>
          </cell>
          <cell r="J1449">
            <v>86924</v>
          </cell>
        </row>
        <row r="1450">
          <cell r="G1450">
            <v>1194.6999999998702</v>
          </cell>
          <cell r="H1450">
            <v>86924</v>
          </cell>
          <cell r="I1450">
            <v>1194.7999999998701</v>
          </cell>
          <cell r="J1450">
            <v>87077</v>
          </cell>
        </row>
        <row r="1451">
          <cell r="G1451">
            <v>1194.7999999998701</v>
          </cell>
          <cell r="H1451">
            <v>87077</v>
          </cell>
          <cell r="I1451">
            <v>1194.89999999987</v>
          </cell>
          <cell r="J1451">
            <v>87230</v>
          </cell>
        </row>
        <row r="1452">
          <cell r="G1452">
            <v>1194.89999999987</v>
          </cell>
          <cell r="H1452">
            <v>87230</v>
          </cell>
          <cell r="I1452">
            <v>1194.9999999998699</v>
          </cell>
          <cell r="J1452">
            <v>87383</v>
          </cell>
        </row>
        <row r="1453">
          <cell r="G1453">
            <v>1194.9999999998699</v>
          </cell>
          <cell r="H1453">
            <v>87383</v>
          </cell>
          <cell r="I1453">
            <v>1195.0999999998699</v>
          </cell>
          <cell r="J1453">
            <v>87537.9</v>
          </cell>
        </row>
        <row r="1454">
          <cell r="G1454">
            <v>1195.0999999998699</v>
          </cell>
          <cell r="H1454">
            <v>87537.9</v>
          </cell>
          <cell r="I1454">
            <v>1195.1999999998698</v>
          </cell>
          <cell r="J1454">
            <v>87692.800000000003</v>
          </cell>
        </row>
        <row r="1455">
          <cell r="G1455">
            <v>1195.1999999998698</v>
          </cell>
          <cell r="H1455">
            <v>87692.800000000003</v>
          </cell>
          <cell r="I1455">
            <v>1195.2999999998697</v>
          </cell>
          <cell r="J1455">
            <v>87847.7</v>
          </cell>
        </row>
        <row r="1456">
          <cell r="G1456">
            <v>1195.2999999998697</v>
          </cell>
          <cell r="H1456">
            <v>87847.7</v>
          </cell>
          <cell r="I1456">
            <v>1195.3999999998696</v>
          </cell>
          <cell r="J1456">
            <v>88002.6</v>
          </cell>
        </row>
        <row r="1457">
          <cell r="G1457">
            <v>1195.3999999998696</v>
          </cell>
          <cell r="H1457">
            <v>88002.6</v>
          </cell>
          <cell r="I1457">
            <v>1195.4999999998695</v>
          </cell>
          <cell r="J1457">
            <v>88157.5</v>
          </cell>
        </row>
        <row r="1458">
          <cell r="G1458">
            <v>1195.4999999998695</v>
          </cell>
          <cell r="H1458">
            <v>88157.5</v>
          </cell>
          <cell r="I1458">
            <v>1195.5999999998694</v>
          </cell>
          <cell r="J1458">
            <v>88312.4</v>
          </cell>
        </row>
        <row r="1459">
          <cell r="G1459">
            <v>1195.5999999998694</v>
          </cell>
          <cell r="H1459">
            <v>88312.4</v>
          </cell>
          <cell r="I1459">
            <v>1195.6999999998693</v>
          </cell>
          <cell r="J1459">
            <v>88467.3</v>
          </cell>
        </row>
        <row r="1460">
          <cell r="G1460">
            <v>1195.6999999998693</v>
          </cell>
          <cell r="H1460">
            <v>88467.3</v>
          </cell>
          <cell r="I1460">
            <v>1195.7999999998692</v>
          </cell>
          <cell r="J1460">
            <v>88622.2</v>
          </cell>
        </row>
        <row r="1461">
          <cell r="G1461">
            <v>1195.7999999998692</v>
          </cell>
          <cell r="H1461">
            <v>88622.2</v>
          </cell>
          <cell r="I1461">
            <v>1195.8999999998691</v>
          </cell>
          <cell r="J1461">
            <v>88777.099999999948</v>
          </cell>
        </row>
        <row r="1462">
          <cell r="G1462">
            <v>1195.8999999998691</v>
          </cell>
          <cell r="H1462">
            <v>88777.099999999948</v>
          </cell>
          <cell r="I1462">
            <v>1195.999999999869</v>
          </cell>
          <cell r="J1462">
            <v>88932</v>
          </cell>
        </row>
        <row r="1463">
          <cell r="G1463">
            <v>1195.999999999869</v>
          </cell>
          <cell r="H1463">
            <v>88932</v>
          </cell>
          <cell r="I1463">
            <v>1196.0999999998689</v>
          </cell>
          <cell r="J1463">
            <v>89088.8</v>
          </cell>
        </row>
        <row r="1464">
          <cell r="G1464">
            <v>1196.0999999998689</v>
          </cell>
          <cell r="H1464">
            <v>89088.8</v>
          </cell>
          <cell r="I1464">
            <v>1196.1999999998689</v>
          </cell>
          <cell r="J1464">
            <v>89245.6</v>
          </cell>
        </row>
        <row r="1465">
          <cell r="G1465">
            <v>1196.1999999998689</v>
          </cell>
          <cell r="H1465">
            <v>89245.6</v>
          </cell>
          <cell r="I1465">
            <v>1196.2999999998688</v>
          </cell>
          <cell r="J1465">
            <v>89402.4</v>
          </cell>
        </row>
        <row r="1466">
          <cell r="G1466">
            <v>1196.2999999998688</v>
          </cell>
          <cell r="H1466">
            <v>89402.4</v>
          </cell>
          <cell r="I1466">
            <v>1196.3999999998687</v>
          </cell>
          <cell r="J1466">
            <v>89559.2</v>
          </cell>
        </row>
        <row r="1467">
          <cell r="G1467">
            <v>1196.3999999998687</v>
          </cell>
          <cell r="H1467">
            <v>89559.2</v>
          </cell>
          <cell r="I1467">
            <v>1196.4999999998686</v>
          </cell>
          <cell r="J1467">
            <v>89716</v>
          </cell>
        </row>
        <row r="1468">
          <cell r="G1468">
            <v>1196.4999999998686</v>
          </cell>
          <cell r="H1468">
            <v>89716</v>
          </cell>
          <cell r="I1468">
            <v>1196.5999999998685</v>
          </cell>
          <cell r="J1468">
            <v>89872.8</v>
          </cell>
        </row>
        <row r="1469">
          <cell r="G1469">
            <v>1196.5999999998685</v>
          </cell>
          <cell r="H1469">
            <v>89872.8</v>
          </cell>
          <cell r="I1469">
            <v>1196.6999999998684</v>
          </cell>
          <cell r="J1469">
            <v>90029.6</v>
          </cell>
        </row>
        <row r="1470">
          <cell r="G1470">
            <v>1196.6999999998684</v>
          </cell>
          <cell r="H1470">
            <v>90029.6</v>
          </cell>
          <cell r="I1470">
            <v>1196.7999999998683</v>
          </cell>
          <cell r="J1470">
            <v>90186.4</v>
          </cell>
        </row>
        <row r="1471">
          <cell r="G1471">
            <v>1196.7999999998683</v>
          </cell>
          <cell r="H1471">
            <v>90186.4</v>
          </cell>
          <cell r="I1471">
            <v>1196.8999999998682</v>
          </cell>
          <cell r="J1471">
            <v>90343.2</v>
          </cell>
        </row>
        <row r="1472">
          <cell r="G1472">
            <v>1196.8999999998682</v>
          </cell>
          <cell r="H1472">
            <v>90343.2</v>
          </cell>
          <cell r="I1472">
            <v>1196.9999999998681</v>
          </cell>
          <cell r="J1472">
            <v>90500</v>
          </cell>
        </row>
        <row r="1473">
          <cell r="G1473">
            <v>1196.9999999998681</v>
          </cell>
          <cell r="H1473">
            <v>90500</v>
          </cell>
          <cell r="I1473">
            <v>1197.099999999868</v>
          </cell>
          <cell r="J1473">
            <v>90658.7</v>
          </cell>
        </row>
        <row r="1474">
          <cell r="G1474">
            <v>1197.099999999868</v>
          </cell>
          <cell r="H1474">
            <v>90658.7</v>
          </cell>
          <cell r="I1474">
            <v>1197.1999999998679</v>
          </cell>
          <cell r="J1474">
            <v>90817.4</v>
          </cell>
        </row>
        <row r="1475">
          <cell r="G1475">
            <v>1197.1999999998679</v>
          </cell>
          <cell r="H1475">
            <v>90817.4</v>
          </cell>
          <cell r="I1475">
            <v>1197.2999999998679</v>
          </cell>
          <cell r="J1475">
            <v>90976.1</v>
          </cell>
        </row>
        <row r="1476">
          <cell r="G1476">
            <v>1197.2999999998679</v>
          </cell>
          <cell r="H1476">
            <v>90976.1</v>
          </cell>
          <cell r="I1476">
            <v>1197.3999999998678</v>
          </cell>
          <cell r="J1476">
            <v>91134.8</v>
          </cell>
        </row>
        <row r="1477">
          <cell r="G1477">
            <v>1197.3999999998678</v>
          </cell>
          <cell r="H1477">
            <v>91134.8</v>
          </cell>
          <cell r="I1477">
            <v>1197.4999999998677</v>
          </cell>
          <cell r="J1477">
            <v>91293.5</v>
          </cell>
        </row>
        <row r="1478">
          <cell r="G1478">
            <v>1197.4999999998677</v>
          </cell>
          <cell r="H1478">
            <v>91293.5</v>
          </cell>
          <cell r="I1478">
            <v>1197.5999999998676</v>
          </cell>
          <cell r="J1478">
            <v>91452.2</v>
          </cell>
        </row>
        <row r="1479">
          <cell r="G1479">
            <v>1197.5999999998676</v>
          </cell>
          <cell r="H1479">
            <v>91452.2</v>
          </cell>
          <cell r="I1479">
            <v>1197.6999999998675</v>
          </cell>
          <cell r="J1479">
            <v>91610.9</v>
          </cell>
        </row>
        <row r="1480">
          <cell r="G1480">
            <v>1197.6999999998675</v>
          </cell>
          <cell r="H1480">
            <v>91610.9</v>
          </cell>
          <cell r="I1480">
            <v>1197.7999999998674</v>
          </cell>
          <cell r="J1480">
            <v>91769.600000000006</v>
          </cell>
        </row>
        <row r="1481">
          <cell r="G1481">
            <v>1197.7999999998674</v>
          </cell>
          <cell r="H1481">
            <v>91769.600000000006</v>
          </cell>
          <cell r="I1481">
            <v>1197.8999999998673</v>
          </cell>
          <cell r="J1481">
            <v>91928.3</v>
          </cell>
        </row>
        <row r="1482">
          <cell r="G1482">
            <v>1197.8999999998673</v>
          </cell>
          <cell r="H1482">
            <v>91928.3</v>
          </cell>
          <cell r="I1482">
            <v>1197.9999999998672</v>
          </cell>
          <cell r="J1482">
            <v>92087</v>
          </cell>
        </row>
        <row r="1483">
          <cell r="G1483">
            <v>1197.9999999998672</v>
          </cell>
          <cell r="H1483">
            <v>92087</v>
          </cell>
          <cell r="I1483">
            <v>1198.0999999998671</v>
          </cell>
          <cell r="J1483">
            <v>92247.5</v>
          </cell>
        </row>
        <row r="1484">
          <cell r="G1484">
            <v>1198.0999999998671</v>
          </cell>
          <cell r="H1484">
            <v>92247.5</v>
          </cell>
          <cell r="I1484">
            <v>1198.199999999867</v>
          </cell>
          <cell r="J1484">
            <v>92408</v>
          </cell>
        </row>
        <row r="1485">
          <cell r="G1485">
            <v>1198.199999999867</v>
          </cell>
          <cell r="H1485">
            <v>92408</v>
          </cell>
          <cell r="I1485">
            <v>1198.2999999998669</v>
          </cell>
          <cell r="J1485">
            <v>92568.5</v>
          </cell>
        </row>
        <row r="1486">
          <cell r="G1486">
            <v>1198.2999999998669</v>
          </cell>
          <cell r="H1486">
            <v>92568.5</v>
          </cell>
          <cell r="I1486">
            <v>1198.3999999998668</v>
          </cell>
          <cell r="J1486">
            <v>92729</v>
          </cell>
        </row>
        <row r="1487">
          <cell r="G1487">
            <v>1198.3999999998668</v>
          </cell>
          <cell r="H1487">
            <v>92729</v>
          </cell>
          <cell r="I1487">
            <v>1198.4999999998668</v>
          </cell>
          <cell r="J1487">
            <v>92889.5</v>
          </cell>
        </row>
        <row r="1488">
          <cell r="G1488">
            <v>1198.4999999998668</v>
          </cell>
          <cell r="H1488">
            <v>92889.5</v>
          </cell>
          <cell r="I1488">
            <v>1198.5999999998667</v>
          </cell>
          <cell r="J1488">
            <v>93050</v>
          </cell>
        </row>
        <row r="1489">
          <cell r="G1489">
            <v>1198.5999999998667</v>
          </cell>
          <cell r="H1489">
            <v>93050</v>
          </cell>
          <cell r="I1489">
            <v>1198.6999999998666</v>
          </cell>
          <cell r="J1489">
            <v>93210.5</v>
          </cell>
        </row>
        <row r="1490">
          <cell r="G1490">
            <v>1198.6999999998666</v>
          </cell>
          <cell r="H1490">
            <v>93210.5</v>
          </cell>
          <cell r="I1490">
            <v>1198.7999999998665</v>
          </cell>
          <cell r="J1490">
            <v>93371</v>
          </cell>
        </row>
        <row r="1491">
          <cell r="G1491">
            <v>1198.7999999998665</v>
          </cell>
          <cell r="H1491">
            <v>93371</v>
          </cell>
          <cell r="I1491">
            <v>1198.8999999998664</v>
          </cell>
          <cell r="J1491">
            <v>93531.5</v>
          </cell>
        </row>
        <row r="1492">
          <cell r="G1492">
            <v>1198.8999999998664</v>
          </cell>
          <cell r="H1492">
            <v>93531.5</v>
          </cell>
          <cell r="I1492">
            <v>1198.9999999998663</v>
          </cell>
          <cell r="J1492">
            <v>93692</v>
          </cell>
        </row>
        <row r="1493">
          <cell r="G1493">
            <v>1198.9999999998663</v>
          </cell>
          <cell r="H1493">
            <v>93692</v>
          </cell>
          <cell r="I1493">
            <v>1199.0999999998662</v>
          </cell>
          <cell r="J1493">
            <v>93854.399999999994</v>
          </cell>
        </row>
        <row r="1494">
          <cell r="G1494">
            <v>1199.0999999998662</v>
          </cell>
          <cell r="H1494">
            <v>93854.399999999994</v>
          </cell>
          <cell r="I1494">
            <v>1199.1999999998661</v>
          </cell>
          <cell r="J1494">
            <v>94016.8</v>
          </cell>
        </row>
        <row r="1495">
          <cell r="G1495">
            <v>1199.1999999998661</v>
          </cell>
          <cell r="H1495">
            <v>94016.8</v>
          </cell>
          <cell r="I1495">
            <v>1199.299999999866</v>
          </cell>
          <cell r="J1495">
            <v>94179.199999999997</v>
          </cell>
        </row>
        <row r="1496">
          <cell r="G1496">
            <v>1199.299999999866</v>
          </cell>
          <cell r="H1496">
            <v>94179.199999999997</v>
          </cell>
          <cell r="I1496">
            <v>1199.3999999998659</v>
          </cell>
          <cell r="J1496">
            <v>94341.6</v>
          </cell>
        </row>
        <row r="1497">
          <cell r="G1497">
            <v>1199.3999999998659</v>
          </cell>
          <cell r="H1497">
            <v>94341.6</v>
          </cell>
          <cell r="I1497">
            <v>1199.4999999998658</v>
          </cell>
          <cell r="J1497">
            <v>94504</v>
          </cell>
        </row>
        <row r="1498">
          <cell r="G1498">
            <v>1199.4999999998658</v>
          </cell>
          <cell r="H1498">
            <v>94504</v>
          </cell>
          <cell r="I1498">
            <v>1199.5999999998658</v>
          </cell>
          <cell r="J1498">
            <v>94666.4</v>
          </cell>
        </row>
        <row r="1499">
          <cell r="G1499">
            <v>1199.5999999998658</v>
          </cell>
          <cell r="H1499">
            <v>94666.4</v>
          </cell>
          <cell r="I1499">
            <v>1199.6999999998657</v>
          </cell>
          <cell r="J1499">
            <v>94828.800000000003</v>
          </cell>
        </row>
        <row r="1500">
          <cell r="G1500">
            <v>1199.6999999998657</v>
          </cell>
          <cell r="H1500">
            <v>94828.800000000003</v>
          </cell>
          <cell r="I1500">
            <v>1199.7999999998656</v>
          </cell>
          <cell r="J1500">
            <v>94991.2</v>
          </cell>
        </row>
        <row r="1501">
          <cell r="G1501">
            <v>1199.7999999998656</v>
          </cell>
          <cell r="H1501">
            <v>94991.2</v>
          </cell>
          <cell r="I1501">
            <v>1199.8999999998655</v>
          </cell>
          <cell r="J1501">
            <v>95153.599999999948</v>
          </cell>
        </row>
        <row r="1502">
          <cell r="G1502">
            <v>1199.8999999998655</v>
          </cell>
          <cell r="H1502">
            <v>95153.599999999948</v>
          </cell>
          <cell r="I1502">
            <v>1199.9999999998654</v>
          </cell>
          <cell r="J1502">
            <v>95316</v>
          </cell>
        </row>
        <row r="1503">
          <cell r="G1503">
            <v>1199.9999999998654</v>
          </cell>
          <cell r="H1503">
            <v>95316</v>
          </cell>
          <cell r="I1503">
            <v>1200.0999999998653</v>
          </cell>
          <cell r="J1503">
            <v>95480.3</v>
          </cell>
        </row>
        <row r="1504">
          <cell r="G1504">
            <v>1200.0999999998653</v>
          </cell>
          <cell r="H1504">
            <v>95480.3</v>
          </cell>
          <cell r="I1504">
            <v>1200.1999999998652</v>
          </cell>
          <cell r="J1504">
            <v>95644.6</v>
          </cell>
        </row>
        <row r="1505">
          <cell r="G1505">
            <v>1200.1999999998652</v>
          </cell>
          <cell r="H1505">
            <v>95644.6</v>
          </cell>
          <cell r="I1505">
            <v>1200.2999999998651</v>
          </cell>
          <cell r="J1505">
            <v>95808.9</v>
          </cell>
        </row>
        <row r="1506">
          <cell r="G1506">
            <v>1200.2999999998651</v>
          </cell>
          <cell r="H1506">
            <v>95808.9</v>
          </cell>
          <cell r="I1506">
            <v>1200.399999999865</v>
          </cell>
          <cell r="J1506">
            <v>95973.2</v>
          </cell>
        </row>
        <row r="1507">
          <cell r="G1507">
            <v>1200.399999999865</v>
          </cell>
          <cell r="H1507">
            <v>95973.2</v>
          </cell>
          <cell r="I1507">
            <v>1200.4999999998649</v>
          </cell>
          <cell r="J1507">
            <v>96137.5</v>
          </cell>
        </row>
        <row r="1508">
          <cell r="G1508">
            <v>1200.4999999998649</v>
          </cell>
          <cell r="H1508">
            <v>96137.5</v>
          </cell>
          <cell r="I1508">
            <v>1200.5999999998648</v>
          </cell>
          <cell r="J1508">
            <v>96301.8</v>
          </cell>
        </row>
        <row r="1509">
          <cell r="G1509">
            <v>1200.5999999998648</v>
          </cell>
          <cell r="H1509">
            <v>96301.8</v>
          </cell>
          <cell r="I1509">
            <v>1200.6999999998648</v>
          </cell>
          <cell r="J1509">
            <v>96466.1</v>
          </cell>
        </row>
        <row r="1510">
          <cell r="G1510">
            <v>1200.6999999998648</v>
          </cell>
          <cell r="H1510">
            <v>96466.1</v>
          </cell>
          <cell r="I1510">
            <v>1200.7999999998647</v>
          </cell>
          <cell r="J1510">
            <v>96630.399999999994</v>
          </cell>
        </row>
        <row r="1511">
          <cell r="G1511">
            <v>1200.7999999998647</v>
          </cell>
          <cell r="H1511">
            <v>96630.399999999994</v>
          </cell>
          <cell r="I1511">
            <v>1200.8999999998646</v>
          </cell>
          <cell r="J1511">
            <v>96794.7</v>
          </cell>
        </row>
        <row r="1512">
          <cell r="G1512">
            <v>1200.8999999998646</v>
          </cell>
          <cell r="H1512">
            <v>96794.7</v>
          </cell>
          <cell r="I1512">
            <v>1200.9999999998645</v>
          </cell>
          <cell r="J1512">
            <v>96959</v>
          </cell>
        </row>
        <row r="1513">
          <cell r="G1513">
            <v>1200.9999999998645</v>
          </cell>
          <cell r="H1513">
            <v>96959</v>
          </cell>
          <cell r="I1513">
            <v>1201.0999999998644</v>
          </cell>
          <cell r="J1513">
            <v>97125.2</v>
          </cell>
        </row>
        <row r="1514">
          <cell r="G1514">
            <v>1201.0999999998644</v>
          </cell>
          <cell r="H1514">
            <v>97125.2</v>
          </cell>
          <cell r="I1514">
            <v>1201.1999999998643</v>
          </cell>
          <cell r="J1514">
            <v>97291.4</v>
          </cell>
        </row>
        <row r="1515">
          <cell r="G1515">
            <v>1201.1999999998643</v>
          </cell>
          <cell r="H1515">
            <v>97291.4</v>
          </cell>
          <cell r="I1515">
            <v>1201.2999999998642</v>
          </cell>
          <cell r="J1515">
            <v>97457.600000000006</v>
          </cell>
        </row>
        <row r="1516">
          <cell r="G1516">
            <v>1201.2999999998642</v>
          </cell>
          <cell r="H1516">
            <v>97457.600000000006</v>
          </cell>
          <cell r="I1516">
            <v>1201.3999999998641</v>
          </cell>
          <cell r="J1516">
            <v>97623.8</v>
          </cell>
        </row>
        <row r="1517">
          <cell r="G1517">
            <v>1201.3999999998641</v>
          </cell>
          <cell r="H1517">
            <v>97623.8</v>
          </cell>
          <cell r="I1517">
            <v>1201.499999999864</v>
          </cell>
          <cell r="J1517">
            <v>97790</v>
          </cell>
        </row>
        <row r="1518">
          <cell r="G1518">
            <v>1201.499999999864</v>
          </cell>
          <cell r="H1518">
            <v>97790</v>
          </cell>
          <cell r="I1518">
            <v>1201.5999999998639</v>
          </cell>
          <cell r="J1518">
            <v>97956.2</v>
          </cell>
        </row>
        <row r="1519">
          <cell r="G1519">
            <v>1201.5999999998639</v>
          </cell>
          <cell r="H1519">
            <v>97956.2</v>
          </cell>
          <cell r="I1519">
            <v>1201.6999999998638</v>
          </cell>
          <cell r="J1519">
            <v>98122.4</v>
          </cell>
        </row>
        <row r="1520">
          <cell r="G1520">
            <v>1201.6999999998638</v>
          </cell>
          <cell r="H1520">
            <v>98122.4</v>
          </cell>
          <cell r="I1520">
            <v>1201.7999999998638</v>
          </cell>
          <cell r="J1520">
            <v>98288.6</v>
          </cell>
        </row>
        <row r="1521">
          <cell r="G1521">
            <v>1201.7999999998638</v>
          </cell>
          <cell r="H1521">
            <v>98288.6</v>
          </cell>
          <cell r="I1521">
            <v>1201.8999999998637</v>
          </cell>
          <cell r="J1521">
            <v>98454.8</v>
          </cell>
        </row>
        <row r="1522">
          <cell r="G1522">
            <v>1201.8999999998637</v>
          </cell>
          <cell r="H1522">
            <v>98454.8</v>
          </cell>
          <cell r="I1522">
            <v>1201.9999999998636</v>
          </cell>
          <cell r="J1522">
            <v>98621</v>
          </cell>
        </row>
        <row r="1523">
          <cell r="G1523">
            <v>1201.9999999998636</v>
          </cell>
          <cell r="H1523">
            <v>98621</v>
          </cell>
          <cell r="I1523">
            <v>1202.0999999998635</v>
          </cell>
          <cell r="J1523">
            <v>98789.2</v>
          </cell>
        </row>
        <row r="1524">
          <cell r="G1524">
            <v>1202.0999999998635</v>
          </cell>
          <cell r="H1524">
            <v>98789.2</v>
          </cell>
          <cell r="I1524">
            <v>1202.1999999998634</v>
          </cell>
          <cell r="J1524">
            <v>98957.4</v>
          </cell>
        </row>
        <row r="1525">
          <cell r="G1525">
            <v>1202.1999999998634</v>
          </cell>
          <cell r="H1525">
            <v>98957.4</v>
          </cell>
          <cell r="I1525">
            <v>1202.2999999998633</v>
          </cell>
          <cell r="J1525">
            <v>99125.6</v>
          </cell>
        </row>
        <row r="1526">
          <cell r="G1526">
            <v>1202.2999999998633</v>
          </cell>
          <cell r="H1526">
            <v>99125.6</v>
          </cell>
          <cell r="I1526">
            <v>1202.3999999998632</v>
          </cell>
          <cell r="J1526">
            <v>99293.8</v>
          </cell>
        </row>
        <row r="1527">
          <cell r="G1527">
            <v>1202.3999999998632</v>
          </cell>
          <cell r="H1527">
            <v>99293.8</v>
          </cell>
          <cell r="I1527">
            <v>1202.4999999998631</v>
          </cell>
          <cell r="J1527">
            <v>99462</v>
          </cell>
        </row>
        <row r="1528">
          <cell r="G1528">
            <v>1202.4999999998631</v>
          </cell>
          <cell r="H1528">
            <v>99462</v>
          </cell>
          <cell r="I1528">
            <v>1202.599999999863</v>
          </cell>
          <cell r="J1528">
            <v>99630.2</v>
          </cell>
        </row>
        <row r="1529">
          <cell r="G1529">
            <v>1202.599999999863</v>
          </cell>
          <cell r="H1529">
            <v>99630.2</v>
          </cell>
          <cell r="I1529">
            <v>1202.6999999998629</v>
          </cell>
          <cell r="J1529">
            <v>99798.399999999994</v>
          </cell>
        </row>
        <row r="1530">
          <cell r="G1530">
            <v>1202.6999999998629</v>
          </cell>
          <cell r="H1530">
            <v>99798.399999999994</v>
          </cell>
          <cell r="I1530">
            <v>1202.7999999998628</v>
          </cell>
          <cell r="J1530">
            <v>99966.6</v>
          </cell>
        </row>
        <row r="1531">
          <cell r="G1531">
            <v>1202.7999999998628</v>
          </cell>
          <cell r="H1531">
            <v>99966.6</v>
          </cell>
          <cell r="I1531">
            <v>1202.8999999998628</v>
          </cell>
          <cell r="J1531">
            <v>100134.8</v>
          </cell>
        </row>
        <row r="1532">
          <cell r="G1532">
            <v>1202.8999999998628</v>
          </cell>
          <cell r="H1532">
            <v>100134.8</v>
          </cell>
          <cell r="I1532">
            <v>1202.9999999998627</v>
          </cell>
          <cell r="J1532">
            <v>100303</v>
          </cell>
        </row>
        <row r="1533">
          <cell r="G1533">
            <v>1202.9999999998627</v>
          </cell>
          <cell r="H1533">
            <v>100303</v>
          </cell>
          <cell r="I1533">
            <v>1203.0999999998626</v>
          </cell>
          <cell r="J1533">
            <v>100473</v>
          </cell>
        </row>
        <row r="1534">
          <cell r="G1534">
            <v>1203.0999999998626</v>
          </cell>
          <cell r="H1534">
            <v>100473</v>
          </cell>
          <cell r="I1534">
            <v>1203.1999999998625</v>
          </cell>
          <cell r="J1534">
            <v>100643</v>
          </cell>
        </row>
        <row r="1535">
          <cell r="G1535">
            <v>1203.1999999998625</v>
          </cell>
          <cell r="H1535">
            <v>100643</v>
          </cell>
          <cell r="I1535">
            <v>1203.2999999998624</v>
          </cell>
          <cell r="J1535">
            <v>100813</v>
          </cell>
        </row>
        <row r="1536">
          <cell r="G1536">
            <v>1203.2999999998624</v>
          </cell>
          <cell r="H1536">
            <v>100813</v>
          </cell>
          <cell r="I1536">
            <v>1203.3999999998623</v>
          </cell>
          <cell r="J1536">
            <v>100983</v>
          </cell>
        </row>
        <row r="1537">
          <cell r="G1537">
            <v>1203.3999999998623</v>
          </cell>
          <cell r="H1537">
            <v>100983</v>
          </cell>
          <cell r="I1537">
            <v>1203.4999999998622</v>
          </cell>
          <cell r="J1537">
            <v>101153</v>
          </cell>
        </row>
        <row r="1538">
          <cell r="G1538">
            <v>1203.4999999998622</v>
          </cell>
          <cell r="H1538">
            <v>101153</v>
          </cell>
          <cell r="I1538">
            <v>1203.5999999998621</v>
          </cell>
          <cell r="J1538">
            <v>101323</v>
          </cell>
        </row>
        <row r="1539">
          <cell r="G1539">
            <v>1203.5999999998621</v>
          </cell>
          <cell r="H1539">
            <v>101323</v>
          </cell>
          <cell r="I1539">
            <v>1203.699999999862</v>
          </cell>
          <cell r="J1539">
            <v>101493</v>
          </cell>
        </row>
        <row r="1540">
          <cell r="G1540">
            <v>1203.699999999862</v>
          </cell>
          <cell r="H1540">
            <v>101493</v>
          </cell>
          <cell r="I1540">
            <v>1203.7999999998619</v>
          </cell>
          <cell r="J1540">
            <v>101663</v>
          </cell>
        </row>
        <row r="1541">
          <cell r="G1541">
            <v>1203.7999999998619</v>
          </cell>
          <cell r="H1541">
            <v>101663</v>
          </cell>
          <cell r="I1541">
            <v>1203.8999999998618</v>
          </cell>
          <cell r="J1541">
            <v>101833</v>
          </cell>
        </row>
        <row r="1542">
          <cell r="G1542">
            <v>1203.8999999998618</v>
          </cell>
          <cell r="H1542">
            <v>101833</v>
          </cell>
          <cell r="I1542">
            <v>1203.9999999998618</v>
          </cell>
          <cell r="J1542">
            <v>102003</v>
          </cell>
        </row>
        <row r="1543">
          <cell r="G1543">
            <v>1203.9999999998618</v>
          </cell>
          <cell r="H1543">
            <v>102003</v>
          </cell>
          <cell r="I1543">
            <v>1204.0999999998617</v>
          </cell>
          <cell r="J1543">
            <v>102175.1</v>
          </cell>
        </row>
        <row r="1544">
          <cell r="G1544">
            <v>1204.0999999998617</v>
          </cell>
          <cell r="H1544">
            <v>102175.1</v>
          </cell>
          <cell r="I1544">
            <v>1204.1999999998616</v>
          </cell>
          <cell r="J1544">
            <v>102347.2</v>
          </cell>
        </row>
        <row r="1545">
          <cell r="G1545">
            <v>1204.1999999998616</v>
          </cell>
          <cell r="H1545">
            <v>102347.2</v>
          </cell>
          <cell r="I1545">
            <v>1204.2999999998615</v>
          </cell>
          <cell r="J1545">
            <v>102519.3</v>
          </cell>
        </row>
        <row r="1546">
          <cell r="G1546">
            <v>1204.2999999998615</v>
          </cell>
          <cell r="H1546">
            <v>102519.3</v>
          </cell>
          <cell r="I1546">
            <v>1204.3999999998614</v>
          </cell>
          <cell r="J1546">
            <v>102691.4</v>
          </cell>
        </row>
        <row r="1547">
          <cell r="G1547">
            <v>1204.3999999998614</v>
          </cell>
          <cell r="H1547">
            <v>102691.4</v>
          </cell>
          <cell r="I1547">
            <v>1204.4999999998613</v>
          </cell>
          <cell r="J1547">
            <v>102863.5</v>
          </cell>
        </row>
        <row r="1548">
          <cell r="G1548">
            <v>1204.4999999998613</v>
          </cell>
          <cell r="H1548">
            <v>102863.5</v>
          </cell>
          <cell r="I1548">
            <v>1204.5999999998612</v>
          </cell>
          <cell r="J1548">
            <v>103035.6</v>
          </cell>
        </row>
        <row r="1549">
          <cell r="G1549">
            <v>1204.5999999998612</v>
          </cell>
          <cell r="H1549">
            <v>103035.6</v>
          </cell>
          <cell r="I1549">
            <v>1204.6999999998611</v>
          </cell>
          <cell r="J1549">
            <v>103207.7</v>
          </cell>
        </row>
        <row r="1550">
          <cell r="G1550">
            <v>1204.6999999998611</v>
          </cell>
          <cell r="H1550">
            <v>103207.7</v>
          </cell>
          <cell r="I1550">
            <v>1204.799999999861</v>
          </cell>
          <cell r="J1550">
            <v>103379.8</v>
          </cell>
        </row>
        <row r="1551">
          <cell r="G1551">
            <v>1204.799999999861</v>
          </cell>
          <cell r="H1551">
            <v>103379.8</v>
          </cell>
          <cell r="I1551">
            <v>1204.8999999998609</v>
          </cell>
          <cell r="J1551">
            <v>103551.9</v>
          </cell>
        </row>
        <row r="1552">
          <cell r="G1552">
            <v>1204.8999999998609</v>
          </cell>
          <cell r="H1552">
            <v>103551.9</v>
          </cell>
          <cell r="I1552">
            <v>1204.9999999998608</v>
          </cell>
          <cell r="J1552">
            <v>103724</v>
          </cell>
        </row>
        <row r="1553">
          <cell r="G1553">
            <v>1204.9999999998608</v>
          </cell>
          <cell r="H1553">
            <v>103724</v>
          </cell>
          <cell r="I1553">
            <v>1205.0999999998608</v>
          </cell>
          <cell r="J1553">
            <v>103897.9</v>
          </cell>
        </row>
        <row r="1554">
          <cell r="G1554">
            <v>1205.0999999998608</v>
          </cell>
          <cell r="H1554">
            <v>103897.9</v>
          </cell>
          <cell r="I1554">
            <v>1205.1999999998607</v>
          </cell>
          <cell r="J1554">
            <v>104071.8</v>
          </cell>
        </row>
        <row r="1555">
          <cell r="G1555">
            <v>1205.1999999998607</v>
          </cell>
          <cell r="H1555">
            <v>104071.8</v>
          </cell>
          <cell r="I1555">
            <v>1205.2999999998606</v>
          </cell>
          <cell r="J1555">
            <v>104245.7</v>
          </cell>
        </row>
        <row r="1556">
          <cell r="G1556">
            <v>1205.2999999998606</v>
          </cell>
          <cell r="H1556">
            <v>104245.7</v>
          </cell>
          <cell r="I1556">
            <v>1205.3999999998605</v>
          </cell>
          <cell r="J1556">
            <v>104419.6</v>
          </cell>
        </row>
        <row r="1557">
          <cell r="G1557">
            <v>1205.3999999998605</v>
          </cell>
          <cell r="H1557">
            <v>104419.6</v>
          </cell>
          <cell r="I1557">
            <v>1205.4999999998604</v>
          </cell>
          <cell r="J1557">
            <v>104593.5</v>
          </cell>
        </row>
        <row r="1558">
          <cell r="G1558">
            <v>1205.4999999998604</v>
          </cell>
          <cell r="H1558">
            <v>104593.5</v>
          </cell>
          <cell r="I1558">
            <v>1205.5999999998603</v>
          </cell>
          <cell r="J1558">
            <v>104767.4</v>
          </cell>
        </row>
        <row r="1559">
          <cell r="G1559">
            <v>1205.5999999998603</v>
          </cell>
          <cell r="H1559">
            <v>104767.4</v>
          </cell>
          <cell r="I1559">
            <v>1205.6999999998602</v>
          </cell>
          <cell r="J1559">
            <v>104941.3</v>
          </cell>
        </row>
        <row r="1560">
          <cell r="G1560">
            <v>1205.6999999998602</v>
          </cell>
          <cell r="H1560">
            <v>104941.3</v>
          </cell>
          <cell r="I1560">
            <v>1205.7999999998601</v>
          </cell>
          <cell r="J1560">
            <v>105115.2</v>
          </cell>
        </row>
        <row r="1561">
          <cell r="G1561">
            <v>1205.7999999998601</v>
          </cell>
          <cell r="H1561">
            <v>105115.2</v>
          </cell>
          <cell r="I1561">
            <v>1205.89999999986</v>
          </cell>
          <cell r="J1561">
            <v>105289.1</v>
          </cell>
        </row>
        <row r="1562">
          <cell r="G1562">
            <v>1205.89999999986</v>
          </cell>
          <cell r="H1562">
            <v>105289.1</v>
          </cell>
          <cell r="I1562">
            <v>1205.9999999998599</v>
          </cell>
          <cell r="J1562">
            <v>105463</v>
          </cell>
        </row>
        <row r="1563">
          <cell r="G1563">
            <v>1205.9999999998599</v>
          </cell>
          <cell r="H1563">
            <v>105463</v>
          </cell>
          <cell r="I1563">
            <v>1206.0999999998598</v>
          </cell>
          <cell r="J1563">
            <v>105639</v>
          </cell>
        </row>
        <row r="1564">
          <cell r="G1564">
            <v>1206.0999999998598</v>
          </cell>
          <cell r="H1564">
            <v>105639</v>
          </cell>
          <cell r="I1564">
            <v>1206.1999999998598</v>
          </cell>
          <cell r="J1564">
            <v>105815</v>
          </cell>
        </row>
        <row r="1565">
          <cell r="G1565">
            <v>1206.1999999998598</v>
          </cell>
          <cell r="H1565">
            <v>105815</v>
          </cell>
          <cell r="I1565">
            <v>1206.2999999998597</v>
          </cell>
          <cell r="J1565">
            <v>105991</v>
          </cell>
        </row>
        <row r="1566">
          <cell r="G1566">
            <v>1206.2999999998597</v>
          </cell>
          <cell r="H1566">
            <v>105991</v>
          </cell>
          <cell r="I1566">
            <v>1206.3999999998596</v>
          </cell>
          <cell r="J1566">
            <v>106167</v>
          </cell>
        </row>
        <row r="1567">
          <cell r="G1567">
            <v>1206.3999999998596</v>
          </cell>
          <cell r="H1567">
            <v>106167</v>
          </cell>
          <cell r="I1567">
            <v>1206.4999999998595</v>
          </cell>
          <cell r="J1567">
            <v>106343</v>
          </cell>
        </row>
        <row r="1568">
          <cell r="G1568">
            <v>1206.4999999998595</v>
          </cell>
          <cell r="H1568">
            <v>106343</v>
          </cell>
          <cell r="I1568">
            <v>1206.5999999998594</v>
          </cell>
          <cell r="J1568">
            <v>106519</v>
          </cell>
        </row>
        <row r="1569">
          <cell r="G1569">
            <v>1206.5999999998594</v>
          </cell>
          <cell r="H1569">
            <v>106519</v>
          </cell>
          <cell r="I1569">
            <v>1206.6999999998593</v>
          </cell>
          <cell r="J1569">
            <v>106695</v>
          </cell>
        </row>
        <row r="1570">
          <cell r="G1570">
            <v>1206.6999999998593</v>
          </cell>
          <cell r="H1570">
            <v>106695</v>
          </cell>
          <cell r="I1570">
            <v>1206.7999999998592</v>
          </cell>
          <cell r="J1570">
            <v>106871</v>
          </cell>
        </row>
        <row r="1571">
          <cell r="G1571">
            <v>1206.7999999998592</v>
          </cell>
          <cell r="H1571">
            <v>106871</v>
          </cell>
          <cell r="I1571">
            <v>1206.8999999998591</v>
          </cell>
          <cell r="J1571">
            <v>107047</v>
          </cell>
        </row>
        <row r="1572">
          <cell r="G1572">
            <v>1206.8999999998591</v>
          </cell>
          <cell r="H1572">
            <v>107047</v>
          </cell>
          <cell r="I1572">
            <v>1206.999999999859</v>
          </cell>
          <cell r="J1572">
            <v>107223</v>
          </cell>
        </row>
        <row r="1573">
          <cell r="G1573">
            <v>1206.999999999859</v>
          </cell>
          <cell r="H1573">
            <v>107223</v>
          </cell>
          <cell r="I1573">
            <v>1207.0999999998589</v>
          </cell>
          <cell r="J1573">
            <v>107401</v>
          </cell>
        </row>
        <row r="1574">
          <cell r="G1574">
            <v>1207.0999999998589</v>
          </cell>
          <cell r="H1574">
            <v>107401</v>
          </cell>
          <cell r="I1574">
            <v>1207.1999999998588</v>
          </cell>
          <cell r="J1574">
            <v>107579</v>
          </cell>
        </row>
        <row r="1575">
          <cell r="G1575">
            <v>1207.1999999998588</v>
          </cell>
          <cell r="H1575">
            <v>107579</v>
          </cell>
          <cell r="I1575">
            <v>1207.2999999998588</v>
          </cell>
          <cell r="J1575">
            <v>107757</v>
          </cell>
        </row>
        <row r="1576">
          <cell r="G1576">
            <v>1207.2999999998588</v>
          </cell>
          <cell r="H1576">
            <v>107757</v>
          </cell>
          <cell r="I1576">
            <v>1207.3999999998587</v>
          </cell>
          <cell r="J1576">
            <v>107935</v>
          </cell>
        </row>
        <row r="1577">
          <cell r="G1577">
            <v>1207.3999999998587</v>
          </cell>
          <cell r="H1577">
            <v>107935</v>
          </cell>
          <cell r="I1577">
            <v>1207.4999999998586</v>
          </cell>
          <cell r="J1577">
            <v>108113</v>
          </cell>
        </row>
        <row r="1578">
          <cell r="G1578">
            <v>1207.4999999998586</v>
          </cell>
          <cell r="H1578">
            <v>108113</v>
          </cell>
          <cell r="I1578">
            <v>1207.5999999998585</v>
          </cell>
          <cell r="J1578">
            <v>108291</v>
          </cell>
        </row>
        <row r="1579">
          <cell r="G1579">
            <v>1207.5999999998585</v>
          </cell>
          <cell r="H1579">
            <v>108291</v>
          </cell>
          <cell r="I1579">
            <v>1207.6999999998584</v>
          </cell>
          <cell r="J1579">
            <v>108469</v>
          </cell>
        </row>
        <row r="1580">
          <cell r="G1580">
            <v>1207.6999999998584</v>
          </cell>
          <cell r="H1580">
            <v>108469</v>
          </cell>
          <cell r="I1580">
            <v>1207.7999999998583</v>
          </cell>
          <cell r="J1580">
            <v>108647</v>
          </cell>
        </row>
        <row r="1581">
          <cell r="G1581">
            <v>1207.7999999998583</v>
          </cell>
          <cell r="H1581">
            <v>108647</v>
          </cell>
          <cell r="I1581">
            <v>1207.8999999998582</v>
          </cell>
          <cell r="J1581">
            <v>108825</v>
          </cell>
        </row>
        <row r="1582">
          <cell r="G1582">
            <v>1207.8999999998582</v>
          </cell>
          <cell r="H1582">
            <v>108825</v>
          </cell>
          <cell r="I1582">
            <v>1207.9999999998581</v>
          </cell>
          <cell r="J1582">
            <v>109003</v>
          </cell>
        </row>
        <row r="1583">
          <cell r="G1583">
            <v>1207.9999999998581</v>
          </cell>
          <cell r="H1583">
            <v>109003</v>
          </cell>
          <cell r="I1583">
            <v>1208.099999999858</v>
          </cell>
          <cell r="J1583">
            <v>109183</v>
          </cell>
        </row>
        <row r="1584">
          <cell r="G1584">
            <v>1208.099999999858</v>
          </cell>
          <cell r="H1584">
            <v>109183</v>
          </cell>
          <cell r="I1584">
            <v>1208.1999999998579</v>
          </cell>
          <cell r="J1584">
            <v>109363</v>
          </cell>
        </row>
        <row r="1585">
          <cell r="G1585">
            <v>1208.1999999998579</v>
          </cell>
          <cell r="H1585">
            <v>109363</v>
          </cell>
          <cell r="I1585">
            <v>1208.2999999998578</v>
          </cell>
          <cell r="J1585">
            <v>109543</v>
          </cell>
        </row>
        <row r="1586">
          <cell r="G1586">
            <v>1208.2999999998578</v>
          </cell>
          <cell r="H1586">
            <v>109543</v>
          </cell>
          <cell r="I1586">
            <v>1208.3999999998578</v>
          </cell>
          <cell r="J1586">
            <v>109723</v>
          </cell>
        </row>
        <row r="1587">
          <cell r="G1587">
            <v>1208.3999999998578</v>
          </cell>
          <cell r="H1587">
            <v>109723</v>
          </cell>
          <cell r="I1587">
            <v>1208.4999999998577</v>
          </cell>
          <cell r="J1587">
            <v>109903</v>
          </cell>
        </row>
        <row r="1588">
          <cell r="G1588">
            <v>1208.4999999998577</v>
          </cell>
          <cell r="H1588">
            <v>109903</v>
          </cell>
          <cell r="I1588">
            <v>1208.5999999998576</v>
          </cell>
          <cell r="J1588">
            <v>110083</v>
          </cell>
        </row>
        <row r="1589">
          <cell r="G1589">
            <v>1208.5999999998576</v>
          </cell>
          <cell r="H1589">
            <v>110083</v>
          </cell>
          <cell r="I1589">
            <v>1208.6999999998575</v>
          </cell>
          <cell r="J1589">
            <v>110263</v>
          </cell>
        </row>
        <row r="1590">
          <cell r="G1590">
            <v>1208.6999999998575</v>
          </cell>
          <cell r="H1590">
            <v>110263</v>
          </cell>
          <cell r="I1590">
            <v>1208.7999999998574</v>
          </cell>
          <cell r="J1590">
            <v>110443</v>
          </cell>
        </row>
        <row r="1591">
          <cell r="G1591">
            <v>1208.7999999998574</v>
          </cell>
          <cell r="H1591">
            <v>110443</v>
          </cell>
          <cell r="I1591">
            <v>1208.8999999998573</v>
          </cell>
          <cell r="J1591">
            <v>110623</v>
          </cell>
        </row>
        <row r="1592">
          <cell r="G1592">
            <v>1208.8999999998573</v>
          </cell>
          <cell r="H1592">
            <v>110623</v>
          </cell>
          <cell r="I1592">
            <v>1208.9999999998572</v>
          </cell>
          <cell r="J1592">
            <v>110803</v>
          </cell>
        </row>
        <row r="1593">
          <cell r="G1593">
            <v>1208.9999999998572</v>
          </cell>
          <cell r="H1593">
            <v>110803</v>
          </cell>
          <cell r="I1593">
            <v>1209.0999999998571</v>
          </cell>
          <cell r="J1593">
            <v>111003.8</v>
          </cell>
        </row>
        <row r="1594">
          <cell r="G1594">
            <v>1209.0999999998571</v>
          </cell>
          <cell r="H1594">
            <v>111003.8</v>
          </cell>
          <cell r="I1594">
            <v>1209.199999999857</v>
          </cell>
          <cell r="J1594">
            <v>111204.6</v>
          </cell>
        </row>
        <row r="1595">
          <cell r="G1595">
            <v>1209.199999999857</v>
          </cell>
          <cell r="H1595">
            <v>111204.6</v>
          </cell>
          <cell r="I1595">
            <v>1209.2999999998569</v>
          </cell>
          <cell r="J1595">
            <v>111405.4</v>
          </cell>
        </row>
        <row r="1596">
          <cell r="G1596">
            <v>1209.2999999998569</v>
          </cell>
          <cell r="H1596">
            <v>111405.4</v>
          </cell>
          <cell r="I1596">
            <v>1209.3999999998568</v>
          </cell>
          <cell r="J1596">
            <v>111606.2</v>
          </cell>
        </row>
        <row r="1597">
          <cell r="G1597">
            <v>1209.3999999998568</v>
          </cell>
          <cell r="H1597">
            <v>111606.2</v>
          </cell>
          <cell r="I1597">
            <v>1209.4999999998568</v>
          </cell>
          <cell r="J1597">
            <v>111807</v>
          </cell>
        </row>
        <row r="1598">
          <cell r="G1598">
            <v>1209.4999999998568</v>
          </cell>
          <cell r="H1598">
            <v>111807</v>
          </cell>
          <cell r="I1598">
            <v>1209.5999999998567</v>
          </cell>
          <cell r="J1598">
            <v>112007.8</v>
          </cell>
        </row>
        <row r="1599">
          <cell r="G1599">
            <v>1209.5999999998567</v>
          </cell>
          <cell r="H1599">
            <v>112007.8</v>
          </cell>
          <cell r="I1599">
            <v>1209.6999999998566</v>
          </cell>
          <cell r="J1599">
            <v>112208.6</v>
          </cell>
        </row>
        <row r="1600">
          <cell r="G1600">
            <v>1209.6999999998566</v>
          </cell>
          <cell r="H1600">
            <v>112208.6</v>
          </cell>
          <cell r="I1600">
            <v>1209.7999999998565</v>
          </cell>
          <cell r="J1600">
            <v>112409.4</v>
          </cell>
        </row>
        <row r="1601">
          <cell r="G1601">
            <v>1209.7999999998565</v>
          </cell>
          <cell r="H1601">
            <v>112409.4</v>
          </cell>
          <cell r="I1601">
            <v>1209.8999999998564</v>
          </cell>
          <cell r="J1601">
            <v>112610.2</v>
          </cell>
        </row>
        <row r="1602">
          <cell r="G1602">
            <v>1209.8999999998564</v>
          </cell>
          <cell r="H1602">
            <v>112610.2</v>
          </cell>
          <cell r="I1602">
            <v>1209.9999999998563</v>
          </cell>
          <cell r="J1602">
            <v>112811</v>
          </cell>
        </row>
        <row r="1603">
          <cell r="G1603">
            <v>1209.9999999998563</v>
          </cell>
          <cell r="H1603">
            <v>112811</v>
          </cell>
          <cell r="I1603">
            <v>1210.0999999998562</v>
          </cell>
          <cell r="J1603">
            <v>112994.5</v>
          </cell>
        </row>
        <row r="1604">
          <cell r="G1604">
            <v>1210.0999999998562</v>
          </cell>
          <cell r="H1604">
            <v>112994.5</v>
          </cell>
          <cell r="I1604">
            <v>1210.1999999998561</v>
          </cell>
          <cell r="J1604">
            <v>113178</v>
          </cell>
        </row>
        <row r="1605">
          <cell r="G1605">
            <v>1210.1999999998561</v>
          </cell>
          <cell r="H1605">
            <v>113178</v>
          </cell>
          <cell r="I1605">
            <v>1210.299999999856</v>
          </cell>
          <cell r="J1605">
            <v>113361.5</v>
          </cell>
        </row>
        <row r="1606">
          <cell r="G1606">
            <v>1210.299999999856</v>
          </cell>
          <cell r="H1606">
            <v>113361.5</v>
          </cell>
          <cell r="I1606">
            <v>1210.3999999998559</v>
          </cell>
          <cell r="J1606">
            <v>113545</v>
          </cell>
        </row>
        <row r="1607">
          <cell r="G1607">
            <v>1210.3999999998559</v>
          </cell>
          <cell r="H1607">
            <v>113545</v>
          </cell>
          <cell r="I1607">
            <v>1210.4999999998558</v>
          </cell>
          <cell r="J1607">
            <v>113728.5</v>
          </cell>
        </row>
        <row r="1608">
          <cell r="G1608">
            <v>1210.4999999998558</v>
          </cell>
          <cell r="H1608">
            <v>113728.5</v>
          </cell>
          <cell r="I1608">
            <v>1210.5999999998558</v>
          </cell>
          <cell r="J1608">
            <v>113912</v>
          </cell>
        </row>
        <row r="1609">
          <cell r="G1609">
            <v>1210.5999999998558</v>
          </cell>
          <cell r="H1609">
            <v>113912</v>
          </cell>
          <cell r="I1609">
            <v>1210.6999999998557</v>
          </cell>
          <cell r="J1609">
            <v>114095.5</v>
          </cell>
        </row>
        <row r="1610">
          <cell r="G1610">
            <v>1210.6999999998557</v>
          </cell>
          <cell r="H1610">
            <v>114095.5</v>
          </cell>
          <cell r="I1610">
            <v>1210.7999999998556</v>
          </cell>
          <cell r="J1610">
            <v>114279</v>
          </cell>
        </row>
        <row r="1611">
          <cell r="G1611">
            <v>1210.7999999998556</v>
          </cell>
          <cell r="H1611">
            <v>114279</v>
          </cell>
          <cell r="I1611">
            <v>1210.8999999998555</v>
          </cell>
          <cell r="J1611">
            <v>114462.5</v>
          </cell>
        </row>
        <row r="1612">
          <cell r="G1612">
            <v>1210.8999999998555</v>
          </cell>
          <cell r="H1612">
            <v>114462.5</v>
          </cell>
          <cell r="I1612">
            <v>1210.9999999998554</v>
          </cell>
          <cell r="J1612">
            <v>114646</v>
          </cell>
        </row>
        <row r="1613">
          <cell r="G1613">
            <v>1210.9999999998554</v>
          </cell>
          <cell r="H1613">
            <v>114646</v>
          </cell>
          <cell r="I1613">
            <v>1211.0999999998553</v>
          </cell>
          <cell r="J1613">
            <v>114831</v>
          </cell>
        </row>
        <row r="1614">
          <cell r="G1614">
            <v>1211.0999999998553</v>
          </cell>
          <cell r="H1614">
            <v>114831</v>
          </cell>
          <cell r="I1614">
            <v>1211.1999999998552</v>
          </cell>
          <cell r="J1614">
            <v>115016</v>
          </cell>
        </row>
        <row r="1615">
          <cell r="G1615">
            <v>1211.1999999998552</v>
          </cell>
          <cell r="H1615">
            <v>115016</v>
          </cell>
          <cell r="I1615">
            <v>1211.2999999998551</v>
          </cell>
          <cell r="J1615">
            <v>115201</v>
          </cell>
        </row>
        <row r="1616">
          <cell r="G1616">
            <v>1211.2999999998551</v>
          </cell>
          <cell r="H1616">
            <v>115201</v>
          </cell>
          <cell r="I1616">
            <v>1211.399999999855</v>
          </cell>
          <cell r="J1616">
            <v>115386</v>
          </cell>
        </row>
        <row r="1617">
          <cell r="G1617">
            <v>1211.399999999855</v>
          </cell>
          <cell r="H1617">
            <v>115386</v>
          </cell>
          <cell r="I1617">
            <v>1211.4999999998549</v>
          </cell>
          <cell r="J1617">
            <v>115571</v>
          </cell>
        </row>
        <row r="1618">
          <cell r="G1618">
            <v>1211.4999999998549</v>
          </cell>
          <cell r="H1618">
            <v>115571</v>
          </cell>
          <cell r="I1618">
            <v>1211.5999999998548</v>
          </cell>
          <cell r="J1618">
            <v>115756</v>
          </cell>
        </row>
        <row r="1619">
          <cell r="G1619">
            <v>1211.5999999998548</v>
          </cell>
          <cell r="H1619">
            <v>115756</v>
          </cell>
          <cell r="I1619">
            <v>1211.6999999998548</v>
          </cell>
          <cell r="J1619">
            <v>115941</v>
          </cell>
        </row>
        <row r="1620">
          <cell r="G1620">
            <v>1211.6999999998548</v>
          </cell>
          <cell r="H1620">
            <v>115941</v>
          </cell>
          <cell r="I1620">
            <v>1211.7999999998547</v>
          </cell>
          <cell r="J1620">
            <v>116126</v>
          </cell>
        </row>
        <row r="1621">
          <cell r="G1621">
            <v>1211.7999999998547</v>
          </cell>
          <cell r="H1621">
            <v>116126</v>
          </cell>
          <cell r="I1621">
            <v>1211.8999999998546</v>
          </cell>
          <cell r="J1621">
            <v>116311</v>
          </cell>
        </row>
        <row r="1622">
          <cell r="G1622">
            <v>1211.8999999998546</v>
          </cell>
          <cell r="H1622">
            <v>116311</v>
          </cell>
          <cell r="I1622">
            <v>1211.9999999998545</v>
          </cell>
          <cell r="J1622">
            <v>116496</v>
          </cell>
        </row>
        <row r="1623">
          <cell r="G1623">
            <v>1211.9999999998545</v>
          </cell>
          <cell r="H1623">
            <v>116496</v>
          </cell>
          <cell r="I1623">
            <v>1212.0999999998544</v>
          </cell>
          <cell r="J1623">
            <v>116682.5</v>
          </cell>
        </row>
        <row r="1624">
          <cell r="G1624">
            <v>1212.0999999998544</v>
          </cell>
          <cell r="H1624">
            <v>116682.5</v>
          </cell>
          <cell r="I1624">
            <v>1212.1999999998543</v>
          </cell>
          <cell r="J1624">
            <v>116869</v>
          </cell>
        </row>
        <row r="1625">
          <cell r="G1625">
            <v>1212.1999999998543</v>
          </cell>
          <cell r="H1625">
            <v>116869</v>
          </cell>
          <cell r="I1625">
            <v>1212.2999999998542</v>
          </cell>
          <cell r="J1625">
            <v>117055.5</v>
          </cell>
        </row>
        <row r="1626">
          <cell r="G1626">
            <v>1212.2999999998542</v>
          </cell>
          <cell r="H1626">
            <v>117055.5</v>
          </cell>
          <cell r="I1626">
            <v>1212.3999999998541</v>
          </cell>
          <cell r="J1626">
            <v>117242</v>
          </cell>
        </row>
        <row r="1627">
          <cell r="G1627">
            <v>1212.3999999998541</v>
          </cell>
          <cell r="H1627">
            <v>117242</v>
          </cell>
          <cell r="I1627">
            <v>1212.499999999854</v>
          </cell>
          <cell r="J1627">
            <v>117428.5</v>
          </cell>
        </row>
        <row r="1628">
          <cell r="G1628">
            <v>1212.499999999854</v>
          </cell>
          <cell r="H1628">
            <v>117428.5</v>
          </cell>
          <cell r="I1628">
            <v>1212.5999999998539</v>
          </cell>
          <cell r="J1628">
            <v>117615</v>
          </cell>
        </row>
        <row r="1629">
          <cell r="G1629">
            <v>1212.5999999998539</v>
          </cell>
          <cell r="H1629">
            <v>117615</v>
          </cell>
          <cell r="I1629">
            <v>1212.6999999998538</v>
          </cell>
          <cell r="J1629">
            <v>117801.5</v>
          </cell>
        </row>
        <row r="1630">
          <cell r="G1630">
            <v>1212.6999999998538</v>
          </cell>
          <cell r="H1630">
            <v>117801.5</v>
          </cell>
          <cell r="I1630">
            <v>1212.7999999998538</v>
          </cell>
          <cell r="J1630">
            <v>117988</v>
          </cell>
        </row>
        <row r="1631">
          <cell r="G1631">
            <v>1212.7999999998538</v>
          </cell>
          <cell r="H1631">
            <v>117988</v>
          </cell>
          <cell r="I1631">
            <v>1212.8999999998537</v>
          </cell>
          <cell r="J1631">
            <v>118174.5</v>
          </cell>
        </row>
        <row r="1632">
          <cell r="G1632">
            <v>1212.8999999998537</v>
          </cell>
          <cell r="H1632">
            <v>118174.5</v>
          </cell>
          <cell r="I1632">
            <v>1212.9999999998536</v>
          </cell>
          <cell r="J1632">
            <v>118361</v>
          </cell>
        </row>
        <row r="1633">
          <cell r="G1633">
            <v>1212.9999999998536</v>
          </cell>
          <cell r="H1633">
            <v>118361</v>
          </cell>
          <cell r="I1633">
            <v>1213.0999999998535</v>
          </cell>
          <cell r="J1633">
            <v>118549</v>
          </cell>
        </row>
        <row r="1634">
          <cell r="G1634">
            <v>1213.0999999998535</v>
          </cell>
          <cell r="H1634">
            <v>118549</v>
          </cell>
          <cell r="I1634">
            <v>1213.1999999998534</v>
          </cell>
          <cell r="J1634">
            <v>118737</v>
          </cell>
        </row>
        <row r="1635">
          <cell r="G1635">
            <v>1213.1999999998534</v>
          </cell>
          <cell r="H1635">
            <v>118737</v>
          </cell>
          <cell r="I1635">
            <v>1213.2999999998533</v>
          </cell>
          <cell r="J1635">
            <v>118925</v>
          </cell>
        </row>
        <row r="1636">
          <cell r="G1636">
            <v>1213.2999999998533</v>
          </cell>
          <cell r="H1636">
            <v>118925</v>
          </cell>
          <cell r="I1636">
            <v>1213.3999999998532</v>
          </cell>
          <cell r="J1636">
            <v>119113</v>
          </cell>
        </row>
        <row r="1637">
          <cell r="G1637">
            <v>1213.3999999998532</v>
          </cell>
          <cell r="H1637">
            <v>119113</v>
          </cell>
          <cell r="I1637">
            <v>1213.4999999998531</v>
          </cell>
          <cell r="J1637">
            <v>119301</v>
          </cell>
        </row>
        <row r="1638">
          <cell r="G1638">
            <v>1213.4999999998531</v>
          </cell>
          <cell r="H1638">
            <v>119301</v>
          </cell>
          <cell r="I1638">
            <v>1213.599999999853</v>
          </cell>
          <cell r="J1638">
            <v>119489</v>
          </cell>
        </row>
        <row r="1639">
          <cell r="G1639">
            <v>1213.599999999853</v>
          </cell>
          <cell r="H1639">
            <v>119489</v>
          </cell>
          <cell r="I1639">
            <v>1213.6999999998529</v>
          </cell>
          <cell r="J1639">
            <v>119677</v>
          </cell>
        </row>
        <row r="1640">
          <cell r="G1640">
            <v>1213.6999999998529</v>
          </cell>
          <cell r="H1640">
            <v>119677</v>
          </cell>
          <cell r="I1640">
            <v>1213.7999999998528</v>
          </cell>
          <cell r="J1640">
            <v>119865</v>
          </cell>
        </row>
        <row r="1641">
          <cell r="G1641">
            <v>1213.7999999998528</v>
          </cell>
          <cell r="H1641">
            <v>119865</v>
          </cell>
          <cell r="I1641">
            <v>1213.8999999998528</v>
          </cell>
          <cell r="J1641">
            <v>120053</v>
          </cell>
        </row>
        <row r="1642">
          <cell r="G1642">
            <v>1213.8999999998528</v>
          </cell>
          <cell r="H1642">
            <v>120053</v>
          </cell>
          <cell r="I1642">
            <v>1213.9999999998527</v>
          </cell>
          <cell r="J1642">
            <v>120241</v>
          </cell>
        </row>
        <row r="1643">
          <cell r="G1643">
            <v>1213.9999999998527</v>
          </cell>
          <cell r="H1643">
            <v>120241</v>
          </cell>
          <cell r="I1643">
            <v>1214.0999999998526</v>
          </cell>
          <cell r="J1643">
            <v>120430.5</v>
          </cell>
        </row>
        <row r="1644">
          <cell r="G1644">
            <v>1214.0999999998526</v>
          </cell>
          <cell r="H1644">
            <v>120430.5</v>
          </cell>
          <cell r="I1644">
            <v>1214.1999999998525</v>
          </cell>
          <cell r="J1644">
            <v>120620</v>
          </cell>
        </row>
        <row r="1645">
          <cell r="G1645">
            <v>1214.1999999998525</v>
          </cell>
          <cell r="H1645">
            <v>120620</v>
          </cell>
          <cell r="I1645">
            <v>1214.2999999998524</v>
          </cell>
          <cell r="J1645">
            <v>120809.5</v>
          </cell>
        </row>
        <row r="1646">
          <cell r="G1646">
            <v>1214.2999999998524</v>
          </cell>
          <cell r="H1646">
            <v>120809.5</v>
          </cell>
          <cell r="I1646">
            <v>1214.3999999998523</v>
          </cell>
          <cell r="J1646">
            <v>120999</v>
          </cell>
        </row>
        <row r="1647">
          <cell r="G1647">
            <v>1214.3999999998523</v>
          </cell>
          <cell r="H1647">
            <v>120999</v>
          </cell>
          <cell r="I1647">
            <v>1214.4999999998522</v>
          </cell>
          <cell r="J1647">
            <v>121188.5</v>
          </cell>
        </row>
        <row r="1648">
          <cell r="G1648">
            <v>1214.4999999998522</v>
          </cell>
          <cell r="H1648">
            <v>121188.5</v>
          </cell>
          <cell r="I1648">
            <v>1214.5999999998521</v>
          </cell>
          <cell r="J1648">
            <v>121378</v>
          </cell>
        </row>
        <row r="1649">
          <cell r="G1649">
            <v>1214.5999999998521</v>
          </cell>
          <cell r="H1649">
            <v>121378</v>
          </cell>
          <cell r="I1649">
            <v>1214.699999999852</v>
          </cell>
          <cell r="J1649">
            <v>121567.5</v>
          </cell>
        </row>
        <row r="1650">
          <cell r="G1650">
            <v>1214.699999999852</v>
          </cell>
          <cell r="H1650">
            <v>121567.5</v>
          </cell>
          <cell r="I1650">
            <v>1214.7999999998519</v>
          </cell>
          <cell r="J1650">
            <v>121757</v>
          </cell>
        </row>
        <row r="1651">
          <cell r="G1651">
            <v>1214.7999999998519</v>
          </cell>
          <cell r="H1651">
            <v>121757</v>
          </cell>
          <cell r="I1651">
            <v>1214.8999999998518</v>
          </cell>
          <cell r="J1651">
            <v>121946.5</v>
          </cell>
        </row>
        <row r="1652">
          <cell r="G1652">
            <v>1214.8999999998518</v>
          </cell>
          <cell r="H1652">
            <v>121946.5</v>
          </cell>
          <cell r="I1652">
            <v>1214.9999999998518</v>
          </cell>
          <cell r="J1652">
            <v>122136</v>
          </cell>
        </row>
        <row r="1653">
          <cell r="G1653">
            <v>1214.9999999998518</v>
          </cell>
          <cell r="H1653">
            <v>122136</v>
          </cell>
          <cell r="I1653">
            <v>1215.0999999998517</v>
          </cell>
          <cell r="J1653">
            <v>122327</v>
          </cell>
        </row>
        <row r="1654">
          <cell r="G1654">
            <v>1215.0999999998517</v>
          </cell>
          <cell r="H1654">
            <v>122327</v>
          </cell>
          <cell r="I1654">
            <v>1215.1999999998516</v>
          </cell>
          <cell r="J1654">
            <v>122518</v>
          </cell>
        </row>
        <row r="1655">
          <cell r="G1655">
            <v>1215.1999999998516</v>
          </cell>
          <cell r="H1655">
            <v>122518</v>
          </cell>
          <cell r="I1655">
            <v>1215.2999999998515</v>
          </cell>
          <cell r="J1655">
            <v>122709</v>
          </cell>
        </row>
        <row r="1656">
          <cell r="G1656">
            <v>1215.2999999998515</v>
          </cell>
          <cell r="H1656">
            <v>122709</v>
          </cell>
          <cell r="I1656">
            <v>1215.3999999998514</v>
          </cell>
          <cell r="J1656">
            <v>122900</v>
          </cell>
        </row>
        <row r="1657">
          <cell r="G1657">
            <v>1215.3999999998514</v>
          </cell>
          <cell r="H1657">
            <v>122900</v>
          </cell>
          <cell r="I1657">
            <v>1215.4999999998513</v>
          </cell>
          <cell r="J1657">
            <v>123091</v>
          </cell>
        </row>
        <row r="1658">
          <cell r="G1658">
            <v>1215.4999999998513</v>
          </cell>
          <cell r="H1658">
            <v>123091</v>
          </cell>
          <cell r="I1658">
            <v>1215.5999999998512</v>
          </cell>
          <cell r="J1658">
            <v>123282</v>
          </cell>
        </row>
        <row r="1659">
          <cell r="G1659">
            <v>1215.5999999998512</v>
          </cell>
          <cell r="H1659">
            <v>123282</v>
          </cell>
          <cell r="I1659">
            <v>1215.6999999998511</v>
          </cell>
          <cell r="J1659">
            <v>123473</v>
          </cell>
        </row>
        <row r="1660">
          <cell r="G1660">
            <v>1215.6999999998511</v>
          </cell>
          <cell r="H1660">
            <v>123473</v>
          </cell>
          <cell r="I1660">
            <v>1215.799999999851</v>
          </cell>
          <cell r="J1660">
            <v>123664</v>
          </cell>
        </row>
        <row r="1661">
          <cell r="G1661">
            <v>1215.799999999851</v>
          </cell>
          <cell r="H1661">
            <v>123664</v>
          </cell>
          <cell r="I1661">
            <v>1215.8999999998509</v>
          </cell>
          <cell r="J1661">
            <v>123855</v>
          </cell>
        </row>
        <row r="1662">
          <cell r="G1662">
            <v>1215.8999999998509</v>
          </cell>
          <cell r="H1662">
            <v>123855</v>
          </cell>
          <cell r="I1662">
            <v>1215.9999999998508</v>
          </cell>
          <cell r="J1662">
            <v>124046</v>
          </cell>
        </row>
        <row r="1663">
          <cell r="G1663">
            <v>1215.9999999998508</v>
          </cell>
          <cell r="H1663">
            <v>124046</v>
          </cell>
          <cell r="I1663">
            <v>1216.0999999998508</v>
          </cell>
          <cell r="J1663">
            <v>124238.5</v>
          </cell>
        </row>
        <row r="1664">
          <cell r="G1664">
            <v>1216.0999999998508</v>
          </cell>
          <cell r="H1664">
            <v>124238.5</v>
          </cell>
          <cell r="I1664">
            <v>1216.1999999998507</v>
          </cell>
          <cell r="J1664">
            <v>124431</v>
          </cell>
        </row>
        <row r="1665">
          <cell r="G1665">
            <v>1216.1999999998507</v>
          </cell>
          <cell r="H1665">
            <v>124431</v>
          </cell>
          <cell r="I1665">
            <v>1216.2999999998506</v>
          </cell>
          <cell r="J1665">
            <v>124623.5</v>
          </cell>
        </row>
        <row r="1666">
          <cell r="G1666">
            <v>1216.2999999998506</v>
          </cell>
          <cell r="H1666">
            <v>124623.5</v>
          </cell>
          <cell r="I1666">
            <v>1216.3999999998505</v>
          </cell>
          <cell r="J1666">
            <v>124816</v>
          </cell>
        </row>
        <row r="1667">
          <cell r="G1667">
            <v>1216.3999999998505</v>
          </cell>
          <cell r="H1667">
            <v>124816</v>
          </cell>
          <cell r="I1667">
            <v>1216.4999999998504</v>
          </cell>
          <cell r="J1667">
            <v>125008.5</v>
          </cell>
        </row>
        <row r="1668">
          <cell r="G1668">
            <v>1216.4999999998504</v>
          </cell>
          <cell r="H1668">
            <v>125008.5</v>
          </cell>
          <cell r="I1668">
            <v>1216.5999999998503</v>
          </cell>
          <cell r="J1668">
            <v>125201</v>
          </cell>
        </row>
        <row r="1669">
          <cell r="G1669">
            <v>1216.5999999998503</v>
          </cell>
          <cell r="H1669">
            <v>125201</v>
          </cell>
          <cell r="I1669">
            <v>1216.6999999998502</v>
          </cell>
          <cell r="J1669">
            <v>125393.5</v>
          </cell>
        </row>
        <row r="1670">
          <cell r="G1670">
            <v>1216.6999999998502</v>
          </cell>
          <cell r="H1670">
            <v>125393.5</v>
          </cell>
          <cell r="I1670">
            <v>1216.7999999998501</v>
          </cell>
          <cell r="J1670">
            <v>125586</v>
          </cell>
        </row>
        <row r="1671">
          <cell r="G1671">
            <v>1216.7999999998501</v>
          </cell>
          <cell r="H1671">
            <v>125586</v>
          </cell>
          <cell r="I1671">
            <v>1216.89999999985</v>
          </cell>
          <cell r="J1671">
            <v>125778.5</v>
          </cell>
        </row>
        <row r="1672">
          <cell r="G1672">
            <v>1216.89999999985</v>
          </cell>
          <cell r="H1672">
            <v>125778.5</v>
          </cell>
          <cell r="I1672">
            <v>1216.9999999998499</v>
          </cell>
          <cell r="J1672">
            <v>125971</v>
          </cell>
        </row>
        <row r="1673">
          <cell r="G1673">
            <v>1216.9999999998499</v>
          </cell>
          <cell r="H1673">
            <v>125971</v>
          </cell>
          <cell r="I1673">
            <v>1217.0999999998498</v>
          </cell>
          <cell r="J1673">
            <v>126165</v>
          </cell>
        </row>
        <row r="1674">
          <cell r="G1674">
            <v>1217.0999999998498</v>
          </cell>
          <cell r="H1674">
            <v>126165</v>
          </cell>
          <cell r="I1674">
            <v>1217.1999999998498</v>
          </cell>
          <cell r="J1674">
            <v>126359</v>
          </cell>
        </row>
        <row r="1675">
          <cell r="G1675">
            <v>1217.1999999998498</v>
          </cell>
          <cell r="H1675">
            <v>126359</v>
          </cell>
          <cell r="I1675">
            <v>1217.2999999998497</v>
          </cell>
          <cell r="J1675">
            <v>126553</v>
          </cell>
        </row>
        <row r="1676">
          <cell r="G1676">
            <v>1217.2999999998497</v>
          </cell>
          <cell r="H1676">
            <v>126553</v>
          </cell>
          <cell r="I1676">
            <v>1217.3999999998496</v>
          </cell>
          <cell r="J1676">
            <v>126747</v>
          </cell>
        </row>
        <row r="1677">
          <cell r="G1677">
            <v>1217.3999999998496</v>
          </cell>
          <cell r="H1677">
            <v>126747</v>
          </cell>
          <cell r="I1677">
            <v>1217.4999999998495</v>
          </cell>
          <cell r="J1677">
            <v>126941</v>
          </cell>
        </row>
        <row r="1678">
          <cell r="G1678">
            <v>1217.4999999998495</v>
          </cell>
          <cell r="H1678">
            <v>126941</v>
          </cell>
          <cell r="I1678">
            <v>1217.5999999998494</v>
          </cell>
          <cell r="J1678">
            <v>127135</v>
          </cell>
        </row>
        <row r="1679">
          <cell r="G1679">
            <v>1217.5999999998494</v>
          </cell>
          <cell r="H1679">
            <v>127135</v>
          </cell>
          <cell r="I1679">
            <v>1217.6999999998493</v>
          </cell>
          <cell r="J1679">
            <v>127329</v>
          </cell>
        </row>
        <row r="1680">
          <cell r="G1680">
            <v>1217.6999999998493</v>
          </cell>
          <cell r="H1680">
            <v>127329</v>
          </cell>
          <cell r="I1680">
            <v>1217.7999999998492</v>
          </cell>
          <cell r="J1680">
            <v>127523</v>
          </cell>
        </row>
        <row r="1681">
          <cell r="G1681">
            <v>1217.7999999998492</v>
          </cell>
          <cell r="H1681">
            <v>127523</v>
          </cell>
          <cell r="I1681">
            <v>1217.8999999998491</v>
          </cell>
          <cell r="J1681">
            <v>127717</v>
          </cell>
        </row>
        <row r="1682">
          <cell r="G1682">
            <v>1217.8999999998491</v>
          </cell>
          <cell r="H1682">
            <v>127717</v>
          </cell>
          <cell r="I1682">
            <v>1217.999999999849</v>
          </cell>
          <cell r="J1682">
            <v>127911</v>
          </cell>
        </row>
        <row r="1683">
          <cell r="G1683">
            <v>1217.999999999849</v>
          </cell>
          <cell r="H1683">
            <v>127911</v>
          </cell>
          <cell r="I1683">
            <v>1218.0999999998489</v>
          </cell>
          <cell r="J1683">
            <v>128106.5</v>
          </cell>
        </row>
        <row r="1684">
          <cell r="G1684">
            <v>1218.0999999998489</v>
          </cell>
          <cell r="H1684">
            <v>128106.5</v>
          </cell>
          <cell r="I1684">
            <v>1218.1999999998488</v>
          </cell>
          <cell r="J1684">
            <v>128302</v>
          </cell>
        </row>
        <row r="1685">
          <cell r="G1685">
            <v>1218.1999999998488</v>
          </cell>
          <cell r="H1685">
            <v>128302</v>
          </cell>
          <cell r="I1685">
            <v>1218.2999999998488</v>
          </cell>
          <cell r="J1685">
            <v>128497.5</v>
          </cell>
        </row>
        <row r="1686">
          <cell r="G1686">
            <v>1218.2999999998488</v>
          </cell>
          <cell r="H1686">
            <v>128497.5</v>
          </cell>
          <cell r="I1686">
            <v>1218.3999999998487</v>
          </cell>
          <cell r="J1686">
            <v>128693</v>
          </cell>
        </row>
        <row r="1687">
          <cell r="G1687">
            <v>1218.3999999998487</v>
          </cell>
          <cell r="H1687">
            <v>128693</v>
          </cell>
          <cell r="I1687">
            <v>1218.4999999998486</v>
          </cell>
          <cell r="J1687">
            <v>128888.5</v>
          </cell>
        </row>
        <row r="1688">
          <cell r="G1688">
            <v>1218.4999999998486</v>
          </cell>
          <cell r="H1688">
            <v>128888.5</v>
          </cell>
          <cell r="I1688">
            <v>1218.5999999998485</v>
          </cell>
          <cell r="J1688">
            <v>129084</v>
          </cell>
        </row>
        <row r="1689">
          <cell r="G1689">
            <v>1218.5999999998485</v>
          </cell>
          <cell r="H1689">
            <v>129084</v>
          </cell>
          <cell r="I1689">
            <v>1218.6999999998484</v>
          </cell>
          <cell r="J1689">
            <v>129279.5</v>
          </cell>
        </row>
        <row r="1690">
          <cell r="G1690">
            <v>1218.6999999998484</v>
          </cell>
          <cell r="H1690">
            <v>129279.5</v>
          </cell>
          <cell r="I1690">
            <v>1218.7999999998483</v>
          </cell>
          <cell r="J1690">
            <v>129475</v>
          </cell>
        </row>
        <row r="1691">
          <cell r="G1691">
            <v>1218.7999999998483</v>
          </cell>
          <cell r="H1691">
            <v>129475</v>
          </cell>
          <cell r="I1691">
            <v>1218.8999999998482</v>
          </cell>
          <cell r="J1691">
            <v>129670.5</v>
          </cell>
        </row>
        <row r="1692">
          <cell r="G1692">
            <v>1218.8999999998482</v>
          </cell>
          <cell r="H1692">
            <v>129670.5</v>
          </cell>
          <cell r="I1692">
            <v>1218.9999999998481</v>
          </cell>
          <cell r="J1692">
            <v>129866</v>
          </cell>
        </row>
        <row r="1693">
          <cell r="G1693">
            <v>1218.9999999998481</v>
          </cell>
          <cell r="H1693">
            <v>129866</v>
          </cell>
          <cell r="I1693">
            <v>1219.099999999848</v>
          </cell>
          <cell r="J1693">
            <v>130063</v>
          </cell>
        </row>
        <row r="1694">
          <cell r="G1694">
            <v>1219.099999999848</v>
          </cell>
          <cell r="H1694">
            <v>130063</v>
          </cell>
          <cell r="I1694">
            <v>1219.1999999998479</v>
          </cell>
          <cell r="J1694">
            <v>130260</v>
          </cell>
        </row>
        <row r="1695">
          <cell r="G1695">
            <v>1219.1999999998479</v>
          </cell>
          <cell r="H1695">
            <v>130260</v>
          </cell>
          <cell r="I1695">
            <v>1219.2999999998478</v>
          </cell>
          <cell r="J1695">
            <v>130457</v>
          </cell>
        </row>
        <row r="1696">
          <cell r="G1696">
            <v>1219.2999999998478</v>
          </cell>
          <cell r="H1696">
            <v>130457</v>
          </cell>
          <cell r="I1696">
            <v>1219.3999999998478</v>
          </cell>
          <cell r="J1696">
            <v>130654</v>
          </cell>
        </row>
        <row r="1697">
          <cell r="G1697">
            <v>1219.3999999998478</v>
          </cell>
          <cell r="H1697">
            <v>130654</v>
          </cell>
          <cell r="I1697">
            <v>1219.4999999998477</v>
          </cell>
          <cell r="J1697">
            <v>130851</v>
          </cell>
        </row>
        <row r="1698">
          <cell r="G1698">
            <v>1219.4999999998477</v>
          </cell>
          <cell r="H1698">
            <v>130851</v>
          </cell>
          <cell r="I1698">
            <v>1219.5999999998476</v>
          </cell>
          <cell r="J1698">
            <v>131048</v>
          </cell>
        </row>
        <row r="1699">
          <cell r="G1699">
            <v>1219.5999999998476</v>
          </cell>
          <cell r="H1699">
            <v>131048</v>
          </cell>
          <cell r="I1699">
            <v>1219.6999999998475</v>
          </cell>
          <cell r="J1699">
            <v>131245</v>
          </cell>
        </row>
        <row r="1700">
          <cell r="G1700">
            <v>1219.6999999998475</v>
          </cell>
          <cell r="H1700">
            <v>131245</v>
          </cell>
          <cell r="I1700">
            <v>1219.7999999998474</v>
          </cell>
          <cell r="J1700">
            <v>131442</v>
          </cell>
        </row>
        <row r="1701">
          <cell r="G1701">
            <v>1219.7999999998474</v>
          </cell>
          <cell r="H1701">
            <v>131442</v>
          </cell>
          <cell r="I1701">
            <v>1219.8999999998473</v>
          </cell>
          <cell r="J1701">
            <v>131639</v>
          </cell>
        </row>
        <row r="1702">
          <cell r="G1702">
            <v>1219.8999999998473</v>
          </cell>
          <cell r="H1702">
            <v>131639</v>
          </cell>
          <cell r="I1702">
            <v>1219.9999999998472</v>
          </cell>
          <cell r="J1702">
            <v>131836</v>
          </cell>
        </row>
        <row r="1703">
          <cell r="G1703">
            <v>1219.9999999998472</v>
          </cell>
          <cell r="H1703">
            <v>131836</v>
          </cell>
          <cell r="I1703">
            <v>1220.0999999998471</v>
          </cell>
          <cell r="J1703">
            <v>132035.70000000001</v>
          </cell>
        </row>
        <row r="1704">
          <cell r="G1704">
            <v>1220.0999999998471</v>
          </cell>
          <cell r="H1704">
            <v>132035.70000000001</v>
          </cell>
          <cell r="I1704">
            <v>1220.199999999847</v>
          </cell>
          <cell r="J1704">
            <v>132235.4</v>
          </cell>
        </row>
        <row r="1705">
          <cell r="G1705">
            <v>1220.199999999847</v>
          </cell>
          <cell r="H1705">
            <v>132235.4</v>
          </cell>
          <cell r="I1705">
            <v>1220.2999999998469</v>
          </cell>
          <cell r="J1705">
            <v>132435.1</v>
          </cell>
        </row>
        <row r="1706">
          <cell r="G1706">
            <v>1220.2999999998469</v>
          </cell>
          <cell r="H1706">
            <v>132435.1</v>
          </cell>
          <cell r="I1706">
            <v>1220.3999999998468</v>
          </cell>
          <cell r="J1706">
            <v>132634.79999999999</v>
          </cell>
        </row>
        <row r="1707">
          <cell r="G1707">
            <v>1220.3999999998468</v>
          </cell>
          <cell r="H1707">
            <v>132634.79999999999</v>
          </cell>
          <cell r="I1707">
            <v>1220.4999999998468</v>
          </cell>
          <cell r="J1707">
            <v>132834.5</v>
          </cell>
        </row>
        <row r="1708">
          <cell r="G1708">
            <v>1220.4999999998468</v>
          </cell>
          <cell r="H1708">
            <v>132834.5</v>
          </cell>
          <cell r="I1708">
            <v>1220.5999999998467</v>
          </cell>
          <cell r="J1708">
            <v>133034.20000000001</v>
          </cell>
        </row>
        <row r="1709">
          <cell r="G1709">
            <v>1220.5999999998467</v>
          </cell>
          <cell r="H1709">
            <v>133034.20000000001</v>
          </cell>
          <cell r="I1709">
            <v>1220.6999999998466</v>
          </cell>
          <cell r="J1709">
            <v>133233.9</v>
          </cell>
        </row>
        <row r="1710">
          <cell r="G1710">
            <v>1220.6999999998466</v>
          </cell>
          <cell r="H1710">
            <v>133233.9</v>
          </cell>
          <cell r="I1710">
            <v>1220.7999999998465</v>
          </cell>
          <cell r="J1710">
            <v>133433.60000000001</v>
          </cell>
        </row>
        <row r="1711">
          <cell r="G1711">
            <v>1220.7999999998465</v>
          </cell>
          <cell r="H1711">
            <v>133433.60000000001</v>
          </cell>
          <cell r="I1711">
            <v>1220.8999999998464</v>
          </cell>
          <cell r="J1711">
            <v>133633.29999999999</v>
          </cell>
        </row>
        <row r="1712">
          <cell r="G1712">
            <v>1220.8999999998464</v>
          </cell>
          <cell r="H1712">
            <v>133633.29999999999</v>
          </cell>
          <cell r="I1712">
            <v>1220.9999999998463</v>
          </cell>
          <cell r="J1712">
            <v>133833</v>
          </cell>
        </row>
        <row r="1713">
          <cell r="G1713">
            <v>1220.9999999998463</v>
          </cell>
          <cell r="H1713">
            <v>133833</v>
          </cell>
          <cell r="I1713">
            <v>1221.0999999998462</v>
          </cell>
          <cell r="J1713">
            <v>134035.4</v>
          </cell>
        </row>
        <row r="1714">
          <cell r="G1714">
            <v>1221.0999999998462</v>
          </cell>
          <cell r="H1714">
            <v>134035.4</v>
          </cell>
          <cell r="I1714">
            <v>1221.1999999998461</v>
          </cell>
          <cell r="J1714">
            <v>134237.79999999999</v>
          </cell>
        </row>
        <row r="1715">
          <cell r="G1715">
            <v>1221.1999999998461</v>
          </cell>
          <cell r="H1715">
            <v>134237.79999999999</v>
          </cell>
          <cell r="I1715">
            <v>1221.299999999846</v>
          </cell>
          <cell r="J1715">
            <v>134440.20000000001</v>
          </cell>
        </row>
        <row r="1716">
          <cell r="G1716">
            <v>1221.299999999846</v>
          </cell>
          <cell r="H1716">
            <v>134440.20000000001</v>
          </cell>
          <cell r="I1716">
            <v>1221.3999999998459</v>
          </cell>
          <cell r="J1716">
            <v>134642.6</v>
          </cell>
        </row>
        <row r="1717">
          <cell r="G1717">
            <v>1221.3999999998459</v>
          </cell>
          <cell r="H1717">
            <v>134642.6</v>
          </cell>
          <cell r="I1717">
            <v>1221.4999999998458</v>
          </cell>
          <cell r="J1717">
            <v>134845</v>
          </cell>
        </row>
        <row r="1718">
          <cell r="G1718">
            <v>1221.4999999998458</v>
          </cell>
          <cell r="H1718">
            <v>134845</v>
          </cell>
          <cell r="I1718">
            <v>1221.5999999998457</v>
          </cell>
          <cell r="J1718">
            <v>135047.4</v>
          </cell>
        </row>
        <row r="1719">
          <cell r="G1719">
            <v>1221.5999999998457</v>
          </cell>
          <cell r="H1719">
            <v>135047.4</v>
          </cell>
          <cell r="I1719">
            <v>1221.6999999998457</v>
          </cell>
          <cell r="J1719">
            <v>135249.79999999999</v>
          </cell>
        </row>
        <row r="1720">
          <cell r="G1720">
            <v>1221.6999999998457</v>
          </cell>
          <cell r="H1720">
            <v>135249.79999999999</v>
          </cell>
          <cell r="I1720">
            <v>1221.7999999998456</v>
          </cell>
          <cell r="J1720">
            <v>135452.20000000001</v>
          </cell>
        </row>
        <row r="1721">
          <cell r="G1721">
            <v>1221.7999999998456</v>
          </cell>
          <cell r="H1721">
            <v>135452.20000000001</v>
          </cell>
          <cell r="I1721">
            <v>1221.8999999998455</v>
          </cell>
          <cell r="J1721">
            <v>135654.6</v>
          </cell>
        </row>
        <row r="1722">
          <cell r="G1722">
            <v>1221.8999999998455</v>
          </cell>
          <cell r="H1722">
            <v>135654.6</v>
          </cell>
          <cell r="I1722">
            <v>1221.9999999998454</v>
          </cell>
          <cell r="J1722">
            <v>135857</v>
          </cell>
        </row>
        <row r="1723">
          <cell r="G1723">
            <v>1221.9999999998454</v>
          </cell>
          <cell r="H1723">
            <v>135857</v>
          </cell>
          <cell r="I1723">
            <v>1222.0999999998453</v>
          </cell>
          <cell r="J1723">
            <v>136062.1</v>
          </cell>
        </row>
        <row r="1724">
          <cell r="G1724">
            <v>1222.0999999998453</v>
          </cell>
          <cell r="H1724">
            <v>136062.1</v>
          </cell>
          <cell r="I1724">
            <v>1222.1999999998452</v>
          </cell>
          <cell r="J1724">
            <v>136267.20000000001</v>
          </cell>
        </row>
        <row r="1725">
          <cell r="G1725">
            <v>1222.1999999998452</v>
          </cell>
          <cell r="H1725">
            <v>136267.20000000001</v>
          </cell>
          <cell r="I1725">
            <v>1222.2999999998451</v>
          </cell>
          <cell r="J1725">
            <v>136472.29999999999</v>
          </cell>
        </row>
        <row r="1726">
          <cell r="G1726">
            <v>1222.2999999998451</v>
          </cell>
          <cell r="H1726">
            <v>136472.29999999999</v>
          </cell>
          <cell r="I1726">
            <v>1222.399999999845</v>
          </cell>
          <cell r="J1726">
            <v>136677.4</v>
          </cell>
        </row>
        <row r="1727">
          <cell r="G1727">
            <v>1222.399999999845</v>
          </cell>
          <cell r="H1727">
            <v>136677.4</v>
          </cell>
          <cell r="I1727">
            <v>1222.4999999998449</v>
          </cell>
          <cell r="J1727">
            <v>136882.5</v>
          </cell>
        </row>
        <row r="1728">
          <cell r="G1728">
            <v>1222.4999999998449</v>
          </cell>
          <cell r="H1728">
            <v>136882.5</v>
          </cell>
          <cell r="I1728">
            <v>1222.5999999998448</v>
          </cell>
          <cell r="J1728">
            <v>137087.6</v>
          </cell>
        </row>
        <row r="1729">
          <cell r="G1729">
            <v>1222.5999999998448</v>
          </cell>
          <cell r="H1729">
            <v>137087.6</v>
          </cell>
          <cell r="I1729">
            <v>1222.6999999998447</v>
          </cell>
          <cell r="J1729">
            <v>137292.70000000001</v>
          </cell>
        </row>
        <row r="1730">
          <cell r="G1730">
            <v>1222.6999999998447</v>
          </cell>
          <cell r="H1730">
            <v>137292.70000000001</v>
          </cell>
          <cell r="I1730">
            <v>1222.7999999998447</v>
          </cell>
          <cell r="J1730">
            <v>137497.79999999999</v>
          </cell>
        </row>
        <row r="1731">
          <cell r="G1731">
            <v>1222.7999999998447</v>
          </cell>
          <cell r="H1731">
            <v>137497.79999999999</v>
          </cell>
          <cell r="I1731">
            <v>1222.8999999998446</v>
          </cell>
          <cell r="J1731">
            <v>137702.9</v>
          </cell>
        </row>
        <row r="1732">
          <cell r="G1732">
            <v>1222.8999999998446</v>
          </cell>
          <cell r="H1732">
            <v>137702.9</v>
          </cell>
          <cell r="I1732">
            <v>1222.9999999998445</v>
          </cell>
          <cell r="J1732">
            <v>137908</v>
          </cell>
        </row>
        <row r="1733">
          <cell r="G1733">
            <v>1222.9999999998445</v>
          </cell>
          <cell r="H1733">
            <v>137908</v>
          </cell>
          <cell r="I1733">
            <v>1223.0999999998444</v>
          </cell>
          <cell r="J1733">
            <v>138115.79999999999</v>
          </cell>
        </row>
        <row r="1734">
          <cell r="G1734">
            <v>1223.0999999998444</v>
          </cell>
          <cell r="H1734">
            <v>138115.79999999999</v>
          </cell>
          <cell r="I1734">
            <v>1223.1999999998443</v>
          </cell>
          <cell r="J1734">
            <v>138323.6</v>
          </cell>
        </row>
        <row r="1735">
          <cell r="G1735">
            <v>1223.1999999998443</v>
          </cell>
          <cell r="H1735">
            <v>138323.6</v>
          </cell>
          <cell r="I1735">
            <v>1223.2999999998442</v>
          </cell>
          <cell r="J1735">
            <v>138531.4</v>
          </cell>
        </row>
        <row r="1736">
          <cell r="G1736">
            <v>1223.2999999998442</v>
          </cell>
          <cell r="H1736">
            <v>138531.4</v>
          </cell>
          <cell r="I1736">
            <v>1223.3999999998441</v>
          </cell>
          <cell r="J1736">
            <v>138739.20000000001</v>
          </cell>
        </row>
        <row r="1737">
          <cell r="G1737">
            <v>1223.3999999998441</v>
          </cell>
          <cell r="H1737">
            <v>138739.20000000001</v>
          </cell>
          <cell r="I1737">
            <v>1223.499999999844</v>
          </cell>
          <cell r="J1737">
            <v>138947</v>
          </cell>
        </row>
        <row r="1738">
          <cell r="G1738">
            <v>1223.499999999844</v>
          </cell>
          <cell r="H1738">
            <v>138947</v>
          </cell>
          <cell r="I1738">
            <v>1223.5999999998439</v>
          </cell>
          <cell r="J1738">
            <v>139154.79999999999</v>
          </cell>
        </row>
        <row r="1739">
          <cell r="G1739">
            <v>1223.5999999998439</v>
          </cell>
          <cell r="H1739">
            <v>139154.79999999999</v>
          </cell>
          <cell r="I1739">
            <v>1223.6999999998438</v>
          </cell>
          <cell r="J1739">
            <v>139362.6</v>
          </cell>
        </row>
        <row r="1740">
          <cell r="G1740">
            <v>1223.6999999998438</v>
          </cell>
          <cell r="H1740">
            <v>139362.6</v>
          </cell>
          <cell r="I1740">
            <v>1223.7999999998437</v>
          </cell>
          <cell r="J1740">
            <v>139570.4</v>
          </cell>
        </row>
        <row r="1741">
          <cell r="G1741">
            <v>1223.7999999998437</v>
          </cell>
          <cell r="H1741">
            <v>139570.4</v>
          </cell>
          <cell r="I1741">
            <v>1223.8999999998437</v>
          </cell>
          <cell r="J1741">
            <v>139778.20000000001</v>
          </cell>
        </row>
        <row r="1742">
          <cell r="G1742">
            <v>1223.8999999998437</v>
          </cell>
          <cell r="H1742">
            <v>139778.20000000001</v>
          </cell>
          <cell r="I1742">
            <v>1223.9999999998436</v>
          </cell>
          <cell r="J1742">
            <v>139986</v>
          </cell>
        </row>
        <row r="1743">
          <cell r="G1743">
            <v>1223.9999999998436</v>
          </cell>
          <cell r="H1743">
            <v>139986</v>
          </cell>
          <cell r="I1743">
            <v>1224.0999999998435</v>
          </cell>
          <cell r="J1743">
            <v>140196.5</v>
          </cell>
        </row>
        <row r="1744">
          <cell r="G1744">
            <v>1224.0999999998435</v>
          </cell>
          <cell r="H1744">
            <v>140196.5</v>
          </cell>
          <cell r="I1744">
            <v>1224.1999999998434</v>
          </cell>
          <cell r="J1744">
            <v>140407</v>
          </cell>
        </row>
        <row r="1745">
          <cell r="G1745">
            <v>1224.1999999998434</v>
          </cell>
          <cell r="H1745">
            <v>140407</v>
          </cell>
          <cell r="I1745">
            <v>1224.2999999998433</v>
          </cell>
          <cell r="J1745">
            <v>140617.5</v>
          </cell>
        </row>
        <row r="1746">
          <cell r="G1746">
            <v>1224.2999999998433</v>
          </cell>
          <cell r="H1746">
            <v>140617.5</v>
          </cell>
          <cell r="I1746">
            <v>1224.3999999998432</v>
          </cell>
          <cell r="J1746">
            <v>140828</v>
          </cell>
        </row>
        <row r="1747">
          <cell r="G1747">
            <v>1224.3999999998432</v>
          </cell>
          <cell r="H1747">
            <v>140828</v>
          </cell>
          <cell r="I1747">
            <v>1224.4999999998431</v>
          </cell>
          <cell r="J1747">
            <v>141038.5</v>
          </cell>
        </row>
        <row r="1748">
          <cell r="G1748">
            <v>1224.4999999998431</v>
          </cell>
          <cell r="H1748">
            <v>141038.5</v>
          </cell>
          <cell r="I1748">
            <v>1224.599999999843</v>
          </cell>
          <cell r="J1748">
            <v>141249</v>
          </cell>
        </row>
        <row r="1749">
          <cell r="G1749">
            <v>1224.599999999843</v>
          </cell>
          <cell r="H1749">
            <v>141249</v>
          </cell>
          <cell r="I1749">
            <v>1224.6999999998429</v>
          </cell>
          <cell r="J1749">
            <v>141459.5</v>
          </cell>
        </row>
        <row r="1750">
          <cell r="G1750">
            <v>1224.6999999998429</v>
          </cell>
          <cell r="H1750">
            <v>141459.5</v>
          </cell>
          <cell r="I1750">
            <v>1224.7999999998428</v>
          </cell>
          <cell r="J1750">
            <v>141670</v>
          </cell>
        </row>
        <row r="1751">
          <cell r="G1751">
            <v>1224.7999999998428</v>
          </cell>
          <cell r="H1751">
            <v>141670</v>
          </cell>
          <cell r="I1751">
            <v>1224.8999999998427</v>
          </cell>
          <cell r="J1751">
            <v>141880.5</v>
          </cell>
        </row>
        <row r="1752">
          <cell r="G1752">
            <v>1224.8999999998427</v>
          </cell>
          <cell r="H1752">
            <v>141880.5</v>
          </cell>
          <cell r="I1752">
            <v>1224.9999999998427</v>
          </cell>
          <cell r="J1752">
            <v>142091</v>
          </cell>
        </row>
        <row r="1753">
          <cell r="G1753">
            <v>1224.9999999998427</v>
          </cell>
          <cell r="H1753">
            <v>142091</v>
          </cell>
          <cell r="I1753">
            <v>1225.0999999998426</v>
          </cell>
          <cell r="J1753">
            <v>142304.20000000001</v>
          </cell>
        </row>
        <row r="1754">
          <cell r="G1754">
            <v>1225.0999999998426</v>
          </cell>
          <cell r="H1754">
            <v>142304.20000000001</v>
          </cell>
          <cell r="I1754">
            <v>1225.1999999998425</v>
          </cell>
          <cell r="J1754">
            <v>142517.4</v>
          </cell>
        </row>
        <row r="1755">
          <cell r="G1755">
            <v>1225.1999999998425</v>
          </cell>
          <cell r="H1755">
            <v>142517.4</v>
          </cell>
          <cell r="I1755">
            <v>1225.2999999998424</v>
          </cell>
          <cell r="J1755">
            <v>142730.6</v>
          </cell>
        </row>
        <row r="1756">
          <cell r="G1756">
            <v>1225.2999999998424</v>
          </cell>
          <cell r="H1756">
            <v>142730.6</v>
          </cell>
          <cell r="I1756">
            <v>1225.3999999998423</v>
          </cell>
          <cell r="J1756">
            <v>142943.79999999999</v>
          </cell>
        </row>
        <row r="1757">
          <cell r="G1757">
            <v>1225.3999999998423</v>
          </cell>
          <cell r="H1757">
            <v>142943.79999999999</v>
          </cell>
          <cell r="I1757">
            <v>1225.4999999998422</v>
          </cell>
          <cell r="J1757">
            <v>143157</v>
          </cell>
        </row>
        <row r="1758">
          <cell r="G1758">
            <v>1225.4999999998422</v>
          </cell>
          <cell r="H1758">
            <v>143157</v>
          </cell>
          <cell r="I1758">
            <v>1225.5999999998421</v>
          </cell>
          <cell r="J1758">
            <v>143370.20000000001</v>
          </cell>
        </row>
        <row r="1759">
          <cell r="G1759">
            <v>1225.5999999998421</v>
          </cell>
          <cell r="H1759">
            <v>143370.20000000001</v>
          </cell>
          <cell r="I1759">
            <v>1225.699999999842</v>
          </cell>
          <cell r="J1759">
            <v>143583.4</v>
          </cell>
        </row>
        <row r="1760">
          <cell r="G1760">
            <v>1225.699999999842</v>
          </cell>
          <cell r="H1760">
            <v>143583.4</v>
          </cell>
          <cell r="I1760">
            <v>1225.7999999998419</v>
          </cell>
          <cell r="J1760">
            <v>143796.6</v>
          </cell>
        </row>
        <row r="1761">
          <cell r="G1761">
            <v>1225.7999999998419</v>
          </cell>
          <cell r="H1761">
            <v>143796.6</v>
          </cell>
          <cell r="I1761">
            <v>1225.8999999998418</v>
          </cell>
          <cell r="J1761">
            <v>144009.79999999999</v>
          </cell>
        </row>
        <row r="1762">
          <cell r="G1762">
            <v>1225.8999999998418</v>
          </cell>
          <cell r="H1762">
            <v>144009.79999999999</v>
          </cell>
          <cell r="I1762">
            <v>1225.9999999998417</v>
          </cell>
          <cell r="J1762">
            <v>144223</v>
          </cell>
        </row>
        <row r="1763">
          <cell r="G1763">
            <v>1225.9999999998417</v>
          </cell>
          <cell r="H1763">
            <v>144223</v>
          </cell>
          <cell r="I1763">
            <v>1226.0999999998417</v>
          </cell>
          <cell r="J1763">
            <v>144438.9</v>
          </cell>
        </row>
        <row r="1764">
          <cell r="G1764">
            <v>1226.0999999998417</v>
          </cell>
          <cell r="H1764">
            <v>144438.9</v>
          </cell>
          <cell r="I1764">
            <v>1226.1999999998416</v>
          </cell>
          <cell r="J1764">
            <v>144654.79999999999</v>
          </cell>
        </row>
        <row r="1765">
          <cell r="G1765">
            <v>1226.1999999998416</v>
          </cell>
          <cell r="H1765">
            <v>144654.79999999999</v>
          </cell>
          <cell r="I1765">
            <v>1226.2999999998415</v>
          </cell>
          <cell r="J1765">
            <v>144870.70000000001</v>
          </cell>
        </row>
        <row r="1766">
          <cell r="G1766">
            <v>1226.2999999998415</v>
          </cell>
          <cell r="H1766">
            <v>144870.70000000001</v>
          </cell>
          <cell r="I1766">
            <v>1226.3999999998414</v>
          </cell>
          <cell r="J1766">
            <v>145086.6</v>
          </cell>
        </row>
        <row r="1767">
          <cell r="G1767">
            <v>1226.3999999998414</v>
          </cell>
          <cell r="H1767">
            <v>145086.6</v>
          </cell>
          <cell r="I1767">
            <v>1226.4999999998413</v>
          </cell>
          <cell r="J1767">
            <v>145302.5</v>
          </cell>
        </row>
        <row r="1768">
          <cell r="G1768">
            <v>1226.4999999998413</v>
          </cell>
          <cell r="H1768">
            <v>145302.5</v>
          </cell>
          <cell r="I1768">
            <v>1226.5999999998412</v>
          </cell>
          <cell r="J1768">
            <v>145518.39999999999</v>
          </cell>
        </row>
        <row r="1769">
          <cell r="G1769">
            <v>1226.5999999998412</v>
          </cell>
          <cell r="H1769">
            <v>145518.39999999999</v>
          </cell>
          <cell r="I1769">
            <v>1226.6999999998411</v>
          </cell>
          <cell r="J1769">
            <v>145734.29999999999</v>
          </cell>
        </row>
        <row r="1770">
          <cell r="G1770">
            <v>1226.6999999998411</v>
          </cell>
          <cell r="H1770">
            <v>145734.29999999999</v>
          </cell>
          <cell r="I1770">
            <v>1226.799999999841</v>
          </cell>
          <cell r="J1770">
            <v>145950.20000000001</v>
          </cell>
        </row>
        <row r="1771">
          <cell r="G1771">
            <v>1226.799999999841</v>
          </cell>
          <cell r="H1771">
            <v>145950.20000000001</v>
          </cell>
          <cell r="I1771">
            <v>1226.8999999998409</v>
          </cell>
          <cell r="J1771">
            <v>146166.1</v>
          </cell>
        </row>
        <row r="1772">
          <cell r="G1772">
            <v>1226.8999999998409</v>
          </cell>
          <cell r="H1772">
            <v>146166.1</v>
          </cell>
          <cell r="I1772">
            <v>1226.9999999998408</v>
          </cell>
          <cell r="J1772">
            <v>146382</v>
          </cell>
        </row>
        <row r="1773">
          <cell r="G1773">
            <v>1226.9999999998408</v>
          </cell>
          <cell r="H1773">
            <v>146382</v>
          </cell>
          <cell r="I1773">
            <v>1227.0999999998407</v>
          </cell>
          <cell r="J1773">
            <v>146600.6</v>
          </cell>
        </row>
        <row r="1774">
          <cell r="G1774">
            <v>1227.0999999998407</v>
          </cell>
          <cell r="H1774">
            <v>146600.6</v>
          </cell>
          <cell r="I1774">
            <v>1227.1999999998407</v>
          </cell>
          <cell r="J1774">
            <v>146819.20000000001</v>
          </cell>
        </row>
        <row r="1775">
          <cell r="G1775">
            <v>1227.1999999998407</v>
          </cell>
          <cell r="H1775">
            <v>146819.20000000001</v>
          </cell>
          <cell r="I1775">
            <v>1227.2999999998406</v>
          </cell>
          <cell r="J1775">
            <v>147037.79999999999</v>
          </cell>
        </row>
        <row r="1776">
          <cell r="G1776">
            <v>1227.2999999998406</v>
          </cell>
          <cell r="H1776">
            <v>147037.79999999999</v>
          </cell>
          <cell r="I1776">
            <v>1227.3999999998405</v>
          </cell>
          <cell r="J1776">
            <v>147256.4</v>
          </cell>
        </row>
        <row r="1777">
          <cell r="G1777">
            <v>1227.3999999998405</v>
          </cell>
          <cell r="H1777">
            <v>147256.4</v>
          </cell>
          <cell r="I1777">
            <v>1227.4999999998404</v>
          </cell>
          <cell r="J1777">
            <v>147475</v>
          </cell>
        </row>
        <row r="1778">
          <cell r="G1778">
            <v>1227.4999999998404</v>
          </cell>
          <cell r="H1778">
            <v>147475</v>
          </cell>
          <cell r="I1778">
            <v>1227.5999999998403</v>
          </cell>
          <cell r="J1778">
            <v>147693.6</v>
          </cell>
        </row>
        <row r="1779">
          <cell r="G1779">
            <v>1227.5999999998403</v>
          </cell>
          <cell r="H1779">
            <v>147693.6</v>
          </cell>
          <cell r="I1779">
            <v>1227.6999999998402</v>
          </cell>
          <cell r="J1779">
            <v>147912.20000000001</v>
          </cell>
        </row>
        <row r="1780">
          <cell r="G1780">
            <v>1227.6999999998402</v>
          </cell>
          <cell r="H1780">
            <v>147912.20000000001</v>
          </cell>
          <cell r="I1780">
            <v>1227.7999999998401</v>
          </cell>
          <cell r="J1780">
            <v>148130.79999999999</v>
          </cell>
        </row>
        <row r="1781">
          <cell r="G1781">
            <v>1227.7999999998401</v>
          </cell>
          <cell r="H1781">
            <v>148130.79999999999</v>
          </cell>
          <cell r="I1781">
            <v>1227.89999999984</v>
          </cell>
          <cell r="J1781">
            <v>148349.4</v>
          </cell>
        </row>
        <row r="1782">
          <cell r="G1782">
            <v>1227.89999999984</v>
          </cell>
          <cell r="H1782">
            <v>148349.4</v>
          </cell>
          <cell r="I1782">
            <v>1227.9999999998399</v>
          </cell>
          <cell r="J1782">
            <v>148568</v>
          </cell>
        </row>
        <row r="1783">
          <cell r="G1783">
            <v>1227.9999999998399</v>
          </cell>
          <cell r="H1783">
            <v>148568</v>
          </cell>
          <cell r="I1783">
            <v>1228.0999999998398</v>
          </cell>
          <cell r="J1783">
            <v>148789.29999999999</v>
          </cell>
        </row>
        <row r="1784">
          <cell r="G1784">
            <v>1228.0999999998398</v>
          </cell>
          <cell r="H1784">
            <v>148789.29999999999</v>
          </cell>
          <cell r="I1784">
            <v>1228.1999999998397</v>
          </cell>
          <cell r="J1784">
            <v>149010.6</v>
          </cell>
        </row>
        <row r="1785">
          <cell r="G1785">
            <v>1228.1999999998397</v>
          </cell>
          <cell r="H1785">
            <v>149010.6</v>
          </cell>
          <cell r="I1785">
            <v>1228.2999999998397</v>
          </cell>
          <cell r="J1785">
            <v>149231.9</v>
          </cell>
        </row>
        <row r="1786">
          <cell r="G1786">
            <v>1228.2999999998397</v>
          </cell>
          <cell r="H1786">
            <v>149231.9</v>
          </cell>
          <cell r="I1786">
            <v>1228.3999999998396</v>
          </cell>
          <cell r="J1786">
            <v>149453.20000000001</v>
          </cell>
        </row>
        <row r="1787">
          <cell r="G1787">
            <v>1228.3999999998396</v>
          </cell>
          <cell r="H1787">
            <v>149453.20000000001</v>
          </cell>
          <cell r="I1787">
            <v>1228.4999999998395</v>
          </cell>
          <cell r="J1787">
            <v>149674.5</v>
          </cell>
        </row>
        <row r="1788">
          <cell r="G1788">
            <v>1228.4999999998395</v>
          </cell>
          <cell r="H1788">
            <v>149674.5</v>
          </cell>
          <cell r="I1788">
            <v>1228.5999999998394</v>
          </cell>
          <cell r="J1788">
            <v>149895.79999999999</v>
          </cell>
        </row>
        <row r="1789">
          <cell r="G1789">
            <v>1228.5999999998394</v>
          </cell>
          <cell r="H1789">
            <v>149895.79999999999</v>
          </cell>
          <cell r="I1789">
            <v>1228.6999999998393</v>
          </cell>
          <cell r="J1789">
            <v>150117.1</v>
          </cell>
        </row>
        <row r="1790">
          <cell r="G1790">
            <v>1228.6999999998393</v>
          </cell>
          <cell r="H1790">
            <v>150117.1</v>
          </cell>
          <cell r="I1790">
            <v>1228.7999999998392</v>
          </cell>
          <cell r="J1790">
            <v>150338.4</v>
          </cell>
        </row>
        <row r="1791">
          <cell r="G1791">
            <v>1228.7999999998392</v>
          </cell>
          <cell r="H1791">
            <v>150338.4</v>
          </cell>
          <cell r="I1791">
            <v>1228.8999999998391</v>
          </cell>
          <cell r="J1791">
            <v>150559.70000000001</v>
          </cell>
        </row>
        <row r="1792">
          <cell r="G1792">
            <v>1228.8999999998391</v>
          </cell>
          <cell r="H1792">
            <v>150559.70000000001</v>
          </cell>
          <cell r="I1792">
            <v>1228.999999999839</v>
          </cell>
          <cell r="J1792">
            <v>150781</v>
          </cell>
        </row>
      </sheetData>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sheetPr codeName="Sheet7"/>
  <dimension ref="A1:BE389"/>
  <sheetViews>
    <sheetView zoomScale="90" zoomScaleNormal="90" workbookViewId="0">
      <pane xSplit="1" ySplit="4" topLeftCell="C325" activePane="bottomRight" state="frozen"/>
      <selection pane="topRight" activeCell="B1" sqref="B1"/>
      <selection pane="bottomLeft" activeCell="A5" sqref="A5"/>
      <selection pane="bottomRight" activeCell="AA330" sqref="AA330"/>
    </sheetView>
  </sheetViews>
  <sheetFormatPr defaultColWidth="0.140625" defaultRowHeight="11.25"/>
  <cols>
    <col min="1" max="1" width="6.140625" style="513" bestFit="1" customWidth="1"/>
    <col min="2" max="2" width="5.85546875" style="515" bestFit="1" customWidth="1"/>
    <col min="3" max="3" width="4.85546875" style="515" bestFit="1" customWidth="1"/>
    <col min="4" max="4" width="5.42578125" style="515" bestFit="1" customWidth="1"/>
    <col min="5" max="7" width="4" style="515" bestFit="1" customWidth="1"/>
    <col min="8" max="8" width="5.7109375" style="515" customWidth="1"/>
    <col min="9" max="11" width="5.85546875" style="515" bestFit="1" customWidth="1"/>
    <col min="12" max="14" width="3.5703125" style="515" customWidth="1"/>
    <col min="15" max="15" width="6.5703125" style="515" bestFit="1" customWidth="1"/>
    <col min="16" max="16" width="8.28515625" style="515" hidden="1" customWidth="1"/>
    <col min="17" max="17" width="6.5703125" style="515" bestFit="1" customWidth="1"/>
    <col min="18" max="18" width="9.140625" style="515" customWidth="1"/>
    <col min="19" max="19" width="6.28515625" style="515" bestFit="1" customWidth="1"/>
    <col min="20" max="20" width="6.5703125" style="515" bestFit="1" customWidth="1"/>
    <col min="21" max="21" width="5.42578125" style="515" bestFit="1" customWidth="1"/>
    <col min="22" max="22" width="5.85546875" style="515" bestFit="1" customWidth="1"/>
    <col min="23" max="23" width="6.5703125" style="515" bestFit="1" customWidth="1"/>
    <col min="24" max="24" width="5.85546875" style="515" bestFit="1" customWidth="1"/>
    <col min="25" max="25" width="8.28515625" style="745" bestFit="1" customWidth="1"/>
    <col min="26" max="26" width="8.28515625" style="749" bestFit="1" customWidth="1"/>
    <col min="27" max="27" width="8.28515625" style="515" bestFit="1" customWidth="1"/>
    <col min="28" max="28" width="9.42578125" style="515" hidden="1" customWidth="1"/>
    <col min="29" max="29" width="8.28515625" style="515" bestFit="1" customWidth="1"/>
    <col min="30" max="30" width="9.42578125" style="515" hidden="1" customWidth="1"/>
    <col min="31" max="31" width="11.5703125" style="515" hidden="1" customWidth="1"/>
    <col min="32" max="32" width="8.28515625" style="515" bestFit="1" customWidth="1"/>
    <col min="33" max="34" width="6.140625" style="515" bestFit="1" customWidth="1"/>
    <col min="35" max="36" width="8.28515625" style="515" hidden="1" customWidth="1"/>
    <col min="37" max="39" width="8.28515625" style="738" customWidth="1"/>
    <col min="40" max="41" width="8.28515625" style="462" customWidth="1"/>
    <col min="42" max="42" width="8" style="462" customWidth="1"/>
    <col min="43" max="43" width="8.28515625" style="462" customWidth="1"/>
    <col min="44" max="44" width="11.85546875" style="462" customWidth="1"/>
    <col min="45" max="45" width="11.85546875" style="472" customWidth="1"/>
    <col min="46" max="57" width="11.85546875" style="462" customWidth="1"/>
    <col min="58" max="112" width="8" style="462" customWidth="1"/>
    <col min="113" max="113" width="18.85546875" style="462" bestFit="1" customWidth="1"/>
    <col min="114" max="124" width="8" style="462" customWidth="1"/>
    <col min="125" max="125" width="10.42578125" style="462" bestFit="1" customWidth="1"/>
    <col min="126" max="16384" width="0.140625" style="462"/>
  </cols>
  <sheetData>
    <row r="1" spans="1:57" ht="51" customHeight="1" thickBot="1">
      <c r="A1" s="502">
        <f ca="1">NOW()</f>
        <v>41038.630606365739</v>
      </c>
      <c r="B1" s="882" t="s">
        <v>136</v>
      </c>
      <c r="C1" s="883"/>
      <c r="D1" s="883"/>
      <c r="E1" s="883"/>
      <c r="F1" s="883"/>
      <c r="G1" s="883"/>
      <c r="H1" s="884"/>
      <c r="I1" s="879" t="s">
        <v>137</v>
      </c>
      <c r="J1" s="880"/>
      <c r="K1" s="881"/>
      <c r="L1" s="879" t="s">
        <v>138</v>
      </c>
      <c r="M1" s="880"/>
      <c r="N1" s="881"/>
      <c r="O1" s="885" t="s">
        <v>139</v>
      </c>
      <c r="P1" s="886"/>
      <c r="Q1" s="886"/>
      <c r="R1" s="886"/>
      <c r="S1" s="886"/>
      <c r="T1" s="886"/>
      <c r="U1" s="886"/>
      <c r="V1" s="886"/>
      <c r="W1" s="886"/>
      <c r="X1" s="886"/>
      <c r="Y1" s="886"/>
      <c r="Z1" s="886"/>
      <c r="AA1" s="887"/>
      <c r="AB1" s="499"/>
      <c r="AC1" s="879" t="s">
        <v>528</v>
      </c>
      <c r="AD1" s="880"/>
      <c r="AE1" s="881"/>
      <c r="AF1" s="890" t="s">
        <v>140</v>
      </c>
      <c r="AG1" s="891"/>
      <c r="AH1" s="892"/>
      <c r="AI1" s="503"/>
      <c r="AJ1" s="470"/>
      <c r="AK1" s="735"/>
      <c r="AL1" s="735"/>
      <c r="AM1" s="735"/>
      <c r="AN1" s="461"/>
      <c r="AO1" s="461"/>
      <c r="AQ1" s="461"/>
      <c r="AR1" s="568" t="s">
        <v>591</v>
      </c>
      <c r="AS1" s="569"/>
      <c r="AT1" s="591"/>
      <c r="AU1" s="591"/>
      <c r="AV1" s="591"/>
      <c r="AW1" s="592"/>
      <c r="AX1" s="570"/>
      <c r="AY1" s="570"/>
      <c r="AZ1" s="570"/>
      <c r="BA1" s="570"/>
      <c r="BB1" s="570"/>
      <c r="BC1" s="570"/>
      <c r="BD1" s="570"/>
      <c r="BE1" s="571"/>
    </row>
    <row r="2" spans="1:57" s="468" customFormat="1" ht="161.25" customHeight="1">
      <c r="A2" s="860" t="s">
        <v>1</v>
      </c>
      <c r="B2" s="852" t="s">
        <v>530</v>
      </c>
      <c r="C2" s="853" t="s">
        <v>531</v>
      </c>
      <c r="D2" s="853" t="s">
        <v>532</v>
      </c>
      <c r="E2" s="854" t="s">
        <v>144</v>
      </c>
      <c r="F2" s="854" t="s">
        <v>145</v>
      </c>
      <c r="G2" s="854" t="s">
        <v>146</v>
      </c>
      <c r="H2" s="855" t="s">
        <v>147</v>
      </c>
      <c r="I2" s="852" t="s">
        <v>767</v>
      </c>
      <c r="J2" s="856" t="s">
        <v>768</v>
      </c>
      <c r="K2" s="857" t="s">
        <v>769</v>
      </c>
      <c r="L2" s="852" t="s">
        <v>150</v>
      </c>
      <c r="M2" s="854" t="s">
        <v>151</v>
      </c>
      <c r="N2" s="855" t="s">
        <v>152</v>
      </c>
      <c r="O2" s="852" t="s">
        <v>587</v>
      </c>
      <c r="P2" s="854" t="s">
        <v>153</v>
      </c>
      <c r="Q2" s="854" t="s">
        <v>533</v>
      </c>
      <c r="R2" s="854" t="s">
        <v>534</v>
      </c>
      <c r="S2" s="854" t="s">
        <v>535</v>
      </c>
      <c r="T2" s="854" t="s">
        <v>536</v>
      </c>
      <c r="U2" s="854" t="s">
        <v>738</v>
      </c>
      <c r="V2" s="854" t="s">
        <v>537</v>
      </c>
      <c r="W2" s="854" t="s">
        <v>739</v>
      </c>
      <c r="X2" s="854" t="s">
        <v>737</v>
      </c>
      <c r="Y2" s="858" t="s">
        <v>740</v>
      </c>
      <c r="Z2" s="859" t="s">
        <v>759</v>
      </c>
      <c r="AA2" s="855" t="s">
        <v>538</v>
      </c>
      <c r="AB2" s="855" t="s">
        <v>539</v>
      </c>
      <c r="AC2" s="855" t="s">
        <v>540</v>
      </c>
      <c r="AD2" s="854" t="s">
        <v>541</v>
      </c>
      <c r="AE2" s="855" t="s">
        <v>542</v>
      </c>
      <c r="AF2" s="852" t="s">
        <v>543</v>
      </c>
      <c r="AG2" s="854" t="s">
        <v>156</v>
      </c>
      <c r="AH2" s="855" t="s">
        <v>157</v>
      </c>
      <c r="AI2" s="467"/>
      <c r="AJ2" s="467"/>
      <c r="AK2" s="736" t="s">
        <v>586</v>
      </c>
      <c r="AL2" s="736" t="s">
        <v>588</v>
      </c>
      <c r="AM2" s="736" t="s">
        <v>744</v>
      </c>
      <c r="AN2" s="599"/>
      <c r="AO2" s="599"/>
      <c r="AQ2" s="599"/>
      <c r="AR2" s="543" t="s">
        <v>544</v>
      </c>
      <c r="AS2" s="469" t="s">
        <v>529</v>
      </c>
      <c r="AT2" s="593" t="s">
        <v>545</v>
      </c>
      <c r="AU2" s="594" t="s">
        <v>546</v>
      </c>
      <c r="AV2" s="594" t="s">
        <v>547</v>
      </c>
      <c r="AW2" s="595" t="s">
        <v>548</v>
      </c>
      <c r="AX2" s="817" t="s">
        <v>549</v>
      </c>
      <c r="AY2" s="818" t="s">
        <v>550</v>
      </c>
      <c r="AZ2" s="538" t="s">
        <v>551</v>
      </c>
      <c r="BA2" s="539" t="s">
        <v>552</v>
      </c>
      <c r="BB2" s="821" t="s">
        <v>553</v>
      </c>
      <c r="BC2" s="822" t="s">
        <v>554</v>
      </c>
      <c r="BD2" s="839" t="s">
        <v>555</v>
      </c>
      <c r="BE2" s="840" t="s">
        <v>556</v>
      </c>
    </row>
    <row r="3" spans="1:57" ht="12" thickBot="1">
      <c r="A3" s="507"/>
      <c r="B3" s="508" t="s">
        <v>62</v>
      </c>
      <c r="C3" s="509" t="s">
        <v>62</v>
      </c>
      <c r="D3" s="509" t="s">
        <v>62</v>
      </c>
      <c r="E3" s="510" t="s">
        <v>62</v>
      </c>
      <c r="F3" s="510" t="s">
        <v>62</v>
      </c>
      <c r="G3" s="510" t="s">
        <v>62</v>
      </c>
      <c r="H3" s="511" t="s">
        <v>159</v>
      </c>
      <c r="I3" s="508" t="s">
        <v>62</v>
      </c>
      <c r="J3" s="510" t="s">
        <v>62</v>
      </c>
      <c r="K3" s="511" t="s">
        <v>62</v>
      </c>
      <c r="L3" s="508" t="s">
        <v>62</v>
      </c>
      <c r="M3" s="510" t="s">
        <v>62</v>
      </c>
      <c r="N3" s="511" t="s">
        <v>62</v>
      </c>
      <c r="O3" s="508" t="s">
        <v>160</v>
      </c>
      <c r="P3" s="510" t="s">
        <v>160</v>
      </c>
      <c r="Q3" s="510" t="s">
        <v>60</v>
      </c>
      <c r="R3" s="510" t="s">
        <v>60</v>
      </c>
      <c r="S3" s="510" t="s">
        <v>60</v>
      </c>
      <c r="T3" s="510" t="s">
        <v>60</v>
      </c>
      <c r="U3" s="510" t="s">
        <v>62</v>
      </c>
      <c r="V3" s="510" t="s">
        <v>62</v>
      </c>
      <c r="W3" s="510" t="s">
        <v>60</v>
      </c>
      <c r="X3" s="510" t="s">
        <v>62</v>
      </c>
      <c r="Y3" s="742" t="s">
        <v>60</v>
      </c>
      <c r="Z3" s="746" t="s">
        <v>60</v>
      </c>
      <c r="AA3" s="511" t="s">
        <v>60</v>
      </c>
      <c r="AB3" s="511" t="s">
        <v>60</v>
      </c>
      <c r="AC3" s="511" t="s">
        <v>60</v>
      </c>
      <c r="AD3" s="510" t="s">
        <v>60</v>
      </c>
      <c r="AE3" s="511" t="s">
        <v>60</v>
      </c>
      <c r="AF3" s="508" t="s">
        <v>62</v>
      </c>
      <c r="AG3" s="510" t="s">
        <v>161</v>
      </c>
      <c r="AH3" s="511" t="s">
        <v>161</v>
      </c>
      <c r="AI3" s="470"/>
      <c r="AJ3" s="470"/>
      <c r="AK3" s="735" t="s">
        <v>60</v>
      </c>
      <c r="AL3" s="735" t="s">
        <v>60</v>
      </c>
      <c r="AM3" s="735" t="s">
        <v>60</v>
      </c>
      <c r="AN3" s="461"/>
      <c r="AO3" s="461"/>
      <c r="AQ3" s="461"/>
      <c r="AR3" s="544"/>
      <c r="AS3" s="590"/>
      <c r="AT3" s="596" t="s">
        <v>60</v>
      </c>
      <c r="AU3" s="597" t="s">
        <v>60</v>
      </c>
      <c r="AV3" s="597" t="s">
        <v>60</v>
      </c>
      <c r="AW3" s="598" t="s">
        <v>60</v>
      </c>
      <c r="AX3" s="819"/>
      <c r="AY3" s="820"/>
      <c r="AZ3" s="546"/>
      <c r="BA3" s="545"/>
      <c r="BB3" s="823"/>
      <c r="BC3" s="824"/>
      <c r="BD3" s="841"/>
      <c r="BE3" s="842"/>
    </row>
    <row r="4" spans="1:57" ht="98.25" hidden="1" customHeight="1" thickBot="1">
      <c r="A4" s="512"/>
      <c r="B4" s="504" t="s">
        <v>141</v>
      </c>
      <c r="C4" s="505" t="s">
        <v>142</v>
      </c>
      <c r="D4" s="505" t="s">
        <v>143</v>
      </c>
      <c r="E4" s="466" t="s">
        <v>144</v>
      </c>
      <c r="F4" s="466" t="s">
        <v>145</v>
      </c>
      <c r="G4" s="466" t="s">
        <v>146</v>
      </c>
      <c r="H4" s="466" t="s">
        <v>147</v>
      </c>
      <c r="I4" s="505" t="s">
        <v>148</v>
      </c>
      <c r="J4" s="506" t="s">
        <v>149</v>
      </c>
      <c r="K4" s="506" t="s">
        <v>149</v>
      </c>
      <c r="L4" s="505" t="s">
        <v>150</v>
      </c>
      <c r="M4" s="466" t="s">
        <v>151</v>
      </c>
      <c r="N4" s="466" t="s">
        <v>152</v>
      </c>
      <c r="O4" s="466" t="s">
        <v>59</v>
      </c>
      <c r="P4" s="466" t="s">
        <v>153</v>
      </c>
      <c r="Q4" s="466" t="s">
        <v>557</v>
      </c>
      <c r="R4" s="466"/>
      <c r="S4" s="466"/>
      <c r="T4" s="466" t="s">
        <v>154</v>
      </c>
      <c r="U4" s="466"/>
      <c r="V4" s="466"/>
      <c r="W4" s="466" t="s">
        <v>155</v>
      </c>
      <c r="X4" s="466" t="s">
        <v>306</v>
      </c>
      <c r="Y4" s="743"/>
      <c r="Z4" s="747"/>
      <c r="AA4" s="466" t="s">
        <v>558</v>
      </c>
      <c r="AB4" s="466" t="s">
        <v>558</v>
      </c>
      <c r="AC4" s="466" t="s">
        <v>158</v>
      </c>
      <c r="AD4" s="466"/>
      <c r="AE4" s="466" t="s">
        <v>158</v>
      </c>
      <c r="AF4" s="466" t="s">
        <v>559</v>
      </c>
      <c r="AG4" s="466" t="s">
        <v>156</v>
      </c>
      <c r="AH4" s="506" t="s">
        <v>157</v>
      </c>
      <c r="AI4" s="467"/>
      <c r="AJ4" s="467"/>
      <c r="AK4" s="736"/>
      <c r="AL4" s="736" t="s">
        <v>557</v>
      </c>
      <c r="AM4" s="736"/>
      <c r="AN4" s="599"/>
      <c r="AO4" s="599"/>
      <c r="AQ4" s="599"/>
      <c r="AR4" s="471" t="e">
        <f>FORECAST(0,#REF!,#REF!)</f>
        <v>#REF!</v>
      </c>
      <c r="AS4" s="463"/>
      <c r="AT4" s="540"/>
      <c r="AU4" s="541"/>
      <c r="AV4" s="541"/>
      <c r="AW4" s="542"/>
      <c r="AX4" s="465"/>
      <c r="AY4" s="465"/>
      <c r="AZ4" s="465"/>
      <c r="BA4" s="465"/>
      <c r="BB4" s="465"/>
      <c r="BC4" s="465"/>
      <c r="BD4" s="465"/>
      <c r="BE4" s="465"/>
    </row>
    <row r="5" spans="1:57" ht="13.5" thickBot="1">
      <c r="A5" s="513">
        <v>40537</v>
      </c>
      <c r="B5" s="498">
        <f t="shared" ref="B5:B12" si="0">E5+F5</f>
        <v>74.256</v>
      </c>
      <c r="C5" s="498">
        <f>Calculation!AA8</f>
        <v>0</v>
      </c>
      <c r="D5" s="498" t="e">
        <f>Calculation!Y8</f>
        <v>#REF!</v>
      </c>
      <c r="E5" s="498">
        <f>Calculation!U8</f>
        <v>46.41</v>
      </c>
      <c r="F5" s="498">
        <f>Calculation!V8</f>
        <v>27.846</v>
      </c>
      <c r="G5" s="498">
        <f>Calculation!W8</f>
        <v>21.286720000000336</v>
      </c>
      <c r="H5" s="500">
        <f>Sheet1!H8</f>
        <v>10</v>
      </c>
      <c r="I5" s="501">
        <f>Sheet1!CW8</f>
        <v>1707.0833333333333</v>
      </c>
      <c r="J5" s="501">
        <f>Sheet1!CX8</f>
        <v>894.69791666666663</v>
      </c>
      <c r="K5" s="501">
        <f>Sheet1!CV8</f>
        <v>850.5</v>
      </c>
      <c r="L5" s="501">
        <f>Calculation!F8</f>
        <v>250</v>
      </c>
      <c r="M5" s="501">
        <f>Calculation!E8</f>
        <v>250</v>
      </c>
      <c r="N5" s="501">
        <f>Calculation!D8</f>
        <v>300</v>
      </c>
      <c r="O5" s="500">
        <f>Sheet1!CY8</f>
        <v>1077.92</v>
      </c>
      <c r="P5" s="514" t="e">
        <f>Calculation!ET8</f>
        <v>#REF!</v>
      </c>
      <c r="Q5" s="498">
        <f>Calculation!DF8</f>
        <v>2136.600000003074</v>
      </c>
      <c r="R5" s="500">
        <f t="shared" ref="R5:R68" si="1">Q5-1220</f>
        <v>916.600000003074</v>
      </c>
      <c r="S5" s="498" t="e">
        <f>R5-#REF!</f>
        <v>#REF!</v>
      </c>
      <c r="T5" s="498">
        <f ca="1">IF(A5&gt;$A$1,#N/A,VLOOKUP(A5,Calculation!$B$8:$IV$881,30,FALSE))</f>
        <v>0</v>
      </c>
      <c r="U5" s="498" t="e">
        <f>D5</f>
        <v>#REF!</v>
      </c>
      <c r="V5" s="498" t="e">
        <f>Calculation!AQ8</f>
        <v>#REF!</v>
      </c>
      <c r="W5" s="498">
        <v>0</v>
      </c>
      <c r="X5" s="498">
        <v>0</v>
      </c>
      <c r="Y5" s="744">
        <f>0.5*$W5</f>
        <v>0</v>
      </c>
      <c r="Z5" s="748">
        <f>W5-Y5</f>
        <v>0</v>
      </c>
      <c r="AA5" s="498">
        <f t="shared" ref="AA5:AA12" ca="1" si="2">IF(Q5-T5-W5&lt;0,0,Q5-T5-W5)</f>
        <v>2136.600000003074</v>
      </c>
      <c r="AB5" s="501">
        <f t="shared" ref="AB5:AB12" ca="1" si="3">AA5-1220</f>
        <v>916.600000003074</v>
      </c>
      <c r="AC5" s="498"/>
      <c r="AD5" s="498" t="e">
        <f>AC5-#REF!</f>
        <v>#REF!</v>
      </c>
      <c r="AE5" s="498">
        <f t="shared" ref="AE5:AE11" si="4">AC5-1220</f>
        <v>-1220</v>
      </c>
      <c r="AF5" s="501" t="e">
        <f>Calculation!G8</f>
        <v>#REF!</v>
      </c>
      <c r="AG5" s="498" t="str">
        <f t="shared" ref="AG5:AG12" si="5">IF(I5&gt;L5,"Yes","No")</f>
        <v>Yes</v>
      </c>
      <c r="AH5" s="498" t="str">
        <f t="shared" ref="AH5:AH12" si="6">IF(AND(I5&gt;M5,J5&gt;N5),"Yes","No")</f>
        <v>Yes</v>
      </c>
      <c r="AJ5" s="516"/>
      <c r="AK5" s="737"/>
      <c r="AL5" s="737"/>
      <c r="AM5" s="737"/>
      <c r="AN5" s="473"/>
      <c r="AO5" s="473"/>
      <c r="AQ5" s="473"/>
      <c r="AR5" s="547"/>
      <c r="AS5" s="572"/>
      <c r="AT5" s="578">
        <f>Calculation!AR8*3.068</f>
        <v>0</v>
      </c>
      <c r="AU5" s="579">
        <f ca="1">Calculation!DA8</f>
        <v>0</v>
      </c>
      <c r="AV5" s="579">
        <f>Calculation!CF8*3.068</f>
        <v>0</v>
      </c>
      <c r="AW5" s="580">
        <f>Calculation!BK8*3.068</f>
        <v>0</v>
      </c>
      <c r="AX5" s="574"/>
      <c r="AY5" s="564"/>
      <c r="AZ5" s="565"/>
      <c r="BA5" s="564"/>
      <c r="BB5" s="565"/>
      <c r="BC5" s="564"/>
      <c r="BD5" s="565"/>
      <c r="BE5" s="548"/>
    </row>
    <row r="6" spans="1:57" ht="13.5" thickBot="1">
      <c r="A6" s="513">
        <v>40538</v>
      </c>
      <c r="B6" s="498">
        <f t="shared" si="0"/>
        <v>77.272649999995494</v>
      </c>
      <c r="C6" s="498">
        <f>Calculation!AA9</f>
        <v>0</v>
      </c>
      <c r="D6" s="498">
        <f>Calculation!Y9</f>
        <v>0</v>
      </c>
      <c r="E6" s="498">
        <f>Calculation!U9</f>
        <v>46.41</v>
      </c>
      <c r="F6" s="498">
        <f>Calculation!V9</f>
        <v>30.862649999995497</v>
      </c>
      <c r="G6" s="498">
        <f>Calculation!W9</f>
        <v>0</v>
      </c>
      <c r="H6" s="500">
        <f>Sheet1!H9</f>
        <v>1.84</v>
      </c>
      <c r="I6" s="501">
        <f>Sheet1!CW9</f>
        <v>1626.25</v>
      </c>
      <c r="J6" s="501">
        <f>Sheet1!CX9</f>
        <v>873.71875</v>
      </c>
      <c r="K6" s="501">
        <f>Sheet1!CV9</f>
        <v>858</v>
      </c>
      <c r="L6" s="501">
        <f>Calculation!F9</f>
        <v>250</v>
      </c>
      <c r="M6" s="501">
        <f>Calculation!E9</f>
        <v>250</v>
      </c>
      <c r="N6" s="501">
        <f>Calculation!D9</f>
        <v>300</v>
      </c>
      <c r="O6" s="500">
        <f>Sheet1!CY9</f>
        <v>1078.4100000000001</v>
      </c>
      <c r="P6" s="514" t="e">
        <f>Calculation!ET9</f>
        <v>#N/A</v>
      </c>
      <c r="Q6" s="498">
        <f>Calculation!DF9</f>
        <v>2202.3500000032536</v>
      </c>
      <c r="R6" s="500">
        <f t="shared" si="1"/>
        <v>982.35000000325363</v>
      </c>
      <c r="S6" s="498">
        <f t="shared" ref="S6:S12" si="7">R6-R5</f>
        <v>65.750000000179625</v>
      </c>
      <c r="T6" s="498">
        <f ca="1">IF(A6&gt;$A$1,#N/A,VLOOKUP(A6,Calculation!$B$8:$IV$881,30,FALSE))</f>
        <v>0</v>
      </c>
      <c r="U6" s="498">
        <f t="shared" ref="U6:U69" si="8">D6</f>
        <v>0</v>
      </c>
      <c r="V6" s="498">
        <f>Calculation!AP9</f>
        <v>0</v>
      </c>
      <c r="W6" s="498">
        <f t="shared" ref="W6:W12" si="9">IF(B6&lt;1,#N/A,W5-X6*1.983)</f>
        <v>0</v>
      </c>
      <c r="X6" s="498">
        <v>0</v>
      </c>
      <c r="Y6" s="744">
        <f t="shared" ref="Y6:Y69" si="10">0.5*$W6</f>
        <v>0</v>
      </c>
      <c r="Z6" s="748">
        <f t="shared" ref="Z6:Z69" si="11">W6-Y6</f>
        <v>0</v>
      </c>
      <c r="AA6" s="498">
        <f t="shared" ca="1" si="2"/>
        <v>2202.3500000032536</v>
      </c>
      <c r="AB6" s="501">
        <f t="shared" ca="1" si="3"/>
        <v>982.35000000325363</v>
      </c>
      <c r="AC6" s="498"/>
      <c r="AD6" s="498">
        <f t="shared" ref="AD6:AD12" si="12">AC6-AC5</f>
        <v>0</v>
      </c>
      <c r="AE6" s="498">
        <f t="shared" si="4"/>
        <v>-1220</v>
      </c>
      <c r="AF6" s="501">
        <f>Calculation!G9</f>
        <v>891.15683308128064</v>
      </c>
      <c r="AG6" s="498" t="str">
        <f t="shared" si="5"/>
        <v>Yes</v>
      </c>
      <c r="AH6" s="498" t="str">
        <f t="shared" si="6"/>
        <v>Yes</v>
      </c>
      <c r="AJ6" s="516"/>
      <c r="AK6" s="737"/>
      <c r="AL6" s="737"/>
      <c r="AM6" s="737"/>
      <c r="AN6" s="473"/>
      <c r="AO6" s="473"/>
      <c r="AQ6" s="473"/>
      <c r="AR6" s="549"/>
      <c r="AS6" s="525"/>
      <c r="AT6" s="581">
        <f>Calculation!AR9*3.068</f>
        <v>0</v>
      </c>
      <c r="AU6" s="575">
        <f ca="1">Calculation!DA9</f>
        <v>0</v>
      </c>
      <c r="AV6" s="575">
        <f>Calculation!CF9*3.068</f>
        <v>0</v>
      </c>
      <c r="AW6" s="582">
        <f>Calculation!BK9*3.068</f>
        <v>0</v>
      </c>
      <c r="AX6" s="524"/>
      <c r="AY6" s="560"/>
      <c r="AZ6" s="559"/>
      <c r="BA6" s="560"/>
      <c r="BB6" s="559"/>
      <c r="BC6" s="560"/>
      <c r="BD6" s="559"/>
      <c r="BE6" s="550"/>
    </row>
    <row r="7" spans="1:57" ht="13.5" thickBot="1">
      <c r="A7" s="513">
        <v>40539</v>
      </c>
      <c r="B7" s="498">
        <f t="shared" si="0"/>
        <v>81.681600000004494</v>
      </c>
      <c r="C7" s="498">
        <f>Calculation!AA10</f>
        <v>0</v>
      </c>
      <c r="D7" s="498">
        <f>Calculation!Y10</f>
        <v>0</v>
      </c>
      <c r="E7" s="498">
        <f>Calculation!U10</f>
        <v>46.719399999995495</v>
      </c>
      <c r="F7" s="498">
        <f>Calculation!V10</f>
        <v>34.962200000009005</v>
      </c>
      <c r="G7" s="498">
        <f>Calculation!W10</f>
        <v>0</v>
      </c>
      <c r="H7" s="500">
        <f>Sheet1!H10</f>
        <v>1.84</v>
      </c>
      <c r="I7" s="501">
        <f>Sheet1!CW10</f>
        <v>1592.3958333333333</v>
      </c>
      <c r="J7" s="501">
        <f>Sheet1!CX10</f>
        <v>956</v>
      </c>
      <c r="K7" s="501">
        <f>Sheet1!CV10</f>
        <v>931.85</v>
      </c>
      <c r="L7" s="501">
        <f>Calculation!F10</f>
        <v>250</v>
      </c>
      <c r="M7" s="501">
        <f>Calculation!E10</f>
        <v>250</v>
      </c>
      <c r="N7" s="501">
        <f>Calculation!D10</f>
        <v>300</v>
      </c>
      <c r="O7" s="500">
        <f>Sheet1!CY10</f>
        <v>1077.69</v>
      </c>
      <c r="P7" s="514" t="e">
        <f>Calculation!ET10</f>
        <v>#N/A</v>
      </c>
      <c r="Q7" s="498">
        <f>Calculation!DF10</f>
        <v>2106.7000000030444</v>
      </c>
      <c r="R7" s="500">
        <f t="shared" si="1"/>
        <v>886.70000000304435</v>
      </c>
      <c r="S7" s="498">
        <f t="shared" si="7"/>
        <v>-95.650000000209275</v>
      </c>
      <c r="T7" s="498">
        <f ca="1">IF(A7&gt;$A$1,#N/A,VLOOKUP(A7,Calculation!$B$8:$IV$881,30,FALSE))</f>
        <v>0</v>
      </c>
      <c r="U7" s="498">
        <f t="shared" si="8"/>
        <v>0</v>
      </c>
      <c r="V7" s="498">
        <f>Calculation!AP10</f>
        <v>0</v>
      </c>
      <c r="W7" s="498">
        <f t="shared" si="9"/>
        <v>0</v>
      </c>
      <c r="X7" s="498">
        <v>0</v>
      </c>
      <c r="Y7" s="744">
        <f t="shared" si="10"/>
        <v>0</v>
      </c>
      <c r="Z7" s="748">
        <f t="shared" si="11"/>
        <v>0</v>
      </c>
      <c r="AA7" s="498">
        <f t="shared" ca="1" si="2"/>
        <v>2106.7000000030444</v>
      </c>
      <c r="AB7" s="501">
        <f t="shared" ca="1" si="3"/>
        <v>886.70000000304435</v>
      </c>
      <c r="AC7" s="498"/>
      <c r="AD7" s="498">
        <f t="shared" si="12"/>
        <v>0</v>
      </c>
      <c r="AE7" s="498">
        <f t="shared" si="4"/>
        <v>-1220</v>
      </c>
      <c r="AF7" s="501">
        <f>Calculation!G10</f>
        <v>883.61500252132669</v>
      </c>
      <c r="AG7" s="498" t="str">
        <f t="shared" si="5"/>
        <v>Yes</v>
      </c>
      <c r="AH7" s="498" t="str">
        <f t="shared" si="6"/>
        <v>Yes</v>
      </c>
      <c r="AI7" s="516"/>
      <c r="AJ7" s="516"/>
      <c r="AK7" s="737"/>
      <c r="AL7" s="737"/>
      <c r="AM7" s="737"/>
      <c r="AN7" s="473"/>
      <c r="AO7" s="473"/>
      <c r="AQ7" s="473"/>
      <c r="AR7" s="549"/>
      <c r="AS7" s="525"/>
      <c r="AT7" s="581">
        <f>Calculation!AR10*3.068</f>
        <v>0</v>
      </c>
      <c r="AU7" s="575">
        <f ca="1">Calculation!DA10</f>
        <v>0</v>
      </c>
      <c r="AV7" s="575">
        <f>Calculation!CF10*3.068</f>
        <v>0</v>
      </c>
      <c r="AW7" s="582">
        <f>Calculation!BK10*3.068</f>
        <v>0</v>
      </c>
      <c r="AX7" s="524"/>
      <c r="AY7" s="560"/>
      <c r="AZ7" s="559"/>
      <c r="BA7" s="560"/>
      <c r="BB7" s="559"/>
      <c r="BC7" s="560"/>
      <c r="BD7" s="559"/>
      <c r="BE7" s="550"/>
    </row>
    <row r="8" spans="1:57" ht="13.5" thickBot="1">
      <c r="A8" s="513">
        <v>40540</v>
      </c>
      <c r="B8" s="498">
        <f t="shared" si="0"/>
        <v>74.101299999990999</v>
      </c>
      <c r="C8" s="498">
        <f>Calculation!AA11</f>
        <v>0</v>
      </c>
      <c r="D8" s="498">
        <f>Calculation!Y11</f>
        <v>0</v>
      </c>
      <c r="E8" s="498">
        <f>Calculation!U11</f>
        <v>40.222000000000001</v>
      </c>
      <c r="F8" s="498">
        <f>Calculation!V11</f>
        <v>33.879299999990991</v>
      </c>
      <c r="G8" s="498">
        <f>Calculation!W11</f>
        <v>25.83489999999831</v>
      </c>
      <c r="H8" s="500">
        <f>Sheet1!H11</f>
        <v>13.39</v>
      </c>
      <c r="I8" s="501">
        <f>Sheet1!CW11</f>
        <v>1919.4791666666667</v>
      </c>
      <c r="J8" s="501">
        <f>Sheet1!CX11</f>
        <v>1319.375</v>
      </c>
      <c r="K8" s="501">
        <f>Sheet1!CV11</f>
        <v>1152.5</v>
      </c>
      <c r="L8" s="501">
        <f>Calculation!F11</f>
        <v>250</v>
      </c>
      <c r="M8" s="501">
        <f>Calculation!E11</f>
        <v>250</v>
      </c>
      <c r="N8" s="501">
        <f>Calculation!D11</f>
        <v>300</v>
      </c>
      <c r="O8" s="500">
        <f>Sheet1!CY11</f>
        <v>1077.27</v>
      </c>
      <c r="P8" s="514" t="e">
        <f>Calculation!ET11</f>
        <v>#N/A</v>
      </c>
      <c r="Q8" s="498">
        <f>Calculation!DF11</f>
        <v>2052.1000000029853</v>
      </c>
      <c r="R8" s="500">
        <f t="shared" si="1"/>
        <v>832.10000000298533</v>
      </c>
      <c r="S8" s="498">
        <f t="shared" si="7"/>
        <v>-54.600000000059026</v>
      </c>
      <c r="T8" s="498">
        <f ca="1">IF(A8&gt;$A$1,#N/A,VLOOKUP(A8,Calculation!$B$8:$IV$881,30,FALSE))</f>
        <v>0</v>
      </c>
      <c r="U8" s="498">
        <f t="shared" si="8"/>
        <v>0</v>
      </c>
      <c r="V8" s="498">
        <f>Calculation!AP11</f>
        <v>0</v>
      </c>
      <c r="W8" s="498">
        <f t="shared" si="9"/>
        <v>0</v>
      </c>
      <c r="X8" s="498">
        <v>0</v>
      </c>
      <c r="Y8" s="744">
        <f t="shared" si="10"/>
        <v>0</v>
      </c>
      <c r="Z8" s="748">
        <f t="shared" si="11"/>
        <v>0</v>
      </c>
      <c r="AA8" s="498">
        <f t="shared" ca="1" si="2"/>
        <v>2052.1000000029853</v>
      </c>
      <c r="AB8" s="501">
        <f t="shared" ca="1" si="3"/>
        <v>832.10000000298533</v>
      </c>
      <c r="AC8" s="498"/>
      <c r="AD8" s="498">
        <f t="shared" si="12"/>
        <v>0</v>
      </c>
      <c r="AE8" s="498">
        <f t="shared" si="4"/>
        <v>-1220</v>
      </c>
      <c r="AF8" s="501">
        <f>Calculation!G11</f>
        <v>1124.9659606656282</v>
      </c>
      <c r="AG8" s="498" t="str">
        <f t="shared" si="5"/>
        <v>Yes</v>
      </c>
      <c r="AH8" s="498" t="str">
        <f t="shared" si="6"/>
        <v>Yes</v>
      </c>
      <c r="AI8" s="516"/>
      <c r="AJ8" s="516"/>
      <c r="AK8" s="737"/>
      <c r="AL8" s="737"/>
      <c r="AM8" s="737"/>
      <c r="AN8" s="473"/>
      <c r="AO8" s="473"/>
      <c r="AQ8" s="473"/>
      <c r="AR8" s="549"/>
      <c r="AS8" s="525"/>
      <c r="AT8" s="581">
        <f>Calculation!AR11*3.068</f>
        <v>0</v>
      </c>
      <c r="AU8" s="575">
        <f ca="1">Calculation!DA11</f>
        <v>0</v>
      </c>
      <c r="AV8" s="575">
        <f>Calculation!CF11*3.068</f>
        <v>0</v>
      </c>
      <c r="AW8" s="582">
        <f>Calculation!BK11*3.068</f>
        <v>0</v>
      </c>
      <c r="AX8" s="524"/>
      <c r="AY8" s="560"/>
      <c r="AZ8" s="559"/>
      <c r="BA8" s="560"/>
      <c r="BB8" s="559"/>
      <c r="BC8" s="560"/>
      <c r="BD8" s="559"/>
      <c r="BE8" s="550"/>
    </row>
    <row r="9" spans="1:57" ht="13.5" thickBot="1">
      <c r="A9" s="513">
        <v>40541</v>
      </c>
      <c r="B9" s="498">
        <f t="shared" si="0"/>
        <v>80.041780000019358</v>
      </c>
      <c r="C9" s="498">
        <f>Calculation!AA12</f>
        <v>0</v>
      </c>
      <c r="D9" s="498">
        <f>Calculation!Y12</f>
        <v>0</v>
      </c>
      <c r="E9" s="498">
        <f>Calculation!U12</f>
        <v>42.604380000012604</v>
      </c>
      <c r="F9" s="498">
        <f>Calculation!V12</f>
        <v>37.437400000006754</v>
      </c>
      <c r="G9" s="498">
        <f>Calculation!W12</f>
        <v>0</v>
      </c>
      <c r="H9" s="500">
        <f>Sheet1!H12</f>
        <v>2.88</v>
      </c>
      <c r="I9" s="501">
        <f>Sheet1!CW12</f>
        <v>2077.1875</v>
      </c>
      <c r="J9" s="501">
        <f>Sheet1!CX12</f>
        <v>1285.8333333333333</v>
      </c>
      <c r="K9" s="501">
        <f>Sheet1!CV12</f>
        <v>1209</v>
      </c>
      <c r="L9" s="501">
        <f>Calculation!F12</f>
        <v>250</v>
      </c>
      <c r="M9" s="501">
        <f>Calculation!E12</f>
        <v>250</v>
      </c>
      <c r="N9" s="501">
        <f>Calculation!D12</f>
        <v>300</v>
      </c>
      <c r="O9" s="500">
        <f>Sheet1!CY12</f>
        <v>1076.72</v>
      </c>
      <c r="P9" s="514" t="e">
        <f>Calculation!ET12</f>
        <v>#N/A</v>
      </c>
      <c r="Q9" s="498">
        <f>Calculation!DF12</f>
        <v>1981.7200000028363</v>
      </c>
      <c r="R9" s="500">
        <f t="shared" si="1"/>
        <v>761.72000000283629</v>
      </c>
      <c r="S9" s="498">
        <f t="shared" si="7"/>
        <v>-70.380000000149039</v>
      </c>
      <c r="T9" s="498">
        <f ca="1">IF(A9&gt;$A$1,#N/A,VLOOKUP(A9,Calculation!$B$8:$IV$881,30,FALSE))</f>
        <v>0</v>
      </c>
      <c r="U9" s="498">
        <f t="shared" si="8"/>
        <v>0</v>
      </c>
      <c r="V9" s="498">
        <f>Calculation!AP12</f>
        <v>0</v>
      </c>
      <c r="W9" s="498">
        <f t="shared" si="9"/>
        <v>0</v>
      </c>
      <c r="X9" s="498">
        <v>0</v>
      </c>
      <c r="Y9" s="744">
        <f t="shared" si="10"/>
        <v>0</v>
      </c>
      <c r="Z9" s="748">
        <f t="shared" si="11"/>
        <v>0</v>
      </c>
      <c r="AA9" s="498">
        <f t="shared" ca="1" si="2"/>
        <v>1981.7200000028363</v>
      </c>
      <c r="AB9" s="501">
        <f t="shared" ca="1" si="3"/>
        <v>761.72000000283629</v>
      </c>
      <c r="AC9" s="498"/>
      <c r="AD9" s="498">
        <f t="shared" si="12"/>
        <v>0</v>
      </c>
      <c r="AE9" s="498">
        <f t="shared" si="4"/>
        <v>-1220</v>
      </c>
      <c r="AF9" s="501">
        <f>Calculation!G12</f>
        <v>1173.5083207260973</v>
      </c>
      <c r="AG9" s="498" t="str">
        <f t="shared" si="5"/>
        <v>Yes</v>
      </c>
      <c r="AH9" s="498" t="str">
        <f t="shared" si="6"/>
        <v>Yes</v>
      </c>
      <c r="AI9" s="516"/>
      <c r="AJ9" s="516"/>
      <c r="AK9" s="737"/>
      <c r="AL9" s="737"/>
      <c r="AM9" s="737"/>
      <c r="AN9" s="473"/>
      <c r="AO9" s="473"/>
      <c r="AQ9" s="473"/>
      <c r="AR9" s="549"/>
      <c r="AS9" s="525"/>
      <c r="AT9" s="581">
        <f>Calculation!AR12*3.068</f>
        <v>0</v>
      </c>
      <c r="AU9" s="575">
        <f ca="1">Calculation!DA12</f>
        <v>0</v>
      </c>
      <c r="AV9" s="575">
        <f>Calculation!CF12*3.068</f>
        <v>0</v>
      </c>
      <c r="AW9" s="582">
        <f>Calculation!BK12*3.068</f>
        <v>0</v>
      </c>
      <c r="AX9" s="524"/>
      <c r="AY9" s="560"/>
      <c r="AZ9" s="559"/>
      <c r="BA9" s="560"/>
      <c r="BB9" s="559"/>
      <c r="BC9" s="560"/>
      <c r="BD9" s="559"/>
      <c r="BE9" s="550"/>
    </row>
    <row r="10" spans="1:57" ht="13.5" thickBot="1">
      <c r="A10" s="513">
        <v>40542</v>
      </c>
      <c r="B10" s="498">
        <f t="shared" si="0"/>
        <v>80.939039999999551</v>
      </c>
      <c r="C10" s="498">
        <f>Calculation!AA13</f>
        <v>0</v>
      </c>
      <c r="D10" s="498">
        <f>Calculation!Y13</f>
        <v>0</v>
      </c>
      <c r="E10" s="498">
        <f>Calculation!U13</f>
        <v>46.750340000001799</v>
      </c>
      <c r="F10" s="498">
        <f>Calculation!V13</f>
        <v>34.188699999997745</v>
      </c>
      <c r="G10" s="498">
        <f>Calculation!W13</f>
        <v>0</v>
      </c>
      <c r="H10" s="500">
        <f>Sheet1!H13</f>
        <v>1.27</v>
      </c>
      <c r="I10" s="501">
        <f>Sheet1!CW13</f>
        <v>1766.4583333333333</v>
      </c>
      <c r="J10" s="501">
        <f>Sheet1!CX13</f>
        <v>1004.6979166666666</v>
      </c>
      <c r="K10" s="501">
        <f>Sheet1!CV13</f>
        <v>980.1</v>
      </c>
      <c r="L10" s="501">
        <f>Calculation!F13</f>
        <v>250</v>
      </c>
      <c r="M10" s="501">
        <f>Calculation!E13</f>
        <v>250</v>
      </c>
      <c r="N10" s="501">
        <f>Calculation!D13</f>
        <v>300</v>
      </c>
      <c r="O10" s="500">
        <f>Sheet1!CY13</f>
        <v>1077.82</v>
      </c>
      <c r="P10" s="514" t="e">
        <f>Calculation!ET13</f>
        <v>#N/A</v>
      </c>
      <c r="Q10" s="498">
        <f>Calculation!DF13</f>
        <v>2123.6000000030444</v>
      </c>
      <c r="R10" s="500">
        <f t="shared" si="1"/>
        <v>903.60000000304444</v>
      </c>
      <c r="S10" s="498">
        <f t="shared" si="7"/>
        <v>141.88000000020816</v>
      </c>
      <c r="T10" s="498">
        <f ca="1">IF(A10&gt;$A$1,#N/A,VLOOKUP(A10,Calculation!$B$8:$IV$881,30,FALSE))</f>
        <v>0</v>
      </c>
      <c r="U10" s="498">
        <f t="shared" si="8"/>
        <v>0</v>
      </c>
      <c r="V10" s="498">
        <f>Calculation!AP13</f>
        <v>0</v>
      </c>
      <c r="W10" s="498">
        <f t="shared" si="9"/>
        <v>0</v>
      </c>
      <c r="X10" s="498">
        <v>0</v>
      </c>
      <c r="Y10" s="744">
        <f t="shared" si="10"/>
        <v>0</v>
      </c>
      <c r="Z10" s="748">
        <f t="shared" si="11"/>
        <v>0</v>
      </c>
      <c r="AA10" s="498">
        <f t="shared" ca="1" si="2"/>
        <v>2123.6000000030444</v>
      </c>
      <c r="AB10" s="501">
        <f t="shared" ca="1" si="3"/>
        <v>903.60000000304444</v>
      </c>
      <c r="AC10" s="498"/>
      <c r="AD10" s="498">
        <f t="shared" si="12"/>
        <v>0</v>
      </c>
      <c r="AE10" s="498">
        <f t="shared" si="4"/>
        <v>-1220</v>
      </c>
      <c r="AF10" s="501">
        <f>Calculation!G13</f>
        <v>1051.6481593546184</v>
      </c>
      <c r="AG10" s="498" t="str">
        <f t="shared" si="5"/>
        <v>Yes</v>
      </c>
      <c r="AH10" s="498" t="str">
        <f t="shared" si="6"/>
        <v>Yes</v>
      </c>
      <c r="AI10" s="516"/>
      <c r="AJ10" s="516"/>
      <c r="AK10" s="737"/>
      <c r="AL10" s="737"/>
      <c r="AM10" s="737"/>
      <c r="AN10" s="473"/>
      <c r="AO10" s="473"/>
      <c r="AQ10" s="473"/>
      <c r="AR10" s="549"/>
      <c r="AS10" s="525"/>
      <c r="AT10" s="581">
        <f>Calculation!AR13*3.068</f>
        <v>0</v>
      </c>
      <c r="AU10" s="575">
        <f ca="1">Calculation!DA13</f>
        <v>0</v>
      </c>
      <c r="AV10" s="575">
        <f>Calculation!CF13*3.068</f>
        <v>0</v>
      </c>
      <c r="AW10" s="582">
        <f>Calculation!BK13*3.068</f>
        <v>0</v>
      </c>
      <c r="AX10" s="524"/>
      <c r="AY10" s="560"/>
      <c r="AZ10" s="559"/>
      <c r="BA10" s="560"/>
      <c r="BB10" s="559"/>
      <c r="BC10" s="560"/>
      <c r="BD10" s="559"/>
      <c r="BE10" s="550"/>
    </row>
    <row r="11" spans="1:57" ht="13.5" thickBot="1">
      <c r="A11" s="513">
        <v>40543</v>
      </c>
      <c r="B11" s="498">
        <f t="shared" si="0"/>
        <v>81.743479999994591</v>
      </c>
      <c r="C11" s="498">
        <f>Calculation!AA14</f>
        <v>0</v>
      </c>
      <c r="D11" s="498">
        <f>Calculation!Y14</f>
        <v>0</v>
      </c>
      <c r="E11" s="498">
        <f>Calculation!U14</f>
        <v>47.245379999990092</v>
      </c>
      <c r="F11" s="498">
        <f>Calculation!V14</f>
        <v>34.498100000004499</v>
      </c>
      <c r="G11" s="498">
        <f>Calculation!W14</f>
        <v>0</v>
      </c>
      <c r="H11" s="500">
        <f>Sheet1!H14</f>
        <v>1.45</v>
      </c>
      <c r="I11" s="501">
        <f>Sheet1!CW14</f>
        <v>1440</v>
      </c>
      <c r="J11" s="501">
        <f>Sheet1!CX14</f>
        <v>881.72916666666663</v>
      </c>
      <c r="K11" s="501">
        <f>Sheet1!CV14</f>
        <v>863</v>
      </c>
      <c r="L11" s="501">
        <f>Calculation!F14</f>
        <v>250</v>
      </c>
      <c r="M11" s="501">
        <f>Calculation!E14</f>
        <v>250</v>
      </c>
      <c r="N11" s="501">
        <f>Calculation!D14</f>
        <v>300</v>
      </c>
      <c r="O11" s="500">
        <f>Sheet1!CY14</f>
        <v>1078.6199999999999</v>
      </c>
      <c r="P11" s="514" t="e">
        <f>Calculation!ET14</f>
        <v>#N/A</v>
      </c>
      <c r="Q11" s="498">
        <f>Calculation!DF14</f>
        <v>2230.7000000032535</v>
      </c>
      <c r="R11" s="500">
        <f t="shared" si="1"/>
        <v>1010.7000000032535</v>
      </c>
      <c r="S11" s="498">
        <f t="shared" si="7"/>
        <v>107.10000000020909</v>
      </c>
      <c r="T11" s="498">
        <f ca="1">IF(A11&gt;$A$1,#N/A,VLOOKUP(A11,Calculation!$B$8:$IV$881,30,FALSE))</f>
        <v>0</v>
      </c>
      <c r="U11" s="498">
        <f t="shared" si="8"/>
        <v>0</v>
      </c>
      <c r="V11" s="498">
        <f>Calculation!AP14</f>
        <v>0</v>
      </c>
      <c r="W11" s="498">
        <f t="shared" si="9"/>
        <v>0</v>
      </c>
      <c r="X11" s="498">
        <v>0</v>
      </c>
      <c r="Y11" s="744">
        <f t="shared" si="10"/>
        <v>0</v>
      </c>
      <c r="Z11" s="748">
        <f t="shared" si="11"/>
        <v>0</v>
      </c>
      <c r="AA11" s="498">
        <f t="shared" ca="1" si="2"/>
        <v>2230.7000000032535</v>
      </c>
      <c r="AB11" s="501">
        <f t="shared" ca="1" si="3"/>
        <v>1010.7000000032535</v>
      </c>
      <c r="AC11" s="498"/>
      <c r="AD11" s="498">
        <f t="shared" si="12"/>
        <v>0</v>
      </c>
      <c r="AE11" s="498">
        <f t="shared" si="4"/>
        <v>-1220</v>
      </c>
      <c r="AF11" s="501">
        <f>Calculation!G14</f>
        <v>917.00907715592996</v>
      </c>
      <c r="AG11" s="498" t="str">
        <f t="shared" si="5"/>
        <v>Yes</v>
      </c>
      <c r="AH11" s="498" t="str">
        <f t="shared" si="6"/>
        <v>Yes</v>
      </c>
      <c r="AI11" s="516"/>
      <c r="AJ11" s="516"/>
      <c r="AK11" s="737"/>
      <c r="AL11" s="737"/>
      <c r="AM11" s="737"/>
      <c r="AN11" s="473"/>
      <c r="AO11" s="473"/>
      <c r="AQ11" s="473"/>
      <c r="AR11" s="549"/>
      <c r="AS11" s="525"/>
      <c r="AT11" s="581">
        <f>Calculation!AR14*3.068</f>
        <v>0</v>
      </c>
      <c r="AU11" s="575">
        <f ca="1">Calculation!DA14</f>
        <v>0</v>
      </c>
      <c r="AV11" s="575">
        <f>Calculation!CF14*3.068</f>
        <v>0</v>
      </c>
      <c r="AW11" s="582">
        <f>Calculation!BK14*3.068</f>
        <v>0</v>
      </c>
      <c r="AX11" s="524"/>
      <c r="AY11" s="560"/>
      <c r="AZ11" s="559"/>
      <c r="BA11" s="560"/>
      <c r="BB11" s="559"/>
      <c r="BC11" s="560"/>
      <c r="BD11" s="559"/>
      <c r="BE11" s="550"/>
    </row>
    <row r="12" spans="1:57" ht="13.5" thickBot="1">
      <c r="A12" s="513">
        <v>40544</v>
      </c>
      <c r="B12" s="498">
        <f t="shared" si="0"/>
        <v>81.991</v>
      </c>
      <c r="C12" s="498">
        <f>Calculation!AA15</f>
        <v>0</v>
      </c>
      <c r="D12" s="498">
        <f>Calculation!Y15</f>
        <v>0</v>
      </c>
      <c r="E12" s="498">
        <f>Calculation!U15</f>
        <v>47.338200000009003</v>
      </c>
      <c r="F12" s="498">
        <f>Calculation!V15</f>
        <v>34.652799999990997</v>
      </c>
      <c r="G12" s="498">
        <f>Calculation!W15</f>
        <v>0</v>
      </c>
      <c r="H12" s="500">
        <f>Sheet1!H15</f>
        <v>1.23</v>
      </c>
      <c r="I12" s="501">
        <f>Sheet1!CW15</f>
        <v>1400</v>
      </c>
      <c r="J12" s="501">
        <f>Sheet1!CX15</f>
        <v>873.33333333333337</v>
      </c>
      <c r="K12" s="501">
        <f>Sheet1!CV15</f>
        <v>863</v>
      </c>
      <c r="L12" s="501">
        <f>Calculation!F15</f>
        <v>250</v>
      </c>
      <c r="M12" s="501">
        <f>Calculation!E15</f>
        <v>250</v>
      </c>
      <c r="N12" s="501">
        <f>Calculation!D15</f>
        <v>300</v>
      </c>
      <c r="O12" s="500">
        <f>Sheet1!CY15</f>
        <v>1078.23</v>
      </c>
      <c r="P12" s="514" t="e">
        <f>Calculation!ET15</f>
        <v>#N/A</v>
      </c>
      <c r="Q12" s="498">
        <f>Calculation!DF15</f>
        <v>2178.050000003223</v>
      </c>
      <c r="R12" s="500">
        <f t="shared" si="1"/>
        <v>958.05000000322298</v>
      </c>
      <c r="S12" s="498">
        <f t="shared" si="7"/>
        <v>-52.650000000030559</v>
      </c>
      <c r="T12" s="498">
        <f ca="1">IF(A12&gt;$A$1,#N/A,VLOOKUP(A12,Calculation!$B$8:$IV$881,30,FALSE))</f>
        <v>0</v>
      </c>
      <c r="U12" s="498">
        <f t="shared" si="8"/>
        <v>0</v>
      </c>
      <c r="V12" s="498">
        <f>Calculation!AP15</f>
        <v>0</v>
      </c>
      <c r="W12" s="498">
        <f t="shared" si="9"/>
        <v>0</v>
      </c>
      <c r="X12" s="498">
        <v>0</v>
      </c>
      <c r="Y12" s="744">
        <f t="shared" si="10"/>
        <v>0</v>
      </c>
      <c r="Z12" s="748">
        <f t="shared" si="11"/>
        <v>0</v>
      </c>
      <c r="AA12" s="498">
        <f t="shared" ca="1" si="2"/>
        <v>2178.050000003223</v>
      </c>
      <c r="AB12" s="501">
        <f t="shared" ca="1" si="3"/>
        <v>958.05000000322298</v>
      </c>
      <c r="AC12" s="498" t="e">
        <f ca="1">IF(A12&gt;$A$1,#N/A,VLOOKUP(A12,Calculation!$B$8:$IV$881,155,FALSE))</f>
        <v>#N/A</v>
      </c>
      <c r="AD12" s="498" t="e">
        <f t="shared" ca="1" si="12"/>
        <v>#N/A</v>
      </c>
      <c r="AE12" s="498"/>
      <c r="AF12" s="501">
        <f>Calculation!G15</f>
        <v>836.44931921329771</v>
      </c>
      <c r="AG12" s="498" t="str">
        <f t="shared" si="5"/>
        <v>Yes</v>
      </c>
      <c r="AH12" s="498" t="str">
        <f t="shared" si="6"/>
        <v>Yes</v>
      </c>
      <c r="AI12" s="516"/>
      <c r="AJ12" s="516"/>
      <c r="AK12" s="738">
        <v>2179.4000000032229</v>
      </c>
      <c r="AL12" s="738">
        <v>1938.8800000028077</v>
      </c>
      <c r="AM12" s="739">
        <v>1947.7000000028077</v>
      </c>
      <c r="AN12" s="473"/>
      <c r="AO12" s="473"/>
      <c r="AQ12" s="473"/>
      <c r="AR12" s="549"/>
      <c r="AS12" s="525"/>
      <c r="AT12" s="581">
        <f>Calculation!AR15*3.068</f>
        <v>0</v>
      </c>
      <c r="AU12" s="575">
        <f ca="1">Calculation!DA15</f>
        <v>0</v>
      </c>
      <c r="AV12" s="575">
        <f>Calculation!CF15*3.068</f>
        <v>0</v>
      </c>
      <c r="AW12" s="582">
        <f>Calculation!BK15*3.068</f>
        <v>0</v>
      </c>
      <c r="AX12" s="524"/>
      <c r="AY12" s="560"/>
      <c r="AZ12" s="559"/>
      <c r="BA12" s="560"/>
      <c r="BB12" s="559"/>
      <c r="BC12" s="560"/>
      <c r="BD12" s="559"/>
      <c r="BE12" s="550"/>
    </row>
    <row r="13" spans="1:57" ht="13.5" thickBot="1">
      <c r="A13" s="513">
        <v>40545</v>
      </c>
      <c r="B13" s="498">
        <f t="shared" ref="B13:B76" si="13">E13+F13</f>
        <v>80.985450000008996</v>
      </c>
      <c r="C13" s="498">
        <f>Calculation!AA16</f>
        <v>0</v>
      </c>
      <c r="D13" s="498">
        <f>Calculation!Y16</f>
        <v>0</v>
      </c>
      <c r="E13" s="498">
        <f>Calculation!U16</f>
        <v>46.796749999999996</v>
      </c>
      <c r="F13" s="498">
        <f>Calculation!V16</f>
        <v>34.188700000009</v>
      </c>
      <c r="G13" s="498">
        <f>Calculation!W16</f>
        <v>0</v>
      </c>
      <c r="H13" s="500">
        <f>Sheet1!H16</f>
        <v>0.95</v>
      </c>
      <c r="I13" s="501">
        <f>Sheet1!CW16</f>
        <v>1360</v>
      </c>
      <c r="J13" s="501">
        <f>Sheet1!CX16</f>
        <v>859.91666666666663</v>
      </c>
      <c r="K13" s="501">
        <f>Sheet1!CV16</f>
        <v>849</v>
      </c>
      <c r="L13" s="501">
        <f>Calculation!F16</f>
        <v>250</v>
      </c>
      <c r="M13" s="501">
        <f>Calculation!E16</f>
        <v>250</v>
      </c>
      <c r="N13" s="501">
        <f>Calculation!D16</f>
        <v>300</v>
      </c>
      <c r="O13" s="500">
        <f>Sheet1!CY16</f>
        <v>1077.0999999999999</v>
      </c>
      <c r="P13" s="514" t="e">
        <f>Calculation!ET16</f>
        <v>#N/A</v>
      </c>
      <c r="Q13" s="498">
        <f>Calculation!DF16</f>
        <v>2030.0000000029559</v>
      </c>
      <c r="R13" s="500">
        <f t="shared" si="1"/>
        <v>810.00000000295586</v>
      </c>
      <c r="S13" s="498">
        <f t="shared" ref="S13:S76" si="14">R13-R12</f>
        <v>-148.05000000026712</v>
      </c>
      <c r="T13" s="498">
        <f ca="1">IF(A13&gt;$A$1,#N/A,VLOOKUP(A13,Calculation!$B$8:$IV$881,30,FALSE))</f>
        <v>0</v>
      </c>
      <c r="U13" s="498">
        <f t="shared" si="8"/>
        <v>0</v>
      </c>
      <c r="V13" s="498">
        <f>Calculation!AP16</f>
        <v>0</v>
      </c>
      <c r="W13" s="498">
        <f t="shared" ref="W13:W76" si="15">IF(B13&lt;1,#N/A,W12-X13*1.983)</f>
        <v>0</v>
      </c>
      <c r="X13" s="498">
        <v>0</v>
      </c>
      <c r="Y13" s="744">
        <f t="shared" si="10"/>
        <v>0</v>
      </c>
      <c r="Z13" s="748">
        <f t="shared" si="11"/>
        <v>0</v>
      </c>
      <c r="AA13" s="498">
        <f t="shared" ref="AA13:AA76" ca="1" si="16">IF(Q13-T13-W13&lt;0,0,Q13-T13-W13)</f>
        <v>2030.0000000029559</v>
      </c>
      <c r="AB13" s="501">
        <f t="shared" ref="AB13:AB76" ca="1" si="17">AA13-1220</f>
        <v>810.00000000295586</v>
      </c>
      <c r="AC13" s="498" t="e">
        <f ca="1">IF(A13&gt;$A$1,#N/A,VLOOKUP(A13,Calculation!$B$8:$IV$881,155,FALSE))</f>
        <v>#N/A</v>
      </c>
      <c r="AD13" s="498" t="e">
        <f t="shared" ref="AD13:AD76" ca="1" si="18">AC13-AC12</f>
        <v>#N/A</v>
      </c>
      <c r="AE13" s="498"/>
      <c r="AF13" s="501">
        <f>Calculation!G16</f>
        <v>774.3403933432844</v>
      </c>
      <c r="AG13" s="498" t="str">
        <f t="shared" ref="AG13:AG76" si="19">IF(I13&gt;L13,"Yes","No")</f>
        <v>Yes</v>
      </c>
      <c r="AH13" s="498" t="str">
        <f t="shared" ref="AH13:AH76" si="20">IF(AND(I13&gt;M13,J13&gt;N13),"Yes","No")</f>
        <v>Yes</v>
      </c>
      <c r="AJ13" s="516"/>
      <c r="AK13" s="738">
        <v>2178.050000003223</v>
      </c>
      <c r="AL13" s="738">
        <v>1658.080000002361</v>
      </c>
      <c r="AM13" s="740">
        <v>2335.2000000035014</v>
      </c>
      <c r="AR13" s="549"/>
      <c r="AS13" s="525"/>
      <c r="AT13" s="581">
        <f>Calculation!AR16*3.068</f>
        <v>0</v>
      </c>
      <c r="AU13" s="575">
        <f ca="1">Calculation!DA16</f>
        <v>0</v>
      </c>
      <c r="AV13" s="575">
        <f>Calculation!CF16*3.068</f>
        <v>0</v>
      </c>
      <c r="AW13" s="582">
        <f>Calculation!BK16*3.068</f>
        <v>0</v>
      </c>
      <c r="AX13" s="524"/>
      <c r="AY13" s="560"/>
      <c r="AZ13" s="559"/>
      <c r="BA13" s="560"/>
      <c r="BB13" s="559"/>
      <c r="BC13" s="560"/>
      <c r="BD13" s="559"/>
      <c r="BE13" s="550"/>
    </row>
    <row r="14" spans="1:57" ht="13.5" thickBot="1">
      <c r="A14" s="513">
        <v>40546</v>
      </c>
      <c r="B14" s="498">
        <f t="shared" si="13"/>
        <v>78.66494999998649</v>
      </c>
      <c r="C14" s="498">
        <f>Calculation!AA17</f>
        <v>0</v>
      </c>
      <c r="D14" s="498">
        <f>Calculation!Y17</f>
        <v>0</v>
      </c>
      <c r="E14" s="498">
        <f>Calculation!U17</f>
        <v>45.40444999998649</v>
      </c>
      <c r="F14" s="498">
        <f>Calculation!V17</f>
        <v>33.2605</v>
      </c>
      <c r="G14" s="498">
        <f>Calculation!W17</f>
        <v>0</v>
      </c>
      <c r="H14" s="500">
        <f>Sheet1!H17</f>
        <v>1.72</v>
      </c>
      <c r="I14" s="501">
        <f>Sheet1!CW17</f>
        <v>1346.9791666666667</v>
      </c>
      <c r="J14" s="501">
        <f>Sheet1!CX17</f>
        <v>802.01041666666663</v>
      </c>
      <c r="K14" s="501">
        <f>Sheet1!CV17</f>
        <v>818.55</v>
      </c>
      <c r="L14" s="501">
        <f>Calculation!F17</f>
        <v>250</v>
      </c>
      <c r="M14" s="501">
        <f>Calculation!E17</f>
        <v>250</v>
      </c>
      <c r="N14" s="501">
        <f>Calculation!D17</f>
        <v>300</v>
      </c>
      <c r="O14" s="500">
        <f>Sheet1!CY17</f>
        <v>1076.0899999999999</v>
      </c>
      <c r="P14" s="514" t="e">
        <f>Calculation!ET17</f>
        <v>#N/A</v>
      </c>
      <c r="Q14" s="498">
        <f>Calculation!DF17</f>
        <v>1902.3400000027502</v>
      </c>
      <c r="R14" s="500">
        <f t="shared" si="1"/>
        <v>682.34000000275023</v>
      </c>
      <c r="S14" s="498">
        <f t="shared" si="14"/>
        <v>-127.66000000020563</v>
      </c>
      <c r="T14" s="498">
        <f ca="1">IF(A14&gt;$A$1,#N/A,VLOOKUP(A14,Calculation!$B$8:$IV$881,30,FALSE))</f>
        <v>0</v>
      </c>
      <c r="U14" s="498">
        <f t="shared" si="8"/>
        <v>0</v>
      </c>
      <c r="V14" s="498">
        <f>Calculation!AP17</f>
        <v>0</v>
      </c>
      <c r="W14" s="498">
        <f t="shared" si="15"/>
        <v>0</v>
      </c>
      <c r="X14" s="498">
        <v>0</v>
      </c>
      <c r="Y14" s="744">
        <f t="shared" si="10"/>
        <v>0</v>
      </c>
      <c r="Z14" s="748">
        <f t="shared" si="11"/>
        <v>0</v>
      </c>
      <c r="AA14" s="498">
        <f t="shared" ca="1" si="16"/>
        <v>1902.3400000027502</v>
      </c>
      <c r="AB14" s="501">
        <f t="shared" ca="1" si="17"/>
        <v>682.34000000275023</v>
      </c>
      <c r="AC14" s="498" t="e">
        <f ca="1">IF(A14&gt;$A$1,#N/A,VLOOKUP(A14,Calculation!$B$8:$IV$881,155,FALSE))</f>
        <v>#N/A</v>
      </c>
      <c r="AD14" s="498" t="e">
        <f t="shared" ca="1" si="18"/>
        <v>#N/A</v>
      </c>
      <c r="AE14" s="498"/>
      <c r="AF14" s="501">
        <f>Calculation!G17</f>
        <v>754.17279374674445</v>
      </c>
      <c r="AG14" s="498" t="str">
        <f t="shared" si="19"/>
        <v>Yes</v>
      </c>
      <c r="AH14" s="498" t="str">
        <f t="shared" si="20"/>
        <v>Yes</v>
      </c>
      <c r="AJ14" s="516"/>
      <c r="AK14" s="738">
        <v>2178.050000003223</v>
      </c>
      <c r="AL14" s="738">
        <v>1658.080000002361</v>
      </c>
      <c r="AM14" s="740">
        <v>2347.8000000035017</v>
      </c>
      <c r="AP14" s="474"/>
      <c r="AR14" s="549"/>
      <c r="AS14" s="525"/>
      <c r="AT14" s="581">
        <f>Calculation!AR17*3.068</f>
        <v>0</v>
      </c>
      <c r="AU14" s="575">
        <f ca="1">Calculation!DA17</f>
        <v>0</v>
      </c>
      <c r="AV14" s="575">
        <f>Calculation!CF17*3.068</f>
        <v>0</v>
      </c>
      <c r="AW14" s="582">
        <f>Calculation!BK17*3.068</f>
        <v>0</v>
      </c>
      <c r="AX14" s="524"/>
      <c r="AY14" s="560"/>
      <c r="AZ14" s="559"/>
      <c r="BA14" s="560"/>
      <c r="BB14" s="559"/>
      <c r="BC14" s="560"/>
      <c r="BD14" s="559"/>
      <c r="BE14" s="550"/>
    </row>
    <row r="15" spans="1:57" ht="13.5" thickBot="1">
      <c r="A15" s="513">
        <v>40547</v>
      </c>
      <c r="B15" s="498">
        <f t="shared" si="13"/>
        <v>87.250800000013498</v>
      </c>
      <c r="C15" s="498">
        <f>Calculation!AA18</f>
        <v>0</v>
      </c>
      <c r="D15" s="498">
        <f>Calculation!Y18</f>
        <v>0</v>
      </c>
      <c r="E15" s="498">
        <f>Calculation!U18</f>
        <v>45.481800000013507</v>
      </c>
      <c r="F15" s="498">
        <f>Calculation!V18</f>
        <v>41.768999999999998</v>
      </c>
      <c r="G15" s="498">
        <f>Calculation!W18</f>
        <v>0</v>
      </c>
      <c r="H15" s="500">
        <f>Sheet1!H18</f>
        <v>1.41</v>
      </c>
      <c r="I15" s="501">
        <f>Sheet1!CW18</f>
        <v>1195.8333333333333</v>
      </c>
      <c r="J15" s="501">
        <f>Sheet1!CX18</f>
        <v>699.30208333333337</v>
      </c>
      <c r="K15" s="501">
        <f>Sheet1!CV18</f>
        <v>713.6</v>
      </c>
      <c r="L15" s="501">
        <f>Calculation!F18</f>
        <v>250</v>
      </c>
      <c r="M15" s="501">
        <f>Calculation!E18</f>
        <v>250</v>
      </c>
      <c r="N15" s="501">
        <f>Calculation!D18</f>
        <v>300</v>
      </c>
      <c r="O15" s="500">
        <f>Sheet1!CY18</f>
        <v>1075.8900000000001</v>
      </c>
      <c r="P15" s="514" t="e">
        <f>Calculation!ET18</f>
        <v>#N/A</v>
      </c>
      <c r="Q15" s="498">
        <f>Calculation!DF18</f>
        <v>1877.5800000026629</v>
      </c>
      <c r="R15" s="500">
        <f t="shared" si="1"/>
        <v>657.58000000266293</v>
      </c>
      <c r="S15" s="498">
        <f t="shared" si="14"/>
        <v>-24.760000000087302</v>
      </c>
      <c r="T15" s="498">
        <f ca="1">IF(A15&gt;$A$1,#N/A,VLOOKUP(A15,Calculation!$B$8:$IV$881,30,FALSE))</f>
        <v>0</v>
      </c>
      <c r="U15" s="498">
        <f t="shared" si="8"/>
        <v>0</v>
      </c>
      <c r="V15" s="498">
        <f>Calculation!AP18</f>
        <v>0</v>
      </c>
      <c r="W15" s="498">
        <f t="shared" si="15"/>
        <v>0</v>
      </c>
      <c r="X15" s="498">
        <v>0</v>
      </c>
      <c r="Y15" s="744">
        <f t="shared" si="10"/>
        <v>0</v>
      </c>
      <c r="Z15" s="748">
        <f t="shared" si="11"/>
        <v>0</v>
      </c>
      <c r="AA15" s="498">
        <f t="shared" ca="1" si="16"/>
        <v>1877.5800000026629</v>
      </c>
      <c r="AB15" s="501">
        <f t="shared" ca="1" si="17"/>
        <v>657.58000000266293</v>
      </c>
      <c r="AC15" s="498" t="e">
        <f ca="1">IF(A15&gt;$A$1,#N/A,VLOOKUP(A15,Calculation!$B$8:$IV$881,155,FALSE))</f>
        <v>#N/A</v>
      </c>
      <c r="AD15" s="498" t="e">
        <f t="shared" ca="1" si="18"/>
        <v>#N/A</v>
      </c>
      <c r="AE15" s="498"/>
      <c r="AF15" s="501">
        <f>Calculation!G18</f>
        <v>701.11386787691015</v>
      </c>
      <c r="AG15" s="498" t="str">
        <f t="shared" si="19"/>
        <v>Yes</v>
      </c>
      <c r="AH15" s="498" t="str">
        <f t="shared" si="20"/>
        <v>Yes</v>
      </c>
      <c r="AK15" s="738">
        <v>2110.6000000030444</v>
      </c>
      <c r="AL15" s="738">
        <v>2228.0000000032537</v>
      </c>
      <c r="AM15" s="740">
        <v>2382.8000000035336</v>
      </c>
      <c r="AR15" s="549"/>
      <c r="AS15" s="525"/>
      <c r="AT15" s="581">
        <f>Calculation!AR18*3.068</f>
        <v>0</v>
      </c>
      <c r="AU15" s="575">
        <f ca="1">Calculation!DA18</f>
        <v>0</v>
      </c>
      <c r="AV15" s="575">
        <f>Calculation!CF18*3.068</f>
        <v>0</v>
      </c>
      <c r="AW15" s="582">
        <f>Calculation!BK18*3.068</f>
        <v>0</v>
      </c>
      <c r="AX15" s="524"/>
      <c r="AY15" s="560"/>
      <c r="AZ15" s="559"/>
      <c r="BA15" s="560"/>
      <c r="BB15" s="559"/>
      <c r="BC15" s="560"/>
      <c r="BD15" s="559"/>
      <c r="BE15" s="550"/>
    </row>
    <row r="16" spans="1:57" ht="13.5" thickBot="1">
      <c r="A16" s="513">
        <v>40548</v>
      </c>
      <c r="B16" s="498">
        <f t="shared" si="13"/>
        <v>89.107199999986491</v>
      </c>
      <c r="C16" s="498">
        <f>Calculation!AA19</f>
        <v>0</v>
      </c>
      <c r="D16" s="498">
        <f>Calculation!Y19</f>
        <v>0</v>
      </c>
      <c r="E16" s="498">
        <f>Calculation!U19</f>
        <v>48.111699999986492</v>
      </c>
      <c r="F16" s="498">
        <f>Calculation!V19</f>
        <v>40.9955</v>
      </c>
      <c r="G16" s="498">
        <f>Calculation!W19</f>
        <v>0</v>
      </c>
      <c r="H16" s="500">
        <f>Sheet1!H19</f>
        <v>1.85</v>
      </c>
      <c r="I16" s="501">
        <f>Sheet1!CW19</f>
        <v>1181.875</v>
      </c>
      <c r="J16" s="501">
        <f>Sheet1!CX19</f>
        <v>718.05208333333337</v>
      </c>
      <c r="K16" s="501">
        <f>Sheet1!CV19</f>
        <v>726.5</v>
      </c>
      <c r="L16" s="501">
        <f>Calculation!F19</f>
        <v>250</v>
      </c>
      <c r="M16" s="501">
        <f>Calculation!E19</f>
        <v>250</v>
      </c>
      <c r="N16" s="501">
        <f>Calculation!D19</f>
        <v>300</v>
      </c>
      <c r="O16" s="500">
        <f>Sheet1!CY19</f>
        <v>1075.6600000000001</v>
      </c>
      <c r="P16" s="514" t="e">
        <f>Calculation!ET19</f>
        <v>#N/A</v>
      </c>
      <c r="Q16" s="498">
        <f>Calculation!DF19</f>
        <v>1849.5200000026352</v>
      </c>
      <c r="R16" s="500">
        <f t="shared" si="1"/>
        <v>629.52000000263524</v>
      </c>
      <c r="S16" s="498">
        <f t="shared" si="14"/>
        <v>-28.060000000027685</v>
      </c>
      <c r="T16" s="498">
        <f ca="1">IF(A16&gt;$A$1,#N/A,VLOOKUP(A16,Calculation!$B$8:$IV$881,30,FALSE))</f>
        <v>0</v>
      </c>
      <c r="U16" s="498">
        <f t="shared" si="8"/>
        <v>0</v>
      </c>
      <c r="V16" s="498">
        <f>Calculation!AP19</f>
        <v>0</v>
      </c>
      <c r="W16" s="498">
        <f t="shared" si="15"/>
        <v>0</v>
      </c>
      <c r="X16" s="498">
        <v>0</v>
      </c>
      <c r="Y16" s="744">
        <f t="shared" si="10"/>
        <v>0</v>
      </c>
      <c r="Z16" s="748">
        <f t="shared" si="11"/>
        <v>0</v>
      </c>
      <c r="AA16" s="498">
        <f t="shared" ca="1" si="16"/>
        <v>1849.5200000026352</v>
      </c>
      <c r="AB16" s="501">
        <f t="shared" ca="1" si="17"/>
        <v>629.52000000263524</v>
      </c>
      <c r="AC16" s="498" t="e">
        <f ca="1">IF(A16&gt;$A$1,#N/A,VLOOKUP(A16,Calculation!$B$8:$IV$881,155,FALSE))</f>
        <v>#N/A</v>
      </c>
      <c r="AD16" s="498" t="e">
        <f t="shared" ca="1" si="18"/>
        <v>#N/A</v>
      </c>
      <c r="AE16" s="498"/>
      <c r="AF16" s="501">
        <f>Calculation!G19</f>
        <v>712.34972264244698</v>
      </c>
      <c r="AG16" s="498" t="str">
        <f t="shared" si="19"/>
        <v>Yes</v>
      </c>
      <c r="AH16" s="498" t="str">
        <f t="shared" si="20"/>
        <v>Yes</v>
      </c>
      <c r="AK16" s="738">
        <v>2246.9000000032843</v>
      </c>
      <c r="AL16" s="738">
        <v>2053.4000000029855</v>
      </c>
      <c r="AM16" s="740">
        <v>1896.0400000027503</v>
      </c>
      <c r="AR16" s="549"/>
      <c r="AS16" s="525"/>
      <c r="AT16" s="581">
        <f>Calculation!AR19*3.068</f>
        <v>0</v>
      </c>
      <c r="AU16" s="575">
        <f ca="1">Calculation!DA19</f>
        <v>0</v>
      </c>
      <c r="AV16" s="575">
        <f>Calculation!CF19*3.068</f>
        <v>0</v>
      </c>
      <c r="AW16" s="582">
        <f>Calculation!BK19*3.068</f>
        <v>0</v>
      </c>
      <c r="AX16" s="524"/>
      <c r="AY16" s="560"/>
      <c r="AZ16" s="559"/>
      <c r="BA16" s="560"/>
      <c r="BB16" s="559"/>
      <c r="BC16" s="560"/>
      <c r="BD16" s="559"/>
      <c r="BE16" s="550"/>
    </row>
    <row r="17" spans="1:57" ht="13.5" thickBot="1">
      <c r="A17" s="513">
        <v>40549</v>
      </c>
      <c r="B17" s="498">
        <f t="shared" si="13"/>
        <v>87.297209999989192</v>
      </c>
      <c r="C17" s="498">
        <f>Calculation!AA20</f>
        <v>0</v>
      </c>
      <c r="D17" s="498">
        <f>Calculation!Y20</f>
        <v>0</v>
      </c>
      <c r="E17" s="498">
        <f>Calculation!U20</f>
        <v>46.719399999995495</v>
      </c>
      <c r="F17" s="498">
        <f>Calculation!V20</f>
        <v>40.577809999993697</v>
      </c>
      <c r="G17" s="498">
        <f>Calculation!W20</f>
        <v>21.503300000002252</v>
      </c>
      <c r="H17" s="500">
        <f>Sheet1!H20</f>
        <v>9.25</v>
      </c>
      <c r="I17" s="501">
        <f>Sheet1!CW20</f>
        <v>1417.3958333333333</v>
      </c>
      <c r="J17" s="501">
        <f>Sheet1!CX20</f>
        <v>1173.4166666666667</v>
      </c>
      <c r="K17" s="501">
        <f>Sheet1!CV20</f>
        <v>1066.1500000000001</v>
      </c>
      <c r="L17" s="501">
        <f>Calculation!F20</f>
        <v>250</v>
      </c>
      <c r="M17" s="501">
        <f>Calculation!E20</f>
        <v>250</v>
      </c>
      <c r="N17" s="501">
        <f>Calculation!D20</f>
        <v>300</v>
      </c>
      <c r="O17" s="500">
        <f>Sheet1!CY20</f>
        <v>1078.73</v>
      </c>
      <c r="P17" s="514" t="e">
        <f>Calculation!ET20</f>
        <v>#N/A</v>
      </c>
      <c r="Q17" s="498">
        <f>Calculation!DF20</f>
        <v>2245.5500000032844</v>
      </c>
      <c r="R17" s="500">
        <f t="shared" si="1"/>
        <v>1025.5500000032844</v>
      </c>
      <c r="S17" s="498">
        <f t="shared" si="14"/>
        <v>396.03000000064912</v>
      </c>
      <c r="T17" s="498">
        <f ca="1">IF(A17&gt;$A$1,#N/A,VLOOKUP(A17,Calculation!$B$8:$IV$881,30,FALSE))</f>
        <v>0</v>
      </c>
      <c r="U17" s="498">
        <f t="shared" si="8"/>
        <v>0</v>
      </c>
      <c r="V17" s="498">
        <f>Calculation!AP20</f>
        <v>0</v>
      </c>
      <c r="W17" s="498">
        <f t="shared" si="15"/>
        <v>0</v>
      </c>
      <c r="X17" s="498">
        <v>0</v>
      </c>
      <c r="Y17" s="744">
        <f t="shared" si="10"/>
        <v>0</v>
      </c>
      <c r="Z17" s="748">
        <f t="shared" si="11"/>
        <v>0</v>
      </c>
      <c r="AA17" s="498">
        <f t="shared" ca="1" si="16"/>
        <v>2245.5500000032844</v>
      </c>
      <c r="AB17" s="501">
        <f t="shared" ca="1" si="17"/>
        <v>1025.5500000032844</v>
      </c>
      <c r="AC17" s="498" t="e">
        <f ca="1">IF(A17&gt;$A$1,#N/A,VLOOKUP(A17,Calculation!$B$8:$IV$881,155,FALSE))</f>
        <v>#N/A</v>
      </c>
      <c r="AD17" s="498" t="e">
        <f t="shared" ca="1" si="18"/>
        <v>#N/A</v>
      </c>
      <c r="AE17" s="498"/>
      <c r="AF17" s="501">
        <f>Calculation!G20</f>
        <v>1265.8625567325512</v>
      </c>
      <c r="AG17" s="498" t="str">
        <f t="shared" si="19"/>
        <v>Yes</v>
      </c>
      <c r="AH17" s="498" t="str">
        <f t="shared" si="20"/>
        <v>Yes</v>
      </c>
      <c r="AK17" s="738">
        <v>2257.7000000032845</v>
      </c>
      <c r="AL17" s="738">
        <v>1738.3200000024415</v>
      </c>
      <c r="AM17" s="740">
        <v>1188.6400000015819</v>
      </c>
      <c r="AR17" s="549"/>
      <c r="AS17" s="525"/>
      <c r="AT17" s="581">
        <f>Calculation!AR20*3.068</f>
        <v>0</v>
      </c>
      <c r="AU17" s="575">
        <f ca="1">Calculation!DA20</f>
        <v>0</v>
      </c>
      <c r="AV17" s="575">
        <f>Calculation!CF20*3.068</f>
        <v>0</v>
      </c>
      <c r="AW17" s="582">
        <f>Calculation!BK20*3.068</f>
        <v>0</v>
      </c>
      <c r="AX17" s="524"/>
      <c r="AY17" s="560"/>
      <c r="AZ17" s="559"/>
      <c r="BA17" s="560"/>
      <c r="BB17" s="559"/>
      <c r="BC17" s="560"/>
      <c r="BD17" s="559"/>
      <c r="BE17" s="550"/>
    </row>
    <row r="18" spans="1:57" ht="13.5" thickBot="1">
      <c r="A18" s="513">
        <v>40550</v>
      </c>
      <c r="B18" s="498">
        <f t="shared" si="13"/>
        <v>78.231789999999549</v>
      </c>
      <c r="C18" s="498">
        <f>Calculation!AA21</f>
        <v>0</v>
      </c>
      <c r="D18" s="498">
        <f>Calculation!Y21</f>
        <v>0</v>
      </c>
      <c r="E18" s="498">
        <f>Calculation!U21</f>
        <v>45.636499999999998</v>
      </c>
      <c r="F18" s="498">
        <f>Calculation!V21</f>
        <v>32.595289999999551</v>
      </c>
      <c r="G18" s="498">
        <f>Calculation!W21</f>
        <v>60.967269999999772</v>
      </c>
      <c r="H18" s="500">
        <f>Sheet1!H21</f>
        <v>15.45</v>
      </c>
      <c r="I18" s="501">
        <f>Sheet1!CW21</f>
        <v>2490</v>
      </c>
      <c r="J18" s="501">
        <f>Sheet1!CX21</f>
        <v>2207.7083333333335</v>
      </c>
      <c r="K18" s="501">
        <f>Sheet1!CV21</f>
        <v>1772.1052631578948</v>
      </c>
      <c r="L18" s="501">
        <f>Calculation!F21</f>
        <v>250</v>
      </c>
      <c r="M18" s="501">
        <f>Calculation!E21</f>
        <v>250</v>
      </c>
      <c r="N18" s="501">
        <f>Calculation!D21</f>
        <v>300</v>
      </c>
      <c r="O18" s="500">
        <f>Sheet1!CY21</f>
        <v>1086.5</v>
      </c>
      <c r="P18" s="514" t="e">
        <f>Calculation!ET21</f>
        <v>#N/A</v>
      </c>
      <c r="Q18" s="498">
        <f>Calculation!DF21</f>
        <v>3441.5000000054283</v>
      </c>
      <c r="R18" s="500">
        <f t="shared" si="1"/>
        <v>2221.5000000054283</v>
      </c>
      <c r="S18" s="498">
        <f t="shared" si="14"/>
        <v>1195.950000002144</v>
      </c>
      <c r="T18" s="498">
        <f ca="1">IF(A18&gt;$A$1,#N/A,VLOOKUP(A18,Calculation!$B$8:$IV$881,30,FALSE))</f>
        <v>0</v>
      </c>
      <c r="U18" s="498">
        <f t="shared" si="8"/>
        <v>0</v>
      </c>
      <c r="V18" s="498">
        <f>Calculation!AP21</f>
        <v>0</v>
      </c>
      <c r="W18" s="498">
        <f t="shared" si="15"/>
        <v>0</v>
      </c>
      <c r="X18" s="498">
        <v>0</v>
      </c>
      <c r="Y18" s="744">
        <f t="shared" si="10"/>
        <v>0</v>
      </c>
      <c r="Z18" s="748">
        <f t="shared" si="11"/>
        <v>0</v>
      </c>
      <c r="AA18" s="498">
        <f t="shared" ca="1" si="16"/>
        <v>3441.5000000054283</v>
      </c>
      <c r="AB18" s="501">
        <f t="shared" ca="1" si="17"/>
        <v>2221.5000000054283</v>
      </c>
      <c r="AC18" s="498" t="e">
        <f ca="1">IF(A18&gt;$A$1,#N/A,VLOOKUP(A18,Calculation!$B$8:$IV$881,155,FALSE))</f>
        <v>#N/A</v>
      </c>
      <c r="AD18" s="498" t="e">
        <f t="shared" ca="1" si="18"/>
        <v>#N/A</v>
      </c>
      <c r="AE18" s="498"/>
      <c r="AF18" s="501">
        <f>Calculation!G21</f>
        <v>2375.2066247323496</v>
      </c>
      <c r="AG18" s="498" t="str">
        <f t="shared" si="19"/>
        <v>Yes</v>
      </c>
      <c r="AH18" s="498" t="str">
        <f t="shared" si="20"/>
        <v>Yes</v>
      </c>
      <c r="AK18" s="738">
        <v>2257.7000000032845</v>
      </c>
      <c r="AL18" s="738">
        <v>1541.5600000021773</v>
      </c>
      <c r="AM18" s="740">
        <v>1990.5400000028362</v>
      </c>
      <c r="AR18" s="549"/>
      <c r="AS18" s="525"/>
      <c r="AT18" s="581">
        <f>Calculation!AR21*3.068</f>
        <v>0</v>
      </c>
      <c r="AU18" s="575">
        <f ca="1">Calculation!DA21</f>
        <v>0</v>
      </c>
      <c r="AV18" s="575">
        <f>Calculation!CF21*3.068</f>
        <v>0</v>
      </c>
      <c r="AW18" s="582">
        <f>Calculation!BK21*3.068</f>
        <v>0</v>
      </c>
      <c r="AX18" s="524"/>
      <c r="AY18" s="560"/>
      <c r="AZ18" s="559"/>
      <c r="BA18" s="560"/>
      <c r="BB18" s="559"/>
      <c r="BC18" s="560"/>
      <c r="BD18" s="559"/>
      <c r="BE18" s="550"/>
    </row>
    <row r="19" spans="1:57" ht="13.5" thickBot="1">
      <c r="A19" s="513">
        <v>40551</v>
      </c>
      <c r="B19" s="498">
        <f t="shared" si="13"/>
        <v>74.256</v>
      </c>
      <c r="C19" s="498">
        <f>Calculation!AA22</f>
        <v>0</v>
      </c>
      <c r="D19" s="498">
        <f>Calculation!Y22</f>
        <v>0</v>
      </c>
      <c r="E19" s="498">
        <f>Calculation!U22</f>
        <v>46.41</v>
      </c>
      <c r="F19" s="498">
        <f>Calculation!V22</f>
        <v>27.846</v>
      </c>
      <c r="G19" s="498">
        <f>Calculation!W22</f>
        <v>63.488879999998531</v>
      </c>
      <c r="H19" s="500">
        <f>Sheet1!H22</f>
        <v>15.5</v>
      </c>
      <c r="I19" s="501">
        <f>Sheet1!CW22</f>
        <v>3385.2083333333335</v>
      </c>
      <c r="J19" s="501">
        <f>Sheet1!CX22</f>
        <v>2830.2083333333335</v>
      </c>
      <c r="K19" s="501">
        <f>Sheet1!CV22</f>
        <v>2406.8421052631579</v>
      </c>
      <c r="L19" s="501">
        <f>Calculation!F22</f>
        <v>250</v>
      </c>
      <c r="M19" s="501">
        <f>Calculation!E22</f>
        <v>250</v>
      </c>
      <c r="N19" s="501">
        <f>Calculation!D22</f>
        <v>300</v>
      </c>
      <c r="O19" s="500">
        <f>Sheet1!CY22</f>
        <v>1089.1400000000001</v>
      </c>
      <c r="P19" s="514" t="e">
        <f>Calculation!ET22</f>
        <v>#N/A</v>
      </c>
      <c r="Q19" s="498">
        <f>Calculation!DF22</f>
        <v>3917.6000000064369</v>
      </c>
      <c r="R19" s="500">
        <f t="shared" si="1"/>
        <v>2697.6000000064369</v>
      </c>
      <c r="S19" s="498">
        <f t="shared" si="14"/>
        <v>476.10000000100854</v>
      </c>
      <c r="T19" s="498">
        <f ca="1">IF(A19&gt;$A$1,#N/A,VLOOKUP(A19,Calculation!$B$8:$IV$881,30,FALSE))</f>
        <v>0</v>
      </c>
      <c r="U19" s="498">
        <f t="shared" si="8"/>
        <v>0</v>
      </c>
      <c r="V19" s="498">
        <f>Calculation!AP22</f>
        <v>0</v>
      </c>
      <c r="W19" s="498">
        <f t="shared" si="15"/>
        <v>0</v>
      </c>
      <c r="X19" s="498">
        <v>0</v>
      </c>
      <c r="Y19" s="744">
        <f t="shared" si="10"/>
        <v>0</v>
      </c>
      <c r="Z19" s="748">
        <f t="shared" si="11"/>
        <v>0</v>
      </c>
      <c r="AA19" s="498">
        <f t="shared" ca="1" si="16"/>
        <v>3917.6000000064369</v>
      </c>
      <c r="AB19" s="501">
        <f t="shared" ca="1" si="17"/>
        <v>2697.6000000064369</v>
      </c>
      <c r="AC19" s="498" t="e">
        <f ca="1">IF(A19&gt;$A$1,#N/A,VLOOKUP(A19,Calculation!$B$8:$IV$881,155,FALSE))</f>
        <v>#N/A</v>
      </c>
      <c r="AD19" s="498" t="e">
        <f t="shared" ca="1" si="18"/>
        <v>#N/A</v>
      </c>
      <c r="AE19" s="498"/>
      <c r="AF19" s="501">
        <f>Calculation!G22</f>
        <v>2646.9328768219116</v>
      </c>
      <c r="AG19" s="498" t="str">
        <f t="shared" si="19"/>
        <v>Yes</v>
      </c>
      <c r="AH19" s="498" t="str">
        <f t="shared" si="20"/>
        <v>Yes</v>
      </c>
      <c r="AK19" s="738">
        <v>1996.8400000028362</v>
      </c>
      <c r="AL19" s="738">
        <v>10270.240000019945</v>
      </c>
      <c r="AM19" s="740">
        <v>2040.4000000029855</v>
      </c>
      <c r="AR19" s="549"/>
      <c r="AS19" s="525"/>
      <c r="AT19" s="581">
        <f>Calculation!AR22*3.068</f>
        <v>0</v>
      </c>
      <c r="AU19" s="575">
        <f ca="1">Calculation!DA22</f>
        <v>0</v>
      </c>
      <c r="AV19" s="575">
        <f>Calculation!CF22*3.068</f>
        <v>0</v>
      </c>
      <c r="AW19" s="582">
        <f>Calculation!BK22*3.068</f>
        <v>0</v>
      </c>
      <c r="AX19" s="524"/>
      <c r="AY19" s="560"/>
      <c r="AZ19" s="559"/>
      <c r="BA19" s="560"/>
      <c r="BB19" s="559"/>
      <c r="BC19" s="560"/>
      <c r="BD19" s="559"/>
      <c r="BE19" s="550"/>
    </row>
    <row r="20" spans="1:57" ht="13.5" thickBot="1">
      <c r="A20" s="513">
        <v>40552</v>
      </c>
      <c r="B20" s="498">
        <f t="shared" si="13"/>
        <v>66.428180000014848</v>
      </c>
      <c r="C20" s="498">
        <f>Calculation!AA23</f>
        <v>0</v>
      </c>
      <c r="D20" s="498">
        <f>Calculation!Y23</f>
        <v>0</v>
      </c>
      <c r="E20" s="498">
        <f>Calculation!U23</f>
        <v>43.068480000017104</v>
      </c>
      <c r="F20" s="498">
        <f>Calculation!V23</f>
        <v>23.359699999997748</v>
      </c>
      <c r="G20" s="498">
        <f>Calculation!W23</f>
        <v>29.516759999999888</v>
      </c>
      <c r="H20" s="500">
        <f>Sheet1!H23</f>
        <v>6</v>
      </c>
      <c r="I20" s="501">
        <f>Sheet1!CW23</f>
        <v>3470.5208333333335</v>
      </c>
      <c r="J20" s="501">
        <f>Sheet1!CX23</f>
        <v>2809.1666666666665</v>
      </c>
      <c r="K20" s="501">
        <f>Sheet1!CV23</f>
        <v>2542.2222222222222</v>
      </c>
      <c r="L20" s="501">
        <f>Calculation!F23</f>
        <v>250</v>
      </c>
      <c r="M20" s="501">
        <f>Calculation!E23</f>
        <v>250</v>
      </c>
      <c r="N20" s="501">
        <f>Calculation!D23</f>
        <v>300</v>
      </c>
      <c r="O20" s="500">
        <f>Sheet1!CY23</f>
        <v>1082.32</v>
      </c>
      <c r="P20" s="514" t="e">
        <f>Calculation!ET23</f>
        <v>#N/A</v>
      </c>
      <c r="Q20" s="498">
        <f>Calculation!DF23</f>
        <v>2762.9600000042092</v>
      </c>
      <c r="R20" s="500">
        <f t="shared" si="1"/>
        <v>1542.9600000042092</v>
      </c>
      <c r="S20" s="498">
        <f t="shared" si="14"/>
        <v>-1154.6400000022277</v>
      </c>
      <c r="T20" s="498">
        <f ca="1">IF(A20&gt;$A$1,#N/A,VLOOKUP(A20,Calculation!$B$8:$IV$881,30,FALSE))</f>
        <v>0</v>
      </c>
      <c r="U20" s="498">
        <f t="shared" si="8"/>
        <v>0</v>
      </c>
      <c r="V20" s="498">
        <f>Calculation!AP23</f>
        <v>0</v>
      </c>
      <c r="W20" s="498">
        <f t="shared" si="15"/>
        <v>0</v>
      </c>
      <c r="X20" s="498">
        <v>0</v>
      </c>
      <c r="Y20" s="744">
        <f t="shared" si="10"/>
        <v>0</v>
      </c>
      <c r="Z20" s="748">
        <f t="shared" si="11"/>
        <v>0</v>
      </c>
      <c r="AA20" s="498">
        <f t="shared" ca="1" si="16"/>
        <v>2762.9600000042092</v>
      </c>
      <c r="AB20" s="501">
        <f t="shared" ca="1" si="17"/>
        <v>1542.9600000042092</v>
      </c>
      <c r="AC20" s="498" t="e">
        <f ca="1">IF(A20&gt;$A$1,#N/A,VLOOKUP(A20,Calculation!$B$8:$IV$881,155,FALSE))</f>
        <v>#N/A</v>
      </c>
      <c r="AD20" s="498" t="e">
        <f t="shared" ca="1" si="18"/>
        <v>#N/A</v>
      </c>
      <c r="AE20" s="498"/>
      <c r="AF20" s="501">
        <f>Calculation!G23</f>
        <v>1959.9529332649718</v>
      </c>
      <c r="AG20" s="498" t="str">
        <f t="shared" si="19"/>
        <v>Yes</v>
      </c>
      <c r="AH20" s="498" t="str">
        <f t="shared" si="20"/>
        <v>Yes</v>
      </c>
      <c r="AK20" s="738">
        <v>2045.6000000029853</v>
      </c>
      <c r="AL20" s="738">
        <v>60041.160000138101</v>
      </c>
      <c r="AM20" s="740">
        <v>2245.5500000032844</v>
      </c>
      <c r="AR20" s="549"/>
      <c r="AS20" s="525"/>
      <c r="AT20" s="581">
        <f>Calculation!AR23*3.068</f>
        <v>0</v>
      </c>
      <c r="AU20" s="575">
        <f ca="1">Calculation!DA23</f>
        <v>0</v>
      </c>
      <c r="AV20" s="575">
        <f>Calculation!CF23*3.068</f>
        <v>0</v>
      </c>
      <c r="AW20" s="582">
        <f>Calculation!BK23*3.068</f>
        <v>0</v>
      </c>
      <c r="AX20" s="524"/>
      <c r="AY20" s="560"/>
      <c r="AZ20" s="559"/>
      <c r="BA20" s="560"/>
      <c r="BB20" s="559"/>
      <c r="BC20" s="560"/>
      <c r="BD20" s="559"/>
      <c r="BE20" s="550"/>
    </row>
    <row r="21" spans="1:57" ht="13.5" thickBot="1">
      <c r="A21" s="513">
        <v>40553</v>
      </c>
      <c r="B21" s="498">
        <f t="shared" si="13"/>
        <v>64.138620000009908</v>
      </c>
      <c r="C21" s="498">
        <f>Calculation!AA24</f>
        <v>0</v>
      </c>
      <c r="D21" s="498">
        <f>Calculation!Y24</f>
        <v>0</v>
      </c>
      <c r="E21" s="498">
        <f>Calculation!U24</f>
        <v>40.778920000000902</v>
      </c>
      <c r="F21" s="498">
        <f>Calculation!V24</f>
        <v>23.359700000009003</v>
      </c>
      <c r="G21" s="498">
        <f>Calculation!W24</f>
        <v>28.619499999999999</v>
      </c>
      <c r="H21" s="500">
        <f>Sheet1!H24</f>
        <v>7.07</v>
      </c>
      <c r="I21" s="501">
        <f>Sheet1!CW24</f>
        <v>2976.9791666666665</v>
      </c>
      <c r="J21" s="501">
        <f>Sheet1!CX24</f>
        <v>2130.4166666666665</v>
      </c>
      <c r="K21" s="501">
        <f>Sheet1!CV24</f>
        <v>2011.6666666666667</v>
      </c>
      <c r="L21" s="501">
        <f>Calculation!F24</f>
        <v>250</v>
      </c>
      <c r="M21" s="501">
        <f>Calculation!E24</f>
        <v>250</v>
      </c>
      <c r="N21" s="501">
        <f>Calculation!D24</f>
        <v>300</v>
      </c>
      <c r="O21" s="500">
        <f>Sheet1!CY24</f>
        <v>1076.5999999999999</v>
      </c>
      <c r="P21" s="514" t="e">
        <f>Calculation!ET24</f>
        <v>#N/A</v>
      </c>
      <c r="Q21" s="498">
        <f>Calculation!DF24</f>
        <v>1966.6000000028075</v>
      </c>
      <c r="R21" s="500">
        <f t="shared" si="1"/>
        <v>746.60000000280752</v>
      </c>
      <c r="S21" s="498">
        <f t="shared" si="14"/>
        <v>-796.36000000140166</v>
      </c>
      <c r="T21" s="498">
        <f ca="1">IF(A21&gt;$A$1,#N/A,VLOOKUP(A21,Calculation!$B$8:$IV$881,30,FALSE))</f>
        <v>0</v>
      </c>
      <c r="U21" s="498">
        <f t="shared" si="8"/>
        <v>0</v>
      </c>
      <c r="V21" s="498">
        <f>Calculation!AP24</f>
        <v>0</v>
      </c>
      <c r="W21" s="498">
        <f t="shared" si="15"/>
        <v>0</v>
      </c>
      <c r="X21" s="498">
        <v>0</v>
      </c>
      <c r="Y21" s="744">
        <f t="shared" si="10"/>
        <v>0</v>
      </c>
      <c r="Z21" s="748">
        <f t="shared" si="11"/>
        <v>0</v>
      </c>
      <c r="AA21" s="498">
        <f t="shared" ca="1" si="16"/>
        <v>1966.6000000028075</v>
      </c>
      <c r="AB21" s="501">
        <f t="shared" ca="1" si="17"/>
        <v>746.60000000280752</v>
      </c>
      <c r="AC21" s="498" t="e">
        <f ca="1">IF(A21&gt;$A$1,#N/A,VLOOKUP(A21,Calculation!$B$8:$IV$881,155,FALSE))</f>
        <v>#N/A</v>
      </c>
      <c r="AD21" s="498" t="e">
        <f t="shared" ca="1" si="18"/>
        <v>#N/A</v>
      </c>
      <c r="AE21" s="498"/>
      <c r="AF21" s="501">
        <f>Calculation!G24</f>
        <v>1610.073121532324</v>
      </c>
      <c r="AG21" s="498" t="str">
        <f t="shared" si="19"/>
        <v>Yes</v>
      </c>
      <c r="AH21" s="498" t="str">
        <f t="shared" si="20"/>
        <v>Yes</v>
      </c>
      <c r="AK21" s="738">
        <v>1784.8600000025799</v>
      </c>
      <c r="AL21" s="738">
        <v>78014.680000177352</v>
      </c>
      <c r="AM21" s="740">
        <v>2136.600000003074</v>
      </c>
      <c r="AR21" s="549"/>
      <c r="AS21" s="525"/>
      <c r="AT21" s="581">
        <f>Calculation!AR24*3.068</f>
        <v>0</v>
      </c>
      <c r="AU21" s="575">
        <f ca="1">Calculation!DA24</f>
        <v>0</v>
      </c>
      <c r="AV21" s="575">
        <f>Calculation!CF24*3.068</f>
        <v>0</v>
      </c>
      <c r="AW21" s="582">
        <f>Calculation!BK24*3.068</f>
        <v>0</v>
      </c>
      <c r="AX21" s="524"/>
      <c r="AY21" s="560"/>
      <c r="AZ21" s="559"/>
      <c r="BA21" s="560"/>
      <c r="BB21" s="559"/>
      <c r="BC21" s="560"/>
      <c r="BD21" s="559"/>
      <c r="BE21" s="550"/>
    </row>
    <row r="22" spans="1:57" ht="13.5" thickBot="1">
      <c r="A22" s="513">
        <v>40554</v>
      </c>
      <c r="B22" s="498">
        <f t="shared" si="13"/>
        <v>66.258009999980189</v>
      </c>
      <c r="C22" s="498">
        <f>Calculation!AA25</f>
        <v>0</v>
      </c>
      <c r="D22" s="498">
        <f>Calculation!Y25</f>
        <v>0</v>
      </c>
      <c r="E22" s="498">
        <f>Calculation!U25</f>
        <v>43.006599999981987</v>
      </c>
      <c r="F22" s="498">
        <f>Calculation!V25</f>
        <v>23.251409999998199</v>
      </c>
      <c r="G22" s="498">
        <f>Calculation!W25</f>
        <v>25.293450000000561</v>
      </c>
      <c r="H22" s="500">
        <f>Sheet1!H25</f>
        <v>7.72</v>
      </c>
      <c r="I22" s="501">
        <f>Sheet1!CW25</f>
        <v>2098.5416666666665</v>
      </c>
      <c r="J22" s="501">
        <f>Sheet1!CX25</f>
        <v>1485.625</v>
      </c>
      <c r="K22" s="501">
        <f>Sheet1!CV25</f>
        <v>1382.7777777777778</v>
      </c>
      <c r="L22" s="501">
        <f>Calculation!F25</f>
        <v>250</v>
      </c>
      <c r="M22" s="501">
        <f>Calculation!E25</f>
        <v>250</v>
      </c>
      <c r="N22" s="501">
        <f>Calculation!D25</f>
        <v>300</v>
      </c>
      <c r="O22" s="500">
        <f>Sheet1!CY25</f>
        <v>1075.06</v>
      </c>
      <c r="P22" s="514" t="e">
        <f>Calculation!ET25</f>
        <v>#N/A</v>
      </c>
      <c r="Q22" s="498">
        <f>Calculation!DF25</f>
        <v>1776.320000002552</v>
      </c>
      <c r="R22" s="500">
        <f t="shared" si="1"/>
        <v>556.32000000255198</v>
      </c>
      <c r="S22" s="498">
        <f t="shared" si="14"/>
        <v>-190.28000000025554</v>
      </c>
      <c r="T22" s="498">
        <f ca="1">IF(A22&gt;$A$1,#N/A,VLOOKUP(A22,Calculation!$B$8:$IV$881,30,FALSE))</f>
        <v>0</v>
      </c>
      <c r="U22" s="498">
        <f t="shared" si="8"/>
        <v>0</v>
      </c>
      <c r="V22" s="498">
        <f>Calculation!AP25</f>
        <v>0</v>
      </c>
      <c r="W22" s="498">
        <f t="shared" si="15"/>
        <v>0</v>
      </c>
      <c r="X22" s="498">
        <v>0</v>
      </c>
      <c r="Y22" s="744">
        <f t="shared" si="10"/>
        <v>0</v>
      </c>
      <c r="Z22" s="748">
        <f t="shared" si="11"/>
        <v>0</v>
      </c>
      <c r="AA22" s="498">
        <f t="shared" ca="1" si="16"/>
        <v>1776.320000002552</v>
      </c>
      <c r="AB22" s="501">
        <f t="shared" ca="1" si="17"/>
        <v>556.32000000255198</v>
      </c>
      <c r="AC22" s="498" t="e">
        <f ca="1">IF(A22&gt;$A$1,#N/A,VLOOKUP(A22,Calculation!$B$8:$IV$881,155,FALSE))</f>
        <v>#N/A</v>
      </c>
      <c r="AD22" s="498" t="e">
        <f t="shared" ca="1" si="18"/>
        <v>#N/A</v>
      </c>
      <c r="AE22" s="498"/>
      <c r="AF22" s="501">
        <f>Calculation!G25</f>
        <v>1286.8221549839022</v>
      </c>
      <c r="AG22" s="498" t="str">
        <f t="shared" si="19"/>
        <v>Yes</v>
      </c>
      <c r="AH22" s="498" t="str">
        <f t="shared" si="20"/>
        <v>Yes</v>
      </c>
      <c r="AK22" s="738">
        <v>1614.5200000022551</v>
      </c>
      <c r="AL22" s="738">
        <v>75804.200000173121</v>
      </c>
      <c r="AM22" s="740">
        <v>1837.3200000026075</v>
      </c>
      <c r="AR22" s="549"/>
      <c r="AS22" s="525"/>
      <c r="AT22" s="581">
        <f>Calculation!AR25*3.068</f>
        <v>0</v>
      </c>
      <c r="AU22" s="575">
        <f ca="1">Calculation!DA25</f>
        <v>0</v>
      </c>
      <c r="AV22" s="575">
        <f>Calculation!CF25*3.068</f>
        <v>0</v>
      </c>
      <c r="AW22" s="582">
        <f>Calculation!BK25*3.068</f>
        <v>0</v>
      </c>
      <c r="AX22" s="524"/>
      <c r="AY22" s="560"/>
      <c r="AZ22" s="559"/>
      <c r="BA22" s="560"/>
      <c r="BB22" s="559"/>
      <c r="BC22" s="560"/>
      <c r="BD22" s="559"/>
      <c r="BE22" s="550"/>
    </row>
    <row r="23" spans="1:57" ht="13.5" thickBot="1">
      <c r="A23" s="513">
        <v>40555</v>
      </c>
      <c r="B23" s="498">
        <f t="shared" si="13"/>
        <v>69.522180000003601</v>
      </c>
      <c r="C23" s="498">
        <f>Calculation!AA26</f>
        <v>0</v>
      </c>
      <c r="D23" s="498">
        <f>Calculation!Y26</f>
        <v>0</v>
      </c>
      <c r="E23" s="498">
        <f>Calculation!U26</f>
        <v>46.054190000006301</v>
      </c>
      <c r="F23" s="498">
        <f>Calculation!V26</f>
        <v>23.467989999997297</v>
      </c>
      <c r="G23" s="498">
        <f>Calculation!W26</f>
        <v>53.386970000000332</v>
      </c>
      <c r="H23" s="500">
        <f>Sheet1!H26</f>
        <v>30</v>
      </c>
      <c r="I23" s="501">
        <f>Sheet1!CW26</f>
        <v>2088.4375</v>
      </c>
      <c r="J23" s="501">
        <f>Sheet1!CX26</f>
        <v>1702.6041666666667</v>
      </c>
      <c r="K23" s="501">
        <f>Sheet1!CV26</f>
        <v>1362.7777777777778</v>
      </c>
      <c r="L23" s="501">
        <f>Calculation!F26</f>
        <v>250</v>
      </c>
      <c r="M23" s="501">
        <f>Calculation!E26</f>
        <v>250</v>
      </c>
      <c r="N23" s="501">
        <f>Calculation!D26</f>
        <v>300</v>
      </c>
      <c r="O23" s="500">
        <f>Sheet1!CY26</f>
        <v>1075.97</v>
      </c>
      <c r="P23" s="514" t="e">
        <f>Calculation!ET26</f>
        <v>#N/A</v>
      </c>
      <c r="Q23" s="498">
        <f>Calculation!DF26</f>
        <v>1887.3400000026629</v>
      </c>
      <c r="R23" s="500">
        <f t="shared" si="1"/>
        <v>667.34000000266292</v>
      </c>
      <c r="S23" s="498">
        <f t="shared" si="14"/>
        <v>111.02000000011094</v>
      </c>
      <c r="T23" s="498">
        <f ca="1">IF(A23&gt;$A$1,#N/A,VLOOKUP(A23,Calculation!$B$8:$IV$881,30,FALSE))</f>
        <v>0</v>
      </c>
      <c r="U23" s="498">
        <f t="shared" si="8"/>
        <v>0</v>
      </c>
      <c r="V23" s="498">
        <f>Calculation!AP26</f>
        <v>0</v>
      </c>
      <c r="W23" s="498">
        <f t="shared" si="15"/>
        <v>0</v>
      </c>
      <c r="X23" s="498">
        <v>0</v>
      </c>
      <c r="Y23" s="744">
        <f t="shared" si="10"/>
        <v>0</v>
      </c>
      <c r="Z23" s="748">
        <f t="shared" si="11"/>
        <v>0</v>
      </c>
      <c r="AA23" s="498">
        <f t="shared" ca="1" si="16"/>
        <v>1887.3400000026629</v>
      </c>
      <c r="AB23" s="501">
        <f t="shared" ca="1" si="17"/>
        <v>667.34000000266292</v>
      </c>
      <c r="AC23" s="498" t="e">
        <f ca="1">IF(A23&gt;$A$1,#N/A,VLOOKUP(A23,Calculation!$B$8:$IV$881,155,FALSE))</f>
        <v>#N/A</v>
      </c>
      <c r="AD23" s="498" t="e">
        <f t="shared" ca="1" si="18"/>
        <v>#N/A</v>
      </c>
      <c r="AE23" s="498"/>
      <c r="AF23" s="501">
        <f>Calculation!G26</f>
        <v>1418.7636577576623</v>
      </c>
      <c r="AG23" s="498" t="str">
        <f t="shared" si="19"/>
        <v>Yes</v>
      </c>
      <c r="AH23" s="498" t="str">
        <f t="shared" si="20"/>
        <v>Yes</v>
      </c>
      <c r="AK23" s="738">
        <v>2098.9000000030446</v>
      </c>
      <c r="AL23" s="738">
        <v>70012.500000159052</v>
      </c>
      <c r="AM23" s="740">
        <v>1794.6200000025799</v>
      </c>
      <c r="AR23" s="549"/>
      <c r="AS23" s="525"/>
      <c r="AT23" s="581">
        <f>Calculation!AR26*3.068</f>
        <v>0</v>
      </c>
      <c r="AU23" s="575">
        <f ca="1">Calculation!DA26</f>
        <v>0</v>
      </c>
      <c r="AV23" s="575">
        <f>Calculation!CF26*3.068</f>
        <v>0</v>
      </c>
      <c r="AW23" s="582">
        <f>Calculation!BK26*3.068</f>
        <v>0</v>
      </c>
      <c r="AX23" s="524"/>
      <c r="AY23" s="560"/>
      <c r="AZ23" s="559"/>
      <c r="BA23" s="560"/>
      <c r="BB23" s="559"/>
      <c r="BC23" s="560"/>
      <c r="BD23" s="559"/>
      <c r="BE23" s="550"/>
    </row>
    <row r="24" spans="1:57" ht="13.5" thickBot="1">
      <c r="A24" s="513">
        <v>40556</v>
      </c>
      <c r="B24" s="498">
        <f t="shared" si="13"/>
        <v>68.779620000009899</v>
      </c>
      <c r="C24" s="498">
        <f>Calculation!AA27</f>
        <v>0</v>
      </c>
      <c r="D24" s="498">
        <f>Calculation!Y27</f>
        <v>0</v>
      </c>
      <c r="E24" s="498">
        <f>Calculation!U27</f>
        <v>45.528210000011704</v>
      </c>
      <c r="F24" s="498">
        <f>Calculation!V27</f>
        <v>23.251409999998199</v>
      </c>
      <c r="G24" s="498">
        <f>Calculation!W27</f>
        <v>70.079099999998874</v>
      </c>
      <c r="H24" s="500" t="str">
        <f>Sheet1!H27</f>
        <v>os</v>
      </c>
      <c r="I24" s="501">
        <f>Sheet1!CW27</f>
        <v>4111.25</v>
      </c>
      <c r="J24" s="501">
        <f>Sheet1!CX27</f>
        <v>3451.7708333333335</v>
      </c>
      <c r="K24" s="501">
        <f>Sheet1!CV27</f>
        <v>2710.5882352941176</v>
      </c>
      <c r="L24" s="501">
        <f>Calculation!F27</f>
        <v>250</v>
      </c>
      <c r="M24" s="501">
        <f>Calculation!E27</f>
        <v>250</v>
      </c>
      <c r="N24" s="501">
        <f>Calculation!D27</f>
        <v>300</v>
      </c>
      <c r="O24" s="500">
        <f>Sheet1!CY27</f>
        <v>1079.1600000000001</v>
      </c>
      <c r="P24" s="514" t="e">
        <f>Calculation!ET27</f>
        <v>#N/A</v>
      </c>
      <c r="Q24" s="498">
        <f>Calculation!DF27</f>
        <v>2304.4000000034698</v>
      </c>
      <c r="R24" s="500">
        <f t="shared" si="1"/>
        <v>1084.4000000034698</v>
      </c>
      <c r="S24" s="498">
        <f t="shared" si="14"/>
        <v>417.06000000080689</v>
      </c>
      <c r="T24" s="498">
        <f ca="1">IF(A24&gt;$A$1,#N/A,VLOOKUP(A24,Calculation!$B$8:$IV$881,30,FALSE))</f>
        <v>0</v>
      </c>
      <c r="U24" s="498">
        <f t="shared" si="8"/>
        <v>0</v>
      </c>
      <c r="V24" s="498">
        <f>Calculation!AP27</f>
        <v>0</v>
      </c>
      <c r="W24" s="498">
        <f t="shared" si="15"/>
        <v>0</v>
      </c>
      <c r="X24" s="498">
        <v>0</v>
      </c>
      <c r="Y24" s="744">
        <f t="shared" si="10"/>
        <v>0</v>
      </c>
      <c r="Z24" s="748">
        <f t="shared" si="11"/>
        <v>0</v>
      </c>
      <c r="AA24" s="498">
        <f t="shared" ca="1" si="16"/>
        <v>2304.4000000034698</v>
      </c>
      <c r="AB24" s="501">
        <f t="shared" ca="1" si="17"/>
        <v>1084.4000000034698</v>
      </c>
      <c r="AC24" s="498" t="e">
        <f ca="1">IF(A24&gt;$A$1,#N/A,VLOOKUP(A24,Calculation!$B$8:$IV$881,155,FALSE))</f>
        <v>#N/A</v>
      </c>
      <c r="AD24" s="498" t="e">
        <f t="shared" ca="1" si="18"/>
        <v>#N/A</v>
      </c>
      <c r="AE24" s="498"/>
      <c r="AF24" s="501">
        <f>Calculation!G27</f>
        <v>2920.905935748382</v>
      </c>
      <c r="AG24" s="498" t="str">
        <f t="shared" si="19"/>
        <v>Yes</v>
      </c>
      <c r="AH24" s="498" t="str">
        <f t="shared" si="20"/>
        <v>Yes</v>
      </c>
      <c r="AK24" s="738">
        <v>2761.4300000042094</v>
      </c>
      <c r="AL24" s="738">
        <v>64206.960000146806</v>
      </c>
      <c r="AM24" s="740">
        <v>2011.9600000028649</v>
      </c>
      <c r="AR24" s="549"/>
      <c r="AS24" s="525"/>
      <c r="AT24" s="581">
        <f>Calculation!AR27*3.068</f>
        <v>0</v>
      </c>
      <c r="AU24" s="575">
        <f ca="1">Calculation!DA27</f>
        <v>0</v>
      </c>
      <c r="AV24" s="575">
        <f>Calculation!CF27*3.068</f>
        <v>0</v>
      </c>
      <c r="AW24" s="582">
        <f>Calculation!BK27*3.068</f>
        <v>0</v>
      </c>
      <c r="AX24" s="524"/>
      <c r="AY24" s="560"/>
      <c r="AZ24" s="559"/>
      <c r="BA24" s="560"/>
      <c r="BB24" s="559"/>
      <c r="BC24" s="560"/>
      <c r="BD24" s="559"/>
      <c r="BE24" s="550"/>
    </row>
    <row r="25" spans="1:57" ht="13.5" thickBot="1">
      <c r="A25" s="513">
        <v>40557</v>
      </c>
      <c r="B25" s="498">
        <f t="shared" si="13"/>
        <v>72.971989999997291</v>
      </c>
      <c r="C25" s="498">
        <f>Calculation!AA28</f>
        <v>0</v>
      </c>
      <c r="D25" s="498">
        <f>Calculation!Y28</f>
        <v>0</v>
      </c>
      <c r="E25" s="498">
        <f>Calculation!U28</f>
        <v>47.492899999995494</v>
      </c>
      <c r="F25" s="498">
        <f>Calculation!V28</f>
        <v>25.479090000001801</v>
      </c>
      <c r="G25" s="498">
        <f>Calculation!W28</f>
        <v>72.244900000001124</v>
      </c>
      <c r="H25" s="500">
        <f>Sheet1!H28</f>
        <v>82.71</v>
      </c>
      <c r="I25" s="501">
        <f>Sheet1!CW28</f>
        <v>5637.1875</v>
      </c>
      <c r="J25" s="501">
        <f>Sheet1!CX28</f>
        <v>4691.145833333333</v>
      </c>
      <c r="K25" s="501">
        <f>Sheet1!CV28</f>
        <v>3969.4117647058824</v>
      </c>
      <c r="L25" s="501">
        <f>Calculation!F28</f>
        <v>250</v>
      </c>
      <c r="M25" s="501">
        <f>Calculation!E28</f>
        <v>250</v>
      </c>
      <c r="N25" s="501">
        <f>Calculation!D28</f>
        <v>300</v>
      </c>
      <c r="O25" s="500">
        <f>Sheet1!CY28</f>
        <v>1078.3399999999999</v>
      </c>
      <c r="P25" s="514" t="e">
        <f>Calculation!ET28</f>
        <v>#N/A</v>
      </c>
      <c r="Q25" s="498">
        <f>Calculation!DF28</f>
        <v>2192.9000000032229</v>
      </c>
      <c r="R25" s="500">
        <f t="shared" si="1"/>
        <v>972.90000000322289</v>
      </c>
      <c r="S25" s="498">
        <f t="shared" si="14"/>
        <v>-111.50000000024693</v>
      </c>
      <c r="T25" s="498">
        <f ca="1">IF(A25&gt;$A$1,#N/A,VLOOKUP(A25,Calculation!$B$8:$IV$881,30,FALSE))</f>
        <v>0</v>
      </c>
      <c r="U25" s="498">
        <f t="shared" si="8"/>
        <v>0</v>
      </c>
      <c r="V25" s="498">
        <f>Calculation!AP28</f>
        <v>0</v>
      </c>
      <c r="W25" s="498">
        <f t="shared" si="15"/>
        <v>0</v>
      </c>
      <c r="X25" s="498">
        <v>0</v>
      </c>
      <c r="Y25" s="744">
        <f t="shared" si="10"/>
        <v>0</v>
      </c>
      <c r="Z25" s="748">
        <f t="shared" si="11"/>
        <v>0</v>
      </c>
      <c r="AA25" s="498">
        <f t="shared" ca="1" si="16"/>
        <v>2192.9000000032229</v>
      </c>
      <c r="AB25" s="501">
        <f t="shared" ca="1" si="17"/>
        <v>972.90000000322289</v>
      </c>
      <c r="AC25" s="498" t="e">
        <f ca="1">IF(A25&gt;$A$1,#N/A,VLOOKUP(A25,Calculation!$B$8:$IV$881,155,FALSE))</f>
        <v>#N/A</v>
      </c>
      <c r="AD25" s="498" t="e">
        <f t="shared" ca="1" si="18"/>
        <v>#N/A</v>
      </c>
      <c r="AE25" s="498"/>
      <c r="AF25" s="501">
        <f>Calculation!G28</f>
        <v>3913.1838272372756</v>
      </c>
      <c r="AG25" s="498" t="str">
        <f t="shared" si="19"/>
        <v>Yes</v>
      </c>
      <c r="AH25" s="498" t="str">
        <f t="shared" si="20"/>
        <v>Yes</v>
      </c>
      <c r="AK25" s="738">
        <v>3262.6000000051185</v>
      </c>
      <c r="AL25" s="738">
        <v>59905.640000137821</v>
      </c>
      <c r="AM25" s="740">
        <v>2178.050000003223</v>
      </c>
      <c r="AR25" s="549"/>
      <c r="AS25" s="525"/>
      <c r="AT25" s="581">
        <f>Calculation!AR28*3.068</f>
        <v>0</v>
      </c>
      <c r="AU25" s="575">
        <f ca="1">Calculation!DA28</f>
        <v>0</v>
      </c>
      <c r="AV25" s="575">
        <f>Calculation!CF28*3.068</f>
        <v>0</v>
      </c>
      <c r="AW25" s="582">
        <f>Calculation!BK28*3.068</f>
        <v>0</v>
      </c>
      <c r="AX25" s="524"/>
      <c r="AY25" s="560"/>
      <c r="AZ25" s="559"/>
      <c r="BA25" s="560"/>
      <c r="BB25" s="559"/>
      <c r="BC25" s="560"/>
      <c r="BD25" s="559"/>
      <c r="BE25" s="550"/>
    </row>
    <row r="26" spans="1:57" ht="13.5" thickBot="1">
      <c r="A26" s="513">
        <v>40558</v>
      </c>
      <c r="B26" s="498">
        <f t="shared" si="13"/>
        <v>71.161999999999992</v>
      </c>
      <c r="C26" s="498">
        <f>Calculation!AA29</f>
        <v>0</v>
      </c>
      <c r="D26" s="498">
        <f>Calculation!Y29</f>
        <v>0</v>
      </c>
      <c r="E26" s="498">
        <f>Calculation!U29</f>
        <v>44.553600000004501</v>
      </c>
      <c r="F26" s="498">
        <f>Calculation!V29</f>
        <v>26.608399999995495</v>
      </c>
      <c r="G26" s="498">
        <f>Calculation!W29</f>
        <v>69.800640000001238</v>
      </c>
      <c r="H26" s="500">
        <f>Sheet1!H29</f>
        <v>344</v>
      </c>
      <c r="I26" s="501">
        <f>Sheet1!CW29</f>
        <v>6657.8125</v>
      </c>
      <c r="J26" s="501">
        <f>Sheet1!CX29</f>
        <v>5000.833333333333</v>
      </c>
      <c r="K26" s="501">
        <f>Sheet1!CV29</f>
        <v>4817.6470588235297</v>
      </c>
      <c r="L26" s="501">
        <f>Calculation!F29</f>
        <v>250</v>
      </c>
      <c r="M26" s="501">
        <f>Calculation!E29</f>
        <v>250</v>
      </c>
      <c r="N26" s="501">
        <f>Calculation!D29</f>
        <v>300</v>
      </c>
      <c r="O26" s="500">
        <f>Sheet1!CY29</f>
        <v>1076.5999999999999</v>
      </c>
      <c r="P26" s="514" t="e">
        <f>Calculation!ET29</f>
        <v>#N/A</v>
      </c>
      <c r="Q26" s="498">
        <f>Calculation!DF29</f>
        <v>1966.6000000028075</v>
      </c>
      <c r="R26" s="500">
        <f t="shared" si="1"/>
        <v>746.60000000280752</v>
      </c>
      <c r="S26" s="498">
        <f t="shared" si="14"/>
        <v>-226.30000000041537</v>
      </c>
      <c r="T26" s="498">
        <f ca="1">IF(A26&gt;$A$1,#N/A,VLOOKUP(A26,Calculation!$B$8:$IV$881,30,FALSE))</f>
        <v>0</v>
      </c>
      <c r="U26" s="498">
        <f t="shared" si="8"/>
        <v>0</v>
      </c>
      <c r="V26" s="498">
        <f>Calculation!AP29</f>
        <v>0</v>
      </c>
      <c r="W26" s="498">
        <f t="shared" si="15"/>
        <v>0</v>
      </c>
      <c r="X26" s="498">
        <v>0</v>
      </c>
      <c r="Y26" s="744">
        <f t="shared" si="10"/>
        <v>0</v>
      </c>
      <c r="Z26" s="748">
        <f t="shared" si="11"/>
        <v>0</v>
      </c>
      <c r="AA26" s="498">
        <f t="shared" ca="1" si="16"/>
        <v>1966.6000000028075</v>
      </c>
      <c r="AB26" s="501">
        <f t="shared" ca="1" si="17"/>
        <v>746.60000000280752</v>
      </c>
      <c r="AC26" s="498" t="e">
        <f ca="1">IF(A26&gt;$A$1,#N/A,VLOOKUP(A26,Calculation!$B$8:$IV$881,155,FALSE))</f>
        <v>#N/A</v>
      </c>
      <c r="AD26" s="498" t="e">
        <f t="shared" ca="1" si="18"/>
        <v>#N/A</v>
      </c>
      <c r="AE26" s="498"/>
      <c r="AF26" s="501">
        <f>Calculation!G29</f>
        <v>4703.5270386518632</v>
      </c>
      <c r="AG26" s="498" t="str">
        <f t="shared" si="19"/>
        <v>Yes</v>
      </c>
      <c r="AH26" s="498" t="str">
        <f t="shared" si="20"/>
        <v>Yes</v>
      </c>
      <c r="AK26" s="738">
        <v>2422.0000000036416</v>
      </c>
      <c r="AL26" s="738">
        <v>52384.810000122008</v>
      </c>
      <c r="AM26" s="740">
        <v>2250.9500000032845</v>
      </c>
      <c r="AR26" s="549"/>
      <c r="AS26" s="525"/>
      <c r="AT26" s="581">
        <f>Calculation!AR29*3.068</f>
        <v>0</v>
      </c>
      <c r="AU26" s="575">
        <f ca="1">Calculation!DA29</f>
        <v>0</v>
      </c>
      <c r="AV26" s="575">
        <f>Calculation!CF29*3.068</f>
        <v>0</v>
      </c>
      <c r="AW26" s="582">
        <f>Calculation!BK29*3.068</f>
        <v>0</v>
      </c>
      <c r="AX26" s="524"/>
      <c r="AY26" s="560"/>
      <c r="AZ26" s="559"/>
      <c r="BA26" s="560"/>
      <c r="BB26" s="559"/>
      <c r="BC26" s="560"/>
      <c r="BD26" s="559"/>
      <c r="BE26" s="550"/>
    </row>
    <row r="27" spans="1:57" ht="13.5" thickBot="1">
      <c r="A27" s="513">
        <v>40559</v>
      </c>
      <c r="B27" s="498">
        <f t="shared" si="13"/>
        <v>68.996200000008997</v>
      </c>
      <c r="C27" s="498">
        <f>Calculation!AA30</f>
        <v>0</v>
      </c>
      <c r="D27" s="498">
        <f>Calculation!Y30</f>
        <v>0</v>
      </c>
      <c r="E27" s="498">
        <f>Calculation!U30</f>
        <v>43.315999999999995</v>
      </c>
      <c r="F27" s="498">
        <f>Calculation!V30</f>
        <v>25.680200000009002</v>
      </c>
      <c r="G27" s="498">
        <f>Calculation!W30</f>
        <v>70.079099999998874</v>
      </c>
      <c r="H27" s="500">
        <f>Sheet1!H30</f>
        <v>396</v>
      </c>
      <c r="I27" s="501">
        <f>Sheet1!CW30</f>
        <v>7683.958333333333</v>
      </c>
      <c r="J27" s="501">
        <f>Sheet1!CX30</f>
        <v>6632.083333333333</v>
      </c>
      <c r="K27" s="501">
        <f>Sheet1!CV30</f>
        <v>6261.1764705882351</v>
      </c>
      <c r="L27" s="501">
        <f>Calculation!F30</f>
        <v>250</v>
      </c>
      <c r="M27" s="501">
        <f>Calculation!E30</f>
        <v>250</v>
      </c>
      <c r="N27" s="501">
        <f>Calculation!D30</f>
        <v>300</v>
      </c>
      <c r="O27" s="500">
        <f>Sheet1!CY30</f>
        <v>1130.55</v>
      </c>
      <c r="P27" s="514" t="e">
        <f>Calculation!ET30</f>
        <v>#N/A</v>
      </c>
      <c r="Q27" s="498">
        <f>Calculation!DF30</f>
        <v>18438.950000040626</v>
      </c>
      <c r="R27" s="500">
        <f t="shared" si="1"/>
        <v>17218.950000040626</v>
      </c>
      <c r="S27" s="498">
        <f t="shared" si="14"/>
        <v>16472.350000037819</v>
      </c>
      <c r="T27" s="498">
        <f ca="1">IF(A27&gt;$A$1,#N/A,VLOOKUP(A27,Calculation!$B$8:$IV$881,30,FALSE))</f>
        <v>0</v>
      </c>
      <c r="U27" s="498">
        <f t="shared" si="8"/>
        <v>0</v>
      </c>
      <c r="V27" s="498">
        <f>Calculation!AP30</f>
        <v>0</v>
      </c>
      <c r="W27" s="498">
        <f t="shared" si="15"/>
        <v>0</v>
      </c>
      <c r="X27" s="498">
        <v>0</v>
      </c>
      <c r="Y27" s="744">
        <f t="shared" si="10"/>
        <v>0</v>
      </c>
      <c r="Z27" s="748">
        <f t="shared" si="11"/>
        <v>0</v>
      </c>
      <c r="AA27" s="498">
        <f t="shared" ca="1" si="16"/>
        <v>18438.950000040626</v>
      </c>
      <c r="AB27" s="501">
        <f t="shared" ca="1" si="17"/>
        <v>17218.950000040626</v>
      </c>
      <c r="AC27" s="498" t="e">
        <f ca="1">IF(A27&gt;$A$1,#N/A,VLOOKUP(A27,Calculation!$B$8:$IV$881,155,FALSE))</f>
        <v>#N/A</v>
      </c>
      <c r="AD27" s="498" t="e">
        <f t="shared" ca="1" si="18"/>
        <v>#N/A</v>
      </c>
      <c r="AE27" s="498"/>
      <c r="AF27" s="501">
        <f>Calculation!G30</f>
        <v>14567.959123153953</v>
      </c>
      <c r="AG27" s="498" t="str">
        <f t="shared" si="19"/>
        <v>Yes</v>
      </c>
      <c r="AH27" s="498" t="str">
        <f t="shared" si="20"/>
        <v>Yes</v>
      </c>
      <c r="AK27" s="738">
        <v>1945.1800000028077</v>
      </c>
      <c r="AL27" s="738">
        <v>44313.400000106558</v>
      </c>
      <c r="AM27" s="740">
        <v>2269.850000003315</v>
      </c>
      <c r="AR27" s="549"/>
      <c r="AS27" s="525"/>
      <c r="AT27" s="581">
        <f>Calculation!AR30*3.068</f>
        <v>0</v>
      </c>
      <c r="AU27" s="575">
        <f ca="1">Calculation!DA30</f>
        <v>0</v>
      </c>
      <c r="AV27" s="575">
        <f>Calculation!CF30*3.068</f>
        <v>0</v>
      </c>
      <c r="AW27" s="582">
        <f>Calculation!BK30*3.068</f>
        <v>0</v>
      </c>
      <c r="AX27" s="524"/>
      <c r="AY27" s="560"/>
      <c r="AZ27" s="559"/>
      <c r="BA27" s="560"/>
      <c r="BB27" s="559"/>
      <c r="BC27" s="560"/>
      <c r="BD27" s="559"/>
      <c r="BE27" s="550"/>
    </row>
    <row r="28" spans="1:57" ht="13.5" thickBot="1">
      <c r="A28" s="513">
        <v>40560</v>
      </c>
      <c r="B28" s="498">
        <f t="shared" si="13"/>
        <v>68.686799999990996</v>
      </c>
      <c r="C28" s="498">
        <f>Calculation!AA31</f>
        <v>0</v>
      </c>
      <c r="D28" s="498">
        <f>Calculation!Y31</f>
        <v>0</v>
      </c>
      <c r="E28" s="498">
        <f>Calculation!U31</f>
        <v>42.851899999995496</v>
      </c>
      <c r="F28" s="498">
        <f>Calculation!V31</f>
        <v>25.834899999995496</v>
      </c>
      <c r="G28" s="498">
        <f>Calculation!W31</f>
        <v>68.593980000000215</v>
      </c>
      <c r="H28" s="500">
        <f>Sheet1!H31</f>
        <v>399</v>
      </c>
      <c r="I28" s="501">
        <f>Sheet1!CW31</f>
        <v>10007.1875</v>
      </c>
      <c r="J28" s="501">
        <f>Sheet1!CX31</f>
        <v>6991.5625</v>
      </c>
      <c r="K28" s="501">
        <f>Sheet1!CV31</f>
        <v>6918.8235294117649</v>
      </c>
      <c r="L28" s="501">
        <f>Calculation!F31</f>
        <v>250</v>
      </c>
      <c r="M28" s="501">
        <f>Calculation!E31</f>
        <v>250</v>
      </c>
      <c r="N28" s="501">
        <f>Calculation!D31</f>
        <v>300</v>
      </c>
      <c r="O28" s="500">
        <f>Sheet1!CY31</f>
        <v>1154.4100000000001</v>
      </c>
      <c r="P28" s="514" t="e">
        <f>Calculation!ET31</f>
        <v>#N/A</v>
      </c>
      <c r="Q28" s="498">
        <f>Calculation!DF31</f>
        <v>37140.750000090891</v>
      </c>
      <c r="R28" s="500">
        <f t="shared" si="1"/>
        <v>35920.750000090891</v>
      </c>
      <c r="S28" s="498">
        <f t="shared" si="14"/>
        <v>18701.800000050265</v>
      </c>
      <c r="T28" s="498">
        <f ca="1">IF(A28&gt;$A$1,#N/A,VLOOKUP(A28,Calculation!$B$8:$IV$881,30,FALSE))</f>
        <v>0</v>
      </c>
      <c r="U28" s="498">
        <f t="shared" si="8"/>
        <v>0</v>
      </c>
      <c r="V28" s="498">
        <f>Calculation!AP31</f>
        <v>0</v>
      </c>
      <c r="W28" s="498">
        <f t="shared" si="15"/>
        <v>0</v>
      </c>
      <c r="X28" s="498">
        <v>0</v>
      </c>
      <c r="Y28" s="744">
        <f t="shared" si="10"/>
        <v>0</v>
      </c>
      <c r="Z28" s="748">
        <f t="shared" si="11"/>
        <v>0</v>
      </c>
      <c r="AA28" s="498">
        <f t="shared" ca="1" si="16"/>
        <v>37140.750000090891</v>
      </c>
      <c r="AB28" s="501">
        <f t="shared" ca="1" si="17"/>
        <v>35920.750000090891</v>
      </c>
      <c r="AC28" s="498" t="e">
        <f ca="1">IF(A28&gt;$A$1,#N/A,VLOOKUP(A28,Calculation!$B$8:$IV$881,155,FALSE))</f>
        <v>#N/A</v>
      </c>
      <c r="AD28" s="498" t="e">
        <f t="shared" ca="1" si="18"/>
        <v>#N/A</v>
      </c>
      <c r="AE28" s="498"/>
      <c r="AF28" s="501">
        <f>Calculation!G31</f>
        <v>16349.887573814318</v>
      </c>
      <c r="AG28" s="498" t="str">
        <f t="shared" si="19"/>
        <v>Yes</v>
      </c>
      <c r="AH28" s="498" t="str">
        <f t="shared" si="20"/>
        <v>Yes</v>
      </c>
      <c r="AK28" s="738">
        <v>1627.060000002255</v>
      </c>
      <c r="AL28" s="738">
        <v>36858.000000090447</v>
      </c>
      <c r="AM28" s="740">
        <v>2004.400000002865</v>
      </c>
      <c r="AR28" s="549"/>
      <c r="AS28" s="525"/>
      <c r="AT28" s="581">
        <f>Calculation!AR31*3.068</f>
        <v>0</v>
      </c>
      <c r="AU28" s="575">
        <f ca="1">Calculation!DA31</f>
        <v>0</v>
      </c>
      <c r="AV28" s="575">
        <f>Calculation!CF31*3.068</f>
        <v>0</v>
      </c>
      <c r="AW28" s="582">
        <f>Calculation!BK31*3.068</f>
        <v>0</v>
      </c>
      <c r="AX28" s="524"/>
      <c r="AY28" s="560"/>
      <c r="AZ28" s="559"/>
      <c r="BA28" s="560"/>
      <c r="BB28" s="559"/>
      <c r="BC28" s="560"/>
      <c r="BD28" s="559"/>
      <c r="BE28" s="550"/>
    </row>
    <row r="29" spans="1:57" ht="13.5" thickBot="1">
      <c r="A29" s="513">
        <v>40561</v>
      </c>
      <c r="B29" s="498">
        <f t="shared" si="13"/>
        <v>70.929949999997746</v>
      </c>
      <c r="C29" s="498">
        <f>Calculation!AA32</f>
        <v>0</v>
      </c>
      <c r="D29" s="498">
        <f>Calculation!Y32</f>
        <v>0</v>
      </c>
      <c r="E29" s="498">
        <f>Calculation!U32</f>
        <v>44.47625</v>
      </c>
      <c r="F29" s="498">
        <f>Calculation!V32</f>
        <v>26.453699999997749</v>
      </c>
      <c r="G29" s="498">
        <f>Calculation!W32</f>
        <v>70.837129999998538</v>
      </c>
      <c r="H29" s="500">
        <f>Sheet1!H32</f>
        <v>287</v>
      </c>
      <c r="I29" s="501">
        <f>Sheet1!CW32</f>
        <v>10352.083333333334</v>
      </c>
      <c r="J29" s="501">
        <f>Sheet1!CX32</f>
        <v>7259.375</v>
      </c>
      <c r="K29" s="501">
        <f>Sheet1!CV32</f>
        <v>7847.0588235294117</v>
      </c>
      <c r="L29" s="501">
        <f>Calculation!F32</f>
        <v>250</v>
      </c>
      <c r="M29" s="501">
        <f>Calculation!E32</f>
        <v>250</v>
      </c>
      <c r="N29" s="501">
        <f>Calculation!D32</f>
        <v>300</v>
      </c>
      <c r="O29" s="500">
        <f>Sheet1!CY32</f>
        <v>1153.8699999999999</v>
      </c>
      <c r="P29" s="514" t="e">
        <f>Calculation!ET32</f>
        <v>#N/A</v>
      </c>
      <c r="Q29" s="498">
        <f>Calculation!DF32</f>
        <v>36616.070000088934</v>
      </c>
      <c r="R29" s="500">
        <f t="shared" si="1"/>
        <v>35396.070000088934</v>
      </c>
      <c r="S29" s="498">
        <f t="shared" si="14"/>
        <v>-524.68000000195752</v>
      </c>
      <c r="T29" s="498">
        <f ca="1">IF(A29&gt;$A$1,#N/A,VLOOKUP(A29,Calculation!$B$8:$IV$881,30,FALSE))</f>
        <v>0</v>
      </c>
      <c r="U29" s="498">
        <f t="shared" si="8"/>
        <v>0</v>
      </c>
      <c r="V29" s="498">
        <f>Calculation!AP32</f>
        <v>0</v>
      </c>
      <c r="W29" s="498">
        <f t="shared" si="15"/>
        <v>0</v>
      </c>
      <c r="X29" s="498">
        <v>0</v>
      </c>
      <c r="Y29" s="744">
        <f t="shared" si="10"/>
        <v>0</v>
      </c>
      <c r="Z29" s="748">
        <f t="shared" si="11"/>
        <v>0</v>
      </c>
      <c r="AA29" s="498">
        <f t="shared" ca="1" si="16"/>
        <v>36616.070000088934</v>
      </c>
      <c r="AB29" s="501">
        <f t="shared" ca="1" si="17"/>
        <v>35396.070000088934</v>
      </c>
      <c r="AC29" s="498" t="e">
        <f ca="1">IF(A29&gt;$A$1,#N/A,VLOOKUP(A29,Calculation!$B$8:$IV$881,155,FALSE))</f>
        <v>#N/A</v>
      </c>
      <c r="AD29" s="498" t="e">
        <f t="shared" ca="1" si="18"/>
        <v>#N/A</v>
      </c>
      <c r="AE29" s="498"/>
      <c r="AF29" s="501">
        <f>Calculation!G32</f>
        <v>7582.4698169727008</v>
      </c>
      <c r="AG29" s="498" t="str">
        <f t="shared" si="19"/>
        <v>Yes</v>
      </c>
      <c r="AH29" s="498" t="str">
        <f t="shared" si="20"/>
        <v>Yes</v>
      </c>
      <c r="AK29" s="738">
        <v>1730.0600000024415</v>
      </c>
      <c r="AL29" s="738">
        <v>29442.000000073953</v>
      </c>
      <c r="AM29" s="740">
        <v>1951.4800000028076</v>
      </c>
      <c r="AR29" s="549"/>
      <c r="AS29" s="525"/>
      <c r="AT29" s="581">
        <f>Calculation!AR32*3.068</f>
        <v>0</v>
      </c>
      <c r="AU29" s="575">
        <f ca="1">Calculation!DA32</f>
        <v>0</v>
      </c>
      <c r="AV29" s="575">
        <f>Calculation!CF32*3.068</f>
        <v>0</v>
      </c>
      <c r="AW29" s="582">
        <f>Calculation!BK32*3.068</f>
        <v>0</v>
      </c>
      <c r="AX29" s="524"/>
      <c r="AY29" s="560"/>
      <c r="AZ29" s="559"/>
      <c r="BA29" s="560"/>
      <c r="BB29" s="559"/>
      <c r="BC29" s="560"/>
      <c r="BD29" s="559"/>
      <c r="BE29" s="550"/>
    </row>
    <row r="30" spans="1:57" ht="13.5" thickBot="1">
      <c r="A30" s="513">
        <v>40562</v>
      </c>
      <c r="B30" s="498">
        <f t="shared" si="13"/>
        <v>74.952149999995498</v>
      </c>
      <c r="C30" s="498">
        <f>Calculation!AA33</f>
        <v>0</v>
      </c>
      <c r="D30" s="498">
        <f>Calculation!Y33</f>
        <v>0</v>
      </c>
      <c r="E30" s="498">
        <f>Calculation!U33</f>
        <v>44.321549999990992</v>
      </c>
      <c r="F30" s="498">
        <f>Calculation!V33</f>
        <v>30.630600000004502</v>
      </c>
      <c r="G30" s="498">
        <f>Calculation!W33</f>
        <v>70.837130000001352</v>
      </c>
      <c r="H30" s="500">
        <f>Sheet1!H33</f>
        <v>184</v>
      </c>
      <c r="I30" s="501">
        <f>Sheet1!CW33</f>
        <v>10472.916666666666</v>
      </c>
      <c r="J30" s="501">
        <f>Sheet1!CX33</f>
        <v>7080.416666666667</v>
      </c>
      <c r="K30" s="501">
        <f>Sheet1!CV33</f>
        <v>7897.6470588235297</v>
      </c>
      <c r="L30" s="501">
        <f>Calculation!F33</f>
        <v>250</v>
      </c>
      <c r="M30" s="501">
        <f>Calculation!E33</f>
        <v>250</v>
      </c>
      <c r="N30" s="501">
        <f>Calculation!D33</f>
        <v>300</v>
      </c>
      <c r="O30" s="500">
        <f>Sheet1!CY33</f>
        <v>1146</v>
      </c>
      <c r="P30" s="514" t="e">
        <f>Calculation!ET33</f>
        <v>#N/A</v>
      </c>
      <c r="Q30" s="498">
        <f>Calculation!DF33</f>
        <v>29442.000000073953</v>
      </c>
      <c r="R30" s="500">
        <f t="shared" si="1"/>
        <v>28222.000000073953</v>
      </c>
      <c r="S30" s="498">
        <f t="shared" si="14"/>
        <v>-7174.0700000149809</v>
      </c>
      <c r="T30" s="498">
        <f ca="1">IF(A30&gt;$A$1,#N/A,VLOOKUP(A30,Calculation!$B$8:$IV$881,30,FALSE))</f>
        <v>0</v>
      </c>
      <c r="U30" s="498">
        <f t="shared" si="8"/>
        <v>0</v>
      </c>
      <c r="V30" s="498">
        <f>Calculation!AP33</f>
        <v>0</v>
      </c>
      <c r="W30" s="498">
        <f t="shared" si="15"/>
        <v>0</v>
      </c>
      <c r="X30" s="498">
        <v>0</v>
      </c>
      <c r="Y30" s="744">
        <f t="shared" si="10"/>
        <v>0</v>
      </c>
      <c r="Z30" s="748">
        <f t="shared" si="11"/>
        <v>0</v>
      </c>
      <c r="AA30" s="498">
        <f t="shared" ca="1" si="16"/>
        <v>29442.000000073953</v>
      </c>
      <c r="AB30" s="501">
        <f t="shared" ca="1" si="17"/>
        <v>28222.000000073953</v>
      </c>
      <c r="AC30" s="498" t="e">
        <f ca="1">IF(A30&gt;$A$1,#N/A,VLOOKUP(A30,Calculation!$B$8:$IV$881,155,FALSE))</f>
        <v>#N/A</v>
      </c>
      <c r="AD30" s="498" t="e">
        <f t="shared" ca="1" si="18"/>
        <v>#N/A</v>
      </c>
      <c r="AE30" s="498"/>
      <c r="AF30" s="501">
        <f>Calculation!G33</f>
        <v>4279.8608762642862</v>
      </c>
      <c r="AG30" s="498" t="str">
        <f t="shared" si="19"/>
        <v>Yes</v>
      </c>
      <c r="AH30" s="498" t="str">
        <f t="shared" si="20"/>
        <v>Yes</v>
      </c>
      <c r="AK30" s="738">
        <v>1864.1600000026351</v>
      </c>
      <c r="AL30" s="738">
        <v>22309.750000052183</v>
      </c>
      <c r="AM30" s="740">
        <v>1848.3000000026354</v>
      </c>
      <c r="AR30" s="549"/>
      <c r="AS30" s="525"/>
      <c r="AT30" s="581">
        <f>Calculation!AR33*3.068</f>
        <v>0</v>
      </c>
      <c r="AU30" s="575">
        <f ca="1">Calculation!DA33</f>
        <v>0</v>
      </c>
      <c r="AV30" s="575">
        <f>Calculation!CF33*3.068</f>
        <v>0</v>
      </c>
      <c r="AW30" s="582">
        <f>Calculation!BK33*3.068</f>
        <v>0</v>
      </c>
      <c r="AX30" s="524"/>
      <c r="AY30" s="560"/>
      <c r="AZ30" s="559"/>
      <c r="BA30" s="560"/>
      <c r="BB30" s="559"/>
      <c r="BC30" s="560"/>
      <c r="BD30" s="559"/>
      <c r="BE30" s="550"/>
    </row>
    <row r="31" spans="1:57" ht="13.5" thickBot="1">
      <c r="A31" s="513">
        <v>40563</v>
      </c>
      <c r="B31" s="498">
        <f t="shared" si="13"/>
        <v>66.675699999997747</v>
      </c>
      <c r="C31" s="498">
        <f>Calculation!AA34</f>
        <v>0</v>
      </c>
      <c r="D31" s="498">
        <f>Calculation!Y34</f>
        <v>0</v>
      </c>
      <c r="E31" s="498">
        <f>Calculation!U34</f>
        <v>44.553600000004501</v>
      </c>
      <c r="F31" s="498">
        <f>Calculation!V34</f>
        <v>22.122099999993246</v>
      </c>
      <c r="G31" s="498">
        <f>Calculation!W34</f>
        <v>70.094569999999209</v>
      </c>
      <c r="H31" s="500">
        <f>Sheet1!H34</f>
        <v>138</v>
      </c>
      <c r="I31" s="501">
        <f>Sheet1!CW34</f>
        <v>9252.3958333333339</v>
      </c>
      <c r="J31" s="501">
        <f>Sheet1!CX34</f>
        <v>6396.354166666667</v>
      </c>
      <c r="K31" s="501">
        <f>Sheet1!CV34</f>
        <v>7114.1176470588234</v>
      </c>
      <c r="L31" s="501">
        <f>Calculation!F34</f>
        <v>250</v>
      </c>
      <c r="M31" s="501">
        <f>Calculation!E34</f>
        <v>250</v>
      </c>
      <c r="N31" s="501">
        <f>Calculation!D34</f>
        <v>300</v>
      </c>
      <c r="O31" s="500">
        <f>Sheet1!CY34</f>
        <v>1136.1500000000001</v>
      </c>
      <c r="P31" s="514" t="e">
        <f>Calculation!ET34</f>
        <v>#N/A</v>
      </c>
      <c r="Q31" s="498">
        <f>Calculation!DF34</f>
        <v>21903.550000051877</v>
      </c>
      <c r="R31" s="500">
        <f t="shared" si="1"/>
        <v>20683.550000051877</v>
      </c>
      <c r="S31" s="498">
        <f t="shared" si="14"/>
        <v>-7538.450000022076</v>
      </c>
      <c r="T31" s="498">
        <f ca="1">IF(A31&gt;$A$1,#N/A,VLOOKUP(A31,Calculation!$B$8:$IV$881,30,FALSE))</f>
        <v>0</v>
      </c>
      <c r="U31" s="498">
        <f t="shared" si="8"/>
        <v>0</v>
      </c>
      <c r="V31" s="498">
        <f>Calculation!AP34</f>
        <v>0</v>
      </c>
      <c r="W31" s="498">
        <f t="shared" si="15"/>
        <v>0</v>
      </c>
      <c r="X31" s="498">
        <v>0</v>
      </c>
      <c r="Y31" s="744">
        <f t="shared" si="10"/>
        <v>0</v>
      </c>
      <c r="Z31" s="748">
        <f t="shared" si="11"/>
        <v>0</v>
      </c>
      <c r="AA31" s="498">
        <f t="shared" ca="1" si="16"/>
        <v>21903.550000051877</v>
      </c>
      <c r="AB31" s="501">
        <f t="shared" ca="1" si="17"/>
        <v>20683.550000051877</v>
      </c>
      <c r="AC31" s="498" t="e">
        <f ca="1">IF(A31&gt;$A$1,#N/A,VLOOKUP(A31,Calculation!$B$8:$IV$881,155,FALSE))</f>
        <v>#N/A</v>
      </c>
      <c r="AD31" s="498" t="e">
        <f t="shared" ca="1" si="18"/>
        <v>#N/A</v>
      </c>
      <c r="AE31" s="498"/>
      <c r="AF31" s="501">
        <f>Calculation!G34</f>
        <v>3312.5795734218718</v>
      </c>
      <c r="AG31" s="498" t="str">
        <f t="shared" si="19"/>
        <v>Yes</v>
      </c>
      <c r="AH31" s="498" t="str">
        <f t="shared" si="20"/>
        <v>Yes</v>
      </c>
      <c r="AK31" s="738">
        <v>1959.0400000028076</v>
      </c>
      <c r="AL31" s="738">
        <v>15759.200000033692</v>
      </c>
      <c r="AM31" s="740">
        <v>1770.2200000025521</v>
      </c>
      <c r="AR31" s="549"/>
      <c r="AS31" s="525"/>
      <c r="AT31" s="581">
        <f>Calculation!AR34*3.068</f>
        <v>0</v>
      </c>
      <c r="AU31" s="575">
        <f ca="1">Calculation!DA34</f>
        <v>0</v>
      </c>
      <c r="AV31" s="575">
        <f>Calculation!CF34*3.068</f>
        <v>0</v>
      </c>
      <c r="AW31" s="582">
        <f>Calculation!BK34*3.068</f>
        <v>0</v>
      </c>
      <c r="AX31" s="524"/>
      <c r="AY31" s="560"/>
      <c r="AZ31" s="559"/>
      <c r="BA31" s="560"/>
      <c r="BB31" s="559"/>
      <c r="BC31" s="560"/>
      <c r="BD31" s="559"/>
      <c r="BE31" s="550"/>
    </row>
    <row r="32" spans="1:57" ht="13.5" thickBot="1">
      <c r="A32" s="513">
        <v>40564</v>
      </c>
      <c r="B32" s="498">
        <f t="shared" si="13"/>
        <v>70.388500000011248</v>
      </c>
      <c r="C32" s="498">
        <f>Calculation!AA35</f>
        <v>0</v>
      </c>
      <c r="D32" s="498">
        <f>Calculation!Y35</f>
        <v>0</v>
      </c>
      <c r="E32" s="498">
        <f>Calculation!U35</f>
        <v>44.244200000009002</v>
      </c>
      <c r="F32" s="498">
        <f>Calculation!V35</f>
        <v>26.14430000000225</v>
      </c>
      <c r="G32" s="498">
        <f>Calculation!W35</f>
        <v>70.295680000000786</v>
      </c>
      <c r="H32" s="500">
        <f>Sheet1!H35</f>
        <v>82</v>
      </c>
      <c r="I32" s="501">
        <f>Sheet1!CW35</f>
        <v>8446.4583333333339</v>
      </c>
      <c r="J32" s="501">
        <f>Sheet1!CX35</f>
        <v>5928.020833333333</v>
      </c>
      <c r="K32" s="501">
        <f>Sheet1!CV35</f>
        <v>6035.2941176470586</v>
      </c>
      <c r="L32" s="501">
        <f>Calculation!F35</f>
        <v>250</v>
      </c>
      <c r="M32" s="501">
        <f>Calculation!E35</f>
        <v>250</v>
      </c>
      <c r="N32" s="501">
        <f>Calculation!D35</f>
        <v>300</v>
      </c>
      <c r="O32" s="500">
        <f>Sheet1!CY35</f>
        <v>1129.92</v>
      </c>
      <c r="P32" s="514" t="e">
        <f>Calculation!ET35</f>
        <v>#N/A</v>
      </c>
      <c r="Q32" s="498">
        <f>Calculation!DF35</f>
        <v>18081.680000039301</v>
      </c>
      <c r="R32" s="500">
        <f t="shared" si="1"/>
        <v>16861.680000039301</v>
      </c>
      <c r="S32" s="498">
        <f t="shared" si="14"/>
        <v>-3821.8700000125755</v>
      </c>
      <c r="T32" s="498">
        <f ca="1">IF(A32&gt;$A$1,#N/A,VLOOKUP(A32,Calculation!$B$8:$IV$881,30,FALSE))</f>
        <v>0</v>
      </c>
      <c r="U32" s="498">
        <f t="shared" si="8"/>
        <v>0</v>
      </c>
      <c r="V32" s="498">
        <f>Calculation!AP35</f>
        <v>0</v>
      </c>
      <c r="W32" s="498">
        <f t="shared" si="15"/>
        <v>0</v>
      </c>
      <c r="X32" s="498">
        <v>0</v>
      </c>
      <c r="Y32" s="744">
        <f t="shared" si="10"/>
        <v>0</v>
      </c>
      <c r="Z32" s="748">
        <f t="shared" si="11"/>
        <v>0</v>
      </c>
      <c r="AA32" s="498">
        <f t="shared" ca="1" si="16"/>
        <v>18081.680000039301</v>
      </c>
      <c r="AB32" s="501">
        <f t="shared" ca="1" si="17"/>
        <v>16861.680000039301</v>
      </c>
      <c r="AC32" s="498" t="e">
        <f ca="1">IF(A32&gt;$A$1,#N/A,VLOOKUP(A32,Calculation!$B$8:$IV$881,155,FALSE))</f>
        <v>#N/A</v>
      </c>
      <c r="AD32" s="498" t="e">
        <f t="shared" ca="1" si="18"/>
        <v>#N/A</v>
      </c>
      <c r="AE32" s="498"/>
      <c r="AF32" s="501">
        <f>Calculation!G35</f>
        <v>4107.9769214732942</v>
      </c>
      <c r="AG32" s="498" t="str">
        <f t="shared" si="19"/>
        <v>Yes</v>
      </c>
      <c r="AH32" s="498" t="str">
        <f t="shared" si="20"/>
        <v>Yes</v>
      </c>
      <c r="AK32" s="738">
        <v>1899.8200000027502</v>
      </c>
      <c r="AL32" s="738">
        <v>9808.6000000190488</v>
      </c>
      <c r="AM32" s="740">
        <v>1741.8600000024417</v>
      </c>
      <c r="AR32" s="549"/>
      <c r="AS32" s="525"/>
      <c r="AT32" s="581">
        <f>Calculation!AR35*3.068</f>
        <v>0</v>
      </c>
      <c r="AU32" s="575">
        <f ca="1">Calculation!DA35</f>
        <v>0</v>
      </c>
      <c r="AV32" s="575">
        <f>Calculation!CF35*3.068</f>
        <v>0</v>
      </c>
      <c r="AW32" s="582">
        <f>Calculation!BK35*3.068</f>
        <v>0</v>
      </c>
      <c r="AX32" s="524"/>
      <c r="AY32" s="560"/>
      <c r="AZ32" s="559"/>
      <c r="BA32" s="560"/>
      <c r="BB32" s="559"/>
      <c r="BC32" s="560"/>
      <c r="BD32" s="559"/>
      <c r="BE32" s="550"/>
    </row>
    <row r="33" spans="1:57" ht="13.5" thickBot="1">
      <c r="A33" s="513">
        <v>40565</v>
      </c>
      <c r="B33" s="498">
        <f t="shared" si="13"/>
        <v>71.146529999996844</v>
      </c>
      <c r="C33" s="498">
        <f>Calculation!AA36</f>
        <v>0</v>
      </c>
      <c r="D33" s="498">
        <f>Calculation!Y36</f>
        <v>0</v>
      </c>
      <c r="E33" s="498">
        <f>Calculation!U36</f>
        <v>44.53812999999009</v>
      </c>
      <c r="F33" s="498">
        <f>Calculation!V36</f>
        <v>26.608400000006753</v>
      </c>
      <c r="G33" s="498">
        <f>Calculation!W36</f>
        <v>70.976359999998763</v>
      </c>
      <c r="H33" s="500">
        <f>Sheet1!H36</f>
        <v>45</v>
      </c>
      <c r="I33" s="501">
        <f>Sheet1!CW36</f>
        <v>8325.4166666666661</v>
      </c>
      <c r="J33" s="501">
        <f>Sheet1!CX36</f>
        <v>5685.520833333333</v>
      </c>
      <c r="K33" s="501">
        <f>Sheet1!CV36</f>
        <v>5741.7647058823532</v>
      </c>
      <c r="L33" s="501">
        <f>Calculation!F36</f>
        <v>250</v>
      </c>
      <c r="M33" s="501">
        <f>Calculation!E36</f>
        <v>250</v>
      </c>
      <c r="N33" s="501">
        <f>Calculation!D36</f>
        <v>300</v>
      </c>
      <c r="O33" s="500">
        <f>Sheet1!CY36</f>
        <v>1125.4100000000001</v>
      </c>
      <c r="P33" s="514" t="e">
        <f>Calculation!ET36</f>
        <v>#N/A</v>
      </c>
      <c r="Q33" s="498">
        <f>Calculation!DF36</f>
        <v>15688.640000033691</v>
      </c>
      <c r="R33" s="500">
        <f t="shared" si="1"/>
        <v>14468.640000033691</v>
      </c>
      <c r="S33" s="498">
        <f t="shared" si="14"/>
        <v>-2393.0400000056106</v>
      </c>
      <c r="T33" s="498">
        <f ca="1">IF(A33&gt;$A$1,#N/A,VLOOKUP(A33,Calculation!$B$8:$IV$881,30,FALSE))</f>
        <v>0</v>
      </c>
      <c r="U33" s="498">
        <f t="shared" si="8"/>
        <v>0</v>
      </c>
      <c r="V33" s="498">
        <f>Calculation!AP36</f>
        <v>0</v>
      </c>
      <c r="W33" s="498">
        <f t="shared" si="15"/>
        <v>0</v>
      </c>
      <c r="X33" s="498">
        <v>0</v>
      </c>
      <c r="Y33" s="744">
        <f t="shared" si="10"/>
        <v>0</v>
      </c>
      <c r="Z33" s="748">
        <f t="shared" si="11"/>
        <v>0</v>
      </c>
      <c r="AA33" s="498">
        <f t="shared" ca="1" si="16"/>
        <v>15688.640000033691</v>
      </c>
      <c r="AB33" s="501">
        <f t="shared" ca="1" si="17"/>
        <v>14468.640000033691</v>
      </c>
      <c r="AC33" s="498" t="e">
        <f ca="1">IF(A33&gt;$A$1,#N/A,VLOOKUP(A33,Calculation!$B$8:$IV$881,155,FALSE))</f>
        <v>#N/A</v>
      </c>
      <c r="AD33" s="498" t="e">
        <f t="shared" ca="1" si="18"/>
        <v>#N/A</v>
      </c>
      <c r="AE33" s="498"/>
      <c r="AF33" s="501">
        <f>Calculation!G36</f>
        <v>4534.9870961972247</v>
      </c>
      <c r="AG33" s="498" t="str">
        <f t="shared" si="19"/>
        <v>Yes</v>
      </c>
      <c r="AH33" s="498" t="str">
        <f t="shared" si="20"/>
        <v>Yes</v>
      </c>
      <c r="AK33" s="738">
        <v>1730.0600000024415</v>
      </c>
      <c r="AL33" s="738">
        <v>5862.5500000103057</v>
      </c>
      <c r="AM33" s="740">
        <v>1870.2600000026353</v>
      </c>
      <c r="AR33" s="549"/>
      <c r="AS33" s="525"/>
      <c r="AT33" s="581">
        <f>Calculation!AR36*3.068</f>
        <v>0</v>
      </c>
      <c r="AU33" s="575">
        <f ca="1">Calculation!DA36</f>
        <v>0</v>
      </c>
      <c r="AV33" s="575">
        <f>Calculation!CF36*3.068</f>
        <v>0</v>
      </c>
      <c r="AW33" s="582">
        <f>Calculation!BK36*3.068</f>
        <v>0</v>
      </c>
      <c r="AX33" s="524"/>
      <c r="AY33" s="560"/>
      <c r="AZ33" s="559"/>
      <c r="BA33" s="560"/>
      <c r="BB33" s="559"/>
      <c r="BC33" s="560"/>
      <c r="BD33" s="559"/>
      <c r="BE33" s="550"/>
    </row>
    <row r="34" spans="1:57" ht="13.5" thickBot="1">
      <c r="A34" s="513">
        <v>40566</v>
      </c>
      <c r="B34" s="498">
        <f t="shared" si="13"/>
        <v>71.796269999994138</v>
      </c>
      <c r="C34" s="498">
        <f>Calculation!AA37</f>
        <v>0</v>
      </c>
      <c r="D34" s="498">
        <f>Calculation!Y37</f>
        <v>0</v>
      </c>
      <c r="E34" s="498">
        <f>Calculation!U37</f>
        <v>45.033170000000901</v>
      </c>
      <c r="F34" s="498">
        <f>Calculation!V37</f>
        <v>26.763099999993244</v>
      </c>
      <c r="G34" s="498">
        <f>Calculation!W37</f>
        <v>71.471400000001125</v>
      </c>
      <c r="H34" s="500">
        <f>Sheet1!H37</f>
        <v>32</v>
      </c>
      <c r="I34" s="501">
        <f>Sheet1!CW37</f>
        <v>7623.958333333333</v>
      </c>
      <c r="J34" s="501">
        <f>Sheet1!CX37</f>
        <v>5354.0625</v>
      </c>
      <c r="K34" s="501">
        <f>Sheet1!CV37</f>
        <v>5510.588235294118</v>
      </c>
      <c r="L34" s="501">
        <f>Calculation!F37</f>
        <v>250</v>
      </c>
      <c r="M34" s="501">
        <f>Calculation!E37</f>
        <v>250</v>
      </c>
      <c r="N34" s="501">
        <f>Calculation!D37</f>
        <v>300</v>
      </c>
      <c r="O34" s="500">
        <f>Sheet1!CY37</f>
        <v>1115.27</v>
      </c>
      <c r="P34" s="514" t="e">
        <f>Calculation!ET37</f>
        <v>#N/A</v>
      </c>
      <c r="Q34" s="498">
        <f>Calculation!DF37</f>
        <v>11184.570000022492</v>
      </c>
      <c r="R34" s="500">
        <f t="shared" si="1"/>
        <v>9964.5700000224915</v>
      </c>
      <c r="S34" s="498">
        <f t="shared" si="14"/>
        <v>-4504.0700000111992</v>
      </c>
      <c r="T34" s="498">
        <f ca="1">IF(A34&gt;$A$1,#N/A,VLOOKUP(A34,Calculation!$B$8:$IV$881,30,FALSE))</f>
        <v>0</v>
      </c>
      <c r="U34" s="498">
        <f t="shared" si="8"/>
        <v>0</v>
      </c>
      <c r="V34" s="498">
        <f>Calculation!AP37</f>
        <v>0</v>
      </c>
      <c r="W34" s="498">
        <f t="shared" si="15"/>
        <v>0</v>
      </c>
      <c r="X34" s="498">
        <v>0</v>
      </c>
      <c r="Y34" s="744">
        <f t="shared" si="10"/>
        <v>0</v>
      </c>
      <c r="Z34" s="748">
        <f t="shared" si="11"/>
        <v>0</v>
      </c>
      <c r="AA34" s="498">
        <f t="shared" ca="1" si="16"/>
        <v>11184.570000022492</v>
      </c>
      <c r="AB34" s="501">
        <f t="shared" ca="1" si="17"/>
        <v>9964.5700000224915</v>
      </c>
      <c r="AC34" s="498" t="e">
        <f ca="1">IF(A34&gt;$A$1,#N/A,VLOOKUP(A34,Calculation!$B$8:$IV$881,155,FALSE))</f>
        <v>#N/A</v>
      </c>
      <c r="AD34" s="498" t="e">
        <f t="shared" ca="1" si="18"/>
        <v>#N/A</v>
      </c>
      <c r="AE34" s="498"/>
      <c r="AF34" s="501">
        <f>Calculation!G37</f>
        <v>3239.2468333721822</v>
      </c>
      <c r="AG34" s="498" t="str">
        <f t="shared" si="19"/>
        <v>Yes</v>
      </c>
      <c r="AH34" s="498" t="str">
        <f t="shared" si="20"/>
        <v>Yes</v>
      </c>
      <c r="AK34" s="738">
        <v>1559.8000000022032</v>
      </c>
      <c r="AL34" s="738">
        <v>4165.2800000068628</v>
      </c>
      <c r="AM34" s="740">
        <v>2031.3000000029558</v>
      </c>
      <c r="AR34" s="549"/>
      <c r="AS34" s="525"/>
      <c r="AT34" s="581">
        <f>Calculation!AR37*3.068</f>
        <v>0</v>
      </c>
      <c r="AU34" s="575">
        <f ca="1">Calculation!DA37</f>
        <v>0</v>
      </c>
      <c r="AV34" s="575">
        <f>Calculation!CF37*3.068</f>
        <v>0</v>
      </c>
      <c r="AW34" s="582">
        <f>Calculation!BK37*3.068</f>
        <v>0</v>
      </c>
      <c r="AX34" s="524"/>
      <c r="AY34" s="560"/>
      <c r="AZ34" s="559"/>
      <c r="BA34" s="560"/>
      <c r="BB34" s="559"/>
      <c r="BC34" s="560"/>
      <c r="BD34" s="559"/>
      <c r="BE34" s="550"/>
    </row>
    <row r="35" spans="1:57" ht="13.5" thickBot="1">
      <c r="A35" s="513">
        <v>40567</v>
      </c>
      <c r="B35" s="498">
        <f t="shared" si="13"/>
        <v>70.001749999988732</v>
      </c>
      <c r="C35" s="498">
        <f>Calculation!AA38</f>
        <v>0</v>
      </c>
      <c r="D35" s="498">
        <f>Calculation!Y38</f>
        <v>0</v>
      </c>
      <c r="E35" s="498">
        <f>Calculation!U38</f>
        <v>43.934799999990993</v>
      </c>
      <c r="F35" s="498">
        <f>Calculation!V38</f>
        <v>26.066949999997746</v>
      </c>
      <c r="G35" s="498">
        <f>Calculation!W38</f>
        <v>69.413890000001231</v>
      </c>
      <c r="H35" s="500">
        <f>Sheet1!H38</f>
        <v>29.8</v>
      </c>
      <c r="I35" s="501">
        <f>Sheet1!CW38</f>
        <v>6847.5</v>
      </c>
      <c r="J35" s="501">
        <f>Sheet1!CX38</f>
        <v>4615.3125</v>
      </c>
      <c r="K35" s="501">
        <f>Sheet1!CV38</f>
        <v>4792.9411764705883</v>
      </c>
      <c r="L35" s="501">
        <f>Calculation!F38</f>
        <v>250</v>
      </c>
      <c r="M35" s="501">
        <f>Calculation!E38</f>
        <v>250</v>
      </c>
      <c r="N35" s="501">
        <f>Calculation!D38</f>
        <v>300</v>
      </c>
      <c r="O35" s="500">
        <f>Sheet1!CY38</f>
        <v>1102.3499999999999</v>
      </c>
      <c r="P35" s="514" t="e">
        <f>Calculation!ET38</f>
        <v>#N/A</v>
      </c>
      <c r="Q35" s="498">
        <f>Calculation!DF38</f>
        <v>6934.2500000125683</v>
      </c>
      <c r="R35" s="500">
        <f t="shared" si="1"/>
        <v>5714.2500000125683</v>
      </c>
      <c r="S35" s="498">
        <f t="shared" si="14"/>
        <v>-4250.3200000099232</v>
      </c>
      <c r="T35" s="498">
        <f ca="1">IF(A35&gt;$A$1,#N/A,VLOOKUP(A35,Calculation!$B$8:$IV$881,30,FALSE))</f>
        <v>0</v>
      </c>
      <c r="U35" s="498">
        <f t="shared" si="8"/>
        <v>0</v>
      </c>
      <c r="V35" s="498">
        <f>Calculation!AP38</f>
        <v>0</v>
      </c>
      <c r="W35" s="498">
        <f t="shared" si="15"/>
        <v>0</v>
      </c>
      <c r="X35" s="498">
        <v>0</v>
      </c>
      <c r="Y35" s="744">
        <f t="shared" si="10"/>
        <v>0</v>
      </c>
      <c r="Z35" s="748">
        <f t="shared" si="11"/>
        <v>0</v>
      </c>
      <c r="AA35" s="498">
        <f t="shared" ca="1" si="16"/>
        <v>6934.2500000125683</v>
      </c>
      <c r="AB35" s="501">
        <f t="shared" ca="1" si="17"/>
        <v>5714.2500000125683</v>
      </c>
      <c r="AC35" s="498" t="e">
        <f ca="1">IF(A35&gt;$A$1,#N/A,VLOOKUP(A35,Calculation!$B$8:$IV$881,155,FALSE))</f>
        <v>#N/A</v>
      </c>
      <c r="AD35" s="498" t="e">
        <f t="shared" ca="1" si="18"/>
        <v>#N/A</v>
      </c>
      <c r="AE35" s="498"/>
      <c r="AF35" s="501">
        <f>Calculation!G38</f>
        <v>2649.5624573531286</v>
      </c>
      <c r="AG35" s="498" t="str">
        <f t="shared" si="19"/>
        <v>Yes</v>
      </c>
      <c r="AH35" s="498" t="str">
        <f t="shared" si="20"/>
        <v>Yes</v>
      </c>
      <c r="AK35" s="738">
        <v>1559.8000000022032</v>
      </c>
      <c r="AL35" s="738">
        <v>3203.8000000050424</v>
      </c>
      <c r="AM35" s="740">
        <v>2072.9000000030151</v>
      </c>
      <c r="AR35" s="549"/>
      <c r="AS35" s="525"/>
      <c r="AT35" s="581">
        <f>Calculation!AR38*3.068</f>
        <v>0</v>
      </c>
      <c r="AU35" s="575">
        <f ca="1">Calculation!DA38</f>
        <v>0</v>
      </c>
      <c r="AV35" s="575">
        <f>Calculation!CF38*3.068</f>
        <v>0</v>
      </c>
      <c r="AW35" s="582">
        <f>Calculation!BK38*3.068</f>
        <v>0</v>
      </c>
      <c r="AX35" s="524"/>
      <c r="AY35" s="560"/>
      <c r="AZ35" s="559"/>
      <c r="BA35" s="560"/>
      <c r="BB35" s="559"/>
      <c r="BC35" s="560"/>
      <c r="BD35" s="559"/>
      <c r="BE35" s="550"/>
    </row>
    <row r="36" spans="1:57" ht="13.5" thickBot="1">
      <c r="A36" s="513">
        <v>40568</v>
      </c>
      <c r="B36" s="498">
        <f t="shared" si="13"/>
        <v>70.77525000002251</v>
      </c>
      <c r="C36" s="498">
        <f>Calculation!AA39</f>
        <v>0</v>
      </c>
      <c r="D36" s="498">
        <f>Calculation!Y39</f>
        <v>0</v>
      </c>
      <c r="E36" s="498">
        <f>Calculation!U39</f>
        <v>44.39890000001801</v>
      </c>
      <c r="F36" s="498">
        <f>Calculation!V39</f>
        <v>26.3763500000045</v>
      </c>
      <c r="G36" s="498">
        <f>Calculation!W39</f>
        <v>70.249269999999768</v>
      </c>
      <c r="H36" s="500" t="str">
        <f>Sheet1!H39</f>
        <v>os</v>
      </c>
      <c r="I36" s="501">
        <f>Sheet1!CW39</f>
        <v>5827.708333333333</v>
      </c>
      <c r="J36" s="501">
        <f>Sheet1!CX39</f>
        <v>4083.0208333333335</v>
      </c>
      <c r="K36" s="501">
        <f>Sheet1!CV39</f>
        <v>3968.8235294117649</v>
      </c>
      <c r="L36" s="501">
        <f>Calculation!F39</f>
        <v>250</v>
      </c>
      <c r="M36" s="501">
        <f>Calculation!E39</f>
        <v>250</v>
      </c>
      <c r="N36" s="501">
        <f>Calculation!D39</f>
        <v>300</v>
      </c>
      <c r="O36" s="500">
        <f>Sheet1!CY39</f>
        <v>1096.5899999999999</v>
      </c>
      <c r="P36" s="514" t="e">
        <f>Calculation!ET39</f>
        <v>#N/A</v>
      </c>
      <c r="Q36" s="498">
        <f>Calculation!DF39</f>
        <v>5481.8800000093897</v>
      </c>
      <c r="R36" s="500">
        <f t="shared" si="1"/>
        <v>4261.8800000093897</v>
      </c>
      <c r="S36" s="498">
        <f t="shared" si="14"/>
        <v>-1452.3700000031786</v>
      </c>
      <c r="T36" s="498">
        <f ca="1">IF(A36&gt;$A$1,#N/A,VLOOKUP(A36,Calculation!$B$8:$IV$881,30,FALSE))</f>
        <v>0</v>
      </c>
      <c r="U36" s="498">
        <f t="shared" si="8"/>
        <v>0</v>
      </c>
      <c r="V36" s="498">
        <f>Calculation!AP39</f>
        <v>0</v>
      </c>
      <c r="W36" s="498">
        <f t="shared" si="15"/>
        <v>0</v>
      </c>
      <c r="X36" s="498">
        <v>0</v>
      </c>
      <c r="Y36" s="744">
        <f t="shared" si="10"/>
        <v>0</v>
      </c>
      <c r="Z36" s="748">
        <f t="shared" si="11"/>
        <v>0</v>
      </c>
      <c r="AA36" s="498">
        <f t="shared" ca="1" si="16"/>
        <v>5481.8800000093897</v>
      </c>
      <c r="AB36" s="501">
        <f t="shared" ca="1" si="17"/>
        <v>4261.8800000093897</v>
      </c>
      <c r="AC36" s="498" t="e">
        <f ca="1">IF(A36&gt;$A$1,#N/A,VLOOKUP(A36,Calculation!$B$8:$IV$881,155,FALSE))</f>
        <v>#N/A</v>
      </c>
      <c r="AD36" s="498" t="e">
        <f t="shared" ca="1" si="18"/>
        <v>#N/A</v>
      </c>
      <c r="AE36" s="498"/>
      <c r="AF36" s="501">
        <f>Calculation!G39</f>
        <v>3236.4130402523206</v>
      </c>
      <c r="AG36" s="498" t="str">
        <f t="shared" si="19"/>
        <v>Yes</v>
      </c>
      <c r="AH36" s="498" t="str">
        <f t="shared" si="20"/>
        <v>Yes</v>
      </c>
      <c r="AK36" s="738">
        <v>1471.6000000020322</v>
      </c>
      <c r="AL36" s="738">
        <v>3020.2600000045982</v>
      </c>
      <c r="AM36" s="740">
        <v>1882.460000002663</v>
      </c>
      <c r="AR36" s="549"/>
      <c r="AS36" s="525"/>
      <c r="AT36" s="581">
        <f>Calculation!AR39*3.068</f>
        <v>0</v>
      </c>
      <c r="AU36" s="575">
        <f ca="1">Calculation!DA39</f>
        <v>0</v>
      </c>
      <c r="AV36" s="575">
        <f>Calculation!CF39*3.068</f>
        <v>0</v>
      </c>
      <c r="AW36" s="582">
        <f>Calculation!BK39*3.068</f>
        <v>0</v>
      </c>
      <c r="AX36" s="524"/>
      <c r="AY36" s="560"/>
      <c r="AZ36" s="559"/>
      <c r="BA36" s="560"/>
      <c r="BB36" s="559"/>
      <c r="BC36" s="560"/>
      <c r="BD36" s="559"/>
      <c r="BE36" s="550"/>
    </row>
    <row r="37" spans="1:57" ht="13.5" thickBot="1">
      <c r="A37" s="513">
        <v>40569</v>
      </c>
      <c r="B37" s="498">
        <f t="shared" si="13"/>
        <v>71.161999999988737</v>
      </c>
      <c r="C37" s="498">
        <f>Calculation!AA40</f>
        <v>0</v>
      </c>
      <c r="D37" s="498">
        <f>Calculation!Y40</f>
        <v>0</v>
      </c>
      <c r="E37" s="498">
        <f>Calculation!U40</f>
        <v>44.708299999990992</v>
      </c>
      <c r="F37" s="498">
        <f>Calculation!V40</f>
        <v>26.453699999997749</v>
      </c>
      <c r="G37" s="498">
        <f>Calculation!W40</f>
        <v>71.239349999998865</v>
      </c>
      <c r="H37" s="500" t="str">
        <f>Sheet1!H40</f>
        <v>os</v>
      </c>
      <c r="I37" s="501">
        <f>Sheet1!CW40</f>
        <v>5454.166666666667</v>
      </c>
      <c r="J37" s="501">
        <f>Sheet1!CX40</f>
        <v>3787.2916666666665</v>
      </c>
      <c r="K37" s="501">
        <f>Sheet1!CV40</f>
        <v>3734.1176470588234</v>
      </c>
      <c r="L37" s="501">
        <f>Calculation!F40</f>
        <v>250</v>
      </c>
      <c r="M37" s="501">
        <f>Calculation!E40</f>
        <v>250</v>
      </c>
      <c r="N37" s="501">
        <f>Calculation!D40</f>
        <v>300</v>
      </c>
      <c r="O37" s="500">
        <f>Sheet1!CY40</f>
        <v>1088.77</v>
      </c>
      <c r="P37" s="514" t="e">
        <f>Calculation!ET40</f>
        <v>#N/A</v>
      </c>
      <c r="Q37" s="498">
        <f>Calculation!DF40</f>
        <v>3848.6800000061498</v>
      </c>
      <c r="R37" s="500">
        <f t="shared" si="1"/>
        <v>2628.6800000061498</v>
      </c>
      <c r="S37" s="498">
        <f t="shared" si="14"/>
        <v>-1633.2000000032399</v>
      </c>
      <c r="T37" s="498">
        <f ca="1">IF(A37&gt;$A$1,#N/A,VLOOKUP(A37,Calculation!$B$8:$IV$881,30,FALSE))</f>
        <v>0</v>
      </c>
      <c r="U37" s="498">
        <f t="shared" si="8"/>
        <v>0</v>
      </c>
      <c r="V37" s="498">
        <f>Calculation!AP40</f>
        <v>0</v>
      </c>
      <c r="W37" s="498">
        <f t="shared" si="15"/>
        <v>0</v>
      </c>
      <c r="X37" s="498">
        <v>0</v>
      </c>
      <c r="Y37" s="744">
        <f t="shared" si="10"/>
        <v>0</v>
      </c>
      <c r="Z37" s="748">
        <f t="shared" si="11"/>
        <v>0</v>
      </c>
      <c r="AA37" s="498">
        <f t="shared" ca="1" si="16"/>
        <v>3848.6800000061498</v>
      </c>
      <c r="AB37" s="501">
        <f t="shared" ca="1" si="17"/>
        <v>2628.6800000061498</v>
      </c>
      <c r="AC37" s="498" t="e">
        <f ca="1">IF(A37&gt;$A$1,#N/A,VLOOKUP(A37,Calculation!$B$8:$IV$881,155,FALSE))</f>
        <v>#N/A</v>
      </c>
      <c r="AD37" s="498" t="e">
        <f t="shared" ca="1" si="18"/>
        <v>#N/A</v>
      </c>
      <c r="AE37" s="498"/>
      <c r="AF37" s="501">
        <f>Calculation!G40</f>
        <v>2910.5170419134683</v>
      </c>
      <c r="AG37" s="498" t="str">
        <f t="shared" si="19"/>
        <v>Yes</v>
      </c>
      <c r="AH37" s="498" t="str">
        <f t="shared" si="20"/>
        <v>Yes</v>
      </c>
      <c r="AK37" s="738">
        <v>1498.8500000020572</v>
      </c>
      <c r="AL37" s="738">
        <v>2857.8200000043134</v>
      </c>
      <c r="AM37" s="740">
        <v>1797.0600000025797</v>
      </c>
      <c r="AR37" s="549"/>
      <c r="AS37" s="525"/>
      <c r="AT37" s="581">
        <f>Calculation!AR40*3.068</f>
        <v>0</v>
      </c>
      <c r="AU37" s="575">
        <f ca="1">Calculation!DA40</f>
        <v>0</v>
      </c>
      <c r="AV37" s="575">
        <f>Calculation!CF40*3.068</f>
        <v>0</v>
      </c>
      <c r="AW37" s="582">
        <f>Calculation!BK40*3.068</f>
        <v>0</v>
      </c>
      <c r="AX37" s="524"/>
      <c r="AY37" s="560"/>
      <c r="AZ37" s="559"/>
      <c r="BA37" s="560"/>
      <c r="BB37" s="559"/>
      <c r="BC37" s="560"/>
      <c r="BD37" s="559"/>
      <c r="BE37" s="550"/>
    </row>
    <row r="38" spans="1:57" ht="13.5" thickBot="1">
      <c r="A38" s="513">
        <v>40570</v>
      </c>
      <c r="B38" s="498">
        <f t="shared" si="13"/>
        <v>71.007299999990991</v>
      </c>
      <c r="C38" s="498">
        <f>Calculation!AA41</f>
        <v>0</v>
      </c>
      <c r="D38" s="498">
        <f>Calculation!Y41</f>
        <v>0</v>
      </c>
      <c r="E38" s="498">
        <f>Calculation!U41</f>
        <v>44.708299999990992</v>
      </c>
      <c r="F38" s="498">
        <f>Calculation!V41</f>
        <v>26.298999999999999</v>
      </c>
      <c r="G38" s="498">
        <f>Calculation!W41</f>
        <v>70.481319999999215</v>
      </c>
      <c r="H38" s="500" t="str">
        <f>Sheet1!H41</f>
        <v>os</v>
      </c>
      <c r="I38" s="501">
        <f>Sheet1!CW41</f>
        <v>4741.5625</v>
      </c>
      <c r="J38" s="501">
        <f>Sheet1!CX41</f>
        <v>3060.8333333333335</v>
      </c>
      <c r="K38" s="501">
        <f>Sheet1!CV41</f>
        <v>3108.8235294117649</v>
      </c>
      <c r="L38" s="501">
        <f>Calculation!F41</f>
        <v>250</v>
      </c>
      <c r="M38" s="501">
        <f>Calculation!E41</f>
        <v>250</v>
      </c>
      <c r="N38" s="501">
        <f>Calculation!D41</f>
        <v>300</v>
      </c>
      <c r="O38" s="500">
        <f>Sheet1!CY41</f>
        <v>1082.48</v>
      </c>
      <c r="P38" s="514" t="e">
        <f>Calculation!ET41</f>
        <v>#N/A</v>
      </c>
      <c r="Q38" s="498">
        <f>Calculation!DF41</f>
        <v>2787.4400000042442</v>
      </c>
      <c r="R38" s="500">
        <f t="shared" si="1"/>
        <v>1567.4400000042442</v>
      </c>
      <c r="S38" s="498">
        <f t="shared" si="14"/>
        <v>-1061.2400000019056</v>
      </c>
      <c r="T38" s="498">
        <f ca="1">IF(A38&gt;$A$1,#N/A,VLOOKUP(A38,Calculation!$B$8:$IV$881,30,FALSE))</f>
        <v>0</v>
      </c>
      <c r="U38" s="498">
        <f t="shared" si="8"/>
        <v>0</v>
      </c>
      <c r="V38" s="498">
        <f>Calculation!AP41</f>
        <v>0</v>
      </c>
      <c r="W38" s="498">
        <f t="shared" si="15"/>
        <v>0</v>
      </c>
      <c r="X38" s="498">
        <v>0</v>
      </c>
      <c r="Y38" s="744">
        <f t="shared" si="10"/>
        <v>0</v>
      </c>
      <c r="Z38" s="748">
        <f t="shared" si="11"/>
        <v>0</v>
      </c>
      <c r="AA38" s="498">
        <f t="shared" ca="1" si="16"/>
        <v>2787.4400000042442</v>
      </c>
      <c r="AB38" s="501">
        <f t="shared" ca="1" si="17"/>
        <v>1567.4400000042442</v>
      </c>
      <c r="AC38" s="498" t="e">
        <f ca="1">IF(A38&gt;$A$1,#N/A,VLOOKUP(A38,Calculation!$B$8:$IV$881,155,FALSE))</f>
        <v>#N/A</v>
      </c>
      <c r="AD38" s="498" t="e">
        <f t="shared" ca="1" si="18"/>
        <v>#N/A</v>
      </c>
      <c r="AE38" s="498"/>
      <c r="AF38" s="501">
        <f>Calculation!G41</f>
        <v>2573.6545934551814</v>
      </c>
      <c r="AG38" s="498" t="str">
        <f t="shared" si="19"/>
        <v>Yes</v>
      </c>
      <c r="AH38" s="498" t="str">
        <f t="shared" si="20"/>
        <v>Yes</v>
      </c>
      <c r="AK38" s="738">
        <v>1566.6400000022034</v>
      </c>
      <c r="AL38" s="738">
        <v>2565.0000000039299</v>
      </c>
      <c r="AM38" s="740">
        <v>1812.9200000025796</v>
      </c>
      <c r="AR38" s="549"/>
      <c r="AS38" s="525"/>
      <c r="AT38" s="581">
        <f>Calculation!AR41*3.068</f>
        <v>0</v>
      </c>
      <c r="AU38" s="575">
        <f ca="1">Calculation!DA41</f>
        <v>0</v>
      </c>
      <c r="AV38" s="575">
        <f>Calculation!CF41*3.068</f>
        <v>0</v>
      </c>
      <c r="AW38" s="582">
        <f>Calculation!BK41*3.068</f>
        <v>0</v>
      </c>
      <c r="AX38" s="524"/>
      <c r="AY38" s="560"/>
      <c r="AZ38" s="559"/>
      <c r="BA38" s="560"/>
      <c r="BB38" s="559"/>
      <c r="BC38" s="560"/>
      <c r="BD38" s="559"/>
      <c r="BE38" s="550"/>
    </row>
    <row r="39" spans="1:57" ht="13.5" thickBot="1">
      <c r="A39" s="513">
        <v>40571</v>
      </c>
      <c r="B39" s="498">
        <f t="shared" si="13"/>
        <v>72.554300000002243</v>
      </c>
      <c r="C39" s="498">
        <f>Calculation!AA42</f>
        <v>0</v>
      </c>
      <c r="D39" s="498">
        <f>Calculation!Y42</f>
        <v>0</v>
      </c>
      <c r="E39" s="498">
        <f>Calculation!U42</f>
        <v>45.636499999999998</v>
      </c>
      <c r="F39" s="498">
        <f>Calculation!V42</f>
        <v>26.917800000002249</v>
      </c>
      <c r="G39" s="498">
        <f>Calculation!W42</f>
        <v>72.059259999999881</v>
      </c>
      <c r="H39" s="500">
        <f>Sheet1!H42</f>
        <v>58.5</v>
      </c>
      <c r="I39" s="501">
        <f>Sheet1!CW42</f>
        <v>3706.98</v>
      </c>
      <c r="J39" s="501">
        <f>Sheet1!CX42</f>
        <v>2363.96</v>
      </c>
      <c r="K39" s="501">
        <f>Sheet1!CV42</f>
        <v>2205</v>
      </c>
      <c r="L39" s="501">
        <f>Calculation!F42</f>
        <v>250</v>
      </c>
      <c r="M39" s="501">
        <f>Calculation!E42</f>
        <v>250</v>
      </c>
      <c r="N39" s="501">
        <f>Calculation!D42</f>
        <v>300</v>
      </c>
      <c r="O39" s="500">
        <f>Sheet1!CY42</f>
        <v>1081.3499999999999</v>
      </c>
      <c r="P39" s="514" t="e">
        <f>Calculation!ET42</f>
        <v>#N/A</v>
      </c>
      <c r="Q39" s="498">
        <f>Calculation!DF42</f>
        <v>2617.1500000039637</v>
      </c>
      <c r="R39" s="500">
        <f t="shared" si="1"/>
        <v>1397.1500000039637</v>
      </c>
      <c r="S39" s="498">
        <f t="shared" si="14"/>
        <v>-170.29000000028054</v>
      </c>
      <c r="T39" s="498">
        <f ca="1">IF(A39&gt;$A$1,#N/A,VLOOKUP(A39,Calculation!$B$8:$IV$881,30,FALSE))</f>
        <v>0</v>
      </c>
      <c r="U39" s="498">
        <f t="shared" si="8"/>
        <v>0</v>
      </c>
      <c r="V39" s="498">
        <f>Calculation!AP42</f>
        <v>0</v>
      </c>
      <c r="W39" s="498">
        <f t="shared" si="15"/>
        <v>0</v>
      </c>
      <c r="X39" s="498">
        <v>0</v>
      </c>
      <c r="Y39" s="744">
        <f t="shared" si="10"/>
        <v>0</v>
      </c>
      <c r="Z39" s="748">
        <f t="shared" si="11"/>
        <v>0</v>
      </c>
      <c r="AA39" s="498">
        <f t="shared" ca="1" si="16"/>
        <v>2617.1500000039637</v>
      </c>
      <c r="AB39" s="501">
        <f t="shared" ca="1" si="17"/>
        <v>1397.1500000039637</v>
      </c>
      <c r="AC39" s="498" t="e">
        <f ca="1">IF(A39&gt;$A$1,#N/A,VLOOKUP(A39,Calculation!$B$8:$IV$881,155,FALSE))</f>
        <v>#N/A</v>
      </c>
      <c r="AD39" s="498" t="e">
        <f t="shared" ca="1" si="18"/>
        <v>#N/A</v>
      </c>
      <c r="AE39" s="498"/>
      <c r="AF39" s="501">
        <f>Calculation!G42</f>
        <v>2119.1250630356631</v>
      </c>
      <c r="AG39" s="498" t="str">
        <f t="shared" si="19"/>
        <v>Yes</v>
      </c>
      <c r="AH39" s="498" t="str">
        <f t="shared" si="20"/>
        <v>Yes</v>
      </c>
      <c r="AK39" s="738">
        <v>1582.6000000022291</v>
      </c>
      <c r="AL39" s="738">
        <v>2149.7000000031921</v>
      </c>
      <c r="AM39" s="740">
        <v>1805.6000000025797</v>
      </c>
      <c r="AR39" s="549"/>
      <c r="AS39" s="525"/>
      <c r="AT39" s="581">
        <f>Calculation!AR42*3.068</f>
        <v>0</v>
      </c>
      <c r="AU39" s="575">
        <f ca="1">Calculation!DA42</f>
        <v>0</v>
      </c>
      <c r="AV39" s="575">
        <f>Calculation!CF42*3.068</f>
        <v>0</v>
      </c>
      <c r="AW39" s="582">
        <f>Calculation!BK42*3.068</f>
        <v>0</v>
      </c>
      <c r="AX39" s="524"/>
      <c r="AY39" s="560"/>
      <c r="AZ39" s="559"/>
      <c r="BA39" s="560"/>
      <c r="BB39" s="559"/>
      <c r="BC39" s="560"/>
      <c r="BD39" s="559"/>
      <c r="BE39" s="550"/>
    </row>
    <row r="40" spans="1:57" ht="13.5" thickBot="1">
      <c r="A40" s="513">
        <v>40572</v>
      </c>
      <c r="B40" s="498">
        <f t="shared" si="13"/>
        <v>70.419440000006304</v>
      </c>
      <c r="C40" s="498">
        <f>Calculation!AA43</f>
        <v>0</v>
      </c>
      <c r="D40" s="498">
        <f>Calculation!Y43</f>
        <v>0</v>
      </c>
      <c r="E40" s="498">
        <f>Calculation!U43</f>
        <v>44.244200000009002</v>
      </c>
      <c r="F40" s="498">
        <f>Calculation!V43</f>
        <v>26.175239999997299</v>
      </c>
      <c r="G40" s="498">
        <f>Calculation!W43</f>
        <v>70.110039999999543</v>
      </c>
      <c r="H40" s="500">
        <f>Sheet1!H43</f>
        <v>24.4</v>
      </c>
      <c r="I40" s="501">
        <f>Sheet1!CW43</f>
        <v>3432.7083333333335</v>
      </c>
      <c r="J40" s="501">
        <f>Sheet1!CX43</f>
        <v>2234.7916666666665</v>
      </c>
      <c r="K40" s="501">
        <f>Sheet1!CV43</f>
        <v>2041.1764705882354</v>
      </c>
      <c r="L40" s="501">
        <f>Calculation!F43</f>
        <v>250</v>
      </c>
      <c r="M40" s="501">
        <f>Calculation!E43</f>
        <v>250</v>
      </c>
      <c r="N40" s="501">
        <f>Calculation!D43</f>
        <v>300</v>
      </c>
      <c r="O40" s="500">
        <f>Sheet1!CY43</f>
        <v>1083.5</v>
      </c>
      <c r="P40" s="514" t="e">
        <f>Calculation!ET43</f>
        <v>#N/A</v>
      </c>
      <c r="Q40" s="498">
        <f>Calculation!DF43</f>
        <v>2946.0000000045266</v>
      </c>
      <c r="R40" s="500">
        <f t="shared" si="1"/>
        <v>1726.0000000045266</v>
      </c>
      <c r="S40" s="498">
        <f t="shared" si="14"/>
        <v>328.85000000056289</v>
      </c>
      <c r="T40" s="498">
        <f ca="1">IF(A40&gt;$A$1,#N/A,VLOOKUP(A40,Calculation!$B$8:$IV$881,30,FALSE))</f>
        <v>0</v>
      </c>
      <c r="U40" s="498">
        <f t="shared" si="8"/>
        <v>0</v>
      </c>
      <c r="V40" s="498">
        <f>Calculation!AP43</f>
        <v>0</v>
      </c>
      <c r="W40" s="498">
        <f t="shared" si="15"/>
        <v>0</v>
      </c>
      <c r="X40" s="498">
        <v>0</v>
      </c>
      <c r="Y40" s="744">
        <f t="shared" si="10"/>
        <v>0</v>
      </c>
      <c r="Z40" s="748">
        <f t="shared" si="11"/>
        <v>0</v>
      </c>
      <c r="AA40" s="498">
        <f t="shared" ca="1" si="16"/>
        <v>2946.0000000045266</v>
      </c>
      <c r="AB40" s="501">
        <f t="shared" ca="1" si="17"/>
        <v>1726.0000000045266</v>
      </c>
      <c r="AC40" s="498" t="e">
        <f ca="1">IF(A40&gt;$A$1,#N/A,VLOOKUP(A40,Calculation!$B$8:$IV$881,155,FALSE))</f>
        <v>#N/A</v>
      </c>
      <c r="AD40" s="498" t="e">
        <f t="shared" ca="1" si="18"/>
        <v>#N/A</v>
      </c>
      <c r="AE40" s="498"/>
      <c r="AF40" s="501">
        <f>Calculation!G43</f>
        <v>2207.0110646379394</v>
      </c>
      <c r="AG40" s="498" t="str">
        <f t="shared" si="19"/>
        <v>Yes</v>
      </c>
      <c r="AH40" s="498" t="str">
        <f t="shared" si="20"/>
        <v>Yes</v>
      </c>
      <c r="AK40" s="738">
        <v>1484.6800000020323</v>
      </c>
      <c r="AL40" s="738">
        <v>2059.9000000029855</v>
      </c>
      <c r="AM40" s="740">
        <v>1793.4000000025799</v>
      </c>
      <c r="AR40" s="549"/>
      <c r="AS40" s="525"/>
      <c r="AT40" s="581">
        <f>Calculation!AR43*3.068</f>
        <v>0</v>
      </c>
      <c r="AU40" s="575">
        <f ca="1">Calculation!DA43</f>
        <v>0</v>
      </c>
      <c r="AV40" s="575">
        <f>Calculation!CF43*3.068</f>
        <v>0</v>
      </c>
      <c r="AW40" s="582">
        <f>Calculation!BK43*3.068</f>
        <v>0</v>
      </c>
      <c r="AX40" s="524"/>
      <c r="AY40" s="560"/>
      <c r="AZ40" s="559"/>
      <c r="BA40" s="560"/>
      <c r="BB40" s="559"/>
      <c r="BC40" s="560"/>
      <c r="BD40" s="559"/>
      <c r="BE40" s="550"/>
    </row>
    <row r="41" spans="1:57" ht="13.5" thickBot="1">
      <c r="A41" s="513">
        <v>40573</v>
      </c>
      <c r="B41" s="498">
        <f t="shared" si="13"/>
        <v>70.589610000007198</v>
      </c>
      <c r="C41" s="498">
        <f>Calculation!AA44</f>
        <v>0</v>
      </c>
      <c r="D41" s="498">
        <f>Calculation!Y44</f>
        <v>0</v>
      </c>
      <c r="E41" s="498">
        <f>Calculation!U44</f>
        <v>44.47625</v>
      </c>
      <c r="F41" s="498">
        <f>Calculation!V44</f>
        <v>26.113360000007201</v>
      </c>
      <c r="G41" s="498">
        <f>Calculation!W44</f>
        <v>70.218330000001913</v>
      </c>
      <c r="H41" s="500">
        <f>Sheet1!H44</f>
        <v>13.8</v>
      </c>
      <c r="I41" s="501">
        <f>Sheet1!CW44</f>
        <v>3608.125</v>
      </c>
      <c r="J41" s="501">
        <f>Sheet1!CX44</f>
        <v>2450.8333333333335</v>
      </c>
      <c r="K41" s="501">
        <f>Sheet1!CV44</f>
        <v>2205.294117647059</v>
      </c>
      <c r="L41" s="501">
        <f>Calculation!F44</f>
        <v>250</v>
      </c>
      <c r="M41" s="501">
        <f>Calculation!E44</f>
        <v>250</v>
      </c>
      <c r="N41" s="501">
        <f>Calculation!D44</f>
        <v>300</v>
      </c>
      <c r="O41" s="500">
        <f>Sheet1!CY44</f>
        <v>1085.3800000000001</v>
      </c>
      <c r="P41" s="514" t="e">
        <f>Calculation!ET44</f>
        <v>#N/A</v>
      </c>
      <c r="Q41" s="498">
        <f>Calculation!DF44</f>
        <v>3250.8400000051183</v>
      </c>
      <c r="R41" s="500">
        <f t="shared" si="1"/>
        <v>2030.8400000051183</v>
      </c>
      <c r="S41" s="498">
        <f t="shared" si="14"/>
        <v>304.84000000059177</v>
      </c>
      <c r="T41" s="498">
        <f ca="1">IF(A41&gt;$A$1,#N/A,VLOOKUP(A41,Calculation!$B$8:$IV$881,30,FALSE))</f>
        <v>0</v>
      </c>
      <c r="U41" s="498">
        <f t="shared" si="8"/>
        <v>0</v>
      </c>
      <c r="V41" s="498">
        <f>Calculation!AP44</f>
        <v>0</v>
      </c>
      <c r="W41" s="498">
        <f t="shared" si="15"/>
        <v>0</v>
      </c>
      <c r="X41" s="498">
        <v>0</v>
      </c>
      <c r="Y41" s="744">
        <f t="shared" si="10"/>
        <v>0</v>
      </c>
      <c r="Z41" s="748">
        <f t="shared" si="11"/>
        <v>0</v>
      </c>
      <c r="AA41" s="498">
        <f t="shared" ca="1" si="16"/>
        <v>3250.8400000051183</v>
      </c>
      <c r="AB41" s="501">
        <f t="shared" ca="1" si="17"/>
        <v>2030.8400000051183</v>
      </c>
      <c r="AC41" s="498" t="e">
        <f ca="1">IF(A41&gt;$A$1,#N/A,VLOOKUP(A41,Calculation!$B$8:$IV$881,155,FALSE))</f>
        <v>#N/A</v>
      </c>
      <c r="AD41" s="498" t="e">
        <f t="shared" ca="1" si="18"/>
        <v>#N/A</v>
      </c>
      <c r="AE41" s="498"/>
      <c r="AF41" s="501">
        <f>Calculation!G44</f>
        <v>2359.020794399753</v>
      </c>
      <c r="AG41" s="498" t="str">
        <f t="shared" si="19"/>
        <v>Yes</v>
      </c>
      <c r="AH41" s="498" t="str">
        <f t="shared" si="20"/>
        <v>Yes</v>
      </c>
      <c r="AK41" s="738">
        <v>1436.7200000019827</v>
      </c>
      <c r="AL41" s="738">
        <v>1901.0800000027502</v>
      </c>
      <c r="AM41" s="740">
        <v>1750.1200000024417</v>
      </c>
      <c r="AR41" s="549"/>
      <c r="AS41" s="525"/>
      <c r="AT41" s="581">
        <f>Calculation!AR44*3.068</f>
        <v>0</v>
      </c>
      <c r="AU41" s="575">
        <f ca="1">Calculation!DA44</f>
        <v>0</v>
      </c>
      <c r="AV41" s="575">
        <f>Calculation!CF44*3.068</f>
        <v>0</v>
      </c>
      <c r="AW41" s="582">
        <f>Calculation!BK44*3.068</f>
        <v>0</v>
      </c>
      <c r="AX41" s="524"/>
      <c r="AY41" s="560"/>
      <c r="AZ41" s="559"/>
      <c r="BA41" s="560"/>
      <c r="BB41" s="559"/>
      <c r="BC41" s="560"/>
      <c r="BD41" s="559"/>
      <c r="BE41" s="550"/>
    </row>
    <row r="42" spans="1:57" ht="13.5" thickBot="1">
      <c r="A42" s="513">
        <v>40574</v>
      </c>
      <c r="B42" s="498">
        <f t="shared" si="13"/>
        <v>70.465849999993239</v>
      </c>
      <c r="C42" s="498">
        <f>Calculation!AA45</f>
        <v>0</v>
      </c>
      <c r="D42" s="498">
        <f>Calculation!Y45</f>
        <v>0</v>
      </c>
      <c r="E42" s="498">
        <f>Calculation!U45</f>
        <v>44.012149999995493</v>
      </c>
      <c r="F42" s="498">
        <f>Calculation!V45</f>
        <v>26.453699999997749</v>
      </c>
      <c r="G42" s="498">
        <f>Calculation!W45</f>
        <v>62.40598000000022</v>
      </c>
      <c r="H42" s="500">
        <f>Sheet1!H45</f>
        <v>12.8</v>
      </c>
      <c r="I42" s="501">
        <f>Sheet1!CW45</f>
        <v>3716.9791666666665</v>
      </c>
      <c r="J42" s="501">
        <f>Sheet1!CX45</f>
        <v>2591.7708333333335</v>
      </c>
      <c r="K42" s="501">
        <f>Sheet1!CV45</f>
        <v>2388.8235294117649</v>
      </c>
      <c r="L42" s="501">
        <f>Calculation!F45</f>
        <v>250</v>
      </c>
      <c r="M42" s="501">
        <f>Calculation!E45</f>
        <v>250</v>
      </c>
      <c r="N42" s="501">
        <f>Calculation!D45</f>
        <v>300</v>
      </c>
      <c r="O42" s="500">
        <f>Sheet1!CY45</f>
        <v>1080.8900000000001</v>
      </c>
      <c r="P42" s="514" t="e">
        <f>Calculation!ET45</f>
        <v>#N/A</v>
      </c>
      <c r="Q42" s="498">
        <f>Calculation!DF45</f>
        <v>2549.2700000037717</v>
      </c>
      <c r="R42" s="500">
        <f t="shared" si="1"/>
        <v>1329.2700000037717</v>
      </c>
      <c r="S42" s="498">
        <f t="shared" si="14"/>
        <v>-701.57000000134667</v>
      </c>
      <c r="T42" s="498">
        <f ca="1">IF(A42&gt;$A$1,#N/A,VLOOKUP(A42,Calculation!$B$8:$IV$881,30,FALSE))</f>
        <v>0</v>
      </c>
      <c r="U42" s="498">
        <f t="shared" si="8"/>
        <v>0</v>
      </c>
      <c r="V42" s="498">
        <f>Calculation!AP45</f>
        <v>0</v>
      </c>
      <c r="W42" s="498">
        <f t="shared" si="15"/>
        <v>0</v>
      </c>
      <c r="X42" s="498">
        <v>0</v>
      </c>
      <c r="Y42" s="744">
        <f t="shared" si="10"/>
        <v>0</v>
      </c>
      <c r="Z42" s="748">
        <f t="shared" si="11"/>
        <v>0</v>
      </c>
      <c r="AA42" s="498">
        <f t="shared" ca="1" si="16"/>
        <v>2549.2700000037717</v>
      </c>
      <c r="AB42" s="501">
        <f t="shared" ca="1" si="17"/>
        <v>1329.2700000037717</v>
      </c>
      <c r="AC42" s="498" t="e">
        <f ca="1">IF(A42&gt;$A$1,#N/A,VLOOKUP(A42,Calculation!$B$8:$IV$881,155,FALSE))</f>
        <v>#N/A</v>
      </c>
      <c r="AD42" s="498" t="e">
        <f t="shared" ca="1" si="18"/>
        <v>#N/A</v>
      </c>
      <c r="AE42" s="498"/>
      <c r="AF42" s="501">
        <f>Calculation!G45</f>
        <v>2035.0312954221802</v>
      </c>
      <c r="AG42" s="498" t="str">
        <f t="shared" si="19"/>
        <v>Yes</v>
      </c>
      <c r="AH42" s="498" t="str">
        <f t="shared" si="20"/>
        <v>Yes</v>
      </c>
      <c r="AK42" s="738">
        <v>1291.4000000017395</v>
      </c>
      <c r="AL42" s="738">
        <v>1873.9200000026351</v>
      </c>
      <c r="AM42" s="740">
        <v>1743.0400000024415</v>
      </c>
      <c r="AR42" s="549"/>
      <c r="AS42" s="525"/>
      <c r="AT42" s="581">
        <f>Calculation!AR45*3.068</f>
        <v>0</v>
      </c>
      <c r="AU42" s="575">
        <f ca="1">Calculation!DA45</f>
        <v>0</v>
      </c>
      <c r="AV42" s="575">
        <f>Calculation!CF45*3.068</f>
        <v>0</v>
      </c>
      <c r="AW42" s="582">
        <f>Calculation!BK45*3.068</f>
        <v>0</v>
      </c>
      <c r="AX42" s="524"/>
      <c r="AY42" s="560"/>
      <c r="AZ42" s="559"/>
      <c r="BA42" s="560"/>
      <c r="BB42" s="559"/>
      <c r="BC42" s="560"/>
      <c r="BD42" s="559"/>
      <c r="BE42" s="550"/>
    </row>
    <row r="43" spans="1:57" ht="13.5" thickBot="1">
      <c r="A43" s="513">
        <v>40575</v>
      </c>
      <c r="B43" s="498">
        <f t="shared" si="13"/>
        <v>70.079100000004502</v>
      </c>
      <c r="C43" s="498">
        <f>Calculation!AA46</f>
        <v>0</v>
      </c>
      <c r="D43" s="498">
        <f>Calculation!Y46</f>
        <v>0</v>
      </c>
      <c r="E43" s="498">
        <f>Calculation!U46</f>
        <v>43.780100000004502</v>
      </c>
      <c r="F43" s="498">
        <f>Calculation!V46</f>
        <v>26.298999999999999</v>
      </c>
      <c r="G43" s="498">
        <f>Calculation!W46</f>
        <v>69.135429999997967</v>
      </c>
      <c r="H43" s="500">
        <f>Sheet1!H46</f>
        <v>150</v>
      </c>
      <c r="I43" s="501">
        <f>Sheet1!CW46</f>
        <v>3574.1666666666665</v>
      </c>
      <c r="J43" s="501">
        <f>Sheet1!CX46</f>
        <v>2233.0208333333335</v>
      </c>
      <c r="K43" s="501">
        <f>Sheet1!CV46</f>
        <v>2245.8823529411766</v>
      </c>
      <c r="L43" s="501">
        <f>Calculation!F46</f>
        <v>250</v>
      </c>
      <c r="M43" s="501">
        <f>Calculation!E46</f>
        <v>250</v>
      </c>
      <c r="N43" s="501">
        <f>Calculation!D46</f>
        <v>300</v>
      </c>
      <c r="O43" s="500">
        <f>Sheet1!CY46</f>
        <v>1076.3900000000001</v>
      </c>
      <c r="P43" s="514" t="e">
        <f>Calculation!ET46</f>
        <v>#N/A</v>
      </c>
      <c r="Q43" s="498">
        <f>Calculation!DF46</f>
        <v>1940.1400000028077</v>
      </c>
      <c r="R43" s="500">
        <f t="shared" si="1"/>
        <v>720.14000000280771</v>
      </c>
      <c r="S43" s="498">
        <f t="shared" si="14"/>
        <v>-609.13000000096395</v>
      </c>
      <c r="T43" s="498">
        <f ca="1">IF(A43&gt;$A$1,#N/A,VLOOKUP(A43,Calculation!$B$8:$IV$881,30,FALSE))</f>
        <v>0</v>
      </c>
      <c r="U43" s="498">
        <f t="shared" si="8"/>
        <v>0</v>
      </c>
      <c r="V43" s="498">
        <f>Calculation!AP46</f>
        <v>0</v>
      </c>
      <c r="W43" s="498">
        <f t="shared" si="15"/>
        <v>0</v>
      </c>
      <c r="X43" s="498">
        <v>0</v>
      </c>
      <c r="Y43" s="744">
        <f t="shared" si="10"/>
        <v>0</v>
      </c>
      <c r="Z43" s="748">
        <f t="shared" si="11"/>
        <v>0</v>
      </c>
      <c r="AA43" s="498">
        <f t="shared" ca="1" si="16"/>
        <v>1940.1400000028077</v>
      </c>
      <c r="AB43" s="501">
        <f t="shared" ca="1" si="17"/>
        <v>720.14000000280771</v>
      </c>
      <c r="AC43" s="498" t="e">
        <f ca="1">IF(A43&gt;$A$1,#N/A,VLOOKUP(A43,Calculation!$B$8:$IV$881,155,FALSE))</f>
        <v>#N/A</v>
      </c>
      <c r="AD43" s="498" t="e">
        <f t="shared" ca="1" si="18"/>
        <v>#N/A</v>
      </c>
      <c r="AE43" s="498"/>
      <c r="AF43" s="501">
        <f>Calculation!G46</f>
        <v>1938.7063569749821</v>
      </c>
      <c r="AG43" s="498" t="str">
        <f t="shared" si="19"/>
        <v>Yes</v>
      </c>
      <c r="AH43" s="498" t="str">
        <f t="shared" si="20"/>
        <v>Yes</v>
      </c>
      <c r="AK43" s="738">
        <v>1240.4000000016931</v>
      </c>
      <c r="AL43" s="738">
        <v>1979.2000000028363</v>
      </c>
      <c r="AM43" s="740">
        <v>1725.3400000024415</v>
      </c>
      <c r="AR43" s="549"/>
      <c r="AS43" s="525"/>
      <c r="AT43" s="581">
        <f>Calculation!AR46*3.068</f>
        <v>0</v>
      </c>
      <c r="AU43" s="575">
        <f ca="1">Calculation!DA46</f>
        <v>0</v>
      </c>
      <c r="AV43" s="575">
        <f>Calculation!CF46*3.068</f>
        <v>0</v>
      </c>
      <c r="AW43" s="582">
        <f>Calculation!BK46*3.068</f>
        <v>0</v>
      </c>
      <c r="AX43" s="524"/>
      <c r="AY43" s="560"/>
      <c r="AZ43" s="559"/>
      <c r="BA43" s="560"/>
      <c r="BB43" s="559"/>
      <c r="BC43" s="560"/>
      <c r="BD43" s="559"/>
      <c r="BE43" s="550"/>
    </row>
    <row r="44" spans="1:57" ht="13.5" thickBot="1">
      <c r="A44" s="513">
        <v>40576</v>
      </c>
      <c r="B44" s="498">
        <f t="shared" si="13"/>
        <v>73.173100000004496</v>
      </c>
      <c r="C44" s="498">
        <f>Calculation!AA47</f>
        <v>0</v>
      </c>
      <c r="D44" s="498">
        <f>Calculation!Y47</f>
        <v>0</v>
      </c>
      <c r="E44" s="498">
        <f>Calculation!U47</f>
        <v>46.100600000004498</v>
      </c>
      <c r="F44" s="498">
        <f>Calculation!V47</f>
        <v>27.072499999999998</v>
      </c>
      <c r="G44" s="498">
        <f>Calculation!W47</f>
        <v>73.018400000001122</v>
      </c>
      <c r="H44" s="500">
        <f>Sheet1!H47</f>
        <v>111.2</v>
      </c>
      <c r="I44" s="501">
        <f>Sheet1!CW47</f>
        <v>2701.1458333333335</v>
      </c>
      <c r="J44" s="501">
        <f>Sheet1!CX47</f>
        <v>1662.0833333333333</v>
      </c>
      <c r="K44" s="501">
        <f>Sheet1!CV47</f>
        <v>1587.0588235294117</v>
      </c>
      <c r="L44" s="501">
        <f>Calculation!F47</f>
        <v>250</v>
      </c>
      <c r="M44" s="501">
        <f>Calculation!E47</f>
        <v>250</v>
      </c>
      <c r="N44" s="501">
        <f>Calculation!D47</f>
        <v>300</v>
      </c>
      <c r="O44" s="500">
        <f>Sheet1!CY47</f>
        <v>1076.3399999999999</v>
      </c>
      <c r="P44" s="514" t="e">
        <f>Calculation!ET47</f>
        <v>#N/A</v>
      </c>
      <c r="Q44" s="498">
        <f>Calculation!DF47</f>
        <v>1933.8400000027789</v>
      </c>
      <c r="R44" s="500">
        <f t="shared" si="1"/>
        <v>713.84000000277888</v>
      </c>
      <c r="S44" s="498">
        <f t="shared" si="14"/>
        <v>-6.300000000028831</v>
      </c>
      <c r="T44" s="498">
        <f ca="1">IF(A44&gt;$A$1,#N/A,VLOOKUP(A44,Calculation!$B$8:$IV$881,30,FALSE))</f>
        <v>0</v>
      </c>
      <c r="U44" s="498">
        <f t="shared" si="8"/>
        <v>0</v>
      </c>
      <c r="V44" s="498">
        <f>Calculation!AP47</f>
        <v>0</v>
      </c>
      <c r="W44" s="498">
        <f t="shared" si="15"/>
        <v>0</v>
      </c>
      <c r="X44" s="498">
        <v>0</v>
      </c>
      <c r="Y44" s="744">
        <f t="shared" si="10"/>
        <v>0</v>
      </c>
      <c r="Z44" s="748">
        <f t="shared" si="11"/>
        <v>0</v>
      </c>
      <c r="AA44" s="498">
        <f t="shared" ca="1" si="16"/>
        <v>1933.8400000027789</v>
      </c>
      <c r="AB44" s="501">
        <f t="shared" ca="1" si="17"/>
        <v>713.84000000277888</v>
      </c>
      <c r="AC44" s="498" t="e">
        <f ca="1">IF(A44&gt;$A$1,#N/A,VLOOKUP(A44,Calculation!$B$8:$IV$881,155,FALSE))</f>
        <v>#N/A</v>
      </c>
      <c r="AD44" s="498" t="e">
        <f t="shared" ca="1" si="18"/>
        <v>#N/A</v>
      </c>
      <c r="AE44" s="498"/>
      <c r="AF44" s="501">
        <f>Calculation!G47</f>
        <v>1583.8818189908193</v>
      </c>
      <c r="AG44" s="498" t="str">
        <f t="shared" si="19"/>
        <v>Yes</v>
      </c>
      <c r="AH44" s="498" t="str">
        <f t="shared" si="20"/>
        <v>Yes</v>
      </c>
      <c r="AK44" s="738">
        <v>1399.3800000019041</v>
      </c>
      <c r="AL44" s="738">
        <v>2286.2000000034377</v>
      </c>
      <c r="AM44" s="740">
        <v>1708.8200000024146</v>
      </c>
      <c r="AR44" s="549"/>
      <c r="AS44" s="525"/>
      <c r="AT44" s="581">
        <f>Calculation!AR47*3.068</f>
        <v>0</v>
      </c>
      <c r="AU44" s="575">
        <f ca="1">Calculation!DA47</f>
        <v>0</v>
      </c>
      <c r="AV44" s="575">
        <f>Calculation!CF47*3.068</f>
        <v>0</v>
      </c>
      <c r="AW44" s="582">
        <f>Calculation!BK47*3.068</f>
        <v>0</v>
      </c>
      <c r="AX44" s="524"/>
      <c r="AY44" s="560"/>
      <c r="AZ44" s="559"/>
      <c r="BA44" s="560"/>
      <c r="BB44" s="559"/>
      <c r="BC44" s="560"/>
      <c r="BD44" s="559"/>
      <c r="BE44" s="550"/>
    </row>
    <row r="45" spans="1:57" ht="13.5" thickBot="1">
      <c r="A45" s="513">
        <v>40577</v>
      </c>
      <c r="B45" s="498">
        <f t="shared" si="13"/>
        <v>71.007299999990991</v>
      </c>
      <c r="C45" s="498">
        <f>Calculation!AA48</f>
        <v>0</v>
      </c>
      <c r="D45" s="498">
        <f>Calculation!Y48</f>
        <v>0</v>
      </c>
      <c r="E45" s="498">
        <f>Calculation!U48</f>
        <v>44.708299999990992</v>
      </c>
      <c r="F45" s="498">
        <f>Calculation!V48</f>
        <v>26.298999999999999</v>
      </c>
      <c r="G45" s="498">
        <f>Calculation!W48</f>
        <v>70.821660000001003</v>
      </c>
      <c r="H45" s="500">
        <f>Sheet1!H48</f>
        <v>16.72</v>
      </c>
      <c r="I45" s="501">
        <f>Sheet1!CW48</f>
        <v>2415.4166666666665</v>
      </c>
      <c r="J45" s="501">
        <f>Sheet1!CX48</f>
        <v>1482.6041666666667</v>
      </c>
      <c r="K45" s="501">
        <f>Sheet1!CV48</f>
        <v>1392.3529411764705</v>
      </c>
      <c r="L45" s="501">
        <f>Calculation!F48</f>
        <v>250</v>
      </c>
      <c r="M45" s="501">
        <f>Calculation!E48</f>
        <v>250</v>
      </c>
      <c r="N45" s="501">
        <f>Calculation!D48</f>
        <v>300</v>
      </c>
      <c r="O45" s="500">
        <f>Sheet1!CY48</f>
        <v>1076.58</v>
      </c>
      <c r="P45" s="514" t="e">
        <f>Calculation!ET48</f>
        <v>#N/A</v>
      </c>
      <c r="Q45" s="498">
        <f>Calculation!DF48</f>
        <v>1964.0800000028075</v>
      </c>
      <c r="R45" s="500">
        <f t="shared" si="1"/>
        <v>744.08000000280754</v>
      </c>
      <c r="S45" s="498">
        <f t="shared" si="14"/>
        <v>30.240000000028658</v>
      </c>
      <c r="T45" s="498">
        <f ca="1">IF(A45&gt;$A$1,#N/A,VLOOKUP(A45,Calculation!$B$8:$IV$881,30,FALSE))</f>
        <v>0</v>
      </c>
      <c r="U45" s="498">
        <f t="shared" si="8"/>
        <v>0</v>
      </c>
      <c r="V45" s="498">
        <f>Calculation!AP48</f>
        <v>0</v>
      </c>
      <c r="W45" s="498">
        <f t="shared" si="15"/>
        <v>0</v>
      </c>
      <c r="X45" s="498">
        <v>0</v>
      </c>
      <c r="Y45" s="744">
        <f t="shared" si="10"/>
        <v>0</v>
      </c>
      <c r="Z45" s="748">
        <f t="shared" si="11"/>
        <v>0</v>
      </c>
      <c r="AA45" s="498">
        <f t="shared" ca="1" si="16"/>
        <v>1964.0800000028075</v>
      </c>
      <c r="AB45" s="501">
        <f t="shared" ca="1" si="17"/>
        <v>744.08000000280754</v>
      </c>
      <c r="AC45" s="498" t="e">
        <f ca="1">IF(A45&gt;$A$1,#N/A,VLOOKUP(A45,Calculation!$B$8:$IV$881,155,FALSE))</f>
        <v>#N/A</v>
      </c>
      <c r="AD45" s="498" t="e">
        <f t="shared" ca="1" si="18"/>
        <v>#N/A</v>
      </c>
      <c r="AE45" s="498"/>
      <c r="AF45" s="501">
        <f>Calculation!G48</f>
        <v>1407.602562961659</v>
      </c>
      <c r="AG45" s="498" t="str">
        <f t="shared" si="19"/>
        <v>Yes</v>
      </c>
      <c r="AH45" s="498" t="str">
        <f t="shared" si="20"/>
        <v>Yes</v>
      </c>
      <c r="AK45" s="738">
        <v>1525.0100000020818</v>
      </c>
      <c r="AL45" s="738">
        <v>2287.6000000034378</v>
      </c>
      <c r="AM45" s="740">
        <v>1713.5400000024147</v>
      </c>
      <c r="AR45" s="549"/>
      <c r="AS45" s="525"/>
      <c r="AT45" s="581">
        <f>Calculation!AR48*3.068</f>
        <v>0</v>
      </c>
      <c r="AU45" s="575">
        <f ca="1">Calculation!DA48</f>
        <v>0</v>
      </c>
      <c r="AV45" s="575">
        <f>Calculation!CF48*3.068</f>
        <v>0</v>
      </c>
      <c r="AW45" s="582">
        <f>Calculation!BK48*3.068</f>
        <v>0</v>
      </c>
      <c r="AX45" s="524"/>
      <c r="AY45" s="560"/>
      <c r="AZ45" s="559"/>
      <c r="BA45" s="560"/>
      <c r="BB45" s="559"/>
      <c r="BC45" s="560"/>
      <c r="BD45" s="559"/>
      <c r="BE45" s="550"/>
    </row>
    <row r="46" spans="1:57" ht="13.5" thickBot="1">
      <c r="A46" s="513">
        <v>40578</v>
      </c>
      <c r="B46" s="498">
        <f t="shared" si="13"/>
        <v>70.280210000011706</v>
      </c>
      <c r="C46" s="498">
        <f>Calculation!AA49</f>
        <v>0</v>
      </c>
      <c r="D46" s="498">
        <f>Calculation!Y49</f>
        <v>0</v>
      </c>
      <c r="E46" s="498">
        <f>Calculation!U49</f>
        <v>44.244200000009002</v>
      </c>
      <c r="F46" s="498">
        <f>Calculation!V49</f>
        <v>26.036010000002701</v>
      </c>
      <c r="G46" s="498">
        <f>Calculation!W49</f>
        <v>70.481319999999215</v>
      </c>
      <c r="H46" s="500">
        <f>Sheet1!H49</f>
        <v>90</v>
      </c>
      <c r="I46" s="501">
        <f>Sheet1!CW49</f>
        <v>2614.4791666666665</v>
      </c>
      <c r="J46" s="501">
        <f>Sheet1!CX49</f>
        <v>1920</v>
      </c>
      <c r="K46" s="501">
        <f>Sheet1!CV49</f>
        <v>1726.4705882352941</v>
      </c>
      <c r="L46" s="501">
        <f>Calculation!F49</f>
        <v>250</v>
      </c>
      <c r="M46" s="501">
        <f>Calculation!E49</f>
        <v>250</v>
      </c>
      <c r="N46" s="501">
        <f>Calculation!D49</f>
        <v>300</v>
      </c>
      <c r="O46" s="500">
        <f>Sheet1!CY49</f>
        <v>1080.52</v>
      </c>
      <c r="P46" s="514" t="e">
        <f>Calculation!ET49</f>
        <v>#N/A</v>
      </c>
      <c r="Q46" s="498">
        <f>Calculation!DF49</f>
        <v>2496.3600000037068</v>
      </c>
      <c r="R46" s="500">
        <f t="shared" si="1"/>
        <v>1276.3600000037068</v>
      </c>
      <c r="S46" s="498">
        <f t="shared" si="14"/>
        <v>532.28000000089924</v>
      </c>
      <c r="T46" s="498">
        <f ca="1">IF(A46&gt;$A$1,#N/A,VLOOKUP(A46,Calculation!$B$8:$IV$881,30,FALSE))</f>
        <v>0</v>
      </c>
      <c r="U46" s="498">
        <f t="shared" si="8"/>
        <v>0</v>
      </c>
      <c r="V46" s="498">
        <f>Calculation!AP49</f>
        <v>0</v>
      </c>
      <c r="W46" s="498">
        <f t="shared" si="15"/>
        <v>0</v>
      </c>
      <c r="X46" s="498">
        <v>0</v>
      </c>
      <c r="Y46" s="744">
        <f t="shared" si="10"/>
        <v>0</v>
      </c>
      <c r="Z46" s="748">
        <f t="shared" si="11"/>
        <v>0</v>
      </c>
      <c r="AA46" s="498">
        <f t="shared" ca="1" si="16"/>
        <v>2496.3600000037068</v>
      </c>
      <c r="AB46" s="501">
        <f t="shared" ca="1" si="17"/>
        <v>1276.3600000037068</v>
      </c>
      <c r="AC46" s="498" t="e">
        <f ca="1">IF(A46&gt;$A$1,#N/A,VLOOKUP(A46,Calculation!$B$8:$IV$881,155,FALSE))</f>
        <v>#N/A</v>
      </c>
      <c r="AD46" s="498" t="e">
        <f t="shared" ca="1" si="18"/>
        <v>#N/A</v>
      </c>
      <c r="AE46" s="498"/>
      <c r="AF46" s="501">
        <f>Calculation!G49</f>
        <v>1994.8921716951525</v>
      </c>
      <c r="AG46" s="498" t="str">
        <f t="shared" si="19"/>
        <v>Yes</v>
      </c>
      <c r="AH46" s="498" t="str">
        <f t="shared" si="20"/>
        <v>Yes</v>
      </c>
      <c r="AK46" s="738">
        <v>1621.360000002255</v>
      </c>
      <c r="AL46" s="738">
        <v>1948.9600000028076</v>
      </c>
      <c r="AM46" s="740">
        <v>1712.3600000024146</v>
      </c>
      <c r="AR46" s="549"/>
      <c r="AS46" s="525"/>
      <c r="AT46" s="581">
        <f>Calculation!AR49*3.068</f>
        <v>0</v>
      </c>
      <c r="AU46" s="575">
        <f ca="1">Calculation!DA49</f>
        <v>0</v>
      </c>
      <c r="AV46" s="575">
        <f>Calculation!CF49*3.068</f>
        <v>0</v>
      </c>
      <c r="AW46" s="582">
        <f>Calculation!BK49*3.068</f>
        <v>0</v>
      </c>
      <c r="AX46" s="524"/>
      <c r="AY46" s="560"/>
      <c r="AZ46" s="559"/>
      <c r="BA46" s="560"/>
      <c r="BB46" s="559"/>
      <c r="BC46" s="560"/>
      <c r="BD46" s="559"/>
      <c r="BE46" s="550"/>
    </row>
    <row r="47" spans="1:57" ht="13.5" thickBot="1">
      <c r="A47" s="513">
        <v>40579</v>
      </c>
      <c r="B47" s="498">
        <f t="shared" si="13"/>
        <v>70.960889999981532</v>
      </c>
      <c r="C47" s="498">
        <f>Calculation!AA50</f>
        <v>0</v>
      </c>
      <c r="D47" s="498">
        <f>Calculation!Y50</f>
        <v>0</v>
      </c>
      <c r="E47" s="498">
        <f>Calculation!U50</f>
        <v>44.708299999990992</v>
      </c>
      <c r="F47" s="498">
        <f>Calculation!V50</f>
        <v>26.252589999990544</v>
      </c>
      <c r="G47" s="498">
        <f>Calculation!W50</f>
        <v>70.89900999999989</v>
      </c>
      <c r="H47" s="500">
        <f>Sheet1!H50</f>
        <v>37</v>
      </c>
      <c r="I47" s="501">
        <f>Sheet1!CW50</f>
        <v>3445</v>
      </c>
      <c r="J47" s="501">
        <f>Sheet1!CX50</f>
        <v>2845</v>
      </c>
      <c r="K47" s="501">
        <f>Sheet1!CV50</f>
        <v>2568.2352941176468</v>
      </c>
      <c r="L47" s="501">
        <f>Calculation!F50</f>
        <v>250</v>
      </c>
      <c r="M47" s="501">
        <f>Calculation!E50</f>
        <v>250</v>
      </c>
      <c r="N47" s="501">
        <f>Calculation!D50</f>
        <v>300</v>
      </c>
      <c r="O47" s="500">
        <f>Sheet1!CY50</f>
        <v>1084.68</v>
      </c>
      <c r="P47" s="514" t="e">
        <f>Calculation!ET50</f>
        <v>#N/A</v>
      </c>
      <c r="Q47" s="498">
        <f>Calculation!DF50</f>
        <v>3135.1600000048252</v>
      </c>
      <c r="R47" s="500">
        <f t="shared" si="1"/>
        <v>1915.1600000048252</v>
      </c>
      <c r="S47" s="498">
        <f t="shared" si="14"/>
        <v>638.80000000111841</v>
      </c>
      <c r="T47" s="498">
        <f ca="1">IF(A47&gt;$A$1,#N/A,VLOOKUP(A47,Calculation!$B$8:$IV$881,30,FALSE))</f>
        <v>0</v>
      </c>
      <c r="U47" s="498">
        <f t="shared" si="8"/>
        <v>0</v>
      </c>
      <c r="V47" s="498">
        <f>Calculation!AP50</f>
        <v>0</v>
      </c>
      <c r="W47" s="498">
        <f t="shared" si="15"/>
        <v>0</v>
      </c>
      <c r="X47" s="498">
        <v>0</v>
      </c>
      <c r="Y47" s="744">
        <f t="shared" si="10"/>
        <v>0</v>
      </c>
      <c r="Z47" s="748">
        <f t="shared" si="11"/>
        <v>0</v>
      </c>
      <c r="AA47" s="498">
        <f t="shared" ca="1" si="16"/>
        <v>3135.1600000048252</v>
      </c>
      <c r="AB47" s="501">
        <f t="shared" ca="1" si="17"/>
        <v>1915.1600000048252</v>
      </c>
      <c r="AC47" s="498" t="e">
        <f ca="1">IF(A47&gt;$A$1,#N/A,VLOOKUP(A47,Calculation!$B$8:$IV$881,155,FALSE))</f>
        <v>#N/A</v>
      </c>
      <c r="AD47" s="498" t="e">
        <f t="shared" ca="1" si="18"/>
        <v>#N/A</v>
      </c>
      <c r="AE47" s="498"/>
      <c r="AF47" s="501">
        <f>Calculation!G50</f>
        <v>2890.3734686013172</v>
      </c>
      <c r="AG47" s="498" t="str">
        <f t="shared" si="19"/>
        <v>Yes</v>
      </c>
      <c r="AH47" s="498" t="str">
        <f t="shared" si="20"/>
        <v>Yes</v>
      </c>
      <c r="AK47" s="738">
        <v>1510.840000002057</v>
      </c>
      <c r="AL47" s="738">
        <v>1909.9000000027791</v>
      </c>
      <c r="AM47" s="740">
        <v>1722.9800000024147</v>
      </c>
      <c r="AR47" s="549"/>
      <c r="AS47" s="525"/>
      <c r="AT47" s="581">
        <f>Calculation!AR50*3.068</f>
        <v>0</v>
      </c>
      <c r="AU47" s="575">
        <f ca="1">Calculation!DA50</f>
        <v>0</v>
      </c>
      <c r="AV47" s="575">
        <f>Calculation!CF50*3.068</f>
        <v>0</v>
      </c>
      <c r="AW47" s="582">
        <f>Calculation!BK50*3.068</f>
        <v>0</v>
      </c>
      <c r="AX47" s="524"/>
      <c r="AY47" s="560"/>
      <c r="AZ47" s="559"/>
      <c r="BA47" s="560"/>
      <c r="BB47" s="559"/>
      <c r="BC47" s="560"/>
      <c r="BD47" s="559"/>
      <c r="BE47" s="550"/>
    </row>
    <row r="48" spans="1:57" ht="13.5" thickBot="1">
      <c r="A48" s="513">
        <v>40580</v>
      </c>
      <c r="B48" s="498">
        <f t="shared" si="13"/>
        <v>71.316700000009007</v>
      </c>
      <c r="C48" s="498">
        <f>Calculation!AA51</f>
        <v>0</v>
      </c>
      <c r="D48" s="498">
        <f>Calculation!Y51</f>
        <v>0</v>
      </c>
      <c r="E48" s="498">
        <f>Calculation!U51</f>
        <v>44.863</v>
      </c>
      <c r="F48" s="498">
        <f>Calculation!V51</f>
        <v>26.453700000009004</v>
      </c>
      <c r="G48" s="498">
        <f>Calculation!W51</f>
        <v>71.765329999999096</v>
      </c>
      <c r="H48" s="500">
        <f>Sheet1!H51</f>
        <v>16.3</v>
      </c>
      <c r="I48" s="501">
        <f>Sheet1!CW51</f>
        <v>4164.6875</v>
      </c>
      <c r="J48" s="501">
        <f>Sheet1!CX51</f>
        <v>3188.125</v>
      </c>
      <c r="K48" s="501">
        <f>Sheet1!CV51</f>
        <v>3088.8235294117649</v>
      </c>
      <c r="L48" s="501">
        <f>Calculation!F51</f>
        <v>250</v>
      </c>
      <c r="M48" s="501">
        <f>Calculation!E51</f>
        <v>250</v>
      </c>
      <c r="N48" s="501">
        <f>Calculation!D51</f>
        <v>300</v>
      </c>
      <c r="O48" s="500">
        <f>Sheet1!CY51</f>
        <v>1079.8699999999999</v>
      </c>
      <c r="P48" s="514" t="e">
        <f>Calculation!ET51</f>
        <v>#N/A</v>
      </c>
      <c r="Q48" s="498">
        <f>Calculation!DF51</f>
        <v>2403.8000000035336</v>
      </c>
      <c r="R48" s="500">
        <f t="shared" si="1"/>
        <v>1183.8000000035336</v>
      </c>
      <c r="S48" s="498">
        <f t="shared" si="14"/>
        <v>-731.36000000129161</v>
      </c>
      <c r="T48" s="498">
        <f ca="1">IF(A48&gt;$A$1,#N/A,VLOOKUP(A48,Calculation!$B$8:$IV$881,30,FALSE))</f>
        <v>0</v>
      </c>
      <c r="U48" s="498">
        <f t="shared" si="8"/>
        <v>0</v>
      </c>
      <c r="V48" s="498">
        <f>Calculation!AP51</f>
        <v>0</v>
      </c>
      <c r="W48" s="498">
        <f t="shared" si="15"/>
        <v>0</v>
      </c>
      <c r="X48" s="498">
        <v>0</v>
      </c>
      <c r="Y48" s="744">
        <f t="shared" si="10"/>
        <v>0</v>
      </c>
      <c r="Z48" s="748">
        <f t="shared" si="11"/>
        <v>0</v>
      </c>
      <c r="AA48" s="498">
        <f t="shared" ca="1" si="16"/>
        <v>2403.8000000035336</v>
      </c>
      <c r="AB48" s="501">
        <f t="shared" ca="1" si="17"/>
        <v>1183.8000000035336</v>
      </c>
      <c r="AC48" s="498" t="e">
        <f ca="1">IF(A48&gt;$A$1,#N/A,VLOOKUP(A48,Calculation!$B$8:$IV$881,155,FALSE))</f>
        <v>#N/A</v>
      </c>
      <c r="AD48" s="498" t="e">
        <f t="shared" ca="1" si="18"/>
        <v>#N/A</v>
      </c>
      <c r="AE48" s="498"/>
      <c r="AF48" s="501">
        <f>Calculation!G51</f>
        <v>2720.0086025326464</v>
      </c>
      <c r="AG48" s="498" t="str">
        <f t="shared" si="19"/>
        <v>Yes</v>
      </c>
      <c r="AH48" s="498" t="str">
        <f t="shared" si="20"/>
        <v>Yes</v>
      </c>
      <c r="AK48" s="738">
        <v>1493.4000000020324</v>
      </c>
      <c r="AL48" s="738">
        <v>1913.680000002779</v>
      </c>
      <c r="AM48" s="740">
        <v>1770.2200000025521</v>
      </c>
      <c r="AR48" s="549"/>
      <c r="AS48" s="525"/>
      <c r="AT48" s="581">
        <f>Calculation!AR51*3.068</f>
        <v>0</v>
      </c>
      <c r="AU48" s="575">
        <f ca="1">Calculation!DA51</f>
        <v>0</v>
      </c>
      <c r="AV48" s="575">
        <f>Calculation!CF51*3.068</f>
        <v>0</v>
      </c>
      <c r="AW48" s="582">
        <f>Calculation!BK51*3.068</f>
        <v>0</v>
      </c>
      <c r="AX48" s="524"/>
      <c r="AY48" s="560"/>
      <c r="AZ48" s="559"/>
      <c r="BA48" s="560"/>
      <c r="BB48" s="559"/>
      <c r="BC48" s="560"/>
      <c r="BD48" s="559"/>
      <c r="BE48" s="550"/>
    </row>
    <row r="49" spans="1:57" ht="13.5" thickBot="1">
      <c r="A49" s="513">
        <v>40581</v>
      </c>
      <c r="B49" s="498">
        <f t="shared" si="13"/>
        <v>70.187390000015313</v>
      </c>
      <c r="C49" s="498">
        <f>Calculation!AA52</f>
        <v>0</v>
      </c>
      <c r="D49" s="498">
        <f>Calculation!Y52</f>
        <v>0</v>
      </c>
      <c r="E49" s="498">
        <f>Calculation!U52</f>
        <v>43.888390000015306</v>
      </c>
      <c r="F49" s="498">
        <f>Calculation!V52</f>
        <v>26.298999999999999</v>
      </c>
      <c r="G49" s="498">
        <f>Calculation!W52</f>
        <v>72.244900000001124</v>
      </c>
      <c r="H49" s="500">
        <f>Sheet1!H52</f>
        <v>30</v>
      </c>
      <c r="I49" s="501">
        <f>Sheet1!CW52</f>
        <v>4287.083333333333</v>
      </c>
      <c r="J49" s="501">
        <f>Sheet1!CX52</f>
        <v>3376.5625</v>
      </c>
      <c r="K49" s="501">
        <f>Sheet1!CV52</f>
        <v>3177.6470588235293</v>
      </c>
      <c r="L49" s="501">
        <f>Calculation!F52</f>
        <v>250</v>
      </c>
      <c r="M49" s="501">
        <f>Calculation!E52</f>
        <v>250</v>
      </c>
      <c r="N49" s="501">
        <f>Calculation!D52</f>
        <v>300</v>
      </c>
      <c r="O49" s="500">
        <f>Sheet1!CY52</f>
        <v>1079.32</v>
      </c>
      <c r="P49" s="514" t="e">
        <f>Calculation!ET52</f>
        <v>#N/A</v>
      </c>
      <c r="Q49" s="498">
        <f>Calculation!DF52</f>
        <v>2326.8000000034699</v>
      </c>
      <c r="R49" s="500">
        <f t="shared" si="1"/>
        <v>1106.8000000034699</v>
      </c>
      <c r="S49" s="498">
        <f t="shared" si="14"/>
        <v>-77.000000000063665</v>
      </c>
      <c r="T49" s="498">
        <f ca="1">IF(A49&gt;$A$1,#N/A,VLOOKUP(A49,Calculation!$B$8:$IV$881,30,FALSE))</f>
        <v>0</v>
      </c>
      <c r="U49" s="498">
        <f t="shared" si="8"/>
        <v>0</v>
      </c>
      <c r="V49" s="498">
        <f>Calculation!AP52</f>
        <v>0</v>
      </c>
      <c r="W49" s="498">
        <f t="shared" si="15"/>
        <v>0</v>
      </c>
      <c r="X49" s="498">
        <v>0</v>
      </c>
      <c r="Y49" s="744">
        <f t="shared" si="10"/>
        <v>0</v>
      </c>
      <c r="Z49" s="748">
        <f t="shared" si="11"/>
        <v>0</v>
      </c>
      <c r="AA49" s="498">
        <f t="shared" ca="1" si="16"/>
        <v>2326.8000000034699</v>
      </c>
      <c r="AB49" s="501">
        <f t="shared" ca="1" si="17"/>
        <v>1106.8000000034699</v>
      </c>
      <c r="AC49" s="498" t="e">
        <f ca="1">IF(A49&gt;$A$1,#N/A,VLOOKUP(A49,Calculation!$B$8:$IV$881,155,FALSE))</f>
        <v>#N/A</v>
      </c>
      <c r="AD49" s="498" t="e">
        <f t="shared" ca="1" si="18"/>
        <v>#N/A</v>
      </c>
      <c r="AE49" s="498"/>
      <c r="AF49" s="501">
        <f>Calculation!G52</f>
        <v>3138.8170033519896</v>
      </c>
      <c r="AG49" s="498" t="str">
        <f t="shared" si="19"/>
        <v>Yes</v>
      </c>
      <c r="AH49" s="498" t="str">
        <f t="shared" si="20"/>
        <v>Yes</v>
      </c>
      <c r="AK49" s="738">
        <v>1356.9800000018558</v>
      </c>
      <c r="AL49" s="738">
        <v>1913.680000002779</v>
      </c>
      <c r="AM49" s="740">
        <v>1794.6200000025799</v>
      </c>
      <c r="AR49" s="549"/>
      <c r="AS49" s="525"/>
      <c r="AT49" s="581">
        <f>Calculation!AR52*3.068</f>
        <v>0</v>
      </c>
      <c r="AU49" s="575">
        <f ca="1">Calculation!DA52</f>
        <v>0</v>
      </c>
      <c r="AV49" s="575">
        <f>Calculation!CF52*3.068</f>
        <v>0</v>
      </c>
      <c r="AW49" s="582">
        <f>Calculation!BK52*3.068</f>
        <v>0</v>
      </c>
      <c r="AX49" s="524"/>
      <c r="AY49" s="560"/>
      <c r="AZ49" s="559"/>
      <c r="BA49" s="560"/>
      <c r="BB49" s="559"/>
      <c r="BC49" s="560"/>
      <c r="BD49" s="559"/>
      <c r="BE49" s="550"/>
    </row>
    <row r="50" spans="1:57" ht="13.5" thickBot="1">
      <c r="A50" s="513">
        <v>40582</v>
      </c>
      <c r="B50" s="498">
        <f t="shared" si="13"/>
        <v>72.910110000000003</v>
      </c>
      <c r="C50" s="498">
        <f>Calculation!AA53</f>
        <v>0</v>
      </c>
      <c r="D50" s="498">
        <f>Calculation!Y53</f>
        <v>0</v>
      </c>
      <c r="E50" s="498">
        <f>Calculation!U53</f>
        <v>46.30171</v>
      </c>
      <c r="F50" s="498">
        <f>Calculation!V53</f>
        <v>26.608399999999996</v>
      </c>
      <c r="G50" s="498">
        <f>Calculation!W53</f>
        <v>70.156449999999992</v>
      </c>
      <c r="H50" s="500">
        <f>Sheet1!H53</f>
        <v>57</v>
      </c>
      <c r="I50" s="501">
        <f>Sheet1!CW53</f>
        <v>4160.625</v>
      </c>
      <c r="J50" s="501">
        <f>Sheet1!CX53</f>
        <v>2926.4583333333335</v>
      </c>
      <c r="K50" s="501">
        <f>Sheet1!CV53</f>
        <v>2935.294117647059</v>
      </c>
      <c r="L50" s="501">
        <f>Calculation!F53</f>
        <v>250</v>
      </c>
      <c r="M50" s="501">
        <f>Calculation!E53</f>
        <v>250</v>
      </c>
      <c r="N50" s="501">
        <f>Calculation!D53</f>
        <v>300</v>
      </c>
      <c r="O50" s="500">
        <f>Sheet1!CY53</f>
        <v>1078.2</v>
      </c>
      <c r="P50" s="514" t="e">
        <f>Calculation!ET53</f>
        <v>#N/A</v>
      </c>
      <c r="Q50" s="498">
        <f>Calculation!DF53</f>
        <v>2174.0000000032232</v>
      </c>
      <c r="R50" s="500">
        <f t="shared" si="1"/>
        <v>954.00000000322325</v>
      </c>
      <c r="S50" s="498">
        <f t="shared" si="14"/>
        <v>-152.80000000024665</v>
      </c>
      <c r="T50" s="498">
        <f ca="1">IF(A50&gt;$A$1,#N/A,VLOOKUP(A50,Calculation!$B$8:$IV$881,30,FALSE))</f>
        <v>0</v>
      </c>
      <c r="U50" s="498">
        <f t="shared" si="8"/>
        <v>0</v>
      </c>
      <c r="V50" s="498">
        <f>Calculation!AP53</f>
        <v>0</v>
      </c>
      <c r="W50" s="498">
        <f t="shared" si="15"/>
        <v>0</v>
      </c>
      <c r="X50" s="498">
        <v>0</v>
      </c>
      <c r="Y50" s="744">
        <f t="shared" si="10"/>
        <v>0</v>
      </c>
      <c r="Z50" s="748">
        <f t="shared" si="11"/>
        <v>0</v>
      </c>
      <c r="AA50" s="498">
        <f t="shared" ca="1" si="16"/>
        <v>2174.0000000032232</v>
      </c>
      <c r="AB50" s="501">
        <f t="shared" ca="1" si="17"/>
        <v>954.00000000322325</v>
      </c>
      <c r="AC50" s="498" t="e">
        <f ca="1">IF(A50&gt;$A$1,#N/A,VLOOKUP(A50,Calculation!$B$8:$IV$881,155,FALSE))</f>
        <v>#N/A</v>
      </c>
      <c r="AD50" s="498" t="e">
        <f t="shared" ca="1" si="18"/>
        <v>#N/A</v>
      </c>
      <c r="AE50" s="498"/>
      <c r="AF50" s="501">
        <f>Calculation!G53</f>
        <v>2858.2391504255529</v>
      </c>
      <c r="AG50" s="498" t="str">
        <f t="shared" si="19"/>
        <v>Yes</v>
      </c>
      <c r="AH50" s="498" t="str">
        <f t="shared" si="20"/>
        <v>Yes</v>
      </c>
      <c r="AK50" s="738">
        <v>1643.020000002281</v>
      </c>
      <c r="AL50" s="738">
        <v>1993.0600000028362</v>
      </c>
      <c r="AM50" s="740">
        <v>1770.2200000025521</v>
      </c>
      <c r="AR50" s="549"/>
      <c r="AS50" s="525"/>
      <c r="AT50" s="581">
        <f>Calculation!AR53*3.068</f>
        <v>0</v>
      </c>
      <c r="AU50" s="575">
        <f ca="1">Calculation!DA53</f>
        <v>0</v>
      </c>
      <c r="AV50" s="575">
        <f>Calculation!CF53*3.068</f>
        <v>0</v>
      </c>
      <c r="AW50" s="582">
        <f>Calculation!BK53*3.068</f>
        <v>0</v>
      </c>
      <c r="AX50" s="524"/>
      <c r="AY50" s="560"/>
      <c r="AZ50" s="559"/>
      <c r="BA50" s="560"/>
      <c r="BB50" s="559"/>
      <c r="BC50" s="560"/>
      <c r="BD50" s="559"/>
      <c r="BE50" s="550"/>
    </row>
    <row r="51" spans="1:57" ht="13.5" thickBot="1">
      <c r="A51" s="513">
        <v>40583</v>
      </c>
      <c r="B51" s="498">
        <f t="shared" si="13"/>
        <v>71.084650000006746</v>
      </c>
      <c r="C51" s="498">
        <f>Calculation!AA54</f>
        <v>0</v>
      </c>
      <c r="D51" s="498">
        <f>Calculation!Y54</f>
        <v>0</v>
      </c>
      <c r="E51" s="498">
        <f>Calculation!U54</f>
        <v>44.801120000009902</v>
      </c>
      <c r="F51" s="498">
        <f>Calculation!V54</f>
        <v>26.283529999996848</v>
      </c>
      <c r="G51" s="498">
        <f>Calculation!W54</f>
        <v>71.254819999999214</v>
      </c>
      <c r="H51" s="500">
        <f>Sheet1!H54</f>
        <v>0</v>
      </c>
      <c r="I51" s="501">
        <f>Sheet1!CW54</f>
        <v>3290.9375</v>
      </c>
      <c r="J51" s="501">
        <f>Sheet1!CX54</f>
        <v>2354.0625</v>
      </c>
      <c r="K51" s="501">
        <f>Sheet1!CV54</f>
        <v>2257.0588235294117</v>
      </c>
      <c r="L51" s="501">
        <f>Calculation!F54</f>
        <v>250</v>
      </c>
      <c r="M51" s="501">
        <f>Calculation!E54</f>
        <v>250</v>
      </c>
      <c r="N51" s="501">
        <f>Calculation!D54</f>
        <v>300</v>
      </c>
      <c r="O51" s="500">
        <f>Sheet1!CY54</f>
        <v>1076.71</v>
      </c>
      <c r="P51" s="514" t="e">
        <f>Calculation!ET54</f>
        <v>#N/A</v>
      </c>
      <c r="Q51" s="498">
        <f>Calculation!DF54</f>
        <v>1980.4600000028363</v>
      </c>
      <c r="R51" s="500">
        <f t="shared" si="1"/>
        <v>760.4600000028363</v>
      </c>
      <c r="S51" s="498">
        <f t="shared" si="14"/>
        <v>-193.54000000038695</v>
      </c>
      <c r="T51" s="498">
        <f ca="1">IF(A51&gt;$A$1,#N/A,VLOOKUP(A51,Calculation!$B$8:$IV$881,30,FALSE))</f>
        <v>0</v>
      </c>
      <c r="U51" s="498">
        <f t="shared" si="8"/>
        <v>0</v>
      </c>
      <c r="V51" s="498">
        <f>Calculation!AP54</f>
        <v>0</v>
      </c>
      <c r="W51" s="498">
        <f t="shared" si="15"/>
        <v>0</v>
      </c>
      <c r="X51" s="498">
        <v>0</v>
      </c>
      <c r="Y51" s="744">
        <f t="shared" si="10"/>
        <v>0</v>
      </c>
      <c r="Z51" s="748">
        <f t="shared" si="11"/>
        <v>0</v>
      </c>
      <c r="AA51" s="498">
        <f t="shared" ca="1" si="16"/>
        <v>1980.4600000028363</v>
      </c>
      <c r="AB51" s="501">
        <f t="shared" ca="1" si="17"/>
        <v>760.4600000028363</v>
      </c>
      <c r="AC51" s="498" t="e">
        <f ca="1">IF(A51&gt;$A$1,#N/A,VLOOKUP(A51,Calculation!$B$8:$IV$881,155,FALSE))</f>
        <v>#N/A</v>
      </c>
      <c r="AD51" s="498" t="e">
        <f t="shared" ca="1" si="18"/>
        <v>#N/A</v>
      </c>
      <c r="AE51" s="498"/>
      <c r="AF51" s="501">
        <f>Calculation!G54</f>
        <v>2159.4592269583645</v>
      </c>
      <c r="AG51" s="498" t="str">
        <f t="shared" si="19"/>
        <v>Yes</v>
      </c>
      <c r="AH51" s="498" t="str">
        <f t="shared" si="20"/>
        <v>Yes</v>
      </c>
      <c r="AK51" s="738">
        <v>2287.6000000034378</v>
      </c>
      <c r="AL51" s="738">
        <v>2252.3000000032844</v>
      </c>
      <c r="AM51" s="740">
        <v>1737.1400000024414</v>
      </c>
      <c r="AR51" s="549"/>
      <c r="AS51" s="525"/>
      <c r="AT51" s="581">
        <f>Calculation!AR54*3.068</f>
        <v>0</v>
      </c>
      <c r="AU51" s="575">
        <f ca="1">Calculation!DA54</f>
        <v>0</v>
      </c>
      <c r="AV51" s="575">
        <f>Calculation!CF54*3.068</f>
        <v>0</v>
      </c>
      <c r="AW51" s="582">
        <f>Calculation!BK54*3.068</f>
        <v>0</v>
      </c>
      <c r="AX51" s="524"/>
      <c r="AY51" s="560"/>
      <c r="AZ51" s="559"/>
      <c r="BA51" s="560"/>
      <c r="BB51" s="559"/>
      <c r="BC51" s="560"/>
      <c r="BD51" s="559"/>
      <c r="BE51" s="550"/>
    </row>
    <row r="52" spans="1:57" ht="13.5" thickBot="1">
      <c r="A52" s="513">
        <v>40584</v>
      </c>
      <c r="B52" s="498">
        <f t="shared" si="13"/>
        <v>71.440459999989201</v>
      </c>
      <c r="C52" s="498">
        <f>Calculation!AA55</f>
        <v>0</v>
      </c>
      <c r="D52" s="498">
        <f>Calculation!Y55</f>
        <v>0</v>
      </c>
      <c r="E52" s="498">
        <f>Calculation!U55</f>
        <v>44.971289999988294</v>
      </c>
      <c r="F52" s="498">
        <f>Calculation!V55</f>
        <v>26.469170000000901</v>
      </c>
      <c r="G52" s="498">
        <f>Calculation!W55</f>
        <v>71.301230000000217</v>
      </c>
      <c r="H52" s="500">
        <f>Sheet1!H55</f>
        <v>110</v>
      </c>
      <c r="I52" s="501">
        <f>Sheet1!CW55</f>
        <v>2847.1875</v>
      </c>
      <c r="J52" s="501">
        <f>Sheet1!CX55</f>
        <v>1903.0208333333333</v>
      </c>
      <c r="K52" s="501">
        <f>Sheet1!CV55</f>
        <v>1820</v>
      </c>
      <c r="L52" s="501">
        <f>Calculation!F55</f>
        <v>250</v>
      </c>
      <c r="M52" s="501">
        <f>Calculation!E55</f>
        <v>250</v>
      </c>
      <c r="N52" s="501">
        <f>Calculation!D55</f>
        <v>300</v>
      </c>
      <c r="O52" s="500">
        <f>Sheet1!CY55</f>
        <v>1076.6400000000001</v>
      </c>
      <c r="P52" s="514" t="e">
        <f>Calculation!ET55</f>
        <v>#N/A</v>
      </c>
      <c r="Q52" s="498">
        <f>Calculation!DF55</f>
        <v>1971.6400000028361</v>
      </c>
      <c r="R52" s="500">
        <f t="shared" si="1"/>
        <v>751.64000000283613</v>
      </c>
      <c r="S52" s="498">
        <f t="shared" si="14"/>
        <v>-8.8200000000001637</v>
      </c>
      <c r="T52" s="498">
        <f ca="1">IF(A52&gt;$A$1,#N/A,VLOOKUP(A52,Calculation!$B$8:$IV$881,30,FALSE))</f>
        <v>0</v>
      </c>
      <c r="U52" s="498">
        <f t="shared" si="8"/>
        <v>0</v>
      </c>
      <c r="V52" s="498">
        <f>Calculation!AP55</f>
        <v>0</v>
      </c>
      <c r="W52" s="498">
        <f t="shared" si="15"/>
        <v>0</v>
      </c>
      <c r="X52" s="498">
        <v>0</v>
      </c>
      <c r="Y52" s="744">
        <f t="shared" si="10"/>
        <v>0</v>
      </c>
      <c r="Z52" s="748">
        <f t="shared" si="11"/>
        <v>0</v>
      </c>
      <c r="AA52" s="498">
        <f t="shared" ca="1" si="16"/>
        <v>1971.6400000028361</v>
      </c>
      <c r="AB52" s="501">
        <f t="shared" ca="1" si="17"/>
        <v>751.64000000283613</v>
      </c>
      <c r="AC52" s="498" t="e">
        <f ca="1">IF(A52&gt;$A$1,#N/A,VLOOKUP(A52,Calculation!$B$8:$IV$881,155,FALSE))</f>
        <v>#N/A</v>
      </c>
      <c r="AD52" s="498" t="e">
        <f t="shared" ca="1" si="18"/>
        <v>#N/A</v>
      </c>
      <c r="AE52" s="498"/>
      <c r="AF52" s="501">
        <f>Calculation!G55</f>
        <v>1815.5521936459909</v>
      </c>
      <c r="AG52" s="498" t="str">
        <f t="shared" si="19"/>
        <v>Yes</v>
      </c>
      <c r="AH52" s="498" t="str">
        <f t="shared" si="20"/>
        <v>Yes</v>
      </c>
      <c r="AK52" s="738">
        <v>2964.9600000045266</v>
      </c>
      <c r="AL52" s="738">
        <v>2196.9500000032231</v>
      </c>
      <c r="AM52" s="740">
        <v>1722.9800000024147</v>
      </c>
      <c r="AR52" s="549"/>
      <c r="AS52" s="525"/>
      <c r="AT52" s="581">
        <f>Calculation!AR55*3.068</f>
        <v>0</v>
      </c>
      <c r="AU52" s="575">
        <f ca="1">Calculation!DA55</f>
        <v>0</v>
      </c>
      <c r="AV52" s="575">
        <f>Calculation!CF55*3.068</f>
        <v>0</v>
      </c>
      <c r="AW52" s="582">
        <f>Calculation!BK55*3.068</f>
        <v>0</v>
      </c>
      <c r="AX52" s="524"/>
      <c r="AY52" s="560"/>
      <c r="AZ52" s="559"/>
      <c r="BA52" s="560"/>
      <c r="BB52" s="559"/>
      <c r="BC52" s="560"/>
      <c r="BD52" s="559"/>
      <c r="BE52" s="550"/>
    </row>
    <row r="53" spans="1:57" ht="13.5" thickBot="1">
      <c r="A53" s="513">
        <v>40585</v>
      </c>
      <c r="B53" s="498">
        <f t="shared" si="13"/>
        <v>71.270290000010803</v>
      </c>
      <c r="C53" s="498">
        <f>Calculation!AA56</f>
        <v>0</v>
      </c>
      <c r="D53" s="498">
        <f>Calculation!Y56</f>
        <v>0</v>
      </c>
      <c r="E53" s="498">
        <f>Calculation!U56</f>
        <v>44.971290000010804</v>
      </c>
      <c r="F53" s="498">
        <f>Calculation!V56</f>
        <v>26.298999999999999</v>
      </c>
      <c r="G53" s="498">
        <f>Calculation!W56</f>
        <v>70.976359999998763</v>
      </c>
      <c r="H53" s="500">
        <f>Sheet1!H56</f>
        <v>8.8000000000000007</v>
      </c>
      <c r="I53" s="501">
        <f>Sheet1!CW56</f>
        <v>2450.9375</v>
      </c>
      <c r="J53" s="501">
        <f>Sheet1!CX56</f>
        <v>1615.9375</v>
      </c>
      <c r="K53" s="501">
        <f>Sheet1!CV56</f>
        <v>1538.2352941176471</v>
      </c>
      <c r="L53" s="501">
        <f>Calculation!F56</f>
        <v>250</v>
      </c>
      <c r="M53" s="501">
        <f>Calculation!E56</f>
        <v>250</v>
      </c>
      <c r="N53" s="501">
        <f>Calculation!D56</f>
        <v>300</v>
      </c>
      <c r="O53" s="500">
        <f>Sheet1!CY56</f>
        <v>1076.78</v>
      </c>
      <c r="P53" s="514" t="e">
        <f>Calculation!ET56</f>
        <v>#N/A</v>
      </c>
      <c r="Q53" s="498">
        <f>Calculation!DF56</f>
        <v>1989.2800000028362</v>
      </c>
      <c r="R53" s="500">
        <f t="shared" si="1"/>
        <v>769.28000000283623</v>
      </c>
      <c r="S53" s="498">
        <f t="shared" si="14"/>
        <v>17.6400000000001</v>
      </c>
      <c r="T53" s="498">
        <f ca="1">IF(A53&gt;$A$1,#N/A,VLOOKUP(A53,Calculation!$B$8:$IV$881,30,FALSE))</f>
        <v>0</v>
      </c>
      <c r="U53" s="498">
        <f t="shared" si="8"/>
        <v>0</v>
      </c>
      <c r="V53" s="498">
        <f>Calculation!AP56</f>
        <v>0</v>
      </c>
      <c r="W53" s="498">
        <f t="shared" si="15"/>
        <v>0</v>
      </c>
      <c r="X53" s="498">
        <v>0</v>
      </c>
      <c r="Y53" s="744">
        <f t="shared" si="10"/>
        <v>0</v>
      </c>
      <c r="Z53" s="748">
        <f t="shared" si="11"/>
        <v>0</v>
      </c>
      <c r="AA53" s="498">
        <f t="shared" ca="1" si="16"/>
        <v>1989.2800000028362</v>
      </c>
      <c r="AB53" s="501">
        <f t="shared" ca="1" si="17"/>
        <v>769.28000000283623</v>
      </c>
      <c r="AC53" s="498" t="e">
        <f ca="1">IF(A53&gt;$A$1,#N/A,VLOOKUP(A53,Calculation!$B$8:$IV$881,155,FALSE))</f>
        <v>#N/A</v>
      </c>
      <c r="AD53" s="498" t="e">
        <f t="shared" ca="1" si="18"/>
        <v>#N/A</v>
      </c>
      <c r="AE53" s="498"/>
      <c r="AF53" s="501">
        <f>Calculation!G56</f>
        <v>1547.1309068256653</v>
      </c>
      <c r="AG53" s="498" t="str">
        <f t="shared" si="19"/>
        <v>Yes</v>
      </c>
      <c r="AH53" s="498" t="str">
        <f t="shared" si="20"/>
        <v>Yes</v>
      </c>
      <c r="AK53" s="738">
        <v>2500.6500000037067</v>
      </c>
      <c r="AL53" s="738">
        <v>2027.4000000029559</v>
      </c>
      <c r="AM53" s="740">
        <v>1721.8000000024147</v>
      </c>
      <c r="AR53" s="549"/>
      <c r="AS53" s="525"/>
      <c r="AT53" s="581">
        <f>Calculation!AR56*3.068</f>
        <v>0</v>
      </c>
      <c r="AU53" s="575">
        <f ca="1">Calculation!DA56</f>
        <v>0</v>
      </c>
      <c r="AV53" s="575">
        <f>Calculation!CF56*3.068</f>
        <v>0</v>
      </c>
      <c r="AW53" s="582">
        <f>Calculation!BK56*3.068</f>
        <v>0</v>
      </c>
      <c r="AX53" s="524"/>
      <c r="AY53" s="560"/>
      <c r="AZ53" s="559"/>
      <c r="BA53" s="560"/>
      <c r="BB53" s="559"/>
      <c r="BC53" s="560"/>
      <c r="BD53" s="559"/>
      <c r="BE53" s="550"/>
    </row>
    <row r="54" spans="1:57" ht="13.5" thickBot="1">
      <c r="A54" s="513">
        <v>40586</v>
      </c>
      <c r="B54" s="498">
        <f t="shared" si="13"/>
        <v>72.090199999997751</v>
      </c>
      <c r="C54" s="498">
        <f>Calculation!AA57</f>
        <v>0</v>
      </c>
      <c r="D54" s="498">
        <f>Calculation!Y57</f>
        <v>0</v>
      </c>
      <c r="E54" s="498">
        <f>Calculation!U57</f>
        <v>45.636499999999998</v>
      </c>
      <c r="F54" s="498">
        <f>Calculation!V57</f>
        <v>26.453699999997749</v>
      </c>
      <c r="G54" s="498">
        <f>Calculation!W57</f>
        <v>67.340910000001017</v>
      </c>
      <c r="H54" s="500">
        <f>Sheet1!H57</f>
        <v>179</v>
      </c>
      <c r="I54" s="501">
        <f>Sheet1!CW57</f>
        <v>2318.6458333333335</v>
      </c>
      <c r="J54" s="501">
        <f>Sheet1!CX57</f>
        <v>1497.3958333333333</v>
      </c>
      <c r="K54" s="501">
        <f>Sheet1!CV57</f>
        <v>1438.8235294117646</v>
      </c>
      <c r="L54" s="501">
        <f>Calculation!F57</f>
        <v>250</v>
      </c>
      <c r="M54" s="501">
        <f>Calculation!E57</f>
        <v>250</v>
      </c>
      <c r="N54" s="501">
        <f>Calculation!D57</f>
        <v>300</v>
      </c>
      <c r="O54" s="500">
        <f>Sheet1!CY57</f>
        <v>1076.95</v>
      </c>
      <c r="P54" s="514" t="e">
        <f>Calculation!ET57</f>
        <v>#N/A</v>
      </c>
      <c r="Q54" s="498">
        <f>Calculation!DF57</f>
        <v>2010.700000002865</v>
      </c>
      <c r="R54" s="500">
        <f t="shared" si="1"/>
        <v>790.70000000286495</v>
      </c>
      <c r="S54" s="498">
        <f t="shared" si="14"/>
        <v>21.420000000028722</v>
      </c>
      <c r="T54" s="498">
        <f ca="1">IF(A54&gt;$A$1,#N/A,VLOOKUP(A54,Calculation!$B$8:$IV$881,30,FALSE))</f>
        <v>0</v>
      </c>
      <c r="U54" s="498">
        <f t="shared" si="8"/>
        <v>0</v>
      </c>
      <c r="V54" s="498">
        <f>Calculation!AP57</f>
        <v>0</v>
      </c>
      <c r="W54" s="498">
        <f t="shared" si="15"/>
        <v>0</v>
      </c>
      <c r="X54" s="498">
        <v>0</v>
      </c>
      <c r="Y54" s="744">
        <f t="shared" si="10"/>
        <v>0</v>
      </c>
      <c r="Z54" s="748">
        <f t="shared" si="11"/>
        <v>0</v>
      </c>
      <c r="AA54" s="498">
        <f t="shared" ca="1" si="16"/>
        <v>2010.700000002865</v>
      </c>
      <c r="AB54" s="501">
        <f t="shared" ca="1" si="17"/>
        <v>790.70000000286495</v>
      </c>
      <c r="AC54" s="498" t="e">
        <f ca="1">IF(A54&gt;$A$1,#N/A,VLOOKUP(A54,Calculation!$B$8:$IV$881,155,FALSE))</f>
        <v>#N/A</v>
      </c>
      <c r="AD54" s="498" t="e">
        <f t="shared" ca="1" si="18"/>
        <v>#N/A</v>
      </c>
      <c r="AE54" s="498"/>
      <c r="AF54" s="501">
        <f>Calculation!G57</f>
        <v>1449.6253448429441</v>
      </c>
      <c r="AG54" s="498" t="str">
        <f t="shared" si="19"/>
        <v>Yes</v>
      </c>
      <c r="AH54" s="498" t="str">
        <f t="shared" si="20"/>
        <v>Yes</v>
      </c>
      <c r="AK54" s="738">
        <v>2046.9000000029855</v>
      </c>
      <c r="AL54" s="738">
        <v>1803.1600000025796</v>
      </c>
      <c r="AM54" s="740">
        <v>1776.320000002552</v>
      </c>
      <c r="AR54" s="549"/>
      <c r="AS54" s="525"/>
      <c r="AT54" s="581">
        <f>Calculation!AR57*3.068</f>
        <v>0</v>
      </c>
      <c r="AU54" s="575">
        <f ca="1">Calculation!DA57</f>
        <v>0</v>
      </c>
      <c r="AV54" s="575">
        <f>Calculation!CF57*3.068</f>
        <v>0</v>
      </c>
      <c r="AW54" s="582">
        <f>Calculation!BK57*3.068</f>
        <v>0</v>
      </c>
      <c r="AX54" s="524"/>
      <c r="AY54" s="560"/>
      <c r="AZ54" s="559"/>
      <c r="BA54" s="560"/>
      <c r="BB54" s="559"/>
      <c r="BC54" s="560"/>
      <c r="BD54" s="559"/>
      <c r="BE54" s="550"/>
    </row>
    <row r="55" spans="1:57" ht="13.5" thickBot="1">
      <c r="A55" s="513">
        <v>40587</v>
      </c>
      <c r="B55" s="498">
        <f t="shared" si="13"/>
        <v>73.173099999981986</v>
      </c>
      <c r="C55" s="498">
        <f>Calculation!AA58</f>
        <v>0</v>
      </c>
      <c r="D55" s="498">
        <f>Calculation!Y58</f>
        <v>0</v>
      </c>
      <c r="E55" s="498">
        <f>Calculation!U58</f>
        <v>46.874099999981986</v>
      </c>
      <c r="F55" s="498">
        <f>Calculation!V58</f>
        <v>26.298999999999999</v>
      </c>
      <c r="G55" s="498">
        <f>Calculation!W58</f>
        <v>71.981910000001008</v>
      </c>
      <c r="H55" s="500">
        <f>Sheet1!H58</f>
        <v>120</v>
      </c>
      <c r="I55" s="501">
        <f>Sheet1!CW58</f>
        <v>2353.3333333333335</v>
      </c>
      <c r="J55" s="501">
        <f>Sheet1!CX58</f>
        <v>1458.0208333333333</v>
      </c>
      <c r="K55" s="501">
        <f>Sheet1!CV58</f>
        <v>1359.4117647058824</v>
      </c>
      <c r="L55" s="501">
        <f>Calculation!F58</f>
        <v>250</v>
      </c>
      <c r="M55" s="501">
        <f>Calculation!E58</f>
        <v>250</v>
      </c>
      <c r="N55" s="501">
        <f>Calculation!D58</f>
        <v>300</v>
      </c>
      <c r="O55" s="500">
        <f>Sheet1!CY58</f>
        <v>1078.06</v>
      </c>
      <c r="P55" s="514" t="e">
        <f>Calculation!ET58</f>
        <v>#N/A</v>
      </c>
      <c r="Q55" s="498">
        <f>Calculation!DF58</f>
        <v>2155.1000000031922</v>
      </c>
      <c r="R55" s="500">
        <f t="shared" si="1"/>
        <v>935.10000000319224</v>
      </c>
      <c r="S55" s="498">
        <f t="shared" si="14"/>
        <v>144.40000000032728</v>
      </c>
      <c r="T55" s="498">
        <f ca="1">IF(A55&gt;$A$1,#N/A,VLOOKUP(A55,Calculation!$B$8:$IV$881,30,FALSE))</f>
        <v>0</v>
      </c>
      <c r="U55" s="498">
        <f t="shared" si="8"/>
        <v>0</v>
      </c>
      <c r="V55" s="498">
        <f>Calculation!AP58</f>
        <v>0</v>
      </c>
      <c r="W55" s="498">
        <f t="shared" si="15"/>
        <v>0</v>
      </c>
      <c r="X55" s="498">
        <v>0</v>
      </c>
      <c r="Y55" s="744">
        <f t="shared" si="10"/>
        <v>0</v>
      </c>
      <c r="Z55" s="748">
        <f t="shared" si="11"/>
        <v>0</v>
      </c>
      <c r="AA55" s="498">
        <f t="shared" ca="1" si="16"/>
        <v>2155.1000000031922</v>
      </c>
      <c r="AB55" s="501">
        <f t="shared" ca="1" si="17"/>
        <v>935.10000000319224</v>
      </c>
      <c r="AC55" s="498" t="e">
        <f ca="1">IF(A55&gt;$A$1,#N/A,VLOOKUP(A55,Calculation!$B$8:$IV$881,155,FALSE))</f>
        <v>#N/A</v>
      </c>
      <c r="AD55" s="498" t="e">
        <f t="shared" ca="1" si="18"/>
        <v>#N/A</v>
      </c>
      <c r="AE55" s="498"/>
      <c r="AF55" s="501">
        <f>Calculation!G58</f>
        <v>1432.230725875992</v>
      </c>
      <c r="AG55" s="498" t="str">
        <f t="shared" si="19"/>
        <v>Yes</v>
      </c>
      <c r="AH55" s="498" t="str">
        <f t="shared" si="20"/>
        <v>Yes</v>
      </c>
      <c r="AK55" s="738">
        <v>2088.500000003015</v>
      </c>
      <c r="AL55" s="738">
        <v>1901.0800000027502</v>
      </c>
      <c r="AM55" s="740">
        <v>1955.2600000028076</v>
      </c>
      <c r="AR55" s="549"/>
      <c r="AS55" s="525"/>
      <c r="AT55" s="581">
        <f>Calculation!AR58*3.068</f>
        <v>0</v>
      </c>
      <c r="AU55" s="575">
        <f ca="1">Calculation!DA58</f>
        <v>0</v>
      </c>
      <c r="AV55" s="575">
        <f>Calculation!CF58*3.068</f>
        <v>0</v>
      </c>
      <c r="AW55" s="582">
        <f>Calculation!BK58*3.068</f>
        <v>0</v>
      </c>
      <c r="AX55" s="524"/>
      <c r="AY55" s="560"/>
      <c r="AZ55" s="559"/>
      <c r="BA55" s="560"/>
      <c r="BB55" s="559"/>
      <c r="BC55" s="560"/>
      <c r="BD55" s="559"/>
      <c r="BE55" s="550"/>
    </row>
    <row r="56" spans="1:57" ht="13.5" thickBot="1">
      <c r="A56" s="513">
        <v>40588</v>
      </c>
      <c r="B56" s="498">
        <f t="shared" si="13"/>
        <v>74.256</v>
      </c>
      <c r="C56" s="498">
        <f>Calculation!AA59</f>
        <v>0</v>
      </c>
      <c r="D56" s="498">
        <f>Calculation!Y59</f>
        <v>0</v>
      </c>
      <c r="E56" s="498">
        <f>Calculation!U59</f>
        <v>47.183499999999995</v>
      </c>
      <c r="F56" s="498">
        <f>Calculation!V59</f>
        <v>27.072499999999998</v>
      </c>
      <c r="G56" s="498">
        <f>Calculation!W59</f>
        <v>34.761089999998987</v>
      </c>
      <c r="H56" s="500">
        <f>Sheet1!H59</f>
        <v>9.24</v>
      </c>
      <c r="I56" s="501">
        <f>Sheet1!CW59</f>
        <v>2305.625</v>
      </c>
      <c r="J56" s="501">
        <f>Sheet1!CX59</f>
        <v>1406.0416666666667</v>
      </c>
      <c r="K56" s="501">
        <f>Sheet1!CV59</f>
        <v>1366.4705882352941</v>
      </c>
      <c r="L56" s="501">
        <f>Calculation!F59</f>
        <v>250</v>
      </c>
      <c r="M56" s="501">
        <f>Calculation!E59</f>
        <v>250</v>
      </c>
      <c r="N56" s="501">
        <f>Calculation!D59</f>
        <v>300</v>
      </c>
      <c r="O56" s="500">
        <f>Sheet1!CY59</f>
        <v>1077.77</v>
      </c>
      <c r="P56" s="514" t="e">
        <f>Calculation!ET59</f>
        <v>#N/A</v>
      </c>
      <c r="Q56" s="498">
        <f>Calculation!DF59</f>
        <v>2117.1000000030444</v>
      </c>
      <c r="R56" s="500">
        <f t="shared" si="1"/>
        <v>897.10000000304444</v>
      </c>
      <c r="S56" s="498">
        <f t="shared" si="14"/>
        <v>-38.000000000147793</v>
      </c>
      <c r="T56" s="498">
        <f ca="1">IF(A56&gt;$A$1,#N/A,VLOOKUP(A56,Calculation!$B$8:$IV$881,30,FALSE))</f>
        <v>0</v>
      </c>
      <c r="U56" s="498">
        <f t="shared" si="8"/>
        <v>0</v>
      </c>
      <c r="V56" s="498">
        <f>Calculation!AP59</f>
        <v>0</v>
      </c>
      <c r="W56" s="498">
        <f t="shared" si="15"/>
        <v>0</v>
      </c>
      <c r="X56" s="498">
        <v>0</v>
      </c>
      <c r="Y56" s="744">
        <f t="shared" si="10"/>
        <v>0</v>
      </c>
      <c r="Z56" s="748">
        <f t="shared" si="11"/>
        <v>0</v>
      </c>
      <c r="AA56" s="498">
        <f t="shared" ca="1" si="16"/>
        <v>2117.1000000030444</v>
      </c>
      <c r="AB56" s="501">
        <f t="shared" ca="1" si="17"/>
        <v>897.10000000304444</v>
      </c>
      <c r="AC56" s="498" t="e">
        <f ca="1">IF(A56&gt;$A$1,#N/A,VLOOKUP(A56,Calculation!$B$8:$IV$881,155,FALSE))</f>
        <v>#N/A</v>
      </c>
      <c r="AD56" s="498" t="e">
        <f t="shared" ca="1" si="18"/>
        <v>#N/A</v>
      </c>
      <c r="AE56" s="498"/>
      <c r="AF56" s="501">
        <f>Calculation!G59</f>
        <v>1347.3077037168132</v>
      </c>
      <c r="AG56" s="498" t="str">
        <f t="shared" si="19"/>
        <v>Yes</v>
      </c>
      <c r="AH56" s="498" t="str">
        <f t="shared" si="20"/>
        <v>Yes</v>
      </c>
      <c r="AK56" s="738">
        <v>2010.700000002865</v>
      </c>
      <c r="AL56" s="738">
        <v>2017.0000000029559</v>
      </c>
      <c r="AM56" s="740">
        <v>2324.0000000034697</v>
      </c>
      <c r="AR56" s="549"/>
      <c r="AS56" s="525"/>
      <c r="AT56" s="581">
        <f>Calculation!AR59*3.068</f>
        <v>0</v>
      </c>
      <c r="AU56" s="575">
        <f ca="1">Calculation!DA59</f>
        <v>0</v>
      </c>
      <c r="AV56" s="575">
        <f>Calculation!CF59*3.068</f>
        <v>0</v>
      </c>
      <c r="AW56" s="582">
        <f>Calculation!BK59*3.068</f>
        <v>0</v>
      </c>
      <c r="AX56" s="524"/>
      <c r="AY56" s="560"/>
      <c r="AZ56" s="559"/>
      <c r="BA56" s="560"/>
      <c r="BB56" s="559"/>
      <c r="BC56" s="560"/>
      <c r="BD56" s="559"/>
      <c r="BE56" s="550"/>
    </row>
    <row r="57" spans="1:57" ht="13.5" thickBot="1">
      <c r="A57" s="513">
        <v>40589</v>
      </c>
      <c r="B57" s="498">
        <f t="shared" si="13"/>
        <v>82.099290000010797</v>
      </c>
      <c r="C57" s="498">
        <f>Calculation!AA60</f>
        <v>0</v>
      </c>
      <c r="D57" s="498">
        <f>Calculation!Y60</f>
        <v>0</v>
      </c>
      <c r="E57" s="498">
        <f>Calculation!U60</f>
        <v>58.739590000001797</v>
      </c>
      <c r="F57" s="498">
        <f>Calculation!V60</f>
        <v>23.359700000009003</v>
      </c>
      <c r="G57" s="498">
        <f>Calculation!W60</f>
        <v>11.7726700000009</v>
      </c>
      <c r="H57" s="500">
        <f>Sheet1!H60</f>
        <v>12.16</v>
      </c>
      <c r="I57" s="501">
        <f>Sheet1!CW60</f>
        <v>2241.7708333333335</v>
      </c>
      <c r="J57" s="501">
        <f>Sheet1!CX60</f>
        <v>1332.1875</v>
      </c>
      <c r="K57" s="501">
        <f>Sheet1!CV60</f>
        <v>1365.2941176470588</v>
      </c>
      <c r="L57" s="501">
        <f>Calculation!F60</f>
        <v>250</v>
      </c>
      <c r="M57" s="501">
        <f>Calculation!E60</f>
        <v>250</v>
      </c>
      <c r="N57" s="501">
        <f>Calculation!D60</f>
        <v>300</v>
      </c>
      <c r="O57" s="500">
        <f>Sheet1!CY60</f>
        <v>1077.69</v>
      </c>
      <c r="P57" s="514" t="e">
        <f>Calculation!ET60</f>
        <v>#N/A</v>
      </c>
      <c r="Q57" s="498">
        <f>Calculation!DF60</f>
        <v>2106.7000000030444</v>
      </c>
      <c r="R57" s="500">
        <f t="shared" si="1"/>
        <v>886.70000000304435</v>
      </c>
      <c r="S57" s="498">
        <f t="shared" si="14"/>
        <v>-10.400000000000091</v>
      </c>
      <c r="T57" s="498">
        <f ca="1">IF(A57&gt;$A$1,#N/A,VLOOKUP(A57,Calculation!$B$8:$IV$881,30,FALSE))</f>
        <v>0</v>
      </c>
      <c r="U57" s="498">
        <f t="shared" si="8"/>
        <v>0</v>
      </c>
      <c r="V57" s="498">
        <f>Calculation!AP60</f>
        <v>0</v>
      </c>
      <c r="W57" s="498">
        <f t="shared" si="15"/>
        <v>0</v>
      </c>
      <c r="X57" s="498">
        <v>0</v>
      </c>
      <c r="Y57" s="744">
        <f t="shared" si="10"/>
        <v>0</v>
      </c>
      <c r="Z57" s="748">
        <f t="shared" si="11"/>
        <v>0</v>
      </c>
      <c r="AA57" s="498">
        <f t="shared" ca="1" si="16"/>
        <v>2106.7000000030444</v>
      </c>
      <c r="AB57" s="501">
        <f t="shared" ca="1" si="17"/>
        <v>886.70000000304435</v>
      </c>
      <c r="AC57" s="498" t="e">
        <f ca="1">IF(A57&gt;$A$1,#N/A,VLOOKUP(A57,Calculation!$B$8:$IV$881,155,FALSE))</f>
        <v>#N/A</v>
      </c>
      <c r="AD57" s="498" t="e">
        <f t="shared" ca="1" si="18"/>
        <v>#N/A</v>
      </c>
      <c r="AE57" s="498"/>
      <c r="AF57" s="501">
        <f>Calculation!G60</f>
        <v>1360.0495387262317</v>
      </c>
      <c r="AG57" s="498" t="str">
        <f t="shared" si="19"/>
        <v>Yes</v>
      </c>
      <c r="AH57" s="498" t="str">
        <f t="shared" si="20"/>
        <v>Yes</v>
      </c>
      <c r="AK57" s="738">
        <v>1866.6000000026352</v>
      </c>
      <c r="AL57" s="738">
        <v>2096.3000000030152</v>
      </c>
      <c r="AM57" s="740">
        <v>2149.7000000031921</v>
      </c>
      <c r="AR57" s="549"/>
      <c r="AS57" s="525"/>
      <c r="AT57" s="581">
        <f>Calculation!AR60*3.068</f>
        <v>0</v>
      </c>
      <c r="AU57" s="575">
        <f ca="1">Calculation!DA60</f>
        <v>0</v>
      </c>
      <c r="AV57" s="575">
        <f>Calculation!CF60*3.068</f>
        <v>0</v>
      </c>
      <c r="AW57" s="582">
        <f>Calculation!BK60*3.068</f>
        <v>0</v>
      </c>
      <c r="AX57" s="524"/>
      <c r="AY57" s="560"/>
      <c r="AZ57" s="559"/>
      <c r="BA57" s="560"/>
      <c r="BB57" s="559"/>
      <c r="BC57" s="560"/>
      <c r="BD57" s="559"/>
      <c r="BE57" s="550"/>
    </row>
    <row r="58" spans="1:57" ht="13.5" thickBot="1">
      <c r="A58" s="513">
        <v>40590</v>
      </c>
      <c r="B58" s="498">
        <f t="shared" si="13"/>
        <v>78.572130000001351</v>
      </c>
      <c r="C58" s="498">
        <f>Calculation!AA61</f>
        <v>0</v>
      </c>
      <c r="D58" s="498">
        <f>Calculation!Y61</f>
        <v>0</v>
      </c>
      <c r="E58" s="498">
        <f>Calculation!U61</f>
        <v>46.394530000008103</v>
      </c>
      <c r="F58" s="498">
        <f>Calculation!V61</f>
        <v>32.177599999993248</v>
      </c>
      <c r="G58" s="498">
        <f>Calculation!W61</f>
        <v>0</v>
      </c>
      <c r="H58" s="500">
        <f>Sheet1!H61</f>
        <v>2.6</v>
      </c>
      <c r="I58" s="501">
        <f>Sheet1!CW61</f>
        <v>2106.25</v>
      </c>
      <c r="J58" s="501">
        <f>Sheet1!CX61</f>
        <v>1250.625</v>
      </c>
      <c r="K58" s="501">
        <f>Sheet1!CV61</f>
        <v>1294.7058823529412</v>
      </c>
      <c r="L58" s="501">
        <f>Calculation!F61</f>
        <v>250</v>
      </c>
      <c r="M58" s="501">
        <f>Calculation!E61</f>
        <v>250</v>
      </c>
      <c r="N58" s="501">
        <f>Calculation!D61</f>
        <v>300</v>
      </c>
      <c r="O58" s="500">
        <f>Sheet1!CY61</f>
        <v>1077.2</v>
      </c>
      <c r="P58" s="514" t="e">
        <f>Calculation!ET61</f>
        <v>#N/A</v>
      </c>
      <c r="Q58" s="498">
        <f>Calculation!DF61</f>
        <v>2043.0000000029854</v>
      </c>
      <c r="R58" s="500">
        <f t="shared" si="1"/>
        <v>823.00000000298542</v>
      </c>
      <c r="S58" s="498">
        <f t="shared" si="14"/>
        <v>-63.700000000058935</v>
      </c>
      <c r="T58" s="498">
        <f ca="1">IF(A58&gt;$A$1,#N/A,VLOOKUP(A58,Calculation!$B$8:$IV$881,30,FALSE))</f>
        <v>0</v>
      </c>
      <c r="U58" s="498">
        <f t="shared" si="8"/>
        <v>0</v>
      </c>
      <c r="V58" s="498">
        <f>Calculation!AP61</f>
        <v>0</v>
      </c>
      <c r="W58" s="498">
        <f t="shared" si="15"/>
        <v>0</v>
      </c>
      <c r="X58" s="498">
        <v>0</v>
      </c>
      <c r="Y58" s="744">
        <f t="shared" si="10"/>
        <v>0</v>
      </c>
      <c r="Z58" s="748">
        <f t="shared" si="11"/>
        <v>0</v>
      </c>
      <c r="AA58" s="498">
        <f t="shared" ca="1" si="16"/>
        <v>2043.0000000029854</v>
      </c>
      <c r="AB58" s="501">
        <f t="shared" ca="1" si="17"/>
        <v>823.00000000298542</v>
      </c>
      <c r="AC58" s="498" t="e">
        <f ca="1">IF(A58&gt;$A$1,#N/A,VLOOKUP(A58,Calculation!$B$8:$IV$881,155,FALSE))</f>
        <v>#N/A</v>
      </c>
      <c r="AD58" s="498" t="e">
        <f t="shared" ca="1" si="18"/>
        <v>#N/A</v>
      </c>
      <c r="AE58" s="498"/>
      <c r="AF58" s="501">
        <f>Calculation!G61</f>
        <v>1262.582836462846</v>
      </c>
      <c r="AG58" s="498" t="str">
        <f t="shared" si="19"/>
        <v>Yes</v>
      </c>
      <c r="AH58" s="498" t="str">
        <f t="shared" si="20"/>
        <v>Yes</v>
      </c>
      <c r="AK58" s="738">
        <v>1956.5200000028076</v>
      </c>
      <c r="AL58" s="738">
        <v>2126.2000000030444</v>
      </c>
      <c r="AM58" s="740">
        <v>1938.8800000028077</v>
      </c>
      <c r="AR58" s="549"/>
      <c r="AS58" s="525"/>
      <c r="AT58" s="581">
        <f>Calculation!AR61*3.068</f>
        <v>0</v>
      </c>
      <c r="AU58" s="575">
        <f ca="1">Calculation!DA61</f>
        <v>0</v>
      </c>
      <c r="AV58" s="575">
        <f>Calculation!CF61*3.068</f>
        <v>0</v>
      </c>
      <c r="AW58" s="582">
        <f>Calculation!BK61*3.068</f>
        <v>0</v>
      </c>
      <c r="AX58" s="524"/>
      <c r="AY58" s="560"/>
      <c r="AZ58" s="559"/>
      <c r="BA58" s="560"/>
      <c r="BB58" s="559"/>
      <c r="BC58" s="560"/>
      <c r="BD58" s="559"/>
      <c r="BE58" s="550"/>
    </row>
    <row r="59" spans="1:57" ht="13.5" thickBot="1">
      <c r="A59" s="513">
        <v>40591</v>
      </c>
      <c r="B59" s="498">
        <f t="shared" si="13"/>
        <v>87.312679999992355</v>
      </c>
      <c r="C59" s="498">
        <f>Calculation!AA62</f>
        <v>0</v>
      </c>
      <c r="D59" s="498">
        <f>Calculation!Y62</f>
        <v>0</v>
      </c>
      <c r="E59" s="498">
        <f>Calculation!U62</f>
        <v>45.698379999990095</v>
      </c>
      <c r="F59" s="498">
        <f>Calculation!V62</f>
        <v>41.614300000002252</v>
      </c>
      <c r="G59" s="498">
        <f>Calculation!W62</f>
        <v>1.0364900000001125</v>
      </c>
      <c r="H59" s="500">
        <f>Sheet1!H62</f>
        <v>3.8</v>
      </c>
      <c r="I59" s="501">
        <f>Sheet1!CW62</f>
        <v>2000.7291666666667</v>
      </c>
      <c r="J59" s="501">
        <f>Sheet1!CX62</f>
        <v>1126.8333333333333</v>
      </c>
      <c r="K59" s="501">
        <f>Sheet1!CV62</f>
        <v>1240.5882352941176</v>
      </c>
      <c r="L59" s="501">
        <f>Calculation!F62</f>
        <v>250</v>
      </c>
      <c r="M59" s="501">
        <f>Calculation!E62</f>
        <v>250</v>
      </c>
      <c r="N59" s="501">
        <f>Calculation!D62</f>
        <v>300</v>
      </c>
      <c r="O59" s="500">
        <f>Sheet1!CY62</f>
        <v>1077.03</v>
      </c>
      <c r="P59" s="514" t="e">
        <f>Calculation!ET62</f>
        <v>#N/A</v>
      </c>
      <c r="Q59" s="498">
        <f>Calculation!DF62</f>
        <v>2020.9000000029559</v>
      </c>
      <c r="R59" s="500">
        <f t="shared" si="1"/>
        <v>800.90000000295595</v>
      </c>
      <c r="S59" s="498">
        <f t="shared" si="14"/>
        <v>-22.100000000029468</v>
      </c>
      <c r="T59" s="498">
        <f ca="1">IF(A59&gt;$A$1,#N/A,VLOOKUP(A59,Calculation!$B$8:$IV$881,30,FALSE))</f>
        <v>0</v>
      </c>
      <c r="U59" s="498">
        <f t="shared" si="8"/>
        <v>0</v>
      </c>
      <c r="V59" s="498">
        <f>Calculation!AP62</f>
        <v>0</v>
      </c>
      <c r="W59" s="498">
        <f t="shared" si="15"/>
        <v>0</v>
      </c>
      <c r="X59" s="498">
        <v>0</v>
      </c>
      <c r="Y59" s="744">
        <f t="shared" si="10"/>
        <v>0</v>
      </c>
      <c r="Z59" s="748">
        <f t="shared" si="11"/>
        <v>0</v>
      </c>
      <c r="AA59" s="498">
        <f t="shared" ca="1" si="16"/>
        <v>2020.9000000029559</v>
      </c>
      <c r="AB59" s="501">
        <f t="shared" ca="1" si="17"/>
        <v>800.90000000295595</v>
      </c>
      <c r="AC59" s="498" t="e">
        <f ca="1">IF(A59&gt;$A$1,#N/A,VLOOKUP(A59,Calculation!$B$8:$IV$881,155,FALSE))</f>
        <v>#N/A</v>
      </c>
      <c r="AD59" s="498" t="e">
        <f t="shared" ca="1" si="18"/>
        <v>#N/A</v>
      </c>
      <c r="AE59" s="498"/>
      <c r="AF59" s="501">
        <f>Calculation!G62</f>
        <v>1229.4435050873453</v>
      </c>
      <c r="AG59" s="498" t="str">
        <f t="shared" si="19"/>
        <v>Yes</v>
      </c>
      <c r="AH59" s="498" t="str">
        <f t="shared" si="20"/>
        <v>Yes</v>
      </c>
      <c r="AK59" s="738">
        <v>2058.6000000029853</v>
      </c>
      <c r="AL59" s="738">
        <v>2106.7000000030444</v>
      </c>
      <c r="AM59" s="740">
        <v>1809.2600000025798</v>
      </c>
      <c r="AR59" s="549"/>
      <c r="AS59" s="525"/>
      <c r="AT59" s="581">
        <f>Calculation!AR62*3.068</f>
        <v>0</v>
      </c>
      <c r="AU59" s="575">
        <f ca="1">Calculation!DA62</f>
        <v>0</v>
      </c>
      <c r="AV59" s="575">
        <f>Calculation!CF62*3.068</f>
        <v>0</v>
      </c>
      <c r="AW59" s="582">
        <f>Calculation!BK62*3.068</f>
        <v>0</v>
      </c>
      <c r="AX59" s="524"/>
      <c r="AY59" s="560"/>
      <c r="AZ59" s="559"/>
      <c r="BA59" s="560"/>
      <c r="BB59" s="559"/>
      <c r="BC59" s="560"/>
      <c r="BD59" s="559"/>
      <c r="BE59" s="550"/>
    </row>
    <row r="60" spans="1:57" ht="13.5" thickBot="1">
      <c r="A60" s="513">
        <v>40592</v>
      </c>
      <c r="B60" s="498">
        <f t="shared" si="13"/>
        <v>87.405500000011244</v>
      </c>
      <c r="C60" s="498">
        <f>Calculation!AA63</f>
        <v>0</v>
      </c>
      <c r="D60" s="498">
        <f>Calculation!Y63</f>
        <v>0</v>
      </c>
      <c r="E60" s="498">
        <f>Calculation!U63</f>
        <v>46.255300000013506</v>
      </c>
      <c r="F60" s="498">
        <f>Calculation!V63</f>
        <v>41.150199999997746</v>
      </c>
      <c r="G60" s="498">
        <f>Calculation!W63</f>
        <v>0</v>
      </c>
      <c r="H60" s="500">
        <f>Sheet1!H63</f>
        <v>2.34</v>
      </c>
      <c r="I60" s="501">
        <f>Sheet1!CW63</f>
        <v>1708.125</v>
      </c>
      <c r="J60" s="501">
        <f>Sheet1!CX63</f>
        <v>908.36458333333337</v>
      </c>
      <c r="K60" s="501">
        <f>Sheet1!CV63</f>
        <v>989.52941176470586</v>
      </c>
      <c r="L60" s="501">
        <f>Calculation!F63</f>
        <v>250</v>
      </c>
      <c r="M60" s="501">
        <f>Calculation!E63</f>
        <v>250</v>
      </c>
      <c r="N60" s="501">
        <f>Calculation!D63</f>
        <v>300</v>
      </c>
      <c r="O60" s="500">
        <f>Sheet1!CY63</f>
        <v>1079</v>
      </c>
      <c r="P60" s="514" t="e">
        <f>Calculation!ET63</f>
        <v>#N/A</v>
      </c>
      <c r="Q60" s="498">
        <f>Calculation!DF63</f>
        <v>2282.0000000034379</v>
      </c>
      <c r="R60" s="500">
        <f t="shared" si="1"/>
        <v>1062.0000000034379</v>
      </c>
      <c r="S60" s="498">
        <f t="shared" si="14"/>
        <v>261.10000000048194</v>
      </c>
      <c r="T60" s="498">
        <f ca="1">IF(A60&gt;$A$1,#N/A,VLOOKUP(A60,Calculation!$B$8:$IV$881,30,FALSE))</f>
        <v>0</v>
      </c>
      <c r="U60" s="498">
        <f t="shared" si="8"/>
        <v>0</v>
      </c>
      <c r="V60" s="498">
        <f>Calculation!AP63</f>
        <v>0</v>
      </c>
      <c r="W60" s="498">
        <f t="shared" si="15"/>
        <v>0</v>
      </c>
      <c r="X60" s="498">
        <v>0</v>
      </c>
      <c r="Y60" s="744">
        <f t="shared" si="10"/>
        <v>0</v>
      </c>
      <c r="Z60" s="748">
        <f t="shared" si="11"/>
        <v>0</v>
      </c>
      <c r="AA60" s="498">
        <f t="shared" ca="1" si="16"/>
        <v>2282.0000000034379</v>
      </c>
      <c r="AB60" s="501">
        <f t="shared" ca="1" si="17"/>
        <v>1062.0000000034379</v>
      </c>
      <c r="AC60" s="498" t="e">
        <f ca="1">IF(A60&gt;$A$1,#N/A,VLOOKUP(A60,Calculation!$B$8:$IV$881,155,FALSE))</f>
        <v>#N/A</v>
      </c>
      <c r="AD60" s="498" t="e">
        <f t="shared" ca="1" si="18"/>
        <v>#N/A</v>
      </c>
      <c r="AE60" s="498"/>
      <c r="AF60" s="501">
        <f>Calculation!G63</f>
        <v>1121.198599863789</v>
      </c>
      <c r="AG60" s="498" t="str">
        <f t="shared" si="19"/>
        <v>Yes</v>
      </c>
      <c r="AH60" s="498" t="str">
        <f t="shared" si="20"/>
        <v>Yes</v>
      </c>
      <c r="AK60" s="738">
        <v>2011.9600000028649</v>
      </c>
      <c r="AL60" s="738">
        <v>2048.2000000029852</v>
      </c>
      <c r="AM60" s="740">
        <v>1733.6000000024414</v>
      </c>
      <c r="AR60" s="549"/>
      <c r="AS60" s="525"/>
      <c r="AT60" s="581">
        <f>Calculation!AR63*3.068</f>
        <v>0</v>
      </c>
      <c r="AU60" s="575">
        <f ca="1">Calculation!DA63</f>
        <v>0</v>
      </c>
      <c r="AV60" s="575">
        <f>Calculation!CF63*3.068</f>
        <v>0</v>
      </c>
      <c r="AW60" s="582">
        <f>Calculation!BK63*3.068</f>
        <v>0</v>
      </c>
      <c r="AX60" s="524"/>
      <c r="AY60" s="560"/>
      <c r="AZ60" s="559"/>
      <c r="BA60" s="560"/>
      <c r="BB60" s="559"/>
      <c r="BC60" s="560"/>
      <c r="BD60" s="559"/>
      <c r="BE60" s="550"/>
    </row>
    <row r="61" spans="1:57" ht="13.5" thickBot="1">
      <c r="A61" s="513">
        <v>40593</v>
      </c>
      <c r="B61" s="498">
        <f t="shared" si="13"/>
        <v>88.457459999989197</v>
      </c>
      <c r="C61" s="498">
        <f>Calculation!AA64</f>
        <v>0</v>
      </c>
      <c r="D61" s="498">
        <f>Calculation!Y64</f>
        <v>0</v>
      </c>
      <c r="E61" s="498">
        <f>Calculation!U64</f>
        <v>45.450859999984687</v>
      </c>
      <c r="F61" s="498">
        <f>Calculation!V64</f>
        <v>43.006600000004504</v>
      </c>
      <c r="G61" s="498">
        <f>Calculation!W64</f>
        <v>0</v>
      </c>
      <c r="H61" s="500">
        <f>Sheet1!H64</f>
        <v>3.14</v>
      </c>
      <c r="I61" s="501">
        <f>Sheet1!CW64</f>
        <v>1562.7083333333333</v>
      </c>
      <c r="J61" s="501">
        <f>Sheet1!CX64</f>
        <v>861.66666666666663</v>
      </c>
      <c r="K61" s="501">
        <f>Sheet1!CV64</f>
        <v>929.70588235294122</v>
      </c>
      <c r="L61" s="501">
        <f>Calculation!F64</f>
        <v>250</v>
      </c>
      <c r="M61" s="501">
        <f>Calculation!E64</f>
        <v>250</v>
      </c>
      <c r="N61" s="501">
        <f>Calculation!D64</f>
        <v>300</v>
      </c>
      <c r="O61" s="500">
        <f>Sheet1!CY64</f>
        <v>1080.19</v>
      </c>
      <c r="P61" s="514" t="e">
        <f>Calculation!ET64</f>
        <v>#N/A</v>
      </c>
      <c r="Q61" s="498">
        <f>Calculation!DF64</f>
        <v>2449.170000003674</v>
      </c>
      <c r="R61" s="500">
        <f t="shared" si="1"/>
        <v>1229.170000003674</v>
      </c>
      <c r="S61" s="498">
        <f t="shared" si="14"/>
        <v>167.17000000023609</v>
      </c>
      <c r="T61" s="498">
        <f ca="1">IF(A61&gt;$A$1,#N/A,VLOOKUP(A61,Calculation!$B$8:$IV$881,30,FALSE))</f>
        <v>0</v>
      </c>
      <c r="U61" s="498">
        <f t="shared" si="8"/>
        <v>0</v>
      </c>
      <c r="V61" s="498">
        <f>Calculation!AP64</f>
        <v>0</v>
      </c>
      <c r="W61" s="498">
        <f t="shared" si="15"/>
        <v>0</v>
      </c>
      <c r="X61" s="498">
        <v>0</v>
      </c>
      <c r="Y61" s="744">
        <f t="shared" si="10"/>
        <v>0</v>
      </c>
      <c r="Z61" s="748">
        <f t="shared" si="11"/>
        <v>0</v>
      </c>
      <c r="AA61" s="498">
        <f t="shared" ca="1" si="16"/>
        <v>2449.170000003674</v>
      </c>
      <c r="AB61" s="501">
        <f t="shared" ca="1" si="17"/>
        <v>1229.170000003674</v>
      </c>
      <c r="AC61" s="498" t="e">
        <f ca="1">IF(A61&gt;$A$1,#N/A,VLOOKUP(A61,Calculation!$B$8:$IV$881,155,FALSE))</f>
        <v>#N/A</v>
      </c>
      <c r="AD61" s="498" t="e">
        <f t="shared" ca="1" si="18"/>
        <v>#N/A</v>
      </c>
      <c r="AE61" s="498"/>
      <c r="AF61" s="501">
        <f>Calculation!G64</f>
        <v>1014.0074456410078</v>
      </c>
      <c r="AG61" s="498" t="str">
        <f t="shared" si="19"/>
        <v>Yes</v>
      </c>
      <c r="AH61" s="498" t="str">
        <f t="shared" si="20"/>
        <v>Yes</v>
      </c>
      <c r="AK61" s="738">
        <v>1893.5200000027503</v>
      </c>
      <c r="AL61" s="738">
        <v>2003.140000002865</v>
      </c>
      <c r="AM61" s="740">
        <v>1854.4000000026354</v>
      </c>
      <c r="AR61" s="549"/>
      <c r="AS61" s="525"/>
      <c r="AT61" s="581">
        <f>Calculation!AR64*3.068</f>
        <v>0</v>
      </c>
      <c r="AU61" s="575">
        <f ca="1">Calculation!DA64</f>
        <v>0</v>
      </c>
      <c r="AV61" s="575">
        <f>Calculation!CF64*3.068</f>
        <v>0</v>
      </c>
      <c r="AW61" s="582">
        <f>Calculation!BK64*3.068</f>
        <v>0</v>
      </c>
      <c r="AX61" s="524"/>
      <c r="AY61" s="560"/>
      <c r="AZ61" s="559"/>
      <c r="BA61" s="560"/>
      <c r="BB61" s="559"/>
      <c r="BC61" s="560"/>
      <c r="BD61" s="559"/>
      <c r="BE61" s="550"/>
    </row>
    <row r="62" spans="1:57" ht="13.5" thickBot="1">
      <c r="A62" s="513">
        <v>40594</v>
      </c>
      <c r="B62" s="498">
        <f t="shared" si="13"/>
        <v>88.967970000003149</v>
      </c>
      <c r="C62" s="498">
        <f>Calculation!AA65</f>
        <v>0</v>
      </c>
      <c r="D62" s="498">
        <f>Calculation!Y65</f>
        <v>0</v>
      </c>
      <c r="E62" s="498">
        <f>Calculation!U65</f>
        <v>45.667440000006302</v>
      </c>
      <c r="F62" s="498">
        <f>Calculation!V65</f>
        <v>43.300529999996847</v>
      </c>
      <c r="G62" s="498">
        <f>Calculation!W65</f>
        <v>0</v>
      </c>
      <c r="H62" s="500">
        <f>Sheet1!H65</f>
        <v>2.64</v>
      </c>
      <c r="I62" s="501">
        <f>Sheet1!CW65</f>
        <v>1533.8541666666667</v>
      </c>
      <c r="J62" s="501">
        <f>Sheet1!CX65</f>
        <v>862.45833333333337</v>
      </c>
      <c r="K62" s="501">
        <f>Sheet1!CV65</f>
        <v>935</v>
      </c>
      <c r="L62" s="501">
        <f>Calculation!F65</f>
        <v>250</v>
      </c>
      <c r="M62" s="501">
        <f>Calculation!E65</f>
        <v>250</v>
      </c>
      <c r="N62" s="501">
        <f>Calculation!D65</f>
        <v>300</v>
      </c>
      <c r="O62" s="500">
        <f>Sheet1!CY65</f>
        <v>1080.25</v>
      </c>
      <c r="P62" s="514" t="e">
        <f>Calculation!ET65</f>
        <v>#N/A</v>
      </c>
      <c r="Q62" s="498">
        <f>Calculation!DF65</f>
        <v>2457.7500000036744</v>
      </c>
      <c r="R62" s="500">
        <f t="shared" si="1"/>
        <v>1237.7500000036744</v>
      </c>
      <c r="S62" s="498">
        <f t="shared" si="14"/>
        <v>8.580000000000382</v>
      </c>
      <c r="T62" s="498">
        <f ca="1">IF(A62&gt;$A$1,#N/A,VLOOKUP(A62,Calculation!$B$8:$IV$881,30,FALSE))</f>
        <v>0</v>
      </c>
      <c r="U62" s="498">
        <f t="shared" si="8"/>
        <v>0</v>
      </c>
      <c r="V62" s="498">
        <f>Calculation!AP65</f>
        <v>0</v>
      </c>
      <c r="W62" s="498">
        <f t="shared" si="15"/>
        <v>0</v>
      </c>
      <c r="X62" s="498">
        <v>0</v>
      </c>
      <c r="Y62" s="744">
        <f t="shared" si="10"/>
        <v>0</v>
      </c>
      <c r="Z62" s="748">
        <f t="shared" si="11"/>
        <v>0</v>
      </c>
      <c r="AA62" s="498">
        <f t="shared" ca="1" si="16"/>
        <v>2457.7500000036744</v>
      </c>
      <c r="AB62" s="501">
        <f t="shared" ca="1" si="17"/>
        <v>1237.7500000036744</v>
      </c>
      <c r="AC62" s="498" t="e">
        <f ca="1">IF(A62&gt;$A$1,#N/A,VLOOKUP(A62,Calculation!$B$8:$IV$881,155,FALSE))</f>
        <v>#N/A</v>
      </c>
      <c r="AD62" s="498" t="e">
        <f t="shared" ca="1" si="18"/>
        <v>#N/A</v>
      </c>
      <c r="AE62" s="498"/>
      <c r="AF62" s="501">
        <f>Calculation!G65</f>
        <v>939.32677760968249</v>
      </c>
      <c r="AG62" s="498" t="str">
        <f t="shared" si="19"/>
        <v>Yes</v>
      </c>
      <c r="AH62" s="498" t="str">
        <f t="shared" si="20"/>
        <v>Yes</v>
      </c>
      <c r="AK62" s="738">
        <v>1772.6600000025521</v>
      </c>
      <c r="AL62" s="738">
        <v>1951.4800000028076</v>
      </c>
      <c r="AM62" s="740">
        <v>1967.8600000028075</v>
      </c>
      <c r="AR62" s="549"/>
      <c r="AS62" s="525"/>
      <c r="AT62" s="581">
        <f>Calculation!AR65*3.068</f>
        <v>0</v>
      </c>
      <c r="AU62" s="575">
        <f ca="1">Calculation!DA65</f>
        <v>0</v>
      </c>
      <c r="AV62" s="575">
        <f>Calculation!CF65*3.068</f>
        <v>0</v>
      </c>
      <c r="AW62" s="582">
        <f>Calculation!BK65*3.068</f>
        <v>0</v>
      </c>
      <c r="AX62" s="524"/>
      <c r="AY62" s="560"/>
      <c r="AZ62" s="559"/>
      <c r="BA62" s="560"/>
      <c r="BB62" s="559"/>
      <c r="BC62" s="560"/>
      <c r="BD62" s="559"/>
      <c r="BE62" s="550"/>
    </row>
    <row r="63" spans="1:57" ht="13.5" thickBot="1">
      <c r="A63" s="513">
        <v>40595</v>
      </c>
      <c r="B63" s="498">
        <f t="shared" si="13"/>
        <v>89.47847999999459</v>
      </c>
      <c r="C63" s="498">
        <f>Calculation!AA66</f>
        <v>0</v>
      </c>
      <c r="D63" s="498">
        <f>Calculation!Y66</f>
        <v>0</v>
      </c>
      <c r="E63" s="498">
        <f>Calculation!U66</f>
        <v>45.945899999995497</v>
      </c>
      <c r="F63" s="498">
        <f>Calculation!V66</f>
        <v>43.532579999999101</v>
      </c>
      <c r="G63" s="498">
        <f>Calculation!W66</f>
        <v>0</v>
      </c>
      <c r="H63" s="500">
        <f>Sheet1!H66</f>
        <v>1.3</v>
      </c>
      <c r="I63" s="501">
        <f>Sheet1!CW66</f>
        <v>1508.0208333333333</v>
      </c>
      <c r="J63" s="501">
        <f>Sheet1!CX66</f>
        <v>857.58333333333337</v>
      </c>
      <c r="K63" s="501">
        <f>Sheet1!CV66</f>
        <v>932.94117647058829</v>
      </c>
      <c r="L63" s="501">
        <f>Calculation!F66</f>
        <v>250</v>
      </c>
      <c r="M63" s="501">
        <f>Calculation!E66</f>
        <v>250</v>
      </c>
      <c r="N63" s="501">
        <f>Calculation!D66</f>
        <v>300</v>
      </c>
      <c r="O63" s="500">
        <f>Sheet1!CY66</f>
        <v>1079.5999999999999</v>
      </c>
      <c r="P63" s="514" t="e">
        <f>Calculation!ET66</f>
        <v>#N/A</v>
      </c>
      <c r="Q63" s="498">
        <f>Calculation!DF66</f>
        <v>2366.0000000035016</v>
      </c>
      <c r="R63" s="500">
        <f t="shared" si="1"/>
        <v>1146.0000000035016</v>
      </c>
      <c r="S63" s="498">
        <f t="shared" si="14"/>
        <v>-91.750000000172804</v>
      </c>
      <c r="T63" s="498">
        <f ca="1">IF(A63&gt;$A$1,#N/A,VLOOKUP(A63,Calculation!$B$8:$IV$881,30,FALSE))</f>
        <v>0</v>
      </c>
      <c r="U63" s="498">
        <f t="shared" si="8"/>
        <v>0</v>
      </c>
      <c r="V63" s="498">
        <f>Calculation!AP66</f>
        <v>0</v>
      </c>
      <c r="W63" s="498">
        <f t="shared" si="15"/>
        <v>0</v>
      </c>
      <c r="X63" s="498">
        <v>0</v>
      </c>
      <c r="Y63" s="744">
        <f t="shared" si="10"/>
        <v>0</v>
      </c>
      <c r="Z63" s="748">
        <f t="shared" si="11"/>
        <v>0</v>
      </c>
      <c r="AA63" s="498">
        <f t="shared" ca="1" si="16"/>
        <v>2366.0000000035016</v>
      </c>
      <c r="AB63" s="501">
        <f t="shared" ca="1" si="17"/>
        <v>1146.0000000035016</v>
      </c>
      <c r="AC63" s="498" t="e">
        <f ca="1">IF(A63&gt;$A$1,#N/A,VLOOKUP(A63,Calculation!$B$8:$IV$881,155,FALSE))</f>
        <v>#N/A</v>
      </c>
      <c r="AD63" s="498" t="e">
        <f t="shared" ca="1" si="18"/>
        <v>#N/A</v>
      </c>
      <c r="AE63" s="498"/>
      <c r="AF63" s="501">
        <f>Calculation!G66</f>
        <v>886.67289608724343</v>
      </c>
      <c r="AG63" s="498" t="str">
        <f t="shared" si="19"/>
        <v>Yes</v>
      </c>
      <c r="AH63" s="498" t="str">
        <f t="shared" si="20"/>
        <v>Yes</v>
      </c>
      <c r="AK63" s="738">
        <v>1637.3200000022809</v>
      </c>
      <c r="AL63" s="738">
        <v>2026.1000000029558</v>
      </c>
      <c r="AM63" s="740">
        <v>1926.2800000027789</v>
      </c>
      <c r="AR63" s="549"/>
      <c r="AS63" s="525"/>
      <c r="AT63" s="581">
        <f>Calculation!AR66*3.068</f>
        <v>0</v>
      </c>
      <c r="AU63" s="575">
        <f ca="1">Calculation!DA66</f>
        <v>0</v>
      </c>
      <c r="AV63" s="575">
        <f>Calculation!CF66*3.068</f>
        <v>0</v>
      </c>
      <c r="AW63" s="582">
        <f>Calculation!BK66*3.068</f>
        <v>0</v>
      </c>
      <c r="AX63" s="524"/>
      <c r="AY63" s="560"/>
      <c r="AZ63" s="559"/>
      <c r="BA63" s="560"/>
      <c r="BB63" s="559"/>
      <c r="BC63" s="560"/>
      <c r="BD63" s="559"/>
      <c r="BE63" s="550"/>
    </row>
    <row r="64" spans="1:57" ht="13.5" thickBot="1">
      <c r="A64" s="513">
        <v>40596</v>
      </c>
      <c r="B64" s="498">
        <f t="shared" si="13"/>
        <v>90.190100000015747</v>
      </c>
      <c r="C64" s="498">
        <f>Calculation!AA67</f>
        <v>0</v>
      </c>
      <c r="D64" s="498">
        <f>Calculation!Y67</f>
        <v>0</v>
      </c>
      <c r="E64" s="498">
        <f>Calculation!U67</f>
        <v>45.574620000009901</v>
      </c>
      <c r="F64" s="498">
        <f>Calculation!V67</f>
        <v>44.615480000005853</v>
      </c>
      <c r="G64" s="498">
        <f>Calculation!W67</f>
        <v>0</v>
      </c>
      <c r="H64" s="500">
        <f>Sheet1!H67</f>
        <v>2</v>
      </c>
      <c r="I64" s="501">
        <f>Sheet1!CW67</f>
        <v>1488.6458333333333</v>
      </c>
      <c r="J64" s="501">
        <f>Sheet1!CX67</f>
        <v>898.54166666666663</v>
      </c>
      <c r="K64" s="501">
        <f>Sheet1!CV67</f>
        <v>942.82352941176475</v>
      </c>
      <c r="L64" s="501">
        <f>Calculation!F67</f>
        <v>250</v>
      </c>
      <c r="M64" s="501">
        <f>Calculation!E67</f>
        <v>250</v>
      </c>
      <c r="N64" s="501">
        <f>Calculation!D67</f>
        <v>300</v>
      </c>
      <c r="O64" s="500">
        <f>Sheet1!CY67</f>
        <v>1077.8599999999999</v>
      </c>
      <c r="P64" s="514" t="e">
        <f>Calculation!ET67</f>
        <v>#N/A</v>
      </c>
      <c r="Q64" s="498">
        <f>Calculation!DF67</f>
        <v>2128.8000000030447</v>
      </c>
      <c r="R64" s="500">
        <f t="shared" si="1"/>
        <v>908.80000000304472</v>
      </c>
      <c r="S64" s="498">
        <f t="shared" si="14"/>
        <v>-237.20000000045684</v>
      </c>
      <c r="T64" s="498">
        <f ca="1">IF(A64&gt;$A$1,#N/A,VLOOKUP(A64,Calculation!$B$8:$IV$881,30,FALSE))</f>
        <v>0</v>
      </c>
      <c r="U64" s="498">
        <f t="shared" si="8"/>
        <v>0</v>
      </c>
      <c r="V64" s="498">
        <f>Calculation!AP67</f>
        <v>0</v>
      </c>
      <c r="W64" s="498">
        <f t="shared" si="15"/>
        <v>0</v>
      </c>
      <c r="X64" s="498">
        <v>0</v>
      </c>
      <c r="Y64" s="744">
        <f t="shared" si="10"/>
        <v>0</v>
      </c>
      <c r="Z64" s="748">
        <f t="shared" si="11"/>
        <v>0</v>
      </c>
      <c r="AA64" s="498">
        <f t="shared" ca="1" si="16"/>
        <v>2128.8000000030447</v>
      </c>
      <c r="AB64" s="501">
        <f t="shared" ca="1" si="17"/>
        <v>908.80000000304472</v>
      </c>
      <c r="AC64" s="498" t="e">
        <f ca="1">IF(A64&gt;$A$1,#N/A,VLOOKUP(A64,Calculation!$B$8:$IV$881,155,FALSE))</f>
        <v>#N/A</v>
      </c>
      <c r="AD64" s="498" t="e">
        <f t="shared" ca="1" si="18"/>
        <v>#N/A</v>
      </c>
      <c r="AE64" s="498"/>
      <c r="AF64" s="501">
        <f>Calculation!G67</f>
        <v>823.20678710190248</v>
      </c>
      <c r="AG64" s="498" t="str">
        <f t="shared" si="19"/>
        <v>Yes</v>
      </c>
      <c r="AH64" s="498" t="str">
        <f t="shared" si="20"/>
        <v>Yes</v>
      </c>
      <c r="AK64" s="738">
        <v>1798.2800000025798</v>
      </c>
      <c r="AL64" s="738">
        <v>2168.6000000032232</v>
      </c>
      <c r="AM64" s="740">
        <v>1788.5200000025798</v>
      </c>
      <c r="AR64" s="549"/>
      <c r="AS64" s="525"/>
      <c r="AT64" s="581">
        <f>Calculation!AR67*3.068</f>
        <v>0</v>
      </c>
      <c r="AU64" s="575">
        <f ca="1">Calculation!DA67</f>
        <v>0</v>
      </c>
      <c r="AV64" s="575">
        <f>Calculation!CF67*3.068</f>
        <v>0</v>
      </c>
      <c r="AW64" s="582">
        <f>Calculation!BK67*3.068</f>
        <v>0</v>
      </c>
      <c r="AX64" s="524"/>
      <c r="AY64" s="560"/>
      <c r="AZ64" s="559"/>
      <c r="BA64" s="560"/>
      <c r="BB64" s="559"/>
      <c r="BC64" s="560"/>
      <c r="BD64" s="559"/>
      <c r="BE64" s="550"/>
    </row>
    <row r="65" spans="1:57" ht="13.5" thickBot="1">
      <c r="A65" s="513">
        <v>40597</v>
      </c>
      <c r="B65" s="498">
        <f t="shared" si="13"/>
        <v>80.923569999985148</v>
      </c>
      <c r="C65" s="498">
        <f>Calculation!AA68</f>
        <v>0</v>
      </c>
      <c r="D65" s="498">
        <f>Calculation!Y68</f>
        <v>0</v>
      </c>
      <c r="E65" s="498">
        <f>Calculation!U68</f>
        <v>45.388979999994596</v>
      </c>
      <c r="F65" s="498">
        <f>Calculation!V68</f>
        <v>35.534589999990544</v>
      </c>
      <c r="G65" s="498">
        <f>Calculation!W68</f>
        <v>14.866669999998086</v>
      </c>
      <c r="H65" s="500">
        <f>Sheet1!H68</f>
        <v>8.8800000000000008</v>
      </c>
      <c r="I65" s="501">
        <f>Sheet1!CW68</f>
        <v>1610.2083333333333</v>
      </c>
      <c r="J65" s="501">
        <f>Sheet1!CX68</f>
        <v>881.79166666666663</v>
      </c>
      <c r="K65" s="501">
        <f>Sheet1!CV68</f>
        <v>1010.1176470588235</v>
      </c>
      <c r="L65" s="501">
        <f>Calculation!F68</f>
        <v>250</v>
      </c>
      <c r="M65" s="501">
        <f>Calculation!E68</f>
        <v>250</v>
      </c>
      <c r="N65" s="501">
        <f>Calculation!D68</f>
        <v>300</v>
      </c>
      <c r="O65" s="500">
        <f>Sheet1!CY68</f>
        <v>1076.1300000000001</v>
      </c>
      <c r="P65" s="514" t="e">
        <f>Calculation!ET68</f>
        <v>#N/A</v>
      </c>
      <c r="Q65" s="498">
        <f>Calculation!DF68</f>
        <v>1907.3800000027788</v>
      </c>
      <c r="R65" s="500">
        <f t="shared" si="1"/>
        <v>687.38000000277884</v>
      </c>
      <c r="S65" s="498">
        <f t="shared" si="14"/>
        <v>-221.42000000026587</v>
      </c>
      <c r="T65" s="498">
        <f ca="1">IF(A65&gt;$A$1,#N/A,VLOOKUP(A65,Calculation!$B$8:$IV$881,30,FALSE))</f>
        <v>0</v>
      </c>
      <c r="U65" s="498">
        <f t="shared" si="8"/>
        <v>0</v>
      </c>
      <c r="V65" s="498">
        <f>Calculation!AP68</f>
        <v>0</v>
      </c>
      <c r="W65" s="498">
        <f t="shared" si="15"/>
        <v>0</v>
      </c>
      <c r="X65" s="498">
        <v>0</v>
      </c>
      <c r="Y65" s="744">
        <f t="shared" si="10"/>
        <v>0</v>
      </c>
      <c r="Z65" s="748">
        <f t="shared" si="11"/>
        <v>0</v>
      </c>
      <c r="AA65" s="498">
        <f t="shared" ca="1" si="16"/>
        <v>1907.3800000027788</v>
      </c>
      <c r="AB65" s="501">
        <f t="shared" ca="1" si="17"/>
        <v>687.38000000277884</v>
      </c>
      <c r="AC65" s="498" t="e">
        <f ca="1">IF(A65&gt;$A$1,#N/A,VLOOKUP(A65,Calculation!$B$8:$IV$881,155,FALSE))</f>
        <v>#N/A</v>
      </c>
      <c r="AD65" s="498" t="e">
        <f t="shared" ca="1" si="18"/>
        <v>#N/A</v>
      </c>
      <c r="AE65" s="498"/>
      <c r="AF65" s="501">
        <f>Calculation!G68</f>
        <v>898.45854468854327</v>
      </c>
      <c r="AG65" s="498" t="str">
        <f t="shared" si="19"/>
        <v>Yes</v>
      </c>
      <c r="AH65" s="498" t="str">
        <f t="shared" si="20"/>
        <v>Yes</v>
      </c>
      <c r="AK65" s="738">
        <v>2126.2000000030444</v>
      </c>
      <c r="AL65" s="738">
        <v>2286.2000000034377</v>
      </c>
      <c r="AM65" s="740">
        <v>1712.3600000024146</v>
      </c>
      <c r="AR65" s="549"/>
      <c r="AS65" s="525"/>
      <c r="AT65" s="581">
        <f>Calculation!AR68*3.068</f>
        <v>0</v>
      </c>
      <c r="AU65" s="575">
        <f ca="1">Calculation!DA68</f>
        <v>0</v>
      </c>
      <c r="AV65" s="575">
        <f>Calculation!CF68*3.068</f>
        <v>0</v>
      </c>
      <c r="AW65" s="582">
        <f>Calculation!BK68*3.068</f>
        <v>0</v>
      </c>
      <c r="AX65" s="524"/>
      <c r="AY65" s="560"/>
      <c r="AZ65" s="559"/>
      <c r="BA65" s="560"/>
      <c r="BB65" s="559"/>
      <c r="BC65" s="560"/>
      <c r="BD65" s="559"/>
      <c r="BE65" s="550"/>
    </row>
    <row r="66" spans="1:57" ht="13.5" thickBot="1">
      <c r="A66" s="513">
        <v>40598</v>
      </c>
      <c r="B66" s="498">
        <f t="shared" si="13"/>
        <v>79.608619999998638</v>
      </c>
      <c r="C66" s="498">
        <f>Calculation!AA69</f>
        <v>0</v>
      </c>
      <c r="D66" s="498">
        <f>Calculation!Y69</f>
        <v>0</v>
      </c>
      <c r="E66" s="498">
        <f>Calculation!U69</f>
        <v>46.719399999995495</v>
      </c>
      <c r="F66" s="498">
        <f>Calculation!V69</f>
        <v>32.889220000003149</v>
      </c>
      <c r="G66" s="498">
        <f>Calculation!W69</f>
        <v>6.1570600000021383</v>
      </c>
      <c r="H66" s="500">
        <f>Sheet1!H69</f>
        <v>6.84</v>
      </c>
      <c r="I66" s="501">
        <f>Sheet1!CW69</f>
        <v>1334.2708333333333</v>
      </c>
      <c r="J66" s="501">
        <f>Sheet1!CX69</f>
        <v>719.02083333333337</v>
      </c>
      <c r="K66" s="501">
        <f>Sheet1!CV69</f>
        <v>768.35294117647061</v>
      </c>
      <c r="L66" s="501">
        <f>Calculation!F69</f>
        <v>250</v>
      </c>
      <c r="M66" s="501">
        <f>Calculation!E69</f>
        <v>250</v>
      </c>
      <c r="N66" s="501">
        <f>Calculation!D69</f>
        <v>300</v>
      </c>
      <c r="O66" s="500">
        <f>Sheet1!CY69</f>
        <v>1075.8499999999999</v>
      </c>
      <c r="P66" s="514" t="e">
        <f>Calculation!ET69</f>
        <v>#N/A</v>
      </c>
      <c r="Q66" s="498">
        <f>Calculation!DF69</f>
        <v>1872.7000000026351</v>
      </c>
      <c r="R66" s="500">
        <f t="shared" si="1"/>
        <v>652.70000000263508</v>
      </c>
      <c r="S66" s="498">
        <f t="shared" si="14"/>
        <v>-34.680000000143764</v>
      </c>
      <c r="T66" s="498">
        <f ca="1">IF(A66&gt;$A$1,#N/A,VLOOKUP(A66,Calculation!$B$8:$IV$881,30,FALSE))</f>
        <v>0</v>
      </c>
      <c r="U66" s="498">
        <f t="shared" si="8"/>
        <v>0</v>
      </c>
      <c r="V66" s="498">
        <f>Calculation!AP69</f>
        <v>0</v>
      </c>
      <c r="W66" s="498">
        <f t="shared" si="15"/>
        <v>0</v>
      </c>
      <c r="X66" s="498">
        <v>0</v>
      </c>
      <c r="Y66" s="744">
        <f t="shared" si="10"/>
        <v>0</v>
      </c>
      <c r="Z66" s="748">
        <f t="shared" si="11"/>
        <v>0</v>
      </c>
      <c r="AA66" s="498">
        <f t="shared" ca="1" si="16"/>
        <v>1872.7000000026351</v>
      </c>
      <c r="AB66" s="501">
        <f t="shared" ca="1" si="17"/>
        <v>652.70000000263508</v>
      </c>
      <c r="AC66" s="498" t="e">
        <f ca="1">IF(A66&gt;$A$1,#N/A,VLOOKUP(A66,Calculation!$B$8:$IV$881,155,FALSE))</f>
        <v>#N/A</v>
      </c>
      <c r="AD66" s="498" t="e">
        <f t="shared" ca="1" si="18"/>
        <v>#N/A</v>
      </c>
      <c r="AE66" s="498"/>
      <c r="AF66" s="501">
        <f>Calculation!G69</f>
        <v>750.86428762117873</v>
      </c>
      <c r="AG66" s="498" t="str">
        <f t="shared" si="19"/>
        <v>Yes</v>
      </c>
      <c r="AH66" s="498" t="str">
        <f t="shared" si="20"/>
        <v>Yes</v>
      </c>
      <c r="AK66" s="738">
        <v>2406.6000000035651</v>
      </c>
      <c r="AL66" s="738">
        <v>2416.4000000035653</v>
      </c>
      <c r="AM66" s="740">
        <v>1725.3400000024415</v>
      </c>
      <c r="AR66" s="549"/>
      <c r="AS66" s="525"/>
      <c r="AT66" s="581">
        <f>Calculation!AR69*3.068</f>
        <v>0</v>
      </c>
      <c r="AU66" s="575">
        <f ca="1">Calculation!DA69</f>
        <v>0</v>
      </c>
      <c r="AV66" s="575">
        <f>Calculation!CF69*3.068</f>
        <v>0</v>
      </c>
      <c r="AW66" s="582">
        <f>Calculation!BK69*3.068</f>
        <v>0</v>
      </c>
      <c r="AX66" s="524"/>
      <c r="AY66" s="560"/>
      <c r="AZ66" s="559"/>
      <c r="BA66" s="560"/>
      <c r="BB66" s="559"/>
      <c r="BC66" s="560"/>
      <c r="BD66" s="559"/>
      <c r="BE66" s="550"/>
    </row>
    <row r="67" spans="1:57" ht="13.5" thickBot="1">
      <c r="A67" s="513">
        <v>40599</v>
      </c>
      <c r="B67" s="498">
        <f t="shared" si="13"/>
        <v>83.692700000020267</v>
      </c>
      <c r="C67" s="498">
        <f>Calculation!AA70</f>
        <v>0</v>
      </c>
      <c r="D67" s="498">
        <f>Calculation!Y70</f>
        <v>0</v>
      </c>
      <c r="E67" s="498">
        <f>Calculation!U70</f>
        <v>46.255300000013506</v>
      </c>
      <c r="F67" s="498">
        <f>Calculation!V70</f>
        <v>37.437400000006754</v>
      </c>
      <c r="G67" s="498">
        <f>Calculation!W70</f>
        <v>22.35414999999831</v>
      </c>
      <c r="H67" s="500">
        <f>Sheet1!H70</f>
        <v>9.8000000000000007</v>
      </c>
      <c r="I67" s="501">
        <f>Sheet1!CW70</f>
        <v>1297.7083333333333</v>
      </c>
      <c r="J67" s="501">
        <f>Sheet1!CX70</f>
        <v>693.11458333333337</v>
      </c>
      <c r="K67" s="501">
        <f>Sheet1!CV70</f>
        <v>752.35294117647061</v>
      </c>
      <c r="L67" s="501">
        <f>Calculation!F70</f>
        <v>250</v>
      </c>
      <c r="M67" s="501">
        <f>Calculation!E70</f>
        <v>250</v>
      </c>
      <c r="N67" s="501">
        <f>Calculation!D70</f>
        <v>300</v>
      </c>
      <c r="O67" s="500">
        <f>Sheet1!CY70</f>
        <v>1075.04</v>
      </c>
      <c r="P67" s="514" t="e">
        <f>Calculation!ET70</f>
        <v>#N/A</v>
      </c>
      <c r="Q67" s="498">
        <f>Calculation!DF70</f>
        <v>1773.8800000025522</v>
      </c>
      <c r="R67" s="500">
        <f t="shared" si="1"/>
        <v>553.88000000255215</v>
      </c>
      <c r="S67" s="498">
        <f t="shared" si="14"/>
        <v>-98.820000000082928</v>
      </c>
      <c r="T67" s="498">
        <f ca="1">IF(A67&gt;$A$1,#N/A,VLOOKUP(A67,Calculation!$B$8:$IV$881,30,FALSE))</f>
        <v>0</v>
      </c>
      <c r="U67" s="498">
        <f t="shared" si="8"/>
        <v>0</v>
      </c>
      <c r="V67" s="498">
        <f>Calculation!AP70</f>
        <v>0</v>
      </c>
      <c r="W67" s="498">
        <f t="shared" si="15"/>
        <v>0</v>
      </c>
      <c r="X67" s="498">
        <v>0</v>
      </c>
      <c r="Y67" s="744">
        <f t="shared" si="10"/>
        <v>0</v>
      </c>
      <c r="Z67" s="748">
        <f t="shared" si="11"/>
        <v>0</v>
      </c>
      <c r="AA67" s="498">
        <f t="shared" ca="1" si="16"/>
        <v>1773.8800000025522</v>
      </c>
      <c r="AB67" s="501">
        <f t="shared" ca="1" si="17"/>
        <v>553.88000000255215</v>
      </c>
      <c r="AC67" s="498" t="e">
        <f ca="1">IF(A67&gt;$A$1,#N/A,VLOOKUP(A67,Calculation!$B$8:$IV$881,155,FALSE))</f>
        <v>#N/A</v>
      </c>
      <c r="AD67" s="498" t="e">
        <f t="shared" ca="1" si="18"/>
        <v>#N/A</v>
      </c>
      <c r="AE67" s="498"/>
      <c r="AF67" s="501">
        <f>Calculation!G70</f>
        <v>702.51935569987813</v>
      </c>
      <c r="AG67" s="498" t="str">
        <f t="shared" si="19"/>
        <v>Yes</v>
      </c>
      <c r="AH67" s="498" t="str">
        <f t="shared" si="20"/>
        <v>Yes</v>
      </c>
      <c r="AK67" s="738">
        <v>2627.5800000039976</v>
      </c>
      <c r="AL67" s="738">
        <v>2597.7800000039638</v>
      </c>
      <c r="AM67" s="740">
        <v>1724.1600000024146</v>
      </c>
      <c r="AR67" s="549"/>
      <c r="AS67" s="525"/>
      <c r="AT67" s="581">
        <f>Calculation!AR70*3.068</f>
        <v>0</v>
      </c>
      <c r="AU67" s="575">
        <f ca="1">Calculation!DA70</f>
        <v>0</v>
      </c>
      <c r="AV67" s="575">
        <f>Calculation!CF70*3.068</f>
        <v>0</v>
      </c>
      <c r="AW67" s="582">
        <f>Calculation!BK70*3.068</f>
        <v>0</v>
      </c>
      <c r="AX67" s="524"/>
      <c r="AY67" s="560"/>
      <c r="AZ67" s="559"/>
      <c r="BA67" s="560"/>
      <c r="BB67" s="559"/>
      <c r="BC67" s="560"/>
      <c r="BD67" s="559"/>
      <c r="BE67" s="550"/>
    </row>
    <row r="68" spans="1:57" ht="13.5" thickBot="1">
      <c r="A68" s="513">
        <v>40600</v>
      </c>
      <c r="B68" s="498">
        <f t="shared" si="13"/>
        <v>78.7423</v>
      </c>
      <c r="C68" s="498">
        <f>Calculation!AA71</f>
        <v>0</v>
      </c>
      <c r="D68" s="498">
        <f>Calculation!Y71</f>
        <v>0</v>
      </c>
      <c r="E68" s="498">
        <f>Calculation!U71</f>
        <v>42.2331</v>
      </c>
      <c r="F68" s="498">
        <f>Calculation!V71</f>
        <v>36.5092</v>
      </c>
      <c r="G68" s="498">
        <f>Calculation!W71</f>
        <v>48.204519999999995</v>
      </c>
      <c r="H68" s="500">
        <f>Sheet1!H71</f>
        <v>16</v>
      </c>
      <c r="I68" s="501">
        <f>Sheet1!CW71</f>
        <v>1195</v>
      </c>
      <c r="J68" s="501">
        <f>Sheet1!CX71</f>
        <v>602.82291666666663</v>
      </c>
      <c r="K68" s="501">
        <f>Sheet1!CV71</f>
        <v>616.52941176470586</v>
      </c>
      <c r="L68" s="501">
        <f>Calculation!F71</f>
        <v>250</v>
      </c>
      <c r="M68" s="501">
        <f>Calculation!E71</f>
        <v>250</v>
      </c>
      <c r="N68" s="501">
        <f>Calculation!D71</f>
        <v>300</v>
      </c>
      <c r="O68" s="500">
        <f>Sheet1!CY71</f>
        <v>1075.79</v>
      </c>
      <c r="P68" s="514" t="e">
        <f>Calculation!ET71</f>
        <v>#N/A</v>
      </c>
      <c r="Q68" s="498">
        <f>Calculation!DF71</f>
        <v>1865.3800000026351</v>
      </c>
      <c r="R68" s="500">
        <f t="shared" si="1"/>
        <v>645.38000000263514</v>
      </c>
      <c r="S68" s="498">
        <f t="shared" si="14"/>
        <v>91.500000000082991</v>
      </c>
      <c r="T68" s="498">
        <f ca="1">IF(A68&gt;$A$1,#N/A,VLOOKUP(A68,Calculation!$B$8:$IV$881,30,FALSE))</f>
        <v>0</v>
      </c>
      <c r="U68" s="498">
        <f t="shared" si="8"/>
        <v>0</v>
      </c>
      <c r="V68" s="498">
        <f>Calculation!AP71</f>
        <v>0</v>
      </c>
      <c r="W68" s="498">
        <f t="shared" si="15"/>
        <v>0</v>
      </c>
      <c r="X68" s="498">
        <v>0</v>
      </c>
      <c r="Y68" s="744">
        <f t="shared" si="10"/>
        <v>0</v>
      </c>
      <c r="Z68" s="748">
        <f t="shared" si="11"/>
        <v>0</v>
      </c>
      <c r="AA68" s="498">
        <f t="shared" ca="1" si="16"/>
        <v>1865.3800000026351</v>
      </c>
      <c r="AB68" s="501">
        <f t="shared" ca="1" si="17"/>
        <v>645.38000000263514</v>
      </c>
      <c r="AC68" s="498" t="e">
        <f ca="1">IF(A68&gt;$A$1,#N/A,VLOOKUP(A68,Calculation!$B$8:$IV$881,155,FALSE))</f>
        <v>#N/A</v>
      </c>
      <c r="AD68" s="498" t="e">
        <f t="shared" ca="1" si="18"/>
        <v>#N/A</v>
      </c>
      <c r="AE68" s="498"/>
      <c r="AF68" s="501">
        <f>Calculation!G71</f>
        <v>662.67162053933168</v>
      </c>
      <c r="AG68" s="498" t="str">
        <f t="shared" si="19"/>
        <v>Yes</v>
      </c>
      <c r="AH68" s="498" t="str">
        <f t="shared" si="20"/>
        <v>Yes</v>
      </c>
      <c r="AK68" s="738">
        <v>2781.3200000042439</v>
      </c>
      <c r="AL68" s="738">
        <v>3215.5600000050804</v>
      </c>
      <c r="AM68" s="740">
        <v>1893.5200000027503</v>
      </c>
      <c r="AR68" s="549"/>
      <c r="AS68" s="525"/>
      <c r="AT68" s="581">
        <f>Calculation!AR71*3.068</f>
        <v>0</v>
      </c>
      <c r="AU68" s="575">
        <f ca="1">Calculation!DA71</f>
        <v>0</v>
      </c>
      <c r="AV68" s="575">
        <f>Calculation!CF71*3.068</f>
        <v>0</v>
      </c>
      <c r="AW68" s="582">
        <f>Calculation!BK71*3.068</f>
        <v>0</v>
      </c>
      <c r="AX68" s="524"/>
      <c r="AY68" s="560"/>
      <c r="AZ68" s="559"/>
      <c r="BA68" s="560"/>
      <c r="BB68" s="559"/>
      <c r="BC68" s="560"/>
      <c r="BD68" s="559"/>
      <c r="BE68" s="550"/>
    </row>
    <row r="69" spans="1:57" ht="13.5" thickBot="1">
      <c r="A69" s="513">
        <v>40601</v>
      </c>
      <c r="B69" s="498">
        <f t="shared" si="13"/>
        <v>66.830399999999997</v>
      </c>
      <c r="C69" s="498">
        <f>Calculation!AA72</f>
        <v>0</v>
      </c>
      <c r="D69" s="498">
        <f>Calculation!Y72</f>
        <v>0</v>
      </c>
      <c r="E69" s="498">
        <f>Calculation!U72</f>
        <v>34.498100000000001</v>
      </c>
      <c r="F69" s="498">
        <f>Calculation!V72</f>
        <v>32.332299999999996</v>
      </c>
      <c r="G69" s="498">
        <f>Calculation!W72</f>
        <v>5.15151</v>
      </c>
      <c r="H69" s="500">
        <f>Sheet1!H72</f>
        <v>5</v>
      </c>
      <c r="I69" s="501">
        <f>Sheet1!CW72</f>
        <v>1152.6041666666667</v>
      </c>
      <c r="J69" s="501">
        <f>Sheet1!CX72</f>
        <v>679.14583333333337</v>
      </c>
      <c r="K69" s="501">
        <f>Sheet1!CV72</f>
        <v>685.58823529411768</v>
      </c>
      <c r="L69" s="501">
        <f>Calculation!F72</f>
        <v>250</v>
      </c>
      <c r="M69" s="501">
        <f>Calculation!E72</f>
        <v>250</v>
      </c>
      <c r="N69" s="501">
        <f>Calculation!D72</f>
        <v>300</v>
      </c>
      <c r="O69" s="500">
        <f>Sheet1!CY72</f>
        <v>1074.97</v>
      </c>
      <c r="P69" s="514" t="e">
        <f>Calculation!ET72</f>
        <v>#N/A</v>
      </c>
      <c r="Q69" s="498">
        <f>Calculation!DF72</f>
        <v>1765.4600000024684</v>
      </c>
      <c r="R69" s="500">
        <f t="shared" ref="R69:R132" si="21">Q69-1220</f>
        <v>545.46000000246841</v>
      </c>
      <c r="S69" s="498">
        <f t="shared" si="14"/>
        <v>-99.920000000166738</v>
      </c>
      <c r="T69" s="498">
        <f ca="1">IF(A69&gt;$A$1,#N/A,VLOOKUP(A69,Calculation!$B$8:$IV$881,30,FALSE))</f>
        <v>0</v>
      </c>
      <c r="U69" s="498">
        <f t="shared" si="8"/>
        <v>0</v>
      </c>
      <c r="V69" s="498">
        <f>Calculation!AP72</f>
        <v>0</v>
      </c>
      <c r="W69" s="498">
        <f t="shared" si="15"/>
        <v>0</v>
      </c>
      <c r="X69" s="498">
        <v>0</v>
      </c>
      <c r="Y69" s="744">
        <f t="shared" si="10"/>
        <v>0</v>
      </c>
      <c r="Z69" s="748">
        <f t="shared" si="11"/>
        <v>0</v>
      </c>
      <c r="AA69" s="498">
        <f t="shared" ca="1" si="16"/>
        <v>1765.4600000024684</v>
      </c>
      <c r="AB69" s="501">
        <f t="shared" ca="1" si="17"/>
        <v>545.46000000246841</v>
      </c>
      <c r="AC69" s="498" t="e">
        <f ca="1">IF(A69&gt;$A$1,#N/A,VLOOKUP(A69,Calculation!$B$8:$IV$881,155,FALSE))</f>
        <v>#N/A</v>
      </c>
      <c r="AD69" s="498" t="e">
        <f t="shared" ca="1" si="18"/>
        <v>#N/A</v>
      </c>
      <c r="AE69" s="498"/>
      <c r="AF69" s="501">
        <f>Calculation!G72</f>
        <v>635.19993473931856</v>
      </c>
      <c r="AG69" s="498" t="str">
        <f t="shared" si="19"/>
        <v>Yes</v>
      </c>
      <c r="AH69" s="498" t="str">
        <f t="shared" si="20"/>
        <v>Yes</v>
      </c>
      <c r="AK69" s="738">
        <v>2816.5100000042789</v>
      </c>
      <c r="AL69" s="738">
        <v>4041.1000000065233</v>
      </c>
      <c r="AM69" s="740">
        <v>2109.3000000030447</v>
      </c>
      <c r="AR69" s="549"/>
      <c r="AS69" s="525"/>
      <c r="AT69" s="581">
        <f>Calculation!AR72*3.068</f>
        <v>0</v>
      </c>
      <c r="AU69" s="575">
        <f ca="1">Calculation!DA72</f>
        <v>0</v>
      </c>
      <c r="AV69" s="575">
        <f>Calculation!CF72*3.068</f>
        <v>0</v>
      </c>
      <c r="AW69" s="582">
        <f>Calculation!BK72*3.068</f>
        <v>0</v>
      </c>
      <c r="AX69" s="524"/>
      <c r="AY69" s="560"/>
      <c r="AZ69" s="559"/>
      <c r="BA69" s="560"/>
      <c r="BB69" s="559"/>
      <c r="BC69" s="560"/>
      <c r="BD69" s="559"/>
      <c r="BE69" s="550"/>
    </row>
    <row r="70" spans="1:57" ht="13.5" thickBot="1">
      <c r="A70" s="513">
        <v>40602</v>
      </c>
      <c r="B70" s="498">
        <f t="shared" si="13"/>
        <v>75.833940000006294</v>
      </c>
      <c r="C70" s="498">
        <f>Calculation!AA73</f>
        <v>0</v>
      </c>
      <c r="D70" s="498">
        <f>Calculation!Y73</f>
        <v>0</v>
      </c>
      <c r="E70" s="498">
        <f>Calculation!U73</f>
        <v>42.264040000010802</v>
      </c>
      <c r="F70" s="498">
        <f>Calculation!V73</f>
        <v>33.569899999995499</v>
      </c>
      <c r="G70" s="498">
        <f>Calculation!W73</f>
        <v>58.244549999999435</v>
      </c>
      <c r="H70" s="500">
        <f>Sheet1!H73</f>
        <v>30</v>
      </c>
      <c r="I70" s="501">
        <f>Sheet1!CW73</f>
        <v>1605</v>
      </c>
      <c r="J70" s="501">
        <f>Sheet1!CX73</f>
        <v>753.375</v>
      </c>
      <c r="K70" s="501">
        <f>Sheet1!CV73</f>
        <v>763.11764705882354</v>
      </c>
      <c r="L70" s="501">
        <f>Calculation!F73</f>
        <v>250</v>
      </c>
      <c r="M70" s="501">
        <f>Calculation!E73</f>
        <v>250</v>
      </c>
      <c r="N70" s="501">
        <f>Calculation!D73</f>
        <v>300</v>
      </c>
      <c r="O70" s="500">
        <f>Sheet1!CY73</f>
        <v>1074.53</v>
      </c>
      <c r="P70" s="514" t="e">
        <f>Calculation!ET73</f>
        <v>#N/A</v>
      </c>
      <c r="Q70" s="498">
        <f>Calculation!DF73</f>
        <v>1713.5400000024147</v>
      </c>
      <c r="R70" s="500">
        <f t="shared" si="21"/>
        <v>493.54000000241467</v>
      </c>
      <c r="S70" s="498">
        <f t="shared" si="14"/>
        <v>-51.920000000053733</v>
      </c>
      <c r="T70" s="498">
        <f ca="1">IF(A70&gt;$A$1,#N/A,VLOOKUP(A70,Calculation!$B$8:$IV$881,30,FALSE))</f>
        <v>0</v>
      </c>
      <c r="U70" s="498">
        <f t="shared" ref="U70:U133" si="22">D70</f>
        <v>0</v>
      </c>
      <c r="V70" s="498">
        <f>Calculation!AP73</f>
        <v>0</v>
      </c>
      <c r="W70" s="498">
        <f t="shared" si="15"/>
        <v>0</v>
      </c>
      <c r="X70" s="498">
        <v>0</v>
      </c>
      <c r="Y70" s="744">
        <f t="shared" ref="Y70:Y133" si="23">0.5*$W70</f>
        <v>0</v>
      </c>
      <c r="Z70" s="748">
        <f t="shared" ref="Z70:Z133" si="24">W70-Y70</f>
        <v>0</v>
      </c>
      <c r="AA70" s="498">
        <f t="shared" ca="1" si="16"/>
        <v>1713.5400000024147</v>
      </c>
      <c r="AB70" s="501">
        <f t="shared" ca="1" si="17"/>
        <v>493.54000000241467</v>
      </c>
      <c r="AC70" s="498" t="e">
        <f ca="1">IF(A70&gt;$A$1,#N/A,VLOOKUP(A70,Calculation!$B$8:$IV$881,155,FALSE))</f>
        <v>#N/A</v>
      </c>
      <c r="AD70" s="498" t="e">
        <f t="shared" ca="1" si="18"/>
        <v>#N/A</v>
      </c>
      <c r="AE70" s="498"/>
      <c r="AF70" s="501">
        <f>Calculation!G73</f>
        <v>736.93509536943691</v>
      </c>
      <c r="AG70" s="498" t="str">
        <f t="shared" si="19"/>
        <v>Yes</v>
      </c>
      <c r="AH70" s="498" t="str">
        <f t="shared" si="20"/>
        <v>Yes</v>
      </c>
      <c r="AK70" s="738">
        <v>2958.6400000045269</v>
      </c>
      <c r="AL70" s="738">
        <v>4579.9200000076617</v>
      </c>
      <c r="AM70" s="740">
        <v>2253.6500000032843</v>
      </c>
      <c r="AR70" s="549"/>
      <c r="AS70" s="525"/>
      <c r="AT70" s="581">
        <f>Calculation!AR73*3.068</f>
        <v>0</v>
      </c>
      <c r="AU70" s="575">
        <f ca="1">Calculation!DA73</f>
        <v>0</v>
      </c>
      <c r="AV70" s="575">
        <f>Calculation!CF73*3.068</f>
        <v>0</v>
      </c>
      <c r="AW70" s="582">
        <f>Calculation!BK73*3.068</f>
        <v>0</v>
      </c>
      <c r="AX70" s="524"/>
      <c r="AY70" s="560"/>
      <c r="AZ70" s="559"/>
      <c r="BA70" s="560"/>
      <c r="BB70" s="559"/>
      <c r="BC70" s="560"/>
      <c r="BD70" s="559"/>
      <c r="BE70" s="550"/>
    </row>
    <row r="71" spans="1:57" ht="13.5" thickBot="1">
      <c r="A71" s="513">
        <v>40603</v>
      </c>
      <c r="B71" s="498">
        <f t="shared" si="13"/>
        <v>77.473759999991444</v>
      </c>
      <c r="C71" s="498">
        <f>Calculation!AA74</f>
        <v>99.998080000000002</v>
      </c>
      <c r="D71" s="498">
        <f>Calculation!Y74</f>
        <v>0</v>
      </c>
      <c r="E71" s="498">
        <f>Calculation!U74</f>
        <v>46.688459999989192</v>
      </c>
      <c r="F71" s="498">
        <f>Calculation!V74</f>
        <v>30.785300000002248</v>
      </c>
      <c r="G71" s="498">
        <f>Calculation!W74</f>
        <v>56.032340000001795</v>
      </c>
      <c r="H71" s="500">
        <f>Sheet1!H74</f>
        <v>15.04</v>
      </c>
      <c r="I71" s="501">
        <f>Sheet1!CW74</f>
        <v>1443.6458333333333</v>
      </c>
      <c r="J71" s="501">
        <f>Sheet1!CX74</f>
        <v>600.38541666666663</v>
      </c>
      <c r="K71" s="501">
        <f>Sheet1!CV74</f>
        <v>598.47058823529414</v>
      </c>
      <c r="L71" s="501">
        <f>Calculation!F74</f>
        <v>250</v>
      </c>
      <c r="M71" s="501">
        <f>Calculation!E74</f>
        <v>250</v>
      </c>
      <c r="N71" s="501">
        <f>Calculation!D74</f>
        <v>300</v>
      </c>
      <c r="O71" s="500">
        <f>Sheet1!CY74</f>
        <v>1075.4000000000001</v>
      </c>
      <c r="P71" s="514" t="e">
        <f>Calculation!ET74</f>
        <v>#N/A</v>
      </c>
      <c r="Q71" s="498">
        <f>Calculation!DF74</f>
        <v>1817.8000000026075</v>
      </c>
      <c r="R71" s="500">
        <f t="shared" si="21"/>
        <v>597.80000000260748</v>
      </c>
      <c r="S71" s="498">
        <f t="shared" si="14"/>
        <v>104.2600000001928</v>
      </c>
      <c r="T71" s="498">
        <f ca="1">IF(A71&gt;$A$1,#N/A,VLOOKUP(A71,Calculation!$B$8:$IV$881,30,FALSE))</f>
        <v>198.31551999999999</v>
      </c>
      <c r="U71" s="498">
        <f t="shared" si="22"/>
        <v>0</v>
      </c>
      <c r="V71" s="498">
        <f>Calculation!AP74</f>
        <v>0</v>
      </c>
      <c r="W71" s="498">
        <f t="shared" si="15"/>
        <v>0</v>
      </c>
      <c r="X71" s="498">
        <v>0</v>
      </c>
      <c r="Y71" s="744">
        <f t="shared" si="23"/>
        <v>0</v>
      </c>
      <c r="Z71" s="748">
        <f t="shared" si="24"/>
        <v>0</v>
      </c>
      <c r="AA71" s="498">
        <f t="shared" ca="1" si="16"/>
        <v>1619.4844800026076</v>
      </c>
      <c r="AB71" s="501">
        <f t="shared" ca="1" si="17"/>
        <v>399.4844800026076</v>
      </c>
      <c r="AC71" s="498" t="e">
        <f ca="1">IF(A71&gt;$A$1,#N/A,VLOOKUP(A71,Calculation!$B$8:$IV$881,155,FALSE))</f>
        <v>#N/A</v>
      </c>
      <c r="AD71" s="498" t="e">
        <f t="shared" ca="1" si="18"/>
        <v>#N/A</v>
      </c>
      <c r="AE71" s="498"/>
      <c r="AF71" s="501">
        <f>Calculation!G74</f>
        <v>651.04749191668236</v>
      </c>
      <c r="AG71" s="498" t="str">
        <f t="shared" si="19"/>
        <v>Yes</v>
      </c>
      <c r="AH71" s="498" t="str">
        <f t="shared" si="20"/>
        <v>Yes</v>
      </c>
      <c r="AK71" s="738">
        <v>3698.050000005861</v>
      </c>
      <c r="AL71" s="738">
        <v>5024.4000000085034</v>
      </c>
      <c r="AM71" s="740">
        <v>2346.4000000035016</v>
      </c>
      <c r="AR71" s="549"/>
      <c r="AS71" s="522">
        <f ca="1">IF(Summary!A71&lt;Calculation!FT74,FORECAST(20000,A65:A71,T65:T71),0)</f>
        <v>40952.472878774184</v>
      </c>
      <c r="AT71" s="581">
        <f>Calculation!AR74*3.068</f>
        <v>82.631466666666668</v>
      </c>
      <c r="AU71" s="575">
        <f ca="1">Calculation!DA74</f>
        <v>38.561351111111115</v>
      </c>
      <c r="AV71" s="575">
        <f>Calculation!CF74*3.068</f>
        <v>38.561351111111115</v>
      </c>
      <c r="AW71" s="582">
        <f>Calculation!BK74*3.068</f>
        <v>38.561351111111115</v>
      </c>
      <c r="AX71" s="524"/>
      <c r="AY71" s="815">
        <f>IF(Summary!A71&lt;Calculation!FT74,FORECAST(8333.33,A65:A71,AT65:AT71),0)</f>
        <v>40952.472737585034</v>
      </c>
      <c r="AZ71" s="559"/>
      <c r="BA71" s="533">
        <f ca="1">IF(Summary!A71&lt;Calculation!FT74,FORECAST(3888.89,A65:A71,AU65:AU71),0)</f>
        <v>40952.472979623584</v>
      </c>
      <c r="BB71" s="559"/>
      <c r="BC71" s="825">
        <f>IF(Summary!A71&lt;Calculation!FT74,FORECAST(3888.89,A65:A71,AV65:AV71),0)</f>
        <v>40952.472979623584</v>
      </c>
      <c r="BD71" s="559"/>
      <c r="BE71" s="846">
        <f>IF(Summary!A71&lt;Calculation!FT74,FORECAST(3888.89,A65:A71,AW65:AW71),0)</f>
        <v>40952.472979623584</v>
      </c>
    </row>
    <row r="72" spans="1:57" ht="13.5" thickBot="1">
      <c r="A72" s="513">
        <v>40604</v>
      </c>
      <c r="B72" s="498">
        <f t="shared" si="13"/>
        <v>88.024300000002242</v>
      </c>
      <c r="C72" s="498">
        <f>Calculation!AA75</f>
        <v>89.846898497109265</v>
      </c>
      <c r="D72" s="498">
        <f>Calculation!Y75</f>
        <v>0</v>
      </c>
      <c r="E72" s="498">
        <f>Calculation!U75</f>
        <v>47.183499999999995</v>
      </c>
      <c r="F72" s="498">
        <f>Calculation!V75</f>
        <v>40.840800000002247</v>
      </c>
      <c r="G72" s="498">
        <f>Calculation!W75</f>
        <v>3.8674999999999997</v>
      </c>
      <c r="H72" s="500">
        <f>Sheet1!H75</f>
        <v>4.4000000000000004</v>
      </c>
      <c r="I72" s="501">
        <f>Sheet1!CW75</f>
        <v>1279.375</v>
      </c>
      <c r="J72" s="501">
        <f>Sheet1!CX75</f>
        <v>506.77083333333331</v>
      </c>
      <c r="K72" s="501">
        <f>Sheet1!CV75</f>
        <v>544.88235294117646</v>
      </c>
      <c r="L72" s="501">
        <f>Calculation!F75</f>
        <v>250</v>
      </c>
      <c r="M72" s="501">
        <f>Calculation!E75</f>
        <v>250</v>
      </c>
      <c r="N72" s="501">
        <f>Calculation!D75</f>
        <v>300</v>
      </c>
      <c r="O72" s="500">
        <f>Sheet1!CY75</f>
        <v>1077.54</v>
      </c>
      <c r="P72" s="514" t="e">
        <f>Calculation!ET75</f>
        <v>#N/A</v>
      </c>
      <c r="Q72" s="498">
        <f>Calculation!DF75</f>
        <v>2087.2000000030148</v>
      </c>
      <c r="R72" s="500">
        <f t="shared" si="21"/>
        <v>867.20000000301479</v>
      </c>
      <c r="S72" s="498">
        <f t="shared" si="14"/>
        <v>269.40000000040732</v>
      </c>
      <c r="T72" s="498">
        <f ca="1">IF(A72&gt;$A$1,#N/A,VLOOKUP(A72,Calculation!$B$8:$IV$881,30,FALSE))</f>
        <v>376.49928508670411</v>
      </c>
      <c r="U72" s="498">
        <f t="shared" si="22"/>
        <v>0</v>
      </c>
      <c r="V72" s="498">
        <f>Calculation!AP75</f>
        <v>0</v>
      </c>
      <c r="W72" s="498">
        <f t="shared" si="15"/>
        <v>0</v>
      </c>
      <c r="X72" s="498">
        <v>0</v>
      </c>
      <c r="Y72" s="744">
        <f t="shared" si="23"/>
        <v>0</v>
      </c>
      <c r="Z72" s="748">
        <f t="shared" si="24"/>
        <v>0</v>
      </c>
      <c r="AA72" s="498">
        <f t="shared" ca="1" si="16"/>
        <v>1710.7007149163107</v>
      </c>
      <c r="AB72" s="501">
        <f t="shared" ca="1" si="17"/>
        <v>490.70071491631074</v>
      </c>
      <c r="AC72" s="498" t="e">
        <f ca="1">IF(A72&gt;$A$1,#N/A,VLOOKUP(A72,Calculation!$B$8:$IV$881,155,FALSE))</f>
        <v>#N/A</v>
      </c>
      <c r="AD72" s="498" t="e">
        <f t="shared" ca="1" si="18"/>
        <v>#N/A</v>
      </c>
      <c r="AE72" s="498"/>
      <c r="AF72" s="501">
        <f>Calculation!G75</f>
        <v>680.73711844818968</v>
      </c>
      <c r="AG72" s="498" t="str">
        <f t="shared" si="19"/>
        <v>Yes</v>
      </c>
      <c r="AH72" s="498" t="str">
        <f t="shared" si="20"/>
        <v>Yes</v>
      </c>
      <c r="AK72" s="738">
        <v>4453.8800000073124</v>
      </c>
      <c r="AL72" s="738">
        <v>5333.7000000090438</v>
      </c>
      <c r="AM72" s="740">
        <v>2557.8500000037716</v>
      </c>
      <c r="AR72" s="549"/>
      <c r="AS72" s="471">
        <f ca="1">IF(Summary!A72&lt;Calculation!FT75,FORECAST(20000,A66:A72,T66:T72),0)</f>
        <v>40828.050171522642</v>
      </c>
      <c r="AT72" s="581">
        <f>Calculation!AR75*3.068</f>
        <v>165.26293333333334</v>
      </c>
      <c r="AU72" s="575">
        <f ca="1">Calculation!DA75</f>
        <v>62.453051355169393</v>
      </c>
      <c r="AV72" s="575">
        <f>Calculation!CF75*3.068</f>
        <v>71.660598175979146</v>
      </c>
      <c r="AW72" s="582">
        <f>Calculation!BK75*3.068</f>
        <v>77.12270222222223</v>
      </c>
      <c r="AX72" s="524"/>
      <c r="AY72" s="816">
        <f>IF(Summary!A72&lt;Calculation!FT75,FORECAST(8333.33,A66:A72,AT66:AT72),0)</f>
        <v>40817.290915436941</v>
      </c>
      <c r="AZ72" s="559"/>
      <c r="BA72" s="534">
        <f ca="1">IF(Summary!A72&lt;Calculation!FT75,FORECAST(3888.89,A66:A72,AU66:AU72),0)</f>
        <v>40861.766628560043</v>
      </c>
      <c r="BB72" s="559"/>
      <c r="BC72" s="826">
        <f>IF(Summary!A72&lt;Calculation!FT75,FORECAST(3888.89,A66:A72,AV66:AV72),0)</f>
        <v>40832.520424325296</v>
      </c>
      <c r="BD72" s="559"/>
      <c r="BE72" s="847">
        <f>IF(Summary!A72&lt;Calculation!FT75,FORECAST(3888.89,A66:A72,AW66:AW72),0)</f>
        <v>40817.291064383739</v>
      </c>
    </row>
    <row r="73" spans="1:57" ht="13.5" thickBot="1">
      <c r="A73" s="513">
        <v>40605</v>
      </c>
      <c r="B73" s="498">
        <f t="shared" si="13"/>
        <v>86.477300000013514</v>
      </c>
      <c r="C73" s="498">
        <f>Calculation!AA76</f>
        <v>86.858996506348589</v>
      </c>
      <c r="D73" s="498">
        <f>Calculation!Y76</f>
        <v>0</v>
      </c>
      <c r="E73" s="498">
        <f>Calculation!U76</f>
        <v>46.255300000013506</v>
      </c>
      <c r="F73" s="498">
        <f>Calculation!V76</f>
        <v>40.222000000000001</v>
      </c>
      <c r="G73" s="498">
        <f>Calculation!W76</f>
        <v>0</v>
      </c>
      <c r="H73" s="500">
        <f>Sheet1!H76</f>
        <v>3.2</v>
      </c>
      <c r="I73" s="501">
        <f>Sheet1!CW76</f>
        <v>1225.2083333333333</v>
      </c>
      <c r="J73" s="501">
        <f>Sheet1!CX76</f>
        <v>518.66666666666663</v>
      </c>
      <c r="K73" s="501">
        <f>Sheet1!CV76</f>
        <v>560.29411764705878</v>
      </c>
      <c r="L73" s="501">
        <f>Calculation!F76</f>
        <v>250</v>
      </c>
      <c r="M73" s="501">
        <f>Calculation!E76</f>
        <v>250</v>
      </c>
      <c r="N73" s="501">
        <f>Calculation!D76</f>
        <v>300</v>
      </c>
      <c r="O73" s="500">
        <f>Sheet1!CY76</f>
        <v>1079.23</v>
      </c>
      <c r="P73" s="514" t="e">
        <f>Calculation!ET76</f>
        <v>#N/A</v>
      </c>
      <c r="Q73" s="498">
        <f>Calculation!DF76</f>
        <v>2314.2000000034695</v>
      </c>
      <c r="R73" s="500">
        <f t="shared" si="21"/>
        <v>1094.2000000034695</v>
      </c>
      <c r="S73" s="498">
        <f t="shared" si="14"/>
        <v>227.00000000045475</v>
      </c>
      <c r="T73" s="498">
        <f ca="1">IF(A73&gt;$A$1,#N/A,VLOOKUP(A73,Calculation!$B$8:$IV$881,30,FALSE))</f>
        <v>548.75746303206768</v>
      </c>
      <c r="U73" s="498">
        <f t="shared" si="22"/>
        <v>0</v>
      </c>
      <c r="V73" s="498">
        <f>Calculation!AP76</f>
        <v>0</v>
      </c>
      <c r="W73" s="498">
        <f t="shared" si="15"/>
        <v>0</v>
      </c>
      <c r="X73" s="498">
        <v>0</v>
      </c>
      <c r="Y73" s="744">
        <f t="shared" si="23"/>
        <v>0</v>
      </c>
      <c r="Z73" s="748">
        <f t="shared" si="24"/>
        <v>0</v>
      </c>
      <c r="AA73" s="498">
        <f t="shared" ca="1" si="16"/>
        <v>1765.4425369714018</v>
      </c>
      <c r="AB73" s="501">
        <f t="shared" ca="1" si="17"/>
        <v>545.44253697140175</v>
      </c>
      <c r="AC73" s="498" t="e">
        <f ca="1">IF(A73&gt;$A$1,#N/A,VLOOKUP(A73,Calculation!$B$8:$IV$881,155,FALSE))</f>
        <v>#N/A</v>
      </c>
      <c r="AD73" s="498" t="e">
        <f t="shared" ca="1" si="18"/>
        <v>#N/A</v>
      </c>
      <c r="AE73" s="498"/>
      <c r="AF73" s="501">
        <f>Calculation!G76</f>
        <v>674.76713832303187</v>
      </c>
      <c r="AG73" s="498" t="str">
        <f t="shared" si="19"/>
        <v>Yes</v>
      </c>
      <c r="AH73" s="498" t="str">
        <f t="shared" si="20"/>
        <v>Yes</v>
      </c>
      <c r="AK73" s="738">
        <v>4373.480000007221</v>
      </c>
      <c r="AL73" s="738">
        <v>5655.8700000098361</v>
      </c>
      <c r="AM73" s="740">
        <v>2822.6300000042788</v>
      </c>
      <c r="AR73" s="549"/>
      <c r="AS73" s="471">
        <f ca="1">IF(Summary!A73&lt;Calculation!FT76,FORECAST(20000,A67:A73,T67:T73),0)</f>
        <v>40772.71817096306</v>
      </c>
      <c r="AT73" s="581">
        <f>Calculation!AR76*3.068</f>
        <v>247.89439999999999</v>
      </c>
      <c r="AU73" s="575">
        <f ca="1">Calculation!DA76</f>
        <v>82.507244328535222</v>
      </c>
      <c r="AV73" s="575">
        <f>Calculation!CF76*3.068</f>
        <v>102.67176537019914</v>
      </c>
      <c r="AW73" s="582">
        <f>Calculation!BK76*3.068</f>
        <v>115.68405333333332</v>
      </c>
      <c r="AX73" s="524"/>
      <c r="AY73" s="816">
        <f>IF(Summary!A73&lt;Calculation!FT76,FORECAST(8333.33,A67:A73,AT67:AT73),0)</f>
        <v>40760.052204070664</v>
      </c>
      <c r="AZ73" s="559"/>
      <c r="BA73" s="534">
        <f ca="1">IF(Summary!A73&lt;Calculation!FT76,FORECAST(3888.89,A67:A73,AU67:AU73),0)</f>
        <v>40817.013049261259</v>
      </c>
      <c r="BB73" s="559"/>
      <c r="BC73" s="826">
        <f>IF(Summary!A73&lt;Calculation!FT76,FORECAST(3888.89,A67:A73,AV67:AV73),0)</f>
        <v>40778.843350348121</v>
      </c>
      <c r="BD73" s="559"/>
      <c r="BE73" s="847">
        <f>IF(Summary!A73&lt;Calculation!FT76,FORECAST(3888.89,A67:A73,AW67:AW73),0)</f>
        <v>40760.052313378394</v>
      </c>
    </row>
    <row r="74" spans="1:57" ht="13.5" thickBot="1">
      <c r="A74" s="513">
        <v>40606</v>
      </c>
      <c r="B74" s="498">
        <f t="shared" si="13"/>
        <v>87.049689999983784</v>
      </c>
      <c r="C74" s="498">
        <f>Calculation!AA77</f>
        <v>86.711500270271145</v>
      </c>
      <c r="D74" s="498">
        <f>Calculation!Y77</f>
        <v>0</v>
      </c>
      <c r="E74" s="498">
        <f>Calculation!U77</f>
        <v>46.564699999986487</v>
      </c>
      <c r="F74" s="498">
        <f>Calculation!V77</f>
        <v>40.484989999997296</v>
      </c>
      <c r="G74" s="498">
        <f>Calculation!W77</f>
        <v>0</v>
      </c>
      <c r="H74" s="500">
        <f>Sheet1!H77</f>
        <v>1.39</v>
      </c>
      <c r="I74" s="501">
        <f>Sheet1!CW77</f>
        <v>1211.25</v>
      </c>
      <c r="J74" s="501">
        <f>Sheet1!CX77</f>
        <v>509.875</v>
      </c>
      <c r="K74" s="501">
        <f>Sheet1!CV77</f>
        <v>556.47058823529414</v>
      </c>
      <c r="L74" s="501">
        <f>Calculation!F77</f>
        <v>250</v>
      </c>
      <c r="M74" s="501">
        <f>Calculation!E77</f>
        <v>250</v>
      </c>
      <c r="N74" s="501">
        <f>Calculation!D77</f>
        <v>300</v>
      </c>
      <c r="O74" s="500">
        <f>Sheet1!CY77</f>
        <v>1080.47</v>
      </c>
      <c r="P74" s="514" t="e">
        <f>Calculation!ET77</f>
        <v>#N/A</v>
      </c>
      <c r="Q74" s="498">
        <f>Calculation!DF77</f>
        <v>2489.2100000037067</v>
      </c>
      <c r="R74" s="500">
        <f t="shared" si="21"/>
        <v>1269.2100000037067</v>
      </c>
      <c r="S74" s="498">
        <f t="shared" si="14"/>
        <v>175.01000000023714</v>
      </c>
      <c r="T74" s="498">
        <f ca="1">IF(A74&gt;$A$1,#N/A,VLOOKUP(A74,Calculation!$B$8:$IV$881,30,FALSE))</f>
        <v>720.72312743361385</v>
      </c>
      <c r="U74" s="498">
        <f t="shared" si="22"/>
        <v>0</v>
      </c>
      <c r="V74" s="498">
        <f>Calculation!AP77</f>
        <v>0</v>
      </c>
      <c r="W74" s="498">
        <f t="shared" si="15"/>
        <v>0</v>
      </c>
      <c r="X74" s="498">
        <v>0</v>
      </c>
      <c r="Y74" s="744">
        <f t="shared" si="23"/>
        <v>0</v>
      </c>
      <c r="Z74" s="748">
        <f t="shared" si="24"/>
        <v>0</v>
      </c>
      <c r="AA74" s="498">
        <f t="shared" ca="1" si="16"/>
        <v>1768.4868725700928</v>
      </c>
      <c r="AB74" s="501">
        <f t="shared" ca="1" si="17"/>
        <v>548.48687257009283</v>
      </c>
      <c r="AC74" s="498" t="e">
        <f ca="1">IF(A74&gt;$A$1,#N/A,VLOOKUP(A74,Calculation!$B$8:$IV$881,155,FALSE))</f>
        <v>#N/A</v>
      </c>
      <c r="AD74" s="498" t="e">
        <f t="shared" ca="1" si="18"/>
        <v>#N/A</v>
      </c>
      <c r="AE74" s="498"/>
      <c r="AF74" s="501">
        <f>Calculation!G77</f>
        <v>644.72575717136931</v>
      </c>
      <c r="AG74" s="498" t="str">
        <f t="shared" si="19"/>
        <v>Yes</v>
      </c>
      <c r="AH74" s="498" t="str">
        <f t="shared" si="20"/>
        <v>Yes</v>
      </c>
      <c r="AK74" s="738">
        <v>4357.400000007221</v>
      </c>
      <c r="AL74" s="738">
        <v>6081.1600000107719</v>
      </c>
      <c r="AM74" s="740">
        <v>2958.6400000045269</v>
      </c>
      <c r="AR74" s="549"/>
      <c r="AS74" s="471">
        <f ca="1">IF(Summary!A74&lt;Calculation!FT77,FORECAST(20000,A68:A74,T68:T74),0)</f>
        <v>40742.150979644022</v>
      </c>
      <c r="AT74" s="581">
        <f>Calculation!AR77*3.068</f>
        <v>330.52586666666667</v>
      </c>
      <c r="AU74" s="575">
        <f ca="1">Calculation!DA77</f>
        <v>102.37569787980203</v>
      </c>
      <c r="AV74" s="575">
        <f>Calculation!CF77*3.068</f>
        <v>133.57615844270074</v>
      </c>
      <c r="AW74" s="582">
        <f>Calculation!BK77*3.068</f>
        <v>154.24540444444446</v>
      </c>
      <c r="AX74" s="524"/>
      <c r="AY74" s="816">
        <f>IF(Summary!A74&lt;Calculation!FT77,FORECAST(8333.33,A68:A74,AT68:AT74),0)</f>
        <v>40729.535540940014</v>
      </c>
      <c r="AZ74" s="559"/>
      <c r="BA74" s="534">
        <f ca="1">IF(Summary!A74&lt;Calculation!FT77,FORECAST(3888.89,A68:A74,AU68:AU74),0)</f>
        <v>40790.033051858867</v>
      </c>
      <c r="BB74" s="559"/>
      <c r="BC74" s="826">
        <f>IF(Summary!A74&lt;Calculation!FT77,FORECAST(3888.89,A68:A74,AV68:AV74),0)</f>
        <v>40748.71344707637</v>
      </c>
      <c r="BD74" s="559"/>
      <c r="BE74" s="847">
        <f>IF(Summary!A74&lt;Calculation!FT77,FORECAST(3888.89,A68:A74,AW68:AW74),0)</f>
        <v>40729.535628954029</v>
      </c>
    </row>
    <row r="75" spans="1:57" ht="13.5" thickBot="1">
      <c r="A75" s="513">
        <v>40607</v>
      </c>
      <c r="B75" s="498">
        <f t="shared" si="13"/>
        <v>84.729190000006298</v>
      </c>
      <c r="C75" s="498">
        <f>Calculation!AA78</f>
        <v>86.924212436392551</v>
      </c>
      <c r="D75" s="498">
        <f>Calculation!Y78</f>
        <v>0</v>
      </c>
      <c r="E75" s="498">
        <f>Calculation!U78</f>
        <v>45.017700000009</v>
      </c>
      <c r="F75" s="498">
        <f>Calculation!V78</f>
        <v>39.711489999997298</v>
      </c>
      <c r="G75" s="498">
        <f>Calculation!W78</f>
        <v>30.243849999998872</v>
      </c>
      <c r="H75" s="500">
        <f>Sheet1!H78</f>
        <v>1.51</v>
      </c>
      <c r="I75" s="501">
        <f>Sheet1!CW78</f>
        <v>1198.3333333333333</v>
      </c>
      <c r="J75" s="501">
        <f>Sheet1!CX78</f>
        <v>545.63541666666663</v>
      </c>
      <c r="K75" s="501">
        <f>Sheet1!CV78</f>
        <v>551.47058823529414</v>
      </c>
      <c r="L75" s="501">
        <f>Calculation!F78</f>
        <v>250</v>
      </c>
      <c r="M75" s="501">
        <f>Calculation!E78</f>
        <v>250</v>
      </c>
      <c r="N75" s="501">
        <f>Calculation!D78</f>
        <v>300</v>
      </c>
      <c r="O75" s="500">
        <f>Sheet1!CY78</f>
        <v>1081.6199999999999</v>
      </c>
      <c r="P75" s="514" t="e">
        <f>Calculation!ET78</f>
        <v>#N/A</v>
      </c>
      <c r="Q75" s="498">
        <f>Calculation!DF78</f>
        <v>2657.3800000039978</v>
      </c>
      <c r="R75" s="500">
        <f t="shared" si="21"/>
        <v>1437.3800000039978</v>
      </c>
      <c r="S75" s="498">
        <f t="shared" si="14"/>
        <v>168.17000000029111</v>
      </c>
      <c r="T75" s="498">
        <f ca="1">IF(A75&gt;$A$1,#N/A,VLOOKUP(A75,Calculation!$B$8:$IV$881,30,FALSE))</f>
        <v>893.1106411730143</v>
      </c>
      <c r="U75" s="498">
        <f t="shared" si="22"/>
        <v>0</v>
      </c>
      <c r="V75" s="498">
        <f>Calculation!AP78</f>
        <v>0</v>
      </c>
      <c r="W75" s="498">
        <f t="shared" si="15"/>
        <v>0</v>
      </c>
      <c r="X75" s="498">
        <v>0</v>
      </c>
      <c r="Y75" s="744">
        <f t="shared" si="23"/>
        <v>0</v>
      </c>
      <c r="Z75" s="748">
        <f t="shared" si="24"/>
        <v>0</v>
      </c>
      <c r="AA75" s="498">
        <f t="shared" ca="1" si="16"/>
        <v>1764.2693588309835</v>
      </c>
      <c r="AB75" s="501">
        <f t="shared" ca="1" si="17"/>
        <v>544.26935883098349</v>
      </c>
      <c r="AC75" s="498" t="e">
        <f ca="1">IF(A75&gt;$A$1,#N/A,VLOOKUP(A75,Calculation!$B$8:$IV$881,155,FALSE))</f>
        <v>#N/A</v>
      </c>
      <c r="AD75" s="498" t="e">
        <f t="shared" ca="1" si="18"/>
        <v>#N/A</v>
      </c>
      <c r="AE75" s="498"/>
      <c r="AF75" s="501">
        <f>Calculation!G78</f>
        <v>636.27643795808342</v>
      </c>
      <c r="AG75" s="498" t="str">
        <f t="shared" si="19"/>
        <v>Yes</v>
      </c>
      <c r="AH75" s="498" t="str">
        <f t="shared" si="20"/>
        <v>Yes</v>
      </c>
      <c r="AK75" s="738">
        <v>4439.8100000072664</v>
      </c>
      <c r="AL75" s="738">
        <v>6651.8000000119155</v>
      </c>
      <c r="AM75" s="740">
        <v>3177.2800000048624</v>
      </c>
      <c r="AR75" s="549"/>
      <c r="AS75" s="471">
        <f ca="1">IF(Summary!A75&lt;Calculation!FT78,FORECAST(20000,A69:A75,T69:T75),0)</f>
        <v>40724.298519517659</v>
      </c>
      <c r="AT75" s="581">
        <f>Calculation!AR78*3.068</f>
        <v>413.15733333333333</v>
      </c>
      <c r="AU75" s="575">
        <f ca="1">Calculation!DA78</f>
        <v>122.50812650826211</v>
      </c>
      <c r="AV75" s="575">
        <f>Calculation!CF78*3.068</f>
        <v>164.63842577586325</v>
      </c>
      <c r="AW75" s="582">
        <f>Calculation!BK78*3.068</f>
        <v>192.80675555555558</v>
      </c>
      <c r="AX75" s="524"/>
      <c r="AY75" s="816">
        <f>IF(Summary!A75&lt;Calculation!FT78,FORECAST(8333.33,A69:A75,AT69:AT75),0)</f>
        <v>40711.960230495322</v>
      </c>
      <c r="AZ75" s="559"/>
      <c r="BA75" s="534">
        <f ca="1">IF(Summary!A75&lt;Calculation!FT78,FORECAST(3888.89,A69:A75,AU69:AU75),0)</f>
        <v>40774.357301118871</v>
      </c>
      <c r="BB75" s="559"/>
      <c r="BC75" s="826">
        <f>IF(Summary!A75&lt;Calculation!FT78,FORECAST(3888.89,A69:A75,AV69:AV75),0)</f>
        <v>40731.001081980474</v>
      </c>
      <c r="BD75" s="559"/>
      <c r="BE75" s="847">
        <f>IF(Summary!A75&lt;Calculation!FT78,FORECAST(3888.89,A69:A75,AW69:AW75),0)</f>
        <v>40711.960306132372</v>
      </c>
    </row>
    <row r="76" spans="1:57" ht="13.5" thickBot="1">
      <c r="A76" s="513">
        <v>40608</v>
      </c>
      <c r="B76" s="498">
        <f t="shared" si="13"/>
        <v>87.637549999990995</v>
      </c>
      <c r="C76" s="498">
        <f>Calculation!AA79</f>
        <v>86.524158146003487</v>
      </c>
      <c r="D76" s="498">
        <f>Calculation!Y79</f>
        <v>0</v>
      </c>
      <c r="E76" s="498">
        <f>Calculation!U79</f>
        <v>46.549229999994594</v>
      </c>
      <c r="F76" s="498">
        <f>Calculation!V79</f>
        <v>41.088319999996394</v>
      </c>
      <c r="G76" s="498">
        <f>Calculation!W79</f>
        <v>0</v>
      </c>
      <c r="H76" s="500">
        <f>Sheet1!H79</f>
        <v>1.28</v>
      </c>
      <c r="I76" s="501">
        <f>Sheet1!CW79</f>
        <v>1172.0833333333333</v>
      </c>
      <c r="J76" s="501">
        <f>Sheet1!CX79</f>
        <v>518.34375</v>
      </c>
      <c r="K76" s="501">
        <f>Sheet1!CV79</f>
        <v>556.17647058823525</v>
      </c>
      <c r="L76" s="501">
        <f>Calculation!F79</f>
        <v>250</v>
      </c>
      <c r="M76" s="501">
        <f>Calculation!E79</f>
        <v>250</v>
      </c>
      <c r="N76" s="501">
        <f>Calculation!D79</f>
        <v>300</v>
      </c>
      <c r="O76" s="500">
        <f>Sheet1!CY79</f>
        <v>1082.51</v>
      </c>
      <c r="P76" s="514" t="e">
        <f>Calculation!ET79</f>
        <v>#N/A</v>
      </c>
      <c r="Q76" s="498">
        <f>Calculation!DF79</f>
        <v>2792.0300000042444</v>
      </c>
      <c r="R76" s="500">
        <f t="shared" si="21"/>
        <v>1572.0300000042444</v>
      </c>
      <c r="S76" s="498">
        <f t="shared" si="14"/>
        <v>134.65000000024656</v>
      </c>
      <c r="T76" s="498">
        <f ca="1">IF(A76&gt;$A$1,#N/A,VLOOKUP(A76,Calculation!$B$8:$IV$881,30,FALSE))</f>
        <v>1064.7047699331556</v>
      </c>
      <c r="U76" s="498">
        <f t="shared" si="22"/>
        <v>0</v>
      </c>
      <c r="V76" s="498">
        <f>Calculation!AP79</f>
        <v>0</v>
      </c>
      <c r="W76" s="498">
        <f t="shared" si="15"/>
        <v>0</v>
      </c>
      <c r="X76" s="498">
        <v>0</v>
      </c>
      <c r="Y76" s="744">
        <f t="shared" si="23"/>
        <v>0</v>
      </c>
      <c r="Z76" s="748">
        <f t="shared" si="24"/>
        <v>0</v>
      </c>
      <c r="AA76" s="498">
        <f t="shared" ca="1" si="16"/>
        <v>1727.3252300710888</v>
      </c>
      <c r="AB76" s="501">
        <f t="shared" ca="1" si="17"/>
        <v>507.32523007108875</v>
      </c>
      <c r="AC76" s="498" t="e">
        <f ca="1">IF(A76&gt;$A$1,#N/A,VLOOKUP(A76,Calculation!$B$8:$IV$881,155,FALSE))</f>
        <v>#N/A</v>
      </c>
      <c r="AD76" s="498" t="e">
        <f t="shared" ca="1" si="18"/>
        <v>#N/A</v>
      </c>
      <c r="AE76" s="498"/>
      <c r="AF76" s="501">
        <f>Calculation!G79</f>
        <v>624.07863902002873</v>
      </c>
      <c r="AG76" s="498" t="str">
        <f t="shared" si="19"/>
        <v>Yes</v>
      </c>
      <c r="AH76" s="498" t="str">
        <f t="shared" si="20"/>
        <v>Yes</v>
      </c>
      <c r="AK76" s="738">
        <v>4540.4000000076139</v>
      </c>
      <c r="AL76" s="738">
        <v>7620.0700000139614</v>
      </c>
      <c r="AM76" s="740">
        <v>3333.1600000051567</v>
      </c>
      <c r="AR76" s="549"/>
      <c r="AS76" s="471">
        <f ca="1">IF(Summary!A76&lt;Calculation!FT79,FORECAST(20000,A70:A76,T70:T76),0)</f>
        <v>40715.494779193905</v>
      </c>
      <c r="AT76" s="581">
        <f>Calculation!AR79*3.068</f>
        <v>495.78879999999998</v>
      </c>
      <c r="AU76" s="575">
        <f ca="1">Calculation!DA79</f>
        <v>142.09068030767153</v>
      </c>
      <c r="AV76" s="575">
        <f>Calculation!CF79*3.068</f>
        <v>195.45718295881744</v>
      </c>
      <c r="AW76" s="582">
        <f>Calculation!BK79*3.068</f>
        <v>231.3681066666667</v>
      </c>
      <c r="AX76" s="524"/>
      <c r="AY76" s="816">
        <f>IF(Summary!A76&lt;Calculation!FT79,FORECAST(8333.33,A70:A76,AT70:AT76),0)</f>
        <v>40702.849353595724</v>
      </c>
      <c r="AZ76" s="559"/>
      <c r="BA76" s="534">
        <f ca="1">IF(Summary!A76&lt;Calculation!FT79,FORECAST(3888.89,A70:A76,AU70:AU76),0)</f>
        <v>40770.693893977405</v>
      </c>
      <c r="BB76" s="559"/>
      <c r="BC76" s="826">
        <f>IF(Summary!A76&lt;Calculation!FT79,FORECAST(3888.89,A70:A76,AV70:AV76),0)</f>
        <v>40722.629502379576</v>
      </c>
      <c r="BD76" s="559"/>
      <c r="BE76" s="847">
        <f>IF(Summary!A76&lt;Calculation!FT79,FORECAST(3888.89,A70:A76,AW70:AW76),0)</f>
        <v>40702.849422749598</v>
      </c>
    </row>
    <row r="77" spans="1:57" ht="13.5" thickBot="1">
      <c r="A77" s="513">
        <v>40609</v>
      </c>
      <c r="B77" s="498">
        <f t="shared" ref="B77:B140" si="25">E77+F77</f>
        <v>85.409869999998648</v>
      </c>
      <c r="C77" s="498">
        <f>Calculation!AA80</f>
        <v>86.755367148902678</v>
      </c>
      <c r="D77" s="498">
        <f>Calculation!Y80</f>
        <v>0</v>
      </c>
      <c r="E77" s="498">
        <f>Calculation!U80</f>
        <v>45.3425699999964</v>
      </c>
      <c r="F77" s="498">
        <f>Calculation!V80</f>
        <v>40.067300000002248</v>
      </c>
      <c r="G77" s="498">
        <f>Calculation!W80</f>
        <v>0</v>
      </c>
      <c r="H77" s="500">
        <f>Sheet1!H80</f>
        <v>1</v>
      </c>
      <c r="I77" s="501">
        <f>Sheet1!CW80</f>
        <v>1109.5833333333333</v>
      </c>
      <c r="J77" s="501">
        <f>Sheet1!CX80</f>
        <v>483.77083333333331</v>
      </c>
      <c r="K77" s="501">
        <f>Sheet1!CV80</f>
        <v>532.75</v>
      </c>
      <c r="L77" s="501">
        <f>Calculation!F80</f>
        <v>250</v>
      </c>
      <c r="M77" s="501">
        <f>Calculation!E80</f>
        <v>250</v>
      </c>
      <c r="N77" s="501">
        <f>Calculation!D80</f>
        <v>300</v>
      </c>
      <c r="O77" s="500">
        <f>Sheet1!CY80</f>
        <v>1083.6500000000001</v>
      </c>
      <c r="P77" s="514" t="e">
        <f>Calculation!ET80</f>
        <v>#N/A</v>
      </c>
      <c r="Q77" s="498">
        <f>Calculation!DF80</f>
        <v>2969.7000000045628</v>
      </c>
      <c r="R77" s="500">
        <f t="shared" si="21"/>
        <v>1749.7000000045628</v>
      </c>
      <c r="S77" s="498">
        <f t="shared" ref="S77:S140" si="26">R77-R76</f>
        <v>177.6700000003184</v>
      </c>
      <c r="T77" s="498">
        <f ca="1">IF(A77&gt;$A$1,#N/A,VLOOKUP(A77,Calculation!$B$8:$IV$881,30,FALSE))</f>
        <v>1236.7574308335006</v>
      </c>
      <c r="U77" s="498">
        <f t="shared" si="22"/>
        <v>0</v>
      </c>
      <c r="V77" s="498">
        <f>Calculation!AP80</f>
        <v>0</v>
      </c>
      <c r="W77" s="498">
        <f t="shared" ref="W77:W128" si="27">IF(B77&lt;1,#N/A,W76-X77*1.983)</f>
        <v>0</v>
      </c>
      <c r="X77" s="498">
        <v>0</v>
      </c>
      <c r="Y77" s="744">
        <f t="shared" si="23"/>
        <v>0</v>
      </c>
      <c r="Z77" s="748">
        <f t="shared" si="24"/>
        <v>0</v>
      </c>
      <c r="AA77" s="498">
        <f t="shared" ref="AA77:AA140" ca="1" si="28">IF(Q77-T77-W77&lt;0,0,Q77-T77-W77)</f>
        <v>1732.9425691710621</v>
      </c>
      <c r="AB77" s="501">
        <f t="shared" ref="AB77:AB140" ca="1" si="29">AA77-1220</f>
        <v>512.94256917106213</v>
      </c>
      <c r="AC77" s="498" t="e">
        <f ca="1">IF(A77&gt;$A$1,#N/A,VLOOKUP(A77,Calculation!$B$8:$IV$881,155,FALSE))</f>
        <v>#N/A</v>
      </c>
      <c r="AD77" s="498" t="e">
        <f t="shared" ref="AD77:AD140" ca="1" si="30">AC77-AC76</f>
        <v>#N/A</v>
      </c>
      <c r="AE77" s="498"/>
      <c r="AF77" s="501">
        <f>Calculation!G80</f>
        <v>622.34657085240462</v>
      </c>
      <c r="AG77" s="498" t="str">
        <f t="shared" ref="AG77:AG140" si="31">IF(I77&gt;L77,"Yes","No")</f>
        <v>Yes</v>
      </c>
      <c r="AH77" s="498" t="str">
        <f t="shared" ref="AH77:AH140" si="32">IF(AND(I77&gt;M77,J77&gt;N77),"Yes","No")</f>
        <v>Yes</v>
      </c>
      <c r="AK77" s="738">
        <v>4683.9200000077562</v>
      </c>
      <c r="AL77" s="738">
        <v>8520.0700000160741</v>
      </c>
      <c r="AM77" s="740">
        <v>3439.7700000054283</v>
      </c>
      <c r="AR77" s="549"/>
      <c r="AS77" s="471">
        <f ca="1">IF(Summary!A77&lt;Calculation!FT80,FORECAST(20000,A71:A77,T71:T77),0)</f>
        <v>40717.625451950109</v>
      </c>
      <c r="AT77" s="581">
        <f>Calculation!AR80*3.068</f>
        <v>578.42026666666663</v>
      </c>
      <c r="AU77" s="575">
        <f ca="1">Calculation!DA80</f>
        <v>162.09375962193667</v>
      </c>
      <c r="AV77" s="575">
        <f>Calculation!CF80*3.068</f>
        <v>226.31394676711935</v>
      </c>
      <c r="AW77" s="582">
        <f>Calculation!BK80*3.068</f>
        <v>269.92945777777783</v>
      </c>
      <c r="AX77" s="524"/>
      <c r="AY77" s="816">
        <f>IF(Summary!A77&lt;Calculation!FT80,FORECAST(8333.33,A71:A77,AT71:AT77),0)</f>
        <v>40702.849353595724</v>
      </c>
      <c r="AZ77" s="559"/>
      <c r="BA77" s="534">
        <f ca="1">IF(Summary!A77&lt;Calculation!FT80,FORECAST(3888.89,A71:A77,AU71:AU77),0)</f>
        <v>40791.930625092507</v>
      </c>
      <c r="BB77" s="559"/>
      <c r="BC77" s="826">
        <f>IF(Summary!A77&lt;Calculation!FT80,FORECAST(3888.89,A71:A77,AV71:AV77),0)</f>
        <v>40726.468558257802</v>
      </c>
      <c r="BD77" s="559"/>
      <c r="BE77" s="847">
        <f>IF(Summary!A77&lt;Calculation!FT80,FORECAST(3888.89,A71:A77,AW71:AW77),0)</f>
        <v>40702.849422749598</v>
      </c>
    </row>
    <row r="78" spans="1:57" ht="13.5" thickBot="1">
      <c r="A78" s="513">
        <v>40610</v>
      </c>
      <c r="B78" s="498">
        <f t="shared" si="25"/>
        <v>85.703800000013501</v>
      </c>
      <c r="C78" s="498">
        <f>Calculation!AA81</f>
        <v>86.735355808936831</v>
      </c>
      <c r="D78" s="498">
        <f>Calculation!Y81</f>
        <v>0</v>
      </c>
      <c r="E78" s="498">
        <f>Calculation!U81</f>
        <v>45.481800000013507</v>
      </c>
      <c r="F78" s="498">
        <f>Calculation!V81</f>
        <v>40.222000000000001</v>
      </c>
      <c r="G78" s="498">
        <f>Calculation!W81</f>
        <v>0</v>
      </c>
      <c r="H78" s="500">
        <f>Sheet1!H81</f>
        <v>1.1000000000000001</v>
      </c>
      <c r="I78" s="501">
        <f>Sheet1!CW81</f>
        <v>1051.6666666666667</v>
      </c>
      <c r="J78" s="501">
        <f>Sheet1!CX81</f>
        <v>467.95833333333331</v>
      </c>
      <c r="K78" s="501">
        <f>Sheet1!CV81</f>
        <v>501.88235294117646</v>
      </c>
      <c r="L78" s="501">
        <f>Calculation!F81</f>
        <v>250</v>
      </c>
      <c r="M78" s="501">
        <f>Calculation!E81</f>
        <v>250</v>
      </c>
      <c r="N78" s="501">
        <f>Calculation!D81</f>
        <v>300</v>
      </c>
      <c r="O78" s="500">
        <f>Sheet1!CY81</f>
        <v>1085.1400000000001</v>
      </c>
      <c r="P78" s="514" t="e">
        <f>Calculation!ET81</f>
        <v>#N/A</v>
      </c>
      <c r="Q78" s="498">
        <f>Calculation!DF81</f>
        <v>3210.5200000050804</v>
      </c>
      <c r="R78" s="500">
        <f t="shared" si="21"/>
        <v>1990.5200000050804</v>
      </c>
      <c r="S78" s="498">
        <f t="shared" si="26"/>
        <v>240.82000000051767</v>
      </c>
      <c r="T78" s="498">
        <f ca="1">IF(A78&gt;$A$1,#N/A,VLOOKUP(A78,Calculation!$B$8:$IV$881,30,FALSE))</f>
        <v>1408.7704053789548</v>
      </c>
      <c r="U78" s="498">
        <f t="shared" si="22"/>
        <v>0</v>
      </c>
      <c r="V78" s="498">
        <f>Calculation!AP81</f>
        <v>0</v>
      </c>
      <c r="W78" s="498">
        <f t="shared" si="27"/>
        <v>0</v>
      </c>
      <c r="X78" s="498">
        <v>0</v>
      </c>
      <c r="Y78" s="744">
        <f t="shared" si="23"/>
        <v>0</v>
      </c>
      <c r="Z78" s="748">
        <f t="shared" si="24"/>
        <v>0</v>
      </c>
      <c r="AA78" s="498">
        <f t="shared" ca="1" si="28"/>
        <v>1801.7495946261256</v>
      </c>
      <c r="AB78" s="501">
        <f t="shared" ca="1" si="29"/>
        <v>581.7495946261256</v>
      </c>
      <c r="AC78" s="498" t="e">
        <f ca="1">IF(A78&gt;$A$1,#N/A,VLOOKUP(A78,Calculation!$B$8:$IV$881,155,FALSE))</f>
        <v>#N/A</v>
      </c>
      <c r="AD78" s="498" t="e">
        <f t="shared" ca="1" si="30"/>
        <v>#N/A</v>
      </c>
      <c r="AE78" s="498"/>
      <c r="AF78" s="501">
        <f>Calculation!G81</f>
        <v>623.32461214466491</v>
      </c>
      <c r="AG78" s="498" t="str">
        <f t="shared" si="31"/>
        <v>Yes</v>
      </c>
      <c r="AH78" s="498" t="str">
        <f t="shared" si="32"/>
        <v>Yes</v>
      </c>
      <c r="AK78" s="738">
        <v>4813.8000000080392</v>
      </c>
      <c r="AL78" s="738">
        <v>9214.2200000175435</v>
      </c>
      <c r="AM78" s="740">
        <v>3594.2300000057385</v>
      </c>
      <c r="AR78" s="549"/>
      <c r="AS78" s="471">
        <f ca="1">IF(Summary!A78&lt;Calculation!FT81,FORECAST(20000,A72:A78,T72:T78),0)</f>
        <v>40718.070245394374</v>
      </c>
      <c r="AT78" s="581">
        <f>Calculation!AR81*3.068</f>
        <v>661.05173333333335</v>
      </c>
      <c r="AU78" s="575">
        <f ca="1">Calculation!DA81</f>
        <v>182.09583800577505</v>
      </c>
      <c r="AV78" s="575">
        <f>Calculation!CF81*3.068</f>
        <v>257.1320251509577</v>
      </c>
      <c r="AW78" s="582">
        <f>Calculation!BK81*3.068</f>
        <v>308.49080888888892</v>
      </c>
      <c r="AX78" s="524"/>
      <c r="AY78" s="816">
        <f>IF(Summary!A78&lt;Calculation!FT81,FORECAST(8333.33,A72:A78,AT72:AT78),0)</f>
        <v>40702.849353595724</v>
      </c>
      <c r="AZ78" s="559"/>
      <c r="BA78" s="534">
        <f ca="1">IF(Summary!A78&lt;Calculation!FT81,FORECAST(3888.89,A72:A78,AU72:AU78),0)</f>
        <v>40796.065316149012</v>
      </c>
      <c r="BB78" s="559"/>
      <c r="BC78" s="826">
        <f>IF(Summary!A78&lt;Calculation!FT81,FORECAST(3888.89,A72:A78,AV72:AV78),0)</f>
        <v>40727.477591633171</v>
      </c>
      <c r="BD78" s="559"/>
      <c r="BE78" s="847">
        <f>IF(Summary!A78&lt;Calculation!FT81,FORECAST(3888.89,A72:A78,AW72:AW78),0)</f>
        <v>40702.849422749598</v>
      </c>
    </row>
    <row r="79" spans="1:57" ht="13.5" thickBot="1">
      <c r="A79" s="513">
        <v>40611</v>
      </c>
      <c r="B79" s="498">
        <f t="shared" si="25"/>
        <v>85.054059999993697</v>
      </c>
      <c r="C79" s="498">
        <f>Calculation!AA82</f>
        <v>86.857879884393654</v>
      </c>
      <c r="D79" s="498">
        <f>Calculation!Y82</f>
        <v>0</v>
      </c>
      <c r="E79" s="498">
        <f>Calculation!U82</f>
        <v>45.172399999995498</v>
      </c>
      <c r="F79" s="498">
        <f>Calculation!V82</f>
        <v>39.881659999998199</v>
      </c>
      <c r="G79" s="498">
        <f>Calculation!W82</f>
        <v>0.38674999999999998</v>
      </c>
      <c r="H79" s="500">
        <f>Sheet1!H82</f>
        <v>3.87</v>
      </c>
      <c r="I79" s="501">
        <f>Sheet1!CW82</f>
        <v>1169.4791666666667</v>
      </c>
      <c r="J79" s="501">
        <f>Sheet1!CX82</f>
        <v>570.125</v>
      </c>
      <c r="K79" s="501">
        <f>Sheet1!CV82</f>
        <v>526.64705882352939</v>
      </c>
      <c r="L79" s="501">
        <f>Calculation!F82</f>
        <v>250</v>
      </c>
      <c r="M79" s="501">
        <f>Calculation!E82</f>
        <v>250</v>
      </c>
      <c r="N79" s="501">
        <f>Calculation!D82</f>
        <v>300</v>
      </c>
      <c r="O79" s="500">
        <f>Sheet1!CY82</f>
        <v>1087.27</v>
      </c>
      <c r="P79" s="514" t="e">
        <f>Calculation!ET82</f>
        <v>#N/A</v>
      </c>
      <c r="Q79" s="498">
        <f>Calculation!DF82</f>
        <v>3576.3300000057388</v>
      </c>
      <c r="R79" s="500">
        <f t="shared" si="21"/>
        <v>2356.3300000057388</v>
      </c>
      <c r="S79" s="498">
        <f t="shared" si="26"/>
        <v>365.81000000065842</v>
      </c>
      <c r="T79" s="498">
        <f ca="1">IF(A79&gt;$A$1,#N/A,VLOOKUP(A79,Calculation!$B$8:$IV$881,30,FALSE))</f>
        <v>1581.0263688471646</v>
      </c>
      <c r="U79" s="498">
        <f t="shared" si="22"/>
        <v>0</v>
      </c>
      <c r="V79" s="498">
        <f>Calculation!AP82</f>
        <v>0</v>
      </c>
      <c r="W79" s="498">
        <f t="shared" si="27"/>
        <v>0</v>
      </c>
      <c r="X79" s="498">
        <v>0</v>
      </c>
      <c r="Y79" s="744">
        <f t="shared" si="23"/>
        <v>0</v>
      </c>
      <c r="Z79" s="748">
        <f t="shared" si="24"/>
        <v>0</v>
      </c>
      <c r="AA79" s="498">
        <f t="shared" ca="1" si="28"/>
        <v>1995.3036311585743</v>
      </c>
      <c r="AB79" s="501">
        <f t="shared" ca="1" si="29"/>
        <v>775.30363115857426</v>
      </c>
      <c r="AC79" s="498" t="e">
        <f ca="1">IF(A79&gt;$A$1,#N/A,VLOOKUP(A79,Calculation!$B$8:$IV$881,155,FALSE))</f>
        <v>#N/A</v>
      </c>
      <c r="AD79" s="498" t="e">
        <f t="shared" ca="1" si="30"/>
        <v>#N/A</v>
      </c>
      <c r="AE79" s="498"/>
      <c r="AF79" s="501">
        <f>Calculation!G82</f>
        <v>711.12007949960525</v>
      </c>
      <c r="AG79" s="498" t="str">
        <f t="shared" si="31"/>
        <v>Yes</v>
      </c>
      <c r="AH79" s="498" t="str">
        <f t="shared" si="32"/>
        <v>Yes</v>
      </c>
      <c r="AK79" s="738">
        <v>4980.4000000084534</v>
      </c>
      <c r="AL79" s="738">
        <v>9759.3200000190482</v>
      </c>
      <c r="AM79" s="740">
        <v>3741.9600000060664</v>
      </c>
      <c r="AR79" s="549"/>
      <c r="AS79" s="471">
        <f ca="1">IF(Summary!A79&lt;Calculation!FT82,FORECAST(20000,A73:A79,T73:T79),0)</f>
        <v>40718.075618020324</v>
      </c>
      <c r="AT79" s="581">
        <f>Calculation!AR82*3.068</f>
        <v>743.68320000000006</v>
      </c>
      <c r="AU79" s="575">
        <f ca="1">Calculation!DA82</f>
        <v>202.24786497045156</v>
      </c>
      <c r="AV79" s="575">
        <f>Calculation!CF82*3.068</f>
        <v>288.04314387671269</v>
      </c>
      <c r="AW79" s="582">
        <f>Calculation!BK82*3.068</f>
        <v>347.05216000000007</v>
      </c>
      <c r="AX79" s="524"/>
      <c r="AY79" s="816">
        <f>IF(Summary!A79&lt;Calculation!FT82,FORECAST(8333.33,A73:A79,AT73:AT79),0)</f>
        <v>40702.849353595724</v>
      </c>
      <c r="AZ79" s="559"/>
      <c r="BA79" s="534">
        <f ca="1">IF(Summary!A79&lt;Calculation!FT82,FORECAST(3888.89,A73:A79,AU73:AU79),0)</f>
        <v>40795.916953471911</v>
      </c>
      <c r="BB79" s="559"/>
      <c r="BC79" s="826">
        <f>IF(Summary!A79&lt;Calculation!FT82,FORECAST(3888.89,A73:A79,AV73:AV79),0)</f>
        <v>40727.571410402874</v>
      </c>
      <c r="BD79" s="559"/>
      <c r="BE79" s="847">
        <f>IF(Summary!A79&lt;Calculation!FT82,FORECAST(3888.89,A73:A79,AW73:AW79),0)</f>
        <v>40702.849422749598</v>
      </c>
    </row>
    <row r="80" spans="1:57" ht="13.5" thickBot="1">
      <c r="A80" s="513">
        <v>40612</v>
      </c>
      <c r="B80" s="498">
        <f t="shared" si="25"/>
        <v>74.194119999998648</v>
      </c>
      <c r="C80" s="498">
        <f>Calculation!AA83</f>
        <v>96.732127274713321</v>
      </c>
      <c r="D80" s="498">
        <f>Calculation!Y83</f>
        <v>0</v>
      </c>
      <c r="E80" s="498">
        <f>Calculation!U83</f>
        <v>45.853079999999096</v>
      </c>
      <c r="F80" s="498">
        <f>Calculation!V83</f>
        <v>28.341039999999548</v>
      </c>
      <c r="G80" s="498">
        <f>Calculation!W83</f>
        <v>44.429840000001796</v>
      </c>
      <c r="H80" s="500">
        <f>Sheet1!H83</f>
        <v>15.46</v>
      </c>
      <c r="I80" s="501">
        <f>Sheet1!CW83</f>
        <v>2253.0208333333335</v>
      </c>
      <c r="J80" s="501">
        <f>Sheet1!CX83</f>
        <v>1300.46875</v>
      </c>
      <c r="K80" s="501">
        <f>Sheet1!CV83</f>
        <v>968.88235294117646</v>
      </c>
      <c r="L80" s="501">
        <f>Calculation!F83</f>
        <v>250</v>
      </c>
      <c r="M80" s="501">
        <f>Calculation!E83</f>
        <v>250</v>
      </c>
      <c r="N80" s="501">
        <f>Calculation!D83</f>
        <v>300</v>
      </c>
      <c r="O80" s="500">
        <f>Sheet1!CY83</f>
        <v>1091.6400000000001</v>
      </c>
      <c r="P80" s="514" t="e">
        <f>Calculation!ET83</f>
        <v>#N/A</v>
      </c>
      <c r="Q80" s="498">
        <f>Calculation!DF83</f>
        <v>4405.6400000072672</v>
      </c>
      <c r="R80" s="500">
        <f t="shared" si="21"/>
        <v>3185.6400000072672</v>
      </c>
      <c r="S80" s="498">
        <f t="shared" si="26"/>
        <v>829.31000000152835</v>
      </c>
      <c r="T80" s="498">
        <f ca="1">IF(A80&gt;$A$1,#N/A,VLOOKUP(A80,Calculation!$B$8:$IV$881,30,FALSE))</f>
        <v>1772.8648733583605</v>
      </c>
      <c r="U80" s="498">
        <f t="shared" si="22"/>
        <v>0</v>
      </c>
      <c r="V80" s="498">
        <f>Calculation!AP83</f>
        <v>0</v>
      </c>
      <c r="W80" s="498">
        <f t="shared" si="27"/>
        <v>0</v>
      </c>
      <c r="X80" s="498">
        <v>0</v>
      </c>
      <c r="Y80" s="744">
        <f t="shared" si="23"/>
        <v>0</v>
      </c>
      <c r="Z80" s="748">
        <f t="shared" si="24"/>
        <v>0</v>
      </c>
      <c r="AA80" s="498">
        <f t="shared" ca="1" si="28"/>
        <v>2632.7751266489067</v>
      </c>
      <c r="AB80" s="501">
        <f t="shared" ca="1" si="29"/>
        <v>1412.7751266489067</v>
      </c>
      <c r="AC80" s="498" t="e">
        <f ca="1">IF(A80&gt;$A$1,#N/A,VLOOKUP(A80,Calculation!$B$8:$IV$881,155,FALSE))</f>
        <v>#N/A</v>
      </c>
      <c r="AD80" s="498" t="e">
        <f t="shared" ca="1" si="30"/>
        <v>#N/A</v>
      </c>
      <c r="AE80" s="498"/>
      <c r="AF80" s="501">
        <f>Calculation!G83</f>
        <v>1387.0921360987802</v>
      </c>
      <c r="AG80" s="498" t="str">
        <f t="shared" si="31"/>
        <v>Yes</v>
      </c>
      <c r="AH80" s="498" t="str">
        <f t="shared" si="32"/>
        <v>Yes</v>
      </c>
      <c r="AK80" s="738">
        <v>5119.0000000088385</v>
      </c>
      <c r="AL80" s="738">
        <v>10158.330000019863</v>
      </c>
      <c r="AM80" s="740">
        <v>3870.7600000061916</v>
      </c>
      <c r="AR80" s="549"/>
      <c r="AS80" s="471">
        <f ca="1">IF(Summary!A80&lt;Calculation!FT83,FORECAST(20000,A74:A80,T74:T80),0)</f>
        <v>40716.695112059177</v>
      </c>
      <c r="AT80" s="581">
        <f>Calculation!AR83*3.068</f>
        <v>826.31466666666665</v>
      </c>
      <c r="AU80" s="575">
        <f ca="1">Calculation!DA83</f>
        <v>236.14330918915419</v>
      </c>
      <c r="AV80" s="575">
        <f>Calculation!CF83*3.068</f>
        <v>324.79338639142844</v>
      </c>
      <c r="AW80" s="582">
        <f>Calculation!BK83*3.068</f>
        <v>385.61351111111117</v>
      </c>
      <c r="AX80" s="524"/>
      <c r="AY80" s="816">
        <f>IF(Summary!A80&lt;Calculation!FT83,FORECAST(8333.33,A74:A80,AT74:AT80),0)</f>
        <v>40702.849353595724</v>
      </c>
      <c r="AZ80" s="559"/>
      <c r="BA80" s="534">
        <f ca="1">IF(Summary!A80&lt;Calculation!FT83,FORECAST(3888.89,A74:A80,AU74:AU80),0)</f>
        <v>40781.167106735738</v>
      </c>
      <c r="BB80" s="559"/>
      <c r="BC80" s="826">
        <f>IF(Summary!A80&lt;Calculation!FT83,FORECAST(3888.89,A74:A80,AV74:AV80),0)</f>
        <v>40725.151103541706</v>
      </c>
      <c r="BD80" s="559"/>
      <c r="BE80" s="847">
        <f>IF(Summary!A80&lt;Calculation!FT83,FORECAST(3888.89,A74:A80,AW74:AW80),0)</f>
        <v>40702.849422749598</v>
      </c>
    </row>
    <row r="81" spans="1:57" ht="13.5" thickBot="1">
      <c r="A81" s="513">
        <v>40613</v>
      </c>
      <c r="B81" s="498">
        <f t="shared" si="25"/>
        <v>70.945420000000894</v>
      </c>
      <c r="C81" s="498">
        <f>Calculation!AA84</f>
        <v>99.998080000000002</v>
      </c>
      <c r="D81" s="498">
        <f>Calculation!Y84</f>
        <v>0</v>
      </c>
      <c r="E81" s="498">
        <f>Calculation!U84</f>
        <v>47.276319999996396</v>
      </c>
      <c r="F81" s="498">
        <f>Calculation!V84</f>
        <v>23.669100000004502</v>
      </c>
      <c r="G81" s="498">
        <f>Calculation!W84</f>
        <v>56.805839999998987</v>
      </c>
      <c r="H81" s="500">
        <f>Sheet1!H84</f>
        <v>15.8</v>
      </c>
      <c r="I81" s="501">
        <f>Sheet1!CW84</f>
        <v>2587.8125</v>
      </c>
      <c r="J81" s="501">
        <f>Sheet1!CX84</f>
        <v>1343.8541666666667</v>
      </c>
      <c r="K81" s="501">
        <f>Sheet1!CV84</f>
        <v>1271.7647058823529</v>
      </c>
      <c r="L81" s="501">
        <f>Calculation!F84</f>
        <v>250</v>
      </c>
      <c r="M81" s="501">
        <f>Calculation!E84</f>
        <v>250</v>
      </c>
      <c r="N81" s="501">
        <f>Calculation!D84</f>
        <v>300</v>
      </c>
      <c r="O81" s="500">
        <f>Sheet1!CY84</f>
        <v>1093.78</v>
      </c>
      <c r="P81" s="514" t="e">
        <f>Calculation!ET84</f>
        <v>#N/A</v>
      </c>
      <c r="Q81" s="498">
        <f>Calculation!DF84</f>
        <v>4852.1400000080876</v>
      </c>
      <c r="R81" s="500">
        <f t="shared" si="21"/>
        <v>3632.1400000080876</v>
      </c>
      <c r="S81" s="498">
        <f t="shared" si="26"/>
        <v>446.50000000082036</v>
      </c>
      <c r="T81" s="498">
        <f ca="1">IF(A81&gt;$A$1,#N/A,VLOOKUP(A81,Calculation!$B$8:$IV$881,30,FALSE))</f>
        <v>1971.1803933583606</v>
      </c>
      <c r="U81" s="498">
        <f t="shared" si="22"/>
        <v>0</v>
      </c>
      <c r="V81" s="498">
        <f>Calculation!AP84</f>
        <v>0</v>
      </c>
      <c r="W81" s="498">
        <f t="shared" si="27"/>
        <v>0</v>
      </c>
      <c r="X81" s="498">
        <v>0</v>
      </c>
      <c r="Y81" s="744">
        <f t="shared" si="23"/>
        <v>0</v>
      </c>
      <c r="Z81" s="748">
        <f t="shared" si="24"/>
        <v>0</v>
      </c>
      <c r="AA81" s="498">
        <f t="shared" ca="1" si="28"/>
        <v>2880.959606649727</v>
      </c>
      <c r="AB81" s="501">
        <f t="shared" ca="1" si="29"/>
        <v>1660.959606649727</v>
      </c>
      <c r="AC81" s="498" t="e">
        <f ca="1">IF(A81&gt;$A$1,#N/A,VLOOKUP(A81,Calculation!$B$8:$IV$881,155,FALSE))</f>
        <v>#N/A</v>
      </c>
      <c r="AD81" s="498" t="e">
        <f t="shared" ca="1" si="30"/>
        <v>#N/A</v>
      </c>
      <c r="AE81" s="498"/>
      <c r="AF81" s="501">
        <f>Calculation!G84</f>
        <v>1496.9285989740424</v>
      </c>
      <c r="AG81" s="498" t="str">
        <f t="shared" si="31"/>
        <v>Yes</v>
      </c>
      <c r="AH81" s="498" t="str">
        <f t="shared" si="32"/>
        <v>Yes</v>
      </c>
      <c r="AK81" s="738">
        <v>5694.1100000098904</v>
      </c>
      <c r="AL81" s="738">
        <v>10476.400000020751</v>
      </c>
      <c r="AM81" s="740">
        <v>4128.0400000068184</v>
      </c>
      <c r="AR81" s="549"/>
      <c r="AS81" s="471">
        <f ca="1">IF(Summary!A81&lt;Calculation!FT84,FORECAST(20000,A75:A81,T75:T81),0)</f>
        <v>40714.075177381797</v>
      </c>
      <c r="AT81" s="581">
        <f>Calculation!AR84*3.068</f>
        <v>908.94613333333325</v>
      </c>
      <c r="AU81" s="575">
        <f ca="1">Calculation!DA84</f>
        <v>274.70466030026535</v>
      </c>
      <c r="AV81" s="575">
        <f>Calculation!CF84*3.068</f>
        <v>363.35473750253954</v>
      </c>
      <c r="AW81" s="582">
        <f>Calculation!BK84*3.068</f>
        <v>424.17486222222226</v>
      </c>
      <c r="AX81" s="524"/>
      <c r="AY81" s="816">
        <f>IF(Summary!A81&lt;Calculation!FT84,FORECAST(8333.33,A75:A81,AT75:AT81),0)</f>
        <v>40702.849353595724</v>
      </c>
      <c r="AZ81" s="559"/>
      <c r="BA81" s="534">
        <f ca="1">IF(Summary!A81&lt;Calculation!FT84,FORECAST(3888.89,A75:A81,AU75:AU81),0)</f>
        <v>40757.871120013282</v>
      </c>
      <c r="BB81" s="559"/>
      <c r="BC81" s="826">
        <f>IF(Summary!A81&lt;Calculation!FT84,FORECAST(3888.89,A75:A81,AV75:AV81),0)</f>
        <v>40720.614081392647</v>
      </c>
      <c r="BD81" s="559"/>
      <c r="BE81" s="847">
        <f>IF(Summary!A81&lt;Calculation!FT84,FORECAST(3888.89,A75:A81,AW75:AW81),0)</f>
        <v>40702.849422749598</v>
      </c>
    </row>
    <row r="82" spans="1:57" ht="13.5" thickBot="1">
      <c r="A82" s="513">
        <v>40614</v>
      </c>
      <c r="B82" s="498">
        <f t="shared" si="25"/>
        <v>72.708999999999989</v>
      </c>
      <c r="C82" s="498">
        <f>Calculation!AA85</f>
        <v>96.205689269989051</v>
      </c>
      <c r="D82" s="498">
        <f>Calculation!Y85</f>
        <v>0</v>
      </c>
      <c r="E82" s="498">
        <f>Calculation!U85</f>
        <v>46.100600000004498</v>
      </c>
      <c r="F82" s="498">
        <f>Calculation!V85</f>
        <v>26.608399999995495</v>
      </c>
      <c r="G82" s="498">
        <f>Calculation!W85</f>
        <v>17.249049999999436</v>
      </c>
      <c r="H82" s="500">
        <f>Sheet1!H85</f>
        <v>6.1</v>
      </c>
      <c r="I82" s="501">
        <f>Sheet1!CW85</f>
        <v>2021.875</v>
      </c>
      <c r="J82" s="501">
        <f>Sheet1!CX85</f>
        <v>1023.1875</v>
      </c>
      <c r="K82" s="501">
        <f>Sheet1!CV85</f>
        <v>1005.6470588235294</v>
      </c>
      <c r="L82" s="501">
        <f>Calculation!F85</f>
        <v>250</v>
      </c>
      <c r="M82" s="501">
        <f>Calculation!E85</f>
        <v>250</v>
      </c>
      <c r="N82" s="501">
        <f>Calculation!D85</f>
        <v>300</v>
      </c>
      <c r="O82" s="500">
        <f>Sheet1!CY85</f>
        <v>1095.5899999999999</v>
      </c>
      <c r="P82" s="514" t="e">
        <f>Calculation!ET85</f>
        <v>#N/A</v>
      </c>
      <c r="Q82" s="498">
        <f>Calculation!DF85</f>
        <v>5252.3400000089414</v>
      </c>
      <c r="R82" s="500">
        <f t="shared" si="21"/>
        <v>4032.3400000089414</v>
      </c>
      <c r="S82" s="498">
        <f t="shared" si="26"/>
        <v>400.20000000085383</v>
      </c>
      <c r="T82" s="498">
        <f ca="1">IF(A82&gt;$A$1,#N/A,VLOOKUP(A82,Calculation!$B$8:$IV$881,30,FALSE))</f>
        <v>2161.9748695576664</v>
      </c>
      <c r="U82" s="498">
        <f t="shared" si="22"/>
        <v>0</v>
      </c>
      <c r="V82" s="498">
        <f>Calculation!AP85</f>
        <v>0</v>
      </c>
      <c r="W82" s="498">
        <f t="shared" si="27"/>
        <v>0</v>
      </c>
      <c r="X82" s="498">
        <v>0</v>
      </c>
      <c r="Y82" s="744">
        <f t="shared" si="23"/>
        <v>0</v>
      </c>
      <c r="Z82" s="748">
        <f t="shared" si="24"/>
        <v>0</v>
      </c>
      <c r="AA82" s="498">
        <f t="shared" ca="1" si="28"/>
        <v>3090.365130451275</v>
      </c>
      <c r="AB82" s="501">
        <f t="shared" ca="1" si="29"/>
        <v>1870.365130451275</v>
      </c>
      <c r="AC82" s="498" t="e">
        <f ca="1">IF(A82&gt;$A$1,#N/A,VLOOKUP(A82,Calculation!$B$8:$IV$881,155,FALSE))</f>
        <v>#N/A</v>
      </c>
      <c r="AD82" s="498" t="e">
        <f t="shared" ca="1" si="30"/>
        <v>#N/A</v>
      </c>
      <c r="AE82" s="498"/>
      <c r="AF82" s="501">
        <f>Calculation!G85</f>
        <v>1207.4624899888615</v>
      </c>
      <c r="AG82" s="498" t="str">
        <f t="shared" si="31"/>
        <v>Yes</v>
      </c>
      <c r="AH82" s="498" t="str">
        <f t="shared" si="32"/>
        <v>Yes</v>
      </c>
      <c r="AK82" s="738">
        <v>6265.1200000109438</v>
      </c>
      <c r="AL82" s="738">
        <v>10673.030000020921</v>
      </c>
      <c r="AM82" s="740">
        <v>4511.2800000076149</v>
      </c>
      <c r="AR82" s="549"/>
      <c r="AS82" s="471">
        <f ca="1">IF(Summary!A82&lt;Calculation!FT85,FORECAST(20000,A76:A82,T76:T82),0)</f>
        <v>40711.43533450098</v>
      </c>
      <c r="AT82" s="581">
        <f>Calculation!AR85*3.068</f>
        <v>991.57759999999996</v>
      </c>
      <c r="AU82" s="575">
        <f ca="1">Calculation!DA85</f>
        <v>307.85452867673075</v>
      </c>
      <c r="AV82" s="575">
        <f>Calculation!CF85*3.068</f>
        <v>399.80652754760234</v>
      </c>
      <c r="AW82" s="582">
        <f>Calculation!BK85*3.068</f>
        <v>462.73621333333341</v>
      </c>
      <c r="AX82" s="524"/>
      <c r="AY82" s="816">
        <f>IF(Summary!A82&lt;Calculation!FT85,FORECAST(8333.33,A76:A82,AT76:AT82),0)</f>
        <v>40702.849353595724</v>
      </c>
      <c r="AZ82" s="559"/>
      <c r="BA82" s="534">
        <f ca="1">IF(Summary!A82&lt;Calculation!FT85,FORECAST(3888.89,A76:A82,AU76:AU82),0)</f>
        <v>40740.711333568484</v>
      </c>
      <c r="BB82" s="559"/>
      <c r="BC82" s="826">
        <f>IF(Summary!A82&lt;Calculation!FT85,FORECAST(3888.89,A76:A82,AV76:AV82),0)</f>
        <v>40716.175225581268</v>
      </c>
      <c r="BD82" s="559"/>
      <c r="BE82" s="847">
        <f>IF(Summary!A82&lt;Calculation!FT85,FORECAST(3888.89,A76:A82,AW76:AW82),0)</f>
        <v>40702.849422749598</v>
      </c>
    </row>
    <row r="83" spans="1:57" ht="13.5" thickBot="1">
      <c r="A83" s="513">
        <v>40615</v>
      </c>
      <c r="B83" s="498">
        <f t="shared" si="25"/>
        <v>78.479310000004944</v>
      </c>
      <c r="C83" s="498">
        <f>Calculation!AA86</f>
        <v>87.268364895830828</v>
      </c>
      <c r="D83" s="498">
        <f>Calculation!Y86</f>
        <v>0</v>
      </c>
      <c r="E83" s="498">
        <f>Calculation!U86</f>
        <v>44.135909999998198</v>
      </c>
      <c r="F83" s="498">
        <f>Calculation!V86</f>
        <v>34.343400000006753</v>
      </c>
      <c r="G83" s="498">
        <f>Calculation!W86</f>
        <v>0</v>
      </c>
      <c r="H83" s="500">
        <f>Sheet1!H86</f>
        <v>3</v>
      </c>
      <c r="I83" s="501">
        <f>Sheet1!CW86</f>
        <v>1915.8333333333333</v>
      </c>
      <c r="J83" s="501">
        <f>Sheet1!CX86</f>
        <v>994.76041666666663</v>
      </c>
      <c r="K83" s="501">
        <f>Sheet1!CV86</f>
        <v>1016.6666666666666</v>
      </c>
      <c r="L83" s="501">
        <f>Calculation!F86</f>
        <v>250</v>
      </c>
      <c r="M83" s="501">
        <f>Calculation!E86</f>
        <v>250</v>
      </c>
      <c r="N83" s="501">
        <f>Calculation!D86</f>
        <v>300</v>
      </c>
      <c r="O83" s="500">
        <f>Sheet1!CY86</f>
        <v>1096.92</v>
      </c>
      <c r="P83" s="514" t="e">
        <f>Calculation!ET86</f>
        <v>#N/A</v>
      </c>
      <c r="Q83" s="498">
        <f>Calculation!DF86</f>
        <v>5558.4400000094956</v>
      </c>
      <c r="R83" s="500">
        <f t="shared" si="21"/>
        <v>4338.4400000094956</v>
      </c>
      <c r="S83" s="498">
        <f t="shared" si="26"/>
        <v>306.10000000055425</v>
      </c>
      <c r="T83" s="498">
        <f ca="1">IF(A83&gt;$A$1,#N/A,VLOOKUP(A83,Calculation!$B$8:$IV$881,30,FALSE))</f>
        <v>2335.0449041409952</v>
      </c>
      <c r="U83" s="498">
        <f t="shared" si="22"/>
        <v>0</v>
      </c>
      <c r="V83" s="498">
        <f>Calculation!AP86</f>
        <v>0</v>
      </c>
      <c r="W83" s="498">
        <f t="shared" si="27"/>
        <v>0</v>
      </c>
      <c r="X83" s="498">
        <v>0</v>
      </c>
      <c r="Y83" s="744">
        <f t="shared" si="23"/>
        <v>0</v>
      </c>
      <c r="Z83" s="748">
        <f t="shared" si="24"/>
        <v>0</v>
      </c>
      <c r="AA83" s="498">
        <f t="shared" ca="1" si="28"/>
        <v>3223.3950958685004</v>
      </c>
      <c r="AB83" s="501">
        <f t="shared" ca="1" si="29"/>
        <v>2003.3950958685004</v>
      </c>
      <c r="AC83" s="498" t="e">
        <f ca="1">IF(A83&gt;$A$1,#N/A,VLOOKUP(A83,Calculation!$B$8:$IV$881,155,FALSE))</f>
        <v>#N/A</v>
      </c>
      <c r="AD83" s="498" t="e">
        <f t="shared" ca="1" si="30"/>
        <v>#N/A</v>
      </c>
      <c r="AE83" s="498"/>
      <c r="AF83" s="501">
        <f>Calculation!G86</f>
        <v>1171.028744327057</v>
      </c>
      <c r="AG83" s="498" t="str">
        <f t="shared" si="31"/>
        <v>Yes</v>
      </c>
      <c r="AH83" s="498" t="str">
        <f t="shared" si="32"/>
        <v>Yes</v>
      </c>
      <c r="AK83" s="738">
        <v>6388.1100000113656</v>
      </c>
      <c r="AL83" s="738">
        <v>10759.800000021514</v>
      </c>
      <c r="AM83" s="740">
        <v>4899.0000000084037</v>
      </c>
      <c r="AR83" s="549"/>
      <c r="AS83" s="471">
        <f ca="1">IF(Summary!A83&lt;Calculation!FT86,FORECAST(20000,A77:A83,T77:T83),0)</f>
        <v>40710.207283068186</v>
      </c>
      <c r="AT83" s="581">
        <f>Calculation!AR86*3.068</f>
        <v>1074.2090666666666</v>
      </c>
      <c r="AU83" s="575">
        <f ca="1">Calculation!DA86</f>
        <v>328.61988187117174</v>
      </c>
      <c r="AV83" s="575">
        <f>Calculation!CF86*3.068</f>
        <v>430.91839115871204</v>
      </c>
      <c r="AW83" s="582">
        <f>Calculation!BK86*3.068</f>
        <v>501.2975644444445</v>
      </c>
      <c r="AX83" s="524"/>
      <c r="AY83" s="816">
        <f>IF(Summary!A83&lt;Calculation!FT86,FORECAST(8333.33,A77:A83,AT77:AT83),0)</f>
        <v>40702.849353595724</v>
      </c>
      <c r="AZ83" s="559"/>
      <c r="BA83" s="534">
        <f ca="1">IF(Summary!A83&lt;Calculation!FT86,FORECAST(3888.89,A77:A83,AU77:AU83),0)</f>
        <v>40734.601852884218</v>
      </c>
      <c r="BB83" s="559"/>
      <c r="BC83" s="826">
        <f>IF(Summary!A83&lt;Calculation!FT86,FORECAST(3888.89,A77:A83,AV77:AV83),0)</f>
        <v>40714.193119273659</v>
      </c>
      <c r="BD83" s="559"/>
      <c r="BE83" s="847">
        <f>IF(Summary!A83&lt;Calculation!FT86,FORECAST(3888.89,A77:A83,AW77:AW83),0)</f>
        <v>40702.849422749598</v>
      </c>
    </row>
    <row r="84" spans="1:57" ht="13.5" thickBot="1">
      <c r="A84" s="513">
        <v>40616</v>
      </c>
      <c r="B84" s="498">
        <f t="shared" si="25"/>
        <v>79.933489999997306</v>
      </c>
      <c r="C84" s="498">
        <f>Calculation!AA87</f>
        <v>89.120080000001423</v>
      </c>
      <c r="D84" s="498">
        <f>Calculation!Y87</f>
        <v>0</v>
      </c>
      <c r="E84" s="498">
        <f>Calculation!U87</f>
        <v>45.590090000001801</v>
      </c>
      <c r="F84" s="498">
        <f>Calculation!V87</f>
        <v>34.343399999995498</v>
      </c>
      <c r="G84" s="498">
        <f>Calculation!W87</f>
        <v>5.8476600000010128</v>
      </c>
      <c r="H84" s="500">
        <f>Sheet1!H87</f>
        <v>4.12</v>
      </c>
      <c r="I84" s="501">
        <f>Sheet1!CW87</f>
        <v>1962.9166666666667</v>
      </c>
      <c r="J84" s="501">
        <f>Sheet1!CX87</f>
        <v>1083.2291666666667</v>
      </c>
      <c r="K84" s="501">
        <f>Sheet1!CV87</f>
        <v>1075.2631578947369</v>
      </c>
      <c r="L84" s="501">
        <f>Calculation!F87</f>
        <v>250</v>
      </c>
      <c r="M84" s="501">
        <f>Calculation!E87</f>
        <v>250</v>
      </c>
      <c r="N84" s="501">
        <f>Calculation!D87</f>
        <v>300</v>
      </c>
      <c r="O84" s="500">
        <f>Sheet1!CY87</f>
        <v>1098.1199999999999</v>
      </c>
      <c r="P84" s="514" t="e">
        <f>Calculation!ET87</f>
        <v>#N/A</v>
      </c>
      <c r="Q84" s="498">
        <f>Calculation!DF87</f>
        <v>5845.4000000102496</v>
      </c>
      <c r="R84" s="500">
        <f t="shared" si="21"/>
        <v>4625.4000000102496</v>
      </c>
      <c r="S84" s="498">
        <f t="shared" si="26"/>
        <v>286.96000000075401</v>
      </c>
      <c r="T84" s="498">
        <f ca="1">IF(A84&gt;$A$1,#N/A,VLOOKUP(A84,Calculation!$B$8:$IV$881,30,FALSE))</f>
        <v>2511.7872476704097</v>
      </c>
      <c r="U84" s="498">
        <f t="shared" si="22"/>
        <v>0</v>
      </c>
      <c r="V84" s="498">
        <f>Calculation!AP87</f>
        <v>0</v>
      </c>
      <c r="W84" s="498">
        <f t="shared" si="27"/>
        <v>0</v>
      </c>
      <c r="X84" s="498">
        <v>0</v>
      </c>
      <c r="Y84" s="744">
        <f t="shared" si="23"/>
        <v>0</v>
      </c>
      <c r="Z84" s="748">
        <f t="shared" si="24"/>
        <v>0</v>
      </c>
      <c r="AA84" s="498">
        <f t="shared" ca="1" si="28"/>
        <v>3333.61275233984</v>
      </c>
      <c r="AB84" s="501">
        <f t="shared" ca="1" si="29"/>
        <v>2113.61275233984</v>
      </c>
      <c r="AC84" s="498" t="e">
        <f ca="1">IF(A84&gt;$A$1,#N/A,VLOOKUP(A84,Calculation!$B$8:$IV$881,155,FALSE))</f>
        <v>#N/A</v>
      </c>
      <c r="AD84" s="498" t="e">
        <f t="shared" ca="1" si="30"/>
        <v>#N/A</v>
      </c>
      <c r="AE84" s="498"/>
      <c r="AF84" s="501">
        <f>Calculation!G87</f>
        <v>1219.9731931951676</v>
      </c>
      <c r="AG84" s="498" t="str">
        <f t="shared" si="31"/>
        <v>Yes</v>
      </c>
      <c r="AH84" s="498" t="str">
        <f t="shared" si="32"/>
        <v>Yes</v>
      </c>
      <c r="AK84" s="738">
        <v>6424.370000011425</v>
      </c>
      <c r="AL84" s="738">
        <v>10797.800000021514</v>
      </c>
      <c r="AM84" s="740">
        <v>5198.1000000088898</v>
      </c>
      <c r="AR84" s="549"/>
      <c r="AS84" s="471">
        <f ca="1">IF(Summary!A84&lt;Calculation!FT87,FORECAST(20000,A78:A84,T78:T84),0)</f>
        <v>40709.960307293994</v>
      </c>
      <c r="AT84" s="581">
        <f>Calculation!AR87*3.068</f>
        <v>1156.8405333333333</v>
      </c>
      <c r="AU84" s="575">
        <f ca="1">Calculation!DA87</f>
        <v>352.01837180581424</v>
      </c>
      <c r="AV84" s="575">
        <f>Calculation!CF87*3.068</f>
        <v>463.06942697570634</v>
      </c>
      <c r="AW84" s="582">
        <f>Calculation!BK87*3.068</f>
        <v>539.85891555555565</v>
      </c>
      <c r="AX84" s="524"/>
      <c r="AY84" s="816">
        <f>IF(Summary!A84&lt;Calculation!FT87,FORECAST(8333.33,A78:A84,AT78:AT84),0)</f>
        <v>40702.849353595724</v>
      </c>
      <c r="AZ84" s="559"/>
      <c r="BA84" s="534">
        <f ca="1">IF(Summary!A84&lt;Calculation!FT87,FORECAST(3888.89,A78:A84,AU78:AU84),0)</f>
        <v>40733.420175356558</v>
      </c>
      <c r="BB84" s="559"/>
      <c r="BC84" s="826">
        <f>IF(Summary!A84&lt;Calculation!FT87,FORECAST(3888.89,A78:A84,AV78:AV84),0)</f>
        <v>40713.825042904602</v>
      </c>
      <c r="BD84" s="559"/>
      <c r="BE84" s="847">
        <f>IF(Summary!A84&lt;Calculation!FT87,FORECAST(3888.89,A78:A84,AW78:AW84),0)</f>
        <v>40702.849422749598</v>
      </c>
    </row>
    <row r="85" spans="1:57" ht="13.5" thickBot="1">
      <c r="A85" s="513">
        <v>40617</v>
      </c>
      <c r="B85" s="498">
        <f t="shared" si="25"/>
        <v>77.117949999997748</v>
      </c>
      <c r="C85" s="498">
        <f>Calculation!AA88</f>
        <v>93.979269193083127</v>
      </c>
      <c r="D85" s="498">
        <f>Calculation!Y88</f>
        <v>0</v>
      </c>
      <c r="E85" s="498">
        <f>Calculation!U88</f>
        <v>45.945899999995497</v>
      </c>
      <c r="F85" s="498">
        <f>Calculation!V88</f>
        <v>31.172050000002251</v>
      </c>
      <c r="G85" s="498">
        <f>Calculation!W88</f>
        <v>5.1824500000005624</v>
      </c>
      <c r="H85" s="500">
        <f>Sheet1!H88</f>
        <v>4.05</v>
      </c>
      <c r="I85" s="501">
        <f>Sheet1!CW88</f>
        <v>2094.2708333333335</v>
      </c>
      <c r="J85" s="501">
        <f>Sheet1!CX88</f>
        <v>1185.1041666666667</v>
      </c>
      <c r="K85" s="501">
        <f>Sheet1!CV88</f>
        <v>1162.6315789473683</v>
      </c>
      <c r="L85" s="501">
        <f>Calculation!F88</f>
        <v>250</v>
      </c>
      <c r="M85" s="501">
        <f>Calculation!E88</f>
        <v>250</v>
      </c>
      <c r="N85" s="501">
        <f>Calculation!D88</f>
        <v>300</v>
      </c>
      <c r="O85" s="500">
        <f>Sheet1!CY88</f>
        <v>1099.69</v>
      </c>
      <c r="P85" s="514" t="e">
        <f>Calculation!ET88</f>
        <v>#N/A</v>
      </c>
      <c r="Q85" s="498">
        <f>Calculation!DF88</f>
        <v>6234.8800000109441</v>
      </c>
      <c r="R85" s="500">
        <f t="shared" si="21"/>
        <v>5014.8800000109441</v>
      </c>
      <c r="S85" s="498">
        <f t="shared" si="26"/>
        <v>389.48000000069442</v>
      </c>
      <c r="T85" s="498">
        <f ca="1">IF(A85&gt;$A$1,#N/A,VLOOKUP(A85,Calculation!$B$8:$IV$881,30,FALSE))</f>
        <v>2698.1663025407256</v>
      </c>
      <c r="U85" s="498">
        <f t="shared" si="22"/>
        <v>0</v>
      </c>
      <c r="V85" s="498">
        <f>Calculation!AP88</f>
        <v>0</v>
      </c>
      <c r="W85" s="498">
        <f t="shared" si="27"/>
        <v>0</v>
      </c>
      <c r="X85" s="498">
        <v>0</v>
      </c>
      <c r="Y85" s="744">
        <f t="shared" si="23"/>
        <v>0</v>
      </c>
      <c r="Z85" s="748">
        <f t="shared" si="24"/>
        <v>0</v>
      </c>
      <c r="AA85" s="498">
        <f t="shared" ca="1" si="28"/>
        <v>3536.7136974702184</v>
      </c>
      <c r="AB85" s="501">
        <f t="shared" ca="1" si="29"/>
        <v>2316.7136974702184</v>
      </c>
      <c r="AC85" s="498" t="e">
        <f ca="1">IF(A85&gt;$A$1,#N/A,VLOOKUP(A85,Calculation!$B$8:$IV$881,155,FALSE))</f>
        <v>#N/A</v>
      </c>
      <c r="AD85" s="498" t="e">
        <f t="shared" ca="1" si="30"/>
        <v>#N/A</v>
      </c>
      <c r="AE85" s="498"/>
      <c r="AF85" s="501">
        <f>Calculation!G88</f>
        <v>1359.0410595326907</v>
      </c>
      <c r="AG85" s="498" t="str">
        <f t="shared" si="31"/>
        <v>Yes</v>
      </c>
      <c r="AH85" s="498" t="str">
        <f t="shared" si="32"/>
        <v>Yes</v>
      </c>
      <c r="AK85" s="738">
        <v>6736.9200000119754</v>
      </c>
      <c r="AL85" s="738">
        <v>10839.600000021514</v>
      </c>
      <c r="AM85" s="740">
        <v>5426.2000000093376</v>
      </c>
      <c r="AR85" s="549"/>
      <c r="AS85" s="471">
        <f ca="1">IF(Summary!A85&lt;Calculation!FT88,FORECAST(20000,A79:A85,T79:T85),0)</f>
        <v>40710.207467750588</v>
      </c>
      <c r="AT85" s="581">
        <f>Calculation!AR88*3.068</f>
        <v>1239.472</v>
      </c>
      <c r="AU85" s="575">
        <f ca="1">Calculation!DA88</f>
        <v>382.1173036085674</v>
      </c>
      <c r="AV85" s="575">
        <f>Calculation!CF88*3.068</f>
        <v>498.15673226549154</v>
      </c>
      <c r="AW85" s="582">
        <f>Calculation!BK88*3.068</f>
        <v>578.42026666666675</v>
      </c>
      <c r="AX85" s="524"/>
      <c r="AY85" s="816">
        <f>IF(Summary!A85&lt;Calculation!FT88,FORECAST(8333.33,A79:A85,AT79:AT85),0)</f>
        <v>40702.849353595724</v>
      </c>
      <c r="AZ85" s="559"/>
      <c r="BA85" s="534">
        <f ca="1">IF(Summary!A85&lt;Calculation!FT88,FORECAST(3888.89,A79:A85,AU79:AU85),0)</f>
        <v>40734.648604639267</v>
      </c>
      <c r="BB85" s="559"/>
      <c r="BC85" s="826">
        <f>IF(Summary!A85&lt;Calculation!FT88,FORECAST(3888.89,A79:A85,AV79:AV85),0)</f>
        <v>40714.25126760899</v>
      </c>
      <c r="BD85" s="559"/>
      <c r="BE85" s="847">
        <f>IF(Summary!A85&lt;Calculation!FT88,FORECAST(3888.89,A79:A85,AW79:AW85),0)</f>
        <v>40702.849422749598</v>
      </c>
    </row>
    <row r="86" spans="1:57" ht="13.5" thickBot="1">
      <c r="A86" s="513">
        <v>40618</v>
      </c>
      <c r="B86" s="498">
        <f t="shared" si="25"/>
        <v>83.770050000013498</v>
      </c>
      <c r="C86" s="498">
        <f>Calculation!AA89</f>
        <v>86.595481502504171</v>
      </c>
      <c r="D86" s="498">
        <f>Calculation!Y89</f>
        <v>0</v>
      </c>
      <c r="E86" s="498">
        <f>Calculation!U89</f>
        <v>46.255300000013506</v>
      </c>
      <c r="F86" s="498">
        <f>Calculation!V89</f>
        <v>37.514749999999999</v>
      </c>
      <c r="G86" s="498">
        <f>Calculation!W89</f>
        <v>0</v>
      </c>
      <c r="H86" s="500">
        <f>Sheet1!H89</f>
        <v>3.2</v>
      </c>
      <c r="I86" s="501">
        <f>Sheet1!CW89</f>
        <v>2223.5416666666665</v>
      </c>
      <c r="J86" s="501">
        <f>Sheet1!CX89</f>
        <v>1176.25</v>
      </c>
      <c r="K86" s="501">
        <f>Sheet1!CV89</f>
        <v>1166.8421052631579</v>
      </c>
      <c r="L86" s="501">
        <f>Calculation!F89</f>
        <v>250</v>
      </c>
      <c r="M86" s="501">
        <f>Calculation!E89</f>
        <v>250</v>
      </c>
      <c r="N86" s="501">
        <f>Calculation!D89</f>
        <v>300</v>
      </c>
      <c r="O86" s="500">
        <f>Sheet1!CY89</f>
        <v>1102.01</v>
      </c>
      <c r="P86" s="514" t="e">
        <f>Calculation!ET89</f>
        <v>#N/A</v>
      </c>
      <c r="Q86" s="498">
        <f>Calculation!DF89</f>
        <v>6840.7500000125056</v>
      </c>
      <c r="R86" s="500">
        <f t="shared" si="21"/>
        <v>5620.7500000125056</v>
      </c>
      <c r="S86" s="498">
        <f t="shared" si="26"/>
        <v>605.87000000156149</v>
      </c>
      <c r="T86" s="498">
        <f ca="1">IF(A86&gt;$A$1,#N/A,VLOOKUP(A86,Calculation!$B$8:$IV$881,30,FALSE))</f>
        <v>2869.9018793019945</v>
      </c>
      <c r="U86" s="498">
        <f t="shared" si="22"/>
        <v>0</v>
      </c>
      <c r="V86" s="498">
        <f>Calculation!AP89</f>
        <v>0</v>
      </c>
      <c r="W86" s="498">
        <f t="shared" si="27"/>
        <v>0</v>
      </c>
      <c r="X86" s="498">
        <v>0</v>
      </c>
      <c r="Y86" s="744">
        <f t="shared" si="23"/>
        <v>0</v>
      </c>
      <c r="Z86" s="748">
        <f t="shared" si="24"/>
        <v>0</v>
      </c>
      <c r="AA86" s="498">
        <f t="shared" ca="1" si="28"/>
        <v>3970.848120710511</v>
      </c>
      <c r="AB86" s="501">
        <f t="shared" ca="1" si="29"/>
        <v>2750.848120710511</v>
      </c>
      <c r="AC86" s="498" t="e">
        <f ca="1">IF(A86&gt;$A$1,#N/A,VLOOKUP(A86,Calculation!$B$8:$IV$881,155,FALSE))</f>
        <v>#N/A</v>
      </c>
      <c r="AD86" s="498" t="e">
        <f t="shared" ca="1" si="30"/>
        <v>#N/A</v>
      </c>
      <c r="AE86" s="498"/>
      <c r="AF86" s="501">
        <f>Calculation!G89</f>
        <v>1472.3741274525485</v>
      </c>
      <c r="AG86" s="498" t="str">
        <f t="shared" si="31"/>
        <v>Yes</v>
      </c>
      <c r="AH86" s="498" t="str">
        <f t="shared" si="32"/>
        <v>Yes</v>
      </c>
      <c r="AK86" s="738">
        <v>6948.0000000126311</v>
      </c>
      <c r="AL86" s="738">
        <v>11006.800000021687</v>
      </c>
      <c r="AM86" s="740">
        <v>5660.6500000098358</v>
      </c>
      <c r="AR86" s="549"/>
      <c r="AS86" s="471">
        <f ca="1">IF(Summary!A86&lt;Calculation!FT89,FORECAST(20000,A80:A86,T80:T86),0)</f>
        <v>40712.057562801238</v>
      </c>
      <c r="AT86" s="581">
        <f>Calculation!AR89*3.068</f>
        <v>1322.1034666666667</v>
      </c>
      <c r="AU86" s="575">
        <f ca="1">Calculation!DA89</f>
        <v>401.92364804188219</v>
      </c>
      <c r="AV86" s="575">
        <f>Calculation!CF89*3.068</f>
        <v>528.89314681566782</v>
      </c>
      <c r="AW86" s="582">
        <f>Calculation!BK89*3.068</f>
        <v>616.98161777777784</v>
      </c>
      <c r="AX86" s="524"/>
      <c r="AY86" s="816">
        <f>IF(Summary!A86&lt;Calculation!FT89,FORECAST(8333.33,A80:A86,AT80:AT86),0)</f>
        <v>40702.849353595724</v>
      </c>
      <c r="AZ86" s="559"/>
      <c r="BA86" s="534">
        <f ca="1">IF(Summary!A86&lt;Calculation!FT89,FORECAST(3888.89,A80:A86,AU80:AU86),0)</f>
        <v>40745.602887176479</v>
      </c>
      <c r="BB86" s="559"/>
      <c r="BC86" s="826">
        <f>IF(Summary!A86&lt;Calculation!FT89,FORECAST(3888.89,A80:A86,AV80:AV86),0)</f>
        <v>40717.35580241085</v>
      </c>
      <c r="BD86" s="559"/>
      <c r="BE86" s="847">
        <f>IF(Summary!A86&lt;Calculation!FT89,FORECAST(3888.89,A80:A86,AW80:AW86),0)</f>
        <v>40702.849422749598</v>
      </c>
    </row>
    <row r="87" spans="1:57" ht="13.5" thickBot="1">
      <c r="A87" s="513">
        <v>40619</v>
      </c>
      <c r="B87" s="498">
        <f t="shared" si="25"/>
        <v>86.167899999995484</v>
      </c>
      <c r="C87" s="498">
        <f>Calculation!AA90</f>
        <v>86.704295329020965</v>
      </c>
      <c r="D87" s="498">
        <f>Calculation!Y90</f>
        <v>0</v>
      </c>
      <c r="E87" s="498">
        <f>Calculation!U90</f>
        <v>45.48179999999099</v>
      </c>
      <c r="F87" s="498">
        <f>Calculation!V90</f>
        <v>40.686100000004501</v>
      </c>
      <c r="G87" s="498">
        <f>Calculation!W90</f>
        <v>0</v>
      </c>
      <c r="H87" s="500">
        <f>Sheet1!H90</f>
        <v>2.8</v>
      </c>
      <c r="I87" s="501">
        <f>Sheet1!CW90</f>
        <v>1965.7291666666667</v>
      </c>
      <c r="J87" s="501">
        <f>Sheet1!CX90</f>
        <v>1003.7604166666666</v>
      </c>
      <c r="K87" s="501">
        <f>Sheet1!CV90</f>
        <v>1024.7368421052631</v>
      </c>
      <c r="L87" s="501">
        <f>Calculation!F90</f>
        <v>250</v>
      </c>
      <c r="M87" s="501">
        <f>Calculation!E90</f>
        <v>250</v>
      </c>
      <c r="N87" s="501">
        <f>Calculation!D90</f>
        <v>300</v>
      </c>
      <c r="O87" s="500">
        <f>Sheet1!CY90</f>
        <v>1104.1199999999999</v>
      </c>
      <c r="P87" s="514" t="e">
        <f>Calculation!ET90</f>
        <v>#N/A</v>
      </c>
      <c r="Q87" s="498">
        <f>Calculation!DF90</f>
        <v>7430.9200000137625</v>
      </c>
      <c r="R87" s="500">
        <f t="shared" si="21"/>
        <v>6210.9200000137625</v>
      </c>
      <c r="S87" s="498">
        <f t="shared" si="26"/>
        <v>590.17000000125699</v>
      </c>
      <c r="T87" s="498">
        <f ca="1">IF(A87&gt;$A$1,#N/A,VLOOKUP(A87,Calculation!$B$8:$IV$881,30,FALSE))</f>
        <v>3041.8532549124902</v>
      </c>
      <c r="U87" s="498">
        <f t="shared" si="22"/>
        <v>0</v>
      </c>
      <c r="V87" s="498">
        <f>Calculation!AP90</f>
        <v>0</v>
      </c>
      <c r="W87" s="498">
        <f t="shared" si="27"/>
        <v>0</v>
      </c>
      <c r="X87" s="498">
        <v>0</v>
      </c>
      <c r="Y87" s="744">
        <f t="shared" si="23"/>
        <v>0</v>
      </c>
      <c r="Z87" s="748">
        <f t="shared" si="24"/>
        <v>0</v>
      </c>
      <c r="AA87" s="498">
        <f t="shared" ca="1" si="28"/>
        <v>4389.0667451012723</v>
      </c>
      <c r="AB87" s="501">
        <f t="shared" ca="1" si="29"/>
        <v>3169.0667451012723</v>
      </c>
      <c r="AC87" s="498" t="e">
        <f ca="1">IF(A87&gt;$A$1,#N/A,VLOOKUP(A87,Calculation!$B$8:$IV$881,155,FALSE))</f>
        <v>#N/A</v>
      </c>
      <c r="AD87" s="498" t="e">
        <f t="shared" ca="1" si="30"/>
        <v>#N/A</v>
      </c>
      <c r="AE87" s="498"/>
      <c r="AF87" s="501">
        <f>Calculation!G90</f>
        <v>1322.3515672697899</v>
      </c>
      <c r="AG87" s="498" t="str">
        <f t="shared" si="31"/>
        <v>Yes</v>
      </c>
      <c r="AH87" s="498" t="str">
        <f t="shared" si="32"/>
        <v>Yes</v>
      </c>
      <c r="AK87" s="738">
        <v>6948.0000000126311</v>
      </c>
      <c r="AL87" s="738">
        <v>11251.040000022582</v>
      </c>
      <c r="AM87" s="740">
        <v>5992.400000010417</v>
      </c>
      <c r="AR87" s="549"/>
      <c r="AS87" s="471">
        <f ca="1">IF(Summary!A87&lt;Calculation!FT90,FORECAST(20000,A81:A87,T81:T87),0)</f>
        <v>40714.08668547948</v>
      </c>
      <c r="AT87" s="581">
        <f>Calculation!AR90*3.068</f>
        <v>1404.7349333333334</v>
      </c>
      <c r="AU87" s="575">
        <f ca="1">Calculation!DA90</f>
        <v>421.82446389243586</v>
      </c>
      <c r="AV87" s="575">
        <f>Calculation!CF90*3.068</f>
        <v>559.75088879783164</v>
      </c>
      <c r="AW87" s="582">
        <f>Calculation!BK90*3.068</f>
        <v>655.54296888888905</v>
      </c>
      <c r="AX87" s="524"/>
      <c r="AY87" s="816">
        <f>IF(Summary!A87&lt;Calculation!FT90,FORECAST(8333.33,A81:A87,AT81:AT87),0)</f>
        <v>40702.849353595724</v>
      </c>
      <c r="AZ87" s="559"/>
      <c r="BA87" s="534">
        <f ca="1">IF(Summary!A87&lt;Calculation!FT90,FORECAST(3888.89,A81:A87,AU81:AU87),0)</f>
        <v>40760.265573675344</v>
      </c>
      <c r="BB87" s="559"/>
      <c r="BC87" s="826">
        <f>IF(Summary!A87&lt;Calculation!FT90,FORECAST(3888.89,A81:A87,AV81:AV87),0)</f>
        <v>40720.818175424443</v>
      </c>
      <c r="BD87" s="559"/>
      <c r="BE87" s="847">
        <f>IF(Summary!A87&lt;Calculation!FT90,FORECAST(3888.89,A81:A87,AW81:AW87),0)</f>
        <v>40702.849422749598</v>
      </c>
    </row>
    <row r="88" spans="1:57" ht="13.5" thickBot="1">
      <c r="A88" s="513">
        <v>40620</v>
      </c>
      <c r="B88" s="498">
        <f t="shared" si="25"/>
        <v>83.336889999992792</v>
      </c>
      <c r="C88" s="498">
        <f>Calculation!AA91</f>
        <v>86.986214772183786</v>
      </c>
      <c r="D88" s="498">
        <f>Calculation!Y91</f>
        <v>0</v>
      </c>
      <c r="E88" s="498">
        <f>Calculation!U91</f>
        <v>45.125989999997294</v>
      </c>
      <c r="F88" s="498">
        <f>Calculation!V91</f>
        <v>38.210899999995497</v>
      </c>
      <c r="G88" s="498">
        <f>Calculation!W91</f>
        <v>0</v>
      </c>
      <c r="H88" s="500">
        <f>Sheet1!H91</f>
        <v>2.72</v>
      </c>
      <c r="I88" s="501">
        <f>Sheet1!CW91</f>
        <v>1751.5625</v>
      </c>
      <c r="J88" s="501">
        <f>Sheet1!CX91</f>
        <v>862.13541666666663</v>
      </c>
      <c r="K88" s="501">
        <f>Sheet1!CV91</f>
        <v>903.59090909090912</v>
      </c>
      <c r="L88" s="501">
        <f>Calculation!F91</f>
        <v>250</v>
      </c>
      <c r="M88" s="501">
        <f>Calculation!E91</f>
        <v>250</v>
      </c>
      <c r="N88" s="501">
        <f>Calculation!D91</f>
        <v>300</v>
      </c>
      <c r="O88" s="500">
        <f>Sheet1!CY91</f>
        <v>1106.21</v>
      </c>
      <c r="P88" s="514" t="e">
        <f>Calculation!ET91</f>
        <v>#N/A</v>
      </c>
      <c r="Q88" s="498">
        <f>Calculation!DF91</f>
        <v>8051.680000015197</v>
      </c>
      <c r="R88" s="500">
        <f t="shared" si="21"/>
        <v>6831.680000015197</v>
      </c>
      <c r="S88" s="498">
        <f t="shared" si="26"/>
        <v>620.76000000143449</v>
      </c>
      <c r="T88" s="498">
        <f ca="1">IF(A88&gt;$A$1,#N/A,VLOOKUP(A88,Calculation!$B$8:$IV$881,30,FALSE))</f>
        <v>3214.3637312674095</v>
      </c>
      <c r="U88" s="498">
        <f t="shared" si="22"/>
        <v>0</v>
      </c>
      <c r="V88" s="498">
        <f>Calculation!AP91</f>
        <v>0</v>
      </c>
      <c r="W88" s="498">
        <f t="shared" si="27"/>
        <v>0</v>
      </c>
      <c r="X88" s="498">
        <v>0</v>
      </c>
      <c r="Y88" s="744">
        <f t="shared" si="23"/>
        <v>0</v>
      </c>
      <c r="Z88" s="748">
        <f t="shared" si="24"/>
        <v>0</v>
      </c>
      <c r="AA88" s="498">
        <f t="shared" ca="1" si="28"/>
        <v>4837.316268747787</v>
      </c>
      <c r="AB88" s="501">
        <f t="shared" ca="1" si="29"/>
        <v>3617.316268747787</v>
      </c>
      <c r="AC88" s="498" t="e">
        <f ca="1">IF(A88&gt;$A$1,#N/A,VLOOKUP(A88,Calculation!$B$8:$IV$881,155,FALSE))</f>
        <v>#N/A</v>
      </c>
      <c r="AD88" s="498" t="e">
        <f t="shared" ca="1" si="30"/>
        <v>#N/A</v>
      </c>
      <c r="AE88" s="498"/>
      <c r="AF88" s="501">
        <f>Calculation!G91</f>
        <v>1216.6317562928427</v>
      </c>
      <c r="AG88" s="498" t="str">
        <f t="shared" si="31"/>
        <v>Yes</v>
      </c>
      <c r="AH88" s="498" t="str">
        <f t="shared" si="32"/>
        <v>Yes</v>
      </c>
      <c r="AK88" s="738">
        <v>7107.5000000127557</v>
      </c>
      <c r="AL88" s="738">
        <v>11510.100000023342</v>
      </c>
      <c r="AM88" s="740">
        <v>6272.6800000109442</v>
      </c>
      <c r="AR88" s="549"/>
      <c r="AS88" s="471">
        <f ca="1">IF(Summary!A88&lt;Calculation!FT91,FORECAST(20000,A82:A88,T82:T88),0)</f>
        <v>40715.319676605701</v>
      </c>
      <c r="AT88" s="581">
        <f>Calculation!AR91*3.068</f>
        <v>1487.3664000000001</v>
      </c>
      <c r="AU88" s="575">
        <f ca="1">Calculation!DA91</f>
        <v>442.18296144639487</v>
      </c>
      <c r="AV88" s="575">
        <f>Calculation!CF91*3.068</f>
        <v>590.71004982101408</v>
      </c>
      <c r="AW88" s="582">
        <f>Calculation!BK91*3.068</f>
        <v>694.10432000000014</v>
      </c>
      <c r="AX88" s="524"/>
      <c r="AY88" s="816">
        <f>IF(Summary!A88&lt;Calculation!FT91,FORECAST(8333.33,A82:A88,AT82:AT88),0)</f>
        <v>40702.849353595724</v>
      </c>
      <c r="AZ88" s="559"/>
      <c r="BA88" s="534">
        <f ca="1">IF(Summary!A88&lt;Calculation!FT91,FORECAST(3888.89,A82:A88,AU82:AU88),0)</f>
        <v>40770.263977686154</v>
      </c>
      <c r="BB88" s="559"/>
      <c r="BC88" s="826">
        <f>IF(Summary!A88&lt;Calculation!FT91,FORECAST(3888.89,A82:A88,AV82:AV88),0)</f>
        <v>40722.973429259058</v>
      </c>
      <c r="BD88" s="559"/>
      <c r="BE88" s="847">
        <f>IF(Summary!A88&lt;Calculation!FT91,FORECAST(3888.89,A82:A88,AW82:AW88),0)</f>
        <v>40702.849422749598</v>
      </c>
    </row>
    <row r="89" spans="1:57" ht="13.5" thickBot="1">
      <c r="A89" s="513">
        <v>40621</v>
      </c>
      <c r="B89" s="498">
        <f t="shared" si="25"/>
        <v>86.013200000008993</v>
      </c>
      <c r="C89" s="498">
        <f>Calculation!AA92</f>
        <v>86.469267500000001</v>
      </c>
      <c r="D89" s="498">
        <f>Calculation!Y92</f>
        <v>0</v>
      </c>
      <c r="E89" s="498">
        <f>Calculation!U92</f>
        <v>46.564700000009005</v>
      </c>
      <c r="F89" s="498">
        <f>Calculation!V92</f>
        <v>39.448499999999996</v>
      </c>
      <c r="G89" s="498">
        <f>Calculation!W92</f>
        <v>0</v>
      </c>
      <c r="H89" s="500">
        <f>Sheet1!H92</f>
        <v>2.33</v>
      </c>
      <c r="I89" s="501">
        <f>Sheet1!CW92</f>
        <v>1615.4166666666667</v>
      </c>
      <c r="J89" s="501">
        <f>Sheet1!CX92</f>
        <v>776.04166666666663</v>
      </c>
      <c r="K89" s="501">
        <f>Sheet1!CV92</f>
        <v>810.4</v>
      </c>
      <c r="L89" s="501">
        <f>Calculation!F92</f>
        <v>250</v>
      </c>
      <c r="M89" s="501">
        <f>Calculation!E92</f>
        <v>250</v>
      </c>
      <c r="N89" s="501">
        <f>Calculation!D92</f>
        <v>300</v>
      </c>
      <c r="O89" s="500">
        <f>Sheet1!CY92</f>
        <v>1108.1099999999999</v>
      </c>
      <c r="P89" s="514" t="e">
        <f>Calculation!ET92</f>
        <v>#N/A</v>
      </c>
      <c r="Q89" s="498">
        <f>Calculation!DF92</f>
        <v>8647.7500000165528</v>
      </c>
      <c r="R89" s="500">
        <f t="shared" si="21"/>
        <v>7427.7500000165528</v>
      </c>
      <c r="S89" s="498">
        <f t="shared" si="26"/>
        <v>596.07000000135577</v>
      </c>
      <c r="T89" s="498">
        <f ca="1">IF(A89&gt;$A$1,#N/A,VLOOKUP(A89,Calculation!$B$8:$IV$881,30,FALSE))</f>
        <v>3385.8490012674088</v>
      </c>
      <c r="U89" s="498">
        <f t="shared" si="22"/>
        <v>0</v>
      </c>
      <c r="V89" s="498">
        <f>Calculation!AP92</f>
        <v>0</v>
      </c>
      <c r="W89" s="498">
        <f t="shared" si="27"/>
        <v>0</v>
      </c>
      <c r="X89" s="498">
        <v>0</v>
      </c>
      <c r="Y89" s="744">
        <f t="shared" si="23"/>
        <v>0</v>
      </c>
      <c r="Z89" s="748">
        <f t="shared" si="24"/>
        <v>0</v>
      </c>
      <c r="AA89" s="498">
        <f t="shared" ca="1" si="28"/>
        <v>5261.9009987491445</v>
      </c>
      <c r="AB89" s="501">
        <f t="shared" ca="1" si="29"/>
        <v>4041.9009987491445</v>
      </c>
      <c r="AC89" s="498" t="e">
        <f ca="1">IF(A89&gt;$A$1,#N/A,VLOOKUP(A89,Calculation!$B$8:$IV$881,155,FALSE))</f>
        <v>#N/A</v>
      </c>
      <c r="AD89" s="498" t="e">
        <f t="shared" ca="1" si="30"/>
        <v>#N/A</v>
      </c>
      <c r="AE89" s="498"/>
      <c r="AF89" s="501">
        <f>Calculation!G92</f>
        <v>1110.9900151292768</v>
      </c>
      <c r="AG89" s="498" t="str">
        <f t="shared" si="31"/>
        <v>Yes</v>
      </c>
      <c r="AH89" s="498" t="str">
        <f t="shared" si="32"/>
        <v>Yes</v>
      </c>
      <c r="AK89" s="738">
        <v>7396.0000000137625</v>
      </c>
      <c r="AL89" s="738">
        <v>11814.860000023615</v>
      </c>
      <c r="AM89" s="740">
        <v>6517.610000011483</v>
      </c>
      <c r="AR89" s="549"/>
      <c r="AS89" s="471">
        <f ca="1">IF(Summary!A89&lt;Calculation!FT92,FORECAST(20000,A83:A89,T83:T89),0)</f>
        <v>40715.871003701708</v>
      </c>
      <c r="AT89" s="581">
        <f>Calculation!AR92*3.068</f>
        <v>1569.9978666666668</v>
      </c>
      <c r="AU89" s="575">
        <f ca="1">Calculation!DA92</f>
        <v>461.81268755750597</v>
      </c>
      <c r="AV89" s="575">
        <f>Calculation!CF92*3.068</f>
        <v>621.37277593212514</v>
      </c>
      <c r="AW89" s="582">
        <f>Calculation!BK92*3.068</f>
        <v>732.66567111111124</v>
      </c>
      <c r="AX89" s="524"/>
      <c r="AY89" s="816">
        <f>IF(Summary!A89&lt;Calculation!FT92,FORECAST(8333.33,A83:A89,AT83:AT89),0)</f>
        <v>40702.849353595724</v>
      </c>
      <c r="AZ89" s="559"/>
      <c r="BA89" s="534">
        <f ca="1">IF(Summary!A89&lt;Calculation!FT92,FORECAST(3888.89,A83:A89,AU83:AU89),0)</f>
        <v>40774.887304362135</v>
      </c>
      <c r="BB89" s="559"/>
      <c r="BC89" s="826">
        <f>IF(Summary!A89&lt;Calculation!FT92,FORECAST(3888.89,A83:A89,AV83:AV89),0)</f>
        <v>40723.912412352336</v>
      </c>
      <c r="BD89" s="559"/>
      <c r="BE89" s="847">
        <f>IF(Summary!A89&lt;Calculation!FT92,FORECAST(3888.89,A83:A89,AW83:AW89),0)</f>
        <v>40702.849422749598</v>
      </c>
    </row>
    <row r="90" spans="1:57" ht="13.5" thickBot="1">
      <c r="A90" s="513">
        <v>40622</v>
      </c>
      <c r="B90" s="498">
        <f t="shared" si="25"/>
        <v>83.584409999998201</v>
      </c>
      <c r="C90" s="498">
        <f>Calculation!AA93</f>
        <v>86.840646666665123</v>
      </c>
      <c r="D90" s="498">
        <f>Calculation!Y93</f>
        <v>0</v>
      </c>
      <c r="E90" s="498">
        <f>Calculation!U93</f>
        <v>45.218809999993695</v>
      </c>
      <c r="F90" s="498">
        <f>Calculation!V93</f>
        <v>38.365600000004498</v>
      </c>
      <c r="G90" s="498">
        <f>Calculation!W93</f>
        <v>0</v>
      </c>
      <c r="H90" s="500">
        <f>Sheet1!H93</f>
        <v>3.44</v>
      </c>
      <c r="I90" s="501">
        <f>Sheet1!CW93</f>
        <v>1535.5208333333333</v>
      </c>
      <c r="J90" s="501">
        <f>Sheet1!CX93</f>
        <v>774.5</v>
      </c>
      <c r="K90" s="501">
        <f>Sheet1!CV93</f>
        <v>818.6</v>
      </c>
      <c r="L90" s="501">
        <f>Calculation!F93</f>
        <v>250</v>
      </c>
      <c r="M90" s="501">
        <f>Calculation!E93</f>
        <v>250</v>
      </c>
      <c r="N90" s="501">
        <f>Calculation!D93</f>
        <v>300</v>
      </c>
      <c r="O90" s="500">
        <f>Sheet1!CY93</f>
        <v>1109.3699999999999</v>
      </c>
      <c r="P90" s="514" t="e">
        <f>Calculation!ET93</f>
        <v>#N/A</v>
      </c>
      <c r="Q90" s="498">
        <f>Calculation!DF93</f>
        <v>9060.5800000173913</v>
      </c>
      <c r="R90" s="500">
        <f t="shared" si="21"/>
        <v>7840.5800000173913</v>
      </c>
      <c r="S90" s="498">
        <f t="shared" si="26"/>
        <v>412.83000000083848</v>
      </c>
      <c r="T90" s="498">
        <f ca="1">IF(A90&gt;$A$1,#N/A,VLOOKUP(A90,Calculation!$B$8:$IV$881,30,FALSE))</f>
        <v>3558.0707879340725</v>
      </c>
      <c r="U90" s="498">
        <f t="shared" si="22"/>
        <v>0</v>
      </c>
      <c r="V90" s="498">
        <f>Calculation!AP93</f>
        <v>0</v>
      </c>
      <c r="W90" s="498">
        <f t="shared" si="27"/>
        <v>0</v>
      </c>
      <c r="X90" s="498">
        <v>0</v>
      </c>
      <c r="Y90" s="744">
        <f t="shared" si="23"/>
        <v>0</v>
      </c>
      <c r="Z90" s="748">
        <f t="shared" si="24"/>
        <v>0</v>
      </c>
      <c r="AA90" s="498">
        <f t="shared" ca="1" si="28"/>
        <v>5502.5092120833187</v>
      </c>
      <c r="AB90" s="501">
        <f t="shared" ca="1" si="29"/>
        <v>4282.5092120833187</v>
      </c>
      <c r="AC90" s="498" t="e">
        <f ca="1">IF(A90&gt;$A$1,#N/A,VLOOKUP(A90,Calculation!$B$8:$IV$881,155,FALSE))</f>
        <v>#N/A</v>
      </c>
      <c r="AD90" s="498" t="e">
        <f t="shared" ca="1" si="30"/>
        <v>#N/A</v>
      </c>
      <c r="AE90" s="498"/>
      <c r="AF90" s="501">
        <f>Calculation!G93</f>
        <v>1026.7845688355212</v>
      </c>
      <c r="AG90" s="498" t="str">
        <f t="shared" si="31"/>
        <v>Yes</v>
      </c>
      <c r="AH90" s="498" t="str">
        <f t="shared" si="32"/>
        <v>Yes</v>
      </c>
      <c r="AK90" s="738">
        <v>7987.0000000151267</v>
      </c>
      <c r="AL90" s="738">
        <v>12097.600000024544</v>
      </c>
      <c r="AM90" s="740">
        <v>6720.9600000119754</v>
      </c>
      <c r="AR90" s="549"/>
      <c r="AS90" s="471">
        <f ca="1">IF(Summary!A90&lt;Calculation!FT93,FORECAST(20000,A84:A90,T84:T90),0)</f>
        <v>40716.725878942423</v>
      </c>
      <c r="AT90" s="581">
        <f>Calculation!AR93*3.068</f>
        <v>1652.6293333333333</v>
      </c>
      <c r="AU90" s="575">
        <f ca="1">Calculation!DA93</f>
        <v>481.96210533528154</v>
      </c>
      <c r="AV90" s="575">
        <f>Calculation!CF93*3.068</f>
        <v>652.25232704323548</v>
      </c>
      <c r="AW90" s="582">
        <f>Calculation!BK93*3.068</f>
        <v>771.22702222222233</v>
      </c>
      <c r="AX90" s="524"/>
      <c r="AY90" s="816">
        <f>IF(Summary!A90&lt;Calculation!FT93,FORECAST(8333.33,A84:A90,AT84:AT90),0)</f>
        <v>40702.849353595724</v>
      </c>
      <c r="AZ90" s="559"/>
      <c r="BA90" s="534">
        <f ca="1">IF(Summary!A90&lt;Calculation!FT93,FORECAST(3888.89,A84:A90,AU84:AU90),0)</f>
        <v>40783.030741121831</v>
      </c>
      <c r="BB90" s="559"/>
      <c r="BC90" s="826">
        <f>IF(Summary!A90&lt;Calculation!FT93,FORECAST(3888.89,A84:A90,AV84:AV90),0)</f>
        <v>40725.416567942833</v>
      </c>
      <c r="BD90" s="559"/>
      <c r="BE90" s="847">
        <f>IF(Summary!A90&lt;Calculation!FT93,FORECAST(3888.89,A84:A90,AW84:AW90),0)</f>
        <v>40702.849422749598</v>
      </c>
    </row>
    <row r="91" spans="1:57" ht="13.5" thickBot="1">
      <c r="A91" s="513">
        <v>40623</v>
      </c>
      <c r="B91" s="498">
        <f t="shared" si="25"/>
        <v>83.460649999995496</v>
      </c>
      <c r="C91" s="498">
        <f>Calculation!AA94</f>
        <v>87.046266006416928</v>
      </c>
      <c r="D91" s="498">
        <f>Calculation!Y94</f>
        <v>0</v>
      </c>
      <c r="E91" s="498">
        <f>Calculation!U94</f>
        <v>45.636499999999998</v>
      </c>
      <c r="F91" s="498">
        <f>Calculation!V94</f>
        <v>37.824149999995498</v>
      </c>
      <c r="G91" s="498">
        <f>Calculation!W94</f>
        <v>0</v>
      </c>
      <c r="H91" s="500">
        <f>Sheet1!H94</f>
        <v>2.3199999999999998</v>
      </c>
      <c r="I91" s="501">
        <f>Sheet1!CW94</f>
        <v>1496.4583333333333</v>
      </c>
      <c r="J91" s="501">
        <f>Sheet1!CX94</f>
        <v>779.125</v>
      </c>
      <c r="K91" s="501">
        <f>Sheet1!CV94</f>
        <v>824.25</v>
      </c>
      <c r="L91" s="501">
        <f>Calculation!F94</f>
        <v>250</v>
      </c>
      <c r="M91" s="501">
        <f>Calculation!E94</f>
        <v>250</v>
      </c>
      <c r="N91" s="501">
        <f>Calculation!D94</f>
        <v>300</v>
      </c>
      <c r="O91" s="500">
        <f>Sheet1!CY94</f>
        <v>1110.3699999999999</v>
      </c>
      <c r="P91" s="514" t="e">
        <f>Calculation!ET94</f>
        <v>#N/A</v>
      </c>
      <c r="Q91" s="498">
        <f>Calculation!DF94</f>
        <v>9398.2800000182251</v>
      </c>
      <c r="R91" s="500">
        <f t="shared" si="21"/>
        <v>8178.2800000182251</v>
      </c>
      <c r="S91" s="498">
        <f t="shared" si="26"/>
        <v>337.70000000083382</v>
      </c>
      <c r="T91" s="498">
        <f ca="1">IF(A91&gt;$A$1,#N/A,VLOOKUP(A91,Calculation!$B$8:$IV$881,30,FALSE))</f>
        <v>3730.7003574930177</v>
      </c>
      <c r="U91" s="498">
        <f t="shared" si="22"/>
        <v>0</v>
      </c>
      <c r="V91" s="498">
        <f>Calculation!AP94</f>
        <v>0</v>
      </c>
      <c r="W91" s="498">
        <f t="shared" si="27"/>
        <v>0</v>
      </c>
      <c r="X91" s="498">
        <v>0</v>
      </c>
      <c r="Y91" s="744">
        <f t="shared" si="23"/>
        <v>0</v>
      </c>
      <c r="Z91" s="748">
        <f t="shared" si="24"/>
        <v>0</v>
      </c>
      <c r="AA91" s="498">
        <f t="shared" ca="1" si="28"/>
        <v>5667.5796425252074</v>
      </c>
      <c r="AB91" s="501">
        <f t="shared" ca="1" si="29"/>
        <v>4447.5796425252074</v>
      </c>
      <c r="AC91" s="498" t="e">
        <f ca="1">IF(A91&gt;$A$1,#N/A,VLOOKUP(A91,Calculation!$B$8:$IV$881,155,FALSE))</f>
        <v>#N/A</v>
      </c>
      <c r="AD91" s="498" t="e">
        <f t="shared" ca="1" si="30"/>
        <v>#N/A</v>
      </c>
      <c r="AE91" s="498"/>
      <c r="AF91" s="501">
        <f>Calculation!G94</f>
        <v>994.54752899689049</v>
      </c>
      <c r="AG91" s="498" t="str">
        <f t="shared" si="31"/>
        <v>Yes</v>
      </c>
      <c r="AH91" s="498" t="str">
        <f t="shared" si="32"/>
        <v>Yes</v>
      </c>
      <c r="AK91" s="738">
        <v>8612.0000000165528</v>
      </c>
      <c r="AL91" s="738">
        <v>12532.570000025584</v>
      </c>
      <c r="AM91" s="740">
        <v>6986.5000000126311</v>
      </c>
      <c r="AR91" s="549"/>
      <c r="AS91" s="471">
        <f ca="1">IF(Summary!A91&lt;Calculation!FT94,FORECAST(20000,A85:A91,T85:T91),0)</f>
        <v>40717.553007195151</v>
      </c>
      <c r="AT91" s="581">
        <f>Calculation!AR94*3.068</f>
        <v>1735.2607999999998</v>
      </c>
      <c r="AU91" s="575">
        <f ca="1">Calculation!DA94</f>
        <v>502.41696679122242</v>
      </c>
      <c r="AV91" s="575">
        <f>Calculation!CF94*3.068</f>
        <v>683.23421736846126</v>
      </c>
      <c r="AW91" s="582">
        <f>Calculation!BK94*3.068</f>
        <v>809.78837333333354</v>
      </c>
      <c r="AX91" s="524"/>
      <c r="AY91" s="816">
        <f>IF(Summary!A91&lt;Calculation!FT94,FORECAST(8333.33,A85:A91,AT85:AT91),0)</f>
        <v>40702.849353595724</v>
      </c>
      <c r="AZ91" s="559"/>
      <c r="BA91" s="534">
        <f ca="1">IF(Summary!A91&lt;Calculation!FT94,FORECAST(3888.89,A85:A91,AU85:AU91),0)</f>
        <v>40792.042709282097</v>
      </c>
      <c r="BB91" s="559"/>
      <c r="BC91" s="826">
        <f>IF(Summary!A91&lt;Calculation!FT94,FORECAST(3888.89,A85:A91,AV85:AV91),0)</f>
        <v>40726.940996472404</v>
      </c>
      <c r="BD91" s="559"/>
      <c r="BE91" s="847">
        <f>IF(Summary!A91&lt;Calculation!FT94,FORECAST(3888.89,A85:A91,AW85:AW91),0)</f>
        <v>40702.849422749598</v>
      </c>
    </row>
    <row r="92" spans="1:57" ht="13.5" thickBot="1">
      <c r="A92" s="513">
        <v>40624</v>
      </c>
      <c r="B92" s="498">
        <f t="shared" si="25"/>
        <v>86.632000000000005</v>
      </c>
      <c r="C92" s="498">
        <f>Calculation!AA95</f>
        <v>86.275202638077218</v>
      </c>
      <c r="D92" s="498">
        <f>Calculation!Y95</f>
        <v>0</v>
      </c>
      <c r="E92" s="498">
        <f>Calculation!U95</f>
        <v>46.41</v>
      </c>
      <c r="F92" s="498">
        <f>Calculation!V95</f>
        <v>40.222000000000001</v>
      </c>
      <c r="G92" s="498">
        <f>Calculation!W95</f>
        <v>0</v>
      </c>
      <c r="H92" s="500" t="str">
        <f>Sheet1!H95</f>
        <v>os</v>
      </c>
      <c r="I92" s="501">
        <f>Sheet1!CW95</f>
        <v>1466.6666666666667</v>
      </c>
      <c r="J92" s="501">
        <f>Sheet1!CX95</f>
        <v>781.625</v>
      </c>
      <c r="K92" s="501">
        <f>Sheet1!CV95</f>
        <v>829.4</v>
      </c>
      <c r="L92" s="501">
        <f>Calculation!F95</f>
        <v>250</v>
      </c>
      <c r="M92" s="501">
        <f>Calculation!E95</f>
        <v>250</v>
      </c>
      <c r="N92" s="501">
        <f>Calculation!D95</f>
        <v>300</v>
      </c>
      <c r="O92" s="500">
        <f>Sheet1!CY95</f>
        <v>1111.18</v>
      </c>
      <c r="P92" s="514" t="e">
        <f>Calculation!ET95</f>
        <v>#N/A</v>
      </c>
      <c r="Q92" s="498">
        <f>Calculation!DF95</f>
        <v>9678.360000018969</v>
      </c>
      <c r="R92" s="500">
        <f t="shared" si="21"/>
        <v>8458.360000018969</v>
      </c>
      <c r="S92" s="498">
        <f t="shared" si="26"/>
        <v>280.08000000074389</v>
      </c>
      <c r="T92" s="498">
        <f ca="1">IF(A92&gt;$A$1,#N/A,VLOOKUP(A92,Calculation!$B$8:$IV$881,30,FALSE))</f>
        <v>3901.8007593634893</v>
      </c>
      <c r="U92" s="498">
        <f t="shared" si="22"/>
        <v>0</v>
      </c>
      <c r="V92" s="498">
        <f>Calculation!AP95</f>
        <v>0</v>
      </c>
      <c r="W92" s="498">
        <f t="shared" si="27"/>
        <v>0</v>
      </c>
      <c r="X92" s="498">
        <v>0</v>
      </c>
      <c r="Y92" s="744">
        <f t="shared" si="23"/>
        <v>0</v>
      </c>
      <c r="Z92" s="748">
        <f t="shared" si="24"/>
        <v>0</v>
      </c>
      <c r="AA92" s="498">
        <f t="shared" ca="1" si="28"/>
        <v>5776.5592406554797</v>
      </c>
      <c r="AB92" s="501">
        <f t="shared" ca="1" si="29"/>
        <v>4556.5592406554797</v>
      </c>
      <c r="AC92" s="498" t="e">
        <f ca="1">IF(A92&gt;$A$1,#N/A,VLOOKUP(A92,Calculation!$B$8:$IV$881,155,FALSE))</f>
        <v>#N/A</v>
      </c>
      <c r="AD92" s="498" t="e">
        <f t="shared" ca="1" si="30"/>
        <v>#N/A</v>
      </c>
      <c r="AE92" s="498"/>
      <c r="AF92" s="501">
        <f>Calculation!G95</f>
        <v>970.64054462972456</v>
      </c>
      <c r="AG92" s="498" t="str">
        <f t="shared" si="31"/>
        <v>Yes</v>
      </c>
      <c r="AH92" s="498" t="str">
        <f t="shared" si="32"/>
        <v>Yes</v>
      </c>
      <c r="AK92" s="738">
        <v>8797.2500000167001</v>
      </c>
      <c r="AL92" s="738">
        <v>13255.700000027622</v>
      </c>
      <c r="AM92" s="740">
        <v>7356.3800000133197</v>
      </c>
      <c r="AR92" s="549"/>
      <c r="AS92" s="471">
        <f ca="1">IF(Summary!A92&lt;Calculation!FT95,FORECAST(20000,A86:A92,T86:T92),0)</f>
        <v>40717.570485575103</v>
      </c>
      <c r="AT92" s="581">
        <f>Calculation!AR95*3.068</f>
        <v>1817.8922666666663</v>
      </c>
      <c r="AU92" s="575">
        <f ca="1">Calculation!DA95</f>
        <v>521.76202254858049</v>
      </c>
      <c r="AV92" s="575">
        <f>Calculation!CF95*3.068</f>
        <v>713.79674570379791</v>
      </c>
      <c r="AW92" s="582">
        <f>Calculation!BK95*3.068</f>
        <v>848.34972444444452</v>
      </c>
      <c r="AX92" s="524"/>
      <c r="AY92" s="816">
        <f>IF(Summary!A92&lt;Calculation!FT95,FORECAST(8333.33,A86:A92,AT86:AT92),0)</f>
        <v>40702.849353595724</v>
      </c>
      <c r="AZ92" s="559"/>
      <c r="BA92" s="534">
        <f ca="1">IF(Summary!A92&lt;Calculation!FT95,FORECAST(3888.89,A86:A92,AU86:AU92),0)</f>
        <v>40792.193812561738</v>
      </c>
      <c r="BB92" s="559"/>
      <c r="BC92" s="826">
        <f>IF(Summary!A92&lt;Calculation!FT95,FORECAST(3888.89,A86:A92,AV86:AV92),0)</f>
        <v>40726.985406184016</v>
      </c>
      <c r="BD92" s="559"/>
      <c r="BE92" s="847">
        <f>IF(Summary!A92&lt;Calculation!FT95,FORECAST(3888.89,A86:A92,AW86:AW92),0)</f>
        <v>40702.849422749598</v>
      </c>
    </row>
    <row r="93" spans="1:57" ht="13.5" thickBot="1">
      <c r="A93" s="513">
        <v>40625</v>
      </c>
      <c r="B93" s="498">
        <f t="shared" si="25"/>
        <v>84.234149999995495</v>
      </c>
      <c r="C93" s="498">
        <f>Calculation!AA96</f>
        <v>86.720312965292095</v>
      </c>
      <c r="D93" s="498">
        <f>Calculation!Y96</f>
        <v>0</v>
      </c>
      <c r="E93" s="498">
        <f>Calculation!U96</f>
        <v>45.636499999999998</v>
      </c>
      <c r="F93" s="498">
        <f>Calculation!V96</f>
        <v>38.597649999995497</v>
      </c>
      <c r="G93" s="498">
        <f>Calculation!W96</f>
        <v>9.1427699999997749</v>
      </c>
      <c r="H93" s="500">
        <f>Sheet1!H96</f>
        <v>13.5</v>
      </c>
      <c r="I93" s="501">
        <f>Sheet1!CW96</f>
        <v>1439.1666666666667</v>
      </c>
      <c r="J93" s="501">
        <f>Sheet1!CX96</f>
        <v>786.6875</v>
      </c>
      <c r="K93" s="501">
        <f>Sheet1!CV96</f>
        <v>829.25</v>
      </c>
      <c r="L93" s="501">
        <f>Calculation!F96</f>
        <v>250</v>
      </c>
      <c r="M93" s="501">
        <f>Calculation!E96</f>
        <v>250</v>
      </c>
      <c r="N93" s="501">
        <f>Calculation!D96</f>
        <v>300</v>
      </c>
      <c r="O93" s="500">
        <f>Sheet1!CY96</f>
        <v>1111.68</v>
      </c>
      <c r="P93" s="514" t="e">
        <f>Calculation!ET96</f>
        <v>#N/A</v>
      </c>
      <c r="Q93" s="498">
        <f>Calculation!DF96</f>
        <v>9854.3600000191291</v>
      </c>
      <c r="R93" s="500">
        <f t="shared" si="21"/>
        <v>8634.3600000191291</v>
      </c>
      <c r="S93" s="498">
        <f t="shared" si="26"/>
        <v>176.00000000016007</v>
      </c>
      <c r="T93" s="498">
        <f ca="1">IF(A93&gt;$A$1,#N/A,VLOOKUP(A93,Calculation!$B$8:$IV$881,30,FALSE))</f>
        <v>4073.7839010425555</v>
      </c>
      <c r="U93" s="498">
        <f t="shared" si="22"/>
        <v>0</v>
      </c>
      <c r="V93" s="498">
        <f>Calculation!AP96</f>
        <v>0</v>
      </c>
      <c r="W93" s="498">
        <f t="shared" si="27"/>
        <v>0</v>
      </c>
      <c r="X93" s="498">
        <v>0</v>
      </c>
      <c r="Y93" s="744">
        <f t="shared" si="23"/>
        <v>0</v>
      </c>
      <c r="Z93" s="748">
        <f t="shared" si="24"/>
        <v>0</v>
      </c>
      <c r="AA93" s="498">
        <f t="shared" ca="1" si="28"/>
        <v>5780.5760989765731</v>
      </c>
      <c r="AB93" s="501">
        <f t="shared" ca="1" si="29"/>
        <v>4560.5760989765731</v>
      </c>
      <c r="AC93" s="498" t="e">
        <f ca="1">IF(A93&gt;$A$1,#N/A,VLOOKUP(A93,Calculation!$B$8:$IV$881,155,FALSE))</f>
        <v>#N/A</v>
      </c>
      <c r="AD93" s="498" t="e">
        <f t="shared" ca="1" si="30"/>
        <v>#N/A</v>
      </c>
      <c r="AE93" s="498"/>
      <c r="AF93" s="501">
        <f>Calculation!G96</f>
        <v>918.00441250638426</v>
      </c>
      <c r="AG93" s="498" t="str">
        <f t="shared" si="31"/>
        <v>Yes</v>
      </c>
      <c r="AH93" s="498" t="str">
        <f t="shared" si="32"/>
        <v>Yes</v>
      </c>
      <c r="AK93" s="738">
        <v>9766.3600000190472</v>
      </c>
      <c r="AL93" s="738">
        <v>14168.360000029901</v>
      </c>
      <c r="AM93" s="740">
        <v>7669.5400000140271</v>
      </c>
      <c r="AR93" s="549"/>
      <c r="AS93" s="471">
        <f ca="1">IF(Summary!A93&lt;Calculation!FT96,FORECAST(20000,A87:A93,T87:T93),0)</f>
        <v>40717.60217031349</v>
      </c>
      <c r="AT93" s="581">
        <f>Calculation!AR96*3.068</f>
        <v>1900.5237333333328</v>
      </c>
      <c r="AU93" s="575">
        <f ca="1">Calculation!DA96</f>
        <v>541.75211737019117</v>
      </c>
      <c r="AV93" s="575">
        <f>Calculation!CF96*3.068</f>
        <v>744.59697478347607</v>
      </c>
      <c r="AW93" s="582">
        <f>Calculation!BK96*3.068</f>
        <v>886.91107555555561</v>
      </c>
      <c r="AX93" s="524"/>
      <c r="AY93" s="816">
        <f>IF(Summary!A93&lt;Calculation!FT96,FORECAST(8333.33,A87:A93,AT87:AT93),0)</f>
        <v>40702.849353595724</v>
      </c>
      <c r="AZ93" s="559"/>
      <c r="BA93" s="534">
        <f ca="1">IF(Summary!A93&lt;Calculation!FT96,FORECAST(3888.89,A87:A93,AU87:AU93),0)</f>
        <v>40792.479260169632</v>
      </c>
      <c r="BB93" s="559"/>
      <c r="BC93" s="826">
        <f>IF(Summary!A93&lt;Calculation!FT96,FORECAST(3888.89,A87:A93,AV87:AV93),0)</f>
        <v>40727.064565699126</v>
      </c>
      <c r="BD93" s="559"/>
      <c r="BE93" s="847">
        <f>IF(Summary!A93&lt;Calculation!FT96,FORECAST(3888.89,A87:A93,AW87:AW93),0)</f>
        <v>40702.849422749598</v>
      </c>
    </row>
    <row r="94" spans="1:57" ht="13.5" thickBot="1">
      <c r="A94" s="513">
        <v>40626</v>
      </c>
      <c r="B94" s="498">
        <f t="shared" si="25"/>
        <v>87.049690000006308</v>
      </c>
      <c r="C94" s="498">
        <f>Calculation!AA97</f>
        <v>86.24128352512129</v>
      </c>
      <c r="D94" s="498">
        <f>Calculation!Y97</f>
        <v>0</v>
      </c>
      <c r="E94" s="498">
        <f>Calculation!U97</f>
        <v>44.553600000004501</v>
      </c>
      <c r="F94" s="498">
        <f>Calculation!V97</f>
        <v>42.4960900000018</v>
      </c>
      <c r="G94" s="498">
        <f>Calculation!W97</f>
        <v>0</v>
      </c>
      <c r="H94" s="500">
        <f>Sheet1!H97</f>
        <v>2.87</v>
      </c>
      <c r="I94" s="501">
        <f>Sheet1!CW97</f>
        <v>1366.5625</v>
      </c>
      <c r="J94" s="501">
        <f>Sheet1!CX97</f>
        <v>669.33333333333337</v>
      </c>
      <c r="K94" s="501">
        <f>Sheet1!CV97</f>
        <v>728.1</v>
      </c>
      <c r="L94" s="501">
        <f>Calculation!F97</f>
        <v>250</v>
      </c>
      <c r="M94" s="501">
        <f>Calculation!E97</f>
        <v>250</v>
      </c>
      <c r="N94" s="501">
        <f>Calculation!D97</f>
        <v>300</v>
      </c>
      <c r="O94" s="500">
        <f>Sheet1!CY97</f>
        <v>1112.75</v>
      </c>
      <c r="P94" s="514" t="e">
        <f>Calculation!ET97</f>
        <v>#N/A</v>
      </c>
      <c r="Q94" s="498">
        <f>Calculation!DF97</f>
        <v>10237.750000019945</v>
      </c>
      <c r="R94" s="500">
        <f t="shared" si="21"/>
        <v>9017.7500000199452</v>
      </c>
      <c r="S94" s="498">
        <f t="shared" si="26"/>
        <v>383.39000000081614</v>
      </c>
      <c r="T94" s="498">
        <f ca="1">IF(A94&gt;$A$1,#N/A,VLOOKUP(A94,Calculation!$B$8:$IV$881,30,FALSE))</f>
        <v>4244.8170347562418</v>
      </c>
      <c r="U94" s="498">
        <f t="shared" si="22"/>
        <v>0</v>
      </c>
      <c r="V94" s="498">
        <f>Calculation!AP97</f>
        <v>0</v>
      </c>
      <c r="W94" s="498">
        <f t="shared" si="27"/>
        <v>0</v>
      </c>
      <c r="X94" s="498">
        <v>0</v>
      </c>
      <c r="Y94" s="744">
        <f t="shared" si="23"/>
        <v>0</v>
      </c>
      <c r="Z94" s="748">
        <f t="shared" si="24"/>
        <v>0</v>
      </c>
      <c r="AA94" s="498">
        <f t="shared" ca="1" si="28"/>
        <v>5992.9329652637034</v>
      </c>
      <c r="AB94" s="501">
        <f t="shared" ca="1" si="29"/>
        <v>4772.9329652637034</v>
      </c>
      <c r="AC94" s="498" t="e">
        <f ca="1">IF(A94&gt;$A$1,#N/A,VLOOKUP(A94,Calculation!$B$8:$IV$881,155,FALSE))</f>
        <v>#N/A</v>
      </c>
      <c r="AD94" s="498" t="e">
        <f t="shared" ca="1" si="30"/>
        <v>#N/A</v>
      </c>
      <c r="AE94" s="498"/>
      <c r="AF94" s="501">
        <f>Calculation!G97</f>
        <v>921.43837619809187</v>
      </c>
      <c r="AG94" s="498" t="str">
        <f t="shared" si="31"/>
        <v>Yes</v>
      </c>
      <c r="AH94" s="498" t="str">
        <f t="shared" si="32"/>
        <v>Yes</v>
      </c>
      <c r="AK94" s="738">
        <v>10535.760000020751</v>
      </c>
      <c r="AL94" s="738">
        <v>14922.800000031322</v>
      </c>
      <c r="AM94" s="740">
        <v>7951.0000000147338</v>
      </c>
      <c r="AR94" s="549"/>
      <c r="AS94" s="471">
        <f ca="1">IF(Summary!A94&lt;Calculation!FT97,FORECAST(20000,A88:A94,T88:T94),0)</f>
        <v>40717.692502165781</v>
      </c>
      <c r="AT94" s="581">
        <f>Calculation!AR97*3.068</f>
        <v>1983.1551999999992</v>
      </c>
      <c r="AU94" s="575">
        <f ca="1">Calculation!DA97</f>
        <v>560.64477139116889</v>
      </c>
      <c r="AV94" s="575">
        <f>Calculation!CF97*3.068</f>
        <v>775.54463669840652</v>
      </c>
      <c r="AW94" s="582">
        <f>Calculation!BK97*3.068</f>
        <v>925.47242666666659</v>
      </c>
      <c r="AX94" s="524"/>
      <c r="AY94" s="816">
        <f>IF(Summary!A94&lt;Calculation!FT97,FORECAST(8333.33,A88:A94,AT88:AT94),0)</f>
        <v>40702.849353595724</v>
      </c>
      <c r="AZ94" s="559"/>
      <c r="BA94" s="534">
        <f ca="1">IF(Summary!A94&lt;Calculation!FT97,FORECAST(3888.89,A88:A94,AU88:AU94),0)</f>
        <v>40793.845070303018</v>
      </c>
      <c r="BB94" s="559"/>
      <c r="BC94" s="826">
        <f>IF(Summary!A94&lt;Calculation!FT97,FORECAST(3888.89,A88:A94,AV88:AV94),0)</f>
        <v>40727.073115499879</v>
      </c>
      <c r="BD94" s="559"/>
      <c r="BE94" s="847">
        <f>IF(Summary!A94&lt;Calculation!FT97,FORECAST(3888.89,A88:A94,AW88:AW94),0)</f>
        <v>40702.849422749598</v>
      </c>
    </row>
    <row r="95" spans="1:57" ht="13.5" thickBot="1">
      <c r="A95" s="513">
        <v>40627</v>
      </c>
      <c r="B95" s="498">
        <f t="shared" si="25"/>
        <v>85.518159999998204</v>
      </c>
      <c r="C95" s="498">
        <f>Calculation!AA98</f>
        <v>86.405166204372222</v>
      </c>
      <c r="D95" s="498">
        <f>Calculation!Y98</f>
        <v>0</v>
      </c>
      <c r="E95" s="498">
        <f>Calculation!U98</f>
        <v>45.945899999995497</v>
      </c>
      <c r="F95" s="498">
        <f>Calculation!V98</f>
        <v>39.5722600000027</v>
      </c>
      <c r="G95" s="498">
        <f>Calculation!W98</f>
        <v>0</v>
      </c>
      <c r="H95" s="500">
        <f>Sheet1!H98</f>
        <v>2.3199999999999998</v>
      </c>
      <c r="I95" s="501">
        <f>Sheet1!CW98</f>
        <v>1376.9791666666667</v>
      </c>
      <c r="J95" s="501">
        <f>Sheet1!CX98</f>
        <v>718.22916666666663</v>
      </c>
      <c r="K95" s="501">
        <f>Sheet1!CV98</f>
        <v>755.05</v>
      </c>
      <c r="L95" s="501">
        <f>Calculation!F98</f>
        <v>250</v>
      </c>
      <c r="M95" s="501">
        <f>Calculation!E98</f>
        <v>250</v>
      </c>
      <c r="N95" s="501">
        <f>Calculation!D98</f>
        <v>300</v>
      </c>
      <c r="O95" s="500">
        <f>Sheet1!CY98</f>
        <v>1113.96</v>
      </c>
      <c r="P95" s="514" t="e">
        <f>Calculation!ET98</f>
        <v>#N/A</v>
      </c>
      <c r="Q95" s="498">
        <f>Calculation!DF98</f>
        <v>10684.16000002092</v>
      </c>
      <c r="R95" s="500">
        <f t="shared" si="21"/>
        <v>9464.1600000209201</v>
      </c>
      <c r="S95" s="498">
        <f t="shared" si="26"/>
        <v>446.41000000097483</v>
      </c>
      <c r="T95" s="498">
        <f ca="1">IF(A95&gt;$A$1,#N/A,VLOOKUP(A95,Calculation!$B$8:$IV$881,30,FALSE))</f>
        <v>4416.1751794976844</v>
      </c>
      <c r="U95" s="498">
        <f t="shared" si="22"/>
        <v>0</v>
      </c>
      <c r="V95" s="498">
        <f>Calculation!AP98</f>
        <v>0</v>
      </c>
      <c r="W95" s="498">
        <f t="shared" si="27"/>
        <v>0</v>
      </c>
      <c r="X95" s="498">
        <v>0</v>
      </c>
      <c r="Y95" s="744">
        <f t="shared" si="23"/>
        <v>0</v>
      </c>
      <c r="Z95" s="748">
        <f t="shared" si="24"/>
        <v>0</v>
      </c>
      <c r="AA95" s="498">
        <f t="shared" ca="1" si="28"/>
        <v>6267.9848205232356</v>
      </c>
      <c r="AB95" s="501">
        <f t="shared" ca="1" si="29"/>
        <v>5047.9848205232356</v>
      </c>
      <c r="AC95" s="498" t="e">
        <f ca="1">IF(A95&gt;$A$1,#N/A,VLOOKUP(A95,Calculation!$B$8:$IV$881,155,FALSE))</f>
        <v>#N/A</v>
      </c>
      <c r="AD95" s="498" t="e">
        <f t="shared" ca="1" si="30"/>
        <v>#N/A</v>
      </c>
      <c r="AE95" s="498"/>
      <c r="AF95" s="501">
        <f>Calculation!G98</f>
        <v>980.16850731264481</v>
      </c>
      <c r="AG95" s="498" t="str">
        <f t="shared" si="31"/>
        <v>Yes</v>
      </c>
      <c r="AH95" s="498" t="str">
        <f t="shared" si="32"/>
        <v>Yes</v>
      </c>
      <c r="AK95" s="738">
        <v>11165.020000022492</v>
      </c>
      <c r="AL95" s="738">
        <v>15562.640000033576</v>
      </c>
      <c r="AM95" s="740">
        <v>8320.3600000158585</v>
      </c>
      <c r="AR95" s="549"/>
      <c r="AS95" s="471">
        <f ca="1">IF(Summary!A95&lt;Calculation!FT98,FORECAST(20000,A89:A95,T89:T95),0)</f>
        <v>40717.759581157108</v>
      </c>
      <c r="AT95" s="581">
        <f>Calculation!AR98*3.068</f>
        <v>2065.786666666666</v>
      </c>
      <c r="AU95" s="575">
        <f ca="1">Calculation!DA98</f>
        <v>580.18479696937368</v>
      </c>
      <c r="AV95" s="575">
        <f>Calculation!CF98*3.068</f>
        <v>806.16993808386792</v>
      </c>
      <c r="AW95" s="582">
        <f>Calculation!BK98*3.068</f>
        <v>964.03377777777769</v>
      </c>
      <c r="AX95" s="524"/>
      <c r="AY95" s="816">
        <f>IF(Summary!A95&lt;Calculation!FT98,FORECAST(8333.33,A89:A95,AT89:AT95),0)</f>
        <v>40702.849353595724</v>
      </c>
      <c r="AZ95" s="559"/>
      <c r="BA95" s="534">
        <f ca="1">IF(Summary!A95&lt;Calculation!FT98,FORECAST(3888.89,A89:A95,AU89:AU95),0)</f>
        <v>40794.844817670775</v>
      </c>
      <c r="BB95" s="559"/>
      <c r="BC95" s="826">
        <f>IF(Summary!A95&lt;Calculation!FT98,FORECAST(3888.89,A89:A95,AV89:AV95),0)</f>
        <v>40727.092705210307</v>
      </c>
      <c r="BD95" s="559"/>
      <c r="BE95" s="847">
        <f>IF(Summary!A95&lt;Calculation!FT98,FORECAST(3888.89,A89:A95,AW89:AW95),0)</f>
        <v>40702.849422749598</v>
      </c>
    </row>
    <row r="96" spans="1:57" ht="13.5" thickBot="1">
      <c r="A96" s="513">
        <v>40628</v>
      </c>
      <c r="B96" s="498">
        <f t="shared" si="25"/>
        <v>81.991</v>
      </c>
      <c r="C96" s="498">
        <f>Calculation!AA99</f>
        <v>87.18451953394937</v>
      </c>
      <c r="D96" s="498">
        <f>Calculation!Y99</f>
        <v>0</v>
      </c>
      <c r="E96" s="498">
        <f>Calculation!U99</f>
        <v>44.863</v>
      </c>
      <c r="F96" s="498">
        <f>Calculation!V99</f>
        <v>37.128</v>
      </c>
      <c r="G96" s="498">
        <f>Calculation!W99</f>
        <v>0</v>
      </c>
      <c r="H96" s="500">
        <f>Sheet1!H99</f>
        <v>1.52</v>
      </c>
      <c r="I96" s="501">
        <f>Sheet1!CW99</f>
        <v>1546.5625</v>
      </c>
      <c r="J96" s="501">
        <f>Sheet1!CX99</f>
        <v>829.04166666666663</v>
      </c>
      <c r="K96" s="501">
        <f>Sheet1!CV99</f>
        <v>881</v>
      </c>
      <c r="L96" s="501">
        <f>Calculation!F99</f>
        <v>250</v>
      </c>
      <c r="M96" s="501">
        <f>Calculation!E99</f>
        <v>250</v>
      </c>
      <c r="N96" s="501">
        <f>Calculation!D99</f>
        <v>300</v>
      </c>
      <c r="O96" s="500">
        <f>Sheet1!CY99</f>
        <v>1114.58</v>
      </c>
      <c r="P96" s="514" t="e">
        <f>Calculation!ET99</f>
        <v>#N/A</v>
      </c>
      <c r="Q96" s="498">
        <f>Calculation!DF99</f>
        <v>10919.4000000216</v>
      </c>
      <c r="R96" s="500">
        <f t="shared" si="21"/>
        <v>9699.4000000216001</v>
      </c>
      <c r="S96" s="498">
        <f t="shared" si="26"/>
        <v>235.24000000068008</v>
      </c>
      <c r="T96" s="498">
        <f ca="1">IF(A96&gt;$A$1,#N/A,VLOOKUP(A96,Calculation!$B$8:$IV$881,30,FALSE))</f>
        <v>4589.0789325229962</v>
      </c>
      <c r="U96" s="498">
        <f t="shared" si="22"/>
        <v>0</v>
      </c>
      <c r="V96" s="498">
        <f>Calculation!AP99</f>
        <v>0</v>
      </c>
      <c r="W96" s="498">
        <f t="shared" si="27"/>
        <v>0</v>
      </c>
      <c r="X96" s="498">
        <v>0</v>
      </c>
      <c r="Y96" s="744">
        <f t="shared" si="23"/>
        <v>0</v>
      </c>
      <c r="Z96" s="748">
        <f t="shared" si="24"/>
        <v>0</v>
      </c>
      <c r="AA96" s="498">
        <f t="shared" ca="1" si="28"/>
        <v>6330.321067498604</v>
      </c>
      <c r="AB96" s="501">
        <f t="shared" ca="1" si="29"/>
        <v>5110.321067498604</v>
      </c>
      <c r="AC96" s="498" t="e">
        <f ca="1">IF(A96&gt;$A$1,#N/A,VLOOKUP(A96,Calculation!$B$8:$IV$881,155,FALSE))</f>
        <v>#N/A</v>
      </c>
      <c r="AD96" s="498" t="e">
        <f t="shared" ca="1" si="30"/>
        <v>#N/A</v>
      </c>
      <c r="AE96" s="498"/>
      <c r="AF96" s="501">
        <f>Calculation!G99</f>
        <v>999.62834089797275</v>
      </c>
      <c r="AG96" s="498" t="str">
        <f t="shared" si="31"/>
        <v>Yes</v>
      </c>
      <c r="AH96" s="498" t="str">
        <f t="shared" si="32"/>
        <v>Yes</v>
      </c>
      <c r="AK96" s="738">
        <v>11738.670000023616</v>
      </c>
      <c r="AL96" s="738">
        <v>16534.680000036016</v>
      </c>
      <c r="AM96" s="740">
        <v>8823.2500000167747</v>
      </c>
      <c r="AR96" s="549"/>
      <c r="AS96" s="471">
        <f ca="1">IF(Summary!A96&lt;Calculation!FT99,FORECAST(20000,A90:A96,T90:T96),0)</f>
        <v>40717.769380222984</v>
      </c>
      <c r="AT96" s="581">
        <f>Calculation!AR99*3.068</f>
        <v>2148.4181333333322</v>
      </c>
      <c r="AU96" s="575">
        <f ca="1">Calculation!DA99</f>
        <v>600.87803719257806</v>
      </c>
      <c r="AV96" s="575">
        <f>Calculation!CF99*3.068</f>
        <v>837.18763310819725</v>
      </c>
      <c r="AW96" s="582">
        <f>Calculation!BK99*3.068</f>
        <v>1002.5951288888887</v>
      </c>
      <c r="AX96" s="524"/>
      <c r="AY96" s="816">
        <f>IF(Summary!A96&lt;Calculation!FT99,FORECAST(8333.33,A90:A96,AT90:AT96),0)</f>
        <v>40702.849353595724</v>
      </c>
      <c r="AZ96" s="559"/>
      <c r="BA96" s="534">
        <f ca="1">IF(Summary!A96&lt;Calculation!FT99,FORECAST(3888.89,A90:A96,AU90:AU96),0)</f>
        <v>40795.040790780346</v>
      </c>
      <c r="BB96" s="559"/>
      <c r="BC96" s="826">
        <f>IF(Summary!A96&lt;Calculation!FT99,FORECAST(3888.89,A90:A96,AV90:AV96),0)</f>
        <v>40727.081392901251</v>
      </c>
      <c r="BD96" s="559"/>
      <c r="BE96" s="847">
        <f>IF(Summary!A96&lt;Calculation!FT99,FORECAST(3888.89,A90:A96,AW90:AW96),0)</f>
        <v>40702.849422749598</v>
      </c>
    </row>
    <row r="97" spans="1:57" ht="13.5" thickBot="1">
      <c r="A97" s="513">
        <v>40629</v>
      </c>
      <c r="B97" s="498">
        <f t="shared" si="25"/>
        <v>85.084999999999994</v>
      </c>
      <c r="C97" s="498">
        <f>Calculation!AA100</f>
        <v>86.62740148626817</v>
      </c>
      <c r="D97" s="498">
        <f>Calculation!Y100</f>
        <v>0</v>
      </c>
      <c r="E97" s="498">
        <f>Calculation!U100</f>
        <v>46.41</v>
      </c>
      <c r="F97" s="498">
        <f>Calculation!V100</f>
        <v>38.674999999999997</v>
      </c>
      <c r="G97" s="498">
        <f>Calculation!W100</f>
        <v>0</v>
      </c>
      <c r="H97" s="500">
        <f>Sheet1!H100</f>
        <v>2.2000000000000002</v>
      </c>
      <c r="I97" s="501">
        <f>Sheet1!CW100</f>
        <v>1593.4375</v>
      </c>
      <c r="J97" s="501">
        <f>Sheet1!CX100</f>
        <v>835.54166666666663</v>
      </c>
      <c r="K97" s="501">
        <f>Sheet1!CV100</f>
        <v>882.25</v>
      </c>
      <c r="L97" s="501">
        <f>Calculation!F100</f>
        <v>250</v>
      </c>
      <c r="M97" s="501">
        <f>Calculation!E100</f>
        <v>250</v>
      </c>
      <c r="N97" s="501">
        <f>Calculation!D100</f>
        <v>300</v>
      </c>
      <c r="O97" s="500">
        <f>Sheet1!CY100</f>
        <v>1115.1400000000001</v>
      </c>
      <c r="P97" s="514" t="e">
        <f>Calculation!ET100</f>
        <v>#N/A</v>
      </c>
      <c r="Q97" s="498">
        <f>Calculation!DF100</f>
        <v>11133.740000022493</v>
      </c>
      <c r="R97" s="500">
        <f t="shared" si="21"/>
        <v>9913.7400000224934</v>
      </c>
      <c r="S97" s="498">
        <f t="shared" si="26"/>
        <v>214.34000000089327</v>
      </c>
      <c r="T97" s="498">
        <f ca="1">IF(A97&gt;$A$1,#N/A,VLOOKUP(A97,Calculation!$B$8:$IV$881,30,FALSE))</f>
        <v>4760.8778127814776</v>
      </c>
      <c r="U97" s="498">
        <f t="shared" si="22"/>
        <v>0</v>
      </c>
      <c r="V97" s="498">
        <f>Calculation!AP100</f>
        <v>0</v>
      </c>
      <c r="W97" s="498">
        <f t="shared" si="27"/>
        <v>0</v>
      </c>
      <c r="X97" s="498">
        <v>0</v>
      </c>
      <c r="Y97" s="744">
        <f t="shared" si="23"/>
        <v>0</v>
      </c>
      <c r="Z97" s="748">
        <f t="shared" si="24"/>
        <v>0</v>
      </c>
      <c r="AA97" s="498">
        <f t="shared" ca="1" si="28"/>
        <v>6372.8621872410158</v>
      </c>
      <c r="AB97" s="501">
        <f t="shared" ca="1" si="29"/>
        <v>5152.8621872410158</v>
      </c>
      <c r="AC97" s="498" t="e">
        <f ca="1">IF(A97&gt;$A$1,#N/A,VLOOKUP(A97,Calculation!$B$8:$IV$881,155,FALSE))</f>
        <v>#N/A</v>
      </c>
      <c r="AD97" s="498" t="e">
        <f t="shared" ca="1" si="30"/>
        <v>#N/A</v>
      </c>
      <c r="AE97" s="498"/>
      <c r="AF97" s="501">
        <f>Calculation!G100</f>
        <v>990.33875441295675</v>
      </c>
      <c r="AG97" s="498" t="str">
        <f t="shared" si="31"/>
        <v>Yes</v>
      </c>
      <c r="AH97" s="498" t="str">
        <f t="shared" si="32"/>
        <v>Yes</v>
      </c>
      <c r="AK97" s="738">
        <v>12196.480000024638</v>
      </c>
      <c r="AL97" s="738">
        <v>16925.400000036378</v>
      </c>
      <c r="AM97" s="740">
        <v>9244.2800000176194</v>
      </c>
      <c r="AR97" s="549"/>
      <c r="AS97" s="471">
        <f ca="1">IF(Summary!A97&lt;Calculation!FT100,FORECAST(20000,A91:A97,T91:T97),0)</f>
        <v>40717.759138355512</v>
      </c>
      <c r="AT97" s="581">
        <f>Calculation!AR100*3.068</f>
        <v>2231.0495999999989</v>
      </c>
      <c r="AU97" s="575">
        <f ca="1">Calculation!DA100</f>
        <v>620.72904904682321</v>
      </c>
      <c r="AV97" s="575">
        <f>Calculation!CF100*3.068</f>
        <v>867.9426837346557</v>
      </c>
      <c r="AW97" s="582">
        <f>Calculation!BK100*3.068</f>
        <v>1041.1564799999996</v>
      </c>
      <c r="AX97" s="524"/>
      <c r="AY97" s="816">
        <f>IF(Summary!A97&lt;Calculation!FT100,FORECAST(8333.33,A91:A97,AT91:AT97),0)</f>
        <v>40702.849353595724</v>
      </c>
      <c r="AZ97" s="559"/>
      <c r="BA97" s="534">
        <f ca="1">IF(Summary!A97&lt;Calculation!FT100,FORECAST(3888.89,A91:A97,AU91:AU97),0)</f>
        <v>40794.898840793438</v>
      </c>
      <c r="BB97" s="559"/>
      <c r="BC97" s="826">
        <f>IF(Summary!A97&lt;Calculation!FT100,FORECAST(3888.89,A91:A97,AV91:AV97),0)</f>
        <v>40727.074568414544</v>
      </c>
      <c r="BD97" s="559"/>
      <c r="BE97" s="847">
        <f>IF(Summary!A97&lt;Calculation!FT100,FORECAST(3888.89,A91:A97,AW91:AW97),0)</f>
        <v>40702.849422749598</v>
      </c>
    </row>
    <row r="98" spans="1:57" ht="13.5" thickBot="1">
      <c r="A98" s="513">
        <v>40630</v>
      </c>
      <c r="B98" s="498">
        <f t="shared" si="25"/>
        <v>85.87397000001441</v>
      </c>
      <c r="C98" s="498">
        <f>Calculation!AA101</f>
        <v>86.429979999998451</v>
      </c>
      <c r="D98" s="498">
        <f>Calculation!Y101</f>
        <v>0</v>
      </c>
      <c r="E98" s="498">
        <f>Calculation!U101</f>
        <v>46.348120000009907</v>
      </c>
      <c r="F98" s="498">
        <f>Calculation!V101</f>
        <v>39.525850000004503</v>
      </c>
      <c r="G98" s="498">
        <f>Calculation!W101</f>
        <v>0</v>
      </c>
      <c r="H98" s="500">
        <f>Sheet1!H101</f>
        <v>1.2</v>
      </c>
      <c r="I98" s="501">
        <f>Sheet1!CW101</f>
        <v>1577.5</v>
      </c>
      <c r="J98" s="501">
        <f>Sheet1!CX101</f>
        <v>826.41666666666663</v>
      </c>
      <c r="K98" s="501">
        <f>Sheet1!CV101</f>
        <v>872.7</v>
      </c>
      <c r="L98" s="501">
        <f>Calculation!F101</f>
        <v>250</v>
      </c>
      <c r="M98" s="501">
        <f>Calculation!E101</f>
        <v>250</v>
      </c>
      <c r="N98" s="501">
        <f>Calculation!D101</f>
        <v>300</v>
      </c>
      <c r="O98" s="500">
        <f>Sheet1!CY101</f>
        <v>1115.79</v>
      </c>
      <c r="P98" s="514" t="e">
        <f>Calculation!ET101</f>
        <v>#N/A</v>
      </c>
      <c r="Q98" s="498">
        <f>Calculation!DF101</f>
        <v>11387.890000022669</v>
      </c>
      <c r="R98" s="500">
        <f t="shared" si="21"/>
        <v>10167.890000022669</v>
      </c>
      <c r="S98" s="498">
        <f t="shared" si="26"/>
        <v>254.15000000017608</v>
      </c>
      <c r="T98" s="498">
        <f ca="1">IF(A98&gt;$A$1,#N/A,VLOOKUP(A98,Calculation!$B$8:$IV$881,30,FALSE))</f>
        <v>4932.2851680755912</v>
      </c>
      <c r="U98" s="498">
        <f t="shared" si="22"/>
        <v>0</v>
      </c>
      <c r="V98" s="498">
        <f>Calculation!AP101</f>
        <v>0</v>
      </c>
      <c r="W98" s="498">
        <f t="shared" si="27"/>
        <v>0</v>
      </c>
      <c r="X98" s="498">
        <v>0</v>
      </c>
      <c r="Y98" s="744">
        <f t="shared" si="23"/>
        <v>0</v>
      </c>
      <c r="Z98" s="748">
        <f t="shared" si="24"/>
        <v>0</v>
      </c>
      <c r="AA98" s="498">
        <f t="shared" ca="1" si="28"/>
        <v>6455.6048319470783</v>
      </c>
      <c r="AB98" s="501">
        <f t="shared" ca="1" si="29"/>
        <v>5235.6048319470783</v>
      </c>
      <c r="AC98" s="498" t="e">
        <f ca="1">IF(A98&gt;$A$1,#N/A,VLOOKUP(A98,Calculation!$B$8:$IV$881,155,FALSE))</f>
        <v>#N/A</v>
      </c>
      <c r="AD98" s="498" t="e">
        <f t="shared" ca="1" si="30"/>
        <v>#N/A</v>
      </c>
      <c r="AE98" s="498"/>
      <c r="AF98" s="501">
        <f>Calculation!G101</f>
        <v>1000.8643973777994</v>
      </c>
      <c r="AG98" s="498" t="str">
        <f t="shared" si="31"/>
        <v>Yes</v>
      </c>
      <c r="AH98" s="498" t="str">
        <f t="shared" si="32"/>
        <v>Yes</v>
      </c>
      <c r="AK98" s="738">
        <v>12549.49000002568</v>
      </c>
      <c r="AL98" s="738">
        <v>16872.600000036375</v>
      </c>
      <c r="AM98" s="740">
        <v>9713.5600000189679</v>
      </c>
      <c r="AR98" s="549"/>
      <c r="AS98" s="471">
        <f ca="1">IF(Summary!A98&lt;Calculation!FT101,FORECAST(20000,A92:A98,T92:T98),0)</f>
        <v>40717.713702984933</v>
      </c>
      <c r="AT98" s="581">
        <f>Calculation!AR101*3.068</f>
        <v>2313.6810666666652</v>
      </c>
      <c r="AU98" s="575">
        <f ca="1">Calculation!DA101</f>
        <v>640.34098839322621</v>
      </c>
      <c r="AV98" s="575">
        <f>Calculation!CF101*3.068</f>
        <v>898.54528190458939</v>
      </c>
      <c r="AW98" s="582">
        <f>Calculation!BK101*3.068</f>
        <v>1079.7178311111109</v>
      </c>
      <c r="AX98" s="524"/>
      <c r="AY98" s="816">
        <f>IF(Summary!A98&lt;Calculation!FT101,FORECAST(8333.33,A92:A98,AT92:AT98),0)</f>
        <v>40702.849353595724</v>
      </c>
      <c r="AZ98" s="559"/>
      <c r="BA98" s="534">
        <f ca="1">IF(Summary!A98&lt;Calculation!FT101,FORECAST(3888.89,A92:A98,AU92:AU98),0)</f>
        <v>40794.19750180086</v>
      </c>
      <c r="BB98" s="559"/>
      <c r="BC98" s="826">
        <f>IF(Summary!A98&lt;Calculation!FT101,FORECAST(3888.89,A92:A98,AV92:AV98),0)</f>
        <v>40727.064449809033</v>
      </c>
      <c r="BD98" s="559"/>
      <c r="BE98" s="847">
        <f>IF(Summary!A98&lt;Calculation!FT101,FORECAST(3888.89,A92:A98,AW92:AW98),0)</f>
        <v>40702.849422749598</v>
      </c>
    </row>
    <row r="99" spans="1:57" ht="13.5" thickBot="1">
      <c r="A99" s="513">
        <v>40631</v>
      </c>
      <c r="B99" s="498">
        <f t="shared" si="25"/>
        <v>84.373379999990092</v>
      </c>
      <c r="C99" s="498">
        <f>Calculation!AA102</f>
        <v>86.744723286573148</v>
      </c>
      <c r="D99" s="498">
        <f>Calculation!Y102</f>
        <v>0</v>
      </c>
      <c r="E99" s="498">
        <f>Calculation!U102</f>
        <v>45.698379999990095</v>
      </c>
      <c r="F99" s="498">
        <f>Calculation!V102</f>
        <v>38.674999999999997</v>
      </c>
      <c r="G99" s="498">
        <f>Calculation!W102</f>
        <v>0</v>
      </c>
      <c r="H99" s="500">
        <f>Sheet1!H102</f>
        <v>1.53</v>
      </c>
      <c r="I99" s="501">
        <f>Sheet1!CW102</f>
        <v>1543.8541666666667</v>
      </c>
      <c r="J99" s="501">
        <f>Sheet1!CX102</f>
        <v>917.29166666666663</v>
      </c>
      <c r="K99" s="501">
        <f>Sheet1!CV102</f>
        <v>926.05</v>
      </c>
      <c r="L99" s="501">
        <f>Calculation!F102</f>
        <v>250</v>
      </c>
      <c r="M99" s="501">
        <f>Calculation!E102</f>
        <v>250</v>
      </c>
      <c r="N99" s="501">
        <f>Calculation!D102</f>
        <v>300</v>
      </c>
      <c r="O99" s="500">
        <f>Sheet1!CY102</f>
        <v>1116.69</v>
      </c>
      <c r="P99" s="514" t="e">
        <f>Calculation!ET102</f>
        <v>#N/A</v>
      </c>
      <c r="Q99" s="498">
        <f>Calculation!DF102</f>
        <v>11746.690000023615</v>
      </c>
      <c r="R99" s="500">
        <f t="shared" si="21"/>
        <v>10526.690000023615</v>
      </c>
      <c r="S99" s="498">
        <f t="shared" si="26"/>
        <v>358.80000000094515</v>
      </c>
      <c r="T99" s="498">
        <f ca="1">IF(A99&gt;$A$1,#N/A,VLOOKUP(A99,Calculation!$B$8:$IV$881,30,FALSE))</f>
        <v>5104.31672013972</v>
      </c>
      <c r="U99" s="498">
        <f t="shared" si="22"/>
        <v>0</v>
      </c>
      <c r="V99" s="498">
        <f>Calculation!AP102</f>
        <v>0</v>
      </c>
      <c r="W99" s="498">
        <f t="shared" si="27"/>
        <v>0</v>
      </c>
      <c r="X99" s="498">
        <v>0</v>
      </c>
      <c r="Y99" s="744">
        <f t="shared" si="23"/>
        <v>0</v>
      </c>
      <c r="Z99" s="748">
        <f t="shared" si="24"/>
        <v>0</v>
      </c>
      <c r="AA99" s="498">
        <f t="shared" ca="1" si="28"/>
        <v>6642.3732798838946</v>
      </c>
      <c r="AB99" s="501">
        <f t="shared" ca="1" si="29"/>
        <v>5422.3732798838946</v>
      </c>
      <c r="AC99" s="498" t="e">
        <f ca="1">IF(A99&gt;$A$1,#N/A,VLOOKUP(A99,Calculation!$B$8:$IV$881,155,FALSE))</f>
        <v>#N/A</v>
      </c>
      <c r="AD99" s="498" t="e">
        <f t="shared" ca="1" si="30"/>
        <v>#N/A</v>
      </c>
      <c r="AE99" s="498"/>
      <c r="AF99" s="501">
        <f>Calculation!G102</f>
        <v>1106.987972769009</v>
      </c>
      <c r="AG99" s="498" t="str">
        <f t="shared" si="31"/>
        <v>Yes</v>
      </c>
      <c r="AH99" s="498" t="str">
        <f t="shared" si="32"/>
        <v>Yes</v>
      </c>
      <c r="AK99" s="738">
        <v>12979.420000026741</v>
      </c>
      <c r="AL99" s="738">
        <v>16666.680000036136</v>
      </c>
      <c r="AM99" s="740">
        <v>10771.200000021514</v>
      </c>
      <c r="AR99" s="549"/>
      <c r="AS99" s="471">
        <f ca="1">IF(Summary!A99&lt;Calculation!FT102,FORECAST(20000,A93:A99,T93:T99),0)</f>
        <v>40717.688793923291</v>
      </c>
      <c r="AT99" s="581">
        <f>Calculation!AR102*3.068</f>
        <v>2396.3125333333319</v>
      </c>
      <c r="AU99" s="575">
        <f ca="1">Calculation!DA102</f>
        <v>660.36522527588033</v>
      </c>
      <c r="AV99" s="575">
        <f>Calculation!CF102*3.068</f>
        <v>929.35977930828574</v>
      </c>
      <c r="AW99" s="582">
        <f>Calculation!BK102*3.068</f>
        <v>1118.2791822222218</v>
      </c>
      <c r="AX99" s="524"/>
      <c r="AY99" s="816">
        <f>IF(Summary!A99&lt;Calculation!FT102,FORECAST(8333.33,A93:A99,AT93:AT99),0)</f>
        <v>40702.849353595724</v>
      </c>
      <c r="AZ99" s="559"/>
      <c r="BA99" s="534">
        <f ca="1">IF(Summary!A99&lt;Calculation!FT102,FORECAST(3888.89,A93:A99,AU93:AU99),0)</f>
        <v>40793.643884407153</v>
      </c>
      <c r="BB99" s="559"/>
      <c r="BC99" s="826">
        <f>IF(Summary!A99&lt;Calculation!FT102,FORECAST(3888.89,A93:A99,AV93:AV99),0)</f>
        <v>40727.124299810566</v>
      </c>
      <c r="BD99" s="559"/>
      <c r="BE99" s="847">
        <f>IF(Summary!A99&lt;Calculation!FT102,FORECAST(3888.89,A93:A99,AW93:AW99),0)</f>
        <v>40702.849422749598</v>
      </c>
    </row>
    <row r="100" spans="1:57" ht="13.5" thickBot="1">
      <c r="A100" s="513">
        <v>40632</v>
      </c>
      <c r="B100" s="498">
        <f t="shared" si="25"/>
        <v>79.577680000003596</v>
      </c>
      <c r="C100" s="498">
        <f>Calculation!AA103</f>
        <v>93.421402383325784</v>
      </c>
      <c r="D100" s="498">
        <f>Calculation!Y103</f>
        <v>0</v>
      </c>
      <c r="E100" s="498">
        <f>Calculation!U103</f>
        <v>44.770180000003599</v>
      </c>
      <c r="F100" s="498">
        <f>Calculation!V103</f>
        <v>34.807499999999997</v>
      </c>
      <c r="G100" s="498">
        <f>Calculation!W103</f>
        <v>41.908229999999996</v>
      </c>
      <c r="H100" s="500">
        <f>Sheet1!H103</f>
        <v>29.96</v>
      </c>
      <c r="I100" s="501">
        <f>Sheet1!CW103</f>
        <v>2779.4791666666665</v>
      </c>
      <c r="J100" s="501">
        <f>Sheet1!CX103</f>
        <v>3111.0416666666665</v>
      </c>
      <c r="K100" s="501">
        <f>Sheet1!CV103</f>
        <v>2318</v>
      </c>
      <c r="L100" s="501">
        <f>Calculation!F103</f>
        <v>250</v>
      </c>
      <c r="M100" s="501">
        <f>Calculation!E103</f>
        <v>250</v>
      </c>
      <c r="N100" s="501">
        <f>Calculation!D103</f>
        <v>300</v>
      </c>
      <c r="O100" s="500">
        <f>Sheet1!CY103</f>
        <v>1127.0899999999999</v>
      </c>
      <c r="P100" s="514" t="e">
        <f>Calculation!ET103</f>
        <v>#N/A</v>
      </c>
      <c r="Q100" s="498">
        <f>Calculation!DF103</f>
        <v>16550.520000036016</v>
      </c>
      <c r="R100" s="500">
        <f t="shared" si="21"/>
        <v>15330.520000036016</v>
      </c>
      <c r="S100" s="498">
        <f t="shared" si="26"/>
        <v>4803.8300000124018</v>
      </c>
      <c r="T100" s="498">
        <f ca="1">IF(A100&gt;$A$1,#N/A,VLOOKUP(A100,Calculation!$B$8:$IV$881,30,FALSE))</f>
        <v>5289.5894173032902</v>
      </c>
      <c r="U100" s="498">
        <f t="shared" si="22"/>
        <v>0</v>
      </c>
      <c r="V100" s="498">
        <f>Calculation!AP103</f>
        <v>0</v>
      </c>
      <c r="W100" s="498">
        <f t="shared" si="27"/>
        <v>0</v>
      </c>
      <c r="X100" s="498">
        <v>0</v>
      </c>
      <c r="Y100" s="744">
        <f t="shared" si="23"/>
        <v>0</v>
      </c>
      <c r="Z100" s="748">
        <f t="shared" si="24"/>
        <v>0</v>
      </c>
      <c r="AA100" s="498">
        <f t="shared" ca="1" si="28"/>
        <v>11260.930582732726</v>
      </c>
      <c r="AB100" s="501">
        <f t="shared" ca="1" si="29"/>
        <v>10040.930582732726</v>
      </c>
      <c r="AC100" s="498" t="e">
        <f ca="1">IF(A100&gt;$A$1,#N/A,VLOOKUP(A100,Calculation!$B$8:$IV$881,155,FALSE))</f>
        <v>#N/A</v>
      </c>
      <c r="AD100" s="498" t="e">
        <f t="shared" ca="1" si="30"/>
        <v>#N/A</v>
      </c>
      <c r="AE100" s="498"/>
      <c r="AF100" s="501">
        <f>Calculation!G103</f>
        <v>4740.5063035866879</v>
      </c>
      <c r="AG100" s="498" t="str">
        <f t="shared" si="31"/>
        <v>Yes</v>
      </c>
      <c r="AH100" s="498" t="str">
        <f t="shared" si="32"/>
        <v>Yes</v>
      </c>
      <c r="AK100" s="738">
        <v>13335.800000027724</v>
      </c>
      <c r="AL100" s="738">
        <v>16497.830000035265</v>
      </c>
      <c r="AM100" s="740">
        <v>12142.920000024638</v>
      </c>
      <c r="AR100" s="549"/>
      <c r="AS100" s="471">
        <f ca="1">IF(Summary!A100&lt;Calculation!FT103,FORECAST(20000,A94:A100,T94:T100),0)</f>
        <v>40716.890513344275</v>
      </c>
      <c r="AT100" s="581">
        <f>Calculation!AR103*3.068</f>
        <v>2478.9439999999981</v>
      </c>
      <c r="AU100" s="575">
        <f ca="1">Calculation!DA103</f>
        <v>689.54325060538747</v>
      </c>
      <c r="AV100" s="575">
        <f>Calculation!CF103*3.068</f>
        <v>964.26163336457125</v>
      </c>
      <c r="AW100" s="582">
        <f>Calculation!BK103*3.068</f>
        <v>1156.8405333333328</v>
      </c>
      <c r="AX100" s="524"/>
      <c r="AY100" s="816">
        <f>IF(Summary!A100&lt;Calculation!FT103,FORECAST(8333.33,A94:A100,AT94:AT100),0)</f>
        <v>40702.849353595724</v>
      </c>
      <c r="AZ100" s="559"/>
      <c r="BA100" s="534">
        <f ca="1">IF(Summary!A100&lt;Calculation!FT103,FORECAST(3888.89,A94:A100,AU94:AU100),0)</f>
        <v>40784.399122297233</v>
      </c>
      <c r="BB100" s="559"/>
      <c r="BC100" s="826">
        <f>IF(Summary!A100&lt;Calculation!FT103,FORECAST(3888.89,A94:A100,AV94:AV100),0)</f>
        <v>40725.745442374442</v>
      </c>
      <c r="BD100" s="559"/>
      <c r="BE100" s="847">
        <f>IF(Summary!A100&lt;Calculation!FT103,FORECAST(3888.89,A94:A100,AW94:AW100),0)</f>
        <v>40702.849422749598</v>
      </c>
    </row>
    <row r="101" spans="1:57" ht="13.5" thickBot="1">
      <c r="A101" s="513">
        <v>40633</v>
      </c>
      <c r="B101" s="498">
        <f t="shared" si="25"/>
        <v>67.309969999991893</v>
      </c>
      <c r="C101" s="498">
        <f>Calculation!AA104</f>
        <v>98.968159452054977</v>
      </c>
      <c r="D101" s="498">
        <f>Calculation!Y104</f>
        <v>0</v>
      </c>
      <c r="E101" s="498">
        <f>Calculation!U104</f>
        <v>42.248569999996398</v>
      </c>
      <c r="F101" s="498">
        <f>Calculation!V104</f>
        <v>25.061399999995498</v>
      </c>
      <c r="G101" s="498">
        <f>Calculation!W104</f>
        <v>68.098939999999999</v>
      </c>
      <c r="H101" s="500">
        <f>Sheet1!H104</f>
        <v>0.08</v>
      </c>
      <c r="I101" s="501">
        <f>Sheet1!CW104</f>
        <v>7644.583333333333</v>
      </c>
      <c r="J101" s="501">
        <f>Sheet1!CX104</f>
        <v>6174.479166666667</v>
      </c>
      <c r="K101" s="501">
        <f>Sheet1!CV104</f>
        <v>6169.5</v>
      </c>
      <c r="L101" s="501">
        <f>Calculation!F104</f>
        <v>250</v>
      </c>
      <c r="M101" s="501">
        <f>Calculation!E104</f>
        <v>250</v>
      </c>
      <c r="N101" s="501">
        <f>Calculation!D104</f>
        <v>300</v>
      </c>
      <c r="O101" s="500">
        <f>Sheet1!CY104</f>
        <v>1139.0999999999999</v>
      </c>
      <c r="P101" s="514" t="e">
        <f>Calculation!ET104</f>
        <v>#N/A</v>
      </c>
      <c r="Q101" s="498">
        <f>Calculation!DF104</f>
        <v>23961.400000058078</v>
      </c>
      <c r="R101" s="500">
        <f t="shared" si="21"/>
        <v>22741.400000058078</v>
      </c>
      <c r="S101" s="498">
        <f t="shared" si="26"/>
        <v>7410.8800000220617</v>
      </c>
      <c r="T101" s="498">
        <f ca="1">IF(A101&gt;$A$1,#N/A,VLOOKUP(A101,Calculation!$B$8:$IV$881,30,FALSE))</f>
        <v>5485.8624057964398</v>
      </c>
      <c r="U101" s="498">
        <f t="shared" si="22"/>
        <v>0</v>
      </c>
      <c r="V101" s="498">
        <f>Calculation!AP104</f>
        <v>0</v>
      </c>
      <c r="W101" s="498">
        <f t="shared" si="27"/>
        <v>0</v>
      </c>
      <c r="X101" s="498">
        <v>0</v>
      </c>
      <c r="Y101" s="744">
        <f t="shared" si="23"/>
        <v>0</v>
      </c>
      <c r="Z101" s="748">
        <f t="shared" si="24"/>
        <v>0</v>
      </c>
      <c r="AA101" s="498">
        <f t="shared" ca="1" si="28"/>
        <v>18475.537594261637</v>
      </c>
      <c r="AB101" s="501">
        <f t="shared" ca="1" si="29"/>
        <v>17255.537594261637</v>
      </c>
      <c r="AC101" s="498" t="e">
        <f ca="1">IF(A101&gt;$A$1,#N/A,VLOOKUP(A101,Calculation!$B$8:$IV$881,155,FALSE))</f>
        <v>#N/A</v>
      </c>
      <c r="AD101" s="498" t="e">
        <f t="shared" ca="1" si="30"/>
        <v>#N/A</v>
      </c>
      <c r="AE101" s="498"/>
      <c r="AF101" s="501">
        <f>Calculation!G104</f>
        <v>9906.7062531629163</v>
      </c>
      <c r="AG101" s="498" t="str">
        <f t="shared" si="31"/>
        <v>Yes</v>
      </c>
      <c r="AH101" s="498" t="str">
        <f t="shared" si="32"/>
        <v>Yes</v>
      </c>
      <c r="AK101" s="738">
        <v>13589.57000002868</v>
      </c>
      <c r="AL101" s="738">
        <v>16311.710000035149</v>
      </c>
      <c r="AM101" s="740">
        <v>13349.150000027723</v>
      </c>
      <c r="AR101" s="549"/>
      <c r="AS101" s="471">
        <f ca="1">IF(Summary!A101&lt;Calculation!FT104,FORECAST(20000,A95:A101,T95:T101),0)</f>
        <v>40715.077764170965</v>
      </c>
      <c r="AT101" s="581">
        <f>Calculation!AR104*3.068</f>
        <v>2561.5754666666649</v>
      </c>
      <c r="AU101" s="575">
        <f ca="1">Calculation!DA104</f>
        <v>726.06207020964962</v>
      </c>
      <c r="AV101" s="575">
        <f>Calculation!CF104*3.068</f>
        <v>1002.8229844756823</v>
      </c>
      <c r="AW101" s="582">
        <f>Calculation!BK104*3.068</f>
        <v>1195.4018844444438</v>
      </c>
      <c r="AX101" s="524"/>
      <c r="AY101" s="816">
        <f>IF(Summary!A101&lt;Calculation!FT104,FORECAST(8333.33,A95:A101,AT95:AT101),0)</f>
        <v>40702.849353595724</v>
      </c>
      <c r="AZ101" s="559"/>
      <c r="BA101" s="534">
        <f ca="1">IF(Summary!A101&lt;Calculation!FT104,FORECAST(3888.89,A95:A101,AU95:AU101),0)</f>
        <v>40766.55119313133</v>
      </c>
      <c r="BB101" s="559"/>
      <c r="BC101" s="826">
        <f>IF(Summary!A101&lt;Calculation!FT104,FORECAST(3888.89,A95:A101,AV95:AV101),0)</f>
        <v>40722.22590342343</v>
      </c>
      <c r="BD101" s="559"/>
      <c r="BE101" s="847">
        <f>IF(Summary!A101&lt;Calculation!FT104,FORECAST(3888.89,A95:A101,AW95:AW101),0)</f>
        <v>40702.849422749598</v>
      </c>
    </row>
    <row r="102" spans="1:57" ht="13.5" thickBot="1">
      <c r="A102" s="513">
        <v>40634</v>
      </c>
      <c r="B102" s="498">
        <f t="shared" si="25"/>
        <v>62.885549999990999</v>
      </c>
      <c r="C102" s="498">
        <f>Calculation!AA105</f>
        <v>99.998080000000002</v>
      </c>
      <c r="D102" s="498">
        <f>Calculation!Y105</f>
        <v>0</v>
      </c>
      <c r="E102" s="498">
        <f>Calculation!U105</f>
        <v>42.774549999990995</v>
      </c>
      <c r="F102" s="498">
        <f>Calculation!V105</f>
        <v>20.111000000000001</v>
      </c>
      <c r="G102" s="498">
        <f>Calculation!W105</f>
        <v>64.339730000000003</v>
      </c>
      <c r="H102" s="500">
        <f>Sheet1!H105</f>
        <v>0.08</v>
      </c>
      <c r="I102" s="501">
        <f>Sheet1!CW105</f>
        <v>7917.291666666667</v>
      </c>
      <c r="J102" s="501">
        <f>Sheet1!CX105</f>
        <v>5400.208333333333</v>
      </c>
      <c r="K102" s="501">
        <f>Sheet1!CV105</f>
        <v>5762.5</v>
      </c>
      <c r="L102" s="501">
        <f>Calculation!F105</f>
        <v>250</v>
      </c>
      <c r="M102" s="501">
        <f>Calculation!E105</f>
        <v>250</v>
      </c>
      <c r="N102" s="501">
        <f>Calculation!D105</f>
        <v>300</v>
      </c>
      <c r="O102" s="500">
        <f>Sheet1!CY105</f>
        <v>1141.95</v>
      </c>
      <c r="P102" s="514" t="e">
        <f>Calculation!ET105</f>
        <v>#N/A</v>
      </c>
      <c r="Q102" s="498">
        <f>Calculation!DF105</f>
        <v>26110.300000063355</v>
      </c>
      <c r="R102" s="500">
        <f t="shared" si="21"/>
        <v>24890.300000063355</v>
      </c>
      <c r="S102" s="498">
        <f t="shared" si="26"/>
        <v>2148.9000000052765</v>
      </c>
      <c r="T102" s="498">
        <f ca="1">IF(A102&gt;$A$1,#N/A,VLOOKUP(A102,Calculation!$B$8:$IV$881,30,FALSE))</f>
        <v>5684.1779257964408</v>
      </c>
      <c r="U102" s="498">
        <f t="shared" si="22"/>
        <v>0</v>
      </c>
      <c r="V102" s="498">
        <f>Calculation!AP105</f>
        <v>0</v>
      </c>
      <c r="W102" s="498">
        <f t="shared" si="27"/>
        <v>0</v>
      </c>
      <c r="X102" s="498">
        <v>0</v>
      </c>
      <c r="Y102" s="744">
        <f t="shared" si="23"/>
        <v>0</v>
      </c>
      <c r="Z102" s="748">
        <f t="shared" si="24"/>
        <v>0</v>
      </c>
      <c r="AA102" s="498">
        <f t="shared" ca="1" si="28"/>
        <v>20426.122074266914</v>
      </c>
      <c r="AB102" s="501">
        <f t="shared" ca="1" si="29"/>
        <v>19206.122074266914</v>
      </c>
      <c r="AC102" s="498" t="e">
        <f ca="1">IF(A102&gt;$A$1,#N/A,VLOOKUP(A102,Calculation!$B$8:$IV$881,155,FALSE))</f>
        <v>#N/A</v>
      </c>
      <c r="AD102" s="498" t="e">
        <f t="shared" ca="1" si="30"/>
        <v>#N/A</v>
      </c>
      <c r="AE102" s="498"/>
      <c r="AF102" s="501">
        <f>Calculation!G105</f>
        <v>6846.161119518546</v>
      </c>
      <c r="AG102" s="498" t="str">
        <f t="shared" si="31"/>
        <v>Yes</v>
      </c>
      <c r="AH102" s="498" t="str">
        <f t="shared" si="32"/>
        <v>Yes</v>
      </c>
      <c r="AK102" s="738">
        <v>13850.060000028887</v>
      </c>
      <c r="AL102" s="738">
        <v>16306.540000035031</v>
      </c>
      <c r="AM102" s="740">
        <v>14383.640000030115</v>
      </c>
      <c r="AR102" s="549"/>
      <c r="AS102" s="471">
        <f ca="1">IF(Summary!A102&lt;Calculation!FT105,FORECAST(20000,A96:A102,T96:T102),0)</f>
        <v>40712.719169077965</v>
      </c>
      <c r="AT102" s="581">
        <f>Calculation!AR105*3.068</f>
        <v>2644.2069333333311</v>
      </c>
      <c r="AU102" s="575">
        <f ca="1">Calculation!DA105</f>
        <v>764.62342132076071</v>
      </c>
      <c r="AV102" s="575">
        <f>Calculation!CF105*3.068</f>
        <v>1041.3843355867934</v>
      </c>
      <c r="AW102" s="582">
        <f>Calculation!BK105*3.068</f>
        <v>1233.963235555555</v>
      </c>
      <c r="AX102" s="524"/>
      <c r="AY102" s="816">
        <f>IF(Summary!A102&lt;Calculation!FT105,FORECAST(8333.33,A96:A102,AT96:AT102),0)</f>
        <v>40702.849353595724</v>
      </c>
      <c r="AZ102" s="559"/>
      <c r="BA102" s="534">
        <f ca="1">IF(Summary!A102&lt;Calculation!FT105,FORECAST(3888.89,A96:A102,AU96:AU102),0)</f>
        <v>40748.106720244359</v>
      </c>
      <c r="BB102" s="559"/>
      <c r="BC102" s="826">
        <f>IF(Summary!A102&lt;Calculation!FT105,FORECAST(3888.89,A96:A102,AV96:AV102),0)</f>
        <v>40717.995003851334</v>
      </c>
      <c r="BD102" s="559"/>
      <c r="BE102" s="847">
        <f>IF(Summary!A102&lt;Calculation!FT105,FORECAST(3888.89,A96:A102,AW96:AW102),0)</f>
        <v>40702.849422749598</v>
      </c>
    </row>
    <row r="103" spans="1:57" ht="13.5" thickBot="1">
      <c r="A103" s="513">
        <v>40635</v>
      </c>
      <c r="B103" s="498">
        <f t="shared" si="25"/>
        <v>66.056900000006749</v>
      </c>
      <c r="C103" s="498">
        <f>Calculation!AA106</f>
        <v>99.998080000000002</v>
      </c>
      <c r="D103" s="498">
        <f>Calculation!Y106</f>
        <v>0</v>
      </c>
      <c r="E103" s="498">
        <f>Calculation!U106</f>
        <v>42.697200000009005</v>
      </c>
      <c r="F103" s="498">
        <f>Calculation!V106</f>
        <v>23.359699999997748</v>
      </c>
      <c r="G103" s="498">
        <f>Calculation!W106</f>
        <v>64.432549999999992</v>
      </c>
      <c r="H103" s="500">
        <f>Sheet1!H106</f>
        <v>7.0000000000000007E-2</v>
      </c>
      <c r="I103" s="501">
        <f>Sheet1!CW106</f>
        <v>6490.416666666667</v>
      </c>
      <c r="J103" s="501">
        <f>Sheet1!CX106</f>
        <v>4355.625</v>
      </c>
      <c r="K103" s="501">
        <f>Sheet1!CV106</f>
        <v>4222</v>
      </c>
      <c r="L103" s="501">
        <f>Calculation!F106</f>
        <v>250</v>
      </c>
      <c r="M103" s="501">
        <f>Calculation!E106</f>
        <v>250</v>
      </c>
      <c r="N103" s="501">
        <f>Calculation!D106</f>
        <v>300</v>
      </c>
      <c r="O103" s="500">
        <f>Sheet1!CY106</f>
        <v>1144.32</v>
      </c>
      <c r="P103" s="514" t="e">
        <f>Calculation!ET106</f>
        <v>#N/A</v>
      </c>
      <c r="Q103" s="498">
        <f>Calculation!DF106</f>
        <v>28022.880000069974</v>
      </c>
      <c r="R103" s="500">
        <f t="shared" si="21"/>
        <v>26802.880000069974</v>
      </c>
      <c r="S103" s="498">
        <f t="shared" si="26"/>
        <v>1912.5800000066192</v>
      </c>
      <c r="T103" s="498">
        <f ca="1">IF(A103&gt;$A$1,#N/A,VLOOKUP(A103,Calculation!$B$8:$IV$881,30,FALSE))</f>
        <v>5882.4934457964391</v>
      </c>
      <c r="U103" s="498">
        <f t="shared" si="22"/>
        <v>0</v>
      </c>
      <c r="V103" s="498">
        <f>Calculation!AP106</f>
        <v>0</v>
      </c>
      <c r="W103" s="498">
        <f t="shared" si="27"/>
        <v>0</v>
      </c>
      <c r="X103" s="498">
        <v>0</v>
      </c>
      <c r="Y103" s="744">
        <f t="shared" si="23"/>
        <v>0</v>
      </c>
      <c r="Z103" s="748">
        <f t="shared" si="24"/>
        <v>0</v>
      </c>
      <c r="AA103" s="498">
        <f t="shared" ca="1" si="28"/>
        <v>22140.386554273537</v>
      </c>
      <c r="AB103" s="501">
        <f t="shared" ca="1" si="29"/>
        <v>20920.386554273537</v>
      </c>
      <c r="AC103" s="498" t="e">
        <f ca="1">IF(A103&gt;$A$1,#N/A,VLOOKUP(A103,Calculation!$B$8:$IV$881,155,FALSE))</f>
        <v>#N/A</v>
      </c>
      <c r="AD103" s="498" t="e">
        <f t="shared" ca="1" si="30"/>
        <v>#N/A</v>
      </c>
      <c r="AE103" s="498"/>
      <c r="AF103" s="501">
        <f>Calculation!G106</f>
        <v>5186.4881492721224</v>
      </c>
      <c r="AG103" s="498" t="str">
        <f t="shared" si="31"/>
        <v>Yes</v>
      </c>
      <c r="AH103" s="498" t="str">
        <f t="shared" si="32"/>
        <v>Yes</v>
      </c>
      <c r="AK103" s="738">
        <v>14093.480000029795</v>
      </c>
      <c r="AL103" s="738">
        <v>17025.720000036497</v>
      </c>
      <c r="AM103" s="740">
        <v>15329.480000032554</v>
      </c>
      <c r="AR103" s="549"/>
      <c r="AS103" s="471">
        <f ca="1">IF(Summary!A103&lt;Calculation!FT106,FORECAST(20000,A97:A103,T97:T103),0)</f>
        <v>40710.284660778438</v>
      </c>
      <c r="AT103" s="581">
        <f>Calculation!AR106*3.068</f>
        <v>2726.8383999999978</v>
      </c>
      <c r="AU103" s="575">
        <f ca="1">Calculation!DA106</f>
        <v>803.18477243187181</v>
      </c>
      <c r="AV103" s="575">
        <f>Calculation!CF106*3.068</f>
        <v>1079.9456866979044</v>
      </c>
      <c r="AW103" s="582">
        <f>Calculation!BK106*3.068</f>
        <v>1272.524586666666</v>
      </c>
      <c r="AX103" s="524"/>
      <c r="AY103" s="816">
        <f>IF(Summary!A103&lt;Calculation!FT106,FORECAST(8333.33,A97:A103,AT97:AT103),0)</f>
        <v>40702.849353595724</v>
      </c>
      <c r="AZ103" s="559"/>
      <c r="BA103" s="534">
        <f ca="1">IF(Summary!A103&lt;Calculation!FT106,FORECAST(3888.89,A97:A103,AU97:AU103),0)</f>
        <v>40733.657625783446</v>
      </c>
      <c r="BB103" s="559"/>
      <c r="BC103" s="826">
        <f>IF(Summary!A103&lt;Calculation!FT106,FORECAST(3888.89,A97:A103,AV97:AV103),0)</f>
        <v>40713.933139508052</v>
      </c>
      <c r="BD103" s="559"/>
      <c r="BE103" s="847">
        <f>IF(Summary!A103&lt;Calculation!FT106,FORECAST(3888.89,A97:A103,AW97:AW103),0)</f>
        <v>40702.849422749598</v>
      </c>
    </row>
    <row r="104" spans="1:57" ht="13.5" thickBot="1">
      <c r="A104" s="513">
        <v>40636</v>
      </c>
      <c r="B104" s="498">
        <f t="shared" si="25"/>
        <v>64.664599999993243</v>
      </c>
      <c r="C104" s="498">
        <f>Calculation!AA107</f>
        <v>99.998080000000002</v>
      </c>
      <c r="D104" s="498">
        <f>Calculation!Y107</f>
        <v>0</v>
      </c>
      <c r="E104" s="498">
        <f>Calculation!U107</f>
        <v>42.851899999995496</v>
      </c>
      <c r="F104" s="498">
        <f>Calculation!V107</f>
        <v>21.812699999997747</v>
      </c>
      <c r="G104" s="498">
        <f>Calculation!W107</f>
        <v>64.509900000000002</v>
      </c>
      <c r="H104" s="500">
        <f>Sheet1!H107</f>
        <v>0.11</v>
      </c>
      <c r="I104" s="501">
        <f>Sheet1!CW107</f>
        <v>6231.041666666667</v>
      </c>
      <c r="J104" s="501">
        <f>Sheet1!CX107</f>
        <v>4291.666666666667</v>
      </c>
      <c r="K104" s="501">
        <f>Sheet1!CV107</f>
        <v>4231.5</v>
      </c>
      <c r="L104" s="501">
        <f>Calculation!F107</f>
        <v>250</v>
      </c>
      <c r="M104" s="501">
        <f>Calculation!E107</f>
        <v>250</v>
      </c>
      <c r="N104" s="501">
        <f>Calculation!D107</f>
        <v>300</v>
      </c>
      <c r="O104" s="500">
        <f>Sheet1!CY107</f>
        <v>1143.18</v>
      </c>
      <c r="P104" s="514" t="e">
        <f>Calculation!ET107</f>
        <v>#N/A</v>
      </c>
      <c r="Q104" s="498">
        <f>Calculation!DF107</f>
        <v>27088.520000067554</v>
      </c>
      <c r="R104" s="500">
        <f t="shared" si="21"/>
        <v>25868.520000067554</v>
      </c>
      <c r="S104" s="498">
        <f t="shared" si="26"/>
        <v>-934.36000000241984</v>
      </c>
      <c r="T104" s="498">
        <f ca="1">IF(A104&gt;$A$1,#N/A,VLOOKUP(A104,Calculation!$B$8:$IV$881,30,FALSE))</f>
        <v>6080.8089657964401</v>
      </c>
      <c r="U104" s="498">
        <f t="shared" si="22"/>
        <v>0</v>
      </c>
      <c r="V104" s="498">
        <f>Calculation!AP107</f>
        <v>0</v>
      </c>
      <c r="W104" s="498">
        <f t="shared" si="27"/>
        <v>0</v>
      </c>
      <c r="X104" s="498">
        <v>0</v>
      </c>
      <c r="Y104" s="744">
        <f t="shared" si="23"/>
        <v>0</v>
      </c>
      <c r="Z104" s="748">
        <f t="shared" si="24"/>
        <v>0</v>
      </c>
      <c r="AA104" s="498">
        <f t="shared" ca="1" si="28"/>
        <v>21007.711034271113</v>
      </c>
      <c r="AB104" s="501">
        <f t="shared" ca="1" si="29"/>
        <v>19787.711034271113</v>
      </c>
      <c r="AC104" s="498" t="e">
        <f ca="1">IF(A104&gt;$A$1,#N/A,VLOOKUP(A104,Calculation!$B$8:$IV$881,155,FALSE))</f>
        <v>#N/A</v>
      </c>
      <c r="AD104" s="498" t="e">
        <f t="shared" ca="1" si="30"/>
        <v>#N/A</v>
      </c>
      <c r="AE104" s="498"/>
      <c r="AF104" s="501">
        <f>Calculation!G107</f>
        <v>3760.3149268772468</v>
      </c>
      <c r="AG104" s="498" t="str">
        <f t="shared" si="31"/>
        <v>Yes</v>
      </c>
      <c r="AH104" s="498" t="str">
        <f t="shared" si="32"/>
        <v>Yes</v>
      </c>
      <c r="AK104" s="738">
        <v>14271.320000030008</v>
      </c>
      <c r="AL104" s="738">
        <v>17760.360000038923</v>
      </c>
      <c r="AM104" s="740">
        <v>16177.290000034913</v>
      </c>
      <c r="AR104" s="549"/>
      <c r="AS104" s="471">
        <f ca="1">IF(Summary!A104&lt;Calculation!FT107,FORECAST(20000,A98:A104,T98:T104),0)</f>
        <v>40708.221693847539</v>
      </c>
      <c r="AT104" s="581">
        <f>Calculation!AR107*3.068</f>
        <v>2809.4698666666645</v>
      </c>
      <c r="AU104" s="575">
        <f ca="1">Calculation!DA107</f>
        <v>841.74612354298279</v>
      </c>
      <c r="AV104" s="575">
        <f>Calculation!CF107*3.068</f>
        <v>1118.5070378090154</v>
      </c>
      <c r="AW104" s="582">
        <f>Calculation!BK107*3.068</f>
        <v>1311.085937777777</v>
      </c>
      <c r="AX104" s="524"/>
      <c r="AY104" s="816">
        <f>IF(Summary!A104&lt;Calculation!FT107,FORECAST(8333.33,A98:A104,AT98:AT104),0)</f>
        <v>40702.849353595724</v>
      </c>
      <c r="AZ104" s="559"/>
      <c r="BA104" s="534">
        <f ca="1">IF(Summary!A104&lt;Calculation!FT107,FORECAST(3888.89,A98:A104,AU98:AU104),0)</f>
        <v>40723.79870204789</v>
      </c>
      <c r="BB104" s="559"/>
      <c r="BC104" s="826">
        <f>IF(Summary!A104&lt;Calculation!FT107,FORECAST(3888.89,A98:A104,AV98:AV104),0)</f>
        <v>40710.680200586401</v>
      </c>
      <c r="BD104" s="559"/>
      <c r="BE104" s="847">
        <f>IF(Summary!A104&lt;Calculation!FT107,FORECAST(3888.89,A98:A104,AW98:AW104),0)</f>
        <v>40702.849422749598</v>
      </c>
    </row>
    <row r="105" spans="1:57" ht="13.5" thickBot="1">
      <c r="A105" s="513">
        <v>40637</v>
      </c>
      <c r="B105" s="498">
        <f t="shared" si="25"/>
        <v>63.194950000009001</v>
      </c>
      <c r="C105" s="498">
        <f>Calculation!AA108</f>
        <v>99.998080000000002</v>
      </c>
      <c r="D105" s="498">
        <f>Calculation!Y108</f>
        <v>0</v>
      </c>
      <c r="E105" s="498">
        <f>Calculation!U108</f>
        <v>42.233100000004498</v>
      </c>
      <c r="F105" s="498">
        <f>Calculation!V108</f>
        <v>20.961850000004503</v>
      </c>
      <c r="G105" s="498">
        <f>Calculation!W108</f>
        <v>63.782809999999991</v>
      </c>
      <c r="H105" s="500">
        <f>Sheet1!H108</f>
        <v>184.6</v>
      </c>
      <c r="I105" s="501">
        <f>Sheet1!CW108</f>
        <v>5864.6875</v>
      </c>
      <c r="J105" s="501">
        <f>Sheet1!CX108</f>
        <v>4075.2083333333335</v>
      </c>
      <c r="K105" s="501">
        <f>Sheet1!CV108</f>
        <v>3972</v>
      </c>
      <c r="L105" s="501">
        <f>Calculation!F108</f>
        <v>250</v>
      </c>
      <c r="M105" s="501">
        <f>Calculation!E108</f>
        <v>250</v>
      </c>
      <c r="N105" s="501">
        <f>Calculation!D108</f>
        <v>300</v>
      </c>
      <c r="O105" s="500">
        <f>Sheet1!CY108</f>
        <v>1140.8900000000001</v>
      </c>
      <c r="P105" s="514" t="e">
        <f>Calculation!ET108</f>
        <v>#N/A</v>
      </c>
      <c r="Q105" s="498">
        <f>Calculation!DF108</f>
        <v>25292.170000060953</v>
      </c>
      <c r="R105" s="500">
        <f t="shared" si="21"/>
        <v>24072.170000060953</v>
      </c>
      <c r="S105" s="498">
        <f t="shared" si="26"/>
        <v>-1796.3500000066015</v>
      </c>
      <c r="T105" s="498">
        <f ca="1">IF(A105&gt;$A$1,#N/A,VLOOKUP(A105,Calculation!$B$8:$IV$881,30,FALSE))</f>
        <v>6279.1244857964384</v>
      </c>
      <c r="U105" s="498">
        <f t="shared" si="22"/>
        <v>0</v>
      </c>
      <c r="V105" s="498">
        <f>Calculation!AP108</f>
        <v>0</v>
      </c>
      <c r="W105" s="498">
        <f t="shared" si="27"/>
        <v>0</v>
      </c>
      <c r="X105" s="498">
        <v>0</v>
      </c>
      <c r="Y105" s="744">
        <f t="shared" si="23"/>
        <v>0</v>
      </c>
      <c r="Z105" s="748">
        <f t="shared" si="24"/>
        <v>0</v>
      </c>
      <c r="AA105" s="498">
        <f t="shared" ca="1" si="28"/>
        <v>19013.045514264515</v>
      </c>
      <c r="AB105" s="501">
        <f t="shared" ca="1" si="29"/>
        <v>17793.045514264515</v>
      </c>
      <c r="AC105" s="498" t="e">
        <f ca="1">IF(A105&gt;$A$1,#N/A,VLOOKUP(A105,Calculation!$B$8:$IV$881,155,FALSE))</f>
        <v>#N/A</v>
      </c>
      <c r="AD105" s="498" t="e">
        <f t="shared" ca="1" si="30"/>
        <v>#N/A</v>
      </c>
      <c r="AE105" s="498"/>
      <c r="AF105" s="501">
        <f>Calculation!G108</f>
        <v>3066.1250630324753</v>
      </c>
      <c r="AG105" s="498" t="str">
        <f t="shared" si="31"/>
        <v>Yes</v>
      </c>
      <c r="AH105" s="498" t="str">
        <f t="shared" si="32"/>
        <v>Yes</v>
      </c>
      <c r="AK105" s="738">
        <v>14350.880000030114</v>
      </c>
      <c r="AL105" s="738">
        <v>19209.800000042564</v>
      </c>
      <c r="AM105" s="740">
        <v>16872.600000036375</v>
      </c>
      <c r="AR105" s="549"/>
      <c r="AS105" s="471">
        <f ca="1">IF(Summary!A105&lt;Calculation!FT108,FORECAST(20000,A99:A105,T99:T105),0)</f>
        <v>40706.814912491551</v>
      </c>
      <c r="AT105" s="581">
        <f>Calculation!AR108*3.068</f>
        <v>2892.1013333333308</v>
      </c>
      <c r="AU105" s="575">
        <f ca="1">Calculation!DA108</f>
        <v>880.30747465409388</v>
      </c>
      <c r="AV105" s="575">
        <f>Calculation!CF108*3.068</f>
        <v>1157.0683889201264</v>
      </c>
      <c r="AW105" s="582">
        <f>Calculation!BK108*3.068</f>
        <v>1349.6472888888879</v>
      </c>
      <c r="AX105" s="524"/>
      <c r="AY105" s="816">
        <f>IF(Summary!A105&lt;Calculation!FT108,FORECAST(8333.33,A99:A105,AT99:AT105),0)</f>
        <v>40702.849353595724</v>
      </c>
      <c r="AZ105" s="559"/>
      <c r="BA105" s="534">
        <f ca="1">IF(Summary!A105&lt;Calculation!FT108,FORECAST(3888.89,A99:A105,AU99:AU105),0)</f>
        <v>40717.8319183942</v>
      </c>
      <c r="BB105" s="559"/>
      <c r="BC105" s="826">
        <f>IF(Summary!A105&lt;Calculation!FT108,FORECAST(3888.89,A99:A105,AV99:AV105),0)</f>
        <v>40708.575250086345</v>
      </c>
      <c r="BD105" s="559"/>
      <c r="BE105" s="847">
        <f>IF(Summary!A105&lt;Calculation!FT108,FORECAST(3888.89,A99:A105,AW99:AW105),0)</f>
        <v>40702.849422749598</v>
      </c>
    </row>
    <row r="106" spans="1:57" ht="13.5" thickBot="1">
      <c r="A106" s="513">
        <v>40638</v>
      </c>
      <c r="B106" s="498">
        <f t="shared" si="25"/>
        <v>63.426999999999992</v>
      </c>
      <c r="C106" s="498">
        <f>Calculation!AA109</f>
        <v>99.998080000000002</v>
      </c>
      <c r="D106" s="498">
        <f>Calculation!Y109</f>
        <v>0</v>
      </c>
      <c r="E106" s="498">
        <f>Calculation!U109</f>
        <v>41.768999999999998</v>
      </c>
      <c r="F106" s="498">
        <f>Calculation!V109</f>
        <v>21.657999999999998</v>
      </c>
      <c r="G106" s="498">
        <f>Calculation!W109</f>
        <v>63.782809999999991</v>
      </c>
      <c r="H106" s="500">
        <f>Sheet1!H109</f>
        <v>35.53</v>
      </c>
      <c r="I106" s="501">
        <f>Sheet1!CW109</f>
        <v>5656.458333333333</v>
      </c>
      <c r="J106" s="501">
        <f>Sheet1!CX109</f>
        <v>3743.5416666666665</v>
      </c>
      <c r="K106" s="501">
        <f>Sheet1!CV109</f>
        <v>3613</v>
      </c>
      <c r="L106" s="501">
        <f>Calculation!F109</f>
        <v>250</v>
      </c>
      <c r="M106" s="501">
        <f>Calculation!E109</f>
        <v>250</v>
      </c>
      <c r="N106" s="501">
        <f>Calculation!D109</f>
        <v>300</v>
      </c>
      <c r="O106" s="500">
        <f>Sheet1!CY109</f>
        <v>1140.24</v>
      </c>
      <c r="P106" s="514" t="e">
        <f>Calculation!ET109</f>
        <v>#N/A</v>
      </c>
      <c r="Q106" s="498">
        <f>Calculation!DF109</f>
        <v>24802.720000060439</v>
      </c>
      <c r="R106" s="500">
        <f t="shared" si="21"/>
        <v>23582.720000060439</v>
      </c>
      <c r="S106" s="498">
        <f t="shared" si="26"/>
        <v>-489.45000000051368</v>
      </c>
      <c r="T106" s="498">
        <f ca="1">IF(A106&gt;$A$1,#N/A,VLOOKUP(A106,Calculation!$B$8:$IV$881,30,FALSE))</f>
        <v>6477.4400057964394</v>
      </c>
      <c r="U106" s="498">
        <f t="shared" si="22"/>
        <v>0</v>
      </c>
      <c r="V106" s="498">
        <f>Calculation!AP109</f>
        <v>0</v>
      </c>
      <c r="W106" s="498">
        <f t="shared" si="27"/>
        <v>0</v>
      </c>
      <c r="X106" s="498">
        <v>0</v>
      </c>
      <c r="Y106" s="744">
        <f t="shared" si="23"/>
        <v>0</v>
      </c>
      <c r="Z106" s="748">
        <f t="shared" si="24"/>
        <v>0</v>
      </c>
      <c r="AA106" s="498">
        <f t="shared" ca="1" si="28"/>
        <v>18325.279994263998</v>
      </c>
      <c r="AB106" s="501">
        <f t="shared" ca="1" si="29"/>
        <v>17105.279994263998</v>
      </c>
      <c r="AC106" s="498" t="e">
        <f ca="1">IF(A106&gt;$A$1,#N/A,VLOOKUP(A106,Calculation!$B$8:$IV$881,155,FALSE))</f>
        <v>#N/A</v>
      </c>
      <c r="AD106" s="498" t="e">
        <f t="shared" ca="1" si="30"/>
        <v>#N/A</v>
      </c>
      <c r="AE106" s="498"/>
      <c r="AF106" s="501">
        <f>Calculation!G109</f>
        <v>3366.1770045383191</v>
      </c>
      <c r="AG106" s="498" t="str">
        <f t="shared" si="31"/>
        <v>Yes</v>
      </c>
      <c r="AH106" s="498" t="str">
        <f t="shared" si="32"/>
        <v>Yes</v>
      </c>
      <c r="AK106" s="738">
        <v>13882.05000002899</v>
      </c>
      <c r="AL106" s="738">
        <v>20473.950000046316</v>
      </c>
      <c r="AM106" s="740">
        <v>17517.900000037887</v>
      </c>
      <c r="AR106" s="549"/>
      <c r="AS106" s="471">
        <f ca="1">IF(Summary!A106&lt;Calculation!FT109,FORECAST(20000,A100:A106,T100:T106),0)</f>
        <v>40706.264123350324</v>
      </c>
      <c r="AT106" s="581">
        <f>Calculation!AR109*3.068</f>
        <v>2974.7327999999975</v>
      </c>
      <c r="AU106" s="575">
        <f ca="1">Calculation!DA109</f>
        <v>918.86882576520486</v>
      </c>
      <c r="AV106" s="575">
        <f>Calculation!CF109*3.068</f>
        <v>1195.6297400312374</v>
      </c>
      <c r="AW106" s="582">
        <f>Calculation!BK109*3.068</f>
        <v>1388.2086399999991</v>
      </c>
      <c r="AX106" s="524"/>
      <c r="AY106" s="816">
        <f>IF(Summary!A106&lt;Calculation!FT109,FORECAST(8333.33,A100:A106,AT100:AT106),0)</f>
        <v>40702.849353595724</v>
      </c>
      <c r="AZ106" s="559"/>
      <c r="BA106" s="534">
        <f ca="1">IF(Summary!A106&lt;Calculation!FT109,FORECAST(3888.89,A100:A106,AU100:AU106),0)</f>
        <v>40715.46541689158</v>
      </c>
      <c r="BB106" s="559"/>
      <c r="BC106" s="826">
        <f>IF(Summary!A106&lt;Calculation!FT109,FORECAST(3888.89,A100:A106,AV100:AV106),0)</f>
        <v>40707.843513838729</v>
      </c>
      <c r="BD106" s="559"/>
      <c r="BE106" s="847">
        <f>IF(Summary!A106&lt;Calculation!FT109,FORECAST(3888.89,A100:A106,AW100:AW106),0)</f>
        <v>40702.849422749598</v>
      </c>
    </row>
    <row r="107" spans="1:57" ht="13.5" thickBot="1">
      <c r="A107" s="513">
        <v>40639</v>
      </c>
      <c r="B107" s="498">
        <f t="shared" si="25"/>
        <v>74.178649999995486</v>
      </c>
      <c r="C107" s="498">
        <f>Calculation!AA110</f>
        <v>99.88111052598623</v>
      </c>
      <c r="D107" s="498">
        <f>Calculation!Y110</f>
        <v>0</v>
      </c>
      <c r="E107" s="498">
        <f>Calculation!U110</f>
        <v>47.492899999995494</v>
      </c>
      <c r="F107" s="498">
        <f>Calculation!V110</f>
        <v>26.685749999999999</v>
      </c>
      <c r="G107" s="498">
        <f>Calculation!W110</f>
        <v>69.877989999999997</v>
      </c>
      <c r="H107" s="500">
        <f>Sheet1!H110</f>
        <v>22.4</v>
      </c>
      <c r="I107" s="501">
        <f>Sheet1!CW110</f>
        <v>4930.625</v>
      </c>
      <c r="J107" s="501">
        <f>Sheet1!CX110</f>
        <v>2971.1458333333335</v>
      </c>
      <c r="K107" s="501">
        <f>Sheet1!CV110</f>
        <v>2882.5</v>
      </c>
      <c r="L107" s="501">
        <f>Calculation!F110</f>
        <v>250</v>
      </c>
      <c r="M107" s="501">
        <f>Calculation!E110</f>
        <v>250</v>
      </c>
      <c r="N107" s="501">
        <f>Calculation!D110</f>
        <v>300</v>
      </c>
      <c r="O107" s="500">
        <f>Sheet1!CY110</f>
        <v>1140.02</v>
      </c>
      <c r="P107" s="514" t="e">
        <f>Calculation!ET110</f>
        <v>#N/A</v>
      </c>
      <c r="Q107" s="498">
        <f>Calculation!DF110</f>
        <v>24637.060000060268</v>
      </c>
      <c r="R107" s="500">
        <f t="shared" si="21"/>
        <v>23417.060000060268</v>
      </c>
      <c r="S107" s="498">
        <f t="shared" si="26"/>
        <v>-165.66000000017084</v>
      </c>
      <c r="T107" s="498">
        <f ca="1">IF(A107&gt;$A$1,#N/A,VLOOKUP(A107,Calculation!$B$8:$IV$881,30,FALSE))</f>
        <v>6675.5235527219238</v>
      </c>
      <c r="U107" s="498">
        <f t="shared" si="22"/>
        <v>0</v>
      </c>
      <c r="V107" s="498">
        <f>Calculation!AP110</f>
        <v>0</v>
      </c>
      <c r="W107" s="498">
        <f t="shared" si="27"/>
        <v>0</v>
      </c>
      <c r="X107" s="498">
        <v>0</v>
      </c>
      <c r="Y107" s="744">
        <f t="shared" si="23"/>
        <v>0</v>
      </c>
      <c r="Z107" s="748">
        <f t="shared" si="24"/>
        <v>0</v>
      </c>
      <c r="AA107" s="498">
        <f t="shared" ca="1" si="28"/>
        <v>17961.536447338345</v>
      </c>
      <c r="AB107" s="501">
        <f t="shared" ca="1" si="29"/>
        <v>16741.536447338345</v>
      </c>
      <c r="AC107" s="498" t="e">
        <f ca="1">IF(A107&gt;$A$1,#N/A,VLOOKUP(A107,Calculation!$B$8:$IV$881,155,FALSE))</f>
        <v>#N/A</v>
      </c>
      <c r="AD107" s="498" t="e">
        <f t="shared" ca="1" si="30"/>
        <v>#N/A</v>
      </c>
      <c r="AE107" s="498"/>
      <c r="AF107" s="501">
        <f>Calculation!G110</f>
        <v>2798.9599092283556</v>
      </c>
      <c r="AG107" s="498" t="str">
        <f t="shared" si="31"/>
        <v>Yes</v>
      </c>
      <c r="AH107" s="498" t="str">
        <f t="shared" si="32"/>
        <v>Yes</v>
      </c>
      <c r="AK107" s="738">
        <v>13909.47000002899</v>
      </c>
      <c r="AL107" s="738">
        <v>21081.000000048312</v>
      </c>
      <c r="AM107" s="740">
        <v>18194.280000040366</v>
      </c>
      <c r="AR107" s="549"/>
      <c r="AS107" s="471">
        <f ca="1">IF(Summary!A107&lt;Calculation!FT110,FORECAST(20000,A101:A107,T101:T107),0)</f>
        <v>40706.196061709001</v>
      </c>
      <c r="AT107" s="581">
        <f>Calculation!AR110*3.068</f>
        <v>3057.3642666666638</v>
      </c>
      <c r="AU107" s="575">
        <f ca="1">Calculation!DA110</f>
        <v>957.19820380180124</v>
      </c>
      <c r="AV107" s="575">
        <f>Calculation!CF110*3.068</f>
        <v>1234.1910911423486</v>
      </c>
      <c r="AW107" s="582">
        <f>Calculation!BK110*3.068</f>
        <v>1426.7699911111101</v>
      </c>
      <c r="AX107" s="524"/>
      <c r="AY107" s="816">
        <f>IF(Summary!A107&lt;Calculation!FT110,FORECAST(8333.33,A101:A107,AT101:AT107),0)</f>
        <v>40702.849353595724</v>
      </c>
      <c r="AZ107" s="559"/>
      <c r="BA107" s="534">
        <f ca="1">IF(Summary!A107&lt;Calculation!FT110,FORECAST(3888.89,A101:A107,AU101:AU107),0)</f>
        <v>40715.072441756951</v>
      </c>
      <c r="BB107" s="559"/>
      <c r="BC107" s="826">
        <f>IF(Summary!A107&lt;Calculation!FT110,FORECAST(3888.89,A101:A107,AV101:AV107),0)</f>
        <v>40707.843513838729</v>
      </c>
      <c r="BD107" s="559"/>
      <c r="BE107" s="847">
        <f>IF(Summary!A107&lt;Calculation!FT110,FORECAST(3888.89,A101:A107,AW101:AW107),0)</f>
        <v>40702.849422749598</v>
      </c>
    </row>
    <row r="108" spans="1:57" ht="13.5" thickBot="1">
      <c r="A108" s="513">
        <v>40640</v>
      </c>
      <c r="B108" s="498">
        <f t="shared" si="25"/>
        <v>68.996199999997742</v>
      </c>
      <c r="C108" s="498">
        <f>Calculation!AA111</f>
        <v>99.998080000000002</v>
      </c>
      <c r="D108" s="498">
        <f>Calculation!Y111</f>
        <v>0</v>
      </c>
      <c r="E108" s="498">
        <f>Calculation!U111</f>
        <v>44.398899999995493</v>
      </c>
      <c r="F108" s="498">
        <f>Calculation!V111</f>
        <v>24.597300000002249</v>
      </c>
      <c r="G108" s="498">
        <f>Calculation!W111</f>
        <v>69.073549999999997</v>
      </c>
      <c r="H108" s="500">
        <f>Sheet1!H111</f>
        <v>68.400000000000006</v>
      </c>
      <c r="I108" s="501">
        <f>Sheet1!CW111</f>
        <v>3797.8125</v>
      </c>
      <c r="J108" s="501">
        <f>Sheet1!CX111</f>
        <v>2152.5</v>
      </c>
      <c r="K108" s="501">
        <f>Sheet1!CV111</f>
        <v>2034.5</v>
      </c>
      <c r="L108" s="501">
        <f>Calculation!F111</f>
        <v>250</v>
      </c>
      <c r="M108" s="501">
        <f>Calculation!E111</f>
        <v>250</v>
      </c>
      <c r="N108" s="501">
        <f>Calculation!D111</f>
        <v>300</v>
      </c>
      <c r="O108" s="500">
        <f>Sheet1!CY111</f>
        <v>1140.4100000000001</v>
      </c>
      <c r="P108" s="514" t="e">
        <f>Calculation!ET111</f>
        <v>#N/A</v>
      </c>
      <c r="Q108" s="498">
        <f>Calculation!DF111</f>
        <v>24930.730000060608</v>
      </c>
      <c r="R108" s="500">
        <f t="shared" si="21"/>
        <v>23710.730000060608</v>
      </c>
      <c r="S108" s="498">
        <f t="shared" si="26"/>
        <v>293.67000000034022</v>
      </c>
      <c r="T108" s="498">
        <f ca="1">IF(A108&gt;$A$1,#N/A,VLOOKUP(A108,Calculation!$B$8:$IV$881,30,FALSE))</f>
        <v>6873.839072721923</v>
      </c>
      <c r="U108" s="498">
        <f t="shared" si="22"/>
        <v>0</v>
      </c>
      <c r="V108" s="498">
        <f>Calculation!AP111</f>
        <v>0</v>
      </c>
      <c r="W108" s="498">
        <f t="shared" si="27"/>
        <v>0</v>
      </c>
      <c r="X108" s="498">
        <v>0</v>
      </c>
      <c r="Y108" s="744">
        <f t="shared" si="23"/>
        <v>0</v>
      </c>
      <c r="Z108" s="748">
        <f t="shared" si="24"/>
        <v>0</v>
      </c>
      <c r="AA108" s="498">
        <f t="shared" ca="1" si="28"/>
        <v>18056.890927338685</v>
      </c>
      <c r="AB108" s="501">
        <f t="shared" ca="1" si="29"/>
        <v>16836.890927338685</v>
      </c>
      <c r="AC108" s="498" t="e">
        <f ca="1">IF(A108&gt;$A$1,#N/A,VLOOKUP(A108,Calculation!$B$8:$IV$881,155,FALSE))</f>
        <v>#N/A</v>
      </c>
      <c r="AD108" s="498" t="e">
        <f t="shared" ca="1" si="30"/>
        <v>#N/A</v>
      </c>
      <c r="AE108" s="498"/>
      <c r="AF108" s="501">
        <f>Calculation!G111</f>
        <v>2182.5937972770248</v>
      </c>
      <c r="AG108" s="498" t="str">
        <f t="shared" si="31"/>
        <v>Yes</v>
      </c>
      <c r="AH108" s="498" t="str">
        <f t="shared" si="32"/>
        <v>Yes</v>
      </c>
      <c r="AK108" s="738">
        <v>13731.240000028783</v>
      </c>
      <c r="AL108" s="738">
        <v>21552.340000049895</v>
      </c>
      <c r="AM108" s="740">
        <v>18940.7000000423</v>
      </c>
      <c r="AR108" s="549"/>
      <c r="AS108" s="471">
        <f ca="1">IF(Summary!A108&lt;Calculation!FT111,FORECAST(20000,A102:A108,T102:T108),0)</f>
        <v>40706.201886143048</v>
      </c>
      <c r="AT108" s="581">
        <f>Calculation!AR111*3.068</f>
        <v>3139.9957333333305</v>
      </c>
      <c r="AU108" s="575">
        <f ca="1">Calculation!DA111</f>
        <v>995.75955491291234</v>
      </c>
      <c r="AV108" s="575">
        <f>Calculation!CF111*3.068</f>
        <v>1272.7524422534595</v>
      </c>
      <c r="AW108" s="582">
        <f>Calculation!BK111*3.068</f>
        <v>1465.3313422222211</v>
      </c>
      <c r="AX108" s="524"/>
      <c r="AY108" s="816">
        <f>IF(Summary!A108&lt;Calculation!FT111,FORECAST(8333.33,A102:A108,AT102:AT108),0)</f>
        <v>40702.849353595724</v>
      </c>
      <c r="AZ108" s="559"/>
      <c r="BA108" s="534">
        <f ca="1">IF(Summary!A108&lt;Calculation!FT111,FORECAST(3888.89,A102:A108,AU102:AU108),0)</f>
        <v>40715.106240663059</v>
      </c>
      <c r="BB108" s="559"/>
      <c r="BC108" s="826">
        <f>IF(Summary!A108&lt;Calculation!FT111,FORECAST(3888.89,A102:A108,AV102:AV108),0)</f>
        <v>40707.843513838729</v>
      </c>
      <c r="BD108" s="559"/>
      <c r="BE108" s="847">
        <f>IF(Summary!A108&lt;Calculation!FT111,FORECAST(3888.89,A102:A108,AW102:AW108),0)</f>
        <v>40702.849422749598</v>
      </c>
    </row>
    <row r="109" spans="1:57" ht="13.5" thickBot="1">
      <c r="A109" s="513">
        <v>40641</v>
      </c>
      <c r="B109" s="498">
        <f t="shared" si="25"/>
        <v>68.764150000006751</v>
      </c>
      <c r="C109" s="498">
        <f>Calculation!AA112</f>
        <v>99.998080000000002</v>
      </c>
      <c r="D109" s="498">
        <f>Calculation!Y112</f>
        <v>0</v>
      </c>
      <c r="E109" s="498">
        <f>Calculation!U112</f>
        <v>44.244200000009002</v>
      </c>
      <c r="F109" s="498">
        <f>Calculation!V112</f>
        <v>24.519949999997749</v>
      </c>
      <c r="G109" s="498">
        <f>Calculation!W112</f>
        <v>69.073549999999997</v>
      </c>
      <c r="H109" s="500">
        <f>Sheet1!H112</f>
        <v>68.400000000000006</v>
      </c>
      <c r="I109" s="501">
        <f>Sheet1!CW112</f>
        <v>3058.75</v>
      </c>
      <c r="J109" s="501">
        <f>Sheet1!CX112</f>
        <v>1647.2916666666667</v>
      </c>
      <c r="K109" s="501">
        <f>Sheet1!CV112</f>
        <v>1563.5</v>
      </c>
      <c r="L109" s="501">
        <f>Calculation!F112</f>
        <v>250</v>
      </c>
      <c r="M109" s="501">
        <f>Calculation!E112</f>
        <v>250</v>
      </c>
      <c r="N109" s="501">
        <f>Calculation!D112</f>
        <v>300</v>
      </c>
      <c r="O109" s="500">
        <f>Sheet1!CY112</f>
        <v>1141</v>
      </c>
      <c r="P109" s="514" t="e">
        <f>Calculation!ET112</f>
        <v>#N/A</v>
      </c>
      <c r="Q109" s="498">
        <f>Calculation!DF112</f>
        <v>25375.000000062653</v>
      </c>
      <c r="R109" s="500">
        <f t="shared" si="21"/>
        <v>24155.000000062653</v>
      </c>
      <c r="S109" s="498">
        <f t="shared" si="26"/>
        <v>444.27000000204498</v>
      </c>
      <c r="T109" s="498">
        <f ca="1">IF(A109&gt;$A$1,#N/A,VLOOKUP(A109,Calculation!$B$8:$IV$881,30,FALSE))</f>
        <v>7072.1545927219231</v>
      </c>
      <c r="U109" s="498">
        <f t="shared" si="22"/>
        <v>0</v>
      </c>
      <c r="V109" s="498">
        <f>Calculation!AP112</f>
        <v>0</v>
      </c>
      <c r="W109" s="498">
        <f t="shared" si="27"/>
        <v>0</v>
      </c>
      <c r="X109" s="498">
        <v>0</v>
      </c>
      <c r="Y109" s="744">
        <f t="shared" si="23"/>
        <v>0</v>
      </c>
      <c r="Z109" s="748">
        <f t="shared" si="24"/>
        <v>0</v>
      </c>
      <c r="AA109" s="498">
        <f t="shared" ca="1" si="28"/>
        <v>18302.84540734073</v>
      </c>
      <c r="AB109" s="501">
        <f t="shared" ca="1" si="29"/>
        <v>17082.84540734073</v>
      </c>
      <c r="AC109" s="498" t="e">
        <f ca="1">IF(A109&gt;$A$1,#N/A,VLOOKUP(A109,Calculation!$B$8:$IV$881,155,FALSE))</f>
        <v>#N/A</v>
      </c>
      <c r="AD109" s="498" t="e">
        <f t="shared" ca="1" si="30"/>
        <v>#N/A</v>
      </c>
      <c r="AE109" s="498"/>
      <c r="AF109" s="501">
        <f>Calculation!G112</f>
        <v>1787.5393343429373</v>
      </c>
      <c r="AG109" s="498" t="str">
        <f t="shared" si="31"/>
        <v>Yes</v>
      </c>
      <c r="AH109" s="498" t="str">
        <f t="shared" si="32"/>
        <v>Yes</v>
      </c>
      <c r="AK109" s="738">
        <v>13735.810000028783</v>
      </c>
      <c r="AL109" s="738">
        <v>22093.110000052027</v>
      </c>
      <c r="AM109" s="740">
        <v>20194.500000046031</v>
      </c>
      <c r="AR109" s="549"/>
      <c r="AS109" s="471">
        <f ca="1">IF(Summary!A109&lt;Calculation!FT112,FORECAST(20000,A103:A109,T103:T109),0)</f>
        <v>40706.204694630294</v>
      </c>
      <c r="AT109" s="581">
        <f>Calculation!AR112*3.068</f>
        <v>3222.6271999999967</v>
      </c>
      <c r="AU109" s="575">
        <f ca="1">Calculation!DA112</f>
        <v>1034.3209060240233</v>
      </c>
      <c r="AV109" s="575">
        <f>Calculation!CF112*3.068</f>
        <v>1311.3137933645705</v>
      </c>
      <c r="AW109" s="582">
        <f>Calculation!BK112*3.068</f>
        <v>1503.8926933333321</v>
      </c>
      <c r="AX109" s="524"/>
      <c r="AY109" s="816">
        <f>IF(Summary!A109&lt;Calculation!FT112,FORECAST(8333.33,A103:A109,AT103:AT109),0)</f>
        <v>40702.849353595724</v>
      </c>
      <c r="AZ109" s="559"/>
      <c r="BA109" s="534">
        <f ca="1">IF(Summary!A109&lt;Calculation!FT112,FORECAST(3888.89,A103:A109,AU103:AU109),0)</f>
        <v>40715.122624269105</v>
      </c>
      <c r="BB109" s="559"/>
      <c r="BC109" s="826">
        <f>IF(Summary!A109&lt;Calculation!FT112,FORECAST(3888.89,A103:A109,AV103:AV109),0)</f>
        <v>40707.843513838729</v>
      </c>
      <c r="BD109" s="559"/>
      <c r="BE109" s="847">
        <f>IF(Summary!A109&lt;Calculation!FT112,FORECAST(3888.89,A103:A109,AW103:AW109),0)</f>
        <v>40702.849422749598</v>
      </c>
    </row>
    <row r="110" spans="1:57" ht="13.5" thickBot="1">
      <c r="A110" s="513">
        <v>40642</v>
      </c>
      <c r="B110" s="498">
        <f t="shared" si="25"/>
        <v>69.614999999999995</v>
      </c>
      <c r="C110" s="498">
        <f>Calculation!AA113</f>
        <v>99.998080000000002</v>
      </c>
      <c r="D110" s="498">
        <f>Calculation!Y113</f>
        <v>0</v>
      </c>
      <c r="E110" s="498">
        <f>Calculation!U113</f>
        <v>44.863</v>
      </c>
      <c r="F110" s="498">
        <f>Calculation!V113</f>
        <v>24.751999999999999</v>
      </c>
      <c r="G110" s="498">
        <f>Calculation!W113</f>
        <v>69.073549999999997</v>
      </c>
      <c r="H110" s="500">
        <f>Sheet1!H113</f>
        <v>14.95</v>
      </c>
      <c r="I110" s="501">
        <f>Sheet1!CW113</f>
        <v>2594.0625</v>
      </c>
      <c r="J110" s="501">
        <f>Sheet1!CX113</f>
        <v>1405.3125</v>
      </c>
      <c r="K110" s="501">
        <f>Sheet1!CV113</f>
        <v>1330.4166666666667</v>
      </c>
      <c r="L110" s="501">
        <f>Calculation!F113</f>
        <v>250</v>
      </c>
      <c r="M110" s="501">
        <f>Calculation!E113</f>
        <v>250</v>
      </c>
      <c r="N110" s="501">
        <f>Calculation!D113</f>
        <v>300</v>
      </c>
      <c r="O110" s="500">
        <f>Sheet1!CY113</f>
        <v>1141.55</v>
      </c>
      <c r="P110" s="514" t="e">
        <f>Calculation!ET113</f>
        <v>#N/A</v>
      </c>
      <c r="Q110" s="498">
        <f>Calculation!DF113</f>
        <v>25800.700000063003</v>
      </c>
      <c r="R110" s="500">
        <f t="shared" si="21"/>
        <v>24580.700000063003</v>
      </c>
      <c r="S110" s="498">
        <f t="shared" si="26"/>
        <v>425.70000000034997</v>
      </c>
      <c r="T110" s="498">
        <f ca="1">IF(A110&gt;$A$1,#N/A,VLOOKUP(A110,Calculation!$B$8:$IV$881,30,FALSE))</f>
        <v>7270.4701127219241</v>
      </c>
      <c r="U110" s="498">
        <f t="shared" si="22"/>
        <v>0</v>
      </c>
      <c r="V110" s="498">
        <f>Calculation!AP113</f>
        <v>0</v>
      </c>
      <c r="W110" s="498">
        <f t="shared" si="27"/>
        <v>0</v>
      </c>
      <c r="X110" s="498">
        <v>0</v>
      </c>
      <c r="Y110" s="744">
        <f t="shared" si="23"/>
        <v>0</v>
      </c>
      <c r="Z110" s="748">
        <f t="shared" si="24"/>
        <v>0</v>
      </c>
      <c r="AA110" s="498">
        <f t="shared" ca="1" si="28"/>
        <v>18530.22988734108</v>
      </c>
      <c r="AB110" s="501">
        <f t="shared" ca="1" si="29"/>
        <v>17310.22988734108</v>
      </c>
      <c r="AC110" s="498" t="e">
        <f ca="1">IF(A110&gt;$A$1,#N/A,VLOOKUP(A110,Calculation!$B$8:$IV$881,155,FALSE))</f>
        <v>#N/A</v>
      </c>
      <c r="AD110" s="498" t="e">
        <f t="shared" ca="1" si="30"/>
        <v>#N/A</v>
      </c>
      <c r="AE110" s="498"/>
      <c r="AF110" s="501">
        <f>Calculation!G113</f>
        <v>1545.091401916465</v>
      </c>
      <c r="AG110" s="498" t="str">
        <f t="shared" si="31"/>
        <v>Yes</v>
      </c>
      <c r="AH110" s="498" t="str">
        <f t="shared" si="32"/>
        <v>Yes</v>
      </c>
      <c r="AK110" s="738">
        <v>13923.180000028991</v>
      </c>
      <c r="AL110" s="738">
        <v>22777.850000054044</v>
      </c>
      <c r="AM110" s="740">
        <v>21289.540000049747</v>
      </c>
      <c r="AR110" s="549"/>
      <c r="AS110" s="471">
        <f ca="1">IF(Summary!A110&lt;Calculation!FT113,FORECAST(20000,A104:A110,T104:T110),0)</f>
        <v>40706.204611079076</v>
      </c>
      <c r="AT110" s="581">
        <f>Calculation!AR113*3.068</f>
        <v>3305.2586666666639</v>
      </c>
      <c r="AU110" s="575">
        <f ca="1">Calculation!DA113</f>
        <v>1072.8822571351343</v>
      </c>
      <c r="AV110" s="575">
        <f>Calculation!CF113*3.068</f>
        <v>1349.8751444756815</v>
      </c>
      <c r="AW110" s="582">
        <f>Calculation!BK113*3.068</f>
        <v>1542.4540444444431</v>
      </c>
      <c r="AX110" s="524"/>
      <c r="AY110" s="816">
        <f>IF(Summary!A110&lt;Calculation!FT113,FORECAST(8333.33,A104:A110,AT104:AT110),0)</f>
        <v>40702.849353595724</v>
      </c>
      <c r="AZ110" s="559"/>
      <c r="BA110" s="534">
        <f ca="1">IF(Summary!A110&lt;Calculation!FT113,FORECAST(3888.89,A104:A110,AU104:AU110),0)</f>
        <v>40715.122194578027</v>
      </c>
      <c r="BB110" s="559"/>
      <c r="BC110" s="826">
        <f>IF(Summary!A110&lt;Calculation!FT113,FORECAST(3888.89,A104:A110,AV104:AV110),0)</f>
        <v>40707.843513838729</v>
      </c>
      <c r="BD110" s="559"/>
      <c r="BE110" s="847">
        <f>IF(Summary!A110&lt;Calculation!FT113,FORECAST(3888.89,A104:A110,AW104:AW110),0)</f>
        <v>40702.849422749598</v>
      </c>
    </row>
    <row r="111" spans="1:57" ht="13.5" thickBot="1">
      <c r="A111" s="513">
        <v>40643</v>
      </c>
      <c r="B111" s="498">
        <f t="shared" si="25"/>
        <v>69.614999999999995</v>
      </c>
      <c r="C111" s="498">
        <f>Calculation!AA114</f>
        <v>99.998080000000002</v>
      </c>
      <c r="D111" s="498">
        <f>Calculation!Y114</f>
        <v>0</v>
      </c>
      <c r="E111" s="498">
        <f>Calculation!U114</f>
        <v>43.315999999999995</v>
      </c>
      <c r="F111" s="498">
        <f>Calculation!V114</f>
        <v>26.298999999999999</v>
      </c>
      <c r="G111" s="498">
        <f>Calculation!W114</f>
        <v>69.073549999999997</v>
      </c>
      <c r="H111" s="500">
        <f>Sheet1!H114</f>
        <v>11.32</v>
      </c>
      <c r="I111" s="501">
        <f>Sheet1!CW114</f>
        <v>2499.8958333333335</v>
      </c>
      <c r="J111" s="501">
        <f>Sheet1!CX114</f>
        <v>1403.5416666666667</v>
      </c>
      <c r="K111" s="501">
        <f>Sheet1!CV114</f>
        <v>1332</v>
      </c>
      <c r="L111" s="501">
        <f>Calculation!F114</f>
        <v>250</v>
      </c>
      <c r="M111" s="501">
        <f>Calculation!E114</f>
        <v>250</v>
      </c>
      <c r="N111" s="501">
        <f>Calculation!D114</f>
        <v>300</v>
      </c>
      <c r="O111" s="500">
        <f>Sheet1!CY114</f>
        <v>1141.9000000000001</v>
      </c>
      <c r="P111" s="514" t="e">
        <f>Calculation!ET114</f>
        <v>#N/A</v>
      </c>
      <c r="Q111" s="498">
        <f>Calculation!DF114</f>
        <v>26071.600000063354</v>
      </c>
      <c r="R111" s="500">
        <f t="shared" si="21"/>
        <v>24851.600000063354</v>
      </c>
      <c r="S111" s="498">
        <f t="shared" si="26"/>
        <v>270.9000000003507</v>
      </c>
      <c r="T111" s="498">
        <f ca="1">IF(A111&gt;$A$1,#N/A,VLOOKUP(A111,Calculation!$B$8:$IV$881,30,FALSE))</f>
        <v>7468.7856327219233</v>
      </c>
      <c r="U111" s="498">
        <f t="shared" si="22"/>
        <v>0</v>
      </c>
      <c r="V111" s="498">
        <f>Calculation!AP114</f>
        <v>0</v>
      </c>
      <c r="W111" s="498">
        <f t="shared" si="27"/>
        <v>0</v>
      </c>
      <c r="X111" s="498">
        <v>0</v>
      </c>
      <c r="Y111" s="744">
        <f t="shared" si="23"/>
        <v>0</v>
      </c>
      <c r="Z111" s="748">
        <f t="shared" si="24"/>
        <v>0</v>
      </c>
      <c r="AA111" s="498">
        <f t="shared" ca="1" si="28"/>
        <v>18602.814367341431</v>
      </c>
      <c r="AB111" s="501">
        <f t="shared" ca="1" si="29"/>
        <v>17382.814367341431</v>
      </c>
      <c r="AC111" s="498" t="e">
        <f ca="1">IF(A111&gt;$A$1,#N/A,VLOOKUP(A111,Calculation!$B$8:$IV$881,155,FALSE))</f>
        <v>#N/A</v>
      </c>
      <c r="AD111" s="498" t="e">
        <f t="shared" ca="1" si="30"/>
        <v>#N/A</v>
      </c>
      <c r="AE111" s="498"/>
      <c r="AF111" s="501">
        <f>Calculation!G114</f>
        <v>1468.6111951590271</v>
      </c>
      <c r="AG111" s="498" t="str">
        <f t="shared" si="31"/>
        <v>Yes</v>
      </c>
      <c r="AH111" s="498" t="str">
        <f t="shared" si="32"/>
        <v>Yes</v>
      </c>
      <c r="AK111" s="738">
        <v>14191.760000029901</v>
      </c>
      <c r="AL111" s="738">
        <v>23104.500000054359</v>
      </c>
      <c r="AM111" s="740">
        <v>22099.880000052028</v>
      </c>
      <c r="AR111" s="549"/>
      <c r="AS111" s="471">
        <f ca="1">IF(Summary!A111&lt;Calculation!FT114,FORECAST(20000,A105:A111,T105:T111),0)</f>
        <v>40706.201760868593</v>
      </c>
      <c r="AT111" s="581">
        <f>Calculation!AR114*3.068</f>
        <v>3387.8901333333306</v>
      </c>
      <c r="AU111" s="575">
        <f ca="1">Calculation!DA114</f>
        <v>1111.4436082462453</v>
      </c>
      <c r="AV111" s="575">
        <f>Calculation!CF114*3.068</f>
        <v>1388.4364955867927</v>
      </c>
      <c r="AW111" s="582">
        <f>Calculation!BK114*3.068</f>
        <v>1581.0153955555543</v>
      </c>
      <c r="AX111" s="524"/>
      <c r="AY111" s="816">
        <f>IF(Summary!A111&lt;Calculation!FT114,FORECAST(8333.33,A105:A111,AT105:AT111),0)</f>
        <v>40702.849353595724</v>
      </c>
      <c r="AZ111" s="559"/>
      <c r="BA111" s="534">
        <f ca="1">IF(Summary!A111&lt;Calculation!FT114,FORECAST(3888.89,A105:A111,AU105:AU111),0)</f>
        <v>40715.105597513946</v>
      </c>
      <c r="BB111" s="559"/>
      <c r="BC111" s="826">
        <f>IF(Summary!A111&lt;Calculation!FT114,FORECAST(3888.89,A105:A111,AV105:AV111),0)</f>
        <v>40707.843513838729</v>
      </c>
      <c r="BD111" s="559"/>
      <c r="BE111" s="847">
        <f>IF(Summary!A111&lt;Calculation!FT114,FORECAST(3888.89,A105:A111,AW105:AW111),0)</f>
        <v>40702.849422749598</v>
      </c>
    </row>
    <row r="112" spans="1:57" ht="13.5" thickBot="1">
      <c r="A112" s="513">
        <v>40644</v>
      </c>
      <c r="B112" s="498">
        <f t="shared" si="25"/>
        <v>71.796269999994138</v>
      </c>
      <c r="C112" s="498">
        <f>Calculation!AA115</f>
        <v>99.998080000000002</v>
      </c>
      <c r="D112" s="498">
        <f>Calculation!Y115</f>
        <v>0</v>
      </c>
      <c r="E112" s="498">
        <f>Calculation!U115</f>
        <v>45.48179999999099</v>
      </c>
      <c r="F112" s="498">
        <f>Calculation!V115</f>
        <v>26.314470000003151</v>
      </c>
      <c r="G112" s="498">
        <f>Calculation!W115</f>
        <v>62.467860000000002</v>
      </c>
      <c r="H112" s="500">
        <f>Sheet1!H115</f>
        <v>7.51</v>
      </c>
      <c r="I112" s="501">
        <f>Sheet1!CW115</f>
        <v>2482.0833333333335</v>
      </c>
      <c r="J112" s="501">
        <f>Sheet1!CX115</f>
        <v>1423.6458333333333</v>
      </c>
      <c r="K112" s="501">
        <f>Sheet1!CV115</f>
        <v>1340.5</v>
      </c>
      <c r="L112" s="501">
        <f>Calculation!F115</f>
        <v>250</v>
      </c>
      <c r="M112" s="501">
        <f>Calculation!E115</f>
        <v>250</v>
      </c>
      <c r="N112" s="501">
        <f>Calculation!D115</f>
        <v>300</v>
      </c>
      <c r="O112" s="500">
        <f>Sheet1!CY115</f>
        <v>1142.3900000000001</v>
      </c>
      <c r="P112" s="514" t="e">
        <f>Calculation!ET115</f>
        <v>#N/A</v>
      </c>
      <c r="Q112" s="498">
        <f>Calculation!DF115</f>
        <v>26458.270000065273</v>
      </c>
      <c r="R112" s="500">
        <f t="shared" si="21"/>
        <v>25238.270000065273</v>
      </c>
      <c r="S112" s="498">
        <f t="shared" si="26"/>
        <v>386.67000000191911</v>
      </c>
      <c r="T112" s="498">
        <f ca="1">IF(A112&gt;$A$1,#N/A,VLOOKUP(A112,Calculation!$B$8:$IV$881,30,FALSE))</f>
        <v>7667.1011527219234</v>
      </c>
      <c r="U112" s="498">
        <f t="shared" si="22"/>
        <v>0</v>
      </c>
      <c r="V112" s="498">
        <f>Calculation!AP115</f>
        <v>0</v>
      </c>
      <c r="W112" s="498">
        <f t="shared" si="27"/>
        <v>0</v>
      </c>
      <c r="X112" s="498">
        <v>0</v>
      </c>
      <c r="Y112" s="744">
        <f t="shared" si="23"/>
        <v>0</v>
      </c>
      <c r="Z112" s="748">
        <f t="shared" si="24"/>
        <v>0</v>
      </c>
      <c r="AA112" s="498">
        <f t="shared" ca="1" si="28"/>
        <v>18791.16884734335</v>
      </c>
      <c r="AB112" s="501">
        <f t="shared" ca="1" si="29"/>
        <v>17571.16884734335</v>
      </c>
      <c r="AC112" s="498" t="e">
        <f ca="1">IF(A112&gt;$A$1,#N/A,VLOOKUP(A112,Calculation!$B$8:$IV$881,155,FALSE))</f>
        <v>#N/A</v>
      </c>
      <c r="AD112" s="498" t="e">
        <f t="shared" ca="1" si="30"/>
        <v>#N/A</v>
      </c>
      <c r="AE112" s="498"/>
      <c r="AF112" s="501">
        <f>Calculation!G115</f>
        <v>1535.4924357044474</v>
      </c>
      <c r="AG112" s="498" t="str">
        <f t="shared" si="31"/>
        <v>Yes</v>
      </c>
      <c r="AH112" s="498" t="str">
        <f t="shared" si="32"/>
        <v>Yes</v>
      </c>
      <c r="AK112" s="738">
        <v>14649.200000031105</v>
      </c>
      <c r="AL112" s="738">
        <v>23007.200000054203</v>
      </c>
      <c r="AM112" s="740">
        <v>22743.100000054044</v>
      </c>
      <c r="AR112" s="549"/>
      <c r="AS112" s="471">
        <f ca="1">IF(Summary!A112&lt;Calculation!FT115,FORECAST(20000,A106:A112,T106:T112),0)</f>
        <v>40706.196270744171</v>
      </c>
      <c r="AT112" s="581">
        <f>Calculation!AR115*3.068</f>
        <v>3470.5215999999973</v>
      </c>
      <c r="AU112" s="575">
        <f ca="1">Calculation!DA115</f>
        <v>1150.0049593573565</v>
      </c>
      <c r="AV112" s="575">
        <f>Calculation!CF115*3.068</f>
        <v>1426.9978466979037</v>
      </c>
      <c r="AW112" s="582">
        <f>Calculation!BK115*3.068</f>
        <v>1619.5767466666653</v>
      </c>
      <c r="AX112" s="524"/>
      <c r="AY112" s="816">
        <f>IF(Summary!A112&lt;Calculation!FT115,FORECAST(8333.33,A106:A112,AT106:AT112),0)</f>
        <v>40702.849353595724</v>
      </c>
      <c r="AZ112" s="559"/>
      <c r="BA112" s="534">
        <f ca="1">IF(Summary!A112&lt;Calculation!FT115,FORECAST(3888.89,A106:A112,AU106:AU112),0)</f>
        <v>40715.073520145495</v>
      </c>
      <c r="BB112" s="559"/>
      <c r="BC112" s="826">
        <f>IF(Summary!A112&lt;Calculation!FT115,FORECAST(3888.89,A106:A112,AV106:AV112),0)</f>
        <v>40707.843513838729</v>
      </c>
      <c r="BD112" s="559"/>
      <c r="BE112" s="847">
        <f>IF(Summary!A112&lt;Calculation!FT115,FORECAST(3888.89,A106:A112,AW106:AW112),0)</f>
        <v>40702.849422749598</v>
      </c>
    </row>
    <row r="113" spans="1:57" ht="13.5" thickBot="1">
      <c r="A113" s="513">
        <v>40645</v>
      </c>
      <c r="B113" s="498">
        <f t="shared" si="25"/>
        <v>71.842680000003597</v>
      </c>
      <c r="C113" s="498">
        <f>Calculation!AA116</f>
        <v>99.998080000000002</v>
      </c>
      <c r="D113" s="498">
        <f>Calculation!Y116</f>
        <v>0</v>
      </c>
      <c r="E113" s="498">
        <f>Calculation!U116</f>
        <v>43.780100000004502</v>
      </c>
      <c r="F113" s="498">
        <f>Calculation!V116</f>
        <v>28.062579999999098</v>
      </c>
      <c r="G113" s="498">
        <f>Calculation!W116</f>
        <v>59.714199999999998</v>
      </c>
      <c r="H113" s="500">
        <f>Sheet1!H116</f>
        <v>6.21</v>
      </c>
      <c r="I113" s="501">
        <f>Sheet1!CW116</f>
        <v>2405.1041666666665</v>
      </c>
      <c r="J113" s="501">
        <f>Sheet1!CX116</f>
        <v>1362.9166666666667</v>
      </c>
      <c r="K113" s="501">
        <f>Sheet1!CV116</f>
        <v>1314</v>
      </c>
      <c r="L113" s="501">
        <f>Calculation!F116</f>
        <v>250</v>
      </c>
      <c r="M113" s="501">
        <f>Calculation!E116</f>
        <v>250</v>
      </c>
      <c r="N113" s="501">
        <f>Calculation!D116</f>
        <v>300</v>
      </c>
      <c r="O113" s="500">
        <f>Sheet1!CY116</f>
        <v>1142.81</v>
      </c>
      <c r="P113" s="514" t="e">
        <f>Calculation!ET116</f>
        <v>#N/A</v>
      </c>
      <c r="Q113" s="498">
        <f>Calculation!DF116</f>
        <v>26791.330000065453</v>
      </c>
      <c r="R113" s="500">
        <f t="shared" si="21"/>
        <v>25571.330000065453</v>
      </c>
      <c r="S113" s="498">
        <f t="shared" si="26"/>
        <v>333.06000000017957</v>
      </c>
      <c r="T113" s="498">
        <f ca="1">IF(A113&gt;$A$1,#N/A,VLOOKUP(A113,Calculation!$B$8:$IV$881,30,FALSE))</f>
        <v>7865.4166727219226</v>
      </c>
      <c r="U113" s="498">
        <f t="shared" si="22"/>
        <v>0</v>
      </c>
      <c r="V113" s="498">
        <f>Calculation!AP116</f>
        <v>0</v>
      </c>
      <c r="W113" s="498">
        <f t="shared" si="27"/>
        <v>0</v>
      </c>
      <c r="X113" s="498">
        <v>0</v>
      </c>
      <c r="Y113" s="744">
        <f t="shared" si="23"/>
        <v>0</v>
      </c>
      <c r="Z113" s="748">
        <f t="shared" si="24"/>
        <v>0</v>
      </c>
      <c r="AA113" s="498">
        <f t="shared" ca="1" si="28"/>
        <v>18925.913327343529</v>
      </c>
      <c r="AB113" s="501">
        <f t="shared" ca="1" si="29"/>
        <v>17705.913327343529</v>
      </c>
      <c r="AC113" s="498" t="e">
        <f ca="1">IF(A113&gt;$A$1,#N/A,VLOOKUP(A113,Calculation!$B$8:$IV$881,155,FALSE))</f>
        <v>#N/A</v>
      </c>
      <c r="AD113" s="498" t="e">
        <f t="shared" ca="1" si="30"/>
        <v>#N/A</v>
      </c>
      <c r="AE113" s="498"/>
      <c r="AF113" s="501">
        <f>Calculation!G116</f>
        <v>1481.9576399395762</v>
      </c>
      <c r="AG113" s="498" t="str">
        <f t="shared" si="31"/>
        <v>Yes</v>
      </c>
      <c r="AH113" s="498" t="str">
        <f t="shared" si="32"/>
        <v>Yes</v>
      </c>
      <c r="AK113" s="738">
        <v>14999.840000032218</v>
      </c>
      <c r="AL113" s="738">
        <v>23035.000000054202</v>
      </c>
      <c r="AM113" s="740">
        <v>23309.66000005601</v>
      </c>
      <c r="AR113" s="549"/>
      <c r="AS113" s="471">
        <f ca="1">IF(Summary!A113&lt;Calculation!FT116,FORECAST(20000,A107:A113,T107:T113),0)</f>
        <v>40706.188268710779</v>
      </c>
      <c r="AT113" s="581">
        <f>Calculation!AR116*3.068</f>
        <v>3553.1530666666645</v>
      </c>
      <c r="AU113" s="575">
        <f ca="1">Calculation!DA116</f>
        <v>1188.5663104684675</v>
      </c>
      <c r="AV113" s="575">
        <f>Calculation!CF116*3.068</f>
        <v>1465.5591978090147</v>
      </c>
      <c r="AW113" s="582">
        <f>Calculation!BK116*3.068</f>
        <v>1658.1380977777762</v>
      </c>
      <c r="AX113" s="524"/>
      <c r="AY113" s="816">
        <f>IF(Summary!A113&lt;Calculation!FT116,FORECAST(8333.33,A107:A113,AT107:AT113),0)</f>
        <v>40702.849353595724</v>
      </c>
      <c r="AZ113" s="559"/>
      <c r="BA113" s="534">
        <f ca="1">IF(Summary!A113&lt;Calculation!FT116,FORECAST(3888.89,A107:A113,AU107:AU113),0)</f>
        <v>40715.026687647718</v>
      </c>
      <c r="BB113" s="559"/>
      <c r="BC113" s="826">
        <f>IF(Summary!A113&lt;Calculation!FT116,FORECAST(3888.89,A107:A113,AV107:AV113),0)</f>
        <v>40707.843513838729</v>
      </c>
      <c r="BD113" s="559"/>
      <c r="BE113" s="847">
        <f>IF(Summary!A113&lt;Calculation!FT116,FORECAST(3888.89,A107:A113,AW107:AW113),0)</f>
        <v>40702.849422749598</v>
      </c>
    </row>
    <row r="114" spans="1:57" ht="13.5" thickBot="1">
      <c r="A114" s="513">
        <v>40646</v>
      </c>
      <c r="B114" s="498">
        <f t="shared" si="25"/>
        <v>71.394050000002252</v>
      </c>
      <c r="C114" s="498">
        <f>Calculation!AA117</f>
        <v>99.998080000000002</v>
      </c>
      <c r="D114" s="498">
        <f>Calculation!Y117</f>
        <v>0</v>
      </c>
      <c r="E114" s="498">
        <f>Calculation!U117</f>
        <v>43.780100000004502</v>
      </c>
      <c r="F114" s="498">
        <f>Calculation!V117</f>
        <v>27.613949999997747</v>
      </c>
      <c r="G114" s="498">
        <f>Calculation!W117</f>
        <v>59.714199999999998</v>
      </c>
      <c r="H114" s="500">
        <f>Sheet1!H117</f>
        <v>5.08</v>
      </c>
      <c r="I114" s="501">
        <f>Sheet1!CW117</f>
        <v>2212.0833333333335</v>
      </c>
      <c r="J114" s="501">
        <f>Sheet1!CX117</f>
        <v>1251.3541666666667</v>
      </c>
      <c r="K114" s="501">
        <f>Sheet1!CV117</f>
        <v>1240</v>
      </c>
      <c r="L114" s="501">
        <f>Calculation!F117</f>
        <v>250</v>
      </c>
      <c r="M114" s="501">
        <f>Calculation!E117</f>
        <v>250</v>
      </c>
      <c r="N114" s="501">
        <f>Calculation!D117</f>
        <v>300</v>
      </c>
      <c r="O114" s="500">
        <f>Sheet1!CY117</f>
        <v>1143.3</v>
      </c>
      <c r="P114" s="514" t="e">
        <f>Calculation!ET117</f>
        <v>#N/A</v>
      </c>
      <c r="Q114" s="498">
        <f>Calculation!DF117</f>
        <v>27186.200000067554</v>
      </c>
      <c r="R114" s="500">
        <f t="shared" si="21"/>
        <v>25966.200000067554</v>
      </c>
      <c r="S114" s="498">
        <f t="shared" si="26"/>
        <v>394.87000000210173</v>
      </c>
      <c r="T114" s="498">
        <f ca="1">IF(A114&gt;$A$1,#N/A,VLOOKUP(A114,Calculation!$B$8:$IV$881,30,FALSE))</f>
        <v>8063.7321927219227</v>
      </c>
      <c r="U114" s="498">
        <f t="shared" si="22"/>
        <v>0</v>
      </c>
      <c r="V114" s="498">
        <f>Calculation!AP117</f>
        <v>0</v>
      </c>
      <c r="W114" s="498">
        <f t="shared" si="27"/>
        <v>0</v>
      </c>
      <c r="X114" s="498">
        <v>0</v>
      </c>
      <c r="Y114" s="744">
        <f t="shared" si="23"/>
        <v>0</v>
      </c>
      <c r="Z114" s="748">
        <f t="shared" si="24"/>
        <v>0</v>
      </c>
      <c r="AA114" s="498">
        <f t="shared" ca="1" si="28"/>
        <v>19122.467807345631</v>
      </c>
      <c r="AB114" s="501">
        <f t="shared" ca="1" si="29"/>
        <v>17902.467807345631</v>
      </c>
      <c r="AC114" s="498" t="e">
        <f ca="1">IF(A114&gt;$A$1,#N/A,VLOOKUP(A114,Calculation!$B$8:$IV$881,155,FALSE))</f>
        <v>#N/A</v>
      </c>
      <c r="AD114" s="498" t="e">
        <f t="shared" ca="1" si="30"/>
        <v>#N/A</v>
      </c>
      <c r="AE114" s="498"/>
      <c r="AF114" s="501">
        <f>Calculation!G117</f>
        <v>1439.1275844690376</v>
      </c>
      <c r="AG114" s="498" t="str">
        <f t="shared" si="31"/>
        <v>Yes</v>
      </c>
      <c r="AH114" s="498" t="str">
        <f t="shared" si="32"/>
        <v>Yes</v>
      </c>
      <c r="AK114" s="738">
        <v>16084.230000034913</v>
      </c>
      <c r="AL114" s="738">
        <v>22944.650000054204</v>
      </c>
      <c r="AM114" s="740">
        <v>23983.420000058246</v>
      </c>
      <c r="AR114" s="549"/>
      <c r="AS114" s="471">
        <f ca="1">IF(Summary!A114&lt;Calculation!FT117,FORECAST(20000,A108:A114,T108:T114),0)</f>
        <v>40706.188268710779</v>
      </c>
      <c r="AT114" s="581">
        <f>Calculation!AR117*3.068</f>
        <v>3635.7845333333312</v>
      </c>
      <c r="AU114" s="575">
        <f ca="1">Calculation!DA117</f>
        <v>1227.1276615795784</v>
      </c>
      <c r="AV114" s="575">
        <f>Calculation!CF117*3.068</f>
        <v>1504.1205489201257</v>
      </c>
      <c r="AW114" s="582">
        <f>Calculation!BK117*3.068</f>
        <v>1696.6994488888872</v>
      </c>
      <c r="AX114" s="524"/>
      <c r="AY114" s="816">
        <f>IF(Summary!A114&lt;Calculation!FT117,FORECAST(8333.33,A108:A114,AT108:AT114),0)</f>
        <v>40702.849353595724</v>
      </c>
      <c r="AZ114" s="559"/>
      <c r="BA114" s="534">
        <f ca="1">IF(Summary!A114&lt;Calculation!FT117,FORECAST(3888.89,A108:A114,AU108:AU114),0)</f>
        <v>40715.026687647718</v>
      </c>
      <c r="BB114" s="559"/>
      <c r="BC114" s="826">
        <f>IF(Summary!A114&lt;Calculation!FT117,FORECAST(3888.89,A108:A114,AV108:AV114),0)</f>
        <v>40707.843513838729</v>
      </c>
      <c r="BD114" s="559"/>
      <c r="BE114" s="847">
        <f>IF(Summary!A114&lt;Calculation!FT117,FORECAST(3888.89,A108:A114,AW108:AW114),0)</f>
        <v>40702.849422749598</v>
      </c>
    </row>
    <row r="115" spans="1:57" ht="13.5" thickBot="1">
      <c r="A115" s="513">
        <v>40647</v>
      </c>
      <c r="B115" s="498">
        <f t="shared" si="25"/>
        <v>69.614999999999995</v>
      </c>
      <c r="C115" s="498">
        <f>Calculation!AA118</f>
        <v>96.461409625884727</v>
      </c>
      <c r="D115" s="498">
        <f>Calculation!Y118</f>
        <v>0</v>
      </c>
      <c r="E115" s="498">
        <f>Calculation!U118</f>
        <v>40.222000000000001</v>
      </c>
      <c r="F115" s="498">
        <f>Calculation!V118</f>
        <v>29.392999999999997</v>
      </c>
      <c r="G115" s="498">
        <f>Calculation!W118</f>
        <v>59.714199999999998</v>
      </c>
      <c r="H115" s="500">
        <f>Sheet1!H118</f>
        <v>4.26</v>
      </c>
      <c r="I115" s="501">
        <f>Sheet1!CW118</f>
        <v>2172.5</v>
      </c>
      <c r="J115" s="501">
        <f>Sheet1!CX118</f>
        <v>1196.1500000000001</v>
      </c>
      <c r="K115" s="501">
        <f>Sheet1!CV118</f>
        <v>1227.78</v>
      </c>
      <c r="L115" s="501">
        <f>Calculation!F118</f>
        <v>250</v>
      </c>
      <c r="M115" s="501">
        <f>Calculation!E118</f>
        <v>250</v>
      </c>
      <c r="N115" s="501">
        <f>Calculation!D118</f>
        <v>300</v>
      </c>
      <c r="O115" s="500">
        <f>Sheet1!CY118</f>
        <v>1143.7</v>
      </c>
      <c r="P115" s="514" t="e">
        <f>Calculation!ET118</f>
        <v>#N/A</v>
      </c>
      <c r="Q115" s="498">
        <f>Calculation!DF118</f>
        <v>27511.800000067924</v>
      </c>
      <c r="R115" s="500">
        <f t="shared" si="21"/>
        <v>26291.800000067924</v>
      </c>
      <c r="S115" s="498">
        <f t="shared" si="26"/>
        <v>325.60000000036962</v>
      </c>
      <c r="T115" s="498">
        <f ca="1">IF(A115&gt;$A$1,#N/A,VLOOKUP(A115,Calculation!$B$8:$IV$881,30,FALSE))</f>
        <v>8255.0338118119125</v>
      </c>
      <c r="U115" s="498">
        <f t="shared" si="22"/>
        <v>0</v>
      </c>
      <c r="V115" s="498">
        <f>Calculation!AP118</f>
        <v>0</v>
      </c>
      <c r="W115" s="498">
        <f t="shared" si="27"/>
        <v>0</v>
      </c>
      <c r="X115" s="498">
        <v>0</v>
      </c>
      <c r="Y115" s="744">
        <f t="shared" si="23"/>
        <v>0</v>
      </c>
      <c r="Z115" s="748">
        <f t="shared" si="24"/>
        <v>0</v>
      </c>
      <c r="AA115" s="498">
        <f t="shared" ca="1" si="28"/>
        <v>19256.766188256013</v>
      </c>
      <c r="AB115" s="501">
        <f t="shared" ca="1" si="29"/>
        <v>18036.766188256013</v>
      </c>
      <c r="AC115" s="498" t="e">
        <f ca="1">IF(A115&gt;$A$1,#N/A,VLOOKUP(A115,Calculation!$B$8:$IV$881,155,FALSE))</f>
        <v>#N/A</v>
      </c>
      <c r="AD115" s="498" t="e">
        <f t="shared" ca="1" si="30"/>
        <v>#N/A</v>
      </c>
      <c r="AE115" s="498"/>
      <c r="AF115" s="501">
        <f>Calculation!G118</f>
        <v>1391.975663136848</v>
      </c>
      <c r="AG115" s="498" t="str">
        <f t="shared" si="31"/>
        <v>Yes</v>
      </c>
      <c r="AH115" s="498" t="str">
        <f t="shared" si="32"/>
        <v>Yes</v>
      </c>
      <c r="AK115" s="738">
        <v>17534.130000037887</v>
      </c>
      <c r="AL115" s="738">
        <v>25043.680000060609</v>
      </c>
      <c r="AM115" s="740">
        <v>24674.710000060266</v>
      </c>
      <c r="AR115" s="549"/>
      <c r="AS115" s="471">
        <f ca="1">IF(Summary!A115&lt;Calculation!FT118,FORECAST(20000,A109:A115,T109:T115),0)</f>
        <v>40706.428385246254</v>
      </c>
      <c r="AT115" s="581">
        <f>Calculation!AR118*3.068</f>
        <v>3718.4159999999979</v>
      </c>
      <c r="AU115" s="575">
        <f ca="1">Calculation!DA118</f>
        <v>1260.6201431254722</v>
      </c>
      <c r="AV115" s="575">
        <f>Calculation!CF118*3.068</f>
        <v>1540.7368686864443</v>
      </c>
      <c r="AW115" s="582">
        <f>Calculation!BK118*3.068</f>
        <v>1735.2607999999984</v>
      </c>
      <c r="AX115" s="524"/>
      <c r="AY115" s="816">
        <f>IF(Summary!A115&lt;Calculation!FT118,FORECAST(8333.33,A109:A115,AT109:AT115),0)</f>
        <v>40702.849353595724</v>
      </c>
      <c r="AZ115" s="559"/>
      <c r="BA115" s="534">
        <f ca="1">IF(Summary!A115&lt;Calculation!FT118,FORECAST(3888.89,A109:A115,AU109:AU115),0)</f>
        <v>40716.035855272101</v>
      </c>
      <c r="BB115" s="559"/>
      <c r="BC115" s="826">
        <f>IF(Summary!A115&lt;Calculation!FT118,FORECAST(3888.89,A109:A115,AV109:AV115),0)</f>
        <v>40708.194502627251</v>
      </c>
      <c r="BD115" s="559"/>
      <c r="BE115" s="847">
        <f>IF(Summary!A115&lt;Calculation!FT118,FORECAST(3888.89,A109:A115,AW109:AW115),0)</f>
        <v>40702.849422749598</v>
      </c>
    </row>
    <row r="116" spans="1:57" ht="13.5" thickBot="1">
      <c r="A116" s="513">
        <v>40648</v>
      </c>
      <c r="B116" s="498">
        <f t="shared" si="25"/>
        <v>80.443999999999988</v>
      </c>
      <c r="C116" s="498">
        <f>Calculation!AA119</f>
        <v>87.434327787610613</v>
      </c>
      <c r="D116" s="498">
        <f>Calculation!Y119</f>
        <v>0</v>
      </c>
      <c r="E116" s="498">
        <f>Calculation!U119</f>
        <v>43.315999999999995</v>
      </c>
      <c r="F116" s="498">
        <f>Calculation!V119</f>
        <v>37.128</v>
      </c>
      <c r="G116" s="498">
        <f>Calculation!W119</f>
        <v>59.714199999999998</v>
      </c>
      <c r="H116" s="500">
        <f>Sheet1!H119</f>
        <v>3.33</v>
      </c>
      <c r="I116" s="501">
        <f>Sheet1!CW119</f>
        <v>2085.2083333333335</v>
      </c>
      <c r="J116" s="501">
        <f>Sheet1!CX119</f>
        <v>1151.1458333333333</v>
      </c>
      <c r="K116" s="501">
        <f>Sheet1!CV119</f>
        <v>1170.5</v>
      </c>
      <c r="L116" s="501">
        <f>Calculation!F119</f>
        <v>250</v>
      </c>
      <c r="M116" s="501">
        <f>Calculation!E119</f>
        <v>250</v>
      </c>
      <c r="N116" s="501">
        <f>Calculation!D119</f>
        <v>300</v>
      </c>
      <c r="O116" s="500">
        <f>Sheet1!CY119</f>
        <v>1144.2</v>
      </c>
      <c r="P116" s="514" t="e">
        <f>Calculation!ET119</f>
        <v>#N/A</v>
      </c>
      <c r="Q116" s="498">
        <f>Calculation!DF119</f>
        <v>27922.800000069972</v>
      </c>
      <c r="R116" s="500">
        <f t="shared" si="21"/>
        <v>26702.800000069972</v>
      </c>
      <c r="S116" s="498">
        <f t="shared" si="26"/>
        <v>411.00000000204818</v>
      </c>
      <c r="T116" s="498">
        <f ca="1">IF(A116&gt;$A$1,#N/A,VLOOKUP(A116,Calculation!$B$8:$IV$881,30,FALSE))</f>
        <v>8428.4329828865011</v>
      </c>
      <c r="U116" s="498">
        <f t="shared" si="22"/>
        <v>0</v>
      </c>
      <c r="V116" s="498">
        <f>Calculation!AP119</f>
        <v>0</v>
      </c>
      <c r="W116" s="498">
        <f t="shared" si="27"/>
        <v>0</v>
      </c>
      <c r="X116" s="498">
        <v>0</v>
      </c>
      <c r="Y116" s="744">
        <f t="shared" si="23"/>
        <v>0</v>
      </c>
      <c r="Z116" s="748">
        <f t="shared" si="24"/>
        <v>0</v>
      </c>
      <c r="AA116" s="498">
        <f t="shared" ca="1" si="28"/>
        <v>19494.367017183471</v>
      </c>
      <c r="AB116" s="501">
        <f t="shared" ca="1" si="29"/>
        <v>18274.367017183471</v>
      </c>
      <c r="AC116" s="498" t="e">
        <f ca="1">IF(A116&gt;$A$1,#N/A,VLOOKUP(A116,Calculation!$B$8:$IV$881,155,FALSE))</f>
        <v>#N/A</v>
      </c>
      <c r="AD116" s="498" t="e">
        <f t="shared" ca="1" si="30"/>
        <v>#N/A</v>
      </c>
      <c r="AE116" s="498"/>
      <c r="AF116" s="501">
        <f>Calculation!G119</f>
        <v>1377.7617246606394</v>
      </c>
      <c r="AG116" s="498" t="str">
        <f t="shared" si="31"/>
        <v>Yes</v>
      </c>
      <c r="AH116" s="498" t="str">
        <f t="shared" si="32"/>
        <v>Yes</v>
      </c>
      <c r="AK116" s="738">
        <v>18194.280000040366</v>
      </c>
      <c r="AL116" s="738">
        <v>24938.260000060611</v>
      </c>
      <c r="AM116" s="740">
        <v>25352.410000060951</v>
      </c>
      <c r="AR116" s="549"/>
      <c r="AS116" s="471">
        <f ca="1">IF(Summary!A116&lt;Calculation!FT119,FORECAST(20000,A110:A116,T110:T116),0)</f>
        <v>40707.426566045964</v>
      </c>
      <c r="AT116" s="581">
        <f>Calculation!AR119*3.068</f>
        <v>3801.0474666666651</v>
      </c>
      <c r="AU116" s="575">
        <f ca="1">Calculation!DA119</f>
        <v>1280.4399316575696</v>
      </c>
      <c r="AV116" s="575">
        <f>Calculation!CF119*3.068</f>
        <v>1573.1234334511585</v>
      </c>
      <c r="AW116" s="582">
        <f>Calculation!BK119*3.068</f>
        <v>1773.8221511111094</v>
      </c>
      <c r="AX116" s="524"/>
      <c r="AY116" s="816">
        <f>IF(Summary!A116&lt;Calculation!FT119,FORECAST(8333.33,A110:A116,AT110:AT116),0)</f>
        <v>40702.849353595724</v>
      </c>
      <c r="AZ116" s="559"/>
      <c r="BA116" s="534">
        <f ca="1">IF(Summary!A116&lt;Calculation!FT119,FORECAST(3888.89,A110:A116,AU110:AU116),0)</f>
        <v>40720.365454837651</v>
      </c>
      <c r="BB116" s="559"/>
      <c r="BC116" s="826">
        <f>IF(Summary!A116&lt;Calculation!FT119,FORECAST(3888.89,A110:A116,AV110:AV116),0)</f>
        <v>40709.526501126631</v>
      </c>
      <c r="BD116" s="559"/>
      <c r="BE116" s="847">
        <f>IF(Summary!A116&lt;Calculation!FT119,FORECAST(3888.89,A110:A116,AW110:AW116),0)</f>
        <v>40702.849422749598</v>
      </c>
    </row>
    <row r="117" spans="1:57" ht="13.5" thickBot="1">
      <c r="A117" s="513">
        <v>40649</v>
      </c>
      <c r="B117" s="498">
        <f t="shared" si="25"/>
        <v>79.979899999995496</v>
      </c>
      <c r="C117" s="498">
        <f>Calculation!AA120</f>
        <v>86.66808586510264</v>
      </c>
      <c r="D117" s="498">
        <f>Calculation!Y120</f>
        <v>0</v>
      </c>
      <c r="E117" s="498">
        <f>Calculation!U120</f>
        <v>42.851899999995496</v>
      </c>
      <c r="F117" s="498">
        <f>Calculation!V120</f>
        <v>37.128</v>
      </c>
      <c r="G117" s="498">
        <f>Calculation!W120</f>
        <v>1.4851199999999998</v>
      </c>
      <c r="H117" s="500">
        <f>Sheet1!H120</f>
        <v>3.91</v>
      </c>
      <c r="I117" s="501">
        <f>Sheet1!CW120</f>
        <v>2115.7291666666665</v>
      </c>
      <c r="J117" s="501">
        <f>Sheet1!CX120</f>
        <v>1219.5833333333333</v>
      </c>
      <c r="K117" s="501">
        <f>Sheet1!CV120</f>
        <v>1207.2222222222222</v>
      </c>
      <c r="L117" s="501">
        <f>Calculation!F120</f>
        <v>250</v>
      </c>
      <c r="M117" s="501">
        <f>Calculation!E120</f>
        <v>250</v>
      </c>
      <c r="N117" s="501">
        <f>Calculation!D120</f>
        <v>300</v>
      </c>
      <c r="O117" s="500">
        <f>Sheet1!CY120</f>
        <v>1145.01</v>
      </c>
      <c r="P117" s="514" t="e">
        <f>Calculation!ET120</f>
        <v>#N/A</v>
      </c>
      <c r="Q117" s="498">
        <f>Calculation!DF120</f>
        <v>28598.520000072065</v>
      </c>
      <c r="R117" s="500">
        <f t="shared" si="21"/>
        <v>27378.520000072065</v>
      </c>
      <c r="S117" s="498">
        <f t="shared" si="26"/>
        <v>675.720000002093</v>
      </c>
      <c r="T117" s="498">
        <f ca="1">IF(A117&gt;$A$1,#N/A,VLOOKUP(A117,Calculation!$B$8:$IV$881,30,FALSE))</f>
        <v>8600.3125481315801</v>
      </c>
      <c r="U117" s="498">
        <f t="shared" si="22"/>
        <v>0</v>
      </c>
      <c r="V117" s="498">
        <f>Calculation!AP120</f>
        <v>0</v>
      </c>
      <c r="W117" s="498">
        <f t="shared" si="27"/>
        <v>0</v>
      </c>
      <c r="X117" s="498">
        <v>0</v>
      </c>
      <c r="Y117" s="744">
        <f t="shared" si="23"/>
        <v>0</v>
      </c>
      <c r="Z117" s="748">
        <f t="shared" si="24"/>
        <v>0</v>
      </c>
      <c r="AA117" s="498">
        <f t="shared" ca="1" si="28"/>
        <v>19998.207451940485</v>
      </c>
      <c r="AB117" s="501">
        <f t="shared" ca="1" si="29"/>
        <v>18778.207451940485</v>
      </c>
      <c r="AC117" s="498" t="e">
        <f ca="1">IF(A117&gt;$A$1,#N/A,VLOOKUP(A117,Calculation!$B$8:$IV$881,155,FALSE))</f>
        <v>#N/A</v>
      </c>
      <c r="AD117" s="498" t="e">
        <f t="shared" ca="1" si="30"/>
        <v>#N/A</v>
      </c>
      <c r="AE117" s="498"/>
      <c r="AF117" s="501">
        <f>Calculation!G120</f>
        <v>1547.9786518753199</v>
      </c>
      <c r="AG117" s="498" t="str">
        <f t="shared" si="31"/>
        <v>Yes</v>
      </c>
      <c r="AH117" s="498" t="str">
        <f t="shared" si="32"/>
        <v>Yes</v>
      </c>
      <c r="AK117" s="738">
        <v>17921.020000039174</v>
      </c>
      <c r="AL117" s="738">
        <v>24923.200000060609</v>
      </c>
      <c r="AM117" s="740">
        <v>26009.680000063181</v>
      </c>
      <c r="AR117" s="549"/>
      <c r="AS117" s="471">
        <f ca="1">IF(Summary!A117&lt;Calculation!FT120,FORECAST(20000,A111:A117,T111:T117),0)</f>
        <v>40708.991108158167</v>
      </c>
      <c r="AT117" s="581">
        <f>Calculation!AR120*3.068</f>
        <v>3883.6789333333318</v>
      </c>
      <c r="AU117" s="575">
        <f ca="1">Calculation!DA120</f>
        <v>1300.3387942894178</v>
      </c>
      <c r="AV117" s="575">
        <f>Calculation!CF120*3.068</f>
        <v>1603.9113182866097</v>
      </c>
      <c r="AW117" s="582">
        <f>Calculation!BK120*3.068</f>
        <v>1812.3835022222204</v>
      </c>
      <c r="AX117" s="524"/>
      <c r="AY117" s="816">
        <f>IF(Summary!A117&lt;Calculation!FT120,FORECAST(8333.33,A111:A117,AT111:AT117),0)</f>
        <v>40702.849353595724</v>
      </c>
      <c r="AZ117" s="559"/>
      <c r="BA117" s="534">
        <f ca="1">IF(Summary!A117&lt;Calculation!FT120,FORECAST(3888.89,A111:A117,AU111:AU117),0)</f>
        <v>40727.719587518666</v>
      </c>
      <c r="BB117" s="559"/>
      <c r="BC117" s="826">
        <f>IF(Summary!A117&lt;Calculation!FT120,FORECAST(3888.89,A111:A117,AV111:AV117),0)</f>
        <v>40711.836023764794</v>
      </c>
      <c r="BD117" s="559"/>
      <c r="BE117" s="847">
        <f>IF(Summary!A117&lt;Calculation!FT120,FORECAST(3888.89,A111:A117,AW111:AW117),0)</f>
        <v>40702.849422749598</v>
      </c>
    </row>
    <row r="118" spans="1:57" ht="13.5" thickBot="1">
      <c r="A118" s="513">
        <v>40650</v>
      </c>
      <c r="B118" s="498">
        <f t="shared" si="25"/>
        <v>80.768870000009912</v>
      </c>
      <c r="C118" s="498">
        <f>Calculation!AA121</f>
        <v>86.261809253981554</v>
      </c>
      <c r="D118" s="498">
        <f>Calculation!Y121</f>
        <v>0</v>
      </c>
      <c r="E118" s="498">
        <f>Calculation!U121</f>
        <v>42.480620000009907</v>
      </c>
      <c r="F118" s="498">
        <f>Calculation!V121</f>
        <v>38.288249999999998</v>
      </c>
      <c r="G118" s="498">
        <f>Calculation!W121</f>
        <v>0</v>
      </c>
      <c r="H118" s="500">
        <f>Sheet1!H121</f>
        <v>3.21</v>
      </c>
      <c r="I118" s="501">
        <f>Sheet1!CW121</f>
        <v>2112.6041666666665</v>
      </c>
      <c r="J118" s="501">
        <f>Sheet1!CX121</f>
        <v>1290.625</v>
      </c>
      <c r="K118" s="501">
        <f>Sheet1!CV121</f>
        <v>1252.2222222222222</v>
      </c>
      <c r="L118" s="501">
        <f>Calculation!F121</f>
        <v>250</v>
      </c>
      <c r="M118" s="501">
        <f>Calculation!E121</f>
        <v>250</v>
      </c>
      <c r="N118" s="501">
        <f>Calculation!D121</f>
        <v>300</v>
      </c>
      <c r="O118" s="500">
        <f>Sheet1!CY121</f>
        <v>1145.8399999999999</v>
      </c>
      <c r="P118" s="514" t="e">
        <f>Calculation!ET121</f>
        <v>#N/A</v>
      </c>
      <c r="Q118" s="498">
        <f>Calculation!DF121</f>
        <v>29305.680000072643</v>
      </c>
      <c r="R118" s="500">
        <f t="shared" si="21"/>
        <v>28085.680000072643</v>
      </c>
      <c r="S118" s="498">
        <f t="shared" si="26"/>
        <v>707.16000000057829</v>
      </c>
      <c r="T118" s="498">
        <f ca="1">IF(A118&gt;$A$1,#N/A,VLOOKUP(A118,Calculation!$B$8:$IV$881,30,FALSE))</f>
        <v>8771.386388332754</v>
      </c>
      <c r="U118" s="498">
        <f t="shared" si="22"/>
        <v>0</v>
      </c>
      <c r="V118" s="498">
        <f>Calculation!AP121</f>
        <v>0</v>
      </c>
      <c r="W118" s="498">
        <f t="shared" si="27"/>
        <v>0</v>
      </c>
      <c r="X118" s="498">
        <v>0</v>
      </c>
      <c r="Y118" s="744">
        <f t="shared" si="23"/>
        <v>0</v>
      </c>
      <c r="Z118" s="748">
        <f t="shared" si="24"/>
        <v>0</v>
      </c>
      <c r="AA118" s="498">
        <f t="shared" ca="1" si="28"/>
        <v>20534.293611739889</v>
      </c>
      <c r="AB118" s="501">
        <f t="shared" ca="1" si="29"/>
        <v>19314.293611739889</v>
      </c>
      <c r="AC118" s="498" t="e">
        <f ca="1">IF(A118&gt;$A$1,#N/A,VLOOKUP(A118,Calculation!$B$8:$IV$881,155,FALSE))</f>
        <v>#N/A</v>
      </c>
      <c r="AD118" s="498" t="e">
        <f t="shared" ca="1" si="30"/>
        <v>#N/A</v>
      </c>
      <c r="AE118" s="498"/>
      <c r="AF118" s="501">
        <f>Calculation!G121</f>
        <v>1608.8334173813639</v>
      </c>
      <c r="AG118" s="498" t="str">
        <f t="shared" si="31"/>
        <v>Yes</v>
      </c>
      <c r="AH118" s="498" t="str">
        <f t="shared" si="32"/>
        <v>Yes</v>
      </c>
      <c r="AK118" s="738">
        <v>17605.240000038797</v>
      </c>
      <c r="AL118" s="738">
        <v>25171.690000060778</v>
      </c>
      <c r="AM118" s="740">
        <v>26862.700000065634</v>
      </c>
      <c r="AR118" s="549"/>
      <c r="AS118" s="471">
        <f ca="1">IF(Summary!A118&lt;Calculation!FT121,FORECAST(20000,A112:A118,T112:T118),0)</f>
        <v>40710.915198214381</v>
      </c>
      <c r="AT118" s="581">
        <f>Calculation!AR121*3.068</f>
        <v>3966.3103999999985</v>
      </c>
      <c r="AU118" s="575">
        <f ca="1">Calculation!DA121</f>
        <v>1319.6782124583665</v>
      </c>
      <c r="AV118" s="575">
        <f>Calculation!CF121*3.068</f>
        <v>1634.452922541057</v>
      </c>
      <c r="AW118" s="582">
        <f>Calculation!BK121*3.068</f>
        <v>1850.9448533333314</v>
      </c>
      <c r="AX118" s="524"/>
      <c r="AY118" s="816">
        <f>IF(Summary!A118&lt;Calculation!FT121,FORECAST(8333.33,A112:A118,AT112:AT118),0)</f>
        <v>40702.849353595724</v>
      </c>
      <c r="AZ118" s="559"/>
      <c r="BA118" s="534">
        <f ca="1">IF(Summary!A118&lt;Calculation!FT121,FORECAST(3888.89,A112:A118,AU112:AU118),0)</f>
        <v>40738.685125714997</v>
      </c>
      <c r="BB118" s="559"/>
      <c r="BC118" s="826">
        <f>IF(Summary!A118&lt;Calculation!FT121,FORECAST(3888.89,A112:A118,AV112:AV118),0)</f>
        <v>40714.876552698173</v>
      </c>
      <c r="BD118" s="559"/>
      <c r="BE118" s="847">
        <f>IF(Summary!A118&lt;Calculation!FT121,FORECAST(3888.89,A112:A118,AW112:AW118),0)</f>
        <v>40702.849422749598</v>
      </c>
    </row>
    <row r="119" spans="1:57" ht="13.5" thickBot="1">
      <c r="A119" s="513">
        <v>40651</v>
      </c>
      <c r="B119" s="498">
        <f t="shared" si="25"/>
        <v>77.489229999994592</v>
      </c>
      <c r="C119" s="498">
        <f>Calculation!AA122</f>
        <v>84.937014512428291</v>
      </c>
      <c r="D119" s="498">
        <f>Calculation!Y122</f>
        <v>0</v>
      </c>
      <c r="E119" s="498">
        <f>Calculation!U122</f>
        <v>41.521479999994597</v>
      </c>
      <c r="F119" s="498">
        <f>Calculation!V122</f>
        <v>35.967749999999995</v>
      </c>
      <c r="G119" s="498">
        <f>Calculation!W122</f>
        <v>0</v>
      </c>
      <c r="H119" s="500">
        <f>Sheet1!H122</f>
        <v>2.0099999999999998</v>
      </c>
      <c r="I119" s="501">
        <f>Sheet1!CW122</f>
        <v>2162.8125</v>
      </c>
      <c r="J119" s="501">
        <f>Sheet1!CX122</f>
        <v>1274.6875</v>
      </c>
      <c r="K119" s="501">
        <f>Sheet1!CV122</f>
        <v>1296.1111111111111</v>
      </c>
      <c r="L119" s="501">
        <f>Calculation!F122</f>
        <v>250</v>
      </c>
      <c r="M119" s="501">
        <f>Calculation!E122</f>
        <v>250</v>
      </c>
      <c r="N119" s="501">
        <f>Calculation!D122</f>
        <v>300</v>
      </c>
      <c r="O119" s="500">
        <f>Sheet1!CY122</f>
        <v>1146.3900000000001</v>
      </c>
      <c r="P119" s="514" t="e">
        <f>Calculation!ET122</f>
        <v>#N/A</v>
      </c>
      <c r="Q119" s="498">
        <f>Calculation!DF122</f>
        <v>29779.350000074344</v>
      </c>
      <c r="R119" s="500">
        <f t="shared" si="21"/>
        <v>28559.350000074344</v>
      </c>
      <c r="S119" s="498">
        <f t="shared" si="26"/>
        <v>473.67000000170083</v>
      </c>
      <c r="T119" s="498">
        <f ca="1">IF(A119&gt;$A$1,#N/A,VLOOKUP(A119,Calculation!$B$8:$IV$881,30,FALSE))</f>
        <v>8939.832904508663</v>
      </c>
      <c r="U119" s="498">
        <f t="shared" si="22"/>
        <v>0</v>
      </c>
      <c r="V119" s="498">
        <f>Calculation!AP122</f>
        <v>0</v>
      </c>
      <c r="W119" s="498">
        <f t="shared" si="27"/>
        <v>0</v>
      </c>
      <c r="X119" s="498">
        <v>0</v>
      </c>
      <c r="Y119" s="744">
        <f t="shared" si="23"/>
        <v>0</v>
      </c>
      <c r="Z119" s="748">
        <f t="shared" si="24"/>
        <v>0</v>
      </c>
      <c r="AA119" s="498">
        <f t="shared" ca="1" si="28"/>
        <v>20839.517095565679</v>
      </c>
      <c r="AB119" s="501">
        <f t="shared" ca="1" si="29"/>
        <v>19619.517095565679</v>
      </c>
      <c r="AC119" s="498" t="e">
        <f ca="1">IF(A119&gt;$A$1,#N/A,VLOOKUP(A119,Calculation!$B$8:$IV$881,155,FALSE))</f>
        <v>#N/A</v>
      </c>
      <c r="AD119" s="498" t="e">
        <f t="shared" ca="1" si="30"/>
        <v>#N/A</v>
      </c>
      <c r="AE119" s="498"/>
      <c r="AF119" s="501">
        <f>Calculation!G122</f>
        <v>1534.9764666339051</v>
      </c>
      <c r="AG119" s="498" t="str">
        <f t="shared" si="31"/>
        <v>Yes</v>
      </c>
      <c r="AH119" s="498" t="str">
        <f t="shared" si="32"/>
        <v>Yes</v>
      </c>
      <c r="AK119" s="738">
        <v>17583.080000038797</v>
      </c>
      <c r="AL119" s="738">
        <v>25284.640000060954</v>
      </c>
      <c r="AM119" s="740">
        <v>27723.440000068109</v>
      </c>
      <c r="AR119" s="549"/>
      <c r="AS119" s="471">
        <f ca="1">IF(Summary!A119&lt;Calculation!FT122,FORECAST(20000,A113:A119,T113:T119),0)</f>
        <v>40713.008303154005</v>
      </c>
      <c r="AT119" s="581">
        <f>Calculation!AR122*3.068</f>
        <v>4048.9418666666652</v>
      </c>
      <c r="AU119" s="575">
        <f ca="1">Calculation!DA122</f>
        <v>1335.2445222692863</v>
      </c>
      <c r="AV119" s="575">
        <f>Calculation!CF122*3.068</f>
        <v>1666.1403111282673</v>
      </c>
      <c r="AW119" s="582">
        <f>Calculation!BK122*3.068</f>
        <v>1889.5062044444426</v>
      </c>
      <c r="AX119" s="524"/>
      <c r="AY119" s="816">
        <f>IF(Summary!A119&lt;Calculation!FT122,FORECAST(8333.33,A113:A119,AT113:AT119),0)</f>
        <v>40702.849353595724</v>
      </c>
      <c r="AZ119" s="559"/>
      <c r="BA119" s="534">
        <f ca="1">IF(Summary!A119&lt;Calculation!FT122,FORECAST(3888.89,A113:A119,AU113:AU119),0)</f>
        <v>40755.070762112686</v>
      </c>
      <c r="BB119" s="559"/>
      <c r="BC119" s="826">
        <f>IF(Summary!A119&lt;Calculation!FT122,FORECAST(3888.89,A113:A119,AV113:AV119),0)</f>
        <v>40718.011019128578</v>
      </c>
      <c r="BD119" s="559"/>
      <c r="BE119" s="847">
        <f>IF(Summary!A119&lt;Calculation!FT122,FORECAST(3888.89,A113:A119,AW113:AW119),0)</f>
        <v>40702.849422749598</v>
      </c>
    </row>
    <row r="120" spans="1:57" ht="13.5" thickBot="1">
      <c r="A120" s="513">
        <v>40652</v>
      </c>
      <c r="B120" s="498">
        <f t="shared" si="25"/>
        <v>81.990999999999985</v>
      </c>
      <c r="C120" s="498">
        <f>Calculation!AA123</f>
        <v>86.123059044425816</v>
      </c>
      <c r="D120" s="498">
        <f>Calculation!Y123</f>
        <v>0</v>
      </c>
      <c r="E120" s="498">
        <f>Calculation!U123</f>
        <v>43.315999999999995</v>
      </c>
      <c r="F120" s="498">
        <f>Calculation!V123</f>
        <v>38.674999999999997</v>
      </c>
      <c r="G120" s="498">
        <f>Calculation!W123</f>
        <v>0</v>
      </c>
      <c r="H120" s="500">
        <f>Sheet1!H123</f>
        <v>1.73</v>
      </c>
      <c r="I120" s="501">
        <f>Sheet1!CW123</f>
        <v>1994.6875</v>
      </c>
      <c r="J120" s="501">
        <f>Sheet1!CX123</f>
        <v>1174.0625</v>
      </c>
      <c r="K120" s="501">
        <f>Sheet1!CV123</f>
        <v>1218.8888888888889</v>
      </c>
      <c r="L120" s="501">
        <f>Calculation!F123</f>
        <v>250</v>
      </c>
      <c r="M120" s="501">
        <f>Calculation!E123</f>
        <v>250</v>
      </c>
      <c r="N120" s="501">
        <f>Calculation!D123</f>
        <v>300</v>
      </c>
      <c r="O120" s="500">
        <f>Sheet1!CY123</f>
        <v>1146.69</v>
      </c>
      <c r="P120" s="514" t="e">
        <f>Calculation!ET123</f>
        <v>#N/A</v>
      </c>
      <c r="Q120" s="498">
        <f>Calculation!DF123</f>
        <v>30038.850000074541</v>
      </c>
      <c r="R120" s="500">
        <f t="shared" si="21"/>
        <v>28818.850000074541</v>
      </c>
      <c r="S120" s="498">
        <f t="shared" si="26"/>
        <v>259.50000000019645</v>
      </c>
      <c r="T120" s="498">
        <f ca="1">IF(A120&gt;$A$1,#N/A,VLOOKUP(A120,Calculation!$B$8:$IV$881,30,FALSE))</f>
        <v>9110.6315762270187</v>
      </c>
      <c r="U120" s="498">
        <f t="shared" si="22"/>
        <v>0</v>
      </c>
      <c r="V120" s="498">
        <f>Calculation!AP123</f>
        <v>0</v>
      </c>
      <c r="W120" s="498">
        <f t="shared" si="27"/>
        <v>0</v>
      </c>
      <c r="X120" s="498">
        <v>0</v>
      </c>
      <c r="Y120" s="744">
        <f t="shared" si="23"/>
        <v>0</v>
      </c>
      <c r="Z120" s="748">
        <f t="shared" si="24"/>
        <v>0</v>
      </c>
      <c r="AA120" s="498">
        <f t="shared" ca="1" si="28"/>
        <v>20928.218423847524</v>
      </c>
      <c r="AB120" s="501">
        <f t="shared" ca="1" si="29"/>
        <v>19708.218423847524</v>
      </c>
      <c r="AC120" s="498" t="e">
        <f ca="1">IF(A120&gt;$A$1,#N/A,VLOOKUP(A120,Calculation!$B$8:$IV$881,155,FALSE))</f>
        <v>#N/A</v>
      </c>
      <c r="AD120" s="498" t="e">
        <f t="shared" ca="1" si="30"/>
        <v>#N/A</v>
      </c>
      <c r="AE120" s="498"/>
      <c r="AF120" s="501">
        <f>Calculation!G123</f>
        <v>1349.7512186923163</v>
      </c>
      <c r="AG120" s="498" t="str">
        <f t="shared" si="31"/>
        <v>Yes</v>
      </c>
      <c r="AH120" s="498" t="str">
        <f t="shared" si="32"/>
        <v>Yes</v>
      </c>
      <c r="AK120" s="738">
        <v>17749.280000038925</v>
      </c>
      <c r="AL120" s="738">
        <v>25707.820000063002</v>
      </c>
      <c r="AM120" s="740">
        <v>28539.96000007054</v>
      </c>
      <c r="AR120" s="549"/>
      <c r="AS120" s="471">
        <f ca="1">IF(Summary!A120&lt;Calculation!FT123,FORECAST(20000,A114:A120,T114:T120),0)</f>
        <v>40714.77411940552</v>
      </c>
      <c r="AT120" s="581">
        <f>Calculation!AR123*3.068</f>
        <v>4131.5733333333319</v>
      </c>
      <c r="AU120" s="575">
        <f ca="1">Calculation!DA123</f>
        <v>1354.4219253502215</v>
      </c>
      <c r="AV120" s="575">
        <f>Calculation!CF123*3.068</f>
        <v>1696.5687619879118</v>
      </c>
      <c r="AW120" s="582">
        <f>Calculation!BK123*3.068</f>
        <v>1928.0675555555536</v>
      </c>
      <c r="AX120" s="524"/>
      <c r="AY120" s="816">
        <f>IF(Summary!A120&lt;Calculation!FT123,FORECAST(8333.33,A114:A120,AT114:AT120),0)</f>
        <v>40702.849353595724</v>
      </c>
      <c r="AZ120" s="559"/>
      <c r="BA120" s="534">
        <f ca="1">IF(Summary!A120&lt;Calculation!FT123,FORECAST(3888.89,A114:A120,AU114:AU120),0)</f>
        <v>40774.662569167733</v>
      </c>
      <c r="BB120" s="559"/>
      <c r="BC120" s="826">
        <f>IF(Summary!A120&lt;Calculation!FT123,FORECAST(3888.89,A114:A120,AV114:AV120),0)</f>
        <v>40720.911537851163</v>
      </c>
      <c r="BD120" s="559"/>
      <c r="BE120" s="847">
        <f>IF(Summary!A120&lt;Calculation!FT123,FORECAST(3888.89,A114:A120,AW114:AW120),0)</f>
        <v>40702.849422749598</v>
      </c>
    </row>
    <row r="121" spans="1:57" ht="13.5" thickBot="1">
      <c r="A121" s="513">
        <v>40653</v>
      </c>
      <c r="B121" s="498">
        <f t="shared" si="25"/>
        <v>82.362280000008099</v>
      </c>
      <c r="C121" s="498">
        <f>Calculation!AA124</f>
        <v>87.19389580310731</v>
      </c>
      <c r="D121" s="498">
        <f>Calculation!Y124</f>
        <v>0</v>
      </c>
      <c r="E121" s="498">
        <f>Calculation!U124</f>
        <v>43.609930000003601</v>
      </c>
      <c r="F121" s="498">
        <f>Calculation!V124</f>
        <v>38.752350000004498</v>
      </c>
      <c r="G121" s="498">
        <f>Calculation!W124</f>
        <v>0</v>
      </c>
      <c r="H121" s="500">
        <f>Sheet1!H124</f>
        <v>2.12</v>
      </c>
      <c r="I121" s="501">
        <f>Sheet1!CW124</f>
        <v>1917.1875</v>
      </c>
      <c r="J121" s="501">
        <f>Sheet1!CX124</f>
        <v>1072.8854166666667</v>
      </c>
      <c r="K121" s="501">
        <f>Sheet1!CV124</f>
        <v>1164.5454545454545</v>
      </c>
      <c r="L121" s="501">
        <f>Calculation!F124</f>
        <v>250</v>
      </c>
      <c r="M121" s="501">
        <f>Calculation!E124</f>
        <v>250</v>
      </c>
      <c r="N121" s="501">
        <f>Calculation!D124</f>
        <v>300</v>
      </c>
      <c r="O121" s="500">
        <f>Sheet1!CY124</f>
        <v>1146.92</v>
      </c>
      <c r="P121" s="514" t="e">
        <f>Calculation!ET124</f>
        <v>#N/A</v>
      </c>
      <c r="Q121" s="498">
        <f>Calculation!DF124</f>
        <v>30237.800000074738</v>
      </c>
      <c r="R121" s="500">
        <f t="shared" si="21"/>
        <v>29017.800000074738</v>
      </c>
      <c r="S121" s="498">
        <f t="shared" si="26"/>
        <v>198.95000000019718</v>
      </c>
      <c r="T121" s="498">
        <f ca="1">IF(A121&gt;$A$1,#N/A,VLOOKUP(A121,Calculation!$B$8:$IV$881,30,FALSE))</f>
        <v>9283.5539242062896</v>
      </c>
      <c r="U121" s="498">
        <f t="shared" si="22"/>
        <v>0</v>
      </c>
      <c r="V121" s="498">
        <f>Calculation!AP124</f>
        <v>0</v>
      </c>
      <c r="W121" s="498">
        <f t="shared" si="27"/>
        <v>0</v>
      </c>
      <c r="X121" s="498">
        <v>0</v>
      </c>
      <c r="Y121" s="744">
        <f t="shared" si="23"/>
        <v>0</v>
      </c>
      <c r="Z121" s="748">
        <f t="shared" si="24"/>
        <v>0</v>
      </c>
      <c r="AA121" s="498">
        <f t="shared" ca="1" si="28"/>
        <v>20954.246075868446</v>
      </c>
      <c r="AB121" s="501">
        <f t="shared" ca="1" si="29"/>
        <v>19734.246075868446</v>
      </c>
      <c r="AC121" s="498" t="e">
        <f ca="1">IF(A121&gt;$A$1,#N/A,VLOOKUP(A121,Calculation!$B$8:$IV$881,155,FALSE))</f>
        <v>#N/A</v>
      </c>
      <c r="AD121" s="498" t="e">
        <f t="shared" ca="1" si="30"/>
        <v>#N/A</v>
      </c>
      <c r="AE121" s="498"/>
      <c r="AF121" s="501">
        <f>Calculation!G124</f>
        <v>1264.8732407281057</v>
      </c>
      <c r="AG121" s="498" t="str">
        <f t="shared" si="31"/>
        <v>Yes</v>
      </c>
      <c r="AH121" s="498" t="str">
        <f t="shared" si="32"/>
        <v>Yes</v>
      </c>
      <c r="AK121" s="738">
        <v>17727.120000038925</v>
      </c>
      <c r="AL121" s="738">
        <v>26017.420000063179</v>
      </c>
      <c r="AM121" s="740">
        <v>29632.300000074149</v>
      </c>
      <c r="AR121" s="549"/>
      <c r="AS121" s="471">
        <f ca="1">IF(Summary!A121&lt;Calculation!FT124,FORECAST(20000,A115:A121,T115:T121),0)</f>
        <v>40715.652044712639</v>
      </c>
      <c r="AT121" s="581">
        <f>Calculation!AR124*3.068</f>
        <v>4214.2047999999995</v>
      </c>
      <c r="AU121" s="575">
        <f ca="1">Calculation!DA124</f>
        <v>1374.4820992592579</v>
      </c>
      <c r="AV121" s="575">
        <f>Calculation!CF124*3.068</f>
        <v>1728.2381182803692</v>
      </c>
      <c r="AW121" s="582">
        <f>Calculation!BK124*3.068</f>
        <v>1966.6289066666645</v>
      </c>
      <c r="AX121" s="524"/>
      <c r="AY121" s="816">
        <f>IF(Summary!A121&lt;Calculation!FT124,FORECAST(8333.33,A115:A121,AT115:AT121),0)</f>
        <v>40702.849353595724</v>
      </c>
      <c r="AZ121" s="559"/>
      <c r="BA121" s="534">
        <f ca="1">IF(Summary!A121&lt;Calculation!FT124,FORECAST(3888.89,A115:A121,AU115:AU121),0)</f>
        <v>40787.141354883206</v>
      </c>
      <c r="BB121" s="559"/>
      <c r="BC121" s="826">
        <f>IF(Summary!A121&lt;Calculation!FT124,FORECAST(3888.89,A115:A121,AV115:AV121),0)</f>
        <v>40722.408982078814</v>
      </c>
      <c r="BD121" s="559"/>
      <c r="BE121" s="847">
        <f>IF(Summary!A121&lt;Calculation!FT124,FORECAST(3888.89,A115:A121,AW115:AW121),0)</f>
        <v>40702.849422749598</v>
      </c>
    </row>
    <row r="122" spans="1:57" ht="13.5" thickBot="1">
      <c r="A122" s="513">
        <v>40654</v>
      </c>
      <c r="B122" s="498">
        <f t="shared" si="25"/>
        <v>94.599050000002251</v>
      </c>
      <c r="C122" s="498">
        <f>Calculation!AA125</f>
        <v>86.665752727273343</v>
      </c>
      <c r="D122" s="498">
        <f>Calculation!Y125</f>
        <v>0</v>
      </c>
      <c r="E122" s="498">
        <f>Calculation!U125</f>
        <v>45.713850000004498</v>
      </c>
      <c r="F122" s="498">
        <f>Calculation!V125</f>
        <v>48.885199999997745</v>
      </c>
      <c r="G122" s="498">
        <f>Calculation!W125</f>
        <v>0</v>
      </c>
      <c r="H122" s="500">
        <f>Sheet1!H125</f>
        <v>2.0299999999999998</v>
      </c>
      <c r="I122" s="501">
        <f>Sheet1!CW125</f>
        <v>1718.0208333333333</v>
      </c>
      <c r="J122" s="501">
        <f>Sheet1!CX125</f>
        <v>997.09375</v>
      </c>
      <c r="K122" s="501">
        <f>Sheet1!CV125</f>
        <v>1068.6363636363637</v>
      </c>
      <c r="L122" s="501">
        <f>Calculation!F125</f>
        <v>250</v>
      </c>
      <c r="M122" s="501">
        <f>Calculation!E125</f>
        <v>250</v>
      </c>
      <c r="N122" s="501">
        <f>Calculation!D125</f>
        <v>300</v>
      </c>
      <c r="O122" s="500">
        <f>Sheet1!CY125</f>
        <v>1147.1500000000001</v>
      </c>
      <c r="P122" s="514" t="e">
        <f>Calculation!ET125</f>
        <v>#N/A</v>
      </c>
      <c r="Q122" s="498">
        <f>Calculation!DF125</f>
        <v>30438.70000007606</v>
      </c>
      <c r="R122" s="500">
        <f t="shared" si="21"/>
        <v>29218.70000007606</v>
      </c>
      <c r="S122" s="498">
        <f t="shared" si="26"/>
        <v>200.90000000132204</v>
      </c>
      <c r="T122" s="498">
        <f ca="1">IF(A122&gt;$A$1,#N/A,VLOOKUP(A122,Calculation!$B$8:$IV$881,30,FALSE))</f>
        <v>9455.4288623881112</v>
      </c>
      <c r="U122" s="498">
        <f t="shared" si="22"/>
        <v>0</v>
      </c>
      <c r="V122" s="498">
        <f>Calculation!AP125</f>
        <v>0</v>
      </c>
      <c r="W122" s="498">
        <f t="shared" si="27"/>
        <v>0</v>
      </c>
      <c r="X122" s="498">
        <v>0</v>
      </c>
      <c r="Y122" s="744">
        <f t="shared" si="23"/>
        <v>0</v>
      </c>
      <c r="Z122" s="748">
        <f t="shared" si="24"/>
        <v>0</v>
      </c>
      <c r="AA122" s="498">
        <f t="shared" ca="1" si="28"/>
        <v>20983.271137687949</v>
      </c>
      <c r="AB122" s="501">
        <f t="shared" ca="1" si="29"/>
        <v>19763.271137687949</v>
      </c>
      <c r="AC122" s="498" t="e">
        <f ca="1">IF(A122&gt;$A$1,#N/A,VLOOKUP(A122,Calculation!$B$8:$IV$881,155,FALSE))</f>
        <v>#N/A</v>
      </c>
      <c r="AD122" s="498" t="e">
        <f t="shared" ca="1" si="30"/>
        <v>#N/A</v>
      </c>
      <c r="AE122" s="498"/>
      <c r="AF122" s="501">
        <f>Calculation!G125</f>
        <v>1169.9475083672371</v>
      </c>
      <c r="AG122" s="498" t="str">
        <f t="shared" si="31"/>
        <v>Yes</v>
      </c>
      <c r="AH122" s="498" t="str">
        <f t="shared" si="32"/>
        <v>Yes</v>
      </c>
      <c r="AK122" s="738">
        <v>17458.390000037762</v>
      </c>
      <c r="AL122" s="738">
        <v>26228.300000064912</v>
      </c>
      <c r="AM122" s="740">
        <v>31149.880000076661</v>
      </c>
      <c r="AR122" s="549"/>
      <c r="AS122" s="471">
        <f ca="1">IF(Summary!A122&lt;Calculation!FT125,FORECAST(20000,A116:A122,T116:T122),0)</f>
        <v>40715.68704842338</v>
      </c>
      <c r="AT122" s="581">
        <f>Calculation!AR125*3.068</f>
        <v>4296.8362666666662</v>
      </c>
      <c r="AU122" s="575">
        <f ca="1">Calculation!DA125</f>
        <v>1394.3958821407045</v>
      </c>
      <c r="AV122" s="575">
        <f>Calculation!CF125*3.068</f>
        <v>1759.006455802964</v>
      </c>
      <c r="AW122" s="582">
        <f>Calculation!BK125*3.068</f>
        <v>2005.1902577777755</v>
      </c>
      <c r="AX122" s="524"/>
      <c r="AY122" s="816">
        <f>IF(Summary!A122&lt;Calculation!FT125,FORECAST(8333.33,A116:A122,AT116:AT122),0)</f>
        <v>40702.849353595724</v>
      </c>
      <c r="AZ122" s="559"/>
      <c r="BA122" s="534">
        <f ca="1">IF(Summary!A122&lt;Calculation!FT125,FORECAST(3888.89,A116:A122,AU116:AU122),0)</f>
        <v>40787.002826064447</v>
      </c>
      <c r="BB122" s="559"/>
      <c r="BC122" s="826">
        <f>IF(Summary!A122&lt;Calculation!FT125,FORECAST(3888.89,A116:A122,AV116:AV122),0)</f>
        <v>40722.672725016484</v>
      </c>
      <c r="BD122" s="559"/>
      <c r="BE122" s="847">
        <f>IF(Summary!A122&lt;Calculation!FT125,FORECAST(3888.89,A116:A122,AW116:AW122),0)</f>
        <v>40702.849422749598</v>
      </c>
    </row>
    <row r="123" spans="1:57" ht="13.5" thickBot="1">
      <c r="A123" s="513">
        <v>40655</v>
      </c>
      <c r="B123" s="498">
        <f t="shared" si="25"/>
        <v>89.12266999998964</v>
      </c>
      <c r="C123" s="498">
        <f>Calculation!AA126</f>
        <v>86.39941933631691</v>
      </c>
      <c r="D123" s="498">
        <f>Calculation!Y126</f>
        <v>0</v>
      </c>
      <c r="E123" s="498">
        <f>Calculation!U126</f>
        <v>46.812219999991896</v>
      </c>
      <c r="F123" s="498">
        <f>Calculation!V126</f>
        <v>42.310449999997743</v>
      </c>
      <c r="G123" s="498">
        <f>Calculation!W126</f>
        <v>0</v>
      </c>
      <c r="H123" s="500">
        <f>Sheet1!H126</f>
        <v>1.04</v>
      </c>
      <c r="I123" s="501">
        <f>Sheet1!CW126</f>
        <v>1741.25</v>
      </c>
      <c r="J123" s="501">
        <f>Sheet1!CX126</f>
        <v>970.82291666666663</v>
      </c>
      <c r="K123" s="501">
        <f>Sheet1!CV126</f>
        <v>1041.8181818181818</v>
      </c>
      <c r="L123" s="501">
        <f>Calculation!F126</f>
        <v>250</v>
      </c>
      <c r="M123" s="501">
        <f>Calculation!E126</f>
        <v>250</v>
      </c>
      <c r="N123" s="501">
        <f>Calculation!D126</f>
        <v>300</v>
      </c>
      <c r="O123" s="500">
        <f>Sheet1!CY126</f>
        <v>1147.22</v>
      </c>
      <c r="P123" s="514" t="e">
        <f>Calculation!ET126</f>
        <v>#N/A</v>
      </c>
      <c r="Q123" s="498">
        <f>Calculation!DF126</f>
        <v>30500.160000076059</v>
      </c>
      <c r="R123" s="500">
        <f t="shared" si="21"/>
        <v>29280.160000076059</v>
      </c>
      <c r="S123" s="498">
        <f t="shared" si="26"/>
        <v>61.459999999999127</v>
      </c>
      <c r="T123" s="498">
        <f ca="1">IF(A123&gt;$A$1,#N/A,VLOOKUP(A123,Calculation!$B$8:$IV$881,30,FALSE))</f>
        <v>9626.7756099794606</v>
      </c>
      <c r="U123" s="498">
        <f t="shared" si="22"/>
        <v>0</v>
      </c>
      <c r="V123" s="498">
        <f>Calculation!AP126</f>
        <v>0</v>
      </c>
      <c r="W123" s="498">
        <f t="shared" si="27"/>
        <v>0</v>
      </c>
      <c r="X123" s="498">
        <v>0</v>
      </c>
      <c r="Y123" s="744">
        <f t="shared" si="23"/>
        <v>0</v>
      </c>
      <c r="Z123" s="748">
        <f t="shared" si="24"/>
        <v>0</v>
      </c>
      <c r="AA123" s="498">
        <f t="shared" ca="1" si="28"/>
        <v>20873.384390096599</v>
      </c>
      <c r="AB123" s="501">
        <f t="shared" ca="1" si="29"/>
        <v>19653.384390096599</v>
      </c>
      <c r="AC123" s="498" t="e">
        <f ca="1">IF(A123&gt;$A$1,#N/A,VLOOKUP(A123,Calculation!$B$8:$IV$881,155,FALSE))</f>
        <v>#N/A</v>
      </c>
      <c r="AD123" s="498" t="e">
        <f t="shared" ca="1" si="30"/>
        <v>#N/A</v>
      </c>
      <c r="AE123" s="498"/>
      <c r="AF123" s="501">
        <f>Calculation!G126</f>
        <v>1072.8116260945303</v>
      </c>
      <c r="AG123" s="498" t="str">
        <f t="shared" si="31"/>
        <v>Yes</v>
      </c>
      <c r="AH123" s="498" t="str">
        <f t="shared" si="32"/>
        <v>Yes</v>
      </c>
      <c r="AK123" s="738">
        <v>17285.270000037643</v>
      </c>
      <c r="AL123" s="738">
        <v>26902.350000065631</v>
      </c>
      <c r="AM123" s="740">
        <v>32059.160000078693</v>
      </c>
      <c r="AR123" s="549"/>
      <c r="AS123" s="471">
        <f ca="1">IF(Summary!A123&lt;Calculation!FT126,FORECAST(20000,A117:A123,T117:T123),0)</f>
        <v>40715.626016465205</v>
      </c>
      <c r="AT123" s="581">
        <f>Calculation!AR126*3.068</f>
        <v>4379.4677333333329</v>
      </c>
      <c r="AU123" s="575">
        <f ca="1">Calculation!DA126</f>
        <v>1414.0603207984236</v>
      </c>
      <c r="AV123" s="575">
        <f>Calculation!CF126*3.068</f>
        <v>1789.495946958818</v>
      </c>
      <c r="AW123" s="582">
        <f>Calculation!BK126*3.068</f>
        <v>2043.7516088888867</v>
      </c>
      <c r="AX123" s="524"/>
      <c r="AY123" s="816">
        <f>IF(Summary!A123&lt;Calculation!FT126,FORECAST(8333.33,A117:A123,AT117:AT123),0)</f>
        <v>40702.849353595724</v>
      </c>
      <c r="AZ123" s="559"/>
      <c r="BA123" s="534">
        <f ca="1">IF(Summary!A123&lt;Calculation!FT126,FORECAST(3888.89,A117:A123,AU117:AU123),0)</f>
        <v>40785.69594848527</v>
      </c>
      <c r="BB123" s="559"/>
      <c r="BC123" s="826">
        <f>IF(Summary!A123&lt;Calculation!FT126,FORECAST(3888.89,A117:A123,AV117:AV123),0)</f>
        <v>40722.713318797476</v>
      </c>
      <c r="BD123" s="559"/>
      <c r="BE123" s="847">
        <f>IF(Summary!A123&lt;Calculation!FT126,FORECAST(3888.89,A117:A123,AW117:AW123),0)</f>
        <v>40702.849422749598</v>
      </c>
    </row>
    <row r="124" spans="1:57" ht="13.5" thickBot="1">
      <c r="A124" s="513">
        <v>40656</v>
      </c>
      <c r="B124" s="498">
        <f t="shared" si="25"/>
        <v>85.085000000000008</v>
      </c>
      <c r="C124" s="498">
        <f>Calculation!AA127</f>
        <v>87.210392336936266</v>
      </c>
      <c r="D124" s="498">
        <f>Calculation!Y127</f>
        <v>0</v>
      </c>
      <c r="E124" s="498">
        <f>Calculation!U127</f>
        <v>44.863</v>
      </c>
      <c r="F124" s="498">
        <f>Calculation!V127</f>
        <v>40.222000000000001</v>
      </c>
      <c r="G124" s="498">
        <f>Calculation!W127</f>
        <v>0</v>
      </c>
      <c r="H124" s="500">
        <f>Sheet1!H127</f>
        <v>0.92</v>
      </c>
      <c r="I124" s="501">
        <f>Sheet1!CW127</f>
        <v>1577.5</v>
      </c>
      <c r="J124" s="501">
        <f>Sheet1!CX127</f>
        <v>886.91666666666663</v>
      </c>
      <c r="K124" s="501">
        <f>Sheet1!CV127</f>
        <v>959.77272727272725</v>
      </c>
      <c r="L124" s="501">
        <f>Calculation!F127</f>
        <v>250</v>
      </c>
      <c r="M124" s="501">
        <f>Calculation!E127</f>
        <v>250</v>
      </c>
      <c r="N124" s="501">
        <f>Calculation!D127</f>
        <v>300</v>
      </c>
      <c r="O124" s="500">
        <f>Sheet1!CY127</f>
        <v>1147.4000000000001</v>
      </c>
      <c r="P124" s="514" t="e">
        <f>Calculation!ET127</f>
        <v>#N/A</v>
      </c>
      <c r="Q124" s="498">
        <f>Calculation!DF127</f>
        <v>30658.20000007626</v>
      </c>
      <c r="R124" s="500">
        <f t="shared" si="21"/>
        <v>29438.20000007626</v>
      </c>
      <c r="S124" s="498">
        <f t="shared" si="26"/>
        <v>158.04000000020096</v>
      </c>
      <c r="T124" s="498">
        <f ca="1">IF(A124&gt;$A$1,#N/A,VLOOKUP(A124,Calculation!$B$8:$IV$881,30,FALSE))</f>
        <v>9799.7306737737217</v>
      </c>
      <c r="U124" s="498">
        <f t="shared" si="22"/>
        <v>0</v>
      </c>
      <c r="V124" s="498">
        <f>Calculation!AP127</f>
        <v>0</v>
      </c>
      <c r="W124" s="498">
        <f t="shared" si="27"/>
        <v>0</v>
      </c>
      <c r="X124" s="498">
        <v>0</v>
      </c>
      <c r="Y124" s="744">
        <f t="shared" si="23"/>
        <v>0</v>
      </c>
      <c r="Z124" s="748">
        <f t="shared" si="24"/>
        <v>0</v>
      </c>
      <c r="AA124" s="498">
        <f t="shared" ca="1" si="28"/>
        <v>20858.46932630254</v>
      </c>
      <c r="AB124" s="501">
        <f t="shared" ca="1" si="29"/>
        <v>19638.46932630254</v>
      </c>
      <c r="AC124" s="498" t="e">
        <f ca="1">IF(A124&gt;$A$1,#N/A,VLOOKUP(A124,Calculation!$B$8:$IV$881,155,FALSE))</f>
        <v>#N/A</v>
      </c>
      <c r="AD124" s="498" t="e">
        <f t="shared" ca="1" si="30"/>
        <v>#N/A</v>
      </c>
      <c r="AE124" s="498"/>
      <c r="AF124" s="501">
        <f>Calculation!G127</f>
        <v>1039.4701554120115</v>
      </c>
      <c r="AG124" s="498" t="str">
        <f t="shared" si="31"/>
        <v>Yes</v>
      </c>
      <c r="AH124" s="498" t="str">
        <f t="shared" si="32"/>
        <v>Yes</v>
      </c>
      <c r="AK124" s="738">
        <v>17377.240000037764</v>
      </c>
      <c r="AL124" s="738">
        <v>27080.380000067555</v>
      </c>
      <c r="AM124" s="740">
        <v>32801.000000080458</v>
      </c>
      <c r="AR124" s="549"/>
      <c r="AS124" s="471">
        <f ca="1">IF(Summary!A124&lt;Calculation!FT127,FORECAST(20000,A118:A124,T118:T124),0)</f>
        <v>40715.461440803549</v>
      </c>
      <c r="AT124" s="581">
        <f>Calculation!AR127*3.068</f>
        <v>4462.0991999999997</v>
      </c>
      <c r="AU124" s="575">
        <f ca="1">Calculation!DA127</f>
        <v>1434.7236711641006</v>
      </c>
      <c r="AV124" s="575">
        <f>Calculation!CF127*3.068</f>
        <v>1820.5948426096238</v>
      </c>
      <c r="AW124" s="582">
        <f>Calculation!BK127*3.068</f>
        <v>2082.3129599999975</v>
      </c>
      <c r="AX124" s="524"/>
      <c r="AY124" s="816">
        <f>IF(Summary!A124&lt;Calculation!FT127,FORECAST(8333.33,A118:A124,AT118:AT124),0)</f>
        <v>40702.849353595724</v>
      </c>
      <c r="AZ124" s="559"/>
      <c r="BA124" s="534">
        <f ca="1">IF(Summary!A124&lt;Calculation!FT127,FORECAST(3888.89,A118:A124,AU118:AU124),0)</f>
        <v>40782.520675609478</v>
      </c>
      <c r="BB124" s="559"/>
      <c r="BC124" s="826">
        <f>IF(Summary!A124&lt;Calculation!FT127,FORECAST(3888.89,A118:A124,AV118:AV124),0)</f>
        <v>40722.745537350849</v>
      </c>
      <c r="BD124" s="559"/>
      <c r="BE124" s="847">
        <f>IF(Summary!A124&lt;Calculation!FT127,FORECAST(3888.89,A118:A124,AW118:AW124),0)</f>
        <v>40702.849422749598</v>
      </c>
    </row>
    <row r="125" spans="1:57" ht="13.5" thickBot="1">
      <c r="A125" s="513">
        <v>40657</v>
      </c>
      <c r="B125" s="498">
        <f t="shared" si="25"/>
        <v>89.725999999999999</v>
      </c>
      <c r="C125" s="498">
        <f>Calculation!AA128</f>
        <v>86.149842081784385</v>
      </c>
      <c r="D125" s="498">
        <f>Calculation!Y128</f>
        <v>0</v>
      </c>
      <c r="E125" s="498">
        <f>Calculation!U128</f>
        <v>46.41</v>
      </c>
      <c r="F125" s="498">
        <f>Calculation!V128</f>
        <v>43.315999999999995</v>
      </c>
      <c r="G125" s="498">
        <f>Calculation!W128</f>
        <v>0</v>
      </c>
      <c r="H125" s="500">
        <f>Sheet1!H128</f>
        <v>0.87</v>
      </c>
      <c r="I125" s="501">
        <f>Sheet1!CW128</f>
        <v>1558.9583333333333</v>
      </c>
      <c r="J125" s="501">
        <f>Sheet1!CX128</f>
        <v>889.29166666666663</v>
      </c>
      <c r="K125" s="501">
        <f>Sheet1!CV128</f>
        <v>960.68181818181813</v>
      </c>
      <c r="L125" s="501">
        <f>Calculation!F128</f>
        <v>250</v>
      </c>
      <c r="M125" s="501">
        <f>Calculation!E128</f>
        <v>250</v>
      </c>
      <c r="N125" s="501">
        <f>Calculation!D128</f>
        <v>300</v>
      </c>
      <c r="O125" s="500">
        <f>Sheet1!CY128</f>
        <v>1147.67</v>
      </c>
      <c r="P125" s="514" t="e">
        <f>Calculation!ET128</f>
        <v>#N/A</v>
      </c>
      <c r="Q125" s="498">
        <f>Calculation!DF128</f>
        <v>30895.260000076458</v>
      </c>
      <c r="R125" s="500">
        <f t="shared" si="21"/>
        <v>29675.260000076458</v>
      </c>
      <c r="S125" s="498">
        <f t="shared" si="26"/>
        <v>237.06000000019776</v>
      </c>
      <c r="T125" s="498">
        <f ca="1">IF(A125&gt;$A$1,#N/A,VLOOKUP(A125,Calculation!$B$8:$IV$881,30,FALSE))</f>
        <v>9970.5824614317135</v>
      </c>
      <c r="U125" s="498">
        <f t="shared" si="22"/>
        <v>0</v>
      </c>
      <c r="V125" s="498">
        <f>Calculation!AP128</f>
        <v>0</v>
      </c>
      <c r="W125" s="498">
        <f t="shared" si="27"/>
        <v>0</v>
      </c>
      <c r="X125" s="498">
        <v>0</v>
      </c>
      <c r="Y125" s="744">
        <f t="shared" si="23"/>
        <v>0</v>
      </c>
      <c r="Z125" s="748">
        <f t="shared" si="24"/>
        <v>0</v>
      </c>
      <c r="AA125" s="498">
        <f t="shared" ca="1" si="28"/>
        <v>20924.677538644744</v>
      </c>
      <c r="AB125" s="501">
        <f t="shared" ca="1" si="29"/>
        <v>19704.677538644744</v>
      </c>
      <c r="AC125" s="498" t="e">
        <f ca="1">IF(A125&gt;$A$1,#N/A,VLOOKUP(A125,Calculation!$B$8:$IV$881,155,FALSE))</f>
        <v>#N/A</v>
      </c>
      <c r="AD125" s="498" t="e">
        <f t="shared" ca="1" si="30"/>
        <v>#N/A</v>
      </c>
      <c r="AE125" s="498"/>
      <c r="AF125" s="501">
        <f>Calculation!G128</f>
        <v>1080.2279603906925</v>
      </c>
      <c r="AG125" s="498" t="str">
        <f t="shared" si="31"/>
        <v>Yes</v>
      </c>
      <c r="AH125" s="498" t="str">
        <f t="shared" si="32"/>
        <v>Yes</v>
      </c>
      <c r="AK125" s="738">
        <v>17765.900000038924</v>
      </c>
      <c r="AL125" s="738">
        <v>26743.750000065451</v>
      </c>
      <c r="AM125" s="740">
        <v>33625.300000082541</v>
      </c>
      <c r="AR125" s="549"/>
      <c r="AS125" s="471">
        <f ca="1">IF(Summary!A125&lt;Calculation!FT128,FORECAST(20000,A119:A125,T119:T125),0)</f>
        <v>40715.336442387823</v>
      </c>
      <c r="AT125" s="581">
        <f>Calculation!AR128*3.068</f>
        <v>4544.7306666666664</v>
      </c>
      <c r="AU125" s="575">
        <f ca="1">Calculation!DA128</f>
        <v>1454.0604096358065</v>
      </c>
      <c r="AV125" s="575">
        <f>Calculation!CF128*3.068</f>
        <v>1850.9170740181326</v>
      </c>
      <c r="AW125" s="582">
        <f>Calculation!BK128*3.068</f>
        <v>2120.8743111111089</v>
      </c>
      <c r="AX125" s="524"/>
      <c r="AY125" s="816">
        <f>IF(Summary!A125&lt;Calculation!FT128,FORECAST(8333.33,A119:A125,AT119:AT125),0)</f>
        <v>40702.849353595724</v>
      </c>
      <c r="AZ125" s="559"/>
      <c r="BA125" s="534">
        <f ca="1">IF(Summary!A125&lt;Calculation!FT128,FORECAST(3888.89,A119:A125,AU119:AU125),0)</f>
        <v>40779.468717439449</v>
      </c>
      <c r="BB125" s="559"/>
      <c r="BC125" s="826">
        <f>IF(Summary!A125&lt;Calculation!FT128,FORECAST(3888.89,A119:A125,AV119:AV125),0)</f>
        <v>40723.060898183074</v>
      </c>
      <c r="BD125" s="559"/>
      <c r="BE125" s="847">
        <f>IF(Summary!A125&lt;Calculation!FT128,FORECAST(3888.89,A119:A125,AW119:AW125),0)</f>
        <v>40702.849422749598</v>
      </c>
    </row>
    <row r="126" spans="1:57" ht="13.5" thickBot="1">
      <c r="A126" s="513">
        <v>40658</v>
      </c>
      <c r="B126" s="498">
        <f t="shared" si="25"/>
        <v>86.632000000000005</v>
      </c>
      <c r="C126" s="498">
        <f>Calculation!AA129</f>
        <v>86.281269873417727</v>
      </c>
      <c r="D126" s="498">
        <f>Calculation!Y129</f>
        <v>0</v>
      </c>
      <c r="E126" s="498">
        <f>Calculation!U129</f>
        <v>46.41</v>
      </c>
      <c r="F126" s="498">
        <f>Calculation!V129</f>
        <v>40.222000000000001</v>
      </c>
      <c r="G126" s="498">
        <f>Calculation!W129</f>
        <v>0</v>
      </c>
      <c r="H126" s="500">
        <f>Sheet1!H129</f>
        <v>2.63</v>
      </c>
      <c r="I126" s="501">
        <f>Sheet1!CW129</f>
        <v>1696.7708333333333</v>
      </c>
      <c r="J126" s="501">
        <f>Sheet1!CX129</f>
        <v>1098.375</v>
      </c>
      <c r="K126" s="501">
        <f>Sheet1!CV129</f>
        <v>1148.1818181818182</v>
      </c>
      <c r="L126" s="501">
        <f>Calculation!F129</f>
        <v>250</v>
      </c>
      <c r="M126" s="501">
        <f>Calculation!E129</f>
        <v>250</v>
      </c>
      <c r="N126" s="501">
        <f>Calculation!D129</f>
        <v>300</v>
      </c>
      <c r="O126" s="500">
        <f>Sheet1!CY129</f>
        <v>1147.75</v>
      </c>
      <c r="P126" s="514" t="e">
        <f>Calculation!ET129</f>
        <v>#N/A</v>
      </c>
      <c r="Q126" s="498">
        <f>Calculation!DF129</f>
        <v>30965.500000076459</v>
      </c>
      <c r="R126" s="500">
        <f t="shared" si="21"/>
        <v>29745.500000076459</v>
      </c>
      <c r="S126" s="498">
        <f t="shared" si="26"/>
        <v>70.240000000001601</v>
      </c>
      <c r="T126" s="498">
        <f ca="1">IF(A126&gt;$A$1,#N/A,VLOOKUP(A126,Calculation!$B$8:$IV$881,30,FALSE))</f>
        <v>10141.694895802526</v>
      </c>
      <c r="U126" s="498">
        <f t="shared" si="22"/>
        <v>0</v>
      </c>
      <c r="V126" s="498">
        <f>Calculation!AP129</f>
        <v>0</v>
      </c>
      <c r="W126" s="498">
        <f t="shared" si="27"/>
        <v>0</v>
      </c>
      <c r="X126" s="498">
        <v>0</v>
      </c>
      <c r="Y126" s="744">
        <f t="shared" si="23"/>
        <v>0</v>
      </c>
      <c r="Z126" s="748">
        <f t="shared" si="24"/>
        <v>0</v>
      </c>
      <c r="AA126" s="498">
        <f t="shared" ca="1" si="28"/>
        <v>20823.805104273932</v>
      </c>
      <c r="AB126" s="501">
        <f t="shared" ca="1" si="29"/>
        <v>19603.805104273932</v>
      </c>
      <c r="AC126" s="498" t="e">
        <f ca="1">IF(A126&gt;$A$1,#N/A,VLOOKUP(A126,Calculation!$B$8:$IV$881,155,FALSE))</f>
        <v>#N/A</v>
      </c>
      <c r="AD126" s="498" t="e">
        <f t="shared" ca="1" si="30"/>
        <v>#N/A</v>
      </c>
      <c r="AE126" s="498"/>
      <c r="AF126" s="501">
        <f>Calculation!G129</f>
        <v>1183.6028973547893</v>
      </c>
      <c r="AG126" s="498" t="str">
        <f t="shared" si="31"/>
        <v>Yes</v>
      </c>
      <c r="AH126" s="498" t="str">
        <f t="shared" si="32"/>
        <v>Yes</v>
      </c>
      <c r="AK126" s="738">
        <v>18154.450000040364</v>
      </c>
      <c r="AL126" s="738">
        <v>26331.39000006509</v>
      </c>
      <c r="AM126" s="740">
        <v>34283.530000084429</v>
      </c>
      <c r="AR126" s="549"/>
      <c r="AS126" s="471">
        <f ca="1">IF(Summary!A126&lt;Calculation!FT129,FORECAST(20000,A120:A126,T120:T126),0)</f>
        <v>40715.36426091483</v>
      </c>
      <c r="AT126" s="581">
        <f>Calculation!AR129*3.068</f>
        <v>4627.3621333333331</v>
      </c>
      <c r="AU126" s="575">
        <f ca="1">Calculation!DA129</f>
        <v>1474.7140526307599</v>
      </c>
      <c r="AV126" s="575">
        <f>Calculation!CF129*3.068</f>
        <v>1880.1830476162129</v>
      </c>
      <c r="AW126" s="582">
        <f>Calculation!BK129*3.068</f>
        <v>2159.4356622222199</v>
      </c>
      <c r="AX126" s="524"/>
      <c r="AY126" s="816">
        <f>IF(Summary!A126&lt;Calculation!FT129,FORECAST(8333.33,A120:A126,AT120:AT126),0)</f>
        <v>40702.849353595724</v>
      </c>
      <c r="AZ126" s="559"/>
      <c r="BA126" s="534">
        <f ca="1">IF(Summary!A126&lt;Calculation!FT129,FORECAST(3888.89,A120:A126,AU120:AU126),0)</f>
        <v>40778.63961354972</v>
      </c>
      <c r="BB126" s="559"/>
      <c r="BC126" s="826">
        <f>IF(Summary!A126&lt;Calculation!FT129,FORECAST(3888.89,A120:A126,AV120:AV126),0)</f>
        <v>40723.528909833338</v>
      </c>
      <c r="BD126" s="559"/>
      <c r="BE126" s="847">
        <f>IF(Summary!A126&lt;Calculation!FT129,FORECAST(3888.89,A120:A126,AW120:AW126),0)</f>
        <v>40702.849422749598</v>
      </c>
    </row>
    <row r="127" spans="1:57" ht="13.5" thickBot="1">
      <c r="A127" s="513">
        <v>40659</v>
      </c>
      <c r="B127" s="498">
        <f t="shared" si="25"/>
        <v>89.029850000004501</v>
      </c>
      <c r="C127" s="498">
        <f>Calculation!AA130</f>
        <v>84.636611180400891</v>
      </c>
      <c r="D127" s="498">
        <f>Calculation!Y130</f>
        <v>0</v>
      </c>
      <c r="E127" s="498">
        <f>Calculation!U130</f>
        <v>46.100600000004498</v>
      </c>
      <c r="F127" s="498">
        <f>Calculation!V130</f>
        <v>42.929249999999996</v>
      </c>
      <c r="G127" s="498">
        <f>Calculation!W130</f>
        <v>0</v>
      </c>
      <c r="H127" s="500">
        <f>Sheet1!H130</f>
        <v>1.71</v>
      </c>
      <c r="I127" s="501">
        <f>Sheet1!CW130</f>
        <v>2133.75</v>
      </c>
      <c r="J127" s="501">
        <f>Sheet1!CX130</f>
        <v>1308.6458333333333</v>
      </c>
      <c r="K127" s="501">
        <f>Sheet1!CV130</f>
        <v>1351</v>
      </c>
      <c r="L127" s="501">
        <f>Calculation!F130</f>
        <v>250</v>
      </c>
      <c r="M127" s="501">
        <f>Calculation!E130</f>
        <v>250</v>
      </c>
      <c r="N127" s="501">
        <f>Calculation!D130</f>
        <v>300</v>
      </c>
      <c r="O127" s="500">
        <f>Sheet1!CY130</f>
        <v>1147.8900000000001</v>
      </c>
      <c r="P127" s="514" t="e">
        <f>Calculation!ET130</f>
        <v>#N/A</v>
      </c>
      <c r="Q127" s="498">
        <f>Calculation!DF130</f>
        <v>31088.420000076661</v>
      </c>
      <c r="R127" s="500">
        <f t="shared" si="21"/>
        <v>29868.420000076661</v>
      </c>
      <c r="S127" s="498">
        <f t="shared" si="26"/>
        <v>122.92000000020198</v>
      </c>
      <c r="T127" s="498">
        <f ca="1">IF(A127&gt;$A$1,#N/A,VLOOKUP(A127,Calculation!$B$8:$IV$881,30,FALSE))</f>
        <v>10309.545654109877</v>
      </c>
      <c r="U127" s="498">
        <f t="shared" si="22"/>
        <v>0</v>
      </c>
      <c r="V127" s="498">
        <f>Calculation!AP130</f>
        <v>0</v>
      </c>
      <c r="W127" s="498">
        <f t="shared" si="27"/>
        <v>0</v>
      </c>
      <c r="X127" s="498">
        <v>0</v>
      </c>
      <c r="Y127" s="744">
        <f t="shared" si="23"/>
        <v>0</v>
      </c>
      <c r="Z127" s="748">
        <f t="shared" si="24"/>
        <v>0</v>
      </c>
      <c r="AA127" s="498">
        <f t="shared" ca="1" si="28"/>
        <v>20778.874345966782</v>
      </c>
      <c r="AB127" s="501">
        <f t="shared" ca="1" si="29"/>
        <v>19558.874345966782</v>
      </c>
      <c r="AC127" s="498" t="e">
        <f ca="1">IF(A127&gt;$A$1,#N/A,VLOOKUP(A127,Calculation!$B$8:$IV$881,155,FALSE))</f>
        <v>#N/A</v>
      </c>
      <c r="AD127" s="498" t="e">
        <f t="shared" ca="1" si="30"/>
        <v>#N/A</v>
      </c>
      <c r="AE127" s="498"/>
      <c r="AF127" s="501">
        <f>Calculation!G130</f>
        <v>1412.9868885527999</v>
      </c>
      <c r="AG127" s="498" t="str">
        <f t="shared" si="31"/>
        <v>Yes</v>
      </c>
      <c r="AH127" s="498" t="str">
        <f t="shared" si="32"/>
        <v>Yes</v>
      </c>
      <c r="AK127" s="738">
        <v>18087.220000039299</v>
      </c>
      <c r="AL127" s="738">
        <v>26791.330000065453</v>
      </c>
      <c r="AM127" s="740">
        <v>35108.340000086253</v>
      </c>
      <c r="AR127" s="549"/>
      <c r="AS127" s="471">
        <f ca="1">IF(Summary!A127&lt;Calculation!FT130,FORECAST(20000,A121:A127,T121:T127),0)</f>
        <v>40715.58033170725</v>
      </c>
      <c r="AT127" s="581">
        <f>Calculation!AR130*3.068</f>
        <v>4709.9935999999998</v>
      </c>
      <c r="AU127" s="575">
        <f ca="1">Calculation!DA130</f>
        <v>1494.1559215592426</v>
      </c>
      <c r="AV127" s="575">
        <f>Calculation!CF130*3.068</f>
        <v>1907.3991192173019</v>
      </c>
      <c r="AW127" s="582">
        <f>Calculation!BK130*3.068</f>
        <v>2197.9970133333309</v>
      </c>
      <c r="AX127" s="524"/>
      <c r="AY127" s="816">
        <f>IF(Summary!A127&lt;Calculation!FT130,FORECAST(8333.33,A121:A127,AT121:AT127),0)</f>
        <v>40702.849353595724</v>
      </c>
      <c r="AZ127" s="559"/>
      <c r="BA127" s="534">
        <f ca="1">IF(Summary!A127&lt;Calculation!FT130,FORECAST(3888.89,A121:A127,AU121:AU127),0)</f>
        <v>40778.795622293321</v>
      </c>
      <c r="BB127" s="559"/>
      <c r="BC127" s="826">
        <f>IF(Summary!A127&lt;Calculation!FT130,FORECAST(3888.89,A121:A127,AV121:AV127),0)</f>
        <v>40724.85303079</v>
      </c>
      <c r="BD127" s="559"/>
      <c r="BE127" s="847">
        <f>IF(Summary!A127&lt;Calculation!FT130,FORECAST(3888.89,A121:A127,AW121:AW127),0)</f>
        <v>40702.849422749598</v>
      </c>
    </row>
    <row r="128" spans="1:57" ht="13.5" thickBot="1">
      <c r="A128" s="513">
        <v>40660</v>
      </c>
      <c r="B128" s="498">
        <f t="shared" si="25"/>
        <v>88.8751499999955</v>
      </c>
      <c r="C128" s="498">
        <f>Calculation!AA131</f>
        <v>85.234282092511009</v>
      </c>
      <c r="D128" s="498">
        <f>Calculation!Y131</f>
        <v>0</v>
      </c>
      <c r="E128" s="498">
        <f>Calculation!U131</f>
        <v>46.719399999995495</v>
      </c>
      <c r="F128" s="498">
        <f>Calculation!V131</f>
        <v>42.155749999999998</v>
      </c>
      <c r="G128" s="498">
        <f>Calculation!W131</f>
        <v>0</v>
      </c>
      <c r="H128" s="500">
        <f>Sheet1!H131</f>
        <v>0.72</v>
      </c>
      <c r="I128" s="501">
        <f>Sheet1!CW131</f>
        <v>2061.5625</v>
      </c>
      <c r="J128" s="501">
        <f>Sheet1!CX131</f>
        <v>1381.6666666666667</v>
      </c>
      <c r="K128" s="501">
        <f>Sheet1!CV131</f>
        <v>1405</v>
      </c>
      <c r="L128" s="501">
        <f>Calculation!F131</f>
        <v>250</v>
      </c>
      <c r="M128" s="501">
        <f>Calculation!E131</f>
        <v>250</v>
      </c>
      <c r="N128" s="501">
        <f>Calculation!D131</f>
        <v>300</v>
      </c>
      <c r="O128" s="500">
        <f>Sheet1!CY131</f>
        <v>1148.17</v>
      </c>
      <c r="P128" s="514" t="e">
        <f>Calculation!ET131</f>
        <v>#N/A</v>
      </c>
      <c r="Q128" s="498">
        <f>Calculation!DF131</f>
        <v>31336.640000078085</v>
      </c>
      <c r="R128" s="500">
        <f t="shared" si="21"/>
        <v>30116.640000078085</v>
      </c>
      <c r="S128" s="498">
        <f t="shared" si="26"/>
        <v>248.22000000142361</v>
      </c>
      <c r="T128" s="498">
        <f ca="1">IF(A128&gt;$A$1,#N/A,VLOOKUP(A128,Calculation!$B$8:$IV$881,30,FALSE))</f>
        <v>10478.581709352165</v>
      </c>
      <c r="U128" s="498">
        <f t="shared" si="22"/>
        <v>0</v>
      </c>
      <c r="V128" s="498">
        <f>Calculation!AP131</f>
        <v>0</v>
      </c>
      <c r="W128" s="498">
        <f t="shared" si="27"/>
        <v>0</v>
      </c>
      <c r="X128" s="498">
        <v>0</v>
      </c>
      <c r="Y128" s="744">
        <f t="shared" si="23"/>
        <v>0</v>
      </c>
      <c r="Z128" s="748">
        <f t="shared" si="24"/>
        <v>0</v>
      </c>
      <c r="AA128" s="498">
        <f t="shared" ca="1" si="28"/>
        <v>20858.05829072592</v>
      </c>
      <c r="AB128" s="501">
        <f t="shared" ca="1" si="29"/>
        <v>19638.05829072592</v>
      </c>
      <c r="AC128" s="498" t="e">
        <f ca="1">IF(A128&gt;$A$1,#N/A,VLOOKUP(A128,Calculation!$B$8:$IV$881,155,FALSE))</f>
        <v>#N/A</v>
      </c>
      <c r="AD128" s="498" t="e">
        <f t="shared" ca="1" si="30"/>
        <v>#N/A</v>
      </c>
      <c r="AE128" s="498"/>
      <c r="AF128" s="501">
        <f>Calculation!G131</f>
        <v>1530.1739788206876</v>
      </c>
      <c r="AG128" s="498" t="str">
        <f t="shared" si="31"/>
        <v>Yes</v>
      </c>
      <c r="AH128" s="498" t="str">
        <f t="shared" si="32"/>
        <v>Yes</v>
      </c>
      <c r="AK128" s="738">
        <v>17976.420000039176</v>
      </c>
      <c r="AL128" s="738">
        <v>26823.050000065454</v>
      </c>
      <c r="AM128" s="740">
        <v>36020.250000088497</v>
      </c>
      <c r="AR128" s="549"/>
      <c r="AS128" s="471">
        <f ca="1">IF(Summary!A128&lt;Calculation!FT131,FORECAST(20000,A122:A128,T122:T128),0)</f>
        <v>40715.795598638331</v>
      </c>
      <c r="AT128" s="581">
        <f>Calculation!AR131*3.068</f>
        <v>4792.6250666666674</v>
      </c>
      <c r="AU128" s="575">
        <f ca="1">Calculation!DA131</f>
        <v>1514.2718236982541</v>
      </c>
      <c r="AV128" s="575">
        <f>Calculation!CF131*3.068</f>
        <v>1935.1264545428035</v>
      </c>
      <c r="AW128" s="582">
        <f>Calculation!BK131*3.068</f>
        <v>2236.5583644444418</v>
      </c>
      <c r="AX128" s="524"/>
      <c r="AY128" s="816">
        <f>IF(Summary!A128&lt;Calculation!FT131,FORECAST(8333.33,A122:A128,AT122:AT128),0)</f>
        <v>40702.849353595724</v>
      </c>
      <c r="AZ128" s="559"/>
      <c r="BA128" s="534">
        <f ca="1">IF(Summary!A128&lt;Calculation!FT131,FORECAST(3888.89,A122:A128,AU122:AU128),0)</f>
        <v>40778.763664313781</v>
      </c>
      <c r="BB128" s="559"/>
      <c r="BC128" s="826">
        <f>IF(Summary!A128&lt;Calculation!FT131,FORECAST(3888.89,A122:A128,AV122:AV128),0)</f>
        <v>40726.292916568491</v>
      </c>
      <c r="BD128" s="559"/>
      <c r="BE128" s="847">
        <f>IF(Summary!A128&lt;Calculation!FT131,FORECAST(3888.89,A122:A128,AW122:AW128),0)</f>
        <v>40702.849422749598</v>
      </c>
    </row>
    <row r="129" spans="1:57" ht="13.5" thickBot="1">
      <c r="A129" s="513">
        <v>40661</v>
      </c>
      <c r="B129" s="498">
        <f t="shared" si="25"/>
        <v>75.802999999999997</v>
      </c>
      <c r="C129" s="498">
        <f>Calculation!AA132</f>
        <v>85.917414006054486</v>
      </c>
      <c r="D129" s="498">
        <f>Calculation!Y132</f>
        <v>0</v>
      </c>
      <c r="E129" s="498">
        <f>Calculation!U132</f>
        <v>44.863</v>
      </c>
      <c r="F129" s="498">
        <f>Calculation!V132</f>
        <v>30.939999999999998</v>
      </c>
      <c r="G129" s="498">
        <f>Calculation!W132</f>
        <v>0</v>
      </c>
      <c r="H129" s="500">
        <f>Sheet1!H132</f>
        <v>0.73</v>
      </c>
      <c r="I129" s="501">
        <f>Sheet1!CW132</f>
        <v>2443.4375</v>
      </c>
      <c r="J129" s="501">
        <f>Sheet1!CX132</f>
        <v>1546.6666666666667</v>
      </c>
      <c r="K129" s="501">
        <f>Sheet1!CV132</f>
        <v>1527.2727272727273</v>
      </c>
      <c r="L129" s="501">
        <f>Calculation!F132</f>
        <v>250</v>
      </c>
      <c r="M129" s="501">
        <f>Calculation!E132</f>
        <v>250</v>
      </c>
      <c r="N129" s="501">
        <f>Calculation!D132</f>
        <v>300</v>
      </c>
      <c r="O129" s="500">
        <f>Sheet1!CY132</f>
        <v>1148.1600000000001</v>
      </c>
      <c r="P129" s="514" t="e">
        <f>Calculation!ET132</f>
        <v>#N/A</v>
      </c>
      <c r="Q129" s="498">
        <f>Calculation!DF132</f>
        <v>31327.720000078087</v>
      </c>
      <c r="R129" s="500">
        <f t="shared" si="21"/>
        <v>30107.720000078087</v>
      </c>
      <c r="S129" s="498">
        <f t="shared" si="26"/>
        <v>-8.9199999999982538</v>
      </c>
      <c r="T129" s="498">
        <f ca="1">IF(A129&gt;$A$1,#N/A,VLOOKUP(A129,Calculation!$B$8:$IV$881,30,FALSE))</f>
        <v>10648.972547212914</v>
      </c>
      <c r="U129" s="498">
        <f t="shared" si="22"/>
        <v>0</v>
      </c>
      <c r="V129" s="498">
        <f>Calculation!AP132</f>
        <v>0</v>
      </c>
      <c r="W129" s="498">
        <f ca="1">IF(T129&lt;=0,0,MIN(MAX(Q129-T129-25000-1220-X129*1.983,0),5000))</f>
        <v>0</v>
      </c>
      <c r="X129" s="498">
        <v>0</v>
      </c>
      <c r="Y129" s="744">
        <f t="shared" ca="1" si="23"/>
        <v>0</v>
      </c>
      <c r="Z129" s="748">
        <f t="shared" ca="1" si="24"/>
        <v>0</v>
      </c>
      <c r="AA129" s="498">
        <f t="shared" ca="1" si="28"/>
        <v>20678.747452865173</v>
      </c>
      <c r="AB129" s="501">
        <f t="shared" ca="1" si="29"/>
        <v>19458.747452865173</v>
      </c>
      <c r="AC129" s="498" t="e">
        <f ca="1">IF(A129&gt;$A$1,#N/A,VLOOKUP(A129,Calculation!$B$8:$IV$881,155,FALSE))</f>
        <v>#N/A</v>
      </c>
      <c r="AD129" s="498" t="e">
        <f t="shared" ca="1" si="30"/>
        <v>#N/A</v>
      </c>
      <c r="AE129" s="498"/>
      <c r="AF129" s="501">
        <f>Calculation!G132</f>
        <v>1522.7744922752495</v>
      </c>
      <c r="AG129" s="498" t="str">
        <f t="shared" si="31"/>
        <v>Yes</v>
      </c>
      <c r="AH129" s="498" t="str">
        <f t="shared" si="32"/>
        <v>Yes</v>
      </c>
      <c r="AK129" s="738">
        <v>18177.210000040366</v>
      </c>
      <c r="AL129" s="738">
        <v>26767.540000065452</v>
      </c>
      <c r="AM129" s="740">
        <v>37131.000000090891</v>
      </c>
      <c r="AR129" s="549"/>
      <c r="AS129" s="471">
        <f ca="1">IF(Summary!A129&lt;Calculation!FT132,FORECAST(20000,A123:A129,T123:T129),0)</f>
        <v>40715.96279652325</v>
      </c>
      <c r="AT129" s="581">
        <f>Calculation!AR132*3.068</f>
        <v>4875.2565333333341</v>
      </c>
      <c r="AU129" s="575">
        <f ca="1">Calculation!DA132</f>
        <v>1534.1651223371148</v>
      </c>
      <c r="AV129" s="575">
        <f>Calculation!CF132*3.068</f>
        <v>1964.4311759869115</v>
      </c>
      <c r="AW129" s="582">
        <f>Calculation!BK132*3.068</f>
        <v>2275.1197155555528</v>
      </c>
      <c r="AX129" s="524"/>
      <c r="AY129" s="816">
        <f>IF(Summary!A129&lt;Calculation!FT132,FORECAST(8333.33,A123:A129,AT123:AT129),0)</f>
        <v>40702.849353595724</v>
      </c>
      <c r="AZ129" s="559"/>
      <c r="BA129" s="534">
        <f ca="1">IF(Summary!A129&lt;Calculation!FT132,FORECAST(3888.89,A123:A129,AU123:AU129),0)</f>
        <v>40778.830314593099</v>
      </c>
      <c r="BB129" s="559"/>
      <c r="BC129" s="826">
        <f>IF(Summary!A129&lt;Calculation!FT132,FORECAST(3888.89,A123:A129,AV123:AV129),0)</f>
        <v>40727.437353227098</v>
      </c>
      <c r="BD129" s="559"/>
      <c r="BE129" s="847">
        <f>IF(Summary!A129&lt;Calculation!FT132,FORECAST(3888.89,A123:A129,AW123:AW129),0)</f>
        <v>40702.849422749598</v>
      </c>
    </row>
    <row r="130" spans="1:57" ht="13.5" thickBot="1">
      <c r="A130" s="513">
        <v>40662</v>
      </c>
      <c r="B130" s="498">
        <f t="shared" si="25"/>
        <v>77.349999999999994</v>
      </c>
      <c r="C130" s="498">
        <f>Calculation!AA133</f>
        <v>87.050187995846315</v>
      </c>
      <c r="D130" s="498">
        <f>Calculation!Y133</f>
        <v>0</v>
      </c>
      <c r="E130" s="498">
        <f>Calculation!U133</f>
        <v>46.41</v>
      </c>
      <c r="F130" s="498">
        <f>Calculation!V133</f>
        <v>30.939999999999998</v>
      </c>
      <c r="G130" s="498">
        <f>Calculation!W133</f>
        <v>0</v>
      </c>
      <c r="H130" s="500">
        <f>Sheet1!H133</f>
        <v>1.35</v>
      </c>
      <c r="I130" s="501">
        <f>Sheet1!CW133</f>
        <v>2323.5416666666665</v>
      </c>
      <c r="J130" s="501">
        <f>Sheet1!CX133</f>
        <v>1465.9375</v>
      </c>
      <c r="K130" s="501">
        <f>Sheet1!CV133</f>
        <v>1460.909090909091</v>
      </c>
      <c r="L130" s="501">
        <f>Calculation!F133</f>
        <v>250</v>
      </c>
      <c r="M130" s="501">
        <f>Calculation!E133</f>
        <v>250</v>
      </c>
      <c r="N130" s="501">
        <f>Calculation!D133</f>
        <v>300</v>
      </c>
      <c r="O130" s="500">
        <f>Sheet1!CY133</f>
        <v>1148.04</v>
      </c>
      <c r="P130" s="514" t="e">
        <f>Calculation!ET133</f>
        <v>#N/A</v>
      </c>
      <c r="Q130" s="498">
        <f>Calculation!DF133</f>
        <v>31220.680000077882</v>
      </c>
      <c r="R130" s="500">
        <f t="shared" si="21"/>
        <v>30000.680000077882</v>
      </c>
      <c r="S130" s="498">
        <f t="shared" si="26"/>
        <v>-107.0400000002046</v>
      </c>
      <c r="T130" s="498">
        <f ca="1">IF(A130&gt;$A$1,#N/A,VLOOKUP(A130,Calculation!$B$8:$IV$881,30,FALSE))</f>
        <v>10821.609894834928</v>
      </c>
      <c r="U130" s="498">
        <f t="shared" si="22"/>
        <v>0</v>
      </c>
      <c r="V130" s="498">
        <f>Calculation!AP133</f>
        <v>0</v>
      </c>
      <c r="W130" s="498">
        <f t="shared" ref="W130:W147" ca="1" si="33">IF(T130&lt;=0,0,MIN(MAX(Q130-T130-25000-1220-X130*1.983,0),5000))</f>
        <v>0</v>
      </c>
      <c r="X130" s="498">
        <v>0</v>
      </c>
      <c r="Y130" s="744">
        <f t="shared" ca="1" si="23"/>
        <v>0</v>
      </c>
      <c r="Z130" s="748">
        <f t="shared" ca="1" si="24"/>
        <v>0</v>
      </c>
      <c r="AA130" s="498">
        <f t="shared" ca="1" si="28"/>
        <v>20399.070105242954</v>
      </c>
      <c r="AB130" s="501">
        <f t="shared" ca="1" si="29"/>
        <v>19179.070105242954</v>
      </c>
      <c r="AC130" s="498" t="e">
        <f ca="1">IF(A130&gt;$A$1,#N/A,VLOOKUP(A130,Calculation!$B$8:$IV$881,155,FALSE))</f>
        <v>#N/A</v>
      </c>
      <c r="AD130" s="498" t="e">
        <f t="shared" ca="1" si="30"/>
        <v>#N/A</v>
      </c>
      <c r="AE130" s="498"/>
      <c r="AF130" s="501">
        <f>Calculation!G133</f>
        <v>1406.930270939245</v>
      </c>
      <c r="AG130" s="498" t="str">
        <f t="shared" si="31"/>
        <v>Yes</v>
      </c>
      <c r="AH130" s="498" t="str">
        <f t="shared" si="32"/>
        <v>Yes</v>
      </c>
      <c r="AK130" s="738">
        <v>19040.150000042297</v>
      </c>
      <c r="AL130" s="738">
        <v>27129.220000067555</v>
      </c>
      <c r="AM130" s="740">
        <v>38378.630000093326</v>
      </c>
      <c r="AR130" s="549"/>
      <c r="AS130" s="471">
        <f ca="1">IF(Summary!A130&lt;Calculation!FT133,FORECAST(20000,A124:A130,T124:T130),0)</f>
        <v>40716.007086214646</v>
      </c>
      <c r="AT130" s="581">
        <f>Calculation!AR133*3.068</f>
        <v>4957.8880000000008</v>
      </c>
      <c r="AU130" s="575">
        <f ca="1">Calculation!DA133</f>
        <v>1553.5156323267306</v>
      </c>
      <c r="AV130" s="575">
        <f>Calculation!CF133*3.068</f>
        <v>1996.5251958415326</v>
      </c>
      <c r="AW130" s="582">
        <f>Calculation!BK133*3.068</f>
        <v>2313.6810666666638</v>
      </c>
      <c r="AX130" s="524"/>
      <c r="AY130" s="816">
        <f>IF(Summary!A130&lt;Calculation!FT133,FORECAST(8333.33,A124:A130,AT124:AT130),0)</f>
        <v>40702.849353595724</v>
      </c>
      <c r="AZ130" s="559"/>
      <c r="BA130" s="534">
        <f ca="1">IF(Summary!A130&lt;Calculation!FT133,FORECAST(3888.89,A124:A130,AU124:AU130),0)</f>
        <v>40779.557960052589</v>
      </c>
      <c r="BB130" s="559"/>
      <c r="BC130" s="826">
        <f>IF(Summary!A130&lt;Calculation!FT133,FORECAST(3888.89,A124:A130,AV124:AV130),0)</f>
        <v>40727.46780452261</v>
      </c>
      <c r="BD130" s="559"/>
      <c r="BE130" s="847">
        <f>IF(Summary!A130&lt;Calculation!FT133,FORECAST(3888.89,A124:A130,AW124:AW130),0)</f>
        <v>40702.849422749598</v>
      </c>
    </row>
    <row r="131" spans="1:57" ht="13.5" thickBot="1">
      <c r="A131" s="513">
        <v>40663</v>
      </c>
      <c r="B131" s="498">
        <f t="shared" si="25"/>
        <v>79.283749999999998</v>
      </c>
      <c r="C131" s="498">
        <f>Calculation!AA134</f>
        <v>88.309939706774514</v>
      </c>
      <c r="D131" s="498">
        <f>Calculation!Y134</f>
        <v>0</v>
      </c>
      <c r="E131" s="498">
        <f>Calculation!U134</f>
        <v>47.957000000000001</v>
      </c>
      <c r="F131" s="498">
        <f>Calculation!V134</f>
        <v>31.326749999999997</v>
      </c>
      <c r="G131" s="498">
        <f>Calculation!W134</f>
        <v>0</v>
      </c>
      <c r="H131" s="500">
        <f>Sheet1!H134</f>
        <v>1.43</v>
      </c>
      <c r="I131" s="501">
        <f>Sheet1!CW134</f>
        <v>2152.2916666666665</v>
      </c>
      <c r="J131" s="501">
        <f>Sheet1!CX134</f>
        <v>1372.2916666666667</v>
      </c>
      <c r="K131" s="501">
        <f>Sheet1!CV134</f>
        <v>1378.6363636363637</v>
      </c>
      <c r="L131" s="501">
        <f>Calculation!F134</f>
        <v>250</v>
      </c>
      <c r="M131" s="501">
        <f>Calculation!E134</f>
        <v>250</v>
      </c>
      <c r="N131" s="501">
        <f>Calculation!D134</f>
        <v>300</v>
      </c>
      <c r="O131" s="500">
        <f>Sheet1!CY134</f>
        <v>1147.98</v>
      </c>
      <c r="P131" s="514" t="e">
        <f>Calculation!ET134</f>
        <v>#N/A</v>
      </c>
      <c r="Q131" s="498">
        <f>Calculation!DF134</f>
        <v>31167.440000076658</v>
      </c>
      <c r="R131" s="500">
        <f t="shared" si="21"/>
        <v>29947.440000076658</v>
      </c>
      <c r="S131" s="498">
        <f t="shared" si="26"/>
        <v>-53.240000001223962</v>
      </c>
      <c r="T131" s="498">
        <f ca="1">IF(A131&gt;$A$1,#N/A,VLOOKUP(A131,Calculation!$B$8:$IV$881,30,FALSE))</f>
        <v>10996.745573581136</v>
      </c>
      <c r="U131" s="498">
        <f t="shared" si="22"/>
        <v>0</v>
      </c>
      <c r="V131" s="498">
        <f>Calculation!AP134</f>
        <v>0</v>
      </c>
      <c r="W131" s="498">
        <f t="shared" ca="1" si="33"/>
        <v>0</v>
      </c>
      <c r="X131" s="498">
        <v>0</v>
      </c>
      <c r="Y131" s="744">
        <f t="shared" ca="1" si="23"/>
        <v>0</v>
      </c>
      <c r="Z131" s="748">
        <f t="shared" ca="1" si="24"/>
        <v>0</v>
      </c>
      <c r="AA131" s="498">
        <f t="shared" ca="1" si="28"/>
        <v>20170.694426495524</v>
      </c>
      <c r="AB131" s="501">
        <f t="shared" ca="1" si="29"/>
        <v>18950.694426495524</v>
      </c>
      <c r="AC131" s="498" t="e">
        <f ca="1">IF(A131&gt;$A$1,#N/A,VLOOKUP(A131,Calculation!$B$8:$IV$881,155,FALSE))</f>
        <v>#N/A</v>
      </c>
      <c r="AD131" s="498" t="e">
        <f t="shared" ca="1" si="30"/>
        <v>#N/A</v>
      </c>
      <c r="AE131" s="498"/>
      <c r="AF131" s="501">
        <f>Calculation!G134</f>
        <v>1351.7881538525896</v>
      </c>
      <c r="AG131" s="498" t="str">
        <f t="shared" si="31"/>
        <v>Yes</v>
      </c>
      <c r="AH131" s="498" t="str">
        <f t="shared" si="32"/>
        <v>Yes</v>
      </c>
      <c r="AK131" s="738">
        <v>19527.640000044219</v>
      </c>
      <c r="AL131" s="738">
        <v>27674.600000068109</v>
      </c>
      <c r="AM131" s="740">
        <v>39296.770000095326</v>
      </c>
      <c r="AR131" s="549"/>
      <c r="AS131" s="471">
        <f ca="1">IF(Summary!A131&lt;Calculation!FT134,FORECAST(20000,A125:A131,T125:T131),0)</f>
        <v>40715.783141830834</v>
      </c>
      <c r="AT131" s="581">
        <f>Calculation!AR134*3.068</f>
        <v>5040.5194666666675</v>
      </c>
      <c r="AU131" s="575">
        <f ca="1">Calculation!DA134</f>
        <v>1573.1373570475487</v>
      </c>
      <c r="AV131" s="575">
        <f>Calculation!CF134*3.068</f>
        <v>2030.8463320891453</v>
      </c>
      <c r="AW131" s="582">
        <f>Calculation!BK134*3.068</f>
        <v>2352.2424177777748</v>
      </c>
      <c r="AX131" s="524"/>
      <c r="AY131" s="816">
        <f>IF(Summary!A131&lt;Calculation!FT134,FORECAST(8333.33,A125:A131,AT125:AT131),0)</f>
        <v>40702.849353595724</v>
      </c>
      <c r="AZ131" s="559"/>
      <c r="BA131" s="534">
        <f ca="1">IF(Summary!A131&lt;Calculation!FT134,FORECAST(3888.89,A125:A131,AU125:AU131),0)</f>
        <v>40779.840702406065</v>
      </c>
      <c r="BB131" s="559"/>
      <c r="BC131" s="826">
        <f>IF(Summary!A131&lt;Calculation!FT134,FORECAST(3888.89,A125:A131,AV125:AV131),0)</f>
        <v>40725.74576382753</v>
      </c>
      <c r="BD131" s="559"/>
      <c r="BE131" s="847">
        <f>IF(Summary!A131&lt;Calculation!FT134,FORECAST(3888.89,A125:A131,AW125:AW131),0)</f>
        <v>40702.849422749598</v>
      </c>
    </row>
    <row r="132" spans="1:57" ht="13.5" thickBot="1">
      <c r="A132" s="513">
        <v>40664</v>
      </c>
      <c r="B132" s="498">
        <f t="shared" si="25"/>
        <v>77.504700000008995</v>
      </c>
      <c r="C132" s="498">
        <f>Calculation!AA135</f>
        <v>88.131753572511371</v>
      </c>
      <c r="D132" s="498">
        <f>Calculation!Y135</f>
        <v>0</v>
      </c>
      <c r="E132" s="498">
        <f>Calculation!U135</f>
        <v>46.564700000009005</v>
      </c>
      <c r="F132" s="498">
        <f>Calculation!V135</f>
        <v>30.939999999999998</v>
      </c>
      <c r="G132" s="498">
        <f>Calculation!W135</f>
        <v>0</v>
      </c>
      <c r="H132" s="500">
        <f>Sheet1!H135</f>
        <v>1.23</v>
      </c>
      <c r="I132" s="501">
        <f>Sheet1!CW135</f>
        <v>2098.9583333333335</v>
      </c>
      <c r="J132" s="501">
        <f>Sheet1!CX135</f>
        <v>1360.1041666666667</v>
      </c>
      <c r="K132" s="501">
        <f>Sheet1!CV135</f>
        <v>1377.2727272727273</v>
      </c>
      <c r="L132" s="501">
        <f>Calculation!F135</f>
        <v>250</v>
      </c>
      <c r="M132" s="501">
        <f>Calculation!E135</f>
        <v>250</v>
      </c>
      <c r="N132" s="501">
        <f>Calculation!D135</f>
        <v>300</v>
      </c>
      <c r="O132" s="500">
        <f>Sheet1!CY135</f>
        <v>1147.71</v>
      </c>
      <c r="P132" s="514" t="e">
        <f>Calculation!ET135</f>
        <v>#N/A</v>
      </c>
      <c r="Q132" s="498">
        <f>Calculation!DF135</f>
        <v>30930.38000007646</v>
      </c>
      <c r="R132" s="500">
        <f t="shared" si="21"/>
        <v>29710.38000007646</v>
      </c>
      <c r="S132" s="498">
        <f t="shared" si="26"/>
        <v>-237.06000000019776</v>
      </c>
      <c r="T132" s="498">
        <f ca="1">IF(A132&gt;$A$1,#N/A,VLOOKUP(A132,Calculation!$B$8:$IV$881,30,FALSE))</f>
        <v>11171.527874783764</v>
      </c>
      <c r="U132" s="498">
        <f t="shared" si="22"/>
        <v>0</v>
      </c>
      <c r="V132" s="498">
        <f>Calculation!AP135</f>
        <v>0</v>
      </c>
      <c r="W132" s="498">
        <f t="shared" ca="1" si="33"/>
        <v>0</v>
      </c>
      <c r="X132" s="498">
        <v>0</v>
      </c>
      <c r="Y132" s="744">
        <f t="shared" ca="1" si="23"/>
        <v>0</v>
      </c>
      <c r="Z132" s="748">
        <f t="shared" ca="1" si="24"/>
        <v>0</v>
      </c>
      <c r="AA132" s="498">
        <f t="shared" ca="1" si="28"/>
        <v>19758.852125292695</v>
      </c>
      <c r="AB132" s="501">
        <f t="shared" ca="1" si="29"/>
        <v>18538.852125292695</v>
      </c>
      <c r="AC132" s="498" t="e">
        <f ca="1">IF(A132&gt;$A$1,#N/A,VLOOKUP(A132,Calculation!$B$8:$IV$881,155,FALSE))</f>
        <v>#N/A</v>
      </c>
      <c r="AD132" s="498" t="e">
        <f t="shared" ca="1" si="30"/>
        <v>#N/A</v>
      </c>
      <c r="AE132" s="498"/>
      <c r="AF132" s="501">
        <f>Calculation!G135</f>
        <v>1257.726585063853</v>
      </c>
      <c r="AG132" s="498" t="str">
        <f t="shared" si="31"/>
        <v>Yes</v>
      </c>
      <c r="AH132" s="498" t="str">
        <f t="shared" si="32"/>
        <v>Yes</v>
      </c>
      <c r="AK132" s="738">
        <v>19908.840000045748</v>
      </c>
      <c r="AL132" s="738">
        <v>28389.840000070351</v>
      </c>
      <c r="AM132" s="740">
        <v>40358.880000097815</v>
      </c>
      <c r="AR132" s="549"/>
      <c r="AS132" s="471">
        <f ca="1">IF(Summary!A132&lt;Calculation!FT135,FORECAST(20000,A126:A132,T126:T132),0)</f>
        <v>40715.443658313743</v>
      </c>
      <c r="AT132" s="581">
        <f>Calculation!AR135*3.068</f>
        <v>5123.1509333333343</v>
      </c>
      <c r="AU132" s="575">
        <f ca="1">Calculation!DA135</f>
        <v>1593.0023564658854</v>
      </c>
      <c r="AV132" s="575">
        <f>Calculation!CF135*3.068</f>
        <v>2064.5708160956583</v>
      </c>
      <c r="AW132" s="582">
        <f>Calculation!BK135*3.068</f>
        <v>2390.8037688888858</v>
      </c>
      <c r="AX132" s="524"/>
      <c r="AY132" s="816">
        <f>IF(Summary!A132&lt;Calculation!FT135,FORECAST(8333.33,A126:A132,AT126:AT132),0)</f>
        <v>40702.849353595724</v>
      </c>
      <c r="AZ132" s="559"/>
      <c r="BA132" s="534">
        <f ca="1">IF(Summary!A132&lt;Calculation!FT135,FORECAST(3888.89,A126:A132,AU126:AU132),0)</f>
        <v>40780.440660312255</v>
      </c>
      <c r="BB132" s="559"/>
      <c r="BC132" s="826">
        <f>IF(Summary!A132&lt;Calculation!FT135,FORECAST(3888.89,A126:A132,AV126:AV132),0)</f>
        <v>40723.275407516645</v>
      </c>
      <c r="BD132" s="559"/>
      <c r="BE132" s="847">
        <f>IF(Summary!A132&lt;Calculation!FT135,FORECAST(3888.89,A126:A132,AW126:AW132),0)</f>
        <v>40702.849422749598</v>
      </c>
    </row>
    <row r="133" spans="1:57" ht="13.5" thickBot="1">
      <c r="A133" s="513">
        <v>40665</v>
      </c>
      <c r="B133" s="498">
        <f t="shared" si="25"/>
        <v>76.808549999990987</v>
      </c>
      <c r="C133" s="498">
        <f>Calculation!AA136</f>
        <v>86.912585767301906</v>
      </c>
      <c r="D133" s="498">
        <f>Calculation!Y136</f>
        <v>0</v>
      </c>
      <c r="E133" s="498">
        <f>Calculation!U136</f>
        <v>46.255299999990996</v>
      </c>
      <c r="F133" s="498">
        <f>Calculation!V136</f>
        <v>30.553249999999998</v>
      </c>
      <c r="G133" s="498">
        <f>Calculation!W136</f>
        <v>0</v>
      </c>
      <c r="H133" s="500">
        <f>Sheet1!H136</f>
        <v>1.07</v>
      </c>
      <c r="I133" s="501">
        <f>Sheet1!CW136</f>
        <v>2063.4375</v>
      </c>
      <c r="J133" s="501">
        <f>Sheet1!CX136</f>
        <v>1303.8541666666667</v>
      </c>
      <c r="K133" s="501">
        <f>Sheet1!CV136</f>
        <v>1325.4545454545455</v>
      </c>
      <c r="L133" s="501">
        <f>Calculation!F136</f>
        <v>250</v>
      </c>
      <c r="M133" s="501">
        <f>Calculation!E136</f>
        <v>250</v>
      </c>
      <c r="N133" s="501">
        <f>Calculation!D136</f>
        <v>300</v>
      </c>
      <c r="O133" s="500">
        <f>Sheet1!CY136</f>
        <v>1147.77</v>
      </c>
      <c r="P133" s="514" t="e">
        <f>Calculation!ET136</f>
        <v>#N/A</v>
      </c>
      <c r="Q133" s="498">
        <f>Calculation!DF136</f>
        <v>30983.060000076461</v>
      </c>
      <c r="R133" s="500">
        <f t="shared" ref="R133:R196" si="34">Q133-1220</f>
        <v>29763.060000076461</v>
      </c>
      <c r="S133" s="498">
        <f t="shared" si="26"/>
        <v>52.680000000000291</v>
      </c>
      <c r="T133" s="498">
        <f ca="1">IF(A133&gt;$A$1,#N/A,VLOOKUP(A133,Calculation!$B$8:$IV$881,30,FALSE))</f>
        <v>11343.892330591187</v>
      </c>
      <c r="U133" s="498">
        <f t="shared" si="22"/>
        <v>0</v>
      </c>
      <c r="V133" s="498">
        <f>Calculation!AP136</f>
        <v>0</v>
      </c>
      <c r="W133" s="498">
        <f t="shared" ca="1" si="33"/>
        <v>0</v>
      </c>
      <c r="X133" s="498">
        <v>0</v>
      </c>
      <c r="Y133" s="744">
        <f t="shared" ca="1" si="23"/>
        <v>0</v>
      </c>
      <c r="Z133" s="748">
        <f t="shared" ca="1" si="24"/>
        <v>0</v>
      </c>
      <c r="AA133" s="498">
        <f t="shared" ca="1" si="28"/>
        <v>19639.167669485272</v>
      </c>
      <c r="AB133" s="501">
        <f t="shared" ca="1" si="29"/>
        <v>18419.167669485272</v>
      </c>
      <c r="AC133" s="498" t="e">
        <f ca="1">IF(A133&gt;$A$1,#N/A,VLOOKUP(A133,Calculation!$B$8:$IV$881,155,FALSE))</f>
        <v>#N/A</v>
      </c>
      <c r="AD133" s="498" t="e">
        <f t="shared" ca="1" si="30"/>
        <v>#N/A</v>
      </c>
      <c r="AE133" s="498"/>
      <c r="AF133" s="501">
        <f>Calculation!G136</f>
        <v>1352.0203548342733</v>
      </c>
      <c r="AG133" s="498" t="str">
        <f t="shared" si="31"/>
        <v>Yes</v>
      </c>
      <c r="AH133" s="498" t="str">
        <f t="shared" si="32"/>
        <v>Yes</v>
      </c>
      <c r="AK133" s="738">
        <v>20132.400000046033</v>
      </c>
      <c r="AL133" s="738">
        <v>29118.240000072452</v>
      </c>
      <c r="AM133" s="740">
        <v>41798.88000010189</v>
      </c>
      <c r="AR133" s="549"/>
      <c r="AS133" s="471">
        <f ca="1">IF(Summary!A133&lt;Calculation!FT136,FORECAST(20000,A127:A133,T127:T133),0)</f>
        <v>40715.116111867253</v>
      </c>
      <c r="AT133" s="581">
        <f>Calculation!AR136*3.068</f>
        <v>5205.782400000001</v>
      </c>
      <c r="AU133" s="575">
        <f ca="1">Calculation!DA136</f>
        <v>1613.2703344576385</v>
      </c>
      <c r="AV133" s="575">
        <f>Calculation!CF136*3.068</f>
        <v>2095.4744761335496</v>
      </c>
      <c r="AW133" s="582">
        <f>Calculation!BK136*3.068</f>
        <v>2429.3651199999972</v>
      </c>
      <c r="AX133" s="524"/>
      <c r="AY133" s="816">
        <f>IF(Summary!A133&lt;Calculation!FT136,FORECAST(8333.33,A127:A133,AT127:AT133),0)</f>
        <v>40702.849353595724</v>
      </c>
      <c r="AZ133" s="559"/>
      <c r="BA133" s="534">
        <f ca="1">IF(Summary!A133&lt;Calculation!FT136,FORECAST(3888.89,A127:A133,AU127:AU133),0)</f>
        <v>40780.070445875957</v>
      </c>
      <c r="BB133" s="559"/>
      <c r="BC133" s="826">
        <f>IF(Summary!A133&lt;Calculation!FT136,FORECAST(3888.89,A127:A133,AV127:AV133),0)</f>
        <v>40721.412984707727</v>
      </c>
      <c r="BD133" s="559"/>
      <c r="BE133" s="847">
        <f>IF(Summary!A133&lt;Calculation!FT136,FORECAST(3888.89,A127:A133,AW127:AW133),0)</f>
        <v>40702.849422749598</v>
      </c>
    </row>
    <row r="134" spans="1:57" ht="13.5" thickBot="1">
      <c r="A134" s="513">
        <v>40666</v>
      </c>
      <c r="B134" s="498">
        <f t="shared" si="25"/>
        <v>80.444000000000003</v>
      </c>
      <c r="C134" s="498">
        <f>Calculation!AA137</f>
        <v>85.949206569563032</v>
      </c>
      <c r="D134" s="498">
        <f>Calculation!Y137</f>
        <v>0</v>
      </c>
      <c r="E134" s="498">
        <f>Calculation!U137</f>
        <v>47.957000000000001</v>
      </c>
      <c r="F134" s="498">
        <f>Calculation!V137</f>
        <v>32.487000000000002</v>
      </c>
      <c r="G134" s="498">
        <f>Calculation!W137</f>
        <v>0</v>
      </c>
      <c r="H134" s="500">
        <f>Sheet1!H137</f>
        <v>0.37</v>
      </c>
      <c r="I134" s="501">
        <f>Sheet1!CW137</f>
        <v>2059.7916666666665</v>
      </c>
      <c r="J134" s="501">
        <f>Sheet1!CX137</f>
        <v>1315.8333333333333</v>
      </c>
      <c r="K134" s="501">
        <f>Sheet1!CV137</f>
        <v>1330</v>
      </c>
      <c r="L134" s="501">
        <f>Calculation!F137</f>
        <v>250</v>
      </c>
      <c r="M134" s="501">
        <f>Calculation!E137</f>
        <v>250</v>
      </c>
      <c r="N134" s="501">
        <f>Calculation!D137</f>
        <v>300</v>
      </c>
      <c r="O134" s="500">
        <f>Sheet1!CY137</f>
        <v>1148.1199999999999</v>
      </c>
      <c r="P134" s="514" t="e">
        <f>Calculation!ET137</f>
        <v>#N/A</v>
      </c>
      <c r="Q134" s="498">
        <f>Calculation!DF137</f>
        <v>31292.040000077883</v>
      </c>
      <c r="R134" s="500">
        <f t="shared" si="34"/>
        <v>30072.040000077883</v>
      </c>
      <c r="S134" s="498">
        <f t="shared" si="26"/>
        <v>308.98000000142201</v>
      </c>
      <c r="T134" s="498">
        <f ca="1">IF(A134&gt;$A$1,#N/A,VLOOKUP(A134,Calculation!$B$8:$IV$881,30,FALSE))</f>
        <v>11514.346219250152</v>
      </c>
      <c r="U134" s="498">
        <f t="shared" ref="U134:U197" si="35">D134</f>
        <v>0</v>
      </c>
      <c r="V134" s="498">
        <f>Calculation!AP137</f>
        <v>0</v>
      </c>
      <c r="W134" s="498">
        <f t="shared" ca="1" si="33"/>
        <v>0</v>
      </c>
      <c r="X134" s="498">
        <v>0</v>
      </c>
      <c r="Y134" s="744">
        <f t="shared" ref="Y134:Y189" ca="1" si="36">0.5*$W134</f>
        <v>0</v>
      </c>
      <c r="Z134" s="748">
        <f t="shared" ref="Z134:Z197" ca="1" si="37">W134-Y134</f>
        <v>0</v>
      </c>
      <c r="AA134" s="498">
        <f t="shared" ca="1" si="28"/>
        <v>19777.693780827729</v>
      </c>
      <c r="AB134" s="501">
        <f t="shared" ca="1" si="29"/>
        <v>18557.693780827729</v>
      </c>
      <c r="AC134" s="498" t="e">
        <f ca="1">IF(A134&gt;$A$1,#N/A,VLOOKUP(A134,Calculation!$B$8:$IV$881,155,FALSE))</f>
        <v>#N/A</v>
      </c>
      <c r="AD134" s="498" t="e">
        <f t="shared" ca="1" si="30"/>
        <v>#N/A</v>
      </c>
      <c r="AE134" s="498"/>
      <c r="AF134" s="501">
        <f>Calculation!G137</f>
        <v>1485.8144225927495</v>
      </c>
      <c r="AG134" s="498" t="str">
        <f t="shared" si="31"/>
        <v>Yes</v>
      </c>
      <c r="AH134" s="498" t="str">
        <f t="shared" si="32"/>
        <v>Yes</v>
      </c>
      <c r="AK134" s="738">
        <v>20113.77000004589</v>
      </c>
      <c r="AL134" s="738">
        <v>29033.040000072451</v>
      </c>
      <c r="AM134" s="740">
        <v>43662.600000104845</v>
      </c>
      <c r="AR134" s="549"/>
      <c r="AS134" s="471">
        <f ca="1">IF(Summary!A134&lt;Calculation!FT137,FORECAST(20000,A128:A134,T128:T134),0)</f>
        <v>40715.009568452129</v>
      </c>
      <c r="AT134" s="581">
        <f>Calculation!AR137*3.068</f>
        <v>5288.4138666666686</v>
      </c>
      <c r="AU134" s="575">
        <f ca="1">Calculation!DA137</f>
        <v>1632.3188357445406</v>
      </c>
      <c r="AV134" s="575">
        <f>Calculation!CF137*3.068</f>
        <v>2125.6870457278351</v>
      </c>
      <c r="AW134" s="582">
        <f>Calculation!BK137*3.068</f>
        <v>2467.9264711111082</v>
      </c>
      <c r="AX134" s="524"/>
      <c r="AY134" s="816">
        <f>IF(Summary!A134&lt;Calculation!FT137,FORECAST(8333.33,A128:A134,AT128:AT134),0)</f>
        <v>40702.849353595724</v>
      </c>
      <c r="AZ134" s="559"/>
      <c r="BA134" s="534">
        <f ca="1">IF(Summary!A134&lt;Calculation!FT137,FORECAST(3888.89,A128:A134,AU128:AU134),0)</f>
        <v>40780.483472101878</v>
      </c>
      <c r="BB134" s="559"/>
      <c r="BC134" s="826">
        <f>IF(Summary!A134&lt;Calculation!FT137,FORECAST(3888.89,A128:A134,AV128:AV134),0)</f>
        <v>40720.677621335999</v>
      </c>
      <c r="BD134" s="559"/>
      <c r="BE134" s="847">
        <f>IF(Summary!A134&lt;Calculation!FT137,FORECAST(3888.89,A128:A134,AW128:AW134),0)</f>
        <v>40702.849422749598</v>
      </c>
    </row>
    <row r="135" spans="1:57" ht="13.5" thickBot="1">
      <c r="A135" s="513">
        <v>40667</v>
      </c>
      <c r="B135" s="498">
        <f t="shared" si="25"/>
        <v>74.256</v>
      </c>
      <c r="C135" s="498">
        <f>Calculation!AA138</f>
        <v>87.463907930174557</v>
      </c>
      <c r="D135" s="498">
        <f>Calculation!Y138</f>
        <v>0</v>
      </c>
      <c r="E135" s="498">
        <f>Calculation!U138</f>
        <v>44.863</v>
      </c>
      <c r="F135" s="498">
        <f>Calculation!V138</f>
        <v>29.392999999999997</v>
      </c>
      <c r="G135" s="498">
        <f>Calculation!W138</f>
        <v>0</v>
      </c>
      <c r="H135" s="500">
        <f>Sheet1!H138</f>
        <v>1.36</v>
      </c>
      <c r="I135" s="501">
        <f>Sheet1!CW138</f>
        <v>2007.3958333333333</v>
      </c>
      <c r="J135" s="501">
        <f>Sheet1!CX138</f>
        <v>1283.6458333333333</v>
      </c>
      <c r="K135" s="501">
        <f>Sheet1!CV138</f>
        <v>1331.7391304347825</v>
      </c>
      <c r="L135" s="501">
        <f>Calculation!F138</f>
        <v>250</v>
      </c>
      <c r="M135" s="501">
        <f>Calculation!E138</f>
        <v>250</v>
      </c>
      <c r="N135" s="501">
        <f>Calculation!D138</f>
        <v>300</v>
      </c>
      <c r="O135" s="500">
        <f>Sheet1!CY138</f>
        <v>1148.5</v>
      </c>
      <c r="P135" s="514" t="e">
        <f>Calculation!ET138</f>
        <v>#N/A</v>
      </c>
      <c r="Q135" s="498">
        <f>Calculation!DF138</f>
        <v>31631.000000078289</v>
      </c>
      <c r="R135" s="500">
        <f t="shared" si="34"/>
        <v>30411.000000078289</v>
      </c>
      <c r="S135" s="498">
        <f t="shared" si="26"/>
        <v>338.96000000040658</v>
      </c>
      <c r="T135" s="498">
        <f ca="1">IF(A135&gt;$A$1,#N/A,VLOOKUP(A135,Calculation!$B$8:$IV$881,30,FALSE))</f>
        <v>11687.804053464615</v>
      </c>
      <c r="U135" s="498">
        <f t="shared" si="35"/>
        <v>0</v>
      </c>
      <c r="V135" s="498">
        <f>Calculation!AP138</f>
        <v>0</v>
      </c>
      <c r="W135" s="498">
        <f t="shared" ca="1" si="33"/>
        <v>0</v>
      </c>
      <c r="X135" s="498">
        <v>0</v>
      </c>
      <c r="Y135" s="744">
        <f t="shared" ca="1" si="36"/>
        <v>0</v>
      </c>
      <c r="Z135" s="748">
        <f t="shared" ca="1" si="37"/>
        <v>0</v>
      </c>
      <c r="AA135" s="498">
        <f t="shared" ca="1" si="28"/>
        <v>19943.195946613676</v>
      </c>
      <c r="AB135" s="501">
        <f t="shared" ca="1" si="29"/>
        <v>18723.195946613676</v>
      </c>
      <c r="AC135" s="498" t="e">
        <f ca="1">IF(A135&gt;$A$1,#N/A,VLOOKUP(A135,Calculation!$B$8:$IV$881,155,FALSE))</f>
        <v>#N/A</v>
      </c>
      <c r="AD135" s="498" t="e">
        <f t="shared" ca="1" si="30"/>
        <v>#N/A</v>
      </c>
      <c r="AE135" s="498"/>
      <c r="AF135" s="501">
        <f>Calculation!G138</f>
        <v>1502.6720603391732</v>
      </c>
      <c r="AG135" s="498" t="str">
        <f t="shared" si="31"/>
        <v>Yes</v>
      </c>
      <c r="AH135" s="498" t="str">
        <f t="shared" si="32"/>
        <v>Yes</v>
      </c>
      <c r="AK135" s="738">
        <v>20008.20000004589</v>
      </c>
      <c r="AL135" s="738">
        <v>29314.200000072644</v>
      </c>
      <c r="AM135" s="740">
        <v>44677.200000106801</v>
      </c>
      <c r="AR135" s="549"/>
      <c r="AS135" s="471">
        <f ca="1">IF(Summary!A135&lt;Calculation!FT138,FORECAST(20000,A129:A135,T129:T135),0)</f>
        <v>40714.990081920878</v>
      </c>
      <c r="AT135" s="581">
        <f>Calculation!AR138*3.068</f>
        <v>5371.0453333333353</v>
      </c>
      <c r="AU135" s="575">
        <f ca="1">Calculation!DA138</f>
        <v>1653.3780501972976</v>
      </c>
      <c r="AV135" s="575">
        <f>Calculation!CF138*3.068</f>
        <v>2156.8928477117643</v>
      </c>
      <c r="AW135" s="582">
        <f>Calculation!BK138*3.068</f>
        <v>2506.4878222222192</v>
      </c>
      <c r="AX135" s="524"/>
      <c r="AY135" s="816">
        <f>IF(Summary!A135&lt;Calculation!FT138,FORECAST(8333.33,A129:A135,AT129:AT135),0)</f>
        <v>40702.849353595724</v>
      </c>
      <c r="AZ135" s="559"/>
      <c r="BA135" s="534">
        <f ca="1">IF(Summary!A135&lt;Calculation!FT138,FORECAST(3888.89,A129:A135,AU129:AU135),0)</f>
        <v>40779.725354002905</v>
      </c>
      <c r="BB135" s="559"/>
      <c r="BC135" s="826">
        <f>IF(Summary!A135&lt;Calculation!FT138,FORECAST(3888.89,A129:A135,AV129:AV135),0)</f>
        <v>40720.784457417911</v>
      </c>
      <c r="BD135" s="559"/>
      <c r="BE135" s="847">
        <f>IF(Summary!A135&lt;Calculation!FT138,FORECAST(3888.89,A129:A135,AW129:AW135),0)</f>
        <v>40702.849422749598</v>
      </c>
    </row>
    <row r="136" spans="1:57" ht="13.5" thickBot="1">
      <c r="A136" s="513">
        <v>40668</v>
      </c>
      <c r="B136" s="498">
        <f t="shared" si="25"/>
        <v>78.896999999999991</v>
      </c>
      <c r="C136" s="498">
        <f>Calculation!AA139</f>
        <v>86.747816144007572</v>
      </c>
      <c r="D136" s="498">
        <f>Calculation!Y139</f>
        <v>0</v>
      </c>
      <c r="E136" s="498">
        <f>Calculation!U139</f>
        <v>46.41</v>
      </c>
      <c r="F136" s="498">
        <f>Calculation!V139</f>
        <v>32.487000000000002</v>
      </c>
      <c r="G136" s="498">
        <f>Calculation!W139</f>
        <v>0</v>
      </c>
      <c r="H136" s="500">
        <f>Sheet1!H139</f>
        <v>1.36</v>
      </c>
      <c r="I136" s="501">
        <f>Sheet1!CW139</f>
        <v>1988.75</v>
      </c>
      <c r="J136" s="501">
        <f>Sheet1!CX139</f>
        <v>1280</v>
      </c>
      <c r="K136" s="501">
        <f>Sheet1!CV139</f>
        <v>1339.090909090909</v>
      </c>
      <c r="L136" s="501">
        <f>Calculation!F139</f>
        <v>250</v>
      </c>
      <c r="M136" s="501">
        <f>Calculation!E139</f>
        <v>250</v>
      </c>
      <c r="N136" s="501">
        <f>Calculation!D139</f>
        <v>300</v>
      </c>
      <c r="O136" s="500">
        <f>Sheet1!CY139</f>
        <v>1149.0149999999999</v>
      </c>
      <c r="P136" s="514" t="e">
        <f>Calculation!ET139</f>
        <v>#N/A</v>
      </c>
      <c r="Q136" s="498">
        <f>Calculation!DF139</f>
        <v>32090.575000079738</v>
      </c>
      <c r="R136" s="500">
        <f t="shared" si="34"/>
        <v>30870.575000079738</v>
      </c>
      <c r="S136" s="498">
        <f t="shared" si="26"/>
        <v>459.57500000144864</v>
      </c>
      <c r="T136" s="498">
        <f ca="1">IF(A136&gt;$A$1,#N/A,VLOOKUP(A136,Calculation!$B$8:$IV$881,30,FALSE))</f>
        <v>11859.841739262814</v>
      </c>
      <c r="U136" s="498">
        <f t="shared" si="35"/>
        <v>0</v>
      </c>
      <c r="V136" s="498">
        <f>Calculation!AP139</f>
        <v>0</v>
      </c>
      <c r="W136" s="498">
        <f t="shared" ca="1" si="33"/>
        <v>0</v>
      </c>
      <c r="X136" s="498">
        <v>0</v>
      </c>
      <c r="Y136" s="744">
        <f t="shared" ca="1" si="36"/>
        <v>0</v>
      </c>
      <c r="Z136" s="748">
        <f t="shared" ca="1" si="37"/>
        <v>0</v>
      </c>
      <c r="AA136" s="498">
        <f t="shared" ca="1" si="28"/>
        <v>20230.733260816924</v>
      </c>
      <c r="AB136" s="501">
        <f t="shared" ca="1" si="29"/>
        <v>19010.733260816924</v>
      </c>
      <c r="AC136" s="498" t="e">
        <f ca="1">IF(A136&gt;$A$1,#N/A,VLOOKUP(A136,Calculation!$B$8:$IV$881,155,FALSE))</f>
        <v>#N/A</v>
      </c>
      <c r="AD136" s="498" t="e">
        <f t="shared" ca="1" si="30"/>
        <v>#N/A</v>
      </c>
      <c r="AE136" s="498"/>
      <c r="AF136" s="501">
        <f>Calculation!G139</f>
        <v>1570.8483473165513</v>
      </c>
      <c r="AG136" s="498" t="str">
        <f t="shared" si="31"/>
        <v>Yes</v>
      </c>
      <c r="AH136" s="498" t="str">
        <f t="shared" si="32"/>
        <v>Yes</v>
      </c>
      <c r="AK136" s="738">
        <v>20206.92000004603</v>
      </c>
      <c r="AL136" s="738">
        <v>29796.650000074344</v>
      </c>
      <c r="AM136" s="740">
        <v>45886.160000109237</v>
      </c>
      <c r="AR136" s="549"/>
      <c r="AS136" s="471">
        <f ca="1">IF(Summary!A136&lt;Calculation!FT139,FORECAST(20000,A130:A136,T130:T136),0)</f>
        <v>40715.089176202397</v>
      </c>
      <c r="AT136" s="581">
        <f>Calculation!AR139*3.068</f>
        <v>5453.676800000002</v>
      </c>
      <c r="AU136" s="575">
        <f ca="1">Calculation!DA139</f>
        <v>1673.535761327357</v>
      </c>
      <c r="AV136" s="575">
        <f>Calculation!CF139*3.068</f>
        <v>2187.5800046021268</v>
      </c>
      <c r="AW136" s="582">
        <f>Calculation!BK139*3.068</f>
        <v>2545.0491733333301</v>
      </c>
      <c r="AX136" s="524"/>
      <c r="AY136" s="816">
        <f>IF(Summary!A136&lt;Calculation!FT139,FORECAST(8333.33,A130:A136,AT130:AT136),0)</f>
        <v>40702.849353595724</v>
      </c>
      <c r="AZ136" s="559"/>
      <c r="BA136" s="534">
        <f ca="1">IF(Summary!A136&lt;Calculation!FT139,FORECAST(3888.89,A130:A136,AU130:AU136),0)</f>
        <v>40778.8042651793</v>
      </c>
      <c r="BB136" s="559"/>
      <c r="BC136" s="826">
        <f>IF(Summary!A136&lt;Calculation!FT139,FORECAST(3888.89,A130:A136,AV130:AV136),0)</f>
        <v>40721.670038001066</v>
      </c>
      <c r="BD136" s="559"/>
      <c r="BE136" s="847">
        <f>IF(Summary!A136&lt;Calculation!FT139,FORECAST(3888.89,A130:A136,AW130:AW136),0)</f>
        <v>40702.849422749598</v>
      </c>
    </row>
    <row r="137" spans="1:57" ht="13.5" thickBot="1">
      <c r="A137" s="513">
        <v>40669</v>
      </c>
      <c r="B137" s="498">
        <f t="shared" si="25"/>
        <v>83.537999999999997</v>
      </c>
      <c r="C137" s="498">
        <f>Calculation!AA140</f>
        <v>86.00330138753867</v>
      </c>
      <c r="D137" s="498">
        <f>Calculation!Y140</f>
        <v>0</v>
      </c>
      <c r="E137" s="498">
        <f>Calculation!U140</f>
        <v>46.41</v>
      </c>
      <c r="F137" s="498">
        <f>Calculation!V140</f>
        <v>37.128</v>
      </c>
      <c r="G137" s="498">
        <f>Calculation!W140</f>
        <v>0</v>
      </c>
      <c r="H137" s="500">
        <f>Sheet1!H140</f>
        <v>0.35</v>
      </c>
      <c r="I137" s="501">
        <f>Sheet1!CW140</f>
        <v>2029.5833333333333</v>
      </c>
      <c r="J137" s="501">
        <f>Sheet1!CX140</f>
        <v>1441.5625</v>
      </c>
      <c r="K137" s="501">
        <f>Sheet1!CV140</f>
        <v>1465.4545454545455</v>
      </c>
      <c r="L137" s="501">
        <f>Calculation!F140</f>
        <v>250</v>
      </c>
      <c r="M137" s="501">
        <f>Calculation!E140</f>
        <v>250</v>
      </c>
      <c r="N137" s="501">
        <f>Calculation!D140</f>
        <v>300</v>
      </c>
      <c r="O137" s="500">
        <f>Sheet1!CY140</f>
        <v>1149.53</v>
      </c>
      <c r="P137" s="514" t="e">
        <f>Calculation!ET140</f>
        <v>#N/A</v>
      </c>
      <c r="Q137" s="498">
        <f>Calculation!DF140</f>
        <v>32556.650000080252</v>
      </c>
      <c r="R137" s="500">
        <f t="shared" si="34"/>
        <v>31336.650000080252</v>
      </c>
      <c r="S137" s="498">
        <f t="shared" si="26"/>
        <v>466.07500000051368</v>
      </c>
      <c r="T137" s="498">
        <f ca="1">IF(A137&gt;$A$1,#N/A,VLOOKUP(A137,Calculation!$B$8:$IV$881,30,FALSE))</f>
        <v>12030.402908401127</v>
      </c>
      <c r="U137" s="498">
        <f t="shared" si="35"/>
        <v>0</v>
      </c>
      <c r="V137" s="498">
        <f>Calculation!AP140</f>
        <v>0</v>
      </c>
      <c r="W137" s="498">
        <f t="shared" ca="1" si="33"/>
        <v>0</v>
      </c>
      <c r="X137" s="498">
        <v>0</v>
      </c>
      <c r="Y137" s="744">
        <f t="shared" ca="1" si="36"/>
        <v>0</v>
      </c>
      <c r="Z137" s="748">
        <f t="shared" ca="1" si="37"/>
        <v>0</v>
      </c>
      <c r="AA137" s="498">
        <f t="shared" ca="1" si="28"/>
        <v>20526.247091679124</v>
      </c>
      <c r="AB137" s="501">
        <f t="shared" ca="1" si="29"/>
        <v>19306.247091679124</v>
      </c>
      <c r="AC137" s="498" t="e">
        <f ca="1">IF(A137&gt;$A$1,#N/A,VLOOKUP(A137,Calculation!$B$8:$IV$881,155,FALSE))</f>
        <v>#N/A</v>
      </c>
      <c r="AD137" s="498" t="e">
        <f t="shared" ca="1" si="30"/>
        <v>#N/A</v>
      </c>
      <c r="AE137" s="498"/>
      <c r="AF137" s="501">
        <f>Calculation!G140</f>
        <v>1700.4898455052332</v>
      </c>
      <c r="AG137" s="498" t="str">
        <f t="shared" si="31"/>
        <v>Yes</v>
      </c>
      <c r="AH137" s="498" t="str">
        <f t="shared" si="32"/>
        <v>Yes</v>
      </c>
      <c r="AK137" s="738">
        <v>21604.900000050045</v>
      </c>
      <c r="AL137" s="738">
        <v>30159.950000074539</v>
      </c>
      <c r="AM137" s="740">
        <v>47307.720000112713</v>
      </c>
      <c r="AR137" s="549"/>
      <c r="AS137" s="471">
        <f ca="1">IF(Summary!A137&lt;Calculation!FT140,FORECAST(20000,A131:A137,T131:T137),0)</f>
        <v>40715.274942858276</v>
      </c>
      <c r="AT137" s="581">
        <f>Calculation!AR140*3.068</f>
        <v>5536.3082666666687</v>
      </c>
      <c r="AU137" s="575">
        <f ca="1">Calculation!DA140</f>
        <v>1692.5421712100103</v>
      </c>
      <c r="AV137" s="575">
        <f>Calculation!CF140*3.068</f>
        <v>2217.9419460800082</v>
      </c>
      <c r="AW137" s="582">
        <f>Calculation!BK140*3.068</f>
        <v>2583.6105244444411</v>
      </c>
      <c r="AX137" s="524"/>
      <c r="AY137" s="816">
        <f>IF(Summary!A137&lt;Calculation!FT140,FORECAST(8333.33,A131:A137,AT131:AT137),0)</f>
        <v>40702.849353595724</v>
      </c>
      <c r="AZ137" s="559"/>
      <c r="BA137" s="534">
        <f ca="1">IF(Summary!A137&lt;Calculation!FT140,FORECAST(3888.89,A131:A137,AU131:AU137),0)</f>
        <v>40778.904491904817</v>
      </c>
      <c r="BB137" s="559"/>
      <c r="BC137" s="826">
        <f>IF(Summary!A137&lt;Calculation!FT140,FORECAST(3888.89,A131:A137,AV131:AV137),0)</f>
        <v>40722.822754951652</v>
      </c>
      <c r="BD137" s="559"/>
      <c r="BE137" s="847">
        <f>IF(Summary!A137&lt;Calculation!FT140,FORECAST(3888.89,A131:A137,AW131:AW137),0)</f>
        <v>40702.849422749598</v>
      </c>
    </row>
    <row r="138" spans="1:57" ht="13.5" thickBot="1">
      <c r="A138" s="513">
        <v>40670</v>
      </c>
      <c r="B138" s="498">
        <f t="shared" si="25"/>
        <v>83.537999999999997</v>
      </c>
      <c r="C138" s="498">
        <f>Calculation!AA141</f>
        <v>86.751473939393932</v>
      </c>
      <c r="D138" s="498">
        <f>Calculation!Y141</f>
        <v>0</v>
      </c>
      <c r="E138" s="498">
        <f>Calculation!U141</f>
        <v>47.957000000000001</v>
      </c>
      <c r="F138" s="498">
        <f>Calculation!V141</f>
        <v>35.580999999999996</v>
      </c>
      <c r="G138" s="498">
        <f>Calculation!W141</f>
        <v>0</v>
      </c>
      <c r="H138" s="500">
        <f>Sheet1!H141</f>
        <v>0.34</v>
      </c>
      <c r="I138" s="501">
        <f>Sheet1!CW141</f>
        <v>2437.0833333333335</v>
      </c>
      <c r="J138" s="501">
        <f>Sheet1!CX141</f>
        <v>1726.25</v>
      </c>
      <c r="K138" s="501">
        <f>Sheet1!CV141</f>
        <v>1690</v>
      </c>
      <c r="L138" s="501">
        <f>Calculation!F141</f>
        <v>250</v>
      </c>
      <c r="M138" s="501">
        <f>Calculation!E141</f>
        <v>250</v>
      </c>
      <c r="N138" s="501">
        <f>Calculation!D141</f>
        <v>300</v>
      </c>
      <c r="O138" s="500">
        <f>Sheet1!CY141</f>
        <v>1150.28</v>
      </c>
      <c r="P138" s="514" t="e">
        <f>Calculation!ET141</f>
        <v>#N/A</v>
      </c>
      <c r="Q138" s="498">
        <f>Calculation!DF141</f>
        <v>33239.320000082116</v>
      </c>
      <c r="R138" s="500">
        <f t="shared" si="34"/>
        <v>32019.320000082116</v>
      </c>
      <c r="S138" s="498">
        <f t="shared" si="26"/>
        <v>682.67000000186454</v>
      </c>
      <c r="T138" s="498">
        <f ca="1">IF(A138&gt;$A$1,#N/A,VLOOKUP(A138,Calculation!$B$8:$IV$881,30,FALSE))</f>
        <v>12202.44784831455</v>
      </c>
      <c r="U138" s="498">
        <f t="shared" si="35"/>
        <v>0</v>
      </c>
      <c r="V138" s="498">
        <f>Calculation!AP141</f>
        <v>0</v>
      </c>
      <c r="W138" s="498">
        <f t="shared" ca="1" si="33"/>
        <v>0</v>
      </c>
      <c r="X138" s="498">
        <v>0</v>
      </c>
      <c r="Y138" s="744">
        <f t="shared" ca="1" si="36"/>
        <v>0</v>
      </c>
      <c r="Z138" s="748">
        <f t="shared" ca="1" si="37"/>
        <v>0</v>
      </c>
      <c r="AA138" s="498">
        <f t="shared" ca="1" si="28"/>
        <v>21036.872151767566</v>
      </c>
      <c r="AB138" s="501">
        <f t="shared" ca="1" si="29"/>
        <v>19816.872151767566</v>
      </c>
      <c r="AC138" s="498" t="e">
        <f ca="1">IF(A138&gt;$A$1,#N/A,VLOOKUP(A138,Calculation!$B$8:$IV$881,155,FALSE))</f>
        <v>#N/A</v>
      </c>
      <c r="AD138" s="498" t="e">
        <f t="shared" ca="1" si="30"/>
        <v>#N/A</v>
      </c>
      <c r="AE138" s="498"/>
      <c r="AF138" s="501">
        <f>Calculation!G141</f>
        <v>2034.2612203741121</v>
      </c>
      <c r="AG138" s="498" t="str">
        <f t="shared" si="31"/>
        <v>Yes</v>
      </c>
      <c r="AH138" s="498" t="str">
        <f t="shared" si="32"/>
        <v>Yes</v>
      </c>
      <c r="AK138" s="738">
        <v>22390.990000052181</v>
      </c>
      <c r="AL138" s="738">
        <v>30500.160000076059</v>
      </c>
      <c r="AM138" s="740">
        <v>48815.100000115097</v>
      </c>
      <c r="AR138" s="549"/>
      <c r="AS138" s="471">
        <f ca="1">IF(Summary!A138&lt;Calculation!FT141,FORECAST(20000,A132:A138,T132:T138),0)</f>
        <v>40715.377648065536</v>
      </c>
      <c r="AT138" s="581">
        <f>Calculation!AR141*3.068</f>
        <v>5618.9397333333354</v>
      </c>
      <c r="AU138" s="575">
        <f ca="1">Calculation!DA141</f>
        <v>1712.7141162605153</v>
      </c>
      <c r="AV138" s="575">
        <f>Calculation!CF141*3.068</f>
        <v>2248.6221231651452</v>
      </c>
      <c r="AW138" s="582">
        <f>Calculation!BK141*3.068</f>
        <v>2622.1718755555521</v>
      </c>
      <c r="AX138" s="524"/>
      <c r="AY138" s="816">
        <f>IF(Summary!A138&lt;Calculation!FT141,FORECAST(8333.33,A132:A138,AT132:AT138),0)</f>
        <v>40702.849353595724</v>
      </c>
      <c r="AZ138" s="559"/>
      <c r="BA138" s="534">
        <f ca="1">IF(Summary!A138&lt;Calculation!FT141,FORECAST(3888.89,A132:A138,AU132:AU138),0)</f>
        <v>40779.004945220004</v>
      </c>
      <c r="BB138" s="559"/>
      <c r="BC138" s="826">
        <f>IF(Summary!A138&lt;Calculation!FT141,FORECAST(3888.89,A132:A138,AV132:AV138),0)</f>
        <v>40723.463828789529</v>
      </c>
      <c r="BD138" s="559"/>
      <c r="BE138" s="847">
        <f>IF(Summary!A138&lt;Calculation!FT141,FORECAST(3888.89,A132:A138,AW132:AW138),0)</f>
        <v>40702.849422749598</v>
      </c>
    </row>
    <row r="139" spans="1:57" ht="13.5" thickBot="1">
      <c r="A139" s="513">
        <v>40671</v>
      </c>
      <c r="B139" s="498">
        <f t="shared" si="25"/>
        <v>86.632000000000005</v>
      </c>
      <c r="C139" s="498">
        <f>Calculation!AA142</f>
        <v>86.707943636363623</v>
      </c>
      <c r="D139" s="498">
        <f>Calculation!Y142</f>
        <v>0</v>
      </c>
      <c r="E139" s="498">
        <f>Calculation!U142</f>
        <v>44.863</v>
      </c>
      <c r="F139" s="498">
        <f>Calculation!V142</f>
        <v>41.768999999999998</v>
      </c>
      <c r="G139" s="498">
        <f>Calculation!W142</f>
        <v>0</v>
      </c>
      <c r="H139" s="500">
        <f>Sheet1!H142</f>
        <v>0.59</v>
      </c>
      <c r="I139" s="501">
        <f>Sheet1!CW142</f>
        <v>2678.3333333333335</v>
      </c>
      <c r="J139" s="501">
        <f>Sheet1!CX142</f>
        <v>1972.7083333333333</v>
      </c>
      <c r="K139" s="501">
        <f>Sheet1!CV142</f>
        <v>1896.3636363636363</v>
      </c>
      <c r="L139" s="501">
        <f>Calculation!F142</f>
        <v>250</v>
      </c>
      <c r="M139" s="501">
        <f>Calculation!E142</f>
        <v>250</v>
      </c>
      <c r="N139" s="501">
        <f>Calculation!D142</f>
        <v>300</v>
      </c>
      <c r="O139" s="500">
        <f>Sheet1!CY142</f>
        <v>1151.03</v>
      </c>
      <c r="P139" s="514" t="e">
        <f>Calculation!ET142</f>
        <v>#N/A</v>
      </c>
      <c r="Q139" s="498">
        <f>Calculation!DF142</f>
        <v>33928.990000084006</v>
      </c>
      <c r="R139" s="500">
        <f t="shared" si="34"/>
        <v>32708.990000084006</v>
      </c>
      <c r="S139" s="498">
        <f t="shared" si="26"/>
        <v>689.67000000189</v>
      </c>
      <c r="T139" s="498">
        <f ca="1">IF(A139&gt;$A$1,#N/A,VLOOKUP(A139,Calculation!$B$8:$IV$881,30,FALSE))</f>
        <v>12374.406459223639</v>
      </c>
      <c r="U139" s="498">
        <f t="shared" si="35"/>
        <v>0</v>
      </c>
      <c r="V139" s="498">
        <f>Calculation!AP142</f>
        <v>0</v>
      </c>
      <c r="W139" s="498">
        <f t="shared" ca="1" si="33"/>
        <v>0</v>
      </c>
      <c r="X139" s="498">
        <v>0</v>
      </c>
      <c r="Y139" s="744">
        <f t="shared" ca="1" si="36"/>
        <v>0</v>
      </c>
      <c r="Z139" s="748">
        <f t="shared" ca="1" si="37"/>
        <v>0</v>
      </c>
      <c r="AA139" s="498">
        <f t="shared" ca="1" si="28"/>
        <v>21554.583540860367</v>
      </c>
      <c r="AB139" s="501">
        <f t="shared" ca="1" si="29"/>
        <v>20334.583540860367</v>
      </c>
      <c r="AC139" s="498" t="e">
        <f ca="1">IF(A139&gt;$A$1,#N/A,VLOOKUP(A139,Calculation!$B$8:$IV$881,155,FALSE))</f>
        <v>#N/A</v>
      </c>
      <c r="AD139" s="498" t="e">
        <f t="shared" ca="1" si="30"/>
        <v>#N/A</v>
      </c>
      <c r="AE139" s="498"/>
      <c r="AF139" s="501">
        <f>Calculation!G142</f>
        <v>2244.1548617806257</v>
      </c>
      <c r="AG139" s="498" t="str">
        <f t="shared" si="31"/>
        <v>Yes</v>
      </c>
      <c r="AH139" s="498" t="str">
        <f t="shared" si="32"/>
        <v>Yes</v>
      </c>
      <c r="AK139" s="738">
        <v>22937.700000054203</v>
      </c>
      <c r="AL139" s="738">
        <v>30710.88000007626</v>
      </c>
      <c r="AM139" s="740">
        <v>50273.840000117518</v>
      </c>
      <c r="AR139" s="549"/>
      <c r="AS139" s="471">
        <f ca="1">IF(Summary!A139&lt;Calculation!FT142,FORECAST(20000,A133:A139,T133:T139),0)</f>
        <v>40715.386784626935</v>
      </c>
      <c r="AT139" s="581">
        <f>Calculation!AR142*3.068</f>
        <v>5701.5712000000021</v>
      </c>
      <c r="AU139" s="575">
        <f ca="1">Calculation!DA142</f>
        <v>1732.6342810825056</v>
      </c>
      <c r="AV139" s="575">
        <f>Calculation!CF142*3.068</f>
        <v>2279.4677514744676</v>
      </c>
      <c r="AW139" s="582">
        <f>Calculation!BK142*3.068</f>
        <v>2660.7332266666631</v>
      </c>
      <c r="AX139" s="524"/>
      <c r="AY139" s="816">
        <f>IF(Summary!A139&lt;Calculation!FT142,FORECAST(8333.33,A133:A139,AT133:AT139),0)</f>
        <v>40702.849353595724</v>
      </c>
      <c r="AZ139" s="559"/>
      <c r="BA139" s="534">
        <f ca="1">IF(Summary!A139&lt;Calculation!FT142,FORECAST(3888.89,A133:A139,AU133:AU139),0)</f>
        <v>40779.174662329686</v>
      </c>
      <c r="BB139" s="559"/>
      <c r="BC139" s="826">
        <f>IF(Summary!A139&lt;Calculation!FT142,FORECAST(3888.89,A133:A139,AV133:AV139),0)</f>
        <v>40723.468483395591</v>
      </c>
      <c r="BD139" s="559"/>
      <c r="BE139" s="847">
        <f>IF(Summary!A139&lt;Calculation!FT142,FORECAST(3888.89,A133:A139,AW133:AW139),0)</f>
        <v>40702.849422749598</v>
      </c>
    </row>
    <row r="140" spans="1:57" ht="13.5" thickBot="1">
      <c r="A140" s="513">
        <v>40672</v>
      </c>
      <c r="B140" s="498">
        <f t="shared" si="25"/>
        <v>87.482849999993249</v>
      </c>
      <c r="C140" s="498">
        <f>Calculation!AA143</f>
        <v>90.147903152708807</v>
      </c>
      <c r="D140" s="498">
        <f>Calculation!Y143</f>
        <v>0</v>
      </c>
      <c r="E140" s="498">
        <f>Calculation!U143</f>
        <v>47.028799999990994</v>
      </c>
      <c r="F140" s="498">
        <f>Calculation!V143</f>
        <v>40.454050000002248</v>
      </c>
      <c r="G140" s="498">
        <f>Calculation!W143</f>
        <v>0</v>
      </c>
      <c r="H140" s="500">
        <f>Sheet1!H143</f>
        <v>1.73</v>
      </c>
      <c r="I140" s="501">
        <f>Sheet1!CW143</f>
        <v>2941.25</v>
      </c>
      <c r="J140" s="501">
        <f>Sheet1!CX143</f>
        <v>1986.25</v>
      </c>
      <c r="K140" s="501">
        <f>Sheet1!CV143</f>
        <v>1951.8181818181818</v>
      </c>
      <c r="L140" s="501">
        <f>Calculation!F143</f>
        <v>250</v>
      </c>
      <c r="M140" s="501">
        <f>Calculation!E143</f>
        <v>250</v>
      </c>
      <c r="N140" s="501">
        <f>Calculation!D143</f>
        <v>300</v>
      </c>
      <c r="O140" s="500">
        <f>Sheet1!CY143</f>
        <v>1150.8499999999999</v>
      </c>
      <c r="P140" s="514" t="e">
        <f>Calculation!ET143</f>
        <v>#N/A</v>
      </c>
      <c r="Q140" s="498">
        <f>Calculation!DF143</f>
        <v>33763.150000082533</v>
      </c>
      <c r="R140" s="500">
        <f t="shared" si="34"/>
        <v>32543.150000082533</v>
      </c>
      <c r="S140" s="498">
        <f t="shared" si="26"/>
        <v>-165.84000000147353</v>
      </c>
      <c r="T140" s="498">
        <f ca="1">IF(A140&gt;$A$1,#N/A,VLOOKUP(A140,Calculation!$B$8:$IV$881,30,FALSE))</f>
        <v>12553.187174719766</v>
      </c>
      <c r="U140" s="498">
        <f t="shared" si="35"/>
        <v>0</v>
      </c>
      <c r="V140" s="498">
        <f>Calculation!AP143</f>
        <v>0</v>
      </c>
      <c r="W140" s="498">
        <f t="shared" ca="1" si="33"/>
        <v>0</v>
      </c>
      <c r="X140" s="498">
        <v>0</v>
      </c>
      <c r="Y140" s="744">
        <f t="shared" ca="1" si="36"/>
        <v>0</v>
      </c>
      <c r="Z140" s="748">
        <f t="shared" ca="1" si="37"/>
        <v>0</v>
      </c>
      <c r="AA140" s="498">
        <f t="shared" ca="1" si="28"/>
        <v>21209.962825362767</v>
      </c>
      <c r="AB140" s="501">
        <f t="shared" ca="1" si="29"/>
        <v>19989.962825362767</v>
      </c>
      <c r="AC140" s="498" t="e">
        <f ca="1">IF(A140&gt;$A$1,#N/A,VLOOKUP(A140,Calculation!$B$8:$IV$881,155,FALSE))</f>
        <v>#N/A</v>
      </c>
      <c r="AD140" s="498" t="e">
        <f t="shared" ca="1" si="30"/>
        <v>#N/A</v>
      </c>
      <c r="AE140" s="498"/>
      <c r="AF140" s="501">
        <f>Calculation!G143</f>
        <v>1868.1873194876352</v>
      </c>
      <c r="AG140" s="498" t="str">
        <f t="shared" si="31"/>
        <v>Yes</v>
      </c>
      <c r="AH140" s="498" t="str">
        <f t="shared" si="32"/>
        <v>Yes</v>
      </c>
      <c r="AK140" s="738">
        <v>23014.150000054204</v>
      </c>
      <c r="AL140" s="738">
        <v>31097.20000007666</v>
      </c>
      <c r="AM140" s="740">
        <v>51592.000000121217</v>
      </c>
      <c r="AR140" s="549"/>
      <c r="AS140" s="471">
        <f ca="1">IF(Summary!A140&lt;Calculation!FT143,FORECAST(20000,A134:A140,T134:T140),0)</f>
        <v>40715.168777623396</v>
      </c>
      <c r="AT140" s="581">
        <f>Calculation!AR143*3.068</f>
        <v>5784.2026666666698</v>
      </c>
      <c r="AU140" s="575">
        <f ca="1">Calculation!DA143</f>
        <v>1754.1167929958674</v>
      </c>
      <c r="AV140" s="575">
        <f>Calculation!CF143*3.068</f>
        <v>2315.5731372794562</v>
      </c>
      <c r="AW140" s="582">
        <f>Calculation!BK143*3.068</f>
        <v>2699.2945777777741</v>
      </c>
      <c r="AX140" s="524"/>
      <c r="AY140" s="816">
        <f>IF(Summary!A140&lt;Calculation!FT143,FORECAST(8333.33,A134:A140,AT134:AT140),0)</f>
        <v>40702.849353595724</v>
      </c>
      <c r="AZ140" s="559"/>
      <c r="BA140" s="534">
        <f ca="1">IF(Summary!A140&lt;Calculation!FT143,FORECAST(3888.89,A134:A140,AU134:AU140),0)</f>
        <v>40778.169933977049</v>
      </c>
      <c r="BB140" s="559"/>
      <c r="BC140" s="826">
        <f>IF(Summary!A140&lt;Calculation!FT143,FORECAST(3888.89,A134:A140,AV134:AV140),0)</f>
        <v>40722.359087052428</v>
      </c>
      <c r="BD140" s="559"/>
      <c r="BE140" s="847">
        <f>IF(Summary!A140&lt;Calculation!FT143,FORECAST(3888.89,A134:A140,AW134:AW140),0)</f>
        <v>40702.849422749598</v>
      </c>
    </row>
    <row r="141" spans="1:57" ht="13.5" thickBot="1">
      <c r="A141" s="513">
        <v>40673</v>
      </c>
      <c r="B141" s="498">
        <f t="shared" ref="B141:B204" si="38">E141+F141</f>
        <v>82.021940000006296</v>
      </c>
      <c r="C141" s="498">
        <f>Calculation!AA144</f>
        <v>88.065142964582421</v>
      </c>
      <c r="D141" s="498">
        <f>Calculation!Y144</f>
        <v>0</v>
      </c>
      <c r="E141" s="498">
        <f>Calculation!U144</f>
        <v>46.4409400000063</v>
      </c>
      <c r="F141" s="498">
        <f>Calculation!V144</f>
        <v>35.580999999999996</v>
      </c>
      <c r="G141" s="498">
        <f>Calculation!W144</f>
        <v>0</v>
      </c>
      <c r="H141" s="500">
        <f>Sheet1!H144</f>
        <v>1.88</v>
      </c>
      <c r="I141" s="501">
        <f>Sheet1!CW144</f>
        <v>2448.3333333333335</v>
      </c>
      <c r="J141" s="501">
        <f>Sheet1!CX144</f>
        <v>1655.8333333333333</v>
      </c>
      <c r="K141" s="501">
        <f>Sheet1!CV144</f>
        <v>1660.4545454545455</v>
      </c>
      <c r="L141" s="501">
        <f>Calculation!F144</f>
        <v>250</v>
      </c>
      <c r="M141" s="501">
        <f>Calculation!E144</f>
        <v>250</v>
      </c>
      <c r="N141" s="501">
        <f>Calculation!D144</f>
        <v>300</v>
      </c>
      <c r="O141" s="500">
        <f>Sheet1!CY144</f>
        <v>1151.24</v>
      </c>
      <c r="P141" s="514" t="e">
        <f>Calculation!ET144</f>
        <v>#N/A</v>
      </c>
      <c r="Q141" s="498">
        <f>Calculation!DF144</f>
        <v>34124.920000084217</v>
      </c>
      <c r="R141" s="500">
        <f t="shared" si="34"/>
        <v>32904.920000084217</v>
      </c>
      <c r="S141" s="498">
        <f t="shared" ref="S141:S204" si="39">R141-R140</f>
        <v>361.77000000168482</v>
      </c>
      <c r="T141" s="498">
        <f ca="1">IF(A141&gt;$A$1,#N/A,VLOOKUP(A141,Calculation!$B$8:$IV$881,30,FALSE))</f>
        <v>12727.837374212553</v>
      </c>
      <c r="U141" s="498">
        <f t="shared" si="35"/>
        <v>0</v>
      </c>
      <c r="V141" s="498">
        <f>Calculation!AP144</f>
        <v>0</v>
      </c>
      <c r="W141" s="498">
        <f t="shared" ca="1" si="33"/>
        <v>0</v>
      </c>
      <c r="X141" s="498">
        <v>0</v>
      </c>
      <c r="Y141" s="744">
        <f t="shared" ca="1" si="36"/>
        <v>0</v>
      </c>
      <c r="Z141" s="748">
        <f t="shared" ca="1" si="37"/>
        <v>0</v>
      </c>
      <c r="AA141" s="498">
        <f t="shared" ref="AA141:AA205" ca="1" si="40">IF(Q141-T141-W141&lt;0,0,Q141-T141-W141)</f>
        <v>21397.082625871662</v>
      </c>
      <c r="AB141" s="501">
        <f t="shared" ref="AB141:AB204" ca="1" si="41">AA141-1220</f>
        <v>20177.082625871662</v>
      </c>
      <c r="AC141" s="498" t="e">
        <f ca="1">IF(A141&gt;$A$1,#N/A,VLOOKUP(A141,Calculation!$B$8:$IV$881,155,FALSE))</f>
        <v>#N/A</v>
      </c>
      <c r="AD141" s="498" t="e">
        <f t="shared" ref="AD141:AD204" ca="1" si="42">AC141-AC140</f>
        <v>#N/A</v>
      </c>
      <c r="AE141" s="498"/>
      <c r="AF141" s="501">
        <f>Calculation!G144</f>
        <v>1842.8902489349716</v>
      </c>
      <c r="AG141" s="498" t="str">
        <f t="shared" ref="AG141:AG204" si="43">IF(I141&gt;L141,"Yes","No")</f>
        <v>Yes</v>
      </c>
      <c r="AH141" s="498" t="str">
        <f t="shared" ref="AH141:AH204" si="44">IF(AND(I141&gt;M141,J141&gt;N141),"Yes","No")</f>
        <v>Yes</v>
      </c>
      <c r="AK141" s="738">
        <v>23014.150000054204</v>
      </c>
      <c r="AL141" s="738">
        <v>32574.75000008025</v>
      </c>
      <c r="AM141" s="740">
        <v>52787.440000123541</v>
      </c>
      <c r="AR141" s="549"/>
      <c r="AS141" s="471">
        <f ca="1">IF(Summary!A141&lt;Calculation!FT144,FORECAST(20000,A135:A141,T135:T141),0)</f>
        <v>40714.991588818521</v>
      </c>
      <c r="AT141" s="581">
        <f>Calculation!AR144*3.068</f>
        <v>5866.8341333333365</v>
      </c>
      <c r="AU141" s="575">
        <f ca="1">Calculation!DA144</f>
        <v>1774.1037986762833</v>
      </c>
      <c r="AV141" s="575">
        <f>Calculation!CF144*3.068</f>
        <v>2349.0435133140481</v>
      </c>
      <c r="AW141" s="582">
        <f>Calculation!BK144*3.068</f>
        <v>2737.8559288888855</v>
      </c>
      <c r="AX141" s="524"/>
      <c r="AY141" s="816">
        <f>IF(Summary!A141&lt;Calculation!FT144,FORECAST(8333.33,A135:A141,AT135:AT141),0)</f>
        <v>40702.849353595724</v>
      </c>
      <c r="AZ141" s="559"/>
      <c r="BA141" s="534">
        <f ca="1">IF(Summary!A141&lt;Calculation!FT144,FORECAST(3888.89,A135:A141,AU135:AU141),0)</f>
        <v>40778.095476762996</v>
      </c>
      <c r="BB141" s="559"/>
      <c r="BC141" s="826">
        <f>IF(Summary!A141&lt;Calculation!FT144,FORECAST(3888.89,A135:A141,AV135:AV141),0)</f>
        <v>40721.260505261445</v>
      </c>
      <c r="BD141" s="559"/>
      <c r="BE141" s="847">
        <f>IF(Summary!A141&lt;Calculation!FT144,FORECAST(3888.89,A135:A141,AW135:AW141),0)</f>
        <v>40702.849422749598</v>
      </c>
    </row>
    <row r="142" spans="1:57" ht="13.5" thickBot="1">
      <c r="A142" s="513">
        <v>40674</v>
      </c>
      <c r="B142" s="498">
        <f t="shared" si="38"/>
        <v>78.015210000000451</v>
      </c>
      <c r="C142" s="498">
        <f>Calculation!AA145</f>
        <v>86.743890775862994</v>
      </c>
      <c r="D142" s="498">
        <f>Calculation!Y145</f>
        <v>0</v>
      </c>
      <c r="E142" s="498">
        <f>Calculation!U145</f>
        <v>45.760260000002702</v>
      </c>
      <c r="F142" s="498">
        <f>Calculation!V145</f>
        <v>32.254949999997748</v>
      </c>
      <c r="G142" s="498">
        <f>Calculation!W145</f>
        <v>0</v>
      </c>
      <c r="H142" s="500">
        <f>Sheet1!H145</f>
        <v>0.69</v>
      </c>
      <c r="I142" s="501">
        <f>Sheet1!CW145</f>
        <v>2400.625</v>
      </c>
      <c r="J142" s="501">
        <f>Sheet1!CX145</f>
        <v>1712.5</v>
      </c>
      <c r="K142" s="501">
        <f>Sheet1!CV145</f>
        <v>1699.5833333333333</v>
      </c>
      <c r="L142" s="501">
        <f>Calculation!F145</f>
        <v>250</v>
      </c>
      <c r="M142" s="501">
        <f>Calculation!E145</f>
        <v>250</v>
      </c>
      <c r="N142" s="501">
        <f>Calculation!D145</f>
        <v>300</v>
      </c>
      <c r="O142" s="500">
        <f>Sheet1!CY145</f>
        <v>1151.72</v>
      </c>
      <c r="P142" s="514" t="e">
        <f>Calculation!ET145</f>
        <v>#N/A</v>
      </c>
      <c r="Q142" s="498">
        <f>Calculation!DF145</f>
        <v>34572.760000084643</v>
      </c>
      <c r="R142" s="500">
        <f t="shared" si="34"/>
        <v>33352.760000084643</v>
      </c>
      <c r="S142" s="498">
        <f t="shared" si="39"/>
        <v>447.84000000042579</v>
      </c>
      <c r="T142" s="498">
        <f ca="1">IF(A142&gt;$A$1,#N/A,VLOOKUP(A142,Calculation!$B$8:$IV$881,30,FALSE))</f>
        <v>12899.867275247037</v>
      </c>
      <c r="U142" s="498">
        <f t="shared" si="35"/>
        <v>0</v>
      </c>
      <c r="V142" s="498">
        <f>Calculation!AP145</f>
        <v>0</v>
      </c>
      <c r="W142" s="498">
        <f t="shared" ca="1" si="33"/>
        <v>0</v>
      </c>
      <c r="X142" s="498">
        <v>0</v>
      </c>
      <c r="Y142" s="744">
        <f t="shared" ca="1" si="36"/>
        <v>0</v>
      </c>
      <c r="Z142" s="748">
        <f t="shared" ca="1" si="37"/>
        <v>0</v>
      </c>
      <c r="AA142" s="498">
        <f t="shared" ca="1" si="40"/>
        <v>21672.892724837606</v>
      </c>
      <c r="AB142" s="501">
        <f t="shared" ca="1" si="41"/>
        <v>20452.892724837606</v>
      </c>
      <c r="AC142" s="498" t="e">
        <f ca="1">IF(A142&gt;$A$1,#N/A,VLOOKUP(A142,Calculation!$B$8:$IV$881,155,FALSE))</f>
        <v>#N/A</v>
      </c>
      <c r="AD142" s="498" t="e">
        <f t="shared" ca="1" si="42"/>
        <v>#N/A</v>
      </c>
      <c r="AE142" s="498"/>
      <c r="AF142" s="501">
        <f>Calculation!G145</f>
        <v>1925.4229702473149</v>
      </c>
      <c r="AG142" s="498" t="str">
        <f t="shared" si="43"/>
        <v>Yes</v>
      </c>
      <c r="AH142" s="498" t="str">
        <f t="shared" si="44"/>
        <v>Yes</v>
      </c>
      <c r="AK142" s="738">
        <v>23431.040000056008</v>
      </c>
      <c r="AL142" s="738">
        <v>33404.740000082325</v>
      </c>
      <c r="AM142" s="740">
        <v>53878.7800001246</v>
      </c>
      <c r="AR142" s="549"/>
      <c r="AS142" s="471">
        <f ca="1">IF(Summary!A142&lt;Calculation!FT145,FORECAST(20000,A136:A142,T136:T142),0)</f>
        <v>40714.858100102974</v>
      </c>
      <c r="AT142" s="581">
        <f>Calculation!AR145*3.068</f>
        <v>5949.4656000000032</v>
      </c>
      <c r="AU142" s="575">
        <f ca="1">Calculation!DA145</f>
        <v>1794.1916903046372</v>
      </c>
      <c r="AV142" s="575">
        <f>Calculation!CF145*3.068</f>
        <v>2379.7927049424006</v>
      </c>
      <c r="AW142" s="582">
        <f>Calculation!BK145*3.068</f>
        <v>2776.4172799999965</v>
      </c>
      <c r="AX142" s="524"/>
      <c r="AY142" s="816">
        <f>IF(Summary!A142&lt;Calculation!FT145,FORECAST(8333.33,A136:A142,AT136:AT142),0)</f>
        <v>40702.849353595724</v>
      </c>
      <c r="AZ142" s="559"/>
      <c r="BA142" s="534">
        <f ca="1">IF(Summary!A142&lt;Calculation!FT145,FORECAST(3888.89,A136:A142,AU136:AU142),0)</f>
        <v>40777.520770889663</v>
      </c>
      <c r="BB142" s="559"/>
      <c r="BC142" s="826">
        <f>IF(Summary!A142&lt;Calculation!FT145,FORECAST(3888.89,A136:A142,AV136:AV142),0)</f>
        <v>40720.620777044052</v>
      </c>
      <c r="BD142" s="559"/>
      <c r="BE142" s="847">
        <f>IF(Summary!A142&lt;Calculation!FT145,FORECAST(3888.89,A136:A142,AW136:AW142),0)</f>
        <v>40702.849422749598</v>
      </c>
    </row>
    <row r="143" spans="1:57" ht="13.5" thickBot="1">
      <c r="A143" s="513">
        <v>40675</v>
      </c>
      <c r="B143" s="498">
        <f t="shared" si="38"/>
        <v>80.444000000000003</v>
      </c>
      <c r="C143" s="498">
        <f>Calculation!AA146</f>
        <v>86.65770673694297</v>
      </c>
      <c r="D143" s="498">
        <f>Calculation!Y146</f>
        <v>0</v>
      </c>
      <c r="E143" s="498">
        <f>Calculation!U146</f>
        <v>47.957000000000001</v>
      </c>
      <c r="F143" s="498">
        <f>Calculation!V146</f>
        <v>32.487000000000002</v>
      </c>
      <c r="G143" s="498">
        <f>Calculation!W146</f>
        <v>0</v>
      </c>
      <c r="H143" s="500">
        <f>Sheet1!H146</f>
        <v>0.78</v>
      </c>
      <c r="I143" s="501">
        <f>Sheet1!CW146</f>
        <v>2566.875</v>
      </c>
      <c r="J143" s="501">
        <f>Sheet1!CX146</f>
        <v>1800</v>
      </c>
      <c r="K143" s="501">
        <f>Sheet1!CV146</f>
        <v>1699.5833333333333</v>
      </c>
      <c r="L143" s="501">
        <f>Calculation!F146</f>
        <v>250</v>
      </c>
      <c r="M143" s="501">
        <f>Calculation!E146</f>
        <v>250</v>
      </c>
      <c r="N143" s="501">
        <f>Calculation!D146</f>
        <v>300</v>
      </c>
      <c r="O143" s="500">
        <f>Sheet1!CY146</f>
        <v>1152.21</v>
      </c>
      <c r="P143" s="514" t="e">
        <f>Calculation!ET146</f>
        <v>#N/A</v>
      </c>
      <c r="Q143" s="498">
        <f>Calculation!DF146</f>
        <v>35032.660000086253</v>
      </c>
      <c r="R143" s="500">
        <f t="shared" si="34"/>
        <v>33812.660000086253</v>
      </c>
      <c r="S143" s="498">
        <f t="shared" si="39"/>
        <v>459.90000000160944</v>
      </c>
      <c r="T143" s="498">
        <f ca="1">IF(A143&gt;$A$1,#N/A,VLOOKUP(A143,Calculation!$B$8:$IV$881,30,FALSE))</f>
        <v>13071.726256674925</v>
      </c>
      <c r="U143" s="498">
        <f t="shared" si="35"/>
        <v>0</v>
      </c>
      <c r="V143" s="498">
        <f>Calculation!AP146</f>
        <v>0</v>
      </c>
      <c r="W143" s="498">
        <f t="shared" ca="1" si="33"/>
        <v>0</v>
      </c>
      <c r="X143" s="498">
        <v>0</v>
      </c>
      <c r="Y143" s="744">
        <f t="shared" ca="1" si="36"/>
        <v>0</v>
      </c>
      <c r="Z143" s="748">
        <f t="shared" ca="1" si="37"/>
        <v>0</v>
      </c>
      <c r="AA143" s="498">
        <f t="shared" ca="1" si="40"/>
        <v>21960.933743411326</v>
      </c>
      <c r="AB143" s="501">
        <f t="shared" ca="1" si="41"/>
        <v>20740.933743411326</v>
      </c>
      <c r="AC143" s="498" t="e">
        <f ca="1">IF(A143&gt;$A$1,#N/A,VLOOKUP(A143,Calculation!$B$8:$IV$881,155,FALSE))</f>
        <v>#N/A</v>
      </c>
      <c r="AD143" s="498" t="e">
        <f t="shared" ca="1" si="42"/>
        <v>#N/A</v>
      </c>
      <c r="AE143" s="498"/>
      <c r="AF143" s="501">
        <f>Calculation!G146</f>
        <v>1931.5046646503324</v>
      </c>
      <c r="AG143" s="498" t="str">
        <f t="shared" si="43"/>
        <v>Yes</v>
      </c>
      <c r="AH143" s="498" t="str">
        <f t="shared" si="44"/>
        <v>Yes</v>
      </c>
      <c r="AK143" s="738">
        <v>24697.300000060266</v>
      </c>
      <c r="AL143" s="738">
        <v>34180.900000084221</v>
      </c>
      <c r="AM143" s="740">
        <v>54805.210000126688</v>
      </c>
      <c r="AR143" s="549"/>
      <c r="AS143" s="471">
        <f ca="1">IF(Summary!A143&lt;Calculation!FT146,FORECAST(20000,A137:A143,T137:T143),0)</f>
        <v>40714.804714613136</v>
      </c>
      <c r="AT143" s="581">
        <f>Calculation!AR146*3.068</f>
        <v>6032.0970666666699</v>
      </c>
      <c r="AU143" s="575">
        <f ca="1">Calculation!DA146</f>
        <v>1814.1686350908799</v>
      </c>
      <c r="AV143" s="575">
        <f>Calculation!CF146*3.068</f>
        <v>2410.4819238062669</v>
      </c>
      <c r="AW143" s="582">
        <f>Calculation!BK146*3.068</f>
        <v>2814.9786311111075</v>
      </c>
      <c r="AX143" s="524"/>
      <c r="AY143" s="816">
        <f>IF(Summary!A143&lt;Calculation!FT146,FORECAST(8333.33,A137:A143,AT137:AT143),0)</f>
        <v>40702.849353595724</v>
      </c>
      <c r="AZ143" s="559"/>
      <c r="BA143" s="534">
        <f ca="1">IF(Summary!A143&lt;Calculation!FT146,FORECAST(3888.89,A137:A143,AU137:AU143),0)</f>
        <v>40777.016948943608</v>
      </c>
      <c r="BB143" s="559"/>
      <c r="BC143" s="826">
        <f>IF(Summary!A143&lt;Calculation!FT146,FORECAST(3888.89,A137:A143,AV137:AV143),0)</f>
        <v>40720.444176917314</v>
      </c>
      <c r="BD143" s="559"/>
      <c r="BE143" s="847">
        <f>IF(Summary!A143&lt;Calculation!FT146,FORECAST(3888.89,A137:A143,AW137:AW143),0)</f>
        <v>40702.849422749598</v>
      </c>
    </row>
    <row r="144" spans="1:57" ht="13.5" thickBot="1">
      <c r="A144" s="513">
        <v>40676</v>
      </c>
      <c r="B144" s="498">
        <f t="shared" si="38"/>
        <v>79.438449999986489</v>
      </c>
      <c r="C144" s="498">
        <f>Calculation!AA147</f>
        <v>86.621217878789651</v>
      </c>
      <c r="D144" s="498">
        <f>Calculation!Y147</f>
        <v>0</v>
      </c>
      <c r="E144" s="498">
        <f>Calculation!U147</f>
        <v>45.48179999999099</v>
      </c>
      <c r="F144" s="498">
        <f>Calculation!V147</f>
        <v>33.956649999995498</v>
      </c>
      <c r="G144" s="498">
        <f>Calculation!W147</f>
        <v>0</v>
      </c>
      <c r="H144" s="500">
        <f>Sheet1!H147</f>
        <v>1.98</v>
      </c>
      <c r="I144" s="501">
        <f>Sheet1!CW147</f>
        <v>2511.1458333333335</v>
      </c>
      <c r="J144" s="501">
        <f>Sheet1!CX147</f>
        <v>1794.7916666666667</v>
      </c>
      <c r="K144" s="501">
        <f>Sheet1!CV147</f>
        <v>1699.5833333333333</v>
      </c>
      <c r="L144" s="501">
        <f>Calculation!F147</f>
        <v>250</v>
      </c>
      <c r="M144" s="501">
        <f>Calculation!E147</f>
        <v>250</v>
      </c>
      <c r="N144" s="501">
        <f>Calculation!D147</f>
        <v>300</v>
      </c>
      <c r="O144" s="500">
        <f>Sheet1!CY147</f>
        <v>1152.3900000000001</v>
      </c>
      <c r="P144" s="514" t="e">
        <f>Calculation!ET147</f>
        <v>#N/A</v>
      </c>
      <c r="Q144" s="498">
        <f>Calculation!DF147</f>
        <v>35202.94000008647</v>
      </c>
      <c r="R144" s="500">
        <f t="shared" si="34"/>
        <v>33982.94000008647</v>
      </c>
      <c r="S144" s="498">
        <f t="shared" si="39"/>
        <v>170.28000000021711</v>
      </c>
      <c r="T144" s="498">
        <f ca="1">IF(A144&gt;$A$1,#N/A,VLOOKUP(A144,Calculation!$B$8:$IV$881,30,FALSE))</f>
        <v>13243.512873644624</v>
      </c>
      <c r="U144" s="498">
        <f t="shared" si="35"/>
        <v>0</v>
      </c>
      <c r="V144" s="498">
        <f>Calculation!AP147</f>
        <v>0</v>
      </c>
      <c r="W144" s="498">
        <f t="shared" ca="1" si="33"/>
        <v>0</v>
      </c>
      <c r="X144" s="498">
        <v>0</v>
      </c>
      <c r="Y144" s="744">
        <f t="shared" ca="1" si="36"/>
        <v>0</v>
      </c>
      <c r="Z144" s="748">
        <f t="shared" ca="1" si="37"/>
        <v>0</v>
      </c>
      <c r="AA144" s="498">
        <f t="shared" ca="1" si="40"/>
        <v>21959.427126441846</v>
      </c>
      <c r="AB144" s="501">
        <f t="shared" ca="1" si="41"/>
        <v>20739.427126441846</v>
      </c>
      <c r="AC144" s="498" t="e">
        <f ca="1">IF(A144&gt;$A$1,#N/A,VLOOKUP(A144,Calculation!$B$8:$IV$881,155,FALSE))</f>
        <v>#N/A</v>
      </c>
      <c r="AD144" s="498" t="e">
        <f t="shared" ca="1" si="42"/>
        <v>#N/A</v>
      </c>
      <c r="AE144" s="498"/>
      <c r="AF144" s="501">
        <f>Calculation!G147</f>
        <v>1785.4532274332914</v>
      </c>
      <c r="AG144" s="498" t="str">
        <f t="shared" si="43"/>
        <v>Yes</v>
      </c>
      <c r="AH144" s="498" t="str">
        <f t="shared" si="44"/>
        <v>Yes</v>
      </c>
      <c r="AK144" s="738">
        <v>24945.79000006061</v>
      </c>
      <c r="AL144" s="738">
        <v>35297.540000086468</v>
      </c>
      <c r="AM144" s="740">
        <v>52488.220000122004</v>
      </c>
      <c r="AR144" s="549"/>
      <c r="AS144" s="471">
        <f ca="1">IF(Summary!A144&lt;Calculation!FT147,FORECAST(20000,A138:A144,T138:T144),0)</f>
        <v>40714.874760192477</v>
      </c>
      <c r="AT144" s="581">
        <f>Calculation!AR147*3.068</f>
        <v>6114.7285333333366</v>
      </c>
      <c r="AU144" s="575">
        <f ca="1">Calculation!DA147</f>
        <v>1834.054627891617</v>
      </c>
      <c r="AV144" s="575">
        <f>Calculation!CF147*3.068</f>
        <v>2441.1897301974527</v>
      </c>
      <c r="AW144" s="582">
        <f>Calculation!BK147*3.068</f>
        <v>2853.5399822222184</v>
      </c>
      <c r="AX144" s="524"/>
      <c r="AY144" s="816">
        <f>IF(Summary!A144&lt;Calculation!FT147,FORECAST(8333.33,A138:A144,AT138:AT144),0)</f>
        <v>40702.849353595724</v>
      </c>
      <c r="AZ144" s="559"/>
      <c r="BA144" s="534">
        <f ca="1">IF(Summary!A144&lt;Calculation!FT147,FORECAST(3888.89,A138:A144,AU138:AU144),0)</f>
        <v>40777.411941956743</v>
      </c>
      <c r="BB144" s="559"/>
      <c r="BC144" s="826">
        <f>IF(Summary!A144&lt;Calculation!FT147,FORECAST(3888.89,A138:A144,AV138:AV144),0)</f>
        <v>40720.746907906971</v>
      </c>
      <c r="BD144" s="559"/>
      <c r="BE144" s="847">
        <f>IF(Summary!A144&lt;Calculation!FT147,FORECAST(3888.89,A138:A144,AW138:AW144),0)</f>
        <v>40702.849422749598</v>
      </c>
    </row>
    <row r="145" spans="1:57" ht="13.5" thickBot="1">
      <c r="A145" s="513">
        <v>40677</v>
      </c>
      <c r="B145" s="498">
        <f t="shared" si="38"/>
        <v>83.708170000023415</v>
      </c>
      <c r="C145" s="498">
        <f>Calculation!AA148</f>
        <v>86.566265521882272</v>
      </c>
      <c r="D145" s="498">
        <f>Calculation!Y148</f>
        <v>0</v>
      </c>
      <c r="E145" s="498">
        <f>Calculation!U148</f>
        <v>46.425470000014407</v>
      </c>
      <c r="F145" s="498">
        <f>Calculation!V148</f>
        <v>37.282700000009001</v>
      </c>
      <c r="G145" s="498">
        <f>Calculation!W148</f>
        <v>0</v>
      </c>
      <c r="H145" s="500">
        <f>Sheet1!H148</f>
        <v>2.15</v>
      </c>
      <c r="I145" s="501">
        <f>Sheet1!CW148</f>
        <v>2496.9791666666665</v>
      </c>
      <c r="J145" s="501">
        <f>Sheet1!CX148</f>
        <v>1795.4166666666667</v>
      </c>
      <c r="K145" s="501">
        <f>Sheet1!CV148</f>
        <v>1699.5833333333333</v>
      </c>
      <c r="L145" s="501">
        <f>Calculation!F148</f>
        <v>250</v>
      </c>
      <c r="M145" s="501">
        <f>Calculation!E148</f>
        <v>250</v>
      </c>
      <c r="N145" s="501">
        <f>Calculation!D148</f>
        <v>300</v>
      </c>
      <c r="O145" s="500">
        <f>Sheet1!CY148</f>
        <v>1152.93</v>
      </c>
      <c r="P145" s="514" t="e">
        <f>Calculation!ET148</f>
        <v>#N/A</v>
      </c>
      <c r="Q145" s="498">
        <f>Calculation!DF148</f>
        <v>35713.780000086903</v>
      </c>
      <c r="R145" s="500">
        <f t="shared" si="34"/>
        <v>34493.780000086903</v>
      </c>
      <c r="S145" s="498">
        <f t="shared" si="39"/>
        <v>510.84000000043306</v>
      </c>
      <c r="T145" s="498">
        <f ca="1">IF(A145&gt;$A$1,#N/A,VLOOKUP(A145,Calculation!$B$8:$IV$881,30,FALSE))</f>
        <v>13415.190509469532</v>
      </c>
      <c r="U145" s="498">
        <f t="shared" si="35"/>
        <v>0</v>
      </c>
      <c r="V145" s="498">
        <f>Calculation!AP148</f>
        <v>0</v>
      </c>
      <c r="W145" s="498">
        <f t="shared" ca="1" si="33"/>
        <v>0</v>
      </c>
      <c r="X145" s="498">
        <v>0</v>
      </c>
      <c r="Y145" s="744">
        <f t="shared" ca="1" si="36"/>
        <v>0</v>
      </c>
      <c r="Z145" s="748">
        <f t="shared" ca="1" si="37"/>
        <v>0</v>
      </c>
      <c r="AA145" s="498">
        <f t="shared" ca="1" si="40"/>
        <v>22298.589490617371</v>
      </c>
      <c r="AB145" s="501">
        <f t="shared" ca="1" si="41"/>
        <v>21078.589490617371</v>
      </c>
      <c r="AC145" s="498" t="e">
        <f ca="1">IF(A145&gt;$A$1,#N/A,VLOOKUP(A145,Calculation!$B$8:$IV$881,155,FALSE))</f>
        <v>#N/A</v>
      </c>
      <c r="AD145" s="498" t="e">
        <f t="shared" ca="1" si="42"/>
        <v>#N/A</v>
      </c>
      <c r="AE145" s="498"/>
      <c r="AF145" s="501">
        <f>Calculation!G148</f>
        <v>1957.1930156330977</v>
      </c>
      <c r="AG145" s="498" t="str">
        <f t="shared" si="43"/>
        <v>Yes</v>
      </c>
      <c r="AH145" s="498" t="str">
        <f t="shared" si="44"/>
        <v>Yes</v>
      </c>
      <c r="AK145" s="738">
        <v>25036.15000006061</v>
      </c>
      <c r="AL145" s="738">
        <v>36039.470000088499</v>
      </c>
      <c r="AM145" s="740">
        <v>50897.820000119544</v>
      </c>
      <c r="AR145" s="549"/>
      <c r="AS145" s="471">
        <f ca="1">IF(Summary!A145&lt;Calculation!FT148,FORECAST(20000,A139:A145,T139:T145),0)</f>
        <v>40715.025902242684</v>
      </c>
      <c r="AT145" s="581">
        <f>Calculation!AR148*3.068</f>
        <v>6197.3600000000033</v>
      </c>
      <c r="AU145" s="575">
        <f ca="1">Calculation!DA148</f>
        <v>1853.8823268141714</v>
      </c>
      <c r="AV145" s="575">
        <f>Calculation!CF148*3.068</f>
        <v>2471.8468493220298</v>
      </c>
      <c r="AW145" s="582">
        <f>Calculation!BK148*3.068</f>
        <v>2892.1013333333294</v>
      </c>
      <c r="AX145" s="524"/>
      <c r="AY145" s="816">
        <f>IF(Summary!A145&lt;Calculation!FT148,FORECAST(8333.33,A139:A145,AT139:AT145),0)</f>
        <v>40702.849353595724</v>
      </c>
      <c r="AZ145" s="559"/>
      <c r="BA145" s="534">
        <f ca="1">IF(Summary!A145&lt;Calculation!FT148,FORECAST(3888.89,A139:A145,AU139:AU145),0)</f>
        <v>40778.05314110453</v>
      </c>
      <c r="BB145" s="559"/>
      <c r="BC145" s="826">
        <f>IF(Summary!A145&lt;Calculation!FT148,FORECAST(3888.89,A139:A145,AV139:AV145),0)</f>
        <v>40721.495156955563</v>
      </c>
      <c r="BD145" s="559"/>
      <c r="BE145" s="847">
        <f>IF(Summary!A145&lt;Calculation!FT148,FORECAST(3888.89,A139:A145,AW139:AW145),0)</f>
        <v>40702.849422749598</v>
      </c>
    </row>
    <row r="146" spans="1:57" ht="13.5" thickBot="1">
      <c r="A146" s="513">
        <v>40678</v>
      </c>
      <c r="B146" s="498">
        <f t="shared" si="38"/>
        <v>81.10920999998919</v>
      </c>
      <c r="C146" s="498">
        <f>Calculation!AA149</f>
        <v>90.598332631581385</v>
      </c>
      <c r="D146" s="498">
        <f>Calculation!Y149</f>
        <v>0</v>
      </c>
      <c r="E146" s="498">
        <f>Calculation!U149</f>
        <v>46.456409999998193</v>
      </c>
      <c r="F146" s="498">
        <f>Calculation!V149</f>
        <v>34.652799999990997</v>
      </c>
      <c r="G146" s="498">
        <f>Calculation!W149</f>
        <v>0</v>
      </c>
      <c r="H146" s="500">
        <f>Sheet1!H149</f>
        <v>4.93</v>
      </c>
      <c r="I146" s="501">
        <f>Sheet1!CW149</f>
        <v>3056.4583333333335</v>
      </c>
      <c r="J146" s="501">
        <f>Sheet1!CX149</f>
        <v>2915.73</v>
      </c>
      <c r="K146" s="501">
        <f>Sheet1!CV149</f>
        <v>1699.5833333333333</v>
      </c>
      <c r="L146" s="501">
        <f>Calculation!F149</f>
        <v>250</v>
      </c>
      <c r="M146" s="501">
        <f>Calculation!E149</f>
        <v>250</v>
      </c>
      <c r="N146" s="501">
        <f>Calculation!D149</f>
        <v>300</v>
      </c>
      <c r="O146" s="500">
        <f>Sheet1!CY149</f>
        <v>1161.33</v>
      </c>
      <c r="P146" s="514" t="e">
        <f>Calculation!ET149</f>
        <v>#N/A</v>
      </c>
      <c r="Q146" s="498">
        <f>Calculation!DF149</f>
        <v>44217.100000106315</v>
      </c>
      <c r="R146" s="500">
        <f t="shared" si="34"/>
        <v>42997.100000106315</v>
      </c>
      <c r="S146" s="498">
        <f t="shared" si="39"/>
        <v>8503.320000019412</v>
      </c>
      <c r="T146" s="498">
        <f ca="1">IF(A146&gt;$A$1,#N/A,VLOOKUP(A146,Calculation!$B$8:$IV$881,30,FALSE))</f>
        <v>13594.864513680066</v>
      </c>
      <c r="U146" s="498">
        <f t="shared" si="35"/>
        <v>0</v>
      </c>
      <c r="V146" s="498">
        <f>Calculation!AP149</f>
        <v>0</v>
      </c>
      <c r="W146" s="498">
        <f ca="1">IF(T146&lt;=0,0,MIN(MAX(Q146-T146-25000-1220-X146*1.983,0),5000))</f>
        <v>4402.2354864262488</v>
      </c>
      <c r="X146" s="498">
        <v>0</v>
      </c>
      <c r="Y146" s="744">
        <f t="shared" ca="1" si="36"/>
        <v>2201.1177432131244</v>
      </c>
      <c r="Z146" s="748">
        <f t="shared" ca="1" si="37"/>
        <v>2201.1177432131244</v>
      </c>
      <c r="AA146" s="498">
        <f t="shared" ca="1" si="40"/>
        <v>26220</v>
      </c>
      <c r="AB146" s="501">
        <f t="shared" ca="1" si="41"/>
        <v>25000</v>
      </c>
      <c r="AC146" s="498" t="e">
        <f ca="1">IF(A146&gt;$A$1,#N/A,VLOOKUP(A146,Calculation!$B$8:$IV$881,155,FALSE))</f>
        <v>#N/A</v>
      </c>
      <c r="AD146" s="498" t="e">
        <f t="shared" ca="1" si="42"/>
        <v>#N/A</v>
      </c>
      <c r="AE146" s="498"/>
      <c r="AF146" s="501">
        <f>Calculation!G149</f>
        <v>5987.6922592130159</v>
      </c>
      <c r="AG146" s="498" t="str">
        <f t="shared" si="43"/>
        <v>Yes</v>
      </c>
      <c r="AH146" s="498" t="str">
        <f t="shared" si="44"/>
        <v>Yes</v>
      </c>
      <c r="AK146" s="738">
        <v>26823.050000065454</v>
      </c>
      <c r="AL146" s="738">
        <v>36154.790000088717</v>
      </c>
      <c r="AM146" s="740">
        <v>50522.280000119026</v>
      </c>
      <c r="AR146" s="549"/>
      <c r="AS146" s="471">
        <f ca="1">IF(Summary!A146&lt;Calculation!FT149,FORECAST(20000,A140:A146,T140:T146),0)</f>
        <v>40715.048165396518</v>
      </c>
      <c r="AT146" s="581">
        <f>Calculation!AR149*3.068</f>
        <v>6279.99146666667</v>
      </c>
      <c r="AU146" s="575">
        <f ca="1">Calculation!DA149</f>
        <v>1879.2431352352273</v>
      </c>
      <c r="AV146" s="575">
        <f>Calculation!CF149*3.068</f>
        <v>2504.9672273337269</v>
      </c>
      <c r="AW146" s="582">
        <f>Calculation!BK149*3.068</f>
        <v>2930.6626844444404</v>
      </c>
      <c r="AX146" s="524"/>
      <c r="AY146" s="816">
        <f>IF(Summary!A146&lt;Calculation!FT149,FORECAST(8333.33,A140:A146,AT140:AT146),0)</f>
        <v>40702.849353595724</v>
      </c>
      <c r="AZ146" s="559"/>
      <c r="BA146" s="534">
        <f ca="1">IF(Summary!A146&lt;Calculation!FT149,FORECAST(3888.89,A140:A146,AU140:AU146),0)</f>
        <v>40775.904799431999</v>
      </c>
      <c r="BB146" s="559"/>
      <c r="BC146" s="826">
        <f>IF(Summary!A146&lt;Calculation!FT149,FORECAST(3888.89,A140:A146,AV140:AV146),0)</f>
        <v>40722.292767017098</v>
      </c>
      <c r="BD146" s="559"/>
      <c r="BE146" s="847">
        <f>IF(Summary!A146&lt;Calculation!FT149,FORECAST(3888.89,A140:A146,AW140:AW146),0)</f>
        <v>40702.849422749598</v>
      </c>
    </row>
    <row r="147" spans="1:57" ht="13.5" thickBot="1">
      <c r="A147" s="513">
        <v>40679</v>
      </c>
      <c r="B147" s="498">
        <f t="shared" si="38"/>
        <v>74.426170000000894</v>
      </c>
      <c r="C147" s="498">
        <f>Calculation!AA150</f>
        <v>99.998080000000002</v>
      </c>
      <c r="D147" s="498">
        <f>Calculation!Y150</f>
        <v>0</v>
      </c>
      <c r="E147" s="498">
        <f>Calculation!U150</f>
        <v>47.276319999996396</v>
      </c>
      <c r="F147" s="498">
        <f>Calculation!V150</f>
        <v>27.149850000004502</v>
      </c>
      <c r="G147" s="498">
        <f>Calculation!W150</f>
        <v>53.758249999999997</v>
      </c>
      <c r="H147" s="500">
        <f>Sheet1!H150</f>
        <v>25.42</v>
      </c>
      <c r="I147" s="501">
        <f>Sheet1!CW150</f>
        <v>6158.125</v>
      </c>
      <c r="J147" s="501">
        <f>Sheet1!CX150</f>
        <v>4462.604166666667</v>
      </c>
      <c r="K147" s="501">
        <f>Sheet1!CV150</f>
        <v>1699.5833333333333</v>
      </c>
      <c r="L147" s="501">
        <f>Calculation!F150</f>
        <v>250</v>
      </c>
      <c r="M147" s="501">
        <f>Calculation!E150</f>
        <v>250</v>
      </c>
      <c r="N147" s="501">
        <f>Calculation!D150</f>
        <v>300</v>
      </c>
      <c r="O147" s="500">
        <f>Sheet1!CY150</f>
        <v>1163.69</v>
      </c>
      <c r="P147" s="514" t="e">
        <f>Calculation!ET150</f>
        <v>#N/A</v>
      </c>
      <c r="Q147" s="498">
        <f>Calculation!DF150</f>
        <v>46770.170000111088</v>
      </c>
      <c r="R147" s="500">
        <f t="shared" si="34"/>
        <v>45550.170000111088</v>
      </c>
      <c r="S147" s="498">
        <f t="shared" si="39"/>
        <v>2553.0700000047727</v>
      </c>
      <c r="T147" s="498">
        <f ca="1">IF(A147&gt;$A$1,#N/A,VLOOKUP(A147,Calculation!$B$8:$IV$881,30,FALSE))</f>
        <v>13793.180033680064</v>
      </c>
      <c r="U147" s="498">
        <f t="shared" si="35"/>
        <v>0</v>
      </c>
      <c r="V147" s="498">
        <f>Calculation!AP150</f>
        <v>0</v>
      </c>
      <c r="W147" s="498">
        <f t="shared" ca="1" si="33"/>
        <v>5000</v>
      </c>
      <c r="X147" s="498">
        <v>0</v>
      </c>
      <c r="Y147" s="744">
        <f t="shared" ca="1" si="36"/>
        <v>2500</v>
      </c>
      <c r="Z147" s="748">
        <f t="shared" ca="1" si="37"/>
        <v>2500</v>
      </c>
      <c r="AA147" s="498">
        <f t="shared" ca="1" si="40"/>
        <v>27976.989966431021</v>
      </c>
      <c r="AB147" s="501">
        <f t="shared" ca="1" si="41"/>
        <v>26756.989966431021</v>
      </c>
      <c r="AC147" s="498" t="e">
        <f ca="1">IF(A147&gt;$A$1,#N/A,VLOOKUP(A147,Calculation!$B$8:$IV$881,155,FALSE))</f>
        <v>#N/A</v>
      </c>
      <c r="AD147" s="498" t="e">
        <f t="shared" ca="1" si="42"/>
        <v>#N/A</v>
      </c>
      <c r="AE147" s="498"/>
      <c r="AF147" s="501">
        <f>Calculation!G150</f>
        <v>2987.0619011622657</v>
      </c>
      <c r="AG147" s="498" t="str">
        <f t="shared" si="43"/>
        <v>Yes</v>
      </c>
      <c r="AH147" s="498" t="str">
        <f t="shared" si="44"/>
        <v>Yes</v>
      </c>
      <c r="AK147" s="738">
        <v>28181.340000070162</v>
      </c>
      <c r="AL147" s="738">
        <v>37150.500000090891</v>
      </c>
      <c r="AM147" s="740">
        <v>50499.520000119024</v>
      </c>
      <c r="AR147" s="549"/>
      <c r="AS147" s="471">
        <f ca="1">IF(Summary!A147&lt;Calculation!FT150,FORECAST(20000,A141:A147,T141:T147),0)</f>
        <v>40714.322573466023</v>
      </c>
      <c r="AT147" s="581">
        <f>Calculation!AR150*3.068</f>
        <v>6362.6229333333367</v>
      </c>
      <c r="AU147" s="575">
        <f ca="1">Calculation!DA150</f>
        <v>1917.8044863463383</v>
      </c>
      <c r="AV147" s="575">
        <f>Calculation!CF150*3.068</f>
        <v>2543.5285784448383</v>
      </c>
      <c r="AW147" s="582">
        <f>Calculation!BK150*3.068</f>
        <v>2969.2240355555514</v>
      </c>
      <c r="AX147" s="524"/>
      <c r="AY147" s="816">
        <f>IF(Summary!A147&lt;Calculation!FT150,FORECAST(8333.33,A141:A147,AT141:AT147),0)</f>
        <v>40702.849353595724</v>
      </c>
      <c r="AZ147" s="559"/>
      <c r="BA147" s="534">
        <f ca="1">IF(Summary!A147&lt;Calculation!FT150,FORECAST(3888.89,A141:A147,AU141:AU147),0)</f>
        <v>40764.167490452375</v>
      </c>
      <c r="BB147" s="559"/>
      <c r="BC147" s="826">
        <f>IF(Summary!A147&lt;Calculation!FT150,FORECAST(3888.89,A141:A147,AV141:AV147),0)</f>
        <v>40721.158966194424</v>
      </c>
      <c r="BD147" s="559"/>
      <c r="BE147" s="847">
        <f>IF(Summary!A147&lt;Calculation!FT150,FORECAST(3888.89,A141:A147,AW141:AW147),0)</f>
        <v>40702.849422749598</v>
      </c>
    </row>
    <row r="148" spans="1:57" ht="13.5" thickBot="1">
      <c r="A148" s="513">
        <v>40680</v>
      </c>
      <c r="B148" s="498">
        <f t="shared" si="38"/>
        <v>72.709000000000003</v>
      </c>
      <c r="C148" s="498">
        <f>Calculation!AA151</f>
        <v>99.998080000000002</v>
      </c>
      <c r="D148" s="498">
        <f>Calculation!Y151</f>
        <v>0</v>
      </c>
      <c r="E148" s="498">
        <f>Calculation!U151</f>
        <v>47.957000000000001</v>
      </c>
      <c r="F148" s="498">
        <f>Calculation!V151</f>
        <v>24.751999999999999</v>
      </c>
      <c r="G148" s="498">
        <f>Calculation!W151</f>
        <v>71.161999999999992</v>
      </c>
      <c r="H148" s="500">
        <f>Sheet1!H151</f>
        <v>33.9</v>
      </c>
      <c r="I148" s="501">
        <f>Sheet1!CW151</f>
        <v>5851.145833333333</v>
      </c>
      <c r="J148" s="501">
        <f>Sheet1!CX151</f>
        <v>4156.145833333333</v>
      </c>
      <c r="K148" s="501">
        <f>Sheet1!CV151</f>
        <v>4229.166666666667</v>
      </c>
      <c r="L148" s="501">
        <f>Calculation!F151</f>
        <v>250</v>
      </c>
      <c r="M148" s="501">
        <f>Calculation!E151</f>
        <v>250</v>
      </c>
      <c r="N148" s="501">
        <f>Calculation!D151</f>
        <v>300</v>
      </c>
      <c r="O148" s="500">
        <f>Sheet1!CY151</f>
        <v>1162.24</v>
      </c>
      <c r="P148" s="514" t="e">
        <f>Calculation!ET151</f>
        <v>#N/A</v>
      </c>
      <c r="Q148" s="498">
        <f>Calculation!DF151</f>
        <v>45193.680000108492</v>
      </c>
      <c r="R148" s="500">
        <f t="shared" si="34"/>
        <v>43973.680000108492</v>
      </c>
      <c r="S148" s="498">
        <f t="shared" si="39"/>
        <v>-1576.4900000025955</v>
      </c>
      <c r="T148" s="498">
        <f ca="1">IF(A148&gt;$A$1,#N/A,VLOOKUP(A148,Calculation!$B$8:$IV$881,30,FALSE))</f>
        <v>13991.495553680064</v>
      </c>
      <c r="U148" s="498">
        <f t="shared" si="35"/>
        <v>0</v>
      </c>
      <c r="V148" s="498">
        <f>Calculation!AP151</f>
        <v>0</v>
      </c>
      <c r="W148" s="498">
        <f ca="1">IF((A148+1)&gt;$A$1,#N/A,5000)</f>
        <v>5000</v>
      </c>
      <c r="X148" s="498">
        <v>0</v>
      </c>
      <c r="Y148" s="744">
        <f t="shared" ca="1" si="36"/>
        <v>2500</v>
      </c>
      <c r="Z148" s="748">
        <f t="shared" ca="1" si="37"/>
        <v>2500</v>
      </c>
      <c r="AA148" s="498">
        <f t="shared" ca="1" si="40"/>
        <v>26202.18444642843</v>
      </c>
      <c r="AB148" s="501">
        <f t="shared" ca="1" si="41"/>
        <v>24982.18444642843</v>
      </c>
      <c r="AC148" s="498" t="e">
        <f ca="1">IF(A148&gt;$A$1,#N/A,VLOOKUP(A148,Calculation!$B$8:$IV$881,155,FALSE))</f>
        <v>#N/A</v>
      </c>
      <c r="AD148" s="498" t="e">
        <f t="shared" ca="1" si="42"/>
        <v>#N/A</v>
      </c>
      <c r="AE148" s="498"/>
      <c r="AF148" s="501">
        <f>Calculation!G151</f>
        <v>3434.1641452331846</v>
      </c>
      <c r="AG148" s="498" t="str">
        <f t="shared" si="43"/>
        <v>Yes</v>
      </c>
      <c r="AH148" s="498" t="str">
        <f t="shared" si="44"/>
        <v>Yes</v>
      </c>
      <c r="AK148" s="738">
        <v>30350.900000075861</v>
      </c>
      <c r="AL148" s="738">
        <v>38398.410000093325</v>
      </c>
      <c r="AM148" s="740">
        <v>50579.180000119028</v>
      </c>
      <c r="AR148" s="549"/>
      <c r="AS148" s="471">
        <f ca="1">IF(Summary!A148&lt;Calculation!FT151,FORECAST(20000,A142:A148,T142:T148),0)</f>
        <v>40713.249489589267</v>
      </c>
      <c r="AT148" s="581">
        <f>Calculation!AR151*3.068</f>
        <v>6445.2544000000034</v>
      </c>
      <c r="AU148" s="575">
        <f ca="1">Calculation!DA151</f>
        <v>1956.3658374574495</v>
      </c>
      <c r="AV148" s="575">
        <f>Calculation!CF151*3.068</f>
        <v>2582.0899295559493</v>
      </c>
      <c r="AW148" s="582">
        <f>Calculation!BK151*3.068</f>
        <v>3007.7853866666624</v>
      </c>
      <c r="AX148" s="524"/>
      <c r="AY148" s="816">
        <f>IF(Summary!A148&lt;Calculation!FT151,FORECAST(8333.33,A142:A148,AT142:AT148),0)</f>
        <v>40702.849353595724</v>
      </c>
      <c r="AZ148" s="559"/>
      <c r="BA148" s="534">
        <f ca="1">IF(Summary!A148&lt;Calculation!FT151,FORECAST(3888.89,A142:A148,AU142:AU148),0)</f>
        <v>40751.757453102015</v>
      </c>
      <c r="BB148" s="559"/>
      <c r="BC148" s="826">
        <f>IF(Summary!A148&lt;Calculation!FT151,FORECAST(3888.89,A142:A148,AV142:AV148),0)</f>
        <v>40719.101067259609</v>
      </c>
      <c r="BD148" s="559"/>
      <c r="BE148" s="847">
        <f>IF(Summary!A148&lt;Calculation!FT151,FORECAST(3888.89,A142:A148,AW142:AW148),0)</f>
        <v>40702.849422749598</v>
      </c>
    </row>
    <row r="149" spans="1:57" ht="13.5" thickBot="1">
      <c r="A149" s="513">
        <v>40681</v>
      </c>
      <c r="B149" s="498">
        <f t="shared" si="38"/>
        <v>82.857320000007647</v>
      </c>
      <c r="C149" s="498">
        <f>Calculation!AA152</f>
        <v>99.998080000000002</v>
      </c>
      <c r="D149" s="498">
        <f>Calculation!Y152</f>
        <v>0</v>
      </c>
      <c r="E149" s="498">
        <f>Calculation!U152</f>
        <v>51.375870000009904</v>
      </c>
      <c r="F149" s="498">
        <f>Calculation!V152</f>
        <v>31.481449999997746</v>
      </c>
      <c r="G149" s="498">
        <f>Calculation!W152</f>
        <v>82.130230000000225</v>
      </c>
      <c r="H149" s="500">
        <f>Sheet1!H152</f>
        <v>27.7</v>
      </c>
      <c r="I149" s="501">
        <f>Sheet1!CW152</f>
        <v>4804.583333333333</v>
      </c>
      <c r="J149" s="501">
        <f>Sheet1!CX152</f>
        <v>3270.2083333333335</v>
      </c>
      <c r="K149" s="501">
        <f>Sheet1!CV152</f>
        <v>3231.6666666666665</v>
      </c>
      <c r="L149" s="501">
        <f>Calculation!F152</f>
        <v>250</v>
      </c>
      <c r="M149" s="501">
        <f>Calculation!E152</f>
        <v>250</v>
      </c>
      <c r="N149" s="501">
        <f>Calculation!D152</f>
        <v>300</v>
      </c>
      <c r="O149" s="500">
        <f>Sheet1!CY152</f>
        <v>1160.8800000000001</v>
      </c>
      <c r="P149" s="514" t="e">
        <f>Calculation!ET152</f>
        <v>#N/A</v>
      </c>
      <c r="Q149" s="498">
        <f>Calculation!DF152</f>
        <v>43736.800000105082</v>
      </c>
      <c r="R149" s="500">
        <f t="shared" si="34"/>
        <v>42516.800000105082</v>
      </c>
      <c r="S149" s="498">
        <f t="shared" si="39"/>
        <v>-1456.8800000034098</v>
      </c>
      <c r="T149" s="498">
        <f ca="1">IF(A149&gt;$A$1,#N/A,VLOOKUP(A149,Calculation!$B$8:$IV$881,30,FALSE))</f>
        <v>14189.811073680066</v>
      </c>
      <c r="U149" s="498">
        <f t="shared" si="35"/>
        <v>0</v>
      </c>
      <c r="V149" s="498">
        <f>Calculation!AP152</f>
        <v>0</v>
      </c>
      <c r="W149" s="498">
        <f t="shared" ref="W149:W189" ca="1" si="45">IF((A149+1)&gt;$A$1,#N/A,5000)</f>
        <v>5000</v>
      </c>
      <c r="X149" s="498">
        <v>0</v>
      </c>
      <c r="Y149" s="744">
        <f t="shared" ca="1" si="36"/>
        <v>2500</v>
      </c>
      <c r="Z149" s="748">
        <f t="shared" ca="1" si="37"/>
        <v>2500</v>
      </c>
      <c r="AA149" s="498">
        <f t="shared" ca="1" si="40"/>
        <v>24546.988926425016</v>
      </c>
      <c r="AB149" s="501">
        <f t="shared" ca="1" si="41"/>
        <v>23326.988926425016</v>
      </c>
      <c r="AC149" s="498" t="e">
        <f ca="1">IF(A149&gt;$A$1,#N/A,VLOOKUP(A149,Calculation!$B$8:$IV$881,155,FALSE))</f>
        <v>#N/A</v>
      </c>
      <c r="AD149" s="498" t="e">
        <f t="shared" ca="1" si="42"/>
        <v>#N/A</v>
      </c>
      <c r="AE149" s="498"/>
      <c r="AF149" s="501">
        <f>Calculation!G152</f>
        <v>2496.9818456866315</v>
      </c>
      <c r="AG149" s="498" t="str">
        <f t="shared" si="43"/>
        <v>Yes</v>
      </c>
      <c r="AH149" s="498" t="str">
        <f t="shared" si="44"/>
        <v>Yes</v>
      </c>
      <c r="AK149" s="738">
        <v>33294.460000082116</v>
      </c>
      <c r="AL149" s="738">
        <v>38985.840000095101</v>
      </c>
      <c r="AM149" s="740">
        <v>50738.500000119282</v>
      </c>
      <c r="AR149" s="549"/>
      <c r="AS149" s="471">
        <f ca="1">IF(Summary!A149&lt;Calculation!FT152,FORECAST(20000,A143:A149,T143:T149),0)</f>
        <v>40712.158711412987</v>
      </c>
      <c r="AT149" s="581">
        <f>Calculation!AR152*3.068</f>
        <v>6527.8858666666702</v>
      </c>
      <c r="AU149" s="575">
        <f ca="1">Calculation!DA152</f>
        <v>1994.9271885685605</v>
      </c>
      <c r="AV149" s="575">
        <f>Calculation!CF152*3.068</f>
        <v>2620.6512806670603</v>
      </c>
      <c r="AW149" s="582">
        <f>Calculation!BK152*3.068</f>
        <v>3046.3467377777738</v>
      </c>
      <c r="AX149" s="524"/>
      <c r="AY149" s="816">
        <f>IF(Summary!A149&lt;Calculation!FT152,FORECAST(8333.33,A143:A149,AT143:AT149),0)</f>
        <v>40702.849353595724</v>
      </c>
      <c r="AZ149" s="559"/>
      <c r="BA149" s="534">
        <f ca="1">IF(Summary!A149&lt;Calculation!FT152,FORECAST(3888.89,A143:A149,AU143:AU149),0)</f>
        <v>40742.258056170416</v>
      </c>
      <c r="BB149" s="559"/>
      <c r="BC149" s="826">
        <f>IF(Summary!A149&lt;Calculation!FT152,FORECAST(3888.89,A143:A149,AV143:AV149),0)</f>
        <v>40717.103093234567</v>
      </c>
      <c r="BD149" s="559"/>
      <c r="BE149" s="847">
        <f>IF(Summary!A149&lt;Calculation!FT152,FORECAST(3888.89,A143:A149,AW143:AW149),0)</f>
        <v>40702.849422749598</v>
      </c>
    </row>
    <row r="150" spans="1:57" ht="13.5" thickBot="1">
      <c r="A150" s="513">
        <v>40682</v>
      </c>
      <c r="B150" s="498">
        <f t="shared" si="38"/>
        <v>87.23532999998784</v>
      </c>
      <c r="C150" s="498">
        <f>Calculation!AA153</f>
        <v>99.998080000000002</v>
      </c>
      <c r="D150" s="498">
        <f>Calculation!Y153</f>
        <v>0</v>
      </c>
      <c r="E150" s="498">
        <f>Calculation!U153</f>
        <v>62.328629999990092</v>
      </c>
      <c r="F150" s="498">
        <f>Calculation!V153</f>
        <v>24.906699999997748</v>
      </c>
      <c r="G150" s="498">
        <f>Calculation!W153</f>
        <v>84.791069999999209</v>
      </c>
      <c r="H150" s="500">
        <f>Sheet1!H153</f>
        <v>32.6</v>
      </c>
      <c r="I150" s="501">
        <f>Sheet1!CW153</f>
        <v>3693.75</v>
      </c>
      <c r="J150" s="501">
        <f>Sheet1!CX153</f>
        <v>2568.9583333333335</v>
      </c>
      <c r="K150" s="501">
        <f>Sheet1!CV153</f>
        <v>2521.25</v>
      </c>
      <c r="L150" s="501">
        <f>Calculation!F153</f>
        <v>250</v>
      </c>
      <c r="M150" s="501">
        <f>Calculation!E153</f>
        <v>250</v>
      </c>
      <c r="N150" s="501">
        <f>Calculation!D153</f>
        <v>300</v>
      </c>
      <c r="O150" s="500">
        <f>Sheet1!CY153</f>
        <v>1160.29</v>
      </c>
      <c r="P150" s="514" t="e">
        <f>Calculation!ET153</f>
        <v>#N/A</v>
      </c>
      <c r="Q150" s="498">
        <f>Calculation!DF153</f>
        <v>43111.400000104361</v>
      </c>
      <c r="R150" s="500">
        <f t="shared" si="34"/>
        <v>41891.400000104361</v>
      </c>
      <c r="S150" s="498">
        <f t="shared" si="39"/>
        <v>-625.40000000072177</v>
      </c>
      <c r="T150" s="498">
        <f ca="1">IF(A150&gt;$A$1,#N/A,VLOOKUP(A150,Calculation!$B$8:$IV$881,30,FALSE))</f>
        <v>14388.126593680065</v>
      </c>
      <c r="U150" s="498">
        <f t="shared" si="35"/>
        <v>0</v>
      </c>
      <c r="V150" s="498">
        <f>Calculation!AP153</f>
        <v>0</v>
      </c>
      <c r="W150" s="498">
        <f t="shared" ca="1" si="45"/>
        <v>5000</v>
      </c>
      <c r="X150" s="498">
        <v>0</v>
      </c>
      <c r="Y150" s="744">
        <f t="shared" ca="1" si="36"/>
        <v>2500</v>
      </c>
      <c r="Z150" s="748">
        <f t="shared" ca="1" si="37"/>
        <v>2500</v>
      </c>
      <c r="AA150" s="498">
        <f t="shared" ca="1" si="40"/>
        <v>23723.273406424298</v>
      </c>
      <c r="AB150" s="501">
        <f t="shared" ca="1" si="41"/>
        <v>22503.273406424298</v>
      </c>
      <c r="AC150" s="498" t="e">
        <f ca="1">IF(A150&gt;$A$1,#N/A,VLOOKUP(A150,Calculation!$B$8:$IV$881,155,FALSE))</f>
        <v>#N/A</v>
      </c>
      <c r="AD150" s="498" t="e">
        <f t="shared" ca="1" si="42"/>
        <v>#N/A</v>
      </c>
      <c r="AE150" s="498"/>
      <c r="AF150" s="501">
        <f>Calculation!G153</f>
        <v>2205.8692637414415</v>
      </c>
      <c r="AG150" s="498" t="str">
        <f t="shared" si="43"/>
        <v>Yes</v>
      </c>
      <c r="AH150" s="498" t="str">
        <f t="shared" si="44"/>
        <v>Yes</v>
      </c>
      <c r="AK150" s="738">
        <v>34796.680000084853</v>
      </c>
      <c r="AL150" s="738">
        <v>39407.100000095554</v>
      </c>
      <c r="AM150" s="740">
        <v>50408.960000117768</v>
      </c>
      <c r="AR150" s="549"/>
      <c r="AS150" s="471">
        <f ca="1">IF(Summary!A150&lt;Calculation!FT153,FORECAST(20000,A144:A150,T144:T150),0)</f>
        <v>40711.234155220962</v>
      </c>
      <c r="AT150" s="581">
        <f>Calculation!AR153*3.068</f>
        <v>6610.5173333333369</v>
      </c>
      <c r="AU150" s="575">
        <f ca="1">Calculation!DA153</f>
        <v>2033.4885396796715</v>
      </c>
      <c r="AV150" s="575">
        <f>Calculation!CF153*3.068</f>
        <v>2659.2126317781713</v>
      </c>
      <c r="AW150" s="582">
        <f>Calculation!BK153*3.068</f>
        <v>3084.9080888888848</v>
      </c>
      <c r="AX150" s="524"/>
      <c r="AY150" s="816">
        <f>IF(Summary!A150&lt;Calculation!FT153,FORECAST(8333.33,A144:A150,AT144:AT150),0)</f>
        <v>40702.849353595724</v>
      </c>
      <c r="AZ150" s="559"/>
      <c r="BA150" s="534">
        <f ca="1">IF(Summary!A150&lt;Calculation!FT153,FORECAST(3888.89,A144:A150,AU144:AU150),0)</f>
        <v>40735.809321961118</v>
      </c>
      <c r="BB150" s="559"/>
      <c r="BC150" s="826">
        <f>IF(Summary!A150&lt;Calculation!FT153,FORECAST(3888.89,A144:A150,AV144:AV150),0)</f>
        <v>40715.480111944133</v>
      </c>
      <c r="BD150" s="559"/>
      <c r="BE150" s="847">
        <f>IF(Summary!A150&lt;Calculation!FT153,FORECAST(3888.89,A144:A150,AW144:AW150),0)</f>
        <v>40702.849422749598</v>
      </c>
    </row>
    <row r="151" spans="1:57" ht="13.5" thickBot="1">
      <c r="A151" s="513">
        <v>40683</v>
      </c>
      <c r="B151" s="498">
        <f t="shared" si="38"/>
        <v>83.383300000013506</v>
      </c>
      <c r="C151" s="498">
        <f>Calculation!AA154</f>
        <v>99.998080000000002</v>
      </c>
      <c r="D151" s="498">
        <f>Calculation!Y154</f>
        <v>0</v>
      </c>
      <c r="E151" s="498">
        <f>Calculation!U154</f>
        <v>58.167200000009004</v>
      </c>
      <c r="F151" s="498">
        <f>Calculation!V154</f>
        <v>25.216100000004502</v>
      </c>
      <c r="G151" s="498">
        <f>Calculation!W154</f>
        <v>82.42416000000101</v>
      </c>
      <c r="H151" s="500">
        <f>Sheet1!H154</f>
        <v>34</v>
      </c>
      <c r="I151" s="501">
        <f>Sheet1!CW154</f>
        <v>3172.5</v>
      </c>
      <c r="J151" s="501">
        <f>Sheet1!CX154</f>
        <v>2182.7083333333335</v>
      </c>
      <c r="K151" s="501">
        <f>Sheet1!CV154</f>
        <v>2116.6666666666665</v>
      </c>
      <c r="L151" s="501">
        <f>Calculation!F154</f>
        <v>250</v>
      </c>
      <c r="M151" s="501">
        <f>Calculation!E154</f>
        <v>250</v>
      </c>
      <c r="N151" s="501">
        <f>Calculation!D154</f>
        <v>300</v>
      </c>
      <c r="O151" s="500">
        <f>Sheet1!CY154</f>
        <v>1160.1199999999999</v>
      </c>
      <c r="P151" s="514" t="e">
        <f>Calculation!ET154</f>
        <v>#N/A</v>
      </c>
      <c r="Q151" s="498">
        <f>Calculation!DF154</f>
        <v>42931.200000104116</v>
      </c>
      <c r="R151" s="500">
        <f t="shared" si="34"/>
        <v>41711.200000104116</v>
      </c>
      <c r="S151" s="498">
        <f t="shared" si="39"/>
        <v>-180.20000000024447</v>
      </c>
      <c r="T151" s="498">
        <f ca="1">IF(A151&gt;$A$1,#N/A,VLOOKUP(A151,Calculation!$B$8:$IV$881,30,FALSE))</f>
        <v>14586.442113680065</v>
      </c>
      <c r="U151" s="498">
        <f t="shared" si="35"/>
        <v>0</v>
      </c>
      <c r="V151" s="498">
        <f>Calculation!AP154</f>
        <v>0</v>
      </c>
      <c r="W151" s="498">
        <f t="shared" ca="1" si="45"/>
        <v>5000</v>
      </c>
      <c r="X151" s="498">
        <v>0</v>
      </c>
      <c r="Y151" s="744">
        <f t="shared" ca="1" si="36"/>
        <v>2500</v>
      </c>
      <c r="Z151" s="748">
        <f t="shared" ca="1" si="37"/>
        <v>2500</v>
      </c>
      <c r="AA151" s="498">
        <f t="shared" ca="1" si="40"/>
        <v>23344.75788642405</v>
      </c>
      <c r="AB151" s="501">
        <f t="shared" ca="1" si="41"/>
        <v>22124.75788642405</v>
      </c>
      <c r="AC151" s="498" t="e">
        <f ca="1">IF(A151&gt;$A$1,#N/A,VLOOKUP(A151,Calculation!$B$8:$IV$881,155,FALSE))</f>
        <v>#N/A</v>
      </c>
      <c r="AD151" s="498" t="e">
        <f t="shared" ca="1" si="42"/>
        <v>#N/A</v>
      </c>
      <c r="AE151" s="498"/>
      <c r="AF151" s="501">
        <f>Calculation!G154</f>
        <v>2025.7942511345211</v>
      </c>
      <c r="AG151" s="498" t="str">
        <f t="shared" si="43"/>
        <v>Yes</v>
      </c>
      <c r="AH151" s="498" t="str">
        <f t="shared" si="44"/>
        <v>Yes</v>
      </c>
      <c r="AK151" s="738">
        <v>34227.550000084222</v>
      </c>
      <c r="AL151" s="738">
        <v>40165.650000097587</v>
      </c>
      <c r="AM151" s="740">
        <v>50363.920000117774</v>
      </c>
      <c r="AR151" s="549"/>
      <c r="AS151" s="471">
        <f ca="1">IF(Summary!A151&lt;Calculation!FT154,FORECAST(20000,A145:A151,T145:T151),0)</f>
        <v>40710.587103119818</v>
      </c>
      <c r="AT151" s="581">
        <f>Calculation!AR154*3.068</f>
        <v>6693.1488000000045</v>
      </c>
      <c r="AU151" s="575">
        <f ca="1">Calculation!DA154</f>
        <v>2072.0498907907827</v>
      </c>
      <c r="AV151" s="575">
        <f>Calculation!CF154*3.068</f>
        <v>2697.7739828892823</v>
      </c>
      <c r="AW151" s="582">
        <f>Calculation!BK154*3.068</f>
        <v>3123.4694399999958</v>
      </c>
      <c r="AX151" s="524"/>
      <c r="AY151" s="816">
        <f>IF(Summary!A151&lt;Calculation!FT154,FORECAST(8333.33,A145:A151,AT145:AT151),0)</f>
        <v>40702.849353595724</v>
      </c>
      <c r="AZ151" s="559"/>
      <c r="BA151" s="534">
        <f ca="1">IF(Summary!A151&lt;Calculation!FT154,FORECAST(3888.89,A145:A151,AU145:AU151),0)</f>
        <v>40731.847650227552</v>
      </c>
      <c r="BB151" s="559"/>
      <c r="BC151" s="826">
        <f>IF(Summary!A151&lt;Calculation!FT154,FORECAST(3888.89,A145:A151,AV145:AV151),0)</f>
        <v>40714.375078339493</v>
      </c>
      <c r="BD151" s="559"/>
      <c r="BE151" s="847">
        <f>IF(Summary!A151&lt;Calculation!FT154,FORECAST(3888.89,A145:A151,AW145:AW151),0)</f>
        <v>40702.849422749598</v>
      </c>
    </row>
    <row r="152" spans="1:57" ht="13.5" thickBot="1">
      <c r="A152" s="513">
        <v>40684</v>
      </c>
      <c r="B152" s="498">
        <f t="shared" si="38"/>
        <v>77.968799999990992</v>
      </c>
      <c r="C152" s="498">
        <f>Calculation!AA155</f>
        <v>99.998080000000002</v>
      </c>
      <c r="D152" s="498">
        <f>Calculation!Y155</f>
        <v>0</v>
      </c>
      <c r="E152" s="498">
        <f>Calculation!U155</f>
        <v>56.310799999990991</v>
      </c>
      <c r="F152" s="498">
        <f>Calculation!V155</f>
        <v>21.657999999999998</v>
      </c>
      <c r="G152" s="498">
        <f>Calculation!W155</f>
        <v>77.303589999998977</v>
      </c>
      <c r="H152" s="500">
        <f>Sheet1!H155</f>
        <v>30</v>
      </c>
      <c r="I152" s="501">
        <f>Sheet1!CW155</f>
        <v>2830.625</v>
      </c>
      <c r="J152" s="501">
        <f>Sheet1!CX155</f>
        <v>2031.25</v>
      </c>
      <c r="K152" s="501">
        <f>Sheet1!CV155</f>
        <v>1971.25</v>
      </c>
      <c r="L152" s="501">
        <f>Calculation!F155</f>
        <v>250</v>
      </c>
      <c r="M152" s="501">
        <f>Calculation!E155</f>
        <v>250</v>
      </c>
      <c r="N152" s="501">
        <f>Calculation!D155</f>
        <v>300</v>
      </c>
      <c r="O152" s="500">
        <f>Sheet1!CY155</f>
        <v>1160.3699999999999</v>
      </c>
      <c r="P152" s="514" t="e">
        <f>Calculation!ET155</f>
        <v>#N/A</v>
      </c>
      <c r="Q152" s="498">
        <f>Calculation!DF155</f>
        <v>43196.200000104363</v>
      </c>
      <c r="R152" s="500">
        <f t="shared" si="34"/>
        <v>41976.200000104363</v>
      </c>
      <c r="S152" s="498">
        <f t="shared" si="39"/>
        <v>265.00000000024738</v>
      </c>
      <c r="T152" s="498">
        <f ca="1">IF(A152&gt;$A$1,#N/A,VLOOKUP(A152,Calculation!$B$8:$IV$881,30,FALSE))</f>
        <v>14784.757633680067</v>
      </c>
      <c r="U152" s="498">
        <f t="shared" si="35"/>
        <v>0</v>
      </c>
      <c r="V152" s="498">
        <f>Calculation!AP155</f>
        <v>0</v>
      </c>
      <c r="W152" s="498">
        <f t="shared" ca="1" si="45"/>
        <v>5000</v>
      </c>
      <c r="X152" s="498">
        <v>0</v>
      </c>
      <c r="Y152" s="744">
        <f t="shared" ca="1" si="36"/>
        <v>2500</v>
      </c>
      <c r="Z152" s="748">
        <f t="shared" ca="1" si="37"/>
        <v>2500</v>
      </c>
      <c r="AA152" s="498">
        <f t="shared" ca="1" si="40"/>
        <v>23411.442366424297</v>
      </c>
      <c r="AB152" s="501">
        <f t="shared" ca="1" si="41"/>
        <v>22191.442366424297</v>
      </c>
      <c r="AC152" s="498" t="e">
        <f ca="1">IF(A152&gt;$A$1,#N/A,VLOOKUP(A152,Calculation!$B$8:$IV$881,155,FALSE))</f>
        <v>#N/A</v>
      </c>
      <c r="AD152" s="498" t="e">
        <f t="shared" ca="1" si="42"/>
        <v>#N/A</v>
      </c>
      <c r="AE152" s="498"/>
      <c r="AF152" s="501">
        <f>Calculation!G155</f>
        <v>2104.885905194275</v>
      </c>
      <c r="AG152" s="498" t="str">
        <f t="shared" si="43"/>
        <v>Yes</v>
      </c>
      <c r="AH152" s="498" t="str">
        <f t="shared" si="44"/>
        <v>Yes</v>
      </c>
      <c r="AK152" s="738">
        <v>34563.430000084642</v>
      </c>
      <c r="AL152" s="738">
        <v>40226.670000097583</v>
      </c>
      <c r="AM152" s="740">
        <v>50251.320000117514</v>
      </c>
      <c r="AR152" s="549"/>
      <c r="AS152" s="471">
        <f ca="1">IF(Summary!A152&lt;Calculation!FT155,FORECAST(20000,A146:A152,T146:T152),0)</f>
        <v>40710.297701593503</v>
      </c>
      <c r="AT152" s="581">
        <f>Calculation!AR155*3.068</f>
        <v>6775.7802666666712</v>
      </c>
      <c r="AU152" s="575">
        <f ca="1">Calculation!DA155</f>
        <v>2110.6112419018937</v>
      </c>
      <c r="AV152" s="575">
        <f>Calculation!CF155*3.068</f>
        <v>2736.3353340003932</v>
      </c>
      <c r="AW152" s="582">
        <f>Calculation!BK155*3.068</f>
        <v>3162.0307911111072</v>
      </c>
      <c r="AX152" s="524"/>
      <c r="AY152" s="816">
        <f>IF(Summary!A152&lt;Calculation!FT155,FORECAST(8333.33,A146:A152,AT146:AT152),0)</f>
        <v>40702.849353595724</v>
      </c>
      <c r="AZ152" s="559"/>
      <c r="BA152" s="534">
        <f ca="1">IF(Summary!A152&lt;Calculation!FT155,FORECAST(3888.89,A146:A152,AU146:AU152),0)</f>
        <v>40730.115571857801</v>
      </c>
      <c r="BB152" s="559"/>
      <c r="BC152" s="826">
        <f>IF(Summary!A152&lt;Calculation!FT155,FORECAST(3888.89,A146:A152,AV146:AV152),0)</f>
        <v>40713.888855882637</v>
      </c>
      <c r="BD152" s="559"/>
      <c r="BE152" s="847">
        <f>IF(Summary!A152&lt;Calculation!FT155,FORECAST(3888.89,A146:A152,AW146:AW152),0)</f>
        <v>40702.849422749598</v>
      </c>
    </row>
    <row r="153" spans="1:57" ht="13.5" thickBot="1">
      <c r="A153" s="513">
        <v>40685</v>
      </c>
      <c r="B153" s="498">
        <f t="shared" si="38"/>
        <v>73.791900000006748</v>
      </c>
      <c r="C153" s="498">
        <f>Calculation!AA156</f>
        <v>99.998080000000002</v>
      </c>
      <c r="D153" s="498">
        <f>Calculation!Y156</f>
        <v>0</v>
      </c>
      <c r="E153" s="498">
        <f>Calculation!U156</f>
        <v>53.062100000004499</v>
      </c>
      <c r="F153" s="498">
        <f>Calculation!V156</f>
        <v>20.72980000000225</v>
      </c>
      <c r="G153" s="498">
        <f>Calculation!W156</f>
        <v>72.693529999999654</v>
      </c>
      <c r="H153" s="500">
        <f>Sheet1!H156</f>
        <v>33</v>
      </c>
      <c r="I153" s="501">
        <f>Sheet1!CW156</f>
        <v>2780.8333333333335</v>
      </c>
      <c r="J153" s="501">
        <f>Sheet1!CX156</f>
        <v>2020.625</v>
      </c>
      <c r="K153" s="501">
        <f>Sheet1!CV156</f>
        <v>1971.25</v>
      </c>
      <c r="L153" s="501">
        <f>Calculation!F156</f>
        <v>250</v>
      </c>
      <c r="M153" s="501">
        <f>Calculation!E156</f>
        <v>250</v>
      </c>
      <c r="N153" s="501">
        <f>Calculation!D156</f>
        <v>300</v>
      </c>
      <c r="O153" s="500">
        <f>Sheet1!CY156</f>
        <v>1160.3599999999999</v>
      </c>
      <c r="P153" s="514" t="e">
        <f>Calculation!ET156</f>
        <v>#N/A</v>
      </c>
      <c r="Q153" s="498">
        <f>Calculation!DF156</f>
        <v>43185.600000104358</v>
      </c>
      <c r="R153" s="500">
        <f t="shared" si="34"/>
        <v>41965.600000104358</v>
      </c>
      <c r="S153" s="498">
        <f t="shared" si="39"/>
        <v>-10.600000000005821</v>
      </c>
      <c r="T153" s="498">
        <f ca="1">IF(A153&gt;$A$1,#N/A,VLOOKUP(A153,Calculation!$B$8:$IV$881,30,FALSE))</f>
        <v>14983.073153680065</v>
      </c>
      <c r="U153" s="498">
        <f t="shared" si="35"/>
        <v>0</v>
      </c>
      <c r="V153" s="498">
        <f>Calculation!AP156</f>
        <v>0</v>
      </c>
      <c r="W153" s="498">
        <f t="shared" ca="1" si="45"/>
        <v>5000</v>
      </c>
      <c r="X153" s="498">
        <v>0</v>
      </c>
      <c r="Y153" s="744">
        <f t="shared" ca="1" si="36"/>
        <v>2500</v>
      </c>
      <c r="Z153" s="748">
        <f t="shared" ca="1" si="37"/>
        <v>2500</v>
      </c>
      <c r="AA153" s="498">
        <f t="shared" ca="1" si="40"/>
        <v>23202.526846424291</v>
      </c>
      <c r="AB153" s="501">
        <f t="shared" ca="1" si="41"/>
        <v>21982.526846424291</v>
      </c>
      <c r="AC153" s="498" t="e">
        <f ca="1">IF(A153&gt;$A$1,#N/A,VLOOKUP(A153,Calculation!$B$8:$IV$881,155,FALSE))</f>
        <v>#N/A</v>
      </c>
      <c r="AD153" s="498" t="e">
        <f t="shared" ca="1" si="42"/>
        <v>#N/A</v>
      </c>
      <c r="AE153" s="498"/>
      <c r="AF153" s="501">
        <f>Calculation!G156</f>
        <v>1965.9045637922311</v>
      </c>
      <c r="AG153" s="498" t="str">
        <f t="shared" si="43"/>
        <v>Yes</v>
      </c>
      <c r="AH153" s="498" t="str">
        <f t="shared" si="44"/>
        <v>Yes</v>
      </c>
      <c r="AK153" s="738">
        <v>36068.3000000885</v>
      </c>
      <c r="AL153" s="738">
        <v>40480.920000097816</v>
      </c>
      <c r="AM153" s="740">
        <v>50408.960000117768</v>
      </c>
      <c r="AR153" s="549"/>
      <c r="AS153" s="471">
        <f ca="1">IF(Summary!A153&lt;Calculation!FT156,FORECAST(20000,A147:A153,T147:T153),0)</f>
        <v>40710.297701593503</v>
      </c>
      <c r="AT153" s="581">
        <f>Calculation!AR156*3.068</f>
        <v>6858.4117333333379</v>
      </c>
      <c r="AU153" s="575">
        <f ca="1">Calculation!DA156</f>
        <v>2149.1725930130046</v>
      </c>
      <c r="AV153" s="575">
        <f>Calculation!CF156*3.068</f>
        <v>2774.8966851115042</v>
      </c>
      <c r="AW153" s="582">
        <f>Calculation!BK156*3.068</f>
        <v>3200.5921422222186</v>
      </c>
      <c r="AX153" s="524"/>
      <c r="AY153" s="816">
        <f>IF(Summary!A153&lt;Calculation!FT156,FORECAST(8333.33,A147:A153,AT147:AT153),0)</f>
        <v>40702.849353595724</v>
      </c>
      <c r="AZ153" s="559"/>
      <c r="BA153" s="534">
        <f ca="1">IF(Summary!A153&lt;Calculation!FT156,FORECAST(3888.89,A147:A153,AU147:AU153),0)</f>
        <v>40730.115571857801</v>
      </c>
      <c r="BB153" s="559"/>
      <c r="BC153" s="826">
        <f>IF(Summary!A153&lt;Calculation!FT156,FORECAST(3888.89,A147:A153,AV147:AV153),0)</f>
        <v>40713.888855882637</v>
      </c>
      <c r="BD153" s="559"/>
      <c r="BE153" s="847">
        <f>IF(Summary!A153&lt;Calculation!FT156,FORECAST(3888.89,A147:A153,AW147:AW153),0)</f>
        <v>40702.849422749598</v>
      </c>
    </row>
    <row r="154" spans="1:57" ht="13.5" thickBot="1">
      <c r="A154" s="513">
        <v>40686</v>
      </c>
      <c r="B154" s="498">
        <f t="shared" si="38"/>
        <v>69.150899999984233</v>
      </c>
      <c r="C154" s="498">
        <f>Calculation!AA157</f>
        <v>99.998080000000002</v>
      </c>
      <c r="D154" s="498">
        <f>Calculation!Y157</f>
        <v>0</v>
      </c>
      <c r="E154" s="498">
        <f>Calculation!U157</f>
        <v>51.669799999990992</v>
      </c>
      <c r="F154" s="498">
        <f>Calculation!V157</f>
        <v>17.481099999993244</v>
      </c>
      <c r="G154" s="498">
        <f>Calculation!W157</f>
        <v>68.563039999999546</v>
      </c>
      <c r="H154" s="500">
        <f>Sheet1!H157</f>
        <v>20.7</v>
      </c>
      <c r="I154" s="501">
        <f>Sheet1!CW157</f>
        <v>2663.0208333333335</v>
      </c>
      <c r="J154" s="501">
        <f>Sheet1!CX157</f>
        <v>1814.7916666666667</v>
      </c>
      <c r="K154" s="501">
        <f>Sheet1!CV157</f>
        <v>1764.1666666666667</v>
      </c>
      <c r="L154" s="501">
        <f>Calculation!F157</f>
        <v>250</v>
      </c>
      <c r="M154" s="501">
        <f>Calculation!E157</f>
        <v>250</v>
      </c>
      <c r="N154" s="501">
        <f>Calculation!D157</f>
        <v>300</v>
      </c>
      <c r="O154" s="500">
        <f>Sheet1!CY157</f>
        <v>1160.3900000000001</v>
      </c>
      <c r="P154" s="514" t="e">
        <f>Calculation!ET157</f>
        <v>#N/A</v>
      </c>
      <c r="Q154" s="498">
        <f>Calculation!DF157</f>
        <v>43217.400000104601</v>
      </c>
      <c r="R154" s="500">
        <f t="shared" si="34"/>
        <v>41997.400000104601</v>
      </c>
      <c r="S154" s="498">
        <f t="shared" si="39"/>
        <v>31.800000000243017</v>
      </c>
      <c r="T154" s="498">
        <f ca="1">IF(A154&gt;$A$1,#N/A,VLOOKUP(A154,Calculation!$B$8:$IV$881,30,FALSE))</f>
        <v>15181.388673680065</v>
      </c>
      <c r="U154" s="498">
        <f t="shared" si="35"/>
        <v>0</v>
      </c>
      <c r="V154" s="498">
        <f>Calculation!AP157</f>
        <v>0</v>
      </c>
      <c r="W154" s="498">
        <f t="shared" ca="1" si="45"/>
        <v>5000</v>
      </c>
      <c r="X154" s="498">
        <v>0</v>
      </c>
      <c r="Y154" s="744">
        <f t="shared" ca="1" si="36"/>
        <v>2500</v>
      </c>
      <c r="Z154" s="748">
        <f t="shared" ca="1" si="37"/>
        <v>2500</v>
      </c>
      <c r="AA154" s="498">
        <f t="shared" ca="1" si="40"/>
        <v>23036.011326424537</v>
      </c>
      <c r="AB154" s="501">
        <f t="shared" ca="1" si="41"/>
        <v>21816.011326424537</v>
      </c>
      <c r="AC154" s="498" t="e">
        <f ca="1">IF(A154&gt;$A$1,#N/A,VLOOKUP(A154,Calculation!$B$8:$IV$881,155,FALSE))</f>
        <v>#N/A</v>
      </c>
      <c r="AD154" s="498" t="e">
        <f t="shared" ca="1" si="42"/>
        <v>#N/A</v>
      </c>
      <c r="AE154" s="498"/>
      <c r="AF154" s="501">
        <f>Calculation!G157</f>
        <v>1780.2029752900874</v>
      </c>
      <c r="AG154" s="498" t="str">
        <f t="shared" si="43"/>
        <v>Yes</v>
      </c>
      <c r="AH154" s="498" t="str">
        <f t="shared" si="44"/>
        <v>Yes</v>
      </c>
      <c r="AK154" s="738">
        <v>35240.780000086466</v>
      </c>
      <c r="AL154" s="738">
        <v>40900.440000099727</v>
      </c>
      <c r="AM154" s="740">
        <v>50273.840000117518</v>
      </c>
      <c r="AR154" s="549"/>
      <c r="AS154" s="471">
        <f ca="1">IF(Summary!A154&lt;Calculation!FT157,FORECAST(20000,A148:A154,T148:T154),0)</f>
        <v>40710.297701593503</v>
      </c>
      <c r="AT154" s="581">
        <f>Calculation!AR157*3.068</f>
        <v>6941.0432000000046</v>
      </c>
      <c r="AU154" s="575">
        <f ca="1">Calculation!DA157</f>
        <v>2187.7339441241156</v>
      </c>
      <c r="AV154" s="575">
        <f>Calculation!CF157*3.068</f>
        <v>2813.4580362226152</v>
      </c>
      <c r="AW154" s="582">
        <f>Calculation!BK157*3.068</f>
        <v>3239.1534933333296</v>
      </c>
      <c r="AX154" s="524"/>
      <c r="AY154" s="816">
        <f>IF(Summary!A154&lt;Calculation!FT157,FORECAST(8333.33,A148:A154,AT148:AT154),0)</f>
        <v>40702.849353595724</v>
      </c>
      <c r="AZ154" s="559"/>
      <c r="BA154" s="534">
        <f ca="1">IF(Summary!A154&lt;Calculation!FT157,FORECAST(3888.89,A148:A154,AU148:AU154),0)</f>
        <v>40730.115571857801</v>
      </c>
      <c r="BB154" s="559"/>
      <c r="BC154" s="826">
        <f>IF(Summary!A154&lt;Calculation!FT157,FORECAST(3888.89,A148:A154,AV148:AV154),0)</f>
        <v>40713.888855882637</v>
      </c>
      <c r="BD154" s="559"/>
      <c r="BE154" s="847">
        <f>IF(Summary!A154&lt;Calculation!FT157,FORECAST(3888.89,A148:A154,AW148:AW154),0)</f>
        <v>40702.849422749598</v>
      </c>
    </row>
    <row r="155" spans="1:57" ht="13.5" thickBot="1">
      <c r="A155" s="513">
        <v>40687</v>
      </c>
      <c r="B155" s="498">
        <f t="shared" si="38"/>
        <v>65.283399999995495</v>
      </c>
      <c r="C155" s="498">
        <f>Calculation!AA158</f>
        <v>99.998080000000002</v>
      </c>
      <c r="D155" s="498">
        <f>Calculation!Y158</f>
        <v>0</v>
      </c>
      <c r="E155" s="498">
        <f>Calculation!U158</f>
        <v>51.360399999995494</v>
      </c>
      <c r="F155" s="498">
        <f>Calculation!V158</f>
        <v>13.923</v>
      </c>
      <c r="G155" s="498">
        <f>Calculation!W158</f>
        <v>65.298870000001457</v>
      </c>
      <c r="H155" s="500">
        <f>Sheet1!H158</f>
        <v>17.899999999999999</v>
      </c>
      <c r="I155" s="501">
        <f>Sheet1!CW158</f>
        <v>2284.5833333333335</v>
      </c>
      <c r="J155" s="501">
        <f>Sheet1!CX158</f>
        <v>1556.6666666666667</v>
      </c>
      <c r="K155" s="501">
        <f>Sheet1!CV158</f>
        <v>1539.1666666666667</v>
      </c>
      <c r="L155" s="501">
        <f>Calculation!F158</f>
        <v>250</v>
      </c>
      <c r="M155" s="501">
        <f>Calculation!E158</f>
        <v>250</v>
      </c>
      <c r="N155" s="501">
        <f>Calculation!D158</f>
        <v>300</v>
      </c>
      <c r="O155" s="500">
        <f>Sheet1!CY158</f>
        <v>1160.56</v>
      </c>
      <c r="P155" s="514" t="e">
        <f>Calculation!ET158</f>
        <v>#N/A</v>
      </c>
      <c r="Q155" s="498">
        <f>Calculation!DF158</f>
        <v>43397.600000104598</v>
      </c>
      <c r="R155" s="500">
        <f t="shared" si="34"/>
        <v>42177.600000104598</v>
      </c>
      <c r="S155" s="498">
        <f t="shared" si="39"/>
        <v>180.19999999999709</v>
      </c>
      <c r="T155" s="498">
        <f ca="1">IF(A155&gt;$A$1,#N/A,VLOOKUP(A155,Calculation!$B$8:$IV$881,30,FALSE))</f>
        <v>15379.704193680063</v>
      </c>
      <c r="U155" s="498">
        <f t="shared" si="35"/>
        <v>0</v>
      </c>
      <c r="V155" s="498">
        <f>Calculation!AP158</f>
        <v>0</v>
      </c>
      <c r="W155" s="498">
        <f t="shared" ca="1" si="45"/>
        <v>5000</v>
      </c>
      <c r="X155" s="498">
        <v>0</v>
      </c>
      <c r="Y155" s="744">
        <f t="shared" ca="1" si="36"/>
        <v>2500</v>
      </c>
      <c r="Z155" s="748">
        <f t="shared" ca="1" si="37"/>
        <v>2500</v>
      </c>
      <c r="AA155" s="498">
        <f t="shared" ca="1" si="40"/>
        <v>23017.895806424534</v>
      </c>
      <c r="AB155" s="501">
        <f t="shared" ca="1" si="41"/>
        <v>21797.895806424534</v>
      </c>
      <c r="AC155" s="498" t="e">
        <f ca="1">IF(A155&gt;$A$1,#N/A,VLOOKUP(A155,Calculation!$B$8:$IV$881,155,FALSE))</f>
        <v>#N/A</v>
      </c>
      <c r="AD155" s="498" t="e">
        <f t="shared" ca="1" si="42"/>
        <v>#N/A</v>
      </c>
      <c r="AE155" s="498"/>
      <c r="AF155" s="501">
        <f>Calculation!G158</f>
        <v>1630.0390821986875</v>
      </c>
      <c r="AG155" s="498" t="str">
        <f t="shared" si="43"/>
        <v>Yes</v>
      </c>
      <c r="AH155" s="498" t="str">
        <f t="shared" si="44"/>
        <v>Yes</v>
      </c>
      <c r="AK155" s="738">
        <v>34190.230000084222</v>
      </c>
      <c r="AL155" s="738">
        <v>41519.640000100197</v>
      </c>
      <c r="AM155" s="740">
        <v>50408.960000117768</v>
      </c>
      <c r="AR155" s="549"/>
      <c r="AS155" s="471">
        <f ca="1">IF(Summary!A155&lt;Calculation!FT158,FORECAST(20000,A149:A155,T149:T155),0)</f>
        <v>40710.297701593503</v>
      </c>
      <c r="AT155" s="581">
        <f>Calculation!AR158*3.068</f>
        <v>7023.6746666666713</v>
      </c>
      <c r="AU155" s="575">
        <f ca="1">Calculation!DA158</f>
        <v>2226.2952952352266</v>
      </c>
      <c r="AV155" s="575">
        <f>Calculation!CF158*3.068</f>
        <v>2852.0193873337266</v>
      </c>
      <c r="AW155" s="582">
        <f>Calculation!BK158*3.068</f>
        <v>3277.714844444441</v>
      </c>
      <c r="AX155" s="524"/>
      <c r="AY155" s="816">
        <f>IF(Summary!A155&lt;Calculation!FT158,FORECAST(8333.33,A149:A155,AT149:AT155),0)</f>
        <v>40702.849353595724</v>
      </c>
      <c r="AZ155" s="559"/>
      <c r="BA155" s="534">
        <f ca="1">IF(Summary!A155&lt;Calculation!FT158,FORECAST(3888.89,A149:A155,AU149:AU155),0)</f>
        <v>40730.115571857801</v>
      </c>
      <c r="BB155" s="559"/>
      <c r="BC155" s="826">
        <f>IF(Summary!A155&lt;Calculation!FT158,FORECAST(3888.89,A149:A155,AV149:AV155),0)</f>
        <v>40713.888855882637</v>
      </c>
      <c r="BD155" s="559"/>
      <c r="BE155" s="847">
        <f>IF(Summary!A155&lt;Calculation!FT158,FORECAST(3888.89,A149:A155,AW149:AW155),0)</f>
        <v>40702.849422749598</v>
      </c>
    </row>
    <row r="156" spans="1:57" ht="13.5" thickBot="1">
      <c r="A156" s="513">
        <v>40688</v>
      </c>
      <c r="B156" s="498">
        <f t="shared" si="38"/>
        <v>66.675700000020257</v>
      </c>
      <c r="C156" s="498">
        <f>Calculation!AA159</f>
        <v>99.998080000000002</v>
      </c>
      <c r="D156" s="498">
        <f>Calculation!Y159</f>
        <v>0</v>
      </c>
      <c r="E156" s="498">
        <f>Calculation!U159</f>
        <v>51.360400000018004</v>
      </c>
      <c r="F156" s="498">
        <f>Calculation!V159</f>
        <v>15.315300000002251</v>
      </c>
      <c r="G156" s="498">
        <f>Calculation!W159</f>
        <v>66.335359999998758</v>
      </c>
      <c r="H156" s="500">
        <f>Sheet1!H159</f>
        <v>20</v>
      </c>
      <c r="I156" s="501">
        <f>Sheet1!CW159</f>
        <v>2207.7083333333335</v>
      </c>
      <c r="J156" s="501">
        <f>Sheet1!CX159</f>
        <v>1522.8125</v>
      </c>
      <c r="K156" s="501">
        <f>Sheet1!CV159</f>
        <v>1505</v>
      </c>
      <c r="L156" s="501">
        <f>Calculation!F159</f>
        <v>250</v>
      </c>
      <c r="M156" s="501">
        <f>Calculation!E159</f>
        <v>250</v>
      </c>
      <c r="N156" s="501">
        <f>Calculation!D159</f>
        <v>300</v>
      </c>
      <c r="O156" s="500">
        <f>Sheet1!CY159</f>
        <v>1160.8</v>
      </c>
      <c r="P156" s="514" t="e">
        <f>Calculation!ET159</f>
        <v>#N/A</v>
      </c>
      <c r="Q156" s="498">
        <f>Calculation!DF159</f>
        <v>43652.000000104839</v>
      </c>
      <c r="R156" s="500">
        <f t="shared" si="34"/>
        <v>42432.000000104839</v>
      </c>
      <c r="S156" s="498">
        <f t="shared" si="39"/>
        <v>254.40000000024156</v>
      </c>
      <c r="T156" s="498">
        <f ca="1">IF(A156&gt;$A$1,#N/A,VLOOKUP(A156,Calculation!$B$8:$IV$881,30,FALSE))</f>
        <v>15578.019713680065</v>
      </c>
      <c r="U156" s="498">
        <f t="shared" si="35"/>
        <v>0</v>
      </c>
      <c r="V156" s="498">
        <f>Calculation!AP159</f>
        <v>0</v>
      </c>
      <c r="W156" s="498">
        <f t="shared" ca="1" si="45"/>
        <v>5000</v>
      </c>
      <c r="X156" s="498">
        <v>0</v>
      </c>
      <c r="Y156" s="744">
        <f t="shared" ca="1" si="36"/>
        <v>2500</v>
      </c>
      <c r="Z156" s="748">
        <f t="shared" ca="1" si="37"/>
        <v>2500</v>
      </c>
      <c r="AA156" s="498">
        <f t="shared" ca="1" si="40"/>
        <v>23073.980286424776</v>
      </c>
      <c r="AB156" s="501">
        <f t="shared" ca="1" si="41"/>
        <v>21853.980286424776</v>
      </c>
      <c r="AC156" s="498" t="e">
        <f ca="1">IF(A156&gt;$A$1,#N/A,VLOOKUP(A156,Calculation!$B$8:$IV$881,155,FALSE))</f>
        <v>#N/A</v>
      </c>
      <c r="AD156" s="498" t="e">
        <f t="shared" ca="1" si="42"/>
        <v>#N/A</v>
      </c>
      <c r="AE156" s="498"/>
      <c r="AF156" s="501">
        <f>Calculation!G159</f>
        <v>1633.2904689865061</v>
      </c>
      <c r="AG156" s="498" t="str">
        <f t="shared" si="43"/>
        <v>Yes</v>
      </c>
      <c r="AH156" s="498" t="str">
        <f t="shared" si="44"/>
        <v>Yes</v>
      </c>
      <c r="AK156" s="738">
        <v>33230.130000082121</v>
      </c>
      <c r="AL156" s="738">
        <v>42406.140000102365</v>
      </c>
      <c r="AM156" s="740">
        <v>50510.900000119029</v>
      </c>
      <c r="AR156" s="549"/>
      <c r="AS156" s="471">
        <f ca="1">IF(Summary!A156&lt;Calculation!FT159,FORECAST(20000,A150:A156,T150:T156),0)</f>
        <v>40710.297701593503</v>
      </c>
      <c r="AT156" s="581">
        <f>Calculation!AR159*3.068</f>
        <v>7106.306133333338</v>
      </c>
      <c r="AU156" s="575">
        <f ca="1">Calculation!DA159</f>
        <v>2264.8566463463376</v>
      </c>
      <c r="AV156" s="575">
        <f>Calculation!CF159*3.068</f>
        <v>2890.5807384448376</v>
      </c>
      <c r="AW156" s="582">
        <f>Calculation!BK159*3.068</f>
        <v>3316.2761955555525</v>
      </c>
      <c r="AX156" s="524"/>
      <c r="AY156" s="816">
        <f>IF(Summary!A156&lt;Calculation!FT159,FORECAST(8333.33,A150:A156,AT150:AT156),0)</f>
        <v>40702.849353595724</v>
      </c>
      <c r="AZ156" s="559"/>
      <c r="BA156" s="534">
        <f ca="1">IF(Summary!A156&lt;Calculation!FT159,FORECAST(3888.89,A150:A156,AU150:AU156),0)</f>
        <v>40730.115571857801</v>
      </c>
      <c r="BB156" s="559"/>
      <c r="BC156" s="826">
        <f>IF(Summary!A156&lt;Calculation!FT159,FORECAST(3888.89,A150:A156,AV150:AV156),0)</f>
        <v>40713.888855882637</v>
      </c>
      <c r="BD156" s="559"/>
      <c r="BE156" s="847">
        <f>IF(Summary!A156&lt;Calculation!FT159,FORECAST(3888.89,A150:A156,AW150:AW156),0)</f>
        <v>40702.849422749598</v>
      </c>
    </row>
    <row r="157" spans="1:57" ht="13.5" thickBot="1">
      <c r="A157" s="513">
        <v>40689</v>
      </c>
      <c r="B157" s="498">
        <f t="shared" si="38"/>
        <v>72.244899999995496</v>
      </c>
      <c r="C157" s="498">
        <f>Calculation!AA160</f>
        <v>99.998080000000002</v>
      </c>
      <c r="D157" s="498">
        <f>Calculation!Y160</f>
        <v>0</v>
      </c>
      <c r="E157" s="498">
        <f>Calculation!U160</f>
        <v>53.680899999995496</v>
      </c>
      <c r="F157" s="498">
        <f>Calculation!V160</f>
        <v>18.564</v>
      </c>
      <c r="G157" s="498">
        <f>Calculation!W160</f>
        <v>71.904560000002135</v>
      </c>
      <c r="H157" s="500">
        <f>Sheet1!H160</f>
        <v>11</v>
      </c>
      <c r="I157" s="501">
        <f>Sheet1!CW160</f>
        <v>2259.2708333333335</v>
      </c>
      <c r="J157" s="501">
        <f>Sheet1!CX160</f>
        <v>1600.4166666666667</v>
      </c>
      <c r="K157" s="501">
        <f>Sheet1!CV160</f>
        <v>1577.9166666666667</v>
      </c>
      <c r="L157" s="501">
        <f>Calculation!F160</f>
        <v>250</v>
      </c>
      <c r="M157" s="501">
        <f>Calculation!E160</f>
        <v>250</v>
      </c>
      <c r="N157" s="501">
        <f>Calculation!D160</f>
        <v>300</v>
      </c>
      <c r="O157" s="500">
        <f>Sheet1!CY160</f>
        <v>1161.25</v>
      </c>
      <c r="P157" s="514" t="e">
        <f>Calculation!ET160</f>
        <v>#N/A</v>
      </c>
      <c r="Q157" s="498">
        <f>Calculation!DF160</f>
        <v>44131.500000106316</v>
      </c>
      <c r="R157" s="500">
        <f t="shared" si="34"/>
        <v>42911.500000106316</v>
      </c>
      <c r="S157" s="498">
        <f t="shared" si="39"/>
        <v>479.50000000147702</v>
      </c>
      <c r="T157" s="498">
        <f ca="1">IF(A157&gt;$A$1,#N/A,VLOOKUP(A157,Calculation!$B$8:$IV$881,30,FALSE))</f>
        <v>15776.335233680065</v>
      </c>
      <c r="U157" s="498">
        <f t="shared" si="35"/>
        <v>0</v>
      </c>
      <c r="V157" s="498">
        <f>Calculation!AP160</f>
        <v>0</v>
      </c>
      <c r="W157" s="498">
        <f t="shared" ca="1" si="45"/>
        <v>5000</v>
      </c>
      <c r="X157" s="498">
        <v>0</v>
      </c>
      <c r="Y157" s="744">
        <f t="shared" ca="1" si="36"/>
        <v>2500</v>
      </c>
      <c r="Z157" s="748">
        <f t="shared" ca="1" si="37"/>
        <v>2500</v>
      </c>
      <c r="AA157" s="498">
        <f t="shared" ca="1" si="40"/>
        <v>23355.164766426249</v>
      </c>
      <c r="AB157" s="501">
        <f t="shared" ca="1" si="41"/>
        <v>22135.164766426249</v>
      </c>
      <c r="AC157" s="498" t="e">
        <f ca="1">IF(A157&gt;$A$1,#N/A,VLOOKUP(A157,Calculation!$B$8:$IV$881,155,FALSE))</f>
        <v>#N/A</v>
      </c>
      <c r="AD157" s="498" t="e">
        <f t="shared" ca="1" si="42"/>
        <v>#N/A</v>
      </c>
      <c r="AE157" s="498"/>
      <c r="AF157" s="501">
        <f>Calculation!G160</f>
        <v>1819.7220121036194</v>
      </c>
      <c r="AG157" s="498" t="str">
        <f t="shared" si="43"/>
        <v>Yes</v>
      </c>
      <c r="AH157" s="498" t="str">
        <f t="shared" si="44"/>
        <v>Yes</v>
      </c>
      <c r="AK157" s="738">
        <v>33294.460000082116</v>
      </c>
      <c r="AL157" s="738">
        <v>43249.200000104604</v>
      </c>
      <c r="AM157" s="740">
        <v>50556.420000119026</v>
      </c>
      <c r="AR157" s="549"/>
      <c r="AS157" s="471">
        <f ca="1">IF(Summary!A157&lt;Calculation!FT160,FORECAST(20000,A151:A157,T151:T157),0)</f>
        <v>40710.297701593503</v>
      </c>
      <c r="AT157" s="581">
        <f>Calculation!AR160*3.068</f>
        <v>7188.9376000000047</v>
      </c>
      <c r="AU157" s="575">
        <f ca="1">Calculation!DA160</f>
        <v>2303.4179974574486</v>
      </c>
      <c r="AV157" s="575">
        <f>Calculation!CF160*3.068</f>
        <v>2929.1420895559486</v>
      </c>
      <c r="AW157" s="582">
        <f>Calculation!BK160*3.068</f>
        <v>3354.8375466666639</v>
      </c>
      <c r="AX157" s="524"/>
      <c r="AY157" s="816">
        <f>IF(Summary!A157&lt;Calculation!FT160,FORECAST(8333.33,A151:A157,AT151:AT157),0)</f>
        <v>40702.849353595724</v>
      </c>
      <c r="AZ157" s="559"/>
      <c r="BA157" s="534">
        <f ca="1">IF(Summary!A157&lt;Calculation!FT160,FORECAST(3888.89,A151:A157,AU151:AU157),0)</f>
        <v>40730.115571857801</v>
      </c>
      <c r="BB157" s="559"/>
      <c r="BC157" s="826">
        <f>IF(Summary!A157&lt;Calculation!FT160,FORECAST(3888.89,A151:A157,AV151:AV157),0)</f>
        <v>40713.888855882637</v>
      </c>
      <c r="BD157" s="559"/>
      <c r="BE157" s="847">
        <f>IF(Summary!A157&lt;Calculation!FT160,FORECAST(3888.89,A151:A157,AW151:AW157),0)</f>
        <v>40702.849422749598</v>
      </c>
    </row>
    <row r="158" spans="1:57" ht="13.5" thickBot="1">
      <c r="A158" s="513">
        <v>40690</v>
      </c>
      <c r="B158" s="498">
        <f t="shared" si="38"/>
        <v>76.375390000004046</v>
      </c>
      <c r="C158" s="498">
        <f>Calculation!AA161</f>
        <v>99.135133658536489</v>
      </c>
      <c r="D158" s="498">
        <f>Calculation!Y161</f>
        <v>0</v>
      </c>
      <c r="E158" s="498">
        <f>Calculation!U161</f>
        <v>54.098590000001799</v>
      </c>
      <c r="F158" s="498">
        <f>Calculation!V161</f>
        <v>22.27680000000225</v>
      </c>
      <c r="G158" s="498">
        <f>Calculation!W161</f>
        <v>67.155269999999774</v>
      </c>
      <c r="H158" s="500">
        <f>Sheet1!H161</f>
        <v>8.83</v>
      </c>
      <c r="I158" s="501">
        <f>Sheet1!CW161</f>
        <v>2317.1875</v>
      </c>
      <c r="J158" s="501">
        <f>Sheet1!CX161</f>
        <v>1577.0833333333333</v>
      </c>
      <c r="K158" s="501">
        <f>Sheet1!CV161</f>
        <v>1551.6666666666667</v>
      </c>
      <c r="L158" s="501">
        <f>Calculation!F161</f>
        <v>250</v>
      </c>
      <c r="M158" s="501">
        <f>Calculation!E161</f>
        <v>250</v>
      </c>
      <c r="N158" s="501">
        <f>Calculation!D161</f>
        <v>300</v>
      </c>
      <c r="O158" s="500">
        <f>Sheet1!CY161</f>
        <v>1161.6199999999999</v>
      </c>
      <c r="P158" s="514" t="e">
        <f>Calculation!ET161</f>
        <v>#N/A</v>
      </c>
      <c r="Q158" s="498">
        <f>Calculation!DF161</f>
        <v>44527.400000106558</v>
      </c>
      <c r="R158" s="500">
        <f t="shared" si="34"/>
        <v>43307.400000106558</v>
      </c>
      <c r="S158" s="498">
        <f t="shared" si="39"/>
        <v>395.90000000024156</v>
      </c>
      <c r="T158" s="498">
        <f ca="1">IF(A158&gt;$A$1,#N/A,VLOOKUP(A158,Calculation!$B$8:$IV$881,30,FALSE))</f>
        <v>15972.939364296995</v>
      </c>
      <c r="U158" s="498">
        <f t="shared" si="35"/>
        <v>0</v>
      </c>
      <c r="V158" s="498">
        <f>Calculation!AP161</f>
        <v>0</v>
      </c>
      <c r="W158" s="498">
        <f t="shared" ca="1" si="45"/>
        <v>5000</v>
      </c>
      <c r="X158" s="498">
        <v>0</v>
      </c>
      <c r="Y158" s="744">
        <f t="shared" ca="1" si="36"/>
        <v>2500</v>
      </c>
      <c r="Z158" s="748">
        <f t="shared" ca="1" si="37"/>
        <v>2500</v>
      </c>
      <c r="AA158" s="498">
        <f t="shared" ca="1" si="40"/>
        <v>23554.460635809563</v>
      </c>
      <c r="AB158" s="501">
        <f t="shared" ca="1" si="41"/>
        <v>22334.460635809563</v>
      </c>
      <c r="AC158" s="498" t="e">
        <f ca="1">IF(A158&gt;$A$1,#N/A,VLOOKUP(A158,Calculation!$B$8:$IV$881,155,FALSE))</f>
        <v>#N/A</v>
      </c>
      <c r="AD158" s="498" t="e">
        <f t="shared" ca="1" si="42"/>
        <v>#N/A</v>
      </c>
      <c r="AE158" s="498"/>
      <c r="AF158" s="501">
        <f>Calculation!G161</f>
        <v>1751.3136661625022</v>
      </c>
      <c r="AG158" s="498" t="str">
        <f t="shared" si="43"/>
        <v>Yes</v>
      </c>
      <c r="AH158" s="498" t="str">
        <f t="shared" si="44"/>
        <v>Yes</v>
      </c>
      <c r="AK158" s="738">
        <v>34096.93000008422</v>
      </c>
      <c r="AL158" s="738">
        <v>43906.800000106072</v>
      </c>
      <c r="AM158" s="740">
        <v>50647.460000119281</v>
      </c>
      <c r="AR158" s="549"/>
      <c r="AS158" s="471">
        <f ca="1">IF(Summary!A158&lt;Calculation!FT161,FORECAST(20000,A152:A158,T152:T158),0)</f>
        <v>40710.320463312586</v>
      </c>
      <c r="AT158" s="581">
        <f>Calculation!AR161*3.068</f>
        <v>7271.5690666666724</v>
      </c>
      <c r="AU158" s="575">
        <f ca="1">Calculation!DA161</f>
        <v>2341.9793485685595</v>
      </c>
      <c r="AV158" s="575">
        <f>Calculation!CF161*3.068</f>
        <v>2965.992051283989</v>
      </c>
      <c r="AW158" s="582">
        <f>Calculation!BK161*3.068</f>
        <v>3393.3988977777753</v>
      </c>
      <c r="AX158" s="524"/>
      <c r="AY158" s="816">
        <f>IF(Summary!A158&lt;Calculation!FT161,FORECAST(8333.33,A152:A158,AT152:AT158),0)</f>
        <v>40702.849353595724</v>
      </c>
      <c r="AZ158" s="559"/>
      <c r="BA158" s="534">
        <f ca="1">IF(Summary!A158&lt;Calculation!FT161,FORECAST(3888.89,A152:A158,AU152:AU158),0)</f>
        <v>40730.115571857801</v>
      </c>
      <c r="BB158" s="559"/>
      <c r="BC158" s="826">
        <f>IF(Summary!A158&lt;Calculation!FT161,FORECAST(3888.89,A152:A158,AV152:AV158),0)</f>
        <v>40714.022668341437</v>
      </c>
      <c r="BD158" s="559"/>
      <c r="BE158" s="847">
        <f>IF(Summary!A158&lt;Calculation!FT161,FORECAST(3888.89,A152:A158,AW152:AW158),0)</f>
        <v>40702.849422749598</v>
      </c>
    </row>
    <row r="159" spans="1:57" ht="13.5" thickBot="1">
      <c r="A159" s="513">
        <v>40691</v>
      </c>
      <c r="B159" s="498">
        <f t="shared" si="38"/>
        <v>79.995369999987389</v>
      </c>
      <c r="C159" s="498">
        <f>Calculation!AA162</f>
        <v>99.629697391304276</v>
      </c>
      <c r="D159" s="498">
        <f>Calculation!Y162</f>
        <v>0</v>
      </c>
      <c r="E159" s="498">
        <f>Calculation!U162</f>
        <v>52.458769999982891</v>
      </c>
      <c r="F159" s="498">
        <f>Calculation!V162</f>
        <v>27.536600000004501</v>
      </c>
      <c r="G159" s="498">
        <f>Calculation!W162</f>
        <v>52.381419999998087</v>
      </c>
      <c r="H159" s="500">
        <f>Sheet1!H162</f>
        <v>7.79</v>
      </c>
      <c r="I159" s="501">
        <f>Sheet1!CW162</f>
        <v>2148.6458333333335</v>
      </c>
      <c r="J159" s="501">
        <f>Sheet1!CX162</f>
        <v>1453.75</v>
      </c>
      <c r="K159" s="501">
        <f>Sheet1!CV162</f>
        <v>1460</v>
      </c>
      <c r="L159" s="501">
        <f>Calculation!F162</f>
        <v>250</v>
      </c>
      <c r="M159" s="501">
        <f>Calculation!E162</f>
        <v>250</v>
      </c>
      <c r="N159" s="501">
        <f>Calculation!D162</f>
        <v>300</v>
      </c>
      <c r="O159" s="500">
        <f>Sheet1!CY162</f>
        <v>1161.8900000000001</v>
      </c>
      <c r="P159" s="514" t="e">
        <f>Calculation!ET162</f>
        <v>#N/A</v>
      </c>
      <c r="Q159" s="498">
        <f>Calculation!DF162</f>
        <v>44816.300000107047</v>
      </c>
      <c r="R159" s="500">
        <f t="shared" si="34"/>
        <v>43596.300000107047</v>
      </c>
      <c r="S159" s="498">
        <f t="shared" si="39"/>
        <v>288.90000000048894</v>
      </c>
      <c r="T159" s="498">
        <f ca="1">IF(A159&gt;$A$1,#N/A,VLOOKUP(A159,Calculation!$B$8:$IV$881,30,FALSE))</f>
        <v>16170.524310383955</v>
      </c>
      <c r="U159" s="498">
        <f t="shared" si="35"/>
        <v>0</v>
      </c>
      <c r="V159" s="498">
        <f>Calculation!AP162</f>
        <v>0</v>
      </c>
      <c r="W159" s="498">
        <f t="shared" ca="1" si="45"/>
        <v>5000</v>
      </c>
      <c r="X159" s="498">
        <v>0</v>
      </c>
      <c r="Y159" s="744">
        <f t="shared" ca="1" si="36"/>
        <v>2500</v>
      </c>
      <c r="Z159" s="748">
        <f t="shared" ca="1" si="37"/>
        <v>2500</v>
      </c>
      <c r="AA159" s="498">
        <f t="shared" ca="1" si="40"/>
        <v>23645.775689723094</v>
      </c>
      <c r="AB159" s="501">
        <f t="shared" ca="1" si="41"/>
        <v>22425.775689723094</v>
      </c>
      <c r="AC159" s="498" t="e">
        <f ca="1">IF(A159&gt;$A$1,#N/A,VLOOKUP(A159,Calculation!$B$8:$IV$881,155,FALSE))</f>
        <v>#N/A</v>
      </c>
      <c r="AD159" s="498" t="e">
        <f t="shared" ca="1" si="42"/>
        <v>#N/A</v>
      </c>
      <c r="AE159" s="498"/>
      <c r="AF159" s="501">
        <f>Calculation!G162</f>
        <v>1605.688350983605</v>
      </c>
      <c r="AG159" s="498" t="str">
        <f t="shared" si="43"/>
        <v>Yes</v>
      </c>
      <c r="AH159" s="498" t="str">
        <f t="shared" si="44"/>
        <v>Yes</v>
      </c>
      <c r="AK159" s="738">
        <v>34750.030000084851</v>
      </c>
      <c r="AL159" s="738">
        <v>44420.400000106558</v>
      </c>
      <c r="AM159" s="740">
        <v>51182.320000119806</v>
      </c>
      <c r="AR159" s="549"/>
      <c r="AS159" s="471">
        <f ca="1">IF(Summary!A159&lt;Calculation!FT162,FORECAST(20000,A153:A159,T153:T159),0)</f>
        <v>40710.343897955892</v>
      </c>
      <c r="AT159" s="581">
        <f>Calculation!AR162*3.068</f>
        <v>7354.2005333333391</v>
      </c>
      <c r="AU159" s="575">
        <f ca="1">Calculation!DA162</f>
        <v>2380.540699679671</v>
      </c>
      <c r="AV159" s="575">
        <f>Calculation!CF162*3.068</f>
        <v>3003.8228284820566</v>
      </c>
      <c r="AW159" s="582">
        <f>Calculation!BK162*3.068</f>
        <v>3431.9602488888868</v>
      </c>
      <c r="AX159" s="524"/>
      <c r="AY159" s="816">
        <f>IF(Summary!A159&lt;Calculation!FT162,FORECAST(8333.33,A153:A159,AT153:AT159),0)</f>
        <v>40702.849353595724</v>
      </c>
      <c r="AZ159" s="559"/>
      <c r="BA159" s="534">
        <f ca="1">IF(Summary!A159&lt;Calculation!FT162,FORECAST(3888.89,A153:A159,AU153:AU159),0)</f>
        <v>40730.115571857801</v>
      </c>
      <c r="BB159" s="559"/>
      <c r="BC159" s="826">
        <f>IF(Summary!A159&lt;Calculation!FT162,FORECAST(3888.89,A153:A159,AV153:AV159),0)</f>
        <v>40714.163238837238</v>
      </c>
      <c r="BD159" s="559"/>
      <c r="BE159" s="847">
        <f>IF(Summary!A159&lt;Calculation!FT162,FORECAST(3888.89,A153:A159,AW153:AW159),0)</f>
        <v>40702.849422749598</v>
      </c>
    </row>
    <row r="160" spans="1:57" ht="13.5" thickBot="1">
      <c r="A160" s="513">
        <v>40692</v>
      </c>
      <c r="B160" s="498">
        <f t="shared" si="38"/>
        <v>81.557840000001804</v>
      </c>
      <c r="C160" s="498">
        <f>Calculation!AA163</f>
        <v>99.998080000000002</v>
      </c>
      <c r="D160" s="498">
        <f>Calculation!Y163</f>
        <v>0</v>
      </c>
      <c r="E160" s="498">
        <f>Calculation!U163</f>
        <v>53.7118400000018</v>
      </c>
      <c r="F160" s="498">
        <f>Calculation!V163</f>
        <v>27.846</v>
      </c>
      <c r="G160" s="498">
        <f>Calculation!W163</f>
        <v>39.726960000000446</v>
      </c>
      <c r="H160" s="500">
        <f>Sheet1!H163</f>
        <v>6.83</v>
      </c>
      <c r="I160" s="501">
        <f>Sheet1!CW163</f>
        <v>2085.9375</v>
      </c>
      <c r="J160" s="501">
        <f>Sheet1!CX163</f>
        <v>1379.8958333333333</v>
      </c>
      <c r="K160" s="501">
        <f>Sheet1!CV163</f>
        <v>1402.9166666666667</v>
      </c>
      <c r="L160" s="501">
        <f>Calculation!F163</f>
        <v>250</v>
      </c>
      <c r="M160" s="501">
        <f>Calculation!E163</f>
        <v>250</v>
      </c>
      <c r="N160" s="501">
        <f>Calculation!D163</f>
        <v>300</v>
      </c>
      <c r="O160" s="500">
        <f>Sheet1!CY163</f>
        <v>1162.05</v>
      </c>
      <c r="P160" s="514" t="e">
        <f>Calculation!ET163</f>
        <v>#N/A</v>
      </c>
      <c r="Q160" s="498">
        <f>Calculation!DF163</f>
        <v>44988.100000108243</v>
      </c>
      <c r="R160" s="500">
        <f t="shared" si="34"/>
        <v>43768.100000108243</v>
      </c>
      <c r="S160" s="498">
        <f t="shared" si="39"/>
        <v>171.80000000119617</v>
      </c>
      <c r="T160" s="498">
        <f ca="1">IF(A160&gt;$A$1,#N/A,VLOOKUP(A160,Calculation!$B$8:$IV$881,30,FALSE))</f>
        <v>16368.839830383953</v>
      </c>
      <c r="U160" s="498">
        <f t="shared" si="35"/>
        <v>0</v>
      </c>
      <c r="V160" s="498">
        <f>Calculation!AP163</f>
        <v>0</v>
      </c>
      <c r="W160" s="498">
        <f t="shared" ca="1" si="45"/>
        <v>5000</v>
      </c>
      <c r="X160" s="498">
        <v>0</v>
      </c>
      <c r="Y160" s="744">
        <f t="shared" ca="1" si="36"/>
        <v>2500</v>
      </c>
      <c r="Z160" s="748">
        <f t="shared" ca="1" si="37"/>
        <v>2500</v>
      </c>
      <c r="AA160" s="498">
        <f t="shared" ca="1" si="40"/>
        <v>23619.26016972429</v>
      </c>
      <c r="AB160" s="501">
        <f t="shared" ca="1" si="41"/>
        <v>22399.26016972429</v>
      </c>
      <c r="AC160" s="498" t="e">
        <f ca="1">IF(A160&gt;$A$1,#N/A,VLOOKUP(A160,Calculation!$B$8:$IV$881,155,FALSE))</f>
        <v>#N/A</v>
      </c>
      <c r="AD160" s="498" t="e">
        <f t="shared" ca="1" si="42"/>
        <v>#N/A</v>
      </c>
      <c r="AE160" s="498"/>
      <c r="AF160" s="501">
        <f>Calculation!G163</f>
        <v>1489.5530761478549</v>
      </c>
      <c r="AG160" s="498" t="str">
        <f t="shared" si="43"/>
        <v>Yes</v>
      </c>
      <c r="AH160" s="498" t="str">
        <f t="shared" si="44"/>
        <v>Yes</v>
      </c>
      <c r="AK160" s="738">
        <v>35051.580000086251</v>
      </c>
      <c r="AL160" s="738">
        <v>44741.400000106805</v>
      </c>
      <c r="AM160" s="740">
        <v>51023.000000119544</v>
      </c>
      <c r="AR160" s="549"/>
      <c r="AS160" s="471">
        <f ca="1">IF(Summary!A160&lt;Calculation!FT163,FORECAST(20000,A154:A160,T154:T160),0)</f>
        <v>40710.355959462839</v>
      </c>
      <c r="AT160" s="581">
        <f>Calculation!AR163*3.068</f>
        <v>7436.8320000000058</v>
      </c>
      <c r="AU160" s="575">
        <f ca="1">Calculation!DA163</f>
        <v>2419.102050790782</v>
      </c>
      <c r="AV160" s="575">
        <f>Calculation!CF163*3.068</f>
        <v>3042.3841795931676</v>
      </c>
      <c r="AW160" s="582">
        <f>Calculation!BK163*3.068</f>
        <v>3470.5215999999982</v>
      </c>
      <c r="AX160" s="524"/>
      <c r="AY160" s="816">
        <f>IF(Summary!A160&lt;Calculation!FT163,FORECAST(8333.33,A154:A160,AT154:AT160),0)</f>
        <v>40702.849353595724</v>
      </c>
      <c r="AZ160" s="559"/>
      <c r="BA160" s="534">
        <f ca="1">IF(Summary!A160&lt;Calculation!FT163,FORECAST(3888.89,A154:A160,AU154:AU160),0)</f>
        <v>40730.115571857801</v>
      </c>
      <c r="BB160" s="559"/>
      <c r="BC160" s="826">
        <f>IF(Summary!A160&lt;Calculation!FT163,FORECAST(3888.89,A154:A160,AV154:AV160),0)</f>
        <v>40714.237631517819</v>
      </c>
      <c r="BD160" s="559"/>
      <c r="BE160" s="847">
        <f>IF(Summary!A160&lt;Calculation!FT163,FORECAST(3888.89,A154:A160,AW154:AW160),0)</f>
        <v>40702.84942274959</v>
      </c>
    </row>
    <row r="161" spans="1:57" ht="13.5" thickBot="1">
      <c r="A161" s="513">
        <v>40693</v>
      </c>
      <c r="B161" s="498">
        <f t="shared" si="38"/>
        <v>81.372199999997747</v>
      </c>
      <c r="C161" s="498">
        <f>Calculation!AA164</f>
        <v>99.998080000000002</v>
      </c>
      <c r="D161" s="498">
        <f>Calculation!Y164</f>
        <v>0</v>
      </c>
      <c r="E161" s="498">
        <f>Calculation!U164</f>
        <v>53.371499999999997</v>
      </c>
      <c r="F161" s="498">
        <f>Calculation!V164</f>
        <v>28.000699999997746</v>
      </c>
      <c r="G161" s="498">
        <f>Calculation!W164</f>
        <v>35.519120000001465</v>
      </c>
      <c r="H161" s="500">
        <f>Sheet1!H164</f>
        <v>5.9</v>
      </c>
      <c r="I161" s="501">
        <f>Sheet1!CW164</f>
        <v>1840.4166666666667</v>
      </c>
      <c r="J161" s="501">
        <f>Sheet1!CX164</f>
        <v>1178.4375</v>
      </c>
      <c r="K161" s="501">
        <f>Sheet1!CV164</f>
        <v>1240.8333333333333</v>
      </c>
      <c r="L161" s="501">
        <f>Calculation!F164</f>
        <v>250</v>
      </c>
      <c r="M161" s="501">
        <f>Calculation!E164</f>
        <v>250</v>
      </c>
      <c r="N161" s="501">
        <f>Calculation!D164</f>
        <v>300</v>
      </c>
      <c r="O161" s="500">
        <f>Sheet1!CY164</f>
        <v>1162.42</v>
      </c>
      <c r="P161" s="514" t="e">
        <f>Calculation!ET164</f>
        <v>#N/A</v>
      </c>
      <c r="Q161" s="498">
        <f>Calculation!DF164</f>
        <v>45388.440000108742</v>
      </c>
      <c r="R161" s="500">
        <f t="shared" si="34"/>
        <v>44168.440000108742</v>
      </c>
      <c r="S161" s="498">
        <f t="shared" si="39"/>
        <v>400.34000000049855</v>
      </c>
      <c r="T161" s="498">
        <f ca="1">IF(A161&gt;$A$1,#N/A,VLOOKUP(A161,Calculation!$B$8:$IV$881,30,FALSE))</f>
        <v>16567.155350383953</v>
      </c>
      <c r="U161" s="498">
        <f t="shared" si="35"/>
        <v>0</v>
      </c>
      <c r="V161" s="498">
        <f>Calculation!AP164</f>
        <v>0</v>
      </c>
      <c r="W161" s="498">
        <f t="shared" ca="1" si="45"/>
        <v>5000</v>
      </c>
      <c r="X161" s="498">
        <v>0</v>
      </c>
      <c r="Y161" s="744">
        <f t="shared" ca="1" si="36"/>
        <v>2500</v>
      </c>
      <c r="Z161" s="748">
        <f t="shared" ca="1" si="37"/>
        <v>2500</v>
      </c>
      <c r="AA161" s="498">
        <f t="shared" ca="1" si="40"/>
        <v>23821.284649724788</v>
      </c>
      <c r="AB161" s="501">
        <f t="shared" ca="1" si="41"/>
        <v>22601.284649724788</v>
      </c>
      <c r="AC161" s="498" t="e">
        <f ca="1">IF(A161&gt;$A$1,#N/A,VLOOKUP(A161,Calculation!$B$8:$IV$881,155,FALSE))</f>
        <v>#N/A</v>
      </c>
      <c r="AD161" s="498" t="e">
        <f t="shared" ca="1" si="42"/>
        <v>#N/A</v>
      </c>
      <c r="AE161" s="498"/>
      <c r="AF161" s="501">
        <f>Calculation!G164</f>
        <v>1442.7193645993436</v>
      </c>
      <c r="AG161" s="498" t="str">
        <f t="shared" si="43"/>
        <v>Yes</v>
      </c>
      <c r="AH161" s="498" t="str">
        <f t="shared" si="44"/>
        <v>Yes</v>
      </c>
      <c r="AK161" s="738">
        <v>35184.020000086253</v>
      </c>
      <c r="AL161" s="738">
        <v>45074.660000108495</v>
      </c>
      <c r="AM161" s="740">
        <v>50818.160000119286</v>
      </c>
      <c r="AR161" s="549"/>
      <c r="AS161" s="471">
        <f ca="1">IF(Summary!A161&lt;Calculation!FT164,FORECAST(20000,A155:A161,T155:T161),0)</f>
        <v>40710.35790073203</v>
      </c>
      <c r="AT161" s="581">
        <f>Calculation!AR164*3.068</f>
        <v>7519.4634666666725</v>
      </c>
      <c r="AU161" s="575">
        <f ca="1">Calculation!DA164</f>
        <v>2457.6634019018929</v>
      </c>
      <c r="AV161" s="575">
        <f>Calculation!CF164*3.068</f>
        <v>3080.9455307042786</v>
      </c>
      <c r="AW161" s="582">
        <f>Calculation!BK164*3.068</f>
        <v>3509.0829511111097</v>
      </c>
      <c r="AX161" s="524"/>
      <c r="AY161" s="816">
        <f>IF(Summary!A161&lt;Calculation!FT164,FORECAST(8333.33,A155:A161,AT155:AT161),0)</f>
        <v>40702.849353595724</v>
      </c>
      <c r="AZ161" s="559"/>
      <c r="BA161" s="534">
        <f ca="1">IF(Summary!A161&lt;Calculation!FT164,FORECAST(3888.89,A155:A161,AU155:AU161),0)</f>
        <v>40730.115571857801</v>
      </c>
      <c r="BB161" s="559"/>
      <c r="BC161" s="826">
        <f>IF(Summary!A161&lt;Calculation!FT164,FORECAST(3888.89,A155:A161,AV155:AV161),0)</f>
        <v>40714.250539829911</v>
      </c>
      <c r="BD161" s="559"/>
      <c r="BE161" s="847">
        <f>IF(Summary!A161&lt;Calculation!FT164,FORECAST(3888.89,A155:A161,AW155:AW161),0)</f>
        <v>40702.84942274959</v>
      </c>
    </row>
    <row r="162" spans="1:57" ht="13.5" thickBot="1">
      <c r="A162" s="513">
        <v>40694</v>
      </c>
      <c r="B162" s="498">
        <f t="shared" si="38"/>
        <v>80.908100000015764</v>
      </c>
      <c r="C162" s="498">
        <f>Calculation!AA165</f>
        <v>99.998080000000002</v>
      </c>
      <c r="D162" s="498">
        <f>Calculation!Y165</f>
        <v>0</v>
      </c>
      <c r="E162" s="498">
        <f>Calculation!U165</f>
        <v>53.216800000013507</v>
      </c>
      <c r="F162" s="498">
        <f>Calculation!V165</f>
        <v>27.691300000002251</v>
      </c>
      <c r="G162" s="498">
        <f>Calculation!W165</f>
        <v>25.958659999998197</v>
      </c>
      <c r="H162" s="500">
        <f>Sheet1!H165</f>
        <v>4.8</v>
      </c>
      <c r="I162" s="501">
        <f>Sheet1!CW165</f>
        <v>1814.5833333333333</v>
      </c>
      <c r="J162" s="501">
        <f>Sheet1!CX165</f>
        <v>1201.6666666666667</v>
      </c>
      <c r="K162" s="501">
        <f>Sheet1!CV165</f>
        <v>1273.75</v>
      </c>
      <c r="L162" s="501">
        <f>Calculation!F165</f>
        <v>250</v>
      </c>
      <c r="M162" s="501">
        <f>Calculation!E165</f>
        <v>250</v>
      </c>
      <c r="N162" s="501">
        <f>Calculation!D165</f>
        <v>300</v>
      </c>
      <c r="O162" s="500">
        <f>Sheet1!CY165</f>
        <v>1162.8800000000001</v>
      </c>
      <c r="P162" s="514" t="e">
        <f>Calculation!ET165</f>
        <v>#N/A</v>
      </c>
      <c r="Q162" s="498">
        <f>Calculation!DF165</f>
        <v>45886.160000109237</v>
      </c>
      <c r="R162" s="500">
        <f t="shared" si="34"/>
        <v>44666.160000109237</v>
      </c>
      <c r="S162" s="498">
        <f t="shared" si="39"/>
        <v>497.72000000049593</v>
      </c>
      <c r="T162" s="498">
        <f ca="1">IF(A162&gt;$A$1,#N/A,VLOOKUP(A162,Calculation!$B$8:$IV$881,30,FALSE))</f>
        <v>16765.470870383953</v>
      </c>
      <c r="U162" s="498">
        <f t="shared" si="35"/>
        <v>0</v>
      </c>
      <c r="V162" s="498">
        <f>Calculation!AP165</f>
        <v>0</v>
      </c>
      <c r="W162" s="498">
        <f t="shared" ca="1" si="45"/>
        <v>5000</v>
      </c>
      <c r="X162" s="498">
        <v>0</v>
      </c>
      <c r="Y162" s="744">
        <f t="shared" ca="1" si="36"/>
        <v>2500</v>
      </c>
      <c r="Z162" s="748">
        <f t="shared" ca="1" si="37"/>
        <v>2500</v>
      </c>
      <c r="AA162" s="498">
        <f t="shared" ca="1" si="40"/>
        <v>24120.689129725284</v>
      </c>
      <c r="AB162" s="501">
        <f t="shared" ca="1" si="41"/>
        <v>22900.689129725284</v>
      </c>
      <c r="AC162" s="498" t="e">
        <f ca="1">IF(A162&gt;$A$1,#N/A,VLOOKUP(A162,Calculation!$B$8:$IV$881,155,FALSE))</f>
        <v>#N/A</v>
      </c>
      <c r="AD162" s="498" t="e">
        <f t="shared" ca="1" si="42"/>
        <v>#N/A</v>
      </c>
      <c r="AE162" s="498"/>
      <c r="AF162" s="501">
        <f>Calculation!G165</f>
        <v>1524.7434442765991</v>
      </c>
      <c r="AG162" s="498" t="str">
        <f t="shared" si="43"/>
        <v>Yes</v>
      </c>
      <c r="AH162" s="498" t="str">
        <f t="shared" si="44"/>
        <v>Yes</v>
      </c>
      <c r="AK162" s="738">
        <v>35952.980000088493</v>
      </c>
      <c r="AL162" s="738">
        <v>45691.400000108988</v>
      </c>
      <c r="AM162" s="740">
        <v>50533.660000119031</v>
      </c>
      <c r="AR162" s="549"/>
      <c r="AS162" s="471">
        <f ca="1">IF(Summary!A162&lt;Calculation!FT165,FORECAST(20000,A156:A162,T156:T162),0)</f>
        <v>40710.351031757062</v>
      </c>
      <c r="AT162" s="581">
        <f>Calculation!AR165*3.068</f>
        <v>7602.0949333333392</v>
      </c>
      <c r="AU162" s="575">
        <f ca="1">Calculation!DA165</f>
        <v>2496.2247530130039</v>
      </c>
      <c r="AV162" s="575">
        <f>Calculation!CF165*3.068</f>
        <v>3119.50688181539</v>
      </c>
      <c r="AW162" s="582">
        <f>Calculation!BK165*3.068</f>
        <v>3547.6443022222211</v>
      </c>
      <c r="AX162" s="524"/>
      <c r="AY162" s="816">
        <f>IF(Summary!A162&lt;Calculation!FT165,FORECAST(8333.33,A156:A162,AT156:AT162),0)</f>
        <v>40702.849353595724</v>
      </c>
      <c r="AZ162" s="559"/>
      <c r="BA162" s="534">
        <f ca="1">IF(Summary!A162&lt;Calculation!FT165,FORECAST(3888.89,A156:A162,AU156:AU162),0)</f>
        <v>40730.115571857801</v>
      </c>
      <c r="BB162" s="559"/>
      <c r="BC162" s="826">
        <f>IF(Summary!A162&lt;Calculation!FT165,FORECAST(3888.89,A156:A162,AV156:AV162),0)</f>
        <v>40714.208419979397</v>
      </c>
      <c r="BD162" s="559"/>
      <c r="BE162" s="847">
        <f>IF(Summary!A162&lt;Calculation!FT165,FORECAST(3888.89,A156:A162,AW156:AW162),0)</f>
        <v>40702.84942274959</v>
      </c>
    </row>
    <row r="163" spans="1:57" ht="12" thickBot="1">
      <c r="A163" s="513">
        <v>40695</v>
      </c>
      <c r="B163" s="498">
        <f t="shared" si="38"/>
        <v>78.432899999995499</v>
      </c>
      <c r="C163" s="498">
        <f>Calculation!AA166</f>
        <v>99.998080000000002</v>
      </c>
      <c r="D163" s="498">
        <f>Calculation!Y166</f>
        <v>0</v>
      </c>
      <c r="E163" s="498">
        <f>Calculation!U166</f>
        <v>52.907399999995498</v>
      </c>
      <c r="F163" s="498">
        <f>Calculation!V166</f>
        <v>25.525499999999997</v>
      </c>
      <c r="G163" s="498">
        <f>Calculation!W166</f>
        <v>19.538610000001576</v>
      </c>
      <c r="H163" s="500">
        <f>Sheet1!H166</f>
        <v>4.62</v>
      </c>
      <c r="I163" s="501">
        <f>Sheet1!CW166</f>
        <v>2116.6666666666665</v>
      </c>
      <c r="J163" s="501">
        <f>Sheet1!CX166</f>
        <v>1703.5416666666667</v>
      </c>
      <c r="K163" s="501">
        <f>Sheet1!CV166</f>
        <v>1763.75</v>
      </c>
      <c r="L163" s="501">
        <f>Calculation!F166</f>
        <v>250</v>
      </c>
      <c r="M163" s="501">
        <f>Calculation!E166</f>
        <v>250</v>
      </c>
      <c r="N163" s="501">
        <f>Calculation!D166</f>
        <v>300</v>
      </c>
      <c r="O163" s="500">
        <f>Sheet1!CY166</f>
        <v>1163.43</v>
      </c>
      <c r="P163" s="514" t="e">
        <f>Calculation!ET166</f>
        <v>#N/A</v>
      </c>
      <c r="Q163" s="498">
        <f>Calculation!DF166</f>
        <v>46485.99000011084</v>
      </c>
      <c r="R163" s="500">
        <f t="shared" si="34"/>
        <v>45265.99000011084</v>
      </c>
      <c r="S163" s="498">
        <f t="shared" si="39"/>
        <v>599.83000000160246</v>
      </c>
      <c r="T163" s="498">
        <f ca="1">IF(A163&gt;$A$1,#N/A,VLOOKUP(A163,Calculation!$B$8:$IV$881,30,FALSE))</f>
        <v>16963.786390383953</v>
      </c>
      <c r="U163" s="498">
        <f t="shared" si="35"/>
        <v>0</v>
      </c>
      <c r="V163" s="498">
        <f>Calculation!AP166</f>
        <v>0</v>
      </c>
      <c r="W163" s="498">
        <f t="shared" ca="1" si="45"/>
        <v>5000</v>
      </c>
      <c r="X163" s="498">
        <v>0</v>
      </c>
      <c r="Y163" s="744">
        <f t="shared" ca="1" si="36"/>
        <v>2500</v>
      </c>
      <c r="Z163" s="748">
        <f t="shared" ca="1" si="37"/>
        <v>2500</v>
      </c>
      <c r="AA163" s="498">
        <f t="shared" ca="1" si="40"/>
        <v>24522.203609726886</v>
      </c>
      <c r="AB163" s="501">
        <f t="shared" ca="1" si="41"/>
        <v>23302.203609726886</v>
      </c>
      <c r="AC163" s="498" t="e">
        <f ca="1">IF(A163&gt;$A$1,#N/A,VLOOKUP(A163,Calculation!$B$8:$IV$881,155,FALSE))</f>
        <v>#N/A</v>
      </c>
      <c r="AD163" s="498" t="e">
        <f t="shared" ca="1" si="42"/>
        <v>#N/A</v>
      </c>
      <c r="AE163" s="498"/>
      <c r="AF163" s="501">
        <f>Calculation!G166</f>
        <v>2066.2361321238541</v>
      </c>
      <c r="AG163" s="498" t="str">
        <f t="shared" si="43"/>
        <v>Yes</v>
      </c>
      <c r="AH163" s="498" t="str">
        <f t="shared" si="44"/>
        <v>Yes</v>
      </c>
      <c r="AK163" s="738">
        <v>36529.580000088936</v>
      </c>
      <c r="AL163" s="738">
        <v>46245.530000110593</v>
      </c>
      <c r="AM163" s="740">
        <v>50533.660000119031</v>
      </c>
      <c r="AR163" s="551">
        <f ca="1">FORECAST(0,A157:A163,T157:T163)</f>
        <v>40609.327684763433</v>
      </c>
      <c r="AS163" s="523">
        <f ca="1">IF(Summary!A163&lt;Calculation!FT166,FORECAST(20000,A157:A163,T157:T163),0)</f>
        <v>40710.336708163668</v>
      </c>
      <c r="AT163" s="581">
        <f>Calculation!AR166*3.068</f>
        <v>7684.7264000000059</v>
      </c>
      <c r="AU163" s="575">
        <f ca="1">Calculation!DA166</f>
        <v>2534.7861041241149</v>
      </c>
      <c r="AV163" s="575">
        <f>Calculation!CF166*3.068</f>
        <v>3158.068232926501</v>
      </c>
      <c r="AW163" s="582">
        <f>Calculation!BK166*3.068</f>
        <v>3586.2056533333321</v>
      </c>
      <c r="AX163" s="812">
        <f>FORECAST(0,A157:A163,AT157:AT163)</f>
        <v>40602</v>
      </c>
      <c r="AY163" s="813">
        <f>IF(Summary!A163&lt;Calculation!FT166,FORECAST(8333.33,A157:A163,AT157:AT163),0)</f>
        <v>40702.849353595724</v>
      </c>
      <c r="AZ163" s="533">
        <f ca="1">FORECAST(0,A157:A163,AU157:AU163)</f>
        <v>40629.266149108204</v>
      </c>
      <c r="BA163" s="536">
        <f ca="1">IF(Summary!A163&lt;Calculation!FT166,FORECAST(3888.89,A157:A163,AU157:AU163),0)</f>
        <v>40730.115571857801</v>
      </c>
      <c r="BB163" s="825">
        <f>FORECAST(0,A157:A163,AV157:AV163)</f>
        <v>40612.448024496101</v>
      </c>
      <c r="BC163" s="827">
        <f>IF(Summary!A163&lt;Calculation!FT166,FORECAST(3888.89,A157:A163,AV157:AV163),0)</f>
        <v>40714.119208799035</v>
      </c>
      <c r="BD163" s="843">
        <f>FORECAST(0,A157:A163,AW157:AW163)</f>
        <v>40602</v>
      </c>
      <c r="BE163" s="847">
        <f>IF(Summary!A163&lt;Calculation!FT166,FORECAST(3888.89,A157:A163,AW157:AW163),0)</f>
        <v>40702.849422749598</v>
      </c>
    </row>
    <row r="164" spans="1:57" ht="12" thickBot="1">
      <c r="A164" s="513">
        <v>40696</v>
      </c>
      <c r="B164" s="498">
        <f t="shared" si="38"/>
        <v>77.845039999999543</v>
      </c>
      <c r="C164" s="498">
        <f>Calculation!AA167</f>
        <v>92.869389803922147</v>
      </c>
      <c r="D164" s="498">
        <f>Calculation!Y167</f>
        <v>0</v>
      </c>
      <c r="E164" s="498">
        <f>Calculation!U167</f>
        <v>50.617840000001799</v>
      </c>
      <c r="F164" s="498">
        <f>Calculation!V167</f>
        <v>27.227199999997747</v>
      </c>
      <c r="G164" s="498">
        <f>Calculation!W167</f>
        <v>5.584669999998086</v>
      </c>
      <c r="H164" s="500">
        <f>Sheet1!H167</f>
        <v>4.01</v>
      </c>
      <c r="I164" s="501">
        <f>Sheet1!CW167</f>
        <v>2837.6041666666665</v>
      </c>
      <c r="J164" s="501">
        <f>Sheet1!CX167</f>
        <v>2256.5625</v>
      </c>
      <c r="K164" s="501">
        <f>Sheet1!CV167</f>
        <v>2300.4166666666665</v>
      </c>
      <c r="L164" s="501">
        <f>Calculation!F167</f>
        <v>250</v>
      </c>
      <c r="M164" s="501">
        <f>Calculation!E167</f>
        <v>250</v>
      </c>
      <c r="N164" s="501">
        <f>Calculation!D167</f>
        <v>300</v>
      </c>
      <c r="O164" s="500">
        <f>Sheet1!CY167</f>
        <v>1163.6500000000001</v>
      </c>
      <c r="P164" s="514" t="e">
        <f>Calculation!ET167</f>
        <v>#N/A</v>
      </c>
      <c r="Q164" s="498">
        <f>Calculation!DF167</f>
        <v>46726.450000111086</v>
      </c>
      <c r="R164" s="500">
        <f t="shared" si="34"/>
        <v>45506.450000111086</v>
      </c>
      <c r="S164" s="498">
        <f t="shared" si="39"/>
        <v>240.46000000024651</v>
      </c>
      <c r="T164" s="498">
        <f ca="1">IF(A164&gt;$A$1,#N/A,VLOOKUP(A164,Calculation!$B$8:$IV$881,30,FALSE))</f>
        <v>17147.964339911061</v>
      </c>
      <c r="U164" s="498">
        <f t="shared" si="35"/>
        <v>0</v>
      </c>
      <c r="V164" s="498">
        <f>Calculation!AP167</f>
        <v>0</v>
      </c>
      <c r="W164" s="498">
        <f t="shared" ca="1" si="45"/>
        <v>5000</v>
      </c>
      <c r="X164" s="498">
        <v>0</v>
      </c>
      <c r="Y164" s="744">
        <f t="shared" ca="1" si="36"/>
        <v>2500</v>
      </c>
      <c r="Z164" s="748">
        <f t="shared" ca="1" si="37"/>
        <v>2500</v>
      </c>
      <c r="AA164" s="498">
        <f t="shared" ca="1" si="40"/>
        <v>24578.485660200025</v>
      </c>
      <c r="AB164" s="501">
        <f t="shared" ca="1" si="41"/>
        <v>23358.485660200025</v>
      </c>
      <c r="AC164" s="498" t="e">
        <f ca="1">IF(A164&gt;$A$1,#N/A,VLOOKUP(A164,Calculation!$B$8:$IV$881,155,FALSE))</f>
        <v>#N/A</v>
      </c>
      <c r="AD164" s="498" t="e">
        <f t="shared" ca="1" si="42"/>
        <v>#N/A</v>
      </c>
      <c r="AE164" s="498"/>
      <c r="AF164" s="501">
        <f>Calculation!G167</f>
        <v>2421.677382753528</v>
      </c>
      <c r="AG164" s="498" t="str">
        <f t="shared" si="43"/>
        <v>Yes</v>
      </c>
      <c r="AH164" s="498" t="str">
        <f t="shared" si="44"/>
        <v>Yes</v>
      </c>
      <c r="AK164" s="738">
        <v>36770.250000090447</v>
      </c>
      <c r="AL164" s="738">
        <v>46464.130000110839</v>
      </c>
      <c r="AM164" s="740">
        <v>50772.640000119289</v>
      </c>
      <c r="AR164" s="552">
        <f t="shared" ref="AR164:AR227" ca="1" si="46">FORECAST(0,A158:A164,T158:T164)</f>
        <v>40608.801929190806</v>
      </c>
      <c r="AS164" s="523">
        <f ca="1">IF(Summary!A164&lt;Calculation!FT167,FORECAST(20000,A158:A164,T158:T164),0)</f>
        <v>40710.458253491561</v>
      </c>
      <c r="AT164" s="581">
        <f>Calculation!AR167*3.068</f>
        <v>7767.3578666666735</v>
      </c>
      <c r="AU164" s="575">
        <f ca="1">Calculation!DA167</f>
        <v>2563.2892277842466</v>
      </c>
      <c r="AV164" s="575">
        <f>Calculation!CF167*3.068</f>
        <v>3192.5502410156978</v>
      </c>
      <c r="AW164" s="582">
        <f>Calculation!BK167*3.068</f>
        <v>3624.7670044444435</v>
      </c>
      <c r="AX164" s="813">
        <f t="shared" ref="AX164:AX227" si="47">FORECAST(0,A158:A164,AT158:AT164)</f>
        <v>40602</v>
      </c>
      <c r="AY164" s="813">
        <f>IF(Summary!A164&lt;Calculation!FT167,FORECAST(8333.33,A158:A164,AT158:AT164),0)</f>
        <v>40702.849353595724</v>
      </c>
      <c r="AZ164" s="534">
        <f t="shared" ref="AZ164:AZ227" ca="1" si="48">FORECAST(0,A158:A164,AU158:AU164)</f>
        <v>40627.56226458156</v>
      </c>
      <c r="BA164" s="536">
        <f ca="1">IF(Summary!A164&lt;Calculation!FT167,FORECAST(3888.89,A158:A164,AU158:AU164),0)</f>
        <v>40731.168407427336</v>
      </c>
      <c r="BB164" s="826">
        <f t="shared" ref="BB164:BB227" si="49">FORECAST(0,A158:A164,AV158:AV164)</f>
        <v>40612.049344930027</v>
      </c>
      <c r="BC164" s="827">
        <f>IF(Summary!A164&lt;Calculation!FT167,FORECAST(3888.89,A158:A164,AV158:AV164),0)</f>
        <v>40714.244297574143</v>
      </c>
      <c r="BD164" s="844">
        <f t="shared" ref="BD164:BD227" si="50">FORECAST(0,A158:A164,AW158:AW164)</f>
        <v>40602</v>
      </c>
      <c r="BE164" s="847">
        <f>IF(Summary!A164&lt;Calculation!FT167,FORECAST(3888.89,A158:A164,AW158:AW164),0)</f>
        <v>40702.849422749598</v>
      </c>
    </row>
    <row r="165" spans="1:57" ht="12" thickBot="1">
      <c r="A165" s="513">
        <v>40697</v>
      </c>
      <c r="B165" s="498">
        <f t="shared" si="38"/>
        <v>87.529260000002694</v>
      </c>
      <c r="C165" s="498">
        <f>Calculation!AA168</f>
        <v>85.929843545569724</v>
      </c>
      <c r="D165" s="498">
        <f>Calculation!Y168</f>
        <v>0</v>
      </c>
      <c r="E165" s="498">
        <f>Calculation!U168</f>
        <v>50.091860000007202</v>
      </c>
      <c r="F165" s="498">
        <f>Calculation!V168</f>
        <v>37.437399999995499</v>
      </c>
      <c r="G165" s="498">
        <f>Calculation!W168</f>
        <v>0</v>
      </c>
      <c r="H165" s="500">
        <f>Sheet1!H168</f>
        <v>3.1</v>
      </c>
      <c r="I165" s="501">
        <f>Sheet1!CW168</f>
        <v>2986.25</v>
      </c>
      <c r="J165" s="501">
        <f>Sheet1!CX168</f>
        <v>2203.3333333333335</v>
      </c>
      <c r="K165" s="501">
        <f>Sheet1!CV168</f>
        <v>2237.5</v>
      </c>
      <c r="L165" s="501">
        <f>Calculation!F168</f>
        <v>250</v>
      </c>
      <c r="M165" s="501">
        <f>Calculation!E168</f>
        <v>250</v>
      </c>
      <c r="N165" s="501">
        <f>Calculation!D168</f>
        <v>300</v>
      </c>
      <c r="O165" s="500">
        <f>Sheet1!CY168</f>
        <v>1163.8900000000001</v>
      </c>
      <c r="P165" s="514" t="e">
        <f>Calculation!ET168</f>
        <v>#N/A</v>
      </c>
      <c r="Q165" s="498">
        <f>Calculation!DF168</f>
        <v>46988.770000111334</v>
      </c>
      <c r="R165" s="500">
        <f t="shared" si="34"/>
        <v>45768.770000111334</v>
      </c>
      <c r="S165" s="498">
        <f t="shared" si="39"/>
        <v>262.32000000024709</v>
      </c>
      <c r="T165" s="498">
        <f ca="1">IF(A165&gt;$A$1,#N/A,VLOOKUP(A165,Calculation!$B$8:$IV$881,30,FALSE))</f>
        <v>17318.379827951016</v>
      </c>
      <c r="U165" s="498">
        <f t="shared" si="35"/>
        <v>0</v>
      </c>
      <c r="V165" s="498">
        <f>Calculation!AP168</f>
        <v>0</v>
      </c>
      <c r="W165" s="498">
        <f t="shared" ca="1" si="45"/>
        <v>5000</v>
      </c>
      <c r="X165" s="498">
        <v>0</v>
      </c>
      <c r="Y165" s="744">
        <f t="shared" ca="1" si="36"/>
        <v>2500</v>
      </c>
      <c r="Z165" s="748">
        <f t="shared" ca="1" si="37"/>
        <v>2500</v>
      </c>
      <c r="AA165" s="498">
        <f t="shared" ca="1" si="40"/>
        <v>24670.390172160318</v>
      </c>
      <c r="AB165" s="501">
        <f t="shared" ca="1" si="41"/>
        <v>23450.390172160318</v>
      </c>
      <c r="AC165" s="498" t="e">
        <f ca="1">IF(A165&gt;$A$1,#N/A,VLOOKUP(A165,Calculation!$B$8:$IV$881,155,FALSE))</f>
        <v>#N/A</v>
      </c>
      <c r="AD165" s="498" t="e">
        <f t="shared" ca="1" si="42"/>
        <v>#N/A</v>
      </c>
      <c r="AE165" s="498"/>
      <c r="AF165" s="501">
        <f>Calculation!G168</f>
        <v>2369.7844175492924</v>
      </c>
      <c r="AG165" s="498" t="str">
        <f t="shared" si="43"/>
        <v>Yes</v>
      </c>
      <c r="AH165" s="498" t="str">
        <f t="shared" si="44"/>
        <v>Yes</v>
      </c>
      <c r="AK165" s="738">
        <v>36877.500000090673</v>
      </c>
      <c r="AL165" s="738">
        <v>46955.980000111085</v>
      </c>
      <c r="AM165" s="740">
        <v>50636.080000119284</v>
      </c>
      <c r="AR165" s="552">
        <f t="shared" ca="1" si="46"/>
        <v>40607.140029481408</v>
      </c>
      <c r="AS165" s="523">
        <f ca="1">IF(Summary!A165&lt;Calculation!FT168,FORECAST(20000,A159:A165,T159:T165),0)</f>
        <v>40710.807344081113</v>
      </c>
      <c r="AT165" s="581">
        <f>Calculation!AR168*3.068</f>
        <v>7849.9893333333403</v>
      </c>
      <c r="AU165" s="575">
        <f ca="1">Calculation!DA168</f>
        <v>2582.0146757742614</v>
      </c>
      <c r="AV165" s="575">
        <f>Calculation!CF168*3.068</f>
        <v>3223.0474632878586</v>
      </c>
      <c r="AW165" s="582">
        <f>Calculation!BK168*3.068</f>
        <v>3663.3283555555549</v>
      </c>
      <c r="AX165" s="813">
        <f t="shared" si="47"/>
        <v>40602</v>
      </c>
      <c r="AY165" s="813">
        <f>IF(Summary!A165&lt;Calculation!FT168,FORECAST(8333.33,A159:A165,AT159:AT165),0)</f>
        <v>40702.849353595724</v>
      </c>
      <c r="AZ165" s="534">
        <f t="shared" ca="1" si="48"/>
        <v>40622.815166196815</v>
      </c>
      <c r="BA165" s="536">
        <f ca="1">IF(Summary!A165&lt;Calculation!FT168,FORECAST(3888.89,A159:A165,AU159:AU165),0)</f>
        <v>40733.968777254719</v>
      </c>
      <c r="BB165" s="826">
        <f t="shared" si="49"/>
        <v>40609.802842359459</v>
      </c>
      <c r="BC165" s="827">
        <f>IF(Summary!A165&lt;Calculation!FT168,FORECAST(3888.89,A159:A165,AV159:AV165),0)</f>
        <v>40714.844098759204</v>
      </c>
      <c r="BD165" s="844">
        <f t="shared" si="50"/>
        <v>40602</v>
      </c>
      <c r="BE165" s="847">
        <f>IF(Summary!A165&lt;Calculation!FT168,FORECAST(3888.89,A159:A165,AW159:AW165),0)</f>
        <v>40702.849422749598</v>
      </c>
    </row>
    <row r="166" spans="1:57" ht="12" thickBot="1">
      <c r="A166" s="513">
        <v>40698</v>
      </c>
      <c r="B166" s="498">
        <f t="shared" si="38"/>
        <v>91.025479999983332</v>
      </c>
      <c r="C166" s="498">
        <f>Calculation!AA169</f>
        <v>85.567035196304047</v>
      </c>
      <c r="D166" s="498">
        <f>Calculation!Y169</f>
        <v>0</v>
      </c>
      <c r="E166" s="498">
        <f>Calculation!U169</f>
        <v>50.184679999981086</v>
      </c>
      <c r="F166" s="498">
        <f>Calculation!V169</f>
        <v>40.840800000002247</v>
      </c>
      <c r="G166" s="498">
        <f>Calculation!W169</f>
        <v>0</v>
      </c>
      <c r="H166" s="500">
        <f>Sheet1!H169</f>
        <v>2.81</v>
      </c>
      <c r="I166" s="501">
        <f>Sheet1!CW169</f>
        <v>2560.1041666666665</v>
      </c>
      <c r="J166" s="501">
        <f>Sheet1!CX169</f>
        <v>1955.8333333333333</v>
      </c>
      <c r="K166" s="501">
        <f>Sheet1!CV169</f>
        <v>1994.1666666666667</v>
      </c>
      <c r="L166" s="501">
        <f>Calculation!F169</f>
        <v>250</v>
      </c>
      <c r="M166" s="501">
        <f>Calculation!E169</f>
        <v>250</v>
      </c>
      <c r="N166" s="501">
        <f>Calculation!D169</f>
        <v>300</v>
      </c>
      <c r="O166" s="500">
        <f>Sheet1!CY169</f>
        <v>1164.33</v>
      </c>
      <c r="P166" s="514" t="e">
        <f>Calculation!ET169</f>
        <v>#N/A</v>
      </c>
      <c r="Q166" s="498">
        <f>Calculation!DF169</f>
        <v>47473.320000112704</v>
      </c>
      <c r="R166" s="500">
        <f t="shared" si="34"/>
        <v>46253.320000112704</v>
      </c>
      <c r="S166" s="498">
        <f t="shared" si="39"/>
        <v>484.55000000137079</v>
      </c>
      <c r="T166" s="498">
        <f ca="1">IF(A166&gt;$A$1,#N/A,VLOOKUP(A166,Calculation!$B$8:$IV$881,30,FALSE))</f>
        <v>17488.075796911755</v>
      </c>
      <c r="U166" s="498">
        <f t="shared" si="35"/>
        <v>0</v>
      </c>
      <c r="V166" s="498">
        <f>Calculation!AP169</f>
        <v>0</v>
      </c>
      <c r="W166" s="498">
        <f t="shared" ca="1" si="45"/>
        <v>5000</v>
      </c>
      <c r="X166" s="498">
        <v>0</v>
      </c>
      <c r="Y166" s="744">
        <f t="shared" ca="1" si="36"/>
        <v>2500</v>
      </c>
      <c r="Z166" s="748">
        <f t="shared" ca="1" si="37"/>
        <v>2500</v>
      </c>
      <c r="AA166" s="498">
        <f t="shared" ca="1" si="40"/>
        <v>24985.244203200949</v>
      </c>
      <c r="AB166" s="501">
        <f t="shared" ca="1" si="41"/>
        <v>23765.244203200949</v>
      </c>
      <c r="AC166" s="498" t="e">
        <f ca="1">IF(A166&gt;$A$1,#N/A,VLOOKUP(A166,Calculation!$B$8:$IV$881,155,FALSE))</f>
        <v>#N/A</v>
      </c>
      <c r="AD166" s="498" t="e">
        <f t="shared" ca="1" si="42"/>
        <v>#N/A</v>
      </c>
      <c r="AE166" s="498"/>
      <c r="AF166" s="501">
        <f>Calculation!G169</f>
        <v>2238.5186585987749</v>
      </c>
      <c r="AG166" s="498" t="str">
        <f t="shared" si="43"/>
        <v>Yes</v>
      </c>
      <c r="AH166" s="498" t="str">
        <f t="shared" si="44"/>
        <v>Yes</v>
      </c>
      <c r="AK166" s="738">
        <v>37834.680000092652</v>
      </c>
      <c r="AL166" s="738">
        <v>47473.320000112704</v>
      </c>
      <c r="AM166" s="740">
        <v>50408.960000117768</v>
      </c>
      <c r="AR166" s="552">
        <f t="shared" ca="1" si="46"/>
        <v>40604.609225592554</v>
      </c>
      <c r="AS166" s="523">
        <f ca="1">IF(Summary!A166&lt;Calculation!FT169,FORECAST(20000,A160:A166,T160:T166),0)</f>
        <v>40711.292275379572</v>
      </c>
      <c r="AT166" s="581">
        <f>Calculation!AR169*3.068</f>
        <v>7932.620800000007</v>
      </c>
      <c r="AU166" s="575">
        <f ca="1">Calculation!DA169</f>
        <v>2600.2181109500361</v>
      </c>
      <c r="AV166" s="575">
        <f>Calculation!CF169*3.068</f>
        <v>3253.3471792950431</v>
      </c>
      <c r="AW166" s="582">
        <f>Calculation!BK169*3.068</f>
        <v>3701.8897066666664</v>
      </c>
      <c r="AX166" s="813">
        <f t="shared" si="47"/>
        <v>40602</v>
      </c>
      <c r="AY166" s="813">
        <f>IF(Summary!A166&lt;Calculation!FT169,FORECAST(8333.33,A160:A166,AT160:AT166),0)</f>
        <v>40702.849353595724</v>
      </c>
      <c r="AZ166" s="534">
        <f t="shared" ca="1" si="48"/>
        <v>40614.694784173313</v>
      </c>
      <c r="BA166" s="536">
        <f ca="1">IF(Summary!A166&lt;Calculation!FT169,FORECAST(3888.89,A160:A166,AU160:AU166),0)</f>
        <v>40738.529266277983</v>
      </c>
      <c r="BB166" s="826">
        <f t="shared" si="49"/>
        <v>40606.100679977542</v>
      </c>
      <c r="BC166" s="827">
        <f>IF(Summary!A166&lt;Calculation!FT169,FORECAST(3888.89,A160:A166,AV160:AV166),0)</f>
        <v>40715.754246650809</v>
      </c>
      <c r="BD166" s="844">
        <f t="shared" si="50"/>
        <v>40602</v>
      </c>
      <c r="BE166" s="847">
        <f>IF(Summary!A166&lt;Calculation!FT169,FORECAST(3888.89,A160:A166,AW160:AW166),0)</f>
        <v>40702.849422749598</v>
      </c>
    </row>
    <row r="167" spans="1:57" ht="12" thickBot="1">
      <c r="A167" s="513">
        <v>40699</v>
      </c>
      <c r="B167" s="498">
        <f t="shared" si="38"/>
        <v>99.162700000009011</v>
      </c>
      <c r="C167" s="498">
        <f>Calculation!AA170</f>
        <v>85.552935954321924</v>
      </c>
      <c r="D167" s="498">
        <f>Calculation!Y170</f>
        <v>0</v>
      </c>
      <c r="E167" s="498">
        <f>Calculation!U170</f>
        <v>51.298520000005404</v>
      </c>
      <c r="F167" s="498">
        <f>Calculation!V170</f>
        <v>47.8641800000036</v>
      </c>
      <c r="G167" s="498">
        <f>Calculation!W170</f>
        <v>0</v>
      </c>
      <c r="H167" s="500">
        <f>Sheet1!H170</f>
        <v>2.7</v>
      </c>
      <c r="I167" s="501">
        <f>Sheet1!CW170</f>
        <v>2526.1458333333335</v>
      </c>
      <c r="J167" s="501">
        <f>Sheet1!CX170</f>
        <v>1946.1458333333333</v>
      </c>
      <c r="K167" s="501">
        <f>Sheet1!CV170</f>
        <v>2000.8333333333333</v>
      </c>
      <c r="L167" s="501">
        <f>Calculation!F170</f>
        <v>250</v>
      </c>
      <c r="M167" s="501">
        <f>Calculation!E170</f>
        <v>250</v>
      </c>
      <c r="N167" s="501">
        <f>Calculation!D170</f>
        <v>300</v>
      </c>
      <c r="O167" s="500">
        <f>Sheet1!CY170</f>
        <v>1164.82</v>
      </c>
      <c r="P167" s="514" t="e">
        <f>Calculation!ET170</f>
        <v>#N/A</v>
      </c>
      <c r="Q167" s="498">
        <f>Calculation!DF170</f>
        <v>48014.280000113205</v>
      </c>
      <c r="R167" s="500">
        <f t="shared" si="34"/>
        <v>46794.280000113205</v>
      </c>
      <c r="S167" s="498">
        <f t="shared" si="39"/>
        <v>540.96000000050117</v>
      </c>
      <c r="T167" s="498">
        <f ca="1">IF(A167&gt;$A$1,#N/A,VLOOKUP(A167,Calculation!$B$8:$IV$881,30,FALSE))</f>
        <v>17657.743804350575</v>
      </c>
      <c r="U167" s="498">
        <f t="shared" si="35"/>
        <v>0</v>
      </c>
      <c r="V167" s="498">
        <f>Calculation!AP170</f>
        <v>0</v>
      </c>
      <c r="W167" s="498">
        <f t="shared" ca="1" si="45"/>
        <v>5000</v>
      </c>
      <c r="X167" s="498">
        <v>0</v>
      </c>
      <c r="Y167" s="744">
        <f t="shared" ca="1" si="36"/>
        <v>2500</v>
      </c>
      <c r="Z167" s="748">
        <f t="shared" ca="1" si="37"/>
        <v>2500</v>
      </c>
      <c r="AA167" s="498">
        <f t="shared" ca="1" si="40"/>
        <v>25356.53619576263</v>
      </c>
      <c r="AB167" s="501">
        <f t="shared" ca="1" si="41"/>
        <v>24136.53619576263</v>
      </c>
      <c r="AC167" s="498" t="e">
        <f ca="1">IF(A167&gt;$A$1,#N/A,VLOOKUP(A167,Calculation!$B$8:$IV$881,155,FALSE))</f>
        <v>#N/A</v>
      </c>
      <c r="AD167" s="498" t="e">
        <f t="shared" ca="1" si="42"/>
        <v>#N/A</v>
      </c>
      <c r="AE167" s="498"/>
      <c r="AF167" s="501">
        <f>Calculation!G170</f>
        <v>2273.6321230461426</v>
      </c>
      <c r="AG167" s="498" t="str">
        <f t="shared" si="43"/>
        <v>Yes</v>
      </c>
      <c r="AH167" s="498" t="str">
        <f t="shared" si="44"/>
        <v>Yes</v>
      </c>
      <c r="AK167" s="738">
        <v>39106.200000095327</v>
      </c>
      <c r="AL167" s="738">
        <v>48047.400000113208</v>
      </c>
      <c r="AM167" s="740">
        <v>50330.140000117775</v>
      </c>
      <c r="AR167" s="552">
        <f t="shared" ca="1" si="46"/>
        <v>40601.554676182954</v>
      </c>
      <c r="AS167" s="523">
        <f ca="1">IF(Summary!A167&lt;Calculation!FT170,FORECAST(20000,A161:A167,T161:T167),0)</f>
        <v>40711.824898159852</v>
      </c>
      <c r="AT167" s="581">
        <f>Calculation!AR170*3.068</f>
        <v>8015.2522666666737</v>
      </c>
      <c r="AU167" s="575">
        <f ca="1">Calculation!DA170</f>
        <v>2618.5558667071491</v>
      </c>
      <c r="AV167" s="575">
        <f>Calculation!CF170*3.068</f>
        <v>3283.4846131989752</v>
      </c>
      <c r="AW167" s="582">
        <f>Calculation!BK170*3.068</f>
        <v>3740.4510577777778</v>
      </c>
      <c r="AX167" s="813">
        <f t="shared" si="47"/>
        <v>40602</v>
      </c>
      <c r="AY167" s="813">
        <f>IF(Summary!A167&lt;Calculation!FT170,FORECAST(8333.33,A161:A167,AT161:AT167),0)</f>
        <v>40702.849353595724</v>
      </c>
      <c r="AZ167" s="534">
        <f t="shared" ca="1" si="48"/>
        <v>40602.239435660042</v>
      </c>
      <c r="BA167" s="536">
        <f ca="1">IF(Summary!A167&lt;Calculation!FT170,FORECAST(3888.89,A161:A167,AU161:AU167),0)</f>
        <v>40745.207400898129</v>
      </c>
      <c r="BB167" s="826">
        <f t="shared" si="49"/>
        <v>40601.402570253071</v>
      </c>
      <c r="BC167" s="827">
        <f>IF(Summary!A167&lt;Calculation!FT170,FORECAST(3888.89,A161:A167,AV161:AV167),0)</f>
        <v>40716.823606719998</v>
      </c>
      <c r="BD167" s="844">
        <f t="shared" si="50"/>
        <v>40602</v>
      </c>
      <c r="BE167" s="847">
        <f>IF(Summary!A167&lt;Calculation!FT170,FORECAST(3888.89,A161:A167,AW161:AW167),0)</f>
        <v>40702.849422749598</v>
      </c>
    </row>
    <row r="168" spans="1:57" ht="12" thickBot="1">
      <c r="A168" s="513">
        <v>40700</v>
      </c>
      <c r="B168" s="498">
        <f t="shared" si="38"/>
        <v>99.410219999991881</v>
      </c>
      <c r="C168" s="498">
        <f>Calculation!AA171</f>
        <v>85.551728888889969</v>
      </c>
      <c r="D168" s="498">
        <f>Calculation!Y171</f>
        <v>0</v>
      </c>
      <c r="E168" s="498">
        <f>Calculation!U171</f>
        <v>51.360399999995494</v>
      </c>
      <c r="F168" s="498">
        <f>Calculation!V171</f>
        <v>48.049819999996394</v>
      </c>
      <c r="G168" s="498">
        <f>Calculation!W171</f>
        <v>0</v>
      </c>
      <c r="H168" s="500">
        <f>Sheet1!H171</f>
        <v>2.63</v>
      </c>
      <c r="I168" s="501">
        <f>Sheet1!CW171</f>
        <v>2555.4166666666665</v>
      </c>
      <c r="J168" s="501">
        <f>Sheet1!CX171</f>
        <v>2042.0833333333333</v>
      </c>
      <c r="K168" s="501">
        <f>Sheet1!CV171</f>
        <v>2110.4166666666665</v>
      </c>
      <c r="L168" s="501">
        <f>Calculation!F171</f>
        <v>250</v>
      </c>
      <c r="M168" s="501">
        <f>Calculation!E171</f>
        <v>250</v>
      </c>
      <c r="N168" s="501">
        <f>Calculation!D171</f>
        <v>300</v>
      </c>
      <c r="O168" s="500">
        <f>Sheet1!CY171</f>
        <v>1165.1400000000001</v>
      </c>
      <c r="P168" s="514" t="e">
        <f>Calculation!ET171</f>
        <v>#N/A</v>
      </c>
      <c r="Q168" s="498">
        <f>Calculation!DF171</f>
        <v>48369.100000114842</v>
      </c>
      <c r="R168" s="500">
        <f t="shared" si="34"/>
        <v>47149.100000114842</v>
      </c>
      <c r="S168" s="498">
        <f t="shared" si="39"/>
        <v>354.8200000016368</v>
      </c>
      <c r="T168" s="498">
        <f ca="1">IF(A168&gt;$A$1,#N/A,VLOOKUP(A168,Calculation!$B$8:$IV$881,30,FALSE))</f>
        <v>17827.40941794535</v>
      </c>
      <c r="U168" s="498">
        <f t="shared" si="35"/>
        <v>0</v>
      </c>
      <c r="V168" s="498">
        <f>Calculation!AP171</f>
        <v>0</v>
      </c>
      <c r="W168" s="498">
        <f t="shared" ca="1" si="45"/>
        <v>5000</v>
      </c>
      <c r="X168" s="498">
        <v>0</v>
      </c>
      <c r="Y168" s="744">
        <f t="shared" ca="1" si="36"/>
        <v>2500</v>
      </c>
      <c r="Z168" s="748">
        <f t="shared" ca="1" si="37"/>
        <v>2500</v>
      </c>
      <c r="AA168" s="498">
        <f t="shared" ca="1" si="40"/>
        <v>25541.690582169493</v>
      </c>
      <c r="AB168" s="501">
        <f t="shared" ca="1" si="41"/>
        <v>24321.690582169493</v>
      </c>
      <c r="AC168" s="498" t="e">
        <f ca="1">IF(A168&gt;$A$1,#N/A,VLOOKUP(A168,Calculation!$B$8:$IV$881,155,FALSE))</f>
        <v>#N/A</v>
      </c>
      <c r="AD168" s="498" t="e">
        <f t="shared" ca="1" si="42"/>
        <v>#N/A</v>
      </c>
      <c r="AE168" s="498"/>
      <c r="AF168" s="501">
        <f>Calculation!G171</f>
        <v>2289.3475794259389</v>
      </c>
      <c r="AG168" s="498" t="str">
        <f t="shared" si="43"/>
        <v>Yes</v>
      </c>
      <c r="AH168" s="498" t="str">
        <f t="shared" si="44"/>
        <v>Yes</v>
      </c>
      <c r="AK168" s="738">
        <v>40114.800000097588</v>
      </c>
      <c r="AL168" s="738">
        <v>48748.200000115095</v>
      </c>
      <c r="AM168" s="740">
        <v>50375.180000117769</v>
      </c>
      <c r="AR168" s="552">
        <f t="shared" ca="1" si="46"/>
        <v>40598.445203535368</v>
      </c>
      <c r="AS168" s="523">
        <f ca="1">IF(Summary!A168&lt;Calculation!FT171,FORECAST(20000,A162:A168,T162:T168),0)</f>
        <v>40712.316662507554</v>
      </c>
      <c r="AT168" s="581">
        <f>Calculation!AR171*3.068</f>
        <v>8097.8837333333404</v>
      </c>
      <c r="AU168" s="575">
        <f ca="1">Calculation!DA171</f>
        <v>2636.750871308458</v>
      </c>
      <c r="AV168" s="575">
        <f>Calculation!CF171*3.068</f>
        <v>3313.7624044146623</v>
      </c>
      <c r="AW168" s="582">
        <f>Calculation!BK171*3.068</f>
        <v>3779.0124088888892</v>
      </c>
      <c r="AX168" s="813">
        <f t="shared" si="47"/>
        <v>40602</v>
      </c>
      <c r="AY168" s="813">
        <f>IF(Summary!A168&lt;Calculation!FT171,FORECAST(8333.33,A162:A168,AT162:AT168),0)</f>
        <v>40702.849353595724</v>
      </c>
      <c r="AZ168" s="534">
        <f t="shared" ca="1" si="48"/>
        <v>40584.606995388393</v>
      </c>
      <c r="BA168" s="536">
        <f ca="1">IF(Summary!A168&lt;Calculation!FT171,FORECAST(3888.89,A162:A168,AU162:AU168),0)</f>
        <v>40754.283982770692</v>
      </c>
      <c r="BB168" s="826">
        <f t="shared" si="49"/>
        <v>40596.387002539966</v>
      </c>
      <c r="BC168" s="827">
        <f>IF(Summary!A168&lt;Calculation!FT171,FORECAST(3888.89,A162:A168,AV162:AV168),0)</f>
        <v>40717.880014595503</v>
      </c>
      <c r="BD168" s="844">
        <f t="shared" si="50"/>
        <v>40602</v>
      </c>
      <c r="BE168" s="847">
        <f>IF(Summary!A168&lt;Calculation!FT171,FORECAST(3888.89,A162:A168,AW162:AW168),0)</f>
        <v>40702.849422749598</v>
      </c>
    </row>
    <row r="169" spans="1:57" ht="12" thickBot="1">
      <c r="A169" s="513">
        <v>40701</v>
      </c>
      <c r="B169" s="498">
        <f t="shared" si="38"/>
        <v>100.86440000000675</v>
      </c>
      <c r="C169" s="498">
        <f>Calculation!AA172</f>
        <v>85.720814086629645</v>
      </c>
      <c r="D169" s="498">
        <f>Calculation!Y172</f>
        <v>0</v>
      </c>
      <c r="E169" s="498">
        <f>Calculation!U172</f>
        <v>51.205700000009003</v>
      </c>
      <c r="F169" s="498">
        <f>Calculation!V172</f>
        <v>49.658699999997744</v>
      </c>
      <c r="G169" s="498">
        <f>Calculation!W172</f>
        <v>0</v>
      </c>
      <c r="H169" s="500">
        <f>Sheet1!H172</f>
        <v>2.69</v>
      </c>
      <c r="I169" s="501">
        <f>Sheet1!CW172</f>
        <v>2683.2291666666665</v>
      </c>
      <c r="J169" s="501">
        <f>Sheet1!CX172</f>
        <v>2125.2083333333335</v>
      </c>
      <c r="K169" s="501">
        <f>Sheet1!CV172</f>
        <v>2190.4166666666665</v>
      </c>
      <c r="L169" s="501">
        <f>Calculation!F172</f>
        <v>250</v>
      </c>
      <c r="M169" s="501">
        <f>Calculation!E172</f>
        <v>250</v>
      </c>
      <c r="N169" s="501">
        <f>Calculation!D172</f>
        <v>300</v>
      </c>
      <c r="O169" s="500">
        <f>Sheet1!CY172</f>
        <v>1165.3800000000001</v>
      </c>
      <c r="P169" s="514" t="e">
        <f>Calculation!ET172</f>
        <v>#N/A</v>
      </c>
      <c r="Q169" s="498">
        <f>Calculation!DF172</f>
        <v>48636.700000115095</v>
      </c>
      <c r="R169" s="500">
        <f t="shared" si="34"/>
        <v>47416.700000115095</v>
      </c>
      <c r="S169" s="498">
        <f t="shared" si="39"/>
        <v>267.6000000002532</v>
      </c>
      <c r="T169" s="498">
        <f ca="1">IF(A169&gt;$A$1,#N/A,VLOOKUP(A169,Calculation!$B$8:$IV$881,30,FALSE))</f>
        <v>17997.410360167574</v>
      </c>
      <c r="U169" s="498">
        <f t="shared" si="35"/>
        <v>0</v>
      </c>
      <c r="V169" s="498">
        <f>Calculation!AP172</f>
        <v>0</v>
      </c>
      <c r="W169" s="498">
        <f t="shared" ca="1" si="45"/>
        <v>5000</v>
      </c>
      <c r="X169" s="498">
        <v>0</v>
      </c>
      <c r="Y169" s="744">
        <f t="shared" ca="1" si="36"/>
        <v>2500</v>
      </c>
      <c r="Z169" s="748">
        <f t="shared" ca="1" si="37"/>
        <v>2500</v>
      </c>
      <c r="AA169" s="498">
        <f t="shared" ca="1" si="40"/>
        <v>25639.289639947521</v>
      </c>
      <c r="AB169" s="501">
        <f t="shared" ca="1" si="41"/>
        <v>24419.289639947521</v>
      </c>
      <c r="AC169" s="498" t="e">
        <f ca="1">IF(A169&gt;$A$1,#N/A,VLOOKUP(A169,Calculation!$B$8:$IV$881,155,FALSE))</f>
        <v>#N/A</v>
      </c>
      <c r="AD169" s="498" t="e">
        <f t="shared" ca="1" si="42"/>
        <v>#N/A</v>
      </c>
      <c r="AE169" s="498"/>
      <c r="AF169" s="501">
        <f>Calculation!G172</f>
        <v>2325.3637165911514</v>
      </c>
      <c r="AG169" s="498" t="str">
        <f t="shared" si="43"/>
        <v>Yes</v>
      </c>
      <c r="AH169" s="498" t="str">
        <f t="shared" si="44"/>
        <v>Yes</v>
      </c>
      <c r="AK169" s="738">
        <v>42343.320000102365</v>
      </c>
      <c r="AL169" s="738">
        <v>49328.00000011675</v>
      </c>
      <c r="AM169" s="740">
        <v>50545.040000119028</v>
      </c>
      <c r="AR169" s="552">
        <f t="shared" ca="1" si="46"/>
        <v>40595.995060558416</v>
      </c>
      <c r="AS169" s="523">
        <f ca="1">IF(Summary!A169&lt;Calculation!FT172,FORECAST(20000,A163:A169,T163:T169),0)</f>
        <v>40712.666643009245</v>
      </c>
      <c r="AT169" s="581">
        <f>Calculation!AR172*3.068</f>
        <v>8180.5152000000071</v>
      </c>
      <c r="AU169" s="575">
        <f ca="1">Calculation!DA172</f>
        <v>2655.1272668640145</v>
      </c>
      <c r="AV169" s="575">
        <f>Calculation!CF172*3.068</f>
        <v>3344.1941333035516</v>
      </c>
      <c r="AW169" s="582">
        <f>Calculation!BK172*3.068</f>
        <v>3817.5737600000007</v>
      </c>
      <c r="AX169" s="813">
        <f t="shared" si="47"/>
        <v>40602</v>
      </c>
      <c r="AY169" s="813">
        <f>IF(Summary!A169&lt;Calculation!FT172,FORECAST(8333.33,A163:A169,AT163:AT169),0)</f>
        <v>40702.849353595724</v>
      </c>
      <c r="AZ169" s="534">
        <f t="shared" ca="1" si="48"/>
        <v>40565.088195365839</v>
      </c>
      <c r="BA169" s="536">
        <f ca="1">IF(Summary!A169&lt;Calculation!FT172,FORECAST(3888.89,A163:A169,AU163:AU169),0)</f>
        <v>40763.989135794742</v>
      </c>
      <c r="BB169" s="826">
        <f t="shared" si="49"/>
        <v>40592.291901569086</v>
      </c>
      <c r="BC169" s="827">
        <f>IF(Summary!A169&lt;Calculation!FT172,FORECAST(3888.89,A163:A169,AV163:AV169),0)</f>
        <v>40718.677739384337</v>
      </c>
      <c r="BD169" s="844">
        <f t="shared" si="50"/>
        <v>40602</v>
      </c>
      <c r="BE169" s="847">
        <f>IF(Summary!A169&lt;Calculation!FT172,FORECAST(3888.89,A163:A169,AW163:AW169),0)</f>
        <v>40702.84942274959</v>
      </c>
    </row>
    <row r="170" spans="1:57" ht="12" thickBot="1">
      <c r="A170" s="513">
        <v>40702</v>
      </c>
      <c r="B170" s="498">
        <f t="shared" si="38"/>
        <v>99.023470000003144</v>
      </c>
      <c r="C170" s="498">
        <f>Calculation!AA173</f>
        <v>85.850593559321368</v>
      </c>
      <c r="D170" s="498">
        <f>Calculation!Y173</f>
        <v>0</v>
      </c>
      <c r="E170" s="498">
        <f>Calculation!U173</f>
        <v>51.221170000000896</v>
      </c>
      <c r="F170" s="498">
        <f>Calculation!V173</f>
        <v>47.802300000002248</v>
      </c>
      <c r="G170" s="498">
        <f>Calculation!W173</f>
        <v>0</v>
      </c>
      <c r="H170" s="500">
        <f>Sheet1!H173</f>
        <v>2.6</v>
      </c>
      <c r="I170" s="501">
        <f>Sheet1!CW173</f>
        <v>2791.0416666666665</v>
      </c>
      <c r="J170" s="501">
        <f>Sheet1!CX173</f>
        <v>2214.6875</v>
      </c>
      <c r="K170" s="501">
        <f>Sheet1!CV173</f>
        <v>2286.6666666666665</v>
      </c>
      <c r="L170" s="501">
        <f>Calculation!F173</f>
        <v>250</v>
      </c>
      <c r="M170" s="501">
        <f>Calculation!E173</f>
        <v>250</v>
      </c>
      <c r="N170" s="501">
        <f>Calculation!D173</f>
        <v>300</v>
      </c>
      <c r="O170" s="500">
        <f>Sheet1!CY173</f>
        <v>1165.51</v>
      </c>
      <c r="P170" s="514" t="e">
        <f>Calculation!ET173</f>
        <v>#N/A</v>
      </c>
      <c r="Q170" s="498">
        <f>Calculation!DF173</f>
        <v>48781.6500001151</v>
      </c>
      <c r="R170" s="500">
        <f t="shared" si="34"/>
        <v>47561.6500001151</v>
      </c>
      <c r="S170" s="498">
        <f t="shared" si="39"/>
        <v>144.95000000000437</v>
      </c>
      <c r="T170" s="498">
        <f ca="1">IF(A170&gt;$A$1,#N/A,VLOOKUP(A170,Calculation!$B$8:$IV$881,30,FALSE))</f>
        <v>18167.668680167575</v>
      </c>
      <c r="U170" s="498">
        <f t="shared" si="35"/>
        <v>0</v>
      </c>
      <c r="V170" s="498">
        <f>Calculation!AP173</f>
        <v>0</v>
      </c>
      <c r="W170" s="498">
        <f t="shared" ca="1" si="45"/>
        <v>5000</v>
      </c>
      <c r="X170" s="498">
        <v>0</v>
      </c>
      <c r="Y170" s="744">
        <f t="shared" ca="1" si="36"/>
        <v>2500</v>
      </c>
      <c r="Z170" s="748">
        <f t="shared" ca="1" si="37"/>
        <v>2500</v>
      </c>
      <c r="AA170" s="498">
        <f t="shared" ca="1" si="40"/>
        <v>25613.981319947525</v>
      </c>
      <c r="AB170" s="501">
        <f t="shared" ca="1" si="41"/>
        <v>24393.981319947525</v>
      </c>
      <c r="AC170" s="498" t="e">
        <f ca="1">IF(A170&gt;$A$1,#N/A,VLOOKUP(A170,Calculation!$B$8:$IV$881,155,FALSE))</f>
        <v>#N/A</v>
      </c>
      <c r="AD170" s="498" t="e">
        <f t="shared" ca="1" si="42"/>
        <v>#N/A</v>
      </c>
      <c r="AE170" s="498"/>
      <c r="AF170" s="501">
        <f>Calculation!G173</f>
        <v>2359.7629853756953</v>
      </c>
      <c r="AG170" s="498" t="str">
        <f t="shared" si="43"/>
        <v>Yes</v>
      </c>
      <c r="AH170" s="498" t="str">
        <f t="shared" si="44"/>
        <v>Yes</v>
      </c>
      <c r="AK170" s="738">
        <v>44827.000000107044</v>
      </c>
      <c r="AL170" s="738">
        <v>49981.080000117254</v>
      </c>
      <c r="AM170" s="740">
        <v>50886.440000119539</v>
      </c>
      <c r="AR170" s="552">
        <f t="shared" ca="1" si="46"/>
        <v>40595.054324161138</v>
      </c>
      <c r="AS170" s="523">
        <f ca="1">IF(Summary!A170&lt;Calculation!FT173,FORECAST(20000,A164:A170,T164:T170),0)</f>
        <v>40712.787713278783</v>
      </c>
      <c r="AT170" s="581">
        <f>Calculation!AR173*3.068</f>
        <v>8263.1466666666747</v>
      </c>
      <c r="AU170" s="575">
        <f ca="1">Calculation!DA173</f>
        <v>2673.4182179751247</v>
      </c>
      <c r="AV170" s="575">
        <f>Calculation!CF173*3.068</f>
        <v>3374.9686844146627</v>
      </c>
      <c r="AW170" s="582">
        <f>Calculation!BK173*3.068</f>
        <v>3856.1351111111121</v>
      </c>
      <c r="AX170" s="813">
        <f t="shared" si="47"/>
        <v>40602</v>
      </c>
      <c r="AY170" s="813">
        <f>IF(Summary!A170&lt;Calculation!FT173,FORECAST(8333.33,A164:A170,AT164:AT170),0)</f>
        <v>40702.849353595724</v>
      </c>
      <c r="AZ170" s="534">
        <f t="shared" ca="1" si="48"/>
        <v>40556.122700371634</v>
      </c>
      <c r="BA170" s="536">
        <f ca="1">IF(Summary!A170&lt;Calculation!FT173,FORECAST(3888.89,A164:A170,AU164:AU170),0)</f>
        <v>40768.319726952825</v>
      </c>
      <c r="BB170" s="826">
        <f t="shared" si="49"/>
        <v>40590.829818702085</v>
      </c>
      <c r="BC170" s="827">
        <f>IF(Summary!A170&lt;Calculation!FT173,FORECAST(3888.89,A164:A170,AV164:AV170),0)</f>
        <v>40718.938938201922</v>
      </c>
      <c r="BD170" s="844">
        <f t="shared" si="50"/>
        <v>40602</v>
      </c>
      <c r="BE170" s="847">
        <f>IF(Summary!A170&lt;Calculation!FT173,FORECAST(3888.89,A164:A170,AW164:AW170),0)</f>
        <v>40702.84942274959</v>
      </c>
    </row>
    <row r="171" spans="1:57" ht="12" thickBot="1">
      <c r="A171" s="513">
        <v>40703</v>
      </c>
      <c r="B171" s="498">
        <f t="shared" si="38"/>
        <v>99.456629999990099</v>
      </c>
      <c r="C171" s="498">
        <f>Calculation!AA174</f>
        <v>85.771825685444483</v>
      </c>
      <c r="D171" s="498">
        <f>Calculation!Y174</f>
        <v>0</v>
      </c>
      <c r="E171" s="498">
        <f>Calculation!U174</f>
        <v>51.499629999990091</v>
      </c>
      <c r="F171" s="498">
        <f>Calculation!V174</f>
        <v>47.957000000000001</v>
      </c>
      <c r="G171" s="498">
        <f>Calculation!W174</f>
        <v>0</v>
      </c>
      <c r="H171" s="500">
        <f>Sheet1!H174</f>
        <v>2.6</v>
      </c>
      <c r="I171" s="501">
        <f>Sheet1!CW174</f>
        <v>2710.9375</v>
      </c>
      <c r="J171" s="501">
        <f>Sheet1!CX174</f>
        <v>2041.9791666666667</v>
      </c>
      <c r="K171" s="501">
        <f>Sheet1!CV174</f>
        <v>2098.3333333333335</v>
      </c>
      <c r="L171" s="501">
        <f>Calculation!F174</f>
        <v>250</v>
      </c>
      <c r="M171" s="501">
        <f>Calculation!E174</f>
        <v>250</v>
      </c>
      <c r="N171" s="501">
        <f>Calculation!D174</f>
        <v>300</v>
      </c>
      <c r="O171" s="500">
        <f>Sheet1!CY174</f>
        <v>1165.48</v>
      </c>
      <c r="P171" s="514" t="e">
        <f>Calculation!ET174</f>
        <v>#N/A</v>
      </c>
      <c r="Q171" s="498">
        <f>Calculation!DF174</f>
        <v>48748.200000115095</v>
      </c>
      <c r="R171" s="500">
        <f t="shared" si="34"/>
        <v>47528.200000115095</v>
      </c>
      <c r="S171" s="498">
        <f t="shared" si="39"/>
        <v>-33.450000000004366</v>
      </c>
      <c r="T171" s="498">
        <f ca="1">IF(A171&gt;$A$1,#N/A,VLOOKUP(A171,Calculation!$B$8:$IV$881,30,FALSE))</f>
        <v>18440.711232694062</v>
      </c>
      <c r="U171" s="498">
        <f t="shared" si="35"/>
        <v>0</v>
      </c>
      <c r="V171" s="498">
        <f>Calculation!AP174</f>
        <v>0</v>
      </c>
      <c r="W171" s="498">
        <f t="shared" ca="1" si="45"/>
        <v>5000</v>
      </c>
      <c r="X171" s="498">
        <v>0</v>
      </c>
      <c r="Y171" s="744">
        <f t="shared" ca="1" si="36"/>
        <v>2500</v>
      </c>
      <c r="Z171" s="748">
        <f t="shared" ca="1" si="37"/>
        <v>2500</v>
      </c>
      <c r="AA171" s="498">
        <f t="shared" ca="1" si="40"/>
        <v>25307.488767421033</v>
      </c>
      <c r="AB171" s="501">
        <f t="shared" ca="1" si="41"/>
        <v>24087.488767421033</v>
      </c>
      <c r="AC171" s="498" t="e">
        <f ca="1">IF(A171&gt;$A$1,#N/A,VLOOKUP(A171,Calculation!$B$8:$IV$881,155,FALSE))</f>
        <v>#N/A</v>
      </c>
      <c r="AD171" s="498" t="e">
        <f t="shared" ca="1" si="42"/>
        <v>#N/A</v>
      </c>
      <c r="AE171" s="498"/>
      <c r="AF171" s="501">
        <f>Calculation!G174</f>
        <v>2081.4649520927865</v>
      </c>
      <c r="AG171" s="498" t="str">
        <f t="shared" si="43"/>
        <v>Yes</v>
      </c>
      <c r="AH171" s="498" t="str">
        <f t="shared" si="44"/>
        <v>Yes</v>
      </c>
      <c r="AK171" s="738">
        <v>45182.860000108492</v>
      </c>
      <c r="AL171" s="738">
        <v>50658.840000119286</v>
      </c>
      <c r="AM171" s="740">
        <v>50704.360000119283</v>
      </c>
      <c r="AR171" s="552">
        <f t="shared" ca="1" si="46"/>
        <v>40601.994717939175</v>
      </c>
      <c r="AS171" s="523">
        <f ca="1">IF(Summary!A171&lt;Calculation!FT174,FORECAST(20000,A165:A171,T165:T171),0)</f>
        <v>40711.850804496367</v>
      </c>
      <c r="AT171" s="581">
        <f>Calculation!AR174*3.068</f>
        <v>8333.3333333333321</v>
      </c>
      <c r="AU171" s="575">
        <f ca="1">Calculation!DA174</f>
        <v>2752.3217832502792</v>
      </c>
      <c r="AV171" s="575">
        <f>Calculation!CF174*3.068</f>
        <v>3466.1672272215656</v>
      </c>
      <c r="AW171" s="582">
        <f>Calculation!BK174*3.068</f>
        <v>3888.8888888888882</v>
      </c>
      <c r="AX171" s="813">
        <f t="shared" si="47"/>
        <v>40600.459194731025</v>
      </c>
      <c r="AY171" s="813">
        <f>IF(Summary!A171&lt;Calculation!FT174,FORECAST(8333.33,A165:A171,AT165:AT171),0)</f>
        <v>40702.916646317004</v>
      </c>
      <c r="AZ171" s="534">
        <f t="shared" ca="1" si="48"/>
        <v>40604.223686474259</v>
      </c>
      <c r="BA171" s="536">
        <f ca="1">IF(Summary!A171&lt;Calculation!FT174,FORECAST(3888.89,A165:A171,AU165:AU171),0)</f>
        <v>40745.01575700807</v>
      </c>
      <c r="BB171" s="826">
        <f t="shared" si="49"/>
        <v>40614.453880802241</v>
      </c>
      <c r="BC171" s="827">
        <f>IF(Summary!A171&lt;Calculation!FT174,FORECAST(3888.89,A165:A171,AV165:AV171),0)</f>
        <v>40714.576799473434</v>
      </c>
      <c r="BD171" s="844">
        <f t="shared" si="50"/>
        <v>40600.459194731025</v>
      </c>
      <c r="BE171" s="847">
        <f>IF(Summary!A171&lt;Calculation!FT174,FORECAST(3888.89,A165:A171,AW165:AW171),0)</f>
        <v>40702.916716573571</v>
      </c>
    </row>
    <row r="172" spans="1:57" ht="12" thickBot="1">
      <c r="A172" s="513">
        <v>40704</v>
      </c>
      <c r="B172" s="498">
        <f t="shared" si="38"/>
        <v>99.394750000022498</v>
      </c>
      <c r="C172" s="498">
        <f>Calculation!AA175</f>
        <v>85.247128015613455</v>
      </c>
      <c r="D172" s="498">
        <f>Calculation!Y175</f>
        <v>0</v>
      </c>
      <c r="E172" s="498">
        <f>Calculation!U175</f>
        <v>51.360400000018004</v>
      </c>
      <c r="F172" s="498">
        <f>Calculation!V175</f>
        <v>48.034350000004501</v>
      </c>
      <c r="G172" s="498">
        <f>Calculation!W175</f>
        <v>0</v>
      </c>
      <c r="H172" s="500">
        <f>Sheet1!H175</f>
        <v>2.75</v>
      </c>
      <c r="I172" s="501">
        <f>Sheet1!CW175</f>
        <v>2326.4583333333335</v>
      </c>
      <c r="J172" s="501">
        <f>Sheet1!CX175</f>
        <v>1602.7083333333333</v>
      </c>
      <c r="K172" s="501">
        <f>Sheet1!CV175</f>
        <v>1670.4166666666667</v>
      </c>
      <c r="L172" s="501">
        <f>Calculation!F175</f>
        <v>250</v>
      </c>
      <c r="M172" s="501">
        <f>Calculation!E175</f>
        <v>250</v>
      </c>
      <c r="N172" s="501">
        <f>Calculation!D175</f>
        <v>300</v>
      </c>
      <c r="O172" s="500">
        <f>Sheet1!CY175</f>
        <v>1165.8</v>
      </c>
      <c r="P172" s="514" t="e">
        <f>Calculation!ET175</f>
        <v>#N/A</v>
      </c>
      <c r="Q172" s="498">
        <f>Calculation!DF175</f>
        <v>49105.000000115353</v>
      </c>
      <c r="R172" s="500">
        <f t="shared" si="34"/>
        <v>47885.000000115353</v>
      </c>
      <c r="S172" s="498">
        <f t="shared" si="39"/>
        <v>356.80000000025757</v>
      </c>
      <c r="T172" s="498">
        <f ca="1">IF(A172&gt;$A$1,#N/A,VLOOKUP(A172,Calculation!$B$8:$IV$881,30,FALSE))</f>
        <v>18609.772763884692</v>
      </c>
      <c r="U172" s="498">
        <f t="shared" si="35"/>
        <v>0</v>
      </c>
      <c r="V172" s="498">
        <f>Calculation!AP175</f>
        <v>0</v>
      </c>
      <c r="W172" s="498">
        <f t="shared" ca="1" si="45"/>
        <v>5000</v>
      </c>
      <c r="X172" s="498">
        <v>0</v>
      </c>
      <c r="Y172" s="744">
        <f t="shared" ca="1" si="36"/>
        <v>2500</v>
      </c>
      <c r="Z172" s="748">
        <f t="shared" ca="1" si="37"/>
        <v>2500</v>
      </c>
      <c r="AA172" s="498">
        <f t="shared" ca="1" si="40"/>
        <v>25495.227236230661</v>
      </c>
      <c r="AB172" s="501">
        <f t="shared" ca="1" si="41"/>
        <v>24275.227236230661</v>
      </c>
      <c r="AC172" s="498" t="e">
        <f ca="1">IF(A172&gt;$A$1,#N/A,VLOOKUP(A172,Calculation!$B$8:$IV$881,155,FALSE))</f>
        <v>#N/A</v>
      </c>
      <c r="AD172" s="498" t="e">
        <f t="shared" ca="1" si="42"/>
        <v>#N/A</v>
      </c>
      <c r="AE172" s="498"/>
      <c r="AF172" s="501">
        <f>Calculation!G175</f>
        <v>1850.3460665659393</v>
      </c>
      <c r="AG172" s="498" t="str">
        <f t="shared" si="43"/>
        <v>Yes</v>
      </c>
      <c r="AH172" s="498" t="str">
        <f t="shared" si="44"/>
        <v>Yes</v>
      </c>
      <c r="AK172" s="738">
        <v>44998.92000010825</v>
      </c>
      <c r="AL172" s="738">
        <v>51398.5400001198</v>
      </c>
      <c r="AM172" s="740">
        <v>50863.680000119282</v>
      </c>
      <c r="AR172" s="552">
        <f t="shared" ca="1" si="46"/>
        <v>40605.790960632345</v>
      </c>
      <c r="AS172" s="523">
        <f ca="1">IF(Summary!A172&lt;Calculation!FT175,FORECAST(20000,A166:A172,T166:T172),0)</f>
        <v>40711.420512150231</v>
      </c>
      <c r="AT172" s="581">
        <f>Calculation!AR175*3.068</f>
        <v>8333.3333333333321</v>
      </c>
      <c r="AU172" s="575">
        <f ca="1">Calculation!DA175</f>
        <v>2830.0658713569787</v>
      </c>
      <c r="AV172" s="575">
        <f>Calculation!CF175*3.068</f>
        <v>3557.484670305495</v>
      </c>
      <c r="AW172" s="582">
        <f>Calculation!BK175*3.068</f>
        <v>3888.8888888888882</v>
      </c>
      <c r="AX172" s="813">
        <f t="shared" si="47"/>
        <v>40590.069722006563</v>
      </c>
      <c r="AY172" s="813">
        <f>IF(Summary!A172&lt;Calculation!FT175,FORECAST(8333.33,A166:A172,AT166:AT172),0)</f>
        <v>40703.284793627347</v>
      </c>
      <c r="AZ172" s="534">
        <f t="shared" ca="1" si="48"/>
        <v>40635.083904849067</v>
      </c>
      <c r="BA172" s="536">
        <f ca="1">IF(Summary!A172&lt;Calculation!FT175,FORECAST(3888.89,A166:A172,AU166:AU172),0)</f>
        <v>40730.700408720419</v>
      </c>
      <c r="BB172" s="826">
        <f t="shared" si="49"/>
        <v>40635.917386218884</v>
      </c>
      <c r="BC172" s="827">
        <f>IF(Summary!A172&lt;Calculation!FT175,FORECAST(3888.89,A166:A172,AV166:AV172),0)</f>
        <v>40711.010133008778</v>
      </c>
      <c r="BD172" s="844">
        <f t="shared" si="50"/>
        <v>40590.06972200657</v>
      </c>
      <c r="BE172" s="847">
        <f>IF(Summary!A172&lt;Calculation!FT175,FORECAST(3888.89,A166:A172,AW166:AW172),0)</f>
        <v>40703.284871260577</v>
      </c>
    </row>
    <row r="173" spans="1:57" ht="12" thickBot="1">
      <c r="A173" s="513">
        <v>40705</v>
      </c>
      <c r="B173" s="498">
        <f t="shared" si="38"/>
        <v>99.549449999975238</v>
      </c>
      <c r="C173" s="498">
        <f>Calculation!AA176</f>
        <v>84.966816453925915</v>
      </c>
      <c r="D173" s="498">
        <f>Calculation!Y176</f>
        <v>0</v>
      </c>
      <c r="E173" s="498">
        <f>Calculation!U176</f>
        <v>51.515099999981992</v>
      </c>
      <c r="F173" s="498">
        <f>Calculation!V176</f>
        <v>48.034349999993246</v>
      </c>
      <c r="G173" s="498">
        <f>Calculation!W176</f>
        <v>0</v>
      </c>
      <c r="H173" s="500">
        <f>Sheet1!H176</f>
        <v>2.75</v>
      </c>
      <c r="I173" s="501">
        <f>Sheet1!CW176</f>
        <v>1932.1875</v>
      </c>
      <c r="J173" s="501">
        <f>Sheet1!CX176</f>
        <v>1374.5833333333333</v>
      </c>
      <c r="K173" s="501">
        <f>Sheet1!CV176</f>
        <v>1478.75</v>
      </c>
      <c r="L173" s="501">
        <f>Calculation!F176</f>
        <v>250</v>
      </c>
      <c r="M173" s="501">
        <f>Calculation!E176</f>
        <v>250</v>
      </c>
      <c r="N173" s="501">
        <f>Calculation!D176</f>
        <v>300</v>
      </c>
      <c r="O173" s="500">
        <f>Sheet1!CY176</f>
        <v>1166.24</v>
      </c>
      <c r="P173" s="514" t="e">
        <f>Calculation!ET176</f>
        <v>#N/A</v>
      </c>
      <c r="Q173" s="498">
        <f>Calculation!DF176</f>
        <v>49598.240000117003</v>
      </c>
      <c r="R173" s="500">
        <f t="shared" si="34"/>
        <v>48378.240000117003</v>
      </c>
      <c r="S173" s="498">
        <f t="shared" si="39"/>
        <v>493.24000000164961</v>
      </c>
      <c r="T173" s="498">
        <f ca="1">IF(A173&gt;$A$1,#N/A,VLOOKUP(A173,Calculation!$B$8:$IV$881,30,FALSE))</f>
        <v>18778.278383070632</v>
      </c>
      <c r="U173" s="498">
        <f t="shared" si="35"/>
        <v>0</v>
      </c>
      <c r="V173" s="498">
        <f>Calculation!AP176</f>
        <v>0</v>
      </c>
      <c r="W173" s="498">
        <f t="shared" ca="1" si="45"/>
        <v>5000</v>
      </c>
      <c r="X173" s="498">
        <v>0</v>
      </c>
      <c r="Y173" s="744">
        <f t="shared" ca="1" si="36"/>
        <v>2500</v>
      </c>
      <c r="Z173" s="748">
        <f t="shared" ca="1" si="37"/>
        <v>2500</v>
      </c>
      <c r="AA173" s="498">
        <f t="shared" ca="1" si="40"/>
        <v>25819.961617046371</v>
      </c>
      <c r="AB173" s="501">
        <f t="shared" ca="1" si="41"/>
        <v>24599.961617046371</v>
      </c>
      <c r="AC173" s="498" t="e">
        <f ca="1">IF(A173&gt;$A$1,#N/A,VLOOKUP(A173,Calculation!$B$8:$IV$881,155,FALSE))</f>
        <v>#N/A</v>
      </c>
      <c r="AD173" s="498" t="e">
        <f t="shared" ca="1" si="42"/>
        <v>#N/A</v>
      </c>
      <c r="AE173" s="498"/>
      <c r="AF173" s="501">
        <f>Calculation!G176</f>
        <v>1727.4842410497477</v>
      </c>
      <c r="AG173" s="498" t="str">
        <f t="shared" si="43"/>
        <v>Yes</v>
      </c>
      <c r="AH173" s="498" t="str">
        <f t="shared" si="44"/>
        <v>Yes</v>
      </c>
      <c r="AK173" s="738">
        <v>45940.260000109236</v>
      </c>
      <c r="AL173" s="738">
        <v>52074.580000121743</v>
      </c>
      <c r="AM173" s="740">
        <v>50863.680000119282</v>
      </c>
      <c r="AR173" s="552">
        <f t="shared" ca="1" si="46"/>
        <v>40607.457151370152</v>
      </c>
      <c r="AS173" s="523">
        <f ca="1">IF(Summary!A173&lt;Calculation!FT176,FORECAST(20000,A167:A173,T167:T173),0)</f>
        <v>40711.286012315599</v>
      </c>
      <c r="AT173" s="581">
        <f>Calculation!AR176*3.068</f>
        <v>8333.3333333333321</v>
      </c>
      <c r="AU173" s="575">
        <f ca="1">Calculation!DA176</f>
        <v>2907.4168048509573</v>
      </c>
      <c r="AV173" s="575">
        <f>Calculation!CF176*3.068</f>
        <v>3648.6393559974531</v>
      </c>
      <c r="AW173" s="582">
        <f>Calculation!BK176*3.068</f>
        <v>3888.8888888888882</v>
      </c>
      <c r="AX173" s="813">
        <f t="shared" si="47"/>
        <v>40570.608393329421</v>
      </c>
      <c r="AY173" s="813">
        <f>IF(Summary!A173&lt;Calculation!FT176,FORECAST(8333.33,A167:A173,AT167:AT173),0)</f>
        <v>40703.772634694418</v>
      </c>
      <c r="AZ173" s="534">
        <f t="shared" ca="1" si="48"/>
        <v>40650.696409155418</v>
      </c>
      <c r="BA173" s="536">
        <f ca="1">IF(Summary!A173&lt;Calculation!FT176,FORECAST(3888.89,A167:A173,AU167:AU173),0)</f>
        <v>40723.917720257879</v>
      </c>
      <c r="BB173" s="826">
        <f t="shared" si="49"/>
        <v>40649.206348501277</v>
      </c>
      <c r="BC173" s="827">
        <f>IF(Summary!A173&lt;Calculation!FT176,FORECAST(3888.89,A167:A173,AV167:AV173),0)</f>
        <v>40709.116258517446</v>
      </c>
      <c r="BD173" s="844">
        <f t="shared" si="50"/>
        <v>40570.608393329421</v>
      </c>
      <c r="BE173" s="847">
        <f>IF(Summary!A173&lt;Calculation!FT176,FORECAST(3888.89,A167:A173,AW167:AW173),0)</f>
        <v>40703.772726007068</v>
      </c>
    </row>
    <row r="174" spans="1:57" ht="12" thickBot="1">
      <c r="A174" s="513">
        <v>40706</v>
      </c>
      <c r="B174" s="498">
        <f t="shared" si="38"/>
        <v>99.162700000020251</v>
      </c>
      <c r="C174" s="498">
        <f>Calculation!AA177</f>
        <v>85.092992328766414</v>
      </c>
      <c r="D174" s="498">
        <f>Calculation!Y177</f>
        <v>0</v>
      </c>
      <c r="E174" s="498">
        <f>Calculation!U177</f>
        <v>51.360400000018004</v>
      </c>
      <c r="F174" s="498">
        <f>Calculation!V177</f>
        <v>47.802300000002248</v>
      </c>
      <c r="G174" s="498">
        <f>Calculation!W177</f>
        <v>0</v>
      </c>
      <c r="H174" s="500">
        <f>Sheet1!H177</f>
        <v>2.87</v>
      </c>
      <c r="I174" s="501">
        <f>Sheet1!CW177</f>
        <v>1905.8333333333333</v>
      </c>
      <c r="J174" s="501">
        <f>Sheet1!CX177</f>
        <v>1373.0208333333333</v>
      </c>
      <c r="K174" s="501">
        <f>Sheet1!CV177</f>
        <v>1479.1666666666667</v>
      </c>
      <c r="L174" s="501">
        <f>Calculation!F177</f>
        <v>250</v>
      </c>
      <c r="M174" s="501">
        <f>Calculation!E177</f>
        <v>250</v>
      </c>
      <c r="N174" s="501">
        <f>Calculation!D177</f>
        <v>300</v>
      </c>
      <c r="O174" s="500">
        <f>Sheet1!CY177</f>
        <v>1166.4000000000001</v>
      </c>
      <c r="P174" s="514" t="e">
        <f>Calculation!ET177</f>
        <v>#N/A</v>
      </c>
      <c r="Q174" s="498">
        <f>Calculation!DF177</f>
        <v>49778.400000117261</v>
      </c>
      <c r="R174" s="500">
        <f t="shared" si="34"/>
        <v>48558.400000117261</v>
      </c>
      <c r="S174" s="498">
        <f t="shared" si="39"/>
        <v>180.16000000025815</v>
      </c>
      <c r="T174" s="498">
        <f ca="1">IF(A174&gt;$A$1,#N/A,VLOOKUP(A174,Calculation!$B$8:$IV$881,30,FALSE))</f>
        <v>18947.034233403312</v>
      </c>
      <c r="U174" s="498">
        <f t="shared" si="35"/>
        <v>0</v>
      </c>
      <c r="V174" s="498">
        <f>Calculation!AP177</f>
        <v>0</v>
      </c>
      <c r="W174" s="498">
        <f t="shared" ca="1" si="45"/>
        <v>5000</v>
      </c>
      <c r="X174" s="498">
        <v>0</v>
      </c>
      <c r="Y174" s="744">
        <f t="shared" ca="1" si="36"/>
        <v>2500</v>
      </c>
      <c r="Z174" s="748">
        <f t="shared" ca="1" si="37"/>
        <v>2500</v>
      </c>
      <c r="AA174" s="498">
        <f t="shared" ca="1" si="40"/>
        <v>25831.365766713949</v>
      </c>
      <c r="AB174" s="501">
        <f t="shared" ca="1" si="41"/>
        <v>24611.365766713949</v>
      </c>
      <c r="AC174" s="498" t="e">
        <f ca="1">IF(A174&gt;$A$1,#N/A,VLOOKUP(A174,Calculation!$B$8:$IV$881,155,FALSE))</f>
        <v>#N/A</v>
      </c>
      <c r="AD174" s="498" t="e">
        <f t="shared" ca="1" si="42"/>
        <v>#N/A</v>
      </c>
      <c r="AE174" s="498"/>
      <c r="AF174" s="501">
        <f>Calculation!G177</f>
        <v>1570.0189107414312</v>
      </c>
      <c r="AG174" s="498" t="str">
        <f t="shared" si="43"/>
        <v>Yes</v>
      </c>
      <c r="AH174" s="498" t="str">
        <f t="shared" si="44"/>
        <v>Yes</v>
      </c>
      <c r="AK174" s="738">
        <v>46201.810000110592</v>
      </c>
      <c r="AL174" s="738">
        <v>52672.060000122263</v>
      </c>
      <c r="AM174" s="740">
        <v>50499.520000119024</v>
      </c>
      <c r="AR174" s="552">
        <f t="shared" ca="1" si="46"/>
        <v>40607.388457872788</v>
      </c>
      <c r="AS174" s="523">
        <f ca="1">IF(Summary!A174&lt;Calculation!FT177,FORECAST(20000,A168:A174,T168:T174),0)</f>
        <v>40711.339643449224</v>
      </c>
      <c r="AT174" s="581">
        <f>Calculation!AR177*3.068</f>
        <v>8333.3333333333321</v>
      </c>
      <c r="AU174" s="575">
        <f ca="1">Calculation!DA177</f>
        <v>2984.8067746356919</v>
      </c>
      <c r="AV174" s="575">
        <f>Calculation!CF177*3.068</f>
        <v>3740.0052365453985</v>
      </c>
      <c r="AW174" s="582">
        <f>Calculation!BK177*3.068</f>
        <v>3888.8888888888882</v>
      </c>
      <c r="AX174" s="813">
        <f t="shared" si="47"/>
        <v>40536.354913969764</v>
      </c>
      <c r="AY174" s="813">
        <f>IF(Summary!A174&lt;Calculation!FT177,FORECAST(8333.33,A168:A174,AT168:AT174),0)</f>
        <v>40704.320007677794</v>
      </c>
      <c r="AZ174" s="534">
        <f t="shared" ca="1" si="48"/>
        <v>40659.497264121914</v>
      </c>
      <c r="BA174" s="536">
        <f ca="1">IF(Summary!A174&lt;Calculation!FT177,FORECAST(3888.89,A168:A174,AU168:AU174),0)</f>
        <v>40720.41532539382</v>
      </c>
      <c r="BB174" s="826">
        <f t="shared" si="49"/>
        <v>40657.334531375003</v>
      </c>
      <c r="BC174" s="827">
        <f>IF(Summary!A174&lt;Calculation!FT177,FORECAST(3888.89,A168:A174,AV168:AV174),0)</f>
        <v>40708.187655335292</v>
      </c>
      <c r="BD174" s="844">
        <f t="shared" si="50"/>
        <v>40536.354913969772</v>
      </c>
      <c r="BE174" s="847">
        <f>IF(Summary!A174&lt;Calculation!FT177,FORECAST(3888.89,A168:A174,AW168:AW174),0)</f>
        <v>40704.320122853904</v>
      </c>
    </row>
    <row r="175" spans="1:57" ht="12" thickBot="1">
      <c r="A175" s="513">
        <v>40707</v>
      </c>
      <c r="B175" s="498">
        <f t="shared" si="38"/>
        <v>100.40029999999099</v>
      </c>
      <c r="C175" s="498">
        <f>Calculation!AA178</f>
        <v>84.603742455224904</v>
      </c>
      <c r="D175" s="498">
        <f>Calculation!Y178</f>
        <v>0</v>
      </c>
      <c r="E175" s="498">
        <f>Calculation!U178</f>
        <v>51.205699999986493</v>
      </c>
      <c r="F175" s="498">
        <f>Calculation!V178</f>
        <v>49.194600000004499</v>
      </c>
      <c r="G175" s="498">
        <f>Calculation!W178</f>
        <v>0</v>
      </c>
      <c r="H175" s="500">
        <f>Sheet1!H178</f>
        <v>2.72</v>
      </c>
      <c r="I175" s="501">
        <f>Sheet1!CW178</f>
        <v>1870.625</v>
      </c>
      <c r="J175" s="501">
        <f>Sheet1!CX178</f>
        <v>1322.2916666666667</v>
      </c>
      <c r="K175" s="501">
        <f>Sheet1!CV178</f>
        <v>1427.0833333333333</v>
      </c>
      <c r="L175" s="501">
        <f>Calculation!F178</f>
        <v>250</v>
      </c>
      <c r="M175" s="501">
        <f>Calculation!E178</f>
        <v>250</v>
      </c>
      <c r="N175" s="501">
        <f>Calculation!D178</f>
        <v>300</v>
      </c>
      <c r="O175" s="500">
        <f>Sheet1!CY178</f>
        <v>1166.57</v>
      </c>
      <c r="P175" s="514" t="e">
        <f>Calculation!ET178</f>
        <v>#N/A</v>
      </c>
      <c r="Q175" s="498">
        <f>Calculation!DF178</f>
        <v>49969.820000117259</v>
      </c>
      <c r="R175" s="500">
        <f t="shared" si="34"/>
        <v>48749.820000117259</v>
      </c>
      <c r="S175" s="498">
        <f t="shared" si="39"/>
        <v>191.41999999999825</v>
      </c>
      <c r="T175" s="498">
        <f ca="1">IF(A175&gt;$A$1,#N/A,VLOOKUP(A175,Calculation!$B$8:$IV$881,30,FALSE))</f>
        <v>19114.819806675856</v>
      </c>
      <c r="U175" s="498">
        <f t="shared" si="35"/>
        <v>0</v>
      </c>
      <c r="V175" s="498">
        <f>Calculation!AP178</f>
        <v>0</v>
      </c>
      <c r="W175" s="498">
        <f t="shared" ca="1" si="45"/>
        <v>5000</v>
      </c>
      <c r="X175" s="498">
        <v>0</v>
      </c>
      <c r="Y175" s="744">
        <f t="shared" ca="1" si="36"/>
        <v>2500</v>
      </c>
      <c r="Z175" s="748">
        <f t="shared" ca="1" si="37"/>
        <v>2500</v>
      </c>
      <c r="AA175" s="498">
        <f t="shared" ca="1" si="40"/>
        <v>25855.000193441403</v>
      </c>
      <c r="AB175" s="501">
        <f t="shared" ca="1" si="41"/>
        <v>24635.000193441403</v>
      </c>
      <c r="AC175" s="498" t="e">
        <f ca="1">IF(A175&gt;$A$1,#N/A,VLOOKUP(A175,Calculation!$B$8:$IV$881,155,FALSE))</f>
        <v>#N/A</v>
      </c>
      <c r="AD175" s="498" t="e">
        <f t="shared" ca="1" si="42"/>
        <v>#N/A</v>
      </c>
      <c r="AE175" s="498"/>
      <c r="AF175" s="501">
        <f>Calculation!G178</f>
        <v>1523.6138426626314</v>
      </c>
      <c r="AG175" s="498" t="str">
        <f t="shared" si="43"/>
        <v>Yes</v>
      </c>
      <c r="AH175" s="498" t="str">
        <f t="shared" si="44"/>
        <v>Yes</v>
      </c>
      <c r="AK175" s="738">
        <v>46048.790000110341</v>
      </c>
      <c r="AL175" s="738">
        <v>52938.370000123803</v>
      </c>
      <c r="AM175" s="740">
        <v>50488.140000119027</v>
      </c>
      <c r="AR175" s="552">
        <f t="shared" ca="1" si="46"/>
        <v>40605.478079580032</v>
      </c>
      <c r="AS175" s="523">
        <f ca="1">IF(Summary!A175&lt;Calculation!FT178,FORECAST(20000,A169:A175,T169:T175),0)</f>
        <v>40711.533172438547</v>
      </c>
      <c r="AT175" s="581">
        <f>Calculation!AR178*3.068</f>
        <v>8333.3333333333321</v>
      </c>
      <c r="AU175" s="575">
        <f ca="1">Calculation!DA178</f>
        <v>3061.6309731899069</v>
      </c>
      <c r="AV175" s="575">
        <f>Calculation!CF178*3.068</f>
        <v>3830.9666112637306</v>
      </c>
      <c r="AW175" s="582">
        <f>Calculation!BK178*3.068</f>
        <v>3888.8888888888882</v>
      </c>
      <c r="AX175" s="813">
        <f t="shared" si="47"/>
        <v>40469.235893121608</v>
      </c>
      <c r="AY175" s="813">
        <f>IF(Summary!A175&lt;Calculation!FT178,FORECAST(8333.33,A169:A175,AT169:AT175),0)</f>
        <v>40704.900838907532</v>
      </c>
      <c r="AZ175" s="534">
        <f t="shared" ca="1" si="48"/>
        <v>40664.723179161585</v>
      </c>
      <c r="BA175" s="536">
        <f ca="1">IF(Summary!A175&lt;Calculation!FT178,FORECAST(3888.89,A169:A175,AU169:AU175),0)</f>
        <v>40718.547195159306</v>
      </c>
      <c r="BB175" s="826">
        <f t="shared" si="49"/>
        <v>40662.325478007493</v>
      </c>
      <c r="BC175" s="827">
        <f>IF(Summary!A175&lt;Calculation!FT178,FORECAST(3888.89,A169:A175,AV169:AV175),0)</f>
        <v>40707.772720454959</v>
      </c>
      <c r="BD175" s="844">
        <f t="shared" si="50"/>
        <v>40469.235893121622</v>
      </c>
      <c r="BE175" s="847">
        <f>IF(Summary!A175&lt;Calculation!FT178,FORECAST(3888.89,A169:A175,AW169:AW175),0)</f>
        <v>40704.901000506419</v>
      </c>
    </row>
    <row r="176" spans="1:57" ht="12" thickBot="1">
      <c r="A176" s="513">
        <v>40708</v>
      </c>
      <c r="B176" s="498">
        <f t="shared" si="38"/>
        <v>97.754930000003597</v>
      </c>
      <c r="C176" s="498">
        <f>Calculation!AA179</f>
        <v>85.527121095890408</v>
      </c>
      <c r="D176" s="498">
        <f>Calculation!Y179</f>
        <v>0</v>
      </c>
      <c r="E176" s="498">
        <f>Calculation!U179</f>
        <v>51.3449300000036</v>
      </c>
      <c r="F176" s="498">
        <f>Calculation!V179</f>
        <v>46.41</v>
      </c>
      <c r="G176" s="498">
        <f>Calculation!W179</f>
        <v>0</v>
      </c>
      <c r="H176" s="500">
        <f>Sheet1!H179</f>
        <v>2.42</v>
      </c>
      <c r="I176" s="501">
        <f>Sheet1!CW179</f>
        <v>1777.0833333333333</v>
      </c>
      <c r="J176" s="501">
        <f>Sheet1!CX179</f>
        <v>1208.125</v>
      </c>
      <c r="K176" s="501">
        <f>Sheet1!CV179</f>
        <v>1322.9166666666667</v>
      </c>
      <c r="L176" s="501">
        <f>Calculation!F179</f>
        <v>250</v>
      </c>
      <c r="M176" s="501">
        <f>Calculation!E179</f>
        <v>250</v>
      </c>
      <c r="N176" s="501">
        <f>Calculation!D179</f>
        <v>300</v>
      </c>
      <c r="O176" s="500">
        <f>Sheet1!CY179</f>
        <v>1166.83</v>
      </c>
      <c r="P176" s="514" t="e">
        <f>Calculation!ET179</f>
        <v>#N/A</v>
      </c>
      <c r="Q176" s="498">
        <f>Calculation!DF179</f>
        <v>50262.580000117516</v>
      </c>
      <c r="R176" s="500">
        <f t="shared" si="34"/>
        <v>49042.580000117516</v>
      </c>
      <c r="S176" s="498">
        <f t="shared" si="39"/>
        <v>292.7600000002567</v>
      </c>
      <c r="T176" s="498">
        <f ca="1">IF(A176&gt;$A$1,#N/A,VLOOKUP(A176,Calculation!$B$8:$IV$881,30,FALSE))</f>
        <v>19250.766067392993</v>
      </c>
      <c r="U176" s="498">
        <f t="shared" si="35"/>
        <v>0</v>
      </c>
      <c r="V176" s="498">
        <f>Calculation!AP179</f>
        <v>0</v>
      </c>
      <c r="W176" s="498">
        <f t="shared" ca="1" si="45"/>
        <v>5000</v>
      </c>
      <c r="X176" s="498">
        <v>0</v>
      </c>
      <c r="Y176" s="744">
        <f t="shared" ca="1" si="36"/>
        <v>2500</v>
      </c>
      <c r="Z176" s="748">
        <f t="shared" ca="1" si="37"/>
        <v>2500</v>
      </c>
      <c r="AA176" s="498">
        <f t="shared" ca="1" si="40"/>
        <v>26011.813932724523</v>
      </c>
      <c r="AB176" s="501">
        <f t="shared" ca="1" si="41"/>
        <v>24791.813932724523</v>
      </c>
      <c r="AC176" s="498" t="e">
        <f ca="1">IF(A176&gt;$A$1,#N/A,VLOOKUP(A176,Calculation!$B$8:$IV$881,155,FALSE))</f>
        <v>#N/A</v>
      </c>
      <c r="AD176" s="498" t="e">
        <f t="shared" ca="1" si="42"/>
        <v>#N/A</v>
      </c>
      <c r="AE176" s="498"/>
      <c r="AF176" s="501">
        <f>Calculation!G179</f>
        <v>1470.551563288077</v>
      </c>
      <c r="AG176" s="498" t="str">
        <f t="shared" si="43"/>
        <v>Yes</v>
      </c>
      <c r="AH176" s="498" t="str">
        <f t="shared" si="44"/>
        <v>Yes</v>
      </c>
      <c r="AK176" s="738">
        <v>46354.830000110589</v>
      </c>
      <c r="AL176" s="738">
        <v>52223.950000121746</v>
      </c>
      <c r="AM176" s="740">
        <v>50545.040000119028</v>
      </c>
      <c r="AR176" s="552">
        <f t="shared" ca="1" si="46"/>
        <v>40599.498776929751</v>
      </c>
      <c r="AS176" s="523">
        <f ca="1">IF(Summary!A176&lt;Calculation!FT179,FORECAST(20000,A170:A176,T170:T176),0)</f>
        <v>40711.982806770291</v>
      </c>
      <c r="AT176" s="581">
        <f>Calculation!AR179*3.068</f>
        <v>8333.3333333333321</v>
      </c>
      <c r="AU176" s="575">
        <f ca="1">Calculation!DA179</f>
        <v>3139.6549562818832</v>
      </c>
      <c r="AV176" s="575">
        <f>Calculation!CF179*3.068</f>
        <v>3888.8888888888882</v>
      </c>
      <c r="AW176" s="582">
        <f>Calculation!BK179*3.068</f>
        <v>3888.8888888888882</v>
      </c>
      <c r="AX176" s="813">
        <f t="shared" si="47"/>
        <v>40289.941489361649</v>
      </c>
      <c r="AY176" s="813">
        <f>IF(Summary!A176&lt;Calculation!FT179,FORECAST(8333.33,A170:A176,AT170:AT176),0)</f>
        <v>40705.499833776594</v>
      </c>
      <c r="AZ176" s="534">
        <f t="shared" ca="1" si="48"/>
        <v>40667.525892677411</v>
      </c>
      <c r="BA176" s="536">
        <f ca="1">IF(Summary!A176&lt;Calculation!FT179,FORECAST(3888.89,A170:A176,AU170:AU176),0)</f>
        <v>40717.656757006422</v>
      </c>
      <c r="BB176" s="826">
        <f t="shared" si="49"/>
        <v>40663.536905141824</v>
      </c>
      <c r="BC176" s="827">
        <f>IF(Summary!A176&lt;Calculation!FT179,FORECAST(3888.89,A170:A176,AV170:AV176),0)</f>
        <v>40707.787995617255</v>
      </c>
      <c r="BD176" s="844">
        <f t="shared" si="50"/>
        <v>40289.941489361678</v>
      </c>
      <c r="BE176" s="847">
        <f>IF(Summary!A176&lt;Calculation!FT179,FORECAST(3888.89,A170:A176,AW170:AW176),0)</f>
        <v>40705.500118730997</v>
      </c>
    </row>
    <row r="177" spans="1:57" ht="12" thickBot="1">
      <c r="A177" s="513">
        <v>40709</v>
      </c>
      <c r="B177" s="498">
        <f t="shared" si="38"/>
        <v>97.64664000000991</v>
      </c>
      <c r="C177" s="498">
        <f>Calculation!AA180</f>
        <v>85.060516637613134</v>
      </c>
      <c r="D177" s="498">
        <f>Calculation!Y180</f>
        <v>0</v>
      </c>
      <c r="E177" s="498">
        <f>Calculation!U180</f>
        <v>51.375870000009904</v>
      </c>
      <c r="F177" s="498">
        <f>Calculation!V180</f>
        <v>46.270769999999999</v>
      </c>
      <c r="G177" s="498">
        <f>Calculation!W180</f>
        <v>0</v>
      </c>
      <c r="H177" s="500">
        <f>Sheet1!H180</f>
        <v>2.58</v>
      </c>
      <c r="I177" s="501">
        <f>Sheet1!CW180</f>
        <v>1732.0833333333333</v>
      </c>
      <c r="J177" s="501">
        <f>Sheet1!CX180</f>
        <v>1258.5416666666667</v>
      </c>
      <c r="K177" s="501">
        <f>Sheet1!CV180</f>
        <v>1370</v>
      </c>
      <c r="L177" s="501">
        <f>Calculation!F180</f>
        <v>250</v>
      </c>
      <c r="M177" s="501">
        <f>Calculation!E180</f>
        <v>250</v>
      </c>
      <c r="N177" s="501">
        <f>Calculation!D180</f>
        <v>300</v>
      </c>
      <c r="O177" s="500">
        <f>Sheet1!CY180</f>
        <v>1167.07</v>
      </c>
      <c r="P177" s="514" t="e">
        <f>Calculation!ET180</f>
        <v>#N/A</v>
      </c>
      <c r="Q177" s="498">
        <f>Calculation!DF180</f>
        <v>50533.660000119031</v>
      </c>
      <c r="R177" s="500">
        <f t="shared" si="34"/>
        <v>49313.660000119031</v>
      </c>
      <c r="S177" s="498">
        <f t="shared" si="39"/>
        <v>271.08000000151515</v>
      </c>
      <c r="T177" s="498">
        <f ca="1">IF(A177&gt;$A$1,#N/A,VLOOKUP(A177,Calculation!$B$8:$IV$881,30,FALSE))</f>
        <v>20000</v>
      </c>
      <c r="U177" s="498">
        <f t="shared" si="35"/>
        <v>0</v>
      </c>
      <c r="V177" s="498">
        <f>Calculation!AP180</f>
        <v>0</v>
      </c>
      <c r="W177" s="498">
        <f t="shared" ca="1" si="45"/>
        <v>5000</v>
      </c>
      <c r="X177" s="498">
        <v>0</v>
      </c>
      <c r="Y177" s="744">
        <f t="shared" ca="1" si="36"/>
        <v>2500</v>
      </c>
      <c r="Z177" s="748">
        <f t="shared" ca="1" si="37"/>
        <v>2500</v>
      </c>
      <c r="AA177" s="498">
        <f t="shared" ca="1" si="40"/>
        <v>25533.660000119031</v>
      </c>
      <c r="AB177" s="501">
        <f t="shared" ca="1" si="41"/>
        <v>24313.660000119031</v>
      </c>
      <c r="AC177" s="498" t="e">
        <f ca="1">IF(A177&gt;$A$1,#N/A,VLOOKUP(A177,Calculation!$B$8:$IV$881,155,FALSE))</f>
        <v>#N/A</v>
      </c>
      <c r="AD177" s="498" t="e">
        <f t="shared" ca="1" si="42"/>
        <v>#N/A</v>
      </c>
      <c r="AE177" s="498"/>
      <c r="AF177" s="501">
        <f>Calculation!G180</f>
        <v>1506.7019667178592</v>
      </c>
      <c r="AG177" s="498" t="str">
        <f t="shared" si="43"/>
        <v>Yes</v>
      </c>
      <c r="AH177" s="498" t="str">
        <f t="shared" si="44"/>
        <v>Yes</v>
      </c>
      <c r="AK177" s="738">
        <v>46649.940000110844</v>
      </c>
      <c r="AL177" s="738">
        <v>51307.500000119799</v>
      </c>
      <c r="AM177" s="740">
        <v>50488.140000119027</v>
      </c>
      <c r="AR177" s="552">
        <f t="shared" ca="1" si="46"/>
        <v>40630.692338824832</v>
      </c>
      <c r="AS177" s="523">
        <f>IF(Summary!A177&lt;Calculation!FT180,FORECAST(20000,A171:A177,T171:T177),0)</f>
        <v>0</v>
      </c>
      <c r="AT177" s="581">
        <f>Calculation!AR180*3.068</f>
        <v>8333.3333333333321</v>
      </c>
      <c r="AU177" s="575">
        <f ca="1">Calculation!DA180</f>
        <v>3888.8888888888882</v>
      </c>
      <c r="AV177" s="575">
        <f>Calculation!CF180*3.068</f>
        <v>3888.8888888888882</v>
      </c>
      <c r="AW177" s="582">
        <f>Calculation!BK180*3.068</f>
        <v>3888.8888888888882</v>
      </c>
      <c r="AX177" s="813">
        <f t="shared" si="47"/>
        <v>40706</v>
      </c>
      <c r="AY177" s="813">
        <f>IF(Summary!A177&lt;Calculation!FT180,FORECAST(8333.33,A171:A177,AT171:AT177),0)</f>
        <v>0</v>
      </c>
      <c r="AZ177" s="534">
        <f t="shared" ca="1" si="48"/>
        <v>40691.134303116356</v>
      </c>
      <c r="BA177" s="536">
        <f>IF(Summary!A177&lt;Calculation!FT180,FORECAST(3888.89,A171:A177,AU171:AU177),0)</f>
        <v>0</v>
      </c>
      <c r="BB177" s="826">
        <f t="shared" si="49"/>
        <v>40658.574471978354</v>
      </c>
      <c r="BC177" s="827">
        <f>IF(Summary!A177&lt;Calculation!FT180,FORECAST(3888.89,A171:A177,AV171:AV177),0)</f>
        <v>0</v>
      </c>
      <c r="BD177" s="844">
        <f t="shared" si="50"/>
        <v>40706</v>
      </c>
      <c r="BE177" s="847">
        <f>IF(Summary!A177&lt;Calculation!FT180,FORECAST(3888.89,A171:A177,AW171:AW177),0)</f>
        <v>0</v>
      </c>
    </row>
    <row r="178" spans="1:57" ht="12" thickBot="1">
      <c r="A178" s="513">
        <v>40710</v>
      </c>
      <c r="B178" s="498">
        <f t="shared" si="38"/>
        <v>96.764849999999996</v>
      </c>
      <c r="C178" s="498">
        <f>Calculation!AA181</f>
        <v>0</v>
      </c>
      <c r="D178" s="498">
        <f>Calculation!Y181</f>
        <v>0</v>
      </c>
      <c r="E178" s="498">
        <f>Calculation!U181</f>
        <v>51.8245</v>
      </c>
      <c r="F178" s="498">
        <f>Calculation!V181</f>
        <v>44.940350000000002</v>
      </c>
      <c r="G178" s="498">
        <f>Calculation!W181</f>
        <v>0</v>
      </c>
      <c r="H178" s="500">
        <f>Sheet1!H181</f>
        <v>2.2999999999999998</v>
      </c>
      <c r="I178" s="501">
        <f>Sheet1!CW181</f>
        <v>1728.0208333333333</v>
      </c>
      <c r="J178" s="501">
        <f>Sheet1!CX181</f>
        <v>1193.5416666666667</v>
      </c>
      <c r="K178" s="501">
        <f>Sheet1!CV181</f>
        <v>1326.1111111111111</v>
      </c>
      <c r="L178" s="501">
        <f>Calculation!F181</f>
        <v>250</v>
      </c>
      <c r="M178" s="501">
        <f>Calculation!E181</f>
        <v>250</v>
      </c>
      <c r="N178" s="501">
        <f>Calculation!D181</f>
        <v>300</v>
      </c>
      <c r="O178" s="500">
        <f>Sheet1!CY181</f>
        <v>1167.1400000000001</v>
      </c>
      <c r="P178" s="514" t="e">
        <f>Calculation!ET181</f>
        <v>#N/A</v>
      </c>
      <c r="Q178" s="498">
        <f>Calculation!DF181</f>
        <v>50613.320000119289</v>
      </c>
      <c r="R178" s="500">
        <f t="shared" si="34"/>
        <v>49393.320000119289</v>
      </c>
      <c r="S178" s="498">
        <f t="shared" si="39"/>
        <v>79.660000000258151</v>
      </c>
      <c r="T178" s="498">
        <f ca="1">IF(A178&gt;$A$1,#N/A,VLOOKUP(A178,Calculation!$B$8:$IV$881,30,FALSE))</f>
        <v>20000</v>
      </c>
      <c r="U178" s="498">
        <f t="shared" si="35"/>
        <v>0</v>
      </c>
      <c r="V178" s="498">
        <f>Calculation!AP181</f>
        <v>0</v>
      </c>
      <c r="W178" s="498">
        <f t="shared" ca="1" si="45"/>
        <v>5000</v>
      </c>
      <c r="X178" s="498">
        <v>0</v>
      </c>
      <c r="Y178" s="744">
        <f t="shared" ca="1" si="36"/>
        <v>2500</v>
      </c>
      <c r="Z178" s="748">
        <f t="shared" ca="1" si="37"/>
        <v>2500</v>
      </c>
      <c r="AA178" s="498">
        <f t="shared" ca="1" si="40"/>
        <v>25613.320000119289</v>
      </c>
      <c r="AB178" s="501">
        <f t="shared" ca="1" si="41"/>
        <v>24393.320000119289</v>
      </c>
      <c r="AC178" s="498" t="e">
        <f ca="1">IF(A178&gt;$A$1,#N/A,VLOOKUP(A178,Calculation!$B$8:$IV$881,155,FALSE))</f>
        <v>#N/A</v>
      </c>
      <c r="AD178" s="498" t="e">
        <f t="shared" ca="1" si="42"/>
        <v>#N/A</v>
      </c>
      <c r="AE178" s="498"/>
      <c r="AF178" s="501">
        <f>Calculation!G181</f>
        <v>1366.2825684990376</v>
      </c>
      <c r="AG178" s="498" t="str">
        <f t="shared" si="43"/>
        <v>Yes</v>
      </c>
      <c r="AH178" s="498" t="str">
        <f t="shared" si="44"/>
        <v>Yes</v>
      </c>
      <c r="AK178" s="738">
        <v>46693.660000110838</v>
      </c>
      <c r="AL178" s="738">
        <v>50408.960000117768</v>
      </c>
      <c r="AM178" s="740">
        <v>50579.180000119028</v>
      </c>
      <c r="AR178" s="552">
        <f t="shared" ca="1" si="46"/>
        <v>40635.703304371316</v>
      </c>
      <c r="AS178" s="523">
        <f>IF(Summary!A178&lt;Calculation!FT181,FORECAST(20000,A172:A178,T172:T178),0)</f>
        <v>0</v>
      </c>
      <c r="AT178" s="581">
        <f>Calculation!AR181*3.068</f>
        <v>8333.3333333333321</v>
      </c>
      <c r="AU178" s="575">
        <f ca="1">Calculation!DA181</f>
        <v>3888.8888888888882</v>
      </c>
      <c r="AV178" s="575">
        <f>Calculation!CF181*3.068</f>
        <v>3888.8888888888882</v>
      </c>
      <c r="AW178" s="582">
        <f>Calculation!BK181*3.068</f>
        <v>3888.8888888888882</v>
      </c>
      <c r="AX178" s="813">
        <f t="shared" si="47"/>
        <v>40707</v>
      </c>
      <c r="AY178" s="813">
        <f>IF(Summary!A178&lt;Calculation!FT181,FORECAST(8333.33,A172:A178,AT172:AT178),0)</f>
        <v>0</v>
      </c>
      <c r="AZ178" s="534">
        <f t="shared" ca="1" si="48"/>
        <v>40693.015021783845</v>
      </c>
      <c r="BA178" s="536">
        <f>IF(Summary!A178&lt;Calculation!FT181,FORECAST(3888.89,A172:A178,AU172:AU178),0)</f>
        <v>0</v>
      </c>
      <c r="BB178" s="826">
        <f t="shared" si="49"/>
        <v>40649.408389073709</v>
      </c>
      <c r="BC178" s="827">
        <f>IF(Summary!A178&lt;Calculation!FT181,FORECAST(3888.89,A172:A178,AV172:AV178),0)</f>
        <v>0</v>
      </c>
      <c r="BD178" s="844">
        <f t="shared" si="50"/>
        <v>40707</v>
      </c>
      <c r="BE178" s="847">
        <f>IF(Summary!A178&lt;Calculation!FT181,FORECAST(3888.89,A172:A178,AW172:AW178),0)</f>
        <v>0</v>
      </c>
    </row>
    <row r="179" spans="1:57" ht="12" thickBot="1">
      <c r="A179" s="513">
        <v>40711</v>
      </c>
      <c r="B179" s="498">
        <f t="shared" si="38"/>
        <v>95.898529999985584</v>
      </c>
      <c r="C179" s="498">
        <f>Calculation!AA182</f>
        <v>0</v>
      </c>
      <c r="D179" s="498">
        <f>Calculation!Y182</f>
        <v>0</v>
      </c>
      <c r="E179" s="498">
        <f>Calculation!U182</f>
        <v>51.205699999986493</v>
      </c>
      <c r="F179" s="498">
        <f>Calculation!V182</f>
        <v>44.692829999999098</v>
      </c>
      <c r="G179" s="498">
        <f>Calculation!W182</f>
        <v>0</v>
      </c>
      <c r="H179" s="500">
        <f>Sheet1!H182</f>
        <v>2.1</v>
      </c>
      <c r="I179" s="501">
        <f>Sheet1!CW182</f>
        <v>1619.5833333333333</v>
      </c>
      <c r="J179" s="501">
        <f>Sheet1!CX182</f>
        <v>1163.0208333333333</v>
      </c>
      <c r="K179" s="501">
        <f>Sheet1!CV182</f>
        <v>1261.6666666666667</v>
      </c>
      <c r="L179" s="501">
        <f>Calculation!F182</f>
        <v>250</v>
      </c>
      <c r="M179" s="501">
        <f>Calculation!E182</f>
        <v>250</v>
      </c>
      <c r="N179" s="501">
        <f>Calculation!D182</f>
        <v>300</v>
      </c>
      <c r="O179" s="500">
        <f>Sheet1!CY182</f>
        <v>1167.04</v>
      </c>
      <c r="P179" s="514" t="e">
        <f>Calculation!ET182</f>
        <v>#N/A</v>
      </c>
      <c r="Q179" s="498">
        <f>Calculation!DF182</f>
        <v>50499.520000119024</v>
      </c>
      <c r="R179" s="500">
        <f t="shared" si="34"/>
        <v>49279.520000119024</v>
      </c>
      <c r="S179" s="498">
        <f t="shared" si="39"/>
        <v>-113.80000000026484</v>
      </c>
      <c r="T179" s="498">
        <f ca="1">IF(A179&gt;$A$1,#N/A,VLOOKUP(A179,Calculation!$B$8:$IV$881,30,FALSE))</f>
        <v>20000</v>
      </c>
      <c r="U179" s="498">
        <f t="shared" si="35"/>
        <v>0</v>
      </c>
      <c r="V179" s="498">
        <f>Calculation!AP182</f>
        <v>0</v>
      </c>
      <c r="W179" s="498">
        <f t="shared" ca="1" si="45"/>
        <v>5000</v>
      </c>
      <c r="X179" s="498">
        <v>0</v>
      </c>
      <c r="Y179" s="744">
        <f t="shared" ca="1" si="36"/>
        <v>2500</v>
      </c>
      <c r="Z179" s="748">
        <f t="shared" ca="1" si="37"/>
        <v>2500</v>
      </c>
      <c r="AA179" s="498">
        <f t="shared" ca="1" si="40"/>
        <v>25499.520000119024</v>
      </c>
      <c r="AB179" s="501">
        <f t="shared" ca="1" si="41"/>
        <v>24279.520000119024</v>
      </c>
      <c r="AC179" s="498" t="e">
        <f ca="1">IF(A179&gt;$A$1,#N/A,VLOOKUP(A179,Calculation!$B$8:$IV$881,155,FALSE))</f>
        <v>#N/A</v>
      </c>
      <c r="AD179" s="498" t="e">
        <f t="shared" ca="1" si="42"/>
        <v>#N/A</v>
      </c>
      <c r="AE179" s="498"/>
      <c r="AF179" s="501">
        <f>Calculation!G182</f>
        <v>1204.2788703982528</v>
      </c>
      <c r="AG179" s="498" t="str">
        <f t="shared" si="43"/>
        <v>Yes</v>
      </c>
      <c r="AH179" s="498" t="str">
        <f t="shared" si="44"/>
        <v>Yes</v>
      </c>
      <c r="AK179" s="738">
        <v>46912.260000111091</v>
      </c>
      <c r="AL179" s="738">
        <v>49541.940000117</v>
      </c>
      <c r="AM179" s="740">
        <v>50431.480000117772</v>
      </c>
      <c r="AR179" s="552">
        <f t="shared" ca="1" si="46"/>
        <v>40634.607013042812</v>
      </c>
      <c r="AS179" s="523">
        <f>IF(Summary!A179&lt;Calculation!FT182,FORECAST(20000,A173:A179,T173:T179),0)</f>
        <v>0</v>
      </c>
      <c r="AT179" s="581">
        <f>Calculation!AR182*3.068</f>
        <v>8333.3333333333321</v>
      </c>
      <c r="AU179" s="575">
        <f ca="1">Calculation!DA182</f>
        <v>3888.8888888888882</v>
      </c>
      <c r="AV179" s="575">
        <f>Calculation!CF182*3.068</f>
        <v>3888.8888888888882</v>
      </c>
      <c r="AW179" s="582">
        <f>Calculation!BK182*3.068</f>
        <v>3888.8888888888882</v>
      </c>
      <c r="AX179" s="813">
        <f t="shared" si="47"/>
        <v>40708</v>
      </c>
      <c r="AY179" s="813">
        <f>IF(Summary!A179&lt;Calculation!FT182,FORECAST(8333.33,A173:A179,AT173:AT179),0)</f>
        <v>0</v>
      </c>
      <c r="AZ179" s="534">
        <f t="shared" ca="1" si="48"/>
        <v>40693.587396743031</v>
      </c>
      <c r="BA179" s="536">
        <f>IF(Summary!A179&lt;Calculation!FT182,FORECAST(3888.89,A173:A179,AU173:AU179),0)</f>
        <v>0</v>
      </c>
      <c r="BB179" s="826">
        <f t="shared" si="49"/>
        <v>40632.713733100034</v>
      </c>
      <c r="BC179" s="827">
        <f>IF(Summary!A179&lt;Calculation!FT182,FORECAST(3888.89,A173:A179,AV173:AV179),0)</f>
        <v>0</v>
      </c>
      <c r="BD179" s="844">
        <f t="shared" si="50"/>
        <v>40708</v>
      </c>
      <c r="BE179" s="847">
        <f>IF(Summary!A179&lt;Calculation!FT182,FORECAST(3888.89,A173:A179,AW173:AW179),0)</f>
        <v>0</v>
      </c>
    </row>
    <row r="180" spans="1:57" ht="12" thickBot="1">
      <c r="A180" s="513">
        <v>40712</v>
      </c>
      <c r="B180" s="498">
        <f t="shared" si="38"/>
        <v>96.424510000013953</v>
      </c>
      <c r="C180" s="498">
        <f>Calculation!AA183</f>
        <v>0</v>
      </c>
      <c r="D180" s="498">
        <f>Calculation!Y183</f>
        <v>0</v>
      </c>
      <c r="E180" s="498">
        <f>Calculation!U183</f>
        <v>51.515100000004502</v>
      </c>
      <c r="F180" s="498">
        <f>Calculation!V183</f>
        <v>44.909410000009451</v>
      </c>
      <c r="G180" s="498">
        <f>Calculation!W183</f>
        <v>0</v>
      </c>
      <c r="H180" s="500">
        <f>Sheet1!H183</f>
        <v>2.2000000000000002</v>
      </c>
      <c r="I180" s="501">
        <f>Sheet1!CW183</f>
        <v>1801.5625</v>
      </c>
      <c r="J180" s="501">
        <f>Sheet1!CX183</f>
        <v>1250.9375</v>
      </c>
      <c r="K180" s="501">
        <f>Sheet1!CV183</f>
        <v>1348.2608695652175</v>
      </c>
      <c r="L180" s="501">
        <f>Calculation!F183</f>
        <v>250</v>
      </c>
      <c r="M180" s="501">
        <f>Calculation!E183</f>
        <v>250</v>
      </c>
      <c r="N180" s="501">
        <f>Calculation!D183</f>
        <v>300</v>
      </c>
      <c r="O180" s="500">
        <f>Sheet1!CY183</f>
        <v>1167.01</v>
      </c>
      <c r="P180" s="514" t="e">
        <f>Calculation!ET183</f>
        <v>#N/A</v>
      </c>
      <c r="Q180" s="498">
        <f>Calculation!DF183</f>
        <v>50465.380000119025</v>
      </c>
      <c r="R180" s="500">
        <f t="shared" si="34"/>
        <v>49245.380000119025</v>
      </c>
      <c r="S180" s="498">
        <f t="shared" si="39"/>
        <v>-34.139999999999418</v>
      </c>
      <c r="T180" s="498">
        <f ca="1">IF(A180&gt;$A$1,#N/A,VLOOKUP(A180,Calculation!$B$8:$IV$881,30,FALSE))</f>
        <v>20000</v>
      </c>
      <c r="U180" s="498">
        <f t="shared" si="35"/>
        <v>0</v>
      </c>
      <c r="V180" s="498">
        <f>Calculation!AP183</f>
        <v>0</v>
      </c>
      <c r="W180" s="498">
        <f t="shared" ca="1" si="45"/>
        <v>5000</v>
      </c>
      <c r="X180" s="498">
        <v>0</v>
      </c>
      <c r="Y180" s="744">
        <f t="shared" ca="1" si="36"/>
        <v>2500</v>
      </c>
      <c r="Z180" s="748">
        <f t="shared" ca="1" si="37"/>
        <v>2500</v>
      </c>
      <c r="AA180" s="498">
        <f t="shared" ca="1" si="40"/>
        <v>25465.380000119025</v>
      </c>
      <c r="AB180" s="501">
        <f t="shared" ca="1" si="41"/>
        <v>24245.380000119025</v>
      </c>
      <c r="AC180" s="498" t="e">
        <f ca="1">IF(A180&gt;$A$1,#N/A,VLOOKUP(A180,Calculation!$B$8:$IV$881,155,FALSE))</f>
        <v>#N/A</v>
      </c>
      <c r="AD180" s="498" t="e">
        <f t="shared" ca="1" si="42"/>
        <v>#N/A</v>
      </c>
      <c r="AE180" s="498"/>
      <c r="AF180" s="501">
        <f>Calculation!G183</f>
        <v>1331.0445306847337</v>
      </c>
      <c r="AG180" s="498" t="str">
        <f t="shared" si="43"/>
        <v>Yes</v>
      </c>
      <c r="AH180" s="498" t="str">
        <f t="shared" si="44"/>
        <v>Yes</v>
      </c>
      <c r="AK180" s="738">
        <v>47043.420000111335</v>
      </c>
      <c r="AL180" s="738">
        <v>48636.700000115095</v>
      </c>
      <c r="AM180" s="740">
        <v>50476.760000119029</v>
      </c>
      <c r="AR180" s="552">
        <f t="shared" ca="1" si="46"/>
        <v>40630.662214036172</v>
      </c>
      <c r="AS180" s="523">
        <f>IF(Summary!A180&lt;Calculation!FT183,FORECAST(20000,A174:A180,T174:T180),0)</f>
        <v>0</v>
      </c>
      <c r="AT180" s="581">
        <f>Calculation!AR183*3.068</f>
        <v>8333.3333333333321</v>
      </c>
      <c r="AU180" s="575">
        <f ca="1">Calculation!DA183</f>
        <v>3888.8888888888882</v>
      </c>
      <c r="AV180" s="575">
        <f>Calculation!CF183*3.068</f>
        <v>3888.8888888888882</v>
      </c>
      <c r="AW180" s="582">
        <f>Calculation!BK183*3.068</f>
        <v>3888.8888888888882</v>
      </c>
      <c r="AX180" s="813">
        <f t="shared" si="47"/>
        <v>40709</v>
      </c>
      <c r="AY180" s="813">
        <f>IF(Summary!A180&lt;Calculation!FT183,FORECAST(8333.33,A174:A180,AT174:AT180),0)</f>
        <v>0</v>
      </c>
      <c r="AZ180" s="534">
        <f t="shared" ca="1" si="48"/>
        <v>40693.728004908138</v>
      </c>
      <c r="BA180" s="536">
        <f>IF(Summary!A180&lt;Calculation!FT183,FORECAST(3888.89,A174:A180,AU174:AU180),0)</f>
        <v>0</v>
      </c>
      <c r="BB180" s="826">
        <f t="shared" si="49"/>
        <v>40597.166178381485</v>
      </c>
      <c r="BC180" s="827">
        <f>IF(Summary!A180&lt;Calculation!FT183,FORECAST(3888.89,A174:A180,AV174:AV180),0)</f>
        <v>0</v>
      </c>
      <c r="BD180" s="844">
        <f t="shared" si="50"/>
        <v>40709</v>
      </c>
      <c r="BE180" s="847">
        <f>IF(Summary!A180&lt;Calculation!FT183,FORECAST(3888.89,A174:A180,AW174:AW180),0)</f>
        <v>0</v>
      </c>
    </row>
    <row r="181" spans="1:57" ht="12" thickBot="1">
      <c r="A181" s="513">
        <v>40713</v>
      </c>
      <c r="B181" s="498">
        <f t="shared" si="38"/>
        <v>96.579209999999549</v>
      </c>
      <c r="C181" s="498">
        <f>Calculation!AA184</f>
        <v>0</v>
      </c>
      <c r="D181" s="498">
        <f>Calculation!Y184</f>
        <v>0</v>
      </c>
      <c r="E181" s="498">
        <f>Calculation!U184</f>
        <v>51.60792</v>
      </c>
      <c r="F181" s="498">
        <f>Calculation!V184</f>
        <v>44.971289999999549</v>
      </c>
      <c r="G181" s="498">
        <f>Calculation!W184</f>
        <v>0</v>
      </c>
      <c r="H181" s="500">
        <f>Sheet1!H184</f>
        <v>2.1</v>
      </c>
      <c r="I181" s="501">
        <f>Sheet1!CW184</f>
        <v>1862.0833333333333</v>
      </c>
      <c r="J181" s="501">
        <f>Sheet1!CX184</f>
        <v>1229.5833333333333</v>
      </c>
      <c r="K181" s="501">
        <f>Sheet1!CV184</f>
        <v>1312.1739130434783</v>
      </c>
      <c r="L181" s="501">
        <f>Calculation!F184</f>
        <v>250</v>
      </c>
      <c r="M181" s="501">
        <f>Calculation!E184</f>
        <v>250</v>
      </c>
      <c r="N181" s="501">
        <f>Calculation!D184</f>
        <v>300</v>
      </c>
      <c r="O181" s="500">
        <f>Sheet1!CY184</f>
        <v>1167.19</v>
      </c>
      <c r="P181" s="514" t="e">
        <f>Calculation!ET184</f>
        <v>#N/A</v>
      </c>
      <c r="Q181" s="498">
        <f>Calculation!DF184</f>
        <v>50670.220000119283</v>
      </c>
      <c r="R181" s="500">
        <f t="shared" si="34"/>
        <v>49450.220000119283</v>
      </c>
      <c r="S181" s="498">
        <f t="shared" si="39"/>
        <v>204.84000000025844</v>
      </c>
      <c r="T181" s="498">
        <f ca="1">IF(A181&gt;$A$1,#N/A,VLOOKUP(A181,Calculation!$B$8:$IV$881,30,FALSE))</f>
        <v>20000</v>
      </c>
      <c r="U181" s="498">
        <f t="shared" si="35"/>
        <v>0</v>
      </c>
      <c r="V181" s="498">
        <f>Calculation!AP184</f>
        <v>0</v>
      </c>
      <c r="W181" s="498">
        <f t="shared" ca="1" si="45"/>
        <v>5000</v>
      </c>
      <c r="X181" s="498">
        <v>0</v>
      </c>
      <c r="Y181" s="744">
        <f t="shared" ca="1" si="36"/>
        <v>2500</v>
      </c>
      <c r="Z181" s="748">
        <f t="shared" ca="1" si="37"/>
        <v>2500</v>
      </c>
      <c r="AA181" s="498">
        <f t="shared" ca="1" si="40"/>
        <v>25670.220000119283</v>
      </c>
      <c r="AB181" s="501">
        <f t="shared" ca="1" si="41"/>
        <v>24450.220000119283</v>
      </c>
      <c r="AC181" s="498" t="e">
        <f ca="1">IF(A181&gt;$A$1,#N/A,VLOOKUP(A181,Calculation!$B$8:$IV$881,155,FALSE))</f>
        <v>#N/A</v>
      </c>
      <c r="AD181" s="498" t="e">
        <f t="shared" ca="1" si="42"/>
        <v>#N/A</v>
      </c>
      <c r="AE181" s="498"/>
      <c r="AF181" s="501">
        <f>Calculation!G184</f>
        <v>1415.4719463265133</v>
      </c>
      <c r="AG181" s="498" t="str">
        <f t="shared" si="43"/>
        <v>Yes</v>
      </c>
      <c r="AH181" s="498" t="str">
        <f t="shared" si="44"/>
        <v>Yes</v>
      </c>
      <c r="AK181" s="738">
        <v>47054.350000111335</v>
      </c>
      <c r="AL181" s="738">
        <v>47782.440000112962</v>
      </c>
      <c r="AM181" s="740">
        <v>50556.420000119026</v>
      </c>
      <c r="AR181" s="552">
        <f t="shared" ca="1" si="46"/>
        <v>40624.759701364645</v>
      </c>
      <c r="AS181" s="523">
        <f>IF(Summary!A181&lt;Calculation!FT184,FORECAST(20000,A175:A181,T175:T181),0)</f>
        <v>0</v>
      </c>
      <c r="AT181" s="581">
        <f>Calculation!AR184*3.068</f>
        <v>8333.3333333333321</v>
      </c>
      <c r="AU181" s="575">
        <f ca="1">Calculation!DA184</f>
        <v>3888.8888888888882</v>
      </c>
      <c r="AV181" s="575">
        <f>Calculation!CF184*3.068</f>
        <v>3888.8888888888882</v>
      </c>
      <c r="AW181" s="582">
        <f>Calculation!BK184*3.068</f>
        <v>3888.8888888888882</v>
      </c>
      <c r="AX181" s="813">
        <f t="shared" si="47"/>
        <v>40710</v>
      </c>
      <c r="AY181" s="813">
        <f>IF(Summary!A181&lt;Calculation!FT184,FORECAST(8333.33,A175:A181,AT175:AT181),0)</f>
        <v>0</v>
      </c>
      <c r="AZ181" s="534">
        <f t="shared" ca="1" si="48"/>
        <v>40693.62752718501</v>
      </c>
      <c r="BA181" s="536">
        <f>IF(Summary!A181&lt;Calculation!FT184,FORECAST(3888.89,A175:A181,AU175:AU181),0)</f>
        <v>0</v>
      </c>
      <c r="BB181" s="826">
        <f t="shared" si="49"/>
        <v>40475.510775315241</v>
      </c>
      <c r="BC181" s="827">
        <f>IF(Summary!A181&lt;Calculation!FT184,FORECAST(3888.89,A175:A181,AV175:AV181),0)</f>
        <v>0</v>
      </c>
      <c r="BD181" s="844">
        <f t="shared" si="50"/>
        <v>40710</v>
      </c>
      <c r="BE181" s="847">
        <f>IF(Summary!A181&lt;Calculation!FT184,FORECAST(3888.89,A175:A181,AW175:AW181),0)</f>
        <v>0</v>
      </c>
    </row>
    <row r="182" spans="1:57" ht="12" thickBot="1">
      <c r="A182" s="513">
        <v>40714</v>
      </c>
      <c r="B182" s="498">
        <f t="shared" si="38"/>
        <v>92.201199999993236</v>
      </c>
      <c r="C182" s="498">
        <f>Calculation!AA185</f>
        <v>0</v>
      </c>
      <c r="D182" s="498">
        <f>Calculation!Y185</f>
        <v>0</v>
      </c>
      <c r="E182" s="498">
        <f>Calculation!U185</f>
        <v>51.515099999999997</v>
      </c>
      <c r="F182" s="498">
        <f>Calculation!V185</f>
        <v>40.686099999993246</v>
      </c>
      <c r="G182" s="498">
        <f>Calculation!W185</f>
        <v>0.97461000000157583</v>
      </c>
      <c r="H182" s="500">
        <f>Sheet1!H185</f>
        <v>1.78</v>
      </c>
      <c r="I182" s="501">
        <f>Sheet1!CW185</f>
        <v>1820.5208333333333</v>
      </c>
      <c r="J182" s="501">
        <f>Sheet1!CX185</f>
        <v>1261.7708333333333</v>
      </c>
      <c r="K182" s="501">
        <f>Sheet1!CV185</f>
        <v>1349.5652173913043</v>
      </c>
      <c r="L182" s="501">
        <f>Calculation!F185</f>
        <v>250</v>
      </c>
      <c r="M182" s="501">
        <f>Calculation!E185</f>
        <v>250</v>
      </c>
      <c r="N182" s="501">
        <f>Calculation!D185</f>
        <v>300</v>
      </c>
      <c r="O182" s="500">
        <f>Sheet1!CY185</f>
        <v>1167.19</v>
      </c>
      <c r="P182" s="514" t="e">
        <f>Calculation!ET185</f>
        <v>#N/A</v>
      </c>
      <c r="Q182" s="498">
        <f>Calculation!DF185</f>
        <v>50670.220000119283</v>
      </c>
      <c r="R182" s="500">
        <f t="shared" si="34"/>
        <v>49450.220000119283</v>
      </c>
      <c r="S182" s="498">
        <f t="shared" si="39"/>
        <v>0</v>
      </c>
      <c r="T182" s="498">
        <f ca="1">IF(A182&gt;$A$1,#N/A,VLOOKUP(A182,Calculation!$B$8:$IV$881,30,FALSE))</f>
        <v>20000</v>
      </c>
      <c r="U182" s="498">
        <f t="shared" si="35"/>
        <v>0</v>
      </c>
      <c r="V182" s="498">
        <f>Calculation!AP185</f>
        <v>0</v>
      </c>
      <c r="W182" s="498">
        <f t="shared" ca="1" si="45"/>
        <v>5000</v>
      </c>
      <c r="X182" s="498">
        <v>0</v>
      </c>
      <c r="Y182" s="744">
        <f t="shared" ca="1" si="36"/>
        <v>2500</v>
      </c>
      <c r="Z182" s="748">
        <f t="shared" ca="1" si="37"/>
        <v>2500</v>
      </c>
      <c r="AA182" s="498">
        <f t="shared" ca="1" si="40"/>
        <v>25670.220000119283</v>
      </c>
      <c r="AB182" s="501">
        <f t="shared" ca="1" si="41"/>
        <v>24450.220000119283</v>
      </c>
      <c r="AC182" s="498" t="e">
        <f ca="1">IF(A182&gt;$A$1,#N/A,VLOOKUP(A182,Calculation!$B$8:$IV$881,155,FALSE))</f>
        <v>#N/A</v>
      </c>
      <c r="AD182" s="498" t="e">
        <f t="shared" ca="1" si="42"/>
        <v>#N/A</v>
      </c>
      <c r="AE182" s="498"/>
      <c r="AF182" s="501">
        <f>Calculation!G185</f>
        <v>1349.5652173913043</v>
      </c>
      <c r="AG182" s="498" t="str">
        <f t="shared" si="43"/>
        <v>Yes</v>
      </c>
      <c r="AH182" s="498" t="str">
        <f t="shared" si="44"/>
        <v>Yes</v>
      </c>
      <c r="AK182" s="738">
        <v>47396.040000112705</v>
      </c>
      <c r="AL182" s="738">
        <v>47120.040000112458</v>
      </c>
      <c r="AM182" s="740">
        <v>50499.520000119024</v>
      </c>
      <c r="AR182" s="552">
        <f t="shared" ca="1" si="46"/>
        <v>40618.071236360811</v>
      </c>
      <c r="AS182" s="523">
        <f>IF(Summary!A182&lt;Calculation!FT185,FORECAST(20000,A176:A182,T176:T182),0)</f>
        <v>0</v>
      </c>
      <c r="AT182" s="581">
        <f>Calculation!AR185*3.068</f>
        <v>8333.3333333333321</v>
      </c>
      <c r="AU182" s="575">
        <f ca="1">Calculation!DA185</f>
        <v>3888.8888888888882</v>
      </c>
      <c r="AV182" s="575">
        <f>Calculation!CF185*3.068</f>
        <v>3888.8888888888882</v>
      </c>
      <c r="AW182" s="582">
        <f>Calculation!BK185*3.068</f>
        <v>3888.8888888888882</v>
      </c>
      <c r="AX182" s="813">
        <f t="shared" si="47"/>
        <v>40711</v>
      </c>
      <c r="AY182" s="813">
        <f>IF(Summary!A182&lt;Calculation!FT185,FORECAST(8333.33,A176:A182,AT176:AT182),0)</f>
        <v>0</v>
      </c>
      <c r="AZ182" s="534">
        <f t="shared" ca="1" si="48"/>
        <v>40693.333295959048</v>
      </c>
      <c r="BA182" s="536">
        <f>IF(Summary!A182&lt;Calculation!FT185,FORECAST(3888.89,A176:A182,AU176:AU182),0)</f>
        <v>0</v>
      </c>
      <c r="BB182" s="826">
        <f t="shared" si="49"/>
        <v>40711</v>
      </c>
      <c r="BC182" s="827">
        <f>IF(Summary!A182&lt;Calculation!FT185,FORECAST(3888.89,A176:A182,AV176:AV182),0)</f>
        <v>0</v>
      </c>
      <c r="BD182" s="844">
        <f t="shared" si="50"/>
        <v>40711</v>
      </c>
      <c r="BE182" s="847">
        <f>IF(Summary!A182&lt;Calculation!FT185,FORECAST(3888.89,A176:A182,AW176:AW182),0)</f>
        <v>0</v>
      </c>
    </row>
    <row r="183" spans="1:57" ht="12" thickBot="1">
      <c r="A183" s="513">
        <v>40715</v>
      </c>
      <c r="B183" s="498">
        <f t="shared" si="38"/>
        <v>82.563390000004048</v>
      </c>
      <c r="C183" s="498">
        <f>Calculation!AA186</f>
        <v>0</v>
      </c>
      <c r="D183" s="498">
        <f>Calculation!Y186</f>
        <v>0</v>
      </c>
      <c r="E183" s="498">
        <f>Calculation!U186</f>
        <v>51.778090000001797</v>
      </c>
      <c r="F183" s="498">
        <f>Calculation!V186</f>
        <v>30.785300000002248</v>
      </c>
      <c r="G183" s="498">
        <f>Calculation!W186</f>
        <v>0.17017000000090046</v>
      </c>
      <c r="H183" s="500">
        <f>Sheet1!H186</f>
        <v>1.7</v>
      </c>
      <c r="I183" s="501">
        <f>Sheet1!CW186</f>
        <v>1771.0416666666667</v>
      </c>
      <c r="J183" s="501">
        <f>Sheet1!CX186</f>
        <v>1166.9791666666667</v>
      </c>
      <c r="K183" s="501">
        <f>Sheet1!CV186</f>
        <v>1256.6666666666667</v>
      </c>
      <c r="L183" s="501">
        <f>Calculation!F186</f>
        <v>250</v>
      </c>
      <c r="M183" s="501">
        <f>Calculation!E186</f>
        <v>250</v>
      </c>
      <c r="N183" s="501">
        <f>Calculation!D186</f>
        <v>300</v>
      </c>
      <c r="O183" s="500">
        <f>Sheet1!CY186</f>
        <v>1167.2</v>
      </c>
      <c r="P183" s="514" t="e">
        <f>Calculation!ET186</f>
        <v>#N/A</v>
      </c>
      <c r="Q183" s="498">
        <f>Calculation!DF186</f>
        <v>50681.600000119281</v>
      </c>
      <c r="R183" s="500">
        <f t="shared" si="34"/>
        <v>49461.600000119281</v>
      </c>
      <c r="S183" s="498">
        <f t="shared" si="39"/>
        <v>11.379999999997381</v>
      </c>
      <c r="T183" s="498">
        <f ca="1">IF(A183&gt;$A$1,#N/A,VLOOKUP(A183,Calculation!$B$8:$IV$881,30,FALSE))</f>
        <v>20000</v>
      </c>
      <c r="U183" s="498">
        <f t="shared" si="35"/>
        <v>0</v>
      </c>
      <c r="V183" s="498">
        <f>Calculation!AP186</f>
        <v>0</v>
      </c>
      <c r="W183" s="498">
        <f t="shared" ca="1" si="45"/>
        <v>5000</v>
      </c>
      <c r="X183" s="498">
        <v>0</v>
      </c>
      <c r="Y183" s="744">
        <f t="shared" ca="1" si="36"/>
        <v>2500</v>
      </c>
      <c r="Z183" s="748">
        <f t="shared" ca="1" si="37"/>
        <v>2500</v>
      </c>
      <c r="AA183" s="498">
        <f t="shared" ca="1" si="40"/>
        <v>25681.600000119281</v>
      </c>
      <c r="AB183" s="501">
        <f t="shared" ca="1" si="41"/>
        <v>24461.600000119281</v>
      </c>
      <c r="AC183" s="498" t="e">
        <f ca="1">IF(A183&gt;$A$1,#N/A,VLOOKUP(A183,Calculation!$B$8:$IV$881,155,FALSE))</f>
        <v>#N/A</v>
      </c>
      <c r="AD183" s="498" t="e">
        <f t="shared" ca="1" si="42"/>
        <v>#N/A</v>
      </c>
      <c r="AE183" s="498"/>
      <c r="AF183" s="501">
        <f>Calculation!G186</f>
        <v>1262.4054462934935</v>
      </c>
      <c r="AG183" s="498" t="str">
        <f t="shared" si="43"/>
        <v>Yes</v>
      </c>
      <c r="AH183" s="498" t="str">
        <f t="shared" si="44"/>
        <v>Yes</v>
      </c>
      <c r="AK183" s="738">
        <v>47937.000000113214</v>
      </c>
      <c r="AL183" s="738">
        <v>46300.180000110595</v>
      </c>
      <c r="AM183" s="740">
        <v>50375.180000117769</v>
      </c>
      <c r="AR183" s="552" t="e">
        <f t="shared" ca="1" si="46"/>
        <v>#DIV/0!</v>
      </c>
      <c r="AS183" s="523">
        <f>IF(Summary!A183&lt;Calculation!FT186,FORECAST(20000,A177:A183,T177:T183),0)</f>
        <v>0</v>
      </c>
      <c r="AT183" s="581">
        <f>Calculation!AR186*3.068</f>
        <v>8333.3333333333321</v>
      </c>
      <c r="AU183" s="575">
        <f ca="1">Calculation!DA186</f>
        <v>3888.8888888888882</v>
      </c>
      <c r="AV183" s="575">
        <f>Calculation!CF186*3.068</f>
        <v>3888.8888888888882</v>
      </c>
      <c r="AW183" s="582">
        <f>Calculation!BK186*3.068</f>
        <v>3888.8888888888882</v>
      </c>
      <c r="AX183" s="813">
        <f t="shared" si="47"/>
        <v>40712</v>
      </c>
      <c r="AY183" s="813">
        <f>IF(Summary!A183&lt;Calculation!FT186,FORECAST(8333.33,A177:A183,AT177:AT183),0)</f>
        <v>0</v>
      </c>
      <c r="AZ183" s="534">
        <f t="shared" ca="1" si="48"/>
        <v>40712</v>
      </c>
      <c r="BA183" s="536">
        <f>IF(Summary!A183&lt;Calculation!FT186,FORECAST(3888.89,A177:A183,AU177:AU183),0)</f>
        <v>0</v>
      </c>
      <c r="BB183" s="826">
        <f t="shared" si="49"/>
        <v>40712</v>
      </c>
      <c r="BC183" s="827">
        <f>IF(Summary!A183&lt;Calculation!FT186,FORECAST(3888.89,A177:A183,AV177:AV183),0)</f>
        <v>0</v>
      </c>
      <c r="BD183" s="844">
        <f t="shared" si="50"/>
        <v>40712</v>
      </c>
      <c r="BE183" s="847">
        <f>IF(Summary!A183&lt;Calculation!FT186,FORECAST(3888.89,A177:A183,AW177:AW183),0)</f>
        <v>0</v>
      </c>
    </row>
    <row r="184" spans="1:57" ht="12" thickBot="1">
      <c r="A184" s="513">
        <v>40716</v>
      </c>
      <c r="B184" s="498">
        <f t="shared" si="38"/>
        <v>84.357909999975675</v>
      </c>
      <c r="C184" s="498">
        <f>Calculation!AA187</f>
        <v>0</v>
      </c>
      <c r="D184" s="498">
        <f>Calculation!Y187</f>
        <v>0</v>
      </c>
      <c r="E184" s="498">
        <f>Calculation!U187</f>
        <v>53.108509999980186</v>
      </c>
      <c r="F184" s="498">
        <f>Calculation!V187</f>
        <v>31.249399999995497</v>
      </c>
      <c r="G184" s="498">
        <f>Calculation!W187</f>
        <v>0</v>
      </c>
      <c r="H184" s="500">
        <f>Sheet1!H187</f>
        <v>1.6</v>
      </c>
      <c r="I184" s="501">
        <f>Sheet1!CW187</f>
        <v>1573.0208333333333</v>
      </c>
      <c r="J184" s="501">
        <f>Sheet1!CX187</f>
        <v>1091.9791666666667</v>
      </c>
      <c r="K184" s="501">
        <f>Sheet1!CV187</f>
        <v>1190.8695652173913</v>
      </c>
      <c r="L184" s="501">
        <f>Calculation!F187</f>
        <v>250</v>
      </c>
      <c r="M184" s="501">
        <f>Calculation!E187</f>
        <v>250</v>
      </c>
      <c r="N184" s="501">
        <f>Calculation!D187</f>
        <v>300</v>
      </c>
      <c r="O184" s="500">
        <f>Sheet1!CY187</f>
        <v>1167.3499999999999</v>
      </c>
      <c r="P184" s="514" t="e">
        <f>Calculation!ET187</f>
        <v>#N/A</v>
      </c>
      <c r="Q184" s="498">
        <f>Calculation!DF187</f>
        <v>50852.300000119285</v>
      </c>
      <c r="R184" s="500">
        <f t="shared" si="34"/>
        <v>49632.300000119285</v>
      </c>
      <c r="S184" s="498">
        <f t="shared" si="39"/>
        <v>170.70000000000437</v>
      </c>
      <c r="T184" s="498">
        <f ca="1">IF(A184&gt;$A$1,#N/A,VLOOKUP(A184,Calculation!$B$8:$IV$881,30,FALSE))</f>
        <v>20000</v>
      </c>
      <c r="U184" s="498">
        <f t="shared" si="35"/>
        <v>0</v>
      </c>
      <c r="V184" s="498">
        <f>Calculation!AP187</f>
        <v>0</v>
      </c>
      <c r="W184" s="498">
        <f t="shared" ca="1" si="45"/>
        <v>5000</v>
      </c>
      <c r="X184" s="498">
        <v>0</v>
      </c>
      <c r="Y184" s="744">
        <f t="shared" ca="1" si="36"/>
        <v>2500</v>
      </c>
      <c r="Z184" s="748">
        <f t="shared" ca="1" si="37"/>
        <v>2500</v>
      </c>
      <c r="AA184" s="498">
        <f t="shared" ca="1" si="40"/>
        <v>25852.300000119285</v>
      </c>
      <c r="AB184" s="501">
        <f t="shared" ca="1" si="41"/>
        <v>24632.300000119285</v>
      </c>
      <c r="AC184" s="498" t="e">
        <f ca="1">IF(A184&gt;$A$1,#N/A,VLOOKUP(A184,Calculation!$B$8:$IV$881,155,FALSE))</f>
        <v>#N/A</v>
      </c>
      <c r="AD184" s="498" t="e">
        <f t="shared" ca="1" si="42"/>
        <v>#N/A</v>
      </c>
      <c r="AE184" s="498"/>
      <c r="AF184" s="501">
        <f>Calculation!G187</f>
        <v>1276.951259619814</v>
      </c>
      <c r="AG184" s="498" t="str">
        <f t="shared" si="43"/>
        <v>Yes</v>
      </c>
      <c r="AH184" s="498" t="str">
        <f t="shared" si="44"/>
        <v>Yes</v>
      </c>
      <c r="AK184" s="738">
        <v>48781.6500001151</v>
      </c>
      <c r="AL184" s="738">
        <v>45312.700000108496</v>
      </c>
      <c r="AM184" s="740">
        <v>50330.140000117775</v>
      </c>
      <c r="AR184" s="552" t="e">
        <f t="shared" ca="1" si="46"/>
        <v>#DIV/0!</v>
      </c>
      <c r="AS184" s="523">
        <f>IF(Summary!A184&lt;Calculation!FT187,FORECAST(20000,A178:A184,T178:T184),0)</f>
        <v>0</v>
      </c>
      <c r="AT184" s="581">
        <f>Calculation!AR187*3.068</f>
        <v>8333.3333333333321</v>
      </c>
      <c r="AU184" s="575">
        <f ca="1">Calculation!DA187</f>
        <v>3888.8888888888882</v>
      </c>
      <c r="AV184" s="575">
        <f>Calculation!CF187*3.068</f>
        <v>3888.8888888888882</v>
      </c>
      <c r="AW184" s="582">
        <f>Calculation!BK187*3.068</f>
        <v>3888.8888888888882</v>
      </c>
      <c r="AX184" s="813">
        <f t="shared" si="47"/>
        <v>40713</v>
      </c>
      <c r="AY184" s="813">
        <f>IF(Summary!A184&lt;Calculation!FT187,FORECAST(8333.33,A178:A184,AT178:AT184),0)</f>
        <v>0</v>
      </c>
      <c r="AZ184" s="534">
        <f t="shared" ca="1" si="48"/>
        <v>40713</v>
      </c>
      <c r="BA184" s="536">
        <f>IF(Summary!A184&lt;Calculation!FT187,FORECAST(3888.89,A178:A184,AU178:AU184),0)</f>
        <v>0</v>
      </c>
      <c r="BB184" s="826">
        <f t="shared" si="49"/>
        <v>40713</v>
      </c>
      <c r="BC184" s="827">
        <f>IF(Summary!A184&lt;Calculation!FT187,FORECAST(3888.89,A178:A184,AV178:AV184),0)</f>
        <v>0</v>
      </c>
      <c r="BD184" s="844">
        <f t="shared" si="50"/>
        <v>40713</v>
      </c>
      <c r="BE184" s="847">
        <f>IF(Summary!A184&lt;Calculation!FT187,FORECAST(3888.89,A178:A184,AW178:AW184),0)</f>
        <v>0</v>
      </c>
    </row>
    <row r="185" spans="1:57" ht="12" thickBot="1">
      <c r="A185" s="513">
        <v>40717</v>
      </c>
      <c r="B185" s="498">
        <f t="shared" si="38"/>
        <v>82.888260000008998</v>
      </c>
      <c r="C185" s="498">
        <f>Calculation!AA188</f>
        <v>0</v>
      </c>
      <c r="D185" s="498">
        <f>Calculation!Y188</f>
        <v>0</v>
      </c>
      <c r="E185" s="498">
        <f>Calculation!U188</f>
        <v>51.979200000009001</v>
      </c>
      <c r="F185" s="498">
        <f>Calculation!V188</f>
        <v>30.90906</v>
      </c>
      <c r="G185" s="498">
        <f>Calculation!W188</f>
        <v>0</v>
      </c>
      <c r="H185" s="500">
        <f>Sheet1!H188</f>
        <v>1.6</v>
      </c>
      <c r="I185" s="501">
        <f>Sheet1!CW188</f>
        <v>1688.75</v>
      </c>
      <c r="J185" s="501">
        <f>Sheet1!CX188</f>
        <v>1234.2708333333333</v>
      </c>
      <c r="K185" s="501">
        <f>Sheet1!CV188</f>
        <v>1334.7826086956522</v>
      </c>
      <c r="L185" s="501">
        <f>Calculation!F188</f>
        <v>250</v>
      </c>
      <c r="M185" s="501">
        <f>Calculation!E188</f>
        <v>250</v>
      </c>
      <c r="N185" s="501">
        <f>Calculation!D188</f>
        <v>300</v>
      </c>
      <c r="O185" s="500">
        <f>Sheet1!CY188</f>
        <v>1167.24</v>
      </c>
      <c r="P185" s="514" t="e">
        <f>Calculation!ET188</f>
        <v>#N/A</v>
      </c>
      <c r="Q185" s="498">
        <f>Calculation!DF188</f>
        <v>50727.120000119285</v>
      </c>
      <c r="R185" s="500">
        <f t="shared" si="34"/>
        <v>49507.120000119285</v>
      </c>
      <c r="S185" s="498">
        <f t="shared" si="39"/>
        <v>-125.18000000000029</v>
      </c>
      <c r="T185" s="498">
        <f ca="1">IF(A185&gt;$A$1,#N/A,VLOOKUP(A185,Calculation!$B$8:$IV$881,30,FALSE))</f>
        <v>20000</v>
      </c>
      <c r="U185" s="498">
        <f t="shared" si="35"/>
        <v>0</v>
      </c>
      <c r="V185" s="498">
        <f>Calculation!AP188</f>
        <v>0</v>
      </c>
      <c r="W185" s="498">
        <f t="shared" ca="1" si="45"/>
        <v>5000</v>
      </c>
      <c r="X185" s="498">
        <v>0</v>
      </c>
      <c r="Y185" s="744">
        <f t="shared" ca="1" si="36"/>
        <v>2500</v>
      </c>
      <c r="Z185" s="748">
        <f t="shared" ca="1" si="37"/>
        <v>2500</v>
      </c>
      <c r="AA185" s="498">
        <f t="shared" ca="1" si="40"/>
        <v>25727.120000119285</v>
      </c>
      <c r="AB185" s="501">
        <f t="shared" ca="1" si="41"/>
        <v>24507.120000119285</v>
      </c>
      <c r="AC185" s="498" t="e">
        <f ca="1">IF(A185&gt;$A$1,#N/A,VLOOKUP(A185,Calculation!$B$8:$IV$881,155,FALSE))</f>
        <v>#N/A</v>
      </c>
      <c r="AD185" s="498" t="e">
        <f t="shared" ca="1" si="42"/>
        <v>#N/A</v>
      </c>
      <c r="AE185" s="498"/>
      <c r="AF185" s="501">
        <f>Calculation!G188</f>
        <v>1271.6560328005437</v>
      </c>
      <c r="AG185" s="498" t="str">
        <f t="shared" si="43"/>
        <v>Yes</v>
      </c>
      <c r="AH185" s="498" t="str">
        <f t="shared" si="44"/>
        <v>Yes</v>
      </c>
      <c r="AK185" s="738">
        <v>49418.080000116744</v>
      </c>
      <c r="AL185" s="738">
        <v>44420.400000106558</v>
      </c>
      <c r="AM185" s="740">
        <v>50341.40000011777</v>
      </c>
      <c r="AR185" s="552" t="e">
        <f t="shared" ca="1" si="46"/>
        <v>#DIV/0!</v>
      </c>
      <c r="AS185" s="523">
        <f>IF(Summary!A185&lt;Calculation!FT188,FORECAST(20000,A179:A185,T179:T185),0)</f>
        <v>0</v>
      </c>
      <c r="AT185" s="581">
        <f>Calculation!AR188*3.068</f>
        <v>8333.3333333333321</v>
      </c>
      <c r="AU185" s="575">
        <f ca="1">Calculation!DA188</f>
        <v>3888.8888888888882</v>
      </c>
      <c r="AV185" s="575">
        <f>Calculation!CF188*3.068</f>
        <v>3888.8888888888882</v>
      </c>
      <c r="AW185" s="582">
        <f>Calculation!BK188*3.068</f>
        <v>3888.8888888888882</v>
      </c>
      <c r="AX185" s="813">
        <f t="shared" si="47"/>
        <v>40714</v>
      </c>
      <c r="AY185" s="813">
        <f>IF(Summary!A185&lt;Calculation!FT188,FORECAST(8333.33,A179:A185,AT179:AT185),0)</f>
        <v>0</v>
      </c>
      <c r="AZ185" s="534">
        <f t="shared" ca="1" si="48"/>
        <v>40714</v>
      </c>
      <c r="BA185" s="536">
        <f>IF(Summary!A185&lt;Calculation!FT188,FORECAST(3888.89,A179:A185,AU179:AU185),0)</f>
        <v>0</v>
      </c>
      <c r="BB185" s="826">
        <f t="shared" si="49"/>
        <v>40714</v>
      </c>
      <c r="BC185" s="827">
        <f>IF(Summary!A185&lt;Calculation!FT188,FORECAST(3888.89,A179:A185,AV179:AV185),0)</f>
        <v>0</v>
      </c>
      <c r="BD185" s="844">
        <f t="shared" si="50"/>
        <v>40714</v>
      </c>
      <c r="BE185" s="847">
        <f>IF(Summary!A185&lt;Calculation!FT188,FORECAST(3888.89,A179:A185,AW179:AW185),0)</f>
        <v>0</v>
      </c>
    </row>
    <row r="186" spans="1:57" ht="12" thickBot="1">
      <c r="A186" s="513">
        <v>40718</v>
      </c>
      <c r="B186" s="498">
        <f t="shared" si="38"/>
        <v>85.286110000009899</v>
      </c>
      <c r="C186" s="498">
        <f>Calculation!AA189</f>
        <v>0</v>
      </c>
      <c r="D186" s="498">
        <f>Calculation!Y189</f>
        <v>0</v>
      </c>
      <c r="E186" s="498">
        <f>Calculation!U189</f>
        <v>51.762620000009903</v>
      </c>
      <c r="F186" s="498">
        <f>Calculation!V189</f>
        <v>33.523490000000002</v>
      </c>
      <c r="G186" s="498">
        <f>Calculation!W189</f>
        <v>0</v>
      </c>
      <c r="H186" s="500">
        <f>Sheet1!H189</f>
        <v>1.56</v>
      </c>
      <c r="I186" s="501">
        <f>Sheet1!CW189</f>
        <v>1735.5208333333333</v>
      </c>
      <c r="J186" s="501">
        <f>Sheet1!CX189</f>
        <v>1170.8333333333333</v>
      </c>
      <c r="K186" s="501">
        <f>Sheet1!CV189</f>
        <v>1266.0869565217392</v>
      </c>
      <c r="L186" s="501">
        <f>Calculation!F189</f>
        <v>250</v>
      </c>
      <c r="M186" s="501">
        <f>Calculation!E189</f>
        <v>250</v>
      </c>
      <c r="N186" s="501">
        <f>Calculation!D189</f>
        <v>300</v>
      </c>
      <c r="O186" s="500">
        <f>Sheet1!CY189</f>
        <v>1167.18</v>
      </c>
      <c r="P186" s="514" t="e">
        <f>Calculation!ET189</f>
        <v>#N/A</v>
      </c>
      <c r="Q186" s="498">
        <f>Calculation!DF189</f>
        <v>50658.840000119286</v>
      </c>
      <c r="R186" s="500">
        <f t="shared" si="34"/>
        <v>49438.840000119286</v>
      </c>
      <c r="S186" s="498">
        <f t="shared" si="39"/>
        <v>-68.279999999998836</v>
      </c>
      <c r="T186" s="498">
        <f ca="1">IF(A186&gt;$A$1,#N/A,VLOOKUP(A186,Calculation!$B$8:$IV$881,30,FALSE))</f>
        <v>20000</v>
      </c>
      <c r="U186" s="498">
        <f t="shared" si="35"/>
        <v>0</v>
      </c>
      <c r="V186" s="498">
        <f>Calculation!AP189</f>
        <v>0</v>
      </c>
      <c r="W186" s="498">
        <f t="shared" ca="1" si="45"/>
        <v>5000</v>
      </c>
      <c r="X186" s="498">
        <v>0</v>
      </c>
      <c r="Y186" s="744">
        <f t="shared" ca="1" si="36"/>
        <v>2500</v>
      </c>
      <c r="Z186" s="748">
        <f t="shared" ca="1" si="37"/>
        <v>2500</v>
      </c>
      <c r="AA186" s="498">
        <f t="shared" ca="1" si="40"/>
        <v>25658.840000119286</v>
      </c>
      <c r="AB186" s="501">
        <f t="shared" ca="1" si="41"/>
        <v>24438.840000119286</v>
      </c>
      <c r="AC186" s="498" t="e">
        <f ca="1">IF(A186&gt;$A$1,#N/A,VLOOKUP(A186,Calculation!$B$8:$IV$881,155,FALSE))</f>
        <v>#N/A</v>
      </c>
      <c r="AD186" s="498" t="e">
        <f t="shared" ca="1" si="42"/>
        <v>#N/A</v>
      </c>
      <c r="AE186" s="498"/>
      <c r="AF186" s="501">
        <f>Calculation!G189</f>
        <v>1231.6542787607716</v>
      </c>
      <c r="AG186" s="498" t="str">
        <f t="shared" si="43"/>
        <v>Yes</v>
      </c>
      <c r="AH186" s="498" t="str">
        <f t="shared" si="44"/>
        <v>Yes</v>
      </c>
      <c r="AK186" s="738">
        <v>49654.540000117006</v>
      </c>
      <c r="AL186" s="738">
        <v>43365.800000104602</v>
      </c>
      <c r="AM186" s="740">
        <v>50408.960000117768</v>
      </c>
      <c r="AR186" s="552" t="e">
        <f t="shared" ca="1" si="46"/>
        <v>#DIV/0!</v>
      </c>
      <c r="AS186" s="523">
        <f>IF(Summary!A186&lt;Calculation!FT189,FORECAST(20000,A180:A186,T180:T186),0)</f>
        <v>0</v>
      </c>
      <c r="AT186" s="581">
        <f>Calculation!AR189*3.068</f>
        <v>8333.3333333333321</v>
      </c>
      <c r="AU186" s="575">
        <f ca="1">Calculation!DA189</f>
        <v>3888.8888888888882</v>
      </c>
      <c r="AV186" s="575">
        <f>Calculation!CF189*3.068</f>
        <v>3888.8888888888882</v>
      </c>
      <c r="AW186" s="582">
        <f>Calculation!BK189*3.068</f>
        <v>3888.8888888888882</v>
      </c>
      <c r="AX186" s="813">
        <f t="shared" si="47"/>
        <v>40715</v>
      </c>
      <c r="AY186" s="813">
        <f>IF(Summary!A186&lt;Calculation!FT189,FORECAST(8333.33,A180:A186,AT180:AT186),0)</f>
        <v>0</v>
      </c>
      <c r="AZ186" s="534">
        <f t="shared" ca="1" si="48"/>
        <v>40715</v>
      </c>
      <c r="BA186" s="536">
        <f>IF(Summary!A186&lt;Calculation!FT189,FORECAST(3888.89,A180:A186,AU180:AU186),0)</f>
        <v>0</v>
      </c>
      <c r="BB186" s="826">
        <f t="shared" si="49"/>
        <v>40715</v>
      </c>
      <c r="BC186" s="827">
        <f>IF(Summary!A186&lt;Calculation!FT189,FORECAST(3888.89,A180:A186,AV180:AV186),0)</f>
        <v>0</v>
      </c>
      <c r="BD186" s="844">
        <f t="shared" si="50"/>
        <v>40715</v>
      </c>
      <c r="BE186" s="847">
        <f>IF(Summary!A186&lt;Calculation!FT189,FORECAST(3888.89,A180:A186,AW180:AW186),0)</f>
        <v>0</v>
      </c>
    </row>
    <row r="187" spans="1:57" ht="12" thickBot="1">
      <c r="A187" s="513">
        <v>40719</v>
      </c>
      <c r="B187" s="498">
        <f t="shared" si="38"/>
        <v>91.644279999985599</v>
      </c>
      <c r="C187" s="498">
        <f>Calculation!AA190</f>
        <v>0</v>
      </c>
      <c r="D187" s="498">
        <f>Calculation!Y190</f>
        <v>0</v>
      </c>
      <c r="E187" s="498">
        <f>Calculation!U190</f>
        <v>52.505179999981088</v>
      </c>
      <c r="F187" s="498">
        <f>Calculation!V190</f>
        <v>39.139100000004504</v>
      </c>
      <c r="G187" s="498">
        <f>Calculation!W190</f>
        <v>0</v>
      </c>
      <c r="H187" s="500">
        <f>Sheet1!H190</f>
        <v>1.44</v>
      </c>
      <c r="I187" s="501">
        <f>Sheet1!CW190</f>
        <v>1569.2708333333333</v>
      </c>
      <c r="J187" s="501">
        <f>Sheet1!CX190</f>
        <v>1042.8125</v>
      </c>
      <c r="K187" s="501">
        <f>Sheet1!CV190</f>
        <v>1160</v>
      </c>
      <c r="L187" s="501">
        <f>Calculation!F190</f>
        <v>250</v>
      </c>
      <c r="M187" s="501">
        <f>Calculation!E190</f>
        <v>250</v>
      </c>
      <c r="N187" s="501">
        <f>Calculation!D190</f>
        <v>300</v>
      </c>
      <c r="O187" s="500">
        <f>Sheet1!CY190</f>
        <v>1167.1400000000001</v>
      </c>
      <c r="P187" s="514" t="e">
        <f>Calculation!ET190</f>
        <v>#N/A</v>
      </c>
      <c r="Q187" s="498">
        <f>Calculation!DF190</f>
        <v>50613.320000119289</v>
      </c>
      <c r="R187" s="500">
        <f t="shared" si="34"/>
        <v>49393.320000119289</v>
      </c>
      <c r="S187" s="498">
        <f t="shared" si="39"/>
        <v>-45.519999999996799</v>
      </c>
      <c r="T187" s="498">
        <f ca="1">IF(A187&gt;$A$1,#N/A,VLOOKUP(A187,Calculation!$B$8:$IV$881,30,FALSE))</f>
        <v>20000</v>
      </c>
      <c r="U187" s="498">
        <f t="shared" si="35"/>
        <v>0</v>
      </c>
      <c r="V187" s="498">
        <f>Calculation!AP190</f>
        <v>0</v>
      </c>
      <c r="W187" s="498">
        <f t="shared" ca="1" si="45"/>
        <v>5000</v>
      </c>
      <c r="X187" s="498">
        <v>0</v>
      </c>
      <c r="Y187" s="744">
        <f t="shared" ca="1" si="36"/>
        <v>2500</v>
      </c>
      <c r="Z187" s="748">
        <f t="shared" ca="1" si="37"/>
        <v>2500</v>
      </c>
      <c r="AA187" s="498">
        <f t="shared" ca="1" si="40"/>
        <v>25613.320000119289</v>
      </c>
      <c r="AB187" s="501">
        <f t="shared" ca="1" si="41"/>
        <v>24393.320000119289</v>
      </c>
      <c r="AC187" s="498" t="e">
        <f ca="1">IF(A187&gt;$A$1,#N/A,VLOOKUP(A187,Calculation!$B$8:$IV$881,155,FALSE))</f>
        <v>#N/A</v>
      </c>
      <c r="AD187" s="498" t="e">
        <f t="shared" ca="1" si="42"/>
        <v>#N/A</v>
      </c>
      <c r="AE187" s="498"/>
      <c r="AF187" s="501">
        <f>Calculation!G190</f>
        <v>1137.0448814926895</v>
      </c>
      <c r="AG187" s="498" t="str">
        <f t="shared" si="43"/>
        <v>Yes</v>
      </c>
      <c r="AH187" s="498" t="str">
        <f t="shared" si="44"/>
        <v>Yes</v>
      </c>
      <c r="AK187" s="738">
        <v>49699.580000117006</v>
      </c>
      <c r="AL187" s="738">
        <v>42364.26000010236</v>
      </c>
      <c r="AM187" s="740">
        <v>50420.22000011777</v>
      </c>
      <c r="AR187" s="552" t="e">
        <f t="shared" ca="1" si="46"/>
        <v>#DIV/0!</v>
      </c>
      <c r="AS187" s="523">
        <f>IF(Summary!A187&lt;Calculation!FT190,FORECAST(20000,A181:A187,T181:T187),0)</f>
        <v>0</v>
      </c>
      <c r="AT187" s="581">
        <f>Calculation!AR190*3.068</f>
        <v>8333.3333333333321</v>
      </c>
      <c r="AU187" s="575">
        <f ca="1">Calculation!DA190</f>
        <v>3888.8888888888882</v>
      </c>
      <c r="AV187" s="575">
        <f>Calculation!CF190*3.068</f>
        <v>3888.8888888888882</v>
      </c>
      <c r="AW187" s="582">
        <f>Calculation!BK190*3.068</f>
        <v>3888.8888888888882</v>
      </c>
      <c r="AX187" s="813">
        <f t="shared" si="47"/>
        <v>40716</v>
      </c>
      <c r="AY187" s="813">
        <f>IF(Summary!A187&lt;Calculation!FT190,FORECAST(8333.33,A181:A187,AT181:AT187),0)</f>
        <v>0</v>
      </c>
      <c r="AZ187" s="534">
        <f t="shared" ca="1" si="48"/>
        <v>40716</v>
      </c>
      <c r="BA187" s="536">
        <f>IF(Summary!A187&lt;Calculation!FT190,FORECAST(3888.89,A181:A187,AU181:AU187),0)</f>
        <v>0</v>
      </c>
      <c r="BB187" s="826">
        <f t="shared" si="49"/>
        <v>40716</v>
      </c>
      <c r="BC187" s="827">
        <f>IF(Summary!A187&lt;Calculation!FT190,FORECAST(3888.89,A181:A187,AV181:AV187),0)</f>
        <v>0</v>
      </c>
      <c r="BD187" s="844">
        <f t="shared" si="50"/>
        <v>40716</v>
      </c>
      <c r="BE187" s="847">
        <f>IF(Summary!A187&lt;Calculation!FT190,FORECAST(3888.89,A181:A187,AW181:AW187),0)</f>
        <v>0</v>
      </c>
    </row>
    <row r="188" spans="1:57" ht="12" thickBot="1">
      <c r="A188" s="513">
        <v>40720</v>
      </c>
      <c r="B188" s="498">
        <f t="shared" si="38"/>
        <v>89.571300000013508</v>
      </c>
      <c r="C188" s="498">
        <f>Calculation!AA191</f>
        <v>0</v>
      </c>
      <c r="D188" s="498">
        <f>Calculation!Y191</f>
        <v>0</v>
      </c>
      <c r="E188" s="498">
        <f>Calculation!U191</f>
        <v>51.360400000018004</v>
      </c>
      <c r="F188" s="498">
        <f>Calculation!V191</f>
        <v>38.210899999995497</v>
      </c>
      <c r="G188" s="498">
        <f>Calculation!W191</f>
        <v>0</v>
      </c>
      <c r="H188" s="500">
        <f>Sheet1!H191</f>
        <v>1.56</v>
      </c>
      <c r="I188" s="501">
        <f>Sheet1!CW191</f>
        <v>1519.5833333333333</v>
      </c>
      <c r="J188" s="501">
        <f>Sheet1!CX191</f>
        <v>1041.0416666666667</v>
      </c>
      <c r="K188" s="501">
        <f>Sheet1!CV191</f>
        <v>1160</v>
      </c>
      <c r="L188" s="501">
        <f>Calculation!F191</f>
        <v>250</v>
      </c>
      <c r="M188" s="501">
        <f>Calculation!E191</f>
        <v>250</v>
      </c>
      <c r="N188" s="501">
        <f>Calculation!D191</f>
        <v>300</v>
      </c>
      <c r="O188" s="500">
        <f>Sheet1!CY191</f>
        <v>1166.9000000000001</v>
      </c>
      <c r="P188" s="514" t="e">
        <f>Calculation!ET191</f>
        <v>#N/A</v>
      </c>
      <c r="Q188" s="498">
        <f>Calculation!DF191</f>
        <v>50341.40000011777</v>
      </c>
      <c r="R188" s="500">
        <f t="shared" si="34"/>
        <v>49121.40000011777</v>
      </c>
      <c r="S188" s="498">
        <f t="shared" si="39"/>
        <v>-271.92000000151893</v>
      </c>
      <c r="T188" s="498">
        <f ca="1">IF(A188&gt;$A$1,#N/A,VLOOKUP(A188,Calculation!$B$8:$IV$881,30,FALSE))</f>
        <v>20000</v>
      </c>
      <c r="U188" s="498">
        <f t="shared" si="35"/>
        <v>0</v>
      </c>
      <c r="V188" s="498">
        <f>Calculation!AP191</f>
        <v>0</v>
      </c>
      <c r="W188" s="498">
        <f t="shared" ca="1" si="45"/>
        <v>5000</v>
      </c>
      <c r="X188" s="498">
        <v>0</v>
      </c>
      <c r="Y188" s="744">
        <f t="shared" ca="1" si="36"/>
        <v>2500</v>
      </c>
      <c r="Z188" s="748">
        <f t="shared" ca="1" si="37"/>
        <v>2500</v>
      </c>
      <c r="AA188" s="498">
        <f t="shared" ca="1" si="40"/>
        <v>25341.40000011777</v>
      </c>
      <c r="AB188" s="501">
        <f t="shared" ca="1" si="41"/>
        <v>24121.40000011777</v>
      </c>
      <c r="AC188" s="498" t="e">
        <f ca="1">IF(A188&gt;$A$1,#N/A,VLOOKUP(A188,Calculation!$B$8:$IV$881,155,FALSE))</f>
        <v>#N/A</v>
      </c>
      <c r="AD188" s="498" t="e">
        <f t="shared" ca="1" si="42"/>
        <v>#N/A</v>
      </c>
      <c r="AE188" s="498"/>
      <c r="AF188" s="501">
        <f>Calculation!G191</f>
        <v>1022.874432676995</v>
      </c>
      <c r="AG188" s="498" t="str">
        <f t="shared" si="43"/>
        <v>Yes</v>
      </c>
      <c r="AH188" s="498" t="str">
        <f t="shared" si="44"/>
        <v>Yes</v>
      </c>
      <c r="AK188" s="738">
        <v>49665.800000117008</v>
      </c>
      <c r="AL188" s="738">
        <v>41426.760000100199</v>
      </c>
      <c r="AM188" s="740">
        <v>50330.140000117775</v>
      </c>
      <c r="AR188" s="552" t="e">
        <f t="shared" ca="1" si="46"/>
        <v>#DIV/0!</v>
      </c>
      <c r="AS188" s="523">
        <f>IF(Summary!A188&lt;Calculation!FT191,FORECAST(20000,A182:A188,T182:T188),0)</f>
        <v>0</v>
      </c>
      <c r="AT188" s="581">
        <f>Calculation!AR191*3.068</f>
        <v>8333.3333333333321</v>
      </c>
      <c r="AU188" s="575">
        <f ca="1">Calculation!DA191</f>
        <v>3888.8888888888882</v>
      </c>
      <c r="AV188" s="575">
        <f>Calculation!CF191*3.068</f>
        <v>3888.8888888888882</v>
      </c>
      <c r="AW188" s="582">
        <f>Calculation!BK191*3.068</f>
        <v>3888.8888888888882</v>
      </c>
      <c r="AX188" s="813">
        <f t="shared" si="47"/>
        <v>40717</v>
      </c>
      <c r="AY188" s="813">
        <f>IF(Summary!A188&lt;Calculation!FT191,FORECAST(8333.33,A182:A188,AT182:AT188),0)</f>
        <v>0</v>
      </c>
      <c r="AZ188" s="534">
        <f t="shared" ca="1" si="48"/>
        <v>40717</v>
      </c>
      <c r="BA188" s="536">
        <f>IF(Summary!A188&lt;Calculation!FT191,FORECAST(3888.89,A182:A188,AU182:AU188),0)</f>
        <v>0</v>
      </c>
      <c r="BB188" s="826">
        <f t="shared" si="49"/>
        <v>40717</v>
      </c>
      <c r="BC188" s="827">
        <f>IF(Summary!A188&lt;Calculation!FT191,FORECAST(3888.89,A182:A188,AV182:AV188),0)</f>
        <v>0</v>
      </c>
      <c r="BD188" s="844">
        <f t="shared" si="50"/>
        <v>40717</v>
      </c>
      <c r="BE188" s="847">
        <f>IF(Summary!A188&lt;Calculation!FT191,FORECAST(3888.89,A182:A188,AW182:AW188),0)</f>
        <v>0</v>
      </c>
    </row>
    <row r="189" spans="1:57" ht="12" thickBot="1">
      <c r="A189" s="513">
        <v>40721</v>
      </c>
      <c r="B189" s="498">
        <f t="shared" si="38"/>
        <v>91.737100000004503</v>
      </c>
      <c r="C189" s="498">
        <f>Calculation!AA192</f>
        <v>0</v>
      </c>
      <c r="D189" s="498">
        <f>Calculation!Y192</f>
        <v>0</v>
      </c>
      <c r="E189" s="498">
        <f>Calculation!U192</f>
        <v>52.597999999999999</v>
      </c>
      <c r="F189" s="498">
        <f>Calculation!V192</f>
        <v>39.139100000004504</v>
      </c>
      <c r="G189" s="498">
        <f>Calculation!W192</f>
        <v>0</v>
      </c>
      <c r="H189" s="500">
        <f>Sheet1!H192</f>
        <v>1.8</v>
      </c>
      <c r="I189" s="501">
        <f>Sheet1!CW192</f>
        <v>1455</v>
      </c>
      <c r="J189" s="501">
        <f>Sheet1!CX192</f>
        <v>923.57291666666663</v>
      </c>
      <c r="K189" s="501">
        <f>Sheet1!CV192</f>
        <v>1028.695652173913</v>
      </c>
      <c r="L189" s="501">
        <f>Calculation!F192</f>
        <v>250</v>
      </c>
      <c r="M189" s="501">
        <f>Calculation!E192</f>
        <v>250</v>
      </c>
      <c r="N189" s="501">
        <f>Calculation!D192</f>
        <v>300</v>
      </c>
      <c r="O189" s="500">
        <f>Sheet1!CY192</f>
        <v>1166.83</v>
      </c>
      <c r="P189" s="514" t="e">
        <f>Calculation!ET192</f>
        <v>#N/A</v>
      </c>
      <c r="Q189" s="498">
        <f>Calculation!DF192</f>
        <v>50262.580000117516</v>
      </c>
      <c r="R189" s="500">
        <f t="shared" si="34"/>
        <v>49042.580000117516</v>
      </c>
      <c r="S189" s="498">
        <f t="shared" si="39"/>
        <v>-78.820000000254367</v>
      </c>
      <c r="T189" s="498">
        <f ca="1">IF(A189&gt;$A$1,#N/A,VLOOKUP(A189,Calculation!$B$8:$IV$881,30,FALSE))</f>
        <v>20000</v>
      </c>
      <c r="U189" s="498">
        <f t="shared" si="35"/>
        <v>0</v>
      </c>
      <c r="V189" s="498">
        <f>Calculation!AP192</f>
        <v>0</v>
      </c>
      <c r="W189" s="498">
        <f t="shared" ca="1" si="45"/>
        <v>5000</v>
      </c>
      <c r="X189" s="498">
        <v>0</v>
      </c>
      <c r="Y189" s="744">
        <f t="shared" ca="1" si="36"/>
        <v>2500</v>
      </c>
      <c r="Z189" s="748">
        <f t="shared" ca="1" si="37"/>
        <v>2500</v>
      </c>
      <c r="AA189" s="498">
        <f t="shared" ca="1" si="40"/>
        <v>25262.580000117516</v>
      </c>
      <c r="AB189" s="501">
        <f t="shared" ca="1" si="41"/>
        <v>24042.580000117516</v>
      </c>
      <c r="AC189" s="498" t="e">
        <f ca="1">IF(A189&gt;$A$1,#N/A,VLOOKUP(A189,Calculation!$B$8:$IV$881,155,FALSE))</f>
        <v>#N/A</v>
      </c>
      <c r="AD189" s="498" t="e">
        <f t="shared" ca="1" si="42"/>
        <v>#N/A</v>
      </c>
      <c r="AE189" s="498"/>
      <c r="AF189" s="501">
        <f>Calculation!G192</f>
        <v>988.94779539113222</v>
      </c>
      <c r="AG189" s="498" t="str">
        <f t="shared" si="43"/>
        <v>Yes</v>
      </c>
      <c r="AH189" s="498" t="str">
        <f t="shared" si="44"/>
        <v>Yes</v>
      </c>
      <c r="AK189" s="738">
        <v>49609.500000117005</v>
      </c>
      <c r="AL189" s="738">
        <v>40602.96000009805</v>
      </c>
      <c r="AM189" s="740">
        <v>50251.320000117776</v>
      </c>
      <c r="AR189" s="552" t="e">
        <f t="shared" ca="1" si="46"/>
        <v>#DIV/0!</v>
      </c>
      <c r="AS189" s="523">
        <f>IF(Summary!A189&lt;Calculation!FT192,FORECAST(20000,A183:A189,T183:T189),0)</f>
        <v>0</v>
      </c>
      <c r="AT189" s="581">
        <f>Calculation!AR192*3.068</f>
        <v>8333.3333333333321</v>
      </c>
      <c r="AU189" s="575">
        <f ca="1">Calculation!DA192</f>
        <v>3888.8888888888882</v>
      </c>
      <c r="AV189" s="575">
        <f>Calculation!CF192*3.068</f>
        <v>3888.8888888888882</v>
      </c>
      <c r="AW189" s="582">
        <f>Calculation!BK192*3.068</f>
        <v>3888.8888888888882</v>
      </c>
      <c r="AX189" s="813">
        <f t="shared" si="47"/>
        <v>40718</v>
      </c>
      <c r="AY189" s="813">
        <f>IF(Summary!A189&lt;Calculation!FT192,FORECAST(8333.33,A183:A189,AT183:AT189),0)</f>
        <v>0</v>
      </c>
      <c r="AZ189" s="534">
        <f t="shared" ca="1" si="48"/>
        <v>40718</v>
      </c>
      <c r="BA189" s="536">
        <f>IF(Summary!A189&lt;Calculation!FT192,FORECAST(3888.89,A183:A189,AU183:AU189),0)</f>
        <v>0</v>
      </c>
      <c r="BB189" s="826">
        <f t="shared" si="49"/>
        <v>40718</v>
      </c>
      <c r="BC189" s="827">
        <f>IF(Summary!A189&lt;Calculation!FT192,FORECAST(3888.89,A183:A189,AV183:AV189),0)</f>
        <v>0</v>
      </c>
      <c r="BD189" s="844">
        <f t="shared" si="50"/>
        <v>40718</v>
      </c>
      <c r="BE189" s="847">
        <f>IF(Summary!A189&lt;Calculation!FT192,FORECAST(3888.89,A183:A189,AW183:AW189),0)</f>
        <v>0</v>
      </c>
    </row>
    <row r="190" spans="1:57" ht="12" thickBot="1">
      <c r="A190" s="513">
        <v>40722</v>
      </c>
      <c r="B190" s="498">
        <f t="shared" si="38"/>
        <v>90.344799999990997</v>
      </c>
      <c r="C190" s="498">
        <f>Calculation!AA193</f>
        <v>0</v>
      </c>
      <c r="D190" s="498">
        <f>Calculation!Y193</f>
        <v>0</v>
      </c>
      <c r="E190" s="498">
        <f>Calculation!U193</f>
        <v>51.8245</v>
      </c>
      <c r="F190" s="498">
        <f>Calculation!V193</f>
        <v>38.520299999990996</v>
      </c>
      <c r="G190" s="498">
        <f>Calculation!W193</f>
        <v>0</v>
      </c>
      <c r="H190" s="500">
        <f>Sheet1!H193</f>
        <v>1.5</v>
      </c>
      <c r="I190" s="501">
        <f>Sheet1!CW193</f>
        <v>1266.0416666666667</v>
      </c>
      <c r="J190" s="501">
        <f>Sheet1!CX193</f>
        <v>833.66666666666663</v>
      </c>
      <c r="K190" s="501">
        <f>Sheet1!CV193</f>
        <v>940.21739130434787</v>
      </c>
      <c r="L190" s="501">
        <f>Calculation!F193</f>
        <v>250</v>
      </c>
      <c r="M190" s="501">
        <f>Calculation!E193</f>
        <v>250</v>
      </c>
      <c r="N190" s="501">
        <f>Calculation!D193</f>
        <v>300</v>
      </c>
      <c r="O190" s="500">
        <f>Sheet1!CY193</f>
        <v>1166.9100000000001</v>
      </c>
      <c r="P190" s="514" t="e">
        <f>Calculation!ET193</f>
        <v>#N/A</v>
      </c>
      <c r="Q190" s="498">
        <f>Calculation!DF193</f>
        <v>50352.660000117772</v>
      </c>
      <c r="R190" s="500">
        <f t="shared" si="34"/>
        <v>49132.660000117772</v>
      </c>
      <c r="S190" s="498">
        <f t="shared" si="39"/>
        <v>90.080000000256405</v>
      </c>
      <c r="T190" s="498">
        <f ca="1">IF(A190&gt;$A$1,#N/A,VLOOKUP(A190,Calculation!$B$8:$IV$881,30,FALSE))</f>
        <v>10000</v>
      </c>
      <c r="U190" s="498">
        <f t="shared" si="35"/>
        <v>0</v>
      </c>
      <c r="V190" s="498">
        <f>Calculation!AP193</f>
        <v>0</v>
      </c>
      <c r="W190" s="498">
        <f ca="1">IF((A190+1)&gt;$A$1,#N/A,15000)</f>
        <v>15000</v>
      </c>
      <c r="X190" s="498">
        <v>0</v>
      </c>
      <c r="Y190" s="744">
        <f>2500</f>
        <v>2500</v>
      </c>
      <c r="Z190" s="748">
        <f t="shared" ca="1" si="37"/>
        <v>12500</v>
      </c>
      <c r="AA190" s="498">
        <f t="shared" ca="1" si="40"/>
        <v>25352.660000117772</v>
      </c>
      <c r="AB190" s="501">
        <f t="shared" ca="1" si="41"/>
        <v>24132.660000117772</v>
      </c>
      <c r="AC190" s="498" t="e">
        <f ca="1">IF(A190&gt;$A$1,#N/A,VLOOKUP(A190,Calculation!$B$8:$IV$881,155,FALSE))</f>
        <v>#N/A</v>
      </c>
      <c r="AD190" s="498" t="e">
        <f t="shared" ca="1" si="42"/>
        <v>#N/A</v>
      </c>
      <c r="AE190" s="498"/>
      <c r="AF190" s="501">
        <f>Calculation!G193</f>
        <v>985.64351334179435</v>
      </c>
      <c r="AG190" s="498" t="str">
        <f t="shared" si="43"/>
        <v>Yes</v>
      </c>
      <c r="AH190" s="498" t="str">
        <f t="shared" si="44"/>
        <v>Yes</v>
      </c>
      <c r="AK190" s="738">
        <v>49553.200000117002</v>
      </c>
      <c r="AL190" s="738">
        <v>39941.910000097356</v>
      </c>
      <c r="AM190" s="740">
        <v>50172.500000117514</v>
      </c>
      <c r="AR190" s="552">
        <f t="shared" ca="1" si="46"/>
        <v>40725.5</v>
      </c>
      <c r="AS190" s="523">
        <f>IF(Summary!A190&lt;Calculation!FT193,FORECAST(20000,A184:A190,T184:T190),0)</f>
        <v>0</v>
      </c>
      <c r="AT190" s="581">
        <f>Calculation!AR193*3.068</f>
        <v>4166.6666666666661</v>
      </c>
      <c r="AU190" s="575">
        <f ca="1">Calculation!DA193</f>
        <v>1944.4444444444441</v>
      </c>
      <c r="AV190" s="575">
        <f>Calculation!CF193*3.068</f>
        <v>1944.4444444444441</v>
      </c>
      <c r="AW190" s="582">
        <f>Calculation!BK193*3.068</f>
        <v>1944.4444444444441</v>
      </c>
      <c r="AX190" s="813">
        <f t="shared" si="47"/>
        <v>40725.5</v>
      </c>
      <c r="AY190" s="813">
        <f>IF(Summary!A190&lt;Calculation!FT193,FORECAST(8333.33,A184:A190,AT184:AT190),0)</f>
        <v>0</v>
      </c>
      <c r="AZ190" s="534">
        <f t="shared" ca="1" si="48"/>
        <v>40725.5</v>
      </c>
      <c r="BA190" s="536">
        <f>IF(Summary!A190&lt;Calculation!FT193,FORECAST(3888.89,A184:A190,AU184:AU190),0)</f>
        <v>0</v>
      </c>
      <c r="BB190" s="826">
        <f t="shared" si="49"/>
        <v>40725.5</v>
      </c>
      <c r="BC190" s="827">
        <f>IF(Summary!A190&lt;Calculation!FT193,FORECAST(3888.89,A184:A190,AV184:AV190),0)</f>
        <v>0</v>
      </c>
      <c r="BD190" s="844">
        <f t="shared" si="50"/>
        <v>40725.5</v>
      </c>
      <c r="BE190" s="847">
        <f>IF(Summary!A190&lt;Calculation!FT193,FORECAST(3888.89,A184:A190,AW184:AW190),0)</f>
        <v>0</v>
      </c>
    </row>
    <row r="191" spans="1:57" ht="12" thickBot="1">
      <c r="A191" s="513">
        <v>40723</v>
      </c>
      <c r="B191" s="498">
        <f t="shared" si="38"/>
        <v>89.416599999993252</v>
      </c>
      <c r="C191" s="498">
        <f>Calculation!AA194</f>
        <v>0</v>
      </c>
      <c r="D191" s="498">
        <f>Calculation!Y194</f>
        <v>0</v>
      </c>
      <c r="E191" s="498">
        <f>Calculation!U194</f>
        <v>51.205699999986493</v>
      </c>
      <c r="F191" s="498">
        <f>Calculation!V194</f>
        <v>38.210900000006752</v>
      </c>
      <c r="G191" s="498">
        <f>Calculation!W194</f>
        <v>0</v>
      </c>
      <c r="H191" s="500">
        <f>Sheet1!H194</f>
        <v>1.77</v>
      </c>
      <c r="I191" s="501">
        <f>Sheet1!CW194</f>
        <v>1271.4583333333333</v>
      </c>
      <c r="J191" s="501">
        <f>Sheet1!CX194</f>
        <v>869.42708333333337</v>
      </c>
      <c r="K191" s="501">
        <f>Sheet1!CV194</f>
        <v>973.86956521739125</v>
      </c>
      <c r="L191" s="501">
        <f>Calculation!F194</f>
        <v>250</v>
      </c>
      <c r="M191" s="501">
        <f>Calculation!E194</f>
        <v>250</v>
      </c>
      <c r="N191" s="501">
        <f>Calculation!D194</f>
        <v>300</v>
      </c>
      <c r="O191" s="500">
        <f>Sheet1!CY194</f>
        <v>1167.02</v>
      </c>
      <c r="P191" s="514" t="e">
        <f>Calculation!ET194</f>
        <v>#N/A</v>
      </c>
      <c r="Q191" s="498">
        <f>Calculation!DF194</f>
        <v>50476.760000119029</v>
      </c>
      <c r="R191" s="500">
        <f t="shared" si="34"/>
        <v>49256.760000119029</v>
      </c>
      <c r="S191" s="498">
        <f t="shared" si="39"/>
        <v>124.10000000125729</v>
      </c>
      <c r="T191" s="498">
        <f ca="1">IF(A191&gt;$A$1,#N/A,VLOOKUP(A191,Calculation!$B$8:$IV$881,30,FALSE))</f>
        <v>10000</v>
      </c>
      <c r="U191" s="498">
        <f t="shared" si="35"/>
        <v>0</v>
      </c>
      <c r="V191" s="498">
        <f>Calculation!AP194</f>
        <v>0</v>
      </c>
      <c r="W191" s="498">
        <f ca="1">IF((A191+1)&gt;$A$1,#N/A,15000)</f>
        <v>15000</v>
      </c>
      <c r="X191" s="498">
        <v>0</v>
      </c>
      <c r="Y191" s="744">
        <f ca="1">IF((A191+1)&gt;$A$1,#N/A,2500)</f>
        <v>2500</v>
      </c>
      <c r="Z191" s="748">
        <f t="shared" ca="1" si="37"/>
        <v>12500</v>
      </c>
      <c r="AA191" s="498">
        <f t="shared" ca="1" si="40"/>
        <v>25476.760000119029</v>
      </c>
      <c r="AB191" s="501">
        <f t="shared" ca="1" si="41"/>
        <v>24256.760000119029</v>
      </c>
      <c r="AC191" s="498" t="e">
        <f ca="1">IF(A191&gt;$A$1,#N/A,VLOOKUP(A191,Calculation!$B$8:$IV$881,155,FALSE))</f>
        <v>#N/A</v>
      </c>
      <c r="AD191" s="498" t="e">
        <f t="shared" ca="1" si="42"/>
        <v>#N/A</v>
      </c>
      <c r="AE191" s="498"/>
      <c r="AF191" s="501">
        <f>Calculation!G194</f>
        <v>1036.4515117636631</v>
      </c>
      <c r="AG191" s="498" t="str">
        <f t="shared" si="43"/>
        <v>Yes</v>
      </c>
      <c r="AH191" s="498" t="str">
        <f t="shared" si="44"/>
        <v>Yes</v>
      </c>
      <c r="AK191" s="738">
        <v>49665.800000117008</v>
      </c>
      <c r="AL191" s="738">
        <v>39216.530000095328</v>
      </c>
      <c r="AM191" s="740">
        <v>50172.500000117514</v>
      </c>
      <c r="AR191" s="552">
        <f t="shared" ca="1" si="46"/>
        <v>40726</v>
      </c>
      <c r="AS191" s="523">
        <f>IF(Summary!A191&lt;Calculation!FT194,FORECAST(20000,A185:A191,T185:T191),0)</f>
        <v>0</v>
      </c>
      <c r="AT191" s="581">
        <f>Calculation!AR194*3.068</f>
        <v>4166.6666666666661</v>
      </c>
      <c r="AU191" s="575">
        <f ca="1">Calculation!DA194</f>
        <v>1944.4444444444441</v>
      </c>
      <c r="AV191" s="575">
        <f>Calculation!CF194*3.068</f>
        <v>1944.4444444444441</v>
      </c>
      <c r="AW191" s="582">
        <f>Calculation!BK194*3.068</f>
        <v>1944.4444444444441</v>
      </c>
      <c r="AX191" s="813">
        <f t="shared" si="47"/>
        <v>40726</v>
      </c>
      <c r="AY191" s="813">
        <f>IF(Summary!A191&lt;Calculation!FT194,FORECAST(8333.33,A185:A191,AT185:AT191),0)</f>
        <v>0</v>
      </c>
      <c r="AZ191" s="534">
        <f t="shared" ca="1" si="48"/>
        <v>40726</v>
      </c>
      <c r="BA191" s="536">
        <f>IF(Summary!A191&lt;Calculation!FT194,FORECAST(3888.89,A185:A191,AU185:AU191),0)</f>
        <v>0</v>
      </c>
      <c r="BB191" s="826">
        <f t="shared" si="49"/>
        <v>40726</v>
      </c>
      <c r="BC191" s="827">
        <f>IF(Summary!A191&lt;Calculation!FT194,FORECAST(3888.89,A185:A191,AV185:AV191),0)</f>
        <v>0</v>
      </c>
      <c r="BD191" s="844">
        <f t="shared" si="50"/>
        <v>40726</v>
      </c>
      <c r="BE191" s="847">
        <f>IF(Summary!A191&lt;Calculation!FT194,FORECAST(3888.89,A185:A191,AW185:AW191),0)</f>
        <v>0</v>
      </c>
    </row>
    <row r="192" spans="1:57" ht="12" thickBot="1">
      <c r="A192" s="513">
        <v>40724</v>
      </c>
      <c r="B192" s="498">
        <f t="shared" si="38"/>
        <v>91.752570000007651</v>
      </c>
      <c r="C192" s="498">
        <f>Calculation!AA195</f>
        <v>0</v>
      </c>
      <c r="D192" s="498">
        <f>Calculation!Y195</f>
        <v>0</v>
      </c>
      <c r="E192" s="498">
        <f>Calculation!U195</f>
        <v>52.922870000009901</v>
      </c>
      <c r="F192" s="498">
        <f>Calculation!V195</f>
        <v>38.82969999999775</v>
      </c>
      <c r="G192" s="498">
        <f>Calculation!W195</f>
        <v>0</v>
      </c>
      <c r="H192" s="500">
        <f>Sheet1!H195</f>
        <v>1.53</v>
      </c>
      <c r="I192" s="501">
        <f>Sheet1!CW195</f>
        <v>1379.375</v>
      </c>
      <c r="J192" s="501">
        <f>Sheet1!CX195</f>
        <v>1019.3333333333334</v>
      </c>
      <c r="K192" s="501">
        <f>Sheet1!CV195</f>
        <v>1134.608695652174</v>
      </c>
      <c r="L192" s="501">
        <f>Calculation!F195</f>
        <v>250</v>
      </c>
      <c r="M192" s="501">
        <f>Calculation!E195</f>
        <v>250</v>
      </c>
      <c r="N192" s="501">
        <f>Calculation!D195</f>
        <v>300</v>
      </c>
      <c r="O192" s="500">
        <f>Sheet1!CY195</f>
        <v>1166.92</v>
      </c>
      <c r="P192" s="514" t="e">
        <f>Calculation!ET195</f>
        <v>#N/A</v>
      </c>
      <c r="Q192" s="498">
        <f>Calculation!DF195</f>
        <v>50363.920000117774</v>
      </c>
      <c r="R192" s="500">
        <f t="shared" si="34"/>
        <v>49143.920000117774</v>
      </c>
      <c r="S192" s="498">
        <f t="shared" si="39"/>
        <v>-112.84000000125525</v>
      </c>
      <c r="T192" s="498">
        <f ca="1">IF(A192&gt;$A$1,#N/A,VLOOKUP(A192,Calculation!$B$8:$IV$881,30,FALSE))</f>
        <v>10000</v>
      </c>
      <c r="U192" s="498">
        <f t="shared" si="35"/>
        <v>0</v>
      </c>
      <c r="V192" s="498">
        <f>Calculation!AP195</f>
        <v>0</v>
      </c>
      <c r="W192" s="498">
        <f t="shared" ref="W192:W200" ca="1" si="51">IF((A192+1)&gt;$A$1,#N/A,15000)</f>
        <v>15000</v>
      </c>
      <c r="X192" s="498">
        <v>0</v>
      </c>
      <c r="Y192" s="744">
        <f t="shared" ref="Y192:Y245" ca="1" si="52">IF((A192+1)&gt;$A$1,#N/A,2500)</f>
        <v>2500</v>
      </c>
      <c r="Z192" s="748">
        <f t="shared" ca="1" si="37"/>
        <v>12500</v>
      </c>
      <c r="AA192" s="498">
        <f t="shared" ca="1" si="40"/>
        <v>25363.920000117774</v>
      </c>
      <c r="AB192" s="501">
        <f t="shared" ca="1" si="41"/>
        <v>24143.920000117774</v>
      </c>
      <c r="AC192" s="498" t="e">
        <f ca="1">IF(A192&gt;$A$1,#N/A,VLOOKUP(A192,Calculation!$B$8:$IV$881,155,FALSE))</f>
        <v>#N/A</v>
      </c>
      <c r="AD192" s="498" t="e">
        <f t="shared" ca="1" si="42"/>
        <v>#N/A</v>
      </c>
      <c r="AE192" s="498"/>
      <c r="AF192" s="501">
        <f>Calculation!G195</f>
        <v>1077.7050143605677</v>
      </c>
      <c r="AG192" s="498" t="str">
        <f t="shared" si="43"/>
        <v>Yes</v>
      </c>
      <c r="AH192" s="498" t="str">
        <f t="shared" si="44"/>
        <v>Yes</v>
      </c>
      <c r="AK192" s="738">
        <v>50116.200000117511</v>
      </c>
      <c r="AL192" s="738">
        <v>38536.870000093317</v>
      </c>
      <c r="AM192" s="740">
        <v>50172.500000117514</v>
      </c>
      <c r="AR192" s="552">
        <f t="shared" ca="1" si="46"/>
        <v>40726.5</v>
      </c>
      <c r="AS192" s="523">
        <f>IF(Summary!A192&lt;Calculation!FT195,FORECAST(20000,A186:A192,T186:T192),0)</f>
        <v>0</v>
      </c>
      <c r="AT192" s="581">
        <f>Calculation!AR195*3.068</f>
        <v>4166.6666666666661</v>
      </c>
      <c r="AU192" s="575">
        <f ca="1">Calculation!DA195</f>
        <v>1944.4444444444441</v>
      </c>
      <c r="AV192" s="575">
        <f>Calculation!CF195*3.068</f>
        <v>1944.4444444444441</v>
      </c>
      <c r="AW192" s="582">
        <f>Calculation!BK195*3.068</f>
        <v>1944.4444444444441</v>
      </c>
      <c r="AX192" s="813">
        <f t="shared" si="47"/>
        <v>40726.5</v>
      </c>
      <c r="AY192" s="813">
        <f>IF(Summary!A192&lt;Calculation!FT195,FORECAST(8333.33,A186:A192,AT186:AT192),0)</f>
        <v>0</v>
      </c>
      <c r="AZ192" s="534">
        <f t="shared" ca="1" si="48"/>
        <v>40726.5</v>
      </c>
      <c r="BA192" s="536">
        <f>IF(Summary!A192&lt;Calculation!FT195,FORECAST(3888.89,A186:A192,AU186:AU192),0)</f>
        <v>0</v>
      </c>
      <c r="BB192" s="826">
        <f t="shared" si="49"/>
        <v>40726.5</v>
      </c>
      <c r="BC192" s="827">
        <f>IF(Summary!A192&lt;Calculation!FT195,FORECAST(3888.89,A186:A192,AV186:AV192),0)</f>
        <v>0</v>
      </c>
      <c r="BD192" s="844">
        <f t="shared" si="50"/>
        <v>40726.5</v>
      </c>
      <c r="BE192" s="847">
        <f>IF(Summary!A192&lt;Calculation!FT195,FORECAST(3888.89,A186:A192,AW186:AW192),0)</f>
        <v>0</v>
      </c>
    </row>
    <row r="193" spans="1:57" ht="12" thickBot="1">
      <c r="A193" s="513">
        <v>40725</v>
      </c>
      <c r="B193" s="498">
        <f t="shared" si="38"/>
        <v>93.036579999999105</v>
      </c>
      <c r="C193" s="498">
        <f>Calculation!AA196</f>
        <v>0</v>
      </c>
      <c r="D193" s="498">
        <f>Calculation!Y196</f>
        <v>0</v>
      </c>
      <c r="E193" s="498">
        <f>Calculation!U196</f>
        <v>54.052180000003602</v>
      </c>
      <c r="F193" s="498">
        <f>Calculation!V196</f>
        <v>38.984399999995496</v>
      </c>
      <c r="G193" s="498">
        <f>Calculation!W196</f>
        <v>23.761919999998085</v>
      </c>
      <c r="H193" s="500">
        <f>Sheet1!H196</f>
        <v>1.4</v>
      </c>
      <c r="I193" s="501">
        <f>Sheet1!CW196</f>
        <v>1453.6458333333333</v>
      </c>
      <c r="J193" s="501">
        <f>Sheet1!CX196</f>
        <v>973.02083333333337</v>
      </c>
      <c r="K193" s="501">
        <f>Sheet1!CV196</f>
        <v>1052.391304347826</v>
      </c>
      <c r="L193" s="501">
        <f>Calculation!F196</f>
        <v>250</v>
      </c>
      <c r="M193" s="501">
        <f>Calculation!E196</f>
        <v>250</v>
      </c>
      <c r="N193" s="501">
        <f>Calculation!D196</f>
        <v>300</v>
      </c>
      <c r="O193" s="500">
        <f>Sheet1!CY196</f>
        <v>1166.8</v>
      </c>
      <c r="P193" s="514" t="e">
        <f>Calculation!ET196</f>
        <v>#N/A</v>
      </c>
      <c r="Q193" s="498">
        <f>Calculation!DF196</f>
        <v>50228.800000117517</v>
      </c>
      <c r="R193" s="500">
        <f t="shared" si="34"/>
        <v>49008.800000117517</v>
      </c>
      <c r="S193" s="498">
        <f t="shared" si="39"/>
        <v>-135.12000000025728</v>
      </c>
      <c r="T193" s="498">
        <f ca="1">IF(A193&gt;$A$1,#N/A,VLOOKUP(A193,Calculation!$B$8:$IV$881,30,FALSE))</f>
        <v>10000</v>
      </c>
      <c r="U193" s="498">
        <f t="shared" si="35"/>
        <v>0</v>
      </c>
      <c r="V193" s="498">
        <f>Calculation!AP196</f>
        <v>0</v>
      </c>
      <c r="W193" s="498">
        <f t="shared" ca="1" si="51"/>
        <v>15000</v>
      </c>
      <c r="X193" s="498">
        <v>0</v>
      </c>
      <c r="Y193" s="744">
        <f t="shared" ca="1" si="52"/>
        <v>2500</v>
      </c>
      <c r="Z193" s="748">
        <f t="shared" ca="1" si="37"/>
        <v>12500</v>
      </c>
      <c r="AA193" s="498">
        <f t="shared" ca="1" si="40"/>
        <v>25228.800000117517</v>
      </c>
      <c r="AB193" s="501">
        <f t="shared" ca="1" si="41"/>
        <v>24008.800000117517</v>
      </c>
      <c r="AC193" s="498">
        <f ca="1">IF(A193&gt;$A$1,#N/A,VLOOKUP(A193,Calculation!$B$8:$IV$881,155,FALSE))</f>
        <v>24155</v>
      </c>
      <c r="AD193" s="498" t="e">
        <f t="shared" ca="1" si="42"/>
        <v>#N/A</v>
      </c>
      <c r="AE193" s="498"/>
      <c r="AF193" s="501">
        <f>Calculation!G196</f>
        <v>984.25212129172053</v>
      </c>
      <c r="AG193" s="498" t="str">
        <f t="shared" si="43"/>
        <v>Yes</v>
      </c>
      <c r="AH193" s="498" t="str">
        <f t="shared" si="44"/>
        <v>Yes</v>
      </c>
      <c r="AK193" s="738">
        <v>50431.480000117772</v>
      </c>
      <c r="AL193" s="738">
        <v>37953.360000092871</v>
      </c>
      <c r="AM193" s="740">
        <v>50172.500000117514</v>
      </c>
      <c r="AR193" s="552">
        <f t="shared" ca="1" si="46"/>
        <v>40727</v>
      </c>
      <c r="AS193" s="523">
        <f>IF(Summary!A193&lt;Calculation!FT196,FORECAST(20000,A187:A193,T187:T193),0)</f>
        <v>0</v>
      </c>
      <c r="AT193" s="581">
        <f>Calculation!AR196*3.068</f>
        <v>4166.6666666666661</v>
      </c>
      <c r="AU193" s="575">
        <f ca="1">Calculation!DA196</f>
        <v>1944.4444444444441</v>
      </c>
      <c r="AV193" s="575">
        <f>Calculation!CF196*3.068</f>
        <v>1944.4444444444441</v>
      </c>
      <c r="AW193" s="582">
        <f>Calculation!BK196*3.068</f>
        <v>1944.4444444444441</v>
      </c>
      <c r="AX193" s="813">
        <f t="shared" si="47"/>
        <v>40727</v>
      </c>
      <c r="AY193" s="813">
        <f>IF(Summary!A193&lt;Calculation!FT196,FORECAST(8333.33,A187:A193,AT187:AT193),0)</f>
        <v>0</v>
      </c>
      <c r="AZ193" s="534">
        <f t="shared" ca="1" si="48"/>
        <v>40727</v>
      </c>
      <c r="BA193" s="536">
        <f>IF(Summary!A193&lt;Calculation!FT196,FORECAST(3888.89,A187:A193,AU187:AU193),0)</f>
        <v>0</v>
      </c>
      <c r="BB193" s="826">
        <f t="shared" si="49"/>
        <v>40727</v>
      </c>
      <c r="BC193" s="827">
        <f>IF(Summary!A193&lt;Calculation!FT196,FORECAST(3888.89,A187:A193,AV187:AV193),0)</f>
        <v>0</v>
      </c>
      <c r="BD193" s="844">
        <f t="shared" si="50"/>
        <v>40727</v>
      </c>
      <c r="BE193" s="847">
        <f>IF(Summary!A193&lt;Calculation!FT196,FORECAST(3888.89,A187:A193,AW187:AW193),0)</f>
        <v>0</v>
      </c>
    </row>
    <row r="194" spans="1:57" ht="12" thickBot="1">
      <c r="A194" s="513">
        <v>40726</v>
      </c>
      <c r="B194" s="498">
        <f t="shared" si="38"/>
        <v>91.907269999982887</v>
      </c>
      <c r="C194" s="498">
        <f>Calculation!AA197</f>
        <v>0</v>
      </c>
      <c r="D194" s="498">
        <f>Calculation!Y197</f>
        <v>0</v>
      </c>
      <c r="E194" s="498">
        <f>Calculation!U197</f>
        <v>53.448849999981988</v>
      </c>
      <c r="F194" s="498">
        <f>Calculation!V197</f>
        <v>38.458420000000899</v>
      </c>
      <c r="G194" s="498">
        <f>Calculation!W197</f>
        <v>57.888740000000112</v>
      </c>
      <c r="H194" s="500">
        <f>Sheet1!H197</f>
        <v>1.6</v>
      </c>
      <c r="I194" s="501">
        <f>Sheet1!CW197</f>
        <v>1317.2916666666667</v>
      </c>
      <c r="J194" s="501">
        <f>Sheet1!CX197</f>
        <v>889.90625</v>
      </c>
      <c r="K194" s="501">
        <f>Sheet1!CV197</f>
        <v>940.41666666666663</v>
      </c>
      <c r="L194" s="501">
        <f>Calculation!F197</f>
        <v>250</v>
      </c>
      <c r="M194" s="501">
        <f>Calculation!E197</f>
        <v>250</v>
      </c>
      <c r="N194" s="501">
        <f>Calculation!D197</f>
        <v>300</v>
      </c>
      <c r="O194" s="500">
        <f>Sheet1!CY197</f>
        <v>1166.6500000000001</v>
      </c>
      <c r="P194" s="514">
        <f>Calculation!ET197</f>
        <v>1139.3637602179042</v>
      </c>
      <c r="Q194" s="498">
        <f>Calculation!DF197</f>
        <v>50059.900000117515</v>
      </c>
      <c r="R194" s="500">
        <f t="shared" si="34"/>
        <v>48839.900000117515</v>
      </c>
      <c r="S194" s="498">
        <f t="shared" si="39"/>
        <v>-168.90000000000146</v>
      </c>
      <c r="T194" s="498">
        <f ca="1">IF(A194&gt;$A$1,#N/A,VLOOKUP(A194,Calculation!$B$8:$IV$881,30,FALSE))</f>
        <v>10000</v>
      </c>
      <c r="U194" s="498">
        <f t="shared" si="35"/>
        <v>0</v>
      </c>
      <c r="V194" s="498">
        <f>Calculation!AP197</f>
        <v>0</v>
      </c>
      <c r="W194" s="498">
        <f t="shared" ca="1" si="51"/>
        <v>15000</v>
      </c>
      <c r="X194" s="498">
        <v>0</v>
      </c>
      <c r="Y194" s="744">
        <f t="shared" ca="1" si="52"/>
        <v>2500</v>
      </c>
      <c r="Z194" s="748">
        <f t="shared" ca="1" si="37"/>
        <v>12500</v>
      </c>
      <c r="AA194" s="498">
        <f t="shared" ca="1" si="40"/>
        <v>25059.900000117515</v>
      </c>
      <c r="AB194" s="501">
        <f t="shared" ca="1" si="41"/>
        <v>23839.900000117515</v>
      </c>
      <c r="AC194" s="498">
        <f ca="1">IF(A194&gt;$A$1,#N/A,VLOOKUP(A194,Calculation!$B$8:$IV$881,155,FALSE))</f>
        <v>23816.6000000565</v>
      </c>
      <c r="AD194" s="498">
        <f t="shared" ca="1" si="42"/>
        <v>-338.39999994350001</v>
      </c>
      <c r="AE194" s="498"/>
      <c r="AF194" s="501">
        <f>Calculation!G197</f>
        <v>855.24268784669619</v>
      </c>
      <c r="AG194" s="498" t="str">
        <f t="shared" si="43"/>
        <v>Yes</v>
      </c>
      <c r="AH194" s="498" t="str">
        <f t="shared" si="44"/>
        <v>Yes</v>
      </c>
      <c r="AK194" s="738">
        <v>50352.660000117772</v>
      </c>
      <c r="AL194" s="738">
        <v>37384.500000091117</v>
      </c>
      <c r="AM194" s="740">
        <v>50330.140000117775</v>
      </c>
      <c r="AR194" s="552">
        <f t="shared" ca="1" si="46"/>
        <v>40727.5</v>
      </c>
      <c r="AS194" s="523">
        <f>IF(Summary!A194&lt;Calculation!FT197,FORECAST(20000,A188:A194,T188:T194),0)</f>
        <v>0</v>
      </c>
      <c r="AT194" s="581">
        <f>Calculation!AR197*3.068</f>
        <v>4166.6666666666661</v>
      </c>
      <c r="AU194" s="575">
        <f ca="1">Calculation!DA197</f>
        <v>1944.4444444444441</v>
      </c>
      <c r="AV194" s="575">
        <f>Calculation!CF197*3.068</f>
        <v>1944.4444444444441</v>
      </c>
      <c r="AW194" s="582">
        <f>Calculation!BK197*3.068</f>
        <v>1944.4444444444441</v>
      </c>
      <c r="AX194" s="813">
        <f t="shared" si="47"/>
        <v>40727.5</v>
      </c>
      <c r="AY194" s="813">
        <f>IF(Summary!A194&lt;Calculation!FT197,FORECAST(8333.33,A188:A194,AT188:AT194),0)</f>
        <v>0</v>
      </c>
      <c r="AZ194" s="534">
        <f t="shared" ca="1" si="48"/>
        <v>40727.5</v>
      </c>
      <c r="BA194" s="536">
        <f>IF(Summary!A194&lt;Calculation!FT197,FORECAST(3888.89,A188:A194,AU188:AU194),0)</f>
        <v>0</v>
      </c>
      <c r="BB194" s="826">
        <f t="shared" si="49"/>
        <v>40727.5</v>
      </c>
      <c r="BC194" s="827">
        <f>IF(Summary!A194&lt;Calculation!FT197,FORECAST(3888.89,A188:A194,AV188:AV194),0)</f>
        <v>0</v>
      </c>
      <c r="BD194" s="844">
        <f t="shared" si="50"/>
        <v>40727.5</v>
      </c>
      <c r="BE194" s="847">
        <f>IF(Summary!A194&lt;Calculation!FT197,FORECAST(3888.89,A188:A194,AW188:AW194),0)</f>
        <v>0</v>
      </c>
    </row>
    <row r="195" spans="1:57" ht="12" thickBot="1">
      <c r="A195" s="513">
        <v>40727</v>
      </c>
      <c r="B195" s="498">
        <f t="shared" si="38"/>
        <v>92.108380000012602</v>
      </c>
      <c r="C195" s="498">
        <f>Calculation!AA198</f>
        <v>0</v>
      </c>
      <c r="D195" s="498">
        <f>Calculation!Y198</f>
        <v>0</v>
      </c>
      <c r="E195" s="498">
        <f>Calculation!U198</f>
        <v>53.526200000009005</v>
      </c>
      <c r="F195" s="498">
        <f>Calculation!V198</f>
        <v>38.582180000003603</v>
      </c>
      <c r="G195" s="498">
        <f>Calculation!W198</f>
        <v>0</v>
      </c>
      <c r="H195" s="500">
        <f>Sheet1!H198</f>
        <v>1.4</v>
      </c>
      <c r="I195" s="501">
        <f>Sheet1!CW198</f>
        <v>1226.875</v>
      </c>
      <c r="J195" s="501">
        <f>Sheet1!CX198</f>
        <v>835.625</v>
      </c>
      <c r="K195" s="501">
        <f>Sheet1!CV198</f>
        <v>944.3478260869565</v>
      </c>
      <c r="L195" s="501">
        <f>Calculation!F198</f>
        <v>250</v>
      </c>
      <c r="M195" s="501">
        <f>Calculation!E198</f>
        <v>250</v>
      </c>
      <c r="N195" s="501">
        <f>Calculation!D198</f>
        <v>300</v>
      </c>
      <c r="O195" s="500">
        <f>Sheet1!CY198</f>
        <v>1166.55</v>
      </c>
      <c r="P195" s="514">
        <f>Calculation!ET198</f>
        <v>1138.9000000000001</v>
      </c>
      <c r="Q195" s="498">
        <f>Calculation!DF198</f>
        <v>49947.300000117255</v>
      </c>
      <c r="R195" s="500">
        <f t="shared" si="34"/>
        <v>48727.300000117255</v>
      </c>
      <c r="S195" s="498">
        <f t="shared" si="39"/>
        <v>-112.60000000026048</v>
      </c>
      <c r="T195" s="498">
        <f ca="1">IF(A195&gt;$A$1,#N/A,VLOOKUP(A195,Calculation!$B$8:$IV$881,30,FALSE))</f>
        <v>10000</v>
      </c>
      <c r="U195" s="498">
        <f t="shared" si="35"/>
        <v>0</v>
      </c>
      <c r="V195" s="498">
        <f>Calculation!AP198</f>
        <v>0</v>
      </c>
      <c r="W195" s="498">
        <f t="shared" ca="1" si="51"/>
        <v>15000</v>
      </c>
      <c r="X195" s="498">
        <v>0</v>
      </c>
      <c r="Y195" s="744">
        <f t="shared" ca="1" si="52"/>
        <v>2500</v>
      </c>
      <c r="Z195" s="748">
        <f t="shared" ca="1" si="37"/>
        <v>12500</v>
      </c>
      <c r="AA195" s="498">
        <f t="shared" ca="1" si="40"/>
        <v>24947.300000117255</v>
      </c>
      <c r="AB195" s="501">
        <f t="shared" ca="1" si="41"/>
        <v>23727.300000117255</v>
      </c>
      <c r="AC195" s="498">
        <f ca="1">IF(A195&gt;$A$1,#N/A,VLOOKUP(A195,Calculation!$B$8:$IV$881,155,FALSE))</f>
        <v>23745.200000056335</v>
      </c>
      <c r="AD195" s="498">
        <f t="shared" ca="1" si="42"/>
        <v>-71.400000000165164</v>
      </c>
      <c r="AE195" s="498"/>
      <c r="AF195" s="501">
        <f>Calculation!G198</f>
        <v>887.56517354017865</v>
      </c>
      <c r="AG195" s="498" t="str">
        <f t="shared" si="43"/>
        <v>Yes</v>
      </c>
      <c r="AH195" s="498" t="str">
        <f t="shared" si="44"/>
        <v>Yes</v>
      </c>
      <c r="AK195" s="738">
        <v>50116.200000117511</v>
      </c>
      <c r="AL195" s="738">
        <v>36877.500000090673</v>
      </c>
      <c r="AM195" s="740">
        <v>50465.380000119025</v>
      </c>
      <c r="AR195" s="552">
        <f t="shared" ca="1" si="46"/>
        <v>40728</v>
      </c>
      <c r="AS195" s="523">
        <f>IF(Summary!A195&lt;Calculation!FT198,FORECAST(20000,A189:A195,T189:T195),0)</f>
        <v>0</v>
      </c>
      <c r="AT195" s="581">
        <f>Calculation!AR198*3.068</f>
        <v>4166.6666666666661</v>
      </c>
      <c r="AU195" s="575">
        <f ca="1">Calculation!DA198</f>
        <v>1944.4444444444441</v>
      </c>
      <c r="AV195" s="575">
        <f>Calculation!CF198*3.068</f>
        <v>1944.4444444444441</v>
      </c>
      <c r="AW195" s="582">
        <f>Calculation!BK198*3.068</f>
        <v>1944.4444444444441</v>
      </c>
      <c r="AX195" s="813">
        <f t="shared" si="47"/>
        <v>40728</v>
      </c>
      <c r="AY195" s="813">
        <f>IF(Summary!A195&lt;Calculation!FT198,FORECAST(8333.33,A189:A195,AT189:AT195),0)</f>
        <v>0</v>
      </c>
      <c r="AZ195" s="534">
        <f t="shared" ca="1" si="48"/>
        <v>40728</v>
      </c>
      <c r="BA195" s="536">
        <f>IF(Summary!A195&lt;Calculation!FT198,FORECAST(3888.89,A189:A195,AU189:AU195),0)</f>
        <v>0</v>
      </c>
      <c r="BB195" s="826">
        <f t="shared" si="49"/>
        <v>40728</v>
      </c>
      <c r="BC195" s="827">
        <f>IF(Summary!A195&lt;Calculation!FT198,FORECAST(3888.89,A189:A195,AV189:AV195),0)</f>
        <v>0</v>
      </c>
      <c r="BD195" s="844">
        <f t="shared" si="50"/>
        <v>40728</v>
      </c>
      <c r="BE195" s="847">
        <f>IF(Summary!A195&lt;Calculation!FT198,FORECAST(3888.89,A189:A195,AW189:AW195),0)</f>
        <v>0</v>
      </c>
    </row>
    <row r="196" spans="1:57" ht="12" thickBot="1">
      <c r="A196" s="513">
        <v>40728</v>
      </c>
      <c r="B196" s="498">
        <f t="shared" si="38"/>
        <v>94.676400000006751</v>
      </c>
      <c r="C196" s="498">
        <f>Calculation!AA199</f>
        <v>0</v>
      </c>
      <c r="D196" s="498">
        <f>Calculation!Y199</f>
        <v>0</v>
      </c>
      <c r="E196" s="498">
        <f>Calculation!U199</f>
        <v>53.015690000006302</v>
      </c>
      <c r="F196" s="498">
        <f>Calculation!V199</f>
        <v>41.660710000000449</v>
      </c>
      <c r="G196" s="498">
        <f>Calculation!W199</f>
        <v>0</v>
      </c>
      <c r="H196" s="500">
        <f>Sheet1!H199</f>
        <v>1.23</v>
      </c>
      <c r="I196" s="501">
        <f>Sheet1!CW199</f>
        <v>1209.5833333333333</v>
      </c>
      <c r="J196" s="501">
        <f>Sheet1!CX199</f>
        <v>829.08333333333337</v>
      </c>
      <c r="K196" s="501">
        <f>Sheet1!CV199</f>
        <v>942.17391304347825</v>
      </c>
      <c r="L196" s="501">
        <f>Calculation!F199</f>
        <v>250</v>
      </c>
      <c r="M196" s="501">
        <f>Calculation!E199</f>
        <v>250</v>
      </c>
      <c r="N196" s="501">
        <f>Calculation!D199</f>
        <v>300</v>
      </c>
      <c r="O196" s="500">
        <f>Sheet1!CY199</f>
        <v>1166.33</v>
      </c>
      <c r="P196" s="514">
        <f>Calculation!ET199</f>
        <v>1138.8</v>
      </c>
      <c r="Q196" s="498">
        <f>Calculation!DF199</f>
        <v>49699.580000117006</v>
      </c>
      <c r="R196" s="500">
        <f t="shared" si="34"/>
        <v>48479.580000117006</v>
      </c>
      <c r="S196" s="498">
        <f t="shared" si="39"/>
        <v>-247.72000000024855</v>
      </c>
      <c r="T196" s="498">
        <f ca="1">IF(A196&gt;$A$1,#N/A,VLOOKUP(A196,Calculation!$B$8:$IV$881,30,FALSE))</f>
        <v>10000</v>
      </c>
      <c r="U196" s="498">
        <f t="shared" si="35"/>
        <v>0</v>
      </c>
      <c r="V196" s="498">
        <f>Calculation!AP199</f>
        <v>0</v>
      </c>
      <c r="W196" s="498">
        <f t="shared" ca="1" si="51"/>
        <v>15000</v>
      </c>
      <c r="X196" s="498">
        <v>0</v>
      </c>
      <c r="Y196" s="744">
        <f t="shared" ca="1" si="52"/>
        <v>2500</v>
      </c>
      <c r="Z196" s="748">
        <f t="shared" ca="1" si="37"/>
        <v>12500</v>
      </c>
      <c r="AA196" s="498">
        <f t="shared" ca="1" si="40"/>
        <v>24699.580000117006</v>
      </c>
      <c r="AB196" s="501">
        <f t="shared" ca="1" si="41"/>
        <v>23479.580000117006</v>
      </c>
      <c r="AC196" s="498">
        <f ca="1">IF(A196&gt;$A$1,#N/A,VLOOKUP(A196,Calculation!$B$8:$IV$881,155,FALSE))</f>
        <v>23673.800000056333</v>
      </c>
      <c r="AD196" s="498">
        <f t="shared" ca="1" si="42"/>
        <v>-71.400000000001455</v>
      </c>
      <c r="AE196" s="498"/>
      <c r="AF196" s="501">
        <f>Calculation!G199</f>
        <v>817.25207744073066</v>
      </c>
      <c r="AG196" s="498" t="str">
        <f t="shared" si="43"/>
        <v>Yes</v>
      </c>
      <c r="AH196" s="498" t="str">
        <f t="shared" si="44"/>
        <v>Yes</v>
      </c>
      <c r="AK196" s="738">
        <v>49879.740000117257</v>
      </c>
      <c r="AL196" s="738">
        <v>36279.72000008871</v>
      </c>
      <c r="AM196" s="740">
        <v>50465.380000119025</v>
      </c>
      <c r="AR196" s="552" t="e">
        <f t="shared" ca="1" si="46"/>
        <v>#DIV/0!</v>
      </c>
      <c r="AS196" s="523">
        <f>IF(Summary!A196&lt;Calculation!FT199,FORECAST(20000,A190:A196,T190:T196),0)</f>
        <v>0</v>
      </c>
      <c r="AT196" s="581">
        <f>Calculation!AR199*3.068</f>
        <v>4166.6666666666661</v>
      </c>
      <c r="AU196" s="575">
        <f ca="1">Calculation!DA199</f>
        <v>1944.4444444444441</v>
      </c>
      <c r="AV196" s="575">
        <f>Calculation!CF199*3.068</f>
        <v>1944.4444444444441</v>
      </c>
      <c r="AW196" s="582">
        <f>Calculation!BK199*3.068</f>
        <v>1944.4444444444441</v>
      </c>
      <c r="AX196" s="813">
        <f t="shared" si="47"/>
        <v>40725</v>
      </c>
      <c r="AY196" s="813">
        <f>IF(Summary!A196&lt;Calculation!FT199,FORECAST(8333.33,A190:A196,AT190:AT196),0)</f>
        <v>0</v>
      </c>
      <c r="AZ196" s="534">
        <f t="shared" ca="1" si="48"/>
        <v>40725</v>
      </c>
      <c r="BA196" s="536">
        <f>IF(Summary!A196&lt;Calculation!FT199,FORECAST(3888.89,A190:A196,AU190:AU196),0)</f>
        <v>0</v>
      </c>
      <c r="BB196" s="826">
        <f t="shared" si="49"/>
        <v>40725</v>
      </c>
      <c r="BC196" s="827">
        <f>IF(Summary!A196&lt;Calculation!FT199,FORECAST(3888.89,A190:A196,AV190:AV196),0)</f>
        <v>0</v>
      </c>
      <c r="BD196" s="844">
        <f t="shared" si="50"/>
        <v>40725</v>
      </c>
      <c r="BE196" s="847">
        <f>IF(Summary!A196&lt;Calculation!FT199,FORECAST(3888.89,A190:A196,AW190:AW196),0)</f>
        <v>0</v>
      </c>
    </row>
    <row r="197" spans="1:57" ht="12" thickBot="1">
      <c r="A197" s="513">
        <v>40729</v>
      </c>
      <c r="B197" s="498">
        <f t="shared" si="38"/>
        <v>106.3098400000018</v>
      </c>
      <c r="C197" s="498">
        <f>Calculation!AA200</f>
        <v>0</v>
      </c>
      <c r="D197" s="498">
        <f>Calculation!Y200</f>
        <v>0</v>
      </c>
      <c r="E197" s="498">
        <f>Calculation!U200</f>
        <v>58.089850000004503</v>
      </c>
      <c r="F197" s="498">
        <f>Calculation!V200</f>
        <v>48.219989999997296</v>
      </c>
      <c r="G197" s="498">
        <f>Calculation!W200</f>
        <v>0</v>
      </c>
      <c r="H197" s="500">
        <f>Sheet1!H200</f>
        <v>1.31</v>
      </c>
      <c r="I197" s="501">
        <f>Sheet1!CW200</f>
        <v>1164.8958333333333</v>
      </c>
      <c r="J197" s="501">
        <f>Sheet1!CX200</f>
        <v>733.02083333333337</v>
      </c>
      <c r="K197" s="501">
        <f>Sheet1!CV200</f>
        <v>852</v>
      </c>
      <c r="L197" s="501">
        <f>Calculation!F200</f>
        <v>250</v>
      </c>
      <c r="M197" s="501">
        <f>Calculation!E200</f>
        <v>250</v>
      </c>
      <c r="N197" s="501">
        <f>Calculation!D200</f>
        <v>300</v>
      </c>
      <c r="O197" s="500">
        <f>Sheet1!CY200</f>
        <v>1166.17</v>
      </c>
      <c r="P197" s="514">
        <f>Calculation!ET200</f>
        <v>1138.7</v>
      </c>
      <c r="Q197" s="498">
        <f>Calculation!DF200</f>
        <v>49519.420000117003</v>
      </c>
      <c r="R197" s="500">
        <f t="shared" ref="R197:R260" si="53">Q197-1220</f>
        <v>48299.420000117003</v>
      </c>
      <c r="S197" s="498">
        <f t="shared" si="39"/>
        <v>-180.16000000000349</v>
      </c>
      <c r="T197" s="498">
        <f ca="1">IF(A197&gt;$A$1,#N/A,VLOOKUP(A197,Calculation!$B$8:$IV$881,30,FALSE))</f>
        <v>10000</v>
      </c>
      <c r="U197" s="498">
        <f t="shared" si="35"/>
        <v>0</v>
      </c>
      <c r="V197" s="498">
        <f>Calculation!AP200</f>
        <v>0</v>
      </c>
      <c r="W197" s="498">
        <f t="shared" ca="1" si="51"/>
        <v>15000</v>
      </c>
      <c r="X197" s="498">
        <v>0</v>
      </c>
      <c r="Y197" s="744">
        <f t="shared" ca="1" si="52"/>
        <v>2500</v>
      </c>
      <c r="Z197" s="748">
        <f t="shared" ca="1" si="37"/>
        <v>12500</v>
      </c>
      <c r="AA197" s="498">
        <f t="shared" ca="1" si="40"/>
        <v>24519.420000117003</v>
      </c>
      <c r="AB197" s="501">
        <f t="shared" ca="1" si="41"/>
        <v>23299.420000117003</v>
      </c>
      <c r="AC197" s="498">
        <f ca="1">IF(A197&gt;$A$1,#N/A,VLOOKUP(A197,Calculation!$B$8:$IV$881,155,FALSE))</f>
        <v>23673.800000056333</v>
      </c>
      <c r="AD197" s="498">
        <f t="shared" ca="1" si="42"/>
        <v>0</v>
      </c>
      <c r="AE197" s="498"/>
      <c r="AF197" s="501">
        <f>Calculation!G200</f>
        <v>761.14775592536387</v>
      </c>
      <c r="AG197" s="498" t="str">
        <f t="shared" si="43"/>
        <v>Yes</v>
      </c>
      <c r="AH197" s="498" t="str">
        <f t="shared" si="44"/>
        <v>Yes</v>
      </c>
      <c r="AK197" s="738">
        <v>49305.700000115605</v>
      </c>
      <c r="AL197" s="738">
        <v>35647.560000086683</v>
      </c>
      <c r="AM197" s="740">
        <v>50465.380000119025</v>
      </c>
      <c r="AR197" s="552" t="e">
        <f t="shared" ca="1" si="46"/>
        <v>#DIV/0!</v>
      </c>
      <c r="AS197" s="523">
        <f>IF(Summary!A197&lt;Calculation!FT200,FORECAST(20000,A191:A197,T191:T197),0)</f>
        <v>0</v>
      </c>
      <c r="AT197" s="581">
        <f>Calculation!AR200*3.068</f>
        <v>4166.6666666666661</v>
      </c>
      <c r="AU197" s="575">
        <f ca="1">Calculation!DA200</f>
        <v>1944.4444444444441</v>
      </c>
      <c r="AV197" s="575">
        <f>Calculation!CF200*3.068</f>
        <v>1944.4444444444441</v>
      </c>
      <c r="AW197" s="582">
        <f>Calculation!BK200*3.068</f>
        <v>1944.4444444444441</v>
      </c>
      <c r="AX197" s="813">
        <f t="shared" si="47"/>
        <v>40726</v>
      </c>
      <c r="AY197" s="813">
        <f>IF(Summary!A197&lt;Calculation!FT200,FORECAST(8333.33,A191:A197,AT191:AT197),0)</f>
        <v>0</v>
      </c>
      <c r="AZ197" s="534">
        <f t="shared" ca="1" si="48"/>
        <v>40726</v>
      </c>
      <c r="BA197" s="536">
        <f>IF(Summary!A197&lt;Calculation!FT200,FORECAST(3888.89,A191:A197,AU191:AU197),0)</f>
        <v>0</v>
      </c>
      <c r="BB197" s="826">
        <f t="shared" si="49"/>
        <v>40726</v>
      </c>
      <c r="BC197" s="827">
        <f>IF(Summary!A197&lt;Calculation!FT200,FORECAST(3888.89,A191:A197,AV191:AV197),0)</f>
        <v>0</v>
      </c>
      <c r="BD197" s="844">
        <f t="shared" si="50"/>
        <v>40726</v>
      </c>
      <c r="BE197" s="847">
        <f>IF(Summary!A197&lt;Calculation!FT200,FORECAST(3888.89,A191:A197,AW191:AW197),0)</f>
        <v>0</v>
      </c>
    </row>
    <row r="198" spans="1:57" ht="12" thickBot="1">
      <c r="A198" s="513">
        <v>40730</v>
      </c>
      <c r="B198" s="498">
        <f t="shared" si="38"/>
        <v>119.24275999999143</v>
      </c>
      <c r="C198" s="498">
        <f>Calculation!AA201</f>
        <v>0</v>
      </c>
      <c r="D198" s="498">
        <f>Calculation!Y201</f>
        <v>0</v>
      </c>
      <c r="E198" s="498">
        <f>Calculation!U201</f>
        <v>68.037059999993687</v>
      </c>
      <c r="F198" s="498">
        <f>Calculation!V201</f>
        <v>51.205699999997748</v>
      </c>
      <c r="G198" s="498">
        <f>Calculation!W201</f>
        <v>0</v>
      </c>
      <c r="H198" s="500">
        <f>Sheet1!H201</f>
        <v>1.5</v>
      </c>
      <c r="I198" s="501">
        <f>Sheet1!CW201</f>
        <v>1007.5729166666666</v>
      </c>
      <c r="J198" s="501">
        <f>Sheet1!CX201</f>
        <v>655.90625</v>
      </c>
      <c r="K198" s="501">
        <f>Sheet1!CV201</f>
        <v>794.26086956521738</v>
      </c>
      <c r="L198" s="501">
        <f>Calculation!F201</f>
        <v>250</v>
      </c>
      <c r="M198" s="501">
        <f>Calculation!E201</f>
        <v>250</v>
      </c>
      <c r="N198" s="501">
        <f>Calculation!D201</f>
        <v>300</v>
      </c>
      <c r="O198" s="500">
        <f>Sheet1!CY201</f>
        <v>1166.05</v>
      </c>
      <c r="P198" s="514">
        <f>Calculation!ET201</f>
        <v>1138.7</v>
      </c>
      <c r="Q198" s="498">
        <f>Calculation!DF201</f>
        <v>49384.300000116746</v>
      </c>
      <c r="R198" s="500">
        <f t="shared" si="53"/>
        <v>48164.300000116746</v>
      </c>
      <c r="S198" s="498">
        <f t="shared" si="39"/>
        <v>-135.12000000025728</v>
      </c>
      <c r="T198" s="498">
        <f ca="1">IF(A198&gt;$A$1,#N/A,VLOOKUP(A198,Calculation!$B$8:$IV$881,30,FALSE))</f>
        <v>10000</v>
      </c>
      <c r="U198" s="498">
        <f t="shared" ref="U198:U261" si="54">D198</f>
        <v>0</v>
      </c>
      <c r="V198" s="498">
        <f>Calculation!AP201</f>
        <v>0</v>
      </c>
      <c r="W198" s="498">
        <f t="shared" ca="1" si="51"/>
        <v>15000</v>
      </c>
      <c r="X198" s="498">
        <f ca="1">-IF(-(Q198-T198-AC198-W197)&gt;0,(Q198-T198-AC198-W197)/1.983,0)</f>
        <v>0</v>
      </c>
      <c r="Y198" s="744">
        <f t="shared" ca="1" si="52"/>
        <v>2500</v>
      </c>
      <c r="Z198" s="748">
        <f t="shared" ref="Z198:Z261" ca="1" si="55">W198-Y198</f>
        <v>12500</v>
      </c>
      <c r="AA198" s="498">
        <f t="shared" ca="1" si="40"/>
        <v>24384.300000116746</v>
      </c>
      <c r="AB198" s="501">
        <f t="shared" ca="1" si="41"/>
        <v>23164.300000116746</v>
      </c>
      <c r="AC198" s="498">
        <f ca="1">IF(A198&gt;$A$1,#N/A,VLOOKUP(A198,Calculation!$B$8:$IV$881,155,FALSE))</f>
        <v>23602.400000056172</v>
      </c>
      <c r="AD198" s="498">
        <f t="shared" ca="1" si="42"/>
        <v>-71.400000000161526</v>
      </c>
      <c r="AE198" s="498"/>
      <c r="AF198" s="501">
        <f>Calculation!G201</f>
        <v>726.1216865091119</v>
      </c>
      <c r="AG198" s="498" t="str">
        <f t="shared" si="43"/>
        <v>Yes</v>
      </c>
      <c r="AH198" s="498" t="str">
        <f t="shared" si="44"/>
        <v>Yes</v>
      </c>
      <c r="AK198" s="738">
        <v>48725.9000001151</v>
      </c>
      <c r="AL198" s="738">
        <v>35004.280000086248</v>
      </c>
      <c r="AM198" s="740">
        <v>50386.440000117771</v>
      </c>
      <c r="AR198" s="552" t="e">
        <f t="shared" ca="1" si="46"/>
        <v>#DIV/0!</v>
      </c>
      <c r="AS198" s="523">
        <f>IF(Summary!A198&lt;Calculation!FT201,FORECAST(20000,A192:A198,T192:T198),0)</f>
        <v>0</v>
      </c>
      <c r="AT198" s="581">
        <f>Calculation!AR201*3.068</f>
        <v>4166.6666666666661</v>
      </c>
      <c r="AU198" s="575">
        <f ca="1">Calculation!DA201</f>
        <v>1944.4444444444441</v>
      </c>
      <c r="AV198" s="575">
        <f>Calculation!CF201*3.068</f>
        <v>1944.4444444444441</v>
      </c>
      <c r="AW198" s="582">
        <f>Calculation!BK201*3.068</f>
        <v>1944.4444444444441</v>
      </c>
      <c r="AX198" s="813">
        <f t="shared" si="47"/>
        <v>40727</v>
      </c>
      <c r="AY198" s="813">
        <f>IF(Summary!A198&lt;Calculation!FT201,FORECAST(8333.33,A192:A198,AT192:AT198),0)</f>
        <v>0</v>
      </c>
      <c r="AZ198" s="534">
        <f t="shared" ca="1" si="48"/>
        <v>40727</v>
      </c>
      <c r="BA198" s="536">
        <f>IF(Summary!A198&lt;Calculation!FT201,FORECAST(3888.89,A192:A198,AU192:AU198),0)</f>
        <v>0</v>
      </c>
      <c r="BB198" s="826">
        <f t="shared" si="49"/>
        <v>40727</v>
      </c>
      <c r="BC198" s="827">
        <f>IF(Summary!A198&lt;Calculation!FT201,FORECAST(3888.89,A192:A198,AV192:AV198),0)</f>
        <v>0</v>
      </c>
      <c r="BD198" s="844">
        <f t="shared" si="50"/>
        <v>40727</v>
      </c>
      <c r="BE198" s="847">
        <f>IF(Summary!A198&lt;Calculation!FT201,FORECAST(3888.89,A192:A198,AW192:AW198),0)</f>
        <v>0</v>
      </c>
    </row>
    <row r="199" spans="1:57" ht="12" thickBot="1">
      <c r="A199" s="513">
        <v>40731</v>
      </c>
      <c r="B199" s="498">
        <f t="shared" si="38"/>
        <v>114.69458</v>
      </c>
      <c r="C199" s="498">
        <f>Calculation!AA202</f>
        <v>0</v>
      </c>
      <c r="D199" s="498">
        <f>Calculation!Y202</f>
        <v>0</v>
      </c>
      <c r="E199" s="498">
        <f>Calculation!U202</f>
        <v>66.118780000000001</v>
      </c>
      <c r="F199" s="498">
        <f>Calculation!V202</f>
        <v>48.575799999999994</v>
      </c>
      <c r="G199" s="498">
        <f>Calculation!W202</f>
        <v>1.4541800000007878</v>
      </c>
      <c r="H199" s="500">
        <f>Sheet1!H202</f>
        <v>4.4000000000000004</v>
      </c>
      <c r="I199" s="501">
        <f>Sheet1!CW202</f>
        <v>994.38541666666663</v>
      </c>
      <c r="J199" s="501">
        <f>Sheet1!CX202</f>
        <v>659.41666666666663</v>
      </c>
      <c r="K199" s="501">
        <f>Sheet1!CV202</f>
        <v>794.39130434782612</v>
      </c>
      <c r="L199" s="501">
        <f>Calculation!F202</f>
        <v>250</v>
      </c>
      <c r="M199" s="501">
        <f>Calculation!E202</f>
        <v>250</v>
      </c>
      <c r="N199" s="501">
        <f>Calculation!D202</f>
        <v>300</v>
      </c>
      <c r="O199" s="500">
        <f>Sheet1!CY202</f>
        <v>1165.8900000000001</v>
      </c>
      <c r="P199" s="514">
        <f>Calculation!ET202</f>
        <v>1138.5999999999999</v>
      </c>
      <c r="Q199" s="498">
        <f>Calculation!DF202</f>
        <v>49205.350000115606</v>
      </c>
      <c r="R199" s="500">
        <f t="shared" si="53"/>
        <v>47985.350000115606</v>
      </c>
      <c r="S199" s="498">
        <f t="shared" si="39"/>
        <v>-178.95000000113941</v>
      </c>
      <c r="T199" s="498">
        <f ca="1">IF(A199&gt;$A$1,#N/A,VLOOKUP(A199,Calculation!$B$8:$IV$881,30,FALSE))</f>
        <v>10000</v>
      </c>
      <c r="U199" s="498">
        <f t="shared" si="54"/>
        <v>0</v>
      </c>
      <c r="V199" s="498">
        <f>Calculation!AP202</f>
        <v>0</v>
      </c>
      <c r="W199" s="498">
        <f t="shared" ca="1" si="51"/>
        <v>15000</v>
      </c>
      <c r="X199" s="498">
        <f t="shared" ref="X199:X218" ca="1" si="56">-IF(-(Q199-T199-AC199-W198)&gt;0,(Q199-T199-AC199-W198)/1.983,0)</f>
        <v>0</v>
      </c>
      <c r="Y199" s="744">
        <f t="shared" ca="1" si="52"/>
        <v>2500</v>
      </c>
      <c r="Z199" s="748">
        <f t="shared" ca="1" si="55"/>
        <v>12500</v>
      </c>
      <c r="AA199" s="498">
        <f t="shared" ca="1" si="40"/>
        <v>24205.350000115606</v>
      </c>
      <c r="AB199" s="501">
        <f t="shared" ca="1" si="41"/>
        <v>22985.350000115606</v>
      </c>
      <c r="AC199" s="498">
        <f ca="1">IF(A199&gt;$A$1,#N/A,VLOOKUP(A199,Calculation!$B$8:$IV$881,155,FALSE))</f>
        <v>23531.00000005617</v>
      </c>
      <c r="AD199" s="498">
        <f t="shared" ca="1" si="42"/>
        <v>-71.400000000001455</v>
      </c>
      <c r="AE199" s="498"/>
      <c r="AF199" s="501">
        <f>Calculation!G202</f>
        <v>704.14924685859796</v>
      </c>
      <c r="AG199" s="498" t="str">
        <f t="shared" si="43"/>
        <v>Yes</v>
      </c>
      <c r="AH199" s="498" t="str">
        <f t="shared" si="44"/>
        <v>Yes</v>
      </c>
      <c r="AK199" s="738">
        <v>48036.360000113207</v>
      </c>
      <c r="AL199" s="738">
        <v>34358.170000084428</v>
      </c>
      <c r="AM199" s="740">
        <v>50307.620000117517</v>
      </c>
      <c r="AR199" s="552" t="e">
        <f t="shared" ca="1" si="46"/>
        <v>#DIV/0!</v>
      </c>
      <c r="AS199" s="523">
        <f>IF(Summary!A199&lt;Calculation!FT202,FORECAST(20000,A193:A199,T193:T199),0)</f>
        <v>0</v>
      </c>
      <c r="AT199" s="581">
        <f>Calculation!AR202*3.068</f>
        <v>4166.6666666666661</v>
      </c>
      <c r="AU199" s="575">
        <f ca="1">Calculation!DA202</f>
        <v>1944.4444444444441</v>
      </c>
      <c r="AV199" s="575">
        <f>Calculation!CF202*3.068</f>
        <v>1944.4444444444441</v>
      </c>
      <c r="AW199" s="582">
        <f>Calculation!BK202*3.068</f>
        <v>1944.4444444444441</v>
      </c>
      <c r="AX199" s="813">
        <f t="shared" si="47"/>
        <v>40728</v>
      </c>
      <c r="AY199" s="813">
        <f>IF(Summary!A199&lt;Calculation!FT202,FORECAST(8333.33,A193:A199,AT193:AT199),0)</f>
        <v>0</v>
      </c>
      <c r="AZ199" s="534">
        <f t="shared" ca="1" si="48"/>
        <v>40728</v>
      </c>
      <c r="BA199" s="536">
        <f>IF(Summary!A199&lt;Calculation!FT202,FORECAST(3888.89,A193:A199,AU193:AU199),0)</f>
        <v>0</v>
      </c>
      <c r="BB199" s="826">
        <f t="shared" si="49"/>
        <v>40728</v>
      </c>
      <c r="BC199" s="827">
        <f>IF(Summary!A199&lt;Calculation!FT202,FORECAST(3888.89,A193:A199,AV193:AV199),0)</f>
        <v>0</v>
      </c>
      <c r="BD199" s="844">
        <f t="shared" si="50"/>
        <v>40728</v>
      </c>
      <c r="BE199" s="847">
        <f>IF(Summary!A199&lt;Calculation!FT202,FORECAST(3888.89,A193:A199,AW193:AW199),0)</f>
        <v>0</v>
      </c>
    </row>
    <row r="200" spans="1:57" ht="12" thickBot="1">
      <c r="A200" s="513">
        <v>40732</v>
      </c>
      <c r="B200" s="498">
        <f t="shared" si="38"/>
        <v>97.708519999999993</v>
      </c>
      <c r="C200" s="498">
        <f>Calculation!AA203</f>
        <v>0</v>
      </c>
      <c r="D200" s="498">
        <f>Calculation!Y203</f>
        <v>0</v>
      </c>
      <c r="E200" s="498">
        <f>Calculation!U203</f>
        <v>61.663419999999995</v>
      </c>
      <c r="F200" s="498">
        <f>Calculation!V203</f>
        <v>36.045099999999998</v>
      </c>
      <c r="G200" s="498">
        <f>Calculation!W203</f>
        <v>39.989950000000562</v>
      </c>
      <c r="H200" s="500">
        <f>Sheet1!H203</f>
        <v>1.24</v>
      </c>
      <c r="I200" s="501">
        <f>Sheet1!CW203</f>
        <v>1006.9270833333334</v>
      </c>
      <c r="J200" s="501">
        <f>Sheet1!CX203</f>
        <v>709.36458333333337</v>
      </c>
      <c r="K200" s="501">
        <f>Sheet1!CV203</f>
        <v>781</v>
      </c>
      <c r="L200" s="501">
        <f>Calculation!F203</f>
        <v>250</v>
      </c>
      <c r="M200" s="501">
        <f>Calculation!E203</f>
        <v>250</v>
      </c>
      <c r="N200" s="501">
        <f>Calculation!D203</f>
        <v>300</v>
      </c>
      <c r="O200" s="500">
        <f>Sheet1!CY203</f>
        <v>1165.6300000000001</v>
      </c>
      <c r="P200" s="514">
        <f>Calculation!ET203</f>
        <v>1138.5</v>
      </c>
      <c r="Q200" s="498">
        <f>Calculation!DF203</f>
        <v>48915.45000011535</v>
      </c>
      <c r="R200" s="500">
        <f t="shared" si="53"/>
        <v>47695.45000011535</v>
      </c>
      <c r="S200" s="498">
        <f t="shared" si="39"/>
        <v>-289.90000000025611</v>
      </c>
      <c r="T200" s="498">
        <f ca="1">IF(A200&gt;$A$1,#N/A,VLOOKUP(A200,Calculation!$B$8:$IV$881,30,FALSE))</f>
        <v>10000</v>
      </c>
      <c r="U200" s="498">
        <f t="shared" si="54"/>
        <v>0</v>
      </c>
      <c r="V200" s="498">
        <f>Calculation!AP203</f>
        <v>0</v>
      </c>
      <c r="W200" s="498">
        <f t="shared" ca="1" si="51"/>
        <v>15000</v>
      </c>
      <c r="X200" s="498">
        <f t="shared" ca="1" si="56"/>
        <v>0</v>
      </c>
      <c r="Y200" s="744">
        <f t="shared" ca="1" si="52"/>
        <v>2500</v>
      </c>
      <c r="Z200" s="748">
        <f t="shared" ca="1" si="55"/>
        <v>12500</v>
      </c>
      <c r="AA200" s="498">
        <f t="shared" ca="1" si="40"/>
        <v>23915.45000011535</v>
      </c>
      <c r="AB200" s="501">
        <f t="shared" ca="1" si="41"/>
        <v>22695.45000011535</v>
      </c>
      <c r="AC200" s="498">
        <f ca="1">IF(A200&gt;$A$1,#N/A,VLOOKUP(A200,Calculation!$B$8:$IV$881,155,FALSE))</f>
        <v>23531.00000005617</v>
      </c>
      <c r="AD200" s="498">
        <f t="shared" ca="1" si="42"/>
        <v>0</v>
      </c>
      <c r="AE200" s="498"/>
      <c r="AF200" s="501">
        <f>Calculation!G203</f>
        <v>634.80736258181742</v>
      </c>
      <c r="AG200" s="498" t="str">
        <f t="shared" si="43"/>
        <v>Yes</v>
      </c>
      <c r="AH200" s="498" t="str">
        <f t="shared" si="44"/>
        <v>Yes</v>
      </c>
      <c r="AK200" s="738">
        <v>47274.60000011271</v>
      </c>
      <c r="AL200" s="738">
        <v>33726.390000082538</v>
      </c>
      <c r="AM200" s="740">
        <v>50262.580000117516</v>
      </c>
      <c r="AR200" s="552" t="e">
        <f t="shared" ca="1" si="46"/>
        <v>#DIV/0!</v>
      </c>
      <c r="AS200" s="523">
        <f>IF(Summary!A200&lt;Calculation!FT203,FORECAST(20000,A194:A200,T194:T200),0)</f>
        <v>0</v>
      </c>
      <c r="AT200" s="581">
        <f>Calculation!AR203*3.068</f>
        <v>4166.6666666666661</v>
      </c>
      <c r="AU200" s="575">
        <f ca="1">Calculation!DA203</f>
        <v>1944.4444444444441</v>
      </c>
      <c r="AV200" s="575">
        <f>Calculation!CF203*3.068</f>
        <v>1944.4444444444441</v>
      </c>
      <c r="AW200" s="582">
        <f>Calculation!BK203*3.068</f>
        <v>1944.4444444444441</v>
      </c>
      <c r="AX200" s="813">
        <f t="shared" si="47"/>
        <v>40729</v>
      </c>
      <c r="AY200" s="813">
        <f>IF(Summary!A200&lt;Calculation!FT203,FORECAST(8333.33,A194:A200,AT194:AT200),0)</f>
        <v>0</v>
      </c>
      <c r="AZ200" s="534">
        <f t="shared" ca="1" si="48"/>
        <v>40729</v>
      </c>
      <c r="BA200" s="536">
        <f>IF(Summary!A200&lt;Calculation!FT203,FORECAST(3888.89,A194:A200,AU194:AU200),0)</f>
        <v>0</v>
      </c>
      <c r="BB200" s="826">
        <f t="shared" si="49"/>
        <v>40729</v>
      </c>
      <c r="BC200" s="827">
        <f>IF(Summary!A200&lt;Calculation!FT203,FORECAST(3888.89,A194:A200,AV194:AV200),0)</f>
        <v>0</v>
      </c>
      <c r="BD200" s="844">
        <f t="shared" si="50"/>
        <v>40729</v>
      </c>
      <c r="BE200" s="847">
        <f>IF(Summary!A200&lt;Calculation!FT203,FORECAST(3888.89,A194:A200,AW194:AW200),0)</f>
        <v>0</v>
      </c>
    </row>
    <row r="201" spans="1:57" ht="12" thickBot="1">
      <c r="A201" s="513">
        <v>40733</v>
      </c>
      <c r="B201" s="498">
        <f t="shared" si="38"/>
        <v>94.676400000006751</v>
      </c>
      <c r="C201" s="498">
        <f>Calculation!AA204</f>
        <v>0</v>
      </c>
      <c r="D201" s="498">
        <f>Calculation!Y204</f>
        <v>0</v>
      </c>
      <c r="E201" s="498">
        <f>Calculation!U204</f>
        <v>63.272300000013502</v>
      </c>
      <c r="F201" s="498">
        <f>Calculation!V204</f>
        <v>31.404099999993246</v>
      </c>
      <c r="G201" s="498">
        <f>Calculation!W204</f>
        <v>56.310799999999432</v>
      </c>
      <c r="H201" s="500">
        <f>Sheet1!H204</f>
        <v>1.35</v>
      </c>
      <c r="I201" s="501">
        <f>Sheet1!CW204</f>
        <v>1093.75</v>
      </c>
      <c r="J201" s="501">
        <f>Sheet1!CX204</f>
        <v>724.88541666666663</v>
      </c>
      <c r="K201" s="501">
        <f>Sheet1!CV204</f>
        <v>776.17391304347825</v>
      </c>
      <c r="L201" s="501">
        <f>Calculation!F204</f>
        <v>250</v>
      </c>
      <c r="M201" s="501">
        <f>Calculation!E204</f>
        <v>250</v>
      </c>
      <c r="N201" s="501">
        <f>Calculation!D204</f>
        <v>300</v>
      </c>
      <c r="O201" s="500">
        <f>Sheet1!CY204</f>
        <v>1165.21</v>
      </c>
      <c r="P201" s="514">
        <f>Calculation!ET204</f>
        <v>1138.5</v>
      </c>
      <c r="Q201" s="498">
        <f>Calculation!DF204</f>
        <v>48447.150000114845</v>
      </c>
      <c r="R201" s="500">
        <f t="shared" si="53"/>
        <v>47227.150000114845</v>
      </c>
      <c r="S201" s="498">
        <f t="shared" si="39"/>
        <v>-468.30000000050495</v>
      </c>
      <c r="T201" s="498">
        <f ca="1">IF(A201&gt;$A$1,#N/A,VLOOKUP(A201,Calculation!$B$8:$IV$881,30,FALSE))</f>
        <v>10000</v>
      </c>
      <c r="U201" s="498">
        <f t="shared" si="54"/>
        <v>0</v>
      </c>
      <c r="V201" s="498">
        <f>Calculation!AP204</f>
        <v>0</v>
      </c>
      <c r="W201" s="498">
        <f ca="1">IF(A201&gt;=$A$1,#N/A,W200-X201*1.983)</f>
        <v>14987.550000058676</v>
      </c>
      <c r="X201" s="498">
        <f t="shared" ca="1" si="56"/>
        <v>6.27836608236196</v>
      </c>
      <c r="Y201" s="744">
        <f t="shared" ca="1" si="52"/>
        <v>2500</v>
      </c>
      <c r="Z201" s="748">
        <f t="shared" ca="1" si="55"/>
        <v>12487.550000058676</v>
      </c>
      <c r="AA201" s="498">
        <f ca="1">AC201</f>
        <v>23459.600000056169</v>
      </c>
      <c r="AB201" s="501">
        <f t="shared" ca="1" si="41"/>
        <v>22239.600000056169</v>
      </c>
      <c r="AC201" s="498">
        <f ca="1">IF(A201&gt;$A$1,#N/A,VLOOKUP(A201,Calculation!$B$8:$IV$881,155,FALSE))</f>
        <v>23459.600000056169</v>
      </c>
      <c r="AD201" s="498">
        <f t="shared" ca="1" si="42"/>
        <v>-71.400000000001455</v>
      </c>
      <c r="AE201" s="498"/>
      <c r="AF201" s="501">
        <f>Calculation!G204</f>
        <v>540.0165756755988</v>
      </c>
      <c r="AG201" s="498" t="str">
        <f t="shared" si="43"/>
        <v>Yes</v>
      </c>
      <c r="AH201" s="498" t="str">
        <f t="shared" si="44"/>
        <v>Yes</v>
      </c>
      <c r="AK201" s="738">
        <v>46201.810000110592</v>
      </c>
      <c r="AL201" s="738">
        <v>33129.040000082125</v>
      </c>
      <c r="AM201" s="740">
        <v>50228.800000117517</v>
      </c>
      <c r="AR201" s="552" t="e">
        <f t="shared" ca="1" si="46"/>
        <v>#DIV/0!</v>
      </c>
      <c r="AS201" s="523">
        <f>IF(Summary!A201&lt;Calculation!FT204,FORECAST(20000,A195:A201,T195:T201),0)</f>
        <v>0</v>
      </c>
      <c r="AT201" s="581">
        <f>Calculation!AR204*3.068</f>
        <v>4166.6666666666661</v>
      </c>
      <c r="AU201" s="575">
        <f ca="1">Calculation!DA204</f>
        <v>1944.4444444444441</v>
      </c>
      <c r="AV201" s="575">
        <f>Calculation!CF204*3.068</f>
        <v>1944.4444444444441</v>
      </c>
      <c r="AW201" s="582">
        <f>Calculation!BK204*3.068</f>
        <v>1944.4444444444441</v>
      </c>
      <c r="AX201" s="813">
        <f>FORECAST(0,A195:A201,AT195:AT201)</f>
        <v>40730</v>
      </c>
      <c r="AY201" s="813">
        <f>IF(Summary!A201&lt;Calculation!FT204,FORECAST(8333.33,A195:A201,AT195:AT201),0)</f>
        <v>0</v>
      </c>
      <c r="AZ201" s="534">
        <f t="shared" ca="1" si="48"/>
        <v>40730</v>
      </c>
      <c r="BA201" s="536">
        <f>IF(Summary!A201&lt;Calculation!FT204,FORECAST(3888.89,A195:A201,AU195:AU201),0)</f>
        <v>0</v>
      </c>
      <c r="BB201" s="826">
        <f t="shared" si="49"/>
        <v>40730</v>
      </c>
      <c r="BC201" s="827">
        <f>IF(Summary!A201&lt;Calculation!FT204,FORECAST(3888.89,A195:A201,AV195:AV201),0)</f>
        <v>0</v>
      </c>
      <c r="BD201" s="844">
        <f t="shared" si="50"/>
        <v>40730</v>
      </c>
      <c r="BE201" s="847">
        <f>IF(Summary!A201&lt;Calculation!FT204,FORECAST(3888.89,A195:A201,AW195:AW201),0)</f>
        <v>0</v>
      </c>
    </row>
    <row r="202" spans="1:57" ht="12" thickBot="1">
      <c r="A202" s="513">
        <v>40734</v>
      </c>
      <c r="B202" s="498">
        <f t="shared" si="38"/>
        <v>105.04130000001351</v>
      </c>
      <c r="C202" s="498">
        <f>Calculation!AA205</f>
        <v>0</v>
      </c>
      <c r="D202" s="498">
        <f>Calculation!Y205</f>
        <v>0</v>
      </c>
      <c r="E202" s="498">
        <f>Calculation!U205</f>
        <v>62.344100000004502</v>
      </c>
      <c r="F202" s="498">
        <f>Calculation!V205</f>
        <v>42.697200000009005</v>
      </c>
      <c r="G202" s="498">
        <f>Calculation!W205</f>
        <v>0</v>
      </c>
      <c r="H202" s="500">
        <f>Sheet1!H205</f>
        <v>1.39</v>
      </c>
      <c r="I202" s="501">
        <f>Sheet1!CW205</f>
        <v>980.83333333333337</v>
      </c>
      <c r="J202" s="501">
        <f>Sheet1!CX205</f>
        <v>654.08333333333337</v>
      </c>
      <c r="K202" s="501">
        <f>Sheet1!CV205</f>
        <v>776</v>
      </c>
      <c r="L202" s="501">
        <f>Calculation!F205</f>
        <v>250</v>
      </c>
      <c r="M202" s="501">
        <f>Calculation!E205</f>
        <v>250</v>
      </c>
      <c r="N202" s="501">
        <f>Calculation!D205</f>
        <v>300</v>
      </c>
      <c r="O202" s="500">
        <f>Sheet1!CY205</f>
        <v>1164.82</v>
      </c>
      <c r="P202" s="514">
        <f>Calculation!ET205</f>
        <v>1138.4000000000001</v>
      </c>
      <c r="Q202" s="498">
        <f>Calculation!DF205</f>
        <v>48014.280000113205</v>
      </c>
      <c r="R202" s="500">
        <f t="shared" si="53"/>
        <v>46794.280000113205</v>
      </c>
      <c r="S202" s="498">
        <f t="shared" si="39"/>
        <v>-432.87000000163971</v>
      </c>
      <c r="T202" s="498">
        <f ca="1">IF(A202&gt;$A$1,#N/A,VLOOKUP(A202,Calculation!$B$8:$IV$881,30,FALSE))</f>
        <v>10000</v>
      </c>
      <c r="U202" s="498">
        <f t="shared" si="54"/>
        <v>0</v>
      </c>
      <c r="V202" s="498">
        <f>Calculation!AP205</f>
        <v>0</v>
      </c>
      <c r="W202" s="498">
        <f t="shared" ref="W202:W218" ca="1" si="57">IF(A202&gt;=$A$1,#N/A,W201-X202*1.983)</f>
        <v>14626.080000057194</v>
      </c>
      <c r="X202" s="498">
        <f ca="1">-IF(-(Q202-T202-AC202-W201)&gt;0,(Q202-T202-AC202-W201)/1.983,0)</f>
        <v>182.28441754991519</v>
      </c>
      <c r="Y202" s="744">
        <f t="shared" ca="1" si="52"/>
        <v>2500</v>
      </c>
      <c r="Z202" s="748">
        <f t="shared" ca="1" si="55"/>
        <v>12126.080000057194</v>
      </c>
      <c r="AA202" s="498">
        <f t="shared" ref="AA202:AA203" ca="1" si="58">AC202</f>
        <v>23388.200000056011</v>
      </c>
      <c r="AB202" s="501">
        <f t="shared" ca="1" si="41"/>
        <v>22168.200000056011</v>
      </c>
      <c r="AC202" s="498">
        <f ca="1">IF(A202&gt;$A$1,#N/A,VLOOKUP(A202,Calculation!$B$8:$IV$881,155,FALSE))</f>
        <v>23388.200000056011</v>
      </c>
      <c r="AD202" s="498">
        <f t="shared" ca="1" si="42"/>
        <v>-71.400000000157888</v>
      </c>
      <c r="AE202" s="498"/>
      <c r="AF202" s="501">
        <f>Calculation!G205</f>
        <v>557.70953101278883</v>
      </c>
      <c r="AG202" s="498" t="str">
        <f t="shared" si="43"/>
        <v>Yes</v>
      </c>
      <c r="AH202" s="498" t="str">
        <f t="shared" si="44"/>
        <v>Yes</v>
      </c>
      <c r="AK202" s="738">
        <v>45096.300000108495</v>
      </c>
      <c r="AL202" s="738">
        <v>32665.250000080458</v>
      </c>
      <c r="AM202" s="740">
        <v>50149.98000011751</v>
      </c>
      <c r="AR202" s="552" t="e">
        <f t="shared" ca="1" si="46"/>
        <v>#DIV/0!</v>
      </c>
      <c r="AS202" s="523">
        <f>IF(Summary!A202&lt;Calculation!FT205,FORECAST(20000,A196:A202,T196:T202),0)</f>
        <v>0</v>
      </c>
      <c r="AT202" s="581">
        <f>Calculation!AR205*3.068</f>
        <v>4166.6666666666661</v>
      </c>
      <c r="AU202" s="575">
        <f ca="1">Calculation!DA205</f>
        <v>1944.4444444444441</v>
      </c>
      <c r="AV202" s="575">
        <f>Calculation!CF205*3.068</f>
        <v>1944.4444444444441</v>
      </c>
      <c r="AW202" s="582">
        <f>Calculation!BK205*3.068</f>
        <v>1944.4444444444441</v>
      </c>
      <c r="AX202" s="813">
        <f t="shared" si="47"/>
        <v>40731</v>
      </c>
      <c r="AY202" s="813">
        <f>IF(Summary!A202&lt;Calculation!FT205,FORECAST(8333.33,A196:A202,AT196:AT202),0)</f>
        <v>0</v>
      </c>
      <c r="AZ202" s="534">
        <f t="shared" ca="1" si="48"/>
        <v>40731</v>
      </c>
      <c r="BA202" s="536">
        <f>IF(Summary!A202&lt;Calculation!FT205,FORECAST(3888.89,A196:A202,AU196:AU202),0)</f>
        <v>0</v>
      </c>
      <c r="BB202" s="826">
        <f t="shared" si="49"/>
        <v>40731</v>
      </c>
      <c r="BC202" s="827">
        <f>IF(Summary!A202&lt;Calculation!FT205,FORECAST(3888.89,A196:A202,AV196:AV202),0)</f>
        <v>0</v>
      </c>
      <c r="BD202" s="844">
        <f t="shared" si="50"/>
        <v>40731</v>
      </c>
      <c r="BE202" s="847">
        <f>IF(Summary!A202&lt;Calculation!FT205,FORECAST(3888.89,A196:A202,AW196:AW202),0)</f>
        <v>0</v>
      </c>
    </row>
    <row r="203" spans="1:57" ht="12" thickBot="1">
      <c r="A203" s="513">
        <v>40735</v>
      </c>
      <c r="B203" s="498">
        <f t="shared" si="38"/>
        <v>106.74299999998874</v>
      </c>
      <c r="C203" s="498">
        <f>Calculation!AA206</f>
        <v>0</v>
      </c>
      <c r="D203" s="498">
        <f>Calculation!Y206</f>
        <v>0</v>
      </c>
      <c r="E203" s="498">
        <f>Calculation!U206</f>
        <v>63.272299999990992</v>
      </c>
      <c r="F203" s="498">
        <f>Calculation!V206</f>
        <v>43.470699999997748</v>
      </c>
      <c r="G203" s="498">
        <f>Calculation!W206</f>
        <v>0</v>
      </c>
      <c r="H203" s="500">
        <f>Sheet1!H206</f>
        <v>1.4</v>
      </c>
      <c r="I203" s="501">
        <f>Sheet1!CW206</f>
        <v>961</v>
      </c>
      <c r="J203" s="501">
        <f>Sheet1!CX206</f>
        <v>652</v>
      </c>
      <c r="K203" s="501">
        <f>Sheet1!CV206</f>
        <v>776</v>
      </c>
      <c r="L203" s="501">
        <f>Calculation!F206</f>
        <v>250</v>
      </c>
      <c r="M203" s="501">
        <f>Calculation!E206</f>
        <v>250</v>
      </c>
      <c r="N203" s="501">
        <f>Calculation!D206</f>
        <v>300</v>
      </c>
      <c r="O203" s="500">
        <f>Sheet1!CY206</f>
        <v>1164.4000000000001</v>
      </c>
      <c r="P203" s="514">
        <f>Calculation!ET206</f>
        <v>1138.3</v>
      </c>
      <c r="Q203" s="498">
        <f>Calculation!DF206</f>
        <v>47550.600000112958</v>
      </c>
      <c r="R203" s="500">
        <f t="shared" si="53"/>
        <v>46330.600000112958</v>
      </c>
      <c r="S203" s="498">
        <f t="shared" si="39"/>
        <v>-463.68000000024767</v>
      </c>
      <c r="T203" s="498">
        <f ca="1">IF(A203&gt;$A$1,#N/A,VLOOKUP(A203,Calculation!$B$8:$IV$881,30,FALSE))</f>
        <v>10000</v>
      </c>
      <c r="U203" s="498">
        <f t="shared" si="54"/>
        <v>0</v>
      </c>
      <c r="V203" s="498">
        <f>Calculation!AP206</f>
        <v>0</v>
      </c>
      <c r="W203" s="498">
        <f t="shared" ca="1" si="57"/>
        <v>14162.400000056947</v>
      </c>
      <c r="X203" s="498">
        <f t="shared" ca="1" si="56"/>
        <v>233.82753403945924</v>
      </c>
      <c r="Y203" s="744">
        <f t="shared" ca="1" si="52"/>
        <v>2500</v>
      </c>
      <c r="Z203" s="748">
        <f t="shared" ca="1" si="55"/>
        <v>11662.400000056947</v>
      </c>
      <c r="AA203" s="498">
        <f t="shared" ca="1" si="58"/>
        <v>23388.200000056011</v>
      </c>
      <c r="AB203" s="501">
        <f t="shared" ca="1" si="41"/>
        <v>22168.200000056011</v>
      </c>
      <c r="AC203" s="498">
        <f ca="1">IF(A203&gt;$A$1,#N/A,VLOOKUP(A203,Calculation!$B$8:$IV$881,155,FALSE))</f>
        <v>23388.200000056011</v>
      </c>
      <c r="AD203" s="498">
        <f t="shared" ca="1" si="42"/>
        <v>0</v>
      </c>
      <c r="AE203" s="498"/>
      <c r="AF203" s="501">
        <f>Calculation!G206</f>
        <v>542.17246596054076</v>
      </c>
      <c r="AG203" s="498" t="str">
        <f t="shared" si="43"/>
        <v>Yes</v>
      </c>
      <c r="AH203" s="498" t="str">
        <f t="shared" si="44"/>
        <v>Yes</v>
      </c>
      <c r="AK203" s="738">
        <v>43811.000000105079</v>
      </c>
      <c r="AL203" s="738">
        <v>32529.50000008025</v>
      </c>
      <c r="AM203" s="740">
        <v>49992.340000117256</v>
      </c>
      <c r="AR203" s="552" t="e">
        <f t="shared" ca="1" si="46"/>
        <v>#DIV/0!</v>
      </c>
      <c r="AS203" s="523">
        <f>IF(Summary!A203&lt;Calculation!FT206,FORECAST(20000,A197:A203,T197:T203),0)</f>
        <v>0</v>
      </c>
      <c r="AT203" s="581">
        <f>Calculation!AR206*3.068</f>
        <v>4166.6666666666661</v>
      </c>
      <c r="AU203" s="575">
        <f ca="1">Calculation!DA206</f>
        <v>1944.4444444444441</v>
      </c>
      <c r="AV203" s="575">
        <f>Calculation!CF206*3.068</f>
        <v>1944.4444444444441</v>
      </c>
      <c r="AW203" s="582">
        <f>Calculation!BK206*3.068</f>
        <v>1944.4444444444441</v>
      </c>
      <c r="AX203" s="813">
        <f t="shared" si="47"/>
        <v>40732</v>
      </c>
      <c r="AY203" s="813">
        <f>IF(Summary!A203&lt;Calculation!FT206,FORECAST(8333.33,A197:A203,AT197:AT203),0)</f>
        <v>0</v>
      </c>
      <c r="AZ203" s="534">
        <f t="shared" ca="1" si="48"/>
        <v>40732</v>
      </c>
      <c r="BA203" s="536">
        <f>IF(Summary!A203&lt;Calculation!FT206,FORECAST(3888.89,A197:A203,AU197:AU203),0)</f>
        <v>0</v>
      </c>
      <c r="BB203" s="826">
        <f t="shared" si="49"/>
        <v>40732</v>
      </c>
      <c r="BC203" s="827">
        <f>IF(Summary!A203&lt;Calculation!FT206,FORECAST(3888.89,A197:A203,AV197:AV203),0)</f>
        <v>0</v>
      </c>
      <c r="BD203" s="844">
        <f t="shared" si="50"/>
        <v>40732</v>
      </c>
      <c r="BE203" s="847">
        <f>IF(Summary!A203&lt;Calculation!FT206,FORECAST(3888.89,A197:A203,AW197:AW203),0)</f>
        <v>0</v>
      </c>
    </row>
    <row r="204" spans="1:57" ht="12" thickBot="1">
      <c r="A204" s="513">
        <v>40736</v>
      </c>
      <c r="B204" s="498">
        <f t="shared" si="38"/>
        <v>94.36699999999999</v>
      </c>
      <c r="C204" s="498">
        <f>Calculation!AA207</f>
        <v>0</v>
      </c>
      <c r="D204" s="498">
        <f>Calculation!Y207</f>
        <v>0</v>
      </c>
      <c r="E204" s="498">
        <f>Calculation!U207</f>
        <v>63.117600000004501</v>
      </c>
      <c r="F204" s="498">
        <f>Calculation!V207</f>
        <v>31.249399999995497</v>
      </c>
      <c r="G204" s="498">
        <f>Calculation!W207</f>
        <v>0</v>
      </c>
      <c r="H204" s="500">
        <f>Sheet1!H207</f>
        <v>1.6</v>
      </c>
      <c r="I204" s="501">
        <f>Sheet1!CW207</f>
        <v>976.83333333333337</v>
      </c>
      <c r="J204" s="501">
        <f>Sheet1!CX207</f>
        <v>664.71875</v>
      </c>
      <c r="K204" s="501">
        <f>Sheet1!CV207</f>
        <v>775.56521739130437</v>
      </c>
      <c r="L204" s="501">
        <f>Calculation!F207</f>
        <v>250</v>
      </c>
      <c r="M204" s="501">
        <f>Calculation!E207</f>
        <v>250</v>
      </c>
      <c r="N204" s="501">
        <f>Calculation!D207</f>
        <v>300</v>
      </c>
      <c r="O204" s="500">
        <f>Sheet1!CY207</f>
        <v>1163.97</v>
      </c>
      <c r="P204" s="514">
        <f>Calculation!ET207</f>
        <v>1138.3</v>
      </c>
      <c r="Q204" s="498">
        <f>Calculation!DF207</f>
        <v>47076.210000111336</v>
      </c>
      <c r="R204" s="500">
        <f t="shared" si="53"/>
        <v>45856.210000111336</v>
      </c>
      <c r="S204" s="498">
        <f t="shared" si="39"/>
        <v>-474.39000000162196</v>
      </c>
      <c r="T204" s="498">
        <f ca="1">IF(A204&gt;$A$1,#N/A,VLOOKUP(A204,Calculation!$B$8:$IV$881,30,FALSE))</f>
        <v>10000</v>
      </c>
      <c r="U204" s="498">
        <f t="shared" si="54"/>
        <v>0</v>
      </c>
      <c r="V204" s="498">
        <f>Calculation!AP207</f>
        <v>0</v>
      </c>
      <c r="W204" s="498">
        <f t="shared" ca="1" si="57"/>
        <v>13759.410000055326</v>
      </c>
      <c r="X204" s="498">
        <f t="shared" ca="1" si="56"/>
        <v>203.22239031851765</v>
      </c>
      <c r="Y204" s="744">
        <f t="shared" ca="1" si="52"/>
        <v>2500</v>
      </c>
      <c r="Z204" s="748">
        <f t="shared" ca="1" si="55"/>
        <v>11259.410000055326</v>
      </c>
      <c r="AA204" s="799">
        <f t="shared" ca="1" si="40"/>
        <v>23316.80000005601</v>
      </c>
      <c r="AB204" s="501">
        <f t="shared" ca="1" si="41"/>
        <v>22096.80000005601</v>
      </c>
      <c r="AC204" s="498">
        <f ca="1">IF(A204&gt;$A$1,#N/A,VLOOKUP(A204,Calculation!$B$8:$IV$881,155,FALSE))</f>
        <v>23316.80000005601</v>
      </c>
      <c r="AD204" s="498">
        <f t="shared" ca="1" si="42"/>
        <v>-71.400000000001455</v>
      </c>
      <c r="AE204" s="498"/>
      <c r="AF204" s="501">
        <f>Calculation!G207</f>
        <v>536.33677563556967</v>
      </c>
      <c r="AG204" s="498" t="str">
        <f t="shared" si="43"/>
        <v>Yes</v>
      </c>
      <c r="AH204" s="498" t="str">
        <f t="shared" si="44"/>
        <v>Yes</v>
      </c>
      <c r="AK204" s="738">
        <v>42846.40000010412</v>
      </c>
      <c r="AL204" s="738">
        <v>32565.700000080251</v>
      </c>
      <c r="AM204" s="740">
        <v>49800.920000117258</v>
      </c>
      <c r="AR204" s="552" t="e">
        <f t="shared" ca="1" si="46"/>
        <v>#DIV/0!</v>
      </c>
      <c r="AS204" s="523">
        <f>IF(Summary!A204&lt;Calculation!FT207,FORECAST(20000,A198:A204,T198:T204),0)</f>
        <v>0</v>
      </c>
      <c r="AT204" s="581">
        <f>Calculation!AR207*3.068</f>
        <v>4166.6666666666661</v>
      </c>
      <c r="AU204" s="575">
        <f ca="1">Calculation!DA207</f>
        <v>1944.4444444444441</v>
      </c>
      <c r="AV204" s="575">
        <f>Calculation!CF207*3.068</f>
        <v>1944.4444444444441</v>
      </c>
      <c r="AW204" s="582">
        <f>Calculation!BK207*3.068</f>
        <v>1944.4444444444441</v>
      </c>
      <c r="AX204" s="813">
        <f t="shared" si="47"/>
        <v>40733</v>
      </c>
      <c r="AY204" s="813">
        <f>IF(Summary!A204&lt;Calculation!FT207,FORECAST(8333.33,A198:A204,AT198:AT204),0)</f>
        <v>0</v>
      </c>
      <c r="AZ204" s="534">
        <f t="shared" ca="1" si="48"/>
        <v>40733</v>
      </c>
      <c r="BA204" s="536">
        <f>IF(Summary!A204&lt;Calculation!FT207,FORECAST(3888.89,A198:A204,AU198:AU204),0)</f>
        <v>0</v>
      </c>
      <c r="BB204" s="826">
        <f t="shared" si="49"/>
        <v>40733</v>
      </c>
      <c r="BC204" s="827">
        <f>IF(Summary!A204&lt;Calculation!FT207,FORECAST(3888.89,A198:A204,AV198:AV204),0)</f>
        <v>0</v>
      </c>
      <c r="BD204" s="844">
        <f t="shared" si="50"/>
        <v>40733</v>
      </c>
      <c r="BE204" s="847">
        <f>IF(Summary!A204&lt;Calculation!FT207,FORECAST(3888.89,A198:A204,AW198:AW204),0)</f>
        <v>0</v>
      </c>
    </row>
    <row r="205" spans="1:57" ht="12" thickBot="1">
      <c r="A205" s="513">
        <v>40737</v>
      </c>
      <c r="B205" s="498">
        <f t="shared" ref="B205:B268" si="59">E205+F205</f>
        <v>93.129399999995499</v>
      </c>
      <c r="C205" s="498">
        <f>Calculation!AA208</f>
        <v>0</v>
      </c>
      <c r="D205" s="498">
        <f>Calculation!Y208</f>
        <v>0</v>
      </c>
      <c r="E205" s="498">
        <f>Calculation!U208</f>
        <v>62.498799999990993</v>
      </c>
      <c r="F205" s="498">
        <f>Calculation!V208</f>
        <v>30.630600000004502</v>
      </c>
      <c r="G205" s="498">
        <f>Calculation!W208</f>
        <v>0</v>
      </c>
      <c r="H205" s="500">
        <f>Sheet1!H208</f>
        <v>1.49</v>
      </c>
      <c r="I205" s="501">
        <f>Sheet1!CW208</f>
        <v>993.91666666666663</v>
      </c>
      <c r="J205" s="501">
        <f>Sheet1!CX208</f>
        <v>594.46875</v>
      </c>
      <c r="K205" s="501">
        <f>Sheet1!CV208</f>
        <v>688.91304347826087</v>
      </c>
      <c r="L205" s="501">
        <f>Calculation!F208</f>
        <v>250</v>
      </c>
      <c r="M205" s="501">
        <f>Calculation!E208</f>
        <v>250</v>
      </c>
      <c r="N205" s="501">
        <f>Calculation!D208</f>
        <v>300</v>
      </c>
      <c r="O205" s="500">
        <f>Sheet1!CY208</f>
        <v>1163.76</v>
      </c>
      <c r="P205" s="514">
        <f>Calculation!ET208</f>
        <v>1138.2</v>
      </c>
      <c r="Q205" s="498">
        <f>Calculation!DF208</f>
        <v>46846.68000011109</v>
      </c>
      <c r="R205" s="500">
        <f t="shared" si="53"/>
        <v>45626.68000011109</v>
      </c>
      <c r="S205" s="498">
        <f t="shared" ref="S205:S268" si="60">R205-R204</f>
        <v>-229.53000000024622</v>
      </c>
      <c r="T205" s="498">
        <f ca="1">IF(A205&gt;$A$1,#N/A,VLOOKUP(A205,Calculation!$B$8:$IV$881,30,FALSE))</f>
        <v>10000</v>
      </c>
      <c r="U205" s="498">
        <f t="shared" si="54"/>
        <v>0</v>
      </c>
      <c r="V205" s="498">
        <f>Calculation!AP208</f>
        <v>0</v>
      </c>
      <c r="W205" s="498">
        <f t="shared" ca="1" si="57"/>
        <v>13601.280000055242</v>
      </c>
      <c r="X205" s="498">
        <f ca="1">-IF(-(Q205-T205-AC205-W204)&gt;0,(Q205-T205-AC205-W204)/1.983,0)</f>
        <v>79.742813918348304</v>
      </c>
      <c r="Y205" s="744">
        <f t="shared" ca="1" si="52"/>
        <v>2500</v>
      </c>
      <c r="Z205" s="748">
        <f t="shared" ca="1" si="55"/>
        <v>11101.280000055242</v>
      </c>
      <c r="AA205" s="799">
        <f t="shared" ca="1" si="40"/>
        <v>23245.400000055848</v>
      </c>
      <c r="AB205" s="501">
        <f t="shared" ref="AB205:AB268" ca="1" si="61">AA205-1220</f>
        <v>22025.400000055848</v>
      </c>
      <c r="AC205" s="498">
        <f ca="1">IF(A205&gt;$A$1,#N/A,VLOOKUP(A205,Calculation!$B$8:$IV$881,155,FALSE))</f>
        <v>23245.400000055848</v>
      </c>
      <c r="AD205" s="498">
        <f t="shared" ref="AD205:AD268" ca="1" si="62">AC205-AC204</f>
        <v>-71.400000000161526</v>
      </c>
      <c r="AE205" s="498"/>
      <c r="AF205" s="501">
        <f>Calculation!G208</f>
        <v>573.16417812261477</v>
      </c>
      <c r="AG205" s="498" t="str">
        <f t="shared" ref="AG205:AG268" si="63">IF(I205&gt;L205,"Yes","No")</f>
        <v>Yes</v>
      </c>
      <c r="AH205" s="498" t="str">
        <f t="shared" ref="AH205:AH268" si="64">IF(AND(I205&gt;M205,J205&gt;N205),"Yes","No")</f>
        <v>Yes</v>
      </c>
      <c r="AK205" s="738">
        <v>41809.350000101891</v>
      </c>
      <c r="AL205" s="738">
        <v>32520.450000080251</v>
      </c>
      <c r="AM205" s="740">
        <v>49575.720000116999</v>
      </c>
      <c r="AR205" s="552" t="e">
        <f t="shared" ca="1" si="46"/>
        <v>#DIV/0!</v>
      </c>
      <c r="AS205" s="523">
        <f>IF(Summary!A205&lt;Calculation!FT208,FORECAST(20000,A199:A205,T199:T205),0)</f>
        <v>0</v>
      </c>
      <c r="AT205" s="581">
        <f>Calculation!AR208*3.068</f>
        <v>4166.6666666666661</v>
      </c>
      <c r="AU205" s="575">
        <f ca="1">Calculation!DA208</f>
        <v>1944.4444444444441</v>
      </c>
      <c r="AV205" s="575">
        <f>Calculation!CF208*3.068</f>
        <v>1944.4444444444441</v>
      </c>
      <c r="AW205" s="582">
        <f>Calculation!BK208*3.068</f>
        <v>1944.4444444444441</v>
      </c>
      <c r="AX205" s="813">
        <f t="shared" si="47"/>
        <v>40734</v>
      </c>
      <c r="AY205" s="813">
        <f>IF(Summary!A205&lt;Calculation!FT208,FORECAST(8333.33,A199:A205,AT199:AT205),0)</f>
        <v>0</v>
      </c>
      <c r="AZ205" s="534">
        <f t="shared" ca="1" si="48"/>
        <v>40734</v>
      </c>
      <c r="BA205" s="536">
        <f>IF(Summary!A205&lt;Calculation!FT208,FORECAST(3888.89,A199:A205,AU199:AU205),0)</f>
        <v>0</v>
      </c>
      <c r="BB205" s="826">
        <f t="shared" si="49"/>
        <v>40734</v>
      </c>
      <c r="BC205" s="827">
        <f>IF(Summary!A205&lt;Calculation!FT208,FORECAST(3888.89,A199:A205,AV199:AV205),0)</f>
        <v>0</v>
      </c>
      <c r="BD205" s="844">
        <f t="shared" si="50"/>
        <v>40734</v>
      </c>
      <c r="BE205" s="847">
        <f>IF(Summary!A205&lt;Calculation!FT208,FORECAST(3888.89,A199:A205,AW199:AW205),0)</f>
        <v>0</v>
      </c>
    </row>
    <row r="206" spans="1:57" ht="12" thickBot="1">
      <c r="A206" s="513">
        <v>40738</v>
      </c>
      <c r="B206" s="498">
        <f t="shared" si="59"/>
        <v>94.459819999996398</v>
      </c>
      <c r="C206" s="498">
        <f>Calculation!AA209</f>
        <v>0</v>
      </c>
      <c r="D206" s="498">
        <f>Calculation!Y209</f>
        <v>0</v>
      </c>
      <c r="E206" s="498">
        <f>Calculation!U209</f>
        <v>63.427</v>
      </c>
      <c r="F206" s="498">
        <f>Calculation!V209</f>
        <v>31.032819999996395</v>
      </c>
      <c r="G206" s="498">
        <f>Calculation!W209</f>
        <v>0</v>
      </c>
      <c r="H206" s="500">
        <f>Sheet1!H209</f>
        <v>1.36</v>
      </c>
      <c r="I206" s="501">
        <f>Sheet1!CW209</f>
        <v>840.88541666666663</v>
      </c>
      <c r="J206" s="501">
        <f>Sheet1!CX209</f>
        <v>520.05208333333337</v>
      </c>
      <c r="K206" s="501">
        <f>Sheet1!CV209</f>
        <v>612.82608695652175</v>
      </c>
      <c r="L206" s="501">
        <f>Calculation!F209</f>
        <v>250</v>
      </c>
      <c r="M206" s="501">
        <f>Calculation!E209</f>
        <v>250</v>
      </c>
      <c r="N206" s="501">
        <f>Calculation!D209</f>
        <v>300</v>
      </c>
      <c r="O206" s="500">
        <f>Sheet1!CY209</f>
        <v>1163.6400000000001</v>
      </c>
      <c r="P206" s="514">
        <f>Calculation!ET209</f>
        <v>1138.0999999999999</v>
      </c>
      <c r="Q206" s="498">
        <f>Calculation!DF209</f>
        <v>46715.520000111086</v>
      </c>
      <c r="R206" s="500">
        <f t="shared" si="53"/>
        <v>45495.520000111086</v>
      </c>
      <c r="S206" s="498">
        <f t="shared" si="60"/>
        <v>-131.16000000000349</v>
      </c>
      <c r="T206" s="498">
        <f ca="1">IF(A206&gt;$A$1,#N/A,VLOOKUP(A206,Calculation!$B$8:$IV$881,30,FALSE))</f>
        <v>10000</v>
      </c>
      <c r="U206" s="498">
        <f t="shared" si="54"/>
        <v>0</v>
      </c>
      <c r="V206" s="498">
        <f>Calculation!AP209</f>
        <v>0</v>
      </c>
      <c r="W206" s="498">
        <f t="shared" ca="1" si="57"/>
        <v>13470.120000055238</v>
      </c>
      <c r="X206" s="498">
        <f t="shared" ca="1" si="56"/>
        <v>66.142208774585725</v>
      </c>
      <c r="Y206" s="744">
        <f t="shared" ca="1" si="52"/>
        <v>2500</v>
      </c>
      <c r="Z206" s="748">
        <f t="shared" ca="1" si="55"/>
        <v>10970.120000055238</v>
      </c>
      <c r="AA206" s="799">
        <f t="shared" ref="AA206:AA217" ca="1" si="65">IF(Q206-T206-W206&lt;0,0,Q206-T206-W206)</f>
        <v>23245.400000055848</v>
      </c>
      <c r="AB206" s="501">
        <f t="shared" ca="1" si="61"/>
        <v>22025.400000055848</v>
      </c>
      <c r="AC206" s="498">
        <f ca="1">IF(A206&gt;$A$1,#N/A,VLOOKUP(A206,Calculation!$B$8:$IV$881,155,FALSE))</f>
        <v>23245.400000055848</v>
      </c>
      <c r="AD206" s="498">
        <f t="shared" ca="1" si="62"/>
        <v>0</v>
      </c>
      <c r="AE206" s="498"/>
      <c r="AF206" s="501">
        <f>Calculation!G209</f>
        <v>546.68387818193605</v>
      </c>
      <c r="AG206" s="498" t="str">
        <f t="shared" si="63"/>
        <v>Yes</v>
      </c>
      <c r="AH206" s="498" t="str">
        <f t="shared" si="64"/>
        <v>Yes</v>
      </c>
      <c r="AK206" s="738">
        <v>40983.000000099724</v>
      </c>
      <c r="AL206" s="738">
        <v>32484.25000008025</v>
      </c>
      <c r="AM206" s="740">
        <v>49328.00000011675</v>
      </c>
      <c r="AR206" s="552" t="e">
        <f t="shared" ca="1" si="46"/>
        <v>#DIV/0!</v>
      </c>
      <c r="AS206" s="523">
        <f>IF(Summary!A206&lt;Calculation!FT209,FORECAST(20000,A200:A206,T200:T206),0)</f>
        <v>0</v>
      </c>
      <c r="AT206" s="581">
        <f>Calculation!AR209*3.068</f>
        <v>4166.6666666666661</v>
      </c>
      <c r="AU206" s="575">
        <f ca="1">Calculation!DA209</f>
        <v>1944.4444444444441</v>
      </c>
      <c r="AV206" s="575">
        <f>Calculation!CF209*3.068</f>
        <v>1944.4444444444441</v>
      </c>
      <c r="AW206" s="582">
        <f>Calculation!BK209*3.068</f>
        <v>1944.4444444444441</v>
      </c>
      <c r="AX206" s="813">
        <f t="shared" si="47"/>
        <v>40735</v>
      </c>
      <c r="AY206" s="814">
        <f>IF(Summary!A206&lt;Calculation!FT209,FORECAST(8333.33,A200:A206,AT200:AT206),0)</f>
        <v>0</v>
      </c>
      <c r="AZ206" s="534">
        <f t="shared" ca="1" si="48"/>
        <v>40735</v>
      </c>
      <c r="BA206" s="537">
        <f>IF(Summary!A206&lt;Calculation!FT209,FORECAST(3888.89,A200:A206,AU200:AU206),0)</f>
        <v>0</v>
      </c>
      <c r="BB206" s="826">
        <f t="shared" si="49"/>
        <v>40735</v>
      </c>
      <c r="BC206" s="828">
        <f>IF(Summary!A206&lt;Calculation!FT209,FORECAST(3888.89,A200:A206,AV200:AV206),0)</f>
        <v>0</v>
      </c>
      <c r="BD206" s="844">
        <f t="shared" si="50"/>
        <v>40735</v>
      </c>
      <c r="BE206" s="848">
        <f>IF(Summary!A206&lt;Calculation!FT209,FORECAST(3888.89,A200:A206,AW200:AW206),0)</f>
        <v>0</v>
      </c>
    </row>
    <row r="207" spans="1:57" ht="13.5" thickBot="1">
      <c r="A207" s="513">
        <v>40739</v>
      </c>
      <c r="B207" s="498">
        <f t="shared" si="59"/>
        <v>93.949310000016197</v>
      </c>
      <c r="C207" s="498">
        <f>Calculation!AA210</f>
        <v>0</v>
      </c>
      <c r="D207" s="498">
        <f>Calculation!Y210</f>
        <v>0</v>
      </c>
      <c r="E207" s="498">
        <f>Calculation!U210</f>
        <v>63.1021300000126</v>
      </c>
      <c r="F207" s="498">
        <f>Calculation!V210</f>
        <v>30.8471800000036</v>
      </c>
      <c r="G207" s="498">
        <f>Calculation!W210</f>
        <v>0</v>
      </c>
      <c r="H207" s="500">
        <f>Sheet1!H210</f>
        <v>1.2</v>
      </c>
      <c r="I207" s="501">
        <f>Sheet1!CW210</f>
        <v>839.75</v>
      </c>
      <c r="J207" s="501">
        <f>Sheet1!CX210</f>
        <v>540.13541666666663</v>
      </c>
      <c r="K207" s="501">
        <f>Sheet1!CV210</f>
        <v>640.04347826086962</v>
      </c>
      <c r="L207" s="501">
        <f>Calculation!F210</f>
        <v>250</v>
      </c>
      <c r="M207" s="501">
        <f>Calculation!E210</f>
        <v>400</v>
      </c>
      <c r="N207" s="501">
        <f>Calculation!D210</f>
        <v>200</v>
      </c>
      <c r="O207" s="500">
        <f>Sheet1!CY210</f>
        <v>1163.3800000000001</v>
      </c>
      <c r="P207" s="514">
        <f>Calculation!ET210</f>
        <v>1138.0999999999999</v>
      </c>
      <c r="Q207" s="498">
        <f>Calculation!DF210</f>
        <v>46431.340000110838</v>
      </c>
      <c r="R207" s="500">
        <f t="shared" si="53"/>
        <v>45211.340000110838</v>
      </c>
      <c r="S207" s="498">
        <f t="shared" si="60"/>
        <v>-284.18000000024767</v>
      </c>
      <c r="T207" s="498">
        <f ca="1">IF(A207&gt;$A$1,#N/A,VLOOKUP(A207,Calculation!$B$8:$IV$881,30,FALSE))</f>
        <v>10000</v>
      </c>
      <c r="U207" s="498">
        <f t="shared" si="54"/>
        <v>0</v>
      </c>
      <c r="V207" s="498">
        <f>Calculation!AP210</f>
        <v>0</v>
      </c>
      <c r="W207" s="498">
        <f t="shared" ca="1" si="57"/>
        <v>13257.340000054992</v>
      </c>
      <c r="X207" s="498">
        <f t="shared" ca="1" si="56"/>
        <v>107.30206757450641</v>
      </c>
      <c r="Y207" s="744">
        <f t="shared" ca="1" si="52"/>
        <v>2500</v>
      </c>
      <c r="Z207" s="748">
        <f t="shared" ca="1" si="55"/>
        <v>10757.340000054992</v>
      </c>
      <c r="AA207" s="799">
        <f t="shared" ca="1" si="65"/>
        <v>23174.000000055847</v>
      </c>
      <c r="AB207" s="501">
        <f t="shared" ca="1" si="61"/>
        <v>21954.000000055847</v>
      </c>
      <c r="AC207" s="498">
        <f ca="1">IF(A207&gt;$A$1,#N/A,VLOOKUP(A207,Calculation!$B$8:$IV$881,155,FALSE))</f>
        <v>23174.000000055847</v>
      </c>
      <c r="AD207" s="498">
        <f t="shared" ca="1" si="62"/>
        <v>-71.400000000001455</v>
      </c>
      <c r="AE207" s="498"/>
      <c r="AF207" s="501">
        <f>Calculation!G210</f>
        <v>496.73535924914614</v>
      </c>
      <c r="AG207" s="498" t="str">
        <f t="shared" si="63"/>
        <v>Yes</v>
      </c>
      <c r="AH207" s="498" t="str">
        <f t="shared" si="64"/>
        <v>Yes</v>
      </c>
      <c r="AK207" s="738">
        <v>40389.390000097817</v>
      </c>
      <c r="AL207" s="738">
        <v>32439.00000008025</v>
      </c>
      <c r="AM207" s="740">
        <v>49026.95000011535</v>
      </c>
      <c r="AR207" s="552" t="e">
        <f t="shared" ca="1" si="46"/>
        <v>#DIV/0!</v>
      </c>
      <c r="AS207" s="524"/>
      <c r="AT207" s="581">
        <f>Calculation!AR210*3.068</f>
        <v>4166.6666666666661</v>
      </c>
      <c r="AU207" s="575">
        <f ca="1">Calculation!DA210</f>
        <v>1944.4444444444441</v>
      </c>
      <c r="AV207" s="575">
        <f>Calculation!CF210*3.068</f>
        <v>1944.4444444444441</v>
      </c>
      <c r="AW207" s="582">
        <f>Calculation!BK210*3.068</f>
        <v>1944.4444444444441</v>
      </c>
      <c r="AX207" s="813">
        <f t="shared" si="47"/>
        <v>40736</v>
      </c>
      <c r="AY207" s="561"/>
      <c r="AZ207" s="534">
        <f t="shared" ca="1" si="48"/>
        <v>40736</v>
      </c>
      <c r="BA207" s="561"/>
      <c r="BB207" s="826">
        <f t="shared" si="49"/>
        <v>40736</v>
      </c>
      <c r="BC207" s="561"/>
      <c r="BD207" s="844">
        <f t="shared" si="50"/>
        <v>40736</v>
      </c>
      <c r="BE207" s="553"/>
    </row>
    <row r="208" spans="1:57" ht="13.5" thickBot="1">
      <c r="A208" s="513">
        <v>40740</v>
      </c>
      <c r="B208" s="498">
        <f t="shared" si="59"/>
        <v>93.7636700000009</v>
      </c>
      <c r="C208" s="498">
        <f>Calculation!AA211</f>
        <v>0</v>
      </c>
      <c r="D208" s="498">
        <f>Calculation!Y211</f>
        <v>0</v>
      </c>
      <c r="E208" s="498">
        <f>Calculation!U211</f>
        <v>62.823670000000895</v>
      </c>
      <c r="F208" s="498">
        <f>Calculation!V211</f>
        <v>30.939999999999998</v>
      </c>
      <c r="G208" s="498">
        <f>Calculation!W211</f>
        <v>0</v>
      </c>
      <c r="H208" s="500">
        <f>Sheet1!H211</f>
        <v>2.9</v>
      </c>
      <c r="I208" s="501">
        <f>Sheet1!CW211</f>
        <v>871.79166666666663</v>
      </c>
      <c r="J208" s="501">
        <f>Sheet1!CX211</f>
        <v>559.47916666666663</v>
      </c>
      <c r="K208" s="501">
        <f>Sheet1!CV211</f>
        <v>659.52173913043475</v>
      </c>
      <c r="L208" s="501">
        <f>Calculation!F211</f>
        <v>250</v>
      </c>
      <c r="M208" s="501">
        <f>Calculation!E211</f>
        <v>400</v>
      </c>
      <c r="N208" s="501">
        <f>Calculation!D211</f>
        <v>200</v>
      </c>
      <c r="O208" s="500">
        <f>Sheet1!CY211</f>
        <v>1163.17</v>
      </c>
      <c r="P208" s="514">
        <f>Calculation!ET211</f>
        <v>1138</v>
      </c>
      <c r="Q208" s="498">
        <f>Calculation!DF211</f>
        <v>46201.810000110592</v>
      </c>
      <c r="R208" s="500">
        <f t="shared" si="53"/>
        <v>44981.810000110592</v>
      </c>
      <c r="S208" s="498">
        <f t="shared" si="60"/>
        <v>-229.53000000024622</v>
      </c>
      <c r="T208" s="498">
        <f ca="1">IF(A208&gt;$A$1,#N/A,VLOOKUP(A208,Calculation!$B$8:$IV$881,30,FALSE))</f>
        <v>10000</v>
      </c>
      <c r="U208" s="498">
        <f t="shared" si="54"/>
        <v>0</v>
      </c>
      <c r="V208" s="498">
        <f>Calculation!AP211</f>
        <v>0</v>
      </c>
      <c r="W208" s="498">
        <f t="shared" ca="1" si="57"/>
        <v>13097.310000056234</v>
      </c>
      <c r="X208" s="498">
        <f t="shared" ca="1" si="56"/>
        <v>80.700958143599735</v>
      </c>
      <c r="Y208" s="744">
        <f t="shared" ca="1" si="52"/>
        <v>2500</v>
      </c>
      <c r="Z208" s="748">
        <f t="shared" ca="1" si="55"/>
        <v>10597.310000056234</v>
      </c>
      <c r="AA208" s="799">
        <f t="shared" ca="1" si="65"/>
        <v>23104.500000054359</v>
      </c>
      <c r="AB208" s="501">
        <f t="shared" ca="1" si="61"/>
        <v>21884.500000054359</v>
      </c>
      <c r="AC208" s="498">
        <f ca="1">IF(A208&gt;$A$1,#N/A,VLOOKUP(A208,Calculation!$B$8:$IV$881,155,FALSE))</f>
        <v>23104.500000054359</v>
      </c>
      <c r="AD208" s="498">
        <f t="shared" ca="1" si="62"/>
        <v>-69.500000001487933</v>
      </c>
      <c r="AE208" s="498"/>
      <c r="AF208" s="501">
        <f>Calculation!G211</f>
        <v>543.77287377478865</v>
      </c>
      <c r="AG208" s="498" t="str">
        <f t="shared" si="63"/>
        <v>Yes</v>
      </c>
      <c r="AH208" s="498" t="str">
        <f t="shared" si="64"/>
        <v>Yes</v>
      </c>
      <c r="AK208" s="738">
        <v>39819.870000097115</v>
      </c>
      <c r="AL208" s="738">
        <v>32366.600000080045</v>
      </c>
      <c r="AM208" s="740">
        <v>48647.850000115097</v>
      </c>
      <c r="AR208" s="552" t="e">
        <f t="shared" ca="1" si="46"/>
        <v>#DIV/0!</v>
      </c>
      <c r="AS208" s="524"/>
      <c r="AT208" s="581">
        <f>Calculation!AR211*3.068</f>
        <v>4166.6666666666661</v>
      </c>
      <c r="AU208" s="575">
        <f ca="1">Calculation!DA211</f>
        <v>1944.4444444444441</v>
      </c>
      <c r="AV208" s="575">
        <f>Calculation!CF211*3.068</f>
        <v>1944.4444444444441</v>
      </c>
      <c r="AW208" s="582">
        <f>Calculation!BK211*3.068</f>
        <v>1944.4444444444441</v>
      </c>
      <c r="AX208" s="813">
        <f t="shared" si="47"/>
        <v>40737</v>
      </c>
      <c r="AY208" s="561"/>
      <c r="AZ208" s="534">
        <f t="shared" ca="1" si="48"/>
        <v>40737</v>
      </c>
      <c r="BA208" s="561"/>
      <c r="BB208" s="826">
        <f t="shared" si="49"/>
        <v>40737</v>
      </c>
      <c r="BC208" s="561"/>
      <c r="BD208" s="844">
        <f t="shared" si="50"/>
        <v>40737</v>
      </c>
      <c r="BE208" s="553"/>
    </row>
    <row r="209" spans="1:57" ht="13.5" thickBot="1">
      <c r="A209" s="513">
        <v>40741</v>
      </c>
      <c r="B209" s="498">
        <f t="shared" si="59"/>
        <v>86.724819999996399</v>
      </c>
      <c r="C209" s="498">
        <f>Calculation!AA212</f>
        <v>0</v>
      </c>
      <c r="D209" s="498">
        <f>Calculation!Y212</f>
        <v>0</v>
      </c>
      <c r="E209" s="498">
        <f>Calculation!U212</f>
        <v>55.692</v>
      </c>
      <c r="F209" s="498">
        <f>Calculation!V212</f>
        <v>31.032819999996395</v>
      </c>
      <c r="G209" s="498">
        <f>Calculation!W212</f>
        <v>0.21657999999909952</v>
      </c>
      <c r="H209" s="500">
        <f>Sheet1!H212</f>
        <v>1.2</v>
      </c>
      <c r="I209" s="501">
        <f>Sheet1!CW212</f>
        <v>874.8125</v>
      </c>
      <c r="J209" s="501">
        <f>Sheet1!CX212</f>
        <v>566.52083333333337</v>
      </c>
      <c r="K209" s="501">
        <f>Sheet1!CV212</f>
        <v>659</v>
      </c>
      <c r="L209" s="501">
        <f>Calculation!F212</f>
        <v>250</v>
      </c>
      <c r="M209" s="501">
        <f>Calculation!E212</f>
        <v>400</v>
      </c>
      <c r="N209" s="501">
        <f>Calculation!D212</f>
        <v>200</v>
      </c>
      <c r="O209" s="500">
        <f>Sheet1!CY212</f>
        <v>1162.9000000000001</v>
      </c>
      <c r="P209" s="514">
        <f>Calculation!ET212</f>
        <v>1137.9000000000001</v>
      </c>
      <c r="Q209" s="498">
        <f>Calculation!DF212</f>
        <v>45907.800000109237</v>
      </c>
      <c r="R209" s="500">
        <f t="shared" si="53"/>
        <v>44687.800000109237</v>
      </c>
      <c r="S209" s="498">
        <f t="shared" si="60"/>
        <v>-294.01000000135537</v>
      </c>
      <c r="T209" s="498">
        <f ca="1">IF(A209&gt;$A$1,#N/A,VLOOKUP(A209,Calculation!$B$8:$IV$881,30,FALSE))</f>
        <v>10000</v>
      </c>
      <c r="U209" s="498">
        <f t="shared" si="54"/>
        <v>0</v>
      </c>
      <c r="V209" s="498">
        <f>Calculation!AP212</f>
        <v>0</v>
      </c>
      <c r="W209" s="498">
        <f t="shared" ca="1" si="57"/>
        <v>12803.300000054878</v>
      </c>
      <c r="X209" s="498">
        <f t="shared" ca="1" si="56"/>
        <v>148.265254665333</v>
      </c>
      <c r="Y209" s="744">
        <f t="shared" ca="1" si="52"/>
        <v>2500</v>
      </c>
      <c r="Z209" s="748">
        <f t="shared" ca="1" si="55"/>
        <v>10303.300000054878</v>
      </c>
      <c r="AA209" s="799">
        <f t="shared" ca="1" si="65"/>
        <v>23104.500000054359</v>
      </c>
      <c r="AB209" s="501">
        <f t="shared" ca="1" si="61"/>
        <v>21884.500000054359</v>
      </c>
      <c r="AC209" s="498">
        <f ca="1">IF(A209&gt;$A$1,#N/A,VLOOKUP(A209,Calculation!$B$8:$IV$881,155,FALSE))</f>
        <v>23104.500000054359</v>
      </c>
      <c r="AD209" s="498">
        <f t="shared" ca="1" si="62"/>
        <v>0</v>
      </c>
      <c r="AE209" s="498"/>
      <c r="AF209" s="501">
        <f>Calculation!G212</f>
        <v>510.73474533466697</v>
      </c>
      <c r="AG209" s="498" t="str">
        <f t="shared" si="63"/>
        <v>Yes</v>
      </c>
      <c r="AH209" s="498" t="str">
        <f t="shared" si="64"/>
        <v>Yes</v>
      </c>
      <c r="AK209" s="738">
        <v>39517.430000095555</v>
      </c>
      <c r="AL209" s="738">
        <v>32276.100000080045</v>
      </c>
      <c r="AM209" s="740">
        <v>48235.300000114592</v>
      </c>
      <c r="AR209" s="552" t="e">
        <f t="shared" ca="1" si="46"/>
        <v>#DIV/0!</v>
      </c>
      <c r="AS209" s="524"/>
      <c r="AT209" s="581">
        <f>Calculation!AR212*3.068</f>
        <v>4166.6666666666661</v>
      </c>
      <c r="AU209" s="575">
        <f ca="1">Calculation!DA212</f>
        <v>1944.4444444444441</v>
      </c>
      <c r="AV209" s="575">
        <f>Calculation!CF212*3.068</f>
        <v>1944.4444444444441</v>
      </c>
      <c r="AW209" s="582">
        <f>Calculation!BK212*3.068</f>
        <v>1944.4444444444441</v>
      </c>
      <c r="AX209" s="813">
        <f t="shared" si="47"/>
        <v>40738</v>
      </c>
      <c r="AY209" s="561"/>
      <c r="AZ209" s="534">
        <f t="shared" ca="1" si="48"/>
        <v>40738</v>
      </c>
      <c r="BA209" s="561"/>
      <c r="BB209" s="826">
        <f t="shared" si="49"/>
        <v>40738</v>
      </c>
      <c r="BC209" s="561"/>
      <c r="BD209" s="844">
        <f t="shared" si="50"/>
        <v>40738</v>
      </c>
      <c r="BE209" s="553"/>
    </row>
    <row r="210" spans="1:57" ht="13.5" thickBot="1">
      <c r="A210" s="513">
        <v>40742</v>
      </c>
      <c r="B210" s="498">
        <f t="shared" si="59"/>
        <v>93.191279999996851</v>
      </c>
      <c r="C210" s="498">
        <f>Calculation!AA213</f>
        <v>0</v>
      </c>
      <c r="D210" s="498">
        <f>Calculation!Y213</f>
        <v>0</v>
      </c>
      <c r="E210" s="498">
        <f>Calculation!U213</f>
        <v>62.189399999995494</v>
      </c>
      <c r="F210" s="498">
        <f>Calculation!V213</f>
        <v>31.00188000000135</v>
      </c>
      <c r="G210" s="498">
        <f>Calculation!W213</f>
        <v>0</v>
      </c>
      <c r="H210" s="500">
        <f>Sheet1!H213</f>
        <v>1.18</v>
      </c>
      <c r="I210" s="501">
        <f>Sheet1!CW213</f>
        <v>863.625</v>
      </c>
      <c r="J210" s="501">
        <f>Sheet1!CX213</f>
        <v>563.63541666666663</v>
      </c>
      <c r="K210" s="501">
        <f>Sheet1!CV213</f>
        <v>662.38888888888891</v>
      </c>
      <c r="L210" s="501">
        <f>Calculation!F213</f>
        <v>250</v>
      </c>
      <c r="M210" s="501">
        <f>Calculation!E213</f>
        <v>400</v>
      </c>
      <c r="N210" s="501">
        <f>Calculation!D213</f>
        <v>200</v>
      </c>
      <c r="O210" s="500">
        <f>Sheet1!CY213</f>
        <v>1162.54</v>
      </c>
      <c r="P210" s="514">
        <f>Calculation!ET213</f>
        <v>1137.9000000000001</v>
      </c>
      <c r="Q210" s="498">
        <f>Calculation!DF213</f>
        <v>45518.280000108738</v>
      </c>
      <c r="R210" s="500">
        <f t="shared" si="53"/>
        <v>44298.280000108738</v>
      </c>
      <c r="S210" s="498">
        <f t="shared" si="60"/>
        <v>-389.52000000049884</v>
      </c>
      <c r="T210" s="498">
        <f ca="1">IF(A210&gt;$A$1,#N/A,VLOOKUP(A210,Calculation!$B$8:$IV$881,30,FALSE))</f>
        <v>10000</v>
      </c>
      <c r="U210" s="498">
        <f t="shared" si="54"/>
        <v>0</v>
      </c>
      <c r="V210" s="498">
        <f>Calculation!AP213</f>
        <v>0</v>
      </c>
      <c r="W210" s="498">
        <f t="shared" ca="1" si="57"/>
        <v>12483.280000054536</v>
      </c>
      <c r="X210" s="498">
        <f t="shared" ca="1" si="56"/>
        <v>161.38174483123672</v>
      </c>
      <c r="Y210" s="744">
        <f t="shared" ca="1" si="52"/>
        <v>2500</v>
      </c>
      <c r="Z210" s="748">
        <f t="shared" ca="1" si="55"/>
        <v>9983.2800000545358</v>
      </c>
      <c r="AA210" s="799">
        <f t="shared" ca="1" si="65"/>
        <v>23035.000000054202</v>
      </c>
      <c r="AB210" s="501">
        <f t="shared" ca="1" si="61"/>
        <v>21815.000000054202</v>
      </c>
      <c r="AC210" s="498">
        <f ca="1">IF(A210&gt;$A$1,#N/A,VLOOKUP(A210,Calculation!$B$8:$IV$881,155,FALSE))</f>
        <v>23035.000000054202</v>
      </c>
      <c r="AD210" s="498">
        <f t="shared" ca="1" si="62"/>
        <v>-69.500000000156433</v>
      </c>
      <c r="AE210" s="498"/>
      <c r="AF210" s="501">
        <f>Calculation!G213</f>
        <v>465.95923684627735</v>
      </c>
      <c r="AG210" s="498" t="str">
        <f t="shared" si="63"/>
        <v>Yes</v>
      </c>
      <c r="AH210" s="498" t="str">
        <f t="shared" si="64"/>
        <v>Yes</v>
      </c>
      <c r="AK210" s="738">
        <v>39206.50000009533</v>
      </c>
      <c r="AL210" s="738">
        <v>32176.550000079838</v>
      </c>
      <c r="AM210" s="740">
        <v>47782.440000112962</v>
      </c>
      <c r="AR210" s="552" t="e">
        <f t="shared" ca="1" si="46"/>
        <v>#DIV/0!</v>
      </c>
      <c r="AS210" s="524"/>
      <c r="AT210" s="581">
        <f>Calculation!AR213*3.068</f>
        <v>4166.6666666666661</v>
      </c>
      <c r="AU210" s="575">
        <f ca="1">Calculation!DA213</f>
        <v>1944.4444444444441</v>
      </c>
      <c r="AV210" s="575">
        <f>Calculation!CF213*3.068</f>
        <v>1944.4444444444441</v>
      </c>
      <c r="AW210" s="582">
        <f>Calculation!BK213*3.068</f>
        <v>1944.4444444444441</v>
      </c>
      <c r="AX210" s="813">
        <f t="shared" si="47"/>
        <v>40739</v>
      </c>
      <c r="AY210" s="561"/>
      <c r="AZ210" s="534">
        <f t="shared" ca="1" si="48"/>
        <v>40739</v>
      </c>
      <c r="BA210" s="561"/>
      <c r="BB210" s="826">
        <f t="shared" si="49"/>
        <v>40739</v>
      </c>
      <c r="BC210" s="561"/>
      <c r="BD210" s="844">
        <f t="shared" si="50"/>
        <v>40739</v>
      </c>
      <c r="BE210" s="553"/>
    </row>
    <row r="211" spans="1:57" ht="13.5" thickBot="1">
      <c r="A211" s="513">
        <v>40743</v>
      </c>
      <c r="B211" s="498">
        <f t="shared" si="59"/>
        <v>93.748199999997738</v>
      </c>
      <c r="C211" s="498">
        <f>Calculation!AA214</f>
        <v>0</v>
      </c>
      <c r="D211" s="498">
        <f>Calculation!Y214</f>
        <v>0</v>
      </c>
      <c r="E211" s="498">
        <f>Calculation!U214</f>
        <v>62.962899999995493</v>
      </c>
      <c r="F211" s="498">
        <f>Calculation!V214</f>
        <v>30.785300000002248</v>
      </c>
      <c r="G211" s="498">
        <f>Calculation!W214</f>
        <v>0</v>
      </c>
      <c r="H211" s="500">
        <f>Sheet1!H214</f>
        <v>1.21</v>
      </c>
      <c r="I211" s="501">
        <f>Sheet1!CW214</f>
        <v>876.5</v>
      </c>
      <c r="J211" s="501">
        <f>Sheet1!CX214</f>
        <v>586.26041666666663</v>
      </c>
      <c r="K211" s="501">
        <f>Sheet1!CV214</f>
        <v>693.77777777777783</v>
      </c>
      <c r="L211" s="501">
        <f>Calculation!F214</f>
        <v>250</v>
      </c>
      <c r="M211" s="501">
        <f>Calculation!E214</f>
        <v>400</v>
      </c>
      <c r="N211" s="501">
        <f>Calculation!D214</f>
        <v>200</v>
      </c>
      <c r="O211" s="500">
        <f>Sheet1!CY214</f>
        <v>1162.08</v>
      </c>
      <c r="P211" s="514">
        <f>Calculation!ET214</f>
        <v>1137.8</v>
      </c>
      <c r="Q211" s="498">
        <f>Calculation!DF214</f>
        <v>45020.560000108249</v>
      </c>
      <c r="R211" s="500">
        <f t="shared" si="53"/>
        <v>43800.560000108249</v>
      </c>
      <c r="S211" s="498">
        <f t="shared" si="60"/>
        <v>-497.72000000048865</v>
      </c>
      <c r="T211" s="498">
        <f ca="1">IF(A211&gt;$A$1,#N/A,VLOOKUP(A211,Calculation!$B$8:$IV$881,30,FALSE))</f>
        <v>10000</v>
      </c>
      <c r="U211" s="498">
        <f t="shared" si="54"/>
        <v>0</v>
      </c>
      <c r="V211" s="498">
        <f>Calculation!AP214</f>
        <v>0</v>
      </c>
      <c r="W211" s="498">
        <f t="shared" ca="1" si="57"/>
        <v>11985.560000054047</v>
      </c>
      <c r="X211" s="498">
        <f t="shared" ca="1" si="56"/>
        <v>250.99344427659537</v>
      </c>
      <c r="Y211" s="744">
        <f t="shared" ca="1" si="52"/>
        <v>2500</v>
      </c>
      <c r="Z211" s="748">
        <f t="shared" ca="1" si="55"/>
        <v>9485.5600000540471</v>
      </c>
      <c r="AA211" s="799">
        <f t="shared" ca="1" si="65"/>
        <v>23035.000000054202</v>
      </c>
      <c r="AB211" s="501">
        <f t="shared" ca="1" si="61"/>
        <v>21815.000000054202</v>
      </c>
      <c r="AC211" s="498">
        <f ca="1">IF(A211&gt;$A$1,#N/A,VLOOKUP(A211,Calculation!$B$8:$IV$881,155,FALSE))</f>
        <v>23035.000000054202</v>
      </c>
      <c r="AD211" s="498">
        <f t="shared" ca="1" si="62"/>
        <v>0</v>
      </c>
      <c r="AE211" s="498"/>
      <c r="AF211" s="501">
        <f>Calculation!G214</f>
        <v>442.78433350118246</v>
      </c>
      <c r="AG211" s="498" t="str">
        <f t="shared" si="63"/>
        <v>Yes</v>
      </c>
      <c r="AH211" s="498" t="str">
        <f t="shared" si="64"/>
        <v>Yes</v>
      </c>
      <c r="AK211" s="738">
        <v>39246.620000095325</v>
      </c>
      <c r="AL211" s="738">
        <v>32032.400000078691</v>
      </c>
      <c r="AM211" s="740">
        <v>47329.800000112707</v>
      </c>
      <c r="AR211" s="552" t="e">
        <f t="shared" ca="1" si="46"/>
        <v>#DIV/0!</v>
      </c>
      <c r="AS211" s="524"/>
      <c r="AT211" s="581">
        <f>Calculation!AR214*3.068</f>
        <v>4166.6666666666661</v>
      </c>
      <c r="AU211" s="575">
        <f ca="1">Calculation!DA214</f>
        <v>1944.4444444444441</v>
      </c>
      <c r="AV211" s="575">
        <f>Calculation!CF214*3.068</f>
        <v>1944.4444444444441</v>
      </c>
      <c r="AW211" s="582">
        <f>Calculation!BK214*3.068</f>
        <v>1944.4444444444441</v>
      </c>
      <c r="AX211" s="813">
        <f t="shared" si="47"/>
        <v>40740</v>
      </c>
      <c r="AY211" s="561"/>
      <c r="AZ211" s="534">
        <f t="shared" ca="1" si="48"/>
        <v>40740</v>
      </c>
      <c r="BA211" s="561"/>
      <c r="BB211" s="826">
        <f t="shared" si="49"/>
        <v>40740</v>
      </c>
      <c r="BC211" s="561"/>
      <c r="BD211" s="844">
        <f t="shared" si="50"/>
        <v>40740</v>
      </c>
      <c r="BE211" s="553"/>
    </row>
    <row r="212" spans="1:57" ht="13.5" thickBot="1">
      <c r="A212" s="513">
        <v>40744</v>
      </c>
      <c r="B212" s="498">
        <f t="shared" si="59"/>
        <v>93.748199999997738</v>
      </c>
      <c r="C212" s="498">
        <f>Calculation!AA215</f>
        <v>0</v>
      </c>
      <c r="D212" s="498">
        <f>Calculation!Y215</f>
        <v>0</v>
      </c>
      <c r="E212" s="498">
        <f>Calculation!U215</f>
        <v>62.962899999995493</v>
      </c>
      <c r="F212" s="498">
        <f>Calculation!V215</f>
        <v>30.785300000002248</v>
      </c>
      <c r="G212" s="498">
        <f>Calculation!W215</f>
        <v>0</v>
      </c>
      <c r="H212" s="500">
        <f>Sheet1!H215</f>
        <v>1.2</v>
      </c>
      <c r="I212" s="501">
        <f>Sheet1!CW215</f>
        <v>876.22916666666663</v>
      </c>
      <c r="J212" s="501">
        <f>Sheet1!CX215</f>
        <v>578.98958333333337</v>
      </c>
      <c r="K212" s="501">
        <f>Sheet1!CV215</f>
        <v>688.11111111111109</v>
      </c>
      <c r="L212" s="501">
        <f>Calculation!F215</f>
        <v>250</v>
      </c>
      <c r="M212" s="501">
        <f>Calculation!E215</f>
        <v>400</v>
      </c>
      <c r="N212" s="501">
        <f>Calculation!D215</f>
        <v>200</v>
      </c>
      <c r="O212" s="500">
        <f>Sheet1!CY215</f>
        <v>1161.6300000000001</v>
      </c>
      <c r="P212" s="514">
        <f>Calculation!ET215</f>
        <v>1137.8</v>
      </c>
      <c r="Q212" s="498">
        <f>Calculation!DF215</f>
        <v>44538.100000106802</v>
      </c>
      <c r="R212" s="500">
        <f t="shared" si="53"/>
        <v>43318.100000106802</v>
      </c>
      <c r="S212" s="498">
        <f t="shared" si="60"/>
        <v>-482.46000000144704</v>
      </c>
      <c r="T212" s="498">
        <f ca="1">IF(A212&gt;$A$1,#N/A,VLOOKUP(A212,Calculation!$B$8:$IV$881,30,FALSE))</f>
        <v>10000</v>
      </c>
      <c r="U212" s="498">
        <f t="shared" si="54"/>
        <v>0</v>
      </c>
      <c r="V212" s="498">
        <f>Calculation!AP215</f>
        <v>0</v>
      </c>
      <c r="W212" s="498">
        <f t="shared" ca="1" si="57"/>
        <v>11572.6000000526</v>
      </c>
      <c r="X212" s="498">
        <f t="shared" ca="1" si="56"/>
        <v>208.25012607233839</v>
      </c>
      <c r="Y212" s="744">
        <f t="shared" ca="1" si="52"/>
        <v>2500</v>
      </c>
      <c r="Z212" s="748">
        <f t="shared" ca="1" si="55"/>
        <v>9072.6000000526001</v>
      </c>
      <c r="AA212" s="799">
        <f t="shared" ca="1" si="65"/>
        <v>22965.500000054202</v>
      </c>
      <c r="AB212" s="501">
        <f t="shared" ca="1" si="61"/>
        <v>21745.500000054202</v>
      </c>
      <c r="AC212" s="498">
        <f ca="1">IF(A212&gt;$A$1,#N/A,VLOOKUP(A212,Calculation!$B$8:$IV$881,155,FALSE))</f>
        <v>22965.500000054202</v>
      </c>
      <c r="AD212" s="498">
        <f t="shared" ca="1" si="62"/>
        <v>-69.5</v>
      </c>
      <c r="AE212" s="498"/>
      <c r="AF212" s="501">
        <f>Calculation!G215</f>
        <v>444.81307782747672</v>
      </c>
      <c r="AG212" s="498" t="str">
        <f t="shared" si="63"/>
        <v>Yes</v>
      </c>
      <c r="AH212" s="498" t="str">
        <f t="shared" si="64"/>
        <v>Yes</v>
      </c>
      <c r="AK212" s="738">
        <v>39186.440000095325</v>
      </c>
      <c r="AL212" s="738">
        <v>31871.84000007849</v>
      </c>
      <c r="AM212" s="740">
        <v>46879.47000011109</v>
      </c>
      <c r="AR212" s="552" t="e">
        <f t="shared" ca="1" si="46"/>
        <v>#DIV/0!</v>
      </c>
      <c r="AS212" s="524"/>
      <c r="AT212" s="581">
        <f>Calculation!AR215*3.068</f>
        <v>4166.6666666666661</v>
      </c>
      <c r="AU212" s="575">
        <f ca="1">Calculation!DA215</f>
        <v>1944.4444444444441</v>
      </c>
      <c r="AV212" s="575">
        <f>Calculation!CF215*3.068</f>
        <v>1944.4444444444441</v>
      </c>
      <c r="AW212" s="582">
        <f>Calculation!BK215*3.068</f>
        <v>1944.4444444444441</v>
      </c>
      <c r="AX212" s="813">
        <f t="shared" si="47"/>
        <v>40741</v>
      </c>
      <c r="AY212" s="561"/>
      <c r="AZ212" s="534">
        <f t="shared" ca="1" si="48"/>
        <v>40741</v>
      </c>
      <c r="BA212" s="561"/>
      <c r="BB212" s="826">
        <f t="shared" si="49"/>
        <v>40741</v>
      </c>
      <c r="BC212" s="561"/>
      <c r="BD212" s="844">
        <f t="shared" si="50"/>
        <v>40741</v>
      </c>
      <c r="BE212" s="553"/>
    </row>
    <row r="213" spans="1:57" ht="13.5" thickBot="1">
      <c r="A213" s="513">
        <v>40745</v>
      </c>
      <c r="B213" s="498">
        <f t="shared" si="59"/>
        <v>93.7636700000009</v>
      </c>
      <c r="C213" s="498">
        <f>Calculation!AA216</f>
        <v>0</v>
      </c>
      <c r="D213" s="498">
        <f>Calculation!Y216</f>
        <v>0</v>
      </c>
      <c r="E213" s="498">
        <f>Calculation!U216</f>
        <v>62.823670000000895</v>
      </c>
      <c r="F213" s="498">
        <f>Calculation!V216</f>
        <v>30.939999999999998</v>
      </c>
      <c r="G213" s="498">
        <f>Calculation!W216</f>
        <v>0</v>
      </c>
      <c r="H213" s="500">
        <f>Sheet1!H216</f>
        <v>1.4</v>
      </c>
      <c r="I213" s="501">
        <f>Sheet1!CW216</f>
        <v>867.39583333333337</v>
      </c>
      <c r="J213" s="501">
        <f>Sheet1!CX216</f>
        <v>586.45833333333337</v>
      </c>
      <c r="K213" s="501">
        <f>Sheet1!CV216</f>
        <v>692.54166666666663</v>
      </c>
      <c r="L213" s="501">
        <f>Calculation!F216</f>
        <v>250</v>
      </c>
      <c r="M213" s="501">
        <f>Calculation!E216</f>
        <v>400</v>
      </c>
      <c r="N213" s="501">
        <f>Calculation!D216</f>
        <v>200</v>
      </c>
      <c r="O213" s="500">
        <f>Sheet1!CY216</f>
        <v>1161.19</v>
      </c>
      <c r="P213" s="514">
        <f>Calculation!ET216</f>
        <v>1137.7</v>
      </c>
      <c r="Q213" s="498">
        <f>Calculation!DF216</f>
        <v>44067.300000106319</v>
      </c>
      <c r="R213" s="500">
        <f t="shared" si="53"/>
        <v>42847.300000106319</v>
      </c>
      <c r="S213" s="498">
        <f t="shared" si="60"/>
        <v>-470.80000000048312</v>
      </c>
      <c r="T213" s="498">
        <f ca="1">IF(A213&gt;$A$1,#N/A,VLOOKUP(A213,Calculation!$B$8:$IV$881,30,FALSE))</f>
        <v>10000</v>
      </c>
      <c r="U213" s="498">
        <f t="shared" si="54"/>
        <v>0</v>
      </c>
      <c r="V213" s="498">
        <f>Calculation!AP216</f>
        <v>0</v>
      </c>
      <c r="W213" s="498">
        <f t="shared" ca="1" si="57"/>
        <v>11171.300000052273</v>
      </c>
      <c r="X213" s="498">
        <f t="shared" ca="1" si="56"/>
        <v>202.37014624323081</v>
      </c>
      <c r="Y213" s="744">
        <f t="shared" ca="1" si="52"/>
        <v>2500</v>
      </c>
      <c r="Z213" s="748">
        <f t="shared" ca="1" si="55"/>
        <v>8671.3000000522734</v>
      </c>
      <c r="AA213" s="799">
        <f t="shared" ca="1" si="65"/>
        <v>22896.000000054046</v>
      </c>
      <c r="AB213" s="501">
        <f t="shared" ca="1" si="61"/>
        <v>21676.000000054046</v>
      </c>
      <c r="AC213" s="498">
        <f ca="1">IF(A213&gt;$A$1,#N/A,VLOOKUP(A213,Calculation!$B$8:$IV$881,155,FALSE))</f>
        <v>22896.000000054046</v>
      </c>
      <c r="AD213" s="498">
        <f t="shared" ca="1" si="62"/>
        <v>-69.500000000156433</v>
      </c>
      <c r="AE213" s="498"/>
      <c r="AF213" s="501">
        <f>Calculation!G216</f>
        <v>455.12361321206095</v>
      </c>
      <c r="AG213" s="498" t="str">
        <f t="shared" si="63"/>
        <v>Yes</v>
      </c>
      <c r="AH213" s="498" t="str">
        <f t="shared" si="64"/>
        <v>Yes</v>
      </c>
      <c r="AK213" s="738">
        <v>39076.110000095097</v>
      </c>
      <c r="AL213" s="738">
        <v>31746.960000078492</v>
      </c>
      <c r="AM213" s="741">
        <v>46595.290000110843</v>
      </c>
      <c r="AR213" s="552" t="e">
        <f t="shared" ca="1" si="46"/>
        <v>#DIV/0!</v>
      </c>
      <c r="AS213" s="524"/>
      <c r="AT213" s="581">
        <f>Calculation!AR216*3.068</f>
        <v>4166.6666666666661</v>
      </c>
      <c r="AU213" s="575">
        <f ca="1">Calculation!DA216</f>
        <v>1944.4444444444441</v>
      </c>
      <c r="AV213" s="575">
        <f>Calculation!CF216*3.068</f>
        <v>1944.4444444444441</v>
      </c>
      <c r="AW213" s="582">
        <f>Calculation!BK216*3.068</f>
        <v>1944.4444444444441</v>
      </c>
      <c r="AX213" s="813">
        <f t="shared" si="47"/>
        <v>40742</v>
      </c>
      <c r="AY213" s="561"/>
      <c r="AZ213" s="534">
        <f t="shared" ca="1" si="48"/>
        <v>40742</v>
      </c>
      <c r="BA213" s="561"/>
      <c r="BB213" s="826">
        <f t="shared" si="49"/>
        <v>40742</v>
      </c>
      <c r="BC213" s="561"/>
      <c r="BD213" s="844">
        <f t="shared" si="50"/>
        <v>40742</v>
      </c>
      <c r="BE213" s="553"/>
    </row>
    <row r="214" spans="1:57" ht="13.5" thickBot="1">
      <c r="A214" s="513">
        <v>40746</v>
      </c>
      <c r="B214" s="498">
        <f t="shared" si="59"/>
        <v>94.196829999999096</v>
      </c>
      <c r="C214" s="498">
        <f>Calculation!AA217</f>
        <v>0</v>
      </c>
      <c r="D214" s="498">
        <f>Calculation!Y217</f>
        <v>0</v>
      </c>
      <c r="E214" s="498">
        <f>Calculation!U217</f>
        <v>63.256829999999098</v>
      </c>
      <c r="F214" s="498">
        <f>Calculation!V217</f>
        <v>30.939999999999998</v>
      </c>
      <c r="G214" s="498">
        <f>Calculation!W217</f>
        <v>0.49503999999954973</v>
      </c>
      <c r="H214" s="500">
        <f>Sheet1!H217</f>
        <v>1.57</v>
      </c>
      <c r="I214" s="501">
        <f>Sheet1!CW217</f>
        <v>874</v>
      </c>
      <c r="J214" s="501">
        <f>Sheet1!CX217</f>
        <v>588.89583333333337</v>
      </c>
      <c r="K214" s="501">
        <f>Sheet1!CV217</f>
        <v>697.66666666666663</v>
      </c>
      <c r="L214" s="501">
        <f>Calculation!F217</f>
        <v>250</v>
      </c>
      <c r="M214" s="501">
        <f>Calculation!E217</f>
        <v>400</v>
      </c>
      <c r="N214" s="501">
        <f>Calculation!D217</f>
        <v>200</v>
      </c>
      <c r="O214" s="500">
        <f>Sheet1!CY217</f>
        <v>1160.69</v>
      </c>
      <c r="P214" s="514">
        <f>Calculation!ET217</f>
        <v>1137.5999999999999</v>
      </c>
      <c r="Q214" s="498">
        <f>Calculation!DF217</f>
        <v>43535.400000104841</v>
      </c>
      <c r="R214" s="500">
        <f t="shared" si="53"/>
        <v>42315.400000104841</v>
      </c>
      <c r="S214" s="498">
        <f t="shared" si="60"/>
        <v>-531.90000000147847</v>
      </c>
      <c r="T214" s="498">
        <f ca="1">IF(A214&gt;$A$1,#N/A,VLOOKUP(A214,Calculation!$B$8:$IV$881,30,FALSE))</f>
        <v>10000</v>
      </c>
      <c r="U214" s="498">
        <f t="shared" si="54"/>
        <v>0</v>
      </c>
      <c r="V214" s="498">
        <f>Calculation!AP217</f>
        <v>0</v>
      </c>
      <c r="W214" s="498">
        <f t="shared" ca="1" si="57"/>
        <v>10639.400000050795</v>
      </c>
      <c r="X214" s="498">
        <f t="shared" ca="1" si="56"/>
        <v>268.22995461496646</v>
      </c>
      <c r="Y214" s="744">
        <f t="shared" ca="1" si="52"/>
        <v>2500</v>
      </c>
      <c r="Z214" s="748">
        <f t="shared" ca="1" si="55"/>
        <v>8139.4000000507949</v>
      </c>
      <c r="AA214" s="799">
        <f t="shared" ca="1" si="65"/>
        <v>22896.000000054046</v>
      </c>
      <c r="AB214" s="501">
        <f t="shared" ca="1" si="61"/>
        <v>21676.000000054046</v>
      </c>
      <c r="AC214" s="498">
        <f ca="1">IF(A214&gt;$A$1,#N/A,VLOOKUP(A214,Calculation!$B$8:$IV$881,155,FALSE))</f>
        <v>22896.000000054046</v>
      </c>
      <c r="AD214" s="498">
        <f t="shared" ca="1" si="62"/>
        <v>0</v>
      </c>
      <c r="AE214" s="498"/>
      <c r="AF214" s="501">
        <f>Calculation!G217</f>
        <v>429.43671205170023</v>
      </c>
      <c r="AG214" s="498" t="str">
        <f t="shared" si="63"/>
        <v>Yes</v>
      </c>
      <c r="AH214" s="498" t="str">
        <f t="shared" si="64"/>
        <v>Yes</v>
      </c>
      <c r="AK214" s="738">
        <v>39046.020000095101</v>
      </c>
      <c r="AL214" s="738">
        <v>31622.080000078287</v>
      </c>
      <c r="AM214" s="741">
        <v>46442.270000110839</v>
      </c>
      <c r="AR214" s="552" t="e">
        <f t="shared" ca="1" si="46"/>
        <v>#DIV/0!</v>
      </c>
      <c r="AS214" s="524"/>
      <c r="AT214" s="581">
        <f>Calculation!AR217*3.068</f>
        <v>4166.6666666666661</v>
      </c>
      <c r="AU214" s="575">
        <f ca="1">Calculation!DA217</f>
        <v>1944.4444444444441</v>
      </c>
      <c r="AV214" s="575">
        <f>Calculation!CF217*3.068</f>
        <v>1944.4444444444441</v>
      </c>
      <c r="AW214" s="582">
        <f>Calculation!BK217*3.068</f>
        <v>1944.4444444444441</v>
      </c>
      <c r="AX214" s="813">
        <f t="shared" si="47"/>
        <v>40743</v>
      </c>
      <c r="AY214" s="561"/>
      <c r="AZ214" s="534">
        <f t="shared" ca="1" si="48"/>
        <v>40743</v>
      </c>
      <c r="BA214" s="561"/>
      <c r="BB214" s="826">
        <f t="shared" si="49"/>
        <v>40743</v>
      </c>
      <c r="BC214" s="561"/>
      <c r="BD214" s="844">
        <f t="shared" si="50"/>
        <v>40743</v>
      </c>
      <c r="BE214" s="553"/>
    </row>
    <row r="215" spans="1:57" ht="13.5" thickBot="1">
      <c r="A215" s="513">
        <v>40747</v>
      </c>
      <c r="B215" s="498">
        <f t="shared" si="59"/>
        <v>93.113929999992337</v>
      </c>
      <c r="C215" s="498">
        <f>Calculation!AA218</f>
        <v>0</v>
      </c>
      <c r="D215" s="498">
        <f>Calculation!Y218</f>
        <v>0</v>
      </c>
      <c r="E215" s="498">
        <f>Calculation!U218</f>
        <v>62.4833299999991</v>
      </c>
      <c r="F215" s="498">
        <f>Calculation!V218</f>
        <v>30.630599999993244</v>
      </c>
      <c r="G215" s="498">
        <f>Calculation!W218</f>
        <v>0</v>
      </c>
      <c r="H215" s="500">
        <f>Sheet1!H218</f>
        <v>1.06</v>
      </c>
      <c r="I215" s="501">
        <f>Sheet1!CW218</f>
        <v>867.125</v>
      </c>
      <c r="J215" s="501">
        <f>Sheet1!CX218</f>
        <v>584.625</v>
      </c>
      <c r="K215" s="501">
        <f>Sheet1!CV218</f>
        <v>698</v>
      </c>
      <c r="L215" s="501">
        <f>Calculation!F218</f>
        <v>250</v>
      </c>
      <c r="M215" s="501">
        <f>Calculation!E218</f>
        <v>400</v>
      </c>
      <c r="N215" s="501">
        <f>Calculation!D218</f>
        <v>200</v>
      </c>
      <c r="O215" s="500">
        <f>Sheet1!CY218</f>
        <v>1160.1500000000001</v>
      </c>
      <c r="P215" s="514">
        <f>Calculation!ET218</f>
        <v>1137.5999999999999</v>
      </c>
      <c r="Q215" s="498">
        <f>Calculation!DF218</f>
        <v>42963.000000104359</v>
      </c>
      <c r="R215" s="500">
        <f t="shared" si="53"/>
        <v>41743.000000104359</v>
      </c>
      <c r="S215" s="498">
        <f t="shared" si="60"/>
        <v>-572.40000000048167</v>
      </c>
      <c r="T215" s="498">
        <f ca="1">IF(A215&gt;$A$1,#N/A,VLOOKUP(A215,Calculation!$B$8:$IV$881,30,FALSE))</f>
        <v>10000</v>
      </c>
      <c r="U215" s="498">
        <f t="shared" si="54"/>
        <v>0</v>
      </c>
      <c r="V215" s="498">
        <f>Calculation!AP218</f>
        <v>0</v>
      </c>
      <c r="W215" s="498">
        <f t="shared" ca="1" si="57"/>
        <v>10136.500000050313</v>
      </c>
      <c r="X215" s="498">
        <f t="shared" ca="1" si="56"/>
        <v>253.60564800831148</v>
      </c>
      <c r="Y215" s="744">
        <f t="shared" ca="1" si="52"/>
        <v>2500</v>
      </c>
      <c r="Z215" s="748">
        <f t="shared" ca="1" si="55"/>
        <v>7636.5000000503132</v>
      </c>
      <c r="AA215" s="799">
        <f t="shared" ca="1" si="65"/>
        <v>22826.500000054046</v>
      </c>
      <c r="AB215" s="501">
        <f t="shared" ca="1" si="61"/>
        <v>21606.500000054046</v>
      </c>
      <c r="AC215" s="498">
        <f ca="1">IF(A215&gt;$A$1,#N/A,VLOOKUP(A215,Calculation!$B$8:$IV$881,155,FALSE))</f>
        <v>22826.500000054046</v>
      </c>
      <c r="AD215" s="498">
        <f t="shared" ca="1" si="62"/>
        <v>-69.5</v>
      </c>
      <c r="AE215" s="498"/>
      <c r="AF215" s="501">
        <f>Calculation!G218</f>
        <v>409.34644478039252</v>
      </c>
      <c r="AG215" s="498" t="str">
        <f t="shared" si="63"/>
        <v>Yes</v>
      </c>
      <c r="AH215" s="498" t="str">
        <f t="shared" si="64"/>
        <v>Yes</v>
      </c>
      <c r="AK215" s="738">
        <v>39025.960000095103</v>
      </c>
      <c r="AL215" s="738">
        <v>31470.440000078084</v>
      </c>
      <c r="AM215" s="741">
        <v>46365.760000110589</v>
      </c>
      <c r="AR215" s="552" t="e">
        <f t="shared" ca="1" si="46"/>
        <v>#DIV/0!</v>
      </c>
      <c r="AS215" s="524"/>
      <c r="AT215" s="581">
        <f>Calculation!AR218*3.068</f>
        <v>4166.6666666666661</v>
      </c>
      <c r="AU215" s="575">
        <f ca="1">Calculation!DA218</f>
        <v>1944.4444444444441</v>
      </c>
      <c r="AV215" s="575">
        <f>Calculation!CF218*3.068</f>
        <v>1944.4444444444441</v>
      </c>
      <c r="AW215" s="582">
        <f>Calculation!BK218*3.068</f>
        <v>1944.4444444444441</v>
      </c>
      <c r="AX215" s="813">
        <f t="shared" si="47"/>
        <v>40744</v>
      </c>
      <c r="AY215" s="561"/>
      <c r="AZ215" s="534">
        <f t="shared" ca="1" si="48"/>
        <v>40744</v>
      </c>
      <c r="BA215" s="561"/>
      <c r="BB215" s="826">
        <f t="shared" si="49"/>
        <v>40744</v>
      </c>
      <c r="BC215" s="561"/>
      <c r="BD215" s="844">
        <f t="shared" si="50"/>
        <v>40744</v>
      </c>
      <c r="BE215" s="553"/>
    </row>
    <row r="216" spans="1:57" ht="13.5" thickBot="1">
      <c r="A216" s="513">
        <v>40748</v>
      </c>
      <c r="B216" s="498">
        <f t="shared" si="59"/>
        <v>94.042130000012605</v>
      </c>
      <c r="C216" s="498">
        <f>Calculation!AA219</f>
        <v>0</v>
      </c>
      <c r="D216" s="498">
        <f>Calculation!Y219</f>
        <v>0</v>
      </c>
      <c r="E216" s="498">
        <f>Calculation!U219</f>
        <v>63.148540000010804</v>
      </c>
      <c r="F216" s="498">
        <f>Calculation!V219</f>
        <v>30.893590000001801</v>
      </c>
      <c r="G216" s="498">
        <f>Calculation!W219</f>
        <v>0</v>
      </c>
      <c r="H216" s="500">
        <f>Sheet1!H219</f>
        <v>1.07</v>
      </c>
      <c r="I216" s="501">
        <f>Sheet1!CW219</f>
        <v>859.95833333333337</v>
      </c>
      <c r="J216" s="501">
        <f>Sheet1!CX219</f>
        <v>583.97916666666663</v>
      </c>
      <c r="K216" s="501">
        <f>Sheet1!CV219</f>
        <v>698</v>
      </c>
      <c r="L216" s="501">
        <f>Calculation!F219</f>
        <v>250</v>
      </c>
      <c r="M216" s="501">
        <f>Calculation!E219</f>
        <v>400</v>
      </c>
      <c r="N216" s="501">
        <f>Calculation!D219</f>
        <v>200</v>
      </c>
      <c r="O216" s="500">
        <f>Sheet1!CY219</f>
        <v>1159.5899999999999</v>
      </c>
      <c r="P216" s="514">
        <f>Calculation!ET219</f>
        <v>1137.5</v>
      </c>
      <c r="Q216" s="498">
        <f>Calculation!DF219</f>
        <v>42374.730000102361</v>
      </c>
      <c r="R216" s="500">
        <f t="shared" si="53"/>
        <v>41154.730000102361</v>
      </c>
      <c r="S216" s="498">
        <f t="shared" si="60"/>
        <v>-588.27000000199769</v>
      </c>
      <c r="T216" s="498">
        <f ca="1">IF(A216&gt;$A$1,#N/A,VLOOKUP(A216,Calculation!$B$8:$IV$881,30,FALSE))</f>
        <v>10000</v>
      </c>
      <c r="U216" s="498">
        <f t="shared" si="54"/>
        <v>0</v>
      </c>
      <c r="V216" s="498">
        <f>Calculation!AP219</f>
        <v>0</v>
      </c>
      <c r="W216" s="498">
        <f t="shared" ca="1" si="57"/>
        <v>9617.7300000483156</v>
      </c>
      <c r="X216" s="498">
        <f t="shared" ca="1" si="56"/>
        <v>261.60867372768416</v>
      </c>
      <c r="Y216" s="744">
        <f t="shared" ca="1" si="52"/>
        <v>2500</v>
      </c>
      <c r="Z216" s="748">
        <f t="shared" ca="1" si="55"/>
        <v>7117.7300000483156</v>
      </c>
      <c r="AA216" s="799">
        <f t="shared" ca="1" si="65"/>
        <v>22757.000000054046</v>
      </c>
      <c r="AB216" s="501">
        <f t="shared" ca="1" si="61"/>
        <v>21537.000000054046</v>
      </c>
      <c r="AC216" s="498">
        <f ca="1">IF(A216&gt;$A$1,#N/A,VLOOKUP(A216,Calculation!$B$8:$IV$881,155,FALSE))</f>
        <v>22757.000000054046</v>
      </c>
      <c r="AD216" s="498">
        <f t="shared" ca="1" si="62"/>
        <v>-69.5</v>
      </c>
      <c r="AE216" s="498"/>
      <c r="AF216" s="501">
        <f>Calculation!G219</f>
        <v>401.34341906101986</v>
      </c>
      <c r="AG216" s="498" t="str">
        <f t="shared" si="63"/>
        <v>Yes</v>
      </c>
      <c r="AH216" s="498" t="str">
        <f t="shared" si="64"/>
        <v>Yes</v>
      </c>
      <c r="AK216" s="738">
        <v>38975.810000095102</v>
      </c>
      <c r="AL216" s="738">
        <v>31309.880000078087</v>
      </c>
      <c r="AM216" s="741">
        <v>46267.390000110594</v>
      </c>
      <c r="AR216" s="552" t="e">
        <f t="shared" ca="1" si="46"/>
        <v>#DIV/0!</v>
      </c>
      <c r="AS216" s="524"/>
      <c r="AT216" s="581">
        <f>Calculation!AR219*3.068</f>
        <v>4166.6666666666661</v>
      </c>
      <c r="AU216" s="575">
        <f ca="1">Calculation!DA219</f>
        <v>1944.4444444444441</v>
      </c>
      <c r="AV216" s="575">
        <f>Calculation!CF219*3.068</f>
        <v>1944.4444444444441</v>
      </c>
      <c r="AW216" s="582">
        <f>Calculation!BK219*3.068</f>
        <v>1944.4444444444441</v>
      </c>
      <c r="AX216" s="813">
        <f t="shared" si="47"/>
        <v>40745</v>
      </c>
      <c r="AY216" s="561"/>
      <c r="AZ216" s="534">
        <f t="shared" ca="1" si="48"/>
        <v>40745</v>
      </c>
      <c r="BA216" s="561"/>
      <c r="BB216" s="826">
        <f t="shared" si="49"/>
        <v>40745</v>
      </c>
      <c r="BC216" s="561"/>
      <c r="BD216" s="844">
        <f t="shared" si="50"/>
        <v>40745</v>
      </c>
      <c r="BE216" s="553"/>
    </row>
    <row r="217" spans="1:57" ht="13.5" thickBot="1">
      <c r="A217" s="513">
        <v>40749</v>
      </c>
      <c r="B217" s="498">
        <f t="shared" si="59"/>
        <v>93.237689999995041</v>
      </c>
      <c r="C217" s="498">
        <f>Calculation!AA220</f>
        <v>0</v>
      </c>
      <c r="D217" s="498">
        <f>Calculation!Y220</f>
        <v>0</v>
      </c>
      <c r="E217" s="498">
        <f>Calculation!U220</f>
        <v>62.792729999994592</v>
      </c>
      <c r="F217" s="498">
        <f>Calculation!V220</f>
        <v>30.444960000000449</v>
      </c>
      <c r="G217" s="498">
        <f>Calculation!W220</f>
        <v>0</v>
      </c>
      <c r="H217" s="500" t="str">
        <f>Sheet1!H220</f>
        <v>os</v>
      </c>
      <c r="I217" s="501">
        <f>Sheet1!CW220</f>
        <v>884.55208333333337</v>
      </c>
      <c r="J217" s="501">
        <f>Sheet1!CX220</f>
        <v>576.875</v>
      </c>
      <c r="K217" s="501">
        <f>Sheet1!CV220</f>
        <v>676.66666666666663</v>
      </c>
      <c r="L217" s="501">
        <f>Calculation!F220</f>
        <v>250</v>
      </c>
      <c r="M217" s="501">
        <f>Calculation!E220</f>
        <v>400</v>
      </c>
      <c r="N217" s="501">
        <f>Calculation!D220</f>
        <v>200</v>
      </c>
      <c r="O217" s="500">
        <f>Sheet1!CY220</f>
        <v>1159.04</v>
      </c>
      <c r="P217" s="514">
        <f>Calculation!ET220</f>
        <v>1137.4000000000001</v>
      </c>
      <c r="Q217" s="498">
        <f>Calculation!DF220</f>
        <v>41798.88000010189</v>
      </c>
      <c r="R217" s="500">
        <f t="shared" si="53"/>
        <v>40578.88000010189</v>
      </c>
      <c r="S217" s="498">
        <f t="shared" si="60"/>
        <v>-575.85000000047148</v>
      </c>
      <c r="T217" s="498">
        <f ca="1">IF(A217&gt;$A$1,#N/A,VLOOKUP(A217,Calculation!$B$8:$IV$881,30,FALSE))</f>
        <v>10000</v>
      </c>
      <c r="U217" s="498">
        <f t="shared" si="54"/>
        <v>0</v>
      </c>
      <c r="V217" s="498">
        <f>Calculation!AP220</f>
        <v>0</v>
      </c>
      <c r="W217" s="498">
        <f t="shared" ca="1" si="57"/>
        <v>9041.8800000478441</v>
      </c>
      <c r="X217" s="498">
        <f t="shared" ca="1" si="56"/>
        <v>290.39334341929975</v>
      </c>
      <c r="Y217" s="744">
        <f t="shared" ca="1" si="52"/>
        <v>2500</v>
      </c>
      <c r="Z217" s="748">
        <f t="shared" ca="1" si="55"/>
        <v>6541.8800000478441</v>
      </c>
      <c r="AA217" s="799">
        <f t="shared" ca="1" si="65"/>
        <v>22757.000000054046</v>
      </c>
      <c r="AB217" s="501">
        <f t="shared" ca="1" si="61"/>
        <v>21537.000000054046</v>
      </c>
      <c r="AC217" s="498">
        <f ca="1">IF(A217&gt;$A$1,#N/A,VLOOKUP(A217,Calculation!$B$8:$IV$881,155,FALSE))</f>
        <v>22757.000000054046</v>
      </c>
      <c r="AD217" s="498">
        <f t="shared" ca="1" si="62"/>
        <v>0</v>
      </c>
      <c r="AE217" s="498"/>
      <c r="AF217" s="501">
        <f>Calculation!G220</f>
        <v>386.27332324736687</v>
      </c>
      <c r="AG217" s="498" t="str">
        <f t="shared" si="63"/>
        <v>Yes</v>
      </c>
      <c r="AH217" s="498" t="str">
        <f t="shared" si="64"/>
        <v>Yes</v>
      </c>
      <c r="AK217" s="738">
        <v>38905.600000095095</v>
      </c>
      <c r="AL217" s="738">
        <v>31149.880000076661</v>
      </c>
      <c r="AM217" s="741">
        <v>46147.160000110343</v>
      </c>
      <c r="AR217" s="552" t="e">
        <f t="shared" ca="1" si="46"/>
        <v>#DIV/0!</v>
      </c>
      <c r="AS217" s="524"/>
      <c r="AT217" s="581">
        <f>Calculation!AR220*3.068</f>
        <v>4166.6666666666661</v>
      </c>
      <c r="AU217" s="575">
        <f ca="1">Calculation!DA220</f>
        <v>1944.4444444444441</v>
      </c>
      <c r="AV217" s="575">
        <f>Calculation!CF220*3.068</f>
        <v>1944.4444444444441</v>
      </c>
      <c r="AW217" s="582">
        <f>Calculation!BK220*3.068</f>
        <v>1944.4444444444441</v>
      </c>
      <c r="AX217" s="813">
        <f t="shared" si="47"/>
        <v>40746</v>
      </c>
      <c r="AY217" s="561"/>
      <c r="AZ217" s="534">
        <f t="shared" ca="1" si="48"/>
        <v>40746</v>
      </c>
      <c r="BA217" s="561"/>
      <c r="BB217" s="826">
        <f t="shared" si="49"/>
        <v>40746</v>
      </c>
      <c r="BC217" s="561"/>
      <c r="BD217" s="844">
        <f t="shared" si="50"/>
        <v>40746</v>
      </c>
      <c r="BE217" s="553"/>
    </row>
    <row r="218" spans="1:57" ht="13.5" thickBot="1">
      <c r="A218" s="513">
        <v>40750</v>
      </c>
      <c r="B218" s="498">
        <f t="shared" si="59"/>
        <v>94.36699999999999</v>
      </c>
      <c r="C218" s="498">
        <f>Calculation!AA221</f>
        <v>0</v>
      </c>
      <c r="D218" s="498">
        <f>Calculation!Y221</f>
        <v>0</v>
      </c>
      <c r="E218" s="498">
        <f>Calculation!U221</f>
        <v>63.427</v>
      </c>
      <c r="F218" s="498">
        <f>Calculation!V221</f>
        <v>30.939999999999998</v>
      </c>
      <c r="G218" s="498">
        <f>Calculation!W221</f>
        <v>0</v>
      </c>
      <c r="H218" s="500" t="str">
        <f>Sheet1!H221</f>
        <v>os</v>
      </c>
      <c r="I218" s="501">
        <f>Sheet1!CW221</f>
        <v>763.95833333333337</v>
      </c>
      <c r="J218" s="501">
        <f>Sheet1!CX221</f>
        <v>452.21875</v>
      </c>
      <c r="K218" s="501">
        <f>Sheet1!CV221</f>
        <v>544</v>
      </c>
      <c r="L218" s="501">
        <f>Calculation!F221</f>
        <v>250</v>
      </c>
      <c r="M218" s="501">
        <f>Calculation!E221</f>
        <v>400</v>
      </c>
      <c r="N218" s="501">
        <f>Calculation!D221</f>
        <v>200</v>
      </c>
      <c r="O218" s="500">
        <f>Sheet1!CY221</f>
        <v>1158.74</v>
      </c>
      <c r="P218" s="514">
        <f>Calculation!ET221</f>
        <v>1137.4000000000001</v>
      </c>
      <c r="Q218" s="498">
        <f>Calculation!DF221</f>
        <v>41488.680000100198</v>
      </c>
      <c r="R218" s="500">
        <f t="shared" si="53"/>
        <v>40268.680000100198</v>
      </c>
      <c r="S218" s="498">
        <f t="shared" si="60"/>
        <v>-310.20000000169239</v>
      </c>
      <c r="T218" s="498">
        <f ca="1">IF(A218&gt;$A$1,#N/A,VLOOKUP(A218,Calculation!$B$8:$IV$881,30,FALSE))</f>
        <v>10000</v>
      </c>
      <c r="U218" s="498">
        <f t="shared" si="54"/>
        <v>0</v>
      </c>
      <c r="V218" s="498">
        <f>Calculation!AP221</f>
        <v>0</v>
      </c>
      <c r="W218" s="498">
        <f t="shared" ca="1" si="57"/>
        <v>8801.1800000463118</v>
      </c>
      <c r="X218" s="498">
        <f t="shared" ca="1" si="56"/>
        <v>121.38174483183677</v>
      </c>
      <c r="Y218" s="744">
        <f t="shared" ca="1" si="52"/>
        <v>2500</v>
      </c>
      <c r="Z218" s="748">
        <f t="shared" ca="1" si="55"/>
        <v>6301.1800000463118</v>
      </c>
      <c r="AA218" s="498">
        <f t="shared" ref="AA218:AA268" ca="1" si="66">IF(Q218-T218-W218&lt;0,0,Q218-T218-W218)</f>
        <v>22687.500000053886</v>
      </c>
      <c r="AB218" s="501">
        <f t="shared" ca="1" si="61"/>
        <v>21467.500000053886</v>
      </c>
      <c r="AC218" s="498">
        <f ca="1">IF(A218&gt;$A$1,#N/A,VLOOKUP(A218,Calculation!$B$8:$IV$881,155,FALSE))</f>
        <v>22687.500000053886</v>
      </c>
      <c r="AD218" s="498">
        <f t="shared" ca="1" si="62"/>
        <v>-69.500000000160071</v>
      </c>
      <c r="AE218" s="498"/>
      <c r="AF218" s="501">
        <f>Calculation!G221</f>
        <v>387.57034795678652</v>
      </c>
      <c r="AG218" s="498" t="str">
        <f t="shared" si="63"/>
        <v>Yes</v>
      </c>
      <c r="AH218" s="498" t="str">
        <f t="shared" si="64"/>
        <v>Yes</v>
      </c>
      <c r="AK218" s="738">
        <v>38825.360000094872</v>
      </c>
      <c r="AL218" s="738">
        <v>30991.84000007646</v>
      </c>
      <c r="AM218" s="741">
        <v>45972.720000109235</v>
      </c>
      <c r="AR218" s="552" t="e">
        <f t="shared" ca="1" si="46"/>
        <v>#DIV/0!</v>
      </c>
      <c r="AS218" s="524"/>
      <c r="AT218" s="581">
        <f>Calculation!AR221*3.068</f>
        <v>4166.6666666666661</v>
      </c>
      <c r="AU218" s="575">
        <f ca="1">Calculation!DA221</f>
        <v>1944.4444444444441</v>
      </c>
      <c r="AV218" s="575">
        <f>Calculation!CF221*3.068</f>
        <v>1944.4444444444441</v>
      </c>
      <c r="AW218" s="582">
        <f>Calculation!BK221*3.068</f>
        <v>1944.4444444444441</v>
      </c>
      <c r="AX218" s="813">
        <f t="shared" si="47"/>
        <v>40747</v>
      </c>
      <c r="AY218" s="561"/>
      <c r="AZ218" s="534">
        <f t="shared" ca="1" si="48"/>
        <v>40747</v>
      </c>
      <c r="BA218" s="561"/>
      <c r="BB218" s="826">
        <f t="shared" si="49"/>
        <v>40747</v>
      </c>
      <c r="BC218" s="561"/>
      <c r="BD218" s="844">
        <f t="shared" si="50"/>
        <v>40747</v>
      </c>
      <c r="BE218" s="553"/>
    </row>
    <row r="219" spans="1:57" ht="13.5" thickBot="1">
      <c r="A219" s="513">
        <v>40751</v>
      </c>
      <c r="B219" s="498">
        <f t="shared" si="59"/>
        <v>93.701789999999548</v>
      </c>
      <c r="C219" s="498">
        <f>Calculation!AA222</f>
        <v>0</v>
      </c>
      <c r="D219" s="498">
        <f>Calculation!Y222</f>
        <v>0</v>
      </c>
      <c r="E219" s="498">
        <f>Calculation!U222</f>
        <v>62.5606800000036</v>
      </c>
      <c r="F219" s="498">
        <f>Calculation!V222</f>
        <v>31.141109999995948</v>
      </c>
      <c r="G219" s="498">
        <f>Calculation!W222</f>
        <v>0</v>
      </c>
      <c r="H219" s="500">
        <f>Sheet1!H222</f>
        <v>5.03</v>
      </c>
      <c r="I219" s="501">
        <f>Sheet1!CW222</f>
        <v>698.13541666666663</v>
      </c>
      <c r="J219" s="501">
        <f>Sheet1!CX222</f>
        <v>413.6875</v>
      </c>
      <c r="K219" s="501">
        <f>Sheet1!CV222</f>
        <v>484.83333333333331</v>
      </c>
      <c r="L219" s="501">
        <f>Calculation!F222</f>
        <v>250</v>
      </c>
      <c r="M219" s="501">
        <f>Calculation!E222</f>
        <v>400</v>
      </c>
      <c r="N219" s="501">
        <f>Calculation!D222</f>
        <v>200</v>
      </c>
      <c r="O219" s="500">
        <f>Sheet1!CY222</f>
        <v>1158.46</v>
      </c>
      <c r="P219" s="514">
        <f>Calculation!ET222</f>
        <v>1137.3</v>
      </c>
      <c r="Q219" s="498">
        <f>Calculation!DF222</f>
        <v>41199.720000099958</v>
      </c>
      <c r="R219" s="500">
        <f t="shared" si="53"/>
        <v>39979.720000099958</v>
      </c>
      <c r="S219" s="498">
        <f t="shared" si="60"/>
        <v>-288.96000000023923</v>
      </c>
      <c r="T219" s="498">
        <f ca="1">IF(A219&gt;$A$1,#N/A,VLOOKUP(A219,Calculation!$B$8:$IV$881,30,FALSE))</f>
        <v>10000</v>
      </c>
      <c r="U219" s="498">
        <f t="shared" si="54"/>
        <v>0</v>
      </c>
      <c r="V219" s="498">
        <f>Calculation!AP222</f>
        <v>0</v>
      </c>
      <c r="W219" s="498">
        <v>8785</v>
      </c>
      <c r="X219" s="498">
        <v>0</v>
      </c>
      <c r="Y219" s="744">
        <f t="shared" ca="1" si="52"/>
        <v>2500</v>
      </c>
      <c r="Z219" s="748">
        <f t="shared" ca="1" si="55"/>
        <v>6285</v>
      </c>
      <c r="AA219" s="498">
        <f t="shared" ca="1" si="66"/>
        <v>22414.720000099958</v>
      </c>
      <c r="AB219" s="501">
        <f t="shared" ca="1" si="61"/>
        <v>21194.720000099958</v>
      </c>
      <c r="AC219" s="498">
        <f ca="1">IF(A219&gt;$A$1,#N/A,VLOOKUP(A219,Calculation!$B$8:$IV$881,155,FALSE))</f>
        <v>22687.500000053886</v>
      </c>
      <c r="AD219" s="498">
        <f t="shared" ca="1" si="62"/>
        <v>0</v>
      </c>
      <c r="AE219" s="498"/>
      <c r="AF219" s="501">
        <f>Calculation!G222</f>
        <v>339.11472516377245</v>
      </c>
      <c r="AG219" s="498" t="str">
        <f t="shared" si="63"/>
        <v>Yes</v>
      </c>
      <c r="AH219" s="498" t="str">
        <f t="shared" si="64"/>
        <v>Yes</v>
      </c>
      <c r="AK219" s="738">
        <v>38745.120000094874</v>
      </c>
      <c r="AL219" s="738">
        <v>30833.800000076259</v>
      </c>
      <c r="AM219" s="741">
        <v>45767.140000108986</v>
      </c>
      <c r="AR219" s="552" t="e">
        <f t="shared" ca="1" si="46"/>
        <v>#DIV/0!</v>
      </c>
      <c r="AS219" s="524"/>
      <c r="AT219" s="581">
        <f>Calculation!AR222*3.068</f>
        <v>4166.6666666666661</v>
      </c>
      <c r="AU219" s="575">
        <f ca="1">Calculation!DA222</f>
        <v>1944.4444444444441</v>
      </c>
      <c r="AV219" s="575">
        <f>Calculation!CF222*3.068</f>
        <v>1944.4444444444441</v>
      </c>
      <c r="AW219" s="582">
        <f>Calculation!BK222*3.068</f>
        <v>1944.4444444444441</v>
      </c>
      <c r="AX219" s="813">
        <f t="shared" si="47"/>
        <v>40748</v>
      </c>
      <c r="AY219" s="561"/>
      <c r="AZ219" s="534">
        <f t="shared" ca="1" si="48"/>
        <v>40748</v>
      </c>
      <c r="BA219" s="561"/>
      <c r="BB219" s="826">
        <f t="shared" si="49"/>
        <v>40748</v>
      </c>
      <c r="BC219" s="561"/>
      <c r="BD219" s="844">
        <f t="shared" si="50"/>
        <v>40748</v>
      </c>
      <c r="BE219" s="553"/>
    </row>
    <row r="220" spans="1:57" ht="13.5" thickBot="1">
      <c r="A220" s="513">
        <v>40752</v>
      </c>
      <c r="B220" s="498">
        <f t="shared" si="59"/>
        <v>99.688679999992345</v>
      </c>
      <c r="C220" s="498">
        <f>Calculation!AA223</f>
        <v>0</v>
      </c>
      <c r="D220" s="498">
        <f>Calculation!Y223</f>
        <v>0</v>
      </c>
      <c r="E220" s="498">
        <f>Calculation!U223</f>
        <v>63.922039999988293</v>
      </c>
      <c r="F220" s="498">
        <f>Calculation!V223</f>
        <v>35.766640000004053</v>
      </c>
      <c r="G220" s="498">
        <f>Calculation!W223</f>
        <v>0</v>
      </c>
      <c r="H220" s="500">
        <f>Sheet1!H223</f>
        <v>0.99</v>
      </c>
      <c r="I220" s="501">
        <f>Sheet1!CW223</f>
        <v>613.32291666666663</v>
      </c>
      <c r="J220" s="501">
        <f>Sheet1!CX223</f>
        <v>332.27083333333331</v>
      </c>
      <c r="K220" s="501">
        <f>Sheet1!CV223</f>
        <v>419.33333333333331</v>
      </c>
      <c r="L220" s="501">
        <f>Calculation!F223</f>
        <v>250</v>
      </c>
      <c r="M220" s="501">
        <f>Calculation!E223</f>
        <v>400</v>
      </c>
      <c r="N220" s="501">
        <f>Calculation!D223</f>
        <v>200</v>
      </c>
      <c r="O220" s="500">
        <f>Sheet1!CY223</f>
        <v>1158.31</v>
      </c>
      <c r="P220" s="514">
        <f>Calculation!ET223</f>
        <v>1137.3</v>
      </c>
      <c r="Q220" s="498">
        <f>Calculation!DF223</f>
        <v>41044.920000099723</v>
      </c>
      <c r="R220" s="500">
        <f t="shared" si="53"/>
        <v>39824.920000099723</v>
      </c>
      <c r="S220" s="498">
        <f t="shared" si="60"/>
        <v>-154.80000000023574</v>
      </c>
      <c r="T220" s="498">
        <f ca="1">IF(A220&gt;$A$1,#N/A,VLOOKUP(A220,Calculation!$B$8:$IV$881,30,FALSE))</f>
        <v>10000</v>
      </c>
      <c r="U220" s="498">
        <f t="shared" si="54"/>
        <v>0</v>
      </c>
      <c r="V220" s="498">
        <f>Calculation!AP223</f>
        <v>0</v>
      </c>
      <c r="W220" s="498">
        <v>8785</v>
      </c>
      <c r="X220" s="498">
        <v>0</v>
      </c>
      <c r="Y220" s="744">
        <f t="shared" ca="1" si="52"/>
        <v>2500</v>
      </c>
      <c r="Z220" s="748">
        <f t="shared" ca="1" si="55"/>
        <v>6285</v>
      </c>
      <c r="AA220" s="498">
        <f t="shared" ca="1" si="66"/>
        <v>22259.920000099723</v>
      </c>
      <c r="AB220" s="501">
        <f t="shared" ca="1" si="61"/>
        <v>21039.920000099723</v>
      </c>
      <c r="AC220" s="498">
        <f ca="1">IF(A220&gt;$A$1,#N/A,VLOOKUP(A220,Calculation!$B$8:$IV$881,155,FALSE))</f>
        <v>22618.000000053886</v>
      </c>
      <c r="AD220" s="498">
        <f t="shared" ca="1" si="62"/>
        <v>-69.5</v>
      </c>
      <c r="AE220" s="498"/>
      <c r="AF220" s="501">
        <f>Calculation!G223</f>
        <v>341.26979324244292</v>
      </c>
      <c r="AG220" s="498" t="str">
        <f t="shared" si="63"/>
        <v>Yes</v>
      </c>
      <c r="AH220" s="498" t="str">
        <f t="shared" si="64"/>
        <v>Yes</v>
      </c>
      <c r="AK220" s="738">
        <v>38675.330000093549</v>
      </c>
      <c r="AL220" s="738">
        <v>30658.20000007626</v>
      </c>
      <c r="AM220" s="741">
        <v>45518.280000108738</v>
      </c>
      <c r="AR220" s="552" t="e">
        <f t="shared" ca="1" si="46"/>
        <v>#DIV/0!</v>
      </c>
      <c r="AS220" s="524"/>
      <c r="AT220" s="581">
        <f>Calculation!AR223*3.068</f>
        <v>4166.6666666666661</v>
      </c>
      <c r="AU220" s="575">
        <f ca="1">Calculation!DA223</f>
        <v>1944.4444444444441</v>
      </c>
      <c r="AV220" s="575">
        <f>Calculation!CF223*3.068</f>
        <v>1944.4444444444441</v>
      </c>
      <c r="AW220" s="582">
        <f>Calculation!BK223*3.068</f>
        <v>1944.4444444444441</v>
      </c>
      <c r="AX220" s="813">
        <f t="shared" si="47"/>
        <v>40749</v>
      </c>
      <c r="AY220" s="561"/>
      <c r="AZ220" s="534">
        <f t="shared" ca="1" si="48"/>
        <v>40749</v>
      </c>
      <c r="BA220" s="561"/>
      <c r="BB220" s="826">
        <f t="shared" si="49"/>
        <v>40749</v>
      </c>
      <c r="BC220" s="561"/>
      <c r="BD220" s="844">
        <f t="shared" si="50"/>
        <v>40749</v>
      </c>
      <c r="BE220" s="553"/>
    </row>
    <row r="221" spans="1:57" ht="13.5" thickBot="1">
      <c r="A221" s="513">
        <v>40753</v>
      </c>
      <c r="B221" s="498">
        <f t="shared" si="59"/>
        <v>95.898530000008094</v>
      </c>
      <c r="C221" s="498">
        <f>Calculation!AA224</f>
        <v>0</v>
      </c>
      <c r="D221" s="498">
        <f>Calculation!Y224</f>
        <v>23.668125074250991</v>
      </c>
      <c r="E221" s="498">
        <f>Calculation!U224</f>
        <v>62.251280000008101</v>
      </c>
      <c r="F221" s="498">
        <f>Calculation!V224</f>
        <v>33.64725</v>
      </c>
      <c r="G221" s="498">
        <f>Calculation!W224</f>
        <v>0</v>
      </c>
      <c r="H221" s="500" t="str">
        <f>Sheet1!H224</f>
        <v>os</v>
      </c>
      <c r="I221" s="501">
        <f>Sheet1!CW224</f>
        <v>544.08333333333337</v>
      </c>
      <c r="J221" s="501">
        <f>Sheet1!CX224</f>
        <v>278.84375</v>
      </c>
      <c r="K221" s="501">
        <f>Sheet1!CV224</f>
        <v>363.66666666666669</v>
      </c>
      <c r="L221" s="501">
        <f>Calculation!F224</f>
        <v>250</v>
      </c>
      <c r="M221" s="501">
        <f>Calculation!E224</f>
        <v>400</v>
      </c>
      <c r="N221" s="501">
        <f>Calculation!D224</f>
        <v>200</v>
      </c>
      <c r="O221" s="500">
        <f>Sheet1!CY224</f>
        <v>1158.23</v>
      </c>
      <c r="P221" s="514">
        <f>Calculation!ET224</f>
        <v>1137.2</v>
      </c>
      <c r="Q221" s="498">
        <f>Calculation!DF224</f>
        <v>40962.360000099725</v>
      </c>
      <c r="R221" s="500">
        <f t="shared" si="53"/>
        <v>39742.360000099725</v>
      </c>
      <c r="S221" s="498">
        <f t="shared" si="60"/>
        <v>-82.559999999997672</v>
      </c>
      <c r="T221" s="498">
        <f ca="1">IF(A221&gt;$A$1,#N/A,VLOOKUP(A221,Calculation!$B$8:$IV$881,30,FALSE))</f>
        <v>9953.0615334661907</v>
      </c>
      <c r="U221" s="498">
        <f t="shared" si="54"/>
        <v>23.668125074250991</v>
      </c>
      <c r="V221" s="498">
        <f>Calculation!AP224</f>
        <v>0</v>
      </c>
      <c r="W221" s="498">
        <v>8785</v>
      </c>
      <c r="X221" s="498">
        <v>0</v>
      </c>
      <c r="Y221" s="744">
        <f t="shared" ca="1" si="52"/>
        <v>2500</v>
      </c>
      <c r="Z221" s="748">
        <f t="shared" ca="1" si="55"/>
        <v>6285</v>
      </c>
      <c r="AA221" s="498">
        <f t="shared" ca="1" si="66"/>
        <v>22224.298466633532</v>
      </c>
      <c r="AB221" s="501">
        <f t="shared" ca="1" si="61"/>
        <v>21004.298466633532</v>
      </c>
      <c r="AC221" s="498">
        <f ca="1">IF(A221&gt;$A$1,#N/A,VLOOKUP(A221,Calculation!$B$8:$IV$881,155,FALSE))</f>
        <v>22548.500000053729</v>
      </c>
      <c r="AD221" s="498">
        <f t="shared" ca="1" si="62"/>
        <v>-69.500000000156433</v>
      </c>
      <c r="AE221" s="498"/>
      <c r="AF221" s="501">
        <f>Calculation!G224</f>
        <v>322.03277861825637</v>
      </c>
      <c r="AG221" s="498" t="str">
        <f t="shared" si="63"/>
        <v>Yes</v>
      </c>
      <c r="AH221" s="498" t="str">
        <f t="shared" si="64"/>
        <v>Yes</v>
      </c>
      <c r="AK221" s="738">
        <v>38546.760000093316</v>
      </c>
      <c r="AL221" s="738">
        <v>30465.04000007606</v>
      </c>
      <c r="AM221" s="741">
        <v>45280.240000108497</v>
      </c>
      <c r="AR221" s="552">
        <f t="shared" ca="1" si="46"/>
        <v>41495.157082231046</v>
      </c>
      <c r="AS221" s="524"/>
      <c r="AT221" s="581">
        <f>Calculation!AR224*3.068</f>
        <v>4166.6666666666661</v>
      </c>
      <c r="AU221" s="575">
        <f ca="1">Calculation!DA224</f>
        <v>1915.9139779106356</v>
      </c>
      <c r="AV221" s="575">
        <f>Calculation!CF224*3.068</f>
        <v>1932.1724444444442</v>
      </c>
      <c r="AW221" s="582">
        <f>Calculation!BK224*3.068</f>
        <v>1938.3084444444441</v>
      </c>
      <c r="AX221" s="813">
        <f t="shared" si="47"/>
        <v>40750</v>
      </c>
      <c r="AY221" s="561"/>
      <c r="AZ221" s="534">
        <f t="shared" ca="1" si="48"/>
        <v>40988.036427278224</v>
      </c>
      <c r="BA221" s="561"/>
      <c r="BB221" s="826">
        <f t="shared" si="49"/>
        <v>41304.059611763005</v>
      </c>
      <c r="BC221" s="561"/>
      <c r="BD221" s="844">
        <f t="shared" si="50"/>
        <v>41858.61922352601</v>
      </c>
      <c r="BE221" s="553"/>
    </row>
    <row r="222" spans="1:57" ht="13.5" thickBot="1">
      <c r="A222" s="513">
        <v>40754</v>
      </c>
      <c r="B222" s="498">
        <f t="shared" si="59"/>
        <v>97.460999999999999</v>
      </c>
      <c r="C222" s="498">
        <f>Calculation!AA225</f>
        <v>0</v>
      </c>
      <c r="D222" s="498">
        <f>Calculation!Y225</f>
        <v>24.834525316455693</v>
      </c>
      <c r="E222" s="498">
        <f>Calculation!U225</f>
        <v>63.427</v>
      </c>
      <c r="F222" s="498">
        <f>Calculation!V225</f>
        <v>34.033999999999999</v>
      </c>
      <c r="G222" s="498">
        <f>Calculation!W225</f>
        <v>0</v>
      </c>
      <c r="H222" s="500" t="str">
        <f>Sheet1!H225</f>
        <v>os</v>
      </c>
      <c r="I222" s="501">
        <f>Sheet1!CW225</f>
        <v>499.92708333333331</v>
      </c>
      <c r="J222" s="501">
        <f>Sheet1!CX225</f>
        <v>265.67708333333331</v>
      </c>
      <c r="K222" s="501">
        <f>Sheet1!CV225</f>
        <v>353.75</v>
      </c>
      <c r="L222" s="501">
        <f>Calculation!F225</f>
        <v>250</v>
      </c>
      <c r="M222" s="501">
        <f>Calculation!E225</f>
        <v>400</v>
      </c>
      <c r="N222" s="501">
        <f>Calculation!D225</f>
        <v>200</v>
      </c>
      <c r="O222" s="500">
        <f>Sheet1!CY225</f>
        <v>1158.1500000000001</v>
      </c>
      <c r="P222" s="514">
        <f>Calculation!ET225</f>
        <v>1137.0999999999999</v>
      </c>
      <c r="Q222" s="498">
        <f>Calculation!DF225</f>
        <v>40879.800000099727</v>
      </c>
      <c r="R222" s="500">
        <f t="shared" si="53"/>
        <v>39659.800000099727</v>
      </c>
      <c r="S222" s="498">
        <f t="shared" si="60"/>
        <v>-82.559999999997672</v>
      </c>
      <c r="T222" s="498">
        <f ca="1">IF(A222&gt;$A$1,#N/A,VLOOKUP(A222,Calculation!$B$8:$IV$881,30,FALSE))</f>
        <v>9903.8098698133872</v>
      </c>
      <c r="U222" s="498">
        <f t="shared" si="54"/>
        <v>24.834525316455693</v>
      </c>
      <c r="V222" s="498">
        <f>Calculation!AP225</f>
        <v>0</v>
      </c>
      <c r="W222" s="498">
        <v>8785</v>
      </c>
      <c r="X222" s="498">
        <v>0</v>
      </c>
      <c r="Y222" s="744">
        <f t="shared" ca="1" si="52"/>
        <v>2500</v>
      </c>
      <c r="Z222" s="748">
        <f t="shared" ca="1" si="55"/>
        <v>6285</v>
      </c>
      <c r="AA222" s="498">
        <f t="shared" ca="1" si="66"/>
        <v>22190.99013028634</v>
      </c>
      <c r="AB222" s="501">
        <f t="shared" ca="1" si="61"/>
        <v>20970.99013028634</v>
      </c>
      <c r="AC222" s="498">
        <f ca="1">IF(A222&gt;$A$1,#N/A,VLOOKUP(A222,Calculation!$B$8:$IV$881,155,FALSE))</f>
        <v>22548.500000053729</v>
      </c>
      <c r="AD222" s="498">
        <f t="shared" ca="1" si="62"/>
        <v>0</v>
      </c>
      <c r="AE222" s="498"/>
      <c r="AF222" s="501">
        <f>Calculation!G225</f>
        <v>312.11611195158969</v>
      </c>
      <c r="AG222" s="498" t="str">
        <f t="shared" si="63"/>
        <v>Yes</v>
      </c>
      <c r="AH222" s="498" t="str">
        <f t="shared" si="64"/>
        <v>Yes</v>
      </c>
      <c r="AK222" s="738">
        <v>38536.870000093317</v>
      </c>
      <c r="AL222" s="738">
        <v>30281.050000074738</v>
      </c>
      <c r="AM222" s="741">
        <v>45117.940000108494</v>
      </c>
      <c r="AR222" s="552">
        <f t="shared" ca="1" si="46"/>
        <v>41198.479837293497</v>
      </c>
      <c r="AS222" s="524"/>
      <c r="AT222" s="581">
        <f>Calculation!AR225*3.068</f>
        <v>4166.6666666666661</v>
      </c>
      <c r="AU222" s="575">
        <f ca="1">Calculation!DA225</f>
        <v>1885.2783612741073</v>
      </c>
      <c r="AV222" s="575">
        <f>Calculation!CF225*3.068</f>
        <v>1919.6923974281694</v>
      </c>
      <c r="AW222" s="582">
        <f>Calculation!BK225*3.068</f>
        <v>1932.1724444444442</v>
      </c>
      <c r="AX222" s="813">
        <f t="shared" si="47"/>
        <v>40751</v>
      </c>
      <c r="AY222" s="561"/>
      <c r="AZ222" s="534">
        <f t="shared" ca="1" si="48"/>
        <v>40891.90692249022</v>
      </c>
      <c r="BA222" s="561"/>
      <c r="BB222" s="826">
        <f t="shared" si="49"/>
        <v>41088.637081009751</v>
      </c>
      <c r="BC222" s="561"/>
      <c r="BD222" s="844">
        <f t="shared" si="50"/>
        <v>41432.611829862159</v>
      </c>
      <c r="BE222" s="553"/>
    </row>
    <row r="223" spans="1:57" ht="13.5" thickBot="1">
      <c r="A223" s="513">
        <v>40755</v>
      </c>
      <c r="B223" s="498">
        <f t="shared" si="59"/>
        <v>97.460999999999999</v>
      </c>
      <c r="C223" s="498">
        <f>Calculation!AA226</f>
        <v>0</v>
      </c>
      <c r="D223" s="498">
        <f>Calculation!Y226</f>
        <v>24.838799999999999</v>
      </c>
      <c r="E223" s="498">
        <f>Calculation!U226</f>
        <v>63.427</v>
      </c>
      <c r="F223" s="498">
        <f>Calculation!V226</f>
        <v>34.033999999999999</v>
      </c>
      <c r="G223" s="498">
        <f>Calculation!W226</f>
        <v>0</v>
      </c>
      <c r="H223" s="500" t="str">
        <f>Sheet1!H226</f>
        <v>os</v>
      </c>
      <c r="I223" s="501">
        <f>Sheet1!CW226</f>
        <v>494.92708333333331</v>
      </c>
      <c r="J223" s="501">
        <f>Sheet1!CX226</f>
        <v>265.63541666666669</v>
      </c>
      <c r="K223" s="501">
        <f>Sheet1!CV226</f>
        <v>353.75</v>
      </c>
      <c r="L223" s="501">
        <f>Calculation!F226</f>
        <v>250</v>
      </c>
      <c r="M223" s="501">
        <f>Calculation!E226</f>
        <v>400</v>
      </c>
      <c r="N223" s="501">
        <f>Calculation!D226</f>
        <v>200</v>
      </c>
      <c r="O223" s="500">
        <f>Sheet1!CY226</f>
        <v>1158.06</v>
      </c>
      <c r="P223" s="514">
        <f>Calculation!ET226</f>
        <v>1137.0999999999999</v>
      </c>
      <c r="Q223" s="498">
        <f>Calculation!DF226</f>
        <v>40786.92000009949</v>
      </c>
      <c r="R223" s="500">
        <f t="shared" si="53"/>
        <v>39566.92000009949</v>
      </c>
      <c r="S223" s="498">
        <f t="shared" si="60"/>
        <v>-92.880000000237487</v>
      </c>
      <c r="T223" s="498">
        <f ca="1">IF(A223&gt;$A$1,#N/A,VLOOKUP(A223,Calculation!$B$8:$IV$881,30,FALSE))</f>
        <v>9854.5497286369173</v>
      </c>
      <c r="U223" s="498">
        <f t="shared" si="54"/>
        <v>24.838799999999999</v>
      </c>
      <c r="V223" s="498">
        <f>Calculation!AP226</f>
        <v>0</v>
      </c>
      <c r="W223" s="498">
        <v>8785</v>
      </c>
      <c r="X223" s="498">
        <v>0</v>
      </c>
      <c r="Y223" s="744">
        <f t="shared" ca="1" si="52"/>
        <v>2500</v>
      </c>
      <c r="Z223" s="748">
        <f t="shared" ca="1" si="55"/>
        <v>6285</v>
      </c>
      <c r="AA223" s="498">
        <f t="shared" ca="1" si="66"/>
        <v>22147.370271462572</v>
      </c>
      <c r="AB223" s="501">
        <f t="shared" ca="1" si="61"/>
        <v>20927.370271462572</v>
      </c>
      <c r="AC223" s="498">
        <f ca="1">IF(A223&gt;$A$1,#N/A,VLOOKUP(A223,Calculation!$B$8:$IV$881,155,FALSE))</f>
        <v>22479.000000053729</v>
      </c>
      <c r="AD223" s="498">
        <f t="shared" ca="1" si="62"/>
        <v>-69.5</v>
      </c>
      <c r="AE223" s="498"/>
      <c r="AF223" s="501">
        <f>Calculation!G226</f>
        <v>306.91187594541731</v>
      </c>
      <c r="AG223" s="498" t="str">
        <f t="shared" si="63"/>
        <v>Yes</v>
      </c>
      <c r="AH223" s="498" t="str">
        <f t="shared" si="64"/>
        <v>Yes</v>
      </c>
      <c r="AK223" s="738">
        <v>38576.430000093322</v>
      </c>
      <c r="AL223" s="738">
        <v>30064.800000074541</v>
      </c>
      <c r="AM223" s="741">
        <v>44977.280000108251</v>
      </c>
      <c r="AR223" s="552">
        <f t="shared" ca="1" si="46"/>
        <v>41076.833785299605</v>
      </c>
      <c r="AS223" s="524"/>
      <c r="AT223" s="581">
        <f>Calculation!AR226*3.068</f>
        <v>4166.6666666666661</v>
      </c>
      <c r="AU223" s="575">
        <f ca="1">Calculation!DA226</f>
        <v>1854.6150200976369</v>
      </c>
      <c r="AV223" s="575">
        <f>Calculation!CF226*3.068</f>
        <v>1907.2315974281694</v>
      </c>
      <c r="AW223" s="582">
        <f>Calculation!BK226*3.068</f>
        <v>1926.0364444444442</v>
      </c>
      <c r="AX223" s="813">
        <f t="shared" si="47"/>
        <v>40752</v>
      </c>
      <c r="AY223" s="561"/>
      <c r="AZ223" s="534">
        <f t="shared" ca="1" si="48"/>
        <v>40853.37525331974</v>
      </c>
      <c r="BA223" s="561"/>
      <c r="BB223" s="826">
        <f t="shared" si="49"/>
        <v>40998.447683675608</v>
      </c>
      <c r="BC223" s="561"/>
      <c r="BD223" s="844">
        <f t="shared" si="50"/>
        <v>41251.537713850455</v>
      </c>
      <c r="BE223" s="553"/>
    </row>
    <row r="224" spans="1:57" ht="13.5" thickBot="1">
      <c r="A224" s="513">
        <v>40756</v>
      </c>
      <c r="B224" s="498">
        <f t="shared" si="59"/>
        <v>99.549450000009003</v>
      </c>
      <c r="C224" s="498">
        <f>Calculation!AA227</f>
        <v>0</v>
      </c>
      <c r="D224" s="498">
        <f>Calculation!Y227</f>
        <v>24.685782020620419</v>
      </c>
      <c r="E224" s="498">
        <f>Calculation!U227</f>
        <v>62.344100000004502</v>
      </c>
      <c r="F224" s="498">
        <f>Calculation!V227</f>
        <v>37.205350000004501</v>
      </c>
      <c r="G224" s="498">
        <f>Calculation!W227</f>
        <v>0</v>
      </c>
      <c r="H224" s="500">
        <f>Sheet1!H227</f>
        <v>1.04</v>
      </c>
      <c r="I224" s="501">
        <f>Sheet1!CW227</f>
        <v>484.25</v>
      </c>
      <c r="J224" s="501">
        <f>Sheet1!CX227</f>
        <v>253.98958333333334</v>
      </c>
      <c r="K224" s="501">
        <f>Sheet1!CV227</f>
        <v>344.16666666666669</v>
      </c>
      <c r="L224" s="501">
        <f>Calculation!F227</f>
        <v>250</v>
      </c>
      <c r="M224" s="501">
        <f>Calculation!E227</f>
        <v>400</v>
      </c>
      <c r="N224" s="501">
        <f>Calculation!D227</f>
        <v>200</v>
      </c>
      <c r="O224" s="500">
        <f>Sheet1!CY227</f>
        <v>1157.96</v>
      </c>
      <c r="P224" s="514">
        <f>Calculation!ET227</f>
        <v>1137</v>
      </c>
      <c r="Q224" s="498">
        <f>Calculation!DF227</f>
        <v>40684.320000098043</v>
      </c>
      <c r="R224" s="500">
        <f t="shared" si="53"/>
        <v>39464.320000098043</v>
      </c>
      <c r="S224" s="498">
        <f t="shared" si="60"/>
        <v>-102.60000000144646</v>
      </c>
      <c r="T224" s="498">
        <f ca="1">IF(A224&gt;$A$1,#N/A,VLOOKUP(A224,Calculation!$B$8:$IV$881,30,FALSE))</f>
        <v>9805.5930516884582</v>
      </c>
      <c r="U224" s="498">
        <f t="shared" si="54"/>
        <v>24.685782020620419</v>
      </c>
      <c r="V224" s="498">
        <f>Calculation!AP227</f>
        <v>0</v>
      </c>
      <c r="W224" s="498">
        <v>8785</v>
      </c>
      <c r="X224" s="498">
        <v>0</v>
      </c>
      <c r="Y224" s="744">
        <f t="shared" ca="1" si="52"/>
        <v>2500</v>
      </c>
      <c r="Z224" s="748">
        <f t="shared" ca="1" si="55"/>
        <v>6285</v>
      </c>
      <c r="AA224" s="498">
        <f t="shared" ca="1" si="66"/>
        <v>22093.726948409585</v>
      </c>
      <c r="AB224" s="501">
        <f t="shared" ca="1" si="61"/>
        <v>20873.726948409585</v>
      </c>
      <c r="AC224" s="498">
        <f ca="1">IF(A224&gt;$A$1,#N/A,VLOOKUP(A224,Calculation!$B$8:$IV$881,155,FALSE))</f>
        <v>22343.600000052182</v>
      </c>
      <c r="AD224" s="498">
        <f t="shared" ca="1" si="62"/>
        <v>-135.4000000015476</v>
      </c>
      <c r="AE224" s="498"/>
      <c r="AF224" s="501">
        <f>Calculation!G227</f>
        <v>292.42687846623983</v>
      </c>
      <c r="AG224" s="498" t="str">
        <f t="shared" si="63"/>
        <v>Yes</v>
      </c>
      <c r="AH224" s="498" t="str">
        <f t="shared" si="64"/>
        <v>Yes</v>
      </c>
      <c r="AK224" s="738">
        <v>38526.980000093317</v>
      </c>
      <c r="AL224" s="738">
        <v>29848.550000074345</v>
      </c>
      <c r="AM224" s="741">
        <v>44848.400000107045</v>
      </c>
      <c r="AR224" s="552">
        <f t="shared" ca="1" si="46"/>
        <v>41012.871085215382</v>
      </c>
      <c r="AS224" s="524"/>
      <c r="AT224" s="581">
        <f>Calculation!AR227*3.068</f>
        <v>4166.6666666666661</v>
      </c>
      <c r="AU224" s="575">
        <f ca="1">Calculation!DA227</f>
        <v>1824.0663431491794</v>
      </c>
      <c r="AV224" s="575">
        <f>Calculation!CF227*3.068</f>
        <v>1894.9595974281692</v>
      </c>
      <c r="AW224" s="582">
        <f>Calculation!BK227*3.068</f>
        <v>1919.9004444444442</v>
      </c>
      <c r="AX224" s="813">
        <f t="shared" si="47"/>
        <v>40753</v>
      </c>
      <c r="AY224" s="561"/>
      <c r="AZ224" s="534">
        <f t="shared" ca="1" si="48"/>
        <v>40833.374595880668</v>
      </c>
      <c r="BA224" s="561"/>
      <c r="BB224" s="826">
        <f t="shared" si="49"/>
        <v>40950.972226436628</v>
      </c>
      <c r="BC224" s="561"/>
      <c r="BD224" s="844">
        <f t="shared" si="50"/>
        <v>41154.497899464004</v>
      </c>
      <c r="BE224" s="553"/>
    </row>
    <row r="225" spans="1:57" ht="13.5" thickBot="1">
      <c r="A225" s="513">
        <v>40757</v>
      </c>
      <c r="B225" s="498">
        <f t="shared" si="59"/>
        <v>104.88660000000451</v>
      </c>
      <c r="C225" s="498">
        <f>Calculation!AA228</f>
        <v>0</v>
      </c>
      <c r="D225" s="498">
        <f>Calculation!Y228</f>
        <v>24.913396226415092</v>
      </c>
      <c r="E225" s="498">
        <f>Calculation!U228</f>
        <v>63.117600000004501</v>
      </c>
      <c r="F225" s="498">
        <f>Calculation!V228</f>
        <v>41.768999999999998</v>
      </c>
      <c r="G225" s="498">
        <f>Calculation!W228</f>
        <v>0</v>
      </c>
      <c r="H225" s="500">
        <f>Sheet1!H228</f>
        <v>0.99</v>
      </c>
      <c r="I225" s="501">
        <f>Sheet1!CW228</f>
        <v>455.61458333333331</v>
      </c>
      <c r="J225" s="501">
        <f>Sheet1!CX228</f>
        <v>238.36458333333334</v>
      </c>
      <c r="K225" s="501">
        <f>Sheet1!CV228</f>
        <v>332</v>
      </c>
      <c r="L225" s="501">
        <f>Calculation!F228</f>
        <v>250</v>
      </c>
      <c r="M225" s="501">
        <f>Calculation!E228</f>
        <v>400</v>
      </c>
      <c r="N225" s="501">
        <f>Calculation!D228</f>
        <v>200</v>
      </c>
      <c r="O225" s="500">
        <f>Sheet1!CY228</f>
        <v>1157.8599999999999</v>
      </c>
      <c r="P225" s="514">
        <f>Calculation!ET228</f>
        <v>1136.8</v>
      </c>
      <c r="Q225" s="498">
        <f>Calculation!DF228</f>
        <v>40582.620000097813</v>
      </c>
      <c r="R225" s="500">
        <f t="shared" si="53"/>
        <v>39362.620000097813</v>
      </c>
      <c r="S225" s="498">
        <f t="shared" si="60"/>
        <v>-101.70000000022992</v>
      </c>
      <c r="T225" s="498">
        <f ca="1">IF(A225&gt;$A$1,#N/A,VLOOKUP(A225,Calculation!$B$8:$IV$881,30,FALSE))</f>
        <v>9756.1849717772493</v>
      </c>
      <c r="U225" s="498">
        <f t="shared" si="54"/>
        <v>24.913396226415092</v>
      </c>
      <c r="V225" s="498">
        <f>Calculation!AP228</f>
        <v>0</v>
      </c>
      <c r="W225" s="498">
        <v>8785</v>
      </c>
      <c r="X225" s="498">
        <v>0</v>
      </c>
      <c r="Y225" s="744">
        <f t="shared" ca="1" si="52"/>
        <v>2500</v>
      </c>
      <c r="Z225" s="748">
        <f t="shared" ca="1" si="55"/>
        <v>6285</v>
      </c>
      <c r="AA225" s="498">
        <f t="shared" ca="1" si="66"/>
        <v>22041.435028320564</v>
      </c>
      <c r="AB225" s="501">
        <f t="shared" ca="1" si="61"/>
        <v>20821.435028320564</v>
      </c>
      <c r="AC225" s="498">
        <f ca="1">IF(A225&gt;$A$1,#N/A,VLOOKUP(A225,Calculation!$B$8:$IV$881,155,FALSE))</f>
        <v>22208.200000052031</v>
      </c>
      <c r="AD225" s="498">
        <f t="shared" ca="1" si="62"/>
        <v>-135.40000000015061</v>
      </c>
      <c r="AE225" s="498"/>
      <c r="AF225" s="501">
        <f>Calculation!G228</f>
        <v>280.71406959141206</v>
      </c>
      <c r="AG225" s="498" t="str">
        <f t="shared" si="63"/>
        <v>Yes</v>
      </c>
      <c r="AH225" s="498" t="str">
        <f t="shared" si="64"/>
        <v>Yes</v>
      </c>
      <c r="AK225" s="738">
        <v>38378.630000093326</v>
      </c>
      <c r="AL225" s="738">
        <v>29623.650000074147</v>
      </c>
      <c r="AM225" s="741">
        <v>44687.900000106805</v>
      </c>
      <c r="AR225" s="552">
        <f t="shared" ca="1" si="46"/>
        <v>40975.759092087887</v>
      </c>
      <c r="AS225" s="524"/>
      <c r="AT225" s="581">
        <f>Calculation!AR228*3.068</f>
        <v>4166.6666666666661</v>
      </c>
      <c r="AU225" s="575">
        <f ca="1">Calculation!DA228</f>
        <v>1793.2978104077811</v>
      </c>
      <c r="AV225" s="575">
        <f>Calculation!CF228*3.068</f>
        <v>1882.4560502583579</v>
      </c>
      <c r="AW225" s="582">
        <f>Calculation!BK228*3.068</f>
        <v>1913.7644444444443</v>
      </c>
      <c r="AX225" s="813">
        <f t="shared" si="47"/>
        <v>40754</v>
      </c>
      <c r="AY225" s="561"/>
      <c r="AZ225" s="534">
        <f t="shared" ca="1" si="48"/>
        <v>40821.925230390472</v>
      </c>
      <c r="BA225" s="561"/>
      <c r="BB225" s="826">
        <f t="shared" si="49"/>
        <v>40923.201025563998</v>
      </c>
      <c r="BC225" s="561"/>
      <c r="BD225" s="844">
        <f t="shared" si="50"/>
        <v>41098.256007351876</v>
      </c>
      <c r="BE225" s="553"/>
    </row>
    <row r="226" spans="1:57" ht="13.5" thickBot="1">
      <c r="A226" s="513">
        <v>40758</v>
      </c>
      <c r="B226" s="498">
        <f t="shared" si="59"/>
        <v>111.15194999998648</v>
      </c>
      <c r="C226" s="498">
        <f>Calculation!AA229</f>
        <v>0</v>
      </c>
      <c r="D226" s="498">
        <f>Calculation!Y229</f>
        <v>24.649750181217016</v>
      </c>
      <c r="E226" s="498">
        <f>Calculation!U229</f>
        <v>64.819299999990989</v>
      </c>
      <c r="F226" s="498">
        <f>Calculation!V229</f>
        <v>46.332649999995496</v>
      </c>
      <c r="G226" s="498">
        <f>Calculation!W229</f>
        <v>0</v>
      </c>
      <c r="H226" s="500" t="str">
        <f>Sheet1!H229</f>
        <v>os</v>
      </c>
      <c r="I226" s="501">
        <f>Sheet1!CW229</f>
        <v>438.41666666666669</v>
      </c>
      <c r="J226" s="501">
        <f>Sheet1!CX229</f>
        <v>226.69791666666666</v>
      </c>
      <c r="K226" s="501">
        <f>Sheet1!CV229</f>
        <v>324.25</v>
      </c>
      <c r="L226" s="501">
        <f>Calculation!F229</f>
        <v>250</v>
      </c>
      <c r="M226" s="501">
        <f>Calculation!E229</f>
        <v>400</v>
      </c>
      <c r="N226" s="501">
        <f>Calculation!D229</f>
        <v>200</v>
      </c>
      <c r="O226" s="500">
        <f>Sheet1!CY229</f>
        <v>1157.76</v>
      </c>
      <c r="P226" s="514">
        <f>Calculation!ET229</f>
        <v>1136.5999999999999</v>
      </c>
      <c r="Q226" s="498">
        <f>Calculation!DF229</f>
        <v>40480.920000097816</v>
      </c>
      <c r="R226" s="500">
        <f t="shared" si="53"/>
        <v>39260.920000097816</v>
      </c>
      <c r="S226" s="498">
        <f t="shared" si="60"/>
        <v>-101.69999999999709</v>
      </c>
      <c r="T226" s="498">
        <f ca="1">IF(A226&gt;$A$1,#N/A,VLOOKUP(A226,Calculation!$B$8:$IV$881,30,FALSE))</f>
        <v>9707.2997529304648</v>
      </c>
      <c r="U226" s="498">
        <f t="shared" si="54"/>
        <v>24.649750181217016</v>
      </c>
      <c r="V226" s="498">
        <f>Calculation!AP229</f>
        <v>0</v>
      </c>
      <c r="W226" s="498">
        <v>8785</v>
      </c>
      <c r="X226" s="498">
        <v>0</v>
      </c>
      <c r="Y226" s="744">
        <f t="shared" ca="1" si="52"/>
        <v>2500</v>
      </c>
      <c r="Z226" s="748">
        <f t="shared" ca="1" si="55"/>
        <v>6285</v>
      </c>
      <c r="AA226" s="498">
        <f t="shared" ca="1" si="66"/>
        <v>21988.620247167353</v>
      </c>
      <c r="AB226" s="501">
        <f t="shared" ca="1" si="61"/>
        <v>20768.620247167353</v>
      </c>
      <c r="AC226" s="498">
        <f ca="1">IF(A226&gt;$A$1,#N/A,VLOOKUP(A226,Calculation!$B$8:$IV$881,155,FALSE))</f>
        <v>22072.80000005203</v>
      </c>
      <c r="AD226" s="498">
        <f t="shared" ca="1" si="62"/>
        <v>-135.40000000000146</v>
      </c>
      <c r="AE226" s="498"/>
      <c r="AF226" s="501">
        <f>Calculation!G229</f>
        <v>272.96406959152944</v>
      </c>
      <c r="AG226" s="498" t="str">
        <f t="shared" si="63"/>
        <v>Yes</v>
      </c>
      <c r="AH226" s="498" t="str">
        <f t="shared" si="64"/>
        <v>Yes</v>
      </c>
      <c r="AK226" s="738">
        <v>38161.050000093099</v>
      </c>
      <c r="AL226" s="738">
        <v>29399.400000072841</v>
      </c>
      <c r="AM226" s="741">
        <v>44516.700000106561</v>
      </c>
      <c r="AR226" s="552">
        <f t="shared" ca="1" si="46"/>
        <v>40956.384908789769</v>
      </c>
      <c r="AS226" s="524"/>
      <c r="AT226" s="581">
        <f>Calculation!AR229*3.068</f>
        <v>4166.6666666666661</v>
      </c>
      <c r="AU226" s="575">
        <f ca="1">Calculation!DA229</f>
        <v>1762.8707814127265</v>
      </c>
      <c r="AV226" s="575">
        <f>Calculation!CF229*3.068</f>
        <v>1870.1338604066293</v>
      </c>
      <c r="AW226" s="582">
        <f>Calculation!BK229*3.068</f>
        <v>1907.6284444444443</v>
      </c>
      <c r="AX226" s="813">
        <f t="shared" si="47"/>
        <v>40755</v>
      </c>
      <c r="AY226" s="561"/>
      <c r="AZ226" s="534">
        <f t="shared" ca="1" si="48"/>
        <v>40815.995565691417</v>
      </c>
      <c r="BA226" s="561"/>
      <c r="BB226" s="826">
        <f t="shared" si="49"/>
        <v>40908.859207915782</v>
      </c>
      <c r="BC226" s="561"/>
      <c r="BD226" s="844">
        <f t="shared" si="50"/>
        <v>41068.891206721717</v>
      </c>
      <c r="BE226" s="553"/>
    </row>
    <row r="227" spans="1:57" ht="13.5" thickBot="1">
      <c r="A227" s="513">
        <v>40759</v>
      </c>
      <c r="B227" s="498">
        <f t="shared" si="59"/>
        <v>122.21299999999999</v>
      </c>
      <c r="C227" s="498">
        <f>Calculation!AA230</f>
        <v>0</v>
      </c>
      <c r="D227" s="498">
        <f>Calculation!Y230</f>
        <v>25.282908045977013</v>
      </c>
      <c r="E227" s="498">
        <f>Calculation!U230</f>
        <v>64.974000000000004</v>
      </c>
      <c r="F227" s="498">
        <f>Calculation!V230</f>
        <v>57.238999999999997</v>
      </c>
      <c r="G227" s="498">
        <f>Calculation!W230</f>
        <v>0</v>
      </c>
      <c r="H227" s="500">
        <f>Sheet1!H230</f>
        <v>1.29</v>
      </c>
      <c r="I227" s="501">
        <f>Sheet1!CW230</f>
        <v>412.76041666666669</v>
      </c>
      <c r="J227" s="501">
        <f>Sheet1!CX230</f>
        <v>221.1875</v>
      </c>
      <c r="K227" s="501">
        <f>Sheet1!CV230</f>
        <v>334.33333333333331</v>
      </c>
      <c r="L227" s="501">
        <f>Calculation!F230</f>
        <v>250</v>
      </c>
      <c r="M227" s="501">
        <f>Calculation!E230</f>
        <v>400</v>
      </c>
      <c r="N227" s="501">
        <f>Calculation!D230</f>
        <v>200</v>
      </c>
      <c r="O227" s="500">
        <f>Sheet1!CY230</f>
        <v>1157.6400000000001</v>
      </c>
      <c r="P227" s="514">
        <f>Calculation!ET230</f>
        <v>1136.4000000000001</v>
      </c>
      <c r="Q227" s="498">
        <f>Calculation!DF230</f>
        <v>40358.880000097815</v>
      </c>
      <c r="R227" s="500">
        <f t="shared" si="53"/>
        <v>39138.880000097815</v>
      </c>
      <c r="S227" s="498">
        <f t="shared" si="60"/>
        <v>-122.04000000000087</v>
      </c>
      <c r="T227" s="498">
        <f ca="1">IF(A227&gt;$A$1,#N/A,VLOOKUP(A227,Calculation!$B$8:$IV$881,30,FALSE))</f>
        <v>9657.1588596628135</v>
      </c>
      <c r="U227" s="498">
        <f t="shared" si="54"/>
        <v>25.282908045977013</v>
      </c>
      <c r="V227" s="498">
        <f>Calculation!AP230</f>
        <v>0</v>
      </c>
      <c r="W227" s="498">
        <v>8785</v>
      </c>
      <c r="X227" s="498">
        <v>0</v>
      </c>
      <c r="Y227" s="744">
        <f t="shared" ca="1" si="52"/>
        <v>2500</v>
      </c>
      <c r="Z227" s="748">
        <f t="shared" ca="1" si="55"/>
        <v>6285</v>
      </c>
      <c r="AA227" s="498">
        <f t="shared" ca="1" si="66"/>
        <v>21916.721140435002</v>
      </c>
      <c r="AB227" s="501">
        <f t="shared" ca="1" si="61"/>
        <v>20696.721140435002</v>
      </c>
      <c r="AC227" s="498">
        <f ca="1">IF(A227&gt;$A$1,#N/A,VLOOKUP(A227,Calculation!$B$8:$IV$881,155,FALSE))</f>
        <v>21937.400000051875</v>
      </c>
      <c r="AD227" s="498">
        <f t="shared" ca="1" si="62"/>
        <v>-135.40000000015425</v>
      </c>
      <c r="AE227" s="498"/>
      <c r="AF227" s="501">
        <f>Calculation!G230</f>
        <v>272.79021684316649</v>
      </c>
      <c r="AG227" s="498" t="str">
        <f t="shared" si="63"/>
        <v>Yes</v>
      </c>
      <c r="AH227" s="498" t="str">
        <f t="shared" si="64"/>
        <v>Yes</v>
      </c>
      <c r="AK227" s="738">
        <v>37923.690000092873</v>
      </c>
      <c r="AL227" s="738">
        <v>29160.840000072647</v>
      </c>
      <c r="AM227" s="741">
        <v>44356.200000106561</v>
      </c>
      <c r="AR227" s="552">
        <f t="shared" ca="1" si="46"/>
        <v>40955.079220915766</v>
      </c>
      <c r="AS227" s="524"/>
      <c r="AT227" s="581">
        <f>Calculation!AR230*3.068</f>
        <v>4166.6666666666661</v>
      </c>
      <c r="AU227" s="575">
        <f ca="1">Calculation!DA230</f>
        <v>1731.7113539359887</v>
      </c>
      <c r="AV227" s="575">
        <f>Calculation!CF230*3.068</f>
        <v>1857.4588390601596</v>
      </c>
      <c r="AW227" s="582">
        <f>Calculation!BK230*3.068</f>
        <v>1901.3219999999999</v>
      </c>
      <c r="AX227" s="813">
        <f t="shared" si="47"/>
        <v>40756</v>
      </c>
      <c r="AY227" s="561"/>
      <c r="AZ227" s="534">
        <f t="shared" ca="1" si="48"/>
        <v>40815.471712873004</v>
      </c>
      <c r="BA227" s="561"/>
      <c r="BB227" s="826">
        <f t="shared" si="49"/>
        <v>40908.44475792929</v>
      </c>
      <c r="BC227" s="561"/>
      <c r="BD227" s="844">
        <f t="shared" si="50"/>
        <v>41067.954211646611</v>
      </c>
      <c r="BE227" s="553"/>
    </row>
    <row r="228" spans="1:57" ht="13.5" thickBot="1">
      <c r="A228" s="513">
        <v>40760</v>
      </c>
      <c r="B228" s="498">
        <f t="shared" si="59"/>
        <v>133.72268000000361</v>
      </c>
      <c r="C228" s="498">
        <f>Calculation!AA231</f>
        <v>0</v>
      </c>
      <c r="D228" s="498">
        <f>Calculation!Y231</f>
        <v>30.311186037735599</v>
      </c>
      <c r="E228" s="498">
        <f>Calculation!U231</f>
        <v>69.305600000004503</v>
      </c>
      <c r="F228" s="498">
        <f>Calculation!V231</f>
        <v>64.417079999999103</v>
      </c>
      <c r="G228" s="498">
        <f>Calculation!W231</f>
        <v>0</v>
      </c>
      <c r="H228" s="500">
        <f>Sheet1!H231</f>
        <v>0.89</v>
      </c>
      <c r="I228" s="501">
        <f>Sheet1!CW231</f>
        <v>412.08333333333331</v>
      </c>
      <c r="J228" s="501">
        <f>Sheet1!CX231</f>
        <v>220.79166666666666</v>
      </c>
      <c r="K228" s="501">
        <f>Sheet1!CV231</f>
        <v>346</v>
      </c>
      <c r="L228" s="501">
        <f>Calculation!F231</f>
        <v>250</v>
      </c>
      <c r="M228" s="501">
        <f>Calculation!E231</f>
        <v>400</v>
      </c>
      <c r="N228" s="501">
        <f>Calculation!D231</f>
        <v>200</v>
      </c>
      <c r="O228" s="500">
        <f>Sheet1!CY231</f>
        <v>1157.4749999999999</v>
      </c>
      <c r="P228" s="514">
        <f>Calculation!ET231</f>
        <v>1136.2</v>
      </c>
      <c r="Q228" s="498">
        <f>Calculation!DF231</f>
        <v>40191.075000097466</v>
      </c>
      <c r="R228" s="500">
        <f t="shared" si="53"/>
        <v>38971.075000097466</v>
      </c>
      <c r="S228" s="498">
        <f t="shared" si="60"/>
        <v>-167.80500000034954</v>
      </c>
      <c r="T228" s="498">
        <f ca="1">IF(A228&gt;$A$1,#N/A,VLOOKUP(A228,Calculation!$B$8:$IV$881,30,FALSE))</f>
        <v>9597.045919285456</v>
      </c>
      <c r="U228" s="498">
        <f t="shared" si="54"/>
        <v>30.311186037735599</v>
      </c>
      <c r="V228" s="498">
        <f>Calculation!AP231</f>
        <v>0</v>
      </c>
      <c r="W228" s="498">
        <v>8785</v>
      </c>
      <c r="X228" s="498">
        <v>0</v>
      </c>
      <c r="Y228" s="744">
        <f t="shared" ca="1" si="52"/>
        <v>2500</v>
      </c>
      <c r="Z228" s="748">
        <f t="shared" ca="1" si="55"/>
        <v>6285</v>
      </c>
      <c r="AA228" s="498">
        <f t="shared" ca="1" si="66"/>
        <v>21809.029080812012</v>
      </c>
      <c r="AB228" s="501">
        <f t="shared" ca="1" si="61"/>
        <v>20589.029080812012</v>
      </c>
      <c r="AC228" s="498">
        <f ca="1">IF(A228&gt;$A$1,#N/A,VLOOKUP(A228,Calculation!$B$8:$IV$881,155,FALSE))</f>
        <v>21802.000000051721</v>
      </c>
      <c r="AD228" s="498">
        <f t="shared" ca="1" si="62"/>
        <v>-135.40000000015425</v>
      </c>
      <c r="AE228" s="498"/>
      <c r="AF228" s="501">
        <f>Calculation!G231</f>
        <v>261.37821482584491</v>
      </c>
      <c r="AG228" s="498" t="str">
        <f t="shared" si="63"/>
        <v>Yes</v>
      </c>
      <c r="AH228" s="498" t="str">
        <f t="shared" si="64"/>
        <v>Yes</v>
      </c>
      <c r="AK228" s="738">
        <v>37755.56000009265</v>
      </c>
      <c r="AL228" s="738">
        <v>28913.760000072452</v>
      </c>
      <c r="AM228" s="741">
        <v>44174.300000106319</v>
      </c>
      <c r="AR228" s="552">
        <f t="shared" ref="AR228:AR291" ca="1" si="67">FORECAST(0,A222:A228,T222:T228)</f>
        <v>40950.059705829583</v>
      </c>
      <c r="AS228" s="524"/>
      <c r="AT228" s="581">
        <f>Calculation!AR231*3.068</f>
        <v>4166.6666666666661</v>
      </c>
      <c r="AU228" s="575">
        <f ca="1">Calculation!DA231</f>
        <v>1696.1424135586308</v>
      </c>
      <c r="AV228" s="575">
        <f>Calculation!CF231*3.068</f>
        <v>1842.1188390601594</v>
      </c>
      <c r="AW228" s="582">
        <f>Calculation!BK231*3.068</f>
        <v>1892.1179999999997</v>
      </c>
      <c r="AX228" s="813">
        <f t="shared" ref="AX228:AX291" si="68">FORECAST(0,A222:A228,AT222:AT228)</f>
        <v>40757</v>
      </c>
      <c r="AY228" s="561"/>
      <c r="AZ228" s="534">
        <f t="shared" ref="AZ228:AZ291" ca="1" si="69">FORECAST(0,A222:A228,AU222:AU228)</f>
        <v>40814.371155545312</v>
      </c>
      <c r="BA228" s="561"/>
      <c r="BB228" s="826">
        <f t="shared" ref="BB228:BB291" si="70">FORECAST(0,A222:A228,AV222:AV228)</f>
        <v>40904.408721472762</v>
      </c>
      <c r="BC228" s="561"/>
      <c r="BD228" s="844">
        <f t="shared" ref="BD228:BD291" si="71">FORECAST(0,A222:A228,AW222:AW228)</f>
        <v>41050.26799923103</v>
      </c>
      <c r="BE228" s="553"/>
    </row>
    <row r="229" spans="1:57" ht="13.5" thickBot="1">
      <c r="A229" s="513">
        <v>40761</v>
      </c>
      <c r="B229" s="498">
        <f t="shared" si="59"/>
        <v>127.4882700000054</v>
      </c>
      <c r="C229" s="498">
        <f>Calculation!AA232</f>
        <v>0</v>
      </c>
      <c r="D229" s="498">
        <f>Calculation!Y232</f>
        <v>32.393747737777133</v>
      </c>
      <c r="E229" s="498">
        <f>Calculation!U232</f>
        <v>70.388499999999993</v>
      </c>
      <c r="F229" s="498">
        <f>Calculation!V232</f>
        <v>57.0997700000054</v>
      </c>
      <c r="G229" s="498">
        <f>Calculation!W232</f>
        <v>0</v>
      </c>
      <c r="H229" s="500">
        <f>Sheet1!H232</f>
        <v>0.87</v>
      </c>
      <c r="I229" s="501">
        <f>Sheet1!CW232</f>
        <v>410.375</v>
      </c>
      <c r="J229" s="501">
        <f>Sheet1!CX232</f>
        <v>224.77083333333334</v>
      </c>
      <c r="K229" s="501">
        <f>Sheet1!CV232</f>
        <v>346</v>
      </c>
      <c r="L229" s="501">
        <f>Calculation!F232</f>
        <v>250</v>
      </c>
      <c r="M229" s="501">
        <f>Calculation!E232</f>
        <v>400</v>
      </c>
      <c r="N229" s="501">
        <f>Calculation!D232</f>
        <v>200</v>
      </c>
      <c r="O229" s="500">
        <f>Sheet1!CY232</f>
        <v>1157.31</v>
      </c>
      <c r="P229" s="514">
        <f>Calculation!ET232</f>
        <v>1136</v>
      </c>
      <c r="Q229" s="498">
        <f>Calculation!DF232</f>
        <v>40023.270000097349</v>
      </c>
      <c r="R229" s="500">
        <f t="shared" si="53"/>
        <v>38803.270000097349</v>
      </c>
      <c r="S229" s="498">
        <f t="shared" si="60"/>
        <v>-167.80500000011671</v>
      </c>
      <c r="T229" s="498">
        <f ca="1">IF(A229&gt;$A$1,#N/A,VLOOKUP(A229,Calculation!$B$8:$IV$881,30,FALSE))</f>
        <v>9532.8028565449913</v>
      </c>
      <c r="U229" s="498">
        <f t="shared" si="54"/>
        <v>32.393747737777133</v>
      </c>
      <c r="V229" s="498">
        <f>Calculation!AP232</f>
        <v>0</v>
      </c>
      <c r="W229" s="498">
        <v>8785</v>
      </c>
      <c r="X229" s="498">
        <v>0</v>
      </c>
      <c r="Y229" s="744">
        <f t="shared" ca="1" si="52"/>
        <v>2500</v>
      </c>
      <c r="Z229" s="748">
        <f t="shared" ca="1" si="55"/>
        <v>6285</v>
      </c>
      <c r="AA229" s="498">
        <f t="shared" ca="1" si="66"/>
        <v>21705.467143552356</v>
      </c>
      <c r="AB229" s="501">
        <f t="shared" ca="1" si="61"/>
        <v>20485.467143552356</v>
      </c>
      <c r="AC229" s="498">
        <f ca="1">IF(A229&gt;$A$1,#N/A,VLOOKUP(A229,Calculation!$B$8:$IV$881,155,FALSE))</f>
        <v>21670.600000050043</v>
      </c>
      <c r="AD229" s="498">
        <f t="shared" ca="1" si="62"/>
        <v>-131.40000000167856</v>
      </c>
      <c r="AE229" s="498"/>
      <c r="AF229" s="501">
        <f>Calculation!G232</f>
        <v>261.37821482596235</v>
      </c>
      <c r="AG229" s="498" t="str">
        <f t="shared" si="63"/>
        <v>Yes</v>
      </c>
      <c r="AH229" s="498" t="str">
        <f t="shared" si="64"/>
        <v>Yes</v>
      </c>
      <c r="AK229" s="738">
        <v>37589.250000091117</v>
      </c>
      <c r="AL229" s="738">
        <v>28658.160000072065</v>
      </c>
      <c r="AM229" s="741">
        <v>44003.100000106315</v>
      </c>
      <c r="AR229" s="552">
        <f t="shared" ca="1" si="67"/>
        <v>40940.798294438835</v>
      </c>
      <c r="AS229" s="524"/>
      <c r="AT229" s="581">
        <f>Calculation!AR232*3.068</f>
        <v>4166.6666666666661</v>
      </c>
      <c r="AU229" s="575">
        <f ca="1">Calculation!DA232</f>
        <v>1659.5113508181651</v>
      </c>
      <c r="AV229" s="575">
        <f>Calculation!CF232*3.068</f>
        <v>1823.7108390601595</v>
      </c>
      <c r="AW229" s="582">
        <f>Calculation!BK232*3.068</f>
        <v>1882.9139999999998</v>
      </c>
      <c r="AX229" s="813">
        <f t="shared" si="68"/>
        <v>40758</v>
      </c>
      <c r="AY229" s="561"/>
      <c r="AZ229" s="534">
        <f t="shared" ca="1" si="69"/>
        <v>40812.517439982126</v>
      </c>
      <c r="BA229" s="561"/>
      <c r="BB229" s="826">
        <f t="shared" si="70"/>
        <v>40894.41541780821</v>
      </c>
      <c r="BC229" s="561"/>
      <c r="BD229" s="844">
        <f t="shared" si="71"/>
        <v>41025.832519057636</v>
      </c>
      <c r="BE229" s="553"/>
    </row>
    <row r="230" spans="1:57" ht="13.5" thickBot="1">
      <c r="A230" s="513">
        <v>40762</v>
      </c>
      <c r="B230" s="498">
        <f t="shared" si="59"/>
        <v>116.10234999999324</v>
      </c>
      <c r="C230" s="498">
        <f>Calculation!AA233</f>
        <v>0</v>
      </c>
      <c r="D230" s="498">
        <f>Calculation!Y233</f>
        <v>32.300433344425052</v>
      </c>
      <c r="E230" s="498">
        <f>Calculation!U233</f>
        <v>70.311149999995493</v>
      </c>
      <c r="F230" s="498">
        <f>Calculation!V233</f>
        <v>45.791199999997744</v>
      </c>
      <c r="G230" s="498">
        <f>Calculation!W233</f>
        <v>0</v>
      </c>
      <c r="H230" s="500">
        <f>Sheet1!H233</f>
        <v>1.04</v>
      </c>
      <c r="I230" s="501">
        <f>Sheet1!CW233</f>
        <v>418.6875</v>
      </c>
      <c r="J230" s="501">
        <f>Sheet1!CX233</f>
        <v>235.55208333333334</v>
      </c>
      <c r="K230" s="501">
        <f>Sheet1!CV233</f>
        <v>346</v>
      </c>
      <c r="L230" s="501">
        <f>Calculation!F233</f>
        <v>250</v>
      </c>
      <c r="M230" s="501">
        <f>Calculation!E233</f>
        <v>400</v>
      </c>
      <c r="N230" s="501">
        <f>Calculation!D233</f>
        <v>200</v>
      </c>
      <c r="O230" s="500">
        <f>Sheet1!CY233</f>
        <v>1157.1400000000001</v>
      </c>
      <c r="P230" s="514">
        <f>Calculation!ET233</f>
        <v>1135.8</v>
      </c>
      <c r="Q230" s="498">
        <f>Calculation!DF233</f>
        <v>39850.38000009735</v>
      </c>
      <c r="R230" s="500">
        <f t="shared" si="53"/>
        <v>38630.38000009735</v>
      </c>
      <c r="S230" s="498">
        <f t="shared" si="60"/>
        <v>-172.88999999999942</v>
      </c>
      <c r="T230" s="498">
        <f ca="1">IF(A230&gt;$A$1,#N/A,VLOOKUP(A230,Calculation!$B$8:$IV$881,30,FALSE))</f>
        <v>9468.7448542820966</v>
      </c>
      <c r="U230" s="498">
        <f t="shared" si="54"/>
        <v>32.300433344425052</v>
      </c>
      <c r="V230" s="498">
        <f>Calculation!AP233</f>
        <v>0</v>
      </c>
      <c r="W230" s="498">
        <v>8785</v>
      </c>
      <c r="X230" s="498">
        <v>0</v>
      </c>
      <c r="Y230" s="744">
        <f t="shared" ca="1" si="52"/>
        <v>2500</v>
      </c>
      <c r="Z230" s="748">
        <f t="shared" ca="1" si="55"/>
        <v>6285</v>
      </c>
      <c r="AA230" s="498">
        <f t="shared" ca="1" si="66"/>
        <v>21596.635145815253</v>
      </c>
      <c r="AB230" s="501">
        <f t="shared" ca="1" si="61"/>
        <v>20376.635145815253</v>
      </c>
      <c r="AC230" s="498">
        <f ca="1">IF(A230&gt;$A$1,#N/A,VLOOKUP(A230,Calculation!$B$8:$IV$881,155,FALSE))</f>
        <v>21539.200000049896</v>
      </c>
      <c r="AD230" s="498">
        <f t="shared" ca="1" si="62"/>
        <v>-131.40000000014697</v>
      </c>
      <c r="AE230" s="498"/>
      <c r="AF230" s="501">
        <f>Calculation!G233</f>
        <v>258.81391830559789</v>
      </c>
      <c r="AG230" s="498" t="str">
        <f t="shared" si="63"/>
        <v>Yes</v>
      </c>
      <c r="AH230" s="498" t="str">
        <f t="shared" si="64"/>
        <v>Yes</v>
      </c>
      <c r="AK230" s="738">
        <v>37433.250000091117</v>
      </c>
      <c r="AL230" s="738">
        <v>28406.520000070352</v>
      </c>
      <c r="AM230" s="741">
        <v>43896.100000106075</v>
      </c>
      <c r="AR230" s="552">
        <f t="shared" ca="1" si="67"/>
        <v>40930.597133311589</v>
      </c>
      <c r="AS230" s="524"/>
      <c r="AT230" s="581">
        <f>Calculation!AR233*3.068</f>
        <v>4166.6666666666661</v>
      </c>
      <c r="AU230" s="575">
        <f ca="1">Calculation!DA233</f>
        <v>1623.0653485552716</v>
      </c>
      <c r="AV230" s="575">
        <f>Calculation!CF233*3.068</f>
        <v>1805.3028390601596</v>
      </c>
      <c r="AW230" s="582">
        <f>Calculation!BK233*3.068</f>
        <v>1873.7099999999998</v>
      </c>
      <c r="AX230" s="813">
        <f t="shared" si="68"/>
        <v>40759</v>
      </c>
      <c r="AY230" s="561"/>
      <c r="AZ230" s="534">
        <f t="shared" ca="1" si="69"/>
        <v>40810.501253087517</v>
      </c>
      <c r="BA230" s="561"/>
      <c r="BB230" s="826">
        <f t="shared" si="70"/>
        <v>40883.139790146735</v>
      </c>
      <c r="BC230" s="561"/>
      <c r="BD230" s="844">
        <f t="shared" si="71"/>
        <v>41002.884375000845</v>
      </c>
      <c r="BE230" s="553"/>
    </row>
    <row r="231" spans="1:57" ht="13.5" thickBot="1">
      <c r="A231" s="513">
        <v>40763</v>
      </c>
      <c r="B231" s="498">
        <f t="shared" si="59"/>
        <v>123.91469999999774</v>
      </c>
      <c r="C231" s="498">
        <f>Calculation!AA234</f>
        <v>0</v>
      </c>
      <c r="D231" s="498">
        <f>Calculation!Y234</f>
        <v>31.689767613635503</v>
      </c>
      <c r="E231" s="498">
        <f>Calculation!U234</f>
        <v>73.095749999999995</v>
      </c>
      <c r="F231" s="498">
        <f>Calculation!V234</f>
        <v>50.818949999997749</v>
      </c>
      <c r="G231" s="498">
        <f>Calculation!W234</f>
        <v>0</v>
      </c>
      <c r="H231" s="500" t="str">
        <f>Sheet1!H234</f>
        <v>os</v>
      </c>
      <c r="I231" s="501">
        <f>Sheet1!CW234</f>
        <v>414.3125</v>
      </c>
      <c r="J231" s="501">
        <f>Sheet1!CX234</f>
        <v>223.09375</v>
      </c>
      <c r="K231" s="501">
        <f>Sheet1!CV234</f>
        <v>332.04166666666669</v>
      </c>
      <c r="L231" s="501">
        <f>Calculation!F234</f>
        <v>250</v>
      </c>
      <c r="M231" s="501">
        <f>Calculation!E234</f>
        <v>400</v>
      </c>
      <c r="N231" s="501">
        <f>Calculation!D234</f>
        <v>200</v>
      </c>
      <c r="O231" s="500">
        <f>Sheet1!CY234</f>
        <v>1157.07</v>
      </c>
      <c r="P231" s="514">
        <f>Calculation!ET234</f>
        <v>1135.5999999999999</v>
      </c>
      <c r="Q231" s="498">
        <f>Calculation!DF234</f>
        <v>39779.190000097122</v>
      </c>
      <c r="R231" s="500">
        <f t="shared" si="53"/>
        <v>38559.190000097122</v>
      </c>
      <c r="S231" s="498">
        <f t="shared" si="60"/>
        <v>-71.190000000227883</v>
      </c>
      <c r="T231" s="498">
        <f ca="1">IF(A231&gt;$A$1,#N/A,VLOOKUP(A231,Calculation!$B$8:$IV$881,30,FALSE))</f>
        <v>9405.8979201911898</v>
      </c>
      <c r="U231" s="498">
        <f t="shared" si="54"/>
        <v>31.689767613635503</v>
      </c>
      <c r="V231" s="498">
        <f>Calculation!AP234</f>
        <v>0</v>
      </c>
      <c r="W231" s="498">
        <v>8785</v>
      </c>
      <c r="X231" s="498">
        <v>0</v>
      </c>
      <c r="Y231" s="744">
        <f t="shared" ca="1" si="52"/>
        <v>2500</v>
      </c>
      <c r="Z231" s="748">
        <f t="shared" ca="1" si="55"/>
        <v>6285</v>
      </c>
      <c r="AA231" s="498">
        <f t="shared" ca="1" si="66"/>
        <v>21588.292079905932</v>
      </c>
      <c r="AB231" s="501">
        <f t="shared" ca="1" si="61"/>
        <v>20368.292079905932</v>
      </c>
      <c r="AC231" s="498">
        <f ca="1">IF(A231&gt;$A$1,#N/A,VLOOKUP(A231,Calculation!$B$8:$IV$881,155,FALSE))</f>
        <v>21407.800000049894</v>
      </c>
      <c r="AD231" s="498">
        <f t="shared" ca="1" si="62"/>
        <v>-131.40000000000146</v>
      </c>
      <c r="AE231" s="498"/>
      <c r="AF231" s="501">
        <f>Calculation!G234</f>
        <v>296.14151538062134</v>
      </c>
      <c r="AG231" s="498" t="str">
        <f t="shared" si="63"/>
        <v>Yes</v>
      </c>
      <c r="AH231" s="498" t="str">
        <f t="shared" si="64"/>
        <v>Yes</v>
      </c>
      <c r="AK231" s="738">
        <v>37277.250000090891</v>
      </c>
      <c r="AL231" s="738">
        <v>28156.320000070162</v>
      </c>
      <c r="AM231" s="741">
        <v>43789.800000105082</v>
      </c>
      <c r="AR231" s="552">
        <f t="shared" ca="1" si="67"/>
        <v>40922.009002256491</v>
      </c>
      <c r="AS231" s="524"/>
      <c r="AT231" s="581">
        <f>Calculation!AR234*3.068</f>
        <v>4166.6666666666661</v>
      </c>
      <c r="AU231" s="575">
        <f ca="1">Calculation!DA234</f>
        <v>1584.7624144643642</v>
      </c>
      <c r="AV231" s="575">
        <f>Calculation!CF234*3.068</f>
        <v>1789.9628390601595</v>
      </c>
      <c r="AW231" s="582">
        <f>Calculation!BK234*3.068</f>
        <v>1864.5059999999999</v>
      </c>
      <c r="AX231" s="813">
        <f t="shared" si="68"/>
        <v>40760</v>
      </c>
      <c r="AY231" s="561"/>
      <c r="AZ231" s="534">
        <f t="shared" ca="1" si="69"/>
        <v>40808.418017861695</v>
      </c>
      <c r="BA231" s="561"/>
      <c r="BB231" s="826">
        <f t="shared" si="70"/>
        <v>40876.116377366314</v>
      </c>
      <c r="BC231" s="561"/>
      <c r="BD231" s="844">
        <f t="shared" si="71"/>
        <v>40984.77498906049</v>
      </c>
      <c r="BE231" s="553"/>
    </row>
    <row r="232" spans="1:57" ht="13.5" thickBot="1">
      <c r="A232" s="513">
        <v>40764</v>
      </c>
      <c r="B232" s="498">
        <f t="shared" si="59"/>
        <v>119.119</v>
      </c>
      <c r="C232" s="498">
        <f>Calculation!AA235</f>
        <v>0</v>
      </c>
      <c r="D232" s="498">
        <f>Calculation!Y235</f>
        <v>30.939999999999998</v>
      </c>
      <c r="E232" s="498">
        <f>Calculation!U235</f>
        <v>69.614999999999995</v>
      </c>
      <c r="F232" s="498">
        <f>Calculation!V235</f>
        <v>49.503999999999998</v>
      </c>
      <c r="G232" s="498">
        <f>Calculation!W235</f>
        <v>0</v>
      </c>
      <c r="H232" s="500">
        <f>Sheet1!H235</f>
        <v>1.05</v>
      </c>
      <c r="I232" s="501">
        <f>Sheet1!CW235</f>
        <v>394.27083333333331</v>
      </c>
      <c r="J232" s="501">
        <f>Sheet1!CX235</f>
        <v>211.88541666666666</v>
      </c>
      <c r="K232" s="501">
        <f>Sheet1!CV235</f>
        <v>324.5</v>
      </c>
      <c r="L232" s="501">
        <f>Calculation!F235</f>
        <v>250</v>
      </c>
      <c r="M232" s="501">
        <f>Calculation!E235</f>
        <v>400</v>
      </c>
      <c r="N232" s="501">
        <f>Calculation!D235</f>
        <v>200</v>
      </c>
      <c r="O232" s="500">
        <f>Sheet1!CY235</f>
        <v>1156.8800000000001</v>
      </c>
      <c r="P232" s="514">
        <f>Calculation!ET235</f>
        <v>1135.4000000000001</v>
      </c>
      <c r="Q232" s="498">
        <f>Calculation!DF235</f>
        <v>39587.64000009578</v>
      </c>
      <c r="R232" s="500">
        <f t="shared" si="53"/>
        <v>38367.64000009578</v>
      </c>
      <c r="S232" s="498">
        <f t="shared" si="60"/>
        <v>-191.55000000134169</v>
      </c>
      <c r="T232" s="498">
        <f ca="1">IF(A232&gt;$A$1,#N/A,VLOOKUP(A232,Calculation!$B$8:$IV$881,30,FALSE))</f>
        <v>9344.5379201911892</v>
      </c>
      <c r="U232" s="498">
        <f t="shared" si="54"/>
        <v>30.939999999999998</v>
      </c>
      <c r="V232" s="498">
        <f>Calculation!AP235</f>
        <v>0</v>
      </c>
      <c r="W232" s="498">
        <v>8785</v>
      </c>
      <c r="X232" s="498">
        <v>0</v>
      </c>
      <c r="Y232" s="744">
        <f t="shared" ca="1" si="52"/>
        <v>2500</v>
      </c>
      <c r="Z232" s="748">
        <f t="shared" ca="1" si="55"/>
        <v>6285</v>
      </c>
      <c r="AA232" s="498">
        <f t="shared" ca="1" si="66"/>
        <v>21458.102079904591</v>
      </c>
      <c r="AB232" s="501">
        <f t="shared" ca="1" si="61"/>
        <v>20238.102079904591</v>
      </c>
      <c r="AC232" s="498">
        <f ca="1">IF(A232&gt;$A$1,#N/A,VLOOKUP(A232,Calculation!$B$8:$IV$881,155,FALSE))</f>
        <v>21276.400000049747</v>
      </c>
      <c r="AD232" s="498">
        <f t="shared" ca="1" si="62"/>
        <v>-131.40000000014697</v>
      </c>
      <c r="AE232" s="498"/>
      <c r="AF232" s="501">
        <f>Calculation!G235</f>
        <v>227.90393343351406</v>
      </c>
      <c r="AG232" s="498" t="str">
        <f t="shared" si="63"/>
        <v>Yes</v>
      </c>
      <c r="AH232" s="498" t="str">
        <f t="shared" si="64"/>
        <v>No</v>
      </c>
      <c r="AK232" s="738">
        <v>37150.500000090891</v>
      </c>
      <c r="AL232" s="738">
        <v>27922.800000069972</v>
      </c>
      <c r="AM232" s="740">
        <v>43652.000000104839</v>
      </c>
      <c r="AR232" s="552">
        <f t="shared" ca="1" si="67"/>
        <v>40916.069559223077</v>
      </c>
      <c r="AS232" s="524"/>
      <c r="AT232" s="581">
        <f>Calculation!AR235*3.068</f>
        <v>4166.6666666666661</v>
      </c>
      <c r="AU232" s="575">
        <f ca="1">Calculation!DA235</f>
        <v>1547.9464144643641</v>
      </c>
      <c r="AV232" s="575">
        <f>Calculation!CF235*3.068</f>
        <v>1774.6228390601595</v>
      </c>
      <c r="AW232" s="582">
        <f>Calculation!BK235*3.068</f>
        <v>1855.3019999999997</v>
      </c>
      <c r="AX232" s="813">
        <f t="shared" si="68"/>
        <v>40761</v>
      </c>
      <c r="AY232" s="561"/>
      <c r="AZ232" s="534">
        <f t="shared" ca="1" si="69"/>
        <v>40806.852400577336</v>
      </c>
      <c r="BA232" s="561"/>
      <c r="BB232" s="826">
        <f t="shared" si="70"/>
        <v>40872.141930179991</v>
      </c>
      <c r="BC232" s="561"/>
      <c r="BD232" s="844">
        <f t="shared" si="71"/>
        <v>40972.241309113182</v>
      </c>
      <c r="BE232" s="553"/>
    </row>
    <row r="233" spans="1:57" ht="13.5" thickBot="1">
      <c r="A233" s="513">
        <v>40765</v>
      </c>
      <c r="B233" s="498">
        <f t="shared" si="59"/>
        <v>122.29035000000451</v>
      </c>
      <c r="C233" s="498">
        <f>Calculation!AA236</f>
        <v>0</v>
      </c>
      <c r="D233" s="498">
        <f>Calculation!Y236</f>
        <v>30.965120622919432</v>
      </c>
      <c r="E233" s="498">
        <f>Calculation!U236</f>
        <v>71.316700000009007</v>
      </c>
      <c r="F233" s="498">
        <f>Calculation!V236</f>
        <v>50.973649999995494</v>
      </c>
      <c r="G233" s="498">
        <f>Calculation!W236</f>
        <v>0</v>
      </c>
      <c r="H233" s="500">
        <f>Sheet1!H236</f>
        <v>2.46</v>
      </c>
      <c r="I233" s="501">
        <f>Sheet1!CW236</f>
        <v>385.78125</v>
      </c>
      <c r="J233" s="501">
        <f>Sheet1!CX236</f>
        <v>205.03125</v>
      </c>
      <c r="K233" s="501">
        <f>Sheet1!CV236</f>
        <v>316.5</v>
      </c>
      <c r="L233" s="501">
        <f>Calculation!F236</f>
        <v>250</v>
      </c>
      <c r="M233" s="501">
        <f>Calculation!E236</f>
        <v>400</v>
      </c>
      <c r="N233" s="501">
        <f>Calculation!D236</f>
        <v>200</v>
      </c>
      <c r="O233" s="500">
        <f>Sheet1!CY236</f>
        <v>1156.72</v>
      </c>
      <c r="P233" s="514">
        <f>Calculation!ET236</f>
        <v>1135.2</v>
      </c>
      <c r="Q233" s="498">
        <f>Calculation!DF236</f>
        <v>39427.160000095551</v>
      </c>
      <c r="R233" s="500">
        <f t="shared" si="53"/>
        <v>38207.160000095551</v>
      </c>
      <c r="S233" s="498">
        <f t="shared" si="60"/>
        <v>-160.48000000022876</v>
      </c>
      <c r="T233" s="498">
        <f ca="1">IF(A233&gt;$A$1,#N/A,VLOOKUP(A233,Calculation!$B$8:$IV$881,30,FALSE))</f>
        <v>9283.1281011406936</v>
      </c>
      <c r="U233" s="498">
        <f t="shared" si="54"/>
        <v>30.965120622919432</v>
      </c>
      <c r="V233" s="498">
        <f>Calculation!AP236</f>
        <v>0</v>
      </c>
      <c r="W233" s="498">
        <f t="shared" ref="W233:W257" ca="1" si="72">IF(A233&gt;=$A$1,#N/A,W232-X233*1.983)</f>
        <v>8785</v>
      </c>
      <c r="X233" s="498">
        <v>0</v>
      </c>
      <c r="Y233" s="744">
        <f t="shared" ca="1" si="52"/>
        <v>2500</v>
      </c>
      <c r="Z233" s="748">
        <f t="shared" ca="1" si="55"/>
        <v>6285</v>
      </c>
      <c r="AA233" s="498">
        <f t="shared" ca="1" si="66"/>
        <v>21359.031898954858</v>
      </c>
      <c r="AB233" s="501">
        <f t="shared" ca="1" si="61"/>
        <v>20139.031898954858</v>
      </c>
      <c r="AC233" s="498">
        <f ca="1">IF(A233&gt;$A$1,#N/A,VLOOKUP(A233,Calculation!$B$8:$IV$881,155,FALSE))</f>
        <v>21145.000000049597</v>
      </c>
      <c r="AD233" s="498">
        <f t="shared" ca="1" si="62"/>
        <v>-131.40000000015061</v>
      </c>
      <c r="AE233" s="498"/>
      <c r="AF233" s="501">
        <f>Calculation!G236</f>
        <v>235.57211296004601</v>
      </c>
      <c r="AG233" s="498" t="str">
        <f t="shared" si="63"/>
        <v>Yes</v>
      </c>
      <c r="AH233" s="498" t="str">
        <f t="shared" si="64"/>
        <v>No</v>
      </c>
      <c r="AK233" s="738">
        <v>37092.000000090673</v>
      </c>
      <c r="AL233" s="738">
        <v>27690.880000068108</v>
      </c>
      <c r="AM233" s="740">
        <v>43514.200000104844</v>
      </c>
      <c r="AR233" s="552">
        <f t="shared" ca="1" si="67"/>
        <v>40913.160064606731</v>
      </c>
      <c r="AS233" s="524"/>
      <c r="AT233" s="581">
        <f>Calculation!AR236*3.068</f>
        <v>4166.6666666666661</v>
      </c>
      <c r="AU233" s="575">
        <f ca="1">Calculation!DA236</f>
        <v>1511.0805954138684</v>
      </c>
      <c r="AV233" s="575">
        <f>Calculation!CF236*3.068</f>
        <v>1759.2828390601594</v>
      </c>
      <c r="AW233" s="582">
        <f>Calculation!BK236*3.068</f>
        <v>1846.0979999999997</v>
      </c>
      <c r="AX233" s="813">
        <f t="shared" si="68"/>
        <v>40762</v>
      </c>
      <c r="AY233" s="561"/>
      <c r="AZ233" s="534">
        <f t="shared" ca="1" si="69"/>
        <v>40805.961333165709</v>
      </c>
      <c r="BA233" s="561"/>
      <c r="BB233" s="826">
        <f t="shared" si="70"/>
        <v>40871.09694671804</v>
      </c>
      <c r="BC233" s="561"/>
      <c r="BD233" s="844">
        <f t="shared" si="71"/>
        <v>40965.57561929596</v>
      </c>
      <c r="BE233" s="553"/>
    </row>
    <row r="234" spans="1:57" ht="13.5" thickBot="1">
      <c r="A234" s="513">
        <v>40766</v>
      </c>
      <c r="B234" s="498">
        <f t="shared" si="59"/>
        <v>120.29471999999188</v>
      </c>
      <c r="C234" s="498">
        <f>Calculation!AA237</f>
        <v>0</v>
      </c>
      <c r="D234" s="498">
        <f>Calculation!Y237</f>
        <v>30.939999999999998</v>
      </c>
      <c r="E234" s="498">
        <f>Calculation!U237</f>
        <v>70.790719999991893</v>
      </c>
      <c r="F234" s="498">
        <f>Calculation!V237</f>
        <v>49.503999999999998</v>
      </c>
      <c r="G234" s="498">
        <f>Calculation!W237</f>
        <v>0</v>
      </c>
      <c r="H234" s="500">
        <f>Sheet1!H237</f>
        <v>1.1100000000000001</v>
      </c>
      <c r="I234" s="501">
        <f>Sheet1!CW237</f>
        <v>374.27083333333331</v>
      </c>
      <c r="J234" s="501">
        <f>Sheet1!CX237</f>
        <v>196.36458333333334</v>
      </c>
      <c r="K234" s="501">
        <f>Sheet1!CV237</f>
        <v>305.375</v>
      </c>
      <c r="L234" s="501">
        <f>Calculation!F237</f>
        <v>250</v>
      </c>
      <c r="M234" s="501">
        <f>Calculation!E237</f>
        <v>400</v>
      </c>
      <c r="N234" s="501">
        <f>Calculation!D237</f>
        <v>200</v>
      </c>
      <c r="O234" s="500">
        <f>Sheet1!CY237</f>
        <v>1156.57</v>
      </c>
      <c r="P234" s="514">
        <f>Calculation!ET237</f>
        <v>1135</v>
      </c>
      <c r="Q234" s="498">
        <f>Calculation!DF237</f>
        <v>39276.710000095329</v>
      </c>
      <c r="R234" s="500">
        <f t="shared" si="53"/>
        <v>38056.710000095329</v>
      </c>
      <c r="S234" s="498">
        <f t="shared" si="60"/>
        <v>-150.45000000022264</v>
      </c>
      <c r="T234" s="498">
        <f ca="1">IF(A234&gt;$A$1,#N/A,VLOOKUP(A234,Calculation!$B$8:$IV$881,30,FALSE))</f>
        <v>9221.768101140693</v>
      </c>
      <c r="U234" s="498">
        <f t="shared" si="54"/>
        <v>30.939999999999998</v>
      </c>
      <c r="V234" s="498">
        <f>Calculation!AP237</f>
        <v>0</v>
      </c>
      <c r="W234" s="498">
        <f t="shared" ca="1" si="72"/>
        <v>8785</v>
      </c>
      <c r="X234" s="498">
        <v>0</v>
      </c>
      <c r="Y234" s="744">
        <f t="shared" ca="1" si="52"/>
        <v>2500</v>
      </c>
      <c r="Z234" s="748">
        <f t="shared" ca="1" si="55"/>
        <v>6285</v>
      </c>
      <c r="AA234" s="498">
        <f t="shared" ca="1" si="66"/>
        <v>21269.941898954636</v>
      </c>
      <c r="AB234" s="501">
        <f t="shared" ca="1" si="61"/>
        <v>20049.941898954636</v>
      </c>
      <c r="AC234" s="498">
        <f ca="1">IF(A234&gt;$A$1,#N/A,VLOOKUP(A234,Calculation!$B$8:$IV$881,155,FALSE))</f>
        <v>21017.000000048167</v>
      </c>
      <c r="AD234" s="498">
        <f t="shared" ca="1" si="62"/>
        <v>-128.00000000142973</v>
      </c>
      <c r="AE234" s="498"/>
      <c r="AF234" s="501">
        <f>Calculation!G237</f>
        <v>229.50510590003904</v>
      </c>
      <c r="AG234" s="498" t="str">
        <f t="shared" si="63"/>
        <v>Yes</v>
      </c>
      <c r="AH234" s="498" t="str">
        <f t="shared" si="64"/>
        <v>No</v>
      </c>
      <c r="AK234" s="738">
        <v>37004.250000090673</v>
      </c>
      <c r="AL234" s="738">
        <v>27479.240000067926</v>
      </c>
      <c r="AM234" s="740">
        <v>43408.200000104604</v>
      </c>
      <c r="AR234" s="552">
        <f t="shared" ca="1" si="67"/>
        <v>40913.559430175395</v>
      </c>
      <c r="AS234" s="524"/>
      <c r="AT234" s="581">
        <f>Calculation!AR237*3.068</f>
        <v>4166.6666666666661</v>
      </c>
      <c r="AU234" s="575">
        <f ca="1">Calculation!DA237</f>
        <v>1474.2645954138686</v>
      </c>
      <c r="AV234" s="575">
        <f>Calculation!CF237*3.068</f>
        <v>1743.9428390601595</v>
      </c>
      <c r="AW234" s="582">
        <f>Calculation!BK237*3.068</f>
        <v>1836.8939999999998</v>
      </c>
      <c r="AX234" s="813">
        <f t="shared" si="68"/>
        <v>40763</v>
      </c>
      <c r="AY234" s="561"/>
      <c r="AZ234" s="534">
        <f t="shared" ca="1" si="69"/>
        <v>40805.776919463766</v>
      </c>
      <c r="BA234" s="561"/>
      <c r="BB234" s="826">
        <f t="shared" si="70"/>
        <v>40873.258356655293</v>
      </c>
      <c r="BC234" s="561"/>
      <c r="BD234" s="844">
        <f t="shared" si="71"/>
        <v>40965.57561929596</v>
      </c>
      <c r="BE234" s="553"/>
    </row>
    <row r="235" spans="1:57" ht="13.5" thickBot="1">
      <c r="A235" s="513">
        <v>40767</v>
      </c>
      <c r="B235" s="498">
        <f t="shared" si="59"/>
        <v>111.6779300000036</v>
      </c>
      <c r="C235" s="498">
        <f>Calculation!AA238</f>
        <v>0</v>
      </c>
      <c r="D235" s="498">
        <f>Calculation!Y238</f>
        <v>28.296798749009181</v>
      </c>
      <c r="E235" s="498">
        <f>Calculation!U238</f>
        <v>72.925579999999101</v>
      </c>
      <c r="F235" s="498">
        <f>Calculation!V238</f>
        <v>38.752350000004498</v>
      </c>
      <c r="G235" s="498">
        <f>Calculation!W238</f>
        <v>0</v>
      </c>
      <c r="H235" s="500" t="str">
        <f>Sheet1!H238</f>
        <v>os</v>
      </c>
      <c r="I235" s="501">
        <f>Sheet1!CW238</f>
        <v>364.28125</v>
      </c>
      <c r="J235" s="501">
        <f>Sheet1!CX238</f>
        <v>197.82291666666666</v>
      </c>
      <c r="K235" s="501">
        <f>Sheet1!CV238</f>
        <v>297.41666666666669</v>
      </c>
      <c r="L235" s="501">
        <f>Calculation!F238</f>
        <v>250</v>
      </c>
      <c r="M235" s="501">
        <f>Calculation!E238</f>
        <v>400</v>
      </c>
      <c r="N235" s="501">
        <f>Calculation!D238</f>
        <v>200</v>
      </c>
      <c r="O235" s="500">
        <f>Sheet1!CY238</f>
        <v>1156.43</v>
      </c>
      <c r="P235" s="514">
        <f>Calculation!ET238</f>
        <v>1134.8</v>
      </c>
      <c r="Q235" s="498">
        <f>Calculation!DF238</f>
        <v>39136.290000095323</v>
      </c>
      <c r="R235" s="500">
        <f t="shared" si="53"/>
        <v>37916.290000095323</v>
      </c>
      <c r="S235" s="498">
        <f t="shared" si="60"/>
        <v>-140.42000000000553</v>
      </c>
      <c r="T235" s="498">
        <f ca="1">IF(A235&gt;$A$1,#N/A,VLOOKUP(A235,Calculation!$B$8:$IV$881,30,FALSE))</f>
        <v>9165.6500800922386</v>
      </c>
      <c r="U235" s="498">
        <f t="shared" si="54"/>
        <v>28.296798749009181</v>
      </c>
      <c r="V235" s="498">
        <f>Calculation!AP238</f>
        <v>0</v>
      </c>
      <c r="W235" s="498">
        <f t="shared" ca="1" si="72"/>
        <v>8785</v>
      </c>
      <c r="X235" s="498">
        <v>0</v>
      </c>
      <c r="Y235" s="744">
        <f t="shared" ca="1" si="52"/>
        <v>2500</v>
      </c>
      <c r="Z235" s="748">
        <f t="shared" ca="1" si="55"/>
        <v>6285</v>
      </c>
      <c r="AA235" s="498">
        <f t="shared" ca="1" si="66"/>
        <v>21185.639920003086</v>
      </c>
      <c r="AB235" s="501">
        <f t="shared" ca="1" si="61"/>
        <v>19965.639920003086</v>
      </c>
      <c r="AC235" s="498">
        <f ca="1">IF(A235&gt;$A$1,#N/A,VLOOKUP(A235,Calculation!$B$8:$IV$881,155,FALSE))</f>
        <v>20889.000000048021</v>
      </c>
      <c r="AD235" s="498">
        <f t="shared" ca="1" si="62"/>
        <v>-128.00000000014552</v>
      </c>
      <c r="AE235" s="498"/>
      <c r="AF235" s="501">
        <f>Calculation!G238</f>
        <v>226.60476550680511</v>
      </c>
      <c r="AG235" s="498" t="str">
        <f t="shared" si="63"/>
        <v>Yes</v>
      </c>
      <c r="AH235" s="498" t="str">
        <f t="shared" si="64"/>
        <v>No</v>
      </c>
      <c r="AK235" s="738">
        <v>36887.250000090673</v>
      </c>
      <c r="AL235" s="738">
        <v>27340.86000006774</v>
      </c>
      <c r="AM235" s="740">
        <v>43270.400000104601</v>
      </c>
      <c r="AR235" s="552">
        <f t="shared" ca="1" si="67"/>
        <v>40916.2629140676</v>
      </c>
      <c r="AS235" s="524"/>
      <c r="AT235" s="581">
        <f>Calculation!AR238*3.068</f>
        <v>4166.6666666666661</v>
      </c>
      <c r="AU235" s="575">
        <f ca="1">Calculation!DA238</f>
        <v>1439.6225743654134</v>
      </c>
      <c r="AV235" s="575">
        <f>Calculation!CF238*3.068</f>
        <v>1728.6028390601596</v>
      </c>
      <c r="AW235" s="582">
        <f>Calculation!BK238*3.068</f>
        <v>1830.7579999999998</v>
      </c>
      <c r="AX235" s="813">
        <f t="shared" si="68"/>
        <v>40764</v>
      </c>
      <c r="AY235" s="561"/>
      <c r="AZ235" s="534">
        <f t="shared" ca="1" si="69"/>
        <v>40806.053847540657</v>
      </c>
      <c r="BA235" s="561"/>
      <c r="BB235" s="826">
        <f t="shared" si="70"/>
        <v>40877.203928691335</v>
      </c>
      <c r="BC235" s="561"/>
      <c r="BD235" s="844">
        <f t="shared" si="71"/>
        <v>40972.61382507447</v>
      </c>
      <c r="BE235" s="553"/>
    </row>
    <row r="236" spans="1:57" ht="13.5" thickBot="1">
      <c r="A236" s="513">
        <v>40768</v>
      </c>
      <c r="B236" s="498">
        <f t="shared" si="59"/>
        <v>103.649</v>
      </c>
      <c r="C236" s="498">
        <f>Calculation!AA239</f>
        <v>0</v>
      </c>
      <c r="D236" s="498">
        <f>Calculation!Y239</f>
        <v>27.846</v>
      </c>
      <c r="E236" s="498">
        <f>Calculation!U239</f>
        <v>66.521000000000001</v>
      </c>
      <c r="F236" s="498">
        <f>Calculation!V239</f>
        <v>37.128</v>
      </c>
      <c r="G236" s="498">
        <f>Calculation!W239</f>
        <v>0</v>
      </c>
      <c r="H236" s="500" t="str">
        <f>Sheet1!H239</f>
        <v>os</v>
      </c>
      <c r="I236" s="501">
        <f>Sheet1!CW239</f>
        <v>367.76041666666669</v>
      </c>
      <c r="J236" s="501">
        <f>Sheet1!CX239</f>
        <v>201.60416666666666</v>
      </c>
      <c r="K236" s="501">
        <f>Sheet1!CV239</f>
        <v>297</v>
      </c>
      <c r="L236" s="501">
        <f>Calculation!F239</f>
        <v>250</v>
      </c>
      <c r="M236" s="501">
        <f>Calculation!E239</f>
        <v>400</v>
      </c>
      <c r="N236" s="501">
        <f>Calculation!D239</f>
        <v>200</v>
      </c>
      <c r="O236" s="500">
        <f>Sheet1!CY239</f>
        <v>1156.27</v>
      </c>
      <c r="P236" s="514">
        <f>Calculation!ET239</f>
        <v>1134.5999999999999</v>
      </c>
      <c r="Q236" s="498">
        <f>Calculation!DF239</f>
        <v>38975.810000095102</v>
      </c>
      <c r="R236" s="500">
        <f t="shared" si="53"/>
        <v>37755.810000095102</v>
      </c>
      <c r="S236" s="498">
        <f t="shared" si="60"/>
        <v>-160.48000000022148</v>
      </c>
      <c r="T236" s="498">
        <f ca="1">IF(A236&gt;$A$1,#N/A,VLOOKUP(A236,Calculation!$B$8:$IV$881,30,FALSE))</f>
        <v>9110.4260800922384</v>
      </c>
      <c r="U236" s="498">
        <f t="shared" si="54"/>
        <v>27.846</v>
      </c>
      <c r="V236" s="498">
        <f>Calculation!AP239</f>
        <v>0</v>
      </c>
      <c r="W236" s="498">
        <f t="shared" ca="1" si="72"/>
        <v>8785</v>
      </c>
      <c r="X236" s="498">
        <v>0</v>
      </c>
      <c r="Y236" s="744">
        <f t="shared" ca="1" si="52"/>
        <v>2500</v>
      </c>
      <c r="Z236" s="748">
        <f t="shared" ca="1" si="55"/>
        <v>6285</v>
      </c>
      <c r="AA236" s="498">
        <f t="shared" ca="1" si="66"/>
        <v>21080.383920002863</v>
      </c>
      <c r="AB236" s="501">
        <f t="shared" ca="1" si="61"/>
        <v>19860.383920002863</v>
      </c>
      <c r="AC236" s="498">
        <f ca="1">IF(A236&gt;$A$1,#N/A,VLOOKUP(A236,Calculation!$B$8:$IV$881,155,FALSE))</f>
        <v>20761.000000048021</v>
      </c>
      <c r="AD236" s="498">
        <f t="shared" ca="1" si="62"/>
        <v>-128</v>
      </c>
      <c r="AE236" s="498"/>
      <c r="AF236" s="501">
        <f>Calculation!G239</f>
        <v>216.07211296004971</v>
      </c>
      <c r="AG236" s="498" t="str">
        <f t="shared" si="63"/>
        <v>Yes</v>
      </c>
      <c r="AH236" s="498" t="str">
        <f t="shared" si="64"/>
        <v>No</v>
      </c>
      <c r="AK236" s="738">
        <v>36741.000000090447</v>
      </c>
      <c r="AL236" s="738">
        <v>27259.460000067738</v>
      </c>
      <c r="AM236" s="740">
        <v>43079.600000104358</v>
      </c>
      <c r="AR236" s="552">
        <f t="shared" ca="1" si="67"/>
        <v>40919.841657766556</v>
      </c>
      <c r="AS236" s="524"/>
      <c r="AT236" s="581">
        <f>Calculation!AR239*3.068</f>
        <v>4166.6666666666661</v>
      </c>
      <c r="AU236" s="575">
        <f ca="1">Calculation!DA239</f>
        <v>1405.8745743654133</v>
      </c>
      <c r="AV236" s="575">
        <f>Calculation!CF239*3.068</f>
        <v>1713.2628390601594</v>
      </c>
      <c r="AW236" s="582">
        <f>Calculation!BK239*3.068</f>
        <v>1824.6219999999998</v>
      </c>
      <c r="AX236" s="813">
        <f t="shared" si="68"/>
        <v>40765</v>
      </c>
      <c r="AY236" s="561"/>
      <c r="AZ236" s="534">
        <f t="shared" ca="1" si="69"/>
        <v>40806.682328890238</v>
      </c>
      <c r="BA236" s="561"/>
      <c r="BB236" s="826">
        <f t="shared" si="70"/>
        <v>40879.68597386311</v>
      </c>
      <c r="BC236" s="561"/>
      <c r="BD236" s="844">
        <f t="shared" si="71"/>
        <v>40985.32096863573</v>
      </c>
      <c r="BE236" s="553"/>
    </row>
    <row r="237" spans="1:57" ht="13.5" thickBot="1">
      <c r="A237" s="513">
        <v>40769</v>
      </c>
      <c r="B237" s="498">
        <f t="shared" si="59"/>
        <v>109.83699999999999</v>
      </c>
      <c r="C237" s="498">
        <f>Calculation!AA240</f>
        <v>0</v>
      </c>
      <c r="D237" s="498">
        <f>Calculation!Y240</f>
        <v>28.889611111111115</v>
      </c>
      <c r="E237" s="498">
        <f>Calculation!U240</f>
        <v>69.614999999999995</v>
      </c>
      <c r="F237" s="498">
        <f>Calculation!V240</f>
        <v>40.222000000000001</v>
      </c>
      <c r="G237" s="498">
        <f>Calculation!W240</f>
        <v>0</v>
      </c>
      <c r="H237" s="500">
        <f>Sheet1!H240</f>
        <v>0.78</v>
      </c>
      <c r="I237" s="501">
        <f>Sheet1!CW240</f>
        <v>365.5625</v>
      </c>
      <c r="J237" s="501">
        <f>Sheet1!CX240</f>
        <v>190.61458333333334</v>
      </c>
      <c r="K237" s="501">
        <f>Sheet1!CV240</f>
        <v>283.08333333333331</v>
      </c>
      <c r="L237" s="501">
        <f>Calculation!F240</f>
        <v>250</v>
      </c>
      <c r="M237" s="501">
        <f>Calculation!E240</f>
        <v>400</v>
      </c>
      <c r="N237" s="501">
        <f>Calculation!D240</f>
        <v>200</v>
      </c>
      <c r="O237" s="500">
        <f>Sheet1!CY240</f>
        <v>1156.1300000000001</v>
      </c>
      <c r="P237" s="514">
        <f>Calculation!ET240</f>
        <v>1134.4000000000001</v>
      </c>
      <c r="Q237" s="498">
        <f>Calculation!DF240</f>
        <v>38835.390000095103</v>
      </c>
      <c r="R237" s="500">
        <f t="shared" si="53"/>
        <v>37615.390000095103</v>
      </c>
      <c r="S237" s="498">
        <f t="shared" si="60"/>
        <v>-140.41999999999825</v>
      </c>
      <c r="T237" s="498">
        <f ca="1">IF(A237&gt;$A$1,#N/A,VLOOKUP(A237,Calculation!$B$8:$IV$881,30,FALSE))</f>
        <v>9053.1323975525574</v>
      </c>
      <c r="U237" s="498">
        <f t="shared" si="54"/>
        <v>28.889611111111115</v>
      </c>
      <c r="V237" s="498">
        <f>Calculation!AP240</f>
        <v>0</v>
      </c>
      <c r="W237" s="498">
        <f t="shared" ca="1" si="72"/>
        <v>8785</v>
      </c>
      <c r="X237" s="498">
        <v>0</v>
      </c>
      <c r="Y237" s="744">
        <f t="shared" ca="1" si="52"/>
        <v>2500</v>
      </c>
      <c r="Z237" s="748">
        <f t="shared" ca="1" si="55"/>
        <v>6285</v>
      </c>
      <c r="AA237" s="498">
        <f t="shared" ca="1" si="66"/>
        <v>20997.257602542544</v>
      </c>
      <c r="AB237" s="501">
        <f t="shared" ca="1" si="61"/>
        <v>19777.257602542544</v>
      </c>
      <c r="AC237" s="498">
        <f ca="1">IF(A237&gt;$A$1,#N/A,VLOOKUP(A237,Calculation!$B$8:$IV$881,155,FALSE))</f>
        <v>20633.000000047876</v>
      </c>
      <c r="AD237" s="498">
        <f t="shared" ca="1" si="62"/>
        <v>-128.00000000014552</v>
      </c>
      <c r="AE237" s="498"/>
      <c r="AF237" s="501">
        <f>Calculation!G240</f>
        <v>212.2714321734754</v>
      </c>
      <c r="AG237" s="498" t="str">
        <f t="shared" si="63"/>
        <v>Yes</v>
      </c>
      <c r="AH237" s="498" t="str">
        <f t="shared" si="64"/>
        <v>No</v>
      </c>
      <c r="AK237" s="738">
        <v>36606.460000088933</v>
      </c>
      <c r="AL237" s="738">
        <v>27186.200000067554</v>
      </c>
      <c r="AM237" s="740">
        <v>42846.40000010412</v>
      </c>
      <c r="AR237" s="552">
        <f t="shared" ca="1" si="67"/>
        <v>40923.056085142569</v>
      </c>
      <c r="AS237" s="524"/>
      <c r="AT237" s="581">
        <f>Calculation!AR240*3.068</f>
        <v>4166.6666666666661</v>
      </c>
      <c r="AU237" s="575">
        <f ca="1">Calculation!DA240</f>
        <v>1370.8969394447784</v>
      </c>
      <c r="AV237" s="575">
        <f>Calculation!CF240*3.068</f>
        <v>1697.2459311236516</v>
      </c>
      <c r="AW237" s="582">
        <f>Calculation!BK240*3.068</f>
        <v>1818.32286031746</v>
      </c>
      <c r="AX237" s="813">
        <f t="shared" si="68"/>
        <v>40766</v>
      </c>
      <c r="AY237" s="561"/>
      <c r="AZ237" s="534">
        <f t="shared" ca="1" si="69"/>
        <v>40807.440561297546</v>
      </c>
      <c r="BA237" s="561"/>
      <c r="BB237" s="826">
        <f t="shared" si="70"/>
        <v>40879.140558553525</v>
      </c>
      <c r="BC237" s="561"/>
      <c r="BD237" s="844">
        <f t="shared" si="71"/>
        <v>41002.872993770521</v>
      </c>
      <c r="BE237" s="553"/>
    </row>
    <row r="238" spans="1:57" ht="13.5" thickBot="1">
      <c r="A238" s="513">
        <v>40770</v>
      </c>
      <c r="B238" s="498">
        <f t="shared" si="59"/>
        <v>111.3375900000018</v>
      </c>
      <c r="C238" s="498">
        <f>Calculation!AA241</f>
        <v>0</v>
      </c>
      <c r="D238" s="498">
        <f>Calculation!Y241</f>
        <v>26.777666971907774</v>
      </c>
      <c r="E238" s="498">
        <f>Calculation!U241</f>
        <v>69.522180000003601</v>
      </c>
      <c r="F238" s="498">
        <f>Calculation!V241</f>
        <v>41.815409999998195</v>
      </c>
      <c r="G238" s="498">
        <f>Calculation!W241</f>
        <v>0</v>
      </c>
      <c r="H238" s="500">
        <f>Sheet1!H241</f>
        <v>1.08</v>
      </c>
      <c r="I238" s="501">
        <f>Sheet1!CW241</f>
        <v>341.70833333333331</v>
      </c>
      <c r="J238" s="501">
        <f>Sheet1!CX241</f>
        <v>174.27083333333334</v>
      </c>
      <c r="K238" s="501">
        <f>Sheet1!CV241</f>
        <v>274.79166666666669</v>
      </c>
      <c r="L238" s="501">
        <f>Calculation!F241</f>
        <v>250</v>
      </c>
      <c r="M238" s="501">
        <f>Calculation!E241</f>
        <v>400</v>
      </c>
      <c r="N238" s="501">
        <f>Calculation!D241</f>
        <v>200</v>
      </c>
      <c r="O238" s="500">
        <f>Sheet1!CY241</f>
        <v>1156.02</v>
      </c>
      <c r="P238" s="514">
        <f>Calculation!ET241</f>
        <v>1134.2</v>
      </c>
      <c r="Q238" s="498">
        <f>Calculation!DF241</f>
        <v>38725.060000094869</v>
      </c>
      <c r="R238" s="500">
        <f t="shared" si="53"/>
        <v>37505.060000094869</v>
      </c>
      <c r="S238" s="498">
        <f t="shared" si="60"/>
        <v>-110.33000000023458</v>
      </c>
      <c r="T238" s="498">
        <f ca="1">IF(A238&gt;$A$1,#N/A,VLOOKUP(A238,Calculation!$B$8:$IV$881,30,FALSE))</f>
        <v>9000.0271084317974</v>
      </c>
      <c r="U238" s="498">
        <f t="shared" si="54"/>
        <v>26.777666971907774</v>
      </c>
      <c r="V238" s="498">
        <f>Calculation!AP241</f>
        <v>0</v>
      </c>
      <c r="W238" s="498">
        <f t="shared" ca="1" si="72"/>
        <v>8785</v>
      </c>
      <c r="X238" s="498">
        <v>0</v>
      </c>
      <c r="Y238" s="744">
        <f t="shared" ca="1" si="52"/>
        <v>2500</v>
      </c>
      <c r="Z238" s="748">
        <f t="shared" ca="1" si="55"/>
        <v>6285</v>
      </c>
      <c r="AA238" s="498">
        <f t="shared" ca="1" si="66"/>
        <v>20940.032891663071</v>
      </c>
      <c r="AB238" s="501">
        <f t="shared" ca="1" si="61"/>
        <v>19720.032891663071</v>
      </c>
      <c r="AC238" s="498">
        <f ca="1">IF(A238&gt;$A$1,#N/A,VLOOKUP(A238,Calculation!$B$8:$IV$881,155,FALSE))</f>
        <v>20505.00000004773</v>
      </c>
      <c r="AD238" s="498">
        <f t="shared" ca="1" si="62"/>
        <v>-128.00000000014552</v>
      </c>
      <c r="AE238" s="498"/>
      <c r="AF238" s="501">
        <f>Calculation!G241</f>
        <v>219.15374432665934</v>
      </c>
      <c r="AG238" s="498" t="str">
        <f t="shared" si="63"/>
        <v>Yes</v>
      </c>
      <c r="AH238" s="498" t="str">
        <f t="shared" si="64"/>
        <v>No</v>
      </c>
      <c r="AK238" s="738">
        <v>36443.090000088931</v>
      </c>
      <c r="AL238" s="738">
        <v>27088.520000067554</v>
      </c>
      <c r="AM238" s="740">
        <v>42605.070000102605</v>
      </c>
      <c r="AR238" s="552">
        <f t="shared" ca="1" si="67"/>
        <v>40926.865789265328</v>
      </c>
      <c r="AS238" s="524"/>
      <c r="AT238" s="581">
        <f>Calculation!AR241*3.068</f>
        <v>4166.6666666666661</v>
      </c>
      <c r="AU238" s="575">
        <f ca="1">Calculation!DA241</f>
        <v>1337.1489394447783</v>
      </c>
      <c r="AV238" s="575">
        <f>Calculation!CF241*3.068</f>
        <v>1684.0246420028932</v>
      </c>
      <c r="AW238" s="582">
        <f>Calculation!BK241*3.068</f>
        <v>1812.1868603174601</v>
      </c>
      <c r="AX238" s="813">
        <f t="shared" si="68"/>
        <v>40767</v>
      </c>
      <c r="AY238" s="561"/>
      <c r="AZ238" s="534">
        <f t="shared" ca="1" si="69"/>
        <v>40808.110551138401</v>
      </c>
      <c r="BA238" s="561"/>
      <c r="BB238" s="826">
        <f t="shared" si="70"/>
        <v>40880.440859309609</v>
      </c>
      <c r="BC238" s="561"/>
      <c r="BD238" s="844">
        <f t="shared" si="71"/>
        <v>41024.775052739016</v>
      </c>
      <c r="BE238" s="553"/>
    </row>
    <row r="239" spans="1:57" ht="13.5" thickBot="1">
      <c r="A239" s="513">
        <v>40771</v>
      </c>
      <c r="B239" s="498">
        <f t="shared" si="59"/>
        <v>122.4759899999973</v>
      </c>
      <c r="C239" s="498">
        <f>Calculation!AA242</f>
        <v>0</v>
      </c>
      <c r="D239" s="498">
        <f>Calculation!Y242</f>
        <v>27.208481541340358</v>
      </c>
      <c r="E239" s="498">
        <f>Calculation!U242</f>
        <v>72.322249999999997</v>
      </c>
      <c r="F239" s="498">
        <f>Calculation!V242</f>
        <v>50.153739999997299</v>
      </c>
      <c r="G239" s="498">
        <f>Calculation!W242</f>
        <v>0</v>
      </c>
      <c r="H239" s="500">
        <f>Sheet1!H242</f>
        <v>0.98</v>
      </c>
      <c r="I239" s="501">
        <f>Sheet1!CW242</f>
        <v>335.23958333333331</v>
      </c>
      <c r="J239" s="501">
        <f>Sheet1!CX242</f>
        <v>173.04166666666666</v>
      </c>
      <c r="K239" s="501">
        <f>Sheet1!CV242</f>
        <v>283</v>
      </c>
      <c r="L239" s="501">
        <f>Calculation!F242</f>
        <v>250</v>
      </c>
      <c r="M239" s="501">
        <f>Calculation!E242</f>
        <v>400</v>
      </c>
      <c r="N239" s="501">
        <f>Calculation!D242</f>
        <v>200</v>
      </c>
      <c r="O239" s="500">
        <f>Sheet1!CY242</f>
        <v>1155.8699999999999</v>
      </c>
      <c r="P239" s="514">
        <f>Calculation!ET242</f>
        <v>1134</v>
      </c>
      <c r="Q239" s="498">
        <f>Calculation!DF242</f>
        <v>38576.430000093322</v>
      </c>
      <c r="R239" s="500">
        <f t="shared" si="53"/>
        <v>37356.430000093322</v>
      </c>
      <c r="S239" s="498">
        <f t="shared" si="60"/>
        <v>-148.63000000154716</v>
      </c>
      <c r="T239" s="498">
        <f ca="1">IF(A239&gt;$A$1,#N/A,VLOOKUP(A239,Calculation!$B$8:$IV$881,30,FALSE))</f>
        <v>8946.0674307531735</v>
      </c>
      <c r="U239" s="498">
        <f t="shared" si="54"/>
        <v>27.208481541340358</v>
      </c>
      <c r="V239" s="498">
        <f>Calculation!AP242</f>
        <v>0</v>
      </c>
      <c r="W239" s="498">
        <f t="shared" ca="1" si="72"/>
        <v>8785</v>
      </c>
      <c r="X239" s="498">
        <v>0</v>
      </c>
      <c r="Y239" s="744">
        <f t="shared" ca="1" si="52"/>
        <v>2500</v>
      </c>
      <c r="Z239" s="748">
        <f t="shared" ca="1" si="55"/>
        <v>6285</v>
      </c>
      <c r="AA239" s="498">
        <f t="shared" ca="1" si="66"/>
        <v>20845.362569340148</v>
      </c>
      <c r="AB239" s="501">
        <f t="shared" ca="1" si="61"/>
        <v>19625.362569340148</v>
      </c>
      <c r="AC239" s="498">
        <f ca="1">IF(A239&gt;$A$1,#N/A,VLOOKUP(A239,Calculation!$B$8:$IV$881,155,FALSE))</f>
        <v>20380.800000046172</v>
      </c>
      <c r="AD239" s="498">
        <f t="shared" ca="1" si="62"/>
        <v>-124.20000000155778</v>
      </c>
      <c r="AE239" s="498"/>
      <c r="AF239" s="501">
        <f>Calculation!G242</f>
        <v>208.0479072105158</v>
      </c>
      <c r="AG239" s="498" t="str">
        <f t="shared" si="63"/>
        <v>Yes</v>
      </c>
      <c r="AH239" s="498" t="str">
        <f t="shared" si="64"/>
        <v>No</v>
      </c>
      <c r="AK239" s="738">
        <v>36308.550000088711</v>
      </c>
      <c r="AL239" s="738">
        <v>26950.140000067371</v>
      </c>
      <c r="AM239" s="740">
        <v>42353.790000102366</v>
      </c>
      <c r="AR239" s="552">
        <f t="shared" ca="1" si="67"/>
        <v>40930.728000536183</v>
      </c>
      <c r="AS239" s="524"/>
      <c r="AT239" s="581">
        <f>Calculation!AR242*3.068</f>
        <v>4166.6666666666661</v>
      </c>
      <c r="AU239" s="575">
        <f ca="1">Calculation!DA242</f>
        <v>1302.8561660282437</v>
      </c>
      <c r="AV239" s="575">
        <f>Calculation!CF242*3.068</f>
        <v>1670.4937377408035</v>
      </c>
      <c r="AW239" s="582">
        <f>Calculation!BK242*3.068</f>
        <v>1806.0508603174601</v>
      </c>
      <c r="AX239" s="813">
        <f t="shared" si="68"/>
        <v>40768</v>
      </c>
      <c r="AY239" s="561"/>
      <c r="AZ239" s="534">
        <f t="shared" ca="1" si="69"/>
        <v>40808.678756416346</v>
      </c>
      <c r="BA239" s="561"/>
      <c r="BB239" s="826">
        <f t="shared" si="70"/>
        <v>40882.818272400407</v>
      </c>
      <c r="BC239" s="561"/>
      <c r="BD239" s="844">
        <f t="shared" si="71"/>
        <v>41047.637835070207</v>
      </c>
      <c r="BE239" s="553"/>
    </row>
    <row r="240" spans="1:57" ht="13.5" thickBot="1">
      <c r="A240" s="513">
        <v>40772</v>
      </c>
      <c r="B240" s="498">
        <f t="shared" si="59"/>
        <v>115.80842000000089</v>
      </c>
      <c r="C240" s="498">
        <f>Calculation!AA243</f>
        <v>0</v>
      </c>
      <c r="D240" s="498">
        <f>Calculation!Y243</f>
        <v>27.846</v>
      </c>
      <c r="E240" s="498">
        <f>Calculation!U243</f>
        <v>68.547569999996398</v>
      </c>
      <c r="F240" s="498">
        <f>Calculation!V243</f>
        <v>47.260850000004503</v>
      </c>
      <c r="G240" s="498">
        <f>Calculation!W243</f>
        <v>0</v>
      </c>
      <c r="H240" s="500" t="str">
        <f>Sheet1!H243</f>
        <v>os</v>
      </c>
      <c r="I240" s="501">
        <f>Sheet1!CW243</f>
        <v>325.66666666666669</v>
      </c>
      <c r="J240" s="501">
        <f>Sheet1!CX243</f>
        <v>167.39583333333334</v>
      </c>
      <c r="K240" s="501">
        <f>Sheet1!CV243</f>
        <v>275.5</v>
      </c>
      <c r="L240" s="501">
        <f>Calculation!F243</f>
        <v>250</v>
      </c>
      <c r="M240" s="501">
        <f>Calculation!E243</f>
        <v>400</v>
      </c>
      <c r="N240" s="501">
        <f>Calculation!D243</f>
        <v>200</v>
      </c>
      <c r="O240" s="500">
        <f>Sheet1!CY243</f>
        <v>1155.72</v>
      </c>
      <c r="P240" s="514">
        <f>Calculation!ET243</f>
        <v>1133.8</v>
      </c>
      <c r="Q240" s="498">
        <f>Calculation!DF243</f>
        <v>38428.080000093323</v>
      </c>
      <c r="R240" s="500">
        <f t="shared" si="53"/>
        <v>37208.080000093323</v>
      </c>
      <c r="S240" s="498">
        <f t="shared" si="60"/>
        <v>-148.34999999999854</v>
      </c>
      <c r="T240" s="498">
        <f ca="1">IF(A240&gt;$A$1,#N/A,VLOOKUP(A240,Calculation!$B$8:$IV$881,30,FALSE))</f>
        <v>8890.8434307531734</v>
      </c>
      <c r="U240" s="498">
        <f t="shared" si="54"/>
        <v>27.846</v>
      </c>
      <c r="V240" s="498">
        <f>Calculation!AP243</f>
        <v>0</v>
      </c>
      <c r="W240" s="498">
        <f t="shared" ca="1" si="72"/>
        <v>8785</v>
      </c>
      <c r="X240" s="498">
        <v>0</v>
      </c>
      <c r="Y240" s="744">
        <f t="shared" ca="1" si="52"/>
        <v>2500</v>
      </c>
      <c r="Z240" s="748">
        <f t="shared" ca="1" si="55"/>
        <v>6285</v>
      </c>
      <c r="AA240" s="498">
        <f t="shared" ca="1" si="66"/>
        <v>20752.236569340152</v>
      </c>
      <c r="AB240" s="501">
        <f t="shared" ca="1" si="61"/>
        <v>19532.236569340152</v>
      </c>
      <c r="AC240" s="498">
        <f ca="1">IF(A240&gt;$A$1,#N/A,VLOOKUP(A240,Calculation!$B$8:$IV$881,155,FALSE))</f>
        <v>20256.60000004603</v>
      </c>
      <c r="AD240" s="498">
        <f t="shared" ca="1" si="62"/>
        <v>-124.20000000014261</v>
      </c>
      <c r="AE240" s="498"/>
      <c r="AF240" s="501">
        <f>Calculation!G243</f>
        <v>200.68910741301133</v>
      </c>
      <c r="AG240" s="498" t="str">
        <f t="shared" si="63"/>
        <v>Yes</v>
      </c>
      <c r="AH240" s="498" t="str">
        <f t="shared" si="64"/>
        <v>No</v>
      </c>
      <c r="AK240" s="738">
        <v>36077.910000088501</v>
      </c>
      <c r="AL240" s="738">
        <v>26791.330000065453</v>
      </c>
      <c r="AM240" s="740">
        <v>42071.100000102124</v>
      </c>
      <c r="AR240" s="552">
        <f t="shared" ca="1" si="67"/>
        <v>40933.379500843148</v>
      </c>
      <c r="AS240" s="524"/>
      <c r="AT240" s="581">
        <f>Calculation!AR243*3.068</f>
        <v>4166.6666666666661</v>
      </c>
      <c r="AU240" s="575">
        <f ca="1">Calculation!DA243</f>
        <v>1269.1081660282437</v>
      </c>
      <c r="AV240" s="575">
        <f>Calculation!CF243*3.068</f>
        <v>1655.1537377408035</v>
      </c>
      <c r="AW240" s="582">
        <f>Calculation!BK243*3.068</f>
        <v>1799.9148603174601</v>
      </c>
      <c r="AX240" s="813">
        <f t="shared" si="68"/>
        <v>40769</v>
      </c>
      <c r="AY240" s="561"/>
      <c r="AZ240" s="534">
        <f t="shared" ca="1" si="69"/>
        <v>40809.093279589528</v>
      </c>
      <c r="BA240" s="561"/>
      <c r="BB240" s="826">
        <f t="shared" si="70"/>
        <v>40884.418548656169</v>
      </c>
      <c r="BC240" s="561"/>
      <c r="BD240" s="844">
        <f t="shared" si="71"/>
        <v>41063.666270144888</v>
      </c>
      <c r="BE240" s="553"/>
    </row>
    <row r="241" spans="1:57" ht="13.5" thickBot="1">
      <c r="A241" s="513">
        <v>40773</v>
      </c>
      <c r="B241" s="498">
        <f t="shared" si="59"/>
        <v>122.21299999999999</v>
      </c>
      <c r="C241" s="498">
        <f>Calculation!AA244</f>
        <v>0</v>
      </c>
      <c r="D241" s="498">
        <f>Calculation!Y244</f>
        <v>28.166477050183605</v>
      </c>
      <c r="E241" s="498">
        <f>Calculation!U244</f>
        <v>71.161999999999992</v>
      </c>
      <c r="F241" s="498">
        <f>Calculation!V244</f>
        <v>51.050999999999995</v>
      </c>
      <c r="G241" s="498">
        <f>Calculation!W244</f>
        <v>0</v>
      </c>
      <c r="H241" s="500" t="str">
        <f>Sheet1!H244</f>
        <v>os</v>
      </c>
      <c r="I241" s="501">
        <f>Sheet1!CW244</f>
        <v>313.82291666666669</v>
      </c>
      <c r="J241" s="501">
        <f>Sheet1!CX244</f>
        <v>157.60416666666666</v>
      </c>
      <c r="K241" s="501">
        <f>Sheet1!CV244</f>
        <v>265</v>
      </c>
      <c r="L241" s="501">
        <f>Calculation!F244</f>
        <v>250</v>
      </c>
      <c r="M241" s="501">
        <f>Calculation!E244</f>
        <v>400</v>
      </c>
      <c r="N241" s="501">
        <f>Calculation!D244</f>
        <v>200</v>
      </c>
      <c r="O241" s="500">
        <f>Sheet1!CY244</f>
        <v>1155.58</v>
      </c>
      <c r="P241" s="514">
        <f>Calculation!ET244</f>
        <v>1133.5999999999999</v>
      </c>
      <c r="Q241" s="498">
        <f>Calculation!DF244</f>
        <v>38289.620000093098</v>
      </c>
      <c r="R241" s="500">
        <f t="shared" si="53"/>
        <v>37069.620000093098</v>
      </c>
      <c r="S241" s="498">
        <f t="shared" si="60"/>
        <v>-138.46000000022468</v>
      </c>
      <c r="T241" s="498">
        <f ca="1">IF(A241&gt;$A$1,#N/A,VLOOKUP(A241,Calculation!$B$8:$IV$881,30,FALSE))</f>
        <v>8834.9838628217167</v>
      </c>
      <c r="U241" s="498">
        <f t="shared" si="54"/>
        <v>28.166477050183605</v>
      </c>
      <c r="V241" s="498">
        <f>Calculation!AP244</f>
        <v>0</v>
      </c>
      <c r="W241" s="498">
        <f t="shared" ca="1" si="72"/>
        <v>8785</v>
      </c>
      <c r="X241" s="498">
        <v>0</v>
      </c>
      <c r="Y241" s="744">
        <f t="shared" ca="1" si="52"/>
        <v>2500</v>
      </c>
      <c r="Z241" s="748">
        <f t="shared" ca="1" si="55"/>
        <v>6285</v>
      </c>
      <c r="AA241" s="498">
        <f t="shared" ca="1" si="66"/>
        <v>20669.63613727138</v>
      </c>
      <c r="AB241" s="501">
        <f t="shared" ca="1" si="61"/>
        <v>19449.63613727138</v>
      </c>
      <c r="AC241" s="498">
        <f ca="1">IF(A241&gt;$A$1,#N/A,VLOOKUP(A241,Calculation!$B$8:$IV$881,155,FALSE))</f>
        <v>20132.400000046033</v>
      </c>
      <c r="AD241" s="498">
        <f t="shared" ca="1" si="62"/>
        <v>-124.19999999999709</v>
      </c>
      <c r="AE241" s="498"/>
      <c r="AF241" s="501">
        <f>Calculation!G244</f>
        <v>195.17650025202994</v>
      </c>
      <c r="AG241" s="498" t="str">
        <f t="shared" si="63"/>
        <v>Yes</v>
      </c>
      <c r="AH241" s="498" t="str">
        <f t="shared" si="64"/>
        <v>No</v>
      </c>
      <c r="AK241" s="738">
        <v>35914.540000088491</v>
      </c>
      <c r="AL241" s="738">
        <v>26624.800000065272</v>
      </c>
      <c r="AM241" s="740">
        <v>41798.88000010189</v>
      </c>
      <c r="AR241" s="552">
        <f t="shared" ca="1" si="67"/>
        <v>40933.816758996596</v>
      </c>
      <c r="AS241" s="524"/>
      <c r="AT241" s="581">
        <f>Calculation!AR244*3.068</f>
        <v>4166.6666666666661</v>
      </c>
      <c r="AU241" s="575">
        <f ca="1">Calculation!DA244</f>
        <v>1234.9057865912791</v>
      </c>
      <c r="AV241" s="575">
        <f>Calculation!CF244*3.068</f>
        <v>1639.6325492463113</v>
      </c>
      <c r="AW241" s="582">
        <f>Calculation!BK244*3.068</f>
        <v>1793.7788603174599</v>
      </c>
      <c r="AX241" s="813">
        <f t="shared" si="68"/>
        <v>40770</v>
      </c>
      <c r="AY241" s="561"/>
      <c r="AZ241" s="534">
        <f t="shared" ca="1" si="69"/>
        <v>40809.175685173592</v>
      </c>
      <c r="BA241" s="561"/>
      <c r="BB241" s="826">
        <f t="shared" si="70"/>
        <v>40884.964473436274</v>
      </c>
      <c r="BC241" s="561"/>
      <c r="BD241" s="844">
        <f t="shared" si="71"/>
        <v>41063.944909540158</v>
      </c>
      <c r="BE241" s="553"/>
    </row>
    <row r="242" spans="1:57" ht="13.5" thickBot="1">
      <c r="A242" s="513">
        <v>40774</v>
      </c>
      <c r="B242" s="498">
        <f t="shared" si="59"/>
        <v>126.52912999999009</v>
      </c>
      <c r="C242" s="498">
        <f>Calculation!AA245</f>
        <v>0</v>
      </c>
      <c r="D242" s="498">
        <f>Calculation!Y245</f>
        <v>30.166499999999999</v>
      </c>
      <c r="E242" s="498">
        <f>Calculation!U245</f>
        <v>71.997379999990088</v>
      </c>
      <c r="F242" s="498">
        <f>Calculation!V245</f>
        <v>54.531749999999995</v>
      </c>
      <c r="G242" s="498">
        <f>Calculation!W245</f>
        <v>0</v>
      </c>
      <c r="H242" s="500">
        <f>Sheet1!H245</f>
        <v>0.94</v>
      </c>
      <c r="I242" s="501">
        <f>Sheet1!CW245</f>
        <v>306.53125</v>
      </c>
      <c r="J242" s="501">
        <f>Sheet1!CX245</f>
        <v>161.03125</v>
      </c>
      <c r="K242" s="501">
        <f>Sheet1!CV245</f>
        <v>274.29166666666669</v>
      </c>
      <c r="L242" s="501">
        <f>Calculation!F245</f>
        <v>250</v>
      </c>
      <c r="M242" s="501">
        <f>Calculation!E245</f>
        <v>400</v>
      </c>
      <c r="N242" s="501">
        <f>Calculation!D245</f>
        <v>200</v>
      </c>
      <c r="O242" s="500">
        <f>Sheet1!CY245</f>
        <v>1155.42</v>
      </c>
      <c r="P242" s="514">
        <f>Calculation!ET245</f>
        <v>1133.4000000000001</v>
      </c>
      <c r="Q242" s="498">
        <f>Calculation!DF245</f>
        <v>38131.380000093093</v>
      </c>
      <c r="R242" s="500">
        <f t="shared" si="53"/>
        <v>36911.380000093093</v>
      </c>
      <c r="S242" s="498">
        <f t="shared" si="60"/>
        <v>-158.24000000000524</v>
      </c>
      <c r="T242" s="498">
        <f ca="1">IF(A242&gt;$A$1,#N/A,VLOOKUP(A242,Calculation!$B$8:$IV$881,30,FALSE))</f>
        <v>8775.1578628217176</v>
      </c>
      <c r="U242" s="498">
        <f t="shared" si="54"/>
        <v>30.166499999999999</v>
      </c>
      <c r="V242" s="498">
        <f>Calculation!AP245</f>
        <v>0</v>
      </c>
      <c r="W242" s="498">
        <f t="shared" ca="1" si="72"/>
        <v>8785</v>
      </c>
      <c r="X242" s="498">
        <v>0</v>
      </c>
      <c r="Y242" s="744">
        <f t="shared" ca="1" si="52"/>
        <v>2500</v>
      </c>
      <c r="Z242" s="748">
        <f t="shared" ca="1" si="55"/>
        <v>6285</v>
      </c>
      <c r="AA242" s="498">
        <f t="shared" ca="1" si="66"/>
        <v>20571.222137271376</v>
      </c>
      <c r="AB242" s="501">
        <f t="shared" ca="1" si="61"/>
        <v>19351.222137271376</v>
      </c>
      <c r="AC242" s="498">
        <f ca="1">IF(A242&gt;$A$1,#N/A,VLOOKUP(A242,Calculation!$B$8:$IV$881,155,FALSE))</f>
        <v>20070.300000045889</v>
      </c>
      <c r="AD242" s="498">
        <f t="shared" ca="1" si="62"/>
        <v>-62.100000000144064</v>
      </c>
      <c r="AE242" s="498"/>
      <c r="AF242" s="501">
        <f>Calculation!G245</f>
        <v>194.49338124054202</v>
      </c>
      <c r="AG242" s="498" t="str">
        <f t="shared" si="63"/>
        <v>Yes</v>
      </c>
      <c r="AH242" s="498" t="str">
        <f t="shared" si="64"/>
        <v>No</v>
      </c>
      <c r="AK242" s="738">
        <v>35704.320000086896</v>
      </c>
      <c r="AL242" s="738">
        <v>26426.550000065094</v>
      </c>
      <c r="AM242" s="740">
        <v>41519.640000100197</v>
      </c>
      <c r="AR242" s="552">
        <f t="shared" ca="1" si="67"/>
        <v>40932.401205077833</v>
      </c>
      <c r="AS242" s="524"/>
      <c r="AT242" s="581">
        <f>Calculation!AR245*3.068</f>
        <v>4166.6666666666661</v>
      </c>
      <c r="AU242" s="575">
        <f ca="1">Calculation!DA245</f>
        <v>1198.0897865912791</v>
      </c>
      <c r="AV242" s="575">
        <f>Calculation!CF245*3.068</f>
        <v>1622.7585492463113</v>
      </c>
      <c r="AW242" s="582">
        <f>Calculation!BK245*3.068</f>
        <v>1787.64286031746</v>
      </c>
      <c r="AX242" s="813">
        <f t="shared" si="68"/>
        <v>40771</v>
      </c>
      <c r="AY242" s="561"/>
      <c r="AZ242" s="534">
        <f t="shared" ca="1" si="69"/>
        <v>40808.857511374546</v>
      </c>
      <c r="BA242" s="561"/>
      <c r="BB242" s="826">
        <f t="shared" si="70"/>
        <v>40883.28461116914</v>
      </c>
      <c r="BC242" s="561"/>
      <c r="BD242" s="844">
        <f t="shared" si="71"/>
        <v>41064.500604230467</v>
      </c>
      <c r="BE242" s="553"/>
    </row>
    <row r="243" spans="1:57" ht="13.5" thickBot="1">
      <c r="A243" s="513">
        <v>40775</v>
      </c>
      <c r="B243" s="498">
        <f t="shared" si="59"/>
        <v>124.06940000001801</v>
      </c>
      <c r="C243" s="498">
        <f>Calculation!AA246</f>
        <v>0</v>
      </c>
      <c r="D243" s="498">
        <f>Calculation!Y246</f>
        <v>30.939999999999998</v>
      </c>
      <c r="E243" s="498">
        <f>Calculation!U246</f>
        <v>70.481320000018911</v>
      </c>
      <c r="F243" s="498">
        <f>Calculation!V246</f>
        <v>53.588079999999096</v>
      </c>
      <c r="G243" s="498">
        <f>Calculation!W246</f>
        <v>0</v>
      </c>
      <c r="H243" s="500">
        <f>Sheet1!H246</f>
        <v>0.94</v>
      </c>
      <c r="I243" s="501">
        <f>Sheet1!CW246</f>
        <v>311.65625</v>
      </c>
      <c r="J243" s="501">
        <f>Sheet1!CX246</f>
        <v>167.22916666666666</v>
      </c>
      <c r="K243" s="501">
        <f>Sheet1!CV246</f>
        <v>279.91666666666669</v>
      </c>
      <c r="L243" s="501">
        <f>Calculation!F246</f>
        <v>250</v>
      </c>
      <c r="M243" s="501">
        <f>Calculation!E246</f>
        <v>400</v>
      </c>
      <c r="N243" s="501">
        <f>Calculation!D246</f>
        <v>200</v>
      </c>
      <c r="O243" s="500">
        <f>Sheet1!CY246</f>
        <v>1155.25</v>
      </c>
      <c r="P243" s="514">
        <f>Calculation!ET246</f>
        <v>1133.3</v>
      </c>
      <c r="Q243" s="498">
        <f>Calculation!DF246</f>
        <v>37963.25000009287</v>
      </c>
      <c r="R243" s="500">
        <f t="shared" si="53"/>
        <v>36743.25000009287</v>
      </c>
      <c r="S243" s="498">
        <f t="shared" si="60"/>
        <v>-168.13000000022294</v>
      </c>
      <c r="T243" s="498">
        <f ca="1">IF(A243&gt;$A$1,#N/A,VLOOKUP(A243,Calculation!$B$8:$IV$881,30,FALSE))</f>
        <v>8713.797862821717</v>
      </c>
      <c r="U243" s="498">
        <f t="shared" si="54"/>
        <v>30.939999999999998</v>
      </c>
      <c r="V243" s="498">
        <f>Calculation!AP246</f>
        <v>0</v>
      </c>
      <c r="W243" s="498">
        <f t="shared" ca="1" si="72"/>
        <v>8785</v>
      </c>
      <c r="X243" s="498">
        <v>0</v>
      </c>
      <c r="Y243" s="744">
        <f t="shared" ca="1" si="52"/>
        <v>2500</v>
      </c>
      <c r="Z243" s="748">
        <f t="shared" ca="1" si="55"/>
        <v>6285</v>
      </c>
      <c r="AA243" s="498">
        <f t="shared" ca="1" si="66"/>
        <v>20464.452137271153</v>
      </c>
      <c r="AB243" s="501">
        <f t="shared" ca="1" si="61"/>
        <v>19244.452137271153</v>
      </c>
      <c r="AC243" s="498">
        <f ca="1">IF(A243&gt;$A$1,#N/A,VLOOKUP(A243,Calculation!$B$8:$IV$881,155,FALSE))</f>
        <v>19946.100000045746</v>
      </c>
      <c r="AD243" s="498">
        <f t="shared" ca="1" si="62"/>
        <v>-124.20000000014261</v>
      </c>
      <c r="AE243" s="498"/>
      <c r="AF243" s="501">
        <f>Calculation!G246</f>
        <v>195.13098840129959</v>
      </c>
      <c r="AG243" s="498" t="str">
        <f t="shared" si="63"/>
        <v>Yes</v>
      </c>
      <c r="AH243" s="498" t="str">
        <f t="shared" si="64"/>
        <v>No</v>
      </c>
      <c r="AK243" s="738">
        <v>35638.100000086684</v>
      </c>
      <c r="AL243" s="738">
        <v>26204.510000064911</v>
      </c>
      <c r="AM243" s="740">
        <v>41261.640000099957</v>
      </c>
      <c r="AR243" s="552">
        <f t="shared" ca="1" si="67"/>
        <v>40929.507899188975</v>
      </c>
      <c r="AS243" s="524"/>
      <c r="AT243" s="581">
        <f>Calculation!AR246*3.068</f>
        <v>4166.6666666666661</v>
      </c>
      <c r="AU243" s="575">
        <f ca="1">Calculation!DA246</f>
        <v>1161.2737865912791</v>
      </c>
      <c r="AV243" s="575">
        <f>Calculation!CF246*3.068</f>
        <v>1604.3505492463112</v>
      </c>
      <c r="AW243" s="582">
        <f>Calculation!BK246*3.068</f>
        <v>1781.50686031746</v>
      </c>
      <c r="AX243" s="813">
        <f t="shared" si="68"/>
        <v>40772</v>
      </c>
      <c r="AY243" s="561"/>
      <c r="AZ243" s="534">
        <f t="shared" ca="1" si="69"/>
        <v>40808.39708986388</v>
      </c>
      <c r="BA243" s="561"/>
      <c r="BB243" s="826">
        <f t="shared" si="70"/>
        <v>40878.78670545129</v>
      </c>
      <c r="BC243" s="561"/>
      <c r="BD243" s="844">
        <f t="shared" si="71"/>
        <v>41065.336841642347</v>
      </c>
      <c r="BE243" s="553"/>
    </row>
    <row r="244" spans="1:57" ht="13.5" thickBot="1">
      <c r="A244" s="513">
        <v>40776</v>
      </c>
      <c r="B244" s="498">
        <f t="shared" si="59"/>
        <v>126.54459999998198</v>
      </c>
      <c r="C244" s="498">
        <f>Calculation!AA247</f>
        <v>0</v>
      </c>
      <c r="D244" s="498">
        <f>Calculation!Y247</f>
        <v>31.35164111553836</v>
      </c>
      <c r="E244" s="498">
        <f>Calculation!U247</f>
        <v>71.842679999981087</v>
      </c>
      <c r="F244" s="498">
        <f>Calculation!V247</f>
        <v>54.701920000000896</v>
      </c>
      <c r="G244" s="498">
        <f>Calculation!W247</f>
        <v>0</v>
      </c>
      <c r="H244" s="500">
        <f>Sheet1!H247</f>
        <v>0.92</v>
      </c>
      <c r="I244" s="501">
        <f>Sheet1!CW247</f>
        <v>309.61458333333331</v>
      </c>
      <c r="J244" s="501">
        <f>Sheet1!CX247</f>
        <v>166.59375</v>
      </c>
      <c r="K244" s="501">
        <f>Sheet1!CV247</f>
        <v>280</v>
      </c>
      <c r="L244" s="501">
        <f>Calculation!F247</f>
        <v>250</v>
      </c>
      <c r="M244" s="501">
        <f>Calculation!E247</f>
        <v>400</v>
      </c>
      <c r="N244" s="501">
        <f>Calculation!D247</f>
        <v>200</v>
      </c>
      <c r="O244" s="500">
        <f>Sheet1!CY247</f>
        <v>1155.07</v>
      </c>
      <c r="P244" s="514">
        <f>Calculation!ET247</f>
        <v>1133.0999999999999</v>
      </c>
      <c r="Q244" s="498">
        <f>Calculation!DF247</f>
        <v>37785.230000092648</v>
      </c>
      <c r="R244" s="500">
        <f t="shared" si="53"/>
        <v>36565.230000092648</v>
      </c>
      <c r="S244" s="498">
        <f t="shared" si="60"/>
        <v>-178.02000000022235</v>
      </c>
      <c r="T244" s="498">
        <f ca="1">IF(A244&gt;$A$1,#N/A,VLOOKUP(A244,Calculation!$B$8:$IV$881,30,FALSE))</f>
        <v>8651.6214989287164</v>
      </c>
      <c r="U244" s="498">
        <f t="shared" si="54"/>
        <v>31.35164111553836</v>
      </c>
      <c r="V244" s="498">
        <f>Calculation!AP247</f>
        <v>0</v>
      </c>
      <c r="W244" s="498">
        <f t="shared" ca="1" si="72"/>
        <v>8785</v>
      </c>
      <c r="X244" s="498">
        <v>0</v>
      </c>
      <c r="Y244" s="744">
        <f t="shared" ca="1" si="52"/>
        <v>2500</v>
      </c>
      <c r="Z244" s="748">
        <f t="shared" ca="1" si="55"/>
        <v>6285</v>
      </c>
      <c r="AA244" s="498">
        <f t="shared" ca="1" si="66"/>
        <v>20348.60850116393</v>
      </c>
      <c r="AB244" s="501">
        <f t="shared" ca="1" si="61"/>
        <v>19128.60850116393</v>
      </c>
      <c r="AC244" s="498">
        <f ca="1">IF(A244&gt;$A$1,#N/A,VLOOKUP(A244,Calculation!$B$8:$IV$881,155,FALSE))</f>
        <v>19823.600000044495</v>
      </c>
      <c r="AD244" s="498">
        <f t="shared" ca="1" si="62"/>
        <v>-122.50000000125146</v>
      </c>
      <c r="AE244" s="498"/>
      <c r="AF244" s="501">
        <f>Calculation!G247</f>
        <v>190.22692889550058</v>
      </c>
      <c r="AG244" s="498" t="str">
        <f t="shared" si="63"/>
        <v>Yes</v>
      </c>
      <c r="AH244" s="498" t="str">
        <f t="shared" si="64"/>
        <v>No</v>
      </c>
      <c r="AK244" s="738">
        <v>35818.440000088274</v>
      </c>
      <c r="AL244" s="738">
        <v>25940.020000063178</v>
      </c>
      <c r="AM244" s="740">
        <v>40983.000000099724</v>
      </c>
      <c r="AR244" s="552">
        <f t="shared" ca="1" si="67"/>
        <v>40924.988598154574</v>
      </c>
      <c r="AS244" s="524"/>
      <c r="AT244" s="581">
        <f>Calculation!AR247*3.068</f>
        <v>4166.6666666666661</v>
      </c>
      <c r="AU244" s="575">
        <f ca="1">Calculation!DA247</f>
        <v>1124.0420612412499</v>
      </c>
      <c r="AV244" s="575">
        <f>Calculation!CF247*3.068</f>
        <v>1585.6111982616781</v>
      </c>
      <c r="AW244" s="582">
        <f>Calculation!BK247*3.068</f>
        <v>1775.3015727591219</v>
      </c>
      <c r="AX244" s="813">
        <f t="shared" si="68"/>
        <v>40773</v>
      </c>
      <c r="AY244" s="561"/>
      <c r="AZ244" s="534">
        <f t="shared" ca="1" si="69"/>
        <v>40807.719668256825</v>
      </c>
      <c r="BA244" s="561"/>
      <c r="BB244" s="826">
        <f t="shared" si="70"/>
        <v>40872.379326496775</v>
      </c>
      <c r="BC244" s="561"/>
      <c r="BD244" s="844">
        <f t="shared" si="71"/>
        <v>41064.981262220012</v>
      </c>
      <c r="BE244" s="553"/>
    </row>
    <row r="245" spans="1:57" ht="13.5" thickBot="1">
      <c r="A245" s="513">
        <v>40777</v>
      </c>
      <c r="B245" s="498">
        <f t="shared" si="59"/>
        <v>125.63187000000991</v>
      </c>
      <c r="C245" s="498">
        <f>Calculation!AA248</f>
        <v>0</v>
      </c>
      <c r="D245" s="498">
        <f>Calculation!Y248</f>
        <v>30.166499999999999</v>
      </c>
      <c r="E245" s="498">
        <f>Calculation!U248</f>
        <v>71.873620000009907</v>
      </c>
      <c r="F245" s="498">
        <f>Calculation!V248</f>
        <v>53.758249999999997</v>
      </c>
      <c r="G245" s="498">
        <f>Calculation!W248</f>
        <v>0</v>
      </c>
      <c r="H245" s="500" t="str">
        <f>Sheet1!H248</f>
        <v>os</v>
      </c>
      <c r="I245" s="501">
        <f>Sheet1!CW248</f>
        <v>313.40625</v>
      </c>
      <c r="J245" s="501">
        <f>Sheet1!CX248</f>
        <v>158.26041666666666</v>
      </c>
      <c r="K245" s="501">
        <f>Sheet1!CV248</f>
        <v>279.91666666666669</v>
      </c>
      <c r="L245" s="501">
        <f>Calculation!F248</f>
        <v>250</v>
      </c>
      <c r="M245" s="501">
        <f>Calculation!E248</f>
        <v>400</v>
      </c>
      <c r="N245" s="501">
        <f>Calculation!D248</f>
        <v>200</v>
      </c>
      <c r="O245" s="500">
        <f>Sheet1!CY248</f>
        <v>1154.9000000000001</v>
      </c>
      <c r="P245" s="514">
        <f>Calculation!ET248</f>
        <v>1132.9000000000001</v>
      </c>
      <c r="Q245" s="498">
        <f>Calculation!DF248</f>
        <v>37618.500000091335</v>
      </c>
      <c r="R245" s="500">
        <f t="shared" si="53"/>
        <v>36398.500000091335</v>
      </c>
      <c r="S245" s="498">
        <f t="shared" si="60"/>
        <v>-166.73000000131287</v>
      </c>
      <c r="T245" s="498">
        <f ca="1">IF(A245&gt;$A$1,#N/A,VLOOKUP(A245,Calculation!$B$8:$IV$881,30,FALSE))</f>
        <v>8591.7954989287173</v>
      </c>
      <c r="U245" s="498">
        <f t="shared" si="54"/>
        <v>30.166499999999999</v>
      </c>
      <c r="V245" s="498">
        <f>Calculation!AP248</f>
        <v>0</v>
      </c>
      <c r="W245" s="498">
        <f t="shared" ca="1" si="72"/>
        <v>8785</v>
      </c>
      <c r="X245" s="498">
        <v>0</v>
      </c>
      <c r="Y245" s="744">
        <f t="shared" ca="1" si="52"/>
        <v>2500</v>
      </c>
      <c r="Z245" s="748">
        <f t="shared" ca="1" si="55"/>
        <v>6285</v>
      </c>
      <c r="AA245" s="498">
        <f t="shared" ca="1" si="66"/>
        <v>20241.704501162618</v>
      </c>
      <c r="AB245" s="501">
        <f t="shared" ca="1" si="61"/>
        <v>19021.704501162618</v>
      </c>
      <c r="AC245" s="498">
        <f ca="1">IF(A245&gt;$A$1,#N/A,VLOOKUP(A245,Calculation!$B$8:$IV$881,155,FALSE))</f>
        <v>19702.800000044357</v>
      </c>
      <c r="AD245" s="498">
        <f t="shared" ca="1" si="62"/>
        <v>-120.80000000013752</v>
      </c>
      <c r="AE245" s="498"/>
      <c r="AF245" s="501">
        <f>Calculation!G248</f>
        <v>195.83698940932283</v>
      </c>
      <c r="AG245" s="498" t="str">
        <f t="shared" si="63"/>
        <v>Yes</v>
      </c>
      <c r="AH245" s="498" t="str">
        <f t="shared" si="64"/>
        <v>No</v>
      </c>
      <c r="AK245" s="738">
        <v>35885.710000088278</v>
      </c>
      <c r="AL245" s="738">
        <v>25700.080000063001</v>
      </c>
      <c r="AM245" s="740">
        <v>40704.660000098047</v>
      </c>
      <c r="AR245" s="552">
        <f t="shared" ca="1" si="67"/>
        <v>40921.672890668677</v>
      </c>
      <c r="AS245" s="524"/>
      <c r="AT245" s="581">
        <f>Calculation!AR248*3.068</f>
        <v>4166.6666666666661</v>
      </c>
      <c r="AU245" s="575">
        <f ca="1">Calculation!DA248</f>
        <v>1087.2260612412501</v>
      </c>
      <c r="AV245" s="575">
        <f>Calculation!CF248*3.068</f>
        <v>1568.737198261678</v>
      </c>
      <c r="AW245" s="582">
        <f>Calculation!BK248*3.068</f>
        <v>1769.1655727591219</v>
      </c>
      <c r="AX245" s="813">
        <f t="shared" si="68"/>
        <v>40774</v>
      </c>
      <c r="AY245" s="561"/>
      <c r="AZ245" s="534">
        <f t="shared" ca="1" si="69"/>
        <v>40807.144931247603</v>
      </c>
      <c r="BA245" s="561"/>
      <c r="BB245" s="826">
        <f t="shared" si="70"/>
        <v>40868.498785006937</v>
      </c>
      <c r="BC245" s="561"/>
      <c r="BD245" s="844">
        <f t="shared" si="71"/>
        <v>41064.746638961908</v>
      </c>
      <c r="BE245" s="553"/>
    </row>
    <row r="246" spans="1:57" ht="13.5" thickBot="1">
      <c r="A246" s="513">
        <v>40778</v>
      </c>
      <c r="B246" s="498">
        <f t="shared" si="59"/>
        <v>119.119</v>
      </c>
      <c r="C246" s="498">
        <f>Calculation!AA249</f>
        <v>0</v>
      </c>
      <c r="D246" s="498">
        <f>Calculation!Y249</f>
        <v>30.166499999999999</v>
      </c>
      <c r="E246" s="498">
        <f>Calculation!U249</f>
        <v>71.161999999999992</v>
      </c>
      <c r="F246" s="498">
        <f>Calculation!V249</f>
        <v>47.957000000000001</v>
      </c>
      <c r="G246" s="498">
        <f>Calculation!W249</f>
        <v>0</v>
      </c>
      <c r="H246" s="500" t="str">
        <f>Sheet1!H249</f>
        <v>os</v>
      </c>
      <c r="I246" s="501">
        <f>Sheet1!CW249</f>
        <v>316.60416666666669</v>
      </c>
      <c r="J246" s="501">
        <f>Sheet1!CX249</f>
        <v>166.57291666666666</v>
      </c>
      <c r="K246" s="501">
        <f>Sheet1!CV249</f>
        <v>279.91666666666669</v>
      </c>
      <c r="L246" s="501">
        <f>Calculation!F249</f>
        <v>250</v>
      </c>
      <c r="M246" s="501">
        <f>Calculation!E249</f>
        <v>400</v>
      </c>
      <c r="N246" s="501">
        <f>Calculation!D249</f>
        <v>200</v>
      </c>
      <c r="O246" s="500">
        <f>Sheet1!CY249</f>
        <v>1154.81</v>
      </c>
      <c r="P246" s="514">
        <f>Calculation!ET249</f>
        <v>1132.7</v>
      </c>
      <c r="Q246" s="498">
        <f>Calculation!DF249</f>
        <v>37530.750000091117</v>
      </c>
      <c r="R246" s="500">
        <f t="shared" si="53"/>
        <v>36310.750000091117</v>
      </c>
      <c r="S246" s="498">
        <f t="shared" si="60"/>
        <v>-87.750000000218279</v>
      </c>
      <c r="T246" s="498">
        <f ca="1">IF(A246&gt;$A$1,#N/A,VLOOKUP(A246,Calculation!$B$8:$IV$881,30,FALSE))</f>
        <v>8531.9694989287163</v>
      </c>
      <c r="U246" s="498">
        <f t="shared" si="54"/>
        <v>30.166499999999999</v>
      </c>
      <c r="V246" s="498">
        <f>Calculation!AP249</f>
        <v>0</v>
      </c>
      <c r="W246" s="498">
        <f t="shared" ca="1" si="72"/>
        <v>8785</v>
      </c>
      <c r="X246" s="498">
        <v>0</v>
      </c>
      <c r="Y246" s="744">
        <f ca="1">IF((A246+1)&gt;$A$1,#N/A,0)</f>
        <v>0</v>
      </c>
      <c r="Z246" s="748">
        <f t="shared" ca="1" si="55"/>
        <v>8785</v>
      </c>
      <c r="AA246" s="498">
        <f t="shared" ca="1" si="66"/>
        <v>20213.7805011624</v>
      </c>
      <c r="AB246" s="501">
        <f t="shared" ca="1" si="61"/>
        <v>18993.7805011624</v>
      </c>
      <c r="AC246" s="498">
        <f ca="1">IF(A246&gt;$A$1,#N/A,VLOOKUP(A246,Calculation!$B$8:$IV$881,155,FALSE))</f>
        <v>19582.000000044223</v>
      </c>
      <c r="AD246" s="498">
        <f t="shared" ca="1" si="62"/>
        <v>-120.80000000013388</v>
      </c>
      <c r="AE246" s="498"/>
      <c r="AF246" s="501">
        <f>Calculation!G249</f>
        <v>235.66553202207854</v>
      </c>
      <c r="AG246" s="498" t="str">
        <f t="shared" si="63"/>
        <v>Yes</v>
      </c>
      <c r="AH246" s="498" t="str">
        <f t="shared" si="64"/>
        <v>No</v>
      </c>
      <c r="AK246" s="738">
        <v>35723.240000086902</v>
      </c>
      <c r="AL246" s="738">
        <v>25452.400000062655</v>
      </c>
      <c r="AM246" s="740">
        <v>40440.240000097816</v>
      </c>
      <c r="AR246" s="552">
        <f t="shared" ca="1" si="67"/>
        <v>40919.628288442611</v>
      </c>
      <c r="AS246" s="524"/>
      <c r="AT246" s="581">
        <f>Calculation!AR249*3.068</f>
        <v>4166.6666666666661</v>
      </c>
      <c r="AU246" s="575">
        <f ca="1">Calculation!DA249</f>
        <v>1050.4100612412501</v>
      </c>
      <c r="AV246" s="575">
        <f>Calculation!CF249*3.068</f>
        <v>1551.863198261678</v>
      </c>
      <c r="AW246" s="582">
        <f>Calculation!BK249*3.068</f>
        <v>1763.0295727591219</v>
      </c>
      <c r="AX246" s="813">
        <f t="shared" si="68"/>
        <v>40775</v>
      </c>
      <c r="AY246" s="561"/>
      <c r="AZ246" s="534">
        <f t="shared" ca="1" si="69"/>
        <v>40806.688486008978</v>
      </c>
      <c r="BA246" s="561"/>
      <c r="BB246" s="826">
        <f t="shared" si="70"/>
        <v>40866.828939437284</v>
      </c>
      <c r="BC246" s="561"/>
      <c r="BD246" s="844">
        <f t="shared" si="71"/>
        <v>41064.630616541217</v>
      </c>
      <c r="BE246" s="553"/>
    </row>
    <row r="247" spans="1:57" ht="13.5" thickBot="1">
      <c r="A247" s="513">
        <v>40779</v>
      </c>
      <c r="B247" s="498">
        <f t="shared" si="59"/>
        <v>113.16304999999099</v>
      </c>
      <c r="C247" s="498">
        <f>Calculation!AA250</f>
        <v>0</v>
      </c>
      <c r="D247" s="498">
        <f>Calculation!Y250</f>
        <v>30.166499999999999</v>
      </c>
      <c r="E247" s="498">
        <f>Calculation!U250</f>
        <v>69.460299999990994</v>
      </c>
      <c r="F247" s="498">
        <f>Calculation!V250</f>
        <v>43.702749999999995</v>
      </c>
      <c r="G247" s="498">
        <f>Calculation!W250</f>
        <v>0</v>
      </c>
      <c r="H247" s="500">
        <f>Sheet1!H250</f>
        <v>1.05</v>
      </c>
      <c r="I247" s="501">
        <f>Sheet1!CW250</f>
        <v>318.63541666666669</v>
      </c>
      <c r="J247" s="501">
        <f>Sheet1!CX250</f>
        <v>163.46875</v>
      </c>
      <c r="K247" s="501">
        <f>Sheet1!CV250</f>
        <v>260</v>
      </c>
      <c r="L247" s="501">
        <f>Calculation!F250</f>
        <v>250</v>
      </c>
      <c r="M247" s="501">
        <f>Calculation!E250</f>
        <v>400</v>
      </c>
      <c r="N247" s="501">
        <f>Calculation!D250</f>
        <v>200</v>
      </c>
      <c r="O247" s="500">
        <f>Sheet1!CY250</f>
        <v>1154.6600000000001</v>
      </c>
      <c r="P247" s="514">
        <f>Calculation!ET250</f>
        <v>1132.5</v>
      </c>
      <c r="Q247" s="498">
        <f>Calculation!DF250</f>
        <v>37384.500000091117</v>
      </c>
      <c r="R247" s="500">
        <f t="shared" si="53"/>
        <v>36164.500000091117</v>
      </c>
      <c r="S247" s="498">
        <f t="shared" si="60"/>
        <v>-146.25</v>
      </c>
      <c r="T247" s="498">
        <f ca="1">IF(A247&gt;$A$1,#N/A,VLOOKUP(A247,Calculation!$B$8:$IV$881,30,FALSE))</f>
        <v>8472.1434989287172</v>
      </c>
      <c r="U247" s="498">
        <f t="shared" si="54"/>
        <v>30.166499999999999</v>
      </c>
      <c r="V247" s="498">
        <f>Calculation!AP250</f>
        <v>0</v>
      </c>
      <c r="W247" s="498">
        <f t="shared" ca="1" si="72"/>
        <v>8785</v>
      </c>
      <c r="X247" s="498">
        <v>0</v>
      </c>
      <c r="Y247" s="744">
        <f t="shared" ref="Y247:Y310" ca="1" si="73">IF((A247+1)&gt;$A$1,#N/A,0)</f>
        <v>0</v>
      </c>
      <c r="Z247" s="748">
        <f t="shared" ca="1" si="55"/>
        <v>8785</v>
      </c>
      <c r="AA247" s="498">
        <f t="shared" ca="1" si="66"/>
        <v>20127.356501162401</v>
      </c>
      <c r="AB247" s="501">
        <f t="shared" ca="1" si="61"/>
        <v>18907.356501162401</v>
      </c>
      <c r="AC247" s="498">
        <f ca="1">IF(A247&gt;$A$1,#N/A,VLOOKUP(A247,Calculation!$B$8:$IV$881,155,FALSE))</f>
        <v>19461.200000044086</v>
      </c>
      <c r="AD247" s="498">
        <f t="shared" ca="1" si="62"/>
        <v>-120.80000000013752</v>
      </c>
      <c r="AE247" s="498"/>
      <c r="AF247" s="501">
        <f>Calculation!G250</f>
        <v>186.2481089258699</v>
      </c>
      <c r="AG247" s="498" t="str">
        <f t="shared" si="63"/>
        <v>Yes</v>
      </c>
      <c r="AH247" s="498" t="str">
        <f t="shared" si="64"/>
        <v>No</v>
      </c>
      <c r="AK247" s="738">
        <v>35486.740000086684</v>
      </c>
      <c r="AL247" s="738">
        <v>25194.280000060782</v>
      </c>
      <c r="AM247" s="740">
        <v>40175.820000097585</v>
      </c>
      <c r="AR247" s="552">
        <f t="shared" ca="1" si="67"/>
        <v>40918.775703460844</v>
      </c>
      <c r="AS247" s="524"/>
      <c r="AT247" s="581">
        <f>Calculation!AR250*3.068</f>
        <v>4166.6666666666661</v>
      </c>
      <c r="AU247" s="575">
        <f ca="1">Calculation!DA250</f>
        <v>1013.5940612412501</v>
      </c>
      <c r="AV247" s="575">
        <f>Calculation!CF250*3.068</f>
        <v>1534.989198261678</v>
      </c>
      <c r="AW247" s="582">
        <f>Calculation!BK250*3.068</f>
        <v>1756.893572759122</v>
      </c>
      <c r="AX247" s="813">
        <f t="shared" si="68"/>
        <v>40776</v>
      </c>
      <c r="AY247" s="561"/>
      <c r="AZ247" s="534">
        <f t="shared" ca="1" si="69"/>
        <v>40806.462416658462</v>
      </c>
      <c r="BA247" s="561"/>
      <c r="BB247" s="826">
        <f t="shared" si="70"/>
        <v>40866.397729520409</v>
      </c>
      <c r="BC247" s="561"/>
      <c r="BD247" s="844">
        <f t="shared" si="71"/>
        <v>41064.631423104591</v>
      </c>
      <c r="BE247" s="553"/>
    </row>
    <row r="248" spans="1:57" ht="13.5" thickBot="1">
      <c r="A248" s="513">
        <v>40780</v>
      </c>
      <c r="B248" s="498">
        <f t="shared" si="59"/>
        <v>120.9444600000117</v>
      </c>
      <c r="C248" s="498">
        <f>Calculation!AA251</f>
        <v>0</v>
      </c>
      <c r="D248" s="498">
        <f>Calculation!Y251</f>
        <v>30.166499999999999</v>
      </c>
      <c r="E248" s="498">
        <f>Calculation!U251</f>
        <v>72.941050000013504</v>
      </c>
      <c r="F248" s="498">
        <f>Calculation!V251</f>
        <v>48.003409999998198</v>
      </c>
      <c r="G248" s="498">
        <f>Calculation!W251</f>
        <v>0</v>
      </c>
      <c r="H248" s="500">
        <f>Sheet1!H251</f>
        <v>1.26</v>
      </c>
      <c r="I248" s="501">
        <f>Sheet1!CW251</f>
        <v>299.375</v>
      </c>
      <c r="J248" s="501">
        <f>Sheet1!CX251</f>
        <v>153.26041666666666</v>
      </c>
      <c r="K248" s="501">
        <f>Sheet1!CV251</f>
        <v>260</v>
      </c>
      <c r="L248" s="501">
        <f>Calculation!F251</f>
        <v>250</v>
      </c>
      <c r="M248" s="501">
        <f>Calculation!E251</f>
        <v>400</v>
      </c>
      <c r="N248" s="501">
        <f>Calculation!D251</f>
        <v>200</v>
      </c>
      <c r="O248" s="500">
        <f>Sheet1!CY251</f>
        <v>1154.5</v>
      </c>
      <c r="P248" s="514">
        <f>Calculation!ET251</f>
        <v>1132.3</v>
      </c>
      <c r="Q248" s="498">
        <f>Calculation!DF251</f>
        <v>37228.500000090891</v>
      </c>
      <c r="R248" s="500">
        <f t="shared" si="53"/>
        <v>36008.500000090891</v>
      </c>
      <c r="S248" s="498">
        <f t="shared" si="60"/>
        <v>-156.00000000022555</v>
      </c>
      <c r="T248" s="498">
        <f ca="1">IF(A248&gt;$A$1,#N/A,VLOOKUP(A248,Calculation!$B$8:$IV$881,30,FALSE))</f>
        <v>8412.3174989287163</v>
      </c>
      <c r="U248" s="498">
        <f t="shared" si="54"/>
        <v>30.166499999999999</v>
      </c>
      <c r="V248" s="498">
        <f>Calculation!AP251</f>
        <v>0</v>
      </c>
      <c r="W248" s="498">
        <f t="shared" ca="1" si="72"/>
        <v>8785</v>
      </c>
      <c r="X248" s="498">
        <v>0</v>
      </c>
      <c r="Y248" s="744">
        <f t="shared" ca="1" si="73"/>
        <v>0</v>
      </c>
      <c r="Z248" s="748">
        <f t="shared" ca="1" si="55"/>
        <v>8785</v>
      </c>
      <c r="AA248" s="498">
        <f t="shared" ca="1" si="66"/>
        <v>20031.182501162177</v>
      </c>
      <c r="AB248" s="501">
        <f t="shared" ca="1" si="61"/>
        <v>18811.182501162177</v>
      </c>
      <c r="AC248" s="498">
        <f ca="1">IF(A248&gt;$A$1,#N/A,VLOOKUP(A248,Calculation!$B$8:$IV$881,155,FALSE))</f>
        <v>19340.400000043948</v>
      </c>
      <c r="AD248" s="498">
        <f t="shared" ca="1" si="62"/>
        <v>-120.80000000013752</v>
      </c>
      <c r="AE248" s="498"/>
      <c r="AF248" s="501">
        <f>Calculation!G251</f>
        <v>181.33131618748081</v>
      </c>
      <c r="AG248" s="498" t="str">
        <f t="shared" si="63"/>
        <v>Yes</v>
      </c>
      <c r="AH248" s="498" t="str">
        <f t="shared" si="64"/>
        <v>No</v>
      </c>
      <c r="AK248" s="738">
        <v>35288.080000086469</v>
      </c>
      <c r="AL248" s="738">
        <v>24930.730000060608</v>
      </c>
      <c r="AM248" s="740">
        <v>39880.890000097352</v>
      </c>
      <c r="AR248" s="552">
        <f t="shared" ca="1" si="67"/>
        <v>40919.231647203</v>
      </c>
      <c r="AS248" s="524"/>
      <c r="AT248" s="581">
        <f>Calculation!AR251*3.068</f>
        <v>4166.6666666666661</v>
      </c>
      <c r="AU248" s="575">
        <f ca="1">Calculation!DA251</f>
        <v>976.77806124125004</v>
      </c>
      <c r="AV248" s="575">
        <f>Calculation!CF251*3.068</f>
        <v>1518.115198261678</v>
      </c>
      <c r="AW248" s="582">
        <f>Calculation!BK251*3.068</f>
        <v>1750.757572759122</v>
      </c>
      <c r="AX248" s="813">
        <f t="shared" si="68"/>
        <v>40777</v>
      </c>
      <c r="AY248" s="561"/>
      <c r="AZ248" s="534">
        <f t="shared" ca="1" si="69"/>
        <v>40806.47506701183</v>
      </c>
      <c r="BA248" s="561"/>
      <c r="BB248" s="826">
        <f t="shared" si="70"/>
        <v>40867.304433257479</v>
      </c>
      <c r="BC248" s="561"/>
      <c r="BD248" s="844">
        <f t="shared" si="71"/>
        <v>41064.747853668057</v>
      </c>
      <c r="BE248" s="553"/>
    </row>
    <row r="249" spans="1:57" ht="13.5" thickBot="1">
      <c r="A249" s="513">
        <v>40781</v>
      </c>
      <c r="B249" s="498">
        <f t="shared" si="59"/>
        <v>123.63624000000856</v>
      </c>
      <c r="C249" s="498">
        <f>Calculation!AA252</f>
        <v>0</v>
      </c>
      <c r="D249" s="498">
        <f>Calculation!Y252</f>
        <v>29.392999999999997</v>
      </c>
      <c r="E249" s="498">
        <f>Calculation!U252</f>
        <v>72.786350000004504</v>
      </c>
      <c r="F249" s="498">
        <f>Calculation!V252</f>
        <v>50.849890000004052</v>
      </c>
      <c r="G249" s="498">
        <f>Calculation!W252</f>
        <v>0</v>
      </c>
      <c r="H249" s="500">
        <f>Sheet1!H252</f>
        <v>0.87</v>
      </c>
      <c r="I249" s="501">
        <f>Sheet1!CW252</f>
        <v>291.60416666666669</v>
      </c>
      <c r="J249" s="501">
        <f>Sheet1!CX252</f>
        <v>146.22916666666666</v>
      </c>
      <c r="K249" s="501">
        <f>Sheet1!CV252</f>
        <v>255.41666666666666</v>
      </c>
      <c r="L249" s="501">
        <f>Calculation!F252</f>
        <v>250</v>
      </c>
      <c r="M249" s="501">
        <f>Calculation!E252</f>
        <v>400</v>
      </c>
      <c r="N249" s="501">
        <f>Calculation!D252</f>
        <v>200</v>
      </c>
      <c r="O249" s="500">
        <f>Sheet1!CY252</f>
        <v>1154.32</v>
      </c>
      <c r="P249" s="514">
        <f>Calculation!ET252</f>
        <v>1132.0999999999999</v>
      </c>
      <c r="Q249" s="498">
        <f>Calculation!DF252</f>
        <v>37053.000000090673</v>
      </c>
      <c r="R249" s="500">
        <f t="shared" si="53"/>
        <v>35833.000000090673</v>
      </c>
      <c r="S249" s="498">
        <f t="shared" si="60"/>
        <v>-175.50000000021828</v>
      </c>
      <c r="T249" s="498">
        <f ca="1">IF(A249&gt;$A$1,#N/A,VLOOKUP(A249,Calculation!$B$8:$IV$881,30,FALSE))</f>
        <v>8354.0254989287168</v>
      </c>
      <c r="U249" s="498">
        <f t="shared" si="54"/>
        <v>29.392999999999997</v>
      </c>
      <c r="V249" s="498">
        <f>Calculation!AP252</f>
        <v>0</v>
      </c>
      <c r="W249" s="498">
        <f t="shared" ca="1" si="72"/>
        <v>8785</v>
      </c>
      <c r="X249" s="498">
        <v>0</v>
      </c>
      <c r="Y249" s="744">
        <f t="shared" ca="1" si="73"/>
        <v>0</v>
      </c>
      <c r="Z249" s="748">
        <f t="shared" ca="1" si="55"/>
        <v>8785</v>
      </c>
      <c r="AA249" s="498">
        <f t="shared" ca="1" si="66"/>
        <v>19913.974501161956</v>
      </c>
      <c r="AB249" s="501">
        <f t="shared" ca="1" si="61"/>
        <v>18693.974501161956</v>
      </c>
      <c r="AC249" s="498">
        <f ca="1">IF(A249&gt;$A$1,#N/A,VLOOKUP(A249,Calculation!$B$8:$IV$881,155,FALSE))</f>
        <v>19221.500000042564</v>
      </c>
      <c r="AD249" s="498">
        <f t="shared" ca="1" si="62"/>
        <v>-118.90000000138389</v>
      </c>
      <c r="AE249" s="498"/>
      <c r="AF249" s="501">
        <f>Calculation!G252</f>
        <v>166.91439737760047</v>
      </c>
      <c r="AG249" s="498" t="str">
        <f t="shared" si="63"/>
        <v>Yes</v>
      </c>
      <c r="AH249" s="498" t="str">
        <f t="shared" si="64"/>
        <v>No</v>
      </c>
      <c r="AK249" s="738">
        <v>35155.640000086256</v>
      </c>
      <c r="AL249" s="738">
        <v>24682.240000060265</v>
      </c>
      <c r="AM249" s="740">
        <v>39537.490000095553</v>
      </c>
      <c r="AR249" s="552">
        <f t="shared" ca="1" si="67"/>
        <v>40920.40632730737</v>
      </c>
      <c r="AS249" s="524"/>
      <c r="AT249" s="581">
        <f>Calculation!AR252*3.068</f>
        <v>4166.6666666666661</v>
      </c>
      <c r="AU249" s="575">
        <f ca="1">Calculation!DA252</f>
        <v>939.96206124125001</v>
      </c>
      <c r="AV249" s="575">
        <f>Calculation!CF252*3.068</f>
        <v>1502.775198261678</v>
      </c>
      <c r="AW249" s="582">
        <f>Calculation!BK252*3.068</f>
        <v>1744.621572759122</v>
      </c>
      <c r="AX249" s="813">
        <f t="shared" si="68"/>
        <v>40778</v>
      </c>
      <c r="AY249" s="561"/>
      <c r="AZ249" s="534">
        <f t="shared" ca="1" si="69"/>
        <v>40806.498411499699</v>
      </c>
      <c r="BA249" s="561"/>
      <c r="BB249" s="826">
        <f t="shared" si="70"/>
        <v>40869.755820786959</v>
      </c>
      <c r="BC249" s="561"/>
      <c r="BD249" s="844">
        <f t="shared" si="71"/>
        <v>41064.97926040586</v>
      </c>
      <c r="BE249" s="553"/>
    </row>
    <row r="250" spans="1:57" ht="13.5" thickBot="1">
      <c r="A250" s="513">
        <v>40782</v>
      </c>
      <c r="B250" s="498">
        <f t="shared" si="59"/>
        <v>124.92024999998873</v>
      </c>
      <c r="C250" s="498">
        <f>Calculation!AA253</f>
        <v>0</v>
      </c>
      <c r="D250" s="498">
        <f>Calculation!Y253</f>
        <v>30.166499999999999</v>
      </c>
      <c r="E250" s="498">
        <f>Calculation!U253</f>
        <v>74.101299999990985</v>
      </c>
      <c r="F250" s="498">
        <f>Calculation!V253</f>
        <v>50.818949999997749</v>
      </c>
      <c r="G250" s="498">
        <f>Calculation!W253</f>
        <v>0</v>
      </c>
      <c r="H250" s="500" t="str">
        <f>Sheet1!H253</f>
        <v>os</v>
      </c>
      <c r="I250" s="501">
        <f>Sheet1!CW253</f>
        <v>281.70833333333331</v>
      </c>
      <c r="J250" s="501">
        <f>Sheet1!CX253</f>
        <v>139.69791666666666</v>
      </c>
      <c r="K250" s="501">
        <f>Sheet1!CV253</f>
        <v>250</v>
      </c>
      <c r="L250" s="501">
        <f>Calculation!F253</f>
        <v>250</v>
      </c>
      <c r="M250" s="501">
        <f>Calculation!E253</f>
        <v>400</v>
      </c>
      <c r="N250" s="501">
        <f>Calculation!D253</f>
        <v>200</v>
      </c>
      <c r="O250" s="500">
        <f>Sheet1!CY253</f>
        <v>1154.1600000000001</v>
      </c>
      <c r="P250" s="514">
        <f>Calculation!ET253</f>
        <v>1131.9000000000001</v>
      </c>
      <c r="Q250" s="498">
        <f>Calculation!DF253</f>
        <v>36897.000000090673</v>
      </c>
      <c r="R250" s="500">
        <f t="shared" si="53"/>
        <v>35677.000000090673</v>
      </c>
      <c r="S250" s="498">
        <f t="shared" si="60"/>
        <v>-156</v>
      </c>
      <c r="T250" s="498">
        <f ca="1">IF(A250&gt;$A$1,#N/A,VLOOKUP(A250,Calculation!$B$8:$IV$881,30,FALSE))</f>
        <v>8294.1994989287159</v>
      </c>
      <c r="U250" s="498">
        <f t="shared" si="54"/>
        <v>30.166499999999999</v>
      </c>
      <c r="V250" s="498">
        <f>Calculation!AP253</f>
        <v>0</v>
      </c>
      <c r="W250" s="498">
        <f t="shared" ca="1" si="72"/>
        <v>8785</v>
      </c>
      <c r="X250" s="498">
        <v>0</v>
      </c>
      <c r="Y250" s="744">
        <f t="shared" ca="1" si="73"/>
        <v>0</v>
      </c>
      <c r="Z250" s="748">
        <f t="shared" ca="1" si="55"/>
        <v>8785</v>
      </c>
      <c r="AA250" s="498">
        <f t="shared" ca="1" si="66"/>
        <v>19817.800501161957</v>
      </c>
      <c r="AB250" s="501">
        <f t="shared" ca="1" si="61"/>
        <v>18597.800501161957</v>
      </c>
      <c r="AC250" s="498">
        <f ca="1">IF(A250&gt;$A$1,#N/A,VLOOKUP(A250,Calculation!$B$8:$IV$881,155,FALSE))</f>
        <v>19163.00000004243</v>
      </c>
      <c r="AD250" s="498">
        <f t="shared" ca="1" si="62"/>
        <v>-58.500000000134605</v>
      </c>
      <c r="AE250" s="498"/>
      <c r="AF250" s="501">
        <f>Calculation!G253</f>
        <v>171.33131618759455</v>
      </c>
      <c r="AG250" s="498" t="str">
        <f t="shared" si="63"/>
        <v>Yes</v>
      </c>
      <c r="AH250" s="498" t="str">
        <f t="shared" si="64"/>
        <v>No</v>
      </c>
      <c r="AK250" s="738">
        <v>35089.420000086255</v>
      </c>
      <c r="AL250" s="738">
        <v>24423.820000058578</v>
      </c>
      <c r="AM250" s="740">
        <v>39246.620000095325</v>
      </c>
      <c r="AR250" s="552">
        <f t="shared" ca="1" si="67"/>
        <v>40921.270017204646</v>
      </c>
      <c r="AS250" s="524"/>
      <c r="AT250" s="581">
        <f>Calculation!AR253*3.068</f>
        <v>4166.6666666666661</v>
      </c>
      <c r="AU250" s="575">
        <f ca="1">Calculation!DA253</f>
        <v>903.14606124124998</v>
      </c>
      <c r="AV250" s="575">
        <f>Calculation!CF253*3.068</f>
        <v>1485.901198261678</v>
      </c>
      <c r="AW250" s="582">
        <f>Calculation!BK253*3.068</f>
        <v>1738.4855727591219</v>
      </c>
      <c r="AX250" s="813">
        <f t="shared" si="68"/>
        <v>40779</v>
      </c>
      <c r="AY250" s="561"/>
      <c r="AZ250" s="534">
        <f t="shared" ca="1" si="69"/>
        <v>40806.531346730801</v>
      </c>
      <c r="BA250" s="561"/>
      <c r="BB250" s="826">
        <f t="shared" si="70"/>
        <v>40871.480123914655</v>
      </c>
      <c r="BC250" s="561"/>
      <c r="BD250" s="844">
        <f t="shared" si="71"/>
        <v>41065.325549667396</v>
      </c>
      <c r="BE250" s="553"/>
    </row>
    <row r="251" spans="1:57" ht="13.5" thickBot="1">
      <c r="A251" s="513">
        <v>40783</v>
      </c>
      <c r="B251" s="498">
        <f t="shared" si="59"/>
        <v>123.75999999999999</v>
      </c>
      <c r="C251" s="498">
        <f>Calculation!AA254</f>
        <v>0</v>
      </c>
      <c r="D251" s="498">
        <f>Calculation!Y254</f>
        <v>30.226918710263398</v>
      </c>
      <c r="E251" s="498">
        <f>Calculation!U254</f>
        <v>72.709000000000003</v>
      </c>
      <c r="F251" s="498">
        <f>Calculation!V254</f>
        <v>51.050999999999995</v>
      </c>
      <c r="G251" s="498">
        <f>Calculation!W254</f>
        <v>0</v>
      </c>
      <c r="H251" s="500" t="str">
        <f>Sheet1!H254</f>
        <v>os</v>
      </c>
      <c r="I251" s="501">
        <f>Sheet1!CW254</f>
        <v>273.5</v>
      </c>
      <c r="J251" s="501">
        <f>Sheet1!CX254</f>
        <v>139.52083333333334</v>
      </c>
      <c r="K251" s="501">
        <f>Sheet1!CV254</f>
        <v>250</v>
      </c>
      <c r="L251" s="501">
        <f>Calculation!F254</f>
        <v>250</v>
      </c>
      <c r="M251" s="501">
        <f>Calculation!E254</f>
        <v>400</v>
      </c>
      <c r="N251" s="501">
        <f>Calculation!D254</f>
        <v>200</v>
      </c>
      <c r="O251" s="500">
        <f>Sheet1!CY254</f>
        <v>1153.99</v>
      </c>
      <c r="P251" s="514">
        <f>Calculation!ET254</f>
        <v>1131.8</v>
      </c>
      <c r="Q251" s="498">
        <f>Calculation!DF254</f>
        <v>36731.390000089152</v>
      </c>
      <c r="R251" s="500">
        <f t="shared" si="53"/>
        <v>35511.390000089152</v>
      </c>
      <c r="S251" s="498">
        <f t="shared" si="60"/>
        <v>-165.61000000152126</v>
      </c>
      <c r="T251" s="498">
        <f ca="1">IF(A251&gt;$A$1,#N/A,VLOOKUP(A251,Calculation!$B$8:$IV$881,30,FALSE))</f>
        <v>8234.2536769486978</v>
      </c>
      <c r="U251" s="498">
        <f t="shared" si="54"/>
        <v>30.226918710263398</v>
      </c>
      <c r="V251" s="498">
        <f>Calculation!AP254</f>
        <v>0</v>
      </c>
      <c r="W251" s="498">
        <f ca="1">IF(A251&gt;=$A$1,#N/A,W250-X251*1.983)</f>
        <v>8785</v>
      </c>
      <c r="X251" s="498">
        <v>0</v>
      </c>
      <c r="Y251" s="744">
        <f t="shared" ca="1" si="73"/>
        <v>0</v>
      </c>
      <c r="Z251" s="748">
        <f t="shared" ca="1" si="55"/>
        <v>8785</v>
      </c>
      <c r="AA251" s="498">
        <f t="shared" ca="1" si="66"/>
        <v>19712.136323140454</v>
      </c>
      <c r="AB251" s="501">
        <f t="shared" ca="1" si="61"/>
        <v>18492.136323140454</v>
      </c>
      <c r="AC251" s="498">
        <f ca="1">IF(A251&gt;$A$1,#N/A,VLOOKUP(A251,Calculation!$B$8:$IV$881,155,FALSE))</f>
        <v>19046.000000042299</v>
      </c>
      <c r="AD251" s="498">
        <f t="shared" ca="1" si="62"/>
        <v>-117.00000000013097</v>
      </c>
      <c r="AE251" s="498"/>
      <c r="AF251" s="501">
        <f>Calculation!G254</f>
        <v>166.48512354940937</v>
      </c>
      <c r="AG251" s="498" t="str">
        <f t="shared" si="63"/>
        <v>Yes</v>
      </c>
      <c r="AH251" s="498" t="str">
        <f t="shared" si="64"/>
        <v>No</v>
      </c>
      <c r="AK251" s="738">
        <v>35165.100000086255</v>
      </c>
      <c r="AL251" s="738">
        <v>24174.26000005841</v>
      </c>
      <c r="AM251" s="740">
        <v>38945.720000095098</v>
      </c>
      <c r="AR251" s="552">
        <f t="shared" ca="1" si="67"/>
        <v>40921.368708942289</v>
      </c>
      <c r="AS251" s="524"/>
      <c r="AT251" s="581">
        <f>Calculation!AR254*3.068</f>
        <v>4166.6666666666661</v>
      </c>
      <c r="AU251" s="575">
        <f ca="1">Calculation!DA254</f>
        <v>866.21023926123178</v>
      </c>
      <c r="AV251" s="575">
        <f>Calculation!CF254*3.068</f>
        <v>1469.027198261678</v>
      </c>
      <c r="AW251" s="582">
        <f>Calculation!BK254*3.068</f>
        <v>1732.3495727591219</v>
      </c>
      <c r="AX251" s="813">
        <f t="shared" si="68"/>
        <v>40780</v>
      </c>
      <c r="AY251" s="561"/>
      <c r="AZ251" s="534">
        <f t="shared" ca="1" si="69"/>
        <v>40806.521628082926</v>
      </c>
      <c r="BA251" s="561"/>
      <c r="BB251" s="826">
        <f t="shared" si="70"/>
        <v>40871.782810500008</v>
      </c>
      <c r="BC251" s="561"/>
      <c r="BD251" s="844">
        <f t="shared" si="71"/>
        <v>41065.325549667396</v>
      </c>
      <c r="BE251" s="553"/>
    </row>
    <row r="252" spans="1:57" ht="13.5" thickBot="1">
      <c r="A252" s="513">
        <v>40784</v>
      </c>
      <c r="B252" s="498">
        <f t="shared" si="59"/>
        <v>123.60529999999099</v>
      </c>
      <c r="C252" s="498">
        <f>Calculation!AA255</f>
        <v>0</v>
      </c>
      <c r="D252" s="498">
        <f>Calculation!Y255</f>
        <v>29.175850666667127</v>
      </c>
      <c r="E252" s="498">
        <f>Calculation!U255</f>
        <v>72.384129999990094</v>
      </c>
      <c r="F252" s="498">
        <f>Calculation!V255</f>
        <v>51.221170000000896</v>
      </c>
      <c r="G252" s="498">
        <f>Calculation!W255</f>
        <v>0</v>
      </c>
      <c r="H252" s="500">
        <f>Sheet1!H255</f>
        <v>1.7</v>
      </c>
      <c r="I252" s="501">
        <f>Sheet1!CW255</f>
        <v>276.33333333333331</v>
      </c>
      <c r="J252" s="501">
        <f>Sheet1!CX255</f>
        <v>152.77083333333334</v>
      </c>
      <c r="K252" s="501">
        <f>Sheet1!CV255</f>
        <v>266.54166666666669</v>
      </c>
      <c r="L252" s="501">
        <f>Calculation!F255</f>
        <v>250</v>
      </c>
      <c r="M252" s="501">
        <f>Calculation!E255</f>
        <v>400</v>
      </c>
      <c r="N252" s="501">
        <f>Calculation!D255</f>
        <v>200</v>
      </c>
      <c r="O252" s="500">
        <f>Sheet1!CY255</f>
        <v>1153.78</v>
      </c>
      <c r="P252" s="514">
        <f>Calculation!ET255</f>
        <v>1131.5999999999999</v>
      </c>
      <c r="Q252" s="498">
        <f>Calculation!DF255</f>
        <v>36529.580000088936</v>
      </c>
      <c r="R252" s="500">
        <f t="shared" si="53"/>
        <v>35309.580000088936</v>
      </c>
      <c r="S252" s="498">
        <f t="shared" si="60"/>
        <v>-201.81000000021595</v>
      </c>
      <c r="T252" s="498">
        <f ca="1">IF(A252&gt;$A$1,#N/A,VLOOKUP(A252,Calculation!$B$8:$IV$881,30,FALSE))</f>
        <v>8176.3923260467363</v>
      </c>
      <c r="U252" s="498">
        <f t="shared" si="54"/>
        <v>29.175850666667127</v>
      </c>
      <c r="V252" s="498">
        <f>Calculation!AP255</f>
        <v>0</v>
      </c>
      <c r="W252" s="498">
        <f t="shared" ca="1" si="72"/>
        <v>8785</v>
      </c>
      <c r="X252" s="498">
        <v>0</v>
      </c>
      <c r="Y252" s="744">
        <f t="shared" ca="1" si="73"/>
        <v>0</v>
      </c>
      <c r="Z252" s="748">
        <f t="shared" ca="1" si="55"/>
        <v>8785</v>
      </c>
      <c r="AA252" s="498">
        <f t="shared" ca="1" si="66"/>
        <v>19568.187674042201</v>
      </c>
      <c r="AB252" s="501">
        <f t="shared" ca="1" si="61"/>
        <v>18348.187674042201</v>
      </c>
      <c r="AC252" s="498">
        <f ca="1">IF(A252&gt;$A$1,#N/A,VLOOKUP(A252,Calculation!$B$8:$IV$881,155,FALSE))</f>
        <v>18929.000000042299</v>
      </c>
      <c r="AD252" s="498">
        <f t="shared" ca="1" si="62"/>
        <v>-117</v>
      </c>
      <c r="AE252" s="498"/>
      <c r="AF252" s="501">
        <f>Calculation!G255</f>
        <v>164.77162128077867</v>
      </c>
      <c r="AG252" s="498" t="str">
        <f t="shared" si="63"/>
        <v>Yes</v>
      </c>
      <c r="AH252" s="498" t="str">
        <f t="shared" si="64"/>
        <v>No</v>
      </c>
      <c r="AK252" s="738">
        <v>35165.100000086255</v>
      </c>
      <c r="AL252" s="738">
        <v>23910.020000058081</v>
      </c>
      <c r="AM252" s="740">
        <v>38655.550000093543</v>
      </c>
      <c r="AR252" s="552">
        <f t="shared" ca="1" si="67"/>
        <v>40921.84840088473</v>
      </c>
      <c r="AS252" s="524"/>
      <c r="AT252" s="581">
        <f>Calculation!AR255*3.068</f>
        <v>4166.6666666666661</v>
      </c>
      <c r="AU252" s="575">
        <f ca="1">Calculation!DA255</f>
        <v>829.28544788868214</v>
      </c>
      <c r="AV252" s="575">
        <f>Calculation!CF255*3.068</f>
        <v>1454.2266387322659</v>
      </c>
      <c r="AW252" s="582">
        <f>Calculation!BK255*3.068</f>
        <v>1726.2135727591219</v>
      </c>
      <c r="AX252" s="813">
        <f t="shared" si="68"/>
        <v>40781</v>
      </c>
      <c r="AY252" s="561"/>
      <c r="AZ252" s="534">
        <f t="shared" ca="1" si="69"/>
        <v>40806.507082170203</v>
      </c>
      <c r="BA252" s="561"/>
      <c r="BB252" s="826">
        <f t="shared" si="70"/>
        <v>40873.017986724772</v>
      </c>
      <c r="BC252" s="561"/>
      <c r="BD252" s="844">
        <f t="shared" si="71"/>
        <v>41065.325549667396</v>
      </c>
      <c r="BE252" s="553"/>
    </row>
    <row r="253" spans="1:57" ht="13.5" thickBot="1">
      <c r="A253" s="513">
        <v>40785</v>
      </c>
      <c r="B253" s="498">
        <f t="shared" si="59"/>
        <v>129.68501000000271</v>
      </c>
      <c r="C253" s="498">
        <f>Calculation!AA256</f>
        <v>0</v>
      </c>
      <c r="D253" s="498">
        <f>Calculation!Y256</f>
        <v>28.619499999999999</v>
      </c>
      <c r="E253" s="498">
        <f>Calculation!U256</f>
        <v>73.467030000008094</v>
      </c>
      <c r="F253" s="498">
        <f>Calculation!V256</f>
        <v>56.217979999994597</v>
      </c>
      <c r="G253" s="498">
        <f>Calculation!W256</f>
        <v>0</v>
      </c>
      <c r="H253" s="500">
        <f>Sheet1!H256</f>
        <v>1.66</v>
      </c>
      <c r="I253" s="501">
        <f>Sheet1!CW256</f>
        <v>301.6875</v>
      </c>
      <c r="J253" s="501">
        <f>Sheet1!CX256</f>
        <v>161.23958333333334</v>
      </c>
      <c r="K253" s="501">
        <f>Sheet1!CV256</f>
        <v>278</v>
      </c>
      <c r="L253" s="501">
        <f>Calculation!F256</f>
        <v>250</v>
      </c>
      <c r="M253" s="501">
        <f>Calculation!E256</f>
        <v>400</v>
      </c>
      <c r="N253" s="501">
        <f>Calculation!D256</f>
        <v>200</v>
      </c>
      <c r="O253" s="500">
        <f>Sheet1!CY256</f>
        <v>1153.54</v>
      </c>
      <c r="P253" s="514">
        <f>Calculation!ET256</f>
        <v>1131.4000000000001</v>
      </c>
      <c r="Q253" s="498">
        <f>Calculation!DF256</f>
        <v>36298.940000088711</v>
      </c>
      <c r="R253" s="500">
        <f t="shared" si="53"/>
        <v>35078.940000088711</v>
      </c>
      <c r="S253" s="498">
        <f t="shared" si="60"/>
        <v>-230.64000000022497</v>
      </c>
      <c r="T253" s="498">
        <f ca="1">IF(A253&gt;$A$1,#N/A,VLOOKUP(A253,Calculation!$B$8:$IV$881,30,FALSE))</f>
        <v>8119.6343260467356</v>
      </c>
      <c r="U253" s="498">
        <f t="shared" si="54"/>
        <v>28.619499999999999</v>
      </c>
      <c r="V253" s="498">
        <f>Calculation!AP256</f>
        <v>0</v>
      </c>
      <c r="W253" s="498">
        <f t="shared" ca="1" si="72"/>
        <v>8785</v>
      </c>
      <c r="X253" s="498">
        <v>0</v>
      </c>
      <c r="Y253" s="744">
        <f t="shared" ca="1" si="73"/>
        <v>0</v>
      </c>
      <c r="Z253" s="748">
        <f t="shared" ca="1" si="55"/>
        <v>8785</v>
      </c>
      <c r="AA253" s="498">
        <f t="shared" ca="1" si="66"/>
        <v>19394.305674041974</v>
      </c>
      <c r="AB253" s="501">
        <f t="shared" ca="1" si="61"/>
        <v>18174.305674041974</v>
      </c>
      <c r="AC253" s="498">
        <f ca="1">IF(A253&gt;$A$1,#N/A,VLOOKUP(A253,Calculation!$B$8:$IV$881,155,FALSE))</f>
        <v>18812.000000042164</v>
      </c>
      <c r="AD253" s="498">
        <f t="shared" ca="1" si="62"/>
        <v>-117.00000000013461</v>
      </c>
      <c r="AE253" s="498"/>
      <c r="AF253" s="501">
        <f>Calculation!G256</f>
        <v>161.6913767018533</v>
      </c>
      <c r="AG253" s="498" t="str">
        <f t="shared" si="63"/>
        <v>Yes</v>
      </c>
      <c r="AH253" s="498" t="str">
        <f t="shared" si="64"/>
        <v>No</v>
      </c>
      <c r="AK253" s="738">
        <v>35202.94000008647</v>
      </c>
      <c r="AL253" s="738">
        <v>23652.380000056335</v>
      </c>
      <c r="AM253" s="740">
        <v>38348.960000093321</v>
      </c>
      <c r="AR253" s="552">
        <f t="shared" ca="1" si="67"/>
        <v>40922.822095354764</v>
      </c>
      <c r="AS253" s="524"/>
      <c r="AT253" s="581">
        <f>Calculation!AR256*3.068</f>
        <v>4166.6666666666661</v>
      </c>
      <c r="AU253" s="575">
        <f ca="1">Calculation!DA256</f>
        <v>792.46944788868211</v>
      </c>
      <c r="AV253" s="575">
        <f>Calculation!CF256*3.068</f>
        <v>1440.4206387322661</v>
      </c>
      <c r="AW253" s="582">
        <f>Calculation!BK256*3.068</f>
        <v>1720.0775727591219</v>
      </c>
      <c r="AX253" s="813">
        <f t="shared" si="68"/>
        <v>40782</v>
      </c>
      <c r="AY253" s="561"/>
      <c r="AZ253" s="534">
        <f t="shared" ca="1" si="69"/>
        <v>40806.499084598807</v>
      </c>
      <c r="BA253" s="561"/>
      <c r="BB253" s="826">
        <f t="shared" si="70"/>
        <v>40875.398206703569</v>
      </c>
      <c r="BC253" s="561"/>
      <c r="BD253" s="844">
        <f t="shared" si="71"/>
        <v>41065.325549667396</v>
      </c>
      <c r="BE253" s="553"/>
    </row>
    <row r="254" spans="1:57" ht="13.5" thickBot="1">
      <c r="A254" s="513">
        <v>40786</v>
      </c>
      <c r="B254" s="498">
        <f t="shared" si="59"/>
        <v>115.46807999999999</v>
      </c>
      <c r="C254" s="498">
        <f>Calculation!AA257</f>
        <v>0</v>
      </c>
      <c r="D254" s="498">
        <f>Calculation!Y257</f>
        <v>26.415301056682996</v>
      </c>
      <c r="E254" s="498">
        <f>Calculation!U257</f>
        <v>71.316699999999997</v>
      </c>
      <c r="F254" s="498">
        <f>Calculation!V257</f>
        <v>44.151379999999996</v>
      </c>
      <c r="G254" s="498">
        <f>Calculation!W257</f>
        <v>0</v>
      </c>
      <c r="H254" s="500" t="str">
        <f>Sheet1!H257</f>
        <v>os</v>
      </c>
      <c r="I254" s="501">
        <f>Sheet1!CW257</f>
        <v>295.3125</v>
      </c>
      <c r="J254" s="501">
        <f>Sheet1!CX257</f>
        <v>174.03125</v>
      </c>
      <c r="K254" s="501">
        <f>Sheet1!CV257</f>
        <v>271.375</v>
      </c>
      <c r="L254" s="501">
        <f>Calculation!F257</f>
        <v>250</v>
      </c>
      <c r="M254" s="501">
        <f>Calculation!E257</f>
        <v>400</v>
      </c>
      <c r="N254" s="501">
        <f>Calculation!D257</f>
        <v>200</v>
      </c>
      <c r="O254" s="500">
        <f>Sheet1!CY257</f>
        <v>1153.31</v>
      </c>
      <c r="P254" s="514">
        <f>Calculation!ET257</f>
        <v>1131.2</v>
      </c>
      <c r="Q254" s="498">
        <f>Calculation!DF257</f>
        <v>36077.910000088501</v>
      </c>
      <c r="R254" s="500">
        <f t="shared" si="53"/>
        <v>34857.910000088501</v>
      </c>
      <c r="S254" s="498">
        <f t="shared" si="60"/>
        <v>-221.03000000020984</v>
      </c>
      <c r="T254" s="498">
        <f ca="1">IF(A254&gt;$A$1,#N/A,VLOOKUP(A254,Calculation!$B$8:$IV$881,30,FALSE))</f>
        <v>8067.2476785729787</v>
      </c>
      <c r="U254" s="498">
        <f t="shared" si="54"/>
        <v>26.415301056682996</v>
      </c>
      <c r="V254" s="498">
        <f>Calculation!AP257</f>
        <v>0</v>
      </c>
      <c r="W254" s="498">
        <f t="shared" ca="1" si="72"/>
        <v>8785</v>
      </c>
      <c r="X254" s="498">
        <v>0</v>
      </c>
      <c r="Y254" s="744">
        <f t="shared" ca="1" si="73"/>
        <v>0</v>
      </c>
      <c r="Z254" s="748">
        <f t="shared" ca="1" si="55"/>
        <v>8785</v>
      </c>
      <c r="AA254" s="498">
        <f t="shared" ca="1" si="66"/>
        <v>19225.662321515523</v>
      </c>
      <c r="AB254" s="501">
        <f t="shared" ca="1" si="61"/>
        <v>18005.662321515523</v>
      </c>
      <c r="AC254" s="498">
        <f ca="1">IF(A254&gt;$A$1,#N/A,VLOOKUP(A254,Calculation!$B$8:$IV$881,155,FALSE))</f>
        <v>18695.000000042033</v>
      </c>
      <c r="AD254" s="498">
        <f t="shared" ca="1" si="62"/>
        <v>-117.00000000013097</v>
      </c>
      <c r="AE254" s="498"/>
      <c r="AF254" s="501">
        <f>Calculation!G257</f>
        <v>159.91256933927895</v>
      </c>
      <c r="AG254" s="498" t="str">
        <f t="shared" si="63"/>
        <v>Yes</v>
      </c>
      <c r="AH254" s="498" t="str">
        <f t="shared" si="64"/>
        <v>No</v>
      </c>
      <c r="AK254" s="738">
        <v>35155.640000086256</v>
      </c>
      <c r="AL254" s="738">
        <v>23402.48000005601</v>
      </c>
      <c r="AM254" s="740">
        <v>38368.740000093327</v>
      </c>
      <c r="AR254" s="552">
        <f t="shared" ca="1" si="67"/>
        <v>40925.15111857088</v>
      </c>
      <c r="AS254" s="524"/>
      <c r="AT254" s="581">
        <f>Calculation!AR257*3.068</f>
        <v>4166.6666666666661</v>
      </c>
      <c r="AU254" s="575">
        <f ca="1">Calculation!DA257</f>
        <v>760.02480041492424</v>
      </c>
      <c r="AV254" s="575">
        <f>Calculation!CF257*3.068</f>
        <v>1426.614638732266</v>
      </c>
      <c r="AW254" s="582">
        <f>Calculation!BK257*3.068</f>
        <v>1713.941572759122</v>
      </c>
      <c r="AX254" s="813">
        <f t="shared" si="68"/>
        <v>40783</v>
      </c>
      <c r="AY254" s="561"/>
      <c r="AZ254" s="534">
        <f t="shared" ca="1" si="69"/>
        <v>40806.809709859175</v>
      </c>
      <c r="BA254" s="561"/>
      <c r="BB254" s="826">
        <f t="shared" si="70"/>
        <v>40878.429473666365</v>
      </c>
      <c r="BC254" s="561"/>
      <c r="BD254" s="844">
        <f t="shared" si="71"/>
        <v>41065.325549667396</v>
      </c>
      <c r="BE254" s="553"/>
    </row>
    <row r="255" spans="1:57" ht="13.5" thickBot="1">
      <c r="A255" s="513">
        <v>40787</v>
      </c>
      <c r="B255" s="498">
        <f t="shared" si="59"/>
        <v>111.22929999999999</v>
      </c>
      <c r="C255" s="498">
        <f>Calculation!AA258</f>
        <v>0</v>
      </c>
      <c r="D255" s="498">
        <f>Calculation!Y258</f>
        <v>27.785488095238097</v>
      </c>
      <c r="E255" s="498">
        <f>Calculation!U258</f>
        <v>70.434910000000002</v>
      </c>
      <c r="F255" s="498">
        <f>Calculation!V258</f>
        <v>40.79439</v>
      </c>
      <c r="G255" s="498">
        <f>Calculation!W258</f>
        <v>0</v>
      </c>
      <c r="H255" s="500" t="str">
        <f>Sheet1!H258</f>
        <v>os</v>
      </c>
      <c r="I255" s="501">
        <f>Sheet1!CW258</f>
        <v>314.60416666666669</v>
      </c>
      <c r="J255" s="501">
        <f>Sheet1!CX258</f>
        <v>185.63541666666666</v>
      </c>
      <c r="K255" s="501">
        <f>Sheet1!CV258</f>
        <v>289.45833333333331</v>
      </c>
      <c r="L255" s="501">
        <f>Calculation!F258</f>
        <v>250</v>
      </c>
      <c r="M255" s="501">
        <f>Calculation!E258</f>
        <v>400</v>
      </c>
      <c r="N255" s="501">
        <f>Calculation!D258</f>
        <v>200</v>
      </c>
      <c r="O255" s="500">
        <f>Sheet1!CY258</f>
        <v>1153.04</v>
      </c>
      <c r="P255" s="514">
        <f>Calculation!ET258</f>
        <v>1131</v>
      </c>
      <c r="Q255" s="498">
        <f>Calculation!DF258</f>
        <v>35818.440000088274</v>
      </c>
      <c r="R255" s="500">
        <f t="shared" si="53"/>
        <v>34598.440000088274</v>
      </c>
      <c r="S255" s="498">
        <f t="shared" si="60"/>
        <v>-259.47000000022672</v>
      </c>
      <c r="T255" s="498">
        <f ca="1">IF(A255&gt;$A$1,#N/A,VLOOKUP(A255,Calculation!$B$8:$IV$881,30,FALSE))</f>
        <v>8012.1436853757004</v>
      </c>
      <c r="U255" s="498">
        <f t="shared" si="54"/>
        <v>27.785488095238097</v>
      </c>
      <c r="V255" s="498">
        <f>Calculation!AP258</f>
        <v>0</v>
      </c>
      <c r="W255" s="498">
        <f t="shared" ca="1" si="72"/>
        <v>8785</v>
      </c>
      <c r="X255" s="498">
        <v>0</v>
      </c>
      <c r="Y255" s="744">
        <f t="shared" ca="1" si="73"/>
        <v>0</v>
      </c>
      <c r="Z255" s="748">
        <f t="shared" ca="1" si="55"/>
        <v>8785</v>
      </c>
      <c r="AA255" s="498">
        <f t="shared" ca="1" si="66"/>
        <v>19021.296314712574</v>
      </c>
      <c r="AB255" s="501">
        <f t="shared" ca="1" si="61"/>
        <v>17801.296314712574</v>
      </c>
      <c r="AC255" s="498">
        <f ca="1">IF(A255&gt;$A$1,#N/A,VLOOKUP(A255,Calculation!$B$8:$IV$881,155,FALSE))</f>
        <v>18524.300000040752</v>
      </c>
      <c r="AD255" s="498">
        <f t="shared" ca="1" si="62"/>
        <v>-170.7000000012813</v>
      </c>
      <c r="AE255" s="498"/>
      <c r="AF255" s="501">
        <f>Calculation!G258</f>
        <v>158.61113212293156</v>
      </c>
      <c r="AG255" s="498" t="str">
        <f t="shared" si="63"/>
        <v>Yes</v>
      </c>
      <c r="AH255" s="498" t="str">
        <f t="shared" si="64"/>
        <v>No</v>
      </c>
      <c r="AK255" s="738">
        <v>35070.500000086256</v>
      </c>
      <c r="AL255" s="738">
        <v>23160.100000054361</v>
      </c>
      <c r="AM255" s="740">
        <v>38586.320000093547</v>
      </c>
      <c r="AR255" s="552">
        <f t="shared" ca="1" si="67"/>
        <v>40927.586480203674</v>
      </c>
      <c r="AS255" s="524"/>
      <c r="AT255" s="581">
        <f>Calculation!AR258*3.068</f>
        <v>4166.6666666666661</v>
      </c>
      <c r="AU255" s="575">
        <f ca="1">Calculation!DA258</f>
        <v>724.86280721764535</v>
      </c>
      <c r="AV255" s="575">
        <f>Calculation!CF258*3.068</f>
        <v>1412.808638732266</v>
      </c>
      <c r="AW255" s="582">
        <f>Calculation!BK258*3.068</f>
        <v>1707.805572759122</v>
      </c>
      <c r="AX255" s="813">
        <f t="shared" si="68"/>
        <v>40784</v>
      </c>
      <c r="AY255" s="561"/>
      <c r="AZ255" s="534">
        <f t="shared" ca="1" si="69"/>
        <v>40807.132006888263</v>
      </c>
      <c r="BA255" s="561"/>
      <c r="BB255" s="826">
        <f t="shared" si="70"/>
        <v>40881.526481407891</v>
      </c>
      <c r="BC255" s="561"/>
      <c r="BD255" s="844">
        <f t="shared" si="71"/>
        <v>41065.325549667396</v>
      </c>
      <c r="BE255" s="553"/>
    </row>
    <row r="256" spans="1:57" ht="13.5" thickBot="1">
      <c r="A256" s="513">
        <v>40788</v>
      </c>
      <c r="B256" s="498">
        <f t="shared" si="59"/>
        <v>119.01070999999999</v>
      </c>
      <c r="C256" s="498">
        <f>Calculation!AA259</f>
        <v>0</v>
      </c>
      <c r="D256" s="498">
        <f>Calculation!Y259</f>
        <v>26.984110801564029</v>
      </c>
      <c r="E256" s="498">
        <f>Calculation!U259</f>
        <v>71.564219999999992</v>
      </c>
      <c r="F256" s="498">
        <f>Calculation!V259</f>
        <v>47.446489999999997</v>
      </c>
      <c r="G256" s="498">
        <f>Calculation!W259</f>
        <v>0</v>
      </c>
      <c r="H256" s="500">
        <f>Sheet1!H259</f>
        <v>2.29</v>
      </c>
      <c r="I256" s="501">
        <f>Sheet1!CW259</f>
        <v>322.60416666666669</v>
      </c>
      <c r="J256" s="501">
        <f>Sheet1!CX259</f>
        <v>198.20833333333334</v>
      </c>
      <c r="K256" s="501">
        <f>Sheet1!CV259</f>
        <v>309</v>
      </c>
      <c r="L256" s="501">
        <f>Calculation!F259</f>
        <v>250</v>
      </c>
      <c r="M256" s="501">
        <f>Calculation!E259</f>
        <v>400</v>
      </c>
      <c r="N256" s="501">
        <f>Calculation!D259</f>
        <v>200</v>
      </c>
      <c r="O256" s="500">
        <f>Sheet1!CY259</f>
        <v>1152.74</v>
      </c>
      <c r="P256" s="514">
        <f>Calculation!ET259</f>
        <v>1130.7</v>
      </c>
      <c r="Q256" s="498">
        <f>Calculation!DF259</f>
        <v>35534.040000086679</v>
      </c>
      <c r="R256" s="500">
        <f t="shared" si="53"/>
        <v>34314.040000086679</v>
      </c>
      <c r="S256" s="498">
        <f t="shared" si="60"/>
        <v>-284.40000000159489</v>
      </c>
      <c r="T256" s="498">
        <f ca="1">IF(A256&gt;$A$1,#N/A,VLOOKUP(A256,Calculation!$B$8:$IV$881,30,FALSE))</f>
        <v>7958.6289782398244</v>
      </c>
      <c r="U256" s="498">
        <f t="shared" si="54"/>
        <v>26.984110801564029</v>
      </c>
      <c r="V256" s="498">
        <f>Calculation!AP259</f>
        <v>0</v>
      </c>
      <c r="W256" s="498">
        <f t="shared" ca="1" si="72"/>
        <v>8785</v>
      </c>
      <c r="X256" s="498">
        <v>0</v>
      </c>
      <c r="Y256" s="744">
        <f t="shared" ca="1" si="73"/>
        <v>0</v>
      </c>
      <c r="Z256" s="748">
        <f t="shared" ca="1" si="55"/>
        <v>8785</v>
      </c>
      <c r="AA256" s="498">
        <f t="shared" ca="1" si="66"/>
        <v>18790.411021846856</v>
      </c>
      <c r="AB256" s="501">
        <f t="shared" ca="1" si="61"/>
        <v>17570.411021846856</v>
      </c>
      <c r="AC256" s="498">
        <f ca="1">IF(A256&gt;$A$1,#N/A,VLOOKUP(A256,Calculation!$B$8:$IV$881,155,FALSE))</f>
        <v>18296.700000040495</v>
      </c>
      <c r="AD256" s="498">
        <f t="shared" ca="1" si="62"/>
        <v>-227.60000000025684</v>
      </c>
      <c r="AE256" s="498"/>
      <c r="AF256" s="501">
        <f>Calculation!G259</f>
        <v>165.58093797196426</v>
      </c>
      <c r="AG256" s="498" t="str">
        <f t="shared" si="63"/>
        <v>Yes</v>
      </c>
      <c r="AH256" s="498" t="str">
        <f t="shared" si="64"/>
        <v>No</v>
      </c>
      <c r="AK256" s="738">
        <v>34947.520000086035</v>
      </c>
      <c r="AL256" s="738">
        <v>22937.700000054203</v>
      </c>
      <c r="AM256" s="740">
        <v>38339.070000093321</v>
      </c>
      <c r="AR256" s="552">
        <f t="shared" ca="1" si="67"/>
        <v>40930.725598950288</v>
      </c>
      <c r="AS256" s="524"/>
      <c r="AT256" s="581">
        <f>Calculation!AR259*3.068</f>
        <v>4166.6666666666661</v>
      </c>
      <c r="AU256" s="575">
        <f ca="1">Calculation!DA259</f>
        <v>691.29010008177045</v>
      </c>
      <c r="AV256" s="575">
        <f>Calculation!CF259*3.068</f>
        <v>1399.002638732266</v>
      </c>
      <c r="AW256" s="582">
        <f>Calculation!BK259*3.068</f>
        <v>1701.669572759122</v>
      </c>
      <c r="AX256" s="813">
        <f t="shared" si="68"/>
        <v>40785</v>
      </c>
      <c r="AY256" s="561"/>
      <c r="AZ256" s="534">
        <f t="shared" ca="1" si="69"/>
        <v>40807.53938455147</v>
      </c>
      <c r="BA256" s="561"/>
      <c r="BB256" s="826">
        <f t="shared" si="70"/>
        <v>40885.575703966191</v>
      </c>
      <c r="BC256" s="561"/>
      <c r="BD256" s="844">
        <f t="shared" si="71"/>
        <v>41065.325549667396</v>
      </c>
      <c r="BE256" s="553"/>
    </row>
    <row r="257" spans="1:57" ht="13.5" thickBot="1">
      <c r="A257" s="513">
        <v>40789</v>
      </c>
      <c r="B257" s="498">
        <f t="shared" si="59"/>
        <v>115.76200999998018</v>
      </c>
      <c r="C257" s="498">
        <f>Calculation!AA260</f>
        <v>0</v>
      </c>
      <c r="D257" s="498">
        <f>Calculation!Y260</f>
        <v>27.846</v>
      </c>
      <c r="E257" s="498">
        <f>Calculation!U260</f>
        <v>69.769699999986486</v>
      </c>
      <c r="F257" s="498">
        <f>Calculation!V260</f>
        <v>45.992309999993694</v>
      </c>
      <c r="G257" s="498">
        <f>Calculation!W260</f>
        <v>0</v>
      </c>
      <c r="H257" s="500">
        <f>Sheet1!H260</f>
        <v>1.18</v>
      </c>
      <c r="I257" s="501">
        <f>Sheet1!CW260</f>
        <v>327.60416666666669</v>
      </c>
      <c r="J257" s="501">
        <f>Sheet1!CX260</f>
        <v>200</v>
      </c>
      <c r="K257" s="501">
        <f>Sheet1!CV260</f>
        <v>308.875</v>
      </c>
      <c r="L257" s="501">
        <f>Calculation!F260</f>
        <v>250</v>
      </c>
      <c r="M257" s="501">
        <f>Calculation!E260</f>
        <v>400</v>
      </c>
      <c r="N257" s="501">
        <f>Calculation!D260</f>
        <v>200</v>
      </c>
      <c r="O257" s="500">
        <f>Sheet1!CY260</f>
        <v>1152.42</v>
      </c>
      <c r="P257" s="514">
        <f>Calculation!ET260</f>
        <v>1130.3</v>
      </c>
      <c r="Q257" s="498">
        <f>Calculation!DF260</f>
        <v>35231.320000086467</v>
      </c>
      <c r="R257" s="500">
        <f t="shared" si="53"/>
        <v>34011.320000086467</v>
      </c>
      <c r="S257" s="498">
        <f t="shared" si="60"/>
        <v>-302.72000000021217</v>
      </c>
      <c r="T257" s="498">
        <f ca="1">IF(A257&gt;$A$1,#N/A,VLOOKUP(A257,Calculation!$B$8:$IV$881,30,FALSE))</f>
        <v>7903.4049782398242</v>
      </c>
      <c r="U257" s="498">
        <f t="shared" si="54"/>
        <v>27.846</v>
      </c>
      <c r="V257" s="498">
        <f>Calculation!AP260</f>
        <v>0</v>
      </c>
      <c r="W257" s="498">
        <f t="shared" ca="1" si="72"/>
        <v>8785</v>
      </c>
      <c r="X257" s="498">
        <v>0</v>
      </c>
      <c r="Y257" s="744">
        <f t="shared" ca="1" si="73"/>
        <v>0</v>
      </c>
      <c r="Z257" s="748">
        <f t="shared" ca="1" si="55"/>
        <v>8785</v>
      </c>
      <c r="AA257" s="498">
        <f t="shared" ca="1" si="66"/>
        <v>18542.915021846642</v>
      </c>
      <c r="AB257" s="501">
        <f t="shared" ca="1" si="61"/>
        <v>17322.915021846642</v>
      </c>
      <c r="AC257" s="498">
        <f ca="1">IF(A257&gt;$A$1,#N/A,VLOOKUP(A257,Calculation!$B$8:$IV$881,155,FALSE))</f>
        <v>18126.000000040367</v>
      </c>
      <c r="AD257" s="498">
        <f t="shared" ca="1" si="62"/>
        <v>-170.70000000012806</v>
      </c>
      <c r="AE257" s="498"/>
      <c r="AF257" s="501">
        <f>Calculation!G260</f>
        <v>156.21741048905088</v>
      </c>
      <c r="AG257" s="498" t="str">
        <f t="shared" si="63"/>
        <v>Yes</v>
      </c>
      <c r="AH257" s="498" t="str">
        <f t="shared" si="64"/>
        <v>No</v>
      </c>
      <c r="AK257" s="738">
        <v>34787.350000084858</v>
      </c>
      <c r="AL257" s="738">
        <v>22729.200000053886</v>
      </c>
      <c r="AM257" s="740">
        <v>38121.490000093094</v>
      </c>
      <c r="AR257" s="552">
        <f t="shared" ca="1" si="67"/>
        <v>40933.079082888493</v>
      </c>
      <c r="AS257" s="524"/>
      <c r="AT257" s="581">
        <f>Calculation!AR260*3.068</f>
        <v>4166.6666666666661</v>
      </c>
      <c r="AU257" s="575">
        <f ca="1">Calculation!DA260</f>
        <v>659.07610008177051</v>
      </c>
      <c r="AV257" s="575">
        <f>Calculation!CF260*3.068</f>
        <v>1382.1286387322659</v>
      </c>
      <c r="AW257" s="582">
        <f>Calculation!BK260*3.068</f>
        <v>1695.5335727591219</v>
      </c>
      <c r="AX257" s="813">
        <f t="shared" si="68"/>
        <v>40786</v>
      </c>
      <c r="AY257" s="561"/>
      <c r="AZ257" s="534">
        <f t="shared" ca="1" si="69"/>
        <v>40808.053782116105</v>
      </c>
      <c r="BA257" s="561"/>
      <c r="BB257" s="826">
        <f t="shared" si="70"/>
        <v>40886.074853881051</v>
      </c>
      <c r="BC257" s="561"/>
      <c r="BD257" s="844">
        <f t="shared" si="71"/>
        <v>41065.325549667396</v>
      </c>
      <c r="BE257" s="553"/>
    </row>
    <row r="258" spans="1:57" ht="13.5" thickBot="1">
      <c r="A258" s="513">
        <v>40790</v>
      </c>
      <c r="B258" s="498">
        <f t="shared" si="59"/>
        <v>117.51012000000991</v>
      </c>
      <c r="C258" s="498">
        <f>Calculation!AA261</f>
        <v>0</v>
      </c>
      <c r="D258" s="498">
        <f>Calculation!Y261</f>
        <v>27.972884837209929</v>
      </c>
      <c r="E258" s="498">
        <f>Calculation!U261</f>
        <v>70.759780000008107</v>
      </c>
      <c r="F258" s="498">
        <f>Calculation!V261</f>
        <v>46.750340000001799</v>
      </c>
      <c r="G258" s="498">
        <f>Calculation!W261</f>
        <v>0</v>
      </c>
      <c r="H258" s="500">
        <f>Sheet1!H261</f>
        <v>1.22</v>
      </c>
      <c r="I258" s="501">
        <f>Sheet1!CW261</f>
        <v>326.34375</v>
      </c>
      <c r="J258" s="501">
        <f>Sheet1!CX261</f>
        <v>199.42708333333334</v>
      </c>
      <c r="K258" s="501">
        <f>Sheet1!CV261</f>
        <v>308.375</v>
      </c>
      <c r="L258" s="501">
        <f>Calculation!F261</f>
        <v>250</v>
      </c>
      <c r="M258" s="501">
        <f>Calculation!E261</f>
        <v>400</v>
      </c>
      <c r="N258" s="501">
        <f>Calculation!D261</f>
        <v>200</v>
      </c>
      <c r="O258" s="500">
        <f>Sheet1!CY261</f>
        <v>1152.0999999999999</v>
      </c>
      <c r="P258" s="514">
        <f>Calculation!ET261</f>
        <v>1130</v>
      </c>
      <c r="Q258" s="498">
        <f>Calculation!DF261</f>
        <v>34928.600000086037</v>
      </c>
      <c r="R258" s="500">
        <f t="shared" si="53"/>
        <v>33708.600000086037</v>
      </c>
      <c r="S258" s="498">
        <f t="shared" si="60"/>
        <v>-302.72000000043045</v>
      </c>
      <c r="T258" s="498">
        <f ca="1">IF(A258&gt;$A$1,#N/A,VLOOKUP(A258,Calculation!$B$8:$IV$881,30,FALSE))</f>
        <v>7847.9293410836763</v>
      </c>
      <c r="U258" s="498">
        <f t="shared" si="54"/>
        <v>27.972884837209929</v>
      </c>
      <c r="V258" s="498">
        <f>Calculation!AP261</f>
        <v>0</v>
      </c>
      <c r="W258" s="498">
        <f t="shared" ref="W258:W321" ca="1" si="74">IF(A258&gt;=$A$1,#N/A,W257-X258*1.983)</f>
        <v>8785</v>
      </c>
      <c r="X258" s="498">
        <v>0</v>
      </c>
      <c r="Y258" s="744">
        <f t="shared" ca="1" si="73"/>
        <v>0</v>
      </c>
      <c r="Z258" s="748">
        <f t="shared" ca="1" si="55"/>
        <v>8785</v>
      </c>
      <c r="AA258" s="498">
        <f t="shared" ca="1" si="66"/>
        <v>18295.67065900236</v>
      </c>
      <c r="AB258" s="501">
        <f t="shared" ca="1" si="61"/>
        <v>17075.67065900236</v>
      </c>
      <c r="AC258" s="498">
        <f ca="1">IF(A258&gt;$A$1,#N/A,VLOOKUP(A258,Calculation!$B$8:$IV$881,155,FALSE))</f>
        <v>17959.800000039173</v>
      </c>
      <c r="AD258" s="498">
        <f t="shared" ca="1" si="62"/>
        <v>-166.20000000119398</v>
      </c>
      <c r="AE258" s="498"/>
      <c r="AF258" s="501">
        <f>Calculation!G261</f>
        <v>155.7174104889408</v>
      </c>
      <c r="AG258" s="498" t="str">
        <f t="shared" si="63"/>
        <v>Yes</v>
      </c>
      <c r="AH258" s="498" t="str">
        <f t="shared" si="64"/>
        <v>No</v>
      </c>
      <c r="AK258" s="738">
        <v>34600.750000084641</v>
      </c>
      <c r="AL258" s="738">
        <v>22534.600000053728</v>
      </c>
      <c r="AM258" s="740">
        <v>37903.910000092874</v>
      </c>
      <c r="AR258" s="552">
        <f t="shared" ca="1" si="67"/>
        <v>40933.959537194016</v>
      </c>
      <c r="AS258" s="524"/>
      <c r="AT258" s="581">
        <f>Calculation!AR261*3.068</f>
        <v>4166.6666666666661</v>
      </c>
      <c r="AU258" s="575">
        <f ca="1">Calculation!DA261</f>
        <v>626.6104629256231</v>
      </c>
      <c r="AV258" s="575">
        <f>Calculation!CF261*3.068</f>
        <v>1365.2546387322659</v>
      </c>
      <c r="AW258" s="582">
        <f>Calculation!BK261*3.068</f>
        <v>1689.3975727591219</v>
      </c>
      <c r="AX258" s="813">
        <f t="shared" si="68"/>
        <v>40787</v>
      </c>
      <c r="AY258" s="561"/>
      <c r="AZ258" s="534">
        <f t="shared" ca="1" si="69"/>
        <v>40808.543772013531</v>
      </c>
      <c r="BA258" s="561"/>
      <c r="BB258" s="826">
        <f t="shared" si="70"/>
        <v>40882.920284699721</v>
      </c>
      <c r="BC258" s="561"/>
      <c r="BD258" s="844">
        <f t="shared" si="71"/>
        <v>41065.325549667396</v>
      </c>
      <c r="BE258" s="553"/>
    </row>
    <row r="259" spans="1:57" ht="13.5" thickBot="1">
      <c r="A259" s="513">
        <v>40791</v>
      </c>
      <c r="B259" s="498">
        <f t="shared" si="59"/>
        <v>115.88577000000541</v>
      </c>
      <c r="C259" s="498">
        <f>Calculation!AA262</f>
        <v>0</v>
      </c>
      <c r="D259" s="498">
        <f>Calculation!Y262</f>
        <v>27.846</v>
      </c>
      <c r="E259" s="498">
        <f>Calculation!U262</f>
        <v>69.862520000005404</v>
      </c>
      <c r="F259" s="498">
        <f>Calculation!V262</f>
        <v>46.023249999999997</v>
      </c>
      <c r="G259" s="498">
        <f>Calculation!W262</f>
        <v>0</v>
      </c>
      <c r="H259" s="500">
        <f>Sheet1!H262</f>
        <v>1.06</v>
      </c>
      <c r="I259" s="501">
        <f>Sheet1!CW262</f>
        <v>323.65625</v>
      </c>
      <c r="J259" s="501">
        <f>Sheet1!CX262</f>
        <v>198.76041666666666</v>
      </c>
      <c r="K259" s="501">
        <f>Sheet1!CV262</f>
        <v>307.25</v>
      </c>
      <c r="L259" s="501">
        <f>Calculation!F262</f>
        <v>250</v>
      </c>
      <c r="M259" s="501">
        <f>Calculation!E262</f>
        <v>400</v>
      </c>
      <c r="N259" s="501">
        <f>Calculation!D262</f>
        <v>200</v>
      </c>
      <c r="O259" s="500">
        <f>Sheet1!CY262</f>
        <v>1151.78</v>
      </c>
      <c r="P259" s="514">
        <f>Calculation!ET262</f>
        <v>1129.7</v>
      </c>
      <c r="Q259" s="498">
        <f>Calculation!DF262</f>
        <v>34628.740000084646</v>
      </c>
      <c r="R259" s="500">
        <f t="shared" si="53"/>
        <v>33408.740000084646</v>
      </c>
      <c r="S259" s="498">
        <f t="shared" si="60"/>
        <v>-299.86000000139029</v>
      </c>
      <c r="T259" s="498">
        <f ca="1">IF(A259&gt;$A$1,#N/A,VLOOKUP(A259,Calculation!$B$8:$IV$881,30,FALSE))</f>
        <v>7792.705341083677</v>
      </c>
      <c r="U259" s="498">
        <f t="shared" si="54"/>
        <v>27.846</v>
      </c>
      <c r="V259" s="498">
        <f>Calculation!AP262</f>
        <v>0</v>
      </c>
      <c r="W259" s="498">
        <f t="shared" ca="1" si="74"/>
        <v>8785</v>
      </c>
      <c r="X259" s="498">
        <v>0</v>
      </c>
      <c r="Y259" s="744">
        <f t="shared" ca="1" si="73"/>
        <v>0</v>
      </c>
      <c r="Z259" s="748">
        <f t="shared" ca="1" si="55"/>
        <v>8785</v>
      </c>
      <c r="AA259" s="498">
        <f t="shared" ca="1" si="66"/>
        <v>18051.034659000969</v>
      </c>
      <c r="AB259" s="501">
        <f t="shared" ca="1" si="61"/>
        <v>16831.034659000969</v>
      </c>
      <c r="AC259" s="498">
        <f ca="1">IF(A259&gt;$A$1,#N/A,VLOOKUP(A259,Calculation!$B$8:$IV$881,155,FALSE))</f>
        <v>17738.200000038923</v>
      </c>
      <c r="AD259" s="498">
        <f t="shared" ca="1" si="62"/>
        <v>-221.60000000024957</v>
      </c>
      <c r="AE259" s="498"/>
      <c r="AF259" s="501">
        <f>Calculation!G262</f>
        <v>156.0346696916842</v>
      </c>
      <c r="AG259" s="498" t="str">
        <f t="shared" si="63"/>
        <v>Yes</v>
      </c>
      <c r="AH259" s="498" t="str">
        <f t="shared" si="64"/>
        <v>No</v>
      </c>
      <c r="AK259" s="738">
        <v>34460.800000084433</v>
      </c>
      <c r="AL259" s="738">
        <v>22323.290000052184</v>
      </c>
      <c r="AM259" s="740">
        <v>37667.250000091335</v>
      </c>
      <c r="AR259" s="552">
        <f t="shared" ca="1" si="67"/>
        <v>40933.790630304095</v>
      </c>
      <c r="AS259" s="524"/>
      <c r="AT259" s="581">
        <f>Calculation!AR262*3.068</f>
        <v>4166.6666666666661</v>
      </c>
      <c r="AU259" s="575">
        <f ca="1">Calculation!DA262</f>
        <v>594.39646292562304</v>
      </c>
      <c r="AV259" s="575">
        <f>Calculation!CF262*3.068</f>
        <v>1348.3806387322661</v>
      </c>
      <c r="AW259" s="582">
        <f>Calculation!BK262*3.068</f>
        <v>1683.2615727591219</v>
      </c>
      <c r="AX259" s="813">
        <f t="shared" si="68"/>
        <v>40788</v>
      </c>
      <c r="AY259" s="561"/>
      <c r="AZ259" s="534">
        <f t="shared" ca="1" si="69"/>
        <v>40808.922146731908</v>
      </c>
      <c r="BA259" s="561"/>
      <c r="BB259" s="826">
        <f t="shared" si="70"/>
        <v>40878.787357514731</v>
      </c>
      <c r="BC259" s="561"/>
      <c r="BD259" s="844">
        <f t="shared" si="71"/>
        <v>41065.325549667396</v>
      </c>
      <c r="BE259" s="553"/>
    </row>
    <row r="260" spans="1:57" ht="13.5" thickBot="1">
      <c r="A260" s="513">
        <v>40792</v>
      </c>
      <c r="B260" s="498">
        <f t="shared" si="59"/>
        <v>122.8627399999973</v>
      </c>
      <c r="C260" s="498">
        <f>Calculation!AA263</f>
        <v>0</v>
      </c>
      <c r="D260" s="498">
        <f>Calculation!Y263</f>
        <v>27.093647918171445</v>
      </c>
      <c r="E260" s="498">
        <f>Calculation!U263</f>
        <v>71.471399999995498</v>
      </c>
      <c r="F260" s="498">
        <f>Calculation!V263</f>
        <v>51.391340000001797</v>
      </c>
      <c r="G260" s="498">
        <f>Calculation!W263</f>
        <v>0</v>
      </c>
      <c r="H260" s="500">
        <f>Sheet1!H263</f>
        <v>1.1200000000000001</v>
      </c>
      <c r="I260" s="501">
        <f>Sheet1!CW263</f>
        <v>325.6875</v>
      </c>
      <c r="J260" s="501">
        <f>Sheet1!CX263</f>
        <v>191.76041666666666</v>
      </c>
      <c r="K260" s="501">
        <f>Sheet1!CV263</f>
        <v>306.25</v>
      </c>
      <c r="L260" s="501">
        <f>Calculation!F263</f>
        <v>250</v>
      </c>
      <c r="M260" s="501">
        <f>Calculation!E263</f>
        <v>400</v>
      </c>
      <c r="N260" s="501">
        <f>Calculation!D263</f>
        <v>200</v>
      </c>
      <c r="O260" s="500">
        <f>Sheet1!CY263</f>
        <v>1151.45</v>
      </c>
      <c r="P260" s="514">
        <f>Calculation!ET263</f>
        <v>1129.3</v>
      </c>
      <c r="Q260" s="498">
        <f>Calculation!DF263</f>
        <v>34320.850000084429</v>
      </c>
      <c r="R260" s="500">
        <f t="shared" si="53"/>
        <v>33100.850000084429</v>
      </c>
      <c r="S260" s="498">
        <f t="shared" si="60"/>
        <v>-307.8900000002177</v>
      </c>
      <c r="T260" s="498">
        <f ca="1">IF(A260&gt;$A$1,#N/A,VLOOKUP(A260,Calculation!$B$8:$IV$881,30,FALSE))</f>
        <v>6138.7046006745304</v>
      </c>
      <c r="U260" s="498">
        <f t="shared" si="54"/>
        <v>27.093647918171445</v>
      </c>
      <c r="V260" s="498">
        <f>Calculation!AP263</f>
        <v>0</v>
      </c>
      <c r="W260" s="498">
        <f ca="1">IF(A260&gt;=$A$1,#N/A,W259-X260*1.983)+1600</f>
        <v>10385</v>
      </c>
      <c r="X260" s="498">
        <v>0</v>
      </c>
      <c r="Y260" s="744">
        <f t="shared" ca="1" si="73"/>
        <v>0</v>
      </c>
      <c r="Z260" s="748">
        <f t="shared" ca="1" si="55"/>
        <v>10385</v>
      </c>
      <c r="AA260" s="498">
        <f t="shared" ca="1" si="66"/>
        <v>17797.145399409899</v>
      </c>
      <c r="AB260" s="501">
        <f t="shared" ca="1" si="61"/>
        <v>16577.145399409899</v>
      </c>
      <c r="AC260" s="498">
        <f ca="1">IF(A260&gt;$A$1,#N/A,VLOOKUP(A260,Calculation!$B$8:$IV$881,155,FALSE))</f>
        <v>17572.000000038795</v>
      </c>
      <c r="AD260" s="498">
        <f t="shared" ca="1" si="62"/>
        <v>-166.20000000012806</v>
      </c>
      <c r="AE260" s="498"/>
      <c r="AF260" s="501">
        <f>Calculation!G263</f>
        <v>150.98524962167542</v>
      </c>
      <c r="AG260" s="498" t="str">
        <f t="shared" si="63"/>
        <v>Yes</v>
      </c>
      <c r="AH260" s="498" t="str">
        <f t="shared" si="64"/>
        <v>No</v>
      </c>
      <c r="AK260" s="738">
        <v>34274.200000084427</v>
      </c>
      <c r="AL260" s="738">
        <v>22181.120000052029</v>
      </c>
      <c r="AM260" s="740">
        <v>37482.000000091117</v>
      </c>
      <c r="AR260" s="552">
        <f t="shared" ca="1" si="67"/>
        <v>40806.338503148989</v>
      </c>
      <c r="AS260" s="524"/>
      <c r="AT260" s="581">
        <f>Calculation!AR263*3.068</f>
        <v>2566.3978666666662</v>
      </c>
      <c r="AU260" s="575">
        <f ca="1">Calculation!DA263</f>
        <v>562.14052251647627</v>
      </c>
      <c r="AV260" s="575">
        <f>Calculation!CF263*3.068</f>
        <v>1333.040638732266</v>
      </c>
      <c r="AW260" s="582">
        <f>Calculation!BK263*3.068</f>
        <v>1677.125572759122</v>
      </c>
      <c r="AX260" s="813">
        <f t="shared" si="68"/>
        <v>40797.613052340537</v>
      </c>
      <c r="AY260" s="561"/>
      <c r="AZ260" s="534">
        <f t="shared" ca="1" si="69"/>
        <v>40809.091686731881</v>
      </c>
      <c r="BA260" s="561"/>
      <c r="BB260" s="826">
        <f t="shared" si="70"/>
        <v>40876.092144687122</v>
      </c>
      <c r="BC260" s="561"/>
      <c r="BD260" s="844">
        <f t="shared" si="71"/>
        <v>41065.325549667396</v>
      </c>
      <c r="BE260" s="553"/>
    </row>
    <row r="261" spans="1:57" ht="13.5" thickBot="1">
      <c r="A261" s="513">
        <v>40793</v>
      </c>
      <c r="B261" s="498">
        <f t="shared" si="59"/>
        <v>133.56797999998332</v>
      </c>
      <c r="C261" s="498">
        <f>Calculation!AA264</f>
        <v>0</v>
      </c>
      <c r="D261" s="498">
        <f>Calculation!Y264</f>
        <v>27.109868679630999</v>
      </c>
      <c r="E261" s="498">
        <f>Calculation!U264</f>
        <v>73.420619999987395</v>
      </c>
      <c r="F261" s="498">
        <f>Calculation!V264</f>
        <v>60.147359999995942</v>
      </c>
      <c r="G261" s="498">
        <f>Calculation!W264</f>
        <v>0</v>
      </c>
      <c r="H261" s="500">
        <f>Sheet1!H264</f>
        <v>1.19</v>
      </c>
      <c r="I261" s="501">
        <f>Sheet1!CW264</f>
        <v>305.61458333333331</v>
      </c>
      <c r="J261" s="501">
        <f>Sheet1!CX264</f>
        <v>180.11458333333334</v>
      </c>
      <c r="K261" s="501">
        <f>Sheet1!CV264</f>
        <v>306.125</v>
      </c>
      <c r="L261" s="501">
        <f>Calculation!F264</f>
        <v>250</v>
      </c>
      <c r="M261" s="501">
        <f>Calculation!E264</f>
        <v>400</v>
      </c>
      <c r="N261" s="501">
        <f>Calculation!D264</f>
        <v>200</v>
      </c>
      <c r="O261" s="500">
        <f>Sheet1!CY264</f>
        <v>1151.1099999999999</v>
      </c>
      <c r="P261" s="514">
        <f>Calculation!ET264</f>
        <v>1129</v>
      </c>
      <c r="Q261" s="498">
        <f>Calculation!DF264</f>
        <v>34003.630000084013</v>
      </c>
      <c r="R261" s="500">
        <f t="shared" ref="R261:R324" si="75">Q261-1220</f>
        <v>32783.630000084013</v>
      </c>
      <c r="S261" s="498">
        <f t="shared" si="60"/>
        <v>-317.22000000041589</v>
      </c>
      <c r="T261" s="498">
        <f ca="1">IF(A261&gt;$A$1,#N/A,VLOOKUP(A261,Calculation!$B$8:$IV$881,30,FALSE))</f>
        <v>6084.9404913603039</v>
      </c>
      <c r="U261" s="498">
        <f t="shared" si="54"/>
        <v>27.109868679630999</v>
      </c>
      <c r="V261" s="498">
        <f>Calculation!AP264</f>
        <v>0</v>
      </c>
      <c r="W261" s="498">
        <f ca="1">IF(A261&gt;=$A$1,#N/A,W260-X261*1.983)</f>
        <v>10385</v>
      </c>
      <c r="X261" s="498">
        <v>0</v>
      </c>
      <c r="Y261" s="744">
        <f t="shared" ca="1" si="73"/>
        <v>0</v>
      </c>
      <c r="Z261" s="748">
        <f t="shared" ca="1" si="55"/>
        <v>10385</v>
      </c>
      <c r="AA261" s="498">
        <f t="shared" ca="1" si="66"/>
        <v>17533.68950872371</v>
      </c>
      <c r="AB261" s="501">
        <f t="shared" ca="1" si="61"/>
        <v>16313.68950872371</v>
      </c>
      <c r="AC261" s="498">
        <f ca="1">IF(A261&gt;$A$1,#N/A,VLOOKUP(A261,Calculation!$B$8:$IV$881,155,FALSE))</f>
        <v>17409.700000037763</v>
      </c>
      <c r="AD261" s="498">
        <f t="shared" ca="1" si="62"/>
        <v>-162.30000000103246</v>
      </c>
      <c r="AE261" s="498"/>
      <c r="AF261" s="501">
        <f>Calculation!G264</f>
        <v>146.15525718587199</v>
      </c>
      <c r="AG261" s="498" t="str">
        <f t="shared" si="63"/>
        <v>Yes</v>
      </c>
      <c r="AH261" s="498" t="str">
        <f t="shared" si="64"/>
        <v>No</v>
      </c>
      <c r="AK261" s="738">
        <v>34180.900000084221</v>
      </c>
      <c r="AL261" s="738">
        <v>22113.420000052029</v>
      </c>
      <c r="AM261" s="740">
        <v>37404.000000091117</v>
      </c>
      <c r="AR261" s="552">
        <f t="shared" ca="1" si="67"/>
        <v>40805.267110237204</v>
      </c>
      <c r="AS261" s="524"/>
      <c r="AT261" s="581">
        <f>Calculation!AR264*3.068</f>
        <v>2566.3978666666662</v>
      </c>
      <c r="AU261" s="575">
        <f ca="1">Calculation!DA264</f>
        <v>529.92652251647633</v>
      </c>
      <c r="AV261" s="575">
        <f>Calculation!CF264*3.068</f>
        <v>1317.6265294180398</v>
      </c>
      <c r="AW261" s="582">
        <f>Calculation!BK264*3.068</f>
        <v>1670.989572759122</v>
      </c>
      <c r="AX261" s="813">
        <f t="shared" si="68"/>
        <v>40798.113052340537</v>
      </c>
      <c r="AY261" s="561"/>
      <c r="AZ261" s="534">
        <f t="shared" ca="1" si="69"/>
        <v>40809.335638944853</v>
      </c>
      <c r="BA261" s="561"/>
      <c r="BB261" s="826">
        <f t="shared" si="70"/>
        <v>40874.682765635444</v>
      </c>
      <c r="BC261" s="561"/>
      <c r="BD261" s="844">
        <f t="shared" si="71"/>
        <v>41065.325549667396</v>
      </c>
      <c r="BE261" s="553"/>
    </row>
    <row r="262" spans="1:57" ht="13.5" thickBot="1">
      <c r="A262" s="513">
        <v>40794</v>
      </c>
      <c r="B262" s="498">
        <f t="shared" si="59"/>
        <v>130.45851000001394</v>
      </c>
      <c r="C262" s="498">
        <f>Calculation!AA265</f>
        <v>0</v>
      </c>
      <c r="D262" s="498">
        <f>Calculation!Y265</f>
        <v>27.072499999999998</v>
      </c>
      <c r="E262" s="498">
        <f>Calculation!U265</f>
        <v>72.910110000007194</v>
      </c>
      <c r="F262" s="498">
        <f>Calculation!V265</f>
        <v>57.548400000006751</v>
      </c>
      <c r="G262" s="498">
        <f>Calculation!W265</f>
        <v>0</v>
      </c>
      <c r="H262" s="500">
        <f>Sheet1!H265</f>
        <v>2.0299999999999998</v>
      </c>
      <c r="I262" s="501">
        <f>Sheet1!CW265</f>
        <v>299.25</v>
      </c>
      <c r="J262" s="501">
        <f>Sheet1!CX265</f>
        <v>183.41666666666666</v>
      </c>
      <c r="K262" s="501">
        <f>Sheet1!CV265</f>
        <v>305.125</v>
      </c>
      <c r="L262" s="501">
        <f>Calculation!F265</f>
        <v>250</v>
      </c>
      <c r="M262" s="501">
        <f>Calculation!E265</f>
        <v>400</v>
      </c>
      <c r="N262" s="501">
        <f>Calculation!D265</f>
        <v>200</v>
      </c>
      <c r="O262" s="500">
        <f>Sheet1!CY265</f>
        <v>1150.78</v>
      </c>
      <c r="P262" s="514">
        <f>Calculation!ET265</f>
        <v>1128.7</v>
      </c>
      <c r="Q262" s="498">
        <f>Calculation!DF265</f>
        <v>33698.820000082538</v>
      </c>
      <c r="R262" s="500">
        <f t="shared" si="75"/>
        <v>32478.820000082538</v>
      </c>
      <c r="S262" s="498">
        <f t="shared" si="60"/>
        <v>-304.81000000147469</v>
      </c>
      <c r="T262" s="498">
        <f ca="1">IF(A262&gt;$A$1,#N/A,VLOOKUP(A262,Calculation!$B$8:$IV$881,30,FALSE))</f>
        <v>6031.2504913603043</v>
      </c>
      <c r="U262" s="498">
        <f t="shared" ref="U262:U325" si="76">D262</f>
        <v>27.072499999999998</v>
      </c>
      <c r="V262" s="498">
        <f>Calculation!AP265</f>
        <v>0</v>
      </c>
      <c r="W262" s="498">
        <f t="shared" ref="W262:W268" ca="1" si="77">IF(A262&gt;=$A$1,#N/A,W261-X262*1.983)</f>
        <v>10385</v>
      </c>
      <c r="X262" s="498">
        <v>0</v>
      </c>
      <c r="Y262" s="744">
        <f t="shared" ca="1" si="73"/>
        <v>0</v>
      </c>
      <c r="Z262" s="748">
        <f t="shared" ref="Z262:Z325" ca="1" si="78">W262-Y262</f>
        <v>10385</v>
      </c>
      <c r="AA262" s="498">
        <f t="shared" ca="1" si="66"/>
        <v>17282.569508722234</v>
      </c>
      <c r="AB262" s="501">
        <f t="shared" ca="1" si="61"/>
        <v>16062.569508722234</v>
      </c>
      <c r="AC262" s="498">
        <f ca="1">IF(A262&gt;$A$1,#N/A,VLOOKUP(A262,Calculation!$B$8:$IV$881,155,FALSE))</f>
        <v>17193.300000037518</v>
      </c>
      <c r="AD262" s="498">
        <f t="shared" ca="1" si="62"/>
        <v>-216.4000000002452</v>
      </c>
      <c r="AE262" s="498"/>
      <c r="AF262" s="501">
        <f>Calculation!G265</f>
        <v>151.41345183990185</v>
      </c>
      <c r="AG262" s="498" t="str">
        <f t="shared" si="63"/>
        <v>Yes</v>
      </c>
      <c r="AH262" s="498" t="str">
        <f t="shared" si="64"/>
        <v>No</v>
      </c>
      <c r="AK262" s="738">
        <v>34059.61000008422</v>
      </c>
      <c r="AL262" s="738">
        <v>22113.420000052029</v>
      </c>
      <c r="AM262" s="740">
        <v>37472.250000091117</v>
      </c>
      <c r="AR262" s="552">
        <f t="shared" ca="1" si="67"/>
        <v>40805.334997492952</v>
      </c>
      <c r="AS262" s="524"/>
      <c r="AT262" s="581">
        <f>Calculation!AR265*3.068</f>
        <v>2566.3978666666662</v>
      </c>
      <c r="AU262" s="575">
        <f ca="1">Calculation!DA265</f>
        <v>497.71252251647633</v>
      </c>
      <c r="AV262" s="575">
        <f>Calculation!CF265*3.068</f>
        <v>1302.2865294180399</v>
      </c>
      <c r="AW262" s="582">
        <f>Calculation!BK265*3.068</f>
        <v>1664.853572759122</v>
      </c>
      <c r="AX262" s="813">
        <f t="shared" si="68"/>
        <v>40798.613052340537</v>
      </c>
      <c r="AY262" s="561"/>
      <c r="AZ262" s="534">
        <f t="shared" ca="1" si="69"/>
        <v>40809.422313092538</v>
      </c>
      <c r="BA262" s="561"/>
      <c r="BB262" s="826">
        <f t="shared" si="70"/>
        <v>40874.6772434593</v>
      </c>
      <c r="BC262" s="561"/>
      <c r="BD262" s="844">
        <f t="shared" si="71"/>
        <v>41065.325549667396</v>
      </c>
      <c r="BE262" s="553"/>
    </row>
    <row r="263" spans="1:57" ht="13.5" thickBot="1">
      <c r="A263" s="513">
        <v>40795</v>
      </c>
      <c r="B263" s="498">
        <f t="shared" si="59"/>
        <v>122.61521999999189</v>
      </c>
      <c r="C263" s="498">
        <f>Calculation!AA266</f>
        <v>0</v>
      </c>
      <c r="D263" s="498">
        <f>Calculation!Y266</f>
        <v>26.655780442804428</v>
      </c>
      <c r="E263" s="498">
        <f>Calculation!U266</f>
        <v>72.33771999999189</v>
      </c>
      <c r="F263" s="498">
        <f>Calculation!V266</f>
        <v>50.277499999999996</v>
      </c>
      <c r="G263" s="498">
        <f>Calculation!W266</f>
        <v>0</v>
      </c>
      <c r="H263" s="500">
        <f>Sheet1!H266</f>
        <v>1.79</v>
      </c>
      <c r="I263" s="501">
        <f>Sheet1!CW266</f>
        <v>308.59375</v>
      </c>
      <c r="J263" s="501">
        <f>Sheet1!CX266</f>
        <v>191.60416666666666</v>
      </c>
      <c r="K263" s="501">
        <f>Sheet1!CV266</f>
        <v>303.875</v>
      </c>
      <c r="L263" s="501">
        <f>Calculation!F266</f>
        <v>250</v>
      </c>
      <c r="M263" s="501">
        <f>Calculation!E266</f>
        <v>400</v>
      </c>
      <c r="N263" s="501">
        <f>Calculation!D266</f>
        <v>200</v>
      </c>
      <c r="O263" s="500">
        <f>Sheet1!CY266</f>
        <v>1150.45</v>
      </c>
      <c r="P263" s="514">
        <f>Calculation!ET266</f>
        <v>1128.3</v>
      </c>
      <c r="Q263" s="498">
        <f>Calculation!DF266</f>
        <v>33395.55000008233</v>
      </c>
      <c r="R263" s="500">
        <f t="shared" si="75"/>
        <v>32175.55000008233</v>
      </c>
      <c r="S263" s="498">
        <f t="shared" si="60"/>
        <v>-303.2700000002078</v>
      </c>
      <c r="T263" s="498">
        <f ca="1">IF(A263&gt;$A$1,#N/A,VLOOKUP(A263,Calculation!$B$8:$IV$881,30,FALSE))</f>
        <v>5978.3869267846585</v>
      </c>
      <c r="U263" s="498">
        <f t="shared" si="76"/>
        <v>26.655780442804428</v>
      </c>
      <c r="V263" s="498">
        <f>Calculation!AP266</f>
        <v>0</v>
      </c>
      <c r="W263" s="498">
        <f t="shared" ca="1" si="77"/>
        <v>10385</v>
      </c>
      <c r="X263" s="498">
        <v>0</v>
      </c>
      <c r="Y263" s="744">
        <f t="shared" ca="1" si="73"/>
        <v>0</v>
      </c>
      <c r="Z263" s="748">
        <f t="shared" ca="1" si="78"/>
        <v>10385</v>
      </c>
      <c r="AA263" s="498">
        <f t="shared" ca="1" si="66"/>
        <v>17032.16307329767</v>
      </c>
      <c r="AB263" s="501">
        <f t="shared" ca="1" si="61"/>
        <v>15812.16307329767</v>
      </c>
      <c r="AC263" s="498">
        <f ca="1">IF(A263&gt;$A$1,#N/A,VLOOKUP(A263,Calculation!$B$8:$IV$881,155,FALSE))</f>
        <v>17031.000000037395</v>
      </c>
      <c r="AD263" s="498">
        <f t="shared" ca="1" si="62"/>
        <v>-162.30000000012296</v>
      </c>
      <c r="AE263" s="498"/>
      <c r="AF263" s="501">
        <f>Calculation!G266</f>
        <v>150.94005294997086</v>
      </c>
      <c r="AG263" s="498" t="str">
        <f t="shared" si="63"/>
        <v>Yes</v>
      </c>
      <c r="AH263" s="498" t="str">
        <f t="shared" si="64"/>
        <v>No</v>
      </c>
      <c r="AK263" s="738">
        <v>33919.660000084004</v>
      </c>
      <c r="AL263" s="738">
        <v>22045.720000051875</v>
      </c>
      <c r="AM263" s="740">
        <v>37394.250000091117</v>
      </c>
      <c r="AR263" s="552">
        <f t="shared" ca="1" si="67"/>
        <v>40805.766611105311</v>
      </c>
      <c r="AS263" s="524"/>
      <c r="AT263" s="581">
        <f>Calculation!AR266*3.068</f>
        <v>2566.3978666666662</v>
      </c>
      <c r="AU263" s="575">
        <f ca="1">Calculation!DA266</f>
        <v>466.49949053615654</v>
      </c>
      <c r="AV263" s="575">
        <f>Calculation!CF266*3.068</f>
        <v>1286.7719968227138</v>
      </c>
      <c r="AW263" s="582">
        <f>Calculation!BK266*3.068</f>
        <v>1658.717572759122</v>
      </c>
      <c r="AX263" s="813">
        <f t="shared" si="68"/>
        <v>40799.113052340537</v>
      </c>
      <c r="AY263" s="561"/>
      <c r="AZ263" s="534">
        <f t="shared" ca="1" si="69"/>
        <v>40809.494617210541</v>
      </c>
      <c r="BA263" s="561"/>
      <c r="BB263" s="826">
        <f t="shared" si="70"/>
        <v>40876.302259712531</v>
      </c>
      <c r="BC263" s="561"/>
      <c r="BD263" s="844">
        <f t="shared" si="71"/>
        <v>41065.325549667396</v>
      </c>
      <c r="BE263" s="553"/>
    </row>
    <row r="264" spans="1:57" ht="13.5" thickBot="1">
      <c r="A264" s="513">
        <v>40796</v>
      </c>
      <c r="B264" s="498">
        <f t="shared" si="59"/>
        <v>126.1578500000045</v>
      </c>
      <c r="C264" s="498">
        <f>Calculation!AA267</f>
        <v>0</v>
      </c>
      <c r="D264" s="498">
        <f>Calculation!Y267</f>
        <v>26.374182961692391</v>
      </c>
      <c r="E264" s="498">
        <f>Calculation!U267</f>
        <v>72.012850000004505</v>
      </c>
      <c r="F264" s="498">
        <f>Calculation!V267</f>
        <v>54.144999999999996</v>
      </c>
      <c r="G264" s="498">
        <f>Calculation!W267</f>
        <v>0</v>
      </c>
      <c r="H264" s="500">
        <f>Sheet1!H267</f>
        <v>1.58</v>
      </c>
      <c r="I264" s="501">
        <f>Sheet1!CW267</f>
        <v>301.96875</v>
      </c>
      <c r="J264" s="501">
        <f>Sheet1!CX267</f>
        <v>186.45833333333334</v>
      </c>
      <c r="K264" s="501">
        <f>Sheet1!CV267</f>
        <v>302.875</v>
      </c>
      <c r="L264" s="501">
        <f>Calculation!F267</f>
        <v>250</v>
      </c>
      <c r="M264" s="501">
        <f>Calculation!E267</f>
        <v>400</v>
      </c>
      <c r="N264" s="501">
        <f>Calculation!D267</f>
        <v>200</v>
      </c>
      <c r="O264" s="500">
        <f>Sheet1!CY267</f>
        <v>1150.0999999999999</v>
      </c>
      <c r="P264" s="514">
        <f>Calculation!ET267</f>
        <v>1128</v>
      </c>
      <c r="Q264" s="498">
        <f>Calculation!DF267</f>
        <v>33073.900000081914</v>
      </c>
      <c r="R264" s="500">
        <f t="shared" si="75"/>
        <v>31853.900000081914</v>
      </c>
      <c r="S264" s="498">
        <f t="shared" si="60"/>
        <v>-321.65000000041618</v>
      </c>
      <c r="T264" s="498">
        <f ca="1">IF(A264&gt;$A$1,#N/A,VLOOKUP(A264,Calculation!$B$8:$IV$881,30,FALSE))</f>
        <v>5926.0818244404609</v>
      </c>
      <c r="U264" s="498">
        <f t="shared" si="76"/>
        <v>26.374182961692391</v>
      </c>
      <c r="V264" s="498">
        <f>Calculation!AP267</f>
        <v>0</v>
      </c>
      <c r="W264" s="498">
        <f t="shared" ca="1" si="77"/>
        <v>10385</v>
      </c>
      <c r="X264" s="498">
        <v>0</v>
      </c>
      <c r="Y264" s="744">
        <f t="shared" ca="1" si="73"/>
        <v>0</v>
      </c>
      <c r="Z264" s="748">
        <f t="shared" ca="1" si="78"/>
        <v>10385</v>
      </c>
      <c r="AA264" s="498">
        <f t="shared" ca="1" si="66"/>
        <v>16762.818175641452</v>
      </c>
      <c r="AB264" s="501">
        <f t="shared" ca="1" si="61"/>
        <v>15542.818175641452</v>
      </c>
      <c r="AC264" s="498">
        <f ca="1">IF(A264&gt;$A$1,#N/A,VLOOKUP(A264,Calculation!$B$8:$IV$881,155,FALSE))</f>
        <v>16872.600000036375</v>
      </c>
      <c r="AD264" s="498">
        <f t="shared" ca="1" si="62"/>
        <v>-158.40000000102009</v>
      </c>
      <c r="AE264" s="498"/>
      <c r="AF264" s="501">
        <f>Calculation!G267</f>
        <v>140.67126828017339</v>
      </c>
      <c r="AG264" s="498" t="str">
        <f t="shared" si="63"/>
        <v>Yes</v>
      </c>
      <c r="AH264" s="498" t="str">
        <f t="shared" si="64"/>
        <v>No</v>
      </c>
      <c r="AK264" s="738">
        <v>33763.150000082533</v>
      </c>
      <c r="AL264" s="738">
        <v>21923.860000051878</v>
      </c>
      <c r="AM264" s="740">
        <v>37170.000000090891</v>
      </c>
      <c r="AR264" s="552">
        <f t="shared" ca="1" si="67"/>
        <v>40806.517270615048</v>
      </c>
      <c r="AS264" s="524"/>
      <c r="AT264" s="581">
        <f>Calculation!AR267*3.068</f>
        <v>2566.3978666666662</v>
      </c>
      <c r="AU264" s="575">
        <f ca="1">Calculation!DA267</f>
        <v>435.67915891808906</v>
      </c>
      <c r="AV264" s="575">
        <f>Calculation!CF267*3.068</f>
        <v>1271.4232260965846</v>
      </c>
      <c r="AW264" s="582">
        <f>Calculation!BK267*3.068</f>
        <v>1652.5815727591219</v>
      </c>
      <c r="AX264" s="813">
        <f t="shared" si="68"/>
        <v>40799.613052340537</v>
      </c>
      <c r="AY264" s="561"/>
      <c r="AZ264" s="534">
        <f t="shared" ca="1" si="69"/>
        <v>40809.629882269088</v>
      </c>
      <c r="BA264" s="561"/>
      <c r="BB264" s="826">
        <f t="shared" si="70"/>
        <v>40877.720900230699</v>
      </c>
      <c r="BC264" s="561"/>
      <c r="BD264" s="844">
        <f t="shared" si="71"/>
        <v>41065.325549667396</v>
      </c>
      <c r="BE264" s="553"/>
    </row>
    <row r="265" spans="1:57" ht="13.5" thickBot="1">
      <c r="A265" s="513">
        <v>40797</v>
      </c>
      <c r="B265" s="498">
        <f t="shared" si="59"/>
        <v>125.92580000000224</v>
      </c>
      <c r="C265" s="498">
        <f>Calculation!AA268</f>
        <v>0</v>
      </c>
      <c r="D265" s="498">
        <f>Calculation!Y268</f>
        <v>26.404531440799186</v>
      </c>
      <c r="E265" s="498">
        <f>Calculation!U268</f>
        <v>71.93549999999999</v>
      </c>
      <c r="F265" s="498">
        <f>Calculation!V268</f>
        <v>53.99030000000225</v>
      </c>
      <c r="G265" s="498">
        <f>Calculation!W268</f>
        <v>0</v>
      </c>
      <c r="H265" s="500">
        <f>Sheet1!H268</f>
        <v>1.3</v>
      </c>
      <c r="I265" s="501">
        <f>Sheet1!CW268</f>
        <v>303.08333333333331</v>
      </c>
      <c r="J265" s="501">
        <f>Sheet1!CX268</f>
        <v>186</v>
      </c>
      <c r="K265" s="501">
        <f>Sheet1!CV268</f>
        <v>302.875</v>
      </c>
      <c r="L265" s="501">
        <f>Calculation!F268</f>
        <v>250</v>
      </c>
      <c r="M265" s="501">
        <f>Calculation!E268</f>
        <v>400</v>
      </c>
      <c r="N265" s="501">
        <f>Calculation!D268</f>
        <v>200</v>
      </c>
      <c r="O265" s="500">
        <f>Sheet1!CY268</f>
        <v>1149.75</v>
      </c>
      <c r="P265" s="514">
        <f>Calculation!ET268</f>
        <v>1127.7</v>
      </c>
      <c r="Q265" s="498">
        <f>Calculation!DF268</f>
        <v>32755.750000080458</v>
      </c>
      <c r="R265" s="500">
        <f t="shared" si="75"/>
        <v>31535.750000080458</v>
      </c>
      <c r="S265" s="498">
        <f t="shared" si="60"/>
        <v>-318.15000000145665</v>
      </c>
      <c r="T265" s="498">
        <f ca="1">IF(A265&gt;$A$1,#N/A,VLOOKUP(A265,Calculation!$B$8:$IV$881,30,FALSE))</f>
        <v>5873.7165351965241</v>
      </c>
      <c r="U265" s="498">
        <f t="shared" si="76"/>
        <v>26.404531440799186</v>
      </c>
      <c r="V265" s="498">
        <f>Calculation!AP268</f>
        <v>0</v>
      </c>
      <c r="W265" s="498">
        <f t="shared" ca="1" si="77"/>
        <v>10385</v>
      </c>
      <c r="X265" s="498">
        <v>0</v>
      </c>
      <c r="Y265" s="744">
        <f t="shared" ca="1" si="73"/>
        <v>0</v>
      </c>
      <c r="Z265" s="748">
        <f t="shared" ca="1" si="78"/>
        <v>10385</v>
      </c>
      <c r="AA265" s="498">
        <f t="shared" ca="1" si="66"/>
        <v>16497.033464883934</v>
      </c>
      <c r="AB265" s="501">
        <f t="shared" ca="1" si="61"/>
        <v>15277.033464883934</v>
      </c>
      <c r="AC265" s="498">
        <f ca="1">IF(A265&gt;$A$1,#N/A,VLOOKUP(A265,Calculation!$B$8:$IV$881,155,FALSE))</f>
        <v>16661.400000036137</v>
      </c>
      <c r="AD265" s="498">
        <f t="shared" ca="1" si="62"/>
        <v>-211.2000000002372</v>
      </c>
      <c r="AE265" s="498"/>
      <c r="AF265" s="501">
        <f>Calculation!G268</f>
        <v>142.43627080108089</v>
      </c>
      <c r="AG265" s="498" t="str">
        <f t="shared" si="63"/>
        <v>Yes</v>
      </c>
      <c r="AH265" s="498" t="str">
        <f t="shared" si="64"/>
        <v>No</v>
      </c>
      <c r="AK265" s="738">
        <v>33588.540000082539</v>
      </c>
      <c r="AL265" s="738">
        <v>21762.580000050191</v>
      </c>
      <c r="AM265" s="740">
        <v>36838.500000090447</v>
      </c>
      <c r="AR265" s="552">
        <f t="shared" ca="1" si="67"/>
        <v>40808.127899380539</v>
      </c>
      <c r="AS265" s="524"/>
      <c r="AT265" s="581">
        <f>Calculation!AR268*3.068</f>
        <v>2566.3978666666662</v>
      </c>
      <c r="AU265" s="575">
        <f ca="1">Calculation!DA268</f>
        <v>404.99915891808905</v>
      </c>
      <c r="AV265" s="575">
        <f>Calculation!CF268*3.068</f>
        <v>1255.8739368526467</v>
      </c>
      <c r="AW265" s="582">
        <f>Calculation!BK268*3.068</f>
        <v>1646.4455727591219</v>
      </c>
      <c r="AX265" s="813">
        <f t="shared" si="68"/>
        <v>40800.113052340537</v>
      </c>
      <c r="AY265" s="561"/>
      <c r="AZ265" s="534">
        <f t="shared" ca="1" si="69"/>
        <v>40809.786304089634</v>
      </c>
      <c r="BA265" s="561"/>
      <c r="BB265" s="826">
        <f t="shared" si="70"/>
        <v>40878.477981946773</v>
      </c>
      <c r="BC265" s="561"/>
      <c r="BD265" s="844">
        <f t="shared" si="71"/>
        <v>41065.325549667396</v>
      </c>
      <c r="BE265" s="553"/>
    </row>
    <row r="266" spans="1:57" ht="13.5" thickBot="1">
      <c r="A266" s="513">
        <v>40798</v>
      </c>
      <c r="B266" s="498">
        <f t="shared" si="59"/>
        <v>126.99323000000585</v>
      </c>
      <c r="C266" s="498">
        <f>Calculation!AA269</f>
        <v>0</v>
      </c>
      <c r="D266" s="498">
        <f>Calculation!Y269</f>
        <v>25.587636873745453</v>
      </c>
      <c r="E266" s="498">
        <f>Calculation!U269</f>
        <v>72.430540000010808</v>
      </c>
      <c r="F266" s="498">
        <f>Calculation!V269</f>
        <v>54.562689999995044</v>
      </c>
      <c r="G266" s="498">
        <f>Calculation!W269</f>
        <v>0</v>
      </c>
      <c r="H266" s="500">
        <f>Sheet1!H269</f>
        <v>1.32</v>
      </c>
      <c r="I266" s="501">
        <f>Sheet1!CW269</f>
        <v>301.54166666666669</v>
      </c>
      <c r="J266" s="501">
        <f>Sheet1!CX269</f>
        <v>181.39583333333334</v>
      </c>
      <c r="K266" s="501">
        <f>Sheet1!CV269</f>
        <v>296.375</v>
      </c>
      <c r="L266" s="501">
        <f>Calculation!F269</f>
        <v>250</v>
      </c>
      <c r="M266" s="501">
        <f>Calculation!E269</f>
        <v>400</v>
      </c>
      <c r="N266" s="501">
        <f>Calculation!D269</f>
        <v>200</v>
      </c>
      <c r="O266" s="500">
        <f>Sheet1!CY269</f>
        <v>1149.4000000000001</v>
      </c>
      <c r="P266" s="514">
        <f>Calculation!ET269</f>
        <v>1127.3</v>
      </c>
      <c r="Q266" s="498">
        <f>Calculation!DF269</f>
        <v>32439.00000008025</v>
      </c>
      <c r="R266" s="500">
        <f t="shared" si="75"/>
        <v>31219.00000008025</v>
      </c>
      <c r="S266" s="498">
        <f t="shared" si="60"/>
        <v>-316.75000000020736</v>
      </c>
      <c r="T266" s="498">
        <f ca="1">IF(A266&gt;$A$1,#N/A,VLOOKUP(A266,Calculation!$B$8:$IV$881,30,FALSE))</f>
        <v>5822.9713057662384</v>
      </c>
      <c r="U266" s="498">
        <f t="shared" si="76"/>
        <v>25.587636873745453</v>
      </c>
      <c r="V266" s="498">
        <f>Calculation!AP269</f>
        <v>0</v>
      </c>
      <c r="W266" s="498">
        <f t="shared" ca="1" si="77"/>
        <v>10385</v>
      </c>
      <c r="X266" s="498">
        <v>0</v>
      </c>
      <c r="Y266" s="744">
        <f t="shared" ca="1" si="73"/>
        <v>0</v>
      </c>
      <c r="Z266" s="748">
        <f t="shared" ca="1" si="78"/>
        <v>10385</v>
      </c>
      <c r="AA266" s="498">
        <f t="shared" ca="1" si="66"/>
        <v>16231.028694314013</v>
      </c>
      <c r="AB266" s="501">
        <f t="shared" ca="1" si="61"/>
        <v>15011.028694314013</v>
      </c>
      <c r="AC266" s="498">
        <f ca="1">IF(A266&gt;$A$1,#N/A,VLOOKUP(A266,Calculation!$B$8:$IV$881,155,FALSE))</f>
        <v>16503.000000036016</v>
      </c>
      <c r="AD266" s="498">
        <f t="shared" ca="1" si="62"/>
        <v>-158.40000000012151</v>
      </c>
      <c r="AE266" s="498"/>
      <c r="AF266" s="501">
        <f>Calculation!G269</f>
        <v>136.64227181028375</v>
      </c>
      <c r="AG266" s="498" t="str">
        <f t="shared" si="63"/>
        <v>Yes</v>
      </c>
      <c r="AH266" s="498" t="str">
        <f t="shared" si="64"/>
        <v>No</v>
      </c>
      <c r="AK266" s="738">
        <v>33413.930000082328</v>
      </c>
      <c r="AL266" s="738">
        <v>21578.620000050047</v>
      </c>
      <c r="AM266" s="740">
        <v>36452.700000088931</v>
      </c>
      <c r="AR266" s="552">
        <f t="shared" ca="1" si="67"/>
        <v>40908.51264814529</v>
      </c>
      <c r="AS266" s="524"/>
      <c r="AT266" s="581">
        <f>Calculation!AR269*3.068</f>
        <v>2566.3978666666662</v>
      </c>
      <c r="AU266" s="575">
        <f ca="1">Calculation!DA269</f>
        <v>373.89661284308471</v>
      </c>
      <c r="AV266" s="575">
        <f>Calculation!CF269*3.068</f>
        <v>1242.3672534973659</v>
      </c>
      <c r="AW266" s="582">
        <f>Calculation!BK269*3.068</f>
        <v>1640.3095727591219</v>
      </c>
      <c r="AX266" s="813" t="e">
        <f t="shared" si="68"/>
        <v>#DIV/0!</v>
      </c>
      <c r="AY266" s="561"/>
      <c r="AZ266" s="534">
        <f t="shared" ca="1" si="69"/>
        <v>40809.923354971914</v>
      </c>
      <c r="BA266" s="561"/>
      <c r="BB266" s="826">
        <f t="shared" si="70"/>
        <v>40879.493827504324</v>
      </c>
      <c r="BC266" s="561"/>
      <c r="BD266" s="844">
        <f t="shared" si="71"/>
        <v>41065.325549667396</v>
      </c>
      <c r="BE266" s="553"/>
    </row>
    <row r="267" spans="1:57" ht="13.5" thickBot="1">
      <c r="A267" s="513">
        <v>40799</v>
      </c>
      <c r="B267" s="498">
        <f t="shared" si="59"/>
        <v>124.85836999999864</v>
      </c>
      <c r="C267" s="498">
        <f>Calculation!AA270</f>
        <v>0</v>
      </c>
      <c r="D267" s="498">
        <f>Calculation!Y270</f>
        <v>24.77664771779445</v>
      </c>
      <c r="E267" s="498">
        <f>Calculation!U270</f>
        <v>71.285760000002696</v>
      </c>
      <c r="F267" s="498">
        <f>Calculation!V270</f>
        <v>53.572609999995947</v>
      </c>
      <c r="G267" s="498">
        <f>Calculation!W270</f>
        <v>0</v>
      </c>
      <c r="H267" s="500">
        <f>Sheet1!H270</f>
        <v>1.22</v>
      </c>
      <c r="I267" s="501">
        <f>Sheet1!CW270</f>
        <v>293.80208333333331</v>
      </c>
      <c r="J267" s="501">
        <f>Sheet1!CX270</f>
        <v>170.26041666666666</v>
      </c>
      <c r="K267" s="501">
        <f>Sheet1!CV270</f>
        <v>286</v>
      </c>
      <c r="L267" s="501">
        <f>Calculation!F270</f>
        <v>250</v>
      </c>
      <c r="M267" s="501">
        <f>Calculation!E270</f>
        <v>400</v>
      </c>
      <c r="N267" s="501">
        <f>Calculation!D270</f>
        <v>200</v>
      </c>
      <c r="O267" s="500">
        <f>Sheet1!CY270</f>
        <v>1149.07</v>
      </c>
      <c r="P267" s="514">
        <f>Calculation!ET270</f>
        <v>1127</v>
      </c>
      <c r="Q267" s="498">
        <f>Calculation!DF270</f>
        <v>32140.350000079841</v>
      </c>
      <c r="R267" s="500">
        <f t="shared" si="75"/>
        <v>30920.350000079841</v>
      </c>
      <c r="S267" s="498">
        <f t="shared" si="60"/>
        <v>-298.65000000040891</v>
      </c>
      <c r="T267" s="498">
        <f ca="1">IF(A267&gt;$A$1,#N/A,VLOOKUP(A267,Calculation!$B$8:$IV$881,30,FALSE))</f>
        <v>5773.8344245780081</v>
      </c>
      <c r="U267" s="498">
        <f t="shared" si="76"/>
        <v>24.77664771779445</v>
      </c>
      <c r="V267" s="498">
        <f>Calculation!AP270</f>
        <v>0</v>
      </c>
      <c r="W267" s="498">
        <f t="shared" ca="1" si="77"/>
        <v>10385</v>
      </c>
      <c r="X267" s="498">
        <v>0</v>
      </c>
      <c r="Y267" s="744">
        <f t="shared" ca="1" si="73"/>
        <v>0</v>
      </c>
      <c r="Z267" s="748">
        <f t="shared" ca="1" si="78"/>
        <v>10385</v>
      </c>
      <c r="AA267" s="498">
        <f t="shared" ca="1" si="66"/>
        <v>15981.515575501835</v>
      </c>
      <c r="AB267" s="501">
        <f t="shared" ca="1" si="61"/>
        <v>14761.515575501835</v>
      </c>
      <c r="AC267" s="498">
        <f ca="1">IF(A267&gt;$A$1,#N/A,VLOOKUP(A267,Calculation!$B$8:$IV$881,155,FALSE))</f>
        <v>16347.900000035148</v>
      </c>
      <c r="AD267" s="498">
        <f t="shared" ca="1" si="62"/>
        <v>-155.10000000086802</v>
      </c>
      <c r="AE267" s="498"/>
      <c r="AF267" s="501">
        <f>Calculation!G270</f>
        <v>135.39485627815992</v>
      </c>
      <c r="AG267" s="498" t="str">
        <f t="shared" si="63"/>
        <v>Yes</v>
      </c>
      <c r="AH267" s="498" t="str">
        <f t="shared" si="64"/>
        <v>No</v>
      </c>
      <c r="AK267" s="738">
        <v>33239.320000082116</v>
      </c>
      <c r="AL267" s="738">
        <v>21401.230000049894</v>
      </c>
      <c r="AM267" s="740">
        <v>36039.470000088499</v>
      </c>
      <c r="AR267" s="552">
        <f t="shared" ca="1" si="67"/>
        <v>40910.079535169716</v>
      </c>
      <c r="AS267" s="524"/>
      <c r="AT267" s="581">
        <f>Calculation!AR270*3.068</f>
        <v>2566.3978666666662</v>
      </c>
      <c r="AU267" s="575">
        <f ca="1">Calculation!DA270</f>
        <v>343.2166128430847</v>
      </c>
      <c r="AV267" s="575">
        <f>Calculation!CF270*3.068</f>
        <v>1230.0463723091348</v>
      </c>
      <c r="AW267" s="582">
        <f>Calculation!BK270*3.068</f>
        <v>1634.173572759122</v>
      </c>
      <c r="AX267" s="813" t="e">
        <f t="shared" si="68"/>
        <v>#DIV/0!</v>
      </c>
      <c r="AY267" s="561"/>
      <c r="AZ267" s="534">
        <f t="shared" ca="1" si="69"/>
        <v>40810.043103695389</v>
      </c>
      <c r="BA267" s="561"/>
      <c r="BB267" s="826">
        <f t="shared" si="70"/>
        <v>40882.031292259184</v>
      </c>
      <c r="BC267" s="561"/>
      <c r="BD267" s="844">
        <f t="shared" si="71"/>
        <v>41065.325549667396</v>
      </c>
      <c r="BE267" s="553"/>
    </row>
    <row r="268" spans="1:57" ht="13.5" thickBot="1">
      <c r="A268" s="513">
        <v>40800</v>
      </c>
      <c r="B268" s="498">
        <f t="shared" si="59"/>
        <v>126.11144</v>
      </c>
      <c r="C268" s="498">
        <f>Calculation!AA271</f>
        <v>0</v>
      </c>
      <c r="D268" s="498">
        <f>Calculation!Y271</f>
        <v>24.751999999999999</v>
      </c>
      <c r="E268" s="498">
        <f>Calculation!U271</f>
        <v>71.966440000000006</v>
      </c>
      <c r="F268" s="498">
        <f>Calculation!V271</f>
        <v>54.144999999999996</v>
      </c>
      <c r="G268" s="498">
        <f>Calculation!W271</f>
        <v>0</v>
      </c>
      <c r="H268" s="500">
        <f>Sheet1!H271</f>
        <v>1.25</v>
      </c>
      <c r="I268" s="501">
        <f>Sheet1!CW271</f>
        <v>291</v>
      </c>
      <c r="J268" s="501">
        <f>Sheet1!CX271</f>
        <v>169.91666666666666</v>
      </c>
      <c r="K268" s="501">
        <f>Sheet1!CV271</f>
        <v>285.75</v>
      </c>
      <c r="L268" s="501">
        <f>Calculation!F271</f>
        <v>250</v>
      </c>
      <c r="M268" s="501">
        <f>Calculation!E271</f>
        <v>400</v>
      </c>
      <c r="N268" s="501">
        <f>Calculation!D271</f>
        <v>200</v>
      </c>
      <c r="O268" s="500">
        <f>Sheet1!CY271</f>
        <v>1148.75</v>
      </c>
      <c r="P268" s="514">
        <f>Calculation!ET271</f>
        <v>1126.7</v>
      </c>
      <c r="Q268" s="498">
        <f>Calculation!DF271</f>
        <v>31854.000000078489</v>
      </c>
      <c r="R268" s="500">
        <f t="shared" si="75"/>
        <v>30634.000000078489</v>
      </c>
      <c r="S268" s="498">
        <f t="shared" si="60"/>
        <v>-286.35000000135187</v>
      </c>
      <c r="T268" s="647">
        <f ca="1">IF(A268&gt;$A$1,#N/A,VLOOKUP(A268,Calculation!$B$8:$IV$881,30,FALSE))</f>
        <v>5724.7464245780075</v>
      </c>
      <c r="U268" s="498">
        <f t="shared" si="76"/>
        <v>24.751999999999999</v>
      </c>
      <c r="V268" s="498">
        <f>Calculation!AP271</f>
        <v>0</v>
      </c>
      <c r="W268" s="498">
        <f t="shared" ca="1" si="77"/>
        <v>10385</v>
      </c>
      <c r="X268" s="498">
        <v>0</v>
      </c>
      <c r="Y268" s="744">
        <f t="shared" ca="1" si="73"/>
        <v>0</v>
      </c>
      <c r="Z268" s="748">
        <f t="shared" ca="1" si="78"/>
        <v>10385</v>
      </c>
      <c r="AA268" s="498">
        <f t="shared" ca="1" si="66"/>
        <v>15744.253575500483</v>
      </c>
      <c r="AB268" s="501">
        <f t="shared" ca="1" si="61"/>
        <v>14524.253575500483</v>
      </c>
      <c r="AC268" s="498">
        <f ca="1">IF(A268&gt;$A$1,#N/A,VLOOKUP(A268,Calculation!$B$8:$IV$881,155,FALSE))</f>
        <v>16141.100000034914</v>
      </c>
      <c r="AD268" s="498">
        <f t="shared" ca="1" si="62"/>
        <v>-206.80000000023392</v>
      </c>
      <c r="AE268" s="498"/>
      <c r="AF268" s="501">
        <f>Calculation!G271</f>
        <v>141.34757942443176</v>
      </c>
      <c r="AG268" s="498" t="str">
        <f t="shared" si="63"/>
        <v>Yes</v>
      </c>
      <c r="AH268" s="498" t="str">
        <f t="shared" si="64"/>
        <v>No</v>
      </c>
      <c r="AK268" s="738">
        <v>33055.52000008191</v>
      </c>
      <c r="AL268" s="738">
        <v>21197.560000049598</v>
      </c>
      <c r="AM268" s="740">
        <v>35562.420000086684</v>
      </c>
      <c r="AR268" s="552">
        <f t="shared" ca="1" si="67"/>
        <v>40911.884909139102</v>
      </c>
      <c r="AS268" s="524"/>
      <c r="AT268" s="581">
        <f>Calculation!AR271*3.068</f>
        <v>2566.3978666666662</v>
      </c>
      <c r="AU268" s="575">
        <f ca="1">Calculation!DA271</f>
        <v>312.5366128430847</v>
      </c>
      <c r="AV268" s="575">
        <f>Calculation!CF271*3.068</f>
        <v>1217.7743723091348</v>
      </c>
      <c r="AW268" s="582">
        <f>Calculation!BK271*3.068</f>
        <v>1628.037572759122</v>
      </c>
      <c r="AX268" s="813" t="e">
        <f t="shared" si="68"/>
        <v>#DIV/0!</v>
      </c>
      <c r="AY268" s="561"/>
      <c r="AZ268" s="534">
        <f t="shared" ca="1" si="69"/>
        <v>40810.124683401293</v>
      </c>
      <c r="BA268" s="561"/>
      <c r="BB268" s="826">
        <f t="shared" si="70"/>
        <v>40885.693945893494</v>
      </c>
      <c r="BC268" s="561"/>
      <c r="BD268" s="844">
        <f t="shared" si="71"/>
        <v>41065.325549667396</v>
      </c>
      <c r="BE268" s="553"/>
    </row>
    <row r="269" spans="1:57" ht="13.5" thickBot="1">
      <c r="A269" s="513">
        <v>40801</v>
      </c>
      <c r="B269" s="498">
        <f t="shared" ref="B269:B332" si="79">E269+F269</f>
        <v>123.43513000002386</v>
      </c>
      <c r="C269" s="498">
        <f>Calculation!AA272</f>
        <v>0</v>
      </c>
      <c r="D269" s="498">
        <f>Calculation!Y272</f>
        <v>24.751999999999999</v>
      </c>
      <c r="E269" s="498">
        <f>Calculation!U272</f>
        <v>72.848230000017111</v>
      </c>
      <c r="F269" s="498">
        <f>Calculation!V272</f>
        <v>50.58690000000675</v>
      </c>
      <c r="G269" s="498">
        <f>Calculation!W272</f>
        <v>0</v>
      </c>
      <c r="H269" s="500">
        <f>Sheet1!H272</f>
        <v>1.21</v>
      </c>
      <c r="I269" s="501">
        <f>Sheet1!CW272</f>
        <v>290.42708333333331</v>
      </c>
      <c r="J269" s="501">
        <f>Sheet1!CX272</f>
        <v>173.65625</v>
      </c>
      <c r="K269" s="501">
        <f>Sheet1!CV272</f>
        <v>285.5</v>
      </c>
      <c r="L269" s="501">
        <f>Calculation!F272</f>
        <v>250</v>
      </c>
      <c r="M269" s="501">
        <f>Calculation!E272</f>
        <v>400</v>
      </c>
      <c r="N269" s="501">
        <f>Calculation!D272</f>
        <v>200</v>
      </c>
      <c r="O269" s="500">
        <f>Sheet1!CY272</f>
        <v>1148.42</v>
      </c>
      <c r="P269" s="514">
        <f>Calculation!ET272</f>
        <v>1126.3</v>
      </c>
      <c r="Q269" s="498">
        <f>Calculation!DF272</f>
        <v>31559.640000078289</v>
      </c>
      <c r="R269" s="500">
        <f t="shared" si="75"/>
        <v>30339.640000078289</v>
      </c>
      <c r="S269" s="498">
        <f t="shared" ref="S269:S332" si="80">R269-R268</f>
        <v>-294.36000000020067</v>
      </c>
      <c r="T269" s="498">
        <f ca="1">IF(A269&gt;$A$1,#N/A,VLOOKUP(A269,Calculation!$B$8:$IV$881,30,FALSE))</f>
        <v>5675.6584245780077</v>
      </c>
      <c r="U269" s="498">
        <f t="shared" si="76"/>
        <v>24.751999999999999</v>
      </c>
      <c r="V269" s="498">
        <f>Calculation!AP272</f>
        <v>0</v>
      </c>
      <c r="W269" s="498">
        <f t="shared" ca="1" si="74"/>
        <v>10385</v>
      </c>
      <c r="X269" s="498">
        <v>0</v>
      </c>
      <c r="Y269" s="744">
        <f t="shared" ca="1" si="73"/>
        <v>0</v>
      </c>
      <c r="Z269" s="748">
        <f t="shared" ca="1" si="78"/>
        <v>10385</v>
      </c>
      <c r="AA269" s="498">
        <f t="shared" ref="AA269:AA332" ca="1" si="81">IF(Q269-T269-W269&lt;0,0,Q269-T269-W269)</f>
        <v>15498.981575500282</v>
      </c>
      <c r="AB269" s="501">
        <f t="shared" ref="AB269:AB332" ca="1" si="82">AA269-1220</f>
        <v>14278.981575500282</v>
      </c>
      <c r="AC269" s="498">
        <f ca="1">IF(A269&gt;$A$1,#N/A,VLOOKUP(A269,Calculation!$B$8:$IV$881,155,FALSE))</f>
        <v>15986.000000034795</v>
      </c>
      <c r="AD269" s="498">
        <f t="shared" ref="AD269:AD332" ca="1" si="83">AC269-AC268</f>
        <v>-155.1000000001186</v>
      </c>
      <c r="AE269" s="498"/>
      <c r="AF269" s="501">
        <f>Calculation!G272</f>
        <v>137.05824508310607</v>
      </c>
      <c r="AG269" s="498" t="str">
        <f t="shared" ref="AG269:AG332" si="84">IF(I269&gt;L269,"Yes","No")</f>
        <v>Yes</v>
      </c>
      <c r="AH269" s="498" t="str">
        <f t="shared" ref="AH269:AH332" si="85">IF(AND(I269&gt;M269,J269&gt;N269),"Yes","No")</f>
        <v>No</v>
      </c>
      <c r="AK269" s="738">
        <v>32864.350000080456</v>
      </c>
      <c r="AL269" s="738">
        <v>20991.400000048168</v>
      </c>
      <c r="AM269" s="740">
        <v>34947.520000086035</v>
      </c>
      <c r="AR269" s="552">
        <f t="shared" ca="1" si="67"/>
        <v>40913.588119803848</v>
      </c>
      <c r="AS269" s="524"/>
      <c r="AT269" s="581">
        <f>Calculation!AR272*3.068</f>
        <v>2566.3978666666662</v>
      </c>
      <c r="AU269" s="575">
        <f ca="1">Calculation!DA272</f>
        <v>281.85661284308469</v>
      </c>
      <c r="AV269" s="575">
        <f>Calculation!CF272*3.068</f>
        <v>1205.5023723091349</v>
      </c>
      <c r="AW269" s="582">
        <f>Calculation!BK272*3.068</f>
        <v>1621.901572759122</v>
      </c>
      <c r="AX269" s="813" t="e">
        <f t="shared" si="68"/>
        <v>#DIV/0!</v>
      </c>
      <c r="AY269" s="561"/>
      <c r="AZ269" s="534">
        <f t="shared" ca="1" si="69"/>
        <v>40810.151683671254</v>
      </c>
      <c r="BA269" s="561"/>
      <c r="BB269" s="826">
        <f t="shared" si="70"/>
        <v>40890.155274007739</v>
      </c>
      <c r="BC269" s="561"/>
      <c r="BD269" s="844">
        <f t="shared" si="71"/>
        <v>41065.325549667396</v>
      </c>
      <c r="BE269" s="553"/>
    </row>
    <row r="270" spans="1:57" ht="13.5" thickBot="1">
      <c r="A270" s="513">
        <v>40802</v>
      </c>
      <c r="B270" s="498">
        <f t="shared" si="79"/>
        <v>114.71004999997973</v>
      </c>
      <c r="C270" s="498">
        <f>Calculation!AA273</f>
        <v>0</v>
      </c>
      <c r="D270" s="498">
        <f>Calculation!Y273</f>
        <v>20.925813207546227</v>
      </c>
      <c r="E270" s="498">
        <f>Calculation!U273</f>
        <v>72.012849999981981</v>
      </c>
      <c r="F270" s="498">
        <f>Calculation!V273</f>
        <v>42.69719999999775</v>
      </c>
      <c r="G270" s="498">
        <f>Calculation!W273</f>
        <v>0</v>
      </c>
      <c r="H270" s="500">
        <f>Sheet1!H273</f>
        <v>1.66</v>
      </c>
      <c r="I270" s="501">
        <f>Sheet1!CW273</f>
        <v>292.26041666666669</v>
      </c>
      <c r="J270" s="501">
        <f>Sheet1!CX273</f>
        <v>215.91666666666666</v>
      </c>
      <c r="K270" s="501">
        <f>Sheet1!CV273</f>
        <v>327.875</v>
      </c>
      <c r="L270" s="501">
        <f>Calculation!F273</f>
        <v>250</v>
      </c>
      <c r="M270" s="501">
        <f>Calculation!E273</f>
        <v>250</v>
      </c>
      <c r="N270" s="501">
        <f>Calculation!D273</f>
        <v>300</v>
      </c>
      <c r="O270" s="500">
        <f>Sheet1!CY273</f>
        <v>1148.02</v>
      </c>
      <c r="P270" s="514">
        <f>Calculation!ET273</f>
        <v>1126</v>
      </c>
      <c r="Q270" s="498">
        <f>Calculation!DF273</f>
        <v>31202.840000077882</v>
      </c>
      <c r="R270" s="500">
        <f t="shared" si="75"/>
        <v>29982.840000077882</v>
      </c>
      <c r="S270" s="498">
        <f t="shared" si="80"/>
        <v>-356.80000000040673</v>
      </c>
      <c r="T270" s="498">
        <f ca="1">IF(A270&gt;$A$1,#N/A,VLOOKUP(A270,Calculation!$B$8:$IV$881,30,FALSE))</f>
        <v>5634.1584925025381</v>
      </c>
      <c r="U270" s="498">
        <f t="shared" si="76"/>
        <v>20.925813207546227</v>
      </c>
      <c r="V270" s="498">
        <f>Calculation!AP273</f>
        <v>0</v>
      </c>
      <c r="W270" s="498">
        <f t="shared" ca="1" si="74"/>
        <v>10385</v>
      </c>
      <c r="X270" s="498">
        <v>0</v>
      </c>
      <c r="Y270" s="744">
        <f t="shared" ca="1" si="73"/>
        <v>0</v>
      </c>
      <c r="Z270" s="748">
        <f t="shared" ca="1" si="78"/>
        <v>10385</v>
      </c>
      <c r="AA270" s="498">
        <f t="shared" ca="1" si="81"/>
        <v>15183.681507575344</v>
      </c>
      <c r="AB270" s="501">
        <f t="shared" ca="1" si="82"/>
        <v>13963.681507575344</v>
      </c>
      <c r="AC270" s="498">
        <f ca="1">IF(A270&gt;$A$1,#N/A,VLOOKUP(A270,Calculation!$B$8:$IV$881,155,FALSE))</f>
        <v>15834.800000033805</v>
      </c>
      <c r="AD270" s="498">
        <f t="shared" ca="1" si="83"/>
        <v>-151.20000000099026</v>
      </c>
      <c r="AE270" s="498"/>
      <c r="AF270" s="501">
        <f>Calculation!G273</f>
        <v>147.9456001006522</v>
      </c>
      <c r="AG270" s="498" t="str">
        <f t="shared" si="84"/>
        <v>Yes</v>
      </c>
      <c r="AH270" s="498" t="str">
        <f t="shared" si="85"/>
        <v>No</v>
      </c>
      <c r="AK270" s="738">
        <v>32647.150000080459</v>
      </c>
      <c r="AL270" s="738">
        <v>20767.400000048023</v>
      </c>
      <c r="AM270" s="740">
        <v>34199.560000084217</v>
      </c>
      <c r="AR270" s="552">
        <f t="shared" ca="1" si="67"/>
        <v>40916.940299678543</v>
      </c>
      <c r="AS270" s="524"/>
      <c r="AT270" s="581">
        <f>Calculation!AR273*3.068</f>
        <v>2566.3978666666662</v>
      </c>
      <c r="AU270" s="575">
        <f ca="1">Calculation!DA273</f>
        <v>254.17381284308615</v>
      </c>
      <c r="AV270" s="575">
        <f>Calculation!CF273*3.068</f>
        <v>1197.8212402336635</v>
      </c>
      <c r="AW270" s="582">
        <f>Calculation!BK273*3.068</f>
        <v>1615.7655727591221</v>
      </c>
      <c r="AX270" s="813" t="e">
        <f t="shared" si="68"/>
        <v>#DIV/0!</v>
      </c>
      <c r="AY270" s="561"/>
      <c r="AZ270" s="534">
        <f t="shared" ca="1" si="69"/>
        <v>40810.292909094685</v>
      </c>
      <c r="BA270" s="561"/>
      <c r="BB270" s="826">
        <f t="shared" si="70"/>
        <v>40897.983282816538</v>
      </c>
      <c r="BC270" s="561"/>
      <c r="BD270" s="844">
        <f t="shared" si="71"/>
        <v>41065.325549667396</v>
      </c>
      <c r="BE270" s="553"/>
    </row>
    <row r="271" spans="1:57" ht="13.5" thickBot="1">
      <c r="A271" s="513">
        <v>40803</v>
      </c>
      <c r="B271" s="498">
        <f t="shared" si="79"/>
        <v>107.12975000001126</v>
      </c>
      <c r="C271" s="498">
        <f>Calculation!AA274</f>
        <v>0</v>
      </c>
      <c r="D271" s="498">
        <f>Calculation!Y274</f>
        <v>20.2155531914904</v>
      </c>
      <c r="E271" s="498">
        <f>Calculation!U274</f>
        <v>70.156450000009002</v>
      </c>
      <c r="F271" s="498">
        <f>Calculation!V274</f>
        <v>36.973300000002247</v>
      </c>
      <c r="G271" s="498">
        <f>Calculation!W274</f>
        <v>0</v>
      </c>
      <c r="H271" s="500">
        <f>Sheet1!H274</f>
        <v>1.35</v>
      </c>
      <c r="I271" s="501">
        <f>Sheet1!CW274</f>
        <v>364.38541666666669</v>
      </c>
      <c r="J271" s="501">
        <f>Sheet1!CX274</f>
        <v>261</v>
      </c>
      <c r="K271" s="501">
        <f>Sheet1!CV274</f>
        <v>361.66666666666669</v>
      </c>
      <c r="L271" s="501">
        <f>Calculation!F274</f>
        <v>250</v>
      </c>
      <c r="M271" s="501">
        <f>Calculation!E274</f>
        <v>250</v>
      </c>
      <c r="N271" s="501">
        <f>Calculation!D274</f>
        <v>300</v>
      </c>
      <c r="O271" s="500">
        <f>Sheet1!CY274</f>
        <v>1147.57</v>
      </c>
      <c r="P271" s="514">
        <f>Calculation!ET274</f>
        <v>1125.7</v>
      </c>
      <c r="Q271" s="498">
        <f>Calculation!DF274</f>
        <v>30807.460000076258</v>
      </c>
      <c r="R271" s="500">
        <f t="shared" si="75"/>
        <v>29587.460000076258</v>
      </c>
      <c r="S271" s="498">
        <f t="shared" si="80"/>
        <v>-395.38000000162356</v>
      </c>
      <c r="T271" s="498">
        <f ca="1">IF(A271&gt;$A$1,#N/A,VLOOKUP(A271,Calculation!$B$8:$IV$881,30,FALSE))</f>
        <v>5594.0671433160533</v>
      </c>
      <c r="U271" s="498">
        <f t="shared" si="76"/>
        <v>20.2155531914904</v>
      </c>
      <c r="V271" s="498">
        <f>Calculation!AP274</f>
        <v>0</v>
      </c>
      <c r="W271" s="498">
        <f t="shared" ca="1" si="74"/>
        <v>10385</v>
      </c>
      <c r="X271" s="498">
        <v>0</v>
      </c>
      <c r="Y271" s="744">
        <f t="shared" ca="1" si="73"/>
        <v>0</v>
      </c>
      <c r="Z271" s="748">
        <f t="shared" ca="1" si="78"/>
        <v>10385</v>
      </c>
      <c r="AA271" s="498">
        <f t="shared" ca="1" si="81"/>
        <v>14828.392856760205</v>
      </c>
      <c r="AB271" s="501">
        <f t="shared" ca="1" si="82"/>
        <v>13608.392856760205</v>
      </c>
      <c r="AC271" s="498">
        <f ca="1">IF(A271&gt;$A$1,#N/A,VLOOKUP(A271,Calculation!$B$8:$IV$881,155,FALSE))</f>
        <v>15734.000000033691</v>
      </c>
      <c r="AD271" s="498">
        <f t="shared" ca="1" si="83"/>
        <v>-100.80000000011387</v>
      </c>
      <c r="AE271" s="498"/>
      <c r="AF271" s="501">
        <f>Calculation!G274</f>
        <v>162.28189611617577</v>
      </c>
      <c r="AG271" s="498" t="str">
        <f t="shared" si="84"/>
        <v>Yes</v>
      </c>
      <c r="AH271" s="498" t="str">
        <f t="shared" si="85"/>
        <v>No</v>
      </c>
      <c r="AK271" s="738">
        <v>32457.100000080252</v>
      </c>
      <c r="AL271" s="738">
        <v>20492.580000046313</v>
      </c>
      <c r="AM271" s="740">
        <v>33294.460000082116</v>
      </c>
      <c r="AR271" s="552">
        <f t="shared" ca="1" si="67"/>
        <v>40921.776576478493</v>
      </c>
      <c r="AS271" s="524"/>
      <c r="AT271" s="581">
        <f>Calculation!AR274*3.068</f>
        <v>2566.3978666666662</v>
      </c>
      <c r="AU271" s="575">
        <f ca="1">Calculation!DA274</f>
        <v>228.04960725276331</v>
      </c>
      <c r="AV271" s="575">
        <f>Calculation!CF274*3.068</f>
        <v>1189.9900966375012</v>
      </c>
      <c r="AW271" s="582">
        <f>Calculation!BK274*3.068</f>
        <v>1609.6295727591219</v>
      </c>
      <c r="AX271" s="813" t="e">
        <f t="shared" si="68"/>
        <v>#DIV/0!</v>
      </c>
      <c r="AY271" s="561"/>
      <c r="AZ271" s="534">
        <f t="shared" ca="1" si="69"/>
        <v>40810.565701217856</v>
      </c>
      <c r="BA271" s="561"/>
      <c r="BB271" s="826">
        <f t="shared" si="70"/>
        <v>40908.630429760975</v>
      </c>
      <c r="BC271" s="561"/>
      <c r="BD271" s="844">
        <f t="shared" si="71"/>
        <v>41065.325549667396</v>
      </c>
      <c r="BE271" s="553"/>
    </row>
    <row r="272" spans="1:57" ht="13.5" thickBot="1">
      <c r="A272" s="513">
        <v>40804</v>
      </c>
      <c r="B272" s="498">
        <f t="shared" si="79"/>
        <v>86.632000000011246</v>
      </c>
      <c r="C272" s="498">
        <f>Calculation!AA275</f>
        <v>0</v>
      </c>
      <c r="D272" s="498">
        <f>Calculation!Y275</f>
        <v>20.111000000000001</v>
      </c>
      <c r="E272" s="498">
        <f>Calculation!U275</f>
        <v>55.846700000009001</v>
      </c>
      <c r="F272" s="498">
        <f>Calculation!V275</f>
        <v>30.785300000002248</v>
      </c>
      <c r="G272" s="498">
        <f>Calculation!W275</f>
        <v>0</v>
      </c>
      <c r="H272" s="500">
        <f>Sheet1!H275</f>
        <v>1.77</v>
      </c>
      <c r="I272" s="501">
        <f>Sheet1!CW275</f>
        <v>419.30208333333331</v>
      </c>
      <c r="J272" s="501">
        <f>Sheet1!CX275</f>
        <v>291.15625</v>
      </c>
      <c r="K272" s="501">
        <f>Sheet1!CV275</f>
        <v>361.29166666666669</v>
      </c>
      <c r="L272" s="501">
        <f>Calculation!F275</f>
        <v>250</v>
      </c>
      <c r="M272" s="501">
        <f>Calculation!E275</f>
        <v>250</v>
      </c>
      <c r="N272" s="501">
        <f>Calculation!D275</f>
        <v>300</v>
      </c>
      <c r="O272" s="500">
        <f>Sheet1!CY275</f>
        <v>1147.27</v>
      </c>
      <c r="P272" s="514">
        <f>Calculation!ET275</f>
        <v>1125.5</v>
      </c>
      <c r="Q272" s="498">
        <f>Calculation!DF275</f>
        <v>30544.060000076061</v>
      </c>
      <c r="R272" s="500">
        <f t="shared" si="75"/>
        <v>29324.060000076061</v>
      </c>
      <c r="S272" s="498">
        <f t="shared" si="80"/>
        <v>-263.40000000019791</v>
      </c>
      <c r="T272" s="498">
        <f ca="1">IF(A272&gt;$A$1,#N/A,VLOOKUP(A272,Calculation!$B$8:$IV$881,30,FALSE))</f>
        <v>5554.1831433160532</v>
      </c>
      <c r="U272" s="498">
        <f t="shared" si="76"/>
        <v>20.111000000000001</v>
      </c>
      <c r="V272" s="498">
        <f>Calculation!AP275</f>
        <v>0</v>
      </c>
      <c r="W272" s="498">
        <f t="shared" ca="1" si="74"/>
        <v>10385</v>
      </c>
      <c r="X272" s="498">
        <v>0</v>
      </c>
      <c r="Y272" s="744">
        <f t="shared" ca="1" si="73"/>
        <v>0</v>
      </c>
      <c r="Z272" s="748">
        <f t="shared" ca="1" si="78"/>
        <v>10385</v>
      </c>
      <c r="AA272" s="498">
        <f t="shared" ca="1" si="81"/>
        <v>14604.876856760005</v>
      </c>
      <c r="AB272" s="501">
        <f t="shared" ca="1" si="82"/>
        <v>13384.876856760005</v>
      </c>
      <c r="AC272" s="498">
        <f ca="1">IF(A272&gt;$A$1,#N/A,VLOOKUP(A272,Calculation!$B$8:$IV$881,155,FALSE))</f>
        <v>15582.800000033576</v>
      </c>
      <c r="AD272" s="498">
        <f t="shared" ca="1" si="83"/>
        <v>-151.20000000011532</v>
      </c>
      <c r="AE272" s="498"/>
      <c r="AF272" s="501">
        <f>Calculation!G275</f>
        <v>228.46261976792849</v>
      </c>
      <c r="AG272" s="498" t="str">
        <f t="shared" si="84"/>
        <v>Yes</v>
      </c>
      <c r="AH272" s="498" t="str">
        <f t="shared" si="85"/>
        <v>No</v>
      </c>
      <c r="AK272" s="738">
        <v>32167.500000079839</v>
      </c>
      <c r="AL272" s="738">
        <v>20219.340000046031</v>
      </c>
      <c r="AM272" s="740">
        <v>32420.900000080252</v>
      </c>
      <c r="AR272" s="552">
        <f t="shared" ca="1" si="67"/>
        <v>40927.316533582438</v>
      </c>
      <c r="AS272" s="524"/>
      <c r="AT272" s="581">
        <f>Calculation!AR275*3.068</f>
        <v>2566.3978666666662</v>
      </c>
      <c r="AU272" s="575">
        <f ca="1">Calculation!DA275</f>
        <v>201.97160725276331</v>
      </c>
      <c r="AV272" s="575">
        <f>Calculation!CF275*3.068</f>
        <v>1182.3200966375011</v>
      </c>
      <c r="AW272" s="582">
        <f>Calculation!BK275*3.068</f>
        <v>1603.4935727591219</v>
      </c>
      <c r="AX272" s="813" t="e">
        <f t="shared" si="68"/>
        <v>#DIV/0!</v>
      </c>
      <c r="AY272" s="561"/>
      <c r="AZ272" s="534">
        <f t="shared" ca="1" si="69"/>
        <v>40810.908557444047</v>
      </c>
      <c r="BA272" s="561"/>
      <c r="BB272" s="826">
        <f t="shared" si="70"/>
        <v>40920.217375487176</v>
      </c>
      <c r="BC272" s="561"/>
      <c r="BD272" s="844">
        <f t="shared" si="71"/>
        <v>41065.325549667396</v>
      </c>
      <c r="BE272" s="553"/>
    </row>
    <row r="273" spans="1:57" ht="13.5" thickBot="1">
      <c r="A273" s="513">
        <v>40805</v>
      </c>
      <c r="B273" s="498">
        <f t="shared" si="79"/>
        <v>99.503039999977034</v>
      </c>
      <c r="C273" s="498">
        <f>Calculation!AA276</f>
        <v>0</v>
      </c>
      <c r="D273" s="498">
        <f>Calculation!Y276</f>
        <v>20.194437382111587</v>
      </c>
      <c r="E273" s="498">
        <f>Calculation!U276</f>
        <v>61.570599999981987</v>
      </c>
      <c r="F273" s="498">
        <f>Calculation!V276</f>
        <v>37.932439999995047</v>
      </c>
      <c r="G273" s="498">
        <f>Calculation!W276</f>
        <v>0</v>
      </c>
      <c r="H273" s="500">
        <f>Sheet1!H276</f>
        <v>1.48</v>
      </c>
      <c r="I273" s="501">
        <f>Sheet1!CW276</f>
        <v>441.83333333333331</v>
      </c>
      <c r="J273" s="501">
        <f>Sheet1!CX276</f>
        <v>280.25</v>
      </c>
      <c r="K273" s="501">
        <f>Sheet1!CV276</f>
        <v>360.66666666666669</v>
      </c>
      <c r="L273" s="501">
        <f>Calculation!F276</f>
        <v>250</v>
      </c>
      <c r="M273" s="501">
        <f>Calculation!E276</f>
        <v>250</v>
      </c>
      <c r="N273" s="501">
        <f>Calculation!D276</f>
        <v>300</v>
      </c>
      <c r="O273" s="500">
        <f>Sheet1!CY276</f>
        <v>1146.98</v>
      </c>
      <c r="P273" s="514">
        <f>Calculation!ET276</f>
        <v>1125.2</v>
      </c>
      <c r="Q273" s="498">
        <f>Calculation!DF276</f>
        <v>30289.700000074739</v>
      </c>
      <c r="R273" s="500">
        <f t="shared" si="75"/>
        <v>29069.700000074739</v>
      </c>
      <c r="S273" s="498">
        <f t="shared" si="80"/>
        <v>-254.36000000132117</v>
      </c>
      <c r="T273" s="498">
        <f ca="1">IF(A273&gt;$A$1,#N/A,VLOOKUP(A273,Calculation!$B$8:$IV$881,30,FALSE))</f>
        <v>5514.1336708607723</v>
      </c>
      <c r="U273" s="498">
        <f t="shared" si="76"/>
        <v>20.194437382111587</v>
      </c>
      <c r="V273" s="498">
        <f>Calculation!AP276</f>
        <v>0</v>
      </c>
      <c r="W273" s="498">
        <f t="shared" ca="1" si="74"/>
        <v>10385</v>
      </c>
      <c r="X273" s="498">
        <v>0</v>
      </c>
      <c r="Y273" s="744">
        <f t="shared" ca="1" si="73"/>
        <v>0</v>
      </c>
      <c r="Z273" s="748">
        <f t="shared" ca="1" si="78"/>
        <v>10385</v>
      </c>
      <c r="AA273" s="498">
        <f t="shared" ca="1" si="81"/>
        <v>14390.566329213965</v>
      </c>
      <c r="AB273" s="501">
        <f t="shared" ca="1" si="82"/>
        <v>13170.566329213965</v>
      </c>
      <c r="AC273" s="498">
        <f ca="1">IF(A273&gt;$A$1,#N/A,VLOOKUP(A273,Calculation!$B$8:$IV$881,155,FALSE))</f>
        <v>15432.800000032665</v>
      </c>
      <c r="AD273" s="498">
        <f t="shared" ca="1" si="83"/>
        <v>-150.00000000091131</v>
      </c>
      <c r="AE273" s="498"/>
      <c r="AF273" s="501">
        <f>Calculation!G276</f>
        <v>232.39636913700397</v>
      </c>
      <c r="AG273" s="498" t="str">
        <f t="shared" si="84"/>
        <v>Yes</v>
      </c>
      <c r="AH273" s="498" t="str">
        <f t="shared" si="85"/>
        <v>No</v>
      </c>
      <c r="AK273" s="738">
        <v>31880.760000078488</v>
      </c>
      <c r="AL273" s="738">
        <v>19946.100000045746</v>
      </c>
      <c r="AM273" s="740">
        <v>31595.320000078289</v>
      </c>
      <c r="AR273" s="552">
        <f t="shared" ca="1" si="67"/>
        <v>40933.067377159852</v>
      </c>
      <c r="AS273" s="524"/>
      <c r="AT273" s="581">
        <f>Calculation!AR276*3.068</f>
        <v>2566.3978666666662</v>
      </c>
      <c r="AU273" s="575">
        <f ca="1">Calculation!DA276</f>
        <v>175.88667307390492</v>
      </c>
      <c r="AV273" s="575">
        <f>Calculation!CF276*3.068</f>
        <v>1174.4915583610793</v>
      </c>
      <c r="AW273" s="582">
        <f>Calculation!BK276*3.068</f>
        <v>1597.3575727591219</v>
      </c>
      <c r="AX273" s="813" t="e">
        <f t="shared" si="68"/>
        <v>#DIV/0!</v>
      </c>
      <c r="AY273" s="561"/>
      <c r="AZ273" s="534">
        <f t="shared" ca="1" si="69"/>
        <v>40811.242044515398</v>
      </c>
      <c r="BA273" s="561"/>
      <c r="BB273" s="826">
        <f t="shared" si="70"/>
        <v>40933.066754620624</v>
      </c>
      <c r="BC273" s="561"/>
      <c r="BD273" s="844">
        <f t="shared" si="71"/>
        <v>41065.325549667396</v>
      </c>
      <c r="BE273" s="553"/>
    </row>
    <row r="274" spans="1:57" ht="13.5" thickBot="1">
      <c r="A274" s="513">
        <v>40806</v>
      </c>
      <c r="B274" s="498">
        <f t="shared" si="79"/>
        <v>109.48119000000629</v>
      </c>
      <c r="C274" s="498">
        <f>Calculation!AA277</f>
        <v>0</v>
      </c>
      <c r="D274" s="498">
        <f>Calculation!Y277</f>
        <v>20.169193586957071</v>
      </c>
      <c r="E274" s="498">
        <f>Calculation!U277</f>
        <v>53.835600000004497</v>
      </c>
      <c r="F274" s="498">
        <f>Calculation!V277</f>
        <v>55.645590000001796</v>
      </c>
      <c r="G274" s="498">
        <f>Calculation!W277</f>
        <v>0</v>
      </c>
      <c r="H274" s="500">
        <f>Sheet1!H277</f>
        <v>1.73</v>
      </c>
      <c r="I274" s="501">
        <f>Sheet1!CW277</f>
        <v>398.32291666666669</v>
      </c>
      <c r="J274" s="501">
        <f>Sheet1!CX277</f>
        <v>278.28125</v>
      </c>
      <c r="K274" s="501">
        <f>Sheet1!CV277</f>
        <v>381.5</v>
      </c>
      <c r="L274" s="501">
        <f>Calculation!F277</f>
        <v>250</v>
      </c>
      <c r="M274" s="501">
        <f>Calculation!E277</f>
        <v>250</v>
      </c>
      <c r="N274" s="501">
        <f>Calculation!D277</f>
        <v>300</v>
      </c>
      <c r="O274" s="500">
        <f>Sheet1!CY277</f>
        <v>1146.52</v>
      </c>
      <c r="P274" s="514">
        <f>Calculation!ET277</f>
        <v>1124.9000000000001</v>
      </c>
      <c r="Q274" s="498">
        <f>Calculation!DF277</f>
        <v>29891.800000074345</v>
      </c>
      <c r="R274" s="500">
        <f t="shared" si="75"/>
        <v>28671.800000074345</v>
      </c>
      <c r="S274" s="498">
        <f t="shared" si="80"/>
        <v>-397.90000000039436</v>
      </c>
      <c r="T274" s="498">
        <f ca="1">IF(A274&gt;$A$1,#N/A,VLOOKUP(A274,Calculation!$B$8:$IV$881,30,FALSE))</f>
        <v>4874.033461730337</v>
      </c>
      <c r="U274" s="498">
        <f t="shared" si="76"/>
        <v>20.169193586957071</v>
      </c>
      <c r="V274" s="498">
        <f>Calculation!AP277</f>
        <v>0</v>
      </c>
      <c r="W274" s="498">
        <f ca="1">IF(A274&gt;=$A$1,#N/A,W273-X274*1.983)+600</f>
        <v>10863.54125</v>
      </c>
      <c r="X274" s="498">
        <v>61.25</v>
      </c>
      <c r="Y274" s="744">
        <f t="shared" ca="1" si="73"/>
        <v>0</v>
      </c>
      <c r="Z274" s="748">
        <f t="shared" ca="1" si="78"/>
        <v>10863.54125</v>
      </c>
      <c r="AA274" s="498">
        <f t="shared" ca="1" si="81"/>
        <v>14154.225288344007</v>
      </c>
      <c r="AB274" s="501">
        <f t="shared" ca="1" si="82"/>
        <v>12934.225288344007</v>
      </c>
      <c r="AC274" s="498">
        <f ca="1">IF(A274&gt;$A$1,#N/A,VLOOKUP(A274,Calculation!$B$8:$IV$881,155,FALSE))</f>
        <v>15334.400000032554</v>
      </c>
      <c r="AD274" s="498">
        <f t="shared" ca="1" si="83"/>
        <v>-98.400000000110595</v>
      </c>
      <c r="AE274" s="498"/>
      <c r="AF274" s="501">
        <f>Calculation!G277</f>
        <v>180.84442763469778</v>
      </c>
      <c r="AG274" s="498" t="str">
        <f t="shared" si="84"/>
        <v>Yes</v>
      </c>
      <c r="AH274" s="498" t="str">
        <f t="shared" si="85"/>
        <v>No</v>
      </c>
      <c r="AK274" s="738">
        <v>31577.480000078285</v>
      </c>
      <c r="AL274" s="738">
        <v>19739.040000044359</v>
      </c>
      <c r="AM274" s="740">
        <v>31018.18000007646</v>
      </c>
      <c r="AR274" s="552">
        <f t="shared" ca="1" si="67"/>
        <v>40835.407037541365</v>
      </c>
      <c r="AS274" s="524"/>
      <c r="AT274" s="581">
        <f>Calculation!AR277*3.068</f>
        <v>1966.2970666666663</v>
      </c>
      <c r="AU274" s="575">
        <f ca="1">Calculation!DA277</f>
        <v>766.36608347390404</v>
      </c>
      <c r="AV274" s="575">
        <f>Calculation!CF277*3.068</f>
        <v>550.14873883064445</v>
      </c>
      <c r="AW274" s="582">
        <f>Calculation!BK277*3.068</f>
        <v>1591.221572759122</v>
      </c>
      <c r="AX274" s="813">
        <f t="shared" si="68"/>
        <v>40817.468139574776</v>
      </c>
      <c r="AY274" s="561"/>
      <c r="AZ274" s="534">
        <f t="shared" ca="1" si="69"/>
        <v>40801.597244260687</v>
      </c>
      <c r="BA274" s="561"/>
      <c r="BB274" s="826">
        <f t="shared" si="70"/>
        <v>40809.420108835759</v>
      </c>
      <c r="BC274" s="561"/>
      <c r="BD274" s="844">
        <f t="shared" si="71"/>
        <v>41065.325549667396</v>
      </c>
      <c r="BE274" s="553"/>
    </row>
    <row r="275" spans="1:57" ht="13.5" thickBot="1">
      <c r="A275" s="513">
        <v>40807</v>
      </c>
      <c r="B275" s="498">
        <f t="shared" si="79"/>
        <v>110.53315000000674</v>
      </c>
      <c r="C275" s="498">
        <f>Calculation!AA278</f>
        <v>0</v>
      </c>
      <c r="D275" s="498">
        <f>Calculation!Y278</f>
        <v>20.231141009733935</v>
      </c>
      <c r="E275" s="498">
        <f>Calculation!U278</f>
        <v>54.980380000012602</v>
      </c>
      <c r="F275" s="498">
        <f>Calculation!V278</f>
        <v>55.552769999994148</v>
      </c>
      <c r="G275" s="498">
        <f>Calculation!W278</f>
        <v>0</v>
      </c>
      <c r="H275" s="500">
        <f>Sheet1!H278</f>
        <v>1.65</v>
      </c>
      <c r="I275" s="501">
        <f>Sheet1!CW278</f>
        <v>432.63541666666669</v>
      </c>
      <c r="J275" s="501">
        <f>Sheet1!CX278</f>
        <v>335.41666666666669</v>
      </c>
      <c r="K275" s="501">
        <f>Sheet1!CV278</f>
        <v>442.25</v>
      </c>
      <c r="L275" s="501">
        <f>Calculation!F278</f>
        <v>250</v>
      </c>
      <c r="M275" s="501">
        <f>Calculation!E278</f>
        <v>250</v>
      </c>
      <c r="N275" s="501">
        <f>Calculation!D278</f>
        <v>300</v>
      </c>
      <c r="O275" s="500">
        <f>Sheet1!CY278</f>
        <v>1145.9000000000001</v>
      </c>
      <c r="P275" s="514">
        <f>Calculation!ET278</f>
        <v>1124.7</v>
      </c>
      <c r="Q275" s="498">
        <f>Calculation!DF278</f>
        <v>29356.800000072839</v>
      </c>
      <c r="R275" s="500">
        <f t="shared" si="75"/>
        <v>28136.800000072839</v>
      </c>
      <c r="S275" s="498">
        <f t="shared" si="80"/>
        <v>-535.00000000150612</v>
      </c>
      <c r="T275" s="498">
        <f ca="1">IF(A275&gt;$A$1,#N/A,VLOOKUP(A275,Calculation!$B$8:$IV$881,30,FALSE))</f>
        <v>4833.9111988875038</v>
      </c>
      <c r="U275" s="498">
        <f t="shared" si="76"/>
        <v>20.231141009733935</v>
      </c>
      <c r="V275" s="498">
        <f>Calculation!AP278</f>
        <v>0</v>
      </c>
      <c r="W275" s="498">
        <f t="shared" ca="1" si="74"/>
        <v>10620.623750000001</v>
      </c>
      <c r="X275" s="498">
        <v>122.5</v>
      </c>
      <c r="Y275" s="744">
        <f t="shared" ca="1" si="73"/>
        <v>0</v>
      </c>
      <c r="Z275" s="748">
        <f t="shared" ca="1" si="78"/>
        <v>10620.623750000001</v>
      </c>
      <c r="AA275" s="498">
        <f t="shared" ca="1" si="81"/>
        <v>13902.265051185334</v>
      </c>
      <c r="AB275" s="501">
        <f t="shared" ca="1" si="82"/>
        <v>12682.265051185334</v>
      </c>
      <c r="AC275" s="498">
        <f ca="1">IF(A275&gt;$A$1,#N/A,VLOOKUP(A275,Calculation!$B$8:$IV$881,155,FALSE))</f>
        <v>15186.800000032441</v>
      </c>
      <c r="AD275" s="498">
        <f t="shared" ca="1" si="83"/>
        <v>-147.60000000011314</v>
      </c>
      <c r="AE275" s="498"/>
      <c r="AF275" s="501">
        <f>Calculation!G278</f>
        <v>172.45675743746546</v>
      </c>
      <c r="AG275" s="498" t="str">
        <f t="shared" si="84"/>
        <v>Yes</v>
      </c>
      <c r="AH275" s="498" t="str">
        <f t="shared" si="85"/>
        <v>Yes</v>
      </c>
      <c r="AK275" s="738">
        <v>31515.040000078083</v>
      </c>
      <c r="AL275" s="738">
        <v>19533.68000004422</v>
      </c>
      <c r="AM275" s="740">
        <v>30412.36000007586</v>
      </c>
      <c r="AR275" s="552">
        <f t="shared" ca="1" si="67"/>
        <v>40831.747090161371</v>
      </c>
      <c r="AS275" s="524"/>
      <c r="AT275" s="581">
        <f>Calculation!AR278*3.068</f>
        <v>1966.2970666666663</v>
      </c>
      <c r="AU275" s="575">
        <f ca="1">Calculation!DA278</f>
        <v>740.25580760186233</v>
      </c>
      <c r="AV275" s="575">
        <f>Calculation!CF278*3.068</f>
        <v>542.27275185985252</v>
      </c>
      <c r="AW275" s="582">
        <f>Calculation!BK278*3.068</f>
        <v>1585.085572759122</v>
      </c>
      <c r="AX275" s="813">
        <f t="shared" si="68"/>
        <v>40817.968139574776</v>
      </c>
      <c r="AY275" s="561"/>
      <c r="AZ275" s="534">
        <f t="shared" ca="1" si="69"/>
        <v>40801.784825320065</v>
      </c>
      <c r="BA275" s="561"/>
      <c r="BB275" s="826">
        <f t="shared" si="70"/>
        <v>40809.601820489028</v>
      </c>
      <c r="BC275" s="561"/>
      <c r="BD275" s="844">
        <f t="shared" si="71"/>
        <v>41065.325549667396</v>
      </c>
      <c r="BE275" s="553"/>
    </row>
    <row r="276" spans="1:57" ht="13.5" thickBot="1">
      <c r="A276" s="513">
        <v>40808</v>
      </c>
      <c r="B276" s="498">
        <f t="shared" si="79"/>
        <v>109.46571999999189</v>
      </c>
      <c r="C276" s="498">
        <f>Calculation!AA279</f>
        <v>0</v>
      </c>
      <c r="D276" s="498">
        <f>Calculation!Y279</f>
        <v>20.333259719380298</v>
      </c>
      <c r="E276" s="498">
        <f>Calculation!U279</f>
        <v>56.094219999991893</v>
      </c>
      <c r="F276" s="498">
        <f>Calculation!V279</f>
        <v>53.371499999999997</v>
      </c>
      <c r="G276" s="498">
        <f>Calculation!W279</f>
        <v>0</v>
      </c>
      <c r="H276" s="500">
        <f>Sheet1!H279</f>
        <v>1.52</v>
      </c>
      <c r="I276" s="501">
        <f>Sheet1!CW279</f>
        <v>474.97916666666669</v>
      </c>
      <c r="J276" s="501">
        <f>Sheet1!CX279</f>
        <v>375.57291666666669</v>
      </c>
      <c r="K276" s="501">
        <f>Sheet1!CV279</f>
        <v>480.70833333333331</v>
      </c>
      <c r="L276" s="501">
        <f>Calculation!F279</f>
        <v>250</v>
      </c>
      <c r="M276" s="501">
        <f>Calculation!E279</f>
        <v>250</v>
      </c>
      <c r="N276" s="501">
        <f>Calculation!D279</f>
        <v>300</v>
      </c>
      <c r="O276" s="500">
        <f>Sheet1!CY279</f>
        <v>1145.17</v>
      </c>
      <c r="P276" s="514">
        <f>Calculation!ET279</f>
        <v>1124.4000000000001</v>
      </c>
      <c r="Q276" s="498">
        <f>Calculation!DF279</f>
        <v>28734.840000072261</v>
      </c>
      <c r="R276" s="500">
        <f t="shared" si="75"/>
        <v>27514.840000072261</v>
      </c>
      <c r="S276" s="498">
        <f t="shared" si="80"/>
        <v>-621.96000000057757</v>
      </c>
      <c r="T276" s="498">
        <f ca="1">IF(A276&gt;$A$1,#N/A,VLOOKUP(A276,Calculation!$B$8:$IV$881,30,FALSE))</f>
        <v>4793.5864149062108</v>
      </c>
      <c r="U276" s="498">
        <f t="shared" si="76"/>
        <v>20.333259719380298</v>
      </c>
      <c r="V276" s="498">
        <v>0</v>
      </c>
      <c r="W276" s="498">
        <f ca="1">IF(A276&gt;=$A$1,#N/A,W275-X276*1.983)</f>
        <v>10256.247500000001</v>
      </c>
      <c r="X276" s="498">
        <v>183.75</v>
      </c>
      <c r="Y276" s="744">
        <f t="shared" ca="1" si="73"/>
        <v>0</v>
      </c>
      <c r="Z276" s="748">
        <f ca="1">W276-Y276</f>
        <v>10256.247500000001</v>
      </c>
      <c r="AA276" s="498">
        <f t="shared" ca="1" si="81"/>
        <v>13685.006085166049</v>
      </c>
      <c r="AB276" s="501">
        <f t="shared" ca="1" si="82"/>
        <v>12465.006085166049</v>
      </c>
      <c r="AC276" s="498">
        <f ca="1">IF(A276&gt;$A$1,#N/A,VLOOKUP(A276,Calculation!$B$8:$IV$881,155,FALSE))</f>
        <v>15039.200000032219</v>
      </c>
      <c r="AD276" s="498">
        <f t="shared" ca="1" si="83"/>
        <v>-147.60000000022228</v>
      </c>
      <c r="AE276" s="498"/>
      <c r="AF276" s="501">
        <f>Calculation!G279</f>
        <v>167.06234241019791</v>
      </c>
      <c r="AG276" s="498" t="str">
        <f t="shared" si="84"/>
        <v>Yes</v>
      </c>
      <c r="AH276" s="498" t="str">
        <f t="shared" si="85"/>
        <v>Yes</v>
      </c>
      <c r="AK276" s="738">
        <v>31515.040000078083</v>
      </c>
      <c r="AL276" s="738">
        <v>19274.150000042566</v>
      </c>
      <c r="AM276" s="740">
        <v>29632.300000074149</v>
      </c>
      <c r="AR276" s="552">
        <f t="shared" ca="1" si="67"/>
        <v>40831.110652433366</v>
      </c>
      <c r="AS276" s="524"/>
      <c r="AT276" s="581">
        <f>Calculation!AR279*3.068</f>
        <v>1966.2970666666663</v>
      </c>
      <c r="AU276" s="575">
        <f ca="1">Calculation!DA279</f>
        <v>713.80204262086261</v>
      </c>
      <c r="AV276" s="575">
        <f>Calculation!CF279*3.068</f>
        <v>534.53773285956026</v>
      </c>
      <c r="AW276" s="582">
        <f>Calculation!BK279*3.068</f>
        <v>1578.949572759122</v>
      </c>
      <c r="AX276" s="813">
        <f t="shared" si="68"/>
        <v>40818.468139574776</v>
      </c>
      <c r="AY276" s="561"/>
      <c r="AZ276" s="534">
        <f t="shared" ca="1" si="69"/>
        <v>40802.264944892857</v>
      </c>
      <c r="BA276" s="561"/>
      <c r="BB276" s="826">
        <f t="shared" si="70"/>
        <v>40810.014885527104</v>
      </c>
      <c r="BC276" s="561"/>
      <c r="BD276" s="844">
        <f t="shared" si="71"/>
        <v>41065.325549667396</v>
      </c>
      <c r="BE276" s="553"/>
    </row>
    <row r="277" spans="1:57" ht="13.5" thickBot="1">
      <c r="A277" s="513">
        <v>40809</v>
      </c>
      <c r="B277" s="498">
        <f t="shared" si="79"/>
        <v>102.87550000001124</v>
      </c>
      <c r="C277" s="498">
        <f>Calculation!AA280</f>
        <v>0</v>
      </c>
      <c r="D277" s="498">
        <f>Calculation!Y280</f>
        <v>19.073062806453883</v>
      </c>
      <c r="E277" s="498">
        <f>Calculation!U280</f>
        <v>55.382600000004501</v>
      </c>
      <c r="F277" s="498">
        <f>Calculation!V280</f>
        <v>47.492900000006749</v>
      </c>
      <c r="G277" s="498">
        <f>Calculation!W280</f>
        <v>0</v>
      </c>
      <c r="H277" s="500">
        <f>Sheet1!H280</f>
        <v>1.6</v>
      </c>
      <c r="I277" s="501">
        <f>Sheet1!CW280</f>
        <v>514.27083333333337</v>
      </c>
      <c r="J277" s="501">
        <f>Sheet1!CX280</f>
        <v>415.10416666666669</v>
      </c>
      <c r="K277" s="501">
        <f>Sheet1!CV280</f>
        <v>519.54166666666663</v>
      </c>
      <c r="L277" s="501">
        <f>Calculation!F280</f>
        <v>250</v>
      </c>
      <c r="M277" s="501">
        <f>Calculation!E280</f>
        <v>250</v>
      </c>
      <c r="N277" s="501">
        <f>Calculation!D280</f>
        <v>300</v>
      </c>
      <c r="O277" s="500">
        <f>Sheet1!CY280</f>
        <v>1144.3399999999999</v>
      </c>
      <c r="P277" s="514">
        <f>Calculation!ET280</f>
        <v>1124.0999999999999</v>
      </c>
      <c r="Q277" s="498">
        <f>Calculation!DF280</f>
        <v>28039.560000069974</v>
      </c>
      <c r="R277" s="500">
        <f t="shared" si="75"/>
        <v>26819.560000069974</v>
      </c>
      <c r="S277" s="498">
        <f t="shared" si="80"/>
        <v>-695.28000000228712</v>
      </c>
      <c r="T277" s="498">
        <f ca="1">IF(A277&gt;$A$1,#N/A,VLOOKUP(A277,Calculation!$B$8:$IV$881,30,FALSE))</f>
        <v>4755.7608449707222</v>
      </c>
      <c r="U277" s="498">
        <f t="shared" si="76"/>
        <v>19.073062806453883</v>
      </c>
      <c r="V277" s="498">
        <f>Calculation!AP280</f>
        <v>0</v>
      </c>
      <c r="W277" s="498">
        <f t="shared" ca="1" si="74"/>
        <v>9770.4125000000022</v>
      </c>
      <c r="X277" s="647">
        <v>245</v>
      </c>
      <c r="Y277" s="744">
        <f t="shared" ca="1" si="73"/>
        <v>0</v>
      </c>
      <c r="Z277" s="748">
        <f t="shared" ca="1" si="78"/>
        <v>9770.4125000000022</v>
      </c>
      <c r="AA277" s="498">
        <f t="shared" ca="1" si="81"/>
        <v>13513.38665509925</v>
      </c>
      <c r="AB277" s="501">
        <f t="shared" ca="1" si="82"/>
        <v>12293.38665509925</v>
      </c>
      <c r="AC277" s="498">
        <f ca="1">IF(A277&gt;$A$1,#N/A,VLOOKUP(A277,Calculation!$B$8:$IV$881,155,FALSE))</f>
        <v>14942.000000031432</v>
      </c>
      <c r="AD277" s="498">
        <f t="shared" ca="1" si="83"/>
        <v>-97.200000000786531</v>
      </c>
      <c r="AE277" s="498"/>
      <c r="AF277" s="501">
        <f>Calculation!G280</f>
        <v>168.92139435083857</v>
      </c>
      <c r="AG277" s="498" t="str">
        <f t="shared" si="84"/>
        <v>Yes</v>
      </c>
      <c r="AH277" s="498" t="str">
        <f t="shared" si="85"/>
        <v>Yes</v>
      </c>
      <c r="AK277" s="738">
        <v>30912.820000076459</v>
      </c>
      <c r="AL277" s="738">
        <v>18946.550000042298</v>
      </c>
      <c r="AM277" s="740">
        <v>28794.480000072257</v>
      </c>
      <c r="AR277" s="552">
        <f t="shared" ca="1" si="67"/>
        <v>40831.495159323866</v>
      </c>
      <c r="AS277" s="524"/>
      <c r="AT277" s="581">
        <f>Calculation!AR280*3.068</f>
        <v>1966.2970666666663</v>
      </c>
      <c r="AU277" s="575">
        <f ca="1">Calculation!DA280</f>
        <v>689.8905454595689</v>
      </c>
      <c r="AV277" s="575">
        <f>Calculation!CF280*3.068</f>
        <v>526.75966008536557</v>
      </c>
      <c r="AW277" s="582">
        <f>Calculation!BK280*3.068</f>
        <v>1572.8135727591221</v>
      </c>
      <c r="AX277" s="813">
        <f t="shared" si="68"/>
        <v>40818.968139574776</v>
      </c>
      <c r="AY277" s="561"/>
      <c r="AZ277" s="534">
        <f t="shared" ca="1" si="69"/>
        <v>40802.876696668231</v>
      </c>
      <c r="BA277" s="561"/>
      <c r="BB277" s="826">
        <f t="shared" si="70"/>
        <v>40810.486711455691</v>
      </c>
      <c r="BC277" s="561"/>
      <c r="BD277" s="844">
        <f t="shared" si="71"/>
        <v>41065.325549667396</v>
      </c>
      <c r="BE277" s="553"/>
    </row>
    <row r="278" spans="1:57" ht="13.5" thickBot="1">
      <c r="A278" s="513">
        <v>40810</v>
      </c>
      <c r="B278" s="498">
        <f t="shared" si="79"/>
        <v>103.60258999997929</v>
      </c>
      <c r="C278" s="498">
        <f>Calculation!AA281</f>
        <v>0</v>
      </c>
      <c r="D278" s="498">
        <f>Calculation!Y281</f>
        <v>18.666483123179329</v>
      </c>
      <c r="E278" s="498">
        <f>Calculation!U281</f>
        <v>55.67652999998559</v>
      </c>
      <c r="F278" s="498">
        <f>Calculation!V281</f>
        <v>47.926059999993697</v>
      </c>
      <c r="G278" s="498">
        <f>Calculation!W281</f>
        <v>0</v>
      </c>
      <c r="H278" s="500">
        <f>Sheet1!H281</f>
        <v>1.52</v>
      </c>
      <c r="I278" s="501">
        <f>Sheet1!CW281</f>
        <v>558.67708333333337</v>
      </c>
      <c r="J278" s="501">
        <f>Sheet1!CX281</f>
        <v>435.875</v>
      </c>
      <c r="K278" s="501">
        <f>Sheet1!CV281</f>
        <v>538.33333333333337</v>
      </c>
      <c r="L278" s="501">
        <f>Calculation!F281</f>
        <v>250</v>
      </c>
      <c r="M278" s="501">
        <f>Calculation!E281</f>
        <v>250</v>
      </c>
      <c r="N278" s="501">
        <f>Calculation!D281</f>
        <v>300</v>
      </c>
      <c r="O278" s="500">
        <f>Sheet1!CY281</f>
        <v>1143.43</v>
      </c>
      <c r="P278" s="514">
        <f>Calculation!ET281</f>
        <v>1123.9000000000001</v>
      </c>
      <c r="Q278" s="498">
        <f>Calculation!DF281</f>
        <v>27292.02000006774</v>
      </c>
      <c r="R278" s="500">
        <f t="shared" si="75"/>
        <v>26072.02000006774</v>
      </c>
      <c r="S278" s="498">
        <f t="shared" si="80"/>
        <v>-747.54000000223459</v>
      </c>
      <c r="T278" s="498">
        <f ca="1">IF(A278&gt;$A$1,#N/A,VLOOKUP(A278,Calculation!$B$8:$IV$881,30,FALSE))</f>
        <v>4718.7416011297955</v>
      </c>
      <c r="U278" s="498">
        <f t="shared" si="76"/>
        <v>18.666483123179329</v>
      </c>
      <c r="V278" s="498">
        <f>Calculation!AP281</f>
        <v>0</v>
      </c>
      <c r="W278" s="498">
        <f t="shared" ca="1" si="74"/>
        <v>9284.5775000000031</v>
      </c>
      <c r="X278" s="647">
        <v>245</v>
      </c>
      <c r="Y278" s="744">
        <f t="shared" ca="1" si="73"/>
        <v>0</v>
      </c>
      <c r="Z278" s="748">
        <f t="shared" ca="1" si="78"/>
        <v>9284.5775000000031</v>
      </c>
      <c r="AA278" s="498">
        <f t="shared" ca="1" si="81"/>
        <v>13288.700898937943</v>
      </c>
      <c r="AB278" s="501">
        <f t="shared" ca="1" si="82"/>
        <v>12068.700898937943</v>
      </c>
      <c r="AC278" s="498">
        <f ca="1">IF(A278&gt;$A$1,#N/A,VLOOKUP(A278,Calculation!$B$8:$IV$881,155,FALSE))</f>
        <v>14798.000000031214</v>
      </c>
      <c r="AD278" s="498">
        <f t="shared" ca="1" si="83"/>
        <v>-144.00000000021828</v>
      </c>
      <c r="AE278" s="498"/>
      <c r="AF278" s="501">
        <f>Calculation!G281</f>
        <v>161.35905194037599</v>
      </c>
      <c r="AG278" s="498" t="str">
        <f t="shared" si="84"/>
        <v>Yes</v>
      </c>
      <c r="AH278" s="498" t="str">
        <f t="shared" si="85"/>
        <v>Yes</v>
      </c>
      <c r="AK278" s="738">
        <v>30211.850000074737</v>
      </c>
      <c r="AL278" s="738">
        <v>18626.720000040881</v>
      </c>
      <c r="AM278" s="740">
        <v>27939.480000069972</v>
      </c>
      <c r="AR278" s="552">
        <f t="shared" ca="1" si="67"/>
        <v>40832.808846401764</v>
      </c>
      <c r="AS278" s="524"/>
      <c r="AT278" s="581">
        <f>Calculation!AR281*3.068</f>
        <v>1966.2970666666663</v>
      </c>
      <c r="AU278" s="575">
        <f ca="1">Calculation!DA281</f>
        <v>666.68970058404659</v>
      </c>
      <c r="AV278" s="575">
        <f>Calculation!CF281*3.068</f>
        <v>519.07726111996089</v>
      </c>
      <c r="AW278" s="582">
        <f>Calculation!BK281*3.068</f>
        <v>1566.6775727591219</v>
      </c>
      <c r="AX278" s="813">
        <f t="shared" si="68"/>
        <v>40819.468139574776</v>
      </c>
      <c r="AY278" s="561"/>
      <c r="AZ278" s="534">
        <f t="shared" ca="1" si="69"/>
        <v>40803.674196238026</v>
      </c>
      <c r="BA278" s="561"/>
      <c r="BB278" s="826">
        <f t="shared" si="70"/>
        <v>40811.000593950826</v>
      </c>
      <c r="BC278" s="561"/>
      <c r="BD278" s="844">
        <f t="shared" si="71"/>
        <v>41065.325549667396</v>
      </c>
      <c r="BE278" s="553"/>
    </row>
    <row r="279" spans="1:57" ht="13.5" thickBot="1">
      <c r="A279" s="513">
        <v>40811</v>
      </c>
      <c r="B279" s="498">
        <f t="shared" si="79"/>
        <v>103.54071000002295</v>
      </c>
      <c r="C279" s="498">
        <f>Calculation!AA282</f>
        <v>0</v>
      </c>
      <c r="D279" s="498">
        <f>Calculation!Y282</f>
        <v>18.683063036178499</v>
      </c>
      <c r="E279" s="498">
        <f>Calculation!U282</f>
        <v>55.707470000014403</v>
      </c>
      <c r="F279" s="498">
        <f>Calculation!V282</f>
        <v>47.833240000008551</v>
      </c>
      <c r="G279" s="498">
        <f>Calculation!W282</f>
        <v>0</v>
      </c>
      <c r="H279" s="500">
        <f>Sheet1!H282</f>
        <v>1.42</v>
      </c>
      <c r="I279" s="501">
        <f>Sheet1!CW282</f>
        <v>565.86458333333337</v>
      </c>
      <c r="J279" s="501">
        <f>Sheet1!CX282</f>
        <v>435.70833333333331</v>
      </c>
      <c r="K279" s="501">
        <f>Sheet1!CV282</f>
        <v>536.66666666666663</v>
      </c>
      <c r="L279" s="501">
        <f>Calculation!F282</f>
        <v>250</v>
      </c>
      <c r="M279" s="501">
        <f>Calculation!E282</f>
        <v>250</v>
      </c>
      <c r="N279" s="501">
        <f>Calculation!D282</f>
        <v>300</v>
      </c>
      <c r="O279" s="500">
        <f>Sheet1!CY282</f>
        <v>1142.57</v>
      </c>
      <c r="P279" s="514">
        <f>Calculation!ET282</f>
        <v>1123.5999999999999</v>
      </c>
      <c r="Q279" s="498">
        <f>Calculation!DF282</f>
        <v>26601.010000065271</v>
      </c>
      <c r="R279" s="500">
        <f t="shared" si="75"/>
        <v>25381.010000065271</v>
      </c>
      <c r="S279" s="498">
        <f t="shared" si="80"/>
        <v>-691.01000000246859</v>
      </c>
      <c r="T279" s="498">
        <f ca="1">IF(A279&gt;$A$1,#N/A,VLOOKUP(A279,Calculation!$B$8:$IV$881,30,FALSE))</f>
        <v>4681.6894761168714</v>
      </c>
      <c r="U279" s="498">
        <f t="shared" si="76"/>
        <v>18.683063036178499</v>
      </c>
      <c r="V279" s="498">
        <f>Calculation!AP282</f>
        <v>0</v>
      </c>
      <c r="W279" s="498">
        <f t="shared" ca="1" si="74"/>
        <v>8798.7425000000039</v>
      </c>
      <c r="X279" s="647">
        <v>245</v>
      </c>
      <c r="Y279" s="744">
        <f t="shared" ca="1" si="73"/>
        <v>0</v>
      </c>
      <c r="Z279" s="748">
        <f t="shared" ca="1" si="78"/>
        <v>8798.7425000000039</v>
      </c>
      <c r="AA279" s="498">
        <f t="shared" ca="1" si="81"/>
        <v>13120.578023948397</v>
      </c>
      <c r="AB279" s="501">
        <f t="shared" ca="1" si="82"/>
        <v>11900.578023948397</v>
      </c>
      <c r="AC279" s="498">
        <f ca="1">IF(A279&gt;$A$1,#N/A,VLOOKUP(A279,Calculation!$B$8:$IV$881,155,FALSE))</f>
        <v>14654.000000031105</v>
      </c>
      <c r="AD279" s="498">
        <f t="shared" ca="1" si="83"/>
        <v>-144.00000000010914</v>
      </c>
      <c r="AE279" s="498"/>
      <c r="AF279" s="501">
        <f>Calculation!G282</f>
        <v>188.19969742689432</v>
      </c>
      <c r="AG279" s="498" t="str">
        <f t="shared" si="84"/>
        <v>Yes</v>
      </c>
      <c r="AH279" s="498" t="str">
        <f t="shared" si="85"/>
        <v>Yes</v>
      </c>
      <c r="AK279" s="738">
        <v>29658.250000074149</v>
      </c>
      <c r="AL279" s="738">
        <v>18205.660000040494</v>
      </c>
      <c r="AM279" s="740">
        <v>27031.540000067373</v>
      </c>
      <c r="AR279" s="552">
        <f t="shared" ca="1" si="67"/>
        <v>40836.606936325137</v>
      </c>
      <c r="AS279" s="524"/>
      <c r="AT279" s="581">
        <f>Calculation!AR282*3.068</f>
        <v>1966.2970666666663</v>
      </c>
      <c r="AU279" s="575">
        <f ca="1">Calculation!DA282</f>
        <v>643.58686781918448</v>
      </c>
      <c r="AV279" s="575">
        <f>Calculation!CF282*3.068</f>
        <v>511.26396887189742</v>
      </c>
      <c r="AW279" s="582">
        <f>Calculation!BK282*3.068</f>
        <v>1560.5415727591219</v>
      </c>
      <c r="AX279" s="813">
        <f t="shared" si="68"/>
        <v>40819.968139574776</v>
      </c>
      <c r="AY279" s="561"/>
      <c r="AZ279" s="534">
        <f t="shared" ca="1" si="69"/>
        <v>40805.091746757571</v>
      </c>
      <c r="BA279" s="561"/>
      <c r="BB279" s="826">
        <f t="shared" si="70"/>
        <v>40811.612372662072</v>
      </c>
      <c r="BC279" s="561"/>
      <c r="BD279" s="844">
        <f t="shared" si="71"/>
        <v>41065.325549667396</v>
      </c>
      <c r="BE279" s="553"/>
    </row>
    <row r="280" spans="1:57" ht="13.5" thickBot="1">
      <c r="A280" s="513">
        <v>40812</v>
      </c>
      <c r="B280" s="498">
        <f t="shared" si="79"/>
        <v>104.42249999999999</v>
      </c>
      <c r="C280" s="498">
        <f>Calculation!AA283</f>
        <v>0</v>
      </c>
      <c r="D280" s="498">
        <f>Calculation!Y283</f>
        <v>18.860816268558885</v>
      </c>
      <c r="E280" s="498">
        <f>Calculation!U283</f>
        <v>56.1561000000045</v>
      </c>
      <c r="F280" s="498">
        <f>Calculation!V283</f>
        <v>48.266399999995492</v>
      </c>
      <c r="G280" s="498">
        <f>Calculation!W283</f>
        <v>0</v>
      </c>
      <c r="H280" s="500">
        <f>Sheet1!H283</f>
        <v>1.77</v>
      </c>
      <c r="I280" s="501">
        <f>Sheet1!CW283</f>
        <v>586.41666666666663</v>
      </c>
      <c r="J280" s="501">
        <f>Sheet1!CX283</f>
        <v>461.07291666666669</v>
      </c>
      <c r="K280" s="501">
        <f>Sheet1!CV283</f>
        <v>563.41666666666663</v>
      </c>
      <c r="L280" s="501">
        <f>Calculation!F283</f>
        <v>250</v>
      </c>
      <c r="M280" s="501">
        <f>Calculation!E283</f>
        <v>250</v>
      </c>
      <c r="N280" s="501">
        <f>Calculation!D283</f>
        <v>300</v>
      </c>
      <c r="O280" s="500">
        <f>Sheet1!CY283</f>
        <v>1141.71</v>
      </c>
      <c r="P280" s="514">
        <f>Calculation!ET283</f>
        <v>1123.3</v>
      </c>
      <c r="Q280" s="498">
        <f>Calculation!DF283</f>
        <v>25924.540000063178</v>
      </c>
      <c r="R280" s="500">
        <f t="shared" si="75"/>
        <v>24704.540000063178</v>
      </c>
      <c r="S280" s="498">
        <f t="shared" si="80"/>
        <v>-676.470000002093</v>
      </c>
      <c r="T280" s="498">
        <f ca="1">IF(A280&gt;$A$1,#N/A,VLOOKUP(A280,Calculation!$B$8:$IV$881,30,FALSE))</f>
        <v>4644.2848320884677</v>
      </c>
      <c r="U280" s="498">
        <f t="shared" si="76"/>
        <v>18.860816268558885</v>
      </c>
      <c r="V280" s="498">
        <f>Calculation!AP283</f>
        <v>0</v>
      </c>
      <c r="W280" s="498">
        <f t="shared" ca="1" si="74"/>
        <v>8312.9075000000048</v>
      </c>
      <c r="X280" s="647">
        <v>245</v>
      </c>
      <c r="Y280" s="744">
        <f t="shared" ca="1" si="73"/>
        <v>0</v>
      </c>
      <c r="Z280" s="748">
        <f t="shared" ca="1" si="78"/>
        <v>8312.9075000000048</v>
      </c>
      <c r="AA280" s="498">
        <f t="shared" ca="1" si="81"/>
        <v>12967.347667974707</v>
      </c>
      <c r="AB280" s="501">
        <f t="shared" ca="1" si="82"/>
        <v>11747.347667974707</v>
      </c>
      <c r="AC280" s="498">
        <f ca="1">IF(A280&gt;$A$1,#N/A,VLOOKUP(A280,Calculation!$B$8:$IV$881,155,FALSE))</f>
        <v>14558.000000030996</v>
      </c>
      <c r="AD280" s="498">
        <f t="shared" ca="1" si="83"/>
        <v>-96.000000000109139</v>
      </c>
      <c r="AE280" s="498"/>
      <c r="AF280" s="501">
        <f>Calculation!G283</f>
        <v>222.28202218754768</v>
      </c>
      <c r="AG280" s="498" t="str">
        <f t="shared" si="84"/>
        <v>Yes</v>
      </c>
      <c r="AH280" s="498" t="str">
        <f t="shared" si="85"/>
        <v>Yes</v>
      </c>
      <c r="AK280" s="738">
        <v>28973.400000072452</v>
      </c>
      <c r="AL280" s="738">
        <v>17660.640000038922</v>
      </c>
      <c r="AM280" s="740">
        <v>26133.520000063356</v>
      </c>
      <c r="AR280" s="552">
        <f t="shared" ca="1" si="67"/>
        <v>40933.622303831609</v>
      </c>
      <c r="AS280" s="524"/>
      <c r="AT280" s="581">
        <f>Calculation!AR283*3.068</f>
        <v>1966.2970666666663</v>
      </c>
      <c r="AU280" s="575">
        <f ca="1">Calculation!DA283</f>
        <v>620.22807840666246</v>
      </c>
      <c r="AV280" s="575">
        <f>Calculation!CF283*3.068</f>
        <v>503.35411425601694</v>
      </c>
      <c r="AW280" s="582">
        <f>Calculation!BK283*3.068</f>
        <v>1554.4055727591219</v>
      </c>
      <c r="AX280" s="813" t="e">
        <f t="shared" si="68"/>
        <v>#DIV/0!</v>
      </c>
      <c r="AY280" s="561"/>
      <c r="AZ280" s="534">
        <f t="shared" ca="1" si="69"/>
        <v>40837.499228313965</v>
      </c>
      <c r="BA280" s="561"/>
      <c r="BB280" s="826">
        <f t="shared" si="70"/>
        <v>40876.701013801423</v>
      </c>
      <c r="BC280" s="561"/>
      <c r="BD280" s="844">
        <f t="shared" si="71"/>
        <v>41065.325549667396</v>
      </c>
      <c r="BE280" s="553"/>
    </row>
    <row r="281" spans="1:57" ht="13.5" thickBot="1">
      <c r="A281" s="513">
        <v>40813</v>
      </c>
      <c r="B281" s="498">
        <f t="shared" si="79"/>
        <v>103.07660999998468</v>
      </c>
      <c r="C281" s="498">
        <f>Calculation!AA284</f>
        <v>0</v>
      </c>
      <c r="D281" s="498">
        <f>Calculation!Y284</f>
        <v>18.60145421086558</v>
      </c>
      <c r="E281" s="498">
        <f>Calculation!U284</f>
        <v>55.413539999988288</v>
      </c>
      <c r="F281" s="498">
        <f>Calculation!V284</f>
        <v>47.663069999996395</v>
      </c>
      <c r="G281" s="498">
        <f>Calculation!W284</f>
        <v>0</v>
      </c>
      <c r="H281" s="500">
        <f>Sheet1!H284</f>
        <v>2.0099999999999998</v>
      </c>
      <c r="I281" s="501">
        <f>Sheet1!CW284</f>
        <v>649.72916666666663</v>
      </c>
      <c r="J281" s="501">
        <f>Sheet1!CX284</f>
        <v>544.10416666666663</v>
      </c>
      <c r="K281" s="501">
        <f>Sheet1!CV284</f>
        <v>649.83333333333337</v>
      </c>
      <c r="L281" s="501">
        <f>Calculation!F284</f>
        <v>250</v>
      </c>
      <c r="M281" s="501">
        <f>Calculation!E284</f>
        <v>250</v>
      </c>
      <c r="N281" s="501">
        <f>Calculation!D284</f>
        <v>300</v>
      </c>
      <c r="O281" s="500">
        <f>Sheet1!CY284</f>
        <v>1140.8699999999999</v>
      </c>
      <c r="P281" s="514">
        <f>Calculation!ET284</f>
        <v>1123.0999999999999</v>
      </c>
      <c r="Q281" s="498">
        <f>Calculation!DF284</f>
        <v>25277.11000006078</v>
      </c>
      <c r="R281" s="500">
        <f t="shared" si="75"/>
        <v>24057.11000006078</v>
      </c>
      <c r="S281" s="498">
        <f t="shared" si="80"/>
        <v>-647.43000000239772</v>
      </c>
      <c r="T281" s="498">
        <f ca="1">IF(A281&gt;$A$1,#N/A,VLOOKUP(A281,Calculation!$B$8:$IV$881,30,FALSE))</f>
        <v>4607.3945531492727</v>
      </c>
      <c r="U281" s="498">
        <f t="shared" si="76"/>
        <v>18.60145421086558</v>
      </c>
      <c r="V281" s="498">
        <f>Calculation!AP284</f>
        <v>0</v>
      </c>
      <c r="W281" s="498">
        <f t="shared" ca="1" si="74"/>
        <v>7827.0725000000048</v>
      </c>
      <c r="X281" s="647">
        <v>245</v>
      </c>
      <c r="Y281" s="744">
        <f t="shared" ca="1" si="73"/>
        <v>0</v>
      </c>
      <c r="Z281" s="748">
        <f t="shared" ca="1" si="78"/>
        <v>7827.0725000000048</v>
      </c>
      <c r="AA281" s="498">
        <f t="shared" ca="1" si="81"/>
        <v>12842.642946911503</v>
      </c>
      <c r="AB281" s="501">
        <f t="shared" ca="1" si="82"/>
        <v>11622.642946911503</v>
      </c>
      <c r="AC281" s="498">
        <f ca="1">IF(A281&gt;$A$1,#N/A,VLOOKUP(A281,Calculation!$B$8:$IV$881,155,FALSE))</f>
        <v>14416.400000030113</v>
      </c>
      <c r="AD281" s="498">
        <f t="shared" ca="1" si="83"/>
        <v>-141.60000000088257</v>
      </c>
      <c r="AE281" s="498"/>
      <c r="AF281" s="501">
        <f>Calculation!G284</f>
        <v>323.34316691760085</v>
      </c>
      <c r="AG281" s="498" t="str">
        <f t="shared" si="84"/>
        <v>Yes</v>
      </c>
      <c r="AH281" s="498" t="str">
        <f t="shared" si="85"/>
        <v>Yes</v>
      </c>
      <c r="AK281" s="738">
        <v>28423.200000070352</v>
      </c>
      <c r="AL281" s="738">
        <v>17090.510000037393</v>
      </c>
      <c r="AM281" s="740">
        <v>25149.100000060778</v>
      </c>
      <c r="AR281" s="552">
        <f t="shared" ca="1" si="67"/>
        <v>40935.562213992809</v>
      </c>
      <c r="AS281" s="524"/>
      <c r="AT281" s="581">
        <f>Calculation!AR284*3.068</f>
        <v>1966.2970666666663</v>
      </c>
      <c r="AU281" s="575">
        <f ca="1">Calculation!DA284</f>
        <v>597.17765462917396</v>
      </c>
      <c r="AV281" s="575">
        <f>Calculation!CF284*3.068</f>
        <v>495.65025909430989</v>
      </c>
      <c r="AW281" s="582">
        <f>Calculation!BK284*3.068</f>
        <v>1548.269572759122</v>
      </c>
      <c r="AX281" s="813" t="e">
        <f t="shared" si="68"/>
        <v>#DIV/0!</v>
      </c>
      <c r="AY281" s="561"/>
      <c r="AZ281" s="534">
        <f t="shared" ca="1" si="69"/>
        <v>40838.185847367022</v>
      </c>
      <c r="BA281" s="561"/>
      <c r="BB281" s="826">
        <f t="shared" si="70"/>
        <v>40876.740778312138</v>
      </c>
      <c r="BC281" s="561"/>
      <c r="BD281" s="844">
        <f t="shared" si="71"/>
        <v>41065.325549667396</v>
      </c>
      <c r="BE281" s="553"/>
    </row>
    <row r="282" spans="1:57" ht="13.5" thickBot="1">
      <c r="A282" s="513">
        <v>40814</v>
      </c>
      <c r="B282" s="498">
        <f t="shared" si="79"/>
        <v>99.116290000010792</v>
      </c>
      <c r="C282" s="498">
        <f>Calculation!AA285</f>
        <v>0</v>
      </c>
      <c r="D282" s="498">
        <f>Calculation!Y285</f>
        <v>18.582088812287616</v>
      </c>
      <c r="E282" s="498">
        <f>Calculation!U285</f>
        <v>53.959360000007202</v>
      </c>
      <c r="F282" s="498">
        <f>Calculation!V285</f>
        <v>45.156930000003598</v>
      </c>
      <c r="G282" s="498">
        <f>Calculation!W285</f>
        <v>0</v>
      </c>
      <c r="H282" s="500">
        <f>Sheet1!H285</f>
        <v>1.54</v>
      </c>
      <c r="I282" s="501">
        <f>Sheet1!CW285</f>
        <v>732.3125</v>
      </c>
      <c r="J282" s="501">
        <f>Sheet1!CX285</f>
        <v>563.21875</v>
      </c>
      <c r="K282" s="501">
        <f>Sheet1!CV285</f>
        <v>662.375</v>
      </c>
      <c r="L282" s="501">
        <f>Calculation!F285</f>
        <v>250</v>
      </c>
      <c r="M282" s="501">
        <f>Calculation!E285</f>
        <v>250</v>
      </c>
      <c r="N282" s="501">
        <f>Calculation!D285</f>
        <v>300</v>
      </c>
      <c r="O282" s="500">
        <f>Sheet1!CY285</f>
        <v>1139.79</v>
      </c>
      <c r="P282" s="514">
        <f>Calculation!ET285</f>
        <v>1122.8</v>
      </c>
      <c r="Q282" s="498">
        <f>Calculation!DF285</f>
        <v>24467.860000058579</v>
      </c>
      <c r="R282" s="500">
        <f t="shared" si="75"/>
        <v>23247.860000058579</v>
      </c>
      <c r="S282" s="498">
        <f t="shared" si="80"/>
        <v>-809.25000000220098</v>
      </c>
      <c r="T282" s="498">
        <f ca="1">IF(A282&gt;$A$1,#N/A,VLOOKUP(A282,Calculation!$B$8:$IV$881,30,FALSE))</f>
        <v>4570.5426795383491</v>
      </c>
      <c r="U282" s="498">
        <f t="shared" si="76"/>
        <v>18.582088812287616</v>
      </c>
      <c r="V282" s="498">
        <f>Calculation!AP285</f>
        <v>0</v>
      </c>
      <c r="W282" s="498">
        <f ca="1">IF(A282&gt;=$A$1,#N/A,W281-X282*1.983)</f>
        <v>7341.2375000000047</v>
      </c>
      <c r="X282" s="647">
        <v>245</v>
      </c>
      <c r="Y282" s="744">
        <f t="shared" ca="1" si="73"/>
        <v>0</v>
      </c>
      <c r="Z282" s="748">
        <f t="shared" ca="1" si="78"/>
        <v>7341.2375000000047</v>
      </c>
      <c r="AA282" s="498">
        <f t="shared" ca="1" si="81"/>
        <v>12556.079820520225</v>
      </c>
      <c r="AB282" s="501">
        <f t="shared" ca="1" si="82"/>
        <v>11336.079820520225</v>
      </c>
      <c r="AC282" s="498">
        <f ca="1">IF(A282&gt;$A$1,#N/A,VLOOKUP(A282,Calculation!$B$8:$IV$881,155,FALSE))</f>
        <v>14276.000000030008</v>
      </c>
      <c r="AD282" s="498">
        <f t="shared" ca="1" si="83"/>
        <v>-140.40000000010514</v>
      </c>
      <c r="AE282" s="498"/>
      <c r="AF282" s="501">
        <f>Calculation!G285</f>
        <v>254.28120272203688</v>
      </c>
      <c r="AG282" s="498" t="str">
        <f t="shared" si="84"/>
        <v>Yes</v>
      </c>
      <c r="AH282" s="498" t="str">
        <f t="shared" si="85"/>
        <v>Yes</v>
      </c>
      <c r="AK282" s="738">
        <v>27839.400000069785</v>
      </c>
      <c r="AL282" s="738">
        <v>16524.120000036015</v>
      </c>
      <c r="AM282" s="740">
        <v>24313.720000058413</v>
      </c>
      <c r="AR282" s="552">
        <f t="shared" ca="1" si="67"/>
        <v>40937.005968009922</v>
      </c>
      <c r="AS282" s="524"/>
      <c r="AT282" s="581">
        <f>Calculation!AR285*3.068</f>
        <v>1966.2970666666663</v>
      </c>
      <c r="AU282" s="575">
        <f ca="1">Calculation!DA285</f>
        <v>574.13178101825054</v>
      </c>
      <c r="AV282" s="575">
        <f>Calculation!CF285*3.068</f>
        <v>487.98025909430987</v>
      </c>
      <c r="AW282" s="582">
        <f>Calculation!BK285*3.068</f>
        <v>1542.133572759122</v>
      </c>
      <c r="AX282" s="813" t="e">
        <f t="shared" si="68"/>
        <v>#DIV/0!</v>
      </c>
      <c r="AY282" s="561"/>
      <c r="AZ282" s="534">
        <f t="shared" ca="1" si="69"/>
        <v>40838.687275124801</v>
      </c>
      <c r="BA282" s="561"/>
      <c r="BB282" s="826">
        <f t="shared" si="70"/>
        <v>40876.778256700454</v>
      </c>
      <c r="BC282" s="561"/>
      <c r="BD282" s="844">
        <f t="shared" si="71"/>
        <v>41065.325549667396</v>
      </c>
      <c r="BE282" s="553"/>
    </row>
    <row r="283" spans="1:57" ht="13.5" thickBot="1">
      <c r="A283" s="513">
        <v>40815</v>
      </c>
      <c r="B283" s="498">
        <f t="shared" si="79"/>
        <v>95.09408999999053</v>
      </c>
      <c r="C283" s="498">
        <f>Calculation!AA286</f>
        <v>0</v>
      </c>
      <c r="D283" s="498">
        <f>Calculation!Y286</f>
        <v>18.630993491082666</v>
      </c>
      <c r="E283" s="498">
        <f>Calculation!U286</f>
        <v>52.75269999998649</v>
      </c>
      <c r="F283" s="498">
        <f>Calculation!V286</f>
        <v>42.341390000004047</v>
      </c>
      <c r="G283" s="498">
        <f>Calculation!W286</f>
        <v>0</v>
      </c>
      <c r="H283" s="500">
        <f>Sheet1!H286</f>
        <v>1.55</v>
      </c>
      <c r="I283" s="501">
        <f>Sheet1!CW286</f>
        <v>674.73958333333337</v>
      </c>
      <c r="J283" s="501">
        <f>Sheet1!CX286</f>
        <v>505.72916666666669</v>
      </c>
      <c r="K283" s="501">
        <f>Sheet1!CV286</f>
        <v>599.125</v>
      </c>
      <c r="L283" s="501">
        <f>Calculation!F286</f>
        <v>250</v>
      </c>
      <c r="M283" s="501">
        <f>Calculation!E286</f>
        <v>250</v>
      </c>
      <c r="N283" s="501">
        <f>Calculation!D286</f>
        <v>300</v>
      </c>
      <c r="O283" s="500">
        <f>Sheet1!CY286</f>
        <v>1138.76</v>
      </c>
      <c r="P283" s="514">
        <f>Calculation!ET286</f>
        <v>1122.5</v>
      </c>
      <c r="Q283" s="498">
        <f>Calculation!DF286</f>
        <v>23716.640000056334</v>
      </c>
      <c r="R283" s="500">
        <f t="shared" si="75"/>
        <v>22496.640000056334</v>
      </c>
      <c r="S283" s="498">
        <f t="shared" si="80"/>
        <v>-751.2200000022458</v>
      </c>
      <c r="T283" s="498">
        <f ca="1">IF(A283&gt;$A$1,#N/A,VLOOKUP(A283,Calculation!$B$8:$IV$881,30,FALSE))</f>
        <v>4533.5938184972101</v>
      </c>
      <c r="U283" s="498">
        <f t="shared" si="76"/>
        <v>18.630993491082666</v>
      </c>
      <c r="V283" s="498">
        <f>Calculation!AP286</f>
        <v>0</v>
      </c>
      <c r="W283" s="498">
        <f t="shared" ca="1" si="74"/>
        <v>6855.4025000000047</v>
      </c>
      <c r="X283" s="647">
        <v>245</v>
      </c>
      <c r="Y283" s="744">
        <f t="shared" ca="1" si="73"/>
        <v>0</v>
      </c>
      <c r="Z283" s="748">
        <f t="shared" ca="1" si="78"/>
        <v>6855.4025000000047</v>
      </c>
      <c r="AA283" s="498">
        <f t="shared" ca="1" si="81"/>
        <v>12327.643681559119</v>
      </c>
      <c r="AB283" s="501">
        <f t="shared" ca="1" si="82"/>
        <v>11107.643681559119</v>
      </c>
      <c r="AC283" s="498">
        <f ca="1">IF(A283&gt;$A$1,#N/A,VLOOKUP(A283,Calculation!$B$8:$IV$881,155,FALSE))</f>
        <v>14182.400000029902</v>
      </c>
      <c r="AD283" s="498">
        <f t="shared" ca="1" si="83"/>
        <v>-93.600000000105865</v>
      </c>
      <c r="AE283" s="498"/>
      <c r="AF283" s="501">
        <f>Calculation!G286</f>
        <v>220.29494452735969</v>
      </c>
      <c r="AG283" s="498" t="str">
        <f t="shared" si="84"/>
        <v>Yes</v>
      </c>
      <c r="AH283" s="498" t="str">
        <f t="shared" si="85"/>
        <v>Yes</v>
      </c>
      <c r="AK283" s="738">
        <v>27292.02000006774</v>
      </c>
      <c r="AL283" s="738">
        <v>15965.840000033921</v>
      </c>
      <c r="AM283" s="740">
        <v>23459.600000056169</v>
      </c>
      <c r="AR283" s="552">
        <f t="shared" ca="1" si="67"/>
        <v>40937.384034100454</v>
      </c>
      <c r="AS283" s="524"/>
      <c r="AT283" s="581">
        <f>Calculation!AR286*3.068</f>
        <v>1966.2970666666663</v>
      </c>
      <c r="AU283" s="575">
        <f ca="1">Calculation!DA286</f>
        <v>551.08327186644635</v>
      </c>
      <c r="AV283" s="575">
        <f>Calculation!CF286*3.068</f>
        <v>480.21590720497528</v>
      </c>
      <c r="AW283" s="582">
        <f>Calculation!BK286*3.068</f>
        <v>1535.997572759122</v>
      </c>
      <c r="AX283" s="813" t="e">
        <f t="shared" si="68"/>
        <v>#DIV/0!</v>
      </c>
      <c r="AY283" s="561"/>
      <c r="AZ283" s="534">
        <f t="shared" ca="1" si="69"/>
        <v>40838.809433520029</v>
      </c>
      <c r="BA283" s="561"/>
      <c r="BB283" s="826">
        <f t="shared" si="70"/>
        <v>40876.8319117227</v>
      </c>
      <c r="BC283" s="561"/>
      <c r="BD283" s="844">
        <f t="shared" si="71"/>
        <v>41065.325549667396</v>
      </c>
      <c r="BE283" s="553"/>
    </row>
    <row r="284" spans="1:57" ht="13.5" thickBot="1">
      <c r="A284" s="513">
        <v>40816</v>
      </c>
      <c r="B284" s="498">
        <f t="shared" si="79"/>
        <v>93.454270000000008</v>
      </c>
      <c r="C284" s="498">
        <f>Calculation!AA287</f>
        <v>0</v>
      </c>
      <c r="D284" s="498">
        <f>Calculation!Y287</f>
        <v>17.330993868106436</v>
      </c>
      <c r="E284" s="498">
        <f>Calculation!U287</f>
        <v>53.077570000000001</v>
      </c>
      <c r="F284" s="498">
        <f>Calculation!V287</f>
        <v>40.3767</v>
      </c>
      <c r="G284" s="498">
        <f>Calculation!W287</f>
        <v>0</v>
      </c>
      <c r="H284" s="500">
        <f>Sheet1!H287</f>
        <v>1.58</v>
      </c>
      <c r="I284" s="501">
        <f>Sheet1!CW287</f>
        <v>624.58333333333337</v>
      </c>
      <c r="J284" s="501">
        <f>Sheet1!CX287</f>
        <v>481.90625</v>
      </c>
      <c r="K284" s="501">
        <f>Sheet1!CV287</f>
        <v>573</v>
      </c>
      <c r="L284" s="501">
        <f>Calculation!F287</f>
        <v>250</v>
      </c>
      <c r="M284" s="501">
        <f>Calculation!E287</f>
        <v>250</v>
      </c>
      <c r="N284" s="501">
        <f>Calculation!D287</f>
        <v>300</v>
      </c>
      <c r="O284" s="500">
        <f>Sheet1!CY287</f>
        <v>1137.73</v>
      </c>
      <c r="P284" s="514">
        <f>Calculation!ET287</f>
        <v>1122.3</v>
      </c>
      <c r="Q284" s="498">
        <f>Calculation!DF287</f>
        <v>22986.350000054201</v>
      </c>
      <c r="R284" s="500">
        <f t="shared" si="75"/>
        <v>21766.350000054201</v>
      </c>
      <c r="S284" s="498">
        <f t="shared" si="80"/>
        <v>-730.29000000213273</v>
      </c>
      <c r="T284" s="498">
        <f ca="1">IF(A284&gt;$A$1,#N/A,VLOOKUP(A284,Calculation!$B$8:$IV$881,30,FALSE))</f>
        <v>4499.2231079688636</v>
      </c>
      <c r="U284" s="498">
        <f t="shared" si="76"/>
        <v>17.330993868106436</v>
      </c>
      <c r="V284" s="498">
        <f>Calculation!AP287</f>
        <v>0</v>
      </c>
      <c r="W284" s="498">
        <f t="shared" ca="1" si="74"/>
        <v>6369.5675000000047</v>
      </c>
      <c r="X284" s="647">
        <v>245</v>
      </c>
      <c r="Y284" s="744">
        <f t="shared" ca="1" si="73"/>
        <v>0</v>
      </c>
      <c r="Z284" s="748">
        <f t="shared" ca="1" si="78"/>
        <v>6369.5675000000047</v>
      </c>
      <c r="AA284" s="498">
        <f t="shared" ca="1" si="81"/>
        <v>12117.559392085332</v>
      </c>
      <c r="AB284" s="501">
        <f t="shared" ca="1" si="82"/>
        <v>10897.559392085332</v>
      </c>
      <c r="AC284" s="498">
        <f ca="1">IF(A284&gt;$A$1,#N/A,VLOOKUP(A284,Calculation!$B$8:$IV$881,155,FALSE))</f>
        <v>14042.000000029795</v>
      </c>
      <c r="AD284" s="498">
        <f t="shared" ca="1" si="83"/>
        <v>-140.40000000010696</v>
      </c>
      <c r="AE284" s="498"/>
      <c r="AF284" s="501">
        <f>Calculation!G287</f>
        <v>204.72465960558111</v>
      </c>
      <c r="AG284" s="498" t="str">
        <f t="shared" si="84"/>
        <v>Yes</v>
      </c>
      <c r="AH284" s="498" t="str">
        <f t="shared" si="85"/>
        <v>Yes</v>
      </c>
      <c r="AK284" s="738">
        <v>26680.310000065449</v>
      </c>
      <c r="AL284" s="738">
        <v>15413.120000032553</v>
      </c>
      <c r="AM284" s="740">
        <v>22569.350000053888</v>
      </c>
      <c r="AR284" s="552">
        <f t="shared" ca="1" si="67"/>
        <v>40938.433713105936</v>
      </c>
      <c r="AS284" s="524"/>
      <c r="AT284" s="581">
        <f>Calculation!AR287*3.068</f>
        <v>1966.2970666666663</v>
      </c>
      <c r="AU284" s="575">
        <f ca="1">Calculation!DA287</f>
        <v>527.76801000759565</v>
      </c>
      <c r="AV284" s="575">
        <f>Calculation!CF287*3.068</f>
        <v>472.49562182124993</v>
      </c>
      <c r="AW284" s="582">
        <f>Calculation!BK287*3.068</f>
        <v>1532.6624094733527</v>
      </c>
      <c r="AX284" s="813" t="e">
        <f t="shared" si="68"/>
        <v>#DIV/0!</v>
      </c>
      <c r="AY284" s="561"/>
      <c r="AZ284" s="534">
        <f t="shared" ca="1" si="69"/>
        <v>40838.811723942163</v>
      </c>
      <c r="BA284" s="561"/>
      <c r="BB284" s="826">
        <f t="shared" si="70"/>
        <v>40876.89937157782</v>
      </c>
      <c r="BC284" s="561"/>
      <c r="BD284" s="844">
        <f t="shared" si="71"/>
        <v>41077.204675127505</v>
      </c>
      <c r="BE284" s="553"/>
    </row>
    <row r="285" spans="1:57" ht="13.5" thickBot="1">
      <c r="A285" s="513">
        <v>40817</v>
      </c>
      <c r="B285" s="498">
        <f t="shared" si="79"/>
        <v>92.959229999999991</v>
      </c>
      <c r="C285" s="498">
        <f>Calculation!AA288</f>
        <v>0</v>
      </c>
      <c r="D285" s="498">
        <f>Calculation!Y288</f>
        <v>17.945259660624757</v>
      </c>
      <c r="E285" s="498">
        <f>Calculation!U288</f>
        <v>52.891929999999995</v>
      </c>
      <c r="F285" s="498">
        <f>Calculation!V288</f>
        <v>40.067299999999996</v>
      </c>
      <c r="G285" s="498">
        <f>Calculation!W288</f>
        <v>0</v>
      </c>
      <c r="H285" s="500">
        <f>Sheet1!H288</f>
        <v>1.62</v>
      </c>
      <c r="I285" s="501">
        <f>Sheet1!CW288</f>
        <v>619.83333333333337</v>
      </c>
      <c r="J285" s="501">
        <f>Sheet1!CX288</f>
        <v>478.25</v>
      </c>
      <c r="K285" s="501">
        <f>Sheet1!CV288</f>
        <v>570.66666666666663</v>
      </c>
      <c r="L285" s="501">
        <f>Calculation!F288</f>
        <v>250</v>
      </c>
      <c r="M285" s="501">
        <f>Calculation!E288</f>
        <v>250</v>
      </c>
      <c r="N285" s="501">
        <f>Calculation!D288</f>
        <v>300</v>
      </c>
      <c r="O285" s="500">
        <f>Sheet1!CY288</f>
        <v>1136.69</v>
      </c>
      <c r="P285" s="514">
        <f>Calculation!ET288</f>
        <v>1122</v>
      </c>
      <c r="Q285" s="498">
        <f>Calculation!DF288</f>
        <v>22269.130000052184</v>
      </c>
      <c r="R285" s="500">
        <f t="shared" si="75"/>
        <v>21049.130000052184</v>
      </c>
      <c r="S285" s="498">
        <f t="shared" si="80"/>
        <v>-717.2200000020166</v>
      </c>
      <c r="T285" s="498">
        <f ca="1">IF(A285&gt;$A$1,#N/A,VLOOKUP(A285,Calculation!$B$8:$IV$881,30,FALSE))</f>
        <v>4463.6341896503154</v>
      </c>
      <c r="U285" s="498">
        <f t="shared" si="76"/>
        <v>17.945259660624757</v>
      </c>
      <c r="V285" s="498">
        <f>Calculation!AP288</f>
        <v>0</v>
      </c>
      <c r="W285" s="498">
        <f t="shared" ca="1" si="74"/>
        <v>5883.7325000000046</v>
      </c>
      <c r="X285" s="647">
        <v>245</v>
      </c>
      <c r="Y285" s="744">
        <f t="shared" ca="1" si="73"/>
        <v>0</v>
      </c>
      <c r="Z285" s="748">
        <f t="shared" ca="1" si="78"/>
        <v>5883.7325000000046</v>
      </c>
      <c r="AA285" s="498">
        <f t="shared" ca="1" si="81"/>
        <v>11921.763310401864</v>
      </c>
      <c r="AB285" s="501">
        <f t="shared" ca="1" si="82"/>
        <v>10701.763310401864</v>
      </c>
      <c r="AC285" s="498">
        <f ca="1">IF(A285&gt;$A$1,#N/A,VLOOKUP(A285,Calculation!$B$8:$IV$881,155,FALSE))</f>
        <v>13904.900000028991</v>
      </c>
      <c r="AD285" s="498">
        <f t="shared" ca="1" si="83"/>
        <v>-137.10000000080436</v>
      </c>
      <c r="AE285" s="498"/>
      <c r="AF285" s="501">
        <f>Calculation!G288</f>
        <v>208.98234997376875</v>
      </c>
      <c r="AG285" s="498" t="str">
        <f t="shared" si="84"/>
        <v>Yes</v>
      </c>
      <c r="AH285" s="498" t="str">
        <f t="shared" si="85"/>
        <v>Yes</v>
      </c>
      <c r="AK285" s="738">
        <v>26040.64000006318</v>
      </c>
      <c r="AL285" s="738">
        <v>14841.200000031324</v>
      </c>
      <c r="AM285" s="740">
        <v>21710.020000050044</v>
      </c>
      <c r="AR285" s="552">
        <f t="shared" ca="1" si="67"/>
        <v>40939.705219050971</v>
      </c>
      <c r="AS285" s="524"/>
      <c r="AT285" s="581">
        <f>Calculation!AR288*3.068</f>
        <v>1966.2970666666663</v>
      </c>
      <c r="AU285" s="575">
        <f ca="1">Calculation!DA288</f>
        <v>504.66205366359259</v>
      </c>
      <c r="AV285" s="575">
        <f>Calculation!CF288*3.068</f>
        <v>463.29162182124992</v>
      </c>
      <c r="AW285" s="582">
        <f>Calculation!BK288*3.068</f>
        <v>1529.3834474988057</v>
      </c>
      <c r="AX285" s="813" t="e">
        <f t="shared" si="68"/>
        <v>#DIV/0!</v>
      </c>
      <c r="AY285" s="561"/>
      <c r="AZ285" s="534">
        <f t="shared" ca="1" si="69"/>
        <v>40838.814405180055</v>
      </c>
      <c r="BA285" s="561"/>
      <c r="BB285" s="826">
        <f t="shared" si="70"/>
        <v>40875.737253546737</v>
      </c>
      <c r="BC285" s="561"/>
      <c r="BD285" s="844">
        <f t="shared" si="71"/>
        <v>41099.46821855937</v>
      </c>
      <c r="BE285" s="553"/>
    </row>
    <row r="286" spans="1:57" ht="13.5" thickBot="1">
      <c r="A286" s="513">
        <v>40818</v>
      </c>
      <c r="B286" s="498">
        <f t="shared" si="79"/>
        <v>92.943760000002698</v>
      </c>
      <c r="C286" s="498">
        <f>Calculation!AA289</f>
        <v>0</v>
      </c>
      <c r="D286" s="498">
        <f>Calculation!Y289</f>
        <v>17.996726862213858</v>
      </c>
      <c r="E286" s="498">
        <f>Calculation!U289</f>
        <v>52.799110000007204</v>
      </c>
      <c r="F286" s="498">
        <f>Calculation!V289</f>
        <v>40.144649999995494</v>
      </c>
      <c r="G286" s="498">
        <f>Calculation!W289</f>
        <v>0</v>
      </c>
      <c r="H286" s="500">
        <f>Sheet1!H289</f>
        <v>1.68</v>
      </c>
      <c r="I286" s="501">
        <f>Sheet1!CW289</f>
        <v>616.5625</v>
      </c>
      <c r="J286" s="501">
        <f>Sheet1!CX289</f>
        <v>474.39583333333331</v>
      </c>
      <c r="K286" s="501">
        <f>Sheet1!CV289</f>
        <v>565.83333333333337</v>
      </c>
      <c r="L286" s="501">
        <f>Calculation!F289</f>
        <v>250</v>
      </c>
      <c r="M286" s="501">
        <f>Calculation!E289</f>
        <v>250</v>
      </c>
      <c r="N286" s="501">
        <f>Calculation!D289</f>
        <v>300</v>
      </c>
      <c r="O286" s="500">
        <f>Sheet1!CY289</f>
        <v>1135.6400000000001</v>
      </c>
      <c r="P286" s="514">
        <f>Calculation!ET289</f>
        <v>1121.7</v>
      </c>
      <c r="Q286" s="498">
        <f>Calculation!DF289</f>
        <v>21565.480000050044</v>
      </c>
      <c r="R286" s="500">
        <f t="shared" si="75"/>
        <v>20345.480000050044</v>
      </c>
      <c r="S286" s="498">
        <f t="shared" si="80"/>
        <v>-703.65000000214059</v>
      </c>
      <c r="T286" s="498">
        <f ca="1">IF(A286&gt;$A$1,#N/A,VLOOKUP(A286,Calculation!$B$8:$IV$881,30,FALSE))</f>
        <v>4427.943201923571</v>
      </c>
      <c r="U286" s="498">
        <f t="shared" si="76"/>
        <v>17.996726862213858</v>
      </c>
      <c r="V286" s="498">
        <f>Calculation!AP289</f>
        <v>0</v>
      </c>
      <c r="W286" s="498">
        <f t="shared" ca="1" si="74"/>
        <v>5397.8975000000046</v>
      </c>
      <c r="X286" s="647">
        <v>245</v>
      </c>
      <c r="Y286" s="744">
        <f t="shared" ca="1" si="73"/>
        <v>0</v>
      </c>
      <c r="Z286" s="748">
        <f t="shared" ca="1" si="78"/>
        <v>5397.8975000000046</v>
      </c>
      <c r="AA286" s="498">
        <f t="shared" ca="1" si="81"/>
        <v>11739.639298126467</v>
      </c>
      <c r="AB286" s="501">
        <f t="shared" ca="1" si="82"/>
        <v>10519.639298126467</v>
      </c>
      <c r="AC286" s="498">
        <f ca="1">IF(A286&gt;$A$1,#N/A,VLOOKUP(A286,Calculation!$B$8:$IV$881,155,FALSE))</f>
        <v>13722.100000028784</v>
      </c>
      <c r="AD286" s="498">
        <f t="shared" ca="1" si="83"/>
        <v>-182.80000000020664</v>
      </c>
      <c r="AE286" s="498"/>
      <c r="AF286" s="501">
        <f>Calculation!G289</f>
        <v>210.99218355918282</v>
      </c>
      <c r="AG286" s="498" t="str">
        <f t="shared" si="84"/>
        <v>Yes</v>
      </c>
      <c r="AH286" s="498" t="str">
        <f t="shared" si="85"/>
        <v>Yes</v>
      </c>
      <c r="AK286" s="738">
        <v>25429.180000062654</v>
      </c>
      <c r="AL286" s="738">
        <v>14332.160000030008</v>
      </c>
      <c r="AM286" s="740">
        <v>20837.800000048021</v>
      </c>
      <c r="AR286" s="552">
        <f t="shared" ca="1" si="67"/>
        <v>40940.978261030796</v>
      </c>
      <c r="AS286" s="524"/>
      <c r="AT286" s="581">
        <f>Calculation!AR289*3.068</f>
        <v>1966.2970666666663</v>
      </c>
      <c r="AU286" s="575">
        <f ca="1">Calculation!DA289</f>
        <v>481.46289387972803</v>
      </c>
      <c r="AV286" s="575">
        <f>Calculation!CF289*3.068</f>
        <v>454.08762182124991</v>
      </c>
      <c r="AW286" s="582">
        <f>Calculation!BK289*3.068</f>
        <v>1526.0956195559268</v>
      </c>
      <c r="AX286" s="813" t="e">
        <f t="shared" si="68"/>
        <v>#DIV/0!</v>
      </c>
      <c r="AY286" s="561"/>
      <c r="AZ286" s="534">
        <f t="shared" ca="1" si="69"/>
        <v>40838.816944741389</v>
      </c>
      <c r="BA286" s="561"/>
      <c r="BB286" s="826">
        <f t="shared" si="70"/>
        <v>40873.794445802763</v>
      </c>
      <c r="BC286" s="561"/>
      <c r="BD286" s="844">
        <f t="shared" si="71"/>
        <v>41133.257464750641</v>
      </c>
      <c r="BE286" s="553"/>
    </row>
    <row r="287" spans="1:57" ht="13.5" thickBot="1">
      <c r="A287" s="513">
        <v>40819</v>
      </c>
      <c r="B287" s="498">
        <f t="shared" si="79"/>
        <v>92.850939999995035</v>
      </c>
      <c r="C287" s="498">
        <f>Calculation!AA290</f>
        <v>0</v>
      </c>
      <c r="D287" s="498">
        <f>Calculation!Y290</f>
        <v>17.398813398692486</v>
      </c>
      <c r="E287" s="498">
        <f>Calculation!U290</f>
        <v>52.860989999997294</v>
      </c>
      <c r="F287" s="498">
        <f>Calculation!V290</f>
        <v>39.989949999997748</v>
      </c>
      <c r="G287" s="498">
        <f>Calculation!W290</f>
        <v>0</v>
      </c>
      <c r="H287" s="500">
        <f>Sheet1!H290</f>
        <v>1.59</v>
      </c>
      <c r="I287" s="501">
        <f>Sheet1!CW290</f>
        <v>625.22916666666663</v>
      </c>
      <c r="J287" s="501">
        <f>Sheet1!CX290</f>
        <v>472.38541666666669</v>
      </c>
      <c r="K287" s="501">
        <f>Sheet1!CV290</f>
        <v>563.16666666666663</v>
      </c>
      <c r="L287" s="501">
        <f>Calculation!F290</f>
        <v>250</v>
      </c>
      <c r="M287" s="501">
        <f>Calculation!E290</f>
        <v>250</v>
      </c>
      <c r="N287" s="501">
        <f>Calculation!D290</f>
        <v>300</v>
      </c>
      <c r="O287" s="500">
        <f>Sheet1!CY290</f>
        <v>1134.57</v>
      </c>
      <c r="P287" s="514">
        <f>Calculation!ET290</f>
        <v>1121.3</v>
      </c>
      <c r="Q287" s="498">
        <f>Calculation!DF290</f>
        <v>20869.800000048021</v>
      </c>
      <c r="R287" s="500">
        <f t="shared" si="75"/>
        <v>19649.800000048021</v>
      </c>
      <c r="S287" s="498">
        <f t="shared" si="80"/>
        <v>-695.68000000202301</v>
      </c>
      <c r="T287" s="498">
        <f ca="1">IF(A287&gt;$A$1,#N/A,VLOOKUP(A287,Calculation!$B$8:$IV$881,30,FALSE))</f>
        <v>4393.4379921580967</v>
      </c>
      <c r="U287" s="498">
        <f t="shared" si="76"/>
        <v>17.398813398692486</v>
      </c>
      <c r="V287" s="498">
        <f>Calculation!AP290</f>
        <v>0</v>
      </c>
      <c r="W287" s="498">
        <f ca="1">IF(A287&gt;=$A$1,#N/A,W286-X287*1.983)</f>
        <v>4912.0625000000045</v>
      </c>
      <c r="X287" s="647">
        <v>245</v>
      </c>
      <c r="Y287" s="744">
        <f t="shared" ca="1" si="73"/>
        <v>0</v>
      </c>
      <c r="Z287" s="748">
        <f t="shared" ca="1" si="78"/>
        <v>4912.0625000000045</v>
      </c>
      <c r="AA287" s="498">
        <f t="shared" ca="1" si="81"/>
        <v>11564.299507889922</v>
      </c>
      <c r="AB287" s="501">
        <f t="shared" ca="1" si="82"/>
        <v>10344.299507889922</v>
      </c>
      <c r="AC287" s="498">
        <f ca="1">IF(A287&gt;$A$1,#N/A,VLOOKUP(A287,Calculation!$B$8:$IV$881,155,FALSE))</f>
        <v>13585.000000028678</v>
      </c>
      <c r="AD287" s="498">
        <f t="shared" ca="1" si="83"/>
        <v>-137.10000000010587</v>
      </c>
      <c r="AE287" s="498"/>
      <c r="AF287" s="501">
        <f>Calculation!G290</f>
        <v>212.3446797770938</v>
      </c>
      <c r="AG287" s="498" t="str">
        <f t="shared" si="84"/>
        <v>Yes</v>
      </c>
      <c r="AH287" s="498" t="str">
        <f t="shared" si="85"/>
        <v>Yes</v>
      </c>
      <c r="AK287" s="738">
        <v>24772.600000060436</v>
      </c>
      <c r="AL287" s="738">
        <v>13850.060000028887</v>
      </c>
      <c r="AM287" s="740">
        <v>19964.730000045889</v>
      </c>
      <c r="AR287" s="552">
        <f t="shared" ca="1" si="67"/>
        <v>40942.343519574868</v>
      </c>
      <c r="AS287" s="524"/>
      <c r="AT287" s="581">
        <f>Calculation!AR290*3.068</f>
        <v>1966.2970666666663</v>
      </c>
      <c r="AU287" s="575">
        <f ca="1">Calculation!DA290</f>
        <v>458.45289387972798</v>
      </c>
      <c r="AV287" s="575">
        <f>Calculation!CF290*3.068</f>
        <v>445.82448695004695</v>
      </c>
      <c r="AW287" s="582">
        <f>Calculation!BK290*3.068</f>
        <v>1522.8635446616556</v>
      </c>
      <c r="AX287" s="813" t="e">
        <f t="shared" si="68"/>
        <v>#DIV/0!</v>
      </c>
      <c r="AY287" s="561"/>
      <c r="AZ287" s="534">
        <f t="shared" ca="1" si="69"/>
        <v>40838.809328388532</v>
      </c>
      <c r="BA287" s="561"/>
      <c r="BB287" s="826">
        <f t="shared" si="70"/>
        <v>40872.277999956532</v>
      </c>
      <c r="BC287" s="561"/>
      <c r="BD287" s="844">
        <f t="shared" si="71"/>
        <v>41180.686626459923</v>
      </c>
      <c r="BE287" s="553"/>
    </row>
    <row r="288" spans="1:57" ht="13.5" thickBot="1">
      <c r="A288" s="513">
        <v>40820</v>
      </c>
      <c r="B288" s="498">
        <f t="shared" si="79"/>
        <v>92.046500000000009</v>
      </c>
      <c r="C288" s="498">
        <f>Calculation!AA291</f>
        <v>0</v>
      </c>
      <c r="D288" s="498">
        <f>Calculation!Y291</f>
        <v>17.128200198021776</v>
      </c>
      <c r="E288" s="498">
        <f>Calculation!U291</f>
        <v>52.907399999995498</v>
      </c>
      <c r="F288" s="498">
        <f>Calculation!V291</f>
        <v>39.139100000004504</v>
      </c>
      <c r="G288" s="498">
        <f>Calculation!W291</f>
        <v>0</v>
      </c>
      <c r="H288" s="500">
        <f>Sheet1!H291</f>
        <v>1.73</v>
      </c>
      <c r="I288" s="501">
        <f>Sheet1!CW291</f>
        <v>620.33333333333337</v>
      </c>
      <c r="J288" s="501">
        <f>Sheet1!CX291</f>
        <v>486.42708333333331</v>
      </c>
      <c r="K288" s="501">
        <f>Sheet1!CV291</f>
        <v>579.45833333333337</v>
      </c>
      <c r="L288" s="501">
        <f>Calculation!F291</f>
        <v>250</v>
      </c>
      <c r="M288" s="501">
        <f>Calculation!E291</f>
        <v>250</v>
      </c>
      <c r="N288" s="501">
        <f>Calculation!D291</f>
        <v>300</v>
      </c>
      <c r="O288" s="500">
        <f>Sheet1!CY291</f>
        <v>1133.4000000000001</v>
      </c>
      <c r="P288" s="514">
        <f>Calculation!ET291</f>
        <v>1121</v>
      </c>
      <c r="Q288" s="498">
        <f>Calculation!DF291</f>
        <v>20132.400000046033</v>
      </c>
      <c r="R288" s="500">
        <f t="shared" si="75"/>
        <v>18912.400000046033</v>
      </c>
      <c r="S288" s="498">
        <f t="shared" si="80"/>
        <v>-737.40000000198779</v>
      </c>
      <c r="T288" s="498">
        <f ca="1">IF(A288&gt;$A$1,#N/A,VLOOKUP(A288,Calculation!$B$8:$IV$881,30,FALSE))</f>
        <v>3359.3014606729444</v>
      </c>
      <c r="U288" s="498">
        <f t="shared" si="76"/>
        <v>17.128200198021776</v>
      </c>
      <c r="V288" s="498">
        <f>Calculation!AP291</f>
        <v>0</v>
      </c>
      <c r="W288" s="498">
        <f ca="1">IF(A288&gt;=$A$1,#N/A,W287-X288*1.983)+1000</f>
        <v>5426.2275000000045</v>
      </c>
      <c r="X288" s="647">
        <v>245</v>
      </c>
      <c r="Y288" s="744">
        <f t="shared" ca="1" si="73"/>
        <v>0</v>
      </c>
      <c r="Z288" s="748">
        <f t="shared" ca="1" si="78"/>
        <v>5426.2275000000045</v>
      </c>
      <c r="AA288" s="498">
        <f t="shared" ca="1" si="81"/>
        <v>11346.871039373083</v>
      </c>
      <c r="AB288" s="501">
        <f t="shared" ca="1" si="82"/>
        <v>10126.871039373083</v>
      </c>
      <c r="AC288" s="498">
        <f ca="1">IF(A288&gt;$A$1,#N/A,VLOOKUP(A288,Calculation!$B$8:$IV$881,155,FALSE))</f>
        <v>13451.500000027825</v>
      </c>
      <c r="AD288" s="498">
        <f t="shared" ca="1" si="83"/>
        <v>-133.50000000085311</v>
      </c>
      <c r="AE288" s="498"/>
      <c r="AF288" s="501">
        <f>Calculation!G291</f>
        <v>207.59751638830681</v>
      </c>
      <c r="AG288" s="498" t="str">
        <f t="shared" si="84"/>
        <v>Yes</v>
      </c>
      <c r="AH288" s="498" t="str">
        <f t="shared" si="85"/>
        <v>Yes</v>
      </c>
      <c r="AK288" s="738">
        <v>24027.460000058243</v>
      </c>
      <c r="AL288" s="738">
        <v>13349.150000027723</v>
      </c>
      <c r="AM288" s="740">
        <v>19098.650000042431</v>
      </c>
      <c r="AR288" s="552">
        <f t="shared" ca="1" si="67"/>
        <v>40832.639415154787</v>
      </c>
      <c r="AS288" s="524"/>
      <c r="AT288" s="581">
        <f>Calculation!AR291*3.068</f>
        <v>966.12906666666618</v>
      </c>
      <c r="AU288" s="575">
        <f ca="1">Calculation!DA291</f>
        <v>435.24362576091346</v>
      </c>
      <c r="AV288" s="575">
        <f>Calculation!CF291*3.068</f>
        <v>438.13929883123416</v>
      </c>
      <c r="AW288" s="582">
        <f>Calculation!BK291*3.068</f>
        <v>1519.7894694141305</v>
      </c>
      <c r="AX288" s="813">
        <f t="shared" si="68"/>
        <v>40823.380883744867</v>
      </c>
      <c r="AY288" s="561"/>
      <c r="AZ288" s="534">
        <f t="shared" ca="1" si="69"/>
        <v>40838.799650844216</v>
      </c>
      <c r="BA288" s="561"/>
      <c r="BB288" s="826">
        <f t="shared" si="70"/>
        <v>40871.73508865208</v>
      </c>
      <c r="BC288" s="561"/>
      <c r="BD288" s="844">
        <f t="shared" si="71"/>
        <v>41240.303711104803</v>
      </c>
      <c r="BE288" s="553"/>
    </row>
    <row r="289" spans="1:57" ht="13.5" thickBot="1">
      <c r="A289" s="513">
        <v>40821</v>
      </c>
      <c r="B289" s="498">
        <f t="shared" si="79"/>
        <v>90.035400000018001</v>
      </c>
      <c r="C289" s="498">
        <f>Calculation!AA292</f>
        <v>0</v>
      </c>
      <c r="D289" s="498">
        <f>Calculation!Y292</f>
        <v>17.251864491844415</v>
      </c>
      <c r="E289" s="498">
        <f>Calculation!U292</f>
        <v>52.907400000018008</v>
      </c>
      <c r="F289" s="498">
        <f>Calculation!V292</f>
        <v>37.128</v>
      </c>
      <c r="G289" s="498">
        <f>Calculation!W292</f>
        <v>0</v>
      </c>
      <c r="H289" s="500">
        <f>Sheet1!H292</f>
        <v>1.69</v>
      </c>
      <c r="I289" s="501">
        <f>Sheet1!CW292</f>
        <v>683.91666666666663</v>
      </c>
      <c r="J289" s="501">
        <f>Sheet1!CX292</f>
        <v>559.34375</v>
      </c>
      <c r="K289" s="501">
        <f>Sheet1!CV292</f>
        <v>647.375</v>
      </c>
      <c r="L289" s="501">
        <f>Calculation!F292</f>
        <v>250</v>
      </c>
      <c r="M289" s="501">
        <f>Calculation!E292</f>
        <v>250</v>
      </c>
      <c r="N289" s="501">
        <f>Calculation!D292</f>
        <v>300</v>
      </c>
      <c r="O289" s="500">
        <f>Sheet1!CY292</f>
        <v>1132.1099999999999</v>
      </c>
      <c r="P289" s="514">
        <f>Calculation!ET292</f>
        <v>1120.7</v>
      </c>
      <c r="Q289" s="498">
        <f>Calculation!DF292</f>
        <v>19346.440000043949</v>
      </c>
      <c r="R289" s="500">
        <f t="shared" si="75"/>
        <v>18126.440000043949</v>
      </c>
      <c r="S289" s="498">
        <f t="shared" si="80"/>
        <v>-785.96000000208369</v>
      </c>
      <c r="T289" s="498">
        <f ca="1">IF(A289&gt;$A$1,#N/A,VLOOKUP(A289,Calculation!$B$8:$IV$881,30,FALSE))</f>
        <v>3325.0876789916397</v>
      </c>
      <c r="U289" s="498">
        <f t="shared" si="76"/>
        <v>17.251864491844415</v>
      </c>
      <c r="V289" s="498">
        <f>Calculation!AP292</f>
        <v>0</v>
      </c>
      <c r="W289" s="498">
        <f t="shared" ca="1" si="74"/>
        <v>4841.2425000000048</v>
      </c>
      <c r="X289" s="798">
        <v>295</v>
      </c>
      <c r="Y289" s="744">
        <f t="shared" ca="1" si="73"/>
        <v>0</v>
      </c>
      <c r="Z289" s="748">
        <f t="shared" ca="1" si="78"/>
        <v>4841.2425000000048</v>
      </c>
      <c r="AA289" s="498">
        <f t="shared" ca="1" si="81"/>
        <v>11180.109821052305</v>
      </c>
      <c r="AB289" s="501">
        <f t="shared" ca="1" si="82"/>
        <v>9960.1098210523051</v>
      </c>
      <c r="AC289" s="498">
        <f ca="1">IF(A289&gt;$A$1,#N/A,VLOOKUP(A289,Calculation!$B$8:$IV$881,155,FALSE))</f>
        <v>13273.500000027623</v>
      </c>
      <c r="AD289" s="498">
        <f t="shared" ca="1" si="83"/>
        <v>-178.00000000020191</v>
      </c>
      <c r="AE289" s="498"/>
      <c r="AF289" s="501">
        <f>Calculation!G292</f>
        <v>251.02603378614043</v>
      </c>
      <c r="AG289" s="498" t="str">
        <f t="shared" si="84"/>
        <v>Yes</v>
      </c>
      <c r="AH289" s="498" t="str">
        <f t="shared" si="85"/>
        <v>Yes</v>
      </c>
      <c r="AK289" s="738">
        <v>23273.960000056009</v>
      </c>
      <c r="AL289" s="738">
        <v>12836.200000026545</v>
      </c>
      <c r="AM289" s="740">
        <v>18217.040000040495</v>
      </c>
      <c r="AR289" s="552">
        <f t="shared" ca="1" si="67"/>
        <v>40831.683318340001</v>
      </c>
      <c r="AS289" s="524"/>
      <c r="AT289" s="581">
        <f>Calculation!AR292*3.068</f>
        <v>966.12906666666618</v>
      </c>
      <c r="AU289" s="575">
        <f ca="1">Calculation!DA292</f>
        <v>411.99303604949563</v>
      </c>
      <c r="AV289" s="575">
        <f>Calculation!CF292*3.068</f>
        <v>430.25565516749521</v>
      </c>
      <c r="AW289" s="582">
        <f>Calculation!BK292*3.068</f>
        <v>1516.7099211079824</v>
      </c>
      <c r="AX289" s="813">
        <f t="shared" si="68"/>
        <v>40823.880883744867</v>
      </c>
      <c r="AY289" s="561"/>
      <c r="AZ289" s="534">
        <f t="shared" ca="1" si="69"/>
        <v>40838.789579724384</v>
      </c>
      <c r="BA289" s="561"/>
      <c r="BB289" s="826">
        <f t="shared" si="70"/>
        <v>40871.902087335424</v>
      </c>
      <c r="BC289" s="561"/>
      <c r="BD289" s="844">
        <f t="shared" si="71"/>
        <v>41292.024085119614</v>
      </c>
      <c r="BE289" s="553"/>
    </row>
    <row r="290" spans="1:57" ht="13.5" thickBot="1">
      <c r="A290" s="513">
        <v>40822</v>
      </c>
      <c r="B290" s="498">
        <f t="shared" si="79"/>
        <v>85.858499999988737</v>
      </c>
      <c r="C290" s="498">
        <f>Calculation!AA293</f>
        <v>0</v>
      </c>
      <c r="D290" s="498">
        <f>Calculation!Y293</f>
        <v>17.138376604849299</v>
      </c>
      <c r="E290" s="498">
        <f>Calculation!U293</f>
        <v>53.21679999999099</v>
      </c>
      <c r="F290" s="498">
        <f>Calculation!V293</f>
        <v>32.641699999997748</v>
      </c>
      <c r="G290" s="498">
        <f>Calculation!W293</f>
        <v>0</v>
      </c>
      <c r="H290" s="500">
        <f>Sheet1!H293</f>
        <v>1.64</v>
      </c>
      <c r="I290" s="501">
        <f>Sheet1!CW293</f>
        <v>775.47916666666663</v>
      </c>
      <c r="J290" s="501">
        <f>Sheet1!CX293</f>
        <v>582.35416666666663</v>
      </c>
      <c r="K290" s="501">
        <f>Sheet1!CV293</f>
        <v>667.08333333333337</v>
      </c>
      <c r="L290" s="501">
        <f>Calculation!F293</f>
        <v>250</v>
      </c>
      <c r="M290" s="501">
        <f>Calculation!E293</f>
        <v>250</v>
      </c>
      <c r="N290" s="501">
        <f>Calculation!D293</f>
        <v>300</v>
      </c>
      <c r="O290" s="500">
        <f>Sheet1!CY293</f>
        <v>1130.79</v>
      </c>
      <c r="P290" s="514">
        <f>Calculation!ET293</f>
        <v>1120.3</v>
      </c>
      <c r="Q290" s="498">
        <f>Calculation!DF293</f>
        <v>18575.510000040755</v>
      </c>
      <c r="R290" s="500">
        <f t="shared" si="75"/>
        <v>17355.510000040755</v>
      </c>
      <c r="S290" s="498">
        <f t="shared" si="80"/>
        <v>-770.93000000319444</v>
      </c>
      <c r="T290" s="498">
        <f ca="1">IF(A290&gt;$A$1,#N/A,VLOOKUP(A290,Calculation!$B$8:$IV$881,30,FALSE))</f>
        <v>3291.0989657248792</v>
      </c>
      <c r="U290" s="498">
        <f t="shared" si="76"/>
        <v>17.138376604849299</v>
      </c>
      <c r="V290" s="498">
        <f>Calculation!AP293</f>
        <v>0</v>
      </c>
      <c r="W290" s="498">
        <f ca="1">IF(A290&gt;=$A$1,#N/A,W289-X290*1.983)</f>
        <v>4256.2575000000052</v>
      </c>
      <c r="X290" s="798">
        <v>295</v>
      </c>
      <c r="Y290" s="744">
        <f t="shared" ca="1" si="73"/>
        <v>0</v>
      </c>
      <c r="Z290" s="748">
        <f t="shared" ca="1" si="78"/>
        <v>4256.2575000000052</v>
      </c>
      <c r="AA290" s="498">
        <f t="shared" ca="1" si="81"/>
        <v>11028.15353431587</v>
      </c>
      <c r="AB290" s="501">
        <f t="shared" ca="1" si="82"/>
        <v>9808.1535343158703</v>
      </c>
      <c r="AC290" s="498">
        <f ca="1">IF(A290&gt;$A$1,#N/A,VLOOKUP(A290,Calculation!$B$8:$IV$881,155,FALSE))</f>
        <v>13140.000000027521</v>
      </c>
      <c r="AD290" s="498">
        <f t="shared" ca="1" si="83"/>
        <v>-133.50000000010186</v>
      </c>
      <c r="AE290" s="498"/>
      <c r="AF290" s="501">
        <f>Calculation!G293</f>
        <v>278.31379223237809</v>
      </c>
      <c r="AG290" s="498" t="str">
        <f t="shared" si="84"/>
        <v>Yes</v>
      </c>
      <c r="AH290" s="498" t="str">
        <f t="shared" si="85"/>
        <v>Yes</v>
      </c>
      <c r="AK290" s="738">
        <v>22513.750000053729</v>
      </c>
      <c r="AL290" s="738">
        <v>12405.670000025488</v>
      </c>
      <c r="AM290" s="740">
        <v>17285.270000037643</v>
      </c>
      <c r="AR290" s="552">
        <f t="shared" ca="1" si="67"/>
        <v>40831.782617751451</v>
      </c>
      <c r="AS290" s="524"/>
      <c r="AT290" s="581">
        <f>Calculation!AR293*3.068</f>
        <v>966.12906666666618</v>
      </c>
      <c r="AU290" s="575">
        <f ca="1">Calculation!DA293</f>
        <v>388.75253486071932</v>
      </c>
      <c r="AV290" s="575">
        <f>Calculation!CF293*3.068</f>
        <v>422.58565516749519</v>
      </c>
      <c r="AW290" s="582">
        <f>Calculation!BK293*3.068</f>
        <v>1513.6317090299988</v>
      </c>
      <c r="AX290" s="813">
        <f t="shared" si="68"/>
        <v>40824.380883744867</v>
      </c>
      <c r="AY290" s="561"/>
      <c r="AZ290" s="534">
        <f t="shared" ca="1" si="69"/>
        <v>40838.786060453254</v>
      </c>
      <c r="BA290" s="561"/>
      <c r="BB290" s="826">
        <f t="shared" si="70"/>
        <v>40872.879634931756</v>
      </c>
      <c r="BC290" s="561"/>
      <c r="BD290" s="844">
        <f t="shared" si="71"/>
        <v>41299.406359184126</v>
      </c>
      <c r="BE290" s="553"/>
    </row>
    <row r="291" spans="1:57" ht="13.5" thickBot="1">
      <c r="A291" s="513">
        <v>40823</v>
      </c>
      <c r="B291" s="498">
        <f t="shared" si="79"/>
        <v>81.836300000002254</v>
      </c>
      <c r="C291" s="498">
        <f>Calculation!AA294</f>
        <v>0</v>
      </c>
      <c r="D291" s="498">
        <f>Calculation!Y294</f>
        <v>15.990176712329999</v>
      </c>
      <c r="E291" s="498">
        <f>Calculation!U294</f>
        <v>52.597999999999999</v>
      </c>
      <c r="F291" s="498">
        <f>Calculation!V294</f>
        <v>29.238300000002251</v>
      </c>
      <c r="G291" s="498">
        <f>Calculation!W294</f>
        <v>0</v>
      </c>
      <c r="H291" s="500">
        <f>Sheet1!H294</f>
        <v>2.0099999999999998</v>
      </c>
      <c r="I291" s="501">
        <f>Sheet1!CW294</f>
        <v>768.17708333333337</v>
      </c>
      <c r="J291" s="501">
        <f>Sheet1!CX294</f>
        <v>602.34375</v>
      </c>
      <c r="K291" s="501">
        <f>Sheet1!CV294</f>
        <v>683.83333333333337</v>
      </c>
      <c r="L291" s="501">
        <f>Calculation!F294</f>
        <v>250</v>
      </c>
      <c r="M291" s="501">
        <f>Calculation!E294</f>
        <v>250</v>
      </c>
      <c r="N291" s="501">
        <f>Calculation!D294</f>
        <v>300</v>
      </c>
      <c r="O291" s="500">
        <f>Sheet1!CY294</f>
        <v>1129.48</v>
      </c>
      <c r="P291" s="514">
        <f>Calculation!ET294</f>
        <v>1120</v>
      </c>
      <c r="Q291" s="498">
        <f>Calculation!DF294</f>
        <v>17837.920000039048</v>
      </c>
      <c r="R291" s="500">
        <f t="shared" si="75"/>
        <v>16617.920000039048</v>
      </c>
      <c r="S291" s="498">
        <f t="shared" si="80"/>
        <v>-737.59000000170636</v>
      </c>
      <c r="T291" s="498">
        <f ca="1">IF(A291&gt;$A$1,#N/A,VLOOKUP(A291,Calculation!$B$8:$IV$881,30,FALSE))</f>
        <v>3259.3873547659728</v>
      </c>
      <c r="U291" s="498">
        <f t="shared" si="76"/>
        <v>15.990176712329999</v>
      </c>
      <c r="V291" s="498">
        <f>Calculation!AP294</f>
        <v>0</v>
      </c>
      <c r="W291" s="498">
        <f ca="1">IF(A291&gt;=$A$1,#N/A,W290-X291*1.983)</f>
        <v>3671.272500000005</v>
      </c>
      <c r="X291" s="798">
        <v>295</v>
      </c>
      <c r="Y291" s="744">
        <f t="shared" ca="1" si="73"/>
        <v>0</v>
      </c>
      <c r="Z291" s="748">
        <f t="shared" ca="1" si="78"/>
        <v>3671.272500000005</v>
      </c>
      <c r="AA291" s="498">
        <f t="shared" ca="1" si="81"/>
        <v>10907.260145273071</v>
      </c>
      <c r="AB291" s="501">
        <f t="shared" ca="1" si="82"/>
        <v>9687.2601452730705</v>
      </c>
      <c r="AC291" s="498">
        <f ca="1">IF(A291&gt;$A$1,#N/A,VLOOKUP(A291,Calculation!$B$8:$IV$881,155,FALSE))</f>
        <v>13009.800000026742</v>
      </c>
      <c r="AD291" s="498">
        <f t="shared" ca="1" si="83"/>
        <v>-130.20000000077926</v>
      </c>
      <c r="AE291" s="498"/>
      <c r="AF291" s="501">
        <f>Calculation!G294</f>
        <v>311.87670196585668</v>
      </c>
      <c r="AG291" s="498" t="str">
        <f t="shared" si="84"/>
        <v>Yes</v>
      </c>
      <c r="AH291" s="498" t="str">
        <f t="shared" si="85"/>
        <v>Yes</v>
      </c>
      <c r="AK291" s="738">
        <v>21762.580000050191</v>
      </c>
      <c r="AL291" s="738">
        <v>12072.880000024543</v>
      </c>
      <c r="AM291" s="740">
        <v>16244.50000003503</v>
      </c>
      <c r="AR291" s="552">
        <f t="shared" ca="1" si="67"/>
        <v>40832.21552446804</v>
      </c>
      <c r="AS291" s="524"/>
      <c r="AT291" s="581">
        <f>Calculation!AR294*3.068</f>
        <v>966.12906666666618</v>
      </c>
      <c r="AU291" s="575">
        <f ca="1">Calculation!DA294</f>
        <v>367.97806910729304</v>
      </c>
      <c r="AV291" s="575">
        <f>Calculation!CF294*3.068</f>
        <v>414.73412914009731</v>
      </c>
      <c r="AW291" s="582">
        <f>Calculation!BK294*3.068</f>
        <v>1510.5460898519163</v>
      </c>
      <c r="AX291" s="813">
        <f t="shared" si="68"/>
        <v>40824.880883744867</v>
      </c>
      <c r="AY291" s="561"/>
      <c r="AZ291" s="534">
        <f t="shared" ca="1" si="69"/>
        <v>40838.99224891248</v>
      </c>
      <c r="BA291" s="561"/>
      <c r="BB291" s="826">
        <f t="shared" si="70"/>
        <v>40874.697881351334</v>
      </c>
      <c r="BC291" s="561"/>
      <c r="BD291" s="844">
        <f t="shared" si="71"/>
        <v>41305.753532519193</v>
      </c>
      <c r="BE291" s="553"/>
    </row>
    <row r="292" spans="1:57" ht="13.5" thickBot="1">
      <c r="A292" s="513">
        <v>40824</v>
      </c>
      <c r="B292" s="498">
        <f t="shared" si="79"/>
        <v>82.300399999995491</v>
      </c>
      <c r="C292" s="498">
        <f>Calculation!AA295</f>
        <v>0</v>
      </c>
      <c r="D292" s="498">
        <f>Calculation!Y295</f>
        <v>15.559171337916444</v>
      </c>
      <c r="E292" s="498">
        <f>Calculation!U295</f>
        <v>52.907399999995498</v>
      </c>
      <c r="F292" s="498">
        <f>Calculation!V295</f>
        <v>29.392999999999997</v>
      </c>
      <c r="G292" s="498">
        <f>Calculation!W295</f>
        <v>0</v>
      </c>
      <c r="H292" s="500">
        <f>Sheet1!H295</f>
        <v>1.66</v>
      </c>
      <c r="I292" s="501">
        <f>Sheet1!CW295</f>
        <v>809.5</v>
      </c>
      <c r="J292" s="501">
        <f>Sheet1!CX295</f>
        <v>630.28125</v>
      </c>
      <c r="K292" s="501">
        <f>Sheet1!CV295</f>
        <v>709.83333333333337</v>
      </c>
      <c r="L292" s="501">
        <f>Calculation!F295</f>
        <v>250</v>
      </c>
      <c r="M292" s="501">
        <f>Calculation!E295</f>
        <v>250</v>
      </c>
      <c r="N292" s="501">
        <f>Calculation!D295</f>
        <v>300</v>
      </c>
      <c r="O292" s="500">
        <f>Sheet1!CY295</f>
        <v>1128.02</v>
      </c>
      <c r="P292" s="514">
        <f>Calculation!ET295</f>
        <v>1119.7</v>
      </c>
      <c r="Q292" s="498">
        <f>Calculation!DF295</f>
        <v>17041.820000037394</v>
      </c>
      <c r="R292" s="500">
        <f t="shared" si="75"/>
        <v>15821.820000037394</v>
      </c>
      <c r="S292" s="498">
        <f t="shared" si="80"/>
        <v>-796.10000000165383</v>
      </c>
      <c r="T292" s="498">
        <f ca="1">IF(A292&gt;$A$1,#N/A,VLOOKUP(A292,Calculation!$B$8:$IV$881,30,FALSE))</f>
        <v>3228.5305107680888</v>
      </c>
      <c r="U292" s="498">
        <f t="shared" si="76"/>
        <v>15.559171337916444</v>
      </c>
      <c r="V292" s="498">
        <f>Calculation!AP295</f>
        <v>0</v>
      </c>
      <c r="W292" s="498">
        <f t="shared" ca="1" si="74"/>
        <v>3086.2875000000049</v>
      </c>
      <c r="X292" s="798">
        <v>295</v>
      </c>
      <c r="Y292" s="744">
        <f t="shared" ca="1" si="73"/>
        <v>0</v>
      </c>
      <c r="Z292" s="748">
        <f t="shared" ca="1" si="78"/>
        <v>3086.2875000000049</v>
      </c>
      <c r="AA292" s="498">
        <f t="shared" ca="1" si="81"/>
        <v>10727.001989269302</v>
      </c>
      <c r="AB292" s="501">
        <f t="shared" ca="1" si="82"/>
        <v>9507.0019892693017</v>
      </c>
      <c r="AC292" s="498">
        <f ca="1">IF(A292&gt;$A$1,#N/A,VLOOKUP(A292,Calculation!$B$8:$IV$881,155,FALSE))</f>
        <v>12836.200000026545</v>
      </c>
      <c r="AD292" s="498">
        <f t="shared" ca="1" si="83"/>
        <v>-173.60000000019681</v>
      </c>
      <c r="AE292" s="498"/>
      <c r="AF292" s="501">
        <f>Calculation!G295</f>
        <v>308.37090267188421</v>
      </c>
      <c r="AG292" s="498" t="str">
        <f t="shared" si="84"/>
        <v>Yes</v>
      </c>
      <c r="AH292" s="498" t="str">
        <f t="shared" si="85"/>
        <v>Yes</v>
      </c>
      <c r="AK292" s="738">
        <v>21145.000000049597</v>
      </c>
      <c r="AL292" s="738">
        <v>11802.830000023614</v>
      </c>
      <c r="AM292" s="740">
        <v>15039.200000032219</v>
      </c>
      <c r="AR292" s="552">
        <f t="shared" ref="AR292:AR349" ca="1" si="86">FORECAST(0,A286:A292,T286:T292)</f>
        <v>40832.929259430886</v>
      </c>
      <c r="AS292" s="524"/>
      <c r="AT292" s="581">
        <f>Calculation!AR295*3.068</f>
        <v>966.12906666666618</v>
      </c>
      <c r="AU292" s="575">
        <f ca="1">Calculation!DA295</f>
        <v>347.87950538439509</v>
      </c>
      <c r="AV292" s="575">
        <f>Calculation!CF295*3.068</f>
        <v>407.05845066310104</v>
      </c>
      <c r="AW292" s="582">
        <f>Calculation!BK295*3.068</f>
        <v>1507.4634880539259</v>
      </c>
      <c r="AX292" s="813">
        <f t="shared" ref="AX292:AX349" si="87">FORECAST(0,A286:A292,AT286:AT292)</f>
        <v>40825.380883744867</v>
      </c>
      <c r="AY292" s="561"/>
      <c r="AZ292" s="534">
        <f t="shared" ref="AZ292:AZ349" ca="1" si="88">FORECAST(0,A286:A292,AU286:AU292)</f>
        <v>40839.399266751192</v>
      </c>
      <c r="BA292" s="561"/>
      <c r="BB292" s="826">
        <f t="shared" ref="BB292:BB349" si="89">FORECAST(0,A286:A292,AV286:AV292)</f>
        <v>40876.066571895768</v>
      </c>
      <c r="BC292" s="561"/>
      <c r="BD292" s="844">
        <f t="shared" ref="BD292:BD349" si="90">FORECAST(0,A286:A292,AW286:AW292)</f>
        <v>41310.872036632791</v>
      </c>
      <c r="BE292" s="553"/>
    </row>
    <row r="293" spans="1:57" ht="13.5" thickBot="1">
      <c r="A293" s="513">
        <v>40825</v>
      </c>
      <c r="B293" s="498">
        <f t="shared" si="79"/>
        <v>82.300399999995491</v>
      </c>
      <c r="C293" s="498">
        <f>Calculation!AA296</f>
        <v>0</v>
      </c>
      <c r="D293" s="498">
        <f>Calculation!Y296</f>
        <v>15.632756443976854</v>
      </c>
      <c r="E293" s="498">
        <f>Calculation!U296</f>
        <v>52.907399999995498</v>
      </c>
      <c r="F293" s="498">
        <f>Calculation!V296</f>
        <v>29.392999999999997</v>
      </c>
      <c r="G293" s="498">
        <f>Calculation!W296</f>
        <v>0</v>
      </c>
      <c r="H293" s="500">
        <f>Sheet1!H296</f>
        <v>1.64</v>
      </c>
      <c r="I293" s="501">
        <f>Sheet1!CW296</f>
        <v>801.9375</v>
      </c>
      <c r="J293" s="501">
        <f>Sheet1!CX296</f>
        <v>622.95833333333337</v>
      </c>
      <c r="K293" s="501">
        <f>Sheet1!CV296</f>
        <v>704.33333333333337</v>
      </c>
      <c r="L293" s="501">
        <f>Calculation!F296</f>
        <v>250</v>
      </c>
      <c r="M293" s="501">
        <f>Calculation!E296</f>
        <v>250</v>
      </c>
      <c r="N293" s="501">
        <f>Calculation!D296</f>
        <v>300</v>
      </c>
      <c r="O293" s="500">
        <f>Sheet1!CY296</f>
        <v>1126.43</v>
      </c>
      <c r="P293" s="514">
        <f>Calculation!ET296</f>
        <v>1119.3</v>
      </c>
      <c r="Q293" s="498">
        <f>Calculation!DF296</f>
        <v>16208.31000003503</v>
      </c>
      <c r="R293" s="500">
        <f t="shared" si="75"/>
        <v>14988.31000003503</v>
      </c>
      <c r="S293" s="498">
        <f t="shared" si="80"/>
        <v>-833.5100000023649</v>
      </c>
      <c r="T293" s="498">
        <f ca="1">IF(A293&gt;$A$1,#N/A,VLOOKUP(A293,Calculation!$B$8:$IV$881,30,FALSE))</f>
        <v>3197.5277332825544</v>
      </c>
      <c r="U293" s="498">
        <f t="shared" si="76"/>
        <v>15.632756443976854</v>
      </c>
      <c r="V293" s="498">
        <f>Calculation!AP296</f>
        <v>0</v>
      </c>
      <c r="W293" s="498">
        <f ca="1">IF(A293&gt;=$A$1,#N/A,W292-X293*1.983)</f>
        <v>2501.3025000000048</v>
      </c>
      <c r="X293" s="798">
        <v>295</v>
      </c>
      <c r="Y293" s="744">
        <f t="shared" ca="1" si="73"/>
        <v>0</v>
      </c>
      <c r="Z293" s="748">
        <f t="shared" ca="1" si="78"/>
        <v>2501.3025000000048</v>
      </c>
      <c r="AA293" s="498">
        <f t="shared" ca="1" si="81"/>
        <v>10509.479766752469</v>
      </c>
      <c r="AB293" s="501">
        <f t="shared" ca="1" si="82"/>
        <v>9289.479766752469</v>
      </c>
      <c r="AC293" s="498">
        <f ca="1">IF(A293&gt;$A$1,#N/A,VLOOKUP(A293,Calculation!$B$8:$IV$881,155,FALSE))</f>
        <v>12706.000000026446</v>
      </c>
      <c r="AD293" s="498">
        <f t="shared" ca="1" si="83"/>
        <v>-130.20000000009895</v>
      </c>
      <c r="AE293" s="498"/>
      <c r="AF293" s="501">
        <f>Calculation!G296</f>
        <v>284.00554714958918</v>
      </c>
      <c r="AG293" s="498" t="str">
        <f t="shared" si="84"/>
        <v>Yes</v>
      </c>
      <c r="AH293" s="498" t="str">
        <f t="shared" si="85"/>
        <v>Yes</v>
      </c>
      <c r="AK293" s="738">
        <v>20405.640000046173</v>
      </c>
      <c r="AL293" s="738">
        <v>11534.160000023434</v>
      </c>
      <c r="AM293" s="740">
        <v>13840.920000028887</v>
      </c>
      <c r="AR293" s="552">
        <f t="shared" ca="1" si="86"/>
        <v>40834.37674511737</v>
      </c>
      <c r="AS293" s="524"/>
      <c r="AT293" s="581">
        <f>Calculation!AR296*3.068</f>
        <v>966.12906666666618</v>
      </c>
      <c r="AU293" s="575">
        <f ca="1">Calculation!DA296</f>
        <v>327.82534020817207</v>
      </c>
      <c r="AV293" s="575">
        <f>Calculation!CF296*3.068</f>
        <v>399.17783835379015</v>
      </c>
      <c r="AW293" s="582">
        <f>Calculation!BK296*3.068</f>
        <v>1504.3954880539259</v>
      </c>
      <c r="AX293" s="813">
        <f t="shared" si="87"/>
        <v>40825.880883744867</v>
      </c>
      <c r="AY293" s="561"/>
      <c r="AZ293" s="534">
        <f t="shared" ca="1" si="88"/>
        <v>40839.913883466688</v>
      </c>
      <c r="BA293" s="561"/>
      <c r="BB293" s="826">
        <f t="shared" si="89"/>
        <v>40876.364555296481</v>
      </c>
      <c r="BC293" s="561"/>
      <c r="BD293" s="844">
        <f t="shared" si="90"/>
        <v>41313.551845931637</v>
      </c>
      <c r="BE293" s="553"/>
    </row>
    <row r="294" spans="1:57" ht="13.5" thickBot="1">
      <c r="A294" s="513">
        <v>40826</v>
      </c>
      <c r="B294" s="498">
        <f t="shared" si="79"/>
        <v>82.455100000004492</v>
      </c>
      <c r="C294" s="498">
        <f>Calculation!AA297</f>
        <v>0</v>
      </c>
      <c r="D294" s="498">
        <f>Calculation!Y297</f>
        <v>15.581083421330518</v>
      </c>
      <c r="E294" s="498">
        <f>Calculation!U297</f>
        <v>53.062100000004499</v>
      </c>
      <c r="F294" s="498">
        <f>Calculation!V297</f>
        <v>29.392999999999997</v>
      </c>
      <c r="G294" s="498">
        <f>Calculation!W297</f>
        <v>0</v>
      </c>
      <c r="H294" s="500">
        <f>Sheet1!H297</f>
        <v>7.17</v>
      </c>
      <c r="I294" s="501">
        <f>Sheet1!CW297</f>
        <v>795.1875</v>
      </c>
      <c r="J294" s="501">
        <f>Sheet1!CX297</f>
        <v>634.47916666666663</v>
      </c>
      <c r="K294" s="501">
        <f>Sheet1!CV297</f>
        <v>699.45833333333337</v>
      </c>
      <c r="L294" s="501">
        <f>Calculation!F297</f>
        <v>250</v>
      </c>
      <c r="M294" s="501">
        <f>Calculation!E297</f>
        <v>250</v>
      </c>
      <c r="N294" s="501">
        <f>Calculation!D297</f>
        <v>300</v>
      </c>
      <c r="O294" s="500">
        <f>Sheet1!CY297</f>
        <v>1124.8800000000001</v>
      </c>
      <c r="P294" s="514">
        <f>Calculation!ET297</f>
        <v>1119</v>
      </c>
      <c r="Q294" s="498">
        <f>Calculation!DF297</f>
        <v>15422.960000032665</v>
      </c>
      <c r="R294" s="500">
        <f t="shared" si="75"/>
        <v>14202.960000032665</v>
      </c>
      <c r="S294" s="498">
        <f t="shared" si="80"/>
        <v>-785.35000000236505</v>
      </c>
      <c r="T294" s="498">
        <f ca="1">IF(A294&gt;$A$1,#N/A,VLOOKUP(A294,Calculation!$B$8:$IV$881,30,FALSE))</f>
        <v>2065.562485548151</v>
      </c>
      <c r="U294" s="498">
        <f t="shared" si="76"/>
        <v>15.581083421330518</v>
      </c>
      <c r="V294" s="498">
        <f>Calculation!AP297</f>
        <v>0</v>
      </c>
      <c r="W294" s="498">
        <f ca="1">IF(A294&gt;=$A$1,#N/A,W293-X294*1.983)+1100</f>
        <v>3016.3175000000047</v>
      </c>
      <c r="X294" s="798">
        <v>295</v>
      </c>
      <c r="Y294" s="744">
        <f t="shared" ca="1" si="73"/>
        <v>0</v>
      </c>
      <c r="Z294" s="748">
        <f t="shared" ca="1" si="78"/>
        <v>3016.3175000000047</v>
      </c>
      <c r="AA294" s="498">
        <f t="shared" ca="1" si="81"/>
        <v>10341.080014484509</v>
      </c>
      <c r="AB294" s="501">
        <f t="shared" ca="1" si="82"/>
        <v>9121.0800144845089</v>
      </c>
      <c r="AC294" s="498">
        <f ca="1">IF(A294&gt;$A$1,#N/A,VLOOKUP(A294,Calculation!$B$8:$IV$881,155,FALSE))</f>
        <v>12579.100000025681</v>
      </c>
      <c r="AD294" s="498">
        <f t="shared" ca="1" si="83"/>
        <v>-126.90000000076543</v>
      </c>
      <c r="AE294" s="498"/>
      <c r="AF294" s="501">
        <f>Calculation!G297</f>
        <v>303.41698184449581</v>
      </c>
      <c r="AG294" s="498" t="str">
        <f t="shared" si="84"/>
        <v>Yes</v>
      </c>
      <c r="AH294" s="498" t="str">
        <f t="shared" si="85"/>
        <v>Yes</v>
      </c>
      <c r="AK294" s="738">
        <v>19708.840000044358</v>
      </c>
      <c r="AL294" s="738">
        <v>11254.950000022582</v>
      </c>
      <c r="AM294" s="740">
        <v>13358.050000027724</v>
      </c>
      <c r="AR294" s="552">
        <f t="shared" ca="1" si="86"/>
        <v>40833.215020658652</v>
      </c>
      <c r="AS294" s="524"/>
      <c r="AT294" s="581">
        <f>Calculation!AR297*3.068</f>
        <v>632.07295466666619</v>
      </c>
      <c r="AU294" s="575">
        <f ca="1">Calculation!DA297</f>
        <v>798.57951160922812</v>
      </c>
      <c r="AV294" s="575">
        <f>Calculation!CF297*3.068</f>
        <v>391.48354057131922</v>
      </c>
      <c r="AW294" s="582">
        <f>Calculation!BK297*3.068</f>
        <v>243.42647870093739</v>
      </c>
      <c r="AX294" s="813">
        <f t="shared" si="87"/>
        <v>40832.622406421746</v>
      </c>
      <c r="AY294" s="561"/>
      <c r="AZ294" s="534">
        <f t="shared" ca="1" si="88"/>
        <v>40820.552694838654</v>
      </c>
      <c r="BA294" s="561"/>
      <c r="BB294" s="826">
        <f t="shared" si="89"/>
        <v>40876.359167009199</v>
      </c>
      <c r="BC294" s="561"/>
      <c r="BD294" s="844">
        <f t="shared" si="90"/>
        <v>40826.723113298525</v>
      </c>
      <c r="BE294" s="553"/>
    </row>
    <row r="295" spans="1:57" ht="13.5" thickBot="1">
      <c r="A295" s="513">
        <v>40827</v>
      </c>
      <c r="B295" s="498">
        <f t="shared" si="79"/>
        <v>87.096100000004498</v>
      </c>
      <c r="C295" s="498">
        <f>Calculation!AA298</f>
        <v>0</v>
      </c>
      <c r="D295" s="498">
        <f>Calculation!Y298</f>
        <v>15.6127677943148</v>
      </c>
      <c r="E295" s="498">
        <f>Calculation!U298</f>
        <v>52.752700000009</v>
      </c>
      <c r="F295" s="498">
        <f>Calculation!V298</f>
        <v>34.343399999995498</v>
      </c>
      <c r="G295" s="498">
        <f>Calculation!W298</f>
        <v>0</v>
      </c>
      <c r="H295" s="500">
        <f>Sheet1!H298</f>
        <v>3.18</v>
      </c>
      <c r="I295" s="501">
        <f>Sheet1!CW298</f>
        <v>934.70833333333337</v>
      </c>
      <c r="J295" s="501">
        <f>Sheet1!CX298</f>
        <v>727.05208333333337</v>
      </c>
      <c r="K295" s="501">
        <f>Sheet1!CV298</f>
        <v>756.83333333333337</v>
      </c>
      <c r="L295" s="501">
        <f>Calculation!F298</f>
        <v>250</v>
      </c>
      <c r="M295" s="501">
        <f>Calculation!E298</f>
        <v>250</v>
      </c>
      <c r="N295" s="501">
        <f>Calculation!D298</f>
        <v>300</v>
      </c>
      <c r="O295" s="500">
        <f>Sheet1!CY298</f>
        <v>1124.04</v>
      </c>
      <c r="P295" s="514">
        <f>Calculation!ET298</f>
        <v>1118.7</v>
      </c>
      <c r="Q295" s="498">
        <f>Calculation!DF298</f>
        <v>15009.680000032218</v>
      </c>
      <c r="R295" s="500">
        <f t="shared" si="75"/>
        <v>13789.680000032218</v>
      </c>
      <c r="S295" s="498">
        <f t="shared" si="80"/>
        <v>-413.28000000044631</v>
      </c>
      <c r="T295" s="498">
        <f ca="1">IF(A295&gt;$A$1,#N/A,VLOOKUP(A295,Calculation!$B$8:$IV$881,30,FALSE))</f>
        <v>2034.5993494182492</v>
      </c>
      <c r="U295" s="498">
        <f t="shared" si="76"/>
        <v>15.6127677943148</v>
      </c>
      <c r="V295" s="498">
        <f>Calculation!AP298</f>
        <v>0</v>
      </c>
      <c r="W295" s="498">
        <f t="shared" ca="1" si="74"/>
        <v>2431.3325000000045</v>
      </c>
      <c r="X295" s="798">
        <v>295</v>
      </c>
      <c r="Y295" s="744">
        <f t="shared" ca="1" si="73"/>
        <v>0</v>
      </c>
      <c r="Z295" s="748">
        <f t="shared" ca="1" si="78"/>
        <v>2431.3325000000045</v>
      </c>
      <c r="AA295" s="498">
        <f t="shared" ca="1" si="81"/>
        <v>10543.748150613965</v>
      </c>
      <c r="AB295" s="501">
        <f t="shared" ca="1" si="82"/>
        <v>9323.7481506139648</v>
      </c>
      <c r="AC295" s="498">
        <f ca="1">IF(A295&gt;$A$1,#N/A,VLOOKUP(A295,Calculation!$B$8:$IV$881,155,FALSE))</f>
        <v>12409.900000025487</v>
      </c>
      <c r="AD295" s="498">
        <f t="shared" ca="1" si="83"/>
        <v>-169.20000000019354</v>
      </c>
      <c r="AE295" s="498"/>
      <c r="AF295" s="501">
        <f>Calculation!G298</f>
        <v>548.42183560239732</v>
      </c>
      <c r="AG295" s="498" t="str">
        <f t="shared" si="84"/>
        <v>Yes</v>
      </c>
      <c r="AH295" s="498" t="str">
        <f t="shared" si="85"/>
        <v>Yes</v>
      </c>
      <c r="AK295" s="738">
        <v>19063.550000042433</v>
      </c>
      <c r="AL295" s="738">
        <v>10968.800000021687</v>
      </c>
      <c r="AM295" s="740">
        <v>12771.100000026545</v>
      </c>
      <c r="AR295" s="552">
        <f t="shared" ca="1" si="86"/>
        <v>40832.848135243112</v>
      </c>
      <c r="AS295" s="524"/>
      <c r="AT295" s="581">
        <f>Calculation!AR298*3.068</f>
        <v>632.07295466666619</v>
      </c>
      <c r="AU295" s="575">
        <f ca="1">Calculation!DA298</f>
        <v>778.5490834630873</v>
      </c>
      <c r="AV295" s="575">
        <f>Calculation!CF298*3.068</f>
        <v>383.61883258755842</v>
      </c>
      <c r="AW295" s="582">
        <f>Calculation!BK298*3.068</f>
        <v>240.35847870093738</v>
      </c>
      <c r="AX295" s="813">
        <f t="shared" si="87"/>
        <v>40833.122406421746</v>
      </c>
      <c r="AY295" s="561"/>
      <c r="AZ295" s="534">
        <f t="shared" ca="1" si="88"/>
        <v>40820.414751622367</v>
      </c>
      <c r="BA295" s="561"/>
      <c r="BB295" s="826">
        <f t="shared" si="89"/>
        <v>40876.352152329062</v>
      </c>
      <c r="BC295" s="561"/>
      <c r="BD295" s="844">
        <f t="shared" si="90"/>
        <v>40827.183344364239</v>
      </c>
      <c r="BE295" s="553"/>
    </row>
    <row r="296" spans="1:57" ht="13.5" thickBot="1">
      <c r="A296" s="513">
        <v>40828</v>
      </c>
      <c r="B296" s="498">
        <f t="shared" si="79"/>
        <v>82.207579999987843</v>
      </c>
      <c r="C296" s="498">
        <f>Calculation!AA299</f>
        <v>0</v>
      </c>
      <c r="D296" s="498">
        <f>Calculation!Y299</f>
        <v>15.624700000001059</v>
      </c>
      <c r="E296" s="498">
        <f>Calculation!U299</f>
        <v>49.101779999985588</v>
      </c>
      <c r="F296" s="498">
        <f>Calculation!V299</f>
        <v>33.105800000002247</v>
      </c>
      <c r="G296" s="498">
        <f>Calculation!W299</f>
        <v>0</v>
      </c>
      <c r="H296" s="500">
        <f>Sheet1!H299</f>
        <v>3.06</v>
      </c>
      <c r="I296" s="501">
        <f>Sheet1!CW299</f>
        <v>1045.1041666666667</v>
      </c>
      <c r="J296" s="501">
        <f>Sheet1!CX299</f>
        <v>782.40625</v>
      </c>
      <c r="K296" s="501">
        <f>Sheet1!CV299</f>
        <v>806.95833333333337</v>
      </c>
      <c r="L296" s="501">
        <f>Calculation!F299</f>
        <v>250</v>
      </c>
      <c r="M296" s="501">
        <f>Calculation!E299</f>
        <v>250</v>
      </c>
      <c r="N296" s="501">
        <f>Calculation!D299</f>
        <v>300</v>
      </c>
      <c r="O296" s="500">
        <f>Sheet1!CY299</f>
        <v>1123.22</v>
      </c>
      <c r="P296" s="514">
        <f>Calculation!ET299</f>
        <v>1118.3</v>
      </c>
      <c r="Q296" s="498">
        <f>Calculation!DF299</f>
        <v>14615.600000031105</v>
      </c>
      <c r="R296" s="500">
        <f t="shared" si="75"/>
        <v>13395.600000031105</v>
      </c>
      <c r="S296" s="498">
        <f t="shared" si="80"/>
        <v>-394.08000000111315</v>
      </c>
      <c r="T296" s="498">
        <f ca="1">IF(A296&gt;$A$1,#N/A,VLOOKUP(A296,Calculation!$B$8:$IV$881,30,FALSE))</f>
        <v>2003.6125494182472</v>
      </c>
      <c r="U296" s="498">
        <f t="shared" si="76"/>
        <v>15.624700000001059</v>
      </c>
      <c r="V296" s="498">
        <f>Calculation!AP299</f>
        <v>0</v>
      </c>
      <c r="W296" s="498">
        <f ca="1">IF(A296&gt;=$A$1,#N/A,W295-X296*1.983)</f>
        <v>1846.3475000000044</v>
      </c>
      <c r="X296" s="798">
        <v>295</v>
      </c>
      <c r="Y296" s="744">
        <f t="shared" ca="1" si="73"/>
        <v>0</v>
      </c>
      <c r="Z296" s="748">
        <f t="shared" ca="1" si="78"/>
        <v>1846.3475000000044</v>
      </c>
      <c r="AA296" s="498">
        <f t="shared" ca="1" si="81"/>
        <v>10765.639950612855</v>
      </c>
      <c r="AB296" s="501">
        <f t="shared" ca="1" si="82"/>
        <v>9545.6399506128546</v>
      </c>
      <c r="AC296" s="498">
        <f ca="1">IF(A296&gt;$A$1,#N/A,VLOOKUP(A296,Calculation!$B$8:$IV$881,155,FALSE))</f>
        <v>12283.000000025391</v>
      </c>
      <c r="AD296" s="498">
        <f t="shared" ca="1" si="83"/>
        <v>-126.90000000009604</v>
      </c>
      <c r="AE296" s="498"/>
      <c r="AF296" s="501">
        <f>Calculation!G299</f>
        <v>608.22913514820323</v>
      </c>
      <c r="AG296" s="498" t="str">
        <f t="shared" si="84"/>
        <v>Yes</v>
      </c>
      <c r="AH296" s="498" t="str">
        <f t="shared" si="85"/>
        <v>Yes</v>
      </c>
      <c r="AK296" s="738">
        <v>18524.300000040752</v>
      </c>
      <c r="AL296" s="738">
        <v>10680.450000020919</v>
      </c>
      <c r="AM296" s="740">
        <v>11974.000000024451</v>
      </c>
      <c r="AR296" s="552">
        <f t="shared" ca="1" si="86"/>
        <v>40833.102157905923</v>
      </c>
      <c r="AS296" s="524"/>
      <c r="AT296" s="581">
        <f>Calculation!AR299*3.068</f>
        <v>632.07295466666619</v>
      </c>
      <c r="AU296" s="575">
        <f ca="1">Calculation!DA299</f>
        <v>758.48436346308597</v>
      </c>
      <c r="AV296" s="575">
        <f>Calculation!CF299*3.068</f>
        <v>375.91815258755793</v>
      </c>
      <c r="AW296" s="582">
        <f>Calculation!BK299*3.068</f>
        <v>237.13707870093717</v>
      </c>
      <c r="AX296" s="813">
        <f t="shared" si="87"/>
        <v>40833.622406421746</v>
      </c>
      <c r="AY296" s="561"/>
      <c r="AZ296" s="534">
        <f t="shared" ca="1" si="88"/>
        <v>40820.809807800579</v>
      </c>
      <c r="BA296" s="561"/>
      <c r="BB296" s="826">
        <f t="shared" si="89"/>
        <v>40876.321446197799</v>
      </c>
      <c r="BC296" s="561"/>
      <c r="BD296" s="844">
        <f t="shared" si="90"/>
        <v>40827.670462918155</v>
      </c>
      <c r="BE296" s="553"/>
    </row>
    <row r="297" spans="1:57" ht="13.5" thickBot="1">
      <c r="A297" s="513">
        <v>40829</v>
      </c>
      <c r="B297" s="498">
        <f t="shared" si="79"/>
        <v>85.286110000007199</v>
      </c>
      <c r="C297" s="498">
        <f>Calculation!AA300</f>
        <v>0</v>
      </c>
      <c r="D297" s="498">
        <f>Calculation!Y300</f>
        <v>15.61555208586288</v>
      </c>
      <c r="E297" s="498">
        <f>Calculation!U300</f>
        <v>47.075210000011701</v>
      </c>
      <c r="F297" s="498">
        <f>Calculation!V300</f>
        <v>38.210899999995497</v>
      </c>
      <c r="G297" s="498">
        <f>Calculation!W300</f>
        <v>0</v>
      </c>
      <c r="H297" s="500">
        <f>Sheet1!H300</f>
        <v>3.09</v>
      </c>
      <c r="I297" s="501">
        <f>Sheet1!CW300</f>
        <v>983.89583333333337</v>
      </c>
      <c r="J297" s="501">
        <f>Sheet1!CX300</f>
        <v>746.65625</v>
      </c>
      <c r="K297" s="501">
        <f>Sheet1!CV300</f>
        <v>796.95833333333337</v>
      </c>
      <c r="L297" s="501">
        <f>Calculation!F300</f>
        <v>250</v>
      </c>
      <c r="M297" s="501">
        <f>Calculation!E300</f>
        <v>250</v>
      </c>
      <c r="N297" s="501">
        <f>Calculation!D300</f>
        <v>300</v>
      </c>
      <c r="O297" s="500">
        <f>Sheet1!CY300</f>
        <v>1121.81</v>
      </c>
      <c r="P297" s="514">
        <f>Calculation!ET300</f>
        <v>1118</v>
      </c>
      <c r="Q297" s="498">
        <f>Calculation!DF300</f>
        <v>13955.170000028991</v>
      </c>
      <c r="R297" s="500">
        <f t="shared" si="75"/>
        <v>12735.170000028991</v>
      </c>
      <c r="S297" s="498">
        <f t="shared" si="80"/>
        <v>-660.43000000211396</v>
      </c>
      <c r="T297" s="498">
        <f ca="1">IF(A297&gt;$A$1,#N/A,VLOOKUP(A297,Calculation!$B$8:$IV$881,30,FALSE))</f>
        <v>1972.6438915000651</v>
      </c>
      <c r="U297" s="498">
        <f t="shared" si="76"/>
        <v>15.61555208586288</v>
      </c>
      <c r="V297" s="498">
        <f>Calculation!AP300</f>
        <v>0</v>
      </c>
      <c r="W297" s="498">
        <f t="shared" ca="1" si="74"/>
        <v>1261.3625000000043</v>
      </c>
      <c r="X297" s="798">
        <v>295</v>
      </c>
      <c r="Y297" s="744">
        <f t="shared" ca="1" si="73"/>
        <v>0</v>
      </c>
      <c r="Z297" s="748">
        <f t="shared" ca="1" si="78"/>
        <v>1261.3625000000043</v>
      </c>
      <c r="AA297" s="498">
        <f t="shared" ca="1" si="81"/>
        <v>10721.163608528921</v>
      </c>
      <c r="AB297" s="501">
        <f t="shared" ca="1" si="82"/>
        <v>9501.163608528921</v>
      </c>
      <c r="AC297" s="498">
        <f ca="1">IF(A297&gt;$A$1,#N/A,VLOOKUP(A297,Calculation!$B$8:$IV$881,155,FALSE))</f>
        <v>12159.400000024638</v>
      </c>
      <c r="AD297" s="498">
        <f t="shared" ca="1" si="83"/>
        <v>-123.60000000075343</v>
      </c>
      <c r="AE297" s="498"/>
      <c r="AF297" s="501">
        <f>Calculation!G300</f>
        <v>463.91244326671011</v>
      </c>
      <c r="AG297" s="498" t="str">
        <f t="shared" si="84"/>
        <v>Yes</v>
      </c>
      <c r="AH297" s="498" t="str">
        <f t="shared" si="85"/>
        <v>Yes</v>
      </c>
      <c r="AK297" s="738">
        <v>17682.800000038922</v>
      </c>
      <c r="AL297" s="738">
        <v>10391.070000020667</v>
      </c>
      <c r="AM297" s="740">
        <v>11079.000000022403</v>
      </c>
      <c r="AR297" s="552">
        <f t="shared" ca="1" si="86"/>
        <v>40833.542539367758</v>
      </c>
      <c r="AS297" s="524"/>
      <c r="AT297" s="581">
        <f>Calculation!AR300*3.068</f>
        <v>632.07295466666619</v>
      </c>
      <c r="AU297" s="575">
        <f ca="1">Calculation!DA300</f>
        <v>738.53428650885587</v>
      </c>
      <c r="AV297" s="575">
        <f>Calculation!CF300*3.068</f>
        <v>368.09158393628303</v>
      </c>
      <c r="AW297" s="582">
        <f>Calculation!BK300*3.068</f>
        <v>233.94506638826033</v>
      </c>
      <c r="AX297" s="813">
        <f t="shared" si="87"/>
        <v>40834.122406421746</v>
      </c>
      <c r="AY297" s="561"/>
      <c r="AZ297" s="534">
        <f t="shared" ca="1" si="88"/>
        <v>40821.419744800223</v>
      </c>
      <c r="BA297" s="561"/>
      <c r="BB297" s="826">
        <f t="shared" si="89"/>
        <v>40876.330119086728</v>
      </c>
      <c r="BC297" s="561"/>
      <c r="BD297" s="844">
        <f t="shared" si="90"/>
        <v>40828.16470744765</v>
      </c>
      <c r="BE297" s="553"/>
    </row>
    <row r="298" spans="1:57" ht="13.5" thickBot="1">
      <c r="A298" s="513">
        <v>40830</v>
      </c>
      <c r="B298" s="498">
        <f t="shared" si="79"/>
        <v>87.653020000005398</v>
      </c>
      <c r="C298" s="498">
        <f>Calculation!AA301</f>
        <v>0</v>
      </c>
      <c r="D298" s="498">
        <f>Calculation!Y301</f>
        <v>15.810965953760045</v>
      </c>
      <c r="E298" s="498">
        <f>Calculation!U301</f>
        <v>47.229909999998199</v>
      </c>
      <c r="F298" s="498">
        <f>Calculation!V301</f>
        <v>40.423110000007199</v>
      </c>
      <c r="G298" s="498">
        <f>Calculation!W301</f>
        <v>0</v>
      </c>
      <c r="H298" s="500">
        <f>Sheet1!H301</f>
        <v>2.96</v>
      </c>
      <c r="I298" s="501">
        <f>Sheet1!CW301</f>
        <v>938.59375</v>
      </c>
      <c r="J298" s="501">
        <f>Sheet1!CX301</f>
        <v>723.58333333333337</v>
      </c>
      <c r="K298" s="501">
        <f>Sheet1!CV301</f>
        <v>791.5</v>
      </c>
      <c r="L298" s="501">
        <f>Calculation!F301</f>
        <v>250</v>
      </c>
      <c r="M298" s="501">
        <f>Calculation!E301</f>
        <v>250</v>
      </c>
      <c r="N298" s="501">
        <f>Calculation!D301</f>
        <v>300</v>
      </c>
      <c r="O298" s="500">
        <f>Sheet1!CY301</f>
        <v>1120.04</v>
      </c>
      <c r="P298" s="514">
        <f>Calculation!ET301</f>
        <v>1117.7</v>
      </c>
      <c r="Q298" s="498">
        <f>Calculation!DF301</f>
        <v>13157.800000027521</v>
      </c>
      <c r="R298" s="500">
        <f t="shared" si="75"/>
        <v>11937.800000027521</v>
      </c>
      <c r="S298" s="498">
        <f t="shared" si="80"/>
        <v>-797.37000000147054</v>
      </c>
      <c r="T298" s="498">
        <f ca="1">IF(A298&gt;$A$1,#N/A,VLOOKUP(A298,Calculation!$B$8:$IV$881,30,FALSE))</f>
        <v>1941.2876901127765</v>
      </c>
      <c r="U298" s="498">
        <f t="shared" si="76"/>
        <v>15.810965953760045</v>
      </c>
      <c r="V298" s="498">
        <f>Calculation!AP301</f>
        <v>0</v>
      </c>
      <c r="W298" s="498">
        <f ca="1">IF(A298&gt;=$A$1,#N/A,W297-X298*1.983)</f>
        <v>676.37750000000426</v>
      </c>
      <c r="X298" s="798">
        <v>295</v>
      </c>
      <c r="Y298" s="744">
        <f t="shared" ca="1" si="73"/>
        <v>0</v>
      </c>
      <c r="Z298" s="748">
        <f t="shared" ca="1" si="78"/>
        <v>676.37750000000426</v>
      </c>
      <c r="AA298" s="498">
        <f t="shared" ca="1" si="81"/>
        <v>10540.13480991474</v>
      </c>
      <c r="AB298" s="501">
        <f t="shared" ca="1" si="82"/>
        <v>9320.1348099147399</v>
      </c>
      <c r="AC298" s="498">
        <f ca="1">IF(A298&gt;$A$1,#N/A,VLOOKUP(A298,Calculation!$B$8:$IV$881,155,FALSE))</f>
        <v>11994.600000024449</v>
      </c>
      <c r="AD298" s="498">
        <f t="shared" ca="1" si="83"/>
        <v>-164.80000000018845</v>
      </c>
      <c r="AE298" s="498"/>
      <c r="AF298" s="501">
        <f>Calculation!G301</f>
        <v>389.39712556658071</v>
      </c>
      <c r="AG298" s="498" t="str">
        <f t="shared" si="84"/>
        <v>Yes</v>
      </c>
      <c r="AH298" s="498" t="str">
        <f t="shared" si="85"/>
        <v>Yes</v>
      </c>
      <c r="AK298" s="738">
        <v>17139.200000037519</v>
      </c>
      <c r="AL298" s="738">
        <v>10003.1000000197</v>
      </c>
      <c r="AM298" s="740">
        <v>10179.990000019865</v>
      </c>
      <c r="AR298" s="552">
        <f t="shared" ca="1" si="86"/>
        <v>40834.12974581006</v>
      </c>
      <c r="AS298" s="524"/>
      <c r="AT298" s="581">
        <f>Calculation!AR301*3.068</f>
        <v>632.07295466666619</v>
      </c>
      <c r="AU298" s="575">
        <f ca="1">Calculation!DA301</f>
        <v>718.29949645104875</v>
      </c>
      <c r="AV298" s="575">
        <f>Calculation!CF301*3.068</f>
        <v>360.18302476865153</v>
      </c>
      <c r="AW298" s="582">
        <f>Calculation!BK301*3.068</f>
        <v>230.73221422641004</v>
      </c>
      <c r="AX298" s="813">
        <f t="shared" si="87"/>
        <v>40834.622406421746</v>
      </c>
      <c r="AY298" s="561"/>
      <c r="AZ298" s="534">
        <f t="shared" ca="1" si="88"/>
        <v>40822.299217427113</v>
      </c>
      <c r="BA298" s="561"/>
      <c r="BB298" s="826">
        <f t="shared" si="89"/>
        <v>40876.193102743964</v>
      </c>
      <c r="BC298" s="561"/>
      <c r="BD298" s="844">
        <f t="shared" si="90"/>
        <v>40828.662708224518</v>
      </c>
      <c r="BE298" s="553"/>
    </row>
    <row r="299" spans="1:57" ht="13.5" thickBot="1">
      <c r="A299" s="513">
        <v>40831</v>
      </c>
      <c r="B299" s="498">
        <f t="shared" si="79"/>
        <v>87.390029999996841</v>
      </c>
      <c r="C299" s="498">
        <f>Calculation!AA302</f>
        <v>0</v>
      </c>
      <c r="D299" s="498">
        <f>Calculation!Y302</f>
        <v>15.765194317655952</v>
      </c>
      <c r="E299" s="498">
        <f>Calculation!U302</f>
        <v>47.059739999997298</v>
      </c>
      <c r="F299" s="498">
        <f>Calculation!V302</f>
        <v>40.33028999999955</v>
      </c>
      <c r="G299" s="498">
        <f>Calculation!W302</f>
        <v>0</v>
      </c>
      <c r="H299" s="500">
        <f>Sheet1!H302</f>
        <v>2.57</v>
      </c>
      <c r="I299" s="501">
        <f>Sheet1!CW302</f>
        <v>909.9375</v>
      </c>
      <c r="J299" s="501">
        <f>Sheet1!CX302</f>
        <v>706.875</v>
      </c>
      <c r="K299" s="501">
        <f>Sheet1!CV302</f>
        <v>784.5</v>
      </c>
      <c r="L299" s="501">
        <f>Calculation!F302</f>
        <v>250</v>
      </c>
      <c r="M299" s="501">
        <f>Calculation!E302</f>
        <v>250</v>
      </c>
      <c r="N299" s="501">
        <f>Calculation!D302</f>
        <v>300</v>
      </c>
      <c r="O299" s="500">
        <f>Sheet1!CY302</f>
        <v>1117.96</v>
      </c>
      <c r="P299" s="514">
        <f>Calculation!ET302</f>
        <v>1117.3</v>
      </c>
      <c r="Q299" s="498">
        <f>Calculation!DF302</f>
        <v>12266.520000024731</v>
      </c>
      <c r="R299" s="500">
        <f t="shared" si="75"/>
        <v>11046.520000024731</v>
      </c>
      <c r="S299" s="498">
        <f t="shared" si="80"/>
        <v>-891.28000000278917</v>
      </c>
      <c r="T299" s="498">
        <f ca="1">IF(A299&gt;$A$1,#N/A,VLOOKUP(A299,Calculation!$B$8:$IV$881,30,FALSE))</f>
        <v>1910.0222627265009</v>
      </c>
      <c r="U299" s="498">
        <f t="shared" si="76"/>
        <v>15.765194317655952</v>
      </c>
      <c r="V299" s="498">
        <f>Calculation!AP302</f>
        <v>0</v>
      </c>
      <c r="W299" s="498">
        <f t="shared" ca="1" si="74"/>
        <v>190.54250000000422</v>
      </c>
      <c r="X299" s="868">
        <v>245</v>
      </c>
      <c r="Y299" s="744">
        <f t="shared" ca="1" si="73"/>
        <v>0</v>
      </c>
      <c r="Z299" s="748">
        <f t="shared" ca="1" si="78"/>
        <v>190.54250000000422</v>
      </c>
      <c r="AA299" s="498">
        <f t="shared" ca="1" si="81"/>
        <v>10165.955237298225</v>
      </c>
      <c r="AB299" s="501">
        <f t="shared" ca="1" si="82"/>
        <v>8945.9552372982253</v>
      </c>
      <c r="AC299" s="498">
        <f ca="1">IF(A299&gt;$A$1,#N/A,VLOOKUP(A299,Calculation!$B$8:$IV$881,155,FALSE))</f>
        <v>11871.000000024356</v>
      </c>
      <c r="AD299" s="498">
        <f t="shared" ca="1" si="83"/>
        <v>-123.60000000009313</v>
      </c>
      <c r="AE299" s="498"/>
      <c r="AF299" s="501">
        <f>Calculation!G302</f>
        <v>335.03958648371707</v>
      </c>
      <c r="AG299" s="498" t="str">
        <f t="shared" si="84"/>
        <v>Yes</v>
      </c>
      <c r="AH299" s="498" t="str">
        <f t="shared" si="85"/>
        <v>Yes</v>
      </c>
      <c r="AK299" s="738">
        <v>16719.480000036256</v>
      </c>
      <c r="AL299" s="738">
        <v>9549.6400000183821</v>
      </c>
      <c r="AM299" s="740">
        <v>9322.6000000182248</v>
      </c>
      <c r="AR299" s="552">
        <f t="shared" ca="1" si="86"/>
        <v>40835.094376518617</v>
      </c>
      <c r="AS299" s="524"/>
      <c r="AT299" s="581">
        <f>Calculation!AR302*3.068</f>
        <v>632.07295466666619</v>
      </c>
      <c r="AU299" s="575">
        <f ca="1">Calculation!DA302</f>
        <v>698.13422079954546</v>
      </c>
      <c r="AV299" s="575">
        <f>Calculation!CF302*3.068</f>
        <v>352.28958353503555</v>
      </c>
      <c r="AW299" s="582">
        <f>Calculation!BK302*3.068</f>
        <v>227.52550372525357</v>
      </c>
      <c r="AX299" s="813">
        <f t="shared" si="87"/>
        <v>40835.122406421746</v>
      </c>
      <c r="AY299" s="561"/>
      <c r="AZ299" s="534">
        <f t="shared" ca="1" si="88"/>
        <v>40824.051311125339</v>
      </c>
      <c r="BA299" s="561"/>
      <c r="BB299" s="826">
        <f t="shared" si="89"/>
        <v>40876.094969878584</v>
      </c>
      <c r="BC299" s="561"/>
      <c r="BD299" s="844">
        <f t="shared" si="90"/>
        <v>40829.166347038714</v>
      </c>
      <c r="BE299" s="553"/>
    </row>
    <row r="300" spans="1:57" ht="13.5" thickBot="1">
      <c r="A300" s="513">
        <v>40832</v>
      </c>
      <c r="B300" s="498">
        <f t="shared" si="79"/>
        <v>86.245249999999999</v>
      </c>
      <c r="C300" s="498">
        <f>Calculation!AA303</f>
        <v>0</v>
      </c>
      <c r="D300" s="498">
        <f>Calculation!Y303</f>
        <v>15.523060486673071</v>
      </c>
      <c r="E300" s="498">
        <f>Calculation!U303</f>
        <v>46.487350000004497</v>
      </c>
      <c r="F300" s="498">
        <f>Calculation!V303</f>
        <v>39.757899999995495</v>
      </c>
      <c r="G300" s="498">
        <f>Calculation!W303</f>
        <v>0</v>
      </c>
      <c r="H300" s="500">
        <f>Sheet1!H303</f>
        <v>2.48</v>
      </c>
      <c r="I300" s="501">
        <f>Sheet1!CW303</f>
        <v>887.2</v>
      </c>
      <c r="J300" s="501">
        <f>Sheet1!CX303</f>
        <v>692.91666666666663</v>
      </c>
      <c r="K300" s="501">
        <f>Sheet1!CV303</f>
        <v>774.375</v>
      </c>
      <c r="L300" s="501">
        <f>Calculation!F303</f>
        <v>250</v>
      </c>
      <c r="M300" s="501">
        <f>Calculation!E303</f>
        <v>250</v>
      </c>
      <c r="N300" s="501">
        <f>Calculation!D303</f>
        <v>300</v>
      </c>
      <c r="O300" s="500">
        <f>Sheet1!CY303</f>
        <v>1115.6600000000001</v>
      </c>
      <c r="P300" s="514">
        <f>Calculation!ET303</f>
        <v>1117</v>
      </c>
      <c r="Q300" s="498">
        <f>Calculation!DF303</f>
        <v>11337.060000022671</v>
      </c>
      <c r="R300" s="500">
        <f t="shared" si="75"/>
        <v>10117.060000022671</v>
      </c>
      <c r="S300" s="498">
        <f t="shared" si="80"/>
        <v>-929.46000000206004</v>
      </c>
      <c r="T300" s="498">
        <f ca="1">IF(A300&gt;$A$1,#N/A,VLOOKUP(A300,Calculation!$B$8:$IV$881,30,FALSE))</f>
        <v>1879.23703352604</v>
      </c>
      <c r="U300" s="498">
        <f t="shared" si="76"/>
        <v>15.523060486673071</v>
      </c>
      <c r="V300" s="498">
        <f>Calculation!AP303</f>
        <v>0</v>
      </c>
      <c r="W300" s="498">
        <f t="shared" ca="1" si="74"/>
        <v>-2.3799999995759435E-2</v>
      </c>
      <c r="X300" s="498">
        <v>96.1</v>
      </c>
      <c r="Y300" s="744">
        <f t="shared" ca="1" si="73"/>
        <v>0</v>
      </c>
      <c r="Z300" s="748">
        <f t="shared" ca="1" si="78"/>
        <v>-2.3799999995759435E-2</v>
      </c>
      <c r="AA300" s="498">
        <f t="shared" ca="1" si="81"/>
        <v>9457.8467664966265</v>
      </c>
      <c r="AB300" s="501">
        <f t="shared" ca="1" si="82"/>
        <v>8237.8467664966265</v>
      </c>
      <c r="AC300" s="498">
        <f ca="1">IF(A300&gt;$A$1,#N/A,VLOOKUP(A300,Calculation!$B$8:$IV$881,155,FALSE))</f>
        <v>11630.400000023523</v>
      </c>
      <c r="AD300" s="498">
        <f t="shared" ca="1" si="83"/>
        <v>-240.60000000083346</v>
      </c>
      <c r="AE300" s="498"/>
      <c r="AF300" s="501">
        <f>Calculation!G303</f>
        <v>305.66093040743323</v>
      </c>
      <c r="AG300" s="498" t="str">
        <f t="shared" si="84"/>
        <v>Yes</v>
      </c>
      <c r="AH300" s="498" t="str">
        <f t="shared" si="85"/>
        <v>Yes</v>
      </c>
      <c r="AK300" s="738">
        <v>16197.970000035029</v>
      </c>
      <c r="AL300" s="738">
        <v>8947.0200000173154</v>
      </c>
      <c r="AM300" s="740">
        <v>8443.9900000160014</v>
      </c>
      <c r="AR300" s="552">
        <f t="shared" ca="1" si="86"/>
        <v>40892.446776742938</v>
      </c>
      <c r="AS300" s="524"/>
      <c r="AT300" s="581">
        <f>Calculation!AR303*3.068</f>
        <v>632.07295466666619</v>
      </c>
      <c r="AU300" s="575">
        <f ca="1">Calculation!DA303</f>
        <v>678.18629573195415</v>
      </c>
      <c r="AV300" s="575">
        <f>Calculation!CF303*3.068</f>
        <v>344.61958353503559</v>
      </c>
      <c r="AW300" s="582">
        <f>Calculation!BK303*3.068</f>
        <v>224.35819959238407</v>
      </c>
      <c r="AX300" s="813" t="e">
        <f t="shared" si="87"/>
        <v>#DIV/0!</v>
      </c>
      <c r="AY300" s="561"/>
      <c r="AZ300" s="534">
        <f t="shared" ca="1" si="88"/>
        <v>40865.775558099347</v>
      </c>
      <c r="BA300" s="561"/>
      <c r="BB300" s="826">
        <f t="shared" si="89"/>
        <v>40876.056407407348</v>
      </c>
      <c r="BC300" s="561"/>
      <c r="BD300" s="844">
        <f t="shared" si="90"/>
        <v>40902.365249022761</v>
      </c>
      <c r="BE300" s="553"/>
    </row>
    <row r="301" spans="1:57" ht="13.5" thickBot="1">
      <c r="A301" s="513">
        <v>40833</v>
      </c>
      <c r="B301" s="498">
        <f t="shared" si="79"/>
        <v>87.312679999992341</v>
      </c>
      <c r="C301" s="498">
        <f>Calculation!AA304</f>
        <v>0</v>
      </c>
      <c r="D301" s="498">
        <f>Calculation!Y304</f>
        <v>15.747792573190754</v>
      </c>
      <c r="E301" s="498">
        <f>Calculation!U304</f>
        <v>47.075209999989191</v>
      </c>
      <c r="F301" s="498">
        <f>Calculation!V304</f>
        <v>40.23747000000315</v>
      </c>
      <c r="G301" s="498">
        <f>Calculation!W304</f>
        <v>0</v>
      </c>
      <c r="H301" s="500">
        <f>Sheet1!H304</f>
        <v>2.7</v>
      </c>
      <c r="I301" s="501">
        <f>Sheet1!CW304</f>
        <v>861.53125</v>
      </c>
      <c r="J301" s="501">
        <f>Sheet1!CX304</f>
        <v>677.38541666666663</v>
      </c>
      <c r="K301" s="501">
        <f>Sheet1!CV304</f>
        <v>761.33333333333337</v>
      </c>
      <c r="L301" s="501">
        <f>Calculation!F304</f>
        <v>250</v>
      </c>
      <c r="M301" s="501">
        <f>Calculation!E304</f>
        <v>250</v>
      </c>
      <c r="N301" s="501">
        <f>Calculation!D304</f>
        <v>300</v>
      </c>
      <c r="O301" s="500">
        <f>Sheet1!CY304</f>
        <v>1113.1300000000001</v>
      </c>
      <c r="P301" s="514">
        <f>Calculation!ET304</f>
        <v>1116.4000000000001</v>
      </c>
      <c r="Q301" s="498">
        <f>Calculation!DF304</f>
        <v>10376.230000020667</v>
      </c>
      <c r="R301" s="500">
        <f t="shared" si="75"/>
        <v>9156.2300000206669</v>
      </c>
      <c r="S301" s="498">
        <f t="shared" si="80"/>
        <v>-960.83000000200445</v>
      </c>
      <c r="T301" s="498">
        <f ca="1">IF(A301&gt;$A$1,#N/A,VLOOKUP(A301,Calculation!$B$8:$IV$881,30,FALSE))</f>
        <v>1848.0061171624011</v>
      </c>
      <c r="U301" s="498">
        <f t="shared" si="76"/>
        <v>15.747792573190754</v>
      </c>
      <c r="V301" s="498">
        <f>Calculation!AP304</f>
        <v>0</v>
      </c>
      <c r="W301" s="498">
        <f t="shared" ca="1" si="74"/>
        <v>-2.3799999995759435E-2</v>
      </c>
      <c r="X301" s="498">
        <v>0</v>
      </c>
      <c r="Y301" s="744">
        <f t="shared" ca="1" si="73"/>
        <v>0</v>
      </c>
      <c r="Z301" s="748">
        <f t="shared" ca="1" si="78"/>
        <v>-2.3799999995759435E-2</v>
      </c>
      <c r="AA301" s="498">
        <f t="shared" ca="1" si="81"/>
        <v>8528.2476828582621</v>
      </c>
      <c r="AB301" s="501">
        <f t="shared" ca="1" si="82"/>
        <v>7308.2476828582621</v>
      </c>
      <c r="AC301" s="498">
        <f ca="1">IF(A301&gt;$A$1,#N/A,VLOOKUP(A301,Calculation!$B$8:$IV$881,155,FALSE))</f>
        <v>11430.900000022759</v>
      </c>
      <c r="AD301" s="498">
        <f t="shared" ca="1" si="83"/>
        <v>-199.50000000076398</v>
      </c>
      <c r="AE301" s="498"/>
      <c r="AF301" s="501">
        <f>Calculation!G304</f>
        <v>276.79979828441543</v>
      </c>
      <c r="AG301" s="498" t="str">
        <f t="shared" si="84"/>
        <v>Yes</v>
      </c>
      <c r="AH301" s="498" t="str">
        <f t="shared" si="85"/>
        <v>Yes</v>
      </c>
      <c r="AK301" s="738">
        <v>15633.200000033577</v>
      </c>
      <c r="AL301" s="738">
        <v>7900.0000000146656</v>
      </c>
      <c r="AM301" s="740">
        <v>7576.4200000138953</v>
      </c>
      <c r="AR301" s="552">
        <f t="shared" ca="1" si="86"/>
        <v>40892.397151603458</v>
      </c>
      <c r="AS301" s="524"/>
      <c r="AT301" s="581">
        <f>Calculation!AR304*3.068</f>
        <v>632.07295466666619</v>
      </c>
      <c r="AU301" s="575">
        <f ca="1">Calculation!DA304</f>
        <v>658.05219118649802</v>
      </c>
      <c r="AV301" s="575">
        <f>Calculation!CF304*3.068</f>
        <v>336.71963717139857</v>
      </c>
      <c r="AW301" s="582">
        <f>Calculation!BK304*3.068</f>
        <v>221.16133413783837</v>
      </c>
      <c r="AX301" s="813" t="e">
        <f t="shared" si="87"/>
        <v>#DIV/0!</v>
      </c>
      <c r="AY301" s="561"/>
      <c r="AZ301" s="534">
        <f t="shared" ca="1" si="88"/>
        <v>40865.757115047549</v>
      </c>
      <c r="BA301" s="561"/>
      <c r="BB301" s="826">
        <f t="shared" si="89"/>
        <v>40876.0327179378</v>
      </c>
      <c r="BC301" s="561"/>
      <c r="BD301" s="844">
        <f t="shared" si="90"/>
        <v>40902.132794876146</v>
      </c>
      <c r="BE301" s="553"/>
    </row>
    <row r="302" spans="1:57" ht="13.5" thickBot="1">
      <c r="A302" s="513">
        <v>40834</v>
      </c>
      <c r="B302" s="498">
        <f t="shared" si="79"/>
        <v>88.070710000000446</v>
      </c>
      <c r="C302" s="498">
        <f>Calculation!AA305</f>
        <v>0</v>
      </c>
      <c r="D302" s="498">
        <f>Calculation!Y305</f>
        <v>15.586957629991312</v>
      </c>
      <c r="E302" s="498">
        <f>Calculation!U305</f>
        <v>46.874100000004503</v>
      </c>
      <c r="F302" s="498">
        <f>Calculation!V305</f>
        <v>41.196609999995943</v>
      </c>
      <c r="G302" s="498">
        <f>Calculation!W305</f>
        <v>0</v>
      </c>
      <c r="H302" s="500">
        <f>Sheet1!H305</f>
        <v>2.9</v>
      </c>
      <c r="I302" s="501">
        <f>Sheet1!CW305</f>
        <v>837.6875</v>
      </c>
      <c r="J302" s="501">
        <f>Sheet1!CX305</f>
        <v>627.9375</v>
      </c>
      <c r="K302" s="501">
        <f>Sheet1!CV305</f>
        <v>706.54166666666663</v>
      </c>
      <c r="L302" s="501">
        <f>Calculation!F305</f>
        <v>250</v>
      </c>
      <c r="M302" s="501">
        <f>Calculation!E305</f>
        <v>250</v>
      </c>
      <c r="N302" s="501">
        <f>Calculation!D305</f>
        <v>300</v>
      </c>
      <c r="O302" s="500">
        <f>Sheet1!CY305</f>
        <v>1110.5999999999999</v>
      </c>
      <c r="P302" s="514">
        <f>Calculation!ET305</f>
        <v>1115.9000000000001</v>
      </c>
      <c r="Q302" s="498">
        <f>Calculation!DF305</f>
        <v>9477.4000000183023</v>
      </c>
      <c r="R302" s="500">
        <f t="shared" si="75"/>
        <v>8257.4000000183023</v>
      </c>
      <c r="S302" s="498">
        <f t="shared" si="80"/>
        <v>-898.83000000236461</v>
      </c>
      <c r="T302" s="498">
        <f ca="1">IF(A302&gt;$A$1,#N/A,VLOOKUP(A302,Calculation!$B$8:$IV$881,30,FALSE))</f>
        <v>1477.0370475768723</v>
      </c>
      <c r="U302" s="498">
        <f t="shared" si="76"/>
        <v>15.586957629991312</v>
      </c>
      <c r="V302" s="498">
        <f>Calculation!AP305</f>
        <v>0</v>
      </c>
      <c r="W302" s="498">
        <f ca="1">IF(A302&gt;=$A$1,#N/A,W301-X302*1.983)+340</f>
        <v>339.97620000000427</v>
      </c>
      <c r="X302" s="498">
        <v>0</v>
      </c>
      <c r="Y302" s="744">
        <f t="shared" ca="1" si="73"/>
        <v>0</v>
      </c>
      <c r="Z302" s="748">
        <f t="shared" ca="1" si="78"/>
        <v>339.97620000000427</v>
      </c>
      <c r="AA302" s="498">
        <f t="shared" ca="1" si="81"/>
        <v>7660.3867524414254</v>
      </c>
      <c r="AB302" s="501">
        <f t="shared" ca="1" si="82"/>
        <v>6440.3867524414254</v>
      </c>
      <c r="AC302" s="498">
        <f ca="1">IF(A302&gt;$A$1,#N/A,VLOOKUP(A302,Calculation!$B$8:$IV$881,155,FALSE))</f>
        <v>11196.300000022491</v>
      </c>
      <c r="AD302" s="498">
        <f t="shared" ca="1" si="83"/>
        <v>-234.60000000026776</v>
      </c>
      <c r="AE302" s="498"/>
      <c r="AF302" s="501">
        <f>Calculation!G305</f>
        <v>253.27389056865127</v>
      </c>
      <c r="AG302" s="498" t="str">
        <f t="shared" si="84"/>
        <v>Yes</v>
      </c>
      <c r="AH302" s="498" t="str">
        <f t="shared" si="85"/>
        <v>Yes</v>
      </c>
      <c r="AK302" s="738">
        <v>15049.040000032219</v>
      </c>
      <c r="AL302" s="738">
        <v>6625.2000000119151</v>
      </c>
      <c r="AM302" s="740">
        <v>6790.1200000120361</v>
      </c>
      <c r="AR302" s="552">
        <f t="shared" ca="1" si="86"/>
        <v>40849.570538355285</v>
      </c>
      <c r="AS302" s="524"/>
      <c r="AT302" s="581">
        <f>Calculation!AR305*3.068</f>
        <v>292.01583466666614</v>
      </c>
      <c r="AU302" s="575">
        <f ca="1">Calculation!DA305</f>
        <v>637.88864551958216</v>
      </c>
      <c r="AV302" s="575">
        <f>Calculation!CF305*3.068</f>
        <v>329.04963717139862</v>
      </c>
      <c r="AW302" s="582">
        <f>Calculation!BK305*3.068</f>
        <v>218.08293021922526</v>
      </c>
      <c r="AX302" s="813">
        <f t="shared" si="87"/>
        <v>40837.005540426071</v>
      </c>
      <c r="AY302" s="561"/>
      <c r="AZ302" s="534">
        <f t="shared" ca="1" si="88"/>
        <v>40865.733524295203</v>
      </c>
      <c r="BA302" s="561"/>
      <c r="BB302" s="826">
        <f t="shared" si="89"/>
        <v>40876.074043455759</v>
      </c>
      <c r="BC302" s="561"/>
      <c r="BD302" s="844">
        <f t="shared" si="90"/>
        <v>40902.507151262565</v>
      </c>
      <c r="BE302" s="553"/>
    </row>
    <row r="303" spans="1:57" ht="13.5" thickBot="1">
      <c r="A303" s="513">
        <v>40835</v>
      </c>
      <c r="B303" s="498">
        <f t="shared" si="79"/>
        <v>90.747020000005392</v>
      </c>
      <c r="C303" s="498">
        <f>Calculation!AA306</f>
        <v>0</v>
      </c>
      <c r="D303" s="498">
        <f>Calculation!Y306</f>
        <v>15.770306523299444</v>
      </c>
      <c r="E303" s="498">
        <f>Calculation!U306</f>
        <v>47.183499999999995</v>
      </c>
      <c r="F303" s="498">
        <f>Calculation!V306</f>
        <v>43.563520000005404</v>
      </c>
      <c r="G303" s="498">
        <f>Calculation!W306</f>
        <v>0</v>
      </c>
      <c r="H303" s="500">
        <f>Sheet1!H306</f>
        <v>3.65</v>
      </c>
      <c r="I303" s="501">
        <f>Sheet1!CW306</f>
        <v>740.54166666666663</v>
      </c>
      <c r="J303" s="501">
        <f>Sheet1!CX306</f>
        <v>569.10416666666663</v>
      </c>
      <c r="K303" s="501">
        <f>Sheet1!CV306</f>
        <v>653</v>
      </c>
      <c r="L303" s="501">
        <f>Calculation!F306</f>
        <v>250</v>
      </c>
      <c r="M303" s="501">
        <f>Calculation!E306</f>
        <v>250</v>
      </c>
      <c r="N303" s="501">
        <f>Calculation!D306</f>
        <v>300</v>
      </c>
      <c r="O303" s="500">
        <f>Sheet1!CY306</f>
        <v>1108.1600000000001</v>
      </c>
      <c r="P303" s="514">
        <f>Calculation!ET306</f>
        <v>1115.3</v>
      </c>
      <c r="Q303" s="498">
        <f>Calculation!DF306</f>
        <v>8664.0000000166274</v>
      </c>
      <c r="R303" s="500">
        <f t="shared" si="75"/>
        <v>7444.0000000166274</v>
      </c>
      <c r="S303" s="498">
        <f t="shared" si="80"/>
        <v>-813.40000000167493</v>
      </c>
      <c r="T303" s="498">
        <f ca="1">IF(A303&gt;$A$1,#N/A,VLOOKUP(A303,Calculation!$B$8:$IV$881,30,FALSE))</f>
        <v>1445.761481698732</v>
      </c>
      <c r="U303" s="498">
        <f t="shared" si="76"/>
        <v>15.770306523299444</v>
      </c>
      <c r="V303" s="498">
        <f>Calculation!AP306</f>
        <v>0</v>
      </c>
      <c r="W303" s="498">
        <f t="shared" ca="1" si="74"/>
        <v>-9.1499999957136424E-3</v>
      </c>
      <c r="X303" s="498">
        <v>171.45</v>
      </c>
      <c r="Y303" s="744">
        <f t="shared" ca="1" si="73"/>
        <v>0</v>
      </c>
      <c r="Z303" s="748">
        <f t="shared" ca="1" si="78"/>
        <v>-9.1499999957136424E-3</v>
      </c>
      <c r="AA303" s="498">
        <f t="shared" ca="1" si="81"/>
        <v>7218.2476683178911</v>
      </c>
      <c r="AB303" s="501">
        <f t="shared" ca="1" si="82"/>
        <v>5998.2476683178911</v>
      </c>
      <c r="AC303" s="498">
        <f ca="1">IF(A303&gt;$A$1,#N/A,VLOOKUP(A303,Calculation!$B$8:$IV$881,155,FALSE))</f>
        <v>11003.000000021686</v>
      </c>
      <c r="AD303" s="498">
        <f t="shared" ca="1" si="83"/>
        <v>-193.30000000080508</v>
      </c>
      <c r="AE303" s="498"/>
      <c r="AF303" s="501">
        <f>Calculation!G306</f>
        <v>242.81341401831833</v>
      </c>
      <c r="AG303" s="498" t="str">
        <f t="shared" si="84"/>
        <v>Yes</v>
      </c>
      <c r="AH303" s="498" t="str">
        <f t="shared" si="85"/>
        <v>Yes</v>
      </c>
      <c r="AK303" s="738">
        <v>14472.560000030222</v>
      </c>
      <c r="AL303" s="738">
        <v>5600.9000000097813</v>
      </c>
      <c r="AM303" s="740">
        <v>6083.6800000107723</v>
      </c>
      <c r="AR303" s="552">
        <f t="shared" ca="1" si="86"/>
        <v>40847.376351616003</v>
      </c>
      <c r="AS303" s="524"/>
      <c r="AT303" s="581">
        <f>Calculation!AR306*3.068</f>
        <v>292.01583466666614</v>
      </c>
      <c r="AU303" s="575">
        <f ca="1">Calculation!DA306</f>
        <v>617.63694246581622</v>
      </c>
      <c r="AV303" s="575">
        <f>Calculation!CF306*3.068</f>
        <v>321.12236502802841</v>
      </c>
      <c r="AW303" s="582">
        <f>Calculation!BK306*3.068</f>
        <v>214.98633953822127</v>
      </c>
      <c r="AX303" s="813">
        <f t="shared" si="87"/>
        <v>40837.505540426071</v>
      </c>
      <c r="AY303" s="561"/>
      <c r="AZ303" s="534">
        <f t="shared" ca="1" si="88"/>
        <v>40865.688804061821</v>
      </c>
      <c r="BA303" s="561"/>
      <c r="BB303" s="826">
        <f t="shared" si="89"/>
        <v>40876.106887627269</v>
      </c>
      <c r="BC303" s="561"/>
      <c r="BD303" s="844">
        <f t="shared" si="90"/>
        <v>40902.960515406718</v>
      </c>
      <c r="BE303" s="553"/>
    </row>
    <row r="304" spans="1:57" ht="13.5" thickBot="1">
      <c r="A304" s="513">
        <v>40836</v>
      </c>
      <c r="B304" s="498">
        <f t="shared" si="79"/>
        <v>90.329330000010344</v>
      </c>
      <c r="C304" s="498">
        <f>Calculation!AA307</f>
        <v>0</v>
      </c>
      <c r="D304" s="498">
        <f>Calculation!Y307</f>
        <v>15.615564698274724</v>
      </c>
      <c r="E304" s="498">
        <f>Calculation!U307</f>
        <v>47.028800000013504</v>
      </c>
      <c r="F304" s="498">
        <f>Calculation!V307</f>
        <v>43.300529999996847</v>
      </c>
      <c r="G304" s="498">
        <f>Calculation!W307</f>
        <v>0</v>
      </c>
      <c r="H304" s="500">
        <f>Sheet1!H307</f>
        <v>3.82</v>
      </c>
      <c r="I304" s="501">
        <f>Sheet1!CW307</f>
        <v>712.65625</v>
      </c>
      <c r="J304" s="501">
        <f>Sheet1!CX307</f>
        <v>500.0625</v>
      </c>
      <c r="K304" s="501">
        <f>Sheet1!CV307</f>
        <v>571.08333333333337</v>
      </c>
      <c r="L304" s="501">
        <f>Calculation!F307</f>
        <v>250</v>
      </c>
      <c r="M304" s="501">
        <f>Calculation!E307</f>
        <v>250</v>
      </c>
      <c r="N304" s="501">
        <f>Calculation!D307</f>
        <v>300</v>
      </c>
      <c r="O304" s="500">
        <f>Sheet1!CY307</f>
        <v>1106</v>
      </c>
      <c r="P304" s="514">
        <f>Calculation!ET307</f>
        <v>1114.8</v>
      </c>
      <c r="Q304" s="498">
        <f>Calculation!DF307</f>
        <v>7987.0000000151267</v>
      </c>
      <c r="R304" s="500">
        <f t="shared" si="75"/>
        <v>6767.0000000151267</v>
      </c>
      <c r="S304" s="498">
        <f t="shared" si="80"/>
        <v>-677.00000000150067</v>
      </c>
      <c r="T304" s="498">
        <f ca="1">IF(A304&gt;$A$1,#N/A,VLOOKUP(A304,Calculation!$B$8:$IV$881,30,FALSE))</f>
        <v>1414.7927987676997</v>
      </c>
      <c r="U304" s="498">
        <f t="shared" si="76"/>
        <v>15.615564698274724</v>
      </c>
      <c r="V304" s="498">
        <f>Calculation!AP307</f>
        <v>0</v>
      </c>
      <c r="W304" s="498">
        <f t="shared" ca="1" si="74"/>
        <v>-9.1499999957136424E-3</v>
      </c>
      <c r="X304" s="498">
        <v>0</v>
      </c>
      <c r="Y304" s="744">
        <f t="shared" ca="1" si="73"/>
        <v>0</v>
      </c>
      <c r="Z304" s="748">
        <f t="shared" ca="1" si="78"/>
        <v>-9.1499999957136424E-3</v>
      </c>
      <c r="AA304" s="498">
        <f t="shared" ca="1" si="81"/>
        <v>6572.2163512474226</v>
      </c>
      <c r="AB304" s="501">
        <f t="shared" ca="1" si="82"/>
        <v>5352.2163512474226</v>
      </c>
      <c r="AC304" s="498">
        <f ca="1">IF(A304&gt;$A$1,#N/A,VLOOKUP(A304,Calculation!$B$8:$IV$881,155,FALSE))</f>
        <v>10775.000000021515</v>
      </c>
      <c r="AD304" s="498">
        <f t="shared" ca="1" si="83"/>
        <v>-228.00000000017099</v>
      </c>
      <c r="AE304" s="498"/>
      <c r="AF304" s="501">
        <f>Calculation!G307</f>
        <v>229.68141704412483</v>
      </c>
      <c r="AG304" s="498" t="str">
        <f t="shared" si="84"/>
        <v>Yes</v>
      </c>
      <c r="AH304" s="498" t="str">
        <f t="shared" si="85"/>
        <v>Yes</v>
      </c>
      <c r="AK304" s="738">
        <v>13859.200000028888</v>
      </c>
      <c r="AL304" s="738">
        <v>4971.6000000084541</v>
      </c>
      <c r="AM304" s="740">
        <v>5393.7200000093362</v>
      </c>
      <c r="AR304" s="552">
        <f t="shared" ca="1" si="86"/>
        <v>40847.073383951996</v>
      </c>
      <c r="AS304" s="524"/>
      <c r="AT304" s="581">
        <f>Calculation!AR307*3.068</f>
        <v>292.01583466666614</v>
      </c>
      <c r="AU304" s="575">
        <f ca="1">Calculation!DA307</f>
        <v>597.46411513823148</v>
      </c>
      <c r="AV304" s="575">
        <f>Calculation!CF307*3.068</f>
        <v>313.4110395969945</v>
      </c>
      <c r="AW304" s="582">
        <f>Calculation!BK307*3.068</f>
        <v>211.90180936580774</v>
      </c>
      <c r="AX304" s="813">
        <f t="shared" si="87"/>
        <v>40838.005540426071</v>
      </c>
      <c r="AY304" s="561"/>
      <c r="AZ304" s="534">
        <f t="shared" ca="1" si="88"/>
        <v>40865.67582228699</v>
      </c>
      <c r="BA304" s="561"/>
      <c r="BB304" s="826">
        <f t="shared" si="89"/>
        <v>40876.210749146332</v>
      </c>
      <c r="BC304" s="561"/>
      <c r="BD304" s="844">
        <f t="shared" si="90"/>
        <v>40903.51722737938</v>
      </c>
      <c r="BE304" s="553"/>
    </row>
    <row r="305" spans="1:57" ht="13.5" thickBot="1">
      <c r="A305" s="513">
        <v>40837</v>
      </c>
      <c r="B305" s="498">
        <f t="shared" si="79"/>
        <v>89.47847999999999</v>
      </c>
      <c r="C305" s="498">
        <f>Calculation!AA308</f>
        <v>0</v>
      </c>
      <c r="D305" s="498">
        <f>Calculation!Y308</f>
        <v>14.987453930240918</v>
      </c>
      <c r="E305" s="498">
        <f>Calculation!U308</f>
        <v>46.564700000000002</v>
      </c>
      <c r="F305" s="498">
        <f>Calculation!V308</f>
        <v>42.913779999999996</v>
      </c>
      <c r="G305" s="498">
        <f>Calculation!W308</f>
        <v>0</v>
      </c>
      <c r="H305" s="500">
        <f>Sheet1!H308</f>
        <v>3.2</v>
      </c>
      <c r="I305" s="501">
        <f>Sheet1!CW308</f>
        <v>605.26041666666663</v>
      </c>
      <c r="J305" s="501">
        <f>Sheet1!CX308</f>
        <v>443.0625</v>
      </c>
      <c r="K305" s="501">
        <f>Sheet1!CV308</f>
        <v>513</v>
      </c>
      <c r="L305" s="501">
        <f>Calculation!F308</f>
        <v>250</v>
      </c>
      <c r="M305" s="501">
        <f>Calculation!E308</f>
        <v>250</v>
      </c>
      <c r="N305" s="501">
        <f>Calculation!D308</f>
        <v>300</v>
      </c>
      <c r="O305" s="500">
        <f>Sheet1!CY308</f>
        <v>1104.17</v>
      </c>
      <c r="P305" s="514">
        <f>Calculation!ET308</f>
        <v>1114.2</v>
      </c>
      <c r="Q305" s="498">
        <f>Calculation!DF308</f>
        <v>7445.4700000138282</v>
      </c>
      <c r="R305" s="500">
        <f t="shared" si="75"/>
        <v>6225.4700000138282</v>
      </c>
      <c r="S305" s="498">
        <f t="shared" si="80"/>
        <v>-541.5300000012985</v>
      </c>
      <c r="T305" s="498">
        <f ca="1">IF(A305&gt;$A$1,#N/A,VLOOKUP(A305,Calculation!$B$8:$IV$881,30,FALSE))</f>
        <v>1385.0697808892387</v>
      </c>
      <c r="U305" s="498">
        <f t="shared" si="76"/>
        <v>14.987453930240918</v>
      </c>
      <c r="V305" s="498">
        <f>Calculation!AP308</f>
        <v>0</v>
      </c>
      <c r="W305" s="498">
        <f t="shared" ca="1" si="74"/>
        <v>-9.1499999957136424E-3</v>
      </c>
      <c r="X305" s="498">
        <v>0</v>
      </c>
      <c r="Y305" s="744">
        <f t="shared" ca="1" si="73"/>
        <v>0</v>
      </c>
      <c r="Z305" s="748">
        <f t="shared" ca="1" si="78"/>
        <v>-9.1499999957136424E-3</v>
      </c>
      <c r="AA305" s="498">
        <f t="shared" ca="1" si="81"/>
        <v>6060.4093691245844</v>
      </c>
      <c r="AB305" s="501">
        <f t="shared" ca="1" si="82"/>
        <v>4840.4093691245844</v>
      </c>
      <c r="AC305" s="498">
        <f ca="1">IF(A305&gt;$A$1,#N/A,VLOOKUP(A305,Calculation!$B$8:$IV$881,155,FALSE))</f>
        <v>10550.600000020751</v>
      </c>
      <c r="AD305" s="498">
        <f t="shared" ca="1" si="83"/>
        <v>-224.40000000076361</v>
      </c>
      <c r="AE305" s="498"/>
      <c r="AF305" s="501">
        <f>Calculation!G308</f>
        <v>239.91376701901237</v>
      </c>
      <c r="AG305" s="498" t="str">
        <f t="shared" si="84"/>
        <v>Yes</v>
      </c>
      <c r="AH305" s="498" t="str">
        <f t="shared" si="85"/>
        <v>Yes</v>
      </c>
      <c r="AK305" s="738">
        <v>13389.200000027724</v>
      </c>
      <c r="AL305" s="738">
        <v>4563.2800000076613</v>
      </c>
      <c r="AM305" s="740">
        <v>4663.1200000077561</v>
      </c>
      <c r="AR305" s="552">
        <f t="shared" ca="1" si="86"/>
        <v>40847.422581905179</v>
      </c>
      <c r="AS305" s="524"/>
      <c r="AT305" s="581">
        <f>Calculation!AR308*3.068</f>
        <v>292.01583466666614</v>
      </c>
      <c r="AU305" s="575">
        <f ca="1">Calculation!DA308</f>
        <v>577.4498996474008</v>
      </c>
      <c r="AV305" s="575">
        <f>Calculation!CF308*3.068</f>
        <v>306.77023720936415</v>
      </c>
      <c r="AW305" s="582">
        <f>Calculation!BK308*3.068</f>
        <v>208.83380936580772</v>
      </c>
      <c r="AX305" s="813">
        <f t="shared" si="87"/>
        <v>40838.505540426071</v>
      </c>
      <c r="AY305" s="561"/>
      <c r="AZ305" s="534">
        <f t="shared" ca="1" si="88"/>
        <v>40865.67012990301</v>
      </c>
      <c r="BA305" s="561"/>
      <c r="BB305" s="826">
        <f t="shared" si="89"/>
        <v>40876.930986081657</v>
      </c>
      <c r="BC305" s="561"/>
      <c r="BD305" s="844">
        <f t="shared" si="90"/>
        <v>40904.065128424343</v>
      </c>
      <c r="BE305" s="553"/>
    </row>
    <row r="306" spans="1:57" ht="13.5" thickBot="1">
      <c r="A306" s="513">
        <v>40838</v>
      </c>
      <c r="B306" s="498">
        <f t="shared" si="79"/>
        <v>90.329329999999999</v>
      </c>
      <c r="C306" s="498">
        <f>Calculation!AA309</f>
        <v>0</v>
      </c>
      <c r="D306" s="498">
        <f>Calculation!Y309</f>
        <v>14.706512944983817</v>
      </c>
      <c r="E306" s="498">
        <f>Calculation!U309</f>
        <v>47.028799999999997</v>
      </c>
      <c r="F306" s="498">
        <f>Calculation!V309</f>
        <v>43.300529999999995</v>
      </c>
      <c r="G306" s="498">
        <f>Calculation!W309</f>
        <v>0</v>
      </c>
      <c r="H306" s="500">
        <f>Sheet1!H309</f>
        <v>19.5</v>
      </c>
      <c r="I306" s="501">
        <f>Sheet1!CW309</f>
        <v>671.19791666666663</v>
      </c>
      <c r="J306" s="501">
        <f>Sheet1!CX309</f>
        <v>519.44791666666663</v>
      </c>
      <c r="K306" s="501">
        <f>Sheet1!CV309</f>
        <v>512.33333333333337</v>
      </c>
      <c r="L306" s="501">
        <f>Calculation!F309</f>
        <v>250</v>
      </c>
      <c r="M306" s="501">
        <f>Calculation!E309</f>
        <v>250</v>
      </c>
      <c r="N306" s="501">
        <f>Calculation!D309</f>
        <v>300</v>
      </c>
      <c r="O306" s="500">
        <f>Sheet1!CY309</f>
        <v>1105.06</v>
      </c>
      <c r="P306" s="514">
        <f>Calculation!ET309</f>
        <v>1113.5999999999999</v>
      </c>
      <c r="Q306" s="498">
        <f>Calculation!DF309</f>
        <v>7705.000000014461</v>
      </c>
      <c r="R306" s="500">
        <f t="shared" si="75"/>
        <v>6485.000000014461</v>
      </c>
      <c r="S306" s="498">
        <f t="shared" si="80"/>
        <v>259.53000000063275</v>
      </c>
      <c r="T306" s="498">
        <f ca="1">IF(A306&gt;$A$1,#N/A,VLOOKUP(A306,Calculation!$B$8:$IV$881,30,FALSE))</f>
        <v>1355.9039232840607</v>
      </c>
      <c r="U306" s="498">
        <f t="shared" si="76"/>
        <v>14.706512944983817</v>
      </c>
      <c r="V306" s="498">
        <f>Calculation!AP309</f>
        <v>0</v>
      </c>
      <c r="W306" s="498">
        <f t="shared" ca="1" si="74"/>
        <v>-9.1499999957136424E-3</v>
      </c>
      <c r="X306" s="498">
        <v>0</v>
      </c>
      <c r="Y306" s="744">
        <f t="shared" ca="1" si="73"/>
        <v>0</v>
      </c>
      <c r="Z306" s="748">
        <f t="shared" ca="1" si="78"/>
        <v>-9.1499999957136424E-3</v>
      </c>
      <c r="AA306" s="498">
        <f t="shared" ca="1" si="81"/>
        <v>6349.1052267303958</v>
      </c>
      <c r="AB306" s="501">
        <f t="shared" ca="1" si="82"/>
        <v>5129.1052267303958</v>
      </c>
      <c r="AC306" s="498">
        <f ca="1">IF(A306&gt;$A$1,#N/A,VLOOKUP(A306,Calculation!$B$8:$IV$881,155,FALSE))</f>
        <v>10365.100000020582</v>
      </c>
      <c r="AD306" s="498">
        <f t="shared" ca="1" si="83"/>
        <v>-185.50000000016917</v>
      </c>
      <c r="AE306" s="498"/>
      <c r="AF306" s="501">
        <f>Calculation!G309</f>
        <v>643.21079173002158</v>
      </c>
      <c r="AG306" s="498" t="str">
        <f t="shared" si="84"/>
        <v>Yes</v>
      </c>
      <c r="AH306" s="498" t="str">
        <f t="shared" si="85"/>
        <v>Yes</v>
      </c>
      <c r="AK306" s="738">
        <v>12914.320000026644</v>
      </c>
      <c r="AL306" s="738">
        <v>4265.240000006952</v>
      </c>
      <c r="AM306" s="740">
        <v>3881.800000006192</v>
      </c>
      <c r="AR306" s="552">
        <f t="shared" ca="1" si="86"/>
        <v>40848.328769642678</v>
      </c>
      <c r="AS306" s="524"/>
      <c r="AT306" s="581">
        <f>Calculation!AR309*3.068</f>
        <v>292.01583466666614</v>
      </c>
      <c r="AU306" s="575">
        <f ca="1">Calculation!DA309</f>
        <v>557.50789964740079</v>
      </c>
      <c r="AV306" s="575">
        <f>Calculation!CF309*3.068</f>
        <v>300.63423720936419</v>
      </c>
      <c r="AW306" s="582">
        <f>Calculation!BK309*3.068</f>
        <v>205.74595176062971</v>
      </c>
      <c r="AX306" s="813">
        <f t="shared" si="87"/>
        <v>40839.005540426071</v>
      </c>
      <c r="AY306" s="561"/>
      <c r="AZ306" s="534">
        <f t="shared" ca="1" si="88"/>
        <v>40865.686077536804</v>
      </c>
      <c r="BA306" s="561"/>
      <c r="BB306" s="826">
        <f t="shared" si="89"/>
        <v>40878.33610643819</v>
      </c>
      <c r="BC306" s="561"/>
      <c r="BD306" s="844">
        <f t="shared" si="90"/>
        <v>40904.457880953712</v>
      </c>
      <c r="BE306" s="553"/>
    </row>
    <row r="307" spans="1:57" ht="13.5" thickBot="1">
      <c r="A307" s="513">
        <v>40839</v>
      </c>
      <c r="B307" s="498">
        <f t="shared" si="79"/>
        <v>70.202859999999987</v>
      </c>
      <c r="C307" s="498">
        <f>Calculation!AA310</f>
        <v>0</v>
      </c>
      <c r="D307" s="498">
        <f>Calculation!Y310</f>
        <v>0</v>
      </c>
      <c r="E307" s="498">
        <f>Calculation!U310</f>
        <v>38.984399999999994</v>
      </c>
      <c r="F307" s="498">
        <f>Calculation!V310</f>
        <v>31.218459999999997</v>
      </c>
      <c r="G307" s="498">
        <f>Calculation!W310</f>
        <v>53.95935999999876</v>
      </c>
      <c r="H307" s="500">
        <f>Sheet1!H310</f>
        <v>16</v>
      </c>
      <c r="I307" s="501">
        <f>Sheet1!CW310</f>
        <v>920.73958333333337</v>
      </c>
      <c r="J307" s="501">
        <f>Sheet1!CX310</f>
        <v>792.89583333333337</v>
      </c>
      <c r="K307" s="501">
        <f>Sheet1!CV310</f>
        <v>679.66666666666663</v>
      </c>
      <c r="L307" s="501">
        <f>Calculation!F310</f>
        <v>250</v>
      </c>
      <c r="M307" s="501">
        <f>Calculation!E310</f>
        <v>250</v>
      </c>
      <c r="N307" s="501">
        <f>Calculation!D310</f>
        <v>300</v>
      </c>
      <c r="O307" s="500">
        <f>Sheet1!CY310</f>
        <v>1108.8399999999999</v>
      </c>
      <c r="P307" s="514">
        <f>Calculation!ET310</f>
        <v>1113.0999999999999</v>
      </c>
      <c r="Q307" s="498">
        <f>Calculation!DF310</f>
        <v>8885.0000000167747</v>
      </c>
      <c r="R307" s="500">
        <f t="shared" si="75"/>
        <v>7665.0000000167747</v>
      </c>
      <c r="S307" s="498">
        <f t="shared" si="80"/>
        <v>1180.0000000023138</v>
      </c>
      <c r="T307" s="498">
        <f ca="1">IF(A307&gt;$A$1,#N/A,VLOOKUP(A307,Calculation!$B$8:$IV$881,30,FALSE))</f>
        <v>1355.9039232840607</v>
      </c>
      <c r="U307" s="498">
        <f t="shared" si="76"/>
        <v>0</v>
      </c>
      <c r="V307" s="498">
        <f>Calculation!AP310</f>
        <v>0</v>
      </c>
      <c r="W307" s="498">
        <f t="shared" ca="1" si="74"/>
        <v>-9.1499999957136424E-3</v>
      </c>
      <c r="X307" s="498">
        <v>0</v>
      </c>
      <c r="Y307" s="744">
        <f t="shared" ca="1" si="73"/>
        <v>0</v>
      </c>
      <c r="Z307" s="748">
        <f t="shared" ca="1" si="78"/>
        <v>-9.1499999957136424E-3</v>
      </c>
      <c r="AA307" s="498">
        <f t="shared" ca="1" si="81"/>
        <v>7529.1052267327095</v>
      </c>
      <c r="AB307" s="501">
        <f t="shared" ca="1" si="82"/>
        <v>6309.1052267327095</v>
      </c>
      <c r="AC307" s="498">
        <f ca="1">IF(A307&gt;$A$1,#N/A,VLOOKUP(A307,Calculation!$B$8:$IV$881,155,FALSE))</f>
        <v>10147.500000019863</v>
      </c>
      <c r="AD307" s="498">
        <f t="shared" ca="1" si="83"/>
        <v>-217.60000000071886</v>
      </c>
      <c r="AE307" s="498"/>
      <c r="AF307" s="501">
        <f>Calculation!G310</f>
        <v>1274.7246596078232</v>
      </c>
      <c r="AG307" s="498" t="str">
        <f t="shared" si="84"/>
        <v>Yes</v>
      </c>
      <c r="AH307" s="498" t="str">
        <f t="shared" si="85"/>
        <v>Yes</v>
      </c>
      <c r="AK307" s="738">
        <v>12541.030000025583</v>
      </c>
      <c r="AL307" s="738">
        <v>4006.9000000064802</v>
      </c>
      <c r="AM307" s="740">
        <v>3127.0600000048253</v>
      </c>
      <c r="AR307" s="552">
        <f t="shared" ca="1" si="86"/>
        <v>40850.535024098644</v>
      </c>
      <c r="AS307" s="524"/>
      <c r="AT307" s="581">
        <f>Calculation!AR310*3.068</f>
        <v>292.01583466666614</v>
      </c>
      <c r="AU307" s="575">
        <f ca="1">Calculation!DA310</f>
        <v>557.50789964740079</v>
      </c>
      <c r="AV307" s="575">
        <f>Calculation!CF310*3.068</f>
        <v>300.63423720936419</v>
      </c>
      <c r="AW307" s="582">
        <f>Calculation!BK310*3.068</f>
        <v>205.74595176062971</v>
      </c>
      <c r="AX307" s="813">
        <f t="shared" si="87"/>
        <v>40839.505540426071</v>
      </c>
      <c r="AY307" s="561"/>
      <c r="AZ307" s="534">
        <f t="shared" ca="1" si="88"/>
        <v>40868.658857734481</v>
      </c>
      <c r="BA307" s="561"/>
      <c r="BB307" s="826">
        <f t="shared" si="89"/>
        <v>40883.649557315111</v>
      </c>
      <c r="BC307" s="561"/>
      <c r="BD307" s="844">
        <f t="shared" si="90"/>
        <v>40911.335478275971</v>
      </c>
      <c r="BE307" s="553"/>
    </row>
    <row r="308" spans="1:57" ht="13.5" thickBot="1">
      <c r="A308" s="513">
        <v>40840</v>
      </c>
      <c r="B308" s="498">
        <f t="shared" si="79"/>
        <v>71.471400000000003</v>
      </c>
      <c r="C308" s="498">
        <f>Calculation!AA311</f>
        <v>0</v>
      </c>
      <c r="D308" s="498">
        <f>Calculation!Y311</f>
        <v>0</v>
      </c>
      <c r="E308" s="498">
        <f>Calculation!U311</f>
        <v>40.222000000000001</v>
      </c>
      <c r="F308" s="498">
        <f>Calculation!V311</f>
        <v>31.249399999999998</v>
      </c>
      <c r="G308" s="498">
        <f>Calculation!W311</f>
        <v>67.325440000000668</v>
      </c>
      <c r="H308" s="500">
        <f>Sheet1!H311</f>
        <v>11.2</v>
      </c>
      <c r="I308" s="501">
        <f>Sheet1!CW311</f>
        <v>1196.875</v>
      </c>
      <c r="J308" s="501">
        <f>Sheet1!CX311</f>
        <v>962.78125</v>
      </c>
      <c r="K308" s="501">
        <f>Sheet1!CV311</f>
        <v>915.66666666666663</v>
      </c>
      <c r="L308" s="501">
        <f>Calculation!F311</f>
        <v>250</v>
      </c>
      <c r="M308" s="501">
        <f>Calculation!E311</f>
        <v>250</v>
      </c>
      <c r="N308" s="501">
        <f>Calculation!D311</f>
        <v>300</v>
      </c>
      <c r="O308" s="500">
        <f>Sheet1!CY311</f>
        <v>1108.44</v>
      </c>
      <c r="P308" s="514">
        <f>Calculation!ET311</f>
        <v>1112.5</v>
      </c>
      <c r="Q308" s="498">
        <f>Calculation!DF311</f>
        <v>8755.0000000167001</v>
      </c>
      <c r="R308" s="500">
        <f t="shared" si="75"/>
        <v>7535.0000000167001</v>
      </c>
      <c r="S308" s="498">
        <f t="shared" si="80"/>
        <v>-130.00000000007458</v>
      </c>
      <c r="T308" s="498">
        <f ca="1">IF(A308&gt;$A$1,#N/A,VLOOKUP(A308,Calculation!$B$8:$IV$881,30,FALSE))</f>
        <v>1355.9039232840607</v>
      </c>
      <c r="U308" s="498">
        <f t="shared" si="76"/>
        <v>0</v>
      </c>
      <c r="V308" s="498">
        <f>Calculation!AP311</f>
        <v>0</v>
      </c>
      <c r="W308" s="498">
        <f t="shared" ca="1" si="74"/>
        <v>-9.1499999957136424E-3</v>
      </c>
      <c r="X308" s="498">
        <v>0</v>
      </c>
      <c r="Y308" s="744">
        <f t="shared" ca="1" si="73"/>
        <v>0</v>
      </c>
      <c r="Z308" s="748">
        <f t="shared" ca="1" si="78"/>
        <v>-9.1499999957136424E-3</v>
      </c>
      <c r="AA308" s="498">
        <f t="shared" ca="1" si="81"/>
        <v>7399.1052267326349</v>
      </c>
      <c r="AB308" s="501">
        <f t="shared" ca="1" si="82"/>
        <v>6179.1052267326349</v>
      </c>
      <c r="AC308" s="498">
        <f ca="1">IF(A308&gt;$A$1,#N/A,VLOOKUP(A308,Calculation!$B$8:$IV$881,155,FALSE))</f>
        <v>9931.8000000192151</v>
      </c>
      <c r="AD308" s="498">
        <f t="shared" ca="1" si="83"/>
        <v>-215.70000000064829</v>
      </c>
      <c r="AE308" s="498"/>
      <c r="AF308" s="501">
        <f>Calculation!G311</f>
        <v>850.10943015629118</v>
      </c>
      <c r="AG308" s="498" t="str">
        <f t="shared" si="84"/>
        <v>Yes</v>
      </c>
      <c r="AH308" s="498" t="str">
        <f t="shared" si="85"/>
        <v>Yes</v>
      </c>
      <c r="AK308" s="738">
        <v>12258.28000002473</v>
      </c>
      <c r="AL308" s="738">
        <v>3953.7000000064368</v>
      </c>
      <c r="AM308" s="740">
        <v>2567.9800000039299</v>
      </c>
      <c r="AR308" s="552">
        <f t="shared" ca="1" si="86"/>
        <v>40895.917770729291</v>
      </c>
      <c r="AS308" s="524"/>
      <c r="AT308" s="581">
        <f>Calculation!AR311*3.068</f>
        <v>292.01583466666614</v>
      </c>
      <c r="AU308" s="575">
        <f ca="1">Calculation!DA311</f>
        <v>557.50789964740079</v>
      </c>
      <c r="AV308" s="575">
        <f>Calculation!CF311*3.068</f>
        <v>300.63423720936419</v>
      </c>
      <c r="AW308" s="582">
        <f>Calculation!BK311*3.068</f>
        <v>205.74595176062971</v>
      </c>
      <c r="AX308" s="813">
        <f t="shared" si="87"/>
        <v>40837</v>
      </c>
      <c r="AY308" s="561"/>
      <c r="AZ308" s="534">
        <f t="shared" ca="1" si="88"/>
        <v>40874.145987035474</v>
      </c>
      <c r="BA308" s="561"/>
      <c r="BB308" s="826">
        <f t="shared" si="89"/>
        <v>40892.939897475859</v>
      </c>
      <c r="BC308" s="561"/>
      <c r="BD308" s="844">
        <f t="shared" si="90"/>
        <v>40923.76713663288</v>
      </c>
      <c r="BE308" s="553"/>
    </row>
    <row r="309" spans="1:57" ht="13.5" thickBot="1">
      <c r="A309" s="513">
        <v>40841</v>
      </c>
      <c r="B309" s="498">
        <f t="shared" si="79"/>
        <v>70.759780000000006</v>
      </c>
      <c r="C309" s="498">
        <f>Calculation!AA312</f>
        <v>0</v>
      </c>
      <c r="D309" s="498">
        <f>Calculation!Y312</f>
        <v>0</v>
      </c>
      <c r="E309" s="498">
        <f>Calculation!U312</f>
        <v>39.912599999999998</v>
      </c>
      <c r="F309" s="498">
        <f>Calculation!V312</f>
        <v>30.847180000000002</v>
      </c>
      <c r="G309" s="498">
        <f>Calculation!W312</f>
        <v>41.072849999998873</v>
      </c>
      <c r="H309" s="500">
        <f>Sheet1!H312</f>
        <v>7.06</v>
      </c>
      <c r="I309" s="501">
        <f>Sheet1!CW312</f>
        <v>1196.5625</v>
      </c>
      <c r="J309" s="501">
        <f>Sheet1!CX312</f>
        <v>945.85416666666663</v>
      </c>
      <c r="K309" s="501">
        <f>Sheet1!CV312</f>
        <v>939.16666666666663</v>
      </c>
      <c r="L309" s="501">
        <f>Calculation!F312</f>
        <v>250</v>
      </c>
      <c r="M309" s="501">
        <f>Calculation!E312</f>
        <v>250</v>
      </c>
      <c r="N309" s="501">
        <f>Calculation!D312</f>
        <v>300</v>
      </c>
      <c r="O309" s="500">
        <f>Sheet1!CY312</f>
        <v>1106.58</v>
      </c>
      <c r="P309" s="514">
        <f>Calculation!ET312</f>
        <v>1111.9000000000001</v>
      </c>
      <c r="Q309" s="498">
        <f>Calculation!DF312</f>
        <v>8165.6400000152671</v>
      </c>
      <c r="R309" s="500">
        <f t="shared" si="75"/>
        <v>6945.6400000152671</v>
      </c>
      <c r="S309" s="498">
        <f t="shared" si="80"/>
        <v>-589.36000000143304</v>
      </c>
      <c r="T309" s="498">
        <f ca="1">IF(A309&gt;$A$1,#N/A,VLOOKUP(A309,Calculation!$B$8:$IV$881,30,FALSE))</f>
        <v>1355.9039232840607</v>
      </c>
      <c r="U309" s="498">
        <f t="shared" si="76"/>
        <v>0</v>
      </c>
      <c r="V309" s="498">
        <f>Calculation!AP312</f>
        <v>0</v>
      </c>
      <c r="W309" s="498">
        <f t="shared" ca="1" si="74"/>
        <v>-9.1499999957136424E-3</v>
      </c>
      <c r="X309" s="498">
        <v>0</v>
      </c>
      <c r="Y309" s="744">
        <f t="shared" ca="1" si="73"/>
        <v>0</v>
      </c>
      <c r="Z309" s="748">
        <f t="shared" ca="1" si="78"/>
        <v>-9.1499999957136424E-3</v>
      </c>
      <c r="AA309" s="498">
        <f t="shared" ca="1" si="81"/>
        <v>6809.7452267312019</v>
      </c>
      <c r="AB309" s="501">
        <f t="shared" ca="1" si="82"/>
        <v>5589.7452267312019</v>
      </c>
      <c r="AC309" s="498">
        <f ca="1">IF(A309&gt;$A$1,#N/A,VLOOKUP(A309,Calculation!$B$8:$IV$881,155,FALSE))</f>
        <v>9755.8000000190477</v>
      </c>
      <c r="AD309" s="498">
        <f t="shared" ca="1" si="83"/>
        <v>-176.00000000016735</v>
      </c>
      <c r="AE309" s="498"/>
      <c r="AF309" s="501">
        <f>Calculation!G312</f>
        <v>641.96041351415374</v>
      </c>
      <c r="AG309" s="498" t="str">
        <f t="shared" si="84"/>
        <v>Yes</v>
      </c>
      <c r="AH309" s="498" t="str">
        <f t="shared" si="85"/>
        <v>Yes</v>
      </c>
      <c r="AK309" s="738">
        <v>11858.970000023706</v>
      </c>
      <c r="AL309" s="738">
        <v>3538.7400000056982</v>
      </c>
      <c r="AM309" s="740">
        <v>2740.0100000042094</v>
      </c>
      <c r="AR309" s="552">
        <f t="shared" ca="1" si="86"/>
        <v>40911.09552018172</v>
      </c>
      <c r="AS309" s="524"/>
      <c r="AT309" s="581">
        <f>Calculation!AR312*3.068</f>
        <v>292.01583466666614</v>
      </c>
      <c r="AU309" s="575">
        <f ca="1">Calculation!DA312</f>
        <v>557.50789964740079</v>
      </c>
      <c r="AV309" s="575">
        <f>Calculation!CF312*3.068</f>
        <v>300.63423720936419</v>
      </c>
      <c r="AW309" s="582">
        <f>Calculation!BK312*3.068</f>
        <v>205.74595176062971</v>
      </c>
      <c r="AX309" s="813">
        <f t="shared" si="87"/>
        <v>40838</v>
      </c>
      <c r="AY309" s="561"/>
      <c r="AZ309" s="534">
        <f t="shared" ca="1" si="88"/>
        <v>40883.343453150053</v>
      </c>
      <c r="BA309" s="561"/>
      <c r="BB309" s="826">
        <f t="shared" si="89"/>
        <v>40909.523520429357</v>
      </c>
      <c r="BC309" s="561"/>
      <c r="BD309" s="844">
        <f t="shared" si="90"/>
        <v>40944.966772716572</v>
      </c>
      <c r="BE309" s="553"/>
    </row>
    <row r="310" spans="1:57" ht="13.5" thickBot="1">
      <c r="A310" s="513">
        <v>40842</v>
      </c>
      <c r="B310" s="498">
        <f t="shared" si="79"/>
        <v>71.626099999993244</v>
      </c>
      <c r="C310" s="498">
        <f>Calculation!AA313</f>
        <v>0</v>
      </c>
      <c r="D310" s="498">
        <f>Calculation!Y313</f>
        <v>10.0555</v>
      </c>
      <c r="E310" s="498">
        <f>Calculation!U313</f>
        <v>40.438579999999099</v>
      </c>
      <c r="F310" s="498">
        <f>Calculation!V313</f>
        <v>31.187519999994144</v>
      </c>
      <c r="G310" s="498">
        <f>Calculation!W313</f>
        <v>21.410480000000224</v>
      </c>
      <c r="H310" s="500">
        <f>Sheet1!H313</f>
        <v>7.8</v>
      </c>
      <c r="I310" s="501">
        <f>Sheet1!CW313</f>
        <v>1146.6666666666667</v>
      </c>
      <c r="J310" s="501">
        <f>Sheet1!CX313</f>
        <v>901.77083333333337</v>
      </c>
      <c r="K310" s="501">
        <f>Sheet1!CV313</f>
        <v>923.875</v>
      </c>
      <c r="L310" s="501">
        <f>Calculation!F313</f>
        <v>250</v>
      </c>
      <c r="M310" s="501">
        <f>Calculation!E313</f>
        <v>250</v>
      </c>
      <c r="N310" s="501">
        <f>Calculation!D313</f>
        <v>300</v>
      </c>
      <c r="O310" s="500">
        <f>Sheet1!CY313</f>
        <v>1104.06</v>
      </c>
      <c r="P310" s="514">
        <f>Calculation!ET313</f>
        <v>1111.4000000000001</v>
      </c>
      <c r="Q310" s="498">
        <f>Calculation!DF313</f>
        <v>7413.4600000137625</v>
      </c>
      <c r="R310" s="500">
        <f t="shared" si="75"/>
        <v>6193.4600000137625</v>
      </c>
      <c r="S310" s="498">
        <f t="shared" si="80"/>
        <v>-752.1800000015046</v>
      </c>
      <c r="T310" s="498">
        <f ca="1">IF(A310&gt;$A$1,#N/A,VLOOKUP(A310,Calculation!$B$8:$IV$881,30,FALSE))</f>
        <v>1335.9619232840607</v>
      </c>
      <c r="U310" s="498">
        <f t="shared" si="76"/>
        <v>10.0555</v>
      </c>
      <c r="V310" s="498">
        <f>Calculation!AP313</f>
        <v>0</v>
      </c>
      <c r="W310" s="498">
        <f t="shared" ca="1" si="74"/>
        <v>-9.1499999957136424E-3</v>
      </c>
      <c r="X310" s="498">
        <v>0</v>
      </c>
      <c r="Y310" s="744">
        <f t="shared" ca="1" si="73"/>
        <v>0</v>
      </c>
      <c r="Z310" s="748">
        <f t="shared" ca="1" si="78"/>
        <v>-9.1499999957136424E-3</v>
      </c>
      <c r="AA310" s="498">
        <f t="shared" ca="1" si="81"/>
        <v>6077.5072267296973</v>
      </c>
      <c r="AB310" s="501">
        <f t="shared" ca="1" si="82"/>
        <v>4857.5072267296973</v>
      </c>
      <c r="AC310" s="498">
        <f ca="1">IF(A310&gt;$A$1,#N/A,VLOOKUP(A310,Calculation!$B$8:$IV$881,155,FALSE))</f>
        <v>9546.2000000183816</v>
      </c>
      <c r="AD310" s="498">
        <f t="shared" ca="1" si="83"/>
        <v>-209.60000000066611</v>
      </c>
      <c r="AE310" s="498"/>
      <c r="AF310" s="501">
        <f>Calculation!G313</f>
        <v>544.56082955042643</v>
      </c>
      <c r="AG310" s="498" t="str">
        <f t="shared" si="84"/>
        <v>Yes</v>
      </c>
      <c r="AH310" s="498" t="str">
        <f t="shared" si="85"/>
        <v>Yes</v>
      </c>
      <c r="AK310" s="738">
        <v>11494.060000023341</v>
      </c>
      <c r="AL310" s="738">
        <v>2878.0600000044547</v>
      </c>
      <c r="AM310" s="740">
        <v>3338.2000000051949</v>
      </c>
      <c r="AR310" s="552">
        <f t="shared" ca="1" si="86"/>
        <v>40938.327873913426</v>
      </c>
      <c r="AS310" s="524"/>
      <c r="AT310" s="581">
        <f>Calculation!AR313*3.068</f>
        <v>292.01583466666614</v>
      </c>
      <c r="AU310" s="575">
        <f ca="1">Calculation!DA313</f>
        <v>537.56589964740078</v>
      </c>
      <c r="AV310" s="575">
        <f>Calculation!CF313*3.068</f>
        <v>300.63423720936419</v>
      </c>
      <c r="AW310" s="582">
        <f>Calculation!BK313*3.068</f>
        <v>205.74595176062971</v>
      </c>
      <c r="AX310" s="813">
        <f t="shared" si="87"/>
        <v>40839</v>
      </c>
      <c r="AY310" s="561"/>
      <c r="AZ310" s="534">
        <f t="shared" ca="1" si="88"/>
        <v>40896.154312627703</v>
      </c>
      <c r="BA310" s="561"/>
      <c r="BB310" s="826">
        <f t="shared" si="89"/>
        <v>40941.468211750747</v>
      </c>
      <c r="BC310" s="561"/>
      <c r="BD310" s="844">
        <f t="shared" si="90"/>
        <v>40983.871888735724</v>
      </c>
      <c r="BE310" s="553"/>
    </row>
    <row r="311" spans="1:57" ht="13.5" thickBot="1">
      <c r="A311" s="513">
        <v>40843</v>
      </c>
      <c r="B311" s="498">
        <f t="shared" si="79"/>
        <v>83.785519999982881</v>
      </c>
      <c r="C311" s="498">
        <f>Calculation!AA314</f>
        <v>0</v>
      </c>
      <c r="D311" s="498">
        <f>Calculation!Y314</f>
        <v>13.264209954936499</v>
      </c>
      <c r="E311" s="498">
        <f>Calculation!U314</f>
        <v>45.88401999998289</v>
      </c>
      <c r="F311" s="498">
        <f>Calculation!V314</f>
        <v>37.901499999999999</v>
      </c>
      <c r="G311" s="498">
        <f>Calculation!W314</f>
        <v>0</v>
      </c>
      <c r="H311" s="500">
        <f>Sheet1!H314</f>
        <v>3.3</v>
      </c>
      <c r="I311" s="501">
        <f>Sheet1!CW314</f>
        <v>1068.6458333333333</v>
      </c>
      <c r="J311" s="501">
        <f>Sheet1!CX314</f>
        <v>844.5</v>
      </c>
      <c r="K311" s="501">
        <f>Sheet1!CV314</f>
        <v>906.20833333333337</v>
      </c>
      <c r="L311" s="501">
        <f>Calculation!F314</f>
        <v>250</v>
      </c>
      <c r="M311" s="501">
        <f>Calculation!E314</f>
        <v>250</v>
      </c>
      <c r="N311" s="501">
        <f>Calculation!D314</f>
        <v>300</v>
      </c>
      <c r="O311" s="500">
        <f>Sheet1!CY314</f>
        <v>1101.1500000000001</v>
      </c>
      <c r="P311" s="514">
        <f>Calculation!ET314</f>
        <v>1110.8</v>
      </c>
      <c r="Q311" s="498">
        <f>Calculation!DF314</f>
        <v>6611.9000000119149</v>
      </c>
      <c r="R311" s="500">
        <f t="shared" si="75"/>
        <v>5391.9000000119149</v>
      </c>
      <c r="S311" s="498">
        <f t="shared" si="80"/>
        <v>-801.56000000184758</v>
      </c>
      <c r="T311" s="498">
        <f ca="1">IF(A311&gt;$A$1,#N/A,VLOOKUP(A311,Calculation!$B$8:$IV$881,30,FALSE))</f>
        <v>1309.65643127259</v>
      </c>
      <c r="U311" s="498">
        <f t="shared" si="76"/>
        <v>13.264209954936499</v>
      </c>
      <c r="V311" s="498">
        <f>Calculation!AP314</f>
        <v>0</v>
      </c>
      <c r="W311" s="498">
        <f t="shared" ca="1" si="74"/>
        <v>-9.1499999957136424E-3</v>
      </c>
      <c r="X311" s="498">
        <v>0</v>
      </c>
      <c r="Y311" s="744">
        <f t="shared" ref="Y311:Y374" ca="1" si="91">IF((A311+1)&gt;$A$1,#N/A,0)</f>
        <v>0</v>
      </c>
      <c r="Z311" s="748">
        <f t="shared" ca="1" si="78"/>
        <v>-9.1499999957136424E-3</v>
      </c>
      <c r="AA311" s="498">
        <f t="shared" ca="1" si="81"/>
        <v>5302.2527187393198</v>
      </c>
      <c r="AB311" s="501">
        <f t="shared" ca="1" si="82"/>
        <v>4082.2527187393198</v>
      </c>
      <c r="AC311" s="498">
        <f ca="1">IF(A311&gt;$A$1,#N/A,VLOOKUP(A311,Calculation!$B$8:$IV$881,155,FALSE))</f>
        <v>9374.2000000182252</v>
      </c>
      <c r="AD311" s="498">
        <f t="shared" ca="1" si="83"/>
        <v>-172.00000000015643</v>
      </c>
      <c r="AE311" s="498"/>
      <c r="AF311" s="501">
        <f>Calculation!G314</f>
        <v>501.99249873835231</v>
      </c>
      <c r="AG311" s="498" t="str">
        <f t="shared" si="84"/>
        <v>Yes</v>
      </c>
      <c r="AH311" s="498" t="str">
        <f t="shared" si="85"/>
        <v>Yes</v>
      </c>
      <c r="AK311" s="738">
        <v>11044.800000021773</v>
      </c>
      <c r="AL311" s="738">
        <v>3215.5600000050804</v>
      </c>
      <c r="AM311" s="740">
        <v>4509.200000007615</v>
      </c>
      <c r="AR311" s="552">
        <f t="shared" ca="1" si="86"/>
        <v>40952.627019755128</v>
      </c>
      <c r="AS311" s="524"/>
      <c r="AT311" s="581">
        <f>Calculation!AR314*3.068</f>
        <v>292.01583466666614</v>
      </c>
      <c r="AU311" s="575">
        <f ca="1">Calculation!DA314</f>
        <v>517.39640763593013</v>
      </c>
      <c r="AV311" s="575">
        <f>Calculation!CF314*3.068</f>
        <v>294.49823720936416</v>
      </c>
      <c r="AW311" s="582">
        <f>Calculation!BK314*3.068</f>
        <v>205.74595176062971</v>
      </c>
      <c r="AX311" s="813">
        <f t="shared" si="87"/>
        <v>40840</v>
      </c>
      <c r="AY311" s="561"/>
      <c r="AZ311" s="534">
        <f t="shared" ca="1" si="88"/>
        <v>40895.83737006678</v>
      </c>
      <c r="BA311" s="561"/>
      <c r="BB311" s="826">
        <f t="shared" si="89"/>
        <v>40986.985448440042</v>
      </c>
      <c r="BC311" s="561"/>
      <c r="BD311" s="844">
        <f t="shared" si="90"/>
        <v>41073.707266408484</v>
      </c>
      <c r="BE311" s="553"/>
    </row>
    <row r="312" spans="1:57" ht="13.5" thickBot="1">
      <c r="A312" s="513">
        <v>40844</v>
      </c>
      <c r="B312" s="498">
        <f t="shared" si="79"/>
        <v>80.134600000015752</v>
      </c>
      <c r="C312" s="498">
        <f>Calculation!AA315</f>
        <v>0</v>
      </c>
      <c r="D312" s="498">
        <f>Calculation!Y315</f>
        <v>13.1495</v>
      </c>
      <c r="E312" s="498">
        <f>Calculation!U315</f>
        <v>43.934800000013503</v>
      </c>
      <c r="F312" s="498">
        <f>Calculation!V315</f>
        <v>36.199800000002249</v>
      </c>
      <c r="G312" s="498">
        <f>Calculation!W315</f>
        <v>27.876940000000673</v>
      </c>
      <c r="H312" s="500">
        <f>Sheet1!H315</f>
        <v>5.19</v>
      </c>
      <c r="I312" s="501">
        <f>Sheet1!CW315</f>
        <v>1069.2708333333333</v>
      </c>
      <c r="J312" s="501">
        <f>Sheet1!CX315</f>
        <v>859.61458333333337</v>
      </c>
      <c r="K312" s="501">
        <f>Sheet1!CV315</f>
        <v>887.5</v>
      </c>
      <c r="L312" s="501">
        <f>Calculation!F315</f>
        <v>250</v>
      </c>
      <c r="M312" s="501">
        <f>Calculation!E315</f>
        <v>250</v>
      </c>
      <c r="N312" s="501">
        <f>Calculation!D315</f>
        <v>300</v>
      </c>
      <c r="O312" s="500">
        <f>Sheet1!CY315</f>
        <v>1098.27</v>
      </c>
      <c r="P312" s="514">
        <f>Calculation!ET315</f>
        <v>1110.3</v>
      </c>
      <c r="Q312" s="498">
        <f>Calculation!DF315</f>
        <v>5882.150000010306</v>
      </c>
      <c r="R312" s="500">
        <f t="shared" si="75"/>
        <v>4662.150000010306</v>
      </c>
      <c r="S312" s="498">
        <f t="shared" si="80"/>
        <v>-729.7500000016089</v>
      </c>
      <c r="T312" s="498">
        <f ca="1">IF(A312&gt;$A$1,#N/A,VLOOKUP(A312,Calculation!$B$8:$IV$881,30,FALSE))</f>
        <v>1283.57843127259</v>
      </c>
      <c r="U312" s="498">
        <f t="shared" si="76"/>
        <v>13.1495</v>
      </c>
      <c r="V312" s="498">
        <f>Calculation!AP315</f>
        <v>0</v>
      </c>
      <c r="W312" s="498">
        <f t="shared" ca="1" si="74"/>
        <v>-9.1499999957136424E-3</v>
      </c>
      <c r="X312" s="498">
        <v>0</v>
      </c>
      <c r="Y312" s="744">
        <f t="shared" ca="1" si="91"/>
        <v>0</v>
      </c>
      <c r="Z312" s="748">
        <f t="shared" ca="1" si="78"/>
        <v>-9.1499999957136424E-3</v>
      </c>
      <c r="AA312" s="498">
        <f t="shared" ca="1" si="81"/>
        <v>4598.5807187377113</v>
      </c>
      <c r="AB312" s="501">
        <f t="shared" ca="1" si="82"/>
        <v>3378.5807187377113</v>
      </c>
      <c r="AC312" s="498">
        <f ca="1">IF(A312&gt;$A$1,#N/A,VLOOKUP(A312,Calculation!$B$8:$IV$881,155,FALSE))</f>
        <v>9170.8000000175416</v>
      </c>
      <c r="AD312" s="498">
        <f t="shared" ca="1" si="83"/>
        <v>-203.40000000068358</v>
      </c>
      <c r="AE312" s="498"/>
      <c r="AF312" s="501">
        <f>Calculation!G315</f>
        <v>519.49697428058062</v>
      </c>
      <c r="AG312" s="498" t="str">
        <f t="shared" si="84"/>
        <v>Yes</v>
      </c>
      <c r="AH312" s="498" t="str">
        <f t="shared" si="85"/>
        <v>Yes</v>
      </c>
      <c r="AK312" s="738">
        <v>10744.600000021428</v>
      </c>
      <c r="AL312" s="738">
        <v>2796.620000004244</v>
      </c>
      <c r="AM312" s="740">
        <v>4369.4600000072205</v>
      </c>
      <c r="AR312" s="552">
        <f t="shared" ca="1" si="86"/>
        <v>40928.561511643718</v>
      </c>
      <c r="AS312" s="524"/>
      <c r="AT312" s="581">
        <f>Calculation!AR315*3.068</f>
        <v>292.01583466666614</v>
      </c>
      <c r="AU312" s="575">
        <f ca="1">Calculation!DA315</f>
        <v>497.45440763593012</v>
      </c>
      <c r="AV312" s="575">
        <f>Calculation!CF315*3.068</f>
        <v>288.36223720936414</v>
      </c>
      <c r="AW312" s="582">
        <f>Calculation!BK315*3.068</f>
        <v>205.74595176062971</v>
      </c>
      <c r="AX312" s="813">
        <f t="shared" si="87"/>
        <v>40841</v>
      </c>
      <c r="AY312" s="561"/>
      <c r="AZ312" s="534">
        <f t="shared" ca="1" si="88"/>
        <v>40883.641953795617</v>
      </c>
      <c r="BA312" s="561"/>
      <c r="BB312" s="826">
        <f t="shared" si="89"/>
        <v>40945.604937341566</v>
      </c>
      <c r="BC312" s="561"/>
      <c r="BD312" s="844">
        <f t="shared" si="90"/>
        <v>40841</v>
      </c>
      <c r="BE312" s="553"/>
    </row>
    <row r="313" spans="1:57" ht="13.5" thickBot="1">
      <c r="A313" s="513">
        <v>40845</v>
      </c>
      <c r="B313" s="498">
        <f t="shared" si="79"/>
        <v>72.554300000002243</v>
      </c>
      <c r="C313" s="498">
        <f>Calculation!AA316</f>
        <v>0</v>
      </c>
      <c r="D313" s="498">
        <f>Calculation!Y316</f>
        <v>0</v>
      </c>
      <c r="E313" s="498">
        <f>Calculation!U316</f>
        <v>41.768999999999998</v>
      </c>
      <c r="F313" s="498">
        <f>Calculation!V316</f>
        <v>30.785300000002248</v>
      </c>
      <c r="G313" s="498">
        <f>Calculation!W316</f>
        <v>37.329109999998764</v>
      </c>
      <c r="H313" s="500">
        <f>Sheet1!H316</f>
        <v>5.66</v>
      </c>
      <c r="I313" s="501">
        <f>Sheet1!CW316</f>
        <v>1113.9583333333333</v>
      </c>
      <c r="J313" s="501">
        <f>Sheet1!CX316</f>
        <v>855.83333333333337</v>
      </c>
      <c r="K313" s="501">
        <f>Sheet1!CV316</f>
        <v>869.95833333333337</v>
      </c>
      <c r="L313" s="501">
        <f>Calculation!F316</f>
        <v>250</v>
      </c>
      <c r="M313" s="501">
        <f>Calculation!E316</f>
        <v>250</v>
      </c>
      <c r="N313" s="501">
        <f>Calculation!D316</f>
        <v>300</v>
      </c>
      <c r="O313" s="500">
        <f>Sheet1!CY316</f>
        <v>1095.54</v>
      </c>
      <c r="P313" s="514">
        <f>Calculation!ET316</f>
        <v>1109.7</v>
      </c>
      <c r="Q313" s="498">
        <f>Calculation!DF316</f>
        <v>5241.0400000089412</v>
      </c>
      <c r="R313" s="500">
        <f t="shared" si="75"/>
        <v>4021.0400000089412</v>
      </c>
      <c r="S313" s="498">
        <f t="shared" si="80"/>
        <v>-641.11000000136482</v>
      </c>
      <c r="T313" s="498">
        <f ca="1">IF(A313&gt;$A$1,#N/A,VLOOKUP(A313,Calculation!$B$8:$IV$881,30,FALSE))</f>
        <v>1283.57843127259</v>
      </c>
      <c r="U313" s="498">
        <f t="shared" si="76"/>
        <v>0</v>
      </c>
      <c r="V313" s="498">
        <f>Calculation!AP316</f>
        <v>0</v>
      </c>
      <c r="W313" s="498">
        <f t="shared" ca="1" si="74"/>
        <v>-9.1499999957136424E-3</v>
      </c>
      <c r="X313" s="498">
        <v>0</v>
      </c>
      <c r="Y313" s="744">
        <f t="shared" ca="1" si="91"/>
        <v>0</v>
      </c>
      <c r="Z313" s="748">
        <f t="shared" ca="1" si="78"/>
        <v>-9.1499999957136424E-3</v>
      </c>
      <c r="AA313" s="498">
        <f t="shared" ca="1" si="81"/>
        <v>3957.470718736347</v>
      </c>
      <c r="AB313" s="501">
        <f t="shared" ca="1" si="82"/>
        <v>2737.470718736347</v>
      </c>
      <c r="AC313" s="498">
        <f ca="1">IF(A313&gt;$A$1,#N/A,VLOOKUP(A313,Calculation!$B$8:$IV$881,155,FALSE))</f>
        <v>8970.4000000173146</v>
      </c>
      <c r="AD313" s="498">
        <f t="shared" ca="1" si="83"/>
        <v>-200.40000000022701</v>
      </c>
      <c r="AE313" s="498"/>
      <c r="AF313" s="501">
        <f>Calculation!G316</f>
        <v>546.65525718539357</v>
      </c>
      <c r="AG313" s="498" t="str">
        <f t="shared" si="84"/>
        <v>Yes</v>
      </c>
      <c r="AH313" s="498" t="str">
        <f t="shared" si="85"/>
        <v>Yes</v>
      </c>
      <c r="AK313" s="738">
        <v>10461.560000020667</v>
      </c>
      <c r="AL313" s="738">
        <v>2167.2500000032232</v>
      </c>
      <c r="AM313" s="740">
        <v>3683.7300000058199</v>
      </c>
      <c r="AR313" s="552">
        <f t="shared" ca="1" si="86"/>
        <v>40923.341617036807</v>
      </c>
      <c r="AS313" s="524"/>
      <c r="AT313" s="581">
        <f>Calculation!AR316*3.068</f>
        <v>292.01583466666614</v>
      </c>
      <c r="AU313" s="575">
        <f ca="1">Calculation!DA316</f>
        <v>497.45440763593012</v>
      </c>
      <c r="AV313" s="575">
        <f>Calculation!CF316*3.068</f>
        <v>288.36223720936414</v>
      </c>
      <c r="AW313" s="582">
        <f>Calculation!BK316*3.068</f>
        <v>205.74595176062971</v>
      </c>
      <c r="AX313" s="813">
        <f t="shared" si="87"/>
        <v>40842</v>
      </c>
      <c r="AY313" s="561"/>
      <c r="AZ313" s="534">
        <f t="shared" ca="1" si="88"/>
        <v>40881.497737801801</v>
      </c>
      <c r="BA313" s="561"/>
      <c r="BB313" s="826">
        <f t="shared" si="89"/>
        <v>40939.832276577923</v>
      </c>
      <c r="BC313" s="561"/>
      <c r="BD313" s="844">
        <f t="shared" si="90"/>
        <v>40842</v>
      </c>
      <c r="BE313" s="553"/>
    </row>
    <row r="314" spans="1:57" ht="13.5" thickBot="1">
      <c r="A314" s="513">
        <v>40846</v>
      </c>
      <c r="B314" s="498">
        <f t="shared" si="79"/>
        <v>72.786349999981979</v>
      </c>
      <c r="C314" s="498">
        <f>Calculation!AA317</f>
        <v>0</v>
      </c>
      <c r="D314" s="498">
        <f>Calculation!Y317</f>
        <v>0</v>
      </c>
      <c r="E314" s="498">
        <f>Calculation!U317</f>
        <v>41.923699999986489</v>
      </c>
      <c r="F314" s="498">
        <f>Calculation!V317</f>
        <v>30.862649999995497</v>
      </c>
      <c r="G314" s="498">
        <f>Calculation!W317</f>
        <v>37.313640000001236</v>
      </c>
      <c r="H314" s="500">
        <f>Sheet1!H317</f>
        <v>6.01</v>
      </c>
      <c r="I314" s="501">
        <f>Sheet1!CW317</f>
        <v>1092.8125</v>
      </c>
      <c r="J314" s="501">
        <f>Sheet1!CX317</f>
        <v>868.77083333333337</v>
      </c>
      <c r="K314" s="501">
        <f>Sheet1!CV317</f>
        <v>855.45833333333337</v>
      </c>
      <c r="L314" s="501">
        <f>Calculation!F317</f>
        <v>250</v>
      </c>
      <c r="M314" s="501">
        <f>Calculation!E317</f>
        <v>250</v>
      </c>
      <c r="N314" s="501">
        <f>Calculation!D317</f>
        <v>300</v>
      </c>
      <c r="O314" s="500">
        <f>Sheet1!CY317</f>
        <v>1093.75</v>
      </c>
      <c r="P314" s="514">
        <f>Calculation!ET317</f>
        <v>1109.0999999999999</v>
      </c>
      <c r="Q314" s="498">
        <f>Calculation!DF317</f>
        <v>4845.7500000080881</v>
      </c>
      <c r="R314" s="500">
        <f t="shared" si="75"/>
        <v>3625.7500000080881</v>
      </c>
      <c r="S314" s="498">
        <f t="shared" si="80"/>
        <v>-395.29000000085307</v>
      </c>
      <c r="T314" s="498">
        <f ca="1">IF(A314&gt;$A$1,#N/A,VLOOKUP(A314,Calculation!$B$8:$IV$881,30,FALSE))</f>
        <v>1283.57843127259</v>
      </c>
      <c r="U314" s="498">
        <f t="shared" si="76"/>
        <v>0</v>
      </c>
      <c r="V314" s="498">
        <f>Calculation!AP317</f>
        <v>0</v>
      </c>
      <c r="W314" s="498">
        <f t="shared" ca="1" si="74"/>
        <v>-9.1499999957136424E-3</v>
      </c>
      <c r="X314" s="498">
        <v>0</v>
      </c>
      <c r="Y314" s="744">
        <f t="shared" ca="1" si="91"/>
        <v>0</v>
      </c>
      <c r="Z314" s="748">
        <f t="shared" ca="1" si="78"/>
        <v>-9.1499999957136424E-3</v>
      </c>
      <c r="AA314" s="498">
        <f t="shared" ca="1" si="81"/>
        <v>3562.1807187354939</v>
      </c>
      <c r="AB314" s="501">
        <f t="shared" ca="1" si="82"/>
        <v>2342.1807187354939</v>
      </c>
      <c r="AC314" s="498">
        <f ca="1">IF(A314&gt;$A$1,#N/A,VLOOKUP(A314,Calculation!$B$8:$IV$881,155,FALSE))</f>
        <v>8807.0000000167001</v>
      </c>
      <c r="AD314" s="498">
        <f t="shared" ca="1" si="83"/>
        <v>-163.40000000061445</v>
      </c>
      <c r="AE314" s="498"/>
      <c r="AF314" s="501">
        <f>Calculation!G317</f>
        <v>656.11894856235358</v>
      </c>
      <c r="AG314" s="498" t="str">
        <f t="shared" si="84"/>
        <v>Yes</v>
      </c>
      <c r="AH314" s="498" t="str">
        <f t="shared" si="85"/>
        <v>Yes</v>
      </c>
      <c r="AK314" s="738">
        <v>10089.740000019781</v>
      </c>
      <c r="AL314" s="738">
        <v>1779.9800000025521</v>
      </c>
      <c r="AM314" s="740">
        <v>2966.5400000045624</v>
      </c>
      <c r="AR314" s="552">
        <f t="shared" ca="1" si="86"/>
        <v>40923.388589910108</v>
      </c>
      <c r="AS314" s="524"/>
      <c r="AT314" s="581">
        <f>Calculation!AR317*3.068</f>
        <v>292.01583466666614</v>
      </c>
      <c r="AU314" s="575">
        <f ca="1">Calculation!DA317</f>
        <v>497.45440763593012</v>
      </c>
      <c r="AV314" s="575">
        <f>Calculation!CF317*3.068</f>
        <v>288.36223720936414</v>
      </c>
      <c r="AW314" s="582">
        <f>Calculation!BK317*3.068</f>
        <v>205.74595176062971</v>
      </c>
      <c r="AX314" s="813">
        <f t="shared" si="87"/>
        <v>40843</v>
      </c>
      <c r="AY314" s="561"/>
      <c r="AZ314" s="534">
        <f t="shared" ca="1" si="88"/>
        <v>40881.860519775422</v>
      </c>
      <c r="BA314" s="561"/>
      <c r="BB314" s="826">
        <f t="shared" si="89"/>
        <v>40938.99029896003</v>
      </c>
      <c r="BC314" s="561"/>
      <c r="BD314" s="844">
        <f t="shared" si="90"/>
        <v>40843</v>
      </c>
      <c r="BE314" s="553"/>
    </row>
    <row r="315" spans="1:57" ht="13.5" thickBot="1">
      <c r="A315" s="513">
        <v>40847</v>
      </c>
      <c r="B315" s="498">
        <f t="shared" si="79"/>
        <v>70.790719999999993</v>
      </c>
      <c r="C315" s="498">
        <f>Calculation!AA318</f>
        <v>0</v>
      </c>
      <c r="D315" s="498">
        <f>Calculation!Y318</f>
        <v>0</v>
      </c>
      <c r="E315" s="498">
        <f>Calculation!U318</f>
        <v>41.954639999999998</v>
      </c>
      <c r="F315" s="498">
        <f>Calculation!V318</f>
        <v>28.836079999999999</v>
      </c>
      <c r="G315" s="498">
        <f>Calculation!W318</f>
        <v>45.605559999999322</v>
      </c>
      <c r="H315" s="500">
        <f>Sheet1!H318</f>
        <v>8.3000000000000007</v>
      </c>
      <c r="I315" s="501">
        <f>Sheet1!CW318</f>
        <v>1193.5416666666667</v>
      </c>
      <c r="J315" s="501">
        <f>Sheet1!CX318</f>
        <v>975.85416666666663</v>
      </c>
      <c r="K315" s="501">
        <f>Sheet1!CV318</f>
        <v>911.625</v>
      </c>
      <c r="L315" s="501">
        <f>Calculation!F318</f>
        <v>250</v>
      </c>
      <c r="M315" s="501">
        <f>Calculation!E318</f>
        <v>250</v>
      </c>
      <c r="N315" s="501">
        <f>Calculation!D318</f>
        <v>300</v>
      </c>
      <c r="O315" s="500">
        <f>Sheet1!CY318</f>
        <v>1094.57</v>
      </c>
      <c r="P315" s="514">
        <f>Calculation!ET318</f>
        <v>1108.5999999999999</v>
      </c>
      <c r="Q315" s="498">
        <f>Calculation!DF318</f>
        <v>5024.4000000085034</v>
      </c>
      <c r="R315" s="500">
        <f t="shared" si="75"/>
        <v>3804.4000000085034</v>
      </c>
      <c r="S315" s="498">
        <f t="shared" si="80"/>
        <v>178.65000000041528</v>
      </c>
      <c r="T315" s="498">
        <f ca="1">IF(A315&gt;$A$1,#N/A,VLOOKUP(A315,Calculation!$B$8:$IV$881,30,FALSE))</f>
        <v>1283.57843127259</v>
      </c>
      <c r="U315" s="498">
        <f t="shared" si="76"/>
        <v>0</v>
      </c>
      <c r="V315" s="498">
        <f>Calculation!AP318</f>
        <v>0</v>
      </c>
      <c r="W315" s="498">
        <f t="shared" ca="1" si="74"/>
        <v>-9.1499999957136424E-3</v>
      </c>
      <c r="X315" s="498">
        <v>0</v>
      </c>
      <c r="Y315" s="744">
        <f t="shared" ca="1" si="91"/>
        <v>0</v>
      </c>
      <c r="Z315" s="748">
        <f t="shared" ca="1" si="78"/>
        <v>-9.1499999957136424E-3</v>
      </c>
      <c r="AA315" s="498">
        <f t="shared" ca="1" si="81"/>
        <v>3740.8307187359092</v>
      </c>
      <c r="AB315" s="501">
        <f t="shared" ca="1" si="82"/>
        <v>2520.8307187359092</v>
      </c>
      <c r="AC315" s="498">
        <f ca="1">IF(A315&gt;$A$1,#N/A,VLOOKUP(A315,Calculation!$B$8:$IV$881,155,FALSE))</f>
        <v>8612.0000000165528</v>
      </c>
      <c r="AD315" s="498">
        <f t="shared" ca="1" si="83"/>
        <v>-195.00000000014734</v>
      </c>
      <c r="AE315" s="498"/>
      <c r="AF315" s="501">
        <f>Calculation!G318</f>
        <v>1001.7157715584544</v>
      </c>
      <c r="AG315" s="498" t="str">
        <f t="shared" si="84"/>
        <v>Yes</v>
      </c>
      <c r="AH315" s="498" t="str">
        <f t="shared" si="85"/>
        <v>Yes</v>
      </c>
      <c r="AK315" s="738">
        <v>9766.3600000190472</v>
      </c>
      <c r="AL315" s="738">
        <v>1779.9800000025521</v>
      </c>
      <c r="AM315" s="740">
        <v>2620.1300000039637</v>
      </c>
      <c r="AR315" s="552">
        <f t="shared" ca="1" si="86"/>
        <v>40927.956225805247</v>
      </c>
      <c r="AS315" s="524"/>
      <c r="AT315" s="581">
        <f>Calculation!AR318*3.068</f>
        <v>292.01583466666614</v>
      </c>
      <c r="AU315" s="575">
        <f ca="1">Calculation!DA318</f>
        <v>497.45440763593012</v>
      </c>
      <c r="AV315" s="575">
        <f>Calculation!CF318*3.068</f>
        <v>288.36223720936414</v>
      </c>
      <c r="AW315" s="582">
        <f>Calculation!BK318*3.068</f>
        <v>205.74595176062971</v>
      </c>
      <c r="AX315" s="813">
        <f t="shared" si="87"/>
        <v>40844</v>
      </c>
      <c r="AY315" s="561"/>
      <c r="AZ315" s="534">
        <f t="shared" ca="1" si="88"/>
        <v>40884.61088977092</v>
      </c>
      <c r="BA315" s="561"/>
      <c r="BB315" s="826">
        <f t="shared" si="89"/>
        <v>40940.674381841083</v>
      </c>
      <c r="BC315" s="561"/>
      <c r="BD315" s="844">
        <f t="shared" si="90"/>
        <v>40844</v>
      </c>
      <c r="BE315" s="553"/>
    </row>
    <row r="316" spans="1:57" ht="13.5" thickBot="1">
      <c r="A316" s="513">
        <v>40848</v>
      </c>
      <c r="B316" s="498">
        <f t="shared" si="79"/>
        <v>68.269109999984693</v>
      </c>
      <c r="C316" s="498">
        <f>Calculation!AA319</f>
        <v>0</v>
      </c>
      <c r="D316" s="498">
        <f>Calculation!Y319</f>
        <v>0</v>
      </c>
      <c r="E316" s="498">
        <f>Calculation!U319</f>
        <v>41.923699999986489</v>
      </c>
      <c r="F316" s="498">
        <f>Calculation!V319</f>
        <v>26.345409999998196</v>
      </c>
      <c r="G316" s="498">
        <f>Calculation!W319</f>
        <v>49.921690000000673</v>
      </c>
      <c r="H316" s="500">
        <f>Sheet1!H319</f>
        <v>7.4</v>
      </c>
      <c r="I316" s="501">
        <f>Sheet1!CW319</f>
        <v>1278.5416666666667</v>
      </c>
      <c r="J316" s="501">
        <f>Sheet1!CX319</f>
        <v>1023.4375</v>
      </c>
      <c r="K316" s="501">
        <f>Sheet1!CV319</f>
        <v>987.5</v>
      </c>
      <c r="L316" s="501">
        <f>Calculation!F319</f>
        <v>250</v>
      </c>
      <c r="M316" s="501">
        <f>Calculation!E319</f>
        <v>250</v>
      </c>
      <c r="N316" s="501">
        <f>Calculation!D319</f>
        <v>300</v>
      </c>
      <c r="O316" s="500">
        <f>Sheet1!CY319</f>
        <v>1093.3699999999999</v>
      </c>
      <c r="P316" s="514">
        <f>Calculation!ET319</f>
        <v>1108</v>
      </c>
      <c r="Q316" s="498">
        <f>Calculation!DF319</f>
        <v>4764.8100000079912</v>
      </c>
      <c r="R316" s="500">
        <f t="shared" si="75"/>
        <v>3544.8100000079912</v>
      </c>
      <c r="S316" s="498">
        <f t="shared" si="80"/>
        <v>-259.59000000051219</v>
      </c>
      <c r="T316" s="498">
        <f ca="1">IF(A316&gt;$A$1,#N/A,VLOOKUP(A316,Calculation!$B$8:$IV$881,30,FALSE))</f>
        <v>1283.57843127259</v>
      </c>
      <c r="U316" s="498">
        <f t="shared" si="76"/>
        <v>0</v>
      </c>
      <c r="V316" s="498">
        <f>Calculation!AP319</f>
        <v>0</v>
      </c>
      <c r="W316" s="498">
        <f t="shared" ca="1" si="74"/>
        <v>-9.1499999957136424E-3</v>
      </c>
      <c r="X316" s="498">
        <v>0</v>
      </c>
      <c r="Y316" s="744">
        <f t="shared" ca="1" si="91"/>
        <v>0</v>
      </c>
      <c r="Z316" s="748">
        <f t="shared" ca="1" si="78"/>
        <v>-9.1499999957136424E-3</v>
      </c>
      <c r="AA316" s="498">
        <f t="shared" ca="1" si="81"/>
        <v>3481.240718735397</v>
      </c>
      <c r="AB316" s="501">
        <f t="shared" ca="1" si="82"/>
        <v>2261.240718735397</v>
      </c>
      <c r="AC316" s="498">
        <f ca="1">IF(A316&gt;$A$1,#N/A,VLOOKUP(A316,Calculation!$B$8:$IV$881,155,FALSE))</f>
        <v>8295.0000000158579</v>
      </c>
      <c r="AD316" s="498">
        <f t="shared" ca="1" si="83"/>
        <v>-317.00000000069485</v>
      </c>
      <c r="AE316" s="498"/>
      <c r="AF316" s="501">
        <f>Calculation!G319</f>
        <v>856.5922844172909</v>
      </c>
      <c r="AG316" s="498" t="str">
        <f t="shared" si="84"/>
        <v>Yes</v>
      </c>
      <c r="AH316" s="498" t="str">
        <f t="shared" si="85"/>
        <v>Yes</v>
      </c>
      <c r="AK316" s="738">
        <v>9487.7200000183802</v>
      </c>
      <c r="AL316" s="738">
        <v>2402.4000000035335</v>
      </c>
      <c r="AM316" s="740">
        <v>3287.8000000051188</v>
      </c>
      <c r="AR316" s="552">
        <f t="shared" ca="1" si="86"/>
        <v>40951.501489497998</v>
      </c>
      <c r="AS316" s="524"/>
      <c r="AT316" s="581">
        <f>Calculation!AR319*3.068</f>
        <v>292.01583466666614</v>
      </c>
      <c r="AU316" s="575">
        <f ca="1">Calculation!DA319</f>
        <v>497.45440763593012</v>
      </c>
      <c r="AV316" s="575">
        <f>Calculation!CF319*3.068</f>
        <v>288.36223720936414</v>
      </c>
      <c r="AW316" s="582">
        <f>Calculation!BK319*3.068</f>
        <v>205.74595176062971</v>
      </c>
      <c r="AX316" s="813">
        <f t="shared" si="87"/>
        <v>40845</v>
      </c>
      <c r="AY316" s="561"/>
      <c r="AZ316" s="534">
        <f t="shared" ca="1" si="88"/>
        <v>40899.361847175081</v>
      </c>
      <c r="BA316" s="561"/>
      <c r="BB316" s="826">
        <f t="shared" si="89"/>
        <v>40947.143398880027</v>
      </c>
      <c r="BC316" s="561"/>
      <c r="BD316" s="844">
        <f t="shared" si="90"/>
        <v>40845</v>
      </c>
      <c r="BE316" s="553"/>
    </row>
    <row r="317" spans="1:57" ht="13.5" thickBot="1">
      <c r="A317" s="513">
        <v>40849</v>
      </c>
      <c r="B317" s="498">
        <f t="shared" si="79"/>
        <v>68.145350000004498</v>
      </c>
      <c r="C317" s="498">
        <f>Calculation!AA320</f>
        <v>0</v>
      </c>
      <c r="D317" s="498">
        <f>Calculation!Y320</f>
        <v>3.0939999999999999</v>
      </c>
      <c r="E317" s="498">
        <f>Calculation!U320</f>
        <v>41.150200000009001</v>
      </c>
      <c r="F317" s="498">
        <f>Calculation!V320</f>
        <v>26.995149999995498</v>
      </c>
      <c r="G317" s="498">
        <f>Calculation!W320</f>
        <v>32.796399999998307</v>
      </c>
      <c r="H317" s="500">
        <f>Sheet1!H320</f>
        <v>5.17</v>
      </c>
      <c r="I317" s="501">
        <f>Sheet1!CW320</f>
        <v>1252.6041666666667</v>
      </c>
      <c r="J317" s="501">
        <f>Sheet1!CX320</f>
        <v>987.90625</v>
      </c>
      <c r="K317" s="501">
        <f>Sheet1!CV320</f>
        <v>982.91666666666663</v>
      </c>
      <c r="L317" s="501">
        <f>Calculation!F320</f>
        <v>250</v>
      </c>
      <c r="M317" s="501">
        <f>Calculation!E320</f>
        <v>250</v>
      </c>
      <c r="N317" s="501">
        <f>Calculation!D320</f>
        <v>300</v>
      </c>
      <c r="O317" s="500">
        <f>Sheet1!CY320</f>
        <v>1091.05</v>
      </c>
      <c r="P317" s="514">
        <f>Calculation!ET320</f>
        <v>1107</v>
      </c>
      <c r="Q317" s="498">
        <f>Calculation!DF320</f>
        <v>4287.0500000071297</v>
      </c>
      <c r="R317" s="500">
        <f t="shared" si="75"/>
        <v>3067.0500000071297</v>
      </c>
      <c r="S317" s="498">
        <f t="shared" si="80"/>
        <v>-477.76000000086151</v>
      </c>
      <c r="T317" s="498">
        <f ca="1">IF(A317&gt;$A$1,#N/A,VLOOKUP(A317,Calculation!$B$8:$IV$881,30,FALSE))</f>
        <v>1277.4424312725901</v>
      </c>
      <c r="U317" s="498">
        <f t="shared" si="76"/>
        <v>3.0939999999999999</v>
      </c>
      <c r="V317" s="498">
        <f>Calculation!AP320</f>
        <v>0</v>
      </c>
      <c r="W317" s="498">
        <f t="shared" ca="1" si="74"/>
        <v>-9.1499999957136424E-3</v>
      </c>
      <c r="X317" s="498">
        <v>0</v>
      </c>
      <c r="Y317" s="744">
        <f t="shared" ca="1" si="91"/>
        <v>0</v>
      </c>
      <c r="Z317" s="748">
        <f t="shared" ca="1" si="78"/>
        <v>-9.1499999957136424E-3</v>
      </c>
      <c r="AA317" s="498">
        <f t="shared" ca="1" si="81"/>
        <v>3009.6167187345354</v>
      </c>
      <c r="AB317" s="501">
        <f t="shared" ca="1" si="82"/>
        <v>1789.6167187345354</v>
      </c>
      <c r="AC317" s="498">
        <f ca="1">IF(A317&gt;$A$1,#N/A,VLOOKUP(A317,Calculation!$B$8:$IV$881,155,FALSE))</f>
        <v>7987.0000000151267</v>
      </c>
      <c r="AD317" s="498">
        <f t="shared" ca="1" si="83"/>
        <v>-308.00000000073123</v>
      </c>
      <c r="AE317" s="498"/>
      <c r="AF317" s="501">
        <f>Calculation!G320</f>
        <v>741.98877962639358</v>
      </c>
      <c r="AG317" s="498" t="str">
        <f t="shared" si="84"/>
        <v>Yes</v>
      </c>
      <c r="AH317" s="498" t="str">
        <f t="shared" si="85"/>
        <v>Yes</v>
      </c>
      <c r="AK317" s="738">
        <v>9487.7200000183802</v>
      </c>
      <c r="AL317" s="738">
        <v>2630.5600000039976</v>
      </c>
      <c r="AM317" s="740">
        <v>4155.4800000068626</v>
      </c>
      <c r="AR317" s="552">
        <f t="shared" ca="1" si="86"/>
        <v>41034.111332745066</v>
      </c>
      <c r="AS317" s="524"/>
      <c r="AT317" s="581">
        <f>Calculation!AR320*3.068</f>
        <v>292.01583466666614</v>
      </c>
      <c r="AU317" s="575">
        <f ca="1">Calculation!DA320</f>
        <v>497.45440763593012</v>
      </c>
      <c r="AV317" s="575">
        <f>Calculation!CF320*3.068</f>
        <v>282.22623720936417</v>
      </c>
      <c r="AW317" s="582">
        <f>Calculation!BK320*3.068</f>
        <v>205.74595176062971</v>
      </c>
      <c r="AX317" s="813">
        <f t="shared" si="87"/>
        <v>40846</v>
      </c>
      <c r="AY317" s="561"/>
      <c r="AZ317" s="534">
        <f t="shared" ca="1" si="88"/>
        <v>40933.807713706032</v>
      </c>
      <c r="BA317" s="561"/>
      <c r="BB317" s="826">
        <f t="shared" si="89"/>
        <v>40986.985448440042</v>
      </c>
      <c r="BC317" s="561"/>
      <c r="BD317" s="844">
        <f t="shared" si="90"/>
        <v>40846</v>
      </c>
      <c r="BE317" s="553"/>
    </row>
    <row r="318" spans="1:57" ht="13.5" thickBot="1">
      <c r="A318" s="513">
        <v>40850</v>
      </c>
      <c r="B318" s="498">
        <f t="shared" si="79"/>
        <v>72.941050000002249</v>
      </c>
      <c r="C318" s="498">
        <f>Calculation!AA321</f>
        <v>0</v>
      </c>
      <c r="D318" s="498">
        <f>Calculation!Y321</f>
        <v>6.6644910194178353</v>
      </c>
      <c r="E318" s="498">
        <f>Calculation!U321</f>
        <v>40.9955</v>
      </c>
      <c r="F318" s="498">
        <f>Calculation!V321</f>
        <v>31.94555000000225</v>
      </c>
      <c r="G318" s="498">
        <f>Calculation!W321</f>
        <v>40.345760000002699</v>
      </c>
      <c r="H318" s="500">
        <f>Sheet1!H321</f>
        <v>5.76</v>
      </c>
      <c r="I318" s="501">
        <f>Sheet1!CW321</f>
        <v>1253.9583333333333</v>
      </c>
      <c r="J318" s="501">
        <f>Sheet1!CX321</f>
        <v>967.92708333333337</v>
      </c>
      <c r="K318" s="501">
        <f>Sheet1!CV321</f>
        <v>960</v>
      </c>
      <c r="L318" s="501">
        <f>Calculation!F321</f>
        <v>250</v>
      </c>
      <c r="M318" s="501">
        <f>Calculation!E321</f>
        <v>250</v>
      </c>
      <c r="N318" s="501">
        <f>Calculation!D321</f>
        <v>300</v>
      </c>
      <c r="O318" s="500">
        <f>Sheet1!CY321</f>
        <v>1088.3399999999999</v>
      </c>
      <c r="P318" s="514">
        <f>Calculation!ET321</f>
        <v>1106</v>
      </c>
      <c r="Q318" s="498">
        <f>Calculation!DF321</f>
        <v>3769.5600000060663</v>
      </c>
      <c r="R318" s="500">
        <f t="shared" si="75"/>
        <v>2549.5600000060663</v>
      </c>
      <c r="S318" s="498">
        <f t="shared" si="80"/>
        <v>-517.49000000106344</v>
      </c>
      <c r="T318" s="498">
        <f ca="1">IF(A318&gt;$A$1,#N/A,VLOOKUP(A318,Calculation!$B$8:$IV$881,30,FALSE))</f>
        <v>1264.2254574861815</v>
      </c>
      <c r="U318" s="498">
        <f t="shared" si="76"/>
        <v>6.6644910194178353</v>
      </c>
      <c r="V318" s="498">
        <f>Calculation!AP321</f>
        <v>0</v>
      </c>
      <c r="W318" s="498">
        <f t="shared" ca="1" si="74"/>
        <v>-9.1499999957136424E-3</v>
      </c>
      <c r="X318" s="498">
        <v>0</v>
      </c>
      <c r="Y318" s="744">
        <f t="shared" ca="1" si="91"/>
        <v>0</v>
      </c>
      <c r="Z318" s="748">
        <f t="shared" ca="1" si="78"/>
        <v>-9.1499999957136424E-3</v>
      </c>
      <c r="AA318" s="498">
        <f t="shared" ca="1" si="81"/>
        <v>2505.3436925198807</v>
      </c>
      <c r="AB318" s="501">
        <f t="shared" ca="1" si="82"/>
        <v>1285.3436925198807</v>
      </c>
      <c r="AC318" s="498">
        <f ca="1">IF(A318&gt;$A$1,#N/A,VLOOKUP(A318,Calculation!$B$8:$IV$881,155,FALSE))</f>
        <v>7687.000000014461</v>
      </c>
      <c r="AD318" s="498">
        <f t="shared" ca="1" si="83"/>
        <v>-300.00000000066575</v>
      </c>
      <c r="AE318" s="498"/>
      <c r="AF318" s="501">
        <f>Calculation!G321</f>
        <v>699.03681290919644</v>
      </c>
      <c r="AG318" s="498" t="str">
        <f t="shared" si="84"/>
        <v>Yes</v>
      </c>
      <c r="AH318" s="498" t="str">
        <f t="shared" si="85"/>
        <v>Yes</v>
      </c>
      <c r="AK318" s="738">
        <v>9053.900000017391</v>
      </c>
      <c r="AL318" s="738">
        <v>2126.2000000030444</v>
      </c>
      <c r="AM318" s="740">
        <v>2847.1100000042788</v>
      </c>
      <c r="AR318" s="552">
        <f t="shared" ca="1" si="86"/>
        <v>41128.859895269452</v>
      </c>
      <c r="AS318" s="524"/>
      <c r="AT318" s="581">
        <f>Calculation!AR321*3.068</f>
        <v>292.01583466666614</v>
      </c>
      <c r="AU318" s="575">
        <f ca="1">Calculation!DA321</f>
        <v>497.45440763593012</v>
      </c>
      <c r="AV318" s="575">
        <f>Calculation!CF321*3.068</f>
        <v>272.0772634229557</v>
      </c>
      <c r="AW318" s="582">
        <f>Calculation!BK321*3.068</f>
        <v>202.6779517606297</v>
      </c>
      <c r="AX318" s="813">
        <f t="shared" si="87"/>
        <v>40847</v>
      </c>
      <c r="AY318" s="561"/>
      <c r="AZ318" s="534">
        <f t="shared" ca="1" si="88"/>
        <v>40847</v>
      </c>
      <c r="BA318" s="561"/>
      <c r="BB318" s="826">
        <f t="shared" si="89"/>
        <v>40922.446524914165</v>
      </c>
      <c r="BC318" s="561"/>
      <c r="BD318" s="844">
        <f t="shared" si="90"/>
        <v>41081.216698553522</v>
      </c>
      <c r="BE318" s="553"/>
    </row>
    <row r="319" spans="1:57" ht="13.5" thickBot="1">
      <c r="A319" s="513">
        <v>40851</v>
      </c>
      <c r="B319" s="498">
        <f t="shared" si="79"/>
        <v>73.637200000009003</v>
      </c>
      <c r="C319" s="498">
        <f>Calculation!AA322</f>
        <v>0</v>
      </c>
      <c r="D319" s="498">
        <f>Calculation!Y322</f>
        <v>3.0939999999999999</v>
      </c>
      <c r="E319" s="498">
        <f>Calculation!U322</f>
        <v>41.4596000000045</v>
      </c>
      <c r="F319" s="498">
        <f>Calculation!V322</f>
        <v>32.177600000004503</v>
      </c>
      <c r="G319" s="498">
        <f>Calculation!W322</f>
        <v>26.886859999998762</v>
      </c>
      <c r="H319" s="500">
        <f>Sheet1!H322</f>
        <v>5</v>
      </c>
      <c r="I319" s="501">
        <f>Sheet1!CW322</f>
        <v>1162.0833333333333</v>
      </c>
      <c r="J319" s="501">
        <f>Sheet1!CX322</f>
        <v>855.32291666666663</v>
      </c>
      <c r="K319" s="501">
        <f>Sheet1!CV322</f>
        <v>867.625</v>
      </c>
      <c r="L319" s="501">
        <f>Calculation!F322</f>
        <v>250</v>
      </c>
      <c r="M319" s="501">
        <f>Calculation!E322</f>
        <v>250</v>
      </c>
      <c r="N319" s="501">
        <f>Calculation!D322</f>
        <v>300</v>
      </c>
      <c r="O319" s="500">
        <f>Sheet1!CY322</f>
        <v>1085.45</v>
      </c>
      <c r="P319" s="514">
        <f>Calculation!ET322</f>
        <v>1105</v>
      </c>
      <c r="Q319" s="498">
        <f>Calculation!DF322</f>
        <v>3262.6000000051185</v>
      </c>
      <c r="R319" s="500">
        <f t="shared" si="75"/>
        <v>2042.6000000051185</v>
      </c>
      <c r="S319" s="498">
        <f t="shared" si="80"/>
        <v>-506.96000000094773</v>
      </c>
      <c r="T319" s="498">
        <f ca="1">IF(A319&gt;$A$1,#N/A,VLOOKUP(A319,Calculation!$B$8:$IV$881,30,FALSE))</f>
        <v>0</v>
      </c>
      <c r="U319" s="498">
        <f t="shared" si="76"/>
        <v>3.0939999999999999</v>
      </c>
      <c r="V319" s="498">
        <f>Calculation!AP322</f>
        <v>0</v>
      </c>
      <c r="W319" s="498">
        <f t="shared" ca="1" si="74"/>
        <v>-9.1499999957136424E-3</v>
      </c>
      <c r="X319" s="498">
        <v>0</v>
      </c>
      <c r="Y319" s="744">
        <f t="shared" ca="1" si="91"/>
        <v>0</v>
      </c>
      <c r="Z319" s="748">
        <f t="shared" ca="1" si="78"/>
        <v>-9.1499999957136424E-3</v>
      </c>
      <c r="AA319" s="498">
        <f t="shared" ca="1" si="81"/>
        <v>3262.6091500051143</v>
      </c>
      <c r="AB319" s="501">
        <f t="shared" ca="1" si="82"/>
        <v>2042.6091500051143</v>
      </c>
      <c r="AC319" s="498">
        <f ca="1">IF(A319&gt;$A$1,#N/A,VLOOKUP(A319,Calculation!$B$8:$IV$881,155,FALSE))</f>
        <v>7396.0000000137625</v>
      </c>
      <c r="AD319" s="498">
        <f t="shared" ca="1" si="83"/>
        <v>-291.00000000069849</v>
      </c>
      <c r="AE319" s="498"/>
      <c r="AF319" s="501">
        <f>Calculation!G322</f>
        <v>611.97194906659217</v>
      </c>
      <c r="AG319" s="498" t="str">
        <f t="shared" si="84"/>
        <v>Yes</v>
      </c>
      <c r="AH319" s="498" t="str">
        <f t="shared" si="85"/>
        <v>Yes</v>
      </c>
      <c r="AK319" s="738">
        <v>8748.5000000167001</v>
      </c>
      <c r="AL319" s="738">
        <v>1894.7800000027503</v>
      </c>
      <c r="AM319" s="740">
        <v>2333.8000000034699</v>
      </c>
      <c r="AR319" s="552">
        <f t="shared" ca="1" si="86"/>
        <v>40851.044353450714</v>
      </c>
      <c r="AS319" s="524"/>
      <c r="AT319" s="581">
        <f>Calculation!AR322*3.068</f>
        <v>0</v>
      </c>
      <c r="AU319" s="575">
        <f ca="1">Calculation!DA322</f>
        <v>0</v>
      </c>
      <c r="AV319" s="575">
        <f>Calculation!CF322*3.068</f>
        <v>0</v>
      </c>
      <c r="AW319" s="582">
        <f>Calculation!BK322*3.068</f>
        <v>0</v>
      </c>
      <c r="AX319" s="813">
        <f t="shared" si="87"/>
        <v>40851</v>
      </c>
      <c r="AY319" s="561"/>
      <c r="AZ319" s="534">
        <f t="shared" ca="1" si="88"/>
        <v>40851</v>
      </c>
      <c r="BA319" s="561"/>
      <c r="BB319" s="826">
        <f t="shared" si="89"/>
        <v>40851.165389590271</v>
      </c>
      <c r="BC319" s="561"/>
      <c r="BD319" s="844">
        <f t="shared" si="90"/>
        <v>40851.036712113942</v>
      </c>
      <c r="BE319" s="553"/>
    </row>
    <row r="320" spans="1:57" ht="13.5" thickBot="1">
      <c r="A320" s="513">
        <v>40852</v>
      </c>
      <c r="B320" s="498">
        <f t="shared" si="79"/>
        <v>70.156449999986492</v>
      </c>
      <c r="C320" s="498">
        <f>Calculation!AA323</f>
        <v>0</v>
      </c>
      <c r="D320" s="498">
        <f>Calculation!Y323</f>
        <v>0</v>
      </c>
      <c r="E320" s="498">
        <f>Calculation!U323</f>
        <v>40.840799999990992</v>
      </c>
      <c r="F320" s="498">
        <f>Calculation!V323</f>
        <v>29.315649999995497</v>
      </c>
      <c r="G320" s="498">
        <f>Calculation!W323</f>
        <v>19.70877999999966</v>
      </c>
      <c r="H320" s="500">
        <f>Sheet1!H323</f>
        <v>4.8</v>
      </c>
      <c r="I320" s="501">
        <f>Sheet1!CW323</f>
        <v>1016.6979166666666</v>
      </c>
      <c r="J320" s="501">
        <f>Sheet1!CX323</f>
        <v>777.69791666666663</v>
      </c>
      <c r="K320" s="501">
        <f>Sheet1!CV323</f>
        <v>797.66666666666663</v>
      </c>
      <c r="L320" s="501">
        <f>Calculation!F323</f>
        <v>250</v>
      </c>
      <c r="M320" s="501">
        <f>Calculation!E323</f>
        <v>250</v>
      </c>
      <c r="N320" s="501">
        <f>Calculation!D323</f>
        <v>300</v>
      </c>
      <c r="O320" s="500">
        <f>Sheet1!CY323</f>
        <v>1082.42</v>
      </c>
      <c r="P320" s="514">
        <f>Calculation!ET323</f>
        <v>1104</v>
      </c>
      <c r="Q320" s="498">
        <f>Calculation!DF323</f>
        <v>2778.2600000042439</v>
      </c>
      <c r="R320" s="500">
        <f t="shared" si="75"/>
        <v>1558.2600000042439</v>
      </c>
      <c r="S320" s="498">
        <f t="shared" si="80"/>
        <v>-484.34000000087462</v>
      </c>
      <c r="T320" s="498">
        <f ca="1">IF(A320&gt;$A$1,#N/A,VLOOKUP(A320,Calculation!$B$8:$IV$881,30,FALSE))</f>
        <v>0</v>
      </c>
      <c r="U320" s="498">
        <f t="shared" si="76"/>
        <v>0</v>
      </c>
      <c r="V320" s="498">
        <f>Calculation!AP323</f>
        <v>0</v>
      </c>
      <c r="W320" s="498">
        <f t="shared" ca="1" si="74"/>
        <v>-9.1499999957136424E-3</v>
      </c>
      <c r="X320" s="498">
        <v>0</v>
      </c>
      <c r="Y320" s="744">
        <f t="shared" ca="1" si="91"/>
        <v>0</v>
      </c>
      <c r="Z320" s="748">
        <f t="shared" ca="1" si="78"/>
        <v>-9.1499999957136424E-3</v>
      </c>
      <c r="AA320" s="498">
        <f t="shared" ca="1" si="81"/>
        <v>2778.2691500042397</v>
      </c>
      <c r="AB320" s="501">
        <f t="shared" ca="1" si="82"/>
        <v>1558.2691500042397</v>
      </c>
      <c r="AC320" s="498">
        <f ca="1">IF(A320&gt;$A$1,#N/A,VLOOKUP(A320,Calculation!$B$8:$IV$881,155,FALSE))</f>
        <v>7113.0000000131267</v>
      </c>
      <c r="AD320" s="498">
        <f t="shared" ca="1" si="83"/>
        <v>-283.00000000063574</v>
      </c>
      <c r="AE320" s="498"/>
      <c r="AF320" s="501">
        <f>Calculation!G323</f>
        <v>553.42057488609453</v>
      </c>
      <c r="AG320" s="498" t="str">
        <f t="shared" si="84"/>
        <v>Yes</v>
      </c>
      <c r="AH320" s="498" t="str">
        <f t="shared" si="85"/>
        <v>Yes</v>
      </c>
      <c r="AK320" s="738">
        <v>8352.0600000159284</v>
      </c>
      <c r="AL320" s="738">
        <v>1882.460000002663</v>
      </c>
      <c r="AM320" s="740">
        <v>2361.8000000035017</v>
      </c>
      <c r="AR320" s="552">
        <f t="shared" ca="1" si="86"/>
        <v>40851.51723292633</v>
      </c>
      <c r="AS320" s="524"/>
      <c r="AT320" s="581">
        <f>Calculation!AR323*3.068</f>
        <v>0</v>
      </c>
      <c r="AU320" s="575">
        <f ca="1">Calculation!DA323</f>
        <v>0</v>
      </c>
      <c r="AV320" s="575">
        <f>Calculation!CF323*3.068</f>
        <v>0</v>
      </c>
      <c r="AW320" s="582">
        <f>Calculation!BK323*3.068</f>
        <v>0</v>
      </c>
      <c r="AX320" s="813">
        <f t="shared" si="87"/>
        <v>40851.5</v>
      </c>
      <c r="AY320" s="561"/>
      <c r="AZ320" s="534">
        <f t="shared" ca="1" si="88"/>
        <v>40851.5</v>
      </c>
      <c r="BA320" s="561"/>
      <c r="BB320" s="826">
        <f t="shared" si="89"/>
        <v>40851.563668335169</v>
      </c>
      <c r="BC320" s="561"/>
      <c r="BD320" s="844">
        <f t="shared" si="90"/>
        <v>40851.514641200643</v>
      </c>
      <c r="BE320" s="553"/>
    </row>
    <row r="321" spans="1:57" ht="13.5" thickBot="1">
      <c r="A321" s="513">
        <v>40853</v>
      </c>
      <c r="B321" s="498">
        <f t="shared" si="79"/>
        <v>70.403970000000001</v>
      </c>
      <c r="C321" s="498">
        <f>Calculation!AA324</f>
        <v>0</v>
      </c>
      <c r="D321" s="498">
        <f>Calculation!Y324</f>
        <v>0</v>
      </c>
      <c r="E321" s="498">
        <f>Calculation!U324</f>
        <v>40.964559999999999</v>
      </c>
      <c r="F321" s="498">
        <f>Calculation!V324</f>
        <v>29.439409999999999</v>
      </c>
      <c r="G321" s="498">
        <f>Calculation!W324</f>
        <v>25.881309999999324</v>
      </c>
      <c r="H321" s="500">
        <f>Sheet1!H324</f>
        <v>5.6</v>
      </c>
      <c r="I321" s="501">
        <f>Sheet1!CW324</f>
        <v>962.30208333333337</v>
      </c>
      <c r="J321" s="501">
        <f>Sheet1!CX324</f>
        <v>695.22916666666663</v>
      </c>
      <c r="K321" s="501">
        <f>Sheet1!CV324</f>
        <v>714.70833333333337</v>
      </c>
      <c r="L321" s="501">
        <f>Calculation!F324</f>
        <v>250</v>
      </c>
      <c r="M321" s="501">
        <f>Calculation!E324</f>
        <v>250</v>
      </c>
      <c r="N321" s="501">
        <f>Calculation!D324</f>
        <v>300</v>
      </c>
      <c r="O321" s="500">
        <f>Sheet1!CY324</f>
        <v>1079.45</v>
      </c>
      <c r="P321" s="514">
        <f>Calculation!ET324</f>
        <v>1103</v>
      </c>
      <c r="Q321" s="498">
        <f>Calculation!DF324</f>
        <v>2345.0000000035016</v>
      </c>
      <c r="R321" s="500">
        <f t="shared" si="75"/>
        <v>1125.0000000035016</v>
      </c>
      <c r="S321" s="498">
        <f t="shared" si="80"/>
        <v>-433.26000000074237</v>
      </c>
      <c r="T321" s="498">
        <f ca="1">IF(A321&gt;$A$1,#N/A,VLOOKUP(A321,Calculation!$B$8:$IV$881,30,FALSE))</f>
        <v>0</v>
      </c>
      <c r="U321" s="498">
        <f t="shared" si="76"/>
        <v>0</v>
      </c>
      <c r="V321" s="498">
        <f>Calculation!AP324</f>
        <v>0</v>
      </c>
      <c r="W321" s="498">
        <f t="shared" ca="1" si="74"/>
        <v>-9.1499999957136424E-3</v>
      </c>
      <c r="X321" s="498">
        <v>0</v>
      </c>
      <c r="Y321" s="744">
        <f t="shared" ca="1" si="91"/>
        <v>0</v>
      </c>
      <c r="Z321" s="748">
        <f t="shared" ca="1" si="78"/>
        <v>-9.1499999957136424E-3</v>
      </c>
      <c r="AA321" s="498">
        <f t="shared" ca="1" si="81"/>
        <v>2345.0091500034973</v>
      </c>
      <c r="AB321" s="501">
        <f t="shared" ca="1" si="82"/>
        <v>1125.0091500034973</v>
      </c>
      <c r="AC321" s="498">
        <f ca="1">IF(A321&gt;$A$1,#N/A,VLOOKUP(A321,Calculation!$B$8:$IV$881,155,FALSE))</f>
        <v>6838.0000000125056</v>
      </c>
      <c r="AD321" s="498">
        <f t="shared" ca="1" si="83"/>
        <v>-275.00000000062118</v>
      </c>
      <c r="AE321" s="498"/>
      <c r="AF321" s="501">
        <f>Calculation!G324</f>
        <v>496.22119263704371</v>
      </c>
      <c r="AG321" s="498" t="str">
        <f t="shared" si="84"/>
        <v>Yes</v>
      </c>
      <c r="AH321" s="498" t="str">
        <f t="shared" si="85"/>
        <v>Yes</v>
      </c>
      <c r="AK321" s="738">
        <v>7620.0700000139614</v>
      </c>
      <c r="AL321" s="738">
        <v>1784.8600000025799</v>
      </c>
      <c r="AM321" s="740">
        <v>2380.0000000035334</v>
      </c>
      <c r="AR321" s="552">
        <f t="shared" ca="1" si="86"/>
        <v>40852.00819763411</v>
      </c>
      <c r="AS321" s="524"/>
      <c r="AT321" s="581">
        <f>Calculation!AR324*3.068</f>
        <v>0</v>
      </c>
      <c r="AU321" s="575">
        <f ca="1">Calculation!DA324</f>
        <v>0</v>
      </c>
      <c r="AV321" s="575">
        <f>Calculation!CF324*3.068</f>
        <v>0</v>
      </c>
      <c r="AW321" s="582">
        <f>Calculation!BK324*3.068</f>
        <v>0</v>
      </c>
      <c r="AX321" s="813">
        <f t="shared" si="87"/>
        <v>40852</v>
      </c>
      <c r="AY321" s="561"/>
      <c r="AZ321" s="534">
        <f t="shared" ca="1" si="88"/>
        <v>40852</v>
      </c>
      <c r="BA321" s="561"/>
      <c r="BB321" s="826">
        <f t="shared" si="89"/>
        <v>40852.029789644344</v>
      </c>
      <c r="BC321" s="561"/>
      <c r="BD321" s="844">
        <f t="shared" si="90"/>
        <v>40852.007286961089</v>
      </c>
      <c r="BE321" s="553"/>
    </row>
    <row r="322" spans="1:57" ht="13.5" thickBot="1">
      <c r="A322" s="513">
        <v>40854</v>
      </c>
      <c r="B322" s="498">
        <f t="shared" si="79"/>
        <v>69.738760000013954</v>
      </c>
      <c r="C322" s="498">
        <f>Calculation!AA325</f>
        <v>0</v>
      </c>
      <c r="D322" s="498">
        <f>Calculation!Y325</f>
        <v>0</v>
      </c>
      <c r="E322" s="498">
        <f>Calculation!U325</f>
        <v>40.500460000011707</v>
      </c>
      <c r="F322" s="498">
        <f>Calculation!V325</f>
        <v>29.238300000002251</v>
      </c>
      <c r="G322" s="498">
        <f>Calculation!W325</f>
        <v>25.339860000001575</v>
      </c>
      <c r="H322" s="500">
        <f>Sheet1!H325</f>
        <v>5.0599999999999996</v>
      </c>
      <c r="I322" s="501">
        <f>Sheet1!CW325</f>
        <v>824.4375</v>
      </c>
      <c r="J322" s="501">
        <f>Sheet1!CX325</f>
        <v>587.58333333333337</v>
      </c>
      <c r="K322" s="501">
        <f>Sheet1!CV325</f>
        <v>592.70833333333337</v>
      </c>
      <c r="L322" s="501">
        <f>Calculation!F325</f>
        <v>250</v>
      </c>
      <c r="M322" s="501">
        <f>Calculation!E325</f>
        <v>250</v>
      </c>
      <c r="N322" s="501">
        <f>Calculation!D325</f>
        <v>300</v>
      </c>
      <c r="O322" s="500">
        <f>Sheet1!CY325</f>
        <v>1077.3800000000001</v>
      </c>
      <c r="P322" s="514">
        <f>Calculation!ET325</f>
        <v>1102</v>
      </c>
      <c r="Q322" s="498">
        <f>Calculation!DF325</f>
        <v>2066.4000000030151</v>
      </c>
      <c r="R322" s="500">
        <f t="shared" si="75"/>
        <v>846.40000000301507</v>
      </c>
      <c r="S322" s="498">
        <f t="shared" si="80"/>
        <v>-278.60000000048649</v>
      </c>
      <c r="T322" s="498">
        <f ca="1">IF(A322&gt;$A$1,#N/A,VLOOKUP(A322,Calculation!$B$8:$IV$881,30,FALSE))</f>
        <v>0</v>
      </c>
      <c r="U322" s="498">
        <f t="shared" si="76"/>
        <v>0</v>
      </c>
      <c r="V322" s="498">
        <f>Calculation!AP325</f>
        <v>0</v>
      </c>
      <c r="W322" s="498">
        <f t="shared" ref="W322:W382" ca="1" si="92">IF(A322&gt;=$A$1,#N/A,W321-X322*1.983)</f>
        <v>-9.1499999957136424E-3</v>
      </c>
      <c r="X322" s="498">
        <v>0</v>
      </c>
      <c r="Y322" s="744">
        <f t="shared" ca="1" si="91"/>
        <v>0</v>
      </c>
      <c r="Z322" s="748">
        <f t="shared" ca="1" si="78"/>
        <v>-9.1499999957136424E-3</v>
      </c>
      <c r="AA322" s="498">
        <f t="shared" ca="1" si="81"/>
        <v>2066.4091500030108</v>
      </c>
      <c r="AB322" s="501">
        <f t="shared" ca="1" si="82"/>
        <v>846.40915000301084</v>
      </c>
      <c r="AC322" s="498">
        <f ca="1">IF(A322&gt;$A$1,#N/A,VLOOKUP(A322,Calculation!$B$8:$IV$881,155,FALSE))</f>
        <v>6572.0000000118544</v>
      </c>
      <c r="AD322" s="498">
        <f t="shared" ca="1" si="83"/>
        <v>-266.0000000006512</v>
      </c>
      <c r="AE322" s="498"/>
      <c r="AF322" s="501">
        <f>Calculation!G325</f>
        <v>452.21413262708705</v>
      </c>
      <c r="AG322" s="498" t="str">
        <f t="shared" si="84"/>
        <v>Yes</v>
      </c>
      <c r="AH322" s="498" t="str">
        <f t="shared" si="85"/>
        <v>Yes</v>
      </c>
      <c r="AK322" s="738">
        <v>9288.200000018147</v>
      </c>
      <c r="AL322" s="738">
        <v>1873.9200000026351</v>
      </c>
      <c r="AM322" s="740">
        <v>2651.4200000039978</v>
      </c>
      <c r="AR322" s="552">
        <f t="shared" ca="1" si="86"/>
        <v>40852.503688914723</v>
      </c>
      <c r="AS322" s="524"/>
      <c r="AT322" s="581">
        <f>Calculation!AR325*3.068</f>
        <v>0</v>
      </c>
      <c r="AU322" s="575">
        <f ca="1">Calculation!DA325</f>
        <v>0</v>
      </c>
      <c r="AV322" s="575">
        <f>Calculation!CF325*3.068</f>
        <v>0</v>
      </c>
      <c r="AW322" s="582">
        <f>Calculation!BK325*3.068</f>
        <v>0</v>
      </c>
      <c r="AX322" s="813">
        <f t="shared" si="87"/>
        <v>40852.5</v>
      </c>
      <c r="AY322" s="561"/>
      <c r="AZ322" s="534">
        <f t="shared" ca="1" si="88"/>
        <v>40852.5</v>
      </c>
      <c r="BA322" s="561"/>
      <c r="BB322" s="826">
        <f t="shared" si="89"/>
        <v>40852.512980843923</v>
      </c>
      <c r="BC322" s="561"/>
      <c r="BD322" s="844">
        <f t="shared" si="90"/>
        <v>40852.503615198279</v>
      </c>
      <c r="BE322" s="553"/>
    </row>
    <row r="323" spans="1:57" ht="13.5" thickBot="1">
      <c r="A323" s="513">
        <v>40855</v>
      </c>
      <c r="B323" s="498">
        <f t="shared" si="79"/>
        <v>70.465850000004494</v>
      </c>
      <c r="C323" s="498">
        <f>Calculation!AA326</f>
        <v>0</v>
      </c>
      <c r="D323" s="498">
        <f>Calculation!Y326</f>
        <v>0</v>
      </c>
      <c r="E323" s="498">
        <f>Calculation!U326</f>
        <v>41.0728500000045</v>
      </c>
      <c r="F323" s="498">
        <f>Calculation!V326</f>
        <v>29.392999999999997</v>
      </c>
      <c r="G323" s="498">
        <f>Calculation!W326</f>
        <v>25.479089999998987</v>
      </c>
      <c r="H323" s="500">
        <f>Sheet1!H326</f>
        <v>5</v>
      </c>
      <c r="I323" s="501">
        <f>Sheet1!CW326</f>
        <v>721.07291666666663</v>
      </c>
      <c r="J323" s="501">
        <f>Sheet1!CX326</f>
        <v>502.54166666666669</v>
      </c>
      <c r="K323" s="501">
        <f>Sheet1!CV326</f>
        <v>506.58333333333331</v>
      </c>
      <c r="L323" s="501">
        <f>Calculation!F326</f>
        <v>250</v>
      </c>
      <c r="M323" s="501">
        <f>Calculation!E326</f>
        <v>250</v>
      </c>
      <c r="N323" s="501">
        <f>Calculation!D326</f>
        <v>300</v>
      </c>
      <c r="O323" s="500">
        <f>Sheet1!CY326</f>
        <v>1076.2</v>
      </c>
      <c r="P323" s="514">
        <f>Calculation!ET326</f>
        <v>1101</v>
      </c>
      <c r="Q323" s="498">
        <f>Calculation!DF326</f>
        <v>1916.200000002779</v>
      </c>
      <c r="R323" s="500">
        <f t="shared" si="75"/>
        <v>696.20000000277901</v>
      </c>
      <c r="S323" s="498">
        <f t="shared" si="80"/>
        <v>-150.20000000023606</v>
      </c>
      <c r="T323" s="498">
        <f ca="1">IF(A323&gt;$A$1,#N/A,VLOOKUP(A323,Calculation!$B$8:$IV$881,30,FALSE))</f>
        <v>0</v>
      </c>
      <c r="U323" s="498">
        <f t="shared" si="76"/>
        <v>0</v>
      </c>
      <c r="V323" s="498">
        <f>Calculation!AP326</f>
        <v>0</v>
      </c>
      <c r="W323" s="498">
        <f t="shared" ca="1" si="92"/>
        <v>-9.1499999957136424E-3</v>
      </c>
      <c r="X323" s="498">
        <v>0</v>
      </c>
      <c r="Y323" s="744">
        <f t="shared" ca="1" si="91"/>
        <v>0</v>
      </c>
      <c r="Z323" s="748">
        <f t="shared" ca="1" si="78"/>
        <v>-9.1499999957136424E-3</v>
      </c>
      <c r="AA323" s="498">
        <f t="shared" ca="1" si="81"/>
        <v>1916.2091500027748</v>
      </c>
      <c r="AB323" s="501">
        <f t="shared" ca="1" si="82"/>
        <v>696.20915000277478</v>
      </c>
      <c r="AC323" s="498">
        <f ca="1">IF(A323&gt;$A$1,#N/A,VLOOKUP(A323,Calculation!$B$8:$IV$881,155,FALSE))</f>
        <v>6313.0000000113068</v>
      </c>
      <c r="AD323" s="498">
        <f t="shared" ca="1" si="83"/>
        <v>-259.00000000054752</v>
      </c>
      <c r="AE323" s="498"/>
      <c r="AF323" s="501">
        <f>Calculation!G326</f>
        <v>430.83951084203932</v>
      </c>
      <c r="AG323" s="498" t="str">
        <f t="shared" si="84"/>
        <v>Yes</v>
      </c>
      <c r="AH323" s="498" t="str">
        <f t="shared" si="85"/>
        <v>Yes</v>
      </c>
      <c r="AK323" s="738">
        <v>8621.7500000165528</v>
      </c>
      <c r="AL323" s="738">
        <v>2328.2000000034695</v>
      </c>
      <c r="AM323" s="740">
        <v>2510.660000003707</v>
      </c>
      <c r="AR323" s="552">
        <f t="shared" ca="1" si="86"/>
        <v>40853.001002128003</v>
      </c>
      <c r="AS323" s="524"/>
      <c r="AT323" s="581">
        <f>Calculation!AR326*3.068</f>
        <v>0</v>
      </c>
      <c r="AU323" s="575">
        <f ca="1">Calculation!DA326</f>
        <v>0</v>
      </c>
      <c r="AV323" s="575">
        <f>Calculation!CF326*3.068</f>
        <v>0</v>
      </c>
      <c r="AW323" s="582">
        <f>Calculation!BK326*3.068</f>
        <v>0</v>
      </c>
      <c r="AX323" s="813">
        <f t="shared" si="87"/>
        <v>40853</v>
      </c>
      <c r="AY323" s="561"/>
      <c r="AZ323" s="534">
        <f t="shared" ca="1" si="88"/>
        <v>40853</v>
      </c>
      <c r="BA323" s="561"/>
      <c r="BB323" s="826">
        <f t="shared" si="89"/>
        <v>40853.003191057054</v>
      </c>
      <c r="BC323" s="561"/>
      <c r="BD323" s="844">
        <f t="shared" si="90"/>
        <v>40853.001423250149</v>
      </c>
      <c r="BE323" s="553"/>
    </row>
    <row r="324" spans="1:57" ht="13.5" thickBot="1">
      <c r="A324" s="513">
        <v>40856</v>
      </c>
      <c r="B324" s="498">
        <f t="shared" si="79"/>
        <v>68.841499999977486</v>
      </c>
      <c r="C324" s="498">
        <f>Calculation!AA327</f>
        <v>0</v>
      </c>
      <c r="D324" s="498">
        <f>Calculation!Y327</f>
        <v>0</v>
      </c>
      <c r="E324" s="498">
        <f>Calculation!U327</f>
        <v>41.45959999998199</v>
      </c>
      <c r="F324" s="498">
        <f>Calculation!V327</f>
        <v>27.381899999995497</v>
      </c>
      <c r="G324" s="498">
        <f>Calculation!W327</f>
        <v>16.568370000001462</v>
      </c>
      <c r="H324" s="500">
        <f>Sheet1!H327</f>
        <v>5.0999999999999996</v>
      </c>
      <c r="I324" s="501">
        <f>Sheet1!CW327</f>
        <v>640.54166666666663</v>
      </c>
      <c r="J324" s="501">
        <f>Sheet1!CX327</f>
        <v>432.13541666666669</v>
      </c>
      <c r="K324" s="501">
        <f>Sheet1!CV327</f>
        <v>443.625</v>
      </c>
      <c r="L324" s="501">
        <f>Calculation!F327</f>
        <v>250</v>
      </c>
      <c r="M324" s="501">
        <f>Calculation!E327</f>
        <v>250</v>
      </c>
      <c r="N324" s="501">
        <f>Calculation!D327</f>
        <v>300</v>
      </c>
      <c r="O324" s="500">
        <f>Sheet1!CY327</f>
        <v>1075.46</v>
      </c>
      <c r="P324" s="514">
        <f>Calculation!ET327</f>
        <v>1100</v>
      </c>
      <c r="Q324" s="498">
        <f>Calculation!DF327</f>
        <v>1825.1200000026074</v>
      </c>
      <c r="R324" s="500">
        <f t="shared" si="75"/>
        <v>605.12000000260741</v>
      </c>
      <c r="S324" s="498">
        <f t="shared" si="80"/>
        <v>-91.080000000171594</v>
      </c>
      <c r="T324" s="498">
        <f ca="1">IF(A324&gt;$A$1,#N/A,VLOOKUP(A324,Calculation!$B$8:$IV$881,30,FALSE))</f>
        <v>0</v>
      </c>
      <c r="U324" s="498">
        <f t="shared" si="76"/>
        <v>0</v>
      </c>
      <c r="V324" s="498">
        <f>Calculation!AP327</f>
        <v>0</v>
      </c>
      <c r="W324" s="498">
        <f t="shared" ca="1" si="92"/>
        <v>-9.1499999957136424E-3</v>
      </c>
      <c r="X324" s="498">
        <v>0</v>
      </c>
      <c r="Y324" s="744">
        <f t="shared" ca="1" si="91"/>
        <v>0</v>
      </c>
      <c r="Z324" s="748">
        <f t="shared" ca="1" si="78"/>
        <v>-9.1499999957136424E-3</v>
      </c>
      <c r="AA324" s="498">
        <f t="shared" ca="1" si="81"/>
        <v>1825.1291500026032</v>
      </c>
      <c r="AB324" s="501">
        <f t="shared" ca="1" si="82"/>
        <v>605.12915000260318</v>
      </c>
      <c r="AC324" s="498">
        <f ca="1">IF(A324&gt;$A$1,#N/A,VLOOKUP(A324,Calculation!$B$8:$IV$881,155,FALSE))</f>
        <v>6061.0000000107721</v>
      </c>
      <c r="AD324" s="498">
        <f t="shared" ca="1" si="83"/>
        <v>-252.00000000053478</v>
      </c>
      <c r="AE324" s="498"/>
      <c r="AF324" s="501">
        <f>Calculation!G327</f>
        <v>397.69459152790137</v>
      </c>
      <c r="AG324" s="498" t="str">
        <f t="shared" si="84"/>
        <v>Yes</v>
      </c>
      <c r="AH324" s="498" t="str">
        <f t="shared" si="85"/>
        <v>Yes</v>
      </c>
      <c r="AK324" s="738">
        <v>4987.0000000085038</v>
      </c>
      <c r="AL324" s="738">
        <v>2808.8600000042443</v>
      </c>
      <c r="AM324" s="740">
        <v>2156.4500000031921</v>
      </c>
      <c r="AR324" s="552">
        <f t="shared" ca="1" si="86"/>
        <v>40853.5</v>
      </c>
      <c r="AS324" s="524"/>
      <c r="AT324" s="581">
        <f>Calculation!AR327*3.068</f>
        <v>0</v>
      </c>
      <c r="AU324" s="575">
        <f ca="1">Calculation!DA327</f>
        <v>0</v>
      </c>
      <c r="AV324" s="575">
        <f>Calculation!CF327*3.068</f>
        <v>0</v>
      </c>
      <c r="AW324" s="582">
        <f>Calculation!BK327*3.068</f>
        <v>0</v>
      </c>
      <c r="AX324" s="813">
        <f t="shared" si="87"/>
        <v>40853.5</v>
      </c>
      <c r="AY324" s="561"/>
      <c r="AZ324" s="534">
        <f t="shared" ca="1" si="88"/>
        <v>40853.5</v>
      </c>
      <c r="BA324" s="561"/>
      <c r="BB324" s="826">
        <f t="shared" si="89"/>
        <v>40853.5</v>
      </c>
      <c r="BC324" s="561"/>
      <c r="BD324" s="844">
        <f t="shared" si="90"/>
        <v>40853.5</v>
      </c>
      <c r="BE324" s="553"/>
    </row>
    <row r="325" spans="1:57" ht="13.5" thickBot="1">
      <c r="A325" s="513">
        <v>40857</v>
      </c>
      <c r="B325" s="498">
        <f t="shared" si="79"/>
        <v>55.614650000009</v>
      </c>
      <c r="C325" s="498">
        <f>Calculation!AA328</f>
        <v>0</v>
      </c>
      <c r="D325" s="498">
        <f>Calculation!Y328</f>
        <v>0</v>
      </c>
      <c r="E325" s="498">
        <f>Calculation!U328</f>
        <v>41.150200000009001</v>
      </c>
      <c r="F325" s="498">
        <f>Calculation!V328</f>
        <v>14.464449999999999</v>
      </c>
      <c r="G325" s="498">
        <f>Calculation!W328</f>
        <v>19.75518999999786</v>
      </c>
      <c r="H325" s="500">
        <f>Sheet1!H328</f>
        <v>5.0999999999999996</v>
      </c>
      <c r="I325" s="501">
        <f>Sheet1!CW328</f>
        <v>578.16666666666663</v>
      </c>
      <c r="J325" s="501">
        <f>Sheet1!CX328</f>
        <v>379.63541666666669</v>
      </c>
      <c r="K325" s="501">
        <f>Sheet1!CV328</f>
        <v>367.91666666666669</v>
      </c>
      <c r="L325" s="501">
        <f>Calculation!F328</f>
        <v>250</v>
      </c>
      <c r="M325" s="501">
        <f>Calculation!E328</f>
        <v>250</v>
      </c>
      <c r="N325" s="501">
        <f>Calculation!D328</f>
        <v>300</v>
      </c>
      <c r="O325" s="500">
        <f>Sheet1!CY328</f>
        <v>1075.6500000000001</v>
      </c>
      <c r="P325" s="514">
        <f>Calculation!ET328</f>
        <v>1099</v>
      </c>
      <c r="Q325" s="498">
        <f>Calculation!DF328</f>
        <v>1848.3000000026354</v>
      </c>
      <c r="R325" s="500">
        <f t="shared" ref="R325:R382" si="93">Q325-1220</f>
        <v>628.30000000263544</v>
      </c>
      <c r="S325" s="498">
        <f t="shared" si="80"/>
        <v>23.180000000028031</v>
      </c>
      <c r="T325" s="498">
        <f ca="1">IF(A325&gt;$A$1,#N/A,VLOOKUP(A325,Calculation!$B$8:$IV$881,30,FALSE))</f>
        <v>0</v>
      </c>
      <c r="U325" s="498">
        <f t="shared" si="76"/>
        <v>0</v>
      </c>
      <c r="V325" s="498">
        <f>Calculation!AP328</f>
        <v>0</v>
      </c>
      <c r="W325" s="498">
        <f t="shared" ca="1" si="92"/>
        <v>-9.1499999957136424E-3</v>
      </c>
      <c r="X325" s="498">
        <v>0</v>
      </c>
      <c r="Y325" s="744">
        <f t="shared" ca="1" si="91"/>
        <v>0</v>
      </c>
      <c r="Z325" s="748">
        <f t="shared" ca="1" si="78"/>
        <v>-9.1499999957136424E-3</v>
      </c>
      <c r="AA325" s="498">
        <f t="shared" ca="1" si="81"/>
        <v>1848.3091500026312</v>
      </c>
      <c r="AB325" s="501">
        <f t="shared" ca="1" si="82"/>
        <v>628.30915000263121</v>
      </c>
      <c r="AC325" s="498">
        <f ca="1">IF(A325&gt;$A$1,#N/A,VLOOKUP(A325,Calculation!$B$8:$IV$881,155,FALSE))</f>
        <v>5816.00000001025</v>
      </c>
      <c r="AD325" s="498">
        <f t="shared" ca="1" si="83"/>
        <v>-245.00000000052205</v>
      </c>
      <c r="AE325" s="498"/>
      <c r="AF325" s="501">
        <f>Calculation!G328</f>
        <v>379.60602622290878</v>
      </c>
      <c r="AG325" s="498" t="str">
        <f t="shared" si="84"/>
        <v>Yes</v>
      </c>
      <c r="AH325" s="498" t="str">
        <f t="shared" si="85"/>
        <v>Yes</v>
      </c>
      <c r="AK325" s="738">
        <v>2867.0000000044547</v>
      </c>
      <c r="AL325" s="738">
        <v>2524.960000003739</v>
      </c>
      <c r="AM325" s="740">
        <v>2048.2000000029852</v>
      </c>
      <c r="AR325" s="552" t="e">
        <f t="shared" ca="1" si="86"/>
        <v>#DIV/0!</v>
      </c>
      <c r="AS325" s="524"/>
      <c r="AT325" s="581">
        <f>Calculation!AR328*3.068</f>
        <v>0</v>
      </c>
      <c r="AU325" s="575">
        <f ca="1">Calculation!DA328</f>
        <v>0</v>
      </c>
      <c r="AV325" s="575">
        <f>Calculation!CF328*3.068</f>
        <v>0</v>
      </c>
      <c r="AW325" s="582">
        <f>Calculation!BK328*3.068</f>
        <v>0</v>
      </c>
      <c r="AX325" s="813" t="e">
        <f t="shared" si="87"/>
        <v>#DIV/0!</v>
      </c>
      <c r="AY325" s="561"/>
      <c r="AZ325" s="534" t="e">
        <f t="shared" ca="1" si="88"/>
        <v>#DIV/0!</v>
      </c>
      <c r="BA325" s="561"/>
      <c r="BB325" s="826" t="e">
        <f t="shared" si="89"/>
        <v>#DIV/0!</v>
      </c>
      <c r="BC325" s="561"/>
      <c r="BD325" s="844" t="e">
        <f t="shared" si="90"/>
        <v>#DIV/0!</v>
      </c>
      <c r="BE325" s="553"/>
    </row>
    <row r="326" spans="1:57" ht="13.5" thickBot="1">
      <c r="A326" s="513">
        <v>40858</v>
      </c>
      <c r="B326" s="498">
        <f t="shared" si="79"/>
        <v>70.140979999999985</v>
      </c>
      <c r="C326" s="498">
        <f>Calculation!AA329</f>
        <v>0</v>
      </c>
      <c r="D326" s="498">
        <f>Calculation!Y329</f>
        <v>0</v>
      </c>
      <c r="E326" s="498">
        <f>Calculation!U329</f>
        <v>40.902679999999997</v>
      </c>
      <c r="F326" s="498">
        <f>Calculation!V329</f>
        <v>29.238299999999995</v>
      </c>
      <c r="G326" s="498">
        <f>Calculation!W329</f>
        <v>4.9194600000004503</v>
      </c>
      <c r="H326" s="500">
        <f>Sheet1!H329</f>
        <v>3.92</v>
      </c>
      <c r="I326" s="501">
        <f>Sheet1!CW329</f>
        <v>508.44791666666669</v>
      </c>
      <c r="J326" s="501">
        <f>Sheet1!CX329</f>
        <v>324.01041666666669</v>
      </c>
      <c r="K326" s="501">
        <f>Sheet1!CV329</f>
        <v>343.95833333333331</v>
      </c>
      <c r="L326" s="501">
        <f>Calculation!F329</f>
        <v>250</v>
      </c>
      <c r="M326" s="501">
        <f>Calculation!E329</f>
        <v>250</v>
      </c>
      <c r="N326" s="501">
        <f>Calculation!D329</f>
        <v>300</v>
      </c>
      <c r="O326" s="500">
        <f>Sheet1!CY329</f>
        <v>1076.6600000000001</v>
      </c>
      <c r="P326" s="514">
        <f>Calculation!ET329</f>
        <v>1098</v>
      </c>
      <c r="Q326" s="498">
        <f>Calculation!DF329</f>
        <v>1974.1600000028363</v>
      </c>
      <c r="R326" s="500">
        <f t="shared" si="93"/>
        <v>754.16000000283634</v>
      </c>
      <c r="S326" s="498">
        <f t="shared" si="80"/>
        <v>125.8600000002009</v>
      </c>
      <c r="T326" s="498">
        <f ca="1">IF(A326&gt;$A$1,#N/A,VLOOKUP(A326,Calculation!$B$8:$IV$881,30,FALSE))</f>
        <v>0</v>
      </c>
      <c r="U326" s="498">
        <f t="shared" ref="U326:U382" si="94">D326</f>
        <v>0</v>
      </c>
      <c r="V326" s="498">
        <f>Calculation!AP329</f>
        <v>0</v>
      </c>
      <c r="W326" s="498">
        <f t="shared" ca="1" si="92"/>
        <v>-9.1499999957136424E-3</v>
      </c>
      <c r="X326" s="498">
        <v>0</v>
      </c>
      <c r="Y326" s="744">
        <f t="shared" ca="1" si="91"/>
        <v>0</v>
      </c>
      <c r="Z326" s="748">
        <f t="shared" ref="Z326:Z382" ca="1" si="95">W326-Y326</f>
        <v>-9.1499999957136424E-3</v>
      </c>
      <c r="AA326" s="498">
        <f t="shared" ca="1" si="81"/>
        <v>1974.1691500028321</v>
      </c>
      <c r="AB326" s="501">
        <f t="shared" ca="1" si="82"/>
        <v>754.16915000283211</v>
      </c>
      <c r="AC326" s="498">
        <f ca="1">IF(A326&gt;$A$1,#N/A,VLOOKUP(A326,Calculation!$B$8:$IV$881,155,FALSE))</f>
        <v>5577.0000000097816</v>
      </c>
      <c r="AD326" s="498">
        <f t="shared" ca="1" si="83"/>
        <v>-239.00000000046839</v>
      </c>
      <c r="AE326" s="498"/>
      <c r="AF326" s="501">
        <f>Calculation!G329</f>
        <v>407.42782400413557</v>
      </c>
      <c r="AG326" s="498" t="str">
        <f t="shared" si="84"/>
        <v>Yes</v>
      </c>
      <c r="AH326" s="498" t="str">
        <f t="shared" si="85"/>
        <v>Yes</v>
      </c>
      <c r="AK326" s="738">
        <v>2599.270000003964</v>
      </c>
      <c r="AL326" s="738">
        <v>2175.3500000032232</v>
      </c>
      <c r="AM326" s="740">
        <v>1945.1800000028077</v>
      </c>
      <c r="AR326" s="552" t="e">
        <f t="shared" ca="1" si="86"/>
        <v>#DIV/0!</v>
      </c>
      <c r="AS326" s="524"/>
      <c r="AT326" s="581">
        <f>Calculation!AR329*3.068</f>
        <v>0</v>
      </c>
      <c r="AU326" s="575">
        <f ca="1">Calculation!DA329</f>
        <v>0</v>
      </c>
      <c r="AV326" s="575">
        <f>Calculation!CF329*3.068</f>
        <v>0</v>
      </c>
      <c r="AW326" s="582">
        <f>Calculation!BK329*3.068</f>
        <v>0</v>
      </c>
      <c r="AX326" s="813" t="e">
        <f t="shared" si="87"/>
        <v>#DIV/0!</v>
      </c>
      <c r="AY326" s="561"/>
      <c r="AZ326" s="534" t="e">
        <f t="shared" ca="1" si="88"/>
        <v>#DIV/0!</v>
      </c>
      <c r="BA326" s="561"/>
      <c r="BB326" s="826" t="e">
        <f t="shared" si="89"/>
        <v>#DIV/0!</v>
      </c>
      <c r="BC326" s="561"/>
      <c r="BD326" s="844" t="e">
        <f t="shared" si="90"/>
        <v>#DIV/0!</v>
      </c>
      <c r="BE326" s="553"/>
    </row>
    <row r="327" spans="1:57" ht="13.5" thickBot="1">
      <c r="A327" s="513">
        <v>40859</v>
      </c>
      <c r="B327" s="498">
        <f t="shared" si="79"/>
        <v>70.49678999999999</v>
      </c>
      <c r="C327" s="498">
        <f>Calculation!AA330</f>
        <v>0</v>
      </c>
      <c r="D327" s="498">
        <f>Calculation!Y330</f>
        <v>0</v>
      </c>
      <c r="E327" s="498">
        <f>Calculation!U330</f>
        <v>40.980029999999999</v>
      </c>
      <c r="F327" s="498">
        <f>Calculation!V330</f>
        <v>29.516759999999994</v>
      </c>
      <c r="G327" s="498">
        <f>Calculation!W330</f>
        <v>65.360749999999996</v>
      </c>
      <c r="H327" s="500">
        <f>Sheet1!H330</f>
        <v>29.2</v>
      </c>
      <c r="I327" s="501">
        <f>Sheet1!CW330</f>
        <v>545.34375</v>
      </c>
      <c r="J327" s="501">
        <f>Sheet1!CX330</f>
        <v>484.55208333333331</v>
      </c>
      <c r="K327" s="501">
        <f>Sheet1!CV330</f>
        <v>456.16666666666669</v>
      </c>
      <c r="L327" s="501">
        <f>Calculation!F330</f>
        <v>250</v>
      </c>
      <c r="M327" s="501">
        <f>Calculation!E330</f>
        <v>250</v>
      </c>
      <c r="N327" s="501">
        <f>Calculation!D330</f>
        <v>300</v>
      </c>
      <c r="O327" s="500">
        <f>Sheet1!CY330</f>
        <v>1076.4100000000001</v>
      </c>
      <c r="P327" s="514">
        <f>Calculation!ET330</f>
        <v>1097</v>
      </c>
      <c r="Q327" s="498">
        <f>Calculation!DF330</f>
        <v>1942.6600000028077</v>
      </c>
      <c r="R327" s="500">
        <f t="shared" si="93"/>
        <v>722.66000000280769</v>
      </c>
      <c r="S327" s="498">
        <f t="shared" si="80"/>
        <v>-31.500000000028649</v>
      </c>
      <c r="T327" s="498">
        <f ca="1">IF(A327&gt;$A$1,#N/A,VLOOKUP(A327,Calculation!$B$8:$IV$881,30,FALSE))</f>
        <v>0</v>
      </c>
      <c r="U327" s="498">
        <f t="shared" si="94"/>
        <v>0</v>
      </c>
      <c r="V327" s="498">
        <f>Calculation!AP330</f>
        <v>0</v>
      </c>
      <c r="W327" s="498">
        <f t="shared" ca="1" si="92"/>
        <v>-9.1499999957136424E-3</v>
      </c>
      <c r="X327" s="498">
        <v>0</v>
      </c>
      <c r="Y327" s="744">
        <f t="shared" ca="1" si="91"/>
        <v>0</v>
      </c>
      <c r="Z327" s="748">
        <f t="shared" ca="1" si="95"/>
        <v>-9.1499999957136424E-3</v>
      </c>
      <c r="AA327" s="498">
        <f t="shared" ca="1" si="81"/>
        <v>1942.6691500028035</v>
      </c>
      <c r="AB327" s="501">
        <f t="shared" ca="1" si="82"/>
        <v>722.66915000280346</v>
      </c>
      <c r="AC327" s="498">
        <f ca="1">IF(A327&gt;$A$1,#N/A,VLOOKUP(A327,Calculation!$B$8:$IV$881,155,FALSE))</f>
        <v>5345.0000000092841</v>
      </c>
      <c r="AD327" s="498">
        <f t="shared" ca="1" si="83"/>
        <v>-232.00000000049749</v>
      </c>
      <c r="AE327" s="498"/>
      <c r="AF327" s="501">
        <f>Calculation!G330</f>
        <v>440.2816439737627</v>
      </c>
      <c r="AG327" s="498" t="str">
        <f t="shared" si="84"/>
        <v>Yes</v>
      </c>
      <c r="AH327" s="498" t="str">
        <f t="shared" si="85"/>
        <v>Yes</v>
      </c>
      <c r="AK327" s="738">
        <v>2367.4000000035016</v>
      </c>
      <c r="AL327" s="738">
        <v>2134.0000000030741</v>
      </c>
      <c r="AM327" s="740">
        <v>1955.2600000028076</v>
      </c>
      <c r="AR327" s="552" t="e">
        <f t="shared" ca="1" si="86"/>
        <v>#DIV/0!</v>
      </c>
      <c r="AS327" s="524"/>
      <c r="AT327" s="581">
        <f>Calculation!AR330*3.068</f>
        <v>0</v>
      </c>
      <c r="AU327" s="575">
        <f ca="1">Calculation!DA330</f>
        <v>0</v>
      </c>
      <c r="AV327" s="575">
        <f>Calculation!CF330*3.068</f>
        <v>0</v>
      </c>
      <c r="AW327" s="582">
        <f>Calculation!BK330*3.068</f>
        <v>0</v>
      </c>
      <c r="AX327" s="813" t="e">
        <f t="shared" si="87"/>
        <v>#DIV/0!</v>
      </c>
      <c r="AY327" s="561"/>
      <c r="AZ327" s="534" t="e">
        <f t="shared" ca="1" si="88"/>
        <v>#DIV/0!</v>
      </c>
      <c r="BA327" s="561"/>
      <c r="BB327" s="826" t="e">
        <f t="shared" si="89"/>
        <v>#DIV/0!</v>
      </c>
      <c r="BC327" s="561"/>
      <c r="BD327" s="844" t="e">
        <f t="shared" si="90"/>
        <v>#DIV/0!</v>
      </c>
      <c r="BE327" s="553"/>
    </row>
    <row r="328" spans="1:57" ht="13.5" thickBot="1">
      <c r="A328" s="513">
        <v>40860</v>
      </c>
      <c r="B328" s="498">
        <f t="shared" si="79"/>
        <v>70.295680000001795</v>
      </c>
      <c r="C328" s="498">
        <f>Calculation!AA331</f>
        <v>0</v>
      </c>
      <c r="D328" s="498">
        <f>Calculation!Y331</f>
        <v>0</v>
      </c>
      <c r="E328" s="498">
        <f>Calculation!U331</f>
        <v>41.722590000001802</v>
      </c>
      <c r="F328" s="498">
        <f>Calculation!V331</f>
        <v>28.573089999999997</v>
      </c>
      <c r="G328" s="498">
        <f>Calculation!W331</f>
        <v>63.504350000001686</v>
      </c>
      <c r="H328" s="500">
        <f>Sheet1!H331</f>
        <v>22.36</v>
      </c>
      <c r="I328" s="501">
        <f>Sheet1!CW331</f>
        <v>803.35416666666663</v>
      </c>
      <c r="J328" s="501">
        <f>Sheet1!CX331</f>
        <v>637.52083333333337</v>
      </c>
      <c r="K328" s="501">
        <f>Sheet1!CV331</f>
        <v>579.83333333333337</v>
      </c>
      <c r="L328" s="501">
        <f>Calculation!F331</f>
        <v>250</v>
      </c>
      <c r="M328" s="501">
        <f>Calculation!E331</f>
        <v>250</v>
      </c>
      <c r="N328" s="501">
        <f>Calculation!D331</f>
        <v>300</v>
      </c>
      <c r="O328" s="500">
        <f>Sheet1!CY331</f>
        <v>1080.03</v>
      </c>
      <c r="P328" s="514">
        <f>Calculation!ET331</f>
        <v>1096</v>
      </c>
      <c r="Q328" s="498">
        <f>Calculation!DF331</f>
        <v>2426.2900000036416</v>
      </c>
      <c r="R328" s="500">
        <f t="shared" si="93"/>
        <v>1206.2900000036416</v>
      </c>
      <c r="S328" s="498">
        <f t="shared" si="80"/>
        <v>483.63000000083389</v>
      </c>
      <c r="T328" s="498">
        <f ca="1">IF(A328&gt;$A$1,#N/A,VLOOKUP(A328,Calculation!$B$8:$IV$881,30,FALSE))</f>
        <v>0</v>
      </c>
      <c r="U328" s="498">
        <f t="shared" si="94"/>
        <v>0</v>
      </c>
      <c r="V328" s="498">
        <f>Calculation!AP331</f>
        <v>0</v>
      </c>
      <c r="W328" s="498">
        <f t="shared" ca="1" si="92"/>
        <v>-9.1499999957136424E-3</v>
      </c>
      <c r="X328" s="498">
        <v>0</v>
      </c>
      <c r="Y328" s="744">
        <f t="shared" ca="1" si="91"/>
        <v>0</v>
      </c>
      <c r="Z328" s="748">
        <f t="shared" ca="1" si="95"/>
        <v>-9.1499999957136424E-3</v>
      </c>
      <c r="AA328" s="498">
        <f t="shared" ca="1" si="81"/>
        <v>2426.2991500036374</v>
      </c>
      <c r="AB328" s="501">
        <f t="shared" ca="1" si="82"/>
        <v>1206.2991500036374</v>
      </c>
      <c r="AC328" s="498">
        <f ca="1">IF(A328&gt;$A$1,#N/A,VLOOKUP(A328,Calculation!$B$8:$IV$881,155,FALSE))</f>
        <v>5119.0000000088385</v>
      </c>
      <c r="AD328" s="498">
        <f t="shared" ca="1" si="83"/>
        <v>-226.00000000044565</v>
      </c>
      <c r="AE328" s="498"/>
      <c r="AF328" s="501">
        <f>Calculation!G331</f>
        <v>823.72138174525162</v>
      </c>
      <c r="AG328" s="498" t="str">
        <f t="shared" si="84"/>
        <v>Yes</v>
      </c>
      <c r="AH328" s="498" t="str">
        <f t="shared" si="85"/>
        <v>Yes</v>
      </c>
      <c r="AK328" s="738">
        <v>22154.040000052028</v>
      </c>
      <c r="AL328" s="738">
        <v>1970.3800000028361</v>
      </c>
      <c r="AM328" s="740">
        <v>2043.0000000029854</v>
      </c>
      <c r="AR328" s="552" t="e">
        <f t="shared" ca="1" si="86"/>
        <v>#DIV/0!</v>
      </c>
      <c r="AS328" s="524"/>
      <c r="AT328" s="581">
        <f>Calculation!AR331*3.068</f>
        <v>0</v>
      </c>
      <c r="AU328" s="575">
        <f ca="1">Calculation!DA331</f>
        <v>0</v>
      </c>
      <c r="AV328" s="575">
        <f>Calculation!CF331*3.068</f>
        <v>0</v>
      </c>
      <c r="AW328" s="582">
        <f>Calculation!BK331*3.068</f>
        <v>0</v>
      </c>
      <c r="AX328" s="813" t="e">
        <f t="shared" si="87"/>
        <v>#DIV/0!</v>
      </c>
      <c r="AY328" s="561"/>
      <c r="AZ328" s="534" t="e">
        <f t="shared" ca="1" si="88"/>
        <v>#DIV/0!</v>
      </c>
      <c r="BA328" s="561"/>
      <c r="BB328" s="826" t="e">
        <f t="shared" si="89"/>
        <v>#DIV/0!</v>
      </c>
      <c r="BC328" s="561"/>
      <c r="BD328" s="844" t="e">
        <f t="shared" si="90"/>
        <v>#DIV/0!</v>
      </c>
      <c r="BE328" s="553"/>
    </row>
    <row r="329" spans="1:57" ht="13.5" thickBot="1">
      <c r="A329" s="513">
        <v>40861</v>
      </c>
      <c r="B329" s="498">
        <f t="shared" si="79"/>
        <v>58.677709999999998</v>
      </c>
      <c r="C329" s="498">
        <f>Calculation!AA332</f>
        <v>0</v>
      </c>
      <c r="D329" s="498">
        <f>Calculation!Y332</f>
        <v>0</v>
      </c>
      <c r="E329" s="498">
        <f>Calculation!U332</f>
        <v>41.366779999999999</v>
      </c>
      <c r="F329" s="498">
        <f>Calculation!V332</f>
        <v>17.310929999999999</v>
      </c>
      <c r="G329" s="498">
        <f>Calculation!W332</f>
        <v>56.341740000000108</v>
      </c>
      <c r="H329" s="500">
        <f>Sheet1!H332</f>
        <v>0</v>
      </c>
      <c r="I329" s="501">
        <f>Sheet1!CW332</f>
        <v>934.10416666666663</v>
      </c>
      <c r="J329" s="501">
        <f>Sheet1!CX332</f>
        <v>941.70833333333337</v>
      </c>
      <c r="K329" s="501">
        <f>Sheet1!CV332</f>
        <v>920.08333333333337</v>
      </c>
      <c r="L329" s="501">
        <f>Calculation!F332</f>
        <v>250</v>
      </c>
      <c r="M329" s="501">
        <f>Calculation!E332</f>
        <v>250</v>
      </c>
      <c r="N329" s="501">
        <f>Calculation!D332</f>
        <v>300</v>
      </c>
      <c r="O329" s="500">
        <f>Sheet1!CY332</f>
        <v>1083.8800000000001</v>
      </c>
      <c r="P329" s="514">
        <f>Calculation!ET332</f>
        <v>1095</v>
      </c>
      <c r="Q329" s="498">
        <f>Calculation!DF332</f>
        <v>3006.0400000045984</v>
      </c>
      <c r="R329" s="500">
        <f t="shared" si="93"/>
        <v>1786.0400000045984</v>
      </c>
      <c r="S329" s="498">
        <f t="shared" si="80"/>
        <v>579.75000000095679</v>
      </c>
      <c r="T329" s="498">
        <f ca="1">IF(A329&gt;$A$1,#N/A,VLOOKUP(A329,Calculation!$B$8:$IV$881,30,FALSE))</f>
        <v>0</v>
      </c>
      <c r="U329" s="498">
        <f t="shared" si="94"/>
        <v>0</v>
      </c>
      <c r="V329" s="498">
        <f>Calculation!AP332</f>
        <v>0</v>
      </c>
      <c r="W329" s="498">
        <f t="shared" ca="1" si="92"/>
        <v>-9.1499999957136424E-3</v>
      </c>
      <c r="X329" s="498">
        <v>0</v>
      </c>
      <c r="Y329" s="744">
        <f t="shared" ca="1" si="91"/>
        <v>0</v>
      </c>
      <c r="Z329" s="748">
        <f t="shared" ca="1" si="95"/>
        <v>-9.1499999957136424E-3</v>
      </c>
      <c r="AA329" s="498">
        <f t="shared" ca="1" si="81"/>
        <v>3006.0491500045941</v>
      </c>
      <c r="AB329" s="501">
        <f t="shared" ca="1" si="82"/>
        <v>1786.0491500045941</v>
      </c>
      <c r="AC329" s="498">
        <f ca="1">IF(A329&gt;$A$1,#N/A,VLOOKUP(A329,Calculation!$B$8:$IV$881,155,FALSE))</f>
        <v>4899.0000000084037</v>
      </c>
      <c r="AD329" s="498">
        <f t="shared" ca="1" si="83"/>
        <v>-220.00000000043474</v>
      </c>
      <c r="AE329" s="498"/>
      <c r="AF329" s="501">
        <f>Calculation!G332</f>
        <v>1212.443393848188</v>
      </c>
      <c r="AG329" s="498" t="str">
        <f t="shared" si="84"/>
        <v>Yes</v>
      </c>
      <c r="AH329" s="498" t="str">
        <f t="shared" si="85"/>
        <v>Yes</v>
      </c>
      <c r="AK329" s="738">
        <v>23773.760000056333</v>
      </c>
      <c r="AL329" s="738">
        <v>1936.3600000027791</v>
      </c>
      <c r="AM329" s="740">
        <v>2494.9300000037065</v>
      </c>
      <c r="AR329" s="552" t="e">
        <f t="shared" ca="1" si="86"/>
        <v>#DIV/0!</v>
      </c>
      <c r="AS329" s="524"/>
      <c r="AT329" s="581">
        <f>Calculation!AR332*3.068</f>
        <v>0</v>
      </c>
      <c r="AU329" s="575">
        <f ca="1">Calculation!DA332</f>
        <v>0</v>
      </c>
      <c r="AV329" s="575">
        <f>Calculation!CF332*3.068</f>
        <v>0</v>
      </c>
      <c r="AW329" s="582">
        <f>Calculation!BK332*3.068</f>
        <v>0</v>
      </c>
      <c r="AX329" s="813" t="e">
        <f t="shared" si="87"/>
        <v>#DIV/0!</v>
      </c>
      <c r="AY329" s="561"/>
      <c r="AZ329" s="534" t="e">
        <f t="shared" ca="1" si="88"/>
        <v>#DIV/0!</v>
      </c>
      <c r="BA329" s="561"/>
      <c r="BB329" s="826" t="e">
        <f t="shared" si="89"/>
        <v>#DIV/0!</v>
      </c>
      <c r="BC329" s="561"/>
      <c r="BD329" s="844" t="e">
        <f t="shared" si="90"/>
        <v>#DIV/0!</v>
      </c>
      <c r="BE329" s="553"/>
    </row>
    <row r="330" spans="1:57" ht="13.5" thickBot="1">
      <c r="A330" s="513">
        <v>40862</v>
      </c>
      <c r="B330" s="498">
        <f t="shared" si="79"/>
        <v>54.964909999986943</v>
      </c>
      <c r="C330" s="498">
        <f>Calculation!AA333</f>
        <v>0</v>
      </c>
      <c r="D330" s="498">
        <f>Calculation!Y333</f>
        <v>0</v>
      </c>
      <c r="E330" s="498">
        <f>Calculation!U333</f>
        <v>40.840799999990992</v>
      </c>
      <c r="F330" s="498">
        <f>Calculation!V333</f>
        <v>14.124109999995948</v>
      </c>
      <c r="G330" s="498">
        <f>Calculation!W333</f>
        <v>54.670979999997407</v>
      </c>
      <c r="H330" s="500">
        <f>Sheet1!H333</f>
        <v>0</v>
      </c>
      <c r="I330" s="501">
        <f>Sheet1!CW333</f>
        <v>1498.125</v>
      </c>
      <c r="J330" s="501">
        <f>Sheet1!CX333</f>
        <v>1342.8125</v>
      </c>
      <c r="K330" s="501">
        <f>Sheet1!CV333</f>
        <v>1309.1666666666667</v>
      </c>
      <c r="L330" s="501">
        <f>Calculation!F333</f>
        <v>250</v>
      </c>
      <c r="M330" s="501">
        <f>Calculation!E333</f>
        <v>250</v>
      </c>
      <c r="N330" s="501">
        <f>Calculation!D333</f>
        <v>300</v>
      </c>
      <c r="O330" s="500">
        <f>Sheet1!CY333</f>
        <v>1079.07</v>
      </c>
      <c r="P330" s="514">
        <f>Calculation!ET333</f>
        <v>1094</v>
      </c>
      <c r="Q330" s="498">
        <f>Calculation!DF333</f>
        <v>2291.8000000034381</v>
      </c>
      <c r="R330" s="500">
        <f t="shared" si="93"/>
        <v>1071.8000000034381</v>
      </c>
      <c r="S330" s="498">
        <f t="shared" si="80"/>
        <v>-714.2400000011603</v>
      </c>
      <c r="T330" s="498">
        <f ca="1">IF(A330&gt;$A$1,#N/A,VLOOKUP(A330,Calculation!$B$8:$IV$881,30,FALSE))</f>
        <v>0</v>
      </c>
      <c r="U330" s="498">
        <f t="shared" si="94"/>
        <v>0</v>
      </c>
      <c r="V330" s="498">
        <f>Calculation!AP333</f>
        <v>0</v>
      </c>
      <c r="W330" s="498">
        <f t="shared" ca="1" si="92"/>
        <v>-9.1499999957136424E-3</v>
      </c>
      <c r="X330" s="498">
        <v>0</v>
      </c>
      <c r="Y330" s="744">
        <f t="shared" ca="1" si="91"/>
        <v>0</v>
      </c>
      <c r="Z330" s="748">
        <f t="shared" ca="1" si="95"/>
        <v>-9.1499999957136424E-3</v>
      </c>
      <c r="AA330" s="498">
        <f t="shared" ca="1" si="81"/>
        <v>2291.8091500034338</v>
      </c>
      <c r="AB330" s="501">
        <f t="shared" ca="1" si="82"/>
        <v>1071.8091500034338</v>
      </c>
      <c r="AC330" s="498">
        <f ca="1">IF(A330&gt;$A$1,#N/A,VLOOKUP(A330,Calculation!$B$8:$IV$881,155,FALSE))</f>
        <v>4686.0000000079426</v>
      </c>
      <c r="AD330" s="498">
        <f t="shared" ca="1" si="83"/>
        <v>-213.00000000046111</v>
      </c>
      <c r="AE330" s="498"/>
      <c r="AF330" s="501">
        <f>Calculation!G333</f>
        <v>948.98512354959144</v>
      </c>
      <c r="AG330" s="498" t="str">
        <f t="shared" si="84"/>
        <v>Yes</v>
      </c>
      <c r="AH330" s="498" t="str">
        <f t="shared" si="85"/>
        <v>Yes</v>
      </c>
      <c r="AK330" s="738">
        <v>18603.960000040752</v>
      </c>
      <c r="AL330" s="738">
        <v>1918.720000002779</v>
      </c>
      <c r="AM330" s="740">
        <v>2536.4000000037395</v>
      </c>
      <c r="AR330" s="552" t="e">
        <f t="shared" ca="1" si="86"/>
        <v>#DIV/0!</v>
      </c>
      <c r="AS330" s="524"/>
      <c r="AT330" s="581">
        <f>Calculation!AR333*3.068</f>
        <v>0</v>
      </c>
      <c r="AU330" s="575">
        <f ca="1">Calculation!DA333</f>
        <v>0</v>
      </c>
      <c r="AV330" s="575">
        <f>Calculation!CF333*3.068</f>
        <v>0</v>
      </c>
      <c r="AW330" s="582">
        <f>Calculation!BK333*3.068</f>
        <v>0</v>
      </c>
      <c r="AX330" s="813" t="e">
        <f t="shared" si="87"/>
        <v>#DIV/0!</v>
      </c>
      <c r="AY330" s="561"/>
      <c r="AZ330" s="534" t="e">
        <f t="shared" ca="1" si="88"/>
        <v>#DIV/0!</v>
      </c>
      <c r="BA330" s="561"/>
      <c r="BB330" s="826" t="e">
        <f t="shared" si="89"/>
        <v>#DIV/0!</v>
      </c>
      <c r="BC330" s="561"/>
      <c r="BD330" s="844" t="e">
        <f t="shared" si="90"/>
        <v>#DIV/0!</v>
      </c>
      <c r="BE330" s="553"/>
    </row>
    <row r="331" spans="1:57" ht="13.5" thickBot="1">
      <c r="A331" s="513">
        <v>40863</v>
      </c>
      <c r="B331" s="498">
        <f t="shared" si="79"/>
        <v>55.769349999993238</v>
      </c>
      <c r="C331" s="498">
        <f>Calculation!AA334</f>
        <v>0</v>
      </c>
      <c r="D331" s="498">
        <f>Calculation!Y334</f>
        <v>0</v>
      </c>
      <c r="E331" s="498">
        <f>Calculation!U334</f>
        <v>41.428659999998196</v>
      </c>
      <c r="F331" s="498">
        <f>Calculation!V334</f>
        <v>14.340689999995046</v>
      </c>
      <c r="G331" s="498">
        <f>Calculation!W334</f>
        <v>55.351660000001011</v>
      </c>
      <c r="H331" s="500">
        <f>Sheet1!H334</f>
        <v>31.3</v>
      </c>
      <c r="I331" s="501">
        <f>Sheet1!CW334</f>
        <v>1492.6041666666667</v>
      </c>
      <c r="J331" s="501">
        <f>Sheet1!CX334</f>
        <v>1036.4583333333333</v>
      </c>
      <c r="K331" s="501">
        <f>Sheet1!CV334</f>
        <v>978.70833333333337</v>
      </c>
      <c r="L331" s="501">
        <f>Calculation!F334</f>
        <v>250</v>
      </c>
      <c r="M331" s="501">
        <f>Calculation!E334</f>
        <v>250</v>
      </c>
      <c r="N331" s="501">
        <f>Calculation!D334</f>
        <v>300</v>
      </c>
      <c r="O331" s="500">
        <f>Sheet1!CY334</f>
        <v>1076.8</v>
      </c>
      <c r="P331" s="514">
        <f>Calculation!ET334</f>
        <v>1093</v>
      </c>
      <c r="Q331" s="498">
        <f>Calculation!DF334</f>
        <v>1991.8000000028362</v>
      </c>
      <c r="R331" s="500">
        <f t="shared" si="93"/>
        <v>771.80000000283621</v>
      </c>
      <c r="S331" s="498">
        <f t="shared" si="80"/>
        <v>-300.00000000060186</v>
      </c>
      <c r="T331" s="498">
        <f ca="1">IF(A331&gt;$A$1,#N/A,VLOOKUP(A331,Calculation!$B$8:$IV$881,30,FALSE))</f>
        <v>0</v>
      </c>
      <c r="U331" s="498">
        <f t="shared" si="94"/>
        <v>0</v>
      </c>
      <c r="V331" s="498">
        <f>Calculation!AP334</f>
        <v>0</v>
      </c>
      <c r="W331" s="498">
        <f t="shared" ca="1" si="92"/>
        <v>-9.1499999957136424E-3</v>
      </c>
      <c r="X331" s="498">
        <v>0</v>
      </c>
      <c r="Y331" s="744">
        <f t="shared" ca="1" si="91"/>
        <v>0</v>
      </c>
      <c r="Z331" s="748">
        <f t="shared" ca="1" si="95"/>
        <v>-9.1499999957136424E-3</v>
      </c>
      <c r="AA331" s="498">
        <f t="shared" ca="1" si="81"/>
        <v>1991.809150002832</v>
      </c>
      <c r="AB331" s="501">
        <f t="shared" ca="1" si="82"/>
        <v>771.80915000283198</v>
      </c>
      <c r="AC331" s="498">
        <f ca="1">IF(A331&gt;$A$1,#N/A,VLOOKUP(A331,Calculation!$B$8:$IV$881,155,FALSE))</f>
        <v>4437.800000007267</v>
      </c>
      <c r="AD331" s="498">
        <f t="shared" ca="1" si="83"/>
        <v>-248.20000000067557</v>
      </c>
      <c r="AE331" s="498"/>
      <c r="AF331" s="501">
        <f>Calculation!G334</f>
        <v>827.4224029245579</v>
      </c>
      <c r="AG331" s="498" t="str">
        <f t="shared" si="84"/>
        <v>Yes</v>
      </c>
      <c r="AH331" s="498" t="str">
        <f t="shared" si="85"/>
        <v>Yes</v>
      </c>
      <c r="AK331" s="738">
        <v>13496.000000027825</v>
      </c>
      <c r="AL331" s="738">
        <v>2190.2000000032231</v>
      </c>
      <c r="AM331" s="740">
        <v>3567.380000005739</v>
      </c>
      <c r="AR331" s="552" t="e">
        <f t="shared" ca="1" si="86"/>
        <v>#DIV/0!</v>
      </c>
      <c r="AS331" s="524"/>
      <c r="AT331" s="581">
        <f>Calculation!AR334*3.068</f>
        <v>0</v>
      </c>
      <c r="AU331" s="575">
        <f ca="1">Calculation!DA334</f>
        <v>0</v>
      </c>
      <c r="AV331" s="575">
        <f>Calculation!CF334*3.068</f>
        <v>0</v>
      </c>
      <c r="AW331" s="582">
        <f>Calculation!BK334*3.068</f>
        <v>0</v>
      </c>
      <c r="AX331" s="813" t="e">
        <f t="shared" si="87"/>
        <v>#DIV/0!</v>
      </c>
      <c r="AY331" s="561"/>
      <c r="AZ331" s="534" t="e">
        <f t="shared" ca="1" si="88"/>
        <v>#DIV/0!</v>
      </c>
      <c r="BA331" s="561"/>
      <c r="BB331" s="826" t="e">
        <f t="shared" si="89"/>
        <v>#DIV/0!</v>
      </c>
      <c r="BC331" s="561"/>
      <c r="BD331" s="844" t="e">
        <f t="shared" si="90"/>
        <v>#DIV/0!</v>
      </c>
      <c r="BE331" s="553"/>
    </row>
    <row r="332" spans="1:57" ht="13.5" thickBot="1">
      <c r="A332" s="513">
        <v>40864</v>
      </c>
      <c r="B332" s="498">
        <f t="shared" si="79"/>
        <v>53.402440000028811</v>
      </c>
      <c r="C332" s="498">
        <f>Calculation!AA335</f>
        <v>0</v>
      </c>
      <c r="D332" s="498">
        <f>Calculation!Y335</f>
        <v>0</v>
      </c>
      <c r="E332" s="498">
        <f>Calculation!U335</f>
        <v>39.324740000019808</v>
      </c>
      <c r="F332" s="498">
        <f>Calculation!V335</f>
        <v>14.077700000009004</v>
      </c>
      <c r="G332" s="498">
        <f>Calculation!W335</f>
        <v>53.912950000000563</v>
      </c>
      <c r="H332" s="500">
        <f>Sheet1!H335</f>
        <v>80.8</v>
      </c>
      <c r="I332" s="501">
        <f>Sheet1!CW335</f>
        <v>1252.6666666666667</v>
      </c>
      <c r="J332" s="501">
        <f>Sheet1!CX335</f>
        <v>1247.28125</v>
      </c>
      <c r="K332" s="501">
        <f>Sheet1!CV335</f>
        <v>1189.5833333333333</v>
      </c>
      <c r="L332" s="501">
        <f>Calculation!F335</f>
        <v>250</v>
      </c>
      <c r="M332" s="501">
        <f>Calculation!E335</f>
        <v>250</v>
      </c>
      <c r="N332" s="501">
        <f>Calculation!D335</f>
        <v>300</v>
      </c>
      <c r="O332" s="500">
        <f>Sheet1!CY335</f>
        <v>1080.31</v>
      </c>
      <c r="P332" s="514">
        <f>Calculation!ET335</f>
        <v>1091.8</v>
      </c>
      <c r="Q332" s="498">
        <f>Calculation!DF335</f>
        <v>2466.3300000036743</v>
      </c>
      <c r="R332" s="500">
        <f t="shared" si="93"/>
        <v>1246.3300000036743</v>
      </c>
      <c r="S332" s="498">
        <f t="shared" si="80"/>
        <v>474.53000000083807</v>
      </c>
      <c r="T332" s="498">
        <f ca="1">IF(A332&gt;$A$1,#N/A,VLOOKUP(A332,Calculation!$B$8:$IV$881,30,FALSE))</f>
        <v>0</v>
      </c>
      <c r="U332" s="498">
        <f t="shared" si="94"/>
        <v>0</v>
      </c>
      <c r="V332" s="498">
        <f>Calculation!AP335</f>
        <v>0</v>
      </c>
      <c r="W332" s="498">
        <f t="shared" ca="1" si="92"/>
        <v>-9.1499999957136424E-3</v>
      </c>
      <c r="X332" s="498">
        <v>0</v>
      </c>
      <c r="Y332" s="744">
        <f t="shared" ca="1" si="91"/>
        <v>0</v>
      </c>
      <c r="Z332" s="748">
        <f t="shared" ca="1" si="95"/>
        <v>-9.1499999957136424E-3</v>
      </c>
      <c r="AA332" s="498">
        <f t="shared" ca="1" si="81"/>
        <v>2466.3391500036701</v>
      </c>
      <c r="AB332" s="501">
        <f t="shared" ca="1" si="82"/>
        <v>1246.3391500036701</v>
      </c>
      <c r="AC332" s="498">
        <f ca="1">IF(A332&gt;$A$1,#N/A,VLOOKUP(A332,Calculation!$B$8:$IV$881,155,FALSE))</f>
        <v>4198.6000000068634</v>
      </c>
      <c r="AD332" s="498">
        <f t="shared" ca="1" si="83"/>
        <v>-239.20000000040363</v>
      </c>
      <c r="AE332" s="498"/>
      <c r="AF332" s="501">
        <f>Calculation!G335</f>
        <v>1428.88237518953</v>
      </c>
      <c r="AG332" s="498" t="str">
        <f t="shared" si="84"/>
        <v>Yes</v>
      </c>
      <c r="AH332" s="498" t="str">
        <f t="shared" si="85"/>
        <v>Yes</v>
      </c>
      <c r="AK332" s="738">
        <v>7506.5800000138943</v>
      </c>
      <c r="AL332" s="738">
        <v>2039.1000000029853</v>
      </c>
      <c r="AM332" s="740">
        <v>2298.8000000034381</v>
      </c>
      <c r="AR332" s="552" t="e">
        <f t="shared" ca="1" si="86"/>
        <v>#DIV/0!</v>
      </c>
      <c r="AS332" s="524"/>
      <c r="AT332" s="581">
        <f>Calculation!AR335*3.068</f>
        <v>0</v>
      </c>
      <c r="AU332" s="575">
        <f ca="1">Calculation!DA335</f>
        <v>0</v>
      </c>
      <c r="AV332" s="575">
        <f>Calculation!CF335*3.068</f>
        <v>0</v>
      </c>
      <c r="AW332" s="582">
        <f>Calculation!BK335*3.068</f>
        <v>0</v>
      </c>
      <c r="AX332" s="813" t="e">
        <f t="shared" si="87"/>
        <v>#DIV/0!</v>
      </c>
      <c r="AY332" s="561"/>
      <c r="AZ332" s="534" t="e">
        <f t="shared" ca="1" si="88"/>
        <v>#DIV/0!</v>
      </c>
      <c r="BA332" s="561"/>
      <c r="BB332" s="826" t="e">
        <f t="shared" si="89"/>
        <v>#DIV/0!</v>
      </c>
      <c r="BC332" s="561"/>
      <c r="BD332" s="844" t="e">
        <f t="shared" si="90"/>
        <v>#DIV/0!</v>
      </c>
      <c r="BE332" s="553"/>
    </row>
    <row r="333" spans="1:57" ht="13.5" thickBot="1">
      <c r="A333" s="513">
        <v>40865</v>
      </c>
      <c r="B333" s="498">
        <f t="shared" ref="B333:B382" si="96">E333+F333</f>
        <v>54.206879999999998</v>
      </c>
      <c r="C333" s="498">
        <f>Calculation!AA336</f>
        <v>0</v>
      </c>
      <c r="D333" s="498">
        <f>Calculation!Y336</f>
        <v>0</v>
      </c>
      <c r="E333" s="498">
        <f>Calculation!U336</f>
        <v>40.222000000000001</v>
      </c>
      <c r="F333" s="498">
        <f>Calculation!V336</f>
        <v>13.984879999999999</v>
      </c>
      <c r="G333" s="498">
        <f>Calculation!W336</f>
        <v>46.054190000000673</v>
      </c>
      <c r="H333" s="500">
        <f>Sheet1!H336</f>
        <v>6</v>
      </c>
      <c r="I333" s="501">
        <f>Sheet1!CW336</f>
        <v>1739.8958333333333</v>
      </c>
      <c r="J333" s="501">
        <f>Sheet1!CX336</f>
        <v>1319.7916666666667</v>
      </c>
      <c r="K333" s="501">
        <f>Sheet1!CV336</f>
        <v>1245.8333333333333</v>
      </c>
      <c r="L333" s="501">
        <f>Calculation!F336</f>
        <v>250</v>
      </c>
      <c r="M333" s="501">
        <f>Calculation!E336</f>
        <v>250</v>
      </c>
      <c r="N333" s="501">
        <f>Calculation!D336</f>
        <v>300</v>
      </c>
      <c r="O333" s="500">
        <f>Sheet1!CY336</f>
        <v>1078.1199999999999</v>
      </c>
      <c r="P333" s="514">
        <f>Calculation!ET336</f>
        <v>1090.5999999999999</v>
      </c>
      <c r="Q333" s="498">
        <f>Calculation!DF336</f>
        <v>2163.2000000031921</v>
      </c>
      <c r="R333" s="500">
        <f t="shared" si="93"/>
        <v>943.20000000319214</v>
      </c>
      <c r="S333" s="498">
        <f t="shared" ref="S333:S382" si="97">R333-R332</f>
        <v>-303.13000000048214</v>
      </c>
      <c r="T333" s="498">
        <f ca="1">IF(A333&gt;$A$1,#N/A,VLOOKUP(A333,Calculation!$B$8:$IV$881,30,FALSE))</f>
        <v>0</v>
      </c>
      <c r="U333" s="498">
        <f t="shared" si="94"/>
        <v>0</v>
      </c>
      <c r="V333" s="498">
        <f>Calculation!AP336</f>
        <v>0</v>
      </c>
      <c r="W333" s="498">
        <f t="shared" ca="1" si="92"/>
        <v>-9.1499999957136424E-3</v>
      </c>
      <c r="X333" s="498">
        <v>0</v>
      </c>
      <c r="Y333" s="744">
        <f t="shared" ca="1" si="91"/>
        <v>0</v>
      </c>
      <c r="Z333" s="748">
        <f t="shared" ca="1" si="95"/>
        <v>-9.1499999957136424E-3</v>
      </c>
      <c r="AA333" s="498">
        <f t="shared" ref="AA333:AA382" ca="1" si="98">IF(Q333-T333-W333&lt;0,0,Q333-T333-W333)</f>
        <v>2163.2091500031879</v>
      </c>
      <c r="AB333" s="501">
        <f t="shared" ref="AB333:AB382" ca="1" si="99">AA333-1220</f>
        <v>943.20915000318791</v>
      </c>
      <c r="AC333" s="498">
        <f ca="1">IF(A333&gt;$A$1,#N/A,VLOOKUP(A333,Calculation!$B$8:$IV$881,155,FALSE))</f>
        <v>3967.0000000064801</v>
      </c>
      <c r="AD333" s="498">
        <f t="shared" ref="AD333:AD382" ca="1" si="100">AC333-AC332</f>
        <v>-231.60000000038326</v>
      </c>
      <c r="AE333" s="498"/>
      <c r="AF333" s="501">
        <f>Calculation!G336</f>
        <v>1092.9689863840231</v>
      </c>
      <c r="AG333" s="498" t="str">
        <f t="shared" ref="AG333:AG382" si="101">IF(I333&gt;L333,"Yes","No")</f>
        <v>Yes</v>
      </c>
      <c r="AH333" s="498" t="str">
        <f t="shared" ref="AH333:AH382" si="102">IF(AND(I333&gt;M333,J333&gt;N333),"Yes","No")</f>
        <v>Yes</v>
      </c>
      <c r="AK333" s="738">
        <v>3925.2000000064368</v>
      </c>
      <c r="AL333" s="738">
        <v>1938.8800000028077</v>
      </c>
      <c r="AM333" s="740">
        <v>1872.7000000026351</v>
      </c>
      <c r="AR333" s="552" t="e">
        <f t="shared" ca="1" si="86"/>
        <v>#DIV/0!</v>
      </c>
      <c r="AS333" s="524"/>
      <c r="AT333" s="581">
        <f>Calculation!AR336*3.068</f>
        <v>0</v>
      </c>
      <c r="AU333" s="575">
        <f ca="1">Calculation!DA336</f>
        <v>0</v>
      </c>
      <c r="AV333" s="575">
        <f>Calculation!CF336*3.068</f>
        <v>0</v>
      </c>
      <c r="AW333" s="582">
        <f>Calculation!BK336*3.068</f>
        <v>0</v>
      </c>
      <c r="AX333" s="813" t="e">
        <f t="shared" si="87"/>
        <v>#DIV/0!</v>
      </c>
      <c r="AY333" s="561"/>
      <c r="AZ333" s="534" t="e">
        <f t="shared" ca="1" si="88"/>
        <v>#DIV/0!</v>
      </c>
      <c r="BA333" s="561"/>
      <c r="BB333" s="826" t="e">
        <f t="shared" si="89"/>
        <v>#DIV/0!</v>
      </c>
      <c r="BC333" s="561"/>
      <c r="BD333" s="844" t="e">
        <f t="shared" si="90"/>
        <v>#DIV/0!</v>
      </c>
      <c r="BE333" s="553"/>
    </row>
    <row r="334" spans="1:57" ht="13.5" thickBot="1">
      <c r="A334" s="513">
        <v>40866</v>
      </c>
      <c r="B334" s="498">
        <f t="shared" si="96"/>
        <v>52.752699999981985</v>
      </c>
      <c r="C334" s="498">
        <f>Calculation!AA337</f>
        <v>0</v>
      </c>
      <c r="D334" s="498">
        <f>Calculation!Y337</f>
        <v>0</v>
      </c>
      <c r="E334" s="498">
        <f>Calculation!U337</f>
        <v>39.139099999981987</v>
      </c>
      <c r="F334" s="498">
        <f>Calculation!V337</f>
        <v>13.6136</v>
      </c>
      <c r="G334" s="498">
        <f>Calculation!W337</f>
        <v>19.167329999999097</v>
      </c>
      <c r="H334" s="500">
        <f>Sheet1!H337</f>
        <v>4.5999999999999996</v>
      </c>
      <c r="I334" s="501">
        <f>Sheet1!CW337</f>
        <v>1369.7916666666667</v>
      </c>
      <c r="J334" s="501">
        <f>Sheet1!CX337</f>
        <v>1007.8125</v>
      </c>
      <c r="K334" s="501">
        <f>Sheet1!CV337</f>
        <v>999.79166666666663</v>
      </c>
      <c r="L334" s="501">
        <f>Calculation!F337</f>
        <v>250</v>
      </c>
      <c r="M334" s="501">
        <f>Calculation!E337</f>
        <v>250</v>
      </c>
      <c r="N334" s="501">
        <f>Calculation!D337</f>
        <v>300</v>
      </c>
      <c r="O334" s="500">
        <f>Sheet1!CY337</f>
        <v>1076.3699999999999</v>
      </c>
      <c r="P334" s="514">
        <f>Calculation!ET337</f>
        <v>1089.4000000000001</v>
      </c>
      <c r="Q334" s="498">
        <f>Calculation!DF337</f>
        <v>1937.6200000027791</v>
      </c>
      <c r="R334" s="500">
        <f t="shared" si="93"/>
        <v>717.62000000277908</v>
      </c>
      <c r="S334" s="498">
        <f t="shared" si="97"/>
        <v>-225.58000000041307</v>
      </c>
      <c r="T334" s="498">
        <f ca="1">IF(A334&gt;$A$1,#N/A,VLOOKUP(A334,Calculation!$B$8:$IV$881,30,FALSE))</f>
        <v>0</v>
      </c>
      <c r="U334" s="498">
        <f t="shared" si="94"/>
        <v>0</v>
      </c>
      <c r="V334" s="498">
        <f>Calculation!AP337</f>
        <v>0</v>
      </c>
      <c r="W334" s="498">
        <f t="shared" ca="1" si="92"/>
        <v>-9.1499999957136424E-3</v>
      </c>
      <c r="X334" s="498">
        <v>0</v>
      </c>
      <c r="Y334" s="744">
        <f t="shared" ca="1" si="91"/>
        <v>0</v>
      </c>
      <c r="Z334" s="748">
        <f t="shared" ca="1" si="95"/>
        <v>-9.1499999957136424E-3</v>
      </c>
      <c r="AA334" s="498">
        <f t="shared" ca="1" si="98"/>
        <v>1937.6291500027748</v>
      </c>
      <c r="AB334" s="501">
        <f t="shared" ca="1" si="99"/>
        <v>717.62915000277485</v>
      </c>
      <c r="AC334" s="498">
        <f ca="1">IF(A334&gt;$A$1,#N/A,VLOOKUP(A334,Calculation!$B$8:$IV$881,155,FALSE))</f>
        <v>3743.8000000060665</v>
      </c>
      <c r="AD334" s="498">
        <f t="shared" ca="1" si="100"/>
        <v>-223.20000000041364</v>
      </c>
      <c r="AE334" s="498"/>
      <c r="AF334" s="501">
        <f>Calculation!G337</f>
        <v>886.03473272798124</v>
      </c>
      <c r="AG334" s="498" t="str">
        <f t="shared" si="101"/>
        <v>Yes</v>
      </c>
      <c r="AH334" s="498" t="str">
        <f t="shared" si="102"/>
        <v>Yes</v>
      </c>
      <c r="AK334" s="738">
        <v>2839.4600000042792</v>
      </c>
      <c r="AL334" s="738">
        <v>1917.460000002779</v>
      </c>
      <c r="AM334" s="740">
        <v>2524.960000003739</v>
      </c>
      <c r="AR334" s="552" t="e">
        <f t="shared" ca="1" si="86"/>
        <v>#DIV/0!</v>
      </c>
      <c r="AS334" s="524"/>
      <c r="AT334" s="581">
        <f>Calculation!AR337*3.068</f>
        <v>0</v>
      </c>
      <c r="AU334" s="575">
        <f ca="1">Calculation!DA337</f>
        <v>0</v>
      </c>
      <c r="AV334" s="575">
        <f>Calculation!CF337*3.068</f>
        <v>0</v>
      </c>
      <c r="AW334" s="582">
        <f>Calculation!BK337*3.068</f>
        <v>0</v>
      </c>
      <c r="AX334" s="813" t="e">
        <f t="shared" si="87"/>
        <v>#DIV/0!</v>
      </c>
      <c r="AY334" s="561"/>
      <c r="AZ334" s="534" t="e">
        <f t="shared" ca="1" si="88"/>
        <v>#DIV/0!</v>
      </c>
      <c r="BA334" s="561"/>
      <c r="BB334" s="826" t="e">
        <f t="shared" si="89"/>
        <v>#DIV/0!</v>
      </c>
      <c r="BC334" s="561"/>
      <c r="BD334" s="844" t="e">
        <f t="shared" si="90"/>
        <v>#DIV/0!</v>
      </c>
      <c r="BE334" s="553"/>
    </row>
    <row r="335" spans="1:57" ht="13.5" thickBot="1">
      <c r="A335" s="513">
        <v>40867</v>
      </c>
      <c r="B335" s="498">
        <f t="shared" si="96"/>
        <v>52.860990000009004</v>
      </c>
      <c r="C335" s="498">
        <f>Calculation!AA338</f>
        <v>0</v>
      </c>
      <c r="D335" s="498">
        <f>Calculation!Y338</f>
        <v>0</v>
      </c>
      <c r="E335" s="498">
        <f>Calculation!U338</f>
        <v>39.216450000009004</v>
      </c>
      <c r="F335" s="498">
        <f>Calculation!V338</f>
        <v>13.644539999999999</v>
      </c>
      <c r="G335" s="498">
        <f>Calculation!W338</f>
        <v>39.665079999999101</v>
      </c>
      <c r="H335" s="500">
        <f>Sheet1!H338</f>
        <v>13.2</v>
      </c>
      <c r="I335" s="501">
        <f>Sheet1!CW338</f>
        <v>1155.625</v>
      </c>
      <c r="J335" s="501">
        <f>Sheet1!CX338</f>
        <v>795.1875</v>
      </c>
      <c r="K335" s="501">
        <f>Sheet1!CV338</f>
        <v>756.70833333333337</v>
      </c>
      <c r="L335" s="501">
        <f>Calculation!F338</f>
        <v>250</v>
      </c>
      <c r="M335" s="501">
        <f>Calculation!E338</f>
        <v>250</v>
      </c>
      <c r="N335" s="501">
        <f>Calculation!D338</f>
        <v>300</v>
      </c>
      <c r="O335" s="500">
        <f>Sheet1!CY338</f>
        <v>1076.51</v>
      </c>
      <c r="P335" s="514">
        <f>Calculation!ET338</f>
        <v>1088.2</v>
      </c>
      <c r="Q335" s="498">
        <f>Calculation!DF338</f>
        <v>1955.2600000028076</v>
      </c>
      <c r="R335" s="500">
        <f t="shared" si="93"/>
        <v>735.2600000028076</v>
      </c>
      <c r="S335" s="498">
        <f t="shared" si="97"/>
        <v>17.640000000028522</v>
      </c>
      <c r="T335" s="498">
        <f ca="1">IF(A335&gt;$A$1,#N/A,VLOOKUP(A335,Calculation!$B$8:$IV$881,30,FALSE))</f>
        <v>0</v>
      </c>
      <c r="U335" s="498">
        <f t="shared" si="94"/>
        <v>0</v>
      </c>
      <c r="V335" s="498">
        <f>Calculation!AP338</f>
        <v>0</v>
      </c>
      <c r="W335" s="498">
        <f t="shared" ca="1" si="92"/>
        <v>-9.1499999957136424E-3</v>
      </c>
      <c r="X335" s="498">
        <v>0</v>
      </c>
      <c r="Y335" s="744">
        <f t="shared" ca="1" si="91"/>
        <v>0</v>
      </c>
      <c r="Z335" s="748">
        <f t="shared" ca="1" si="95"/>
        <v>-9.1499999957136424E-3</v>
      </c>
      <c r="AA335" s="498">
        <f t="shared" ca="1" si="98"/>
        <v>1955.2691500028034</v>
      </c>
      <c r="AB335" s="501">
        <f t="shared" ca="1" si="99"/>
        <v>735.26915000280337</v>
      </c>
      <c r="AC335" s="498">
        <f ca="1">IF(A335&gt;$A$1,#N/A,VLOOKUP(A335,Calculation!$B$8:$IV$881,155,FALSE))</f>
        <v>3528.000000005698</v>
      </c>
      <c r="AD335" s="498">
        <f t="shared" ca="1" si="100"/>
        <v>-215.80000000036853</v>
      </c>
      <c r="AE335" s="498"/>
      <c r="AF335" s="501">
        <f>Calculation!G338</f>
        <v>765.60394604136593</v>
      </c>
      <c r="AG335" s="498" t="str">
        <f t="shared" si="101"/>
        <v>Yes</v>
      </c>
      <c r="AH335" s="498" t="str">
        <f t="shared" si="102"/>
        <v>Yes</v>
      </c>
      <c r="AK335" s="738">
        <v>1754.8400000024685</v>
      </c>
      <c r="AL335" s="738">
        <v>1986.7600000028363</v>
      </c>
      <c r="AM335" s="740">
        <v>2529.2500000037389</v>
      </c>
      <c r="AR335" s="552" t="e">
        <f t="shared" ca="1" si="86"/>
        <v>#DIV/0!</v>
      </c>
      <c r="AS335" s="524"/>
      <c r="AT335" s="581">
        <f>Calculation!AR338*3.068</f>
        <v>0</v>
      </c>
      <c r="AU335" s="575">
        <f ca="1">Calculation!DA338</f>
        <v>0</v>
      </c>
      <c r="AV335" s="575">
        <f>Calculation!CF338*3.068</f>
        <v>0</v>
      </c>
      <c r="AW335" s="582">
        <f>Calculation!BK338*3.068</f>
        <v>0</v>
      </c>
      <c r="AX335" s="813" t="e">
        <f t="shared" si="87"/>
        <v>#DIV/0!</v>
      </c>
      <c r="AY335" s="561"/>
      <c r="AZ335" s="534" t="e">
        <f t="shared" ca="1" si="88"/>
        <v>#DIV/0!</v>
      </c>
      <c r="BA335" s="561"/>
      <c r="BB335" s="826" t="e">
        <f t="shared" si="89"/>
        <v>#DIV/0!</v>
      </c>
      <c r="BC335" s="561"/>
      <c r="BD335" s="844" t="e">
        <f t="shared" si="90"/>
        <v>#DIV/0!</v>
      </c>
      <c r="BE335" s="553"/>
    </row>
    <row r="336" spans="1:57" ht="13.5" thickBot="1">
      <c r="A336" s="513">
        <v>40868</v>
      </c>
      <c r="B336" s="498">
        <f t="shared" si="96"/>
        <v>67.077920000012156</v>
      </c>
      <c r="C336" s="498">
        <f>Calculation!AA339</f>
        <v>0</v>
      </c>
      <c r="D336" s="498">
        <f>Calculation!Y339</f>
        <v>0</v>
      </c>
      <c r="E336" s="498">
        <f>Calculation!U339</f>
        <v>40.717040000010805</v>
      </c>
      <c r="F336" s="498">
        <f>Calculation!V339</f>
        <v>26.360880000001348</v>
      </c>
      <c r="G336" s="498">
        <f>Calculation!W339</f>
        <v>5.9714200000008999</v>
      </c>
      <c r="H336" s="500">
        <f>Sheet1!H339</f>
        <v>4.75</v>
      </c>
      <c r="I336" s="501">
        <f>Sheet1!CW339</f>
        <v>903</v>
      </c>
      <c r="J336" s="501">
        <f>Sheet1!CX339</f>
        <v>675.59375</v>
      </c>
      <c r="K336" s="501">
        <f>Sheet1!CV339</f>
        <v>715.125</v>
      </c>
      <c r="L336" s="501">
        <f>Calculation!F339</f>
        <v>250</v>
      </c>
      <c r="M336" s="501">
        <f>Calculation!E339</f>
        <v>250</v>
      </c>
      <c r="N336" s="501">
        <f>Calculation!D339</f>
        <v>300</v>
      </c>
      <c r="O336" s="500">
        <f>Sheet1!CY339</f>
        <v>1076.1199999999999</v>
      </c>
      <c r="P336" s="514">
        <f>Calculation!ET339</f>
        <v>1087</v>
      </c>
      <c r="Q336" s="498">
        <f>Calculation!DF339</f>
        <v>1906.1200000027502</v>
      </c>
      <c r="R336" s="500">
        <f t="shared" si="93"/>
        <v>686.1200000027502</v>
      </c>
      <c r="S336" s="498">
        <f t="shared" si="97"/>
        <v>-49.140000000057398</v>
      </c>
      <c r="T336" s="498">
        <f ca="1">IF(A336&gt;$A$1,#N/A,VLOOKUP(A336,Calculation!$B$8:$IV$881,30,FALSE))</f>
        <v>0</v>
      </c>
      <c r="U336" s="498">
        <f t="shared" si="94"/>
        <v>0</v>
      </c>
      <c r="V336" s="498">
        <f>Calculation!AP339</f>
        <v>0</v>
      </c>
      <c r="W336" s="498">
        <f t="shared" ca="1" si="92"/>
        <v>-9.1499999957136424E-3</v>
      </c>
      <c r="X336" s="498">
        <v>0</v>
      </c>
      <c r="Y336" s="744">
        <f t="shared" ca="1" si="91"/>
        <v>0</v>
      </c>
      <c r="Z336" s="748">
        <f t="shared" ca="1" si="95"/>
        <v>-9.1499999957136424E-3</v>
      </c>
      <c r="AA336" s="498">
        <f t="shared" ca="1" si="98"/>
        <v>1906.129150002746</v>
      </c>
      <c r="AB336" s="501">
        <f t="shared" ca="1" si="99"/>
        <v>686.12915000274597</v>
      </c>
      <c r="AC336" s="498">
        <f ca="1">IF(A336&gt;$A$1,#N/A,VLOOKUP(A336,Calculation!$B$8:$IV$881,155,FALSE))</f>
        <v>3321.4000000051569</v>
      </c>
      <c r="AD336" s="498">
        <f t="shared" ca="1" si="100"/>
        <v>-206.60000000054106</v>
      </c>
      <c r="AE336" s="498"/>
      <c r="AF336" s="501">
        <f>Calculation!G339</f>
        <v>690.3443645990634</v>
      </c>
      <c r="AG336" s="498" t="str">
        <f t="shared" si="101"/>
        <v>Yes</v>
      </c>
      <c r="AH336" s="498" t="str">
        <f t="shared" si="102"/>
        <v>Yes</v>
      </c>
      <c r="AK336" s="738">
        <v>1725.3400000024415</v>
      </c>
      <c r="AL336" s="738">
        <v>2037.8000000029854</v>
      </c>
      <c r="AM336" s="740">
        <v>2427.7200000036419</v>
      </c>
      <c r="AR336" s="552" t="e">
        <f t="shared" ca="1" si="86"/>
        <v>#DIV/0!</v>
      </c>
      <c r="AS336" s="524"/>
      <c r="AT336" s="581">
        <f>Calculation!AR339*3.068</f>
        <v>0</v>
      </c>
      <c r="AU336" s="575">
        <f ca="1">Calculation!DA339</f>
        <v>0</v>
      </c>
      <c r="AV336" s="575">
        <f>Calculation!CF339*3.068</f>
        <v>0</v>
      </c>
      <c r="AW336" s="582">
        <f>Calculation!BK339*3.068</f>
        <v>0</v>
      </c>
      <c r="AX336" s="813" t="e">
        <f t="shared" si="87"/>
        <v>#DIV/0!</v>
      </c>
      <c r="AY336" s="561"/>
      <c r="AZ336" s="534" t="e">
        <f t="shared" ca="1" si="88"/>
        <v>#DIV/0!</v>
      </c>
      <c r="BA336" s="561"/>
      <c r="BB336" s="826" t="e">
        <f t="shared" si="89"/>
        <v>#DIV/0!</v>
      </c>
      <c r="BC336" s="561"/>
      <c r="BD336" s="844" t="e">
        <f t="shared" si="90"/>
        <v>#DIV/0!</v>
      </c>
      <c r="BE336" s="553"/>
    </row>
    <row r="337" spans="1:57" ht="13.5" thickBot="1">
      <c r="A337" s="513">
        <v>40869</v>
      </c>
      <c r="B337" s="498">
        <f t="shared" si="96"/>
        <v>78.525719999999993</v>
      </c>
      <c r="C337" s="498">
        <f>Calculation!AA340</f>
        <v>0</v>
      </c>
      <c r="D337" s="498">
        <f>Calculation!Y340</f>
        <v>0</v>
      </c>
      <c r="E337" s="498">
        <f>Calculation!U340</f>
        <v>42.820959999999999</v>
      </c>
      <c r="F337" s="498">
        <f>Calculation!V340</f>
        <v>35.704759999999993</v>
      </c>
      <c r="G337" s="498">
        <f>Calculation!W340</f>
        <v>39.41755999999932</v>
      </c>
      <c r="H337" s="500">
        <f>Sheet1!H340</f>
        <v>35.9</v>
      </c>
      <c r="I337" s="501">
        <f>Sheet1!CW340</f>
        <v>1239.9791666666667</v>
      </c>
      <c r="J337" s="501">
        <f>Sheet1!CX340</f>
        <v>973.79166666666663</v>
      </c>
      <c r="K337" s="501">
        <f>Sheet1!CV340</f>
        <v>941.125</v>
      </c>
      <c r="L337" s="501">
        <f>Calculation!F340</f>
        <v>250</v>
      </c>
      <c r="M337" s="501">
        <f>Calculation!E340</f>
        <v>250</v>
      </c>
      <c r="N337" s="501">
        <f>Calculation!D340</f>
        <v>300</v>
      </c>
      <c r="O337" s="500">
        <f>Sheet1!CY340</f>
        <v>1077.07</v>
      </c>
      <c r="P337" s="514">
        <f>Calculation!ET340</f>
        <v>1085.8</v>
      </c>
      <c r="Q337" s="498">
        <f>Calculation!DF340</f>
        <v>2026.1000000029558</v>
      </c>
      <c r="R337" s="500">
        <f t="shared" si="93"/>
        <v>806.10000000295577</v>
      </c>
      <c r="S337" s="498">
        <f t="shared" si="97"/>
        <v>119.98000000020556</v>
      </c>
      <c r="T337" s="498">
        <f ca="1">IF(A337&gt;$A$1,#N/A,VLOOKUP(A337,Calculation!$B$8:$IV$881,30,FALSE))</f>
        <v>0</v>
      </c>
      <c r="U337" s="498">
        <f t="shared" si="94"/>
        <v>0</v>
      </c>
      <c r="V337" s="498">
        <f>Calculation!AP340</f>
        <v>0</v>
      </c>
      <c r="W337" s="498">
        <f t="shared" ca="1" si="92"/>
        <v>-9.1499999957136424E-3</v>
      </c>
      <c r="X337" s="498">
        <v>0</v>
      </c>
      <c r="Y337" s="744">
        <f t="shared" ca="1" si="91"/>
        <v>0</v>
      </c>
      <c r="Z337" s="748">
        <f t="shared" ca="1" si="95"/>
        <v>-9.1499999957136424E-3</v>
      </c>
      <c r="AA337" s="498">
        <f t="shared" ca="1" si="98"/>
        <v>2026.1091500029515</v>
      </c>
      <c r="AB337" s="501">
        <f t="shared" ca="1" si="99"/>
        <v>806.10915000295154</v>
      </c>
      <c r="AC337" s="498">
        <f ca="1">IF(A337&gt;$A$1,#N/A,VLOOKUP(A337,Calculation!$B$8:$IV$881,155,FALSE))</f>
        <v>3122.2000000047883</v>
      </c>
      <c r="AD337" s="498">
        <f t="shared" ca="1" si="100"/>
        <v>-199.20000000036862</v>
      </c>
      <c r="AE337" s="498"/>
      <c r="AF337" s="501">
        <f>Calculation!G340</f>
        <v>1001.6292864347986</v>
      </c>
      <c r="AG337" s="498" t="str">
        <f t="shared" si="101"/>
        <v>Yes</v>
      </c>
      <c r="AH337" s="498" t="str">
        <f t="shared" si="102"/>
        <v>Yes</v>
      </c>
      <c r="AK337" s="738">
        <v>1695.8400000024149</v>
      </c>
      <c r="AL337" s="738">
        <v>1969.1200000028075</v>
      </c>
      <c r="AM337" s="740">
        <v>2091.1000000030149</v>
      </c>
      <c r="AR337" s="552" t="e">
        <f t="shared" ca="1" si="86"/>
        <v>#DIV/0!</v>
      </c>
      <c r="AS337" s="524"/>
      <c r="AT337" s="581">
        <f>Calculation!AR340*3.068</f>
        <v>0</v>
      </c>
      <c r="AU337" s="575">
        <f ca="1">Calculation!DA340</f>
        <v>0</v>
      </c>
      <c r="AV337" s="575">
        <f>Calculation!CF340*3.068</f>
        <v>0</v>
      </c>
      <c r="AW337" s="582">
        <f>Calculation!BK340*3.068</f>
        <v>0</v>
      </c>
      <c r="AX337" s="813" t="e">
        <f t="shared" si="87"/>
        <v>#DIV/0!</v>
      </c>
      <c r="AY337" s="561"/>
      <c r="AZ337" s="534" t="e">
        <f t="shared" ca="1" si="88"/>
        <v>#DIV/0!</v>
      </c>
      <c r="BA337" s="561"/>
      <c r="BB337" s="826" t="e">
        <f t="shared" si="89"/>
        <v>#DIV/0!</v>
      </c>
      <c r="BC337" s="561"/>
      <c r="BD337" s="844" t="e">
        <f t="shared" si="90"/>
        <v>#DIV/0!</v>
      </c>
      <c r="BE337" s="553"/>
    </row>
    <row r="338" spans="1:57" ht="13.5" thickBot="1">
      <c r="A338" s="513">
        <v>40870</v>
      </c>
      <c r="B338" s="498">
        <f t="shared" si="96"/>
        <v>70.868069999999548</v>
      </c>
      <c r="C338" s="498">
        <f>Calculation!AA341</f>
        <v>0</v>
      </c>
      <c r="D338" s="498">
        <f>Calculation!Y341</f>
        <v>0</v>
      </c>
      <c r="E338" s="498">
        <f>Calculation!U341</f>
        <v>41.753529999999998</v>
      </c>
      <c r="F338" s="498">
        <f>Calculation!V341</f>
        <v>29.114539999999547</v>
      </c>
      <c r="G338" s="498">
        <f>Calculation!W341</f>
        <v>70.249269999999768</v>
      </c>
      <c r="H338" s="500">
        <f>Sheet1!H341</f>
        <v>0</v>
      </c>
      <c r="I338" s="501">
        <f>Sheet1!CW341</f>
        <v>2279.2708333333335</v>
      </c>
      <c r="J338" s="501">
        <f>Sheet1!CX341</f>
        <v>1784.4791666666667</v>
      </c>
      <c r="K338" s="501">
        <f>Sheet1!CV341</f>
        <v>1565</v>
      </c>
      <c r="L338" s="501">
        <f>Calculation!F341</f>
        <v>250</v>
      </c>
      <c r="M338" s="501">
        <f>Calculation!E341</f>
        <v>250</v>
      </c>
      <c r="N338" s="501">
        <f>Calculation!D341</f>
        <v>300</v>
      </c>
      <c r="O338" s="500">
        <f>Sheet1!CY341</f>
        <v>1079.8699999999999</v>
      </c>
      <c r="P338" s="514">
        <f>Calculation!ET341</f>
        <v>1084.5999999999999</v>
      </c>
      <c r="Q338" s="498">
        <f>Calculation!DF341</f>
        <v>2403.8000000035336</v>
      </c>
      <c r="R338" s="500">
        <f t="shared" si="93"/>
        <v>1183.8000000035336</v>
      </c>
      <c r="S338" s="498">
        <f t="shared" si="97"/>
        <v>377.7000000005778</v>
      </c>
      <c r="T338" s="498">
        <f ca="1">IF(A338&gt;$A$1,#N/A,VLOOKUP(A338,Calculation!$B$8:$IV$881,30,FALSE))</f>
        <v>0</v>
      </c>
      <c r="U338" s="498">
        <f t="shared" si="94"/>
        <v>0</v>
      </c>
      <c r="V338" s="498">
        <f>Calculation!AP341</f>
        <v>0</v>
      </c>
      <c r="W338" s="498">
        <f t="shared" ca="1" si="92"/>
        <v>-9.1499999957136424E-3</v>
      </c>
      <c r="X338" s="498">
        <v>0</v>
      </c>
      <c r="Y338" s="744">
        <f t="shared" ca="1" si="91"/>
        <v>0</v>
      </c>
      <c r="Z338" s="748">
        <f t="shared" ca="1" si="95"/>
        <v>-9.1499999957136424E-3</v>
      </c>
      <c r="AA338" s="498">
        <f t="shared" ca="1" si="98"/>
        <v>2403.8091500035293</v>
      </c>
      <c r="AB338" s="501">
        <f t="shared" ca="1" si="99"/>
        <v>1183.8091500035293</v>
      </c>
      <c r="AC338" s="498">
        <f ca="1">IF(A338&gt;$A$1,#N/A,VLOOKUP(A338,Calculation!$B$8:$IV$881,155,FALSE))</f>
        <v>2930.2000000045264</v>
      </c>
      <c r="AD338" s="498">
        <f t="shared" ca="1" si="100"/>
        <v>-192.00000000026193</v>
      </c>
      <c r="AE338" s="498"/>
      <c r="AF338" s="501">
        <f>Calculation!G341</f>
        <v>1755.4689863845576</v>
      </c>
      <c r="AG338" s="498" t="str">
        <f t="shared" si="101"/>
        <v>Yes</v>
      </c>
      <c r="AH338" s="498" t="str">
        <f t="shared" si="102"/>
        <v>Yes</v>
      </c>
      <c r="AK338" s="738">
        <v>1764.2800000024683</v>
      </c>
      <c r="AL338" s="738">
        <v>2190.2000000032231</v>
      </c>
      <c r="AM338" s="740">
        <v>1943.9200000028077</v>
      </c>
      <c r="AR338" s="552" t="e">
        <f t="shared" ca="1" si="86"/>
        <v>#DIV/0!</v>
      </c>
      <c r="AS338" s="524"/>
      <c r="AT338" s="581">
        <f>Calculation!AR341*3.068</f>
        <v>0</v>
      </c>
      <c r="AU338" s="575">
        <f ca="1">Calculation!DA341</f>
        <v>0</v>
      </c>
      <c r="AV338" s="575">
        <f>Calculation!CF341*3.068</f>
        <v>0</v>
      </c>
      <c r="AW338" s="582">
        <f>Calculation!BK341*3.068</f>
        <v>0</v>
      </c>
      <c r="AX338" s="813" t="e">
        <f t="shared" si="87"/>
        <v>#DIV/0!</v>
      </c>
      <c r="AY338" s="561"/>
      <c r="AZ338" s="534" t="e">
        <f t="shared" ca="1" si="88"/>
        <v>#DIV/0!</v>
      </c>
      <c r="BA338" s="561"/>
      <c r="BB338" s="826" t="e">
        <f t="shared" si="89"/>
        <v>#DIV/0!</v>
      </c>
      <c r="BC338" s="561"/>
      <c r="BD338" s="844" t="e">
        <f t="shared" si="90"/>
        <v>#DIV/0!</v>
      </c>
      <c r="BE338" s="553"/>
    </row>
    <row r="339" spans="1:57" ht="13.5" thickBot="1">
      <c r="A339" s="513">
        <v>40871</v>
      </c>
      <c r="B339" s="498">
        <f t="shared" si="96"/>
        <v>70.89901000000269</v>
      </c>
      <c r="C339" s="498">
        <f>Calculation!AA342</f>
        <v>0</v>
      </c>
      <c r="D339" s="498">
        <f>Calculation!Y342</f>
        <v>0</v>
      </c>
      <c r="E339" s="498">
        <f>Calculation!U342</f>
        <v>41.506010000002696</v>
      </c>
      <c r="F339" s="498">
        <f>Calculation!V342</f>
        <v>29.392999999999997</v>
      </c>
      <c r="G339" s="498">
        <f>Calculation!W342</f>
        <v>69.738759999999886</v>
      </c>
      <c r="H339" s="500">
        <f>Sheet1!H342</f>
        <v>17</v>
      </c>
      <c r="I339" s="501">
        <f>Sheet1!CW342</f>
        <v>2838.6458333333335</v>
      </c>
      <c r="J339" s="501">
        <f>Sheet1!CX342</f>
        <v>2109.4791666666665</v>
      </c>
      <c r="K339" s="501">
        <f>Sheet1!CV342</f>
        <v>1887.9166666666667</v>
      </c>
      <c r="L339" s="501">
        <f>Calculation!F342</f>
        <v>250</v>
      </c>
      <c r="M339" s="501">
        <f>Calculation!E342</f>
        <v>250</v>
      </c>
      <c r="N339" s="501">
        <f>Calculation!D342</f>
        <v>300</v>
      </c>
      <c r="O339" s="500">
        <f>Sheet1!CY342</f>
        <v>1077.6400000000001</v>
      </c>
      <c r="P339" s="514">
        <f>Calculation!ET342</f>
        <v>1083.4000000000001</v>
      </c>
      <c r="Q339" s="498">
        <f>Calculation!DF342</f>
        <v>2100.2000000030444</v>
      </c>
      <c r="R339" s="500">
        <f t="shared" si="93"/>
        <v>880.20000000304435</v>
      </c>
      <c r="S339" s="498">
        <f t="shared" si="97"/>
        <v>-303.60000000048922</v>
      </c>
      <c r="T339" s="498">
        <f ca="1">IF(A339&gt;$A$1,#N/A,VLOOKUP(A339,Calculation!$B$8:$IV$881,30,FALSE))</f>
        <v>0</v>
      </c>
      <c r="U339" s="498">
        <f t="shared" si="94"/>
        <v>0</v>
      </c>
      <c r="V339" s="498">
        <f>Calculation!AP342</f>
        <v>0</v>
      </c>
      <c r="W339" s="498">
        <f t="shared" ca="1" si="92"/>
        <v>-9.1499999957136424E-3</v>
      </c>
      <c r="X339" s="498">
        <v>0</v>
      </c>
      <c r="Y339" s="744">
        <f t="shared" ca="1" si="91"/>
        <v>0</v>
      </c>
      <c r="Z339" s="748">
        <f t="shared" ca="1" si="95"/>
        <v>-9.1499999957136424E-3</v>
      </c>
      <c r="AA339" s="498">
        <f t="shared" ca="1" si="98"/>
        <v>2100.2091500030401</v>
      </c>
      <c r="AB339" s="501">
        <f t="shared" ca="1" si="99"/>
        <v>880.20915000304012</v>
      </c>
      <c r="AC339" s="498">
        <f ca="1">IF(A339&gt;$A$1,#N/A,VLOOKUP(A339,Calculation!$B$8:$IV$881,155,FALSE))</f>
        <v>2744.6000000042095</v>
      </c>
      <c r="AD339" s="498">
        <f t="shared" ca="1" si="100"/>
        <v>-185.60000000031687</v>
      </c>
      <c r="AE339" s="498"/>
      <c r="AF339" s="501">
        <f>Calculation!G342</f>
        <v>1734.8153050930464</v>
      </c>
      <c r="AG339" s="498" t="str">
        <f t="shared" si="101"/>
        <v>Yes</v>
      </c>
      <c r="AH339" s="498" t="str">
        <f t="shared" si="102"/>
        <v>Yes</v>
      </c>
      <c r="AK339" s="738">
        <v>1794.6200000025799</v>
      </c>
      <c r="AL339" s="738">
        <v>2019.6000000029558</v>
      </c>
      <c r="AM339" s="740">
        <v>2067.7000000030148</v>
      </c>
      <c r="AR339" s="552" t="e">
        <f t="shared" ca="1" si="86"/>
        <v>#DIV/0!</v>
      </c>
      <c r="AS339" s="524"/>
      <c r="AT339" s="581">
        <f>Calculation!AR342*3.068</f>
        <v>0</v>
      </c>
      <c r="AU339" s="575">
        <f ca="1">Calculation!DA342</f>
        <v>0</v>
      </c>
      <c r="AV339" s="575">
        <f>Calculation!CF342*3.068</f>
        <v>0</v>
      </c>
      <c r="AW339" s="582">
        <f>Calculation!BK342*3.068</f>
        <v>0</v>
      </c>
      <c r="AX339" s="813" t="e">
        <f t="shared" si="87"/>
        <v>#DIV/0!</v>
      </c>
      <c r="AY339" s="561"/>
      <c r="AZ339" s="534" t="e">
        <f t="shared" ca="1" si="88"/>
        <v>#DIV/0!</v>
      </c>
      <c r="BA339" s="561"/>
      <c r="BB339" s="826" t="e">
        <f t="shared" si="89"/>
        <v>#DIV/0!</v>
      </c>
      <c r="BC339" s="561"/>
      <c r="BD339" s="844" t="e">
        <f t="shared" si="90"/>
        <v>#DIV/0!</v>
      </c>
      <c r="BE339" s="553"/>
    </row>
    <row r="340" spans="1:57" ht="13.5" thickBot="1">
      <c r="A340" s="513">
        <v>40872</v>
      </c>
      <c r="B340" s="498">
        <f t="shared" si="96"/>
        <v>70.187390000004044</v>
      </c>
      <c r="C340" s="498">
        <f>Calculation!AA343</f>
        <v>0</v>
      </c>
      <c r="D340" s="498">
        <f>Calculation!Y343</f>
        <v>0</v>
      </c>
      <c r="E340" s="498">
        <f>Calculation!U343</f>
        <v>40.949090000001796</v>
      </c>
      <c r="F340" s="498">
        <f>Calculation!V343</f>
        <v>29.238300000002251</v>
      </c>
      <c r="G340" s="498">
        <f>Calculation!W343</f>
        <v>69.089019999999778</v>
      </c>
      <c r="H340" s="500">
        <f>Sheet1!H343</f>
        <v>24.81</v>
      </c>
      <c r="I340" s="501">
        <f>Sheet1!CW343</f>
        <v>2477.3958333333335</v>
      </c>
      <c r="J340" s="501">
        <f>Sheet1!CX343</f>
        <v>1607.7083333333333</v>
      </c>
      <c r="K340" s="501">
        <f>Sheet1!CV343</f>
        <v>1415.8333333333333</v>
      </c>
      <c r="L340" s="501">
        <f>Calculation!F343</f>
        <v>250</v>
      </c>
      <c r="M340" s="501">
        <f>Calculation!E343</f>
        <v>250</v>
      </c>
      <c r="N340" s="501">
        <f>Calculation!D343</f>
        <v>300</v>
      </c>
      <c r="O340" s="500">
        <f>Sheet1!CY343</f>
        <v>1078.04</v>
      </c>
      <c r="P340" s="514">
        <f>Calculation!ET343</f>
        <v>1082.2</v>
      </c>
      <c r="Q340" s="498">
        <f>Calculation!DF343</f>
        <v>2152.4000000031924</v>
      </c>
      <c r="R340" s="500">
        <f t="shared" si="93"/>
        <v>932.40000000319242</v>
      </c>
      <c r="S340" s="498">
        <f t="shared" si="97"/>
        <v>52.200000000148066</v>
      </c>
      <c r="T340" s="498">
        <f ca="1">IF(A340&gt;$A$1,#N/A,VLOOKUP(A340,Calculation!$B$8:$IV$881,30,FALSE))</f>
        <v>0</v>
      </c>
      <c r="U340" s="498">
        <f t="shared" si="94"/>
        <v>0</v>
      </c>
      <c r="V340" s="498">
        <f>Calculation!AP343</f>
        <v>0</v>
      </c>
      <c r="W340" s="498">
        <f t="shared" ca="1" si="92"/>
        <v>-9.1499999957136424E-3</v>
      </c>
      <c r="X340" s="498">
        <v>0</v>
      </c>
      <c r="Y340" s="744">
        <f t="shared" ca="1" si="91"/>
        <v>0</v>
      </c>
      <c r="Z340" s="748">
        <f t="shared" ca="1" si="95"/>
        <v>-9.1499999957136424E-3</v>
      </c>
      <c r="AA340" s="498">
        <f t="shared" ca="1" si="98"/>
        <v>2152.4091500031882</v>
      </c>
      <c r="AB340" s="501">
        <f t="shared" ca="1" si="99"/>
        <v>932.40915000318819</v>
      </c>
      <c r="AC340" s="498">
        <f ca="1">IF(A340&gt;$A$1,#N/A,VLOOKUP(A340,Calculation!$B$8:$IV$881,155,FALSE))</f>
        <v>2565.0000000039299</v>
      </c>
      <c r="AD340" s="498">
        <f t="shared" ca="1" si="100"/>
        <v>-179.60000000027958</v>
      </c>
      <c r="AE340" s="498"/>
      <c r="AF340" s="501">
        <f>Calculation!G343</f>
        <v>1442.157085224482</v>
      </c>
      <c r="AG340" s="498" t="str">
        <f t="shared" si="101"/>
        <v>Yes</v>
      </c>
      <c r="AH340" s="498" t="str">
        <f t="shared" si="102"/>
        <v>Yes</v>
      </c>
      <c r="AK340" s="738">
        <v>1692.3000000023881</v>
      </c>
      <c r="AL340" s="738">
        <v>2349.2000000035014</v>
      </c>
      <c r="AM340" s="740">
        <v>2245.5500000032844</v>
      </c>
      <c r="AR340" s="552" t="e">
        <f t="shared" ca="1" si="86"/>
        <v>#DIV/0!</v>
      </c>
      <c r="AS340" s="524"/>
      <c r="AT340" s="581">
        <f>Calculation!AR343*3.068</f>
        <v>0</v>
      </c>
      <c r="AU340" s="575">
        <f ca="1">Calculation!DA343</f>
        <v>0</v>
      </c>
      <c r="AV340" s="575">
        <f>Calculation!CF343*3.068</f>
        <v>0</v>
      </c>
      <c r="AW340" s="582">
        <f>Calculation!BK343*3.068</f>
        <v>0</v>
      </c>
      <c r="AX340" s="813" t="e">
        <f t="shared" si="87"/>
        <v>#DIV/0!</v>
      </c>
      <c r="AY340" s="561"/>
      <c r="AZ340" s="534" t="e">
        <f t="shared" ca="1" si="88"/>
        <v>#DIV/0!</v>
      </c>
      <c r="BA340" s="561"/>
      <c r="BB340" s="826" t="e">
        <f t="shared" si="89"/>
        <v>#DIV/0!</v>
      </c>
      <c r="BC340" s="561"/>
      <c r="BD340" s="844" t="e">
        <f t="shared" si="90"/>
        <v>#DIV/0!</v>
      </c>
      <c r="BE340" s="553"/>
    </row>
    <row r="341" spans="1:57" ht="13.5" thickBot="1">
      <c r="A341" s="513">
        <v>40873</v>
      </c>
      <c r="B341" s="498">
        <f t="shared" si="96"/>
        <v>73.482499999999987</v>
      </c>
      <c r="C341" s="498">
        <f>Calculation!AA344</f>
        <v>0</v>
      </c>
      <c r="D341" s="498">
        <f>Calculation!Y344</f>
        <v>0</v>
      </c>
      <c r="E341" s="498">
        <f>Calculation!U344</f>
        <v>40.686100000004501</v>
      </c>
      <c r="F341" s="498">
        <f>Calculation!V344</f>
        <v>32.796399999995494</v>
      </c>
      <c r="G341" s="498">
        <f>Calculation!W344</f>
        <v>35.813050000002249</v>
      </c>
      <c r="H341" s="500">
        <f>Sheet1!H344</f>
        <v>5.0599999999999996</v>
      </c>
      <c r="I341" s="501">
        <f>Sheet1!CW344</f>
        <v>1701.1458333333333</v>
      </c>
      <c r="J341" s="501">
        <f>Sheet1!CX344</f>
        <v>1123.5416666666667</v>
      </c>
      <c r="K341" s="501">
        <f>Sheet1!CV344</f>
        <v>1096.6666666666667</v>
      </c>
      <c r="L341" s="501">
        <f>Calculation!F344</f>
        <v>250</v>
      </c>
      <c r="M341" s="501">
        <f>Calculation!E344</f>
        <v>250</v>
      </c>
      <c r="N341" s="501">
        <f>Calculation!D344</f>
        <v>300</v>
      </c>
      <c r="O341" s="500">
        <f>Sheet1!CY344</f>
        <v>1079.51</v>
      </c>
      <c r="P341" s="514">
        <f>Calculation!ET344</f>
        <v>1081</v>
      </c>
      <c r="Q341" s="498">
        <f>Calculation!DF344</f>
        <v>2353.4000000035016</v>
      </c>
      <c r="R341" s="500">
        <f t="shared" si="93"/>
        <v>1133.4000000035016</v>
      </c>
      <c r="S341" s="498">
        <f t="shared" si="97"/>
        <v>201.00000000030923</v>
      </c>
      <c r="T341" s="498">
        <f ca="1">IF(A341&gt;$A$1,#N/A,VLOOKUP(A341,Calculation!$B$8:$IV$881,30,FALSE))</f>
        <v>0</v>
      </c>
      <c r="U341" s="498">
        <f t="shared" si="94"/>
        <v>0</v>
      </c>
      <c r="V341" s="498">
        <f>Calculation!AP344</f>
        <v>0</v>
      </c>
      <c r="W341" s="498">
        <f t="shared" ca="1" si="92"/>
        <v>-9.1499999957136424E-3</v>
      </c>
      <c r="X341" s="498">
        <v>0</v>
      </c>
      <c r="Y341" s="744">
        <f t="shared" ca="1" si="91"/>
        <v>0</v>
      </c>
      <c r="Z341" s="748">
        <f t="shared" ca="1" si="95"/>
        <v>-9.1499999957136424E-3</v>
      </c>
      <c r="AA341" s="498">
        <f t="shared" ca="1" si="98"/>
        <v>2353.4091500034974</v>
      </c>
      <c r="AB341" s="501">
        <f t="shared" ca="1" si="99"/>
        <v>1133.4091500034974</v>
      </c>
      <c r="AC341" s="498">
        <f ca="1">IF(A341&gt;$A$1,#N/A,VLOOKUP(A341,Calculation!$B$8:$IV$881,155,FALSE))</f>
        <v>2394.0000000035334</v>
      </c>
      <c r="AD341" s="498">
        <f t="shared" ca="1" si="100"/>
        <v>-171.00000000039654</v>
      </c>
      <c r="AE341" s="498"/>
      <c r="AF341" s="501">
        <f>Calculation!G344</f>
        <v>1198.028240040499</v>
      </c>
      <c r="AG341" s="498" t="str">
        <f t="shared" si="101"/>
        <v>Yes</v>
      </c>
      <c r="AH341" s="498" t="str">
        <f t="shared" si="102"/>
        <v>Yes</v>
      </c>
      <c r="AK341" s="738">
        <v>1686.400000002388</v>
      </c>
      <c r="AL341" s="738">
        <v>2267.1500000033152</v>
      </c>
      <c r="AM341" s="740">
        <v>2324.0000000034697</v>
      </c>
      <c r="AR341" s="552" t="e">
        <f t="shared" ca="1" si="86"/>
        <v>#DIV/0!</v>
      </c>
      <c r="AS341" s="524"/>
      <c r="AT341" s="581">
        <f>Calculation!AR344*3.068</f>
        <v>0</v>
      </c>
      <c r="AU341" s="575">
        <f ca="1">Calculation!DA344</f>
        <v>0</v>
      </c>
      <c r="AV341" s="575">
        <f>Calculation!CF344*3.068</f>
        <v>0</v>
      </c>
      <c r="AW341" s="582">
        <f>Calculation!BK344*3.068</f>
        <v>0</v>
      </c>
      <c r="AX341" s="813" t="e">
        <f t="shared" si="87"/>
        <v>#DIV/0!</v>
      </c>
      <c r="AY341" s="561"/>
      <c r="AZ341" s="534" t="e">
        <f t="shared" ca="1" si="88"/>
        <v>#DIV/0!</v>
      </c>
      <c r="BA341" s="561"/>
      <c r="BB341" s="826" t="e">
        <f t="shared" si="89"/>
        <v>#DIV/0!</v>
      </c>
      <c r="BC341" s="561"/>
      <c r="BD341" s="844" t="e">
        <f t="shared" si="90"/>
        <v>#DIV/0!</v>
      </c>
      <c r="BE341" s="553"/>
    </row>
    <row r="342" spans="1:57" ht="13.5" thickBot="1">
      <c r="A342" s="513">
        <v>40874</v>
      </c>
      <c r="B342" s="498">
        <f t="shared" si="96"/>
        <v>79.484860000007188</v>
      </c>
      <c r="C342" s="498">
        <f>Calculation!AA345</f>
        <v>0</v>
      </c>
      <c r="D342" s="498">
        <f>Calculation!Y345</f>
        <v>0</v>
      </c>
      <c r="E342" s="498">
        <f>Calculation!U345</f>
        <v>42.202159999998194</v>
      </c>
      <c r="F342" s="498">
        <f>Calculation!V345</f>
        <v>37.282700000009001</v>
      </c>
      <c r="G342" s="498">
        <f>Calculation!W345</f>
        <v>24.489009999999887</v>
      </c>
      <c r="H342" s="500">
        <f>Sheet1!H345</f>
        <v>52.37</v>
      </c>
      <c r="I342" s="501">
        <f>Sheet1!CW345</f>
        <v>1695.2083333333333</v>
      </c>
      <c r="J342" s="501">
        <f>Sheet1!CX345</f>
        <v>1308.8541666666667</v>
      </c>
      <c r="K342" s="501">
        <f>Sheet1!CV345</f>
        <v>1205.8333333333333</v>
      </c>
      <c r="L342" s="501">
        <f>Calculation!F345</f>
        <v>250</v>
      </c>
      <c r="M342" s="501">
        <f>Calculation!E345</f>
        <v>250</v>
      </c>
      <c r="N342" s="501">
        <f>Calculation!D345</f>
        <v>300</v>
      </c>
      <c r="O342" s="500">
        <f>Sheet1!CY345</f>
        <v>1082.3900000000001</v>
      </c>
      <c r="P342" s="514">
        <f>Calculation!ET345</f>
        <v>1079.8</v>
      </c>
      <c r="Q342" s="498">
        <f>Calculation!DF345</f>
        <v>2773.6700000042438</v>
      </c>
      <c r="R342" s="500">
        <f t="shared" si="93"/>
        <v>1553.6700000042438</v>
      </c>
      <c r="S342" s="498">
        <f t="shared" si="97"/>
        <v>420.27000000074213</v>
      </c>
      <c r="T342" s="498">
        <f ca="1">IF(A342&gt;$A$1,#N/A,VLOOKUP(A342,Calculation!$B$8:$IV$881,30,FALSE))</f>
        <v>0</v>
      </c>
      <c r="U342" s="498">
        <f t="shared" si="94"/>
        <v>0</v>
      </c>
      <c r="V342" s="498">
        <f>Calculation!AP345</f>
        <v>0</v>
      </c>
      <c r="W342" s="498">
        <f t="shared" ca="1" si="92"/>
        <v>-9.1499999957136424E-3</v>
      </c>
      <c r="X342" s="498">
        <v>0</v>
      </c>
      <c r="Y342" s="744">
        <f t="shared" ca="1" si="91"/>
        <v>0</v>
      </c>
      <c r="Z342" s="748">
        <f t="shared" ca="1" si="95"/>
        <v>-9.1499999957136424E-3</v>
      </c>
      <c r="AA342" s="498">
        <f t="shared" ca="1" si="98"/>
        <v>2773.6791500042395</v>
      </c>
      <c r="AB342" s="501">
        <f t="shared" ca="1" si="99"/>
        <v>1553.6791500042395</v>
      </c>
      <c r="AC342" s="498">
        <f ca="1">IF(A342&gt;$A$1,#N/A,VLOOKUP(A342,Calculation!$B$8:$IV$881,155,FALSE))</f>
        <v>2228.0000000032537</v>
      </c>
      <c r="AD342" s="498">
        <f t="shared" ca="1" si="100"/>
        <v>-166.00000000027967</v>
      </c>
      <c r="AE342" s="498"/>
      <c r="AF342" s="501">
        <f>Calculation!G345</f>
        <v>1417.769793242936</v>
      </c>
      <c r="AG342" s="498" t="str">
        <f t="shared" si="101"/>
        <v>Yes</v>
      </c>
      <c r="AH342" s="498" t="str">
        <f t="shared" si="102"/>
        <v>Yes</v>
      </c>
      <c r="AK342" s="738">
        <v>1912.420000002779</v>
      </c>
      <c r="AL342" s="738">
        <v>1912.420000002779</v>
      </c>
      <c r="AM342" s="740">
        <v>2349.2000000035014</v>
      </c>
      <c r="AR342" s="552" t="e">
        <f t="shared" ca="1" si="86"/>
        <v>#DIV/0!</v>
      </c>
      <c r="AS342" s="524"/>
      <c r="AT342" s="581">
        <f>Calculation!AR345*3.068</f>
        <v>0</v>
      </c>
      <c r="AU342" s="575">
        <f ca="1">Calculation!DA345</f>
        <v>0</v>
      </c>
      <c r="AV342" s="575">
        <f>Calculation!CF345*3.068</f>
        <v>0</v>
      </c>
      <c r="AW342" s="582">
        <f>Calculation!BK345*3.068</f>
        <v>0</v>
      </c>
      <c r="AX342" s="813" t="e">
        <f t="shared" si="87"/>
        <v>#DIV/0!</v>
      </c>
      <c r="AY342" s="561"/>
      <c r="AZ342" s="534" t="e">
        <f t="shared" ca="1" si="88"/>
        <v>#DIV/0!</v>
      </c>
      <c r="BA342" s="561"/>
      <c r="BB342" s="826" t="e">
        <f t="shared" si="89"/>
        <v>#DIV/0!</v>
      </c>
      <c r="BC342" s="561"/>
      <c r="BD342" s="844" t="e">
        <f t="shared" si="90"/>
        <v>#DIV/0!</v>
      </c>
      <c r="BE342" s="553"/>
    </row>
    <row r="343" spans="1:57" ht="13.5" thickBot="1">
      <c r="A343" s="513">
        <v>40875</v>
      </c>
      <c r="B343" s="498">
        <f t="shared" si="96"/>
        <v>68.53209999999325</v>
      </c>
      <c r="C343" s="498">
        <f>Calculation!AA346</f>
        <v>0</v>
      </c>
      <c r="D343" s="498">
        <f>Calculation!Y346</f>
        <v>0</v>
      </c>
      <c r="E343" s="498">
        <f>Calculation!U346</f>
        <v>40.098239999997297</v>
      </c>
      <c r="F343" s="498">
        <f>Calculation!V346</f>
        <v>28.433859999995946</v>
      </c>
      <c r="G343" s="498">
        <f>Calculation!W346</f>
        <v>69.444829999999101</v>
      </c>
      <c r="H343" s="500">
        <f>Sheet1!H346</f>
        <v>19.100000000000001</v>
      </c>
      <c r="I343" s="501">
        <f>Sheet1!CW346</f>
        <v>2206.5625</v>
      </c>
      <c r="J343" s="501">
        <f>Sheet1!CX346</f>
        <v>1807.6041666666667</v>
      </c>
      <c r="K343" s="501">
        <f>Sheet1!CV346</f>
        <v>1685.8333333333333</v>
      </c>
      <c r="L343" s="501">
        <f>Calculation!F346</f>
        <v>250</v>
      </c>
      <c r="M343" s="501">
        <f>Calculation!E346</f>
        <v>250</v>
      </c>
      <c r="N343" s="501">
        <f>Calculation!D346</f>
        <v>300</v>
      </c>
      <c r="O343" s="500">
        <f>Sheet1!CY346</f>
        <v>1084.73</v>
      </c>
      <c r="P343" s="514">
        <f>Calculation!ET346</f>
        <v>1078.5999999999999</v>
      </c>
      <c r="Q343" s="498">
        <f>Calculation!DF346</f>
        <v>3143.2600000048255</v>
      </c>
      <c r="R343" s="500">
        <f t="shared" si="93"/>
        <v>1923.2600000048255</v>
      </c>
      <c r="S343" s="498">
        <f t="shared" si="97"/>
        <v>369.59000000058177</v>
      </c>
      <c r="T343" s="498">
        <f ca="1">IF(A343&gt;$A$1,#N/A,VLOOKUP(A343,Calculation!$B$8:$IV$881,30,FALSE))</f>
        <v>0</v>
      </c>
      <c r="U343" s="498">
        <f t="shared" si="94"/>
        <v>0</v>
      </c>
      <c r="V343" s="498">
        <f>Calculation!AP346</f>
        <v>0</v>
      </c>
      <c r="W343" s="498">
        <f t="shared" ca="1" si="92"/>
        <v>-9.1499999957136424E-3</v>
      </c>
      <c r="X343" s="498">
        <v>0</v>
      </c>
      <c r="Y343" s="744">
        <f t="shared" ca="1" si="91"/>
        <v>0</v>
      </c>
      <c r="Z343" s="748">
        <f t="shared" ca="1" si="95"/>
        <v>-9.1499999957136424E-3</v>
      </c>
      <c r="AA343" s="498">
        <f t="shared" ca="1" si="98"/>
        <v>3143.2691500048213</v>
      </c>
      <c r="AB343" s="501">
        <f t="shared" ca="1" si="99"/>
        <v>1923.2691500048213</v>
      </c>
      <c r="AC343" s="498">
        <f ca="1">IF(A343&gt;$A$1,#N/A,VLOOKUP(A343,Calculation!$B$8:$IV$881,155,FALSE))</f>
        <v>2069.000000003015</v>
      </c>
      <c r="AD343" s="498">
        <f t="shared" ca="1" si="100"/>
        <v>-159.00000000023874</v>
      </c>
      <c r="AE343" s="498"/>
      <c r="AF343" s="501">
        <f>Calculation!G346</f>
        <v>1872.2125567325172</v>
      </c>
      <c r="AG343" s="498" t="str">
        <f t="shared" si="101"/>
        <v>Yes</v>
      </c>
      <c r="AH343" s="498" t="str">
        <f t="shared" si="102"/>
        <v>Yes</v>
      </c>
      <c r="AK343" s="738">
        <v>2151.0500000031925</v>
      </c>
      <c r="AL343" s="738">
        <v>2536.4000000037395</v>
      </c>
      <c r="AM343" s="740">
        <v>2296.0000000034379</v>
      </c>
      <c r="AR343" s="552" t="e">
        <f t="shared" ca="1" si="86"/>
        <v>#DIV/0!</v>
      </c>
      <c r="AS343" s="524"/>
      <c r="AT343" s="581">
        <f>Calculation!AR346*3.068</f>
        <v>0</v>
      </c>
      <c r="AU343" s="575">
        <f ca="1">Calculation!DA346</f>
        <v>0</v>
      </c>
      <c r="AV343" s="575">
        <f>Calculation!CF346*3.068</f>
        <v>0</v>
      </c>
      <c r="AW343" s="582">
        <f>Calculation!BK346*3.068</f>
        <v>0</v>
      </c>
      <c r="AX343" s="813" t="e">
        <f t="shared" si="87"/>
        <v>#DIV/0!</v>
      </c>
      <c r="AY343" s="561"/>
      <c r="AZ343" s="534" t="e">
        <f t="shared" ca="1" si="88"/>
        <v>#DIV/0!</v>
      </c>
      <c r="BA343" s="561"/>
      <c r="BB343" s="826" t="e">
        <f t="shared" si="89"/>
        <v>#DIV/0!</v>
      </c>
      <c r="BC343" s="561"/>
      <c r="BD343" s="844" t="e">
        <f t="shared" si="90"/>
        <v>#DIV/0!</v>
      </c>
      <c r="BE343" s="553"/>
    </row>
    <row r="344" spans="1:57" ht="13.5" thickBot="1">
      <c r="A344" s="513">
        <v>40876</v>
      </c>
      <c r="B344" s="498">
        <f t="shared" si="96"/>
        <v>68.949790000000007</v>
      </c>
      <c r="C344" s="498">
        <f>Calculation!AA347</f>
        <v>0</v>
      </c>
      <c r="D344" s="498">
        <f>Calculation!Y347</f>
        <v>0</v>
      </c>
      <c r="E344" s="498">
        <f>Calculation!U347</f>
        <v>39.293799999999997</v>
      </c>
      <c r="F344" s="498">
        <f>Calculation!V347</f>
        <v>29.655990000000003</v>
      </c>
      <c r="G344" s="498">
        <f>Calculation!W347</f>
        <v>40.222000000000001</v>
      </c>
      <c r="H344" s="500">
        <f>Sheet1!H347</f>
        <v>5.28</v>
      </c>
      <c r="I344" s="501">
        <f>Sheet1!CW347</f>
        <v>2436.9791666666665</v>
      </c>
      <c r="J344" s="501">
        <f>Sheet1!CX347</f>
        <v>1910.4166666666667</v>
      </c>
      <c r="K344" s="501">
        <f>Sheet1!CV347</f>
        <v>1827.0833333333333</v>
      </c>
      <c r="L344" s="501">
        <f>Calculation!F347</f>
        <v>250</v>
      </c>
      <c r="M344" s="501">
        <f>Calculation!E347</f>
        <v>250</v>
      </c>
      <c r="N344" s="501">
        <f>Calculation!D347</f>
        <v>300</v>
      </c>
      <c r="O344" s="500">
        <f>Sheet1!CY347</f>
        <v>1080.28</v>
      </c>
      <c r="P344" s="514">
        <f>Calculation!ET347</f>
        <v>1077.4000000000001</v>
      </c>
      <c r="Q344" s="498">
        <f>Calculation!DF347</f>
        <v>2462.0400000036743</v>
      </c>
      <c r="R344" s="500">
        <f t="shared" si="93"/>
        <v>1242.0400000036743</v>
      </c>
      <c r="S344" s="498">
        <f t="shared" si="97"/>
        <v>-681.22000000115122</v>
      </c>
      <c r="T344" s="498">
        <f ca="1">IF(A344&gt;$A$1,#N/A,VLOOKUP(A344,Calculation!$B$8:$IV$881,30,FALSE))</f>
        <v>0</v>
      </c>
      <c r="U344" s="498">
        <f t="shared" si="94"/>
        <v>0</v>
      </c>
      <c r="V344" s="498">
        <f>Calculation!AP347</f>
        <v>0</v>
      </c>
      <c r="W344" s="498">
        <f t="shared" ca="1" si="92"/>
        <v>-9.1499999957136424E-3</v>
      </c>
      <c r="X344" s="498">
        <v>0</v>
      </c>
      <c r="Y344" s="744">
        <f t="shared" ca="1" si="91"/>
        <v>0</v>
      </c>
      <c r="Z344" s="748">
        <f t="shared" ca="1" si="95"/>
        <v>-9.1499999957136424E-3</v>
      </c>
      <c r="AA344" s="498">
        <f t="shared" ca="1" si="98"/>
        <v>2462.0491500036701</v>
      </c>
      <c r="AB344" s="501">
        <f t="shared" ca="1" si="99"/>
        <v>1242.0491500036701</v>
      </c>
      <c r="AC344" s="498">
        <f ca="1">IF(A344&gt;$A$1,#N/A,VLOOKUP(A344,Calculation!$B$8:$IV$881,155,FALSE))</f>
        <v>1916.200000002779</v>
      </c>
      <c r="AD344" s="498">
        <f t="shared" ca="1" si="100"/>
        <v>-152.80000000023597</v>
      </c>
      <c r="AE344" s="498"/>
      <c r="AF344" s="501">
        <f>Calculation!G347</f>
        <v>1483.5533282898884</v>
      </c>
      <c r="AG344" s="498" t="str">
        <f t="shared" si="101"/>
        <v>Yes</v>
      </c>
      <c r="AH344" s="498" t="str">
        <f t="shared" si="102"/>
        <v>Yes</v>
      </c>
      <c r="AK344" s="738">
        <v>2366.0000000035016</v>
      </c>
      <c r="AL344" s="738">
        <v>2983.9200000045626</v>
      </c>
      <c r="AM344" s="740">
        <v>2062.5000000029854</v>
      </c>
      <c r="AR344" s="552" t="e">
        <f t="shared" ca="1" si="86"/>
        <v>#DIV/0!</v>
      </c>
      <c r="AS344" s="524"/>
      <c r="AT344" s="581">
        <f>Calculation!AR347*3.068</f>
        <v>0</v>
      </c>
      <c r="AU344" s="575">
        <f ca="1">Calculation!DA347</f>
        <v>0</v>
      </c>
      <c r="AV344" s="575">
        <f>Calculation!CF347*3.068</f>
        <v>0</v>
      </c>
      <c r="AW344" s="582">
        <f>Calculation!BK347*3.068</f>
        <v>0</v>
      </c>
      <c r="AX344" s="813" t="e">
        <f t="shared" si="87"/>
        <v>#DIV/0!</v>
      </c>
      <c r="AY344" s="561"/>
      <c r="AZ344" s="534" t="e">
        <f t="shared" ca="1" si="88"/>
        <v>#DIV/0!</v>
      </c>
      <c r="BA344" s="561"/>
      <c r="BB344" s="826" t="e">
        <f t="shared" si="89"/>
        <v>#DIV/0!</v>
      </c>
      <c r="BC344" s="561"/>
      <c r="BD344" s="844" t="e">
        <f t="shared" si="90"/>
        <v>#DIV/0!</v>
      </c>
      <c r="BE344" s="553"/>
    </row>
    <row r="345" spans="1:57" ht="13.5" thickBot="1">
      <c r="A345" s="513">
        <v>40877</v>
      </c>
      <c r="B345" s="498">
        <f t="shared" si="96"/>
        <v>68.73321</v>
      </c>
      <c r="C345" s="498">
        <f>Calculation!AA348</f>
        <v>0</v>
      </c>
      <c r="D345" s="498">
        <f>Calculation!Y348</f>
        <v>0</v>
      </c>
      <c r="E345" s="498">
        <f>Calculation!U348</f>
        <v>38.829700000000003</v>
      </c>
      <c r="F345" s="498">
        <f>Calculation!V348</f>
        <v>29.903509999999997</v>
      </c>
      <c r="G345" s="498">
        <f>Calculation!W348</f>
        <v>29.77975</v>
      </c>
      <c r="H345" s="500">
        <f>Sheet1!H348</f>
        <v>7.09</v>
      </c>
      <c r="I345" s="501">
        <f>Sheet1!CW348</f>
        <v>2224.7916666666665</v>
      </c>
      <c r="J345" s="501">
        <f>Sheet1!CX348</f>
        <v>1643.4375</v>
      </c>
      <c r="K345" s="501">
        <f>Sheet1!CV348</f>
        <v>1582.0833333333333</v>
      </c>
      <c r="L345" s="501">
        <f>Calculation!F348</f>
        <v>250</v>
      </c>
      <c r="M345" s="501">
        <f>Calculation!E348</f>
        <v>250</v>
      </c>
      <c r="N345" s="501">
        <f>Calculation!D348</f>
        <v>300</v>
      </c>
      <c r="O345" s="500">
        <f>Sheet1!CY348</f>
        <v>1076.58</v>
      </c>
      <c r="P345" s="514">
        <f>Calculation!ET348</f>
        <v>1076.2</v>
      </c>
      <c r="Q345" s="498">
        <f>Calculation!DF348</f>
        <v>1964.0800000028075</v>
      </c>
      <c r="R345" s="500">
        <f t="shared" si="93"/>
        <v>744.08000000280754</v>
      </c>
      <c r="S345" s="498">
        <f t="shared" si="97"/>
        <v>-497.96000000086678</v>
      </c>
      <c r="T345" s="498">
        <f ca="1">IF(A345&gt;$A$1,#N/A,VLOOKUP(A345,Calculation!$B$8:$IV$881,30,FALSE))</f>
        <v>0</v>
      </c>
      <c r="U345" s="498">
        <f t="shared" si="94"/>
        <v>0</v>
      </c>
      <c r="V345" s="498">
        <f>Calculation!AP348</f>
        <v>0</v>
      </c>
      <c r="W345" s="498">
        <f t="shared" ca="1" si="92"/>
        <v>-9.1499999957136424E-3</v>
      </c>
      <c r="X345" s="498">
        <v>0</v>
      </c>
      <c r="Y345" s="744">
        <f t="shared" ca="1" si="91"/>
        <v>0</v>
      </c>
      <c r="Z345" s="748">
        <f t="shared" ca="1" si="95"/>
        <v>-9.1499999957136424E-3</v>
      </c>
      <c r="AA345" s="498">
        <f t="shared" ca="1" si="98"/>
        <v>1964.0891500028033</v>
      </c>
      <c r="AB345" s="501">
        <f t="shared" ca="1" si="99"/>
        <v>744.08915000280331</v>
      </c>
      <c r="AC345" s="498">
        <f ca="1">IF(A345&gt;$A$1,#N/A,VLOOKUP(A345,Calculation!$B$8:$IV$881,155,FALSE))</f>
        <v>1769.000000002552</v>
      </c>
      <c r="AD345" s="498">
        <f t="shared" ca="1" si="100"/>
        <v>-147.20000000022696</v>
      </c>
      <c r="AE345" s="498"/>
      <c r="AF345" s="501">
        <f>Calculation!G348</f>
        <v>1330.9688603122204</v>
      </c>
      <c r="AG345" s="498" t="str">
        <f t="shared" si="101"/>
        <v>Yes</v>
      </c>
      <c r="AH345" s="498" t="str">
        <f t="shared" si="102"/>
        <v>Yes</v>
      </c>
      <c r="AK345" s="738">
        <v>3245.8000000050806</v>
      </c>
      <c r="AL345" s="738">
        <v>2998.1400000045624</v>
      </c>
      <c r="AM345" s="740">
        <v>1744.2200000024416</v>
      </c>
      <c r="AR345" s="552" t="e">
        <f t="shared" ca="1" si="86"/>
        <v>#DIV/0!</v>
      </c>
      <c r="AS345" s="524"/>
      <c r="AT345" s="581">
        <f>Calculation!AR348*3.068</f>
        <v>0</v>
      </c>
      <c r="AU345" s="575">
        <f ca="1">Calculation!DA348</f>
        <v>0</v>
      </c>
      <c r="AV345" s="575">
        <f>Calculation!CF348*3.068</f>
        <v>0</v>
      </c>
      <c r="AW345" s="582">
        <f>Calculation!BK348*3.068</f>
        <v>0</v>
      </c>
      <c r="AX345" s="813" t="e">
        <f t="shared" si="87"/>
        <v>#DIV/0!</v>
      </c>
      <c r="AY345" s="561"/>
      <c r="AZ345" s="534" t="e">
        <f t="shared" ca="1" si="88"/>
        <v>#DIV/0!</v>
      </c>
      <c r="BA345" s="561"/>
      <c r="BB345" s="826" t="e">
        <f t="shared" si="89"/>
        <v>#DIV/0!</v>
      </c>
      <c r="BC345" s="561"/>
      <c r="BD345" s="844" t="e">
        <f t="shared" si="90"/>
        <v>#DIV/0!</v>
      </c>
      <c r="BE345" s="553"/>
    </row>
    <row r="346" spans="1:57" ht="13.5" thickBot="1">
      <c r="A346" s="513">
        <v>40878</v>
      </c>
      <c r="B346" s="498">
        <f t="shared" si="96"/>
        <v>71.517809999993688</v>
      </c>
      <c r="C346" s="498">
        <f>Calculation!AA349</f>
        <v>0</v>
      </c>
      <c r="D346" s="498">
        <f>Calculation!Y349</f>
        <v>0</v>
      </c>
      <c r="E346" s="498">
        <f>Calculation!U349</f>
        <v>41.567889999992794</v>
      </c>
      <c r="F346" s="498">
        <f>Calculation!V349</f>
        <v>29.949920000000898</v>
      </c>
      <c r="G346" s="498">
        <f>Calculation!W349</f>
        <v>63.34965000000112</v>
      </c>
      <c r="H346" s="500">
        <f>Sheet1!H349</f>
        <v>40.18</v>
      </c>
      <c r="I346" s="501">
        <f>Sheet1!CW349</f>
        <v>1839.4791666666667</v>
      </c>
      <c r="J346" s="501">
        <f>Sheet1!CX349</f>
        <v>1301.875</v>
      </c>
      <c r="K346" s="501">
        <f>Sheet1!CV349</f>
        <v>1183.3333333333333</v>
      </c>
      <c r="L346" s="501">
        <f>Calculation!F349</f>
        <v>250</v>
      </c>
      <c r="M346" s="501">
        <f>Calculation!E349</f>
        <v>250</v>
      </c>
      <c r="N346" s="501">
        <f>Calculation!D349</f>
        <v>300</v>
      </c>
      <c r="O346" s="500">
        <f>Sheet1!CY349</f>
        <v>1076.06</v>
      </c>
      <c r="P346" s="514">
        <f>Calculation!ET349</f>
        <v>1075</v>
      </c>
      <c r="Q346" s="498">
        <f>Calculation!DF349</f>
        <v>1898.5600000027503</v>
      </c>
      <c r="R346" s="500">
        <f t="shared" si="93"/>
        <v>678.56000000275026</v>
      </c>
      <c r="S346" s="498">
        <f t="shared" si="97"/>
        <v>-65.52000000005728</v>
      </c>
      <c r="T346" s="498">
        <f ca="1">IF(A346&gt;$A$1,#N/A,VLOOKUP(A346,Calculation!$B$8:$IV$881,30,FALSE))</f>
        <v>0</v>
      </c>
      <c r="U346" s="498">
        <f t="shared" si="94"/>
        <v>0</v>
      </c>
      <c r="V346" s="498">
        <f>Calculation!AP349</f>
        <v>0</v>
      </c>
      <c r="W346" s="498">
        <f t="shared" ca="1" si="92"/>
        <v>-9.1499999957136424E-3</v>
      </c>
      <c r="X346" s="498">
        <v>0</v>
      </c>
      <c r="Y346" s="744">
        <f t="shared" ca="1" si="91"/>
        <v>0</v>
      </c>
      <c r="Z346" s="748">
        <f t="shared" ca="1" si="95"/>
        <v>-9.1499999957136424E-3</v>
      </c>
      <c r="AA346" s="498">
        <f t="shared" ca="1" si="98"/>
        <v>1898.569150002746</v>
      </c>
      <c r="AB346" s="501">
        <f t="shared" ca="1" si="99"/>
        <v>678.56915000274603</v>
      </c>
      <c r="AC346" s="498">
        <f ca="1">IF(A346&gt;$A$1,#N/A,VLOOKUP(A346,Calculation!$B$8:$IV$881,155,FALSE))</f>
        <v>1686.400000002388</v>
      </c>
      <c r="AD346" s="498">
        <f t="shared" ca="1" si="100"/>
        <v>-82.600000000164073</v>
      </c>
      <c r="AE346" s="498"/>
      <c r="AF346" s="501">
        <f>Calculation!G349</f>
        <v>1150.2924861320942</v>
      </c>
      <c r="AG346" s="498" t="str">
        <f t="shared" si="101"/>
        <v>Yes</v>
      </c>
      <c r="AH346" s="498" t="str">
        <f t="shared" si="102"/>
        <v>Yes</v>
      </c>
      <c r="AK346" s="738">
        <v>2597.7800000039638</v>
      </c>
      <c r="AL346" s="738">
        <v>2387.0000000035334</v>
      </c>
      <c r="AM346" s="740">
        <v>1737.1400000024414</v>
      </c>
      <c r="AR346" s="552" t="e">
        <f t="shared" ca="1" si="86"/>
        <v>#DIV/0!</v>
      </c>
      <c r="AS346" s="524"/>
      <c r="AT346" s="581">
        <f>Calculation!AR349*3.068</f>
        <v>0</v>
      </c>
      <c r="AU346" s="575">
        <f ca="1">Calculation!DA349</f>
        <v>0</v>
      </c>
      <c r="AV346" s="575">
        <f>Calculation!CF349*3.068</f>
        <v>0</v>
      </c>
      <c r="AW346" s="582">
        <f>Calculation!BK349*3.068</f>
        <v>0</v>
      </c>
      <c r="AX346" s="813" t="e">
        <f t="shared" si="87"/>
        <v>#DIV/0!</v>
      </c>
      <c r="AY346" s="561"/>
      <c r="AZ346" s="534" t="e">
        <f t="shared" ca="1" si="88"/>
        <v>#DIV/0!</v>
      </c>
      <c r="BA346" s="561"/>
      <c r="BB346" s="826" t="e">
        <f t="shared" si="89"/>
        <v>#DIV/0!</v>
      </c>
      <c r="BC346" s="561"/>
      <c r="BD346" s="844" t="e">
        <f t="shared" si="90"/>
        <v>#DIV/0!</v>
      </c>
      <c r="BE346" s="553"/>
    </row>
    <row r="347" spans="1:57" ht="13.5" thickBot="1">
      <c r="A347" s="513">
        <v>40879</v>
      </c>
      <c r="B347" s="498">
        <f t="shared" si="96"/>
        <v>79.0671700000009</v>
      </c>
      <c r="C347" s="498">
        <f>Calculation!AA350</f>
        <v>0</v>
      </c>
      <c r="D347" s="498">
        <f>Calculation!Y350</f>
        <v>0</v>
      </c>
      <c r="E347" s="498">
        <f>Calculation!U350</f>
        <v>41.041909999998197</v>
      </c>
      <c r="F347" s="498">
        <f>Calculation!V350</f>
        <v>38.025260000002703</v>
      </c>
      <c r="G347" s="498">
        <f>Calculation!W350</f>
        <v>12.066599999998873</v>
      </c>
      <c r="H347" s="500">
        <f>Sheet1!H350</f>
        <v>5.8</v>
      </c>
      <c r="I347" s="501">
        <f>Sheet1!CW350</f>
        <v>1465.625</v>
      </c>
      <c r="J347" s="501">
        <f>Sheet1!CX350</f>
        <v>1021.5208333333334</v>
      </c>
      <c r="K347" s="501">
        <f>Sheet1!CV350</f>
        <v>1013.75</v>
      </c>
      <c r="L347" s="501">
        <f>Calculation!F350</f>
        <v>250</v>
      </c>
      <c r="M347" s="501">
        <f>Calculation!E350</f>
        <v>250</v>
      </c>
      <c r="N347" s="501">
        <f>Calculation!D350</f>
        <v>300</v>
      </c>
      <c r="O347" s="500">
        <f>Sheet1!CY350</f>
        <v>1076.6500000000001</v>
      </c>
      <c r="P347" s="514">
        <f>Calculation!ET350</f>
        <v>1074.3</v>
      </c>
      <c r="Q347" s="498">
        <f>Calculation!DF350</f>
        <v>1972.9000000028364</v>
      </c>
      <c r="R347" s="500">
        <f t="shared" si="93"/>
        <v>752.90000000283635</v>
      </c>
      <c r="S347" s="498">
        <f t="shared" si="97"/>
        <v>74.340000000086093</v>
      </c>
      <c r="T347" s="498">
        <f ca="1">IF(A347&gt;$A$1,#N/A,VLOOKUP(A347,Calculation!$B$8:$IV$881,30,FALSE))</f>
        <v>0</v>
      </c>
      <c r="U347" s="498">
        <f t="shared" si="94"/>
        <v>0</v>
      </c>
      <c r="V347" s="498">
        <f>Calculation!AP350</f>
        <v>0</v>
      </c>
      <c r="W347" s="498">
        <f t="shared" ca="1" si="92"/>
        <v>-9.1499999957136424E-3</v>
      </c>
      <c r="X347" s="498">
        <v>0</v>
      </c>
      <c r="Y347" s="744">
        <f t="shared" ca="1" si="91"/>
        <v>0</v>
      </c>
      <c r="Z347" s="748">
        <f t="shared" ca="1" si="95"/>
        <v>-9.1499999957136424E-3</v>
      </c>
      <c r="AA347" s="498">
        <f t="shared" ca="1" si="98"/>
        <v>1972.9091500028321</v>
      </c>
      <c r="AB347" s="501">
        <f t="shared" ca="1" si="99"/>
        <v>752.90915000283212</v>
      </c>
      <c r="AC347" s="498" t="e">
        <f ca="1">IF(A347&gt;$A$1,#N/A,VLOOKUP(A347,Calculation!$B$8:$IV$881,155,FALSE))</f>
        <v>#N/A</v>
      </c>
      <c r="AD347" s="498" t="e">
        <f t="shared" ca="1" si="100"/>
        <v>#N/A</v>
      </c>
      <c r="AE347" s="498"/>
      <c r="AF347" s="501">
        <f>Calculation!G350</f>
        <v>1051.2386535552628</v>
      </c>
      <c r="AG347" s="498" t="str">
        <f t="shared" si="101"/>
        <v>Yes</v>
      </c>
      <c r="AH347" s="498" t="str">
        <f t="shared" si="102"/>
        <v>Yes</v>
      </c>
      <c r="AK347" s="738">
        <v>1801.9400000025798</v>
      </c>
      <c r="AL347" s="738">
        <v>1970.3800000028361</v>
      </c>
      <c r="AM347" s="740">
        <v>1989.2800000028362</v>
      </c>
      <c r="AR347" s="552" t="e">
        <f t="shared" ca="1" si="86"/>
        <v>#DIV/0!</v>
      </c>
      <c r="AS347" s="524"/>
      <c r="AT347" s="581">
        <f>Calculation!AR350*3.068</f>
        <v>0</v>
      </c>
      <c r="AU347" s="575">
        <f ca="1">Calculation!DA350</f>
        <v>0</v>
      </c>
      <c r="AV347" s="575">
        <f>Calculation!CF350*3.068</f>
        <v>0</v>
      </c>
      <c r="AW347" s="582">
        <f>Calculation!BK350*3.068</f>
        <v>0</v>
      </c>
      <c r="AX347" s="813" t="e">
        <f t="shared" si="87"/>
        <v>#DIV/0!</v>
      </c>
      <c r="AY347" s="561"/>
      <c r="AZ347" s="534" t="e">
        <f t="shared" ca="1" si="88"/>
        <v>#DIV/0!</v>
      </c>
      <c r="BA347" s="561"/>
      <c r="BB347" s="826" t="e">
        <f t="shared" si="89"/>
        <v>#DIV/0!</v>
      </c>
      <c r="BC347" s="561"/>
      <c r="BD347" s="844" t="e">
        <f t="shared" si="90"/>
        <v>#DIV/0!</v>
      </c>
      <c r="BE347" s="553"/>
    </row>
    <row r="348" spans="1:57" ht="13.5" thickBot="1">
      <c r="A348" s="513">
        <v>40880</v>
      </c>
      <c r="B348" s="498">
        <f t="shared" si="96"/>
        <v>85.19328999999999</v>
      </c>
      <c r="C348" s="498">
        <f>Calculation!AA351</f>
        <v>0</v>
      </c>
      <c r="D348" s="498">
        <f>Calculation!Y351</f>
        <v>0</v>
      </c>
      <c r="E348" s="498">
        <f>Calculation!U351</f>
        <v>41.072850000000003</v>
      </c>
      <c r="F348" s="498">
        <f>Calculation!V351</f>
        <v>44.120439999999995</v>
      </c>
      <c r="G348" s="498">
        <f>Calculation!W351</f>
        <v>0</v>
      </c>
      <c r="H348" s="500">
        <f>Sheet1!H351</f>
        <v>2.2999999999999998</v>
      </c>
      <c r="I348" s="501">
        <f>Sheet1!CW351</f>
        <v>1323.0208333333333</v>
      </c>
      <c r="J348" s="501">
        <f>Sheet1!CX351</f>
        <v>945.02083333333337</v>
      </c>
      <c r="K348" s="501">
        <f>Sheet1!CV351</f>
        <v>969.16666666666663</v>
      </c>
      <c r="L348" s="501">
        <f>Calculation!F351</f>
        <v>250</v>
      </c>
      <c r="M348" s="501">
        <f>Calculation!E351</f>
        <v>250</v>
      </c>
      <c r="N348" s="501">
        <f>Calculation!D351</f>
        <v>300</v>
      </c>
      <c r="O348" s="500">
        <f>Sheet1!CY351</f>
        <v>1076.3399999999999</v>
      </c>
      <c r="P348" s="514" t="e">
        <f>Calculation!ET351</f>
        <v>#N/A</v>
      </c>
      <c r="Q348" s="498">
        <f>Calculation!DF351</f>
        <v>1933.8400000027789</v>
      </c>
      <c r="R348" s="500">
        <f t="shared" si="93"/>
        <v>713.84000000277888</v>
      </c>
      <c r="S348" s="498">
        <f t="shared" si="97"/>
        <v>-39.060000000057471</v>
      </c>
      <c r="T348" s="498">
        <f ca="1">IF(A348&gt;$A$1,#N/A,VLOOKUP(A348,Calculation!$B$8:$IV$881,30,FALSE))</f>
        <v>0</v>
      </c>
      <c r="U348" s="498">
        <f t="shared" si="94"/>
        <v>0</v>
      </c>
      <c r="V348" s="498">
        <f>Calculation!AP351</f>
        <v>0</v>
      </c>
      <c r="W348" s="498">
        <f t="shared" ca="1" si="92"/>
        <v>-9.1499999957136424E-3</v>
      </c>
      <c r="X348" s="498">
        <v>0</v>
      </c>
      <c r="Y348" s="744">
        <f t="shared" ca="1" si="91"/>
        <v>0</v>
      </c>
      <c r="Z348" s="748">
        <f t="shared" ca="1" si="95"/>
        <v>-9.1499999957136424E-3</v>
      </c>
      <c r="AA348" s="498">
        <f t="shared" ca="1" si="98"/>
        <v>1933.8491500027746</v>
      </c>
      <c r="AB348" s="501">
        <f t="shared" ca="1" si="99"/>
        <v>713.84915000277465</v>
      </c>
      <c r="AC348" s="498" t="e">
        <f ca="1">IF(A348&gt;$A$1,#N/A,VLOOKUP(A348,Calculation!$B$8:$IV$881,155,FALSE))</f>
        <v>#N/A</v>
      </c>
      <c r="AD348" s="498" t="e">
        <f t="shared" ca="1" si="100"/>
        <v>#N/A</v>
      </c>
      <c r="AE348" s="498"/>
      <c r="AF348" s="501">
        <f>Calculation!G351</f>
        <v>949.46923852745454</v>
      </c>
      <c r="AG348" s="498" t="str">
        <f t="shared" si="101"/>
        <v>Yes</v>
      </c>
      <c r="AH348" s="498" t="str">
        <f t="shared" si="102"/>
        <v>Yes</v>
      </c>
      <c r="AK348" s="738">
        <v>1898.5600000027503</v>
      </c>
      <c r="AL348" s="738">
        <v>1761.9200000024684</v>
      </c>
      <c r="AM348" s="740">
        <v>2062.5000000029854</v>
      </c>
      <c r="AR348" s="552" t="e">
        <f t="shared" ca="1" si="86"/>
        <v>#DIV/0!</v>
      </c>
      <c r="AS348" s="524"/>
      <c r="AT348" s="581">
        <f>Calculation!AR351*3.068</f>
        <v>0</v>
      </c>
      <c r="AU348" s="575">
        <f ca="1">Calculation!DA351</f>
        <v>0</v>
      </c>
      <c r="AV348" s="575">
        <f>Calculation!CF351*3.068</f>
        <v>0</v>
      </c>
      <c r="AW348" s="582">
        <f>Calculation!BK351*3.068</f>
        <v>0</v>
      </c>
      <c r="AX348" s="813" t="e">
        <f t="shared" si="87"/>
        <v>#DIV/0!</v>
      </c>
      <c r="AY348" s="561"/>
      <c r="AZ348" s="534" t="e">
        <f t="shared" ca="1" si="88"/>
        <v>#DIV/0!</v>
      </c>
      <c r="BA348" s="561"/>
      <c r="BB348" s="826" t="e">
        <f t="shared" si="89"/>
        <v>#DIV/0!</v>
      </c>
      <c r="BC348" s="561"/>
      <c r="BD348" s="844" t="e">
        <f t="shared" si="90"/>
        <v>#DIV/0!</v>
      </c>
      <c r="BE348" s="553"/>
    </row>
    <row r="349" spans="1:57" ht="13.5" thickBot="1">
      <c r="A349" s="513">
        <v>40881</v>
      </c>
      <c r="B349" s="498">
        <f t="shared" si="96"/>
        <v>85.038589999999999</v>
      </c>
      <c r="C349" s="498">
        <f>Calculation!AA352</f>
        <v>0</v>
      </c>
      <c r="D349" s="498">
        <f>Calculation!Y352</f>
        <v>0</v>
      </c>
      <c r="E349" s="498">
        <f>Calculation!U352</f>
        <v>41.057379999999995</v>
      </c>
      <c r="F349" s="498">
        <f>Calculation!V352</f>
        <v>43.981209999999997</v>
      </c>
      <c r="G349" s="498">
        <f>Calculation!W352</f>
        <v>0</v>
      </c>
      <c r="H349" s="500">
        <f>Sheet1!H352</f>
        <v>2.6</v>
      </c>
      <c r="I349" s="501">
        <f>Sheet1!CW352</f>
        <v>1264.2708333333333</v>
      </c>
      <c r="J349" s="501">
        <f>Sheet1!CX352</f>
        <v>876.88541666666663</v>
      </c>
      <c r="K349" s="501">
        <f>Sheet1!CV352</f>
        <v>903.29166666666663</v>
      </c>
      <c r="L349" s="501">
        <f>Calculation!F352</f>
        <v>250</v>
      </c>
      <c r="M349" s="501">
        <f>Calculation!E352</f>
        <v>250</v>
      </c>
      <c r="N349" s="501">
        <f>Calculation!D352</f>
        <v>300</v>
      </c>
      <c r="O349" s="500">
        <f>Sheet1!CY352</f>
        <v>1075.6199999999999</v>
      </c>
      <c r="P349" s="514" t="e">
        <f>Calculation!ET352</f>
        <v>#N/A</v>
      </c>
      <c r="Q349" s="498">
        <f>Calculation!DF352</f>
        <v>1844.6400000026076</v>
      </c>
      <c r="R349" s="500">
        <f t="shared" si="93"/>
        <v>624.64000000260762</v>
      </c>
      <c r="S349" s="498">
        <f t="shared" si="97"/>
        <v>-89.200000000171258</v>
      </c>
      <c r="T349" s="498">
        <f ca="1">IF(A349&gt;$A$1,#N/A,VLOOKUP(A349,Calculation!$B$8:$IV$881,30,FALSE))</f>
        <v>0</v>
      </c>
      <c r="U349" s="498">
        <f t="shared" si="94"/>
        <v>0</v>
      </c>
      <c r="V349" s="498">
        <f>Calculation!AP352</f>
        <v>0</v>
      </c>
      <c r="W349" s="498">
        <f t="shared" ca="1" si="92"/>
        <v>-9.1499999957136424E-3</v>
      </c>
      <c r="X349" s="498">
        <v>0</v>
      </c>
      <c r="Y349" s="744">
        <f t="shared" ca="1" si="91"/>
        <v>0</v>
      </c>
      <c r="Z349" s="748">
        <f t="shared" ca="1" si="95"/>
        <v>-9.1499999957136424E-3</v>
      </c>
      <c r="AA349" s="498">
        <f t="shared" ca="1" si="98"/>
        <v>1844.6491500026034</v>
      </c>
      <c r="AB349" s="501">
        <f t="shared" ca="1" si="99"/>
        <v>624.64915000260339</v>
      </c>
      <c r="AC349" s="498" t="e">
        <f ca="1">IF(A349&gt;$A$1,#N/A,VLOOKUP(A349,Calculation!$B$8:$IV$881,155,FALSE))</f>
        <v>#N/A</v>
      </c>
      <c r="AD349" s="498" t="e">
        <f t="shared" ca="1" si="100"/>
        <v>#N/A</v>
      </c>
      <c r="AE349" s="498"/>
      <c r="AF349" s="501">
        <f>Calculation!G352</f>
        <v>858.30931669179461</v>
      </c>
      <c r="AG349" s="498" t="str">
        <f t="shared" si="101"/>
        <v>Yes</v>
      </c>
      <c r="AH349" s="498" t="str">
        <f t="shared" si="102"/>
        <v>Yes</v>
      </c>
      <c r="AK349" s="738">
        <v>1860.5000000026353</v>
      </c>
      <c r="AL349" s="738">
        <v>1693.4800000023879</v>
      </c>
      <c r="AM349" s="740">
        <v>2054.7000000029852</v>
      </c>
      <c r="AR349" s="554" t="e">
        <f t="shared" ca="1" si="86"/>
        <v>#DIV/0!</v>
      </c>
      <c r="AS349" s="524"/>
      <c r="AT349" s="583">
        <f>Calculation!AR352*3.068</f>
        <v>0</v>
      </c>
      <c r="AU349" s="576">
        <f ca="1">Calculation!DA352</f>
        <v>0</v>
      </c>
      <c r="AV349" s="576">
        <f>Calculation!CF352*3.068</f>
        <v>0</v>
      </c>
      <c r="AW349" s="584">
        <f>Calculation!BK352*3.068</f>
        <v>0</v>
      </c>
      <c r="AX349" s="814" t="e">
        <f t="shared" si="87"/>
        <v>#DIV/0!</v>
      </c>
      <c r="AY349" s="561"/>
      <c r="AZ349" s="535" t="e">
        <f t="shared" ca="1" si="88"/>
        <v>#DIV/0!</v>
      </c>
      <c r="BA349" s="561"/>
      <c r="BB349" s="829" t="e">
        <f t="shared" si="89"/>
        <v>#DIV/0!</v>
      </c>
      <c r="BC349" s="561"/>
      <c r="BD349" s="845" t="e">
        <f t="shared" si="90"/>
        <v>#DIV/0!</v>
      </c>
      <c r="BE349" s="553"/>
    </row>
    <row r="350" spans="1:57" ht="13.5" thickBot="1">
      <c r="A350" s="513">
        <v>40882</v>
      </c>
      <c r="B350" s="498">
        <f t="shared" si="96"/>
        <v>85.703799999997756</v>
      </c>
      <c r="C350" s="498">
        <f>Calculation!AA353</f>
        <v>0</v>
      </c>
      <c r="D350" s="498">
        <f>Calculation!Y353</f>
        <v>0</v>
      </c>
      <c r="E350" s="498">
        <f>Calculation!U353</f>
        <v>41.459600000000002</v>
      </c>
      <c r="F350" s="498">
        <f>Calculation!V353</f>
        <v>44.244199999997747</v>
      </c>
      <c r="G350" s="498">
        <f>Calculation!W353</f>
        <v>0</v>
      </c>
      <c r="H350" s="500">
        <f>Sheet1!H353</f>
        <v>3.34</v>
      </c>
      <c r="I350" s="501">
        <f>Sheet1!CW353</f>
        <v>1117.7083333333333</v>
      </c>
      <c r="J350" s="501">
        <f>Sheet1!CX353</f>
        <v>761.77083333333337</v>
      </c>
      <c r="K350" s="501">
        <f>Sheet1!CV353</f>
        <v>796.41666666666663</v>
      </c>
      <c r="L350" s="501">
        <f>Calculation!F353</f>
        <v>250</v>
      </c>
      <c r="M350" s="501">
        <f>Calculation!E353</f>
        <v>250</v>
      </c>
      <c r="N350" s="501">
        <f>Calculation!D353</f>
        <v>300</v>
      </c>
      <c r="O350" s="500">
        <f>Sheet1!CY353</f>
        <v>1075.72</v>
      </c>
      <c r="P350" s="514" t="e">
        <f>Calculation!ET353</f>
        <v>#N/A</v>
      </c>
      <c r="Q350" s="498">
        <f>Calculation!DF353</f>
        <v>1856.8400000026354</v>
      </c>
      <c r="R350" s="500">
        <f t="shared" si="93"/>
        <v>636.84000000263541</v>
      </c>
      <c r="S350" s="498">
        <f t="shared" si="97"/>
        <v>12.200000000027785</v>
      </c>
      <c r="T350" s="498">
        <f ca="1">IF(A350&gt;$A$1,#N/A,VLOOKUP(A350,Calculation!$B$8:$IV$881,30,FALSE))</f>
        <v>0</v>
      </c>
      <c r="U350" s="498">
        <f t="shared" si="94"/>
        <v>0</v>
      </c>
      <c r="V350" s="498">
        <f>Calculation!AP353</f>
        <v>0</v>
      </c>
      <c r="W350" s="498">
        <f t="shared" ca="1" si="92"/>
        <v>-9.1499999957136424E-3</v>
      </c>
      <c r="X350" s="498">
        <v>0</v>
      </c>
      <c r="Y350" s="744">
        <f t="shared" ca="1" si="91"/>
        <v>0</v>
      </c>
      <c r="Z350" s="748">
        <f t="shared" ca="1" si="95"/>
        <v>-9.1499999957136424E-3</v>
      </c>
      <c r="AA350" s="498">
        <f t="shared" ca="1" si="98"/>
        <v>1856.8491500026312</v>
      </c>
      <c r="AB350" s="501">
        <f t="shared" ca="1" si="99"/>
        <v>636.84915000263118</v>
      </c>
      <c r="AC350" s="498" t="e">
        <f ca="1">IF(A350&gt;$A$1,#N/A,VLOOKUP(A350,Calculation!$B$8:$IV$881,155,FALSE))</f>
        <v>#N/A</v>
      </c>
      <c r="AD350" s="498" t="e">
        <f t="shared" ca="1" si="100"/>
        <v>#N/A</v>
      </c>
      <c r="AE350" s="498"/>
      <c r="AF350" s="501">
        <f>Calculation!G353</f>
        <v>802.56896116995847</v>
      </c>
      <c r="AG350" s="498" t="str">
        <f t="shared" si="101"/>
        <v>Yes</v>
      </c>
      <c r="AH350" s="498" t="str">
        <f t="shared" si="102"/>
        <v>Yes</v>
      </c>
      <c r="AK350" s="738">
        <v>1799.5000000025798</v>
      </c>
      <c r="AL350" s="738">
        <v>1753.6600000024416</v>
      </c>
      <c r="AM350" s="740">
        <v>1960.3000000028076</v>
      </c>
      <c r="AR350" s="549"/>
      <c r="AS350" s="524"/>
      <c r="AT350" s="585"/>
      <c r="AU350" s="577"/>
      <c r="AV350" s="577"/>
      <c r="AW350" s="586"/>
      <c r="AY350" s="563"/>
      <c r="AZ350" s="562"/>
      <c r="BA350" s="563"/>
      <c r="BB350" s="562"/>
      <c r="BC350" s="563"/>
      <c r="BD350" s="562"/>
      <c r="BE350" s="556"/>
    </row>
    <row r="351" spans="1:57" ht="13.5" thickBot="1">
      <c r="A351" s="513">
        <v>40883</v>
      </c>
      <c r="B351" s="498">
        <f t="shared" si="96"/>
        <v>84.466199999999986</v>
      </c>
      <c r="C351" s="498">
        <f>Calculation!AA354</f>
        <v>0</v>
      </c>
      <c r="D351" s="498">
        <f>Calculation!Y354</f>
        <v>0</v>
      </c>
      <c r="E351" s="498">
        <f>Calculation!U354</f>
        <v>42.078399999999995</v>
      </c>
      <c r="F351" s="498">
        <f>Calculation!V354</f>
        <v>42.387799999999999</v>
      </c>
      <c r="G351" s="498">
        <f>Calculation!W354</f>
        <v>0</v>
      </c>
      <c r="H351" s="500">
        <f>Sheet1!H354</f>
        <v>2.95</v>
      </c>
      <c r="I351" s="501">
        <f>Sheet1!CW354</f>
        <v>1032.8125</v>
      </c>
      <c r="J351" s="501">
        <f>Sheet1!CX354</f>
        <v>702.54166666666663</v>
      </c>
      <c r="K351" s="501">
        <f>Sheet1!CV354</f>
        <v>740.66666666666663</v>
      </c>
      <c r="L351" s="501">
        <f>Calculation!F354</f>
        <v>250</v>
      </c>
      <c r="M351" s="501">
        <f>Calculation!E354</f>
        <v>250</v>
      </c>
      <c r="N351" s="501">
        <f>Calculation!D354</f>
        <v>300</v>
      </c>
      <c r="O351" s="500">
        <f>Sheet1!CY354</f>
        <v>1075.79</v>
      </c>
      <c r="P351" s="514" t="e">
        <f>Calculation!ET354</f>
        <v>#N/A</v>
      </c>
      <c r="Q351" s="498">
        <f>Calculation!DF354</f>
        <v>1865.3800000026351</v>
      </c>
      <c r="R351" s="500">
        <f t="shared" si="93"/>
        <v>645.38000000263514</v>
      </c>
      <c r="S351" s="498">
        <f t="shared" si="97"/>
        <v>8.5399999999997362</v>
      </c>
      <c r="T351" s="498">
        <f ca="1">IF(A351&gt;$A$1,#N/A,VLOOKUP(A351,Calculation!$B$8:$IV$881,30,FALSE))</f>
        <v>0</v>
      </c>
      <c r="U351" s="498">
        <f t="shared" si="94"/>
        <v>0</v>
      </c>
      <c r="V351" s="498">
        <f>Calculation!AP354</f>
        <v>0</v>
      </c>
      <c r="W351" s="498">
        <f t="shared" ca="1" si="92"/>
        <v>-9.1499999957136424E-3</v>
      </c>
      <c r="X351" s="498">
        <v>0</v>
      </c>
      <c r="Y351" s="744">
        <f t="shared" ca="1" si="91"/>
        <v>0</v>
      </c>
      <c r="Z351" s="748">
        <f t="shared" ca="1" si="95"/>
        <v>-9.1499999957136424E-3</v>
      </c>
      <c r="AA351" s="498">
        <f t="shared" ca="1" si="98"/>
        <v>1865.3891500026309</v>
      </c>
      <c r="AB351" s="501">
        <f t="shared" ca="1" si="99"/>
        <v>645.38915000263091</v>
      </c>
      <c r="AC351" s="498" t="e">
        <f ca="1">IF(A351&gt;$A$1,#N/A,VLOOKUP(A351,Calculation!$B$8:$IV$881,155,FALSE))</f>
        <v>#N/A</v>
      </c>
      <c r="AD351" s="498" t="e">
        <f t="shared" ca="1" si="100"/>
        <v>#N/A</v>
      </c>
      <c r="AE351" s="498"/>
      <c r="AF351" s="501">
        <f>Calculation!G354</f>
        <v>744.97327281896105</v>
      </c>
      <c r="AG351" s="498" t="str">
        <f t="shared" si="101"/>
        <v>Yes</v>
      </c>
      <c r="AH351" s="498" t="str">
        <f t="shared" si="102"/>
        <v>Yes</v>
      </c>
      <c r="AK351" s="738">
        <v>1891.0000000027503</v>
      </c>
      <c r="AL351" s="738">
        <v>1752.4800000024416</v>
      </c>
      <c r="AM351" s="740">
        <v>1880.020000002663</v>
      </c>
      <c r="AR351" s="549"/>
      <c r="AS351" s="524"/>
      <c r="AT351" s="585"/>
      <c r="AU351" s="577"/>
      <c r="AV351" s="577"/>
      <c r="AW351" s="586"/>
      <c r="AY351" s="563"/>
      <c r="AZ351" s="562"/>
      <c r="BA351" s="563"/>
      <c r="BB351" s="562"/>
      <c r="BC351" s="563"/>
      <c r="BD351" s="562"/>
      <c r="BE351" s="556"/>
    </row>
    <row r="352" spans="1:57" ht="13.5" thickBot="1">
      <c r="A352" s="513">
        <v>40884</v>
      </c>
      <c r="B352" s="498">
        <f t="shared" si="96"/>
        <v>81.495960000000451</v>
      </c>
      <c r="C352" s="498">
        <f>Calculation!AA355</f>
        <v>0</v>
      </c>
      <c r="D352" s="498">
        <f>Calculation!Y355</f>
        <v>0</v>
      </c>
      <c r="E352" s="498">
        <f>Calculation!U355</f>
        <v>43.315999999999995</v>
      </c>
      <c r="F352" s="498">
        <f>Calculation!V355</f>
        <v>38.179960000000449</v>
      </c>
      <c r="G352" s="498">
        <f>Calculation!W355</f>
        <v>0</v>
      </c>
      <c r="H352" s="500">
        <f>Sheet1!H355</f>
        <v>1.9</v>
      </c>
      <c r="I352" s="501">
        <f>Sheet1!CW355</f>
        <v>956.78125</v>
      </c>
      <c r="J352" s="501">
        <f>Sheet1!CX355</f>
        <v>659.30208333333337</v>
      </c>
      <c r="K352" s="501">
        <f>Sheet1!CV355</f>
        <v>695.70833333333337</v>
      </c>
      <c r="L352" s="501">
        <f>Calculation!F355</f>
        <v>250</v>
      </c>
      <c r="M352" s="501">
        <f>Calculation!E355</f>
        <v>250</v>
      </c>
      <c r="N352" s="501">
        <f>Calculation!D355</f>
        <v>300</v>
      </c>
      <c r="O352" s="500">
        <f>Sheet1!CY355</f>
        <v>1075.75</v>
      </c>
      <c r="P352" s="514" t="e">
        <f>Calculation!ET355</f>
        <v>#N/A</v>
      </c>
      <c r="Q352" s="498">
        <f>Calculation!DF355</f>
        <v>1860.5000000026353</v>
      </c>
      <c r="R352" s="500">
        <f t="shared" si="93"/>
        <v>640.50000000263526</v>
      </c>
      <c r="S352" s="498">
        <f t="shared" si="97"/>
        <v>-4.8799999999998818</v>
      </c>
      <c r="T352" s="498">
        <f ca="1">IF(A352&gt;$A$1,#N/A,VLOOKUP(A352,Calculation!$B$8:$IV$881,30,FALSE))</f>
        <v>0</v>
      </c>
      <c r="U352" s="498">
        <f t="shared" si="94"/>
        <v>0</v>
      </c>
      <c r="V352" s="498">
        <f>Calculation!AP355</f>
        <v>0</v>
      </c>
      <c r="W352" s="498">
        <f t="shared" ca="1" si="92"/>
        <v>-9.1499999957136424E-3</v>
      </c>
      <c r="X352" s="498">
        <v>0</v>
      </c>
      <c r="Y352" s="744">
        <f t="shared" ca="1" si="91"/>
        <v>0</v>
      </c>
      <c r="Z352" s="748">
        <f t="shared" ca="1" si="95"/>
        <v>-9.1499999957136424E-3</v>
      </c>
      <c r="AA352" s="498">
        <f t="shared" ca="1" si="98"/>
        <v>1860.509150002631</v>
      </c>
      <c r="AB352" s="501">
        <f t="shared" ca="1" si="99"/>
        <v>640.50915000263103</v>
      </c>
      <c r="AC352" s="498" t="e">
        <f ca="1">IF(A352&gt;$A$1,#N/A,VLOOKUP(A352,Calculation!$B$8:$IV$881,155,FALSE))</f>
        <v>#N/A</v>
      </c>
      <c r="AD352" s="498" t="e">
        <f t="shared" ca="1" si="100"/>
        <v>#N/A</v>
      </c>
      <c r="AE352" s="498"/>
      <c r="AF352" s="501">
        <f>Calculation!G355</f>
        <v>693.24741553202227</v>
      </c>
      <c r="AG352" s="498" t="str">
        <f t="shared" si="101"/>
        <v>Yes</v>
      </c>
      <c r="AH352" s="498" t="str">
        <f t="shared" si="102"/>
        <v>Yes</v>
      </c>
      <c r="AK352" s="738">
        <v>1991.8000000028362</v>
      </c>
      <c r="AL352" s="738">
        <v>1699.3800000024148</v>
      </c>
      <c r="AM352" s="740">
        <v>1907.3800000027788</v>
      </c>
      <c r="AR352" s="549"/>
      <c r="AS352" s="524"/>
      <c r="AT352" s="585"/>
      <c r="AU352" s="577"/>
      <c r="AV352" s="577"/>
      <c r="AW352" s="586"/>
      <c r="AY352" s="563"/>
      <c r="AZ352" s="562"/>
      <c r="BA352" s="563"/>
      <c r="BB352" s="562"/>
      <c r="BC352" s="563"/>
      <c r="BD352" s="562"/>
      <c r="BE352" s="556"/>
    </row>
    <row r="353" spans="1:57" ht="13.5" thickBot="1">
      <c r="A353" s="513">
        <v>40885</v>
      </c>
      <c r="B353" s="498">
        <f t="shared" si="96"/>
        <v>78.989819999999995</v>
      </c>
      <c r="C353" s="498">
        <f>Calculation!AA356</f>
        <v>0</v>
      </c>
      <c r="D353" s="498">
        <f>Calculation!Y356</f>
        <v>0</v>
      </c>
      <c r="E353" s="498">
        <f>Calculation!U356</f>
        <v>41.768999999999998</v>
      </c>
      <c r="F353" s="498">
        <f>Calculation!V356</f>
        <v>37.220819999999996</v>
      </c>
      <c r="G353" s="498">
        <f>Calculation!W356</f>
        <v>0</v>
      </c>
      <c r="H353" s="500">
        <f>Sheet1!H356</f>
        <v>2.2400000000000002</v>
      </c>
      <c r="I353" s="501">
        <f>Sheet1!CW356</f>
        <v>937.64583333333337</v>
      </c>
      <c r="J353" s="501">
        <f>Sheet1!CX356</f>
        <v>630.70833333333337</v>
      </c>
      <c r="K353" s="501">
        <f>Sheet1!CV356</f>
        <v>663.25</v>
      </c>
      <c r="L353" s="501">
        <f>Calculation!F356</f>
        <v>250</v>
      </c>
      <c r="M353" s="501">
        <f>Calculation!E356</f>
        <v>250</v>
      </c>
      <c r="N353" s="501">
        <f>Calculation!D356</f>
        <v>300</v>
      </c>
      <c r="O353" s="500">
        <f>Sheet1!CY356</f>
        <v>1075.4000000000001</v>
      </c>
      <c r="P353" s="514" t="e">
        <f>Calculation!ET356</f>
        <v>#N/A</v>
      </c>
      <c r="Q353" s="498">
        <f>Calculation!DF356</f>
        <v>1817.8000000026075</v>
      </c>
      <c r="R353" s="500">
        <f t="shared" si="93"/>
        <v>597.80000000260748</v>
      </c>
      <c r="S353" s="498">
        <f t="shared" si="97"/>
        <v>-42.700000000027785</v>
      </c>
      <c r="T353" s="498">
        <f ca="1">IF(A353&gt;$A$1,#N/A,VLOOKUP(A353,Calculation!$B$8:$IV$881,30,FALSE))</f>
        <v>0</v>
      </c>
      <c r="U353" s="498">
        <f t="shared" si="94"/>
        <v>0</v>
      </c>
      <c r="V353" s="498">
        <f>Calculation!AP356</f>
        <v>0</v>
      </c>
      <c r="W353" s="498">
        <f t="shared" ca="1" si="92"/>
        <v>-9.1499999957136424E-3</v>
      </c>
      <c r="X353" s="498">
        <v>0</v>
      </c>
      <c r="Y353" s="744">
        <f t="shared" ca="1" si="91"/>
        <v>0</v>
      </c>
      <c r="Z353" s="748">
        <f t="shared" ca="1" si="95"/>
        <v>-9.1499999957136424E-3</v>
      </c>
      <c r="AA353" s="498">
        <f t="shared" ca="1" si="98"/>
        <v>1817.8091500026032</v>
      </c>
      <c r="AB353" s="501">
        <f t="shared" ca="1" si="99"/>
        <v>597.80915000260325</v>
      </c>
      <c r="AC353" s="498" t="e">
        <f ca="1">IF(A353&gt;$A$1,#N/A,VLOOKUP(A353,Calculation!$B$8:$IV$881,155,FALSE))</f>
        <v>#N/A</v>
      </c>
      <c r="AD353" s="498" t="e">
        <f t="shared" ca="1" si="100"/>
        <v>#N/A</v>
      </c>
      <c r="AE353" s="498"/>
      <c r="AF353" s="501">
        <f>Calculation!G356</f>
        <v>641.71696923851346</v>
      </c>
      <c r="AG353" s="498" t="str">
        <f t="shared" si="101"/>
        <v>Yes</v>
      </c>
      <c r="AH353" s="498" t="str">
        <f t="shared" si="102"/>
        <v>Yes</v>
      </c>
      <c r="AK353" s="738">
        <v>2052.1000000029853</v>
      </c>
      <c r="AL353" s="738">
        <v>1636.1800000022549</v>
      </c>
      <c r="AM353" s="740">
        <v>1907.3800000027788</v>
      </c>
      <c r="AR353" s="549"/>
      <c r="AS353" s="524"/>
      <c r="AT353" s="585"/>
      <c r="AU353" s="577"/>
      <c r="AV353" s="577"/>
      <c r="AW353" s="586"/>
      <c r="AY353" s="563"/>
      <c r="AZ353" s="562"/>
      <c r="BA353" s="563"/>
      <c r="BB353" s="562"/>
      <c r="BC353" s="563"/>
      <c r="BD353" s="562"/>
      <c r="BE353" s="556"/>
    </row>
    <row r="354" spans="1:57" ht="13.5" thickBot="1">
      <c r="A354" s="513">
        <v>40886</v>
      </c>
      <c r="B354" s="498">
        <f t="shared" si="96"/>
        <v>80.443999999999988</v>
      </c>
      <c r="C354" s="498">
        <f>Calculation!AA357</f>
        <v>0</v>
      </c>
      <c r="D354" s="498">
        <f>Calculation!Y357</f>
        <v>0</v>
      </c>
      <c r="E354" s="498">
        <f>Calculation!U357</f>
        <v>42.542499999999997</v>
      </c>
      <c r="F354" s="498">
        <f>Calculation!V357</f>
        <v>37.901499999999999</v>
      </c>
      <c r="G354" s="498">
        <f>Calculation!W357</f>
        <v>0</v>
      </c>
      <c r="H354" s="500">
        <f>Sheet1!H357</f>
        <v>2.06</v>
      </c>
      <c r="I354" s="501">
        <f>Sheet1!CW357</f>
        <v>859.38541666666663</v>
      </c>
      <c r="J354" s="501">
        <f>Sheet1!CX357</f>
        <v>544.16666666666663</v>
      </c>
      <c r="K354" s="501">
        <f>Sheet1!CV357</f>
        <v>568.125</v>
      </c>
      <c r="L354" s="501">
        <f>Calculation!F357</f>
        <v>250</v>
      </c>
      <c r="M354" s="501">
        <f>Calculation!E357</f>
        <v>250</v>
      </c>
      <c r="N354" s="501">
        <f>Calculation!D357</f>
        <v>300</v>
      </c>
      <c r="O354" s="500">
        <f>Sheet1!CY357</f>
        <v>1076.1400000000001</v>
      </c>
      <c r="P354" s="514" t="e">
        <f>Calculation!ET357</f>
        <v>#N/A</v>
      </c>
      <c r="Q354" s="498">
        <f>Calculation!DF357</f>
        <v>1908.6400000027788</v>
      </c>
      <c r="R354" s="500">
        <f t="shared" si="93"/>
        <v>688.64000000277883</v>
      </c>
      <c r="S354" s="498">
        <f t="shared" si="97"/>
        <v>90.840000000171358</v>
      </c>
      <c r="T354" s="498">
        <f ca="1">IF(A354&gt;$A$1,#N/A,VLOOKUP(A354,Calculation!$B$8:$IV$881,30,FALSE))</f>
        <v>0</v>
      </c>
      <c r="U354" s="498">
        <f t="shared" si="94"/>
        <v>0</v>
      </c>
      <c r="V354" s="498">
        <f>Calculation!AP357</f>
        <v>0</v>
      </c>
      <c r="W354" s="498">
        <f t="shared" ca="1" si="92"/>
        <v>-9.1499999957136424E-3</v>
      </c>
      <c r="X354" s="498">
        <v>0</v>
      </c>
      <c r="Y354" s="744">
        <f t="shared" ca="1" si="91"/>
        <v>0</v>
      </c>
      <c r="Z354" s="748">
        <f t="shared" ca="1" si="95"/>
        <v>-9.1499999957136424E-3</v>
      </c>
      <c r="AA354" s="498">
        <f t="shared" ca="1" si="98"/>
        <v>1908.6491500027746</v>
      </c>
      <c r="AB354" s="501">
        <f t="shared" ca="1" si="99"/>
        <v>688.6491500027746</v>
      </c>
      <c r="AC354" s="498" t="e">
        <f ca="1">IF(A354&gt;$A$1,#N/A,VLOOKUP(A354,Calculation!$B$8:$IV$881,155,FALSE))</f>
        <v>#N/A</v>
      </c>
      <c r="AD354" s="498" t="e">
        <f t="shared" ca="1" si="100"/>
        <v>#N/A</v>
      </c>
      <c r="AE354" s="498"/>
      <c r="AF354" s="501">
        <f>Calculation!G357</f>
        <v>613.93437972777178</v>
      </c>
      <c r="AG354" s="498" t="str">
        <f t="shared" si="101"/>
        <v>Yes</v>
      </c>
      <c r="AH354" s="498" t="str">
        <f t="shared" si="102"/>
        <v>Yes</v>
      </c>
      <c r="AK354" s="738">
        <v>1845.8600000026354</v>
      </c>
      <c r="AL354" s="738">
        <v>1771.4400000025521</v>
      </c>
      <c r="AM354" s="740">
        <v>2161.8500000031922</v>
      </c>
      <c r="AR354" s="549"/>
      <c r="AS354" s="524"/>
      <c r="AT354" s="585"/>
      <c r="AU354" s="577"/>
      <c r="AV354" s="577"/>
      <c r="AW354" s="586"/>
      <c r="AY354" s="563"/>
      <c r="AZ354" s="562"/>
      <c r="BA354" s="563"/>
      <c r="BB354" s="562"/>
      <c r="BC354" s="563"/>
      <c r="BD354" s="562"/>
      <c r="BE354" s="556"/>
    </row>
    <row r="355" spans="1:57" ht="13.5" thickBot="1">
      <c r="A355" s="513">
        <v>40887</v>
      </c>
      <c r="B355" s="498">
        <f t="shared" si="96"/>
        <v>78.742299999990991</v>
      </c>
      <c r="C355" s="498">
        <f>Calculation!AA358</f>
        <v>0</v>
      </c>
      <c r="D355" s="498">
        <f>Calculation!Y358</f>
        <v>0</v>
      </c>
      <c r="E355" s="498">
        <f>Calculation!U358</f>
        <v>42.387799999990996</v>
      </c>
      <c r="F355" s="498">
        <f>Calculation!V358</f>
        <v>36.354500000000002</v>
      </c>
      <c r="G355" s="498">
        <f>Calculation!W358</f>
        <v>0</v>
      </c>
      <c r="H355" s="500">
        <f>Sheet1!H358</f>
        <v>1.6</v>
      </c>
      <c r="I355" s="501">
        <f>Sheet1!CW358</f>
        <v>765.9375</v>
      </c>
      <c r="J355" s="501">
        <f>Sheet1!CX358</f>
        <v>499.96875</v>
      </c>
      <c r="K355" s="501">
        <f>Sheet1!CV358</f>
        <v>529</v>
      </c>
      <c r="L355" s="501">
        <f>Calculation!F358</f>
        <v>250</v>
      </c>
      <c r="M355" s="501">
        <f>Calculation!E358</f>
        <v>250</v>
      </c>
      <c r="N355" s="501">
        <f>Calculation!D358</f>
        <v>300</v>
      </c>
      <c r="O355" s="500">
        <f>Sheet1!CY358</f>
        <v>1076.95</v>
      </c>
      <c r="P355" s="514" t="e">
        <f>Calculation!ET358</f>
        <v>#N/A</v>
      </c>
      <c r="Q355" s="498">
        <f>Calculation!DF358</f>
        <v>2010.700000002865</v>
      </c>
      <c r="R355" s="500">
        <f t="shared" si="93"/>
        <v>790.70000000286495</v>
      </c>
      <c r="S355" s="498">
        <f t="shared" si="97"/>
        <v>102.06000000008612</v>
      </c>
      <c r="T355" s="498">
        <f ca="1">IF(A355&gt;$A$1,#N/A,VLOOKUP(A355,Calculation!$B$8:$IV$881,30,FALSE))</f>
        <v>0</v>
      </c>
      <c r="U355" s="498">
        <f t="shared" si="94"/>
        <v>0</v>
      </c>
      <c r="V355" s="498">
        <f>Calculation!AP358</f>
        <v>0</v>
      </c>
      <c r="W355" s="498">
        <f t="shared" ca="1" si="92"/>
        <v>-9.1499999957136424E-3</v>
      </c>
      <c r="X355" s="498">
        <v>0</v>
      </c>
      <c r="Y355" s="744">
        <f t="shared" ca="1" si="91"/>
        <v>0</v>
      </c>
      <c r="Z355" s="748">
        <f t="shared" ca="1" si="95"/>
        <v>-9.1499999957136424E-3</v>
      </c>
      <c r="AA355" s="498">
        <f t="shared" ca="1" si="98"/>
        <v>2010.7091500028607</v>
      </c>
      <c r="AB355" s="501">
        <f t="shared" ca="1" si="99"/>
        <v>790.70915000286072</v>
      </c>
      <c r="AC355" s="498" t="e">
        <f ca="1">IF(A355&gt;$A$1,#N/A,VLOOKUP(A355,Calculation!$B$8:$IV$881,155,FALSE))</f>
        <v>#N/A</v>
      </c>
      <c r="AD355" s="498" t="e">
        <f t="shared" ca="1" si="100"/>
        <v>#N/A</v>
      </c>
      <c r="AE355" s="498"/>
      <c r="AF355" s="501">
        <f>Calculation!G358</f>
        <v>580.46747352500563</v>
      </c>
      <c r="AG355" s="498" t="str">
        <f t="shared" si="101"/>
        <v>Yes</v>
      </c>
      <c r="AH355" s="498" t="str">
        <f t="shared" si="102"/>
        <v>Yes</v>
      </c>
      <c r="AK355" s="738">
        <v>1705.2800000024147</v>
      </c>
      <c r="AL355" s="738">
        <v>1836.1000000026074</v>
      </c>
      <c r="AM355" s="740">
        <v>2649.9300000039975</v>
      </c>
      <c r="AR355" s="549"/>
      <c r="AS355" s="524"/>
      <c r="AT355" s="585"/>
      <c r="AU355" s="577"/>
      <c r="AV355" s="577"/>
      <c r="AW355" s="586"/>
      <c r="AY355" s="563"/>
      <c r="AZ355" s="562"/>
      <c r="BA355" s="563"/>
      <c r="BB355" s="562"/>
      <c r="BC355" s="563"/>
      <c r="BD355" s="562"/>
      <c r="BE355" s="556"/>
    </row>
    <row r="356" spans="1:57" ht="13.5" thickBot="1">
      <c r="A356" s="513">
        <v>40888</v>
      </c>
      <c r="B356" s="498">
        <f t="shared" si="96"/>
        <v>79.361100000018013</v>
      </c>
      <c r="C356" s="498">
        <f>Calculation!AA359</f>
        <v>0</v>
      </c>
      <c r="D356" s="498">
        <f>Calculation!Y359</f>
        <v>0</v>
      </c>
      <c r="E356" s="498">
        <f>Calculation!U359</f>
        <v>42.078400000018007</v>
      </c>
      <c r="F356" s="498">
        <f>Calculation!V359</f>
        <v>37.282699999999998</v>
      </c>
      <c r="G356" s="498">
        <f>Calculation!W359</f>
        <v>0</v>
      </c>
      <c r="H356" s="500">
        <f>Sheet1!H359</f>
        <v>2.06</v>
      </c>
      <c r="I356" s="501">
        <f>Sheet1!CW359</f>
        <v>762.66666666666663</v>
      </c>
      <c r="J356" s="501">
        <f>Sheet1!CX359</f>
        <v>545.16666666666663</v>
      </c>
      <c r="K356" s="501">
        <f>Sheet1!CV359</f>
        <v>583.20833333333337</v>
      </c>
      <c r="L356" s="501">
        <f>Calculation!F359</f>
        <v>250</v>
      </c>
      <c r="M356" s="501">
        <f>Calculation!E359</f>
        <v>250</v>
      </c>
      <c r="N356" s="501">
        <f>Calculation!D359</f>
        <v>300</v>
      </c>
      <c r="O356" s="500">
        <f>Sheet1!CY359</f>
        <v>1076.3900000000001</v>
      </c>
      <c r="P356" s="514" t="e">
        <f>Calculation!ET359</f>
        <v>#N/A</v>
      </c>
      <c r="Q356" s="498">
        <f>Calculation!DF359</f>
        <v>1940.1400000028077</v>
      </c>
      <c r="R356" s="500">
        <f t="shared" si="93"/>
        <v>720.14000000280771</v>
      </c>
      <c r="S356" s="498">
        <f t="shared" si="97"/>
        <v>-70.560000000057244</v>
      </c>
      <c r="T356" s="498">
        <f ca="1">IF(A356&gt;$A$1,#N/A,VLOOKUP(A356,Calculation!$B$8:$IV$881,30,FALSE))</f>
        <v>0</v>
      </c>
      <c r="U356" s="498">
        <f t="shared" si="94"/>
        <v>0</v>
      </c>
      <c r="V356" s="498">
        <f>Calculation!AP359</f>
        <v>0</v>
      </c>
      <c r="W356" s="498">
        <f t="shared" ca="1" si="92"/>
        <v>-9.1499999957136424E-3</v>
      </c>
      <c r="X356" s="498">
        <v>0</v>
      </c>
      <c r="Y356" s="744">
        <f t="shared" ca="1" si="91"/>
        <v>0</v>
      </c>
      <c r="Z356" s="748">
        <f t="shared" ca="1" si="95"/>
        <v>-9.1499999957136424E-3</v>
      </c>
      <c r="AA356" s="498">
        <f t="shared" ca="1" si="98"/>
        <v>1940.1491500028035</v>
      </c>
      <c r="AB356" s="501">
        <f t="shared" ca="1" si="99"/>
        <v>720.14915000280348</v>
      </c>
      <c r="AC356" s="498" t="e">
        <f ca="1">IF(A356&gt;$A$1,#N/A,VLOOKUP(A356,Calculation!$B$8:$IV$881,155,FALSE))</f>
        <v>#N/A</v>
      </c>
      <c r="AD356" s="498" t="e">
        <f t="shared" ca="1" si="100"/>
        <v>#N/A</v>
      </c>
      <c r="AE356" s="498"/>
      <c r="AF356" s="501">
        <f>Calculation!G359</f>
        <v>547.6258825012319</v>
      </c>
      <c r="AG356" s="498" t="str">
        <f t="shared" si="101"/>
        <v>Yes</v>
      </c>
      <c r="AH356" s="498" t="str">
        <f t="shared" si="102"/>
        <v>Yes</v>
      </c>
      <c r="AK356" s="738">
        <v>1948.9600000028076</v>
      </c>
      <c r="AL356" s="738">
        <v>1894.7800000027503</v>
      </c>
      <c r="AM356" s="740">
        <v>2206.4000000032538</v>
      </c>
      <c r="AR356" s="549"/>
      <c r="AS356" s="524"/>
      <c r="AT356" s="585"/>
      <c r="AU356" s="577"/>
      <c r="AV356" s="577"/>
      <c r="AW356" s="586"/>
      <c r="AY356" s="563"/>
      <c r="AZ356" s="562"/>
      <c r="BA356" s="563"/>
      <c r="BB356" s="562"/>
      <c r="BC356" s="563"/>
      <c r="BD356" s="562"/>
      <c r="BE356" s="556"/>
    </row>
    <row r="357" spans="1:57" ht="13.5" thickBot="1">
      <c r="A357" s="513">
        <v>40889</v>
      </c>
      <c r="B357" s="498">
        <f t="shared" si="96"/>
        <v>83.971159999990988</v>
      </c>
      <c r="C357" s="498">
        <f>Calculation!AA360</f>
        <v>0</v>
      </c>
      <c r="D357" s="498">
        <f>Calculation!Y360</f>
        <v>0</v>
      </c>
      <c r="E357" s="498">
        <f>Calculation!U360</f>
        <v>41.61429999999099</v>
      </c>
      <c r="F357" s="498">
        <f>Calculation!V360</f>
        <v>42.356859999999998</v>
      </c>
      <c r="G357" s="498">
        <f>Calculation!W360</f>
        <v>0</v>
      </c>
      <c r="H357" s="500">
        <f>Sheet1!H360</f>
        <v>0.7</v>
      </c>
      <c r="I357" s="501">
        <f>Sheet1!CW360</f>
        <v>822.02083333333337</v>
      </c>
      <c r="J357" s="501">
        <f>Sheet1!CX360</f>
        <v>533.16666666666663</v>
      </c>
      <c r="K357" s="501">
        <f>Sheet1!CV360</f>
        <v>567.25</v>
      </c>
      <c r="L357" s="501">
        <f>Calculation!F360</f>
        <v>250</v>
      </c>
      <c r="M357" s="501">
        <f>Calculation!E360</f>
        <v>250</v>
      </c>
      <c r="N357" s="501">
        <f>Calculation!D360</f>
        <v>300</v>
      </c>
      <c r="O357" s="500">
        <f>Sheet1!CY360</f>
        <v>1075.46</v>
      </c>
      <c r="P357" s="514" t="e">
        <f>Calculation!ET360</f>
        <v>#N/A</v>
      </c>
      <c r="Q357" s="498">
        <f>Calculation!DF360</f>
        <v>1825.1200000026074</v>
      </c>
      <c r="R357" s="500">
        <f t="shared" si="93"/>
        <v>605.12000000260741</v>
      </c>
      <c r="S357" s="498">
        <f t="shared" si="97"/>
        <v>-115.0200000002003</v>
      </c>
      <c r="T357" s="498">
        <f ca="1">IF(A357&gt;$A$1,#N/A,VLOOKUP(A357,Calculation!$B$8:$IV$881,30,FALSE))</f>
        <v>0</v>
      </c>
      <c r="U357" s="498">
        <f t="shared" si="94"/>
        <v>0</v>
      </c>
      <c r="V357" s="498">
        <f>Calculation!AP360</f>
        <v>0</v>
      </c>
      <c r="W357" s="498">
        <f t="shared" ca="1" si="92"/>
        <v>-9.1499999957136424E-3</v>
      </c>
      <c r="X357" s="498">
        <v>0</v>
      </c>
      <c r="Y357" s="744">
        <f t="shared" ca="1" si="91"/>
        <v>0</v>
      </c>
      <c r="Z357" s="748">
        <f t="shared" ca="1" si="95"/>
        <v>-9.1499999957136424E-3</v>
      </c>
      <c r="AA357" s="498">
        <f t="shared" ca="1" si="98"/>
        <v>1825.1291500026032</v>
      </c>
      <c r="AB357" s="501">
        <f t="shared" ca="1" si="99"/>
        <v>605.12915000260318</v>
      </c>
      <c r="AC357" s="498" t="e">
        <f ca="1">IF(A357&gt;$A$1,#N/A,VLOOKUP(A357,Calculation!$B$8:$IV$881,155,FALSE))</f>
        <v>#N/A</v>
      </c>
      <c r="AD357" s="498" t="e">
        <f t="shared" ca="1" si="100"/>
        <v>#N/A</v>
      </c>
      <c r="AE357" s="498"/>
      <c r="AF357" s="501">
        <f>Calculation!G360</f>
        <v>509.24697428129082</v>
      </c>
      <c r="AG357" s="498" t="str">
        <f t="shared" si="101"/>
        <v>Yes</v>
      </c>
      <c r="AH357" s="498" t="str">
        <f t="shared" si="102"/>
        <v>Yes</v>
      </c>
      <c r="AK357" s="738">
        <v>2033.9000000029855</v>
      </c>
      <c r="AL357" s="738">
        <v>1995.5800000028362</v>
      </c>
      <c r="AM357" s="740">
        <v>2788.970000004244</v>
      </c>
      <c r="AR357" s="549"/>
      <c r="AS357" s="524"/>
      <c r="AT357" s="585"/>
      <c r="AU357" s="577"/>
      <c r="AV357" s="577"/>
      <c r="AW357" s="586"/>
      <c r="AY357" s="563"/>
      <c r="AZ357" s="562"/>
      <c r="BA357" s="563"/>
      <c r="BB357" s="562"/>
      <c r="BC357" s="563"/>
      <c r="BD357" s="562"/>
      <c r="BE357" s="556"/>
    </row>
    <row r="358" spans="1:57" ht="13.5" thickBot="1">
      <c r="A358" s="513">
        <v>40890</v>
      </c>
      <c r="B358" s="498">
        <f t="shared" si="96"/>
        <v>82.300399999999996</v>
      </c>
      <c r="C358" s="498">
        <f>Calculation!AA361</f>
        <v>0</v>
      </c>
      <c r="D358" s="498">
        <f>Calculation!Y361</f>
        <v>0</v>
      </c>
      <c r="E358" s="498">
        <f>Calculation!U361</f>
        <v>42.2331</v>
      </c>
      <c r="F358" s="498">
        <f>Calculation!V361</f>
        <v>40.067299999999996</v>
      </c>
      <c r="G358" s="498">
        <f>Calculation!W361</f>
        <v>0</v>
      </c>
      <c r="H358" s="500">
        <f>Sheet1!H361</f>
        <v>2</v>
      </c>
      <c r="I358" s="501">
        <f>Sheet1!CW361</f>
        <v>730.70833333333337</v>
      </c>
      <c r="J358" s="501">
        <f>Sheet1!CX361</f>
        <v>472.05208333333331</v>
      </c>
      <c r="K358" s="501">
        <f>Sheet1!CV361</f>
        <v>507.125</v>
      </c>
      <c r="L358" s="501">
        <f>Calculation!F361</f>
        <v>250</v>
      </c>
      <c r="M358" s="501">
        <f>Calculation!E361</f>
        <v>250</v>
      </c>
      <c r="N358" s="501">
        <f>Calculation!D361</f>
        <v>300</v>
      </c>
      <c r="O358" s="500">
        <f>Sheet1!CY361</f>
        <v>1075.19</v>
      </c>
      <c r="P358" s="514" t="e">
        <f>Calculation!ET361</f>
        <v>#N/A</v>
      </c>
      <c r="Q358" s="498">
        <f>Calculation!DF361</f>
        <v>1792.1800000025798</v>
      </c>
      <c r="R358" s="500">
        <f t="shared" si="93"/>
        <v>572.18000000257985</v>
      </c>
      <c r="S358" s="498">
        <f t="shared" si="97"/>
        <v>-32.940000000027567</v>
      </c>
      <c r="T358" s="498">
        <f ca="1">IF(A358&gt;$A$1,#N/A,VLOOKUP(A358,Calculation!$B$8:$IV$881,30,FALSE))</f>
        <v>0</v>
      </c>
      <c r="U358" s="498">
        <f t="shared" si="94"/>
        <v>0</v>
      </c>
      <c r="V358" s="498">
        <f>Calculation!AP361</f>
        <v>0</v>
      </c>
      <c r="W358" s="498">
        <f t="shared" ca="1" si="92"/>
        <v>-9.1499999957136424E-3</v>
      </c>
      <c r="X358" s="498">
        <v>0</v>
      </c>
      <c r="Y358" s="744">
        <f t="shared" ca="1" si="91"/>
        <v>0</v>
      </c>
      <c r="Z358" s="748">
        <f t="shared" ca="1" si="95"/>
        <v>-9.1499999957136424E-3</v>
      </c>
      <c r="AA358" s="498">
        <f t="shared" ca="1" si="98"/>
        <v>1792.1891500025756</v>
      </c>
      <c r="AB358" s="501">
        <f t="shared" ca="1" si="99"/>
        <v>572.18915000257562</v>
      </c>
      <c r="AC358" s="498" t="e">
        <f ca="1">IF(A358&gt;$A$1,#N/A,VLOOKUP(A358,Calculation!$B$8:$IV$881,155,FALSE))</f>
        <v>#N/A</v>
      </c>
      <c r="AD358" s="498" t="e">
        <f t="shared" ca="1" si="100"/>
        <v>#N/A</v>
      </c>
      <c r="AE358" s="498"/>
      <c r="AF358" s="501">
        <f>Calculation!G361</f>
        <v>490.51380484113588</v>
      </c>
      <c r="AG358" s="498" t="str">
        <f t="shared" si="101"/>
        <v>Yes</v>
      </c>
      <c r="AH358" s="498" t="str">
        <f t="shared" si="102"/>
        <v>Yes</v>
      </c>
      <c r="AK358" s="738">
        <v>2122.3000000030447</v>
      </c>
      <c r="AL358" s="738">
        <v>2039.1000000029853</v>
      </c>
      <c r="AM358" s="740">
        <v>5261.3800000089932</v>
      </c>
      <c r="AR358" s="549"/>
      <c r="AS358" s="524"/>
      <c r="AT358" s="585"/>
      <c r="AU358" s="577"/>
      <c r="AV358" s="577"/>
      <c r="AW358" s="586"/>
      <c r="AY358" s="563"/>
      <c r="AZ358" s="562"/>
      <c r="BA358" s="563"/>
      <c r="BB358" s="562"/>
      <c r="BC358" s="563"/>
      <c r="BD358" s="562"/>
      <c r="BE358" s="556"/>
    </row>
    <row r="359" spans="1:57" ht="13.5" thickBot="1">
      <c r="A359" s="513">
        <v>40891</v>
      </c>
      <c r="B359" s="498">
        <f t="shared" si="96"/>
        <v>80.969979999994592</v>
      </c>
      <c r="C359" s="498">
        <f>Calculation!AA362</f>
        <v>0</v>
      </c>
      <c r="D359" s="498">
        <f>Calculation!Y362</f>
        <v>0</v>
      </c>
      <c r="E359" s="498">
        <f>Calculation!U362</f>
        <v>41.181139999992794</v>
      </c>
      <c r="F359" s="498">
        <f>Calculation!V362</f>
        <v>39.788840000001798</v>
      </c>
      <c r="G359" s="498">
        <f>Calculation!W362</f>
        <v>0</v>
      </c>
      <c r="H359" s="500">
        <f>Sheet1!H362</f>
        <v>3</v>
      </c>
      <c r="I359" s="501">
        <f>Sheet1!CW362</f>
        <v>688.67708333333337</v>
      </c>
      <c r="J359" s="501">
        <f>Sheet1!CX362</f>
        <v>439.19791666666669</v>
      </c>
      <c r="K359" s="501">
        <f>Sheet1!CV362</f>
        <v>472.83333333333331</v>
      </c>
      <c r="L359" s="501">
        <f>Calculation!F362</f>
        <v>250</v>
      </c>
      <c r="M359" s="501">
        <f>Calculation!E362</f>
        <v>250</v>
      </c>
      <c r="N359" s="501">
        <f>Calculation!D362</f>
        <v>300</v>
      </c>
      <c r="O359" s="500">
        <f>Sheet1!CY362</f>
        <v>1075.21</v>
      </c>
      <c r="P359" s="514" t="e">
        <f>Calculation!ET362</f>
        <v>#N/A</v>
      </c>
      <c r="Q359" s="498">
        <f>Calculation!DF362</f>
        <v>1794.6200000025799</v>
      </c>
      <c r="R359" s="500">
        <f t="shared" si="93"/>
        <v>574.6200000025799</v>
      </c>
      <c r="S359" s="498">
        <f t="shared" si="97"/>
        <v>2.4400000000000546</v>
      </c>
      <c r="T359" s="498">
        <f ca="1">IF(A359&gt;$A$1,#N/A,VLOOKUP(A359,Calculation!$B$8:$IV$881,30,FALSE))</f>
        <v>0</v>
      </c>
      <c r="U359" s="498">
        <f t="shared" si="94"/>
        <v>0</v>
      </c>
      <c r="V359" s="498">
        <f>Calculation!AP362</f>
        <v>0</v>
      </c>
      <c r="W359" s="498">
        <f t="shared" ca="1" si="92"/>
        <v>-9.1499999957136424E-3</v>
      </c>
      <c r="X359" s="498">
        <v>0</v>
      </c>
      <c r="Y359" s="744">
        <f t="shared" ca="1" si="91"/>
        <v>0</v>
      </c>
      <c r="Z359" s="748">
        <f t="shared" ca="1" si="95"/>
        <v>-9.1499999957136424E-3</v>
      </c>
      <c r="AA359" s="498">
        <f t="shared" ca="1" si="98"/>
        <v>1794.6291500025757</v>
      </c>
      <c r="AB359" s="501">
        <f t="shared" ca="1" si="99"/>
        <v>574.62915000257567</v>
      </c>
      <c r="AC359" s="498" t="e">
        <f ca="1">IF(A359&gt;$A$1,#N/A,VLOOKUP(A359,Calculation!$B$8:$IV$881,155,FALSE))</f>
        <v>#N/A</v>
      </c>
      <c r="AD359" s="498" t="e">
        <f t="shared" ca="1" si="100"/>
        <v>#N/A</v>
      </c>
      <c r="AE359" s="498"/>
      <c r="AF359" s="501">
        <f>Calculation!G362</f>
        <v>474.06379223398892</v>
      </c>
      <c r="AG359" s="498" t="str">
        <f t="shared" si="101"/>
        <v>Yes</v>
      </c>
      <c r="AH359" s="498" t="str">
        <f t="shared" si="102"/>
        <v>Yes</v>
      </c>
      <c r="AK359" s="738">
        <v>1945.1800000028077</v>
      </c>
      <c r="AL359" s="738">
        <v>1995.5800000028362</v>
      </c>
      <c r="AM359" s="740">
        <v>5333.7000000090438</v>
      </c>
      <c r="AR359" s="549"/>
      <c r="AS359" s="524"/>
      <c r="AT359" s="585"/>
      <c r="AU359" s="577"/>
      <c r="AV359" s="577"/>
      <c r="AW359" s="586"/>
      <c r="AY359" s="563"/>
      <c r="AZ359" s="562"/>
      <c r="BA359" s="563"/>
      <c r="BB359" s="562"/>
      <c r="BC359" s="563"/>
      <c r="BD359" s="562"/>
      <c r="BE359" s="556"/>
    </row>
    <row r="360" spans="1:57" ht="13.5" thickBot="1">
      <c r="A360" s="513">
        <v>40892</v>
      </c>
      <c r="B360" s="498">
        <f t="shared" si="96"/>
        <v>85.208760000002698</v>
      </c>
      <c r="C360" s="498">
        <f>Calculation!AA363</f>
        <v>0</v>
      </c>
      <c r="D360" s="498">
        <f>Calculation!Y363</f>
        <v>0.23495766176264676</v>
      </c>
      <c r="E360" s="498">
        <f>Calculation!U363</f>
        <v>42.155749999999998</v>
      </c>
      <c r="F360" s="498">
        <f>Calculation!V363</f>
        <v>43.053010000002701</v>
      </c>
      <c r="G360" s="498">
        <f>Calculation!W363</f>
        <v>0</v>
      </c>
      <c r="H360" s="500">
        <f>Sheet1!H363</f>
        <v>2.5099999999999998</v>
      </c>
      <c r="I360" s="501">
        <f>Sheet1!CW363</f>
        <v>660.82291666666663</v>
      </c>
      <c r="J360" s="501">
        <f>Sheet1!CX363</f>
        <v>425.0625</v>
      </c>
      <c r="K360" s="501">
        <f>Sheet1!CV363</f>
        <v>462.33333333333331</v>
      </c>
      <c r="L360" s="501">
        <f>Calculation!F363</f>
        <v>250</v>
      </c>
      <c r="M360" s="501">
        <f>Calculation!E363</f>
        <v>250</v>
      </c>
      <c r="N360" s="501">
        <f>Calculation!D363</f>
        <v>300</v>
      </c>
      <c r="O360" s="500">
        <f>Sheet1!CY363</f>
        <v>1075.22</v>
      </c>
      <c r="P360" s="514" t="e">
        <f>Calculation!ET363</f>
        <v>#N/A</v>
      </c>
      <c r="Q360" s="498">
        <f>Calculation!DF363</f>
        <v>1795.8400000025799</v>
      </c>
      <c r="R360" s="500">
        <f t="shared" si="93"/>
        <v>575.84000000257993</v>
      </c>
      <c r="S360" s="498">
        <f t="shared" si="97"/>
        <v>1.2200000000000273</v>
      </c>
      <c r="T360" s="498">
        <f ca="1">IF(A360&gt;$A$1,#N/A,VLOOKUP(A360,Calculation!$B$8:$IV$881,30,FALSE))</f>
        <v>0</v>
      </c>
      <c r="U360" s="498">
        <f t="shared" si="94"/>
        <v>0.23495766176264676</v>
      </c>
      <c r="V360" s="498">
        <f>Calculation!AP363</f>
        <v>0</v>
      </c>
      <c r="W360" s="498">
        <f t="shared" ca="1" si="92"/>
        <v>-9.1499999957136424E-3</v>
      </c>
      <c r="X360" s="498">
        <v>0</v>
      </c>
      <c r="Y360" s="744">
        <f t="shared" ca="1" si="91"/>
        <v>0</v>
      </c>
      <c r="Z360" s="748">
        <f t="shared" ca="1" si="95"/>
        <v>-9.1499999957136424E-3</v>
      </c>
      <c r="AA360" s="498">
        <f t="shared" ca="1" si="98"/>
        <v>1795.8491500025757</v>
      </c>
      <c r="AB360" s="501">
        <f t="shared" ca="1" si="99"/>
        <v>575.8491500025757</v>
      </c>
      <c r="AC360" s="498" t="e">
        <f ca="1">IF(A360&gt;$A$1,#N/A,VLOOKUP(A360,Calculation!$B$8:$IV$881,155,FALSE))</f>
        <v>#N/A</v>
      </c>
      <c r="AD360" s="498" t="e">
        <f t="shared" ca="1" si="100"/>
        <v>#N/A</v>
      </c>
      <c r="AE360" s="498"/>
      <c r="AF360" s="501">
        <f>Calculation!G363</f>
        <v>462.94856278366109</v>
      </c>
      <c r="AG360" s="498" t="str">
        <f t="shared" si="101"/>
        <v>Yes</v>
      </c>
      <c r="AH360" s="498" t="str">
        <f t="shared" si="102"/>
        <v>Yes</v>
      </c>
      <c r="AK360" s="738">
        <v>1621.360000002255</v>
      </c>
      <c r="AL360" s="738">
        <v>1644.1600000022809</v>
      </c>
      <c r="AM360" s="740">
        <v>3306.2800000051566</v>
      </c>
      <c r="AR360" s="549"/>
      <c r="AS360" s="524"/>
      <c r="AT360" s="585"/>
      <c r="AU360" s="577"/>
      <c r="AV360" s="577"/>
      <c r="AW360" s="586"/>
      <c r="AY360" s="563"/>
      <c r="AZ360" s="562"/>
      <c r="BA360" s="563"/>
      <c r="BB360" s="562"/>
      <c r="BC360" s="563"/>
      <c r="BD360" s="562"/>
      <c r="BE360" s="556"/>
    </row>
    <row r="361" spans="1:57" ht="13.5" thickBot="1">
      <c r="A361" s="513">
        <v>40893</v>
      </c>
      <c r="B361" s="498">
        <f t="shared" si="96"/>
        <v>88.318230000007205</v>
      </c>
      <c r="C361" s="498">
        <f>Calculation!AA364</f>
        <v>0</v>
      </c>
      <c r="D361" s="498">
        <f>Calculation!Y364</f>
        <v>4.1693436256685246</v>
      </c>
      <c r="E361" s="498">
        <f>Calculation!U364</f>
        <v>41.970110000007203</v>
      </c>
      <c r="F361" s="498">
        <f>Calculation!V364</f>
        <v>46.348120000000002</v>
      </c>
      <c r="G361" s="498">
        <f>Calculation!W364</f>
        <v>0</v>
      </c>
      <c r="H361" s="500">
        <f>Sheet1!H364</f>
        <v>1.73</v>
      </c>
      <c r="I361" s="501">
        <f>Sheet1!CW364</f>
        <v>649.46875</v>
      </c>
      <c r="J361" s="501">
        <f>Sheet1!CX364</f>
        <v>403.98958333333331</v>
      </c>
      <c r="K361" s="501">
        <f>Sheet1!CV364</f>
        <v>444.66666666666669</v>
      </c>
      <c r="L361" s="501">
        <f>Calculation!F364</f>
        <v>250</v>
      </c>
      <c r="M361" s="501">
        <f>Calculation!E364</f>
        <v>250</v>
      </c>
      <c r="N361" s="501">
        <f>Calculation!D364</f>
        <v>300</v>
      </c>
      <c r="O361" s="500">
        <f>Sheet1!CY364</f>
        <v>1075.28</v>
      </c>
      <c r="P361" s="514" t="e">
        <f>Calculation!ET364</f>
        <v>#N/A</v>
      </c>
      <c r="Q361" s="498">
        <f>Calculation!DF364</f>
        <v>1803.1600000025796</v>
      </c>
      <c r="R361" s="500">
        <f t="shared" si="93"/>
        <v>583.16000000257964</v>
      </c>
      <c r="S361" s="498">
        <f t="shared" si="97"/>
        <v>7.319999999999709</v>
      </c>
      <c r="T361" s="498">
        <f ca="1">IF(A361&gt;$A$1,#N/A,VLOOKUP(A361,Calculation!$B$8:$IV$881,30,FALSE))</f>
        <v>0</v>
      </c>
      <c r="U361" s="498">
        <f t="shared" si="94"/>
        <v>4.1693436256685246</v>
      </c>
      <c r="V361" s="498">
        <f>Calculation!AP364</f>
        <v>0</v>
      </c>
      <c r="W361" s="498">
        <f t="shared" ca="1" si="92"/>
        <v>-9.1499999957136424E-3</v>
      </c>
      <c r="X361" s="498">
        <v>0</v>
      </c>
      <c r="Y361" s="744">
        <f t="shared" ca="1" si="91"/>
        <v>0</v>
      </c>
      <c r="Z361" s="748">
        <f t="shared" ca="1" si="95"/>
        <v>-9.1499999957136424E-3</v>
      </c>
      <c r="AA361" s="498">
        <f t="shared" ca="1" si="98"/>
        <v>1803.1691500025754</v>
      </c>
      <c r="AB361" s="501">
        <f t="shared" ca="1" si="99"/>
        <v>583.16915000257541</v>
      </c>
      <c r="AC361" s="498" t="e">
        <f ca="1">IF(A361&gt;$A$1,#N/A,VLOOKUP(A361,Calculation!$B$8:$IV$881,155,FALSE))</f>
        <v>#N/A</v>
      </c>
      <c r="AD361" s="498" t="e">
        <f t="shared" ca="1" si="100"/>
        <v>#N/A</v>
      </c>
      <c r="AE361" s="498"/>
      <c r="AF361" s="501">
        <f>Calculation!G364</f>
        <v>448.35804336863328</v>
      </c>
      <c r="AG361" s="498" t="str">
        <f t="shared" si="101"/>
        <v>Yes</v>
      </c>
      <c r="AH361" s="498" t="str">
        <f t="shared" si="102"/>
        <v>Yes</v>
      </c>
      <c r="AK361" s="738">
        <v>1812.9200000025796</v>
      </c>
      <c r="AL361" s="738">
        <v>1632.7600000022551</v>
      </c>
      <c r="AM361" s="740">
        <v>2037.8000000029854</v>
      </c>
      <c r="AR361" s="549"/>
      <c r="AS361" s="524"/>
      <c r="AT361" s="585"/>
      <c r="AU361" s="577"/>
      <c r="AV361" s="577"/>
      <c r="AW361" s="586"/>
      <c r="AY361" s="563"/>
      <c r="AZ361" s="562"/>
      <c r="BA361" s="563"/>
      <c r="BB361" s="562"/>
      <c r="BC361" s="563"/>
      <c r="BD361" s="562"/>
      <c r="BE361" s="556"/>
    </row>
    <row r="362" spans="1:57" ht="13.5" thickBot="1">
      <c r="A362" s="513">
        <v>40894</v>
      </c>
      <c r="B362" s="498">
        <f t="shared" si="96"/>
        <v>87.900539999999992</v>
      </c>
      <c r="C362" s="498">
        <f>Calculation!AA365</f>
        <v>0</v>
      </c>
      <c r="D362" s="498">
        <f>Calculation!Y365</f>
        <v>7.2425880699412533</v>
      </c>
      <c r="E362" s="498">
        <f>Calculation!U365</f>
        <v>43.315999999999995</v>
      </c>
      <c r="F362" s="498">
        <f>Calculation!V365</f>
        <v>44.584539999999997</v>
      </c>
      <c r="G362" s="498">
        <f>Calculation!W365</f>
        <v>0</v>
      </c>
      <c r="H362" s="500">
        <f>Sheet1!H365</f>
        <v>1.7</v>
      </c>
      <c r="I362" s="501">
        <f>Sheet1!CW365</f>
        <v>617.61458333333337</v>
      </c>
      <c r="J362" s="501">
        <f>Sheet1!CX365</f>
        <v>391.95833333333331</v>
      </c>
      <c r="K362" s="501">
        <f>Sheet1!CV365</f>
        <v>435.875</v>
      </c>
      <c r="L362" s="501">
        <f>Calculation!F365</f>
        <v>250</v>
      </c>
      <c r="M362" s="501">
        <f>Calculation!E365</f>
        <v>250</v>
      </c>
      <c r="N362" s="501">
        <f>Calculation!D365</f>
        <v>300</v>
      </c>
      <c r="O362" s="500">
        <f>Sheet1!CY365</f>
        <v>1075.18</v>
      </c>
      <c r="P362" s="514" t="e">
        <f>Calculation!ET365</f>
        <v>#N/A</v>
      </c>
      <c r="Q362" s="498">
        <f>Calculation!DF365</f>
        <v>1790.9600000025798</v>
      </c>
      <c r="R362" s="500">
        <f t="shared" si="93"/>
        <v>570.96000000257982</v>
      </c>
      <c r="S362" s="498">
        <f t="shared" si="97"/>
        <v>-12.199999999999818</v>
      </c>
      <c r="T362" s="498">
        <f ca="1">IF(A362&gt;$A$1,#N/A,VLOOKUP(A362,Calculation!$B$8:$IV$881,30,FALSE))</f>
        <v>0</v>
      </c>
      <c r="U362" s="498">
        <f t="shared" si="94"/>
        <v>7.2425880699412533</v>
      </c>
      <c r="V362" s="498">
        <f>Calculation!AP365</f>
        <v>0</v>
      </c>
      <c r="W362" s="498">
        <f t="shared" ca="1" si="92"/>
        <v>-9.1499999957136424E-3</v>
      </c>
      <c r="X362" s="498">
        <v>0</v>
      </c>
      <c r="Y362" s="744">
        <f t="shared" ca="1" si="91"/>
        <v>0</v>
      </c>
      <c r="Z362" s="748">
        <f t="shared" ca="1" si="95"/>
        <v>-9.1499999957136424E-3</v>
      </c>
      <c r="AA362" s="498">
        <f t="shared" ca="1" si="98"/>
        <v>1790.9691500025756</v>
      </c>
      <c r="AB362" s="501">
        <f t="shared" ca="1" si="99"/>
        <v>570.96915000257559</v>
      </c>
      <c r="AC362" s="498" t="e">
        <f ca="1">IF(A362&gt;$A$1,#N/A,VLOOKUP(A362,Calculation!$B$8:$IV$881,155,FALSE))</f>
        <v>#N/A</v>
      </c>
      <c r="AD362" s="498" t="e">
        <f t="shared" ca="1" si="100"/>
        <v>#N/A</v>
      </c>
      <c r="AE362" s="498"/>
      <c r="AF362" s="501">
        <f>Calculation!G365</f>
        <v>429.72270549672226</v>
      </c>
      <c r="AG362" s="498" t="str">
        <f t="shared" si="101"/>
        <v>Yes</v>
      </c>
      <c r="AH362" s="498" t="str">
        <f t="shared" si="102"/>
        <v>Yes</v>
      </c>
      <c r="AK362" s="738">
        <v>1937.6200000027791</v>
      </c>
      <c r="AL362" s="738">
        <v>1750.1200000024417</v>
      </c>
      <c r="AM362" s="740">
        <v>2252.3000000032844</v>
      </c>
      <c r="AR362" s="549"/>
      <c r="AS362" s="524"/>
      <c r="AT362" s="585"/>
      <c r="AU362" s="577"/>
      <c r="AV362" s="577"/>
      <c r="AW362" s="586"/>
      <c r="AY362" s="563"/>
      <c r="AZ362" s="562"/>
      <c r="BA362" s="563"/>
      <c r="BB362" s="562"/>
      <c r="BC362" s="563"/>
      <c r="BD362" s="562"/>
      <c r="BE362" s="556"/>
    </row>
    <row r="363" spans="1:57" ht="13.5" thickBot="1">
      <c r="A363" s="513">
        <v>40895</v>
      </c>
      <c r="B363" s="498">
        <f t="shared" si="96"/>
        <v>87.745839999999987</v>
      </c>
      <c r="C363" s="498">
        <f>Calculation!AA366</f>
        <v>0</v>
      </c>
      <c r="D363" s="498">
        <f>Calculation!Y366</f>
        <v>1.9450651453062953</v>
      </c>
      <c r="E363" s="498">
        <f>Calculation!U366</f>
        <v>44.553599999999996</v>
      </c>
      <c r="F363" s="498">
        <f>Calculation!V366</f>
        <v>43.192239999999998</v>
      </c>
      <c r="G363" s="498">
        <f>Calculation!W366</f>
        <v>0</v>
      </c>
      <c r="H363" s="500">
        <f>Sheet1!H366</f>
        <v>1.64</v>
      </c>
      <c r="I363" s="501">
        <f>Sheet1!CW366</f>
        <v>649.39583333333337</v>
      </c>
      <c r="J363" s="501">
        <f>Sheet1!CX366</f>
        <v>398.14583333333331</v>
      </c>
      <c r="K363" s="501">
        <f>Sheet1!CV366</f>
        <v>436</v>
      </c>
      <c r="L363" s="501">
        <f>Calculation!F366</f>
        <v>250</v>
      </c>
      <c r="M363" s="501">
        <f>Calculation!E366</f>
        <v>250</v>
      </c>
      <c r="N363" s="501">
        <f>Calculation!D366</f>
        <v>300</v>
      </c>
      <c r="O363" s="500">
        <f>Sheet1!CY366</f>
        <v>1075.49</v>
      </c>
      <c r="P363" s="514" t="e">
        <f>Calculation!ET366</f>
        <v>#N/A</v>
      </c>
      <c r="Q363" s="498">
        <f>Calculation!DF366</f>
        <v>1828.7800000026075</v>
      </c>
      <c r="R363" s="500">
        <f t="shared" si="93"/>
        <v>608.78000000260749</v>
      </c>
      <c r="S363" s="498">
        <f t="shared" si="97"/>
        <v>37.820000000027676</v>
      </c>
      <c r="T363" s="498">
        <f ca="1">IF(A363&gt;$A$1,#N/A,VLOOKUP(A363,Calculation!$B$8:$IV$881,30,FALSE))</f>
        <v>0</v>
      </c>
      <c r="U363" s="498">
        <f t="shared" si="94"/>
        <v>1.9450651453062953</v>
      </c>
      <c r="V363" s="498">
        <f>Calculation!AP366</f>
        <v>0</v>
      </c>
      <c r="W363" s="498">
        <f t="shared" ca="1" si="92"/>
        <v>-9.1499999957136424E-3</v>
      </c>
      <c r="X363" s="498">
        <v>0</v>
      </c>
      <c r="Y363" s="744">
        <f t="shared" ca="1" si="91"/>
        <v>0</v>
      </c>
      <c r="Z363" s="748">
        <f t="shared" ca="1" si="95"/>
        <v>-9.1499999957136424E-3</v>
      </c>
      <c r="AA363" s="498">
        <f t="shared" ca="1" si="98"/>
        <v>1828.7891500026033</v>
      </c>
      <c r="AB363" s="501">
        <f t="shared" ca="1" si="99"/>
        <v>608.78915000260326</v>
      </c>
      <c r="AC363" s="498" t="e">
        <f ca="1">IF(A363&gt;$A$1,#N/A,VLOOKUP(A363,Calculation!$B$8:$IV$881,155,FALSE))</f>
        <v>#N/A</v>
      </c>
      <c r="AD363" s="498" t="e">
        <f t="shared" ca="1" si="100"/>
        <v>#N/A</v>
      </c>
      <c r="AE363" s="498"/>
      <c r="AF363" s="501">
        <f>Calculation!G366</f>
        <v>455.07211296017533</v>
      </c>
      <c r="AG363" s="498" t="str">
        <f t="shared" si="101"/>
        <v>Yes</v>
      </c>
      <c r="AH363" s="498" t="str">
        <f t="shared" si="102"/>
        <v>Yes</v>
      </c>
      <c r="AK363" s="738">
        <v>1984.2400000028363</v>
      </c>
      <c r="AL363" s="738">
        <v>1760.7400000024684</v>
      </c>
      <c r="AM363" s="740">
        <v>2569.4700000039302</v>
      </c>
      <c r="AR363" s="549"/>
      <c r="AS363" s="524"/>
      <c r="AT363" s="585"/>
      <c r="AU363" s="577"/>
      <c r="AV363" s="577"/>
      <c r="AW363" s="586"/>
      <c r="AY363" s="563"/>
      <c r="AZ363" s="562"/>
      <c r="BA363" s="563"/>
      <c r="BB363" s="562"/>
      <c r="BC363" s="563"/>
      <c r="BD363" s="562"/>
      <c r="BE363" s="556"/>
    </row>
    <row r="364" spans="1:57" ht="13.5" thickBot="1">
      <c r="A364" s="513">
        <v>40896</v>
      </c>
      <c r="B364" s="498">
        <f t="shared" si="96"/>
        <v>86.894990000000007</v>
      </c>
      <c r="C364" s="498">
        <f>Calculation!AA367</f>
        <v>0</v>
      </c>
      <c r="D364" s="498">
        <f>Calculation!Y367</f>
        <v>2.5850431300004972</v>
      </c>
      <c r="E364" s="498">
        <f>Calculation!U367</f>
        <v>44.692830000000001</v>
      </c>
      <c r="F364" s="498">
        <f>Calculation!V367</f>
        <v>42.202159999999999</v>
      </c>
      <c r="G364" s="498">
        <f>Calculation!W367</f>
        <v>0</v>
      </c>
      <c r="H364" s="500">
        <f>Sheet1!H367</f>
        <v>1.45</v>
      </c>
      <c r="I364" s="501">
        <f>Sheet1!CW367</f>
        <v>646.82291666666663</v>
      </c>
      <c r="J364" s="501">
        <f>Sheet1!CX367</f>
        <v>398.08333333333331</v>
      </c>
      <c r="K364" s="501">
        <f>Sheet1!CV367</f>
        <v>436.66666666666669</v>
      </c>
      <c r="L364" s="501">
        <f>Calculation!F367</f>
        <v>250</v>
      </c>
      <c r="M364" s="501">
        <f>Calculation!E367</f>
        <v>250</v>
      </c>
      <c r="N364" s="501">
        <f>Calculation!D367</f>
        <v>300</v>
      </c>
      <c r="O364" s="500">
        <f>Sheet1!CY367</f>
        <v>1075.75</v>
      </c>
      <c r="P364" s="514" t="e">
        <f>Calculation!ET367</f>
        <v>#N/A</v>
      </c>
      <c r="Q364" s="498">
        <f>Calculation!DF367</f>
        <v>1860.5000000026353</v>
      </c>
      <c r="R364" s="500">
        <f t="shared" si="93"/>
        <v>640.50000000263526</v>
      </c>
      <c r="S364" s="498">
        <f t="shared" si="97"/>
        <v>31.720000000027767</v>
      </c>
      <c r="T364" s="498">
        <f ca="1">IF(A364&gt;$A$1,#N/A,VLOOKUP(A364,Calculation!$B$8:$IV$881,30,FALSE))</f>
        <v>0</v>
      </c>
      <c r="U364" s="498">
        <f t="shared" si="94"/>
        <v>2.5850431300004972</v>
      </c>
      <c r="V364" s="498">
        <f>Calculation!AP367</f>
        <v>0</v>
      </c>
      <c r="W364" s="498">
        <f t="shared" ca="1" si="92"/>
        <v>-9.1499999957136424E-3</v>
      </c>
      <c r="X364" s="498">
        <v>0</v>
      </c>
      <c r="Y364" s="744">
        <f t="shared" ca="1" si="91"/>
        <v>0</v>
      </c>
      <c r="Z364" s="748">
        <f t="shared" ca="1" si="95"/>
        <v>-9.1499999957136424E-3</v>
      </c>
      <c r="AA364" s="498">
        <f t="shared" ca="1" si="98"/>
        <v>1860.509150002631</v>
      </c>
      <c r="AB364" s="501">
        <f t="shared" ca="1" si="99"/>
        <v>640.50915000263103</v>
      </c>
      <c r="AC364" s="498" t="e">
        <f ca="1">IF(A364&gt;$A$1,#N/A,VLOOKUP(A364,Calculation!$B$8:$IV$881,155,FALSE))</f>
        <v>#N/A</v>
      </c>
      <c r="AD364" s="498" t="e">
        <f t="shared" ca="1" si="100"/>
        <v>#N/A</v>
      </c>
      <c r="AE364" s="498"/>
      <c r="AF364" s="501">
        <f>Calculation!G367</f>
        <v>452.66263237520315</v>
      </c>
      <c r="AG364" s="498" t="str">
        <f t="shared" si="101"/>
        <v>Yes</v>
      </c>
      <c r="AH364" s="498" t="str">
        <f t="shared" si="102"/>
        <v>Yes</v>
      </c>
      <c r="AK364" s="738">
        <v>1901.0800000027502</v>
      </c>
      <c r="AL364" s="738">
        <v>2039.1000000029853</v>
      </c>
      <c r="AM364" s="740">
        <v>2460.610000003674</v>
      </c>
      <c r="AR364" s="549"/>
      <c r="AS364" s="524"/>
      <c r="AT364" s="585"/>
      <c r="AU364" s="577"/>
      <c r="AV364" s="577"/>
      <c r="AW364" s="586"/>
      <c r="AY364" s="563"/>
      <c r="AZ364" s="562"/>
      <c r="BA364" s="563"/>
      <c r="BB364" s="562"/>
      <c r="BC364" s="563"/>
      <c r="BD364" s="562"/>
      <c r="BE364" s="556"/>
    </row>
    <row r="365" spans="1:57" ht="13.5" thickBot="1">
      <c r="A365" s="513">
        <v>40897</v>
      </c>
      <c r="B365" s="498">
        <f t="shared" si="96"/>
        <v>84.945769999999996</v>
      </c>
      <c r="C365" s="498">
        <f>Calculation!AA368</f>
        <v>0</v>
      </c>
      <c r="D365" s="498">
        <f>Calculation!Y368</f>
        <v>1.4956252725668615</v>
      </c>
      <c r="E365" s="498">
        <f>Calculation!U368</f>
        <v>44.569069999999996</v>
      </c>
      <c r="F365" s="498">
        <f>Calculation!V368</f>
        <v>40.3767</v>
      </c>
      <c r="G365" s="498">
        <f>Calculation!W368</f>
        <v>0</v>
      </c>
      <c r="H365" s="500">
        <f>Sheet1!H368</f>
        <v>1.1599999999999999</v>
      </c>
      <c r="I365" s="501">
        <f>Sheet1!CW368</f>
        <v>641.95833333333337</v>
      </c>
      <c r="J365" s="501">
        <f>Sheet1!CX368</f>
        <v>419.08333333333331</v>
      </c>
      <c r="K365" s="501">
        <f>Sheet1!CV368</f>
        <v>457.16666666666669</v>
      </c>
      <c r="L365" s="501">
        <f>Calculation!F368</f>
        <v>250</v>
      </c>
      <c r="M365" s="501">
        <f>Calculation!E368</f>
        <v>250</v>
      </c>
      <c r="N365" s="501">
        <f>Calculation!D368</f>
        <v>300</v>
      </c>
      <c r="O365" s="500">
        <f>Sheet1!CY368</f>
        <v>1075.76</v>
      </c>
      <c r="P365" s="514" t="e">
        <f>Calculation!ET368</f>
        <v>#N/A</v>
      </c>
      <c r="Q365" s="498">
        <f>Calculation!DF368</f>
        <v>1861.7200000026353</v>
      </c>
      <c r="R365" s="500">
        <f t="shared" si="93"/>
        <v>641.72000000263529</v>
      </c>
      <c r="S365" s="498">
        <f t="shared" si="97"/>
        <v>1.2200000000000273</v>
      </c>
      <c r="T365" s="498">
        <f ca="1">IF(A365&gt;$A$1,#N/A,VLOOKUP(A365,Calculation!$B$8:$IV$881,30,FALSE))</f>
        <v>0</v>
      </c>
      <c r="U365" s="498">
        <f t="shared" si="94"/>
        <v>1.4956252725668615</v>
      </c>
      <c r="V365" s="498">
        <f>Calculation!AP368</f>
        <v>0</v>
      </c>
      <c r="W365" s="498">
        <f t="shared" ca="1" si="92"/>
        <v>-9.1499999957136424E-3</v>
      </c>
      <c r="X365" s="498">
        <v>0</v>
      </c>
      <c r="Y365" s="744">
        <f t="shared" ca="1" si="91"/>
        <v>0</v>
      </c>
      <c r="Z365" s="748">
        <f t="shared" ca="1" si="95"/>
        <v>-9.1499999957136424E-3</v>
      </c>
      <c r="AA365" s="498">
        <f t="shared" ca="1" si="98"/>
        <v>1861.7291500026311</v>
      </c>
      <c r="AB365" s="501">
        <f t="shared" ca="1" si="99"/>
        <v>641.72915000263106</v>
      </c>
      <c r="AC365" s="498" t="e">
        <f ca="1">IF(A365&gt;$A$1,#N/A,VLOOKUP(A365,Calculation!$B$8:$IV$881,155,FALSE))</f>
        <v>#N/A</v>
      </c>
      <c r="AD365" s="498" t="e">
        <f t="shared" ca="1" si="100"/>
        <v>#N/A</v>
      </c>
      <c r="AE365" s="498"/>
      <c r="AF365" s="501">
        <f>Calculation!G368</f>
        <v>457.78189611699446</v>
      </c>
      <c r="AG365" s="498" t="str">
        <f t="shared" si="101"/>
        <v>Yes</v>
      </c>
      <c r="AH365" s="498" t="str">
        <f t="shared" si="102"/>
        <v>Yes</v>
      </c>
      <c r="AK365" s="738">
        <v>2050.8000000029856</v>
      </c>
      <c r="AL365" s="738">
        <v>2562.1400000037715</v>
      </c>
      <c r="AM365" s="740">
        <v>2020.9000000029559</v>
      </c>
      <c r="AR365" s="549"/>
      <c r="AS365" s="524"/>
      <c r="AT365" s="585"/>
      <c r="AU365" s="577"/>
      <c r="AV365" s="577"/>
      <c r="AW365" s="586"/>
      <c r="AY365" s="563"/>
      <c r="AZ365" s="562"/>
      <c r="BA365" s="563"/>
      <c r="BB365" s="562"/>
      <c r="BC365" s="563"/>
      <c r="BD365" s="562"/>
      <c r="BE365" s="556"/>
    </row>
    <row r="366" spans="1:57" ht="13.5" thickBot="1">
      <c r="A366" s="513">
        <v>40898</v>
      </c>
      <c r="B366" s="498">
        <f t="shared" si="96"/>
        <v>83.367829999990988</v>
      </c>
      <c r="C366" s="498">
        <f>Calculation!AA369</f>
        <v>0</v>
      </c>
      <c r="D366" s="498">
        <f>Calculation!Y369</f>
        <v>0.73780146343216912</v>
      </c>
      <c r="E366" s="498">
        <f>Calculation!U369</f>
        <v>44.708299999990992</v>
      </c>
      <c r="F366" s="498">
        <f>Calculation!V369</f>
        <v>38.659529999999997</v>
      </c>
      <c r="G366" s="498">
        <f>Calculation!W369</f>
        <v>0</v>
      </c>
      <c r="H366" s="500">
        <f>Sheet1!H369</f>
        <v>1.2</v>
      </c>
      <c r="I366" s="501">
        <f>Sheet1!CW369</f>
        <v>660.1875</v>
      </c>
      <c r="J366" s="501">
        <f>Sheet1!CX369</f>
        <v>431.0625</v>
      </c>
      <c r="K366" s="501">
        <f>Sheet1!CV369</f>
        <v>465.66666666666669</v>
      </c>
      <c r="L366" s="501">
        <f>Calculation!F369</f>
        <v>250</v>
      </c>
      <c r="M366" s="501">
        <f>Calculation!E369</f>
        <v>250</v>
      </c>
      <c r="N366" s="501">
        <f>Calculation!D369</f>
        <v>300</v>
      </c>
      <c r="O366" s="500">
        <f>Sheet1!CY369</f>
        <v>1075.69</v>
      </c>
      <c r="P366" s="514" t="e">
        <f>Calculation!ET369</f>
        <v>#N/A</v>
      </c>
      <c r="Q366" s="498">
        <f>Calculation!DF369</f>
        <v>1853.1800000026353</v>
      </c>
      <c r="R366" s="500">
        <f t="shared" si="93"/>
        <v>633.18000000263532</v>
      </c>
      <c r="S366" s="498">
        <f t="shared" si="97"/>
        <v>-8.5399999999999636</v>
      </c>
      <c r="T366" s="498">
        <f ca="1">IF(A366&gt;$A$1,#N/A,VLOOKUP(A366,Calculation!$B$8:$IV$881,30,FALSE))</f>
        <v>0</v>
      </c>
      <c r="U366" s="498">
        <f t="shared" si="94"/>
        <v>0.73780146343216912</v>
      </c>
      <c r="V366" s="498">
        <f>Calculation!AP369</f>
        <v>0</v>
      </c>
      <c r="W366" s="498">
        <f t="shared" ca="1" si="92"/>
        <v>-9.1499999957136424E-3</v>
      </c>
      <c r="X366" s="498">
        <v>0</v>
      </c>
      <c r="Y366" s="744">
        <f t="shared" ca="1" si="91"/>
        <v>0</v>
      </c>
      <c r="Z366" s="748">
        <f t="shared" ca="1" si="95"/>
        <v>-9.1499999957136424E-3</v>
      </c>
      <c r="AA366" s="498">
        <f t="shared" ca="1" si="98"/>
        <v>1853.1891500026311</v>
      </c>
      <c r="AB366" s="501">
        <f t="shared" ca="1" si="99"/>
        <v>633.1891500026311</v>
      </c>
      <c r="AC366" s="498" t="e">
        <f ca="1">IF(A366&gt;$A$1,#N/A,VLOOKUP(A366,Calculation!$B$8:$IV$881,155,FALSE))</f>
        <v>#N/A</v>
      </c>
      <c r="AD366" s="498" t="e">
        <f t="shared" ca="1" si="100"/>
        <v>#N/A</v>
      </c>
      <c r="AE366" s="498"/>
      <c r="AF366" s="501">
        <f>Calculation!G369</f>
        <v>461.36006051437221</v>
      </c>
      <c r="AG366" s="498" t="str">
        <f t="shared" si="101"/>
        <v>Yes</v>
      </c>
      <c r="AH366" s="498" t="str">
        <f t="shared" si="102"/>
        <v>Yes</v>
      </c>
      <c r="AK366" s="738">
        <v>2056.0000000029854</v>
      </c>
      <c r="AL366" s="738">
        <v>2480.6300000037063</v>
      </c>
      <c r="AM366" s="740">
        <v>1848.3000000026354</v>
      </c>
      <c r="AR366" s="549"/>
      <c r="AS366" s="524"/>
      <c r="AT366" s="585"/>
      <c r="AU366" s="577"/>
      <c r="AV366" s="577"/>
      <c r="AW366" s="586"/>
      <c r="AY366" s="563"/>
      <c r="AZ366" s="562"/>
      <c r="BA366" s="563"/>
      <c r="BB366" s="562"/>
      <c r="BC366" s="563"/>
      <c r="BD366" s="562"/>
      <c r="BE366" s="556"/>
    </row>
    <row r="367" spans="1:57" ht="13.5" thickBot="1">
      <c r="A367" s="513">
        <v>40899</v>
      </c>
      <c r="B367" s="498">
        <f t="shared" si="96"/>
        <v>81.991</v>
      </c>
      <c r="C367" s="498">
        <f>Calculation!AA370</f>
        <v>0</v>
      </c>
      <c r="D367" s="498">
        <f>Calculation!Y370</f>
        <v>5.7161385622260772</v>
      </c>
      <c r="E367" s="498">
        <f>Calculation!U370</f>
        <v>44.863</v>
      </c>
      <c r="F367" s="498">
        <f>Calculation!V370</f>
        <v>37.128</v>
      </c>
      <c r="G367" s="498">
        <f>Calculation!W370</f>
        <v>0</v>
      </c>
      <c r="H367" s="500">
        <f>Sheet1!H370</f>
        <v>1.0900000000000001</v>
      </c>
      <c r="I367" s="501">
        <f>Sheet1!CW370</f>
        <v>646.91666666666663</v>
      </c>
      <c r="J367" s="501">
        <f>Sheet1!CX370</f>
        <v>416.90625</v>
      </c>
      <c r="K367" s="501">
        <f>Sheet1!CV370</f>
        <v>449.25</v>
      </c>
      <c r="L367" s="501">
        <f>Calculation!F370</f>
        <v>250</v>
      </c>
      <c r="M367" s="501">
        <f>Calculation!E370</f>
        <v>250</v>
      </c>
      <c r="N367" s="501">
        <f>Calculation!D370</f>
        <v>300</v>
      </c>
      <c r="O367" s="500">
        <f>Sheet1!CY370</f>
        <v>1075.47</v>
      </c>
      <c r="P367" s="514" t="e">
        <f>Calculation!ET370</f>
        <v>#N/A</v>
      </c>
      <c r="Q367" s="498">
        <f>Calculation!DF370</f>
        <v>1826.3400000026074</v>
      </c>
      <c r="R367" s="500">
        <f t="shared" si="93"/>
        <v>606.34000000260744</v>
      </c>
      <c r="S367" s="498">
        <f t="shared" si="97"/>
        <v>-26.840000000027885</v>
      </c>
      <c r="T367" s="498">
        <f ca="1">IF(A367&gt;$A$1,#N/A,VLOOKUP(A367,Calculation!$B$8:$IV$881,30,FALSE))</f>
        <v>0</v>
      </c>
      <c r="U367" s="498">
        <f t="shared" si="94"/>
        <v>5.7161385622260772</v>
      </c>
      <c r="V367" s="498">
        <f>Calculation!AP370</f>
        <v>0</v>
      </c>
      <c r="W367" s="498">
        <f t="shared" ca="1" si="92"/>
        <v>-9.1499999957136424E-3</v>
      </c>
      <c r="X367" s="498">
        <v>0</v>
      </c>
      <c r="Y367" s="744">
        <f t="shared" ca="1" si="91"/>
        <v>0</v>
      </c>
      <c r="Z367" s="748">
        <f t="shared" ca="1" si="95"/>
        <v>-9.1499999957136424E-3</v>
      </c>
      <c r="AA367" s="498">
        <f t="shared" ca="1" si="98"/>
        <v>1826.3491500026032</v>
      </c>
      <c r="AB367" s="501">
        <f t="shared" ca="1" si="99"/>
        <v>606.34915000260321</v>
      </c>
      <c r="AC367" s="498" t="e">
        <f ca="1">IF(A367&gt;$A$1,#N/A,VLOOKUP(A367,Calculation!$B$8:$IV$881,155,FALSE))</f>
        <v>#N/A</v>
      </c>
      <c r="AD367" s="498" t="e">
        <f t="shared" ca="1" si="100"/>
        <v>#N/A</v>
      </c>
      <c r="AE367" s="498"/>
      <c r="AF367" s="501">
        <f>Calculation!G370</f>
        <v>435.71495209277464</v>
      </c>
      <c r="AG367" s="498" t="str">
        <f t="shared" si="101"/>
        <v>Yes</v>
      </c>
      <c r="AH367" s="498" t="str">
        <f t="shared" si="102"/>
        <v>Yes</v>
      </c>
      <c r="AK367" s="738">
        <v>2083.3000000030152</v>
      </c>
      <c r="AL367" s="738">
        <v>2155.1000000031922</v>
      </c>
      <c r="AM367" s="740">
        <v>1845.8600000026354</v>
      </c>
      <c r="AR367" s="549"/>
      <c r="AS367" s="524"/>
      <c r="AT367" s="585"/>
      <c r="AU367" s="577"/>
      <c r="AV367" s="577"/>
      <c r="AW367" s="586"/>
      <c r="AY367" s="563"/>
      <c r="AZ367" s="562"/>
      <c r="BA367" s="563"/>
      <c r="BB367" s="562"/>
      <c r="BC367" s="563"/>
      <c r="BD367" s="562"/>
      <c r="BE367" s="556"/>
    </row>
    <row r="368" spans="1:57" ht="13.5" thickBot="1">
      <c r="A368" s="513">
        <v>40900</v>
      </c>
      <c r="B368" s="498">
        <f t="shared" si="96"/>
        <v>80.536820000007651</v>
      </c>
      <c r="C368" s="498">
        <f>Calculation!AA371</f>
        <v>0</v>
      </c>
      <c r="D368" s="498">
        <f>Calculation!Y371</f>
        <v>5.87410425054569</v>
      </c>
      <c r="E368" s="498">
        <f>Calculation!U371</f>
        <v>43.687280000008101</v>
      </c>
      <c r="F368" s="498">
        <f>Calculation!V371</f>
        <v>36.84953999999955</v>
      </c>
      <c r="G368" s="498">
        <f>Calculation!W371</f>
        <v>0</v>
      </c>
      <c r="H368" s="500">
        <f>Sheet1!H371</f>
        <v>1.44</v>
      </c>
      <c r="I368" s="501">
        <f>Sheet1!CW371</f>
        <v>619.08333333333337</v>
      </c>
      <c r="J368" s="501">
        <f>Sheet1!CX371</f>
        <v>388.0625</v>
      </c>
      <c r="K368" s="501">
        <f>Sheet1!CV371</f>
        <v>418.83333333333331</v>
      </c>
      <c r="L368" s="501">
        <f>Calculation!F371</f>
        <v>250</v>
      </c>
      <c r="M368" s="501">
        <f>Calculation!E371</f>
        <v>250</v>
      </c>
      <c r="N368" s="501">
        <f>Calculation!D371</f>
        <v>300</v>
      </c>
      <c r="O368" s="500">
        <f>Sheet1!CY371</f>
        <v>1075.7</v>
      </c>
      <c r="P368" s="514" t="e">
        <f>Calculation!ET371</f>
        <v>#N/A</v>
      </c>
      <c r="Q368" s="498">
        <f>Calculation!DF371</f>
        <v>1854.4000000026354</v>
      </c>
      <c r="R368" s="500">
        <f t="shared" si="93"/>
        <v>634.40000000263535</v>
      </c>
      <c r="S368" s="498">
        <f t="shared" si="97"/>
        <v>28.060000000027912</v>
      </c>
      <c r="T368" s="498">
        <f ca="1">IF(A368&gt;$A$1,#N/A,VLOOKUP(A368,Calculation!$B$8:$IV$881,30,FALSE))</f>
        <v>0</v>
      </c>
      <c r="U368" s="498">
        <f t="shared" si="94"/>
        <v>5.87410425054569</v>
      </c>
      <c r="V368" s="498">
        <f>Calculation!AP371</f>
        <v>0</v>
      </c>
      <c r="W368" s="498">
        <f t="shared" ca="1" si="92"/>
        <v>-9.1499999957136424E-3</v>
      </c>
      <c r="X368" s="498">
        <v>0</v>
      </c>
      <c r="Y368" s="744">
        <f t="shared" ca="1" si="91"/>
        <v>0</v>
      </c>
      <c r="Z368" s="748">
        <f t="shared" ca="1" si="95"/>
        <v>-9.1499999957136424E-3</v>
      </c>
      <c r="AA368" s="498">
        <f t="shared" ca="1" si="98"/>
        <v>1854.4091500026311</v>
      </c>
      <c r="AB368" s="501">
        <f t="shared" ca="1" si="99"/>
        <v>634.40915000263112</v>
      </c>
      <c r="AC368" s="498" t="e">
        <f ca="1">IF(A368&gt;$A$1,#N/A,VLOOKUP(A368,Calculation!$B$8:$IV$881,155,FALSE))</f>
        <v>#N/A</v>
      </c>
      <c r="AD368" s="498" t="e">
        <f t="shared" ca="1" si="100"/>
        <v>#N/A</v>
      </c>
      <c r="AE368" s="498"/>
      <c r="AF368" s="501">
        <f>Calculation!G371</f>
        <v>432.98361069088645</v>
      </c>
      <c r="AG368" s="498" t="str">
        <f t="shared" si="101"/>
        <v>Yes</v>
      </c>
      <c r="AH368" s="498" t="str">
        <f t="shared" si="102"/>
        <v>Yes</v>
      </c>
      <c r="AK368" s="738">
        <v>2102.8000000030447</v>
      </c>
      <c r="AL368" s="738">
        <v>2036.5000000029854</v>
      </c>
      <c r="AM368" s="740">
        <v>1836.1000000026074</v>
      </c>
      <c r="AR368" s="549"/>
      <c r="AS368" s="524"/>
      <c r="AT368" s="585"/>
      <c r="AU368" s="577"/>
      <c r="AV368" s="577"/>
      <c r="AW368" s="586"/>
      <c r="AY368" s="563"/>
      <c r="AZ368" s="562"/>
      <c r="BA368" s="563"/>
      <c r="BB368" s="562"/>
      <c r="BC368" s="563"/>
      <c r="BD368" s="562"/>
      <c r="BE368" s="556"/>
    </row>
    <row r="369" spans="1:57" ht="13.5" thickBot="1">
      <c r="A369" s="513">
        <v>40901</v>
      </c>
      <c r="B369" s="498">
        <f t="shared" si="96"/>
        <v>82.687149999987383</v>
      </c>
      <c r="C369" s="498">
        <f>Calculation!AA372</f>
        <v>0</v>
      </c>
      <c r="D369" s="498">
        <f>Calculation!Y372</f>
        <v>6.3171412298476515</v>
      </c>
      <c r="E369" s="498">
        <f>Calculation!U372</f>
        <v>45.574619999987391</v>
      </c>
      <c r="F369" s="498">
        <f>Calculation!V372</f>
        <v>37.112529999999992</v>
      </c>
      <c r="G369" s="498">
        <f>Calculation!W372</f>
        <v>0</v>
      </c>
      <c r="H369" s="500">
        <f>Sheet1!H372</f>
        <v>1.0900000000000001</v>
      </c>
      <c r="I369" s="501">
        <f>Sheet1!CW372</f>
        <v>589.19791666666663</v>
      </c>
      <c r="J369" s="501">
        <f>Sheet1!CX372</f>
        <v>375.29166666666669</v>
      </c>
      <c r="K369" s="501">
        <f>Sheet1!CV372</f>
        <v>408.66666666666669</v>
      </c>
      <c r="L369" s="501">
        <f>Calculation!F372</f>
        <v>250</v>
      </c>
      <c r="M369" s="501">
        <f>Calculation!E372</f>
        <v>250</v>
      </c>
      <c r="N369" s="501">
        <f>Calculation!D372</f>
        <v>300</v>
      </c>
      <c r="O369" s="500">
        <f>Sheet1!CY372</f>
        <v>1076.0899999999999</v>
      </c>
      <c r="P369" s="514" t="e">
        <f>Calculation!ET372</f>
        <v>#N/A</v>
      </c>
      <c r="Q369" s="498">
        <f>Calculation!DF372</f>
        <v>1902.3400000027502</v>
      </c>
      <c r="R369" s="500">
        <f t="shared" si="93"/>
        <v>682.34000000275023</v>
      </c>
      <c r="S369" s="498">
        <f t="shared" si="97"/>
        <v>47.940000000114878</v>
      </c>
      <c r="T369" s="498">
        <f ca="1">IF(A369&gt;$A$1,#N/A,VLOOKUP(A369,Calculation!$B$8:$IV$881,30,FALSE))</f>
        <v>0</v>
      </c>
      <c r="U369" s="498">
        <f t="shared" si="94"/>
        <v>6.3171412298476515</v>
      </c>
      <c r="V369" s="498">
        <f>Calculation!AP372</f>
        <v>0</v>
      </c>
      <c r="W369" s="498">
        <f t="shared" ca="1" si="92"/>
        <v>-9.1499999957136424E-3</v>
      </c>
      <c r="X369" s="498">
        <v>0</v>
      </c>
      <c r="Y369" s="744">
        <f t="shared" ca="1" si="91"/>
        <v>0</v>
      </c>
      <c r="Z369" s="748">
        <f t="shared" ca="1" si="95"/>
        <v>-9.1499999957136424E-3</v>
      </c>
      <c r="AA369" s="498">
        <f t="shared" ca="1" si="98"/>
        <v>1902.349150002746</v>
      </c>
      <c r="AB369" s="501">
        <f t="shared" ca="1" si="99"/>
        <v>682.349150002746</v>
      </c>
      <c r="AC369" s="498" t="e">
        <f ca="1">IF(A369&gt;$A$1,#N/A,VLOOKUP(A369,Calculation!$B$8:$IV$881,155,FALSE))</f>
        <v>#N/A</v>
      </c>
      <c r="AD369" s="498" t="e">
        <f t="shared" ca="1" si="100"/>
        <v>#N/A</v>
      </c>
      <c r="AE369" s="498"/>
      <c r="AF369" s="501">
        <f>Calculation!G372</f>
        <v>432.84215834599843</v>
      </c>
      <c r="AG369" s="498" t="str">
        <f t="shared" si="101"/>
        <v>Yes</v>
      </c>
      <c r="AH369" s="498" t="str">
        <f t="shared" si="102"/>
        <v>Yes</v>
      </c>
      <c r="AK369" s="738">
        <v>2109.3000000030447</v>
      </c>
      <c r="AL369" s="738">
        <v>2179.4000000032229</v>
      </c>
      <c r="AM369" s="740">
        <v>1955.2600000028076</v>
      </c>
      <c r="AR369" s="549"/>
      <c r="AS369" s="524"/>
      <c r="AT369" s="585"/>
      <c r="AU369" s="577"/>
      <c r="AV369" s="577"/>
      <c r="AW369" s="586"/>
      <c r="AY369" s="563"/>
      <c r="AZ369" s="562"/>
      <c r="BA369" s="563"/>
      <c r="BB369" s="562"/>
      <c r="BC369" s="563"/>
      <c r="BD369" s="562"/>
      <c r="BE369" s="556"/>
    </row>
    <row r="370" spans="1:57" ht="13.5" thickBot="1">
      <c r="A370" s="513">
        <v>40902</v>
      </c>
      <c r="B370" s="498">
        <f t="shared" si="96"/>
        <v>81.526900000018003</v>
      </c>
      <c r="C370" s="498">
        <f>Calculation!AA373</f>
        <v>0</v>
      </c>
      <c r="D370" s="498">
        <f>Calculation!Y373</f>
        <v>0</v>
      </c>
      <c r="E370" s="498">
        <f>Calculation!U373</f>
        <v>44.708300000013502</v>
      </c>
      <c r="F370" s="498">
        <f>Calculation!V373</f>
        <v>36.818600000004501</v>
      </c>
      <c r="G370" s="498">
        <f>Calculation!W373</f>
        <v>0</v>
      </c>
      <c r="H370" s="500">
        <f>Sheet1!H373</f>
        <v>4.75</v>
      </c>
      <c r="I370" s="501">
        <f>Sheet1!CW373</f>
        <v>589.77083333333337</v>
      </c>
      <c r="J370" s="501">
        <f>Sheet1!CX373</f>
        <v>384.76041666666669</v>
      </c>
      <c r="K370" s="501">
        <f>Sheet1!CV373</f>
        <v>413.375</v>
      </c>
      <c r="L370" s="501">
        <f>Calculation!F373</f>
        <v>250</v>
      </c>
      <c r="M370" s="501">
        <f>Calculation!E373</f>
        <v>250</v>
      </c>
      <c r="N370" s="501">
        <f>Calculation!D373</f>
        <v>300</v>
      </c>
      <c r="O370" s="500">
        <f>Sheet1!CY373</f>
        <v>1077.04</v>
      </c>
      <c r="P370" s="514" t="e">
        <f>Calculation!ET373</f>
        <v>#N/A</v>
      </c>
      <c r="Q370" s="498">
        <f>Calculation!DF373</f>
        <v>2022.2000000029559</v>
      </c>
      <c r="R370" s="500">
        <f t="shared" si="93"/>
        <v>802.2000000029559</v>
      </c>
      <c r="S370" s="498">
        <f t="shared" si="97"/>
        <v>119.86000000020567</v>
      </c>
      <c r="T370" s="498">
        <f ca="1">IF(A370&gt;$A$1,#N/A,VLOOKUP(A370,Calculation!$B$8:$IV$881,30,FALSE))</f>
        <v>0</v>
      </c>
      <c r="U370" s="498">
        <f t="shared" si="94"/>
        <v>0</v>
      </c>
      <c r="V370" s="498">
        <f>Calculation!AP373</f>
        <v>0</v>
      </c>
      <c r="W370" s="498">
        <f t="shared" ca="1" si="92"/>
        <v>-9.1499999957136424E-3</v>
      </c>
      <c r="X370" s="498">
        <v>0</v>
      </c>
      <c r="Y370" s="744">
        <f t="shared" ca="1" si="91"/>
        <v>0</v>
      </c>
      <c r="Z370" s="748">
        <f t="shared" ca="1" si="95"/>
        <v>-9.1499999957136424E-3</v>
      </c>
      <c r="AA370" s="498">
        <f t="shared" ca="1" si="98"/>
        <v>2022.2091500029517</v>
      </c>
      <c r="AB370" s="501">
        <f t="shared" ca="1" si="99"/>
        <v>802.20915000295167</v>
      </c>
      <c r="AC370" s="498" t="e">
        <f ca="1">IF(A370&gt;$A$1,#N/A,VLOOKUP(A370,Calculation!$B$8:$IV$881,155,FALSE))</f>
        <v>#N/A</v>
      </c>
      <c r="AD370" s="498" t="e">
        <f t="shared" ca="1" si="100"/>
        <v>#N/A</v>
      </c>
      <c r="AE370" s="498"/>
      <c r="AF370" s="501">
        <f>Calculation!G373</f>
        <v>473.81877206263522</v>
      </c>
      <c r="AG370" s="498" t="str">
        <f t="shared" si="101"/>
        <v>Yes</v>
      </c>
      <c r="AH370" s="498" t="str">
        <f t="shared" si="102"/>
        <v>Yes</v>
      </c>
      <c r="AK370" s="738">
        <v>2075.500000003015</v>
      </c>
      <c r="AL370" s="738">
        <v>2296.0000000034379</v>
      </c>
      <c r="AM370" s="740">
        <v>2136.600000003074</v>
      </c>
      <c r="AR370" s="549"/>
      <c r="AS370" s="524"/>
      <c r="AT370" s="585"/>
      <c r="AU370" s="577"/>
      <c r="AV370" s="577"/>
      <c r="AW370" s="586"/>
      <c r="AY370" s="563"/>
      <c r="AZ370" s="562"/>
      <c r="BA370" s="563"/>
      <c r="BB370" s="562"/>
      <c r="BC370" s="563"/>
      <c r="BD370" s="562"/>
      <c r="BE370" s="556"/>
    </row>
    <row r="371" spans="1:57" ht="13.5" thickBot="1">
      <c r="A371" s="513">
        <v>40903</v>
      </c>
      <c r="B371" s="498">
        <f t="shared" si="96"/>
        <v>82.424159999986927</v>
      </c>
      <c r="C371" s="498">
        <f>Calculation!AA374</f>
        <v>0</v>
      </c>
      <c r="D371" s="498">
        <f>Calculation!Y374</f>
        <v>1.028261283571168</v>
      </c>
      <c r="E371" s="498">
        <f>Calculation!U374</f>
        <v>45.48179999999099</v>
      </c>
      <c r="F371" s="498">
        <f>Calculation!V374</f>
        <v>36.942359999995944</v>
      </c>
      <c r="G371" s="498">
        <f>Calculation!W374</f>
        <v>26.298999999999999</v>
      </c>
      <c r="H371" s="500">
        <f>Sheet1!H374</f>
        <v>11.29</v>
      </c>
      <c r="I371" s="501">
        <f>Sheet1!CW374</f>
        <v>629.45833333333337</v>
      </c>
      <c r="J371" s="501">
        <f>Sheet1!CX374</f>
        <v>449.39583333333331</v>
      </c>
      <c r="K371" s="501">
        <f>Sheet1!CV374</f>
        <v>447.16666666666669</v>
      </c>
      <c r="L371" s="501">
        <f>Calculation!F374</f>
        <v>250</v>
      </c>
      <c r="M371" s="501">
        <f>Calculation!E374</f>
        <v>250</v>
      </c>
      <c r="N371" s="501">
        <f>Calculation!D374</f>
        <v>300</v>
      </c>
      <c r="O371" s="500">
        <f>Sheet1!CY374</f>
        <v>1077.1199999999999</v>
      </c>
      <c r="P371" s="514" t="e">
        <f>Calculation!ET374</f>
        <v>#N/A</v>
      </c>
      <c r="Q371" s="498">
        <f>Calculation!DF374</f>
        <v>2032.6000000029558</v>
      </c>
      <c r="R371" s="500">
        <f t="shared" si="93"/>
        <v>812.60000000295577</v>
      </c>
      <c r="S371" s="498">
        <f t="shared" si="97"/>
        <v>10.399999999999864</v>
      </c>
      <c r="T371" s="498">
        <f ca="1">IF(A371&gt;$A$1,#N/A,VLOOKUP(A371,Calculation!$B$8:$IV$881,30,FALSE))</f>
        <v>0</v>
      </c>
      <c r="U371" s="498">
        <f t="shared" si="94"/>
        <v>1.028261283571168</v>
      </c>
      <c r="V371" s="498">
        <f>Calculation!AP374</f>
        <v>0</v>
      </c>
      <c r="W371" s="498">
        <f t="shared" ca="1" si="92"/>
        <v>-9.1499999957136424E-3</v>
      </c>
      <c r="X371" s="498">
        <v>0</v>
      </c>
      <c r="Y371" s="744">
        <f t="shared" ca="1" si="91"/>
        <v>0</v>
      </c>
      <c r="Z371" s="748">
        <f t="shared" ca="1" si="95"/>
        <v>-9.1499999957136424E-3</v>
      </c>
      <c r="AA371" s="498">
        <f t="shared" ca="1" si="98"/>
        <v>2032.6091500029515</v>
      </c>
      <c r="AB371" s="501">
        <f t="shared" ca="1" si="99"/>
        <v>812.60915000295154</v>
      </c>
      <c r="AC371" s="498" t="e">
        <f ca="1">IF(A371&gt;$A$1,#N/A,VLOOKUP(A371,Calculation!$B$8:$IV$881,155,FALSE))</f>
        <v>#N/A</v>
      </c>
      <c r="AD371" s="498" t="e">
        <f t="shared" ca="1" si="100"/>
        <v>#N/A</v>
      </c>
      <c r="AE371" s="498"/>
      <c r="AF371" s="501">
        <f>Calculation!G374</f>
        <v>452.41124558749362</v>
      </c>
      <c r="AG371" s="498" t="str">
        <f t="shared" si="101"/>
        <v>Yes</v>
      </c>
      <c r="AH371" s="498" t="str">
        <f t="shared" si="102"/>
        <v>Yes</v>
      </c>
      <c r="AK371" s="738">
        <v>2075.500000003015</v>
      </c>
      <c r="AL371" s="738">
        <v>2276.600000003315</v>
      </c>
      <c r="AM371" s="740">
        <v>2202.3500000032536</v>
      </c>
      <c r="AR371" s="549"/>
      <c r="AS371" s="524"/>
      <c r="AT371" s="585"/>
      <c r="AU371" s="577"/>
      <c r="AV371" s="577"/>
      <c r="AW371" s="586"/>
      <c r="AY371" s="563"/>
      <c r="AZ371" s="562"/>
      <c r="BA371" s="563"/>
      <c r="BB371" s="562"/>
      <c r="BC371" s="563"/>
      <c r="BD371" s="562"/>
      <c r="BE371" s="556"/>
    </row>
    <row r="372" spans="1:57" ht="13.5" thickBot="1">
      <c r="A372" s="513">
        <v>40904</v>
      </c>
      <c r="B372" s="498">
        <f t="shared" si="96"/>
        <v>78.432899999999989</v>
      </c>
      <c r="C372" s="498">
        <f>Calculation!AA375</f>
        <v>0</v>
      </c>
      <c r="D372" s="498">
        <f>Calculation!Y375</f>
        <v>0</v>
      </c>
      <c r="E372" s="498">
        <f>Calculation!U375</f>
        <v>44.863</v>
      </c>
      <c r="F372" s="498">
        <f>Calculation!V375</f>
        <v>33.569899999999997</v>
      </c>
      <c r="G372" s="498">
        <f>Calculation!W375</f>
        <v>4.641</v>
      </c>
      <c r="H372" s="500">
        <f>Sheet1!H375</f>
        <v>13.76</v>
      </c>
      <c r="I372" s="501">
        <f>Sheet1!CW375</f>
        <v>734.76041666666663</v>
      </c>
      <c r="J372" s="501">
        <f>Sheet1!CX375</f>
        <v>624.30208333333337</v>
      </c>
      <c r="K372" s="501">
        <f>Sheet1!CV375</f>
        <v>510</v>
      </c>
      <c r="L372" s="501">
        <f>Calculation!F375</f>
        <v>250</v>
      </c>
      <c r="M372" s="501">
        <f>Calculation!E375</f>
        <v>250</v>
      </c>
      <c r="N372" s="501">
        <f>Calculation!D375</f>
        <v>300</v>
      </c>
      <c r="O372" s="500">
        <f>Sheet1!CY375</f>
        <v>1077.0999999999999</v>
      </c>
      <c r="P372" s="514" t="e">
        <f>Calculation!ET375</f>
        <v>#N/A</v>
      </c>
      <c r="Q372" s="498">
        <f>Calculation!DF375</f>
        <v>2030.0000000029559</v>
      </c>
      <c r="R372" s="500">
        <f t="shared" si="93"/>
        <v>810.00000000295586</v>
      </c>
      <c r="S372" s="498">
        <f t="shared" si="97"/>
        <v>-2.5999999999999091</v>
      </c>
      <c r="T372" s="498">
        <f ca="1">IF(A372&gt;$A$1,#N/A,VLOOKUP(A372,Calculation!$B$8:$IV$881,30,FALSE))</f>
        <v>0</v>
      </c>
      <c r="U372" s="498">
        <f t="shared" si="94"/>
        <v>0</v>
      </c>
      <c r="V372" s="498">
        <f>Calculation!AP375</f>
        <v>0</v>
      </c>
      <c r="W372" s="498">
        <f t="shared" ca="1" si="92"/>
        <v>-9.1499999957136424E-3</v>
      </c>
      <c r="X372" s="498">
        <v>0</v>
      </c>
      <c r="Y372" s="744">
        <f t="shared" ca="1" si="91"/>
        <v>0</v>
      </c>
      <c r="Z372" s="748">
        <f t="shared" ca="1" si="95"/>
        <v>-9.1499999957136424E-3</v>
      </c>
      <c r="AA372" s="498">
        <f t="shared" ca="1" si="98"/>
        <v>2030.0091500029516</v>
      </c>
      <c r="AB372" s="501">
        <f t="shared" ca="1" si="99"/>
        <v>810.00915000295163</v>
      </c>
      <c r="AC372" s="498" t="e">
        <f ca="1">IF(A372&gt;$A$1,#N/A,VLOOKUP(A372,Calculation!$B$8:$IV$881,155,FALSE))</f>
        <v>#N/A</v>
      </c>
      <c r="AD372" s="498" t="e">
        <f t="shared" ca="1" si="100"/>
        <v>#N/A</v>
      </c>
      <c r="AE372" s="498"/>
      <c r="AF372" s="501">
        <f>Calculation!G375</f>
        <v>508.68885526979329</v>
      </c>
      <c r="AG372" s="498" t="str">
        <f t="shared" si="101"/>
        <v>Yes</v>
      </c>
      <c r="AH372" s="498" t="str">
        <f t="shared" si="102"/>
        <v>Yes</v>
      </c>
      <c r="AK372" s="738">
        <v>1858.0600000026352</v>
      </c>
      <c r="AL372" s="738">
        <v>2198.3000000032539</v>
      </c>
      <c r="AM372" s="740">
        <v>2106.7000000030444</v>
      </c>
      <c r="AR372" s="549"/>
      <c r="AS372" s="524"/>
      <c r="AT372" s="585"/>
      <c r="AU372" s="577"/>
      <c r="AV372" s="577"/>
      <c r="AW372" s="586"/>
      <c r="AY372" s="563"/>
      <c r="AZ372" s="562"/>
      <c r="BA372" s="563"/>
      <c r="BB372" s="562"/>
      <c r="BC372" s="563"/>
      <c r="BD372" s="562"/>
      <c r="BE372" s="556"/>
    </row>
    <row r="373" spans="1:57" ht="13.5" thickBot="1">
      <c r="A373" s="513">
        <v>40905</v>
      </c>
      <c r="B373" s="498">
        <f t="shared" si="96"/>
        <v>68.408340000013055</v>
      </c>
      <c r="C373" s="498">
        <f>Calculation!AA376</f>
        <v>0</v>
      </c>
      <c r="D373" s="498">
        <f>Calculation!Y376</f>
        <v>0</v>
      </c>
      <c r="E373" s="498">
        <f>Calculation!U376</f>
        <v>42.697200000009005</v>
      </c>
      <c r="F373" s="498">
        <f>Calculation!V376</f>
        <v>25.71114000000405</v>
      </c>
      <c r="G373" s="498">
        <f>Calculation!W376</f>
        <v>69.785170000000903</v>
      </c>
      <c r="H373" s="500">
        <f>Sheet1!H376</f>
        <v>70.73</v>
      </c>
      <c r="I373" s="501">
        <f>Sheet1!CW376</f>
        <v>1925.59375</v>
      </c>
      <c r="J373" s="501">
        <f>Sheet1!CX376</f>
        <v>2688.6041666666665</v>
      </c>
      <c r="K373" s="501">
        <f>Sheet1!CV376</f>
        <v>2695.7916666666665</v>
      </c>
      <c r="L373" s="501">
        <f>Calculation!F376</f>
        <v>250</v>
      </c>
      <c r="M373" s="501">
        <f>Calculation!E376</f>
        <v>250</v>
      </c>
      <c r="N373" s="501">
        <f>Calculation!D376</f>
        <v>300</v>
      </c>
      <c r="O373" s="500">
        <f>Sheet1!CY376</f>
        <v>1093.8800000000001</v>
      </c>
      <c r="P373" s="514" t="e">
        <f>Calculation!ET376</f>
        <v>#N/A</v>
      </c>
      <c r="Q373" s="498">
        <f>Calculation!DF376</f>
        <v>4873.4400000081359</v>
      </c>
      <c r="R373" s="500">
        <f t="shared" si="93"/>
        <v>3653.4400000081359</v>
      </c>
      <c r="S373" s="498">
        <f t="shared" si="97"/>
        <v>2843.4400000051801</v>
      </c>
      <c r="T373" s="498">
        <f ca="1">IF(A373&gt;$A$1,#N/A,VLOOKUP(A373,Calculation!$B$8:$IV$881,30,FALSE))</f>
        <v>0</v>
      </c>
      <c r="U373" s="498">
        <f t="shared" si="94"/>
        <v>0</v>
      </c>
      <c r="V373" s="498">
        <f>Calculation!AP376</f>
        <v>0</v>
      </c>
      <c r="W373" s="498">
        <f t="shared" ca="1" si="92"/>
        <v>-9.1499999957136424E-3</v>
      </c>
      <c r="X373" s="498">
        <v>0</v>
      </c>
      <c r="Y373" s="744">
        <f t="shared" ca="1" si="91"/>
        <v>0</v>
      </c>
      <c r="Z373" s="748">
        <f t="shared" ca="1" si="95"/>
        <v>-9.1499999957136424E-3</v>
      </c>
      <c r="AA373" s="498">
        <f t="shared" ca="1" si="98"/>
        <v>4873.4491500081313</v>
      </c>
      <c r="AB373" s="501">
        <f t="shared" ca="1" si="99"/>
        <v>3653.4491500081313</v>
      </c>
      <c r="AC373" s="498" t="e">
        <f ca="1">IF(A373&gt;$A$1,#N/A,VLOOKUP(A373,Calculation!$B$8:$IV$881,155,FALSE))</f>
        <v>#N/A</v>
      </c>
      <c r="AD373" s="498" t="e">
        <f t="shared" ca="1" si="100"/>
        <v>#N/A</v>
      </c>
      <c r="AE373" s="498"/>
      <c r="AF373" s="501">
        <f>Calculation!G376</f>
        <v>4129.6998865381638</v>
      </c>
      <c r="AG373" s="498" t="str">
        <f t="shared" si="101"/>
        <v>Yes</v>
      </c>
      <c r="AH373" s="498" t="str">
        <f t="shared" si="102"/>
        <v>Yes</v>
      </c>
      <c r="AK373" s="738">
        <v>3120.5800000047884</v>
      </c>
      <c r="AL373" s="738">
        <v>2061.2000000029852</v>
      </c>
      <c r="AM373" s="740">
        <v>2052.1000000029853</v>
      </c>
      <c r="AR373" s="549"/>
      <c r="AS373" s="524"/>
      <c r="AT373" s="585"/>
      <c r="AU373" s="577"/>
      <c r="AV373" s="577"/>
      <c r="AW373" s="586"/>
      <c r="AY373" s="563"/>
      <c r="AZ373" s="562"/>
      <c r="BA373" s="563"/>
      <c r="BB373" s="562"/>
      <c r="BC373" s="563"/>
      <c r="BD373" s="562"/>
      <c r="BE373" s="556"/>
    </row>
    <row r="374" spans="1:57" ht="13.5" thickBot="1">
      <c r="A374" s="513">
        <v>40906</v>
      </c>
      <c r="B374" s="498">
        <f t="shared" si="96"/>
        <v>63.720929999986488</v>
      </c>
      <c r="C374" s="498">
        <f>Calculation!AA377</f>
        <v>0</v>
      </c>
      <c r="D374" s="498">
        <f>Calculation!Y377</f>
        <v>0</v>
      </c>
      <c r="E374" s="498">
        <f>Calculation!U377</f>
        <v>41.923699999986489</v>
      </c>
      <c r="F374" s="498">
        <f>Calculation!V377</f>
        <v>21.797229999999999</v>
      </c>
      <c r="G374" s="498">
        <f>Calculation!W377</f>
        <v>63.256829999999098</v>
      </c>
      <c r="H374" s="500">
        <f>Sheet1!H377</f>
        <v>58.1</v>
      </c>
      <c r="I374" s="501">
        <f>Sheet1!CW377</f>
        <v>6053.541666666667</v>
      </c>
      <c r="J374" s="501">
        <f>Sheet1!CX377</f>
        <v>6001.5625</v>
      </c>
      <c r="K374" s="501">
        <f>Sheet1!CV377</f>
        <v>5701.25</v>
      </c>
      <c r="L374" s="501">
        <f>Calculation!F377</f>
        <v>250</v>
      </c>
      <c r="M374" s="501">
        <f>Calculation!E377</f>
        <v>250</v>
      </c>
      <c r="N374" s="501">
        <f>Calculation!D377</f>
        <v>300</v>
      </c>
      <c r="O374" s="500">
        <f>Sheet1!CY377</f>
        <v>1096</v>
      </c>
      <c r="P374" s="514" t="e">
        <f>Calculation!ET377</f>
        <v>#N/A</v>
      </c>
      <c r="Q374" s="498">
        <f>Calculation!DF377</f>
        <v>5345.0000000092841</v>
      </c>
      <c r="R374" s="500">
        <f t="shared" si="93"/>
        <v>4125.0000000092841</v>
      </c>
      <c r="S374" s="498">
        <f t="shared" si="97"/>
        <v>471.56000000114818</v>
      </c>
      <c r="T374" s="498">
        <f ca="1">IF(A374&gt;$A$1,#N/A,VLOOKUP(A374,Calculation!$B$8:$IV$881,30,FALSE))</f>
        <v>0</v>
      </c>
      <c r="U374" s="498">
        <f t="shared" si="94"/>
        <v>0</v>
      </c>
      <c r="V374" s="498">
        <f>Calculation!AP377</f>
        <v>0</v>
      </c>
      <c r="W374" s="498">
        <f t="shared" ca="1" si="92"/>
        <v>-9.1499999957136424E-3</v>
      </c>
      <c r="X374" s="498">
        <v>0</v>
      </c>
      <c r="Y374" s="744">
        <f t="shared" ca="1" si="91"/>
        <v>0</v>
      </c>
      <c r="Z374" s="748">
        <f t="shared" ca="1" si="95"/>
        <v>-9.1499999957136424E-3</v>
      </c>
      <c r="AA374" s="498">
        <f t="shared" ca="1" si="98"/>
        <v>5345.0091500092794</v>
      </c>
      <c r="AB374" s="501">
        <f t="shared" ca="1" si="99"/>
        <v>4125.0091500092794</v>
      </c>
      <c r="AC374" s="498" t="e">
        <f ca="1">IF(A374&gt;$A$1,#N/A,VLOOKUP(A374,Calculation!$B$8:$IV$881,155,FALSE))</f>
        <v>#N/A</v>
      </c>
      <c r="AD374" s="498" t="e">
        <f t="shared" ca="1" si="100"/>
        <v>#N/A</v>
      </c>
      <c r="AE374" s="498"/>
      <c r="AF374" s="501">
        <f>Calculation!G377</f>
        <v>5939.0513111453092</v>
      </c>
      <c r="AG374" s="498" t="str">
        <f t="shared" si="101"/>
        <v>Yes</v>
      </c>
      <c r="AH374" s="498" t="str">
        <f t="shared" si="102"/>
        <v>Yes</v>
      </c>
      <c r="AK374" s="738">
        <v>2549.2700000037717</v>
      </c>
      <c r="AL374" s="738">
        <v>1880.020000002663</v>
      </c>
      <c r="AM374" s="740">
        <v>1981.7200000028363</v>
      </c>
      <c r="AR374" s="549"/>
      <c r="AS374" s="524"/>
      <c r="AT374" s="585"/>
      <c r="AU374" s="577"/>
      <c r="AV374" s="577"/>
      <c r="AW374" s="586"/>
      <c r="AY374" s="563"/>
      <c r="AZ374" s="562"/>
      <c r="BA374" s="563"/>
      <c r="BB374" s="562"/>
      <c r="BC374" s="563"/>
      <c r="BD374" s="562"/>
      <c r="BE374" s="556"/>
    </row>
    <row r="375" spans="1:57" ht="13.5" thickBot="1">
      <c r="A375" s="513">
        <v>40907</v>
      </c>
      <c r="B375" s="498">
        <f t="shared" si="96"/>
        <v>63.396060000004951</v>
      </c>
      <c r="C375" s="498">
        <f>Calculation!AA378</f>
        <v>0</v>
      </c>
      <c r="D375" s="498">
        <f>Calculation!Y378</f>
        <v>0</v>
      </c>
      <c r="E375" s="498">
        <f>Calculation!U378</f>
        <v>37.5921000000045</v>
      </c>
      <c r="F375" s="498">
        <f>Calculation!V378</f>
        <v>25.803960000000448</v>
      </c>
      <c r="G375" s="498">
        <f>Calculation!W378</f>
        <v>63.427</v>
      </c>
      <c r="H375" s="500">
        <f>Sheet1!H378</f>
        <v>68.94</v>
      </c>
      <c r="I375" s="501">
        <f>Sheet1!CW378</f>
        <v>7061.458333333333</v>
      </c>
      <c r="J375" s="501">
        <f>Sheet1!CX378</f>
        <v>6217.916666666667</v>
      </c>
      <c r="K375" s="501">
        <f>Sheet1!CV378</f>
        <v>5735.416666666667</v>
      </c>
      <c r="L375" s="501">
        <f>Calculation!F378</f>
        <v>250</v>
      </c>
      <c r="M375" s="501">
        <f>Calculation!E378</f>
        <v>250</v>
      </c>
      <c r="N375" s="501">
        <f>Calculation!D378</f>
        <v>300</v>
      </c>
      <c r="O375" s="500">
        <f>Sheet1!CY378</f>
        <v>1099.33</v>
      </c>
      <c r="P375" s="514" t="e">
        <f>Calculation!ET378</f>
        <v>#N/A</v>
      </c>
      <c r="Q375" s="498">
        <f>Calculation!DF378</f>
        <v>6144.1600000108301</v>
      </c>
      <c r="R375" s="500">
        <f t="shared" si="93"/>
        <v>4924.1600000108301</v>
      </c>
      <c r="S375" s="498">
        <f t="shared" si="97"/>
        <v>799.160000001546</v>
      </c>
      <c r="T375" s="498">
        <f ca="1">IF(A375&gt;$A$1,#N/A,VLOOKUP(A375,Calculation!$B$8:$IV$881,30,FALSE))</f>
        <v>0</v>
      </c>
      <c r="U375" s="498">
        <f t="shared" si="94"/>
        <v>0</v>
      </c>
      <c r="V375" s="498">
        <f>Calculation!AP378</f>
        <v>0</v>
      </c>
      <c r="W375" s="498">
        <f t="shared" ca="1" si="92"/>
        <v>-9.1499999957136424E-3</v>
      </c>
      <c r="X375" s="498">
        <v>0</v>
      </c>
      <c r="Y375" s="744">
        <f t="shared" ref="Y375:Y380" ca="1" si="103">IF((A375+1)&gt;$A$1,#N/A,0)</f>
        <v>0</v>
      </c>
      <c r="Z375" s="748">
        <f t="shared" ca="1" si="95"/>
        <v>-9.1499999957136424E-3</v>
      </c>
      <c r="AA375" s="498">
        <f t="shared" ca="1" si="98"/>
        <v>6144.1691500108254</v>
      </c>
      <c r="AB375" s="501">
        <f t="shared" ca="1" si="99"/>
        <v>4924.1691500108254</v>
      </c>
      <c r="AC375" s="498" t="e">
        <f ca="1">IF(A375&gt;$A$1,#N/A,VLOOKUP(A375,Calculation!$B$8:$IV$881,155,FALSE))</f>
        <v>#N/A</v>
      </c>
      <c r="AD375" s="498" t="e">
        <f t="shared" ca="1" si="100"/>
        <v>#N/A</v>
      </c>
      <c r="AE375" s="498"/>
      <c r="AF375" s="501">
        <f>Calculation!G378</f>
        <v>6138.4222138182286</v>
      </c>
      <c r="AG375" s="498" t="str">
        <f t="shared" si="101"/>
        <v>Yes</v>
      </c>
      <c r="AH375" s="498" t="str">
        <f t="shared" si="102"/>
        <v>Yes</v>
      </c>
      <c r="AK375" s="738">
        <v>2013.2200000028649</v>
      </c>
      <c r="AL375" s="738">
        <v>1880.020000002663</v>
      </c>
      <c r="AM375" s="740">
        <v>2123.6000000030444</v>
      </c>
      <c r="AR375" s="549"/>
      <c r="AS375" s="524"/>
      <c r="AT375" s="585"/>
      <c r="AU375" s="577"/>
      <c r="AV375" s="577"/>
      <c r="AW375" s="586"/>
      <c r="AY375" s="563"/>
      <c r="AZ375" s="562"/>
      <c r="BA375" s="563"/>
      <c r="BB375" s="562"/>
      <c r="BC375" s="563"/>
      <c r="BD375" s="562"/>
      <c r="BE375" s="556"/>
    </row>
    <row r="376" spans="1:57" ht="13.5" thickBot="1">
      <c r="A376" s="513">
        <v>40908</v>
      </c>
      <c r="B376" s="498">
        <f t="shared" si="96"/>
        <v>58.786000000000001</v>
      </c>
      <c r="C376" s="498">
        <f>Calculation!AA379</f>
        <v>0</v>
      </c>
      <c r="D376" s="498">
        <f>Calculation!Y379</f>
        <v>0</v>
      </c>
      <c r="E376" s="498">
        <f>Calculation!U379</f>
        <v>38.674999999999997</v>
      </c>
      <c r="F376" s="498">
        <f>Calculation!V379</f>
        <v>20.111000000000001</v>
      </c>
      <c r="G376" s="498">
        <f>Calculation!W379</f>
        <v>60.332999999999998</v>
      </c>
      <c r="H376" s="500">
        <f>Sheet1!H379</f>
        <v>39.619999999999997</v>
      </c>
      <c r="I376" s="501">
        <f>Sheet1!CW379</f>
        <v>5954.166666666667</v>
      </c>
      <c r="J376" s="501">
        <f>Sheet1!CX379</f>
        <v>5105.833333333333</v>
      </c>
      <c r="K376" s="501">
        <f>Sheet1!CV379</f>
        <v>4430.416666666667</v>
      </c>
      <c r="L376" s="501">
        <f>Calculation!F379</f>
        <v>250</v>
      </c>
      <c r="M376" s="501">
        <f>Calculation!E379</f>
        <v>250</v>
      </c>
      <c r="N376" s="501">
        <f>Calculation!D379</f>
        <v>300</v>
      </c>
      <c r="O376" s="500">
        <f>Sheet1!CY379</f>
        <v>1093</v>
      </c>
      <c r="P376" s="514" t="e">
        <f>Calculation!ET379</f>
        <v>#N/A</v>
      </c>
      <c r="Q376" s="498">
        <f>Calculation!DF379</f>
        <v>4686.0000000079426</v>
      </c>
      <c r="R376" s="500">
        <f t="shared" si="93"/>
        <v>3466.0000000079426</v>
      </c>
      <c r="S376" s="498">
        <f t="shared" si="97"/>
        <v>-1458.1600000028875</v>
      </c>
      <c r="T376" s="498">
        <f ca="1">IF(A376&gt;$A$1,#N/A,VLOOKUP(A376,Calculation!$B$8:$IV$881,30,FALSE))</f>
        <v>0</v>
      </c>
      <c r="U376" s="498">
        <f t="shared" si="94"/>
        <v>0</v>
      </c>
      <c r="V376" s="498">
        <f>Calculation!AP379</f>
        <v>0</v>
      </c>
      <c r="W376" s="498">
        <f t="shared" ca="1" si="92"/>
        <v>-9.1499999957136424E-3</v>
      </c>
      <c r="X376" s="498">
        <v>0</v>
      </c>
      <c r="Y376" s="744">
        <f t="shared" ca="1" si="103"/>
        <v>0</v>
      </c>
      <c r="Z376" s="748">
        <f t="shared" ca="1" si="95"/>
        <v>-9.1499999957136424E-3</v>
      </c>
      <c r="AA376" s="498">
        <f t="shared" ca="1" si="98"/>
        <v>4686.0091500079379</v>
      </c>
      <c r="AB376" s="501">
        <f t="shared" ca="1" si="99"/>
        <v>3466.0091500079379</v>
      </c>
      <c r="AC376" s="498" t="e">
        <f ca="1">IF(A376&gt;$A$1,#N/A,VLOOKUP(A376,Calculation!$B$8:$IV$881,155,FALSE))</f>
        <v>#N/A</v>
      </c>
      <c r="AD376" s="498" t="e">
        <f t="shared" ca="1" si="100"/>
        <v>#N/A</v>
      </c>
      <c r="AE376" s="498"/>
      <c r="AF376" s="501">
        <f>Calculation!G379</f>
        <v>3695.086359050486</v>
      </c>
      <c r="AG376" s="498" t="str">
        <f t="shared" si="101"/>
        <v>Yes</v>
      </c>
      <c r="AH376" s="498" t="str">
        <f t="shared" si="102"/>
        <v>Yes</v>
      </c>
      <c r="AK376" s="738">
        <v>1579.1800000022031</v>
      </c>
      <c r="AL376" s="738">
        <v>1726.5200000024415</v>
      </c>
      <c r="AM376" s="740">
        <v>2230.7000000032535</v>
      </c>
      <c r="AR376" s="549"/>
      <c r="AS376" s="524"/>
      <c r="AT376" s="585"/>
      <c r="AU376" s="577"/>
      <c r="AV376" s="577"/>
      <c r="AW376" s="586"/>
      <c r="AY376" s="563"/>
      <c r="AZ376" s="562"/>
      <c r="BA376" s="563"/>
      <c r="BB376" s="562"/>
      <c r="BC376" s="563"/>
      <c r="BD376" s="562"/>
      <c r="BE376" s="556"/>
    </row>
    <row r="377" spans="1:57" ht="13.5" thickBot="1">
      <c r="A377" s="513">
        <v>40909</v>
      </c>
      <c r="B377" s="498">
        <f t="shared" si="96"/>
        <v>58.786000000000001</v>
      </c>
      <c r="C377" s="498">
        <f>Calculation!AA380</f>
        <v>0</v>
      </c>
      <c r="D377" s="498">
        <f>Calculation!Y380</f>
        <v>0</v>
      </c>
      <c r="E377" s="498">
        <f>Calculation!U380</f>
        <v>38.674999999999997</v>
      </c>
      <c r="F377" s="498">
        <f>Calculation!V380</f>
        <v>20.111000000000001</v>
      </c>
      <c r="G377" s="498">
        <f>Calculation!W380</f>
        <v>57.238999999999997</v>
      </c>
      <c r="H377" s="500">
        <f>Sheet1!H380</f>
        <v>23.64</v>
      </c>
      <c r="I377" s="501">
        <f>Sheet1!CW380</f>
        <v>3690</v>
      </c>
      <c r="J377" s="501">
        <f>Sheet1!CX380</f>
        <v>2790</v>
      </c>
      <c r="K377" s="501">
        <f>Sheet1!CV380</f>
        <v>3400</v>
      </c>
      <c r="L377" s="501">
        <f>Calculation!F380</f>
        <v>250</v>
      </c>
      <c r="M377" s="501">
        <f>Calculation!E380</f>
        <v>250</v>
      </c>
      <c r="N377" s="501">
        <f>Calculation!D380</f>
        <v>300</v>
      </c>
      <c r="O377" s="500">
        <f>Sheet1!CY380</f>
        <v>1088.7</v>
      </c>
      <c r="P377" s="514" t="e">
        <f>Calculation!ET380</f>
        <v>#N/A</v>
      </c>
      <c r="Q377" s="498">
        <f>Calculation!DF380</f>
        <v>3835.8000000061502</v>
      </c>
      <c r="R377" s="500">
        <f t="shared" si="93"/>
        <v>2615.8000000061502</v>
      </c>
      <c r="S377" s="498">
        <f t="shared" si="97"/>
        <v>-850.20000000179243</v>
      </c>
      <c r="T377" s="498">
        <f ca="1">IF(A377&gt;$A$1,#N/A,VLOOKUP(A377,Calculation!$B$8:$IV$881,30,FALSE))</f>
        <v>0</v>
      </c>
      <c r="U377" s="498">
        <f t="shared" si="94"/>
        <v>0</v>
      </c>
      <c r="V377" s="498">
        <f>Calculation!AP380</f>
        <v>0</v>
      </c>
      <c r="W377" s="498">
        <f t="shared" ca="1" si="92"/>
        <v>-9.1499999957136424E-3</v>
      </c>
      <c r="X377" s="498">
        <v>0</v>
      </c>
      <c r="Y377" s="744">
        <f t="shared" ca="1" si="103"/>
        <v>0</v>
      </c>
      <c r="Z377" s="748">
        <f t="shared" ca="1" si="95"/>
        <v>-9.1499999957136424E-3</v>
      </c>
      <c r="AA377" s="498">
        <f t="shared" ca="1" si="98"/>
        <v>3835.809150006146</v>
      </c>
      <c r="AB377" s="501">
        <f t="shared" ca="1" si="99"/>
        <v>2615.809150006146</v>
      </c>
      <c r="AC377" s="498"/>
      <c r="AD377" s="498" t="e">
        <f t="shared" ca="1" si="100"/>
        <v>#N/A</v>
      </c>
      <c r="AE377" s="498"/>
      <c r="AF377" s="501">
        <f>Calculation!G380</f>
        <v>2971.2556732214866</v>
      </c>
      <c r="AG377" s="498" t="str">
        <f t="shared" si="101"/>
        <v>Yes</v>
      </c>
      <c r="AH377" s="498" t="str">
        <f t="shared" si="102"/>
        <v>Yes</v>
      </c>
      <c r="AL377" s="738">
        <v>1726.5200000024415</v>
      </c>
      <c r="AR377" s="549"/>
      <c r="AS377" s="524"/>
      <c r="AT377" s="585"/>
      <c r="AU377" s="577"/>
      <c r="AV377" s="577"/>
      <c r="AW377" s="586"/>
      <c r="AY377" s="563"/>
      <c r="AZ377" s="562"/>
      <c r="BA377" s="563"/>
      <c r="BB377" s="562"/>
      <c r="BC377" s="563"/>
      <c r="BD377" s="562"/>
      <c r="BE377" s="556"/>
    </row>
    <row r="378" spans="1:57" ht="13.5" thickBot="1">
      <c r="A378" s="513">
        <v>40910</v>
      </c>
      <c r="B378" s="498">
        <f t="shared" si="96"/>
        <v>59.250100000000003</v>
      </c>
      <c r="C378" s="498">
        <f>Calculation!AA381</f>
        <v>0</v>
      </c>
      <c r="D378" s="498">
        <f>Calculation!Y381</f>
        <v>0</v>
      </c>
      <c r="E378" s="498">
        <f>Calculation!U381</f>
        <v>38.829700000000003</v>
      </c>
      <c r="F378" s="498">
        <f>Calculation!V381</f>
        <v>20.420399999999997</v>
      </c>
      <c r="G378" s="498">
        <f>Calculation!W381</f>
        <v>59.250099999999996</v>
      </c>
      <c r="H378" s="500">
        <f>Sheet1!H381</f>
        <v>19.87</v>
      </c>
      <c r="I378" s="501">
        <f>Sheet1!CW381</f>
        <v>2762.9166666666665</v>
      </c>
      <c r="J378" s="501">
        <f>Sheet1!CX381</f>
        <v>2326.4583333333335</v>
      </c>
      <c r="K378" s="501">
        <f>Sheet1!CV381</f>
        <v>2114.5833333333335</v>
      </c>
      <c r="L378" s="501">
        <f>Calculation!F381</f>
        <v>250</v>
      </c>
      <c r="M378" s="501">
        <f>Calculation!E381</f>
        <v>250</v>
      </c>
      <c r="N378" s="501">
        <f>Calculation!D381</f>
        <v>300</v>
      </c>
      <c r="O378" s="500">
        <f>Sheet1!CY381</f>
        <v>1084.42</v>
      </c>
      <c r="P378" s="514" t="e">
        <f>Calculation!ET381</f>
        <v>#N/A</v>
      </c>
      <c r="Q378" s="498">
        <f>Calculation!DF381</f>
        <v>3093.0400000047885</v>
      </c>
      <c r="R378" s="500">
        <f t="shared" si="93"/>
        <v>1873.0400000047885</v>
      </c>
      <c r="S378" s="498">
        <f t="shared" si="97"/>
        <v>-742.76000000136173</v>
      </c>
      <c r="T378" s="498">
        <f ca="1">IF(A378&gt;$A$1,#N/A,VLOOKUP(A378,Calculation!$B$8:$IV$881,30,FALSE))</f>
        <v>0</v>
      </c>
      <c r="U378" s="498">
        <f t="shared" si="94"/>
        <v>0</v>
      </c>
      <c r="V378" s="498">
        <f>Calculation!AP381</f>
        <v>0</v>
      </c>
      <c r="W378" s="498">
        <f t="shared" ca="1" si="92"/>
        <v>-9.1499999957136424E-3</v>
      </c>
      <c r="X378" s="498">
        <v>0</v>
      </c>
      <c r="Y378" s="744">
        <f t="shared" ca="1" si="103"/>
        <v>0</v>
      </c>
      <c r="Z378" s="748">
        <f t="shared" ca="1" si="95"/>
        <v>-9.1499999957136424E-3</v>
      </c>
      <c r="AA378" s="498">
        <f t="shared" ca="1" si="98"/>
        <v>3093.0491500047842</v>
      </c>
      <c r="AB378" s="501">
        <f t="shared" ca="1" si="99"/>
        <v>1873.0491500047842</v>
      </c>
      <c r="AC378" s="498"/>
      <c r="AD378" s="498">
        <f t="shared" si="100"/>
        <v>0</v>
      </c>
      <c r="AE378" s="498"/>
      <c r="AF378" s="501">
        <f>Calculation!G381</f>
        <v>1740.019541098658</v>
      </c>
      <c r="AG378" s="498" t="str">
        <f t="shared" si="101"/>
        <v>Yes</v>
      </c>
      <c r="AH378" s="498" t="str">
        <f t="shared" si="102"/>
        <v>Yes</v>
      </c>
      <c r="AR378" s="549"/>
      <c r="AS378" s="524"/>
      <c r="AT378" s="585"/>
      <c r="AU378" s="577"/>
      <c r="AV378" s="577"/>
      <c r="AW378" s="586"/>
      <c r="AY378" s="563"/>
      <c r="AZ378" s="562"/>
      <c r="BA378" s="563"/>
      <c r="BB378" s="562"/>
      <c r="BC378" s="563"/>
      <c r="BD378" s="562"/>
      <c r="BE378" s="556"/>
    </row>
    <row r="379" spans="1:57" ht="13.5" thickBot="1">
      <c r="A379" s="513">
        <v>40911</v>
      </c>
      <c r="B379" s="498">
        <f t="shared" si="96"/>
        <v>0</v>
      </c>
      <c r="C379" s="498">
        <f>Calculation!AA382</f>
        <v>0</v>
      </c>
      <c r="D379" s="498" t="e">
        <f>Calculation!Y382</f>
        <v>#N/A</v>
      </c>
      <c r="E379" s="498">
        <f>Calculation!U382</f>
        <v>0</v>
      </c>
      <c r="F379" s="498">
        <f>Calculation!V382</f>
        <v>0</v>
      </c>
      <c r="G379" s="498">
        <f>Calculation!W382</f>
        <v>0</v>
      </c>
      <c r="H379" s="500">
        <f>Sheet1!H382</f>
        <v>0</v>
      </c>
      <c r="I379" s="501">
        <f>Sheet1!CW382</f>
        <v>0</v>
      </c>
      <c r="J379" s="501">
        <f>Sheet1!CX382</f>
        <v>0</v>
      </c>
      <c r="K379" s="501">
        <f>Sheet1!CV382</f>
        <v>0</v>
      </c>
      <c r="L379" s="501">
        <f>Calculation!F382</f>
        <v>250</v>
      </c>
      <c r="M379" s="501">
        <f>Calculation!E382</f>
        <v>250</v>
      </c>
      <c r="N379" s="501">
        <f>Calculation!D382</f>
        <v>300</v>
      </c>
      <c r="O379" s="500">
        <f>Sheet1!CY382</f>
        <v>0</v>
      </c>
      <c r="P379" s="514" t="e">
        <f>Calculation!ET382</f>
        <v>#N/A</v>
      </c>
      <c r="Q379" s="498" t="e">
        <f>Calculation!DF382</f>
        <v>#N/A</v>
      </c>
      <c r="R379" s="500" t="e">
        <f t="shared" si="93"/>
        <v>#N/A</v>
      </c>
      <c r="S379" s="498" t="e">
        <f t="shared" si="97"/>
        <v>#N/A</v>
      </c>
      <c r="T379" s="498">
        <f ca="1">IF(A379&gt;$A$1,#N/A,VLOOKUP(A379,Calculation!$B$8:$IV$881,30,FALSE))</f>
        <v>0</v>
      </c>
      <c r="U379" s="498" t="e">
        <f t="shared" si="94"/>
        <v>#N/A</v>
      </c>
      <c r="V379" s="498">
        <f>Calculation!AP382</f>
        <v>155</v>
      </c>
      <c r="W379" s="498">
        <f t="shared" ca="1" si="92"/>
        <v>-9.1499999957136424E-3</v>
      </c>
      <c r="X379" s="498">
        <v>0</v>
      </c>
      <c r="Y379" s="744">
        <f t="shared" ca="1" si="103"/>
        <v>0</v>
      </c>
      <c r="Z379" s="748">
        <f t="shared" ca="1" si="95"/>
        <v>-9.1499999957136424E-3</v>
      </c>
      <c r="AA379" s="498" t="e">
        <f t="shared" ca="1" si="98"/>
        <v>#N/A</v>
      </c>
      <c r="AB379" s="501" t="e">
        <f t="shared" ca="1" si="99"/>
        <v>#N/A</v>
      </c>
      <c r="AC379" s="498"/>
      <c r="AD379" s="498">
        <f t="shared" si="100"/>
        <v>0</v>
      </c>
      <c r="AE379" s="498"/>
      <c r="AF379" s="501" t="e">
        <f>Calculation!G382</f>
        <v>#N/A</v>
      </c>
      <c r="AG379" s="498" t="str">
        <f t="shared" si="101"/>
        <v>No</v>
      </c>
      <c r="AH379" s="498" t="str">
        <f t="shared" si="102"/>
        <v>No</v>
      </c>
      <c r="AR379" s="549"/>
      <c r="AS379" s="524"/>
      <c r="AT379" s="585"/>
      <c r="AU379" s="577"/>
      <c r="AV379" s="577"/>
      <c r="AW379" s="586"/>
      <c r="AY379" s="563"/>
      <c r="AZ379" s="562"/>
      <c r="BA379" s="563"/>
      <c r="BB379" s="562"/>
      <c r="BC379" s="563"/>
      <c r="BD379" s="562"/>
      <c r="BE379" s="556"/>
    </row>
    <row r="380" spans="1:57" ht="13.5" thickBot="1">
      <c r="B380" s="498">
        <f t="shared" si="96"/>
        <v>0</v>
      </c>
      <c r="C380" s="498">
        <f>Calculation!AA383</f>
        <v>0</v>
      </c>
      <c r="D380" s="498" t="e">
        <f>Calculation!Y383</f>
        <v>#N/A</v>
      </c>
      <c r="E380" s="498">
        <f>Calculation!U383</f>
        <v>0</v>
      </c>
      <c r="F380" s="498">
        <f>Calculation!V383</f>
        <v>0</v>
      </c>
      <c r="G380" s="498">
        <f>Calculation!W383</f>
        <v>0</v>
      </c>
      <c r="H380" s="500">
        <f>Sheet1!H383</f>
        <v>0</v>
      </c>
      <c r="I380" s="501">
        <f>Sheet1!CW383</f>
        <v>0</v>
      </c>
      <c r="J380" s="501">
        <f>Sheet1!CX383</f>
        <v>0</v>
      </c>
      <c r="K380" s="501">
        <f>Sheet1!CV383</f>
        <v>0</v>
      </c>
      <c r="L380" s="501">
        <f>Calculation!F383</f>
        <v>250</v>
      </c>
      <c r="M380" s="501">
        <f>Calculation!E383</f>
        <v>250</v>
      </c>
      <c r="N380" s="501">
        <f>Calculation!D383</f>
        <v>300</v>
      </c>
      <c r="O380" s="500">
        <f>Sheet1!CY383</f>
        <v>0</v>
      </c>
      <c r="P380" s="514" t="e">
        <f>Calculation!ET383</f>
        <v>#N/A</v>
      </c>
      <c r="Q380" s="498" t="e">
        <f>Calculation!DF383</f>
        <v>#N/A</v>
      </c>
      <c r="R380" s="500" t="e">
        <f t="shared" si="93"/>
        <v>#N/A</v>
      </c>
      <c r="S380" s="498" t="e">
        <f t="shared" si="97"/>
        <v>#N/A</v>
      </c>
      <c r="T380" s="498" t="e">
        <f ca="1">IF(A380&gt;$A$1,#N/A,VLOOKUP(A380,Calculation!$B$8:$IV$881,30,FALSE))</f>
        <v>#N/A</v>
      </c>
      <c r="U380" s="498" t="e">
        <f t="shared" si="94"/>
        <v>#N/A</v>
      </c>
      <c r="V380" s="498">
        <f>Calculation!AP383</f>
        <v>155</v>
      </c>
      <c r="W380" s="498">
        <f t="shared" ca="1" si="92"/>
        <v>-9.1499999957136424E-3</v>
      </c>
      <c r="X380" s="498">
        <v>0</v>
      </c>
      <c r="Y380" s="744">
        <f t="shared" ca="1" si="103"/>
        <v>0</v>
      </c>
      <c r="Z380" s="748">
        <f t="shared" ca="1" si="95"/>
        <v>-9.1499999957136424E-3</v>
      </c>
      <c r="AA380" s="498" t="e">
        <f t="shared" ca="1" si="98"/>
        <v>#N/A</v>
      </c>
      <c r="AB380" s="501" t="e">
        <f t="shared" ca="1" si="99"/>
        <v>#N/A</v>
      </c>
      <c r="AC380" s="498"/>
      <c r="AD380" s="498">
        <f t="shared" si="100"/>
        <v>0</v>
      </c>
      <c r="AE380" s="498"/>
      <c r="AF380" s="501" t="e">
        <f>Calculation!G383</f>
        <v>#N/A</v>
      </c>
      <c r="AG380" s="498" t="str">
        <f t="shared" si="101"/>
        <v>No</v>
      </c>
      <c r="AH380" s="498" t="str">
        <f t="shared" si="102"/>
        <v>No</v>
      </c>
      <c r="AR380" s="555"/>
      <c r="AS380" s="573"/>
      <c r="AT380" s="587"/>
      <c r="AU380" s="588"/>
      <c r="AV380" s="588"/>
      <c r="AW380" s="589"/>
      <c r="AX380" s="557"/>
      <c r="AY380" s="566"/>
      <c r="AZ380" s="567"/>
      <c r="BA380" s="566"/>
      <c r="BB380" s="567"/>
      <c r="BC380" s="566"/>
      <c r="BD380" s="567"/>
      <c r="BE380" s="558"/>
    </row>
    <row r="381" spans="1:57">
      <c r="A381" s="462">
        <v>1</v>
      </c>
      <c r="B381" s="462">
        <v>1</v>
      </c>
      <c r="C381" s="462">
        <v>1</v>
      </c>
      <c r="D381" s="462">
        <v>1</v>
      </c>
      <c r="E381" s="462">
        <v>1</v>
      </c>
      <c r="F381" s="462">
        <v>1</v>
      </c>
      <c r="G381" s="462">
        <v>1</v>
      </c>
      <c r="H381" s="462">
        <v>1</v>
      </c>
      <c r="I381" s="462">
        <v>1</v>
      </c>
      <c r="J381" s="462">
        <v>1</v>
      </c>
      <c r="K381" s="462">
        <v>1</v>
      </c>
      <c r="L381" s="462">
        <v>1</v>
      </c>
      <c r="M381" s="462">
        <v>1</v>
      </c>
      <c r="N381" s="462">
        <v>1</v>
      </c>
      <c r="O381" s="462">
        <v>1</v>
      </c>
      <c r="P381" s="462">
        <v>1</v>
      </c>
      <c r="Q381" s="462">
        <v>1</v>
      </c>
      <c r="R381" s="462">
        <v>1</v>
      </c>
      <c r="S381" s="462">
        <v>1</v>
      </c>
      <c r="T381" s="462">
        <v>1</v>
      </c>
      <c r="U381" s="462">
        <v>1</v>
      </c>
      <c r="V381" s="462">
        <v>1</v>
      </c>
      <c r="W381" s="462">
        <v>1</v>
      </c>
      <c r="X381" s="462">
        <v>1</v>
      </c>
      <c r="Y381" s="462">
        <v>1</v>
      </c>
      <c r="Z381" s="462">
        <v>1</v>
      </c>
      <c r="AA381" s="462">
        <v>1</v>
      </c>
      <c r="AB381" s="462">
        <v>1</v>
      </c>
      <c r="AC381" s="462">
        <v>1</v>
      </c>
      <c r="AD381" s="462">
        <v>1</v>
      </c>
      <c r="AE381" s="462">
        <v>1</v>
      </c>
      <c r="AF381" s="462">
        <v>1</v>
      </c>
      <c r="AG381" s="462">
        <v>1</v>
      </c>
      <c r="AH381" s="462">
        <v>1</v>
      </c>
      <c r="AI381" s="462">
        <v>1</v>
      </c>
      <c r="AJ381" s="462">
        <v>1</v>
      </c>
      <c r="AK381" s="462">
        <v>1</v>
      </c>
      <c r="AL381" s="462">
        <v>1</v>
      </c>
      <c r="AM381" s="462">
        <v>1</v>
      </c>
      <c r="AN381" s="462">
        <v>1</v>
      </c>
      <c r="AO381" s="462">
        <v>1</v>
      </c>
      <c r="AP381" s="462">
        <v>1</v>
      </c>
      <c r="AQ381" s="462">
        <v>1</v>
      </c>
      <c r="AR381" s="462">
        <f>SUM(A381:AQ381)+1</f>
        <v>44</v>
      </c>
      <c r="AS381" s="462">
        <f>AR381+1</f>
        <v>45</v>
      </c>
      <c r="AT381" s="462">
        <f t="shared" ref="AT381:BE381" si="104">AS381+1</f>
        <v>46</v>
      </c>
      <c r="AU381" s="462">
        <f t="shared" si="104"/>
        <v>47</v>
      </c>
      <c r="AV381" s="462">
        <f t="shared" si="104"/>
        <v>48</v>
      </c>
      <c r="AW381" s="462">
        <f t="shared" si="104"/>
        <v>49</v>
      </c>
      <c r="AX381" s="462">
        <f t="shared" si="104"/>
        <v>50</v>
      </c>
      <c r="AY381" s="462">
        <f t="shared" si="104"/>
        <v>51</v>
      </c>
      <c r="AZ381" s="462">
        <f t="shared" si="104"/>
        <v>52</v>
      </c>
      <c r="BA381" s="462">
        <f t="shared" si="104"/>
        <v>53</v>
      </c>
      <c r="BB381" s="462">
        <f t="shared" si="104"/>
        <v>54</v>
      </c>
      <c r="BC381" s="462">
        <f t="shared" si="104"/>
        <v>55</v>
      </c>
      <c r="BD381" s="462">
        <f t="shared" si="104"/>
        <v>56</v>
      </c>
      <c r="BE381" s="462">
        <f t="shared" si="104"/>
        <v>57</v>
      </c>
    </row>
    <row r="382" spans="1:57">
      <c r="B382" s="803">
        <f t="shared" si="96"/>
        <v>0</v>
      </c>
      <c r="C382" s="803">
        <f>Calculation!AA385</f>
        <v>0</v>
      </c>
      <c r="D382" s="803" t="e">
        <f>Calculation!Y385</f>
        <v>#N/A</v>
      </c>
      <c r="E382" s="803">
        <f>Calculation!U385</f>
        <v>0</v>
      </c>
      <c r="F382" s="803">
        <f>Calculation!V385</f>
        <v>0</v>
      </c>
      <c r="G382" s="803">
        <f>Calculation!W385</f>
        <v>0</v>
      </c>
      <c r="H382" s="516">
        <f>Sheet1!H385</f>
        <v>0</v>
      </c>
      <c r="I382" s="804">
        <f>Sheet1!CW385</f>
        <v>0</v>
      </c>
      <c r="J382" s="804">
        <f>Sheet1!CX385</f>
        <v>0</v>
      </c>
      <c r="K382" s="804">
        <f>Sheet1!CV385</f>
        <v>0</v>
      </c>
      <c r="L382" s="804">
        <f>Calculation!F385</f>
        <v>250</v>
      </c>
      <c r="M382" s="804">
        <f>Calculation!E385</f>
        <v>250</v>
      </c>
      <c r="N382" s="804">
        <f>Calculation!D385</f>
        <v>300</v>
      </c>
      <c r="O382" s="516">
        <f>Sheet1!CY385</f>
        <v>0</v>
      </c>
      <c r="P382" s="516" t="e">
        <f>Calculation!ET385</f>
        <v>#N/A</v>
      </c>
      <c r="Q382" s="803" t="e">
        <f>Calculation!DF385</f>
        <v>#N/A</v>
      </c>
      <c r="R382" s="516" t="e">
        <f t="shared" si="93"/>
        <v>#N/A</v>
      </c>
      <c r="S382" s="803" t="e">
        <f t="shared" si="97"/>
        <v>#N/A</v>
      </c>
      <c r="T382" s="803" t="e">
        <f ca="1">IF(A382&gt;$A$1,#N/A,VLOOKUP(A382,Calculation!$B$8:$IV$881,30,FALSE))</f>
        <v>#N/A</v>
      </c>
      <c r="U382" s="803" t="e">
        <f t="shared" si="94"/>
        <v>#N/A</v>
      </c>
      <c r="V382" s="803">
        <f>Calculation!AP385</f>
        <v>155</v>
      </c>
      <c r="W382" s="803">
        <f t="shared" ca="1" si="92"/>
        <v>1</v>
      </c>
      <c r="X382" s="803">
        <v>0</v>
      </c>
      <c r="Y382" s="805">
        <f t="shared" ref="Y382" ca="1" si="105">IF((A382+1)&gt;$A$1,#N/A,2500)</f>
        <v>2500</v>
      </c>
      <c r="Z382" s="806">
        <f t="shared" ca="1" si="95"/>
        <v>-2499</v>
      </c>
      <c r="AA382" s="803" t="e">
        <f t="shared" ca="1" si="98"/>
        <v>#N/A</v>
      </c>
      <c r="AB382" s="804" t="e">
        <f t="shared" ca="1" si="99"/>
        <v>#N/A</v>
      </c>
      <c r="AC382" s="803"/>
      <c r="AD382" s="803">
        <f t="shared" si="100"/>
        <v>-1</v>
      </c>
      <c r="AE382" s="803"/>
      <c r="AF382" s="804" t="e">
        <f>Calculation!G385</f>
        <v>#N/A</v>
      </c>
      <c r="AG382" s="803" t="str">
        <f t="shared" si="101"/>
        <v>No</v>
      </c>
      <c r="AH382" s="803" t="str">
        <f t="shared" si="102"/>
        <v>No</v>
      </c>
      <c r="AR382" s="475" t="s">
        <v>136</v>
      </c>
      <c r="AS382" s="475"/>
      <c r="AX382" s="888" t="s">
        <v>167</v>
      </c>
      <c r="AY382" s="889"/>
      <c r="AZ382" s="888" t="s">
        <v>269</v>
      </c>
      <c r="BA382" s="889"/>
      <c r="BB382" s="888" t="s">
        <v>268</v>
      </c>
      <c r="BC382" s="889"/>
      <c r="BD382" s="888" t="s">
        <v>267</v>
      </c>
      <c r="BE382" s="889"/>
    </row>
    <row r="383" spans="1:57">
      <c r="AR383" s="475" t="str">
        <f ca="1">IF(VLOOKUP($A$1-1,$A$5:AR$380,AR381)&lt;A1,"no Prediction yet",VLOOKUP($A$1-1,$A$5:AR$380,AR381))</f>
        <v>no Prediction yet</v>
      </c>
      <c r="AS383" s="475" t="str">
        <f ca="1">IF(VLOOKUP($A$1-1,$A$5:AS$380,AS381)&lt;B1,"no Prediction yet",VLOOKUP($A$1-1,$A$5:AS$380,AS381))</f>
        <v>no Prediction yet</v>
      </c>
      <c r="AT383" s="476"/>
      <c r="AU383" s="476"/>
      <c r="AV383" s="476"/>
      <c r="AW383" s="476"/>
      <c r="AX383" s="808" t="str">
        <f ca="1">IF(VLOOKUP($A$1-1,$A$5:AX$380,AX381)&lt;A1,"no Prediction yet",VLOOKUP($A$1-1,$A$5:AX$380,AX381))</f>
        <v>no Prediction yet</v>
      </c>
      <c r="AY383" s="808" t="str">
        <f ca="1">IF(VLOOKUP($A$1-1,$A$5:AY$380,AY381)&lt;B1,"no Prediction yet",VLOOKUP($A$1-1,$A$5:AY$380,AY381))</f>
        <v>no Prediction yet</v>
      </c>
      <c r="AZ383" s="532">
        <f ca="1">IF(VLOOKUP($A$1-1,$A$5:AZ$380,AZ381)&lt;C1,"no Prediction yet",VLOOKUP($A$1-1,$A$5:AZ$380,AZ381))</f>
        <v>0</v>
      </c>
      <c r="BA383" s="532">
        <f ca="1">IF(VLOOKUP($A$1-1,$A$5:BA$380,BA381)&lt;D1,"no Prediction yet",VLOOKUP($A$1-1,$A$5:BA$380,BA381))</f>
        <v>0</v>
      </c>
      <c r="BB383" s="807">
        <f ca="1">IF(VLOOKUP($A$1-1,$A$5:BB$380,BB381)&lt;E1,"no Prediction yet",VLOOKUP($A$1-1,$A$5:BB$380,BB381))</f>
        <v>0</v>
      </c>
      <c r="BC383" s="807">
        <f ca="1">IF(VLOOKUP($A$1-1,$A$5:BC$380,BC381)&lt;F1,"no Prediction yet",VLOOKUP($A$1-1,$A$5:BC$380,BC381))</f>
        <v>0</v>
      </c>
      <c r="BD383" s="838">
        <f ca="1">IF(VLOOKUP($A$1-1,$A$5:BD$380,BD381)&lt;G1,"no Prediction yet",VLOOKUP($A$1-1,$A$5:BD$380,BD381))</f>
        <v>0</v>
      </c>
      <c r="BE383" s="838">
        <f ca="1">IF(VLOOKUP($A$1-1,$A$5:BE$380,BE381)&lt;H1,"no Prediction yet",VLOOKUP($A$1-1,$A$5:BE$380,BE381))</f>
        <v>0</v>
      </c>
    </row>
    <row r="384" spans="1:57">
      <c r="AR384" s="475" t="str">
        <f ca="1">TEXT(AR383,"d-mmm-y")</f>
        <v>no Prediction yet</v>
      </c>
      <c r="AS384" s="475" t="str">
        <f ca="1">TEXT(AS383,"d-mmm-y")</f>
        <v>no Prediction yet</v>
      </c>
      <c r="AT384" s="476"/>
      <c r="AU384" s="476"/>
      <c r="AV384" s="476"/>
      <c r="AW384" s="476"/>
      <c r="AX384" s="808" t="str">
        <f t="shared" ref="AX384:BE384" ca="1" si="106">TEXT(AX383,"d-mmm-y")</f>
        <v>no Prediction yet</v>
      </c>
      <c r="AY384" s="808" t="str">
        <f t="shared" ca="1" si="106"/>
        <v>no Prediction yet</v>
      </c>
      <c r="AZ384" s="532" t="str">
        <f t="shared" ca="1" si="106"/>
        <v>0-Jan-00</v>
      </c>
      <c r="BA384" s="532" t="str">
        <f t="shared" ca="1" si="106"/>
        <v>0-Jan-00</v>
      </c>
      <c r="BB384" s="807" t="str">
        <f t="shared" ca="1" si="106"/>
        <v>0-Jan-00</v>
      </c>
      <c r="BC384" s="807" t="str">
        <f t="shared" ca="1" si="106"/>
        <v>0-Jan-00</v>
      </c>
      <c r="BD384" s="838" t="str">
        <f t="shared" ca="1" si="106"/>
        <v>0-Jan-00</v>
      </c>
      <c r="BE384" s="838" t="str">
        <f t="shared" ca="1" si="106"/>
        <v>0-Jan-00</v>
      </c>
    </row>
    <row r="385" spans="40:57">
      <c r="AN385" s="465"/>
      <c r="AO385" s="604"/>
      <c r="AP385" s="604"/>
      <c r="AQ385" s="604"/>
      <c r="AR385" s="526"/>
      <c r="AS385" s="477" t="str">
        <f ca="1">IF(NOW()&lt;Calculation!$FT$8,CONCATENATE("Current Predicted date for Municipal Storage to be at 20000AF is ",AS384),CONCATENATE("Current Predicted date for Municipal Storage to be at 0AF is ",AR384))</f>
        <v>Current Predicted date for Municipal Storage to be at 0AF is no Prediction yet</v>
      </c>
    </row>
    <row r="386" spans="40:57">
      <c r="AT386" s="809"/>
      <c r="AU386" s="810"/>
      <c r="AV386" s="810"/>
      <c r="AW386" s="810"/>
      <c r="AX386" s="809"/>
      <c r="AY386" s="811" t="str">
        <f ca="1">IF(NOW()&lt;Calculation!$FT$8,CONCATENATE("Current Predicted date for Tacoma Storage to be at 20000AF is ",AY384),CONCATENATE("Current Predicted date for Tacoma Storage to be at 0AF is ",AX384))</f>
        <v>Current Predicted date for Tacoma Storage to be at 0AF is no Prediction yet</v>
      </c>
    </row>
    <row r="387" spans="40:57">
      <c r="AV387" s="529"/>
      <c r="AW387" s="530"/>
      <c r="AX387" s="464"/>
      <c r="AY387" s="531"/>
      <c r="AZ387" s="527"/>
      <c r="BA387" s="528" t="str">
        <f ca="1">IF(NOW()&lt;Calculation!$FT$8,CONCATENATE("Current Predicted date for Lakehaven Storage to be at 20000AF is ",BA384),CONCATENATE("Current Predicted date for Lakehaven Storage to be at 0AF is ",AZ384))</f>
        <v>Current Predicted date for Lakehaven Storage to be at 0AF is 0-Jan-00</v>
      </c>
    </row>
    <row r="388" spans="40:57">
      <c r="AX388" s="830"/>
      <c r="AY388" s="831"/>
      <c r="AZ388" s="831"/>
      <c r="BA388" s="832"/>
      <c r="BB388" s="833"/>
      <c r="BC388" s="834" t="str">
        <f ca="1">IF(NOW()&lt;Calculation!$FT$8,CONCATENATE("Current Predicted date for Covington Storage to be at 200000AF is ",BC384),CONCATENATE("Current Predicted date for Covington Storage to be at 0AF is ",BB384))</f>
        <v>Current Predicted date for Covington Storage to be at 0AF is 0-Jan-00</v>
      </c>
    </row>
    <row r="389" spans="40:57">
      <c r="BA389" s="835"/>
      <c r="BB389" s="836"/>
      <c r="BC389" s="836"/>
      <c r="BD389" s="835"/>
      <c r="BE389" s="837" t="str">
        <f ca="1">IF(NOW()&lt;Calculation!$FT$8,CONCATENATE("Current Predicted date for Kent Storage to be at 200000AF is ",BE384),CONCATENATE("Current Predicted date for Kent Storage to be at 0AF is ",BD384))</f>
        <v>Current Predicted date for Kent Storage to be at 0AF is 0-Jan-00</v>
      </c>
    </row>
  </sheetData>
  <mergeCells count="10">
    <mergeCell ref="BD382:BE382"/>
    <mergeCell ref="AX382:AY382"/>
    <mergeCell ref="AZ382:BA382"/>
    <mergeCell ref="BB382:BC382"/>
    <mergeCell ref="AF1:AH1"/>
    <mergeCell ref="L1:N1"/>
    <mergeCell ref="B1:H1"/>
    <mergeCell ref="O1:AA1"/>
    <mergeCell ref="I1:K1"/>
    <mergeCell ref="AC1:AE1"/>
  </mergeCells>
  <phoneticPr fontId="42" type="noConversion"/>
  <conditionalFormatting sqref="AI12 AQ5:AQ12 AL5:AO12 AK5:AL11 AB5:AH380 AB382:AH382 B382:Z382 B5:Z380">
    <cfRule type="expression" dxfId="59" priority="7" stopIfTrue="1">
      <formula>ISERROR(B5)</formula>
    </cfRule>
    <cfRule type="expression" dxfId="58" priority="8" stopIfTrue="1">
      <formula>AND($B5&gt;0,B5=0)</formula>
    </cfRule>
    <cfRule type="expression" dxfId="57" priority="9" stopIfTrue="1">
      <formula>OR(B5=0,$B5&lt;=0)</formula>
    </cfRule>
  </conditionalFormatting>
  <conditionalFormatting sqref="AI7:AI11 P14:S14 AG14:AH14 AJ6:AJ14 AC22 AC30 AC38 AC46 AC54 AC62 AC70 AC78 AC86 AC94 AC102 AC110 AC118 AC126 AC134 AC142 AC150 AC158 AC166 AC174 AC182 AC190 AC238 AC246 AC254 AC262 AC270 AC278 AC286 AC294 AC302 AC310 AC318 AC326 AC334 AC342 AC350 AC358 AC366 AC374 AC193:AC232 U14 W14:AE14 AA6:AA380 AA382">
    <cfRule type="expression" dxfId="56" priority="10" stopIfTrue="1">
      <formula>ISERROR(P6)</formula>
    </cfRule>
    <cfRule type="expression" dxfId="55" priority="11" stopIfTrue="1">
      <formula>AND($B5&gt;0,P6=0)</formula>
    </cfRule>
    <cfRule type="expression" dxfId="54" priority="12" stopIfTrue="1">
      <formula>OR(P6=0,$B5&lt;=0)</formula>
    </cfRule>
  </conditionalFormatting>
  <conditionalFormatting sqref="AS5:AS70 AY5:AY70 BA5:BA70 BC5:BC70 BE5:BE70">
    <cfRule type="expression" dxfId="53" priority="65" stopIfTrue="1">
      <formula>ISERROR(AS5)</formula>
    </cfRule>
    <cfRule type="expression" dxfId="52" priority="66" stopIfTrue="1">
      <formula>AND($B358&gt;0,AS5=0)</formula>
    </cfRule>
    <cfRule type="expression" dxfId="51" priority="67" stopIfTrue="1">
      <formula>OR(AS5=0,$B358&lt;=0)</formula>
    </cfRule>
  </conditionalFormatting>
  <conditionalFormatting sqref="AR3:AR4">
    <cfRule type="expression" dxfId="50" priority="13" stopIfTrue="1">
      <formula>ISERROR(AR3)</formula>
    </cfRule>
    <cfRule type="expression" dxfId="49" priority="14" stopIfTrue="1">
      <formula>AND($B1048216&gt;0,AR3=0)</formula>
    </cfRule>
    <cfRule type="expression" dxfId="48" priority="15" stopIfTrue="1">
      <formula>OR(AR3=0,$B1048216&lt;=0)</formula>
    </cfRule>
  </conditionalFormatting>
  <conditionalFormatting sqref="AS71:AS206 AR163:AR349">
    <cfRule type="expression" dxfId="47" priority="107" stopIfTrue="1">
      <formula>ISERROR(AR71)</formula>
    </cfRule>
    <cfRule type="expression" dxfId="46" priority="108" stopIfTrue="1">
      <formula>$B71&gt;0</formula>
    </cfRule>
    <cfRule type="expression" dxfId="45" priority="109" stopIfTrue="1">
      <formula>OR(AR71=0,$B71&lt;=0)</formula>
    </cfRule>
  </conditionalFormatting>
  <conditionalFormatting sqref="AJ5 AA5">
    <cfRule type="expression" dxfId="44" priority="53" stopIfTrue="1">
      <formula>ISERROR(AA5)</formula>
    </cfRule>
    <cfRule type="expression" dxfId="43" priority="54" stopIfTrue="1">
      <formula>AND(#REF!&gt;0,AA5=0)</formula>
    </cfRule>
    <cfRule type="expression" dxfId="42" priority="55" stopIfTrue="1">
      <formula>OR(AA5=0,#REF!&lt;=0)</formula>
    </cfRule>
  </conditionalFormatting>
  <conditionalFormatting sqref="AT5:AW349">
    <cfRule type="expression" dxfId="41" priority="128" stopIfTrue="1">
      <formula>ISERROR(AT5)</formula>
    </cfRule>
    <cfRule type="expression" dxfId="40" priority="129" stopIfTrue="1">
      <formula>AND($B1&gt;0,AT5=0)</formula>
    </cfRule>
    <cfRule type="expression" dxfId="39" priority="130" stopIfTrue="1">
      <formula>OR(AT5=0,$B1&lt;=0)</formula>
    </cfRule>
  </conditionalFormatting>
  <conditionalFormatting sqref="AY71:AY206 BA71:BA206 BC71:BC206 BE71:BE206 AX163:AX349 AZ163:AZ349 BB163:BB349 BD163:BD349">
    <cfRule type="expression" dxfId="38" priority="131" stopIfTrue="1">
      <formula>ISERROR(AX71)</formula>
    </cfRule>
    <cfRule type="expression" dxfId="37" priority="132" stopIfTrue="1">
      <formula>$B71&gt;0</formula>
    </cfRule>
    <cfRule type="expression" dxfId="36" priority="133" stopIfTrue="1">
      <formula>OR(AX71=0,$B71&lt;=0)</formula>
    </cfRule>
  </conditionalFormatting>
  <pageMargins left="0.75" right="0.75" top="1" bottom="1" header="0.5" footer="0.5"/>
  <pageSetup scale="72" orientation="landscape" r:id="rId1"/>
  <headerFooter alignWithMargins="0"/>
  <ignoredErrors>
    <ignoredError sqref="W294" formula="1"/>
  </ignoredErrors>
  <legacyDrawing r:id="rId2"/>
</worksheet>
</file>

<file path=xl/worksheets/sheet10.xml><?xml version="1.0" encoding="utf-8"?>
<worksheet xmlns="http://schemas.openxmlformats.org/spreadsheetml/2006/main" xmlns:r="http://schemas.openxmlformats.org/officeDocument/2006/relationships">
  <sheetPr codeName="Sheet13"/>
  <dimension ref="A1:M1793"/>
  <sheetViews>
    <sheetView topLeftCell="A917" workbookViewId="0">
      <selection activeCell="L945" sqref="L945"/>
    </sheetView>
  </sheetViews>
  <sheetFormatPr defaultColWidth="9.140625" defaultRowHeight="12.75"/>
  <cols>
    <col min="1" max="1" width="9.140625" style="66"/>
    <col min="2" max="6" width="9.140625" style="90"/>
    <col min="7" max="16384" width="9.140625" style="66"/>
  </cols>
  <sheetData>
    <row r="1" spans="1:13">
      <c r="A1" s="66" t="s">
        <v>244</v>
      </c>
    </row>
    <row r="2" spans="1:13">
      <c r="B2" s="90" t="s">
        <v>245</v>
      </c>
      <c r="G2" s="66" t="s">
        <v>246</v>
      </c>
      <c r="L2" s="66" t="s">
        <v>247</v>
      </c>
      <c r="M2" s="66">
        <f>1220+198</f>
        <v>1418</v>
      </c>
    </row>
    <row r="3" spans="1:13">
      <c r="B3" s="90">
        <v>0</v>
      </c>
      <c r="C3" s="90">
        <v>1049</v>
      </c>
      <c r="D3" s="90">
        <v>64</v>
      </c>
      <c r="E3" s="90">
        <v>1050</v>
      </c>
      <c r="G3" s="66">
        <v>1050</v>
      </c>
      <c r="H3" s="66">
        <v>64</v>
      </c>
      <c r="I3" s="66">
        <v>1050.0999999999999</v>
      </c>
      <c r="J3" s="66">
        <v>66</v>
      </c>
      <c r="L3" s="66" t="s">
        <v>248</v>
      </c>
      <c r="M3" s="66">
        <f>VLOOKUP(M2,hhdelev_wcm,4) -(((VLOOKUP(M2,hhdelev_wcm,3)-M2)/(VLOOKUP(M2,hhdelev_wcm,3)-VLOOKUP(M2,hhdelev_wcm,1)))*(VLOOKUP(M2,hhdelev_wcm,4)-VLOOKUP(M2,hhdelev_wcm,2)))</f>
        <v>1071.9056603773404</v>
      </c>
    </row>
    <row r="4" spans="1:13">
      <c r="B4" s="90">
        <v>64</v>
      </c>
      <c r="C4" s="90">
        <v>1050</v>
      </c>
      <c r="D4" s="90">
        <v>66</v>
      </c>
      <c r="E4" s="90">
        <v>1050.0999999999999</v>
      </c>
      <c r="G4" s="66">
        <v>1050.0999999999999</v>
      </c>
      <c r="H4" s="66">
        <v>66</v>
      </c>
      <c r="I4" s="66">
        <v>1050.2</v>
      </c>
      <c r="J4" s="66">
        <v>68</v>
      </c>
    </row>
    <row r="5" spans="1:13">
      <c r="B5" s="90">
        <v>66</v>
      </c>
      <c r="C5" s="90">
        <v>1050.0999999999999</v>
      </c>
      <c r="D5" s="90">
        <v>68</v>
      </c>
      <c r="E5" s="90">
        <v>1050.2</v>
      </c>
      <c r="G5" s="66">
        <v>1050.2</v>
      </c>
      <c r="H5" s="66">
        <v>68</v>
      </c>
      <c r="I5" s="66">
        <v>1050.3</v>
      </c>
      <c r="J5" s="66">
        <v>70</v>
      </c>
      <c r="L5" s="66" t="s">
        <v>248</v>
      </c>
      <c r="M5" s="66">
        <v>1104.71</v>
      </c>
    </row>
    <row r="6" spans="1:13">
      <c r="B6" s="90">
        <v>68</v>
      </c>
      <c r="C6" s="90">
        <v>1050.2</v>
      </c>
      <c r="D6" s="90">
        <v>70</v>
      </c>
      <c r="E6" s="90">
        <v>1050.3</v>
      </c>
      <c r="G6" s="66">
        <v>1050.3</v>
      </c>
      <c r="H6" s="66">
        <v>70</v>
      </c>
      <c r="I6" s="66">
        <v>1050.4000000000001</v>
      </c>
      <c r="J6" s="66">
        <v>72</v>
      </c>
      <c r="L6" s="66" t="s">
        <v>247</v>
      </c>
      <c r="M6" s="66">
        <f>(VLOOKUP(M5,hhdcap_wcm,4)-(((VLOOKUP(M5,hhdcap_wcm,3)-M5)/(VLOOKUP(M5,hhdcap_wcm,3)-VLOOKUP(M5,hhdcap_wcm,1)))*(VLOOKUP(M5,hhdcap_wcm,4)-VLOOKUP(M5,hhdcap_wcm,2))))</f>
        <v>7602.6100000139604</v>
      </c>
    </row>
    <row r="7" spans="1:13">
      <c r="B7" s="90">
        <v>70</v>
      </c>
      <c r="C7" s="90">
        <v>1050.3</v>
      </c>
      <c r="D7" s="90">
        <v>72</v>
      </c>
      <c r="E7" s="90">
        <v>1050.4000000000001</v>
      </c>
      <c r="G7" s="66">
        <v>1050.4000000000001</v>
      </c>
      <c r="H7" s="66">
        <v>72</v>
      </c>
      <c r="I7" s="66">
        <v>1050.5</v>
      </c>
      <c r="J7" s="66">
        <v>74</v>
      </c>
    </row>
    <row r="8" spans="1:13">
      <c r="B8" s="90">
        <v>72</v>
      </c>
      <c r="C8" s="90">
        <v>1050.4000000000001</v>
      </c>
      <c r="D8" s="90">
        <v>74</v>
      </c>
      <c r="E8" s="90">
        <v>1050.5</v>
      </c>
      <c r="G8" s="66">
        <v>1050.5</v>
      </c>
      <c r="H8" s="66">
        <v>74</v>
      </c>
      <c r="I8" s="66">
        <v>1050.5999999999999</v>
      </c>
      <c r="J8" s="66">
        <v>76</v>
      </c>
    </row>
    <row r="9" spans="1:13">
      <c r="B9" s="90">
        <v>74</v>
      </c>
      <c r="C9" s="90">
        <v>1050.5</v>
      </c>
      <c r="D9" s="90">
        <v>76</v>
      </c>
      <c r="E9" s="90">
        <v>1050.5999999999999</v>
      </c>
      <c r="G9" s="66">
        <v>1050.5999999999999</v>
      </c>
      <c r="H9" s="66">
        <v>76</v>
      </c>
      <c r="I9" s="66">
        <v>1050.7</v>
      </c>
      <c r="J9" s="66">
        <v>78</v>
      </c>
      <c r="M9" s="117"/>
    </row>
    <row r="10" spans="1:13">
      <c r="B10" s="90">
        <v>76</v>
      </c>
      <c r="C10" s="90">
        <v>1050.5999999999999</v>
      </c>
      <c r="D10" s="90">
        <v>78</v>
      </c>
      <c r="E10" s="90">
        <v>1050.7</v>
      </c>
      <c r="G10" s="66">
        <v>1050.7</v>
      </c>
      <c r="H10" s="66">
        <v>78</v>
      </c>
      <c r="I10" s="66">
        <v>1050.8</v>
      </c>
      <c r="J10" s="66">
        <v>80</v>
      </c>
      <c r="M10" s="117"/>
    </row>
    <row r="11" spans="1:13">
      <c r="B11" s="90">
        <v>78</v>
      </c>
      <c r="C11" s="90">
        <v>1050.7</v>
      </c>
      <c r="D11" s="90">
        <v>80</v>
      </c>
      <c r="E11" s="90">
        <v>1050.8</v>
      </c>
      <c r="G11" s="66">
        <v>1050.8</v>
      </c>
      <c r="H11" s="66">
        <v>80</v>
      </c>
      <c r="I11" s="66">
        <v>1050.9000000000001</v>
      </c>
      <c r="J11" s="66">
        <v>82</v>
      </c>
      <c r="M11" s="117"/>
    </row>
    <row r="12" spans="1:13">
      <c r="B12" s="90">
        <v>80</v>
      </c>
      <c r="C12" s="90">
        <v>1050.8</v>
      </c>
      <c r="D12" s="90">
        <v>82</v>
      </c>
      <c r="E12" s="90">
        <v>1050.9000000000001</v>
      </c>
      <c r="G12" s="66">
        <v>1050.9000000000001</v>
      </c>
      <c r="H12" s="66">
        <v>82</v>
      </c>
      <c r="I12" s="66">
        <v>1051</v>
      </c>
      <c r="J12" s="66">
        <v>84</v>
      </c>
      <c r="M12" s="117"/>
    </row>
    <row r="13" spans="1:13">
      <c r="B13" s="90">
        <v>82</v>
      </c>
      <c r="C13" s="90">
        <v>1050.9000000000001</v>
      </c>
      <c r="D13" s="90">
        <v>84</v>
      </c>
      <c r="E13" s="90">
        <v>1051</v>
      </c>
      <c r="G13" s="66">
        <v>1051</v>
      </c>
      <c r="H13" s="66">
        <v>84</v>
      </c>
      <c r="I13" s="66">
        <v>1051.0999999999999</v>
      </c>
      <c r="J13" s="66">
        <v>86.2</v>
      </c>
    </row>
    <row r="14" spans="1:13">
      <c r="B14" s="90">
        <v>84</v>
      </c>
      <c r="C14" s="90">
        <v>1051</v>
      </c>
      <c r="D14" s="90">
        <v>86.2</v>
      </c>
      <c r="E14" s="90">
        <v>1051.0999999999999</v>
      </c>
      <c r="G14" s="66">
        <v>1051.0999999999999</v>
      </c>
      <c r="H14" s="66">
        <v>86.2</v>
      </c>
      <c r="I14" s="66">
        <v>1051.2</v>
      </c>
      <c r="J14" s="66">
        <v>88.4</v>
      </c>
    </row>
    <row r="15" spans="1:13">
      <c r="B15" s="90">
        <v>86.2</v>
      </c>
      <c r="C15" s="90">
        <v>1051.0999999999999</v>
      </c>
      <c r="D15" s="90">
        <v>88.4</v>
      </c>
      <c r="E15" s="90">
        <v>1051.2</v>
      </c>
      <c r="G15" s="66">
        <v>1051.2</v>
      </c>
      <c r="H15" s="66">
        <v>88.4</v>
      </c>
      <c r="I15" s="66">
        <v>1051.3</v>
      </c>
      <c r="J15" s="66">
        <v>90.6</v>
      </c>
    </row>
    <row r="16" spans="1:13">
      <c r="B16" s="90">
        <v>88.4</v>
      </c>
      <c r="C16" s="90">
        <v>1051.2</v>
      </c>
      <c r="D16" s="90">
        <v>90.6</v>
      </c>
      <c r="E16" s="90">
        <v>1051.3</v>
      </c>
      <c r="G16" s="66">
        <v>1051.3</v>
      </c>
      <c r="H16" s="66">
        <v>90.6</v>
      </c>
      <c r="I16" s="66">
        <v>1051.4000000000001</v>
      </c>
      <c r="J16" s="66">
        <v>92.8</v>
      </c>
    </row>
    <row r="17" spans="2:10">
      <c r="B17" s="90">
        <v>90.6</v>
      </c>
      <c r="C17" s="90">
        <v>1051.3</v>
      </c>
      <c r="D17" s="90">
        <v>92.8</v>
      </c>
      <c r="E17" s="90">
        <v>1051.4000000000001</v>
      </c>
      <c r="G17" s="66">
        <v>1051.4000000000001</v>
      </c>
      <c r="H17" s="66">
        <v>92.8</v>
      </c>
      <c r="I17" s="66">
        <v>1051.5</v>
      </c>
      <c r="J17" s="66">
        <v>95</v>
      </c>
    </row>
    <row r="18" spans="2:10">
      <c r="B18" s="90">
        <v>92.8</v>
      </c>
      <c r="C18" s="90">
        <v>1051.4000000000001</v>
      </c>
      <c r="D18" s="90">
        <v>95</v>
      </c>
      <c r="E18" s="90">
        <v>1051.5</v>
      </c>
      <c r="G18" s="66">
        <v>1051.5</v>
      </c>
      <c r="H18" s="66">
        <v>95</v>
      </c>
      <c r="I18" s="66">
        <v>1051.5999999999999</v>
      </c>
      <c r="J18" s="66">
        <v>97.2</v>
      </c>
    </row>
    <row r="19" spans="2:10">
      <c r="B19" s="90">
        <v>95</v>
      </c>
      <c r="C19" s="90">
        <v>1051.5</v>
      </c>
      <c r="D19" s="90">
        <v>97.2</v>
      </c>
      <c r="E19" s="90">
        <v>1051.5999999999999</v>
      </c>
      <c r="G19" s="66">
        <v>1051.5999999999999</v>
      </c>
      <c r="H19" s="66">
        <v>97.2</v>
      </c>
      <c r="I19" s="66">
        <v>1051.7</v>
      </c>
      <c r="J19" s="66">
        <v>99.4</v>
      </c>
    </row>
    <row r="20" spans="2:10">
      <c r="B20" s="90">
        <v>97.2</v>
      </c>
      <c r="C20" s="90">
        <v>1051.5999999999999</v>
      </c>
      <c r="D20" s="90">
        <v>99.4</v>
      </c>
      <c r="E20" s="90">
        <v>1051.7</v>
      </c>
      <c r="G20" s="66">
        <v>1051.7</v>
      </c>
      <c r="H20" s="66">
        <v>99.4</v>
      </c>
      <c r="I20" s="66">
        <v>1051.8</v>
      </c>
      <c r="J20" s="66">
        <v>101.6</v>
      </c>
    </row>
    <row r="21" spans="2:10">
      <c r="B21" s="90">
        <v>99.4</v>
      </c>
      <c r="C21" s="90">
        <v>1051.7</v>
      </c>
      <c r="D21" s="90">
        <v>101.6</v>
      </c>
      <c r="E21" s="90">
        <v>1051.8</v>
      </c>
      <c r="G21" s="66">
        <v>1051.8</v>
      </c>
      <c r="H21" s="66">
        <v>101.6</v>
      </c>
      <c r="I21" s="66">
        <v>1051.9000000000001</v>
      </c>
      <c r="J21" s="66">
        <v>103.8</v>
      </c>
    </row>
    <row r="22" spans="2:10">
      <c r="B22" s="90">
        <v>101.6</v>
      </c>
      <c r="C22" s="90">
        <v>1051.8</v>
      </c>
      <c r="D22" s="90">
        <v>103.8</v>
      </c>
      <c r="E22" s="90">
        <v>1051.9000000000001</v>
      </c>
      <c r="G22" s="66">
        <v>1051.9000000000001</v>
      </c>
      <c r="H22" s="66">
        <v>103.8</v>
      </c>
      <c r="I22" s="66">
        <v>1052</v>
      </c>
      <c r="J22" s="66">
        <v>106</v>
      </c>
    </row>
    <row r="23" spans="2:10">
      <c r="B23" s="90">
        <v>103.8</v>
      </c>
      <c r="C23" s="90">
        <v>1051.9000000000001</v>
      </c>
      <c r="D23" s="90">
        <v>106</v>
      </c>
      <c r="E23" s="90">
        <v>1052</v>
      </c>
      <c r="G23" s="66">
        <v>1052</v>
      </c>
      <c r="H23" s="66">
        <v>106</v>
      </c>
      <c r="I23" s="66">
        <v>1052.0999999999999</v>
      </c>
      <c r="J23" s="66">
        <v>108.7</v>
      </c>
    </row>
    <row r="24" spans="2:10">
      <c r="B24" s="90">
        <v>106</v>
      </c>
      <c r="C24" s="90">
        <v>1052</v>
      </c>
      <c r="D24" s="90">
        <v>108.7</v>
      </c>
      <c r="E24" s="90">
        <v>1052.0999999999999</v>
      </c>
      <c r="G24" s="66">
        <v>1052.0999999999999</v>
      </c>
      <c r="H24" s="66">
        <v>108.7</v>
      </c>
      <c r="I24" s="66">
        <v>1052.2</v>
      </c>
      <c r="J24" s="66">
        <v>111.4</v>
      </c>
    </row>
    <row r="25" spans="2:10">
      <c r="B25" s="90">
        <v>108.7</v>
      </c>
      <c r="C25" s="90">
        <v>1052.0999999999999</v>
      </c>
      <c r="D25" s="90">
        <v>111.4</v>
      </c>
      <c r="E25" s="90">
        <v>1052.2</v>
      </c>
      <c r="G25" s="66">
        <v>1052.2</v>
      </c>
      <c r="H25" s="66">
        <v>111.4</v>
      </c>
      <c r="I25" s="66">
        <v>1052.3</v>
      </c>
      <c r="J25" s="66">
        <v>114.1</v>
      </c>
    </row>
    <row r="26" spans="2:10">
      <c r="B26" s="90">
        <v>111.4</v>
      </c>
      <c r="C26" s="90">
        <v>1052.2</v>
      </c>
      <c r="D26" s="90">
        <v>114.1</v>
      </c>
      <c r="E26" s="90">
        <v>1052.3</v>
      </c>
      <c r="G26" s="66">
        <v>1052.3</v>
      </c>
      <c r="H26" s="66">
        <v>114.1</v>
      </c>
      <c r="I26" s="66">
        <v>1052.4000000000001</v>
      </c>
      <c r="J26" s="66">
        <v>116.8</v>
      </c>
    </row>
    <row r="27" spans="2:10">
      <c r="B27" s="90">
        <v>114.1</v>
      </c>
      <c r="C27" s="90">
        <v>1052.3</v>
      </c>
      <c r="D27" s="90">
        <v>116.8</v>
      </c>
      <c r="E27" s="90">
        <v>1052.4000000000001</v>
      </c>
      <c r="G27" s="66">
        <v>1052.4000000000001</v>
      </c>
      <c r="H27" s="66">
        <v>116.8</v>
      </c>
      <c r="I27" s="66">
        <v>1052.5</v>
      </c>
      <c r="J27" s="66">
        <v>119.5</v>
      </c>
    </row>
    <row r="28" spans="2:10">
      <c r="B28" s="90">
        <v>116.8</v>
      </c>
      <c r="C28" s="90">
        <v>1052.4000000000001</v>
      </c>
      <c r="D28" s="90">
        <v>119.5</v>
      </c>
      <c r="E28" s="90">
        <v>1052.5</v>
      </c>
      <c r="G28" s="66">
        <v>1052.5</v>
      </c>
      <c r="H28" s="66">
        <v>119.5</v>
      </c>
      <c r="I28" s="66">
        <v>1052.5999999999999</v>
      </c>
      <c r="J28" s="66">
        <v>122.2</v>
      </c>
    </row>
    <row r="29" spans="2:10">
      <c r="B29" s="90">
        <v>119.5</v>
      </c>
      <c r="C29" s="90">
        <v>1052.5</v>
      </c>
      <c r="D29" s="90">
        <v>122.2</v>
      </c>
      <c r="E29" s="90">
        <v>1052.5999999999999</v>
      </c>
      <c r="G29" s="66">
        <v>1052.5999999999999</v>
      </c>
      <c r="H29" s="66">
        <v>122.2</v>
      </c>
      <c r="I29" s="66">
        <v>1052.7</v>
      </c>
      <c r="J29" s="66">
        <v>124.9</v>
      </c>
    </row>
    <row r="30" spans="2:10">
      <c r="B30" s="90">
        <v>122.2</v>
      </c>
      <c r="C30" s="90">
        <v>1052.5999999999999</v>
      </c>
      <c r="D30" s="90">
        <v>124.9</v>
      </c>
      <c r="E30" s="90">
        <v>1052.7</v>
      </c>
      <c r="G30" s="66">
        <v>1052.7</v>
      </c>
      <c r="H30" s="66">
        <v>124.9</v>
      </c>
      <c r="I30" s="66">
        <v>1052.8</v>
      </c>
      <c r="J30" s="66">
        <v>127.6</v>
      </c>
    </row>
    <row r="31" spans="2:10">
      <c r="B31" s="90">
        <v>124.9</v>
      </c>
      <c r="C31" s="90">
        <v>1052.7</v>
      </c>
      <c r="D31" s="90">
        <v>127.6</v>
      </c>
      <c r="E31" s="90">
        <v>1052.8</v>
      </c>
      <c r="G31" s="66">
        <v>1052.8</v>
      </c>
      <c r="H31" s="66">
        <v>127.6</v>
      </c>
      <c r="I31" s="66">
        <v>1052.9000000000001</v>
      </c>
      <c r="J31" s="66">
        <v>130.30000000000001</v>
      </c>
    </row>
    <row r="32" spans="2:10">
      <c r="B32" s="90">
        <v>127.6</v>
      </c>
      <c r="C32" s="90">
        <v>1052.8</v>
      </c>
      <c r="D32" s="90">
        <v>130.30000000000001</v>
      </c>
      <c r="E32" s="90">
        <v>1052.9000000000001</v>
      </c>
      <c r="G32" s="66">
        <v>1052.9000000000001</v>
      </c>
      <c r="H32" s="66">
        <v>130.30000000000001</v>
      </c>
      <c r="I32" s="66">
        <v>1053</v>
      </c>
      <c r="J32" s="66">
        <v>133</v>
      </c>
    </row>
    <row r="33" spans="2:10">
      <c r="B33" s="90">
        <v>130.30000000000001</v>
      </c>
      <c r="C33" s="90">
        <v>1052.9000000000001</v>
      </c>
      <c r="D33" s="90">
        <v>133</v>
      </c>
      <c r="E33" s="90">
        <v>1053</v>
      </c>
      <c r="G33" s="66">
        <v>1053</v>
      </c>
      <c r="H33" s="66">
        <v>133</v>
      </c>
      <c r="I33" s="66">
        <v>1053.0999999999999</v>
      </c>
      <c r="J33" s="66">
        <v>135.9</v>
      </c>
    </row>
    <row r="34" spans="2:10">
      <c r="B34" s="90">
        <v>133</v>
      </c>
      <c r="C34" s="90">
        <v>1053</v>
      </c>
      <c r="D34" s="90">
        <v>135.9</v>
      </c>
      <c r="E34" s="90">
        <v>1053.0999999999999</v>
      </c>
      <c r="G34" s="66">
        <v>1053.0999999999999</v>
      </c>
      <c r="H34" s="66">
        <v>135.9</v>
      </c>
      <c r="I34" s="66">
        <v>1053.2</v>
      </c>
      <c r="J34" s="66">
        <v>138.80000000000001</v>
      </c>
    </row>
    <row r="35" spans="2:10">
      <c r="B35" s="90">
        <v>135.9</v>
      </c>
      <c r="C35" s="90">
        <v>1053.0999999999999</v>
      </c>
      <c r="D35" s="90">
        <v>138.80000000000001</v>
      </c>
      <c r="E35" s="90">
        <v>1053.2</v>
      </c>
      <c r="G35" s="66">
        <v>1053.2</v>
      </c>
      <c r="H35" s="66">
        <v>138.80000000000001</v>
      </c>
      <c r="I35" s="66">
        <v>1053.3</v>
      </c>
      <c r="J35" s="66">
        <v>141.69999999999999</v>
      </c>
    </row>
    <row r="36" spans="2:10">
      <c r="B36" s="90">
        <v>138.80000000000001</v>
      </c>
      <c r="C36" s="90">
        <v>1053.2</v>
      </c>
      <c r="D36" s="90">
        <v>141.69999999999999</v>
      </c>
      <c r="E36" s="90">
        <v>1053.3</v>
      </c>
      <c r="G36" s="66">
        <v>1053.3</v>
      </c>
      <c r="H36" s="66">
        <v>141.69999999999999</v>
      </c>
      <c r="I36" s="66">
        <v>1053.4000000000001</v>
      </c>
      <c r="J36" s="66">
        <v>144.6</v>
      </c>
    </row>
    <row r="37" spans="2:10">
      <c r="B37" s="90">
        <v>141.69999999999999</v>
      </c>
      <c r="C37" s="90">
        <v>1053.3</v>
      </c>
      <c r="D37" s="90">
        <v>144.6</v>
      </c>
      <c r="E37" s="90">
        <v>1053.4000000000001</v>
      </c>
      <c r="G37" s="66">
        <v>1053.4000000000001</v>
      </c>
      <c r="H37" s="66">
        <v>144.6</v>
      </c>
      <c r="I37" s="66">
        <v>1053.5</v>
      </c>
      <c r="J37" s="66">
        <v>147.5</v>
      </c>
    </row>
    <row r="38" spans="2:10">
      <c r="B38" s="90">
        <v>144.6</v>
      </c>
      <c r="C38" s="90">
        <v>1053.4000000000001</v>
      </c>
      <c r="D38" s="90">
        <v>147.5</v>
      </c>
      <c r="E38" s="90">
        <v>1053.5</v>
      </c>
      <c r="G38" s="66">
        <v>1053.5</v>
      </c>
      <c r="H38" s="66">
        <v>147.5</v>
      </c>
      <c r="I38" s="66">
        <v>1053.5999999999999</v>
      </c>
      <c r="J38" s="66">
        <v>150.4</v>
      </c>
    </row>
    <row r="39" spans="2:10">
      <c r="B39" s="90">
        <v>147.5</v>
      </c>
      <c r="C39" s="90">
        <v>1053.5</v>
      </c>
      <c r="D39" s="90">
        <v>150.4</v>
      </c>
      <c r="E39" s="90">
        <v>1053.5999999999999</v>
      </c>
      <c r="G39" s="66">
        <v>1053.5999999999999</v>
      </c>
      <c r="H39" s="66">
        <v>150.4</v>
      </c>
      <c r="I39" s="66">
        <v>1053.7</v>
      </c>
      <c r="J39" s="66">
        <v>153.30000000000001</v>
      </c>
    </row>
    <row r="40" spans="2:10">
      <c r="B40" s="90">
        <v>150.4</v>
      </c>
      <c r="C40" s="90">
        <v>1053.5999999999999</v>
      </c>
      <c r="D40" s="90">
        <v>153.30000000000001</v>
      </c>
      <c r="E40" s="90">
        <v>1053.7</v>
      </c>
      <c r="G40" s="66">
        <v>1053.7</v>
      </c>
      <c r="H40" s="66">
        <v>153.30000000000001</v>
      </c>
      <c r="I40" s="66">
        <v>1053.8</v>
      </c>
      <c r="J40" s="66">
        <v>156.19999999999999</v>
      </c>
    </row>
    <row r="41" spans="2:10">
      <c r="B41" s="90">
        <v>153.30000000000001</v>
      </c>
      <c r="C41" s="90">
        <v>1053.7</v>
      </c>
      <c r="D41" s="90">
        <v>156.19999999999999</v>
      </c>
      <c r="E41" s="90">
        <v>1053.8</v>
      </c>
      <c r="G41" s="66">
        <v>1053.8</v>
      </c>
      <c r="H41" s="66">
        <v>156.19999999999999</v>
      </c>
      <c r="I41" s="66">
        <v>1053.9000000000001</v>
      </c>
      <c r="J41" s="66">
        <v>159.1</v>
      </c>
    </row>
    <row r="42" spans="2:10">
      <c r="B42" s="90">
        <v>156.19999999999999</v>
      </c>
      <c r="C42" s="90">
        <v>1053.8</v>
      </c>
      <c r="D42" s="90">
        <v>159.1</v>
      </c>
      <c r="E42" s="90">
        <v>1053.9000000000001</v>
      </c>
      <c r="G42" s="66">
        <v>1053.9000000000001</v>
      </c>
      <c r="H42" s="66">
        <v>159.1</v>
      </c>
      <c r="I42" s="66">
        <v>1054</v>
      </c>
      <c r="J42" s="66">
        <v>162</v>
      </c>
    </row>
    <row r="43" spans="2:10">
      <c r="B43" s="90">
        <v>159.1</v>
      </c>
      <c r="C43" s="90">
        <v>1053.9000000000001</v>
      </c>
      <c r="D43" s="90">
        <v>162</v>
      </c>
      <c r="E43" s="90">
        <v>1054</v>
      </c>
      <c r="G43" s="66">
        <v>1054</v>
      </c>
      <c r="H43" s="66">
        <v>162</v>
      </c>
      <c r="I43" s="66">
        <v>1054.0999999999999</v>
      </c>
      <c r="J43" s="66">
        <v>165.9</v>
      </c>
    </row>
    <row r="44" spans="2:10">
      <c r="B44" s="90">
        <v>162</v>
      </c>
      <c r="C44" s="90">
        <v>1054</v>
      </c>
      <c r="D44" s="90">
        <v>165.9</v>
      </c>
      <c r="E44" s="90">
        <v>1054.0999999999999</v>
      </c>
      <c r="G44" s="66">
        <v>1054.0999999999999</v>
      </c>
      <c r="H44" s="66">
        <v>165.9</v>
      </c>
      <c r="I44" s="66">
        <v>1054.2</v>
      </c>
      <c r="J44" s="66">
        <v>169.8</v>
      </c>
    </row>
    <row r="45" spans="2:10">
      <c r="B45" s="90">
        <v>165.9</v>
      </c>
      <c r="C45" s="90">
        <v>1054.0999999999999</v>
      </c>
      <c r="D45" s="90">
        <v>169.8</v>
      </c>
      <c r="E45" s="90">
        <v>1054.2</v>
      </c>
      <c r="G45" s="66">
        <v>1054.2</v>
      </c>
      <c r="H45" s="66">
        <v>169.8</v>
      </c>
      <c r="I45" s="66">
        <v>1054.3</v>
      </c>
      <c r="J45" s="66">
        <v>173.7</v>
      </c>
    </row>
    <row r="46" spans="2:10">
      <c r="B46" s="90">
        <v>169.8</v>
      </c>
      <c r="C46" s="90">
        <v>1054.2</v>
      </c>
      <c r="D46" s="90">
        <v>173.7</v>
      </c>
      <c r="E46" s="90">
        <v>1054.3</v>
      </c>
      <c r="G46" s="66">
        <v>1054.3</v>
      </c>
      <c r="H46" s="66">
        <v>173.7</v>
      </c>
      <c r="I46" s="66">
        <v>1054.4000000000001</v>
      </c>
      <c r="J46" s="66">
        <v>177.6</v>
      </c>
    </row>
    <row r="47" spans="2:10">
      <c r="B47" s="90">
        <v>173.7</v>
      </c>
      <c r="C47" s="90">
        <v>1054.3</v>
      </c>
      <c r="D47" s="90">
        <v>177.6</v>
      </c>
      <c r="E47" s="90">
        <v>1054.4000000000001</v>
      </c>
      <c r="G47" s="66">
        <v>1054.4000000000001</v>
      </c>
      <c r="H47" s="66">
        <v>177.6</v>
      </c>
      <c r="I47" s="66">
        <v>1054.5</v>
      </c>
      <c r="J47" s="66">
        <v>181.5</v>
      </c>
    </row>
    <row r="48" spans="2:10">
      <c r="B48" s="90">
        <v>177.6</v>
      </c>
      <c r="C48" s="90">
        <v>1054.4000000000001</v>
      </c>
      <c r="D48" s="90">
        <v>181.5</v>
      </c>
      <c r="E48" s="90">
        <v>1054.5</v>
      </c>
      <c r="G48" s="66">
        <v>1054.5</v>
      </c>
      <c r="H48" s="66">
        <v>181.5</v>
      </c>
      <c r="I48" s="66">
        <v>1054.5999999999999</v>
      </c>
      <c r="J48" s="66">
        <v>185.4</v>
      </c>
    </row>
    <row r="49" spans="2:10">
      <c r="B49" s="90">
        <v>181.5</v>
      </c>
      <c r="C49" s="90">
        <v>1054.5</v>
      </c>
      <c r="D49" s="90">
        <v>185.4</v>
      </c>
      <c r="E49" s="90">
        <v>1054.5999999999999</v>
      </c>
      <c r="G49" s="66">
        <v>1054.5999999999999</v>
      </c>
      <c r="H49" s="66">
        <v>185.4</v>
      </c>
      <c r="I49" s="66">
        <v>1054.7</v>
      </c>
      <c r="J49" s="66">
        <v>189.3</v>
      </c>
    </row>
    <row r="50" spans="2:10">
      <c r="B50" s="90">
        <v>185.4</v>
      </c>
      <c r="C50" s="90">
        <v>1054.5999999999999</v>
      </c>
      <c r="D50" s="90">
        <v>189.3</v>
      </c>
      <c r="E50" s="90">
        <v>1054.7</v>
      </c>
      <c r="G50" s="66">
        <v>1054.7</v>
      </c>
      <c r="H50" s="66">
        <v>189.3</v>
      </c>
      <c r="I50" s="66">
        <v>1054.8</v>
      </c>
      <c r="J50" s="66">
        <v>193.2</v>
      </c>
    </row>
    <row r="51" spans="2:10">
      <c r="B51" s="90">
        <v>189.3</v>
      </c>
      <c r="C51" s="90">
        <v>1054.7</v>
      </c>
      <c r="D51" s="90">
        <v>193.2</v>
      </c>
      <c r="E51" s="90">
        <v>1054.8</v>
      </c>
      <c r="G51" s="66">
        <v>1054.8</v>
      </c>
      <c r="H51" s="66">
        <v>193.2</v>
      </c>
      <c r="I51" s="66">
        <v>1054.9000000000001</v>
      </c>
      <c r="J51" s="66">
        <v>197.1</v>
      </c>
    </row>
    <row r="52" spans="2:10">
      <c r="B52" s="90">
        <v>193.2</v>
      </c>
      <c r="C52" s="90">
        <v>1054.8</v>
      </c>
      <c r="D52" s="90">
        <v>197.1</v>
      </c>
      <c r="E52" s="90">
        <v>1054.9000000000001</v>
      </c>
      <c r="G52" s="66">
        <v>1054.9000000000001</v>
      </c>
      <c r="H52" s="66">
        <v>197.1</v>
      </c>
      <c r="I52" s="66">
        <v>1055</v>
      </c>
      <c r="J52" s="66">
        <v>201</v>
      </c>
    </row>
    <row r="53" spans="2:10">
      <c r="B53" s="90">
        <v>197.1</v>
      </c>
      <c r="C53" s="90">
        <v>1054.9000000000001</v>
      </c>
      <c r="D53" s="90">
        <v>201</v>
      </c>
      <c r="E53" s="90">
        <v>1055</v>
      </c>
      <c r="G53" s="66">
        <v>1055</v>
      </c>
      <c r="H53" s="66">
        <v>201</v>
      </c>
      <c r="I53" s="66">
        <v>1055.0999999999999</v>
      </c>
      <c r="J53" s="66">
        <v>204.8</v>
      </c>
    </row>
    <row r="54" spans="2:10">
      <c r="B54" s="90">
        <v>201</v>
      </c>
      <c r="C54" s="90">
        <v>1055</v>
      </c>
      <c r="D54" s="90">
        <v>204.8</v>
      </c>
      <c r="E54" s="90">
        <v>1055.0999999999999</v>
      </c>
      <c r="G54" s="66">
        <v>1055.0999999999999</v>
      </c>
      <c r="H54" s="66">
        <v>204.8</v>
      </c>
      <c r="I54" s="66">
        <v>1055.2</v>
      </c>
      <c r="J54" s="66">
        <v>208.6</v>
      </c>
    </row>
    <row r="55" spans="2:10">
      <c r="B55" s="90">
        <v>204.8</v>
      </c>
      <c r="C55" s="90">
        <v>1055.0999999999999</v>
      </c>
      <c r="D55" s="90">
        <v>208.6</v>
      </c>
      <c r="E55" s="90">
        <v>1055.2</v>
      </c>
      <c r="G55" s="66">
        <v>1055.2</v>
      </c>
      <c r="H55" s="66">
        <v>208.6</v>
      </c>
      <c r="I55" s="66">
        <v>1055.3</v>
      </c>
      <c r="J55" s="66">
        <v>212.4</v>
      </c>
    </row>
    <row r="56" spans="2:10">
      <c r="B56" s="90">
        <v>208.6</v>
      </c>
      <c r="C56" s="90">
        <v>1055.2</v>
      </c>
      <c r="D56" s="90">
        <v>212.4</v>
      </c>
      <c r="E56" s="90">
        <v>1055.3</v>
      </c>
      <c r="G56" s="66">
        <v>1055.3</v>
      </c>
      <c r="H56" s="66">
        <v>212.4</v>
      </c>
      <c r="I56" s="66">
        <v>1055.4000000000001</v>
      </c>
      <c r="J56" s="66">
        <v>216.2</v>
      </c>
    </row>
    <row r="57" spans="2:10">
      <c r="B57" s="90">
        <v>212.4</v>
      </c>
      <c r="C57" s="90">
        <v>1055.3</v>
      </c>
      <c r="D57" s="90">
        <v>216.2</v>
      </c>
      <c r="E57" s="90">
        <v>1055.4000000000001</v>
      </c>
      <c r="G57" s="66">
        <v>1055.4000000000001</v>
      </c>
      <c r="H57" s="66">
        <v>216.2</v>
      </c>
      <c r="I57" s="66">
        <v>1055.5</v>
      </c>
      <c r="J57" s="66">
        <v>220</v>
      </c>
    </row>
    <row r="58" spans="2:10">
      <c r="B58" s="90">
        <v>216.2</v>
      </c>
      <c r="C58" s="90">
        <v>1055.4000000000001</v>
      </c>
      <c r="D58" s="90">
        <v>220</v>
      </c>
      <c r="E58" s="90">
        <v>1055.5</v>
      </c>
      <c r="G58" s="66">
        <v>1055.5</v>
      </c>
      <c r="H58" s="66">
        <v>220</v>
      </c>
      <c r="I58" s="66">
        <v>1055.5999999999999</v>
      </c>
      <c r="J58" s="66">
        <v>223.8</v>
      </c>
    </row>
    <row r="59" spans="2:10">
      <c r="B59" s="90">
        <v>220</v>
      </c>
      <c r="C59" s="90">
        <v>1055.5</v>
      </c>
      <c r="D59" s="90">
        <v>223.8</v>
      </c>
      <c r="E59" s="90">
        <v>1055.5999999999999</v>
      </c>
      <c r="G59" s="66">
        <v>1055.5999999999999</v>
      </c>
      <c r="H59" s="66">
        <v>223.8</v>
      </c>
      <c r="I59" s="66">
        <v>1055.7</v>
      </c>
      <c r="J59" s="66">
        <v>227.6</v>
      </c>
    </row>
    <row r="60" spans="2:10">
      <c r="B60" s="90">
        <v>223.8</v>
      </c>
      <c r="C60" s="90">
        <v>1055.5999999999999</v>
      </c>
      <c r="D60" s="90">
        <v>227.6</v>
      </c>
      <c r="E60" s="90">
        <v>1055.7</v>
      </c>
      <c r="G60" s="66">
        <v>1055.7</v>
      </c>
      <c r="H60" s="66">
        <v>227.6</v>
      </c>
      <c r="I60" s="66">
        <v>1055.8</v>
      </c>
      <c r="J60" s="66">
        <v>231.4</v>
      </c>
    </row>
    <row r="61" spans="2:10">
      <c r="B61" s="90">
        <v>227.6</v>
      </c>
      <c r="C61" s="90">
        <v>1055.7</v>
      </c>
      <c r="D61" s="90">
        <v>231.4</v>
      </c>
      <c r="E61" s="90">
        <v>1055.8</v>
      </c>
      <c r="G61" s="66">
        <v>1055.8</v>
      </c>
      <c r="H61" s="66">
        <v>231.4</v>
      </c>
      <c r="I61" s="66">
        <v>1055.9000000000001</v>
      </c>
      <c r="J61" s="66">
        <v>235.2</v>
      </c>
    </row>
    <row r="62" spans="2:10">
      <c r="B62" s="90">
        <v>231.4</v>
      </c>
      <c r="C62" s="90">
        <v>1055.8</v>
      </c>
      <c r="D62" s="90">
        <v>235.2</v>
      </c>
      <c r="E62" s="90">
        <v>1055.9000000000001</v>
      </c>
      <c r="G62" s="66">
        <v>1055.9000000000001</v>
      </c>
      <c r="H62" s="66">
        <v>235.2</v>
      </c>
      <c r="I62" s="66">
        <v>1056</v>
      </c>
      <c r="J62" s="66">
        <v>239</v>
      </c>
    </row>
    <row r="63" spans="2:10">
      <c r="B63" s="90">
        <v>235.2</v>
      </c>
      <c r="C63" s="90">
        <v>1055.9000000000001</v>
      </c>
      <c r="D63" s="90">
        <v>239</v>
      </c>
      <c r="E63" s="90">
        <v>1056</v>
      </c>
      <c r="G63" s="66">
        <v>1056</v>
      </c>
      <c r="H63" s="66">
        <v>239</v>
      </c>
      <c r="I63" s="66">
        <v>1056.0999999999999</v>
      </c>
      <c r="J63" s="66">
        <v>244.1</v>
      </c>
    </row>
    <row r="64" spans="2:10">
      <c r="B64" s="90">
        <v>239</v>
      </c>
      <c r="C64" s="90">
        <v>1056</v>
      </c>
      <c r="D64" s="90">
        <v>244.1</v>
      </c>
      <c r="E64" s="90">
        <v>1056.0999999999999</v>
      </c>
      <c r="G64" s="66">
        <v>1056.0999999999999</v>
      </c>
      <c r="H64" s="66">
        <v>244.1</v>
      </c>
      <c r="I64" s="66">
        <v>1056.2</v>
      </c>
      <c r="J64" s="66">
        <v>249.2</v>
      </c>
    </row>
    <row r="65" spans="2:10">
      <c r="B65" s="90">
        <v>244.1</v>
      </c>
      <c r="C65" s="90">
        <v>1056.0999999999999</v>
      </c>
      <c r="D65" s="90">
        <v>249.2</v>
      </c>
      <c r="E65" s="90">
        <v>1056.2</v>
      </c>
      <c r="G65" s="66">
        <v>1056.2</v>
      </c>
      <c r="H65" s="66">
        <v>249.2</v>
      </c>
      <c r="I65" s="66">
        <v>1056.3</v>
      </c>
      <c r="J65" s="66">
        <v>254.3</v>
      </c>
    </row>
    <row r="66" spans="2:10">
      <c r="B66" s="90">
        <v>249.2</v>
      </c>
      <c r="C66" s="90">
        <v>1056.2</v>
      </c>
      <c r="D66" s="90">
        <v>254.3</v>
      </c>
      <c r="E66" s="90">
        <v>1056.3</v>
      </c>
      <c r="G66" s="66">
        <v>1056.3</v>
      </c>
      <c r="H66" s="66">
        <v>254.3</v>
      </c>
      <c r="I66" s="66">
        <v>1056.4000000000001</v>
      </c>
      <c r="J66" s="66">
        <v>259.39999999999998</v>
      </c>
    </row>
    <row r="67" spans="2:10">
      <c r="B67" s="90">
        <v>254.3</v>
      </c>
      <c r="C67" s="90">
        <v>1056.3</v>
      </c>
      <c r="D67" s="90">
        <v>259.39999999999998</v>
      </c>
      <c r="E67" s="90">
        <v>1056.4000000000001</v>
      </c>
      <c r="G67" s="66">
        <v>1056.4000000000001</v>
      </c>
      <c r="H67" s="66">
        <v>259.39999999999998</v>
      </c>
      <c r="I67" s="66">
        <v>1056.5</v>
      </c>
      <c r="J67" s="66">
        <v>264.5</v>
      </c>
    </row>
    <row r="68" spans="2:10">
      <c r="B68" s="90">
        <v>259.39999999999998</v>
      </c>
      <c r="C68" s="90">
        <v>1056.4000000000001</v>
      </c>
      <c r="D68" s="90">
        <v>264.5</v>
      </c>
      <c r="E68" s="90">
        <v>1056.5</v>
      </c>
      <c r="G68" s="66">
        <v>1056.5</v>
      </c>
      <c r="H68" s="66">
        <v>264.5</v>
      </c>
      <c r="I68" s="66">
        <v>1056.5999999999999</v>
      </c>
      <c r="J68" s="66">
        <v>269.60000000000002</v>
      </c>
    </row>
    <row r="69" spans="2:10">
      <c r="B69" s="90">
        <v>264.5</v>
      </c>
      <c r="C69" s="90">
        <v>1056.5</v>
      </c>
      <c r="D69" s="90">
        <v>269.60000000000002</v>
      </c>
      <c r="E69" s="90">
        <v>1056.5999999999999</v>
      </c>
      <c r="G69" s="66">
        <v>1056.5999999999999</v>
      </c>
      <c r="H69" s="66">
        <v>269.60000000000002</v>
      </c>
      <c r="I69" s="66">
        <v>1056.7</v>
      </c>
      <c r="J69" s="66">
        <v>274.7</v>
      </c>
    </row>
    <row r="70" spans="2:10">
      <c r="B70" s="90">
        <v>269.60000000000002</v>
      </c>
      <c r="C70" s="90">
        <v>1056.5999999999999</v>
      </c>
      <c r="D70" s="90">
        <v>274.7</v>
      </c>
      <c r="E70" s="90">
        <v>1056.7</v>
      </c>
      <c r="G70" s="66">
        <v>1056.7</v>
      </c>
      <c r="H70" s="66">
        <v>274.7</v>
      </c>
      <c r="I70" s="66">
        <v>1056.8</v>
      </c>
      <c r="J70" s="66">
        <v>279.8</v>
      </c>
    </row>
    <row r="71" spans="2:10">
      <c r="B71" s="90">
        <v>274.7</v>
      </c>
      <c r="C71" s="90">
        <v>1056.7</v>
      </c>
      <c r="D71" s="90">
        <v>279.8</v>
      </c>
      <c r="E71" s="90">
        <v>1056.8</v>
      </c>
      <c r="G71" s="66">
        <v>1056.8</v>
      </c>
      <c r="H71" s="66">
        <v>279.8</v>
      </c>
      <c r="I71" s="66">
        <v>1056.9000000000001</v>
      </c>
      <c r="J71" s="66">
        <v>284.89999999999998</v>
      </c>
    </row>
    <row r="72" spans="2:10">
      <c r="B72" s="90">
        <v>279.8</v>
      </c>
      <c r="C72" s="90">
        <v>1056.8</v>
      </c>
      <c r="D72" s="90">
        <v>284.89999999999998</v>
      </c>
      <c r="E72" s="90">
        <v>1056.9000000000001</v>
      </c>
      <c r="G72" s="66">
        <v>1056.9000000000001</v>
      </c>
      <c r="H72" s="66">
        <v>284.89999999999998</v>
      </c>
      <c r="I72" s="66">
        <v>1057</v>
      </c>
      <c r="J72" s="66">
        <v>290</v>
      </c>
    </row>
    <row r="73" spans="2:10">
      <c r="B73" s="90">
        <v>284.89999999999998</v>
      </c>
      <c r="C73" s="90">
        <v>1056.9000000000001</v>
      </c>
      <c r="D73" s="90">
        <v>290</v>
      </c>
      <c r="E73" s="90">
        <v>1057</v>
      </c>
      <c r="G73" s="66">
        <v>1057</v>
      </c>
      <c r="H73" s="66">
        <v>290</v>
      </c>
      <c r="I73" s="66">
        <v>1057.0999999999999</v>
      </c>
      <c r="J73" s="66">
        <v>294</v>
      </c>
    </row>
    <row r="74" spans="2:10">
      <c r="B74" s="90">
        <v>290</v>
      </c>
      <c r="C74" s="90">
        <v>1057</v>
      </c>
      <c r="D74" s="90">
        <v>294</v>
      </c>
      <c r="E74" s="90">
        <v>1057.0999999999999</v>
      </c>
      <c r="G74" s="66">
        <v>1057.0999999999999</v>
      </c>
      <c r="H74" s="66">
        <v>294</v>
      </c>
      <c r="I74" s="66">
        <v>1057.2</v>
      </c>
      <c r="J74" s="66">
        <v>298</v>
      </c>
    </row>
    <row r="75" spans="2:10">
      <c r="B75" s="90">
        <v>294</v>
      </c>
      <c r="C75" s="90">
        <v>1057.0999999999999</v>
      </c>
      <c r="D75" s="90">
        <v>298</v>
      </c>
      <c r="E75" s="90">
        <v>1057.2</v>
      </c>
      <c r="G75" s="66">
        <v>1057.2</v>
      </c>
      <c r="H75" s="66">
        <v>298</v>
      </c>
      <c r="I75" s="66">
        <v>1057.3</v>
      </c>
      <c r="J75" s="66">
        <v>302</v>
      </c>
    </row>
    <row r="76" spans="2:10">
      <c r="B76" s="90">
        <v>298</v>
      </c>
      <c r="C76" s="90">
        <v>1057.2</v>
      </c>
      <c r="D76" s="90">
        <v>302</v>
      </c>
      <c r="E76" s="90">
        <v>1057.3</v>
      </c>
      <c r="G76" s="66">
        <v>1057.3</v>
      </c>
      <c r="H76" s="66">
        <v>302</v>
      </c>
      <c r="I76" s="66">
        <v>1057.4000000000001</v>
      </c>
      <c r="J76" s="66">
        <v>306</v>
      </c>
    </row>
    <row r="77" spans="2:10">
      <c r="B77" s="90">
        <v>302</v>
      </c>
      <c r="C77" s="90">
        <v>1057.3</v>
      </c>
      <c r="D77" s="90">
        <v>306</v>
      </c>
      <c r="E77" s="90">
        <v>1057.4000000000001</v>
      </c>
      <c r="G77" s="66">
        <v>1057.4000000000001</v>
      </c>
      <c r="H77" s="66">
        <v>306</v>
      </c>
      <c r="I77" s="66">
        <v>1057.5</v>
      </c>
      <c r="J77" s="66">
        <v>310</v>
      </c>
    </row>
    <row r="78" spans="2:10">
      <c r="B78" s="90">
        <v>306</v>
      </c>
      <c r="C78" s="90">
        <v>1057.4000000000001</v>
      </c>
      <c r="D78" s="90">
        <v>310</v>
      </c>
      <c r="E78" s="90">
        <v>1057.5</v>
      </c>
      <c r="G78" s="66">
        <v>1057.5</v>
      </c>
      <c r="H78" s="66">
        <v>310</v>
      </c>
      <c r="I78" s="66">
        <v>1057.5999999999949</v>
      </c>
      <c r="J78" s="66">
        <v>314</v>
      </c>
    </row>
    <row r="79" spans="2:10">
      <c r="B79" s="90">
        <v>310</v>
      </c>
      <c r="C79" s="90">
        <v>1057.5</v>
      </c>
      <c r="D79" s="90">
        <v>314</v>
      </c>
      <c r="E79" s="90">
        <v>1057.5999999999949</v>
      </c>
      <c r="G79" s="66">
        <v>1057.5999999999949</v>
      </c>
      <c r="H79" s="66">
        <v>314</v>
      </c>
      <c r="I79" s="66">
        <v>1057.6999999999948</v>
      </c>
      <c r="J79" s="66">
        <v>318</v>
      </c>
    </row>
    <row r="80" spans="2:10">
      <c r="B80" s="90">
        <v>314</v>
      </c>
      <c r="C80" s="90">
        <v>1057.5999999999949</v>
      </c>
      <c r="D80" s="90">
        <v>318</v>
      </c>
      <c r="E80" s="90">
        <v>1057.6999999999948</v>
      </c>
      <c r="G80" s="66">
        <v>1057.6999999999948</v>
      </c>
      <c r="H80" s="66">
        <v>318</v>
      </c>
      <c r="I80" s="66">
        <v>1057.7999999999947</v>
      </c>
      <c r="J80" s="66">
        <v>322</v>
      </c>
    </row>
    <row r="81" spans="2:10">
      <c r="B81" s="90">
        <v>318</v>
      </c>
      <c r="C81" s="90">
        <v>1057.6999999999948</v>
      </c>
      <c r="D81" s="90">
        <v>322</v>
      </c>
      <c r="E81" s="90">
        <v>1057.7999999999947</v>
      </c>
      <c r="G81" s="66">
        <v>1057.7999999999947</v>
      </c>
      <c r="H81" s="66">
        <v>322</v>
      </c>
      <c r="I81" s="66">
        <v>1057.8999999999946</v>
      </c>
      <c r="J81" s="66">
        <v>326</v>
      </c>
    </row>
    <row r="82" spans="2:10">
      <c r="B82" s="90">
        <v>322</v>
      </c>
      <c r="C82" s="90">
        <v>1057.7999999999947</v>
      </c>
      <c r="D82" s="90">
        <v>326</v>
      </c>
      <c r="E82" s="90">
        <v>1057.8999999999946</v>
      </c>
      <c r="G82" s="66">
        <v>1057.8999999999946</v>
      </c>
      <c r="H82" s="66">
        <v>326</v>
      </c>
      <c r="I82" s="66">
        <v>1057.9999999999945</v>
      </c>
      <c r="J82" s="66">
        <v>330</v>
      </c>
    </row>
    <row r="83" spans="2:10">
      <c r="B83" s="90">
        <v>326</v>
      </c>
      <c r="C83" s="90">
        <v>1057.8999999999946</v>
      </c>
      <c r="D83" s="90">
        <v>330</v>
      </c>
      <c r="E83" s="90">
        <v>1057.9999999999945</v>
      </c>
      <c r="G83" s="66">
        <v>1057.9999999999945</v>
      </c>
      <c r="H83" s="66">
        <v>330</v>
      </c>
      <c r="I83" s="66">
        <v>1058.0999999999945</v>
      </c>
      <c r="J83" s="66">
        <v>335.3</v>
      </c>
    </row>
    <row r="84" spans="2:10">
      <c r="B84" s="90">
        <v>330</v>
      </c>
      <c r="C84" s="90">
        <v>1057.9999999999945</v>
      </c>
      <c r="D84" s="90">
        <v>335.3</v>
      </c>
      <c r="E84" s="90">
        <v>1058.0999999999945</v>
      </c>
      <c r="G84" s="66">
        <v>1058.0999999999945</v>
      </c>
      <c r="H84" s="66">
        <v>335.3</v>
      </c>
      <c r="I84" s="66">
        <v>1058.1999999999944</v>
      </c>
      <c r="J84" s="66">
        <v>340.6</v>
      </c>
    </row>
    <row r="85" spans="2:10">
      <c r="B85" s="90">
        <v>335.3</v>
      </c>
      <c r="C85" s="90">
        <v>1058.0999999999945</v>
      </c>
      <c r="D85" s="90">
        <v>340.6</v>
      </c>
      <c r="E85" s="90">
        <v>1058.1999999999944</v>
      </c>
      <c r="G85" s="66">
        <v>1058.1999999999944</v>
      </c>
      <c r="H85" s="66">
        <v>340.6</v>
      </c>
      <c r="I85" s="66">
        <v>1058.2999999999943</v>
      </c>
      <c r="J85" s="66">
        <v>345.9</v>
      </c>
    </row>
    <row r="86" spans="2:10">
      <c r="B86" s="90">
        <v>340.6</v>
      </c>
      <c r="C86" s="90">
        <v>1058.1999999999944</v>
      </c>
      <c r="D86" s="90">
        <v>345.9</v>
      </c>
      <c r="E86" s="90">
        <v>1058.2999999999943</v>
      </c>
      <c r="G86" s="66">
        <v>1058.2999999999943</v>
      </c>
      <c r="H86" s="66">
        <v>345.9</v>
      </c>
      <c r="I86" s="66">
        <v>1058.3999999999942</v>
      </c>
      <c r="J86" s="66">
        <v>351.2</v>
      </c>
    </row>
    <row r="87" spans="2:10">
      <c r="B87" s="90">
        <v>345.9</v>
      </c>
      <c r="C87" s="90">
        <v>1058.2999999999943</v>
      </c>
      <c r="D87" s="90">
        <v>351.2</v>
      </c>
      <c r="E87" s="90">
        <v>1058.3999999999942</v>
      </c>
      <c r="G87" s="66">
        <v>1058.3999999999942</v>
      </c>
      <c r="H87" s="66">
        <v>351.2</v>
      </c>
      <c r="I87" s="66">
        <v>1058.4999999999941</v>
      </c>
      <c r="J87" s="66">
        <v>356.5</v>
      </c>
    </row>
    <row r="88" spans="2:10">
      <c r="B88" s="90">
        <v>351.2</v>
      </c>
      <c r="C88" s="90">
        <v>1058.3999999999942</v>
      </c>
      <c r="D88" s="90">
        <v>356.5</v>
      </c>
      <c r="E88" s="90">
        <v>1058.4999999999941</v>
      </c>
      <c r="G88" s="66">
        <v>1058.4999999999941</v>
      </c>
      <c r="H88" s="66">
        <v>356.5</v>
      </c>
      <c r="I88" s="66">
        <v>1058.599999999994</v>
      </c>
      <c r="J88" s="66">
        <v>361.8</v>
      </c>
    </row>
    <row r="89" spans="2:10">
      <c r="B89" s="90">
        <v>356.5</v>
      </c>
      <c r="C89" s="90">
        <v>1058.4999999999941</v>
      </c>
      <c r="D89" s="90">
        <v>361.8</v>
      </c>
      <c r="E89" s="90">
        <v>1058.599999999994</v>
      </c>
      <c r="G89" s="66">
        <v>1058.599999999994</v>
      </c>
      <c r="H89" s="66">
        <v>361.8</v>
      </c>
      <c r="I89" s="66">
        <v>1058.6999999999939</v>
      </c>
      <c r="J89" s="66">
        <v>367.1</v>
      </c>
    </row>
    <row r="90" spans="2:10">
      <c r="B90" s="90">
        <v>361.8</v>
      </c>
      <c r="C90" s="90">
        <v>1058.599999999994</v>
      </c>
      <c r="D90" s="90">
        <v>367.1</v>
      </c>
      <c r="E90" s="90">
        <v>1058.6999999999939</v>
      </c>
      <c r="G90" s="66">
        <v>1058.6999999999939</v>
      </c>
      <c r="H90" s="66">
        <v>367.1</v>
      </c>
      <c r="I90" s="66">
        <v>1058.7999999999938</v>
      </c>
      <c r="J90" s="66">
        <v>372.4</v>
      </c>
    </row>
    <row r="91" spans="2:10">
      <c r="B91" s="90">
        <v>367.1</v>
      </c>
      <c r="C91" s="90">
        <v>1058.6999999999939</v>
      </c>
      <c r="D91" s="90">
        <v>372.4</v>
      </c>
      <c r="E91" s="90">
        <v>1058.7999999999938</v>
      </c>
      <c r="G91" s="66">
        <v>1058.7999999999938</v>
      </c>
      <c r="H91" s="66">
        <v>372.4</v>
      </c>
      <c r="I91" s="66">
        <v>1058.8999999999937</v>
      </c>
      <c r="J91" s="66">
        <v>377.7</v>
      </c>
    </row>
    <row r="92" spans="2:10">
      <c r="B92" s="90">
        <v>372.4</v>
      </c>
      <c r="C92" s="90">
        <v>1058.7999999999938</v>
      </c>
      <c r="D92" s="90">
        <v>377.7</v>
      </c>
      <c r="E92" s="90">
        <v>1058.8999999999937</v>
      </c>
      <c r="G92" s="66">
        <v>1058.8999999999937</v>
      </c>
      <c r="H92" s="66">
        <v>377.7</v>
      </c>
      <c r="I92" s="66">
        <v>1058.9999999999936</v>
      </c>
      <c r="J92" s="66">
        <v>383</v>
      </c>
    </row>
    <row r="93" spans="2:10">
      <c r="B93" s="90">
        <v>377.7</v>
      </c>
      <c r="C93" s="90">
        <v>1058.8999999999937</v>
      </c>
      <c r="D93" s="90">
        <v>383</v>
      </c>
      <c r="E93" s="90">
        <v>1058.9999999999936</v>
      </c>
      <c r="G93" s="66">
        <v>1058.9999999999936</v>
      </c>
      <c r="H93" s="66">
        <v>383</v>
      </c>
      <c r="I93" s="66">
        <v>1059.0999999999935</v>
      </c>
      <c r="J93" s="66">
        <v>388.6</v>
      </c>
    </row>
    <row r="94" spans="2:10">
      <c r="B94" s="90">
        <v>383</v>
      </c>
      <c r="C94" s="90">
        <v>1058.9999999999936</v>
      </c>
      <c r="D94" s="90">
        <v>388.6</v>
      </c>
      <c r="E94" s="90">
        <v>1059.0999999999935</v>
      </c>
      <c r="G94" s="66">
        <v>1059.0999999999935</v>
      </c>
      <c r="H94" s="66">
        <v>388.6</v>
      </c>
      <c r="I94" s="66">
        <v>1059.1999999999935</v>
      </c>
      <c r="J94" s="66">
        <v>394.2</v>
      </c>
    </row>
    <row r="95" spans="2:10">
      <c r="B95" s="90">
        <v>388.6</v>
      </c>
      <c r="C95" s="90">
        <v>1059.0999999999935</v>
      </c>
      <c r="D95" s="90">
        <v>394.2</v>
      </c>
      <c r="E95" s="90">
        <v>1059.1999999999935</v>
      </c>
      <c r="G95" s="66">
        <v>1059.1999999999935</v>
      </c>
      <c r="H95" s="66">
        <v>394.2</v>
      </c>
      <c r="I95" s="66">
        <v>1059.2999999999934</v>
      </c>
      <c r="J95" s="66">
        <v>399.8</v>
      </c>
    </row>
    <row r="96" spans="2:10">
      <c r="B96" s="90">
        <v>394.2</v>
      </c>
      <c r="C96" s="90">
        <v>1059.1999999999935</v>
      </c>
      <c r="D96" s="90">
        <v>399.8</v>
      </c>
      <c r="E96" s="90">
        <v>1059.2999999999934</v>
      </c>
      <c r="G96" s="66">
        <v>1059.2999999999934</v>
      </c>
      <c r="H96" s="66">
        <v>399.8</v>
      </c>
      <c r="I96" s="66">
        <v>1059.3999999999933</v>
      </c>
      <c r="J96" s="66">
        <v>405.4</v>
      </c>
    </row>
    <row r="97" spans="2:10">
      <c r="B97" s="90">
        <v>399.8</v>
      </c>
      <c r="C97" s="90">
        <v>1059.2999999999934</v>
      </c>
      <c r="D97" s="90">
        <v>405.4</v>
      </c>
      <c r="E97" s="90">
        <v>1059.3999999999933</v>
      </c>
      <c r="G97" s="66">
        <v>1059.3999999999933</v>
      </c>
      <c r="H97" s="66">
        <v>405.4</v>
      </c>
      <c r="I97" s="66">
        <v>1059.4999999999932</v>
      </c>
      <c r="J97" s="66">
        <v>411</v>
      </c>
    </row>
    <row r="98" spans="2:10">
      <c r="B98" s="90">
        <v>405.4</v>
      </c>
      <c r="C98" s="90">
        <v>1059.3999999999933</v>
      </c>
      <c r="D98" s="90">
        <v>411</v>
      </c>
      <c r="E98" s="90">
        <v>1059.4999999999932</v>
      </c>
      <c r="G98" s="66">
        <v>1059.4999999999932</v>
      </c>
      <c r="H98" s="66">
        <v>411</v>
      </c>
      <c r="I98" s="66">
        <v>1059.5999999999931</v>
      </c>
      <c r="J98" s="66">
        <v>416.6</v>
      </c>
    </row>
    <row r="99" spans="2:10">
      <c r="B99" s="90">
        <v>411</v>
      </c>
      <c r="C99" s="90">
        <v>1059.4999999999932</v>
      </c>
      <c r="D99" s="90">
        <v>416.6</v>
      </c>
      <c r="E99" s="90">
        <v>1059.5999999999931</v>
      </c>
      <c r="G99" s="66">
        <v>1059.5999999999931</v>
      </c>
      <c r="H99" s="66">
        <v>416.6</v>
      </c>
      <c r="I99" s="66">
        <v>1059.699999999993</v>
      </c>
      <c r="J99" s="66">
        <v>422.2</v>
      </c>
    </row>
    <row r="100" spans="2:10">
      <c r="B100" s="90">
        <v>416.6</v>
      </c>
      <c r="C100" s="90">
        <v>1059.5999999999931</v>
      </c>
      <c r="D100" s="90">
        <v>422.2</v>
      </c>
      <c r="E100" s="90">
        <v>1059.699999999993</v>
      </c>
      <c r="G100" s="66">
        <v>1059.699999999993</v>
      </c>
      <c r="H100" s="66">
        <v>422.2</v>
      </c>
      <c r="I100" s="66">
        <v>1059.7999999999929</v>
      </c>
      <c r="J100" s="66">
        <v>427.8</v>
      </c>
    </row>
    <row r="101" spans="2:10">
      <c r="B101" s="90">
        <v>422.2</v>
      </c>
      <c r="C101" s="90">
        <v>1059.699999999993</v>
      </c>
      <c r="D101" s="90">
        <v>427.8</v>
      </c>
      <c r="E101" s="90">
        <v>1059.7999999999929</v>
      </c>
      <c r="G101" s="66">
        <v>1059.7999999999929</v>
      </c>
      <c r="H101" s="66">
        <v>427.8</v>
      </c>
      <c r="I101" s="66">
        <v>1059.8999999999928</v>
      </c>
      <c r="J101" s="66">
        <v>433.4</v>
      </c>
    </row>
    <row r="102" spans="2:10">
      <c r="B102" s="90">
        <v>427.8</v>
      </c>
      <c r="C102" s="90">
        <v>1059.7999999999929</v>
      </c>
      <c r="D102" s="90">
        <v>433.4</v>
      </c>
      <c r="E102" s="90">
        <v>1059.8999999999928</v>
      </c>
      <c r="G102" s="66">
        <v>1059.8999999999928</v>
      </c>
      <c r="H102" s="66">
        <v>433.4</v>
      </c>
      <c r="I102" s="66">
        <v>1059.9999999999927</v>
      </c>
      <c r="J102" s="66">
        <v>439</v>
      </c>
    </row>
    <row r="103" spans="2:10">
      <c r="B103" s="90">
        <v>433.4</v>
      </c>
      <c r="C103" s="90">
        <v>1059.8999999999928</v>
      </c>
      <c r="D103" s="90">
        <v>439</v>
      </c>
      <c r="E103" s="90">
        <v>1059.9999999999927</v>
      </c>
      <c r="G103" s="66">
        <v>1059.9999999999927</v>
      </c>
      <c r="H103" s="66">
        <v>439</v>
      </c>
      <c r="I103" s="66">
        <v>1060.0999999999926</v>
      </c>
      <c r="J103" s="66">
        <v>445</v>
      </c>
    </row>
    <row r="104" spans="2:10">
      <c r="B104" s="90">
        <v>439</v>
      </c>
      <c r="C104" s="90">
        <v>1059.9999999999927</v>
      </c>
      <c r="D104" s="90">
        <v>445</v>
      </c>
      <c r="E104" s="90">
        <v>1060.0999999999926</v>
      </c>
      <c r="G104" s="66">
        <v>1060.0999999999926</v>
      </c>
      <c r="H104" s="66">
        <v>445</v>
      </c>
      <c r="I104" s="66">
        <v>1060.1999999999925</v>
      </c>
      <c r="J104" s="66">
        <v>451</v>
      </c>
    </row>
    <row r="105" spans="2:10">
      <c r="B105" s="90">
        <v>445</v>
      </c>
      <c r="C105" s="90">
        <v>1060.0999999999926</v>
      </c>
      <c r="D105" s="90">
        <v>451</v>
      </c>
      <c r="E105" s="90">
        <v>1060.1999999999925</v>
      </c>
      <c r="G105" s="66">
        <v>1060.1999999999925</v>
      </c>
      <c r="H105" s="66">
        <v>451</v>
      </c>
      <c r="I105" s="66">
        <v>1060.2999999999925</v>
      </c>
      <c r="J105" s="66">
        <v>457</v>
      </c>
    </row>
    <row r="106" spans="2:10">
      <c r="B106" s="90">
        <v>451</v>
      </c>
      <c r="C106" s="90">
        <v>1060.1999999999925</v>
      </c>
      <c r="D106" s="90">
        <v>457</v>
      </c>
      <c r="E106" s="90">
        <v>1060.2999999999925</v>
      </c>
      <c r="G106" s="66">
        <v>1060.2999999999925</v>
      </c>
      <c r="H106" s="66">
        <v>457</v>
      </c>
      <c r="I106" s="66">
        <v>1060.3999999999924</v>
      </c>
      <c r="J106" s="66">
        <v>463</v>
      </c>
    </row>
    <row r="107" spans="2:10">
      <c r="B107" s="90">
        <v>457</v>
      </c>
      <c r="C107" s="90">
        <v>1060.2999999999925</v>
      </c>
      <c r="D107" s="90">
        <v>463</v>
      </c>
      <c r="E107" s="90">
        <v>1060.3999999999924</v>
      </c>
      <c r="G107" s="66">
        <v>1060.3999999999924</v>
      </c>
      <c r="H107" s="66">
        <v>463</v>
      </c>
      <c r="I107" s="66">
        <v>1060.4999999999923</v>
      </c>
      <c r="J107" s="66">
        <v>469</v>
      </c>
    </row>
    <row r="108" spans="2:10">
      <c r="B108" s="90">
        <v>463</v>
      </c>
      <c r="C108" s="90">
        <v>1060.3999999999924</v>
      </c>
      <c r="D108" s="90">
        <v>469</v>
      </c>
      <c r="E108" s="90">
        <v>1060.4999999999923</v>
      </c>
      <c r="G108" s="66">
        <v>1060.4999999999923</v>
      </c>
      <c r="H108" s="66">
        <v>469</v>
      </c>
      <c r="I108" s="66">
        <v>1060.5999999999922</v>
      </c>
      <c r="J108" s="66">
        <v>475</v>
      </c>
    </row>
    <row r="109" spans="2:10">
      <c r="B109" s="90">
        <v>469</v>
      </c>
      <c r="C109" s="90">
        <v>1060.4999999999923</v>
      </c>
      <c r="D109" s="90">
        <v>475</v>
      </c>
      <c r="E109" s="90">
        <v>1060.5999999999922</v>
      </c>
      <c r="G109" s="66">
        <v>1060.5999999999922</v>
      </c>
      <c r="H109" s="66">
        <v>475</v>
      </c>
      <c r="I109" s="66">
        <v>1060.6999999999921</v>
      </c>
      <c r="J109" s="66">
        <v>481</v>
      </c>
    </row>
    <row r="110" spans="2:10">
      <c r="B110" s="90">
        <v>475</v>
      </c>
      <c r="C110" s="90">
        <v>1060.5999999999922</v>
      </c>
      <c r="D110" s="90">
        <v>481</v>
      </c>
      <c r="E110" s="90">
        <v>1060.6999999999921</v>
      </c>
      <c r="G110" s="66">
        <v>1060.6999999999921</v>
      </c>
      <c r="H110" s="66">
        <v>481</v>
      </c>
      <c r="I110" s="66">
        <v>1060.799999999992</v>
      </c>
      <c r="J110" s="66">
        <v>487</v>
      </c>
    </row>
    <row r="111" spans="2:10">
      <c r="B111" s="90">
        <v>481</v>
      </c>
      <c r="C111" s="90">
        <v>1060.6999999999921</v>
      </c>
      <c r="D111" s="90">
        <v>487</v>
      </c>
      <c r="E111" s="90">
        <v>1060.799999999992</v>
      </c>
      <c r="G111" s="66">
        <v>1060.799999999992</v>
      </c>
      <c r="H111" s="66">
        <v>487</v>
      </c>
      <c r="I111" s="66">
        <v>1060.8999999999919</v>
      </c>
      <c r="J111" s="66">
        <v>493</v>
      </c>
    </row>
    <row r="112" spans="2:10">
      <c r="B112" s="90">
        <v>487</v>
      </c>
      <c r="C112" s="90">
        <v>1060.799999999992</v>
      </c>
      <c r="D112" s="90">
        <v>493</v>
      </c>
      <c r="E112" s="90">
        <v>1060.8999999999919</v>
      </c>
      <c r="G112" s="66">
        <v>1060.8999999999919</v>
      </c>
      <c r="H112" s="66">
        <v>493</v>
      </c>
      <c r="I112" s="66">
        <v>1060.9999999999918</v>
      </c>
      <c r="J112" s="66">
        <v>499</v>
      </c>
    </row>
    <row r="113" spans="2:10">
      <c r="B113" s="90">
        <v>493</v>
      </c>
      <c r="C113" s="90">
        <v>1060.8999999999919</v>
      </c>
      <c r="D113" s="90">
        <v>499</v>
      </c>
      <c r="E113" s="90">
        <v>1060.9999999999918</v>
      </c>
      <c r="G113" s="66">
        <v>1060.9999999999918</v>
      </c>
      <c r="H113" s="66">
        <v>499</v>
      </c>
      <c r="I113" s="66">
        <v>1061.0999999999917</v>
      </c>
      <c r="J113" s="66">
        <v>505.4</v>
      </c>
    </row>
    <row r="114" spans="2:10">
      <c r="B114" s="90">
        <v>499</v>
      </c>
      <c r="C114" s="90">
        <v>1060.9999999999918</v>
      </c>
      <c r="D114" s="90">
        <v>505.4</v>
      </c>
      <c r="E114" s="90">
        <v>1061.0999999999917</v>
      </c>
      <c r="G114" s="66">
        <v>1061.0999999999917</v>
      </c>
      <c r="H114" s="66">
        <v>505.4</v>
      </c>
      <c r="I114" s="66">
        <v>1061.1999999999916</v>
      </c>
      <c r="J114" s="66">
        <v>511.8</v>
      </c>
    </row>
    <row r="115" spans="2:10">
      <c r="B115" s="90">
        <v>505.4</v>
      </c>
      <c r="C115" s="90">
        <v>1061.0999999999917</v>
      </c>
      <c r="D115" s="90">
        <v>511.8</v>
      </c>
      <c r="E115" s="90">
        <v>1061.1999999999916</v>
      </c>
      <c r="G115" s="66">
        <v>1061.1999999999916</v>
      </c>
      <c r="H115" s="66">
        <v>511.8</v>
      </c>
      <c r="I115" s="66">
        <v>1061.2999999999915</v>
      </c>
      <c r="J115" s="66">
        <v>518.20000000000005</v>
      </c>
    </row>
    <row r="116" spans="2:10">
      <c r="B116" s="90">
        <v>511.8</v>
      </c>
      <c r="C116" s="90">
        <v>1061.1999999999916</v>
      </c>
      <c r="D116" s="90">
        <v>518.20000000000005</v>
      </c>
      <c r="E116" s="90">
        <v>1061.2999999999915</v>
      </c>
      <c r="G116" s="66">
        <v>1061.2999999999915</v>
      </c>
      <c r="H116" s="66">
        <v>518.20000000000005</v>
      </c>
      <c r="I116" s="66">
        <v>1061.3999999999915</v>
      </c>
      <c r="J116" s="66">
        <v>524.6</v>
      </c>
    </row>
    <row r="117" spans="2:10">
      <c r="B117" s="90">
        <v>518.20000000000005</v>
      </c>
      <c r="C117" s="90">
        <v>1061.2999999999915</v>
      </c>
      <c r="D117" s="90">
        <v>524.6</v>
      </c>
      <c r="E117" s="90">
        <v>1061.3999999999915</v>
      </c>
      <c r="G117" s="66">
        <v>1061.3999999999915</v>
      </c>
      <c r="H117" s="66">
        <v>524.6</v>
      </c>
      <c r="I117" s="66">
        <v>1061.4999999999914</v>
      </c>
      <c r="J117" s="66">
        <v>531</v>
      </c>
    </row>
    <row r="118" spans="2:10">
      <c r="B118" s="90">
        <v>524.6</v>
      </c>
      <c r="C118" s="90">
        <v>1061.3999999999915</v>
      </c>
      <c r="D118" s="90">
        <v>531</v>
      </c>
      <c r="E118" s="90">
        <v>1061.4999999999914</v>
      </c>
      <c r="G118" s="66">
        <v>1061.4999999999914</v>
      </c>
      <c r="H118" s="66">
        <v>531</v>
      </c>
      <c r="I118" s="66">
        <v>1061.5999999999913</v>
      </c>
      <c r="J118" s="66">
        <v>537.4</v>
      </c>
    </row>
    <row r="119" spans="2:10">
      <c r="B119" s="90">
        <v>531</v>
      </c>
      <c r="C119" s="90">
        <v>1061.4999999999914</v>
      </c>
      <c r="D119" s="90">
        <v>537.4</v>
      </c>
      <c r="E119" s="90">
        <v>1061.5999999999913</v>
      </c>
      <c r="G119" s="66">
        <v>1061.5999999999913</v>
      </c>
      <c r="H119" s="66">
        <v>537.4</v>
      </c>
      <c r="I119" s="66">
        <v>1061.6999999999912</v>
      </c>
      <c r="J119" s="66">
        <v>543.79999999999995</v>
      </c>
    </row>
    <row r="120" spans="2:10">
      <c r="B120" s="90">
        <v>537.4</v>
      </c>
      <c r="C120" s="90">
        <v>1061.5999999999913</v>
      </c>
      <c r="D120" s="90">
        <v>543.79999999999995</v>
      </c>
      <c r="E120" s="90">
        <v>1061.6999999999912</v>
      </c>
      <c r="G120" s="66">
        <v>1061.6999999999912</v>
      </c>
      <c r="H120" s="66">
        <v>543.79999999999995</v>
      </c>
      <c r="I120" s="66">
        <v>1061.7999999999911</v>
      </c>
      <c r="J120" s="66">
        <v>550.20000000000005</v>
      </c>
    </row>
    <row r="121" spans="2:10">
      <c r="B121" s="90">
        <v>543.79999999999995</v>
      </c>
      <c r="C121" s="90">
        <v>1061.6999999999912</v>
      </c>
      <c r="D121" s="90">
        <v>550.20000000000005</v>
      </c>
      <c r="E121" s="90">
        <v>1061.7999999999911</v>
      </c>
      <c r="G121" s="66">
        <v>1061.7999999999911</v>
      </c>
      <c r="H121" s="66">
        <v>550.20000000000005</v>
      </c>
      <c r="I121" s="66">
        <v>1061.899999999991</v>
      </c>
      <c r="J121" s="66">
        <v>556.6</v>
      </c>
    </row>
    <row r="122" spans="2:10">
      <c r="B122" s="90">
        <v>550.20000000000005</v>
      </c>
      <c r="C122" s="90">
        <v>1061.7999999999911</v>
      </c>
      <c r="D122" s="90">
        <v>556.6</v>
      </c>
      <c r="E122" s="90">
        <v>1061.899999999991</v>
      </c>
      <c r="G122" s="66">
        <v>1061.899999999991</v>
      </c>
      <c r="H122" s="66">
        <v>556.6</v>
      </c>
      <c r="I122" s="66">
        <v>1061.9999999999909</v>
      </c>
      <c r="J122" s="66">
        <v>563</v>
      </c>
    </row>
    <row r="123" spans="2:10">
      <c r="B123" s="90">
        <v>556.6</v>
      </c>
      <c r="C123" s="90">
        <v>1061.899999999991</v>
      </c>
      <c r="D123" s="90">
        <v>563</v>
      </c>
      <c r="E123" s="90">
        <v>1061.9999999999909</v>
      </c>
      <c r="G123" s="66">
        <v>1061.9999999999909</v>
      </c>
      <c r="H123" s="66">
        <v>563</v>
      </c>
      <c r="I123" s="66">
        <v>1062.0999999999908</v>
      </c>
      <c r="J123" s="66">
        <v>569.70000000000005</v>
      </c>
    </row>
    <row r="124" spans="2:10">
      <c r="B124" s="90">
        <v>563</v>
      </c>
      <c r="C124" s="90">
        <v>1061.9999999999909</v>
      </c>
      <c r="D124" s="90">
        <v>569.70000000000005</v>
      </c>
      <c r="E124" s="90">
        <v>1062.0999999999908</v>
      </c>
      <c r="G124" s="66">
        <v>1062.0999999999908</v>
      </c>
      <c r="H124" s="66">
        <v>569.70000000000005</v>
      </c>
      <c r="I124" s="66">
        <v>1062.1999999999907</v>
      </c>
      <c r="J124" s="66">
        <v>576.4</v>
      </c>
    </row>
    <row r="125" spans="2:10">
      <c r="B125" s="90">
        <v>569.70000000000005</v>
      </c>
      <c r="C125" s="90">
        <v>1062.0999999999908</v>
      </c>
      <c r="D125" s="90">
        <v>576.4</v>
      </c>
      <c r="E125" s="90">
        <v>1062.1999999999907</v>
      </c>
      <c r="G125" s="66">
        <v>1062.1999999999907</v>
      </c>
      <c r="H125" s="66">
        <v>576.4</v>
      </c>
      <c r="I125" s="66">
        <v>1062.2999999999906</v>
      </c>
      <c r="J125" s="66">
        <v>583.1</v>
      </c>
    </row>
    <row r="126" spans="2:10">
      <c r="B126" s="90">
        <v>576.4</v>
      </c>
      <c r="C126" s="90">
        <v>1062.1999999999907</v>
      </c>
      <c r="D126" s="90">
        <v>583.1</v>
      </c>
      <c r="E126" s="90">
        <v>1062.2999999999906</v>
      </c>
      <c r="G126" s="66">
        <v>1062.2999999999906</v>
      </c>
      <c r="H126" s="66">
        <v>583.1</v>
      </c>
      <c r="I126" s="66">
        <v>1062.3999999999905</v>
      </c>
      <c r="J126" s="66">
        <v>589.79999999999995</v>
      </c>
    </row>
    <row r="127" spans="2:10">
      <c r="B127" s="90">
        <v>583.1</v>
      </c>
      <c r="C127" s="90">
        <v>1062.2999999999906</v>
      </c>
      <c r="D127" s="90">
        <v>589.79999999999995</v>
      </c>
      <c r="E127" s="90">
        <v>1062.3999999999905</v>
      </c>
      <c r="G127" s="66">
        <v>1062.3999999999905</v>
      </c>
      <c r="H127" s="66">
        <v>589.79999999999995</v>
      </c>
      <c r="I127" s="66">
        <v>1062.4999999999905</v>
      </c>
      <c r="J127" s="66">
        <v>596.5</v>
      </c>
    </row>
    <row r="128" spans="2:10">
      <c r="B128" s="90">
        <v>589.79999999999995</v>
      </c>
      <c r="C128" s="90">
        <v>1062.3999999999905</v>
      </c>
      <c r="D128" s="90">
        <v>596.5</v>
      </c>
      <c r="E128" s="90">
        <v>1062.4999999999905</v>
      </c>
      <c r="G128" s="66">
        <v>1062.4999999999905</v>
      </c>
      <c r="H128" s="66">
        <v>596.5</v>
      </c>
      <c r="I128" s="66">
        <v>1062.5999999999904</v>
      </c>
      <c r="J128" s="66">
        <v>603.20000000000005</v>
      </c>
    </row>
    <row r="129" spans="2:10">
      <c r="B129" s="90">
        <v>596.5</v>
      </c>
      <c r="C129" s="90">
        <v>1062.4999999999905</v>
      </c>
      <c r="D129" s="90">
        <v>603.20000000000005</v>
      </c>
      <c r="E129" s="90">
        <v>1062.5999999999904</v>
      </c>
      <c r="G129" s="66">
        <v>1062.5999999999904</v>
      </c>
      <c r="H129" s="66">
        <v>603.20000000000005</v>
      </c>
      <c r="I129" s="66">
        <v>1062.6999999999903</v>
      </c>
      <c r="J129" s="66">
        <v>609.9</v>
      </c>
    </row>
    <row r="130" spans="2:10">
      <c r="B130" s="90">
        <v>603.20000000000005</v>
      </c>
      <c r="C130" s="90">
        <v>1062.5999999999904</v>
      </c>
      <c r="D130" s="90">
        <v>609.9</v>
      </c>
      <c r="E130" s="90">
        <v>1062.6999999999903</v>
      </c>
      <c r="G130" s="66">
        <v>1062.6999999999903</v>
      </c>
      <c r="H130" s="66">
        <v>609.9</v>
      </c>
      <c r="I130" s="66">
        <v>1062.7999999999902</v>
      </c>
      <c r="J130" s="66">
        <v>616.6</v>
      </c>
    </row>
    <row r="131" spans="2:10">
      <c r="B131" s="90">
        <v>609.9</v>
      </c>
      <c r="C131" s="90">
        <v>1062.6999999999903</v>
      </c>
      <c r="D131" s="90">
        <v>616.6</v>
      </c>
      <c r="E131" s="90">
        <v>1062.7999999999902</v>
      </c>
      <c r="G131" s="66">
        <v>1062.7999999999902</v>
      </c>
      <c r="H131" s="66">
        <v>616.6</v>
      </c>
      <c r="I131" s="66">
        <v>1062.8999999999901</v>
      </c>
      <c r="J131" s="66">
        <v>623.29999999999995</v>
      </c>
    </row>
    <row r="132" spans="2:10">
      <c r="B132" s="90">
        <v>616.6</v>
      </c>
      <c r="C132" s="90">
        <v>1062.7999999999902</v>
      </c>
      <c r="D132" s="90">
        <v>623.29999999999995</v>
      </c>
      <c r="E132" s="90">
        <v>1062.8999999999901</v>
      </c>
      <c r="G132" s="66">
        <v>1062.8999999999901</v>
      </c>
      <c r="H132" s="66">
        <v>623.29999999999995</v>
      </c>
      <c r="I132" s="66">
        <v>1062.99999999999</v>
      </c>
      <c r="J132" s="66">
        <v>630</v>
      </c>
    </row>
    <row r="133" spans="2:10">
      <c r="B133" s="90">
        <v>623.29999999999995</v>
      </c>
      <c r="C133" s="90">
        <v>1062.8999999999901</v>
      </c>
      <c r="D133" s="90">
        <v>630</v>
      </c>
      <c r="E133" s="90">
        <v>1062.99999999999</v>
      </c>
      <c r="G133" s="66">
        <v>1062.99999999999</v>
      </c>
      <c r="H133" s="66">
        <v>630</v>
      </c>
      <c r="I133" s="66">
        <v>1063.0999999999899</v>
      </c>
      <c r="J133" s="66">
        <v>637.20000000000005</v>
      </c>
    </row>
    <row r="134" spans="2:10">
      <c r="B134" s="90">
        <v>630</v>
      </c>
      <c r="C134" s="90">
        <v>1062.99999999999</v>
      </c>
      <c r="D134" s="90">
        <v>637.20000000000005</v>
      </c>
      <c r="E134" s="90">
        <v>1063.0999999999899</v>
      </c>
      <c r="G134" s="66">
        <v>1063.0999999999899</v>
      </c>
      <c r="H134" s="66">
        <v>637.20000000000005</v>
      </c>
      <c r="I134" s="66">
        <v>1063.1999999999898</v>
      </c>
      <c r="J134" s="66">
        <v>644.4</v>
      </c>
    </row>
    <row r="135" spans="2:10">
      <c r="B135" s="90">
        <v>637.20000000000005</v>
      </c>
      <c r="C135" s="90">
        <v>1063.0999999999899</v>
      </c>
      <c r="D135" s="90">
        <v>644.4</v>
      </c>
      <c r="E135" s="90">
        <v>1063.1999999999898</v>
      </c>
      <c r="G135" s="66">
        <v>1063.1999999999898</v>
      </c>
      <c r="H135" s="66">
        <v>644.4</v>
      </c>
      <c r="I135" s="66">
        <v>1063.2999999999897</v>
      </c>
      <c r="J135" s="66">
        <v>651.6</v>
      </c>
    </row>
    <row r="136" spans="2:10">
      <c r="B136" s="90">
        <v>644.4</v>
      </c>
      <c r="C136" s="90">
        <v>1063.1999999999898</v>
      </c>
      <c r="D136" s="90">
        <v>651.6</v>
      </c>
      <c r="E136" s="90">
        <v>1063.2999999999897</v>
      </c>
      <c r="G136" s="66">
        <v>1063.2999999999897</v>
      </c>
      <c r="H136" s="66">
        <v>651.6</v>
      </c>
      <c r="I136" s="66">
        <v>1063.3999999999896</v>
      </c>
      <c r="J136" s="66">
        <v>658.8</v>
      </c>
    </row>
    <row r="137" spans="2:10">
      <c r="B137" s="90">
        <v>651.6</v>
      </c>
      <c r="C137" s="90">
        <v>1063.2999999999897</v>
      </c>
      <c r="D137" s="90">
        <v>658.8</v>
      </c>
      <c r="E137" s="90">
        <v>1063.3999999999896</v>
      </c>
      <c r="G137" s="66">
        <v>1063.3999999999896</v>
      </c>
      <c r="H137" s="66">
        <v>658.8</v>
      </c>
      <c r="I137" s="66">
        <v>1063.4999999999895</v>
      </c>
      <c r="J137" s="66">
        <v>666</v>
      </c>
    </row>
    <row r="138" spans="2:10">
      <c r="B138" s="90">
        <v>658.8</v>
      </c>
      <c r="C138" s="90">
        <v>1063.3999999999896</v>
      </c>
      <c r="D138" s="90">
        <v>666</v>
      </c>
      <c r="E138" s="90">
        <v>1063.4999999999895</v>
      </c>
      <c r="G138" s="66">
        <v>1063.4999999999895</v>
      </c>
      <c r="H138" s="66">
        <v>666</v>
      </c>
      <c r="I138" s="66">
        <v>1063.5999999999894</v>
      </c>
      <c r="J138" s="66">
        <v>673.2</v>
      </c>
    </row>
    <row r="139" spans="2:10">
      <c r="B139" s="90">
        <v>666</v>
      </c>
      <c r="C139" s="90">
        <v>1063.4999999999895</v>
      </c>
      <c r="D139" s="90">
        <v>673.2</v>
      </c>
      <c r="E139" s="90">
        <v>1063.5999999999894</v>
      </c>
      <c r="G139" s="66">
        <v>1063.5999999999894</v>
      </c>
      <c r="H139" s="66">
        <v>673.2</v>
      </c>
      <c r="I139" s="66">
        <v>1063.6999999999894</v>
      </c>
      <c r="J139" s="66">
        <v>680.4</v>
      </c>
    </row>
    <row r="140" spans="2:10">
      <c r="B140" s="90">
        <v>673.2</v>
      </c>
      <c r="C140" s="90">
        <v>1063.5999999999894</v>
      </c>
      <c r="D140" s="90">
        <v>680.4</v>
      </c>
      <c r="E140" s="90">
        <v>1063.6999999999894</v>
      </c>
      <c r="G140" s="66">
        <v>1063.6999999999894</v>
      </c>
      <c r="H140" s="66">
        <v>680.4</v>
      </c>
      <c r="I140" s="66">
        <v>1063.7999999999893</v>
      </c>
      <c r="J140" s="66">
        <v>687.6</v>
      </c>
    </row>
    <row r="141" spans="2:10">
      <c r="B141" s="90">
        <v>680.4</v>
      </c>
      <c r="C141" s="90">
        <v>1063.6999999999894</v>
      </c>
      <c r="D141" s="90">
        <v>687.6</v>
      </c>
      <c r="E141" s="90">
        <v>1063.7999999999893</v>
      </c>
      <c r="G141" s="66">
        <v>1063.7999999999893</v>
      </c>
      <c r="H141" s="66">
        <v>687.6</v>
      </c>
      <c r="I141" s="66">
        <v>1063.8999999999892</v>
      </c>
      <c r="J141" s="66">
        <v>694.8</v>
      </c>
    </row>
    <row r="142" spans="2:10">
      <c r="B142" s="90">
        <v>687.6</v>
      </c>
      <c r="C142" s="90">
        <v>1063.7999999999893</v>
      </c>
      <c r="D142" s="90">
        <v>694.8</v>
      </c>
      <c r="E142" s="90">
        <v>1063.8999999999892</v>
      </c>
      <c r="G142" s="66">
        <v>1063.8999999999892</v>
      </c>
      <c r="H142" s="66">
        <v>694.8</v>
      </c>
      <c r="I142" s="66">
        <v>1063.9999999999891</v>
      </c>
      <c r="J142" s="66">
        <v>702</v>
      </c>
    </row>
    <row r="143" spans="2:10">
      <c r="B143" s="90">
        <v>694.8</v>
      </c>
      <c r="C143" s="90">
        <v>1063.8999999999892</v>
      </c>
      <c r="D143" s="90">
        <v>702</v>
      </c>
      <c r="E143" s="90">
        <v>1063.9999999999891</v>
      </c>
      <c r="G143" s="66">
        <v>1063.9999999999891</v>
      </c>
      <c r="H143" s="66">
        <v>702</v>
      </c>
      <c r="I143" s="66">
        <v>1064.099999999989</v>
      </c>
      <c r="J143" s="66">
        <v>709.5</v>
      </c>
    </row>
    <row r="144" spans="2:10">
      <c r="B144" s="90">
        <v>702</v>
      </c>
      <c r="C144" s="90">
        <v>1063.9999999999891</v>
      </c>
      <c r="D144" s="90">
        <v>709.5</v>
      </c>
      <c r="E144" s="90">
        <v>1064.099999999989</v>
      </c>
      <c r="G144" s="66">
        <v>1064.099999999989</v>
      </c>
      <c r="H144" s="66">
        <v>709.5</v>
      </c>
      <c r="I144" s="66">
        <v>1064.1999999999889</v>
      </c>
      <c r="J144" s="66">
        <v>717</v>
      </c>
    </row>
    <row r="145" spans="2:10">
      <c r="B145" s="90">
        <v>709.5</v>
      </c>
      <c r="C145" s="90">
        <v>1064.099999999989</v>
      </c>
      <c r="D145" s="90">
        <v>717</v>
      </c>
      <c r="E145" s="90">
        <v>1064.1999999999889</v>
      </c>
      <c r="G145" s="66">
        <v>1064.1999999999889</v>
      </c>
      <c r="H145" s="66">
        <v>717</v>
      </c>
      <c r="I145" s="66">
        <v>1064.2999999999888</v>
      </c>
      <c r="J145" s="66">
        <v>724.5</v>
      </c>
    </row>
    <row r="146" spans="2:10">
      <c r="B146" s="90">
        <v>717</v>
      </c>
      <c r="C146" s="90">
        <v>1064.1999999999889</v>
      </c>
      <c r="D146" s="90">
        <v>724.5</v>
      </c>
      <c r="E146" s="90">
        <v>1064.2999999999888</v>
      </c>
      <c r="G146" s="66">
        <v>1064.2999999999888</v>
      </c>
      <c r="H146" s="66">
        <v>724.5</v>
      </c>
      <c r="I146" s="66">
        <v>1064.3999999999887</v>
      </c>
      <c r="J146" s="66">
        <v>732</v>
      </c>
    </row>
    <row r="147" spans="2:10">
      <c r="B147" s="90">
        <v>724.5</v>
      </c>
      <c r="C147" s="90">
        <v>1064.2999999999888</v>
      </c>
      <c r="D147" s="90">
        <v>732</v>
      </c>
      <c r="E147" s="90">
        <v>1064.3999999999887</v>
      </c>
      <c r="G147" s="66">
        <v>1064.3999999999887</v>
      </c>
      <c r="H147" s="66">
        <v>732</v>
      </c>
      <c r="I147" s="66">
        <v>1064.4999999999886</v>
      </c>
      <c r="J147" s="66">
        <v>739.5</v>
      </c>
    </row>
    <row r="148" spans="2:10">
      <c r="B148" s="90">
        <v>732</v>
      </c>
      <c r="C148" s="90">
        <v>1064.3999999999887</v>
      </c>
      <c r="D148" s="90">
        <v>739.5</v>
      </c>
      <c r="E148" s="90">
        <v>1064.4999999999886</v>
      </c>
      <c r="G148" s="66">
        <v>1064.4999999999886</v>
      </c>
      <c r="H148" s="66">
        <v>739.5</v>
      </c>
      <c r="I148" s="66">
        <v>1064.5999999999885</v>
      </c>
      <c r="J148" s="66">
        <v>747</v>
      </c>
    </row>
    <row r="149" spans="2:10">
      <c r="B149" s="90">
        <v>739.5</v>
      </c>
      <c r="C149" s="90">
        <v>1064.4999999999886</v>
      </c>
      <c r="D149" s="90">
        <v>747</v>
      </c>
      <c r="E149" s="90">
        <v>1064.5999999999885</v>
      </c>
      <c r="G149" s="66">
        <v>1064.5999999999885</v>
      </c>
      <c r="H149" s="66">
        <v>747</v>
      </c>
      <c r="I149" s="66">
        <v>1064.6999999999884</v>
      </c>
      <c r="J149" s="66">
        <v>754.5</v>
      </c>
    </row>
    <row r="150" spans="2:10">
      <c r="B150" s="90">
        <v>747</v>
      </c>
      <c r="C150" s="90">
        <v>1064.5999999999885</v>
      </c>
      <c r="D150" s="90">
        <v>754.5</v>
      </c>
      <c r="E150" s="90">
        <v>1064.6999999999884</v>
      </c>
      <c r="G150" s="66">
        <v>1064.6999999999884</v>
      </c>
      <c r="H150" s="66">
        <v>754.5</v>
      </c>
      <c r="I150" s="66">
        <v>1064.7999999999884</v>
      </c>
      <c r="J150" s="66">
        <v>762</v>
      </c>
    </row>
    <row r="151" spans="2:10">
      <c r="B151" s="90">
        <v>754.5</v>
      </c>
      <c r="C151" s="90">
        <v>1064.6999999999884</v>
      </c>
      <c r="D151" s="90">
        <v>762</v>
      </c>
      <c r="E151" s="90">
        <v>1064.7999999999884</v>
      </c>
      <c r="G151" s="66">
        <v>1064.7999999999884</v>
      </c>
      <c r="H151" s="66">
        <v>762</v>
      </c>
      <c r="I151" s="66">
        <v>1064.8999999999883</v>
      </c>
      <c r="J151" s="66">
        <v>769.5</v>
      </c>
    </row>
    <row r="152" spans="2:10">
      <c r="B152" s="90">
        <v>762</v>
      </c>
      <c r="C152" s="90">
        <v>1064.7999999999884</v>
      </c>
      <c r="D152" s="90">
        <v>769.5</v>
      </c>
      <c r="E152" s="90">
        <v>1064.8999999999883</v>
      </c>
      <c r="G152" s="66">
        <v>1064.8999999999883</v>
      </c>
      <c r="H152" s="66">
        <v>769.5</v>
      </c>
      <c r="I152" s="66">
        <v>1064.9999999999882</v>
      </c>
      <c r="J152" s="66">
        <v>777</v>
      </c>
    </row>
    <row r="153" spans="2:10">
      <c r="B153" s="90">
        <v>769.5</v>
      </c>
      <c r="C153" s="90">
        <v>1064.8999999999883</v>
      </c>
      <c r="D153" s="90">
        <v>777</v>
      </c>
      <c r="E153" s="90">
        <v>1064.9999999999882</v>
      </c>
      <c r="G153" s="66">
        <v>1064.9999999999882</v>
      </c>
      <c r="H153" s="66">
        <v>777</v>
      </c>
      <c r="I153" s="66">
        <v>1065.0999999999881</v>
      </c>
      <c r="J153" s="66">
        <v>785</v>
      </c>
    </row>
    <row r="154" spans="2:10">
      <c r="B154" s="90">
        <v>777</v>
      </c>
      <c r="C154" s="90">
        <v>1064.9999999999882</v>
      </c>
      <c r="D154" s="90">
        <v>785</v>
      </c>
      <c r="E154" s="90">
        <v>1065.0999999999881</v>
      </c>
      <c r="G154" s="66">
        <v>1065.0999999999881</v>
      </c>
      <c r="H154" s="66">
        <v>785</v>
      </c>
      <c r="I154" s="66">
        <v>1065.199999999988</v>
      </c>
      <c r="J154" s="66">
        <v>793</v>
      </c>
    </row>
    <row r="155" spans="2:10">
      <c r="B155" s="90">
        <v>785</v>
      </c>
      <c r="C155" s="90">
        <v>1065.0999999999881</v>
      </c>
      <c r="D155" s="90">
        <v>793</v>
      </c>
      <c r="E155" s="90">
        <v>1065.199999999988</v>
      </c>
      <c r="G155" s="66">
        <v>1065.199999999988</v>
      </c>
      <c r="H155" s="66">
        <v>793</v>
      </c>
      <c r="I155" s="66">
        <v>1065.2999999999879</v>
      </c>
      <c r="J155" s="66">
        <v>801</v>
      </c>
    </row>
    <row r="156" spans="2:10">
      <c r="B156" s="90">
        <v>793</v>
      </c>
      <c r="C156" s="90">
        <v>1065.199999999988</v>
      </c>
      <c r="D156" s="90">
        <v>801</v>
      </c>
      <c r="E156" s="90">
        <v>1065.2999999999879</v>
      </c>
      <c r="G156" s="66">
        <v>1065.2999999999879</v>
      </c>
      <c r="H156" s="66">
        <v>801</v>
      </c>
      <c r="I156" s="66">
        <v>1065.3999999999878</v>
      </c>
      <c r="J156" s="66">
        <v>809</v>
      </c>
    </row>
    <row r="157" spans="2:10">
      <c r="B157" s="90">
        <v>801</v>
      </c>
      <c r="C157" s="90">
        <v>1065.2999999999879</v>
      </c>
      <c r="D157" s="90">
        <v>809</v>
      </c>
      <c r="E157" s="90">
        <v>1065.3999999999878</v>
      </c>
      <c r="G157" s="66">
        <v>1065.3999999999878</v>
      </c>
      <c r="H157" s="66">
        <v>809</v>
      </c>
      <c r="I157" s="66">
        <v>1065.4999999999877</v>
      </c>
      <c r="J157" s="66">
        <v>817</v>
      </c>
    </row>
    <row r="158" spans="2:10">
      <c r="B158" s="90">
        <v>809</v>
      </c>
      <c r="C158" s="90">
        <v>1065.3999999999878</v>
      </c>
      <c r="D158" s="90">
        <v>817</v>
      </c>
      <c r="E158" s="90">
        <v>1065.4999999999877</v>
      </c>
      <c r="G158" s="66">
        <v>1065.4999999999877</v>
      </c>
      <c r="H158" s="66">
        <v>817</v>
      </c>
      <c r="I158" s="66">
        <v>1065.5999999999876</v>
      </c>
      <c r="J158" s="66">
        <v>825</v>
      </c>
    </row>
    <row r="159" spans="2:10">
      <c r="B159" s="90">
        <v>817</v>
      </c>
      <c r="C159" s="90">
        <v>1065.4999999999877</v>
      </c>
      <c r="D159" s="90">
        <v>825</v>
      </c>
      <c r="E159" s="90">
        <v>1065.5999999999876</v>
      </c>
      <c r="G159" s="66">
        <v>1065.5999999999876</v>
      </c>
      <c r="H159" s="66">
        <v>825</v>
      </c>
      <c r="I159" s="66">
        <v>1065.6999999999875</v>
      </c>
      <c r="J159" s="66">
        <v>833</v>
      </c>
    </row>
    <row r="160" spans="2:10">
      <c r="B160" s="90">
        <v>825</v>
      </c>
      <c r="C160" s="90">
        <v>1065.5999999999876</v>
      </c>
      <c r="D160" s="90">
        <v>833</v>
      </c>
      <c r="E160" s="90">
        <v>1065.6999999999875</v>
      </c>
      <c r="G160" s="66">
        <v>1065.6999999999875</v>
      </c>
      <c r="H160" s="66">
        <v>833</v>
      </c>
      <c r="I160" s="66">
        <v>1065.7999999999874</v>
      </c>
      <c r="J160" s="66">
        <v>841</v>
      </c>
    </row>
    <row r="161" spans="2:10">
      <c r="B161" s="90">
        <v>833</v>
      </c>
      <c r="C161" s="90">
        <v>1065.6999999999875</v>
      </c>
      <c r="D161" s="90">
        <v>841</v>
      </c>
      <c r="E161" s="90">
        <v>1065.7999999999874</v>
      </c>
      <c r="G161" s="66">
        <v>1065.7999999999874</v>
      </c>
      <c r="H161" s="66">
        <v>841</v>
      </c>
      <c r="I161" s="66">
        <v>1065.8999999999874</v>
      </c>
      <c r="J161" s="66">
        <v>849</v>
      </c>
    </row>
    <row r="162" spans="2:10">
      <c r="B162" s="90">
        <v>841</v>
      </c>
      <c r="C162" s="90">
        <v>1065.7999999999874</v>
      </c>
      <c r="D162" s="90">
        <v>849</v>
      </c>
      <c r="E162" s="90">
        <v>1065.8999999999874</v>
      </c>
      <c r="G162" s="66">
        <v>1065.8999999999874</v>
      </c>
      <c r="H162" s="66">
        <v>849</v>
      </c>
      <c r="I162" s="66">
        <v>1065.9999999999873</v>
      </c>
      <c r="J162" s="66">
        <v>857</v>
      </c>
    </row>
    <row r="163" spans="2:10">
      <c r="B163" s="90">
        <v>849</v>
      </c>
      <c r="C163" s="90">
        <v>1065.8999999999874</v>
      </c>
      <c r="D163" s="90">
        <v>857</v>
      </c>
      <c r="E163" s="90">
        <v>1065.9999999999873</v>
      </c>
      <c r="G163" s="66">
        <v>1065.9999999999873</v>
      </c>
      <c r="H163" s="66">
        <v>857</v>
      </c>
      <c r="I163" s="66">
        <v>1066.0999999999872</v>
      </c>
      <c r="J163" s="66">
        <v>865.4</v>
      </c>
    </row>
    <row r="164" spans="2:10">
      <c r="B164" s="90">
        <v>857</v>
      </c>
      <c r="C164" s="90">
        <v>1065.9999999999873</v>
      </c>
      <c r="D164" s="90">
        <v>865.4</v>
      </c>
      <c r="E164" s="90">
        <v>1066.0999999999872</v>
      </c>
      <c r="G164" s="66">
        <v>1066.0999999999872</v>
      </c>
      <c r="H164" s="66">
        <v>865.4</v>
      </c>
      <c r="I164" s="66">
        <v>1066.1999999999871</v>
      </c>
      <c r="J164" s="66">
        <v>873.8</v>
      </c>
    </row>
    <row r="165" spans="2:10">
      <c r="B165" s="90">
        <v>865.4</v>
      </c>
      <c r="C165" s="90">
        <v>1066.0999999999872</v>
      </c>
      <c r="D165" s="90">
        <v>873.8</v>
      </c>
      <c r="E165" s="90">
        <v>1066.1999999999871</v>
      </c>
      <c r="G165" s="66">
        <v>1066.1999999999871</v>
      </c>
      <c r="H165" s="66">
        <v>873.8</v>
      </c>
      <c r="I165" s="66">
        <v>1066.299999999987</v>
      </c>
      <c r="J165" s="66">
        <v>882.2</v>
      </c>
    </row>
    <row r="166" spans="2:10">
      <c r="B166" s="90">
        <v>873.8</v>
      </c>
      <c r="C166" s="90">
        <v>1066.1999999999871</v>
      </c>
      <c r="D166" s="90">
        <v>882.2</v>
      </c>
      <c r="E166" s="90">
        <v>1066.299999999987</v>
      </c>
      <c r="G166" s="66">
        <v>1066.299999999987</v>
      </c>
      <c r="H166" s="66">
        <v>882.2</v>
      </c>
      <c r="I166" s="66">
        <v>1066.3999999999869</v>
      </c>
      <c r="J166" s="66">
        <v>890.6</v>
      </c>
    </row>
    <row r="167" spans="2:10">
      <c r="B167" s="90">
        <v>882.2</v>
      </c>
      <c r="C167" s="90">
        <v>1066.299999999987</v>
      </c>
      <c r="D167" s="90">
        <v>890.6</v>
      </c>
      <c r="E167" s="90">
        <v>1066.3999999999869</v>
      </c>
      <c r="G167" s="66">
        <v>1066.3999999999869</v>
      </c>
      <c r="H167" s="66">
        <v>890.6</v>
      </c>
      <c r="I167" s="66">
        <v>1066.4999999999868</v>
      </c>
      <c r="J167" s="66">
        <v>899</v>
      </c>
    </row>
    <row r="168" spans="2:10">
      <c r="B168" s="90">
        <v>890.6</v>
      </c>
      <c r="C168" s="90">
        <v>1066.3999999999869</v>
      </c>
      <c r="D168" s="90">
        <v>899</v>
      </c>
      <c r="E168" s="90">
        <v>1066.4999999999868</v>
      </c>
      <c r="G168" s="66">
        <v>1066.4999999999868</v>
      </c>
      <c r="H168" s="66">
        <v>899</v>
      </c>
      <c r="I168" s="66">
        <v>1066.5999999999867</v>
      </c>
      <c r="J168" s="66">
        <v>907.4</v>
      </c>
    </row>
    <row r="169" spans="2:10">
      <c r="B169" s="90">
        <v>899</v>
      </c>
      <c r="C169" s="90">
        <v>1066.4999999999868</v>
      </c>
      <c r="D169" s="90">
        <v>907.4</v>
      </c>
      <c r="E169" s="90">
        <v>1066.5999999999867</v>
      </c>
      <c r="G169" s="66">
        <v>1066.5999999999867</v>
      </c>
      <c r="H169" s="66">
        <v>907.4</v>
      </c>
      <c r="I169" s="66">
        <v>1066.6999999999866</v>
      </c>
      <c r="J169" s="66">
        <v>915.8</v>
      </c>
    </row>
    <row r="170" spans="2:10">
      <c r="B170" s="90">
        <v>907.4</v>
      </c>
      <c r="C170" s="90">
        <v>1066.5999999999867</v>
      </c>
      <c r="D170" s="90">
        <v>915.8</v>
      </c>
      <c r="E170" s="90">
        <v>1066.6999999999866</v>
      </c>
      <c r="G170" s="66">
        <v>1066.6999999999866</v>
      </c>
      <c r="H170" s="66">
        <v>915.8</v>
      </c>
      <c r="I170" s="66">
        <v>1066.7999999999865</v>
      </c>
      <c r="J170" s="66">
        <v>924.2</v>
      </c>
    </row>
    <row r="171" spans="2:10">
      <c r="B171" s="90">
        <v>915.8</v>
      </c>
      <c r="C171" s="90">
        <v>1066.6999999999866</v>
      </c>
      <c r="D171" s="90">
        <v>924.2</v>
      </c>
      <c r="E171" s="90">
        <v>1066.7999999999865</v>
      </c>
      <c r="G171" s="66">
        <v>1066.7999999999865</v>
      </c>
      <c r="H171" s="66">
        <v>924.2</v>
      </c>
      <c r="I171" s="66">
        <v>1066.8999999999864</v>
      </c>
      <c r="J171" s="66">
        <v>932.6</v>
      </c>
    </row>
    <row r="172" spans="2:10">
      <c r="B172" s="90">
        <v>924.2</v>
      </c>
      <c r="C172" s="90">
        <v>1066.7999999999865</v>
      </c>
      <c r="D172" s="90">
        <v>932.6</v>
      </c>
      <c r="E172" s="90">
        <v>1066.8999999999864</v>
      </c>
      <c r="G172" s="66">
        <v>1066.8999999999864</v>
      </c>
      <c r="H172" s="66">
        <v>932.6</v>
      </c>
      <c r="I172" s="66">
        <v>1066.9999999999864</v>
      </c>
      <c r="J172" s="66">
        <v>941</v>
      </c>
    </row>
    <row r="173" spans="2:10">
      <c r="B173" s="90">
        <v>932.6</v>
      </c>
      <c r="C173" s="90">
        <v>1066.8999999999864</v>
      </c>
      <c r="D173" s="90">
        <v>941</v>
      </c>
      <c r="E173" s="90">
        <v>1066.9999999999864</v>
      </c>
      <c r="G173" s="66">
        <v>1066.9999999999864</v>
      </c>
      <c r="H173" s="66">
        <v>941</v>
      </c>
      <c r="I173" s="66">
        <v>1067.0999999999863</v>
      </c>
      <c r="J173" s="66">
        <v>949.8</v>
      </c>
    </row>
    <row r="174" spans="2:10">
      <c r="B174" s="90">
        <v>941</v>
      </c>
      <c r="C174" s="90">
        <v>1066.9999999999864</v>
      </c>
      <c r="D174" s="90">
        <v>949.8</v>
      </c>
      <c r="E174" s="90">
        <v>1067.0999999999863</v>
      </c>
      <c r="G174" s="66">
        <v>1067.0999999999863</v>
      </c>
      <c r="H174" s="66">
        <v>949.8</v>
      </c>
      <c r="I174" s="66">
        <v>1067.1999999999862</v>
      </c>
      <c r="J174" s="66">
        <v>958.6</v>
      </c>
    </row>
    <row r="175" spans="2:10">
      <c r="B175" s="90">
        <v>949.8</v>
      </c>
      <c r="C175" s="90">
        <v>1067.0999999999863</v>
      </c>
      <c r="D175" s="90">
        <v>958.6</v>
      </c>
      <c r="E175" s="90">
        <v>1067.1999999999862</v>
      </c>
      <c r="G175" s="66">
        <v>1067.1999999999862</v>
      </c>
      <c r="H175" s="66">
        <v>958.6</v>
      </c>
      <c r="I175" s="66">
        <v>1067.2999999999861</v>
      </c>
      <c r="J175" s="66">
        <v>967.4</v>
      </c>
    </row>
    <row r="176" spans="2:10">
      <c r="B176" s="90">
        <v>958.6</v>
      </c>
      <c r="C176" s="90">
        <v>1067.1999999999862</v>
      </c>
      <c r="D176" s="90">
        <v>967.4</v>
      </c>
      <c r="E176" s="90">
        <v>1067.2999999999861</v>
      </c>
      <c r="G176" s="66">
        <v>1067.2999999999861</v>
      </c>
      <c r="H176" s="66">
        <v>967.4</v>
      </c>
      <c r="I176" s="66">
        <v>1067.399999999986</v>
      </c>
      <c r="J176" s="66">
        <v>976.2</v>
      </c>
    </row>
    <row r="177" spans="2:10">
      <c r="B177" s="90">
        <v>967.4</v>
      </c>
      <c r="C177" s="90">
        <v>1067.2999999999861</v>
      </c>
      <c r="D177" s="90">
        <v>976.2</v>
      </c>
      <c r="E177" s="90">
        <v>1067.399999999986</v>
      </c>
      <c r="G177" s="66">
        <v>1067.399999999986</v>
      </c>
      <c r="H177" s="66">
        <v>976.2</v>
      </c>
      <c r="I177" s="66">
        <v>1067.4999999999859</v>
      </c>
      <c r="J177" s="66">
        <v>985</v>
      </c>
    </row>
    <row r="178" spans="2:10">
      <c r="B178" s="90">
        <v>976.2</v>
      </c>
      <c r="C178" s="90">
        <v>1067.399999999986</v>
      </c>
      <c r="D178" s="90">
        <v>985</v>
      </c>
      <c r="E178" s="90">
        <v>1067.4999999999859</v>
      </c>
      <c r="G178" s="66">
        <v>1067.4999999999859</v>
      </c>
      <c r="H178" s="66">
        <v>985</v>
      </c>
      <c r="I178" s="66">
        <v>1067.5999999999858</v>
      </c>
      <c r="J178" s="66">
        <v>993.8</v>
      </c>
    </row>
    <row r="179" spans="2:10">
      <c r="B179" s="90">
        <v>985</v>
      </c>
      <c r="C179" s="90">
        <v>1067.4999999999859</v>
      </c>
      <c r="D179" s="90">
        <v>993.8</v>
      </c>
      <c r="E179" s="90">
        <v>1067.5999999999858</v>
      </c>
      <c r="G179" s="66">
        <v>1067.5999999999858</v>
      </c>
      <c r="H179" s="66">
        <v>993.8</v>
      </c>
      <c r="I179" s="66">
        <v>1067.6999999999857</v>
      </c>
      <c r="J179" s="66">
        <v>1002.6</v>
      </c>
    </row>
    <row r="180" spans="2:10">
      <c r="B180" s="90">
        <v>993.8</v>
      </c>
      <c r="C180" s="90">
        <v>1067.5999999999858</v>
      </c>
      <c r="D180" s="90">
        <v>1002.6</v>
      </c>
      <c r="E180" s="90">
        <v>1067.6999999999857</v>
      </c>
      <c r="G180" s="66">
        <v>1067.6999999999857</v>
      </c>
      <c r="H180" s="66">
        <v>1002.6</v>
      </c>
      <c r="I180" s="66">
        <v>1067.7999999999856</v>
      </c>
      <c r="J180" s="66">
        <v>1011.4</v>
      </c>
    </row>
    <row r="181" spans="2:10">
      <c r="B181" s="90">
        <v>1002.6</v>
      </c>
      <c r="C181" s="90">
        <v>1067.6999999999857</v>
      </c>
      <c r="D181" s="90">
        <v>1011.4</v>
      </c>
      <c r="E181" s="90">
        <v>1067.7999999999856</v>
      </c>
      <c r="G181" s="66">
        <v>1067.7999999999856</v>
      </c>
      <c r="H181" s="66">
        <v>1011.4</v>
      </c>
      <c r="I181" s="66">
        <v>1067.8999999999855</v>
      </c>
      <c r="J181" s="66">
        <v>1020.2</v>
      </c>
    </row>
    <row r="182" spans="2:10">
      <c r="B182" s="90">
        <v>1011.4</v>
      </c>
      <c r="C182" s="90">
        <v>1067.7999999999856</v>
      </c>
      <c r="D182" s="90">
        <v>1020.2</v>
      </c>
      <c r="E182" s="90">
        <v>1067.8999999999855</v>
      </c>
      <c r="G182" s="66">
        <v>1067.8999999999855</v>
      </c>
      <c r="H182" s="66">
        <v>1020.2</v>
      </c>
      <c r="I182" s="66">
        <v>1067.9999999999854</v>
      </c>
      <c r="J182" s="66">
        <v>1029</v>
      </c>
    </row>
    <row r="183" spans="2:10">
      <c r="B183" s="90">
        <v>1020.2</v>
      </c>
      <c r="C183" s="90">
        <v>1067.8999999999855</v>
      </c>
      <c r="D183" s="90">
        <v>1029</v>
      </c>
      <c r="E183" s="90">
        <v>1067.9999999999854</v>
      </c>
      <c r="G183" s="66">
        <v>1067.9999999999854</v>
      </c>
      <c r="H183" s="66">
        <v>1029</v>
      </c>
      <c r="I183" s="66">
        <v>1068.0999999999854</v>
      </c>
      <c r="J183" s="66">
        <v>1038.3</v>
      </c>
    </row>
    <row r="184" spans="2:10">
      <c r="B184" s="90">
        <v>1029</v>
      </c>
      <c r="C184" s="90">
        <v>1067.9999999999854</v>
      </c>
      <c r="D184" s="90">
        <v>1038.3</v>
      </c>
      <c r="E184" s="90">
        <v>1068.0999999999854</v>
      </c>
      <c r="G184" s="66">
        <v>1068.0999999999854</v>
      </c>
      <c r="H184" s="66">
        <v>1038.3</v>
      </c>
      <c r="I184" s="66">
        <v>1068.1999999999853</v>
      </c>
      <c r="J184" s="66">
        <v>1047.5999999999999</v>
      </c>
    </row>
    <row r="185" spans="2:10">
      <c r="B185" s="90">
        <v>1038.3</v>
      </c>
      <c r="C185" s="90">
        <v>1068.0999999999854</v>
      </c>
      <c r="D185" s="90">
        <v>1047.5999999999999</v>
      </c>
      <c r="E185" s="90">
        <v>1068.1999999999853</v>
      </c>
      <c r="G185" s="66">
        <v>1068.1999999999853</v>
      </c>
      <c r="H185" s="66">
        <v>1047.5999999999999</v>
      </c>
      <c r="I185" s="66">
        <v>1068.2999999999852</v>
      </c>
      <c r="J185" s="66">
        <v>1056.9000000000001</v>
      </c>
    </row>
    <row r="186" spans="2:10">
      <c r="B186" s="90">
        <v>1047.5999999999999</v>
      </c>
      <c r="C186" s="90">
        <v>1068.1999999999853</v>
      </c>
      <c r="D186" s="90">
        <v>1056.9000000000001</v>
      </c>
      <c r="E186" s="90">
        <v>1068.2999999999852</v>
      </c>
      <c r="G186" s="66">
        <v>1068.2999999999852</v>
      </c>
      <c r="H186" s="66">
        <v>1056.9000000000001</v>
      </c>
      <c r="I186" s="66">
        <v>1068.3999999999851</v>
      </c>
      <c r="J186" s="66">
        <v>1066.2</v>
      </c>
    </row>
    <row r="187" spans="2:10">
      <c r="B187" s="90">
        <v>1056.9000000000001</v>
      </c>
      <c r="C187" s="90">
        <v>1068.2999999999852</v>
      </c>
      <c r="D187" s="90">
        <v>1066.2</v>
      </c>
      <c r="E187" s="90">
        <v>1068.3999999999851</v>
      </c>
      <c r="G187" s="66">
        <v>1068.3999999999851</v>
      </c>
      <c r="H187" s="66">
        <v>1066.2</v>
      </c>
      <c r="I187" s="66">
        <v>1068.499999999985</v>
      </c>
      <c r="J187" s="66">
        <v>1075.5</v>
      </c>
    </row>
    <row r="188" spans="2:10">
      <c r="B188" s="90">
        <v>1066.2</v>
      </c>
      <c r="C188" s="90">
        <v>1068.3999999999851</v>
      </c>
      <c r="D188" s="90">
        <v>1075.5</v>
      </c>
      <c r="E188" s="90">
        <v>1068.499999999985</v>
      </c>
      <c r="G188" s="66">
        <v>1068.499999999985</v>
      </c>
      <c r="H188" s="66">
        <v>1075.5</v>
      </c>
      <c r="I188" s="66">
        <v>1068.5999999999849</v>
      </c>
      <c r="J188" s="66">
        <v>1084.8</v>
      </c>
    </row>
    <row r="189" spans="2:10">
      <c r="B189" s="90">
        <v>1075.5</v>
      </c>
      <c r="C189" s="90">
        <v>1068.499999999985</v>
      </c>
      <c r="D189" s="90">
        <v>1084.8</v>
      </c>
      <c r="E189" s="90">
        <v>1068.5999999999849</v>
      </c>
      <c r="G189" s="66">
        <v>1068.5999999999849</v>
      </c>
      <c r="H189" s="66">
        <v>1084.8</v>
      </c>
      <c r="I189" s="66">
        <v>1068.6999999999848</v>
      </c>
      <c r="J189" s="66">
        <v>1094.0999999999999</v>
      </c>
    </row>
    <row r="190" spans="2:10">
      <c r="B190" s="90">
        <v>1084.8</v>
      </c>
      <c r="C190" s="90">
        <v>1068.5999999999849</v>
      </c>
      <c r="D190" s="90">
        <v>1094.0999999999999</v>
      </c>
      <c r="E190" s="90">
        <v>1068.6999999999848</v>
      </c>
      <c r="G190" s="66">
        <v>1068.6999999999848</v>
      </c>
      <c r="H190" s="66">
        <v>1094.0999999999999</v>
      </c>
      <c r="I190" s="66">
        <v>1068.7999999999847</v>
      </c>
      <c r="J190" s="66">
        <v>1103.4000000000001</v>
      </c>
    </row>
    <row r="191" spans="2:10">
      <c r="B191" s="90">
        <v>1094.0999999999999</v>
      </c>
      <c r="C191" s="90">
        <v>1068.6999999999848</v>
      </c>
      <c r="D191" s="90">
        <v>1103.4000000000001</v>
      </c>
      <c r="E191" s="90">
        <v>1068.7999999999847</v>
      </c>
      <c r="G191" s="66">
        <v>1068.7999999999847</v>
      </c>
      <c r="H191" s="66">
        <v>1103.4000000000001</v>
      </c>
      <c r="I191" s="66">
        <v>1068.8999999999846</v>
      </c>
      <c r="J191" s="66">
        <v>1112.7</v>
      </c>
    </row>
    <row r="192" spans="2:10">
      <c r="B192" s="90">
        <v>1103.4000000000001</v>
      </c>
      <c r="C192" s="90">
        <v>1068.7999999999847</v>
      </c>
      <c r="D192" s="90">
        <v>1112.7</v>
      </c>
      <c r="E192" s="90">
        <v>1068.8999999999846</v>
      </c>
      <c r="G192" s="66">
        <v>1068.8999999999846</v>
      </c>
      <c r="H192" s="66">
        <v>1112.7</v>
      </c>
      <c r="I192" s="66">
        <v>1068.9999999999845</v>
      </c>
      <c r="J192" s="66">
        <v>1122</v>
      </c>
    </row>
    <row r="193" spans="2:10">
      <c r="B193" s="90">
        <v>1112.7</v>
      </c>
      <c r="C193" s="90">
        <v>1068.8999999999846</v>
      </c>
      <c r="D193" s="90">
        <v>1122</v>
      </c>
      <c r="E193" s="90">
        <v>1068.9999999999845</v>
      </c>
      <c r="G193" s="66">
        <v>1068.9999999999845</v>
      </c>
      <c r="H193" s="66">
        <v>1122</v>
      </c>
      <c r="I193" s="66">
        <v>1069.0999999999844</v>
      </c>
      <c r="J193" s="66">
        <v>1131.8</v>
      </c>
    </row>
    <row r="194" spans="2:10">
      <c r="B194" s="90">
        <v>1122</v>
      </c>
      <c r="C194" s="90">
        <v>1068.9999999999845</v>
      </c>
      <c r="D194" s="90">
        <v>1131.8</v>
      </c>
      <c r="E194" s="90">
        <v>1069.0999999999844</v>
      </c>
      <c r="G194" s="66">
        <v>1069.0999999999844</v>
      </c>
      <c r="H194" s="66">
        <v>1131.8</v>
      </c>
      <c r="I194" s="66">
        <v>1069.1999999999844</v>
      </c>
      <c r="J194" s="66">
        <v>1141.5999999999999</v>
      </c>
    </row>
    <row r="195" spans="2:10">
      <c r="B195" s="90">
        <v>1131.8</v>
      </c>
      <c r="C195" s="90">
        <v>1069.0999999999844</v>
      </c>
      <c r="D195" s="90">
        <v>1141.5999999999999</v>
      </c>
      <c r="E195" s="90">
        <v>1069.1999999999844</v>
      </c>
      <c r="G195" s="66">
        <v>1069.1999999999844</v>
      </c>
      <c r="H195" s="66">
        <v>1141.5999999999999</v>
      </c>
      <c r="I195" s="66">
        <v>1069.2999999999843</v>
      </c>
      <c r="J195" s="66">
        <v>1151.4000000000001</v>
      </c>
    </row>
    <row r="196" spans="2:10">
      <c r="B196" s="90">
        <v>1141.5999999999999</v>
      </c>
      <c r="C196" s="90">
        <v>1069.1999999999844</v>
      </c>
      <c r="D196" s="90">
        <v>1151.4000000000001</v>
      </c>
      <c r="E196" s="90">
        <v>1069.2999999999843</v>
      </c>
      <c r="G196" s="66">
        <v>1069.2999999999843</v>
      </c>
      <c r="H196" s="66">
        <v>1151.4000000000001</v>
      </c>
      <c r="I196" s="66">
        <v>1069.3999999999842</v>
      </c>
      <c r="J196" s="66">
        <v>1161.2</v>
      </c>
    </row>
    <row r="197" spans="2:10">
      <c r="B197" s="90">
        <v>1151.4000000000001</v>
      </c>
      <c r="C197" s="90">
        <v>1069.2999999999843</v>
      </c>
      <c r="D197" s="90">
        <v>1161.2</v>
      </c>
      <c r="E197" s="90">
        <v>1069.3999999999842</v>
      </c>
      <c r="G197" s="66">
        <v>1069.3999999999842</v>
      </c>
      <c r="H197" s="66">
        <v>1161.2</v>
      </c>
      <c r="I197" s="66">
        <v>1069.4999999999841</v>
      </c>
      <c r="J197" s="66">
        <v>1171</v>
      </c>
    </row>
    <row r="198" spans="2:10">
      <c r="B198" s="90">
        <v>1161.2</v>
      </c>
      <c r="C198" s="90">
        <v>1069.3999999999842</v>
      </c>
      <c r="D198" s="90">
        <v>1171</v>
      </c>
      <c r="E198" s="90">
        <v>1069.4999999999841</v>
      </c>
      <c r="G198" s="66">
        <v>1069.4999999999841</v>
      </c>
      <c r="H198" s="66">
        <v>1171</v>
      </c>
      <c r="I198" s="66">
        <v>1069.599999999984</v>
      </c>
      <c r="J198" s="66">
        <v>1180.8</v>
      </c>
    </row>
    <row r="199" spans="2:10">
      <c r="B199" s="90">
        <v>1171</v>
      </c>
      <c r="C199" s="90">
        <v>1069.4999999999841</v>
      </c>
      <c r="D199" s="90">
        <v>1180.8</v>
      </c>
      <c r="E199" s="90">
        <v>1069.599999999984</v>
      </c>
      <c r="G199" s="66">
        <v>1069.599999999984</v>
      </c>
      <c r="H199" s="66">
        <v>1180.8</v>
      </c>
      <c r="I199" s="66">
        <v>1069.6999999999839</v>
      </c>
      <c r="J199" s="66">
        <v>1190.5999999999999</v>
      </c>
    </row>
    <row r="200" spans="2:10">
      <c r="B200" s="90">
        <v>1180.8</v>
      </c>
      <c r="C200" s="90">
        <v>1069.599999999984</v>
      </c>
      <c r="D200" s="90">
        <v>1190.5999999999999</v>
      </c>
      <c r="E200" s="90">
        <v>1069.6999999999839</v>
      </c>
      <c r="G200" s="66">
        <v>1069.6999999999839</v>
      </c>
      <c r="H200" s="66">
        <v>1190.5999999999999</v>
      </c>
      <c r="I200" s="66">
        <v>1069.7999999999838</v>
      </c>
      <c r="J200" s="66">
        <v>1200.4000000000001</v>
      </c>
    </row>
    <row r="201" spans="2:10">
      <c r="B201" s="90">
        <v>1190.5999999999999</v>
      </c>
      <c r="C201" s="90">
        <v>1069.6999999999839</v>
      </c>
      <c r="D201" s="90">
        <v>1200.4000000000001</v>
      </c>
      <c r="E201" s="90">
        <v>1069.7999999999838</v>
      </c>
      <c r="G201" s="66">
        <v>1069.7999999999838</v>
      </c>
      <c r="H201" s="66">
        <v>1200.4000000000001</v>
      </c>
      <c r="I201" s="66">
        <v>1069.8999999999837</v>
      </c>
      <c r="J201" s="66">
        <v>1210.2</v>
      </c>
    </row>
    <row r="202" spans="2:10">
      <c r="B202" s="90">
        <v>1200.4000000000001</v>
      </c>
      <c r="C202" s="90">
        <v>1069.7999999999838</v>
      </c>
      <c r="D202" s="90">
        <v>1210.2</v>
      </c>
      <c r="E202" s="90">
        <v>1069.8999999999837</v>
      </c>
      <c r="G202" s="66">
        <v>1069.8999999999837</v>
      </c>
      <c r="H202" s="66">
        <v>1210.2</v>
      </c>
      <c r="I202" s="66">
        <v>1069.9999999999836</v>
      </c>
      <c r="J202" s="66">
        <v>1220</v>
      </c>
    </row>
    <row r="203" spans="2:10">
      <c r="B203" s="90">
        <v>1210.2</v>
      </c>
      <c r="C203" s="90">
        <v>1069.8999999999837</v>
      </c>
      <c r="D203" s="90">
        <v>1220</v>
      </c>
      <c r="E203" s="90">
        <v>1069.9999999999836</v>
      </c>
      <c r="G203" s="66">
        <v>1069.9999999999836</v>
      </c>
      <c r="H203" s="66">
        <v>1220</v>
      </c>
      <c r="I203" s="66">
        <v>1070.0999999999835</v>
      </c>
      <c r="J203" s="66">
        <v>1230.2</v>
      </c>
    </row>
    <row r="204" spans="2:10">
      <c r="B204" s="90">
        <v>1220</v>
      </c>
      <c r="C204" s="90">
        <v>1069.9999999999836</v>
      </c>
      <c r="D204" s="90">
        <v>1230.2</v>
      </c>
      <c r="E204" s="90">
        <v>1070.0999999999835</v>
      </c>
      <c r="G204" s="66">
        <v>1070.0999999999835</v>
      </c>
      <c r="H204" s="66">
        <v>1230.2</v>
      </c>
      <c r="I204" s="66">
        <v>1070.1999999999834</v>
      </c>
      <c r="J204" s="66">
        <v>1240.4000000000001</v>
      </c>
    </row>
    <row r="205" spans="2:10">
      <c r="B205" s="90">
        <v>1230.2</v>
      </c>
      <c r="C205" s="90">
        <v>1070.0999999999835</v>
      </c>
      <c r="D205" s="90">
        <v>1240.4000000000001</v>
      </c>
      <c r="E205" s="90">
        <v>1070.1999999999834</v>
      </c>
      <c r="G205" s="66">
        <v>1070.1999999999834</v>
      </c>
      <c r="H205" s="66">
        <v>1240.4000000000001</v>
      </c>
      <c r="I205" s="66">
        <v>1070.2999999999834</v>
      </c>
      <c r="J205" s="66">
        <v>1250.5999999999999</v>
      </c>
    </row>
    <row r="206" spans="2:10">
      <c r="B206" s="90">
        <v>1240.4000000000001</v>
      </c>
      <c r="C206" s="90">
        <v>1070.1999999999834</v>
      </c>
      <c r="D206" s="90">
        <v>1250.5999999999999</v>
      </c>
      <c r="E206" s="90">
        <v>1070.2999999999834</v>
      </c>
      <c r="G206" s="66">
        <v>1070.2999999999834</v>
      </c>
      <c r="H206" s="66">
        <v>1250.5999999999999</v>
      </c>
      <c r="I206" s="66">
        <v>1070.3999999999833</v>
      </c>
      <c r="J206" s="66">
        <v>1260.8</v>
      </c>
    </row>
    <row r="207" spans="2:10">
      <c r="B207" s="90">
        <v>1250.5999999999999</v>
      </c>
      <c r="C207" s="90">
        <v>1070.2999999999834</v>
      </c>
      <c r="D207" s="90">
        <v>1260.8</v>
      </c>
      <c r="E207" s="90">
        <v>1070.3999999999833</v>
      </c>
      <c r="G207" s="66">
        <v>1070.3999999999833</v>
      </c>
      <c r="H207" s="66">
        <v>1260.8</v>
      </c>
      <c r="I207" s="66">
        <v>1070.4999999999832</v>
      </c>
      <c r="J207" s="66">
        <v>1271</v>
      </c>
    </row>
    <row r="208" spans="2:10">
      <c r="B208" s="90">
        <v>1260.8</v>
      </c>
      <c r="C208" s="90">
        <v>1070.3999999999833</v>
      </c>
      <c r="D208" s="90">
        <v>1271</v>
      </c>
      <c r="E208" s="90">
        <v>1070.4999999999832</v>
      </c>
      <c r="G208" s="66">
        <v>1070.4999999999832</v>
      </c>
      <c r="H208" s="66">
        <v>1271</v>
      </c>
      <c r="I208" s="66">
        <v>1070.5999999999831</v>
      </c>
      <c r="J208" s="66">
        <v>1281.2</v>
      </c>
    </row>
    <row r="209" spans="2:10">
      <c r="B209" s="90">
        <v>1271</v>
      </c>
      <c r="C209" s="90">
        <v>1070.4999999999832</v>
      </c>
      <c r="D209" s="90">
        <v>1281.2</v>
      </c>
      <c r="E209" s="90">
        <v>1070.5999999999831</v>
      </c>
      <c r="G209" s="66">
        <v>1070.5999999999831</v>
      </c>
      <c r="H209" s="66">
        <v>1281.2</v>
      </c>
      <c r="I209" s="66">
        <v>1070.699999999983</v>
      </c>
      <c r="J209" s="66">
        <v>1291.4000000000001</v>
      </c>
    </row>
    <row r="210" spans="2:10">
      <c r="B210" s="90">
        <v>1281.2</v>
      </c>
      <c r="C210" s="90">
        <v>1070.5999999999831</v>
      </c>
      <c r="D210" s="90">
        <v>1291.4000000000001</v>
      </c>
      <c r="E210" s="90">
        <v>1070.699999999983</v>
      </c>
      <c r="G210" s="66">
        <v>1070.699999999983</v>
      </c>
      <c r="H210" s="66">
        <v>1291.4000000000001</v>
      </c>
      <c r="I210" s="66">
        <v>1070.7999999999829</v>
      </c>
      <c r="J210" s="66">
        <v>1301.5999999999999</v>
      </c>
    </row>
    <row r="211" spans="2:10">
      <c r="B211" s="90">
        <v>1291.4000000000001</v>
      </c>
      <c r="C211" s="90">
        <v>1070.699999999983</v>
      </c>
      <c r="D211" s="90">
        <v>1301.5999999999999</v>
      </c>
      <c r="E211" s="90">
        <v>1070.7999999999829</v>
      </c>
      <c r="G211" s="66">
        <v>1070.7999999999829</v>
      </c>
      <c r="H211" s="66">
        <v>1301.5999999999999</v>
      </c>
      <c r="I211" s="66">
        <v>1070.8999999999828</v>
      </c>
      <c r="J211" s="66">
        <v>1311.8</v>
      </c>
    </row>
    <row r="212" spans="2:10">
      <c r="B212" s="90">
        <v>1301.5999999999999</v>
      </c>
      <c r="C212" s="90">
        <v>1070.7999999999829</v>
      </c>
      <c r="D212" s="90">
        <v>1311.8</v>
      </c>
      <c r="E212" s="90">
        <v>1070.8999999999828</v>
      </c>
      <c r="G212" s="66">
        <v>1070.8999999999828</v>
      </c>
      <c r="H212" s="66">
        <v>1311.8</v>
      </c>
      <c r="I212" s="66">
        <v>1070.9999999999827</v>
      </c>
      <c r="J212" s="66">
        <v>1322</v>
      </c>
    </row>
    <row r="213" spans="2:10">
      <c r="B213" s="90">
        <v>1311.8</v>
      </c>
      <c r="C213" s="90">
        <v>1070.8999999999828</v>
      </c>
      <c r="D213" s="90">
        <v>1322</v>
      </c>
      <c r="E213" s="90">
        <v>1070.9999999999827</v>
      </c>
      <c r="G213" s="66">
        <v>1070.9999999999827</v>
      </c>
      <c r="H213" s="66">
        <v>1322</v>
      </c>
      <c r="I213" s="66">
        <v>1071.0999999999826</v>
      </c>
      <c r="J213" s="66">
        <v>1332.6</v>
      </c>
    </row>
    <row r="214" spans="2:10">
      <c r="B214" s="90">
        <v>1322</v>
      </c>
      <c r="C214" s="90">
        <v>1070.9999999999827</v>
      </c>
      <c r="D214" s="90">
        <v>1332.6</v>
      </c>
      <c r="E214" s="90">
        <v>1071.0999999999826</v>
      </c>
      <c r="G214" s="66">
        <v>1071.0999999999826</v>
      </c>
      <c r="H214" s="66">
        <v>1332.6</v>
      </c>
      <c r="I214" s="66">
        <v>1071.1999999999825</v>
      </c>
      <c r="J214" s="66">
        <v>1343.2</v>
      </c>
    </row>
    <row r="215" spans="2:10">
      <c r="B215" s="90">
        <v>1332.6</v>
      </c>
      <c r="C215" s="90">
        <v>1071.0999999999826</v>
      </c>
      <c r="D215" s="90">
        <v>1343.2</v>
      </c>
      <c r="E215" s="90">
        <v>1071.1999999999825</v>
      </c>
      <c r="G215" s="66">
        <v>1071.1999999999825</v>
      </c>
      <c r="H215" s="66">
        <v>1343.2</v>
      </c>
      <c r="I215" s="66">
        <v>1071.2999999999824</v>
      </c>
      <c r="J215" s="66">
        <v>1353.8</v>
      </c>
    </row>
    <row r="216" spans="2:10">
      <c r="B216" s="90">
        <v>1343.2</v>
      </c>
      <c r="C216" s="90">
        <v>1071.1999999999825</v>
      </c>
      <c r="D216" s="90">
        <v>1353.8</v>
      </c>
      <c r="E216" s="90">
        <v>1071.2999999999824</v>
      </c>
      <c r="G216" s="66">
        <v>1071.2999999999824</v>
      </c>
      <c r="H216" s="66">
        <v>1353.8</v>
      </c>
      <c r="I216" s="66">
        <v>1071.3999999999824</v>
      </c>
      <c r="J216" s="66">
        <v>1364.4</v>
      </c>
    </row>
    <row r="217" spans="2:10">
      <c r="B217" s="90">
        <v>1353.8</v>
      </c>
      <c r="C217" s="90">
        <v>1071.2999999999824</v>
      </c>
      <c r="D217" s="90">
        <v>1364.4</v>
      </c>
      <c r="E217" s="90">
        <v>1071.3999999999824</v>
      </c>
      <c r="G217" s="66">
        <v>1071.3999999999824</v>
      </c>
      <c r="H217" s="66">
        <v>1364.4</v>
      </c>
      <c r="I217" s="66">
        <v>1071.4999999999823</v>
      </c>
      <c r="J217" s="66">
        <v>1375</v>
      </c>
    </row>
    <row r="218" spans="2:10">
      <c r="B218" s="90">
        <v>1364.4</v>
      </c>
      <c r="C218" s="90">
        <v>1071.3999999999824</v>
      </c>
      <c r="D218" s="90">
        <v>1375</v>
      </c>
      <c r="E218" s="90">
        <v>1071.4999999999823</v>
      </c>
      <c r="G218" s="66">
        <v>1071.4999999999823</v>
      </c>
      <c r="H218" s="66">
        <v>1375</v>
      </c>
      <c r="I218" s="66">
        <v>1071.5999999999822</v>
      </c>
      <c r="J218" s="66">
        <v>1385.6</v>
      </c>
    </row>
    <row r="219" spans="2:10">
      <c r="B219" s="90">
        <v>1375</v>
      </c>
      <c r="C219" s="90">
        <v>1071.4999999999823</v>
      </c>
      <c r="D219" s="90">
        <v>1385.6</v>
      </c>
      <c r="E219" s="90">
        <v>1071.5999999999822</v>
      </c>
      <c r="G219" s="66">
        <v>1071.5999999999822</v>
      </c>
      <c r="H219" s="66">
        <v>1385.6</v>
      </c>
      <c r="I219" s="66">
        <v>1071.6999999999821</v>
      </c>
      <c r="J219" s="66">
        <v>1396.2</v>
      </c>
    </row>
    <row r="220" spans="2:10">
      <c r="B220" s="90">
        <v>1385.6</v>
      </c>
      <c r="C220" s="90">
        <v>1071.5999999999822</v>
      </c>
      <c r="D220" s="90">
        <v>1396.2</v>
      </c>
      <c r="E220" s="90">
        <v>1071.6999999999821</v>
      </c>
      <c r="G220" s="66">
        <v>1071.6999999999821</v>
      </c>
      <c r="H220" s="66">
        <v>1396.2</v>
      </c>
      <c r="I220" s="66">
        <v>1071.799999999982</v>
      </c>
      <c r="J220" s="66">
        <v>1406.8</v>
      </c>
    </row>
    <row r="221" spans="2:10">
      <c r="B221" s="90">
        <v>1396.2</v>
      </c>
      <c r="C221" s="90">
        <v>1071.6999999999821</v>
      </c>
      <c r="D221" s="90">
        <v>1406.8</v>
      </c>
      <c r="E221" s="90">
        <v>1071.799999999982</v>
      </c>
      <c r="G221" s="66">
        <v>1071.799999999982</v>
      </c>
      <c r="H221" s="66">
        <v>1406.8</v>
      </c>
      <c r="I221" s="66">
        <v>1071.8999999999819</v>
      </c>
      <c r="J221" s="66">
        <v>1417.4</v>
      </c>
    </row>
    <row r="222" spans="2:10">
      <c r="B222" s="90">
        <v>1406.8</v>
      </c>
      <c r="C222" s="90">
        <v>1071.799999999982</v>
      </c>
      <c r="D222" s="90">
        <v>1417.4</v>
      </c>
      <c r="E222" s="90">
        <v>1071.8999999999819</v>
      </c>
      <c r="G222" s="66">
        <v>1071.8999999999819</v>
      </c>
      <c r="H222" s="66">
        <v>1417.4</v>
      </c>
      <c r="I222" s="66">
        <v>1071.9999999999818</v>
      </c>
      <c r="J222" s="66">
        <v>1428</v>
      </c>
    </row>
    <row r="223" spans="2:10">
      <c r="B223" s="90">
        <v>1417.4</v>
      </c>
      <c r="C223" s="90">
        <v>1071.8999999999819</v>
      </c>
      <c r="D223" s="90">
        <v>1428</v>
      </c>
      <c r="E223" s="90">
        <v>1071.9999999999818</v>
      </c>
      <c r="G223" s="66">
        <v>1071.9999999999818</v>
      </c>
      <c r="H223" s="66">
        <v>1428</v>
      </c>
      <c r="I223" s="66">
        <v>1072.0999999999817</v>
      </c>
      <c r="J223" s="66">
        <v>1438.9</v>
      </c>
    </row>
    <row r="224" spans="2:10">
      <c r="B224" s="90">
        <v>1428</v>
      </c>
      <c r="C224" s="90">
        <v>1071.9999999999818</v>
      </c>
      <c r="D224" s="90">
        <v>1438.9</v>
      </c>
      <c r="E224" s="90">
        <v>1072.0999999999817</v>
      </c>
      <c r="G224" s="66">
        <v>1072.0999999999817</v>
      </c>
      <c r="H224" s="66">
        <v>1438.9</v>
      </c>
      <c r="I224" s="66">
        <v>1072.1999999999816</v>
      </c>
      <c r="J224" s="66">
        <v>1449.8</v>
      </c>
    </row>
    <row r="225" spans="2:10">
      <c r="B225" s="90">
        <v>1438.9</v>
      </c>
      <c r="C225" s="90">
        <v>1072.0999999999817</v>
      </c>
      <c r="D225" s="90">
        <v>1449.8</v>
      </c>
      <c r="E225" s="90">
        <v>1072.1999999999816</v>
      </c>
      <c r="G225" s="66">
        <v>1072.1999999999816</v>
      </c>
      <c r="H225" s="66">
        <v>1449.8</v>
      </c>
      <c r="I225" s="66">
        <v>1072.2999999999815</v>
      </c>
      <c r="J225" s="66">
        <v>1460.7</v>
      </c>
    </row>
    <row r="226" spans="2:10">
      <c r="B226" s="90">
        <v>1449.8</v>
      </c>
      <c r="C226" s="90">
        <v>1072.1999999999816</v>
      </c>
      <c r="D226" s="90">
        <v>1460.7</v>
      </c>
      <c r="E226" s="90">
        <v>1072.2999999999815</v>
      </c>
      <c r="G226" s="66">
        <v>1072.2999999999815</v>
      </c>
      <c r="H226" s="66">
        <v>1460.7</v>
      </c>
      <c r="I226" s="66">
        <v>1072.3999999999814</v>
      </c>
      <c r="J226" s="66">
        <v>1471.6</v>
      </c>
    </row>
    <row r="227" spans="2:10">
      <c r="B227" s="90">
        <v>1460.7</v>
      </c>
      <c r="C227" s="90">
        <v>1072.2999999999815</v>
      </c>
      <c r="D227" s="90">
        <v>1471.6</v>
      </c>
      <c r="E227" s="90">
        <v>1072.3999999999814</v>
      </c>
      <c r="G227" s="66">
        <v>1072.3999999999814</v>
      </c>
      <c r="H227" s="66">
        <v>1471.6</v>
      </c>
      <c r="I227" s="66">
        <v>1072.4999999999814</v>
      </c>
      <c r="J227" s="66">
        <v>1482.5</v>
      </c>
    </row>
    <row r="228" spans="2:10">
      <c r="B228" s="90">
        <v>1471.6</v>
      </c>
      <c r="C228" s="90">
        <v>1072.3999999999814</v>
      </c>
      <c r="D228" s="90">
        <v>1482.5</v>
      </c>
      <c r="E228" s="90">
        <v>1072.4999999999814</v>
      </c>
      <c r="G228" s="66">
        <v>1072.4999999999814</v>
      </c>
      <c r="H228" s="66">
        <v>1482.5</v>
      </c>
      <c r="I228" s="66">
        <v>1072.5999999999813</v>
      </c>
      <c r="J228" s="66">
        <v>1493.4</v>
      </c>
    </row>
    <row r="229" spans="2:10">
      <c r="B229" s="90">
        <v>1482.5</v>
      </c>
      <c r="C229" s="90">
        <v>1072.4999999999814</v>
      </c>
      <c r="D229" s="90">
        <v>1493.4</v>
      </c>
      <c r="E229" s="90">
        <v>1072.5999999999813</v>
      </c>
      <c r="G229" s="66">
        <v>1072.5999999999813</v>
      </c>
      <c r="H229" s="66">
        <v>1493.4</v>
      </c>
      <c r="I229" s="66">
        <v>1072.6999999999812</v>
      </c>
      <c r="J229" s="66">
        <v>1504.3</v>
      </c>
    </row>
    <row r="230" spans="2:10">
      <c r="B230" s="90">
        <v>1493.4</v>
      </c>
      <c r="C230" s="90">
        <v>1072.5999999999813</v>
      </c>
      <c r="D230" s="90">
        <v>1504.3</v>
      </c>
      <c r="E230" s="90">
        <v>1072.6999999999812</v>
      </c>
      <c r="G230" s="66">
        <v>1072.6999999999812</v>
      </c>
      <c r="H230" s="66">
        <v>1504.3</v>
      </c>
      <c r="I230" s="66">
        <v>1072.7999999999811</v>
      </c>
      <c r="J230" s="66">
        <v>1515.2</v>
      </c>
    </row>
    <row r="231" spans="2:10">
      <c r="B231" s="90">
        <v>1504.3</v>
      </c>
      <c r="C231" s="90">
        <v>1072.6999999999812</v>
      </c>
      <c r="D231" s="90">
        <v>1515.2</v>
      </c>
      <c r="E231" s="90">
        <v>1072.7999999999811</v>
      </c>
      <c r="G231" s="66">
        <v>1072.7999999999811</v>
      </c>
      <c r="H231" s="66">
        <v>1515.2</v>
      </c>
      <c r="I231" s="66">
        <v>1072.899999999981</v>
      </c>
      <c r="J231" s="66">
        <v>1526.1</v>
      </c>
    </row>
    <row r="232" spans="2:10">
      <c r="B232" s="90">
        <v>1515.2</v>
      </c>
      <c r="C232" s="90">
        <v>1072.7999999999811</v>
      </c>
      <c r="D232" s="90">
        <v>1526.1</v>
      </c>
      <c r="E232" s="90">
        <v>1072.899999999981</v>
      </c>
      <c r="G232" s="66">
        <v>1072.899999999981</v>
      </c>
      <c r="H232" s="66">
        <v>1526.1</v>
      </c>
      <c r="I232" s="66">
        <v>1072.9999999999809</v>
      </c>
      <c r="J232" s="66">
        <v>1537</v>
      </c>
    </row>
    <row r="233" spans="2:10">
      <c r="B233" s="90">
        <v>1526.1</v>
      </c>
      <c r="C233" s="90">
        <v>1072.899999999981</v>
      </c>
      <c r="D233" s="90">
        <v>1537</v>
      </c>
      <c r="E233" s="90">
        <v>1072.9999999999809</v>
      </c>
      <c r="G233" s="66">
        <v>1072.9999999999809</v>
      </c>
      <c r="H233" s="66">
        <v>1537</v>
      </c>
      <c r="I233" s="66">
        <v>1073.0999999999808</v>
      </c>
      <c r="J233" s="66">
        <v>1548.4</v>
      </c>
    </row>
    <row r="234" spans="2:10">
      <c r="B234" s="90">
        <v>1537</v>
      </c>
      <c r="C234" s="90">
        <v>1072.9999999999809</v>
      </c>
      <c r="D234" s="90">
        <v>1548.4</v>
      </c>
      <c r="E234" s="90">
        <v>1073.0999999999808</v>
      </c>
      <c r="G234" s="66">
        <v>1073.0999999999808</v>
      </c>
      <c r="H234" s="66">
        <v>1548.4</v>
      </c>
      <c r="I234" s="66">
        <v>1073.1999999999807</v>
      </c>
      <c r="J234" s="66">
        <v>1559.8</v>
      </c>
    </row>
    <row r="235" spans="2:10">
      <c r="B235" s="90">
        <v>1548.4</v>
      </c>
      <c r="C235" s="90">
        <v>1073.0999999999808</v>
      </c>
      <c r="D235" s="90">
        <v>1559.8</v>
      </c>
      <c r="E235" s="90">
        <v>1073.1999999999807</v>
      </c>
      <c r="G235" s="66">
        <v>1073.1999999999807</v>
      </c>
      <c r="H235" s="66">
        <v>1559.8</v>
      </c>
      <c r="I235" s="66">
        <v>1073.2999999999806</v>
      </c>
      <c r="J235" s="66">
        <v>1571.2</v>
      </c>
    </row>
    <row r="236" spans="2:10">
      <c r="B236" s="90">
        <v>1559.8</v>
      </c>
      <c r="C236" s="90">
        <v>1073.1999999999807</v>
      </c>
      <c r="D236" s="90">
        <v>1571.2</v>
      </c>
      <c r="E236" s="90">
        <v>1073.2999999999806</v>
      </c>
      <c r="G236" s="66">
        <v>1073.2999999999806</v>
      </c>
      <c r="H236" s="66">
        <v>1571.2</v>
      </c>
      <c r="I236" s="66">
        <v>1073.3999999999805</v>
      </c>
      <c r="J236" s="66">
        <v>1582.6</v>
      </c>
    </row>
    <row r="237" spans="2:10">
      <c r="B237" s="90">
        <v>1571.2</v>
      </c>
      <c r="C237" s="90">
        <v>1073.2999999999806</v>
      </c>
      <c r="D237" s="90">
        <v>1582.6</v>
      </c>
      <c r="E237" s="90">
        <v>1073.3999999999805</v>
      </c>
      <c r="G237" s="66">
        <v>1073.3999999999805</v>
      </c>
      <c r="H237" s="66">
        <v>1582.6</v>
      </c>
      <c r="I237" s="66">
        <v>1073.4999999999804</v>
      </c>
      <c r="J237" s="66">
        <v>1594</v>
      </c>
    </row>
    <row r="238" spans="2:10">
      <c r="B238" s="90">
        <v>1582.6</v>
      </c>
      <c r="C238" s="90">
        <v>1073.3999999999805</v>
      </c>
      <c r="D238" s="90">
        <v>1594</v>
      </c>
      <c r="E238" s="90">
        <v>1073.4999999999804</v>
      </c>
      <c r="G238" s="66">
        <v>1073.4999999999804</v>
      </c>
      <c r="H238" s="66">
        <v>1594</v>
      </c>
      <c r="I238" s="66">
        <v>1073.5999999999804</v>
      </c>
      <c r="J238" s="66">
        <v>1605.4</v>
      </c>
    </row>
    <row r="239" spans="2:10">
      <c r="B239" s="90">
        <v>1594</v>
      </c>
      <c r="C239" s="90">
        <v>1073.4999999999804</v>
      </c>
      <c r="D239" s="90">
        <v>1605.4</v>
      </c>
      <c r="E239" s="90">
        <v>1073.5999999999804</v>
      </c>
      <c r="G239" s="66">
        <v>1073.5999999999804</v>
      </c>
      <c r="H239" s="66">
        <v>1605.4</v>
      </c>
      <c r="I239" s="66">
        <v>1073.6999999999803</v>
      </c>
      <c r="J239" s="66">
        <v>1616.8</v>
      </c>
    </row>
    <row r="240" spans="2:10">
      <c r="B240" s="90">
        <v>1605.4</v>
      </c>
      <c r="C240" s="90">
        <v>1073.5999999999804</v>
      </c>
      <c r="D240" s="90">
        <v>1616.8</v>
      </c>
      <c r="E240" s="90">
        <v>1073.6999999999803</v>
      </c>
      <c r="G240" s="66">
        <v>1073.6999999999803</v>
      </c>
      <c r="H240" s="66">
        <v>1616.8</v>
      </c>
      <c r="I240" s="66">
        <v>1073.7999999999802</v>
      </c>
      <c r="J240" s="66">
        <v>1628.2</v>
      </c>
    </row>
    <row r="241" spans="2:10">
      <c r="B241" s="90">
        <v>1616.8</v>
      </c>
      <c r="C241" s="90">
        <v>1073.6999999999803</v>
      </c>
      <c r="D241" s="90">
        <v>1628.2</v>
      </c>
      <c r="E241" s="90">
        <v>1073.7999999999802</v>
      </c>
      <c r="G241" s="66">
        <v>1073.7999999999802</v>
      </c>
      <c r="H241" s="66">
        <v>1628.2</v>
      </c>
      <c r="I241" s="66">
        <v>1073.8999999999801</v>
      </c>
      <c r="J241" s="66">
        <v>1639.6</v>
      </c>
    </row>
    <row r="242" spans="2:10">
      <c r="B242" s="90">
        <v>1628.2</v>
      </c>
      <c r="C242" s="90">
        <v>1073.7999999999802</v>
      </c>
      <c r="D242" s="90">
        <v>1639.6</v>
      </c>
      <c r="E242" s="90">
        <v>1073.8999999999801</v>
      </c>
      <c r="G242" s="66">
        <v>1073.8999999999801</v>
      </c>
      <c r="H242" s="66">
        <v>1639.6</v>
      </c>
      <c r="I242" s="66">
        <v>1073.99999999998</v>
      </c>
      <c r="J242" s="66">
        <v>1651</v>
      </c>
    </row>
    <row r="243" spans="2:10">
      <c r="B243" s="90">
        <v>1639.6</v>
      </c>
      <c r="C243" s="90">
        <v>1073.8999999999801</v>
      </c>
      <c r="D243" s="90">
        <v>1651</v>
      </c>
      <c r="E243" s="90">
        <v>1073.99999999998</v>
      </c>
      <c r="G243" s="66">
        <v>1073.99999999998</v>
      </c>
      <c r="H243" s="66">
        <v>1651</v>
      </c>
      <c r="I243" s="66">
        <v>1074.0999999999799</v>
      </c>
      <c r="J243" s="66">
        <v>1662.8</v>
      </c>
    </row>
    <row r="244" spans="2:10">
      <c r="B244" s="90">
        <v>1651</v>
      </c>
      <c r="C244" s="90">
        <v>1073.99999999998</v>
      </c>
      <c r="D244" s="90">
        <v>1662.8</v>
      </c>
      <c r="E244" s="90">
        <v>1074.0999999999799</v>
      </c>
      <c r="G244" s="66">
        <v>1074.0999999999799</v>
      </c>
      <c r="H244" s="66">
        <v>1662.8</v>
      </c>
      <c r="I244" s="66">
        <v>1074.1999999999798</v>
      </c>
      <c r="J244" s="66">
        <v>1674.6</v>
      </c>
    </row>
    <row r="245" spans="2:10">
      <c r="B245" s="90">
        <v>1662.8</v>
      </c>
      <c r="C245" s="90">
        <v>1074.0999999999799</v>
      </c>
      <c r="D245" s="90">
        <v>1674.6</v>
      </c>
      <c r="E245" s="90">
        <v>1074.1999999999798</v>
      </c>
      <c r="G245" s="66">
        <v>1074.1999999999798</v>
      </c>
      <c r="H245" s="66">
        <v>1674.6</v>
      </c>
      <c r="I245" s="66">
        <v>1074.2999999999797</v>
      </c>
      <c r="J245" s="66">
        <v>1686.4</v>
      </c>
    </row>
    <row r="246" spans="2:10">
      <c r="B246" s="90">
        <v>1674.6</v>
      </c>
      <c r="C246" s="90">
        <v>1074.1999999999798</v>
      </c>
      <c r="D246" s="90">
        <v>1686.4</v>
      </c>
      <c r="E246" s="90">
        <v>1074.2999999999797</v>
      </c>
      <c r="G246" s="66">
        <v>1074.2999999999797</v>
      </c>
      <c r="H246" s="66">
        <v>1686.4</v>
      </c>
      <c r="I246" s="66">
        <v>1074.3999999999796</v>
      </c>
      <c r="J246" s="66">
        <v>1698.2</v>
      </c>
    </row>
    <row r="247" spans="2:10">
      <c r="B247" s="90">
        <v>1686.4</v>
      </c>
      <c r="C247" s="90">
        <v>1074.2999999999797</v>
      </c>
      <c r="D247" s="90">
        <v>1698.2</v>
      </c>
      <c r="E247" s="90">
        <v>1074.3999999999796</v>
      </c>
      <c r="G247" s="66">
        <v>1074.3999999999796</v>
      </c>
      <c r="H247" s="66">
        <v>1698.2</v>
      </c>
      <c r="I247" s="66">
        <v>1074.4999999999795</v>
      </c>
      <c r="J247" s="66">
        <v>1710</v>
      </c>
    </row>
    <row r="248" spans="2:10">
      <c r="B248" s="90">
        <v>1698.2</v>
      </c>
      <c r="C248" s="90">
        <v>1074.3999999999796</v>
      </c>
      <c r="D248" s="90">
        <v>1710</v>
      </c>
      <c r="E248" s="90">
        <v>1074.4999999999795</v>
      </c>
      <c r="G248" s="66">
        <v>1074.4999999999795</v>
      </c>
      <c r="H248" s="66">
        <v>1710</v>
      </c>
      <c r="I248" s="66">
        <v>1074.5999999999794</v>
      </c>
      <c r="J248" s="66">
        <v>1721.8</v>
      </c>
    </row>
    <row r="249" spans="2:10">
      <c r="B249" s="90">
        <v>1710</v>
      </c>
      <c r="C249" s="90">
        <v>1074.4999999999795</v>
      </c>
      <c r="D249" s="90">
        <v>1721.8</v>
      </c>
      <c r="E249" s="90">
        <v>1074.5999999999794</v>
      </c>
      <c r="G249" s="66">
        <v>1074.5999999999794</v>
      </c>
      <c r="H249" s="66">
        <v>1721.8</v>
      </c>
      <c r="I249" s="66">
        <v>1074.6999999999794</v>
      </c>
      <c r="J249" s="66">
        <v>1733.6</v>
      </c>
    </row>
    <row r="250" spans="2:10">
      <c r="B250" s="90">
        <v>1721.8</v>
      </c>
      <c r="C250" s="90">
        <v>1074.5999999999794</v>
      </c>
      <c r="D250" s="90">
        <v>1733.6</v>
      </c>
      <c r="E250" s="90">
        <v>1074.6999999999794</v>
      </c>
      <c r="G250" s="66">
        <v>1074.6999999999794</v>
      </c>
      <c r="H250" s="66">
        <v>1733.6</v>
      </c>
      <c r="I250" s="66">
        <v>1074.7999999999793</v>
      </c>
      <c r="J250" s="66">
        <v>1745.4</v>
      </c>
    </row>
    <row r="251" spans="2:10">
      <c r="B251" s="90">
        <v>1733.6</v>
      </c>
      <c r="C251" s="90">
        <v>1074.6999999999794</v>
      </c>
      <c r="D251" s="90">
        <v>1745.4</v>
      </c>
      <c r="E251" s="90">
        <v>1074.7999999999793</v>
      </c>
      <c r="G251" s="66">
        <v>1074.7999999999793</v>
      </c>
      <c r="H251" s="66">
        <v>1745.4</v>
      </c>
      <c r="I251" s="66">
        <v>1074.8999999999792</v>
      </c>
      <c r="J251" s="66">
        <v>1757.2</v>
      </c>
    </row>
    <row r="252" spans="2:10">
      <c r="B252" s="90">
        <v>1745.4</v>
      </c>
      <c r="C252" s="90">
        <v>1074.7999999999793</v>
      </c>
      <c r="D252" s="90">
        <v>1757.2</v>
      </c>
      <c r="E252" s="90">
        <v>1074.8999999999792</v>
      </c>
      <c r="G252" s="66">
        <v>1074.8999999999792</v>
      </c>
      <c r="H252" s="66">
        <v>1757.2</v>
      </c>
      <c r="I252" s="66">
        <v>1074.9999999999791</v>
      </c>
      <c r="J252" s="66">
        <v>1769</v>
      </c>
    </row>
    <row r="253" spans="2:10">
      <c r="B253" s="90">
        <v>1757.2</v>
      </c>
      <c r="C253" s="90">
        <v>1074.8999999999792</v>
      </c>
      <c r="D253" s="90">
        <v>1769</v>
      </c>
      <c r="E253" s="90">
        <v>1074.9999999999791</v>
      </c>
      <c r="G253" s="66">
        <v>1074.9999999999791</v>
      </c>
      <c r="H253" s="66">
        <v>1769</v>
      </c>
      <c r="I253" s="66">
        <v>1075.099999999979</v>
      </c>
      <c r="J253" s="66">
        <v>1781.2</v>
      </c>
    </row>
    <row r="254" spans="2:10">
      <c r="B254" s="90">
        <v>1769</v>
      </c>
      <c r="C254" s="90">
        <v>1074.9999999999791</v>
      </c>
      <c r="D254" s="90">
        <v>1781.2</v>
      </c>
      <c r="E254" s="90">
        <v>1075.099999999979</v>
      </c>
      <c r="G254" s="66">
        <v>1075.099999999979</v>
      </c>
      <c r="H254" s="66">
        <v>1781.2</v>
      </c>
      <c r="I254" s="66">
        <v>1075.1999999999789</v>
      </c>
      <c r="J254" s="66">
        <v>1793.4</v>
      </c>
    </row>
    <row r="255" spans="2:10">
      <c r="B255" s="90">
        <v>1781.2</v>
      </c>
      <c r="C255" s="90">
        <v>1075.099999999979</v>
      </c>
      <c r="D255" s="90">
        <v>1793.4</v>
      </c>
      <c r="E255" s="90">
        <v>1075.1999999999789</v>
      </c>
      <c r="G255" s="66">
        <v>1075.1999999999789</v>
      </c>
      <c r="H255" s="66">
        <v>1793.4</v>
      </c>
      <c r="I255" s="66">
        <v>1075.2999999999788</v>
      </c>
      <c r="J255" s="66">
        <v>1805.6</v>
      </c>
    </row>
    <row r="256" spans="2:10">
      <c r="B256" s="90">
        <v>1793.4</v>
      </c>
      <c r="C256" s="90">
        <v>1075.1999999999789</v>
      </c>
      <c r="D256" s="90">
        <v>1805.6</v>
      </c>
      <c r="E256" s="90">
        <v>1075.2999999999788</v>
      </c>
      <c r="G256" s="66">
        <v>1075.2999999999788</v>
      </c>
      <c r="H256" s="66">
        <v>1805.6</v>
      </c>
      <c r="I256" s="66">
        <v>1075.3999999999787</v>
      </c>
      <c r="J256" s="66">
        <v>1817.8</v>
      </c>
    </row>
    <row r="257" spans="2:10">
      <c r="B257" s="90">
        <v>1805.6</v>
      </c>
      <c r="C257" s="90">
        <v>1075.2999999999788</v>
      </c>
      <c r="D257" s="90">
        <v>1817.8</v>
      </c>
      <c r="E257" s="90">
        <v>1075.3999999999787</v>
      </c>
      <c r="G257" s="66">
        <v>1075.3999999999787</v>
      </c>
      <c r="H257" s="66">
        <v>1817.8</v>
      </c>
      <c r="I257" s="66">
        <v>1075.4999999999786</v>
      </c>
      <c r="J257" s="66">
        <v>1830</v>
      </c>
    </row>
    <row r="258" spans="2:10">
      <c r="B258" s="90">
        <v>1817.8</v>
      </c>
      <c r="C258" s="90">
        <v>1075.3999999999787</v>
      </c>
      <c r="D258" s="90">
        <v>1830</v>
      </c>
      <c r="E258" s="90">
        <v>1075.4999999999786</v>
      </c>
      <c r="G258" s="66">
        <v>1075.4999999999786</v>
      </c>
      <c r="H258" s="66">
        <v>1830</v>
      </c>
      <c r="I258" s="66">
        <v>1075.5999999999785</v>
      </c>
      <c r="J258" s="66">
        <v>1842.2</v>
      </c>
    </row>
    <row r="259" spans="2:10">
      <c r="B259" s="90">
        <v>1830</v>
      </c>
      <c r="C259" s="90">
        <v>1075.4999999999786</v>
      </c>
      <c r="D259" s="90">
        <v>1842.2</v>
      </c>
      <c r="E259" s="90">
        <v>1075.5999999999785</v>
      </c>
      <c r="G259" s="66">
        <v>1075.5999999999785</v>
      </c>
      <c r="H259" s="66">
        <v>1842.2</v>
      </c>
      <c r="I259" s="66">
        <v>1075.6999999999784</v>
      </c>
      <c r="J259" s="66">
        <v>1854.4</v>
      </c>
    </row>
    <row r="260" spans="2:10">
      <c r="B260" s="90">
        <v>1842.2</v>
      </c>
      <c r="C260" s="90">
        <v>1075.5999999999785</v>
      </c>
      <c r="D260" s="90">
        <v>1854.4</v>
      </c>
      <c r="E260" s="90">
        <v>1075.6999999999784</v>
      </c>
      <c r="G260" s="66">
        <v>1075.6999999999784</v>
      </c>
      <c r="H260" s="66">
        <v>1854.4</v>
      </c>
      <c r="I260" s="66">
        <v>1075.7999999999784</v>
      </c>
      <c r="J260" s="66">
        <v>1866.6</v>
      </c>
    </row>
    <row r="261" spans="2:10">
      <c r="B261" s="90">
        <v>1854.4</v>
      </c>
      <c r="C261" s="90">
        <v>1075.6999999999784</v>
      </c>
      <c r="D261" s="90">
        <v>1866.6</v>
      </c>
      <c r="E261" s="90">
        <v>1075.7999999999784</v>
      </c>
      <c r="G261" s="66">
        <v>1075.7999999999784</v>
      </c>
      <c r="H261" s="66">
        <v>1866.6</v>
      </c>
      <c r="I261" s="66">
        <v>1075.8999999999783</v>
      </c>
      <c r="J261" s="66">
        <v>1878.8</v>
      </c>
    </row>
    <row r="262" spans="2:10">
      <c r="B262" s="90">
        <v>1866.6</v>
      </c>
      <c r="C262" s="90">
        <v>1075.7999999999784</v>
      </c>
      <c r="D262" s="90">
        <v>1878.8</v>
      </c>
      <c r="E262" s="90">
        <v>1075.8999999999783</v>
      </c>
      <c r="G262" s="66">
        <v>1075.8999999999783</v>
      </c>
      <c r="H262" s="66">
        <v>1878.8</v>
      </c>
      <c r="I262" s="66">
        <v>1075.9999999999782</v>
      </c>
      <c r="J262" s="66">
        <v>1891</v>
      </c>
    </row>
    <row r="263" spans="2:10">
      <c r="B263" s="90">
        <v>1878.8</v>
      </c>
      <c r="C263" s="90">
        <v>1075.8999999999783</v>
      </c>
      <c r="D263" s="90">
        <v>1891</v>
      </c>
      <c r="E263" s="90">
        <v>1075.9999999999782</v>
      </c>
      <c r="G263" s="66">
        <v>1075.9999999999782</v>
      </c>
      <c r="H263" s="66">
        <v>1891</v>
      </c>
      <c r="I263" s="66">
        <v>1076.0999999999781</v>
      </c>
      <c r="J263" s="66">
        <v>1903.6</v>
      </c>
    </row>
    <row r="264" spans="2:10">
      <c r="B264" s="90">
        <v>1891</v>
      </c>
      <c r="C264" s="90">
        <v>1075.9999999999782</v>
      </c>
      <c r="D264" s="90">
        <v>1903.6</v>
      </c>
      <c r="E264" s="90">
        <v>1076.0999999999781</v>
      </c>
      <c r="G264" s="66">
        <v>1076.0999999999781</v>
      </c>
      <c r="H264" s="66">
        <v>1903.6</v>
      </c>
      <c r="I264" s="66">
        <v>1076.199999999978</v>
      </c>
      <c r="J264" s="66">
        <v>1916.2</v>
      </c>
    </row>
    <row r="265" spans="2:10">
      <c r="B265" s="90">
        <v>1903.6</v>
      </c>
      <c r="C265" s="90">
        <v>1076.0999999999781</v>
      </c>
      <c r="D265" s="90">
        <v>1916.2</v>
      </c>
      <c r="E265" s="90">
        <v>1076.199999999978</v>
      </c>
      <c r="G265" s="66">
        <v>1076.199999999978</v>
      </c>
      <c r="H265" s="66">
        <v>1916.2</v>
      </c>
      <c r="I265" s="66">
        <v>1076.2999999999779</v>
      </c>
      <c r="J265" s="66">
        <v>1928.8</v>
      </c>
    </row>
    <row r="266" spans="2:10">
      <c r="B266" s="90">
        <v>1916.2</v>
      </c>
      <c r="C266" s="90">
        <v>1076.199999999978</v>
      </c>
      <c r="D266" s="90">
        <v>1928.8</v>
      </c>
      <c r="E266" s="90">
        <v>1076.2999999999779</v>
      </c>
      <c r="G266" s="66">
        <v>1076.2999999999779</v>
      </c>
      <c r="H266" s="66">
        <v>1928.8</v>
      </c>
      <c r="I266" s="66">
        <v>1076.3999999999778</v>
      </c>
      <c r="J266" s="66">
        <v>1941.4</v>
      </c>
    </row>
    <row r="267" spans="2:10">
      <c r="B267" s="90">
        <v>1928.8</v>
      </c>
      <c r="C267" s="90">
        <v>1076.2999999999779</v>
      </c>
      <c r="D267" s="90">
        <v>1941.4</v>
      </c>
      <c r="E267" s="90">
        <v>1076.3999999999778</v>
      </c>
      <c r="G267" s="66">
        <v>1076.3999999999778</v>
      </c>
      <c r="H267" s="66">
        <v>1941.4</v>
      </c>
      <c r="I267" s="66">
        <v>1076.4999999999777</v>
      </c>
      <c r="J267" s="66">
        <v>1954</v>
      </c>
    </row>
    <row r="268" spans="2:10">
      <c r="B268" s="90">
        <v>1941.4</v>
      </c>
      <c r="C268" s="90">
        <v>1076.3999999999778</v>
      </c>
      <c r="D268" s="90">
        <v>1954</v>
      </c>
      <c r="E268" s="90">
        <v>1076.4999999999777</v>
      </c>
      <c r="G268" s="66">
        <v>1076.4999999999777</v>
      </c>
      <c r="H268" s="66">
        <v>1954</v>
      </c>
      <c r="I268" s="66">
        <v>1076.5999999999776</v>
      </c>
      <c r="J268" s="66">
        <v>1966.6</v>
      </c>
    </row>
    <row r="269" spans="2:10">
      <c r="B269" s="90">
        <v>1954</v>
      </c>
      <c r="C269" s="90">
        <v>1076.4999999999777</v>
      </c>
      <c r="D269" s="90">
        <v>1966.6</v>
      </c>
      <c r="E269" s="90">
        <v>1076.5999999999776</v>
      </c>
      <c r="G269" s="66">
        <v>1076.5999999999776</v>
      </c>
      <c r="H269" s="66">
        <v>1966.6</v>
      </c>
      <c r="I269" s="66">
        <v>1076.6999999999775</v>
      </c>
      <c r="J269" s="66">
        <v>1979.2</v>
      </c>
    </row>
    <row r="270" spans="2:10">
      <c r="B270" s="90">
        <v>1966.6</v>
      </c>
      <c r="C270" s="90">
        <v>1076.5999999999776</v>
      </c>
      <c r="D270" s="90">
        <v>1979.2</v>
      </c>
      <c r="E270" s="90">
        <v>1076.6999999999775</v>
      </c>
      <c r="G270" s="66">
        <v>1076.6999999999775</v>
      </c>
      <c r="H270" s="66">
        <v>1979.2</v>
      </c>
      <c r="I270" s="66">
        <v>1076.7999999999774</v>
      </c>
      <c r="J270" s="66">
        <v>1991.8</v>
      </c>
    </row>
    <row r="271" spans="2:10">
      <c r="B271" s="90">
        <v>1979.2</v>
      </c>
      <c r="C271" s="90">
        <v>1076.6999999999775</v>
      </c>
      <c r="D271" s="90">
        <v>1991.8</v>
      </c>
      <c r="E271" s="90">
        <v>1076.7999999999774</v>
      </c>
      <c r="G271" s="66">
        <v>1076.7999999999774</v>
      </c>
      <c r="H271" s="66">
        <v>1991.8</v>
      </c>
      <c r="I271" s="66">
        <v>1076.8999999999774</v>
      </c>
      <c r="J271" s="66">
        <v>2004.4</v>
      </c>
    </row>
    <row r="272" spans="2:10">
      <c r="B272" s="90">
        <v>1991.8</v>
      </c>
      <c r="C272" s="90">
        <v>1076.7999999999774</v>
      </c>
      <c r="D272" s="90">
        <v>2004.4</v>
      </c>
      <c r="E272" s="90">
        <v>1076.8999999999774</v>
      </c>
      <c r="G272" s="66">
        <v>1076.8999999999774</v>
      </c>
      <c r="H272" s="66">
        <v>2004.4</v>
      </c>
      <c r="I272" s="66">
        <v>1076.9999999999773</v>
      </c>
      <c r="J272" s="66">
        <v>2017</v>
      </c>
    </row>
    <row r="273" spans="2:10">
      <c r="B273" s="90">
        <v>2004.4</v>
      </c>
      <c r="C273" s="90">
        <v>1076.8999999999774</v>
      </c>
      <c r="D273" s="90">
        <v>2017</v>
      </c>
      <c r="E273" s="90">
        <v>1076.9999999999773</v>
      </c>
      <c r="G273" s="66">
        <v>1076.9999999999773</v>
      </c>
      <c r="H273" s="66">
        <v>2017</v>
      </c>
      <c r="I273" s="66">
        <v>1077.0999999999772</v>
      </c>
      <c r="J273" s="66">
        <v>2030</v>
      </c>
    </row>
    <row r="274" spans="2:10">
      <c r="B274" s="90">
        <v>2017</v>
      </c>
      <c r="C274" s="90">
        <v>1076.9999999999773</v>
      </c>
      <c r="D274" s="90">
        <v>2030</v>
      </c>
      <c r="E274" s="90">
        <v>1077.0999999999772</v>
      </c>
      <c r="G274" s="66">
        <v>1077.0999999999772</v>
      </c>
      <c r="H274" s="66">
        <v>2030</v>
      </c>
      <c r="I274" s="66">
        <v>1077.1999999999771</v>
      </c>
      <c r="J274" s="66">
        <v>2043</v>
      </c>
    </row>
    <row r="275" spans="2:10">
      <c r="B275" s="90">
        <v>2030</v>
      </c>
      <c r="C275" s="90">
        <v>1077.0999999999772</v>
      </c>
      <c r="D275" s="90">
        <v>2043</v>
      </c>
      <c r="E275" s="90">
        <v>1077.1999999999771</v>
      </c>
      <c r="G275" s="66">
        <v>1077.1999999999771</v>
      </c>
      <c r="H275" s="66">
        <v>2043</v>
      </c>
      <c r="I275" s="66">
        <v>1077.299999999977</v>
      </c>
      <c r="J275" s="66">
        <v>2056</v>
      </c>
    </row>
    <row r="276" spans="2:10">
      <c r="B276" s="90">
        <v>2043</v>
      </c>
      <c r="C276" s="90">
        <v>1077.1999999999771</v>
      </c>
      <c r="D276" s="90">
        <v>2056</v>
      </c>
      <c r="E276" s="90">
        <v>1077.299999999977</v>
      </c>
      <c r="G276" s="66">
        <v>1077.299999999977</v>
      </c>
      <c r="H276" s="66">
        <v>2056</v>
      </c>
      <c r="I276" s="66">
        <v>1077.3999999999769</v>
      </c>
      <c r="J276" s="66">
        <v>2069</v>
      </c>
    </row>
    <row r="277" spans="2:10">
      <c r="B277" s="90">
        <v>2056</v>
      </c>
      <c r="C277" s="90">
        <v>1077.299999999977</v>
      </c>
      <c r="D277" s="90">
        <v>2069</v>
      </c>
      <c r="E277" s="90">
        <v>1077.3999999999769</v>
      </c>
      <c r="G277" s="66">
        <v>1077.3999999999769</v>
      </c>
      <c r="H277" s="66">
        <v>2069</v>
      </c>
      <c r="I277" s="66">
        <v>1077.4999999999768</v>
      </c>
      <c r="J277" s="66">
        <v>2082</v>
      </c>
    </row>
    <row r="278" spans="2:10">
      <c r="B278" s="90">
        <v>2069</v>
      </c>
      <c r="C278" s="90">
        <v>1077.3999999999769</v>
      </c>
      <c r="D278" s="90">
        <v>2082</v>
      </c>
      <c r="E278" s="90">
        <v>1077.4999999999768</v>
      </c>
      <c r="G278" s="66">
        <v>1077.4999999999768</v>
      </c>
      <c r="H278" s="66">
        <v>2082</v>
      </c>
      <c r="I278" s="66">
        <v>1077.5999999999767</v>
      </c>
      <c r="J278" s="66">
        <v>2095</v>
      </c>
    </row>
    <row r="279" spans="2:10">
      <c r="B279" s="90">
        <v>2082</v>
      </c>
      <c r="C279" s="90">
        <v>1077.4999999999768</v>
      </c>
      <c r="D279" s="90">
        <v>2095</v>
      </c>
      <c r="E279" s="90">
        <v>1077.5999999999767</v>
      </c>
      <c r="G279" s="66">
        <v>1077.5999999999767</v>
      </c>
      <c r="H279" s="66">
        <v>2095</v>
      </c>
      <c r="I279" s="66">
        <v>1077.6999999999766</v>
      </c>
      <c r="J279" s="66">
        <v>2108</v>
      </c>
    </row>
    <row r="280" spans="2:10">
      <c r="B280" s="90">
        <v>2095</v>
      </c>
      <c r="C280" s="90">
        <v>1077.5999999999767</v>
      </c>
      <c r="D280" s="90">
        <v>2108</v>
      </c>
      <c r="E280" s="90">
        <v>1077.6999999999766</v>
      </c>
      <c r="G280" s="66">
        <v>1077.6999999999766</v>
      </c>
      <c r="H280" s="66">
        <v>2108</v>
      </c>
      <c r="I280" s="66">
        <v>1077.7999999999765</v>
      </c>
      <c r="J280" s="66">
        <v>2121</v>
      </c>
    </row>
    <row r="281" spans="2:10">
      <c r="B281" s="90">
        <v>2108</v>
      </c>
      <c r="C281" s="90">
        <v>1077.6999999999766</v>
      </c>
      <c r="D281" s="90">
        <v>2121</v>
      </c>
      <c r="E281" s="90">
        <v>1077.7999999999765</v>
      </c>
      <c r="G281" s="66">
        <v>1077.7999999999765</v>
      </c>
      <c r="H281" s="66">
        <v>2121</v>
      </c>
      <c r="I281" s="66">
        <v>1077.8999999999764</v>
      </c>
      <c r="J281" s="66">
        <v>2134</v>
      </c>
    </row>
    <row r="282" spans="2:10">
      <c r="B282" s="90">
        <v>2121</v>
      </c>
      <c r="C282" s="90">
        <v>1077.7999999999765</v>
      </c>
      <c r="D282" s="90">
        <v>2134</v>
      </c>
      <c r="E282" s="90">
        <v>1077.8999999999764</v>
      </c>
      <c r="G282" s="66">
        <v>1077.8999999999764</v>
      </c>
      <c r="H282" s="66">
        <v>2134</v>
      </c>
      <c r="I282" s="66">
        <v>1077.9999999999764</v>
      </c>
      <c r="J282" s="66">
        <v>2147</v>
      </c>
    </row>
    <row r="283" spans="2:10">
      <c r="B283" s="90">
        <v>2134</v>
      </c>
      <c r="C283" s="90">
        <v>1077.8999999999764</v>
      </c>
      <c r="D283" s="90">
        <v>2147</v>
      </c>
      <c r="E283" s="90">
        <v>1077.9999999999764</v>
      </c>
      <c r="G283" s="66">
        <v>1077.9999999999764</v>
      </c>
      <c r="H283" s="66">
        <v>2147</v>
      </c>
      <c r="I283" s="66">
        <v>1078.0999999999763</v>
      </c>
      <c r="J283" s="66">
        <v>2160.5</v>
      </c>
    </row>
    <row r="284" spans="2:10">
      <c r="B284" s="90">
        <v>2147</v>
      </c>
      <c r="C284" s="90">
        <v>1077.9999999999764</v>
      </c>
      <c r="D284" s="90">
        <v>2160.5</v>
      </c>
      <c r="E284" s="90">
        <v>1078.0999999999763</v>
      </c>
      <c r="G284" s="66">
        <v>1078.0999999999763</v>
      </c>
      <c r="H284" s="66">
        <v>2160.5</v>
      </c>
      <c r="I284" s="66">
        <v>1078.1999999999762</v>
      </c>
      <c r="J284" s="66">
        <v>2174</v>
      </c>
    </row>
    <row r="285" spans="2:10">
      <c r="B285" s="90">
        <v>2160.5</v>
      </c>
      <c r="C285" s="90">
        <v>1078.0999999999763</v>
      </c>
      <c r="D285" s="90">
        <v>2174</v>
      </c>
      <c r="E285" s="90">
        <v>1078.1999999999762</v>
      </c>
      <c r="G285" s="66">
        <v>1078.1999999999762</v>
      </c>
      <c r="H285" s="66">
        <v>2174</v>
      </c>
      <c r="I285" s="66">
        <v>1078.2999999999761</v>
      </c>
      <c r="J285" s="66">
        <v>2187.5</v>
      </c>
    </row>
    <row r="286" spans="2:10">
      <c r="B286" s="90">
        <v>2174</v>
      </c>
      <c r="C286" s="90">
        <v>1078.1999999999762</v>
      </c>
      <c r="D286" s="90">
        <v>2187.5</v>
      </c>
      <c r="E286" s="90">
        <v>1078.2999999999761</v>
      </c>
      <c r="G286" s="66">
        <v>1078.2999999999761</v>
      </c>
      <c r="H286" s="66">
        <v>2187.5</v>
      </c>
      <c r="I286" s="66">
        <v>1078.399999999976</v>
      </c>
      <c r="J286" s="66">
        <v>2201</v>
      </c>
    </row>
    <row r="287" spans="2:10">
      <c r="B287" s="90">
        <v>2187.5</v>
      </c>
      <c r="C287" s="90">
        <v>1078.2999999999761</v>
      </c>
      <c r="D287" s="90">
        <v>2201</v>
      </c>
      <c r="E287" s="90">
        <v>1078.399999999976</v>
      </c>
      <c r="G287" s="66">
        <v>1078.399999999976</v>
      </c>
      <c r="H287" s="66">
        <v>2201</v>
      </c>
      <c r="I287" s="66">
        <v>1078.4999999999759</v>
      </c>
      <c r="J287" s="66">
        <v>2214.5</v>
      </c>
    </row>
    <row r="288" spans="2:10">
      <c r="B288" s="90">
        <v>2201</v>
      </c>
      <c r="C288" s="90">
        <v>1078.399999999976</v>
      </c>
      <c r="D288" s="90">
        <v>2214.5</v>
      </c>
      <c r="E288" s="90">
        <v>1078.4999999999759</v>
      </c>
      <c r="G288" s="66">
        <v>1078.4999999999759</v>
      </c>
      <c r="H288" s="66">
        <v>2214.5</v>
      </c>
      <c r="I288" s="66">
        <v>1078.5999999999758</v>
      </c>
      <c r="J288" s="66">
        <v>2228</v>
      </c>
    </row>
    <row r="289" spans="2:10">
      <c r="B289" s="90">
        <v>2214.5</v>
      </c>
      <c r="C289" s="90">
        <v>1078.4999999999759</v>
      </c>
      <c r="D289" s="90">
        <v>2228</v>
      </c>
      <c r="E289" s="90">
        <v>1078.5999999999758</v>
      </c>
      <c r="G289" s="66">
        <v>1078.5999999999758</v>
      </c>
      <c r="H289" s="66">
        <v>2228</v>
      </c>
      <c r="I289" s="66">
        <v>1078.6999999999757</v>
      </c>
      <c r="J289" s="66">
        <v>2241.5</v>
      </c>
    </row>
    <row r="290" spans="2:10">
      <c r="B290" s="90">
        <v>2228</v>
      </c>
      <c r="C290" s="90">
        <v>1078.5999999999758</v>
      </c>
      <c r="D290" s="90">
        <v>2241.5</v>
      </c>
      <c r="E290" s="90">
        <v>1078.6999999999757</v>
      </c>
      <c r="G290" s="66">
        <v>1078.6999999999757</v>
      </c>
      <c r="H290" s="66">
        <v>2241.5</v>
      </c>
      <c r="I290" s="66">
        <v>1078.7999999999756</v>
      </c>
      <c r="J290" s="66">
        <v>2255</v>
      </c>
    </row>
    <row r="291" spans="2:10">
      <c r="B291" s="90">
        <v>2241.5</v>
      </c>
      <c r="C291" s="90">
        <v>1078.6999999999757</v>
      </c>
      <c r="D291" s="90">
        <v>2255</v>
      </c>
      <c r="E291" s="90">
        <v>1078.7999999999756</v>
      </c>
      <c r="G291" s="66">
        <v>1078.7999999999756</v>
      </c>
      <c r="H291" s="66">
        <v>2255</v>
      </c>
      <c r="I291" s="66">
        <v>1078.8999999999755</v>
      </c>
      <c r="J291" s="66">
        <v>2268.5</v>
      </c>
    </row>
    <row r="292" spans="2:10">
      <c r="B292" s="90">
        <v>2255</v>
      </c>
      <c r="C292" s="90">
        <v>1078.7999999999756</v>
      </c>
      <c r="D292" s="90">
        <v>2268.5</v>
      </c>
      <c r="E292" s="90">
        <v>1078.8999999999755</v>
      </c>
      <c r="G292" s="66">
        <v>1078.8999999999755</v>
      </c>
      <c r="H292" s="66">
        <v>2268.5</v>
      </c>
      <c r="I292" s="66">
        <v>1078.9999999999754</v>
      </c>
      <c r="J292" s="66">
        <v>2282</v>
      </c>
    </row>
    <row r="293" spans="2:10">
      <c r="B293" s="90">
        <v>2268.5</v>
      </c>
      <c r="C293" s="90">
        <v>1078.8999999999755</v>
      </c>
      <c r="D293" s="90">
        <v>2282</v>
      </c>
      <c r="E293" s="90">
        <v>1078.9999999999754</v>
      </c>
      <c r="G293" s="66">
        <v>1078.9999999999754</v>
      </c>
      <c r="H293" s="66">
        <v>2282</v>
      </c>
      <c r="I293" s="66">
        <v>1079.0999999999754</v>
      </c>
      <c r="J293" s="66">
        <v>2296</v>
      </c>
    </row>
    <row r="294" spans="2:10">
      <c r="B294" s="90">
        <v>2282</v>
      </c>
      <c r="C294" s="90">
        <v>1078.9999999999754</v>
      </c>
      <c r="D294" s="90">
        <v>2296</v>
      </c>
      <c r="E294" s="90">
        <v>1079.0999999999754</v>
      </c>
      <c r="G294" s="66">
        <v>1079.0999999999754</v>
      </c>
      <c r="H294" s="66">
        <v>2296</v>
      </c>
      <c r="I294" s="66">
        <v>1079.1999999999753</v>
      </c>
      <c r="J294" s="66">
        <v>2310</v>
      </c>
    </row>
    <row r="295" spans="2:10">
      <c r="B295" s="90">
        <v>2296</v>
      </c>
      <c r="C295" s="90">
        <v>1079.0999999999754</v>
      </c>
      <c r="D295" s="90">
        <v>2310</v>
      </c>
      <c r="E295" s="90">
        <v>1079.1999999999753</v>
      </c>
      <c r="G295" s="66">
        <v>1079.1999999999753</v>
      </c>
      <c r="H295" s="66">
        <v>2310</v>
      </c>
      <c r="I295" s="66">
        <v>1079.2999999999752</v>
      </c>
      <c r="J295" s="66">
        <v>2324</v>
      </c>
    </row>
    <row r="296" spans="2:10">
      <c r="B296" s="90">
        <v>2310</v>
      </c>
      <c r="C296" s="90">
        <v>1079.1999999999753</v>
      </c>
      <c r="D296" s="90">
        <v>2324</v>
      </c>
      <c r="E296" s="90">
        <v>1079.2999999999752</v>
      </c>
      <c r="G296" s="66">
        <v>1079.2999999999752</v>
      </c>
      <c r="H296" s="66">
        <v>2324</v>
      </c>
      <c r="I296" s="66">
        <v>1079.3999999999751</v>
      </c>
      <c r="J296" s="66">
        <v>2338</v>
      </c>
    </row>
    <row r="297" spans="2:10">
      <c r="B297" s="90">
        <v>2324</v>
      </c>
      <c r="C297" s="90">
        <v>1079.2999999999752</v>
      </c>
      <c r="D297" s="90">
        <v>2338</v>
      </c>
      <c r="E297" s="90">
        <v>1079.3999999999751</v>
      </c>
      <c r="G297" s="66">
        <v>1079.3999999999751</v>
      </c>
      <c r="H297" s="66">
        <v>2338</v>
      </c>
      <c r="I297" s="66">
        <v>1079.499999999975</v>
      </c>
      <c r="J297" s="66">
        <v>2352</v>
      </c>
    </row>
    <row r="298" spans="2:10">
      <c r="B298" s="90">
        <v>2338</v>
      </c>
      <c r="C298" s="90">
        <v>1079.3999999999751</v>
      </c>
      <c r="D298" s="90">
        <v>2352</v>
      </c>
      <c r="E298" s="90">
        <v>1079.499999999975</v>
      </c>
      <c r="G298" s="66">
        <v>1079.499999999975</v>
      </c>
      <c r="H298" s="66">
        <v>2352</v>
      </c>
      <c r="I298" s="66">
        <v>1079.5999999999749</v>
      </c>
      <c r="J298" s="66">
        <v>2366</v>
      </c>
    </row>
    <row r="299" spans="2:10">
      <c r="B299" s="90">
        <v>2352</v>
      </c>
      <c r="C299" s="90">
        <v>1079.499999999975</v>
      </c>
      <c r="D299" s="90">
        <v>2366</v>
      </c>
      <c r="E299" s="90">
        <v>1079.5999999999749</v>
      </c>
      <c r="G299" s="66">
        <v>1079.5999999999749</v>
      </c>
      <c r="H299" s="66">
        <v>2366</v>
      </c>
      <c r="I299" s="66">
        <v>1079.6999999999748</v>
      </c>
      <c r="J299" s="66">
        <v>2380</v>
      </c>
    </row>
    <row r="300" spans="2:10">
      <c r="B300" s="90">
        <v>2366</v>
      </c>
      <c r="C300" s="90">
        <v>1079.5999999999749</v>
      </c>
      <c r="D300" s="90">
        <v>2380</v>
      </c>
      <c r="E300" s="90">
        <v>1079.6999999999748</v>
      </c>
      <c r="G300" s="66">
        <v>1079.6999999999748</v>
      </c>
      <c r="H300" s="66">
        <v>2380</v>
      </c>
      <c r="I300" s="66">
        <v>1079.7999999999747</v>
      </c>
      <c r="J300" s="66">
        <v>2394</v>
      </c>
    </row>
    <row r="301" spans="2:10">
      <c r="B301" s="90">
        <v>2380</v>
      </c>
      <c r="C301" s="90">
        <v>1079.6999999999748</v>
      </c>
      <c r="D301" s="90">
        <v>2394</v>
      </c>
      <c r="E301" s="90">
        <v>1079.7999999999747</v>
      </c>
      <c r="G301" s="66">
        <v>1079.7999999999747</v>
      </c>
      <c r="H301" s="66">
        <v>2394</v>
      </c>
      <c r="I301" s="66">
        <v>1079.8999999999746</v>
      </c>
      <c r="J301" s="66">
        <v>2408</v>
      </c>
    </row>
    <row r="302" spans="2:10">
      <c r="B302" s="90">
        <v>2394</v>
      </c>
      <c r="C302" s="90">
        <v>1079.7999999999747</v>
      </c>
      <c r="D302" s="90">
        <v>2408</v>
      </c>
      <c r="E302" s="90">
        <v>1079.8999999999746</v>
      </c>
      <c r="G302" s="66">
        <v>1079.8999999999746</v>
      </c>
      <c r="H302" s="66">
        <v>2408</v>
      </c>
      <c r="I302" s="66">
        <v>1079.9999999999745</v>
      </c>
      <c r="J302" s="66">
        <v>2422</v>
      </c>
    </row>
    <row r="303" spans="2:10">
      <c r="B303" s="90">
        <v>2408</v>
      </c>
      <c r="C303" s="90">
        <v>1079.8999999999746</v>
      </c>
      <c r="D303" s="90">
        <v>2422</v>
      </c>
      <c r="E303" s="90">
        <v>1079.9999999999745</v>
      </c>
      <c r="G303" s="66">
        <v>1079.9999999999745</v>
      </c>
      <c r="H303" s="66">
        <v>2422</v>
      </c>
      <c r="I303" s="66">
        <v>1080.0999999999744</v>
      </c>
      <c r="J303" s="66">
        <v>2436.3000000000002</v>
      </c>
    </row>
    <row r="304" spans="2:10">
      <c r="B304" s="90">
        <v>2422</v>
      </c>
      <c r="C304" s="90">
        <v>1079.9999999999745</v>
      </c>
      <c r="D304" s="90">
        <v>2436.3000000000002</v>
      </c>
      <c r="E304" s="90">
        <v>1080.0999999999744</v>
      </c>
      <c r="G304" s="66">
        <v>1080.0999999999744</v>
      </c>
      <c r="H304" s="66">
        <v>2436.3000000000002</v>
      </c>
      <c r="I304" s="66">
        <v>1080.1999999999744</v>
      </c>
      <c r="J304" s="66">
        <v>2450.6</v>
      </c>
    </row>
    <row r="305" spans="2:10">
      <c r="B305" s="90">
        <v>2436.3000000000002</v>
      </c>
      <c r="C305" s="90">
        <v>1080.0999999999744</v>
      </c>
      <c r="D305" s="90">
        <v>2450.6</v>
      </c>
      <c r="E305" s="90">
        <v>1080.1999999999744</v>
      </c>
      <c r="G305" s="66">
        <v>1080.1999999999744</v>
      </c>
      <c r="H305" s="66">
        <v>2450.6</v>
      </c>
      <c r="I305" s="66">
        <v>1080.2999999999743</v>
      </c>
      <c r="J305" s="66">
        <v>2464.9</v>
      </c>
    </row>
    <row r="306" spans="2:10">
      <c r="B306" s="90">
        <v>2450.6</v>
      </c>
      <c r="C306" s="90">
        <v>1080.1999999999744</v>
      </c>
      <c r="D306" s="90">
        <v>2464.9</v>
      </c>
      <c r="E306" s="90">
        <v>1080.2999999999743</v>
      </c>
      <c r="G306" s="66">
        <v>1080.2999999999743</v>
      </c>
      <c r="H306" s="66">
        <v>2464.9</v>
      </c>
      <c r="I306" s="66">
        <v>1080.3999999999742</v>
      </c>
      <c r="J306" s="66">
        <v>2479.1999999999998</v>
      </c>
    </row>
    <row r="307" spans="2:10">
      <c r="B307" s="90">
        <v>2464.9</v>
      </c>
      <c r="C307" s="90">
        <v>1080.2999999999743</v>
      </c>
      <c r="D307" s="90">
        <v>2479.1999999999998</v>
      </c>
      <c r="E307" s="90">
        <v>1080.3999999999742</v>
      </c>
      <c r="G307" s="66">
        <v>1080.3999999999742</v>
      </c>
      <c r="H307" s="66">
        <v>2479.1999999999998</v>
      </c>
      <c r="I307" s="66">
        <v>1080.4999999999741</v>
      </c>
      <c r="J307" s="66">
        <v>2493.5</v>
      </c>
    </row>
    <row r="308" spans="2:10">
      <c r="B308" s="90">
        <v>2479.1999999999998</v>
      </c>
      <c r="C308" s="90">
        <v>1080.3999999999742</v>
      </c>
      <c r="D308" s="90">
        <v>2493.5</v>
      </c>
      <c r="E308" s="90">
        <v>1080.4999999999741</v>
      </c>
      <c r="G308" s="66">
        <v>1080.4999999999741</v>
      </c>
      <c r="H308" s="66">
        <v>2493.5</v>
      </c>
      <c r="I308" s="66">
        <v>1080.599999999974</v>
      </c>
      <c r="J308" s="66">
        <v>2507.8000000000002</v>
      </c>
    </row>
    <row r="309" spans="2:10">
      <c r="B309" s="90">
        <v>2493.5</v>
      </c>
      <c r="C309" s="90">
        <v>1080.4999999999741</v>
      </c>
      <c r="D309" s="90">
        <v>2507.8000000000002</v>
      </c>
      <c r="E309" s="90">
        <v>1080.599999999974</v>
      </c>
      <c r="G309" s="66">
        <v>1080.599999999974</v>
      </c>
      <c r="H309" s="66">
        <v>2507.8000000000002</v>
      </c>
      <c r="I309" s="66">
        <v>1080.6999999999739</v>
      </c>
      <c r="J309" s="66">
        <v>2522.1</v>
      </c>
    </row>
    <row r="310" spans="2:10">
      <c r="B310" s="90">
        <v>2507.8000000000002</v>
      </c>
      <c r="C310" s="90">
        <v>1080.599999999974</v>
      </c>
      <c r="D310" s="90">
        <v>2522.1</v>
      </c>
      <c r="E310" s="90">
        <v>1080.6999999999739</v>
      </c>
      <c r="G310" s="66">
        <v>1080.6999999999739</v>
      </c>
      <c r="H310" s="66">
        <v>2522.1</v>
      </c>
      <c r="I310" s="66">
        <v>1080.7999999999738</v>
      </c>
      <c r="J310" s="66">
        <v>2536.4</v>
      </c>
    </row>
    <row r="311" spans="2:10">
      <c r="B311" s="90">
        <v>2522.1</v>
      </c>
      <c r="C311" s="90">
        <v>1080.6999999999739</v>
      </c>
      <c r="D311" s="90">
        <v>2536.4</v>
      </c>
      <c r="E311" s="90">
        <v>1080.7999999999738</v>
      </c>
      <c r="G311" s="66">
        <v>1080.7999999999738</v>
      </c>
      <c r="H311" s="66">
        <v>2536.4</v>
      </c>
      <c r="I311" s="66">
        <v>1080.8999999999737</v>
      </c>
      <c r="J311" s="66">
        <v>2550.6999999999998</v>
      </c>
    </row>
    <row r="312" spans="2:10">
      <c r="B312" s="90">
        <v>2536.4</v>
      </c>
      <c r="C312" s="90">
        <v>1080.7999999999738</v>
      </c>
      <c r="D312" s="90">
        <v>2550.6999999999998</v>
      </c>
      <c r="E312" s="90">
        <v>1080.8999999999737</v>
      </c>
      <c r="G312" s="66">
        <v>1080.8999999999737</v>
      </c>
      <c r="H312" s="66">
        <v>2550.6999999999998</v>
      </c>
      <c r="I312" s="66">
        <v>1080.9999999999736</v>
      </c>
      <c r="J312" s="66">
        <v>2565</v>
      </c>
    </row>
    <row r="313" spans="2:10">
      <c r="B313" s="90">
        <v>2550.6999999999998</v>
      </c>
      <c r="C313" s="90">
        <v>1080.8999999999737</v>
      </c>
      <c r="D313" s="90">
        <v>2565</v>
      </c>
      <c r="E313" s="90">
        <v>1080.9999999999736</v>
      </c>
      <c r="G313" s="66">
        <v>1080.9999999999736</v>
      </c>
      <c r="H313" s="66">
        <v>2565</v>
      </c>
      <c r="I313" s="66">
        <v>1081.0999999999735</v>
      </c>
      <c r="J313" s="66">
        <v>2579.9</v>
      </c>
    </row>
    <row r="314" spans="2:10">
      <c r="B314" s="90">
        <v>2565</v>
      </c>
      <c r="C314" s="90">
        <v>1080.9999999999736</v>
      </c>
      <c r="D314" s="90">
        <v>2579.9</v>
      </c>
      <c r="E314" s="90">
        <v>1081.0999999999735</v>
      </c>
      <c r="G314" s="66">
        <v>1081.0999999999735</v>
      </c>
      <c r="H314" s="66">
        <v>2579.9</v>
      </c>
      <c r="I314" s="66">
        <v>1081.1999999999734</v>
      </c>
      <c r="J314" s="66">
        <v>2594.8000000000002</v>
      </c>
    </row>
    <row r="315" spans="2:10">
      <c r="B315" s="90">
        <v>2579.9</v>
      </c>
      <c r="C315" s="90">
        <v>1081.0999999999735</v>
      </c>
      <c r="D315" s="90">
        <v>2594.8000000000002</v>
      </c>
      <c r="E315" s="90">
        <v>1081.1999999999734</v>
      </c>
      <c r="G315" s="66">
        <v>1081.1999999999734</v>
      </c>
      <c r="H315" s="66">
        <v>2594.8000000000002</v>
      </c>
      <c r="I315" s="66">
        <v>1081.2999999999734</v>
      </c>
      <c r="J315" s="66">
        <v>2609.6999999999998</v>
      </c>
    </row>
    <row r="316" spans="2:10">
      <c r="B316" s="90">
        <v>2594.8000000000002</v>
      </c>
      <c r="C316" s="90">
        <v>1081.1999999999734</v>
      </c>
      <c r="D316" s="90">
        <v>2609.6999999999998</v>
      </c>
      <c r="E316" s="90">
        <v>1081.2999999999734</v>
      </c>
      <c r="G316" s="66">
        <v>1081.2999999999734</v>
      </c>
      <c r="H316" s="66">
        <v>2609.6999999999998</v>
      </c>
      <c r="I316" s="66">
        <v>1081.3999999999733</v>
      </c>
      <c r="J316" s="66">
        <v>2624.6</v>
      </c>
    </row>
    <row r="317" spans="2:10">
      <c r="B317" s="90">
        <v>2609.6999999999998</v>
      </c>
      <c r="C317" s="90">
        <v>1081.2999999999734</v>
      </c>
      <c r="D317" s="90">
        <v>2624.6</v>
      </c>
      <c r="E317" s="90">
        <v>1081.3999999999733</v>
      </c>
      <c r="G317" s="66">
        <v>1081.3999999999733</v>
      </c>
      <c r="H317" s="66">
        <v>2624.6</v>
      </c>
      <c r="I317" s="66">
        <v>1081.4999999999732</v>
      </c>
      <c r="J317" s="66">
        <v>2639.5</v>
      </c>
    </row>
    <row r="318" spans="2:10">
      <c r="B318" s="90">
        <v>2624.6</v>
      </c>
      <c r="C318" s="90">
        <v>1081.3999999999733</v>
      </c>
      <c r="D318" s="90">
        <v>2639.5</v>
      </c>
      <c r="E318" s="90">
        <v>1081.4999999999732</v>
      </c>
      <c r="G318" s="66">
        <v>1081.4999999999732</v>
      </c>
      <c r="H318" s="66">
        <v>2639.5</v>
      </c>
      <c r="I318" s="66">
        <v>1081.5999999999731</v>
      </c>
      <c r="J318" s="66">
        <v>2654.4</v>
      </c>
    </row>
    <row r="319" spans="2:10">
      <c r="B319" s="90">
        <v>2639.5</v>
      </c>
      <c r="C319" s="90">
        <v>1081.4999999999732</v>
      </c>
      <c r="D319" s="90">
        <v>2654.4</v>
      </c>
      <c r="E319" s="90">
        <v>1081.5999999999731</v>
      </c>
      <c r="G319" s="66">
        <v>1081.5999999999731</v>
      </c>
      <c r="H319" s="66">
        <v>2654.4</v>
      </c>
      <c r="I319" s="66">
        <v>1081.699999999973</v>
      </c>
      <c r="J319" s="66">
        <v>2669.3</v>
      </c>
    </row>
    <row r="320" spans="2:10">
      <c r="B320" s="90">
        <v>2654.4</v>
      </c>
      <c r="C320" s="90">
        <v>1081.5999999999731</v>
      </c>
      <c r="D320" s="90">
        <v>2669.3</v>
      </c>
      <c r="E320" s="90">
        <v>1081.699999999973</v>
      </c>
      <c r="G320" s="66">
        <v>1081.699999999973</v>
      </c>
      <c r="H320" s="66">
        <v>2669.3</v>
      </c>
      <c r="I320" s="66">
        <v>1081.7999999999729</v>
      </c>
      <c r="J320" s="66">
        <v>2684.2</v>
      </c>
    </row>
    <row r="321" spans="2:10">
      <c r="B321" s="90">
        <v>2669.3</v>
      </c>
      <c r="C321" s="90">
        <v>1081.699999999973</v>
      </c>
      <c r="D321" s="90">
        <v>2684.2</v>
      </c>
      <c r="E321" s="90">
        <v>1081.7999999999729</v>
      </c>
      <c r="G321" s="66">
        <v>1081.7999999999729</v>
      </c>
      <c r="H321" s="66">
        <v>2684.2</v>
      </c>
      <c r="I321" s="66">
        <v>1081.8999999999728</v>
      </c>
      <c r="J321" s="66">
        <v>2699.1</v>
      </c>
    </row>
    <row r="322" spans="2:10">
      <c r="B322" s="90">
        <v>2684.2</v>
      </c>
      <c r="C322" s="90">
        <v>1081.7999999999729</v>
      </c>
      <c r="D322" s="90">
        <v>2699.1</v>
      </c>
      <c r="E322" s="90">
        <v>1081.8999999999728</v>
      </c>
      <c r="G322" s="66">
        <v>1081.8999999999728</v>
      </c>
      <c r="H322" s="66">
        <v>2699.1</v>
      </c>
      <c r="I322" s="66">
        <v>1081.9999999999727</v>
      </c>
      <c r="J322" s="66">
        <v>2714</v>
      </c>
    </row>
    <row r="323" spans="2:10">
      <c r="B323" s="90">
        <v>2699.1</v>
      </c>
      <c r="C323" s="90">
        <v>1081.8999999999728</v>
      </c>
      <c r="D323" s="90">
        <v>2714</v>
      </c>
      <c r="E323" s="90">
        <v>1081.9999999999727</v>
      </c>
      <c r="G323" s="66">
        <v>1081.9999999999727</v>
      </c>
      <c r="H323" s="66">
        <v>2714</v>
      </c>
      <c r="I323" s="66">
        <v>1082.0999999999726</v>
      </c>
      <c r="J323" s="66">
        <v>2729.3</v>
      </c>
    </row>
    <row r="324" spans="2:10">
      <c r="B324" s="90">
        <v>2714</v>
      </c>
      <c r="C324" s="90">
        <v>1081.9999999999727</v>
      </c>
      <c r="D324" s="90">
        <v>2729.3</v>
      </c>
      <c r="E324" s="90">
        <v>1082.0999999999726</v>
      </c>
      <c r="G324" s="66">
        <v>1082.0999999999726</v>
      </c>
      <c r="H324" s="66">
        <v>2729.3</v>
      </c>
      <c r="I324" s="66">
        <v>1082.1999999999725</v>
      </c>
      <c r="J324" s="66">
        <v>2744.6</v>
      </c>
    </row>
    <row r="325" spans="2:10">
      <c r="B325" s="90">
        <v>2729.3</v>
      </c>
      <c r="C325" s="90">
        <v>1082.0999999999726</v>
      </c>
      <c r="D325" s="90">
        <v>2744.6</v>
      </c>
      <c r="E325" s="90">
        <v>1082.1999999999725</v>
      </c>
      <c r="G325" s="66">
        <v>1082.1999999999725</v>
      </c>
      <c r="H325" s="66">
        <v>2744.6</v>
      </c>
      <c r="I325" s="66">
        <v>1082.2999999999724</v>
      </c>
      <c r="J325" s="66">
        <v>2759.9</v>
      </c>
    </row>
    <row r="326" spans="2:10">
      <c r="B326" s="90">
        <v>2744.6</v>
      </c>
      <c r="C326" s="90">
        <v>1082.1999999999725</v>
      </c>
      <c r="D326" s="90">
        <v>2759.9</v>
      </c>
      <c r="E326" s="90">
        <v>1082.2999999999724</v>
      </c>
      <c r="G326" s="66">
        <v>1082.2999999999724</v>
      </c>
      <c r="H326" s="66">
        <v>2759.9</v>
      </c>
      <c r="I326" s="66">
        <v>1082.3999999999724</v>
      </c>
      <c r="J326" s="66">
        <v>2775.2</v>
      </c>
    </row>
    <row r="327" spans="2:10">
      <c r="B327" s="90">
        <v>2759.9</v>
      </c>
      <c r="C327" s="90">
        <v>1082.2999999999724</v>
      </c>
      <c r="D327" s="90">
        <v>2775.2</v>
      </c>
      <c r="E327" s="90">
        <v>1082.3999999999724</v>
      </c>
      <c r="G327" s="66">
        <v>1082.3999999999724</v>
      </c>
      <c r="H327" s="66">
        <v>2775.2</v>
      </c>
      <c r="I327" s="66">
        <v>1082.4999999999723</v>
      </c>
      <c r="J327" s="66">
        <v>2790.5</v>
      </c>
    </row>
    <row r="328" spans="2:10">
      <c r="B328" s="90">
        <v>2775.2</v>
      </c>
      <c r="C328" s="90">
        <v>1082.3999999999724</v>
      </c>
      <c r="D328" s="90">
        <v>2790.5</v>
      </c>
      <c r="E328" s="90">
        <v>1082.4999999999723</v>
      </c>
      <c r="G328" s="66">
        <v>1082.4999999999723</v>
      </c>
      <c r="H328" s="66">
        <v>2790.5</v>
      </c>
      <c r="I328" s="66">
        <v>1082.5999999999722</v>
      </c>
      <c r="J328" s="66">
        <v>2805.8</v>
      </c>
    </row>
    <row r="329" spans="2:10">
      <c r="B329" s="90">
        <v>2790.5</v>
      </c>
      <c r="C329" s="90">
        <v>1082.4999999999723</v>
      </c>
      <c r="D329" s="90">
        <v>2805.8</v>
      </c>
      <c r="E329" s="90">
        <v>1082.5999999999722</v>
      </c>
      <c r="G329" s="66">
        <v>1082.5999999999722</v>
      </c>
      <c r="H329" s="66">
        <v>2805.8</v>
      </c>
      <c r="I329" s="66">
        <v>1082.6999999999721</v>
      </c>
      <c r="J329" s="66">
        <v>2821.1</v>
      </c>
    </row>
    <row r="330" spans="2:10">
      <c r="B330" s="90">
        <v>2805.8</v>
      </c>
      <c r="C330" s="90">
        <v>1082.5999999999722</v>
      </c>
      <c r="D330" s="90">
        <v>2821.1</v>
      </c>
      <c r="E330" s="90">
        <v>1082.6999999999721</v>
      </c>
      <c r="G330" s="66">
        <v>1082.6999999999721</v>
      </c>
      <c r="H330" s="66">
        <v>2821.1</v>
      </c>
      <c r="I330" s="66">
        <v>1082.799999999972</v>
      </c>
      <c r="J330" s="66">
        <v>2836.4</v>
      </c>
    </row>
    <row r="331" spans="2:10">
      <c r="B331" s="90">
        <v>2821.1</v>
      </c>
      <c r="C331" s="90">
        <v>1082.6999999999721</v>
      </c>
      <c r="D331" s="90">
        <v>2836.4</v>
      </c>
      <c r="E331" s="90">
        <v>1082.799999999972</v>
      </c>
      <c r="G331" s="66">
        <v>1082.799999999972</v>
      </c>
      <c r="H331" s="66">
        <v>2836.4</v>
      </c>
      <c r="I331" s="66">
        <v>1082.8999999999719</v>
      </c>
      <c r="J331" s="66">
        <v>2851.7</v>
      </c>
    </row>
    <row r="332" spans="2:10">
      <c r="B332" s="90">
        <v>2836.4</v>
      </c>
      <c r="C332" s="90">
        <v>1082.799999999972</v>
      </c>
      <c r="D332" s="90">
        <v>2851.7</v>
      </c>
      <c r="E332" s="90">
        <v>1082.8999999999719</v>
      </c>
      <c r="G332" s="66">
        <v>1082.8999999999719</v>
      </c>
      <c r="H332" s="66">
        <v>2851.7</v>
      </c>
      <c r="I332" s="66">
        <v>1082.9999999999718</v>
      </c>
      <c r="J332" s="66">
        <v>2867</v>
      </c>
    </row>
    <row r="333" spans="2:10">
      <c r="B333" s="90">
        <v>2851.7</v>
      </c>
      <c r="C333" s="90">
        <v>1082.8999999999719</v>
      </c>
      <c r="D333" s="90">
        <v>2867</v>
      </c>
      <c r="E333" s="90">
        <v>1082.9999999999718</v>
      </c>
      <c r="G333" s="66">
        <v>1082.9999999999718</v>
      </c>
      <c r="H333" s="66">
        <v>2867</v>
      </c>
      <c r="I333" s="66">
        <v>1083.0999999999717</v>
      </c>
      <c r="J333" s="66">
        <v>2882.8</v>
      </c>
    </row>
    <row r="334" spans="2:10">
      <c r="B334" s="90">
        <v>2867</v>
      </c>
      <c r="C334" s="90">
        <v>1082.9999999999718</v>
      </c>
      <c r="D334" s="90">
        <v>2882.8</v>
      </c>
      <c r="E334" s="90">
        <v>1083.0999999999717</v>
      </c>
      <c r="G334" s="66">
        <v>1083.0999999999717</v>
      </c>
      <c r="H334" s="66">
        <v>2882.8</v>
      </c>
      <c r="I334" s="66">
        <v>1083.1999999999716</v>
      </c>
      <c r="J334" s="66">
        <v>2898.6</v>
      </c>
    </row>
    <row r="335" spans="2:10">
      <c r="B335" s="90">
        <v>2882.8</v>
      </c>
      <c r="C335" s="90">
        <v>1083.0999999999717</v>
      </c>
      <c r="D335" s="90">
        <v>2898.6</v>
      </c>
      <c r="E335" s="90">
        <v>1083.1999999999716</v>
      </c>
      <c r="G335" s="66">
        <v>1083.1999999999716</v>
      </c>
      <c r="H335" s="66">
        <v>2898.6</v>
      </c>
      <c r="I335" s="66">
        <v>1083.2999999999715</v>
      </c>
      <c r="J335" s="66">
        <v>2914.4</v>
      </c>
    </row>
    <row r="336" spans="2:10">
      <c r="B336" s="90">
        <v>2898.6</v>
      </c>
      <c r="C336" s="90">
        <v>1083.1999999999716</v>
      </c>
      <c r="D336" s="90">
        <v>2914.4</v>
      </c>
      <c r="E336" s="90">
        <v>1083.2999999999715</v>
      </c>
      <c r="G336" s="66">
        <v>1083.2999999999715</v>
      </c>
      <c r="H336" s="66">
        <v>2914.4</v>
      </c>
      <c r="I336" s="66">
        <v>1083.3999999999714</v>
      </c>
      <c r="J336" s="66">
        <v>2930.2</v>
      </c>
    </row>
    <row r="337" spans="2:10">
      <c r="B337" s="90">
        <v>2914.4</v>
      </c>
      <c r="C337" s="90">
        <v>1083.2999999999715</v>
      </c>
      <c r="D337" s="90">
        <v>2930.2</v>
      </c>
      <c r="E337" s="90">
        <v>1083.3999999999714</v>
      </c>
      <c r="G337" s="66">
        <v>1083.3999999999714</v>
      </c>
      <c r="H337" s="66">
        <v>2930.2</v>
      </c>
      <c r="I337" s="66">
        <v>1083.4999999999714</v>
      </c>
      <c r="J337" s="66">
        <v>2946</v>
      </c>
    </row>
    <row r="338" spans="2:10">
      <c r="B338" s="90">
        <v>2930.2</v>
      </c>
      <c r="C338" s="90">
        <v>1083.3999999999714</v>
      </c>
      <c r="D338" s="90">
        <v>2946</v>
      </c>
      <c r="E338" s="90">
        <v>1083.4999999999714</v>
      </c>
      <c r="G338" s="66">
        <v>1083.4999999999714</v>
      </c>
      <c r="H338" s="66">
        <v>2946</v>
      </c>
      <c r="I338" s="66">
        <v>1083.5999999999713</v>
      </c>
      <c r="J338" s="66">
        <v>2961.8</v>
      </c>
    </row>
    <row r="339" spans="2:10">
      <c r="B339" s="90">
        <v>2946</v>
      </c>
      <c r="C339" s="90">
        <v>1083.4999999999714</v>
      </c>
      <c r="D339" s="90">
        <v>2961.8</v>
      </c>
      <c r="E339" s="90">
        <v>1083.5999999999713</v>
      </c>
      <c r="G339" s="66">
        <v>1083.5999999999713</v>
      </c>
      <c r="H339" s="66">
        <v>2961.8</v>
      </c>
      <c r="I339" s="66">
        <v>1083.6999999999712</v>
      </c>
      <c r="J339" s="66">
        <v>2977.6</v>
      </c>
    </row>
    <row r="340" spans="2:10">
      <c r="B340" s="90">
        <v>2961.8</v>
      </c>
      <c r="C340" s="90">
        <v>1083.5999999999713</v>
      </c>
      <c r="D340" s="90">
        <v>2977.6</v>
      </c>
      <c r="E340" s="90">
        <v>1083.6999999999712</v>
      </c>
      <c r="G340" s="66">
        <v>1083.6999999999712</v>
      </c>
      <c r="H340" s="66">
        <v>2977.6</v>
      </c>
      <c r="I340" s="66">
        <v>1083.7999999999711</v>
      </c>
      <c r="J340" s="66">
        <v>2993.4</v>
      </c>
    </row>
    <row r="341" spans="2:10">
      <c r="B341" s="90">
        <v>2977.6</v>
      </c>
      <c r="C341" s="90">
        <v>1083.6999999999712</v>
      </c>
      <c r="D341" s="90">
        <v>2993.4</v>
      </c>
      <c r="E341" s="90">
        <v>1083.7999999999711</v>
      </c>
      <c r="G341" s="66">
        <v>1083.7999999999711</v>
      </c>
      <c r="H341" s="66">
        <v>2993.4</v>
      </c>
      <c r="I341" s="66">
        <v>1083.899999999971</v>
      </c>
      <c r="J341" s="66">
        <v>3009.2</v>
      </c>
    </row>
    <row r="342" spans="2:10">
      <c r="B342" s="90">
        <v>2993.4</v>
      </c>
      <c r="C342" s="90">
        <v>1083.7999999999711</v>
      </c>
      <c r="D342" s="90">
        <v>3009.2</v>
      </c>
      <c r="E342" s="90">
        <v>1083.899999999971</v>
      </c>
      <c r="G342" s="66">
        <v>1083.899999999971</v>
      </c>
      <c r="H342" s="66">
        <v>3009.2</v>
      </c>
      <c r="I342" s="66">
        <v>1083.9999999999709</v>
      </c>
      <c r="J342" s="66">
        <v>3025</v>
      </c>
    </row>
    <row r="343" spans="2:10">
      <c r="B343" s="90">
        <v>3009.2</v>
      </c>
      <c r="C343" s="90">
        <v>1083.899999999971</v>
      </c>
      <c r="D343" s="90">
        <v>3025</v>
      </c>
      <c r="E343" s="90">
        <v>1083.9999999999709</v>
      </c>
      <c r="G343" s="66">
        <v>1083.9999999999709</v>
      </c>
      <c r="H343" s="66">
        <v>3025</v>
      </c>
      <c r="I343" s="66">
        <v>1084.0999999999708</v>
      </c>
      <c r="J343" s="66">
        <v>3041.2</v>
      </c>
    </row>
    <row r="344" spans="2:10">
      <c r="B344" s="90">
        <v>3025</v>
      </c>
      <c r="C344" s="90">
        <v>1083.9999999999709</v>
      </c>
      <c r="D344" s="90">
        <v>3041.2</v>
      </c>
      <c r="E344" s="90">
        <v>1084.0999999999708</v>
      </c>
      <c r="G344" s="66">
        <v>1084.0999999999708</v>
      </c>
      <c r="H344" s="66">
        <v>3041.2</v>
      </c>
      <c r="I344" s="66">
        <v>1084.1999999999707</v>
      </c>
      <c r="J344" s="66">
        <v>3057.4</v>
      </c>
    </row>
    <row r="345" spans="2:10">
      <c r="B345" s="90">
        <v>3041.2</v>
      </c>
      <c r="C345" s="90">
        <v>1084.0999999999708</v>
      </c>
      <c r="D345" s="90">
        <v>3057.4</v>
      </c>
      <c r="E345" s="90">
        <v>1084.1999999999707</v>
      </c>
      <c r="G345" s="66">
        <v>1084.1999999999707</v>
      </c>
      <c r="H345" s="66">
        <v>3057.4</v>
      </c>
      <c r="I345" s="66">
        <v>1084.2999999999706</v>
      </c>
      <c r="J345" s="66">
        <v>3073.6</v>
      </c>
    </row>
    <row r="346" spans="2:10">
      <c r="B346" s="90">
        <v>3057.4</v>
      </c>
      <c r="C346" s="90">
        <v>1084.1999999999707</v>
      </c>
      <c r="D346" s="90">
        <v>3073.6</v>
      </c>
      <c r="E346" s="90">
        <v>1084.2999999999706</v>
      </c>
      <c r="G346" s="66">
        <v>1084.2999999999706</v>
      </c>
      <c r="H346" s="66">
        <v>3073.6</v>
      </c>
      <c r="I346" s="66">
        <v>1084.3999999999705</v>
      </c>
      <c r="J346" s="66">
        <v>3089.8</v>
      </c>
    </row>
    <row r="347" spans="2:10">
      <c r="B347" s="90">
        <v>3073.6</v>
      </c>
      <c r="C347" s="90">
        <v>1084.2999999999706</v>
      </c>
      <c r="D347" s="90">
        <v>3089.8</v>
      </c>
      <c r="E347" s="90">
        <v>1084.3999999999705</v>
      </c>
      <c r="G347" s="66">
        <v>1084.3999999999705</v>
      </c>
      <c r="H347" s="66">
        <v>3089.8</v>
      </c>
      <c r="I347" s="66">
        <v>1084.4999999999704</v>
      </c>
      <c r="J347" s="66">
        <v>3106</v>
      </c>
    </row>
    <row r="348" spans="2:10">
      <c r="B348" s="90">
        <v>3089.8</v>
      </c>
      <c r="C348" s="90">
        <v>1084.3999999999705</v>
      </c>
      <c r="D348" s="90">
        <v>3106</v>
      </c>
      <c r="E348" s="90">
        <v>1084.4999999999704</v>
      </c>
      <c r="G348" s="66">
        <v>1084.4999999999704</v>
      </c>
      <c r="H348" s="66">
        <v>3106</v>
      </c>
      <c r="I348" s="66">
        <v>1084.5999999999704</v>
      </c>
      <c r="J348" s="66">
        <v>3122.2</v>
      </c>
    </row>
    <row r="349" spans="2:10">
      <c r="B349" s="90">
        <v>3106</v>
      </c>
      <c r="C349" s="90">
        <v>1084.4999999999704</v>
      </c>
      <c r="D349" s="90">
        <v>3122.2</v>
      </c>
      <c r="E349" s="90">
        <v>1084.5999999999704</v>
      </c>
      <c r="G349" s="66">
        <v>1084.5999999999704</v>
      </c>
      <c r="H349" s="66">
        <v>3122.2</v>
      </c>
      <c r="I349" s="66">
        <v>1084.6999999999703</v>
      </c>
      <c r="J349" s="66">
        <v>3138.4</v>
      </c>
    </row>
    <row r="350" spans="2:10">
      <c r="B350" s="90">
        <v>3122.2</v>
      </c>
      <c r="C350" s="90">
        <v>1084.5999999999704</v>
      </c>
      <c r="D350" s="90">
        <v>3138.4</v>
      </c>
      <c r="E350" s="90">
        <v>1084.6999999999703</v>
      </c>
      <c r="G350" s="66">
        <v>1084.6999999999703</v>
      </c>
      <c r="H350" s="66">
        <v>3138.4</v>
      </c>
      <c r="I350" s="66">
        <v>1084.7999999999702</v>
      </c>
      <c r="J350" s="66">
        <v>3154.6</v>
      </c>
    </row>
    <row r="351" spans="2:10">
      <c r="B351" s="90">
        <v>3138.4</v>
      </c>
      <c r="C351" s="90">
        <v>1084.6999999999703</v>
      </c>
      <c r="D351" s="90">
        <v>3154.6</v>
      </c>
      <c r="E351" s="90">
        <v>1084.7999999999702</v>
      </c>
      <c r="G351" s="66">
        <v>1084.7999999999702</v>
      </c>
      <c r="H351" s="66">
        <v>3154.6</v>
      </c>
      <c r="I351" s="66">
        <v>1084.8999999999701</v>
      </c>
      <c r="J351" s="66">
        <v>3170.8</v>
      </c>
    </row>
    <row r="352" spans="2:10">
      <c r="B352" s="90">
        <v>3154.6</v>
      </c>
      <c r="C352" s="90">
        <v>1084.7999999999702</v>
      </c>
      <c r="D352" s="90">
        <v>3170.8</v>
      </c>
      <c r="E352" s="90">
        <v>1084.8999999999701</v>
      </c>
      <c r="G352" s="66">
        <v>1084.8999999999701</v>
      </c>
      <c r="H352" s="66">
        <v>3170.8</v>
      </c>
      <c r="I352" s="66">
        <v>1084.99999999997</v>
      </c>
      <c r="J352" s="66">
        <v>3187</v>
      </c>
    </row>
    <row r="353" spans="2:10">
      <c r="B353" s="90">
        <v>3170.8</v>
      </c>
      <c r="C353" s="90">
        <v>1084.8999999999701</v>
      </c>
      <c r="D353" s="90">
        <v>3187</v>
      </c>
      <c r="E353" s="90">
        <v>1084.99999999997</v>
      </c>
      <c r="G353" s="66">
        <v>1084.99999999997</v>
      </c>
      <c r="H353" s="66">
        <v>3187</v>
      </c>
      <c r="I353" s="66">
        <v>1085.0999999999699</v>
      </c>
      <c r="J353" s="66">
        <v>3203.8</v>
      </c>
    </row>
    <row r="354" spans="2:10">
      <c r="B354" s="90">
        <v>3187</v>
      </c>
      <c r="C354" s="90">
        <v>1084.99999999997</v>
      </c>
      <c r="D354" s="90">
        <v>3203.8</v>
      </c>
      <c r="E354" s="90">
        <v>1085.0999999999699</v>
      </c>
      <c r="G354" s="66">
        <v>1085.0999999999699</v>
      </c>
      <c r="H354" s="66">
        <v>3203.8</v>
      </c>
      <c r="I354" s="66">
        <v>1085.1999999999698</v>
      </c>
      <c r="J354" s="66">
        <v>3220.6</v>
      </c>
    </row>
    <row r="355" spans="2:10">
      <c r="B355" s="90">
        <v>3203.8</v>
      </c>
      <c r="C355" s="90">
        <v>1085.0999999999699</v>
      </c>
      <c r="D355" s="90">
        <v>3220.6</v>
      </c>
      <c r="E355" s="90">
        <v>1085.1999999999698</v>
      </c>
      <c r="G355" s="66">
        <v>1085.1999999999698</v>
      </c>
      <c r="H355" s="66">
        <v>3220.6</v>
      </c>
      <c r="I355" s="66">
        <v>1085.2999999999697</v>
      </c>
      <c r="J355" s="66">
        <v>3237.4</v>
      </c>
    </row>
    <row r="356" spans="2:10">
      <c r="B356" s="90">
        <v>3220.6</v>
      </c>
      <c r="C356" s="90">
        <v>1085.1999999999698</v>
      </c>
      <c r="D356" s="90">
        <v>3237.4</v>
      </c>
      <c r="E356" s="90">
        <v>1085.2999999999697</v>
      </c>
      <c r="G356" s="66">
        <v>1085.2999999999697</v>
      </c>
      <c r="H356" s="66">
        <v>3237.4</v>
      </c>
      <c r="I356" s="66">
        <v>1085.3999999999696</v>
      </c>
      <c r="J356" s="66">
        <v>3254.2</v>
      </c>
    </row>
    <row r="357" spans="2:10">
      <c r="B357" s="90">
        <v>3237.4</v>
      </c>
      <c r="C357" s="90">
        <v>1085.2999999999697</v>
      </c>
      <c r="D357" s="90">
        <v>3254.2</v>
      </c>
      <c r="E357" s="90">
        <v>1085.3999999999696</v>
      </c>
      <c r="G357" s="66">
        <v>1085.3999999999696</v>
      </c>
      <c r="H357" s="66">
        <v>3254.2</v>
      </c>
      <c r="I357" s="66">
        <v>1085.4999999999695</v>
      </c>
      <c r="J357" s="66">
        <v>3271</v>
      </c>
    </row>
    <row r="358" spans="2:10">
      <c r="B358" s="90">
        <v>3254.2</v>
      </c>
      <c r="C358" s="90">
        <v>1085.3999999999696</v>
      </c>
      <c r="D358" s="90">
        <v>3271</v>
      </c>
      <c r="E358" s="90">
        <v>1085.4999999999695</v>
      </c>
      <c r="G358" s="66">
        <v>1085.4999999999695</v>
      </c>
      <c r="H358" s="66">
        <v>3271</v>
      </c>
      <c r="I358" s="66">
        <v>1085.5999999999694</v>
      </c>
      <c r="J358" s="66">
        <v>3287.8</v>
      </c>
    </row>
    <row r="359" spans="2:10">
      <c r="B359" s="90">
        <v>3271</v>
      </c>
      <c r="C359" s="90">
        <v>1085.4999999999695</v>
      </c>
      <c r="D359" s="90">
        <v>3287.8</v>
      </c>
      <c r="E359" s="90">
        <v>1085.5999999999694</v>
      </c>
      <c r="G359" s="66">
        <v>1085.5999999999694</v>
      </c>
      <c r="H359" s="66">
        <v>3287.8</v>
      </c>
      <c r="I359" s="66">
        <v>1085.6999999999694</v>
      </c>
      <c r="J359" s="66">
        <v>3304.6</v>
      </c>
    </row>
    <row r="360" spans="2:10">
      <c r="B360" s="90">
        <v>3287.8</v>
      </c>
      <c r="C360" s="90">
        <v>1085.5999999999694</v>
      </c>
      <c r="D360" s="90">
        <v>3304.6</v>
      </c>
      <c r="E360" s="90">
        <v>1085.6999999999694</v>
      </c>
      <c r="G360" s="66">
        <v>1085.6999999999694</v>
      </c>
      <c r="H360" s="66">
        <v>3304.6</v>
      </c>
      <c r="I360" s="66">
        <v>1085.7999999999693</v>
      </c>
      <c r="J360" s="66">
        <v>3321.4</v>
      </c>
    </row>
    <row r="361" spans="2:10">
      <c r="B361" s="90">
        <v>3304.6</v>
      </c>
      <c r="C361" s="90">
        <v>1085.6999999999694</v>
      </c>
      <c r="D361" s="90">
        <v>3321.4</v>
      </c>
      <c r="E361" s="90">
        <v>1085.7999999999693</v>
      </c>
      <c r="G361" s="66">
        <v>1085.7999999999693</v>
      </c>
      <c r="H361" s="66">
        <v>3321.4</v>
      </c>
      <c r="I361" s="66">
        <v>1085.8999999999692</v>
      </c>
      <c r="J361" s="66">
        <v>3338.2</v>
      </c>
    </row>
    <row r="362" spans="2:10">
      <c r="B362" s="90">
        <v>3321.4</v>
      </c>
      <c r="C362" s="90">
        <v>1085.7999999999693</v>
      </c>
      <c r="D362" s="90">
        <v>3338.2</v>
      </c>
      <c r="E362" s="90">
        <v>1085.8999999999692</v>
      </c>
      <c r="G362" s="66">
        <v>1085.8999999999692</v>
      </c>
      <c r="H362" s="66">
        <v>3338.2</v>
      </c>
      <c r="I362" s="66">
        <v>1085.9999999999691</v>
      </c>
      <c r="J362" s="66">
        <v>3355</v>
      </c>
    </row>
    <row r="363" spans="2:10">
      <c r="B363" s="90">
        <v>3338.2</v>
      </c>
      <c r="C363" s="90">
        <v>1085.8999999999692</v>
      </c>
      <c r="D363" s="90">
        <v>3355</v>
      </c>
      <c r="E363" s="90">
        <v>1085.9999999999691</v>
      </c>
      <c r="G363" s="66">
        <v>1085.9999999999691</v>
      </c>
      <c r="H363" s="66">
        <v>3355</v>
      </c>
      <c r="I363" s="66">
        <v>1086.099999999969</v>
      </c>
      <c r="J363" s="66">
        <v>3372.3</v>
      </c>
    </row>
    <row r="364" spans="2:10">
      <c r="B364" s="90">
        <v>3355</v>
      </c>
      <c r="C364" s="90">
        <v>1085.9999999999691</v>
      </c>
      <c r="D364" s="90">
        <v>3372.3</v>
      </c>
      <c r="E364" s="90">
        <v>1086.099999999969</v>
      </c>
      <c r="G364" s="66">
        <v>1086.099999999969</v>
      </c>
      <c r="H364" s="66">
        <v>3372.3</v>
      </c>
      <c r="I364" s="66">
        <v>1086.1999999999689</v>
      </c>
      <c r="J364" s="66">
        <v>3389.6</v>
      </c>
    </row>
    <row r="365" spans="2:10">
      <c r="B365" s="90">
        <v>3372.3</v>
      </c>
      <c r="C365" s="90">
        <v>1086.099999999969</v>
      </c>
      <c r="D365" s="90">
        <v>3389.6</v>
      </c>
      <c r="E365" s="90">
        <v>1086.1999999999689</v>
      </c>
      <c r="G365" s="66">
        <v>1086.1999999999689</v>
      </c>
      <c r="H365" s="66">
        <v>3389.6</v>
      </c>
      <c r="I365" s="66">
        <v>1086.2999999999688</v>
      </c>
      <c r="J365" s="66">
        <v>3406.9</v>
      </c>
    </row>
    <row r="366" spans="2:10">
      <c r="B366" s="90">
        <v>3389.6</v>
      </c>
      <c r="C366" s="90">
        <v>1086.1999999999689</v>
      </c>
      <c r="D366" s="90">
        <v>3406.9</v>
      </c>
      <c r="E366" s="90">
        <v>1086.2999999999688</v>
      </c>
      <c r="G366" s="66">
        <v>1086.2999999999688</v>
      </c>
      <c r="H366" s="66">
        <v>3406.9</v>
      </c>
      <c r="I366" s="66">
        <v>1086.3999999999687</v>
      </c>
      <c r="J366" s="66">
        <v>3424.2</v>
      </c>
    </row>
    <row r="367" spans="2:10">
      <c r="B367" s="90">
        <v>3406.9</v>
      </c>
      <c r="C367" s="90">
        <v>1086.2999999999688</v>
      </c>
      <c r="D367" s="90">
        <v>3424.2</v>
      </c>
      <c r="E367" s="90">
        <v>1086.3999999999687</v>
      </c>
      <c r="G367" s="66">
        <v>1086.3999999999687</v>
      </c>
      <c r="H367" s="66">
        <v>3424.2</v>
      </c>
      <c r="I367" s="66">
        <v>1086.4999999999686</v>
      </c>
      <c r="J367" s="66">
        <v>3441.5</v>
      </c>
    </row>
    <row r="368" spans="2:10">
      <c r="B368" s="90">
        <v>3424.2</v>
      </c>
      <c r="C368" s="90">
        <v>1086.3999999999687</v>
      </c>
      <c r="D368" s="90">
        <v>3441.5</v>
      </c>
      <c r="E368" s="90">
        <v>1086.4999999999686</v>
      </c>
      <c r="G368" s="66">
        <v>1086.4999999999686</v>
      </c>
      <c r="H368" s="66">
        <v>3441.5</v>
      </c>
      <c r="I368" s="66">
        <v>1086.5999999999685</v>
      </c>
      <c r="J368" s="66">
        <v>3458.8</v>
      </c>
    </row>
    <row r="369" spans="2:10">
      <c r="B369" s="90">
        <v>3441.5</v>
      </c>
      <c r="C369" s="90">
        <v>1086.4999999999686</v>
      </c>
      <c r="D369" s="90">
        <v>3458.8</v>
      </c>
      <c r="E369" s="90">
        <v>1086.5999999999685</v>
      </c>
      <c r="G369" s="66">
        <v>1086.5999999999685</v>
      </c>
      <c r="H369" s="66">
        <v>3458.8</v>
      </c>
      <c r="I369" s="66">
        <v>1086.6999999999684</v>
      </c>
      <c r="J369" s="66">
        <v>3476.1</v>
      </c>
    </row>
    <row r="370" spans="2:10">
      <c r="B370" s="90">
        <v>3458.8</v>
      </c>
      <c r="C370" s="90">
        <v>1086.5999999999685</v>
      </c>
      <c r="D370" s="90">
        <v>3476.1</v>
      </c>
      <c r="E370" s="90">
        <v>1086.6999999999684</v>
      </c>
      <c r="G370" s="66">
        <v>1086.6999999999684</v>
      </c>
      <c r="H370" s="66">
        <v>3476.1</v>
      </c>
      <c r="I370" s="66">
        <v>1086.7999999999683</v>
      </c>
      <c r="J370" s="66">
        <v>3493.4</v>
      </c>
    </row>
    <row r="371" spans="2:10">
      <c r="B371" s="90">
        <v>3476.1</v>
      </c>
      <c r="C371" s="90">
        <v>1086.6999999999684</v>
      </c>
      <c r="D371" s="90">
        <v>3493.4</v>
      </c>
      <c r="E371" s="90">
        <v>1086.7999999999683</v>
      </c>
      <c r="G371" s="66">
        <v>1086.7999999999683</v>
      </c>
      <c r="H371" s="66">
        <v>3493.4</v>
      </c>
      <c r="I371" s="66">
        <v>1086.8999999999683</v>
      </c>
      <c r="J371" s="66">
        <v>3510.7</v>
      </c>
    </row>
    <row r="372" spans="2:10">
      <c r="B372" s="90">
        <v>3493.4</v>
      </c>
      <c r="C372" s="90">
        <v>1086.7999999999683</v>
      </c>
      <c r="D372" s="90">
        <v>3510.7</v>
      </c>
      <c r="E372" s="90">
        <v>1086.8999999999683</v>
      </c>
      <c r="G372" s="66">
        <v>1086.8999999999683</v>
      </c>
      <c r="H372" s="66">
        <v>3510.7</v>
      </c>
      <c r="I372" s="66">
        <v>1086.9999999999682</v>
      </c>
      <c r="J372" s="66">
        <v>3528</v>
      </c>
    </row>
    <row r="373" spans="2:10">
      <c r="B373" s="90">
        <v>3510.7</v>
      </c>
      <c r="C373" s="90">
        <v>1086.8999999999683</v>
      </c>
      <c r="D373" s="90">
        <v>3528</v>
      </c>
      <c r="E373" s="90">
        <v>1086.9999999999682</v>
      </c>
      <c r="G373" s="66">
        <v>1086.9999999999682</v>
      </c>
      <c r="H373" s="66">
        <v>3528</v>
      </c>
      <c r="I373" s="66">
        <v>1087.0999999999681</v>
      </c>
      <c r="J373" s="66">
        <v>3545.9</v>
      </c>
    </row>
    <row r="374" spans="2:10">
      <c r="B374" s="90">
        <v>3528</v>
      </c>
      <c r="C374" s="90">
        <v>1086.9999999999682</v>
      </c>
      <c r="D374" s="90">
        <v>3545.9</v>
      </c>
      <c r="E374" s="90">
        <v>1087.0999999999681</v>
      </c>
      <c r="G374" s="66">
        <v>1087.0999999999681</v>
      </c>
      <c r="H374" s="66">
        <v>3545.9</v>
      </c>
      <c r="I374" s="66">
        <v>1087.199999999968</v>
      </c>
      <c r="J374" s="66">
        <v>3563.8</v>
      </c>
    </row>
    <row r="375" spans="2:10">
      <c r="B375" s="90">
        <v>3545.9</v>
      </c>
      <c r="C375" s="90">
        <v>1087.0999999999681</v>
      </c>
      <c r="D375" s="90">
        <v>3563.8</v>
      </c>
      <c r="E375" s="90">
        <v>1087.199999999968</v>
      </c>
      <c r="G375" s="66">
        <v>1087.199999999968</v>
      </c>
      <c r="H375" s="66">
        <v>3563.8</v>
      </c>
      <c r="I375" s="66">
        <v>1087.2999999999679</v>
      </c>
      <c r="J375" s="66">
        <v>3581.7</v>
      </c>
    </row>
    <row r="376" spans="2:10">
      <c r="B376" s="90">
        <v>3563.8</v>
      </c>
      <c r="C376" s="90">
        <v>1087.199999999968</v>
      </c>
      <c r="D376" s="90">
        <v>3581.7</v>
      </c>
      <c r="E376" s="90">
        <v>1087.2999999999679</v>
      </c>
      <c r="G376" s="66">
        <v>1087.2999999999679</v>
      </c>
      <c r="H376" s="66">
        <v>3581.7</v>
      </c>
      <c r="I376" s="66">
        <v>1087.3999999999678</v>
      </c>
      <c r="J376" s="66">
        <v>3599.6</v>
      </c>
    </row>
    <row r="377" spans="2:10">
      <c r="B377" s="90">
        <v>3581.7</v>
      </c>
      <c r="C377" s="90">
        <v>1087.2999999999679</v>
      </c>
      <c r="D377" s="90">
        <v>3599.6</v>
      </c>
      <c r="E377" s="90">
        <v>1087.3999999999678</v>
      </c>
      <c r="G377" s="66">
        <v>1087.3999999999678</v>
      </c>
      <c r="H377" s="66">
        <v>3599.6</v>
      </c>
      <c r="I377" s="66">
        <v>1087.4999999999677</v>
      </c>
      <c r="J377" s="66">
        <v>3617.5</v>
      </c>
    </row>
    <row r="378" spans="2:10">
      <c r="B378" s="90">
        <v>3599.6</v>
      </c>
      <c r="C378" s="90">
        <v>1087.3999999999678</v>
      </c>
      <c r="D378" s="90">
        <v>3617.5</v>
      </c>
      <c r="E378" s="90">
        <v>1087.4999999999677</v>
      </c>
      <c r="G378" s="66">
        <v>1087.4999999999677</v>
      </c>
      <c r="H378" s="66">
        <v>3617.5</v>
      </c>
      <c r="I378" s="66">
        <v>1087.5999999999676</v>
      </c>
      <c r="J378" s="66">
        <v>3635.4</v>
      </c>
    </row>
    <row r="379" spans="2:10">
      <c r="B379" s="90">
        <v>3617.5</v>
      </c>
      <c r="C379" s="90">
        <v>1087.4999999999677</v>
      </c>
      <c r="D379" s="90">
        <v>3635.4</v>
      </c>
      <c r="E379" s="90">
        <v>1087.5999999999676</v>
      </c>
      <c r="G379" s="66">
        <v>1087.5999999999676</v>
      </c>
      <c r="H379" s="66">
        <v>3635.4</v>
      </c>
      <c r="I379" s="66">
        <v>1087.6999999999675</v>
      </c>
      <c r="J379" s="66">
        <v>3653.3</v>
      </c>
    </row>
    <row r="380" spans="2:10">
      <c r="B380" s="90">
        <v>3635.4</v>
      </c>
      <c r="C380" s="90">
        <v>1087.5999999999676</v>
      </c>
      <c r="D380" s="90">
        <v>3653.3</v>
      </c>
      <c r="E380" s="90">
        <v>1087.6999999999675</v>
      </c>
      <c r="G380" s="66">
        <v>1087.6999999999675</v>
      </c>
      <c r="H380" s="66">
        <v>3653.3</v>
      </c>
      <c r="I380" s="66">
        <v>1087.7999999999674</v>
      </c>
      <c r="J380" s="66">
        <v>3671.2</v>
      </c>
    </row>
    <row r="381" spans="2:10">
      <c r="B381" s="90">
        <v>3653.3</v>
      </c>
      <c r="C381" s="90">
        <v>1087.6999999999675</v>
      </c>
      <c r="D381" s="90">
        <v>3671.2</v>
      </c>
      <c r="E381" s="90">
        <v>1087.7999999999674</v>
      </c>
      <c r="G381" s="66">
        <v>1087.7999999999674</v>
      </c>
      <c r="H381" s="66">
        <v>3671.2</v>
      </c>
      <c r="I381" s="66">
        <v>1087.8999999999673</v>
      </c>
      <c r="J381" s="66">
        <v>3689.1</v>
      </c>
    </row>
    <row r="382" spans="2:10">
      <c r="B382" s="90">
        <v>3671.2</v>
      </c>
      <c r="C382" s="90">
        <v>1087.7999999999674</v>
      </c>
      <c r="D382" s="90">
        <v>3689.1</v>
      </c>
      <c r="E382" s="90">
        <v>1087.8999999999673</v>
      </c>
      <c r="G382" s="66">
        <v>1087.8999999999673</v>
      </c>
      <c r="H382" s="66">
        <v>3689.1</v>
      </c>
      <c r="I382" s="66">
        <v>1087.9999999999673</v>
      </c>
      <c r="J382" s="66">
        <v>3707</v>
      </c>
    </row>
    <row r="383" spans="2:10">
      <c r="B383" s="90">
        <v>3689.1</v>
      </c>
      <c r="C383" s="90">
        <v>1087.8999999999673</v>
      </c>
      <c r="D383" s="90">
        <v>3707</v>
      </c>
      <c r="E383" s="90">
        <v>1087.9999999999673</v>
      </c>
      <c r="G383" s="66">
        <v>1087.9999999999673</v>
      </c>
      <c r="H383" s="66">
        <v>3707</v>
      </c>
      <c r="I383" s="66">
        <v>1088.0999999999672</v>
      </c>
      <c r="J383" s="66">
        <v>3725.4</v>
      </c>
    </row>
    <row r="384" spans="2:10">
      <c r="B384" s="90">
        <v>3707</v>
      </c>
      <c r="C384" s="90">
        <v>1087.9999999999673</v>
      </c>
      <c r="D384" s="90">
        <v>3725.4</v>
      </c>
      <c r="E384" s="90">
        <v>1088.0999999999672</v>
      </c>
      <c r="G384" s="66">
        <v>1088.0999999999672</v>
      </c>
      <c r="H384" s="66">
        <v>3725.4</v>
      </c>
      <c r="I384" s="66">
        <v>1088.1999999999671</v>
      </c>
      <c r="J384" s="66">
        <v>3743.8</v>
      </c>
    </row>
    <row r="385" spans="2:10">
      <c r="B385" s="90">
        <v>3725.4</v>
      </c>
      <c r="C385" s="90">
        <v>1088.0999999999672</v>
      </c>
      <c r="D385" s="90">
        <v>3743.8</v>
      </c>
      <c r="E385" s="90">
        <v>1088.1999999999671</v>
      </c>
      <c r="G385" s="66">
        <v>1088.1999999999671</v>
      </c>
      <c r="H385" s="66">
        <v>3743.8</v>
      </c>
      <c r="I385" s="66">
        <v>1088.299999999967</v>
      </c>
      <c r="J385" s="66">
        <v>3762.2</v>
      </c>
    </row>
    <row r="386" spans="2:10">
      <c r="B386" s="90">
        <v>3743.8</v>
      </c>
      <c r="C386" s="90">
        <v>1088.1999999999671</v>
      </c>
      <c r="D386" s="90">
        <v>3762.2</v>
      </c>
      <c r="E386" s="90">
        <v>1088.299999999967</v>
      </c>
      <c r="G386" s="66">
        <v>1088.299999999967</v>
      </c>
      <c r="H386" s="66">
        <v>3762.2</v>
      </c>
      <c r="I386" s="66">
        <v>1088.3999999999669</v>
      </c>
      <c r="J386" s="66">
        <v>3780.6</v>
      </c>
    </row>
    <row r="387" spans="2:10">
      <c r="B387" s="90">
        <v>3762.2</v>
      </c>
      <c r="C387" s="90">
        <v>1088.299999999967</v>
      </c>
      <c r="D387" s="90">
        <v>3780.6</v>
      </c>
      <c r="E387" s="90">
        <v>1088.3999999999669</v>
      </c>
      <c r="G387" s="66">
        <v>1088.3999999999669</v>
      </c>
      <c r="H387" s="66">
        <v>3780.6</v>
      </c>
      <c r="I387" s="66">
        <v>1088.4999999999668</v>
      </c>
      <c r="J387" s="66">
        <v>3799</v>
      </c>
    </row>
    <row r="388" spans="2:10">
      <c r="B388" s="90">
        <v>3780.6</v>
      </c>
      <c r="C388" s="90">
        <v>1088.3999999999669</v>
      </c>
      <c r="D388" s="90">
        <v>3799</v>
      </c>
      <c r="E388" s="90">
        <v>1088.4999999999668</v>
      </c>
      <c r="G388" s="66">
        <v>1088.4999999999668</v>
      </c>
      <c r="H388" s="66">
        <v>3799</v>
      </c>
      <c r="I388" s="66">
        <v>1088.5999999999667</v>
      </c>
      <c r="J388" s="66">
        <v>3817.4</v>
      </c>
    </row>
    <row r="389" spans="2:10">
      <c r="B389" s="90">
        <v>3799</v>
      </c>
      <c r="C389" s="90">
        <v>1088.4999999999668</v>
      </c>
      <c r="D389" s="90">
        <v>3817.4</v>
      </c>
      <c r="E389" s="90">
        <v>1088.5999999999667</v>
      </c>
      <c r="G389" s="66">
        <v>1088.5999999999667</v>
      </c>
      <c r="H389" s="66">
        <v>3817.4</v>
      </c>
      <c r="I389" s="66">
        <v>1088.6999999999666</v>
      </c>
      <c r="J389" s="66">
        <v>3835.8</v>
      </c>
    </row>
    <row r="390" spans="2:10">
      <c r="B390" s="90">
        <v>3817.4</v>
      </c>
      <c r="C390" s="90">
        <v>1088.5999999999667</v>
      </c>
      <c r="D390" s="90">
        <v>3835.8</v>
      </c>
      <c r="E390" s="90">
        <v>1088.6999999999666</v>
      </c>
      <c r="G390" s="66">
        <v>1088.6999999999666</v>
      </c>
      <c r="H390" s="66">
        <v>3835.8</v>
      </c>
      <c r="I390" s="66">
        <v>1088.7999999999665</v>
      </c>
      <c r="J390" s="66">
        <v>3854.2</v>
      </c>
    </row>
    <row r="391" spans="2:10">
      <c r="B391" s="90">
        <v>3835.8</v>
      </c>
      <c r="C391" s="90">
        <v>1088.6999999999666</v>
      </c>
      <c r="D391" s="90">
        <v>3854.2</v>
      </c>
      <c r="E391" s="90">
        <v>1088.7999999999665</v>
      </c>
      <c r="G391" s="66">
        <v>1088.7999999999665</v>
      </c>
      <c r="H391" s="66">
        <v>3854.2</v>
      </c>
      <c r="I391" s="66">
        <v>1088.8999999999664</v>
      </c>
      <c r="J391" s="66">
        <v>3872.6</v>
      </c>
    </row>
    <row r="392" spans="2:10">
      <c r="B392" s="90">
        <v>3854.2</v>
      </c>
      <c r="C392" s="90">
        <v>1088.7999999999665</v>
      </c>
      <c r="D392" s="90">
        <v>3872.6</v>
      </c>
      <c r="E392" s="90">
        <v>1088.8999999999664</v>
      </c>
      <c r="G392" s="66">
        <v>1088.8999999999664</v>
      </c>
      <c r="H392" s="66">
        <v>3872.6</v>
      </c>
      <c r="I392" s="66">
        <v>1088.9999999999663</v>
      </c>
      <c r="J392" s="66">
        <v>3891</v>
      </c>
    </row>
    <row r="393" spans="2:10">
      <c r="B393" s="90">
        <v>3872.6</v>
      </c>
      <c r="C393" s="90">
        <v>1088.8999999999664</v>
      </c>
      <c r="D393" s="90">
        <v>3891</v>
      </c>
      <c r="E393" s="90">
        <v>1088.9999999999663</v>
      </c>
      <c r="G393" s="66">
        <v>1088.9999999999663</v>
      </c>
      <c r="H393" s="66">
        <v>3891</v>
      </c>
      <c r="I393" s="66">
        <v>1089.0999999999663</v>
      </c>
      <c r="J393" s="66">
        <v>3910</v>
      </c>
    </row>
    <row r="394" spans="2:10">
      <c r="B394" s="90">
        <v>3891</v>
      </c>
      <c r="C394" s="90">
        <v>1088.9999999999663</v>
      </c>
      <c r="D394" s="90">
        <v>3910</v>
      </c>
      <c r="E394" s="90">
        <v>1089.0999999999663</v>
      </c>
      <c r="G394" s="66">
        <v>1089.0999999999663</v>
      </c>
      <c r="H394" s="66">
        <v>3910</v>
      </c>
      <c r="I394" s="66">
        <v>1089.1999999999662</v>
      </c>
      <c r="J394" s="66">
        <v>3929</v>
      </c>
    </row>
    <row r="395" spans="2:10">
      <c r="B395" s="90">
        <v>3910</v>
      </c>
      <c r="C395" s="90">
        <v>1089.0999999999663</v>
      </c>
      <c r="D395" s="90">
        <v>3929</v>
      </c>
      <c r="E395" s="90">
        <v>1089.1999999999662</v>
      </c>
      <c r="G395" s="66">
        <v>1089.1999999999662</v>
      </c>
      <c r="H395" s="66">
        <v>3929</v>
      </c>
      <c r="I395" s="66">
        <v>1089.2999999999661</v>
      </c>
      <c r="J395" s="66">
        <v>3948</v>
      </c>
    </row>
    <row r="396" spans="2:10">
      <c r="B396" s="90">
        <v>3929</v>
      </c>
      <c r="C396" s="90">
        <v>1089.1999999999662</v>
      </c>
      <c r="D396" s="90">
        <v>3948</v>
      </c>
      <c r="E396" s="90">
        <v>1089.2999999999661</v>
      </c>
      <c r="G396" s="66">
        <v>1089.2999999999661</v>
      </c>
      <c r="H396" s="66">
        <v>3948</v>
      </c>
      <c r="I396" s="66">
        <v>1089.399999999966</v>
      </c>
      <c r="J396" s="66">
        <v>3967</v>
      </c>
    </row>
    <row r="397" spans="2:10">
      <c r="B397" s="90">
        <v>3948</v>
      </c>
      <c r="C397" s="90">
        <v>1089.2999999999661</v>
      </c>
      <c r="D397" s="90">
        <v>3967</v>
      </c>
      <c r="E397" s="90">
        <v>1089.399999999966</v>
      </c>
      <c r="G397" s="66">
        <v>1089.399999999966</v>
      </c>
      <c r="H397" s="66">
        <v>3967</v>
      </c>
      <c r="I397" s="66">
        <v>1089.4999999999659</v>
      </c>
      <c r="J397" s="66">
        <v>3986</v>
      </c>
    </row>
    <row r="398" spans="2:10">
      <c r="B398" s="90">
        <v>3967</v>
      </c>
      <c r="C398" s="90">
        <v>1089.399999999966</v>
      </c>
      <c r="D398" s="90">
        <v>3986</v>
      </c>
      <c r="E398" s="90">
        <v>1089.4999999999659</v>
      </c>
      <c r="G398" s="66">
        <v>1089.4999999999659</v>
      </c>
      <c r="H398" s="66">
        <v>3986</v>
      </c>
      <c r="I398" s="66">
        <v>1089.5999999999658</v>
      </c>
      <c r="J398" s="66">
        <v>4005</v>
      </c>
    </row>
    <row r="399" spans="2:10">
      <c r="B399" s="90">
        <v>3986</v>
      </c>
      <c r="C399" s="90">
        <v>1089.4999999999659</v>
      </c>
      <c r="D399" s="90">
        <v>4005</v>
      </c>
      <c r="E399" s="90">
        <v>1089.5999999999658</v>
      </c>
      <c r="G399" s="66">
        <v>1089.5999999999658</v>
      </c>
      <c r="H399" s="66">
        <v>4005</v>
      </c>
      <c r="I399" s="66">
        <v>1089.6999999999657</v>
      </c>
      <c r="J399" s="66">
        <v>4024</v>
      </c>
    </row>
    <row r="400" spans="2:10">
      <c r="B400" s="90">
        <v>4005</v>
      </c>
      <c r="C400" s="90">
        <v>1089.5999999999658</v>
      </c>
      <c r="D400" s="90">
        <v>4024</v>
      </c>
      <c r="E400" s="90">
        <v>1089.6999999999657</v>
      </c>
      <c r="G400" s="66">
        <v>1089.6999999999657</v>
      </c>
      <c r="H400" s="66">
        <v>4024</v>
      </c>
      <c r="I400" s="66">
        <v>1089.7999999999656</v>
      </c>
      <c r="J400" s="66">
        <v>4043</v>
      </c>
    </row>
    <row r="401" spans="2:10">
      <c r="B401" s="90">
        <v>4024</v>
      </c>
      <c r="C401" s="90">
        <v>1089.6999999999657</v>
      </c>
      <c r="D401" s="90">
        <v>4043</v>
      </c>
      <c r="E401" s="90">
        <v>1089.7999999999656</v>
      </c>
      <c r="G401" s="66">
        <v>1089.7999999999656</v>
      </c>
      <c r="H401" s="66">
        <v>4043</v>
      </c>
      <c r="I401" s="66">
        <v>1089.8999999999655</v>
      </c>
      <c r="J401" s="66">
        <v>4062</v>
      </c>
    </row>
    <row r="402" spans="2:10">
      <c r="B402" s="90">
        <v>4043</v>
      </c>
      <c r="C402" s="90">
        <v>1089.7999999999656</v>
      </c>
      <c r="D402" s="90">
        <v>4062</v>
      </c>
      <c r="E402" s="90">
        <v>1089.8999999999655</v>
      </c>
      <c r="G402" s="66">
        <v>1089.8999999999655</v>
      </c>
      <c r="H402" s="66">
        <v>4062</v>
      </c>
      <c r="I402" s="66">
        <v>1089.9999999999654</v>
      </c>
      <c r="J402" s="66">
        <v>4081</v>
      </c>
    </row>
    <row r="403" spans="2:10">
      <c r="B403" s="90">
        <v>4062</v>
      </c>
      <c r="C403" s="90">
        <v>1089.8999999999655</v>
      </c>
      <c r="D403" s="90">
        <v>4081</v>
      </c>
      <c r="E403" s="90">
        <v>1089.9999999999654</v>
      </c>
      <c r="G403" s="66">
        <v>1089.9999999999654</v>
      </c>
      <c r="H403" s="66">
        <v>4081</v>
      </c>
      <c r="I403" s="66">
        <v>1090.0999999999653</v>
      </c>
      <c r="J403" s="66">
        <v>4100.6000000000004</v>
      </c>
    </row>
    <row r="404" spans="2:10">
      <c r="B404" s="90">
        <v>4081</v>
      </c>
      <c r="C404" s="90">
        <v>1089.9999999999654</v>
      </c>
      <c r="D404" s="90">
        <v>4100.6000000000004</v>
      </c>
      <c r="E404" s="90">
        <v>1090.0999999999653</v>
      </c>
      <c r="G404" s="66">
        <v>1090.0999999999653</v>
      </c>
      <c r="H404" s="66">
        <v>4100.6000000000004</v>
      </c>
      <c r="I404" s="66">
        <v>1090.1999999999653</v>
      </c>
      <c r="J404" s="66">
        <v>4120.2</v>
      </c>
    </row>
    <row r="405" spans="2:10">
      <c r="B405" s="90">
        <v>4100.6000000000004</v>
      </c>
      <c r="C405" s="90">
        <v>1090.0999999999653</v>
      </c>
      <c r="D405" s="90">
        <v>4120.2</v>
      </c>
      <c r="E405" s="90">
        <v>1090.1999999999653</v>
      </c>
      <c r="G405" s="66">
        <v>1090.1999999999653</v>
      </c>
      <c r="H405" s="66">
        <v>4120.2</v>
      </c>
      <c r="I405" s="66">
        <v>1090.2999999999652</v>
      </c>
      <c r="J405" s="66">
        <v>4139.8</v>
      </c>
    </row>
    <row r="406" spans="2:10">
      <c r="B406" s="90">
        <v>4120.2</v>
      </c>
      <c r="C406" s="90">
        <v>1090.1999999999653</v>
      </c>
      <c r="D406" s="90">
        <v>4139.8</v>
      </c>
      <c r="E406" s="90">
        <v>1090.2999999999652</v>
      </c>
      <c r="G406" s="66">
        <v>1090.2999999999652</v>
      </c>
      <c r="H406" s="66">
        <v>4139.8</v>
      </c>
      <c r="I406" s="66">
        <v>1090.3999999999651</v>
      </c>
      <c r="J406" s="66">
        <v>4159.3999999999996</v>
      </c>
    </row>
    <row r="407" spans="2:10">
      <c r="B407" s="90">
        <v>4139.8</v>
      </c>
      <c r="C407" s="90">
        <v>1090.2999999999652</v>
      </c>
      <c r="D407" s="90">
        <v>4159.3999999999996</v>
      </c>
      <c r="E407" s="90">
        <v>1090.3999999999651</v>
      </c>
      <c r="G407" s="66">
        <v>1090.3999999999651</v>
      </c>
      <c r="H407" s="66">
        <v>4159.3999999999996</v>
      </c>
      <c r="I407" s="66">
        <v>1090.499999999965</v>
      </c>
      <c r="J407" s="66">
        <v>4179</v>
      </c>
    </row>
    <row r="408" spans="2:10">
      <c r="B408" s="90">
        <v>4159.3999999999996</v>
      </c>
      <c r="C408" s="90">
        <v>1090.3999999999651</v>
      </c>
      <c r="D408" s="90">
        <v>4179</v>
      </c>
      <c r="E408" s="90">
        <v>1090.499999999965</v>
      </c>
      <c r="G408" s="66">
        <v>1090.499999999965</v>
      </c>
      <c r="H408" s="66">
        <v>4179</v>
      </c>
      <c r="I408" s="66">
        <v>1090.5999999999649</v>
      </c>
      <c r="J408" s="66">
        <v>4198.6000000000004</v>
      </c>
    </row>
    <row r="409" spans="2:10">
      <c r="B409" s="90">
        <v>4179</v>
      </c>
      <c r="C409" s="90">
        <v>1090.499999999965</v>
      </c>
      <c r="D409" s="90">
        <v>4198.6000000000004</v>
      </c>
      <c r="E409" s="90">
        <v>1090.5999999999649</v>
      </c>
      <c r="G409" s="66">
        <v>1090.5999999999649</v>
      </c>
      <c r="H409" s="66">
        <v>4198.6000000000004</v>
      </c>
      <c r="I409" s="66">
        <v>1090.6999999999648</v>
      </c>
      <c r="J409" s="66">
        <v>4218.2</v>
      </c>
    </row>
    <row r="410" spans="2:10">
      <c r="B410" s="90">
        <v>4198.6000000000004</v>
      </c>
      <c r="C410" s="90">
        <v>1090.5999999999649</v>
      </c>
      <c r="D410" s="90">
        <v>4218.2</v>
      </c>
      <c r="E410" s="90">
        <v>1090.6999999999648</v>
      </c>
      <c r="G410" s="66">
        <v>1090.6999999999648</v>
      </c>
      <c r="H410" s="66">
        <v>4218.2</v>
      </c>
      <c r="I410" s="66">
        <v>1090.7999999999647</v>
      </c>
      <c r="J410" s="66">
        <v>4237.8</v>
      </c>
    </row>
    <row r="411" spans="2:10">
      <c r="B411" s="90">
        <v>4218.2</v>
      </c>
      <c r="C411" s="90">
        <v>1090.6999999999648</v>
      </c>
      <c r="D411" s="90">
        <v>4237.8</v>
      </c>
      <c r="E411" s="90">
        <v>1090.7999999999647</v>
      </c>
      <c r="G411" s="66">
        <v>1090.7999999999647</v>
      </c>
      <c r="H411" s="66">
        <v>4237.8</v>
      </c>
      <c r="I411" s="66">
        <v>1090.8999999999646</v>
      </c>
      <c r="J411" s="66">
        <v>4257.3999999999996</v>
      </c>
    </row>
    <row r="412" spans="2:10">
      <c r="B412" s="90">
        <v>4237.8</v>
      </c>
      <c r="C412" s="90">
        <v>1090.7999999999647</v>
      </c>
      <c r="D412" s="90">
        <v>4257.3999999999996</v>
      </c>
      <c r="E412" s="90">
        <v>1090.8999999999646</v>
      </c>
      <c r="G412" s="66">
        <v>1090.8999999999646</v>
      </c>
      <c r="H412" s="66">
        <v>4257.3999999999996</v>
      </c>
      <c r="I412" s="66">
        <v>1090.9999999999645</v>
      </c>
      <c r="J412" s="66">
        <v>4277</v>
      </c>
    </row>
    <row r="413" spans="2:10">
      <c r="B413" s="90">
        <v>4257.3999999999996</v>
      </c>
      <c r="C413" s="90">
        <v>1090.8999999999646</v>
      </c>
      <c r="D413" s="90">
        <v>4277</v>
      </c>
      <c r="E413" s="90">
        <v>1090.9999999999645</v>
      </c>
      <c r="G413" s="66">
        <v>1090.9999999999645</v>
      </c>
      <c r="H413" s="66">
        <v>4277</v>
      </c>
      <c r="I413" s="66">
        <v>1091.0999999999644</v>
      </c>
      <c r="J413" s="66">
        <v>4297.1000000000004</v>
      </c>
    </row>
    <row r="414" spans="2:10">
      <c r="B414" s="90">
        <v>4277</v>
      </c>
      <c r="C414" s="90">
        <v>1090.9999999999645</v>
      </c>
      <c r="D414" s="90">
        <v>4297.1000000000004</v>
      </c>
      <c r="E414" s="90">
        <v>1091.0999999999644</v>
      </c>
      <c r="G414" s="66">
        <v>1091.0999999999644</v>
      </c>
      <c r="H414" s="66">
        <v>4297.1000000000004</v>
      </c>
      <c r="I414" s="66">
        <v>1091.1999999999643</v>
      </c>
      <c r="J414" s="66">
        <v>4317.2</v>
      </c>
    </row>
    <row r="415" spans="2:10">
      <c r="B415" s="90">
        <v>4297.1000000000004</v>
      </c>
      <c r="C415" s="90">
        <v>1091.0999999999644</v>
      </c>
      <c r="D415" s="90">
        <v>4317.2</v>
      </c>
      <c r="E415" s="90">
        <v>1091.1999999999643</v>
      </c>
      <c r="G415" s="66">
        <v>1091.1999999999643</v>
      </c>
      <c r="H415" s="66">
        <v>4317.2</v>
      </c>
      <c r="I415" s="66">
        <v>1091.2999999999643</v>
      </c>
      <c r="J415" s="66">
        <v>4337.3</v>
      </c>
    </row>
    <row r="416" spans="2:10">
      <c r="B416" s="90">
        <v>4317.2</v>
      </c>
      <c r="C416" s="90">
        <v>1091.1999999999643</v>
      </c>
      <c r="D416" s="90">
        <v>4337.3</v>
      </c>
      <c r="E416" s="90">
        <v>1091.2999999999643</v>
      </c>
      <c r="G416" s="66">
        <v>1091.2999999999643</v>
      </c>
      <c r="H416" s="66">
        <v>4337.3</v>
      </c>
      <c r="I416" s="66">
        <v>1091.3999999999642</v>
      </c>
      <c r="J416" s="66">
        <v>4357.3999999999996</v>
      </c>
    </row>
    <row r="417" spans="2:10">
      <c r="B417" s="90">
        <v>4337.3</v>
      </c>
      <c r="C417" s="90">
        <v>1091.2999999999643</v>
      </c>
      <c r="D417" s="90">
        <v>4357.3999999999996</v>
      </c>
      <c r="E417" s="90">
        <v>1091.3999999999642</v>
      </c>
      <c r="G417" s="66">
        <v>1091.3999999999642</v>
      </c>
      <c r="H417" s="66">
        <v>4357.3999999999996</v>
      </c>
      <c r="I417" s="66">
        <v>1091.4999999999641</v>
      </c>
      <c r="J417" s="66">
        <v>4377.5</v>
      </c>
    </row>
    <row r="418" spans="2:10">
      <c r="B418" s="90">
        <v>4357.3999999999996</v>
      </c>
      <c r="C418" s="90">
        <v>1091.3999999999642</v>
      </c>
      <c r="D418" s="90">
        <v>4377.5</v>
      </c>
      <c r="E418" s="90">
        <v>1091.4999999999641</v>
      </c>
      <c r="G418" s="66">
        <v>1091.4999999999641</v>
      </c>
      <c r="H418" s="66">
        <v>4377.5</v>
      </c>
      <c r="I418" s="66">
        <v>1091.599999999964</v>
      </c>
      <c r="J418" s="66">
        <v>4397.6000000000004</v>
      </c>
    </row>
    <row r="419" spans="2:10">
      <c r="B419" s="90">
        <v>4377.5</v>
      </c>
      <c r="C419" s="90">
        <v>1091.4999999999641</v>
      </c>
      <c r="D419" s="90">
        <v>4397.6000000000004</v>
      </c>
      <c r="E419" s="90">
        <v>1091.599999999964</v>
      </c>
      <c r="G419" s="66">
        <v>1091.599999999964</v>
      </c>
      <c r="H419" s="66">
        <v>4397.6000000000004</v>
      </c>
      <c r="I419" s="66">
        <v>1091.6999999999639</v>
      </c>
      <c r="J419" s="66">
        <v>4417.7</v>
      </c>
    </row>
    <row r="420" spans="2:10">
      <c r="B420" s="90">
        <v>4397.6000000000004</v>
      </c>
      <c r="C420" s="90">
        <v>1091.599999999964</v>
      </c>
      <c r="D420" s="90">
        <v>4417.7</v>
      </c>
      <c r="E420" s="90">
        <v>1091.6999999999639</v>
      </c>
      <c r="G420" s="66">
        <v>1091.6999999999639</v>
      </c>
      <c r="H420" s="66">
        <v>4417.7</v>
      </c>
      <c r="I420" s="66">
        <v>1091.7999999999638</v>
      </c>
      <c r="J420" s="66">
        <v>4437.8</v>
      </c>
    </row>
    <row r="421" spans="2:10">
      <c r="B421" s="90">
        <v>4417.7</v>
      </c>
      <c r="C421" s="90">
        <v>1091.6999999999639</v>
      </c>
      <c r="D421" s="90">
        <v>4437.8</v>
      </c>
      <c r="E421" s="90">
        <v>1091.7999999999638</v>
      </c>
      <c r="G421" s="66">
        <v>1091.7999999999638</v>
      </c>
      <c r="H421" s="66">
        <v>4437.8</v>
      </c>
      <c r="I421" s="66">
        <v>1091.8999999999637</v>
      </c>
      <c r="J421" s="66">
        <v>4457.8999999999996</v>
      </c>
    </row>
    <row r="422" spans="2:10">
      <c r="B422" s="90">
        <v>4437.8</v>
      </c>
      <c r="C422" s="90">
        <v>1091.7999999999638</v>
      </c>
      <c r="D422" s="90">
        <v>4457.8999999999996</v>
      </c>
      <c r="E422" s="90">
        <v>1091.8999999999637</v>
      </c>
      <c r="G422" s="66">
        <v>1091.8999999999637</v>
      </c>
      <c r="H422" s="66">
        <v>4457.8999999999996</v>
      </c>
      <c r="I422" s="66">
        <v>1091.9999999999636</v>
      </c>
      <c r="J422" s="66">
        <v>4478</v>
      </c>
    </row>
    <row r="423" spans="2:10">
      <c r="B423" s="90">
        <v>4457.8999999999996</v>
      </c>
      <c r="C423" s="90">
        <v>1091.8999999999637</v>
      </c>
      <c r="D423" s="90">
        <v>4478</v>
      </c>
      <c r="E423" s="90">
        <v>1091.9999999999636</v>
      </c>
      <c r="G423" s="66">
        <v>1091.9999999999636</v>
      </c>
      <c r="H423" s="66">
        <v>4478</v>
      </c>
      <c r="I423" s="66">
        <v>1092.0999999999635</v>
      </c>
      <c r="J423" s="66">
        <v>4498.8</v>
      </c>
    </row>
    <row r="424" spans="2:10">
      <c r="B424" s="90">
        <v>4478</v>
      </c>
      <c r="C424" s="90">
        <v>1091.9999999999636</v>
      </c>
      <c r="D424" s="90">
        <v>4498.8</v>
      </c>
      <c r="E424" s="90">
        <v>1092.0999999999635</v>
      </c>
      <c r="G424" s="66">
        <v>1092.0999999999635</v>
      </c>
      <c r="H424" s="66">
        <v>4498.8</v>
      </c>
      <c r="I424" s="66">
        <v>1092.1999999999634</v>
      </c>
      <c r="J424" s="66">
        <v>4519.6000000000004</v>
      </c>
    </row>
    <row r="425" spans="2:10">
      <c r="B425" s="90">
        <v>4498.8</v>
      </c>
      <c r="C425" s="90">
        <v>1092.0999999999635</v>
      </c>
      <c r="D425" s="90">
        <v>4519.6000000000004</v>
      </c>
      <c r="E425" s="90">
        <v>1092.1999999999634</v>
      </c>
      <c r="G425" s="66">
        <v>1092.1999999999634</v>
      </c>
      <c r="H425" s="66">
        <v>4519.6000000000004</v>
      </c>
      <c r="I425" s="66">
        <v>1092.2999999999633</v>
      </c>
      <c r="J425" s="66">
        <v>4540.3999999999996</v>
      </c>
    </row>
    <row r="426" spans="2:10">
      <c r="B426" s="90">
        <v>4519.6000000000004</v>
      </c>
      <c r="C426" s="90">
        <v>1092.1999999999634</v>
      </c>
      <c r="D426" s="90">
        <v>4540.3999999999996</v>
      </c>
      <c r="E426" s="90">
        <v>1092.2999999999633</v>
      </c>
      <c r="G426" s="66">
        <v>1092.2999999999633</v>
      </c>
      <c r="H426" s="66">
        <v>4540.3999999999996</v>
      </c>
      <c r="I426" s="66">
        <v>1092.3999999999633</v>
      </c>
      <c r="J426" s="66">
        <v>4561.2</v>
      </c>
    </row>
    <row r="427" spans="2:10">
      <c r="B427" s="90">
        <v>4540.3999999999996</v>
      </c>
      <c r="C427" s="90">
        <v>1092.2999999999633</v>
      </c>
      <c r="D427" s="90">
        <v>4561.2</v>
      </c>
      <c r="E427" s="90">
        <v>1092.3999999999633</v>
      </c>
      <c r="G427" s="66">
        <v>1092.3999999999633</v>
      </c>
      <c r="H427" s="66">
        <v>4561.2</v>
      </c>
      <c r="I427" s="66">
        <v>1092.4999999999632</v>
      </c>
      <c r="J427" s="66">
        <v>4582</v>
      </c>
    </row>
    <row r="428" spans="2:10">
      <c r="B428" s="90">
        <v>4561.2</v>
      </c>
      <c r="C428" s="90">
        <v>1092.3999999999633</v>
      </c>
      <c r="D428" s="90">
        <v>4582</v>
      </c>
      <c r="E428" s="90">
        <v>1092.4999999999632</v>
      </c>
      <c r="G428" s="66">
        <v>1092.4999999999632</v>
      </c>
      <c r="H428" s="66">
        <v>4582</v>
      </c>
      <c r="I428" s="66">
        <v>1092.5999999999631</v>
      </c>
      <c r="J428" s="66">
        <v>4602.8</v>
      </c>
    </row>
    <row r="429" spans="2:10">
      <c r="B429" s="90">
        <v>4582</v>
      </c>
      <c r="C429" s="90">
        <v>1092.4999999999632</v>
      </c>
      <c r="D429" s="90">
        <v>4602.8</v>
      </c>
      <c r="E429" s="90">
        <v>1092.5999999999631</v>
      </c>
      <c r="G429" s="66">
        <v>1092.5999999999631</v>
      </c>
      <c r="H429" s="66">
        <v>4602.8</v>
      </c>
      <c r="I429" s="66">
        <v>1092.699999999963</v>
      </c>
      <c r="J429" s="66">
        <v>4623.6000000000004</v>
      </c>
    </row>
    <row r="430" spans="2:10">
      <c r="B430" s="90">
        <v>4602.8</v>
      </c>
      <c r="C430" s="90">
        <v>1092.5999999999631</v>
      </c>
      <c r="D430" s="90">
        <v>4623.6000000000004</v>
      </c>
      <c r="E430" s="90">
        <v>1092.699999999963</v>
      </c>
      <c r="G430" s="66">
        <v>1092.699999999963</v>
      </c>
      <c r="H430" s="66">
        <v>4623.6000000000004</v>
      </c>
      <c r="I430" s="66">
        <v>1092.7999999999629</v>
      </c>
      <c r="J430" s="66">
        <v>4644.3999999999996</v>
      </c>
    </row>
    <row r="431" spans="2:10">
      <c r="B431" s="90">
        <v>4623.6000000000004</v>
      </c>
      <c r="C431" s="90">
        <v>1092.699999999963</v>
      </c>
      <c r="D431" s="90">
        <v>4644.3999999999996</v>
      </c>
      <c r="E431" s="90">
        <v>1092.7999999999629</v>
      </c>
      <c r="G431" s="66">
        <v>1092.7999999999629</v>
      </c>
      <c r="H431" s="66">
        <v>4644.3999999999996</v>
      </c>
      <c r="I431" s="66">
        <v>1092.8999999999628</v>
      </c>
      <c r="J431" s="66">
        <v>4665.2</v>
      </c>
    </row>
    <row r="432" spans="2:10">
      <c r="B432" s="90">
        <v>4644.3999999999996</v>
      </c>
      <c r="C432" s="90">
        <v>1092.7999999999629</v>
      </c>
      <c r="D432" s="90">
        <v>4665.2</v>
      </c>
      <c r="E432" s="90">
        <v>1092.8999999999628</v>
      </c>
      <c r="G432" s="66">
        <v>1092.8999999999628</v>
      </c>
      <c r="H432" s="66">
        <v>4665.2</v>
      </c>
      <c r="I432" s="66">
        <v>1092.9999999999627</v>
      </c>
      <c r="J432" s="66">
        <v>4686</v>
      </c>
    </row>
    <row r="433" spans="2:10">
      <c r="B433" s="90">
        <v>4665.2</v>
      </c>
      <c r="C433" s="90">
        <v>1092.8999999999628</v>
      </c>
      <c r="D433" s="90">
        <v>4686</v>
      </c>
      <c r="E433" s="90">
        <v>1092.9999999999627</v>
      </c>
      <c r="G433" s="66">
        <v>1092.9999999999627</v>
      </c>
      <c r="H433" s="66">
        <v>4686</v>
      </c>
      <c r="I433" s="66">
        <v>1093.0999999999626</v>
      </c>
      <c r="J433" s="66">
        <v>4707.3</v>
      </c>
    </row>
    <row r="434" spans="2:10">
      <c r="B434" s="90">
        <v>4686</v>
      </c>
      <c r="C434" s="90">
        <v>1092.9999999999627</v>
      </c>
      <c r="D434" s="90">
        <v>4707.3</v>
      </c>
      <c r="E434" s="90">
        <v>1093.0999999999626</v>
      </c>
      <c r="G434" s="66">
        <v>1093.0999999999626</v>
      </c>
      <c r="H434" s="66">
        <v>4707.3</v>
      </c>
      <c r="I434" s="66">
        <v>1093.1999999999625</v>
      </c>
      <c r="J434" s="66">
        <v>4728.6000000000004</v>
      </c>
    </row>
    <row r="435" spans="2:10">
      <c r="B435" s="90">
        <v>4707.3</v>
      </c>
      <c r="C435" s="90">
        <v>1093.0999999999626</v>
      </c>
      <c r="D435" s="90">
        <v>4728.6000000000004</v>
      </c>
      <c r="E435" s="90">
        <v>1093.1999999999625</v>
      </c>
      <c r="G435" s="66">
        <v>1093.1999999999625</v>
      </c>
      <c r="H435" s="66">
        <v>4728.6000000000004</v>
      </c>
      <c r="I435" s="66">
        <v>1093.2999999999624</v>
      </c>
      <c r="J435" s="66">
        <v>4749.8999999999996</v>
      </c>
    </row>
    <row r="436" spans="2:10">
      <c r="B436" s="90">
        <v>4728.6000000000004</v>
      </c>
      <c r="C436" s="90">
        <v>1093.1999999999625</v>
      </c>
      <c r="D436" s="90">
        <v>4749.8999999999996</v>
      </c>
      <c r="E436" s="90">
        <v>1093.2999999999624</v>
      </c>
      <c r="G436" s="66">
        <v>1093.2999999999624</v>
      </c>
      <c r="H436" s="66">
        <v>4749.8999999999996</v>
      </c>
      <c r="I436" s="66">
        <v>1093.3999999999623</v>
      </c>
      <c r="J436" s="66">
        <v>4771.2</v>
      </c>
    </row>
    <row r="437" spans="2:10">
      <c r="B437" s="90">
        <v>4749.8999999999996</v>
      </c>
      <c r="C437" s="90">
        <v>1093.2999999999624</v>
      </c>
      <c r="D437" s="90">
        <v>4771.2</v>
      </c>
      <c r="E437" s="90">
        <v>1093.3999999999623</v>
      </c>
      <c r="G437" s="66">
        <v>1093.3999999999623</v>
      </c>
      <c r="H437" s="66">
        <v>4771.2</v>
      </c>
      <c r="I437" s="66">
        <v>1093.4999999999623</v>
      </c>
      <c r="J437" s="66">
        <v>4792.5</v>
      </c>
    </row>
    <row r="438" spans="2:10">
      <c r="B438" s="90">
        <v>4771.2</v>
      </c>
      <c r="C438" s="90">
        <v>1093.3999999999623</v>
      </c>
      <c r="D438" s="90">
        <v>4792.5</v>
      </c>
      <c r="E438" s="90">
        <v>1093.4999999999623</v>
      </c>
      <c r="G438" s="66">
        <v>1093.4999999999623</v>
      </c>
      <c r="H438" s="66">
        <v>4792.5</v>
      </c>
      <c r="I438" s="66">
        <v>1093.5999999999622</v>
      </c>
      <c r="J438" s="66">
        <v>4813.8</v>
      </c>
    </row>
    <row r="439" spans="2:10">
      <c r="B439" s="90">
        <v>4792.5</v>
      </c>
      <c r="C439" s="90">
        <v>1093.4999999999623</v>
      </c>
      <c r="D439" s="90">
        <v>4813.8</v>
      </c>
      <c r="E439" s="90">
        <v>1093.5999999999622</v>
      </c>
      <c r="G439" s="66">
        <v>1093.5999999999622</v>
      </c>
      <c r="H439" s="66">
        <v>4813.8</v>
      </c>
      <c r="I439" s="66">
        <v>1093.6999999999621</v>
      </c>
      <c r="J439" s="66">
        <v>4835.1000000000004</v>
      </c>
    </row>
    <row r="440" spans="2:10">
      <c r="B440" s="90">
        <v>4813.8</v>
      </c>
      <c r="C440" s="90">
        <v>1093.5999999999622</v>
      </c>
      <c r="D440" s="90">
        <v>4835.1000000000004</v>
      </c>
      <c r="E440" s="90">
        <v>1093.6999999999621</v>
      </c>
      <c r="G440" s="66">
        <v>1093.6999999999621</v>
      </c>
      <c r="H440" s="66">
        <v>4835.1000000000004</v>
      </c>
      <c r="I440" s="66">
        <v>1093.799999999962</v>
      </c>
      <c r="J440" s="66">
        <v>4856.3999999999996</v>
      </c>
    </row>
    <row r="441" spans="2:10">
      <c r="B441" s="90">
        <v>4835.1000000000004</v>
      </c>
      <c r="C441" s="90">
        <v>1093.6999999999621</v>
      </c>
      <c r="D441" s="90">
        <v>4856.3999999999996</v>
      </c>
      <c r="E441" s="90">
        <v>1093.799999999962</v>
      </c>
      <c r="G441" s="66">
        <v>1093.799999999962</v>
      </c>
      <c r="H441" s="66">
        <v>4856.3999999999996</v>
      </c>
      <c r="I441" s="66">
        <v>1093.8999999999619</v>
      </c>
      <c r="J441" s="66">
        <v>4877.7</v>
      </c>
    </row>
    <row r="442" spans="2:10">
      <c r="B442" s="90">
        <v>4856.3999999999996</v>
      </c>
      <c r="C442" s="90">
        <v>1093.799999999962</v>
      </c>
      <c r="D442" s="90">
        <v>4877.7</v>
      </c>
      <c r="E442" s="90">
        <v>1093.8999999999619</v>
      </c>
      <c r="G442" s="66">
        <v>1093.8999999999619</v>
      </c>
      <c r="H442" s="66">
        <v>4877.7</v>
      </c>
      <c r="I442" s="66">
        <v>1093.9999999999618</v>
      </c>
      <c r="J442" s="66">
        <v>4899</v>
      </c>
    </row>
    <row r="443" spans="2:10">
      <c r="B443" s="90">
        <v>4877.7</v>
      </c>
      <c r="C443" s="90">
        <v>1093.8999999999619</v>
      </c>
      <c r="D443" s="90">
        <v>4899</v>
      </c>
      <c r="E443" s="90">
        <v>1093.9999999999618</v>
      </c>
      <c r="G443" s="66">
        <v>1093.9999999999618</v>
      </c>
      <c r="H443" s="66">
        <v>4899</v>
      </c>
      <c r="I443" s="66">
        <v>1094.0999999999617</v>
      </c>
      <c r="J443" s="66">
        <v>4921</v>
      </c>
    </row>
    <row r="444" spans="2:10">
      <c r="B444" s="90">
        <v>4899</v>
      </c>
      <c r="C444" s="90">
        <v>1093.9999999999618</v>
      </c>
      <c r="D444" s="90">
        <v>4921</v>
      </c>
      <c r="E444" s="90">
        <v>1094.0999999999617</v>
      </c>
      <c r="G444" s="66">
        <v>1094.0999999999617</v>
      </c>
      <c r="H444" s="66">
        <v>4921</v>
      </c>
      <c r="I444" s="66">
        <v>1094.1999999999616</v>
      </c>
      <c r="J444" s="66">
        <v>4943</v>
      </c>
    </row>
    <row r="445" spans="2:10">
      <c r="B445" s="90">
        <v>4921</v>
      </c>
      <c r="C445" s="90">
        <v>1094.0999999999617</v>
      </c>
      <c r="D445" s="90">
        <v>4943</v>
      </c>
      <c r="E445" s="90">
        <v>1094.1999999999616</v>
      </c>
      <c r="G445" s="66">
        <v>1094.1999999999616</v>
      </c>
      <c r="H445" s="66">
        <v>4943</v>
      </c>
      <c r="I445" s="66">
        <v>1094.2999999999615</v>
      </c>
      <c r="J445" s="66">
        <v>4965</v>
      </c>
    </row>
    <row r="446" spans="2:10">
      <c r="B446" s="90">
        <v>4943</v>
      </c>
      <c r="C446" s="90">
        <v>1094.1999999999616</v>
      </c>
      <c r="D446" s="90">
        <v>4965</v>
      </c>
      <c r="E446" s="90">
        <v>1094.2999999999615</v>
      </c>
      <c r="G446" s="66">
        <v>1094.2999999999615</v>
      </c>
      <c r="H446" s="66">
        <v>4965</v>
      </c>
      <c r="I446" s="66">
        <v>1094.3999999999614</v>
      </c>
      <c r="J446" s="66">
        <v>4987</v>
      </c>
    </row>
    <row r="447" spans="2:10">
      <c r="B447" s="90">
        <v>4965</v>
      </c>
      <c r="C447" s="90">
        <v>1094.2999999999615</v>
      </c>
      <c r="D447" s="90">
        <v>4987</v>
      </c>
      <c r="E447" s="90">
        <v>1094.3999999999614</v>
      </c>
      <c r="G447" s="66">
        <v>1094.3999999999614</v>
      </c>
      <c r="H447" s="66">
        <v>4987</v>
      </c>
      <c r="I447" s="66">
        <v>1094.4999999999613</v>
      </c>
      <c r="J447" s="66">
        <v>5009</v>
      </c>
    </row>
    <row r="448" spans="2:10">
      <c r="B448" s="90">
        <v>4987</v>
      </c>
      <c r="C448" s="90">
        <v>1094.3999999999614</v>
      </c>
      <c r="D448" s="90">
        <v>5009</v>
      </c>
      <c r="E448" s="90">
        <v>1094.4999999999613</v>
      </c>
      <c r="G448" s="66">
        <v>1094.4999999999613</v>
      </c>
      <c r="H448" s="66">
        <v>5009</v>
      </c>
      <c r="I448" s="66">
        <v>1094.5999999999613</v>
      </c>
      <c r="J448" s="66">
        <v>5031</v>
      </c>
    </row>
    <row r="449" spans="2:10">
      <c r="B449" s="90">
        <v>5009</v>
      </c>
      <c r="C449" s="90">
        <v>1094.4999999999613</v>
      </c>
      <c r="D449" s="90">
        <v>5031</v>
      </c>
      <c r="E449" s="90">
        <v>1094.5999999999613</v>
      </c>
      <c r="G449" s="66">
        <v>1094.5999999999613</v>
      </c>
      <c r="H449" s="66">
        <v>5031</v>
      </c>
      <c r="I449" s="66">
        <v>1094.6999999999612</v>
      </c>
      <c r="J449" s="66">
        <v>5053</v>
      </c>
    </row>
    <row r="450" spans="2:10">
      <c r="B450" s="90">
        <v>5031</v>
      </c>
      <c r="C450" s="90">
        <v>1094.5999999999613</v>
      </c>
      <c r="D450" s="90">
        <v>5053</v>
      </c>
      <c r="E450" s="90">
        <v>1094.6999999999612</v>
      </c>
      <c r="G450" s="66">
        <v>1094.6999999999612</v>
      </c>
      <c r="H450" s="66">
        <v>5053</v>
      </c>
      <c r="I450" s="66">
        <v>1094.7999999999611</v>
      </c>
      <c r="J450" s="66">
        <v>5075</v>
      </c>
    </row>
    <row r="451" spans="2:10">
      <c r="B451" s="90">
        <v>5053</v>
      </c>
      <c r="C451" s="90">
        <v>1094.6999999999612</v>
      </c>
      <c r="D451" s="90">
        <v>5075</v>
      </c>
      <c r="E451" s="90">
        <v>1094.7999999999611</v>
      </c>
      <c r="G451" s="66">
        <v>1094.7999999999611</v>
      </c>
      <c r="H451" s="66">
        <v>5075</v>
      </c>
      <c r="I451" s="66">
        <v>1094.899999999961</v>
      </c>
      <c r="J451" s="66">
        <v>5097</v>
      </c>
    </row>
    <row r="452" spans="2:10">
      <c r="B452" s="90">
        <v>5075</v>
      </c>
      <c r="C452" s="90">
        <v>1094.7999999999611</v>
      </c>
      <c r="D452" s="90">
        <v>5097</v>
      </c>
      <c r="E452" s="90">
        <v>1094.899999999961</v>
      </c>
      <c r="G452" s="66">
        <v>1094.899999999961</v>
      </c>
      <c r="H452" s="66">
        <v>5097</v>
      </c>
      <c r="I452" s="66">
        <v>1094.9999999999609</v>
      </c>
      <c r="J452" s="66">
        <v>5119</v>
      </c>
    </row>
    <row r="453" spans="2:10">
      <c r="B453" s="90">
        <v>5097</v>
      </c>
      <c r="C453" s="90">
        <v>1094.899999999961</v>
      </c>
      <c r="D453" s="90">
        <v>5119</v>
      </c>
      <c r="E453" s="90">
        <v>1094.9999999999609</v>
      </c>
      <c r="G453" s="66">
        <v>1094.9999999999609</v>
      </c>
      <c r="H453" s="66">
        <v>5119</v>
      </c>
      <c r="I453" s="66">
        <v>1095.0999999999608</v>
      </c>
      <c r="J453" s="66">
        <v>5141.6000000000004</v>
      </c>
    </row>
    <row r="454" spans="2:10">
      <c r="B454" s="90">
        <v>5119</v>
      </c>
      <c r="C454" s="90">
        <v>1094.9999999999609</v>
      </c>
      <c r="D454" s="90">
        <v>5141.6000000000004</v>
      </c>
      <c r="E454" s="90">
        <v>1095.0999999999608</v>
      </c>
      <c r="G454" s="66">
        <v>1095.0999999999608</v>
      </c>
      <c r="H454" s="66">
        <v>5141.6000000000004</v>
      </c>
      <c r="I454" s="66">
        <v>1095.1999999999607</v>
      </c>
      <c r="J454" s="66">
        <v>5164.2</v>
      </c>
    </row>
    <row r="455" spans="2:10">
      <c r="B455" s="90">
        <v>5141.6000000000004</v>
      </c>
      <c r="C455" s="90">
        <v>1095.0999999999608</v>
      </c>
      <c r="D455" s="90">
        <v>5164.2</v>
      </c>
      <c r="E455" s="90">
        <v>1095.1999999999607</v>
      </c>
      <c r="G455" s="66">
        <v>1095.1999999999607</v>
      </c>
      <c r="H455" s="66">
        <v>5164.2</v>
      </c>
      <c r="I455" s="66">
        <v>1095.2999999999606</v>
      </c>
      <c r="J455" s="66">
        <v>5186.8</v>
      </c>
    </row>
    <row r="456" spans="2:10">
      <c r="B456" s="90">
        <v>5164.2</v>
      </c>
      <c r="C456" s="90">
        <v>1095.1999999999607</v>
      </c>
      <c r="D456" s="90">
        <v>5186.8</v>
      </c>
      <c r="E456" s="90">
        <v>1095.2999999999606</v>
      </c>
      <c r="G456" s="66">
        <v>1095.2999999999606</v>
      </c>
      <c r="H456" s="66">
        <v>5186.8</v>
      </c>
      <c r="I456" s="66">
        <v>1095.3999999999605</v>
      </c>
      <c r="J456" s="66">
        <v>5209.3999999999996</v>
      </c>
    </row>
    <row r="457" spans="2:10">
      <c r="B457" s="90">
        <v>5186.8</v>
      </c>
      <c r="C457" s="90">
        <v>1095.2999999999606</v>
      </c>
      <c r="D457" s="90">
        <v>5209.3999999999996</v>
      </c>
      <c r="E457" s="90">
        <v>1095.3999999999605</v>
      </c>
      <c r="G457" s="66">
        <v>1095.3999999999605</v>
      </c>
      <c r="H457" s="66">
        <v>5209.3999999999996</v>
      </c>
      <c r="I457" s="66">
        <v>1095.4999999999604</v>
      </c>
      <c r="J457" s="66">
        <v>5232</v>
      </c>
    </row>
    <row r="458" spans="2:10">
      <c r="B458" s="90">
        <v>5209.3999999999996</v>
      </c>
      <c r="C458" s="90">
        <v>1095.3999999999605</v>
      </c>
      <c r="D458" s="90">
        <v>5232</v>
      </c>
      <c r="E458" s="90">
        <v>1095.4999999999604</v>
      </c>
      <c r="G458" s="66">
        <v>1095.4999999999604</v>
      </c>
      <c r="H458" s="66">
        <v>5232</v>
      </c>
      <c r="I458" s="66">
        <v>1095.5999999999603</v>
      </c>
      <c r="J458" s="66">
        <v>5254.6</v>
      </c>
    </row>
    <row r="459" spans="2:10">
      <c r="B459" s="90">
        <v>5232</v>
      </c>
      <c r="C459" s="90">
        <v>1095.4999999999604</v>
      </c>
      <c r="D459" s="90">
        <v>5254.6</v>
      </c>
      <c r="E459" s="90">
        <v>1095.5999999999603</v>
      </c>
      <c r="G459" s="66">
        <v>1095.5999999999603</v>
      </c>
      <c r="H459" s="66">
        <v>5254.6</v>
      </c>
      <c r="I459" s="66">
        <v>1095.6999999999603</v>
      </c>
      <c r="J459" s="66">
        <v>5277.2</v>
      </c>
    </row>
    <row r="460" spans="2:10">
      <c r="B460" s="90">
        <v>5254.6</v>
      </c>
      <c r="C460" s="90">
        <v>1095.5999999999603</v>
      </c>
      <c r="D460" s="90">
        <v>5277.2</v>
      </c>
      <c r="E460" s="90">
        <v>1095.6999999999603</v>
      </c>
      <c r="G460" s="66">
        <v>1095.6999999999603</v>
      </c>
      <c r="H460" s="66">
        <v>5277.2</v>
      </c>
      <c r="I460" s="66">
        <v>1095.7999999999602</v>
      </c>
      <c r="J460" s="66">
        <v>5299.8</v>
      </c>
    </row>
    <row r="461" spans="2:10">
      <c r="B461" s="90">
        <v>5277.2</v>
      </c>
      <c r="C461" s="90">
        <v>1095.6999999999603</v>
      </c>
      <c r="D461" s="90">
        <v>5299.8</v>
      </c>
      <c r="E461" s="90">
        <v>1095.7999999999602</v>
      </c>
      <c r="G461" s="66">
        <v>1095.7999999999602</v>
      </c>
      <c r="H461" s="66">
        <v>5299.8</v>
      </c>
      <c r="I461" s="66">
        <v>1095.8999999999601</v>
      </c>
      <c r="J461" s="66">
        <v>5322.4</v>
      </c>
    </row>
    <row r="462" spans="2:10">
      <c r="B462" s="90">
        <v>5299.8</v>
      </c>
      <c r="C462" s="90">
        <v>1095.7999999999602</v>
      </c>
      <c r="D462" s="90">
        <v>5322.4</v>
      </c>
      <c r="E462" s="90">
        <v>1095.8999999999601</v>
      </c>
      <c r="G462" s="66">
        <v>1095.8999999999601</v>
      </c>
      <c r="H462" s="66">
        <v>5322.4</v>
      </c>
      <c r="I462" s="66">
        <v>1095.99999999996</v>
      </c>
      <c r="J462" s="66">
        <v>5345</v>
      </c>
    </row>
    <row r="463" spans="2:10">
      <c r="B463" s="90">
        <v>5322.4</v>
      </c>
      <c r="C463" s="90">
        <v>1095.8999999999601</v>
      </c>
      <c r="D463" s="90">
        <v>5345</v>
      </c>
      <c r="E463" s="90">
        <v>1095.99999999996</v>
      </c>
      <c r="G463" s="66">
        <v>1095.99999999996</v>
      </c>
      <c r="H463" s="66">
        <v>5345</v>
      </c>
      <c r="I463" s="66">
        <v>1096.0999999999599</v>
      </c>
      <c r="J463" s="66">
        <v>5368.2</v>
      </c>
    </row>
    <row r="464" spans="2:10">
      <c r="B464" s="90">
        <v>5345</v>
      </c>
      <c r="C464" s="90">
        <v>1095.99999999996</v>
      </c>
      <c r="D464" s="90">
        <v>5368.2</v>
      </c>
      <c r="E464" s="90">
        <v>1096.0999999999599</v>
      </c>
      <c r="G464" s="66">
        <v>1096.0999999999599</v>
      </c>
      <c r="H464" s="66">
        <v>5368.2</v>
      </c>
      <c r="I464" s="66">
        <v>1096.1999999999598</v>
      </c>
      <c r="J464" s="66">
        <v>5391.4</v>
      </c>
    </row>
    <row r="465" spans="2:10">
      <c r="B465" s="90">
        <v>5368.2</v>
      </c>
      <c r="C465" s="90">
        <v>1096.0999999999599</v>
      </c>
      <c r="D465" s="90">
        <v>5391.4</v>
      </c>
      <c r="E465" s="90">
        <v>1096.1999999999598</v>
      </c>
      <c r="G465" s="66">
        <v>1096.1999999999598</v>
      </c>
      <c r="H465" s="66">
        <v>5391.4</v>
      </c>
      <c r="I465" s="66">
        <v>1096.2999999999597</v>
      </c>
      <c r="J465" s="66">
        <v>5414.6</v>
      </c>
    </row>
    <row r="466" spans="2:10">
      <c r="B466" s="90">
        <v>5391.4</v>
      </c>
      <c r="C466" s="90">
        <v>1096.1999999999598</v>
      </c>
      <c r="D466" s="90">
        <v>5414.6</v>
      </c>
      <c r="E466" s="90">
        <v>1096.2999999999597</v>
      </c>
      <c r="G466" s="66">
        <v>1096.2999999999597</v>
      </c>
      <c r="H466" s="66">
        <v>5414.6</v>
      </c>
      <c r="I466" s="66">
        <v>1096.3999999999596</v>
      </c>
      <c r="J466" s="66">
        <v>5437.8</v>
      </c>
    </row>
    <row r="467" spans="2:10">
      <c r="B467" s="90">
        <v>5414.6</v>
      </c>
      <c r="C467" s="90">
        <v>1096.2999999999597</v>
      </c>
      <c r="D467" s="90">
        <v>5437.8</v>
      </c>
      <c r="E467" s="90">
        <v>1096.3999999999596</v>
      </c>
      <c r="G467" s="66">
        <v>1096.3999999999596</v>
      </c>
      <c r="H467" s="66">
        <v>5437.8</v>
      </c>
      <c r="I467" s="66">
        <v>1096.4999999999595</v>
      </c>
      <c r="J467" s="66">
        <v>5461</v>
      </c>
    </row>
    <row r="468" spans="2:10">
      <c r="B468" s="90">
        <v>5437.8</v>
      </c>
      <c r="C468" s="90">
        <v>1096.3999999999596</v>
      </c>
      <c r="D468" s="90">
        <v>5461</v>
      </c>
      <c r="E468" s="90">
        <v>1096.4999999999595</v>
      </c>
      <c r="G468" s="66">
        <v>1096.4999999999595</v>
      </c>
      <c r="H468" s="66">
        <v>5461</v>
      </c>
      <c r="I468" s="66">
        <v>1096.5999999999594</v>
      </c>
      <c r="J468" s="66">
        <v>5484.2</v>
      </c>
    </row>
    <row r="469" spans="2:10">
      <c r="B469" s="90">
        <v>5461</v>
      </c>
      <c r="C469" s="90">
        <v>1096.4999999999595</v>
      </c>
      <c r="D469" s="90">
        <v>5484.2</v>
      </c>
      <c r="E469" s="90">
        <v>1096.5999999999594</v>
      </c>
      <c r="G469" s="66">
        <v>1096.5999999999594</v>
      </c>
      <c r="H469" s="66">
        <v>5484.2</v>
      </c>
      <c r="I469" s="66">
        <v>1096.6999999999593</v>
      </c>
      <c r="J469" s="66">
        <v>5507.4</v>
      </c>
    </row>
    <row r="470" spans="2:10">
      <c r="B470" s="90">
        <v>5484.2</v>
      </c>
      <c r="C470" s="90">
        <v>1096.5999999999594</v>
      </c>
      <c r="D470" s="90">
        <v>5507.4</v>
      </c>
      <c r="E470" s="90">
        <v>1096.6999999999593</v>
      </c>
      <c r="G470" s="66">
        <v>1096.6999999999593</v>
      </c>
      <c r="H470" s="66">
        <v>5507.4</v>
      </c>
      <c r="I470" s="66">
        <v>1096.7999999999593</v>
      </c>
      <c r="J470" s="66">
        <v>5530.6</v>
      </c>
    </row>
    <row r="471" spans="2:10">
      <c r="B471" s="90">
        <v>5507.4</v>
      </c>
      <c r="C471" s="90">
        <v>1096.6999999999593</v>
      </c>
      <c r="D471" s="90">
        <v>5530.6</v>
      </c>
      <c r="E471" s="90">
        <v>1096.7999999999593</v>
      </c>
      <c r="G471" s="66">
        <v>1096.7999999999593</v>
      </c>
      <c r="H471" s="66">
        <v>5530.6</v>
      </c>
      <c r="I471" s="66">
        <v>1096.8999999999592</v>
      </c>
      <c r="J471" s="66">
        <v>5553.8</v>
      </c>
    </row>
    <row r="472" spans="2:10">
      <c r="B472" s="90">
        <v>5530.6</v>
      </c>
      <c r="C472" s="90">
        <v>1096.7999999999593</v>
      </c>
      <c r="D472" s="90">
        <v>5553.8</v>
      </c>
      <c r="E472" s="90">
        <v>1096.8999999999592</v>
      </c>
      <c r="G472" s="66">
        <v>1096.8999999999592</v>
      </c>
      <c r="H472" s="66">
        <v>5553.8</v>
      </c>
      <c r="I472" s="66">
        <v>1096.9999999999591</v>
      </c>
      <c r="J472" s="66">
        <v>5577</v>
      </c>
    </row>
    <row r="473" spans="2:10">
      <c r="B473" s="90">
        <v>5553.8</v>
      </c>
      <c r="C473" s="90">
        <v>1096.8999999999592</v>
      </c>
      <c r="D473" s="90">
        <v>5577</v>
      </c>
      <c r="E473" s="90">
        <v>1096.9999999999591</v>
      </c>
      <c r="G473" s="66">
        <v>1096.9999999999591</v>
      </c>
      <c r="H473" s="66">
        <v>5577</v>
      </c>
      <c r="I473" s="66">
        <v>1097.099999999959</v>
      </c>
      <c r="J473" s="66">
        <v>5600.9</v>
      </c>
    </row>
    <row r="474" spans="2:10">
      <c r="B474" s="90">
        <v>5577</v>
      </c>
      <c r="C474" s="90">
        <v>1096.9999999999591</v>
      </c>
      <c r="D474" s="90">
        <v>5600.9</v>
      </c>
      <c r="E474" s="90">
        <v>1097.099999999959</v>
      </c>
      <c r="G474" s="66">
        <v>1097.099999999959</v>
      </c>
      <c r="H474" s="66">
        <v>5600.9</v>
      </c>
      <c r="I474" s="66">
        <v>1097.1999999999589</v>
      </c>
      <c r="J474" s="66">
        <v>5624.8</v>
      </c>
    </row>
    <row r="475" spans="2:10">
      <c r="B475" s="90">
        <v>5600.9</v>
      </c>
      <c r="C475" s="90">
        <v>1097.099999999959</v>
      </c>
      <c r="D475" s="90">
        <v>5624.8</v>
      </c>
      <c r="E475" s="90">
        <v>1097.1999999999589</v>
      </c>
      <c r="G475" s="66">
        <v>1097.1999999999589</v>
      </c>
      <c r="H475" s="66">
        <v>5624.8</v>
      </c>
      <c r="I475" s="66">
        <v>1097.2999999999588</v>
      </c>
      <c r="J475" s="66">
        <v>5648.7</v>
      </c>
    </row>
    <row r="476" spans="2:10">
      <c r="B476" s="90">
        <v>5624.8</v>
      </c>
      <c r="C476" s="90">
        <v>1097.1999999999589</v>
      </c>
      <c r="D476" s="90">
        <v>5648.7</v>
      </c>
      <c r="E476" s="90">
        <v>1097.2999999999588</v>
      </c>
      <c r="G476" s="66">
        <v>1097.2999999999588</v>
      </c>
      <c r="H476" s="66">
        <v>5648.7</v>
      </c>
      <c r="I476" s="66">
        <v>1097.3999999999587</v>
      </c>
      <c r="J476" s="66">
        <v>5672.6</v>
      </c>
    </row>
    <row r="477" spans="2:10">
      <c r="B477" s="90">
        <v>5648.7</v>
      </c>
      <c r="C477" s="90">
        <v>1097.2999999999588</v>
      </c>
      <c r="D477" s="90">
        <v>5672.6</v>
      </c>
      <c r="E477" s="90">
        <v>1097.3999999999587</v>
      </c>
      <c r="G477" s="66">
        <v>1097.3999999999587</v>
      </c>
      <c r="H477" s="66">
        <v>5672.6</v>
      </c>
      <c r="I477" s="66">
        <v>1097.4999999999586</v>
      </c>
      <c r="J477" s="66">
        <v>5696.5</v>
      </c>
    </row>
    <row r="478" spans="2:10">
      <c r="B478" s="90">
        <v>5672.6</v>
      </c>
      <c r="C478" s="90">
        <v>1097.3999999999587</v>
      </c>
      <c r="D478" s="90">
        <v>5696.5</v>
      </c>
      <c r="E478" s="90">
        <v>1097.4999999999586</v>
      </c>
      <c r="G478" s="66">
        <v>1097.4999999999586</v>
      </c>
      <c r="H478" s="66">
        <v>5696.5</v>
      </c>
      <c r="I478" s="66">
        <v>1097.5999999999585</v>
      </c>
      <c r="J478" s="66">
        <v>5720.4</v>
      </c>
    </row>
    <row r="479" spans="2:10">
      <c r="B479" s="90">
        <v>5696.5</v>
      </c>
      <c r="C479" s="90">
        <v>1097.4999999999586</v>
      </c>
      <c r="D479" s="90">
        <v>5720.4</v>
      </c>
      <c r="E479" s="90">
        <v>1097.5999999999585</v>
      </c>
      <c r="G479" s="66">
        <v>1097.5999999999585</v>
      </c>
      <c r="H479" s="66">
        <v>5720.4</v>
      </c>
      <c r="I479" s="66">
        <v>1097.6999999999584</v>
      </c>
      <c r="J479" s="66">
        <v>5744.3</v>
      </c>
    </row>
    <row r="480" spans="2:10">
      <c r="B480" s="90">
        <v>5720.4</v>
      </c>
      <c r="C480" s="90">
        <v>1097.5999999999585</v>
      </c>
      <c r="D480" s="90">
        <v>5744.3</v>
      </c>
      <c r="E480" s="90">
        <v>1097.6999999999584</v>
      </c>
      <c r="G480" s="66">
        <v>1097.6999999999584</v>
      </c>
      <c r="H480" s="66">
        <v>5744.3</v>
      </c>
      <c r="I480" s="66">
        <v>1097.7999999999583</v>
      </c>
      <c r="J480" s="66">
        <v>5768.2</v>
      </c>
    </row>
    <row r="481" spans="2:10">
      <c r="B481" s="90">
        <v>5744.3</v>
      </c>
      <c r="C481" s="90">
        <v>1097.6999999999584</v>
      </c>
      <c r="D481" s="90">
        <v>5768.2</v>
      </c>
      <c r="E481" s="90">
        <v>1097.7999999999583</v>
      </c>
      <c r="G481" s="66">
        <v>1097.7999999999583</v>
      </c>
      <c r="H481" s="66">
        <v>5768.2</v>
      </c>
      <c r="I481" s="66">
        <v>1097.8999999999583</v>
      </c>
      <c r="J481" s="66">
        <v>5792.1</v>
      </c>
    </row>
    <row r="482" spans="2:10">
      <c r="B482" s="90">
        <v>5768.2</v>
      </c>
      <c r="C482" s="90">
        <v>1097.7999999999583</v>
      </c>
      <c r="D482" s="90">
        <v>5792.1</v>
      </c>
      <c r="E482" s="90">
        <v>1097.8999999999583</v>
      </c>
      <c r="G482" s="66">
        <v>1097.8999999999583</v>
      </c>
      <c r="H482" s="66">
        <v>5792.1</v>
      </c>
      <c r="I482" s="66">
        <v>1097.9999999999582</v>
      </c>
      <c r="J482" s="66">
        <v>5816</v>
      </c>
    </row>
    <row r="483" spans="2:10">
      <c r="B483" s="90">
        <v>5792.1</v>
      </c>
      <c r="C483" s="90">
        <v>1097.8999999999583</v>
      </c>
      <c r="D483" s="90">
        <v>5816</v>
      </c>
      <c r="E483" s="90">
        <v>1097.9999999999582</v>
      </c>
      <c r="G483" s="66">
        <v>1097.9999999999582</v>
      </c>
      <c r="H483" s="66">
        <v>5816</v>
      </c>
      <c r="I483" s="66">
        <v>1098.0999999999581</v>
      </c>
      <c r="J483" s="66">
        <v>5840.5</v>
      </c>
    </row>
    <row r="484" spans="2:10">
      <c r="B484" s="90">
        <v>5816</v>
      </c>
      <c r="C484" s="90">
        <v>1097.9999999999582</v>
      </c>
      <c r="D484" s="90">
        <v>5840.5</v>
      </c>
      <c r="E484" s="90">
        <v>1098.0999999999581</v>
      </c>
      <c r="G484" s="66">
        <v>1098.0999999999581</v>
      </c>
      <c r="H484" s="66">
        <v>5840.5</v>
      </c>
      <c r="I484" s="66">
        <v>1098.199999999958</v>
      </c>
      <c r="J484" s="66">
        <v>5865</v>
      </c>
    </row>
    <row r="485" spans="2:10">
      <c r="B485" s="90">
        <v>5840.5</v>
      </c>
      <c r="C485" s="90">
        <v>1098.0999999999581</v>
      </c>
      <c r="D485" s="90">
        <v>5865</v>
      </c>
      <c r="E485" s="90">
        <v>1098.199999999958</v>
      </c>
      <c r="G485" s="66">
        <v>1098.199999999958</v>
      </c>
      <c r="H485" s="66">
        <v>5865</v>
      </c>
      <c r="I485" s="66">
        <v>1098.2999999999579</v>
      </c>
      <c r="J485" s="66">
        <v>5889.5</v>
      </c>
    </row>
    <row r="486" spans="2:10">
      <c r="B486" s="90">
        <v>5865</v>
      </c>
      <c r="C486" s="90">
        <v>1098.199999999958</v>
      </c>
      <c r="D486" s="90">
        <v>5889.5</v>
      </c>
      <c r="E486" s="90">
        <v>1098.2999999999579</v>
      </c>
      <c r="G486" s="66">
        <v>1098.2999999999579</v>
      </c>
      <c r="H486" s="66">
        <v>5889.5</v>
      </c>
      <c r="I486" s="66">
        <v>1098.3999999999578</v>
      </c>
      <c r="J486" s="66">
        <v>5914</v>
      </c>
    </row>
    <row r="487" spans="2:10">
      <c r="B487" s="90">
        <v>5889.5</v>
      </c>
      <c r="C487" s="90">
        <v>1098.2999999999579</v>
      </c>
      <c r="D487" s="90">
        <v>5914</v>
      </c>
      <c r="E487" s="90">
        <v>1098.3999999999578</v>
      </c>
      <c r="G487" s="66">
        <v>1098.3999999999578</v>
      </c>
      <c r="H487" s="66">
        <v>5914</v>
      </c>
      <c r="I487" s="66">
        <v>1098.4999999999577</v>
      </c>
      <c r="J487" s="66">
        <v>5938.5</v>
      </c>
    </row>
    <row r="488" spans="2:10">
      <c r="B488" s="90">
        <v>5914</v>
      </c>
      <c r="C488" s="90">
        <v>1098.3999999999578</v>
      </c>
      <c r="D488" s="90">
        <v>5938.5</v>
      </c>
      <c r="E488" s="90">
        <v>1098.4999999999577</v>
      </c>
      <c r="G488" s="66">
        <v>1098.4999999999577</v>
      </c>
      <c r="H488" s="66">
        <v>5938.5</v>
      </c>
      <c r="I488" s="66">
        <v>1098.5999999999576</v>
      </c>
      <c r="J488" s="66">
        <v>5963</v>
      </c>
    </row>
    <row r="489" spans="2:10">
      <c r="B489" s="90">
        <v>5938.5</v>
      </c>
      <c r="C489" s="90">
        <v>1098.4999999999577</v>
      </c>
      <c r="D489" s="90">
        <v>5963</v>
      </c>
      <c r="E489" s="90">
        <v>1098.5999999999576</v>
      </c>
      <c r="G489" s="66">
        <v>1098.5999999999576</v>
      </c>
      <c r="H489" s="66">
        <v>5963</v>
      </c>
      <c r="I489" s="66">
        <v>1098.6999999999575</v>
      </c>
      <c r="J489" s="66">
        <v>5987.5</v>
      </c>
    </row>
    <row r="490" spans="2:10">
      <c r="B490" s="90">
        <v>5963</v>
      </c>
      <c r="C490" s="90">
        <v>1098.5999999999576</v>
      </c>
      <c r="D490" s="90">
        <v>5987.5</v>
      </c>
      <c r="E490" s="90">
        <v>1098.6999999999575</v>
      </c>
      <c r="G490" s="66">
        <v>1098.6999999999575</v>
      </c>
      <c r="H490" s="66">
        <v>5987.5</v>
      </c>
      <c r="I490" s="66">
        <v>1098.7999999999574</v>
      </c>
      <c r="J490" s="66">
        <v>6012</v>
      </c>
    </row>
    <row r="491" spans="2:10">
      <c r="B491" s="90">
        <v>5987.5</v>
      </c>
      <c r="C491" s="90">
        <v>1098.6999999999575</v>
      </c>
      <c r="D491" s="90">
        <v>6012</v>
      </c>
      <c r="E491" s="90">
        <v>1098.7999999999574</v>
      </c>
      <c r="G491" s="66">
        <v>1098.7999999999574</v>
      </c>
      <c r="H491" s="66">
        <v>6012</v>
      </c>
      <c r="I491" s="66">
        <v>1098.8999999999573</v>
      </c>
      <c r="J491" s="66">
        <v>6036.5</v>
      </c>
    </row>
    <row r="492" spans="2:10">
      <c r="B492" s="90">
        <v>6012</v>
      </c>
      <c r="C492" s="90">
        <v>1098.7999999999574</v>
      </c>
      <c r="D492" s="90">
        <v>6036.5</v>
      </c>
      <c r="E492" s="90">
        <v>1098.8999999999573</v>
      </c>
      <c r="G492" s="66">
        <v>1098.8999999999573</v>
      </c>
      <c r="H492" s="66">
        <v>6036.5</v>
      </c>
      <c r="I492" s="66">
        <v>1098.9999999999573</v>
      </c>
      <c r="J492" s="66">
        <v>6061</v>
      </c>
    </row>
    <row r="493" spans="2:10">
      <c r="B493" s="90">
        <v>6036.5</v>
      </c>
      <c r="C493" s="90">
        <v>1098.8999999999573</v>
      </c>
      <c r="D493" s="90">
        <v>6061</v>
      </c>
      <c r="E493" s="90">
        <v>1098.9999999999573</v>
      </c>
      <c r="G493" s="66">
        <v>1098.9999999999573</v>
      </c>
      <c r="H493" s="66">
        <v>6061</v>
      </c>
      <c r="I493" s="66">
        <v>1099.0999999999572</v>
      </c>
      <c r="J493" s="66">
        <v>6086.2</v>
      </c>
    </row>
    <row r="494" spans="2:10">
      <c r="B494" s="90">
        <v>6061</v>
      </c>
      <c r="C494" s="90">
        <v>1098.9999999999573</v>
      </c>
      <c r="D494" s="90">
        <v>6086.2</v>
      </c>
      <c r="E494" s="90">
        <v>1099.0999999999572</v>
      </c>
      <c r="G494" s="66">
        <v>1099.0999999999572</v>
      </c>
      <c r="H494" s="66">
        <v>6086.2</v>
      </c>
      <c r="I494" s="66">
        <v>1099.1999999999571</v>
      </c>
      <c r="J494" s="66">
        <v>6111.4</v>
      </c>
    </row>
    <row r="495" spans="2:10">
      <c r="B495" s="90">
        <v>6086.2</v>
      </c>
      <c r="C495" s="90">
        <v>1099.0999999999572</v>
      </c>
      <c r="D495" s="90">
        <v>6111.4</v>
      </c>
      <c r="E495" s="90">
        <v>1099.1999999999571</v>
      </c>
      <c r="G495" s="66">
        <v>1099.1999999999571</v>
      </c>
      <c r="H495" s="66">
        <v>6111.4</v>
      </c>
      <c r="I495" s="66">
        <v>1099.299999999957</v>
      </c>
      <c r="J495" s="66">
        <v>6136.6</v>
      </c>
    </row>
    <row r="496" spans="2:10">
      <c r="B496" s="90">
        <v>6111.4</v>
      </c>
      <c r="C496" s="90">
        <v>1099.1999999999571</v>
      </c>
      <c r="D496" s="90">
        <v>6136.6</v>
      </c>
      <c r="E496" s="90">
        <v>1099.299999999957</v>
      </c>
      <c r="G496" s="66">
        <v>1099.299999999957</v>
      </c>
      <c r="H496" s="66">
        <v>6136.6</v>
      </c>
      <c r="I496" s="66">
        <v>1099.3999999999569</v>
      </c>
      <c r="J496" s="66">
        <v>6161.8</v>
      </c>
    </row>
    <row r="497" spans="2:10">
      <c r="B497" s="90">
        <v>6136.6</v>
      </c>
      <c r="C497" s="90">
        <v>1099.299999999957</v>
      </c>
      <c r="D497" s="90">
        <v>6161.8</v>
      </c>
      <c r="E497" s="90">
        <v>1099.3999999999569</v>
      </c>
      <c r="G497" s="66">
        <v>1099.3999999999569</v>
      </c>
      <c r="H497" s="66">
        <v>6161.8</v>
      </c>
      <c r="I497" s="66">
        <v>1099.4999999999568</v>
      </c>
      <c r="J497" s="66">
        <v>6187</v>
      </c>
    </row>
    <row r="498" spans="2:10">
      <c r="B498" s="90">
        <v>6161.8</v>
      </c>
      <c r="C498" s="90">
        <v>1099.3999999999569</v>
      </c>
      <c r="D498" s="90">
        <v>6187</v>
      </c>
      <c r="E498" s="90">
        <v>1099.4999999999568</v>
      </c>
      <c r="G498" s="66">
        <v>1099.4999999999568</v>
      </c>
      <c r="H498" s="66">
        <v>6187</v>
      </c>
      <c r="I498" s="66">
        <v>1099.5999999999567</v>
      </c>
      <c r="J498" s="66">
        <v>6212.2</v>
      </c>
    </row>
    <row r="499" spans="2:10">
      <c r="B499" s="90">
        <v>6187</v>
      </c>
      <c r="C499" s="90">
        <v>1099.4999999999568</v>
      </c>
      <c r="D499" s="90">
        <v>6212.2</v>
      </c>
      <c r="E499" s="90">
        <v>1099.5999999999567</v>
      </c>
      <c r="G499" s="66">
        <v>1099.5999999999567</v>
      </c>
      <c r="H499" s="66">
        <v>6212.2</v>
      </c>
      <c r="I499" s="66">
        <v>1099.6999999999566</v>
      </c>
      <c r="J499" s="66">
        <v>6237.4</v>
      </c>
    </row>
    <row r="500" spans="2:10">
      <c r="B500" s="90">
        <v>6212.2</v>
      </c>
      <c r="C500" s="90">
        <v>1099.5999999999567</v>
      </c>
      <c r="D500" s="90">
        <v>6237.4</v>
      </c>
      <c r="E500" s="90">
        <v>1099.6999999999566</v>
      </c>
      <c r="G500" s="66">
        <v>1099.6999999999566</v>
      </c>
      <c r="H500" s="66">
        <v>6237.4</v>
      </c>
      <c r="I500" s="66">
        <v>1099.7999999999565</v>
      </c>
      <c r="J500" s="66">
        <v>6262.6</v>
      </c>
    </row>
    <row r="501" spans="2:10">
      <c r="B501" s="90">
        <v>6237.4</v>
      </c>
      <c r="C501" s="90">
        <v>1099.6999999999566</v>
      </c>
      <c r="D501" s="90">
        <v>6262.6</v>
      </c>
      <c r="E501" s="90">
        <v>1099.7999999999565</v>
      </c>
      <c r="G501" s="66">
        <v>1099.7999999999565</v>
      </c>
      <c r="H501" s="66">
        <v>6262.6</v>
      </c>
      <c r="I501" s="66">
        <v>1099.8999999999564</v>
      </c>
      <c r="J501" s="66">
        <v>6287.8</v>
      </c>
    </row>
    <row r="502" spans="2:10">
      <c r="B502" s="90">
        <v>6262.6</v>
      </c>
      <c r="C502" s="90">
        <v>1099.7999999999565</v>
      </c>
      <c r="D502" s="90">
        <v>6287.8</v>
      </c>
      <c r="E502" s="90">
        <v>1099.8999999999564</v>
      </c>
      <c r="G502" s="66">
        <v>1099.8999999999564</v>
      </c>
      <c r="H502" s="66">
        <v>6287.8</v>
      </c>
      <c r="I502" s="66">
        <v>1099.9999999999563</v>
      </c>
      <c r="J502" s="66">
        <v>6313</v>
      </c>
    </row>
    <row r="503" spans="2:10">
      <c r="B503" s="90">
        <v>6287.8</v>
      </c>
      <c r="C503" s="90">
        <v>1099.8999999999564</v>
      </c>
      <c r="D503" s="90">
        <v>6313</v>
      </c>
      <c r="E503" s="90">
        <v>1099.9999999999563</v>
      </c>
      <c r="G503" s="66">
        <v>1099.9999999999563</v>
      </c>
      <c r="H503" s="66">
        <v>6313</v>
      </c>
      <c r="I503" s="66">
        <v>1100.0999999999563</v>
      </c>
      <c r="J503" s="66">
        <v>6338.9</v>
      </c>
    </row>
    <row r="504" spans="2:10">
      <c r="B504" s="90">
        <v>6313</v>
      </c>
      <c r="C504" s="90">
        <v>1099.9999999999563</v>
      </c>
      <c r="D504" s="90">
        <v>6338.9</v>
      </c>
      <c r="E504" s="90">
        <v>1100.0999999999563</v>
      </c>
      <c r="G504" s="66">
        <v>1100.0999999999563</v>
      </c>
      <c r="H504" s="66">
        <v>6338.9</v>
      </c>
      <c r="I504" s="66">
        <v>1100.1999999999562</v>
      </c>
      <c r="J504" s="66">
        <v>6364.8</v>
      </c>
    </row>
    <row r="505" spans="2:10">
      <c r="B505" s="90">
        <v>6338.9</v>
      </c>
      <c r="C505" s="90">
        <v>1100.0999999999563</v>
      </c>
      <c r="D505" s="90">
        <v>6364.8</v>
      </c>
      <c r="E505" s="90">
        <v>1100.1999999999562</v>
      </c>
      <c r="G505" s="66">
        <v>1100.1999999999562</v>
      </c>
      <c r="H505" s="66">
        <v>6364.8</v>
      </c>
      <c r="I505" s="66">
        <v>1100.2999999999561</v>
      </c>
      <c r="J505" s="66">
        <v>6390.7</v>
      </c>
    </row>
    <row r="506" spans="2:10">
      <c r="B506" s="90">
        <v>6364.8</v>
      </c>
      <c r="C506" s="90">
        <v>1100.1999999999562</v>
      </c>
      <c r="D506" s="90">
        <v>6390.7</v>
      </c>
      <c r="E506" s="90">
        <v>1100.2999999999561</v>
      </c>
      <c r="G506" s="66">
        <v>1100.2999999999561</v>
      </c>
      <c r="H506" s="66">
        <v>6390.7</v>
      </c>
      <c r="I506" s="66">
        <v>1100.399999999956</v>
      </c>
      <c r="J506" s="66">
        <v>6416.6</v>
      </c>
    </row>
    <row r="507" spans="2:10">
      <c r="B507" s="90">
        <v>6390.7</v>
      </c>
      <c r="C507" s="90">
        <v>1100.2999999999561</v>
      </c>
      <c r="D507" s="90">
        <v>6416.6</v>
      </c>
      <c r="E507" s="90">
        <v>1100.399999999956</v>
      </c>
      <c r="G507" s="66">
        <v>1100.399999999956</v>
      </c>
      <c r="H507" s="66">
        <v>6416.6</v>
      </c>
      <c r="I507" s="66">
        <v>1100.4999999999559</v>
      </c>
      <c r="J507" s="66">
        <v>6442.5</v>
      </c>
    </row>
    <row r="508" spans="2:10">
      <c r="B508" s="90">
        <v>6416.6</v>
      </c>
      <c r="C508" s="90">
        <v>1100.399999999956</v>
      </c>
      <c r="D508" s="90">
        <v>6442.5</v>
      </c>
      <c r="E508" s="90">
        <v>1100.4999999999559</v>
      </c>
      <c r="G508" s="66">
        <v>1100.4999999999559</v>
      </c>
      <c r="H508" s="66">
        <v>6442.5</v>
      </c>
      <c r="I508" s="66">
        <v>1100.5999999999558</v>
      </c>
      <c r="J508" s="66">
        <v>6468.4</v>
      </c>
    </row>
    <row r="509" spans="2:10">
      <c r="B509" s="90">
        <v>6442.5</v>
      </c>
      <c r="C509" s="90">
        <v>1100.4999999999559</v>
      </c>
      <c r="D509" s="90">
        <v>6468.4</v>
      </c>
      <c r="E509" s="90">
        <v>1100.5999999999558</v>
      </c>
      <c r="G509" s="66">
        <v>1100.5999999999558</v>
      </c>
      <c r="H509" s="66">
        <v>6468.4</v>
      </c>
      <c r="I509" s="66">
        <v>1100.6999999999557</v>
      </c>
      <c r="J509" s="66">
        <v>6494.3</v>
      </c>
    </row>
    <row r="510" spans="2:10">
      <c r="B510" s="90">
        <v>6468.4</v>
      </c>
      <c r="C510" s="90">
        <v>1100.5999999999558</v>
      </c>
      <c r="D510" s="90">
        <v>6494.3</v>
      </c>
      <c r="E510" s="90">
        <v>1100.6999999999557</v>
      </c>
      <c r="G510" s="66">
        <v>1100.6999999999557</v>
      </c>
      <c r="H510" s="66">
        <v>6494.3</v>
      </c>
      <c r="I510" s="66">
        <v>1100.7999999999556</v>
      </c>
      <c r="J510" s="66">
        <v>6520.2</v>
      </c>
    </row>
    <row r="511" spans="2:10">
      <c r="B511" s="90">
        <v>6494.3</v>
      </c>
      <c r="C511" s="90">
        <v>1100.6999999999557</v>
      </c>
      <c r="D511" s="90">
        <v>6520.2</v>
      </c>
      <c r="E511" s="90">
        <v>1100.7999999999556</v>
      </c>
      <c r="G511" s="66">
        <v>1100.7999999999556</v>
      </c>
      <c r="H511" s="66">
        <v>6520.2</v>
      </c>
      <c r="I511" s="66">
        <v>1100.8999999999555</v>
      </c>
      <c r="J511" s="66">
        <v>6546.1</v>
      </c>
    </row>
    <row r="512" spans="2:10">
      <c r="B512" s="90">
        <v>6520.2</v>
      </c>
      <c r="C512" s="90">
        <v>1100.7999999999556</v>
      </c>
      <c r="D512" s="90">
        <v>6546.1</v>
      </c>
      <c r="E512" s="90">
        <v>1100.8999999999555</v>
      </c>
      <c r="G512" s="66">
        <v>1100.8999999999555</v>
      </c>
      <c r="H512" s="66">
        <v>6546.1</v>
      </c>
      <c r="I512" s="66">
        <v>1100.9999999999554</v>
      </c>
      <c r="J512" s="66">
        <v>6572</v>
      </c>
    </row>
    <row r="513" spans="2:10">
      <c r="B513" s="90">
        <v>6546.1</v>
      </c>
      <c r="C513" s="90">
        <v>1100.8999999999555</v>
      </c>
      <c r="D513" s="90">
        <v>6572</v>
      </c>
      <c r="E513" s="90">
        <v>1100.9999999999554</v>
      </c>
      <c r="G513" s="66">
        <v>1100.9999999999554</v>
      </c>
      <c r="H513" s="66">
        <v>6572</v>
      </c>
      <c r="I513" s="66">
        <v>1101.0999999999553</v>
      </c>
      <c r="J513" s="66">
        <v>6598.6</v>
      </c>
    </row>
    <row r="514" spans="2:10">
      <c r="B514" s="90">
        <v>6572</v>
      </c>
      <c r="C514" s="90">
        <v>1100.9999999999554</v>
      </c>
      <c r="D514" s="90">
        <v>6598.6</v>
      </c>
      <c r="E514" s="90">
        <v>1101.0999999999553</v>
      </c>
      <c r="G514" s="66">
        <v>1101.0999999999553</v>
      </c>
      <c r="H514" s="66">
        <v>6598.6</v>
      </c>
      <c r="I514" s="66">
        <v>1101.1999999999553</v>
      </c>
      <c r="J514" s="66">
        <v>6625.2</v>
      </c>
    </row>
    <row r="515" spans="2:10">
      <c r="B515" s="90">
        <v>6598.6</v>
      </c>
      <c r="C515" s="90">
        <v>1101.0999999999553</v>
      </c>
      <c r="D515" s="90">
        <v>6625.2</v>
      </c>
      <c r="E515" s="90">
        <v>1101.1999999999553</v>
      </c>
      <c r="G515" s="66">
        <v>1101.1999999999553</v>
      </c>
      <c r="H515" s="66">
        <v>6625.2</v>
      </c>
      <c r="I515" s="66">
        <v>1101.2999999999552</v>
      </c>
      <c r="J515" s="66">
        <v>6651.8</v>
      </c>
    </row>
    <row r="516" spans="2:10">
      <c r="B516" s="90">
        <v>6625.2</v>
      </c>
      <c r="C516" s="90">
        <v>1101.1999999999553</v>
      </c>
      <c r="D516" s="90">
        <v>6651.8</v>
      </c>
      <c r="E516" s="90">
        <v>1101.2999999999552</v>
      </c>
      <c r="G516" s="66">
        <v>1101.2999999999552</v>
      </c>
      <c r="H516" s="66">
        <v>6651.8</v>
      </c>
      <c r="I516" s="66">
        <v>1101.3999999999551</v>
      </c>
      <c r="J516" s="66">
        <v>6678.4</v>
      </c>
    </row>
    <row r="517" spans="2:10">
      <c r="B517" s="90">
        <v>6651.8</v>
      </c>
      <c r="C517" s="90">
        <v>1101.2999999999552</v>
      </c>
      <c r="D517" s="90">
        <v>6678.4</v>
      </c>
      <c r="E517" s="90">
        <v>1101.3999999999551</v>
      </c>
      <c r="G517" s="66">
        <v>1101.3999999999551</v>
      </c>
      <c r="H517" s="66">
        <v>6678.4</v>
      </c>
      <c r="I517" s="66">
        <v>1101.499999999955</v>
      </c>
      <c r="J517" s="66">
        <v>6705</v>
      </c>
    </row>
    <row r="518" spans="2:10">
      <c r="B518" s="90">
        <v>6678.4</v>
      </c>
      <c r="C518" s="90">
        <v>1101.3999999999551</v>
      </c>
      <c r="D518" s="90">
        <v>6705</v>
      </c>
      <c r="E518" s="90">
        <v>1101.499999999955</v>
      </c>
      <c r="G518" s="66">
        <v>1101.499999999955</v>
      </c>
      <c r="H518" s="66">
        <v>6705</v>
      </c>
      <c r="I518" s="66">
        <v>1101.5999999999549</v>
      </c>
      <c r="J518" s="66">
        <v>6731.6</v>
      </c>
    </row>
    <row r="519" spans="2:10">
      <c r="B519" s="90">
        <v>6705</v>
      </c>
      <c r="C519" s="90">
        <v>1101.499999999955</v>
      </c>
      <c r="D519" s="90">
        <v>6731.6</v>
      </c>
      <c r="E519" s="90">
        <v>1101.5999999999549</v>
      </c>
      <c r="G519" s="66">
        <v>1101.5999999999549</v>
      </c>
      <c r="H519" s="66">
        <v>6731.6</v>
      </c>
      <c r="I519" s="66">
        <v>1101.6999999999548</v>
      </c>
      <c r="J519" s="66">
        <v>6758.2</v>
      </c>
    </row>
    <row r="520" spans="2:10">
      <c r="B520" s="90">
        <v>6731.6</v>
      </c>
      <c r="C520" s="90">
        <v>1101.5999999999549</v>
      </c>
      <c r="D520" s="90">
        <v>6758.2</v>
      </c>
      <c r="E520" s="90">
        <v>1101.6999999999548</v>
      </c>
      <c r="G520" s="66">
        <v>1101.6999999999548</v>
      </c>
      <c r="H520" s="66">
        <v>6758.2</v>
      </c>
      <c r="I520" s="66">
        <v>1101.7999999999547</v>
      </c>
      <c r="J520" s="66">
        <v>6784.8</v>
      </c>
    </row>
    <row r="521" spans="2:10">
      <c r="B521" s="90">
        <v>6758.2</v>
      </c>
      <c r="C521" s="90">
        <v>1101.6999999999548</v>
      </c>
      <c r="D521" s="90">
        <v>6784.8</v>
      </c>
      <c r="E521" s="90">
        <v>1101.7999999999547</v>
      </c>
      <c r="G521" s="66">
        <v>1101.7999999999547</v>
      </c>
      <c r="H521" s="66">
        <v>6784.8</v>
      </c>
      <c r="I521" s="66">
        <v>1101.8999999999546</v>
      </c>
      <c r="J521" s="66">
        <v>6811.4</v>
      </c>
    </row>
    <row r="522" spans="2:10">
      <c r="B522" s="90">
        <v>6784.8</v>
      </c>
      <c r="C522" s="90">
        <v>1101.7999999999547</v>
      </c>
      <c r="D522" s="90">
        <v>6811.4</v>
      </c>
      <c r="E522" s="90">
        <v>1101.8999999999546</v>
      </c>
      <c r="G522" s="66">
        <v>1101.8999999999546</v>
      </c>
      <c r="H522" s="66">
        <v>6811.4</v>
      </c>
      <c r="I522" s="66">
        <v>1101.9999999999545</v>
      </c>
      <c r="J522" s="66">
        <v>6838</v>
      </c>
    </row>
    <row r="523" spans="2:10">
      <c r="B523" s="90">
        <v>6811.4</v>
      </c>
      <c r="C523" s="90">
        <v>1101.8999999999546</v>
      </c>
      <c r="D523" s="90">
        <v>6838</v>
      </c>
      <c r="E523" s="90">
        <v>1101.9999999999545</v>
      </c>
      <c r="G523" s="66">
        <v>1101.9999999999545</v>
      </c>
      <c r="H523" s="66">
        <v>6838</v>
      </c>
      <c r="I523" s="66">
        <v>1102.0999999999544</v>
      </c>
      <c r="J523" s="66">
        <v>6865.5</v>
      </c>
    </row>
    <row r="524" spans="2:10">
      <c r="B524" s="90">
        <v>6838</v>
      </c>
      <c r="C524" s="90">
        <v>1101.9999999999545</v>
      </c>
      <c r="D524" s="90">
        <v>6865.5</v>
      </c>
      <c r="E524" s="90">
        <v>1102.0999999999544</v>
      </c>
      <c r="G524" s="66">
        <v>1102.0999999999544</v>
      </c>
      <c r="H524" s="66">
        <v>6865.5</v>
      </c>
      <c r="I524" s="66">
        <v>1102.1999999999543</v>
      </c>
      <c r="J524" s="66">
        <v>6893</v>
      </c>
    </row>
    <row r="525" spans="2:10">
      <c r="B525" s="90">
        <v>6865.5</v>
      </c>
      <c r="C525" s="90">
        <v>1102.0999999999544</v>
      </c>
      <c r="D525" s="90">
        <v>6893</v>
      </c>
      <c r="E525" s="90">
        <v>1102.1999999999543</v>
      </c>
      <c r="G525" s="66">
        <v>1102.1999999999543</v>
      </c>
      <c r="H525" s="66">
        <v>6893</v>
      </c>
      <c r="I525" s="66">
        <v>1102.2999999999543</v>
      </c>
      <c r="J525" s="66">
        <v>6920.5</v>
      </c>
    </row>
    <row r="526" spans="2:10">
      <c r="B526" s="90">
        <v>6893</v>
      </c>
      <c r="C526" s="90">
        <v>1102.1999999999543</v>
      </c>
      <c r="D526" s="90">
        <v>6920.5</v>
      </c>
      <c r="E526" s="90">
        <v>1102.2999999999543</v>
      </c>
      <c r="G526" s="66">
        <v>1102.2999999999543</v>
      </c>
      <c r="H526" s="66">
        <v>6920.5</v>
      </c>
      <c r="I526" s="66">
        <v>1102.3999999999542</v>
      </c>
      <c r="J526" s="66">
        <v>6948</v>
      </c>
    </row>
    <row r="527" spans="2:10">
      <c r="B527" s="90">
        <v>6920.5</v>
      </c>
      <c r="C527" s="90">
        <v>1102.2999999999543</v>
      </c>
      <c r="D527" s="90">
        <v>6948</v>
      </c>
      <c r="E527" s="90">
        <v>1102.3999999999542</v>
      </c>
      <c r="G527" s="66">
        <v>1102.3999999999542</v>
      </c>
      <c r="H527" s="66">
        <v>6948</v>
      </c>
      <c r="I527" s="66">
        <v>1102.4999999999541</v>
      </c>
      <c r="J527" s="66">
        <v>6975.5</v>
      </c>
    </row>
    <row r="528" spans="2:10">
      <c r="B528" s="90">
        <v>6948</v>
      </c>
      <c r="C528" s="90">
        <v>1102.3999999999542</v>
      </c>
      <c r="D528" s="90">
        <v>6975.5</v>
      </c>
      <c r="E528" s="90">
        <v>1102.4999999999541</v>
      </c>
      <c r="G528" s="66">
        <v>1102.4999999999541</v>
      </c>
      <c r="H528" s="66">
        <v>6975.5</v>
      </c>
      <c r="I528" s="66">
        <v>1102.599999999954</v>
      </c>
      <c r="J528" s="66">
        <v>7003</v>
      </c>
    </row>
    <row r="529" spans="2:10">
      <c r="B529" s="90">
        <v>6975.5</v>
      </c>
      <c r="C529" s="90">
        <v>1102.4999999999541</v>
      </c>
      <c r="D529" s="90">
        <v>7003</v>
      </c>
      <c r="E529" s="90">
        <v>1102.599999999954</v>
      </c>
      <c r="G529" s="66">
        <v>1102.599999999954</v>
      </c>
      <c r="H529" s="66">
        <v>7003</v>
      </c>
      <c r="I529" s="66">
        <v>1102.6999999999539</v>
      </c>
      <c r="J529" s="66">
        <v>7030.5</v>
      </c>
    </row>
    <row r="530" spans="2:10">
      <c r="B530" s="90">
        <v>7003</v>
      </c>
      <c r="C530" s="90">
        <v>1102.599999999954</v>
      </c>
      <c r="D530" s="90">
        <v>7030.5</v>
      </c>
      <c r="E530" s="90">
        <v>1102.6999999999539</v>
      </c>
      <c r="G530" s="66">
        <v>1102.6999999999539</v>
      </c>
      <c r="H530" s="66">
        <v>7030.5</v>
      </c>
      <c r="I530" s="66">
        <v>1102.7999999999538</v>
      </c>
      <c r="J530" s="66">
        <v>7058</v>
      </c>
    </row>
    <row r="531" spans="2:10">
      <c r="B531" s="90">
        <v>7030.5</v>
      </c>
      <c r="C531" s="90">
        <v>1102.6999999999539</v>
      </c>
      <c r="D531" s="90">
        <v>7058</v>
      </c>
      <c r="E531" s="90">
        <v>1102.7999999999538</v>
      </c>
      <c r="G531" s="66">
        <v>1102.7999999999538</v>
      </c>
      <c r="H531" s="66">
        <v>7058</v>
      </c>
      <c r="I531" s="66">
        <v>1102.8999999999537</v>
      </c>
      <c r="J531" s="66">
        <v>7085.5</v>
      </c>
    </row>
    <row r="532" spans="2:10">
      <c r="B532" s="90">
        <v>7058</v>
      </c>
      <c r="C532" s="90">
        <v>1102.7999999999538</v>
      </c>
      <c r="D532" s="90">
        <v>7085.5</v>
      </c>
      <c r="E532" s="90">
        <v>1102.8999999999537</v>
      </c>
      <c r="G532" s="66">
        <v>1102.8999999999537</v>
      </c>
      <c r="H532" s="66">
        <v>7085.5</v>
      </c>
      <c r="I532" s="66">
        <v>1102.9999999999536</v>
      </c>
      <c r="J532" s="66">
        <v>7113</v>
      </c>
    </row>
    <row r="533" spans="2:10">
      <c r="B533" s="90">
        <v>7085.5</v>
      </c>
      <c r="C533" s="90">
        <v>1102.8999999999537</v>
      </c>
      <c r="D533" s="90">
        <v>7113</v>
      </c>
      <c r="E533" s="90">
        <v>1102.9999999999536</v>
      </c>
      <c r="G533" s="66">
        <v>1102.9999999999536</v>
      </c>
      <c r="H533" s="66">
        <v>7113</v>
      </c>
      <c r="I533" s="66">
        <v>1103.0999999999535</v>
      </c>
      <c r="J533" s="66">
        <v>7141.3</v>
      </c>
    </row>
    <row r="534" spans="2:10">
      <c r="B534" s="90">
        <v>7113</v>
      </c>
      <c r="C534" s="90">
        <v>1102.9999999999536</v>
      </c>
      <c r="D534" s="90">
        <v>7141.3</v>
      </c>
      <c r="E534" s="90">
        <v>1103.0999999999535</v>
      </c>
      <c r="G534" s="66">
        <v>1103.0999999999535</v>
      </c>
      <c r="H534" s="66">
        <v>7141.3</v>
      </c>
      <c r="I534" s="66">
        <v>1103.1999999999534</v>
      </c>
      <c r="J534" s="66">
        <v>7169.6</v>
      </c>
    </row>
    <row r="535" spans="2:10">
      <c r="B535" s="90">
        <v>7141.3</v>
      </c>
      <c r="C535" s="90">
        <v>1103.0999999999535</v>
      </c>
      <c r="D535" s="90">
        <v>7169.6</v>
      </c>
      <c r="E535" s="90">
        <v>1103.1999999999534</v>
      </c>
      <c r="G535" s="66">
        <v>1103.1999999999534</v>
      </c>
      <c r="H535" s="66">
        <v>7169.6</v>
      </c>
      <c r="I535" s="66">
        <v>1103.2999999999533</v>
      </c>
      <c r="J535" s="66">
        <v>7197.9</v>
      </c>
    </row>
    <row r="536" spans="2:10">
      <c r="B536" s="90">
        <v>7169.6</v>
      </c>
      <c r="C536" s="90">
        <v>1103.1999999999534</v>
      </c>
      <c r="D536" s="90">
        <v>7197.9</v>
      </c>
      <c r="E536" s="90">
        <v>1103.2999999999533</v>
      </c>
      <c r="G536" s="66">
        <v>1103.2999999999533</v>
      </c>
      <c r="H536" s="66">
        <v>7197.9</v>
      </c>
      <c r="I536" s="66">
        <v>1103.3999999999533</v>
      </c>
      <c r="J536" s="66">
        <v>7226.2</v>
      </c>
    </row>
    <row r="537" spans="2:10">
      <c r="B537" s="90">
        <v>7197.9</v>
      </c>
      <c r="C537" s="90">
        <v>1103.2999999999533</v>
      </c>
      <c r="D537" s="90">
        <v>7226.2</v>
      </c>
      <c r="E537" s="90">
        <v>1103.3999999999533</v>
      </c>
      <c r="G537" s="66">
        <v>1103.3999999999533</v>
      </c>
      <c r="H537" s="66">
        <v>7226.2</v>
      </c>
      <c r="I537" s="66">
        <v>1103.4999999999532</v>
      </c>
      <c r="J537" s="66">
        <v>7254.5</v>
      </c>
    </row>
    <row r="538" spans="2:10">
      <c r="B538" s="90">
        <v>7226.2</v>
      </c>
      <c r="C538" s="90">
        <v>1103.3999999999533</v>
      </c>
      <c r="D538" s="90">
        <v>7254.5</v>
      </c>
      <c r="E538" s="90">
        <v>1103.4999999999532</v>
      </c>
      <c r="G538" s="66">
        <v>1103.4999999999532</v>
      </c>
      <c r="H538" s="66">
        <v>7254.5</v>
      </c>
      <c r="I538" s="66">
        <v>1103.5999999999531</v>
      </c>
      <c r="J538" s="66">
        <v>7282.8</v>
      </c>
    </row>
    <row r="539" spans="2:10">
      <c r="B539" s="90">
        <v>7254.5</v>
      </c>
      <c r="C539" s="90">
        <v>1103.4999999999532</v>
      </c>
      <c r="D539" s="90">
        <v>7282.8</v>
      </c>
      <c r="E539" s="90">
        <v>1103.5999999999531</v>
      </c>
      <c r="G539" s="66">
        <v>1103.5999999999531</v>
      </c>
      <c r="H539" s="66">
        <v>7282.8</v>
      </c>
      <c r="I539" s="66">
        <v>1103.699999999953</v>
      </c>
      <c r="J539" s="66">
        <v>7311.1</v>
      </c>
    </row>
    <row r="540" spans="2:10">
      <c r="B540" s="90">
        <v>7282.8</v>
      </c>
      <c r="C540" s="90">
        <v>1103.5999999999531</v>
      </c>
      <c r="D540" s="90">
        <v>7311.1</v>
      </c>
      <c r="E540" s="90">
        <v>1103.699999999953</v>
      </c>
      <c r="G540" s="66">
        <v>1103.699999999953</v>
      </c>
      <c r="H540" s="66">
        <v>7311.1</v>
      </c>
      <c r="I540" s="66">
        <v>1103.7999999999529</v>
      </c>
      <c r="J540" s="66">
        <v>7339.4</v>
      </c>
    </row>
    <row r="541" spans="2:10">
      <c r="B541" s="90">
        <v>7311.1</v>
      </c>
      <c r="C541" s="90">
        <v>1103.699999999953</v>
      </c>
      <c r="D541" s="90">
        <v>7339.4</v>
      </c>
      <c r="E541" s="90">
        <v>1103.7999999999529</v>
      </c>
      <c r="G541" s="66">
        <v>1103.7999999999529</v>
      </c>
      <c r="H541" s="66">
        <v>7339.4</v>
      </c>
      <c r="I541" s="66">
        <v>1103.8999999999528</v>
      </c>
      <c r="J541" s="66">
        <v>7367.7</v>
      </c>
    </row>
    <row r="542" spans="2:10">
      <c r="B542" s="90">
        <v>7339.4</v>
      </c>
      <c r="C542" s="90">
        <v>1103.7999999999529</v>
      </c>
      <c r="D542" s="90">
        <v>7367.7</v>
      </c>
      <c r="E542" s="90">
        <v>1103.8999999999528</v>
      </c>
      <c r="G542" s="66">
        <v>1103.8999999999528</v>
      </c>
      <c r="H542" s="66">
        <v>7367.7</v>
      </c>
      <c r="I542" s="66">
        <v>1103.9999999999527</v>
      </c>
      <c r="J542" s="66">
        <v>7396</v>
      </c>
    </row>
    <row r="543" spans="2:10">
      <c r="B543" s="90">
        <v>7367.7</v>
      </c>
      <c r="C543" s="90">
        <v>1103.8999999999528</v>
      </c>
      <c r="D543" s="90">
        <v>7396</v>
      </c>
      <c r="E543" s="90">
        <v>1103.9999999999527</v>
      </c>
      <c r="G543" s="66">
        <v>1103.9999999999527</v>
      </c>
      <c r="H543" s="66">
        <v>7396</v>
      </c>
      <c r="I543" s="66">
        <v>1104.0999999999526</v>
      </c>
      <c r="J543" s="66">
        <v>7425.1</v>
      </c>
    </row>
    <row r="544" spans="2:10">
      <c r="B544" s="90">
        <v>7396</v>
      </c>
      <c r="C544" s="90">
        <v>1103.9999999999527</v>
      </c>
      <c r="D544" s="90">
        <v>7425.1</v>
      </c>
      <c r="E544" s="90">
        <v>1104.0999999999526</v>
      </c>
      <c r="G544" s="66">
        <v>1104.0999999999526</v>
      </c>
      <c r="H544" s="66">
        <v>7425.1</v>
      </c>
      <c r="I544" s="66">
        <v>1104.1999999999525</v>
      </c>
      <c r="J544" s="66">
        <v>7454.2</v>
      </c>
    </row>
    <row r="545" spans="2:10">
      <c r="B545" s="90">
        <v>7425.1</v>
      </c>
      <c r="C545" s="90">
        <v>1104.0999999999526</v>
      </c>
      <c r="D545" s="90">
        <v>7454.2</v>
      </c>
      <c r="E545" s="90">
        <v>1104.1999999999525</v>
      </c>
      <c r="G545" s="66">
        <v>1104.1999999999525</v>
      </c>
      <c r="H545" s="66">
        <v>7454.2</v>
      </c>
      <c r="I545" s="66">
        <v>1104.2999999999524</v>
      </c>
      <c r="J545" s="66">
        <v>7483.3</v>
      </c>
    </row>
    <row r="546" spans="2:10">
      <c r="B546" s="90">
        <v>7454.2</v>
      </c>
      <c r="C546" s="90">
        <v>1104.1999999999525</v>
      </c>
      <c r="D546" s="90">
        <v>7483.3</v>
      </c>
      <c r="E546" s="90">
        <v>1104.2999999999524</v>
      </c>
      <c r="G546" s="66">
        <v>1104.2999999999524</v>
      </c>
      <c r="H546" s="66">
        <v>7483.3</v>
      </c>
      <c r="I546" s="66">
        <v>1104.3999999999523</v>
      </c>
      <c r="J546" s="66">
        <v>7512.4</v>
      </c>
    </row>
    <row r="547" spans="2:10">
      <c r="B547" s="90">
        <v>7483.3</v>
      </c>
      <c r="C547" s="90">
        <v>1104.2999999999524</v>
      </c>
      <c r="D547" s="90">
        <v>7512.4</v>
      </c>
      <c r="E547" s="90">
        <v>1104.3999999999523</v>
      </c>
      <c r="G547" s="66">
        <v>1104.3999999999523</v>
      </c>
      <c r="H547" s="66">
        <v>7512.4</v>
      </c>
      <c r="I547" s="66">
        <v>1104.4999999999523</v>
      </c>
      <c r="J547" s="66">
        <v>7541.5</v>
      </c>
    </row>
    <row r="548" spans="2:10">
      <c r="B548" s="90">
        <v>7512.4</v>
      </c>
      <c r="C548" s="90">
        <v>1104.3999999999523</v>
      </c>
      <c r="D548" s="90">
        <v>7541.5</v>
      </c>
      <c r="E548" s="90">
        <v>1104.4999999999523</v>
      </c>
      <c r="G548" s="66">
        <v>1104.4999999999523</v>
      </c>
      <c r="H548" s="66">
        <v>7541.5</v>
      </c>
      <c r="I548" s="66">
        <v>1104.5999999999522</v>
      </c>
      <c r="J548" s="66">
        <v>7570.6</v>
      </c>
    </row>
    <row r="549" spans="2:10">
      <c r="B549" s="90">
        <v>7541.5</v>
      </c>
      <c r="C549" s="90">
        <v>1104.4999999999523</v>
      </c>
      <c r="D549" s="90">
        <v>7570.6</v>
      </c>
      <c r="E549" s="90">
        <v>1104.5999999999522</v>
      </c>
      <c r="G549" s="66">
        <v>1104.5999999999522</v>
      </c>
      <c r="H549" s="66">
        <v>7570.6</v>
      </c>
      <c r="I549" s="66">
        <v>1104.6999999999521</v>
      </c>
      <c r="J549" s="66">
        <v>7599.7</v>
      </c>
    </row>
    <row r="550" spans="2:10">
      <c r="B550" s="90">
        <v>7570.6</v>
      </c>
      <c r="C550" s="90">
        <v>1104.5999999999522</v>
      </c>
      <c r="D550" s="90">
        <v>7599.7</v>
      </c>
      <c r="E550" s="90">
        <v>1104.6999999999521</v>
      </c>
      <c r="G550" s="66">
        <v>1104.6999999999521</v>
      </c>
      <c r="H550" s="66">
        <v>7599.7</v>
      </c>
      <c r="I550" s="66">
        <v>1104.799999999952</v>
      </c>
      <c r="J550" s="66">
        <v>7628.8</v>
      </c>
    </row>
    <row r="551" spans="2:10">
      <c r="B551" s="90">
        <v>7599.7</v>
      </c>
      <c r="C551" s="90">
        <v>1104.6999999999521</v>
      </c>
      <c r="D551" s="90">
        <v>7628.8</v>
      </c>
      <c r="E551" s="90">
        <v>1104.799999999952</v>
      </c>
      <c r="G551" s="66">
        <v>1104.799999999952</v>
      </c>
      <c r="H551" s="66">
        <v>7628.8</v>
      </c>
      <c r="I551" s="66">
        <v>1104.8999999999519</v>
      </c>
      <c r="J551" s="66">
        <v>7657.9</v>
      </c>
    </row>
    <row r="552" spans="2:10">
      <c r="B552" s="90">
        <v>7628.8</v>
      </c>
      <c r="C552" s="90">
        <v>1104.799999999952</v>
      </c>
      <c r="D552" s="90">
        <v>7657.9</v>
      </c>
      <c r="E552" s="90">
        <v>1104.8999999999519</v>
      </c>
      <c r="G552" s="66">
        <v>1104.8999999999519</v>
      </c>
      <c r="H552" s="66">
        <v>7657.9</v>
      </c>
      <c r="I552" s="66">
        <v>1104.9999999999518</v>
      </c>
      <c r="J552" s="66">
        <v>7687</v>
      </c>
    </row>
    <row r="553" spans="2:10">
      <c r="B553" s="90">
        <v>7657.9</v>
      </c>
      <c r="C553" s="90">
        <v>1104.8999999999519</v>
      </c>
      <c r="D553" s="90">
        <v>7687</v>
      </c>
      <c r="E553" s="90">
        <v>1104.9999999999518</v>
      </c>
      <c r="G553" s="66">
        <v>1104.9999999999518</v>
      </c>
      <c r="H553" s="66">
        <v>7687</v>
      </c>
      <c r="I553" s="66">
        <v>1105.0999999999517</v>
      </c>
      <c r="J553" s="66">
        <v>7717</v>
      </c>
    </row>
    <row r="554" spans="2:10">
      <c r="B554" s="90">
        <v>7687</v>
      </c>
      <c r="C554" s="90">
        <v>1104.9999999999518</v>
      </c>
      <c r="D554" s="90">
        <v>7717</v>
      </c>
      <c r="E554" s="90">
        <v>1105.0999999999517</v>
      </c>
      <c r="G554" s="66">
        <v>1105.0999999999517</v>
      </c>
      <c r="H554" s="66">
        <v>7717</v>
      </c>
      <c r="I554" s="66">
        <v>1105.1999999999516</v>
      </c>
      <c r="J554" s="66">
        <v>7747</v>
      </c>
    </row>
    <row r="555" spans="2:10">
      <c r="B555" s="90">
        <v>7717</v>
      </c>
      <c r="C555" s="90">
        <v>1105.0999999999517</v>
      </c>
      <c r="D555" s="90">
        <v>7747</v>
      </c>
      <c r="E555" s="90">
        <v>1105.1999999999516</v>
      </c>
      <c r="G555" s="66">
        <v>1105.1999999999516</v>
      </c>
      <c r="H555" s="66">
        <v>7747</v>
      </c>
      <c r="I555" s="66">
        <v>1105.2999999999515</v>
      </c>
      <c r="J555" s="66">
        <v>7777</v>
      </c>
    </row>
    <row r="556" spans="2:10">
      <c r="B556" s="90">
        <v>7747</v>
      </c>
      <c r="C556" s="90">
        <v>1105.1999999999516</v>
      </c>
      <c r="D556" s="90">
        <v>7777</v>
      </c>
      <c r="E556" s="90">
        <v>1105.2999999999515</v>
      </c>
      <c r="G556" s="66">
        <v>1105.2999999999515</v>
      </c>
      <c r="H556" s="66">
        <v>7777</v>
      </c>
      <c r="I556" s="66">
        <v>1105.3999999999514</v>
      </c>
      <c r="J556" s="66">
        <v>7807</v>
      </c>
    </row>
    <row r="557" spans="2:10">
      <c r="B557" s="90">
        <v>7777</v>
      </c>
      <c r="C557" s="90">
        <v>1105.2999999999515</v>
      </c>
      <c r="D557" s="90">
        <v>7807</v>
      </c>
      <c r="E557" s="90">
        <v>1105.3999999999514</v>
      </c>
      <c r="G557" s="66">
        <v>1105.3999999999514</v>
      </c>
      <c r="H557" s="66">
        <v>7807</v>
      </c>
      <c r="I557" s="66">
        <v>1105.4999999999513</v>
      </c>
      <c r="J557" s="66">
        <v>7837</v>
      </c>
    </row>
    <row r="558" spans="2:10">
      <c r="B558" s="90">
        <v>7807</v>
      </c>
      <c r="C558" s="90">
        <v>1105.3999999999514</v>
      </c>
      <c r="D558" s="90">
        <v>7837</v>
      </c>
      <c r="E558" s="90">
        <v>1105.4999999999513</v>
      </c>
      <c r="G558" s="66">
        <v>1105.4999999999513</v>
      </c>
      <c r="H558" s="66">
        <v>7837</v>
      </c>
      <c r="I558" s="66">
        <v>1105.5999999999513</v>
      </c>
      <c r="J558" s="66">
        <v>7867</v>
      </c>
    </row>
    <row r="559" spans="2:10">
      <c r="B559" s="90">
        <v>7837</v>
      </c>
      <c r="C559" s="90">
        <v>1105.4999999999513</v>
      </c>
      <c r="D559" s="90">
        <v>7867</v>
      </c>
      <c r="E559" s="90">
        <v>1105.5999999999513</v>
      </c>
      <c r="G559" s="66">
        <v>1105.5999999999513</v>
      </c>
      <c r="H559" s="66">
        <v>7867</v>
      </c>
      <c r="I559" s="66">
        <v>1105.6999999999512</v>
      </c>
      <c r="J559" s="66">
        <v>7897</v>
      </c>
    </row>
    <row r="560" spans="2:10">
      <c r="B560" s="90">
        <v>7867</v>
      </c>
      <c r="C560" s="90">
        <v>1105.5999999999513</v>
      </c>
      <c r="D560" s="90">
        <v>7897</v>
      </c>
      <c r="E560" s="90">
        <v>1105.6999999999512</v>
      </c>
      <c r="G560" s="66">
        <v>1105.6999999999512</v>
      </c>
      <c r="H560" s="66">
        <v>7897</v>
      </c>
      <c r="I560" s="66">
        <v>1105.7999999999511</v>
      </c>
      <c r="J560" s="66">
        <v>7927</v>
      </c>
    </row>
    <row r="561" spans="2:10">
      <c r="B561" s="90">
        <v>7897</v>
      </c>
      <c r="C561" s="90">
        <v>1105.6999999999512</v>
      </c>
      <c r="D561" s="90">
        <v>7927</v>
      </c>
      <c r="E561" s="90">
        <v>1105.7999999999511</v>
      </c>
      <c r="G561" s="66">
        <v>1105.7999999999511</v>
      </c>
      <c r="H561" s="66">
        <v>7927</v>
      </c>
      <c r="I561" s="66">
        <v>1105.899999999951</v>
      </c>
      <c r="J561" s="66">
        <v>7957</v>
      </c>
    </row>
    <row r="562" spans="2:10">
      <c r="B562" s="90">
        <v>7927</v>
      </c>
      <c r="C562" s="90">
        <v>1105.7999999999511</v>
      </c>
      <c r="D562" s="90">
        <v>7957</v>
      </c>
      <c r="E562" s="90">
        <v>1105.899999999951</v>
      </c>
      <c r="G562" s="66">
        <v>1105.899999999951</v>
      </c>
      <c r="H562" s="66">
        <v>7957</v>
      </c>
      <c r="I562" s="66">
        <v>1105.9999999999509</v>
      </c>
      <c r="J562" s="66">
        <v>7987</v>
      </c>
    </row>
    <row r="563" spans="2:10">
      <c r="B563" s="90">
        <v>7957</v>
      </c>
      <c r="C563" s="90">
        <v>1105.899999999951</v>
      </c>
      <c r="D563" s="90">
        <v>7987</v>
      </c>
      <c r="E563" s="90">
        <v>1105.9999999999509</v>
      </c>
      <c r="G563" s="66">
        <v>1105.9999999999509</v>
      </c>
      <c r="H563" s="66">
        <v>7987</v>
      </c>
      <c r="I563" s="66">
        <v>1106.0999999999508</v>
      </c>
      <c r="J563" s="66">
        <v>8017.8</v>
      </c>
    </row>
    <row r="564" spans="2:10">
      <c r="B564" s="90">
        <v>7987</v>
      </c>
      <c r="C564" s="90">
        <v>1105.9999999999509</v>
      </c>
      <c r="D564" s="90">
        <v>8017.8</v>
      </c>
      <c r="E564" s="90">
        <v>1106.0999999999508</v>
      </c>
      <c r="G564" s="66">
        <v>1106.0999999999508</v>
      </c>
      <c r="H564" s="66">
        <v>8017.8</v>
      </c>
      <c r="I564" s="66">
        <v>1106.1999999999507</v>
      </c>
      <c r="J564" s="66">
        <v>8048.6</v>
      </c>
    </row>
    <row r="565" spans="2:10">
      <c r="B565" s="90">
        <v>8017.8</v>
      </c>
      <c r="C565" s="90">
        <v>1106.0999999999508</v>
      </c>
      <c r="D565" s="90">
        <v>8048.6</v>
      </c>
      <c r="E565" s="90">
        <v>1106.1999999999507</v>
      </c>
      <c r="G565" s="66">
        <v>1106.1999999999507</v>
      </c>
      <c r="H565" s="66">
        <v>8048.6</v>
      </c>
      <c r="I565" s="66">
        <v>1106.2999999999506</v>
      </c>
      <c r="J565" s="66">
        <v>8079.4</v>
      </c>
    </row>
    <row r="566" spans="2:10">
      <c r="B566" s="90">
        <v>8048.6</v>
      </c>
      <c r="C566" s="90">
        <v>1106.1999999999507</v>
      </c>
      <c r="D566" s="90">
        <v>8079.4</v>
      </c>
      <c r="E566" s="90">
        <v>1106.2999999999506</v>
      </c>
      <c r="G566" s="66">
        <v>1106.2999999999506</v>
      </c>
      <c r="H566" s="66">
        <v>8079.4</v>
      </c>
      <c r="I566" s="66">
        <v>1106.3999999999505</v>
      </c>
      <c r="J566" s="66">
        <v>8110.2</v>
      </c>
    </row>
    <row r="567" spans="2:10">
      <c r="B567" s="90">
        <v>8079.4</v>
      </c>
      <c r="C567" s="90">
        <v>1106.2999999999506</v>
      </c>
      <c r="D567" s="90">
        <v>8110.2</v>
      </c>
      <c r="E567" s="90">
        <v>1106.3999999999505</v>
      </c>
      <c r="G567" s="66">
        <v>1106.3999999999505</v>
      </c>
      <c r="H567" s="66">
        <v>8110.2</v>
      </c>
      <c r="I567" s="66">
        <v>1106.4999999999504</v>
      </c>
      <c r="J567" s="66">
        <v>8141</v>
      </c>
    </row>
    <row r="568" spans="2:10">
      <c r="B568" s="90">
        <v>8110.2</v>
      </c>
      <c r="C568" s="90">
        <v>1106.3999999999505</v>
      </c>
      <c r="D568" s="90">
        <v>8141</v>
      </c>
      <c r="E568" s="90">
        <v>1106.4999999999504</v>
      </c>
      <c r="G568" s="66">
        <v>1106.4999999999504</v>
      </c>
      <c r="H568" s="66">
        <v>8141</v>
      </c>
      <c r="I568" s="66">
        <v>1106.5999999999503</v>
      </c>
      <c r="J568" s="66">
        <v>8171.8</v>
      </c>
    </row>
    <row r="569" spans="2:10">
      <c r="B569" s="90">
        <v>8141</v>
      </c>
      <c r="C569" s="90">
        <v>1106.4999999999504</v>
      </c>
      <c r="D569" s="90">
        <v>8171.8</v>
      </c>
      <c r="E569" s="90">
        <v>1106.5999999999503</v>
      </c>
      <c r="G569" s="66">
        <v>1106.5999999999503</v>
      </c>
      <c r="H569" s="66">
        <v>8171.8</v>
      </c>
      <c r="I569" s="66">
        <v>1106.6999999999503</v>
      </c>
      <c r="J569" s="66">
        <v>8202.6</v>
      </c>
    </row>
    <row r="570" spans="2:10">
      <c r="B570" s="90">
        <v>8171.8</v>
      </c>
      <c r="C570" s="90">
        <v>1106.5999999999503</v>
      </c>
      <c r="D570" s="90">
        <v>8202.6</v>
      </c>
      <c r="E570" s="90">
        <v>1106.6999999999503</v>
      </c>
      <c r="G570" s="66">
        <v>1106.6999999999503</v>
      </c>
      <c r="H570" s="66">
        <v>8202.6</v>
      </c>
      <c r="I570" s="66">
        <v>1106.7999999999502</v>
      </c>
      <c r="J570" s="66">
        <v>8233.4</v>
      </c>
    </row>
    <row r="571" spans="2:10">
      <c r="B571" s="90">
        <v>8202.6</v>
      </c>
      <c r="C571" s="90">
        <v>1106.6999999999503</v>
      </c>
      <c r="D571" s="90">
        <v>8233.4</v>
      </c>
      <c r="E571" s="90">
        <v>1106.7999999999502</v>
      </c>
      <c r="G571" s="66">
        <v>1106.7999999999502</v>
      </c>
      <c r="H571" s="66">
        <v>8233.4</v>
      </c>
      <c r="I571" s="66">
        <v>1106.8999999999501</v>
      </c>
      <c r="J571" s="66">
        <v>8264.2000000000007</v>
      </c>
    </row>
    <row r="572" spans="2:10">
      <c r="B572" s="90">
        <v>8233.4</v>
      </c>
      <c r="C572" s="90">
        <v>1106.7999999999502</v>
      </c>
      <c r="D572" s="90">
        <v>8264.2000000000007</v>
      </c>
      <c r="E572" s="90">
        <v>1106.8999999999501</v>
      </c>
      <c r="G572" s="66">
        <v>1106.8999999999501</v>
      </c>
      <c r="H572" s="66">
        <v>8264.2000000000007</v>
      </c>
      <c r="I572" s="66">
        <v>1106.99999999995</v>
      </c>
      <c r="J572" s="66">
        <v>8295</v>
      </c>
    </row>
    <row r="573" spans="2:10">
      <c r="B573" s="90">
        <v>8264.2000000000007</v>
      </c>
      <c r="C573" s="90">
        <v>1106.8999999999501</v>
      </c>
      <c r="D573" s="90">
        <v>8295</v>
      </c>
      <c r="E573" s="90">
        <v>1106.99999999995</v>
      </c>
      <c r="G573" s="66">
        <v>1106.99999999995</v>
      </c>
      <c r="H573" s="66">
        <v>8295</v>
      </c>
      <c r="I573" s="66">
        <v>1107.0999999999499</v>
      </c>
      <c r="J573" s="66">
        <v>8326.7000000000007</v>
      </c>
    </row>
    <row r="574" spans="2:10">
      <c r="B574" s="90">
        <v>8295</v>
      </c>
      <c r="C574" s="90">
        <v>1106.99999999995</v>
      </c>
      <c r="D574" s="90">
        <v>8326.7000000000007</v>
      </c>
      <c r="E574" s="90">
        <v>1107.0999999999499</v>
      </c>
      <c r="G574" s="66">
        <v>1107.0999999999499</v>
      </c>
      <c r="H574" s="66">
        <v>8326.7000000000007</v>
      </c>
      <c r="I574" s="66">
        <v>1107.1999999999498</v>
      </c>
      <c r="J574" s="66">
        <v>8358.4</v>
      </c>
    </row>
    <row r="575" spans="2:10">
      <c r="B575" s="90">
        <v>8326.7000000000007</v>
      </c>
      <c r="C575" s="90">
        <v>1107.0999999999499</v>
      </c>
      <c r="D575" s="90">
        <v>8358.4</v>
      </c>
      <c r="E575" s="90">
        <v>1107.1999999999498</v>
      </c>
      <c r="G575" s="66">
        <v>1107.1999999999498</v>
      </c>
      <c r="H575" s="66">
        <v>8358.4</v>
      </c>
      <c r="I575" s="66">
        <v>1107.2999999999497</v>
      </c>
      <c r="J575" s="66">
        <v>8390.1</v>
      </c>
    </row>
    <row r="576" spans="2:10">
      <c r="B576" s="90">
        <v>8358.4</v>
      </c>
      <c r="C576" s="90">
        <v>1107.1999999999498</v>
      </c>
      <c r="D576" s="90">
        <v>8390.1</v>
      </c>
      <c r="E576" s="90">
        <v>1107.2999999999497</v>
      </c>
      <c r="G576" s="66">
        <v>1107.2999999999497</v>
      </c>
      <c r="H576" s="66">
        <v>8390.1</v>
      </c>
      <c r="I576" s="66">
        <v>1107.3999999999496</v>
      </c>
      <c r="J576" s="66">
        <v>8421.7999999999993</v>
      </c>
    </row>
    <row r="577" spans="2:10">
      <c r="B577" s="90">
        <v>8390.1</v>
      </c>
      <c r="C577" s="90">
        <v>1107.2999999999497</v>
      </c>
      <c r="D577" s="90">
        <v>8421.7999999999993</v>
      </c>
      <c r="E577" s="90">
        <v>1107.3999999999496</v>
      </c>
      <c r="G577" s="66">
        <v>1107.3999999999496</v>
      </c>
      <c r="H577" s="66">
        <v>8421.7999999999993</v>
      </c>
      <c r="I577" s="66">
        <v>1107.4999999999495</v>
      </c>
      <c r="J577" s="66">
        <v>8453.5</v>
      </c>
    </row>
    <row r="578" spans="2:10">
      <c r="B578" s="90">
        <v>8421.7999999999993</v>
      </c>
      <c r="C578" s="90">
        <v>1107.3999999999496</v>
      </c>
      <c r="D578" s="90">
        <v>8453.5</v>
      </c>
      <c r="E578" s="90">
        <v>1107.4999999999495</v>
      </c>
      <c r="G578" s="66">
        <v>1107.4999999999495</v>
      </c>
      <c r="H578" s="66">
        <v>8453.5</v>
      </c>
      <c r="I578" s="66">
        <v>1107.5999999999494</v>
      </c>
      <c r="J578" s="66">
        <v>8485.2000000000007</v>
      </c>
    </row>
    <row r="579" spans="2:10">
      <c r="B579" s="90">
        <v>8453.5</v>
      </c>
      <c r="C579" s="90">
        <v>1107.4999999999495</v>
      </c>
      <c r="D579" s="90">
        <v>8485.2000000000007</v>
      </c>
      <c r="E579" s="90">
        <v>1107.5999999999494</v>
      </c>
      <c r="G579" s="66">
        <v>1107.5999999999494</v>
      </c>
      <c r="H579" s="66">
        <v>8485.2000000000007</v>
      </c>
      <c r="I579" s="66">
        <v>1107.6999999999493</v>
      </c>
      <c r="J579" s="66">
        <v>8516.9</v>
      </c>
    </row>
    <row r="580" spans="2:10">
      <c r="B580" s="90">
        <v>8485.2000000000007</v>
      </c>
      <c r="C580" s="90">
        <v>1107.5999999999494</v>
      </c>
      <c r="D580" s="90">
        <v>8516.9</v>
      </c>
      <c r="E580" s="90">
        <v>1107.6999999999493</v>
      </c>
      <c r="G580" s="66">
        <v>1107.6999999999493</v>
      </c>
      <c r="H580" s="66">
        <v>8516.9</v>
      </c>
      <c r="I580" s="66">
        <v>1107.7999999999493</v>
      </c>
      <c r="J580" s="66">
        <v>8548.6000000000058</v>
      </c>
    </row>
    <row r="581" spans="2:10">
      <c r="B581" s="90">
        <v>8516.9</v>
      </c>
      <c r="C581" s="90">
        <v>1107.6999999999493</v>
      </c>
      <c r="D581" s="90">
        <v>8548.6000000000058</v>
      </c>
      <c r="E581" s="90">
        <v>1107.7999999999493</v>
      </c>
      <c r="G581" s="66">
        <v>1107.7999999999493</v>
      </c>
      <c r="H581" s="66">
        <v>8548.6000000000058</v>
      </c>
      <c r="I581" s="66">
        <v>1107.8999999999492</v>
      </c>
      <c r="J581" s="66">
        <v>8580.3000000000065</v>
      </c>
    </row>
    <row r="582" spans="2:10">
      <c r="B582" s="90">
        <v>8548.6000000000058</v>
      </c>
      <c r="C582" s="90">
        <v>1107.7999999999493</v>
      </c>
      <c r="D582" s="90">
        <v>8580.3000000000065</v>
      </c>
      <c r="E582" s="90">
        <v>1107.8999999999492</v>
      </c>
      <c r="G582" s="66">
        <v>1107.8999999999492</v>
      </c>
      <c r="H582" s="66">
        <v>8580.3000000000065</v>
      </c>
      <c r="I582" s="66">
        <v>1107.9999999999491</v>
      </c>
      <c r="J582" s="66">
        <v>8612</v>
      </c>
    </row>
    <row r="583" spans="2:10">
      <c r="B583" s="90">
        <v>8580.3000000000065</v>
      </c>
      <c r="C583" s="90">
        <v>1107.8999999999492</v>
      </c>
      <c r="D583" s="90">
        <v>8612</v>
      </c>
      <c r="E583" s="90">
        <v>1107.9999999999491</v>
      </c>
      <c r="G583" s="66">
        <v>1107.9999999999491</v>
      </c>
      <c r="H583" s="66">
        <v>8612</v>
      </c>
      <c r="I583" s="66">
        <v>1108.099999999949</v>
      </c>
      <c r="J583" s="66">
        <v>8644.5</v>
      </c>
    </row>
    <row r="584" spans="2:10">
      <c r="B584" s="90">
        <v>8612</v>
      </c>
      <c r="C584" s="90">
        <v>1107.9999999999491</v>
      </c>
      <c r="D584" s="90">
        <v>8644.5</v>
      </c>
      <c r="E584" s="90">
        <v>1108.099999999949</v>
      </c>
      <c r="G584" s="66">
        <v>1108.099999999949</v>
      </c>
      <c r="H584" s="66">
        <v>8644.5</v>
      </c>
      <c r="I584" s="66">
        <v>1108.1999999999489</v>
      </c>
      <c r="J584" s="66">
        <v>8677</v>
      </c>
    </row>
    <row r="585" spans="2:10">
      <c r="B585" s="90">
        <v>8644.5</v>
      </c>
      <c r="C585" s="90">
        <v>1108.099999999949</v>
      </c>
      <c r="D585" s="90">
        <v>8677</v>
      </c>
      <c r="E585" s="90">
        <v>1108.1999999999489</v>
      </c>
      <c r="G585" s="66">
        <v>1108.1999999999489</v>
      </c>
      <c r="H585" s="66">
        <v>8677</v>
      </c>
      <c r="I585" s="66">
        <v>1108.2999999999488</v>
      </c>
      <c r="J585" s="66">
        <v>8709.5</v>
      </c>
    </row>
    <row r="586" spans="2:10">
      <c r="B586" s="90">
        <v>8677</v>
      </c>
      <c r="C586" s="90">
        <v>1108.1999999999489</v>
      </c>
      <c r="D586" s="90">
        <v>8709.5</v>
      </c>
      <c r="E586" s="90">
        <v>1108.2999999999488</v>
      </c>
      <c r="G586" s="66">
        <v>1108.2999999999488</v>
      </c>
      <c r="H586" s="66">
        <v>8709.5</v>
      </c>
      <c r="I586" s="66">
        <v>1108.3999999999487</v>
      </c>
      <c r="J586" s="66">
        <v>8742</v>
      </c>
    </row>
    <row r="587" spans="2:10">
      <c r="B587" s="90">
        <v>8709.5</v>
      </c>
      <c r="C587" s="90">
        <v>1108.2999999999488</v>
      </c>
      <c r="D587" s="90">
        <v>8742</v>
      </c>
      <c r="E587" s="90">
        <v>1108.3999999999487</v>
      </c>
      <c r="G587" s="66">
        <v>1108.3999999999487</v>
      </c>
      <c r="H587" s="66">
        <v>8742</v>
      </c>
      <c r="I587" s="66">
        <v>1108.4999999999486</v>
      </c>
      <c r="J587" s="66">
        <v>8774.5</v>
      </c>
    </row>
    <row r="588" spans="2:10">
      <c r="B588" s="90">
        <v>8742</v>
      </c>
      <c r="C588" s="90">
        <v>1108.3999999999487</v>
      </c>
      <c r="D588" s="90">
        <v>8774.5</v>
      </c>
      <c r="E588" s="90">
        <v>1108.4999999999486</v>
      </c>
      <c r="G588" s="66">
        <v>1108.4999999999486</v>
      </c>
      <c r="H588" s="66">
        <v>8774.5</v>
      </c>
      <c r="I588" s="66">
        <v>1108.5999999999485</v>
      </c>
      <c r="J588" s="66">
        <v>8807</v>
      </c>
    </row>
    <row r="589" spans="2:10">
      <c r="B589" s="90">
        <v>8774.5</v>
      </c>
      <c r="C589" s="90">
        <v>1108.4999999999486</v>
      </c>
      <c r="D589" s="90">
        <v>8807</v>
      </c>
      <c r="E589" s="90">
        <v>1108.5999999999485</v>
      </c>
      <c r="G589" s="66">
        <v>1108.5999999999485</v>
      </c>
      <c r="H589" s="66">
        <v>8807</v>
      </c>
      <c r="I589" s="66">
        <v>1108.6999999999484</v>
      </c>
      <c r="J589" s="66">
        <v>8839.5</v>
      </c>
    </row>
    <row r="590" spans="2:10">
      <c r="B590" s="90">
        <v>8807</v>
      </c>
      <c r="C590" s="90">
        <v>1108.5999999999485</v>
      </c>
      <c r="D590" s="90">
        <v>8839.5</v>
      </c>
      <c r="E590" s="90">
        <v>1108.6999999999484</v>
      </c>
      <c r="G590" s="66">
        <v>1108.6999999999484</v>
      </c>
      <c r="H590" s="66">
        <v>8839.5</v>
      </c>
      <c r="I590" s="66">
        <v>1108.7999999999483</v>
      </c>
      <c r="J590" s="66">
        <v>8872</v>
      </c>
    </row>
    <row r="591" spans="2:10">
      <c r="B591" s="90">
        <v>8839.5</v>
      </c>
      <c r="C591" s="90">
        <v>1108.6999999999484</v>
      </c>
      <c r="D591" s="90">
        <v>8872</v>
      </c>
      <c r="E591" s="90">
        <v>1108.7999999999483</v>
      </c>
      <c r="G591" s="66">
        <v>1108.7999999999483</v>
      </c>
      <c r="H591" s="66">
        <v>8872</v>
      </c>
      <c r="I591" s="66">
        <v>1108.8999999999482</v>
      </c>
      <c r="J591" s="66">
        <v>8904.5</v>
      </c>
    </row>
    <row r="592" spans="2:10">
      <c r="B592" s="90">
        <v>8872</v>
      </c>
      <c r="C592" s="90">
        <v>1108.7999999999483</v>
      </c>
      <c r="D592" s="90">
        <v>8904.5</v>
      </c>
      <c r="E592" s="90">
        <v>1108.8999999999482</v>
      </c>
      <c r="G592" s="66">
        <v>1108.8999999999482</v>
      </c>
      <c r="H592" s="66">
        <v>8904.5</v>
      </c>
      <c r="I592" s="66">
        <v>1108.9999999999482</v>
      </c>
      <c r="J592" s="66">
        <v>8937</v>
      </c>
    </row>
    <row r="593" spans="2:10">
      <c r="B593" s="90">
        <v>8904.5</v>
      </c>
      <c r="C593" s="90">
        <v>1108.8999999999482</v>
      </c>
      <c r="D593" s="90">
        <v>8937</v>
      </c>
      <c r="E593" s="90">
        <v>1108.9999999999482</v>
      </c>
      <c r="G593" s="66">
        <v>1108.9999999999482</v>
      </c>
      <c r="H593" s="66">
        <v>8937</v>
      </c>
      <c r="I593" s="66">
        <v>1109.0999999999481</v>
      </c>
      <c r="J593" s="66">
        <v>8970.4</v>
      </c>
    </row>
    <row r="594" spans="2:10">
      <c r="B594" s="90">
        <v>8937</v>
      </c>
      <c r="C594" s="90">
        <v>1108.9999999999482</v>
      </c>
      <c r="D594" s="90">
        <v>8970.4</v>
      </c>
      <c r="E594" s="90">
        <v>1109.0999999999481</v>
      </c>
      <c r="G594" s="66">
        <v>1109.0999999999481</v>
      </c>
      <c r="H594" s="66">
        <v>8970.4</v>
      </c>
      <c r="I594" s="66">
        <v>1109.199999999948</v>
      </c>
      <c r="J594" s="66">
        <v>9003.7999999999993</v>
      </c>
    </row>
    <row r="595" spans="2:10">
      <c r="B595" s="90">
        <v>8970.4</v>
      </c>
      <c r="C595" s="90">
        <v>1109.0999999999481</v>
      </c>
      <c r="D595" s="90">
        <v>9003.7999999999993</v>
      </c>
      <c r="E595" s="90">
        <v>1109.199999999948</v>
      </c>
      <c r="G595" s="66">
        <v>1109.199999999948</v>
      </c>
      <c r="H595" s="66">
        <v>9003.7999999999993</v>
      </c>
      <c r="I595" s="66">
        <v>1109.2999999999479</v>
      </c>
      <c r="J595" s="66">
        <v>9037.2000000000007</v>
      </c>
    </row>
    <row r="596" spans="2:10">
      <c r="B596" s="90">
        <v>9003.7999999999993</v>
      </c>
      <c r="C596" s="90">
        <v>1109.199999999948</v>
      </c>
      <c r="D596" s="90">
        <v>9037.2000000000007</v>
      </c>
      <c r="E596" s="90">
        <v>1109.2999999999479</v>
      </c>
      <c r="G596" s="66">
        <v>1109.2999999999479</v>
      </c>
      <c r="H596" s="66">
        <v>9037.2000000000007</v>
      </c>
      <c r="I596" s="66">
        <v>1109.3999999999478</v>
      </c>
      <c r="J596" s="66">
        <v>9070.6</v>
      </c>
    </row>
    <row r="597" spans="2:10">
      <c r="B597" s="90">
        <v>9037.2000000000007</v>
      </c>
      <c r="C597" s="90">
        <v>1109.2999999999479</v>
      </c>
      <c r="D597" s="90">
        <v>9070.6</v>
      </c>
      <c r="E597" s="90">
        <v>1109.3999999999478</v>
      </c>
      <c r="G597" s="66">
        <v>1109.3999999999478</v>
      </c>
      <c r="H597" s="66">
        <v>9070.6</v>
      </c>
      <c r="I597" s="66">
        <v>1109.4999999999477</v>
      </c>
      <c r="J597" s="66">
        <v>9104</v>
      </c>
    </row>
    <row r="598" spans="2:10">
      <c r="B598" s="90">
        <v>9070.6</v>
      </c>
      <c r="C598" s="90">
        <v>1109.3999999999478</v>
      </c>
      <c r="D598" s="90">
        <v>9104</v>
      </c>
      <c r="E598" s="90">
        <v>1109.4999999999477</v>
      </c>
      <c r="G598" s="66">
        <v>1109.4999999999477</v>
      </c>
      <c r="H598" s="66">
        <v>9104</v>
      </c>
      <c r="I598" s="66">
        <v>1109.5999999999476</v>
      </c>
      <c r="J598" s="66">
        <v>9137.4</v>
      </c>
    </row>
    <row r="599" spans="2:10">
      <c r="B599" s="90">
        <v>9104</v>
      </c>
      <c r="C599" s="90">
        <v>1109.4999999999477</v>
      </c>
      <c r="D599" s="90">
        <v>9137.4</v>
      </c>
      <c r="E599" s="90">
        <v>1109.5999999999476</v>
      </c>
      <c r="G599" s="66">
        <v>1109.5999999999476</v>
      </c>
      <c r="H599" s="66">
        <v>9137.4</v>
      </c>
      <c r="I599" s="66">
        <v>1109.6999999999475</v>
      </c>
      <c r="J599" s="66">
        <v>9170.7999999999993</v>
      </c>
    </row>
    <row r="600" spans="2:10">
      <c r="B600" s="90">
        <v>9137.4</v>
      </c>
      <c r="C600" s="90">
        <v>1109.5999999999476</v>
      </c>
      <c r="D600" s="90">
        <v>9170.7999999999993</v>
      </c>
      <c r="E600" s="90">
        <v>1109.6999999999475</v>
      </c>
      <c r="G600" s="66">
        <v>1109.6999999999475</v>
      </c>
      <c r="H600" s="66">
        <v>9170.7999999999993</v>
      </c>
      <c r="I600" s="66">
        <v>1109.7999999999474</v>
      </c>
      <c r="J600" s="66">
        <v>9204.2000000000007</v>
      </c>
    </row>
    <row r="601" spans="2:10">
      <c r="B601" s="90">
        <v>9170.7999999999993</v>
      </c>
      <c r="C601" s="90">
        <v>1109.6999999999475</v>
      </c>
      <c r="D601" s="90">
        <v>9204.2000000000007</v>
      </c>
      <c r="E601" s="90">
        <v>1109.7999999999474</v>
      </c>
      <c r="G601" s="66">
        <v>1109.7999999999474</v>
      </c>
      <c r="H601" s="66">
        <v>9204.2000000000007</v>
      </c>
      <c r="I601" s="66">
        <v>1109.8999999999473</v>
      </c>
      <c r="J601" s="66">
        <v>9237.6</v>
      </c>
    </row>
    <row r="602" spans="2:10">
      <c r="B602" s="90">
        <v>9204.2000000000007</v>
      </c>
      <c r="C602" s="90">
        <v>1109.7999999999474</v>
      </c>
      <c r="D602" s="90">
        <v>9237.6</v>
      </c>
      <c r="E602" s="90">
        <v>1109.8999999999473</v>
      </c>
      <c r="G602" s="66">
        <v>1109.8999999999473</v>
      </c>
      <c r="H602" s="66">
        <v>9237.6</v>
      </c>
      <c r="I602" s="66">
        <v>1109.9999999999472</v>
      </c>
      <c r="J602" s="66">
        <v>9271</v>
      </c>
    </row>
    <row r="603" spans="2:10">
      <c r="B603" s="90">
        <v>9237.6</v>
      </c>
      <c r="C603" s="90">
        <v>1109.8999999999473</v>
      </c>
      <c r="D603" s="90">
        <v>9271</v>
      </c>
      <c r="E603" s="90">
        <v>1109.9999999999472</v>
      </c>
      <c r="G603" s="66">
        <v>1109.9999999999472</v>
      </c>
      <c r="H603" s="66">
        <v>9271</v>
      </c>
      <c r="I603" s="66">
        <v>1110.0999999999472</v>
      </c>
      <c r="J603" s="66">
        <v>9305.4</v>
      </c>
    </row>
    <row r="604" spans="2:10">
      <c r="B604" s="90">
        <v>9271</v>
      </c>
      <c r="C604" s="90">
        <v>1109.9999999999472</v>
      </c>
      <c r="D604" s="90">
        <v>9305.4</v>
      </c>
      <c r="E604" s="90">
        <v>1110.0999999999472</v>
      </c>
      <c r="G604" s="66">
        <v>1110.0999999999472</v>
      </c>
      <c r="H604" s="66">
        <v>9305.4</v>
      </c>
      <c r="I604" s="66">
        <v>1110.1999999999471</v>
      </c>
      <c r="J604" s="66">
        <v>9339.7999999999993</v>
      </c>
    </row>
    <row r="605" spans="2:10">
      <c r="B605" s="90">
        <v>9305.4</v>
      </c>
      <c r="C605" s="90">
        <v>1110.0999999999472</v>
      </c>
      <c r="D605" s="90">
        <v>9339.7999999999993</v>
      </c>
      <c r="E605" s="90">
        <v>1110.1999999999471</v>
      </c>
      <c r="G605" s="66">
        <v>1110.1999999999471</v>
      </c>
      <c r="H605" s="66">
        <v>9339.7999999999993</v>
      </c>
      <c r="I605" s="66">
        <v>1110.299999999947</v>
      </c>
      <c r="J605" s="66">
        <v>9374.2000000000007</v>
      </c>
    </row>
    <row r="606" spans="2:10">
      <c r="B606" s="90">
        <v>9339.7999999999993</v>
      </c>
      <c r="C606" s="90">
        <v>1110.1999999999471</v>
      </c>
      <c r="D606" s="90">
        <v>9374.2000000000007</v>
      </c>
      <c r="E606" s="90">
        <v>1110.299999999947</v>
      </c>
      <c r="G606" s="66">
        <v>1110.299999999947</v>
      </c>
      <c r="H606" s="66">
        <v>9374.2000000000007</v>
      </c>
      <c r="I606" s="66">
        <v>1110.3999999999469</v>
      </c>
      <c r="J606" s="66">
        <v>9408.6</v>
      </c>
    </row>
    <row r="607" spans="2:10">
      <c r="B607" s="90">
        <v>9374.2000000000007</v>
      </c>
      <c r="C607" s="90">
        <v>1110.299999999947</v>
      </c>
      <c r="D607" s="90">
        <v>9408.6</v>
      </c>
      <c r="E607" s="90">
        <v>1110.3999999999469</v>
      </c>
      <c r="G607" s="66">
        <v>1110.3999999999469</v>
      </c>
      <c r="H607" s="66">
        <v>9408.6</v>
      </c>
      <c r="I607" s="66">
        <v>1110.4999999999468</v>
      </c>
      <c r="J607" s="66">
        <v>9443</v>
      </c>
    </row>
    <row r="608" spans="2:10">
      <c r="B608" s="90">
        <v>9408.6</v>
      </c>
      <c r="C608" s="90">
        <v>1110.3999999999469</v>
      </c>
      <c r="D608" s="90">
        <v>9443</v>
      </c>
      <c r="E608" s="90">
        <v>1110.4999999999468</v>
      </c>
      <c r="G608" s="66">
        <v>1110.4999999999468</v>
      </c>
      <c r="H608" s="66">
        <v>9443</v>
      </c>
      <c r="I608" s="66">
        <v>1110.5999999999467</v>
      </c>
      <c r="J608" s="66">
        <v>9477.4</v>
      </c>
    </row>
    <row r="609" spans="2:10">
      <c r="B609" s="90">
        <v>9443</v>
      </c>
      <c r="C609" s="90">
        <v>1110.4999999999468</v>
      </c>
      <c r="D609" s="90">
        <v>9477.4</v>
      </c>
      <c r="E609" s="90">
        <v>1110.5999999999467</v>
      </c>
      <c r="G609" s="66">
        <v>1110.5999999999467</v>
      </c>
      <c r="H609" s="66">
        <v>9477.4</v>
      </c>
      <c r="I609" s="66">
        <v>1110.6999999999466</v>
      </c>
      <c r="J609" s="66">
        <v>9511.7999999999993</v>
      </c>
    </row>
    <row r="610" spans="2:10">
      <c r="B610" s="90">
        <v>9477.4</v>
      </c>
      <c r="C610" s="90">
        <v>1110.5999999999467</v>
      </c>
      <c r="D610" s="90">
        <v>9511.7999999999993</v>
      </c>
      <c r="E610" s="90">
        <v>1110.6999999999466</v>
      </c>
      <c r="G610" s="66">
        <v>1110.6999999999466</v>
      </c>
      <c r="H610" s="66">
        <v>9511.7999999999993</v>
      </c>
      <c r="I610" s="66">
        <v>1110.7999999999465</v>
      </c>
      <c r="J610" s="66">
        <v>9546.2000000000007</v>
      </c>
    </row>
    <row r="611" spans="2:10">
      <c r="B611" s="90">
        <v>9511.7999999999993</v>
      </c>
      <c r="C611" s="90">
        <v>1110.6999999999466</v>
      </c>
      <c r="D611" s="90">
        <v>9546.2000000000007</v>
      </c>
      <c r="E611" s="90">
        <v>1110.7999999999465</v>
      </c>
      <c r="G611" s="66">
        <v>1110.7999999999465</v>
      </c>
      <c r="H611" s="66">
        <v>9546.2000000000007</v>
      </c>
      <c r="I611" s="66">
        <v>1110.8999999999464</v>
      </c>
      <c r="J611" s="66">
        <v>9580.6</v>
      </c>
    </row>
    <row r="612" spans="2:10">
      <c r="B612" s="90">
        <v>9546.2000000000007</v>
      </c>
      <c r="C612" s="90">
        <v>1110.7999999999465</v>
      </c>
      <c r="D612" s="90">
        <v>9580.6</v>
      </c>
      <c r="E612" s="90">
        <v>1110.8999999999464</v>
      </c>
      <c r="G612" s="66">
        <v>1110.8999999999464</v>
      </c>
      <c r="H612" s="66">
        <v>9580.6</v>
      </c>
      <c r="I612" s="66">
        <v>1110.9999999999463</v>
      </c>
      <c r="J612" s="66">
        <v>9615</v>
      </c>
    </row>
    <row r="613" spans="2:10">
      <c r="B613" s="90">
        <v>9580.6</v>
      </c>
      <c r="C613" s="90">
        <v>1110.8999999999464</v>
      </c>
      <c r="D613" s="90">
        <v>9615</v>
      </c>
      <c r="E613" s="90">
        <v>1110.9999999999463</v>
      </c>
      <c r="G613" s="66">
        <v>1110.9999999999463</v>
      </c>
      <c r="H613" s="66">
        <v>9615</v>
      </c>
      <c r="I613" s="66">
        <v>1111.0999999999462</v>
      </c>
      <c r="J613" s="66">
        <v>9650.2000000000007</v>
      </c>
    </row>
    <row r="614" spans="2:10">
      <c r="B614" s="90">
        <v>9615</v>
      </c>
      <c r="C614" s="90">
        <v>1110.9999999999463</v>
      </c>
      <c r="D614" s="90">
        <v>9650.2000000000007</v>
      </c>
      <c r="E614" s="90">
        <v>1111.0999999999462</v>
      </c>
      <c r="G614" s="66">
        <v>1111.0999999999462</v>
      </c>
      <c r="H614" s="66">
        <v>9650.2000000000007</v>
      </c>
      <c r="I614" s="66">
        <v>1111.1999999999462</v>
      </c>
      <c r="J614" s="66">
        <v>9685.4</v>
      </c>
    </row>
    <row r="615" spans="2:10">
      <c r="B615" s="90">
        <v>9650.2000000000007</v>
      </c>
      <c r="C615" s="90">
        <v>1111.0999999999462</v>
      </c>
      <c r="D615" s="90">
        <v>9685.4</v>
      </c>
      <c r="E615" s="90">
        <v>1111.1999999999462</v>
      </c>
      <c r="G615" s="66">
        <v>1111.1999999999462</v>
      </c>
      <c r="H615" s="66">
        <v>9685.4</v>
      </c>
      <c r="I615" s="66">
        <v>1111.2999999999461</v>
      </c>
      <c r="J615" s="66">
        <v>9720.6</v>
      </c>
    </row>
    <row r="616" spans="2:10">
      <c r="B616" s="90">
        <v>9685.4</v>
      </c>
      <c r="C616" s="90">
        <v>1111.1999999999462</v>
      </c>
      <c r="D616" s="90">
        <v>9720.6</v>
      </c>
      <c r="E616" s="90">
        <v>1111.2999999999461</v>
      </c>
      <c r="G616" s="66">
        <v>1111.2999999999461</v>
      </c>
      <c r="H616" s="66">
        <v>9720.6</v>
      </c>
      <c r="I616" s="66">
        <v>1111.399999999946</v>
      </c>
      <c r="J616" s="66">
        <v>9755.7999999999993</v>
      </c>
    </row>
    <row r="617" spans="2:10">
      <c r="B617" s="90">
        <v>9720.6</v>
      </c>
      <c r="C617" s="90">
        <v>1111.2999999999461</v>
      </c>
      <c r="D617" s="90">
        <v>9755.7999999999993</v>
      </c>
      <c r="E617" s="90">
        <v>1111.399999999946</v>
      </c>
      <c r="G617" s="66">
        <v>1111.399999999946</v>
      </c>
      <c r="H617" s="66">
        <v>9755.7999999999993</v>
      </c>
      <c r="I617" s="66">
        <v>1111.4999999999459</v>
      </c>
      <c r="J617" s="66">
        <v>9791</v>
      </c>
    </row>
    <row r="618" spans="2:10">
      <c r="B618" s="90">
        <v>9755.7999999999993</v>
      </c>
      <c r="C618" s="90">
        <v>1111.399999999946</v>
      </c>
      <c r="D618" s="90">
        <v>9791</v>
      </c>
      <c r="E618" s="90">
        <v>1111.4999999999459</v>
      </c>
      <c r="G618" s="66">
        <v>1111.4999999999459</v>
      </c>
      <c r="H618" s="66">
        <v>9791</v>
      </c>
      <c r="I618" s="66">
        <v>1111.5999999999458</v>
      </c>
      <c r="J618" s="66">
        <v>9826.2000000000007</v>
      </c>
    </row>
    <row r="619" spans="2:10">
      <c r="B619" s="90">
        <v>9791</v>
      </c>
      <c r="C619" s="90">
        <v>1111.4999999999459</v>
      </c>
      <c r="D619" s="90">
        <v>9826.2000000000007</v>
      </c>
      <c r="E619" s="90">
        <v>1111.5999999999458</v>
      </c>
      <c r="G619" s="66">
        <v>1111.5999999999458</v>
      </c>
      <c r="H619" s="66">
        <v>9826.2000000000007</v>
      </c>
      <c r="I619" s="66">
        <v>1111.6999999999457</v>
      </c>
      <c r="J619" s="66">
        <v>9861.4</v>
      </c>
    </row>
    <row r="620" spans="2:10">
      <c r="B620" s="90">
        <v>9826.2000000000007</v>
      </c>
      <c r="C620" s="90">
        <v>1111.5999999999458</v>
      </c>
      <c r="D620" s="90">
        <v>9861.4</v>
      </c>
      <c r="E620" s="90">
        <v>1111.6999999999457</v>
      </c>
      <c r="G620" s="66">
        <v>1111.6999999999457</v>
      </c>
      <c r="H620" s="66">
        <v>9861.4</v>
      </c>
      <c r="I620" s="66">
        <v>1111.7999999999456</v>
      </c>
      <c r="J620" s="66">
        <v>9896.6000000000058</v>
      </c>
    </row>
    <row r="621" spans="2:10">
      <c r="B621" s="90">
        <v>9861.4</v>
      </c>
      <c r="C621" s="90">
        <v>1111.6999999999457</v>
      </c>
      <c r="D621" s="90">
        <v>9896.6000000000058</v>
      </c>
      <c r="E621" s="90">
        <v>1111.7999999999456</v>
      </c>
      <c r="G621" s="66">
        <v>1111.7999999999456</v>
      </c>
      <c r="H621" s="66">
        <v>9896.6000000000058</v>
      </c>
      <c r="I621" s="66">
        <v>1111.8999999999455</v>
      </c>
      <c r="J621" s="66">
        <v>9931.8000000000065</v>
      </c>
    </row>
    <row r="622" spans="2:10">
      <c r="B622" s="90">
        <v>9896.6000000000058</v>
      </c>
      <c r="C622" s="90">
        <v>1111.7999999999456</v>
      </c>
      <c r="D622" s="90">
        <v>9931.8000000000065</v>
      </c>
      <c r="E622" s="90">
        <v>1111.8999999999455</v>
      </c>
      <c r="G622" s="66">
        <v>1111.8999999999455</v>
      </c>
      <c r="H622" s="66">
        <v>9931.8000000000065</v>
      </c>
      <c r="I622" s="66">
        <v>1111.9999999999454</v>
      </c>
      <c r="J622" s="66">
        <v>9967</v>
      </c>
    </row>
    <row r="623" spans="2:10">
      <c r="B623" s="90">
        <v>9931.8000000000065</v>
      </c>
      <c r="C623" s="90">
        <v>1111.8999999999455</v>
      </c>
      <c r="D623" s="90">
        <v>9967</v>
      </c>
      <c r="E623" s="90">
        <v>1111.9999999999454</v>
      </c>
      <c r="G623" s="66">
        <v>1111.9999999999454</v>
      </c>
      <c r="H623" s="66">
        <v>9967</v>
      </c>
      <c r="I623" s="66">
        <v>1112.0999999999453</v>
      </c>
      <c r="J623" s="66">
        <v>10003.1</v>
      </c>
    </row>
    <row r="624" spans="2:10">
      <c r="B624" s="90">
        <v>9967</v>
      </c>
      <c r="C624" s="90">
        <v>1111.9999999999454</v>
      </c>
      <c r="D624" s="90">
        <v>10003.1</v>
      </c>
      <c r="E624" s="90">
        <v>1112.0999999999453</v>
      </c>
      <c r="G624" s="66">
        <v>1112.0999999999453</v>
      </c>
      <c r="H624" s="66">
        <v>10003.1</v>
      </c>
      <c r="I624" s="66">
        <v>1112.1999999999452</v>
      </c>
      <c r="J624" s="66">
        <v>10039.200000000001</v>
      </c>
    </row>
    <row r="625" spans="2:10">
      <c r="B625" s="90">
        <v>10003.1</v>
      </c>
      <c r="C625" s="90">
        <v>1112.0999999999453</v>
      </c>
      <c r="D625" s="90">
        <v>10039.200000000001</v>
      </c>
      <c r="E625" s="90">
        <v>1112.1999999999452</v>
      </c>
      <c r="G625" s="66">
        <v>1112.1999999999452</v>
      </c>
      <c r="H625" s="66">
        <v>10039.200000000001</v>
      </c>
      <c r="I625" s="66">
        <v>1112.2999999999452</v>
      </c>
      <c r="J625" s="66">
        <v>10075.299999999999</v>
      </c>
    </row>
    <row r="626" spans="2:10">
      <c r="B626" s="90">
        <v>10039.200000000001</v>
      </c>
      <c r="C626" s="90">
        <v>1112.1999999999452</v>
      </c>
      <c r="D626" s="90">
        <v>10075.299999999999</v>
      </c>
      <c r="E626" s="90">
        <v>1112.2999999999452</v>
      </c>
      <c r="G626" s="66">
        <v>1112.2999999999452</v>
      </c>
      <c r="H626" s="66">
        <v>10075.299999999999</v>
      </c>
      <c r="I626" s="66">
        <v>1112.3999999999451</v>
      </c>
      <c r="J626" s="66">
        <v>10111.4</v>
      </c>
    </row>
    <row r="627" spans="2:10">
      <c r="B627" s="90">
        <v>10075.299999999999</v>
      </c>
      <c r="C627" s="90">
        <v>1112.2999999999452</v>
      </c>
      <c r="D627" s="90">
        <v>10111.4</v>
      </c>
      <c r="E627" s="90">
        <v>1112.3999999999451</v>
      </c>
      <c r="G627" s="66">
        <v>1112.3999999999451</v>
      </c>
      <c r="H627" s="66">
        <v>10111.4</v>
      </c>
      <c r="I627" s="66">
        <v>1112.499999999945</v>
      </c>
      <c r="J627" s="66">
        <v>10147.5</v>
      </c>
    </row>
    <row r="628" spans="2:10">
      <c r="B628" s="90">
        <v>10111.4</v>
      </c>
      <c r="C628" s="90">
        <v>1112.3999999999451</v>
      </c>
      <c r="D628" s="90">
        <v>10147.5</v>
      </c>
      <c r="E628" s="90">
        <v>1112.499999999945</v>
      </c>
      <c r="G628" s="66">
        <v>1112.499999999945</v>
      </c>
      <c r="H628" s="66">
        <v>10147.5</v>
      </c>
      <c r="I628" s="66">
        <v>1112.5999999999449</v>
      </c>
      <c r="J628" s="66">
        <v>10183.6</v>
      </c>
    </row>
    <row r="629" spans="2:10">
      <c r="B629" s="90">
        <v>10147.5</v>
      </c>
      <c r="C629" s="90">
        <v>1112.499999999945</v>
      </c>
      <c r="D629" s="90">
        <v>10183.6</v>
      </c>
      <c r="E629" s="90">
        <v>1112.5999999999449</v>
      </c>
      <c r="G629" s="66">
        <v>1112.5999999999449</v>
      </c>
      <c r="H629" s="66">
        <v>10183.6</v>
      </c>
      <c r="I629" s="66">
        <v>1112.6999999999448</v>
      </c>
      <c r="J629" s="66">
        <v>10219.700000000001</v>
      </c>
    </row>
    <row r="630" spans="2:10">
      <c r="B630" s="90">
        <v>10183.6</v>
      </c>
      <c r="C630" s="90">
        <v>1112.5999999999449</v>
      </c>
      <c r="D630" s="90">
        <v>10219.700000000001</v>
      </c>
      <c r="E630" s="90">
        <v>1112.6999999999448</v>
      </c>
      <c r="G630" s="66">
        <v>1112.6999999999448</v>
      </c>
      <c r="H630" s="66">
        <v>10219.700000000001</v>
      </c>
      <c r="I630" s="66">
        <v>1112.7999999999447</v>
      </c>
      <c r="J630" s="66">
        <v>10255.799999999999</v>
      </c>
    </row>
    <row r="631" spans="2:10">
      <c r="B631" s="90">
        <v>10219.700000000001</v>
      </c>
      <c r="C631" s="90">
        <v>1112.6999999999448</v>
      </c>
      <c r="D631" s="90">
        <v>10255.799999999999</v>
      </c>
      <c r="E631" s="90">
        <v>1112.7999999999447</v>
      </c>
      <c r="G631" s="66">
        <v>1112.7999999999447</v>
      </c>
      <c r="H631" s="66">
        <v>10255.799999999999</v>
      </c>
      <c r="I631" s="66">
        <v>1112.8999999999446</v>
      </c>
      <c r="J631" s="66">
        <v>10291.9</v>
      </c>
    </row>
    <row r="632" spans="2:10">
      <c r="B632" s="90">
        <v>10255.799999999999</v>
      </c>
      <c r="C632" s="90">
        <v>1112.7999999999447</v>
      </c>
      <c r="D632" s="90">
        <v>10291.9</v>
      </c>
      <c r="E632" s="90">
        <v>1112.8999999999446</v>
      </c>
      <c r="G632" s="66">
        <v>1112.8999999999446</v>
      </c>
      <c r="H632" s="66">
        <v>10291.9</v>
      </c>
      <c r="I632" s="66">
        <v>1112.9999999999445</v>
      </c>
      <c r="J632" s="66">
        <v>10328</v>
      </c>
    </row>
    <row r="633" spans="2:10">
      <c r="B633" s="90">
        <v>10291.9</v>
      </c>
      <c r="C633" s="90">
        <v>1112.8999999999446</v>
      </c>
      <c r="D633" s="90">
        <v>10328</v>
      </c>
      <c r="E633" s="90">
        <v>1112.9999999999445</v>
      </c>
      <c r="G633" s="66">
        <v>1112.9999999999445</v>
      </c>
      <c r="H633" s="66">
        <v>10328</v>
      </c>
      <c r="I633" s="66">
        <v>1113.0999999999444</v>
      </c>
      <c r="J633" s="66">
        <v>10365.1</v>
      </c>
    </row>
    <row r="634" spans="2:10">
      <c r="B634" s="90">
        <v>10328</v>
      </c>
      <c r="C634" s="90">
        <v>1112.9999999999445</v>
      </c>
      <c r="D634" s="90">
        <v>10365.1</v>
      </c>
      <c r="E634" s="90">
        <v>1113.0999999999444</v>
      </c>
      <c r="G634" s="66">
        <v>1113.0999999999444</v>
      </c>
      <c r="H634" s="66">
        <v>10365.1</v>
      </c>
      <c r="I634" s="66">
        <v>1113.1999999999443</v>
      </c>
      <c r="J634" s="66">
        <v>10402.200000000001</v>
      </c>
    </row>
    <row r="635" spans="2:10">
      <c r="B635" s="90">
        <v>10365.1</v>
      </c>
      <c r="C635" s="90">
        <v>1113.0999999999444</v>
      </c>
      <c r="D635" s="90">
        <v>10402.200000000001</v>
      </c>
      <c r="E635" s="90">
        <v>1113.1999999999443</v>
      </c>
      <c r="G635" s="66">
        <v>1113.1999999999443</v>
      </c>
      <c r="H635" s="66">
        <v>10402.200000000001</v>
      </c>
      <c r="I635" s="66">
        <v>1113.2999999999442</v>
      </c>
      <c r="J635" s="66">
        <v>10439.299999999999</v>
      </c>
    </row>
    <row r="636" spans="2:10">
      <c r="B636" s="90">
        <v>10402.200000000001</v>
      </c>
      <c r="C636" s="90">
        <v>1113.1999999999443</v>
      </c>
      <c r="D636" s="90">
        <v>10439.299999999999</v>
      </c>
      <c r="E636" s="90">
        <v>1113.2999999999442</v>
      </c>
      <c r="G636" s="66">
        <v>1113.2999999999442</v>
      </c>
      <c r="H636" s="66">
        <v>10439.299999999999</v>
      </c>
      <c r="I636" s="66">
        <v>1113.3999999999442</v>
      </c>
      <c r="J636" s="66">
        <v>10476.4</v>
      </c>
    </row>
    <row r="637" spans="2:10">
      <c r="B637" s="90">
        <v>10439.299999999999</v>
      </c>
      <c r="C637" s="90">
        <v>1113.2999999999442</v>
      </c>
      <c r="D637" s="90">
        <v>10476.4</v>
      </c>
      <c r="E637" s="90">
        <v>1113.3999999999442</v>
      </c>
      <c r="G637" s="66">
        <v>1113.3999999999442</v>
      </c>
      <c r="H637" s="66">
        <v>10476.4</v>
      </c>
      <c r="I637" s="66">
        <v>1113.4999999999441</v>
      </c>
      <c r="J637" s="66">
        <v>10513.5</v>
      </c>
    </row>
    <row r="638" spans="2:10">
      <c r="B638" s="90">
        <v>10476.4</v>
      </c>
      <c r="C638" s="90">
        <v>1113.3999999999442</v>
      </c>
      <c r="D638" s="90">
        <v>10513.5</v>
      </c>
      <c r="E638" s="90">
        <v>1113.4999999999441</v>
      </c>
      <c r="G638" s="66">
        <v>1113.4999999999441</v>
      </c>
      <c r="H638" s="66">
        <v>10513.5</v>
      </c>
      <c r="I638" s="66">
        <v>1113.599999999944</v>
      </c>
      <c r="J638" s="66">
        <v>10550.6</v>
      </c>
    </row>
    <row r="639" spans="2:10">
      <c r="B639" s="90">
        <v>10513.5</v>
      </c>
      <c r="C639" s="90">
        <v>1113.4999999999441</v>
      </c>
      <c r="D639" s="90">
        <v>10550.6</v>
      </c>
      <c r="E639" s="90">
        <v>1113.599999999944</v>
      </c>
      <c r="G639" s="66">
        <v>1113.599999999944</v>
      </c>
      <c r="H639" s="66">
        <v>10550.6</v>
      </c>
      <c r="I639" s="66">
        <v>1113.6999999999439</v>
      </c>
      <c r="J639" s="66">
        <v>10587.7</v>
      </c>
    </row>
    <row r="640" spans="2:10">
      <c r="B640" s="90">
        <v>10550.6</v>
      </c>
      <c r="C640" s="90">
        <v>1113.599999999944</v>
      </c>
      <c r="D640" s="90">
        <v>10587.7</v>
      </c>
      <c r="E640" s="90">
        <v>1113.6999999999439</v>
      </c>
      <c r="G640" s="66">
        <v>1113.6999999999439</v>
      </c>
      <c r="H640" s="66">
        <v>10587.7</v>
      </c>
      <c r="I640" s="66">
        <v>1113.7999999999438</v>
      </c>
      <c r="J640" s="66">
        <v>10624.8</v>
      </c>
    </row>
    <row r="641" spans="2:10">
      <c r="B641" s="90">
        <v>10587.7</v>
      </c>
      <c r="C641" s="90">
        <v>1113.6999999999439</v>
      </c>
      <c r="D641" s="90">
        <v>10624.8</v>
      </c>
      <c r="E641" s="90">
        <v>1113.7999999999438</v>
      </c>
      <c r="G641" s="66">
        <v>1113.7999999999438</v>
      </c>
      <c r="H641" s="66">
        <v>10624.8</v>
      </c>
      <c r="I641" s="66">
        <v>1113.8999999999437</v>
      </c>
      <c r="J641" s="66">
        <v>10661.9</v>
      </c>
    </row>
    <row r="642" spans="2:10">
      <c r="B642" s="90">
        <v>10624.8</v>
      </c>
      <c r="C642" s="90">
        <v>1113.7999999999438</v>
      </c>
      <c r="D642" s="90">
        <v>10661.9</v>
      </c>
      <c r="E642" s="90">
        <v>1113.8999999999437</v>
      </c>
      <c r="G642" s="66">
        <v>1113.8999999999437</v>
      </c>
      <c r="H642" s="66">
        <v>10661.9</v>
      </c>
      <c r="I642" s="66">
        <v>1113.9999999999436</v>
      </c>
      <c r="J642" s="66">
        <v>10699</v>
      </c>
    </row>
    <row r="643" spans="2:10">
      <c r="B643" s="90">
        <v>10661.9</v>
      </c>
      <c r="C643" s="90">
        <v>1113.8999999999437</v>
      </c>
      <c r="D643" s="90">
        <v>10699</v>
      </c>
      <c r="E643" s="90">
        <v>1113.9999999999436</v>
      </c>
      <c r="G643" s="66">
        <v>1113.9999999999436</v>
      </c>
      <c r="H643" s="66">
        <v>10699</v>
      </c>
      <c r="I643" s="66">
        <v>1114.0999999999435</v>
      </c>
      <c r="J643" s="66">
        <v>10737</v>
      </c>
    </row>
    <row r="644" spans="2:10">
      <c r="B644" s="90">
        <v>10699</v>
      </c>
      <c r="C644" s="90">
        <v>1113.9999999999436</v>
      </c>
      <c r="D644" s="90">
        <v>10737</v>
      </c>
      <c r="E644" s="90">
        <v>1114.0999999999435</v>
      </c>
      <c r="G644" s="66">
        <v>1114.0999999999435</v>
      </c>
      <c r="H644" s="66">
        <v>10737</v>
      </c>
      <c r="I644" s="66">
        <v>1114.1999999999434</v>
      </c>
      <c r="J644" s="66">
        <v>10775</v>
      </c>
    </row>
    <row r="645" spans="2:10">
      <c r="B645" s="90">
        <v>10737</v>
      </c>
      <c r="C645" s="90">
        <v>1114.0999999999435</v>
      </c>
      <c r="D645" s="90">
        <v>10775</v>
      </c>
      <c r="E645" s="90">
        <v>1114.1999999999434</v>
      </c>
      <c r="G645" s="66">
        <v>1114.1999999999434</v>
      </c>
      <c r="H645" s="66">
        <v>10775</v>
      </c>
      <c r="I645" s="66">
        <v>1114.2999999999433</v>
      </c>
      <c r="J645" s="66">
        <v>10813</v>
      </c>
    </row>
    <row r="646" spans="2:10">
      <c r="B646" s="90">
        <v>10775</v>
      </c>
      <c r="C646" s="90">
        <v>1114.1999999999434</v>
      </c>
      <c r="D646" s="90">
        <v>10813</v>
      </c>
      <c r="E646" s="90">
        <v>1114.2999999999433</v>
      </c>
      <c r="G646" s="66">
        <v>1114.2999999999433</v>
      </c>
      <c r="H646" s="66">
        <v>10813</v>
      </c>
      <c r="I646" s="66">
        <v>1114.3999999999432</v>
      </c>
      <c r="J646" s="66">
        <v>10851</v>
      </c>
    </row>
    <row r="647" spans="2:10">
      <c r="B647" s="90">
        <v>10813</v>
      </c>
      <c r="C647" s="90">
        <v>1114.2999999999433</v>
      </c>
      <c r="D647" s="90">
        <v>10851</v>
      </c>
      <c r="E647" s="90">
        <v>1114.3999999999432</v>
      </c>
      <c r="G647" s="66">
        <v>1114.3999999999432</v>
      </c>
      <c r="H647" s="66">
        <v>10851</v>
      </c>
      <c r="I647" s="66">
        <v>1114.4999999999432</v>
      </c>
      <c r="J647" s="66">
        <v>10889</v>
      </c>
    </row>
    <row r="648" spans="2:10">
      <c r="B648" s="90">
        <v>10851</v>
      </c>
      <c r="C648" s="90">
        <v>1114.3999999999432</v>
      </c>
      <c r="D648" s="90">
        <v>10889</v>
      </c>
      <c r="E648" s="90">
        <v>1114.4999999999432</v>
      </c>
      <c r="G648" s="66">
        <v>1114.4999999999432</v>
      </c>
      <c r="H648" s="66">
        <v>10889</v>
      </c>
      <c r="I648" s="66">
        <v>1114.5999999999431</v>
      </c>
      <c r="J648" s="66">
        <v>10927</v>
      </c>
    </row>
    <row r="649" spans="2:10">
      <c r="B649" s="90">
        <v>10889</v>
      </c>
      <c r="C649" s="90">
        <v>1114.4999999999432</v>
      </c>
      <c r="D649" s="90">
        <v>10927</v>
      </c>
      <c r="E649" s="90">
        <v>1114.5999999999431</v>
      </c>
      <c r="G649" s="66">
        <v>1114.5999999999431</v>
      </c>
      <c r="H649" s="66">
        <v>10927</v>
      </c>
      <c r="I649" s="66">
        <v>1114.699999999943</v>
      </c>
      <c r="J649" s="66">
        <v>10965</v>
      </c>
    </row>
    <row r="650" spans="2:10">
      <c r="B650" s="90">
        <v>10927</v>
      </c>
      <c r="C650" s="90">
        <v>1114.5999999999431</v>
      </c>
      <c r="D650" s="90">
        <v>10965</v>
      </c>
      <c r="E650" s="90">
        <v>1114.699999999943</v>
      </c>
      <c r="G650" s="66">
        <v>1114.699999999943</v>
      </c>
      <c r="H650" s="66">
        <v>10965</v>
      </c>
      <c r="I650" s="66">
        <v>1114.7999999999429</v>
      </c>
      <c r="J650" s="66">
        <v>11003</v>
      </c>
    </row>
    <row r="651" spans="2:10">
      <c r="B651" s="90">
        <v>10965</v>
      </c>
      <c r="C651" s="90">
        <v>1114.699999999943</v>
      </c>
      <c r="D651" s="90">
        <v>11003</v>
      </c>
      <c r="E651" s="90">
        <v>1114.7999999999429</v>
      </c>
      <c r="G651" s="66">
        <v>1114.7999999999429</v>
      </c>
      <c r="H651" s="66">
        <v>11003</v>
      </c>
      <c r="I651" s="66">
        <v>1114.8999999999428</v>
      </c>
      <c r="J651" s="66">
        <v>11041</v>
      </c>
    </row>
    <row r="652" spans="2:10">
      <c r="B652" s="90">
        <v>11003</v>
      </c>
      <c r="C652" s="90">
        <v>1114.7999999999429</v>
      </c>
      <c r="D652" s="90">
        <v>11041</v>
      </c>
      <c r="E652" s="90">
        <v>1114.8999999999428</v>
      </c>
      <c r="G652" s="66">
        <v>1114.8999999999428</v>
      </c>
      <c r="H652" s="66">
        <v>11041</v>
      </c>
      <c r="I652" s="66">
        <v>1114.9999999999427</v>
      </c>
      <c r="J652" s="66">
        <v>11079</v>
      </c>
    </row>
    <row r="653" spans="2:10">
      <c r="B653" s="90">
        <v>11041</v>
      </c>
      <c r="C653" s="90">
        <v>1114.8999999999428</v>
      </c>
      <c r="D653" s="90">
        <v>11079</v>
      </c>
      <c r="E653" s="90">
        <v>1114.9999999999427</v>
      </c>
      <c r="G653" s="66">
        <v>1114.9999999999427</v>
      </c>
      <c r="H653" s="66">
        <v>11079</v>
      </c>
      <c r="I653" s="66">
        <v>1115.0999999999426</v>
      </c>
      <c r="J653" s="66">
        <v>11118.1</v>
      </c>
    </row>
    <row r="654" spans="2:10">
      <c r="B654" s="90">
        <v>11079</v>
      </c>
      <c r="C654" s="90">
        <v>1114.9999999999427</v>
      </c>
      <c r="D654" s="90">
        <v>11118.1</v>
      </c>
      <c r="E654" s="90">
        <v>1115.0999999999426</v>
      </c>
      <c r="G654" s="66">
        <v>1115.0999999999426</v>
      </c>
      <c r="H654" s="66">
        <v>11118.1</v>
      </c>
      <c r="I654" s="66">
        <v>1115.1999999999425</v>
      </c>
      <c r="J654" s="66">
        <v>11157.2</v>
      </c>
    </row>
    <row r="655" spans="2:10">
      <c r="B655" s="90">
        <v>11118.1</v>
      </c>
      <c r="C655" s="90">
        <v>1115.0999999999426</v>
      </c>
      <c r="D655" s="90">
        <v>11157.2</v>
      </c>
      <c r="E655" s="90">
        <v>1115.1999999999425</v>
      </c>
      <c r="G655" s="66">
        <v>1115.1999999999425</v>
      </c>
      <c r="H655" s="66">
        <v>11157.2</v>
      </c>
      <c r="I655" s="66">
        <v>1115.2999999999424</v>
      </c>
      <c r="J655" s="66">
        <v>11196.3</v>
      </c>
    </row>
    <row r="656" spans="2:10">
      <c r="B656" s="90">
        <v>11157.2</v>
      </c>
      <c r="C656" s="90">
        <v>1115.1999999999425</v>
      </c>
      <c r="D656" s="90">
        <v>11196.3</v>
      </c>
      <c r="E656" s="90">
        <v>1115.2999999999424</v>
      </c>
      <c r="G656" s="66">
        <v>1115.2999999999424</v>
      </c>
      <c r="H656" s="66">
        <v>11196.3</v>
      </c>
      <c r="I656" s="66">
        <v>1115.3999999999423</v>
      </c>
      <c r="J656" s="66">
        <v>11235.4</v>
      </c>
    </row>
    <row r="657" spans="2:10">
      <c r="B657" s="90">
        <v>11196.3</v>
      </c>
      <c r="C657" s="90">
        <v>1115.2999999999424</v>
      </c>
      <c r="D657" s="90">
        <v>11235.4</v>
      </c>
      <c r="E657" s="90">
        <v>1115.3999999999423</v>
      </c>
      <c r="G657" s="66">
        <v>1115.3999999999423</v>
      </c>
      <c r="H657" s="66">
        <v>11235.4</v>
      </c>
      <c r="I657" s="66">
        <v>1115.4999999999422</v>
      </c>
      <c r="J657" s="66">
        <v>11274.5</v>
      </c>
    </row>
    <row r="658" spans="2:10">
      <c r="B658" s="90">
        <v>11235.4</v>
      </c>
      <c r="C658" s="90">
        <v>1115.3999999999423</v>
      </c>
      <c r="D658" s="90">
        <v>11274.5</v>
      </c>
      <c r="E658" s="90">
        <v>1115.4999999999422</v>
      </c>
      <c r="G658" s="66">
        <v>1115.4999999999422</v>
      </c>
      <c r="H658" s="66">
        <v>11274.5</v>
      </c>
      <c r="I658" s="66">
        <v>1115.5999999999422</v>
      </c>
      <c r="J658" s="66">
        <v>11313.6</v>
      </c>
    </row>
    <row r="659" spans="2:10">
      <c r="B659" s="90">
        <v>11274.5</v>
      </c>
      <c r="C659" s="90">
        <v>1115.4999999999422</v>
      </c>
      <c r="D659" s="90">
        <v>11313.6</v>
      </c>
      <c r="E659" s="90">
        <v>1115.5999999999422</v>
      </c>
      <c r="G659" s="66">
        <v>1115.5999999999422</v>
      </c>
      <c r="H659" s="66">
        <v>11313.6</v>
      </c>
      <c r="I659" s="66">
        <v>1115.6999999999421</v>
      </c>
      <c r="J659" s="66">
        <v>11352.7</v>
      </c>
    </row>
    <row r="660" spans="2:10">
      <c r="B660" s="90">
        <v>11313.6</v>
      </c>
      <c r="C660" s="90">
        <v>1115.5999999999422</v>
      </c>
      <c r="D660" s="90">
        <v>11352.7</v>
      </c>
      <c r="E660" s="90">
        <v>1115.6999999999421</v>
      </c>
      <c r="G660" s="66">
        <v>1115.6999999999421</v>
      </c>
      <c r="H660" s="66">
        <v>11352.7</v>
      </c>
      <c r="I660" s="66">
        <v>1115.799999999942</v>
      </c>
      <c r="J660" s="66">
        <v>11391.8</v>
      </c>
    </row>
    <row r="661" spans="2:10">
      <c r="B661" s="90">
        <v>11352.7</v>
      </c>
      <c r="C661" s="90">
        <v>1115.6999999999421</v>
      </c>
      <c r="D661" s="90">
        <v>11391.8</v>
      </c>
      <c r="E661" s="90">
        <v>1115.799999999942</v>
      </c>
      <c r="G661" s="66">
        <v>1115.799999999942</v>
      </c>
      <c r="H661" s="66">
        <v>11391.8</v>
      </c>
      <c r="I661" s="66">
        <v>1115.8999999999419</v>
      </c>
      <c r="J661" s="66">
        <v>11430.9</v>
      </c>
    </row>
    <row r="662" spans="2:10">
      <c r="B662" s="90">
        <v>11391.8</v>
      </c>
      <c r="C662" s="90">
        <v>1115.799999999942</v>
      </c>
      <c r="D662" s="90">
        <v>11430.9</v>
      </c>
      <c r="E662" s="90">
        <v>1115.8999999999419</v>
      </c>
      <c r="G662" s="66">
        <v>1115.8999999999419</v>
      </c>
      <c r="H662" s="66">
        <v>11430.9</v>
      </c>
      <c r="I662" s="66">
        <v>1115.9999999999418</v>
      </c>
      <c r="J662" s="66">
        <v>11470</v>
      </c>
    </row>
    <row r="663" spans="2:10">
      <c r="B663" s="90">
        <v>11430.9</v>
      </c>
      <c r="C663" s="90">
        <v>1115.8999999999419</v>
      </c>
      <c r="D663" s="90">
        <v>11470</v>
      </c>
      <c r="E663" s="90">
        <v>1115.9999999999418</v>
      </c>
      <c r="G663" s="66">
        <v>1115.9999999999418</v>
      </c>
      <c r="H663" s="66">
        <v>11470</v>
      </c>
      <c r="I663" s="66">
        <v>1116.0999999999417</v>
      </c>
      <c r="J663" s="66">
        <v>11510.1</v>
      </c>
    </row>
    <row r="664" spans="2:10">
      <c r="B664" s="90">
        <v>11470</v>
      </c>
      <c r="C664" s="90">
        <v>1115.9999999999418</v>
      </c>
      <c r="D664" s="90">
        <v>11510.1</v>
      </c>
      <c r="E664" s="90">
        <v>1116.0999999999417</v>
      </c>
      <c r="G664" s="66">
        <v>1116.0999999999417</v>
      </c>
      <c r="H664" s="66">
        <v>11510.1</v>
      </c>
      <c r="I664" s="66">
        <v>1116.1999999999416</v>
      </c>
      <c r="J664" s="66">
        <v>11550.2</v>
      </c>
    </row>
    <row r="665" spans="2:10">
      <c r="B665" s="90">
        <v>11510.1</v>
      </c>
      <c r="C665" s="90">
        <v>1116.0999999999417</v>
      </c>
      <c r="D665" s="90">
        <v>11550.2</v>
      </c>
      <c r="E665" s="90">
        <v>1116.1999999999416</v>
      </c>
      <c r="G665" s="66">
        <v>1116.1999999999416</v>
      </c>
      <c r="H665" s="66">
        <v>11550.2</v>
      </c>
      <c r="I665" s="66">
        <v>1116.2999999999415</v>
      </c>
      <c r="J665" s="66">
        <v>11590.3</v>
      </c>
    </row>
    <row r="666" spans="2:10">
      <c r="B666" s="90">
        <v>11550.2</v>
      </c>
      <c r="C666" s="90">
        <v>1116.1999999999416</v>
      </c>
      <c r="D666" s="90">
        <v>11590.3</v>
      </c>
      <c r="E666" s="90">
        <v>1116.2999999999415</v>
      </c>
      <c r="G666" s="66">
        <v>1116.2999999999415</v>
      </c>
      <c r="H666" s="66">
        <v>11590.3</v>
      </c>
      <c r="I666" s="66">
        <v>1116.3999999999414</v>
      </c>
      <c r="J666" s="66">
        <v>11630.4</v>
      </c>
    </row>
    <row r="667" spans="2:10">
      <c r="B667" s="90">
        <v>11590.3</v>
      </c>
      <c r="C667" s="90">
        <v>1116.2999999999415</v>
      </c>
      <c r="D667" s="90">
        <v>11630.4</v>
      </c>
      <c r="E667" s="90">
        <v>1116.3999999999414</v>
      </c>
      <c r="G667" s="66">
        <v>1116.3999999999414</v>
      </c>
      <c r="H667" s="66">
        <v>11630.4</v>
      </c>
      <c r="I667" s="66">
        <v>1116.4999999999413</v>
      </c>
      <c r="J667" s="66">
        <v>11670.5</v>
      </c>
    </row>
    <row r="668" spans="2:10">
      <c r="B668" s="90">
        <v>11630.4</v>
      </c>
      <c r="C668" s="90">
        <v>1116.3999999999414</v>
      </c>
      <c r="D668" s="90">
        <v>11670.5</v>
      </c>
      <c r="E668" s="90">
        <v>1116.4999999999413</v>
      </c>
      <c r="G668" s="66">
        <v>1116.4999999999413</v>
      </c>
      <c r="H668" s="66">
        <v>11670.5</v>
      </c>
      <c r="I668" s="66">
        <v>1116.5999999999412</v>
      </c>
      <c r="J668" s="66">
        <v>11710.6</v>
      </c>
    </row>
    <row r="669" spans="2:10">
      <c r="B669" s="90">
        <v>11670.5</v>
      </c>
      <c r="C669" s="90">
        <v>1116.4999999999413</v>
      </c>
      <c r="D669" s="90">
        <v>11710.6</v>
      </c>
      <c r="E669" s="90">
        <v>1116.5999999999412</v>
      </c>
      <c r="G669" s="66">
        <v>1116.5999999999412</v>
      </c>
      <c r="H669" s="66">
        <v>11710.6</v>
      </c>
      <c r="I669" s="66">
        <v>1116.6999999999412</v>
      </c>
      <c r="J669" s="66">
        <v>11750.7</v>
      </c>
    </row>
    <row r="670" spans="2:10">
      <c r="B670" s="90">
        <v>11710.6</v>
      </c>
      <c r="C670" s="90">
        <v>1116.5999999999412</v>
      </c>
      <c r="D670" s="90">
        <v>11750.7</v>
      </c>
      <c r="E670" s="90">
        <v>1116.6999999999412</v>
      </c>
      <c r="G670" s="66">
        <v>1116.6999999999412</v>
      </c>
      <c r="H670" s="66">
        <v>11750.7</v>
      </c>
      <c r="I670" s="66">
        <v>1116.7999999999411</v>
      </c>
      <c r="J670" s="66">
        <v>11790.8</v>
      </c>
    </row>
    <row r="671" spans="2:10">
      <c r="B671" s="90">
        <v>11750.7</v>
      </c>
      <c r="C671" s="90">
        <v>1116.6999999999412</v>
      </c>
      <c r="D671" s="90">
        <v>11790.8</v>
      </c>
      <c r="E671" s="90">
        <v>1116.7999999999411</v>
      </c>
      <c r="G671" s="66">
        <v>1116.7999999999411</v>
      </c>
      <c r="H671" s="66">
        <v>11790.8</v>
      </c>
      <c r="I671" s="66">
        <v>1116.899999999941</v>
      </c>
      <c r="J671" s="66">
        <v>11830.9</v>
      </c>
    </row>
    <row r="672" spans="2:10">
      <c r="B672" s="90">
        <v>11790.8</v>
      </c>
      <c r="C672" s="90">
        <v>1116.7999999999411</v>
      </c>
      <c r="D672" s="90">
        <v>11830.9</v>
      </c>
      <c r="E672" s="90">
        <v>1116.899999999941</v>
      </c>
      <c r="G672" s="66">
        <v>1116.899999999941</v>
      </c>
      <c r="H672" s="66">
        <v>11830.9</v>
      </c>
      <c r="I672" s="66">
        <v>1116.9999999999409</v>
      </c>
      <c r="J672" s="66">
        <v>11871</v>
      </c>
    </row>
    <row r="673" spans="2:10">
      <c r="B673" s="90">
        <v>11830.9</v>
      </c>
      <c r="C673" s="90">
        <v>1116.899999999941</v>
      </c>
      <c r="D673" s="90">
        <v>11871</v>
      </c>
      <c r="E673" s="90">
        <v>1116.9999999999409</v>
      </c>
      <c r="G673" s="66">
        <v>1116.9999999999409</v>
      </c>
      <c r="H673" s="66">
        <v>11871</v>
      </c>
      <c r="I673" s="66">
        <v>1117.0999999999408</v>
      </c>
      <c r="J673" s="66">
        <v>11912.2</v>
      </c>
    </row>
    <row r="674" spans="2:10">
      <c r="B674" s="90">
        <v>11871</v>
      </c>
      <c r="C674" s="90">
        <v>1116.9999999999409</v>
      </c>
      <c r="D674" s="90">
        <v>11912.2</v>
      </c>
      <c r="E674" s="90">
        <v>1117.0999999999408</v>
      </c>
      <c r="G674" s="66">
        <v>1117.0999999999408</v>
      </c>
      <c r="H674" s="66">
        <v>11912.2</v>
      </c>
      <c r="I674" s="66">
        <v>1117.1999999999407</v>
      </c>
      <c r="J674" s="66">
        <v>11953.4</v>
      </c>
    </row>
    <row r="675" spans="2:10">
      <c r="B675" s="90">
        <v>11912.2</v>
      </c>
      <c r="C675" s="90">
        <v>1117.0999999999408</v>
      </c>
      <c r="D675" s="90">
        <v>11953.4</v>
      </c>
      <c r="E675" s="90">
        <v>1117.1999999999407</v>
      </c>
      <c r="G675" s="66">
        <v>1117.1999999999407</v>
      </c>
      <c r="H675" s="66">
        <v>11953.4</v>
      </c>
      <c r="I675" s="66">
        <v>1117.2999999999406</v>
      </c>
      <c r="J675" s="66">
        <v>11994.6</v>
      </c>
    </row>
    <row r="676" spans="2:10">
      <c r="B676" s="90">
        <v>11953.4</v>
      </c>
      <c r="C676" s="90">
        <v>1117.1999999999407</v>
      </c>
      <c r="D676" s="90">
        <v>11994.6</v>
      </c>
      <c r="E676" s="90">
        <v>1117.2999999999406</v>
      </c>
      <c r="G676" s="66">
        <v>1117.2999999999406</v>
      </c>
      <c r="H676" s="66">
        <v>11994.6</v>
      </c>
      <c r="I676" s="66">
        <v>1117.3999999999405</v>
      </c>
      <c r="J676" s="66">
        <v>12035.8</v>
      </c>
    </row>
    <row r="677" spans="2:10">
      <c r="B677" s="90">
        <v>11994.6</v>
      </c>
      <c r="C677" s="90">
        <v>1117.2999999999406</v>
      </c>
      <c r="D677" s="90">
        <v>12035.8</v>
      </c>
      <c r="E677" s="90">
        <v>1117.3999999999405</v>
      </c>
      <c r="G677" s="66">
        <v>1117.3999999999405</v>
      </c>
      <c r="H677" s="66">
        <v>12035.8</v>
      </c>
      <c r="I677" s="66">
        <v>1117.4999999999404</v>
      </c>
      <c r="J677" s="66">
        <v>12077</v>
      </c>
    </row>
    <row r="678" spans="2:10">
      <c r="B678" s="90">
        <v>12035.8</v>
      </c>
      <c r="C678" s="90">
        <v>1117.3999999999405</v>
      </c>
      <c r="D678" s="90">
        <v>12077</v>
      </c>
      <c r="E678" s="90">
        <v>1117.4999999999404</v>
      </c>
      <c r="G678" s="66">
        <v>1117.4999999999404</v>
      </c>
      <c r="H678" s="66">
        <v>12077</v>
      </c>
      <c r="I678" s="66">
        <v>1117.5999999999403</v>
      </c>
      <c r="J678" s="66">
        <v>12118.2</v>
      </c>
    </row>
    <row r="679" spans="2:10">
      <c r="B679" s="90">
        <v>12077</v>
      </c>
      <c r="C679" s="90">
        <v>1117.4999999999404</v>
      </c>
      <c r="D679" s="90">
        <v>12118.2</v>
      </c>
      <c r="E679" s="90">
        <v>1117.5999999999403</v>
      </c>
      <c r="G679" s="66">
        <v>1117.5999999999403</v>
      </c>
      <c r="H679" s="66">
        <v>12118.2</v>
      </c>
      <c r="I679" s="66">
        <v>1117.6999999999402</v>
      </c>
      <c r="J679" s="66">
        <v>12159.4</v>
      </c>
    </row>
    <row r="680" spans="2:10">
      <c r="B680" s="90">
        <v>12118.2</v>
      </c>
      <c r="C680" s="90">
        <v>1117.5999999999403</v>
      </c>
      <c r="D680" s="90">
        <v>12159.4</v>
      </c>
      <c r="E680" s="90">
        <v>1117.6999999999402</v>
      </c>
      <c r="G680" s="66">
        <v>1117.6999999999402</v>
      </c>
      <c r="H680" s="66">
        <v>12159.4</v>
      </c>
      <c r="I680" s="66">
        <v>1117.7999999999402</v>
      </c>
      <c r="J680" s="66">
        <v>12200.6</v>
      </c>
    </row>
    <row r="681" spans="2:10">
      <c r="B681" s="90">
        <v>12159.4</v>
      </c>
      <c r="C681" s="90">
        <v>1117.6999999999402</v>
      </c>
      <c r="D681" s="90">
        <v>12200.6</v>
      </c>
      <c r="E681" s="90">
        <v>1117.7999999999402</v>
      </c>
      <c r="G681" s="66">
        <v>1117.7999999999402</v>
      </c>
      <c r="H681" s="66">
        <v>12200.6</v>
      </c>
      <c r="I681" s="66">
        <v>1117.8999999999401</v>
      </c>
      <c r="J681" s="66">
        <v>12241.8</v>
      </c>
    </row>
    <row r="682" spans="2:10">
      <c r="B682" s="90">
        <v>12200.6</v>
      </c>
      <c r="C682" s="90">
        <v>1117.7999999999402</v>
      </c>
      <c r="D682" s="90">
        <v>12241.8</v>
      </c>
      <c r="E682" s="90">
        <v>1117.8999999999401</v>
      </c>
      <c r="G682" s="66">
        <v>1117.8999999999401</v>
      </c>
      <c r="H682" s="66">
        <v>12241.8</v>
      </c>
      <c r="I682" s="66">
        <v>1117.99999999994</v>
      </c>
      <c r="J682" s="66">
        <v>12283</v>
      </c>
    </row>
    <row r="683" spans="2:10">
      <c r="B683" s="90">
        <v>12241.8</v>
      </c>
      <c r="C683" s="90">
        <v>1117.8999999999401</v>
      </c>
      <c r="D683" s="90">
        <v>12283</v>
      </c>
      <c r="E683" s="90">
        <v>1117.99999999994</v>
      </c>
      <c r="G683" s="66">
        <v>1117.99999999994</v>
      </c>
      <c r="H683" s="66">
        <v>12283</v>
      </c>
      <c r="I683" s="66">
        <v>1118.0999999999399</v>
      </c>
      <c r="J683" s="66">
        <v>12325.3</v>
      </c>
    </row>
    <row r="684" spans="2:10">
      <c r="B684" s="90">
        <v>12283</v>
      </c>
      <c r="C684" s="90">
        <v>1117.99999999994</v>
      </c>
      <c r="D684" s="90">
        <v>12325.3</v>
      </c>
      <c r="E684" s="90">
        <v>1118.0999999999399</v>
      </c>
      <c r="G684" s="66">
        <v>1118.0999999999399</v>
      </c>
      <c r="H684" s="66">
        <v>12325.3</v>
      </c>
      <c r="I684" s="66">
        <v>1118.1999999999398</v>
      </c>
      <c r="J684" s="66">
        <v>12367.6</v>
      </c>
    </row>
    <row r="685" spans="2:10">
      <c r="B685" s="90">
        <v>12325.3</v>
      </c>
      <c r="C685" s="90">
        <v>1118.0999999999399</v>
      </c>
      <c r="D685" s="90">
        <v>12367.6</v>
      </c>
      <c r="E685" s="90">
        <v>1118.1999999999398</v>
      </c>
      <c r="G685" s="66">
        <v>1118.1999999999398</v>
      </c>
      <c r="H685" s="66">
        <v>12367.6</v>
      </c>
      <c r="I685" s="66">
        <v>1118.2999999999397</v>
      </c>
      <c r="J685" s="66">
        <v>12409.9</v>
      </c>
    </row>
    <row r="686" spans="2:10">
      <c r="B686" s="90">
        <v>12367.6</v>
      </c>
      <c r="C686" s="90">
        <v>1118.1999999999398</v>
      </c>
      <c r="D686" s="90">
        <v>12409.9</v>
      </c>
      <c r="E686" s="90">
        <v>1118.2999999999397</v>
      </c>
      <c r="G686" s="66">
        <v>1118.2999999999397</v>
      </c>
      <c r="H686" s="66">
        <v>12409.9</v>
      </c>
      <c r="I686" s="66">
        <v>1118.3999999999396</v>
      </c>
      <c r="J686" s="66">
        <v>12452.2</v>
      </c>
    </row>
    <row r="687" spans="2:10">
      <c r="B687" s="90">
        <v>12409.9</v>
      </c>
      <c r="C687" s="90">
        <v>1118.2999999999397</v>
      </c>
      <c r="D687" s="90">
        <v>12452.2</v>
      </c>
      <c r="E687" s="90">
        <v>1118.3999999999396</v>
      </c>
      <c r="G687" s="66">
        <v>1118.3999999999396</v>
      </c>
      <c r="H687" s="66">
        <v>12452.2</v>
      </c>
      <c r="I687" s="66">
        <v>1118.4999999999395</v>
      </c>
      <c r="J687" s="66">
        <v>12494.5</v>
      </c>
    </row>
    <row r="688" spans="2:10">
      <c r="B688" s="90">
        <v>12452.2</v>
      </c>
      <c r="C688" s="90">
        <v>1118.3999999999396</v>
      </c>
      <c r="D688" s="90">
        <v>12494.5</v>
      </c>
      <c r="E688" s="90">
        <v>1118.4999999999395</v>
      </c>
      <c r="G688" s="66">
        <v>1118.4999999999395</v>
      </c>
      <c r="H688" s="66">
        <v>12494.5</v>
      </c>
      <c r="I688" s="66">
        <v>1118.5999999999394</v>
      </c>
      <c r="J688" s="66">
        <v>12536.8</v>
      </c>
    </row>
    <row r="689" spans="2:10">
      <c r="B689" s="90">
        <v>12494.5</v>
      </c>
      <c r="C689" s="90">
        <v>1118.4999999999395</v>
      </c>
      <c r="D689" s="90">
        <v>12536.8</v>
      </c>
      <c r="E689" s="90">
        <v>1118.5999999999394</v>
      </c>
      <c r="G689" s="66">
        <v>1118.5999999999394</v>
      </c>
      <c r="H689" s="66">
        <v>12536.8</v>
      </c>
      <c r="I689" s="66">
        <v>1118.6999999999393</v>
      </c>
      <c r="J689" s="66">
        <v>12579.1</v>
      </c>
    </row>
    <row r="690" spans="2:10">
      <c r="B690" s="90">
        <v>12536.8</v>
      </c>
      <c r="C690" s="90">
        <v>1118.5999999999394</v>
      </c>
      <c r="D690" s="90">
        <v>12579.1</v>
      </c>
      <c r="E690" s="90">
        <v>1118.6999999999393</v>
      </c>
      <c r="G690" s="66">
        <v>1118.6999999999393</v>
      </c>
      <c r="H690" s="66">
        <v>12579.1</v>
      </c>
      <c r="I690" s="66">
        <v>1118.7999999999392</v>
      </c>
      <c r="J690" s="66">
        <v>12621.4</v>
      </c>
    </row>
    <row r="691" spans="2:10">
      <c r="B691" s="90">
        <v>12579.1</v>
      </c>
      <c r="C691" s="90">
        <v>1118.6999999999393</v>
      </c>
      <c r="D691" s="90">
        <v>12621.4</v>
      </c>
      <c r="E691" s="90">
        <v>1118.7999999999392</v>
      </c>
      <c r="G691" s="66">
        <v>1118.7999999999392</v>
      </c>
      <c r="H691" s="66">
        <v>12621.4</v>
      </c>
      <c r="I691" s="66">
        <v>1118.8999999999392</v>
      </c>
      <c r="J691" s="66">
        <v>12663.7</v>
      </c>
    </row>
    <row r="692" spans="2:10">
      <c r="B692" s="90">
        <v>12621.4</v>
      </c>
      <c r="C692" s="90">
        <v>1118.7999999999392</v>
      </c>
      <c r="D692" s="90">
        <v>12663.7</v>
      </c>
      <c r="E692" s="90">
        <v>1118.8999999999392</v>
      </c>
      <c r="G692" s="66">
        <v>1118.8999999999392</v>
      </c>
      <c r="H692" s="66">
        <v>12663.7</v>
      </c>
      <c r="I692" s="66">
        <v>1118.9999999999391</v>
      </c>
      <c r="J692" s="66">
        <v>12706</v>
      </c>
    </row>
    <row r="693" spans="2:10">
      <c r="B693" s="90">
        <v>12663.7</v>
      </c>
      <c r="C693" s="90">
        <v>1118.8999999999392</v>
      </c>
      <c r="D693" s="90">
        <v>12706</v>
      </c>
      <c r="E693" s="90">
        <v>1118.9999999999391</v>
      </c>
      <c r="G693" s="66">
        <v>1118.9999999999391</v>
      </c>
      <c r="H693" s="66">
        <v>12706</v>
      </c>
      <c r="I693" s="66">
        <v>1119.099999999939</v>
      </c>
      <c r="J693" s="66">
        <v>12749.4</v>
      </c>
    </row>
    <row r="694" spans="2:10">
      <c r="B694" s="90">
        <v>12706</v>
      </c>
      <c r="C694" s="90">
        <v>1118.9999999999391</v>
      </c>
      <c r="D694" s="90">
        <v>12749.4</v>
      </c>
      <c r="E694" s="90">
        <v>1119.099999999939</v>
      </c>
      <c r="G694" s="66">
        <v>1119.099999999939</v>
      </c>
      <c r="H694" s="66">
        <v>12749.4</v>
      </c>
      <c r="I694" s="66">
        <v>1119.1999999999389</v>
      </c>
      <c r="J694" s="66">
        <v>12792.8</v>
      </c>
    </row>
    <row r="695" spans="2:10">
      <c r="B695" s="90">
        <v>12749.4</v>
      </c>
      <c r="C695" s="90">
        <v>1119.099999999939</v>
      </c>
      <c r="D695" s="90">
        <v>12792.8</v>
      </c>
      <c r="E695" s="90">
        <v>1119.1999999999389</v>
      </c>
      <c r="G695" s="66">
        <v>1119.1999999999389</v>
      </c>
      <c r="H695" s="66">
        <v>12792.8</v>
      </c>
      <c r="I695" s="66">
        <v>1119.2999999999388</v>
      </c>
      <c r="J695" s="66">
        <v>12836.2</v>
      </c>
    </row>
    <row r="696" spans="2:10">
      <c r="B696" s="90">
        <v>12792.8</v>
      </c>
      <c r="C696" s="90">
        <v>1119.1999999999389</v>
      </c>
      <c r="D696" s="90">
        <v>12836.2</v>
      </c>
      <c r="E696" s="90">
        <v>1119.2999999999388</v>
      </c>
      <c r="G696" s="66">
        <v>1119.2999999999388</v>
      </c>
      <c r="H696" s="66">
        <v>12836.2</v>
      </c>
      <c r="I696" s="66">
        <v>1119.3999999999387</v>
      </c>
      <c r="J696" s="66">
        <v>12879.6</v>
      </c>
    </row>
    <row r="697" spans="2:10">
      <c r="B697" s="90">
        <v>12836.2</v>
      </c>
      <c r="C697" s="90">
        <v>1119.2999999999388</v>
      </c>
      <c r="D697" s="90">
        <v>12879.6</v>
      </c>
      <c r="E697" s="90">
        <v>1119.3999999999387</v>
      </c>
      <c r="G697" s="66">
        <v>1119.3999999999387</v>
      </c>
      <c r="H697" s="66">
        <v>12879.6</v>
      </c>
      <c r="I697" s="66">
        <v>1119.4999999999386</v>
      </c>
      <c r="J697" s="66">
        <v>12923</v>
      </c>
    </row>
    <row r="698" spans="2:10">
      <c r="B698" s="90">
        <v>12879.6</v>
      </c>
      <c r="C698" s="90">
        <v>1119.3999999999387</v>
      </c>
      <c r="D698" s="90">
        <v>12923</v>
      </c>
      <c r="E698" s="90">
        <v>1119.4999999999386</v>
      </c>
      <c r="G698" s="66">
        <v>1119.4999999999386</v>
      </c>
      <c r="H698" s="66">
        <v>12923</v>
      </c>
      <c r="I698" s="66">
        <v>1119.5999999999385</v>
      </c>
      <c r="J698" s="66">
        <v>12966.4</v>
      </c>
    </row>
    <row r="699" spans="2:10">
      <c r="B699" s="90">
        <v>12923</v>
      </c>
      <c r="C699" s="90">
        <v>1119.4999999999386</v>
      </c>
      <c r="D699" s="90">
        <v>12966.4</v>
      </c>
      <c r="E699" s="90">
        <v>1119.5999999999385</v>
      </c>
      <c r="G699" s="66">
        <v>1119.5999999999385</v>
      </c>
      <c r="H699" s="66">
        <v>12966.4</v>
      </c>
      <c r="I699" s="66">
        <v>1119.6999999999384</v>
      </c>
      <c r="J699" s="66">
        <v>13009.8</v>
      </c>
    </row>
    <row r="700" spans="2:10">
      <c r="B700" s="90">
        <v>12966.4</v>
      </c>
      <c r="C700" s="90">
        <v>1119.5999999999385</v>
      </c>
      <c r="D700" s="90">
        <v>13009.8</v>
      </c>
      <c r="E700" s="90">
        <v>1119.6999999999384</v>
      </c>
      <c r="G700" s="66">
        <v>1119.6999999999384</v>
      </c>
      <c r="H700" s="66">
        <v>13009.8</v>
      </c>
      <c r="I700" s="66">
        <v>1119.7999999999383</v>
      </c>
      <c r="J700" s="66">
        <v>13053.2</v>
      </c>
    </row>
    <row r="701" spans="2:10">
      <c r="B701" s="90">
        <v>13009.8</v>
      </c>
      <c r="C701" s="90">
        <v>1119.6999999999384</v>
      </c>
      <c r="D701" s="90">
        <v>13053.2</v>
      </c>
      <c r="E701" s="90">
        <v>1119.7999999999383</v>
      </c>
      <c r="G701" s="66">
        <v>1119.7999999999383</v>
      </c>
      <c r="H701" s="66">
        <v>13053.2</v>
      </c>
      <c r="I701" s="66">
        <v>1119.8999999999382</v>
      </c>
      <c r="J701" s="66">
        <v>13096.6</v>
      </c>
    </row>
    <row r="702" spans="2:10">
      <c r="B702" s="90">
        <v>13053.2</v>
      </c>
      <c r="C702" s="90">
        <v>1119.7999999999383</v>
      </c>
      <c r="D702" s="90">
        <v>13096.6</v>
      </c>
      <c r="E702" s="90">
        <v>1119.8999999999382</v>
      </c>
      <c r="G702" s="66">
        <v>1119.8999999999382</v>
      </c>
      <c r="H702" s="66">
        <v>13096.6</v>
      </c>
      <c r="I702" s="66">
        <v>1119.9999999999382</v>
      </c>
      <c r="J702" s="66">
        <v>13140</v>
      </c>
    </row>
    <row r="703" spans="2:10">
      <c r="B703" s="90">
        <v>13096.6</v>
      </c>
      <c r="C703" s="90">
        <v>1119.8999999999382</v>
      </c>
      <c r="D703" s="90">
        <v>13140</v>
      </c>
      <c r="E703" s="90">
        <v>1119.9999999999382</v>
      </c>
      <c r="G703" s="66">
        <v>1119.9999999999382</v>
      </c>
      <c r="H703" s="66">
        <v>13140</v>
      </c>
      <c r="I703" s="66">
        <v>1120.0999999999381</v>
      </c>
      <c r="J703" s="66">
        <v>13184.5</v>
      </c>
    </row>
    <row r="704" spans="2:10">
      <c r="B704" s="90">
        <v>13140</v>
      </c>
      <c r="C704" s="90">
        <v>1119.9999999999382</v>
      </c>
      <c r="D704" s="90">
        <v>13184.5</v>
      </c>
      <c r="E704" s="90">
        <v>1120.0999999999381</v>
      </c>
      <c r="G704" s="66">
        <v>1120.0999999999381</v>
      </c>
      <c r="H704" s="66">
        <v>13184.5</v>
      </c>
      <c r="I704" s="66">
        <v>1120.199999999938</v>
      </c>
      <c r="J704" s="66">
        <v>13229</v>
      </c>
    </row>
    <row r="705" spans="2:10">
      <c r="B705" s="90">
        <v>13184.5</v>
      </c>
      <c r="C705" s="90">
        <v>1120.0999999999381</v>
      </c>
      <c r="D705" s="90">
        <v>13229</v>
      </c>
      <c r="E705" s="90">
        <v>1120.199999999938</v>
      </c>
      <c r="G705" s="66">
        <v>1120.199999999938</v>
      </c>
      <c r="H705" s="66">
        <v>13229</v>
      </c>
      <c r="I705" s="66">
        <v>1120.2999999999379</v>
      </c>
      <c r="J705" s="66">
        <v>13273.5</v>
      </c>
    </row>
    <row r="706" spans="2:10">
      <c r="B706" s="90">
        <v>13229</v>
      </c>
      <c r="C706" s="90">
        <v>1120.199999999938</v>
      </c>
      <c r="D706" s="90">
        <v>13273.5</v>
      </c>
      <c r="E706" s="90">
        <v>1120.2999999999379</v>
      </c>
      <c r="G706" s="66">
        <v>1120.2999999999379</v>
      </c>
      <c r="H706" s="66">
        <v>13273.5</v>
      </c>
      <c r="I706" s="66">
        <v>1120.3999999999378</v>
      </c>
      <c r="J706" s="66">
        <v>13318</v>
      </c>
    </row>
    <row r="707" spans="2:10">
      <c r="B707" s="90">
        <v>13273.5</v>
      </c>
      <c r="C707" s="90">
        <v>1120.2999999999379</v>
      </c>
      <c r="D707" s="90">
        <v>13318</v>
      </c>
      <c r="E707" s="90">
        <v>1120.3999999999378</v>
      </c>
      <c r="G707" s="66">
        <v>1120.3999999999378</v>
      </c>
      <c r="H707" s="66">
        <v>13318</v>
      </c>
      <c r="I707" s="66">
        <v>1120.4999999999377</v>
      </c>
      <c r="J707" s="66">
        <v>13362.5</v>
      </c>
    </row>
    <row r="708" spans="2:10">
      <c r="B708" s="90">
        <v>13318</v>
      </c>
      <c r="C708" s="90">
        <v>1120.3999999999378</v>
      </c>
      <c r="D708" s="90">
        <v>13362.5</v>
      </c>
      <c r="E708" s="90">
        <v>1120.4999999999377</v>
      </c>
      <c r="G708" s="66">
        <v>1120.4999999999377</v>
      </c>
      <c r="H708" s="66">
        <v>13362.5</v>
      </c>
      <c r="I708" s="66">
        <v>1120.5999999999376</v>
      </c>
      <c r="J708" s="66">
        <v>13407</v>
      </c>
    </row>
    <row r="709" spans="2:10">
      <c r="B709" s="90">
        <v>13362.5</v>
      </c>
      <c r="C709" s="90">
        <v>1120.4999999999377</v>
      </c>
      <c r="D709" s="90">
        <v>13407</v>
      </c>
      <c r="E709" s="90">
        <v>1120.5999999999376</v>
      </c>
      <c r="G709" s="66">
        <v>1120.5999999999376</v>
      </c>
      <c r="H709" s="66">
        <v>13407</v>
      </c>
      <c r="I709" s="66">
        <v>1120.6999999999375</v>
      </c>
      <c r="J709" s="66">
        <v>13451.5</v>
      </c>
    </row>
    <row r="710" spans="2:10">
      <c r="B710" s="90">
        <v>13407</v>
      </c>
      <c r="C710" s="90">
        <v>1120.5999999999376</v>
      </c>
      <c r="D710" s="90">
        <v>13451.5</v>
      </c>
      <c r="E710" s="90">
        <v>1120.6999999999375</v>
      </c>
      <c r="G710" s="66">
        <v>1120.6999999999375</v>
      </c>
      <c r="H710" s="66">
        <v>13451.5</v>
      </c>
      <c r="I710" s="66">
        <v>1120.7999999999374</v>
      </c>
      <c r="J710" s="66">
        <v>13496</v>
      </c>
    </row>
    <row r="711" spans="2:10">
      <c r="B711" s="90">
        <v>13451.5</v>
      </c>
      <c r="C711" s="90">
        <v>1120.6999999999375</v>
      </c>
      <c r="D711" s="90">
        <v>13496</v>
      </c>
      <c r="E711" s="90">
        <v>1120.7999999999374</v>
      </c>
      <c r="G711" s="66">
        <v>1120.7999999999374</v>
      </c>
      <c r="H711" s="66">
        <v>13496</v>
      </c>
      <c r="I711" s="66">
        <v>1120.8999999999373</v>
      </c>
      <c r="J711" s="66">
        <v>13540.5</v>
      </c>
    </row>
    <row r="712" spans="2:10">
      <c r="B712" s="90">
        <v>13496</v>
      </c>
      <c r="C712" s="90">
        <v>1120.7999999999374</v>
      </c>
      <c r="D712" s="90">
        <v>13540.5</v>
      </c>
      <c r="E712" s="90">
        <v>1120.8999999999373</v>
      </c>
      <c r="G712" s="66">
        <v>1120.8999999999373</v>
      </c>
      <c r="H712" s="66">
        <v>13540.5</v>
      </c>
      <c r="I712" s="66">
        <v>1120.9999999999372</v>
      </c>
      <c r="J712" s="66">
        <v>13585</v>
      </c>
    </row>
    <row r="713" spans="2:10">
      <c r="B713" s="90">
        <v>13540.5</v>
      </c>
      <c r="C713" s="90">
        <v>1120.8999999999373</v>
      </c>
      <c r="D713" s="90">
        <v>13585</v>
      </c>
      <c r="E713" s="90">
        <v>1120.9999999999372</v>
      </c>
      <c r="G713" s="66">
        <v>1120.9999999999372</v>
      </c>
      <c r="H713" s="66">
        <v>13585</v>
      </c>
      <c r="I713" s="66">
        <v>1121.0999999999372</v>
      </c>
      <c r="J713" s="66">
        <v>13630.7</v>
      </c>
    </row>
    <row r="714" spans="2:10">
      <c r="B714" s="90">
        <v>13585</v>
      </c>
      <c r="C714" s="90">
        <v>1120.9999999999372</v>
      </c>
      <c r="D714" s="90">
        <v>13630.7</v>
      </c>
      <c r="E714" s="90">
        <v>1121.0999999999372</v>
      </c>
      <c r="G714" s="66">
        <v>1121.0999999999372</v>
      </c>
      <c r="H714" s="66">
        <v>13630.7</v>
      </c>
      <c r="I714" s="66">
        <v>1121.1999999999371</v>
      </c>
      <c r="J714" s="66">
        <v>13676.4</v>
      </c>
    </row>
    <row r="715" spans="2:10">
      <c r="B715" s="90">
        <v>13630.7</v>
      </c>
      <c r="C715" s="90">
        <v>1121.0999999999372</v>
      </c>
      <c r="D715" s="90">
        <v>13676.4</v>
      </c>
      <c r="E715" s="90">
        <v>1121.1999999999371</v>
      </c>
      <c r="G715" s="66">
        <v>1121.1999999999371</v>
      </c>
      <c r="H715" s="66">
        <v>13676.4</v>
      </c>
      <c r="I715" s="66">
        <v>1121.299999999937</v>
      </c>
      <c r="J715" s="66">
        <v>13722.1</v>
      </c>
    </row>
    <row r="716" spans="2:10">
      <c r="B716" s="90">
        <v>13676.4</v>
      </c>
      <c r="C716" s="90">
        <v>1121.1999999999371</v>
      </c>
      <c r="D716" s="90">
        <v>13722.1</v>
      </c>
      <c r="E716" s="90">
        <v>1121.299999999937</v>
      </c>
      <c r="G716" s="66">
        <v>1121.299999999937</v>
      </c>
      <c r="H716" s="66">
        <v>13722.1</v>
      </c>
      <c r="I716" s="66">
        <v>1121.3999999999369</v>
      </c>
      <c r="J716" s="66">
        <v>13767.8</v>
      </c>
    </row>
    <row r="717" spans="2:10">
      <c r="B717" s="90">
        <v>13722.1</v>
      </c>
      <c r="C717" s="90">
        <v>1121.299999999937</v>
      </c>
      <c r="D717" s="90">
        <v>13767.8</v>
      </c>
      <c r="E717" s="90">
        <v>1121.3999999999369</v>
      </c>
      <c r="G717" s="66">
        <v>1121.3999999999369</v>
      </c>
      <c r="H717" s="66">
        <v>13767.8</v>
      </c>
      <c r="I717" s="66">
        <v>1121.4999999999368</v>
      </c>
      <c r="J717" s="66">
        <v>13813.5</v>
      </c>
    </row>
    <row r="718" spans="2:10">
      <c r="B718" s="90">
        <v>13767.8</v>
      </c>
      <c r="C718" s="90">
        <v>1121.3999999999369</v>
      </c>
      <c r="D718" s="90">
        <v>13813.5</v>
      </c>
      <c r="E718" s="90">
        <v>1121.4999999999368</v>
      </c>
      <c r="G718" s="66">
        <v>1121.4999999999368</v>
      </c>
      <c r="H718" s="66">
        <v>13813.5</v>
      </c>
      <c r="I718" s="66">
        <v>1121.5999999999367</v>
      </c>
      <c r="J718" s="66">
        <v>13859.2</v>
      </c>
    </row>
    <row r="719" spans="2:10">
      <c r="B719" s="90">
        <v>13813.5</v>
      </c>
      <c r="C719" s="90">
        <v>1121.4999999999368</v>
      </c>
      <c r="D719" s="90">
        <v>13859.2</v>
      </c>
      <c r="E719" s="90">
        <v>1121.5999999999367</v>
      </c>
      <c r="G719" s="66">
        <v>1121.5999999999367</v>
      </c>
      <c r="H719" s="66">
        <v>13859.2</v>
      </c>
      <c r="I719" s="66">
        <v>1121.6999999999366</v>
      </c>
      <c r="J719" s="66">
        <v>13904.9</v>
      </c>
    </row>
    <row r="720" spans="2:10">
      <c r="B720" s="90">
        <v>13859.2</v>
      </c>
      <c r="C720" s="90">
        <v>1121.5999999999367</v>
      </c>
      <c r="D720" s="90">
        <v>13904.9</v>
      </c>
      <c r="E720" s="90">
        <v>1121.6999999999366</v>
      </c>
      <c r="G720" s="66">
        <v>1121.6999999999366</v>
      </c>
      <c r="H720" s="66">
        <v>13904.9</v>
      </c>
      <c r="I720" s="66">
        <v>1121.7999999999365</v>
      </c>
      <c r="J720" s="66">
        <v>13950.6</v>
      </c>
    </row>
    <row r="721" spans="2:10">
      <c r="B721" s="90">
        <v>13904.9</v>
      </c>
      <c r="C721" s="90">
        <v>1121.6999999999366</v>
      </c>
      <c r="D721" s="90">
        <v>13950.6</v>
      </c>
      <c r="E721" s="90">
        <v>1121.7999999999365</v>
      </c>
      <c r="G721" s="66">
        <v>1121.7999999999365</v>
      </c>
      <c r="H721" s="66">
        <v>13950.6</v>
      </c>
      <c r="I721" s="66">
        <v>1121.8999999999364</v>
      </c>
      <c r="J721" s="66">
        <v>13996.3</v>
      </c>
    </row>
    <row r="722" spans="2:10">
      <c r="B722" s="90">
        <v>13950.6</v>
      </c>
      <c r="C722" s="90">
        <v>1121.7999999999365</v>
      </c>
      <c r="D722" s="90">
        <v>13996.3</v>
      </c>
      <c r="E722" s="90">
        <v>1121.8999999999364</v>
      </c>
      <c r="G722" s="66">
        <v>1121.8999999999364</v>
      </c>
      <c r="H722" s="66">
        <v>13996.3</v>
      </c>
      <c r="I722" s="66">
        <v>1121.9999999999363</v>
      </c>
      <c r="J722" s="66">
        <v>14042</v>
      </c>
    </row>
    <row r="723" spans="2:10">
      <c r="B723" s="90">
        <v>13996.3</v>
      </c>
      <c r="C723" s="90">
        <v>1121.8999999999364</v>
      </c>
      <c r="D723" s="90">
        <v>14042</v>
      </c>
      <c r="E723" s="90">
        <v>1121.9999999999363</v>
      </c>
      <c r="G723" s="66">
        <v>1121.9999999999363</v>
      </c>
      <c r="H723" s="66">
        <v>14042</v>
      </c>
      <c r="I723" s="66">
        <v>1122.0999999999362</v>
      </c>
      <c r="J723" s="66">
        <v>14088.8</v>
      </c>
    </row>
    <row r="724" spans="2:10">
      <c r="B724" s="90">
        <v>14042</v>
      </c>
      <c r="C724" s="90">
        <v>1121.9999999999363</v>
      </c>
      <c r="D724" s="90">
        <v>14088.8</v>
      </c>
      <c r="E724" s="90">
        <v>1122.0999999999362</v>
      </c>
      <c r="G724" s="66">
        <v>1122.0999999999362</v>
      </c>
      <c r="H724" s="66">
        <v>14088.8</v>
      </c>
      <c r="I724" s="66">
        <v>1122.1999999999362</v>
      </c>
      <c r="J724" s="66">
        <v>14135.6</v>
      </c>
    </row>
    <row r="725" spans="2:10">
      <c r="B725" s="90">
        <v>14088.8</v>
      </c>
      <c r="C725" s="90">
        <v>1122.0999999999362</v>
      </c>
      <c r="D725" s="90">
        <v>14135.6</v>
      </c>
      <c r="E725" s="90">
        <v>1122.1999999999362</v>
      </c>
      <c r="G725" s="66">
        <v>1122.1999999999362</v>
      </c>
      <c r="H725" s="66">
        <v>14135.6</v>
      </c>
      <c r="I725" s="66">
        <v>1122.2999999999361</v>
      </c>
      <c r="J725" s="66">
        <v>14182.4</v>
      </c>
    </row>
    <row r="726" spans="2:10">
      <c r="B726" s="90">
        <v>14135.6</v>
      </c>
      <c r="C726" s="90">
        <v>1122.1999999999362</v>
      </c>
      <c r="D726" s="90">
        <v>14182.4</v>
      </c>
      <c r="E726" s="90">
        <v>1122.2999999999361</v>
      </c>
      <c r="G726" s="66">
        <v>1122.2999999999361</v>
      </c>
      <c r="H726" s="66">
        <v>14182.4</v>
      </c>
      <c r="I726" s="66">
        <v>1122.399999999936</v>
      </c>
      <c r="J726" s="66">
        <v>14229.2</v>
      </c>
    </row>
    <row r="727" spans="2:10">
      <c r="B727" s="90">
        <v>14182.4</v>
      </c>
      <c r="C727" s="90">
        <v>1122.2999999999361</v>
      </c>
      <c r="D727" s="90">
        <v>14229.2</v>
      </c>
      <c r="E727" s="90">
        <v>1122.399999999936</v>
      </c>
      <c r="G727" s="66">
        <v>1122.399999999936</v>
      </c>
      <c r="H727" s="66">
        <v>14229.2</v>
      </c>
      <c r="I727" s="66">
        <v>1122.4999999999359</v>
      </c>
      <c r="J727" s="66">
        <v>14276</v>
      </c>
    </row>
    <row r="728" spans="2:10">
      <c r="B728" s="90">
        <v>14229.2</v>
      </c>
      <c r="C728" s="90">
        <v>1122.399999999936</v>
      </c>
      <c r="D728" s="90">
        <v>14276</v>
      </c>
      <c r="E728" s="90">
        <v>1122.4999999999359</v>
      </c>
      <c r="G728" s="66">
        <v>1122.4999999999359</v>
      </c>
      <c r="H728" s="66">
        <v>14276</v>
      </c>
      <c r="I728" s="66">
        <v>1122.5999999999358</v>
      </c>
      <c r="J728" s="66">
        <v>14322.8</v>
      </c>
    </row>
    <row r="729" spans="2:10">
      <c r="B729" s="90">
        <v>14276</v>
      </c>
      <c r="C729" s="90">
        <v>1122.4999999999359</v>
      </c>
      <c r="D729" s="90">
        <v>14322.8</v>
      </c>
      <c r="E729" s="90">
        <v>1122.5999999999358</v>
      </c>
      <c r="G729" s="66">
        <v>1122.5999999999358</v>
      </c>
      <c r="H729" s="66">
        <v>14322.8</v>
      </c>
      <c r="I729" s="66">
        <v>1122.6999999999357</v>
      </c>
      <c r="J729" s="66">
        <v>14369.6</v>
      </c>
    </row>
    <row r="730" spans="2:10">
      <c r="B730" s="90">
        <v>14322.8</v>
      </c>
      <c r="C730" s="90">
        <v>1122.5999999999358</v>
      </c>
      <c r="D730" s="90">
        <v>14369.6</v>
      </c>
      <c r="E730" s="90">
        <v>1122.6999999999357</v>
      </c>
      <c r="G730" s="66">
        <v>1122.6999999999357</v>
      </c>
      <c r="H730" s="66">
        <v>14369.6</v>
      </c>
      <c r="I730" s="66">
        <v>1122.7999999999356</v>
      </c>
      <c r="J730" s="66">
        <v>14416.4</v>
      </c>
    </row>
    <row r="731" spans="2:10">
      <c r="B731" s="90">
        <v>14369.6</v>
      </c>
      <c r="C731" s="90">
        <v>1122.6999999999357</v>
      </c>
      <c r="D731" s="90">
        <v>14416.4</v>
      </c>
      <c r="E731" s="90">
        <v>1122.7999999999356</v>
      </c>
      <c r="G731" s="66">
        <v>1122.7999999999356</v>
      </c>
      <c r="H731" s="66">
        <v>14416.4</v>
      </c>
      <c r="I731" s="66">
        <v>1122.8999999999355</v>
      </c>
      <c r="J731" s="66">
        <v>14463.2</v>
      </c>
    </row>
    <row r="732" spans="2:10">
      <c r="B732" s="90">
        <v>14416.4</v>
      </c>
      <c r="C732" s="90">
        <v>1122.7999999999356</v>
      </c>
      <c r="D732" s="90">
        <v>14463.2</v>
      </c>
      <c r="E732" s="90">
        <v>1122.8999999999355</v>
      </c>
      <c r="G732" s="66">
        <v>1122.8999999999355</v>
      </c>
      <c r="H732" s="66">
        <v>14463.2</v>
      </c>
      <c r="I732" s="66">
        <v>1122.9999999999354</v>
      </c>
      <c r="J732" s="66">
        <v>14510</v>
      </c>
    </row>
    <row r="733" spans="2:10">
      <c r="B733" s="90">
        <v>14463.2</v>
      </c>
      <c r="C733" s="90">
        <v>1122.8999999999355</v>
      </c>
      <c r="D733" s="90">
        <v>14510</v>
      </c>
      <c r="E733" s="90">
        <v>1122.9999999999354</v>
      </c>
      <c r="G733" s="66">
        <v>1122.9999999999354</v>
      </c>
      <c r="H733" s="66">
        <v>14510</v>
      </c>
      <c r="I733" s="66">
        <v>1123.0999999999353</v>
      </c>
      <c r="J733" s="66">
        <v>14558</v>
      </c>
    </row>
    <row r="734" spans="2:10">
      <c r="B734" s="90">
        <v>14510</v>
      </c>
      <c r="C734" s="90">
        <v>1122.9999999999354</v>
      </c>
      <c r="D734" s="90">
        <v>14558</v>
      </c>
      <c r="E734" s="90">
        <v>1123.0999999999353</v>
      </c>
      <c r="G734" s="66">
        <v>1123.0999999999353</v>
      </c>
      <c r="H734" s="66">
        <v>14558</v>
      </c>
      <c r="I734" s="66">
        <v>1123.1999999999352</v>
      </c>
      <c r="J734" s="66">
        <v>14606</v>
      </c>
    </row>
    <row r="735" spans="2:10">
      <c r="B735" s="90">
        <v>14558</v>
      </c>
      <c r="C735" s="90">
        <v>1123.0999999999353</v>
      </c>
      <c r="D735" s="90">
        <v>14606</v>
      </c>
      <c r="E735" s="90">
        <v>1123.1999999999352</v>
      </c>
      <c r="G735" s="66">
        <v>1123.1999999999352</v>
      </c>
      <c r="H735" s="66">
        <v>14606</v>
      </c>
      <c r="I735" s="66">
        <v>1123.2999999999352</v>
      </c>
      <c r="J735" s="66">
        <v>14654</v>
      </c>
    </row>
    <row r="736" spans="2:10">
      <c r="B736" s="90">
        <v>14606</v>
      </c>
      <c r="C736" s="90">
        <v>1123.1999999999352</v>
      </c>
      <c r="D736" s="90">
        <v>14654</v>
      </c>
      <c r="E736" s="90">
        <v>1123.2999999999352</v>
      </c>
      <c r="G736" s="66">
        <v>1123.2999999999352</v>
      </c>
      <c r="H736" s="66">
        <v>14654</v>
      </c>
      <c r="I736" s="66">
        <v>1123.3999999999351</v>
      </c>
      <c r="J736" s="66">
        <v>14702</v>
      </c>
    </row>
    <row r="737" spans="2:10">
      <c r="B737" s="90">
        <v>14654</v>
      </c>
      <c r="C737" s="90">
        <v>1123.2999999999352</v>
      </c>
      <c r="D737" s="90">
        <v>14702</v>
      </c>
      <c r="E737" s="90">
        <v>1123.3999999999351</v>
      </c>
      <c r="G737" s="66">
        <v>1123.3999999999351</v>
      </c>
      <c r="H737" s="66">
        <v>14702</v>
      </c>
      <c r="I737" s="66">
        <v>1123.499999999935</v>
      </c>
      <c r="J737" s="66">
        <v>14750</v>
      </c>
    </row>
    <row r="738" spans="2:10">
      <c r="B738" s="90">
        <v>14702</v>
      </c>
      <c r="C738" s="90">
        <v>1123.3999999999351</v>
      </c>
      <c r="D738" s="90">
        <v>14750</v>
      </c>
      <c r="E738" s="90">
        <v>1123.499999999935</v>
      </c>
      <c r="G738" s="66">
        <v>1123.499999999935</v>
      </c>
      <c r="H738" s="66">
        <v>14750</v>
      </c>
      <c r="I738" s="66">
        <v>1123.5999999999349</v>
      </c>
      <c r="J738" s="66">
        <v>14798</v>
      </c>
    </row>
    <row r="739" spans="2:10">
      <c r="B739" s="90">
        <v>14750</v>
      </c>
      <c r="C739" s="90">
        <v>1123.499999999935</v>
      </c>
      <c r="D739" s="90">
        <v>14798</v>
      </c>
      <c r="E739" s="90">
        <v>1123.5999999999349</v>
      </c>
      <c r="G739" s="66">
        <v>1123.5999999999349</v>
      </c>
      <c r="H739" s="66">
        <v>14798</v>
      </c>
      <c r="I739" s="66">
        <v>1123.6999999999348</v>
      </c>
      <c r="J739" s="66">
        <v>14846</v>
      </c>
    </row>
    <row r="740" spans="2:10">
      <c r="B740" s="90">
        <v>14798</v>
      </c>
      <c r="C740" s="90">
        <v>1123.5999999999349</v>
      </c>
      <c r="D740" s="90">
        <v>14846</v>
      </c>
      <c r="E740" s="90">
        <v>1123.6999999999348</v>
      </c>
      <c r="G740" s="66">
        <v>1123.6999999999348</v>
      </c>
      <c r="H740" s="66">
        <v>14846</v>
      </c>
      <c r="I740" s="66">
        <v>1123.7999999999347</v>
      </c>
      <c r="J740" s="66">
        <v>14894</v>
      </c>
    </row>
    <row r="741" spans="2:10">
      <c r="B741" s="90">
        <v>14846</v>
      </c>
      <c r="C741" s="90">
        <v>1123.6999999999348</v>
      </c>
      <c r="D741" s="90">
        <v>14894</v>
      </c>
      <c r="E741" s="90">
        <v>1123.7999999999347</v>
      </c>
      <c r="G741" s="66">
        <v>1123.7999999999347</v>
      </c>
      <c r="H741" s="66">
        <v>14894</v>
      </c>
      <c r="I741" s="66">
        <v>1123.8999999999346</v>
      </c>
      <c r="J741" s="66">
        <v>14942</v>
      </c>
    </row>
    <row r="742" spans="2:10">
      <c r="B742" s="90">
        <v>14894</v>
      </c>
      <c r="C742" s="90">
        <v>1123.7999999999347</v>
      </c>
      <c r="D742" s="90">
        <v>14942</v>
      </c>
      <c r="E742" s="90">
        <v>1123.8999999999346</v>
      </c>
      <c r="G742" s="66">
        <v>1123.8999999999346</v>
      </c>
      <c r="H742" s="66">
        <v>14942</v>
      </c>
      <c r="I742" s="66">
        <v>1123.9999999999345</v>
      </c>
      <c r="J742" s="66">
        <v>14990</v>
      </c>
    </row>
    <row r="743" spans="2:10">
      <c r="B743" s="90">
        <v>14942</v>
      </c>
      <c r="C743" s="90">
        <v>1123.8999999999346</v>
      </c>
      <c r="D743" s="90">
        <v>14990</v>
      </c>
      <c r="E743" s="90">
        <v>1123.9999999999345</v>
      </c>
      <c r="G743" s="66">
        <v>1123.9999999999345</v>
      </c>
      <c r="H743" s="66">
        <v>14990</v>
      </c>
      <c r="I743" s="66">
        <v>1124.0999999999344</v>
      </c>
      <c r="J743" s="66">
        <v>15039.2</v>
      </c>
    </row>
    <row r="744" spans="2:10">
      <c r="B744" s="90">
        <v>14990</v>
      </c>
      <c r="C744" s="90">
        <v>1123.9999999999345</v>
      </c>
      <c r="D744" s="90">
        <v>15039.2</v>
      </c>
      <c r="E744" s="90">
        <v>1124.0999999999344</v>
      </c>
      <c r="G744" s="66">
        <v>1124.0999999999344</v>
      </c>
      <c r="H744" s="66">
        <v>15039.2</v>
      </c>
      <c r="I744" s="66">
        <v>1124.1999999999343</v>
      </c>
      <c r="J744" s="66">
        <v>15088.4</v>
      </c>
    </row>
    <row r="745" spans="2:10">
      <c r="B745" s="90">
        <v>15039.2</v>
      </c>
      <c r="C745" s="90">
        <v>1124.0999999999344</v>
      </c>
      <c r="D745" s="90">
        <v>15088.4</v>
      </c>
      <c r="E745" s="90">
        <v>1124.1999999999343</v>
      </c>
      <c r="G745" s="66">
        <v>1124.1999999999343</v>
      </c>
      <c r="H745" s="66">
        <v>15088.4</v>
      </c>
      <c r="I745" s="66">
        <v>1124.2999999999342</v>
      </c>
      <c r="J745" s="66">
        <v>15137.6</v>
      </c>
    </row>
    <row r="746" spans="2:10">
      <c r="B746" s="90">
        <v>15088.4</v>
      </c>
      <c r="C746" s="90">
        <v>1124.1999999999343</v>
      </c>
      <c r="D746" s="90">
        <v>15137.6</v>
      </c>
      <c r="E746" s="90">
        <v>1124.2999999999342</v>
      </c>
      <c r="G746" s="66">
        <v>1124.2999999999342</v>
      </c>
      <c r="H746" s="66">
        <v>15137.6</v>
      </c>
      <c r="I746" s="66">
        <v>1124.3999999999342</v>
      </c>
      <c r="J746" s="66">
        <v>15186.8</v>
      </c>
    </row>
    <row r="747" spans="2:10">
      <c r="B747" s="90">
        <v>15137.6</v>
      </c>
      <c r="C747" s="90">
        <v>1124.2999999999342</v>
      </c>
      <c r="D747" s="90">
        <v>15186.8</v>
      </c>
      <c r="E747" s="90">
        <v>1124.3999999999342</v>
      </c>
      <c r="G747" s="66">
        <v>1124.3999999999342</v>
      </c>
      <c r="H747" s="66">
        <v>15186.8</v>
      </c>
      <c r="I747" s="66">
        <v>1124.4999999999341</v>
      </c>
      <c r="J747" s="66">
        <v>15236</v>
      </c>
    </row>
    <row r="748" spans="2:10">
      <c r="B748" s="90">
        <v>15186.8</v>
      </c>
      <c r="C748" s="90">
        <v>1124.3999999999342</v>
      </c>
      <c r="D748" s="90">
        <v>15236</v>
      </c>
      <c r="E748" s="90">
        <v>1124.4999999999341</v>
      </c>
      <c r="G748" s="66">
        <v>1124.4999999999341</v>
      </c>
      <c r="H748" s="66">
        <v>15236</v>
      </c>
      <c r="I748" s="66">
        <v>1124.599999999934</v>
      </c>
      <c r="J748" s="66">
        <v>15285.2</v>
      </c>
    </row>
    <row r="749" spans="2:10">
      <c r="B749" s="90">
        <v>15236</v>
      </c>
      <c r="C749" s="90">
        <v>1124.4999999999341</v>
      </c>
      <c r="D749" s="90">
        <v>15285.2</v>
      </c>
      <c r="E749" s="90">
        <v>1124.599999999934</v>
      </c>
      <c r="G749" s="66">
        <v>1124.599999999934</v>
      </c>
      <c r="H749" s="66">
        <v>15285.2</v>
      </c>
      <c r="I749" s="66">
        <v>1124.6999999999339</v>
      </c>
      <c r="J749" s="66">
        <v>15334.4</v>
      </c>
    </row>
    <row r="750" spans="2:10">
      <c r="B750" s="90">
        <v>15285.2</v>
      </c>
      <c r="C750" s="90">
        <v>1124.599999999934</v>
      </c>
      <c r="D750" s="90">
        <v>15334.4</v>
      </c>
      <c r="E750" s="90">
        <v>1124.6999999999339</v>
      </c>
      <c r="G750" s="66">
        <v>1124.6999999999339</v>
      </c>
      <c r="H750" s="66">
        <v>15334.4</v>
      </c>
      <c r="I750" s="66">
        <v>1124.7999999999338</v>
      </c>
      <c r="J750" s="66">
        <v>15383.6</v>
      </c>
    </row>
    <row r="751" spans="2:10">
      <c r="B751" s="90">
        <v>15334.4</v>
      </c>
      <c r="C751" s="90">
        <v>1124.6999999999339</v>
      </c>
      <c r="D751" s="90">
        <v>15383.6</v>
      </c>
      <c r="E751" s="90">
        <v>1124.7999999999338</v>
      </c>
      <c r="G751" s="66">
        <v>1124.7999999999338</v>
      </c>
      <c r="H751" s="66">
        <v>15383.6</v>
      </c>
      <c r="I751" s="66">
        <v>1124.8999999999337</v>
      </c>
      <c r="J751" s="66">
        <v>15432.8</v>
      </c>
    </row>
    <row r="752" spans="2:10">
      <c r="B752" s="90">
        <v>15383.6</v>
      </c>
      <c r="C752" s="90">
        <v>1124.7999999999338</v>
      </c>
      <c r="D752" s="90">
        <v>15432.8</v>
      </c>
      <c r="E752" s="90">
        <v>1124.8999999999337</v>
      </c>
      <c r="G752" s="66">
        <v>1124.8999999999337</v>
      </c>
      <c r="H752" s="66">
        <v>15432.8</v>
      </c>
      <c r="I752" s="66">
        <v>1124.9999999999336</v>
      </c>
      <c r="J752" s="66">
        <v>15482</v>
      </c>
    </row>
    <row r="753" spans="2:10">
      <c r="B753" s="90">
        <v>15432.8</v>
      </c>
      <c r="C753" s="90">
        <v>1124.8999999999337</v>
      </c>
      <c r="D753" s="90">
        <v>15482</v>
      </c>
      <c r="E753" s="90">
        <v>1124.9999999999336</v>
      </c>
      <c r="G753" s="66">
        <v>1124.9999999999336</v>
      </c>
      <c r="H753" s="66">
        <v>15482</v>
      </c>
      <c r="I753" s="66">
        <v>1125.0999999999335</v>
      </c>
      <c r="J753" s="66">
        <v>15532.4</v>
      </c>
    </row>
    <row r="754" spans="2:10">
      <c r="B754" s="90">
        <v>15482</v>
      </c>
      <c r="C754" s="90">
        <v>1124.9999999999336</v>
      </c>
      <c r="D754" s="90">
        <v>15532.4</v>
      </c>
      <c r="E754" s="90">
        <v>1125.0999999999335</v>
      </c>
      <c r="G754" s="66">
        <v>1125.0999999999335</v>
      </c>
      <c r="H754" s="66">
        <v>15532.4</v>
      </c>
      <c r="I754" s="66">
        <v>1125.1999999999334</v>
      </c>
      <c r="J754" s="66">
        <v>15582.8</v>
      </c>
    </row>
    <row r="755" spans="2:10">
      <c r="B755" s="90">
        <v>15532.4</v>
      </c>
      <c r="C755" s="90">
        <v>1125.0999999999335</v>
      </c>
      <c r="D755" s="90">
        <v>15582.8</v>
      </c>
      <c r="E755" s="90">
        <v>1125.1999999999334</v>
      </c>
      <c r="G755" s="66">
        <v>1125.1999999999334</v>
      </c>
      <c r="H755" s="66">
        <v>15582.8</v>
      </c>
      <c r="I755" s="66">
        <v>1125.2999999999333</v>
      </c>
      <c r="J755" s="66">
        <v>15633.2</v>
      </c>
    </row>
    <row r="756" spans="2:10">
      <c r="B756" s="90">
        <v>15582.8</v>
      </c>
      <c r="C756" s="90">
        <v>1125.1999999999334</v>
      </c>
      <c r="D756" s="90">
        <v>15633.2</v>
      </c>
      <c r="E756" s="90">
        <v>1125.2999999999333</v>
      </c>
      <c r="G756" s="66">
        <v>1125.2999999999333</v>
      </c>
      <c r="H756" s="66">
        <v>15633.2</v>
      </c>
      <c r="I756" s="66">
        <v>1125.3999999999332</v>
      </c>
      <c r="J756" s="66">
        <v>15683.6</v>
      </c>
    </row>
    <row r="757" spans="2:10">
      <c r="B757" s="90">
        <v>15633.2</v>
      </c>
      <c r="C757" s="90">
        <v>1125.2999999999333</v>
      </c>
      <c r="D757" s="90">
        <v>15683.6</v>
      </c>
      <c r="E757" s="90">
        <v>1125.3999999999332</v>
      </c>
      <c r="G757" s="66">
        <v>1125.3999999999332</v>
      </c>
      <c r="H757" s="66">
        <v>15683.6</v>
      </c>
      <c r="I757" s="66">
        <v>1125.4999999999332</v>
      </c>
      <c r="J757" s="66">
        <v>15734</v>
      </c>
    </row>
    <row r="758" spans="2:10">
      <c r="B758" s="90">
        <v>15683.6</v>
      </c>
      <c r="C758" s="90">
        <v>1125.3999999999332</v>
      </c>
      <c r="D758" s="90">
        <v>15734</v>
      </c>
      <c r="E758" s="90">
        <v>1125.4999999999332</v>
      </c>
      <c r="G758" s="66">
        <v>1125.4999999999332</v>
      </c>
      <c r="H758" s="66">
        <v>15734</v>
      </c>
      <c r="I758" s="66">
        <v>1125.5999999999331</v>
      </c>
      <c r="J758" s="66">
        <v>15784.4</v>
      </c>
    </row>
    <row r="759" spans="2:10">
      <c r="B759" s="90">
        <v>15734</v>
      </c>
      <c r="C759" s="90">
        <v>1125.4999999999332</v>
      </c>
      <c r="D759" s="90">
        <v>15784.4</v>
      </c>
      <c r="E759" s="90">
        <v>1125.5999999999331</v>
      </c>
      <c r="G759" s="66">
        <v>1125.5999999999331</v>
      </c>
      <c r="H759" s="66">
        <v>15784.4</v>
      </c>
      <c r="I759" s="66">
        <v>1125.699999999933</v>
      </c>
      <c r="J759" s="66">
        <v>15834.8</v>
      </c>
    </row>
    <row r="760" spans="2:10">
      <c r="B760" s="90">
        <v>15784.4</v>
      </c>
      <c r="C760" s="90">
        <v>1125.5999999999331</v>
      </c>
      <c r="D760" s="90">
        <v>15834.8</v>
      </c>
      <c r="E760" s="90">
        <v>1125.699999999933</v>
      </c>
      <c r="G760" s="66">
        <v>1125.699999999933</v>
      </c>
      <c r="H760" s="66">
        <v>15834.8</v>
      </c>
      <c r="I760" s="66">
        <v>1125.7999999999329</v>
      </c>
      <c r="J760" s="66">
        <v>15885.2</v>
      </c>
    </row>
    <row r="761" spans="2:10">
      <c r="B761" s="90">
        <v>15834.8</v>
      </c>
      <c r="C761" s="90">
        <v>1125.699999999933</v>
      </c>
      <c r="D761" s="90">
        <v>15885.2</v>
      </c>
      <c r="E761" s="90">
        <v>1125.7999999999329</v>
      </c>
      <c r="G761" s="66">
        <v>1125.7999999999329</v>
      </c>
      <c r="H761" s="66">
        <v>15885.2</v>
      </c>
      <c r="I761" s="66">
        <v>1125.8999999999328</v>
      </c>
      <c r="J761" s="66">
        <v>15935.6</v>
      </c>
    </row>
    <row r="762" spans="2:10">
      <c r="B762" s="90">
        <v>15885.2</v>
      </c>
      <c r="C762" s="90">
        <v>1125.7999999999329</v>
      </c>
      <c r="D762" s="90">
        <v>15935.6</v>
      </c>
      <c r="E762" s="90">
        <v>1125.8999999999328</v>
      </c>
      <c r="G762" s="66">
        <v>1125.8999999999328</v>
      </c>
      <c r="H762" s="66">
        <v>15935.6</v>
      </c>
      <c r="I762" s="66">
        <v>1125.9999999999327</v>
      </c>
      <c r="J762" s="66">
        <v>15986</v>
      </c>
    </row>
    <row r="763" spans="2:10">
      <c r="B763" s="90">
        <v>15935.6</v>
      </c>
      <c r="C763" s="90">
        <v>1125.8999999999328</v>
      </c>
      <c r="D763" s="90">
        <v>15986</v>
      </c>
      <c r="E763" s="90">
        <v>1125.9999999999327</v>
      </c>
      <c r="G763" s="66">
        <v>1125.9999999999327</v>
      </c>
      <c r="H763" s="66">
        <v>15986</v>
      </c>
      <c r="I763" s="66">
        <v>1126.0999999999326</v>
      </c>
      <c r="J763" s="66">
        <v>16037.7</v>
      </c>
    </row>
    <row r="764" spans="2:10">
      <c r="B764" s="90">
        <v>15986</v>
      </c>
      <c r="C764" s="90">
        <v>1125.9999999999327</v>
      </c>
      <c r="D764" s="90">
        <v>16037.7</v>
      </c>
      <c r="E764" s="90">
        <v>1126.0999999999326</v>
      </c>
      <c r="G764" s="66">
        <v>1126.0999999999326</v>
      </c>
      <c r="H764" s="66">
        <v>16037.7</v>
      </c>
      <c r="I764" s="66">
        <v>1126.1999999999325</v>
      </c>
      <c r="J764" s="66">
        <v>16089.4</v>
      </c>
    </row>
    <row r="765" spans="2:10">
      <c r="B765" s="90">
        <v>16037.7</v>
      </c>
      <c r="C765" s="90">
        <v>1126.0999999999326</v>
      </c>
      <c r="D765" s="90">
        <v>16089.4</v>
      </c>
      <c r="E765" s="90">
        <v>1126.1999999999325</v>
      </c>
      <c r="G765" s="66">
        <v>1126.1999999999325</v>
      </c>
      <c r="H765" s="66">
        <v>16089.4</v>
      </c>
      <c r="I765" s="66">
        <v>1126.2999999999324</v>
      </c>
      <c r="J765" s="66">
        <v>16141.1</v>
      </c>
    </row>
    <row r="766" spans="2:10">
      <c r="B766" s="90">
        <v>16089.4</v>
      </c>
      <c r="C766" s="90">
        <v>1126.1999999999325</v>
      </c>
      <c r="D766" s="90">
        <v>16141.1</v>
      </c>
      <c r="E766" s="90">
        <v>1126.2999999999324</v>
      </c>
      <c r="G766" s="66">
        <v>1126.2999999999324</v>
      </c>
      <c r="H766" s="66">
        <v>16141.1</v>
      </c>
      <c r="I766" s="66">
        <v>1126.3999999999323</v>
      </c>
      <c r="J766" s="66">
        <v>16192.8</v>
      </c>
    </row>
    <row r="767" spans="2:10">
      <c r="B767" s="90">
        <v>16141.1</v>
      </c>
      <c r="C767" s="90">
        <v>1126.2999999999324</v>
      </c>
      <c r="D767" s="90">
        <v>16192.8</v>
      </c>
      <c r="E767" s="90">
        <v>1126.3999999999323</v>
      </c>
      <c r="G767" s="66">
        <v>1126.3999999999323</v>
      </c>
      <c r="H767" s="66">
        <v>16192.8</v>
      </c>
      <c r="I767" s="66">
        <v>1126.4999999999322</v>
      </c>
      <c r="J767" s="66">
        <v>16244.5</v>
      </c>
    </row>
    <row r="768" spans="2:10">
      <c r="B768" s="90">
        <v>16192.8</v>
      </c>
      <c r="C768" s="90">
        <v>1126.3999999999323</v>
      </c>
      <c r="D768" s="90">
        <v>16244.5</v>
      </c>
      <c r="E768" s="90">
        <v>1126.4999999999322</v>
      </c>
      <c r="G768" s="66">
        <v>1126.4999999999322</v>
      </c>
      <c r="H768" s="66">
        <v>16244.5</v>
      </c>
      <c r="I768" s="66">
        <v>1126.5999999999322</v>
      </c>
      <c r="J768" s="66">
        <v>16296.2</v>
      </c>
    </row>
    <row r="769" spans="2:10">
      <c r="B769" s="90">
        <v>16244.5</v>
      </c>
      <c r="C769" s="90">
        <v>1126.4999999999322</v>
      </c>
      <c r="D769" s="90">
        <v>16296.2</v>
      </c>
      <c r="E769" s="90">
        <v>1126.5999999999322</v>
      </c>
      <c r="G769" s="66">
        <v>1126.5999999999322</v>
      </c>
      <c r="H769" s="66">
        <v>16296.2</v>
      </c>
      <c r="I769" s="66">
        <v>1126.6999999999321</v>
      </c>
      <c r="J769" s="66">
        <v>16347.9</v>
      </c>
    </row>
    <row r="770" spans="2:10">
      <c r="B770" s="90">
        <v>16296.2</v>
      </c>
      <c r="C770" s="90">
        <v>1126.5999999999322</v>
      </c>
      <c r="D770" s="90">
        <v>16347.9</v>
      </c>
      <c r="E770" s="90">
        <v>1126.6999999999321</v>
      </c>
      <c r="G770" s="66">
        <v>1126.6999999999321</v>
      </c>
      <c r="H770" s="66">
        <v>16347.9</v>
      </c>
      <c r="I770" s="66">
        <v>1126.799999999932</v>
      </c>
      <c r="J770" s="66">
        <v>16399.599999999999</v>
      </c>
    </row>
    <row r="771" spans="2:10">
      <c r="B771" s="90">
        <v>16347.9</v>
      </c>
      <c r="C771" s="90">
        <v>1126.6999999999321</v>
      </c>
      <c r="D771" s="90">
        <v>16399.599999999999</v>
      </c>
      <c r="E771" s="90">
        <v>1126.799999999932</v>
      </c>
      <c r="G771" s="66">
        <v>1126.799999999932</v>
      </c>
      <c r="H771" s="66">
        <v>16399.599999999999</v>
      </c>
      <c r="I771" s="66">
        <v>1126.8999999999319</v>
      </c>
      <c r="J771" s="66">
        <v>16451.3</v>
      </c>
    </row>
    <row r="772" spans="2:10">
      <c r="B772" s="90">
        <v>16399.599999999999</v>
      </c>
      <c r="C772" s="90">
        <v>1126.799999999932</v>
      </c>
      <c r="D772" s="90">
        <v>16451.3</v>
      </c>
      <c r="E772" s="90">
        <v>1126.8999999999319</v>
      </c>
      <c r="G772" s="66">
        <v>1126.8999999999319</v>
      </c>
      <c r="H772" s="66">
        <v>16451.3</v>
      </c>
      <c r="I772" s="66">
        <v>1126.9999999999318</v>
      </c>
      <c r="J772" s="66">
        <v>16503</v>
      </c>
    </row>
    <row r="773" spans="2:10">
      <c r="B773" s="90">
        <v>16451.3</v>
      </c>
      <c r="C773" s="90">
        <v>1126.8999999999319</v>
      </c>
      <c r="D773" s="90">
        <v>16503</v>
      </c>
      <c r="E773" s="90">
        <v>1126.9999999999318</v>
      </c>
      <c r="G773" s="66">
        <v>1126.9999999999318</v>
      </c>
      <c r="H773" s="66">
        <v>16503</v>
      </c>
      <c r="I773" s="66">
        <v>1127.0999999999317</v>
      </c>
      <c r="J773" s="66">
        <v>16555.8</v>
      </c>
    </row>
    <row r="774" spans="2:10">
      <c r="B774" s="90">
        <v>16503</v>
      </c>
      <c r="C774" s="90">
        <v>1126.9999999999318</v>
      </c>
      <c r="D774" s="90">
        <v>16555.8</v>
      </c>
      <c r="E774" s="90">
        <v>1127.0999999999317</v>
      </c>
      <c r="G774" s="66">
        <v>1127.0999999999317</v>
      </c>
      <c r="H774" s="66">
        <v>16555.8</v>
      </c>
      <c r="I774" s="66">
        <v>1127.1999999999316</v>
      </c>
      <c r="J774" s="66">
        <v>16608.599999999999</v>
      </c>
    </row>
    <row r="775" spans="2:10">
      <c r="B775" s="90">
        <v>16555.8</v>
      </c>
      <c r="C775" s="90">
        <v>1127.0999999999317</v>
      </c>
      <c r="D775" s="90">
        <v>16608.599999999999</v>
      </c>
      <c r="E775" s="90">
        <v>1127.1999999999316</v>
      </c>
      <c r="G775" s="66">
        <v>1127.1999999999316</v>
      </c>
      <c r="H775" s="66">
        <v>16608.599999999999</v>
      </c>
      <c r="I775" s="66">
        <v>1127.2999999999315</v>
      </c>
      <c r="J775" s="66">
        <v>16661.400000000001</v>
      </c>
    </row>
    <row r="776" spans="2:10">
      <c r="B776" s="90">
        <v>16608.599999999999</v>
      </c>
      <c r="C776" s="90">
        <v>1127.1999999999316</v>
      </c>
      <c r="D776" s="90">
        <v>16661.400000000001</v>
      </c>
      <c r="E776" s="90">
        <v>1127.2999999999315</v>
      </c>
      <c r="G776" s="66">
        <v>1127.2999999999315</v>
      </c>
      <c r="H776" s="66">
        <v>16661.400000000001</v>
      </c>
      <c r="I776" s="66">
        <v>1127.3999999999314</v>
      </c>
      <c r="J776" s="66">
        <v>16714.2</v>
      </c>
    </row>
    <row r="777" spans="2:10">
      <c r="B777" s="90">
        <v>16661.400000000001</v>
      </c>
      <c r="C777" s="90">
        <v>1127.2999999999315</v>
      </c>
      <c r="D777" s="90">
        <v>16714.2</v>
      </c>
      <c r="E777" s="90">
        <v>1127.3999999999314</v>
      </c>
      <c r="G777" s="66">
        <v>1127.3999999999314</v>
      </c>
      <c r="H777" s="66">
        <v>16714.2</v>
      </c>
      <c r="I777" s="66">
        <v>1127.4999999999313</v>
      </c>
      <c r="J777" s="66">
        <v>16767</v>
      </c>
    </row>
    <row r="778" spans="2:10">
      <c r="B778" s="90">
        <v>16714.2</v>
      </c>
      <c r="C778" s="90">
        <v>1127.3999999999314</v>
      </c>
      <c r="D778" s="90">
        <v>16767</v>
      </c>
      <c r="E778" s="90">
        <v>1127.4999999999313</v>
      </c>
      <c r="G778" s="66">
        <v>1127.4999999999313</v>
      </c>
      <c r="H778" s="66">
        <v>16767</v>
      </c>
      <c r="I778" s="66">
        <v>1127.5999999999312</v>
      </c>
      <c r="J778" s="66">
        <v>16819.8</v>
      </c>
    </row>
    <row r="779" spans="2:10">
      <c r="B779" s="90">
        <v>16767</v>
      </c>
      <c r="C779" s="90">
        <v>1127.4999999999313</v>
      </c>
      <c r="D779" s="90">
        <v>16819.8</v>
      </c>
      <c r="E779" s="90">
        <v>1127.5999999999312</v>
      </c>
      <c r="G779" s="66">
        <v>1127.5999999999312</v>
      </c>
      <c r="H779" s="66">
        <v>16819.8</v>
      </c>
      <c r="I779" s="66">
        <v>1127.6999999999312</v>
      </c>
      <c r="J779" s="66">
        <v>16872.599999999999</v>
      </c>
    </row>
    <row r="780" spans="2:10">
      <c r="B780" s="90">
        <v>16819.8</v>
      </c>
      <c r="C780" s="90">
        <v>1127.5999999999312</v>
      </c>
      <c r="D780" s="90">
        <v>16872.599999999999</v>
      </c>
      <c r="E780" s="90">
        <v>1127.6999999999312</v>
      </c>
      <c r="G780" s="66">
        <v>1127.6999999999312</v>
      </c>
      <c r="H780" s="66">
        <v>16872.599999999999</v>
      </c>
      <c r="I780" s="66">
        <v>1127.7999999999311</v>
      </c>
      <c r="J780" s="66">
        <v>16925.400000000001</v>
      </c>
    </row>
    <row r="781" spans="2:10">
      <c r="B781" s="90">
        <v>16872.599999999999</v>
      </c>
      <c r="C781" s="90">
        <v>1127.6999999999312</v>
      </c>
      <c r="D781" s="90">
        <v>16925.400000000001</v>
      </c>
      <c r="E781" s="90">
        <v>1127.7999999999311</v>
      </c>
      <c r="G781" s="66">
        <v>1127.7999999999311</v>
      </c>
      <c r="H781" s="66">
        <v>16925.400000000001</v>
      </c>
      <c r="I781" s="66">
        <v>1127.899999999931</v>
      </c>
      <c r="J781" s="66">
        <v>16978.2</v>
      </c>
    </row>
    <row r="782" spans="2:10">
      <c r="B782" s="90">
        <v>16925.400000000001</v>
      </c>
      <c r="C782" s="90">
        <v>1127.7999999999311</v>
      </c>
      <c r="D782" s="90">
        <v>16978.2</v>
      </c>
      <c r="E782" s="90">
        <v>1127.899999999931</v>
      </c>
      <c r="G782" s="66">
        <v>1127.899999999931</v>
      </c>
      <c r="H782" s="66">
        <v>16978.2</v>
      </c>
      <c r="I782" s="66">
        <v>1127.9999999999309</v>
      </c>
      <c r="J782" s="66">
        <v>17031</v>
      </c>
    </row>
    <row r="783" spans="2:10">
      <c r="B783" s="90">
        <v>16978.2</v>
      </c>
      <c r="C783" s="90">
        <v>1127.899999999931</v>
      </c>
      <c r="D783" s="90">
        <v>17031</v>
      </c>
      <c r="E783" s="90">
        <v>1127.9999999999309</v>
      </c>
      <c r="G783" s="66">
        <v>1127.9999999999309</v>
      </c>
      <c r="H783" s="66">
        <v>17031</v>
      </c>
      <c r="I783" s="66">
        <v>1128.0999999999308</v>
      </c>
      <c r="J783" s="66">
        <v>17085.099999999999</v>
      </c>
    </row>
    <row r="784" spans="2:10">
      <c r="B784" s="90">
        <v>17031</v>
      </c>
      <c r="C784" s="90">
        <v>1127.9999999999309</v>
      </c>
      <c r="D784" s="90">
        <v>17085.099999999999</v>
      </c>
      <c r="E784" s="90">
        <v>1128.0999999999308</v>
      </c>
      <c r="G784" s="66">
        <v>1128.0999999999308</v>
      </c>
      <c r="H784" s="66">
        <v>17085.099999999999</v>
      </c>
      <c r="I784" s="66">
        <v>1128.1999999999307</v>
      </c>
      <c r="J784" s="66">
        <v>17139.2</v>
      </c>
    </row>
    <row r="785" spans="2:10">
      <c r="B785" s="90">
        <v>17085.099999999999</v>
      </c>
      <c r="C785" s="90">
        <v>1128.0999999999308</v>
      </c>
      <c r="D785" s="90">
        <v>17139.2</v>
      </c>
      <c r="E785" s="90">
        <v>1128.1999999999307</v>
      </c>
      <c r="G785" s="66">
        <v>1128.1999999999307</v>
      </c>
      <c r="H785" s="66">
        <v>17139.2</v>
      </c>
      <c r="I785" s="66">
        <v>1128.2999999999306</v>
      </c>
      <c r="J785" s="66">
        <v>17193.3</v>
      </c>
    </row>
    <row r="786" spans="2:10">
      <c r="B786" s="90">
        <v>17139.2</v>
      </c>
      <c r="C786" s="90">
        <v>1128.1999999999307</v>
      </c>
      <c r="D786" s="90">
        <v>17193.3</v>
      </c>
      <c r="E786" s="90">
        <v>1128.2999999999306</v>
      </c>
      <c r="G786" s="66">
        <v>1128.2999999999306</v>
      </c>
      <c r="H786" s="66">
        <v>17193.3</v>
      </c>
      <c r="I786" s="66">
        <v>1128.3999999999305</v>
      </c>
      <c r="J786" s="66">
        <v>17247.400000000001</v>
      </c>
    </row>
    <row r="787" spans="2:10">
      <c r="B787" s="90">
        <v>17193.3</v>
      </c>
      <c r="C787" s="90">
        <v>1128.2999999999306</v>
      </c>
      <c r="D787" s="90">
        <v>17247.400000000001</v>
      </c>
      <c r="E787" s="90">
        <v>1128.3999999999305</v>
      </c>
      <c r="G787" s="66">
        <v>1128.3999999999305</v>
      </c>
      <c r="H787" s="66">
        <v>17247.400000000001</v>
      </c>
      <c r="I787" s="66">
        <v>1128.4999999999304</v>
      </c>
      <c r="J787" s="66">
        <v>17301.5</v>
      </c>
    </row>
    <row r="788" spans="2:10">
      <c r="B788" s="90">
        <v>17247.400000000001</v>
      </c>
      <c r="C788" s="90">
        <v>1128.3999999999305</v>
      </c>
      <c r="D788" s="90">
        <v>17301.5</v>
      </c>
      <c r="E788" s="90">
        <v>1128.4999999999304</v>
      </c>
      <c r="G788" s="66">
        <v>1128.4999999999304</v>
      </c>
      <c r="H788" s="66">
        <v>17301.5</v>
      </c>
      <c r="I788" s="66">
        <v>1128.5999999999303</v>
      </c>
      <c r="J788" s="66">
        <v>17355.599999999999</v>
      </c>
    </row>
    <row r="789" spans="2:10">
      <c r="B789" s="90">
        <v>17301.5</v>
      </c>
      <c r="C789" s="90">
        <v>1128.4999999999304</v>
      </c>
      <c r="D789" s="90">
        <v>17355.599999999999</v>
      </c>
      <c r="E789" s="90">
        <v>1128.5999999999303</v>
      </c>
      <c r="G789" s="66">
        <v>1128.5999999999303</v>
      </c>
      <c r="H789" s="66">
        <v>17355.599999999999</v>
      </c>
      <c r="I789" s="66">
        <v>1128.6999999999302</v>
      </c>
      <c r="J789" s="66">
        <v>17409.7</v>
      </c>
    </row>
    <row r="790" spans="2:10">
      <c r="B790" s="90">
        <v>17355.599999999999</v>
      </c>
      <c r="C790" s="90">
        <v>1128.5999999999303</v>
      </c>
      <c r="D790" s="90">
        <v>17409.7</v>
      </c>
      <c r="E790" s="90">
        <v>1128.6999999999302</v>
      </c>
      <c r="G790" s="66">
        <v>1128.6999999999302</v>
      </c>
      <c r="H790" s="66">
        <v>17409.7</v>
      </c>
      <c r="I790" s="66">
        <v>1128.7999999999302</v>
      </c>
      <c r="J790" s="66">
        <v>17463.8</v>
      </c>
    </row>
    <row r="791" spans="2:10">
      <c r="B791" s="90">
        <v>17409.7</v>
      </c>
      <c r="C791" s="90">
        <v>1128.6999999999302</v>
      </c>
      <c r="D791" s="90">
        <v>17463.8</v>
      </c>
      <c r="E791" s="90">
        <v>1128.7999999999302</v>
      </c>
      <c r="G791" s="66">
        <v>1128.7999999999302</v>
      </c>
      <c r="H791" s="66">
        <v>17463.8</v>
      </c>
      <c r="I791" s="66">
        <v>1128.8999999999301</v>
      </c>
      <c r="J791" s="66">
        <v>17517.900000000001</v>
      </c>
    </row>
    <row r="792" spans="2:10">
      <c r="B792" s="90">
        <v>17463.8</v>
      </c>
      <c r="C792" s="90">
        <v>1128.7999999999302</v>
      </c>
      <c r="D792" s="90">
        <v>17517.900000000001</v>
      </c>
      <c r="E792" s="90">
        <v>1128.8999999999301</v>
      </c>
      <c r="G792" s="66">
        <v>1128.8999999999301</v>
      </c>
      <c r="H792" s="66">
        <v>17517.900000000001</v>
      </c>
      <c r="I792" s="66">
        <v>1128.99999999993</v>
      </c>
      <c r="J792" s="66">
        <v>17572</v>
      </c>
    </row>
    <row r="793" spans="2:10">
      <c r="B793" s="90">
        <v>17517.900000000001</v>
      </c>
      <c r="C793" s="90">
        <v>1128.8999999999301</v>
      </c>
      <c r="D793" s="90">
        <v>17572</v>
      </c>
      <c r="E793" s="90">
        <v>1128.99999999993</v>
      </c>
      <c r="G793" s="66">
        <v>1128.99999999993</v>
      </c>
      <c r="H793" s="66">
        <v>17572</v>
      </c>
      <c r="I793" s="66">
        <v>1129.0999999999299</v>
      </c>
      <c r="J793" s="66">
        <v>17627.400000000001</v>
      </c>
    </row>
    <row r="794" spans="2:10">
      <c r="B794" s="90">
        <v>17572</v>
      </c>
      <c r="C794" s="90">
        <v>1128.99999999993</v>
      </c>
      <c r="D794" s="90">
        <v>17627.400000000001</v>
      </c>
      <c r="E794" s="90">
        <v>1129.0999999999299</v>
      </c>
      <c r="G794" s="66">
        <v>1129.0999999999299</v>
      </c>
      <c r="H794" s="66">
        <v>17627.400000000001</v>
      </c>
      <c r="I794" s="66">
        <v>1129.1999999999298</v>
      </c>
      <c r="J794" s="66">
        <v>17682.8</v>
      </c>
    </row>
    <row r="795" spans="2:10">
      <c r="B795" s="90">
        <v>17627.400000000001</v>
      </c>
      <c r="C795" s="90">
        <v>1129.0999999999299</v>
      </c>
      <c r="D795" s="90">
        <v>17682.8</v>
      </c>
      <c r="E795" s="90">
        <v>1129.1999999999298</v>
      </c>
      <c r="G795" s="66">
        <v>1129.1999999999298</v>
      </c>
      <c r="H795" s="66">
        <v>17682.8</v>
      </c>
      <c r="I795" s="66">
        <v>1129.2999999999297</v>
      </c>
      <c r="J795" s="66">
        <v>17738.2</v>
      </c>
    </row>
    <row r="796" spans="2:10">
      <c r="B796" s="90">
        <v>17682.8</v>
      </c>
      <c r="C796" s="90">
        <v>1129.1999999999298</v>
      </c>
      <c r="D796" s="90">
        <v>17738.2</v>
      </c>
      <c r="E796" s="90">
        <v>1129.2999999999297</v>
      </c>
      <c r="G796" s="66">
        <v>1129.2999999999297</v>
      </c>
      <c r="H796" s="66">
        <v>17738.2</v>
      </c>
      <c r="I796" s="66">
        <v>1129.3999999999296</v>
      </c>
      <c r="J796" s="66">
        <v>17793.599999999999</v>
      </c>
    </row>
    <row r="797" spans="2:10">
      <c r="B797" s="90">
        <v>17738.2</v>
      </c>
      <c r="C797" s="90">
        <v>1129.2999999999297</v>
      </c>
      <c r="D797" s="90">
        <v>17793.599999999999</v>
      </c>
      <c r="E797" s="90">
        <v>1129.3999999999296</v>
      </c>
      <c r="G797" s="66">
        <v>1129.3999999999296</v>
      </c>
      <c r="H797" s="66">
        <v>17793.599999999999</v>
      </c>
      <c r="I797" s="66">
        <v>1129.4999999999295</v>
      </c>
      <c r="J797" s="66">
        <v>17849</v>
      </c>
    </row>
    <row r="798" spans="2:10">
      <c r="B798" s="90">
        <v>17793.599999999999</v>
      </c>
      <c r="C798" s="90">
        <v>1129.3999999999296</v>
      </c>
      <c r="D798" s="90">
        <v>17849</v>
      </c>
      <c r="E798" s="90">
        <v>1129.4999999999295</v>
      </c>
      <c r="G798" s="66">
        <v>1129.4999999999295</v>
      </c>
      <c r="H798" s="66">
        <v>17849</v>
      </c>
      <c r="I798" s="66">
        <v>1129.5999999999294</v>
      </c>
      <c r="J798" s="66">
        <v>17904.400000000001</v>
      </c>
    </row>
    <row r="799" spans="2:10">
      <c r="B799" s="90">
        <v>17849</v>
      </c>
      <c r="C799" s="90">
        <v>1129.4999999999295</v>
      </c>
      <c r="D799" s="90">
        <v>17904.400000000001</v>
      </c>
      <c r="E799" s="90">
        <v>1129.5999999999294</v>
      </c>
      <c r="G799" s="66">
        <v>1129.5999999999294</v>
      </c>
      <c r="H799" s="66">
        <v>17904.400000000001</v>
      </c>
      <c r="I799" s="66">
        <v>1129.6999999999293</v>
      </c>
      <c r="J799" s="66">
        <v>17959.8</v>
      </c>
    </row>
    <row r="800" spans="2:10">
      <c r="B800" s="90">
        <v>17904.400000000001</v>
      </c>
      <c r="C800" s="90">
        <v>1129.5999999999294</v>
      </c>
      <c r="D800" s="90">
        <v>17959.8</v>
      </c>
      <c r="E800" s="90">
        <v>1129.6999999999293</v>
      </c>
      <c r="G800" s="66">
        <v>1129.6999999999293</v>
      </c>
      <c r="H800" s="66">
        <v>17959.8</v>
      </c>
      <c r="I800" s="66">
        <v>1129.7999999999292</v>
      </c>
      <c r="J800" s="66">
        <v>18015.2</v>
      </c>
    </row>
    <row r="801" spans="2:10">
      <c r="B801" s="90">
        <v>17959.8</v>
      </c>
      <c r="C801" s="90">
        <v>1129.6999999999293</v>
      </c>
      <c r="D801" s="90">
        <v>18015.2</v>
      </c>
      <c r="E801" s="90">
        <v>1129.7999999999292</v>
      </c>
      <c r="G801" s="66">
        <v>1129.7999999999292</v>
      </c>
      <c r="H801" s="66">
        <v>18015.2</v>
      </c>
      <c r="I801" s="66">
        <v>1129.8999999999292</v>
      </c>
      <c r="J801" s="66">
        <v>18070.599999999999</v>
      </c>
    </row>
    <row r="802" spans="2:10">
      <c r="B802" s="90">
        <v>18015.2</v>
      </c>
      <c r="C802" s="90">
        <v>1129.7999999999292</v>
      </c>
      <c r="D802" s="90">
        <v>18070.599999999999</v>
      </c>
      <c r="E802" s="90">
        <v>1129.8999999999292</v>
      </c>
      <c r="G802" s="66">
        <v>1129.8999999999292</v>
      </c>
      <c r="H802" s="66">
        <v>18070.599999999999</v>
      </c>
      <c r="I802" s="66">
        <v>1129.9999999999291</v>
      </c>
      <c r="J802" s="66">
        <v>18126</v>
      </c>
    </row>
    <row r="803" spans="2:10">
      <c r="B803" s="90">
        <v>18070.599999999999</v>
      </c>
      <c r="C803" s="90">
        <v>1129.8999999999292</v>
      </c>
      <c r="D803" s="90">
        <v>18126</v>
      </c>
      <c r="E803" s="90">
        <v>1129.9999999999291</v>
      </c>
      <c r="G803" s="66">
        <v>1129.9999999999291</v>
      </c>
      <c r="H803" s="66">
        <v>18126</v>
      </c>
      <c r="I803" s="66">
        <v>1130.099999999929</v>
      </c>
      <c r="J803" s="66">
        <v>18182.900000000001</v>
      </c>
    </row>
    <row r="804" spans="2:10">
      <c r="B804" s="90">
        <v>18126</v>
      </c>
      <c r="C804" s="90">
        <v>1129.9999999999291</v>
      </c>
      <c r="D804" s="90">
        <v>18182.900000000001</v>
      </c>
      <c r="E804" s="90">
        <v>1130.099999999929</v>
      </c>
      <c r="G804" s="66">
        <v>1130.099999999929</v>
      </c>
      <c r="H804" s="66">
        <v>18182.900000000001</v>
      </c>
      <c r="I804" s="66">
        <v>1130.1999999999289</v>
      </c>
      <c r="J804" s="66">
        <v>18239.8</v>
      </c>
    </row>
    <row r="805" spans="2:10">
      <c r="B805" s="90">
        <v>18182.900000000001</v>
      </c>
      <c r="C805" s="90">
        <v>1130.099999999929</v>
      </c>
      <c r="D805" s="90">
        <v>18239.8</v>
      </c>
      <c r="E805" s="90">
        <v>1130.1999999999289</v>
      </c>
      <c r="G805" s="66">
        <v>1130.1999999999289</v>
      </c>
      <c r="H805" s="66">
        <v>18239.8</v>
      </c>
      <c r="I805" s="66">
        <v>1130.2999999999288</v>
      </c>
      <c r="J805" s="66">
        <v>18296.7</v>
      </c>
    </row>
    <row r="806" spans="2:10">
      <c r="B806" s="90">
        <v>18239.8</v>
      </c>
      <c r="C806" s="90">
        <v>1130.1999999999289</v>
      </c>
      <c r="D806" s="90">
        <v>18296.7</v>
      </c>
      <c r="E806" s="90">
        <v>1130.2999999999288</v>
      </c>
      <c r="G806" s="66">
        <v>1130.2999999999288</v>
      </c>
      <c r="H806" s="66">
        <v>18296.7</v>
      </c>
      <c r="I806" s="66">
        <v>1130.3999999999287</v>
      </c>
      <c r="J806" s="66">
        <v>18353.599999999999</v>
      </c>
    </row>
    <row r="807" spans="2:10">
      <c r="B807" s="90">
        <v>18296.7</v>
      </c>
      <c r="C807" s="90">
        <v>1130.2999999999288</v>
      </c>
      <c r="D807" s="90">
        <v>18353.599999999999</v>
      </c>
      <c r="E807" s="90">
        <v>1130.3999999999287</v>
      </c>
      <c r="G807" s="66">
        <v>1130.3999999999287</v>
      </c>
      <c r="H807" s="66">
        <v>18353.599999999999</v>
      </c>
      <c r="I807" s="66">
        <v>1130.4999999999286</v>
      </c>
      <c r="J807" s="66">
        <v>18410.5</v>
      </c>
    </row>
    <row r="808" spans="2:10">
      <c r="B808" s="90">
        <v>18353.599999999999</v>
      </c>
      <c r="C808" s="90">
        <v>1130.3999999999287</v>
      </c>
      <c r="D808" s="90">
        <v>18410.5</v>
      </c>
      <c r="E808" s="90">
        <v>1130.4999999999286</v>
      </c>
      <c r="G808" s="66">
        <v>1130.4999999999286</v>
      </c>
      <c r="H808" s="66">
        <v>18410.5</v>
      </c>
      <c r="I808" s="66">
        <v>1130.5999999999285</v>
      </c>
      <c r="J808" s="66">
        <v>18467.400000000001</v>
      </c>
    </row>
    <row r="809" spans="2:10">
      <c r="B809" s="90">
        <v>18410.5</v>
      </c>
      <c r="C809" s="90">
        <v>1130.4999999999286</v>
      </c>
      <c r="D809" s="90">
        <v>18467.400000000001</v>
      </c>
      <c r="E809" s="90">
        <v>1130.5999999999285</v>
      </c>
      <c r="G809" s="66">
        <v>1130.5999999999285</v>
      </c>
      <c r="H809" s="66">
        <v>18467.400000000001</v>
      </c>
      <c r="I809" s="66">
        <v>1130.6999999999284</v>
      </c>
      <c r="J809" s="66">
        <v>18524.3</v>
      </c>
    </row>
    <row r="810" spans="2:10">
      <c r="B810" s="90">
        <v>18467.400000000001</v>
      </c>
      <c r="C810" s="90">
        <v>1130.5999999999285</v>
      </c>
      <c r="D810" s="90">
        <v>18524.3</v>
      </c>
      <c r="E810" s="90">
        <v>1130.6999999999284</v>
      </c>
      <c r="G810" s="66">
        <v>1130.6999999999284</v>
      </c>
      <c r="H810" s="66">
        <v>18524.3</v>
      </c>
      <c r="I810" s="66">
        <v>1130.7999999999283</v>
      </c>
      <c r="J810" s="66">
        <v>18581.2</v>
      </c>
    </row>
    <row r="811" spans="2:10">
      <c r="B811" s="90">
        <v>18524.3</v>
      </c>
      <c r="C811" s="90">
        <v>1130.6999999999284</v>
      </c>
      <c r="D811" s="90">
        <v>18581.2</v>
      </c>
      <c r="E811" s="90">
        <v>1130.7999999999283</v>
      </c>
      <c r="G811" s="66">
        <v>1130.7999999999283</v>
      </c>
      <c r="H811" s="66">
        <v>18581.2</v>
      </c>
      <c r="I811" s="66">
        <v>1130.8999999999282</v>
      </c>
      <c r="J811" s="66">
        <v>18638.099999999999</v>
      </c>
    </row>
    <row r="812" spans="2:10">
      <c r="B812" s="90">
        <v>18581.2</v>
      </c>
      <c r="C812" s="90">
        <v>1130.7999999999283</v>
      </c>
      <c r="D812" s="90">
        <v>18638.099999999999</v>
      </c>
      <c r="E812" s="90">
        <v>1130.8999999999282</v>
      </c>
      <c r="G812" s="66">
        <v>1130.8999999999282</v>
      </c>
      <c r="H812" s="66">
        <v>18638.099999999999</v>
      </c>
      <c r="I812" s="66">
        <v>1130.9999999999281</v>
      </c>
      <c r="J812" s="66">
        <v>18695</v>
      </c>
    </row>
    <row r="813" spans="2:10">
      <c r="B813" s="90">
        <v>18638.099999999999</v>
      </c>
      <c r="C813" s="90">
        <v>1130.8999999999282</v>
      </c>
      <c r="D813" s="90">
        <v>18695</v>
      </c>
      <c r="E813" s="90">
        <v>1130.9999999999281</v>
      </c>
      <c r="G813" s="66">
        <v>1130.9999999999281</v>
      </c>
      <c r="H813" s="66">
        <v>18695</v>
      </c>
      <c r="I813" s="66">
        <v>1131.0999999999281</v>
      </c>
      <c r="J813" s="66">
        <v>18753.5</v>
      </c>
    </row>
    <row r="814" spans="2:10">
      <c r="B814" s="90">
        <v>18695</v>
      </c>
      <c r="C814" s="90">
        <v>1130.9999999999281</v>
      </c>
      <c r="D814" s="90">
        <v>18753.5</v>
      </c>
      <c r="E814" s="90">
        <v>1131.0999999999281</v>
      </c>
      <c r="G814" s="66">
        <v>1131.0999999999281</v>
      </c>
      <c r="H814" s="66">
        <v>18753.5</v>
      </c>
      <c r="I814" s="66">
        <v>1131.199999999928</v>
      </c>
      <c r="J814" s="66">
        <v>18812</v>
      </c>
    </row>
    <row r="815" spans="2:10">
      <c r="B815" s="90">
        <v>18753.5</v>
      </c>
      <c r="C815" s="90">
        <v>1131.0999999999281</v>
      </c>
      <c r="D815" s="90">
        <v>18812</v>
      </c>
      <c r="E815" s="90">
        <v>1131.199999999928</v>
      </c>
      <c r="G815" s="66">
        <v>1131.199999999928</v>
      </c>
      <c r="H815" s="66">
        <v>18812</v>
      </c>
      <c r="I815" s="66">
        <v>1131.2999999999279</v>
      </c>
      <c r="J815" s="66">
        <v>18870.5</v>
      </c>
    </row>
    <row r="816" spans="2:10">
      <c r="B816" s="90">
        <v>18812</v>
      </c>
      <c r="C816" s="90">
        <v>1131.199999999928</v>
      </c>
      <c r="D816" s="90">
        <v>18870.5</v>
      </c>
      <c r="E816" s="90">
        <v>1131.2999999999279</v>
      </c>
      <c r="G816" s="66">
        <v>1131.2999999999279</v>
      </c>
      <c r="H816" s="66">
        <v>18870.5</v>
      </c>
      <c r="I816" s="66">
        <v>1131.3999999999278</v>
      </c>
      <c r="J816" s="66">
        <v>18929</v>
      </c>
    </row>
    <row r="817" spans="2:10">
      <c r="B817" s="90">
        <v>18870.5</v>
      </c>
      <c r="C817" s="90">
        <v>1131.2999999999279</v>
      </c>
      <c r="D817" s="90">
        <v>18929</v>
      </c>
      <c r="E817" s="90">
        <v>1131.3999999999278</v>
      </c>
      <c r="G817" s="66">
        <v>1131.3999999999278</v>
      </c>
      <c r="H817" s="66">
        <v>18929</v>
      </c>
      <c r="I817" s="66">
        <v>1131.4999999999277</v>
      </c>
      <c r="J817" s="66">
        <v>18987.5</v>
      </c>
    </row>
    <row r="818" spans="2:10">
      <c r="B818" s="90">
        <v>18929</v>
      </c>
      <c r="C818" s="90">
        <v>1131.3999999999278</v>
      </c>
      <c r="D818" s="90">
        <v>18987.5</v>
      </c>
      <c r="E818" s="90">
        <v>1131.4999999999277</v>
      </c>
      <c r="G818" s="66">
        <v>1131.4999999999277</v>
      </c>
      <c r="H818" s="66">
        <v>18987.5</v>
      </c>
      <c r="I818" s="66">
        <v>1131.5999999999276</v>
      </c>
      <c r="J818" s="66">
        <v>19046</v>
      </c>
    </row>
    <row r="819" spans="2:10">
      <c r="B819" s="90">
        <v>18987.5</v>
      </c>
      <c r="C819" s="90">
        <v>1131.4999999999277</v>
      </c>
      <c r="D819" s="90">
        <v>19046</v>
      </c>
      <c r="E819" s="90">
        <v>1131.5999999999276</v>
      </c>
      <c r="G819" s="66">
        <v>1131.5999999999276</v>
      </c>
      <c r="H819" s="66">
        <v>19046</v>
      </c>
      <c r="I819" s="66">
        <v>1131.6999999999275</v>
      </c>
      <c r="J819" s="66">
        <v>19104.5</v>
      </c>
    </row>
    <row r="820" spans="2:10">
      <c r="B820" s="90">
        <v>19046</v>
      </c>
      <c r="C820" s="90">
        <v>1131.5999999999276</v>
      </c>
      <c r="D820" s="90">
        <v>19104.5</v>
      </c>
      <c r="E820" s="90">
        <v>1131.6999999999275</v>
      </c>
      <c r="G820" s="66">
        <v>1131.6999999999275</v>
      </c>
      <c r="H820" s="66">
        <v>19104.5</v>
      </c>
      <c r="I820" s="66">
        <v>1131.7999999999274</v>
      </c>
      <c r="J820" s="66">
        <v>19163</v>
      </c>
    </row>
    <row r="821" spans="2:10">
      <c r="B821" s="90">
        <v>19104.5</v>
      </c>
      <c r="C821" s="90">
        <v>1131.6999999999275</v>
      </c>
      <c r="D821" s="90">
        <v>19163</v>
      </c>
      <c r="E821" s="90">
        <v>1131.7999999999274</v>
      </c>
      <c r="G821" s="66">
        <v>1131.7999999999274</v>
      </c>
      <c r="H821" s="66">
        <v>19163</v>
      </c>
      <c r="I821" s="66">
        <v>1131.8999999999273</v>
      </c>
      <c r="J821" s="66">
        <v>19221.5</v>
      </c>
    </row>
    <row r="822" spans="2:10">
      <c r="B822" s="90">
        <v>19163</v>
      </c>
      <c r="C822" s="90">
        <v>1131.7999999999274</v>
      </c>
      <c r="D822" s="90">
        <v>19221.5</v>
      </c>
      <c r="E822" s="90">
        <v>1131.8999999999273</v>
      </c>
      <c r="G822" s="66">
        <v>1131.8999999999273</v>
      </c>
      <c r="H822" s="66">
        <v>19221.5</v>
      </c>
      <c r="I822" s="66">
        <v>1131.9999999999272</v>
      </c>
      <c r="J822" s="66">
        <v>19280</v>
      </c>
    </row>
    <row r="823" spans="2:10">
      <c r="B823" s="90">
        <v>19221.5</v>
      </c>
      <c r="C823" s="90">
        <v>1131.8999999999273</v>
      </c>
      <c r="D823" s="90">
        <v>19280</v>
      </c>
      <c r="E823" s="90">
        <v>1131.9999999999272</v>
      </c>
      <c r="G823" s="66">
        <v>1131.9999999999272</v>
      </c>
      <c r="H823" s="66">
        <v>19280</v>
      </c>
      <c r="I823" s="66">
        <v>1132.0999999999271</v>
      </c>
      <c r="J823" s="66">
        <v>19340.400000000001</v>
      </c>
    </row>
    <row r="824" spans="2:10">
      <c r="B824" s="90">
        <v>19280</v>
      </c>
      <c r="C824" s="90">
        <v>1131.9999999999272</v>
      </c>
      <c r="D824" s="90">
        <v>19340.400000000001</v>
      </c>
      <c r="E824" s="90">
        <v>1132.0999999999271</v>
      </c>
      <c r="G824" s="66">
        <v>1132.0999999999271</v>
      </c>
      <c r="H824" s="66">
        <v>19340.400000000001</v>
      </c>
      <c r="I824" s="66">
        <v>1132.1999999999271</v>
      </c>
      <c r="J824" s="66">
        <v>19400.8</v>
      </c>
    </row>
    <row r="825" spans="2:10">
      <c r="B825" s="90">
        <v>19340.400000000001</v>
      </c>
      <c r="C825" s="90">
        <v>1132.0999999999271</v>
      </c>
      <c r="D825" s="90">
        <v>19400.8</v>
      </c>
      <c r="E825" s="90">
        <v>1132.1999999999271</v>
      </c>
      <c r="G825" s="66">
        <v>1132.1999999999271</v>
      </c>
      <c r="H825" s="66">
        <v>19400.8</v>
      </c>
      <c r="I825" s="66">
        <v>1132.299999999927</v>
      </c>
      <c r="J825" s="66">
        <v>19461.2</v>
      </c>
    </row>
    <row r="826" spans="2:10">
      <c r="B826" s="90">
        <v>19400.8</v>
      </c>
      <c r="C826" s="90">
        <v>1132.1999999999271</v>
      </c>
      <c r="D826" s="90">
        <v>19461.2</v>
      </c>
      <c r="E826" s="90">
        <v>1132.299999999927</v>
      </c>
      <c r="G826" s="66">
        <v>1132.299999999927</v>
      </c>
      <c r="H826" s="66">
        <v>19461.2</v>
      </c>
      <c r="I826" s="66">
        <v>1132.3999999999269</v>
      </c>
      <c r="J826" s="66">
        <v>19521.599999999999</v>
      </c>
    </row>
    <row r="827" spans="2:10">
      <c r="B827" s="90">
        <v>19461.2</v>
      </c>
      <c r="C827" s="90">
        <v>1132.299999999927</v>
      </c>
      <c r="D827" s="90">
        <v>19521.599999999999</v>
      </c>
      <c r="E827" s="90">
        <v>1132.3999999999269</v>
      </c>
      <c r="G827" s="66">
        <v>1132.3999999999269</v>
      </c>
      <c r="H827" s="66">
        <v>19521.599999999999</v>
      </c>
      <c r="I827" s="66">
        <v>1132.4999999999268</v>
      </c>
      <c r="J827" s="66">
        <v>19582</v>
      </c>
    </row>
    <row r="828" spans="2:10">
      <c r="B828" s="90">
        <v>19521.599999999999</v>
      </c>
      <c r="C828" s="90">
        <v>1132.3999999999269</v>
      </c>
      <c r="D828" s="90">
        <v>19582</v>
      </c>
      <c r="E828" s="90">
        <v>1132.4999999999268</v>
      </c>
      <c r="G828" s="66">
        <v>1132.4999999999268</v>
      </c>
      <c r="H828" s="66">
        <v>19582</v>
      </c>
      <c r="I828" s="66">
        <v>1132.5999999999267</v>
      </c>
      <c r="J828" s="66">
        <v>19642.400000000001</v>
      </c>
    </row>
    <row r="829" spans="2:10">
      <c r="B829" s="90">
        <v>19582</v>
      </c>
      <c r="C829" s="90">
        <v>1132.4999999999268</v>
      </c>
      <c r="D829" s="90">
        <v>19642.400000000001</v>
      </c>
      <c r="E829" s="90">
        <v>1132.5999999999267</v>
      </c>
      <c r="G829" s="66">
        <v>1132.5999999999267</v>
      </c>
      <c r="H829" s="66">
        <v>19642.400000000001</v>
      </c>
      <c r="I829" s="66">
        <v>1132.6999999999266</v>
      </c>
      <c r="J829" s="66">
        <v>19702.8</v>
      </c>
    </row>
    <row r="830" spans="2:10">
      <c r="B830" s="90">
        <v>19642.400000000001</v>
      </c>
      <c r="C830" s="90">
        <v>1132.5999999999267</v>
      </c>
      <c r="D830" s="90">
        <v>19702.8</v>
      </c>
      <c r="E830" s="90">
        <v>1132.6999999999266</v>
      </c>
      <c r="G830" s="66">
        <v>1132.6999999999266</v>
      </c>
      <c r="H830" s="66">
        <v>19702.8</v>
      </c>
      <c r="I830" s="66">
        <v>1132.7999999999265</v>
      </c>
      <c r="J830" s="66">
        <v>19763.2</v>
      </c>
    </row>
    <row r="831" spans="2:10">
      <c r="B831" s="90">
        <v>19702.8</v>
      </c>
      <c r="C831" s="90">
        <v>1132.6999999999266</v>
      </c>
      <c r="D831" s="90">
        <v>19763.2</v>
      </c>
      <c r="E831" s="90">
        <v>1132.7999999999265</v>
      </c>
      <c r="G831" s="66">
        <v>1132.7999999999265</v>
      </c>
      <c r="H831" s="66">
        <v>19763.2</v>
      </c>
      <c r="I831" s="66">
        <v>1132.8999999999264</v>
      </c>
      <c r="J831" s="66">
        <v>19823.599999999999</v>
      </c>
    </row>
    <row r="832" spans="2:10">
      <c r="B832" s="90">
        <v>19763.2</v>
      </c>
      <c r="C832" s="90">
        <v>1132.7999999999265</v>
      </c>
      <c r="D832" s="90">
        <v>19823.599999999999</v>
      </c>
      <c r="E832" s="90">
        <v>1132.8999999999264</v>
      </c>
      <c r="G832" s="66">
        <v>1132.8999999999264</v>
      </c>
      <c r="H832" s="66">
        <v>19823.599999999999</v>
      </c>
      <c r="I832" s="66">
        <v>1132.9999999999263</v>
      </c>
      <c r="J832" s="66">
        <v>19884</v>
      </c>
    </row>
    <row r="833" spans="2:10">
      <c r="B833" s="90">
        <v>19823.599999999999</v>
      </c>
      <c r="C833" s="90">
        <v>1132.8999999999264</v>
      </c>
      <c r="D833" s="90">
        <v>19884</v>
      </c>
      <c r="E833" s="90">
        <v>1132.9999999999263</v>
      </c>
      <c r="G833" s="66">
        <v>1132.9999999999263</v>
      </c>
      <c r="H833" s="66">
        <v>19884</v>
      </c>
      <c r="I833" s="66">
        <v>1133.0999999999262</v>
      </c>
      <c r="J833" s="66">
        <v>19946.099999999999</v>
      </c>
    </row>
    <row r="834" spans="2:10">
      <c r="B834" s="90">
        <v>19884</v>
      </c>
      <c r="C834" s="90">
        <v>1132.9999999999263</v>
      </c>
      <c r="D834" s="90">
        <v>19946.099999999999</v>
      </c>
      <c r="E834" s="90">
        <v>1133.0999999999262</v>
      </c>
      <c r="G834" s="66">
        <v>1133.0999999999262</v>
      </c>
      <c r="H834" s="66">
        <v>19946.099999999999</v>
      </c>
      <c r="I834" s="66">
        <v>1133.1999999999261</v>
      </c>
      <c r="J834" s="66">
        <v>20008.2</v>
      </c>
    </row>
    <row r="835" spans="2:10">
      <c r="B835" s="90">
        <v>19946.099999999999</v>
      </c>
      <c r="C835" s="90">
        <v>1133.0999999999262</v>
      </c>
      <c r="D835" s="90">
        <v>20008.2</v>
      </c>
      <c r="E835" s="90">
        <v>1133.1999999999261</v>
      </c>
      <c r="G835" s="66">
        <v>1133.1999999999261</v>
      </c>
      <c r="H835" s="66">
        <v>20008.2</v>
      </c>
      <c r="I835" s="66">
        <v>1133.2999999999261</v>
      </c>
      <c r="J835" s="66">
        <v>20070.3</v>
      </c>
    </row>
    <row r="836" spans="2:10">
      <c r="B836" s="90">
        <v>20008.2</v>
      </c>
      <c r="C836" s="90">
        <v>1133.1999999999261</v>
      </c>
      <c r="D836" s="90">
        <v>20070.3</v>
      </c>
      <c r="E836" s="90">
        <v>1133.2999999999261</v>
      </c>
      <c r="G836" s="66">
        <v>1133.2999999999261</v>
      </c>
      <c r="H836" s="66">
        <v>20070.3</v>
      </c>
      <c r="I836" s="66">
        <v>1133.399999999926</v>
      </c>
      <c r="J836" s="66">
        <v>20132.400000000001</v>
      </c>
    </row>
    <row r="837" spans="2:10">
      <c r="B837" s="90">
        <v>20070.3</v>
      </c>
      <c r="C837" s="90">
        <v>1133.2999999999261</v>
      </c>
      <c r="D837" s="90">
        <v>20132.400000000001</v>
      </c>
      <c r="E837" s="90">
        <v>1133.399999999926</v>
      </c>
      <c r="G837" s="66">
        <v>1133.399999999926</v>
      </c>
      <c r="H837" s="66">
        <v>20132.400000000001</v>
      </c>
      <c r="I837" s="66">
        <v>1133.4999999999259</v>
      </c>
      <c r="J837" s="66">
        <v>20194.5</v>
      </c>
    </row>
    <row r="838" spans="2:10">
      <c r="B838" s="90">
        <v>20132.400000000001</v>
      </c>
      <c r="C838" s="90">
        <v>1133.399999999926</v>
      </c>
      <c r="D838" s="90">
        <v>20194.5</v>
      </c>
      <c r="E838" s="90">
        <v>1133.4999999999259</v>
      </c>
      <c r="G838" s="66">
        <v>1133.4999999999259</v>
      </c>
      <c r="H838" s="66">
        <v>20194.5</v>
      </c>
      <c r="I838" s="66">
        <v>1133.5999999999258</v>
      </c>
      <c r="J838" s="66">
        <v>20256.599999999999</v>
      </c>
    </row>
    <row r="839" spans="2:10">
      <c r="B839" s="90">
        <v>20194.5</v>
      </c>
      <c r="C839" s="90">
        <v>1133.4999999999259</v>
      </c>
      <c r="D839" s="90">
        <v>20256.599999999999</v>
      </c>
      <c r="E839" s="90">
        <v>1133.5999999999258</v>
      </c>
      <c r="G839" s="66">
        <v>1133.5999999999258</v>
      </c>
      <c r="H839" s="66">
        <v>20256.599999999999</v>
      </c>
      <c r="I839" s="66">
        <v>1133.6999999999257</v>
      </c>
      <c r="J839" s="66">
        <v>20318.7</v>
      </c>
    </row>
    <row r="840" spans="2:10">
      <c r="B840" s="90">
        <v>20256.599999999999</v>
      </c>
      <c r="C840" s="90">
        <v>1133.5999999999258</v>
      </c>
      <c r="D840" s="90">
        <v>20318.7</v>
      </c>
      <c r="E840" s="90">
        <v>1133.6999999999257</v>
      </c>
      <c r="G840" s="66">
        <v>1133.6999999999257</v>
      </c>
      <c r="H840" s="66">
        <v>20318.7</v>
      </c>
      <c r="I840" s="66">
        <v>1133.7999999999256</v>
      </c>
      <c r="J840" s="66">
        <v>20380.8</v>
      </c>
    </row>
    <row r="841" spans="2:10">
      <c r="B841" s="90">
        <v>20318.7</v>
      </c>
      <c r="C841" s="90">
        <v>1133.6999999999257</v>
      </c>
      <c r="D841" s="90">
        <v>20380.8</v>
      </c>
      <c r="E841" s="90">
        <v>1133.7999999999256</v>
      </c>
      <c r="G841" s="66">
        <v>1133.7999999999256</v>
      </c>
      <c r="H841" s="66">
        <v>20380.8</v>
      </c>
      <c r="I841" s="66">
        <v>1133.8999999999255</v>
      </c>
      <c r="J841" s="66">
        <v>20442.900000000001</v>
      </c>
    </row>
    <row r="842" spans="2:10">
      <c r="B842" s="90">
        <v>20380.8</v>
      </c>
      <c r="C842" s="90">
        <v>1133.7999999999256</v>
      </c>
      <c r="D842" s="90">
        <v>20442.900000000001</v>
      </c>
      <c r="E842" s="90">
        <v>1133.8999999999255</v>
      </c>
      <c r="G842" s="66">
        <v>1133.8999999999255</v>
      </c>
      <c r="H842" s="66">
        <v>20442.900000000001</v>
      </c>
      <c r="I842" s="66">
        <v>1133.9999999999254</v>
      </c>
      <c r="J842" s="66">
        <v>20505</v>
      </c>
    </row>
    <row r="843" spans="2:10">
      <c r="B843" s="90">
        <v>20442.900000000001</v>
      </c>
      <c r="C843" s="90">
        <v>1133.8999999999255</v>
      </c>
      <c r="D843" s="90">
        <v>20505</v>
      </c>
      <c r="E843" s="90">
        <v>1133.9999999999254</v>
      </c>
      <c r="G843" s="66">
        <v>1133.9999999999254</v>
      </c>
      <c r="H843" s="66">
        <v>20505</v>
      </c>
      <c r="I843" s="66">
        <v>1134.0999999999253</v>
      </c>
      <c r="J843" s="66">
        <v>20569</v>
      </c>
    </row>
    <row r="844" spans="2:10">
      <c r="B844" s="90">
        <v>20505</v>
      </c>
      <c r="C844" s="90">
        <v>1133.9999999999254</v>
      </c>
      <c r="D844" s="90">
        <v>20569</v>
      </c>
      <c r="E844" s="90">
        <v>1134.0999999999253</v>
      </c>
      <c r="G844" s="66">
        <v>1134.0999999999253</v>
      </c>
      <c r="H844" s="66">
        <v>20569</v>
      </c>
      <c r="I844" s="66">
        <v>1134.1999999999252</v>
      </c>
      <c r="J844" s="66">
        <v>20633</v>
      </c>
    </row>
    <row r="845" spans="2:10">
      <c r="B845" s="90">
        <v>20569</v>
      </c>
      <c r="C845" s="90">
        <v>1134.0999999999253</v>
      </c>
      <c r="D845" s="90">
        <v>20633</v>
      </c>
      <c r="E845" s="90">
        <v>1134.1999999999252</v>
      </c>
      <c r="G845" s="66">
        <v>1134.1999999999252</v>
      </c>
      <c r="H845" s="66">
        <v>20633</v>
      </c>
      <c r="I845" s="66">
        <v>1134.2999999999251</v>
      </c>
      <c r="J845" s="66">
        <v>20697</v>
      </c>
    </row>
    <row r="846" spans="2:10">
      <c r="B846" s="90">
        <v>20633</v>
      </c>
      <c r="C846" s="90">
        <v>1134.1999999999252</v>
      </c>
      <c r="D846" s="90">
        <v>20697</v>
      </c>
      <c r="E846" s="90">
        <v>1134.2999999999251</v>
      </c>
      <c r="G846" s="66">
        <v>1134.2999999999251</v>
      </c>
      <c r="H846" s="66">
        <v>20697</v>
      </c>
      <c r="I846" s="66">
        <v>1134.3999999999251</v>
      </c>
      <c r="J846" s="66">
        <v>20761</v>
      </c>
    </row>
    <row r="847" spans="2:10">
      <c r="B847" s="90">
        <v>20697</v>
      </c>
      <c r="C847" s="90">
        <v>1134.2999999999251</v>
      </c>
      <c r="D847" s="90">
        <v>20761</v>
      </c>
      <c r="E847" s="90">
        <v>1134.3999999999251</v>
      </c>
      <c r="G847" s="66">
        <v>1134.3999999999251</v>
      </c>
      <c r="H847" s="66">
        <v>20761</v>
      </c>
      <c r="I847" s="66">
        <v>1134.499999999925</v>
      </c>
      <c r="J847" s="66">
        <v>20825</v>
      </c>
    </row>
    <row r="848" spans="2:10">
      <c r="B848" s="90">
        <v>20761</v>
      </c>
      <c r="C848" s="90">
        <v>1134.3999999999251</v>
      </c>
      <c r="D848" s="90">
        <v>20825</v>
      </c>
      <c r="E848" s="90">
        <v>1134.499999999925</v>
      </c>
      <c r="G848" s="66">
        <v>1134.499999999925</v>
      </c>
      <c r="H848" s="66">
        <v>20825</v>
      </c>
      <c r="I848" s="66">
        <v>1134.5999999999249</v>
      </c>
      <c r="J848" s="66">
        <v>20889</v>
      </c>
    </row>
    <row r="849" spans="2:10">
      <c r="B849" s="90">
        <v>20825</v>
      </c>
      <c r="C849" s="90">
        <v>1134.499999999925</v>
      </c>
      <c r="D849" s="90">
        <v>20889</v>
      </c>
      <c r="E849" s="90">
        <v>1134.5999999999249</v>
      </c>
      <c r="G849" s="66">
        <v>1134.5999999999249</v>
      </c>
      <c r="H849" s="66">
        <v>20889</v>
      </c>
      <c r="I849" s="66">
        <v>1134.6999999999248</v>
      </c>
      <c r="J849" s="66">
        <v>20953</v>
      </c>
    </row>
    <row r="850" spans="2:10">
      <c r="B850" s="90">
        <v>20889</v>
      </c>
      <c r="C850" s="90">
        <v>1134.5999999999249</v>
      </c>
      <c r="D850" s="90">
        <v>20953</v>
      </c>
      <c r="E850" s="90">
        <v>1134.6999999999248</v>
      </c>
      <c r="G850" s="66">
        <v>1134.6999999999248</v>
      </c>
      <c r="H850" s="66">
        <v>20953</v>
      </c>
      <c r="I850" s="66">
        <v>1134.7999999999247</v>
      </c>
      <c r="J850" s="66">
        <v>21017</v>
      </c>
    </row>
    <row r="851" spans="2:10">
      <c r="B851" s="90">
        <v>20953</v>
      </c>
      <c r="C851" s="90">
        <v>1134.6999999999248</v>
      </c>
      <c r="D851" s="90">
        <v>21017</v>
      </c>
      <c r="E851" s="90">
        <v>1134.7999999999247</v>
      </c>
      <c r="G851" s="66">
        <v>1134.7999999999247</v>
      </c>
      <c r="H851" s="66">
        <v>21017</v>
      </c>
      <c r="I851" s="66">
        <v>1134.8999999999246</v>
      </c>
      <c r="J851" s="66">
        <v>21081</v>
      </c>
    </row>
    <row r="852" spans="2:10">
      <c r="B852" s="90">
        <v>21017</v>
      </c>
      <c r="C852" s="90">
        <v>1134.7999999999247</v>
      </c>
      <c r="D852" s="90">
        <v>21081</v>
      </c>
      <c r="E852" s="90">
        <v>1134.8999999999246</v>
      </c>
      <c r="G852" s="66">
        <v>1134.8999999999246</v>
      </c>
      <c r="H852" s="66">
        <v>21081</v>
      </c>
      <c r="I852" s="66">
        <v>1134.9999999999245</v>
      </c>
      <c r="J852" s="66">
        <v>21145</v>
      </c>
    </row>
    <row r="853" spans="2:10">
      <c r="B853" s="90">
        <v>21081</v>
      </c>
      <c r="C853" s="90">
        <v>1134.8999999999246</v>
      </c>
      <c r="D853" s="90">
        <v>21145</v>
      </c>
      <c r="E853" s="90">
        <v>1134.9999999999245</v>
      </c>
      <c r="G853" s="66">
        <v>1134.9999999999245</v>
      </c>
      <c r="H853" s="66">
        <v>21145</v>
      </c>
      <c r="I853" s="66">
        <v>1135.0999999999244</v>
      </c>
      <c r="J853" s="66">
        <v>21210.7</v>
      </c>
    </row>
    <row r="854" spans="2:10">
      <c r="B854" s="90">
        <v>21145</v>
      </c>
      <c r="C854" s="90">
        <v>1134.9999999999245</v>
      </c>
      <c r="D854" s="90">
        <v>21210.7</v>
      </c>
      <c r="E854" s="90">
        <v>1135.0999999999244</v>
      </c>
      <c r="G854" s="66">
        <v>1135.0999999999244</v>
      </c>
      <c r="H854" s="66">
        <v>21210.7</v>
      </c>
      <c r="I854" s="66">
        <v>1135.1999999999243</v>
      </c>
      <c r="J854" s="66">
        <v>21276.400000000001</v>
      </c>
    </row>
    <row r="855" spans="2:10">
      <c r="B855" s="90">
        <v>21210.7</v>
      </c>
      <c r="C855" s="90">
        <v>1135.0999999999244</v>
      </c>
      <c r="D855" s="90">
        <v>21276.400000000001</v>
      </c>
      <c r="E855" s="90">
        <v>1135.1999999999243</v>
      </c>
      <c r="G855" s="66">
        <v>1135.1999999999243</v>
      </c>
      <c r="H855" s="66">
        <v>21276.400000000001</v>
      </c>
      <c r="I855" s="66">
        <v>1135.2999999999242</v>
      </c>
      <c r="J855" s="66">
        <v>21342.1</v>
      </c>
    </row>
    <row r="856" spans="2:10">
      <c r="B856" s="90">
        <v>21276.400000000001</v>
      </c>
      <c r="C856" s="90">
        <v>1135.1999999999243</v>
      </c>
      <c r="D856" s="90">
        <v>21342.1</v>
      </c>
      <c r="E856" s="90">
        <v>1135.2999999999242</v>
      </c>
      <c r="G856" s="66">
        <v>1135.2999999999242</v>
      </c>
      <c r="H856" s="66">
        <v>21342.1</v>
      </c>
      <c r="I856" s="66">
        <v>1135.3999999999241</v>
      </c>
      <c r="J856" s="66">
        <v>21407.8</v>
      </c>
    </row>
    <row r="857" spans="2:10">
      <c r="B857" s="90">
        <v>21342.1</v>
      </c>
      <c r="C857" s="90">
        <v>1135.2999999999242</v>
      </c>
      <c r="D857" s="90">
        <v>21407.8</v>
      </c>
      <c r="E857" s="90">
        <v>1135.3999999999241</v>
      </c>
      <c r="G857" s="66">
        <v>1135.3999999999241</v>
      </c>
      <c r="H857" s="66">
        <v>21407.8</v>
      </c>
      <c r="I857" s="66">
        <v>1135.4999999999241</v>
      </c>
      <c r="J857" s="66">
        <v>21473.5</v>
      </c>
    </row>
    <row r="858" spans="2:10">
      <c r="B858" s="90">
        <v>21407.8</v>
      </c>
      <c r="C858" s="90">
        <v>1135.3999999999241</v>
      </c>
      <c r="D858" s="90">
        <v>21473.5</v>
      </c>
      <c r="E858" s="90">
        <v>1135.4999999999241</v>
      </c>
      <c r="G858" s="66">
        <v>1135.4999999999241</v>
      </c>
      <c r="H858" s="66">
        <v>21473.5</v>
      </c>
      <c r="I858" s="66">
        <v>1135.599999999924</v>
      </c>
      <c r="J858" s="66">
        <v>21539.200000000001</v>
      </c>
    </row>
    <row r="859" spans="2:10">
      <c r="B859" s="90">
        <v>21473.5</v>
      </c>
      <c r="C859" s="90">
        <v>1135.4999999999241</v>
      </c>
      <c r="D859" s="90">
        <v>21539.200000000001</v>
      </c>
      <c r="E859" s="90">
        <v>1135.599999999924</v>
      </c>
      <c r="G859" s="66">
        <v>1135.599999999924</v>
      </c>
      <c r="H859" s="66">
        <v>21539.200000000001</v>
      </c>
      <c r="I859" s="66">
        <v>1135.6999999999239</v>
      </c>
      <c r="J859" s="66">
        <v>21604.9</v>
      </c>
    </row>
    <row r="860" spans="2:10">
      <c r="B860" s="90">
        <v>21539.200000000001</v>
      </c>
      <c r="C860" s="90">
        <v>1135.599999999924</v>
      </c>
      <c r="D860" s="90">
        <v>21604.9</v>
      </c>
      <c r="E860" s="90">
        <v>1135.6999999999239</v>
      </c>
      <c r="G860" s="66">
        <v>1135.6999999999239</v>
      </c>
      <c r="H860" s="66">
        <v>21604.9</v>
      </c>
      <c r="I860" s="66">
        <v>1135.7999999999238</v>
      </c>
      <c r="J860" s="66">
        <v>21670.6</v>
      </c>
    </row>
    <row r="861" spans="2:10">
      <c r="B861" s="90">
        <v>21604.9</v>
      </c>
      <c r="C861" s="90">
        <v>1135.6999999999239</v>
      </c>
      <c r="D861" s="90">
        <v>21670.6</v>
      </c>
      <c r="E861" s="90">
        <v>1135.7999999999238</v>
      </c>
      <c r="G861" s="66">
        <v>1135.7999999999238</v>
      </c>
      <c r="H861" s="66">
        <v>21670.6</v>
      </c>
      <c r="I861" s="66">
        <v>1135.8999999999237</v>
      </c>
      <c r="J861" s="66">
        <v>21736.3</v>
      </c>
    </row>
    <row r="862" spans="2:10">
      <c r="B862" s="90">
        <v>21670.6</v>
      </c>
      <c r="C862" s="90">
        <v>1135.7999999999238</v>
      </c>
      <c r="D862" s="90">
        <v>21736.3</v>
      </c>
      <c r="E862" s="90">
        <v>1135.8999999999237</v>
      </c>
      <c r="G862" s="66">
        <v>1135.8999999999237</v>
      </c>
      <c r="H862" s="66">
        <v>21736.3</v>
      </c>
      <c r="I862" s="66">
        <v>1135.9999999999236</v>
      </c>
      <c r="J862" s="66">
        <v>21802</v>
      </c>
    </row>
    <row r="863" spans="2:10">
      <c r="B863" s="90">
        <v>21736.3</v>
      </c>
      <c r="C863" s="90">
        <v>1135.8999999999237</v>
      </c>
      <c r="D863" s="90">
        <v>21802</v>
      </c>
      <c r="E863" s="90">
        <v>1135.9999999999236</v>
      </c>
      <c r="G863" s="66">
        <v>1135.9999999999236</v>
      </c>
      <c r="H863" s="66">
        <v>21802</v>
      </c>
      <c r="I863" s="66">
        <v>1136.0999999999235</v>
      </c>
      <c r="J863" s="66">
        <v>21869.7</v>
      </c>
    </row>
    <row r="864" spans="2:10">
      <c r="B864" s="90">
        <v>21802</v>
      </c>
      <c r="C864" s="90">
        <v>1135.9999999999236</v>
      </c>
      <c r="D864" s="90">
        <v>21869.7</v>
      </c>
      <c r="E864" s="90">
        <v>1136.0999999999235</v>
      </c>
      <c r="G864" s="66">
        <v>1136.0999999999235</v>
      </c>
      <c r="H864" s="66">
        <v>21869.7</v>
      </c>
      <c r="I864" s="66">
        <v>1136.1999999999234</v>
      </c>
      <c r="J864" s="66">
        <v>21937.4</v>
      </c>
    </row>
    <row r="865" spans="2:10">
      <c r="B865" s="90">
        <v>21869.7</v>
      </c>
      <c r="C865" s="90">
        <v>1136.0999999999235</v>
      </c>
      <c r="D865" s="90">
        <v>21937.4</v>
      </c>
      <c r="E865" s="90">
        <v>1136.1999999999234</v>
      </c>
      <c r="G865" s="66">
        <v>1136.1999999999234</v>
      </c>
      <c r="H865" s="66">
        <v>21937.4</v>
      </c>
      <c r="I865" s="66">
        <v>1136.2999999999233</v>
      </c>
      <c r="J865" s="66">
        <v>22005.1</v>
      </c>
    </row>
    <row r="866" spans="2:10">
      <c r="B866" s="90">
        <v>21937.4</v>
      </c>
      <c r="C866" s="90">
        <v>1136.1999999999234</v>
      </c>
      <c r="D866" s="90">
        <v>22005.1</v>
      </c>
      <c r="E866" s="90">
        <v>1136.2999999999233</v>
      </c>
      <c r="G866" s="66">
        <v>1136.2999999999233</v>
      </c>
      <c r="H866" s="66">
        <v>22005.1</v>
      </c>
      <c r="I866" s="66">
        <v>1136.3999999999232</v>
      </c>
      <c r="J866" s="66">
        <v>22072.799999999999</v>
      </c>
    </row>
    <row r="867" spans="2:10">
      <c r="B867" s="90">
        <v>22005.1</v>
      </c>
      <c r="C867" s="90">
        <v>1136.2999999999233</v>
      </c>
      <c r="D867" s="90">
        <v>22072.799999999999</v>
      </c>
      <c r="E867" s="90">
        <v>1136.3999999999232</v>
      </c>
      <c r="G867" s="66">
        <v>1136.3999999999232</v>
      </c>
      <c r="H867" s="66">
        <v>22072.799999999999</v>
      </c>
      <c r="I867" s="66">
        <v>1136.4999999999231</v>
      </c>
      <c r="J867" s="66">
        <v>22140.5</v>
      </c>
    </row>
    <row r="868" spans="2:10">
      <c r="B868" s="90">
        <v>22072.799999999999</v>
      </c>
      <c r="C868" s="90">
        <v>1136.3999999999232</v>
      </c>
      <c r="D868" s="90">
        <v>22140.5</v>
      </c>
      <c r="E868" s="90">
        <v>1136.4999999999231</v>
      </c>
      <c r="G868" s="66">
        <v>1136.4999999999231</v>
      </c>
      <c r="H868" s="66">
        <v>22140.5</v>
      </c>
      <c r="I868" s="66">
        <v>1136.5999999999231</v>
      </c>
      <c r="J868" s="66">
        <v>22208.2</v>
      </c>
    </row>
    <row r="869" spans="2:10">
      <c r="B869" s="90">
        <v>22140.5</v>
      </c>
      <c r="C869" s="90">
        <v>1136.4999999999231</v>
      </c>
      <c r="D869" s="90">
        <v>22208.2</v>
      </c>
      <c r="E869" s="90">
        <v>1136.5999999999231</v>
      </c>
      <c r="G869" s="66">
        <v>1136.5999999999231</v>
      </c>
      <c r="H869" s="66">
        <v>22208.2</v>
      </c>
      <c r="I869" s="66">
        <v>1136.699999999923</v>
      </c>
      <c r="J869" s="66">
        <v>22275.9</v>
      </c>
    </row>
    <row r="870" spans="2:10">
      <c r="B870" s="90">
        <v>22208.2</v>
      </c>
      <c r="C870" s="90">
        <v>1136.5999999999231</v>
      </c>
      <c r="D870" s="90">
        <v>22275.9</v>
      </c>
      <c r="E870" s="90">
        <v>1136.699999999923</v>
      </c>
      <c r="G870" s="66">
        <v>1136.699999999923</v>
      </c>
      <c r="H870" s="66">
        <v>22275.9</v>
      </c>
      <c r="I870" s="66">
        <v>1136.7999999999229</v>
      </c>
      <c r="J870" s="66">
        <v>22343.599999999999</v>
      </c>
    </row>
    <row r="871" spans="2:10">
      <c r="B871" s="90">
        <v>22275.9</v>
      </c>
      <c r="C871" s="90">
        <v>1136.699999999923</v>
      </c>
      <c r="D871" s="90">
        <v>22343.599999999999</v>
      </c>
      <c r="E871" s="90">
        <v>1136.7999999999229</v>
      </c>
      <c r="G871" s="66">
        <v>1136.7999999999229</v>
      </c>
      <c r="H871" s="66">
        <v>22343.599999999999</v>
      </c>
      <c r="I871" s="66">
        <v>1136.8999999999228</v>
      </c>
      <c r="J871" s="66">
        <v>22411.3</v>
      </c>
    </row>
    <row r="872" spans="2:10">
      <c r="B872" s="90">
        <v>22343.599999999999</v>
      </c>
      <c r="C872" s="90">
        <v>1136.7999999999229</v>
      </c>
      <c r="D872" s="90">
        <v>22411.3</v>
      </c>
      <c r="E872" s="90">
        <v>1136.8999999999228</v>
      </c>
      <c r="G872" s="66">
        <v>1136.8999999999228</v>
      </c>
      <c r="H872" s="66">
        <v>22411.3</v>
      </c>
      <c r="I872" s="66">
        <v>1136.9999999999227</v>
      </c>
      <c r="J872" s="66">
        <v>22479</v>
      </c>
    </row>
    <row r="873" spans="2:10">
      <c r="B873" s="90">
        <v>22411.3</v>
      </c>
      <c r="C873" s="90">
        <v>1136.8999999999228</v>
      </c>
      <c r="D873" s="90">
        <v>22479</v>
      </c>
      <c r="E873" s="90">
        <v>1136.9999999999227</v>
      </c>
      <c r="G873" s="66">
        <v>1136.9999999999227</v>
      </c>
      <c r="H873" s="66">
        <v>22479</v>
      </c>
      <c r="I873" s="66">
        <v>1137.0999999999226</v>
      </c>
      <c r="J873" s="66">
        <v>22548.5</v>
      </c>
    </row>
    <row r="874" spans="2:10">
      <c r="B874" s="90">
        <v>22479</v>
      </c>
      <c r="C874" s="90">
        <v>1136.9999999999227</v>
      </c>
      <c r="D874" s="90">
        <v>22548.5</v>
      </c>
      <c r="E874" s="90">
        <v>1137.0999999999226</v>
      </c>
      <c r="G874" s="66">
        <v>1137.0999999999226</v>
      </c>
      <c r="H874" s="66">
        <v>22548.5</v>
      </c>
      <c r="I874" s="66">
        <v>1137.1999999999225</v>
      </c>
      <c r="J874" s="66">
        <v>22618</v>
      </c>
    </row>
    <row r="875" spans="2:10">
      <c r="B875" s="90">
        <v>22548.5</v>
      </c>
      <c r="C875" s="90">
        <v>1137.0999999999226</v>
      </c>
      <c r="D875" s="90">
        <v>22618</v>
      </c>
      <c r="E875" s="90">
        <v>1137.1999999999225</v>
      </c>
      <c r="G875" s="66">
        <v>1137.1999999999225</v>
      </c>
      <c r="H875" s="66">
        <v>22618</v>
      </c>
      <c r="I875" s="66">
        <v>1137.2999999999224</v>
      </c>
      <c r="J875" s="66">
        <v>22687.5</v>
      </c>
    </row>
    <row r="876" spans="2:10">
      <c r="B876" s="90">
        <v>22618</v>
      </c>
      <c r="C876" s="90">
        <v>1137.1999999999225</v>
      </c>
      <c r="D876" s="90">
        <v>22687.5</v>
      </c>
      <c r="E876" s="90">
        <v>1137.2999999999224</v>
      </c>
      <c r="G876" s="66">
        <v>1137.2999999999224</v>
      </c>
      <c r="H876" s="66">
        <v>22687.5</v>
      </c>
      <c r="I876" s="66">
        <v>1137.3999999999223</v>
      </c>
      <c r="J876" s="66">
        <v>22757</v>
      </c>
    </row>
    <row r="877" spans="2:10">
      <c r="B877" s="90">
        <v>22687.5</v>
      </c>
      <c r="C877" s="90">
        <v>1137.2999999999224</v>
      </c>
      <c r="D877" s="90">
        <v>22757</v>
      </c>
      <c r="E877" s="90">
        <v>1137.3999999999223</v>
      </c>
      <c r="G877" s="66">
        <v>1137.3999999999223</v>
      </c>
      <c r="H877" s="66">
        <v>22757</v>
      </c>
      <c r="I877" s="66">
        <v>1137.4999999999222</v>
      </c>
      <c r="J877" s="66">
        <v>22826.5</v>
      </c>
    </row>
    <row r="878" spans="2:10">
      <c r="B878" s="90">
        <v>22757</v>
      </c>
      <c r="C878" s="90">
        <v>1137.3999999999223</v>
      </c>
      <c r="D878" s="90">
        <v>22826.5</v>
      </c>
      <c r="E878" s="90">
        <v>1137.4999999999222</v>
      </c>
      <c r="G878" s="66">
        <v>1137.4999999999222</v>
      </c>
      <c r="H878" s="66">
        <v>22826.5</v>
      </c>
      <c r="I878" s="66">
        <v>1137.5999999999221</v>
      </c>
      <c r="J878" s="66">
        <v>22896</v>
      </c>
    </row>
    <row r="879" spans="2:10">
      <c r="B879" s="90">
        <v>22826.5</v>
      </c>
      <c r="C879" s="90">
        <v>1137.4999999999222</v>
      </c>
      <c r="D879" s="90">
        <v>22896</v>
      </c>
      <c r="E879" s="90">
        <v>1137.5999999999221</v>
      </c>
      <c r="G879" s="66">
        <v>1137.5999999999221</v>
      </c>
      <c r="H879" s="66">
        <v>22896</v>
      </c>
      <c r="I879" s="66">
        <v>1137.6999999999221</v>
      </c>
      <c r="J879" s="66">
        <v>22965.5</v>
      </c>
    </row>
    <row r="880" spans="2:10">
      <c r="B880" s="90">
        <v>22896</v>
      </c>
      <c r="C880" s="90">
        <v>1137.5999999999221</v>
      </c>
      <c r="D880" s="90">
        <v>22965.5</v>
      </c>
      <c r="E880" s="90">
        <v>1137.6999999999221</v>
      </c>
      <c r="G880" s="66">
        <v>1137.6999999999221</v>
      </c>
      <c r="H880" s="66">
        <v>22965.5</v>
      </c>
      <c r="I880" s="66">
        <v>1137.799999999922</v>
      </c>
      <c r="J880" s="66">
        <v>23035</v>
      </c>
    </row>
    <row r="881" spans="2:10">
      <c r="B881" s="90">
        <v>22965.5</v>
      </c>
      <c r="C881" s="90">
        <v>1137.6999999999221</v>
      </c>
      <c r="D881" s="90">
        <v>23035</v>
      </c>
      <c r="E881" s="90">
        <v>1137.799999999922</v>
      </c>
      <c r="G881" s="66">
        <v>1137.799999999922</v>
      </c>
      <c r="H881" s="66">
        <v>23035</v>
      </c>
      <c r="I881" s="66">
        <v>1137.8999999999219</v>
      </c>
      <c r="J881" s="66">
        <v>23104.5</v>
      </c>
    </row>
    <row r="882" spans="2:10">
      <c r="B882" s="90">
        <v>23035</v>
      </c>
      <c r="C882" s="90">
        <v>1137.799999999922</v>
      </c>
      <c r="D882" s="90">
        <v>23104.5</v>
      </c>
      <c r="E882" s="90">
        <v>1137.8999999999219</v>
      </c>
      <c r="G882" s="66">
        <v>1137.8999999999219</v>
      </c>
      <c r="H882" s="66">
        <v>23104.5</v>
      </c>
      <c r="I882" s="66">
        <v>1137.9999999999218</v>
      </c>
      <c r="J882" s="66">
        <v>23174</v>
      </c>
    </row>
    <row r="883" spans="2:10">
      <c r="B883" s="90">
        <v>23104.5</v>
      </c>
      <c r="C883" s="90">
        <v>1137.8999999999219</v>
      </c>
      <c r="D883" s="90">
        <v>23174</v>
      </c>
      <c r="E883" s="90">
        <v>1137.9999999999218</v>
      </c>
      <c r="G883" s="66">
        <v>1137.9999999999218</v>
      </c>
      <c r="H883" s="66">
        <v>23174</v>
      </c>
      <c r="I883" s="66">
        <v>1138.0999999999217</v>
      </c>
      <c r="J883" s="66">
        <v>23245.4</v>
      </c>
    </row>
    <row r="884" spans="2:10">
      <c r="B884" s="90">
        <v>23174</v>
      </c>
      <c r="C884" s="90">
        <v>1137.9999999999218</v>
      </c>
      <c r="D884" s="90">
        <v>23245.4</v>
      </c>
      <c r="E884" s="90">
        <v>1138.0999999999217</v>
      </c>
      <c r="G884" s="66">
        <v>1138.0999999999217</v>
      </c>
      <c r="H884" s="66">
        <v>23245.4</v>
      </c>
      <c r="I884" s="66">
        <v>1138.1999999999216</v>
      </c>
      <c r="J884" s="66">
        <v>23316.799999999999</v>
      </c>
    </row>
    <row r="885" spans="2:10">
      <c r="B885" s="90">
        <v>23245.4</v>
      </c>
      <c r="C885" s="90">
        <v>1138.0999999999217</v>
      </c>
      <c r="D885" s="90">
        <v>23316.799999999999</v>
      </c>
      <c r="E885" s="90">
        <v>1138.1999999999216</v>
      </c>
      <c r="G885" s="66">
        <v>1138.1999999999216</v>
      </c>
      <c r="H885" s="66">
        <v>23316.799999999999</v>
      </c>
      <c r="I885" s="66">
        <v>1138.2999999999215</v>
      </c>
      <c r="J885" s="66">
        <v>23388.2</v>
      </c>
    </row>
    <row r="886" spans="2:10">
      <c r="B886" s="90">
        <v>23316.799999999999</v>
      </c>
      <c r="C886" s="90">
        <v>1138.1999999999216</v>
      </c>
      <c r="D886" s="90">
        <v>23388.2</v>
      </c>
      <c r="E886" s="90">
        <v>1138.2999999999215</v>
      </c>
      <c r="G886" s="66">
        <v>1138.2999999999215</v>
      </c>
      <c r="H886" s="66">
        <v>23388.2</v>
      </c>
      <c r="I886" s="66">
        <v>1138.3999999999214</v>
      </c>
      <c r="J886" s="66">
        <v>23459.599999999999</v>
      </c>
    </row>
    <row r="887" spans="2:10">
      <c r="B887" s="90">
        <v>23388.2</v>
      </c>
      <c r="C887" s="90">
        <v>1138.2999999999215</v>
      </c>
      <c r="D887" s="90">
        <v>23459.599999999999</v>
      </c>
      <c r="E887" s="90">
        <v>1138.3999999999214</v>
      </c>
      <c r="G887" s="66">
        <v>1138.3999999999214</v>
      </c>
      <c r="H887" s="66">
        <v>23459.599999999999</v>
      </c>
      <c r="I887" s="66">
        <v>1138.4999999999213</v>
      </c>
      <c r="J887" s="66">
        <v>23531</v>
      </c>
    </row>
    <row r="888" spans="2:10">
      <c r="B888" s="90">
        <v>23459.599999999999</v>
      </c>
      <c r="C888" s="90">
        <v>1138.3999999999214</v>
      </c>
      <c r="D888" s="90">
        <v>23531</v>
      </c>
      <c r="E888" s="90">
        <v>1138.4999999999213</v>
      </c>
      <c r="G888" s="66">
        <v>1138.4999999999213</v>
      </c>
      <c r="H888" s="66">
        <v>23531</v>
      </c>
      <c r="I888" s="66">
        <v>1138.5999999999212</v>
      </c>
      <c r="J888" s="66">
        <v>23602.400000000001</v>
      </c>
    </row>
    <row r="889" spans="2:10">
      <c r="B889" s="90">
        <v>23531</v>
      </c>
      <c r="C889" s="90">
        <v>1138.4999999999213</v>
      </c>
      <c r="D889" s="90">
        <v>23602.400000000001</v>
      </c>
      <c r="E889" s="90">
        <v>1138.5999999999212</v>
      </c>
      <c r="G889" s="66">
        <v>1138.5999999999212</v>
      </c>
      <c r="H889" s="66">
        <v>23602.400000000001</v>
      </c>
      <c r="I889" s="66">
        <v>1138.6999999999211</v>
      </c>
      <c r="J889" s="66">
        <v>23673.8</v>
      </c>
    </row>
    <row r="890" spans="2:10">
      <c r="B890" s="90">
        <v>23602.400000000001</v>
      </c>
      <c r="C890" s="90">
        <v>1138.5999999999212</v>
      </c>
      <c r="D890" s="90">
        <v>23673.8</v>
      </c>
      <c r="E890" s="90">
        <v>1138.6999999999211</v>
      </c>
      <c r="G890" s="66">
        <v>1138.6999999999211</v>
      </c>
      <c r="H890" s="66">
        <v>23673.8</v>
      </c>
      <c r="I890" s="66">
        <v>1138.7999999999211</v>
      </c>
      <c r="J890" s="66">
        <v>23745.200000000001</v>
      </c>
    </row>
    <row r="891" spans="2:10">
      <c r="B891" s="90">
        <v>23673.8</v>
      </c>
      <c r="C891" s="90">
        <v>1138.6999999999211</v>
      </c>
      <c r="D891" s="90">
        <v>23745.200000000001</v>
      </c>
      <c r="E891" s="90">
        <v>1138.7999999999211</v>
      </c>
      <c r="G891" s="66">
        <v>1138.7999999999211</v>
      </c>
      <c r="H891" s="66">
        <v>23745.200000000001</v>
      </c>
      <c r="I891" s="66">
        <v>1138.899999999921</v>
      </c>
      <c r="J891" s="66">
        <v>23816.6</v>
      </c>
    </row>
    <row r="892" spans="2:10">
      <c r="B892" s="90">
        <v>23745.200000000001</v>
      </c>
      <c r="C892" s="90">
        <v>1138.7999999999211</v>
      </c>
      <c r="D892" s="90">
        <v>23816.6</v>
      </c>
      <c r="E892" s="90">
        <v>1138.899999999921</v>
      </c>
      <c r="G892" s="66">
        <v>1138.899999999921</v>
      </c>
      <c r="H892" s="66">
        <v>23816.6</v>
      </c>
      <c r="I892" s="66">
        <v>1138.9999999999209</v>
      </c>
      <c r="J892" s="66">
        <v>23888</v>
      </c>
    </row>
    <row r="893" spans="2:10">
      <c r="B893" s="90">
        <v>23816.6</v>
      </c>
      <c r="C893" s="90">
        <v>1138.899999999921</v>
      </c>
      <c r="D893" s="90">
        <v>23888</v>
      </c>
      <c r="E893" s="90">
        <v>1138.9999999999209</v>
      </c>
      <c r="G893" s="66">
        <v>1138.9999999999209</v>
      </c>
      <c r="H893" s="66">
        <v>23888</v>
      </c>
      <c r="I893" s="66">
        <v>1139.0999999999208</v>
      </c>
      <c r="J893" s="66">
        <v>23961.4</v>
      </c>
    </row>
    <row r="894" spans="2:10">
      <c r="B894" s="90">
        <v>23888</v>
      </c>
      <c r="C894" s="90">
        <v>1138.9999999999209</v>
      </c>
      <c r="D894" s="90">
        <v>23961.4</v>
      </c>
      <c r="E894" s="90">
        <v>1139.0999999999208</v>
      </c>
      <c r="G894" s="66">
        <v>1139.0999999999208</v>
      </c>
      <c r="H894" s="66">
        <v>23961.4</v>
      </c>
      <c r="I894" s="66">
        <v>1139.1999999999207</v>
      </c>
      <c r="J894" s="66">
        <v>24034.799999999999</v>
      </c>
    </row>
    <row r="895" spans="2:10">
      <c r="B895" s="90">
        <v>23961.4</v>
      </c>
      <c r="C895" s="90">
        <v>1139.0999999999208</v>
      </c>
      <c r="D895" s="90">
        <v>24034.799999999999</v>
      </c>
      <c r="E895" s="90">
        <v>1139.1999999999207</v>
      </c>
      <c r="G895" s="66">
        <v>1139.1999999999207</v>
      </c>
      <c r="H895" s="66">
        <v>24034.799999999999</v>
      </c>
      <c r="I895" s="66">
        <v>1139.2999999999206</v>
      </c>
      <c r="J895" s="66">
        <v>24108.2</v>
      </c>
    </row>
    <row r="896" spans="2:10">
      <c r="B896" s="90">
        <v>24034.799999999999</v>
      </c>
      <c r="C896" s="90">
        <v>1139.1999999999207</v>
      </c>
      <c r="D896" s="90">
        <v>24108.2</v>
      </c>
      <c r="E896" s="90">
        <v>1139.2999999999206</v>
      </c>
      <c r="G896" s="66">
        <v>1139.2999999999206</v>
      </c>
      <c r="H896" s="66">
        <v>24108.2</v>
      </c>
      <c r="I896" s="66">
        <v>1139.3999999999205</v>
      </c>
      <c r="J896" s="66">
        <v>24181.599999999999</v>
      </c>
    </row>
    <row r="897" spans="2:10">
      <c r="B897" s="90">
        <v>24108.2</v>
      </c>
      <c r="C897" s="90">
        <v>1139.2999999999206</v>
      </c>
      <c r="D897" s="90">
        <v>24181.599999999999</v>
      </c>
      <c r="E897" s="90">
        <v>1139.3999999999205</v>
      </c>
      <c r="G897" s="66">
        <v>1139.3999999999205</v>
      </c>
      <c r="H897" s="66">
        <v>24181.599999999999</v>
      </c>
      <c r="I897" s="66">
        <v>1139.4999999999204</v>
      </c>
      <c r="J897" s="66">
        <v>24255</v>
      </c>
    </row>
    <row r="898" spans="2:10">
      <c r="B898" s="90">
        <v>24181.599999999999</v>
      </c>
      <c r="C898" s="90">
        <v>1139.3999999999205</v>
      </c>
      <c r="D898" s="90">
        <v>24255</v>
      </c>
      <c r="E898" s="90">
        <v>1139.4999999999204</v>
      </c>
      <c r="G898" s="66">
        <v>1139.4999999999204</v>
      </c>
      <c r="H898" s="66">
        <v>24255</v>
      </c>
      <c r="I898" s="66">
        <v>1139.5999999999203</v>
      </c>
      <c r="J898" s="66">
        <v>24328.400000000001</v>
      </c>
    </row>
    <row r="899" spans="2:10">
      <c r="B899" s="90">
        <v>24255</v>
      </c>
      <c r="C899" s="90">
        <v>1139.4999999999204</v>
      </c>
      <c r="D899" s="90">
        <v>24328.400000000001</v>
      </c>
      <c r="E899" s="90">
        <v>1139.5999999999203</v>
      </c>
      <c r="G899" s="66">
        <v>1139.5999999999203</v>
      </c>
      <c r="H899" s="66">
        <v>24328.400000000001</v>
      </c>
      <c r="I899" s="66">
        <v>1139.6999999999202</v>
      </c>
      <c r="J899" s="66">
        <v>24401.8</v>
      </c>
    </row>
    <row r="900" spans="2:10">
      <c r="B900" s="90">
        <v>24328.400000000001</v>
      </c>
      <c r="C900" s="90">
        <v>1139.5999999999203</v>
      </c>
      <c r="D900" s="90">
        <v>24401.8</v>
      </c>
      <c r="E900" s="90">
        <v>1139.6999999999202</v>
      </c>
      <c r="G900" s="66">
        <v>1139.6999999999202</v>
      </c>
      <c r="H900" s="66">
        <v>24401.8</v>
      </c>
      <c r="I900" s="66">
        <v>1139.7999999999201</v>
      </c>
      <c r="J900" s="66">
        <v>24475.200000000001</v>
      </c>
    </row>
    <row r="901" spans="2:10">
      <c r="B901" s="90">
        <v>24401.8</v>
      </c>
      <c r="C901" s="90">
        <v>1139.6999999999202</v>
      </c>
      <c r="D901" s="90">
        <v>24475.200000000001</v>
      </c>
      <c r="E901" s="90">
        <v>1139.7999999999201</v>
      </c>
      <c r="G901" s="66">
        <v>1139.7999999999201</v>
      </c>
      <c r="H901" s="66">
        <v>24475.200000000001</v>
      </c>
      <c r="I901" s="66">
        <v>1139.8999999999201</v>
      </c>
      <c r="J901" s="66">
        <v>24548.6</v>
      </c>
    </row>
    <row r="902" spans="2:10">
      <c r="B902" s="90">
        <v>24475.200000000001</v>
      </c>
      <c r="C902" s="90">
        <v>1139.7999999999201</v>
      </c>
      <c r="D902" s="90">
        <v>24548.6</v>
      </c>
      <c r="E902" s="90">
        <v>1139.8999999999201</v>
      </c>
      <c r="G902" s="66">
        <v>1139.8999999999201</v>
      </c>
      <c r="H902" s="66">
        <v>24548.6</v>
      </c>
      <c r="I902" s="66">
        <v>1139.99999999992</v>
      </c>
      <c r="J902" s="66">
        <v>24622</v>
      </c>
    </row>
    <row r="903" spans="2:10">
      <c r="B903" s="90">
        <v>24548.6</v>
      </c>
      <c r="C903" s="90">
        <v>1139.8999999999201</v>
      </c>
      <c r="D903" s="90">
        <v>24622</v>
      </c>
      <c r="E903" s="90">
        <v>1139.99999999992</v>
      </c>
      <c r="G903" s="66">
        <v>1139.99999999992</v>
      </c>
      <c r="H903" s="66">
        <v>24622</v>
      </c>
      <c r="I903" s="66">
        <v>1140.0999999999199</v>
      </c>
      <c r="J903" s="66">
        <v>24697.3</v>
      </c>
    </row>
    <row r="904" spans="2:10">
      <c r="B904" s="90">
        <v>24622</v>
      </c>
      <c r="C904" s="90">
        <v>1139.99999999992</v>
      </c>
      <c r="D904" s="90">
        <v>24697.3</v>
      </c>
      <c r="E904" s="90">
        <v>1140.0999999999199</v>
      </c>
      <c r="G904" s="66">
        <v>1140.0999999999199</v>
      </c>
      <c r="H904" s="66">
        <v>24697.3</v>
      </c>
      <c r="I904" s="66">
        <v>1140.1999999999198</v>
      </c>
      <c r="J904" s="66">
        <v>24772.6</v>
      </c>
    </row>
    <row r="905" spans="2:10">
      <c r="B905" s="90">
        <v>24697.3</v>
      </c>
      <c r="C905" s="90">
        <v>1140.0999999999199</v>
      </c>
      <c r="D905" s="90">
        <v>24772.6</v>
      </c>
      <c r="E905" s="90">
        <v>1140.1999999999198</v>
      </c>
      <c r="G905" s="66">
        <v>1140.1999999999198</v>
      </c>
      <c r="H905" s="66">
        <v>24772.6</v>
      </c>
      <c r="I905" s="66">
        <v>1140.2999999999197</v>
      </c>
      <c r="J905" s="66">
        <v>24847.9</v>
      </c>
    </row>
    <row r="906" spans="2:10">
      <c r="B906" s="90">
        <v>24772.6</v>
      </c>
      <c r="C906" s="90">
        <v>1140.1999999999198</v>
      </c>
      <c r="D906" s="90">
        <v>24847.9</v>
      </c>
      <c r="E906" s="90">
        <v>1140.2999999999197</v>
      </c>
      <c r="G906" s="66">
        <v>1140.2999999999197</v>
      </c>
      <c r="H906" s="66">
        <v>24847.9</v>
      </c>
      <c r="I906" s="66">
        <v>1140.3999999999196</v>
      </c>
      <c r="J906" s="66">
        <v>24923.200000000001</v>
      </c>
    </row>
    <row r="907" spans="2:10">
      <c r="B907" s="90">
        <v>24847.9</v>
      </c>
      <c r="C907" s="90">
        <v>1140.2999999999197</v>
      </c>
      <c r="D907" s="90">
        <v>24923.200000000001</v>
      </c>
      <c r="E907" s="90">
        <v>1140.3999999999196</v>
      </c>
      <c r="G907" s="66">
        <v>1140.3999999999196</v>
      </c>
      <c r="H907" s="66">
        <v>24923.200000000001</v>
      </c>
      <c r="I907" s="66">
        <v>1140.4999999999195</v>
      </c>
      <c r="J907" s="66">
        <v>24998.5</v>
      </c>
    </row>
    <row r="908" spans="2:10">
      <c r="B908" s="90">
        <v>24923.200000000001</v>
      </c>
      <c r="C908" s="90">
        <v>1140.3999999999196</v>
      </c>
      <c r="D908" s="90">
        <v>24998.5</v>
      </c>
      <c r="E908" s="90">
        <v>1140.4999999999195</v>
      </c>
      <c r="G908" s="66">
        <v>1140.4999999999195</v>
      </c>
      <c r="H908" s="66">
        <v>24998.5</v>
      </c>
      <c r="I908" s="66">
        <v>1140.5999999999194</v>
      </c>
      <c r="J908" s="66">
        <v>25073.8</v>
      </c>
    </row>
    <row r="909" spans="2:10">
      <c r="B909" s="90">
        <v>24998.5</v>
      </c>
      <c r="C909" s="90">
        <v>1140.4999999999195</v>
      </c>
      <c r="D909" s="90">
        <v>25073.8</v>
      </c>
      <c r="E909" s="90">
        <v>1140.5999999999194</v>
      </c>
      <c r="G909" s="66">
        <v>1140.5999999999194</v>
      </c>
      <c r="H909" s="66">
        <v>25073.8</v>
      </c>
      <c r="I909" s="66">
        <v>1140.6999999999193</v>
      </c>
      <c r="J909" s="66">
        <v>25149.1</v>
      </c>
    </row>
    <row r="910" spans="2:10">
      <c r="B910" s="90">
        <v>25073.8</v>
      </c>
      <c r="C910" s="90">
        <v>1140.5999999999194</v>
      </c>
      <c r="D910" s="90">
        <v>25149.1</v>
      </c>
      <c r="E910" s="90">
        <v>1140.6999999999193</v>
      </c>
      <c r="G910" s="66">
        <v>1140.6999999999193</v>
      </c>
      <c r="H910" s="66">
        <v>25149.1</v>
      </c>
      <c r="I910" s="66">
        <v>1140.7999999999192</v>
      </c>
      <c r="J910" s="66">
        <v>25224.400000000001</v>
      </c>
    </row>
    <row r="911" spans="2:10">
      <c r="B911" s="90">
        <v>25149.1</v>
      </c>
      <c r="C911" s="90">
        <v>1140.6999999999193</v>
      </c>
      <c r="D911" s="90">
        <v>25224.400000000001</v>
      </c>
      <c r="E911" s="90">
        <v>1140.7999999999192</v>
      </c>
      <c r="G911" s="66">
        <v>1140.7999999999192</v>
      </c>
      <c r="H911" s="66">
        <v>25224.400000000001</v>
      </c>
      <c r="I911" s="66">
        <v>1140.8999999999191</v>
      </c>
      <c r="J911" s="66">
        <v>25299.7</v>
      </c>
    </row>
    <row r="912" spans="2:10">
      <c r="B912" s="90">
        <v>25224.400000000001</v>
      </c>
      <c r="C912" s="90">
        <v>1140.7999999999192</v>
      </c>
      <c r="D912" s="90">
        <v>25299.7</v>
      </c>
      <c r="E912" s="90">
        <v>1140.8999999999191</v>
      </c>
      <c r="G912" s="66">
        <v>1140.8999999999191</v>
      </c>
      <c r="H912" s="66">
        <v>25299.7</v>
      </c>
      <c r="I912" s="66">
        <v>1140.9999999999191</v>
      </c>
      <c r="J912" s="66">
        <v>25375</v>
      </c>
    </row>
    <row r="913" spans="2:10">
      <c r="B913" s="90">
        <v>25299.7</v>
      </c>
      <c r="C913" s="90">
        <v>1140.8999999999191</v>
      </c>
      <c r="D913" s="90">
        <v>25375</v>
      </c>
      <c r="E913" s="90">
        <v>1140.9999999999191</v>
      </c>
      <c r="G913" s="66">
        <v>1140.9999999999191</v>
      </c>
      <c r="H913" s="66">
        <v>25375</v>
      </c>
      <c r="I913" s="66">
        <v>1141.099999999919</v>
      </c>
      <c r="J913" s="66">
        <v>25452.400000000001</v>
      </c>
    </row>
    <row r="914" spans="2:10">
      <c r="B914" s="90">
        <v>25375</v>
      </c>
      <c r="C914" s="90">
        <v>1140.9999999999191</v>
      </c>
      <c r="D914" s="90">
        <v>25452.400000000001</v>
      </c>
      <c r="E914" s="90">
        <v>1141.099999999919</v>
      </c>
      <c r="G914" s="66">
        <v>1141.099999999919</v>
      </c>
      <c r="H914" s="66">
        <v>25452.400000000001</v>
      </c>
      <c r="I914" s="66">
        <v>1141.1999999999189</v>
      </c>
      <c r="J914" s="66">
        <v>25529.8</v>
      </c>
    </row>
    <row r="915" spans="2:10">
      <c r="B915" s="90">
        <v>25452.400000000001</v>
      </c>
      <c r="C915" s="90">
        <v>1141.099999999919</v>
      </c>
      <c r="D915" s="90">
        <v>25529.8</v>
      </c>
      <c r="E915" s="90">
        <v>1141.1999999999189</v>
      </c>
      <c r="G915" s="66">
        <v>1141.1999999999189</v>
      </c>
      <c r="H915" s="66">
        <v>25529.8</v>
      </c>
      <c r="I915" s="66">
        <v>1141.2999999999188</v>
      </c>
      <c r="J915" s="66">
        <v>25607.200000000001</v>
      </c>
    </row>
    <row r="916" spans="2:10">
      <c r="B916" s="90">
        <v>25529.8</v>
      </c>
      <c r="C916" s="90">
        <v>1141.1999999999189</v>
      </c>
      <c r="D916" s="90">
        <v>25607.200000000001</v>
      </c>
      <c r="E916" s="90">
        <v>1141.2999999999188</v>
      </c>
      <c r="G916" s="66">
        <v>1141.2999999999188</v>
      </c>
      <c r="H916" s="66">
        <v>25607.200000000001</v>
      </c>
      <c r="I916" s="66">
        <v>1141.3999999999187</v>
      </c>
      <c r="J916" s="66">
        <v>25684.6</v>
      </c>
    </row>
    <row r="917" spans="2:10">
      <c r="B917" s="90">
        <v>25607.200000000001</v>
      </c>
      <c r="C917" s="90">
        <v>1141.2999999999188</v>
      </c>
      <c r="D917" s="90">
        <v>25684.6</v>
      </c>
      <c r="E917" s="90">
        <v>1141.3999999999187</v>
      </c>
      <c r="G917" s="66">
        <v>1141.3999999999187</v>
      </c>
      <c r="H917" s="66">
        <v>25684.6</v>
      </c>
      <c r="I917" s="66">
        <v>1141.4999999999186</v>
      </c>
      <c r="J917" s="66">
        <v>25762</v>
      </c>
    </row>
    <row r="918" spans="2:10">
      <c r="B918" s="90">
        <v>25684.6</v>
      </c>
      <c r="C918" s="90">
        <v>1141.3999999999187</v>
      </c>
      <c r="D918" s="90">
        <v>25762</v>
      </c>
      <c r="E918" s="90">
        <v>1141.4999999999186</v>
      </c>
      <c r="G918" s="66">
        <v>1141.4999999999186</v>
      </c>
      <c r="H918" s="66">
        <v>25762</v>
      </c>
      <c r="I918" s="66">
        <v>1141.5999999999185</v>
      </c>
      <c r="J918" s="66">
        <v>25839.4</v>
      </c>
    </row>
    <row r="919" spans="2:10">
      <c r="B919" s="90">
        <v>25762</v>
      </c>
      <c r="C919" s="90">
        <v>1141.4999999999186</v>
      </c>
      <c r="D919" s="90">
        <v>25839.4</v>
      </c>
      <c r="E919" s="90">
        <v>1141.5999999999185</v>
      </c>
      <c r="G919" s="66">
        <v>1141.5999999999185</v>
      </c>
      <c r="H919" s="66">
        <v>25839.4</v>
      </c>
      <c r="I919" s="66">
        <v>1141.6999999999184</v>
      </c>
      <c r="J919" s="66">
        <v>25916.799999999999</v>
      </c>
    </row>
    <row r="920" spans="2:10">
      <c r="B920" s="90">
        <v>25839.4</v>
      </c>
      <c r="C920" s="90">
        <v>1141.5999999999185</v>
      </c>
      <c r="D920" s="90">
        <v>25916.799999999999</v>
      </c>
      <c r="E920" s="90">
        <v>1141.6999999999184</v>
      </c>
      <c r="G920" s="66">
        <v>1141.6999999999184</v>
      </c>
      <c r="H920" s="66">
        <v>25916.799999999999</v>
      </c>
      <c r="I920" s="66">
        <v>1141.7999999999183</v>
      </c>
      <c r="J920" s="66">
        <v>25994.2</v>
      </c>
    </row>
    <row r="921" spans="2:10">
      <c r="B921" s="90">
        <v>25916.799999999999</v>
      </c>
      <c r="C921" s="90">
        <v>1141.6999999999184</v>
      </c>
      <c r="D921" s="90">
        <v>25994.2</v>
      </c>
      <c r="E921" s="90">
        <v>1141.7999999999183</v>
      </c>
      <c r="G921" s="66">
        <v>1141.7999999999183</v>
      </c>
      <c r="H921" s="66">
        <v>25994.2</v>
      </c>
      <c r="I921" s="66">
        <v>1141.8999999999182</v>
      </c>
      <c r="J921" s="66">
        <v>26071.599999999999</v>
      </c>
    </row>
    <row r="922" spans="2:10">
      <c r="B922" s="90">
        <v>25994.2</v>
      </c>
      <c r="C922" s="90">
        <v>1141.7999999999183</v>
      </c>
      <c r="D922" s="90">
        <v>26071.599999999999</v>
      </c>
      <c r="E922" s="90">
        <v>1141.8999999999182</v>
      </c>
      <c r="G922" s="66">
        <v>1141.8999999999182</v>
      </c>
      <c r="H922" s="66">
        <v>26071.599999999999</v>
      </c>
      <c r="I922" s="66">
        <v>1141.9999999999181</v>
      </c>
      <c r="J922" s="66">
        <v>26149</v>
      </c>
    </row>
    <row r="923" spans="2:10">
      <c r="B923" s="90">
        <v>26071.599999999999</v>
      </c>
      <c r="C923" s="90">
        <v>1141.8999999999182</v>
      </c>
      <c r="D923" s="90">
        <v>26149</v>
      </c>
      <c r="E923" s="90">
        <v>1141.9999999999181</v>
      </c>
      <c r="G923" s="66">
        <v>1141.9999999999181</v>
      </c>
      <c r="H923" s="66">
        <v>26149</v>
      </c>
      <c r="I923" s="66">
        <v>1142.0999999999181</v>
      </c>
      <c r="J923" s="66">
        <v>26228.3</v>
      </c>
    </row>
    <row r="924" spans="2:10">
      <c r="B924" s="90">
        <v>26149</v>
      </c>
      <c r="C924" s="90">
        <v>1141.9999999999181</v>
      </c>
      <c r="D924" s="90">
        <v>26228.3</v>
      </c>
      <c r="E924" s="90">
        <v>1142.0999999999181</v>
      </c>
      <c r="G924" s="66">
        <v>1142.0999999999181</v>
      </c>
      <c r="H924" s="66">
        <v>26228.3</v>
      </c>
      <c r="I924" s="66">
        <v>1142.199999999918</v>
      </c>
      <c r="J924" s="66">
        <v>26307.599999999999</v>
      </c>
    </row>
    <row r="925" spans="2:10">
      <c r="B925" s="90">
        <v>26228.3</v>
      </c>
      <c r="C925" s="90">
        <v>1142.0999999999181</v>
      </c>
      <c r="D925" s="90">
        <v>26307.599999999999</v>
      </c>
      <c r="E925" s="90">
        <v>1142.199999999918</v>
      </c>
      <c r="G925" s="66">
        <v>1142.199999999918</v>
      </c>
      <c r="H925" s="66">
        <v>26307.599999999999</v>
      </c>
      <c r="I925" s="66">
        <v>1142.2999999999179</v>
      </c>
      <c r="J925" s="66">
        <v>26386.9</v>
      </c>
    </row>
    <row r="926" spans="2:10">
      <c r="B926" s="90">
        <v>26307.599999999999</v>
      </c>
      <c r="C926" s="90">
        <v>1142.199999999918</v>
      </c>
      <c r="D926" s="90">
        <v>26386.9</v>
      </c>
      <c r="E926" s="90">
        <v>1142.2999999999179</v>
      </c>
      <c r="G926" s="66">
        <v>1142.2999999999179</v>
      </c>
      <c r="H926" s="66">
        <v>26386.9</v>
      </c>
      <c r="I926" s="66">
        <v>1142.3999999999178</v>
      </c>
      <c r="J926" s="66">
        <v>26466.2</v>
      </c>
    </row>
    <row r="927" spans="2:10">
      <c r="B927" s="90">
        <v>26386.9</v>
      </c>
      <c r="C927" s="90">
        <v>1142.2999999999179</v>
      </c>
      <c r="D927" s="90">
        <v>26466.2</v>
      </c>
      <c r="E927" s="90">
        <v>1142.3999999999178</v>
      </c>
      <c r="G927" s="66">
        <v>1142.3999999999178</v>
      </c>
      <c r="H927" s="66">
        <v>26466.2</v>
      </c>
      <c r="I927" s="66">
        <v>1142.4999999999177</v>
      </c>
      <c r="J927" s="66">
        <v>26545.5</v>
      </c>
    </row>
    <row r="928" spans="2:10">
      <c r="B928" s="90">
        <v>26466.2</v>
      </c>
      <c r="C928" s="90">
        <v>1142.3999999999178</v>
      </c>
      <c r="D928" s="90">
        <v>26545.5</v>
      </c>
      <c r="E928" s="90">
        <v>1142.4999999999177</v>
      </c>
      <c r="G928" s="66">
        <v>1142.4999999999177</v>
      </c>
      <c r="H928" s="66">
        <v>26545.5</v>
      </c>
      <c r="I928" s="66">
        <v>1142.5999999999176</v>
      </c>
      <c r="J928" s="66">
        <v>26624.799999999999</v>
      </c>
    </row>
    <row r="929" spans="2:10">
      <c r="B929" s="90">
        <v>26545.5</v>
      </c>
      <c r="C929" s="90">
        <v>1142.4999999999177</v>
      </c>
      <c r="D929" s="90">
        <v>26624.799999999999</v>
      </c>
      <c r="E929" s="90">
        <v>1142.5999999999176</v>
      </c>
      <c r="G929" s="66">
        <v>1142.5999999999176</v>
      </c>
      <c r="H929" s="66">
        <v>26624.799999999999</v>
      </c>
      <c r="I929" s="66">
        <v>1142.6999999999175</v>
      </c>
      <c r="J929" s="66">
        <v>26704.1</v>
      </c>
    </row>
    <row r="930" spans="2:10">
      <c r="B930" s="90">
        <v>26624.799999999999</v>
      </c>
      <c r="C930" s="90">
        <v>1142.5999999999176</v>
      </c>
      <c r="D930" s="90">
        <v>26704.1</v>
      </c>
      <c r="E930" s="90">
        <v>1142.6999999999175</v>
      </c>
      <c r="G930" s="66">
        <v>1142.6999999999175</v>
      </c>
      <c r="H930" s="66">
        <v>26704.1</v>
      </c>
      <c r="I930" s="66">
        <v>1142.7999999999174</v>
      </c>
      <c r="J930" s="66">
        <v>26783.4</v>
      </c>
    </row>
    <row r="931" spans="2:10">
      <c r="B931" s="90">
        <v>26704.1</v>
      </c>
      <c r="C931" s="90">
        <v>1142.6999999999175</v>
      </c>
      <c r="D931" s="90">
        <v>26783.4</v>
      </c>
      <c r="E931" s="90">
        <v>1142.7999999999174</v>
      </c>
      <c r="G931" s="66">
        <v>1142.7999999999174</v>
      </c>
      <c r="H931" s="66">
        <v>26783.4</v>
      </c>
      <c r="I931" s="66">
        <v>1142.8999999999173</v>
      </c>
      <c r="J931" s="66">
        <v>26862.7</v>
      </c>
    </row>
    <row r="932" spans="2:10">
      <c r="B932" s="90">
        <v>26783.4</v>
      </c>
      <c r="C932" s="90">
        <v>1142.7999999999174</v>
      </c>
      <c r="D932" s="90">
        <v>26862.7</v>
      </c>
      <c r="E932" s="90">
        <v>1142.8999999999173</v>
      </c>
      <c r="G932" s="66">
        <v>1142.8999999999173</v>
      </c>
      <c r="H932" s="66">
        <v>26862.7</v>
      </c>
      <c r="I932" s="66">
        <v>1142.9999999999172</v>
      </c>
      <c r="J932" s="66">
        <v>26942</v>
      </c>
    </row>
    <row r="933" spans="2:10">
      <c r="B933" s="90">
        <v>26862.7</v>
      </c>
      <c r="C933" s="90">
        <v>1142.8999999999173</v>
      </c>
      <c r="D933" s="90">
        <v>26942</v>
      </c>
      <c r="E933" s="90">
        <v>1142.9999999999172</v>
      </c>
      <c r="G933" s="66">
        <v>1142.9999999999172</v>
      </c>
      <c r="H933" s="66">
        <v>26942</v>
      </c>
      <c r="I933" s="66">
        <v>1143.0999999999171</v>
      </c>
      <c r="J933" s="66">
        <v>27023.4</v>
      </c>
    </row>
    <row r="934" spans="2:10">
      <c r="B934" s="90">
        <v>26942</v>
      </c>
      <c r="C934" s="90">
        <v>1142.9999999999172</v>
      </c>
      <c r="D934" s="90">
        <v>27023.4</v>
      </c>
      <c r="E934" s="90">
        <v>1143.0999999999171</v>
      </c>
      <c r="G934" s="66">
        <v>1143.0999999999171</v>
      </c>
      <c r="H934" s="66">
        <v>27023.4</v>
      </c>
      <c r="I934" s="66">
        <v>1143.1999999999171</v>
      </c>
      <c r="J934" s="66">
        <v>27104.799999999999</v>
      </c>
    </row>
    <row r="935" spans="2:10">
      <c r="B935" s="90">
        <v>27023.4</v>
      </c>
      <c r="C935" s="90">
        <v>1143.0999999999171</v>
      </c>
      <c r="D935" s="90">
        <v>27104.799999999999</v>
      </c>
      <c r="E935" s="90">
        <v>1143.1999999999171</v>
      </c>
      <c r="G935" s="66">
        <v>1143.1999999999171</v>
      </c>
      <c r="H935" s="66">
        <v>27104.799999999999</v>
      </c>
      <c r="I935" s="66">
        <v>1143.299999999917</v>
      </c>
      <c r="J935" s="66">
        <v>27186.2</v>
      </c>
    </row>
    <row r="936" spans="2:10">
      <c r="B936" s="90">
        <v>27104.799999999999</v>
      </c>
      <c r="C936" s="90">
        <v>1143.1999999999171</v>
      </c>
      <c r="D936" s="90">
        <v>27186.2</v>
      </c>
      <c r="E936" s="90">
        <v>1143.299999999917</v>
      </c>
      <c r="G936" s="66">
        <v>1143.299999999917</v>
      </c>
      <c r="H936" s="66">
        <v>27186.2</v>
      </c>
      <c r="I936" s="66">
        <v>1143.3999999999169</v>
      </c>
      <c r="J936" s="66">
        <v>27267.599999999999</v>
      </c>
    </row>
    <row r="937" spans="2:10">
      <c r="B937" s="90">
        <v>27186.2</v>
      </c>
      <c r="C937" s="90">
        <v>1143.299999999917</v>
      </c>
      <c r="D937" s="90">
        <v>27267.599999999999</v>
      </c>
      <c r="E937" s="90">
        <v>1143.3999999999169</v>
      </c>
      <c r="G937" s="66">
        <v>1143.3999999999169</v>
      </c>
      <c r="H937" s="66">
        <v>27267.599999999999</v>
      </c>
      <c r="I937" s="66">
        <v>1143.4999999999168</v>
      </c>
      <c r="J937" s="66">
        <v>27349</v>
      </c>
    </row>
    <row r="938" spans="2:10">
      <c r="B938" s="90">
        <v>27267.599999999999</v>
      </c>
      <c r="C938" s="90">
        <v>1143.3999999999169</v>
      </c>
      <c r="D938" s="90">
        <v>27349</v>
      </c>
      <c r="E938" s="90">
        <v>1143.4999999999168</v>
      </c>
      <c r="G938" s="66">
        <v>1143.4999999999168</v>
      </c>
      <c r="H938" s="66">
        <v>27349</v>
      </c>
      <c r="I938" s="66">
        <v>1143.5999999999167</v>
      </c>
      <c r="J938" s="66">
        <v>27430.400000000001</v>
      </c>
    </row>
    <row r="939" spans="2:10">
      <c r="B939" s="90">
        <v>27349</v>
      </c>
      <c r="C939" s="90">
        <v>1143.4999999999168</v>
      </c>
      <c r="D939" s="90">
        <v>27430.400000000001</v>
      </c>
      <c r="E939" s="90">
        <v>1143.5999999999167</v>
      </c>
      <c r="G939" s="66">
        <v>1143.5999999999167</v>
      </c>
      <c r="H939" s="66">
        <v>27430.400000000001</v>
      </c>
      <c r="I939" s="66">
        <v>1143.6999999999166</v>
      </c>
      <c r="J939" s="66">
        <v>27511.8</v>
      </c>
    </row>
    <row r="940" spans="2:10">
      <c r="B940" s="90">
        <v>27430.400000000001</v>
      </c>
      <c r="C940" s="90">
        <v>1143.5999999999167</v>
      </c>
      <c r="D940" s="90">
        <v>27511.8</v>
      </c>
      <c r="E940" s="90">
        <v>1143.6999999999166</v>
      </c>
      <c r="G940" s="66">
        <v>1143.6999999999166</v>
      </c>
      <c r="H940" s="66">
        <v>27511.8</v>
      </c>
      <c r="I940" s="66">
        <v>1143.7999999999165</v>
      </c>
      <c r="J940" s="66">
        <v>27593.200000000001</v>
      </c>
    </row>
    <row r="941" spans="2:10">
      <c r="B941" s="90">
        <v>27511.8</v>
      </c>
      <c r="C941" s="90">
        <v>1143.6999999999166</v>
      </c>
      <c r="D941" s="90">
        <v>27593.200000000001</v>
      </c>
      <c r="E941" s="90">
        <v>1143.7999999999165</v>
      </c>
      <c r="G941" s="66">
        <v>1143.7999999999165</v>
      </c>
      <c r="H941" s="66">
        <v>27593.200000000001</v>
      </c>
      <c r="I941" s="66">
        <v>1143.8999999999164</v>
      </c>
      <c r="J941" s="66">
        <v>27674.6</v>
      </c>
    </row>
    <row r="942" spans="2:10">
      <c r="B942" s="90">
        <v>27593.200000000001</v>
      </c>
      <c r="C942" s="90">
        <v>1143.7999999999165</v>
      </c>
      <c r="D942" s="90">
        <v>27674.6</v>
      </c>
      <c r="E942" s="90">
        <v>1143.8999999999164</v>
      </c>
      <c r="G942" s="66">
        <v>1143.8999999999164</v>
      </c>
      <c r="H942" s="66">
        <v>27674.6</v>
      </c>
      <c r="I942" s="66">
        <v>1143.9999999999163</v>
      </c>
      <c r="J942" s="66">
        <v>27756</v>
      </c>
    </row>
    <row r="943" spans="2:10">
      <c r="B943" s="90">
        <v>27674.6</v>
      </c>
      <c r="C943" s="90">
        <v>1143.8999999999164</v>
      </c>
      <c r="D943" s="90">
        <v>27756</v>
      </c>
      <c r="E943" s="90">
        <v>1143.9999999999163</v>
      </c>
      <c r="G943" s="66">
        <v>1143.9999999999163</v>
      </c>
      <c r="H943" s="66">
        <v>27756</v>
      </c>
      <c r="I943" s="66">
        <v>1144.0999999999162</v>
      </c>
      <c r="J943" s="66">
        <v>27839.4</v>
      </c>
    </row>
    <row r="944" spans="2:10">
      <c r="B944" s="90">
        <v>27756</v>
      </c>
      <c r="C944" s="90">
        <v>1143.9999999999163</v>
      </c>
      <c r="D944" s="90">
        <v>27839.4</v>
      </c>
      <c r="E944" s="90">
        <v>1144.0999999999162</v>
      </c>
      <c r="G944" s="66">
        <v>1144.0999999999162</v>
      </c>
      <c r="H944" s="66">
        <v>27839.4</v>
      </c>
      <c r="I944" s="66">
        <v>1144.1999999999161</v>
      </c>
      <c r="J944" s="66">
        <v>27922.799999999999</v>
      </c>
    </row>
    <row r="945" spans="2:10">
      <c r="B945" s="90">
        <v>27839.4</v>
      </c>
      <c r="C945" s="90">
        <v>1144.0999999999162</v>
      </c>
      <c r="D945" s="90">
        <v>27922.799999999999</v>
      </c>
      <c r="E945" s="90">
        <v>1144.1999999999161</v>
      </c>
      <c r="G945" s="66">
        <v>1144.1999999999161</v>
      </c>
      <c r="H945" s="66">
        <v>27922.799999999999</v>
      </c>
      <c r="I945" s="66">
        <v>1144.2999999999161</v>
      </c>
      <c r="J945" s="66">
        <v>28006.2</v>
      </c>
    </row>
    <row r="946" spans="2:10">
      <c r="B946" s="90">
        <v>27922.799999999999</v>
      </c>
      <c r="C946" s="90">
        <v>1144.1999999999161</v>
      </c>
      <c r="D946" s="90">
        <v>28006.2</v>
      </c>
      <c r="E946" s="90">
        <v>1144.2999999999161</v>
      </c>
      <c r="G946" s="66">
        <v>1144.2999999999161</v>
      </c>
      <c r="H946" s="66">
        <v>28006.2</v>
      </c>
      <c r="I946" s="66">
        <v>1144.399999999916</v>
      </c>
      <c r="J946" s="66">
        <v>28089.599999999999</v>
      </c>
    </row>
    <row r="947" spans="2:10">
      <c r="B947" s="90">
        <v>28006.2</v>
      </c>
      <c r="C947" s="90">
        <v>1144.2999999999161</v>
      </c>
      <c r="D947" s="90">
        <v>28089.599999999999</v>
      </c>
      <c r="E947" s="90">
        <v>1144.399999999916</v>
      </c>
      <c r="G947" s="66">
        <v>1144.399999999916</v>
      </c>
      <c r="H947" s="66">
        <v>28089.599999999999</v>
      </c>
      <c r="I947" s="66">
        <v>1144.4999999999159</v>
      </c>
      <c r="J947" s="66">
        <v>28173</v>
      </c>
    </row>
    <row r="948" spans="2:10">
      <c r="B948" s="90">
        <v>28089.599999999999</v>
      </c>
      <c r="C948" s="90">
        <v>1144.399999999916</v>
      </c>
      <c r="D948" s="90">
        <v>28173</v>
      </c>
      <c r="E948" s="90">
        <v>1144.4999999999159</v>
      </c>
      <c r="G948" s="66">
        <v>1144.4999999999159</v>
      </c>
      <c r="H948" s="66">
        <v>28173</v>
      </c>
      <c r="I948" s="66">
        <v>1144.5999999999158</v>
      </c>
      <c r="J948" s="66">
        <v>28256.400000000001</v>
      </c>
    </row>
    <row r="949" spans="2:10">
      <c r="B949" s="90">
        <v>28173</v>
      </c>
      <c r="C949" s="90">
        <v>1144.4999999999159</v>
      </c>
      <c r="D949" s="90">
        <v>28256.400000000001</v>
      </c>
      <c r="E949" s="90">
        <v>1144.5999999999158</v>
      </c>
      <c r="G949" s="66">
        <v>1144.5999999999158</v>
      </c>
      <c r="H949" s="66">
        <v>28256.400000000001</v>
      </c>
      <c r="I949" s="66">
        <v>1144.6999999999157</v>
      </c>
      <c r="J949" s="66">
        <v>28339.8</v>
      </c>
    </row>
    <row r="950" spans="2:10">
      <c r="B950" s="90">
        <v>28256.400000000001</v>
      </c>
      <c r="C950" s="90">
        <v>1144.5999999999158</v>
      </c>
      <c r="D950" s="90">
        <v>28339.8</v>
      </c>
      <c r="E950" s="90">
        <v>1144.6999999999157</v>
      </c>
      <c r="G950" s="66">
        <v>1144.6999999999157</v>
      </c>
      <c r="H950" s="66">
        <v>28339.8</v>
      </c>
      <c r="I950" s="66">
        <v>1144.7999999999156</v>
      </c>
      <c r="J950" s="66">
        <v>28423.200000000001</v>
      </c>
    </row>
    <row r="951" spans="2:10">
      <c r="B951" s="90">
        <v>28339.8</v>
      </c>
      <c r="C951" s="90">
        <v>1144.6999999999157</v>
      </c>
      <c r="D951" s="90">
        <v>28423.200000000001</v>
      </c>
      <c r="E951" s="90">
        <v>1144.7999999999156</v>
      </c>
      <c r="G951" s="66">
        <v>1144.7999999999156</v>
      </c>
      <c r="H951" s="66">
        <v>28423.200000000001</v>
      </c>
      <c r="I951" s="66">
        <v>1144.8999999999155</v>
      </c>
      <c r="J951" s="66">
        <v>28506.6</v>
      </c>
    </row>
    <row r="952" spans="2:10">
      <c r="B952" s="90">
        <v>28423.200000000001</v>
      </c>
      <c r="C952" s="90">
        <v>1144.7999999999156</v>
      </c>
      <c r="D952" s="90">
        <v>28506.6</v>
      </c>
      <c r="E952" s="90">
        <v>1144.8999999999155</v>
      </c>
      <c r="G952" s="66">
        <v>1144.8999999999155</v>
      </c>
      <c r="H952" s="66">
        <v>28506.6</v>
      </c>
      <c r="I952" s="66">
        <v>1144.9999999999154</v>
      </c>
      <c r="J952" s="66">
        <v>28590</v>
      </c>
    </row>
    <row r="953" spans="2:10">
      <c r="B953" s="90">
        <v>28506.6</v>
      </c>
      <c r="C953" s="90">
        <v>1144.8999999999155</v>
      </c>
      <c r="D953" s="90">
        <v>28590</v>
      </c>
      <c r="E953" s="90">
        <v>1144.9999999999154</v>
      </c>
      <c r="G953" s="66">
        <v>1144.9999999999154</v>
      </c>
      <c r="H953" s="66">
        <v>28590</v>
      </c>
      <c r="I953" s="66">
        <v>1145.0999999999153</v>
      </c>
      <c r="J953" s="66">
        <v>28675.200000000001</v>
      </c>
    </row>
    <row r="954" spans="2:10">
      <c r="B954" s="90">
        <v>28590</v>
      </c>
      <c r="C954" s="90">
        <v>1144.9999999999154</v>
      </c>
      <c r="D954" s="90">
        <v>28675.200000000001</v>
      </c>
      <c r="E954" s="90">
        <v>1145.0999999999153</v>
      </c>
      <c r="G954" s="66">
        <v>1145.0999999999153</v>
      </c>
      <c r="H954" s="66">
        <v>28675.200000000001</v>
      </c>
      <c r="I954" s="66">
        <v>1145.1999999999152</v>
      </c>
      <c r="J954" s="66">
        <v>28760.400000000001</v>
      </c>
    </row>
    <row r="955" spans="2:10">
      <c r="B955" s="90">
        <v>28675.200000000001</v>
      </c>
      <c r="C955" s="90">
        <v>1145.0999999999153</v>
      </c>
      <c r="D955" s="90">
        <v>28760.400000000001</v>
      </c>
      <c r="E955" s="90">
        <v>1145.1999999999152</v>
      </c>
      <c r="G955" s="66">
        <v>1145.1999999999152</v>
      </c>
      <c r="H955" s="66">
        <v>28760.400000000001</v>
      </c>
      <c r="I955" s="66">
        <v>1145.2999999999151</v>
      </c>
      <c r="J955" s="66">
        <v>28845.599999999999</v>
      </c>
    </row>
    <row r="956" spans="2:10">
      <c r="B956" s="90">
        <v>28760.400000000001</v>
      </c>
      <c r="C956" s="90">
        <v>1145.1999999999152</v>
      </c>
      <c r="D956" s="90">
        <v>28845.599999999999</v>
      </c>
      <c r="E956" s="90">
        <v>1145.2999999999151</v>
      </c>
      <c r="G956" s="66">
        <v>1145.2999999999151</v>
      </c>
      <c r="H956" s="66">
        <v>28845.599999999999</v>
      </c>
      <c r="I956" s="66">
        <v>1145.3999999999151</v>
      </c>
      <c r="J956" s="66">
        <v>28930.799999999999</v>
      </c>
    </row>
    <row r="957" spans="2:10">
      <c r="B957" s="90">
        <v>28845.599999999999</v>
      </c>
      <c r="C957" s="90">
        <v>1145.2999999999151</v>
      </c>
      <c r="D957" s="90">
        <v>28930.799999999999</v>
      </c>
      <c r="E957" s="90">
        <v>1145.3999999999151</v>
      </c>
      <c r="G957" s="66">
        <v>1145.3999999999151</v>
      </c>
      <c r="H957" s="66">
        <v>28930.799999999999</v>
      </c>
      <c r="I957" s="66">
        <v>1145.499999999915</v>
      </c>
      <c r="J957" s="66">
        <v>29016</v>
      </c>
    </row>
    <row r="958" spans="2:10">
      <c r="B958" s="90">
        <v>28930.799999999999</v>
      </c>
      <c r="C958" s="90">
        <v>1145.3999999999151</v>
      </c>
      <c r="D958" s="90">
        <v>29016</v>
      </c>
      <c r="E958" s="90">
        <v>1145.499999999915</v>
      </c>
      <c r="G958" s="66">
        <v>1145.499999999915</v>
      </c>
      <c r="H958" s="66">
        <v>29016</v>
      </c>
      <c r="I958" s="66">
        <v>1145.5999999999149</v>
      </c>
      <c r="J958" s="66">
        <v>29101.200000000001</v>
      </c>
    </row>
    <row r="959" spans="2:10">
      <c r="B959" s="90">
        <v>29016</v>
      </c>
      <c r="C959" s="90">
        <v>1145.499999999915</v>
      </c>
      <c r="D959" s="90">
        <v>29101.200000000001</v>
      </c>
      <c r="E959" s="90">
        <v>1145.5999999999149</v>
      </c>
      <c r="G959" s="66">
        <v>1145.5999999999149</v>
      </c>
      <c r="H959" s="66">
        <v>29101.200000000001</v>
      </c>
      <c r="I959" s="66">
        <v>1145.6999999999148</v>
      </c>
      <c r="J959" s="66">
        <v>29186.400000000001</v>
      </c>
    </row>
    <row r="960" spans="2:10">
      <c r="B960" s="90">
        <v>29101.200000000001</v>
      </c>
      <c r="C960" s="90">
        <v>1145.5999999999149</v>
      </c>
      <c r="D960" s="90">
        <v>29186.400000000001</v>
      </c>
      <c r="E960" s="90">
        <v>1145.6999999999148</v>
      </c>
      <c r="G960" s="66">
        <v>1145.6999999999148</v>
      </c>
      <c r="H960" s="66">
        <v>29186.400000000001</v>
      </c>
      <c r="I960" s="66">
        <v>1145.7999999999147</v>
      </c>
      <c r="J960" s="66">
        <v>29271.599999999999</v>
      </c>
    </row>
    <row r="961" spans="2:10">
      <c r="B961" s="90">
        <v>29186.400000000001</v>
      </c>
      <c r="C961" s="90">
        <v>1145.6999999999148</v>
      </c>
      <c r="D961" s="90">
        <v>29271.599999999999</v>
      </c>
      <c r="E961" s="90">
        <v>1145.7999999999147</v>
      </c>
      <c r="G961" s="66">
        <v>1145.7999999999147</v>
      </c>
      <c r="H961" s="66">
        <v>29271.599999999999</v>
      </c>
      <c r="I961" s="66">
        <v>1145.8999999999146</v>
      </c>
      <c r="J961" s="66">
        <v>29356.799999999999</v>
      </c>
    </row>
    <row r="962" spans="2:10">
      <c r="B962" s="90">
        <v>29271.599999999999</v>
      </c>
      <c r="C962" s="90">
        <v>1145.7999999999147</v>
      </c>
      <c r="D962" s="90">
        <v>29356.799999999999</v>
      </c>
      <c r="E962" s="90">
        <v>1145.8999999999146</v>
      </c>
      <c r="G962" s="66">
        <v>1145.8999999999146</v>
      </c>
      <c r="H962" s="66">
        <v>29356.799999999999</v>
      </c>
      <c r="I962" s="66">
        <v>1145.9999999999145</v>
      </c>
      <c r="J962" s="66">
        <v>29442</v>
      </c>
    </row>
    <row r="963" spans="2:10">
      <c r="B963" s="90">
        <v>29356.799999999999</v>
      </c>
      <c r="C963" s="90">
        <v>1145.8999999999146</v>
      </c>
      <c r="D963" s="90">
        <v>29442</v>
      </c>
      <c r="E963" s="90">
        <v>1145.9999999999145</v>
      </c>
      <c r="G963" s="66">
        <v>1145.9999999999145</v>
      </c>
      <c r="H963" s="66">
        <v>29442</v>
      </c>
      <c r="I963" s="66">
        <v>1146.0999999999144</v>
      </c>
      <c r="J963" s="66">
        <v>29528.5</v>
      </c>
    </row>
    <row r="964" spans="2:10">
      <c r="B964" s="90">
        <v>29442</v>
      </c>
      <c r="C964" s="90">
        <v>1145.9999999999145</v>
      </c>
      <c r="D964" s="90">
        <v>29528.5</v>
      </c>
      <c r="E964" s="90">
        <v>1146.0999999999144</v>
      </c>
      <c r="G964" s="66">
        <v>1146.0999999999144</v>
      </c>
      <c r="H964" s="66">
        <v>29528.5</v>
      </c>
      <c r="I964" s="66">
        <v>1146.1999999999143</v>
      </c>
      <c r="J964" s="66">
        <v>29615</v>
      </c>
    </row>
    <row r="965" spans="2:10">
      <c r="B965" s="90">
        <v>29528.5</v>
      </c>
      <c r="C965" s="90">
        <v>1146.0999999999144</v>
      </c>
      <c r="D965" s="90">
        <v>29615</v>
      </c>
      <c r="E965" s="90">
        <v>1146.1999999999143</v>
      </c>
      <c r="G965" s="66">
        <v>1146.1999999999143</v>
      </c>
      <c r="H965" s="66">
        <v>29615</v>
      </c>
      <c r="I965" s="66">
        <v>1146.2999999999142</v>
      </c>
      <c r="J965" s="66">
        <v>29701.5</v>
      </c>
    </row>
    <row r="966" spans="2:10">
      <c r="B966" s="90">
        <v>29615</v>
      </c>
      <c r="C966" s="90">
        <v>1146.1999999999143</v>
      </c>
      <c r="D966" s="90">
        <v>29701.5</v>
      </c>
      <c r="E966" s="90">
        <v>1146.2999999999142</v>
      </c>
      <c r="G966" s="66">
        <v>1146.2999999999142</v>
      </c>
      <c r="H966" s="66">
        <v>29701.5</v>
      </c>
      <c r="I966" s="66">
        <v>1146.3999999999141</v>
      </c>
      <c r="J966" s="66">
        <v>29788</v>
      </c>
    </row>
    <row r="967" spans="2:10">
      <c r="B967" s="90">
        <v>29701.5</v>
      </c>
      <c r="C967" s="90">
        <v>1146.2999999999142</v>
      </c>
      <c r="D967" s="90">
        <v>29788</v>
      </c>
      <c r="E967" s="90">
        <v>1146.3999999999141</v>
      </c>
      <c r="G967" s="66">
        <v>1146.3999999999141</v>
      </c>
      <c r="H967" s="66">
        <v>29788</v>
      </c>
      <c r="I967" s="66">
        <v>1146.4999999999141</v>
      </c>
      <c r="J967" s="66">
        <v>29874.5</v>
      </c>
    </row>
    <row r="968" spans="2:10">
      <c r="B968" s="90">
        <v>29788</v>
      </c>
      <c r="C968" s="90">
        <v>1146.3999999999141</v>
      </c>
      <c r="D968" s="90">
        <v>29874.5</v>
      </c>
      <c r="E968" s="90">
        <v>1146.4999999999141</v>
      </c>
      <c r="G968" s="66">
        <v>1146.4999999999141</v>
      </c>
      <c r="H968" s="66">
        <v>29874.5</v>
      </c>
      <c r="I968" s="66">
        <v>1146.599999999914</v>
      </c>
      <c r="J968" s="66">
        <v>29961</v>
      </c>
    </row>
    <row r="969" spans="2:10">
      <c r="B969" s="90">
        <v>29874.5</v>
      </c>
      <c r="C969" s="90">
        <v>1146.4999999999141</v>
      </c>
      <c r="D969" s="90">
        <v>29961</v>
      </c>
      <c r="E969" s="90">
        <v>1146.599999999914</v>
      </c>
      <c r="G969" s="66">
        <v>1146.599999999914</v>
      </c>
      <c r="H969" s="66">
        <v>29961</v>
      </c>
      <c r="I969" s="66">
        <v>1146.6999999999139</v>
      </c>
      <c r="J969" s="66">
        <v>30047.5</v>
      </c>
    </row>
    <row r="970" spans="2:10">
      <c r="B970" s="90">
        <v>29961</v>
      </c>
      <c r="C970" s="90">
        <v>1146.599999999914</v>
      </c>
      <c r="D970" s="90">
        <v>30047.5</v>
      </c>
      <c r="E970" s="90">
        <v>1146.6999999999139</v>
      </c>
      <c r="G970" s="66">
        <v>1146.6999999999139</v>
      </c>
      <c r="H970" s="66">
        <v>30047.5</v>
      </c>
      <c r="I970" s="66">
        <v>1146.7999999999138</v>
      </c>
      <c r="J970" s="66">
        <v>30134</v>
      </c>
    </row>
    <row r="971" spans="2:10">
      <c r="B971" s="90">
        <v>30047.5</v>
      </c>
      <c r="C971" s="90">
        <v>1146.6999999999139</v>
      </c>
      <c r="D971" s="90">
        <v>30134</v>
      </c>
      <c r="E971" s="90">
        <v>1146.7999999999138</v>
      </c>
      <c r="G971" s="66">
        <v>1146.7999999999138</v>
      </c>
      <c r="H971" s="66">
        <v>30134</v>
      </c>
      <c r="I971" s="66">
        <v>1146.8999999999137</v>
      </c>
      <c r="J971" s="66">
        <v>30220.5</v>
      </c>
    </row>
    <row r="972" spans="2:10">
      <c r="B972" s="90">
        <v>30134</v>
      </c>
      <c r="C972" s="90">
        <v>1146.7999999999138</v>
      </c>
      <c r="D972" s="90">
        <v>30220.5</v>
      </c>
      <c r="E972" s="90">
        <v>1146.8999999999137</v>
      </c>
      <c r="G972" s="66">
        <v>1146.8999999999137</v>
      </c>
      <c r="H972" s="66">
        <v>30220.5</v>
      </c>
      <c r="I972" s="66">
        <v>1146.9999999999136</v>
      </c>
      <c r="J972" s="66">
        <v>30307</v>
      </c>
    </row>
    <row r="973" spans="2:10">
      <c r="B973" s="90">
        <v>30220.5</v>
      </c>
      <c r="C973" s="90">
        <v>1146.8999999999137</v>
      </c>
      <c r="D973" s="90">
        <v>30307</v>
      </c>
      <c r="E973" s="90">
        <v>1146.9999999999136</v>
      </c>
      <c r="G973" s="66">
        <v>1146.9999999999136</v>
      </c>
      <c r="H973" s="66">
        <v>30307</v>
      </c>
      <c r="I973" s="66">
        <v>1147.0999999999135</v>
      </c>
      <c r="J973" s="66">
        <v>30394.799999999999</v>
      </c>
    </row>
    <row r="974" spans="2:10">
      <c r="B974" s="90">
        <v>30307</v>
      </c>
      <c r="C974" s="90">
        <v>1146.9999999999136</v>
      </c>
      <c r="D974" s="90">
        <v>30394.799999999999</v>
      </c>
      <c r="E974" s="90">
        <v>1147.0999999999135</v>
      </c>
      <c r="G974" s="66">
        <v>1147.0999999999135</v>
      </c>
      <c r="H974" s="66">
        <v>30394.799999999999</v>
      </c>
      <c r="I974" s="66">
        <v>1147.1999999999134</v>
      </c>
      <c r="J974" s="66">
        <v>30482.6</v>
      </c>
    </row>
    <row r="975" spans="2:10">
      <c r="B975" s="90">
        <v>30394.799999999999</v>
      </c>
      <c r="C975" s="90">
        <v>1147.0999999999135</v>
      </c>
      <c r="D975" s="90">
        <v>30482.6</v>
      </c>
      <c r="E975" s="90">
        <v>1147.1999999999134</v>
      </c>
      <c r="G975" s="66">
        <v>1147.1999999999134</v>
      </c>
      <c r="H975" s="66">
        <v>30482.6</v>
      </c>
      <c r="I975" s="66">
        <v>1147.2999999999133</v>
      </c>
      <c r="J975" s="66">
        <v>30570.400000000001</v>
      </c>
    </row>
    <row r="976" spans="2:10">
      <c r="B976" s="90">
        <v>30482.6</v>
      </c>
      <c r="C976" s="90">
        <v>1147.1999999999134</v>
      </c>
      <c r="D976" s="90">
        <v>30570.400000000001</v>
      </c>
      <c r="E976" s="90">
        <v>1147.2999999999133</v>
      </c>
      <c r="G976" s="66">
        <v>1147.2999999999133</v>
      </c>
      <c r="H976" s="66">
        <v>30570.400000000001</v>
      </c>
      <c r="I976" s="66">
        <v>1147.3999999999132</v>
      </c>
      <c r="J976" s="66">
        <v>30658.2</v>
      </c>
    </row>
    <row r="977" spans="2:10">
      <c r="B977" s="90">
        <v>30570.400000000001</v>
      </c>
      <c r="C977" s="90">
        <v>1147.2999999999133</v>
      </c>
      <c r="D977" s="90">
        <v>30658.2</v>
      </c>
      <c r="E977" s="90">
        <v>1147.3999999999132</v>
      </c>
      <c r="G977" s="66">
        <v>1147.3999999999132</v>
      </c>
      <c r="H977" s="66">
        <v>30658.2</v>
      </c>
      <c r="I977" s="66">
        <v>1147.4999999999131</v>
      </c>
      <c r="J977" s="66">
        <v>30746</v>
      </c>
    </row>
    <row r="978" spans="2:10">
      <c r="B978" s="90">
        <v>30658.2</v>
      </c>
      <c r="C978" s="90">
        <v>1147.3999999999132</v>
      </c>
      <c r="D978" s="90">
        <v>30746</v>
      </c>
      <c r="E978" s="90">
        <v>1147.4999999999131</v>
      </c>
      <c r="G978" s="66">
        <v>1147.4999999999131</v>
      </c>
      <c r="H978" s="66">
        <v>30746</v>
      </c>
      <c r="I978" s="66">
        <v>1147.5999999999131</v>
      </c>
      <c r="J978" s="66">
        <v>30833.8</v>
      </c>
    </row>
    <row r="979" spans="2:10">
      <c r="B979" s="90">
        <v>30746</v>
      </c>
      <c r="C979" s="90">
        <v>1147.4999999999131</v>
      </c>
      <c r="D979" s="90">
        <v>30833.8</v>
      </c>
      <c r="E979" s="90">
        <v>1147.5999999999131</v>
      </c>
      <c r="G979" s="66">
        <v>1147.5999999999131</v>
      </c>
      <c r="H979" s="66">
        <v>30833.8</v>
      </c>
      <c r="I979" s="66">
        <v>1147.699999999913</v>
      </c>
      <c r="J979" s="66">
        <v>30921.599999999999</v>
      </c>
    </row>
    <row r="980" spans="2:10">
      <c r="B980" s="90">
        <v>30833.8</v>
      </c>
      <c r="C980" s="90">
        <v>1147.5999999999131</v>
      </c>
      <c r="D980" s="90">
        <v>30921.599999999999</v>
      </c>
      <c r="E980" s="90">
        <v>1147.699999999913</v>
      </c>
      <c r="G980" s="66">
        <v>1147.699999999913</v>
      </c>
      <c r="H980" s="66">
        <v>30921.599999999999</v>
      </c>
      <c r="I980" s="66">
        <v>1147.7999999999129</v>
      </c>
      <c r="J980" s="66">
        <v>31009.4</v>
      </c>
    </row>
    <row r="981" spans="2:10">
      <c r="B981" s="90">
        <v>30921.599999999999</v>
      </c>
      <c r="C981" s="90">
        <v>1147.699999999913</v>
      </c>
      <c r="D981" s="90">
        <v>31009.4</v>
      </c>
      <c r="E981" s="90">
        <v>1147.7999999999129</v>
      </c>
      <c r="G981" s="66">
        <v>1147.7999999999129</v>
      </c>
      <c r="H981" s="66">
        <v>31009.4</v>
      </c>
      <c r="I981" s="66">
        <v>1147.8999999999128</v>
      </c>
      <c r="J981" s="66">
        <v>31097.200000000001</v>
      </c>
    </row>
    <row r="982" spans="2:10">
      <c r="B982" s="90">
        <v>31009.4</v>
      </c>
      <c r="C982" s="90">
        <v>1147.7999999999129</v>
      </c>
      <c r="D982" s="90">
        <v>31097.200000000001</v>
      </c>
      <c r="E982" s="90">
        <v>1147.8999999999128</v>
      </c>
      <c r="G982" s="66">
        <v>1147.8999999999128</v>
      </c>
      <c r="H982" s="66">
        <v>31097.200000000001</v>
      </c>
      <c r="I982" s="66">
        <v>1147.9999999999127</v>
      </c>
      <c r="J982" s="66">
        <v>31185</v>
      </c>
    </row>
    <row r="983" spans="2:10">
      <c r="B983" s="90">
        <v>31097.200000000001</v>
      </c>
      <c r="C983" s="90">
        <v>1147.8999999999128</v>
      </c>
      <c r="D983" s="90">
        <v>31185</v>
      </c>
      <c r="E983" s="90">
        <v>1147.9999999999127</v>
      </c>
      <c r="G983" s="66">
        <v>1147.9999999999127</v>
      </c>
      <c r="H983" s="66">
        <v>31185</v>
      </c>
      <c r="I983" s="66">
        <v>1148.0999999999126</v>
      </c>
      <c r="J983" s="66">
        <v>31274.2</v>
      </c>
    </row>
    <row r="984" spans="2:10">
      <c r="B984" s="90">
        <v>31185</v>
      </c>
      <c r="C984" s="90">
        <v>1147.9999999999127</v>
      </c>
      <c r="D984" s="90">
        <v>31274.2</v>
      </c>
      <c r="E984" s="90">
        <v>1148.0999999999126</v>
      </c>
      <c r="G984" s="66">
        <v>1148.0999999999126</v>
      </c>
      <c r="H984" s="66">
        <v>31274.2</v>
      </c>
      <c r="I984" s="66">
        <v>1148.1999999999125</v>
      </c>
      <c r="J984" s="66">
        <v>31363.4</v>
      </c>
    </row>
    <row r="985" spans="2:10">
      <c r="B985" s="90">
        <v>31274.2</v>
      </c>
      <c r="C985" s="90">
        <v>1148.0999999999126</v>
      </c>
      <c r="D985" s="90">
        <v>31363.4</v>
      </c>
      <c r="E985" s="90">
        <v>1148.1999999999125</v>
      </c>
      <c r="G985" s="66">
        <v>1148.1999999999125</v>
      </c>
      <c r="H985" s="66">
        <v>31363.4</v>
      </c>
      <c r="I985" s="66">
        <v>1148.2999999999124</v>
      </c>
      <c r="J985" s="66">
        <v>31452.6</v>
      </c>
    </row>
    <row r="986" spans="2:10">
      <c r="B986" s="90">
        <v>31363.4</v>
      </c>
      <c r="C986" s="90">
        <v>1148.1999999999125</v>
      </c>
      <c r="D986" s="90">
        <v>31452.6</v>
      </c>
      <c r="E986" s="90">
        <v>1148.2999999999124</v>
      </c>
      <c r="G986" s="66">
        <v>1148.2999999999124</v>
      </c>
      <c r="H986" s="66">
        <v>31452.6</v>
      </c>
      <c r="I986" s="66">
        <v>1148.3999999999123</v>
      </c>
      <c r="J986" s="66">
        <v>31541.8</v>
      </c>
    </row>
    <row r="987" spans="2:10">
      <c r="B987" s="90">
        <v>31452.6</v>
      </c>
      <c r="C987" s="90">
        <v>1148.2999999999124</v>
      </c>
      <c r="D987" s="90">
        <v>31541.8</v>
      </c>
      <c r="E987" s="90">
        <v>1148.3999999999123</v>
      </c>
      <c r="G987" s="66">
        <v>1148.3999999999123</v>
      </c>
      <c r="H987" s="66">
        <v>31541.8</v>
      </c>
      <c r="I987" s="66">
        <v>1148.4999999999122</v>
      </c>
      <c r="J987" s="66">
        <v>31631</v>
      </c>
    </row>
    <row r="988" spans="2:10">
      <c r="B988" s="90">
        <v>31541.8</v>
      </c>
      <c r="C988" s="90">
        <v>1148.3999999999123</v>
      </c>
      <c r="D988" s="90">
        <v>31631</v>
      </c>
      <c r="E988" s="90">
        <v>1148.4999999999122</v>
      </c>
      <c r="G988" s="66">
        <v>1148.4999999999122</v>
      </c>
      <c r="H988" s="66">
        <v>31631</v>
      </c>
      <c r="I988" s="66">
        <v>1148.5999999999121</v>
      </c>
      <c r="J988" s="66">
        <v>31720.2</v>
      </c>
    </row>
    <row r="989" spans="2:10">
      <c r="B989" s="90">
        <v>31631</v>
      </c>
      <c r="C989" s="90">
        <v>1148.4999999999122</v>
      </c>
      <c r="D989" s="90">
        <v>31720.2</v>
      </c>
      <c r="E989" s="90">
        <v>1148.5999999999121</v>
      </c>
      <c r="G989" s="66">
        <v>1148.5999999999121</v>
      </c>
      <c r="H989" s="66">
        <v>31720.2</v>
      </c>
      <c r="I989" s="66">
        <v>1148.6999999999121</v>
      </c>
      <c r="J989" s="66">
        <v>31809.4</v>
      </c>
    </row>
    <row r="990" spans="2:10">
      <c r="B990" s="90">
        <v>31720.2</v>
      </c>
      <c r="C990" s="90">
        <v>1148.5999999999121</v>
      </c>
      <c r="D990" s="90">
        <v>31809.4</v>
      </c>
      <c r="E990" s="90">
        <v>1148.6999999999121</v>
      </c>
      <c r="G990" s="66">
        <v>1148.6999999999121</v>
      </c>
      <c r="H990" s="66">
        <v>31809.4</v>
      </c>
      <c r="I990" s="66">
        <v>1148.799999999912</v>
      </c>
      <c r="J990" s="66">
        <v>31898.6</v>
      </c>
    </row>
    <row r="991" spans="2:10">
      <c r="B991" s="90">
        <v>31809.4</v>
      </c>
      <c r="C991" s="90">
        <v>1148.6999999999121</v>
      </c>
      <c r="D991" s="90">
        <v>31898.6</v>
      </c>
      <c r="E991" s="90">
        <v>1148.799999999912</v>
      </c>
      <c r="G991" s="66">
        <v>1148.799999999912</v>
      </c>
      <c r="H991" s="66">
        <v>31898.6</v>
      </c>
      <c r="I991" s="66">
        <v>1148.8999999999119</v>
      </c>
      <c r="J991" s="66">
        <v>31987.8</v>
      </c>
    </row>
    <row r="992" spans="2:10">
      <c r="B992" s="90">
        <v>31898.6</v>
      </c>
      <c r="C992" s="90">
        <v>1148.799999999912</v>
      </c>
      <c r="D992" s="90">
        <v>31987.8</v>
      </c>
      <c r="E992" s="90">
        <v>1148.8999999999119</v>
      </c>
      <c r="G992" s="66">
        <v>1148.8999999999119</v>
      </c>
      <c r="H992" s="66">
        <v>31987.8</v>
      </c>
      <c r="I992" s="66">
        <v>1148.9999999999118</v>
      </c>
      <c r="J992" s="66">
        <v>32077</v>
      </c>
    </row>
    <row r="993" spans="2:10">
      <c r="B993" s="90">
        <v>31987.8</v>
      </c>
      <c r="C993" s="90">
        <v>1148.8999999999119</v>
      </c>
      <c r="D993" s="90">
        <v>32077</v>
      </c>
      <c r="E993" s="90">
        <v>1148.9999999999118</v>
      </c>
      <c r="G993" s="66">
        <v>1148.9999999999118</v>
      </c>
      <c r="H993" s="66">
        <v>32077</v>
      </c>
      <c r="I993" s="66">
        <v>1149.0999999999117</v>
      </c>
      <c r="J993" s="66">
        <v>32167.5</v>
      </c>
    </row>
    <row r="994" spans="2:10">
      <c r="B994" s="90">
        <v>32077</v>
      </c>
      <c r="C994" s="90">
        <v>1148.9999999999118</v>
      </c>
      <c r="D994" s="90">
        <v>32167.5</v>
      </c>
      <c r="E994" s="90">
        <v>1149.0999999999117</v>
      </c>
      <c r="G994" s="66">
        <v>1149.0999999999117</v>
      </c>
      <c r="H994" s="66">
        <v>32167.5</v>
      </c>
      <c r="I994" s="66">
        <v>1149.1999999999116</v>
      </c>
      <c r="J994" s="66">
        <v>32258</v>
      </c>
    </row>
    <row r="995" spans="2:10">
      <c r="B995" s="90">
        <v>32167.5</v>
      </c>
      <c r="C995" s="90">
        <v>1149.0999999999117</v>
      </c>
      <c r="D995" s="90">
        <v>32258</v>
      </c>
      <c r="E995" s="90">
        <v>1149.1999999999116</v>
      </c>
      <c r="G995" s="66">
        <v>1149.1999999999116</v>
      </c>
      <c r="H995" s="66">
        <v>32258</v>
      </c>
      <c r="I995" s="66">
        <v>1149.2999999999115</v>
      </c>
      <c r="J995" s="66">
        <v>32348.5</v>
      </c>
    </row>
    <row r="996" spans="2:10">
      <c r="B996" s="90">
        <v>32258</v>
      </c>
      <c r="C996" s="90">
        <v>1149.1999999999116</v>
      </c>
      <c r="D996" s="90">
        <v>32348.5</v>
      </c>
      <c r="E996" s="90">
        <v>1149.2999999999115</v>
      </c>
      <c r="G996" s="66">
        <v>1149.2999999999115</v>
      </c>
      <c r="H996" s="66">
        <v>32348.5</v>
      </c>
      <c r="I996" s="66">
        <v>1149.3999999999114</v>
      </c>
      <c r="J996" s="66">
        <v>32439</v>
      </c>
    </row>
    <row r="997" spans="2:10">
      <c r="B997" s="90">
        <v>32348.5</v>
      </c>
      <c r="C997" s="90">
        <v>1149.2999999999115</v>
      </c>
      <c r="D997" s="90">
        <v>32439</v>
      </c>
      <c r="E997" s="90">
        <v>1149.3999999999114</v>
      </c>
      <c r="G997" s="66">
        <v>1149.3999999999114</v>
      </c>
      <c r="H997" s="66">
        <v>32439</v>
      </c>
      <c r="I997" s="66">
        <v>1149.4999999999113</v>
      </c>
      <c r="J997" s="66">
        <v>32529.5</v>
      </c>
    </row>
    <row r="998" spans="2:10">
      <c r="B998" s="90">
        <v>32439</v>
      </c>
      <c r="C998" s="90">
        <v>1149.3999999999114</v>
      </c>
      <c r="D998" s="90">
        <v>32529.5</v>
      </c>
      <c r="E998" s="90">
        <v>1149.4999999999113</v>
      </c>
      <c r="G998" s="66">
        <v>1149.4999999999113</v>
      </c>
      <c r="H998" s="66">
        <v>32529.5</v>
      </c>
      <c r="I998" s="66">
        <v>1149.5999999999112</v>
      </c>
      <c r="J998" s="66">
        <v>32620</v>
      </c>
    </row>
    <row r="999" spans="2:10">
      <c r="B999" s="90">
        <v>32529.5</v>
      </c>
      <c r="C999" s="90">
        <v>1149.4999999999113</v>
      </c>
      <c r="D999" s="90">
        <v>32620</v>
      </c>
      <c r="E999" s="90">
        <v>1149.5999999999112</v>
      </c>
      <c r="G999" s="66">
        <v>1149.5999999999112</v>
      </c>
      <c r="H999" s="66">
        <v>32620</v>
      </c>
      <c r="I999" s="66">
        <v>1149.6999999999111</v>
      </c>
      <c r="J999" s="66">
        <v>32710.5</v>
      </c>
    </row>
    <row r="1000" spans="2:10">
      <c r="B1000" s="90">
        <v>32620</v>
      </c>
      <c r="C1000" s="90">
        <v>1149.5999999999112</v>
      </c>
      <c r="D1000" s="90">
        <v>32710.5</v>
      </c>
      <c r="E1000" s="90">
        <v>1149.6999999999111</v>
      </c>
      <c r="G1000" s="66">
        <v>1149.6999999999111</v>
      </c>
      <c r="H1000" s="66">
        <v>32710.5</v>
      </c>
      <c r="I1000" s="66">
        <v>1149.7999999999111</v>
      </c>
      <c r="J1000" s="66">
        <v>32801</v>
      </c>
    </row>
    <row r="1001" spans="2:10">
      <c r="B1001" s="90">
        <v>32710.5</v>
      </c>
      <c r="C1001" s="90">
        <v>1149.6999999999111</v>
      </c>
      <c r="D1001" s="90">
        <v>32801</v>
      </c>
      <c r="E1001" s="90">
        <v>1149.7999999999111</v>
      </c>
      <c r="G1001" s="66">
        <v>1149.7999999999111</v>
      </c>
      <c r="H1001" s="66">
        <v>32801</v>
      </c>
      <c r="I1001" s="66">
        <v>1149.899999999911</v>
      </c>
      <c r="J1001" s="66">
        <v>32891.5</v>
      </c>
    </row>
    <row r="1002" spans="2:10">
      <c r="B1002" s="90">
        <v>32801</v>
      </c>
      <c r="C1002" s="90">
        <v>1149.7999999999111</v>
      </c>
      <c r="D1002" s="90">
        <v>32891.5</v>
      </c>
      <c r="E1002" s="90">
        <v>1149.899999999911</v>
      </c>
      <c r="G1002" s="66">
        <v>1149.899999999911</v>
      </c>
      <c r="H1002" s="66">
        <v>32891.5</v>
      </c>
      <c r="I1002" s="66">
        <v>1149.9999999999109</v>
      </c>
      <c r="J1002" s="66">
        <v>32982</v>
      </c>
    </row>
    <row r="1003" spans="2:10">
      <c r="B1003" s="90">
        <v>32891.5</v>
      </c>
      <c r="C1003" s="90">
        <v>1149.899999999911</v>
      </c>
      <c r="D1003" s="90">
        <v>32982</v>
      </c>
      <c r="E1003" s="90">
        <v>1149.9999999999109</v>
      </c>
      <c r="G1003" s="66">
        <v>1149.9999999999109</v>
      </c>
      <c r="H1003" s="66">
        <v>32982</v>
      </c>
      <c r="I1003" s="66">
        <v>1150.0999999999108</v>
      </c>
      <c r="J1003" s="66">
        <v>33073.9</v>
      </c>
    </row>
    <row r="1004" spans="2:10">
      <c r="B1004" s="90">
        <v>32982</v>
      </c>
      <c r="C1004" s="90">
        <v>1149.9999999999109</v>
      </c>
      <c r="D1004" s="90">
        <v>33073.9</v>
      </c>
      <c r="E1004" s="90">
        <v>1150.0999999999108</v>
      </c>
      <c r="G1004" s="66">
        <v>1150.0999999999108</v>
      </c>
      <c r="H1004" s="66">
        <v>33073.9</v>
      </c>
      <c r="I1004" s="66">
        <v>1150.1999999999107</v>
      </c>
      <c r="J1004" s="66">
        <v>33165.800000000003</v>
      </c>
    </row>
    <row r="1005" spans="2:10">
      <c r="B1005" s="90">
        <v>33073.9</v>
      </c>
      <c r="C1005" s="90">
        <v>1150.0999999999108</v>
      </c>
      <c r="D1005" s="90">
        <v>33165.800000000003</v>
      </c>
      <c r="E1005" s="90">
        <v>1150.1999999999107</v>
      </c>
      <c r="G1005" s="66">
        <v>1150.1999999999107</v>
      </c>
      <c r="H1005" s="66">
        <v>33165.800000000003</v>
      </c>
      <c r="I1005" s="66">
        <v>1150.2999999999106</v>
      </c>
      <c r="J1005" s="66">
        <v>33257.699999999997</v>
      </c>
    </row>
    <row r="1006" spans="2:10">
      <c r="B1006" s="90">
        <v>33165.800000000003</v>
      </c>
      <c r="C1006" s="90">
        <v>1150.1999999999107</v>
      </c>
      <c r="D1006" s="90">
        <v>33257.699999999997</v>
      </c>
      <c r="E1006" s="90">
        <v>1150.2999999999106</v>
      </c>
      <c r="G1006" s="66">
        <v>1150.2999999999106</v>
      </c>
      <c r="H1006" s="66">
        <v>33257.699999999997</v>
      </c>
      <c r="I1006" s="66">
        <v>1150.3999999999105</v>
      </c>
      <c r="J1006" s="66">
        <v>33349.599999999999</v>
      </c>
    </row>
    <row r="1007" spans="2:10">
      <c r="B1007" s="90">
        <v>33257.699999999997</v>
      </c>
      <c r="C1007" s="90">
        <v>1150.2999999999106</v>
      </c>
      <c r="D1007" s="90">
        <v>33349.599999999999</v>
      </c>
      <c r="E1007" s="90">
        <v>1150.3999999999105</v>
      </c>
      <c r="G1007" s="66">
        <v>1150.3999999999105</v>
      </c>
      <c r="H1007" s="66">
        <v>33349.599999999999</v>
      </c>
      <c r="I1007" s="66">
        <v>1150.4999999999104</v>
      </c>
      <c r="J1007" s="66">
        <v>33441.5</v>
      </c>
    </row>
    <row r="1008" spans="2:10">
      <c r="B1008" s="90">
        <v>33349.599999999999</v>
      </c>
      <c r="C1008" s="90">
        <v>1150.3999999999105</v>
      </c>
      <c r="D1008" s="90">
        <v>33441.5</v>
      </c>
      <c r="E1008" s="90">
        <v>1150.4999999999104</v>
      </c>
      <c r="G1008" s="66">
        <v>1150.4999999999104</v>
      </c>
      <c r="H1008" s="66">
        <v>33441.5</v>
      </c>
      <c r="I1008" s="66">
        <v>1150.5999999999103</v>
      </c>
      <c r="J1008" s="66">
        <v>33533.4</v>
      </c>
    </row>
    <row r="1009" spans="2:10">
      <c r="B1009" s="90">
        <v>33441.5</v>
      </c>
      <c r="C1009" s="90">
        <v>1150.4999999999104</v>
      </c>
      <c r="D1009" s="90">
        <v>33533.4</v>
      </c>
      <c r="E1009" s="90">
        <v>1150.5999999999103</v>
      </c>
      <c r="G1009" s="66">
        <v>1150.5999999999103</v>
      </c>
      <c r="H1009" s="66">
        <v>33533.4</v>
      </c>
      <c r="I1009" s="66">
        <v>1150.6999999999102</v>
      </c>
      <c r="J1009" s="66">
        <v>33625.300000000003</v>
      </c>
    </row>
    <row r="1010" spans="2:10">
      <c r="B1010" s="90">
        <v>33533.4</v>
      </c>
      <c r="C1010" s="90">
        <v>1150.5999999999103</v>
      </c>
      <c r="D1010" s="90">
        <v>33625.300000000003</v>
      </c>
      <c r="E1010" s="90">
        <v>1150.6999999999102</v>
      </c>
      <c r="G1010" s="66">
        <v>1150.6999999999102</v>
      </c>
      <c r="H1010" s="66">
        <v>33625.300000000003</v>
      </c>
      <c r="I1010" s="66">
        <v>1150.7999999999101</v>
      </c>
      <c r="J1010" s="66">
        <v>33717.199999999997</v>
      </c>
    </row>
    <row r="1011" spans="2:10">
      <c r="B1011" s="90">
        <v>33625.300000000003</v>
      </c>
      <c r="C1011" s="90">
        <v>1150.6999999999102</v>
      </c>
      <c r="D1011" s="90">
        <v>33717.199999999997</v>
      </c>
      <c r="E1011" s="90">
        <v>1150.7999999999101</v>
      </c>
      <c r="G1011" s="66">
        <v>1150.7999999999101</v>
      </c>
      <c r="H1011" s="66">
        <v>33717.199999999997</v>
      </c>
      <c r="I1011" s="66">
        <v>1150.8999999999101</v>
      </c>
      <c r="J1011" s="66">
        <v>33809.1</v>
      </c>
    </row>
    <row r="1012" spans="2:10">
      <c r="B1012" s="90">
        <v>33717.199999999997</v>
      </c>
      <c r="C1012" s="90">
        <v>1150.7999999999101</v>
      </c>
      <c r="D1012" s="90">
        <v>33809.1</v>
      </c>
      <c r="E1012" s="90">
        <v>1150.8999999999101</v>
      </c>
      <c r="G1012" s="66">
        <v>1150.8999999999101</v>
      </c>
      <c r="H1012" s="66">
        <v>33809.1</v>
      </c>
      <c r="I1012" s="66">
        <v>1150.99999999991</v>
      </c>
      <c r="J1012" s="66">
        <v>33901</v>
      </c>
    </row>
    <row r="1013" spans="2:10">
      <c r="B1013" s="90">
        <v>33809.1</v>
      </c>
      <c r="C1013" s="90">
        <v>1150.8999999999101</v>
      </c>
      <c r="D1013" s="90">
        <v>33901</v>
      </c>
      <c r="E1013" s="90">
        <v>1150.99999999991</v>
      </c>
      <c r="G1013" s="66">
        <v>1150.99999999991</v>
      </c>
      <c r="H1013" s="66">
        <v>33901</v>
      </c>
      <c r="I1013" s="66">
        <v>1151.0999999999099</v>
      </c>
      <c r="J1013" s="66">
        <v>33994.300000000003</v>
      </c>
    </row>
    <row r="1014" spans="2:10">
      <c r="B1014" s="90">
        <v>33901</v>
      </c>
      <c r="C1014" s="90">
        <v>1150.99999999991</v>
      </c>
      <c r="D1014" s="90">
        <v>33994.300000000003</v>
      </c>
      <c r="E1014" s="90">
        <v>1151.0999999999099</v>
      </c>
      <c r="G1014" s="66">
        <v>1151.0999999999099</v>
      </c>
      <c r="H1014" s="66">
        <v>33994.300000000003</v>
      </c>
      <c r="I1014" s="66">
        <v>1151.1999999999098</v>
      </c>
      <c r="J1014" s="66">
        <v>34087.599999999999</v>
      </c>
    </row>
    <row r="1015" spans="2:10">
      <c r="B1015" s="90">
        <v>33994.300000000003</v>
      </c>
      <c r="C1015" s="90">
        <v>1151.0999999999099</v>
      </c>
      <c r="D1015" s="90">
        <v>34087.599999999999</v>
      </c>
      <c r="E1015" s="90">
        <v>1151.1999999999098</v>
      </c>
      <c r="G1015" s="66">
        <v>1151.1999999999098</v>
      </c>
      <c r="H1015" s="66">
        <v>34087.599999999999</v>
      </c>
      <c r="I1015" s="66">
        <v>1151.2999999999097</v>
      </c>
      <c r="J1015" s="66">
        <v>34180.9</v>
      </c>
    </row>
    <row r="1016" spans="2:10">
      <c r="B1016" s="90">
        <v>34087.599999999999</v>
      </c>
      <c r="C1016" s="90">
        <v>1151.1999999999098</v>
      </c>
      <c r="D1016" s="90">
        <v>34180.9</v>
      </c>
      <c r="E1016" s="90">
        <v>1151.2999999999097</v>
      </c>
      <c r="G1016" s="66">
        <v>1151.2999999999097</v>
      </c>
      <c r="H1016" s="66">
        <v>34180.9</v>
      </c>
      <c r="I1016" s="66">
        <v>1151.3999999999096</v>
      </c>
      <c r="J1016" s="66">
        <v>34274.199999999997</v>
      </c>
    </row>
    <row r="1017" spans="2:10">
      <c r="B1017" s="90">
        <v>34180.9</v>
      </c>
      <c r="C1017" s="90">
        <v>1151.2999999999097</v>
      </c>
      <c r="D1017" s="90">
        <v>34274.199999999997</v>
      </c>
      <c r="E1017" s="90">
        <v>1151.3999999999096</v>
      </c>
      <c r="G1017" s="66">
        <v>1151.3999999999096</v>
      </c>
      <c r="H1017" s="66">
        <v>34274.199999999997</v>
      </c>
      <c r="I1017" s="66">
        <v>1151.4999999999095</v>
      </c>
      <c r="J1017" s="66">
        <v>34367.5</v>
      </c>
    </row>
    <row r="1018" spans="2:10">
      <c r="B1018" s="90">
        <v>34274.199999999997</v>
      </c>
      <c r="C1018" s="90">
        <v>1151.3999999999096</v>
      </c>
      <c r="D1018" s="90">
        <v>34367.5</v>
      </c>
      <c r="E1018" s="90">
        <v>1151.4999999999095</v>
      </c>
      <c r="G1018" s="66">
        <v>1151.4999999999095</v>
      </c>
      <c r="H1018" s="66">
        <v>34367.5</v>
      </c>
      <c r="I1018" s="66">
        <v>1151.5999999999094</v>
      </c>
      <c r="J1018" s="66">
        <v>34460.800000000003</v>
      </c>
    </row>
    <row r="1019" spans="2:10">
      <c r="B1019" s="90">
        <v>34367.5</v>
      </c>
      <c r="C1019" s="90">
        <v>1151.4999999999095</v>
      </c>
      <c r="D1019" s="90">
        <v>34460.800000000003</v>
      </c>
      <c r="E1019" s="90">
        <v>1151.5999999999094</v>
      </c>
      <c r="G1019" s="66">
        <v>1151.5999999999094</v>
      </c>
      <c r="H1019" s="66">
        <v>34460.800000000003</v>
      </c>
      <c r="I1019" s="66">
        <v>1151.6999999999093</v>
      </c>
      <c r="J1019" s="66">
        <v>34554.1</v>
      </c>
    </row>
    <row r="1020" spans="2:10">
      <c r="B1020" s="90">
        <v>34460.800000000003</v>
      </c>
      <c r="C1020" s="90">
        <v>1151.5999999999094</v>
      </c>
      <c r="D1020" s="90">
        <v>34554.1</v>
      </c>
      <c r="E1020" s="90">
        <v>1151.6999999999093</v>
      </c>
      <c r="G1020" s="66">
        <v>1151.6999999999093</v>
      </c>
      <c r="H1020" s="66">
        <v>34554.1</v>
      </c>
      <c r="I1020" s="66">
        <v>1151.7999999999092</v>
      </c>
      <c r="J1020" s="66">
        <v>34647.4</v>
      </c>
    </row>
    <row r="1021" spans="2:10">
      <c r="B1021" s="90">
        <v>34554.1</v>
      </c>
      <c r="C1021" s="90">
        <v>1151.6999999999093</v>
      </c>
      <c r="D1021" s="90">
        <v>34647.4</v>
      </c>
      <c r="E1021" s="90">
        <v>1151.7999999999092</v>
      </c>
      <c r="G1021" s="66">
        <v>1151.7999999999092</v>
      </c>
      <c r="H1021" s="66">
        <v>34647.4</v>
      </c>
      <c r="I1021" s="66">
        <v>1151.8999999999091</v>
      </c>
      <c r="J1021" s="66">
        <v>34740.699999999997</v>
      </c>
    </row>
    <row r="1022" spans="2:10">
      <c r="B1022" s="90">
        <v>34647.4</v>
      </c>
      <c r="C1022" s="90">
        <v>1151.7999999999092</v>
      </c>
      <c r="D1022" s="90">
        <v>34740.699999999997</v>
      </c>
      <c r="E1022" s="90">
        <v>1151.8999999999091</v>
      </c>
      <c r="G1022" s="66">
        <v>1151.8999999999091</v>
      </c>
      <c r="H1022" s="66">
        <v>34740.699999999997</v>
      </c>
      <c r="I1022" s="66">
        <v>1151.9999999999091</v>
      </c>
      <c r="J1022" s="66">
        <v>34834</v>
      </c>
    </row>
    <row r="1023" spans="2:10">
      <c r="B1023" s="90">
        <v>34740.699999999997</v>
      </c>
      <c r="C1023" s="90">
        <v>1151.8999999999091</v>
      </c>
      <c r="D1023" s="90">
        <v>34834</v>
      </c>
      <c r="E1023" s="90">
        <v>1151.9999999999091</v>
      </c>
      <c r="G1023" s="66">
        <v>1151.9999999999091</v>
      </c>
      <c r="H1023" s="66">
        <v>34834</v>
      </c>
      <c r="I1023" s="66">
        <v>1152.099999999909</v>
      </c>
      <c r="J1023" s="66">
        <v>34928.6</v>
      </c>
    </row>
    <row r="1024" spans="2:10">
      <c r="B1024" s="90">
        <v>34834</v>
      </c>
      <c r="C1024" s="90">
        <v>1151.9999999999091</v>
      </c>
      <c r="D1024" s="90">
        <v>34928.6</v>
      </c>
      <c r="E1024" s="90">
        <v>1152.099999999909</v>
      </c>
      <c r="G1024" s="66">
        <v>1152.099999999909</v>
      </c>
      <c r="H1024" s="66">
        <v>34928.6</v>
      </c>
      <c r="I1024" s="66">
        <v>1152.1999999999089</v>
      </c>
      <c r="J1024" s="66">
        <v>35023.199999999997</v>
      </c>
    </row>
    <row r="1025" spans="2:10">
      <c r="B1025" s="90">
        <v>34928.6</v>
      </c>
      <c r="C1025" s="90">
        <v>1152.099999999909</v>
      </c>
      <c r="D1025" s="90">
        <v>35023.199999999997</v>
      </c>
      <c r="E1025" s="90">
        <v>1152.1999999999089</v>
      </c>
      <c r="G1025" s="66">
        <v>1152.1999999999089</v>
      </c>
      <c r="H1025" s="66">
        <v>35023.199999999997</v>
      </c>
      <c r="I1025" s="66">
        <v>1152.2999999999088</v>
      </c>
      <c r="J1025" s="66">
        <v>35117.800000000003</v>
      </c>
    </row>
    <row r="1026" spans="2:10">
      <c r="B1026" s="90">
        <v>35023.199999999997</v>
      </c>
      <c r="C1026" s="90">
        <v>1152.1999999999089</v>
      </c>
      <c r="D1026" s="90">
        <v>35117.800000000003</v>
      </c>
      <c r="E1026" s="90">
        <v>1152.2999999999088</v>
      </c>
      <c r="G1026" s="66">
        <v>1152.2999999999088</v>
      </c>
      <c r="H1026" s="66">
        <v>35117.800000000003</v>
      </c>
      <c r="I1026" s="66">
        <v>1152.3999999999087</v>
      </c>
      <c r="J1026" s="66">
        <v>35212.400000000001</v>
      </c>
    </row>
    <row r="1027" spans="2:10">
      <c r="B1027" s="90">
        <v>35117.800000000003</v>
      </c>
      <c r="C1027" s="90">
        <v>1152.2999999999088</v>
      </c>
      <c r="D1027" s="90">
        <v>35212.400000000001</v>
      </c>
      <c r="E1027" s="90">
        <v>1152.3999999999087</v>
      </c>
      <c r="G1027" s="66">
        <v>1152.3999999999087</v>
      </c>
      <c r="H1027" s="66">
        <v>35212.400000000001</v>
      </c>
      <c r="I1027" s="66">
        <v>1152.4999999999086</v>
      </c>
      <c r="J1027" s="66">
        <v>35307</v>
      </c>
    </row>
    <row r="1028" spans="2:10">
      <c r="B1028" s="90">
        <v>35212.400000000001</v>
      </c>
      <c r="C1028" s="90">
        <v>1152.3999999999087</v>
      </c>
      <c r="D1028" s="90">
        <v>35307</v>
      </c>
      <c r="E1028" s="90">
        <v>1152.4999999999086</v>
      </c>
      <c r="G1028" s="66">
        <v>1152.4999999999086</v>
      </c>
      <c r="H1028" s="66">
        <v>35307</v>
      </c>
      <c r="I1028" s="66">
        <v>1152.5999999999085</v>
      </c>
      <c r="J1028" s="66">
        <v>35401.599999999999</v>
      </c>
    </row>
    <row r="1029" spans="2:10">
      <c r="B1029" s="90">
        <v>35307</v>
      </c>
      <c r="C1029" s="90">
        <v>1152.4999999999086</v>
      </c>
      <c r="D1029" s="90">
        <v>35401.599999999999</v>
      </c>
      <c r="E1029" s="90">
        <v>1152.5999999999085</v>
      </c>
      <c r="G1029" s="66">
        <v>1152.5999999999085</v>
      </c>
      <c r="H1029" s="66">
        <v>35401.599999999999</v>
      </c>
      <c r="I1029" s="66">
        <v>1152.6999999999084</v>
      </c>
      <c r="J1029" s="66">
        <v>35496.199999999997</v>
      </c>
    </row>
    <row r="1030" spans="2:10">
      <c r="B1030" s="90">
        <v>35401.599999999999</v>
      </c>
      <c r="C1030" s="90">
        <v>1152.5999999999085</v>
      </c>
      <c r="D1030" s="90">
        <v>35496.199999999997</v>
      </c>
      <c r="E1030" s="90">
        <v>1152.6999999999084</v>
      </c>
      <c r="G1030" s="66">
        <v>1152.6999999999084</v>
      </c>
      <c r="H1030" s="66">
        <v>35496.199999999997</v>
      </c>
      <c r="I1030" s="66">
        <v>1152.7999999999083</v>
      </c>
      <c r="J1030" s="66">
        <v>35590.800000000003</v>
      </c>
    </row>
    <row r="1031" spans="2:10">
      <c r="B1031" s="90">
        <v>35496.199999999997</v>
      </c>
      <c r="C1031" s="90">
        <v>1152.6999999999084</v>
      </c>
      <c r="D1031" s="90">
        <v>35590.800000000003</v>
      </c>
      <c r="E1031" s="90">
        <v>1152.7999999999083</v>
      </c>
      <c r="G1031" s="66">
        <v>1152.7999999999083</v>
      </c>
      <c r="H1031" s="66">
        <v>35590.800000000003</v>
      </c>
      <c r="I1031" s="66">
        <v>1152.8999999999082</v>
      </c>
      <c r="J1031" s="66">
        <v>35685.4</v>
      </c>
    </row>
    <row r="1032" spans="2:10">
      <c r="B1032" s="90">
        <v>35590.800000000003</v>
      </c>
      <c r="C1032" s="90">
        <v>1152.7999999999083</v>
      </c>
      <c r="D1032" s="90">
        <v>35685.4</v>
      </c>
      <c r="E1032" s="90">
        <v>1152.8999999999082</v>
      </c>
      <c r="G1032" s="66">
        <v>1152.8999999999082</v>
      </c>
      <c r="H1032" s="66">
        <v>35685.4</v>
      </c>
      <c r="I1032" s="66">
        <v>1152.9999999999081</v>
      </c>
      <c r="J1032" s="66">
        <v>35780</v>
      </c>
    </row>
    <row r="1033" spans="2:10">
      <c r="B1033" s="90">
        <v>35685.4</v>
      </c>
      <c r="C1033" s="90">
        <v>1152.8999999999082</v>
      </c>
      <c r="D1033" s="90">
        <v>35780</v>
      </c>
      <c r="E1033" s="90">
        <v>1152.9999999999081</v>
      </c>
      <c r="G1033" s="66">
        <v>1152.9999999999081</v>
      </c>
      <c r="H1033" s="66">
        <v>35780</v>
      </c>
      <c r="I1033" s="66">
        <v>1153.0999999999081</v>
      </c>
      <c r="J1033" s="66">
        <v>35876.1</v>
      </c>
    </row>
    <row r="1034" spans="2:10">
      <c r="B1034" s="90">
        <v>35780</v>
      </c>
      <c r="C1034" s="90">
        <v>1152.9999999999081</v>
      </c>
      <c r="D1034" s="90">
        <v>35876.1</v>
      </c>
      <c r="E1034" s="90">
        <v>1153.0999999999081</v>
      </c>
      <c r="G1034" s="66">
        <v>1153.0999999999081</v>
      </c>
      <c r="H1034" s="66">
        <v>35876.1</v>
      </c>
      <c r="I1034" s="66">
        <v>1153.199999999908</v>
      </c>
      <c r="J1034" s="66">
        <v>35972.199999999997</v>
      </c>
    </row>
    <row r="1035" spans="2:10">
      <c r="B1035" s="90">
        <v>35876.1</v>
      </c>
      <c r="C1035" s="90">
        <v>1153.0999999999081</v>
      </c>
      <c r="D1035" s="90">
        <v>35972.199999999997</v>
      </c>
      <c r="E1035" s="90">
        <v>1153.199999999908</v>
      </c>
      <c r="G1035" s="66">
        <v>1153.199999999908</v>
      </c>
      <c r="H1035" s="66">
        <v>35972.199999999997</v>
      </c>
      <c r="I1035" s="66">
        <v>1153.2999999999079</v>
      </c>
      <c r="J1035" s="66">
        <v>36068.300000000003</v>
      </c>
    </row>
    <row r="1036" spans="2:10">
      <c r="B1036" s="90">
        <v>35972.199999999997</v>
      </c>
      <c r="C1036" s="90">
        <v>1153.199999999908</v>
      </c>
      <c r="D1036" s="90">
        <v>36068.300000000003</v>
      </c>
      <c r="E1036" s="90">
        <v>1153.2999999999079</v>
      </c>
      <c r="G1036" s="66">
        <v>1153.2999999999079</v>
      </c>
      <c r="H1036" s="66">
        <v>36068.300000000003</v>
      </c>
      <c r="I1036" s="66">
        <v>1153.3999999999078</v>
      </c>
      <c r="J1036" s="66">
        <v>36164.400000000001</v>
      </c>
    </row>
    <row r="1037" spans="2:10">
      <c r="B1037" s="90">
        <v>36068.300000000003</v>
      </c>
      <c r="C1037" s="90">
        <v>1153.2999999999079</v>
      </c>
      <c r="D1037" s="90">
        <v>36164.400000000001</v>
      </c>
      <c r="E1037" s="90">
        <v>1153.3999999999078</v>
      </c>
      <c r="G1037" s="66">
        <v>1153.3999999999078</v>
      </c>
      <c r="H1037" s="66">
        <v>36164.400000000001</v>
      </c>
      <c r="I1037" s="66">
        <v>1153.4999999999077</v>
      </c>
      <c r="J1037" s="66">
        <v>36260.5</v>
      </c>
    </row>
    <row r="1038" spans="2:10">
      <c r="B1038" s="90">
        <v>36164.400000000001</v>
      </c>
      <c r="C1038" s="90">
        <v>1153.3999999999078</v>
      </c>
      <c r="D1038" s="90">
        <v>36260.5</v>
      </c>
      <c r="E1038" s="90">
        <v>1153.4999999999077</v>
      </c>
      <c r="G1038" s="66">
        <v>1153.4999999999077</v>
      </c>
      <c r="H1038" s="66">
        <v>36260.5</v>
      </c>
      <c r="I1038" s="66">
        <v>1153.5999999999076</v>
      </c>
      <c r="J1038" s="66">
        <v>36356.6</v>
      </c>
    </row>
    <row r="1039" spans="2:10">
      <c r="B1039" s="90">
        <v>36260.5</v>
      </c>
      <c r="C1039" s="90">
        <v>1153.4999999999077</v>
      </c>
      <c r="D1039" s="90">
        <v>36356.6</v>
      </c>
      <c r="E1039" s="90">
        <v>1153.5999999999076</v>
      </c>
      <c r="G1039" s="66">
        <v>1153.5999999999076</v>
      </c>
      <c r="H1039" s="66">
        <v>36356.6</v>
      </c>
      <c r="I1039" s="66">
        <v>1153.6999999999075</v>
      </c>
      <c r="J1039" s="66">
        <v>36452.699999999997</v>
      </c>
    </row>
    <row r="1040" spans="2:10">
      <c r="B1040" s="90">
        <v>36356.6</v>
      </c>
      <c r="C1040" s="90">
        <v>1153.5999999999076</v>
      </c>
      <c r="D1040" s="90">
        <v>36452.699999999997</v>
      </c>
      <c r="E1040" s="90">
        <v>1153.6999999999075</v>
      </c>
      <c r="G1040" s="66">
        <v>1153.6999999999075</v>
      </c>
      <c r="H1040" s="66">
        <v>36452.699999999997</v>
      </c>
      <c r="I1040" s="66">
        <v>1153.7999999999074</v>
      </c>
      <c r="J1040" s="66">
        <v>36548.800000000003</v>
      </c>
    </row>
    <row r="1041" spans="2:10">
      <c r="B1041" s="90">
        <v>36452.699999999997</v>
      </c>
      <c r="C1041" s="90">
        <v>1153.6999999999075</v>
      </c>
      <c r="D1041" s="90">
        <v>36548.800000000003</v>
      </c>
      <c r="E1041" s="90">
        <v>1153.7999999999074</v>
      </c>
      <c r="G1041" s="66">
        <v>1153.7999999999074</v>
      </c>
      <c r="H1041" s="66">
        <v>36548.800000000003</v>
      </c>
      <c r="I1041" s="66">
        <v>1153.8999999999073</v>
      </c>
      <c r="J1041" s="66">
        <v>36644.9</v>
      </c>
    </row>
    <row r="1042" spans="2:10">
      <c r="B1042" s="90">
        <v>36548.800000000003</v>
      </c>
      <c r="C1042" s="90">
        <v>1153.7999999999074</v>
      </c>
      <c r="D1042" s="90">
        <v>36644.9</v>
      </c>
      <c r="E1042" s="90">
        <v>1153.8999999999073</v>
      </c>
      <c r="G1042" s="66">
        <v>1153.8999999999073</v>
      </c>
      <c r="H1042" s="66">
        <v>36644.9</v>
      </c>
      <c r="I1042" s="66">
        <v>1153.9999999999072</v>
      </c>
      <c r="J1042" s="66">
        <v>36741</v>
      </c>
    </row>
    <row r="1043" spans="2:10">
      <c r="B1043" s="90">
        <v>36644.9</v>
      </c>
      <c r="C1043" s="90">
        <v>1153.8999999999073</v>
      </c>
      <c r="D1043" s="90">
        <v>36741</v>
      </c>
      <c r="E1043" s="90">
        <v>1153.9999999999072</v>
      </c>
      <c r="G1043" s="66">
        <v>1153.9999999999072</v>
      </c>
      <c r="H1043" s="66">
        <v>36741</v>
      </c>
      <c r="I1043" s="66">
        <v>1154.0999999999071</v>
      </c>
      <c r="J1043" s="66">
        <v>36838.5</v>
      </c>
    </row>
    <row r="1044" spans="2:10">
      <c r="B1044" s="90">
        <v>36741</v>
      </c>
      <c r="C1044" s="90">
        <v>1153.9999999999072</v>
      </c>
      <c r="D1044" s="90">
        <v>36838.5</v>
      </c>
      <c r="E1044" s="90">
        <v>1154.0999999999071</v>
      </c>
      <c r="G1044" s="66">
        <v>1154.0999999999071</v>
      </c>
      <c r="H1044" s="66">
        <v>36838.5</v>
      </c>
      <c r="I1044" s="66">
        <v>1154.199999999907</v>
      </c>
      <c r="J1044" s="66">
        <v>36936</v>
      </c>
    </row>
    <row r="1045" spans="2:10">
      <c r="B1045" s="90">
        <v>36838.5</v>
      </c>
      <c r="C1045" s="90">
        <v>1154.0999999999071</v>
      </c>
      <c r="D1045" s="90">
        <v>36936</v>
      </c>
      <c r="E1045" s="90">
        <v>1154.199999999907</v>
      </c>
      <c r="G1045" s="66">
        <v>1154.199999999907</v>
      </c>
      <c r="H1045" s="66">
        <v>36936</v>
      </c>
      <c r="I1045" s="66">
        <v>1154.299999999907</v>
      </c>
      <c r="J1045" s="66">
        <v>37033.5</v>
      </c>
    </row>
    <row r="1046" spans="2:10">
      <c r="B1046" s="90">
        <v>36936</v>
      </c>
      <c r="C1046" s="90">
        <v>1154.199999999907</v>
      </c>
      <c r="D1046" s="90">
        <v>37033.5</v>
      </c>
      <c r="E1046" s="90">
        <v>1154.299999999907</v>
      </c>
      <c r="G1046" s="66">
        <v>1154.299999999907</v>
      </c>
      <c r="H1046" s="66">
        <v>37033.5</v>
      </c>
      <c r="I1046" s="66">
        <v>1154.3999999999069</v>
      </c>
      <c r="J1046" s="66">
        <v>37131</v>
      </c>
    </row>
    <row r="1047" spans="2:10">
      <c r="B1047" s="90">
        <v>37033.5</v>
      </c>
      <c r="C1047" s="90">
        <v>1154.299999999907</v>
      </c>
      <c r="D1047" s="90">
        <v>37131</v>
      </c>
      <c r="E1047" s="90">
        <v>1154.3999999999069</v>
      </c>
      <c r="G1047" s="66">
        <v>1154.3999999999069</v>
      </c>
      <c r="H1047" s="66">
        <v>37131</v>
      </c>
      <c r="I1047" s="66">
        <v>1154.4999999999068</v>
      </c>
      <c r="J1047" s="66">
        <v>37228.5</v>
      </c>
    </row>
    <row r="1048" spans="2:10">
      <c r="B1048" s="90">
        <v>37131</v>
      </c>
      <c r="C1048" s="90">
        <v>1154.3999999999069</v>
      </c>
      <c r="D1048" s="90">
        <v>37228.5</v>
      </c>
      <c r="E1048" s="90">
        <v>1154.4999999999068</v>
      </c>
      <c r="G1048" s="66">
        <v>1154.4999999999068</v>
      </c>
      <c r="H1048" s="66">
        <v>37228.5</v>
      </c>
      <c r="I1048" s="66">
        <v>1154.5999999999067</v>
      </c>
      <c r="J1048" s="66">
        <v>37326</v>
      </c>
    </row>
    <row r="1049" spans="2:10">
      <c r="B1049" s="90">
        <v>37228.5</v>
      </c>
      <c r="C1049" s="90">
        <v>1154.4999999999068</v>
      </c>
      <c r="D1049" s="90">
        <v>37326</v>
      </c>
      <c r="E1049" s="90">
        <v>1154.5999999999067</v>
      </c>
      <c r="G1049" s="66">
        <v>1154.5999999999067</v>
      </c>
      <c r="H1049" s="66">
        <v>37326</v>
      </c>
      <c r="I1049" s="66">
        <v>1154.6999999999066</v>
      </c>
      <c r="J1049" s="66">
        <v>37423.5</v>
      </c>
    </row>
    <row r="1050" spans="2:10">
      <c r="B1050" s="90">
        <v>37326</v>
      </c>
      <c r="C1050" s="90">
        <v>1154.5999999999067</v>
      </c>
      <c r="D1050" s="90">
        <v>37423.5</v>
      </c>
      <c r="E1050" s="90">
        <v>1154.6999999999066</v>
      </c>
      <c r="G1050" s="66">
        <v>1154.6999999999066</v>
      </c>
      <c r="H1050" s="66">
        <v>37423.5</v>
      </c>
      <c r="I1050" s="66">
        <v>1154.7999999999065</v>
      </c>
      <c r="J1050" s="66">
        <v>37521</v>
      </c>
    </row>
    <row r="1051" spans="2:10">
      <c r="B1051" s="90">
        <v>37423.5</v>
      </c>
      <c r="C1051" s="90">
        <v>1154.6999999999066</v>
      </c>
      <c r="D1051" s="90">
        <v>37521</v>
      </c>
      <c r="E1051" s="90">
        <v>1154.7999999999065</v>
      </c>
      <c r="G1051" s="66">
        <v>1154.7999999999065</v>
      </c>
      <c r="H1051" s="66">
        <v>37521</v>
      </c>
      <c r="I1051" s="66">
        <v>1154.8999999999064</v>
      </c>
      <c r="J1051" s="66">
        <v>37618.5</v>
      </c>
    </row>
    <row r="1052" spans="2:10">
      <c r="B1052" s="90">
        <v>37521</v>
      </c>
      <c r="C1052" s="90">
        <v>1154.7999999999065</v>
      </c>
      <c r="D1052" s="90">
        <v>37618.5</v>
      </c>
      <c r="E1052" s="90">
        <v>1154.8999999999064</v>
      </c>
      <c r="G1052" s="66">
        <v>1154.8999999999064</v>
      </c>
      <c r="H1052" s="66">
        <v>37618.5</v>
      </c>
      <c r="I1052" s="66">
        <v>1154.9999999999063</v>
      </c>
      <c r="J1052" s="66">
        <v>37716</v>
      </c>
    </row>
    <row r="1053" spans="2:10">
      <c r="B1053" s="90">
        <v>37618.5</v>
      </c>
      <c r="C1053" s="90">
        <v>1154.8999999999064</v>
      </c>
      <c r="D1053" s="90">
        <v>37716</v>
      </c>
      <c r="E1053" s="90">
        <v>1154.9999999999063</v>
      </c>
      <c r="G1053" s="66">
        <v>1154.9999999999063</v>
      </c>
      <c r="H1053" s="66">
        <v>37716</v>
      </c>
      <c r="I1053" s="66">
        <v>1155.0999999999062</v>
      </c>
      <c r="J1053" s="66">
        <v>37814.9</v>
      </c>
    </row>
    <row r="1054" spans="2:10">
      <c r="B1054" s="90">
        <v>37716</v>
      </c>
      <c r="C1054" s="90">
        <v>1154.9999999999063</v>
      </c>
      <c r="D1054" s="90">
        <v>37814.9</v>
      </c>
      <c r="E1054" s="90">
        <v>1155.0999999999062</v>
      </c>
      <c r="G1054" s="66">
        <v>1155.0999999999062</v>
      </c>
      <c r="H1054" s="66">
        <v>37814.9</v>
      </c>
      <c r="I1054" s="66">
        <v>1155.1999999999061</v>
      </c>
      <c r="J1054" s="66">
        <v>37913.800000000003</v>
      </c>
    </row>
    <row r="1055" spans="2:10">
      <c r="B1055" s="90">
        <v>37814.9</v>
      </c>
      <c r="C1055" s="90">
        <v>1155.0999999999062</v>
      </c>
      <c r="D1055" s="90">
        <v>37913.800000000003</v>
      </c>
      <c r="E1055" s="90">
        <v>1155.1999999999061</v>
      </c>
      <c r="G1055" s="66">
        <v>1155.1999999999061</v>
      </c>
      <c r="H1055" s="66">
        <v>37913.800000000003</v>
      </c>
      <c r="I1055" s="66">
        <v>1155.299999999906</v>
      </c>
      <c r="J1055" s="66">
        <v>38012.699999999997</v>
      </c>
    </row>
    <row r="1056" spans="2:10">
      <c r="B1056" s="90">
        <v>37913.800000000003</v>
      </c>
      <c r="C1056" s="90">
        <v>1155.1999999999061</v>
      </c>
      <c r="D1056" s="90">
        <v>38012.699999999997</v>
      </c>
      <c r="E1056" s="90">
        <v>1155.299999999906</v>
      </c>
      <c r="G1056" s="66">
        <v>1155.299999999906</v>
      </c>
      <c r="H1056" s="66">
        <v>38012.699999999997</v>
      </c>
      <c r="I1056" s="66">
        <v>1155.399999999906</v>
      </c>
      <c r="J1056" s="66">
        <v>38111.599999999999</v>
      </c>
    </row>
    <row r="1057" spans="2:10">
      <c r="B1057" s="90">
        <v>38012.699999999997</v>
      </c>
      <c r="C1057" s="90">
        <v>1155.299999999906</v>
      </c>
      <c r="D1057" s="90">
        <v>38111.599999999999</v>
      </c>
      <c r="E1057" s="90">
        <v>1155.399999999906</v>
      </c>
      <c r="G1057" s="66">
        <v>1155.399999999906</v>
      </c>
      <c r="H1057" s="66">
        <v>38111.599999999999</v>
      </c>
      <c r="I1057" s="66">
        <v>1155.4999999999059</v>
      </c>
      <c r="J1057" s="66">
        <v>38210.5</v>
      </c>
    </row>
    <row r="1058" spans="2:10">
      <c r="B1058" s="90">
        <v>38111.599999999999</v>
      </c>
      <c r="C1058" s="90">
        <v>1155.399999999906</v>
      </c>
      <c r="D1058" s="90">
        <v>38210.5</v>
      </c>
      <c r="E1058" s="90">
        <v>1155.4999999999059</v>
      </c>
      <c r="G1058" s="66">
        <v>1155.4999999999059</v>
      </c>
      <c r="H1058" s="66">
        <v>38210.5</v>
      </c>
      <c r="I1058" s="66">
        <v>1155.5999999999058</v>
      </c>
      <c r="J1058" s="66">
        <v>38309.4</v>
      </c>
    </row>
    <row r="1059" spans="2:10">
      <c r="B1059" s="90">
        <v>38210.5</v>
      </c>
      <c r="C1059" s="90">
        <v>1155.4999999999059</v>
      </c>
      <c r="D1059" s="90">
        <v>38309.4</v>
      </c>
      <c r="E1059" s="90">
        <v>1155.5999999999058</v>
      </c>
      <c r="G1059" s="66">
        <v>1155.5999999999058</v>
      </c>
      <c r="H1059" s="66">
        <v>38309.4</v>
      </c>
      <c r="I1059" s="66">
        <v>1155.6999999999057</v>
      </c>
      <c r="J1059" s="66">
        <v>38408.300000000003</v>
      </c>
    </row>
    <row r="1060" spans="2:10">
      <c r="B1060" s="90">
        <v>38309.4</v>
      </c>
      <c r="C1060" s="90">
        <v>1155.5999999999058</v>
      </c>
      <c r="D1060" s="90">
        <v>38408.300000000003</v>
      </c>
      <c r="E1060" s="90">
        <v>1155.6999999999057</v>
      </c>
      <c r="G1060" s="66">
        <v>1155.6999999999057</v>
      </c>
      <c r="H1060" s="66">
        <v>38408.300000000003</v>
      </c>
      <c r="I1060" s="66">
        <v>1155.7999999999056</v>
      </c>
      <c r="J1060" s="66">
        <v>38507.199999999997</v>
      </c>
    </row>
    <row r="1061" spans="2:10">
      <c r="B1061" s="90">
        <v>38408.300000000003</v>
      </c>
      <c r="C1061" s="90">
        <v>1155.6999999999057</v>
      </c>
      <c r="D1061" s="90">
        <v>38507.199999999997</v>
      </c>
      <c r="E1061" s="90">
        <v>1155.7999999999056</v>
      </c>
      <c r="G1061" s="66">
        <v>1155.7999999999056</v>
      </c>
      <c r="H1061" s="66">
        <v>38507.199999999997</v>
      </c>
      <c r="I1061" s="66">
        <v>1155.8999999999055</v>
      </c>
      <c r="J1061" s="66">
        <v>38606.1</v>
      </c>
    </row>
    <row r="1062" spans="2:10">
      <c r="B1062" s="90">
        <v>38507.199999999997</v>
      </c>
      <c r="C1062" s="90">
        <v>1155.7999999999056</v>
      </c>
      <c r="D1062" s="90">
        <v>38606.1</v>
      </c>
      <c r="E1062" s="90">
        <v>1155.8999999999055</v>
      </c>
      <c r="G1062" s="66">
        <v>1155.8999999999055</v>
      </c>
      <c r="H1062" s="66">
        <v>38606.1</v>
      </c>
      <c r="I1062" s="66">
        <v>1155.9999999999054</v>
      </c>
      <c r="J1062" s="66">
        <v>38705</v>
      </c>
    </row>
    <row r="1063" spans="2:10">
      <c r="B1063" s="90">
        <v>38606.1</v>
      </c>
      <c r="C1063" s="90">
        <v>1155.8999999999055</v>
      </c>
      <c r="D1063" s="90">
        <v>38705</v>
      </c>
      <c r="E1063" s="90">
        <v>1155.9999999999054</v>
      </c>
      <c r="G1063" s="66">
        <v>1155.9999999999054</v>
      </c>
      <c r="H1063" s="66">
        <v>38705</v>
      </c>
      <c r="I1063" s="66">
        <v>1156.0999999999053</v>
      </c>
      <c r="J1063" s="66">
        <v>38805.300000000003</v>
      </c>
    </row>
    <row r="1064" spans="2:10">
      <c r="B1064" s="90">
        <v>38705</v>
      </c>
      <c r="C1064" s="90">
        <v>1155.9999999999054</v>
      </c>
      <c r="D1064" s="90">
        <v>38805.300000000003</v>
      </c>
      <c r="E1064" s="90">
        <v>1156.0999999999053</v>
      </c>
      <c r="G1064" s="66">
        <v>1156.0999999999053</v>
      </c>
      <c r="H1064" s="66">
        <v>38805.300000000003</v>
      </c>
      <c r="I1064" s="66">
        <v>1156.1999999999052</v>
      </c>
      <c r="J1064" s="66">
        <v>38905.599999999999</v>
      </c>
    </row>
    <row r="1065" spans="2:10">
      <c r="B1065" s="90">
        <v>38805.300000000003</v>
      </c>
      <c r="C1065" s="90">
        <v>1156.0999999999053</v>
      </c>
      <c r="D1065" s="90">
        <v>38905.599999999999</v>
      </c>
      <c r="E1065" s="90">
        <v>1156.1999999999052</v>
      </c>
      <c r="G1065" s="66">
        <v>1156.1999999999052</v>
      </c>
      <c r="H1065" s="66">
        <v>38905.599999999999</v>
      </c>
      <c r="I1065" s="66">
        <v>1156.2999999999051</v>
      </c>
      <c r="J1065" s="66">
        <v>39005.9</v>
      </c>
    </row>
    <row r="1066" spans="2:10">
      <c r="B1066" s="90">
        <v>38905.599999999999</v>
      </c>
      <c r="C1066" s="90">
        <v>1156.1999999999052</v>
      </c>
      <c r="D1066" s="90">
        <v>39005.9</v>
      </c>
      <c r="E1066" s="90">
        <v>1156.2999999999051</v>
      </c>
      <c r="G1066" s="66">
        <v>1156.2999999999051</v>
      </c>
      <c r="H1066" s="66">
        <v>39005.9</v>
      </c>
      <c r="I1066" s="66">
        <v>1156.399999999905</v>
      </c>
      <c r="J1066" s="66">
        <v>39106.199999999997</v>
      </c>
    </row>
    <row r="1067" spans="2:10">
      <c r="B1067" s="90">
        <v>39005.9</v>
      </c>
      <c r="C1067" s="90">
        <v>1156.2999999999051</v>
      </c>
      <c r="D1067" s="90">
        <v>39106.199999999997</v>
      </c>
      <c r="E1067" s="90">
        <v>1156.399999999905</v>
      </c>
      <c r="G1067" s="66">
        <v>1156.399999999905</v>
      </c>
      <c r="H1067" s="66">
        <v>39106.199999999997</v>
      </c>
      <c r="I1067" s="66">
        <v>1156.499999999905</v>
      </c>
      <c r="J1067" s="66">
        <v>39206.5</v>
      </c>
    </row>
    <row r="1068" spans="2:10">
      <c r="B1068" s="90">
        <v>39106.199999999997</v>
      </c>
      <c r="C1068" s="90">
        <v>1156.399999999905</v>
      </c>
      <c r="D1068" s="90">
        <v>39206.5</v>
      </c>
      <c r="E1068" s="90">
        <v>1156.499999999905</v>
      </c>
      <c r="G1068" s="66">
        <v>1156.499999999905</v>
      </c>
      <c r="H1068" s="66">
        <v>39206.5</v>
      </c>
      <c r="I1068" s="66">
        <v>1156.5999999999049</v>
      </c>
      <c r="J1068" s="66">
        <v>39306.800000000003</v>
      </c>
    </row>
    <row r="1069" spans="2:10">
      <c r="B1069" s="90">
        <v>39206.5</v>
      </c>
      <c r="C1069" s="90">
        <v>1156.499999999905</v>
      </c>
      <c r="D1069" s="90">
        <v>39306.800000000003</v>
      </c>
      <c r="E1069" s="90">
        <v>1156.5999999999049</v>
      </c>
      <c r="G1069" s="66">
        <v>1156.5999999999049</v>
      </c>
      <c r="H1069" s="66">
        <v>39306.800000000003</v>
      </c>
      <c r="I1069" s="66">
        <v>1156.6999999999048</v>
      </c>
      <c r="J1069" s="66">
        <v>39407.1</v>
      </c>
    </row>
    <row r="1070" spans="2:10">
      <c r="B1070" s="90">
        <v>39306.800000000003</v>
      </c>
      <c r="C1070" s="90">
        <v>1156.5999999999049</v>
      </c>
      <c r="D1070" s="90">
        <v>39407.1</v>
      </c>
      <c r="E1070" s="90">
        <v>1156.6999999999048</v>
      </c>
      <c r="G1070" s="66">
        <v>1156.6999999999048</v>
      </c>
      <c r="H1070" s="66">
        <v>39407.1</v>
      </c>
      <c r="I1070" s="66">
        <v>1156.7999999999047</v>
      </c>
      <c r="J1070" s="66">
        <v>39507.4</v>
      </c>
    </row>
    <row r="1071" spans="2:10">
      <c r="B1071" s="90">
        <v>39407.1</v>
      </c>
      <c r="C1071" s="90">
        <v>1156.6999999999048</v>
      </c>
      <c r="D1071" s="90">
        <v>39507.4</v>
      </c>
      <c r="E1071" s="90">
        <v>1156.7999999999047</v>
      </c>
      <c r="G1071" s="66">
        <v>1156.7999999999047</v>
      </c>
      <c r="H1071" s="66">
        <v>39507.4</v>
      </c>
      <c r="I1071" s="66">
        <v>1156.8999999999046</v>
      </c>
      <c r="J1071" s="66">
        <v>39607.699999999997</v>
      </c>
    </row>
    <row r="1072" spans="2:10">
      <c r="B1072" s="90">
        <v>39507.4</v>
      </c>
      <c r="C1072" s="90">
        <v>1156.7999999999047</v>
      </c>
      <c r="D1072" s="90">
        <v>39607.699999999997</v>
      </c>
      <c r="E1072" s="90">
        <v>1156.8999999999046</v>
      </c>
      <c r="G1072" s="66">
        <v>1156.8999999999046</v>
      </c>
      <c r="H1072" s="66">
        <v>39607.699999999997</v>
      </c>
      <c r="I1072" s="66">
        <v>1156.9999999999045</v>
      </c>
      <c r="J1072" s="66">
        <v>39708</v>
      </c>
    </row>
    <row r="1073" spans="2:10">
      <c r="B1073" s="90">
        <v>39607.699999999997</v>
      </c>
      <c r="C1073" s="90">
        <v>1156.8999999999046</v>
      </c>
      <c r="D1073" s="90">
        <v>39708</v>
      </c>
      <c r="E1073" s="90">
        <v>1156.9999999999045</v>
      </c>
      <c r="G1073" s="66">
        <v>1156.9999999999045</v>
      </c>
      <c r="H1073" s="66">
        <v>39708</v>
      </c>
      <c r="I1073" s="66">
        <v>1157.0999999999044</v>
      </c>
      <c r="J1073" s="66">
        <v>39809.699999999997</v>
      </c>
    </row>
    <row r="1074" spans="2:10">
      <c r="B1074" s="90">
        <v>39708</v>
      </c>
      <c r="C1074" s="90">
        <v>1156.9999999999045</v>
      </c>
      <c r="D1074" s="90">
        <v>39809.699999999997</v>
      </c>
      <c r="E1074" s="90">
        <v>1157.0999999999044</v>
      </c>
      <c r="G1074" s="66">
        <v>1157.0999999999044</v>
      </c>
      <c r="H1074" s="66">
        <v>39809.699999999997</v>
      </c>
      <c r="I1074" s="66">
        <v>1157.1999999999043</v>
      </c>
      <c r="J1074" s="66">
        <v>39911.4</v>
      </c>
    </row>
    <row r="1075" spans="2:10">
      <c r="B1075" s="90">
        <v>39809.699999999997</v>
      </c>
      <c r="C1075" s="90">
        <v>1157.0999999999044</v>
      </c>
      <c r="D1075" s="90">
        <v>39911.4</v>
      </c>
      <c r="E1075" s="90">
        <v>1157.1999999999043</v>
      </c>
      <c r="G1075" s="66">
        <v>1157.1999999999043</v>
      </c>
      <c r="H1075" s="66">
        <v>39911.4</v>
      </c>
      <c r="I1075" s="66">
        <v>1157.2999999999042</v>
      </c>
      <c r="J1075" s="66">
        <v>40013.1</v>
      </c>
    </row>
    <row r="1076" spans="2:10">
      <c r="B1076" s="90">
        <v>39911.4</v>
      </c>
      <c r="C1076" s="90">
        <v>1157.1999999999043</v>
      </c>
      <c r="D1076" s="90">
        <v>40013.1</v>
      </c>
      <c r="E1076" s="90">
        <v>1157.2999999999042</v>
      </c>
      <c r="G1076" s="66">
        <v>1157.2999999999042</v>
      </c>
      <c r="H1076" s="66">
        <v>40013.1</v>
      </c>
      <c r="I1076" s="66">
        <v>1157.3999999999041</v>
      </c>
      <c r="J1076" s="66">
        <v>40114.800000000003</v>
      </c>
    </row>
    <row r="1077" spans="2:10">
      <c r="B1077" s="90">
        <v>40013.1</v>
      </c>
      <c r="C1077" s="90">
        <v>1157.2999999999042</v>
      </c>
      <c r="D1077" s="90">
        <v>40114.800000000003</v>
      </c>
      <c r="E1077" s="90">
        <v>1157.3999999999041</v>
      </c>
      <c r="G1077" s="66">
        <v>1157.3999999999041</v>
      </c>
      <c r="H1077" s="66">
        <v>40114.800000000003</v>
      </c>
      <c r="I1077" s="66">
        <v>1157.499999999904</v>
      </c>
      <c r="J1077" s="66">
        <v>40216.5</v>
      </c>
    </row>
    <row r="1078" spans="2:10">
      <c r="B1078" s="90">
        <v>40114.800000000003</v>
      </c>
      <c r="C1078" s="90">
        <v>1157.3999999999041</v>
      </c>
      <c r="D1078" s="90">
        <v>40216.5</v>
      </c>
      <c r="E1078" s="90">
        <v>1157.499999999904</v>
      </c>
      <c r="G1078" s="66">
        <v>1157.499999999904</v>
      </c>
      <c r="H1078" s="66">
        <v>40216.5</v>
      </c>
      <c r="I1078" s="66">
        <v>1157.599999999904</v>
      </c>
      <c r="J1078" s="66">
        <v>40318.199999999997</v>
      </c>
    </row>
    <row r="1079" spans="2:10">
      <c r="B1079" s="90">
        <v>40216.5</v>
      </c>
      <c r="C1079" s="90">
        <v>1157.499999999904</v>
      </c>
      <c r="D1079" s="90">
        <v>40318.199999999997</v>
      </c>
      <c r="E1079" s="90">
        <v>1157.599999999904</v>
      </c>
      <c r="G1079" s="66">
        <v>1157.599999999904</v>
      </c>
      <c r="H1079" s="66">
        <v>40318.199999999997</v>
      </c>
      <c r="I1079" s="66">
        <v>1157.6999999999039</v>
      </c>
      <c r="J1079" s="66">
        <v>40419.9</v>
      </c>
    </row>
    <row r="1080" spans="2:10">
      <c r="B1080" s="90">
        <v>40318.199999999997</v>
      </c>
      <c r="C1080" s="90">
        <v>1157.599999999904</v>
      </c>
      <c r="D1080" s="90">
        <v>40419.9</v>
      </c>
      <c r="E1080" s="90">
        <v>1157.6999999999039</v>
      </c>
      <c r="G1080" s="66">
        <v>1157.6999999999039</v>
      </c>
      <c r="H1080" s="66">
        <v>40419.9</v>
      </c>
      <c r="I1080" s="66">
        <v>1157.7999999999038</v>
      </c>
      <c r="J1080" s="66">
        <v>40521.599999999999</v>
      </c>
    </row>
    <row r="1081" spans="2:10">
      <c r="B1081" s="90">
        <v>40419.9</v>
      </c>
      <c r="C1081" s="90">
        <v>1157.6999999999039</v>
      </c>
      <c r="D1081" s="90">
        <v>40521.599999999999</v>
      </c>
      <c r="E1081" s="90">
        <v>1157.7999999999038</v>
      </c>
      <c r="G1081" s="66">
        <v>1157.7999999999038</v>
      </c>
      <c r="H1081" s="66">
        <v>40521.599999999999</v>
      </c>
      <c r="I1081" s="66">
        <v>1157.8999999999037</v>
      </c>
      <c r="J1081" s="66">
        <v>40623.300000000003</v>
      </c>
    </row>
    <row r="1082" spans="2:10">
      <c r="B1082" s="90">
        <v>40521.599999999999</v>
      </c>
      <c r="C1082" s="90">
        <v>1157.7999999999038</v>
      </c>
      <c r="D1082" s="90">
        <v>40623.300000000003</v>
      </c>
      <c r="E1082" s="90">
        <v>1157.8999999999037</v>
      </c>
      <c r="G1082" s="66">
        <v>1157.8999999999037</v>
      </c>
      <c r="H1082" s="66">
        <v>40623.300000000003</v>
      </c>
      <c r="I1082" s="66">
        <v>1157.9999999999036</v>
      </c>
      <c r="J1082" s="66">
        <v>40725</v>
      </c>
    </row>
    <row r="1083" spans="2:10">
      <c r="B1083" s="90">
        <v>40623.300000000003</v>
      </c>
      <c r="C1083" s="90">
        <v>1157.8999999999037</v>
      </c>
      <c r="D1083" s="90">
        <v>40725</v>
      </c>
      <c r="E1083" s="90">
        <v>1157.9999999999036</v>
      </c>
      <c r="G1083" s="66">
        <v>1157.9999999999036</v>
      </c>
      <c r="H1083" s="66">
        <v>40725</v>
      </c>
      <c r="I1083" s="66">
        <v>1158.0999999999035</v>
      </c>
      <c r="J1083" s="66">
        <v>40828.199999999997</v>
      </c>
    </row>
    <row r="1084" spans="2:10">
      <c r="B1084" s="90">
        <v>40725</v>
      </c>
      <c r="C1084" s="90">
        <v>1157.9999999999036</v>
      </c>
      <c r="D1084" s="90">
        <v>40828.199999999997</v>
      </c>
      <c r="E1084" s="90">
        <v>1158.0999999999035</v>
      </c>
      <c r="G1084" s="66">
        <v>1158.0999999999035</v>
      </c>
      <c r="H1084" s="66">
        <v>40828.199999999997</v>
      </c>
      <c r="I1084" s="66">
        <v>1158.1999999999034</v>
      </c>
      <c r="J1084" s="66">
        <v>40931.4</v>
      </c>
    </row>
    <row r="1085" spans="2:10">
      <c r="B1085" s="90">
        <v>40828.199999999997</v>
      </c>
      <c r="C1085" s="90">
        <v>1158.0999999999035</v>
      </c>
      <c r="D1085" s="90">
        <v>40931.4</v>
      </c>
      <c r="E1085" s="90">
        <v>1158.1999999999034</v>
      </c>
      <c r="G1085" s="66">
        <v>1158.1999999999034</v>
      </c>
      <c r="H1085" s="66">
        <v>40931.4</v>
      </c>
      <c r="I1085" s="66">
        <v>1158.2999999999033</v>
      </c>
      <c r="J1085" s="66">
        <v>41034.6</v>
      </c>
    </row>
    <row r="1086" spans="2:10">
      <c r="B1086" s="90">
        <v>40931.4</v>
      </c>
      <c r="C1086" s="90">
        <v>1158.1999999999034</v>
      </c>
      <c r="D1086" s="90">
        <v>41034.6</v>
      </c>
      <c r="E1086" s="90">
        <v>1158.2999999999033</v>
      </c>
      <c r="G1086" s="66">
        <v>1158.2999999999033</v>
      </c>
      <c r="H1086" s="66">
        <v>41034.6</v>
      </c>
      <c r="I1086" s="66">
        <v>1158.3999999999032</v>
      </c>
      <c r="J1086" s="66">
        <v>41137.800000000003</v>
      </c>
    </row>
    <row r="1087" spans="2:10">
      <c r="B1087" s="90">
        <v>41034.6</v>
      </c>
      <c r="C1087" s="90">
        <v>1158.2999999999033</v>
      </c>
      <c r="D1087" s="90">
        <v>41137.800000000003</v>
      </c>
      <c r="E1087" s="90">
        <v>1158.3999999999032</v>
      </c>
      <c r="G1087" s="66">
        <v>1158.3999999999032</v>
      </c>
      <c r="H1087" s="66">
        <v>41137.800000000003</v>
      </c>
      <c r="I1087" s="66">
        <v>1158.4999999999031</v>
      </c>
      <c r="J1087" s="66">
        <v>41241</v>
      </c>
    </row>
    <row r="1088" spans="2:10">
      <c r="B1088" s="90">
        <v>41137.800000000003</v>
      </c>
      <c r="C1088" s="90">
        <v>1158.3999999999032</v>
      </c>
      <c r="D1088" s="90">
        <v>41241</v>
      </c>
      <c r="E1088" s="90">
        <v>1158.4999999999031</v>
      </c>
      <c r="G1088" s="66">
        <v>1158.4999999999031</v>
      </c>
      <c r="H1088" s="66">
        <v>41241</v>
      </c>
      <c r="I1088" s="66">
        <v>1158.599999999903</v>
      </c>
      <c r="J1088" s="66">
        <v>41344.199999999997</v>
      </c>
    </row>
    <row r="1089" spans="2:10">
      <c r="B1089" s="90">
        <v>41241</v>
      </c>
      <c r="C1089" s="90">
        <v>1158.4999999999031</v>
      </c>
      <c r="D1089" s="90">
        <v>41344.199999999997</v>
      </c>
      <c r="E1089" s="90">
        <v>1158.599999999903</v>
      </c>
      <c r="G1089" s="66">
        <v>1158.599999999903</v>
      </c>
      <c r="H1089" s="66">
        <v>41344.199999999997</v>
      </c>
      <c r="I1089" s="66">
        <v>1158.699999999903</v>
      </c>
      <c r="J1089" s="66">
        <v>41447.4</v>
      </c>
    </row>
    <row r="1090" spans="2:10">
      <c r="B1090" s="90">
        <v>41344.199999999997</v>
      </c>
      <c r="C1090" s="90">
        <v>1158.599999999903</v>
      </c>
      <c r="D1090" s="90">
        <v>41447.4</v>
      </c>
      <c r="E1090" s="90">
        <v>1158.699999999903</v>
      </c>
      <c r="G1090" s="66">
        <v>1158.699999999903</v>
      </c>
      <c r="H1090" s="66">
        <v>41447.4</v>
      </c>
      <c r="I1090" s="66">
        <v>1158.7999999999029</v>
      </c>
      <c r="J1090" s="66">
        <v>41550.6</v>
      </c>
    </row>
    <row r="1091" spans="2:10">
      <c r="B1091" s="90">
        <v>41447.4</v>
      </c>
      <c r="C1091" s="90">
        <v>1158.699999999903</v>
      </c>
      <c r="D1091" s="90">
        <v>41550.6</v>
      </c>
      <c r="E1091" s="90">
        <v>1158.7999999999029</v>
      </c>
      <c r="G1091" s="66">
        <v>1158.7999999999029</v>
      </c>
      <c r="H1091" s="66">
        <v>41550.6</v>
      </c>
      <c r="I1091" s="66">
        <v>1158.8999999999028</v>
      </c>
      <c r="J1091" s="66">
        <v>41653.800000000003</v>
      </c>
    </row>
    <row r="1092" spans="2:10">
      <c r="B1092" s="90">
        <v>41550.6</v>
      </c>
      <c r="C1092" s="90">
        <v>1158.7999999999029</v>
      </c>
      <c r="D1092" s="90">
        <v>41653.800000000003</v>
      </c>
      <c r="E1092" s="90">
        <v>1158.8999999999028</v>
      </c>
      <c r="G1092" s="66">
        <v>1158.8999999999028</v>
      </c>
      <c r="H1092" s="66">
        <v>41653.800000000003</v>
      </c>
      <c r="I1092" s="66">
        <v>1158.9999999999027</v>
      </c>
      <c r="J1092" s="66">
        <v>41757</v>
      </c>
    </row>
    <row r="1093" spans="2:10">
      <c r="B1093" s="90">
        <v>41653.800000000003</v>
      </c>
      <c r="C1093" s="90">
        <v>1158.8999999999028</v>
      </c>
      <c r="D1093" s="90">
        <v>41757</v>
      </c>
      <c r="E1093" s="90">
        <v>1158.9999999999027</v>
      </c>
      <c r="G1093" s="66">
        <v>1158.9999999999027</v>
      </c>
      <c r="H1093" s="66">
        <v>41757</v>
      </c>
      <c r="I1093" s="66">
        <v>1159.0999999999026</v>
      </c>
      <c r="J1093" s="66">
        <v>41861.699999999997</v>
      </c>
    </row>
    <row r="1094" spans="2:10">
      <c r="B1094" s="90">
        <v>41757</v>
      </c>
      <c r="C1094" s="90">
        <v>1158.9999999999027</v>
      </c>
      <c r="D1094" s="90">
        <v>41861.699999999997</v>
      </c>
      <c r="E1094" s="90">
        <v>1159.0999999999026</v>
      </c>
      <c r="G1094" s="66">
        <v>1159.0999999999026</v>
      </c>
      <c r="H1094" s="66">
        <v>41861.699999999997</v>
      </c>
      <c r="I1094" s="66">
        <v>1159.1999999999025</v>
      </c>
      <c r="J1094" s="66">
        <v>41966.400000000001</v>
      </c>
    </row>
    <row r="1095" spans="2:10">
      <c r="B1095" s="90">
        <v>41861.699999999997</v>
      </c>
      <c r="C1095" s="90">
        <v>1159.0999999999026</v>
      </c>
      <c r="D1095" s="90">
        <v>41966.400000000001</v>
      </c>
      <c r="E1095" s="90">
        <v>1159.1999999999025</v>
      </c>
      <c r="G1095" s="66">
        <v>1159.1999999999025</v>
      </c>
      <c r="H1095" s="66">
        <v>41966.400000000001</v>
      </c>
      <c r="I1095" s="66">
        <v>1159.2999999999024</v>
      </c>
      <c r="J1095" s="66">
        <v>42071.1</v>
      </c>
    </row>
    <row r="1096" spans="2:10">
      <c r="B1096" s="90">
        <v>41966.400000000001</v>
      </c>
      <c r="C1096" s="90">
        <v>1159.1999999999025</v>
      </c>
      <c r="D1096" s="90">
        <v>42071.1</v>
      </c>
      <c r="E1096" s="90">
        <v>1159.2999999999024</v>
      </c>
      <c r="G1096" s="66">
        <v>1159.2999999999024</v>
      </c>
      <c r="H1096" s="66">
        <v>42071.1</v>
      </c>
      <c r="I1096" s="66">
        <v>1159.3999999999023</v>
      </c>
      <c r="J1096" s="66">
        <v>42175.8</v>
      </c>
    </row>
    <row r="1097" spans="2:10">
      <c r="B1097" s="90">
        <v>42071.1</v>
      </c>
      <c r="C1097" s="90">
        <v>1159.2999999999024</v>
      </c>
      <c r="D1097" s="90">
        <v>42175.8</v>
      </c>
      <c r="E1097" s="90">
        <v>1159.3999999999023</v>
      </c>
      <c r="G1097" s="66">
        <v>1159.3999999999023</v>
      </c>
      <c r="H1097" s="66">
        <v>42175.8</v>
      </c>
      <c r="I1097" s="66">
        <v>1159.4999999999022</v>
      </c>
      <c r="J1097" s="66">
        <v>42280.5</v>
      </c>
    </row>
    <row r="1098" spans="2:10">
      <c r="B1098" s="90">
        <v>42175.8</v>
      </c>
      <c r="C1098" s="90">
        <v>1159.3999999999023</v>
      </c>
      <c r="D1098" s="90">
        <v>42280.5</v>
      </c>
      <c r="E1098" s="90">
        <v>1159.4999999999022</v>
      </c>
      <c r="G1098" s="66">
        <v>1159.4999999999022</v>
      </c>
      <c r="H1098" s="66">
        <v>42280.5</v>
      </c>
      <c r="I1098" s="66">
        <v>1159.5999999999021</v>
      </c>
      <c r="J1098" s="66">
        <v>42385.2</v>
      </c>
    </row>
    <row r="1099" spans="2:10">
      <c r="B1099" s="90">
        <v>42280.5</v>
      </c>
      <c r="C1099" s="90">
        <v>1159.4999999999022</v>
      </c>
      <c r="D1099" s="90">
        <v>42385.2</v>
      </c>
      <c r="E1099" s="90">
        <v>1159.5999999999021</v>
      </c>
      <c r="G1099" s="66">
        <v>1159.5999999999021</v>
      </c>
      <c r="H1099" s="66">
        <v>42385.2</v>
      </c>
      <c r="I1099" s="66">
        <v>1159.699999999902</v>
      </c>
      <c r="J1099" s="66">
        <v>42489.9</v>
      </c>
    </row>
    <row r="1100" spans="2:10">
      <c r="B1100" s="90">
        <v>42385.2</v>
      </c>
      <c r="C1100" s="90">
        <v>1159.5999999999021</v>
      </c>
      <c r="D1100" s="90">
        <v>42489.9</v>
      </c>
      <c r="E1100" s="90">
        <v>1159.699999999902</v>
      </c>
      <c r="G1100" s="66">
        <v>1159.699999999902</v>
      </c>
      <c r="H1100" s="66">
        <v>42489.9</v>
      </c>
      <c r="I1100" s="66">
        <v>1159.799999999902</v>
      </c>
      <c r="J1100" s="66">
        <v>42594.6</v>
      </c>
    </row>
    <row r="1101" spans="2:10">
      <c r="B1101" s="90">
        <v>42489.9</v>
      </c>
      <c r="C1101" s="90">
        <v>1159.699999999902</v>
      </c>
      <c r="D1101" s="90">
        <v>42594.6</v>
      </c>
      <c r="E1101" s="90">
        <v>1159.799999999902</v>
      </c>
      <c r="G1101" s="66">
        <v>1159.799999999902</v>
      </c>
      <c r="H1101" s="66">
        <v>42594.6</v>
      </c>
      <c r="I1101" s="66">
        <v>1159.8999999999019</v>
      </c>
      <c r="J1101" s="66">
        <v>42699.3</v>
      </c>
    </row>
    <row r="1102" spans="2:10">
      <c r="B1102" s="90">
        <v>42594.6</v>
      </c>
      <c r="C1102" s="90">
        <v>1159.799999999902</v>
      </c>
      <c r="D1102" s="90">
        <v>42699.3</v>
      </c>
      <c r="E1102" s="90">
        <v>1159.8999999999019</v>
      </c>
      <c r="G1102" s="66">
        <v>1159.8999999999019</v>
      </c>
      <c r="H1102" s="66">
        <v>42699.3</v>
      </c>
      <c r="I1102" s="66">
        <v>1159.9999999999018</v>
      </c>
      <c r="J1102" s="66">
        <v>42804</v>
      </c>
    </row>
    <row r="1103" spans="2:10">
      <c r="B1103" s="90">
        <v>42699.3</v>
      </c>
      <c r="C1103" s="90">
        <v>1159.8999999999019</v>
      </c>
      <c r="D1103" s="90">
        <v>42804</v>
      </c>
      <c r="E1103" s="90">
        <v>1159.9999999999018</v>
      </c>
      <c r="G1103" s="66">
        <v>1159.9999999999018</v>
      </c>
      <c r="H1103" s="66">
        <v>42804</v>
      </c>
      <c r="I1103" s="66">
        <v>1160.0999999999017</v>
      </c>
      <c r="J1103" s="66">
        <v>42910</v>
      </c>
    </row>
    <row r="1104" spans="2:10">
      <c r="B1104" s="90">
        <v>42804</v>
      </c>
      <c r="C1104" s="90">
        <v>1159.9999999999018</v>
      </c>
      <c r="D1104" s="90">
        <v>42910</v>
      </c>
      <c r="E1104" s="90">
        <v>1160.0999999999017</v>
      </c>
      <c r="G1104" s="66">
        <v>1160.0999999999017</v>
      </c>
      <c r="H1104" s="66">
        <v>42910</v>
      </c>
      <c r="I1104" s="66">
        <v>1160.1999999999016</v>
      </c>
      <c r="J1104" s="66">
        <v>43016</v>
      </c>
    </row>
    <row r="1105" spans="2:10">
      <c r="B1105" s="90">
        <v>42910</v>
      </c>
      <c r="C1105" s="90">
        <v>1160.0999999999017</v>
      </c>
      <c r="D1105" s="90">
        <v>43016</v>
      </c>
      <c r="E1105" s="90">
        <v>1160.1999999999016</v>
      </c>
      <c r="G1105" s="66">
        <v>1160.1999999999016</v>
      </c>
      <c r="H1105" s="66">
        <v>43016</v>
      </c>
      <c r="I1105" s="66">
        <v>1160.2999999999015</v>
      </c>
      <c r="J1105" s="66">
        <v>43122</v>
      </c>
    </row>
    <row r="1106" spans="2:10">
      <c r="B1106" s="90">
        <v>43016</v>
      </c>
      <c r="C1106" s="90">
        <v>1160.1999999999016</v>
      </c>
      <c r="D1106" s="90">
        <v>43122</v>
      </c>
      <c r="E1106" s="90">
        <v>1160.2999999999015</v>
      </c>
      <c r="G1106" s="66">
        <v>1160.2999999999015</v>
      </c>
      <c r="H1106" s="66">
        <v>43122</v>
      </c>
      <c r="I1106" s="66">
        <v>1160.3999999999014</v>
      </c>
      <c r="J1106" s="66">
        <v>43228</v>
      </c>
    </row>
    <row r="1107" spans="2:10">
      <c r="B1107" s="90">
        <v>43122</v>
      </c>
      <c r="C1107" s="90">
        <v>1160.2999999999015</v>
      </c>
      <c r="D1107" s="90">
        <v>43228</v>
      </c>
      <c r="E1107" s="90">
        <v>1160.3999999999014</v>
      </c>
      <c r="G1107" s="66">
        <v>1160.3999999999014</v>
      </c>
      <c r="H1107" s="66">
        <v>43228</v>
      </c>
      <c r="I1107" s="66">
        <v>1160.4999999999013</v>
      </c>
      <c r="J1107" s="66">
        <v>43334</v>
      </c>
    </row>
    <row r="1108" spans="2:10">
      <c r="B1108" s="90">
        <v>43228</v>
      </c>
      <c r="C1108" s="90">
        <v>1160.3999999999014</v>
      </c>
      <c r="D1108" s="90">
        <v>43334</v>
      </c>
      <c r="E1108" s="90">
        <v>1160.4999999999013</v>
      </c>
      <c r="G1108" s="66">
        <v>1160.4999999999013</v>
      </c>
      <c r="H1108" s="66">
        <v>43334</v>
      </c>
      <c r="I1108" s="66">
        <v>1160.5999999999012</v>
      </c>
      <c r="J1108" s="66">
        <v>43440</v>
      </c>
    </row>
    <row r="1109" spans="2:10">
      <c r="B1109" s="90">
        <v>43334</v>
      </c>
      <c r="C1109" s="90">
        <v>1160.4999999999013</v>
      </c>
      <c r="D1109" s="90">
        <v>43440</v>
      </c>
      <c r="E1109" s="90">
        <v>1160.5999999999012</v>
      </c>
      <c r="G1109" s="66">
        <v>1160.5999999999012</v>
      </c>
      <c r="H1109" s="66">
        <v>43440</v>
      </c>
      <c r="I1109" s="66">
        <v>1160.6999999999011</v>
      </c>
      <c r="J1109" s="66">
        <v>43546</v>
      </c>
    </row>
    <row r="1110" spans="2:10">
      <c r="B1110" s="90">
        <v>43440</v>
      </c>
      <c r="C1110" s="90">
        <v>1160.5999999999012</v>
      </c>
      <c r="D1110" s="90">
        <v>43546</v>
      </c>
      <c r="E1110" s="90">
        <v>1160.6999999999011</v>
      </c>
      <c r="G1110" s="66">
        <v>1160.6999999999011</v>
      </c>
      <c r="H1110" s="66">
        <v>43546</v>
      </c>
      <c r="I1110" s="66">
        <v>1160.799999999901</v>
      </c>
      <c r="J1110" s="66">
        <v>43652</v>
      </c>
    </row>
    <row r="1111" spans="2:10">
      <c r="B1111" s="90">
        <v>43546</v>
      </c>
      <c r="C1111" s="90">
        <v>1160.6999999999011</v>
      </c>
      <c r="D1111" s="90">
        <v>43652</v>
      </c>
      <c r="E1111" s="90">
        <v>1160.799999999901</v>
      </c>
      <c r="G1111" s="66">
        <v>1160.799999999901</v>
      </c>
      <c r="H1111" s="66">
        <v>43652</v>
      </c>
      <c r="I1111" s="66">
        <v>1160.899999999901</v>
      </c>
      <c r="J1111" s="66">
        <v>43758</v>
      </c>
    </row>
    <row r="1112" spans="2:10">
      <c r="B1112" s="90">
        <v>43652</v>
      </c>
      <c r="C1112" s="90">
        <v>1160.799999999901</v>
      </c>
      <c r="D1112" s="90">
        <v>43758</v>
      </c>
      <c r="E1112" s="90">
        <v>1160.899999999901</v>
      </c>
      <c r="G1112" s="66">
        <v>1160.899999999901</v>
      </c>
      <c r="H1112" s="66">
        <v>43758</v>
      </c>
      <c r="I1112" s="66">
        <v>1160.9999999999009</v>
      </c>
      <c r="J1112" s="66">
        <v>43864</v>
      </c>
    </row>
    <row r="1113" spans="2:10">
      <c r="B1113" s="90">
        <v>43758</v>
      </c>
      <c r="C1113" s="90">
        <v>1160.899999999901</v>
      </c>
      <c r="D1113" s="90">
        <v>43864</v>
      </c>
      <c r="E1113" s="90">
        <v>1160.9999999999009</v>
      </c>
      <c r="G1113" s="66">
        <v>1160.9999999999009</v>
      </c>
      <c r="H1113" s="66">
        <v>43864</v>
      </c>
      <c r="I1113" s="66">
        <v>1161.0999999999008</v>
      </c>
      <c r="J1113" s="66">
        <v>43971</v>
      </c>
    </row>
    <row r="1114" spans="2:10">
      <c r="B1114" s="90">
        <v>43864</v>
      </c>
      <c r="C1114" s="90">
        <v>1160.9999999999009</v>
      </c>
      <c r="D1114" s="90">
        <v>43971</v>
      </c>
      <c r="E1114" s="90">
        <v>1161.0999999999008</v>
      </c>
      <c r="G1114" s="66">
        <v>1161.0999999999008</v>
      </c>
      <c r="H1114" s="66">
        <v>43971</v>
      </c>
      <c r="I1114" s="66">
        <v>1161.1999999999007</v>
      </c>
      <c r="J1114" s="66">
        <v>44078</v>
      </c>
    </row>
    <row r="1115" spans="2:10">
      <c r="B1115" s="90">
        <v>43971</v>
      </c>
      <c r="C1115" s="90">
        <v>1161.0999999999008</v>
      </c>
      <c r="D1115" s="90">
        <v>44078</v>
      </c>
      <c r="E1115" s="90">
        <v>1161.1999999999007</v>
      </c>
      <c r="G1115" s="66">
        <v>1161.1999999999007</v>
      </c>
      <c r="H1115" s="66">
        <v>44078</v>
      </c>
      <c r="I1115" s="66">
        <v>1161.2999999999006</v>
      </c>
      <c r="J1115" s="66">
        <v>44185</v>
      </c>
    </row>
    <row r="1116" spans="2:10">
      <c r="B1116" s="90">
        <v>44078</v>
      </c>
      <c r="C1116" s="90">
        <v>1161.1999999999007</v>
      </c>
      <c r="D1116" s="90">
        <v>44185</v>
      </c>
      <c r="E1116" s="90">
        <v>1161.2999999999006</v>
      </c>
      <c r="G1116" s="66">
        <v>1161.2999999999006</v>
      </c>
      <c r="H1116" s="66">
        <v>44185</v>
      </c>
      <c r="I1116" s="66">
        <v>1161.3999999999005</v>
      </c>
      <c r="J1116" s="66">
        <v>44292</v>
      </c>
    </row>
    <row r="1117" spans="2:10">
      <c r="B1117" s="90">
        <v>44185</v>
      </c>
      <c r="C1117" s="90">
        <v>1161.2999999999006</v>
      </c>
      <c r="D1117" s="90">
        <v>44292</v>
      </c>
      <c r="E1117" s="90">
        <v>1161.3999999999005</v>
      </c>
      <c r="G1117" s="66">
        <v>1161.3999999999005</v>
      </c>
      <c r="H1117" s="66">
        <v>44292</v>
      </c>
      <c r="I1117" s="66">
        <v>1161.4999999999004</v>
      </c>
      <c r="J1117" s="66">
        <v>44399</v>
      </c>
    </row>
    <row r="1118" spans="2:10">
      <c r="B1118" s="90">
        <v>44292</v>
      </c>
      <c r="C1118" s="90">
        <v>1161.3999999999005</v>
      </c>
      <c r="D1118" s="90">
        <v>44399</v>
      </c>
      <c r="E1118" s="90">
        <v>1161.4999999999004</v>
      </c>
      <c r="G1118" s="66">
        <v>1161.4999999999004</v>
      </c>
      <c r="H1118" s="66">
        <v>44399</v>
      </c>
      <c r="I1118" s="66">
        <v>1161.5999999999003</v>
      </c>
      <c r="J1118" s="66">
        <v>44506</v>
      </c>
    </row>
    <row r="1119" spans="2:10">
      <c r="B1119" s="90">
        <v>44399</v>
      </c>
      <c r="C1119" s="90">
        <v>1161.4999999999004</v>
      </c>
      <c r="D1119" s="90">
        <v>44506</v>
      </c>
      <c r="E1119" s="90">
        <v>1161.5999999999003</v>
      </c>
      <c r="G1119" s="66">
        <v>1161.5999999999003</v>
      </c>
      <c r="H1119" s="66">
        <v>44506</v>
      </c>
      <c r="I1119" s="66">
        <v>1161.6999999999002</v>
      </c>
      <c r="J1119" s="66">
        <v>44613</v>
      </c>
    </row>
    <row r="1120" spans="2:10">
      <c r="B1120" s="90">
        <v>44506</v>
      </c>
      <c r="C1120" s="90">
        <v>1161.5999999999003</v>
      </c>
      <c r="D1120" s="90">
        <v>44613</v>
      </c>
      <c r="E1120" s="90">
        <v>1161.6999999999002</v>
      </c>
      <c r="G1120" s="66">
        <v>1161.6999999999002</v>
      </c>
      <c r="H1120" s="66">
        <v>44613</v>
      </c>
      <c r="I1120" s="66">
        <v>1161.7999999999001</v>
      </c>
      <c r="J1120" s="66">
        <v>44720</v>
      </c>
    </row>
    <row r="1121" spans="2:10">
      <c r="B1121" s="90">
        <v>44613</v>
      </c>
      <c r="C1121" s="90">
        <v>1161.6999999999002</v>
      </c>
      <c r="D1121" s="90">
        <v>44720</v>
      </c>
      <c r="E1121" s="90">
        <v>1161.7999999999001</v>
      </c>
      <c r="G1121" s="66">
        <v>1161.7999999999001</v>
      </c>
      <c r="H1121" s="66">
        <v>44720</v>
      </c>
      <c r="I1121" s="66">
        <v>1161.8999999999</v>
      </c>
      <c r="J1121" s="66">
        <v>44827</v>
      </c>
    </row>
    <row r="1122" spans="2:10">
      <c r="B1122" s="90">
        <v>44720</v>
      </c>
      <c r="C1122" s="90">
        <v>1161.7999999999001</v>
      </c>
      <c r="D1122" s="90">
        <v>44827</v>
      </c>
      <c r="E1122" s="90">
        <v>1161.8999999999</v>
      </c>
      <c r="G1122" s="66">
        <v>1161.8999999999</v>
      </c>
      <c r="H1122" s="66">
        <v>44827</v>
      </c>
      <c r="I1122" s="66">
        <v>1161.9999999999</v>
      </c>
      <c r="J1122" s="66">
        <v>44934</v>
      </c>
    </row>
    <row r="1123" spans="2:10">
      <c r="B1123" s="90">
        <v>44827</v>
      </c>
      <c r="C1123" s="90">
        <v>1161.8999999999</v>
      </c>
      <c r="D1123" s="90">
        <v>44934</v>
      </c>
      <c r="E1123" s="90">
        <v>1161.9999999999</v>
      </c>
      <c r="G1123" s="66">
        <v>1161.9999999999</v>
      </c>
      <c r="H1123" s="66">
        <v>44934</v>
      </c>
      <c r="I1123" s="66">
        <v>1162.0999999998999</v>
      </c>
      <c r="J1123" s="66">
        <v>45042.2</v>
      </c>
    </row>
    <row r="1124" spans="2:10">
      <c r="B1124" s="90">
        <v>44934</v>
      </c>
      <c r="C1124" s="90">
        <v>1161.9999999999</v>
      </c>
      <c r="D1124" s="90">
        <v>45042.2</v>
      </c>
      <c r="E1124" s="90">
        <v>1162.0999999998999</v>
      </c>
      <c r="G1124" s="66">
        <v>1162.0999999998999</v>
      </c>
      <c r="H1124" s="66">
        <v>45042.2</v>
      </c>
      <c r="I1124" s="66">
        <v>1162.1999999998998</v>
      </c>
      <c r="J1124" s="66">
        <v>45150.400000000001</v>
      </c>
    </row>
    <row r="1125" spans="2:10">
      <c r="B1125" s="90">
        <v>45042.2</v>
      </c>
      <c r="C1125" s="90">
        <v>1162.0999999998999</v>
      </c>
      <c r="D1125" s="90">
        <v>45150.400000000001</v>
      </c>
      <c r="E1125" s="90">
        <v>1162.1999999998998</v>
      </c>
      <c r="G1125" s="66">
        <v>1162.1999999998998</v>
      </c>
      <c r="H1125" s="66">
        <v>45150.400000000001</v>
      </c>
      <c r="I1125" s="66">
        <v>1162.2999999998997</v>
      </c>
      <c r="J1125" s="66">
        <v>45258.6</v>
      </c>
    </row>
    <row r="1126" spans="2:10">
      <c r="B1126" s="90">
        <v>45150.400000000001</v>
      </c>
      <c r="C1126" s="90">
        <v>1162.1999999998998</v>
      </c>
      <c r="D1126" s="90">
        <v>45258.6</v>
      </c>
      <c r="E1126" s="90">
        <v>1162.2999999998997</v>
      </c>
      <c r="G1126" s="66">
        <v>1162.2999999998997</v>
      </c>
      <c r="H1126" s="66">
        <v>45258.6</v>
      </c>
      <c r="I1126" s="66">
        <v>1162.3999999998996</v>
      </c>
      <c r="J1126" s="66">
        <v>45366.8</v>
      </c>
    </row>
    <row r="1127" spans="2:10">
      <c r="B1127" s="90">
        <v>45258.6</v>
      </c>
      <c r="C1127" s="90">
        <v>1162.2999999998997</v>
      </c>
      <c r="D1127" s="90">
        <v>45366.8</v>
      </c>
      <c r="E1127" s="90">
        <v>1162.3999999998996</v>
      </c>
      <c r="G1127" s="66">
        <v>1162.3999999998996</v>
      </c>
      <c r="H1127" s="66">
        <v>45366.8</v>
      </c>
      <c r="I1127" s="66">
        <v>1162.4999999998995</v>
      </c>
      <c r="J1127" s="66">
        <v>45475</v>
      </c>
    </row>
    <row r="1128" spans="2:10">
      <c r="B1128" s="90">
        <v>45366.8</v>
      </c>
      <c r="C1128" s="90">
        <v>1162.3999999998996</v>
      </c>
      <c r="D1128" s="90">
        <v>45475</v>
      </c>
      <c r="E1128" s="90">
        <v>1162.4999999998995</v>
      </c>
      <c r="G1128" s="66">
        <v>1162.4999999998995</v>
      </c>
      <c r="H1128" s="66">
        <v>45475</v>
      </c>
      <c r="I1128" s="66">
        <v>1162.5999999998994</v>
      </c>
      <c r="J1128" s="66">
        <v>45583.199999999997</v>
      </c>
    </row>
    <row r="1129" spans="2:10">
      <c r="B1129" s="90">
        <v>45475</v>
      </c>
      <c r="C1129" s="90">
        <v>1162.4999999998995</v>
      </c>
      <c r="D1129" s="90">
        <v>45583.199999999997</v>
      </c>
      <c r="E1129" s="90">
        <v>1162.5999999998994</v>
      </c>
      <c r="G1129" s="66">
        <v>1162.5999999998994</v>
      </c>
      <c r="H1129" s="66">
        <v>45583.199999999997</v>
      </c>
      <c r="I1129" s="66">
        <v>1162.6999999998993</v>
      </c>
      <c r="J1129" s="66">
        <v>45691.4</v>
      </c>
    </row>
    <row r="1130" spans="2:10">
      <c r="B1130" s="90">
        <v>45583.199999999997</v>
      </c>
      <c r="C1130" s="90">
        <v>1162.5999999998994</v>
      </c>
      <c r="D1130" s="90">
        <v>45691.4</v>
      </c>
      <c r="E1130" s="90">
        <v>1162.6999999998993</v>
      </c>
      <c r="G1130" s="66">
        <v>1162.6999999998993</v>
      </c>
      <c r="H1130" s="66">
        <v>45691.4</v>
      </c>
      <c r="I1130" s="66">
        <v>1162.7999999998992</v>
      </c>
      <c r="J1130" s="66">
        <v>45799.6</v>
      </c>
    </row>
    <row r="1131" spans="2:10">
      <c r="B1131" s="90">
        <v>45691.4</v>
      </c>
      <c r="C1131" s="90">
        <v>1162.6999999998993</v>
      </c>
      <c r="D1131" s="90">
        <v>45799.6</v>
      </c>
      <c r="E1131" s="90">
        <v>1162.7999999998992</v>
      </c>
      <c r="G1131" s="66">
        <v>1162.7999999998992</v>
      </c>
      <c r="H1131" s="66">
        <v>45799.6</v>
      </c>
      <c r="I1131" s="66">
        <v>1162.8999999998991</v>
      </c>
      <c r="J1131" s="66">
        <v>45907.8</v>
      </c>
    </row>
    <row r="1132" spans="2:10">
      <c r="B1132" s="90">
        <v>45799.6</v>
      </c>
      <c r="C1132" s="90">
        <v>1162.7999999998992</v>
      </c>
      <c r="D1132" s="90">
        <v>45907.8</v>
      </c>
      <c r="E1132" s="90">
        <v>1162.8999999998991</v>
      </c>
      <c r="G1132" s="66">
        <v>1162.8999999998991</v>
      </c>
      <c r="H1132" s="66">
        <v>45907.8</v>
      </c>
      <c r="I1132" s="66">
        <v>1162.999999999899</v>
      </c>
      <c r="J1132" s="66">
        <v>46016</v>
      </c>
    </row>
    <row r="1133" spans="2:10">
      <c r="B1133" s="90">
        <v>45907.8</v>
      </c>
      <c r="C1133" s="90">
        <v>1162.8999999998991</v>
      </c>
      <c r="D1133" s="90">
        <v>46016</v>
      </c>
      <c r="E1133" s="90">
        <v>1162.999999999899</v>
      </c>
      <c r="G1133" s="66">
        <v>1162.999999999899</v>
      </c>
      <c r="H1133" s="66">
        <v>46016</v>
      </c>
      <c r="I1133" s="66">
        <v>1163.099999999899</v>
      </c>
      <c r="J1133" s="66">
        <v>46125.3</v>
      </c>
    </row>
    <row r="1134" spans="2:10">
      <c r="B1134" s="90">
        <v>46016</v>
      </c>
      <c r="C1134" s="90">
        <v>1162.999999999899</v>
      </c>
      <c r="D1134" s="90">
        <v>46125.3</v>
      </c>
      <c r="E1134" s="90">
        <v>1163.099999999899</v>
      </c>
      <c r="G1134" s="66">
        <v>1163.099999999899</v>
      </c>
      <c r="H1134" s="66">
        <v>46125.3</v>
      </c>
      <c r="I1134" s="66">
        <v>1163.1999999998989</v>
      </c>
      <c r="J1134" s="66">
        <v>46234.6</v>
      </c>
    </row>
    <row r="1135" spans="2:10">
      <c r="B1135" s="90">
        <v>46125.3</v>
      </c>
      <c r="C1135" s="90">
        <v>1163.099999999899</v>
      </c>
      <c r="D1135" s="90">
        <v>46234.6</v>
      </c>
      <c r="E1135" s="90">
        <v>1163.1999999998989</v>
      </c>
      <c r="G1135" s="66">
        <v>1163.1999999998989</v>
      </c>
      <c r="H1135" s="66">
        <v>46234.6</v>
      </c>
      <c r="I1135" s="66">
        <v>1163.2999999998988</v>
      </c>
      <c r="J1135" s="66">
        <v>46343.9</v>
      </c>
    </row>
    <row r="1136" spans="2:10">
      <c r="B1136" s="90">
        <v>46234.6</v>
      </c>
      <c r="C1136" s="90">
        <v>1163.1999999998989</v>
      </c>
      <c r="D1136" s="90">
        <v>46343.9</v>
      </c>
      <c r="E1136" s="90">
        <v>1163.2999999998988</v>
      </c>
      <c r="G1136" s="66">
        <v>1163.2999999998988</v>
      </c>
      <c r="H1136" s="66">
        <v>46343.9</v>
      </c>
      <c r="I1136" s="66">
        <v>1163.3999999998987</v>
      </c>
      <c r="J1136" s="66">
        <v>46453.2</v>
      </c>
    </row>
    <row r="1137" spans="2:10">
      <c r="B1137" s="90">
        <v>46343.9</v>
      </c>
      <c r="C1137" s="90">
        <v>1163.2999999998988</v>
      </c>
      <c r="D1137" s="90">
        <v>46453.2</v>
      </c>
      <c r="E1137" s="90">
        <v>1163.3999999998987</v>
      </c>
      <c r="G1137" s="66">
        <v>1163.3999999998987</v>
      </c>
      <c r="H1137" s="66">
        <v>46453.2</v>
      </c>
      <c r="I1137" s="66">
        <v>1163.4999999998986</v>
      </c>
      <c r="J1137" s="66">
        <v>46562.5</v>
      </c>
    </row>
    <row r="1138" spans="2:10">
      <c r="B1138" s="90">
        <v>46453.2</v>
      </c>
      <c r="C1138" s="90">
        <v>1163.3999999998987</v>
      </c>
      <c r="D1138" s="90">
        <v>46562.5</v>
      </c>
      <c r="E1138" s="90">
        <v>1163.4999999998986</v>
      </c>
      <c r="G1138" s="66">
        <v>1163.4999999998986</v>
      </c>
      <c r="H1138" s="66">
        <v>46562.5</v>
      </c>
      <c r="I1138" s="66">
        <v>1163.5999999998985</v>
      </c>
      <c r="J1138" s="66">
        <v>46671.8</v>
      </c>
    </row>
    <row r="1139" spans="2:10">
      <c r="B1139" s="90">
        <v>46562.5</v>
      </c>
      <c r="C1139" s="90">
        <v>1163.4999999998986</v>
      </c>
      <c r="D1139" s="90">
        <v>46671.8</v>
      </c>
      <c r="E1139" s="90">
        <v>1163.5999999998985</v>
      </c>
      <c r="G1139" s="66">
        <v>1163.5999999998985</v>
      </c>
      <c r="H1139" s="66">
        <v>46671.8</v>
      </c>
      <c r="I1139" s="66">
        <v>1163.6999999998984</v>
      </c>
      <c r="J1139" s="66">
        <v>46781.1</v>
      </c>
    </row>
    <row r="1140" spans="2:10">
      <c r="B1140" s="90">
        <v>46671.8</v>
      </c>
      <c r="C1140" s="90">
        <v>1163.5999999998985</v>
      </c>
      <c r="D1140" s="90">
        <v>46781.1</v>
      </c>
      <c r="E1140" s="90">
        <v>1163.6999999998984</v>
      </c>
      <c r="G1140" s="66">
        <v>1163.6999999998984</v>
      </c>
      <c r="H1140" s="66">
        <v>46781.1</v>
      </c>
      <c r="I1140" s="66">
        <v>1163.7999999998983</v>
      </c>
      <c r="J1140" s="66">
        <v>46890.400000000001</v>
      </c>
    </row>
    <row r="1141" spans="2:10">
      <c r="B1141" s="90">
        <v>46781.1</v>
      </c>
      <c r="C1141" s="90">
        <v>1163.6999999998984</v>
      </c>
      <c r="D1141" s="90">
        <v>46890.400000000001</v>
      </c>
      <c r="E1141" s="90">
        <v>1163.7999999998983</v>
      </c>
      <c r="G1141" s="66">
        <v>1163.7999999998983</v>
      </c>
      <c r="H1141" s="66">
        <v>46890.400000000001</v>
      </c>
      <c r="I1141" s="66">
        <v>1163.8999999998982</v>
      </c>
      <c r="J1141" s="66">
        <v>46999.7</v>
      </c>
    </row>
    <row r="1142" spans="2:10">
      <c r="B1142" s="90">
        <v>46890.400000000001</v>
      </c>
      <c r="C1142" s="90">
        <v>1163.7999999998983</v>
      </c>
      <c r="D1142" s="90">
        <v>46999.7</v>
      </c>
      <c r="E1142" s="90">
        <v>1163.8999999998982</v>
      </c>
      <c r="G1142" s="66">
        <v>1163.8999999998982</v>
      </c>
      <c r="H1142" s="66">
        <v>46999.7</v>
      </c>
      <c r="I1142" s="66">
        <v>1163.9999999998981</v>
      </c>
      <c r="J1142" s="66">
        <v>47109</v>
      </c>
    </row>
    <row r="1143" spans="2:10">
      <c r="B1143" s="90">
        <v>46999.7</v>
      </c>
      <c r="C1143" s="90">
        <v>1163.8999999998982</v>
      </c>
      <c r="D1143" s="90">
        <v>47109</v>
      </c>
      <c r="E1143" s="90">
        <v>1163.9999999998981</v>
      </c>
      <c r="G1143" s="66">
        <v>1163.9999999998981</v>
      </c>
      <c r="H1143" s="66">
        <v>47109</v>
      </c>
      <c r="I1143" s="66">
        <v>1164.099999999898</v>
      </c>
      <c r="J1143" s="66">
        <v>47219.4</v>
      </c>
    </row>
    <row r="1144" spans="2:10">
      <c r="B1144" s="90">
        <v>47109</v>
      </c>
      <c r="C1144" s="90">
        <v>1163.9999999998981</v>
      </c>
      <c r="D1144" s="90">
        <v>47219.4</v>
      </c>
      <c r="E1144" s="90">
        <v>1164.099999999898</v>
      </c>
      <c r="G1144" s="66">
        <v>1164.099999999898</v>
      </c>
      <c r="H1144" s="66">
        <v>47219.4</v>
      </c>
      <c r="I1144" s="66">
        <v>1164.199999999898</v>
      </c>
      <c r="J1144" s="66">
        <v>47329.8</v>
      </c>
    </row>
    <row r="1145" spans="2:10">
      <c r="B1145" s="90">
        <v>47219.4</v>
      </c>
      <c r="C1145" s="90">
        <v>1164.099999999898</v>
      </c>
      <c r="D1145" s="90">
        <v>47329.8</v>
      </c>
      <c r="E1145" s="90">
        <v>1164.199999999898</v>
      </c>
      <c r="G1145" s="66">
        <v>1164.199999999898</v>
      </c>
      <c r="H1145" s="66">
        <v>47329.8</v>
      </c>
      <c r="I1145" s="66">
        <v>1164.2999999998979</v>
      </c>
      <c r="J1145" s="66">
        <v>47440.2</v>
      </c>
    </row>
    <row r="1146" spans="2:10">
      <c r="B1146" s="90">
        <v>47329.8</v>
      </c>
      <c r="C1146" s="90">
        <v>1164.199999999898</v>
      </c>
      <c r="D1146" s="90">
        <v>47440.2</v>
      </c>
      <c r="E1146" s="90">
        <v>1164.2999999998979</v>
      </c>
      <c r="G1146" s="66">
        <v>1164.2999999998979</v>
      </c>
      <c r="H1146" s="66">
        <v>47440.2</v>
      </c>
      <c r="I1146" s="66">
        <v>1164.3999999998978</v>
      </c>
      <c r="J1146" s="66">
        <v>47550.6</v>
      </c>
    </row>
    <row r="1147" spans="2:10">
      <c r="B1147" s="90">
        <v>47440.2</v>
      </c>
      <c r="C1147" s="90">
        <v>1164.2999999998979</v>
      </c>
      <c r="D1147" s="90">
        <v>47550.6</v>
      </c>
      <c r="E1147" s="90">
        <v>1164.3999999998978</v>
      </c>
      <c r="G1147" s="66">
        <v>1164.3999999998978</v>
      </c>
      <c r="H1147" s="66">
        <v>47550.6</v>
      </c>
      <c r="I1147" s="66">
        <v>1164.4999999998977</v>
      </c>
      <c r="J1147" s="66">
        <v>47661</v>
      </c>
    </row>
    <row r="1148" spans="2:10">
      <c r="B1148" s="90">
        <v>47550.6</v>
      </c>
      <c r="C1148" s="90">
        <v>1164.3999999998978</v>
      </c>
      <c r="D1148" s="90">
        <v>47661</v>
      </c>
      <c r="E1148" s="90">
        <v>1164.4999999998977</v>
      </c>
      <c r="G1148" s="66">
        <v>1164.4999999998977</v>
      </c>
      <c r="H1148" s="66">
        <v>47661</v>
      </c>
      <c r="I1148" s="66">
        <v>1164.5999999998976</v>
      </c>
      <c r="J1148" s="66">
        <v>47771.4</v>
      </c>
    </row>
    <row r="1149" spans="2:10">
      <c r="B1149" s="90">
        <v>47661</v>
      </c>
      <c r="C1149" s="90">
        <v>1164.4999999998977</v>
      </c>
      <c r="D1149" s="90">
        <v>47771.4</v>
      </c>
      <c r="E1149" s="90">
        <v>1164.5999999998976</v>
      </c>
      <c r="G1149" s="66">
        <v>1164.5999999998976</v>
      </c>
      <c r="H1149" s="66">
        <v>47771.4</v>
      </c>
      <c r="I1149" s="66">
        <v>1164.6999999998975</v>
      </c>
      <c r="J1149" s="66">
        <v>47881.8</v>
      </c>
    </row>
    <row r="1150" spans="2:10">
      <c r="B1150" s="90">
        <v>47771.4</v>
      </c>
      <c r="C1150" s="90">
        <v>1164.5999999998976</v>
      </c>
      <c r="D1150" s="90">
        <v>47881.8</v>
      </c>
      <c r="E1150" s="90">
        <v>1164.6999999998975</v>
      </c>
      <c r="G1150" s="66">
        <v>1164.6999999998975</v>
      </c>
      <c r="H1150" s="66">
        <v>47881.8</v>
      </c>
      <c r="I1150" s="66">
        <v>1164.7999999998974</v>
      </c>
      <c r="J1150" s="66">
        <v>47992.2</v>
      </c>
    </row>
    <row r="1151" spans="2:10">
      <c r="B1151" s="90">
        <v>47881.8</v>
      </c>
      <c r="C1151" s="90">
        <v>1164.6999999998975</v>
      </c>
      <c r="D1151" s="90">
        <v>47992.2</v>
      </c>
      <c r="E1151" s="90">
        <v>1164.7999999998974</v>
      </c>
      <c r="G1151" s="66">
        <v>1164.7999999998974</v>
      </c>
      <c r="H1151" s="66">
        <v>47992.2</v>
      </c>
      <c r="I1151" s="66">
        <v>1164.8999999998973</v>
      </c>
      <c r="J1151" s="66">
        <v>48102.6</v>
      </c>
    </row>
    <row r="1152" spans="2:10">
      <c r="B1152" s="90">
        <v>47992.2</v>
      </c>
      <c r="C1152" s="90">
        <v>1164.7999999998974</v>
      </c>
      <c r="D1152" s="90">
        <v>48102.6</v>
      </c>
      <c r="E1152" s="90">
        <v>1164.8999999998973</v>
      </c>
      <c r="G1152" s="66">
        <v>1164.8999999998973</v>
      </c>
      <c r="H1152" s="66">
        <v>48102.6</v>
      </c>
      <c r="I1152" s="66">
        <v>1164.9999999998972</v>
      </c>
      <c r="J1152" s="66">
        <v>48213</v>
      </c>
    </row>
    <row r="1153" spans="2:10">
      <c r="B1153" s="90">
        <v>48102.6</v>
      </c>
      <c r="C1153" s="90">
        <v>1164.8999999998973</v>
      </c>
      <c r="D1153" s="90">
        <v>48213</v>
      </c>
      <c r="E1153" s="90">
        <v>1164.9999999998972</v>
      </c>
      <c r="G1153" s="66">
        <v>1164.9999999998972</v>
      </c>
      <c r="H1153" s="66">
        <v>48213</v>
      </c>
      <c r="I1153" s="66">
        <v>1165.0999999998971</v>
      </c>
      <c r="J1153" s="66">
        <v>48324.5</v>
      </c>
    </row>
    <row r="1154" spans="2:10">
      <c r="B1154" s="90">
        <v>48213</v>
      </c>
      <c r="C1154" s="90">
        <v>1164.9999999998972</v>
      </c>
      <c r="D1154" s="90">
        <v>48324.5</v>
      </c>
      <c r="E1154" s="90">
        <v>1165.0999999998971</v>
      </c>
      <c r="G1154" s="66">
        <v>1165.0999999998971</v>
      </c>
      <c r="H1154" s="66">
        <v>48324.5</v>
      </c>
      <c r="I1154" s="66">
        <v>1165.199999999897</v>
      </c>
      <c r="J1154" s="66">
        <v>48436</v>
      </c>
    </row>
    <row r="1155" spans="2:10">
      <c r="B1155" s="90">
        <v>48324.5</v>
      </c>
      <c r="C1155" s="90">
        <v>1165.0999999998971</v>
      </c>
      <c r="D1155" s="90">
        <v>48436</v>
      </c>
      <c r="E1155" s="90">
        <v>1165.199999999897</v>
      </c>
      <c r="G1155" s="66">
        <v>1165.199999999897</v>
      </c>
      <c r="H1155" s="66">
        <v>48436</v>
      </c>
      <c r="I1155" s="66">
        <v>1165.299999999897</v>
      </c>
      <c r="J1155" s="66">
        <v>48547.5</v>
      </c>
    </row>
    <row r="1156" spans="2:10">
      <c r="B1156" s="90">
        <v>48436</v>
      </c>
      <c r="C1156" s="90">
        <v>1165.199999999897</v>
      </c>
      <c r="D1156" s="90">
        <v>48547.5</v>
      </c>
      <c r="E1156" s="90">
        <v>1165.299999999897</v>
      </c>
      <c r="G1156" s="66">
        <v>1165.299999999897</v>
      </c>
      <c r="H1156" s="66">
        <v>48547.5</v>
      </c>
      <c r="I1156" s="66">
        <v>1165.3999999998969</v>
      </c>
      <c r="J1156" s="66">
        <v>48659</v>
      </c>
    </row>
    <row r="1157" spans="2:10">
      <c r="B1157" s="90">
        <v>48547.5</v>
      </c>
      <c r="C1157" s="90">
        <v>1165.299999999897</v>
      </c>
      <c r="D1157" s="90">
        <v>48659</v>
      </c>
      <c r="E1157" s="90">
        <v>1165.3999999998969</v>
      </c>
      <c r="G1157" s="66">
        <v>1165.3999999998969</v>
      </c>
      <c r="H1157" s="66">
        <v>48659</v>
      </c>
      <c r="I1157" s="66">
        <v>1165.4999999998968</v>
      </c>
      <c r="J1157" s="66">
        <v>48770.5</v>
      </c>
    </row>
    <row r="1158" spans="2:10">
      <c r="B1158" s="90">
        <v>48659</v>
      </c>
      <c r="C1158" s="90">
        <v>1165.3999999998969</v>
      </c>
      <c r="D1158" s="90">
        <v>48770.5</v>
      </c>
      <c r="E1158" s="90">
        <v>1165.4999999998968</v>
      </c>
      <c r="G1158" s="66">
        <v>1165.4999999998968</v>
      </c>
      <c r="H1158" s="66">
        <v>48770.5</v>
      </c>
      <c r="I1158" s="66">
        <v>1165.5999999998967</v>
      </c>
      <c r="J1158" s="66">
        <v>48882</v>
      </c>
    </row>
    <row r="1159" spans="2:10">
      <c r="B1159" s="90">
        <v>48770.5</v>
      </c>
      <c r="C1159" s="90">
        <v>1165.4999999998968</v>
      </c>
      <c r="D1159" s="90">
        <v>48882</v>
      </c>
      <c r="E1159" s="90">
        <v>1165.5999999998967</v>
      </c>
      <c r="G1159" s="66">
        <v>1165.5999999998967</v>
      </c>
      <c r="H1159" s="66">
        <v>48882</v>
      </c>
      <c r="I1159" s="66">
        <v>1165.6999999998966</v>
      </c>
      <c r="J1159" s="66">
        <v>48993.5</v>
      </c>
    </row>
    <row r="1160" spans="2:10">
      <c r="B1160" s="90">
        <v>48882</v>
      </c>
      <c r="C1160" s="90">
        <v>1165.5999999998967</v>
      </c>
      <c r="D1160" s="90">
        <v>48993.5</v>
      </c>
      <c r="E1160" s="90">
        <v>1165.6999999998966</v>
      </c>
      <c r="G1160" s="66">
        <v>1165.6999999998966</v>
      </c>
      <c r="H1160" s="66">
        <v>48993.5</v>
      </c>
      <c r="I1160" s="66">
        <v>1165.7999999998965</v>
      </c>
      <c r="J1160" s="66">
        <v>49105</v>
      </c>
    </row>
    <row r="1161" spans="2:10">
      <c r="B1161" s="90">
        <v>48993.5</v>
      </c>
      <c r="C1161" s="90">
        <v>1165.6999999998966</v>
      </c>
      <c r="D1161" s="90">
        <v>49105</v>
      </c>
      <c r="E1161" s="90">
        <v>1165.7999999998965</v>
      </c>
      <c r="G1161" s="66">
        <v>1165.7999999998965</v>
      </c>
      <c r="H1161" s="66">
        <v>49105</v>
      </c>
      <c r="I1161" s="66">
        <v>1165.8999999998964</v>
      </c>
      <c r="J1161" s="66">
        <v>49216.5</v>
      </c>
    </row>
    <row r="1162" spans="2:10">
      <c r="B1162" s="90">
        <v>49105</v>
      </c>
      <c r="C1162" s="90">
        <v>1165.7999999998965</v>
      </c>
      <c r="D1162" s="90">
        <v>49216.5</v>
      </c>
      <c r="E1162" s="90">
        <v>1165.8999999998964</v>
      </c>
      <c r="G1162" s="66">
        <v>1165.8999999998964</v>
      </c>
      <c r="H1162" s="66">
        <v>49216.5</v>
      </c>
      <c r="I1162" s="66">
        <v>1165.9999999998963</v>
      </c>
      <c r="J1162" s="66">
        <v>49328</v>
      </c>
    </row>
    <row r="1163" spans="2:10">
      <c r="B1163" s="90">
        <v>49216.5</v>
      </c>
      <c r="C1163" s="90">
        <v>1165.8999999998964</v>
      </c>
      <c r="D1163" s="90">
        <v>49328</v>
      </c>
      <c r="E1163" s="90">
        <v>1165.9999999998963</v>
      </c>
      <c r="G1163" s="66">
        <v>1165.9999999998963</v>
      </c>
      <c r="H1163" s="66">
        <v>49328</v>
      </c>
      <c r="I1163" s="66">
        <v>1166.0999999998962</v>
      </c>
      <c r="J1163" s="66">
        <v>49440.6</v>
      </c>
    </row>
    <row r="1164" spans="2:10">
      <c r="B1164" s="90">
        <v>49328</v>
      </c>
      <c r="C1164" s="90">
        <v>1165.9999999998963</v>
      </c>
      <c r="D1164" s="90">
        <v>49440.6</v>
      </c>
      <c r="E1164" s="90">
        <v>1166.0999999998962</v>
      </c>
      <c r="G1164" s="66">
        <v>1166.0999999998962</v>
      </c>
      <c r="H1164" s="66">
        <v>49440.6</v>
      </c>
      <c r="I1164" s="66">
        <v>1166.1999999998961</v>
      </c>
      <c r="J1164" s="66">
        <v>49553.2</v>
      </c>
    </row>
    <row r="1165" spans="2:10">
      <c r="B1165" s="90">
        <v>49440.6</v>
      </c>
      <c r="C1165" s="90">
        <v>1166.0999999998962</v>
      </c>
      <c r="D1165" s="90">
        <v>49553.2</v>
      </c>
      <c r="E1165" s="90">
        <v>1166.1999999998961</v>
      </c>
      <c r="G1165" s="66">
        <v>1166.1999999998961</v>
      </c>
      <c r="H1165" s="66">
        <v>49553.2</v>
      </c>
      <c r="I1165" s="66">
        <v>1166.299999999896</v>
      </c>
      <c r="J1165" s="66">
        <v>49665.8</v>
      </c>
    </row>
    <row r="1166" spans="2:10">
      <c r="B1166" s="90">
        <v>49553.2</v>
      </c>
      <c r="C1166" s="90">
        <v>1166.1999999998961</v>
      </c>
      <c r="D1166" s="90">
        <v>49665.8</v>
      </c>
      <c r="E1166" s="90">
        <v>1166.299999999896</v>
      </c>
      <c r="G1166" s="66">
        <v>1166.299999999896</v>
      </c>
      <c r="H1166" s="66">
        <v>49665.8</v>
      </c>
      <c r="I1166" s="66">
        <v>1166.399999999896</v>
      </c>
      <c r="J1166" s="66">
        <v>49778.400000000001</v>
      </c>
    </row>
    <row r="1167" spans="2:10">
      <c r="B1167" s="90">
        <v>49665.8</v>
      </c>
      <c r="C1167" s="90">
        <v>1166.299999999896</v>
      </c>
      <c r="D1167" s="90">
        <v>49778.400000000001</v>
      </c>
      <c r="E1167" s="90">
        <v>1166.399999999896</v>
      </c>
      <c r="G1167" s="66">
        <v>1166.399999999896</v>
      </c>
      <c r="H1167" s="66">
        <v>49778.400000000001</v>
      </c>
      <c r="I1167" s="66">
        <v>1166.4999999998959</v>
      </c>
      <c r="J1167" s="66">
        <v>49891</v>
      </c>
    </row>
    <row r="1168" spans="2:10">
      <c r="B1168" s="90">
        <v>49778.400000000001</v>
      </c>
      <c r="C1168" s="90">
        <v>1166.399999999896</v>
      </c>
      <c r="D1168" s="90">
        <v>49891</v>
      </c>
      <c r="E1168" s="90">
        <v>1166.4999999998959</v>
      </c>
      <c r="G1168" s="66">
        <v>1166.4999999998959</v>
      </c>
      <c r="H1168" s="66">
        <v>49891</v>
      </c>
      <c r="I1168" s="66">
        <v>1166.5999999998958</v>
      </c>
      <c r="J1168" s="66">
        <v>50003.6</v>
      </c>
    </row>
    <row r="1169" spans="2:10">
      <c r="B1169" s="90">
        <v>49891</v>
      </c>
      <c r="C1169" s="90">
        <v>1166.4999999998959</v>
      </c>
      <c r="D1169" s="90">
        <v>50003.6</v>
      </c>
      <c r="E1169" s="90">
        <v>1166.5999999998958</v>
      </c>
      <c r="G1169" s="66">
        <v>1166.5999999998958</v>
      </c>
      <c r="H1169" s="66">
        <v>50003.6</v>
      </c>
      <c r="I1169" s="66">
        <v>1166.6999999998957</v>
      </c>
      <c r="J1169" s="66">
        <v>50116.2</v>
      </c>
    </row>
    <row r="1170" spans="2:10">
      <c r="B1170" s="90">
        <v>50003.6</v>
      </c>
      <c r="C1170" s="90">
        <v>1166.5999999998958</v>
      </c>
      <c r="D1170" s="90">
        <v>50116.2</v>
      </c>
      <c r="E1170" s="90">
        <v>1166.6999999998957</v>
      </c>
      <c r="G1170" s="66">
        <v>1166.6999999998957</v>
      </c>
      <c r="H1170" s="66">
        <v>50116.2</v>
      </c>
      <c r="I1170" s="66">
        <v>1166.7999999998956</v>
      </c>
      <c r="J1170" s="66">
        <v>50228.800000000003</v>
      </c>
    </row>
    <row r="1171" spans="2:10">
      <c r="B1171" s="90">
        <v>50116.2</v>
      </c>
      <c r="C1171" s="90">
        <v>1166.6999999998957</v>
      </c>
      <c r="D1171" s="90">
        <v>50228.800000000003</v>
      </c>
      <c r="E1171" s="90">
        <v>1166.7999999998956</v>
      </c>
      <c r="G1171" s="66">
        <v>1166.7999999998956</v>
      </c>
      <c r="H1171" s="66">
        <v>50228.800000000003</v>
      </c>
      <c r="I1171" s="66">
        <v>1166.8999999998955</v>
      </c>
      <c r="J1171" s="66">
        <v>50341.4</v>
      </c>
    </row>
    <row r="1172" spans="2:10">
      <c r="B1172" s="90">
        <v>50228.800000000003</v>
      </c>
      <c r="C1172" s="90">
        <v>1166.7999999998956</v>
      </c>
      <c r="D1172" s="90">
        <v>50341.4</v>
      </c>
      <c r="E1172" s="90">
        <v>1166.8999999998955</v>
      </c>
      <c r="G1172" s="66">
        <v>1166.8999999998955</v>
      </c>
      <c r="H1172" s="66">
        <v>50341.4</v>
      </c>
      <c r="I1172" s="66">
        <v>1166.9999999998954</v>
      </c>
      <c r="J1172" s="66">
        <v>50454</v>
      </c>
    </row>
    <row r="1173" spans="2:10">
      <c r="B1173" s="90">
        <v>50341.4</v>
      </c>
      <c r="C1173" s="90">
        <v>1166.8999999998955</v>
      </c>
      <c r="D1173" s="90">
        <v>50454</v>
      </c>
      <c r="E1173" s="90">
        <v>1166.9999999998954</v>
      </c>
      <c r="G1173" s="66">
        <v>1166.9999999998954</v>
      </c>
      <c r="H1173" s="66">
        <v>50454</v>
      </c>
      <c r="I1173" s="66">
        <v>1167.0999999998953</v>
      </c>
      <c r="J1173" s="66">
        <v>50567.8</v>
      </c>
    </row>
    <row r="1174" spans="2:10">
      <c r="B1174" s="90">
        <v>50454</v>
      </c>
      <c r="C1174" s="90">
        <v>1166.9999999998954</v>
      </c>
      <c r="D1174" s="90">
        <v>50567.8</v>
      </c>
      <c r="E1174" s="90">
        <v>1167.0999999998953</v>
      </c>
      <c r="G1174" s="66">
        <v>1167.0999999998953</v>
      </c>
      <c r="H1174" s="66">
        <v>50567.8</v>
      </c>
      <c r="I1174" s="66">
        <v>1167.1999999998952</v>
      </c>
      <c r="J1174" s="66">
        <v>50681.599999999999</v>
      </c>
    </row>
    <row r="1175" spans="2:10">
      <c r="B1175" s="90">
        <v>50567.8</v>
      </c>
      <c r="C1175" s="90">
        <v>1167.0999999998953</v>
      </c>
      <c r="D1175" s="90">
        <v>50681.599999999999</v>
      </c>
      <c r="E1175" s="90">
        <v>1167.1999999998952</v>
      </c>
      <c r="G1175" s="66">
        <v>1167.1999999998952</v>
      </c>
      <c r="H1175" s="66">
        <v>50681.599999999999</v>
      </c>
      <c r="I1175" s="66">
        <v>1167.2999999998951</v>
      </c>
      <c r="J1175" s="66">
        <v>50795.4</v>
      </c>
    </row>
    <row r="1176" spans="2:10">
      <c r="B1176" s="90">
        <v>50681.599999999999</v>
      </c>
      <c r="C1176" s="90">
        <v>1167.1999999998952</v>
      </c>
      <c r="D1176" s="90">
        <v>50795.4</v>
      </c>
      <c r="E1176" s="90">
        <v>1167.2999999998951</v>
      </c>
      <c r="G1176" s="66">
        <v>1167.2999999998951</v>
      </c>
      <c r="H1176" s="66">
        <v>50795.4</v>
      </c>
      <c r="I1176" s="66">
        <v>1167.399999999895</v>
      </c>
      <c r="J1176" s="66">
        <v>50909.2</v>
      </c>
    </row>
    <row r="1177" spans="2:10">
      <c r="B1177" s="90">
        <v>50795.4</v>
      </c>
      <c r="C1177" s="90">
        <v>1167.2999999998951</v>
      </c>
      <c r="D1177" s="90">
        <v>50909.2</v>
      </c>
      <c r="E1177" s="90">
        <v>1167.399999999895</v>
      </c>
      <c r="G1177" s="66">
        <v>1167.399999999895</v>
      </c>
      <c r="H1177" s="66">
        <v>50909.2</v>
      </c>
      <c r="I1177" s="66">
        <v>1167.499999999895</v>
      </c>
      <c r="J1177" s="66">
        <v>51023</v>
      </c>
    </row>
    <row r="1178" spans="2:10">
      <c r="B1178" s="90">
        <v>50909.2</v>
      </c>
      <c r="C1178" s="90">
        <v>1167.399999999895</v>
      </c>
      <c r="D1178" s="90">
        <v>51023</v>
      </c>
      <c r="E1178" s="90">
        <v>1167.499999999895</v>
      </c>
      <c r="G1178" s="66">
        <v>1167.499999999895</v>
      </c>
      <c r="H1178" s="66">
        <v>51023</v>
      </c>
      <c r="I1178" s="66">
        <v>1167.5999999998949</v>
      </c>
      <c r="J1178" s="66">
        <v>51136.800000000003</v>
      </c>
    </row>
    <row r="1179" spans="2:10">
      <c r="B1179" s="90">
        <v>51023</v>
      </c>
      <c r="C1179" s="90">
        <v>1167.499999999895</v>
      </c>
      <c r="D1179" s="90">
        <v>51136.800000000003</v>
      </c>
      <c r="E1179" s="90">
        <v>1167.5999999998949</v>
      </c>
      <c r="G1179" s="66">
        <v>1167.5999999998949</v>
      </c>
      <c r="H1179" s="66">
        <v>51136.800000000003</v>
      </c>
      <c r="I1179" s="66">
        <v>1167.6999999998948</v>
      </c>
      <c r="J1179" s="66">
        <v>51250.6</v>
      </c>
    </row>
    <row r="1180" spans="2:10">
      <c r="B1180" s="90">
        <v>51136.800000000003</v>
      </c>
      <c r="C1180" s="90">
        <v>1167.5999999998949</v>
      </c>
      <c r="D1180" s="90">
        <v>51250.6</v>
      </c>
      <c r="E1180" s="90">
        <v>1167.6999999998948</v>
      </c>
      <c r="G1180" s="66">
        <v>1167.6999999998948</v>
      </c>
      <c r="H1180" s="66">
        <v>51250.6</v>
      </c>
      <c r="I1180" s="66">
        <v>1167.7999999998947</v>
      </c>
      <c r="J1180" s="66">
        <v>51364.4</v>
      </c>
    </row>
    <row r="1181" spans="2:10">
      <c r="B1181" s="90">
        <v>51250.6</v>
      </c>
      <c r="C1181" s="90">
        <v>1167.6999999998948</v>
      </c>
      <c r="D1181" s="90">
        <v>51364.4</v>
      </c>
      <c r="E1181" s="90">
        <v>1167.7999999998947</v>
      </c>
      <c r="G1181" s="66">
        <v>1167.7999999998947</v>
      </c>
      <c r="H1181" s="66">
        <v>51364.4</v>
      </c>
      <c r="I1181" s="66">
        <v>1167.8999999998946</v>
      </c>
      <c r="J1181" s="66">
        <v>51478.2</v>
      </c>
    </row>
    <row r="1182" spans="2:10">
      <c r="B1182" s="90">
        <v>51364.4</v>
      </c>
      <c r="C1182" s="90">
        <v>1167.7999999998947</v>
      </c>
      <c r="D1182" s="90">
        <v>51478.2</v>
      </c>
      <c r="E1182" s="90">
        <v>1167.8999999998946</v>
      </c>
      <c r="G1182" s="66">
        <v>1167.8999999998946</v>
      </c>
      <c r="H1182" s="66">
        <v>51478.2</v>
      </c>
      <c r="I1182" s="66">
        <v>1167.9999999998945</v>
      </c>
      <c r="J1182" s="66">
        <v>51592</v>
      </c>
    </row>
    <row r="1183" spans="2:10">
      <c r="B1183" s="90">
        <v>51478.2</v>
      </c>
      <c r="C1183" s="90">
        <v>1167.8999999998946</v>
      </c>
      <c r="D1183" s="90">
        <v>51592</v>
      </c>
      <c r="E1183" s="90">
        <v>1167.9999999998945</v>
      </c>
      <c r="G1183" s="66">
        <v>1167.9999999998945</v>
      </c>
      <c r="H1183" s="66">
        <v>51592</v>
      </c>
      <c r="I1183" s="66">
        <v>1168.0999999998944</v>
      </c>
      <c r="J1183" s="66">
        <v>51706.9</v>
      </c>
    </row>
    <row r="1184" spans="2:10">
      <c r="B1184" s="90">
        <v>51592</v>
      </c>
      <c r="C1184" s="90">
        <v>1167.9999999998945</v>
      </c>
      <c r="D1184" s="90">
        <v>51706.9</v>
      </c>
      <c r="E1184" s="90">
        <v>1168.0999999998944</v>
      </c>
      <c r="G1184" s="66">
        <v>1168.0999999998944</v>
      </c>
      <c r="H1184" s="66">
        <v>51706.9</v>
      </c>
      <c r="I1184" s="66">
        <v>1168.1999999998943</v>
      </c>
      <c r="J1184" s="66">
        <v>51821.8</v>
      </c>
    </row>
    <row r="1185" spans="2:10">
      <c r="B1185" s="90">
        <v>51706.9</v>
      </c>
      <c r="C1185" s="90">
        <v>1168.0999999998944</v>
      </c>
      <c r="D1185" s="90">
        <v>51821.8</v>
      </c>
      <c r="E1185" s="90">
        <v>1168.1999999998943</v>
      </c>
      <c r="G1185" s="66">
        <v>1168.1999999998943</v>
      </c>
      <c r="H1185" s="66">
        <v>51821.8</v>
      </c>
      <c r="I1185" s="66">
        <v>1168.2999999998942</v>
      </c>
      <c r="J1185" s="66">
        <v>51936.7</v>
      </c>
    </row>
    <row r="1186" spans="2:10">
      <c r="B1186" s="90">
        <v>51821.8</v>
      </c>
      <c r="C1186" s="90">
        <v>1168.1999999998943</v>
      </c>
      <c r="D1186" s="90">
        <v>51936.7</v>
      </c>
      <c r="E1186" s="90">
        <v>1168.2999999998942</v>
      </c>
      <c r="G1186" s="66">
        <v>1168.2999999998942</v>
      </c>
      <c r="H1186" s="66">
        <v>51936.7</v>
      </c>
      <c r="I1186" s="66">
        <v>1168.3999999998941</v>
      </c>
      <c r="J1186" s="66">
        <v>52051.6</v>
      </c>
    </row>
    <row r="1187" spans="2:10">
      <c r="B1187" s="90">
        <v>51936.7</v>
      </c>
      <c r="C1187" s="90">
        <v>1168.2999999998942</v>
      </c>
      <c r="D1187" s="90">
        <v>52051.6</v>
      </c>
      <c r="E1187" s="90">
        <v>1168.3999999998941</v>
      </c>
      <c r="G1187" s="66">
        <v>1168.3999999998941</v>
      </c>
      <c r="H1187" s="66">
        <v>52051.6</v>
      </c>
      <c r="I1187" s="66">
        <v>1168.499999999894</v>
      </c>
      <c r="J1187" s="66">
        <v>52166.5</v>
      </c>
    </row>
    <row r="1188" spans="2:10">
      <c r="B1188" s="90">
        <v>52051.6</v>
      </c>
      <c r="C1188" s="90">
        <v>1168.3999999998941</v>
      </c>
      <c r="D1188" s="90">
        <v>52166.5</v>
      </c>
      <c r="E1188" s="90">
        <v>1168.499999999894</v>
      </c>
      <c r="G1188" s="66">
        <v>1168.499999999894</v>
      </c>
      <c r="H1188" s="66">
        <v>52166.5</v>
      </c>
      <c r="I1188" s="66">
        <v>1168.599999999894</v>
      </c>
      <c r="J1188" s="66">
        <v>52281.4</v>
      </c>
    </row>
    <row r="1189" spans="2:10">
      <c r="B1189" s="90">
        <v>52166.5</v>
      </c>
      <c r="C1189" s="90">
        <v>1168.499999999894</v>
      </c>
      <c r="D1189" s="90">
        <v>52281.4</v>
      </c>
      <c r="E1189" s="90">
        <v>1168.599999999894</v>
      </c>
      <c r="G1189" s="66">
        <v>1168.599999999894</v>
      </c>
      <c r="H1189" s="66">
        <v>52281.4</v>
      </c>
      <c r="I1189" s="66">
        <v>1168.6999999998939</v>
      </c>
      <c r="J1189" s="66">
        <v>52396.3</v>
      </c>
    </row>
    <row r="1190" spans="2:10">
      <c r="B1190" s="90">
        <v>52281.4</v>
      </c>
      <c r="C1190" s="90">
        <v>1168.599999999894</v>
      </c>
      <c r="D1190" s="90">
        <v>52396.3</v>
      </c>
      <c r="E1190" s="90">
        <v>1168.6999999998939</v>
      </c>
      <c r="G1190" s="66">
        <v>1168.6999999998939</v>
      </c>
      <c r="H1190" s="66">
        <v>52396.3</v>
      </c>
      <c r="I1190" s="66">
        <v>1168.7999999998938</v>
      </c>
      <c r="J1190" s="66">
        <v>52511.199999999997</v>
      </c>
    </row>
    <row r="1191" spans="2:10">
      <c r="B1191" s="90">
        <v>52396.3</v>
      </c>
      <c r="C1191" s="90">
        <v>1168.6999999998939</v>
      </c>
      <c r="D1191" s="90">
        <v>52511.199999999997</v>
      </c>
      <c r="E1191" s="90">
        <v>1168.7999999998938</v>
      </c>
      <c r="G1191" s="66">
        <v>1168.7999999998938</v>
      </c>
      <c r="H1191" s="66">
        <v>52511.199999999997</v>
      </c>
      <c r="I1191" s="66">
        <v>1168.8999999998937</v>
      </c>
      <c r="J1191" s="66">
        <v>52626.1</v>
      </c>
    </row>
    <row r="1192" spans="2:10">
      <c r="B1192" s="90">
        <v>52511.199999999997</v>
      </c>
      <c r="C1192" s="90">
        <v>1168.7999999998938</v>
      </c>
      <c r="D1192" s="90">
        <v>52626.1</v>
      </c>
      <c r="E1192" s="90">
        <v>1168.8999999998937</v>
      </c>
      <c r="G1192" s="66">
        <v>1168.8999999998937</v>
      </c>
      <c r="H1192" s="66">
        <v>52626.1</v>
      </c>
      <c r="I1192" s="66">
        <v>1168.9999999998936</v>
      </c>
      <c r="J1192" s="66">
        <v>52741</v>
      </c>
    </row>
    <row r="1193" spans="2:10">
      <c r="B1193" s="90">
        <v>52626.1</v>
      </c>
      <c r="C1193" s="90">
        <v>1168.8999999998937</v>
      </c>
      <c r="D1193" s="90">
        <v>52741</v>
      </c>
      <c r="E1193" s="90">
        <v>1168.9999999998936</v>
      </c>
      <c r="G1193" s="66">
        <v>1168.9999999998936</v>
      </c>
      <c r="H1193" s="66">
        <v>52741</v>
      </c>
      <c r="I1193" s="66">
        <v>1169.0999999998935</v>
      </c>
      <c r="J1193" s="66">
        <v>52857.1</v>
      </c>
    </row>
    <row r="1194" spans="2:10">
      <c r="B1194" s="90">
        <v>52741</v>
      </c>
      <c r="C1194" s="90">
        <v>1168.9999999998936</v>
      </c>
      <c r="D1194" s="90">
        <v>52857.1</v>
      </c>
      <c r="E1194" s="90">
        <v>1169.0999999998935</v>
      </c>
      <c r="G1194" s="66">
        <v>1169.0999999998935</v>
      </c>
      <c r="H1194" s="66">
        <v>52857.1</v>
      </c>
      <c r="I1194" s="66">
        <v>1169.1999999998934</v>
      </c>
      <c r="J1194" s="66">
        <v>52973.2</v>
      </c>
    </row>
    <row r="1195" spans="2:10">
      <c r="B1195" s="90">
        <v>52857.1</v>
      </c>
      <c r="C1195" s="90">
        <v>1169.0999999998935</v>
      </c>
      <c r="D1195" s="90">
        <v>52973.2</v>
      </c>
      <c r="E1195" s="90">
        <v>1169.1999999998934</v>
      </c>
      <c r="G1195" s="66">
        <v>1169.1999999998934</v>
      </c>
      <c r="H1195" s="66">
        <v>52973.2</v>
      </c>
      <c r="I1195" s="66">
        <v>1169.2999999998933</v>
      </c>
      <c r="J1195" s="66">
        <v>53089.3</v>
      </c>
    </row>
    <row r="1196" spans="2:10">
      <c r="B1196" s="90">
        <v>52973.2</v>
      </c>
      <c r="C1196" s="90">
        <v>1169.1999999998934</v>
      </c>
      <c r="D1196" s="90">
        <v>53089.3</v>
      </c>
      <c r="E1196" s="90">
        <v>1169.2999999998933</v>
      </c>
      <c r="G1196" s="66">
        <v>1169.2999999998933</v>
      </c>
      <c r="H1196" s="66">
        <v>53089.3</v>
      </c>
      <c r="I1196" s="66">
        <v>1169.3999999998932</v>
      </c>
      <c r="J1196" s="66">
        <v>53205.4</v>
      </c>
    </row>
    <row r="1197" spans="2:10">
      <c r="B1197" s="90">
        <v>53089.3</v>
      </c>
      <c r="C1197" s="90">
        <v>1169.2999999998933</v>
      </c>
      <c r="D1197" s="90">
        <v>53205.4</v>
      </c>
      <c r="E1197" s="90">
        <v>1169.3999999998932</v>
      </c>
      <c r="G1197" s="66">
        <v>1169.3999999998932</v>
      </c>
      <c r="H1197" s="66">
        <v>53205.4</v>
      </c>
      <c r="I1197" s="66">
        <v>1169.4999999998931</v>
      </c>
      <c r="J1197" s="66">
        <v>53321.5</v>
      </c>
    </row>
    <row r="1198" spans="2:10">
      <c r="B1198" s="90">
        <v>53205.4</v>
      </c>
      <c r="C1198" s="90">
        <v>1169.3999999998932</v>
      </c>
      <c r="D1198" s="90">
        <v>53321.5</v>
      </c>
      <c r="E1198" s="90">
        <v>1169.4999999998931</v>
      </c>
      <c r="G1198" s="66">
        <v>1169.4999999998931</v>
      </c>
      <c r="H1198" s="66">
        <v>53321.5</v>
      </c>
      <c r="I1198" s="66">
        <v>1169.599999999893</v>
      </c>
      <c r="J1198" s="66">
        <v>53437.599999999999</v>
      </c>
    </row>
    <row r="1199" spans="2:10">
      <c r="B1199" s="90">
        <v>53321.5</v>
      </c>
      <c r="C1199" s="90">
        <v>1169.4999999998931</v>
      </c>
      <c r="D1199" s="90">
        <v>53437.599999999999</v>
      </c>
      <c r="E1199" s="90">
        <v>1169.599999999893</v>
      </c>
      <c r="G1199" s="66">
        <v>1169.599999999893</v>
      </c>
      <c r="H1199" s="66">
        <v>53437.599999999999</v>
      </c>
      <c r="I1199" s="66">
        <v>1169.699999999893</v>
      </c>
      <c r="J1199" s="66">
        <v>53553.7</v>
      </c>
    </row>
    <row r="1200" spans="2:10">
      <c r="B1200" s="90">
        <v>53437.599999999999</v>
      </c>
      <c r="C1200" s="90">
        <v>1169.599999999893</v>
      </c>
      <c r="D1200" s="90">
        <v>53553.7</v>
      </c>
      <c r="E1200" s="90">
        <v>1169.699999999893</v>
      </c>
      <c r="G1200" s="66">
        <v>1169.699999999893</v>
      </c>
      <c r="H1200" s="66">
        <v>53553.7</v>
      </c>
      <c r="I1200" s="66">
        <v>1169.7999999998929</v>
      </c>
      <c r="J1200" s="66">
        <v>53669.8</v>
      </c>
    </row>
    <row r="1201" spans="2:10">
      <c r="B1201" s="90">
        <v>53553.7</v>
      </c>
      <c r="C1201" s="90">
        <v>1169.699999999893</v>
      </c>
      <c r="D1201" s="90">
        <v>53669.8</v>
      </c>
      <c r="E1201" s="90">
        <v>1169.7999999998929</v>
      </c>
      <c r="G1201" s="66">
        <v>1169.7999999998929</v>
      </c>
      <c r="H1201" s="66">
        <v>53669.8</v>
      </c>
      <c r="I1201" s="66">
        <v>1169.8999999998928</v>
      </c>
      <c r="J1201" s="66">
        <v>53785.9</v>
      </c>
    </row>
    <row r="1202" spans="2:10">
      <c r="B1202" s="90">
        <v>53669.8</v>
      </c>
      <c r="C1202" s="90">
        <v>1169.7999999998929</v>
      </c>
      <c r="D1202" s="90">
        <v>53785.9</v>
      </c>
      <c r="E1202" s="90">
        <v>1169.8999999998928</v>
      </c>
      <c r="G1202" s="66">
        <v>1169.8999999998928</v>
      </c>
      <c r="H1202" s="66">
        <v>53785.9</v>
      </c>
      <c r="I1202" s="66">
        <v>1169.9999999998927</v>
      </c>
      <c r="J1202" s="66">
        <v>53902</v>
      </c>
    </row>
    <row r="1203" spans="2:10">
      <c r="B1203" s="90">
        <v>53785.9</v>
      </c>
      <c r="C1203" s="90">
        <v>1169.8999999998928</v>
      </c>
      <c r="D1203" s="90">
        <v>53902</v>
      </c>
      <c r="E1203" s="90">
        <v>1169.9999999998927</v>
      </c>
      <c r="G1203" s="66">
        <v>1169.9999999998927</v>
      </c>
      <c r="H1203" s="66">
        <v>53902</v>
      </c>
      <c r="I1203" s="66">
        <v>1170.0999999998926</v>
      </c>
      <c r="J1203" s="66">
        <v>54019.3</v>
      </c>
    </row>
    <row r="1204" spans="2:10">
      <c r="B1204" s="90">
        <v>53902</v>
      </c>
      <c r="C1204" s="90">
        <v>1169.9999999998927</v>
      </c>
      <c r="D1204" s="90">
        <v>54019.3</v>
      </c>
      <c r="E1204" s="90">
        <v>1170.0999999998926</v>
      </c>
      <c r="G1204" s="66">
        <v>1170.0999999998926</v>
      </c>
      <c r="H1204" s="66">
        <v>54019.3</v>
      </c>
      <c r="I1204" s="66">
        <v>1170.1999999998925</v>
      </c>
      <c r="J1204" s="66">
        <v>54136.6</v>
      </c>
    </row>
    <row r="1205" spans="2:10">
      <c r="B1205" s="90">
        <v>54019.3</v>
      </c>
      <c r="C1205" s="90">
        <v>1170.0999999998926</v>
      </c>
      <c r="D1205" s="90">
        <v>54136.6</v>
      </c>
      <c r="E1205" s="90">
        <v>1170.1999999998925</v>
      </c>
      <c r="G1205" s="66">
        <v>1170.1999999998925</v>
      </c>
      <c r="H1205" s="66">
        <v>54136.6</v>
      </c>
      <c r="I1205" s="66">
        <v>1170.2999999998924</v>
      </c>
      <c r="J1205" s="66">
        <v>54253.9</v>
      </c>
    </row>
    <row r="1206" spans="2:10">
      <c r="B1206" s="90">
        <v>54136.6</v>
      </c>
      <c r="C1206" s="90">
        <v>1170.1999999998925</v>
      </c>
      <c r="D1206" s="90">
        <v>54253.9</v>
      </c>
      <c r="E1206" s="90">
        <v>1170.2999999998924</v>
      </c>
      <c r="G1206" s="66">
        <v>1170.2999999998924</v>
      </c>
      <c r="H1206" s="66">
        <v>54253.9</v>
      </c>
      <c r="I1206" s="66">
        <v>1170.3999999998923</v>
      </c>
      <c r="J1206" s="66">
        <v>54371.199999999997</v>
      </c>
    </row>
    <row r="1207" spans="2:10">
      <c r="B1207" s="90">
        <v>54253.9</v>
      </c>
      <c r="C1207" s="90">
        <v>1170.2999999998924</v>
      </c>
      <c r="D1207" s="90">
        <v>54371.199999999997</v>
      </c>
      <c r="E1207" s="90">
        <v>1170.3999999998923</v>
      </c>
      <c r="G1207" s="66">
        <v>1170.3999999998923</v>
      </c>
      <c r="H1207" s="66">
        <v>54371.199999999997</v>
      </c>
      <c r="I1207" s="66">
        <v>1170.4999999998922</v>
      </c>
      <c r="J1207" s="66">
        <v>54488.5</v>
      </c>
    </row>
    <row r="1208" spans="2:10">
      <c r="B1208" s="90">
        <v>54371.199999999997</v>
      </c>
      <c r="C1208" s="90">
        <v>1170.3999999998923</v>
      </c>
      <c r="D1208" s="90">
        <v>54488.5</v>
      </c>
      <c r="E1208" s="90">
        <v>1170.4999999998922</v>
      </c>
      <c r="G1208" s="66">
        <v>1170.4999999998922</v>
      </c>
      <c r="H1208" s="66">
        <v>54488.5</v>
      </c>
      <c r="I1208" s="66">
        <v>1170.5999999998921</v>
      </c>
      <c r="J1208" s="66">
        <v>54605.8</v>
      </c>
    </row>
    <row r="1209" spans="2:10">
      <c r="B1209" s="90">
        <v>54488.5</v>
      </c>
      <c r="C1209" s="90">
        <v>1170.4999999998922</v>
      </c>
      <c r="D1209" s="90">
        <v>54605.8</v>
      </c>
      <c r="E1209" s="90">
        <v>1170.5999999998921</v>
      </c>
      <c r="G1209" s="66">
        <v>1170.5999999998921</v>
      </c>
      <c r="H1209" s="66">
        <v>54605.8</v>
      </c>
      <c r="I1209" s="66">
        <v>1170.699999999892</v>
      </c>
      <c r="J1209" s="66">
        <v>54723.1</v>
      </c>
    </row>
    <row r="1210" spans="2:10">
      <c r="B1210" s="90">
        <v>54605.8</v>
      </c>
      <c r="C1210" s="90">
        <v>1170.5999999998921</v>
      </c>
      <c r="D1210" s="90">
        <v>54723.1</v>
      </c>
      <c r="E1210" s="90">
        <v>1170.699999999892</v>
      </c>
      <c r="G1210" s="66">
        <v>1170.699999999892</v>
      </c>
      <c r="H1210" s="66">
        <v>54723.1</v>
      </c>
      <c r="I1210" s="66">
        <v>1170.799999999892</v>
      </c>
      <c r="J1210" s="66">
        <v>54840.4</v>
      </c>
    </row>
    <row r="1211" spans="2:10">
      <c r="B1211" s="90">
        <v>54723.1</v>
      </c>
      <c r="C1211" s="90">
        <v>1170.699999999892</v>
      </c>
      <c r="D1211" s="90">
        <v>54840.4</v>
      </c>
      <c r="E1211" s="90">
        <v>1170.799999999892</v>
      </c>
      <c r="G1211" s="66">
        <v>1170.799999999892</v>
      </c>
      <c r="H1211" s="66">
        <v>54840.4</v>
      </c>
      <c r="I1211" s="66">
        <v>1170.8999999998919</v>
      </c>
      <c r="J1211" s="66">
        <v>54957.7</v>
      </c>
    </row>
    <row r="1212" spans="2:10">
      <c r="B1212" s="90">
        <v>54840.4</v>
      </c>
      <c r="C1212" s="90">
        <v>1170.799999999892</v>
      </c>
      <c r="D1212" s="90">
        <v>54957.7</v>
      </c>
      <c r="E1212" s="90">
        <v>1170.8999999998919</v>
      </c>
      <c r="G1212" s="66">
        <v>1170.8999999998919</v>
      </c>
      <c r="H1212" s="66">
        <v>54957.7</v>
      </c>
      <c r="I1212" s="66">
        <v>1170.9999999998918</v>
      </c>
      <c r="J1212" s="66">
        <v>55075</v>
      </c>
    </row>
    <row r="1213" spans="2:10">
      <c r="B1213" s="90">
        <v>54957.7</v>
      </c>
      <c r="C1213" s="90">
        <v>1170.8999999998919</v>
      </c>
      <c r="D1213" s="90">
        <v>55075</v>
      </c>
      <c r="E1213" s="90">
        <v>1170.9999999998918</v>
      </c>
      <c r="G1213" s="66">
        <v>1170.9999999998918</v>
      </c>
      <c r="H1213" s="66">
        <v>55075</v>
      </c>
      <c r="I1213" s="66">
        <v>1171.0999999998917</v>
      </c>
      <c r="J1213" s="66">
        <v>55193.4</v>
      </c>
    </row>
    <row r="1214" spans="2:10">
      <c r="B1214" s="90">
        <v>55075</v>
      </c>
      <c r="C1214" s="90">
        <v>1170.9999999998918</v>
      </c>
      <c r="D1214" s="90">
        <v>55193.4</v>
      </c>
      <c r="E1214" s="90">
        <v>1171.0999999998917</v>
      </c>
      <c r="G1214" s="66">
        <v>1171.0999999998917</v>
      </c>
      <c r="H1214" s="66">
        <v>55193.4</v>
      </c>
      <c r="I1214" s="66">
        <v>1171.1999999998916</v>
      </c>
      <c r="J1214" s="66">
        <v>55311.8</v>
      </c>
    </row>
    <row r="1215" spans="2:10">
      <c r="B1215" s="90">
        <v>55193.4</v>
      </c>
      <c r="C1215" s="90">
        <v>1171.0999999998917</v>
      </c>
      <c r="D1215" s="90">
        <v>55311.8</v>
      </c>
      <c r="E1215" s="90">
        <v>1171.1999999998916</v>
      </c>
      <c r="G1215" s="66">
        <v>1171.1999999998916</v>
      </c>
      <c r="H1215" s="66">
        <v>55311.8</v>
      </c>
      <c r="I1215" s="66">
        <v>1171.2999999998915</v>
      </c>
      <c r="J1215" s="66">
        <v>55430.2</v>
      </c>
    </row>
    <row r="1216" spans="2:10">
      <c r="B1216" s="90">
        <v>55311.8</v>
      </c>
      <c r="C1216" s="90">
        <v>1171.1999999998916</v>
      </c>
      <c r="D1216" s="90">
        <v>55430.2</v>
      </c>
      <c r="E1216" s="90">
        <v>1171.2999999998915</v>
      </c>
      <c r="G1216" s="66">
        <v>1171.2999999998915</v>
      </c>
      <c r="H1216" s="66">
        <v>55430.2</v>
      </c>
      <c r="I1216" s="66">
        <v>1171.3999999998914</v>
      </c>
      <c r="J1216" s="66">
        <v>55548.6</v>
      </c>
    </row>
    <row r="1217" spans="2:10">
      <c r="B1217" s="90">
        <v>55430.2</v>
      </c>
      <c r="C1217" s="90">
        <v>1171.2999999998915</v>
      </c>
      <c r="D1217" s="90">
        <v>55548.6</v>
      </c>
      <c r="E1217" s="90">
        <v>1171.3999999998914</v>
      </c>
      <c r="G1217" s="66">
        <v>1171.3999999998914</v>
      </c>
      <c r="H1217" s="66">
        <v>55548.6</v>
      </c>
      <c r="I1217" s="66">
        <v>1171.4999999998913</v>
      </c>
      <c r="J1217" s="66">
        <v>55667</v>
      </c>
    </row>
    <row r="1218" spans="2:10">
      <c r="B1218" s="90">
        <v>55548.6</v>
      </c>
      <c r="C1218" s="90">
        <v>1171.3999999998914</v>
      </c>
      <c r="D1218" s="90">
        <v>55667</v>
      </c>
      <c r="E1218" s="90">
        <v>1171.4999999998913</v>
      </c>
      <c r="G1218" s="66">
        <v>1171.4999999998913</v>
      </c>
      <c r="H1218" s="66">
        <v>55667</v>
      </c>
      <c r="I1218" s="66">
        <v>1171.5999999998912</v>
      </c>
      <c r="J1218" s="66">
        <v>55785.4</v>
      </c>
    </row>
    <row r="1219" spans="2:10">
      <c r="B1219" s="90">
        <v>55667</v>
      </c>
      <c r="C1219" s="90">
        <v>1171.4999999998913</v>
      </c>
      <c r="D1219" s="90">
        <v>55785.4</v>
      </c>
      <c r="E1219" s="90">
        <v>1171.5999999998912</v>
      </c>
      <c r="G1219" s="66">
        <v>1171.5999999998912</v>
      </c>
      <c r="H1219" s="66">
        <v>55785.4</v>
      </c>
      <c r="I1219" s="66">
        <v>1171.6999999998911</v>
      </c>
      <c r="J1219" s="66">
        <v>55903.8</v>
      </c>
    </row>
    <row r="1220" spans="2:10">
      <c r="B1220" s="90">
        <v>55785.4</v>
      </c>
      <c r="C1220" s="90">
        <v>1171.5999999998912</v>
      </c>
      <c r="D1220" s="90">
        <v>55903.8</v>
      </c>
      <c r="E1220" s="90">
        <v>1171.6999999998911</v>
      </c>
      <c r="G1220" s="66">
        <v>1171.6999999998911</v>
      </c>
      <c r="H1220" s="66">
        <v>55903.8</v>
      </c>
      <c r="I1220" s="66">
        <v>1171.799999999891</v>
      </c>
      <c r="J1220" s="66">
        <v>56022.2</v>
      </c>
    </row>
    <row r="1221" spans="2:10">
      <c r="B1221" s="90">
        <v>55903.8</v>
      </c>
      <c r="C1221" s="90">
        <v>1171.6999999998911</v>
      </c>
      <c r="D1221" s="90">
        <v>56022.2</v>
      </c>
      <c r="E1221" s="90">
        <v>1171.799999999891</v>
      </c>
      <c r="G1221" s="66">
        <v>1171.799999999891</v>
      </c>
      <c r="H1221" s="66">
        <v>56022.2</v>
      </c>
      <c r="I1221" s="66">
        <v>1171.899999999891</v>
      </c>
      <c r="J1221" s="66">
        <v>56140.6</v>
      </c>
    </row>
    <row r="1222" spans="2:10">
      <c r="B1222" s="90">
        <v>56022.2</v>
      </c>
      <c r="C1222" s="90">
        <v>1171.799999999891</v>
      </c>
      <c r="D1222" s="90">
        <v>56140.6</v>
      </c>
      <c r="E1222" s="90">
        <v>1171.899999999891</v>
      </c>
      <c r="G1222" s="66">
        <v>1171.899999999891</v>
      </c>
      <c r="H1222" s="66">
        <v>56140.6</v>
      </c>
      <c r="I1222" s="66">
        <v>1171.9999999998909</v>
      </c>
      <c r="J1222" s="66">
        <v>56259</v>
      </c>
    </row>
    <row r="1223" spans="2:10">
      <c r="B1223" s="90">
        <v>56140.6</v>
      </c>
      <c r="C1223" s="90">
        <v>1171.899999999891</v>
      </c>
      <c r="D1223" s="90">
        <v>56259</v>
      </c>
      <c r="E1223" s="90">
        <v>1171.9999999998909</v>
      </c>
      <c r="G1223" s="66">
        <v>1171.9999999998909</v>
      </c>
      <c r="H1223" s="66">
        <v>56259</v>
      </c>
      <c r="I1223" s="66">
        <v>1172.0999999998908</v>
      </c>
      <c r="J1223" s="66">
        <v>56378.5</v>
      </c>
    </row>
    <row r="1224" spans="2:10">
      <c r="B1224" s="90">
        <v>56259</v>
      </c>
      <c r="C1224" s="90">
        <v>1171.9999999998909</v>
      </c>
      <c r="D1224" s="90">
        <v>56378.5</v>
      </c>
      <c r="E1224" s="90">
        <v>1172.0999999998908</v>
      </c>
      <c r="G1224" s="66">
        <v>1172.0999999998908</v>
      </c>
      <c r="H1224" s="66">
        <v>56378.5</v>
      </c>
      <c r="I1224" s="66">
        <v>1172.1999999998907</v>
      </c>
      <c r="J1224" s="66">
        <v>56498</v>
      </c>
    </row>
    <row r="1225" spans="2:10">
      <c r="B1225" s="90">
        <v>56378.5</v>
      </c>
      <c r="C1225" s="90">
        <v>1172.0999999998908</v>
      </c>
      <c r="D1225" s="90">
        <v>56498</v>
      </c>
      <c r="E1225" s="90">
        <v>1172.1999999998907</v>
      </c>
      <c r="G1225" s="66">
        <v>1172.1999999998907</v>
      </c>
      <c r="H1225" s="66">
        <v>56498</v>
      </c>
      <c r="I1225" s="66">
        <v>1172.2999999998906</v>
      </c>
      <c r="J1225" s="66">
        <v>56617.5</v>
      </c>
    </row>
    <row r="1226" spans="2:10">
      <c r="B1226" s="90">
        <v>56498</v>
      </c>
      <c r="C1226" s="90">
        <v>1172.1999999998907</v>
      </c>
      <c r="D1226" s="90">
        <v>56617.5</v>
      </c>
      <c r="E1226" s="90">
        <v>1172.2999999998906</v>
      </c>
      <c r="G1226" s="66">
        <v>1172.2999999998906</v>
      </c>
      <c r="H1226" s="66">
        <v>56617.5</v>
      </c>
      <c r="I1226" s="66">
        <v>1172.3999999998905</v>
      </c>
      <c r="J1226" s="66">
        <v>56737</v>
      </c>
    </row>
    <row r="1227" spans="2:10">
      <c r="B1227" s="90">
        <v>56617.5</v>
      </c>
      <c r="C1227" s="90">
        <v>1172.2999999998906</v>
      </c>
      <c r="D1227" s="90">
        <v>56737</v>
      </c>
      <c r="E1227" s="90">
        <v>1172.3999999998905</v>
      </c>
      <c r="G1227" s="66">
        <v>1172.3999999998905</v>
      </c>
      <c r="H1227" s="66">
        <v>56737</v>
      </c>
      <c r="I1227" s="66">
        <v>1172.4999999998904</v>
      </c>
      <c r="J1227" s="66">
        <v>56856.5</v>
      </c>
    </row>
    <row r="1228" spans="2:10">
      <c r="B1228" s="90">
        <v>56737</v>
      </c>
      <c r="C1228" s="90">
        <v>1172.3999999998905</v>
      </c>
      <c r="D1228" s="90">
        <v>56856.5</v>
      </c>
      <c r="E1228" s="90">
        <v>1172.4999999998904</v>
      </c>
      <c r="G1228" s="66">
        <v>1172.4999999998904</v>
      </c>
      <c r="H1228" s="66">
        <v>56856.5</v>
      </c>
      <c r="I1228" s="66">
        <v>1172.5999999998903</v>
      </c>
      <c r="J1228" s="66">
        <v>56976</v>
      </c>
    </row>
    <row r="1229" spans="2:10">
      <c r="B1229" s="90">
        <v>56856.5</v>
      </c>
      <c r="C1229" s="90">
        <v>1172.4999999998904</v>
      </c>
      <c r="D1229" s="90">
        <v>56976</v>
      </c>
      <c r="E1229" s="90">
        <v>1172.5999999998903</v>
      </c>
      <c r="G1229" s="66">
        <v>1172.5999999998903</v>
      </c>
      <c r="H1229" s="66">
        <v>56976</v>
      </c>
      <c r="I1229" s="66">
        <v>1172.6999999998902</v>
      </c>
      <c r="J1229" s="66">
        <v>57095.5</v>
      </c>
    </row>
    <row r="1230" spans="2:10">
      <c r="B1230" s="90">
        <v>56976</v>
      </c>
      <c r="C1230" s="90">
        <v>1172.5999999998903</v>
      </c>
      <c r="D1230" s="90">
        <v>57095.5</v>
      </c>
      <c r="E1230" s="90">
        <v>1172.6999999998902</v>
      </c>
      <c r="G1230" s="66">
        <v>1172.6999999998902</v>
      </c>
      <c r="H1230" s="66">
        <v>57095.5</v>
      </c>
      <c r="I1230" s="66">
        <v>1172.7999999998901</v>
      </c>
      <c r="J1230" s="66">
        <v>57215</v>
      </c>
    </row>
    <row r="1231" spans="2:10">
      <c r="B1231" s="90">
        <v>57095.5</v>
      </c>
      <c r="C1231" s="90">
        <v>1172.6999999998902</v>
      </c>
      <c r="D1231" s="90">
        <v>57215</v>
      </c>
      <c r="E1231" s="90">
        <v>1172.7999999998901</v>
      </c>
      <c r="G1231" s="66">
        <v>1172.7999999998901</v>
      </c>
      <c r="H1231" s="66">
        <v>57215</v>
      </c>
      <c r="I1231" s="66">
        <v>1172.89999999989</v>
      </c>
      <c r="J1231" s="66">
        <v>57334.5</v>
      </c>
    </row>
    <row r="1232" spans="2:10">
      <c r="B1232" s="90">
        <v>57215</v>
      </c>
      <c r="C1232" s="90">
        <v>1172.7999999998901</v>
      </c>
      <c r="D1232" s="90">
        <v>57334.5</v>
      </c>
      <c r="E1232" s="90">
        <v>1172.89999999989</v>
      </c>
      <c r="G1232" s="66">
        <v>1172.89999999989</v>
      </c>
      <c r="H1232" s="66">
        <v>57334.5</v>
      </c>
      <c r="I1232" s="66">
        <v>1172.99999999989</v>
      </c>
      <c r="J1232" s="66">
        <v>57454</v>
      </c>
    </row>
    <row r="1233" spans="2:10">
      <c r="B1233" s="90">
        <v>57334.5</v>
      </c>
      <c r="C1233" s="90">
        <v>1172.89999999989</v>
      </c>
      <c r="D1233" s="90">
        <v>57454</v>
      </c>
      <c r="E1233" s="90">
        <v>1172.99999999989</v>
      </c>
      <c r="G1233" s="66">
        <v>1172.99999999989</v>
      </c>
      <c r="H1233" s="66">
        <v>57454</v>
      </c>
      <c r="I1233" s="66">
        <v>1173.0999999998899</v>
      </c>
      <c r="J1233" s="66">
        <v>57574.8</v>
      </c>
    </row>
    <row r="1234" spans="2:10">
      <c r="B1234" s="90">
        <v>57454</v>
      </c>
      <c r="C1234" s="90">
        <v>1172.99999999989</v>
      </c>
      <c r="D1234" s="90">
        <v>57574.8</v>
      </c>
      <c r="E1234" s="90">
        <v>1173.0999999998899</v>
      </c>
      <c r="G1234" s="66">
        <v>1173.0999999998899</v>
      </c>
      <c r="H1234" s="66">
        <v>57574.8</v>
      </c>
      <c r="I1234" s="66">
        <v>1173.1999999998898</v>
      </c>
      <c r="J1234" s="66">
        <v>57695.6</v>
      </c>
    </row>
    <row r="1235" spans="2:10">
      <c r="B1235" s="90">
        <v>57574.8</v>
      </c>
      <c r="C1235" s="90">
        <v>1173.0999999998899</v>
      </c>
      <c r="D1235" s="90">
        <v>57695.6</v>
      </c>
      <c r="E1235" s="90">
        <v>1173.1999999998898</v>
      </c>
      <c r="G1235" s="66">
        <v>1173.1999999998898</v>
      </c>
      <c r="H1235" s="66">
        <v>57695.6</v>
      </c>
      <c r="I1235" s="66">
        <v>1173.2999999998897</v>
      </c>
      <c r="J1235" s="66">
        <v>57816.4</v>
      </c>
    </row>
    <row r="1236" spans="2:10">
      <c r="B1236" s="90">
        <v>57695.6</v>
      </c>
      <c r="C1236" s="90">
        <v>1173.1999999998898</v>
      </c>
      <c r="D1236" s="90">
        <v>57816.4</v>
      </c>
      <c r="E1236" s="90">
        <v>1173.2999999998897</v>
      </c>
      <c r="G1236" s="66">
        <v>1173.2999999998897</v>
      </c>
      <c r="H1236" s="66">
        <v>57816.4</v>
      </c>
      <c r="I1236" s="66">
        <v>1173.3999999998896</v>
      </c>
      <c r="J1236" s="66">
        <v>57937.2</v>
      </c>
    </row>
    <row r="1237" spans="2:10">
      <c r="B1237" s="90">
        <v>57816.4</v>
      </c>
      <c r="C1237" s="90">
        <v>1173.2999999998897</v>
      </c>
      <c r="D1237" s="90">
        <v>57937.2</v>
      </c>
      <c r="E1237" s="90">
        <v>1173.3999999998896</v>
      </c>
      <c r="G1237" s="66">
        <v>1173.3999999998896</v>
      </c>
      <c r="H1237" s="66">
        <v>57937.2</v>
      </c>
      <c r="I1237" s="66">
        <v>1173.4999999998895</v>
      </c>
      <c r="J1237" s="66">
        <v>58058</v>
      </c>
    </row>
    <row r="1238" spans="2:10">
      <c r="B1238" s="90">
        <v>57937.2</v>
      </c>
      <c r="C1238" s="90">
        <v>1173.3999999998896</v>
      </c>
      <c r="D1238" s="90">
        <v>58058</v>
      </c>
      <c r="E1238" s="90">
        <v>1173.4999999998895</v>
      </c>
      <c r="G1238" s="66">
        <v>1173.4999999998895</v>
      </c>
      <c r="H1238" s="66">
        <v>58058</v>
      </c>
      <c r="I1238" s="66">
        <v>1173.5999999998894</v>
      </c>
      <c r="J1238" s="66">
        <v>58178.8</v>
      </c>
    </row>
    <row r="1239" spans="2:10">
      <c r="B1239" s="90">
        <v>58058</v>
      </c>
      <c r="C1239" s="90">
        <v>1173.4999999998895</v>
      </c>
      <c r="D1239" s="90">
        <v>58178.8</v>
      </c>
      <c r="E1239" s="90">
        <v>1173.5999999998894</v>
      </c>
      <c r="G1239" s="66">
        <v>1173.5999999998894</v>
      </c>
      <c r="H1239" s="66">
        <v>58178.8</v>
      </c>
      <c r="I1239" s="66">
        <v>1173.6999999998893</v>
      </c>
      <c r="J1239" s="66">
        <v>58299.6</v>
      </c>
    </row>
    <row r="1240" spans="2:10">
      <c r="B1240" s="90">
        <v>58178.8</v>
      </c>
      <c r="C1240" s="90">
        <v>1173.5999999998894</v>
      </c>
      <c r="D1240" s="90">
        <v>58299.6</v>
      </c>
      <c r="E1240" s="90">
        <v>1173.6999999998893</v>
      </c>
      <c r="G1240" s="66">
        <v>1173.6999999998893</v>
      </c>
      <c r="H1240" s="66">
        <v>58299.6</v>
      </c>
      <c r="I1240" s="66">
        <v>1173.7999999998892</v>
      </c>
      <c r="J1240" s="66">
        <v>58420.4</v>
      </c>
    </row>
    <row r="1241" spans="2:10">
      <c r="B1241" s="90">
        <v>58299.6</v>
      </c>
      <c r="C1241" s="90">
        <v>1173.6999999998893</v>
      </c>
      <c r="D1241" s="90">
        <v>58420.4</v>
      </c>
      <c r="E1241" s="90">
        <v>1173.7999999998892</v>
      </c>
      <c r="G1241" s="66">
        <v>1173.7999999998892</v>
      </c>
      <c r="H1241" s="66">
        <v>58420.4</v>
      </c>
      <c r="I1241" s="66">
        <v>1173.8999999998891</v>
      </c>
      <c r="J1241" s="66">
        <v>58541.2</v>
      </c>
    </row>
    <row r="1242" spans="2:10">
      <c r="B1242" s="90">
        <v>58420.4</v>
      </c>
      <c r="C1242" s="90">
        <v>1173.7999999998892</v>
      </c>
      <c r="D1242" s="90">
        <v>58541.2</v>
      </c>
      <c r="E1242" s="90">
        <v>1173.8999999998891</v>
      </c>
      <c r="G1242" s="66">
        <v>1173.8999999998891</v>
      </c>
      <c r="H1242" s="66">
        <v>58541.2</v>
      </c>
      <c r="I1242" s="66">
        <v>1173.999999999889</v>
      </c>
      <c r="J1242" s="66">
        <v>58662</v>
      </c>
    </row>
    <row r="1243" spans="2:10">
      <c r="B1243" s="90">
        <v>58541.2</v>
      </c>
      <c r="C1243" s="90">
        <v>1173.8999999998891</v>
      </c>
      <c r="D1243" s="90">
        <v>58662</v>
      </c>
      <c r="E1243" s="90">
        <v>1173.999999999889</v>
      </c>
      <c r="G1243" s="66">
        <v>1173.999999999889</v>
      </c>
      <c r="H1243" s="66">
        <v>58662</v>
      </c>
      <c r="I1243" s="66">
        <v>1174.099999999889</v>
      </c>
      <c r="J1243" s="66">
        <v>58783.9</v>
      </c>
    </row>
    <row r="1244" spans="2:10">
      <c r="B1244" s="90">
        <v>58662</v>
      </c>
      <c r="C1244" s="90">
        <v>1173.999999999889</v>
      </c>
      <c r="D1244" s="90">
        <v>58783.9</v>
      </c>
      <c r="E1244" s="90">
        <v>1174.099999999889</v>
      </c>
      <c r="G1244" s="66">
        <v>1174.099999999889</v>
      </c>
      <c r="H1244" s="66">
        <v>58783.9</v>
      </c>
      <c r="I1244" s="66">
        <v>1174.1999999998889</v>
      </c>
      <c r="J1244" s="66">
        <v>58905.8</v>
      </c>
    </row>
    <row r="1245" spans="2:10">
      <c r="B1245" s="90">
        <v>58783.9</v>
      </c>
      <c r="C1245" s="90">
        <v>1174.099999999889</v>
      </c>
      <c r="D1245" s="90">
        <v>58905.8</v>
      </c>
      <c r="E1245" s="90">
        <v>1174.1999999998889</v>
      </c>
      <c r="G1245" s="66">
        <v>1174.1999999998889</v>
      </c>
      <c r="H1245" s="66">
        <v>58905.8</v>
      </c>
      <c r="I1245" s="66">
        <v>1174.2999999998888</v>
      </c>
      <c r="J1245" s="66">
        <v>59027.7</v>
      </c>
    </row>
    <row r="1246" spans="2:10">
      <c r="B1246" s="90">
        <v>58905.8</v>
      </c>
      <c r="C1246" s="90">
        <v>1174.1999999998889</v>
      </c>
      <c r="D1246" s="90">
        <v>59027.7</v>
      </c>
      <c r="E1246" s="90">
        <v>1174.2999999998888</v>
      </c>
      <c r="G1246" s="66">
        <v>1174.2999999998888</v>
      </c>
      <c r="H1246" s="66">
        <v>59027.7</v>
      </c>
      <c r="I1246" s="66">
        <v>1174.3999999998887</v>
      </c>
      <c r="J1246" s="66">
        <v>59149.599999999999</v>
      </c>
    </row>
    <row r="1247" spans="2:10">
      <c r="B1247" s="90">
        <v>59027.7</v>
      </c>
      <c r="C1247" s="90">
        <v>1174.2999999998888</v>
      </c>
      <c r="D1247" s="90">
        <v>59149.599999999999</v>
      </c>
      <c r="E1247" s="90">
        <v>1174.3999999998887</v>
      </c>
      <c r="G1247" s="66">
        <v>1174.3999999998887</v>
      </c>
      <c r="H1247" s="66">
        <v>59149.599999999999</v>
      </c>
      <c r="I1247" s="66">
        <v>1174.4999999998886</v>
      </c>
      <c r="J1247" s="66">
        <v>59271.5</v>
      </c>
    </row>
    <row r="1248" spans="2:10">
      <c r="B1248" s="90">
        <v>59149.599999999999</v>
      </c>
      <c r="C1248" s="90">
        <v>1174.3999999998887</v>
      </c>
      <c r="D1248" s="90">
        <v>59271.5</v>
      </c>
      <c r="E1248" s="90">
        <v>1174.4999999998886</v>
      </c>
      <c r="G1248" s="66">
        <v>1174.4999999998886</v>
      </c>
      <c r="H1248" s="66">
        <v>59271.5</v>
      </c>
      <c r="I1248" s="66">
        <v>1174.5999999998885</v>
      </c>
      <c r="J1248" s="66">
        <v>59393.4</v>
      </c>
    </row>
    <row r="1249" spans="2:10">
      <c r="B1249" s="90">
        <v>59271.5</v>
      </c>
      <c r="C1249" s="90">
        <v>1174.4999999998886</v>
      </c>
      <c r="D1249" s="90">
        <v>59393.4</v>
      </c>
      <c r="E1249" s="90">
        <v>1174.5999999998885</v>
      </c>
      <c r="G1249" s="66">
        <v>1174.5999999998885</v>
      </c>
      <c r="H1249" s="66">
        <v>59393.4</v>
      </c>
      <c r="I1249" s="66">
        <v>1174.6999999998884</v>
      </c>
      <c r="J1249" s="66">
        <v>59515.3</v>
      </c>
    </row>
    <row r="1250" spans="2:10">
      <c r="B1250" s="90">
        <v>59393.4</v>
      </c>
      <c r="C1250" s="90">
        <v>1174.5999999998885</v>
      </c>
      <c r="D1250" s="90">
        <v>59515.3</v>
      </c>
      <c r="E1250" s="90">
        <v>1174.6999999998884</v>
      </c>
      <c r="G1250" s="66">
        <v>1174.6999999998884</v>
      </c>
      <c r="H1250" s="66">
        <v>59515.3</v>
      </c>
      <c r="I1250" s="66">
        <v>1174.7999999998883</v>
      </c>
      <c r="J1250" s="66">
        <v>59637.2</v>
      </c>
    </row>
    <row r="1251" spans="2:10">
      <c r="B1251" s="90">
        <v>59515.3</v>
      </c>
      <c r="C1251" s="90">
        <v>1174.6999999998884</v>
      </c>
      <c r="D1251" s="90">
        <v>59637.2</v>
      </c>
      <c r="E1251" s="90">
        <v>1174.7999999998883</v>
      </c>
      <c r="G1251" s="66">
        <v>1174.7999999998883</v>
      </c>
      <c r="H1251" s="66">
        <v>59637.2</v>
      </c>
      <c r="I1251" s="66">
        <v>1174.8999999998882</v>
      </c>
      <c r="J1251" s="66">
        <v>59759.1</v>
      </c>
    </row>
    <row r="1252" spans="2:10">
      <c r="B1252" s="90">
        <v>59637.2</v>
      </c>
      <c r="C1252" s="90">
        <v>1174.7999999998883</v>
      </c>
      <c r="D1252" s="90">
        <v>59759.1</v>
      </c>
      <c r="E1252" s="90">
        <v>1174.8999999998882</v>
      </c>
      <c r="G1252" s="66">
        <v>1174.8999999998882</v>
      </c>
      <c r="H1252" s="66">
        <v>59759.1</v>
      </c>
      <c r="I1252" s="66">
        <v>1174.9999999998881</v>
      </c>
      <c r="J1252" s="66">
        <v>59881</v>
      </c>
    </row>
    <row r="1253" spans="2:10">
      <c r="B1253" s="90">
        <v>59759.1</v>
      </c>
      <c r="C1253" s="90">
        <v>1174.8999999998882</v>
      </c>
      <c r="D1253" s="90">
        <v>59881</v>
      </c>
      <c r="E1253" s="90">
        <v>1174.9999999998881</v>
      </c>
      <c r="G1253" s="66">
        <v>1174.9999999998881</v>
      </c>
      <c r="H1253" s="66">
        <v>59881</v>
      </c>
      <c r="I1253" s="66">
        <v>1175.099999999888</v>
      </c>
      <c r="J1253" s="66">
        <v>60004.2</v>
      </c>
    </row>
    <row r="1254" spans="2:10">
      <c r="B1254" s="90">
        <v>59881</v>
      </c>
      <c r="C1254" s="90">
        <v>1174.9999999998881</v>
      </c>
      <c r="D1254" s="90">
        <v>60004.2</v>
      </c>
      <c r="E1254" s="90">
        <v>1175.099999999888</v>
      </c>
      <c r="G1254" s="66">
        <v>1175.099999999888</v>
      </c>
      <c r="H1254" s="66">
        <v>60004.2</v>
      </c>
      <c r="I1254" s="66">
        <v>1175.199999999888</v>
      </c>
      <c r="J1254" s="66">
        <v>60127.4</v>
      </c>
    </row>
    <row r="1255" spans="2:10">
      <c r="B1255" s="90">
        <v>60004.2</v>
      </c>
      <c r="C1255" s="90">
        <v>1175.099999999888</v>
      </c>
      <c r="D1255" s="90">
        <v>60127.4</v>
      </c>
      <c r="E1255" s="90">
        <v>1175.199999999888</v>
      </c>
      <c r="G1255" s="66">
        <v>1175.199999999888</v>
      </c>
      <c r="H1255" s="66">
        <v>60127.4</v>
      </c>
      <c r="I1255" s="66">
        <v>1175.2999999998879</v>
      </c>
      <c r="J1255" s="66">
        <v>60250.6</v>
      </c>
    </row>
    <row r="1256" spans="2:10">
      <c r="B1256" s="90">
        <v>60127.4</v>
      </c>
      <c r="C1256" s="90">
        <v>1175.199999999888</v>
      </c>
      <c r="D1256" s="90">
        <v>60250.6</v>
      </c>
      <c r="E1256" s="90">
        <v>1175.2999999998879</v>
      </c>
      <c r="G1256" s="66">
        <v>1175.2999999998879</v>
      </c>
      <c r="H1256" s="66">
        <v>60250.6</v>
      </c>
      <c r="I1256" s="66">
        <v>1175.3999999998878</v>
      </c>
      <c r="J1256" s="66">
        <v>60373.8</v>
      </c>
    </row>
    <row r="1257" spans="2:10">
      <c r="B1257" s="90">
        <v>60250.6</v>
      </c>
      <c r="C1257" s="90">
        <v>1175.2999999998879</v>
      </c>
      <c r="D1257" s="90">
        <v>60373.8</v>
      </c>
      <c r="E1257" s="90">
        <v>1175.3999999998878</v>
      </c>
      <c r="G1257" s="66">
        <v>1175.3999999998878</v>
      </c>
      <c r="H1257" s="66">
        <v>60373.8</v>
      </c>
      <c r="I1257" s="66">
        <v>1175.4999999998877</v>
      </c>
      <c r="J1257" s="66">
        <v>60497</v>
      </c>
    </row>
    <row r="1258" spans="2:10">
      <c r="B1258" s="90">
        <v>60373.8</v>
      </c>
      <c r="C1258" s="90">
        <v>1175.3999999998878</v>
      </c>
      <c r="D1258" s="90">
        <v>60497</v>
      </c>
      <c r="E1258" s="90">
        <v>1175.4999999998877</v>
      </c>
      <c r="G1258" s="66">
        <v>1175.4999999998877</v>
      </c>
      <c r="H1258" s="66">
        <v>60497</v>
      </c>
      <c r="I1258" s="66">
        <v>1175.5999999998876</v>
      </c>
      <c r="J1258" s="66">
        <v>60620.2</v>
      </c>
    </row>
    <row r="1259" spans="2:10">
      <c r="B1259" s="90">
        <v>60497</v>
      </c>
      <c r="C1259" s="90">
        <v>1175.4999999998877</v>
      </c>
      <c r="D1259" s="90">
        <v>60620.2</v>
      </c>
      <c r="E1259" s="90">
        <v>1175.5999999998876</v>
      </c>
      <c r="G1259" s="66">
        <v>1175.5999999998876</v>
      </c>
      <c r="H1259" s="66">
        <v>60620.2</v>
      </c>
      <c r="I1259" s="66">
        <v>1175.6999999998875</v>
      </c>
      <c r="J1259" s="66">
        <v>60743.4</v>
      </c>
    </row>
    <row r="1260" spans="2:10">
      <c r="B1260" s="90">
        <v>60620.2</v>
      </c>
      <c r="C1260" s="90">
        <v>1175.5999999998876</v>
      </c>
      <c r="D1260" s="90">
        <v>60743.4</v>
      </c>
      <c r="E1260" s="90">
        <v>1175.6999999998875</v>
      </c>
      <c r="G1260" s="66">
        <v>1175.6999999998875</v>
      </c>
      <c r="H1260" s="66">
        <v>60743.4</v>
      </c>
      <c r="I1260" s="66">
        <v>1175.7999999998874</v>
      </c>
      <c r="J1260" s="66">
        <v>60866.6</v>
      </c>
    </row>
    <row r="1261" spans="2:10">
      <c r="B1261" s="90">
        <v>60743.4</v>
      </c>
      <c r="C1261" s="90">
        <v>1175.6999999998875</v>
      </c>
      <c r="D1261" s="90">
        <v>60866.6</v>
      </c>
      <c r="E1261" s="90">
        <v>1175.7999999998874</v>
      </c>
      <c r="G1261" s="66">
        <v>1175.7999999998874</v>
      </c>
      <c r="H1261" s="66">
        <v>60866.6</v>
      </c>
      <c r="I1261" s="66">
        <v>1175.8999999998873</v>
      </c>
      <c r="J1261" s="66">
        <v>60989.8</v>
      </c>
    </row>
    <row r="1262" spans="2:10">
      <c r="B1262" s="90">
        <v>60866.6</v>
      </c>
      <c r="C1262" s="90">
        <v>1175.7999999998874</v>
      </c>
      <c r="D1262" s="90">
        <v>60989.8</v>
      </c>
      <c r="E1262" s="90">
        <v>1175.8999999998873</v>
      </c>
      <c r="G1262" s="66">
        <v>1175.8999999998873</v>
      </c>
      <c r="H1262" s="66">
        <v>60989.8</v>
      </c>
      <c r="I1262" s="66">
        <v>1175.9999999998872</v>
      </c>
      <c r="J1262" s="66">
        <v>61113</v>
      </c>
    </row>
    <row r="1263" spans="2:10">
      <c r="B1263" s="90">
        <v>60989.8</v>
      </c>
      <c r="C1263" s="90">
        <v>1175.8999999998873</v>
      </c>
      <c r="D1263" s="90">
        <v>61113</v>
      </c>
      <c r="E1263" s="90">
        <v>1175.9999999998872</v>
      </c>
      <c r="G1263" s="66">
        <v>1175.9999999998872</v>
      </c>
      <c r="H1263" s="66">
        <v>61113</v>
      </c>
      <c r="I1263" s="66">
        <v>1176.0999999998871</v>
      </c>
      <c r="J1263" s="66">
        <v>61237.599999999999</v>
      </c>
    </row>
    <row r="1264" spans="2:10">
      <c r="B1264" s="90">
        <v>61113</v>
      </c>
      <c r="C1264" s="90">
        <v>1175.9999999998872</v>
      </c>
      <c r="D1264" s="90">
        <v>61237.599999999999</v>
      </c>
      <c r="E1264" s="90">
        <v>1176.0999999998871</v>
      </c>
      <c r="G1264" s="66">
        <v>1176.0999999998871</v>
      </c>
      <c r="H1264" s="66">
        <v>61237.599999999999</v>
      </c>
      <c r="I1264" s="66">
        <v>1176.199999999887</v>
      </c>
      <c r="J1264" s="66">
        <v>61362.2</v>
      </c>
    </row>
    <row r="1265" spans="2:10">
      <c r="B1265" s="90">
        <v>61237.599999999999</v>
      </c>
      <c r="C1265" s="90">
        <v>1176.0999999998871</v>
      </c>
      <c r="D1265" s="90">
        <v>61362.2</v>
      </c>
      <c r="E1265" s="90">
        <v>1176.199999999887</v>
      </c>
      <c r="G1265" s="66">
        <v>1176.199999999887</v>
      </c>
      <c r="H1265" s="66">
        <v>61362.2</v>
      </c>
      <c r="I1265" s="66">
        <v>1176.2999999998869</v>
      </c>
      <c r="J1265" s="66">
        <v>61486.8</v>
      </c>
    </row>
    <row r="1266" spans="2:10">
      <c r="B1266" s="90">
        <v>61362.2</v>
      </c>
      <c r="C1266" s="90">
        <v>1176.199999999887</v>
      </c>
      <c r="D1266" s="90">
        <v>61486.8</v>
      </c>
      <c r="E1266" s="90">
        <v>1176.2999999998869</v>
      </c>
      <c r="G1266" s="66">
        <v>1176.2999999998869</v>
      </c>
      <c r="H1266" s="66">
        <v>61486.8</v>
      </c>
      <c r="I1266" s="66">
        <v>1176.3999999998869</v>
      </c>
      <c r="J1266" s="66">
        <v>61611.4</v>
      </c>
    </row>
    <row r="1267" spans="2:10">
      <c r="B1267" s="90">
        <v>61486.8</v>
      </c>
      <c r="C1267" s="90">
        <v>1176.2999999998869</v>
      </c>
      <c r="D1267" s="90">
        <v>61611.4</v>
      </c>
      <c r="E1267" s="90">
        <v>1176.3999999998869</v>
      </c>
      <c r="G1267" s="66">
        <v>1176.3999999998869</v>
      </c>
      <c r="H1267" s="66">
        <v>61611.4</v>
      </c>
      <c r="I1267" s="66">
        <v>1176.4999999998868</v>
      </c>
      <c r="J1267" s="66">
        <v>61736</v>
      </c>
    </row>
    <row r="1268" spans="2:10">
      <c r="B1268" s="90">
        <v>61611.4</v>
      </c>
      <c r="C1268" s="90">
        <v>1176.3999999998869</v>
      </c>
      <c r="D1268" s="90">
        <v>61736</v>
      </c>
      <c r="E1268" s="90">
        <v>1176.4999999998868</v>
      </c>
      <c r="G1268" s="66">
        <v>1176.4999999998868</v>
      </c>
      <c r="H1268" s="66">
        <v>61736</v>
      </c>
      <c r="I1268" s="66">
        <v>1176.5999999998867</v>
      </c>
      <c r="J1268" s="66">
        <v>61860.6</v>
      </c>
    </row>
    <row r="1269" spans="2:10">
      <c r="B1269" s="90">
        <v>61736</v>
      </c>
      <c r="C1269" s="90">
        <v>1176.4999999998868</v>
      </c>
      <c r="D1269" s="90">
        <v>61860.6</v>
      </c>
      <c r="E1269" s="90">
        <v>1176.5999999998867</v>
      </c>
      <c r="G1269" s="66">
        <v>1176.5999999998867</v>
      </c>
      <c r="H1269" s="66">
        <v>61860.6</v>
      </c>
      <c r="I1269" s="66">
        <v>1176.6999999998866</v>
      </c>
      <c r="J1269" s="66">
        <v>61985.2</v>
      </c>
    </row>
    <row r="1270" spans="2:10">
      <c r="B1270" s="90">
        <v>61860.6</v>
      </c>
      <c r="C1270" s="90">
        <v>1176.5999999998867</v>
      </c>
      <c r="D1270" s="90">
        <v>61985.2</v>
      </c>
      <c r="E1270" s="90">
        <v>1176.6999999998866</v>
      </c>
      <c r="G1270" s="66">
        <v>1176.6999999998866</v>
      </c>
      <c r="H1270" s="66">
        <v>61985.2</v>
      </c>
      <c r="I1270" s="66">
        <v>1176.7999999998865</v>
      </c>
      <c r="J1270" s="66">
        <v>62109.8</v>
      </c>
    </row>
    <row r="1271" spans="2:10">
      <c r="B1271" s="90">
        <v>61985.2</v>
      </c>
      <c r="C1271" s="90">
        <v>1176.6999999998866</v>
      </c>
      <c r="D1271" s="90">
        <v>62109.8</v>
      </c>
      <c r="E1271" s="90">
        <v>1176.7999999998865</v>
      </c>
      <c r="G1271" s="66">
        <v>1176.7999999998865</v>
      </c>
      <c r="H1271" s="66">
        <v>62109.8</v>
      </c>
      <c r="I1271" s="66">
        <v>1176.8999999998864</v>
      </c>
      <c r="J1271" s="66">
        <v>62234.400000000001</v>
      </c>
    </row>
    <row r="1272" spans="2:10">
      <c r="B1272" s="90">
        <v>62109.8</v>
      </c>
      <c r="C1272" s="90">
        <v>1176.7999999998865</v>
      </c>
      <c r="D1272" s="90">
        <v>62234.400000000001</v>
      </c>
      <c r="E1272" s="90">
        <v>1176.8999999998864</v>
      </c>
      <c r="G1272" s="66">
        <v>1176.8999999998864</v>
      </c>
      <c r="H1272" s="66">
        <v>62234.400000000001</v>
      </c>
      <c r="I1272" s="66">
        <v>1176.9999999998863</v>
      </c>
      <c r="J1272" s="66">
        <v>62359</v>
      </c>
    </row>
    <row r="1273" spans="2:10">
      <c r="B1273" s="90">
        <v>62234.400000000001</v>
      </c>
      <c r="C1273" s="90">
        <v>1176.8999999998864</v>
      </c>
      <c r="D1273" s="90">
        <v>62359</v>
      </c>
      <c r="E1273" s="90">
        <v>1176.9999999998863</v>
      </c>
      <c r="G1273" s="66">
        <v>1176.9999999998863</v>
      </c>
      <c r="H1273" s="66">
        <v>62359</v>
      </c>
      <c r="I1273" s="66">
        <v>1177.0999999998862</v>
      </c>
      <c r="J1273" s="66">
        <v>62485.1</v>
      </c>
    </row>
    <row r="1274" spans="2:10">
      <c r="B1274" s="90">
        <v>62359</v>
      </c>
      <c r="C1274" s="90">
        <v>1176.9999999998863</v>
      </c>
      <c r="D1274" s="90">
        <v>62485.1</v>
      </c>
      <c r="E1274" s="90">
        <v>1177.0999999998862</v>
      </c>
      <c r="G1274" s="66">
        <v>1177.0999999998862</v>
      </c>
      <c r="H1274" s="66">
        <v>62485.1</v>
      </c>
      <c r="I1274" s="66">
        <v>1177.1999999998861</v>
      </c>
      <c r="J1274" s="66">
        <v>62611.199999999997</v>
      </c>
    </row>
    <row r="1275" spans="2:10">
      <c r="B1275" s="90">
        <v>62485.1</v>
      </c>
      <c r="C1275" s="90">
        <v>1177.0999999998862</v>
      </c>
      <c r="D1275" s="90">
        <v>62611.199999999997</v>
      </c>
      <c r="E1275" s="90">
        <v>1177.1999999998861</v>
      </c>
      <c r="G1275" s="66">
        <v>1177.1999999998861</v>
      </c>
      <c r="H1275" s="66">
        <v>62611.199999999997</v>
      </c>
      <c r="I1275" s="66">
        <v>1177.299999999886</v>
      </c>
      <c r="J1275" s="66">
        <v>62737.3</v>
      </c>
    </row>
    <row r="1276" spans="2:10">
      <c r="B1276" s="90">
        <v>62611.199999999997</v>
      </c>
      <c r="C1276" s="90">
        <v>1177.1999999998861</v>
      </c>
      <c r="D1276" s="90">
        <v>62737.3</v>
      </c>
      <c r="E1276" s="90">
        <v>1177.299999999886</v>
      </c>
      <c r="G1276" s="66">
        <v>1177.299999999886</v>
      </c>
      <c r="H1276" s="66">
        <v>62737.3</v>
      </c>
      <c r="I1276" s="66">
        <v>1177.3999999998859</v>
      </c>
      <c r="J1276" s="66">
        <v>62863.4</v>
      </c>
    </row>
    <row r="1277" spans="2:10">
      <c r="B1277" s="90">
        <v>62737.3</v>
      </c>
      <c r="C1277" s="90">
        <v>1177.299999999886</v>
      </c>
      <c r="D1277" s="90">
        <v>62863.4</v>
      </c>
      <c r="E1277" s="90">
        <v>1177.3999999998859</v>
      </c>
      <c r="G1277" s="66">
        <v>1177.3999999998859</v>
      </c>
      <c r="H1277" s="66">
        <v>62863.4</v>
      </c>
      <c r="I1277" s="66">
        <v>1177.4999999998859</v>
      </c>
      <c r="J1277" s="66">
        <v>62989.5</v>
      </c>
    </row>
    <row r="1278" spans="2:10">
      <c r="B1278" s="90">
        <v>62863.4</v>
      </c>
      <c r="C1278" s="90">
        <v>1177.3999999998859</v>
      </c>
      <c r="D1278" s="90">
        <v>62989.5</v>
      </c>
      <c r="E1278" s="90">
        <v>1177.4999999998859</v>
      </c>
      <c r="G1278" s="66">
        <v>1177.4999999998859</v>
      </c>
      <c r="H1278" s="66">
        <v>62989.5</v>
      </c>
      <c r="I1278" s="66">
        <v>1177.5999999998858</v>
      </c>
      <c r="J1278" s="66">
        <v>63115.6</v>
      </c>
    </row>
    <row r="1279" spans="2:10">
      <c r="B1279" s="90">
        <v>62989.5</v>
      </c>
      <c r="C1279" s="90">
        <v>1177.4999999998859</v>
      </c>
      <c r="D1279" s="90">
        <v>63115.6</v>
      </c>
      <c r="E1279" s="90">
        <v>1177.5999999998858</v>
      </c>
      <c r="G1279" s="66">
        <v>1177.5999999998858</v>
      </c>
      <c r="H1279" s="66">
        <v>63115.6</v>
      </c>
      <c r="I1279" s="66">
        <v>1177.6999999998857</v>
      </c>
      <c r="J1279" s="66">
        <v>63241.7</v>
      </c>
    </row>
    <row r="1280" spans="2:10">
      <c r="B1280" s="90">
        <v>63115.6</v>
      </c>
      <c r="C1280" s="90">
        <v>1177.5999999998858</v>
      </c>
      <c r="D1280" s="90">
        <v>63241.7</v>
      </c>
      <c r="E1280" s="90">
        <v>1177.6999999998857</v>
      </c>
      <c r="G1280" s="66">
        <v>1177.6999999998857</v>
      </c>
      <c r="H1280" s="66">
        <v>63241.7</v>
      </c>
      <c r="I1280" s="66">
        <v>1177.7999999998856</v>
      </c>
      <c r="J1280" s="66">
        <v>63367.8</v>
      </c>
    </row>
    <row r="1281" spans="2:10">
      <c r="B1281" s="90">
        <v>63241.7</v>
      </c>
      <c r="C1281" s="90">
        <v>1177.6999999998857</v>
      </c>
      <c r="D1281" s="90">
        <v>63367.8</v>
      </c>
      <c r="E1281" s="90">
        <v>1177.7999999998856</v>
      </c>
      <c r="G1281" s="66">
        <v>1177.7999999998856</v>
      </c>
      <c r="H1281" s="66">
        <v>63367.8</v>
      </c>
      <c r="I1281" s="66">
        <v>1177.8999999998855</v>
      </c>
      <c r="J1281" s="66">
        <v>63493.9</v>
      </c>
    </row>
    <row r="1282" spans="2:10">
      <c r="B1282" s="90">
        <v>63367.8</v>
      </c>
      <c r="C1282" s="90">
        <v>1177.7999999998856</v>
      </c>
      <c r="D1282" s="90">
        <v>63493.9</v>
      </c>
      <c r="E1282" s="90">
        <v>1177.8999999998855</v>
      </c>
      <c r="G1282" s="66">
        <v>1177.8999999998855</v>
      </c>
      <c r="H1282" s="66">
        <v>63493.9</v>
      </c>
      <c r="I1282" s="66">
        <v>1177.9999999998854</v>
      </c>
      <c r="J1282" s="66">
        <v>63620</v>
      </c>
    </row>
    <row r="1283" spans="2:10">
      <c r="B1283" s="90">
        <v>63493.9</v>
      </c>
      <c r="C1283" s="90">
        <v>1177.8999999998855</v>
      </c>
      <c r="D1283" s="90">
        <v>63620</v>
      </c>
      <c r="E1283" s="90">
        <v>1177.9999999998854</v>
      </c>
      <c r="G1283" s="66">
        <v>1177.9999999998854</v>
      </c>
      <c r="H1283" s="66">
        <v>63620</v>
      </c>
      <c r="I1283" s="66">
        <v>1178.0999999998853</v>
      </c>
      <c r="J1283" s="66">
        <v>63747.6</v>
      </c>
    </row>
    <row r="1284" spans="2:10">
      <c r="B1284" s="90">
        <v>63620</v>
      </c>
      <c r="C1284" s="90">
        <v>1177.9999999998854</v>
      </c>
      <c r="D1284" s="90">
        <v>63747.6</v>
      </c>
      <c r="E1284" s="90">
        <v>1178.0999999998853</v>
      </c>
      <c r="G1284" s="66">
        <v>1178.0999999998853</v>
      </c>
      <c r="H1284" s="66">
        <v>63747.6</v>
      </c>
      <c r="I1284" s="66">
        <v>1178.1999999998852</v>
      </c>
      <c r="J1284" s="66">
        <v>63875.199999999997</v>
      </c>
    </row>
    <row r="1285" spans="2:10">
      <c r="B1285" s="90">
        <v>63747.6</v>
      </c>
      <c r="C1285" s="90">
        <v>1178.0999999998853</v>
      </c>
      <c r="D1285" s="90">
        <v>63875.199999999997</v>
      </c>
      <c r="E1285" s="90">
        <v>1178.1999999998852</v>
      </c>
      <c r="G1285" s="66">
        <v>1178.1999999998852</v>
      </c>
      <c r="H1285" s="66">
        <v>63875.199999999997</v>
      </c>
      <c r="I1285" s="66">
        <v>1178.2999999998851</v>
      </c>
      <c r="J1285" s="66">
        <v>64002.8</v>
      </c>
    </row>
    <row r="1286" spans="2:10">
      <c r="B1286" s="90">
        <v>63875.199999999997</v>
      </c>
      <c r="C1286" s="90">
        <v>1178.1999999998852</v>
      </c>
      <c r="D1286" s="90">
        <v>64002.8</v>
      </c>
      <c r="E1286" s="90">
        <v>1178.2999999998851</v>
      </c>
      <c r="G1286" s="66">
        <v>1178.2999999998851</v>
      </c>
      <c r="H1286" s="66">
        <v>64002.8</v>
      </c>
      <c r="I1286" s="66">
        <v>1178.399999999885</v>
      </c>
      <c r="J1286" s="66">
        <v>64130.400000000001</v>
      </c>
    </row>
    <row r="1287" spans="2:10">
      <c r="B1287" s="90">
        <v>64002.8</v>
      </c>
      <c r="C1287" s="90">
        <v>1178.2999999998851</v>
      </c>
      <c r="D1287" s="90">
        <v>64130.400000000001</v>
      </c>
      <c r="E1287" s="90">
        <v>1178.399999999885</v>
      </c>
      <c r="G1287" s="66">
        <v>1178.399999999885</v>
      </c>
      <c r="H1287" s="66">
        <v>64130.400000000001</v>
      </c>
      <c r="I1287" s="66">
        <v>1178.4999999998849</v>
      </c>
      <c r="J1287" s="66">
        <v>64258</v>
      </c>
    </row>
    <row r="1288" spans="2:10">
      <c r="B1288" s="90">
        <v>64130.400000000001</v>
      </c>
      <c r="C1288" s="90">
        <v>1178.399999999885</v>
      </c>
      <c r="D1288" s="90">
        <v>64258</v>
      </c>
      <c r="E1288" s="90">
        <v>1178.4999999998849</v>
      </c>
      <c r="G1288" s="66">
        <v>1178.4999999998849</v>
      </c>
      <c r="H1288" s="66">
        <v>64258</v>
      </c>
      <c r="I1288" s="66">
        <v>1178.5999999998849</v>
      </c>
      <c r="J1288" s="66">
        <v>64385.599999999999</v>
      </c>
    </row>
    <row r="1289" spans="2:10">
      <c r="B1289" s="90">
        <v>64258</v>
      </c>
      <c r="C1289" s="90">
        <v>1178.4999999998849</v>
      </c>
      <c r="D1289" s="90">
        <v>64385.599999999999</v>
      </c>
      <c r="E1289" s="90">
        <v>1178.5999999998849</v>
      </c>
      <c r="G1289" s="66">
        <v>1178.5999999998849</v>
      </c>
      <c r="H1289" s="66">
        <v>64385.599999999999</v>
      </c>
      <c r="I1289" s="66">
        <v>1178.6999999998848</v>
      </c>
      <c r="J1289" s="66">
        <v>64513.2</v>
      </c>
    </row>
    <row r="1290" spans="2:10">
      <c r="B1290" s="90">
        <v>64385.599999999999</v>
      </c>
      <c r="C1290" s="90">
        <v>1178.5999999998849</v>
      </c>
      <c r="D1290" s="90">
        <v>64513.2</v>
      </c>
      <c r="E1290" s="90">
        <v>1178.6999999998848</v>
      </c>
      <c r="G1290" s="66">
        <v>1178.6999999998848</v>
      </c>
      <c r="H1290" s="66">
        <v>64513.2</v>
      </c>
      <c r="I1290" s="66">
        <v>1178.7999999998847</v>
      </c>
      <c r="J1290" s="66">
        <v>64640.800000000003</v>
      </c>
    </row>
    <row r="1291" spans="2:10">
      <c r="B1291" s="90">
        <v>64513.2</v>
      </c>
      <c r="C1291" s="90">
        <v>1178.6999999998848</v>
      </c>
      <c r="D1291" s="90">
        <v>64640.800000000003</v>
      </c>
      <c r="E1291" s="90">
        <v>1178.7999999998847</v>
      </c>
      <c r="G1291" s="66">
        <v>1178.7999999998847</v>
      </c>
      <c r="H1291" s="66">
        <v>64640.800000000003</v>
      </c>
      <c r="I1291" s="66">
        <v>1178.8999999998846</v>
      </c>
      <c r="J1291" s="66">
        <v>64768.4</v>
      </c>
    </row>
    <row r="1292" spans="2:10">
      <c r="B1292" s="90">
        <v>64640.800000000003</v>
      </c>
      <c r="C1292" s="90">
        <v>1178.7999999998847</v>
      </c>
      <c r="D1292" s="90">
        <v>64768.4</v>
      </c>
      <c r="E1292" s="90">
        <v>1178.8999999998846</v>
      </c>
      <c r="G1292" s="66">
        <v>1178.8999999998846</v>
      </c>
      <c r="H1292" s="66">
        <v>64768.4</v>
      </c>
      <c r="I1292" s="66">
        <v>1178.9999999998845</v>
      </c>
      <c r="J1292" s="66">
        <v>64896</v>
      </c>
    </row>
    <row r="1293" spans="2:10">
      <c r="B1293" s="90">
        <v>64768.4</v>
      </c>
      <c r="C1293" s="90">
        <v>1178.8999999998846</v>
      </c>
      <c r="D1293" s="90">
        <v>64896</v>
      </c>
      <c r="E1293" s="90">
        <v>1178.9999999998845</v>
      </c>
      <c r="G1293" s="66">
        <v>1178.9999999998845</v>
      </c>
      <c r="H1293" s="66">
        <v>64896</v>
      </c>
      <c r="I1293" s="66">
        <v>1179.0999999998844</v>
      </c>
      <c r="J1293" s="66">
        <v>65025</v>
      </c>
    </row>
    <row r="1294" spans="2:10">
      <c r="B1294" s="90">
        <v>64896</v>
      </c>
      <c r="C1294" s="90">
        <v>1178.9999999998845</v>
      </c>
      <c r="D1294" s="90">
        <v>65025</v>
      </c>
      <c r="E1294" s="90">
        <v>1179.0999999998844</v>
      </c>
      <c r="G1294" s="66">
        <v>1179.0999999998844</v>
      </c>
      <c r="H1294" s="66">
        <v>65025</v>
      </c>
      <c r="I1294" s="66">
        <v>1179.1999999998843</v>
      </c>
      <c r="J1294" s="66">
        <v>65154</v>
      </c>
    </row>
    <row r="1295" spans="2:10">
      <c r="B1295" s="90">
        <v>65025</v>
      </c>
      <c r="C1295" s="90">
        <v>1179.0999999998844</v>
      </c>
      <c r="D1295" s="90">
        <v>65154</v>
      </c>
      <c r="E1295" s="90">
        <v>1179.1999999998843</v>
      </c>
      <c r="G1295" s="66">
        <v>1179.1999999998843</v>
      </c>
      <c r="H1295" s="66">
        <v>65154</v>
      </c>
      <c r="I1295" s="66">
        <v>1179.2999999998842</v>
      </c>
      <c r="J1295" s="66">
        <v>65283</v>
      </c>
    </row>
    <row r="1296" spans="2:10">
      <c r="B1296" s="90">
        <v>65154</v>
      </c>
      <c r="C1296" s="90">
        <v>1179.1999999998843</v>
      </c>
      <c r="D1296" s="90">
        <v>65283</v>
      </c>
      <c r="E1296" s="90">
        <v>1179.2999999998842</v>
      </c>
      <c r="G1296" s="66">
        <v>1179.2999999998842</v>
      </c>
      <c r="H1296" s="66">
        <v>65283</v>
      </c>
      <c r="I1296" s="66">
        <v>1179.3999999998841</v>
      </c>
      <c r="J1296" s="66">
        <v>65412</v>
      </c>
    </row>
    <row r="1297" spans="2:10">
      <c r="B1297" s="90">
        <v>65283</v>
      </c>
      <c r="C1297" s="90">
        <v>1179.2999999998842</v>
      </c>
      <c r="D1297" s="90">
        <v>65412</v>
      </c>
      <c r="E1297" s="90">
        <v>1179.3999999998841</v>
      </c>
      <c r="G1297" s="66">
        <v>1179.3999999998841</v>
      </c>
      <c r="H1297" s="66">
        <v>65412</v>
      </c>
      <c r="I1297" s="66">
        <v>1179.499999999884</v>
      </c>
      <c r="J1297" s="66">
        <v>65541</v>
      </c>
    </row>
    <row r="1298" spans="2:10">
      <c r="B1298" s="90">
        <v>65412</v>
      </c>
      <c r="C1298" s="90">
        <v>1179.3999999998841</v>
      </c>
      <c r="D1298" s="90">
        <v>65541</v>
      </c>
      <c r="E1298" s="90">
        <v>1179.499999999884</v>
      </c>
      <c r="G1298" s="66">
        <v>1179.499999999884</v>
      </c>
      <c r="H1298" s="66">
        <v>65541</v>
      </c>
      <c r="I1298" s="66">
        <v>1179.5999999998839</v>
      </c>
      <c r="J1298" s="66">
        <v>65670</v>
      </c>
    </row>
    <row r="1299" spans="2:10">
      <c r="B1299" s="90">
        <v>65541</v>
      </c>
      <c r="C1299" s="90">
        <v>1179.499999999884</v>
      </c>
      <c r="D1299" s="90">
        <v>65670</v>
      </c>
      <c r="E1299" s="90">
        <v>1179.5999999998839</v>
      </c>
      <c r="G1299" s="66">
        <v>1179.5999999998839</v>
      </c>
      <c r="H1299" s="66">
        <v>65670</v>
      </c>
      <c r="I1299" s="66">
        <v>1179.6999999998839</v>
      </c>
      <c r="J1299" s="66">
        <v>65799</v>
      </c>
    </row>
    <row r="1300" spans="2:10">
      <c r="B1300" s="90">
        <v>65670</v>
      </c>
      <c r="C1300" s="90">
        <v>1179.5999999998839</v>
      </c>
      <c r="D1300" s="90">
        <v>65799</v>
      </c>
      <c r="E1300" s="90">
        <v>1179.6999999998839</v>
      </c>
      <c r="G1300" s="66">
        <v>1179.6999999998839</v>
      </c>
      <c r="H1300" s="66">
        <v>65799</v>
      </c>
      <c r="I1300" s="66">
        <v>1179.7999999998838</v>
      </c>
      <c r="J1300" s="66">
        <v>65928</v>
      </c>
    </row>
    <row r="1301" spans="2:10">
      <c r="B1301" s="90">
        <v>65799</v>
      </c>
      <c r="C1301" s="90">
        <v>1179.6999999998839</v>
      </c>
      <c r="D1301" s="90">
        <v>65928</v>
      </c>
      <c r="E1301" s="90">
        <v>1179.7999999998838</v>
      </c>
      <c r="G1301" s="66">
        <v>1179.7999999998838</v>
      </c>
      <c r="H1301" s="66">
        <v>65928</v>
      </c>
      <c r="I1301" s="66">
        <v>1179.8999999998837</v>
      </c>
      <c r="J1301" s="66">
        <v>66057</v>
      </c>
    </row>
    <row r="1302" spans="2:10">
      <c r="B1302" s="90">
        <v>65928</v>
      </c>
      <c r="C1302" s="90">
        <v>1179.7999999998838</v>
      </c>
      <c r="D1302" s="90">
        <v>66057</v>
      </c>
      <c r="E1302" s="90">
        <v>1179.8999999998837</v>
      </c>
      <c r="G1302" s="66">
        <v>1179.8999999998837</v>
      </c>
      <c r="H1302" s="66">
        <v>66057</v>
      </c>
      <c r="I1302" s="66">
        <v>1179.9999999998836</v>
      </c>
      <c r="J1302" s="66">
        <v>66186</v>
      </c>
    </row>
    <row r="1303" spans="2:10">
      <c r="B1303" s="90">
        <v>66057</v>
      </c>
      <c r="C1303" s="90">
        <v>1179.8999999998837</v>
      </c>
      <c r="D1303" s="90">
        <v>66186</v>
      </c>
      <c r="E1303" s="90">
        <v>1179.9999999998836</v>
      </c>
      <c r="G1303" s="66">
        <v>1179.9999999998836</v>
      </c>
      <c r="H1303" s="66">
        <v>66186</v>
      </c>
      <c r="I1303" s="66">
        <v>1180.0999999998835</v>
      </c>
      <c r="J1303" s="66">
        <v>66316.5</v>
      </c>
    </row>
    <row r="1304" spans="2:10">
      <c r="B1304" s="90">
        <v>66186</v>
      </c>
      <c r="C1304" s="90">
        <v>1179.9999999998836</v>
      </c>
      <c r="D1304" s="90">
        <v>66316.5</v>
      </c>
      <c r="E1304" s="90">
        <v>1180.0999999998835</v>
      </c>
      <c r="G1304" s="66">
        <v>1180.0999999998835</v>
      </c>
      <c r="H1304" s="66">
        <v>66316.5</v>
      </c>
      <c r="I1304" s="66">
        <v>1180.1999999998834</v>
      </c>
      <c r="J1304" s="66">
        <v>66447</v>
      </c>
    </row>
    <row r="1305" spans="2:10">
      <c r="B1305" s="90">
        <v>66316.5</v>
      </c>
      <c r="C1305" s="90">
        <v>1180.0999999998835</v>
      </c>
      <c r="D1305" s="90">
        <v>66447</v>
      </c>
      <c r="E1305" s="90">
        <v>1180.1999999998834</v>
      </c>
      <c r="G1305" s="66">
        <v>1180.1999999998834</v>
      </c>
      <c r="H1305" s="66">
        <v>66447</v>
      </c>
      <c r="I1305" s="66">
        <v>1180.2999999998833</v>
      </c>
      <c r="J1305" s="66">
        <v>66577.5</v>
      </c>
    </row>
    <row r="1306" spans="2:10">
      <c r="B1306" s="90">
        <v>66447</v>
      </c>
      <c r="C1306" s="90">
        <v>1180.1999999998834</v>
      </c>
      <c r="D1306" s="90">
        <v>66577.5</v>
      </c>
      <c r="E1306" s="90">
        <v>1180.2999999998833</v>
      </c>
      <c r="G1306" s="66">
        <v>1180.2999999998833</v>
      </c>
      <c r="H1306" s="66">
        <v>66577.5</v>
      </c>
      <c r="I1306" s="66">
        <v>1180.3999999998832</v>
      </c>
      <c r="J1306" s="66">
        <v>66708</v>
      </c>
    </row>
    <row r="1307" spans="2:10">
      <c r="B1307" s="90">
        <v>66577.5</v>
      </c>
      <c r="C1307" s="90">
        <v>1180.2999999998833</v>
      </c>
      <c r="D1307" s="90">
        <v>66708</v>
      </c>
      <c r="E1307" s="90">
        <v>1180.3999999998832</v>
      </c>
      <c r="G1307" s="66">
        <v>1180.3999999998832</v>
      </c>
      <c r="H1307" s="66">
        <v>66708</v>
      </c>
      <c r="I1307" s="66">
        <v>1180.4999999998831</v>
      </c>
      <c r="J1307" s="66">
        <v>66838.5</v>
      </c>
    </row>
    <row r="1308" spans="2:10">
      <c r="B1308" s="90">
        <v>66708</v>
      </c>
      <c r="C1308" s="90">
        <v>1180.3999999998832</v>
      </c>
      <c r="D1308" s="90">
        <v>66838.5</v>
      </c>
      <c r="E1308" s="90">
        <v>1180.4999999998831</v>
      </c>
      <c r="G1308" s="66">
        <v>1180.4999999998831</v>
      </c>
      <c r="H1308" s="66">
        <v>66838.5</v>
      </c>
      <c r="I1308" s="66">
        <v>1180.599999999883</v>
      </c>
      <c r="J1308" s="66">
        <v>66969</v>
      </c>
    </row>
    <row r="1309" spans="2:10">
      <c r="B1309" s="90">
        <v>66838.5</v>
      </c>
      <c r="C1309" s="90">
        <v>1180.4999999998831</v>
      </c>
      <c r="D1309" s="90">
        <v>66969</v>
      </c>
      <c r="E1309" s="90">
        <v>1180.599999999883</v>
      </c>
      <c r="G1309" s="66">
        <v>1180.599999999883</v>
      </c>
      <c r="H1309" s="66">
        <v>66969</v>
      </c>
      <c r="I1309" s="66">
        <v>1180.6999999998829</v>
      </c>
      <c r="J1309" s="66">
        <v>67099.5</v>
      </c>
    </row>
    <row r="1310" spans="2:10">
      <c r="B1310" s="90">
        <v>66969</v>
      </c>
      <c r="C1310" s="90">
        <v>1180.599999999883</v>
      </c>
      <c r="D1310" s="90">
        <v>67099.5</v>
      </c>
      <c r="E1310" s="90">
        <v>1180.6999999998829</v>
      </c>
      <c r="G1310" s="66">
        <v>1180.6999999998829</v>
      </c>
      <c r="H1310" s="66">
        <v>67099.5</v>
      </c>
      <c r="I1310" s="66">
        <v>1180.7999999998829</v>
      </c>
      <c r="J1310" s="66">
        <v>67230</v>
      </c>
    </row>
    <row r="1311" spans="2:10">
      <c r="B1311" s="90">
        <v>67099.5</v>
      </c>
      <c r="C1311" s="90">
        <v>1180.6999999998829</v>
      </c>
      <c r="D1311" s="90">
        <v>67230</v>
      </c>
      <c r="E1311" s="90">
        <v>1180.7999999998829</v>
      </c>
      <c r="G1311" s="66">
        <v>1180.7999999998829</v>
      </c>
      <c r="H1311" s="66">
        <v>67230</v>
      </c>
      <c r="I1311" s="66">
        <v>1180.8999999998828</v>
      </c>
      <c r="J1311" s="66">
        <v>67360.5</v>
      </c>
    </row>
    <row r="1312" spans="2:10">
      <c r="B1312" s="90">
        <v>67230</v>
      </c>
      <c r="C1312" s="90">
        <v>1180.7999999998829</v>
      </c>
      <c r="D1312" s="90">
        <v>67360.5</v>
      </c>
      <c r="E1312" s="90">
        <v>1180.8999999998828</v>
      </c>
      <c r="G1312" s="66">
        <v>1180.8999999998828</v>
      </c>
      <c r="H1312" s="66">
        <v>67360.5</v>
      </c>
      <c r="I1312" s="66">
        <v>1180.9999999998827</v>
      </c>
      <c r="J1312" s="66">
        <v>67491</v>
      </c>
    </row>
    <row r="1313" spans="2:10">
      <c r="B1313" s="90">
        <v>67360.5</v>
      </c>
      <c r="C1313" s="90">
        <v>1180.8999999998828</v>
      </c>
      <c r="D1313" s="90">
        <v>67491</v>
      </c>
      <c r="E1313" s="90">
        <v>1180.9999999998827</v>
      </c>
      <c r="G1313" s="66">
        <v>1180.9999999998827</v>
      </c>
      <c r="H1313" s="66">
        <v>67491</v>
      </c>
      <c r="I1313" s="66">
        <v>1181.0999999998826</v>
      </c>
      <c r="J1313" s="66">
        <v>67623</v>
      </c>
    </row>
    <row r="1314" spans="2:10">
      <c r="B1314" s="90">
        <v>67491</v>
      </c>
      <c r="C1314" s="90">
        <v>1180.9999999998827</v>
      </c>
      <c r="D1314" s="90">
        <v>67623</v>
      </c>
      <c r="E1314" s="90">
        <v>1181.0999999998826</v>
      </c>
      <c r="G1314" s="66">
        <v>1181.0999999998826</v>
      </c>
      <c r="H1314" s="66">
        <v>67623</v>
      </c>
      <c r="I1314" s="66">
        <v>1181.1999999998825</v>
      </c>
      <c r="J1314" s="66">
        <v>67755</v>
      </c>
    </row>
    <row r="1315" spans="2:10">
      <c r="B1315" s="90">
        <v>67623</v>
      </c>
      <c r="C1315" s="90">
        <v>1181.0999999998826</v>
      </c>
      <c r="D1315" s="90">
        <v>67755</v>
      </c>
      <c r="E1315" s="90">
        <v>1181.1999999998825</v>
      </c>
      <c r="G1315" s="66">
        <v>1181.1999999998825</v>
      </c>
      <c r="H1315" s="66">
        <v>67755</v>
      </c>
      <c r="I1315" s="66">
        <v>1181.2999999998824</v>
      </c>
      <c r="J1315" s="66">
        <v>67887</v>
      </c>
    </row>
    <row r="1316" spans="2:10">
      <c r="B1316" s="90">
        <v>67755</v>
      </c>
      <c r="C1316" s="90">
        <v>1181.1999999998825</v>
      </c>
      <c r="D1316" s="90">
        <v>67887</v>
      </c>
      <c r="E1316" s="90">
        <v>1181.2999999998824</v>
      </c>
      <c r="G1316" s="66">
        <v>1181.2999999998824</v>
      </c>
      <c r="H1316" s="66">
        <v>67887</v>
      </c>
      <c r="I1316" s="66">
        <v>1181.3999999998823</v>
      </c>
      <c r="J1316" s="66">
        <v>68019</v>
      </c>
    </row>
    <row r="1317" spans="2:10">
      <c r="B1317" s="90">
        <v>67887</v>
      </c>
      <c r="C1317" s="90">
        <v>1181.2999999998824</v>
      </c>
      <c r="D1317" s="90">
        <v>68019</v>
      </c>
      <c r="E1317" s="90">
        <v>1181.3999999998823</v>
      </c>
      <c r="G1317" s="66">
        <v>1181.3999999998823</v>
      </c>
      <c r="H1317" s="66">
        <v>68019</v>
      </c>
      <c r="I1317" s="66">
        <v>1181.4999999998822</v>
      </c>
      <c r="J1317" s="66">
        <v>68151</v>
      </c>
    </row>
    <row r="1318" spans="2:10">
      <c r="B1318" s="90">
        <v>68019</v>
      </c>
      <c r="C1318" s="90">
        <v>1181.3999999998823</v>
      </c>
      <c r="D1318" s="90">
        <v>68151</v>
      </c>
      <c r="E1318" s="90">
        <v>1181.4999999998822</v>
      </c>
      <c r="G1318" s="66">
        <v>1181.4999999998822</v>
      </c>
      <c r="H1318" s="66">
        <v>68151</v>
      </c>
      <c r="I1318" s="66">
        <v>1181.5999999998821</v>
      </c>
      <c r="J1318" s="66">
        <v>68283</v>
      </c>
    </row>
    <row r="1319" spans="2:10">
      <c r="B1319" s="90">
        <v>68151</v>
      </c>
      <c r="C1319" s="90">
        <v>1181.4999999998822</v>
      </c>
      <c r="D1319" s="90">
        <v>68283</v>
      </c>
      <c r="E1319" s="90">
        <v>1181.5999999998821</v>
      </c>
      <c r="G1319" s="66">
        <v>1181.5999999998821</v>
      </c>
      <c r="H1319" s="66">
        <v>68283</v>
      </c>
      <c r="I1319" s="66">
        <v>1181.699999999882</v>
      </c>
      <c r="J1319" s="66">
        <v>68415</v>
      </c>
    </row>
    <row r="1320" spans="2:10">
      <c r="B1320" s="90">
        <v>68283</v>
      </c>
      <c r="C1320" s="90">
        <v>1181.5999999998821</v>
      </c>
      <c r="D1320" s="90">
        <v>68415</v>
      </c>
      <c r="E1320" s="90">
        <v>1181.699999999882</v>
      </c>
      <c r="G1320" s="66">
        <v>1181.699999999882</v>
      </c>
      <c r="H1320" s="66">
        <v>68415</v>
      </c>
      <c r="I1320" s="66">
        <v>1181.7999999998819</v>
      </c>
      <c r="J1320" s="66">
        <v>68547</v>
      </c>
    </row>
    <row r="1321" spans="2:10">
      <c r="B1321" s="90">
        <v>68415</v>
      </c>
      <c r="C1321" s="90">
        <v>1181.699999999882</v>
      </c>
      <c r="D1321" s="90">
        <v>68547</v>
      </c>
      <c r="E1321" s="90">
        <v>1181.7999999998819</v>
      </c>
      <c r="G1321" s="66">
        <v>1181.7999999998819</v>
      </c>
      <c r="H1321" s="66">
        <v>68547</v>
      </c>
      <c r="I1321" s="66">
        <v>1181.8999999998819</v>
      </c>
      <c r="J1321" s="66">
        <v>68679</v>
      </c>
    </row>
    <row r="1322" spans="2:10">
      <c r="B1322" s="90">
        <v>68547</v>
      </c>
      <c r="C1322" s="90">
        <v>1181.7999999998819</v>
      </c>
      <c r="D1322" s="90">
        <v>68679</v>
      </c>
      <c r="E1322" s="90">
        <v>1181.8999999998819</v>
      </c>
      <c r="G1322" s="66">
        <v>1181.8999999998819</v>
      </c>
      <c r="H1322" s="66">
        <v>68679</v>
      </c>
      <c r="I1322" s="66">
        <v>1181.9999999998818</v>
      </c>
      <c r="J1322" s="66">
        <v>68811</v>
      </c>
    </row>
    <row r="1323" spans="2:10">
      <c r="B1323" s="90">
        <v>68679</v>
      </c>
      <c r="C1323" s="90">
        <v>1181.8999999998819</v>
      </c>
      <c r="D1323" s="90">
        <v>68811</v>
      </c>
      <c r="E1323" s="90">
        <v>1181.9999999998818</v>
      </c>
      <c r="G1323" s="66">
        <v>1181.9999999998818</v>
      </c>
      <c r="H1323" s="66">
        <v>68811</v>
      </c>
      <c r="I1323" s="66">
        <v>1182.0999999998817</v>
      </c>
      <c r="J1323" s="66">
        <v>68944.5</v>
      </c>
    </row>
    <row r="1324" spans="2:10">
      <c r="B1324" s="90">
        <v>68811</v>
      </c>
      <c r="C1324" s="90">
        <v>1181.9999999998818</v>
      </c>
      <c r="D1324" s="90">
        <v>68944.5</v>
      </c>
      <c r="E1324" s="90">
        <v>1182.0999999998817</v>
      </c>
      <c r="G1324" s="66">
        <v>1182.0999999998817</v>
      </c>
      <c r="H1324" s="66">
        <v>68944.5</v>
      </c>
      <c r="I1324" s="66">
        <v>1182.1999999998816</v>
      </c>
      <c r="J1324" s="66">
        <v>69078</v>
      </c>
    </row>
    <row r="1325" spans="2:10">
      <c r="B1325" s="90">
        <v>68944.5</v>
      </c>
      <c r="C1325" s="90">
        <v>1182.0999999998817</v>
      </c>
      <c r="D1325" s="90">
        <v>69078</v>
      </c>
      <c r="E1325" s="90">
        <v>1182.1999999998816</v>
      </c>
      <c r="G1325" s="66">
        <v>1182.1999999998816</v>
      </c>
      <c r="H1325" s="66">
        <v>69078</v>
      </c>
      <c r="I1325" s="66">
        <v>1182.2999999998815</v>
      </c>
      <c r="J1325" s="66">
        <v>69211.5</v>
      </c>
    </row>
    <row r="1326" spans="2:10">
      <c r="B1326" s="90">
        <v>69078</v>
      </c>
      <c r="C1326" s="90">
        <v>1182.1999999998816</v>
      </c>
      <c r="D1326" s="90">
        <v>69211.5</v>
      </c>
      <c r="E1326" s="90">
        <v>1182.2999999998815</v>
      </c>
      <c r="G1326" s="66">
        <v>1182.2999999998815</v>
      </c>
      <c r="H1326" s="66">
        <v>69211.5</v>
      </c>
      <c r="I1326" s="66">
        <v>1182.3999999998814</v>
      </c>
      <c r="J1326" s="66">
        <v>69345</v>
      </c>
    </row>
    <row r="1327" spans="2:10">
      <c r="B1327" s="90">
        <v>69211.5</v>
      </c>
      <c r="C1327" s="90">
        <v>1182.2999999998815</v>
      </c>
      <c r="D1327" s="90">
        <v>69345</v>
      </c>
      <c r="E1327" s="90">
        <v>1182.3999999998814</v>
      </c>
      <c r="G1327" s="66">
        <v>1182.3999999998814</v>
      </c>
      <c r="H1327" s="66">
        <v>69345</v>
      </c>
      <c r="I1327" s="66">
        <v>1182.4999999998813</v>
      </c>
      <c r="J1327" s="66">
        <v>69478.5</v>
      </c>
    </row>
    <row r="1328" spans="2:10">
      <c r="B1328" s="90">
        <v>69345</v>
      </c>
      <c r="C1328" s="90">
        <v>1182.3999999998814</v>
      </c>
      <c r="D1328" s="90">
        <v>69478.5</v>
      </c>
      <c r="E1328" s="90">
        <v>1182.4999999998813</v>
      </c>
      <c r="G1328" s="66">
        <v>1182.4999999998813</v>
      </c>
      <c r="H1328" s="66">
        <v>69478.5</v>
      </c>
      <c r="I1328" s="66">
        <v>1182.5999999998812</v>
      </c>
      <c r="J1328" s="66">
        <v>69612</v>
      </c>
    </row>
    <row r="1329" spans="2:10">
      <c r="B1329" s="90">
        <v>69478.5</v>
      </c>
      <c r="C1329" s="90">
        <v>1182.4999999998813</v>
      </c>
      <c r="D1329" s="90">
        <v>69612</v>
      </c>
      <c r="E1329" s="90">
        <v>1182.5999999998812</v>
      </c>
      <c r="G1329" s="66">
        <v>1182.5999999998812</v>
      </c>
      <c r="H1329" s="66">
        <v>69612</v>
      </c>
      <c r="I1329" s="66">
        <v>1182.6999999998811</v>
      </c>
      <c r="J1329" s="66">
        <v>69745.5</v>
      </c>
    </row>
    <row r="1330" spans="2:10">
      <c r="B1330" s="90">
        <v>69612</v>
      </c>
      <c r="C1330" s="90">
        <v>1182.5999999998812</v>
      </c>
      <c r="D1330" s="90">
        <v>69745.5</v>
      </c>
      <c r="E1330" s="90">
        <v>1182.6999999998811</v>
      </c>
      <c r="G1330" s="66">
        <v>1182.6999999998811</v>
      </c>
      <c r="H1330" s="66">
        <v>69745.5</v>
      </c>
      <c r="I1330" s="66">
        <v>1182.799999999881</v>
      </c>
      <c r="J1330" s="66">
        <v>69879</v>
      </c>
    </row>
    <row r="1331" spans="2:10">
      <c r="B1331" s="90">
        <v>69745.5</v>
      </c>
      <c r="C1331" s="90">
        <v>1182.6999999998811</v>
      </c>
      <c r="D1331" s="90">
        <v>69879</v>
      </c>
      <c r="E1331" s="90">
        <v>1182.799999999881</v>
      </c>
      <c r="G1331" s="66">
        <v>1182.799999999881</v>
      </c>
      <c r="H1331" s="66">
        <v>69879</v>
      </c>
      <c r="I1331" s="66">
        <v>1182.8999999998809</v>
      </c>
      <c r="J1331" s="66">
        <v>70012.5</v>
      </c>
    </row>
    <row r="1332" spans="2:10">
      <c r="B1332" s="90">
        <v>69879</v>
      </c>
      <c r="C1332" s="90">
        <v>1182.799999999881</v>
      </c>
      <c r="D1332" s="90">
        <v>70012.5</v>
      </c>
      <c r="E1332" s="90">
        <v>1182.8999999998809</v>
      </c>
      <c r="G1332" s="66">
        <v>1182.8999999998809</v>
      </c>
      <c r="H1332" s="66">
        <v>70012.5</v>
      </c>
      <c r="I1332" s="66">
        <v>1182.9999999998809</v>
      </c>
      <c r="J1332" s="66">
        <v>70146</v>
      </c>
    </row>
    <row r="1333" spans="2:10">
      <c r="B1333" s="90">
        <v>70012.5</v>
      </c>
      <c r="C1333" s="90">
        <v>1182.8999999998809</v>
      </c>
      <c r="D1333" s="90">
        <v>70146</v>
      </c>
      <c r="E1333" s="90">
        <v>1182.9999999998809</v>
      </c>
      <c r="G1333" s="66">
        <v>1182.9999999998809</v>
      </c>
      <c r="H1333" s="66">
        <v>70146</v>
      </c>
      <c r="I1333" s="66">
        <v>1183.0999999998808</v>
      </c>
      <c r="J1333" s="66">
        <v>70280.899999999994</v>
      </c>
    </row>
    <row r="1334" spans="2:10">
      <c r="B1334" s="90">
        <v>70146</v>
      </c>
      <c r="C1334" s="90">
        <v>1182.9999999998809</v>
      </c>
      <c r="D1334" s="90">
        <v>70280.899999999994</v>
      </c>
      <c r="E1334" s="90">
        <v>1183.0999999998808</v>
      </c>
      <c r="G1334" s="66">
        <v>1183.0999999998808</v>
      </c>
      <c r="H1334" s="66">
        <v>70280.899999999994</v>
      </c>
      <c r="I1334" s="66">
        <v>1183.1999999998807</v>
      </c>
      <c r="J1334" s="66">
        <v>70415.8</v>
      </c>
    </row>
    <row r="1335" spans="2:10">
      <c r="B1335" s="90">
        <v>70280.899999999994</v>
      </c>
      <c r="C1335" s="90">
        <v>1183.0999999998808</v>
      </c>
      <c r="D1335" s="90">
        <v>70415.8</v>
      </c>
      <c r="E1335" s="90">
        <v>1183.1999999998807</v>
      </c>
      <c r="G1335" s="66">
        <v>1183.1999999998807</v>
      </c>
      <c r="H1335" s="66">
        <v>70415.8</v>
      </c>
      <c r="I1335" s="66">
        <v>1183.2999999998806</v>
      </c>
      <c r="J1335" s="66">
        <v>70550.7</v>
      </c>
    </row>
    <row r="1336" spans="2:10">
      <c r="B1336" s="90">
        <v>70415.8</v>
      </c>
      <c r="C1336" s="90">
        <v>1183.1999999998807</v>
      </c>
      <c r="D1336" s="90">
        <v>70550.7</v>
      </c>
      <c r="E1336" s="90">
        <v>1183.2999999998806</v>
      </c>
      <c r="G1336" s="66">
        <v>1183.2999999998806</v>
      </c>
      <c r="H1336" s="66">
        <v>70550.7</v>
      </c>
      <c r="I1336" s="66">
        <v>1183.3999999998805</v>
      </c>
      <c r="J1336" s="66">
        <v>70685.600000000006</v>
      </c>
    </row>
    <row r="1337" spans="2:10">
      <c r="B1337" s="90">
        <v>70550.7</v>
      </c>
      <c r="C1337" s="90">
        <v>1183.2999999998806</v>
      </c>
      <c r="D1337" s="90">
        <v>70685.600000000006</v>
      </c>
      <c r="E1337" s="90">
        <v>1183.3999999998805</v>
      </c>
      <c r="G1337" s="66">
        <v>1183.3999999998805</v>
      </c>
      <c r="H1337" s="66">
        <v>70685.600000000006</v>
      </c>
      <c r="I1337" s="66">
        <v>1183.4999999998804</v>
      </c>
      <c r="J1337" s="66">
        <v>70820.5</v>
      </c>
    </row>
    <row r="1338" spans="2:10">
      <c r="B1338" s="90">
        <v>70685.600000000006</v>
      </c>
      <c r="C1338" s="90">
        <v>1183.3999999998805</v>
      </c>
      <c r="D1338" s="90">
        <v>70820.5</v>
      </c>
      <c r="E1338" s="90">
        <v>1183.4999999998804</v>
      </c>
      <c r="G1338" s="66">
        <v>1183.4999999998804</v>
      </c>
      <c r="H1338" s="66">
        <v>70820.5</v>
      </c>
      <c r="I1338" s="66">
        <v>1183.5999999998803</v>
      </c>
      <c r="J1338" s="66">
        <v>70955.399999999994</v>
      </c>
    </row>
    <row r="1339" spans="2:10">
      <c r="B1339" s="90">
        <v>70820.5</v>
      </c>
      <c r="C1339" s="90">
        <v>1183.4999999998804</v>
      </c>
      <c r="D1339" s="90">
        <v>70955.399999999994</v>
      </c>
      <c r="E1339" s="90">
        <v>1183.5999999998803</v>
      </c>
      <c r="G1339" s="66">
        <v>1183.5999999998803</v>
      </c>
      <c r="H1339" s="66">
        <v>70955.399999999994</v>
      </c>
      <c r="I1339" s="66">
        <v>1183.6999999998802</v>
      </c>
      <c r="J1339" s="66">
        <v>71090.3</v>
      </c>
    </row>
    <row r="1340" spans="2:10">
      <c r="B1340" s="90">
        <v>70955.399999999994</v>
      </c>
      <c r="C1340" s="90">
        <v>1183.5999999998803</v>
      </c>
      <c r="D1340" s="90">
        <v>71090.3</v>
      </c>
      <c r="E1340" s="90">
        <v>1183.6999999998802</v>
      </c>
      <c r="G1340" s="66">
        <v>1183.6999999998802</v>
      </c>
      <c r="H1340" s="66">
        <v>71090.3</v>
      </c>
      <c r="I1340" s="66">
        <v>1183.7999999998801</v>
      </c>
      <c r="J1340" s="66">
        <v>71225.2</v>
      </c>
    </row>
    <row r="1341" spans="2:10">
      <c r="B1341" s="90">
        <v>71090.3</v>
      </c>
      <c r="C1341" s="90">
        <v>1183.6999999998802</v>
      </c>
      <c r="D1341" s="90">
        <v>71225.2</v>
      </c>
      <c r="E1341" s="90">
        <v>1183.7999999998801</v>
      </c>
      <c r="G1341" s="66">
        <v>1183.7999999998801</v>
      </c>
      <c r="H1341" s="66">
        <v>71225.2</v>
      </c>
      <c r="I1341" s="66">
        <v>1183.89999999988</v>
      </c>
      <c r="J1341" s="66">
        <v>71360.099999999948</v>
      </c>
    </row>
    <row r="1342" spans="2:10">
      <c r="B1342" s="90">
        <v>71225.2</v>
      </c>
      <c r="C1342" s="90">
        <v>1183.7999999998801</v>
      </c>
      <c r="D1342" s="90">
        <v>71360.099999999948</v>
      </c>
      <c r="E1342" s="90">
        <v>1183.89999999988</v>
      </c>
      <c r="G1342" s="66">
        <v>1183.89999999988</v>
      </c>
      <c r="H1342" s="66">
        <v>71360.099999999948</v>
      </c>
      <c r="I1342" s="66">
        <v>1183.9999999998799</v>
      </c>
      <c r="J1342" s="66">
        <v>71495</v>
      </c>
    </row>
    <row r="1343" spans="2:10">
      <c r="B1343" s="90">
        <v>71360.099999999948</v>
      </c>
      <c r="C1343" s="90">
        <v>1183.89999999988</v>
      </c>
      <c r="D1343" s="90">
        <v>71495</v>
      </c>
      <c r="E1343" s="90">
        <v>1183.9999999998799</v>
      </c>
      <c r="G1343" s="66">
        <v>1183.9999999998799</v>
      </c>
      <c r="H1343" s="66">
        <v>71495</v>
      </c>
      <c r="I1343" s="66">
        <v>1184.0999999998799</v>
      </c>
      <c r="J1343" s="66">
        <v>71631.5</v>
      </c>
    </row>
    <row r="1344" spans="2:10">
      <c r="B1344" s="90">
        <v>71495</v>
      </c>
      <c r="C1344" s="90">
        <v>1183.9999999998799</v>
      </c>
      <c r="D1344" s="90">
        <v>71631.5</v>
      </c>
      <c r="E1344" s="90">
        <v>1184.0999999998799</v>
      </c>
      <c r="G1344" s="66">
        <v>1184.0999999998799</v>
      </c>
      <c r="H1344" s="66">
        <v>71631.5</v>
      </c>
      <c r="I1344" s="66">
        <v>1184.1999999998798</v>
      </c>
      <c r="J1344" s="66">
        <v>71768</v>
      </c>
    </row>
    <row r="1345" spans="2:10">
      <c r="B1345" s="90">
        <v>71631.5</v>
      </c>
      <c r="C1345" s="90">
        <v>1184.0999999998799</v>
      </c>
      <c r="D1345" s="90">
        <v>71768</v>
      </c>
      <c r="E1345" s="90">
        <v>1184.1999999998798</v>
      </c>
      <c r="G1345" s="66">
        <v>1184.1999999998798</v>
      </c>
      <c r="H1345" s="66">
        <v>71768</v>
      </c>
      <c r="I1345" s="66">
        <v>1184.2999999998797</v>
      </c>
      <c r="J1345" s="66">
        <v>71904.5</v>
      </c>
    </row>
    <row r="1346" spans="2:10">
      <c r="B1346" s="90">
        <v>71768</v>
      </c>
      <c r="C1346" s="90">
        <v>1184.1999999998798</v>
      </c>
      <c r="D1346" s="90">
        <v>71904.5</v>
      </c>
      <c r="E1346" s="90">
        <v>1184.2999999998797</v>
      </c>
      <c r="G1346" s="66">
        <v>1184.2999999998797</v>
      </c>
      <c r="H1346" s="66">
        <v>71904.5</v>
      </c>
      <c r="I1346" s="66">
        <v>1184.3999999998796</v>
      </c>
      <c r="J1346" s="66">
        <v>72041</v>
      </c>
    </row>
    <row r="1347" spans="2:10">
      <c r="B1347" s="90">
        <v>71904.5</v>
      </c>
      <c r="C1347" s="90">
        <v>1184.2999999998797</v>
      </c>
      <c r="D1347" s="90">
        <v>72041</v>
      </c>
      <c r="E1347" s="90">
        <v>1184.3999999998796</v>
      </c>
      <c r="G1347" s="66">
        <v>1184.3999999998796</v>
      </c>
      <c r="H1347" s="66">
        <v>72041</v>
      </c>
      <c r="I1347" s="66">
        <v>1184.4999999998795</v>
      </c>
      <c r="J1347" s="66">
        <v>72177.5</v>
      </c>
    </row>
    <row r="1348" spans="2:10">
      <c r="B1348" s="90">
        <v>72041</v>
      </c>
      <c r="C1348" s="90">
        <v>1184.3999999998796</v>
      </c>
      <c r="D1348" s="90">
        <v>72177.5</v>
      </c>
      <c r="E1348" s="90">
        <v>1184.4999999998795</v>
      </c>
      <c r="G1348" s="66">
        <v>1184.4999999998795</v>
      </c>
      <c r="H1348" s="66">
        <v>72177.5</v>
      </c>
      <c r="I1348" s="66">
        <v>1184.5999999998794</v>
      </c>
      <c r="J1348" s="66">
        <v>72314</v>
      </c>
    </row>
    <row r="1349" spans="2:10">
      <c r="B1349" s="90">
        <v>72177.5</v>
      </c>
      <c r="C1349" s="90">
        <v>1184.4999999998795</v>
      </c>
      <c r="D1349" s="90">
        <v>72314</v>
      </c>
      <c r="E1349" s="90">
        <v>1184.5999999998794</v>
      </c>
      <c r="G1349" s="66">
        <v>1184.5999999998794</v>
      </c>
      <c r="H1349" s="66">
        <v>72314</v>
      </c>
      <c r="I1349" s="66">
        <v>1184.6999999998793</v>
      </c>
      <c r="J1349" s="66">
        <v>72450.5</v>
      </c>
    </row>
    <row r="1350" spans="2:10">
      <c r="B1350" s="90">
        <v>72314</v>
      </c>
      <c r="C1350" s="90">
        <v>1184.5999999998794</v>
      </c>
      <c r="D1350" s="90">
        <v>72450.5</v>
      </c>
      <c r="E1350" s="90">
        <v>1184.6999999998793</v>
      </c>
      <c r="G1350" s="66">
        <v>1184.6999999998793</v>
      </c>
      <c r="H1350" s="66">
        <v>72450.5</v>
      </c>
      <c r="I1350" s="66">
        <v>1184.7999999998792</v>
      </c>
      <c r="J1350" s="66">
        <v>72587</v>
      </c>
    </row>
    <row r="1351" spans="2:10">
      <c r="B1351" s="90">
        <v>72450.5</v>
      </c>
      <c r="C1351" s="90">
        <v>1184.6999999998793</v>
      </c>
      <c r="D1351" s="90">
        <v>72587</v>
      </c>
      <c r="E1351" s="90">
        <v>1184.7999999998792</v>
      </c>
      <c r="G1351" s="66">
        <v>1184.7999999998792</v>
      </c>
      <c r="H1351" s="66">
        <v>72587</v>
      </c>
      <c r="I1351" s="66">
        <v>1184.8999999998791</v>
      </c>
      <c r="J1351" s="66">
        <v>72723.5</v>
      </c>
    </row>
    <row r="1352" spans="2:10">
      <c r="B1352" s="90">
        <v>72587</v>
      </c>
      <c r="C1352" s="90">
        <v>1184.7999999998792</v>
      </c>
      <c r="D1352" s="90">
        <v>72723.5</v>
      </c>
      <c r="E1352" s="90">
        <v>1184.8999999998791</v>
      </c>
      <c r="G1352" s="66">
        <v>1184.8999999998791</v>
      </c>
      <c r="H1352" s="66">
        <v>72723.5</v>
      </c>
      <c r="I1352" s="66">
        <v>1184.999999999879</v>
      </c>
      <c r="J1352" s="66">
        <v>72860</v>
      </c>
    </row>
    <row r="1353" spans="2:10">
      <c r="B1353" s="90">
        <v>72723.5</v>
      </c>
      <c r="C1353" s="90">
        <v>1184.8999999998791</v>
      </c>
      <c r="D1353" s="90">
        <v>72860</v>
      </c>
      <c r="E1353" s="90">
        <v>1184.999999999879</v>
      </c>
      <c r="G1353" s="66">
        <v>1184.999999999879</v>
      </c>
      <c r="H1353" s="66">
        <v>72860</v>
      </c>
      <c r="I1353" s="66">
        <v>1185.0999999998789</v>
      </c>
      <c r="J1353" s="66">
        <v>72998</v>
      </c>
    </row>
    <row r="1354" spans="2:10">
      <c r="B1354" s="90">
        <v>72860</v>
      </c>
      <c r="C1354" s="90">
        <v>1184.999999999879</v>
      </c>
      <c r="D1354" s="90">
        <v>72998</v>
      </c>
      <c r="E1354" s="90">
        <v>1185.0999999998789</v>
      </c>
      <c r="G1354" s="66">
        <v>1185.0999999998789</v>
      </c>
      <c r="H1354" s="66">
        <v>72998</v>
      </c>
      <c r="I1354" s="66">
        <v>1185.1999999998789</v>
      </c>
      <c r="J1354" s="66">
        <v>73136</v>
      </c>
    </row>
    <row r="1355" spans="2:10">
      <c r="B1355" s="90">
        <v>72998</v>
      </c>
      <c r="C1355" s="90">
        <v>1185.0999999998789</v>
      </c>
      <c r="D1355" s="90">
        <v>73136</v>
      </c>
      <c r="E1355" s="90">
        <v>1185.1999999998789</v>
      </c>
      <c r="G1355" s="66">
        <v>1185.1999999998789</v>
      </c>
      <c r="H1355" s="66">
        <v>73136</v>
      </c>
      <c r="I1355" s="66">
        <v>1185.2999999998788</v>
      </c>
      <c r="J1355" s="66">
        <v>73274</v>
      </c>
    </row>
    <row r="1356" spans="2:10">
      <c r="B1356" s="90">
        <v>73136</v>
      </c>
      <c r="C1356" s="90">
        <v>1185.1999999998789</v>
      </c>
      <c r="D1356" s="90">
        <v>73274</v>
      </c>
      <c r="E1356" s="90">
        <v>1185.2999999998788</v>
      </c>
      <c r="G1356" s="66">
        <v>1185.2999999998788</v>
      </c>
      <c r="H1356" s="66">
        <v>73274</v>
      </c>
      <c r="I1356" s="66">
        <v>1185.3999999998787</v>
      </c>
      <c r="J1356" s="66">
        <v>73412</v>
      </c>
    </row>
    <row r="1357" spans="2:10">
      <c r="B1357" s="90">
        <v>73274</v>
      </c>
      <c r="C1357" s="90">
        <v>1185.2999999998788</v>
      </c>
      <c r="D1357" s="90">
        <v>73412</v>
      </c>
      <c r="E1357" s="90">
        <v>1185.3999999998787</v>
      </c>
      <c r="G1357" s="66">
        <v>1185.3999999998787</v>
      </c>
      <c r="H1357" s="66">
        <v>73412</v>
      </c>
      <c r="I1357" s="66">
        <v>1185.4999999998786</v>
      </c>
      <c r="J1357" s="66">
        <v>73550</v>
      </c>
    </row>
    <row r="1358" spans="2:10">
      <c r="B1358" s="90">
        <v>73412</v>
      </c>
      <c r="C1358" s="90">
        <v>1185.3999999998787</v>
      </c>
      <c r="D1358" s="90">
        <v>73550</v>
      </c>
      <c r="E1358" s="90">
        <v>1185.4999999998786</v>
      </c>
      <c r="G1358" s="66">
        <v>1185.4999999998786</v>
      </c>
      <c r="H1358" s="66">
        <v>73550</v>
      </c>
      <c r="I1358" s="66">
        <v>1185.5999999998785</v>
      </c>
      <c r="J1358" s="66">
        <v>73688</v>
      </c>
    </row>
    <row r="1359" spans="2:10">
      <c r="B1359" s="90">
        <v>73550</v>
      </c>
      <c r="C1359" s="90">
        <v>1185.4999999998786</v>
      </c>
      <c r="D1359" s="90">
        <v>73688</v>
      </c>
      <c r="E1359" s="90">
        <v>1185.5999999998785</v>
      </c>
      <c r="G1359" s="66">
        <v>1185.5999999998785</v>
      </c>
      <c r="H1359" s="66">
        <v>73688</v>
      </c>
      <c r="I1359" s="66">
        <v>1185.6999999998784</v>
      </c>
      <c r="J1359" s="66">
        <v>73826</v>
      </c>
    </row>
    <row r="1360" spans="2:10">
      <c r="B1360" s="90">
        <v>73688</v>
      </c>
      <c r="C1360" s="90">
        <v>1185.5999999998785</v>
      </c>
      <c r="D1360" s="90">
        <v>73826</v>
      </c>
      <c r="E1360" s="90">
        <v>1185.6999999998784</v>
      </c>
      <c r="G1360" s="66">
        <v>1185.6999999998784</v>
      </c>
      <c r="H1360" s="66">
        <v>73826</v>
      </c>
      <c r="I1360" s="66">
        <v>1185.7999999998783</v>
      </c>
      <c r="J1360" s="66">
        <v>73964</v>
      </c>
    </row>
    <row r="1361" spans="2:10">
      <c r="B1361" s="90">
        <v>73826</v>
      </c>
      <c r="C1361" s="90">
        <v>1185.6999999998784</v>
      </c>
      <c r="D1361" s="90">
        <v>73964</v>
      </c>
      <c r="E1361" s="90">
        <v>1185.7999999998783</v>
      </c>
      <c r="G1361" s="66">
        <v>1185.7999999998783</v>
      </c>
      <c r="H1361" s="66">
        <v>73964</v>
      </c>
      <c r="I1361" s="66">
        <v>1185.8999999998782</v>
      </c>
      <c r="J1361" s="66">
        <v>74102</v>
      </c>
    </row>
    <row r="1362" spans="2:10">
      <c r="B1362" s="90">
        <v>73964</v>
      </c>
      <c r="C1362" s="90">
        <v>1185.7999999998783</v>
      </c>
      <c r="D1362" s="90">
        <v>74102</v>
      </c>
      <c r="E1362" s="90">
        <v>1185.8999999998782</v>
      </c>
      <c r="G1362" s="66">
        <v>1185.8999999998782</v>
      </c>
      <c r="H1362" s="66">
        <v>74102</v>
      </c>
      <c r="I1362" s="66">
        <v>1185.9999999998781</v>
      </c>
      <c r="J1362" s="66">
        <v>74240</v>
      </c>
    </row>
    <row r="1363" spans="2:10">
      <c r="B1363" s="90">
        <v>74102</v>
      </c>
      <c r="C1363" s="90">
        <v>1185.8999999998782</v>
      </c>
      <c r="D1363" s="90">
        <v>74240</v>
      </c>
      <c r="E1363" s="90">
        <v>1185.9999999998781</v>
      </c>
      <c r="G1363" s="66">
        <v>1185.9999999998781</v>
      </c>
      <c r="H1363" s="66">
        <v>74240</v>
      </c>
      <c r="I1363" s="66">
        <v>1186.099999999878</v>
      </c>
      <c r="J1363" s="66">
        <v>74379.5</v>
      </c>
    </row>
    <row r="1364" spans="2:10">
      <c r="B1364" s="90">
        <v>74240</v>
      </c>
      <c r="C1364" s="90">
        <v>1185.9999999998781</v>
      </c>
      <c r="D1364" s="90">
        <v>74379.5</v>
      </c>
      <c r="E1364" s="90">
        <v>1186.099999999878</v>
      </c>
      <c r="G1364" s="66">
        <v>1186.099999999878</v>
      </c>
      <c r="H1364" s="66">
        <v>74379.5</v>
      </c>
      <c r="I1364" s="66">
        <v>1186.1999999998779</v>
      </c>
      <c r="J1364" s="66">
        <v>74519</v>
      </c>
    </row>
    <row r="1365" spans="2:10">
      <c r="B1365" s="90">
        <v>74379.5</v>
      </c>
      <c r="C1365" s="90">
        <v>1186.099999999878</v>
      </c>
      <c r="D1365" s="90">
        <v>74519</v>
      </c>
      <c r="E1365" s="90">
        <v>1186.1999999998779</v>
      </c>
      <c r="G1365" s="66">
        <v>1186.1999999998779</v>
      </c>
      <c r="H1365" s="66">
        <v>74519</v>
      </c>
      <c r="I1365" s="66">
        <v>1186.2999999998779</v>
      </c>
      <c r="J1365" s="66">
        <v>74658.5</v>
      </c>
    </row>
    <row r="1366" spans="2:10">
      <c r="B1366" s="90">
        <v>74519</v>
      </c>
      <c r="C1366" s="90">
        <v>1186.1999999998779</v>
      </c>
      <c r="D1366" s="90">
        <v>74658.5</v>
      </c>
      <c r="E1366" s="90">
        <v>1186.2999999998779</v>
      </c>
      <c r="G1366" s="66">
        <v>1186.2999999998779</v>
      </c>
      <c r="H1366" s="66">
        <v>74658.5</v>
      </c>
      <c r="I1366" s="66">
        <v>1186.3999999998778</v>
      </c>
      <c r="J1366" s="66">
        <v>74798</v>
      </c>
    </row>
    <row r="1367" spans="2:10">
      <c r="B1367" s="90">
        <v>74658.5</v>
      </c>
      <c r="C1367" s="90">
        <v>1186.2999999998779</v>
      </c>
      <c r="D1367" s="90">
        <v>74798</v>
      </c>
      <c r="E1367" s="90">
        <v>1186.3999999998778</v>
      </c>
      <c r="G1367" s="66">
        <v>1186.3999999998778</v>
      </c>
      <c r="H1367" s="66">
        <v>74798</v>
      </c>
      <c r="I1367" s="66">
        <v>1186.4999999998777</v>
      </c>
      <c r="J1367" s="66">
        <v>74937.5</v>
      </c>
    </row>
    <row r="1368" spans="2:10">
      <c r="B1368" s="90">
        <v>74798</v>
      </c>
      <c r="C1368" s="90">
        <v>1186.3999999998778</v>
      </c>
      <c r="D1368" s="90">
        <v>74937.5</v>
      </c>
      <c r="E1368" s="90">
        <v>1186.4999999998777</v>
      </c>
      <c r="G1368" s="66">
        <v>1186.4999999998777</v>
      </c>
      <c r="H1368" s="66">
        <v>74937.5</v>
      </c>
      <c r="I1368" s="66">
        <v>1186.5999999998776</v>
      </c>
      <c r="J1368" s="66">
        <v>75077</v>
      </c>
    </row>
    <row r="1369" spans="2:10">
      <c r="B1369" s="90">
        <v>74937.5</v>
      </c>
      <c r="C1369" s="90">
        <v>1186.4999999998777</v>
      </c>
      <c r="D1369" s="90">
        <v>75077</v>
      </c>
      <c r="E1369" s="90">
        <v>1186.5999999998776</v>
      </c>
      <c r="G1369" s="66">
        <v>1186.5999999998776</v>
      </c>
      <c r="H1369" s="66">
        <v>75077</v>
      </c>
      <c r="I1369" s="66">
        <v>1186.6999999998775</v>
      </c>
      <c r="J1369" s="66">
        <v>75216.5</v>
      </c>
    </row>
    <row r="1370" spans="2:10">
      <c r="B1370" s="90">
        <v>75077</v>
      </c>
      <c r="C1370" s="90">
        <v>1186.5999999998776</v>
      </c>
      <c r="D1370" s="90">
        <v>75216.5</v>
      </c>
      <c r="E1370" s="90">
        <v>1186.6999999998775</v>
      </c>
      <c r="G1370" s="66">
        <v>1186.6999999998775</v>
      </c>
      <c r="H1370" s="66">
        <v>75216.5</v>
      </c>
      <c r="I1370" s="66">
        <v>1186.7999999998774</v>
      </c>
      <c r="J1370" s="66">
        <v>75356</v>
      </c>
    </row>
    <row r="1371" spans="2:10">
      <c r="B1371" s="90">
        <v>75216.5</v>
      </c>
      <c r="C1371" s="90">
        <v>1186.6999999998775</v>
      </c>
      <c r="D1371" s="90">
        <v>75356</v>
      </c>
      <c r="E1371" s="90">
        <v>1186.7999999998774</v>
      </c>
      <c r="G1371" s="66">
        <v>1186.7999999998774</v>
      </c>
      <c r="H1371" s="66">
        <v>75356</v>
      </c>
      <c r="I1371" s="66">
        <v>1186.8999999998773</v>
      </c>
      <c r="J1371" s="66">
        <v>75495.5</v>
      </c>
    </row>
    <row r="1372" spans="2:10">
      <c r="B1372" s="90">
        <v>75356</v>
      </c>
      <c r="C1372" s="90">
        <v>1186.7999999998774</v>
      </c>
      <c r="D1372" s="90">
        <v>75495.5</v>
      </c>
      <c r="E1372" s="90">
        <v>1186.8999999998773</v>
      </c>
      <c r="G1372" s="66">
        <v>1186.8999999998773</v>
      </c>
      <c r="H1372" s="66">
        <v>75495.5</v>
      </c>
      <c r="I1372" s="66">
        <v>1186.9999999998772</v>
      </c>
      <c r="J1372" s="66">
        <v>75635</v>
      </c>
    </row>
    <row r="1373" spans="2:10">
      <c r="B1373" s="90">
        <v>75495.5</v>
      </c>
      <c r="C1373" s="90">
        <v>1186.8999999998773</v>
      </c>
      <c r="D1373" s="90">
        <v>75635</v>
      </c>
      <c r="E1373" s="90">
        <v>1186.9999999998772</v>
      </c>
      <c r="G1373" s="66">
        <v>1186.9999999998772</v>
      </c>
      <c r="H1373" s="66">
        <v>75635</v>
      </c>
      <c r="I1373" s="66">
        <v>1187.0999999998771</v>
      </c>
      <c r="J1373" s="66">
        <v>75776</v>
      </c>
    </row>
    <row r="1374" spans="2:10">
      <c r="B1374" s="90">
        <v>75635</v>
      </c>
      <c r="C1374" s="90">
        <v>1186.9999999998772</v>
      </c>
      <c r="D1374" s="90">
        <v>75776</v>
      </c>
      <c r="E1374" s="90">
        <v>1187.0999999998771</v>
      </c>
      <c r="G1374" s="66">
        <v>1187.0999999998771</v>
      </c>
      <c r="H1374" s="66">
        <v>75776</v>
      </c>
      <c r="I1374" s="66">
        <v>1187.199999999877</v>
      </c>
      <c r="J1374" s="66">
        <v>75917</v>
      </c>
    </row>
    <row r="1375" spans="2:10">
      <c r="B1375" s="90">
        <v>75776</v>
      </c>
      <c r="C1375" s="90">
        <v>1187.0999999998771</v>
      </c>
      <c r="D1375" s="90">
        <v>75917</v>
      </c>
      <c r="E1375" s="90">
        <v>1187.199999999877</v>
      </c>
      <c r="G1375" s="66">
        <v>1187.199999999877</v>
      </c>
      <c r="H1375" s="66">
        <v>75917</v>
      </c>
      <c r="I1375" s="66">
        <v>1187.2999999998769</v>
      </c>
      <c r="J1375" s="66">
        <v>76058</v>
      </c>
    </row>
    <row r="1376" spans="2:10">
      <c r="B1376" s="90">
        <v>75917</v>
      </c>
      <c r="C1376" s="90">
        <v>1187.199999999877</v>
      </c>
      <c r="D1376" s="90">
        <v>76058</v>
      </c>
      <c r="E1376" s="90">
        <v>1187.2999999998769</v>
      </c>
      <c r="G1376" s="66">
        <v>1187.2999999998769</v>
      </c>
      <c r="H1376" s="66">
        <v>76058</v>
      </c>
      <c r="I1376" s="66">
        <v>1187.3999999998769</v>
      </c>
      <c r="J1376" s="66">
        <v>76199</v>
      </c>
    </row>
    <row r="1377" spans="2:10">
      <c r="B1377" s="90">
        <v>76058</v>
      </c>
      <c r="C1377" s="90">
        <v>1187.2999999998769</v>
      </c>
      <c r="D1377" s="90">
        <v>76199</v>
      </c>
      <c r="E1377" s="90">
        <v>1187.3999999998769</v>
      </c>
      <c r="G1377" s="66">
        <v>1187.3999999998769</v>
      </c>
      <c r="H1377" s="66">
        <v>76199</v>
      </c>
      <c r="I1377" s="66">
        <v>1187.4999999998768</v>
      </c>
      <c r="J1377" s="66">
        <v>76340</v>
      </c>
    </row>
    <row r="1378" spans="2:10">
      <c r="B1378" s="90">
        <v>76199</v>
      </c>
      <c r="C1378" s="90">
        <v>1187.3999999998769</v>
      </c>
      <c r="D1378" s="90">
        <v>76340</v>
      </c>
      <c r="E1378" s="90">
        <v>1187.4999999998768</v>
      </c>
      <c r="G1378" s="66">
        <v>1187.4999999998768</v>
      </c>
      <c r="H1378" s="66">
        <v>76340</v>
      </c>
      <c r="I1378" s="66">
        <v>1187.5999999998767</v>
      </c>
      <c r="J1378" s="66">
        <v>76481</v>
      </c>
    </row>
    <row r="1379" spans="2:10">
      <c r="B1379" s="90">
        <v>76340</v>
      </c>
      <c r="C1379" s="90">
        <v>1187.4999999998768</v>
      </c>
      <c r="D1379" s="90">
        <v>76481</v>
      </c>
      <c r="E1379" s="90">
        <v>1187.5999999998767</v>
      </c>
      <c r="G1379" s="66">
        <v>1187.5999999998767</v>
      </c>
      <c r="H1379" s="66">
        <v>76481</v>
      </c>
      <c r="I1379" s="66">
        <v>1187.6999999998766</v>
      </c>
      <c r="J1379" s="66">
        <v>76622</v>
      </c>
    </row>
    <row r="1380" spans="2:10">
      <c r="B1380" s="90">
        <v>76481</v>
      </c>
      <c r="C1380" s="90">
        <v>1187.5999999998767</v>
      </c>
      <c r="D1380" s="90">
        <v>76622</v>
      </c>
      <c r="E1380" s="90">
        <v>1187.6999999998766</v>
      </c>
      <c r="G1380" s="66">
        <v>1187.6999999998766</v>
      </c>
      <c r="H1380" s="66">
        <v>76622</v>
      </c>
      <c r="I1380" s="66">
        <v>1187.7999999998765</v>
      </c>
      <c r="J1380" s="66">
        <v>76763</v>
      </c>
    </row>
    <row r="1381" spans="2:10">
      <c r="B1381" s="90">
        <v>76622</v>
      </c>
      <c r="C1381" s="90">
        <v>1187.6999999998766</v>
      </c>
      <c r="D1381" s="90">
        <v>76763</v>
      </c>
      <c r="E1381" s="90">
        <v>1187.7999999998765</v>
      </c>
      <c r="G1381" s="66">
        <v>1187.7999999998765</v>
      </c>
      <c r="H1381" s="66">
        <v>76763</v>
      </c>
      <c r="I1381" s="66">
        <v>1187.8999999998764</v>
      </c>
      <c r="J1381" s="66">
        <v>76904</v>
      </c>
    </row>
    <row r="1382" spans="2:10">
      <c r="B1382" s="90">
        <v>76763</v>
      </c>
      <c r="C1382" s="90">
        <v>1187.7999999998765</v>
      </c>
      <c r="D1382" s="90">
        <v>76904</v>
      </c>
      <c r="E1382" s="90">
        <v>1187.8999999998764</v>
      </c>
      <c r="G1382" s="66">
        <v>1187.8999999998764</v>
      </c>
      <c r="H1382" s="66">
        <v>76904</v>
      </c>
      <c r="I1382" s="66">
        <v>1187.9999999998763</v>
      </c>
      <c r="J1382" s="66">
        <v>77045</v>
      </c>
    </row>
    <row r="1383" spans="2:10">
      <c r="B1383" s="90">
        <v>76904</v>
      </c>
      <c r="C1383" s="90">
        <v>1187.8999999998764</v>
      </c>
      <c r="D1383" s="90">
        <v>77045</v>
      </c>
      <c r="E1383" s="90">
        <v>1187.9999999998763</v>
      </c>
      <c r="G1383" s="66">
        <v>1187.9999999998763</v>
      </c>
      <c r="H1383" s="66">
        <v>77045</v>
      </c>
      <c r="I1383" s="66">
        <v>1188.0999999998762</v>
      </c>
      <c r="J1383" s="66">
        <v>77187.600000000006</v>
      </c>
    </row>
    <row r="1384" spans="2:10">
      <c r="B1384" s="90">
        <v>77045</v>
      </c>
      <c r="C1384" s="90">
        <v>1187.9999999998763</v>
      </c>
      <c r="D1384" s="90">
        <v>77187.600000000006</v>
      </c>
      <c r="E1384" s="90">
        <v>1188.0999999998762</v>
      </c>
      <c r="G1384" s="66">
        <v>1188.0999999998762</v>
      </c>
      <c r="H1384" s="66">
        <v>77187.600000000006</v>
      </c>
      <c r="I1384" s="66">
        <v>1188.1999999998761</v>
      </c>
      <c r="J1384" s="66">
        <v>77330.2</v>
      </c>
    </row>
    <row r="1385" spans="2:10">
      <c r="B1385" s="90">
        <v>77187.600000000006</v>
      </c>
      <c r="C1385" s="90">
        <v>1188.0999999998762</v>
      </c>
      <c r="D1385" s="90">
        <v>77330.2</v>
      </c>
      <c r="E1385" s="90">
        <v>1188.1999999998761</v>
      </c>
      <c r="G1385" s="66">
        <v>1188.1999999998761</v>
      </c>
      <c r="H1385" s="66">
        <v>77330.2</v>
      </c>
      <c r="I1385" s="66">
        <v>1188.299999999876</v>
      </c>
      <c r="J1385" s="66">
        <v>77472.800000000003</v>
      </c>
    </row>
    <row r="1386" spans="2:10">
      <c r="B1386" s="90">
        <v>77330.2</v>
      </c>
      <c r="C1386" s="90">
        <v>1188.1999999998761</v>
      </c>
      <c r="D1386" s="90">
        <v>77472.800000000003</v>
      </c>
      <c r="E1386" s="90">
        <v>1188.299999999876</v>
      </c>
      <c r="G1386" s="66">
        <v>1188.299999999876</v>
      </c>
      <c r="H1386" s="66">
        <v>77472.800000000003</v>
      </c>
      <c r="I1386" s="66">
        <v>1188.3999999998759</v>
      </c>
      <c r="J1386" s="66">
        <v>77615.399999999994</v>
      </c>
    </row>
    <row r="1387" spans="2:10">
      <c r="B1387" s="90">
        <v>77472.800000000003</v>
      </c>
      <c r="C1387" s="90">
        <v>1188.299999999876</v>
      </c>
      <c r="D1387" s="90">
        <v>77615.399999999994</v>
      </c>
      <c r="E1387" s="90">
        <v>1188.3999999998759</v>
      </c>
      <c r="G1387" s="66">
        <v>1188.3999999998759</v>
      </c>
      <c r="H1387" s="66">
        <v>77615.399999999994</v>
      </c>
      <c r="I1387" s="66">
        <v>1188.4999999998759</v>
      </c>
      <c r="J1387" s="66">
        <v>77758</v>
      </c>
    </row>
    <row r="1388" spans="2:10">
      <c r="B1388" s="90">
        <v>77615.399999999994</v>
      </c>
      <c r="C1388" s="90">
        <v>1188.3999999998759</v>
      </c>
      <c r="D1388" s="90">
        <v>77758</v>
      </c>
      <c r="E1388" s="90">
        <v>1188.4999999998759</v>
      </c>
      <c r="G1388" s="66">
        <v>1188.4999999998759</v>
      </c>
      <c r="H1388" s="66">
        <v>77758</v>
      </c>
      <c r="I1388" s="66">
        <v>1188.5999999998758</v>
      </c>
      <c r="J1388" s="66">
        <v>77900.600000000006</v>
      </c>
    </row>
    <row r="1389" spans="2:10">
      <c r="B1389" s="90">
        <v>77758</v>
      </c>
      <c r="C1389" s="90">
        <v>1188.4999999998759</v>
      </c>
      <c r="D1389" s="90">
        <v>77900.600000000006</v>
      </c>
      <c r="E1389" s="90">
        <v>1188.5999999998758</v>
      </c>
      <c r="G1389" s="66">
        <v>1188.5999999998758</v>
      </c>
      <c r="H1389" s="66">
        <v>77900.600000000006</v>
      </c>
      <c r="I1389" s="66">
        <v>1188.6999999998757</v>
      </c>
      <c r="J1389" s="66">
        <v>78043.199999999997</v>
      </c>
    </row>
    <row r="1390" spans="2:10">
      <c r="B1390" s="90">
        <v>77900.600000000006</v>
      </c>
      <c r="C1390" s="90">
        <v>1188.5999999998758</v>
      </c>
      <c r="D1390" s="90">
        <v>78043.199999999997</v>
      </c>
      <c r="E1390" s="90">
        <v>1188.6999999998757</v>
      </c>
      <c r="G1390" s="66">
        <v>1188.6999999998757</v>
      </c>
      <c r="H1390" s="66">
        <v>78043.199999999997</v>
      </c>
      <c r="I1390" s="66">
        <v>1188.7999999998756</v>
      </c>
      <c r="J1390" s="66">
        <v>78185.8</v>
      </c>
    </row>
    <row r="1391" spans="2:10">
      <c r="B1391" s="90">
        <v>78043.199999999997</v>
      </c>
      <c r="C1391" s="90">
        <v>1188.6999999998757</v>
      </c>
      <c r="D1391" s="90">
        <v>78185.8</v>
      </c>
      <c r="E1391" s="90">
        <v>1188.7999999998756</v>
      </c>
      <c r="G1391" s="66">
        <v>1188.7999999998756</v>
      </c>
      <c r="H1391" s="66">
        <v>78185.8</v>
      </c>
      <c r="I1391" s="66">
        <v>1188.8999999998755</v>
      </c>
      <c r="J1391" s="66">
        <v>78328.400000000052</v>
      </c>
    </row>
    <row r="1392" spans="2:10">
      <c r="B1392" s="90">
        <v>78185.8</v>
      </c>
      <c r="C1392" s="90">
        <v>1188.7999999998756</v>
      </c>
      <c r="D1392" s="90">
        <v>78328.400000000052</v>
      </c>
      <c r="E1392" s="90">
        <v>1188.8999999998755</v>
      </c>
      <c r="G1392" s="66">
        <v>1188.8999999998755</v>
      </c>
      <c r="H1392" s="66">
        <v>78328.400000000052</v>
      </c>
      <c r="I1392" s="66">
        <v>1188.9999999998754</v>
      </c>
      <c r="J1392" s="66">
        <v>78471</v>
      </c>
    </row>
    <row r="1393" spans="2:10">
      <c r="B1393" s="90">
        <v>78328.400000000052</v>
      </c>
      <c r="C1393" s="90">
        <v>1188.8999999998755</v>
      </c>
      <c r="D1393" s="90">
        <v>78471</v>
      </c>
      <c r="E1393" s="90">
        <v>1188.9999999998754</v>
      </c>
      <c r="G1393" s="66">
        <v>1188.9999999998754</v>
      </c>
      <c r="H1393" s="66">
        <v>78471</v>
      </c>
      <c r="I1393" s="66">
        <v>1189.0999999998753</v>
      </c>
      <c r="J1393" s="66">
        <v>78615.100000000006</v>
      </c>
    </row>
    <row r="1394" spans="2:10">
      <c r="B1394" s="90">
        <v>78471</v>
      </c>
      <c r="C1394" s="90">
        <v>1188.9999999998754</v>
      </c>
      <c r="D1394" s="90">
        <v>78615.100000000006</v>
      </c>
      <c r="E1394" s="90">
        <v>1189.0999999998753</v>
      </c>
      <c r="G1394" s="66">
        <v>1189.0999999998753</v>
      </c>
      <c r="H1394" s="66">
        <v>78615.100000000006</v>
      </c>
      <c r="I1394" s="66">
        <v>1189.1999999998752</v>
      </c>
      <c r="J1394" s="66">
        <v>78759.199999999997</v>
      </c>
    </row>
    <row r="1395" spans="2:10">
      <c r="B1395" s="90">
        <v>78615.100000000006</v>
      </c>
      <c r="C1395" s="90">
        <v>1189.0999999998753</v>
      </c>
      <c r="D1395" s="90">
        <v>78759.199999999997</v>
      </c>
      <c r="E1395" s="90">
        <v>1189.1999999998752</v>
      </c>
      <c r="G1395" s="66">
        <v>1189.1999999998752</v>
      </c>
      <c r="H1395" s="66">
        <v>78759.199999999997</v>
      </c>
      <c r="I1395" s="66">
        <v>1189.2999999998751</v>
      </c>
      <c r="J1395" s="66">
        <v>78903.3</v>
      </c>
    </row>
    <row r="1396" spans="2:10">
      <c r="B1396" s="90">
        <v>78759.199999999997</v>
      </c>
      <c r="C1396" s="90">
        <v>1189.1999999998752</v>
      </c>
      <c r="D1396" s="90">
        <v>78903.3</v>
      </c>
      <c r="E1396" s="90">
        <v>1189.2999999998751</v>
      </c>
      <c r="G1396" s="66">
        <v>1189.2999999998751</v>
      </c>
      <c r="H1396" s="66">
        <v>78903.3</v>
      </c>
      <c r="I1396" s="66">
        <v>1189.399999999875</v>
      </c>
      <c r="J1396" s="66">
        <v>79047.399999999994</v>
      </c>
    </row>
    <row r="1397" spans="2:10">
      <c r="B1397" s="90">
        <v>78903.3</v>
      </c>
      <c r="C1397" s="90">
        <v>1189.2999999998751</v>
      </c>
      <c r="D1397" s="90">
        <v>79047.399999999994</v>
      </c>
      <c r="E1397" s="90">
        <v>1189.399999999875</v>
      </c>
      <c r="G1397" s="66">
        <v>1189.399999999875</v>
      </c>
      <c r="H1397" s="66">
        <v>79047.399999999994</v>
      </c>
      <c r="I1397" s="66">
        <v>1189.4999999998749</v>
      </c>
      <c r="J1397" s="66">
        <v>79191.5</v>
      </c>
    </row>
    <row r="1398" spans="2:10">
      <c r="B1398" s="90">
        <v>79047.399999999994</v>
      </c>
      <c r="C1398" s="90">
        <v>1189.399999999875</v>
      </c>
      <c r="D1398" s="90">
        <v>79191.5</v>
      </c>
      <c r="E1398" s="90">
        <v>1189.4999999998749</v>
      </c>
      <c r="G1398" s="66">
        <v>1189.4999999998749</v>
      </c>
      <c r="H1398" s="66">
        <v>79191.5</v>
      </c>
      <c r="I1398" s="66">
        <v>1189.5999999998749</v>
      </c>
      <c r="J1398" s="66">
        <v>79335.600000000006</v>
      </c>
    </row>
    <row r="1399" spans="2:10">
      <c r="B1399" s="90">
        <v>79191.5</v>
      </c>
      <c r="C1399" s="90">
        <v>1189.4999999998749</v>
      </c>
      <c r="D1399" s="90">
        <v>79335.600000000006</v>
      </c>
      <c r="E1399" s="90">
        <v>1189.5999999998749</v>
      </c>
      <c r="G1399" s="66">
        <v>1189.5999999998749</v>
      </c>
      <c r="H1399" s="66">
        <v>79335.600000000006</v>
      </c>
      <c r="I1399" s="66">
        <v>1189.6999999998748</v>
      </c>
      <c r="J1399" s="66">
        <v>79479.7</v>
      </c>
    </row>
    <row r="1400" spans="2:10">
      <c r="B1400" s="90">
        <v>79335.600000000006</v>
      </c>
      <c r="C1400" s="90">
        <v>1189.5999999998749</v>
      </c>
      <c r="D1400" s="90">
        <v>79479.7</v>
      </c>
      <c r="E1400" s="90">
        <v>1189.6999999998748</v>
      </c>
      <c r="G1400" s="66">
        <v>1189.6999999998748</v>
      </c>
      <c r="H1400" s="66">
        <v>79479.7</v>
      </c>
      <c r="I1400" s="66">
        <v>1189.7999999998747</v>
      </c>
      <c r="J1400" s="66">
        <v>79623.8</v>
      </c>
    </row>
    <row r="1401" spans="2:10">
      <c r="B1401" s="90">
        <v>79479.7</v>
      </c>
      <c r="C1401" s="90">
        <v>1189.6999999998748</v>
      </c>
      <c r="D1401" s="90">
        <v>79623.8</v>
      </c>
      <c r="E1401" s="90">
        <v>1189.7999999998747</v>
      </c>
      <c r="G1401" s="66">
        <v>1189.7999999998747</v>
      </c>
      <c r="H1401" s="66">
        <v>79623.8</v>
      </c>
      <c r="I1401" s="66">
        <v>1189.8999999998746</v>
      </c>
      <c r="J1401" s="66">
        <v>79767.900000000052</v>
      </c>
    </row>
    <row r="1402" spans="2:10">
      <c r="B1402" s="90">
        <v>79623.8</v>
      </c>
      <c r="C1402" s="90">
        <v>1189.7999999998747</v>
      </c>
      <c r="D1402" s="90">
        <v>79767.900000000052</v>
      </c>
      <c r="E1402" s="90">
        <v>1189.8999999998746</v>
      </c>
      <c r="G1402" s="66">
        <v>1189.8999999998746</v>
      </c>
      <c r="H1402" s="66">
        <v>79767.900000000052</v>
      </c>
      <c r="I1402" s="66">
        <v>1189.9999999998745</v>
      </c>
      <c r="J1402" s="66">
        <v>79912</v>
      </c>
    </row>
    <row r="1403" spans="2:10">
      <c r="B1403" s="90">
        <v>79767.900000000052</v>
      </c>
      <c r="C1403" s="90">
        <v>1189.8999999998746</v>
      </c>
      <c r="D1403" s="90">
        <v>79912</v>
      </c>
      <c r="E1403" s="90">
        <v>1189.9999999998745</v>
      </c>
      <c r="G1403" s="66">
        <v>1189.9999999998745</v>
      </c>
      <c r="H1403" s="66">
        <v>79912</v>
      </c>
      <c r="I1403" s="66">
        <v>1190.0999999998744</v>
      </c>
      <c r="J1403" s="66">
        <v>80057.8</v>
      </c>
    </row>
    <row r="1404" spans="2:10">
      <c r="B1404" s="90">
        <v>79912</v>
      </c>
      <c r="C1404" s="90">
        <v>1189.9999999998745</v>
      </c>
      <c r="D1404" s="90">
        <v>80057.8</v>
      </c>
      <c r="E1404" s="90">
        <v>1190.0999999998744</v>
      </c>
      <c r="G1404" s="66">
        <v>1190.0999999998744</v>
      </c>
      <c r="H1404" s="66">
        <v>80057.8</v>
      </c>
      <c r="I1404" s="66">
        <v>1190.1999999998743</v>
      </c>
      <c r="J1404" s="66">
        <v>80203.600000000006</v>
      </c>
    </row>
    <row r="1405" spans="2:10">
      <c r="B1405" s="90">
        <v>80057.8</v>
      </c>
      <c r="C1405" s="90">
        <v>1190.0999999998744</v>
      </c>
      <c r="D1405" s="90">
        <v>80203.600000000006</v>
      </c>
      <c r="E1405" s="90">
        <v>1190.1999999998743</v>
      </c>
      <c r="G1405" s="66">
        <v>1190.1999999998743</v>
      </c>
      <c r="H1405" s="66">
        <v>80203.600000000006</v>
      </c>
      <c r="I1405" s="66">
        <v>1190.2999999998742</v>
      </c>
      <c r="J1405" s="66">
        <v>80349.399999999994</v>
      </c>
    </row>
    <row r="1406" spans="2:10">
      <c r="B1406" s="90">
        <v>80203.600000000006</v>
      </c>
      <c r="C1406" s="90">
        <v>1190.1999999998743</v>
      </c>
      <c r="D1406" s="90">
        <v>80349.399999999994</v>
      </c>
      <c r="E1406" s="90">
        <v>1190.2999999998742</v>
      </c>
      <c r="G1406" s="66">
        <v>1190.2999999998742</v>
      </c>
      <c r="H1406" s="66">
        <v>80349.399999999994</v>
      </c>
      <c r="I1406" s="66">
        <v>1190.3999999998741</v>
      </c>
      <c r="J1406" s="66">
        <v>80495.199999999997</v>
      </c>
    </row>
    <row r="1407" spans="2:10">
      <c r="B1407" s="90">
        <v>80349.399999999994</v>
      </c>
      <c r="C1407" s="90">
        <v>1190.2999999998742</v>
      </c>
      <c r="D1407" s="90">
        <v>80495.199999999997</v>
      </c>
      <c r="E1407" s="90">
        <v>1190.3999999998741</v>
      </c>
      <c r="G1407" s="66">
        <v>1190.3999999998741</v>
      </c>
      <c r="H1407" s="66">
        <v>80495.199999999997</v>
      </c>
      <c r="I1407" s="66">
        <v>1190.499999999874</v>
      </c>
      <c r="J1407" s="66">
        <v>80641</v>
      </c>
    </row>
    <row r="1408" spans="2:10">
      <c r="B1408" s="90">
        <v>80495.199999999997</v>
      </c>
      <c r="C1408" s="90">
        <v>1190.3999999998741</v>
      </c>
      <c r="D1408" s="90">
        <v>80641</v>
      </c>
      <c r="E1408" s="90">
        <v>1190.499999999874</v>
      </c>
      <c r="G1408" s="66">
        <v>1190.499999999874</v>
      </c>
      <c r="H1408" s="66">
        <v>80641</v>
      </c>
      <c r="I1408" s="66">
        <v>1190.5999999998739</v>
      </c>
      <c r="J1408" s="66">
        <v>80786.8</v>
      </c>
    </row>
    <row r="1409" spans="2:10">
      <c r="B1409" s="90">
        <v>80641</v>
      </c>
      <c r="C1409" s="90">
        <v>1190.499999999874</v>
      </c>
      <c r="D1409" s="90">
        <v>80786.8</v>
      </c>
      <c r="E1409" s="90">
        <v>1190.5999999998739</v>
      </c>
      <c r="G1409" s="66">
        <v>1190.5999999998739</v>
      </c>
      <c r="H1409" s="66">
        <v>80786.8</v>
      </c>
      <c r="I1409" s="66">
        <v>1190.6999999998739</v>
      </c>
      <c r="J1409" s="66">
        <v>80932.600000000006</v>
      </c>
    </row>
    <row r="1410" spans="2:10">
      <c r="B1410" s="90">
        <v>80786.8</v>
      </c>
      <c r="C1410" s="90">
        <v>1190.5999999998739</v>
      </c>
      <c r="D1410" s="90">
        <v>80932.600000000006</v>
      </c>
      <c r="E1410" s="90">
        <v>1190.6999999998739</v>
      </c>
      <c r="G1410" s="66">
        <v>1190.6999999998739</v>
      </c>
      <c r="H1410" s="66">
        <v>80932.600000000006</v>
      </c>
      <c r="I1410" s="66">
        <v>1190.7999999998738</v>
      </c>
      <c r="J1410" s="66">
        <v>81078.399999999994</v>
      </c>
    </row>
    <row r="1411" spans="2:10">
      <c r="B1411" s="90">
        <v>80932.600000000006</v>
      </c>
      <c r="C1411" s="90">
        <v>1190.6999999998739</v>
      </c>
      <c r="D1411" s="90">
        <v>81078.399999999994</v>
      </c>
      <c r="E1411" s="90">
        <v>1190.7999999998738</v>
      </c>
      <c r="G1411" s="66">
        <v>1190.7999999998738</v>
      </c>
      <c r="H1411" s="66">
        <v>81078.399999999994</v>
      </c>
      <c r="I1411" s="66">
        <v>1190.8999999998737</v>
      </c>
      <c r="J1411" s="66">
        <v>81224.2</v>
      </c>
    </row>
    <row r="1412" spans="2:10">
      <c r="B1412" s="90">
        <v>81078.399999999994</v>
      </c>
      <c r="C1412" s="90">
        <v>1190.7999999998738</v>
      </c>
      <c r="D1412" s="90">
        <v>81224.2</v>
      </c>
      <c r="E1412" s="90">
        <v>1190.8999999998737</v>
      </c>
      <c r="G1412" s="66">
        <v>1190.8999999998737</v>
      </c>
      <c r="H1412" s="66">
        <v>81224.2</v>
      </c>
      <c r="I1412" s="66">
        <v>1190.9999999998736</v>
      </c>
      <c r="J1412" s="66">
        <v>81370</v>
      </c>
    </row>
    <row r="1413" spans="2:10">
      <c r="B1413" s="90">
        <v>81224.2</v>
      </c>
      <c r="C1413" s="90">
        <v>1190.8999999998737</v>
      </c>
      <c r="D1413" s="90">
        <v>81370</v>
      </c>
      <c r="E1413" s="90">
        <v>1190.9999999998736</v>
      </c>
      <c r="G1413" s="66">
        <v>1190.9999999998736</v>
      </c>
      <c r="H1413" s="66">
        <v>81370</v>
      </c>
      <c r="I1413" s="66">
        <v>1191.0999999998735</v>
      </c>
      <c r="J1413" s="66">
        <v>81517.600000000006</v>
      </c>
    </row>
    <row r="1414" spans="2:10">
      <c r="B1414" s="90">
        <v>81370</v>
      </c>
      <c r="C1414" s="90">
        <v>1190.9999999998736</v>
      </c>
      <c r="D1414" s="90">
        <v>81517.600000000006</v>
      </c>
      <c r="E1414" s="90">
        <v>1191.0999999998735</v>
      </c>
      <c r="G1414" s="66">
        <v>1191.0999999998735</v>
      </c>
      <c r="H1414" s="66">
        <v>81517.600000000006</v>
      </c>
      <c r="I1414" s="66">
        <v>1191.1999999998734</v>
      </c>
      <c r="J1414" s="66">
        <v>81665.2</v>
      </c>
    </row>
    <row r="1415" spans="2:10">
      <c r="B1415" s="90">
        <v>81517.600000000006</v>
      </c>
      <c r="C1415" s="90">
        <v>1191.0999999998735</v>
      </c>
      <c r="D1415" s="90">
        <v>81665.2</v>
      </c>
      <c r="E1415" s="90">
        <v>1191.1999999998734</v>
      </c>
      <c r="G1415" s="66">
        <v>1191.1999999998734</v>
      </c>
      <c r="H1415" s="66">
        <v>81665.2</v>
      </c>
      <c r="I1415" s="66">
        <v>1191.2999999998733</v>
      </c>
      <c r="J1415" s="66">
        <v>81812.800000000003</v>
      </c>
    </row>
    <row r="1416" spans="2:10">
      <c r="B1416" s="90">
        <v>81665.2</v>
      </c>
      <c r="C1416" s="90">
        <v>1191.1999999998734</v>
      </c>
      <c r="D1416" s="90">
        <v>81812.800000000003</v>
      </c>
      <c r="E1416" s="90">
        <v>1191.2999999998733</v>
      </c>
      <c r="G1416" s="66">
        <v>1191.2999999998733</v>
      </c>
      <c r="H1416" s="66">
        <v>81812.800000000003</v>
      </c>
      <c r="I1416" s="66">
        <v>1191.3999999998732</v>
      </c>
      <c r="J1416" s="66">
        <v>81960.399999999994</v>
      </c>
    </row>
    <row r="1417" spans="2:10">
      <c r="B1417" s="90">
        <v>81812.800000000003</v>
      </c>
      <c r="C1417" s="90">
        <v>1191.2999999998733</v>
      </c>
      <c r="D1417" s="90">
        <v>81960.399999999994</v>
      </c>
      <c r="E1417" s="90">
        <v>1191.3999999998732</v>
      </c>
      <c r="G1417" s="66">
        <v>1191.3999999998732</v>
      </c>
      <c r="H1417" s="66">
        <v>81960.399999999994</v>
      </c>
      <c r="I1417" s="66">
        <v>1191.4999999998731</v>
      </c>
      <c r="J1417" s="66">
        <v>82108</v>
      </c>
    </row>
    <row r="1418" spans="2:10">
      <c r="B1418" s="90">
        <v>81960.399999999994</v>
      </c>
      <c r="C1418" s="90">
        <v>1191.3999999998732</v>
      </c>
      <c r="D1418" s="90">
        <v>82108</v>
      </c>
      <c r="E1418" s="90">
        <v>1191.4999999998731</v>
      </c>
      <c r="G1418" s="66">
        <v>1191.4999999998731</v>
      </c>
      <c r="H1418" s="66">
        <v>82108</v>
      </c>
      <c r="I1418" s="66">
        <v>1191.599999999873</v>
      </c>
      <c r="J1418" s="66">
        <v>82255.600000000006</v>
      </c>
    </row>
    <row r="1419" spans="2:10">
      <c r="B1419" s="90">
        <v>82108</v>
      </c>
      <c r="C1419" s="90">
        <v>1191.4999999998731</v>
      </c>
      <c r="D1419" s="90">
        <v>82255.600000000006</v>
      </c>
      <c r="E1419" s="90">
        <v>1191.599999999873</v>
      </c>
      <c r="G1419" s="66">
        <v>1191.599999999873</v>
      </c>
      <c r="H1419" s="66">
        <v>82255.600000000006</v>
      </c>
      <c r="I1419" s="66">
        <v>1191.6999999998729</v>
      </c>
      <c r="J1419" s="66">
        <v>82403.199999999997</v>
      </c>
    </row>
    <row r="1420" spans="2:10">
      <c r="B1420" s="90">
        <v>82255.600000000006</v>
      </c>
      <c r="C1420" s="90">
        <v>1191.599999999873</v>
      </c>
      <c r="D1420" s="90">
        <v>82403.199999999997</v>
      </c>
      <c r="E1420" s="90">
        <v>1191.6999999998729</v>
      </c>
      <c r="G1420" s="66">
        <v>1191.6999999998729</v>
      </c>
      <c r="H1420" s="66">
        <v>82403.199999999997</v>
      </c>
      <c r="I1420" s="66">
        <v>1191.7999999998729</v>
      </c>
      <c r="J1420" s="66">
        <v>82550.8</v>
      </c>
    </row>
    <row r="1421" spans="2:10">
      <c r="B1421" s="90">
        <v>82403.199999999997</v>
      </c>
      <c r="C1421" s="90">
        <v>1191.6999999998729</v>
      </c>
      <c r="D1421" s="90">
        <v>82550.8</v>
      </c>
      <c r="E1421" s="90">
        <v>1191.7999999998729</v>
      </c>
      <c r="G1421" s="66">
        <v>1191.7999999998729</v>
      </c>
      <c r="H1421" s="66">
        <v>82550.8</v>
      </c>
      <c r="I1421" s="66">
        <v>1191.8999999998728</v>
      </c>
      <c r="J1421" s="66">
        <v>82698.400000000052</v>
      </c>
    </row>
    <row r="1422" spans="2:10">
      <c r="B1422" s="90">
        <v>82550.8</v>
      </c>
      <c r="C1422" s="90">
        <v>1191.7999999998729</v>
      </c>
      <c r="D1422" s="90">
        <v>82698.400000000052</v>
      </c>
      <c r="E1422" s="90">
        <v>1191.8999999998728</v>
      </c>
      <c r="G1422" s="66">
        <v>1191.8999999998728</v>
      </c>
      <c r="H1422" s="66">
        <v>82698.400000000052</v>
      </c>
      <c r="I1422" s="66">
        <v>1191.9999999998727</v>
      </c>
      <c r="J1422" s="66">
        <v>82846</v>
      </c>
    </row>
    <row r="1423" spans="2:10">
      <c r="B1423" s="90">
        <v>82698.400000000052</v>
      </c>
      <c r="C1423" s="90">
        <v>1191.8999999998728</v>
      </c>
      <c r="D1423" s="90">
        <v>82846</v>
      </c>
      <c r="E1423" s="90">
        <v>1191.9999999998727</v>
      </c>
      <c r="G1423" s="66">
        <v>1191.9999999998727</v>
      </c>
      <c r="H1423" s="66">
        <v>82846</v>
      </c>
      <c r="I1423" s="66">
        <v>1192.0999999998726</v>
      </c>
      <c r="J1423" s="66">
        <v>82995.399999999994</v>
      </c>
    </row>
    <row r="1424" spans="2:10">
      <c r="B1424" s="90">
        <v>82846</v>
      </c>
      <c r="C1424" s="90">
        <v>1191.9999999998727</v>
      </c>
      <c r="D1424" s="90">
        <v>82995.399999999994</v>
      </c>
      <c r="E1424" s="90">
        <v>1192.0999999998726</v>
      </c>
      <c r="G1424" s="66">
        <v>1192.0999999998726</v>
      </c>
      <c r="H1424" s="66">
        <v>82995.399999999994</v>
      </c>
      <c r="I1424" s="66">
        <v>1192.1999999998725</v>
      </c>
      <c r="J1424" s="66">
        <v>83144.800000000003</v>
      </c>
    </row>
    <row r="1425" spans="2:10">
      <c r="B1425" s="90">
        <v>82995.399999999994</v>
      </c>
      <c r="C1425" s="90">
        <v>1192.0999999998726</v>
      </c>
      <c r="D1425" s="90">
        <v>83144.800000000003</v>
      </c>
      <c r="E1425" s="90">
        <v>1192.1999999998725</v>
      </c>
      <c r="G1425" s="66">
        <v>1192.1999999998725</v>
      </c>
      <c r="H1425" s="66">
        <v>83144.800000000003</v>
      </c>
      <c r="I1425" s="66">
        <v>1192.2999999998724</v>
      </c>
      <c r="J1425" s="66">
        <v>83294.2</v>
      </c>
    </row>
    <row r="1426" spans="2:10">
      <c r="B1426" s="90">
        <v>83144.800000000003</v>
      </c>
      <c r="C1426" s="90">
        <v>1192.1999999998725</v>
      </c>
      <c r="D1426" s="90">
        <v>83294.2</v>
      </c>
      <c r="E1426" s="90">
        <v>1192.2999999998724</v>
      </c>
      <c r="G1426" s="66">
        <v>1192.2999999998724</v>
      </c>
      <c r="H1426" s="66">
        <v>83294.2</v>
      </c>
      <c r="I1426" s="66">
        <v>1192.3999999998723</v>
      </c>
      <c r="J1426" s="66">
        <v>83443.600000000006</v>
      </c>
    </row>
    <row r="1427" spans="2:10">
      <c r="B1427" s="90">
        <v>83294.2</v>
      </c>
      <c r="C1427" s="90">
        <v>1192.2999999998724</v>
      </c>
      <c r="D1427" s="90">
        <v>83443.600000000006</v>
      </c>
      <c r="E1427" s="90">
        <v>1192.3999999998723</v>
      </c>
      <c r="G1427" s="66">
        <v>1192.3999999998723</v>
      </c>
      <c r="H1427" s="66">
        <v>83443.600000000006</v>
      </c>
      <c r="I1427" s="66">
        <v>1192.4999999998722</v>
      </c>
      <c r="J1427" s="66">
        <v>83593</v>
      </c>
    </row>
    <row r="1428" spans="2:10">
      <c r="B1428" s="90">
        <v>83443.600000000006</v>
      </c>
      <c r="C1428" s="90">
        <v>1192.3999999998723</v>
      </c>
      <c r="D1428" s="90">
        <v>83593</v>
      </c>
      <c r="E1428" s="90">
        <v>1192.4999999998722</v>
      </c>
      <c r="G1428" s="66">
        <v>1192.4999999998722</v>
      </c>
      <c r="H1428" s="66">
        <v>83593</v>
      </c>
      <c r="I1428" s="66">
        <v>1192.5999999998721</v>
      </c>
      <c r="J1428" s="66">
        <v>83742.399999999994</v>
      </c>
    </row>
    <row r="1429" spans="2:10">
      <c r="B1429" s="90">
        <v>83593</v>
      </c>
      <c r="C1429" s="90">
        <v>1192.4999999998722</v>
      </c>
      <c r="D1429" s="90">
        <v>83742.399999999994</v>
      </c>
      <c r="E1429" s="90">
        <v>1192.5999999998721</v>
      </c>
      <c r="G1429" s="66">
        <v>1192.5999999998721</v>
      </c>
      <c r="H1429" s="66">
        <v>83742.399999999994</v>
      </c>
      <c r="I1429" s="66">
        <v>1192.699999999872</v>
      </c>
      <c r="J1429" s="66">
        <v>83891.8</v>
      </c>
    </row>
    <row r="1430" spans="2:10">
      <c r="B1430" s="90">
        <v>83742.399999999994</v>
      </c>
      <c r="C1430" s="90">
        <v>1192.5999999998721</v>
      </c>
      <c r="D1430" s="90">
        <v>83891.8</v>
      </c>
      <c r="E1430" s="90">
        <v>1192.699999999872</v>
      </c>
      <c r="G1430" s="66">
        <v>1192.699999999872</v>
      </c>
      <c r="H1430" s="66">
        <v>83891.8</v>
      </c>
      <c r="I1430" s="66">
        <v>1192.7999999998719</v>
      </c>
      <c r="J1430" s="66">
        <v>84041.2</v>
      </c>
    </row>
    <row r="1431" spans="2:10">
      <c r="B1431" s="90">
        <v>83891.8</v>
      </c>
      <c r="C1431" s="90">
        <v>1192.699999999872</v>
      </c>
      <c r="D1431" s="90">
        <v>84041.2</v>
      </c>
      <c r="E1431" s="90">
        <v>1192.7999999998719</v>
      </c>
      <c r="G1431" s="66">
        <v>1192.7999999998719</v>
      </c>
      <c r="H1431" s="66">
        <v>84041.2</v>
      </c>
      <c r="I1431" s="66">
        <v>1192.8999999998719</v>
      </c>
      <c r="J1431" s="66">
        <v>84190.599999999948</v>
      </c>
    </row>
    <row r="1432" spans="2:10">
      <c r="B1432" s="90">
        <v>84041.2</v>
      </c>
      <c r="C1432" s="90">
        <v>1192.7999999998719</v>
      </c>
      <c r="D1432" s="90">
        <v>84190.599999999948</v>
      </c>
      <c r="E1432" s="90">
        <v>1192.8999999998719</v>
      </c>
      <c r="G1432" s="66">
        <v>1192.8999999998719</v>
      </c>
      <c r="H1432" s="66">
        <v>84190.599999999948</v>
      </c>
      <c r="I1432" s="66">
        <v>1192.9999999998718</v>
      </c>
      <c r="J1432" s="66">
        <v>84340</v>
      </c>
    </row>
    <row r="1433" spans="2:10">
      <c r="B1433" s="90">
        <v>84190.599999999948</v>
      </c>
      <c r="C1433" s="90">
        <v>1192.8999999998719</v>
      </c>
      <c r="D1433" s="90">
        <v>84340</v>
      </c>
      <c r="E1433" s="90">
        <v>1192.9999999998718</v>
      </c>
      <c r="G1433" s="66">
        <v>1192.9999999998718</v>
      </c>
      <c r="H1433" s="66">
        <v>84340</v>
      </c>
      <c r="I1433" s="66">
        <v>1193.0999999998717</v>
      </c>
      <c r="J1433" s="66">
        <v>84491.3</v>
      </c>
    </row>
    <row r="1434" spans="2:10">
      <c r="B1434" s="90">
        <v>84340</v>
      </c>
      <c r="C1434" s="90">
        <v>1192.9999999998718</v>
      </c>
      <c r="D1434" s="90">
        <v>84491.3</v>
      </c>
      <c r="E1434" s="90">
        <v>1193.0999999998717</v>
      </c>
      <c r="G1434" s="66">
        <v>1193.0999999998717</v>
      </c>
      <c r="H1434" s="66">
        <v>84491.3</v>
      </c>
      <c r="I1434" s="66">
        <v>1193.1999999998716</v>
      </c>
      <c r="J1434" s="66">
        <v>84642.6</v>
      </c>
    </row>
    <row r="1435" spans="2:10">
      <c r="B1435" s="90">
        <v>84491.3</v>
      </c>
      <c r="C1435" s="90">
        <v>1193.0999999998717</v>
      </c>
      <c r="D1435" s="90">
        <v>84642.6</v>
      </c>
      <c r="E1435" s="90">
        <v>1193.1999999998716</v>
      </c>
      <c r="G1435" s="66">
        <v>1193.1999999998716</v>
      </c>
      <c r="H1435" s="66">
        <v>84642.6</v>
      </c>
      <c r="I1435" s="66">
        <v>1193.2999999998715</v>
      </c>
      <c r="J1435" s="66">
        <v>84793.9</v>
      </c>
    </row>
    <row r="1436" spans="2:10">
      <c r="B1436" s="90">
        <v>84642.6</v>
      </c>
      <c r="C1436" s="90">
        <v>1193.1999999998716</v>
      </c>
      <c r="D1436" s="90">
        <v>84793.9</v>
      </c>
      <c r="E1436" s="90">
        <v>1193.2999999998715</v>
      </c>
      <c r="G1436" s="66">
        <v>1193.2999999998715</v>
      </c>
      <c r="H1436" s="66">
        <v>84793.9</v>
      </c>
      <c r="I1436" s="66">
        <v>1193.3999999998714</v>
      </c>
      <c r="J1436" s="66">
        <v>84945.2</v>
      </c>
    </row>
    <row r="1437" spans="2:10">
      <c r="B1437" s="90">
        <v>84793.9</v>
      </c>
      <c r="C1437" s="90">
        <v>1193.2999999998715</v>
      </c>
      <c r="D1437" s="90">
        <v>84945.2</v>
      </c>
      <c r="E1437" s="90">
        <v>1193.3999999998714</v>
      </c>
      <c r="G1437" s="66">
        <v>1193.3999999998714</v>
      </c>
      <c r="H1437" s="66">
        <v>84945.2</v>
      </c>
      <c r="I1437" s="66">
        <v>1193.4999999998713</v>
      </c>
      <c r="J1437" s="66">
        <v>85096.5</v>
      </c>
    </row>
    <row r="1438" spans="2:10">
      <c r="B1438" s="90">
        <v>84945.2</v>
      </c>
      <c r="C1438" s="90">
        <v>1193.3999999998714</v>
      </c>
      <c r="D1438" s="90">
        <v>85096.5</v>
      </c>
      <c r="E1438" s="90">
        <v>1193.4999999998713</v>
      </c>
      <c r="G1438" s="66">
        <v>1193.4999999998713</v>
      </c>
      <c r="H1438" s="66">
        <v>85096.5</v>
      </c>
      <c r="I1438" s="66">
        <v>1193.5999999998712</v>
      </c>
      <c r="J1438" s="66">
        <v>85247.8</v>
      </c>
    </row>
    <row r="1439" spans="2:10">
      <c r="B1439" s="90">
        <v>85096.5</v>
      </c>
      <c r="C1439" s="90">
        <v>1193.4999999998713</v>
      </c>
      <c r="D1439" s="90">
        <v>85247.8</v>
      </c>
      <c r="E1439" s="90">
        <v>1193.5999999998712</v>
      </c>
      <c r="G1439" s="66">
        <v>1193.5999999998712</v>
      </c>
      <c r="H1439" s="66">
        <v>85247.8</v>
      </c>
      <c r="I1439" s="66">
        <v>1193.6999999998711</v>
      </c>
      <c r="J1439" s="66">
        <v>85399.1</v>
      </c>
    </row>
    <row r="1440" spans="2:10">
      <c r="B1440" s="90">
        <v>85247.8</v>
      </c>
      <c r="C1440" s="90">
        <v>1193.5999999998712</v>
      </c>
      <c r="D1440" s="90">
        <v>85399.1</v>
      </c>
      <c r="E1440" s="90">
        <v>1193.6999999998711</v>
      </c>
      <c r="G1440" s="66">
        <v>1193.6999999998711</v>
      </c>
      <c r="H1440" s="66">
        <v>85399.1</v>
      </c>
      <c r="I1440" s="66">
        <v>1193.799999999871</v>
      </c>
      <c r="J1440" s="66">
        <v>85550.399999999994</v>
      </c>
    </row>
    <row r="1441" spans="2:10">
      <c r="B1441" s="90">
        <v>85399.1</v>
      </c>
      <c r="C1441" s="90">
        <v>1193.6999999998711</v>
      </c>
      <c r="D1441" s="90">
        <v>85550.399999999994</v>
      </c>
      <c r="E1441" s="90">
        <v>1193.799999999871</v>
      </c>
      <c r="G1441" s="66">
        <v>1193.799999999871</v>
      </c>
      <c r="H1441" s="66">
        <v>85550.399999999994</v>
      </c>
      <c r="I1441" s="66">
        <v>1193.8999999998709</v>
      </c>
      <c r="J1441" s="66">
        <v>85701.7</v>
      </c>
    </row>
    <row r="1442" spans="2:10">
      <c r="B1442" s="90">
        <v>85550.399999999994</v>
      </c>
      <c r="C1442" s="90">
        <v>1193.799999999871</v>
      </c>
      <c r="D1442" s="90">
        <v>85701.7</v>
      </c>
      <c r="E1442" s="90">
        <v>1193.8999999998709</v>
      </c>
      <c r="G1442" s="66">
        <v>1193.8999999998709</v>
      </c>
      <c r="H1442" s="66">
        <v>85701.7</v>
      </c>
      <c r="I1442" s="66">
        <v>1193.9999999998709</v>
      </c>
      <c r="J1442" s="66">
        <v>85853</v>
      </c>
    </row>
    <row r="1443" spans="2:10">
      <c r="B1443" s="90">
        <v>85701.7</v>
      </c>
      <c r="C1443" s="90">
        <v>1193.8999999998709</v>
      </c>
      <c r="D1443" s="90">
        <v>85853</v>
      </c>
      <c r="E1443" s="90">
        <v>1193.9999999998709</v>
      </c>
      <c r="G1443" s="66">
        <v>1193.9999999998709</v>
      </c>
      <c r="H1443" s="66">
        <v>85853</v>
      </c>
      <c r="I1443" s="66">
        <v>1194.0999999998708</v>
      </c>
      <c r="J1443" s="66">
        <v>86006</v>
      </c>
    </row>
    <row r="1444" spans="2:10">
      <c r="B1444" s="90">
        <v>85853</v>
      </c>
      <c r="C1444" s="90">
        <v>1193.9999999998709</v>
      </c>
      <c r="D1444" s="90">
        <v>86006</v>
      </c>
      <c r="E1444" s="90">
        <v>1194.0999999998708</v>
      </c>
      <c r="G1444" s="66">
        <v>1194.0999999998708</v>
      </c>
      <c r="H1444" s="66">
        <v>86006</v>
      </c>
      <c r="I1444" s="66">
        <v>1194.1999999998707</v>
      </c>
      <c r="J1444" s="66">
        <v>86159</v>
      </c>
    </row>
    <row r="1445" spans="2:10">
      <c r="B1445" s="90">
        <v>86006</v>
      </c>
      <c r="C1445" s="90">
        <v>1194.0999999998708</v>
      </c>
      <c r="D1445" s="90">
        <v>86159</v>
      </c>
      <c r="E1445" s="90">
        <v>1194.1999999998707</v>
      </c>
      <c r="G1445" s="66">
        <v>1194.1999999998707</v>
      </c>
      <c r="H1445" s="66">
        <v>86159</v>
      </c>
      <c r="I1445" s="66">
        <v>1194.2999999998706</v>
      </c>
      <c r="J1445" s="66">
        <v>86312</v>
      </c>
    </row>
    <row r="1446" spans="2:10">
      <c r="B1446" s="90">
        <v>86159</v>
      </c>
      <c r="C1446" s="90">
        <v>1194.1999999998707</v>
      </c>
      <c r="D1446" s="90">
        <v>86312</v>
      </c>
      <c r="E1446" s="90">
        <v>1194.2999999998706</v>
      </c>
      <c r="G1446" s="66">
        <v>1194.2999999998706</v>
      </c>
      <c r="H1446" s="66">
        <v>86312</v>
      </c>
      <c r="I1446" s="66">
        <v>1194.3999999998705</v>
      </c>
      <c r="J1446" s="66">
        <v>86465</v>
      </c>
    </row>
    <row r="1447" spans="2:10">
      <c r="B1447" s="90">
        <v>86312</v>
      </c>
      <c r="C1447" s="90">
        <v>1194.2999999998706</v>
      </c>
      <c r="D1447" s="90">
        <v>86465</v>
      </c>
      <c r="E1447" s="90">
        <v>1194.3999999998705</v>
      </c>
      <c r="G1447" s="66">
        <v>1194.3999999998705</v>
      </c>
      <c r="H1447" s="66">
        <v>86465</v>
      </c>
      <c r="I1447" s="66">
        <v>1194.4999999998704</v>
      </c>
      <c r="J1447" s="66">
        <v>86618</v>
      </c>
    </row>
    <row r="1448" spans="2:10">
      <c r="B1448" s="90">
        <v>86465</v>
      </c>
      <c r="C1448" s="90">
        <v>1194.3999999998705</v>
      </c>
      <c r="D1448" s="90">
        <v>86618</v>
      </c>
      <c r="E1448" s="90">
        <v>1194.4999999998704</v>
      </c>
      <c r="G1448" s="66">
        <v>1194.4999999998704</v>
      </c>
      <c r="H1448" s="66">
        <v>86618</v>
      </c>
      <c r="I1448" s="66">
        <v>1194.5999999998703</v>
      </c>
      <c r="J1448" s="66">
        <v>86771</v>
      </c>
    </row>
    <row r="1449" spans="2:10">
      <c r="B1449" s="90">
        <v>86618</v>
      </c>
      <c r="C1449" s="90">
        <v>1194.4999999998704</v>
      </c>
      <c r="D1449" s="90">
        <v>86771</v>
      </c>
      <c r="E1449" s="90">
        <v>1194.5999999998703</v>
      </c>
      <c r="G1449" s="66">
        <v>1194.5999999998703</v>
      </c>
      <c r="H1449" s="66">
        <v>86771</v>
      </c>
      <c r="I1449" s="66">
        <v>1194.6999999998702</v>
      </c>
      <c r="J1449" s="66">
        <v>86924</v>
      </c>
    </row>
    <row r="1450" spans="2:10">
      <c r="B1450" s="90">
        <v>86771</v>
      </c>
      <c r="C1450" s="90">
        <v>1194.5999999998703</v>
      </c>
      <c r="D1450" s="90">
        <v>86924</v>
      </c>
      <c r="E1450" s="90">
        <v>1194.6999999998702</v>
      </c>
      <c r="G1450" s="66">
        <v>1194.6999999998702</v>
      </c>
      <c r="H1450" s="66">
        <v>86924</v>
      </c>
      <c r="I1450" s="66">
        <v>1194.7999999998701</v>
      </c>
      <c r="J1450" s="66">
        <v>87077</v>
      </c>
    </row>
    <row r="1451" spans="2:10">
      <c r="B1451" s="90">
        <v>86924</v>
      </c>
      <c r="C1451" s="90">
        <v>1194.6999999998702</v>
      </c>
      <c r="D1451" s="90">
        <v>87077</v>
      </c>
      <c r="E1451" s="90">
        <v>1194.7999999998701</v>
      </c>
      <c r="G1451" s="66">
        <v>1194.7999999998701</v>
      </c>
      <c r="H1451" s="66">
        <v>87077</v>
      </c>
      <c r="I1451" s="66">
        <v>1194.89999999987</v>
      </c>
      <c r="J1451" s="66">
        <v>87230</v>
      </c>
    </row>
    <row r="1452" spans="2:10">
      <c r="B1452" s="90">
        <v>87077</v>
      </c>
      <c r="C1452" s="90">
        <v>1194.7999999998701</v>
      </c>
      <c r="D1452" s="90">
        <v>87230</v>
      </c>
      <c r="E1452" s="90">
        <v>1194.89999999987</v>
      </c>
      <c r="G1452" s="66">
        <v>1194.89999999987</v>
      </c>
      <c r="H1452" s="66">
        <v>87230</v>
      </c>
      <c r="I1452" s="66">
        <v>1194.9999999998699</v>
      </c>
      <c r="J1452" s="66">
        <v>87383</v>
      </c>
    </row>
    <row r="1453" spans="2:10">
      <c r="B1453" s="90">
        <v>87230</v>
      </c>
      <c r="C1453" s="90">
        <v>1194.89999999987</v>
      </c>
      <c r="D1453" s="90">
        <v>87383</v>
      </c>
      <c r="E1453" s="90">
        <v>1194.9999999998699</v>
      </c>
      <c r="G1453" s="66">
        <v>1194.9999999998699</v>
      </c>
      <c r="H1453" s="66">
        <v>87383</v>
      </c>
      <c r="I1453" s="66">
        <v>1195.0999999998699</v>
      </c>
      <c r="J1453" s="66">
        <v>87537.9</v>
      </c>
    </row>
    <row r="1454" spans="2:10">
      <c r="B1454" s="90">
        <v>87383</v>
      </c>
      <c r="C1454" s="90">
        <v>1194.9999999998699</v>
      </c>
      <c r="D1454" s="90">
        <v>87537.9</v>
      </c>
      <c r="E1454" s="90">
        <v>1195.0999999998699</v>
      </c>
      <c r="G1454" s="66">
        <v>1195.0999999998699</v>
      </c>
      <c r="H1454" s="66">
        <v>87537.9</v>
      </c>
      <c r="I1454" s="66">
        <v>1195.1999999998698</v>
      </c>
      <c r="J1454" s="66">
        <v>87692.800000000003</v>
      </c>
    </row>
    <row r="1455" spans="2:10">
      <c r="B1455" s="90">
        <v>87537.9</v>
      </c>
      <c r="C1455" s="90">
        <v>1195.0999999998699</v>
      </c>
      <c r="D1455" s="90">
        <v>87692.800000000003</v>
      </c>
      <c r="E1455" s="90">
        <v>1195.1999999998698</v>
      </c>
      <c r="G1455" s="66">
        <v>1195.1999999998698</v>
      </c>
      <c r="H1455" s="66">
        <v>87692.800000000003</v>
      </c>
      <c r="I1455" s="66">
        <v>1195.2999999998697</v>
      </c>
      <c r="J1455" s="66">
        <v>87847.7</v>
      </c>
    </row>
    <row r="1456" spans="2:10">
      <c r="B1456" s="90">
        <v>87692.800000000003</v>
      </c>
      <c r="C1456" s="90">
        <v>1195.1999999998698</v>
      </c>
      <c r="D1456" s="90">
        <v>87847.7</v>
      </c>
      <c r="E1456" s="90">
        <v>1195.2999999998697</v>
      </c>
      <c r="G1456" s="66">
        <v>1195.2999999998697</v>
      </c>
      <c r="H1456" s="66">
        <v>87847.7</v>
      </c>
      <c r="I1456" s="66">
        <v>1195.3999999998696</v>
      </c>
      <c r="J1456" s="66">
        <v>88002.6</v>
      </c>
    </row>
    <row r="1457" spans="2:10">
      <c r="B1457" s="90">
        <v>87847.7</v>
      </c>
      <c r="C1457" s="90">
        <v>1195.2999999998697</v>
      </c>
      <c r="D1457" s="90">
        <v>88002.6</v>
      </c>
      <c r="E1457" s="90">
        <v>1195.3999999998696</v>
      </c>
      <c r="G1457" s="66">
        <v>1195.3999999998696</v>
      </c>
      <c r="H1457" s="66">
        <v>88002.6</v>
      </c>
      <c r="I1457" s="66">
        <v>1195.4999999998695</v>
      </c>
      <c r="J1457" s="66">
        <v>88157.5</v>
      </c>
    </row>
    <row r="1458" spans="2:10">
      <c r="B1458" s="90">
        <v>88002.6</v>
      </c>
      <c r="C1458" s="90">
        <v>1195.3999999998696</v>
      </c>
      <c r="D1458" s="90">
        <v>88157.5</v>
      </c>
      <c r="E1458" s="90">
        <v>1195.4999999998695</v>
      </c>
      <c r="G1458" s="66">
        <v>1195.4999999998695</v>
      </c>
      <c r="H1458" s="66">
        <v>88157.5</v>
      </c>
      <c r="I1458" s="66">
        <v>1195.5999999998694</v>
      </c>
      <c r="J1458" s="66">
        <v>88312.4</v>
      </c>
    </row>
    <row r="1459" spans="2:10">
      <c r="B1459" s="90">
        <v>88157.5</v>
      </c>
      <c r="C1459" s="90">
        <v>1195.4999999998695</v>
      </c>
      <c r="D1459" s="90">
        <v>88312.4</v>
      </c>
      <c r="E1459" s="90">
        <v>1195.5999999998694</v>
      </c>
      <c r="G1459" s="66">
        <v>1195.5999999998694</v>
      </c>
      <c r="H1459" s="66">
        <v>88312.4</v>
      </c>
      <c r="I1459" s="66">
        <v>1195.6999999998693</v>
      </c>
      <c r="J1459" s="66">
        <v>88467.3</v>
      </c>
    </row>
    <row r="1460" spans="2:10">
      <c r="B1460" s="90">
        <v>88312.4</v>
      </c>
      <c r="C1460" s="90">
        <v>1195.5999999998694</v>
      </c>
      <c r="D1460" s="90">
        <v>88467.3</v>
      </c>
      <c r="E1460" s="90">
        <v>1195.6999999998693</v>
      </c>
      <c r="G1460" s="66">
        <v>1195.6999999998693</v>
      </c>
      <c r="H1460" s="66">
        <v>88467.3</v>
      </c>
      <c r="I1460" s="66">
        <v>1195.7999999998692</v>
      </c>
      <c r="J1460" s="66">
        <v>88622.2</v>
      </c>
    </row>
    <row r="1461" spans="2:10">
      <c r="B1461" s="90">
        <v>88467.3</v>
      </c>
      <c r="C1461" s="90">
        <v>1195.6999999998693</v>
      </c>
      <c r="D1461" s="90">
        <v>88622.2</v>
      </c>
      <c r="E1461" s="90">
        <v>1195.7999999998692</v>
      </c>
      <c r="G1461" s="66">
        <v>1195.7999999998692</v>
      </c>
      <c r="H1461" s="66">
        <v>88622.2</v>
      </c>
      <c r="I1461" s="66">
        <v>1195.8999999998691</v>
      </c>
      <c r="J1461" s="66">
        <v>88777.099999999948</v>
      </c>
    </row>
    <row r="1462" spans="2:10">
      <c r="B1462" s="90">
        <v>88622.2</v>
      </c>
      <c r="C1462" s="90">
        <v>1195.7999999998692</v>
      </c>
      <c r="D1462" s="90">
        <v>88777.099999999948</v>
      </c>
      <c r="E1462" s="90">
        <v>1195.8999999998691</v>
      </c>
      <c r="G1462" s="66">
        <v>1195.8999999998691</v>
      </c>
      <c r="H1462" s="66">
        <v>88777.099999999948</v>
      </c>
      <c r="I1462" s="66">
        <v>1195.999999999869</v>
      </c>
      <c r="J1462" s="66">
        <v>88932</v>
      </c>
    </row>
    <row r="1463" spans="2:10">
      <c r="B1463" s="90">
        <v>88777.099999999948</v>
      </c>
      <c r="C1463" s="90">
        <v>1195.8999999998691</v>
      </c>
      <c r="D1463" s="90">
        <v>88932</v>
      </c>
      <c r="E1463" s="90">
        <v>1195.999999999869</v>
      </c>
      <c r="G1463" s="66">
        <v>1195.999999999869</v>
      </c>
      <c r="H1463" s="66">
        <v>88932</v>
      </c>
      <c r="I1463" s="66">
        <v>1196.0999999998689</v>
      </c>
      <c r="J1463" s="66">
        <v>89088.8</v>
      </c>
    </row>
    <row r="1464" spans="2:10">
      <c r="B1464" s="90">
        <v>88932</v>
      </c>
      <c r="C1464" s="90">
        <v>1195.999999999869</v>
      </c>
      <c r="D1464" s="90">
        <v>89088.8</v>
      </c>
      <c r="E1464" s="90">
        <v>1196.0999999998689</v>
      </c>
      <c r="G1464" s="66">
        <v>1196.0999999998689</v>
      </c>
      <c r="H1464" s="66">
        <v>89088.8</v>
      </c>
      <c r="I1464" s="66">
        <v>1196.1999999998689</v>
      </c>
      <c r="J1464" s="66">
        <v>89245.6</v>
      </c>
    </row>
    <row r="1465" spans="2:10">
      <c r="B1465" s="90">
        <v>89088.8</v>
      </c>
      <c r="C1465" s="90">
        <v>1196.0999999998689</v>
      </c>
      <c r="D1465" s="90">
        <v>89245.6</v>
      </c>
      <c r="E1465" s="90">
        <v>1196.1999999998689</v>
      </c>
      <c r="G1465" s="66">
        <v>1196.1999999998689</v>
      </c>
      <c r="H1465" s="66">
        <v>89245.6</v>
      </c>
      <c r="I1465" s="66">
        <v>1196.2999999998688</v>
      </c>
      <c r="J1465" s="66">
        <v>89402.4</v>
      </c>
    </row>
    <row r="1466" spans="2:10">
      <c r="B1466" s="90">
        <v>89245.6</v>
      </c>
      <c r="C1466" s="90">
        <v>1196.1999999998689</v>
      </c>
      <c r="D1466" s="90">
        <v>89402.4</v>
      </c>
      <c r="E1466" s="90">
        <v>1196.2999999998688</v>
      </c>
      <c r="G1466" s="66">
        <v>1196.2999999998688</v>
      </c>
      <c r="H1466" s="66">
        <v>89402.4</v>
      </c>
      <c r="I1466" s="66">
        <v>1196.3999999998687</v>
      </c>
      <c r="J1466" s="66">
        <v>89559.2</v>
      </c>
    </row>
    <row r="1467" spans="2:10">
      <c r="B1467" s="90">
        <v>89402.4</v>
      </c>
      <c r="C1467" s="90">
        <v>1196.2999999998688</v>
      </c>
      <c r="D1467" s="90">
        <v>89559.2</v>
      </c>
      <c r="E1467" s="90">
        <v>1196.3999999998687</v>
      </c>
      <c r="G1467" s="66">
        <v>1196.3999999998687</v>
      </c>
      <c r="H1467" s="66">
        <v>89559.2</v>
      </c>
      <c r="I1467" s="66">
        <v>1196.4999999998686</v>
      </c>
      <c r="J1467" s="66">
        <v>89716</v>
      </c>
    </row>
    <row r="1468" spans="2:10">
      <c r="B1468" s="90">
        <v>89559.2</v>
      </c>
      <c r="C1468" s="90">
        <v>1196.3999999998687</v>
      </c>
      <c r="D1468" s="90">
        <v>89716</v>
      </c>
      <c r="E1468" s="90">
        <v>1196.4999999998686</v>
      </c>
      <c r="G1468" s="66">
        <v>1196.4999999998686</v>
      </c>
      <c r="H1468" s="66">
        <v>89716</v>
      </c>
      <c r="I1468" s="66">
        <v>1196.5999999998685</v>
      </c>
      <c r="J1468" s="66">
        <v>89872.8</v>
      </c>
    </row>
    <row r="1469" spans="2:10">
      <c r="B1469" s="90">
        <v>89716</v>
      </c>
      <c r="C1469" s="90">
        <v>1196.4999999998686</v>
      </c>
      <c r="D1469" s="90">
        <v>89872.8</v>
      </c>
      <c r="E1469" s="90">
        <v>1196.5999999998685</v>
      </c>
      <c r="G1469" s="66">
        <v>1196.5999999998685</v>
      </c>
      <c r="H1469" s="66">
        <v>89872.8</v>
      </c>
      <c r="I1469" s="66">
        <v>1196.6999999998684</v>
      </c>
      <c r="J1469" s="66">
        <v>90029.6</v>
      </c>
    </row>
    <row r="1470" spans="2:10">
      <c r="B1470" s="90">
        <v>89872.8</v>
      </c>
      <c r="C1470" s="90">
        <v>1196.5999999998685</v>
      </c>
      <c r="D1470" s="90">
        <v>90029.6</v>
      </c>
      <c r="E1470" s="90">
        <v>1196.6999999998684</v>
      </c>
      <c r="G1470" s="66">
        <v>1196.6999999998684</v>
      </c>
      <c r="H1470" s="66">
        <v>90029.6</v>
      </c>
      <c r="I1470" s="66">
        <v>1196.7999999998683</v>
      </c>
      <c r="J1470" s="66">
        <v>90186.4</v>
      </c>
    </row>
    <row r="1471" spans="2:10">
      <c r="B1471" s="90">
        <v>90029.6</v>
      </c>
      <c r="C1471" s="90">
        <v>1196.6999999998684</v>
      </c>
      <c r="D1471" s="90">
        <v>90186.4</v>
      </c>
      <c r="E1471" s="90">
        <v>1196.7999999998683</v>
      </c>
      <c r="G1471" s="66">
        <v>1196.7999999998683</v>
      </c>
      <c r="H1471" s="66">
        <v>90186.4</v>
      </c>
      <c r="I1471" s="66">
        <v>1196.8999999998682</v>
      </c>
      <c r="J1471" s="66">
        <v>90343.2</v>
      </c>
    </row>
    <row r="1472" spans="2:10">
      <c r="B1472" s="90">
        <v>90186.4</v>
      </c>
      <c r="C1472" s="90">
        <v>1196.7999999998683</v>
      </c>
      <c r="D1472" s="90">
        <v>90343.2</v>
      </c>
      <c r="E1472" s="90">
        <v>1196.8999999998682</v>
      </c>
      <c r="G1472" s="66">
        <v>1196.8999999998682</v>
      </c>
      <c r="H1472" s="66">
        <v>90343.2</v>
      </c>
      <c r="I1472" s="66">
        <v>1196.9999999998681</v>
      </c>
      <c r="J1472" s="66">
        <v>90500</v>
      </c>
    </row>
    <row r="1473" spans="2:10">
      <c r="B1473" s="90">
        <v>90343.2</v>
      </c>
      <c r="C1473" s="90">
        <v>1196.8999999998682</v>
      </c>
      <c r="D1473" s="90">
        <v>90500</v>
      </c>
      <c r="E1473" s="90">
        <v>1196.9999999998681</v>
      </c>
      <c r="G1473" s="66">
        <v>1196.9999999998681</v>
      </c>
      <c r="H1473" s="66">
        <v>90500</v>
      </c>
      <c r="I1473" s="66">
        <v>1197.099999999868</v>
      </c>
      <c r="J1473" s="66">
        <v>90658.7</v>
      </c>
    </row>
    <row r="1474" spans="2:10">
      <c r="B1474" s="90">
        <v>90500</v>
      </c>
      <c r="C1474" s="90">
        <v>1196.9999999998681</v>
      </c>
      <c r="D1474" s="90">
        <v>90658.7</v>
      </c>
      <c r="E1474" s="90">
        <v>1197.099999999868</v>
      </c>
      <c r="G1474" s="66">
        <v>1197.099999999868</v>
      </c>
      <c r="H1474" s="66">
        <v>90658.7</v>
      </c>
      <c r="I1474" s="66">
        <v>1197.1999999998679</v>
      </c>
      <c r="J1474" s="66">
        <v>90817.4</v>
      </c>
    </row>
    <row r="1475" spans="2:10">
      <c r="B1475" s="90">
        <v>90658.7</v>
      </c>
      <c r="C1475" s="90">
        <v>1197.099999999868</v>
      </c>
      <c r="D1475" s="90">
        <v>90817.4</v>
      </c>
      <c r="E1475" s="90">
        <v>1197.1999999998679</v>
      </c>
      <c r="G1475" s="66">
        <v>1197.1999999998679</v>
      </c>
      <c r="H1475" s="66">
        <v>90817.4</v>
      </c>
      <c r="I1475" s="66">
        <v>1197.2999999998679</v>
      </c>
      <c r="J1475" s="66">
        <v>90976.1</v>
      </c>
    </row>
    <row r="1476" spans="2:10">
      <c r="B1476" s="90">
        <v>90817.4</v>
      </c>
      <c r="C1476" s="90">
        <v>1197.1999999998679</v>
      </c>
      <c r="D1476" s="90">
        <v>90976.1</v>
      </c>
      <c r="E1476" s="90">
        <v>1197.2999999998679</v>
      </c>
      <c r="G1476" s="66">
        <v>1197.2999999998679</v>
      </c>
      <c r="H1476" s="66">
        <v>90976.1</v>
      </c>
      <c r="I1476" s="66">
        <v>1197.3999999998678</v>
      </c>
      <c r="J1476" s="66">
        <v>91134.8</v>
      </c>
    </row>
    <row r="1477" spans="2:10">
      <c r="B1477" s="90">
        <v>90976.1</v>
      </c>
      <c r="C1477" s="90">
        <v>1197.2999999998679</v>
      </c>
      <c r="D1477" s="90">
        <v>91134.8</v>
      </c>
      <c r="E1477" s="90">
        <v>1197.3999999998678</v>
      </c>
      <c r="G1477" s="66">
        <v>1197.3999999998678</v>
      </c>
      <c r="H1477" s="66">
        <v>91134.8</v>
      </c>
      <c r="I1477" s="66">
        <v>1197.4999999998677</v>
      </c>
      <c r="J1477" s="66">
        <v>91293.5</v>
      </c>
    </row>
    <row r="1478" spans="2:10">
      <c r="B1478" s="90">
        <v>91134.8</v>
      </c>
      <c r="C1478" s="90">
        <v>1197.3999999998678</v>
      </c>
      <c r="D1478" s="90">
        <v>91293.5</v>
      </c>
      <c r="E1478" s="90">
        <v>1197.4999999998677</v>
      </c>
      <c r="G1478" s="66">
        <v>1197.4999999998677</v>
      </c>
      <c r="H1478" s="66">
        <v>91293.5</v>
      </c>
      <c r="I1478" s="66">
        <v>1197.5999999998676</v>
      </c>
      <c r="J1478" s="66">
        <v>91452.2</v>
      </c>
    </row>
    <row r="1479" spans="2:10">
      <c r="B1479" s="90">
        <v>91293.5</v>
      </c>
      <c r="C1479" s="90">
        <v>1197.4999999998677</v>
      </c>
      <c r="D1479" s="90">
        <v>91452.2</v>
      </c>
      <c r="E1479" s="90">
        <v>1197.5999999998676</v>
      </c>
      <c r="G1479" s="66">
        <v>1197.5999999998676</v>
      </c>
      <c r="H1479" s="66">
        <v>91452.2</v>
      </c>
      <c r="I1479" s="66">
        <v>1197.6999999998675</v>
      </c>
      <c r="J1479" s="66">
        <v>91610.9</v>
      </c>
    </row>
    <row r="1480" spans="2:10">
      <c r="B1480" s="90">
        <v>91452.2</v>
      </c>
      <c r="C1480" s="90">
        <v>1197.5999999998676</v>
      </c>
      <c r="D1480" s="90">
        <v>91610.9</v>
      </c>
      <c r="E1480" s="90">
        <v>1197.6999999998675</v>
      </c>
      <c r="G1480" s="66">
        <v>1197.6999999998675</v>
      </c>
      <c r="H1480" s="66">
        <v>91610.9</v>
      </c>
      <c r="I1480" s="66">
        <v>1197.7999999998674</v>
      </c>
      <c r="J1480" s="66">
        <v>91769.600000000006</v>
      </c>
    </row>
    <row r="1481" spans="2:10">
      <c r="B1481" s="90">
        <v>91610.9</v>
      </c>
      <c r="C1481" s="90">
        <v>1197.6999999998675</v>
      </c>
      <c r="D1481" s="90">
        <v>91769.600000000006</v>
      </c>
      <c r="E1481" s="90">
        <v>1197.7999999998674</v>
      </c>
      <c r="G1481" s="66">
        <v>1197.7999999998674</v>
      </c>
      <c r="H1481" s="66">
        <v>91769.600000000006</v>
      </c>
      <c r="I1481" s="66">
        <v>1197.8999999998673</v>
      </c>
      <c r="J1481" s="66">
        <v>91928.3</v>
      </c>
    </row>
    <row r="1482" spans="2:10">
      <c r="B1482" s="90">
        <v>91769.600000000006</v>
      </c>
      <c r="C1482" s="90">
        <v>1197.7999999998674</v>
      </c>
      <c r="D1482" s="90">
        <v>91928.3</v>
      </c>
      <c r="E1482" s="90">
        <v>1197.8999999998673</v>
      </c>
      <c r="G1482" s="66">
        <v>1197.8999999998673</v>
      </c>
      <c r="H1482" s="66">
        <v>91928.3</v>
      </c>
      <c r="I1482" s="66">
        <v>1197.9999999998672</v>
      </c>
      <c r="J1482" s="66">
        <v>92087</v>
      </c>
    </row>
    <row r="1483" spans="2:10">
      <c r="B1483" s="90">
        <v>91928.3</v>
      </c>
      <c r="C1483" s="90">
        <v>1197.8999999998673</v>
      </c>
      <c r="D1483" s="90">
        <v>92087</v>
      </c>
      <c r="E1483" s="90">
        <v>1197.9999999998672</v>
      </c>
      <c r="G1483" s="66">
        <v>1197.9999999998672</v>
      </c>
      <c r="H1483" s="66">
        <v>92087</v>
      </c>
      <c r="I1483" s="66">
        <v>1198.0999999998671</v>
      </c>
      <c r="J1483" s="66">
        <v>92247.5</v>
      </c>
    </row>
    <row r="1484" spans="2:10">
      <c r="B1484" s="90">
        <v>92087</v>
      </c>
      <c r="C1484" s="90">
        <v>1197.9999999998672</v>
      </c>
      <c r="D1484" s="90">
        <v>92247.5</v>
      </c>
      <c r="E1484" s="90">
        <v>1198.0999999998671</v>
      </c>
      <c r="G1484" s="66">
        <v>1198.0999999998671</v>
      </c>
      <c r="H1484" s="66">
        <v>92247.5</v>
      </c>
      <c r="I1484" s="66">
        <v>1198.199999999867</v>
      </c>
      <c r="J1484" s="66">
        <v>92408</v>
      </c>
    </row>
    <row r="1485" spans="2:10">
      <c r="B1485" s="90">
        <v>92247.5</v>
      </c>
      <c r="C1485" s="90">
        <v>1198.0999999998671</v>
      </c>
      <c r="D1485" s="90">
        <v>92408</v>
      </c>
      <c r="E1485" s="90">
        <v>1198.199999999867</v>
      </c>
      <c r="G1485" s="66">
        <v>1198.199999999867</v>
      </c>
      <c r="H1485" s="66">
        <v>92408</v>
      </c>
      <c r="I1485" s="66">
        <v>1198.2999999998669</v>
      </c>
      <c r="J1485" s="66">
        <v>92568.5</v>
      </c>
    </row>
    <row r="1486" spans="2:10">
      <c r="B1486" s="90">
        <v>92408</v>
      </c>
      <c r="C1486" s="90">
        <v>1198.199999999867</v>
      </c>
      <c r="D1486" s="90">
        <v>92568.5</v>
      </c>
      <c r="E1486" s="90">
        <v>1198.2999999998669</v>
      </c>
      <c r="G1486" s="66">
        <v>1198.2999999998669</v>
      </c>
      <c r="H1486" s="66">
        <v>92568.5</v>
      </c>
      <c r="I1486" s="66">
        <v>1198.3999999998668</v>
      </c>
      <c r="J1486" s="66">
        <v>92729</v>
      </c>
    </row>
    <row r="1487" spans="2:10">
      <c r="B1487" s="90">
        <v>92568.5</v>
      </c>
      <c r="C1487" s="90">
        <v>1198.2999999998669</v>
      </c>
      <c r="D1487" s="90">
        <v>92729</v>
      </c>
      <c r="E1487" s="90">
        <v>1198.3999999998668</v>
      </c>
      <c r="G1487" s="66">
        <v>1198.3999999998668</v>
      </c>
      <c r="H1487" s="66">
        <v>92729</v>
      </c>
      <c r="I1487" s="66">
        <v>1198.4999999998668</v>
      </c>
      <c r="J1487" s="66">
        <v>92889.5</v>
      </c>
    </row>
    <row r="1488" spans="2:10">
      <c r="B1488" s="90">
        <v>92729</v>
      </c>
      <c r="C1488" s="90">
        <v>1198.3999999998668</v>
      </c>
      <c r="D1488" s="90">
        <v>92889.5</v>
      </c>
      <c r="E1488" s="90">
        <v>1198.4999999998668</v>
      </c>
      <c r="G1488" s="66">
        <v>1198.4999999998668</v>
      </c>
      <c r="H1488" s="66">
        <v>92889.5</v>
      </c>
      <c r="I1488" s="66">
        <v>1198.5999999998667</v>
      </c>
      <c r="J1488" s="66">
        <v>93050</v>
      </c>
    </row>
    <row r="1489" spans="2:10">
      <c r="B1489" s="90">
        <v>92889.5</v>
      </c>
      <c r="C1489" s="90">
        <v>1198.4999999998668</v>
      </c>
      <c r="D1489" s="90">
        <v>93050</v>
      </c>
      <c r="E1489" s="90">
        <v>1198.5999999998667</v>
      </c>
      <c r="G1489" s="66">
        <v>1198.5999999998667</v>
      </c>
      <c r="H1489" s="66">
        <v>93050</v>
      </c>
      <c r="I1489" s="66">
        <v>1198.6999999998666</v>
      </c>
      <c r="J1489" s="66">
        <v>93210.5</v>
      </c>
    </row>
    <row r="1490" spans="2:10">
      <c r="B1490" s="90">
        <v>93050</v>
      </c>
      <c r="C1490" s="90">
        <v>1198.5999999998667</v>
      </c>
      <c r="D1490" s="90">
        <v>93210.5</v>
      </c>
      <c r="E1490" s="90">
        <v>1198.6999999998666</v>
      </c>
      <c r="G1490" s="66">
        <v>1198.6999999998666</v>
      </c>
      <c r="H1490" s="66">
        <v>93210.5</v>
      </c>
      <c r="I1490" s="66">
        <v>1198.7999999998665</v>
      </c>
      <c r="J1490" s="66">
        <v>93371</v>
      </c>
    </row>
    <row r="1491" spans="2:10">
      <c r="B1491" s="90">
        <v>93210.5</v>
      </c>
      <c r="C1491" s="90">
        <v>1198.6999999998666</v>
      </c>
      <c r="D1491" s="90">
        <v>93371</v>
      </c>
      <c r="E1491" s="90">
        <v>1198.7999999998665</v>
      </c>
      <c r="G1491" s="66">
        <v>1198.7999999998665</v>
      </c>
      <c r="H1491" s="66">
        <v>93371</v>
      </c>
      <c r="I1491" s="66">
        <v>1198.8999999998664</v>
      </c>
      <c r="J1491" s="66">
        <v>93531.5</v>
      </c>
    </row>
    <row r="1492" spans="2:10">
      <c r="B1492" s="90">
        <v>93371</v>
      </c>
      <c r="C1492" s="90">
        <v>1198.7999999998665</v>
      </c>
      <c r="D1492" s="90">
        <v>93531.5</v>
      </c>
      <c r="E1492" s="90">
        <v>1198.8999999998664</v>
      </c>
      <c r="G1492" s="66">
        <v>1198.8999999998664</v>
      </c>
      <c r="H1492" s="66">
        <v>93531.5</v>
      </c>
      <c r="I1492" s="66">
        <v>1198.9999999998663</v>
      </c>
      <c r="J1492" s="66">
        <v>93692</v>
      </c>
    </row>
    <row r="1493" spans="2:10">
      <c r="B1493" s="90">
        <v>93531.5</v>
      </c>
      <c r="C1493" s="90">
        <v>1198.8999999998664</v>
      </c>
      <c r="D1493" s="90">
        <v>93692</v>
      </c>
      <c r="E1493" s="90">
        <v>1198.9999999998663</v>
      </c>
      <c r="G1493" s="66">
        <v>1198.9999999998663</v>
      </c>
      <c r="H1493" s="66">
        <v>93692</v>
      </c>
      <c r="I1493" s="66">
        <v>1199.0999999998662</v>
      </c>
      <c r="J1493" s="66">
        <v>93854.399999999994</v>
      </c>
    </row>
    <row r="1494" spans="2:10">
      <c r="B1494" s="90">
        <v>93692</v>
      </c>
      <c r="C1494" s="90">
        <v>1198.9999999998663</v>
      </c>
      <c r="D1494" s="90">
        <v>93854.399999999994</v>
      </c>
      <c r="E1494" s="90">
        <v>1199.0999999998662</v>
      </c>
      <c r="G1494" s="66">
        <v>1199.0999999998662</v>
      </c>
      <c r="H1494" s="66">
        <v>93854.399999999994</v>
      </c>
      <c r="I1494" s="66">
        <v>1199.1999999998661</v>
      </c>
      <c r="J1494" s="66">
        <v>94016.8</v>
      </c>
    </row>
    <row r="1495" spans="2:10">
      <c r="B1495" s="90">
        <v>93854.399999999994</v>
      </c>
      <c r="C1495" s="90">
        <v>1199.0999999998662</v>
      </c>
      <c r="D1495" s="90">
        <v>94016.8</v>
      </c>
      <c r="E1495" s="90">
        <v>1199.1999999998661</v>
      </c>
      <c r="G1495" s="66">
        <v>1199.1999999998661</v>
      </c>
      <c r="H1495" s="66">
        <v>94016.8</v>
      </c>
      <c r="I1495" s="66">
        <v>1199.299999999866</v>
      </c>
      <c r="J1495" s="66">
        <v>94179.199999999997</v>
      </c>
    </row>
    <row r="1496" spans="2:10">
      <c r="B1496" s="90">
        <v>94016.8</v>
      </c>
      <c r="C1496" s="90">
        <v>1199.1999999998661</v>
      </c>
      <c r="D1496" s="90">
        <v>94179.199999999997</v>
      </c>
      <c r="E1496" s="90">
        <v>1199.299999999866</v>
      </c>
      <c r="G1496" s="66">
        <v>1199.299999999866</v>
      </c>
      <c r="H1496" s="66">
        <v>94179.199999999997</v>
      </c>
      <c r="I1496" s="66">
        <v>1199.3999999998659</v>
      </c>
      <c r="J1496" s="66">
        <v>94341.6</v>
      </c>
    </row>
    <row r="1497" spans="2:10">
      <c r="B1497" s="90">
        <v>94179.199999999997</v>
      </c>
      <c r="C1497" s="90">
        <v>1199.299999999866</v>
      </c>
      <c r="D1497" s="90">
        <v>94341.6</v>
      </c>
      <c r="E1497" s="90">
        <v>1199.3999999998659</v>
      </c>
      <c r="G1497" s="66">
        <v>1199.3999999998659</v>
      </c>
      <c r="H1497" s="66">
        <v>94341.6</v>
      </c>
      <c r="I1497" s="66">
        <v>1199.4999999998658</v>
      </c>
      <c r="J1497" s="66">
        <v>94504</v>
      </c>
    </row>
    <row r="1498" spans="2:10">
      <c r="B1498" s="90">
        <v>94341.6</v>
      </c>
      <c r="C1498" s="90">
        <v>1199.3999999998659</v>
      </c>
      <c r="D1498" s="90">
        <v>94504</v>
      </c>
      <c r="E1498" s="90">
        <v>1199.4999999998658</v>
      </c>
      <c r="G1498" s="66">
        <v>1199.4999999998658</v>
      </c>
      <c r="H1498" s="66">
        <v>94504</v>
      </c>
      <c r="I1498" s="66">
        <v>1199.5999999998658</v>
      </c>
      <c r="J1498" s="66">
        <v>94666.4</v>
      </c>
    </row>
    <row r="1499" spans="2:10">
      <c r="B1499" s="90">
        <v>94504</v>
      </c>
      <c r="C1499" s="90">
        <v>1199.4999999998658</v>
      </c>
      <c r="D1499" s="90">
        <v>94666.4</v>
      </c>
      <c r="E1499" s="90">
        <v>1199.5999999998658</v>
      </c>
      <c r="G1499" s="66">
        <v>1199.5999999998658</v>
      </c>
      <c r="H1499" s="66">
        <v>94666.4</v>
      </c>
      <c r="I1499" s="66">
        <v>1199.6999999998657</v>
      </c>
      <c r="J1499" s="66">
        <v>94828.800000000003</v>
      </c>
    </row>
    <row r="1500" spans="2:10">
      <c r="B1500" s="90">
        <v>94666.4</v>
      </c>
      <c r="C1500" s="90">
        <v>1199.5999999998658</v>
      </c>
      <c r="D1500" s="90">
        <v>94828.800000000003</v>
      </c>
      <c r="E1500" s="90">
        <v>1199.6999999998657</v>
      </c>
      <c r="G1500" s="66">
        <v>1199.6999999998657</v>
      </c>
      <c r="H1500" s="66">
        <v>94828.800000000003</v>
      </c>
      <c r="I1500" s="66">
        <v>1199.7999999998656</v>
      </c>
      <c r="J1500" s="66">
        <v>94991.2</v>
      </c>
    </row>
    <row r="1501" spans="2:10">
      <c r="B1501" s="90">
        <v>94828.800000000003</v>
      </c>
      <c r="C1501" s="90">
        <v>1199.6999999998657</v>
      </c>
      <c r="D1501" s="90">
        <v>94991.2</v>
      </c>
      <c r="E1501" s="90">
        <v>1199.7999999998656</v>
      </c>
      <c r="G1501" s="66">
        <v>1199.7999999998656</v>
      </c>
      <c r="H1501" s="66">
        <v>94991.2</v>
      </c>
      <c r="I1501" s="66">
        <v>1199.8999999998655</v>
      </c>
      <c r="J1501" s="66">
        <v>95153.599999999948</v>
      </c>
    </row>
    <row r="1502" spans="2:10">
      <c r="B1502" s="90">
        <v>94991.2</v>
      </c>
      <c r="C1502" s="90">
        <v>1199.7999999998656</v>
      </c>
      <c r="D1502" s="90">
        <v>95153.599999999948</v>
      </c>
      <c r="E1502" s="90">
        <v>1199.8999999998655</v>
      </c>
      <c r="G1502" s="66">
        <v>1199.8999999998655</v>
      </c>
      <c r="H1502" s="66">
        <v>95153.599999999948</v>
      </c>
      <c r="I1502" s="66">
        <v>1199.9999999998654</v>
      </c>
      <c r="J1502" s="66">
        <v>95316</v>
      </c>
    </row>
    <row r="1503" spans="2:10">
      <c r="B1503" s="90">
        <v>95153.599999999948</v>
      </c>
      <c r="C1503" s="90">
        <v>1199.8999999998655</v>
      </c>
      <c r="D1503" s="90">
        <v>95316</v>
      </c>
      <c r="E1503" s="90">
        <v>1199.9999999998654</v>
      </c>
      <c r="G1503" s="66">
        <v>1199.9999999998654</v>
      </c>
      <c r="H1503" s="66">
        <v>95316</v>
      </c>
      <c r="I1503" s="66">
        <v>1200.0999999998653</v>
      </c>
      <c r="J1503" s="66">
        <v>95480.3</v>
      </c>
    </row>
    <row r="1504" spans="2:10">
      <c r="B1504" s="90">
        <v>95316</v>
      </c>
      <c r="C1504" s="90">
        <v>1199.9999999998654</v>
      </c>
      <c r="D1504" s="90">
        <v>95480.3</v>
      </c>
      <c r="E1504" s="90">
        <v>1200.0999999998653</v>
      </c>
      <c r="G1504" s="66">
        <v>1200.0999999998653</v>
      </c>
      <c r="H1504" s="66">
        <v>95480.3</v>
      </c>
      <c r="I1504" s="66">
        <v>1200.1999999998652</v>
      </c>
      <c r="J1504" s="66">
        <v>95644.6</v>
      </c>
    </row>
    <row r="1505" spans="2:10">
      <c r="B1505" s="90">
        <v>95480.3</v>
      </c>
      <c r="C1505" s="90">
        <v>1200.0999999998653</v>
      </c>
      <c r="D1505" s="90">
        <v>95644.6</v>
      </c>
      <c r="E1505" s="90">
        <v>1200.1999999998652</v>
      </c>
      <c r="G1505" s="66">
        <v>1200.1999999998652</v>
      </c>
      <c r="H1505" s="66">
        <v>95644.6</v>
      </c>
      <c r="I1505" s="66">
        <v>1200.2999999998651</v>
      </c>
      <c r="J1505" s="66">
        <v>95808.9</v>
      </c>
    </row>
    <row r="1506" spans="2:10">
      <c r="B1506" s="90">
        <v>95644.6</v>
      </c>
      <c r="C1506" s="90">
        <v>1200.1999999998652</v>
      </c>
      <c r="D1506" s="90">
        <v>95808.9</v>
      </c>
      <c r="E1506" s="90">
        <v>1200.2999999998651</v>
      </c>
      <c r="G1506" s="66">
        <v>1200.2999999998651</v>
      </c>
      <c r="H1506" s="66">
        <v>95808.9</v>
      </c>
      <c r="I1506" s="66">
        <v>1200.399999999865</v>
      </c>
      <c r="J1506" s="66">
        <v>95973.2</v>
      </c>
    </row>
    <row r="1507" spans="2:10">
      <c r="B1507" s="90">
        <v>95808.9</v>
      </c>
      <c r="C1507" s="90">
        <v>1200.2999999998651</v>
      </c>
      <c r="D1507" s="90">
        <v>95973.2</v>
      </c>
      <c r="E1507" s="90">
        <v>1200.399999999865</v>
      </c>
      <c r="G1507" s="66">
        <v>1200.399999999865</v>
      </c>
      <c r="H1507" s="66">
        <v>95973.2</v>
      </c>
      <c r="I1507" s="66">
        <v>1200.4999999998649</v>
      </c>
      <c r="J1507" s="66">
        <v>96137.5</v>
      </c>
    </row>
    <row r="1508" spans="2:10">
      <c r="B1508" s="90">
        <v>95973.2</v>
      </c>
      <c r="C1508" s="90">
        <v>1200.399999999865</v>
      </c>
      <c r="D1508" s="90">
        <v>96137.5</v>
      </c>
      <c r="E1508" s="90">
        <v>1200.4999999998649</v>
      </c>
      <c r="G1508" s="66">
        <v>1200.4999999998649</v>
      </c>
      <c r="H1508" s="66">
        <v>96137.5</v>
      </c>
      <c r="I1508" s="66">
        <v>1200.5999999998648</v>
      </c>
      <c r="J1508" s="66">
        <v>96301.8</v>
      </c>
    </row>
    <row r="1509" spans="2:10">
      <c r="B1509" s="90">
        <v>96137.5</v>
      </c>
      <c r="C1509" s="90">
        <v>1200.4999999998649</v>
      </c>
      <c r="D1509" s="90">
        <v>96301.8</v>
      </c>
      <c r="E1509" s="90">
        <v>1200.5999999998648</v>
      </c>
      <c r="G1509" s="66">
        <v>1200.5999999998648</v>
      </c>
      <c r="H1509" s="66">
        <v>96301.8</v>
      </c>
      <c r="I1509" s="66">
        <v>1200.6999999998648</v>
      </c>
      <c r="J1509" s="66">
        <v>96466.1</v>
      </c>
    </row>
    <row r="1510" spans="2:10">
      <c r="B1510" s="90">
        <v>96301.8</v>
      </c>
      <c r="C1510" s="90">
        <v>1200.5999999998648</v>
      </c>
      <c r="D1510" s="90">
        <v>96466.1</v>
      </c>
      <c r="E1510" s="90">
        <v>1200.6999999998648</v>
      </c>
      <c r="G1510" s="66">
        <v>1200.6999999998648</v>
      </c>
      <c r="H1510" s="66">
        <v>96466.1</v>
      </c>
      <c r="I1510" s="66">
        <v>1200.7999999998647</v>
      </c>
      <c r="J1510" s="66">
        <v>96630.399999999994</v>
      </c>
    </row>
    <row r="1511" spans="2:10">
      <c r="B1511" s="90">
        <v>96466.1</v>
      </c>
      <c r="C1511" s="90">
        <v>1200.6999999998648</v>
      </c>
      <c r="D1511" s="90">
        <v>96630.399999999994</v>
      </c>
      <c r="E1511" s="90">
        <v>1200.7999999998647</v>
      </c>
      <c r="G1511" s="66">
        <v>1200.7999999998647</v>
      </c>
      <c r="H1511" s="66">
        <v>96630.399999999994</v>
      </c>
      <c r="I1511" s="66">
        <v>1200.8999999998646</v>
      </c>
      <c r="J1511" s="66">
        <v>96794.7</v>
      </c>
    </row>
    <row r="1512" spans="2:10">
      <c r="B1512" s="90">
        <v>96630.399999999994</v>
      </c>
      <c r="C1512" s="90">
        <v>1200.7999999998647</v>
      </c>
      <c r="D1512" s="90">
        <v>96794.7</v>
      </c>
      <c r="E1512" s="90">
        <v>1200.8999999998646</v>
      </c>
      <c r="G1512" s="66">
        <v>1200.8999999998646</v>
      </c>
      <c r="H1512" s="66">
        <v>96794.7</v>
      </c>
      <c r="I1512" s="66">
        <v>1200.9999999998645</v>
      </c>
      <c r="J1512" s="66">
        <v>96959</v>
      </c>
    </row>
    <row r="1513" spans="2:10">
      <c r="B1513" s="90">
        <v>96794.7</v>
      </c>
      <c r="C1513" s="90">
        <v>1200.8999999998646</v>
      </c>
      <c r="D1513" s="90">
        <v>96959</v>
      </c>
      <c r="E1513" s="90">
        <v>1200.9999999998645</v>
      </c>
      <c r="G1513" s="66">
        <v>1200.9999999998645</v>
      </c>
      <c r="H1513" s="66">
        <v>96959</v>
      </c>
      <c r="I1513" s="66">
        <v>1201.0999999998644</v>
      </c>
      <c r="J1513" s="66">
        <v>97125.2</v>
      </c>
    </row>
    <row r="1514" spans="2:10">
      <c r="B1514" s="90">
        <v>96959</v>
      </c>
      <c r="C1514" s="90">
        <v>1200.9999999998645</v>
      </c>
      <c r="D1514" s="90">
        <v>97125.2</v>
      </c>
      <c r="E1514" s="90">
        <v>1201.0999999998644</v>
      </c>
      <c r="G1514" s="66">
        <v>1201.0999999998644</v>
      </c>
      <c r="H1514" s="66">
        <v>97125.2</v>
      </c>
      <c r="I1514" s="66">
        <v>1201.1999999998643</v>
      </c>
      <c r="J1514" s="66">
        <v>97291.4</v>
      </c>
    </row>
    <row r="1515" spans="2:10">
      <c r="B1515" s="90">
        <v>97125.2</v>
      </c>
      <c r="C1515" s="90">
        <v>1201.0999999998644</v>
      </c>
      <c r="D1515" s="90">
        <v>97291.4</v>
      </c>
      <c r="E1515" s="90">
        <v>1201.1999999998643</v>
      </c>
      <c r="G1515" s="66">
        <v>1201.1999999998643</v>
      </c>
      <c r="H1515" s="66">
        <v>97291.4</v>
      </c>
      <c r="I1515" s="66">
        <v>1201.2999999998642</v>
      </c>
      <c r="J1515" s="66">
        <v>97457.600000000006</v>
      </c>
    </row>
    <row r="1516" spans="2:10">
      <c r="B1516" s="90">
        <v>97291.4</v>
      </c>
      <c r="C1516" s="90">
        <v>1201.1999999998643</v>
      </c>
      <c r="D1516" s="90">
        <v>97457.600000000006</v>
      </c>
      <c r="E1516" s="90">
        <v>1201.2999999998642</v>
      </c>
      <c r="G1516" s="66">
        <v>1201.2999999998642</v>
      </c>
      <c r="H1516" s="66">
        <v>97457.600000000006</v>
      </c>
      <c r="I1516" s="66">
        <v>1201.3999999998641</v>
      </c>
      <c r="J1516" s="66">
        <v>97623.8</v>
      </c>
    </row>
    <row r="1517" spans="2:10">
      <c r="B1517" s="90">
        <v>97457.600000000006</v>
      </c>
      <c r="C1517" s="90">
        <v>1201.2999999998642</v>
      </c>
      <c r="D1517" s="90">
        <v>97623.8</v>
      </c>
      <c r="E1517" s="90">
        <v>1201.3999999998641</v>
      </c>
      <c r="G1517" s="66">
        <v>1201.3999999998641</v>
      </c>
      <c r="H1517" s="66">
        <v>97623.8</v>
      </c>
      <c r="I1517" s="66">
        <v>1201.499999999864</v>
      </c>
      <c r="J1517" s="66">
        <v>97790</v>
      </c>
    </row>
    <row r="1518" spans="2:10">
      <c r="B1518" s="90">
        <v>97623.8</v>
      </c>
      <c r="C1518" s="90">
        <v>1201.3999999998641</v>
      </c>
      <c r="D1518" s="90">
        <v>97790</v>
      </c>
      <c r="E1518" s="90">
        <v>1201.499999999864</v>
      </c>
      <c r="G1518" s="66">
        <v>1201.499999999864</v>
      </c>
      <c r="H1518" s="66">
        <v>97790</v>
      </c>
      <c r="I1518" s="66">
        <v>1201.5999999998639</v>
      </c>
      <c r="J1518" s="66">
        <v>97956.2</v>
      </c>
    </row>
    <row r="1519" spans="2:10">
      <c r="B1519" s="90">
        <v>97790</v>
      </c>
      <c r="C1519" s="90">
        <v>1201.499999999864</v>
      </c>
      <c r="D1519" s="90">
        <v>97956.2</v>
      </c>
      <c r="E1519" s="90">
        <v>1201.5999999998639</v>
      </c>
      <c r="G1519" s="66">
        <v>1201.5999999998639</v>
      </c>
      <c r="H1519" s="66">
        <v>97956.2</v>
      </c>
      <c r="I1519" s="66">
        <v>1201.6999999998638</v>
      </c>
      <c r="J1519" s="66">
        <v>98122.4</v>
      </c>
    </row>
    <row r="1520" spans="2:10">
      <c r="B1520" s="90">
        <v>97956.2</v>
      </c>
      <c r="C1520" s="90">
        <v>1201.5999999998639</v>
      </c>
      <c r="D1520" s="90">
        <v>98122.4</v>
      </c>
      <c r="E1520" s="90">
        <v>1201.6999999998638</v>
      </c>
      <c r="G1520" s="66">
        <v>1201.6999999998638</v>
      </c>
      <c r="H1520" s="66">
        <v>98122.4</v>
      </c>
      <c r="I1520" s="66">
        <v>1201.7999999998638</v>
      </c>
      <c r="J1520" s="66">
        <v>98288.6</v>
      </c>
    </row>
    <row r="1521" spans="2:10">
      <c r="B1521" s="90">
        <v>98122.4</v>
      </c>
      <c r="C1521" s="90">
        <v>1201.6999999998638</v>
      </c>
      <c r="D1521" s="90">
        <v>98288.6</v>
      </c>
      <c r="E1521" s="90">
        <v>1201.7999999998638</v>
      </c>
      <c r="G1521" s="66">
        <v>1201.7999999998638</v>
      </c>
      <c r="H1521" s="66">
        <v>98288.6</v>
      </c>
      <c r="I1521" s="66">
        <v>1201.8999999998637</v>
      </c>
      <c r="J1521" s="66">
        <v>98454.8</v>
      </c>
    </row>
    <row r="1522" spans="2:10">
      <c r="B1522" s="90">
        <v>98288.6</v>
      </c>
      <c r="C1522" s="90">
        <v>1201.7999999998638</v>
      </c>
      <c r="D1522" s="90">
        <v>98454.8</v>
      </c>
      <c r="E1522" s="90">
        <v>1201.8999999998637</v>
      </c>
      <c r="G1522" s="66">
        <v>1201.8999999998637</v>
      </c>
      <c r="H1522" s="66">
        <v>98454.8</v>
      </c>
      <c r="I1522" s="66">
        <v>1201.9999999998636</v>
      </c>
      <c r="J1522" s="66">
        <v>98621</v>
      </c>
    </row>
    <row r="1523" spans="2:10">
      <c r="B1523" s="90">
        <v>98454.8</v>
      </c>
      <c r="C1523" s="90">
        <v>1201.8999999998637</v>
      </c>
      <c r="D1523" s="90">
        <v>98621</v>
      </c>
      <c r="E1523" s="90">
        <v>1201.9999999998636</v>
      </c>
      <c r="G1523" s="66">
        <v>1201.9999999998636</v>
      </c>
      <c r="H1523" s="66">
        <v>98621</v>
      </c>
      <c r="I1523" s="66">
        <v>1202.0999999998635</v>
      </c>
      <c r="J1523" s="66">
        <v>98789.2</v>
      </c>
    </row>
    <row r="1524" spans="2:10">
      <c r="B1524" s="90">
        <v>98621</v>
      </c>
      <c r="C1524" s="90">
        <v>1201.9999999998636</v>
      </c>
      <c r="D1524" s="90">
        <v>98789.2</v>
      </c>
      <c r="E1524" s="90">
        <v>1202.0999999998635</v>
      </c>
      <c r="G1524" s="66">
        <v>1202.0999999998635</v>
      </c>
      <c r="H1524" s="66">
        <v>98789.2</v>
      </c>
      <c r="I1524" s="66">
        <v>1202.1999999998634</v>
      </c>
      <c r="J1524" s="66">
        <v>98957.4</v>
      </c>
    </row>
    <row r="1525" spans="2:10">
      <c r="B1525" s="90">
        <v>98789.2</v>
      </c>
      <c r="C1525" s="90">
        <v>1202.0999999998635</v>
      </c>
      <c r="D1525" s="90">
        <v>98957.4</v>
      </c>
      <c r="E1525" s="90">
        <v>1202.1999999998634</v>
      </c>
      <c r="G1525" s="66">
        <v>1202.1999999998634</v>
      </c>
      <c r="H1525" s="66">
        <v>98957.4</v>
      </c>
      <c r="I1525" s="66">
        <v>1202.2999999998633</v>
      </c>
      <c r="J1525" s="66">
        <v>99125.6</v>
      </c>
    </row>
    <row r="1526" spans="2:10">
      <c r="B1526" s="90">
        <v>98957.4</v>
      </c>
      <c r="C1526" s="90">
        <v>1202.1999999998634</v>
      </c>
      <c r="D1526" s="90">
        <v>99125.6</v>
      </c>
      <c r="E1526" s="90">
        <v>1202.2999999998633</v>
      </c>
      <c r="G1526" s="66">
        <v>1202.2999999998633</v>
      </c>
      <c r="H1526" s="66">
        <v>99125.6</v>
      </c>
      <c r="I1526" s="66">
        <v>1202.3999999998632</v>
      </c>
      <c r="J1526" s="66">
        <v>99293.8</v>
      </c>
    </row>
    <row r="1527" spans="2:10">
      <c r="B1527" s="90">
        <v>99125.6</v>
      </c>
      <c r="C1527" s="90">
        <v>1202.2999999998633</v>
      </c>
      <c r="D1527" s="90">
        <v>99293.8</v>
      </c>
      <c r="E1527" s="90">
        <v>1202.3999999998632</v>
      </c>
      <c r="G1527" s="66">
        <v>1202.3999999998632</v>
      </c>
      <c r="H1527" s="66">
        <v>99293.8</v>
      </c>
      <c r="I1527" s="66">
        <v>1202.4999999998631</v>
      </c>
      <c r="J1527" s="66">
        <v>99462</v>
      </c>
    </row>
    <row r="1528" spans="2:10">
      <c r="B1528" s="90">
        <v>99293.8</v>
      </c>
      <c r="C1528" s="90">
        <v>1202.3999999998632</v>
      </c>
      <c r="D1528" s="90">
        <v>99462</v>
      </c>
      <c r="E1528" s="90">
        <v>1202.4999999998631</v>
      </c>
      <c r="G1528" s="66">
        <v>1202.4999999998631</v>
      </c>
      <c r="H1528" s="66">
        <v>99462</v>
      </c>
      <c r="I1528" s="66">
        <v>1202.599999999863</v>
      </c>
      <c r="J1528" s="66">
        <v>99630.2</v>
      </c>
    </row>
    <row r="1529" spans="2:10">
      <c r="B1529" s="90">
        <v>99462</v>
      </c>
      <c r="C1529" s="90">
        <v>1202.4999999998631</v>
      </c>
      <c r="D1529" s="90">
        <v>99630.2</v>
      </c>
      <c r="E1529" s="90">
        <v>1202.599999999863</v>
      </c>
      <c r="G1529" s="66">
        <v>1202.599999999863</v>
      </c>
      <c r="H1529" s="66">
        <v>99630.2</v>
      </c>
      <c r="I1529" s="66">
        <v>1202.6999999998629</v>
      </c>
      <c r="J1529" s="66">
        <v>99798.399999999994</v>
      </c>
    </row>
    <row r="1530" spans="2:10">
      <c r="B1530" s="90">
        <v>99630.2</v>
      </c>
      <c r="C1530" s="90">
        <v>1202.599999999863</v>
      </c>
      <c r="D1530" s="90">
        <v>99798.399999999994</v>
      </c>
      <c r="E1530" s="90">
        <v>1202.6999999998629</v>
      </c>
      <c r="G1530" s="66">
        <v>1202.6999999998629</v>
      </c>
      <c r="H1530" s="66">
        <v>99798.399999999994</v>
      </c>
      <c r="I1530" s="66">
        <v>1202.7999999998628</v>
      </c>
      <c r="J1530" s="66">
        <v>99966.6</v>
      </c>
    </row>
    <row r="1531" spans="2:10">
      <c r="B1531" s="90">
        <v>99798.399999999994</v>
      </c>
      <c r="C1531" s="90">
        <v>1202.6999999998629</v>
      </c>
      <c r="D1531" s="90">
        <v>99966.6</v>
      </c>
      <c r="E1531" s="90">
        <v>1202.7999999998628</v>
      </c>
      <c r="G1531" s="66">
        <v>1202.7999999998628</v>
      </c>
      <c r="H1531" s="66">
        <v>99966.6</v>
      </c>
      <c r="I1531" s="66">
        <v>1202.8999999998628</v>
      </c>
      <c r="J1531" s="66">
        <v>100134.8</v>
      </c>
    </row>
    <row r="1532" spans="2:10">
      <c r="B1532" s="90">
        <v>99966.6</v>
      </c>
      <c r="C1532" s="90">
        <v>1202.7999999998628</v>
      </c>
      <c r="D1532" s="90">
        <v>100134.8</v>
      </c>
      <c r="E1532" s="90">
        <v>1202.8999999998628</v>
      </c>
      <c r="G1532" s="66">
        <v>1202.8999999998628</v>
      </c>
      <c r="H1532" s="66">
        <v>100134.8</v>
      </c>
      <c r="I1532" s="66">
        <v>1202.9999999998627</v>
      </c>
      <c r="J1532" s="66">
        <v>100303</v>
      </c>
    </row>
    <row r="1533" spans="2:10">
      <c r="B1533" s="90">
        <v>100134.8</v>
      </c>
      <c r="C1533" s="90">
        <v>1202.8999999998628</v>
      </c>
      <c r="D1533" s="90">
        <v>100303</v>
      </c>
      <c r="E1533" s="90">
        <v>1202.9999999998627</v>
      </c>
      <c r="G1533" s="66">
        <v>1202.9999999998627</v>
      </c>
      <c r="H1533" s="66">
        <v>100303</v>
      </c>
      <c r="I1533" s="66">
        <v>1203.0999999998626</v>
      </c>
      <c r="J1533" s="66">
        <v>100473</v>
      </c>
    </row>
    <row r="1534" spans="2:10">
      <c r="B1534" s="90">
        <v>100303</v>
      </c>
      <c r="C1534" s="90">
        <v>1202.9999999998627</v>
      </c>
      <c r="D1534" s="90">
        <v>100473</v>
      </c>
      <c r="E1534" s="90">
        <v>1203.0999999998626</v>
      </c>
      <c r="G1534" s="66">
        <v>1203.0999999998626</v>
      </c>
      <c r="H1534" s="66">
        <v>100473</v>
      </c>
      <c r="I1534" s="66">
        <v>1203.1999999998625</v>
      </c>
      <c r="J1534" s="66">
        <v>100643</v>
      </c>
    </row>
    <row r="1535" spans="2:10">
      <c r="B1535" s="90">
        <v>100473</v>
      </c>
      <c r="C1535" s="90">
        <v>1203.0999999998626</v>
      </c>
      <c r="D1535" s="90">
        <v>100643</v>
      </c>
      <c r="E1535" s="90">
        <v>1203.1999999998625</v>
      </c>
      <c r="G1535" s="66">
        <v>1203.1999999998625</v>
      </c>
      <c r="H1535" s="66">
        <v>100643</v>
      </c>
      <c r="I1535" s="66">
        <v>1203.2999999998624</v>
      </c>
      <c r="J1535" s="66">
        <v>100813</v>
      </c>
    </row>
    <row r="1536" spans="2:10">
      <c r="B1536" s="90">
        <v>100643</v>
      </c>
      <c r="C1536" s="90">
        <v>1203.1999999998625</v>
      </c>
      <c r="D1536" s="90">
        <v>100813</v>
      </c>
      <c r="E1536" s="90">
        <v>1203.2999999998624</v>
      </c>
      <c r="G1536" s="66">
        <v>1203.2999999998624</v>
      </c>
      <c r="H1536" s="66">
        <v>100813</v>
      </c>
      <c r="I1536" s="66">
        <v>1203.3999999998623</v>
      </c>
      <c r="J1536" s="66">
        <v>100983</v>
      </c>
    </row>
    <row r="1537" spans="2:10">
      <c r="B1537" s="90">
        <v>100813</v>
      </c>
      <c r="C1537" s="90">
        <v>1203.2999999998624</v>
      </c>
      <c r="D1537" s="90">
        <v>100983</v>
      </c>
      <c r="E1537" s="90">
        <v>1203.3999999998623</v>
      </c>
      <c r="G1537" s="66">
        <v>1203.3999999998623</v>
      </c>
      <c r="H1537" s="66">
        <v>100983</v>
      </c>
      <c r="I1537" s="66">
        <v>1203.4999999998622</v>
      </c>
      <c r="J1537" s="66">
        <v>101153</v>
      </c>
    </row>
    <row r="1538" spans="2:10">
      <c r="B1538" s="90">
        <v>100983</v>
      </c>
      <c r="C1538" s="90">
        <v>1203.3999999998623</v>
      </c>
      <c r="D1538" s="90">
        <v>101153</v>
      </c>
      <c r="E1538" s="90">
        <v>1203.4999999998622</v>
      </c>
      <c r="G1538" s="66">
        <v>1203.4999999998622</v>
      </c>
      <c r="H1538" s="66">
        <v>101153</v>
      </c>
      <c r="I1538" s="66">
        <v>1203.5999999998621</v>
      </c>
      <c r="J1538" s="66">
        <v>101323</v>
      </c>
    </row>
    <row r="1539" spans="2:10">
      <c r="B1539" s="90">
        <v>101153</v>
      </c>
      <c r="C1539" s="90">
        <v>1203.4999999998622</v>
      </c>
      <c r="D1539" s="90">
        <v>101323</v>
      </c>
      <c r="E1539" s="90">
        <v>1203.5999999998621</v>
      </c>
      <c r="G1539" s="66">
        <v>1203.5999999998621</v>
      </c>
      <c r="H1539" s="66">
        <v>101323</v>
      </c>
      <c r="I1539" s="66">
        <v>1203.699999999862</v>
      </c>
      <c r="J1539" s="66">
        <v>101493</v>
      </c>
    </row>
    <row r="1540" spans="2:10">
      <c r="B1540" s="90">
        <v>101323</v>
      </c>
      <c r="C1540" s="90">
        <v>1203.5999999998621</v>
      </c>
      <c r="D1540" s="90">
        <v>101493</v>
      </c>
      <c r="E1540" s="90">
        <v>1203.699999999862</v>
      </c>
      <c r="G1540" s="66">
        <v>1203.699999999862</v>
      </c>
      <c r="H1540" s="66">
        <v>101493</v>
      </c>
      <c r="I1540" s="66">
        <v>1203.7999999998619</v>
      </c>
      <c r="J1540" s="66">
        <v>101663</v>
      </c>
    </row>
    <row r="1541" spans="2:10">
      <c r="B1541" s="90">
        <v>101493</v>
      </c>
      <c r="C1541" s="90">
        <v>1203.699999999862</v>
      </c>
      <c r="D1541" s="90">
        <v>101663</v>
      </c>
      <c r="E1541" s="90">
        <v>1203.7999999998619</v>
      </c>
      <c r="G1541" s="66">
        <v>1203.7999999998619</v>
      </c>
      <c r="H1541" s="66">
        <v>101663</v>
      </c>
      <c r="I1541" s="66">
        <v>1203.8999999998618</v>
      </c>
      <c r="J1541" s="66">
        <v>101833</v>
      </c>
    </row>
    <row r="1542" spans="2:10">
      <c r="B1542" s="90">
        <v>101663</v>
      </c>
      <c r="C1542" s="90">
        <v>1203.7999999998619</v>
      </c>
      <c r="D1542" s="90">
        <v>101833</v>
      </c>
      <c r="E1542" s="90">
        <v>1203.8999999998618</v>
      </c>
      <c r="G1542" s="66">
        <v>1203.8999999998618</v>
      </c>
      <c r="H1542" s="66">
        <v>101833</v>
      </c>
      <c r="I1542" s="66">
        <v>1203.9999999998618</v>
      </c>
      <c r="J1542" s="66">
        <v>102003</v>
      </c>
    </row>
    <row r="1543" spans="2:10">
      <c r="B1543" s="90">
        <v>101833</v>
      </c>
      <c r="C1543" s="90">
        <v>1203.8999999998618</v>
      </c>
      <c r="D1543" s="90">
        <v>102003</v>
      </c>
      <c r="E1543" s="90">
        <v>1203.9999999998618</v>
      </c>
      <c r="G1543" s="66">
        <v>1203.9999999998618</v>
      </c>
      <c r="H1543" s="66">
        <v>102003</v>
      </c>
      <c r="I1543" s="66">
        <v>1204.0999999998617</v>
      </c>
      <c r="J1543" s="66">
        <v>102175.1</v>
      </c>
    </row>
    <row r="1544" spans="2:10">
      <c r="B1544" s="90">
        <v>102003</v>
      </c>
      <c r="C1544" s="90">
        <v>1203.9999999998618</v>
      </c>
      <c r="D1544" s="90">
        <v>102175.1</v>
      </c>
      <c r="E1544" s="90">
        <v>1204.0999999998617</v>
      </c>
      <c r="G1544" s="66">
        <v>1204.0999999998617</v>
      </c>
      <c r="H1544" s="66">
        <v>102175.1</v>
      </c>
      <c r="I1544" s="66">
        <v>1204.1999999998616</v>
      </c>
      <c r="J1544" s="66">
        <v>102347.2</v>
      </c>
    </row>
    <row r="1545" spans="2:10">
      <c r="B1545" s="90">
        <v>102175.1</v>
      </c>
      <c r="C1545" s="90">
        <v>1204.0999999998617</v>
      </c>
      <c r="D1545" s="90">
        <v>102347.2</v>
      </c>
      <c r="E1545" s="90">
        <v>1204.1999999998616</v>
      </c>
      <c r="G1545" s="66">
        <v>1204.1999999998616</v>
      </c>
      <c r="H1545" s="66">
        <v>102347.2</v>
      </c>
      <c r="I1545" s="66">
        <v>1204.2999999998615</v>
      </c>
      <c r="J1545" s="66">
        <v>102519.3</v>
      </c>
    </row>
    <row r="1546" spans="2:10">
      <c r="B1546" s="90">
        <v>102347.2</v>
      </c>
      <c r="C1546" s="90">
        <v>1204.1999999998616</v>
      </c>
      <c r="D1546" s="90">
        <v>102519.3</v>
      </c>
      <c r="E1546" s="90">
        <v>1204.2999999998615</v>
      </c>
      <c r="G1546" s="66">
        <v>1204.2999999998615</v>
      </c>
      <c r="H1546" s="66">
        <v>102519.3</v>
      </c>
      <c r="I1546" s="66">
        <v>1204.3999999998614</v>
      </c>
      <c r="J1546" s="66">
        <v>102691.4</v>
      </c>
    </row>
    <row r="1547" spans="2:10">
      <c r="B1547" s="90">
        <v>102519.3</v>
      </c>
      <c r="C1547" s="90">
        <v>1204.2999999998615</v>
      </c>
      <c r="D1547" s="90">
        <v>102691.4</v>
      </c>
      <c r="E1547" s="90">
        <v>1204.3999999998614</v>
      </c>
      <c r="G1547" s="66">
        <v>1204.3999999998614</v>
      </c>
      <c r="H1547" s="66">
        <v>102691.4</v>
      </c>
      <c r="I1547" s="66">
        <v>1204.4999999998613</v>
      </c>
      <c r="J1547" s="66">
        <v>102863.5</v>
      </c>
    </row>
    <row r="1548" spans="2:10">
      <c r="B1548" s="90">
        <v>102691.4</v>
      </c>
      <c r="C1548" s="90">
        <v>1204.3999999998614</v>
      </c>
      <c r="D1548" s="90">
        <v>102863.5</v>
      </c>
      <c r="E1548" s="90">
        <v>1204.4999999998613</v>
      </c>
      <c r="G1548" s="66">
        <v>1204.4999999998613</v>
      </c>
      <c r="H1548" s="66">
        <v>102863.5</v>
      </c>
      <c r="I1548" s="66">
        <v>1204.5999999998612</v>
      </c>
      <c r="J1548" s="66">
        <v>103035.6</v>
      </c>
    </row>
    <row r="1549" spans="2:10">
      <c r="B1549" s="90">
        <v>102863.5</v>
      </c>
      <c r="C1549" s="90">
        <v>1204.4999999998613</v>
      </c>
      <c r="D1549" s="90">
        <v>103035.6</v>
      </c>
      <c r="E1549" s="90">
        <v>1204.5999999998612</v>
      </c>
      <c r="G1549" s="66">
        <v>1204.5999999998612</v>
      </c>
      <c r="H1549" s="66">
        <v>103035.6</v>
      </c>
      <c r="I1549" s="66">
        <v>1204.6999999998611</v>
      </c>
      <c r="J1549" s="66">
        <v>103207.7</v>
      </c>
    </row>
    <row r="1550" spans="2:10">
      <c r="B1550" s="90">
        <v>103035.6</v>
      </c>
      <c r="C1550" s="90">
        <v>1204.5999999998612</v>
      </c>
      <c r="D1550" s="90">
        <v>103207.7</v>
      </c>
      <c r="E1550" s="90">
        <v>1204.6999999998611</v>
      </c>
      <c r="G1550" s="66">
        <v>1204.6999999998611</v>
      </c>
      <c r="H1550" s="66">
        <v>103207.7</v>
      </c>
      <c r="I1550" s="66">
        <v>1204.799999999861</v>
      </c>
      <c r="J1550" s="66">
        <v>103379.8</v>
      </c>
    </row>
    <row r="1551" spans="2:10">
      <c r="B1551" s="90">
        <v>103207.7</v>
      </c>
      <c r="C1551" s="90">
        <v>1204.6999999998611</v>
      </c>
      <c r="D1551" s="90">
        <v>103379.8</v>
      </c>
      <c r="E1551" s="90">
        <v>1204.799999999861</v>
      </c>
      <c r="G1551" s="66">
        <v>1204.799999999861</v>
      </c>
      <c r="H1551" s="66">
        <v>103379.8</v>
      </c>
      <c r="I1551" s="66">
        <v>1204.8999999998609</v>
      </c>
      <c r="J1551" s="66">
        <v>103551.9</v>
      </c>
    </row>
    <row r="1552" spans="2:10">
      <c r="B1552" s="90">
        <v>103379.8</v>
      </c>
      <c r="C1552" s="90">
        <v>1204.799999999861</v>
      </c>
      <c r="D1552" s="90">
        <v>103551.9</v>
      </c>
      <c r="E1552" s="90">
        <v>1204.8999999998609</v>
      </c>
      <c r="G1552" s="66">
        <v>1204.8999999998609</v>
      </c>
      <c r="H1552" s="66">
        <v>103551.9</v>
      </c>
      <c r="I1552" s="66">
        <v>1204.9999999998608</v>
      </c>
      <c r="J1552" s="66">
        <v>103724</v>
      </c>
    </row>
    <row r="1553" spans="2:10">
      <c r="B1553" s="90">
        <v>103551.9</v>
      </c>
      <c r="C1553" s="90">
        <v>1204.8999999998609</v>
      </c>
      <c r="D1553" s="90">
        <v>103724</v>
      </c>
      <c r="E1553" s="90">
        <v>1204.9999999998608</v>
      </c>
      <c r="G1553" s="66">
        <v>1204.9999999998608</v>
      </c>
      <c r="H1553" s="66">
        <v>103724</v>
      </c>
      <c r="I1553" s="66">
        <v>1205.0999999998608</v>
      </c>
      <c r="J1553" s="66">
        <v>103897.9</v>
      </c>
    </row>
    <row r="1554" spans="2:10">
      <c r="B1554" s="90">
        <v>103724</v>
      </c>
      <c r="C1554" s="90">
        <v>1204.9999999998608</v>
      </c>
      <c r="D1554" s="90">
        <v>103897.9</v>
      </c>
      <c r="E1554" s="90">
        <v>1205.0999999998608</v>
      </c>
      <c r="G1554" s="66">
        <v>1205.0999999998608</v>
      </c>
      <c r="H1554" s="66">
        <v>103897.9</v>
      </c>
      <c r="I1554" s="66">
        <v>1205.1999999998607</v>
      </c>
      <c r="J1554" s="66">
        <v>104071.8</v>
      </c>
    </row>
    <row r="1555" spans="2:10">
      <c r="B1555" s="90">
        <v>103897.9</v>
      </c>
      <c r="C1555" s="90">
        <v>1205.0999999998608</v>
      </c>
      <c r="D1555" s="90">
        <v>104071.8</v>
      </c>
      <c r="E1555" s="90">
        <v>1205.1999999998607</v>
      </c>
      <c r="G1555" s="66">
        <v>1205.1999999998607</v>
      </c>
      <c r="H1555" s="66">
        <v>104071.8</v>
      </c>
      <c r="I1555" s="66">
        <v>1205.2999999998606</v>
      </c>
      <c r="J1555" s="66">
        <v>104245.7</v>
      </c>
    </row>
    <row r="1556" spans="2:10">
      <c r="B1556" s="90">
        <v>104071.8</v>
      </c>
      <c r="C1556" s="90">
        <v>1205.1999999998607</v>
      </c>
      <c r="D1556" s="90">
        <v>104245.7</v>
      </c>
      <c r="E1556" s="90">
        <v>1205.2999999998606</v>
      </c>
      <c r="G1556" s="66">
        <v>1205.2999999998606</v>
      </c>
      <c r="H1556" s="66">
        <v>104245.7</v>
      </c>
      <c r="I1556" s="66">
        <v>1205.3999999998605</v>
      </c>
      <c r="J1556" s="66">
        <v>104419.6</v>
      </c>
    </row>
    <row r="1557" spans="2:10">
      <c r="B1557" s="90">
        <v>104245.7</v>
      </c>
      <c r="C1557" s="90">
        <v>1205.2999999998606</v>
      </c>
      <c r="D1557" s="90">
        <v>104419.6</v>
      </c>
      <c r="E1557" s="90">
        <v>1205.3999999998605</v>
      </c>
      <c r="G1557" s="66">
        <v>1205.3999999998605</v>
      </c>
      <c r="H1557" s="66">
        <v>104419.6</v>
      </c>
      <c r="I1557" s="66">
        <v>1205.4999999998604</v>
      </c>
      <c r="J1557" s="66">
        <v>104593.5</v>
      </c>
    </row>
    <row r="1558" spans="2:10">
      <c r="B1558" s="90">
        <v>104419.6</v>
      </c>
      <c r="C1558" s="90">
        <v>1205.3999999998605</v>
      </c>
      <c r="D1558" s="90">
        <v>104593.5</v>
      </c>
      <c r="E1558" s="90">
        <v>1205.4999999998604</v>
      </c>
      <c r="G1558" s="66">
        <v>1205.4999999998604</v>
      </c>
      <c r="H1558" s="66">
        <v>104593.5</v>
      </c>
      <c r="I1558" s="66">
        <v>1205.5999999998603</v>
      </c>
      <c r="J1558" s="66">
        <v>104767.4</v>
      </c>
    </row>
    <row r="1559" spans="2:10">
      <c r="B1559" s="90">
        <v>104593.5</v>
      </c>
      <c r="C1559" s="90">
        <v>1205.4999999998604</v>
      </c>
      <c r="D1559" s="90">
        <v>104767.4</v>
      </c>
      <c r="E1559" s="90">
        <v>1205.5999999998603</v>
      </c>
      <c r="G1559" s="66">
        <v>1205.5999999998603</v>
      </c>
      <c r="H1559" s="66">
        <v>104767.4</v>
      </c>
      <c r="I1559" s="66">
        <v>1205.6999999998602</v>
      </c>
      <c r="J1559" s="66">
        <v>104941.3</v>
      </c>
    </row>
    <row r="1560" spans="2:10">
      <c r="B1560" s="90">
        <v>104767.4</v>
      </c>
      <c r="C1560" s="90">
        <v>1205.5999999998603</v>
      </c>
      <c r="D1560" s="90">
        <v>104941.3</v>
      </c>
      <c r="E1560" s="90">
        <v>1205.6999999998602</v>
      </c>
      <c r="G1560" s="66">
        <v>1205.6999999998602</v>
      </c>
      <c r="H1560" s="66">
        <v>104941.3</v>
      </c>
      <c r="I1560" s="66">
        <v>1205.7999999998601</v>
      </c>
      <c r="J1560" s="66">
        <v>105115.2</v>
      </c>
    </row>
    <row r="1561" spans="2:10">
      <c r="B1561" s="90">
        <v>104941.3</v>
      </c>
      <c r="C1561" s="90">
        <v>1205.6999999998602</v>
      </c>
      <c r="D1561" s="90">
        <v>105115.2</v>
      </c>
      <c r="E1561" s="90">
        <v>1205.7999999998601</v>
      </c>
      <c r="G1561" s="66">
        <v>1205.7999999998601</v>
      </c>
      <c r="H1561" s="66">
        <v>105115.2</v>
      </c>
      <c r="I1561" s="66">
        <v>1205.89999999986</v>
      </c>
      <c r="J1561" s="66">
        <v>105289.1</v>
      </c>
    </row>
    <row r="1562" spans="2:10">
      <c r="B1562" s="90">
        <v>105115.2</v>
      </c>
      <c r="C1562" s="90">
        <v>1205.7999999998601</v>
      </c>
      <c r="D1562" s="90">
        <v>105289.1</v>
      </c>
      <c r="E1562" s="90">
        <v>1205.89999999986</v>
      </c>
      <c r="G1562" s="66">
        <v>1205.89999999986</v>
      </c>
      <c r="H1562" s="66">
        <v>105289.1</v>
      </c>
      <c r="I1562" s="66">
        <v>1205.9999999998599</v>
      </c>
      <c r="J1562" s="66">
        <v>105463</v>
      </c>
    </row>
    <row r="1563" spans="2:10">
      <c r="B1563" s="90">
        <v>105289.1</v>
      </c>
      <c r="C1563" s="90">
        <v>1205.89999999986</v>
      </c>
      <c r="D1563" s="90">
        <v>105463</v>
      </c>
      <c r="E1563" s="90">
        <v>1205.9999999998599</v>
      </c>
      <c r="G1563" s="66">
        <v>1205.9999999998599</v>
      </c>
      <c r="H1563" s="66">
        <v>105463</v>
      </c>
      <c r="I1563" s="66">
        <v>1206.0999999998598</v>
      </c>
      <c r="J1563" s="66">
        <v>105639</v>
      </c>
    </row>
    <row r="1564" spans="2:10">
      <c r="B1564" s="90">
        <v>105463</v>
      </c>
      <c r="C1564" s="90">
        <v>1205.9999999998599</v>
      </c>
      <c r="D1564" s="90">
        <v>105639</v>
      </c>
      <c r="E1564" s="90">
        <v>1206.0999999998598</v>
      </c>
      <c r="G1564" s="66">
        <v>1206.0999999998598</v>
      </c>
      <c r="H1564" s="66">
        <v>105639</v>
      </c>
      <c r="I1564" s="66">
        <v>1206.1999999998598</v>
      </c>
      <c r="J1564" s="66">
        <v>105815</v>
      </c>
    </row>
    <row r="1565" spans="2:10">
      <c r="B1565" s="90">
        <v>105639</v>
      </c>
      <c r="C1565" s="90">
        <v>1206.0999999998598</v>
      </c>
      <c r="D1565" s="90">
        <v>105815</v>
      </c>
      <c r="E1565" s="90">
        <v>1206.1999999998598</v>
      </c>
      <c r="G1565" s="66">
        <v>1206.1999999998598</v>
      </c>
      <c r="H1565" s="66">
        <v>105815</v>
      </c>
      <c r="I1565" s="66">
        <v>1206.2999999998597</v>
      </c>
      <c r="J1565" s="66">
        <v>105991</v>
      </c>
    </row>
    <row r="1566" spans="2:10">
      <c r="B1566" s="90">
        <v>105815</v>
      </c>
      <c r="C1566" s="90">
        <v>1206.1999999998598</v>
      </c>
      <c r="D1566" s="90">
        <v>105991</v>
      </c>
      <c r="E1566" s="90">
        <v>1206.2999999998597</v>
      </c>
      <c r="G1566" s="66">
        <v>1206.2999999998597</v>
      </c>
      <c r="H1566" s="66">
        <v>105991</v>
      </c>
      <c r="I1566" s="66">
        <v>1206.3999999998596</v>
      </c>
      <c r="J1566" s="66">
        <v>106167</v>
      </c>
    </row>
    <row r="1567" spans="2:10">
      <c r="B1567" s="90">
        <v>105991</v>
      </c>
      <c r="C1567" s="90">
        <v>1206.2999999998597</v>
      </c>
      <c r="D1567" s="90">
        <v>106167</v>
      </c>
      <c r="E1567" s="90">
        <v>1206.3999999998596</v>
      </c>
      <c r="G1567" s="66">
        <v>1206.3999999998596</v>
      </c>
      <c r="H1567" s="66">
        <v>106167</v>
      </c>
      <c r="I1567" s="66">
        <v>1206.4999999998595</v>
      </c>
      <c r="J1567" s="66">
        <v>106343</v>
      </c>
    </row>
    <row r="1568" spans="2:10">
      <c r="B1568" s="90">
        <v>106167</v>
      </c>
      <c r="C1568" s="90">
        <v>1206.3999999998596</v>
      </c>
      <c r="D1568" s="90">
        <v>106343</v>
      </c>
      <c r="E1568" s="90">
        <v>1206.4999999998595</v>
      </c>
      <c r="G1568" s="66">
        <v>1206.4999999998595</v>
      </c>
      <c r="H1568" s="66">
        <v>106343</v>
      </c>
      <c r="I1568" s="66">
        <v>1206.5999999998594</v>
      </c>
      <c r="J1568" s="66">
        <v>106519</v>
      </c>
    </row>
    <row r="1569" spans="2:10">
      <c r="B1569" s="90">
        <v>106343</v>
      </c>
      <c r="C1569" s="90">
        <v>1206.4999999998595</v>
      </c>
      <c r="D1569" s="90">
        <v>106519</v>
      </c>
      <c r="E1569" s="90">
        <v>1206.5999999998594</v>
      </c>
      <c r="G1569" s="66">
        <v>1206.5999999998594</v>
      </c>
      <c r="H1569" s="66">
        <v>106519</v>
      </c>
      <c r="I1569" s="66">
        <v>1206.6999999998593</v>
      </c>
      <c r="J1569" s="66">
        <v>106695</v>
      </c>
    </row>
    <row r="1570" spans="2:10">
      <c r="B1570" s="90">
        <v>106519</v>
      </c>
      <c r="C1570" s="90">
        <v>1206.5999999998594</v>
      </c>
      <c r="D1570" s="90">
        <v>106695</v>
      </c>
      <c r="E1570" s="90">
        <v>1206.6999999998593</v>
      </c>
      <c r="G1570" s="66">
        <v>1206.6999999998593</v>
      </c>
      <c r="H1570" s="66">
        <v>106695</v>
      </c>
      <c r="I1570" s="66">
        <v>1206.7999999998592</v>
      </c>
      <c r="J1570" s="66">
        <v>106871</v>
      </c>
    </row>
    <row r="1571" spans="2:10">
      <c r="B1571" s="90">
        <v>106695</v>
      </c>
      <c r="C1571" s="90">
        <v>1206.6999999998593</v>
      </c>
      <c r="D1571" s="90">
        <v>106871</v>
      </c>
      <c r="E1571" s="90">
        <v>1206.7999999998592</v>
      </c>
      <c r="G1571" s="66">
        <v>1206.7999999998592</v>
      </c>
      <c r="H1571" s="66">
        <v>106871</v>
      </c>
      <c r="I1571" s="66">
        <v>1206.8999999998591</v>
      </c>
      <c r="J1571" s="66">
        <v>107047</v>
      </c>
    </row>
    <row r="1572" spans="2:10">
      <c r="B1572" s="90">
        <v>106871</v>
      </c>
      <c r="C1572" s="90">
        <v>1206.7999999998592</v>
      </c>
      <c r="D1572" s="90">
        <v>107047</v>
      </c>
      <c r="E1572" s="90">
        <v>1206.8999999998591</v>
      </c>
      <c r="G1572" s="66">
        <v>1206.8999999998591</v>
      </c>
      <c r="H1572" s="66">
        <v>107047</v>
      </c>
      <c r="I1572" s="66">
        <v>1206.999999999859</v>
      </c>
      <c r="J1572" s="66">
        <v>107223</v>
      </c>
    </row>
    <row r="1573" spans="2:10">
      <c r="B1573" s="90">
        <v>107047</v>
      </c>
      <c r="C1573" s="90">
        <v>1206.8999999998591</v>
      </c>
      <c r="D1573" s="90">
        <v>107223</v>
      </c>
      <c r="E1573" s="90">
        <v>1206.999999999859</v>
      </c>
      <c r="G1573" s="66">
        <v>1206.999999999859</v>
      </c>
      <c r="H1573" s="66">
        <v>107223</v>
      </c>
      <c r="I1573" s="66">
        <v>1207.0999999998589</v>
      </c>
      <c r="J1573" s="66">
        <v>107401</v>
      </c>
    </row>
    <row r="1574" spans="2:10">
      <c r="B1574" s="90">
        <v>107223</v>
      </c>
      <c r="C1574" s="90">
        <v>1206.999999999859</v>
      </c>
      <c r="D1574" s="90">
        <v>107401</v>
      </c>
      <c r="E1574" s="90">
        <v>1207.0999999998589</v>
      </c>
      <c r="G1574" s="66">
        <v>1207.0999999998589</v>
      </c>
      <c r="H1574" s="66">
        <v>107401</v>
      </c>
      <c r="I1574" s="66">
        <v>1207.1999999998588</v>
      </c>
      <c r="J1574" s="66">
        <v>107579</v>
      </c>
    </row>
    <row r="1575" spans="2:10">
      <c r="B1575" s="90">
        <v>107401</v>
      </c>
      <c r="C1575" s="90">
        <v>1207.0999999998589</v>
      </c>
      <c r="D1575" s="90">
        <v>107579</v>
      </c>
      <c r="E1575" s="90">
        <v>1207.1999999998588</v>
      </c>
      <c r="G1575" s="66">
        <v>1207.1999999998588</v>
      </c>
      <c r="H1575" s="66">
        <v>107579</v>
      </c>
      <c r="I1575" s="66">
        <v>1207.2999999998588</v>
      </c>
      <c r="J1575" s="66">
        <v>107757</v>
      </c>
    </row>
    <row r="1576" spans="2:10">
      <c r="B1576" s="90">
        <v>107579</v>
      </c>
      <c r="C1576" s="90">
        <v>1207.1999999998588</v>
      </c>
      <c r="D1576" s="90">
        <v>107757</v>
      </c>
      <c r="E1576" s="90">
        <v>1207.2999999998588</v>
      </c>
      <c r="G1576" s="66">
        <v>1207.2999999998588</v>
      </c>
      <c r="H1576" s="66">
        <v>107757</v>
      </c>
      <c r="I1576" s="66">
        <v>1207.3999999998587</v>
      </c>
      <c r="J1576" s="66">
        <v>107935</v>
      </c>
    </row>
    <row r="1577" spans="2:10">
      <c r="B1577" s="90">
        <v>107757</v>
      </c>
      <c r="C1577" s="90">
        <v>1207.2999999998588</v>
      </c>
      <c r="D1577" s="90">
        <v>107935</v>
      </c>
      <c r="E1577" s="90">
        <v>1207.3999999998587</v>
      </c>
      <c r="G1577" s="66">
        <v>1207.3999999998587</v>
      </c>
      <c r="H1577" s="66">
        <v>107935</v>
      </c>
      <c r="I1577" s="66">
        <v>1207.4999999998586</v>
      </c>
      <c r="J1577" s="66">
        <v>108113</v>
      </c>
    </row>
    <row r="1578" spans="2:10">
      <c r="B1578" s="90">
        <v>107935</v>
      </c>
      <c r="C1578" s="90">
        <v>1207.3999999998587</v>
      </c>
      <c r="D1578" s="90">
        <v>108113</v>
      </c>
      <c r="E1578" s="90">
        <v>1207.4999999998586</v>
      </c>
      <c r="G1578" s="66">
        <v>1207.4999999998586</v>
      </c>
      <c r="H1578" s="66">
        <v>108113</v>
      </c>
      <c r="I1578" s="66">
        <v>1207.5999999998585</v>
      </c>
      <c r="J1578" s="66">
        <v>108291</v>
      </c>
    </row>
    <row r="1579" spans="2:10">
      <c r="B1579" s="90">
        <v>108113</v>
      </c>
      <c r="C1579" s="90">
        <v>1207.4999999998586</v>
      </c>
      <c r="D1579" s="90">
        <v>108291</v>
      </c>
      <c r="E1579" s="90">
        <v>1207.5999999998585</v>
      </c>
      <c r="G1579" s="66">
        <v>1207.5999999998585</v>
      </c>
      <c r="H1579" s="66">
        <v>108291</v>
      </c>
      <c r="I1579" s="66">
        <v>1207.6999999998584</v>
      </c>
      <c r="J1579" s="66">
        <v>108469</v>
      </c>
    </row>
    <row r="1580" spans="2:10">
      <c r="B1580" s="90">
        <v>108291</v>
      </c>
      <c r="C1580" s="90">
        <v>1207.5999999998585</v>
      </c>
      <c r="D1580" s="90">
        <v>108469</v>
      </c>
      <c r="E1580" s="90">
        <v>1207.6999999998584</v>
      </c>
      <c r="G1580" s="66">
        <v>1207.6999999998584</v>
      </c>
      <c r="H1580" s="66">
        <v>108469</v>
      </c>
      <c r="I1580" s="66">
        <v>1207.7999999998583</v>
      </c>
      <c r="J1580" s="66">
        <v>108647</v>
      </c>
    </row>
    <row r="1581" spans="2:10">
      <c r="B1581" s="90">
        <v>108469</v>
      </c>
      <c r="C1581" s="90">
        <v>1207.6999999998584</v>
      </c>
      <c r="D1581" s="90">
        <v>108647</v>
      </c>
      <c r="E1581" s="90">
        <v>1207.7999999998583</v>
      </c>
      <c r="G1581" s="66">
        <v>1207.7999999998583</v>
      </c>
      <c r="H1581" s="66">
        <v>108647</v>
      </c>
      <c r="I1581" s="66">
        <v>1207.8999999998582</v>
      </c>
      <c r="J1581" s="66">
        <v>108825</v>
      </c>
    </row>
    <row r="1582" spans="2:10">
      <c r="B1582" s="90">
        <v>108647</v>
      </c>
      <c r="C1582" s="90">
        <v>1207.7999999998583</v>
      </c>
      <c r="D1582" s="90">
        <v>108825</v>
      </c>
      <c r="E1582" s="90">
        <v>1207.8999999998582</v>
      </c>
      <c r="G1582" s="66">
        <v>1207.8999999998582</v>
      </c>
      <c r="H1582" s="66">
        <v>108825</v>
      </c>
      <c r="I1582" s="66">
        <v>1207.9999999998581</v>
      </c>
      <c r="J1582" s="66">
        <v>109003</v>
      </c>
    </row>
    <row r="1583" spans="2:10">
      <c r="B1583" s="90">
        <v>108825</v>
      </c>
      <c r="C1583" s="90">
        <v>1207.8999999998582</v>
      </c>
      <c r="D1583" s="90">
        <v>109003</v>
      </c>
      <c r="E1583" s="90">
        <v>1207.9999999998581</v>
      </c>
      <c r="G1583" s="66">
        <v>1207.9999999998581</v>
      </c>
      <c r="H1583" s="66">
        <v>109003</v>
      </c>
      <c r="I1583" s="66">
        <v>1208.099999999858</v>
      </c>
      <c r="J1583" s="66">
        <v>109183</v>
      </c>
    </row>
    <row r="1584" spans="2:10">
      <c r="B1584" s="90">
        <v>109003</v>
      </c>
      <c r="C1584" s="90">
        <v>1207.9999999998581</v>
      </c>
      <c r="D1584" s="90">
        <v>109183</v>
      </c>
      <c r="E1584" s="90">
        <v>1208.099999999858</v>
      </c>
      <c r="G1584" s="66">
        <v>1208.099999999858</v>
      </c>
      <c r="H1584" s="66">
        <v>109183</v>
      </c>
      <c r="I1584" s="66">
        <v>1208.1999999998579</v>
      </c>
      <c r="J1584" s="66">
        <v>109363</v>
      </c>
    </row>
    <row r="1585" spans="2:10">
      <c r="B1585" s="90">
        <v>109183</v>
      </c>
      <c r="C1585" s="90">
        <v>1208.099999999858</v>
      </c>
      <c r="D1585" s="90">
        <v>109363</v>
      </c>
      <c r="E1585" s="90">
        <v>1208.1999999998579</v>
      </c>
      <c r="G1585" s="66">
        <v>1208.1999999998579</v>
      </c>
      <c r="H1585" s="66">
        <v>109363</v>
      </c>
      <c r="I1585" s="66">
        <v>1208.2999999998578</v>
      </c>
      <c r="J1585" s="66">
        <v>109543</v>
      </c>
    </row>
    <row r="1586" spans="2:10">
      <c r="B1586" s="90">
        <v>109363</v>
      </c>
      <c r="C1586" s="90">
        <v>1208.1999999998579</v>
      </c>
      <c r="D1586" s="90">
        <v>109543</v>
      </c>
      <c r="E1586" s="90">
        <v>1208.2999999998578</v>
      </c>
      <c r="G1586" s="66">
        <v>1208.2999999998578</v>
      </c>
      <c r="H1586" s="66">
        <v>109543</v>
      </c>
      <c r="I1586" s="66">
        <v>1208.3999999998578</v>
      </c>
      <c r="J1586" s="66">
        <v>109723</v>
      </c>
    </row>
    <row r="1587" spans="2:10">
      <c r="B1587" s="90">
        <v>109543</v>
      </c>
      <c r="C1587" s="90">
        <v>1208.2999999998578</v>
      </c>
      <c r="D1587" s="90">
        <v>109723</v>
      </c>
      <c r="E1587" s="90">
        <v>1208.3999999998578</v>
      </c>
      <c r="G1587" s="66">
        <v>1208.3999999998578</v>
      </c>
      <c r="H1587" s="66">
        <v>109723</v>
      </c>
      <c r="I1587" s="66">
        <v>1208.4999999998577</v>
      </c>
      <c r="J1587" s="66">
        <v>109903</v>
      </c>
    </row>
    <row r="1588" spans="2:10">
      <c r="B1588" s="90">
        <v>109723</v>
      </c>
      <c r="C1588" s="90">
        <v>1208.3999999998578</v>
      </c>
      <c r="D1588" s="90">
        <v>109903</v>
      </c>
      <c r="E1588" s="90">
        <v>1208.4999999998577</v>
      </c>
      <c r="G1588" s="66">
        <v>1208.4999999998577</v>
      </c>
      <c r="H1588" s="66">
        <v>109903</v>
      </c>
      <c r="I1588" s="66">
        <v>1208.5999999998576</v>
      </c>
      <c r="J1588" s="66">
        <v>110083</v>
      </c>
    </row>
    <row r="1589" spans="2:10">
      <c r="B1589" s="90">
        <v>109903</v>
      </c>
      <c r="C1589" s="90">
        <v>1208.4999999998577</v>
      </c>
      <c r="D1589" s="90">
        <v>110083</v>
      </c>
      <c r="E1589" s="90">
        <v>1208.5999999998576</v>
      </c>
      <c r="G1589" s="66">
        <v>1208.5999999998576</v>
      </c>
      <c r="H1589" s="66">
        <v>110083</v>
      </c>
      <c r="I1589" s="66">
        <v>1208.6999999998575</v>
      </c>
      <c r="J1589" s="66">
        <v>110263</v>
      </c>
    </row>
    <row r="1590" spans="2:10">
      <c r="B1590" s="90">
        <v>110083</v>
      </c>
      <c r="C1590" s="90">
        <v>1208.5999999998576</v>
      </c>
      <c r="D1590" s="90">
        <v>110263</v>
      </c>
      <c r="E1590" s="90">
        <v>1208.6999999998575</v>
      </c>
      <c r="G1590" s="66">
        <v>1208.6999999998575</v>
      </c>
      <c r="H1590" s="66">
        <v>110263</v>
      </c>
      <c r="I1590" s="66">
        <v>1208.7999999998574</v>
      </c>
      <c r="J1590" s="66">
        <v>110443</v>
      </c>
    </row>
    <row r="1591" spans="2:10">
      <c r="B1591" s="90">
        <v>110263</v>
      </c>
      <c r="C1591" s="90">
        <v>1208.6999999998575</v>
      </c>
      <c r="D1591" s="90">
        <v>110443</v>
      </c>
      <c r="E1591" s="90">
        <v>1208.7999999998574</v>
      </c>
      <c r="G1591" s="66">
        <v>1208.7999999998574</v>
      </c>
      <c r="H1591" s="66">
        <v>110443</v>
      </c>
      <c r="I1591" s="66">
        <v>1208.8999999998573</v>
      </c>
      <c r="J1591" s="66">
        <v>110623</v>
      </c>
    </row>
    <row r="1592" spans="2:10">
      <c r="B1592" s="90">
        <v>110443</v>
      </c>
      <c r="C1592" s="90">
        <v>1208.7999999998574</v>
      </c>
      <c r="D1592" s="90">
        <v>110623</v>
      </c>
      <c r="E1592" s="90">
        <v>1208.8999999998573</v>
      </c>
      <c r="G1592" s="66">
        <v>1208.8999999998573</v>
      </c>
      <c r="H1592" s="66">
        <v>110623</v>
      </c>
      <c r="I1592" s="66">
        <v>1208.9999999998572</v>
      </c>
      <c r="J1592" s="66">
        <v>110803</v>
      </c>
    </row>
    <row r="1593" spans="2:10">
      <c r="B1593" s="90">
        <v>110623</v>
      </c>
      <c r="C1593" s="90">
        <v>1208.8999999998573</v>
      </c>
      <c r="D1593" s="90">
        <v>110803</v>
      </c>
      <c r="E1593" s="90">
        <v>1208.9999999998572</v>
      </c>
      <c r="G1593" s="66">
        <v>1208.9999999998572</v>
      </c>
      <c r="H1593" s="66">
        <v>110803</v>
      </c>
      <c r="I1593" s="66">
        <v>1209.0999999998571</v>
      </c>
      <c r="J1593" s="66">
        <v>111003.8</v>
      </c>
    </row>
    <row r="1594" spans="2:10">
      <c r="B1594" s="90">
        <v>110803</v>
      </c>
      <c r="C1594" s="90">
        <v>1208.9999999998572</v>
      </c>
      <c r="D1594" s="90">
        <v>111003.8</v>
      </c>
      <c r="E1594" s="90">
        <v>1209.0999999998571</v>
      </c>
      <c r="G1594" s="66">
        <v>1209.0999999998571</v>
      </c>
      <c r="H1594" s="66">
        <v>111003.8</v>
      </c>
      <c r="I1594" s="66">
        <v>1209.199999999857</v>
      </c>
      <c r="J1594" s="66">
        <v>111204.6</v>
      </c>
    </row>
    <row r="1595" spans="2:10">
      <c r="B1595" s="90">
        <v>111003.8</v>
      </c>
      <c r="C1595" s="90">
        <v>1209.0999999998571</v>
      </c>
      <c r="D1595" s="90">
        <v>111204.6</v>
      </c>
      <c r="E1595" s="90">
        <v>1209.199999999857</v>
      </c>
      <c r="G1595" s="66">
        <v>1209.199999999857</v>
      </c>
      <c r="H1595" s="66">
        <v>111204.6</v>
      </c>
      <c r="I1595" s="66">
        <v>1209.2999999998569</v>
      </c>
      <c r="J1595" s="66">
        <v>111405.4</v>
      </c>
    </row>
    <row r="1596" spans="2:10">
      <c r="B1596" s="90">
        <v>111204.6</v>
      </c>
      <c r="C1596" s="90">
        <v>1209.199999999857</v>
      </c>
      <c r="D1596" s="90">
        <v>111405.4</v>
      </c>
      <c r="E1596" s="90">
        <v>1209.2999999998569</v>
      </c>
      <c r="G1596" s="66">
        <v>1209.2999999998569</v>
      </c>
      <c r="H1596" s="66">
        <v>111405.4</v>
      </c>
      <c r="I1596" s="66">
        <v>1209.3999999998568</v>
      </c>
      <c r="J1596" s="66">
        <v>111606.2</v>
      </c>
    </row>
    <row r="1597" spans="2:10">
      <c r="B1597" s="90">
        <v>111405.4</v>
      </c>
      <c r="C1597" s="90">
        <v>1209.2999999998569</v>
      </c>
      <c r="D1597" s="90">
        <v>111606.2</v>
      </c>
      <c r="E1597" s="90">
        <v>1209.3999999998568</v>
      </c>
      <c r="G1597" s="66">
        <v>1209.3999999998568</v>
      </c>
      <c r="H1597" s="66">
        <v>111606.2</v>
      </c>
      <c r="I1597" s="66">
        <v>1209.4999999998568</v>
      </c>
      <c r="J1597" s="66">
        <v>111807</v>
      </c>
    </row>
    <row r="1598" spans="2:10">
      <c r="B1598" s="90">
        <v>111606.2</v>
      </c>
      <c r="C1598" s="90">
        <v>1209.3999999998568</v>
      </c>
      <c r="D1598" s="90">
        <v>111807</v>
      </c>
      <c r="E1598" s="90">
        <v>1209.4999999998568</v>
      </c>
      <c r="G1598" s="66">
        <v>1209.4999999998568</v>
      </c>
      <c r="H1598" s="66">
        <v>111807</v>
      </c>
      <c r="I1598" s="66">
        <v>1209.5999999998567</v>
      </c>
      <c r="J1598" s="66">
        <v>112007.8</v>
      </c>
    </row>
    <row r="1599" spans="2:10">
      <c r="B1599" s="90">
        <v>111807</v>
      </c>
      <c r="C1599" s="90">
        <v>1209.4999999998568</v>
      </c>
      <c r="D1599" s="90">
        <v>112007.8</v>
      </c>
      <c r="E1599" s="90">
        <v>1209.5999999998567</v>
      </c>
      <c r="G1599" s="66">
        <v>1209.5999999998567</v>
      </c>
      <c r="H1599" s="66">
        <v>112007.8</v>
      </c>
      <c r="I1599" s="66">
        <v>1209.6999999998566</v>
      </c>
      <c r="J1599" s="66">
        <v>112208.6</v>
      </c>
    </row>
    <row r="1600" spans="2:10">
      <c r="B1600" s="90">
        <v>112007.8</v>
      </c>
      <c r="C1600" s="90">
        <v>1209.5999999998567</v>
      </c>
      <c r="D1600" s="90">
        <v>112208.6</v>
      </c>
      <c r="E1600" s="90">
        <v>1209.6999999998566</v>
      </c>
      <c r="G1600" s="66">
        <v>1209.6999999998566</v>
      </c>
      <c r="H1600" s="66">
        <v>112208.6</v>
      </c>
      <c r="I1600" s="66">
        <v>1209.7999999998565</v>
      </c>
      <c r="J1600" s="66">
        <v>112409.4</v>
      </c>
    </row>
    <row r="1601" spans="2:10">
      <c r="B1601" s="90">
        <v>112208.6</v>
      </c>
      <c r="C1601" s="90">
        <v>1209.6999999998566</v>
      </c>
      <c r="D1601" s="90">
        <v>112409.4</v>
      </c>
      <c r="E1601" s="90">
        <v>1209.7999999998565</v>
      </c>
      <c r="G1601" s="66">
        <v>1209.7999999998565</v>
      </c>
      <c r="H1601" s="66">
        <v>112409.4</v>
      </c>
      <c r="I1601" s="66">
        <v>1209.8999999998564</v>
      </c>
      <c r="J1601" s="66">
        <v>112610.2</v>
      </c>
    </row>
    <row r="1602" spans="2:10">
      <c r="B1602" s="90">
        <v>112409.4</v>
      </c>
      <c r="C1602" s="90">
        <v>1209.7999999998565</v>
      </c>
      <c r="D1602" s="90">
        <v>112610.2</v>
      </c>
      <c r="E1602" s="90">
        <v>1209.8999999998564</v>
      </c>
      <c r="G1602" s="66">
        <v>1209.8999999998564</v>
      </c>
      <c r="H1602" s="66">
        <v>112610.2</v>
      </c>
      <c r="I1602" s="66">
        <v>1209.9999999998563</v>
      </c>
      <c r="J1602" s="66">
        <v>112811</v>
      </c>
    </row>
    <row r="1603" spans="2:10">
      <c r="B1603" s="90">
        <v>112610.2</v>
      </c>
      <c r="C1603" s="90">
        <v>1209.8999999998564</v>
      </c>
      <c r="D1603" s="90">
        <v>112811</v>
      </c>
      <c r="E1603" s="90">
        <v>1209.9999999998563</v>
      </c>
      <c r="G1603" s="66">
        <v>1209.9999999998563</v>
      </c>
      <c r="H1603" s="66">
        <v>112811</v>
      </c>
      <c r="I1603" s="66">
        <v>1210.0999999998562</v>
      </c>
      <c r="J1603" s="66">
        <v>112994.5</v>
      </c>
    </row>
    <row r="1604" spans="2:10">
      <c r="B1604" s="90">
        <v>112811</v>
      </c>
      <c r="C1604" s="90">
        <v>1209.9999999998563</v>
      </c>
      <c r="D1604" s="90">
        <v>112994.5</v>
      </c>
      <c r="E1604" s="90">
        <v>1210.0999999998562</v>
      </c>
      <c r="G1604" s="66">
        <v>1210.0999999998562</v>
      </c>
      <c r="H1604" s="66">
        <v>112994.5</v>
      </c>
      <c r="I1604" s="66">
        <v>1210.1999999998561</v>
      </c>
      <c r="J1604" s="66">
        <v>113178</v>
      </c>
    </row>
    <row r="1605" spans="2:10">
      <c r="B1605" s="90">
        <v>112994.5</v>
      </c>
      <c r="C1605" s="90">
        <v>1210.0999999998562</v>
      </c>
      <c r="D1605" s="90">
        <v>113178</v>
      </c>
      <c r="E1605" s="90">
        <v>1210.1999999998561</v>
      </c>
      <c r="G1605" s="66">
        <v>1210.1999999998561</v>
      </c>
      <c r="H1605" s="66">
        <v>113178</v>
      </c>
      <c r="I1605" s="66">
        <v>1210.299999999856</v>
      </c>
      <c r="J1605" s="66">
        <v>113361.5</v>
      </c>
    </row>
    <row r="1606" spans="2:10">
      <c r="B1606" s="90">
        <v>113178</v>
      </c>
      <c r="C1606" s="90">
        <v>1210.1999999998561</v>
      </c>
      <c r="D1606" s="90">
        <v>113361.5</v>
      </c>
      <c r="E1606" s="90">
        <v>1210.299999999856</v>
      </c>
      <c r="G1606" s="66">
        <v>1210.299999999856</v>
      </c>
      <c r="H1606" s="66">
        <v>113361.5</v>
      </c>
      <c r="I1606" s="66">
        <v>1210.3999999998559</v>
      </c>
      <c r="J1606" s="66">
        <v>113545</v>
      </c>
    </row>
    <row r="1607" spans="2:10">
      <c r="B1607" s="90">
        <v>113361.5</v>
      </c>
      <c r="C1607" s="90">
        <v>1210.299999999856</v>
      </c>
      <c r="D1607" s="90">
        <v>113545</v>
      </c>
      <c r="E1607" s="90">
        <v>1210.3999999998559</v>
      </c>
      <c r="G1607" s="66">
        <v>1210.3999999998559</v>
      </c>
      <c r="H1607" s="66">
        <v>113545</v>
      </c>
      <c r="I1607" s="66">
        <v>1210.4999999998558</v>
      </c>
      <c r="J1607" s="66">
        <v>113728.5</v>
      </c>
    </row>
    <row r="1608" spans="2:10">
      <c r="B1608" s="90">
        <v>113545</v>
      </c>
      <c r="C1608" s="90">
        <v>1210.3999999998559</v>
      </c>
      <c r="D1608" s="90">
        <v>113728.5</v>
      </c>
      <c r="E1608" s="90">
        <v>1210.4999999998558</v>
      </c>
      <c r="G1608" s="66">
        <v>1210.4999999998558</v>
      </c>
      <c r="H1608" s="66">
        <v>113728.5</v>
      </c>
      <c r="I1608" s="66">
        <v>1210.5999999998558</v>
      </c>
      <c r="J1608" s="66">
        <v>113912</v>
      </c>
    </row>
    <row r="1609" spans="2:10">
      <c r="B1609" s="90">
        <v>113728.5</v>
      </c>
      <c r="C1609" s="90">
        <v>1210.4999999998558</v>
      </c>
      <c r="D1609" s="90">
        <v>113912</v>
      </c>
      <c r="E1609" s="90">
        <v>1210.5999999998558</v>
      </c>
      <c r="G1609" s="66">
        <v>1210.5999999998558</v>
      </c>
      <c r="H1609" s="66">
        <v>113912</v>
      </c>
      <c r="I1609" s="66">
        <v>1210.6999999998557</v>
      </c>
      <c r="J1609" s="66">
        <v>114095.5</v>
      </c>
    </row>
    <row r="1610" spans="2:10">
      <c r="B1610" s="90">
        <v>113912</v>
      </c>
      <c r="C1610" s="90">
        <v>1210.5999999998558</v>
      </c>
      <c r="D1610" s="90">
        <v>114095.5</v>
      </c>
      <c r="E1610" s="90">
        <v>1210.6999999998557</v>
      </c>
      <c r="G1610" s="66">
        <v>1210.6999999998557</v>
      </c>
      <c r="H1610" s="66">
        <v>114095.5</v>
      </c>
      <c r="I1610" s="66">
        <v>1210.7999999998556</v>
      </c>
      <c r="J1610" s="66">
        <v>114279</v>
      </c>
    </row>
    <row r="1611" spans="2:10">
      <c r="B1611" s="90">
        <v>114095.5</v>
      </c>
      <c r="C1611" s="90">
        <v>1210.6999999998557</v>
      </c>
      <c r="D1611" s="90">
        <v>114279</v>
      </c>
      <c r="E1611" s="90">
        <v>1210.7999999998556</v>
      </c>
      <c r="G1611" s="66">
        <v>1210.7999999998556</v>
      </c>
      <c r="H1611" s="66">
        <v>114279</v>
      </c>
      <c r="I1611" s="66">
        <v>1210.8999999998555</v>
      </c>
      <c r="J1611" s="66">
        <v>114462.5</v>
      </c>
    </row>
    <row r="1612" spans="2:10">
      <c r="B1612" s="90">
        <v>114279</v>
      </c>
      <c r="C1612" s="90">
        <v>1210.7999999998556</v>
      </c>
      <c r="D1612" s="90">
        <v>114462.5</v>
      </c>
      <c r="E1612" s="90">
        <v>1210.8999999998555</v>
      </c>
      <c r="G1612" s="66">
        <v>1210.8999999998555</v>
      </c>
      <c r="H1612" s="66">
        <v>114462.5</v>
      </c>
      <c r="I1612" s="66">
        <v>1210.9999999998554</v>
      </c>
      <c r="J1612" s="66">
        <v>114646</v>
      </c>
    </row>
    <row r="1613" spans="2:10">
      <c r="B1613" s="90">
        <v>114462.5</v>
      </c>
      <c r="C1613" s="90">
        <v>1210.8999999998555</v>
      </c>
      <c r="D1613" s="90">
        <v>114646</v>
      </c>
      <c r="E1613" s="90">
        <v>1210.9999999998554</v>
      </c>
      <c r="G1613" s="66">
        <v>1210.9999999998554</v>
      </c>
      <c r="H1613" s="66">
        <v>114646</v>
      </c>
      <c r="I1613" s="66">
        <v>1211.0999999998553</v>
      </c>
      <c r="J1613" s="66">
        <v>114831</v>
      </c>
    </row>
    <row r="1614" spans="2:10">
      <c r="B1614" s="90">
        <v>114646</v>
      </c>
      <c r="C1614" s="90">
        <v>1210.9999999998554</v>
      </c>
      <c r="D1614" s="90">
        <v>114831</v>
      </c>
      <c r="E1614" s="90">
        <v>1211.0999999998553</v>
      </c>
      <c r="G1614" s="66">
        <v>1211.0999999998553</v>
      </c>
      <c r="H1614" s="66">
        <v>114831</v>
      </c>
      <c r="I1614" s="66">
        <v>1211.1999999998552</v>
      </c>
      <c r="J1614" s="66">
        <v>115016</v>
      </c>
    </row>
    <row r="1615" spans="2:10">
      <c r="B1615" s="90">
        <v>114831</v>
      </c>
      <c r="C1615" s="90">
        <v>1211.0999999998553</v>
      </c>
      <c r="D1615" s="90">
        <v>115016</v>
      </c>
      <c r="E1615" s="90">
        <v>1211.1999999998552</v>
      </c>
      <c r="G1615" s="66">
        <v>1211.1999999998552</v>
      </c>
      <c r="H1615" s="66">
        <v>115016</v>
      </c>
      <c r="I1615" s="66">
        <v>1211.2999999998551</v>
      </c>
      <c r="J1615" s="66">
        <v>115201</v>
      </c>
    </row>
    <row r="1616" spans="2:10">
      <c r="B1616" s="90">
        <v>115016</v>
      </c>
      <c r="C1616" s="90">
        <v>1211.1999999998552</v>
      </c>
      <c r="D1616" s="90">
        <v>115201</v>
      </c>
      <c r="E1616" s="90">
        <v>1211.2999999998551</v>
      </c>
      <c r="G1616" s="66">
        <v>1211.2999999998551</v>
      </c>
      <c r="H1616" s="66">
        <v>115201</v>
      </c>
      <c r="I1616" s="66">
        <v>1211.399999999855</v>
      </c>
      <c r="J1616" s="66">
        <v>115386</v>
      </c>
    </row>
    <row r="1617" spans="2:10">
      <c r="B1617" s="90">
        <v>115201</v>
      </c>
      <c r="C1617" s="90">
        <v>1211.2999999998551</v>
      </c>
      <c r="D1617" s="90">
        <v>115386</v>
      </c>
      <c r="E1617" s="90">
        <v>1211.399999999855</v>
      </c>
      <c r="G1617" s="66">
        <v>1211.399999999855</v>
      </c>
      <c r="H1617" s="66">
        <v>115386</v>
      </c>
      <c r="I1617" s="66">
        <v>1211.4999999998549</v>
      </c>
      <c r="J1617" s="66">
        <v>115571</v>
      </c>
    </row>
    <row r="1618" spans="2:10">
      <c r="B1618" s="90">
        <v>115386</v>
      </c>
      <c r="C1618" s="90">
        <v>1211.399999999855</v>
      </c>
      <c r="D1618" s="90">
        <v>115571</v>
      </c>
      <c r="E1618" s="90">
        <v>1211.4999999998549</v>
      </c>
      <c r="G1618" s="66">
        <v>1211.4999999998549</v>
      </c>
      <c r="H1618" s="66">
        <v>115571</v>
      </c>
      <c r="I1618" s="66">
        <v>1211.5999999998548</v>
      </c>
      <c r="J1618" s="66">
        <v>115756</v>
      </c>
    </row>
    <row r="1619" spans="2:10">
      <c r="B1619" s="90">
        <v>115571</v>
      </c>
      <c r="C1619" s="90">
        <v>1211.4999999998549</v>
      </c>
      <c r="D1619" s="90">
        <v>115756</v>
      </c>
      <c r="E1619" s="90">
        <v>1211.5999999998548</v>
      </c>
      <c r="G1619" s="66">
        <v>1211.5999999998548</v>
      </c>
      <c r="H1619" s="66">
        <v>115756</v>
      </c>
      <c r="I1619" s="66">
        <v>1211.6999999998548</v>
      </c>
      <c r="J1619" s="66">
        <v>115941</v>
      </c>
    </row>
    <row r="1620" spans="2:10">
      <c r="B1620" s="90">
        <v>115756</v>
      </c>
      <c r="C1620" s="90">
        <v>1211.5999999998548</v>
      </c>
      <c r="D1620" s="90">
        <v>115941</v>
      </c>
      <c r="E1620" s="90">
        <v>1211.6999999998548</v>
      </c>
      <c r="G1620" s="66">
        <v>1211.6999999998548</v>
      </c>
      <c r="H1620" s="66">
        <v>115941</v>
      </c>
      <c r="I1620" s="66">
        <v>1211.7999999998547</v>
      </c>
      <c r="J1620" s="66">
        <v>116126</v>
      </c>
    </row>
    <row r="1621" spans="2:10">
      <c r="B1621" s="90">
        <v>115941</v>
      </c>
      <c r="C1621" s="90">
        <v>1211.6999999998548</v>
      </c>
      <c r="D1621" s="90">
        <v>116126</v>
      </c>
      <c r="E1621" s="90">
        <v>1211.7999999998547</v>
      </c>
      <c r="G1621" s="66">
        <v>1211.7999999998547</v>
      </c>
      <c r="H1621" s="66">
        <v>116126</v>
      </c>
      <c r="I1621" s="66">
        <v>1211.8999999998546</v>
      </c>
      <c r="J1621" s="66">
        <v>116311</v>
      </c>
    </row>
    <row r="1622" spans="2:10">
      <c r="B1622" s="90">
        <v>116126</v>
      </c>
      <c r="C1622" s="90">
        <v>1211.7999999998547</v>
      </c>
      <c r="D1622" s="90">
        <v>116311</v>
      </c>
      <c r="E1622" s="90">
        <v>1211.8999999998546</v>
      </c>
      <c r="G1622" s="66">
        <v>1211.8999999998546</v>
      </c>
      <c r="H1622" s="66">
        <v>116311</v>
      </c>
      <c r="I1622" s="66">
        <v>1211.9999999998545</v>
      </c>
      <c r="J1622" s="66">
        <v>116496</v>
      </c>
    </row>
    <row r="1623" spans="2:10">
      <c r="B1623" s="90">
        <v>116311</v>
      </c>
      <c r="C1623" s="90">
        <v>1211.8999999998546</v>
      </c>
      <c r="D1623" s="90">
        <v>116496</v>
      </c>
      <c r="E1623" s="90">
        <v>1211.9999999998545</v>
      </c>
      <c r="G1623" s="66">
        <v>1211.9999999998545</v>
      </c>
      <c r="H1623" s="66">
        <v>116496</v>
      </c>
      <c r="I1623" s="66">
        <v>1212.0999999998544</v>
      </c>
      <c r="J1623" s="66">
        <v>116682.5</v>
      </c>
    </row>
    <row r="1624" spans="2:10">
      <c r="B1624" s="90">
        <v>116496</v>
      </c>
      <c r="C1624" s="90">
        <v>1211.9999999998545</v>
      </c>
      <c r="D1624" s="90">
        <v>116682.5</v>
      </c>
      <c r="E1624" s="90">
        <v>1212.0999999998544</v>
      </c>
      <c r="G1624" s="66">
        <v>1212.0999999998544</v>
      </c>
      <c r="H1624" s="66">
        <v>116682.5</v>
      </c>
      <c r="I1624" s="66">
        <v>1212.1999999998543</v>
      </c>
      <c r="J1624" s="66">
        <v>116869</v>
      </c>
    </row>
    <row r="1625" spans="2:10">
      <c r="B1625" s="90">
        <v>116682.5</v>
      </c>
      <c r="C1625" s="90">
        <v>1212.0999999998544</v>
      </c>
      <c r="D1625" s="90">
        <v>116869</v>
      </c>
      <c r="E1625" s="90">
        <v>1212.1999999998543</v>
      </c>
      <c r="G1625" s="66">
        <v>1212.1999999998543</v>
      </c>
      <c r="H1625" s="66">
        <v>116869</v>
      </c>
      <c r="I1625" s="66">
        <v>1212.2999999998542</v>
      </c>
      <c r="J1625" s="66">
        <v>117055.5</v>
      </c>
    </row>
    <row r="1626" spans="2:10">
      <c r="B1626" s="90">
        <v>116869</v>
      </c>
      <c r="C1626" s="90">
        <v>1212.1999999998543</v>
      </c>
      <c r="D1626" s="90">
        <v>117055.5</v>
      </c>
      <c r="E1626" s="90">
        <v>1212.2999999998542</v>
      </c>
      <c r="G1626" s="66">
        <v>1212.2999999998542</v>
      </c>
      <c r="H1626" s="66">
        <v>117055.5</v>
      </c>
      <c r="I1626" s="66">
        <v>1212.3999999998541</v>
      </c>
      <c r="J1626" s="66">
        <v>117242</v>
      </c>
    </row>
    <row r="1627" spans="2:10">
      <c r="B1627" s="90">
        <v>117055.5</v>
      </c>
      <c r="C1627" s="90">
        <v>1212.2999999998542</v>
      </c>
      <c r="D1627" s="90">
        <v>117242</v>
      </c>
      <c r="E1627" s="90">
        <v>1212.3999999998541</v>
      </c>
      <c r="G1627" s="66">
        <v>1212.3999999998541</v>
      </c>
      <c r="H1627" s="66">
        <v>117242</v>
      </c>
      <c r="I1627" s="66">
        <v>1212.499999999854</v>
      </c>
      <c r="J1627" s="66">
        <v>117428.5</v>
      </c>
    </row>
    <row r="1628" spans="2:10">
      <c r="B1628" s="90">
        <v>117242</v>
      </c>
      <c r="C1628" s="90">
        <v>1212.3999999998541</v>
      </c>
      <c r="D1628" s="90">
        <v>117428.5</v>
      </c>
      <c r="E1628" s="90">
        <v>1212.499999999854</v>
      </c>
      <c r="G1628" s="66">
        <v>1212.499999999854</v>
      </c>
      <c r="H1628" s="66">
        <v>117428.5</v>
      </c>
      <c r="I1628" s="66">
        <v>1212.5999999998539</v>
      </c>
      <c r="J1628" s="66">
        <v>117615</v>
      </c>
    </row>
    <row r="1629" spans="2:10">
      <c r="B1629" s="90">
        <v>117428.5</v>
      </c>
      <c r="C1629" s="90">
        <v>1212.499999999854</v>
      </c>
      <c r="D1629" s="90">
        <v>117615</v>
      </c>
      <c r="E1629" s="90">
        <v>1212.5999999998539</v>
      </c>
      <c r="G1629" s="66">
        <v>1212.5999999998539</v>
      </c>
      <c r="H1629" s="66">
        <v>117615</v>
      </c>
      <c r="I1629" s="66">
        <v>1212.6999999998538</v>
      </c>
      <c r="J1629" s="66">
        <v>117801.5</v>
      </c>
    </row>
    <row r="1630" spans="2:10">
      <c r="B1630" s="90">
        <v>117615</v>
      </c>
      <c r="C1630" s="90">
        <v>1212.5999999998539</v>
      </c>
      <c r="D1630" s="90">
        <v>117801.5</v>
      </c>
      <c r="E1630" s="90">
        <v>1212.6999999998538</v>
      </c>
      <c r="G1630" s="66">
        <v>1212.6999999998538</v>
      </c>
      <c r="H1630" s="66">
        <v>117801.5</v>
      </c>
      <c r="I1630" s="66">
        <v>1212.7999999998538</v>
      </c>
      <c r="J1630" s="66">
        <v>117988</v>
      </c>
    </row>
    <row r="1631" spans="2:10">
      <c r="B1631" s="90">
        <v>117801.5</v>
      </c>
      <c r="C1631" s="90">
        <v>1212.6999999998538</v>
      </c>
      <c r="D1631" s="90">
        <v>117988</v>
      </c>
      <c r="E1631" s="90">
        <v>1212.7999999998538</v>
      </c>
      <c r="G1631" s="66">
        <v>1212.7999999998538</v>
      </c>
      <c r="H1631" s="66">
        <v>117988</v>
      </c>
      <c r="I1631" s="66">
        <v>1212.8999999998537</v>
      </c>
      <c r="J1631" s="66">
        <v>118174.5</v>
      </c>
    </row>
    <row r="1632" spans="2:10">
      <c r="B1632" s="90">
        <v>117988</v>
      </c>
      <c r="C1632" s="90">
        <v>1212.7999999998538</v>
      </c>
      <c r="D1632" s="90">
        <v>118174.5</v>
      </c>
      <c r="E1632" s="90">
        <v>1212.8999999998537</v>
      </c>
      <c r="G1632" s="66">
        <v>1212.8999999998537</v>
      </c>
      <c r="H1632" s="66">
        <v>118174.5</v>
      </c>
      <c r="I1632" s="66">
        <v>1212.9999999998536</v>
      </c>
      <c r="J1632" s="66">
        <v>118361</v>
      </c>
    </row>
    <row r="1633" spans="2:10">
      <c r="B1633" s="90">
        <v>118174.5</v>
      </c>
      <c r="C1633" s="90">
        <v>1212.8999999998537</v>
      </c>
      <c r="D1633" s="90">
        <v>118361</v>
      </c>
      <c r="E1633" s="90">
        <v>1212.9999999998536</v>
      </c>
      <c r="G1633" s="66">
        <v>1212.9999999998536</v>
      </c>
      <c r="H1633" s="66">
        <v>118361</v>
      </c>
      <c r="I1633" s="66">
        <v>1213.0999999998535</v>
      </c>
      <c r="J1633" s="66">
        <v>118549</v>
      </c>
    </row>
    <row r="1634" spans="2:10">
      <c r="B1634" s="90">
        <v>118361</v>
      </c>
      <c r="C1634" s="90">
        <v>1212.9999999998536</v>
      </c>
      <c r="D1634" s="90">
        <v>118549</v>
      </c>
      <c r="E1634" s="90">
        <v>1213.0999999998535</v>
      </c>
      <c r="G1634" s="66">
        <v>1213.0999999998535</v>
      </c>
      <c r="H1634" s="66">
        <v>118549</v>
      </c>
      <c r="I1634" s="66">
        <v>1213.1999999998534</v>
      </c>
      <c r="J1634" s="66">
        <v>118737</v>
      </c>
    </row>
    <row r="1635" spans="2:10">
      <c r="B1635" s="90">
        <v>118549</v>
      </c>
      <c r="C1635" s="90">
        <v>1213.0999999998535</v>
      </c>
      <c r="D1635" s="90">
        <v>118737</v>
      </c>
      <c r="E1635" s="90">
        <v>1213.1999999998534</v>
      </c>
      <c r="G1635" s="66">
        <v>1213.1999999998534</v>
      </c>
      <c r="H1635" s="66">
        <v>118737</v>
      </c>
      <c r="I1635" s="66">
        <v>1213.2999999998533</v>
      </c>
      <c r="J1635" s="66">
        <v>118925</v>
      </c>
    </row>
    <row r="1636" spans="2:10">
      <c r="B1636" s="90">
        <v>118737</v>
      </c>
      <c r="C1636" s="90">
        <v>1213.1999999998534</v>
      </c>
      <c r="D1636" s="90">
        <v>118925</v>
      </c>
      <c r="E1636" s="90">
        <v>1213.2999999998533</v>
      </c>
      <c r="G1636" s="66">
        <v>1213.2999999998533</v>
      </c>
      <c r="H1636" s="66">
        <v>118925</v>
      </c>
      <c r="I1636" s="66">
        <v>1213.3999999998532</v>
      </c>
      <c r="J1636" s="66">
        <v>119113</v>
      </c>
    </row>
    <row r="1637" spans="2:10">
      <c r="B1637" s="90">
        <v>118925</v>
      </c>
      <c r="C1637" s="90">
        <v>1213.2999999998533</v>
      </c>
      <c r="D1637" s="90">
        <v>119113</v>
      </c>
      <c r="E1637" s="90">
        <v>1213.3999999998532</v>
      </c>
      <c r="G1637" s="66">
        <v>1213.3999999998532</v>
      </c>
      <c r="H1637" s="66">
        <v>119113</v>
      </c>
      <c r="I1637" s="66">
        <v>1213.4999999998531</v>
      </c>
      <c r="J1637" s="66">
        <v>119301</v>
      </c>
    </row>
    <row r="1638" spans="2:10">
      <c r="B1638" s="90">
        <v>119113</v>
      </c>
      <c r="C1638" s="90">
        <v>1213.3999999998532</v>
      </c>
      <c r="D1638" s="90">
        <v>119301</v>
      </c>
      <c r="E1638" s="90">
        <v>1213.4999999998531</v>
      </c>
      <c r="G1638" s="66">
        <v>1213.4999999998531</v>
      </c>
      <c r="H1638" s="66">
        <v>119301</v>
      </c>
      <c r="I1638" s="66">
        <v>1213.599999999853</v>
      </c>
      <c r="J1638" s="66">
        <v>119489</v>
      </c>
    </row>
    <row r="1639" spans="2:10">
      <c r="B1639" s="90">
        <v>119301</v>
      </c>
      <c r="C1639" s="90">
        <v>1213.4999999998531</v>
      </c>
      <c r="D1639" s="90">
        <v>119489</v>
      </c>
      <c r="E1639" s="90">
        <v>1213.599999999853</v>
      </c>
      <c r="G1639" s="66">
        <v>1213.599999999853</v>
      </c>
      <c r="H1639" s="66">
        <v>119489</v>
      </c>
      <c r="I1639" s="66">
        <v>1213.6999999998529</v>
      </c>
      <c r="J1639" s="66">
        <v>119677</v>
      </c>
    </row>
    <row r="1640" spans="2:10">
      <c r="B1640" s="90">
        <v>119489</v>
      </c>
      <c r="C1640" s="90">
        <v>1213.599999999853</v>
      </c>
      <c r="D1640" s="90">
        <v>119677</v>
      </c>
      <c r="E1640" s="90">
        <v>1213.6999999998529</v>
      </c>
      <c r="G1640" s="66">
        <v>1213.6999999998529</v>
      </c>
      <c r="H1640" s="66">
        <v>119677</v>
      </c>
      <c r="I1640" s="66">
        <v>1213.7999999998528</v>
      </c>
      <c r="J1640" s="66">
        <v>119865</v>
      </c>
    </row>
    <row r="1641" spans="2:10">
      <c r="B1641" s="90">
        <v>119677</v>
      </c>
      <c r="C1641" s="90">
        <v>1213.6999999998529</v>
      </c>
      <c r="D1641" s="90">
        <v>119865</v>
      </c>
      <c r="E1641" s="90">
        <v>1213.7999999998528</v>
      </c>
      <c r="G1641" s="66">
        <v>1213.7999999998528</v>
      </c>
      <c r="H1641" s="66">
        <v>119865</v>
      </c>
      <c r="I1641" s="66">
        <v>1213.8999999998528</v>
      </c>
      <c r="J1641" s="66">
        <v>120053</v>
      </c>
    </row>
    <row r="1642" spans="2:10">
      <c r="B1642" s="90">
        <v>119865</v>
      </c>
      <c r="C1642" s="90">
        <v>1213.7999999998528</v>
      </c>
      <c r="D1642" s="90">
        <v>120053</v>
      </c>
      <c r="E1642" s="90">
        <v>1213.8999999998528</v>
      </c>
      <c r="G1642" s="66">
        <v>1213.8999999998528</v>
      </c>
      <c r="H1642" s="66">
        <v>120053</v>
      </c>
      <c r="I1642" s="66">
        <v>1213.9999999998527</v>
      </c>
      <c r="J1642" s="66">
        <v>120241</v>
      </c>
    </row>
    <row r="1643" spans="2:10">
      <c r="B1643" s="90">
        <v>120053</v>
      </c>
      <c r="C1643" s="90">
        <v>1213.8999999998528</v>
      </c>
      <c r="D1643" s="90">
        <v>120241</v>
      </c>
      <c r="E1643" s="90">
        <v>1213.9999999998527</v>
      </c>
      <c r="G1643" s="66">
        <v>1213.9999999998527</v>
      </c>
      <c r="H1643" s="66">
        <v>120241</v>
      </c>
      <c r="I1643" s="66">
        <v>1214.0999999998526</v>
      </c>
      <c r="J1643" s="66">
        <v>120430.5</v>
      </c>
    </row>
    <row r="1644" spans="2:10">
      <c r="B1644" s="90">
        <v>120241</v>
      </c>
      <c r="C1644" s="90">
        <v>1213.9999999998527</v>
      </c>
      <c r="D1644" s="90">
        <v>120430.5</v>
      </c>
      <c r="E1644" s="90">
        <v>1214.0999999998526</v>
      </c>
      <c r="G1644" s="66">
        <v>1214.0999999998526</v>
      </c>
      <c r="H1644" s="66">
        <v>120430.5</v>
      </c>
      <c r="I1644" s="66">
        <v>1214.1999999998525</v>
      </c>
      <c r="J1644" s="66">
        <v>120620</v>
      </c>
    </row>
    <row r="1645" spans="2:10">
      <c r="B1645" s="90">
        <v>120430.5</v>
      </c>
      <c r="C1645" s="90">
        <v>1214.0999999998526</v>
      </c>
      <c r="D1645" s="90">
        <v>120620</v>
      </c>
      <c r="E1645" s="90">
        <v>1214.1999999998525</v>
      </c>
      <c r="G1645" s="66">
        <v>1214.1999999998525</v>
      </c>
      <c r="H1645" s="66">
        <v>120620</v>
      </c>
      <c r="I1645" s="66">
        <v>1214.2999999998524</v>
      </c>
      <c r="J1645" s="66">
        <v>120809.5</v>
      </c>
    </row>
    <row r="1646" spans="2:10">
      <c r="B1646" s="90">
        <v>120620</v>
      </c>
      <c r="C1646" s="90">
        <v>1214.1999999998525</v>
      </c>
      <c r="D1646" s="90">
        <v>120809.5</v>
      </c>
      <c r="E1646" s="90">
        <v>1214.2999999998524</v>
      </c>
      <c r="G1646" s="66">
        <v>1214.2999999998524</v>
      </c>
      <c r="H1646" s="66">
        <v>120809.5</v>
      </c>
      <c r="I1646" s="66">
        <v>1214.3999999998523</v>
      </c>
      <c r="J1646" s="66">
        <v>120999</v>
      </c>
    </row>
    <row r="1647" spans="2:10">
      <c r="B1647" s="90">
        <v>120809.5</v>
      </c>
      <c r="C1647" s="90">
        <v>1214.2999999998524</v>
      </c>
      <c r="D1647" s="90">
        <v>120999</v>
      </c>
      <c r="E1647" s="90">
        <v>1214.3999999998523</v>
      </c>
      <c r="G1647" s="66">
        <v>1214.3999999998523</v>
      </c>
      <c r="H1647" s="66">
        <v>120999</v>
      </c>
      <c r="I1647" s="66">
        <v>1214.4999999998522</v>
      </c>
      <c r="J1647" s="66">
        <v>121188.5</v>
      </c>
    </row>
    <row r="1648" spans="2:10">
      <c r="B1648" s="90">
        <v>120999</v>
      </c>
      <c r="C1648" s="90">
        <v>1214.3999999998523</v>
      </c>
      <c r="D1648" s="90">
        <v>121188.5</v>
      </c>
      <c r="E1648" s="90">
        <v>1214.4999999998522</v>
      </c>
      <c r="G1648" s="66">
        <v>1214.4999999998522</v>
      </c>
      <c r="H1648" s="66">
        <v>121188.5</v>
      </c>
      <c r="I1648" s="66">
        <v>1214.5999999998521</v>
      </c>
      <c r="J1648" s="66">
        <v>121378</v>
      </c>
    </row>
    <row r="1649" spans="2:10">
      <c r="B1649" s="90">
        <v>121188.5</v>
      </c>
      <c r="C1649" s="90">
        <v>1214.4999999998522</v>
      </c>
      <c r="D1649" s="90">
        <v>121378</v>
      </c>
      <c r="E1649" s="90">
        <v>1214.5999999998521</v>
      </c>
      <c r="G1649" s="66">
        <v>1214.5999999998521</v>
      </c>
      <c r="H1649" s="66">
        <v>121378</v>
      </c>
      <c r="I1649" s="66">
        <v>1214.699999999852</v>
      </c>
      <c r="J1649" s="66">
        <v>121567.5</v>
      </c>
    </row>
    <row r="1650" spans="2:10">
      <c r="B1650" s="90">
        <v>121378</v>
      </c>
      <c r="C1650" s="90">
        <v>1214.5999999998521</v>
      </c>
      <c r="D1650" s="90">
        <v>121567.5</v>
      </c>
      <c r="E1650" s="90">
        <v>1214.699999999852</v>
      </c>
      <c r="G1650" s="66">
        <v>1214.699999999852</v>
      </c>
      <c r="H1650" s="66">
        <v>121567.5</v>
      </c>
      <c r="I1650" s="66">
        <v>1214.7999999998519</v>
      </c>
      <c r="J1650" s="66">
        <v>121757</v>
      </c>
    </row>
    <row r="1651" spans="2:10">
      <c r="B1651" s="90">
        <v>121567.5</v>
      </c>
      <c r="C1651" s="90">
        <v>1214.699999999852</v>
      </c>
      <c r="D1651" s="90">
        <v>121757</v>
      </c>
      <c r="E1651" s="90">
        <v>1214.7999999998519</v>
      </c>
      <c r="G1651" s="66">
        <v>1214.7999999998519</v>
      </c>
      <c r="H1651" s="66">
        <v>121757</v>
      </c>
      <c r="I1651" s="66">
        <v>1214.8999999998518</v>
      </c>
      <c r="J1651" s="66">
        <v>121946.5</v>
      </c>
    </row>
    <row r="1652" spans="2:10">
      <c r="B1652" s="90">
        <v>121757</v>
      </c>
      <c r="C1652" s="90">
        <v>1214.7999999998519</v>
      </c>
      <c r="D1652" s="90">
        <v>121946.5</v>
      </c>
      <c r="E1652" s="90">
        <v>1214.8999999998518</v>
      </c>
      <c r="G1652" s="66">
        <v>1214.8999999998518</v>
      </c>
      <c r="H1652" s="66">
        <v>121946.5</v>
      </c>
      <c r="I1652" s="66">
        <v>1214.9999999998518</v>
      </c>
      <c r="J1652" s="66">
        <v>122136</v>
      </c>
    </row>
    <row r="1653" spans="2:10">
      <c r="B1653" s="90">
        <v>121946.5</v>
      </c>
      <c r="C1653" s="90">
        <v>1214.8999999998518</v>
      </c>
      <c r="D1653" s="90">
        <v>122136</v>
      </c>
      <c r="E1653" s="90">
        <v>1214.9999999998518</v>
      </c>
      <c r="G1653" s="66">
        <v>1214.9999999998518</v>
      </c>
      <c r="H1653" s="66">
        <v>122136</v>
      </c>
      <c r="I1653" s="66">
        <v>1215.0999999998517</v>
      </c>
      <c r="J1653" s="66">
        <v>122327</v>
      </c>
    </row>
    <row r="1654" spans="2:10">
      <c r="B1654" s="90">
        <v>122136</v>
      </c>
      <c r="C1654" s="90">
        <v>1214.9999999998518</v>
      </c>
      <c r="D1654" s="90">
        <v>122327</v>
      </c>
      <c r="E1654" s="90">
        <v>1215.0999999998517</v>
      </c>
      <c r="G1654" s="66">
        <v>1215.0999999998517</v>
      </c>
      <c r="H1654" s="66">
        <v>122327</v>
      </c>
      <c r="I1654" s="66">
        <v>1215.1999999998516</v>
      </c>
      <c r="J1654" s="66">
        <v>122518</v>
      </c>
    </row>
    <row r="1655" spans="2:10">
      <c r="B1655" s="90">
        <v>122327</v>
      </c>
      <c r="C1655" s="90">
        <v>1215.0999999998517</v>
      </c>
      <c r="D1655" s="90">
        <v>122518</v>
      </c>
      <c r="E1655" s="90">
        <v>1215.1999999998516</v>
      </c>
      <c r="G1655" s="66">
        <v>1215.1999999998516</v>
      </c>
      <c r="H1655" s="66">
        <v>122518</v>
      </c>
      <c r="I1655" s="66">
        <v>1215.2999999998515</v>
      </c>
      <c r="J1655" s="66">
        <v>122709</v>
      </c>
    </row>
    <row r="1656" spans="2:10">
      <c r="B1656" s="90">
        <v>122518</v>
      </c>
      <c r="C1656" s="90">
        <v>1215.1999999998516</v>
      </c>
      <c r="D1656" s="90">
        <v>122709</v>
      </c>
      <c r="E1656" s="90">
        <v>1215.2999999998515</v>
      </c>
      <c r="G1656" s="66">
        <v>1215.2999999998515</v>
      </c>
      <c r="H1656" s="66">
        <v>122709</v>
      </c>
      <c r="I1656" s="66">
        <v>1215.3999999998514</v>
      </c>
      <c r="J1656" s="66">
        <v>122900</v>
      </c>
    </row>
    <row r="1657" spans="2:10">
      <c r="B1657" s="90">
        <v>122709</v>
      </c>
      <c r="C1657" s="90">
        <v>1215.2999999998515</v>
      </c>
      <c r="D1657" s="90">
        <v>122900</v>
      </c>
      <c r="E1657" s="90">
        <v>1215.3999999998514</v>
      </c>
      <c r="G1657" s="66">
        <v>1215.3999999998514</v>
      </c>
      <c r="H1657" s="66">
        <v>122900</v>
      </c>
      <c r="I1657" s="66">
        <v>1215.4999999998513</v>
      </c>
      <c r="J1657" s="66">
        <v>123091</v>
      </c>
    </row>
    <row r="1658" spans="2:10">
      <c r="B1658" s="90">
        <v>122900</v>
      </c>
      <c r="C1658" s="90">
        <v>1215.3999999998514</v>
      </c>
      <c r="D1658" s="90">
        <v>123091</v>
      </c>
      <c r="E1658" s="90">
        <v>1215.4999999998513</v>
      </c>
      <c r="G1658" s="66">
        <v>1215.4999999998513</v>
      </c>
      <c r="H1658" s="66">
        <v>123091</v>
      </c>
      <c r="I1658" s="66">
        <v>1215.5999999998512</v>
      </c>
      <c r="J1658" s="66">
        <v>123282</v>
      </c>
    </row>
    <row r="1659" spans="2:10">
      <c r="B1659" s="90">
        <v>123091</v>
      </c>
      <c r="C1659" s="90">
        <v>1215.4999999998513</v>
      </c>
      <c r="D1659" s="90">
        <v>123282</v>
      </c>
      <c r="E1659" s="90">
        <v>1215.5999999998512</v>
      </c>
      <c r="G1659" s="66">
        <v>1215.5999999998512</v>
      </c>
      <c r="H1659" s="66">
        <v>123282</v>
      </c>
      <c r="I1659" s="66">
        <v>1215.6999999998511</v>
      </c>
      <c r="J1659" s="66">
        <v>123473</v>
      </c>
    </row>
    <row r="1660" spans="2:10">
      <c r="B1660" s="90">
        <v>123282</v>
      </c>
      <c r="C1660" s="90">
        <v>1215.5999999998512</v>
      </c>
      <c r="D1660" s="90">
        <v>123473</v>
      </c>
      <c r="E1660" s="90">
        <v>1215.6999999998511</v>
      </c>
      <c r="G1660" s="66">
        <v>1215.6999999998511</v>
      </c>
      <c r="H1660" s="66">
        <v>123473</v>
      </c>
      <c r="I1660" s="66">
        <v>1215.799999999851</v>
      </c>
      <c r="J1660" s="66">
        <v>123664</v>
      </c>
    </row>
    <row r="1661" spans="2:10">
      <c r="B1661" s="90">
        <v>123473</v>
      </c>
      <c r="C1661" s="90">
        <v>1215.6999999998511</v>
      </c>
      <c r="D1661" s="90">
        <v>123664</v>
      </c>
      <c r="E1661" s="90">
        <v>1215.799999999851</v>
      </c>
      <c r="G1661" s="66">
        <v>1215.799999999851</v>
      </c>
      <c r="H1661" s="66">
        <v>123664</v>
      </c>
      <c r="I1661" s="66">
        <v>1215.8999999998509</v>
      </c>
      <c r="J1661" s="66">
        <v>123855</v>
      </c>
    </row>
    <row r="1662" spans="2:10">
      <c r="B1662" s="90">
        <v>123664</v>
      </c>
      <c r="C1662" s="90">
        <v>1215.799999999851</v>
      </c>
      <c r="D1662" s="90">
        <v>123855</v>
      </c>
      <c r="E1662" s="90">
        <v>1215.8999999998509</v>
      </c>
      <c r="G1662" s="66">
        <v>1215.8999999998509</v>
      </c>
      <c r="H1662" s="66">
        <v>123855</v>
      </c>
      <c r="I1662" s="66">
        <v>1215.9999999998508</v>
      </c>
      <c r="J1662" s="66">
        <v>124046</v>
      </c>
    </row>
    <row r="1663" spans="2:10">
      <c r="B1663" s="90">
        <v>123855</v>
      </c>
      <c r="C1663" s="90">
        <v>1215.8999999998509</v>
      </c>
      <c r="D1663" s="90">
        <v>124046</v>
      </c>
      <c r="E1663" s="90">
        <v>1215.9999999998508</v>
      </c>
      <c r="G1663" s="66">
        <v>1215.9999999998508</v>
      </c>
      <c r="H1663" s="66">
        <v>124046</v>
      </c>
      <c r="I1663" s="66">
        <v>1216.0999999998508</v>
      </c>
      <c r="J1663" s="66">
        <v>124238.5</v>
      </c>
    </row>
    <row r="1664" spans="2:10">
      <c r="B1664" s="90">
        <v>124046</v>
      </c>
      <c r="C1664" s="90">
        <v>1215.9999999998508</v>
      </c>
      <c r="D1664" s="90">
        <v>124238.5</v>
      </c>
      <c r="E1664" s="90">
        <v>1216.0999999998508</v>
      </c>
      <c r="G1664" s="66">
        <v>1216.0999999998508</v>
      </c>
      <c r="H1664" s="66">
        <v>124238.5</v>
      </c>
      <c r="I1664" s="66">
        <v>1216.1999999998507</v>
      </c>
      <c r="J1664" s="66">
        <v>124431</v>
      </c>
    </row>
    <row r="1665" spans="2:10">
      <c r="B1665" s="90">
        <v>124238.5</v>
      </c>
      <c r="C1665" s="90">
        <v>1216.0999999998508</v>
      </c>
      <c r="D1665" s="90">
        <v>124431</v>
      </c>
      <c r="E1665" s="90">
        <v>1216.1999999998507</v>
      </c>
      <c r="G1665" s="66">
        <v>1216.1999999998507</v>
      </c>
      <c r="H1665" s="66">
        <v>124431</v>
      </c>
      <c r="I1665" s="66">
        <v>1216.2999999998506</v>
      </c>
      <c r="J1665" s="66">
        <v>124623.5</v>
      </c>
    </row>
    <row r="1666" spans="2:10">
      <c r="B1666" s="90">
        <v>124431</v>
      </c>
      <c r="C1666" s="90">
        <v>1216.1999999998507</v>
      </c>
      <c r="D1666" s="90">
        <v>124623.5</v>
      </c>
      <c r="E1666" s="90">
        <v>1216.2999999998506</v>
      </c>
      <c r="G1666" s="66">
        <v>1216.2999999998506</v>
      </c>
      <c r="H1666" s="66">
        <v>124623.5</v>
      </c>
      <c r="I1666" s="66">
        <v>1216.3999999998505</v>
      </c>
      <c r="J1666" s="66">
        <v>124816</v>
      </c>
    </row>
    <row r="1667" spans="2:10">
      <c r="B1667" s="90">
        <v>124623.5</v>
      </c>
      <c r="C1667" s="90">
        <v>1216.2999999998506</v>
      </c>
      <c r="D1667" s="90">
        <v>124816</v>
      </c>
      <c r="E1667" s="90">
        <v>1216.3999999998505</v>
      </c>
      <c r="G1667" s="66">
        <v>1216.3999999998505</v>
      </c>
      <c r="H1667" s="66">
        <v>124816</v>
      </c>
      <c r="I1667" s="66">
        <v>1216.4999999998504</v>
      </c>
      <c r="J1667" s="66">
        <v>125008.5</v>
      </c>
    </row>
    <row r="1668" spans="2:10">
      <c r="B1668" s="90">
        <v>124816</v>
      </c>
      <c r="C1668" s="90">
        <v>1216.3999999998505</v>
      </c>
      <c r="D1668" s="90">
        <v>125008.5</v>
      </c>
      <c r="E1668" s="90">
        <v>1216.4999999998504</v>
      </c>
      <c r="G1668" s="66">
        <v>1216.4999999998504</v>
      </c>
      <c r="H1668" s="66">
        <v>125008.5</v>
      </c>
      <c r="I1668" s="66">
        <v>1216.5999999998503</v>
      </c>
      <c r="J1668" s="66">
        <v>125201</v>
      </c>
    </row>
    <row r="1669" spans="2:10">
      <c r="B1669" s="90">
        <v>125008.5</v>
      </c>
      <c r="C1669" s="90">
        <v>1216.4999999998504</v>
      </c>
      <c r="D1669" s="90">
        <v>125201</v>
      </c>
      <c r="E1669" s="90">
        <v>1216.5999999998503</v>
      </c>
      <c r="G1669" s="66">
        <v>1216.5999999998503</v>
      </c>
      <c r="H1669" s="66">
        <v>125201</v>
      </c>
      <c r="I1669" s="66">
        <v>1216.6999999998502</v>
      </c>
      <c r="J1669" s="66">
        <v>125393.5</v>
      </c>
    </row>
    <row r="1670" spans="2:10">
      <c r="B1670" s="90">
        <v>125201</v>
      </c>
      <c r="C1670" s="90">
        <v>1216.5999999998503</v>
      </c>
      <c r="D1670" s="90">
        <v>125393.5</v>
      </c>
      <c r="E1670" s="90">
        <v>1216.6999999998502</v>
      </c>
      <c r="G1670" s="66">
        <v>1216.6999999998502</v>
      </c>
      <c r="H1670" s="66">
        <v>125393.5</v>
      </c>
      <c r="I1670" s="66">
        <v>1216.7999999998501</v>
      </c>
      <c r="J1670" s="66">
        <v>125586</v>
      </c>
    </row>
    <row r="1671" spans="2:10">
      <c r="B1671" s="90">
        <v>125393.5</v>
      </c>
      <c r="C1671" s="90">
        <v>1216.6999999998502</v>
      </c>
      <c r="D1671" s="90">
        <v>125586</v>
      </c>
      <c r="E1671" s="90">
        <v>1216.7999999998501</v>
      </c>
      <c r="G1671" s="66">
        <v>1216.7999999998501</v>
      </c>
      <c r="H1671" s="66">
        <v>125586</v>
      </c>
      <c r="I1671" s="66">
        <v>1216.89999999985</v>
      </c>
      <c r="J1671" s="66">
        <v>125778.5</v>
      </c>
    </row>
    <row r="1672" spans="2:10">
      <c r="B1672" s="90">
        <v>125586</v>
      </c>
      <c r="C1672" s="90">
        <v>1216.7999999998501</v>
      </c>
      <c r="D1672" s="90">
        <v>125778.5</v>
      </c>
      <c r="E1672" s="90">
        <v>1216.89999999985</v>
      </c>
      <c r="G1672" s="66">
        <v>1216.89999999985</v>
      </c>
      <c r="H1672" s="66">
        <v>125778.5</v>
      </c>
      <c r="I1672" s="66">
        <v>1216.9999999998499</v>
      </c>
      <c r="J1672" s="66">
        <v>125971</v>
      </c>
    </row>
    <row r="1673" spans="2:10">
      <c r="B1673" s="90">
        <v>125778.5</v>
      </c>
      <c r="C1673" s="90">
        <v>1216.89999999985</v>
      </c>
      <c r="D1673" s="90">
        <v>125971</v>
      </c>
      <c r="E1673" s="90">
        <v>1216.9999999998499</v>
      </c>
      <c r="G1673" s="66">
        <v>1216.9999999998499</v>
      </c>
      <c r="H1673" s="66">
        <v>125971</v>
      </c>
      <c r="I1673" s="66">
        <v>1217.0999999998498</v>
      </c>
      <c r="J1673" s="66">
        <v>126165</v>
      </c>
    </row>
    <row r="1674" spans="2:10">
      <c r="B1674" s="90">
        <v>125971</v>
      </c>
      <c r="C1674" s="90">
        <v>1216.9999999998499</v>
      </c>
      <c r="D1674" s="90">
        <v>126165</v>
      </c>
      <c r="E1674" s="90">
        <v>1217.0999999998498</v>
      </c>
      <c r="G1674" s="66">
        <v>1217.0999999998498</v>
      </c>
      <c r="H1674" s="66">
        <v>126165</v>
      </c>
      <c r="I1674" s="66">
        <v>1217.1999999998498</v>
      </c>
      <c r="J1674" s="66">
        <v>126359</v>
      </c>
    </row>
    <row r="1675" spans="2:10">
      <c r="B1675" s="90">
        <v>126165</v>
      </c>
      <c r="C1675" s="90">
        <v>1217.0999999998498</v>
      </c>
      <c r="D1675" s="90">
        <v>126359</v>
      </c>
      <c r="E1675" s="90">
        <v>1217.1999999998498</v>
      </c>
      <c r="G1675" s="66">
        <v>1217.1999999998498</v>
      </c>
      <c r="H1675" s="66">
        <v>126359</v>
      </c>
      <c r="I1675" s="66">
        <v>1217.2999999998497</v>
      </c>
      <c r="J1675" s="66">
        <v>126553</v>
      </c>
    </row>
    <row r="1676" spans="2:10">
      <c r="B1676" s="90">
        <v>126359</v>
      </c>
      <c r="C1676" s="90">
        <v>1217.1999999998498</v>
      </c>
      <c r="D1676" s="90">
        <v>126553</v>
      </c>
      <c r="E1676" s="90">
        <v>1217.2999999998497</v>
      </c>
      <c r="G1676" s="66">
        <v>1217.2999999998497</v>
      </c>
      <c r="H1676" s="66">
        <v>126553</v>
      </c>
      <c r="I1676" s="66">
        <v>1217.3999999998496</v>
      </c>
      <c r="J1676" s="66">
        <v>126747</v>
      </c>
    </row>
    <row r="1677" spans="2:10">
      <c r="B1677" s="90">
        <v>126553</v>
      </c>
      <c r="C1677" s="90">
        <v>1217.2999999998497</v>
      </c>
      <c r="D1677" s="90">
        <v>126747</v>
      </c>
      <c r="E1677" s="90">
        <v>1217.3999999998496</v>
      </c>
      <c r="G1677" s="66">
        <v>1217.3999999998496</v>
      </c>
      <c r="H1677" s="66">
        <v>126747</v>
      </c>
      <c r="I1677" s="66">
        <v>1217.4999999998495</v>
      </c>
      <c r="J1677" s="66">
        <v>126941</v>
      </c>
    </row>
    <row r="1678" spans="2:10">
      <c r="B1678" s="90">
        <v>126747</v>
      </c>
      <c r="C1678" s="90">
        <v>1217.3999999998496</v>
      </c>
      <c r="D1678" s="90">
        <v>126941</v>
      </c>
      <c r="E1678" s="90">
        <v>1217.4999999998495</v>
      </c>
      <c r="G1678" s="66">
        <v>1217.4999999998495</v>
      </c>
      <c r="H1678" s="66">
        <v>126941</v>
      </c>
      <c r="I1678" s="66">
        <v>1217.5999999998494</v>
      </c>
      <c r="J1678" s="66">
        <v>127135</v>
      </c>
    </row>
    <row r="1679" spans="2:10">
      <c r="B1679" s="90">
        <v>126941</v>
      </c>
      <c r="C1679" s="90">
        <v>1217.4999999998495</v>
      </c>
      <c r="D1679" s="90">
        <v>127135</v>
      </c>
      <c r="E1679" s="90">
        <v>1217.5999999998494</v>
      </c>
      <c r="G1679" s="66">
        <v>1217.5999999998494</v>
      </c>
      <c r="H1679" s="66">
        <v>127135</v>
      </c>
      <c r="I1679" s="66">
        <v>1217.6999999998493</v>
      </c>
      <c r="J1679" s="66">
        <v>127329</v>
      </c>
    </row>
    <row r="1680" spans="2:10">
      <c r="B1680" s="90">
        <v>127135</v>
      </c>
      <c r="C1680" s="90">
        <v>1217.5999999998494</v>
      </c>
      <c r="D1680" s="90">
        <v>127329</v>
      </c>
      <c r="E1680" s="90">
        <v>1217.6999999998493</v>
      </c>
      <c r="G1680" s="66">
        <v>1217.6999999998493</v>
      </c>
      <c r="H1680" s="66">
        <v>127329</v>
      </c>
      <c r="I1680" s="66">
        <v>1217.7999999998492</v>
      </c>
      <c r="J1680" s="66">
        <v>127523</v>
      </c>
    </row>
    <row r="1681" spans="2:10">
      <c r="B1681" s="90">
        <v>127329</v>
      </c>
      <c r="C1681" s="90">
        <v>1217.6999999998493</v>
      </c>
      <c r="D1681" s="90">
        <v>127523</v>
      </c>
      <c r="E1681" s="90">
        <v>1217.7999999998492</v>
      </c>
      <c r="G1681" s="66">
        <v>1217.7999999998492</v>
      </c>
      <c r="H1681" s="66">
        <v>127523</v>
      </c>
      <c r="I1681" s="66">
        <v>1217.8999999998491</v>
      </c>
      <c r="J1681" s="66">
        <v>127717</v>
      </c>
    </row>
    <row r="1682" spans="2:10">
      <c r="B1682" s="90">
        <v>127523</v>
      </c>
      <c r="C1682" s="90">
        <v>1217.7999999998492</v>
      </c>
      <c r="D1682" s="90">
        <v>127717</v>
      </c>
      <c r="E1682" s="90">
        <v>1217.8999999998491</v>
      </c>
      <c r="G1682" s="66">
        <v>1217.8999999998491</v>
      </c>
      <c r="H1682" s="66">
        <v>127717</v>
      </c>
      <c r="I1682" s="66">
        <v>1217.999999999849</v>
      </c>
      <c r="J1682" s="66">
        <v>127911</v>
      </c>
    </row>
    <row r="1683" spans="2:10">
      <c r="B1683" s="90">
        <v>127717</v>
      </c>
      <c r="C1683" s="90">
        <v>1217.8999999998491</v>
      </c>
      <c r="D1683" s="90">
        <v>127911</v>
      </c>
      <c r="E1683" s="90">
        <v>1217.999999999849</v>
      </c>
      <c r="G1683" s="66">
        <v>1217.999999999849</v>
      </c>
      <c r="H1683" s="66">
        <v>127911</v>
      </c>
      <c r="I1683" s="66">
        <v>1218.0999999998489</v>
      </c>
      <c r="J1683" s="66">
        <v>128106.5</v>
      </c>
    </row>
    <row r="1684" spans="2:10">
      <c r="B1684" s="90">
        <v>127911</v>
      </c>
      <c r="C1684" s="90">
        <v>1217.999999999849</v>
      </c>
      <c r="D1684" s="90">
        <v>128106.5</v>
      </c>
      <c r="E1684" s="90">
        <v>1218.0999999998489</v>
      </c>
      <c r="G1684" s="66">
        <v>1218.0999999998489</v>
      </c>
      <c r="H1684" s="66">
        <v>128106.5</v>
      </c>
      <c r="I1684" s="66">
        <v>1218.1999999998488</v>
      </c>
      <c r="J1684" s="66">
        <v>128302</v>
      </c>
    </row>
    <row r="1685" spans="2:10">
      <c r="B1685" s="90">
        <v>128106.5</v>
      </c>
      <c r="C1685" s="90">
        <v>1218.0999999998489</v>
      </c>
      <c r="D1685" s="90">
        <v>128302</v>
      </c>
      <c r="E1685" s="90">
        <v>1218.1999999998488</v>
      </c>
      <c r="G1685" s="66">
        <v>1218.1999999998488</v>
      </c>
      <c r="H1685" s="66">
        <v>128302</v>
      </c>
      <c r="I1685" s="66">
        <v>1218.2999999998488</v>
      </c>
      <c r="J1685" s="66">
        <v>128497.5</v>
      </c>
    </row>
    <row r="1686" spans="2:10">
      <c r="B1686" s="90">
        <v>128302</v>
      </c>
      <c r="C1686" s="90">
        <v>1218.1999999998488</v>
      </c>
      <c r="D1686" s="90">
        <v>128497.5</v>
      </c>
      <c r="E1686" s="90">
        <v>1218.2999999998488</v>
      </c>
      <c r="G1686" s="66">
        <v>1218.2999999998488</v>
      </c>
      <c r="H1686" s="66">
        <v>128497.5</v>
      </c>
      <c r="I1686" s="66">
        <v>1218.3999999998487</v>
      </c>
      <c r="J1686" s="66">
        <v>128693</v>
      </c>
    </row>
    <row r="1687" spans="2:10">
      <c r="B1687" s="90">
        <v>128497.5</v>
      </c>
      <c r="C1687" s="90">
        <v>1218.2999999998488</v>
      </c>
      <c r="D1687" s="90">
        <v>128693</v>
      </c>
      <c r="E1687" s="90">
        <v>1218.3999999998487</v>
      </c>
      <c r="G1687" s="66">
        <v>1218.3999999998487</v>
      </c>
      <c r="H1687" s="66">
        <v>128693</v>
      </c>
      <c r="I1687" s="66">
        <v>1218.4999999998486</v>
      </c>
      <c r="J1687" s="66">
        <v>128888.5</v>
      </c>
    </row>
    <row r="1688" spans="2:10">
      <c r="B1688" s="90">
        <v>128693</v>
      </c>
      <c r="C1688" s="90">
        <v>1218.3999999998487</v>
      </c>
      <c r="D1688" s="90">
        <v>128888.5</v>
      </c>
      <c r="E1688" s="90">
        <v>1218.4999999998486</v>
      </c>
      <c r="G1688" s="66">
        <v>1218.4999999998486</v>
      </c>
      <c r="H1688" s="66">
        <v>128888.5</v>
      </c>
      <c r="I1688" s="66">
        <v>1218.5999999998485</v>
      </c>
      <c r="J1688" s="66">
        <v>129084</v>
      </c>
    </row>
    <row r="1689" spans="2:10">
      <c r="B1689" s="90">
        <v>128888.5</v>
      </c>
      <c r="C1689" s="90">
        <v>1218.4999999998486</v>
      </c>
      <c r="D1689" s="90">
        <v>129084</v>
      </c>
      <c r="E1689" s="90">
        <v>1218.5999999998485</v>
      </c>
      <c r="G1689" s="66">
        <v>1218.5999999998485</v>
      </c>
      <c r="H1689" s="66">
        <v>129084</v>
      </c>
      <c r="I1689" s="66">
        <v>1218.6999999998484</v>
      </c>
      <c r="J1689" s="66">
        <v>129279.5</v>
      </c>
    </row>
    <row r="1690" spans="2:10">
      <c r="B1690" s="90">
        <v>129084</v>
      </c>
      <c r="C1690" s="90">
        <v>1218.5999999998485</v>
      </c>
      <c r="D1690" s="90">
        <v>129279.5</v>
      </c>
      <c r="E1690" s="90">
        <v>1218.6999999998484</v>
      </c>
      <c r="G1690" s="66">
        <v>1218.6999999998484</v>
      </c>
      <c r="H1690" s="66">
        <v>129279.5</v>
      </c>
      <c r="I1690" s="66">
        <v>1218.7999999998483</v>
      </c>
      <c r="J1690" s="66">
        <v>129475</v>
      </c>
    </row>
    <row r="1691" spans="2:10">
      <c r="B1691" s="90">
        <v>129279.5</v>
      </c>
      <c r="C1691" s="90">
        <v>1218.6999999998484</v>
      </c>
      <c r="D1691" s="90">
        <v>129475</v>
      </c>
      <c r="E1691" s="90">
        <v>1218.7999999998483</v>
      </c>
      <c r="G1691" s="66">
        <v>1218.7999999998483</v>
      </c>
      <c r="H1691" s="66">
        <v>129475</v>
      </c>
      <c r="I1691" s="66">
        <v>1218.8999999998482</v>
      </c>
      <c r="J1691" s="66">
        <v>129670.5</v>
      </c>
    </row>
    <row r="1692" spans="2:10">
      <c r="B1692" s="90">
        <v>129475</v>
      </c>
      <c r="C1692" s="90">
        <v>1218.7999999998483</v>
      </c>
      <c r="D1692" s="90">
        <v>129670.5</v>
      </c>
      <c r="E1692" s="90">
        <v>1218.8999999998482</v>
      </c>
      <c r="G1692" s="66">
        <v>1218.8999999998482</v>
      </c>
      <c r="H1692" s="66">
        <v>129670.5</v>
      </c>
      <c r="I1692" s="66">
        <v>1218.9999999998481</v>
      </c>
      <c r="J1692" s="66">
        <v>129866</v>
      </c>
    </row>
    <row r="1693" spans="2:10">
      <c r="B1693" s="90">
        <v>129670.5</v>
      </c>
      <c r="C1693" s="90">
        <v>1218.8999999998482</v>
      </c>
      <c r="D1693" s="90">
        <v>129866</v>
      </c>
      <c r="E1693" s="90">
        <v>1218.9999999998481</v>
      </c>
      <c r="G1693" s="66">
        <v>1218.9999999998481</v>
      </c>
      <c r="H1693" s="66">
        <v>129866</v>
      </c>
      <c r="I1693" s="66">
        <v>1219.099999999848</v>
      </c>
      <c r="J1693" s="66">
        <v>130063</v>
      </c>
    </row>
    <row r="1694" spans="2:10">
      <c r="B1694" s="90">
        <v>129866</v>
      </c>
      <c r="C1694" s="90">
        <v>1218.9999999998481</v>
      </c>
      <c r="D1694" s="90">
        <v>130063</v>
      </c>
      <c r="E1694" s="90">
        <v>1219.099999999848</v>
      </c>
      <c r="G1694" s="66">
        <v>1219.099999999848</v>
      </c>
      <c r="H1694" s="66">
        <v>130063</v>
      </c>
      <c r="I1694" s="66">
        <v>1219.1999999998479</v>
      </c>
      <c r="J1694" s="66">
        <v>130260</v>
      </c>
    </row>
    <row r="1695" spans="2:10">
      <c r="B1695" s="90">
        <v>130063</v>
      </c>
      <c r="C1695" s="90">
        <v>1219.099999999848</v>
      </c>
      <c r="D1695" s="90">
        <v>130260</v>
      </c>
      <c r="E1695" s="90">
        <v>1219.1999999998479</v>
      </c>
      <c r="G1695" s="66">
        <v>1219.1999999998479</v>
      </c>
      <c r="H1695" s="66">
        <v>130260</v>
      </c>
      <c r="I1695" s="66">
        <v>1219.2999999998478</v>
      </c>
      <c r="J1695" s="66">
        <v>130457</v>
      </c>
    </row>
    <row r="1696" spans="2:10">
      <c r="B1696" s="90">
        <v>130260</v>
      </c>
      <c r="C1696" s="90">
        <v>1219.1999999998479</v>
      </c>
      <c r="D1696" s="90">
        <v>130457</v>
      </c>
      <c r="E1696" s="90">
        <v>1219.2999999998478</v>
      </c>
      <c r="G1696" s="66">
        <v>1219.2999999998478</v>
      </c>
      <c r="H1696" s="66">
        <v>130457</v>
      </c>
      <c r="I1696" s="66">
        <v>1219.3999999998478</v>
      </c>
      <c r="J1696" s="66">
        <v>130654</v>
      </c>
    </row>
    <row r="1697" spans="2:10">
      <c r="B1697" s="90">
        <v>130457</v>
      </c>
      <c r="C1697" s="90">
        <v>1219.2999999998478</v>
      </c>
      <c r="D1697" s="90">
        <v>130654</v>
      </c>
      <c r="E1697" s="90">
        <v>1219.3999999998478</v>
      </c>
      <c r="G1697" s="66">
        <v>1219.3999999998478</v>
      </c>
      <c r="H1697" s="66">
        <v>130654</v>
      </c>
      <c r="I1697" s="66">
        <v>1219.4999999998477</v>
      </c>
      <c r="J1697" s="66">
        <v>130851</v>
      </c>
    </row>
    <row r="1698" spans="2:10">
      <c r="B1698" s="90">
        <v>130654</v>
      </c>
      <c r="C1698" s="90">
        <v>1219.3999999998478</v>
      </c>
      <c r="D1698" s="90">
        <v>130851</v>
      </c>
      <c r="E1698" s="90">
        <v>1219.4999999998477</v>
      </c>
      <c r="G1698" s="66">
        <v>1219.4999999998477</v>
      </c>
      <c r="H1698" s="66">
        <v>130851</v>
      </c>
      <c r="I1698" s="66">
        <v>1219.5999999998476</v>
      </c>
      <c r="J1698" s="66">
        <v>131048</v>
      </c>
    </row>
    <row r="1699" spans="2:10">
      <c r="B1699" s="90">
        <v>130851</v>
      </c>
      <c r="C1699" s="90">
        <v>1219.4999999998477</v>
      </c>
      <c r="D1699" s="90">
        <v>131048</v>
      </c>
      <c r="E1699" s="90">
        <v>1219.5999999998476</v>
      </c>
      <c r="G1699" s="66">
        <v>1219.5999999998476</v>
      </c>
      <c r="H1699" s="66">
        <v>131048</v>
      </c>
      <c r="I1699" s="66">
        <v>1219.6999999998475</v>
      </c>
      <c r="J1699" s="66">
        <v>131245</v>
      </c>
    </row>
    <row r="1700" spans="2:10">
      <c r="B1700" s="90">
        <v>131048</v>
      </c>
      <c r="C1700" s="90">
        <v>1219.5999999998476</v>
      </c>
      <c r="D1700" s="90">
        <v>131245</v>
      </c>
      <c r="E1700" s="90">
        <v>1219.6999999998475</v>
      </c>
      <c r="G1700" s="66">
        <v>1219.6999999998475</v>
      </c>
      <c r="H1700" s="66">
        <v>131245</v>
      </c>
      <c r="I1700" s="66">
        <v>1219.7999999998474</v>
      </c>
      <c r="J1700" s="66">
        <v>131442</v>
      </c>
    </row>
    <row r="1701" spans="2:10">
      <c r="B1701" s="90">
        <v>131245</v>
      </c>
      <c r="C1701" s="90">
        <v>1219.6999999998475</v>
      </c>
      <c r="D1701" s="90">
        <v>131442</v>
      </c>
      <c r="E1701" s="90">
        <v>1219.7999999998474</v>
      </c>
      <c r="G1701" s="66">
        <v>1219.7999999998474</v>
      </c>
      <c r="H1701" s="66">
        <v>131442</v>
      </c>
      <c r="I1701" s="66">
        <v>1219.8999999998473</v>
      </c>
      <c r="J1701" s="66">
        <v>131639</v>
      </c>
    </row>
    <row r="1702" spans="2:10">
      <c r="B1702" s="90">
        <v>131442</v>
      </c>
      <c r="C1702" s="90">
        <v>1219.7999999998474</v>
      </c>
      <c r="D1702" s="90">
        <v>131639</v>
      </c>
      <c r="E1702" s="90">
        <v>1219.8999999998473</v>
      </c>
      <c r="G1702" s="66">
        <v>1219.8999999998473</v>
      </c>
      <c r="H1702" s="66">
        <v>131639</v>
      </c>
      <c r="I1702" s="66">
        <v>1219.9999999998472</v>
      </c>
      <c r="J1702" s="66">
        <v>131836</v>
      </c>
    </row>
    <row r="1703" spans="2:10">
      <c r="B1703" s="90">
        <v>131639</v>
      </c>
      <c r="C1703" s="90">
        <v>1219.8999999998473</v>
      </c>
      <c r="D1703" s="90">
        <v>131836</v>
      </c>
      <c r="E1703" s="90">
        <v>1219.9999999998472</v>
      </c>
      <c r="G1703" s="66">
        <v>1219.9999999998472</v>
      </c>
      <c r="H1703" s="66">
        <v>131836</v>
      </c>
      <c r="I1703" s="66">
        <v>1220.0999999998471</v>
      </c>
      <c r="J1703" s="66">
        <v>132035.70000000001</v>
      </c>
    </row>
    <row r="1704" spans="2:10">
      <c r="B1704" s="90">
        <v>131836</v>
      </c>
      <c r="C1704" s="90">
        <v>1219.9999999998472</v>
      </c>
      <c r="D1704" s="90">
        <v>132035.70000000001</v>
      </c>
      <c r="E1704" s="90">
        <v>1220.0999999998471</v>
      </c>
      <c r="G1704" s="66">
        <v>1220.0999999998471</v>
      </c>
      <c r="H1704" s="66">
        <v>132035.70000000001</v>
      </c>
      <c r="I1704" s="66">
        <v>1220.199999999847</v>
      </c>
      <c r="J1704" s="66">
        <v>132235.4</v>
      </c>
    </row>
    <row r="1705" spans="2:10">
      <c r="B1705" s="90">
        <v>132035.70000000001</v>
      </c>
      <c r="C1705" s="90">
        <v>1220.0999999998471</v>
      </c>
      <c r="D1705" s="90">
        <v>132235.4</v>
      </c>
      <c r="E1705" s="90">
        <v>1220.199999999847</v>
      </c>
      <c r="G1705" s="66">
        <v>1220.199999999847</v>
      </c>
      <c r="H1705" s="66">
        <v>132235.4</v>
      </c>
      <c r="I1705" s="66">
        <v>1220.2999999998469</v>
      </c>
      <c r="J1705" s="66">
        <v>132435.1</v>
      </c>
    </row>
    <row r="1706" spans="2:10">
      <c r="B1706" s="90">
        <v>132235.4</v>
      </c>
      <c r="C1706" s="90">
        <v>1220.199999999847</v>
      </c>
      <c r="D1706" s="90">
        <v>132435.1</v>
      </c>
      <c r="E1706" s="90">
        <v>1220.2999999998469</v>
      </c>
      <c r="G1706" s="66">
        <v>1220.2999999998469</v>
      </c>
      <c r="H1706" s="66">
        <v>132435.1</v>
      </c>
      <c r="I1706" s="66">
        <v>1220.3999999998468</v>
      </c>
      <c r="J1706" s="66">
        <v>132634.79999999999</v>
      </c>
    </row>
    <row r="1707" spans="2:10">
      <c r="B1707" s="90">
        <v>132435.1</v>
      </c>
      <c r="C1707" s="90">
        <v>1220.2999999998469</v>
      </c>
      <c r="D1707" s="90">
        <v>132634.79999999999</v>
      </c>
      <c r="E1707" s="90">
        <v>1220.3999999998468</v>
      </c>
      <c r="G1707" s="66">
        <v>1220.3999999998468</v>
      </c>
      <c r="H1707" s="66">
        <v>132634.79999999999</v>
      </c>
      <c r="I1707" s="66">
        <v>1220.4999999998468</v>
      </c>
      <c r="J1707" s="66">
        <v>132834.5</v>
      </c>
    </row>
    <row r="1708" spans="2:10">
      <c r="B1708" s="90">
        <v>132634.79999999999</v>
      </c>
      <c r="C1708" s="90">
        <v>1220.3999999998468</v>
      </c>
      <c r="D1708" s="90">
        <v>132834.5</v>
      </c>
      <c r="E1708" s="90">
        <v>1220.4999999998468</v>
      </c>
      <c r="G1708" s="66">
        <v>1220.4999999998468</v>
      </c>
      <c r="H1708" s="66">
        <v>132834.5</v>
      </c>
      <c r="I1708" s="66">
        <v>1220.5999999998467</v>
      </c>
      <c r="J1708" s="66">
        <v>133034.20000000001</v>
      </c>
    </row>
    <row r="1709" spans="2:10">
      <c r="B1709" s="90">
        <v>132834.5</v>
      </c>
      <c r="C1709" s="90">
        <v>1220.4999999998468</v>
      </c>
      <c r="D1709" s="90">
        <v>133034.20000000001</v>
      </c>
      <c r="E1709" s="90">
        <v>1220.5999999998467</v>
      </c>
      <c r="G1709" s="66">
        <v>1220.5999999998467</v>
      </c>
      <c r="H1709" s="66">
        <v>133034.20000000001</v>
      </c>
      <c r="I1709" s="66">
        <v>1220.6999999998466</v>
      </c>
      <c r="J1709" s="66">
        <v>133233.9</v>
      </c>
    </row>
    <row r="1710" spans="2:10">
      <c r="B1710" s="90">
        <v>133034.20000000001</v>
      </c>
      <c r="C1710" s="90">
        <v>1220.5999999998467</v>
      </c>
      <c r="D1710" s="90">
        <v>133233.9</v>
      </c>
      <c r="E1710" s="90">
        <v>1220.6999999998466</v>
      </c>
      <c r="G1710" s="66">
        <v>1220.6999999998466</v>
      </c>
      <c r="H1710" s="66">
        <v>133233.9</v>
      </c>
      <c r="I1710" s="66">
        <v>1220.7999999998465</v>
      </c>
      <c r="J1710" s="66">
        <v>133433.60000000001</v>
      </c>
    </row>
    <row r="1711" spans="2:10">
      <c r="B1711" s="90">
        <v>133233.9</v>
      </c>
      <c r="C1711" s="90">
        <v>1220.6999999998466</v>
      </c>
      <c r="D1711" s="90">
        <v>133433.60000000001</v>
      </c>
      <c r="E1711" s="90">
        <v>1220.7999999998465</v>
      </c>
      <c r="G1711" s="66">
        <v>1220.7999999998465</v>
      </c>
      <c r="H1711" s="66">
        <v>133433.60000000001</v>
      </c>
      <c r="I1711" s="66">
        <v>1220.8999999998464</v>
      </c>
      <c r="J1711" s="66">
        <v>133633.29999999999</v>
      </c>
    </row>
    <row r="1712" spans="2:10">
      <c r="B1712" s="90">
        <v>133433.60000000001</v>
      </c>
      <c r="C1712" s="90">
        <v>1220.7999999998465</v>
      </c>
      <c r="D1712" s="90">
        <v>133633.29999999999</v>
      </c>
      <c r="E1712" s="90">
        <v>1220.8999999998464</v>
      </c>
      <c r="G1712" s="66">
        <v>1220.8999999998464</v>
      </c>
      <c r="H1712" s="66">
        <v>133633.29999999999</v>
      </c>
      <c r="I1712" s="66">
        <v>1220.9999999998463</v>
      </c>
      <c r="J1712" s="66">
        <v>133833</v>
      </c>
    </row>
    <row r="1713" spans="2:10">
      <c r="B1713" s="90">
        <v>133633.29999999999</v>
      </c>
      <c r="C1713" s="90">
        <v>1220.8999999998464</v>
      </c>
      <c r="D1713" s="90">
        <v>133833</v>
      </c>
      <c r="E1713" s="90">
        <v>1220.9999999998463</v>
      </c>
      <c r="G1713" s="66">
        <v>1220.9999999998463</v>
      </c>
      <c r="H1713" s="66">
        <v>133833</v>
      </c>
      <c r="I1713" s="66">
        <v>1221.0999999998462</v>
      </c>
      <c r="J1713" s="66">
        <v>134035.4</v>
      </c>
    </row>
    <row r="1714" spans="2:10">
      <c r="B1714" s="90">
        <v>133833</v>
      </c>
      <c r="C1714" s="90">
        <v>1220.9999999998463</v>
      </c>
      <c r="D1714" s="90">
        <v>134035.4</v>
      </c>
      <c r="E1714" s="90">
        <v>1221.0999999998462</v>
      </c>
      <c r="G1714" s="66">
        <v>1221.0999999998462</v>
      </c>
      <c r="H1714" s="66">
        <v>134035.4</v>
      </c>
      <c r="I1714" s="66">
        <v>1221.1999999998461</v>
      </c>
      <c r="J1714" s="66">
        <v>134237.79999999999</v>
      </c>
    </row>
    <row r="1715" spans="2:10">
      <c r="B1715" s="90">
        <v>134035.4</v>
      </c>
      <c r="C1715" s="90">
        <v>1221.0999999998462</v>
      </c>
      <c r="D1715" s="90">
        <v>134237.79999999999</v>
      </c>
      <c r="E1715" s="90">
        <v>1221.1999999998461</v>
      </c>
      <c r="G1715" s="66">
        <v>1221.1999999998461</v>
      </c>
      <c r="H1715" s="66">
        <v>134237.79999999999</v>
      </c>
      <c r="I1715" s="66">
        <v>1221.299999999846</v>
      </c>
      <c r="J1715" s="66">
        <v>134440.20000000001</v>
      </c>
    </row>
    <row r="1716" spans="2:10">
      <c r="B1716" s="90">
        <v>134237.79999999999</v>
      </c>
      <c r="C1716" s="90">
        <v>1221.1999999998461</v>
      </c>
      <c r="D1716" s="90">
        <v>134440.20000000001</v>
      </c>
      <c r="E1716" s="90">
        <v>1221.299999999846</v>
      </c>
      <c r="G1716" s="66">
        <v>1221.299999999846</v>
      </c>
      <c r="H1716" s="66">
        <v>134440.20000000001</v>
      </c>
      <c r="I1716" s="66">
        <v>1221.3999999998459</v>
      </c>
      <c r="J1716" s="66">
        <v>134642.6</v>
      </c>
    </row>
    <row r="1717" spans="2:10">
      <c r="B1717" s="90">
        <v>134440.20000000001</v>
      </c>
      <c r="C1717" s="90">
        <v>1221.299999999846</v>
      </c>
      <c r="D1717" s="90">
        <v>134642.6</v>
      </c>
      <c r="E1717" s="90">
        <v>1221.3999999998459</v>
      </c>
      <c r="G1717" s="66">
        <v>1221.3999999998459</v>
      </c>
      <c r="H1717" s="66">
        <v>134642.6</v>
      </c>
      <c r="I1717" s="66">
        <v>1221.4999999998458</v>
      </c>
      <c r="J1717" s="66">
        <v>134845</v>
      </c>
    </row>
    <row r="1718" spans="2:10">
      <c r="B1718" s="90">
        <v>134642.6</v>
      </c>
      <c r="C1718" s="90">
        <v>1221.3999999998459</v>
      </c>
      <c r="D1718" s="90">
        <v>134845</v>
      </c>
      <c r="E1718" s="90">
        <v>1221.4999999998458</v>
      </c>
      <c r="G1718" s="66">
        <v>1221.4999999998458</v>
      </c>
      <c r="H1718" s="66">
        <v>134845</v>
      </c>
      <c r="I1718" s="66">
        <v>1221.5999999998457</v>
      </c>
      <c r="J1718" s="66">
        <v>135047.4</v>
      </c>
    </row>
    <row r="1719" spans="2:10">
      <c r="B1719" s="90">
        <v>134845</v>
      </c>
      <c r="C1719" s="90">
        <v>1221.4999999998458</v>
      </c>
      <c r="D1719" s="90">
        <v>135047.4</v>
      </c>
      <c r="E1719" s="90">
        <v>1221.5999999998457</v>
      </c>
      <c r="G1719" s="66">
        <v>1221.5999999998457</v>
      </c>
      <c r="H1719" s="66">
        <v>135047.4</v>
      </c>
      <c r="I1719" s="66">
        <v>1221.6999999998457</v>
      </c>
      <c r="J1719" s="66">
        <v>135249.79999999999</v>
      </c>
    </row>
    <row r="1720" spans="2:10">
      <c r="B1720" s="90">
        <v>135047.4</v>
      </c>
      <c r="C1720" s="90">
        <v>1221.5999999998457</v>
      </c>
      <c r="D1720" s="90">
        <v>135249.79999999999</v>
      </c>
      <c r="E1720" s="90">
        <v>1221.6999999998457</v>
      </c>
      <c r="G1720" s="66">
        <v>1221.6999999998457</v>
      </c>
      <c r="H1720" s="66">
        <v>135249.79999999999</v>
      </c>
      <c r="I1720" s="66">
        <v>1221.7999999998456</v>
      </c>
      <c r="J1720" s="66">
        <v>135452.20000000001</v>
      </c>
    </row>
    <row r="1721" spans="2:10">
      <c r="B1721" s="90">
        <v>135249.79999999999</v>
      </c>
      <c r="C1721" s="90">
        <v>1221.6999999998457</v>
      </c>
      <c r="D1721" s="90">
        <v>135452.20000000001</v>
      </c>
      <c r="E1721" s="90">
        <v>1221.7999999998456</v>
      </c>
      <c r="G1721" s="66">
        <v>1221.7999999998456</v>
      </c>
      <c r="H1721" s="66">
        <v>135452.20000000001</v>
      </c>
      <c r="I1721" s="66">
        <v>1221.8999999998455</v>
      </c>
      <c r="J1721" s="66">
        <v>135654.6</v>
      </c>
    </row>
    <row r="1722" spans="2:10">
      <c r="B1722" s="90">
        <v>135452.20000000001</v>
      </c>
      <c r="C1722" s="90">
        <v>1221.7999999998456</v>
      </c>
      <c r="D1722" s="90">
        <v>135654.6</v>
      </c>
      <c r="E1722" s="90">
        <v>1221.8999999998455</v>
      </c>
      <c r="G1722" s="66">
        <v>1221.8999999998455</v>
      </c>
      <c r="H1722" s="66">
        <v>135654.6</v>
      </c>
      <c r="I1722" s="66">
        <v>1221.9999999998454</v>
      </c>
      <c r="J1722" s="66">
        <v>135857</v>
      </c>
    </row>
    <row r="1723" spans="2:10">
      <c r="B1723" s="90">
        <v>135654.6</v>
      </c>
      <c r="C1723" s="90">
        <v>1221.8999999998455</v>
      </c>
      <c r="D1723" s="90">
        <v>135857</v>
      </c>
      <c r="E1723" s="90">
        <v>1221.9999999998454</v>
      </c>
      <c r="G1723" s="66">
        <v>1221.9999999998454</v>
      </c>
      <c r="H1723" s="66">
        <v>135857</v>
      </c>
      <c r="I1723" s="66">
        <v>1222.0999999998453</v>
      </c>
      <c r="J1723" s="66">
        <v>136062.1</v>
      </c>
    </row>
    <row r="1724" spans="2:10">
      <c r="B1724" s="90">
        <v>135857</v>
      </c>
      <c r="C1724" s="90">
        <v>1221.9999999998454</v>
      </c>
      <c r="D1724" s="90">
        <v>136062.1</v>
      </c>
      <c r="E1724" s="90">
        <v>1222.0999999998453</v>
      </c>
      <c r="G1724" s="66">
        <v>1222.0999999998453</v>
      </c>
      <c r="H1724" s="66">
        <v>136062.1</v>
      </c>
      <c r="I1724" s="66">
        <v>1222.1999999998452</v>
      </c>
      <c r="J1724" s="66">
        <v>136267.20000000001</v>
      </c>
    </row>
    <row r="1725" spans="2:10">
      <c r="B1725" s="90">
        <v>136062.1</v>
      </c>
      <c r="C1725" s="90">
        <v>1222.0999999998453</v>
      </c>
      <c r="D1725" s="90">
        <v>136267.20000000001</v>
      </c>
      <c r="E1725" s="90">
        <v>1222.1999999998452</v>
      </c>
      <c r="G1725" s="66">
        <v>1222.1999999998452</v>
      </c>
      <c r="H1725" s="66">
        <v>136267.20000000001</v>
      </c>
      <c r="I1725" s="66">
        <v>1222.2999999998451</v>
      </c>
      <c r="J1725" s="66">
        <v>136472.29999999999</v>
      </c>
    </row>
    <row r="1726" spans="2:10">
      <c r="B1726" s="90">
        <v>136267.20000000001</v>
      </c>
      <c r="C1726" s="90">
        <v>1222.1999999998452</v>
      </c>
      <c r="D1726" s="90">
        <v>136472.29999999999</v>
      </c>
      <c r="E1726" s="90">
        <v>1222.2999999998451</v>
      </c>
      <c r="G1726" s="66">
        <v>1222.2999999998451</v>
      </c>
      <c r="H1726" s="66">
        <v>136472.29999999999</v>
      </c>
      <c r="I1726" s="66">
        <v>1222.399999999845</v>
      </c>
      <c r="J1726" s="66">
        <v>136677.4</v>
      </c>
    </row>
    <row r="1727" spans="2:10">
      <c r="B1727" s="90">
        <v>136472.29999999999</v>
      </c>
      <c r="C1727" s="90">
        <v>1222.2999999998451</v>
      </c>
      <c r="D1727" s="90">
        <v>136677.4</v>
      </c>
      <c r="E1727" s="90">
        <v>1222.399999999845</v>
      </c>
      <c r="G1727" s="66">
        <v>1222.399999999845</v>
      </c>
      <c r="H1727" s="66">
        <v>136677.4</v>
      </c>
      <c r="I1727" s="66">
        <v>1222.4999999998449</v>
      </c>
      <c r="J1727" s="66">
        <v>136882.5</v>
      </c>
    </row>
    <row r="1728" spans="2:10">
      <c r="B1728" s="90">
        <v>136677.4</v>
      </c>
      <c r="C1728" s="90">
        <v>1222.399999999845</v>
      </c>
      <c r="D1728" s="90">
        <v>136882.5</v>
      </c>
      <c r="E1728" s="90">
        <v>1222.4999999998449</v>
      </c>
      <c r="G1728" s="66">
        <v>1222.4999999998449</v>
      </c>
      <c r="H1728" s="66">
        <v>136882.5</v>
      </c>
      <c r="I1728" s="66">
        <v>1222.5999999998448</v>
      </c>
      <c r="J1728" s="66">
        <v>137087.6</v>
      </c>
    </row>
    <row r="1729" spans="2:10">
      <c r="B1729" s="90">
        <v>136882.5</v>
      </c>
      <c r="C1729" s="90">
        <v>1222.4999999998449</v>
      </c>
      <c r="D1729" s="90">
        <v>137087.6</v>
      </c>
      <c r="E1729" s="90">
        <v>1222.5999999998448</v>
      </c>
      <c r="G1729" s="66">
        <v>1222.5999999998448</v>
      </c>
      <c r="H1729" s="66">
        <v>137087.6</v>
      </c>
      <c r="I1729" s="66">
        <v>1222.6999999998447</v>
      </c>
      <c r="J1729" s="66">
        <v>137292.70000000001</v>
      </c>
    </row>
    <row r="1730" spans="2:10">
      <c r="B1730" s="90">
        <v>137087.6</v>
      </c>
      <c r="C1730" s="90">
        <v>1222.5999999998448</v>
      </c>
      <c r="D1730" s="90">
        <v>137292.70000000001</v>
      </c>
      <c r="E1730" s="90">
        <v>1222.6999999998447</v>
      </c>
      <c r="G1730" s="66">
        <v>1222.6999999998447</v>
      </c>
      <c r="H1730" s="66">
        <v>137292.70000000001</v>
      </c>
      <c r="I1730" s="66">
        <v>1222.7999999998447</v>
      </c>
      <c r="J1730" s="66">
        <v>137497.79999999999</v>
      </c>
    </row>
    <row r="1731" spans="2:10">
      <c r="B1731" s="90">
        <v>137292.70000000001</v>
      </c>
      <c r="C1731" s="90">
        <v>1222.6999999998447</v>
      </c>
      <c r="D1731" s="90">
        <v>137497.79999999999</v>
      </c>
      <c r="E1731" s="90">
        <v>1222.7999999998447</v>
      </c>
      <c r="G1731" s="66">
        <v>1222.7999999998447</v>
      </c>
      <c r="H1731" s="66">
        <v>137497.79999999999</v>
      </c>
      <c r="I1731" s="66">
        <v>1222.8999999998446</v>
      </c>
      <c r="J1731" s="66">
        <v>137702.9</v>
      </c>
    </row>
    <row r="1732" spans="2:10">
      <c r="B1732" s="90">
        <v>137497.79999999999</v>
      </c>
      <c r="C1732" s="90">
        <v>1222.7999999998447</v>
      </c>
      <c r="D1732" s="90">
        <v>137702.9</v>
      </c>
      <c r="E1732" s="90">
        <v>1222.8999999998446</v>
      </c>
      <c r="G1732" s="66">
        <v>1222.8999999998446</v>
      </c>
      <c r="H1732" s="66">
        <v>137702.9</v>
      </c>
      <c r="I1732" s="66">
        <v>1222.9999999998445</v>
      </c>
      <c r="J1732" s="66">
        <v>137908</v>
      </c>
    </row>
    <row r="1733" spans="2:10">
      <c r="B1733" s="90">
        <v>137702.9</v>
      </c>
      <c r="C1733" s="90">
        <v>1222.8999999998446</v>
      </c>
      <c r="D1733" s="90">
        <v>137908</v>
      </c>
      <c r="E1733" s="90">
        <v>1222.9999999998445</v>
      </c>
      <c r="G1733" s="66">
        <v>1222.9999999998445</v>
      </c>
      <c r="H1733" s="66">
        <v>137908</v>
      </c>
      <c r="I1733" s="66">
        <v>1223.0999999998444</v>
      </c>
      <c r="J1733" s="66">
        <v>138115.79999999999</v>
      </c>
    </row>
    <row r="1734" spans="2:10">
      <c r="B1734" s="90">
        <v>137908</v>
      </c>
      <c r="C1734" s="90">
        <v>1222.9999999998445</v>
      </c>
      <c r="D1734" s="90">
        <v>138115.79999999999</v>
      </c>
      <c r="E1734" s="90">
        <v>1223.0999999998444</v>
      </c>
      <c r="G1734" s="66">
        <v>1223.0999999998444</v>
      </c>
      <c r="H1734" s="66">
        <v>138115.79999999999</v>
      </c>
      <c r="I1734" s="66">
        <v>1223.1999999998443</v>
      </c>
      <c r="J1734" s="66">
        <v>138323.6</v>
      </c>
    </row>
    <row r="1735" spans="2:10">
      <c r="B1735" s="90">
        <v>138115.79999999999</v>
      </c>
      <c r="C1735" s="90">
        <v>1223.0999999998444</v>
      </c>
      <c r="D1735" s="90">
        <v>138323.6</v>
      </c>
      <c r="E1735" s="90">
        <v>1223.1999999998443</v>
      </c>
      <c r="G1735" s="66">
        <v>1223.1999999998443</v>
      </c>
      <c r="H1735" s="66">
        <v>138323.6</v>
      </c>
      <c r="I1735" s="66">
        <v>1223.2999999998442</v>
      </c>
      <c r="J1735" s="66">
        <v>138531.4</v>
      </c>
    </row>
    <row r="1736" spans="2:10">
      <c r="B1736" s="90">
        <v>138323.6</v>
      </c>
      <c r="C1736" s="90">
        <v>1223.1999999998443</v>
      </c>
      <c r="D1736" s="90">
        <v>138531.4</v>
      </c>
      <c r="E1736" s="90">
        <v>1223.2999999998442</v>
      </c>
      <c r="G1736" s="66">
        <v>1223.2999999998442</v>
      </c>
      <c r="H1736" s="66">
        <v>138531.4</v>
      </c>
      <c r="I1736" s="66">
        <v>1223.3999999998441</v>
      </c>
      <c r="J1736" s="66">
        <v>138739.20000000001</v>
      </c>
    </row>
    <row r="1737" spans="2:10">
      <c r="B1737" s="90">
        <v>138531.4</v>
      </c>
      <c r="C1737" s="90">
        <v>1223.2999999998442</v>
      </c>
      <c r="D1737" s="90">
        <v>138739.20000000001</v>
      </c>
      <c r="E1737" s="90">
        <v>1223.3999999998441</v>
      </c>
      <c r="G1737" s="66">
        <v>1223.3999999998441</v>
      </c>
      <c r="H1737" s="66">
        <v>138739.20000000001</v>
      </c>
      <c r="I1737" s="66">
        <v>1223.499999999844</v>
      </c>
      <c r="J1737" s="66">
        <v>138947</v>
      </c>
    </row>
    <row r="1738" spans="2:10">
      <c r="B1738" s="90">
        <v>138739.20000000001</v>
      </c>
      <c r="C1738" s="90">
        <v>1223.3999999998441</v>
      </c>
      <c r="D1738" s="90">
        <v>138947</v>
      </c>
      <c r="E1738" s="90">
        <v>1223.499999999844</v>
      </c>
      <c r="G1738" s="66">
        <v>1223.499999999844</v>
      </c>
      <c r="H1738" s="66">
        <v>138947</v>
      </c>
      <c r="I1738" s="66">
        <v>1223.5999999998439</v>
      </c>
      <c r="J1738" s="66">
        <v>139154.79999999999</v>
      </c>
    </row>
    <row r="1739" spans="2:10">
      <c r="B1739" s="90">
        <v>138947</v>
      </c>
      <c r="C1739" s="90">
        <v>1223.499999999844</v>
      </c>
      <c r="D1739" s="90">
        <v>139154.79999999999</v>
      </c>
      <c r="E1739" s="90">
        <v>1223.5999999998439</v>
      </c>
      <c r="G1739" s="66">
        <v>1223.5999999998439</v>
      </c>
      <c r="H1739" s="66">
        <v>139154.79999999999</v>
      </c>
      <c r="I1739" s="66">
        <v>1223.6999999998438</v>
      </c>
      <c r="J1739" s="66">
        <v>139362.6</v>
      </c>
    </row>
    <row r="1740" spans="2:10">
      <c r="B1740" s="90">
        <v>139154.79999999999</v>
      </c>
      <c r="C1740" s="90">
        <v>1223.5999999998439</v>
      </c>
      <c r="D1740" s="90">
        <v>139362.6</v>
      </c>
      <c r="E1740" s="90">
        <v>1223.6999999998438</v>
      </c>
      <c r="G1740" s="66">
        <v>1223.6999999998438</v>
      </c>
      <c r="H1740" s="66">
        <v>139362.6</v>
      </c>
      <c r="I1740" s="66">
        <v>1223.7999999998437</v>
      </c>
      <c r="J1740" s="66">
        <v>139570.4</v>
      </c>
    </row>
    <row r="1741" spans="2:10">
      <c r="B1741" s="90">
        <v>139362.6</v>
      </c>
      <c r="C1741" s="90">
        <v>1223.6999999998438</v>
      </c>
      <c r="D1741" s="90">
        <v>139570.4</v>
      </c>
      <c r="E1741" s="90">
        <v>1223.7999999998437</v>
      </c>
      <c r="G1741" s="66">
        <v>1223.7999999998437</v>
      </c>
      <c r="H1741" s="66">
        <v>139570.4</v>
      </c>
      <c r="I1741" s="66">
        <v>1223.8999999998437</v>
      </c>
      <c r="J1741" s="66">
        <v>139778.20000000001</v>
      </c>
    </row>
    <row r="1742" spans="2:10">
      <c r="B1742" s="90">
        <v>139570.4</v>
      </c>
      <c r="C1742" s="90">
        <v>1223.7999999998437</v>
      </c>
      <c r="D1742" s="90">
        <v>139778.20000000001</v>
      </c>
      <c r="E1742" s="90">
        <v>1223.8999999998437</v>
      </c>
      <c r="G1742" s="66">
        <v>1223.8999999998437</v>
      </c>
      <c r="H1742" s="66">
        <v>139778.20000000001</v>
      </c>
      <c r="I1742" s="66">
        <v>1223.9999999998436</v>
      </c>
      <c r="J1742" s="66">
        <v>139986</v>
      </c>
    </row>
    <row r="1743" spans="2:10">
      <c r="B1743" s="90">
        <v>139778.20000000001</v>
      </c>
      <c r="C1743" s="90">
        <v>1223.8999999998437</v>
      </c>
      <c r="D1743" s="90">
        <v>139986</v>
      </c>
      <c r="E1743" s="90">
        <v>1223.9999999998436</v>
      </c>
      <c r="G1743" s="66">
        <v>1223.9999999998436</v>
      </c>
      <c r="H1743" s="66">
        <v>139986</v>
      </c>
      <c r="I1743" s="66">
        <v>1224.0999999998435</v>
      </c>
      <c r="J1743" s="66">
        <v>140196.5</v>
      </c>
    </row>
    <row r="1744" spans="2:10">
      <c r="B1744" s="90">
        <v>139986</v>
      </c>
      <c r="C1744" s="90">
        <v>1223.9999999998436</v>
      </c>
      <c r="D1744" s="90">
        <v>140196.5</v>
      </c>
      <c r="E1744" s="90">
        <v>1224.0999999998435</v>
      </c>
      <c r="G1744" s="66">
        <v>1224.0999999998435</v>
      </c>
      <c r="H1744" s="66">
        <v>140196.5</v>
      </c>
      <c r="I1744" s="66">
        <v>1224.1999999998434</v>
      </c>
      <c r="J1744" s="66">
        <v>140407</v>
      </c>
    </row>
    <row r="1745" spans="2:10">
      <c r="B1745" s="90">
        <v>140196.5</v>
      </c>
      <c r="C1745" s="90">
        <v>1224.0999999998435</v>
      </c>
      <c r="D1745" s="90">
        <v>140407</v>
      </c>
      <c r="E1745" s="90">
        <v>1224.1999999998434</v>
      </c>
      <c r="G1745" s="66">
        <v>1224.1999999998434</v>
      </c>
      <c r="H1745" s="66">
        <v>140407</v>
      </c>
      <c r="I1745" s="66">
        <v>1224.2999999998433</v>
      </c>
      <c r="J1745" s="66">
        <v>140617.5</v>
      </c>
    </row>
    <row r="1746" spans="2:10">
      <c r="B1746" s="90">
        <v>140407</v>
      </c>
      <c r="C1746" s="90">
        <v>1224.1999999998434</v>
      </c>
      <c r="D1746" s="90">
        <v>140617.5</v>
      </c>
      <c r="E1746" s="90">
        <v>1224.2999999998433</v>
      </c>
      <c r="G1746" s="66">
        <v>1224.2999999998433</v>
      </c>
      <c r="H1746" s="66">
        <v>140617.5</v>
      </c>
      <c r="I1746" s="66">
        <v>1224.3999999998432</v>
      </c>
      <c r="J1746" s="66">
        <v>140828</v>
      </c>
    </row>
    <row r="1747" spans="2:10">
      <c r="B1747" s="90">
        <v>140617.5</v>
      </c>
      <c r="C1747" s="90">
        <v>1224.2999999998433</v>
      </c>
      <c r="D1747" s="90">
        <v>140828</v>
      </c>
      <c r="E1747" s="90">
        <v>1224.3999999998432</v>
      </c>
      <c r="G1747" s="66">
        <v>1224.3999999998432</v>
      </c>
      <c r="H1747" s="66">
        <v>140828</v>
      </c>
      <c r="I1747" s="66">
        <v>1224.4999999998431</v>
      </c>
      <c r="J1747" s="66">
        <v>141038.5</v>
      </c>
    </row>
    <row r="1748" spans="2:10">
      <c r="B1748" s="90">
        <v>140828</v>
      </c>
      <c r="C1748" s="90">
        <v>1224.3999999998432</v>
      </c>
      <c r="D1748" s="90">
        <v>141038.5</v>
      </c>
      <c r="E1748" s="90">
        <v>1224.4999999998431</v>
      </c>
      <c r="G1748" s="66">
        <v>1224.4999999998431</v>
      </c>
      <c r="H1748" s="66">
        <v>141038.5</v>
      </c>
      <c r="I1748" s="66">
        <v>1224.599999999843</v>
      </c>
      <c r="J1748" s="66">
        <v>141249</v>
      </c>
    </row>
    <row r="1749" spans="2:10">
      <c r="B1749" s="90">
        <v>141038.5</v>
      </c>
      <c r="C1749" s="90">
        <v>1224.4999999998431</v>
      </c>
      <c r="D1749" s="90">
        <v>141249</v>
      </c>
      <c r="E1749" s="90">
        <v>1224.599999999843</v>
      </c>
      <c r="G1749" s="66">
        <v>1224.599999999843</v>
      </c>
      <c r="H1749" s="66">
        <v>141249</v>
      </c>
      <c r="I1749" s="66">
        <v>1224.6999999998429</v>
      </c>
      <c r="J1749" s="66">
        <v>141459.5</v>
      </c>
    </row>
    <row r="1750" spans="2:10">
      <c r="B1750" s="90">
        <v>141249</v>
      </c>
      <c r="C1750" s="90">
        <v>1224.599999999843</v>
      </c>
      <c r="D1750" s="90">
        <v>141459.5</v>
      </c>
      <c r="E1750" s="90">
        <v>1224.6999999998429</v>
      </c>
      <c r="G1750" s="66">
        <v>1224.6999999998429</v>
      </c>
      <c r="H1750" s="66">
        <v>141459.5</v>
      </c>
      <c r="I1750" s="66">
        <v>1224.7999999998428</v>
      </c>
      <c r="J1750" s="66">
        <v>141670</v>
      </c>
    </row>
    <row r="1751" spans="2:10">
      <c r="B1751" s="90">
        <v>141459.5</v>
      </c>
      <c r="C1751" s="90">
        <v>1224.6999999998429</v>
      </c>
      <c r="D1751" s="90">
        <v>141670</v>
      </c>
      <c r="E1751" s="90">
        <v>1224.7999999998428</v>
      </c>
      <c r="G1751" s="66">
        <v>1224.7999999998428</v>
      </c>
      <c r="H1751" s="66">
        <v>141670</v>
      </c>
      <c r="I1751" s="66">
        <v>1224.8999999998427</v>
      </c>
      <c r="J1751" s="66">
        <v>141880.5</v>
      </c>
    </row>
    <row r="1752" spans="2:10">
      <c r="B1752" s="90">
        <v>141670</v>
      </c>
      <c r="C1752" s="90">
        <v>1224.7999999998428</v>
      </c>
      <c r="D1752" s="90">
        <v>141880.5</v>
      </c>
      <c r="E1752" s="90">
        <v>1224.8999999998427</v>
      </c>
      <c r="G1752" s="66">
        <v>1224.8999999998427</v>
      </c>
      <c r="H1752" s="66">
        <v>141880.5</v>
      </c>
      <c r="I1752" s="66">
        <v>1224.9999999998427</v>
      </c>
      <c r="J1752" s="66">
        <v>142091</v>
      </c>
    </row>
    <row r="1753" spans="2:10">
      <c r="B1753" s="90">
        <v>141880.5</v>
      </c>
      <c r="C1753" s="90">
        <v>1224.8999999998427</v>
      </c>
      <c r="D1753" s="90">
        <v>142091</v>
      </c>
      <c r="E1753" s="90">
        <v>1224.9999999998427</v>
      </c>
      <c r="G1753" s="66">
        <v>1224.9999999998427</v>
      </c>
      <c r="H1753" s="66">
        <v>142091</v>
      </c>
      <c r="I1753" s="66">
        <v>1225.0999999998426</v>
      </c>
      <c r="J1753" s="66">
        <v>142304.20000000001</v>
      </c>
    </row>
    <row r="1754" spans="2:10">
      <c r="B1754" s="90">
        <v>142091</v>
      </c>
      <c r="C1754" s="90">
        <v>1224.9999999998427</v>
      </c>
      <c r="D1754" s="90">
        <v>142304.20000000001</v>
      </c>
      <c r="E1754" s="90">
        <v>1225.0999999998426</v>
      </c>
      <c r="G1754" s="66">
        <v>1225.0999999998426</v>
      </c>
      <c r="H1754" s="66">
        <v>142304.20000000001</v>
      </c>
      <c r="I1754" s="66">
        <v>1225.1999999998425</v>
      </c>
      <c r="J1754" s="66">
        <v>142517.4</v>
      </c>
    </row>
    <row r="1755" spans="2:10">
      <c r="B1755" s="90">
        <v>142304.20000000001</v>
      </c>
      <c r="C1755" s="90">
        <v>1225.0999999998426</v>
      </c>
      <c r="D1755" s="90">
        <v>142517.4</v>
      </c>
      <c r="E1755" s="90">
        <v>1225.1999999998425</v>
      </c>
      <c r="G1755" s="66">
        <v>1225.1999999998425</v>
      </c>
      <c r="H1755" s="66">
        <v>142517.4</v>
      </c>
      <c r="I1755" s="66">
        <v>1225.2999999998424</v>
      </c>
      <c r="J1755" s="66">
        <v>142730.6</v>
      </c>
    </row>
    <row r="1756" spans="2:10">
      <c r="B1756" s="90">
        <v>142517.4</v>
      </c>
      <c r="C1756" s="90">
        <v>1225.1999999998425</v>
      </c>
      <c r="D1756" s="90">
        <v>142730.6</v>
      </c>
      <c r="E1756" s="90">
        <v>1225.2999999998424</v>
      </c>
      <c r="G1756" s="66">
        <v>1225.2999999998424</v>
      </c>
      <c r="H1756" s="66">
        <v>142730.6</v>
      </c>
      <c r="I1756" s="66">
        <v>1225.3999999998423</v>
      </c>
      <c r="J1756" s="66">
        <v>142943.79999999999</v>
      </c>
    </row>
    <row r="1757" spans="2:10">
      <c r="B1757" s="90">
        <v>142730.6</v>
      </c>
      <c r="C1757" s="90">
        <v>1225.2999999998424</v>
      </c>
      <c r="D1757" s="90">
        <v>142943.79999999999</v>
      </c>
      <c r="E1757" s="90">
        <v>1225.3999999998423</v>
      </c>
      <c r="G1757" s="66">
        <v>1225.3999999998423</v>
      </c>
      <c r="H1757" s="66">
        <v>142943.79999999999</v>
      </c>
      <c r="I1757" s="66">
        <v>1225.4999999998422</v>
      </c>
      <c r="J1757" s="66">
        <v>143157</v>
      </c>
    </row>
    <row r="1758" spans="2:10">
      <c r="B1758" s="90">
        <v>142943.79999999999</v>
      </c>
      <c r="C1758" s="90">
        <v>1225.3999999998423</v>
      </c>
      <c r="D1758" s="90">
        <v>143157</v>
      </c>
      <c r="E1758" s="90">
        <v>1225.4999999998422</v>
      </c>
      <c r="G1758" s="66">
        <v>1225.4999999998422</v>
      </c>
      <c r="H1758" s="66">
        <v>143157</v>
      </c>
      <c r="I1758" s="66">
        <v>1225.5999999998421</v>
      </c>
      <c r="J1758" s="66">
        <v>143370.20000000001</v>
      </c>
    </row>
    <row r="1759" spans="2:10">
      <c r="B1759" s="90">
        <v>143157</v>
      </c>
      <c r="C1759" s="90">
        <v>1225.4999999998422</v>
      </c>
      <c r="D1759" s="90">
        <v>143370.20000000001</v>
      </c>
      <c r="E1759" s="90">
        <v>1225.5999999998421</v>
      </c>
      <c r="G1759" s="66">
        <v>1225.5999999998421</v>
      </c>
      <c r="H1759" s="66">
        <v>143370.20000000001</v>
      </c>
      <c r="I1759" s="66">
        <v>1225.699999999842</v>
      </c>
      <c r="J1759" s="66">
        <v>143583.4</v>
      </c>
    </row>
    <row r="1760" spans="2:10">
      <c r="B1760" s="90">
        <v>143370.20000000001</v>
      </c>
      <c r="C1760" s="90">
        <v>1225.5999999998421</v>
      </c>
      <c r="D1760" s="90">
        <v>143583.4</v>
      </c>
      <c r="E1760" s="90">
        <v>1225.699999999842</v>
      </c>
      <c r="G1760" s="66">
        <v>1225.699999999842</v>
      </c>
      <c r="H1760" s="66">
        <v>143583.4</v>
      </c>
      <c r="I1760" s="66">
        <v>1225.7999999998419</v>
      </c>
      <c r="J1760" s="66">
        <v>143796.6</v>
      </c>
    </row>
    <row r="1761" spans="2:10">
      <c r="B1761" s="90">
        <v>143583.4</v>
      </c>
      <c r="C1761" s="90">
        <v>1225.699999999842</v>
      </c>
      <c r="D1761" s="90">
        <v>143796.6</v>
      </c>
      <c r="E1761" s="90">
        <v>1225.7999999998419</v>
      </c>
      <c r="G1761" s="66">
        <v>1225.7999999998419</v>
      </c>
      <c r="H1761" s="66">
        <v>143796.6</v>
      </c>
      <c r="I1761" s="66">
        <v>1225.8999999998418</v>
      </c>
      <c r="J1761" s="66">
        <v>144009.79999999999</v>
      </c>
    </row>
    <row r="1762" spans="2:10">
      <c r="B1762" s="90">
        <v>143796.6</v>
      </c>
      <c r="C1762" s="90">
        <v>1225.7999999998419</v>
      </c>
      <c r="D1762" s="90">
        <v>144009.79999999999</v>
      </c>
      <c r="E1762" s="90">
        <v>1225.8999999998418</v>
      </c>
      <c r="G1762" s="66">
        <v>1225.8999999998418</v>
      </c>
      <c r="H1762" s="66">
        <v>144009.79999999999</v>
      </c>
      <c r="I1762" s="66">
        <v>1225.9999999998417</v>
      </c>
      <c r="J1762" s="66">
        <v>144223</v>
      </c>
    </row>
    <row r="1763" spans="2:10">
      <c r="B1763" s="90">
        <v>144009.79999999999</v>
      </c>
      <c r="C1763" s="90">
        <v>1225.8999999998418</v>
      </c>
      <c r="D1763" s="90">
        <v>144223</v>
      </c>
      <c r="E1763" s="90">
        <v>1225.9999999998417</v>
      </c>
      <c r="G1763" s="66">
        <v>1225.9999999998417</v>
      </c>
      <c r="H1763" s="66">
        <v>144223</v>
      </c>
      <c r="I1763" s="66">
        <v>1226.0999999998417</v>
      </c>
      <c r="J1763" s="66">
        <v>144438.9</v>
      </c>
    </row>
    <row r="1764" spans="2:10">
      <c r="B1764" s="90">
        <v>144223</v>
      </c>
      <c r="C1764" s="90">
        <v>1225.9999999998417</v>
      </c>
      <c r="D1764" s="90">
        <v>144438.9</v>
      </c>
      <c r="E1764" s="90">
        <v>1226.0999999998417</v>
      </c>
      <c r="G1764" s="66">
        <v>1226.0999999998417</v>
      </c>
      <c r="H1764" s="66">
        <v>144438.9</v>
      </c>
      <c r="I1764" s="66">
        <v>1226.1999999998416</v>
      </c>
      <c r="J1764" s="66">
        <v>144654.79999999999</v>
      </c>
    </row>
    <row r="1765" spans="2:10">
      <c r="B1765" s="90">
        <v>144438.9</v>
      </c>
      <c r="C1765" s="90">
        <v>1226.0999999998417</v>
      </c>
      <c r="D1765" s="90">
        <v>144654.79999999999</v>
      </c>
      <c r="E1765" s="90">
        <v>1226.1999999998416</v>
      </c>
      <c r="G1765" s="66">
        <v>1226.1999999998416</v>
      </c>
      <c r="H1765" s="66">
        <v>144654.79999999999</v>
      </c>
      <c r="I1765" s="66">
        <v>1226.2999999998415</v>
      </c>
      <c r="J1765" s="66">
        <v>144870.70000000001</v>
      </c>
    </row>
    <row r="1766" spans="2:10">
      <c r="B1766" s="90">
        <v>144654.79999999999</v>
      </c>
      <c r="C1766" s="90">
        <v>1226.1999999998416</v>
      </c>
      <c r="D1766" s="90">
        <v>144870.70000000001</v>
      </c>
      <c r="E1766" s="90">
        <v>1226.2999999998415</v>
      </c>
      <c r="G1766" s="66">
        <v>1226.2999999998415</v>
      </c>
      <c r="H1766" s="66">
        <v>144870.70000000001</v>
      </c>
      <c r="I1766" s="66">
        <v>1226.3999999998414</v>
      </c>
      <c r="J1766" s="66">
        <v>145086.6</v>
      </c>
    </row>
    <row r="1767" spans="2:10">
      <c r="B1767" s="90">
        <v>144870.70000000001</v>
      </c>
      <c r="C1767" s="90">
        <v>1226.2999999998415</v>
      </c>
      <c r="D1767" s="90">
        <v>145086.6</v>
      </c>
      <c r="E1767" s="90">
        <v>1226.3999999998414</v>
      </c>
      <c r="G1767" s="66">
        <v>1226.3999999998414</v>
      </c>
      <c r="H1767" s="66">
        <v>145086.6</v>
      </c>
      <c r="I1767" s="66">
        <v>1226.4999999998413</v>
      </c>
      <c r="J1767" s="66">
        <v>145302.5</v>
      </c>
    </row>
    <row r="1768" spans="2:10">
      <c r="B1768" s="90">
        <v>145086.6</v>
      </c>
      <c r="C1768" s="90">
        <v>1226.3999999998414</v>
      </c>
      <c r="D1768" s="90">
        <v>145302.5</v>
      </c>
      <c r="E1768" s="90">
        <v>1226.4999999998413</v>
      </c>
      <c r="G1768" s="66">
        <v>1226.4999999998413</v>
      </c>
      <c r="H1768" s="66">
        <v>145302.5</v>
      </c>
      <c r="I1768" s="66">
        <v>1226.5999999998412</v>
      </c>
      <c r="J1768" s="66">
        <v>145518.39999999999</v>
      </c>
    </row>
    <row r="1769" spans="2:10">
      <c r="B1769" s="90">
        <v>145302.5</v>
      </c>
      <c r="C1769" s="90">
        <v>1226.4999999998413</v>
      </c>
      <c r="D1769" s="90">
        <v>145518.39999999999</v>
      </c>
      <c r="E1769" s="90">
        <v>1226.5999999998412</v>
      </c>
      <c r="G1769" s="66">
        <v>1226.5999999998412</v>
      </c>
      <c r="H1769" s="66">
        <v>145518.39999999999</v>
      </c>
      <c r="I1769" s="66">
        <v>1226.6999999998411</v>
      </c>
      <c r="J1769" s="66">
        <v>145734.29999999999</v>
      </c>
    </row>
    <row r="1770" spans="2:10">
      <c r="B1770" s="90">
        <v>145518.39999999999</v>
      </c>
      <c r="C1770" s="90">
        <v>1226.5999999998412</v>
      </c>
      <c r="D1770" s="90">
        <v>145734.29999999999</v>
      </c>
      <c r="E1770" s="90">
        <v>1226.6999999998411</v>
      </c>
      <c r="G1770" s="66">
        <v>1226.6999999998411</v>
      </c>
      <c r="H1770" s="66">
        <v>145734.29999999999</v>
      </c>
      <c r="I1770" s="66">
        <v>1226.799999999841</v>
      </c>
      <c r="J1770" s="66">
        <v>145950.20000000001</v>
      </c>
    </row>
    <row r="1771" spans="2:10">
      <c r="B1771" s="90">
        <v>145734.29999999999</v>
      </c>
      <c r="C1771" s="90">
        <v>1226.6999999998411</v>
      </c>
      <c r="D1771" s="90">
        <v>145950.20000000001</v>
      </c>
      <c r="E1771" s="90">
        <v>1226.799999999841</v>
      </c>
      <c r="G1771" s="66">
        <v>1226.799999999841</v>
      </c>
      <c r="H1771" s="66">
        <v>145950.20000000001</v>
      </c>
      <c r="I1771" s="66">
        <v>1226.8999999998409</v>
      </c>
      <c r="J1771" s="66">
        <v>146166.1</v>
      </c>
    </row>
    <row r="1772" spans="2:10">
      <c r="B1772" s="90">
        <v>145950.20000000001</v>
      </c>
      <c r="C1772" s="90">
        <v>1226.799999999841</v>
      </c>
      <c r="D1772" s="90">
        <v>146166.1</v>
      </c>
      <c r="E1772" s="90">
        <v>1226.8999999998409</v>
      </c>
      <c r="G1772" s="66">
        <v>1226.8999999998409</v>
      </c>
      <c r="H1772" s="66">
        <v>146166.1</v>
      </c>
      <c r="I1772" s="66">
        <v>1226.9999999998408</v>
      </c>
      <c r="J1772" s="66">
        <v>146382</v>
      </c>
    </row>
    <row r="1773" spans="2:10">
      <c r="B1773" s="90">
        <v>146166.1</v>
      </c>
      <c r="C1773" s="90">
        <v>1226.8999999998409</v>
      </c>
      <c r="D1773" s="90">
        <v>146382</v>
      </c>
      <c r="E1773" s="90">
        <v>1226.9999999998408</v>
      </c>
      <c r="G1773" s="66">
        <v>1226.9999999998408</v>
      </c>
      <c r="H1773" s="66">
        <v>146382</v>
      </c>
      <c r="I1773" s="66">
        <v>1227.0999999998407</v>
      </c>
      <c r="J1773" s="66">
        <v>146600.6</v>
      </c>
    </row>
    <row r="1774" spans="2:10">
      <c r="B1774" s="90">
        <v>146382</v>
      </c>
      <c r="C1774" s="90">
        <v>1226.9999999998408</v>
      </c>
      <c r="D1774" s="90">
        <v>146600.6</v>
      </c>
      <c r="E1774" s="90">
        <v>1227.0999999998407</v>
      </c>
      <c r="G1774" s="66">
        <v>1227.0999999998407</v>
      </c>
      <c r="H1774" s="66">
        <v>146600.6</v>
      </c>
      <c r="I1774" s="66">
        <v>1227.1999999998407</v>
      </c>
      <c r="J1774" s="66">
        <v>146819.20000000001</v>
      </c>
    </row>
    <row r="1775" spans="2:10">
      <c r="B1775" s="90">
        <v>146600.6</v>
      </c>
      <c r="C1775" s="90">
        <v>1227.0999999998407</v>
      </c>
      <c r="D1775" s="90">
        <v>146819.20000000001</v>
      </c>
      <c r="E1775" s="90">
        <v>1227.1999999998407</v>
      </c>
      <c r="G1775" s="66">
        <v>1227.1999999998407</v>
      </c>
      <c r="H1775" s="66">
        <v>146819.20000000001</v>
      </c>
      <c r="I1775" s="66">
        <v>1227.2999999998406</v>
      </c>
      <c r="J1775" s="66">
        <v>147037.79999999999</v>
      </c>
    </row>
    <row r="1776" spans="2:10">
      <c r="B1776" s="90">
        <v>146819.20000000001</v>
      </c>
      <c r="C1776" s="90">
        <v>1227.1999999998407</v>
      </c>
      <c r="D1776" s="90">
        <v>147037.79999999999</v>
      </c>
      <c r="E1776" s="90">
        <v>1227.2999999998406</v>
      </c>
      <c r="G1776" s="66">
        <v>1227.2999999998406</v>
      </c>
      <c r="H1776" s="66">
        <v>147037.79999999999</v>
      </c>
      <c r="I1776" s="66">
        <v>1227.3999999998405</v>
      </c>
      <c r="J1776" s="66">
        <v>147256.4</v>
      </c>
    </row>
    <row r="1777" spans="2:10">
      <c r="B1777" s="90">
        <v>147037.79999999999</v>
      </c>
      <c r="C1777" s="90">
        <v>1227.2999999998406</v>
      </c>
      <c r="D1777" s="90">
        <v>147256.4</v>
      </c>
      <c r="E1777" s="90">
        <v>1227.3999999998405</v>
      </c>
      <c r="G1777" s="66">
        <v>1227.3999999998405</v>
      </c>
      <c r="H1777" s="66">
        <v>147256.4</v>
      </c>
      <c r="I1777" s="66">
        <v>1227.4999999998404</v>
      </c>
      <c r="J1777" s="66">
        <v>147475</v>
      </c>
    </row>
    <row r="1778" spans="2:10">
      <c r="B1778" s="90">
        <v>147256.4</v>
      </c>
      <c r="C1778" s="90">
        <v>1227.3999999998405</v>
      </c>
      <c r="D1778" s="90">
        <v>147475</v>
      </c>
      <c r="E1778" s="90">
        <v>1227.4999999998404</v>
      </c>
      <c r="G1778" s="66">
        <v>1227.4999999998404</v>
      </c>
      <c r="H1778" s="66">
        <v>147475</v>
      </c>
      <c r="I1778" s="66">
        <v>1227.5999999998403</v>
      </c>
      <c r="J1778" s="66">
        <v>147693.6</v>
      </c>
    </row>
    <row r="1779" spans="2:10">
      <c r="B1779" s="90">
        <v>147475</v>
      </c>
      <c r="C1779" s="90">
        <v>1227.4999999998404</v>
      </c>
      <c r="D1779" s="90">
        <v>147693.6</v>
      </c>
      <c r="E1779" s="90">
        <v>1227.5999999998403</v>
      </c>
      <c r="G1779" s="66">
        <v>1227.5999999998403</v>
      </c>
      <c r="H1779" s="66">
        <v>147693.6</v>
      </c>
      <c r="I1779" s="66">
        <v>1227.6999999998402</v>
      </c>
      <c r="J1779" s="66">
        <v>147912.20000000001</v>
      </c>
    </row>
    <row r="1780" spans="2:10">
      <c r="B1780" s="90">
        <v>147693.6</v>
      </c>
      <c r="C1780" s="90">
        <v>1227.5999999998403</v>
      </c>
      <c r="D1780" s="90">
        <v>147912.20000000001</v>
      </c>
      <c r="E1780" s="90">
        <v>1227.6999999998402</v>
      </c>
      <c r="G1780" s="66">
        <v>1227.6999999998402</v>
      </c>
      <c r="H1780" s="66">
        <v>147912.20000000001</v>
      </c>
      <c r="I1780" s="66">
        <v>1227.7999999998401</v>
      </c>
      <c r="J1780" s="66">
        <v>148130.79999999999</v>
      </c>
    </row>
    <row r="1781" spans="2:10">
      <c r="B1781" s="90">
        <v>147912.20000000001</v>
      </c>
      <c r="C1781" s="90">
        <v>1227.6999999998402</v>
      </c>
      <c r="D1781" s="90">
        <v>148130.79999999999</v>
      </c>
      <c r="E1781" s="90">
        <v>1227.7999999998401</v>
      </c>
      <c r="G1781" s="66">
        <v>1227.7999999998401</v>
      </c>
      <c r="H1781" s="66">
        <v>148130.79999999999</v>
      </c>
      <c r="I1781" s="66">
        <v>1227.89999999984</v>
      </c>
      <c r="J1781" s="66">
        <v>148349.4</v>
      </c>
    </row>
    <row r="1782" spans="2:10">
      <c r="B1782" s="90">
        <v>148130.79999999999</v>
      </c>
      <c r="C1782" s="90">
        <v>1227.7999999998401</v>
      </c>
      <c r="D1782" s="90">
        <v>148349.4</v>
      </c>
      <c r="E1782" s="90">
        <v>1227.89999999984</v>
      </c>
      <c r="G1782" s="66">
        <v>1227.89999999984</v>
      </c>
      <c r="H1782" s="66">
        <v>148349.4</v>
      </c>
      <c r="I1782" s="66">
        <v>1227.9999999998399</v>
      </c>
      <c r="J1782" s="66">
        <v>148568</v>
      </c>
    </row>
    <row r="1783" spans="2:10">
      <c r="B1783" s="90">
        <v>148349.4</v>
      </c>
      <c r="C1783" s="90">
        <v>1227.89999999984</v>
      </c>
      <c r="D1783" s="90">
        <v>148568</v>
      </c>
      <c r="E1783" s="90">
        <v>1227.9999999998399</v>
      </c>
      <c r="G1783" s="66">
        <v>1227.9999999998399</v>
      </c>
      <c r="H1783" s="66">
        <v>148568</v>
      </c>
      <c r="I1783" s="66">
        <v>1228.0999999998398</v>
      </c>
      <c r="J1783" s="66">
        <v>148789.29999999999</v>
      </c>
    </row>
    <row r="1784" spans="2:10">
      <c r="B1784" s="90">
        <v>148568</v>
      </c>
      <c r="C1784" s="90">
        <v>1227.9999999998399</v>
      </c>
      <c r="D1784" s="90">
        <v>148789.29999999999</v>
      </c>
      <c r="E1784" s="90">
        <v>1228.0999999998398</v>
      </c>
      <c r="G1784" s="66">
        <v>1228.0999999998398</v>
      </c>
      <c r="H1784" s="66">
        <v>148789.29999999999</v>
      </c>
      <c r="I1784" s="66">
        <v>1228.1999999998397</v>
      </c>
      <c r="J1784" s="66">
        <v>149010.6</v>
      </c>
    </row>
    <row r="1785" spans="2:10">
      <c r="B1785" s="90">
        <v>148789.29999999999</v>
      </c>
      <c r="C1785" s="90">
        <v>1228.0999999998398</v>
      </c>
      <c r="D1785" s="90">
        <v>149010.6</v>
      </c>
      <c r="E1785" s="90">
        <v>1228.1999999998397</v>
      </c>
      <c r="G1785" s="66">
        <v>1228.1999999998397</v>
      </c>
      <c r="H1785" s="66">
        <v>149010.6</v>
      </c>
      <c r="I1785" s="66">
        <v>1228.2999999998397</v>
      </c>
      <c r="J1785" s="66">
        <v>149231.9</v>
      </c>
    </row>
    <row r="1786" spans="2:10">
      <c r="B1786" s="90">
        <v>149010.6</v>
      </c>
      <c r="C1786" s="90">
        <v>1228.1999999998397</v>
      </c>
      <c r="D1786" s="90">
        <v>149231.9</v>
      </c>
      <c r="E1786" s="90">
        <v>1228.2999999998397</v>
      </c>
      <c r="G1786" s="66">
        <v>1228.2999999998397</v>
      </c>
      <c r="H1786" s="66">
        <v>149231.9</v>
      </c>
      <c r="I1786" s="66">
        <v>1228.3999999998396</v>
      </c>
      <c r="J1786" s="66">
        <v>149453.20000000001</v>
      </c>
    </row>
    <row r="1787" spans="2:10">
      <c r="B1787" s="90">
        <v>149231.9</v>
      </c>
      <c r="C1787" s="90">
        <v>1228.2999999998397</v>
      </c>
      <c r="D1787" s="90">
        <v>149453.20000000001</v>
      </c>
      <c r="E1787" s="90">
        <v>1228.3999999998396</v>
      </c>
      <c r="G1787" s="66">
        <v>1228.3999999998396</v>
      </c>
      <c r="H1787" s="66">
        <v>149453.20000000001</v>
      </c>
      <c r="I1787" s="66">
        <v>1228.4999999998395</v>
      </c>
      <c r="J1787" s="66">
        <v>149674.5</v>
      </c>
    </row>
    <row r="1788" spans="2:10">
      <c r="B1788" s="90">
        <v>149453.20000000001</v>
      </c>
      <c r="C1788" s="90">
        <v>1228.3999999998396</v>
      </c>
      <c r="D1788" s="90">
        <v>149674.5</v>
      </c>
      <c r="E1788" s="90">
        <v>1228.4999999998395</v>
      </c>
      <c r="G1788" s="66">
        <v>1228.4999999998395</v>
      </c>
      <c r="H1788" s="66">
        <v>149674.5</v>
      </c>
      <c r="I1788" s="66">
        <v>1228.5999999998394</v>
      </c>
      <c r="J1788" s="66">
        <v>149895.79999999999</v>
      </c>
    </row>
    <row r="1789" spans="2:10">
      <c r="B1789" s="90">
        <v>149674.5</v>
      </c>
      <c r="C1789" s="90">
        <v>1228.4999999998395</v>
      </c>
      <c r="D1789" s="90">
        <v>149895.79999999999</v>
      </c>
      <c r="E1789" s="90">
        <v>1228.5999999998394</v>
      </c>
      <c r="G1789" s="66">
        <v>1228.5999999998394</v>
      </c>
      <c r="H1789" s="66">
        <v>149895.79999999999</v>
      </c>
      <c r="I1789" s="66">
        <v>1228.6999999998393</v>
      </c>
      <c r="J1789" s="66">
        <v>150117.1</v>
      </c>
    </row>
    <row r="1790" spans="2:10">
      <c r="B1790" s="90">
        <v>149895.79999999999</v>
      </c>
      <c r="C1790" s="90">
        <v>1228.5999999998394</v>
      </c>
      <c r="D1790" s="90">
        <v>150117.1</v>
      </c>
      <c r="E1790" s="90">
        <v>1228.6999999998393</v>
      </c>
      <c r="G1790" s="66">
        <v>1228.6999999998393</v>
      </c>
      <c r="H1790" s="66">
        <v>150117.1</v>
      </c>
      <c r="I1790" s="66">
        <v>1228.7999999998392</v>
      </c>
      <c r="J1790" s="66">
        <v>150338.4</v>
      </c>
    </row>
    <row r="1791" spans="2:10">
      <c r="B1791" s="90">
        <v>150117.1</v>
      </c>
      <c r="C1791" s="90">
        <v>1228.6999999998393</v>
      </c>
      <c r="D1791" s="90">
        <v>150338.4</v>
      </c>
      <c r="E1791" s="90">
        <v>1228.7999999998392</v>
      </c>
      <c r="G1791" s="66">
        <v>1228.7999999998392</v>
      </c>
      <c r="H1791" s="66">
        <v>150338.4</v>
      </c>
      <c r="I1791" s="66">
        <v>1228.8999999998391</v>
      </c>
      <c r="J1791" s="66">
        <v>150559.70000000001</v>
      </c>
    </row>
    <row r="1792" spans="2:10">
      <c r="B1792" s="90">
        <v>150338.4</v>
      </c>
      <c r="C1792" s="90">
        <v>1228.7999999998392</v>
      </c>
      <c r="D1792" s="90">
        <v>150559.70000000001</v>
      </c>
      <c r="E1792" s="90">
        <v>1228.8999999998391</v>
      </c>
      <c r="G1792" s="66">
        <v>1228.8999999998391</v>
      </c>
      <c r="H1792" s="66">
        <v>150559.70000000001</v>
      </c>
      <c r="I1792" s="66">
        <v>1228.999999999839</v>
      </c>
      <c r="J1792" s="66">
        <v>150781</v>
      </c>
    </row>
    <row r="1793" spans="2:5">
      <c r="B1793" s="90">
        <v>150559.70000000001</v>
      </c>
      <c r="C1793" s="90">
        <v>1228.8999999998391</v>
      </c>
      <c r="D1793" s="90">
        <v>150781</v>
      </c>
      <c r="E1793" s="90">
        <v>1228.999999999839</v>
      </c>
    </row>
  </sheetData>
  <phoneticPr fontId="19"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sheetPr codeName="Sheet14"/>
  <dimension ref="A3:N34"/>
  <sheetViews>
    <sheetView workbookViewId="0">
      <selection activeCell="J36" sqref="J36"/>
    </sheetView>
  </sheetViews>
  <sheetFormatPr defaultRowHeight="12.75"/>
  <cols>
    <col min="2" max="2" width="17.7109375" customWidth="1"/>
    <col min="3" max="3" width="10.140625" customWidth="1"/>
  </cols>
  <sheetData>
    <row r="3" spans="1:14">
      <c r="I3" s="47"/>
      <c r="J3" s="47"/>
      <c r="K3" s="47"/>
      <c r="L3" s="47"/>
      <c r="M3" s="47"/>
      <c r="N3" s="48"/>
    </row>
    <row r="4" spans="1:14">
      <c r="A4" t="s">
        <v>65</v>
      </c>
      <c r="I4" s="111"/>
      <c r="J4" s="111"/>
      <c r="K4" s="111"/>
      <c r="L4" s="111"/>
      <c r="M4" s="111"/>
      <c r="N4" s="111"/>
    </row>
    <row r="5" spans="1:14">
      <c r="A5" t="s">
        <v>286</v>
      </c>
    </row>
    <row r="7" spans="1:14">
      <c r="A7">
        <v>1</v>
      </c>
      <c r="B7" t="s">
        <v>66</v>
      </c>
      <c r="C7">
        <v>350</v>
      </c>
      <c r="D7" t="s">
        <v>62</v>
      </c>
    </row>
    <row r="8" spans="1:14">
      <c r="A8">
        <v>2</v>
      </c>
      <c r="B8" s="25" t="s">
        <v>67</v>
      </c>
      <c r="C8">
        <v>300</v>
      </c>
      <c r="D8" t="s">
        <v>62</v>
      </c>
    </row>
    <row r="9" spans="1:14">
      <c r="A9">
        <v>3</v>
      </c>
      <c r="B9" t="s">
        <v>68</v>
      </c>
      <c r="C9">
        <v>250</v>
      </c>
      <c r="D9" t="s">
        <v>62</v>
      </c>
    </row>
    <row r="10" spans="1:14">
      <c r="A10">
        <v>4</v>
      </c>
      <c r="B10" t="s">
        <v>69</v>
      </c>
      <c r="C10">
        <v>250</v>
      </c>
      <c r="D10" t="s">
        <v>62</v>
      </c>
    </row>
    <row r="11" spans="1:14">
      <c r="A11">
        <v>5</v>
      </c>
      <c r="B11" t="s">
        <v>70</v>
      </c>
      <c r="C11">
        <v>250</v>
      </c>
      <c r="D11" t="s">
        <v>62</v>
      </c>
    </row>
    <row r="13" spans="1:14">
      <c r="B13" s="25">
        <v>39790</v>
      </c>
      <c r="C13" s="25">
        <v>39644</v>
      </c>
      <c r="D13">
        <v>250</v>
      </c>
    </row>
    <row r="22" spans="1:5">
      <c r="A22" t="s">
        <v>71</v>
      </c>
    </row>
    <row r="24" spans="1:5">
      <c r="A24" t="s">
        <v>284</v>
      </c>
    </row>
    <row r="26" spans="1:5">
      <c r="A26">
        <v>1</v>
      </c>
      <c r="B26" s="25">
        <v>39707</v>
      </c>
      <c r="C26" s="25">
        <v>39643</v>
      </c>
      <c r="D26" t="s">
        <v>285</v>
      </c>
    </row>
    <row r="27" spans="1:5">
      <c r="A27">
        <v>2</v>
      </c>
      <c r="B27" s="25">
        <v>39644</v>
      </c>
      <c r="C27" s="25">
        <v>39706</v>
      </c>
      <c r="D27">
        <v>400</v>
      </c>
      <c r="E27" t="s">
        <v>62</v>
      </c>
    </row>
    <row r="29" spans="1:5">
      <c r="A29" t="s">
        <v>72</v>
      </c>
    </row>
    <row r="31" spans="1:5">
      <c r="A31">
        <v>1</v>
      </c>
      <c r="B31" s="25">
        <v>39644</v>
      </c>
      <c r="C31" s="29">
        <v>39706</v>
      </c>
      <c r="D31">
        <v>200</v>
      </c>
      <c r="E31" t="s">
        <v>62</v>
      </c>
    </row>
    <row r="32" spans="1:5">
      <c r="A32">
        <v>2</v>
      </c>
      <c r="B32" s="25">
        <v>39707</v>
      </c>
      <c r="C32" s="29">
        <v>40008</v>
      </c>
      <c r="D32">
        <v>300</v>
      </c>
      <c r="E32" t="s">
        <v>62</v>
      </c>
    </row>
    <row r="34" spans="2:3">
      <c r="B34" s="25"/>
      <c r="C34" s="29"/>
    </row>
  </sheetData>
  <phoneticPr fontId="3"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sheetPr codeName="Sheet15"/>
  <dimension ref="B1:N234"/>
  <sheetViews>
    <sheetView workbookViewId="0">
      <selection activeCell="M14" sqref="M14"/>
    </sheetView>
  </sheetViews>
  <sheetFormatPr defaultColWidth="12.7109375" defaultRowHeight="12.75"/>
  <cols>
    <col min="1" max="1" width="4.7109375" style="63" customWidth="1"/>
    <col min="2" max="2" width="14.140625" style="63" customWidth="1"/>
    <col min="3" max="3" width="12.7109375" style="83" customWidth="1"/>
    <col min="4" max="6" width="12.7109375" style="90" customWidth="1"/>
    <col min="7" max="7" width="16.28515625" style="90" customWidth="1"/>
    <col min="8" max="8" width="12.7109375" style="90" customWidth="1"/>
    <col min="9" max="9" width="14.140625" style="63" customWidth="1"/>
    <col min="10" max="10" width="12.7109375" style="83" customWidth="1"/>
    <col min="11" max="11" width="12.7109375" style="63"/>
    <col min="12" max="12" width="20.7109375" style="63" customWidth="1"/>
    <col min="13" max="13" width="12.5703125" style="63" customWidth="1"/>
    <col min="14" max="16384" width="12.7109375" style="63"/>
  </cols>
  <sheetData>
    <row r="1" spans="2:14">
      <c r="B1" s="64"/>
      <c r="C1" s="65" t="s">
        <v>180</v>
      </c>
      <c r="D1" s="50" t="s">
        <v>181</v>
      </c>
      <c r="E1" s="50" t="s">
        <v>182</v>
      </c>
      <c r="F1" s="50" t="s">
        <v>169</v>
      </c>
      <c r="G1" s="50" t="s">
        <v>183</v>
      </c>
      <c r="H1" s="66"/>
      <c r="I1" s="64"/>
      <c r="J1" s="65" t="s">
        <v>184</v>
      </c>
    </row>
    <row r="2" spans="2:14">
      <c r="B2" s="67" t="s">
        <v>185</v>
      </c>
      <c r="C2" s="68" t="s">
        <v>186</v>
      </c>
      <c r="D2" s="69" t="s">
        <v>186</v>
      </c>
      <c r="E2" s="69" t="s">
        <v>186</v>
      </c>
      <c r="F2" s="69" t="s">
        <v>186</v>
      </c>
      <c r="G2" s="69" t="s">
        <v>187</v>
      </c>
      <c r="H2" s="66"/>
      <c r="I2" s="67" t="s">
        <v>185</v>
      </c>
      <c r="J2" s="68" t="s">
        <v>188</v>
      </c>
    </row>
    <row r="3" spans="2:14">
      <c r="B3" s="70" t="s">
        <v>61</v>
      </c>
      <c r="C3" s="71" t="s">
        <v>189</v>
      </c>
      <c r="D3" s="72" t="s">
        <v>189</v>
      </c>
      <c r="E3" s="72" t="s">
        <v>189</v>
      </c>
      <c r="F3" s="72" t="s">
        <v>189</v>
      </c>
      <c r="G3" s="72" t="s">
        <v>190</v>
      </c>
      <c r="H3" s="66"/>
      <c r="I3" s="70" t="s">
        <v>61</v>
      </c>
      <c r="J3" s="71" t="s">
        <v>189</v>
      </c>
    </row>
    <row r="4" spans="2:14">
      <c r="B4" s="64">
        <v>0</v>
      </c>
      <c r="C4" s="73">
        <v>0</v>
      </c>
      <c r="D4" s="74">
        <v>0</v>
      </c>
      <c r="E4" s="74">
        <v>0</v>
      </c>
      <c r="F4" s="73">
        <f t="shared" ref="F4:F67" si="0">C4+D4+E4</f>
        <v>0</v>
      </c>
      <c r="G4" s="50" t="s">
        <v>191</v>
      </c>
      <c r="H4" s="66"/>
      <c r="I4" s="75">
        <v>0</v>
      </c>
      <c r="J4" s="65">
        <v>0</v>
      </c>
      <c r="K4" s="66"/>
    </row>
    <row r="5" spans="2:14">
      <c r="B5" s="67">
        <v>0.1</v>
      </c>
      <c r="C5" s="76">
        <v>217953</v>
      </c>
      <c r="D5" s="77">
        <v>225078</v>
      </c>
      <c r="E5" s="77">
        <v>430600</v>
      </c>
      <c r="F5" s="77">
        <f t="shared" si="0"/>
        <v>873631</v>
      </c>
      <c r="G5" s="69" t="s">
        <v>191</v>
      </c>
      <c r="H5" s="66"/>
      <c r="I5" s="78">
        <v>0.1</v>
      </c>
      <c r="J5" s="68">
        <v>68422.138547800001</v>
      </c>
      <c r="K5" s="66"/>
    </row>
    <row r="6" spans="2:14">
      <c r="B6" s="67">
        <v>0.2</v>
      </c>
      <c r="C6" s="76">
        <v>435906</v>
      </c>
      <c r="D6" s="77">
        <v>450156</v>
      </c>
      <c r="E6" s="56">
        <v>861200</v>
      </c>
      <c r="F6" s="77">
        <f t="shared" si="0"/>
        <v>1747262</v>
      </c>
      <c r="G6" s="69" t="s">
        <v>191</v>
      </c>
      <c r="H6" s="66"/>
      <c r="I6" s="78">
        <v>0.2</v>
      </c>
      <c r="J6" s="68">
        <v>136844.2770956</v>
      </c>
      <c r="K6" s="66"/>
    </row>
    <row r="7" spans="2:14">
      <c r="B7" s="67">
        <v>0.3</v>
      </c>
      <c r="C7" s="76">
        <v>653859</v>
      </c>
      <c r="D7" s="77">
        <v>675234</v>
      </c>
      <c r="E7" s="56">
        <v>1305400</v>
      </c>
      <c r="F7" s="77">
        <f t="shared" si="0"/>
        <v>2634493</v>
      </c>
      <c r="G7" s="69" t="s">
        <v>191</v>
      </c>
      <c r="H7" s="66"/>
      <c r="I7" s="78">
        <v>0.3</v>
      </c>
      <c r="J7" s="68">
        <v>205266.41564339999</v>
      </c>
      <c r="K7" s="66"/>
    </row>
    <row r="8" spans="2:14">
      <c r="B8" s="67">
        <v>0.4</v>
      </c>
      <c r="C8" s="76">
        <v>871813</v>
      </c>
      <c r="D8" s="77">
        <v>900312</v>
      </c>
      <c r="E8" s="56">
        <v>1750000</v>
      </c>
      <c r="F8" s="77">
        <f t="shared" si="0"/>
        <v>3522125</v>
      </c>
      <c r="G8" s="69" t="s">
        <v>191</v>
      </c>
      <c r="H8" s="66"/>
      <c r="I8" s="78">
        <v>0.4</v>
      </c>
      <c r="J8" s="68">
        <v>273688.5541912</v>
      </c>
      <c r="K8" s="178" t="s">
        <v>381</v>
      </c>
      <c r="L8" s="179"/>
      <c r="M8" s="179"/>
      <c r="N8" s="180"/>
    </row>
    <row r="9" spans="2:14">
      <c r="B9" s="67">
        <v>0.5</v>
      </c>
      <c r="C9" s="76">
        <v>1089766</v>
      </c>
      <c r="D9" s="77">
        <v>1125390</v>
      </c>
      <c r="E9" s="56">
        <v>2195100</v>
      </c>
      <c r="F9" s="77">
        <f t="shared" si="0"/>
        <v>4410256</v>
      </c>
      <c r="G9" s="69" t="s">
        <v>191</v>
      </c>
      <c r="H9" s="66"/>
      <c r="I9" s="78">
        <v>0.5</v>
      </c>
      <c r="J9" s="68">
        <v>342110.69273900002</v>
      </c>
      <c r="K9" s="181"/>
      <c r="L9" s="182"/>
      <c r="M9" s="183">
        <f>15/7</f>
        <v>2.1428571428571428</v>
      </c>
      <c r="N9" s="184">
        <v>1</v>
      </c>
    </row>
    <row r="10" spans="2:14">
      <c r="B10" s="67">
        <v>0.6</v>
      </c>
      <c r="C10" s="76">
        <v>1307719</v>
      </c>
      <c r="D10" s="77">
        <v>1350468</v>
      </c>
      <c r="E10" s="56">
        <v>2644600</v>
      </c>
      <c r="F10" s="77">
        <f t="shared" si="0"/>
        <v>5302787</v>
      </c>
      <c r="G10" s="69" t="s">
        <v>191</v>
      </c>
      <c r="H10" s="66"/>
      <c r="I10" s="78">
        <v>0.6</v>
      </c>
      <c r="J10" s="68">
        <v>410532.83128680004</v>
      </c>
      <c r="K10" s="181"/>
      <c r="L10" s="185">
        <v>1</v>
      </c>
      <c r="M10" s="183">
        <f>15/36</f>
        <v>0.41666666666666669</v>
      </c>
      <c r="N10" s="184">
        <f>7/36</f>
        <v>0.19444444444444445</v>
      </c>
    </row>
    <row r="11" spans="2:14">
      <c r="B11" s="67">
        <v>0.7</v>
      </c>
      <c r="C11" s="76">
        <v>1525672</v>
      </c>
      <c r="D11" s="77">
        <v>1575545</v>
      </c>
      <c r="E11" s="56">
        <v>3086500</v>
      </c>
      <c r="F11" s="77">
        <f t="shared" si="0"/>
        <v>6187717</v>
      </c>
      <c r="G11" s="69" t="s">
        <v>191</v>
      </c>
      <c r="H11" s="66"/>
      <c r="I11" s="78">
        <v>0.7</v>
      </c>
      <c r="J11" s="68">
        <v>478954.96983460005</v>
      </c>
      <c r="K11" s="186"/>
      <c r="L11" s="187"/>
      <c r="M11" s="188" t="s">
        <v>167</v>
      </c>
      <c r="N11" s="189" t="s">
        <v>382</v>
      </c>
    </row>
    <row r="12" spans="2:14">
      <c r="B12" s="67">
        <v>0.8</v>
      </c>
      <c r="C12" s="76">
        <v>1743625</v>
      </c>
      <c r="D12" s="77">
        <v>1800623</v>
      </c>
      <c r="E12" s="56">
        <v>3532800</v>
      </c>
      <c r="F12" s="77">
        <f t="shared" si="0"/>
        <v>7077048</v>
      </c>
      <c r="G12" s="69" t="s">
        <v>191</v>
      </c>
      <c r="H12" s="66"/>
      <c r="I12" s="78">
        <v>0.8</v>
      </c>
      <c r="J12" s="68">
        <v>547377.10838240001</v>
      </c>
      <c r="K12" s="190" t="s">
        <v>383</v>
      </c>
      <c r="L12" s="190" t="s">
        <v>384</v>
      </c>
      <c r="M12" s="191">
        <v>0</v>
      </c>
      <c r="N12" s="192">
        <f>L10</f>
        <v>1</v>
      </c>
    </row>
    <row r="13" spans="2:14">
      <c r="B13" s="67">
        <v>0.9</v>
      </c>
      <c r="C13" s="76">
        <v>1961578</v>
      </c>
      <c r="D13" s="77">
        <v>2025701</v>
      </c>
      <c r="E13" s="56">
        <v>3979600</v>
      </c>
      <c r="F13" s="77">
        <f t="shared" si="0"/>
        <v>7966879</v>
      </c>
      <c r="G13" s="69" t="s">
        <v>191</v>
      </c>
      <c r="H13" s="66"/>
      <c r="I13" s="78">
        <v>0.9</v>
      </c>
      <c r="J13" s="68">
        <v>615799.24693020002</v>
      </c>
      <c r="K13" s="181" t="s">
        <v>385</v>
      </c>
      <c r="L13" s="181" t="s">
        <v>386</v>
      </c>
      <c r="M13" s="183">
        <v>0</v>
      </c>
      <c r="N13" s="184">
        <f>L10/2</f>
        <v>0.5</v>
      </c>
    </row>
    <row r="14" spans="2:14">
      <c r="B14" s="67">
        <v>1</v>
      </c>
      <c r="C14" s="76">
        <v>2179532</v>
      </c>
      <c r="D14" s="56">
        <v>2385300</v>
      </c>
      <c r="E14" s="56">
        <v>4426700</v>
      </c>
      <c r="F14" s="77">
        <f t="shared" si="0"/>
        <v>8991532</v>
      </c>
      <c r="G14" s="69" t="s">
        <v>191</v>
      </c>
      <c r="H14" s="66"/>
      <c r="I14" s="78">
        <v>1</v>
      </c>
      <c r="J14" s="68">
        <v>684221.38547800004</v>
      </c>
      <c r="K14" s="181" t="s">
        <v>387</v>
      </c>
      <c r="L14" s="181" t="s">
        <v>388</v>
      </c>
      <c r="M14" s="183">
        <v>0</v>
      </c>
      <c r="N14" s="184">
        <f>L10/3</f>
        <v>0.33333333333333331</v>
      </c>
    </row>
    <row r="15" spans="2:14">
      <c r="B15" s="67">
        <v>1.1000000000000001</v>
      </c>
      <c r="C15" s="76">
        <v>2397485</v>
      </c>
      <c r="D15" s="56">
        <v>2601000</v>
      </c>
      <c r="E15" s="56">
        <v>4874400</v>
      </c>
      <c r="F15" s="77">
        <f t="shared" si="0"/>
        <v>9872885</v>
      </c>
      <c r="G15" s="69" t="s">
        <v>191</v>
      </c>
      <c r="H15" s="66"/>
      <c r="I15" s="78">
        <v>1.1000000000000001</v>
      </c>
      <c r="J15" s="68">
        <v>753316.12402580003</v>
      </c>
      <c r="K15" s="181" t="s">
        <v>389</v>
      </c>
      <c r="L15" s="181" t="s">
        <v>390</v>
      </c>
      <c r="M15" s="183">
        <f>L10</f>
        <v>1</v>
      </c>
      <c r="N15" s="184">
        <v>0</v>
      </c>
    </row>
    <row r="16" spans="2:14">
      <c r="B16" s="67">
        <v>1.2</v>
      </c>
      <c r="C16" s="76">
        <v>2615438</v>
      </c>
      <c r="D16" s="56">
        <v>2816700</v>
      </c>
      <c r="E16" s="56">
        <v>5322400</v>
      </c>
      <c r="F16" s="77">
        <f t="shared" si="0"/>
        <v>10754538</v>
      </c>
      <c r="G16" s="69" t="s">
        <v>191</v>
      </c>
      <c r="H16" s="66"/>
      <c r="I16" s="78">
        <v>1.2</v>
      </c>
      <c r="J16" s="68">
        <v>822410.86257360002</v>
      </c>
      <c r="K16" s="181" t="s">
        <v>391</v>
      </c>
      <c r="L16" s="181" t="s">
        <v>392</v>
      </c>
      <c r="M16" s="183">
        <f>L10-N16</f>
        <v>0.68181818181818188</v>
      </c>
      <c r="N16" s="184">
        <f>L10/(M9+1)</f>
        <v>0.31818181818181818</v>
      </c>
    </row>
    <row r="17" spans="2:14">
      <c r="B17" s="67">
        <v>1.3</v>
      </c>
      <c r="C17" s="76">
        <v>2833391</v>
      </c>
      <c r="D17" s="56">
        <v>3032400</v>
      </c>
      <c r="E17" s="56">
        <v>5770900</v>
      </c>
      <c r="F17" s="77">
        <f t="shared" si="0"/>
        <v>11636691</v>
      </c>
      <c r="G17" s="69" t="s">
        <v>191</v>
      </c>
      <c r="H17" s="66"/>
      <c r="I17" s="78">
        <v>1.3</v>
      </c>
      <c r="J17" s="68">
        <v>891505.60112140002</v>
      </c>
      <c r="K17" s="181" t="s">
        <v>393</v>
      </c>
      <c r="L17" s="181" t="s">
        <v>394</v>
      </c>
      <c r="M17" s="183">
        <f>L10-N17*2</f>
        <v>0.51724137931034475</v>
      </c>
      <c r="N17" s="184">
        <f>L10/(M9+2)</f>
        <v>0.24137931034482762</v>
      </c>
    </row>
    <row r="18" spans="2:14">
      <c r="B18" s="67">
        <v>1.4</v>
      </c>
      <c r="C18" s="76">
        <v>3051344</v>
      </c>
      <c r="D18" s="56">
        <v>3248100</v>
      </c>
      <c r="E18" s="56">
        <v>6219800</v>
      </c>
      <c r="F18" s="77">
        <f t="shared" si="0"/>
        <v>12519244</v>
      </c>
      <c r="G18" s="69" t="s">
        <v>191</v>
      </c>
      <c r="H18" s="66"/>
      <c r="I18" s="78">
        <v>1.4</v>
      </c>
      <c r="J18" s="68">
        <v>960600.33966920001</v>
      </c>
      <c r="K18" s="193" t="s">
        <v>395</v>
      </c>
      <c r="L18" s="193" t="s">
        <v>396</v>
      </c>
      <c r="M18" s="194">
        <f>L10*(M10)</f>
        <v>0.41666666666666669</v>
      </c>
      <c r="N18" s="195">
        <f>L10*(N10)</f>
        <v>0.19444444444444445</v>
      </c>
    </row>
    <row r="19" spans="2:14">
      <c r="B19" s="67">
        <v>1.5</v>
      </c>
      <c r="C19" s="76">
        <v>3269297</v>
      </c>
      <c r="D19" s="56">
        <v>3463800</v>
      </c>
      <c r="E19" s="56">
        <v>6669100</v>
      </c>
      <c r="F19" s="77">
        <f t="shared" si="0"/>
        <v>13402197</v>
      </c>
      <c r="G19" s="69" t="s">
        <v>191</v>
      </c>
      <c r="H19" s="66"/>
      <c r="I19" s="78">
        <v>1.5</v>
      </c>
      <c r="J19" s="68">
        <v>1029695.078217</v>
      </c>
      <c r="K19" s="66"/>
    </row>
    <row r="20" spans="2:14">
      <c r="B20" s="67">
        <v>1.6</v>
      </c>
      <c r="C20" s="76">
        <v>3487250</v>
      </c>
      <c r="D20" s="56">
        <v>3679500</v>
      </c>
      <c r="E20" s="56">
        <v>7118800</v>
      </c>
      <c r="F20" s="77">
        <f t="shared" si="0"/>
        <v>14285550</v>
      </c>
      <c r="G20" s="69" t="s">
        <v>191</v>
      </c>
      <c r="H20" s="66"/>
      <c r="I20" s="78">
        <v>1.6</v>
      </c>
      <c r="J20" s="68">
        <v>1098789.8167648001</v>
      </c>
      <c r="K20" s="66"/>
    </row>
    <row r="21" spans="2:14">
      <c r="B21" s="67">
        <v>1.7</v>
      </c>
      <c r="C21" s="79">
        <v>3689900</v>
      </c>
      <c r="D21" s="56">
        <v>3895200</v>
      </c>
      <c r="E21" s="56">
        <v>7569000</v>
      </c>
      <c r="F21" s="56">
        <f t="shared" si="0"/>
        <v>15154100</v>
      </c>
      <c r="G21" s="69" t="s">
        <v>191</v>
      </c>
      <c r="H21" s="66"/>
      <c r="I21" s="78">
        <v>1.7</v>
      </c>
      <c r="J21" s="68">
        <v>1167884.5553126002</v>
      </c>
      <c r="K21" s="66"/>
    </row>
    <row r="22" spans="2:14">
      <c r="B22" s="67">
        <v>1.8</v>
      </c>
      <c r="C22" s="80">
        <v>3905700</v>
      </c>
      <c r="D22" s="81">
        <v>4110900</v>
      </c>
      <c r="E22" s="81">
        <v>8019700</v>
      </c>
      <c r="F22" s="81">
        <f t="shared" si="0"/>
        <v>16036300</v>
      </c>
      <c r="G22" s="69" t="s">
        <v>191</v>
      </c>
      <c r="H22" s="66"/>
      <c r="I22" s="78">
        <v>1.8</v>
      </c>
      <c r="J22" s="68">
        <v>1236979.2938604003</v>
      </c>
      <c r="K22" s="66"/>
    </row>
    <row r="23" spans="2:14">
      <c r="B23" s="67">
        <v>1.9</v>
      </c>
      <c r="C23" s="80">
        <v>4121500</v>
      </c>
      <c r="D23" s="81">
        <v>4326600</v>
      </c>
      <c r="E23" s="81">
        <v>8470700</v>
      </c>
      <c r="F23" s="81">
        <f t="shared" si="0"/>
        <v>16918800</v>
      </c>
      <c r="G23" s="69" t="s">
        <v>191</v>
      </c>
      <c r="H23" s="66"/>
      <c r="I23" s="78">
        <v>1.9</v>
      </c>
      <c r="J23" s="68">
        <v>1306074.0324082004</v>
      </c>
      <c r="K23" s="66"/>
    </row>
    <row r="24" spans="2:14">
      <c r="B24" s="67">
        <v>2</v>
      </c>
      <c r="C24" s="80">
        <v>4339800</v>
      </c>
      <c r="D24" s="81">
        <v>4542300</v>
      </c>
      <c r="E24" s="81">
        <v>8922200</v>
      </c>
      <c r="F24" s="81">
        <f t="shared" si="0"/>
        <v>17804300</v>
      </c>
      <c r="G24" s="69" t="s">
        <v>191</v>
      </c>
      <c r="H24" s="66"/>
      <c r="I24" s="78">
        <v>2</v>
      </c>
      <c r="J24" s="68">
        <v>1375168.7709560001</v>
      </c>
      <c r="K24" s="66"/>
    </row>
    <row r="25" spans="2:14">
      <c r="B25" s="67">
        <v>2.1</v>
      </c>
      <c r="C25" s="80">
        <v>4558700</v>
      </c>
      <c r="D25" s="81">
        <v>4761100</v>
      </c>
      <c r="E25" s="81">
        <v>9374100</v>
      </c>
      <c r="F25" s="81">
        <f t="shared" si="0"/>
        <v>18693900</v>
      </c>
      <c r="G25" s="69" t="s">
        <v>191</v>
      </c>
      <c r="H25" s="66"/>
      <c r="I25" s="78">
        <v>2.1</v>
      </c>
      <c r="J25" s="68">
        <v>1444263.5095038002</v>
      </c>
      <c r="K25" s="66"/>
    </row>
    <row r="26" spans="2:14">
      <c r="B26" s="67">
        <v>2.2000000000000002</v>
      </c>
      <c r="C26" s="80">
        <v>4777600</v>
      </c>
      <c r="D26" s="81">
        <v>4979900</v>
      </c>
      <c r="E26" s="81">
        <v>9826400</v>
      </c>
      <c r="F26" s="81">
        <f t="shared" si="0"/>
        <v>19583900</v>
      </c>
      <c r="G26" s="69" t="s">
        <v>191</v>
      </c>
      <c r="H26" s="66"/>
      <c r="I26" s="78">
        <v>2.2000000000000002</v>
      </c>
      <c r="J26" s="68">
        <v>1513358.2480516003</v>
      </c>
      <c r="K26" s="66"/>
    </row>
    <row r="27" spans="2:14">
      <c r="B27" s="67">
        <v>2.2999999999999998</v>
      </c>
      <c r="C27" s="80">
        <v>4996500</v>
      </c>
      <c r="D27" s="81">
        <v>5198700</v>
      </c>
      <c r="E27" s="81">
        <v>10279200</v>
      </c>
      <c r="F27" s="81">
        <f t="shared" si="0"/>
        <v>20474400</v>
      </c>
      <c r="G27" s="69" t="s">
        <v>191</v>
      </c>
      <c r="H27" s="49"/>
      <c r="I27" s="78">
        <v>2.2999999999999998</v>
      </c>
      <c r="J27" s="68">
        <v>1582452.9865994004</v>
      </c>
      <c r="K27" s="66"/>
    </row>
    <row r="28" spans="2:14">
      <c r="B28" s="67">
        <v>2.4</v>
      </c>
      <c r="C28" s="80">
        <v>5215400</v>
      </c>
      <c r="D28" s="81">
        <v>5417500</v>
      </c>
      <c r="E28" s="81">
        <v>10732400</v>
      </c>
      <c r="F28" s="81">
        <f t="shared" si="0"/>
        <v>21365300</v>
      </c>
      <c r="G28" s="69" t="s">
        <v>191</v>
      </c>
      <c r="H28" s="49"/>
      <c r="I28" s="78">
        <v>2.4</v>
      </c>
      <c r="J28" s="68">
        <v>1651547.7251472005</v>
      </c>
      <c r="K28" s="66"/>
    </row>
    <row r="29" spans="2:14">
      <c r="B29" s="67">
        <v>2.5</v>
      </c>
      <c r="C29" s="80">
        <v>5434300</v>
      </c>
      <c r="D29" s="81">
        <v>5636300</v>
      </c>
      <c r="E29" s="81">
        <v>11186000</v>
      </c>
      <c r="F29" s="81">
        <f t="shared" si="0"/>
        <v>22256600</v>
      </c>
      <c r="G29" s="69" t="s">
        <v>191</v>
      </c>
      <c r="H29" s="49"/>
      <c r="I29" s="78">
        <v>2.5</v>
      </c>
      <c r="J29" s="68">
        <v>1720642.4636950006</v>
      </c>
      <c r="K29" s="66"/>
    </row>
    <row r="30" spans="2:14">
      <c r="B30" s="67">
        <v>2.6</v>
      </c>
      <c r="C30" s="80">
        <v>5653200</v>
      </c>
      <c r="D30" s="81">
        <v>5855100</v>
      </c>
      <c r="E30" s="81">
        <v>11640000</v>
      </c>
      <c r="F30" s="81">
        <f t="shared" si="0"/>
        <v>23148300</v>
      </c>
      <c r="G30" s="69" t="s">
        <v>191</v>
      </c>
      <c r="H30" s="49"/>
      <c r="I30" s="78">
        <v>2.6</v>
      </c>
      <c r="J30" s="68">
        <v>1789737.2022428007</v>
      </c>
      <c r="K30" s="66"/>
    </row>
    <row r="31" spans="2:14">
      <c r="B31" s="67">
        <v>2.7</v>
      </c>
      <c r="C31" s="80">
        <v>5872100</v>
      </c>
      <c r="D31" s="81">
        <v>6073900</v>
      </c>
      <c r="E31" s="81">
        <v>12094500</v>
      </c>
      <c r="F31" s="81">
        <f t="shared" si="0"/>
        <v>24040500</v>
      </c>
      <c r="G31" s="69" t="s">
        <v>191</v>
      </c>
      <c r="H31" s="49"/>
      <c r="I31" s="78">
        <v>2.7</v>
      </c>
      <c r="J31" s="68">
        <v>1858831.9407906008</v>
      </c>
      <c r="K31" s="66"/>
    </row>
    <row r="32" spans="2:14">
      <c r="B32" s="67">
        <v>2.8</v>
      </c>
      <c r="C32" s="80">
        <v>6091000</v>
      </c>
      <c r="D32" s="81">
        <v>6292700</v>
      </c>
      <c r="E32" s="81">
        <v>12549500</v>
      </c>
      <c r="F32" s="81">
        <f t="shared" si="0"/>
        <v>24933200</v>
      </c>
      <c r="G32" s="69" t="s">
        <v>191</v>
      </c>
      <c r="H32" s="49"/>
      <c r="I32" s="78">
        <v>2.8</v>
      </c>
      <c r="J32" s="68">
        <v>1927926.679338401</v>
      </c>
      <c r="K32" s="66"/>
    </row>
    <row r="33" spans="2:11">
      <c r="B33" s="67">
        <v>2.9</v>
      </c>
      <c r="C33" s="80">
        <v>6309900</v>
      </c>
      <c r="D33" s="81">
        <v>6511500</v>
      </c>
      <c r="E33" s="81">
        <v>13004800</v>
      </c>
      <c r="F33" s="81">
        <f t="shared" si="0"/>
        <v>25826200</v>
      </c>
      <c r="G33" s="69" t="s">
        <v>191</v>
      </c>
      <c r="H33" s="49"/>
      <c r="I33" s="78">
        <v>2.9</v>
      </c>
      <c r="J33" s="68">
        <v>1997021.4178862011</v>
      </c>
      <c r="K33" s="66"/>
    </row>
    <row r="34" spans="2:11">
      <c r="B34" s="67">
        <v>3</v>
      </c>
      <c r="C34" s="80">
        <v>6528800</v>
      </c>
      <c r="D34" s="81">
        <v>6730300</v>
      </c>
      <c r="E34" s="81">
        <v>13460600</v>
      </c>
      <c r="F34" s="81">
        <f t="shared" si="0"/>
        <v>26719700</v>
      </c>
      <c r="G34" s="69" t="s">
        <v>191</v>
      </c>
      <c r="H34" s="49"/>
      <c r="I34" s="78">
        <v>3</v>
      </c>
      <c r="J34" s="68">
        <v>2066116.1564340005</v>
      </c>
      <c r="K34" s="66"/>
    </row>
    <row r="35" spans="2:11">
      <c r="B35" s="67">
        <v>3.1</v>
      </c>
      <c r="C35" s="80">
        <v>6750800</v>
      </c>
      <c r="D35" s="81">
        <v>6952100</v>
      </c>
      <c r="E35" s="81">
        <v>13916800</v>
      </c>
      <c r="F35" s="81">
        <f t="shared" si="0"/>
        <v>27619700</v>
      </c>
      <c r="G35" s="69" t="s">
        <v>191</v>
      </c>
      <c r="H35" s="49"/>
      <c r="I35" s="78">
        <v>3.1</v>
      </c>
      <c r="J35" s="68">
        <v>2164571.6913851579</v>
      </c>
      <c r="K35" s="66"/>
    </row>
    <row r="36" spans="2:11">
      <c r="B36" s="67">
        <v>3.2</v>
      </c>
      <c r="C36" s="80">
        <v>6972800</v>
      </c>
      <c r="D36" s="81">
        <v>7173900</v>
      </c>
      <c r="E36" s="81">
        <v>14373400</v>
      </c>
      <c r="F36" s="81">
        <f t="shared" si="0"/>
        <v>28520100</v>
      </c>
      <c r="G36" s="69" t="s">
        <v>191</v>
      </c>
      <c r="H36" s="49"/>
      <c r="I36" s="78">
        <v>3.2</v>
      </c>
      <c r="J36" s="68">
        <v>2263027.2263363153</v>
      </c>
      <c r="K36" s="66"/>
    </row>
    <row r="37" spans="2:11">
      <c r="B37" s="67">
        <v>3.3</v>
      </c>
      <c r="C37" s="80">
        <v>7194800</v>
      </c>
      <c r="D37" s="81">
        <v>7395700</v>
      </c>
      <c r="E37" s="81">
        <v>14830500</v>
      </c>
      <c r="F37" s="81">
        <f t="shared" si="0"/>
        <v>29421000</v>
      </c>
      <c r="G37" s="69" t="s">
        <v>191</v>
      </c>
      <c r="H37" s="49"/>
      <c r="I37" s="78">
        <v>3.3</v>
      </c>
      <c r="J37" s="68">
        <v>2361482.7612874727</v>
      </c>
      <c r="K37" s="66"/>
    </row>
    <row r="38" spans="2:11">
      <c r="B38" s="67">
        <v>3.4</v>
      </c>
      <c r="C38" s="80">
        <v>7416800</v>
      </c>
      <c r="D38" s="81">
        <v>7617500</v>
      </c>
      <c r="E38" s="81">
        <v>15288000</v>
      </c>
      <c r="F38" s="81">
        <f t="shared" si="0"/>
        <v>30322300</v>
      </c>
      <c r="G38" s="69" t="s">
        <v>191</v>
      </c>
      <c r="H38" s="49"/>
      <c r="I38" s="78">
        <v>3.4</v>
      </c>
      <c r="J38" s="68">
        <v>2459938.2962386301</v>
      </c>
      <c r="K38" s="66"/>
    </row>
    <row r="39" spans="2:11">
      <c r="B39" s="67">
        <v>3.5</v>
      </c>
      <c r="C39" s="80">
        <v>7638800</v>
      </c>
      <c r="D39" s="81">
        <v>7839300</v>
      </c>
      <c r="E39" s="81">
        <v>15746000</v>
      </c>
      <c r="F39" s="81">
        <f t="shared" si="0"/>
        <v>31224100</v>
      </c>
      <c r="G39" s="69" t="s">
        <v>191</v>
      </c>
      <c r="H39" s="49"/>
      <c r="I39" s="78">
        <v>3.5</v>
      </c>
      <c r="J39" s="68">
        <v>2558393.8311897875</v>
      </c>
      <c r="K39" s="66"/>
    </row>
    <row r="40" spans="2:11">
      <c r="B40" s="67">
        <v>3.6</v>
      </c>
      <c r="C40" s="80">
        <v>7860800</v>
      </c>
      <c r="D40" s="81">
        <v>8061100</v>
      </c>
      <c r="E40" s="81">
        <v>16204300</v>
      </c>
      <c r="F40" s="81">
        <f t="shared" si="0"/>
        <v>32126200</v>
      </c>
      <c r="G40" s="69" t="s">
        <v>191</v>
      </c>
      <c r="H40" s="49"/>
      <c r="I40" s="78">
        <v>3.6</v>
      </c>
      <c r="J40" s="68">
        <v>2656849.3661409449</v>
      </c>
      <c r="K40" s="66"/>
    </row>
    <row r="41" spans="2:11">
      <c r="B41" s="67">
        <v>3.7</v>
      </c>
      <c r="C41" s="80">
        <v>8082800</v>
      </c>
      <c r="D41" s="81">
        <v>8282900</v>
      </c>
      <c r="E41" s="81">
        <v>16663200</v>
      </c>
      <c r="F41" s="81">
        <f t="shared" si="0"/>
        <v>33028900</v>
      </c>
      <c r="G41" s="69" t="s">
        <v>191</v>
      </c>
      <c r="H41" s="49"/>
      <c r="I41" s="78">
        <v>3.7</v>
      </c>
      <c r="J41" s="68">
        <v>2755304.9010921023</v>
      </c>
      <c r="K41" s="66"/>
    </row>
    <row r="42" spans="2:11">
      <c r="B42" s="67">
        <v>3.8</v>
      </c>
      <c r="C42" s="80">
        <v>8304800</v>
      </c>
      <c r="D42" s="81">
        <v>8504700</v>
      </c>
      <c r="E42" s="81">
        <v>17122400</v>
      </c>
      <c r="F42" s="81">
        <f t="shared" si="0"/>
        <v>33931900</v>
      </c>
      <c r="G42" s="69" t="s">
        <v>191</v>
      </c>
      <c r="H42" s="49"/>
      <c r="I42" s="78">
        <v>3.8</v>
      </c>
      <c r="J42" s="68">
        <v>2853760.4360432597</v>
      </c>
      <c r="K42" s="66"/>
    </row>
    <row r="43" spans="2:11">
      <c r="B43" s="67">
        <v>3.9</v>
      </c>
      <c r="C43" s="80">
        <v>8526800</v>
      </c>
      <c r="D43" s="81">
        <v>8726500</v>
      </c>
      <c r="E43" s="81">
        <v>17582100</v>
      </c>
      <c r="F43" s="81">
        <f t="shared" si="0"/>
        <v>34835400</v>
      </c>
      <c r="G43" s="69" t="s">
        <v>191</v>
      </c>
      <c r="H43" s="49"/>
      <c r="I43" s="78">
        <v>3.9</v>
      </c>
      <c r="J43" s="68">
        <v>2952215.9709944171</v>
      </c>
      <c r="K43" s="66"/>
    </row>
    <row r="44" spans="2:11">
      <c r="B44" s="67">
        <v>4</v>
      </c>
      <c r="C44" s="80">
        <v>8750800</v>
      </c>
      <c r="D44" s="81">
        <v>8948300</v>
      </c>
      <c r="E44" s="81">
        <v>18042200</v>
      </c>
      <c r="F44" s="81">
        <f t="shared" si="0"/>
        <v>35741300</v>
      </c>
      <c r="G44" s="69" t="s">
        <v>191</v>
      </c>
      <c r="H44" s="49"/>
      <c r="I44" s="78">
        <v>4</v>
      </c>
      <c r="J44" s="68">
        <v>3050671.5059455754</v>
      </c>
      <c r="K44" s="66"/>
    </row>
    <row r="45" spans="2:11">
      <c r="B45" s="67">
        <v>4.0999999999999996</v>
      </c>
      <c r="C45" s="80">
        <v>8975900</v>
      </c>
      <c r="D45" s="81">
        <v>9173200</v>
      </c>
      <c r="E45" s="81">
        <v>18502700</v>
      </c>
      <c r="F45" s="81">
        <f t="shared" si="0"/>
        <v>36651800</v>
      </c>
      <c r="G45" s="69" t="s">
        <v>191</v>
      </c>
      <c r="H45" s="49"/>
      <c r="I45" s="78">
        <v>4.0999999999999996</v>
      </c>
      <c r="J45" s="68">
        <v>3154662.6444933754</v>
      </c>
      <c r="K45" s="66"/>
    </row>
    <row r="46" spans="2:11">
      <c r="B46" s="67">
        <v>4.2</v>
      </c>
      <c r="C46" s="80">
        <v>9201000</v>
      </c>
      <c r="D46" s="81">
        <v>9398100</v>
      </c>
      <c r="E46" s="81">
        <v>18963700</v>
      </c>
      <c r="F46" s="81">
        <f t="shared" si="0"/>
        <v>37562800</v>
      </c>
      <c r="G46" s="69" t="s">
        <v>191</v>
      </c>
      <c r="H46" s="49"/>
      <c r="I46" s="78">
        <v>4.2</v>
      </c>
      <c r="J46" s="68">
        <v>3258653.7830411755</v>
      </c>
      <c r="K46" s="66"/>
    </row>
    <row r="47" spans="2:11">
      <c r="B47" s="67">
        <v>4.3</v>
      </c>
      <c r="C47" s="80">
        <v>9426100</v>
      </c>
      <c r="D47" s="81">
        <v>9623000</v>
      </c>
      <c r="E47" s="81">
        <v>19425100</v>
      </c>
      <c r="F47" s="81">
        <f t="shared" si="0"/>
        <v>38474200</v>
      </c>
      <c r="G47" s="69" t="s">
        <v>191</v>
      </c>
      <c r="H47" s="49"/>
      <c r="I47" s="78">
        <v>4.3</v>
      </c>
      <c r="J47" s="68">
        <v>3362644.9215889755</v>
      </c>
      <c r="K47" s="66"/>
    </row>
    <row r="48" spans="2:11">
      <c r="B48" s="67">
        <v>4.4000000000000004</v>
      </c>
      <c r="C48" s="80">
        <v>9651200</v>
      </c>
      <c r="D48" s="81">
        <v>9847900</v>
      </c>
      <c r="E48" s="81">
        <v>19886900</v>
      </c>
      <c r="F48" s="81">
        <f t="shared" si="0"/>
        <v>39386000</v>
      </c>
      <c r="G48" s="69" t="s">
        <v>191</v>
      </c>
      <c r="H48" s="49"/>
      <c r="I48" s="78">
        <v>4.4000000000000004</v>
      </c>
      <c r="J48" s="68">
        <v>3466636.0601367755</v>
      </c>
      <c r="K48" s="66"/>
    </row>
    <row r="49" spans="2:11">
      <c r="B49" s="67">
        <v>4.5</v>
      </c>
      <c r="C49" s="80">
        <v>9876300</v>
      </c>
      <c r="D49" s="81">
        <v>10072800</v>
      </c>
      <c r="E49" s="81">
        <v>20349200</v>
      </c>
      <c r="F49" s="81">
        <f t="shared" si="0"/>
        <v>40298300</v>
      </c>
      <c r="G49" s="69" t="s">
        <v>191</v>
      </c>
      <c r="H49" s="49"/>
      <c r="I49" s="78">
        <v>4.5</v>
      </c>
      <c r="J49" s="68">
        <v>3570627.1986845755</v>
      </c>
      <c r="K49" s="66"/>
    </row>
    <row r="50" spans="2:11">
      <c r="B50" s="67">
        <v>4.5999999999999996</v>
      </c>
      <c r="C50" s="80">
        <v>10101400</v>
      </c>
      <c r="D50" s="81">
        <v>10297700</v>
      </c>
      <c r="E50" s="81">
        <v>20811900</v>
      </c>
      <c r="F50" s="81">
        <f t="shared" si="0"/>
        <v>41211000</v>
      </c>
      <c r="G50" s="69" t="s">
        <v>191</v>
      </c>
      <c r="H50" s="49"/>
      <c r="I50" s="78">
        <v>4.5999999999999996</v>
      </c>
      <c r="J50" s="68">
        <v>3674618.3372323755</v>
      </c>
      <c r="K50" s="66"/>
    </row>
    <row r="51" spans="2:11">
      <c r="B51" s="67">
        <v>4.7</v>
      </c>
      <c r="C51" s="80">
        <v>10326500</v>
      </c>
      <c r="D51" s="81">
        <v>10522600</v>
      </c>
      <c r="E51" s="81">
        <v>21275100</v>
      </c>
      <c r="F51" s="81">
        <f t="shared" si="0"/>
        <v>42124200</v>
      </c>
      <c r="G51" s="69" t="s">
        <v>191</v>
      </c>
      <c r="H51" s="49"/>
      <c r="I51" s="78">
        <v>4.7</v>
      </c>
      <c r="J51" s="68">
        <v>3778609.4757801755</v>
      </c>
      <c r="K51" s="66"/>
    </row>
    <row r="52" spans="2:11">
      <c r="B52" s="67">
        <v>4.8</v>
      </c>
      <c r="C52" s="80">
        <v>10551600</v>
      </c>
      <c r="D52" s="81">
        <v>10747500</v>
      </c>
      <c r="E52" s="81">
        <v>21738700</v>
      </c>
      <c r="F52" s="81">
        <f t="shared" si="0"/>
        <v>43037800</v>
      </c>
      <c r="G52" s="69" t="s">
        <v>191</v>
      </c>
      <c r="H52" s="49"/>
      <c r="I52" s="78">
        <v>4.8</v>
      </c>
      <c r="J52" s="68">
        <v>3882600.6143279755</v>
      </c>
      <c r="K52" s="66"/>
    </row>
    <row r="53" spans="2:11">
      <c r="B53" s="67">
        <v>4.9000000000000004</v>
      </c>
      <c r="C53" s="80">
        <v>10776700</v>
      </c>
      <c r="D53" s="81">
        <v>10972400</v>
      </c>
      <c r="E53" s="81">
        <v>22202700</v>
      </c>
      <c r="F53" s="81">
        <f t="shared" si="0"/>
        <v>43951800</v>
      </c>
      <c r="G53" s="69" t="s">
        <v>191</v>
      </c>
      <c r="H53" s="49"/>
      <c r="I53" s="78">
        <v>4.9000000000000004</v>
      </c>
      <c r="J53" s="68">
        <v>3986591.7528757756</v>
      </c>
      <c r="K53" s="66"/>
    </row>
    <row r="54" spans="2:11">
      <c r="B54" s="67">
        <v>5</v>
      </c>
      <c r="C54" s="80">
        <v>11001800</v>
      </c>
      <c r="D54" s="81">
        <v>11197300</v>
      </c>
      <c r="E54" s="81">
        <v>22667100</v>
      </c>
      <c r="F54" s="81">
        <f t="shared" si="0"/>
        <v>44866200</v>
      </c>
      <c r="G54" s="69" t="s">
        <v>191</v>
      </c>
      <c r="H54" s="49"/>
      <c r="I54" s="78">
        <v>5</v>
      </c>
      <c r="J54" s="68">
        <v>4090582.8914235751</v>
      </c>
      <c r="K54" s="66"/>
    </row>
    <row r="55" spans="2:11">
      <c r="B55" s="67">
        <v>5.0999999999999996</v>
      </c>
      <c r="C55" s="80">
        <v>11230000</v>
      </c>
      <c r="D55" s="81">
        <v>11425200</v>
      </c>
      <c r="E55" s="81">
        <v>23132000</v>
      </c>
      <c r="F55" s="81">
        <f t="shared" si="0"/>
        <v>45787200</v>
      </c>
      <c r="G55" s="69" t="s">
        <v>191</v>
      </c>
      <c r="H55" s="49"/>
      <c r="I55" s="78">
        <v>5.0999999999999996</v>
      </c>
      <c r="J55" s="68">
        <v>4194219.8299713754</v>
      </c>
      <c r="K55" s="66"/>
    </row>
    <row r="56" spans="2:11">
      <c r="B56" s="67">
        <v>5.2</v>
      </c>
      <c r="C56" s="80">
        <v>11458200</v>
      </c>
      <c r="D56" s="81">
        <v>11653100</v>
      </c>
      <c r="E56" s="81">
        <v>23597300</v>
      </c>
      <c r="F56" s="81">
        <f t="shared" si="0"/>
        <v>46708600</v>
      </c>
      <c r="G56" s="69" t="s">
        <v>191</v>
      </c>
      <c r="H56" s="49"/>
      <c r="I56" s="78">
        <v>5.1999999999999904</v>
      </c>
      <c r="J56" s="68">
        <v>4297856.7685191752</v>
      </c>
      <c r="K56" s="66"/>
    </row>
    <row r="57" spans="2:11">
      <c r="B57" s="67">
        <v>5.3</v>
      </c>
      <c r="C57" s="80">
        <v>11686400</v>
      </c>
      <c r="D57" s="81">
        <v>11881000</v>
      </c>
      <c r="E57" s="81">
        <v>24063100</v>
      </c>
      <c r="F57" s="81">
        <f t="shared" si="0"/>
        <v>47630500</v>
      </c>
      <c r="G57" s="69" t="s">
        <v>191</v>
      </c>
      <c r="H57" s="49"/>
      <c r="I57" s="78">
        <v>5.2999999999999901</v>
      </c>
      <c r="J57" s="68">
        <v>4401493.7070669755</v>
      </c>
      <c r="K57" s="66"/>
    </row>
    <row r="58" spans="2:11">
      <c r="B58" s="67">
        <v>5.4</v>
      </c>
      <c r="C58" s="80">
        <v>11914600</v>
      </c>
      <c r="D58" s="81">
        <v>12108900</v>
      </c>
      <c r="E58" s="81">
        <v>24529300</v>
      </c>
      <c r="F58" s="81">
        <f t="shared" si="0"/>
        <v>48552800</v>
      </c>
      <c r="G58" s="69" t="s">
        <v>191</v>
      </c>
      <c r="H58" s="49"/>
      <c r="I58" s="78">
        <v>5.3999999999999897</v>
      </c>
      <c r="J58" s="68">
        <v>4505130.6456147758</v>
      </c>
      <c r="K58" s="66"/>
    </row>
    <row r="59" spans="2:11">
      <c r="B59" s="67">
        <v>5.5</v>
      </c>
      <c r="C59" s="80">
        <v>12142800</v>
      </c>
      <c r="D59" s="81">
        <v>12336800</v>
      </c>
      <c r="E59" s="81">
        <v>24995900</v>
      </c>
      <c r="F59" s="81">
        <f t="shared" si="0"/>
        <v>49475500</v>
      </c>
      <c r="G59" s="69" t="s">
        <v>191</v>
      </c>
      <c r="H59" s="49"/>
      <c r="I59" s="78">
        <v>5.4999999999999902</v>
      </c>
      <c r="J59" s="68">
        <v>4608767.5841625761</v>
      </c>
      <c r="K59" s="66"/>
    </row>
    <row r="60" spans="2:11">
      <c r="B60" s="67">
        <v>5.6</v>
      </c>
      <c r="C60" s="80">
        <v>12371000</v>
      </c>
      <c r="D60" s="81">
        <v>12564700</v>
      </c>
      <c r="E60" s="81">
        <v>25463000</v>
      </c>
      <c r="F60" s="81">
        <f t="shared" si="0"/>
        <v>50398700</v>
      </c>
      <c r="G60" s="69" t="s">
        <v>191</v>
      </c>
      <c r="H60" s="49"/>
      <c r="I60" s="78">
        <v>5.5999999999999899</v>
      </c>
      <c r="J60" s="68">
        <v>4712404.5227103764</v>
      </c>
      <c r="K60" s="66"/>
    </row>
    <row r="61" spans="2:11">
      <c r="B61" s="67">
        <v>5.7</v>
      </c>
      <c r="C61" s="80">
        <v>12599200</v>
      </c>
      <c r="D61" s="81">
        <v>12792600</v>
      </c>
      <c r="E61" s="81">
        <v>25930500</v>
      </c>
      <c r="F61" s="81">
        <f t="shared" si="0"/>
        <v>51322300</v>
      </c>
      <c r="G61" s="69" t="s">
        <v>191</v>
      </c>
      <c r="H61" s="49"/>
      <c r="I61" s="78">
        <v>5.6999999999999904</v>
      </c>
      <c r="J61" s="68">
        <v>4816041.4612581767</v>
      </c>
      <c r="K61" s="66"/>
    </row>
    <row r="62" spans="2:11">
      <c r="B62" s="67">
        <v>5.8</v>
      </c>
      <c r="C62" s="80">
        <v>12827400</v>
      </c>
      <c r="D62" s="81">
        <v>13020500</v>
      </c>
      <c r="E62" s="81">
        <v>26398400</v>
      </c>
      <c r="F62" s="81">
        <f t="shared" si="0"/>
        <v>52246300</v>
      </c>
      <c r="G62" s="69" t="s">
        <v>191</v>
      </c>
      <c r="H62" s="49"/>
      <c r="I62" s="78">
        <v>5.7999999999999901</v>
      </c>
      <c r="J62" s="68">
        <v>4919678.399805977</v>
      </c>
      <c r="K62" s="66"/>
    </row>
    <row r="63" spans="2:11">
      <c r="B63" s="67">
        <v>5.9</v>
      </c>
      <c r="C63" s="80">
        <v>13055600</v>
      </c>
      <c r="D63" s="81">
        <v>13248400</v>
      </c>
      <c r="E63" s="81">
        <v>26866800</v>
      </c>
      <c r="F63" s="81">
        <f t="shared" si="0"/>
        <v>53170800</v>
      </c>
      <c r="G63" s="69" t="s">
        <v>191</v>
      </c>
      <c r="H63" s="49"/>
      <c r="I63" s="78">
        <v>5.8999999999999897</v>
      </c>
      <c r="J63" s="68">
        <v>5023315.3383537773</v>
      </c>
      <c r="K63" s="66"/>
    </row>
    <row r="64" spans="2:11">
      <c r="B64" s="67">
        <v>6</v>
      </c>
      <c r="C64" s="80">
        <v>13283800</v>
      </c>
      <c r="D64" s="81">
        <v>13476300</v>
      </c>
      <c r="E64" s="81">
        <v>27335600</v>
      </c>
      <c r="F64" s="81">
        <f t="shared" si="0"/>
        <v>54095700</v>
      </c>
      <c r="G64" s="69" t="s">
        <v>191</v>
      </c>
      <c r="H64" s="49"/>
      <c r="I64" s="78">
        <v>5.9999999999999902</v>
      </c>
      <c r="J64" s="68">
        <v>5126952.2769015767</v>
      </c>
      <c r="K64" s="66"/>
    </row>
    <row r="65" spans="2:11">
      <c r="B65" s="67">
        <v>6.1</v>
      </c>
      <c r="C65" s="80">
        <v>13515100</v>
      </c>
      <c r="D65" s="81">
        <v>13707300</v>
      </c>
      <c r="E65" s="81">
        <v>27804900</v>
      </c>
      <c r="F65" s="81">
        <f t="shared" si="0"/>
        <v>55027300</v>
      </c>
      <c r="G65" s="69" t="s">
        <v>191</v>
      </c>
      <c r="H65" s="49"/>
      <c r="I65" s="78">
        <v>6.0999999999999899</v>
      </c>
      <c r="J65" s="68">
        <v>5230589.215449377</v>
      </c>
      <c r="K65" s="66"/>
    </row>
    <row r="66" spans="2:11">
      <c r="B66" s="67">
        <v>6.2</v>
      </c>
      <c r="C66" s="80">
        <v>13746400</v>
      </c>
      <c r="D66" s="81">
        <v>13938300</v>
      </c>
      <c r="E66" s="81">
        <v>28274600</v>
      </c>
      <c r="F66" s="81">
        <f t="shared" si="0"/>
        <v>55959300</v>
      </c>
      <c r="G66" s="69" t="s">
        <v>191</v>
      </c>
      <c r="H66" s="49"/>
      <c r="I66" s="78">
        <v>6.1999999999999904</v>
      </c>
      <c r="J66" s="68">
        <v>5334226.1539971773</v>
      </c>
      <c r="K66" s="66"/>
    </row>
    <row r="67" spans="2:11">
      <c r="B67" s="67">
        <v>6.3</v>
      </c>
      <c r="C67" s="80">
        <v>13977700</v>
      </c>
      <c r="D67" s="81">
        <v>14169300</v>
      </c>
      <c r="E67" s="81">
        <v>28774700</v>
      </c>
      <c r="F67" s="81">
        <f t="shared" si="0"/>
        <v>56921700</v>
      </c>
      <c r="G67" s="69" t="s">
        <v>191</v>
      </c>
      <c r="H67" s="49"/>
      <c r="I67" s="78">
        <v>6.2999999999999901</v>
      </c>
      <c r="J67" s="68">
        <v>5437863.0925449776</v>
      </c>
      <c r="K67" s="66"/>
    </row>
    <row r="68" spans="2:11">
      <c r="B68" s="67">
        <v>6.4</v>
      </c>
      <c r="C68" s="80">
        <v>14209000</v>
      </c>
      <c r="D68" s="81">
        <v>14400300</v>
      </c>
      <c r="E68" s="81">
        <v>29215300</v>
      </c>
      <c r="F68" s="81">
        <f t="shared" ref="F68:F131" si="1">C68+D68+E68</f>
        <v>57824600</v>
      </c>
      <c r="G68" s="69" t="s">
        <v>191</v>
      </c>
      <c r="H68" s="49"/>
      <c r="I68" s="78">
        <v>6.3999999999999897</v>
      </c>
      <c r="J68" s="68">
        <v>5541500.0310927778</v>
      </c>
      <c r="K68" s="66"/>
    </row>
    <row r="69" spans="2:11">
      <c r="B69" s="67">
        <v>6.5</v>
      </c>
      <c r="C69" s="80">
        <v>14440300</v>
      </c>
      <c r="D69" s="81">
        <v>14631300</v>
      </c>
      <c r="E69" s="81">
        <v>29686300</v>
      </c>
      <c r="F69" s="81">
        <f t="shared" si="1"/>
        <v>58757900</v>
      </c>
      <c r="G69" s="69" t="s">
        <v>191</v>
      </c>
      <c r="H69" s="49"/>
      <c r="I69" s="78">
        <v>6.4999999999999902</v>
      </c>
      <c r="J69" s="68">
        <v>5645136.9696405781</v>
      </c>
      <c r="K69" s="66"/>
    </row>
    <row r="70" spans="2:11">
      <c r="B70" s="67">
        <v>6.6</v>
      </c>
      <c r="C70" s="80">
        <v>14671600</v>
      </c>
      <c r="D70" s="81">
        <v>14862300</v>
      </c>
      <c r="E70" s="81">
        <v>30157700</v>
      </c>
      <c r="F70" s="81">
        <f t="shared" si="1"/>
        <v>59691600</v>
      </c>
      <c r="G70" s="69" t="s">
        <v>191</v>
      </c>
      <c r="H70" s="49"/>
      <c r="I70" s="78">
        <v>6.5999999999999899</v>
      </c>
      <c r="J70" s="68">
        <v>5748773.9081883784</v>
      </c>
      <c r="K70" s="66"/>
    </row>
    <row r="71" spans="2:11">
      <c r="B71" s="67">
        <v>6.7</v>
      </c>
      <c r="C71" s="80">
        <v>14902900</v>
      </c>
      <c r="D71" s="81">
        <v>15093300</v>
      </c>
      <c r="E71" s="81">
        <v>30629600</v>
      </c>
      <c r="F71" s="81">
        <f t="shared" si="1"/>
        <v>60625800</v>
      </c>
      <c r="G71" s="69" t="s">
        <v>191</v>
      </c>
      <c r="H71" s="49"/>
      <c r="I71" s="78">
        <v>6.6999999999999904</v>
      </c>
      <c r="J71" s="68">
        <v>5852410.8467361787</v>
      </c>
      <c r="K71" s="66"/>
    </row>
    <row r="72" spans="2:11">
      <c r="B72" s="67">
        <v>6.8</v>
      </c>
      <c r="C72" s="80">
        <v>15132400</v>
      </c>
      <c r="D72" s="81">
        <v>15324300</v>
      </c>
      <c r="E72" s="81">
        <v>31101900</v>
      </c>
      <c r="F72" s="81">
        <f t="shared" si="1"/>
        <v>61558600</v>
      </c>
      <c r="G72" s="69" t="s">
        <v>191</v>
      </c>
      <c r="H72" s="49"/>
      <c r="I72" s="78">
        <v>6.7999999999999901</v>
      </c>
      <c r="J72" s="68">
        <v>5956047.785283979</v>
      </c>
      <c r="K72" s="66"/>
    </row>
    <row r="73" spans="2:11">
      <c r="B73" s="67">
        <v>6.9</v>
      </c>
      <c r="C73" s="80">
        <v>15365500</v>
      </c>
      <c r="D73" s="81">
        <v>15555300</v>
      </c>
      <c r="E73" s="81">
        <v>31574700</v>
      </c>
      <c r="F73" s="81">
        <f t="shared" si="1"/>
        <v>62495500</v>
      </c>
      <c r="G73" s="69" t="s">
        <v>191</v>
      </c>
      <c r="H73" s="49"/>
      <c r="I73" s="78">
        <v>6.8999999999999897</v>
      </c>
      <c r="J73" s="68">
        <v>6059684.7238317793</v>
      </c>
      <c r="K73" s="66"/>
    </row>
    <row r="74" spans="2:11">
      <c r="B74" s="67">
        <v>7</v>
      </c>
      <c r="C74" s="80">
        <v>15596800</v>
      </c>
      <c r="D74" s="81">
        <v>15786300</v>
      </c>
      <c r="E74" s="81">
        <v>32047900</v>
      </c>
      <c r="F74" s="81">
        <f t="shared" si="1"/>
        <v>63431000</v>
      </c>
      <c r="G74" s="69" t="s">
        <v>191</v>
      </c>
      <c r="H74" s="49"/>
      <c r="I74" s="78">
        <v>6.9999999999999902</v>
      </c>
      <c r="J74" s="68">
        <v>6163321.6623795759</v>
      </c>
      <c r="K74" s="66"/>
    </row>
    <row r="75" spans="2:11">
      <c r="B75" s="67">
        <v>7.1</v>
      </c>
      <c r="C75" s="80">
        <v>15831300</v>
      </c>
      <c r="D75" s="81">
        <v>16020500</v>
      </c>
      <c r="E75" s="81">
        <v>32521500</v>
      </c>
      <c r="F75" s="81">
        <f t="shared" si="1"/>
        <v>64373300</v>
      </c>
      <c r="G75" s="69" t="s">
        <v>191</v>
      </c>
      <c r="H75" s="49"/>
      <c r="I75" s="78">
        <v>7.0999999999999899</v>
      </c>
      <c r="J75" s="68">
        <v>6266958.6009273762</v>
      </c>
      <c r="K75" s="66"/>
    </row>
    <row r="76" spans="2:11">
      <c r="B76" s="67">
        <v>7.2</v>
      </c>
      <c r="C76" s="80">
        <v>16065800</v>
      </c>
      <c r="D76" s="81">
        <v>16254700</v>
      </c>
      <c r="E76" s="81">
        <v>32995600</v>
      </c>
      <c r="F76" s="81">
        <f t="shared" si="1"/>
        <v>65316100</v>
      </c>
      <c r="G76" s="69" t="s">
        <v>191</v>
      </c>
      <c r="H76" s="49"/>
      <c r="I76" s="78">
        <v>7.1999999999999904</v>
      </c>
      <c r="J76" s="68">
        <v>6370595.5394751765</v>
      </c>
      <c r="K76" s="66"/>
    </row>
    <row r="77" spans="2:11">
      <c r="B77" s="67">
        <v>7.3</v>
      </c>
      <c r="C77" s="80">
        <v>16300300</v>
      </c>
      <c r="D77" s="81">
        <v>16488900</v>
      </c>
      <c r="E77" s="81">
        <v>33470100</v>
      </c>
      <c r="F77" s="81">
        <f t="shared" si="1"/>
        <v>66259300</v>
      </c>
      <c r="G77" s="69" t="s">
        <v>191</v>
      </c>
      <c r="H77" s="49"/>
      <c r="I77" s="78">
        <v>7.2999999999999901</v>
      </c>
      <c r="J77" s="68">
        <v>6474232.4780229768</v>
      </c>
      <c r="K77" s="66"/>
    </row>
    <row r="78" spans="2:11">
      <c r="B78" s="67">
        <v>7.4</v>
      </c>
      <c r="C78" s="80">
        <v>16534800</v>
      </c>
      <c r="D78" s="81">
        <v>16723100</v>
      </c>
      <c r="E78" s="81">
        <v>33945000</v>
      </c>
      <c r="F78" s="81">
        <f t="shared" si="1"/>
        <v>67202900</v>
      </c>
      <c r="G78" s="69" t="s">
        <v>191</v>
      </c>
      <c r="H78" s="49"/>
      <c r="I78" s="78">
        <v>7.3999999999999897</v>
      </c>
      <c r="J78" s="68">
        <v>6577869.4165707771</v>
      </c>
      <c r="K78" s="66"/>
    </row>
    <row r="79" spans="2:11">
      <c r="B79" s="67">
        <v>7.5</v>
      </c>
      <c r="C79" s="80">
        <v>16769300</v>
      </c>
      <c r="D79" s="81">
        <v>16957300</v>
      </c>
      <c r="E79" s="81">
        <v>34420400</v>
      </c>
      <c r="F79" s="81">
        <f t="shared" si="1"/>
        <v>68147000</v>
      </c>
      <c r="G79" s="69" t="s">
        <v>191</v>
      </c>
      <c r="H79" s="49"/>
      <c r="I79" s="78">
        <v>7.4999999999999902</v>
      </c>
      <c r="J79" s="68">
        <v>6681506.3551185774</v>
      </c>
      <c r="K79" s="66"/>
    </row>
    <row r="80" spans="2:11">
      <c r="B80" s="67">
        <v>7.6</v>
      </c>
      <c r="C80" s="80">
        <v>17003800</v>
      </c>
      <c r="D80" s="81">
        <v>17191500</v>
      </c>
      <c r="E80" s="81">
        <v>34896300</v>
      </c>
      <c r="F80" s="81">
        <f t="shared" si="1"/>
        <v>69091600</v>
      </c>
      <c r="G80" s="69" t="s">
        <v>191</v>
      </c>
      <c r="H80" s="49"/>
      <c r="I80" s="78">
        <v>7.5999999999999899</v>
      </c>
      <c r="J80" s="68">
        <v>6785143.2936663777</v>
      </c>
      <c r="K80" s="66"/>
    </row>
    <row r="81" spans="2:11">
      <c r="B81" s="67">
        <v>7.7</v>
      </c>
      <c r="C81" s="80">
        <v>17238300</v>
      </c>
      <c r="D81" s="81">
        <v>17425700</v>
      </c>
      <c r="E81" s="81">
        <v>35372500</v>
      </c>
      <c r="F81" s="81">
        <f t="shared" si="1"/>
        <v>70036500</v>
      </c>
      <c r="G81" s="69" t="s">
        <v>191</v>
      </c>
      <c r="H81" s="49"/>
      <c r="I81" s="78">
        <v>7.6999999999999904</v>
      </c>
      <c r="J81" s="68">
        <v>6888780.232214178</v>
      </c>
      <c r="K81" s="66"/>
    </row>
    <row r="82" spans="2:11">
      <c r="B82" s="67">
        <v>7.8</v>
      </c>
      <c r="C82" s="80">
        <v>17472800</v>
      </c>
      <c r="D82" s="81">
        <v>17659900</v>
      </c>
      <c r="E82" s="81">
        <v>35849300</v>
      </c>
      <c r="F82" s="81">
        <f t="shared" si="1"/>
        <v>70982000</v>
      </c>
      <c r="G82" s="69" t="s">
        <v>191</v>
      </c>
      <c r="H82" s="49"/>
      <c r="I82" s="78">
        <v>7.7999999999999901</v>
      </c>
      <c r="J82" s="68">
        <v>6992417.1707619783</v>
      </c>
      <c r="K82" s="66"/>
    </row>
    <row r="83" spans="2:11">
      <c r="B83" s="67">
        <v>7.9</v>
      </c>
      <c r="C83" s="80">
        <v>17707300</v>
      </c>
      <c r="D83" s="81">
        <v>17894100</v>
      </c>
      <c r="E83" s="81">
        <v>36326400</v>
      </c>
      <c r="F83" s="81">
        <f t="shared" si="1"/>
        <v>71927800</v>
      </c>
      <c r="G83" s="69" t="s">
        <v>191</v>
      </c>
      <c r="H83" s="49"/>
      <c r="I83" s="78">
        <v>7.8999999999999897</v>
      </c>
      <c r="J83" s="68">
        <v>7096054.1093097785</v>
      </c>
      <c r="K83" s="66"/>
    </row>
    <row r="84" spans="2:11">
      <c r="B84" s="67">
        <v>8</v>
      </c>
      <c r="C84" s="80">
        <v>17941800</v>
      </c>
      <c r="D84" s="81">
        <v>18128300</v>
      </c>
      <c r="E84" s="81">
        <v>36804000</v>
      </c>
      <c r="F84" s="81">
        <f t="shared" si="1"/>
        <v>72874100</v>
      </c>
      <c r="G84" s="69" t="s">
        <v>191</v>
      </c>
      <c r="H84" s="49"/>
      <c r="I84" s="78">
        <v>7.9999999999999796</v>
      </c>
      <c r="J84" s="68">
        <v>7199691.0478575751</v>
      </c>
      <c r="K84" s="66"/>
    </row>
    <row r="85" spans="2:11">
      <c r="B85" s="67">
        <v>8.1</v>
      </c>
      <c r="C85" s="80">
        <v>18179500</v>
      </c>
      <c r="D85" s="81">
        <v>18365600</v>
      </c>
      <c r="E85" s="81">
        <v>37282100</v>
      </c>
      <c r="F85" s="81">
        <f t="shared" si="1"/>
        <v>73827200</v>
      </c>
      <c r="G85" s="69" t="s">
        <v>191</v>
      </c>
      <c r="H85" s="49"/>
      <c r="I85" s="78">
        <v>8.0999999999999801</v>
      </c>
      <c r="J85" s="68">
        <v>7303327.9864053754</v>
      </c>
      <c r="K85" s="66"/>
    </row>
    <row r="86" spans="2:11">
      <c r="B86" s="67">
        <v>8.1999999999999993</v>
      </c>
      <c r="C86" s="80">
        <v>18417200</v>
      </c>
      <c r="D86" s="81">
        <v>18602900</v>
      </c>
      <c r="E86" s="81">
        <v>37760500</v>
      </c>
      <c r="F86" s="81">
        <f t="shared" si="1"/>
        <v>74780600</v>
      </c>
      <c r="G86" s="69" t="s">
        <v>191</v>
      </c>
      <c r="H86" s="49"/>
      <c r="I86" s="78">
        <v>8.1999999999999797</v>
      </c>
      <c r="J86" s="68">
        <v>7406964.9249531757</v>
      </c>
      <c r="K86" s="66"/>
    </row>
    <row r="87" spans="2:11">
      <c r="B87" s="67">
        <v>8.3000000000000007</v>
      </c>
      <c r="C87" s="80">
        <v>18654900</v>
      </c>
      <c r="D87" s="81">
        <v>18840200</v>
      </c>
      <c r="E87" s="81">
        <v>38239500</v>
      </c>
      <c r="F87" s="81">
        <f t="shared" si="1"/>
        <v>75734600</v>
      </c>
      <c r="G87" s="69" t="s">
        <v>191</v>
      </c>
      <c r="H87" s="49"/>
      <c r="I87" s="78">
        <v>8.2999999999999794</v>
      </c>
      <c r="J87" s="68">
        <v>7510601.863500976</v>
      </c>
      <c r="K87" s="66"/>
    </row>
    <row r="88" spans="2:11">
      <c r="B88" s="67">
        <v>8.4</v>
      </c>
      <c r="C88" s="80">
        <v>18892600</v>
      </c>
      <c r="D88" s="81">
        <v>19077500</v>
      </c>
      <c r="E88" s="81">
        <v>38718800</v>
      </c>
      <c r="F88" s="81">
        <f t="shared" si="1"/>
        <v>76688900</v>
      </c>
      <c r="G88" s="69" t="s">
        <v>191</v>
      </c>
      <c r="H88" s="49"/>
      <c r="I88" s="78">
        <v>8.3999999999999808</v>
      </c>
      <c r="J88" s="68">
        <v>7614238.8020487763</v>
      </c>
      <c r="K88" s="66"/>
    </row>
    <row r="89" spans="2:11">
      <c r="B89" s="67">
        <v>8.5</v>
      </c>
      <c r="C89" s="80">
        <v>19130300</v>
      </c>
      <c r="D89" s="81">
        <v>19314800</v>
      </c>
      <c r="E89" s="81">
        <v>39198600</v>
      </c>
      <c r="F89" s="81">
        <f t="shared" si="1"/>
        <v>77643700</v>
      </c>
      <c r="G89" s="69" t="s">
        <v>191</v>
      </c>
      <c r="H89" s="49"/>
      <c r="I89" s="78">
        <v>8.4999999999999805</v>
      </c>
      <c r="J89" s="68">
        <v>7717875.7405965766</v>
      </c>
      <c r="K89" s="66"/>
    </row>
    <row r="90" spans="2:11">
      <c r="B90" s="67">
        <v>8.6</v>
      </c>
      <c r="C90" s="80">
        <v>19368000</v>
      </c>
      <c r="D90" s="81">
        <v>19552100</v>
      </c>
      <c r="E90" s="81">
        <v>39678900</v>
      </c>
      <c r="F90" s="81">
        <f t="shared" si="1"/>
        <v>78599000</v>
      </c>
      <c r="G90" s="69" t="s">
        <v>191</v>
      </c>
      <c r="H90" s="49"/>
      <c r="I90" s="78">
        <v>8.5999999999999801</v>
      </c>
      <c r="J90" s="68">
        <v>7821512.6791443769</v>
      </c>
      <c r="K90" s="66"/>
    </row>
    <row r="91" spans="2:11">
      <c r="B91" s="67">
        <v>8.6999999999999993</v>
      </c>
      <c r="C91" s="80">
        <v>19605700</v>
      </c>
      <c r="D91" s="81">
        <v>19789400</v>
      </c>
      <c r="E91" s="81">
        <v>40159600</v>
      </c>
      <c r="F91" s="81">
        <f t="shared" si="1"/>
        <v>79554700</v>
      </c>
      <c r="G91" s="69" t="s">
        <v>191</v>
      </c>
      <c r="H91" s="49"/>
      <c r="I91" s="78">
        <v>8.6999999999999797</v>
      </c>
      <c r="J91" s="68">
        <v>7925149.6176921772</v>
      </c>
      <c r="K91" s="66"/>
    </row>
    <row r="92" spans="2:11">
      <c r="B92" s="67">
        <v>8.8000000000000007</v>
      </c>
      <c r="C92" s="80">
        <v>19843400</v>
      </c>
      <c r="D92" s="81">
        <v>20026700</v>
      </c>
      <c r="E92" s="81">
        <v>40640700</v>
      </c>
      <c r="F92" s="81">
        <f t="shared" si="1"/>
        <v>80510800</v>
      </c>
      <c r="G92" s="69" t="s">
        <v>191</v>
      </c>
      <c r="H92" s="49"/>
      <c r="I92" s="78">
        <v>8.7999999999999794</v>
      </c>
      <c r="J92" s="68">
        <v>8028786.5562399775</v>
      </c>
      <c r="K92" s="66"/>
    </row>
    <row r="93" spans="2:11">
      <c r="B93" s="67">
        <v>8.9</v>
      </c>
      <c r="C93" s="80">
        <v>20081100</v>
      </c>
      <c r="D93" s="81">
        <v>20264000</v>
      </c>
      <c r="E93" s="81">
        <v>41122300</v>
      </c>
      <c r="F93" s="81">
        <f t="shared" si="1"/>
        <v>81467400</v>
      </c>
      <c r="G93" s="69" t="s">
        <v>191</v>
      </c>
      <c r="H93" s="49"/>
      <c r="I93" s="78">
        <v>8.8999999999999808</v>
      </c>
      <c r="J93" s="68">
        <v>8132423.4947877778</v>
      </c>
      <c r="K93" s="66"/>
    </row>
    <row r="94" spans="2:11">
      <c r="B94" s="67">
        <v>9</v>
      </c>
      <c r="C94" s="80">
        <v>20318800</v>
      </c>
      <c r="D94" s="81">
        <v>20501300</v>
      </c>
      <c r="E94" s="81">
        <v>41604300</v>
      </c>
      <c r="F94" s="81">
        <f t="shared" si="1"/>
        <v>82424400</v>
      </c>
      <c r="G94" s="69" t="s">
        <v>191</v>
      </c>
      <c r="H94" s="49"/>
      <c r="I94" s="78">
        <v>8.9999999999999805</v>
      </c>
      <c r="J94" s="68">
        <v>8236060.4333355762</v>
      </c>
      <c r="K94" s="66"/>
    </row>
    <row r="95" spans="2:11">
      <c r="B95" s="67">
        <v>9.1</v>
      </c>
      <c r="C95" s="80">
        <v>20559600</v>
      </c>
      <c r="D95" s="81">
        <v>20741800</v>
      </c>
      <c r="E95" s="81">
        <v>42086700</v>
      </c>
      <c r="F95" s="81">
        <f t="shared" si="1"/>
        <v>83388100</v>
      </c>
      <c r="G95" s="69" t="s">
        <v>191</v>
      </c>
      <c r="H95" s="49"/>
      <c r="I95" s="78">
        <v>9.0999999999999801</v>
      </c>
      <c r="J95" s="68">
        <v>8339697.3718833765</v>
      </c>
      <c r="K95" s="66"/>
    </row>
    <row r="96" spans="2:11">
      <c r="B96" s="67">
        <v>9.1999999999999993</v>
      </c>
      <c r="C96" s="80">
        <v>20800400</v>
      </c>
      <c r="D96" s="81">
        <v>20982300</v>
      </c>
      <c r="E96" s="81">
        <v>42569700</v>
      </c>
      <c r="F96" s="81">
        <f t="shared" si="1"/>
        <v>84352400</v>
      </c>
      <c r="G96" s="69" t="s">
        <v>191</v>
      </c>
      <c r="H96" s="49"/>
      <c r="I96" s="78">
        <v>9.1999999999999797</v>
      </c>
      <c r="J96" s="68">
        <v>8443334.3104311768</v>
      </c>
      <c r="K96" s="66"/>
    </row>
    <row r="97" spans="2:11">
      <c r="B97" s="67">
        <v>9.3000000000000007</v>
      </c>
      <c r="C97" s="80">
        <v>21041200</v>
      </c>
      <c r="D97" s="81">
        <v>21222800</v>
      </c>
      <c r="E97" s="81">
        <v>43053000</v>
      </c>
      <c r="F97" s="81">
        <f t="shared" si="1"/>
        <v>85317000</v>
      </c>
      <c r="G97" s="69" t="s">
        <v>191</v>
      </c>
      <c r="H97" s="49"/>
      <c r="I97" s="78">
        <v>9.2999999999999794</v>
      </c>
      <c r="J97" s="68">
        <v>8546971.2489789762</v>
      </c>
      <c r="K97" s="66"/>
    </row>
    <row r="98" spans="2:11">
      <c r="B98" s="67">
        <v>9.4</v>
      </c>
      <c r="C98" s="80">
        <v>21282000</v>
      </c>
      <c r="D98" s="81">
        <v>21463300</v>
      </c>
      <c r="E98" s="81">
        <v>43536800</v>
      </c>
      <c r="F98" s="81">
        <f t="shared" si="1"/>
        <v>86282100</v>
      </c>
      <c r="G98" s="69" t="s">
        <v>191</v>
      </c>
      <c r="H98" s="49"/>
      <c r="I98" s="78">
        <v>9.3999999999999808</v>
      </c>
      <c r="J98" s="68">
        <v>8650608.1875267755</v>
      </c>
      <c r="K98" s="66"/>
    </row>
    <row r="99" spans="2:11">
      <c r="B99" s="67">
        <v>9.5</v>
      </c>
      <c r="C99" s="80">
        <v>21522800</v>
      </c>
      <c r="D99" s="81">
        <v>21703800</v>
      </c>
      <c r="E99" s="81">
        <v>44021100</v>
      </c>
      <c r="F99" s="81">
        <f t="shared" si="1"/>
        <v>87247700</v>
      </c>
      <c r="G99" s="69" t="s">
        <v>191</v>
      </c>
      <c r="H99" s="49"/>
      <c r="I99" s="78">
        <v>9.4999999999999805</v>
      </c>
      <c r="J99" s="68">
        <v>8754245.1260745749</v>
      </c>
      <c r="K99" s="66"/>
    </row>
    <row r="100" spans="2:11">
      <c r="B100" s="67">
        <v>9.6</v>
      </c>
      <c r="C100" s="80">
        <v>21763600</v>
      </c>
      <c r="D100" s="81">
        <v>21944300</v>
      </c>
      <c r="E100" s="81">
        <v>44505700</v>
      </c>
      <c r="F100" s="81">
        <f t="shared" si="1"/>
        <v>88213600</v>
      </c>
      <c r="G100" s="69" t="s">
        <v>191</v>
      </c>
      <c r="H100" s="49"/>
      <c r="I100" s="78">
        <v>9.5999999999999801</v>
      </c>
      <c r="J100" s="68">
        <v>8857882.0646223743</v>
      </c>
      <c r="K100" s="66"/>
    </row>
    <row r="101" spans="2:11">
      <c r="B101" s="67">
        <v>9.6999999999999993</v>
      </c>
      <c r="C101" s="80">
        <v>22004400</v>
      </c>
      <c r="D101" s="81">
        <v>22184800</v>
      </c>
      <c r="E101" s="81">
        <v>44990800</v>
      </c>
      <c r="F101" s="81">
        <f t="shared" si="1"/>
        <v>89180000</v>
      </c>
      <c r="G101" s="69" t="s">
        <v>191</v>
      </c>
      <c r="H101" s="49"/>
      <c r="I101" s="78">
        <v>9.6999999999999797</v>
      </c>
      <c r="J101" s="68">
        <v>8961519.0031701736</v>
      </c>
      <c r="K101" s="66"/>
    </row>
    <row r="102" spans="2:11">
      <c r="B102" s="67">
        <v>9.8000000000000007</v>
      </c>
      <c r="C102" s="80">
        <v>22245200</v>
      </c>
      <c r="D102" s="81">
        <v>22425300</v>
      </c>
      <c r="E102" s="81">
        <v>45476400</v>
      </c>
      <c r="F102" s="81">
        <f t="shared" si="1"/>
        <v>90146900</v>
      </c>
      <c r="G102" s="69" t="s">
        <v>191</v>
      </c>
      <c r="H102" s="49"/>
      <c r="I102" s="78">
        <v>9.7999999999999794</v>
      </c>
      <c r="J102" s="68">
        <v>9065155.941717973</v>
      </c>
      <c r="K102" s="66"/>
    </row>
    <row r="103" spans="2:11">
      <c r="B103" s="67">
        <v>9.9</v>
      </c>
      <c r="C103" s="80">
        <v>22486000</v>
      </c>
      <c r="D103" s="81">
        <v>22665800</v>
      </c>
      <c r="E103" s="81">
        <v>45962400</v>
      </c>
      <c r="F103" s="81">
        <f t="shared" si="1"/>
        <v>91114200</v>
      </c>
      <c r="G103" s="69" t="s">
        <v>191</v>
      </c>
      <c r="H103" s="49"/>
      <c r="I103" s="78">
        <v>9.8999999999999808</v>
      </c>
      <c r="J103" s="68">
        <v>9168792.8802657723</v>
      </c>
      <c r="K103" s="66"/>
    </row>
    <row r="104" spans="2:11">
      <c r="B104" s="67">
        <v>10</v>
      </c>
      <c r="C104" s="80">
        <v>22726800</v>
      </c>
      <c r="D104" s="81">
        <v>22906300</v>
      </c>
      <c r="E104" s="81">
        <v>46448900</v>
      </c>
      <c r="F104" s="81">
        <f t="shared" si="1"/>
        <v>92082000</v>
      </c>
      <c r="G104" s="69" t="s">
        <v>191</v>
      </c>
      <c r="H104" s="49"/>
      <c r="I104" s="78">
        <v>9.9999999999999805</v>
      </c>
      <c r="J104" s="68">
        <v>9272429.8188135754</v>
      </c>
      <c r="K104" s="66"/>
    </row>
    <row r="105" spans="2:11">
      <c r="B105" s="67">
        <v>10.1</v>
      </c>
      <c r="C105" s="80">
        <v>22971200</v>
      </c>
      <c r="D105" s="81">
        <v>23150000</v>
      </c>
      <c r="E105" s="81">
        <v>46935800</v>
      </c>
      <c r="F105" s="81">
        <f t="shared" si="1"/>
        <v>93057000</v>
      </c>
      <c r="G105" s="69" t="s">
        <v>191</v>
      </c>
      <c r="H105" s="49"/>
      <c r="I105" s="78">
        <v>10.1</v>
      </c>
      <c r="J105" s="68">
        <v>9376066.7573613748</v>
      </c>
      <c r="K105" s="66"/>
    </row>
    <row r="106" spans="2:11">
      <c r="B106" s="67">
        <v>10.199999999999999</v>
      </c>
      <c r="C106" s="80">
        <v>23215600</v>
      </c>
      <c r="D106" s="81">
        <v>23393700</v>
      </c>
      <c r="E106" s="81">
        <v>47423100</v>
      </c>
      <c r="F106" s="81">
        <f t="shared" si="1"/>
        <v>94032400</v>
      </c>
      <c r="G106" s="69" t="s">
        <v>191</v>
      </c>
      <c r="H106" s="49"/>
      <c r="I106" s="78">
        <v>10.199999999999999</v>
      </c>
      <c r="J106" s="68">
        <v>9479703.6959091742</v>
      </c>
      <c r="K106" s="66"/>
    </row>
    <row r="107" spans="2:11">
      <c r="B107" s="67">
        <v>10.3</v>
      </c>
      <c r="C107" s="80">
        <v>23460000</v>
      </c>
      <c r="D107" s="81">
        <v>23637400</v>
      </c>
      <c r="E107" s="81">
        <v>47910900</v>
      </c>
      <c r="F107" s="81">
        <f t="shared" si="1"/>
        <v>95008300</v>
      </c>
      <c r="G107" s="69" t="s">
        <v>191</v>
      </c>
      <c r="H107" s="49"/>
      <c r="I107" s="78">
        <v>10.3</v>
      </c>
      <c r="J107" s="68">
        <v>9583340.6344569735</v>
      </c>
      <c r="K107" s="66"/>
    </row>
    <row r="108" spans="2:11">
      <c r="B108" s="67">
        <v>10.4</v>
      </c>
      <c r="C108" s="80">
        <v>23704400</v>
      </c>
      <c r="D108" s="81">
        <v>23881100</v>
      </c>
      <c r="E108" s="81">
        <v>48399100</v>
      </c>
      <c r="F108" s="81">
        <f t="shared" si="1"/>
        <v>95984600</v>
      </c>
      <c r="G108" s="69" t="s">
        <v>191</v>
      </c>
      <c r="H108" s="49"/>
      <c r="I108" s="78">
        <v>10.4</v>
      </c>
      <c r="J108" s="68">
        <v>9686977.5730047729</v>
      </c>
      <c r="K108" s="66"/>
    </row>
    <row r="109" spans="2:11">
      <c r="B109" s="67">
        <v>10.5</v>
      </c>
      <c r="C109" s="80">
        <v>23948800</v>
      </c>
      <c r="D109" s="81">
        <v>24124800</v>
      </c>
      <c r="E109" s="81">
        <v>48887800</v>
      </c>
      <c r="F109" s="81">
        <f t="shared" si="1"/>
        <v>96961400</v>
      </c>
      <c r="G109" s="69" t="s">
        <v>191</v>
      </c>
      <c r="H109" s="49"/>
      <c r="I109" s="78">
        <v>10.5</v>
      </c>
      <c r="J109" s="68">
        <v>9790614.5115525723</v>
      </c>
      <c r="K109" s="66"/>
    </row>
    <row r="110" spans="2:11">
      <c r="B110" s="67">
        <v>10.6</v>
      </c>
      <c r="C110" s="80">
        <v>24193200</v>
      </c>
      <c r="D110" s="81">
        <v>24368500</v>
      </c>
      <c r="E110" s="81">
        <v>49376900</v>
      </c>
      <c r="F110" s="81">
        <f t="shared" si="1"/>
        <v>97938600</v>
      </c>
      <c r="G110" s="69" t="s">
        <v>191</v>
      </c>
      <c r="H110" s="49"/>
      <c r="I110" s="78">
        <v>10.6</v>
      </c>
      <c r="J110" s="68">
        <v>9894251.4501003716</v>
      </c>
      <c r="K110" s="66"/>
    </row>
    <row r="111" spans="2:11">
      <c r="B111" s="67">
        <v>10.7</v>
      </c>
      <c r="C111" s="80">
        <v>24437600</v>
      </c>
      <c r="D111" s="81">
        <v>24612200</v>
      </c>
      <c r="E111" s="81">
        <v>49866500</v>
      </c>
      <c r="F111" s="81">
        <f t="shared" si="1"/>
        <v>98916300</v>
      </c>
      <c r="G111" s="69" t="s">
        <v>191</v>
      </c>
      <c r="H111" s="49"/>
      <c r="I111" s="78">
        <v>10.7</v>
      </c>
      <c r="J111" s="68">
        <v>9997888.388648171</v>
      </c>
      <c r="K111" s="66"/>
    </row>
    <row r="112" spans="2:11">
      <c r="B112" s="67">
        <v>10.8</v>
      </c>
      <c r="C112" s="80">
        <v>24682000</v>
      </c>
      <c r="D112" s="81">
        <v>24855900</v>
      </c>
      <c r="E112" s="81">
        <v>50356500</v>
      </c>
      <c r="F112" s="81">
        <f t="shared" si="1"/>
        <v>99894400</v>
      </c>
      <c r="G112" s="69" t="s">
        <v>191</v>
      </c>
      <c r="H112" s="49"/>
      <c r="I112" s="78">
        <v>10.8</v>
      </c>
      <c r="J112" s="68">
        <v>10101525.32719597</v>
      </c>
      <c r="K112" s="66"/>
    </row>
    <row r="113" spans="2:11">
      <c r="B113" s="67">
        <v>10.9</v>
      </c>
      <c r="C113" s="80">
        <v>24926400</v>
      </c>
      <c r="D113" s="81">
        <v>25099600</v>
      </c>
      <c r="E113" s="81">
        <v>50847000</v>
      </c>
      <c r="F113" s="81">
        <f t="shared" si="1"/>
        <v>100873000</v>
      </c>
      <c r="G113" s="69" t="s">
        <v>191</v>
      </c>
      <c r="H113" s="49"/>
      <c r="I113" s="78">
        <v>10.9</v>
      </c>
      <c r="J113" s="68">
        <v>10205162.26574377</v>
      </c>
      <c r="K113" s="66"/>
    </row>
    <row r="114" spans="2:11">
      <c r="B114" s="67">
        <v>11</v>
      </c>
      <c r="C114" s="80">
        <v>25170800</v>
      </c>
      <c r="D114" s="81">
        <v>25343300</v>
      </c>
      <c r="E114" s="81">
        <v>51337900</v>
      </c>
      <c r="F114" s="81">
        <f t="shared" si="1"/>
        <v>101852000</v>
      </c>
      <c r="G114" s="69" t="s">
        <v>191</v>
      </c>
      <c r="H114" s="49"/>
      <c r="I114" s="78">
        <v>11</v>
      </c>
      <c r="J114" s="68">
        <v>10308799.204291577</v>
      </c>
      <c r="K114" s="66"/>
    </row>
    <row r="115" spans="2:11">
      <c r="B115" s="67">
        <v>11.1</v>
      </c>
      <c r="C115" s="80">
        <v>25418100</v>
      </c>
      <c r="D115" s="81">
        <v>25590200</v>
      </c>
      <c r="E115" s="81">
        <v>51829300</v>
      </c>
      <c r="F115" s="81">
        <f t="shared" si="1"/>
        <v>102837600</v>
      </c>
      <c r="G115" s="69" t="s">
        <v>191</v>
      </c>
      <c r="H115" s="49"/>
      <c r="I115" s="78">
        <v>11.1</v>
      </c>
      <c r="J115" s="68">
        <v>10412436.142839376</v>
      </c>
      <c r="K115" s="66"/>
    </row>
    <row r="116" spans="2:11">
      <c r="B116" s="67">
        <v>11.2</v>
      </c>
      <c r="C116" s="80">
        <v>25665400</v>
      </c>
      <c r="D116" s="81">
        <v>25837100</v>
      </c>
      <c r="E116" s="81">
        <v>52321100</v>
      </c>
      <c r="F116" s="81">
        <f t="shared" si="1"/>
        <v>103823600</v>
      </c>
      <c r="G116" s="69" t="s">
        <v>191</v>
      </c>
      <c r="H116" s="49"/>
      <c r="I116" s="78">
        <v>11.2</v>
      </c>
      <c r="J116" s="68">
        <v>10516073.081387175</v>
      </c>
      <c r="K116" s="66"/>
    </row>
    <row r="117" spans="2:11">
      <c r="B117" s="67">
        <v>11.3</v>
      </c>
      <c r="C117" s="80">
        <v>25912700</v>
      </c>
      <c r="D117" s="81">
        <v>26084000</v>
      </c>
      <c r="E117" s="81">
        <v>52813300</v>
      </c>
      <c r="F117" s="81">
        <f t="shared" si="1"/>
        <v>104810000</v>
      </c>
      <c r="G117" s="69" t="s">
        <v>191</v>
      </c>
      <c r="H117" s="49"/>
      <c r="I117" s="78">
        <v>11.3</v>
      </c>
      <c r="J117" s="68">
        <v>10619710.019934975</v>
      </c>
      <c r="K117" s="66"/>
    </row>
    <row r="118" spans="2:11">
      <c r="B118" s="67">
        <v>11.4</v>
      </c>
      <c r="C118" s="80">
        <v>26160000</v>
      </c>
      <c r="D118" s="81">
        <v>26330900</v>
      </c>
      <c r="E118" s="81">
        <v>53306000</v>
      </c>
      <c r="F118" s="81">
        <f t="shared" si="1"/>
        <v>105796900</v>
      </c>
      <c r="G118" s="69" t="s">
        <v>191</v>
      </c>
      <c r="H118" s="49"/>
      <c r="I118" s="78">
        <v>11.4</v>
      </c>
      <c r="J118" s="68">
        <v>10723346.958482774</v>
      </c>
      <c r="K118" s="66"/>
    </row>
    <row r="119" spans="2:11">
      <c r="B119" s="67">
        <v>11.5</v>
      </c>
      <c r="C119" s="617">
        <v>26407300</v>
      </c>
      <c r="D119" s="81">
        <v>26577800</v>
      </c>
      <c r="E119" s="81">
        <v>53799200</v>
      </c>
      <c r="F119" s="81">
        <f t="shared" si="1"/>
        <v>106784300</v>
      </c>
      <c r="G119" s="69" t="s">
        <v>191</v>
      </c>
      <c r="H119" s="49"/>
      <c r="I119" s="78">
        <v>11.5</v>
      </c>
      <c r="J119" s="68">
        <v>10826983.897030573</v>
      </c>
      <c r="K119" s="66"/>
    </row>
    <row r="120" spans="2:11">
      <c r="B120" s="67">
        <v>11.6</v>
      </c>
      <c r="C120" s="80">
        <v>26654600</v>
      </c>
      <c r="D120" s="81">
        <v>26824700</v>
      </c>
      <c r="E120" s="81">
        <v>54292800</v>
      </c>
      <c r="F120" s="81">
        <f t="shared" si="1"/>
        <v>107772100</v>
      </c>
      <c r="G120" s="69" t="s">
        <v>191</v>
      </c>
      <c r="H120" s="49"/>
      <c r="I120" s="78">
        <v>11.6</v>
      </c>
      <c r="J120" s="68">
        <v>10930620.835578373</v>
      </c>
      <c r="K120" s="66"/>
    </row>
    <row r="121" spans="2:11">
      <c r="B121" s="67">
        <v>11.7</v>
      </c>
      <c r="C121" s="80">
        <v>26901900</v>
      </c>
      <c r="D121" s="81">
        <v>27071600</v>
      </c>
      <c r="E121" s="81">
        <v>54786800</v>
      </c>
      <c r="F121" s="81">
        <f t="shared" si="1"/>
        <v>108760300</v>
      </c>
      <c r="G121" s="69" t="s">
        <v>191</v>
      </c>
      <c r="H121" s="49"/>
      <c r="I121" s="78">
        <v>11.7</v>
      </c>
      <c r="J121" s="68">
        <v>11034257.774126172</v>
      </c>
      <c r="K121" s="66"/>
    </row>
    <row r="122" spans="2:11">
      <c r="B122" s="67">
        <v>11.8</v>
      </c>
      <c r="C122" s="80">
        <v>27149200</v>
      </c>
      <c r="D122" s="81">
        <v>27318500</v>
      </c>
      <c r="E122" s="81">
        <v>55281300</v>
      </c>
      <c r="F122" s="81">
        <f t="shared" si="1"/>
        <v>109749000</v>
      </c>
      <c r="G122" s="69" t="s">
        <v>191</v>
      </c>
      <c r="H122" s="49"/>
      <c r="I122" s="78">
        <v>11.8</v>
      </c>
      <c r="J122" s="68">
        <v>11137894.712673971</v>
      </c>
      <c r="K122" s="66"/>
    </row>
    <row r="123" spans="2:11">
      <c r="B123" s="67">
        <v>11.9</v>
      </c>
      <c r="C123" s="80">
        <v>27396500</v>
      </c>
      <c r="D123" s="81">
        <v>27565400</v>
      </c>
      <c r="E123" s="81">
        <v>55776300</v>
      </c>
      <c r="F123" s="81">
        <f t="shared" si="1"/>
        <v>110738200</v>
      </c>
      <c r="G123" s="69" t="s">
        <v>191</v>
      </c>
      <c r="H123" s="49"/>
      <c r="I123" s="78">
        <v>11.9</v>
      </c>
      <c r="J123" s="68">
        <v>11241531.651221771</v>
      </c>
      <c r="K123" s="66"/>
    </row>
    <row r="124" spans="2:11">
      <c r="B124" s="67">
        <v>12</v>
      </c>
      <c r="C124" s="80">
        <v>27643800</v>
      </c>
      <c r="D124" s="81">
        <v>27812300</v>
      </c>
      <c r="E124" s="81">
        <v>56271700</v>
      </c>
      <c r="F124" s="81">
        <f t="shared" si="1"/>
        <v>111727800</v>
      </c>
      <c r="G124" s="69" t="s">
        <v>191</v>
      </c>
      <c r="H124" s="49"/>
      <c r="I124" s="78">
        <v>12</v>
      </c>
      <c r="J124" s="68">
        <v>11345168.589769578</v>
      </c>
      <c r="K124" s="66"/>
    </row>
    <row r="125" spans="2:11">
      <c r="B125" s="67">
        <v>12.1</v>
      </c>
      <c r="C125" s="80">
        <v>27894300</v>
      </c>
      <c r="D125" s="81">
        <v>28062400</v>
      </c>
      <c r="E125" s="81">
        <v>56767500</v>
      </c>
      <c r="F125" s="81">
        <f t="shared" si="1"/>
        <v>112724200</v>
      </c>
      <c r="G125" s="69" t="s">
        <v>191</v>
      </c>
      <c r="H125" s="49"/>
      <c r="I125" s="78">
        <v>12.1</v>
      </c>
      <c r="J125" s="68">
        <v>11448805.528317377</v>
      </c>
      <c r="K125" s="66"/>
    </row>
    <row r="126" spans="2:11">
      <c r="B126" s="67">
        <v>12.2</v>
      </c>
      <c r="C126" s="80">
        <v>28144800</v>
      </c>
      <c r="D126" s="81">
        <v>28312500</v>
      </c>
      <c r="E126" s="81">
        <v>57263800</v>
      </c>
      <c r="F126" s="81">
        <f t="shared" si="1"/>
        <v>113721100</v>
      </c>
      <c r="G126" s="69" t="s">
        <v>191</v>
      </c>
      <c r="H126" s="49"/>
      <c r="I126" s="78">
        <v>12.2</v>
      </c>
      <c r="J126" s="68">
        <v>11552442.466865176</v>
      </c>
      <c r="K126" s="66"/>
    </row>
    <row r="127" spans="2:11">
      <c r="B127" s="67">
        <v>12.3</v>
      </c>
      <c r="C127" s="80">
        <v>28395300</v>
      </c>
      <c r="D127" s="81">
        <v>28562600</v>
      </c>
      <c r="E127" s="81">
        <v>57760500</v>
      </c>
      <c r="F127" s="81">
        <f t="shared" si="1"/>
        <v>114718400</v>
      </c>
      <c r="G127" s="69" t="s">
        <v>191</v>
      </c>
      <c r="H127" s="49"/>
      <c r="I127" s="78">
        <v>12.3</v>
      </c>
      <c r="J127" s="68">
        <v>11656079.405412976</v>
      </c>
      <c r="K127" s="66"/>
    </row>
    <row r="128" spans="2:11">
      <c r="B128" s="67">
        <v>12.4</v>
      </c>
      <c r="C128" s="80">
        <v>28645800</v>
      </c>
      <c r="D128" s="81">
        <v>28812700</v>
      </c>
      <c r="E128" s="81">
        <v>58257700</v>
      </c>
      <c r="F128" s="81">
        <f t="shared" si="1"/>
        <v>115716200</v>
      </c>
      <c r="G128" s="69" t="s">
        <v>191</v>
      </c>
      <c r="H128" s="49"/>
      <c r="I128" s="78">
        <v>12.4</v>
      </c>
      <c r="J128" s="68">
        <v>11759716.343960775</v>
      </c>
      <c r="K128" s="66"/>
    </row>
    <row r="129" spans="2:11">
      <c r="B129" s="67">
        <v>12.5</v>
      </c>
      <c r="C129" s="80">
        <v>28896300</v>
      </c>
      <c r="D129" s="81">
        <v>29062800</v>
      </c>
      <c r="E129" s="81">
        <v>58755300</v>
      </c>
      <c r="F129" s="81">
        <f t="shared" si="1"/>
        <v>116714400</v>
      </c>
      <c r="G129" s="69" t="s">
        <v>191</v>
      </c>
      <c r="H129" s="49"/>
      <c r="I129" s="78">
        <v>12.5</v>
      </c>
      <c r="J129" s="68">
        <v>11863353.282508574</v>
      </c>
      <c r="K129" s="66"/>
    </row>
    <row r="130" spans="2:11">
      <c r="B130" s="67">
        <v>12.6</v>
      </c>
      <c r="C130" s="80">
        <v>29146800</v>
      </c>
      <c r="D130" s="81">
        <v>29312900</v>
      </c>
      <c r="E130" s="81">
        <v>59253400</v>
      </c>
      <c r="F130" s="81">
        <f t="shared" si="1"/>
        <v>117713100</v>
      </c>
      <c r="G130" s="69" t="s">
        <v>191</v>
      </c>
      <c r="H130" s="49"/>
      <c r="I130" s="78">
        <v>12.6</v>
      </c>
      <c r="J130" s="68">
        <v>11966990.221056374</v>
      </c>
      <c r="K130" s="66"/>
    </row>
    <row r="131" spans="2:11">
      <c r="B131" s="67">
        <v>12.7</v>
      </c>
      <c r="C131" s="80">
        <v>29397300</v>
      </c>
      <c r="D131" s="81">
        <v>29563000</v>
      </c>
      <c r="E131" s="81">
        <v>59752000</v>
      </c>
      <c r="F131" s="81">
        <f t="shared" si="1"/>
        <v>118712300</v>
      </c>
      <c r="G131" s="69" t="s">
        <v>191</v>
      </c>
      <c r="H131" s="49"/>
      <c r="I131" s="78">
        <v>12.7</v>
      </c>
      <c r="J131" s="68">
        <v>12070627.159604173</v>
      </c>
      <c r="K131" s="66"/>
    </row>
    <row r="132" spans="2:11">
      <c r="B132" s="67">
        <v>12.8</v>
      </c>
      <c r="C132" s="80">
        <v>29647800</v>
      </c>
      <c r="D132" s="81">
        <v>29813100</v>
      </c>
      <c r="E132" s="81">
        <v>60250900</v>
      </c>
      <c r="F132" s="81">
        <f t="shared" ref="F132:F195" si="2">C132+D132+E132</f>
        <v>119711800</v>
      </c>
      <c r="G132" s="69" t="s">
        <v>191</v>
      </c>
      <c r="H132" s="49"/>
      <c r="I132" s="78">
        <v>12.8</v>
      </c>
      <c r="J132" s="68">
        <v>12174264.098151973</v>
      </c>
      <c r="K132" s="66"/>
    </row>
    <row r="133" spans="2:11">
      <c r="B133" s="67">
        <v>12.9</v>
      </c>
      <c r="C133" s="80">
        <v>29898300</v>
      </c>
      <c r="D133" s="81">
        <v>30063200</v>
      </c>
      <c r="E133" s="81">
        <v>60750400</v>
      </c>
      <c r="F133" s="81">
        <f t="shared" si="2"/>
        <v>120711900</v>
      </c>
      <c r="G133" s="69" t="s">
        <v>191</v>
      </c>
      <c r="H133" s="49"/>
      <c r="I133" s="78">
        <v>12.9</v>
      </c>
      <c r="J133" s="68">
        <v>12277901.036699772</v>
      </c>
      <c r="K133" s="66"/>
    </row>
    <row r="134" spans="2:11">
      <c r="B134" s="67">
        <v>13</v>
      </c>
      <c r="C134" s="80">
        <v>30148800</v>
      </c>
      <c r="D134" s="81">
        <v>30313300</v>
      </c>
      <c r="E134" s="81">
        <v>61250300</v>
      </c>
      <c r="F134" s="81">
        <f t="shared" si="2"/>
        <v>121712400</v>
      </c>
      <c r="G134" s="69" t="s">
        <v>191</v>
      </c>
      <c r="H134" s="49"/>
      <c r="I134" s="78">
        <v>13</v>
      </c>
      <c r="J134" s="68">
        <v>12381537.975247577</v>
      </c>
      <c r="K134" s="66"/>
    </row>
    <row r="135" spans="2:11">
      <c r="B135" s="67">
        <v>13.1</v>
      </c>
      <c r="C135" s="80">
        <v>30402600</v>
      </c>
      <c r="D135" s="81">
        <v>30566700</v>
      </c>
      <c r="E135" s="81">
        <v>61750600</v>
      </c>
      <c r="F135" s="81">
        <f t="shared" si="2"/>
        <v>122719900</v>
      </c>
      <c r="G135" s="69" t="s">
        <v>191</v>
      </c>
      <c r="H135" s="49"/>
      <c r="I135" s="78">
        <v>13.1</v>
      </c>
      <c r="J135" s="68">
        <v>12485174.913795376</v>
      </c>
      <c r="K135" s="66"/>
    </row>
    <row r="136" spans="2:11">
      <c r="B136" s="67">
        <v>13.2</v>
      </c>
      <c r="C136" s="80">
        <v>30656400</v>
      </c>
      <c r="D136" s="81">
        <v>30820100</v>
      </c>
      <c r="E136" s="81">
        <v>62251400</v>
      </c>
      <c r="F136" s="81">
        <f t="shared" si="2"/>
        <v>123727900</v>
      </c>
      <c r="G136" s="69" t="s">
        <v>191</v>
      </c>
      <c r="H136" s="49"/>
      <c r="I136" s="78">
        <v>13.2</v>
      </c>
      <c r="J136" s="68">
        <v>12588811.852343176</v>
      </c>
      <c r="K136" s="66"/>
    </row>
    <row r="137" spans="2:11">
      <c r="B137" s="67">
        <v>13.3</v>
      </c>
      <c r="C137" s="80">
        <v>30910200</v>
      </c>
      <c r="D137" s="81">
        <v>31073500</v>
      </c>
      <c r="E137" s="81">
        <v>62752600</v>
      </c>
      <c r="F137" s="81">
        <f t="shared" si="2"/>
        <v>124736300</v>
      </c>
      <c r="G137" s="69" t="s">
        <v>191</v>
      </c>
      <c r="H137" s="49"/>
      <c r="I137" s="78">
        <v>13.3</v>
      </c>
      <c r="J137" s="68">
        <v>12692448.790890975</v>
      </c>
      <c r="K137" s="66"/>
    </row>
    <row r="138" spans="2:11">
      <c r="B138" s="67">
        <v>13.4</v>
      </c>
      <c r="C138" s="80">
        <v>31164000</v>
      </c>
      <c r="D138" s="81">
        <v>31326900</v>
      </c>
      <c r="E138" s="81">
        <v>63254300</v>
      </c>
      <c r="F138" s="81">
        <f t="shared" si="2"/>
        <v>125745200</v>
      </c>
      <c r="G138" s="69" t="s">
        <v>191</v>
      </c>
      <c r="H138" s="49"/>
      <c r="I138" s="78">
        <v>13.4</v>
      </c>
      <c r="J138" s="68">
        <v>12796085.729438774</v>
      </c>
      <c r="K138" s="66"/>
    </row>
    <row r="139" spans="2:11">
      <c r="B139" s="67">
        <v>13.5</v>
      </c>
      <c r="C139" s="80">
        <v>31417800</v>
      </c>
      <c r="D139" s="81">
        <v>31580300</v>
      </c>
      <c r="E139" s="81">
        <v>63756500</v>
      </c>
      <c r="F139" s="81">
        <f t="shared" si="2"/>
        <v>126754600</v>
      </c>
      <c r="G139" s="69" t="s">
        <v>191</v>
      </c>
      <c r="H139" s="49"/>
      <c r="I139" s="78">
        <v>13.5</v>
      </c>
      <c r="J139" s="68">
        <v>12899722.667986574</v>
      </c>
      <c r="K139" s="66"/>
    </row>
    <row r="140" spans="2:11">
      <c r="B140" s="67">
        <v>13.6</v>
      </c>
      <c r="C140" s="80">
        <v>31671600</v>
      </c>
      <c r="D140" s="81">
        <v>31833700</v>
      </c>
      <c r="E140" s="81">
        <v>64259000</v>
      </c>
      <c r="F140" s="81">
        <f t="shared" si="2"/>
        <v>127764300</v>
      </c>
      <c r="G140" s="69" t="s">
        <v>191</v>
      </c>
      <c r="H140" s="49"/>
      <c r="I140" s="78">
        <v>13.6</v>
      </c>
      <c r="J140" s="68">
        <v>13003359.606534373</v>
      </c>
      <c r="K140" s="66"/>
    </row>
    <row r="141" spans="2:11">
      <c r="B141" s="67">
        <v>13.7</v>
      </c>
      <c r="C141" s="80">
        <v>31925400</v>
      </c>
      <c r="D141" s="81">
        <v>32087100</v>
      </c>
      <c r="E141" s="81">
        <v>64762100</v>
      </c>
      <c r="F141" s="81">
        <f t="shared" si="2"/>
        <v>128774600</v>
      </c>
      <c r="G141" s="69" t="s">
        <v>191</v>
      </c>
      <c r="H141" s="49"/>
      <c r="I141" s="78">
        <v>13.7</v>
      </c>
      <c r="J141" s="68">
        <v>13106996.545082172</v>
      </c>
      <c r="K141" s="66"/>
    </row>
    <row r="142" spans="2:11">
      <c r="B142" s="67">
        <v>13.8</v>
      </c>
      <c r="C142" s="80">
        <v>32179200</v>
      </c>
      <c r="D142" s="81">
        <v>32340500</v>
      </c>
      <c r="E142" s="81">
        <v>65265600</v>
      </c>
      <c r="F142" s="81">
        <f t="shared" si="2"/>
        <v>129785300</v>
      </c>
      <c r="G142" s="69" t="s">
        <v>191</v>
      </c>
      <c r="H142" s="49"/>
      <c r="I142" s="78">
        <v>13.8</v>
      </c>
      <c r="J142" s="68">
        <v>13210633.483629972</v>
      </c>
      <c r="K142" s="66"/>
    </row>
    <row r="143" spans="2:11">
      <c r="B143" s="67">
        <v>13.9</v>
      </c>
      <c r="C143" s="80">
        <v>32433000</v>
      </c>
      <c r="D143" s="81">
        <v>32593900</v>
      </c>
      <c r="E143" s="81">
        <v>65769500</v>
      </c>
      <c r="F143" s="81">
        <f t="shared" si="2"/>
        <v>130796400</v>
      </c>
      <c r="G143" s="69" t="s">
        <v>191</v>
      </c>
      <c r="H143" s="49"/>
      <c r="I143" s="78">
        <v>13.9</v>
      </c>
      <c r="J143" s="68">
        <v>13314270.422177771</v>
      </c>
      <c r="K143" s="66"/>
    </row>
    <row r="144" spans="2:11">
      <c r="B144" s="67">
        <v>14</v>
      </c>
      <c r="C144" s="80">
        <v>32686800</v>
      </c>
      <c r="D144" s="81">
        <v>32847300</v>
      </c>
      <c r="E144" s="81">
        <v>66273900</v>
      </c>
      <c r="F144" s="81">
        <f t="shared" si="2"/>
        <v>131808000</v>
      </c>
      <c r="G144" s="69" t="s">
        <v>191</v>
      </c>
      <c r="H144" s="49"/>
      <c r="I144" s="78">
        <v>14</v>
      </c>
      <c r="J144" s="68">
        <v>13417907.360725576</v>
      </c>
      <c r="K144" s="66"/>
    </row>
    <row r="145" spans="2:11">
      <c r="B145" s="67">
        <v>14.1</v>
      </c>
      <c r="C145" s="80">
        <v>32943900</v>
      </c>
      <c r="D145" s="81">
        <v>33104000</v>
      </c>
      <c r="E145" s="81">
        <v>66778800</v>
      </c>
      <c r="F145" s="81">
        <f t="shared" si="2"/>
        <v>132826700</v>
      </c>
      <c r="G145" s="69" t="s">
        <v>191</v>
      </c>
      <c r="H145" s="49"/>
      <c r="I145" s="78">
        <v>14.1</v>
      </c>
      <c r="J145" s="68">
        <v>13521544.299273375</v>
      </c>
      <c r="K145" s="66"/>
    </row>
    <row r="146" spans="2:11">
      <c r="B146" s="67">
        <v>14.2</v>
      </c>
      <c r="C146" s="80">
        <v>33201000</v>
      </c>
      <c r="D146" s="81">
        <v>33360700</v>
      </c>
      <c r="E146" s="81">
        <v>67284100</v>
      </c>
      <c r="F146" s="81">
        <f t="shared" si="2"/>
        <v>133845800</v>
      </c>
      <c r="G146" s="69" t="s">
        <v>191</v>
      </c>
      <c r="H146" s="49"/>
      <c r="I146" s="78">
        <v>14.2</v>
      </c>
      <c r="J146" s="68">
        <v>13625181.237821175</v>
      </c>
      <c r="K146" s="66"/>
    </row>
    <row r="147" spans="2:11">
      <c r="B147" s="67">
        <v>14.3</v>
      </c>
      <c r="C147" s="80">
        <v>33458100</v>
      </c>
      <c r="D147" s="81">
        <v>33617400</v>
      </c>
      <c r="E147" s="81">
        <v>67789800</v>
      </c>
      <c r="F147" s="81">
        <f t="shared" si="2"/>
        <v>134865300</v>
      </c>
      <c r="G147" s="69" t="s">
        <v>191</v>
      </c>
      <c r="H147" s="49"/>
      <c r="I147" s="78">
        <v>14.3</v>
      </c>
      <c r="J147" s="68">
        <v>13728818.176368974</v>
      </c>
      <c r="K147" s="66"/>
    </row>
    <row r="148" spans="2:11">
      <c r="B148" s="67">
        <v>14.4</v>
      </c>
      <c r="C148" s="80">
        <v>33715200</v>
      </c>
      <c r="D148" s="81">
        <v>33874100</v>
      </c>
      <c r="E148" s="81">
        <v>68296000</v>
      </c>
      <c r="F148" s="81">
        <f t="shared" si="2"/>
        <v>135885300</v>
      </c>
      <c r="G148" s="69" t="s">
        <v>191</v>
      </c>
      <c r="H148" s="49"/>
      <c r="I148" s="78">
        <v>14.4</v>
      </c>
      <c r="J148" s="68">
        <v>13832455.114916774</v>
      </c>
      <c r="K148" s="66"/>
    </row>
    <row r="149" spans="2:11">
      <c r="B149" s="67">
        <v>14.5</v>
      </c>
      <c r="C149" s="80">
        <v>33972300</v>
      </c>
      <c r="D149" s="81">
        <v>34130800</v>
      </c>
      <c r="E149" s="81">
        <v>68102700</v>
      </c>
      <c r="F149" s="81">
        <f t="shared" si="2"/>
        <v>136205800</v>
      </c>
      <c r="G149" s="69" t="s">
        <v>191</v>
      </c>
      <c r="H149" s="49"/>
      <c r="I149" s="78">
        <v>14.5</v>
      </c>
      <c r="J149" s="68">
        <v>13936092.053464573</v>
      </c>
      <c r="K149" s="66"/>
    </row>
    <row r="150" spans="2:11">
      <c r="B150" s="67">
        <v>14.6</v>
      </c>
      <c r="C150" s="80">
        <v>34229400</v>
      </c>
      <c r="D150" s="81">
        <v>34387500</v>
      </c>
      <c r="E150" s="81">
        <v>69309800</v>
      </c>
      <c r="F150" s="81">
        <f t="shared" si="2"/>
        <v>137926700</v>
      </c>
      <c r="G150" s="69" t="s">
        <v>191</v>
      </c>
      <c r="H150" s="49"/>
      <c r="I150" s="78">
        <v>14.6</v>
      </c>
      <c r="J150" s="68">
        <v>14039728.992012372</v>
      </c>
      <c r="K150" s="66"/>
    </row>
    <row r="151" spans="2:11">
      <c r="B151" s="67">
        <v>14.7</v>
      </c>
      <c r="C151" s="80">
        <v>34486500</v>
      </c>
      <c r="D151" s="81">
        <v>34644200</v>
      </c>
      <c r="E151" s="81">
        <v>69817400</v>
      </c>
      <c r="F151" s="81">
        <f t="shared" si="2"/>
        <v>138948100</v>
      </c>
      <c r="G151" s="69" t="s">
        <v>191</v>
      </c>
      <c r="H151" s="49"/>
      <c r="I151" s="78">
        <v>14.7</v>
      </c>
      <c r="J151" s="68">
        <v>14143365.930560172</v>
      </c>
      <c r="K151" s="66"/>
    </row>
    <row r="152" spans="2:11">
      <c r="B152" s="67">
        <v>14.8</v>
      </c>
      <c r="C152" s="80">
        <v>34743600</v>
      </c>
      <c r="D152" s="81">
        <v>34900900</v>
      </c>
      <c r="E152" s="81">
        <v>70325400</v>
      </c>
      <c r="F152" s="81">
        <f t="shared" si="2"/>
        <v>139969900</v>
      </c>
      <c r="G152" s="69" t="s">
        <v>191</v>
      </c>
      <c r="H152" s="49"/>
      <c r="I152" s="78">
        <v>14.8</v>
      </c>
      <c r="J152" s="68">
        <v>14247002.869107971</v>
      </c>
      <c r="K152" s="66"/>
    </row>
    <row r="153" spans="2:11">
      <c r="B153" s="67">
        <v>14.9</v>
      </c>
      <c r="C153" s="80">
        <v>35000700</v>
      </c>
      <c r="D153" s="81">
        <v>35157600</v>
      </c>
      <c r="E153" s="81">
        <v>70833900</v>
      </c>
      <c r="F153" s="81">
        <f t="shared" si="2"/>
        <v>140992200</v>
      </c>
      <c r="G153" s="69" t="s">
        <v>191</v>
      </c>
      <c r="H153" s="49"/>
      <c r="I153" s="78">
        <v>14.9</v>
      </c>
      <c r="J153" s="68">
        <v>14350639.80765577</v>
      </c>
      <c r="K153" s="66"/>
    </row>
    <row r="154" spans="2:11">
      <c r="B154" s="67">
        <v>15</v>
      </c>
      <c r="C154" s="80">
        <v>35257800</v>
      </c>
      <c r="D154" s="81">
        <v>35414300</v>
      </c>
      <c r="E154" s="81">
        <v>71342800</v>
      </c>
      <c r="F154" s="81">
        <f t="shared" si="2"/>
        <v>142014900</v>
      </c>
      <c r="G154" s="69" t="s">
        <v>191</v>
      </c>
      <c r="H154" s="49"/>
      <c r="I154" s="78">
        <v>15</v>
      </c>
      <c r="J154" s="68">
        <v>14454276.746203575</v>
      </c>
      <c r="K154" s="66"/>
    </row>
    <row r="155" spans="2:11">
      <c r="B155" s="67">
        <v>15.1</v>
      </c>
      <c r="C155" s="80">
        <v>35518200</v>
      </c>
      <c r="D155" s="81">
        <v>35674300</v>
      </c>
      <c r="E155" s="81">
        <v>71852200</v>
      </c>
      <c r="F155" s="81">
        <f t="shared" si="2"/>
        <v>143044700</v>
      </c>
      <c r="G155" s="69" t="s">
        <v>191</v>
      </c>
      <c r="H155" s="49"/>
      <c r="I155" s="78">
        <v>15.1</v>
      </c>
      <c r="J155" s="68">
        <v>14557913.684751375</v>
      </c>
      <c r="K155" s="66"/>
    </row>
    <row r="156" spans="2:11">
      <c r="B156" s="67">
        <v>15.2</v>
      </c>
      <c r="C156" s="80">
        <v>35778600</v>
      </c>
      <c r="D156" s="81">
        <v>35934300</v>
      </c>
      <c r="E156" s="81">
        <v>72362100</v>
      </c>
      <c r="F156" s="81">
        <f t="shared" si="2"/>
        <v>144075000</v>
      </c>
      <c r="G156" s="69" t="s">
        <v>191</v>
      </c>
      <c r="H156" s="49"/>
      <c r="I156" s="78">
        <v>15.2</v>
      </c>
      <c r="J156" s="68">
        <v>14661550.623299174</v>
      </c>
      <c r="K156" s="66"/>
    </row>
    <row r="157" spans="2:11">
      <c r="B157" s="67">
        <v>15.3</v>
      </c>
      <c r="C157" s="80">
        <v>36039000</v>
      </c>
      <c r="D157" s="81">
        <v>36194300</v>
      </c>
      <c r="E157" s="81">
        <v>72872400</v>
      </c>
      <c r="F157" s="81">
        <f t="shared" si="2"/>
        <v>145105700</v>
      </c>
      <c r="G157" s="69" t="s">
        <v>191</v>
      </c>
      <c r="H157" s="49"/>
      <c r="I157" s="78">
        <v>15.3</v>
      </c>
      <c r="J157" s="68">
        <v>14765187.561846973</v>
      </c>
      <c r="K157" s="66"/>
    </row>
    <row r="158" spans="2:11">
      <c r="B158" s="67">
        <v>15.4</v>
      </c>
      <c r="C158" s="80">
        <v>36299400</v>
      </c>
      <c r="D158" s="81">
        <v>36454300</v>
      </c>
      <c r="E158" s="81">
        <v>73383100</v>
      </c>
      <c r="F158" s="81">
        <f t="shared" si="2"/>
        <v>146136800</v>
      </c>
      <c r="G158" s="69" t="s">
        <v>191</v>
      </c>
      <c r="H158" s="49"/>
      <c r="I158" s="78">
        <v>15.4</v>
      </c>
      <c r="J158" s="68">
        <v>14868824.500394773</v>
      </c>
      <c r="K158" s="66"/>
    </row>
    <row r="159" spans="2:11">
      <c r="B159" s="67">
        <v>15.5</v>
      </c>
      <c r="C159" s="80">
        <v>36559800</v>
      </c>
      <c r="D159" s="81">
        <v>36714300</v>
      </c>
      <c r="E159" s="81">
        <v>73894300</v>
      </c>
      <c r="F159" s="81">
        <f t="shared" si="2"/>
        <v>147168400</v>
      </c>
      <c r="G159" s="69" t="s">
        <v>191</v>
      </c>
      <c r="H159" s="49"/>
      <c r="I159" s="78">
        <v>15.5</v>
      </c>
      <c r="J159" s="68">
        <v>14972461.438942572</v>
      </c>
      <c r="K159" s="66"/>
    </row>
    <row r="160" spans="2:11">
      <c r="B160" s="67">
        <v>15.6</v>
      </c>
      <c r="C160" s="80">
        <v>36820200</v>
      </c>
      <c r="D160" s="81">
        <v>36974300</v>
      </c>
      <c r="E160" s="81">
        <v>74406000</v>
      </c>
      <c r="F160" s="81">
        <f t="shared" si="2"/>
        <v>148200500</v>
      </c>
      <c r="G160" s="69" t="s">
        <v>191</v>
      </c>
      <c r="H160" s="49"/>
      <c r="I160" s="78">
        <v>15.6</v>
      </c>
      <c r="J160" s="68">
        <v>15076098.377490371</v>
      </c>
      <c r="K160" s="66"/>
    </row>
    <row r="161" spans="2:11">
      <c r="B161" s="67">
        <v>15.7</v>
      </c>
      <c r="C161" s="80">
        <v>37080600</v>
      </c>
      <c r="D161" s="81">
        <v>36234300</v>
      </c>
      <c r="E161" s="81">
        <v>74918100</v>
      </c>
      <c r="F161" s="81">
        <f t="shared" si="2"/>
        <v>148233000</v>
      </c>
      <c r="G161" s="69" t="s">
        <v>191</v>
      </c>
      <c r="H161" s="49"/>
      <c r="I161" s="78">
        <v>15.7</v>
      </c>
      <c r="J161" s="68">
        <v>15179735.316038171</v>
      </c>
      <c r="K161" s="66"/>
    </row>
    <row r="162" spans="2:11">
      <c r="B162" s="67">
        <v>15.8</v>
      </c>
      <c r="C162" s="80">
        <v>37341000</v>
      </c>
      <c r="D162" s="81">
        <v>37494300</v>
      </c>
      <c r="E162" s="81">
        <v>75430600</v>
      </c>
      <c r="F162" s="81">
        <f t="shared" si="2"/>
        <v>150265900</v>
      </c>
      <c r="G162" s="69" t="s">
        <v>191</v>
      </c>
      <c r="H162" s="49"/>
      <c r="I162" s="78">
        <v>15.8</v>
      </c>
      <c r="J162" s="68">
        <v>15283372.25458597</v>
      </c>
      <c r="K162" s="66"/>
    </row>
    <row r="163" spans="2:11">
      <c r="B163" s="67">
        <v>15.9</v>
      </c>
      <c r="C163" s="80">
        <v>37601400</v>
      </c>
      <c r="D163" s="81">
        <v>37754300</v>
      </c>
      <c r="E163" s="81">
        <v>75943700</v>
      </c>
      <c r="F163" s="81">
        <f t="shared" si="2"/>
        <v>151299400</v>
      </c>
      <c r="G163" s="69" t="s">
        <v>191</v>
      </c>
      <c r="H163" s="49"/>
      <c r="I163" s="78">
        <v>15.9</v>
      </c>
      <c r="J163" s="68">
        <v>15387009.19313377</v>
      </c>
      <c r="K163" s="66"/>
    </row>
    <row r="164" spans="2:11">
      <c r="B164" s="67">
        <v>16</v>
      </c>
      <c r="C164" s="80">
        <v>37861800</v>
      </c>
      <c r="D164" s="81">
        <v>38014300</v>
      </c>
      <c r="E164" s="81">
        <v>76457200</v>
      </c>
      <c r="F164" s="81">
        <f t="shared" si="2"/>
        <v>152333300</v>
      </c>
      <c r="G164" s="69" t="s">
        <v>191</v>
      </c>
      <c r="H164" s="49"/>
      <c r="I164" s="78">
        <v>16</v>
      </c>
      <c r="J164" s="68">
        <v>15490646.131681576</v>
      </c>
      <c r="K164" s="66"/>
    </row>
    <row r="165" spans="2:11">
      <c r="B165" s="67">
        <v>16.100000000000001</v>
      </c>
      <c r="C165" s="80">
        <v>38125500</v>
      </c>
      <c r="D165" s="81">
        <v>38277600</v>
      </c>
      <c r="E165" s="81">
        <v>76971100</v>
      </c>
      <c r="F165" s="81">
        <f t="shared" si="2"/>
        <v>153374200</v>
      </c>
      <c r="G165" s="69" t="s">
        <v>191</v>
      </c>
      <c r="H165" s="49"/>
      <c r="I165" s="78">
        <v>16.100000000000001</v>
      </c>
      <c r="J165" s="68">
        <v>15594283.070229376</v>
      </c>
      <c r="K165" s="66"/>
    </row>
    <row r="166" spans="2:11">
      <c r="B166" s="67">
        <v>16.2</v>
      </c>
      <c r="C166" s="80">
        <v>38389200</v>
      </c>
      <c r="D166" s="81">
        <v>38540900</v>
      </c>
      <c r="E166" s="81">
        <v>77485500</v>
      </c>
      <c r="F166" s="81">
        <f t="shared" si="2"/>
        <v>154415600</v>
      </c>
      <c r="G166" s="69" t="s">
        <v>191</v>
      </c>
      <c r="H166" s="49"/>
      <c r="I166" s="78">
        <v>16.2</v>
      </c>
      <c r="J166" s="68">
        <v>15697920.008777175</v>
      </c>
      <c r="K166" s="66"/>
    </row>
    <row r="167" spans="2:11">
      <c r="B167" s="67">
        <v>16.3</v>
      </c>
      <c r="C167" s="80">
        <v>38652900</v>
      </c>
      <c r="D167" s="81">
        <v>38804200</v>
      </c>
      <c r="E167" s="81">
        <v>78000300</v>
      </c>
      <c r="F167" s="81">
        <f t="shared" si="2"/>
        <v>155457400</v>
      </c>
      <c r="G167" s="69" t="s">
        <v>191</v>
      </c>
      <c r="H167" s="49"/>
      <c r="I167" s="78">
        <v>16.3</v>
      </c>
      <c r="J167" s="68">
        <v>15801556.947324974</v>
      </c>
      <c r="K167" s="66"/>
    </row>
    <row r="168" spans="2:11">
      <c r="B168" s="67">
        <v>16.399999999999999</v>
      </c>
      <c r="C168" s="80">
        <v>38916600</v>
      </c>
      <c r="D168" s="81">
        <v>39067500</v>
      </c>
      <c r="E168" s="81">
        <v>78515600</v>
      </c>
      <c r="F168" s="81">
        <f t="shared" si="2"/>
        <v>156499700</v>
      </c>
      <c r="G168" s="69" t="s">
        <v>191</v>
      </c>
      <c r="H168" s="49"/>
      <c r="I168" s="78">
        <v>16.399999999999999</v>
      </c>
      <c r="J168" s="68">
        <v>15905193.885872774</v>
      </c>
      <c r="K168" s="66"/>
    </row>
    <row r="169" spans="2:11">
      <c r="B169" s="67">
        <v>16.5</v>
      </c>
      <c r="C169" s="80">
        <v>39180300</v>
      </c>
      <c r="D169" s="81">
        <v>39330800</v>
      </c>
      <c r="E169" s="81">
        <v>79031400</v>
      </c>
      <c r="F169" s="81">
        <f t="shared" si="2"/>
        <v>157542500</v>
      </c>
      <c r="G169" s="69" t="s">
        <v>191</v>
      </c>
      <c r="H169" s="49"/>
      <c r="I169" s="78">
        <v>16.5</v>
      </c>
      <c r="J169" s="68">
        <v>16008830.824420573</v>
      </c>
      <c r="K169" s="66"/>
    </row>
    <row r="170" spans="2:11">
      <c r="B170" s="67">
        <v>16.600000000000001</v>
      </c>
      <c r="C170" s="80">
        <v>39444000</v>
      </c>
      <c r="D170" s="81">
        <v>39594100</v>
      </c>
      <c r="E170" s="81">
        <v>79547600</v>
      </c>
      <c r="F170" s="81">
        <f t="shared" si="2"/>
        <v>158585700</v>
      </c>
      <c r="G170" s="69" t="s">
        <v>191</v>
      </c>
      <c r="H170" s="49"/>
      <c r="I170" s="78">
        <v>16.600000000000001</v>
      </c>
      <c r="J170" s="68">
        <v>16112467.762968373</v>
      </c>
      <c r="K170" s="66"/>
    </row>
    <row r="171" spans="2:11">
      <c r="B171" s="67">
        <v>16.7</v>
      </c>
      <c r="C171" s="80">
        <v>39707700</v>
      </c>
      <c r="D171" s="81">
        <v>39857400</v>
      </c>
      <c r="E171" s="81">
        <v>80064300</v>
      </c>
      <c r="F171" s="81">
        <f t="shared" si="2"/>
        <v>159629400</v>
      </c>
      <c r="G171" s="69" t="s">
        <v>191</v>
      </c>
      <c r="H171" s="49"/>
      <c r="I171" s="78">
        <v>16.7</v>
      </c>
      <c r="J171" s="68">
        <v>16216104.701516172</v>
      </c>
      <c r="K171" s="66"/>
    </row>
    <row r="172" spans="2:11">
      <c r="B172" s="67">
        <v>16.8</v>
      </c>
      <c r="C172" s="80">
        <v>39971400</v>
      </c>
      <c r="D172" s="81">
        <v>40120700</v>
      </c>
      <c r="E172" s="81">
        <v>80581500</v>
      </c>
      <c r="F172" s="81">
        <f t="shared" si="2"/>
        <v>160673600</v>
      </c>
      <c r="G172" s="69" t="s">
        <v>191</v>
      </c>
      <c r="H172" s="49"/>
      <c r="I172" s="78">
        <v>16.8</v>
      </c>
      <c r="J172" s="68">
        <v>16319741.640063971</v>
      </c>
      <c r="K172" s="66"/>
    </row>
    <row r="173" spans="2:11">
      <c r="B173" s="67">
        <v>16.899999999999999</v>
      </c>
      <c r="C173" s="80">
        <v>40235100</v>
      </c>
      <c r="D173" s="81">
        <v>40384000</v>
      </c>
      <c r="E173" s="81">
        <v>81099000</v>
      </c>
      <c r="F173" s="81">
        <f t="shared" si="2"/>
        <v>161718100</v>
      </c>
      <c r="G173" s="69" t="s">
        <v>191</v>
      </c>
      <c r="H173" s="49"/>
      <c r="I173" s="78">
        <v>16.899999999999999</v>
      </c>
      <c r="J173" s="68">
        <v>16423378.578611771</v>
      </c>
      <c r="K173" s="66"/>
    </row>
    <row r="174" spans="2:11">
      <c r="B174" s="67">
        <v>17</v>
      </c>
      <c r="C174" s="80">
        <v>40498800</v>
      </c>
      <c r="D174" s="81">
        <v>40647300</v>
      </c>
      <c r="E174" s="81">
        <v>81617100</v>
      </c>
      <c r="F174" s="81">
        <f t="shared" si="2"/>
        <v>162763200</v>
      </c>
      <c r="G174" s="69" t="s">
        <v>191</v>
      </c>
      <c r="H174" s="49"/>
      <c r="I174" s="78">
        <v>17</v>
      </c>
      <c r="J174" s="68">
        <v>16527015.517159576</v>
      </c>
      <c r="K174" s="66"/>
    </row>
    <row r="175" spans="2:11">
      <c r="B175" s="67">
        <v>17.100000000000001</v>
      </c>
      <c r="C175" s="80">
        <v>40765900</v>
      </c>
      <c r="D175" s="81">
        <v>40913800</v>
      </c>
      <c r="E175" s="81">
        <v>82135600</v>
      </c>
      <c r="F175" s="81">
        <f t="shared" si="2"/>
        <v>163815300</v>
      </c>
      <c r="G175" s="69" t="s">
        <v>191</v>
      </c>
      <c r="H175" s="49"/>
      <c r="I175" s="78">
        <v>17.100000000000001</v>
      </c>
      <c r="J175" s="68">
        <v>16630652.455707375</v>
      </c>
      <c r="K175" s="66"/>
    </row>
    <row r="176" spans="2:11">
      <c r="B176" s="67">
        <v>17.2</v>
      </c>
      <c r="C176" s="80">
        <v>41033000</v>
      </c>
      <c r="D176" s="81">
        <v>41180500</v>
      </c>
      <c r="E176" s="81">
        <v>82654600</v>
      </c>
      <c r="F176" s="81">
        <f t="shared" si="2"/>
        <v>164868100</v>
      </c>
      <c r="G176" s="69" t="s">
        <v>191</v>
      </c>
      <c r="H176" s="49"/>
      <c r="I176" s="78">
        <v>17.2</v>
      </c>
      <c r="J176" s="68">
        <v>16734289.394255174</v>
      </c>
      <c r="K176" s="66"/>
    </row>
    <row r="177" spans="2:11">
      <c r="B177" s="67">
        <v>17.3</v>
      </c>
      <c r="C177" s="80">
        <v>41300100</v>
      </c>
      <c r="D177" s="81">
        <v>41447100</v>
      </c>
      <c r="E177" s="81">
        <v>83174000</v>
      </c>
      <c r="F177" s="81">
        <f t="shared" si="2"/>
        <v>165921200</v>
      </c>
      <c r="G177" s="69" t="s">
        <v>191</v>
      </c>
      <c r="H177" s="49"/>
      <c r="I177" s="78">
        <v>17.3</v>
      </c>
      <c r="J177" s="68">
        <v>16837926.332802974</v>
      </c>
      <c r="K177" s="66"/>
    </row>
    <row r="178" spans="2:11">
      <c r="B178" s="67">
        <v>17.399999999999999</v>
      </c>
      <c r="C178" s="80">
        <v>41567200</v>
      </c>
      <c r="D178" s="81">
        <v>41713700</v>
      </c>
      <c r="E178" s="81">
        <v>83693900</v>
      </c>
      <c r="F178" s="81">
        <f t="shared" si="2"/>
        <v>166974800</v>
      </c>
      <c r="G178" s="69" t="s">
        <v>191</v>
      </c>
      <c r="H178" s="49"/>
      <c r="I178" s="78">
        <v>17.399999999999999</v>
      </c>
      <c r="J178" s="68">
        <v>16941563.271350775</v>
      </c>
      <c r="K178" s="66"/>
    </row>
    <row r="179" spans="2:11">
      <c r="B179" s="67">
        <v>17.5</v>
      </c>
      <c r="C179" s="80">
        <v>41834300</v>
      </c>
      <c r="D179" s="81">
        <v>41980300</v>
      </c>
      <c r="E179" s="81">
        <v>84214200</v>
      </c>
      <c r="F179" s="81">
        <f t="shared" si="2"/>
        <v>168028800</v>
      </c>
      <c r="G179" s="69" t="s">
        <v>191</v>
      </c>
      <c r="H179" s="49"/>
      <c r="I179" s="78">
        <v>17.5</v>
      </c>
      <c r="J179" s="68">
        <v>17045200.209898576</v>
      </c>
      <c r="K179" s="66"/>
    </row>
    <row r="180" spans="2:11">
      <c r="B180" s="67">
        <v>17.600000000000001</v>
      </c>
      <c r="C180" s="80">
        <v>42101400</v>
      </c>
      <c r="D180" s="81">
        <v>42246900</v>
      </c>
      <c r="E180" s="81">
        <v>84735000</v>
      </c>
      <c r="F180" s="81">
        <f t="shared" si="2"/>
        <v>169083300</v>
      </c>
      <c r="G180" s="69" t="s">
        <v>191</v>
      </c>
      <c r="H180" s="49"/>
      <c r="I180" s="78">
        <v>17.600000000000001</v>
      </c>
      <c r="J180" s="68">
        <v>17148837.148446377</v>
      </c>
      <c r="K180" s="66"/>
    </row>
    <row r="181" spans="2:11">
      <c r="B181" s="67">
        <v>17.7</v>
      </c>
      <c r="C181" s="80">
        <v>42368500</v>
      </c>
      <c r="D181" s="81">
        <v>42513900</v>
      </c>
      <c r="E181" s="81">
        <v>85256300</v>
      </c>
      <c r="F181" s="81">
        <f t="shared" si="2"/>
        <v>170138700</v>
      </c>
      <c r="G181" s="69" t="s">
        <v>191</v>
      </c>
      <c r="H181" s="49"/>
      <c r="I181" s="78">
        <v>17.7</v>
      </c>
      <c r="J181" s="68">
        <v>17252474.086994179</v>
      </c>
      <c r="K181" s="66"/>
    </row>
    <row r="182" spans="2:11">
      <c r="B182" s="67">
        <v>17.8</v>
      </c>
      <c r="C182" s="80">
        <v>42635600</v>
      </c>
      <c r="D182" s="81">
        <v>42780100</v>
      </c>
      <c r="E182" s="81">
        <v>85778000</v>
      </c>
      <c r="F182" s="81">
        <f t="shared" si="2"/>
        <v>171193700</v>
      </c>
      <c r="G182" s="69" t="s">
        <v>191</v>
      </c>
      <c r="H182" s="49"/>
      <c r="I182" s="78">
        <v>17.799999999999901</v>
      </c>
      <c r="J182" s="68">
        <v>17356111.02554198</v>
      </c>
      <c r="K182" s="66"/>
    </row>
    <row r="183" spans="2:11">
      <c r="B183" s="67">
        <v>17.899999999999999</v>
      </c>
      <c r="C183" s="80">
        <v>42902700</v>
      </c>
      <c r="D183" s="81">
        <v>43046700</v>
      </c>
      <c r="E183" s="81">
        <v>86300200</v>
      </c>
      <c r="F183" s="81">
        <f t="shared" si="2"/>
        <v>172249600</v>
      </c>
      <c r="G183" s="69" t="s">
        <v>191</v>
      </c>
      <c r="H183" s="49"/>
      <c r="I183" s="78">
        <v>17.899999999999899</v>
      </c>
      <c r="J183" s="68">
        <v>17459747.964089781</v>
      </c>
      <c r="K183" s="66"/>
    </row>
    <row r="184" spans="2:11">
      <c r="B184" s="67">
        <v>18</v>
      </c>
      <c r="C184" s="80">
        <v>43169800</v>
      </c>
      <c r="D184" s="81">
        <v>43313300</v>
      </c>
      <c r="E184" s="81">
        <v>86822800</v>
      </c>
      <c r="F184" s="81">
        <f t="shared" si="2"/>
        <v>173305900</v>
      </c>
      <c r="G184" s="69" t="s">
        <v>191</v>
      </c>
      <c r="H184" s="49"/>
      <c r="I184" s="78">
        <v>17.999999999999901</v>
      </c>
      <c r="J184" s="68">
        <v>17563384.902637575</v>
      </c>
      <c r="K184" s="66"/>
    </row>
    <row r="185" spans="2:11">
      <c r="B185" s="67">
        <v>18.100000000000001</v>
      </c>
      <c r="C185" s="80">
        <v>43440300</v>
      </c>
      <c r="D185" s="81">
        <v>43583300</v>
      </c>
      <c r="E185" s="81">
        <v>87345900</v>
      </c>
      <c r="F185" s="81">
        <f t="shared" si="2"/>
        <v>174369500</v>
      </c>
      <c r="G185" s="69" t="s">
        <v>191</v>
      </c>
      <c r="H185" s="49"/>
      <c r="I185" s="78">
        <v>18.099999999999898</v>
      </c>
      <c r="J185" s="68">
        <v>17667021.841185376</v>
      </c>
      <c r="K185" s="66"/>
    </row>
    <row r="186" spans="2:11">
      <c r="B186" s="67">
        <v>18.2</v>
      </c>
      <c r="C186" s="80">
        <v>43710800</v>
      </c>
      <c r="D186" s="81">
        <v>43853300</v>
      </c>
      <c r="E186" s="81">
        <v>87869500</v>
      </c>
      <c r="F186" s="81">
        <f t="shared" si="2"/>
        <v>175433600</v>
      </c>
      <c r="G186" s="69" t="s">
        <v>191</v>
      </c>
      <c r="H186" s="49"/>
      <c r="I186" s="78">
        <v>18.1999999999999</v>
      </c>
      <c r="J186" s="68">
        <v>17770658.779733177</v>
      </c>
      <c r="K186" s="66"/>
    </row>
    <row r="187" spans="2:11">
      <c r="B187" s="67">
        <v>18.3</v>
      </c>
      <c r="C187" s="80">
        <v>43981300</v>
      </c>
      <c r="D187" s="81">
        <v>44123300</v>
      </c>
      <c r="E187" s="81">
        <v>88393500</v>
      </c>
      <c r="F187" s="81">
        <f t="shared" si="2"/>
        <v>176498100</v>
      </c>
      <c r="G187" s="69" t="s">
        <v>191</v>
      </c>
      <c r="H187" s="49"/>
      <c r="I187" s="78">
        <v>18.299999999999901</v>
      </c>
      <c r="J187" s="68">
        <v>17874295.718280979</v>
      </c>
      <c r="K187" s="66"/>
    </row>
    <row r="188" spans="2:11">
      <c r="B188" s="67">
        <v>18.399999999999999</v>
      </c>
      <c r="C188" s="80">
        <v>44251800</v>
      </c>
      <c r="D188" s="81">
        <v>44393300</v>
      </c>
      <c r="E188" s="81">
        <v>88918000</v>
      </c>
      <c r="F188" s="81">
        <f t="shared" si="2"/>
        <v>177563100</v>
      </c>
      <c r="G188" s="69" t="s">
        <v>191</v>
      </c>
      <c r="H188" s="49"/>
      <c r="I188" s="78">
        <v>18.399999999999899</v>
      </c>
      <c r="J188" s="68">
        <v>17977932.65682878</v>
      </c>
      <c r="K188" s="66"/>
    </row>
    <row r="189" spans="2:11">
      <c r="B189" s="67">
        <v>18.5</v>
      </c>
      <c r="C189" s="80">
        <v>44522300</v>
      </c>
      <c r="D189" s="81">
        <v>44663300</v>
      </c>
      <c r="E189" s="81">
        <v>89443000</v>
      </c>
      <c r="F189" s="81">
        <f t="shared" si="2"/>
        <v>178628600</v>
      </c>
      <c r="G189" s="69" t="s">
        <v>191</v>
      </c>
      <c r="H189" s="49"/>
      <c r="I189" s="78">
        <v>18.499999999999901</v>
      </c>
      <c r="J189" s="68">
        <v>18081569.595376581</v>
      </c>
      <c r="K189" s="66"/>
    </row>
    <row r="190" spans="2:11">
      <c r="B190" s="67">
        <v>18.600000000000001</v>
      </c>
      <c r="C190" s="80">
        <v>44792800</v>
      </c>
      <c r="D190" s="81">
        <v>44933300</v>
      </c>
      <c r="E190" s="81">
        <v>89968400</v>
      </c>
      <c r="F190" s="81">
        <f t="shared" si="2"/>
        <v>179694500</v>
      </c>
      <c r="G190" s="69" t="s">
        <v>191</v>
      </c>
      <c r="H190" s="49"/>
      <c r="I190" s="78">
        <v>18.599999999999898</v>
      </c>
      <c r="J190" s="68">
        <v>18185206.533924382</v>
      </c>
      <c r="K190" s="66"/>
    </row>
    <row r="191" spans="2:11">
      <c r="B191" s="67">
        <v>18.7</v>
      </c>
      <c r="C191" s="80">
        <v>45063300</v>
      </c>
      <c r="D191" s="81">
        <v>45203300</v>
      </c>
      <c r="E191" s="81">
        <v>90494200</v>
      </c>
      <c r="F191" s="81">
        <f t="shared" si="2"/>
        <v>180760800</v>
      </c>
      <c r="G191" s="69" t="s">
        <v>191</v>
      </c>
      <c r="H191" s="49"/>
      <c r="I191" s="78">
        <v>18.6999999999999</v>
      </c>
      <c r="J191" s="68">
        <v>18288843.472472183</v>
      </c>
      <c r="K191" s="66"/>
    </row>
    <row r="192" spans="2:11">
      <c r="B192" s="67">
        <v>18.8</v>
      </c>
      <c r="C192" s="80">
        <v>45333800</v>
      </c>
      <c r="D192" s="81">
        <v>45473300</v>
      </c>
      <c r="E192" s="81">
        <v>91020600</v>
      </c>
      <c r="F192" s="81">
        <f t="shared" si="2"/>
        <v>181827700</v>
      </c>
      <c r="G192" s="69" t="s">
        <v>191</v>
      </c>
      <c r="H192" s="49"/>
      <c r="I192" s="78">
        <v>18.799999999999901</v>
      </c>
      <c r="J192" s="68">
        <v>18392480.411019985</v>
      </c>
      <c r="K192" s="66"/>
    </row>
    <row r="193" spans="2:11">
      <c r="B193" s="67">
        <v>18.899999999999999</v>
      </c>
      <c r="C193" s="80">
        <v>45604800</v>
      </c>
      <c r="D193" s="81">
        <v>45743300</v>
      </c>
      <c r="E193" s="81">
        <v>91547300</v>
      </c>
      <c r="F193" s="81">
        <f t="shared" si="2"/>
        <v>182895400</v>
      </c>
      <c r="G193" s="69" t="s">
        <v>191</v>
      </c>
      <c r="H193" s="49"/>
      <c r="I193" s="78">
        <v>18.899999999999899</v>
      </c>
      <c r="J193" s="68">
        <v>18496117.349567786</v>
      </c>
      <c r="K193" s="66"/>
    </row>
    <row r="194" spans="2:11">
      <c r="B194" s="67">
        <v>19</v>
      </c>
      <c r="C194" s="80">
        <v>45874800</v>
      </c>
      <c r="D194" s="81">
        <v>46013300</v>
      </c>
      <c r="E194" s="81">
        <v>92074600</v>
      </c>
      <c r="F194" s="81">
        <f t="shared" si="2"/>
        <v>183962700</v>
      </c>
      <c r="G194" s="69" t="s">
        <v>191</v>
      </c>
      <c r="H194" s="49"/>
      <c r="I194" s="78">
        <v>18.999999999999901</v>
      </c>
      <c r="J194" s="68">
        <v>18599754.288115572</v>
      </c>
      <c r="K194" s="66"/>
    </row>
    <row r="195" spans="2:11">
      <c r="B195" s="67">
        <v>19.100000000000001</v>
      </c>
      <c r="C195" s="80">
        <v>46148600</v>
      </c>
      <c r="D195" s="81">
        <v>46286700</v>
      </c>
      <c r="E195" s="81">
        <v>92602300</v>
      </c>
      <c r="F195" s="81">
        <f t="shared" si="2"/>
        <v>185037600</v>
      </c>
      <c r="G195" s="69" t="s">
        <v>191</v>
      </c>
      <c r="H195" s="49"/>
      <c r="I195" s="78">
        <v>19.099999999999898</v>
      </c>
      <c r="J195" s="68">
        <v>18703391.226663373</v>
      </c>
      <c r="K195" s="66"/>
    </row>
    <row r="196" spans="2:11">
      <c r="B196" s="67">
        <v>19.2</v>
      </c>
      <c r="C196" s="80">
        <v>46422400</v>
      </c>
      <c r="D196" s="81">
        <v>46560100</v>
      </c>
      <c r="E196" s="81">
        <v>93130500</v>
      </c>
      <c r="F196" s="81">
        <f t="shared" ref="F196:F233" si="3">C196+D196+E196</f>
        <v>186113000</v>
      </c>
      <c r="G196" s="69" t="s">
        <v>191</v>
      </c>
      <c r="H196" s="49"/>
      <c r="I196" s="78">
        <v>19.1999999999999</v>
      </c>
      <c r="J196" s="68">
        <v>18807028.165211175</v>
      </c>
      <c r="K196" s="66"/>
    </row>
    <row r="197" spans="2:11">
      <c r="B197" s="67">
        <v>19.3</v>
      </c>
      <c r="C197" s="80">
        <v>46696200</v>
      </c>
      <c r="D197" s="81">
        <v>46833500</v>
      </c>
      <c r="E197" s="81">
        <v>93659100</v>
      </c>
      <c r="F197" s="81">
        <f t="shared" si="3"/>
        <v>187188800</v>
      </c>
      <c r="G197" s="69" t="s">
        <v>191</v>
      </c>
      <c r="H197" s="49"/>
      <c r="I197" s="78">
        <v>19.299999999999901</v>
      </c>
      <c r="J197" s="68">
        <v>18910665.103758976</v>
      </c>
      <c r="K197" s="66"/>
    </row>
    <row r="198" spans="2:11">
      <c r="B198" s="67">
        <v>19.399999999999999</v>
      </c>
      <c r="C198" s="80">
        <v>46970000</v>
      </c>
      <c r="D198" s="81">
        <v>47106900</v>
      </c>
      <c r="E198" s="81">
        <v>94188200</v>
      </c>
      <c r="F198" s="81">
        <f t="shared" si="3"/>
        <v>188265100</v>
      </c>
      <c r="G198" s="69" t="s">
        <v>191</v>
      </c>
      <c r="H198" s="49"/>
      <c r="I198" s="78">
        <v>19.399999999999899</v>
      </c>
      <c r="J198" s="68">
        <v>19014302.042306777</v>
      </c>
      <c r="K198" s="66"/>
    </row>
    <row r="199" spans="2:11">
      <c r="B199" s="67">
        <v>19.5</v>
      </c>
      <c r="C199" s="80">
        <v>47243800</v>
      </c>
      <c r="D199" s="81">
        <v>47380300</v>
      </c>
      <c r="E199" s="81">
        <v>94717800</v>
      </c>
      <c r="F199" s="81">
        <f t="shared" si="3"/>
        <v>189341900</v>
      </c>
      <c r="G199" s="69" t="s">
        <v>191</v>
      </c>
      <c r="H199" s="49"/>
      <c r="I199" s="78">
        <v>19.499999999999901</v>
      </c>
      <c r="J199" s="68">
        <v>19117938.980854578</v>
      </c>
      <c r="K199" s="66"/>
    </row>
    <row r="200" spans="2:11">
      <c r="B200" s="67">
        <v>19.600000000000001</v>
      </c>
      <c r="C200" s="80">
        <v>47517600</v>
      </c>
      <c r="D200" s="81">
        <v>47653700</v>
      </c>
      <c r="E200" s="81">
        <v>95247800</v>
      </c>
      <c r="F200" s="81">
        <f t="shared" si="3"/>
        <v>190419100</v>
      </c>
      <c r="G200" s="69" t="s">
        <v>191</v>
      </c>
      <c r="H200" s="49"/>
      <c r="I200" s="78">
        <v>19.599999999999898</v>
      </c>
      <c r="J200" s="68">
        <v>19221575.91940238</v>
      </c>
      <c r="K200" s="66"/>
    </row>
    <row r="201" spans="2:11">
      <c r="B201" s="67">
        <v>19.7</v>
      </c>
      <c r="C201" s="80">
        <v>47791400</v>
      </c>
      <c r="D201" s="81">
        <v>47927100</v>
      </c>
      <c r="E201" s="81">
        <v>95778300</v>
      </c>
      <c r="F201" s="81">
        <f t="shared" si="3"/>
        <v>191496800</v>
      </c>
      <c r="G201" s="69" t="s">
        <v>191</v>
      </c>
      <c r="H201" s="49"/>
      <c r="I201" s="78">
        <v>19.6999999999999</v>
      </c>
      <c r="J201" s="68">
        <v>19325212.857950181</v>
      </c>
      <c r="K201" s="66"/>
    </row>
    <row r="202" spans="2:11">
      <c r="B202" s="67">
        <v>19.8</v>
      </c>
      <c r="C202" s="80">
        <v>48065200</v>
      </c>
      <c r="D202" s="81">
        <v>48200500</v>
      </c>
      <c r="E202" s="81">
        <v>96309200</v>
      </c>
      <c r="F202" s="81">
        <f t="shared" si="3"/>
        <v>192574900</v>
      </c>
      <c r="G202" s="69" t="s">
        <v>191</v>
      </c>
      <c r="H202" s="49"/>
      <c r="I202" s="78">
        <v>19.799999999999901</v>
      </c>
      <c r="J202" s="68">
        <v>19428849.796497982</v>
      </c>
      <c r="K202" s="66"/>
    </row>
    <row r="203" spans="2:11">
      <c r="B203" s="67">
        <v>19.899999999999999</v>
      </c>
      <c r="C203" s="80">
        <v>48339000</v>
      </c>
      <c r="D203" s="81">
        <v>48473900</v>
      </c>
      <c r="E203" s="81">
        <v>96840600</v>
      </c>
      <c r="F203" s="81">
        <f t="shared" si="3"/>
        <v>193653500</v>
      </c>
      <c r="G203" s="69" t="s">
        <v>191</v>
      </c>
      <c r="H203" s="49"/>
      <c r="I203" s="78">
        <v>19.899999999999899</v>
      </c>
      <c r="J203" s="68">
        <v>19532486.735045783</v>
      </c>
      <c r="K203" s="66"/>
    </row>
    <row r="204" spans="2:11">
      <c r="B204" s="67">
        <v>20</v>
      </c>
      <c r="C204" s="80">
        <v>48612800</v>
      </c>
      <c r="D204" s="81">
        <v>48747300</v>
      </c>
      <c r="E204" s="81">
        <v>97372500</v>
      </c>
      <c r="F204" s="81">
        <f t="shared" si="3"/>
        <v>194732600</v>
      </c>
      <c r="G204" s="69" t="s">
        <v>191</v>
      </c>
      <c r="H204" s="49"/>
      <c r="I204" s="78">
        <v>19.999999999999901</v>
      </c>
      <c r="J204" s="68">
        <v>19636123.673593573</v>
      </c>
      <c r="K204" s="66"/>
    </row>
    <row r="205" spans="2:11">
      <c r="B205" s="67">
        <v>20.100000000000001</v>
      </c>
      <c r="C205" s="80">
        <v>48890000</v>
      </c>
      <c r="D205" s="81">
        <v>49024100</v>
      </c>
      <c r="E205" s="81">
        <v>97904900</v>
      </c>
      <c r="F205" s="81">
        <f t="shared" si="3"/>
        <v>195819000</v>
      </c>
      <c r="G205" s="69" t="s">
        <v>191</v>
      </c>
      <c r="H205" s="49"/>
      <c r="I205" s="78">
        <v>20.099999999999898</v>
      </c>
      <c r="J205" s="68">
        <v>19739760.612141374</v>
      </c>
      <c r="K205" s="66"/>
    </row>
    <row r="206" spans="2:11">
      <c r="B206" s="67">
        <v>20.2</v>
      </c>
      <c r="C206" s="80">
        <v>49167200</v>
      </c>
      <c r="D206" s="81">
        <v>49300900</v>
      </c>
      <c r="E206" s="81">
        <v>98437700</v>
      </c>
      <c r="F206" s="81">
        <f t="shared" si="3"/>
        <v>196905800</v>
      </c>
      <c r="G206" s="69" t="s">
        <v>191</v>
      </c>
      <c r="H206" s="49"/>
      <c r="I206" s="78">
        <v>20.1999999999999</v>
      </c>
      <c r="J206" s="68">
        <v>19843397.550689176</v>
      </c>
      <c r="K206" s="66"/>
    </row>
    <row r="207" spans="2:11">
      <c r="B207" s="67">
        <v>20.3</v>
      </c>
      <c r="C207" s="80">
        <v>49444400</v>
      </c>
      <c r="D207" s="81">
        <v>49577700</v>
      </c>
      <c r="E207" s="81">
        <v>98970900</v>
      </c>
      <c r="F207" s="81">
        <f t="shared" si="3"/>
        <v>197993000</v>
      </c>
      <c r="G207" s="69" t="s">
        <v>191</v>
      </c>
      <c r="H207" s="49"/>
      <c r="I207" s="78">
        <v>20.299999999999901</v>
      </c>
      <c r="J207" s="68">
        <v>19947034.489236977</v>
      </c>
      <c r="K207" s="66"/>
    </row>
    <row r="208" spans="2:11">
      <c r="B208" s="67">
        <v>20.399999999999999</v>
      </c>
      <c r="C208" s="80">
        <v>49721600</v>
      </c>
      <c r="D208" s="81">
        <v>49854500</v>
      </c>
      <c r="E208" s="81">
        <v>99504700</v>
      </c>
      <c r="F208" s="81">
        <f t="shared" si="3"/>
        <v>199080800</v>
      </c>
      <c r="G208" s="69" t="s">
        <v>191</v>
      </c>
      <c r="H208" s="49"/>
      <c r="I208" s="78">
        <v>20.399999999999899</v>
      </c>
      <c r="J208" s="68">
        <v>20050671.427784778</v>
      </c>
      <c r="K208" s="66"/>
    </row>
    <row r="209" spans="2:11">
      <c r="B209" s="67">
        <v>20.5</v>
      </c>
      <c r="C209" s="80">
        <v>49998800</v>
      </c>
      <c r="D209" s="81">
        <v>50131300</v>
      </c>
      <c r="E209" s="81">
        <v>100038800</v>
      </c>
      <c r="F209" s="81">
        <f t="shared" si="3"/>
        <v>200168900</v>
      </c>
      <c r="G209" s="69" t="s">
        <v>191</v>
      </c>
      <c r="H209" s="49"/>
      <c r="I209" s="78">
        <v>20.499999999999901</v>
      </c>
      <c r="J209" s="68">
        <v>20154308.366332579</v>
      </c>
      <c r="K209" s="66"/>
    </row>
    <row r="210" spans="2:11">
      <c r="B210" s="67">
        <v>20.6</v>
      </c>
      <c r="C210" s="80">
        <v>50276000</v>
      </c>
      <c r="D210" s="81">
        <v>50408100</v>
      </c>
      <c r="E210" s="81">
        <v>100573300</v>
      </c>
      <c r="F210" s="81">
        <f t="shared" si="3"/>
        <v>201257400</v>
      </c>
      <c r="G210" s="69" t="s">
        <v>191</v>
      </c>
      <c r="H210" s="49"/>
      <c r="I210" s="78">
        <v>20.599999999999898</v>
      </c>
      <c r="J210" s="68">
        <v>20257945.304880381</v>
      </c>
      <c r="K210" s="66"/>
    </row>
    <row r="211" spans="2:11">
      <c r="B211" s="67">
        <v>20.7</v>
      </c>
      <c r="C211" s="80">
        <v>50553200</v>
      </c>
      <c r="D211" s="81">
        <v>50684900</v>
      </c>
      <c r="E211" s="81">
        <v>101107700</v>
      </c>
      <c r="F211" s="81">
        <f t="shared" si="3"/>
        <v>202345800</v>
      </c>
      <c r="G211" s="69" t="s">
        <v>191</v>
      </c>
      <c r="H211" s="49"/>
      <c r="I211" s="78">
        <v>20.6999999999999</v>
      </c>
      <c r="J211" s="68">
        <v>20361582.243428182</v>
      </c>
      <c r="K211" s="66"/>
    </row>
    <row r="212" spans="2:11">
      <c r="B212" s="67">
        <v>20.8</v>
      </c>
      <c r="C212" s="80">
        <v>50830400</v>
      </c>
      <c r="D212" s="81">
        <v>50961700</v>
      </c>
      <c r="E212" s="81">
        <v>101642100</v>
      </c>
      <c r="F212" s="81">
        <f t="shared" si="3"/>
        <v>203434200</v>
      </c>
      <c r="G212" s="69" t="s">
        <v>191</v>
      </c>
      <c r="H212" s="49"/>
      <c r="I212" s="78">
        <v>20.799999999999901</v>
      </c>
      <c r="J212" s="68">
        <v>20465219.181975983</v>
      </c>
      <c r="K212" s="66"/>
    </row>
    <row r="213" spans="2:11">
      <c r="B213" s="67">
        <v>20.9</v>
      </c>
      <c r="C213" s="80">
        <v>51107600</v>
      </c>
      <c r="D213" s="81">
        <v>51238500</v>
      </c>
      <c r="E213" s="81">
        <v>102176600</v>
      </c>
      <c r="F213" s="81">
        <f t="shared" si="3"/>
        <v>204522700</v>
      </c>
      <c r="G213" s="69" t="s">
        <v>191</v>
      </c>
      <c r="H213" s="49"/>
      <c r="I213" s="78">
        <v>20.899999999999899</v>
      </c>
      <c r="J213" s="68">
        <v>20568856.120523784</v>
      </c>
      <c r="K213" s="66"/>
    </row>
    <row r="214" spans="2:11">
      <c r="B214" s="67">
        <v>21</v>
      </c>
      <c r="C214" s="80">
        <v>51384800</v>
      </c>
      <c r="D214" s="81">
        <v>51515300</v>
      </c>
      <c r="E214" s="81">
        <v>102711000</v>
      </c>
      <c r="F214" s="81">
        <f t="shared" si="3"/>
        <v>205611100</v>
      </c>
      <c r="G214" s="69" t="s">
        <v>191</v>
      </c>
      <c r="H214" s="49"/>
      <c r="I214" s="82"/>
      <c r="J214" s="71"/>
    </row>
    <row r="215" spans="2:11">
      <c r="B215" s="67">
        <v>21.1</v>
      </c>
      <c r="C215" s="80">
        <v>51662000</v>
      </c>
      <c r="D215" s="81">
        <v>51792100</v>
      </c>
      <c r="E215" s="81">
        <v>103245400</v>
      </c>
      <c r="F215" s="81">
        <f t="shared" si="3"/>
        <v>206699500</v>
      </c>
      <c r="G215" s="69" t="s">
        <v>191</v>
      </c>
      <c r="H215" s="49"/>
    </row>
    <row r="216" spans="2:11">
      <c r="B216" s="67">
        <v>21.2</v>
      </c>
      <c r="C216" s="80">
        <v>51939200</v>
      </c>
      <c r="D216" s="81">
        <v>52068900</v>
      </c>
      <c r="E216" s="81">
        <v>103780000</v>
      </c>
      <c r="F216" s="81">
        <f t="shared" si="3"/>
        <v>207788100</v>
      </c>
      <c r="G216" s="69" t="s">
        <v>191</v>
      </c>
      <c r="H216" s="49"/>
    </row>
    <row r="217" spans="2:11">
      <c r="B217" s="67">
        <v>21.3</v>
      </c>
      <c r="C217" s="80">
        <v>52216400</v>
      </c>
      <c r="D217" s="81">
        <v>52345700</v>
      </c>
      <c r="E217" s="81">
        <v>104314300</v>
      </c>
      <c r="F217" s="81">
        <f t="shared" si="3"/>
        <v>208876400</v>
      </c>
      <c r="G217" s="69" t="s">
        <v>191</v>
      </c>
      <c r="H217" s="49"/>
    </row>
    <row r="218" spans="2:11">
      <c r="B218" s="67">
        <v>21.4</v>
      </c>
      <c r="C218" s="80">
        <v>52493600</v>
      </c>
      <c r="D218" s="81">
        <v>52622500</v>
      </c>
      <c r="E218" s="81">
        <v>104848600</v>
      </c>
      <c r="F218" s="81">
        <f t="shared" si="3"/>
        <v>209964700</v>
      </c>
      <c r="G218" s="69" t="s">
        <v>191</v>
      </c>
      <c r="H218" s="49"/>
    </row>
    <row r="219" spans="2:11">
      <c r="B219" s="67">
        <v>21.5</v>
      </c>
      <c r="C219" s="80">
        <v>52770800</v>
      </c>
      <c r="D219" s="81">
        <v>52899300</v>
      </c>
      <c r="E219" s="81">
        <v>105383200</v>
      </c>
      <c r="F219" s="81">
        <f t="shared" si="3"/>
        <v>211053300</v>
      </c>
      <c r="G219" s="69" t="s">
        <v>191</v>
      </c>
      <c r="H219" s="84"/>
    </row>
    <row r="220" spans="2:11">
      <c r="B220" s="67">
        <v>21.6</v>
      </c>
      <c r="C220" s="80">
        <v>53048000</v>
      </c>
      <c r="D220" s="81">
        <v>53176100</v>
      </c>
      <c r="E220" s="81">
        <v>105917600</v>
      </c>
      <c r="F220" s="81">
        <f t="shared" si="3"/>
        <v>212141700</v>
      </c>
      <c r="G220" s="85">
        <f>(F220-F219)/1000000</f>
        <v>1.0884</v>
      </c>
      <c r="H220" s="84"/>
    </row>
    <row r="221" spans="2:11">
      <c r="B221" s="67">
        <v>21.7</v>
      </c>
      <c r="C221" s="80">
        <v>53325200</v>
      </c>
      <c r="D221" s="81">
        <v>53452900</v>
      </c>
      <c r="E221" s="81">
        <v>106452000</v>
      </c>
      <c r="F221" s="81">
        <f t="shared" si="3"/>
        <v>213230100</v>
      </c>
      <c r="G221" s="85">
        <f>(F221-F220)/1000000</f>
        <v>1.0884</v>
      </c>
      <c r="H221" s="84"/>
    </row>
    <row r="222" spans="2:11">
      <c r="B222" s="67">
        <v>21.8</v>
      </c>
      <c r="C222" s="80">
        <v>53602400</v>
      </c>
      <c r="D222" s="81">
        <v>53729700</v>
      </c>
      <c r="E222" s="81">
        <v>106986400</v>
      </c>
      <c r="F222" s="81">
        <f t="shared" si="3"/>
        <v>214318500</v>
      </c>
      <c r="G222" s="85">
        <f>(F222-F221)/1000000</f>
        <v>1.0884</v>
      </c>
      <c r="H222" s="84"/>
    </row>
    <row r="223" spans="2:11">
      <c r="B223" s="67">
        <v>21.9</v>
      </c>
      <c r="C223" s="80">
        <v>53879600</v>
      </c>
      <c r="D223" s="81">
        <v>54006500</v>
      </c>
      <c r="E223" s="81">
        <v>107520800</v>
      </c>
      <c r="F223" s="81">
        <f t="shared" si="3"/>
        <v>215406900</v>
      </c>
      <c r="G223" s="69" t="s">
        <v>191</v>
      </c>
      <c r="H223" s="84"/>
    </row>
    <row r="224" spans="2:11">
      <c r="B224" s="67">
        <v>22</v>
      </c>
      <c r="C224" s="80">
        <v>54156800</v>
      </c>
      <c r="D224" s="81">
        <v>54283300</v>
      </c>
      <c r="E224" s="81">
        <v>108055300</v>
      </c>
      <c r="F224" s="81">
        <f t="shared" si="3"/>
        <v>216495400</v>
      </c>
      <c r="G224" s="69" t="s">
        <v>191</v>
      </c>
      <c r="H224" s="84"/>
    </row>
    <row r="225" spans="2:8">
      <c r="B225" s="67">
        <v>22.1</v>
      </c>
      <c r="C225" s="80">
        <v>54434000</v>
      </c>
      <c r="D225" s="81">
        <v>54560100</v>
      </c>
      <c r="E225" s="77">
        <v>108589733.33333333</v>
      </c>
      <c r="F225" s="77">
        <f t="shared" si="3"/>
        <v>217583833.33333331</v>
      </c>
      <c r="G225" s="69" t="s">
        <v>191</v>
      </c>
      <c r="H225" s="49"/>
    </row>
    <row r="226" spans="2:8">
      <c r="B226" s="67">
        <v>22.2</v>
      </c>
      <c r="C226" s="80">
        <v>54711200</v>
      </c>
      <c r="D226" s="81">
        <v>54836900</v>
      </c>
      <c r="E226" s="77">
        <v>109124183.33333333</v>
      </c>
      <c r="F226" s="77">
        <f t="shared" si="3"/>
        <v>218672283.33333331</v>
      </c>
      <c r="G226" s="69" t="s">
        <v>191</v>
      </c>
      <c r="H226" s="49"/>
    </row>
    <row r="227" spans="2:8">
      <c r="B227" s="67">
        <v>22.3</v>
      </c>
      <c r="C227" s="80">
        <v>54988400</v>
      </c>
      <c r="D227" s="81">
        <v>55113700</v>
      </c>
      <c r="E227" s="77">
        <v>109658633.33333333</v>
      </c>
      <c r="F227" s="77">
        <f t="shared" si="3"/>
        <v>219760733.33333331</v>
      </c>
      <c r="G227" s="69" t="s">
        <v>191</v>
      </c>
      <c r="H227" s="49"/>
    </row>
    <row r="228" spans="2:8">
      <c r="B228" s="67">
        <v>22.4</v>
      </c>
      <c r="C228" s="80">
        <v>55265600</v>
      </c>
      <c r="D228" s="81">
        <v>55390500</v>
      </c>
      <c r="E228" s="77">
        <v>110193083.33333333</v>
      </c>
      <c r="F228" s="77">
        <f t="shared" si="3"/>
        <v>220849183.33333331</v>
      </c>
      <c r="G228" s="69" t="s">
        <v>191</v>
      </c>
      <c r="H228" s="49"/>
    </row>
    <row r="229" spans="2:8">
      <c r="B229" s="67">
        <v>22.5</v>
      </c>
      <c r="C229" s="80">
        <v>55542800</v>
      </c>
      <c r="D229" s="81">
        <v>55667300</v>
      </c>
      <c r="E229" s="77">
        <v>110727533.33333333</v>
      </c>
      <c r="F229" s="77">
        <f t="shared" si="3"/>
        <v>221937633.33333331</v>
      </c>
      <c r="G229" s="69" t="s">
        <v>191</v>
      </c>
      <c r="H229" s="49"/>
    </row>
    <row r="230" spans="2:8">
      <c r="B230" s="67">
        <v>22.6</v>
      </c>
      <c r="C230" s="80">
        <v>55820000</v>
      </c>
      <c r="D230" s="81">
        <v>55944100</v>
      </c>
      <c r="E230" s="77">
        <v>111261983.33333322</v>
      </c>
      <c r="F230" s="77">
        <f t="shared" si="3"/>
        <v>223026083.33333322</v>
      </c>
      <c r="G230" s="69" t="s">
        <v>191</v>
      </c>
      <c r="H230" s="49"/>
    </row>
    <row r="231" spans="2:8">
      <c r="B231" s="67">
        <v>22.7</v>
      </c>
      <c r="C231" s="80">
        <v>56097200</v>
      </c>
      <c r="D231" s="81">
        <v>56220900</v>
      </c>
      <c r="E231" s="77">
        <v>111796433.33333321</v>
      </c>
      <c r="F231" s="77">
        <f t="shared" si="3"/>
        <v>224114533.33333319</v>
      </c>
      <c r="G231" s="69" t="s">
        <v>191</v>
      </c>
      <c r="H231" s="49"/>
    </row>
    <row r="232" spans="2:8">
      <c r="B232" s="67">
        <v>22.8</v>
      </c>
      <c r="C232" s="80">
        <v>56374400</v>
      </c>
      <c r="D232" s="81">
        <v>56497700</v>
      </c>
      <c r="E232" s="77">
        <v>112330883.33333318</v>
      </c>
      <c r="F232" s="77">
        <f t="shared" si="3"/>
        <v>225202983.33333319</v>
      </c>
      <c r="G232" s="69" t="s">
        <v>191</v>
      </c>
      <c r="H232" s="49"/>
    </row>
    <row r="233" spans="2:8">
      <c r="B233" s="70">
        <v>22.9</v>
      </c>
      <c r="C233" s="86">
        <v>56651600</v>
      </c>
      <c r="D233" s="87">
        <v>56774500</v>
      </c>
      <c r="E233" s="88">
        <v>112865333.33333315</v>
      </c>
      <c r="F233" s="88">
        <f t="shared" si="3"/>
        <v>226291433.33333313</v>
      </c>
      <c r="G233" s="72" t="s">
        <v>191</v>
      </c>
      <c r="H233" s="49"/>
    </row>
    <row r="234" spans="2:8">
      <c r="B234" s="89" t="s">
        <v>192</v>
      </c>
    </row>
  </sheetData>
  <phoneticPr fontId="19"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sheetPr codeName="Sheet4"/>
  <dimension ref="C4:BN352"/>
  <sheetViews>
    <sheetView topLeftCell="C1" workbookViewId="0">
      <selection activeCell="C5" sqref="C5"/>
    </sheetView>
  </sheetViews>
  <sheetFormatPr defaultRowHeight="12.75"/>
  <cols>
    <col min="4" max="4" width="23.28515625" customWidth="1"/>
    <col min="12" max="12" width="9.28515625" bestFit="1" customWidth="1"/>
    <col min="13" max="13" width="10.140625" bestFit="1" customWidth="1"/>
    <col min="14" max="15" width="9.28515625" bestFit="1" customWidth="1"/>
    <col min="18" max="18" width="10.7109375" customWidth="1"/>
    <col min="20" max="20" width="9.85546875" customWidth="1"/>
    <col min="56" max="56" width="12.28515625" customWidth="1"/>
    <col min="60" max="60" width="11.5703125" customWidth="1"/>
    <col min="64" max="64" width="12.28515625" customWidth="1"/>
  </cols>
  <sheetData>
    <row r="4" spans="3:6">
      <c r="C4">
        <v>1.5469999999999999</v>
      </c>
      <c r="D4" t="s">
        <v>337</v>
      </c>
    </row>
    <row r="5" spans="3:6">
      <c r="C5">
        <v>3.0680000000000001</v>
      </c>
      <c r="D5" t="s">
        <v>338</v>
      </c>
    </row>
    <row r="6" spans="3:6">
      <c r="C6">
        <f>1/1.983</f>
        <v>0.50428643469490664</v>
      </c>
      <c r="D6" t="s">
        <v>339</v>
      </c>
    </row>
    <row r="7" spans="3:6">
      <c r="C7">
        <f>ROUND(1/MGtoAF,3)</f>
        <v>0.32600000000000001</v>
      </c>
      <c r="D7" t="s">
        <v>340</v>
      </c>
    </row>
    <row r="8" spans="3:6" ht="51" customHeight="1">
      <c r="C8">
        <f>ROUND(1/MGDtoCFS,4)</f>
        <v>0.64639999999999997</v>
      </c>
      <c r="D8" t="s">
        <v>341</v>
      </c>
      <c r="E8">
        <f>423-113-300</f>
        <v>10</v>
      </c>
      <c r="F8">
        <f>CFStoMGD*E8</f>
        <v>6.4639999999999995</v>
      </c>
    </row>
    <row r="9" spans="3:6" ht="51" customHeight="1">
      <c r="C9">
        <f>1440/1000000</f>
        <v>1.4400000000000001E-3</v>
      </c>
      <c r="D9" t="s">
        <v>377</v>
      </c>
    </row>
    <row r="10" spans="3:6" ht="51" customHeight="1"/>
    <row r="11" spans="3:6" ht="51" customHeight="1"/>
    <row r="12" spans="3:6" ht="51" customHeight="1"/>
    <row r="13" spans="3:6" ht="51" customHeight="1"/>
    <row r="14" spans="3:6" ht="51" customHeight="1"/>
    <row r="15" spans="3:6" ht="51" customHeight="1"/>
    <row r="16" spans="3:6" ht="51" customHeight="1"/>
    <row r="17" ht="51" customHeight="1"/>
    <row r="18" ht="51" customHeight="1"/>
    <row r="19" ht="51" customHeight="1"/>
    <row r="20" ht="51" customHeight="1"/>
    <row r="21" ht="51" customHeight="1"/>
    <row r="22" ht="51" customHeight="1"/>
    <row r="23" ht="51" customHeight="1"/>
    <row r="24" ht="51" customHeight="1"/>
    <row r="25" ht="51" customHeight="1"/>
    <row r="26" ht="51" customHeight="1"/>
    <row r="27" ht="51" customHeight="1"/>
    <row r="28" ht="51" customHeight="1"/>
    <row r="29" ht="51" customHeight="1"/>
    <row r="30" ht="51" customHeight="1"/>
    <row r="31" ht="51" customHeight="1"/>
    <row r="32" ht="51" customHeight="1"/>
    <row r="33" spans="13:13" ht="51" customHeight="1"/>
    <row r="34" spans="13:13" ht="51" customHeight="1"/>
    <row r="35" spans="13:13" ht="51" customHeight="1"/>
    <row r="36" spans="13:13" ht="51" customHeight="1"/>
    <row r="37" spans="13:13" ht="51" customHeight="1"/>
    <row r="38" spans="13:13" ht="51" customHeight="1"/>
    <row r="39" spans="13:13" ht="51" customHeight="1"/>
    <row r="40" spans="13:13" ht="51" customHeight="1"/>
    <row r="41" spans="13:13" ht="51" customHeight="1"/>
    <row r="42" spans="13:13" ht="51" customHeight="1"/>
    <row r="43" spans="13:13" ht="51" customHeight="1"/>
    <row r="44" spans="13:13" ht="51" customHeight="1"/>
    <row r="45" spans="13:13" ht="51" customHeight="1"/>
    <row r="46" spans="13:13" ht="51" customHeight="1"/>
    <row r="47" spans="13:13" ht="51" customHeight="1">
      <c r="M47" s="51">
        <f>YEAR('Annual Consumption Report'!E1)</f>
        <v>2011</v>
      </c>
    </row>
    <row r="48" spans="13:13" ht="51" customHeight="1"/>
    <row r="49" spans="12:66" ht="51" customHeight="1"/>
    <row r="50" spans="12:66" ht="51" customHeight="1">
      <c r="L50" s="116" t="s">
        <v>362</v>
      </c>
      <c r="M50" s="116"/>
      <c r="N50" s="116"/>
      <c r="O50" s="116"/>
      <c r="R50">
        <v>1</v>
      </c>
      <c r="S50">
        <v>2</v>
      </c>
      <c r="T50">
        <v>3</v>
      </c>
      <c r="U50">
        <v>4</v>
      </c>
      <c r="V50">
        <v>5</v>
      </c>
      <c r="W50">
        <v>6</v>
      </c>
      <c r="X50">
        <v>7</v>
      </c>
      <c r="Y50">
        <v>8</v>
      </c>
      <c r="Z50">
        <v>9</v>
      </c>
      <c r="AA50">
        <v>10</v>
      </c>
      <c r="AB50">
        <v>11</v>
      </c>
      <c r="AC50">
        <v>12</v>
      </c>
      <c r="AD50">
        <v>13</v>
      </c>
      <c r="AE50">
        <v>14</v>
      </c>
      <c r="AF50">
        <v>15</v>
      </c>
      <c r="AG50">
        <v>16</v>
      </c>
      <c r="AH50">
        <v>17</v>
      </c>
      <c r="AI50">
        <v>18</v>
      </c>
      <c r="AJ50">
        <v>19</v>
      </c>
      <c r="AK50">
        <v>20</v>
      </c>
      <c r="AL50">
        <v>21</v>
      </c>
      <c r="AM50">
        <v>22</v>
      </c>
      <c r="AN50">
        <v>23</v>
      </c>
      <c r="AO50">
        <v>24</v>
      </c>
      <c r="AP50">
        <v>25</v>
      </c>
      <c r="AQ50">
        <v>26</v>
      </c>
      <c r="AR50">
        <v>27</v>
      </c>
      <c r="AS50">
        <v>28</v>
      </c>
      <c r="AT50">
        <v>29</v>
      </c>
      <c r="AU50">
        <v>30</v>
      </c>
      <c r="AV50">
        <v>31</v>
      </c>
      <c r="AW50">
        <v>32</v>
      </c>
      <c r="AX50">
        <v>33</v>
      </c>
      <c r="AY50">
        <v>34</v>
      </c>
      <c r="AZ50">
        <v>35</v>
      </c>
      <c r="BA50">
        <v>36</v>
      </c>
      <c r="BB50">
        <v>37</v>
      </c>
      <c r="BC50">
        <v>38</v>
      </c>
      <c r="BD50">
        <v>39</v>
      </c>
      <c r="BE50">
        <v>40</v>
      </c>
      <c r="BF50">
        <v>41</v>
      </c>
      <c r="BG50">
        <v>42</v>
      </c>
      <c r="BH50">
        <v>43</v>
      </c>
      <c r="BI50">
        <v>44</v>
      </c>
      <c r="BJ50">
        <v>45</v>
      </c>
      <c r="BK50">
        <v>46</v>
      </c>
      <c r="BL50">
        <v>47</v>
      </c>
      <c r="BM50">
        <v>48</v>
      </c>
      <c r="BN50">
        <v>49</v>
      </c>
    </row>
    <row r="51" spans="12:66" ht="51" customHeight="1">
      <c r="L51" s="116">
        <f>VLOOKUP(M47,R51:BN78,2)</f>
        <v>40544</v>
      </c>
      <c r="M51" s="116">
        <f>VLOOKUP(M47,R51:BN78,3)</f>
        <v>40574</v>
      </c>
      <c r="N51" s="116">
        <f>VLOOKUP(M47,R51:BN78,4)</f>
        <v>40545</v>
      </c>
      <c r="O51" s="116">
        <f>VLOOKUP(M47,R51:BN78,5)</f>
        <v>40575</v>
      </c>
      <c r="R51">
        <v>2008</v>
      </c>
      <c r="S51" s="116">
        <v>39448</v>
      </c>
      <c r="T51" s="116">
        <v>39478</v>
      </c>
      <c r="U51" s="116">
        <v>39449</v>
      </c>
      <c r="V51" s="116">
        <v>39479</v>
      </c>
      <c r="W51" s="116">
        <v>39479</v>
      </c>
      <c r="X51" s="116">
        <v>39507</v>
      </c>
      <c r="Y51" s="116">
        <v>39480</v>
      </c>
      <c r="Z51" s="116">
        <v>39508</v>
      </c>
      <c r="AA51" s="116">
        <v>39508</v>
      </c>
      <c r="AB51" s="116">
        <v>39538</v>
      </c>
      <c r="AC51" s="116">
        <v>39509</v>
      </c>
      <c r="AD51" s="116">
        <v>39539</v>
      </c>
      <c r="AE51" s="116">
        <v>39539</v>
      </c>
      <c r="AF51" s="116">
        <v>39568</v>
      </c>
      <c r="AG51" s="116">
        <v>39540</v>
      </c>
      <c r="AH51" s="116">
        <v>39569</v>
      </c>
      <c r="AI51" s="116">
        <v>39569</v>
      </c>
      <c r="AJ51" s="116">
        <v>39599</v>
      </c>
      <c r="AK51" s="116">
        <v>39570</v>
      </c>
      <c r="AL51" s="116">
        <v>39600</v>
      </c>
      <c r="AM51" s="116">
        <v>39600</v>
      </c>
      <c r="AN51" s="116">
        <v>39629</v>
      </c>
      <c r="AO51" s="116">
        <v>39601</v>
      </c>
      <c r="AP51" s="116">
        <v>39630</v>
      </c>
      <c r="AQ51" s="116">
        <v>39630</v>
      </c>
      <c r="AR51" s="116">
        <v>39660</v>
      </c>
      <c r="AS51" s="116">
        <v>39631</v>
      </c>
      <c r="AT51" s="116">
        <v>39661</v>
      </c>
      <c r="AU51" s="116">
        <v>39661</v>
      </c>
      <c r="AV51" s="116">
        <v>39691</v>
      </c>
      <c r="AW51" s="116">
        <v>39662</v>
      </c>
      <c r="AX51" s="116">
        <v>39692</v>
      </c>
      <c r="AY51" s="116">
        <v>39692</v>
      </c>
      <c r="AZ51" s="116">
        <v>39721</v>
      </c>
      <c r="BA51" s="116">
        <v>39693</v>
      </c>
      <c r="BB51" s="116">
        <v>39722</v>
      </c>
      <c r="BC51" s="116">
        <v>39722</v>
      </c>
      <c r="BD51" s="116">
        <v>39752</v>
      </c>
      <c r="BE51" s="116">
        <v>39723</v>
      </c>
      <c r="BF51" s="116">
        <v>39753</v>
      </c>
      <c r="BG51" s="116">
        <v>39753</v>
      </c>
      <c r="BH51" s="116">
        <v>39782</v>
      </c>
      <c r="BI51" s="116">
        <v>39754</v>
      </c>
      <c r="BJ51" s="116">
        <v>39783</v>
      </c>
      <c r="BK51" s="116">
        <v>39783</v>
      </c>
      <c r="BL51" s="116">
        <v>39813</v>
      </c>
      <c r="BM51" s="116">
        <v>39784</v>
      </c>
      <c r="BN51" s="116">
        <v>39814</v>
      </c>
    </row>
    <row r="52" spans="12:66" ht="51" customHeight="1">
      <c r="L52" s="116">
        <f>VLOOKUP(M47,R51:BN78,6)</f>
        <v>40575</v>
      </c>
      <c r="M52" s="116">
        <f>VLOOKUP(M47,R51:BN78,7)</f>
        <v>40602</v>
      </c>
      <c r="N52" s="116">
        <f>VLOOKUP(M47,R51:BN78,8)</f>
        <v>40576</v>
      </c>
      <c r="O52" s="116">
        <f>VLOOKUP(M47,R51:BN78,9)</f>
        <v>40603</v>
      </c>
      <c r="R52">
        <v>2009</v>
      </c>
      <c r="S52" s="116">
        <v>39814</v>
      </c>
      <c r="T52" s="116">
        <v>39844</v>
      </c>
      <c r="U52" s="116">
        <v>39815</v>
      </c>
      <c r="V52" s="116">
        <v>39845</v>
      </c>
      <c r="W52" s="116">
        <v>39845</v>
      </c>
      <c r="X52" s="116">
        <v>39872</v>
      </c>
      <c r="Y52" s="116">
        <v>39846</v>
      </c>
      <c r="Z52" s="116">
        <v>39873</v>
      </c>
      <c r="AA52" s="116">
        <v>39873</v>
      </c>
      <c r="AB52" s="116">
        <v>39903</v>
      </c>
      <c r="AC52" s="116">
        <v>39874</v>
      </c>
      <c r="AD52" s="116">
        <v>39904</v>
      </c>
      <c r="AE52" s="116">
        <v>39904</v>
      </c>
      <c r="AF52" s="116">
        <v>39933</v>
      </c>
      <c r="AG52" s="116">
        <v>39905</v>
      </c>
      <c r="AH52" s="116">
        <v>39934</v>
      </c>
      <c r="AI52" s="116">
        <v>39934</v>
      </c>
      <c r="AJ52" s="116">
        <v>39964</v>
      </c>
      <c r="AK52" s="116">
        <v>39935</v>
      </c>
      <c r="AL52" s="116">
        <v>39965</v>
      </c>
      <c r="AM52" s="116">
        <v>39965</v>
      </c>
      <c r="AN52" s="116">
        <v>39994</v>
      </c>
      <c r="AO52" s="116">
        <v>39966</v>
      </c>
      <c r="AP52" s="116">
        <v>39995</v>
      </c>
      <c r="AQ52" s="116">
        <v>39995</v>
      </c>
      <c r="AR52" s="116">
        <v>40025</v>
      </c>
      <c r="AS52" s="116">
        <v>39996</v>
      </c>
      <c r="AT52" s="116">
        <v>40026</v>
      </c>
      <c r="AU52" s="116">
        <v>40026</v>
      </c>
      <c r="AV52" s="116">
        <v>40056</v>
      </c>
      <c r="AW52" s="116">
        <v>40027</v>
      </c>
      <c r="AX52" s="116">
        <v>40057</v>
      </c>
      <c r="AY52" s="116">
        <v>40057</v>
      </c>
      <c r="AZ52" s="116">
        <v>40086</v>
      </c>
      <c r="BA52" s="116">
        <v>40058</v>
      </c>
      <c r="BB52" s="116">
        <v>40087</v>
      </c>
      <c r="BC52" s="116">
        <v>40087</v>
      </c>
      <c r="BD52" s="116">
        <v>40117</v>
      </c>
      <c r="BE52" s="116">
        <v>40088</v>
      </c>
      <c r="BF52" s="116">
        <v>40118</v>
      </c>
      <c r="BG52" s="116">
        <v>40118</v>
      </c>
      <c r="BH52" s="116">
        <v>40147</v>
      </c>
      <c r="BI52" s="116">
        <v>40119</v>
      </c>
      <c r="BJ52" s="116">
        <v>40148</v>
      </c>
      <c r="BK52" s="116">
        <v>40148</v>
      </c>
      <c r="BL52" s="116">
        <v>40178</v>
      </c>
      <c r="BM52" s="116">
        <v>40149</v>
      </c>
      <c r="BN52" s="116">
        <v>40179</v>
      </c>
    </row>
    <row r="53" spans="12:66" ht="51" customHeight="1">
      <c r="L53" s="116">
        <f>VLOOKUP(M47,R51:BN78,10)</f>
        <v>40603</v>
      </c>
      <c r="M53" s="116">
        <f>VLOOKUP(M47,R51:BN78,11)</f>
        <v>40633</v>
      </c>
      <c r="N53" s="116">
        <f>VLOOKUP(M47,R51:BN78,12)</f>
        <v>40604</v>
      </c>
      <c r="O53" s="116">
        <f>VLOOKUP(M47,R51:BN78,13)</f>
        <v>40634</v>
      </c>
      <c r="R53">
        <v>2010</v>
      </c>
      <c r="S53" s="116">
        <v>40179</v>
      </c>
      <c r="T53" s="116">
        <v>40209</v>
      </c>
      <c r="U53" s="116">
        <v>40180</v>
      </c>
      <c r="V53" s="116">
        <v>40210</v>
      </c>
      <c r="W53" s="116">
        <v>40210</v>
      </c>
      <c r="X53" s="116">
        <v>40237</v>
      </c>
      <c r="Y53" s="116">
        <v>40211</v>
      </c>
      <c r="Z53" s="116">
        <v>40238</v>
      </c>
      <c r="AA53" s="116">
        <v>40238</v>
      </c>
      <c r="AB53" s="116">
        <v>40268</v>
      </c>
      <c r="AC53" s="116">
        <v>40239</v>
      </c>
      <c r="AD53" s="116">
        <v>40269</v>
      </c>
      <c r="AE53" s="116">
        <v>40269</v>
      </c>
      <c r="AF53" s="116">
        <v>40298</v>
      </c>
      <c r="AG53" s="116">
        <v>40270</v>
      </c>
      <c r="AH53" s="116">
        <v>40299</v>
      </c>
      <c r="AI53" s="116">
        <v>40299</v>
      </c>
      <c r="AJ53" s="116">
        <v>40329</v>
      </c>
      <c r="AK53" s="116">
        <v>40300</v>
      </c>
      <c r="AL53" s="116">
        <v>40330</v>
      </c>
      <c r="AM53" s="116">
        <v>40330</v>
      </c>
      <c r="AN53" s="116">
        <v>40359</v>
      </c>
      <c r="AO53" s="116">
        <v>40331</v>
      </c>
      <c r="AP53" s="116">
        <v>40360</v>
      </c>
      <c r="AQ53" s="116">
        <v>40360</v>
      </c>
      <c r="AR53" s="116">
        <v>40390</v>
      </c>
      <c r="AS53" s="116">
        <v>40361</v>
      </c>
      <c r="AT53" s="116">
        <v>40391</v>
      </c>
      <c r="AU53" s="116">
        <v>40391</v>
      </c>
      <c r="AV53" s="116">
        <v>40421</v>
      </c>
      <c r="AW53" s="116">
        <v>40392</v>
      </c>
      <c r="AX53" s="116">
        <v>40422</v>
      </c>
      <c r="AY53" s="116">
        <v>40422</v>
      </c>
      <c r="AZ53" s="116">
        <v>40451</v>
      </c>
      <c r="BA53" s="116">
        <v>40423</v>
      </c>
      <c r="BB53" s="116">
        <v>40452</v>
      </c>
      <c r="BC53" s="116">
        <v>40452</v>
      </c>
      <c r="BD53" s="116">
        <v>40482</v>
      </c>
      <c r="BE53" s="116">
        <v>40453</v>
      </c>
      <c r="BF53" s="116">
        <v>40483</v>
      </c>
      <c r="BG53" s="116">
        <v>40483</v>
      </c>
      <c r="BH53" s="116">
        <v>40512</v>
      </c>
      <c r="BI53" s="116">
        <v>40484</v>
      </c>
      <c r="BJ53" s="116">
        <v>40513</v>
      </c>
      <c r="BK53" s="116">
        <v>40513</v>
      </c>
      <c r="BL53" s="116">
        <v>40543</v>
      </c>
      <c r="BM53" s="116">
        <v>40514</v>
      </c>
      <c r="BN53" s="116">
        <v>40544</v>
      </c>
    </row>
    <row r="54" spans="12:66" ht="51" customHeight="1">
      <c r="L54" s="116">
        <f>VLOOKUP(M47,R51:BN78,14)</f>
        <v>40634</v>
      </c>
      <c r="M54" s="116">
        <f>VLOOKUP(M47,R51:BN78,15)</f>
        <v>40663</v>
      </c>
      <c r="N54" s="116">
        <f>VLOOKUP(M47,R51:BN78,16)</f>
        <v>40635</v>
      </c>
      <c r="O54" s="116">
        <f>VLOOKUP(M47,R51:BN78,17)</f>
        <v>40664</v>
      </c>
      <c r="R54">
        <v>2011</v>
      </c>
      <c r="S54" s="116">
        <v>40544</v>
      </c>
      <c r="T54" s="116">
        <v>40574</v>
      </c>
      <c r="U54" s="116">
        <v>40545</v>
      </c>
      <c r="V54" s="116">
        <v>40575</v>
      </c>
      <c r="W54" s="116">
        <v>40575</v>
      </c>
      <c r="X54" s="116">
        <v>40602</v>
      </c>
      <c r="Y54" s="116">
        <v>40576</v>
      </c>
      <c r="Z54" s="116">
        <v>40603</v>
      </c>
      <c r="AA54" s="116">
        <v>40603</v>
      </c>
      <c r="AB54" s="116">
        <v>40633</v>
      </c>
      <c r="AC54" s="116">
        <v>40604</v>
      </c>
      <c r="AD54" s="116">
        <v>40634</v>
      </c>
      <c r="AE54" s="116">
        <v>40634</v>
      </c>
      <c r="AF54" s="116">
        <v>40663</v>
      </c>
      <c r="AG54" s="116">
        <v>40635</v>
      </c>
      <c r="AH54" s="116">
        <v>40664</v>
      </c>
      <c r="AI54" s="116">
        <v>40664</v>
      </c>
      <c r="AJ54" s="116">
        <v>40694</v>
      </c>
      <c r="AK54" s="116">
        <v>40665</v>
      </c>
      <c r="AL54" s="116">
        <v>40695</v>
      </c>
      <c r="AM54" s="116">
        <v>40695</v>
      </c>
      <c r="AN54" s="116">
        <v>40724</v>
      </c>
      <c r="AO54" s="116">
        <v>40696</v>
      </c>
      <c r="AP54" s="116">
        <v>40725</v>
      </c>
      <c r="AQ54" s="116">
        <v>40725</v>
      </c>
      <c r="AR54" s="116">
        <v>40755</v>
      </c>
      <c r="AS54" s="116">
        <v>40726</v>
      </c>
      <c r="AT54" s="116">
        <v>40756</v>
      </c>
      <c r="AU54" s="116">
        <v>40756</v>
      </c>
      <c r="AV54" s="116">
        <v>40786</v>
      </c>
      <c r="AW54" s="116">
        <v>40757</v>
      </c>
      <c r="AX54" s="116">
        <v>40787</v>
      </c>
      <c r="AY54" s="116">
        <v>40787</v>
      </c>
      <c r="AZ54" s="116">
        <v>40816</v>
      </c>
      <c r="BA54" s="116">
        <v>40788</v>
      </c>
      <c r="BB54" s="116">
        <v>40817</v>
      </c>
      <c r="BC54" s="116">
        <v>40817</v>
      </c>
      <c r="BD54" s="116">
        <v>40847</v>
      </c>
      <c r="BE54" s="116">
        <v>40818</v>
      </c>
      <c r="BF54" s="116">
        <v>40848</v>
      </c>
      <c r="BG54" s="116">
        <v>40848</v>
      </c>
      <c r="BH54" s="116">
        <v>40877</v>
      </c>
      <c r="BI54" s="116">
        <v>40849</v>
      </c>
      <c r="BJ54" s="116">
        <v>40878</v>
      </c>
      <c r="BK54" s="116">
        <v>40878</v>
      </c>
      <c r="BL54" s="116">
        <v>40908</v>
      </c>
      <c r="BM54" s="116">
        <v>40879</v>
      </c>
      <c r="BN54" s="116">
        <v>40909</v>
      </c>
    </row>
    <row r="55" spans="12:66" ht="51" customHeight="1">
      <c r="L55" s="116">
        <f>VLOOKUP(M47,R51:BN78,18)</f>
        <v>40664</v>
      </c>
      <c r="M55" s="116">
        <f>VLOOKUP(M47,R51:BN78,19)</f>
        <v>40694</v>
      </c>
      <c r="N55" s="116">
        <f>VLOOKUP(M47,R51:BN78,20)</f>
        <v>40665</v>
      </c>
      <c r="O55" s="116">
        <f>VLOOKUP(M47,R51:BN78,21)</f>
        <v>40695</v>
      </c>
      <c r="R55">
        <v>2012</v>
      </c>
      <c r="S55" s="116">
        <v>40909</v>
      </c>
      <c r="T55" s="116">
        <v>40939</v>
      </c>
      <c r="U55" s="116">
        <v>40910</v>
      </c>
      <c r="V55" s="116">
        <v>40940</v>
      </c>
      <c r="W55" s="116">
        <v>40940</v>
      </c>
      <c r="X55" s="116">
        <v>40968</v>
      </c>
      <c r="Y55" s="116">
        <v>40941</v>
      </c>
      <c r="Z55" s="116">
        <v>40969</v>
      </c>
      <c r="AA55" s="116">
        <v>40969</v>
      </c>
      <c r="AB55" s="116">
        <v>40999</v>
      </c>
      <c r="AC55" s="116">
        <v>40970</v>
      </c>
      <c r="AD55" s="116">
        <v>41000</v>
      </c>
      <c r="AE55" s="116">
        <v>41000</v>
      </c>
      <c r="AF55" s="116">
        <v>41029</v>
      </c>
      <c r="AG55" s="116">
        <v>41001</v>
      </c>
      <c r="AH55" s="116">
        <v>41030</v>
      </c>
      <c r="AI55" s="116">
        <v>41030</v>
      </c>
      <c r="AJ55" s="116">
        <v>41060</v>
      </c>
      <c r="AK55" s="116">
        <v>41031</v>
      </c>
      <c r="AL55" s="116">
        <v>41061</v>
      </c>
      <c r="AM55" s="116">
        <v>41061</v>
      </c>
      <c r="AN55" s="116">
        <v>41090</v>
      </c>
      <c r="AO55" s="116">
        <v>41062</v>
      </c>
      <c r="AP55" s="116">
        <v>41091</v>
      </c>
      <c r="AQ55" s="116">
        <v>41091</v>
      </c>
      <c r="AR55" s="116">
        <v>41121</v>
      </c>
      <c r="AS55" s="116">
        <v>41092</v>
      </c>
      <c r="AT55" s="116">
        <v>41122</v>
      </c>
      <c r="AU55" s="116">
        <v>41122</v>
      </c>
      <c r="AV55" s="116">
        <v>41152</v>
      </c>
      <c r="AW55" s="116">
        <v>41123</v>
      </c>
      <c r="AX55" s="116">
        <v>41153</v>
      </c>
      <c r="AY55" s="116">
        <v>41153</v>
      </c>
      <c r="AZ55" s="116">
        <v>41182</v>
      </c>
      <c r="BA55" s="116">
        <v>41154</v>
      </c>
      <c r="BB55" s="116">
        <v>41183</v>
      </c>
      <c r="BC55" s="116">
        <v>41183</v>
      </c>
      <c r="BD55" s="116">
        <v>41213</v>
      </c>
      <c r="BE55" s="116">
        <v>41184</v>
      </c>
      <c r="BF55" s="116">
        <v>41214</v>
      </c>
      <c r="BG55" s="116">
        <v>41214</v>
      </c>
      <c r="BH55" s="116">
        <v>41243</v>
      </c>
      <c r="BI55" s="116">
        <v>41215</v>
      </c>
      <c r="BJ55" s="116">
        <v>41244</v>
      </c>
      <c r="BK55" s="116">
        <v>41244</v>
      </c>
      <c r="BL55" s="116">
        <v>41274</v>
      </c>
      <c r="BM55" s="116">
        <v>41245</v>
      </c>
      <c r="BN55" s="116">
        <v>41275</v>
      </c>
    </row>
    <row r="56" spans="12:66" ht="51" customHeight="1">
      <c r="L56" s="116">
        <f>VLOOKUP(M47,R51:BN78,22)</f>
        <v>40695</v>
      </c>
      <c r="M56" s="116">
        <f>VLOOKUP(M47,R51:BN78,23)</f>
        <v>40724</v>
      </c>
      <c r="N56" s="116">
        <f>VLOOKUP(M47,R51:BN78,24)</f>
        <v>40696</v>
      </c>
      <c r="O56" s="116">
        <f>VLOOKUP(M47,R51:BN78,25)</f>
        <v>40725</v>
      </c>
      <c r="R56">
        <v>2013</v>
      </c>
      <c r="S56" s="116">
        <v>41275</v>
      </c>
      <c r="T56" s="116">
        <v>41305</v>
      </c>
      <c r="U56" s="116">
        <v>41276</v>
      </c>
      <c r="V56" s="116">
        <v>41306</v>
      </c>
      <c r="W56" s="116">
        <v>41306</v>
      </c>
      <c r="X56" s="116">
        <v>41333</v>
      </c>
      <c r="Y56" s="116">
        <v>41307</v>
      </c>
      <c r="Z56" s="116">
        <v>41334</v>
      </c>
      <c r="AA56" s="116">
        <v>41334</v>
      </c>
      <c r="AB56" s="116">
        <v>41364</v>
      </c>
      <c r="AC56" s="116">
        <v>41335</v>
      </c>
      <c r="AD56" s="116">
        <v>41365</v>
      </c>
      <c r="AE56" s="116">
        <v>41365</v>
      </c>
      <c r="AF56" s="116">
        <v>41394</v>
      </c>
      <c r="AG56" s="116">
        <v>41366</v>
      </c>
      <c r="AH56" s="116">
        <v>41395</v>
      </c>
      <c r="AI56" s="116">
        <v>41395</v>
      </c>
      <c r="AJ56" s="116">
        <v>41425</v>
      </c>
      <c r="AK56" s="116">
        <v>41396</v>
      </c>
      <c r="AL56" s="116">
        <v>41426</v>
      </c>
      <c r="AM56" s="116">
        <v>41426</v>
      </c>
      <c r="AN56" s="116">
        <v>41455</v>
      </c>
      <c r="AO56" s="116">
        <v>41427</v>
      </c>
      <c r="AP56" s="116">
        <v>41456</v>
      </c>
      <c r="AQ56" s="116">
        <v>41456</v>
      </c>
      <c r="AR56" s="116">
        <v>41486</v>
      </c>
      <c r="AS56" s="116">
        <v>41457</v>
      </c>
      <c r="AT56" s="116">
        <v>41487</v>
      </c>
      <c r="AU56" s="116">
        <v>41487</v>
      </c>
      <c r="AV56" s="116">
        <v>41517</v>
      </c>
      <c r="AW56" s="116">
        <v>41488</v>
      </c>
      <c r="AX56" s="116">
        <v>41518</v>
      </c>
      <c r="AY56" s="116">
        <v>41518</v>
      </c>
      <c r="AZ56" s="116">
        <v>41547</v>
      </c>
      <c r="BA56" s="116">
        <v>41519</v>
      </c>
      <c r="BB56" s="116">
        <v>41548</v>
      </c>
      <c r="BC56" s="116">
        <v>41548</v>
      </c>
      <c r="BD56" s="116">
        <v>41578</v>
      </c>
      <c r="BE56" s="116">
        <v>41549</v>
      </c>
      <c r="BF56" s="116">
        <v>41579</v>
      </c>
      <c r="BG56" s="116">
        <v>41579</v>
      </c>
      <c r="BH56" s="116">
        <v>41608</v>
      </c>
      <c r="BI56" s="116">
        <v>41580</v>
      </c>
      <c r="BJ56" s="116">
        <v>41609</v>
      </c>
      <c r="BK56" s="116">
        <v>41609</v>
      </c>
      <c r="BL56" s="116">
        <v>41639</v>
      </c>
      <c r="BM56" s="116">
        <v>41610</v>
      </c>
      <c r="BN56" s="116">
        <v>41640</v>
      </c>
    </row>
    <row r="57" spans="12:66" ht="51" customHeight="1">
      <c r="L57" s="116">
        <f>VLOOKUP(M47,R51:BN78,26)</f>
        <v>40725</v>
      </c>
      <c r="M57" s="116">
        <f>VLOOKUP(M47,R51:BN78,27)</f>
        <v>40755</v>
      </c>
      <c r="N57" s="116">
        <f>VLOOKUP(M47,R51:BN78,28)</f>
        <v>40726</v>
      </c>
      <c r="O57" s="116">
        <f>VLOOKUP(M47,R51:BN78,29)</f>
        <v>40756</v>
      </c>
      <c r="R57">
        <v>2014</v>
      </c>
      <c r="S57" s="116">
        <v>41640</v>
      </c>
      <c r="T57" s="116">
        <v>41670</v>
      </c>
      <c r="U57" s="116">
        <v>41641</v>
      </c>
      <c r="V57" s="116">
        <v>41671</v>
      </c>
      <c r="W57" s="116">
        <v>41671</v>
      </c>
      <c r="X57" s="116">
        <v>41698</v>
      </c>
      <c r="Y57" s="116">
        <v>41672</v>
      </c>
      <c r="Z57" s="116">
        <v>41699</v>
      </c>
      <c r="AA57" s="116">
        <v>41699</v>
      </c>
      <c r="AB57" s="116">
        <v>41729</v>
      </c>
      <c r="AC57" s="116">
        <v>41700</v>
      </c>
      <c r="AD57" s="116">
        <v>41730</v>
      </c>
      <c r="AE57" s="116">
        <v>41730</v>
      </c>
      <c r="AF57" s="116">
        <v>41759</v>
      </c>
      <c r="AG57" s="116">
        <v>41731</v>
      </c>
      <c r="AH57" s="116">
        <v>41760</v>
      </c>
      <c r="AI57" s="116">
        <v>41760</v>
      </c>
      <c r="AJ57" s="116">
        <v>41790</v>
      </c>
      <c r="AK57" s="116">
        <v>41761</v>
      </c>
      <c r="AL57" s="116">
        <v>41791</v>
      </c>
      <c r="AM57" s="116">
        <v>41791</v>
      </c>
      <c r="AN57" s="116">
        <v>41820</v>
      </c>
      <c r="AO57" s="116">
        <v>41792</v>
      </c>
      <c r="AP57" s="116">
        <v>41821</v>
      </c>
      <c r="AQ57" s="116">
        <v>41821</v>
      </c>
      <c r="AR57" s="116">
        <v>41851</v>
      </c>
      <c r="AS57" s="116">
        <v>41822</v>
      </c>
      <c r="AT57" s="116">
        <v>41852</v>
      </c>
      <c r="AU57" s="116">
        <v>41852</v>
      </c>
      <c r="AV57" s="116">
        <v>41882</v>
      </c>
      <c r="AW57" s="116">
        <v>41853</v>
      </c>
      <c r="AX57" s="116">
        <v>41883</v>
      </c>
      <c r="AY57" s="116">
        <v>41883</v>
      </c>
      <c r="AZ57" s="116">
        <v>41912</v>
      </c>
      <c r="BA57" s="116">
        <v>41884</v>
      </c>
      <c r="BB57" s="116">
        <v>41913</v>
      </c>
      <c r="BC57" s="116">
        <v>41913</v>
      </c>
      <c r="BD57" s="116">
        <v>41943</v>
      </c>
      <c r="BE57" s="116">
        <v>41914</v>
      </c>
      <c r="BF57" s="116">
        <v>41944</v>
      </c>
      <c r="BG57" s="116">
        <v>41944</v>
      </c>
      <c r="BH57" s="116">
        <v>41973</v>
      </c>
      <c r="BI57" s="116">
        <v>41945</v>
      </c>
      <c r="BJ57" s="116">
        <v>41974</v>
      </c>
      <c r="BK57" s="116">
        <v>41974</v>
      </c>
      <c r="BL57" s="116">
        <v>42004</v>
      </c>
      <c r="BM57" s="116">
        <v>41975</v>
      </c>
      <c r="BN57" s="116">
        <v>42005</v>
      </c>
    </row>
    <row r="58" spans="12:66" ht="51" customHeight="1">
      <c r="L58" s="116">
        <f>VLOOKUP(M47,R51:BN78,30)</f>
        <v>40756</v>
      </c>
      <c r="M58" s="116">
        <f>VLOOKUP(M47,R51:BN78,31)</f>
        <v>40786</v>
      </c>
      <c r="N58" s="116">
        <f>VLOOKUP(M47,R51:BN78,32)</f>
        <v>40757</v>
      </c>
      <c r="O58" s="116">
        <f>VLOOKUP(M47,R51:BN78,33)</f>
        <v>40787</v>
      </c>
      <c r="R58">
        <v>2015</v>
      </c>
      <c r="S58" s="116">
        <v>42005</v>
      </c>
      <c r="T58" s="116">
        <v>42035</v>
      </c>
      <c r="U58" s="116">
        <v>42006</v>
      </c>
      <c r="V58" s="116">
        <v>42036</v>
      </c>
      <c r="W58" s="116">
        <v>42036</v>
      </c>
      <c r="X58" s="116">
        <v>42063</v>
      </c>
      <c r="Y58" s="116">
        <v>42037</v>
      </c>
      <c r="Z58" s="116">
        <v>42064</v>
      </c>
      <c r="AA58" s="116">
        <v>42064</v>
      </c>
      <c r="AB58" s="116">
        <v>42094</v>
      </c>
      <c r="AC58" s="116">
        <v>42065</v>
      </c>
      <c r="AD58" s="116">
        <v>42095</v>
      </c>
      <c r="AE58" s="116">
        <v>42095</v>
      </c>
      <c r="AF58" s="116">
        <v>42124</v>
      </c>
      <c r="AG58" s="116">
        <v>42096</v>
      </c>
      <c r="AH58" s="116">
        <v>42125</v>
      </c>
      <c r="AI58" s="116">
        <v>42125</v>
      </c>
      <c r="AJ58" s="116">
        <v>42155</v>
      </c>
      <c r="AK58" s="116">
        <v>42126</v>
      </c>
      <c r="AL58" s="116">
        <v>42156</v>
      </c>
      <c r="AM58" s="116">
        <v>42156</v>
      </c>
      <c r="AN58" s="116">
        <v>42185</v>
      </c>
      <c r="AO58" s="116">
        <v>42157</v>
      </c>
      <c r="AP58" s="116">
        <v>42186</v>
      </c>
      <c r="AQ58" s="116">
        <v>42186</v>
      </c>
      <c r="AR58" s="116">
        <v>42216</v>
      </c>
      <c r="AS58" s="116">
        <v>42187</v>
      </c>
      <c r="AT58" s="116">
        <v>42217</v>
      </c>
      <c r="AU58" s="116">
        <v>42217</v>
      </c>
      <c r="AV58" s="116">
        <v>42247</v>
      </c>
      <c r="AW58" s="116">
        <v>42218</v>
      </c>
      <c r="AX58" s="116">
        <v>42248</v>
      </c>
      <c r="AY58" s="116">
        <v>42248</v>
      </c>
      <c r="AZ58" s="116">
        <v>42277</v>
      </c>
      <c r="BA58" s="116">
        <v>42249</v>
      </c>
      <c r="BB58" s="116">
        <v>42278</v>
      </c>
      <c r="BC58" s="116">
        <v>42278</v>
      </c>
      <c r="BD58" s="116">
        <v>42308</v>
      </c>
      <c r="BE58" s="116">
        <v>42279</v>
      </c>
      <c r="BF58" s="116">
        <v>42309</v>
      </c>
      <c r="BG58" s="116">
        <v>42309</v>
      </c>
      <c r="BH58" s="116">
        <v>42338</v>
      </c>
      <c r="BI58" s="116">
        <v>42310</v>
      </c>
      <c r="BJ58" s="116">
        <v>42339</v>
      </c>
      <c r="BK58" s="116">
        <v>42339</v>
      </c>
      <c r="BL58" s="116">
        <v>42369</v>
      </c>
      <c r="BM58" s="116">
        <v>42340</v>
      </c>
      <c r="BN58" s="116">
        <v>42370</v>
      </c>
    </row>
    <row r="59" spans="12:66" ht="51" customHeight="1">
      <c r="L59" s="116">
        <f>VLOOKUP(M47,R51:BN78,34)</f>
        <v>40787</v>
      </c>
      <c r="M59" s="116">
        <f>VLOOKUP(M47,R52:BN79,35)</f>
        <v>40816</v>
      </c>
      <c r="N59" s="116">
        <f>VLOOKUP(M47,R52:BN79,36)</f>
        <v>40788</v>
      </c>
      <c r="O59" s="116">
        <f>VLOOKUP(M47,R52:BN79,37)</f>
        <v>40817</v>
      </c>
      <c r="R59">
        <v>2016</v>
      </c>
      <c r="S59" s="116">
        <v>42370</v>
      </c>
      <c r="T59" s="116">
        <v>42400</v>
      </c>
      <c r="U59" s="116">
        <v>42371</v>
      </c>
      <c r="V59" s="116">
        <v>42401</v>
      </c>
      <c r="W59" s="116">
        <v>42401</v>
      </c>
      <c r="X59" s="116">
        <v>42429</v>
      </c>
      <c r="Y59" s="116">
        <v>42402</v>
      </c>
      <c r="Z59" s="116">
        <v>42430</v>
      </c>
      <c r="AA59" s="116">
        <v>42430</v>
      </c>
      <c r="AB59" s="116">
        <v>42460</v>
      </c>
      <c r="AC59" s="116">
        <v>42431</v>
      </c>
      <c r="AD59" s="116">
        <v>42461</v>
      </c>
      <c r="AE59" s="116">
        <v>42461</v>
      </c>
      <c r="AF59" s="116">
        <v>42490</v>
      </c>
      <c r="AG59" s="116">
        <v>42462</v>
      </c>
      <c r="AH59" s="116">
        <v>42491</v>
      </c>
      <c r="AI59" s="116">
        <v>42491</v>
      </c>
      <c r="AJ59" s="116">
        <v>42521</v>
      </c>
      <c r="AK59" s="116">
        <v>42492</v>
      </c>
      <c r="AL59" s="116">
        <v>42522</v>
      </c>
      <c r="AM59" s="116">
        <v>42522</v>
      </c>
      <c r="AN59" s="116">
        <v>42551</v>
      </c>
      <c r="AO59" s="116">
        <v>42523</v>
      </c>
      <c r="AP59" s="116">
        <v>42552</v>
      </c>
      <c r="AQ59" s="116">
        <v>42552</v>
      </c>
      <c r="AR59" s="116">
        <v>42582</v>
      </c>
      <c r="AS59" s="116">
        <v>42553</v>
      </c>
      <c r="AT59" s="116">
        <v>42583</v>
      </c>
      <c r="AU59" s="116">
        <v>42583</v>
      </c>
      <c r="AV59" s="116">
        <v>42613</v>
      </c>
      <c r="AW59" s="116">
        <v>42584</v>
      </c>
      <c r="AX59" s="116">
        <v>42614</v>
      </c>
      <c r="AY59" s="116">
        <v>42614</v>
      </c>
      <c r="AZ59" s="116">
        <v>42643</v>
      </c>
      <c r="BA59" s="116">
        <v>42615</v>
      </c>
      <c r="BB59" s="116">
        <v>42644</v>
      </c>
      <c r="BC59" s="116">
        <v>42644</v>
      </c>
      <c r="BD59" s="116">
        <v>42674</v>
      </c>
      <c r="BE59" s="116">
        <v>42645</v>
      </c>
      <c r="BF59" s="116">
        <v>42675</v>
      </c>
      <c r="BG59" s="116">
        <v>42675</v>
      </c>
      <c r="BH59" s="116">
        <v>42704</v>
      </c>
      <c r="BI59" s="116">
        <v>42676</v>
      </c>
      <c r="BJ59" s="116">
        <v>42705</v>
      </c>
      <c r="BK59" s="116">
        <v>42705</v>
      </c>
      <c r="BL59" s="116">
        <v>42735</v>
      </c>
      <c r="BM59" s="116">
        <v>42706</v>
      </c>
      <c r="BN59" s="116">
        <v>42736</v>
      </c>
    </row>
    <row r="60" spans="12:66" ht="51" customHeight="1">
      <c r="L60" s="116">
        <f>VLOOKUP(M47,R52:BN79,38)</f>
        <v>40817</v>
      </c>
      <c r="M60" s="116">
        <f>VLOOKUP(M47,R51:BN78,39)</f>
        <v>40847</v>
      </c>
      <c r="N60" s="116">
        <f>VLOOKUP(M47,R51:BN78,40)</f>
        <v>40818</v>
      </c>
      <c r="O60" s="116">
        <f>VLOOKUP(M47,R51:BN78,41)</f>
        <v>40848</v>
      </c>
      <c r="R60">
        <v>2017</v>
      </c>
      <c r="S60" s="116">
        <v>42736</v>
      </c>
      <c r="T60" s="116">
        <v>42766</v>
      </c>
      <c r="U60" s="116">
        <v>42737</v>
      </c>
      <c r="V60" s="116">
        <v>42767</v>
      </c>
      <c r="W60" s="116">
        <v>42767</v>
      </c>
      <c r="X60" s="116">
        <v>42794</v>
      </c>
      <c r="Y60" s="116">
        <v>42768</v>
      </c>
      <c r="Z60" s="116">
        <v>42795</v>
      </c>
      <c r="AA60" s="116">
        <v>42795</v>
      </c>
      <c r="AB60" s="116">
        <v>42825</v>
      </c>
      <c r="AC60" s="116">
        <v>42796</v>
      </c>
      <c r="AD60" s="116">
        <v>42826</v>
      </c>
      <c r="AE60" s="116">
        <v>42826</v>
      </c>
      <c r="AF60" s="116">
        <v>42855</v>
      </c>
      <c r="AG60" s="116">
        <v>42827</v>
      </c>
      <c r="AH60" s="116">
        <v>42856</v>
      </c>
      <c r="AI60" s="116">
        <v>42856</v>
      </c>
      <c r="AJ60" s="116">
        <v>42886</v>
      </c>
      <c r="AK60" s="116">
        <v>42857</v>
      </c>
      <c r="AL60" s="116">
        <v>42887</v>
      </c>
      <c r="AM60" s="116">
        <v>42887</v>
      </c>
      <c r="AN60" s="116">
        <v>42916</v>
      </c>
      <c r="AO60" s="116">
        <v>42888</v>
      </c>
      <c r="AP60" s="116">
        <v>42917</v>
      </c>
      <c r="AQ60" s="116">
        <v>42917</v>
      </c>
      <c r="AR60" s="116">
        <v>42947</v>
      </c>
      <c r="AS60" s="116">
        <v>42918</v>
      </c>
      <c r="AT60" s="116">
        <v>42948</v>
      </c>
      <c r="AU60" s="116">
        <v>42948</v>
      </c>
      <c r="AV60" s="116">
        <v>42978</v>
      </c>
      <c r="AW60" s="116">
        <v>42949</v>
      </c>
      <c r="AX60" s="116">
        <v>42979</v>
      </c>
      <c r="AY60" s="116">
        <v>42979</v>
      </c>
      <c r="AZ60" s="116">
        <v>43008</v>
      </c>
      <c r="BA60" s="116">
        <v>42980</v>
      </c>
      <c r="BB60" s="116">
        <v>43009</v>
      </c>
      <c r="BC60" s="116">
        <v>43009</v>
      </c>
      <c r="BD60" s="116">
        <v>43039</v>
      </c>
      <c r="BE60" s="116">
        <v>43010</v>
      </c>
      <c r="BF60" s="116">
        <v>43040</v>
      </c>
      <c r="BG60" s="116">
        <v>43040</v>
      </c>
      <c r="BH60" s="116">
        <v>43069</v>
      </c>
      <c r="BI60" s="116">
        <v>43041</v>
      </c>
      <c r="BJ60" s="116">
        <v>43070</v>
      </c>
      <c r="BK60" s="116">
        <v>43070</v>
      </c>
      <c r="BL60" s="116">
        <v>43100</v>
      </c>
      <c r="BM60" s="116">
        <v>43071</v>
      </c>
      <c r="BN60" s="116">
        <v>43101</v>
      </c>
    </row>
    <row r="61" spans="12:66" ht="51" customHeight="1">
      <c r="L61" s="116">
        <f>VLOOKUP(M47,R51:BN78,42)</f>
        <v>40848</v>
      </c>
      <c r="M61" s="116">
        <f>VLOOKUP(M47,R51:BN78,43)</f>
        <v>40877</v>
      </c>
      <c r="N61" s="116">
        <f>VLOOKUP(M47,R51:BN78,44)</f>
        <v>40849</v>
      </c>
      <c r="O61" s="116">
        <f>VLOOKUP(M47,R51:BN78,45)</f>
        <v>40878</v>
      </c>
      <c r="R61">
        <v>2018</v>
      </c>
      <c r="S61" s="116">
        <v>43101</v>
      </c>
      <c r="T61" s="116">
        <v>43131</v>
      </c>
      <c r="U61" s="116">
        <v>43102</v>
      </c>
      <c r="V61" s="116">
        <v>43132</v>
      </c>
      <c r="W61" s="116">
        <v>43132</v>
      </c>
      <c r="X61" s="116">
        <v>43159</v>
      </c>
      <c r="Y61" s="116">
        <v>43133</v>
      </c>
      <c r="Z61" s="116">
        <v>43160</v>
      </c>
      <c r="AA61" s="116">
        <v>43160</v>
      </c>
      <c r="AB61" s="116">
        <v>43190</v>
      </c>
      <c r="AC61" s="116">
        <v>43161</v>
      </c>
      <c r="AD61" s="116">
        <v>43191</v>
      </c>
      <c r="AE61" s="116">
        <v>43191</v>
      </c>
      <c r="AF61" s="116">
        <v>43220</v>
      </c>
      <c r="AG61" s="116">
        <v>43192</v>
      </c>
      <c r="AH61" s="116">
        <v>43221</v>
      </c>
      <c r="AI61" s="116">
        <v>43221</v>
      </c>
      <c r="AJ61" s="116">
        <v>43251</v>
      </c>
      <c r="AK61" s="116">
        <v>43222</v>
      </c>
      <c r="AL61" s="116">
        <v>43252</v>
      </c>
      <c r="AM61" s="116">
        <v>43252</v>
      </c>
      <c r="AN61" s="116">
        <v>43281</v>
      </c>
      <c r="AO61" s="116">
        <v>43253</v>
      </c>
      <c r="AP61" s="116">
        <v>43282</v>
      </c>
      <c r="AQ61" s="116">
        <v>43282</v>
      </c>
      <c r="AR61" s="116">
        <v>43312</v>
      </c>
      <c r="AS61" s="116">
        <v>43283</v>
      </c>
      <c r="AT61" s="116">
        <v>43313</v>
      </c>
      <c r="AU61" s="116">
        <v>43313</v>
      </c>
      <c r="AV61" s="116">
        <v>43343</v>
      </c>
      <c r="AW61" s="116">
        <v>43314</v>
      </c>
      <c r="AX61" s="116">
        <v>43344</v>
      </c>
      <c r="AY61" s="116">
        <v>43344</v>
      </c>
      <c r="AZ61" s="116">
        <v>43373</v>
      </c>
      <c r="BA61" s="116">
        <v>43345</v>
      </c>
      <c r="BB61" s="116">
        <v>43374</v>
      </c>
      <c r="BC61" s="116">
        <v>43374</v>
      </c>
      <c r="BD61" s="116">
        <v>43404</v>
      </c>
      <c r="BE61" s="116">
        <v>43375</v>
      </c>
      <c r="BF61" s="116">
        <v>43405</v>
      </c>
      <c r="BG61" s="116">
        <v>43405</v>
      </c>
      <c r="BH61" s="116">
        <v>43434</v>
      </c>
      <c r="BI61" s="116">
        <v>43406</v>
      </c>
      <c r="BJ61" s="116">
        <v>43435</v>
      </c>
      <c r="BK61" s="116">
        <v>43435</v>
      </c>
      <c r="BL61" s="116">
        <v>43465</v>
      </c>
      <c r="BM61" s="116">
        <v>43436</v>
      </c>
      <c r="BN61" s="116">
        <v>43466</v>
      </c>
    </row>
    <row r="62" spans="12:66" ht="51" customHeight="1">
      <c r="L62" s="116">
        <f>VLOOKUP(M47,R51:BN78,46)</f>
        <v>40878</v>
      </c>
      <c r="M62" s="116">
        <f>VLOOKUP(M47,R51:BN78,47)</f>
        <v>40908</v>
      </c>
      <c r="N62" s="116">
        <f>VLOOKUP(M47,R51:BN78,48)</f>
        <v>40879</v>
      </c>
      <c r="O62" s="116">
        <f>VLOOKUP(M47,R51:BN78,49)</f>
        <v>40909</v>
      </c>
      <c r="R62">
        <v>2019</v>
      </c>
      <c r="S62" s="116">
        <v>43466</v>
      </c>
      <c r="T62" s="116">
        <v>43496</v>
      </c>
      <c r="U62" s="116">
        <v>43467</v>
      </c>
      <c r="V62" s="116">
        <v>43497</v>
      </c>
      <c r="W62" s="116">
        <v>43497</v>
      </c>
      <c r="X62" s="116">
        <v>43524</v>
      </c>
      <c r="Y62" s="116">
        <v>43498</v>
      </c>
      <c r="Z62" s="116">
        <v>43525</v>
      </c>
      <c r="AA62" s="116">
        <v>43525</v>
      </c>
      <c r="AB62" s="116">
        <v>43555</v>
      </c>
      <c r="AC62" s="116">
        <v>43526</v>
      </c>
      <c r="AD62" s="116">
        <v>43556</v>
      </c>
      <c r="AE62" s="116">
        <v>43556</v>
      </c>
      <c r="AF62" s="116">
        <v>43585</v>
      </c>
      <c r="AG62" s="116">
        <v>43557</v>
      </c>
      <c r="AH62" s="116">
        <v>43586</v>
      </c>
      <c r="AI62" s="116">
        <v>43586</v>
      </c>
      <c r="AJ62" s="116">
        <v>43616</v>
      </c>
      <c r="AK62" s="116">
        <v>43587</v>
      </c>
      <c r="AL62" s="116">
        <v>43617</v>
      </c>
      <c r="AM62" s="116">
        <v>43617</v>
      </c>
      <c r="AN62" s="116">
        <v>43646</v>
      </c>
      <c r="AO62" s="116">
        <v>43618</v>
      </c>
      <c r="AP62" s="116">
        <v>43647</v>
      </c>
      <c r="AQ62" s="116">
        <v>43647</v>
      </c>
      <c r="AR62" s="116">
        <v>43677</v>
      </c>
      <c r="AS62" s="116">
        <v>43648</v>
      </c>
      <c r="AT62" s="116">
        <v>43678</v>
      </c>
      <c r="AU62" s="116">
        <v>43678</v>
      </c>
      <c r="AV62" s="116">
        <v>43708</v>
      </c>
      <c r="AW62" s="116">
        <v>43679</v>
      </c>
      <c r="AX62" s="116">
        <v>43709</v>
      </c>
      <c r="AY62" s="116">
        <v>43709</v>
      </c>
      <c r="AZ62" s="116">
        <v>43738</v>
      </c>
      <c r="BA62" s="116">
        <v>43710</v>
      </c>
      <c r="BB62" s="116">
        <v>43739</v>
      </c>
      <c r="BC62" s="116">
        <v>43739</v>
      </c>
      <c r="BD62" s="116">
        <v>43769</v>
      </c>
      <c r="BE62" s="116">
        <v>43740</v>
      </c>
      <c r="BF62" s="116">
        <v>43770</v>
      </c>
      <c r="BG62" s="116">
        <v>43770</v>
      </c>
      <c r="BH62" s="116">
        <v>43799</v>
      </c>
      <c r="BI62" s="116">
        <v>43771</v>
      </c>
      <c r="BJ62" s="116">
        <v>43800</v>
      </c>
      <c r="BK62" s="116">
        <v>43800</v>
      </c>
      <c r="BL62" s="116">
        <v>43830</v>
      </c>
      <c r="BM62" s="116">
        <v>43801</v>
      </c>
      <c r="BN62" s="116">
        <v>43831</v>
      </c>
    </row>
    <row r="63" spans="12:66" ht="51" customHeight="1">
      <c r="L63" s="116"/>
      <c r="M63" s="116"/>
      <c r="N63" s="116"/>
      <c r="O63" s="116"/>
      <c r="R63">
        <v>2020</v>
      </c>
      <c r="S63" s="116">
        <v>43831</v>
      </c>
      <c r="T63" s="116">
        <v>43861</v>
      </c>
      <c r="U63" s="116">
        <v>43832</v>
      </c>
      <c r="V63" s="116">
        <v>43862</v>
      </c>
      <c r="W63" s="116">
        <v>43862</v>
      </c>
      <c r="X63" s="116">
        <v>43890</v>
      </c>
      <c r="Y63" s="116">
        <v>43863</v>
      </c>
      <c r="Z63" s="116">
        <v>43891</v>
      </c>
      <c r="AA63" s="116">
        <v>43891</v>
      </c>
      <c r="AB63" s="116">
        <v>43921</v>
      </c>
      <c r="AC63" s="116">
        <v>43892</v>
      </c>
      <c r="AD63" s="116">
        <v>43922</v>
      </c>
      <c r="AE63" s="116">
        <v>43922</v>
      </c>
      <c r="AF63" s="116">
        <v>43951</v>
      </c>
      <c r="AG63" s="116">
        <v>43923</v>
      </c>
      <c r="AH63" s="116">
        <v>43952</v>
      </c>
      <c r="AI63" s="116">
        <v>43952</v>
      </c>
      <c r="AJ63" s="116">
        <v>43982</v>
      </c>
      <c r="AK63" s="116">
        <v>43953</v>
      </c>
      <c r="AL63" s="116">
        <v>43983</v>
      </c>
      <c r="AM63" s="116">
        <v>43983</v>
      </c>
      <c r="AN63" s="116">
        <v>44012</v>
      </c>
      <c r="AO63" s="116">
        <v>43984</v>
      </c>
      <c r="AP63" s="116">
        <v>44013</v>
      </c>
      <c r="AQ63" s="116">
        <v>44013</v>
      </c>
      <c r="AR63" s="116">
        <v>44043</v>
      </c>
      <c r="AS63" s="116">
        <v>44014</v>
      </c>
      <c r="AT63" s="116">
        <v>44044</v>
      </c>
      <c r="AU63" s="116">
        <v>44044</v>
      </c>
      <c r="AV63" s="116">
        <v>44074</v>
      </c>
      <c r="AW63" s="116">
        <v>44045</v>
      </c>
      <c r="AX63" s="116">
        <v>44075</v>
      </c>
      <c r="AY63" s="116">
        <v>44075</v>
      </c>
      <c r="AZ63" s="116">
        <v>44104</v>
      </c>
      <c r="BA63" s="116">
        <v>44076</v>
      </c>
      <c r="BB63" s="116">
        <v>44105</v>
      </c>
      <c r="BC63" s="116">
        <v>44105</v>
      </c>
      <c r="BD63" s="116">
        <v>44135</v>
      </c>
      <c r="BE63" s="116">
        <v>44106</v>
      </c>
      <c r="BF63" s="116">
        <v>44136</v>
      </c>
      <c r="BG63" s="116">
        <v>44136</v>
      </c>
      <c r="BH63" s="116">
        <v>44165</v>
      </c>
      <c r="BI63" s="116">
        <v>44137</v>
      </c>
      <c r="BJ63" s="116">
        <v>44166</v>
      </c>
      <c r="BK63" s="116">
        <v>44166</v>
      </c>
      <c r="BL63" s="116">
        <v>44196</v>
      </c>
      <c r="BM63" s="116">
        <v>44167</v>
      </c>
      <c r="BN63" s="116">
        <v>44197</v>
      </c>
    </row>
    <row r="64" spans="12:66" ht="51" customHeight="1">
      <c r="L64" s="116"/>
      <c r="M64" s="116"/>
      <c r="N64" s="116"/>
      <c r="O64" s="116"/>
      <c r="R64">
        <v>2021</v>
      </c>
      <c r="S64" s="116">
        <v>44197</v>
      </c>
      <c r="T64" s="116">
        <v>44227</v>
      </c>
      <c r="U64" s="116">
        <v>44198</v>
      </c>
      <c r="V64" s="116">
        <v>44228</v>
      </c>
      <c r="W64" s="116">
        <v>44228</v>
      </c>
      <c r="X64" s="116">
        <v>44255</v>
      </c>
      <c r="Y64" s="116">
        <v>44229</v>
      </c>
      <c r="Z64" s="116">
        <v>44256</v>
      </c>
      <c r="AA64" s="116">
        <v>44256</v>
      </c>
      <c r="AB64" s="116">
        <v>44286</v>
      </c>
      <c r="AC64" s="116">
        <v>44257</v>
      </c>
      <c r="AD64" s="116">
        <v>44287</v>
      </c>
      <c r="AE64" s="116">
        <v>44287</v>
      </c>
      <c r="AF64" s="116">
        <v>44316</v>
      </c>
      <c r="AG64" s="116">
        <v>44288</v>
      </c>
      <c r="AH64" s="116">
        <v>44317</v>
      </c>
      <c r="AI64" s="116">
        <v>44317</v>
      </c>
      <c r="AJ64" s="116">
        <v>44347</v>
      </c>
      <c r="AK64" s="116">
        <v>44318</v>
      </c>
      <c r="AL64" s="116">
        <v>44348</v>
      </c>
      <c r="AM64" s="116">
        <v>44348</v>
      </c>
      <c r="AN64" s="116">
        <v>44377</v>
      </c>
      <c r="AO64" s="116">
        <v>44349</v>
      </c>
      <c r="AP64" s="116">
        <v>44378</v>
      </c>
      <c r="AQ64" s="116">
        <v>44378</v>
      </c>
      <c r="AR64" s="116">
        <v>44408</v>
      </c>
      <c r="AS64" s="116">
        <v>44379</v>
      </c>
      <c r="AT64" s="116">
        <v>44409</v>
      </c>
      <c r="AU64" s="116">
        <v>44409</v>
      </c>
      <c r="AV64" s="116">
        <v>44439</v>
      </c>
      <c r="AW64" s="116">
        <v>44410</v>
      </c>
      <c r="AX64" s="116">
        <v>44440</v>
      </c>
      <c r="AY64" s="116">
        <v>44440</v>
      </c>
      <c r="AZ64" s="116">
        <v>44469</v>
      </c>
      <c r="BA64" s="116">
        <v>44441</v>
      </c>
      <c r="BB64" s="116">
        <v>44470</v>
      </c>
      <c r="BC64" s="116">
        <v>44470</v>
      </c>
      <c r="BD64" s="116">
        <v>44500</v>
      </c>
      <c r="BE64" s="116">
        <v>44471</v>
      </c>
      <c r="BF64" s="116">
        <v>44501</v>
      </c>
      <c r="BG64" s="116">
        <v>44501</v>
      </c>
      <c r="BH64" s="116">
        <v>44530</v>
      </c>
      <c r="BI64" s="116">
        <v>44502</v>
      </c>
      <c r="BJ64" s="116">
        <v>44531</v>
      </c>
      <c r="BK64" s="116">
        <v>44531</v>
      </c>
      <c r="BL64" s="116">
        <v>44561</v>
      </c>
      <c r="BM64" s="116">
        <v>44532</v>
      </c>
      <c r="BN64" s="116">
        <v>44562</v>
      </c>
    </row>
    <row r="65" spans="12:66" ht="51" customHeight="1">
      <c r="L65" s="116"/>
      <c r="M65" s="116"/>
      <c r="N65" s="116"/>
      <c r="O65" s="116"/>
      <c r="R65">
        <v>2022</v>
      </c>
      <c r="S65" s="116">
        <v>44562</v>
      </c>
      <c r="T65" s="116">
        <v>44592</v>
      </c>
      <c r="U65" s="116">
        <v>44563</v>
      </c>
      <c r="V65" s="116">
        <v>44593</v>
      </c>
      <c r="W65" s="116">
        <v>44593</v>
      </c>
      <c r="X65" s="116">
        <v>44620</v>
      </c>
      <c r="Y65" s="116">
        <v>44594</v>
      </c>
      <c r="Z65" s="116">
        <v>44621</v>
      </c>
      <c r="AA65" s="116">
        <v>44621</v>
      </c>
      <c r="AB65" s="116">
        <v>44651</v>
      </c>
      <c r="AC65" s="116">
        <v>44622</v>
      </c>
      <c r="AD65" s="116">
        <v>44652</v>
      </c>
      <c r="AE65" s="116">
        <v>44652</v>
      </c>
      <c r="AF65" s="116">
        <v>44681</v>
      </c>
      <c r="AG65" s="116">
        <v>44653</v>
      </c>
      <c r="AH65" s="116">
        <v>44682</v>
      </c>
      <c r="AI65" s="116">
        <v>44682</v>
      </c>
      <c r="AJ65" s="116">
        <v>44712</v>
      </c>
      <c r="AK65" s="116">
        <v>44683</v>
      </c>
      <c r="AL65" s="116">
        <v>44713</v>
      </c>
      <c r="AM65" s="116">
        <v>44713</v>
      </c>
      <c r="AN65" s="116">
        <v>44742</v>
      </c>
      <c r="AO65" s="116">
        <v>44714</v>
      </c>
      <c r="AP65" s="116">
        <v>44743</v>
      </c>
      <c r="AQ65" s="116">
        <v>44743</v>
      </c>
      <c r="AR65" s="116">
        <v>44773</v>
      </c>
      <c r="AS65" s="116">
        <v>44744</v>
      </c>
      <c r="AT65" s="116">
        <v>44774</v>
      </c>
      <c r="AU65" s="116">
        <v>44774</v>
      </c>
      <c r="AV65" s="116">
        <v>44804</v>
      </c>
      <c r="AW65" s="116">
        <v>44775</v>
      </c>
      <c r="AX65" s="116">
        <v>44805</v>
      </c>
      <c r="AY65" s="116">
        <v>44805</v>
      </c>
      <c r="AZ65" s="116">
        <v>44834</v>
      </c>
      <c r="BA65" s="116">
        <v>44806</v>
      </c>
      <c r="BB65" s="116">
        <v>44835</v>
      </c>
      <c r="BC65" s="116">
        <v>44835</v>
      </c>
      <c r="BD65" s="116">
        <v>44865</v>
      </c>
      <c r="BE65" s="116">
        <v>44836</v>
      </c>
      <c r="BF65" s="116">
        <v>44866</v>
      </c>
      <c r="BG65" s="116">
        <v>44866</v>
      </c>
      <c r="BH65" s="116">
        <v>44895</v>
      </c>
      <c r="BI65" s="116">
        <v>44867</v>
      </c>
      <c r="BJ65" s="116">
        <v>44896</v>
      </c>
      <c r="BK65" s="116">
        <v>44896</v>
      </c>
      <c r="BL65" s="116">
        <v>44926</v>
      </c>
      <c r="BM65" s="116">
        <v>44897</v>
      </c>
      <c r="BN65" s="116">
        <v>44927</v>
      </c>
    </row>
    <row r="66" spans="12:66" ht="51" customHeight="1">
      <c r="L66" s="116"/>
      <c r="M66" s="116"/>
      <c r="N66" s="116"/>
      <c r="O66" s="116"/>
      <c r="R66">
        <v>2023</v>
      </c>
      <c r="S66" s="116">
        <v>44927</v>
      </c>
      <c r="T66" s="116">
        <v>44957</v>
      </c>
      <c r="U66" s="116">
        <v>44928</v>
      </c>
      <c r="V66" s="116">
        <v>44958</v>
      </c>
      <c r="W66" s="116">
        <v>44958</v>
      </c>
      <c r="X66" s="116">
        <v>44985</v>
      </c>
      <c r="Y66" s="116">
        <v>44959</v>
      </c>
      <c r="Z66" s="116">
        <v>44986</v>
      </c>
      <c r="AA66" s="116">
        <v>44986</v>
      </c>
      <c r="AB66" s="116">
        <v>45016</v>
      </c>
      <c r="AC66" s="116">
        <v>44987</v>
      </c>
      <c r="AD66" s="116">
        <v>45017</v>
      </c>
      <c r="AE66" s="116">
        <v>45017</v>
      </c>
      <c r="AF66" s="116">
        <v>45046</v>
      </c>
      <c r="AG66" s="116">
        <v>45018</v>
      </c>
      <c r="AH66" s="116">
        <v>45047</v>
      </c>
      <c r="AI66" s="116">
        <v>45047</v>
      </c>
      <c r="AJ66" s="116">
        <v>45077</v>
      </c>
      <c r="AK66" s="116">
        <v>45048</v>
      </c>
      <c r="AL66" s="116">
        <v>45078</v>
      </c>
      <c r="AM66" s="116">
        <v>45078</v>
      </c>
      <c r="AN66" s="116">
        <v>45107</v>
      </c>
      <c r="AO66" s="116">
        <v>45079</v>
      </c>
      <c r="AP66" s="116">
        <v>45108</v>
      </c>
      <c r="AQ66" s="116">
        <v>45108</v>
      </c>
      <c r="AR66" s="116">
        <v>45138</v>
      </c>
      <c r="AS66" s="116">
        <v>45109</v>
      </c>
      <c r="AT66" s="116">
        <v>45139</v>
      </c>
      <c r="AU66" s="116">
        <v>45139</v>
      </c>
      <c r="AV66" s="116">
        <v>45169</v>
      </c>
      <c r="AW66" s="116">
        <v>45140</v>
      </c>
      <c r="AX66" s="116">
        <v>45170</v>
      </c>
      <c r="AY66" s="116">
        <v>45170</v>
      </c>
      <c r="AZ66" s="116">
        <v>45199</v>
      </c>
      <c r="BA66" s="116">
        <v>45171</v>
      </c>
      <c r="BB66" s="116">
        <v>45200</v>
      </c>
      <c r="BC66" s="116">
        <v>45200</v>
      </c>
      <c r="BD66" s="116">
        <v>45230</v>
      </c>
      <c r="BE66" s="116">
        <v>45201</v>
      </c>
      <c r="BF66" s="116">
        <v>45231</v>
      </c>
      <c r="BG66" s="116">
        <v>45231</v>
      </c>
      <c r="BH66" s="116">
        <v>45260</v>
      </c>
      <c r="BI66" s="116">
        <v>45232</v>
      </c>
      <c r="BJ66" s="116">
        <v>45261</v>
      </c>
      <c r="BK66" s="116">
        <v>45261</v>
      </c>
      <c r="BL66" s="116">
        <v>45291</v>
      </c>
      <c r="BM66" s="116">
        <v>45262</v>
      </c>
      <c r="BN66" s="116">
        <v>45292</v>
      </c>
    </row>
    <row r="67" spans="12:66" ht="51" customHeight="1">
      <c r="L67" s="116"/>
      <c r="M67" s="116"/>
      <c r="N67" s="116"/>
      <c r="O67" s="116"/>
      <c r="R67">
        <v>2024</v>
      </c>
      <c r="S67" s="116">
        <v>45292</v>
      </c>
      <c r="T67" s="116">
        <v>45322</v>
      </c>
      <c r="U67" s="116">
        <v>45293</v>
      </c>
      <c r="V67" s="116">
        <v>45323</v>
      </c>
      <c r="W67" s="116">
        <v>45323</v>
      </c>
      <c r="X67" s="116">
        <v>45351</v>
      </c>
      <c r="Y67" s="116">
        <v>45324</v>
      </c>
      <c r="Z67" s="116">
        <v>45352</v>
      </c>
      <c r="AA67" s="116">
        <v>45352</v>
      </c>
      <c r="AB67" s="116">
        <v>45382</v>
      </c>
      <c r="AC67" s="116">
        <v>45353</v>
      </c>
      <c r="AD67" s="116">
        <v>45383</v>
      </c>
      <c r="AE67" s="116">
        <v>45383</v>
      </c>
      <c r="AF67" s="116">
        <v>45412</v>
      </c>
      <c r="AG67" s="116">
        <v>45384</v>
      </c>
      <c r="AH67" s="116">
        <v>45413</v>
      </c>
      <c r="AI67" s="116">
        <v>45413</v>
      </c>
      <c r="AJ67" s="116">
        <v>45443</v>
      </c>
      <c r="AK67" s="116">
        <v>45414</v>
      </c>
      <c r="AL67" s="116">
        <v>45444</v>
      </c>
      <c r="AM67" s="116">
        <v>45444</v>
      </c>
      <c r="AN67" s="116">
        <v>45473</v>
      </c>
      <c r="AO67" s="116">
        <v>45445</v>
      </c>
      <c r="AP67" s="116">
        <v>45474</v>
      </c>
      <c r="AQ67" s="116">
        <v>45474</v>
      </c>
      <c r="AR67" s="116">
        <v>45504</v>
      </c>
      <c r="AS67" s="116">
        <v>45475</v>
      </c>
      <c r="AT67" s="116">
        <v>45505</v>
      </c>
      <c r="AU67" s="116">
        <v>45505</v>
      </c>
      <c r="AV67" s="116">
        <v>45535</v>
      </c>
      <c r="AW67" s="116">
        <v>45506</v>
      </c>
      <c r="AX67" s="116">
        <v>45536</v>
      </c>
      <c r="AY67" s="116">
        <v>45536</v>
      </c>
      <c r="AZ67" s="116">
        <v>45565</v>
      </c>
      <c r="BA67" s="116">
        <v>45537</v>
      </c>
      <c r="BB67" s="116">
        <v>45566</v>
      </c>
      <c r="BC67" s="116">
        <v>45566</v>
      </c>
      <c r="BD67" s="116">
        <v>45596</v>
      </c>
      <c r="BE67" s="116">
        <v>45567</v>
      </c>
      <c r="BF67" s="116">
        <v>45597</v>
      </c>
      <c r="BG67" s="116">
        <v>45597</v>
      </c>
      <c r="BH67" s="116">
        <v>45626</v>
      </c>
      <c r="BI67" s="116">
        <v>45598</v>
      </c>
      <c r="BJ67" s="116">
        <v>45627</v>
      </c>
      <c r="BK67" s="116">
        <v>45627</v>
      </c>
      <c r="BL67" s="116">
        <v>45657</v>
      </c>
      <c r="BM67" s="116">
        <v>45628</v>
      </c>
      <c r="BN67" s="116">
        <v>45658</v>
      </c>
    </row>
    <row r="68" spans="12:66" ht="51" customHeight="1">
      <c r="L68" s="116"/>
      <c r="M68" s="116"/>
      <c r="N68" s="116"/>
      <c r="O68" s="116"/>
      <c r="R68">
        <v>2025</v>
      </c>
      <c r="S68" s="116">
        <v>45658</v>
      </c>
      <c r="T68" s="116">
        <v>45688</v>
      </c>
      <c r="U68" s="116">
        <v>45659</v>
      </c>
      <c r="V68" s="116">
        <v>45689</v>
      </c>
      <c r="W68" s="116">
        <v>45689</v>
      </c>
      <c r="X68" s="116">
        <v>45716</v>
      </c>
      <c r="Y68" s="116">
        <v>45690</v>
      </c>
      <c r="Z68" s="116">
        <v>45717</v>
      </c>
      <c r="AA68" s="116">
        <v>45717</v>
      </c>
      <c r="AB68" s="116">
        <v>45747</v>
      </c>
      <c r="AC68" s="116">
        <v>45718</v>
      </c>
      <c r="AD68" s="116">
        <v>45748</v>
      </c>
      <c r="AE68" s="116">
        <v>45748</v>
      </c>
      <c r="AF68" s="116">
        <v>45777</v>
      </c>
      <c r="AG68" s="116">
        <v>45749</v>
      </c>
      <c r="AH68" s="116">
        <v>45778</v>
      </c>
      <c r="AI68" s="116">
        <v>45778</v>
      </c>
      <c r="AJ68" s="116">
        <v>45808</v>
      </c>
      <c r="AK68" s="116">
        <v>45779</v>
      </c>
      <c r="AL68" s="116">
        <v>45809</v>
      </c>
      <c r="AM68" s="116">
        <v>45809</v>
      </c>
      <c r="AN68" s="116">
        <v>45838</v>
      </c>
      <c r="AO68" s="116">
        <v>45810</v>
      </c>
      <c r="AP68" s="116">
        <v>45839</v>
      </c>
      <c r="AQ68" s="116">
        <v>45839</v>
      </c>
      <c r="AR68" s="116">
        <v>45869</v>
      </c>
      <c r="AS68" s="116">
        <v>45840</v>
      </c>
      <c r="AT68" s="116">
        <v>45870</v>
      </c>
      <c r="AU68" s="116">
        <v>45870</v>
      </c>
      <c r="AV68" s="116">
        <v>45900</v>
      </c>
      <c r="AW68" s="116">
        <v>45871</v>
      </c>
      <c r="AX68" s="116">
        <v>45901</v>
      </c>
      <c r="AY68" s="116">
        <v>45901</v>
      </c>
      <c r="AZ68" s="116">
        <v>45930</v>
      </c>
      <c r="BA68" s="116">
        <v>45902</v>
      </c>
      <c r="BB68" s="116">
        <v>45931</v>
      </c>
      <c r="BC68" s="116">
        <v>45931</v>
      </c>
      <c r="BD68" s="116">
        <v>45961</v>
      </c>
      <c r="BE68" s="116">
        <v>45932</v>
      </c>
      <c r="BF68" s="116">
        <v>45962</v>
      </c>
      <c r="BG68" s="116">
        <v>45962</v>
      </c>
      <c r="BH68" s="116">
        <v>45991</v>
      </c>
      <c r="BI68" s="116">
        <v>45963</v>
      </c>
      <c r="BJ68" s="116">
        <v>45992</v>
      </c>
      <c r="BK68" s="116">
        <v>45992</v>
      </c>
      <c r="BL68" s="116">
        <v>46022</v>
      </c>
      <c r="BM68" s="116">
        <v>45993</v>
      </c>
      <c r="BN68" s="116">
        <v>46023</v>
      </c>
    </row>
    <row r="69" spans="12:66" ht="51" customHeight="1">
      <c r="L69" s="116"/>
      <c r="M69" s="116"/>
      <c r="N69" s="116"/>
      <c r="O69" s="116"/>
      <c r="R69">
        <v>2026</v>
      </c>
      <c r="S69" s="116">
        <v>46023</v>
      </c>
      <c r="T69" s="116">
        <v>46053</v>
      </c>
      <c r="U69" s="116">
        <v>46024</v>
      </c>
      <c r="V69" s="116">
        <v>46054</v>
      </c>
      <c r="W69" s="116">
        <v>46054</v>
      </c>
      <c r="X69" s="116">
        <v>46081</v>
      </c>
      <c r="Y69" s="116">
        <v>46055</v>
      </c>
      <c r="Z69" s="116">
        <v>46082</v>
      </c>
      <c r="AA69" s="116">
        <v>46082</v>
      </c>
      <c r="AB69" s="116">
        <v>46112</v>
      </c>
      <c r="AC69" s="116">
        <v>46083</v>
      </c>
      <c r="AD69" s="116">
        <v>46113</v>
      </c>
      <c r="AE69" s="116">
        <v>46113</v>
      </c>
      <c r="AF69" s="116">
        <v>46142</v>
      </c>
      <c r="AG69" s="116">
        <v>46114</v>
      </c>
      <c r="AH69" s="116">
        <v>46143</v>
      </c>
      <c r="AI69" s="116">
        <v>46143</v>
      </c>
      <c r="AJ69" s="116">
        <v>46173</v>
      </c>
      <c r="AK69" s="116">
        <v>46144</v>
      </c>
      <c r="AL69" s="116">
        <v>46174</v>
      </c>
      <c r="AM69" s="116">
        <v>46174</v>
      </c>
      <c r="AN69" s="116">
        <v>46203</v>
      </c>
      <c r="AO69" s="116">
        <v>46175</v>
      </c>
      <c r="AP69" s="116">
        <v>46204</v>
      </c>
      <c r="AQ69" s="116">
        <v>46204</v>
      </c>
      <c r="AR69" s="116">
        <v>46234</v>
      </c>
      <c r="AS69" s="116">
        <v>46205</v>
      </c>
      <c r="AT69" s="116">
        <v>46235</v>
      </c>
      <c r="AU69" s="116">
        <v>46235</v>
      </c>
      <c r="AV69" s="116">
        <v>46265</v>
      </c>
      <c r="AW69" s="116">
        <v>46236</v>
      </c>
      <c r="AX69" s="116">
        <v>46266</v>
      </c>
      <c r="AY69" s="116">
        <v>46266</v>
      </c>
      <c r="AZ69" s="116">
        <v>46295</v>
      </c>
      <c r="BA69" s="116">
        <v>46267</v>
      </c>
      <c r="BB69" s="116">
        <v>46296</v>
      </c>
      <c r="BC69" s="116">
        <v>46296</v>
      </c>
      <c r="BD69" s="116">
        <v>46326</v>
      </c>
      <c r="BE69" s="116">
        <v>46297</v>
      </c>
      <c r="BF69" s="116">
        <v>46327</v>
      </c>
      <c r="BG69" s="116">
        <v>46327</v>
      </c>
      <c r="BH69" s="116">
        <v>46356</v>
      </c>
      <c r="BI69" s="116">
        <v>46328</v>
      </c>
      <c r="BJ69" s="116">
        <v>46357</v>
      </c>
      <c r="BK69" s="116">
        <v>46357</v>
      </c>
      <c r="BL69" s="116">
        <v>46387</v>
      </c>
      <c r="BM69" s="116">
        <v>46358</v>
      </c>
      <c r="BN69" s="116">
        <v>46388</v>
      </c>
    </row>
    <row r="70" spans="12:66" ht="51" customHeight="1">
      <c r="L70" s="116"/>
      <c r="M70" s="116"/>
      <c r="N70" s="116"/>
      <c r="O70" s="116"/>
      <c r="R70">
        <v>2027</v>
      </c>
      <c r="S70" s="116">
        <v>46388</v>
      </c>
      <c r="T70" s="116">
        <v>46418</v>
      </c>
      <c r="U70" s="116">
        <v>46389</v>
      </c>
      <c r="V70" s="116">
        <v>46419</v>
      </c>
      <c r="W70" s="116">
        <v>46419</v>
      </c>
      <c r="X70" s="116">
        <v>46446</v>
      </c>
      <c r="Y70" s="116">
        <v>46420</v>
      </c>
      <c r="Z70" s="116">
        <v>46447</v>
      </c>
      <c r="AA70" s="116">
        <v>46447</v>
      </c>
      <c r="AB70" s="116">
        <v>46477</v>
      </c>
      <c r="AC70" s="116">
        <v>46448</v>
      </c>
      <c r="AD70" s="116">
        <v>46478</v>
      </c>
      <c r="AE70" s="116">
        <v>46478</v>
      </c>
      <c r="AF70" s="116">
        <v>46507</v>
      </c>
      <c r="AG70" s="116">
        <v>46479</v>
      </c>
      <c r="AH70" s="116">
        <v>46508</v>
      </c>
      <c r="AI70" s="116">
        <v>46508</v>
      </c>
      <c r="AJ70" s="116">
        <v>46538</v>
      </c>
      <c r="AK70" s="116">
        <v>46509</v>
      </c>
      <c r="AL70" s="116">
        <v>46539</v>
      </c>
      <c r="AM70" s="116">
        <v>46539</v>
      </c>
      <c r="AN70" s="116">
        <v>46568</v>
      </c>
      <c r="AO70" s="116">
        <v>46540</v>
      </c>
      <c r="AP70" s="116">
        <v>46569</v>
      </c>
      <c r="AQ70" s="116">
        <v>46569</v>
      </c>
      <c r="AR70" s="116">
        <v>46599</v>
      </c>
      <c r="AS70" s="116">
        <v>46570</v>
      </c>
      <c r="AT70" s="116">
        <v>46600</v>
      </c>
      <c r="AU70" s="116">
        <v>46600</v>
      </c>
      <c r="AV70" s="116">
        <v>46630</v>
      </c>
      <c r="AW70" s="116">
        <v>46601</v>
      </c>
      <c r="AX70" s="116">
        <v>46631</v>
      </c>
      <c r="AY70" s="116">
        <v>46631</v>
      </c>
      <c r="AZ70" s="116">
        <v>46660</v>
      </c>
      <c r="BA70" s="116">
        <v>46632</v>
      </c>
      <c r="BB70" s="116">
        <v>46661</v>
      </c>
      <c r="BC70" s="116">
        <v>46661</v>
      </c>
      <c r="BD70" s="116">
        <v>46691</v>
      </c>
      <c r="BE70" s="116">
        <v>46662</v>
      </c>
      <c r="BF70" s="116">
        <v>46692</v>
      </c>
      <c r="BG70" s="116">
        <v>46692</v>
      </c>
      <c r="BH70" s="116">
        <v>46721</v>
      </c>
      <c r="BI70" s="116">
        <v>46693</v>
      </c>
      <c r="BJ70" s="116">
        <v>46722</v>
      </c>
      <c r="BK70" s="116">
        <v>46722</v>
      </c>
      <c r="BL70" s="116">
        <v>46752</v>
      </c>
      <c r="BM70" s="116">
        <v>46723</v>
      </c>
      <c r="BN70" s="116">
        <v>46753</v>
      </c>
    </row>
    <row r="71" spans="12:66" ht="51" customHeight="1">
      <c r="L71" s="116"/>
      <c r="M71" s="116"/>
      <c r="N71" s="116"/>
      <c r="O71" s="116"/>
      <c r="R71">
        <v>2028</v>
      </c>
      <c r="S71" s="116">
        <v>46753</v>
      </c>
      <c r="T71" s="116">
        <v>46783</v>
      </c>
      <c r="U71" s="116">
        <v>46754</v>
      </c>
      <c r="V71" s="116">
        <v>46784</v>
      </c>
      <c r="W71" s="116">
        <v>46784</v>
      </c>
      <c r="X71" s="116">
        <v>46812</v>
      </c>
      <c r="Y71" s="116">
        <v>46785</v>
      </c>
      <c r="Z71" s="116">
        <v>46813</v>
      </c>
      <c r="AA71" s="116">
        <v>46813</v>
      </c>
      <c r="AB71" s="116">
        <v>46843</v>
      </c>
      <c r="AC71" s="116">
        <v>46814</v>
      </c>
      <c r="AD71" s="116">
        <v>46844</v>
      </c>
      <c r="AE71" s="116">
        <v>46844</v>
      </c>
      <c r="AF71" s="116">
        <v>46873</v>
      </c>
      <c r="AG71" s="116">
        <v>46845</v>
      </c>
      <c r="AH71" s="116">
        <v>46874</v>
      </c>
      <c r="AI71" s="116">
        <v>46874</v>
      </c>
      <c r="AJ71" s="116">
        <v>46904</v>
      </c>
      <c r="AK71" s="116">
        <v>46875</v>
      </c>
      <c r="AL71" s="116">
        <v>46905</v>
      </c>
      <c r="AM71" s="116">
        <v>46905</v>
      </c>
      <c r="AN71" s="116">
        <v>46934</v>
      </c>
      <c r="AO71" s="116">
        <v>46906</v>
      </c>
      <c r="AP71" s="116">
        <v>46935</v>
      </c>
      <c r="AQ71" s="116">
        <v>46935</v>
      </c>
      <c r="AR71" s="116">
        <v>46965</v>
      </c>
      <c r="AS71" s="116">
        <v>46936</v>
      </c>
      <c r="AT71" s="116">
        <v>46966</v>
      </c>
      <c r="AU71" s="116">
        <v>46966</v>
      </c>
      <c r="AV71" s="116">
        <v>46996</v>
      </c>
      <c r="AW71" s="116">
        <v>46967</v>
      </c>
      <c r="AX71" s="116">
        <v>46997</v>
      </c>
      <c r="AY71" s="116">
        <v>46997</v>
      </c>
      <c r="AZ71" s="116">
        <v>47026</v>
      </c>
      <c r="BA71" s="116">
        <v>46998</v>
      </c>
      <c r="BB71" s="116">
        <v>47027</v>
      </c>
      <c r="BC71" s="116">
        <v>47027</v>
      </c>
      <c r="BD71" s="116">
        <v>47057</v>
      </c>
      <c r="BE71" s="116">
        <v>47028</v>
      </c>
      <c r="BF71" s="116">
        <v>47058</v>
      </c>
      <c r="BG71" s="116">
        <v>47058</v>
      </c>
      <c r="BH71" s="116">
        <v>47087</v>
      </c>
      <c r="BI71" s="116">
        <v>47059</v>
      </c>
      <c r="BJ71" s="116">
        <v>47088</v>
      </c>
      <c r="BK71" s="116">
        <v>47088</v>
      </c>
      <c r="BL71" s="116">
        <v>47118</v>
      </c>
      <c r="BM71" s="116">
        <v>47089</v>
      </c>
      <c r="BN71" s="116">
        <v>47119</v>
      </c>
    </row>
    <row r="72" spans="12:66" ht="51" customHeight="1">
      <c r="L72" s="116"/>
      <c r="M72" s="116"/>
      <c r="N72" s="116"/>
      <c r="O72" s="116"/>
      <c r="R72">
        <v>2029</v>
      </c>
      <c r="S72" s="116">
        <v>47119</v>
      </c>
      <c r="T72" s="116">
        <v>47149</v>
      </c>
      <c r="U72" s="116">
        <v>47120</v>
      </c>
      <c r="V72" s="116">
        <v>47150</v>
      </c>
      <c r="W72" s="116">
        <v>47150</v>
      </c>
      <c r="X72" s="116">
        <v>47177</v>
      </c>
      <c r="Y72" s="116">
        <v>47151</v>
      </c>
      <c r="Z72" s="116">
        <v>47178</v>
      </c>
      <c r="AA72" s="116">
        <v>47178</v>
      </c>
      <c r="AB72" s="116">
        <v>47208</v>
      </c>
      <c r="AC72" s="116">
        <v>47179</v>
      </c>
      <c r="AD72" s="116">
        <v>47209</v>
      </c>
      <c r="AE72" s="116">
        <v>47209</v>
      </c>
      <c r="AF72" s="116">
        <v>47238</v>
      </c>
      <c r="AG72" s="116">
        <v>47210</v>
      </c>
      <c r="AH72" s="116">
        <v>47239</v>
      </c>
      <c r="AI72" s="116">
        <v>47239</v>
      </c>
      <c r="AJ72" s="116">
        <v>47269</v>
      </c>
      <c r="AK72" s="116">
        <v>47240</v>
      </c>
      <c r="AL72" s="116">
        <v>47270</v>
      </c>
      <c r="AM72" s="116">
        <v>47270</v>
      </c>
      <c r="AN72" s="116">
        <v>47299</v>
      </c>
      <c r="AO72" s="116">
        <v>47271</v>
      </c>
      <c r="AP72" s="116">
        <v>47300</v>
      </c>
      <c r="AQ72" s="116">
        <v>47300</v>
      </c>
      <c r="AR72" s="116">
        <v>47330</v>
      </c>
      <c r="AS72" s="116">
        <v>47301</v>
      </c>
      <c r="AT72" s="116">
        <v>47331</v>
      </c>
      <c r="AU72" s="116">
        <v>47331</v>
      </c>
      <c r="AV72" s="116">
        <v>47361</v>
      </c>
      <c r="AW72" s="116">
        <v>47332</v>
      </c>
      <c r="AX72" s="116">
        <v>47362</v>
      </c>
      <c r="AY72" s="116">
        <v>47362</v>
      </c>
      <c r="AZ72" s="116">
        <v>47391</v>
      </c>
      <c r="BA72" s="116">
        <v>47363</v>
      </c>
      <c r="BB72" s="116">
        <v>47392</v>
      </c>
      <c r="BC72" s="116">
        <v>47392</v>
      </c>
      <c r="BD72" s="116">
        <v>47422</v>
      </c>
      <c r="BE72" s="116">
        <v>47393</v>
      </c>
      <c r="BF72" s="116">
        <v>47423</v>
      </c>
      <c r="BG72" s="116">
        <v>47423</v>
      </c>
      <c r="BH72" s="116">
        <v>47452</v>
      </c>
      <c r="BI72" s="116">
        <v>47424</v>
      </c>
      <c r="BJ72" s="116">
        <v>47453</v>
      </c>
      <c r="BK72" s="116">
        <v>47453</v>
      </c>
      <c r="BL72" s="116">
        <v>47483</v>
      </c>
      <c r="BM72" s="116">
        <v>47454</v>
      </c>
      <c r="BN72" s="116">
        <v>47484</v>
      </c>
    </row>
    <row r="73" spans="12:66" ht="51" customHeight="1">
      <c r="L73" s="116"/>
      <c r="M73" s="116"/>
      <c r="N73" s="116"/>
      <c r="O73" s="116"/>
      <c r="R73">
        <v>2030</v>
      </c>
      <c r="S73" s="116">
        <v>47484</v>
      </c>
      <c r="T73" s="116">
        <v>47514</v>
      </c>
      <c r="U73" s="116">
        <v>47485</v>
      </c>
      <c r="V73" s="116">
        <v>47515</v>
      </c>
      <c r="W73" s="116">
        <v>47515</v>
      </c>
      <c r="X73" s="116">
        <v>47542</v>
      </c>
      <c r="Y73" s="116">
        <v>47516</v>
      </c>
      <c r="Z73" s="116">
        <v>47543</v>
      </c>
      <c r="AA73" s="116">
        <v>47543</v>
      </c>
      <c r="AB73" s="116">
        <v>47573</v>
      </c>
      <c r="AC73" s="116">
        <v>47544</v>
      </c>
      <c r="AD73" s="116">
        <v>47574</v>
      </c>
      <c r="AE73" s="116">
        <v>47574</v>
      </c>
      <c r="AF73" s="116">
        <v>47603</v>
      </c>
      <c r="AG73" s="116">
        <v>47575</v>
      </c>
      <c r="AH73" s="116">
        <v>47604</v>
      </c>
      <c r="AI73" s="116">
        <v>47604</v>
      </c>
      <c r="AJ73" s="116">
        <v>47634</v>
      </c>
      <c r="AK73" s="116">
        <v>47605</v>
      </c>
      <c r="AL73" s="116">
        <v>47635</v>
      </c>
      <c r="AM73" s="116">
        <v>47635</v>
      </c>
      <c r="AN73" s="116">
        <v>47664</v>
      </c>
      <c r="AO73" s="116">
        <v>47636</v>
      </c>
      <c r="AP73" s="116">
        <v>47665</v>
      </c>
      <c r="AQ73" s="116">
        <v>47665</v>
      </c>
      <c r="AR73" s="116">
        <v>47695</v>
      </c>
      <c r="AS73" s="116">
        <v>47666</v>
      </c>
      <c r="AT73" s="116">
        <v>47696</v>
      </c>
      <c r="AU73" s="116">
        <v>47696</v>
      </c>
      <c r="AV73" s="116">
        <v>47726</v>
      </c>
      <c r="AW73" s="116">
        <v>47697</v>
      </c>
      <c r="AX73" s="116">
        <v>47727</v>
      </c>
      <c r="AY73" s="116">
        <v>47727</v>
      </c>
      <c r="AZ73" s="116">
        <v>47756</v>
      </c>
      <c r="BA73" s="116">
        <v>47728</v>
      </c>
      <c r="BB73" s="116">
        <v>47757</v>
      </c>
      <c r="BC73" s="116">
        <v>47757</v>
      </c>
      <c r="BD73" s="116">
        <v>47787</v>
      </c>
      <c r="BE73" s="116">
        <v>47758</v>
      </c>
      <c r="BF73" s="116">
        <v>47788</v>
      </c>
      <c r="BG73" s="116">
        <v>47788</v>
      </c>
      <c r="BH73" s="116">
        <v>47817</v>
      </c>
      <c r="BI73" s="116">
        <v>47789</v>
      </c>
      <c r="BJ73" s="116">
        <v>47818</v>
      </c>
      <c r="BK73" s="116">
        <v>47818</v>
      </c>
      <c r="BL73" s="116">
        <v>47848</v>
      </c>
      <c r="BM73" s="116">
        <v>47819</v>
      </c>
      <c r="BN73" s="116">
        <v>47849</v>
      </c>
    </row>
    <row r="74" spans="12:66" ht="51" customHeight="1">
      <c r="L74" s="116"/>
      <c r="M74" s="116"/>
      <c r="N74" s="116"/>
      <c r="O74" s="116"/>
      <c r="R74">
        <v>2031</v>
      </c>
      <c r="S74" s="116">
        <v>47849</v>
      </c>
      <c r="T74" s="116">
        <v>47879</v>
      </c>
      <c r="U74" s="116">
        <v>47850</v>
      </c>
      <c r="V74" s="116">
        <v>47880</v>
      </c>
      <c r="W74" s="116">
        <v>47880</v>
      </c>
      <c r="X74" s="116">
        <v>47907</v>
      </c>
      <c r="Y74" s="116">
        <v>47881</v>
      </c>
      <c r="Z74" s="116">
        <v>47908</v>
      </c>
      <c r="AA74" s="116">
        <v>47908</v>
      </c>
      <c r="AB74" s="116">
        <v>47938</v>
      </c>
      <c r="AC74" s="116">
        <v>47909</v>
      </c>
      <c r="AD74" s="116">
        <v>47939</v>
      </c>
      <c r="AE74" s="116">
        <v>47939</v>
      </c>
      <c r="AF74" s="116">
        <v>47968</v>
      </c>
      <c r="AG74" s="116">
        <v>47940</v>
      </c>
      <c r="AH74" s="116">
        <v>47969</v>
      </c>
      <c r="AI74" s="116">
        <v>47969</v>
      </c>
      <c r="AJ74" s="116">
        <v>47999</v>
      </c>
      <c r="AK74" s="116">
        <v>47970</v>
      </c>
      <c r="AL74" s="116">
        <v>48000</v>
      </c>
      <c r="AM74" s="116">
        <v>48000</v>
      </c>
      <c r="AN74" s="116">
        <v>48029</v>
      </c>
      <c r="AO74" s="116">
        <v>48001</v>
      </c>
      <c r="AP74" s="116">
        <v>48030</v>
      </c>
      <c r="AQ74" s="116">
        <v>48030</v>
      </c>
      <c r="AR74" s="116">
        <v>48060</v>
      </c>
      <c r="AS74" s="116">
        <v>48031</v>
      </c>
      <c r="AT74" s="116">
        <v>48061</v>
      </c>
      <c r="AU74" s="116">
        <v>48061</v>
      </c>
      <c r="AV74" s="116">
        <v>48091</v>
      </c>
      <c r="AW74" s="116">
        <v>48062</v>
      </c>
      <c r="AX74" s="116">
        <v>48092</v>
      </c>
      <c r="AY74" s="116">
        <v>48092</v>
      </c>
      <c r="AZ74" s="116">
        <v>48121</v>
      </c>
      <c r="BA74" s="116">
        <v>48093</v>
      </c>
      <c r="BB74" s="116">
        <v>48122</v>
      </c>
      <c r="BC74" s="116">
        <v>48122</v>
      </c>
      <c r="BD74" s="116">
        <v>48152</v>
      </c>
      <c r="BE74" s="116">
        <v>48123</v>
      </c>
      <c r="BF74" s="116">
        <v>48153</v>
      </c>
      <c r="BG74" s="116">
        <v>48153</v>
      </c>
      <c r="BH74" s="116">
        <v>48182</v>
      </c>
      <c r="BI74" s="116">
        <v>48154</v>
      </c>
      <c r="BJ74" s="116">
        <v>48183</v>
      </c>
      <c r="BK74" s="116">
        <v>48183</v>
      </c>
      <c r="BL74" s="116">
        <v>48213</v>
      </c>
      <c r="BM74" s="116">
        <v>48184</v>
      </c>
      <c r="BN74" s="116">
        <v>48214</v>
      </c>
    </row>
    <row r="75" spans="12:66" ht="51" customHeight="1">
      <c r="R75">
        <v>2032</v>
      </c>
      <c r="S75" s="116">
        <v>48214</v>
      </c>
      <c r="T75" s="116">
        <v>48244</v>
      </c>
      <c r="U75" s="116">
        <v>48215</v>
      </c>
      <c r="V75" s="116">
        <v>48245</v>
      </c>
      <c r="W75" s="116">
        <v>48245</v>
      </c>
      <c r="X75" s="116">
        <v>48273</v>
      </c>
      <c r="Y75" s="116">
        <v>48246</v>
      </c>
      <c r="Z75" s="116">
        <v>48274</v>
      </c>
      <c r="AA75" s="116">
        <v>48274</v>
      </c>
      <c r="AB75" s="116">
        <v>48304</v>
      </c>
      <c r="AC75" s="116">
        <v>48275</v>
      </c>
      <c r="AD75" s="116">
        <v>48305</v>
      </c>
      <c r="AE75" s="116">
        <v>48305</v>
      </c>
      <c r="AF75" s="116">
        <v>48334</v>
      </c>
      <c r="AG75" s="116">
        <v>48306</v>
      </c>
      <c r="AH75" s="116">
        <v>48335</v>
      </c>
      <c r="AI75" s="116">
        <v>48335</v>
      </c>
      <c r="AJ75" s="116">
        <v>48365</v>
      </c>
      <c r="AK75" s="116">
        <v>48336</v>
      </c>
      <c r="AL75" s="116">
        <v>48366</v>
      </c>
      <c r="AM75" s="116">
        <v>48366</v>
      </c>
      <c r="AN75" s="116">
        <v>48395</v>
      </c>
      <c r="AO75" s="116">
        <v>48367</v>
      </c>
      <c r="AP75" s="116">
        <v>48396</v>
      </c>
      <c r="AQ75" s="116">
        <v>48396</v>
      </c>
      <c r="AR75" s="116">
        <v>48426</v>
      </c>
      <c r="AS75" s="116">
        <v>48397</v>
      </c>
      <c r="AT75" s="116">
        <v>48427</v>
      </c>
      <c r="AU75" s="116">
        <v>48427</v>
      </c>
      <c r="AV75" s="116">
        <v>48457</v>
      </c>
      <c r="AW75" s="116">
        <v>48428</v>
      </c>
      <c r="AX75" s="116">
        <v>48458</v>
      </c>
      <c r="AY75" s="116">
        <v>48458</v>
      </c>
      <c r="AZ75" s="116">
        <v>48487</v>
      </c>
      <c r="BA75" s="116">
        <v>48459</v>
      </c>
      <c r="BB75" s="116">
        <v>48488</v>
      </c>
      <c r="BC75" s="116">
        <v>48488</v>
      </c>
      <c r="BD75" s="116">
        <v>48518</v>
      </c>
      <c r="BE75" s="116">
        <v>48489</v>
      </c>
      <c r="BF75" s="116">
        <v>48519</v>
      </c>
      <c r="BG75" s="116">
        <v>48519</v>
      </c>
      <c r="BH75" s="116">
        <v>48548</v>
      </c>
      <c r="BI75" s="116">
        <v>48520</v>
      </c>
      <c r="BJ75" s="116">
        <v>48549</v>
      </c>
      <c r="BK75" s="116">
        <v>48549</v>
      </c>
      <c r="BL75" s="116">
        <v>48579</v>
      </c>
      <c r="BM75" s="116">
        <v>48550</v>
      </c>
      <c r="BN75" s="116">
        <v>48580</v>
      </c>
    </row>
    <row r="76" spans="12:66" ht="51" customHeight="1">
      <c r="R76">
        <v>2033</v>
      </c>
      <c r="S76" s="116">
        <v>48580</v>
      </c>
      <c r="T76" s="116">
        <v>48610</v>
      </c>
      <c r="U76" s="116">
        <v>48581</v>
      </c>
      <c r="V76" s="116">
        <v>48611</v>
      </c>
      <c r="W76" s="116">
        <v>48611</v>
      </c>
      <c r="X76" s="116">
        <v>48638</v>
      </c>
      <c r="Y76" s="116">
        <v>48612</v>
      </c>
      <c r="Z76" s="116">
        <v>48639</v>
      </c>
      <c r="AA76" s="116">
        <v>48639</v>
      </c>
      <c r="AB76" s="116">
        <v>48669</v>
      </c>
      <c r="AC76" s="116">
        <v>48640</v>
      </c>
      <c r="AD76" s="116">
        <v>48670</v>
      </c>
      <c r="AE76" s="116">
        <v>48670</v>
      </c>
      <c r="AF76" s="116">
        <v>48699</v>
      </c>
      <c r="AG76" s="116">
        <v>48671</v>
      </c>
      <c r="AH76" s="116">
        <v>48700</v>
      </c>
      <c r="AI76" s="116">
        <v>48700</v>
      </c>
      <c r="AJ76" s="116">
        <v>48730</v>
      </c>
      <c r="AK76" s="116">
        <v>48701</v>
      </c>
      <c r="AL76" s="116">
        <v>48731</v>
      </c>
      <c r="AM76" s="116">
        <v>48731</v>
      </c>
      <c r="AN76" s="116">
        <v>48760</v>
      </c>
      <c r="AO76" s="116">
        <v>48732</v>
      </c>
      <c r="AP76" s="116">
        <v>48761</v>
      </c>
      <c r="AQ76" s="116">
        <v>48761</v>
      </c>
      <c r="AR76" s="116">
        <v>48791</v>
      </c>
      <c r="AS76" s="116">
        <v>48762</v>
      </c>
      <c r="AT76" s="116">
        <v>48792</v>
      </c>
      <c r="AU76" s="116">
        <v>48792</v>
      </c>
      <c r="AV76" s="116">
        <v>48822</v>
      </c>
      <c r="AW76" s="116">
        <v>48793</v>
      </c>
      <c r="AX76" s="116">
        <v>48823</v>
      </c>
      <c r="AY76" s="116">
        <v>48823</v>
      </c>
      <c r="AZ76" s="116">
        <v>48852</v>
      </c>
      <c r="BA76" s="116">
        <v>48824</v>
      </c>
      <c r="BB76" s="116">
        <v>48853</v>
      </c>
      <c r="BC76" s="116">
        <v>48853</v>
      </c>
      <c r="BD76" s="116">
        <v>48883</v>
      </c>
      <c r="BE76" s="116">
        <v>48854</v>
      </c>
      <c r="BF76" s="116">
        <v>48884</v>
      </c>
      <c r="BG76" s="116">
        <v>48884</v>
      </c>
      <c r="BH76" s="116">
        <v>48913</v>
      </c>
      <c r="BI76" s="116">
        <v>48885</v>
      </c>
      <c r="BJ76" s="116">
        <v>48914</v>
      </c>
      <c r="BK76" s="116">
        <v>48914</v>
      </c>
      <c r="BL76" s="116">
        <v>48944</v>
      </c>
      <c r="BM76" s="116">
        <v>48915</v>
      </c>
      <c r="BN76" s="116">
        <v>48945</v>
      </c>
    </row>
    <row r="77" spans="12:66" ht="51" customHeight="1">
      <c r="R77">
        <v>2034</v>
      </c>
      <c r="S77" s="116">
        <v>48945</v>
      </c>
      <c r="T77" s="116">
        <v>48975</v>
      </c>
      <c r="U77" s="116">
        <v>48946</v>
      </c>
      <c r="V77" s="116">
        <v>48976</v>
      </c>
      <c r="W77" s="116">
        <v>48976</v>
      </c>
      <c r="X77" s="116">
        <v>49003</v>
      </c>
      <c r="Y77" s="116">
        <v>48977</v>
      </c>
      <c r="Z77" s="116">
        <v>49004</v>
      </c>
      <c r="AA77" s="116">
        <v>49004</v>
      </c>
      <c r="AB77" s="116">
        <v>49034</v>
      </c>
      <c r="AC77" s="116">
        <v>49005</v>
      </c>
      <c r="AD77" s="116">
        <v>49035</v>
      </c>
      <c r="AE77" s="116">
        <v>49035</v>
      </c>
      <c r="AF77" s="116">
        <v>49064</v>
      </c>
      <c r="AG77" s="116">
        <v>49036</v>
      </c>
      <c r="AH77" s="116">
        <v>49065</v>
      </c>
      <c r="AI77" s="116">
        <v>49065</v>
      </c>
      <c r="AJ77" s="116">
        <v>49095</v>
      </c>
      <c r="AK77" s="116">
        <v>49066</v>
      </c>
      <c r="AL77" s="116">
        <v>49096</v>
      </c>
      <c r="AM77" s="116">
        <v>49096</v>
      </c>
      <c r="AN77" s="116">
        <v>49125</v>
      </c>
      <c r="AO77" s="116">
        <v>49097</v>
      </c>
      <c r="AP77" s="116">
        <v>49126</v>
      </c>
      <c r="AQ77" s="116">
        <v>49126</v>
      </c>
      <c r="AR77" s="116">
        <v>49156</v>
      </c>
      <c r="AS77" s="116">
        <v>49127</v>
      </c>
      <c r="AT77" s="116">
        <v>49157</v>
      </c>
      <c r="AU77" s="116">
        <v>49157</v>
      </c>
      <c r="AV77" s="116">
        <v>49187</v>
      </c>
      <c r="AW77" s="116">
        <v>49158</v>
      </c>
      <c r="AX77" s="116">
        <v>49188</v>
      </c>
      <c r="AY77" s="116">
        <v>49188</v>
      </c>
      <c r="AZ77" s="116">
        <v>49217</v>
      </c>
      <c r="BA77" s="116">
        <v>49189</v>
      </c>
      <c r="BB77" s="116">
        <v>49218</v>
      </c>
      <c r="BC77" s="116">
        <v>49218</v>
      </c>
      <c r="BD77" s="116">
        <v>49248</v>
      </c>
      <c r="BE77" s="116">
        <v>49219</v>
      </c>
      <c r="BF77" s="116">
        <v>49249</v>
      </c>
      <c r="BG77" s="116">
        <v>49249</v>
      </c>
      <c r="BH77" s="116">
        <v>49278</v>
      </c>
      <c r="BI77" s="116">
        <v>49250</v>
      </c>
      <c r="BJ77" s="116">
        <v>49279</v>
      </c>
      <c r="BK77" s="116">
        <v>49279</v>
      </c>
      <c r="BL77" s="116">
        <v>49309</v>
      </c>
      <c r="BM77" s="116">
        <v>49280</v>
      </c>
      <c r="BN77" s="116">
        <v>49310</v>
      </c>
    </row>
    <row r="78" spans="12:66" ht="51" customHeight="1">
      <c r="R78">
        <v>2035</v>
      </c>
      <c r="S78" s="116">
        <v>49310</v>
      </c>
      <c r="T78" s="116">
        <v>49340</v>
      </c>
      <c r="U78" s="116">
        <v>49311</v>
      </c>
      <c r="V78" s="116">
        <v>49341</v>
      </c>
      <c r="W78" s="116">
        <v>49341</v>
      </c>
      <c r="X78" s="116">
        <v>49368</v>
      </c>
      <c r="Y78" s="116">
        <v>49342</v>
      </c>
      <c r="Z78" s="116">
        <v>49369</v>
      </c>
      <c r="AA78" s="116">
        <v>49369</v>
      </c>
      <c r="AB78" s="116">
        <v>49399</v>
      </c>
      <c r="AC78" s="116">
        <v>49370</v>
      </c>
      <c r="AD78" s="116">
        <v>49400</v>
      </c>
      <c r="AE78" s="116">
        <v>49400</v>
      </c>
      <c r="AF78" s="116">
        <v>49429</v>
      </c>
      <c r="AG78" s="116">
        <v>49401</v>
      </c>
      <c r="AH78" s="116">
        <v>49430</v>
      </c>
      <c r="AI78" s="116">
        <v>49430</v>
      </c>
      <c r="AJ78" s="116">
        <v>49460</v>
      </c>
      <c r="AK78" s="116">
        <v>49431</v>
      </c>
      <c r="AL78" s="116">
        <v>49461</v>
      </c>
      <c r="AM78" s="116">
        <v>49461</v>
      </c>
      <c r="AN78" s="116">
        <v>49490</v>
      </c>
      <c r="AO78" s="116">
        <v>49462</v>
      </c>
      <c r="AP78" s="116">
        <v>49491</v>
      </c>
      <c r="AQ78" s="116">
        <v>49491</v>
      </c>
      <c r="AR78" s="116">
        <v>49521</v>
      </c>
      <c r="AS78" s="116">
        <v>49492</v>
      </c>
      <c r="AT78" s="116">
        <v>49522</v>
      </c>
      <c r="AU78" s="116">
        <v>49522</v>
      </c>
      <c r="AV78" s="116">
        <v>49552</v>
      </c>
      <c r="AW78" s="116">
        <v>49523</v>
      </c>
      <c r="AX78" s="116">
        <v>49553</v>
      </c>
      <c r="AY78" s="116">
        <v>49553</v>
      </c>
      <c r="AZ78" s="116">
        <v>49582</v>
      </c>
      <c r="BA78" s="116">
        <v>49554</v>
      </c>
      <c r="BB78" s="116">
        <v>49583</v>
      </c>
      <c r="BC78" s="116">
        <v>49583</v>
      </c>
      <c r="BD78" s="116">
        <v>49613</v>
      </c>
      <c r="BE78" s="116">
        <v>49584</v>
      </c>
      <c r="BF78" s="116">
        <v>49614</v>
      </c>
      <c r="BG78" s="116">
        <v>49614</v>
      </c>
      <c r="BH78" s="116">
        <v>49643</v>
      </c>
      <c r="BI78" s="116">
        <v>49615</v>
      </c>
      <c r="BJ78" s="116">
        <v>49644</v>
      </c>
      <c r="BK78" s="116">
        <v>49644</v>
      </c>
      <c r="BL78" s="116">
        <v>49674</v>
      </c>
      <c r="BM78" s="116">
        <v>49645</v>
      </c>
      <c r="BN78" s="116">
        <v>49675</v>
      </c>
    </row>
    <row r="79" spans="12:66" ht="51" customHeight="1">
      <c r="S79" s="116"/>
      <c r="T79" s="116"/>
      <c r="U79" s="116"/>
      <c r="V79" s="116"/>
    </row>
    <row r="80" spans="12:66" ht="51" customHeight="1">
      <c r="S80" s="116"/>
      <c r="T80" s="116"/>
      <c r="U80" s="116"/>
      <c r="V80" s="116"/>
    </row>
    <row r="81" spans="19:22" ht="51" customHeight="1">
      <c r="S81" s="116"/>
      <c r="T81" s="116"/>
      <c r="U81" s="116"/>
      <c r="V81" s="116"/>
    </row>
    <row r="82" spans="19:22" ht="51" customHeight="1">
      <c r="S82" s="116"/>
      <c r="T82" s="116"/>
      <c r="U82" s="116"/>
      <c r="V82" s="116"/>
    </row>
    <row r="83" spans="19:22" ht="51" customHeight="1">
      <c r="S83" s="116"/>
      <c r="T83" s="116"/>
      <c r="U83" s="116"/>
      <c r="V83" s="116"/>
    </row>
    <row r="84" spans="19:22" ht="51" customHeight="1">
      <c r="S84" s="116"/>
      <c r="T84" s="116"/>
      <c r="U84" s="116"/>
      <c r="V84" s="116"/>
    </row>
    <row r="85" spans="19:22" ht="51" customHeight="1">
      <c r="S85" s="116"/>
      <c r="T85" s="116"/>
      <c r="U85" s="116"/>
      <c r="V85" s="116"/>
    </row>
    <row r="86" spans="19:22" ht="51" customHeight="1">
      <c r="S86" s="116"/>
      <c r="T86" s="116"/>
      <c r="U86" s="116"/>
      <c r="V86" s="116"/>
    </row>
    <row r="87" spans="19:22" ht="51" customHeight="1">
      <c r="S87" s="116"/>
      <c r="T87" s="116"/>
      <c r="U87" s="116"/>
      <c r="V87" s="116"/>
    </row>
    <row r="88" spans="19:22" ht="51" customHeight="1">
      <c r="S88" s="116"/>
      <c r="T88" s="116"/>
      <c r="U88" s="116"/>
      <c r="V88" s="116"/>
    </row>
    <row r="89" spans="19:22" ht="51" customHeight="1">
      <c r="S89" s="116"/>
      <c r="T89" s="116"/>
      <c r="U89" s="116"/>
      <c r="V89" s="116"/>
    </row>
    <row r="90" spans="19:22" ht="51" customHeight="1">
      <c r="S90" s="116"/>
      <c r="T90" s="116"/>
      <c r="U90" s="116"/>
      <c r="V90" s="116"/>
    </row>
    <row r="91" spans="19:22" ht="51" customHeight="1">
      <c r="S91" s="116"/>
      <c r="T91" s="116"/>
      <c r="U91" s="116"/>
      <c r="V91" s="116"/>
    </row>
    <row r="92" spans="19:22" ht="51" customHeight="1">
      <c r="S92" s="116"/>
      <c r="T92" s="116"/>
      <c r="U92" s="116"/>
      <c r="V92" s="116"/>
    </row>
    <row r="93" spans="19:22" ht="51" customHeight="1">
      <c r="S93" s="116"/>
      <c r="T93" s="116"/>
      <c r="U93" s="116"/>
      <c r="V93" s="116"/>
    </row>
    <row r="94" spans="19:22" ht="51" customHeight="1">
      <c r="S94" s="116"/>
      <c r="T94" s="116"/>
      <c r="U94" s="116"/>
      <c r="V94" s="116"/>
    </row>
    <row r="95" spans="19:22" ht="51" customHeight="1">
      <c r="S95" s="116"/>
      <c r="T95" s="116"/>
      <c r="U95" s="116"/>
      <c r="V95" s="116"/>
    </row>
    <row r="96" spans="19:22" ht="51" customHeight="1">
      <c r="S96" s="116"/>
      <c r="T96" s="116"/>
      <c r="U96" s="116"/>
      <c r="V96" s="116"/>
    </row>
    <row r="97" spans="19:22" ht="51" customHeight="1">
      <c r="S97" s="116"/>
      <c r="T97" s="116"/>
      <c r="U97" s="116"/>
      <c r="V97" s="116"/>
    </row>
    <row r="98" spans="19:22" ht="51" customHeight="1">
      <c r="S98" s="116"/>
      <c r="T98" s="116"/>
      <c r="U98" s="116"/>
      <c r="V98" s="116"/>
    </row>
    <row r="99" spans="19:22" ht="51" customHeight="1">
      <c r="S99" s="116"/>
      <c r="T99" s="116"/>
      <c r="U99" s="116"/>
      <c r="V99" s="116"/>
    </row>
    <row r="100" spans="19:22" ht="51" customHeight="1">
      <c r="S100" s="116"/>
      <c r="T100" s="116"/>
      <c r="U100" s="116"/>
      <c r="V100" s="116"/>
    </row>
    <row r="101" spans="19:22" ht="51" customHeight="1">
      <c r="S101" s="116"/>
      <c r="T101" s="116"/>
      <c r="U101" s="116"/>
      <c r="V101" s="116"/>
    </row>
    <row r="102" spans="19:22" ht="51" customHeight="1">
      <c r="S102" s="116"/>
      <c r="T102" s="116"/>
      <c r="U102" s="116"/>
      <c r="V102" s="116"/>
    </row>
    <row r="103" spans="19:22" ht="51" customHeight="1">
      <c r="S103" s="116"/>
      <c r="T103" s="116"/>
      <c r="U103" s="116"/>
      <c r="V103" s="116"/>
    </row>
    <row r="104" spans="19:22" ht="51" customHeight="1">
      <c r="S104" s="116"/>
      <c r="T104" s="116"/>
      <c r="U104" s="116"/>
      <c r="V104" s="116"/>
    </row>
    <row r="105" spans="19:22" ht="51" customHeight="1">
      <c r="S105" s="116"/>
      <c r="T105" s="116"/>
      <c r="U105" s="116"/>
      <c r="V105" s="116"/>
    </row>
    <row r="106" spans="19:22" ht="51" customHeight="1">
      <c r="S106" s="116"/>
      <c r="T106" s="116"/>
      <c r="U106" s="116"/>
      <c r="V106" s="116"/>
    </row>
    <row r="107" spans="19:22" ht="51" customHeight="1">
      <c r="S107" s="116"/>
      <c r="T107" s="116"/>
      <c r="U107" s="116"/>
      <c r="V107" s="116"/>
    </row>
    <row r="108" spans="19:22" ht="51" customHeight="1">
      <c r="S108" s="116"/>
      <c r="T108" s="116"/>
      <c r="U108" s="116"/>
      <c r="V108" s="116"/>
    </row>
    <row r="109" spans="19:22" ht="51" customHeight="1">
      <c r="S109" s="116"/>
      <c r="T109" s="116"/>
      <c r="U109" s="116"/>
      <c r="V109" s="116"/>
    </row>
    <row r="110" spans="19:22" ht="51" customHeight="1">
      <c r="S110" s="116"/>
      <c r="T110" s="116"/>
      <c r="U110" s="116"/>
      <c r="V110" s="116"/>
    </row>
    <row r="111" spans="19:22" ht="51" customHeight="1"/>
    <row r="112" spans="19:22" ht="51" customHeight="1"/>
    <row r="113" ht="51" customHeight="1"/>
    <row r="114" ht="51" customHeight="1"/>
    <row r="115" ht="51" customHeight="1"/>
    <row r="116" ht="51" customHeight="1"/>
    <row r="117" ht="51" customHeight="1"/>
    <row r="118" ht="51" customHeight="1"/>
    <row r="119" ht="51" customHeight="1"/>
    <row r="120" ht="51" customHeight="1"/>
    <row r="121" ht="51" customHeight="1"/>
    <row r="122" ht="51" customHeight="1"/>
    <row r="123" ht="51" customHeight="1"/>
    <row r="124" ht="51" customHeight="1"/>
    <row r="125" ht="51" customHeight="1"/>
    <row r="126" ht="51" customHeight="1"/>
    <row r="127" ht="51" customHeight="1"/>
    <row r="128" ht="51" customHeight="1"/>
    <row r="129" ht="51" customHeight="1"/>
    <row r="130" ht="51" customHeight="1"/>
    <row r="131" ht="51" customHeight="1"/>
    <row r="132" ht="51" customHeight="1"/>
    <row r="133" ht="51" customHeight="1"/>
    <row r="134" ht="51" customHeight="1"/>
    <row r="135" ht="51" customHeight="1"/>
    <row r="136" ht="51" customHeight="1"/>
    <row r="137" ht="51" customHeight="1"/>
    <row r="138" ht="51" customHeight="1"/>
    <row r="139" ht="51" customHeight="1"/>
    <row r="140" ht="51" customHeight="1"/>
    <row r="141" ht="51" customHeight="1"/>
    <row r="142" ht="51" customHeight="1"/>
    <row r="143" ht="51" customHeight="1"/>
    <row r="144" ht="51" customHeight="1"/>
    <row r="145" ht="51" customHeight="1"/>
    <row r="146" ht="51" customHeight="1"/>
    <row r="147" ht="51" customHeight="1"/>
    <row r="148" ht="51" customHeight="1"/>
    <row r="149" ht="51" customHeight="1"/>
    <row r="150" ht="51" customHeight="1"/>
    <row r="151" ht="51" customHeight="1"/>
    <row r="152" ht="51" customHeight="1"/>
    <row r="153" ht="51" customHeight="1"/>
    <row r="154" ht="51" customHeight="1"/>
    <row r="155" ht="51" customHeight="1"/>
    <row r="156" ht="51" customHeight="1"/>
    <row r="157" ht="51" customHeight="1"/>
    <row r="158" ht="51" customHeight="1"/>
    <row r="159" ht="51" customHeight="1"/>
    <row r="160" ht="51" customHeight="1"/>
    <row r="161" ht="51" customHeight="1"/>
    <row r="162" ht="51" customHeight="1"/>
    <row r="163" ht="51" customHeight="1"/>
    <row r="164" ht="51" customHeight="1"/>
    <row r="165" ht="51" customHeight="1"/>
    <row r="166" ht="51" customHeight="1"/>
    <row r="167" ht="51" customHeight="1"/>
    <row r="168" ht="51" customHeight="1"/>
    <row r="169" ht="51" customHeight="1"/>
    <row r="170" ht="51" customHeight="1"/>
    <row r="171" ht="51" customHeight="1"/>
    <row r="172" ht="51" customHeight="1"/>
    <row r="173" ht="51" customHeight="1"/>
    <row r="174" ht="51" customHeight="1"/>
    <row r="175" ht="51" customHeight="1"/>
    <row r="176" ht="51" customHeight="1"/>
    <row r="177" ht="51" customHeight="1"/>
    <row r="178" ht="51" customHeight="1"/>
    <row r="179" ht="51" customHeight="1"/>
    <row r="180" ht="51" customHeight="1"/>
    <row r="181" ht="51" customHeight="1"/>
    <row r="182" ht="51" customHeight="1"/>
    <row r="183" ht="51" customHeight="1"/>
    <row r="184" ht="51" customHeight="1"/>
    <row r="185" ht="51" customHeight="1"/>
    <row r="186" ht="51" customHeight="1"/>
    <row r="187" ht="51" customHeight="1"/>
    <row r="188" ht="51" customHeight="1"/>
    <row r="189" ht="51" customHeight="1"/>
    <row r="190" ht="51" customHeight="1"/>
    <row r="191" ht="51" customHeight="1"/>
    <row r="192" ht="51" customHeight="1"/>
    <row r="193" ht="51" customHeight="1"/>
    <row r="194" ht="51" customHeight="1"/>
    <row r="195" ht="51" customHeight="1"/>
    <row r="196" ht="51" customHeight="1"/>
    <row r="197" ht="51" customHeight="1"/>
    <row r="198" ht="51" customHeight="1"/>
    <row r="199" ht="51" customHeight="1"/>
    <row r="200" ht="51" customHeight="1"/>
    <row r="201" ht="51" customHeight="1"/>
    <row r="202" ht="51" customHeight="1"/>
    <row r="203" ht="51" customHeight="1"/>
    <row r="204" ht="51" customHeight="1"/>
    <row r="205" ht="51" customHeight="1"/>
    <row r="206" ht="51" customHeight="1"/>
    <row r="207" ht="51" customHeight="1"/>
    <row r="208" ht="51" customHeight="1"/>
    <row r="209" ht="51" customHeight="1"/>
    <row r="210" ht="51" customHeight="1"/>
    <row r="211" ht="51" customHeight="1"/>
    <row r="212" ht="51" customHeight="1"/>
    <row r="213" ht="51" customHeight="1"/>
    <row r="214" ht="51" customHeight="1"/>
    <row r="215" ht="51" customHeight="1"/>
    <row r="216" ht="51" customHeight="1"/>
    <row r="217" ht="51" customHeight="1"/>
    <row r="218" ht="51" customHeight="1"/>
    <row r="219" ht="51" customHeight="1"/>
    <row r="220" ht="51" customHeight="1"/>
    <row r="221" ht="51" customHeight="1"/>
    <row r="222" ht="51" customHeight="1"/>
    <row r="223" ht="51" customHeight="1"/>
    <row r="224" ht="51" customHeight="1"/>
    <row r="225" ht="51" customHeight="1"/>
    <row r="226" ht="51" customHeight="1"/>
    <row r="227" ht="51" customHeight="1"/>
    <row r="228" ht="51" customHeight="1"/>
    <row r="229" ht="51" customHeight="1"/>
    <row r="230" ht="51" customHeight="1"/>
    <row r="231" ht="51" customHeight="1"/>
    <row r="232" ht="51" customHeight="1"/>
    <row r="233" ht="51" customHeight="1"/>
    <row r="234" ht="51" customHeight="1"/>
    <row r="235" ht="51" customHeight="1"/>
    <row r="236" ht="51" customHeight="1"/>
    <row r="237" ht="51" customHeight="1"/>
    <row r="238" ht="51" customHeight="1"/>
    <row r="239" ht="51" customHeight="1"/>
    <row r="240" ht="51" customHeight="1"/>
    <row r="241" ht="51" customHeight="1"/>
    <row r="242" ht="51" customHeight="1"/>
    <row r="243" ht="51" customHeight="1"/>
    <row r="244" ht="51" customHeight="1"/>
    <row r="245" ht="51" customHeight="1"/>
    <row r="246" ht="51" customHeight="1"/>
    <row r="247" ht="51" customHeight="1"/>
    <row r="248" ht="51" customHeight="1"/>
    <row r="249" ht="51" customHeight="1"/>
    <row r="250" ht="51" customHeight="1"/>
    <row r="251" ht="51" customHeight="1"/>
    <row r="252" ht="51" customHeight="1"/>
    <row r="253" ht="51" customHeight="1"/>
    <row r="254" ht="51" customHeight="1"/>
    <row r="255" ht="51" customHeight="1"/>
    <row r="256" ht="51" customHeight="1"/>
    <row r="257" ht="51" customHeight="1"/>
    <row r="258" ht="51" customHeight="1"/>
    <row r="259" ht="51" customHeight="1"/>
    <row r="260" ht="51" customHeight="1"/>
    <row r="261" ht="51" customHeight="1"/>
    <row r="262" ht="51" customHeight="1"/>
    <row r="263" ht="51" customHeight="1"/>
    <row r="264" ht="51" customHeight="1"/>
    <row r="265" ht="51" customHeight="1"/>
    <row r="266" ht="51" customHeight="1"/>
    <row r="267" ht="51" customHeight="1"/>
    <row r="268" ht="51" customHeight="1"/>
    <row r="269" ht="51" customHeight="1"/>
    <row r="270" ht="51" customHeight="1"/>
    <row r="271" ht="51" customHeight="1"/>
    <row r="272" ht="51" customHeight="1"/>
    <row r="273" ht="51" customHeight="1"/>
    <row r="274" ht="51" customHeight="1"/>
    <row r="275" ht="51" customHeight="1"/>
    <row r="276" ht="51" customHeight="1"/>
    <row r="277" ht="51" customHeight="1"/>
    <row r="278" ht="51" customHeight="1"/>
    <row r="279" ht="51" customHeight="1"/>
    <row r="280" ht="51" customHeight="1"/>
    <row r="281" ht="51" customHeight="1"/>
    <row r="282" ht="51" customHeight="1"/>
    <row r="283" ht="51" customHeight="1"/>
    <row r="284" ht="51" customHeight="1"/>
    <row r="285" ht="51" customHeight="1"/>
    <row r="286" ht="51" customHeight="1"/>
    <row r="287" ht="51" customHeight="1"/>
    <row r="288" ht="51" customHeight="1"/>
    <row r="289" ht="51" customHeight="1"/>
    <row r="290" ht="51" customHeight="1"/>
    <row r="291" ht="51" customHeight="1"/>
    <row r="292" ht="51" customHeight="1"/>
    <row r="293" ht="51" customHeight="1"/>
    <row r="294" ht="51" customHeight="1"/>
    <row r="295" ht="51" customHeight="1"/>
    <row r="296" ht="51" customHeight="1"/>
    <row r="297" ht="51" customHeight="1"/>
    <row r="298" ht="51" customHeight="1"/>
    <row r="299" ht="51" customHeight="1"/>
    <row r="300" ht="51" customHeight="1"/>
    <row r="301" ht="51" customHeight="1"/>
    <row r="302" ht="51" customHeight="1"/>
    <row r="303" ht="51" customHeight="1"/>
    <row r="304" ht="51" customHeight="1"/>
    <row r="305" ht="51" customHeight="1"/>
    <row r="306" ht="51" customHeight="1"/>
    <row r="307" ht="51" customHeight="1"/>
    <row r="308" ht="51" customHeight="1"/>
    <row r="309" ht="51" customHeight="1"/>
    <row r="310" ht="51" customHeight="1"/>
    <row r="311" ht="51" customHeight="1"/>
    <row r="312" ht="51" customHeight="1"/>
    <row r="313" ht="51" customHeight="1"/>
    <row r="314" ht="51" customHeight="1"/>
    <row r="315" ht="51" customHeight="1"/>
    <row r="316" ht="51" customHeight="1"/>
    <row r="317" ht="51" customHeight="1"/>
    <row r="318" ht="51" customHeight="1"/>
    <row r="319" ht="51" customHeight="1"/>
    <row r="320" ht="51" customHeight="1"/>
    <row r="321" ht="51" customHeight="1"/>
    <row r="322" ht="51" customHeight="1"/>
    <row r="323" ht="51" customHeight="1"/>
    <row r="324" ht="51" customHeight="1"/>
    <row r="325" ht="51" customHeight="1"/>
    <row r="326" ht="51" customHeight="1"/>
    <row r="327" ht="51" customHeight="1"/>
    <row r="328" ht="51" customHeight="1"/>
    <row r="329" ht="51" customHeight="1"/>
    <row r="330" ht="51" customHeight="1"/>
    <row r="331" ht="51" customHeight="1"/>
    <row r="332" ht="51" customHeight="1"/>
    <row r="333" ht="51" customHeight="1"/>
    <row r="334" ht="51" customHeight="1"/>
    <row r="335" ht="51" customHeight="1"/>
    <row r="336" ht="51" customHeight="1"/>
    <row r="337" ht="51" customHeight="1"/>
    <row r="338" ht="51" customHeight="1"/>
    <row r="339" ht="51" customHeight="1"/>
    <row r="340" ht="51" customHeight="1"/>
    <row r="341" ht="51" customHeight="1"/>
    <row r="342" ht="51" customHeight="1"/>
    <row r="343" ht="51" customHeight="1"/>
    <row r="344" ht="51" customHeight="1"/>
    <row r="345" ht="51" customHeight="1"/>
    <row r="346" ht="51" customHeight="1"/>
    <row r="347" ht="51" customHeight="1"/>
    <row r="348" ht="51" customHeight="1"/>
    <row r="349" ht="51" customHeight="1"/>
    <row r="350" ht="51" customHeight="1"/>
    <row r="351" ht="51" customHeight="1"/>
    <row r="352" ht="51" customHeight="1"/>
  </sheetData>
  <phoneticPr fontId="19"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sheetPr codeName="Sheet8">
    <pageSetUpPr fitToPage="1"/>
  </sheetPr>
  <dimension ref="A1:M122"/>
  <sheetViews>
    <sheetView workbookViewId="0">
      <pane ySplit="7" topLeftCell="A26" activePane="bottomLeft" state="frozen"/>
      <selection pane="bottomLeft" activeCell="K32" sqref="K32"/>
    </sheetView>
  </sheetViews>
  <sheetFormatPr defaultRowHeight="12.75"/>
  <cols>
    <col min="1" max="1" width="27.42578125" customWidth="1"/>
    <col min="2" max="2" width="5" customWidth="1"/>
    <col min="3" max="11" width="10.7109375" customWidth="1"/>
    <col min="13" max="13" width="14.140625" customWidth="1"/>
  </cols>
  <sheetData>
    <row r="1" spans="1:11" s="6" customFormat="1" ht="15.75">
      <c r="A1" s="898" t="s">
        <v>76</v>
      </c>
      <c r="B1" s="898"/>
      <c r="C1" s="898"/>
      <c r="D1" s="898"/>
      <c r="E1" s="898"/>
      <c r="F1" s="898"/>
      <c r="G1" s="898"/>
      <c r="H1" s="898"/>
      <c r="I1" s="898"/>
      <c r="J1" s="898"/>
      <c r="K1" s="898"/>
    </row>
    <row r="2" spans="1:11" s="7" customFormat="1">
      <c r="A2" s="898" t="s">
        <v>77</v>
      </c>
      <c r="B2" s="899"/>
      <c r="C2" s="899"/>
      <c r="D2" s="899"/>
      <c r="E2" s="899"/>
      <c r="F2" s="899"/>
      <c r="G2" s="899"/>
      <c r="H2" s="899"/>
      <c r="I2" s="899"/>
      <c r="J2" s="899"/>
      <c r="K2" s="899"/>
    </row>
    <row r="3" spans="1:11" s="7" customFormat="1">
      <c r="A3" s="127"/>
      <c r="B3" s="127"/>
      <c r="C3" s="127"/>
      <c r="D3" s="127"/>
      <c r="E3" s="128" t="s">
        <v>271</v>
      </c>
      <c r="F3" s="645">
        <f ca="1">TODAY()-1</f>
        <v>41037</v>
      </c>
      <c r="G3" s="211"/>
      <c r="H3" s="212"/>
      <c r="I3" s="212"/>
      <c r="J3" s="212"/>
      <c r="K3" s="131"/>
    </row>
    <row r="4" spans="1:11" s="7" customFormat="1" ht="12" customHeight="1">
      <c r="A4" s="127"/>
      <c r="B4" s="127"/>
      <c r="C4" s="127"/>
      <c r="D4" s="127"/>
      <c r="E4" s="213"/>
      <c r="F4" s="213"/>
      <c r="G4" s="214"/>
      <c r="H4" s="214"/>
      <c r="I4" s="215"/>
      <c r="J4" s="215"/>
      <c r="K4" s="216"/>
    </row>
    <row r="5" spans="1:11" s="17" customFormat="1" ht="12" thickBot="1">
      <c r="A5" s="14" t="s">
        <v>22</v>
      </c>
      <c r="B5" s="14"/>
      <c r="C5" s="14"/>
      <c r="D5" s="14"/>
      <c r="E5" s="217"/>
      <c r="F5" s="217"/>
      <c r="G5" s="218"/>
      <c r="H5" s="218"/>
      <c r="I5" s="218"/>
      <c r="J5" s="218"/>
      <c r="K5" s="218" t="s">
        <v>10</v>
      </c>
    </row>
    <row r="6" spans="1:11" s="124" customFormat="1" ht="13.5" customHeight="1">
      <c r="A6" s="219"/>
      <c r="B6" s="220"/>
      <c r="C6" s="35" t="str">
        <f t="shared" ref="C6:K6" ca="1" si="0">CHOOSE(WEEKDAY(C7,2),"Monday","Tuesday","Wednesday","Thursday","Friday","Saturday","Sunday")</f>
        <v>Monday</v>
      </c>
      <c r="D6" s="35" t="str">
        <f t="shared" ca="1" si="0"/>
        <v>Tuesday</v>
      </c>
      <c r="E6" s="35" t="str">
        <f t="shared" ca="1" si="0"/>
        <v>Wednesday</v>
      </c>
      <c r="F6" s="35" t="str">
        <f t="shared" ca="1" si="0"/>
        <v>Thursday</v>
      </c>
      <c r="G6" s="35" t="str">
        <f t="shared" ca="1" si="0"/>
        <v>Friday</v>
      </c>
      <c r="H6" s="35" t="str">
        <f t="shared" ca="1" si="0"/>
        <v>Saturday</v>
      </c>
      <c r="I6" s="35" t="str">
        <f t="shared" ca="1" si="0"/>
        <v>Sunday</v>
      </c>
      <c r="J6" s="35" t="str">
        <f t="shared" ca="1" si="0"/>
        <v>Monday</v>
      </c>
      <c r="K6" s="35" t="str">
        <f t="shared" ca="1" si="0"/>
        <v>Tuesday</v>
      </c>
    </row>
    <row r="7" spans="1:11" s="124" customFormat="1" ht="15" customHeight="1" thickBot="1">
      <c r="A7" s="221"/>
      <c r="B7" s="222"/>
      <c r="C7" s="223">
        <f ca="1">D7-1</f>
        <v>41029</v>
      </c>
      <c r="D7" s="223">
        <f ca="1">E7-1</f>
        <v>41030</v>
      </c>
      <c r="E7" s="223">
        <f t="shared" ref="E7:J7" ca="1" si="1">F7-1</f>
        <v>41031</v>
      </c>
      <c r="F7" s="223">
        <f t="shared" ca="1" si="1"/>
        <v>41032</v>
      </c>
      <c r="G7" s="223">
        <f t="shared" ca="1" si="1"/>
        <v>41033</v>
      </c>
      <c r="H7" s="223">
        <f t="shared" ca="1" si="1"/>
        <v>41034</v>
      </c>
      <c r="I7" s="223">
        <f t="shared" ca="1" si="1"/>
        <v>41035</v>
      </c>
      <c r="J7" s="223">
        <f t="shared" ca="1" si="1"/>
        <v>41036</v>
      </c>
      <c r="K7" s="223">
        <f ca="1">F3</f>
        <v>41037</v>
      </c>
    </row>
    <row r="8" spans="1:11" s="125" customFormat="1" ht="13.5" thickBot="1">
      <c r="A8" s="900" t="s">
        <v>115</v>
      </c>
      <c r="B8" s="900"/>
      <c r="C8" s="900"/>
      <c r="D8" s="900"/>
      <c r="E8" s="900"/>
      <c r="F8" s="900"/>
      <c r="G8" s="900"/>
      <c r="H8" s="900"/>
      <c r="I8" s="900"/>
      <c r="J8" s="900"/>
      <c r="K8" s="901"/>
    </row>
    <row r="9" spans="1:11" s="118" customFormat="1">
      <c r="A9" s="625" t="s">
        <v>710</v>
      </c>
      <c r="B9" s="626" t="s">
        <v>13</v>
      </c>
      <c r="C9" s="627" t="e">
        <f ca="1">VLOOKUP(C7,'Calculations II'!$B$8:$IV$887,45,FALSE)</f>
        <v>#N/A</v>
      </c>
      <c r="D9" s="628" t="e">
        <f ca="1">VLOOKUP(D7,'Calculations II'!$B$8:$IV$887,45,FALSE)</f>
        <v>#N/A</v>
      </c>
      <c r="E9" s="629" t="e">
        <f ca="1">VLOOKUP(E7,'Calculations II'!$B$8:$IV$887,45,FALSE)</f>
        <v>#N/A</v>
      </c>
      <c r="F9" s="628" t="e">
        <f ca="1">VLOOKUP(F7,'Calculations II'!$B$8:$IV$887,45,FALSE)</f>
        <v>#N/A</v>
      </c>
      <c r="G9" s="628" t="e">
        <f ca="1">VLOOKUP(G7,'Calculations II'!$B$8:$IV$887,45,FALSE)</f>
        <v>#N/A</v>
      </c>
      <c r="H9" s="628" t="e">
        <f ca="1">VLOOKUP(H7,'Calculations II'!$B$8:$IV$887,45,FALSE)</f>
        <v>#N/A</v>
      </c>
      <c r="I9" s="628" t="e">
        <f ca="1">VLOOKUP(I7,'Calculations II'!$B$8:$IV$887,45,FALSE)</f>
        <v>#N/A</v>
      </c>
      <c r="J9" s="628" t="e">
        <f ca="1">VLOOKUP(J7,'Calculations II'!$B$8:$IV$887,45,FALSE)</f>
        <v>#N/A</v>
      </c>
      <c r="K9" s="630" t="e">
        <f ca="1">VLOOKUP(K7,'Calculations II'!$B$8:$IV$887,45,FALSE)</f>
        <v>#N/A</v>
      </c>
    </row>
    <row r="10" spans="1:11" s="118" customFormat="1">
      <c r="A10" s="21" t="s">
        <v>272</v>
      </c>
      <c r="B10" s="126" t="s">
        <v>13</v>
      </c>
      <c r="C10" s="146" t="e">
        <f ca="1">VLOOKUP(C7,'Calculations II'!$B$8:$IV$887,46,FALSE)</f>
        <v>#N/A</v>
      </c>
      <c r="D10" s="37" t="e">
        <f ca="1">VLOOKUP(D7,'Calculations II'!$B$8:$IV$887,46,FALSE)</f>
        <v>#N/A</v>
      </c>
      <c r="E10" s="201" t="e">
        <f ca="1">VLOOKUP(E7,'Calculations II'!$B$8:$IV$887,46,FALSE)</f>
        <v>#N/A</v>
      </c>
      <c r="F10" s="37" t="e">
        <f ca="1">VLOOKUP(F7,'Calculations II'!$B$8:$IV$887,46,FALSE)</f>
        <v>#N/A</v>
      </c>
      <c r="G10" s="37" t="e">
        <f ca="1">VLOOKUP(G7,'Calculations II'!$B$8:$IV$887,46,FALSE)</f>
        <v>#N/A</v>
      </c>
      <c r="H10" s="37" t="e">
        <f ca="1">VLOOKUP(H7,'Calculations II'!$B$8:$IV$887,46,FALSE)</f>
        <v>#N/A</v>
      </c>
      <c r="I10" s="37" t="e">
        <f ca="1">VLOOKUP(I7,'Calculations II'!$B$8:$IV$887,46,FALSE)</f>
        <v>#N/A</v>
      </c>
      <c r="J10" s="37" t="e">
        <f ca="1">VLOOKUP(J7,'Calculations II'!$B$8:$IV$887,46,FALSE)</f>
        <v>#N/A</v>
      </c>
      <c r="K10" s="39" t="e">
        <f ca="1">VLOOKUP(K7,'Calculations II'!$B$8:$IV$887,46,FALSE)</f>
        <v>#N/A</v>
      </c>
    </row>
    <row r="11" spans="1:11" s="118" customFormat="1">
      <c r="A11" s="631" t="s">
        <v>711</v>
      </c>
      <c r="B11" s="632" t="s">
        <v>13</v>
      </c>
      <c r="C11" s="633" t="e">
        <f ca="1">VLOOKUP(C7,'Calculations II'!$B$8:$IV$887,47,FALSE)</f>
        <v>#N/A</v>
      </c>
      <c r="D11" s="634" t="e">
        <f ca="1">VLOOKUP(D7,'Calculations II'!$B$8:$IV$887,47,FALSE)</f>
        <v>#N/A</v>
      </c>
      <c r="E11" s="635" t="e">
        <f ca="1">VLOOKUP(E7,'Calculations II'!$B$8:$IV$887,47,FALSE)</f>
        <v>#N/A</v>
      </c>
      <c r="F11" s="634" t="e">
        <f ca="1">VLOOKUP(F7,'Calculations II'!$B$8:$IV$887,47,FALSE)</f>
        <v>#N/A</v>
      </c>
      <c r="G11" s="634" t="e">
        <f ca="1">VLOOKUP(G7,'Calculations II'!$B$8:$IV$887,47,FALSE)</f>
        <v>#N/A</v>
      </c>
      <c r="H11" s="634" t="e">
        <f ca="1">VLOOKUP(H7,'Calculations II'!$B$8:$IV$887,47,FALSE)</f>
        <v>#N/A</v>
      </c>
      <c r="I11" s="634" t="e">
        <f ca="1">VLOOKUP(I7,'Calculations II'!$B$8:$IV$887,47,FALSE)</f>
        <v>#N/A</v>
      </c>
      <c r="J11" s="634" t="e">
        <f ca="1">VLOOKUP(J7,'Calculations II'!$B$8:$IV$887,47,FALSE)</f>
        <v>#N/A</v>
      </c>
      <c r="K11" s="636" t="e">
        <f ca="1">VLOOKUP(K7,'Calculations II'!$B$8:$IV$887,47,FALSE)</f>
        <v>#N/A</v>
      </c>
    </row>
    <row r="12" spans="1:11" s="118" customFormat="1">
      <c r="A12" s="21" t="s">
        <v>78</v>
      </c>
      <c r="B12" s="126" t="s">
        <v>13</v>
      </c>
      <c r="C12" s="146" t="e">
        <f ca="1">VLOOKUP(C7,'Calculations II'!$B$8:$IV$887,48,FALSE)</f>
        <v>#N/A</v>
      </c>
      <c r="D12" s="37" t="e">
        <f ca="1">VLOOKUP(D7,'Calculations II'!$B$8:$IV$887,48,FALSE)</f>
        <v>#N/A</v>
      </c>
      <c r="E12" s="201" t="e">
        <f ca="1">VLOOKUP(E7,'Calculations II'!$B$8:$IV$887,48,FALSE)</f>
        <v>#N/A</v>
      </c>
      <c r="F12" s="37" t="e">
        <f ca="1">VLOOKUP(F7,'Calculations II'!$B$8:$IV$887,48,FALSE)</f>
        <v>#N/A</v>
      </c>
      <c r="G12" s="37" t="e">
        <f ca="1">VLOOKUP(G7,'Calculations II'!$B$8:$IV$887,48,FALSE)</f>
        <v>#N/A</v>
      </c>
      <c r="H12" s="37" t="e">
        <f ca="1">VLOOKUP(H7,'Calculations II'!$B$8:$IV$887,48,FALSE)</f>
        <v>#N/A</v>
      </c>
      <c r="I12" s="37" t="e">
        <f ca="1">VLOOKUP(I7,'Calculations II'!$B$8:$IV$887,48,FALSE)</f>
        <v>#N/A</v>
      </c>
      <c r="J12" s="37" t="e">
        <f ca="1">VLOOKUP(J7,'Calculations II'!$B$8:$IV$887,48,FALSE)</f>
        <v>#N/A</v>
      </c>
      <c r="K12" s="197" t="e">
        <f ca="1">VLOOKUP(K7,'Calculations II'!$B$8:$IV$887,48,FALSE)</f>
        <v>#N/A</v>
      </c>
    </row>
    <row r="13" spans="1:11" s="118" customFormat="1">
      <c r="A13" s="147" t="s">
        <v>435</v>
      </c>
      <c r="B13" s="144" t="s">
        <v>13</v>
      </c>
      <c r="C13" s="268" t="e">
        <f ca="1">VLOOKUP(C7,'Calculations II'!$B$8:$IV$887,49,FALSE)</f>
        <v>#N/A</v>
      </c>
      <c r="D13" s="229" t="e">
        <f ca="1">VLOOKUP(D7,'Calculations II'!$B$8:$IV$887,49,FALSE)</f>
        <v>#N/A</v>
      </c>
      <c r="E13" s="270" t="e">
        <f ca="1">VLOOKUP(E7,'Calculations II'!$B$8:$IV$887,49,FALSE)</f>
        <v>#N/A</v>
      </c>
      <c r="F13" s="229" t="e">
        <f ca="1">VLOOKUP(F7,'Calculations II'!$B$8:$IV$887,49,FALSE)</f>
        <v>#N/A</v>
      </c>
      <c r="G13" s="229" t="e">
        <f ca="1">VLOOKUP(G7,'Calculations II'!$B$8:$IV$887,49,FALSE)</f>
        <v>#N/A</v>
      </c>
      <c r="H13" s="229" t="e">
        <f ca="1">VLOOKUP(H7,'Calculations II'!$B$8:$IV$887,49,FALSE)</f>
        <v>#N/A</v>
      </c>
      <c r="I13" s="229" t="e">
        <f ca="1">VLOOKUP(I7,'Calculations II'!$B$8:$IV$887,49,FALSE)</f>
        <v>#N/A</v>
      </c>
      <c r="J13" s="229" t="e">
        <f ca="1">VLOOKUP(J7,'Calculations II'!$B$8:$IV$887,49,FALSE)</f>
        <v>#N/A</v>
      </c>
      <c r="K13" s="864" t="e">
        <f ca="1">VLOOKUP(K7,'Calculations II'!$B$8:$IV$887,49,FALSE)</f>
        <v>#N/A</v>
      </c>
    </row>
    <row r="14" spans="1:11" s="118" customFormat="1">
      <c r="A14" s="21" t="s">
        <v>79</v>
      </c>
      <c r="B14" s="126" t="s">
        <v>13</v>
      </c>
      <c r="C14" s="146" t="e">
        <f ca="1">VLOOKUP(C7,'Calculations II'!$B$8:$IV$887,50,FALSE)</f>
        <v>#N/A</v>
      </c>
      <c r="D14" s="37" t="e">
        <f ca="1">VLOOKUP(D7,'Calculations II'!$B$8:$IV$887,50,FALSE)</f>
        <v>#N/A</v>
      </c>
      <c r="E14" s="201" t="e">
        <f ca="1">VLOOKUP(E7,'Calculations II'!$B$8:$IV$887,50,FALSE)</f>
        <v>#N/A</v>
      </c>
      <c r="F14" s="37" t="e">
        <f ca="1">VLOOKUP(F7,'Calculations II'!$B$8:$IV$887,50,FALSE)</f>
        <v>#N/A</v>
      </c>
      <c r="G14" s="37" t="e">
        <f ca="1">VLOOKUP(G7,'Calculations II'!$B$8:$IV$887,50,FALSE)</f>
        <v>#N/A</v>
      </c>
      <c r="H14" s="37" t="e">
        <f ca="1">VLOOKUP(H7,'Calculations II'!$B$8:$IV$887,50,FALSE)</f>
        <v>#N/A</v>
      </c>
      <c r="I14" s="37" t="e">
        <f ca="1">VLOOKUP(I7,'Calculations II'!$B$8:$IV$887,50,FALSE)</f>
        <v>#N/A</v>
      </c>
      <c r="J14" s="37" t="e">
        <f ca="1">VLOOKUP(J7,'Calculations II'!$B$8:$IV$887,50,FALSE)</f>
        <v>#N/A</v>
      </c>
      <c r="K14" s="39" t="e">
        <f ca="1">VLOOKUP(K7,'Calculations II'!$B$8:$IV$887,50,FALSE)</f>
        <v>#N/A</v>
      </c>
    </row>
    <row r="15" spans="1:11" s="118" customFormat="1">
      <c r="A15" s="631" t="s">
        <v>712</v>
      </c>
      <c r="B15" s="632" t="s">
        <v>13</v>
      </c>
      <c r="C15" s="633" t="e">
        <f ca="1">VLOOKUP(C7,'Calculations II'!$B$8:$IV$887,51,FALSE)</f>
        <v>#N/A</v>
      </c>
      <c r="D15" s="634" t="e">
        <f ca="1">VLOOKUP(D7,'Calculations II'!$B$8:$IV$887,51,FALSE)</f>
        <v>#N/A</v>
      </c>
      <c r="E15" s="635" t="e">
        <f ca="1">VLOOKUP(E7,'Calculations II'!$B$8:$IV$887,51,FALSE)</f>
        <v>#N/A</v>
      </c>
      <c r="F15" s="634" t="e">
        <f ca="1">VLOOKUP(F7,'Calculations II'!$B$8:$IV$887,51,FALSE)</f>
        <v>#N/A</v>
      </c>
      <c r="G15" s="634" t="e">
        <f ca="1">VLOOKUP(G7,'Calculations II'!$B$8:$IV$887,51,FALSE)</f>
        <v>#N/A</v>
      </c>
      <c r="H15" s="634" t="e">
        <f ca="1">VLOOKUP(H7,'Calculations II'!$B$8:$IV$887,51,FALSE)</f>
        <v>#N/A</v>
      </c>
      <c r="I15" s="634" t="e">
        <f ca="1">VLOOKUP(I7,'Calculations II'!$B$8:$IV$887,51,FALSE)</f>
        <v>#N/A</v>
      </c>
      <c r="J15" s="634" t="e">
        <f ca="1">VLOOKUP(J7,'Calculations II'!$B$8:$IV$887,51,FALSE)</f>
        <v>#N/A</v>
      </c>
      <c r="K15" s="637" t="e">
        <f ca="1">VLOOKUP(K7,'Calculations II'!$B$8:$IV$887,51,FALSE)</f>
        <v>#N/A</v>
      </c>
    </row>
    <row r="16" spans="1:11" s="118" customFormat="1">
      <c r="A16" s="631" t="s">
        <v>713</v>
      </c>
      <c r="B16" s="638" t="s">
        <v>13</v>
      </c>
      <c r="C16" s="639" t="e">
        <f ca="1">VLOOKUP(C7,'Calculations II'!$B$8:$IV$887,52,FALSE)</f>
        <v>#N/A</v>
      </c>
      <c r="D16" s="640" t="e">
        <f ca="1">VLOOKUP(D7,'Calculations II'!$B$8:$IV$887,52,FALSE)</f>
        <v>#N/A</v>
      </c>
      <c r="E16" s="641" t="e">
        <f ca="1">VLOOKUP(E7,'Calculations II'!$B$8:$IV$887,52,FALSE)</f>
        <v>#N/A</v>
      </c>
      <c r="F16" s="640" t="e">
        <f ca="1">VLOOKUP(F7,'Calculations II'!$B$8:$IV$887,52,FALSE)</f>
        <v>#N/A</v>
      </c>
      <c r="G16" s="640" t="e">
        <f ca="1">VLOOKUP(G7,'Calculations II'!$B$8:$IV$887,52,FALSE)</f>
        <v>#N/A</v>
      </c>
      <c r="H16" s="640" t="e">
        <f ca="1">VLOOKUP(H7,'Calculations II'!$B$8:$IV$887,52,FALSE)</f>
        <v>#N/A</v>
      </c>
      <c r="I16" s="640" t="e">
        <f ca="1">VLOOKUP(I7,'Calculations II'!$B$8:$IV$887,52,FALSE)</f>
        <v>#N/A</v>
      </c>
      <c r="J16" s="640" t="e">
        <f ca="1">VLOOKUP(J7,'Calculations II'!$B$8:$IV$887,52,FALSE)</f>
        <v>#N/A</v>
      </c>
      <c r="K16" s="636" t="e">
        <f ca="1">VLOOKUP(K7,'Calculations II'!$B$8:$IV$887,52,FALSE)</f>
        <v>#N/A</v>
      </c>
    </row>
    <row r="17" spans="1:13" s="118" customFormat="1">
      <c r="A17" s="21" t="s">
        <v>93</v>
      </c>
      <c r="B17" s="126" t="s">
        <v>13</v>
      </c>
      <c r="C17" s="146" t="e">
        <f ca="1">VLOOKUP(C7,'Calculations II'!$B$8:$IV$887,56,FALSE)</f>
        <v>#N/A</v>
      </c>
      <c r="D17" s="37" t="e">
        <f ca="1">VLOOKUP(D7,'Calculations II'!$B$8:$IV$887,56,FALSE)</f>
        <v>#N/A</v>
      </c>
      <c r="E17" s="201" t="e">
        <f ca="1">VLOOKUP(E7,'Calculations II'!$B$8:$IV$887,56,FALSE)</f>
        <v>#N/A</v>
      </c>
      <c r="F17" s="37" t="e">
        <f ca="1">VLOOKUP(F7,'Calculations II'!$B$8:$IV$887,56,FALSE)</f>
        <v>#N/A</v>
      </c>
      <c r="G17" s="37" t="e">
        <f ca="1">VLOOKUP(G7,'Calculations II'!$B$8:$IV$887,56,FALSE)</f>
        <v>#N/A</v>
      </c>
      <c r="H17" s="37" t="e">
        <f ca="1">VLOOKUP(H7,'Calculations II'!$B$8:$IV$887,56,FALSE)</f>
        <v>#N/A</v>
      </c>
      <c r="I17" s="37" t="e">
        <f ca="1">VLOOKUP(I7,'Calculations II'!$B$8:$IV$887,56,FALSE)</f>
        <v>#N/A</v>
      </c>
      <c r="J17" s="37" t="e">
        <f ca="1">VLOOKUP(J7,'Calculations II'!$B$8:$IV$887,56,FALSE)</f>
        <v>#N/A</v>
      </c>
      <c r="K17" s="197" t="e">
        <f ca="1">VLOOKUP(K7,'Calculations II'!$B$8:$IV$887,56,FALSE)</f>
        <v>#N/A</v>
      </c>
    </row>
    <row r="18" spans="1:13" s="118" customFormat="1">
      <c r="A18" s="147" t="s">
        <v>127</v>
      </c>
      <c r="B18" s="144" t="s">
        <v>13</v>
      </c>
      <c r="C18" s="268" t="e">
        <f ca="1">VLOOKUP(C7,Sheet1!$B$8:$IV$895,72,FALSE)</f>
        <v>#N/A</v>
      </c>
      <c r="D18" s="229" t="e">
        <f ca="1">VLOOKUP(D7,Sheet1!$B$8:$IV$895,72,FALSE)</f>
        <v>#N/A</v>
      </c>
      <c r="E18" s="270" t="e">
        <f ca="1">VLOOKUP(E7,Sheet1!$B$8:$IV$895,72,FALSE)</f>
        <v>#N/A</v>
      </c>
      <c r="F18" s="229" t="e">
        <f ca="1">VLOOKUP(F7,Sheet1!$B$8:$IV$895,72,FALSE)</f>
        <v>#N/A</v>
      </c>
      <c r="G18" s="229" t="e">
        <f ca="1">VLOOKUP(G7,Sheet1!$B$8:$IV$895,72,FALSE)</f>
        <v>#N/A</v>
      </c>
      <c r="H18" s="229" t="e">
        <f ca="1">VLOOKUP(H7,Sheet1!$B$8:$IV$895,72,FALSE)</f>
        <v>#N/A</v>
      </c>
      <c r="I18" s="875" t="e">
        <f ca="1">VLOOKUP(I7,Sheet1!$B$8:$IV$895,72,FALSE)</f>
        <v>#N/A</v>
      </c>
      <c r="J18" s="229" t="e">
        <f ca="1">VLOOKUP(J7,Sheet1!$B$8:$IV$895,72,FALSE)</f>
        <v>#N/A</v>
      </c>
      <c r="K18" s="459" t="e">
        <f ca="1">VLOOKUP(K7,Sheet1!$B$8:$IV$895,72,FALSE)</f>
        <v>#N/A</v>
      </c>
    </row>
    <row r="19" spans="1:13" s="118" customFormat="1">
      <c r="A19" s="21" t="s">
        <v>18</v>
      </c>
      <c r="B19" s="126" t="s">
        <v>13</v>
      </c>
      <c r="C19" s="146" t="e">
        <f ca="1">VLOOKUP(C7,'Calculations II'!$B$8:$IV$887,54,FALSE)</f>
        <v>#N/A</v>
      </c>
      <c r="D19" s="37" t="e">
        <f ca="1">VLOOKUP(D7,'Calculations II'!$B$8:$IV$887,54,FALSE)</f>
        <v>#N/A</v>
      </c>
      <c r="E19" s="201" t="e">
        <f ca="1">VLOOKUP(E7,'Calculations II'!$B$8:$IV$887,54,FALSE)</f>
        <v>#N/A</v>
      </c>
      <c r="F19" s="37" t="e">
        <f ca="1">VLOOKUP(F7,'Calculations II'!$B$8:$IV$887,54,FALSE)</f>
        <v>#N/A</v>
      </c>
      <c r="G19" s="37" t="e">
        <f ca="1">VLOOKUP(G7,'Calculations II'!$B$8:$IV$887,54,FALSE)</f>
        <v>#N/A</v>
      </c>
      <c r="H19" s="37" t="e">
        <f ca="1">VLOOKUP(H7,'Calculations II'!$B$8:$IV$887,54,FALSE)</f>
        <v>#N/A</v>
      </c>
      <c r="I19" s="37" t="e">
        <f ca="1">VLOOKUP(I7,'Calculations II'!$B$8:$IV$887,54,FALSE)</f>
        <v>#N/A</v>
      </c>
      <c r="J19" s="37" t="e">
        <f ca="1">VLOOKUP(J7,'Calculations II'!$B$8:$IV$887,54,FALSE)</f>
        <v>#N/A</v>
      </c>
      <c r="K19" s="39" t="e">
        <f ca="1">VLOOKUP(K7,'Calculations II'!$B$8:$IV$887,54,FALSE)</f>
        <v>#N/A</v>
      </c>
    </row>
    <row r="20" spans="1:13" s="118" customFormat="1">
      <c r="A20" s="147" t="s">
        <v>287</v>
      </c>
      <c r="B20" s="144" t="s">
        <v>13</v>
      </c>
      <c r="C20" s="268" t="e">
        <f ca="1">VLOOKUP(C7,Calculation!$B$8:$IV$881,32,FALSE)</f>
        <v>#N/A</v>
      </c>
      <c r="D20" s="229" t="e">
        <f ca="1">VLOOKUP(D7,Calculation!$B$8:$IV$881,32,FALSE)</f>
        <v>#N/A</v>
      </c>
      <c r="E20" s="270" t="e">
        <f ca="1">VLOOKUP(E7,Calculation!$B$8:$IV$881,32,FALSE)</f>
        <v>#N/A</v>
      </c>
      <c r="F20" s="229" t="e">
        <f ca="1">VLOOKUP(F7,Calculation!$B$8:$IV$881,32,FALSE)</f>
        <v>#N/A</v>
      </c>
      <c r="G20" s="229" t="e">
        <f ca="1">VLOOKUP(G7,Calculation!$B$8:$IV$881,32,FALSE)</f>
        <v>#N/A</v>
      </c>
      <c r="H20" s="229" t="e">
        <f ca="1">VLOOKUP(H7,Calculation!$B$8:$IV$881,32,FALSE)</f>
        <v>#N/A</v>
      </c>
      <c r="I20" s="229" t="e">
        <f ca="1">VLOOKUP(I7,Calculation!$B$8:$IV$881,32,FALSE)</f>
        <v>#N/A</v>
      </c>
      <c r="J20" s="229" t="e">
        <f ca="1">VLOOKUP(J7,Calculation!$B$8:$IV$881,32,FALSE)</f>
        <v>#N/A</v>
      </c>
      <c r="K20" s="863" t="e">
        <f ca="1">VLOOKUP(K7,Calculation!$B$8:$IV$881,32,FALSE)</f>
        <v>#N/A</v>
      </c>
    </row>
    <row r="21" spans="1:13" s="118" customFormat="1" ht="13.5" thickBot="1">
      <c r="A21" s="231" t="s">
        <v>80</v>
      </c>
      <c r="B21" s="232" t="s">
        <v>13</v>
      </c>
      <c r="C21" s="275" t="e">
        <f t="shared" ref="C21:J21" ca="1" si="2">SUM(C9:C20)</f>
        <v>#N/A</v>
      </c>
      <c r="D21" s="256" t="e">
        <f t="shared" ca="1" si="2"/>
        <v>#N/A</v>
      </c>
      <c r="E21" s="276" t="e">
        <f t="shared" ca="1" si="2"/>
        <v>#N/A</v>
      </c>
      <c r="F21" s="256" t="e">
        <f t="shared" ca="1" si="2"/>
        <v>#N/A</v>
      </c>
      <c r="G21" s="256" t="e">
        <f t="shared" ca="1" si="2"/>
        <v>#N/A</v>
      </c>
      <c r="H21" s="256" t="e">
        <f t="shared" ca="1" si="2"/>
        <v>#N/A</v>
      </c>
      <c r="I21" s="256" t="e">
        <f ca="1">SUM(I9:I20)</f>
        <v>#N/A</v>
      </c>
      <c r="J21" s="256" t="e">
        <f t="shared" ca="1" si="2"/>
        <v>#N/A</v>
      </c>
      <c r="K21" s="257" t="e">
        <f ca="1">SUM(K9:K20)</f>
        <v>#N/A</v>
      </c>
      <c r="L21" s="801"/>
      <c r="M21" s="57"/>
    </row>
    <row r="22" spans="1:13" s="118" customFormat="1" ht="13.5" thickBot="1">
      <c r="A22" s="893" t="s">
        <v>114</v>
      </c>
      <c r="B22" s="896"/>
      <c r="C22" s="896"/>
      <c r="D22" s="896"/>
      <c r="E22" s="896"/>
      <c r="F22" s="896"/>
      <c r="G22" s="896"/>
      <c r="H22" s="896"/>
      <c r="I22" s="896"/>
      <c r="J22" s="896"/>
      <c r="K22" s="897"/>
    </row>
    <row r="23" spans="1:13" s="118" customFormat="1">
      <c r="A23" s="140" t="s">
        <v>436</v>
      </c>
      <c r="B23" s="171" t="s">
        <v>11</v>
      </c>
      <c r="C23" s="267" t="e">
        <f ca="1">VLOOKUP(C7,Sheet1!$B$8:$IV$895,101,FALSE)</f>
        <v>#N/A</v>
      </c>
      <c r="D23" s="227" t="e">
        <f ca="1">VLOOKUP(D7,Sheet1!$B$8:$IV$895,101,FALSE)</f>
        <v>#N/A</v>
      </c>
      <c r="E23" s="269" t="e">
        <f ca="1">VLOOKUP(E7,Sheet1!$B$8:$IV$895,101,FALSE)</f>
        <v>#N/A</v>
      </c>
      <c r="F23" s="227" t="e">
        <f ca="1">VLOOKUP(F7,Sheet1!$B$8:$IV$895,101,FALSE)</f>
        <v>#N/A</v>
      </c>
      <c r="G23" s="227" t="e">
        <f ca="1">VLOOKUP(G7,Sheet1!$B$8:$IV$895,101,FALSE)</f>
        <v>#N/A</v>
      </c>
      <c r="H23" s="227" t="e">
        <f ca="1">VLOOKUP(H7,Sheet1!$B$8:$IV$895,101,FALSE)</f>
        <v>#N/A</v>
      </c>
      <c r="I23" s="227" t="e">
        <f ca="1">VLOOKUP(I7,Sheet1!$B$8:$IV$895,101,FALSE)</f>
        <v>#N/A</v>
      </c>
      <c r="J23" s="227" t="e">
        <f ca="1">VLOOKUP(J7,Sheet1!$B$8:$IV$895,101,FALSE)</f>
        <v>#N/A</v>
      </c>
      <c r="K23" s="228" t="e">
        <f ca="1">VLOOKUP(K7,Sheet1!$B$8:$IV$895,101,FALSE)</f>
        <v>#N/A</v>
      </c>
    </row>
    <row r="24" spans="1:13" s="118" customFormat="1">
      <c r="A24" s="21" t="s">
        <v>128</v>
      </c>
      <c r="B24" s="126" t="s">
        <v>12</v>
      </c>
      <c r="C24" s="146" t="e">
        <f ca="1">VLOOKUP(C7,Sheet1!$B$8:$IV$895,6,FALSE)</f>
        <v>#N/A</v>
      </c>
      <c r="D24" s="37" t="e">
        <f ca="1">VLOOKUP(D7,Sheet1!$B$8:$IV$895,6,FALSE)</f>
        <v>#N/A</v>
      </c>
      <c r="E24" s="201" t="e">
        <f ca="1">VLOOKUP(E7,Sheet1!$B$8:$IV$895,6,FALSE)</f>
        <v>#N/A</v>
      </c>
      <c r="F24" s="37" t="e">
        <f ca="1">VLOOKUP(F7,Sheet1!$B$8:$IV$895,6,FALSE)</f>
        <v>#N/A</v>
      </c>
      <c r="G24" s="37" t="e">
        <f ca="1">VLOOKUP(G7,Sheet1!$B$8:$IV$895,6,FALSE)</f>
        <v>#N/A</v>
      </c>
      <c r="H24" s="37" t="e">
        <f ca="1">VLOOKUP(H7,Sheet1!$B$8:$IV$895,6,FALSE)</f>
        <v>#N/A</v>
      </c>
      <c r="I24" s="37" t="e">
        <f ca="1">VLOOKUP(I7,Sheet1!$B$8:$IV$895,6,FALSE)</f>
        <v>#N/A</v>
      </c>
      <c r="J24" s="37" t="e">
        <f ca="1">VLOOKUP(J7,Sheet1!$B$8:$IV$895,6,FALSE)</f>
        <v>#N/A</v>
      </c>
      <c r="K24" s="39" t="e">
        <f ca="1">VLOOKUP(K7,Sheet1!$B$8:$IV$895,6,FALSE)</f>
        <v>#N/A</v>
      </c>
    </row>
    <row r="25" spans="1:13" s="118" customFormat="1">
      <c r="A25" s="147" t="s">
        <v>294</v>
      </c>
      <c r="B25" s="144" t="s">
        <v>13</v>
      </c>
      <c r="C25" s="268" t="e">
        <f ca="1">VLOOKUP(C7,Sheet1!$B$8:$IV$895,26,FALSE)</f>
        <v>#N/A</v>
      </c>
      <c r="D25" s="229" t="e">
        <f ca="1">VLOOKUP(D7,Sheet1!$B$8:$IV$895,26,FALSE)</f>
        <v>#N/A</v>
      </c>
      <c r="E25" s="270" t="e">
        <f ca="1">VLOOKUP(E7,Sheet1!$B$8:$IV$895,26,FALSE)</f>
        <v>#N/A</v>
      </c>
      <c r="F25" s="229" t="e">
        <f ca="1">VLOOKUP(F7,Sheet1!$B$8:$IV$895,26,FALSE)</f>
        <v>#N/A</v>
      </c>
      <c r="G25" s="229" t="e">
        <f ca="1">VLOOKUP(G7,Sheet1!$B$8:$IV$895,26,FALSE)</f>
        <v>#N/A</v>
      </c>
      <c r="H25" s="229" t="e">
        <f ca="1">VLOOKUP(H7,Sheet1!$B$8:$IV$895,26,FALSE)</f>
        <v>#N/A</v>
      </c>
      <c r="I25" s="229" t="e">
        <f ca="1">VLOOKUP(I7,Sheet1!$B$8:$IV$895,26,FALSE)</f>
        <v>#N/A</v>
      </c>
      <c r="J25" s="229" t="e">
        <f ca="1">VLOOKUP(J7,Sheet1!$B$8:$IV$895,26,FALSE)</f>
        <v>#N/A</v>
      </c>
      <c r="K25" s="230" t="e">
        <f ca="1">VLOOKUP(K7,Sheet1!$B$8:$IV$895,26,FALSE)</f>
        <v>#N/A</v>
      </c>
    </row>
    <row r="26" spans="1:13" s="118" customFormat="1">
      <c r="A26" s="233" t="s">
        <v>288</v>
      </c>
      <c r="B26" s="234" t="s">
        <v>13</v>
      </c>
      <c r="C26" s="146" t="e">
        <f ca="1">VLOOKUP(C7,Sheet1!$B$8:$IV$895,11,FALSE)</f>
        <v>#N/A</v>
      </c>
      <c r="D26" s="37" t="e">
        <f ca="1">VLOOKUP(D7,Sheet1!$B$8:$IV$895,11,FALSE)</f>
        <v>#N/A</v>
      </c>
      <c r="E26" s="201" t="e">
        <f ca="1">VLOOKUP(E7,Sheet1!$B$8:$IV$895,11,FALSE)</f>
        <v>#N/A</v>
      </c>
      <c r="F26" s="37" t="e">
        <f ca="1">VLOOKUP(F7,Sheet1!$B$8:$IV$895,11,FALSE)</f>
        <v>#N/A</v>
      </c>
      <c r="G26" s="37" t="e">
        <f ca="1">VLOOKUP(G7,Sheet1!$B$8:$IV$895,11,FALSE)</f>
        <v>#N/A</v>
      </c>
      <c r="H26" s="37" t="e">
        <f ca="1">VLOOKUP(H7,Sheet1!$B$8:$IV$895,11,FALSE)</f>
        <v>#N/A</v>
      </c>
      <c r="I26" s="37" t="e">
        <f ca="1">VLOOKUP(I7,Sheet1!$B$8:$IV$895,11,FALSE)</f>
        <v>#N/A</v>
      </c>
      <c r="J26" s="37" t="e">
        <f ca="1">VLOOKUP(J7,Sheet1!$B$8:$IV$895,11,FALSE)</f>
        <v>#N/A</v>
      </c>
      <c r="K26" s="39" t="e">
        <f ca="1">VLOOKUP(K7,Sheet1!$B$8:$IV$895,11,FALSE)</f>
        <v>#N/A</v>
      </c>
    </row>
    <row r="27" spans="1:13" s="118" customFormat="1">
      <c r="A27" s="147" t="s">
        <v>81</v>
      </c>
      <c r="B27" s="144" t="s">
        <v>12</v>
      </c>
      <c r="C27" s="268" t="e">
        <f ca="1">VLOOKUP(C7,Sheet1!$B$8:$IV$895,12,FALSE)</f>
        <v>#N/A</v>
      </c>
      <c r="D27" s="229" t="e">
        <f ca="1">VLOOKUP(D7,Sheet1!$B$8:$IV$895,12,FALSE)</f>
        <v>#N/A</v>
      </c>
      <c r="E27" s="270" t="e">
        <f ca="1">VLOOKUP(E7,Sheet1!$B$8:$IV$895,12,FALSE)</f>
        <v>#N/A</v>
      </c>
      <c r="F27" s="229" t="e">
        <f ca="1">VLOOKUP(F7,Sheet1!$B$8:$IV$895,12,FALSE)</f>
        <v>#N/A</v>
      </c>
      <c r="G27" s="229" t="e">
        <f ca="1">VLOOKUP(G7,Sheet1!$B$8:$IV$895,12,FALSE)</f>
        <v>#N/A</v>
      </c>
      <c r="H27" s="229" t="e">
        <f ca="1">VLOOKUP(H7,Sheet1!$B$8:$IV$895,12,FALSE)</f>
        <v>#N/A</v>
      </c>
      <c r="I27" s="229" t="e">
        <f ca="1">VLOOKUP(I7,Sheet1!$B$8:$IV$895,12,FALSE)</f>
        <v>#N/A</v>
      </c>
      <c r="J27" s="229" t="e">
        <f ca="1">VLOOKUP(J7,Sheet1!$B$8:$IV$895,12,FALSE)</f>
        <v>#N/A</v>
      </c>
      <c r="K27" s="230" t="e">
        <f ca="1">VLOOKUP(K7,Sheet1!$B$8:$IV$895,12,FALSE)</f>
        <v>#N/A</v>
      </c>
    </row>
    <row r="28" spans="1:13" s="118" customFormat="1">
      <c r="A28" s="235" t="s">
        <v>82</v>
      </c>
      <c r="B28" s="236" t="s">
        <v>41</v>
      </c>
      <c r="C28" s="146" t="e">
        <f ca="1">VLOOKUP(C7,Sheet1!$B$8:$IV$895,7,FALSE)</f>
        <v>#N/A</v>
      </c>
      <c r="D28" s="37" t="e">
        <f ca="1">VLOOKUP(D7,Sheet1!$B$8:$IV$895,7,FALSE)</f>
        <v>#N/A</v>
      </c>
      <c r="E28" s="201" t="e">
        <f ca="1">VLOOKUP(E7,Sheet1!$B$8:$IV$895,7,FALSE)</f>
        <v>#N/A</v>
      </c>
      <c r="F28" s="37" t="e">
        <f ca="1">VLOOKUP(F7,Sheet1!$B$8:$IV$895,7,FALSE)</f>
        <v>#N/A</v>
      </c>
      <c r="G28" s="37" t="e">
        <f ca="1">VLOOKUP(G7,Sheet1!$B$8:$IV$895,7,FALSE)</f>
        <v>#N/A</v>
      </c>
      <c r="H28" s="37" t="e">
        <f ca="1">VLOOKUP(H7,Sheet1!$B$8:$IV$895,7,FALSE)</f>
        <v>#N/A</v>
      </c>
      <c r="I28" s="37" t="e">
        <f ca="1">VLOOKUP(I7,Sheet1!$B$8:$IV$895,7,FALSE)</f>
        <v>#N/A</v>
      </c>
      <c r="J28" s="37" t="e">
        <f ca="1">VLOOKUP(J7,Sheet1!$B$8:$IV$895,7,FALSE)</f>
        <v>#N/A</v>
      </c>
      <c r="K28" s="39" t="e">
        <f ca="1">VLOOKUP(K7,Sheet1!$B$8:$IV$895,7,FALSE)</f>
        <v>#N/A</v>
      </c>
    </row>
    <row r="29" spans="1:13" s="118" customFormat="1">
      <c r="A29" s="147" t="s">
        <v>83</v>
      </c>
      <c r="B29" s="143" t="s">
        <v>41</v>
      </c>
      <c r="C29" s="410" t="e">
        <f ca="1">IF(VLOOKUP(C7,Sheet1!$B$8:$IV$895,9,FALSE)="os",VLOOKUP(C7,Sheet1!$B$8:$IV$895,10,FALSE),VLOOKUP(C7,Sheet1!$B$8:$IV$895,9,FALSE))</f>
        <v>#N/A</v>
      </c>
      <c r="D29" s="229" t="e">
        <f ca="1">IF(VLOOKUP(D7,Sheet1!$B$8:$IV$895,9,FALSE)="os",VLOOKUP(D7,Sheet1!$B$8:$IV$895,10,FALSE),VLOOKUP(D7,Sheet1!$B$8:$IV$895,9,FALSE))</f>
        <v>#N/A</v>
      </c>
      <c r="E29" s="229" t="e">
        <f ca="1">IF(VLOOKUP(E7,Sheet1!$B$8:$IV$895,9,FALSE)="os",VLOOKUP(E7,Sheet1!$B$8:$IV$895,10,FALSE),VLOOKUP(E7,Sheet1!$B$8:$IV$895,9,FALSE))</f>
        <v>#N/A</v>
      </c>
      <c r="F29" s="229" t="e">
        <f ca="1">IF(VLOOKUP(F7,Sheet1!$B$8:$IV$895,9,FALSE)="os",VLOOKUP(F7,Sheet1!$B$8:$IV$895,10,FALSE),VLOOKUP(F7,Sheet1!$B$8:$IV$895,9,FALSE))</f>
        <v>#N/A</v>
      </c>
      <c r="G29" s="229" t="e">
        <f ca="1">IF(VLOOKUP(G7,Sheet1!$B$8:$IV$895,9,FALSE)="os",VLOOKUP(G7,Sheet1!$B$8:$IV$895,10,FALSE),VLOOKUP(G7,Sheet1!$B$8:$IV$895,9,FALSE))</f>
        <v>#N/A</v>
      </c>
      <c r="H29" s="229" t="e">
        <f ca="1">IF(VLOOKUP(H7,Sheet1!$B$8:$IV$895,9,FALSE)="os",VLOOKUP(H7,Sheet1!$B$8:$IV$895,10,FALSE),VLOOKUP(H7,Sheet1!$B$8:$IV$895,9,FALSE))</f>
        <v>#N/A</v>
      </c>
      <c r="I29" s="229" t="e">
        <f ca="1">IF(VLOOKUP(I7,Sheet1!$B$8:$IV$895,9,FALSE)="os",VLOOKUP(I7,Sheet1!$B$8:$IV$895,10,FALSE),VLOOKUP(I7,Sheet1!$B$8:$IV$895,9,FALSE))</f>
        <v>#N/A</v>
      </c>
      <c r="J29" s="229" t="e">
        <f ca="1">IF(VLOOKUP(J7,Sheet1!$B$8:$IV$895,9,FALSE)="os",VLOOKUP(J7,Sheet1!$B$8:$IV$895,10,FALSE),VLOOKUP(J7,Sheet1!$B$8:$IV$895,9,FALSE))</f>
        <v>#N/A</v>
      </c>
      <c r="K29" s="230" t="e">
        <f ca="1">IF(VLOOKUP(K7,Sheet1!$B$8:$IV$895,9,FALSE)="os",VLOOKUP(K7,Sheet1!$B$8:$IV$895,10,FALSE),VLOOKUP(K7,Sheet1!$B$8:$IV$895,9,FALSE))</f>
        <v>#N/A</v>
      </c>
    </row>
    <row r="30" spans="1:13" s="118" customFormat="1">
      <c r="A30" s="233" t="s">
        <v>301</v>
      </c>
      <c r="B30" s="234" t="s">
        <v>302</v>
      </c>
      <c r="C30" s="44" t="e">
        <f ca="1">IF(VLOOKUP(C7,Sheet1!$B$8:$IV$895,20,FALSE)="os",VLOOKUP(C7,Sheet1!$B$8:$IV$895,21,FALSE),VLOOKUP(C7,Sheet1!$B$8:$IV$895,20,FALSE))</f>
        <v>#N/A</v>
      </c>
      <c r="D30" s="37" t="e">
        <f ca="1">IF(VLOOKUP(D7,Sheet1!$B$8:$IV$895,20,FALSE)="os",VLOOKUP(D7,Sheet1!$B$8:$IV$895,21,FALSE),VLOOKUP(D7,Sheet1!$B$8:$IV$895,20,FALSE))</f>
        <v>#N/A</v>
      </c>
      <c r="E30" s="37" t="e">
        <f ca="1">IF(VLOOKUP(E7,Sheet1!$B$8:$IV$895,20,FALSE)="os",VLOOKUP(E7,Sheet1!$B$8:$IV$895,21,FALSE),VLOOKUP(E7,Sheet1!$B$8:$IV$895,20,FALSE))</f>
        <v>#N/A</v>
      </c>
      <c r="F30" s="37" t="e">
        <f ca="1">IF(VLOOKUP(F7,Sheet1!$B$8:$IV$895,20,FALSE)="os",VLOOKUP(F7,Sheet1!$B$8:$IV$895,21,FALSE),VLOOKUP(F7,Sheet1!$B$8:$IV$895,20,FALSE))</f>
        <v>#N/A</v>
      </c>
      <c r="G30" s="37" t="e">
        <f ca="1">IF(VLOOKUP(G7,Sheet1!$B$8:$IV$895,20,FALSE)="os",VLOOKUP(G7,Sheet1!$B$8:$IV$895,21,FALSE),VLOOKUP(G7,Sheet1!$B$8:$IV$895,20,FALSE))</f>
        <v>#N/A</v>
      </c>
      <c r="H30" s="37" t="e">
        <f ca="1">IF(VLOOKUP(H7,Sheet1!$B$8:$IV$895,20,FALSE)="os",VLOOKUP(H7,Sheet1!$B$8:$IV$895,21,FALSE),VLOOKUP(H7,Sheet1!$B$8:$IV$895,20,FALSE))</f>
        <v>#N/A</v>
      </c>
      <c r="I30" s="37" t="e">
        <f ca="1">IF(VLOOKUP(I7,Sheet1!$B$8:$IV$895,20,FALSE)="os",VLOOKUP(I7,Sheet1!$B$8:$IV$895,21,FALSE),VLOOKUP(I7,Sheet1!$B$8:$IV$895,20,FALSE))</f>
        <v>#N/A</v>
      </c>
      <c r="J30" s="37" t="e">
        <f ca="1">IF(VLOOKUP(J7,Sheet1!$B$8:$IV$895,20,FALSE)="os",VLOOKUP(J7,Sheet1!$B$8:$IV$895,21,FALSE),VLOOKUP(J7,Sheet1!$B$8:$IV$895,20,FALSE))</f>
        <v>#N/A</v>
      </c>
      <c r="K30" s="39" t="e">
        <f ca="1">IF(VLOOKUP(K7,Sheet1!$B$8:$IV$895,20,FALSE)="os",VLOOKUP(K7,Sheet1!$B$8:$IV$895,21,FALSE),VLOOKUP(K7,Sheet1!$B$8:$IV$895,20,FALSE))</f>
        <v>#N/A</v>
      </c>
    </row>
    <row r="31" spans="1:13" s="118" customFormat="1">
      <c r="A31" s="233" t="s">
        <v>578</v>
      </c>
      <c r="B31" s="237" t="s">
        <v>95</v>
      </c>
      <c r="C31" s="268" t="e">
        <f ca="1">VLOOKUP(C7,Sheet1!$B$8:$IV$895,13,FALSE)</f>
        <v>#N/A</v>
      </c>
      <c r="D31" s="229" t="e">
        <f ca="1">VLOOKUP(D7,Sheet1!$B$8:$IV$895,13,FALSE)</f>
        <v>#N/A</v>
      </c>
      <c r="E31" s="270" t="e">
        <f ca="1">VLOOKUP(E7,Sheet1!$B$8:$IV$895,13,FALSE)</f>
        <v>#N/A</v>
      </c>
      <c r="F31" s="229" t="e">
        <f ca="1">VLOOKUP(F7,Sheet1!$B$8:$IV$895,13,FALSE)</f>
        <v>#N/A</v>
      </c>
      <c r="G31" s="229" t="e">
        <f ca="1">VLOOKUP(G7,Sheet1!$B$8:$IV$895,13,FALSE)</f>
        <v>#N/A</v>
      </c>
      <c r="H31" s="229" t="e">
        <f ca="1">VLOOKUP(H7,Sheet1!$B$8:$IV$895,13,FALSE)</f>
        <v>#N/A</v>
      </c>
      <c r="I31" s="229" t="e">
        <f ca="1">VLOOKUP(I7,Sheet1!$B$8:$IV$895,13,FALSE)</f>
        <v>#N/A</v>
      </c>
      <c r="J31" s="229" t="e">
        <f ca="1">VLOOKUP(J7,Sheet1!$B$8:$IV$895,13,FALSE)</f>
        <v>#N/A</v>
      </c>
      <c r="K31" s="230" t="e">
        <f ca="1">VLOOKUP(K7,Sheet1!$B$8:$IV$895,13,FALSE)</f>
        <v>#N/A</v>
      </c>
    </row>
    <row r="32" spans="1:13" s="118" customFormat="1">
      <c r="A32" s="233" t="s">
        <v>84</v>
      </c>
      <c r="B32" s="238" t="s">
        <v>96</v>
      </c>
      <c r="C32" s="239" t="e">
        <f ca="1">VLOOKUP(C7,Sheet1!$B$8:$IV$895,17,FALSE)</f>
        <v>#N/A</v>
      </c>
      <c r="D32" s="239" t="e">
        <f ca="1">VLOOKUP(D7,Sheet1!$B$8:$IV$895,17,FALSE)</f>
        <v>#N/A</v>
      </c>
      <c r="E32" s="239" t="e">
        <f ca="1">VLOOKUP(E7,Sheet1!$B$8:$IV$895,17,FALSE)</f>
        <v>#N/A</v>
      </c>
      <c r="F32" s="239" t="e">
        <f ca="1">VLOOKUP(F7,Sheet1!$B$8:$IV$895,17,FALSE)</f>
        <v>#N/A</v>
      </c>
      <c r="G32" s="239" t="e">
        <f ca="1">VLOOKUP(G7,Sheet1!$B$8:$IV$895,17,FALSE)</f>
        <v>#N/A</v>
      </c>
      <c r="H32" s="239" t="e">
        <f ca="1">VLOOKUP(H7,Sheet1!$B$8:$IV$895,17,FALSE)</f>
        <v>#N/A</v>
      </c>
      <c r="I32" s="239" t="e">
        <f ca="1">VLOOKUP(I7,Sheet1!$B$8:$IV$895,17,FALSE)</f>
        <v>#N/A</v>
      </c>
      <c r="J32" s="239" t="e">
        <f ca="1">VLOOKUP(J7,Sheet1!$B$8:$IV$895,17,FALSE)</f>
        <v>#N/A</v>
      </c>
      <c r="K32" s="240" t="e">
        <f ca="1">VLOOKUP(K7,Sheet1!$B$8:$IV$895,17,FALSE)</f>
        <v>#N/A</v>
      </c>
    </row>
    <row r="33" spans="1:11" s="118" customFormat="1">
      <c r="A33" s="142" t="s">
        <v>303</v>
      </c>
      <c r="B33" s="241"/>
      <c r="C33" s="410" t="e">
        <f ca="1">IF(VLOOKUP(C7,Sheet1!$B$8:$IV$895,18,FALSE)="os",VLOOKUP(C7,Sheet1!$B$8:$IV$895,19,FALSE),VLOOKUP(C7,Sheet1!$B$8:$IV$895,18,FALSE))</f>
        <v>#N/A</v>
      </c>
      <c r="D33" s="229" t="e">
        <f ca="1">IF(VLOOKUP(D7,Sheet1!$B$8:$IV$895,18,FALSE)="os",VLOOKUP(D7,Sheet1!$B$8:$IV$895,19,FALSE),VLOOKUP(D7,Sheet1!$B$8:$IV$895,18,FALSE))</f>
        <v>#N/A</v>
      </c>
      <c r="E33" s="229" t="e">
        <f ca="1">IF(VLOOKUP(E7,Sheet1!$B$8:$IV$895,18,FALSE)="os",VLOOKUP(E7,Sheet1!$B$8:$IV$895,19,FALSE),VLOOKUP(E7,Sheet1!$B$8:$IV$895,18,FALSE))</f>
        <v>#N/A</v>
      </c>
      <c r="F33" s="229" t="e">
        <f ca="1">IF(VLOOKUP(F7,Sheet1!$B$8:$IV$895,18,FALSE)="os",VLOOKUP(F7,Sheet1!$B$8:$IV$895,19,FALSE),VLOOKUP(F7,Sheet1!$B$8:$IV$895,18,FALSE))</f>
        <v>#N/A</v>
      </c>
      <c r="G33" s="229" t="e">
        <f ca="1">IF(VLOOKUP(G7,Sheet1!$B$8:$IV$895,18,FALSE)="os",VLOOKUP(G7,Sheet1!$B$8:$IV$895,19,FALSE),VLOOKUP(G7,Sheet1!$B$8:$IV$895,18,FALSE))</f>
        <v>#N/A</v>
      </c>
      <c r="H33" s="229" t="e">
        <f ca="1">IF(VLOOKUP(H7,Sheet1!$B$8:$IV$895,18,FALSE)="os",VLOOKUP(H7,Sheet1!$B$8:$IV$895,19,FALSE),VLOOKUP(H7,Sheet1!$B$8:$IV$895,18,FALSE))</f>
        <v>#N/A</v>
      </c>
      <c r="I33" s="229" t="e">
        <f ca="1">IF(VLOOKUP(I7,Sheet1!$B$8:$IV$895,18,FALSE)="os",VLOOKUP(I7,Sheet1!$B$8:$IV$895,19,FALSE),VLOOKUP(I7,Sheet1!$B$8:$IV$895,18,FALSE))</f>
        <v>#N/A</v>
      </c>
      <c r="J33" s="229" t="e">
        <f ca="1">IF(VLOOKUP(J7,Sheet1!$B$8:$IV$895,18,FALSE)="os",VLOOKUP(J7,Sheet1!$B$8:$IV$895,19,FALSE),VLOOKUP(J7,Sheet1!$B$8:$IV$895,18,FALSE))</f>
        <v>#N/A</v>
      </c>
      <c r="K33" s="230" t="e">
        <f ca="1">IF(VLOOKUP(K7,Sheet1!$B$8:$IV$895,18,FALSE)="os",VLOOKUP(K7,Sheet1!$B$8:$IV$895,19,FALSE),VLOOKUP(K7,Sheet1!$B$8:$IV$895,18,FALSE))</f>
        <v>#N/A</v>
      </c>
    </row>
    <row r="34" spans="1:11" s="118" customFormat="1">
      <c r="A34" s="233" t="s">
        <v>432</v>
      </c>
      <c r="B34" s="242" t="s">
        <v>97</v>
      </c>
      <c r="C34" s="146" t="e">
        <f ca="1">VLOOKUP(C7,Sheet1!$B$8:$IV$895,102,FALSE)</f>
        <v>#N/A</v>
      </c>
      <c r="D34" s="37" t="e">
        <f ca="1">VLOOKUP(D7,Sheet1!$B$8:$IV$895,102,FALSE)</f>
        <v>#N/A</v>
      </c>
      <c r="E34" s="201" t="e">
        <f ca="1">VLOOKUP(E7,Sheet1!$B$8:$IV$895,102,FALSE)</f>
        <v>#N/A</v>
      </c>
      <c r="F34" s="37" t="e">
        <f ca="1">VLOOKUP(F7,Sheet1!$B$8:$IV$895,102,FALSE)</f>
        <v>#N/A</v>
      </c>
      <c r="G34" s="37" t="e">
        <f ca="1">VLOOKUP(G7,Sheet1!$B$8:$IV$895,102,FALSE)</f>
        <v>#N/A</v>
      </c>
      <c r="H34" s="37" t="e">
        <f ca="1">VLOOKUP(H7,Sheet1!$B$8:$IV$895,102,FALSE)</f>
        <v>#N/A</v>
      </c>
      <c r="I34" s="37" t="e">
        <f ca="1">VLOOKUP(I7,Sheet1!$B$8:$IV$895,102,FALSE)</f>
        <v>#N/A</v>
      </c>
      <c r="J34" s="37" t="e">
        <f ca="1">VLOOKUP(J7,Sheet1!$B$8:$IV$895,102,FALSE)</f>
        <v>#N/A</v>
      </c>
      <c r="K34" s="39" t="e">
        <f ca="1">VLOOKUP(K7,Sheet1!$B$8:$IV$895,102,FALSE)</f>
        <v>#N/A</v>
      </c>
    </row>
    <row r="35" spans="1:11" s="118" customFormat="1">
      <c r="A35" s="142" t="s">
        <v>85</v>
      </c>
      <c r="B35" s="143" t="s">
        <v>16</v>
      </c>
      <c r="C35" s="268" t="e">
        <f ca="1">VLOOKUP(C7,Sheet1!$B$8:$IV$895,3,FALSE)</f>
        <v>#N/A</v>
      </c>
      <c r="D35" s="229" t="e">
        <f ca="1">VLOOKUP(D7,Sheet1!$B$8:$IV$895,3,FALSE)</f>
        <v>#N/A</v>
      </c>
      <c r="E35" s="270" t="e">
        <f ca="1">VLOOKUP(E7,Sheet1!$B$8:$IV$895,3,FALSE)</f>
        <v>#N/A</v>
      </c>
      <c r="F35" s="229" t="e">
        <f ca="1">VLOOKUP(F7,Sheet1!$B$8:$IV$895,3,FALSE)</f>
        <v>#N/A</v>
      </c>
      <c r="G35" s="229" t="e">
        <f ca="1">VLOOKUP(G7,Sheet1!$B$8:$IV$895,3,FALSE)</f>
        <v>#N/A</v>
      </c>
      <c r="H35" s="229" t="e">
        <f ca="1">VLOOKUP(H7,Sheet1!$B$8:$IV$895,3,FALSE)</f>
        <v>#N/A</v>
      </c>
      <c r="I35" s="229" t="e">
        <f ca="1">VLOOKUP(I7,Sheet1!$B$8:$IV$895,3,FALSE)</f>
        <v>#N/A</v>
      </c>
      <c r="J35" s="229" t="e">
        <f ca="1">VLOOKUP(J7,Sheet1!$B$8:$IV$895,3,FALSE)</f>
        <v>#N/A</v>
      </c>
      <c r="K35" s="230" t="e">
        <f ca="1">VLOOKUP(K7,Sheet1!$B$8:$IV$895,3,FALSE)</f>
        <v>#N/A</v>
      </c>
    </row>
    <row r="36" spans="1:11" s="118" customFormat="1">
      <c r="A36" s="233" t="s">
        <v>86</v>
      </c>
      <c r="B36" s="234" t="s">
        <v>16</v>
      </c>
      <c r="C36" s="146" t="e">
        <f ca="1">VLOOKUP(C7,Sheet1!$B$8:$IV$895,4,FALSE)</f>
        <v>#N/A</v>
      </c>
      <c r="D36" s="37" t="e">
        <f ca="1">VLOOKUP(D7,Sheet1!$B$8:$IV$895,4,FALSE)</f>
        <v>#N/A</v>
      </c>
      <c r="E36" s="201" t="e">
        <f ca="1">VLOOKUP(E7,Sheet1!$B$8:$IV$895,4,FALSE)</f>
        <v>#N/A</v>
      </c>
      <c r="F36" s="37" t="e">
        <f ca="1">VLOOKUP(F7,Sheet1!$B$8:$IV$895,4,FALSE)</f>
        <v>#N/A</v>
      </c>
      <c r="G36" s="37" t="e">
        <f ca="1">VLOOKUP(G7,Sheet1!$B$8:$IV$895,4,FALSE)</f>
        <v>#N/A</v>
      </c>
      <c r="H36" s="37" t="e">
        <f ca="1">VLOOKUP(H7,Sheet1!$B$8:$IV$895,4,FALSE)</f>
        <v>#N/A</v>
      </c>
      <c r="I36" s="37" t="e">
        <f ca="1">VLOOKUP(I7,Sheet1!$B$8:$IV$895,4,FALSE)</f>
        <v>#N/A</v>
      </c>
      <c r="J36" s="37" t="e">
        <f ca="1">VLOOKUP(J7,Sheet1!$B$8:$IV$895,4,FALSE)</f>
        <v>#N/A</v>
      </c>
      <c r="K36" s="39" t="e">
        <f ca="1">VLOOKUP(K7,Sheet1!$B$8:$IV$895,4,FALSE)</f>
        <v>#N/A</v>
      </c>
    </row>
    <row r="37" spans="1:11" s="118" customFormat="1">
      <c r="A37" s="142" t="s">
        <v>87</v>
      </c>
      <c r="B37" s="143" t="s">
        <v>17</v>
      </c>
      <c r="C37" s="268" t="e">
        <f ca="1">VLOOKUP(C7,Sheet1!$B$8:$IV$895,5,FALSE)</f>
        <v>#N/A</v>
      </c>
      <c r="D37" s="229" t="e">
        <f ca="1">VLOOKUP(D7,Sheet1!$B$8:$IV$895,5,FALSE)</f>
        <v>#N/A</v>
      </c>
      <c r="E37" s="270" t="e">
        <f ca="1">VLOOKUP(E7,Sheet1!$B$8:$IV$895,5,FALSE)</f>
        <v>#N/A</v>
      </c>
      <c r="F37" s="229" t="e">
        <f ca="1">VLOOKUP(F7,Sheet1!$B$8:$IV$895,5,FALSE)</f>
        <v>#N/A</v>
      </c>
      <c r="G37" s="229" t="e">
        <f ca="1">VLOOKUP(G7,Sheet1!$B$8:$IV$895,5,FALSE)</f>
        <v>#N/A</v>
      </c>
      <c r="H37" s="229" t="e">
        <f ca="1">VLOOKUP(H7,Sheet1!$B$8:$IV$895,5,FALSE)</f>
        <v>#N/A</v>
      </c>
      <c r="I37" s="229" t="e">
        <f ca="1">VLOOKUP(I7,Sheet1!$B$8:$IV$895,5,FALSE)</f>
        <v>#N/A</v>
      </c>
      <c r="J37" s="229" t="e">
        <f ca="1">VLOOKUP(J7,Sheet1!$B$8:$IV$895,5,FALSE)</f>
        <v>#N/A</v>
      </c>
      <c r="K37" s="864" t="e">
        <f ca="1">VLOOKUP(K7,Sheet1!$B$8:$IV$895,5,FALSE)</f>
        <v>#N/A</v>
      </c>
    </row>
    <row r="38" spans="1:11" s="118" customFormat="1" ht="13.5" thickBot="1">
      <c r="A38" s="231" t="s">
        <v>88</v>
      </c>
      <c r="B38" s="232" t="s">
        <v>17</v>
      </c>
      <c r="C38" s="275" t="e">
        <f ca="1">IF(ISNUMBER(VLOOKUP(C7,Sheet1!$B$8:$IV$895,22,FALSE))=TRUE,VLOOKUP(C7,Sheet1!$B$8:$IV$895,22,FALSE),VLOOKUP(C7,Sheet1!$B$8:$IV$895,23,FALSE))</f>
        <v>#N/A</v>
      </c>
      <c r="D38" s="256" t="e">
        <f ca="1">IF(ISNUMBER(VLOOKUP(D7,Sheet1!$B$8:$IV$895,22,FALSE))=TRUE,VLOOKUP(D7,Sheet1!$B$8:$IV$895,22,FALSE),VLOOKUP(D7,Sheet1!$B$8:$IV$895,23,FALSE))</f>
        <v>#N/A</v>
      </c>
      <c r="E38" s="276" t="e">
        <f ca="1">IF(ISNUMBER(VLOOKUP(E7,Sheet1!$B$8:$IV$895,22,FALSE))=TRUE,VLOOKUP(E7,Sheet1!$B$8:$IV$895,22,FALSE),VLOOKUP(E7,Sheet1!$B$8:$IV$895,23,FALSE))</f>
        <v>#N/A</v>
      </c>
      <c r="F38" s="256" t="e">
        <f ca="1">IF(ISNUMBER(VLOOKUP(F7,Sheet1!$B$8:$IV$895,22,FALSE))=TRUE,VLOOKUP(F7,Sheet1!$B$8:$IV$895,22,FALSE),VLOOKUP(F7,Sheet1!$B$8:$IV$895,23,FALSE))</f>
        <v>#N/A</v>
      </c>
      <c r="G38" s="256" t="e">
        <f ca="1">IF(ISNUMBER(VLOOKUP(G7,Sheet1!$B$8:$IV$895,22,FALSE))=TRUE,VLOOKUP(G7,Sheet1!$B$8:$IV$895,22,FALSE),VLOOKUP(G7,Sheet1!$B$8:$IV$895,23,FALSE))</f>
        <v>#N/A</v>
      </c>
      <c r="H38" s="256" t="e">
        <f ca="1">IF(ISNUMBER(VLOOKUP(H7,Sheet1!$B$8:$IV$895,22,FALSE))=TRUE,VLOOKUP(H7,Sheet1!$B$8:$IV$895,22,FALSE),VLOOKUP(H7,Sheet1!$B$8:$IV$895,23,FALSE))</f>
        <v>#N/A</v>
      </c>
      <c r="I38" s="256" t="e">
        <f ca="1">IF(ISNUMBER(VLOOKUP(I7,Sheet1!$B$8:$IV$895,22,FALSE))=TRUE,VLOOKUP(I7,Sheet1!$B$8:$IV$895,22,FALSE),VLOOKUP(I7,Sheet1!$B$8:$IV$895,23,FALSE))</f>
        <v>#N/A</v>
      </c>
      <c r="J38" s="256" t="e">
        <f ca="1">IF(ISNUMBER(VLOOKUP(J7,Sheet1!$B$8:$IV$895,22,FALSE))=TRUE,VLOOKUP(J7,Sheet1!$B$8:$IV$895,22,FALSE),VLOOKUP(J7,Sheet1!$B$8:$IV$895,23,FALSE))</f>
        <v>#N/A</v>
      </c>
      <c r="K38" s="865" t="e">
        <f ca="1">IF(ISNUMBER(VLOOKUP(K7,Sheet1!$B$8:$IV$895,22,FALSE))=TRUE,VLOOKUP(K7,Sheet1!$B$8:$IV$895,22,FALSE),VLOOKUP(K7,Sheet1!$B$8:$IV$895,23,FALSE))</f>
        <v>#N/A</v>
      </c>
    </row>
    <row r="39" spans="1:11" s="118" customFormat="1" ht="13.5" thickBot="1">
      <c r="A39" s="893" t="s">
        <v>98</v>
      </c>
      <c r="B39" s="896"/>
      <c r="C39" s="896"/>
      <c r="D39" s="896"/>
      <c r="E39" s="896"/>
      <c r="F39" s="896"/>
      <c r="G39" s="896"/>
      <c r="H39" s="896"/>
      <c r="I39" s="896"/>
      <c r="J39" s="896"/>
      <c r="K39" s="897"/>
    </row>
    <row r="40" spans="1:11" s="118" customFormat="1">
      <c r="A40" s="224" t="s">
        <v>434</v>
      </c>
      <c r="B40" s="225" t="s">
        <v>24</v>
      </c>
      <c r="C40" s="267" t="e">
        <f ca="1">VLOOKUP(C7,Sheet1!$B$8:$IV$895,68,FALSE)</f>
        <v>#N/A</v>
      </c>
      <c r="D40" s="227" t="e">
        <f ca="1">VLOOKUP(D7,Sheet1!$B$8:$IV$895,68,FALSE)</f>
        <v>#N/A</v>
      </c>
      <c r="E40" s="269" t="e">
        <f ca="1">VLOOKUP(E7,Sheet1!$B$8:$IV$895,68,FALSE)</f>
        <v>#N/A</v>
      </c>
      <c r="F40" s="227" t="e">
        <f ca="1">VLOOKUP(F7,Sheet1!$B$8:$IV$895,68,FALSE)</f>
        <v>#N/A</v>
      </c>
      <c r="G40" s="227" t="e">
        <f ca="1">VLOOKUP(G7,Sheet1!$B$8:$IV$895,68,FALSE)</f>
        <v>#N/A</v>
      </c>
      <c r="H40" s="227" t="e">
        <f ca="1">VLOOKUP(H7,Sheet1!$B$8:$IV$895,68,FALSE)</f>
        <v>#N/A</v>
      </c>
      <c r="I40" s="227" t="e">
        <f ca="1">VLOOKUP(I7,Sheet1!$B$8:$IV$895,68,FALSE)</f>
        <v>#N/A</v>
      </c>
      <c r="J40" s="227" t="e">
        <f ca="1">VLOOKUP(J7,Sheet1!$B$8:$IV$895,68,FALSE)</f>
        <v>#N/A</v>
      </c>
      <c r="K40" s="458" t="e">
        <f ca="1">VLOOKUP(K7,Sheet1!$B$8:$IV$895,68,FALSE)</f>
        <v>#N/A</v>
      </c>
    </row>
    <row r="41" spans="1:11" s="118" customFormat="1">
      <c r="A41" s="235" t="s">
        <v>433</v>
      </c>
      <c r="B41" s="243" t="s">
        <v>24</v>
      </c>
      <c r="C41" s="146" t="e">
        <f ca="1">VLOOKUP(C7,Sheet1!$B$8:$IV$895,69,FALSE)</f>
        <v>#N/A</v>
      </c>
      <c r="D41" s="37" t="e">
        <f ca="1">VLOOKUP(D7,Sheet1!$B$8:$IV$895,69,FALSE)</f>
        <v>#N/A</v>
      </c>
      <c r="E41" s="201" t="e">
        <f ca="1">VLOOKUP(E7,Sheet1!$B$8:$IV$895,69,FALSE)</f>
        <v>#N/A</v>
      </c>
      <c r="F41" s="37" t="e">
        <f ca="1">VLOOKUP(F7,Sheet1!$B$8:$IV$895,69,FALSE)</f>
        <v>#N/A</v>
      </c>
      <c r="G41" s="37" t="e">
        <f ca="1">VLOOKUP(G7,Sheet1!$B$8:$IV$895,69,FALSE)</f>
        <v>#N/A</v>
      </c>
      <c r="H41" s="37" t="e">
        <f ca="1">VLOOKUP(H7,Sheet1!$B$8:$IV$895,69,FALSE)</f>
        <v>#N/A</v>
      </c>
      <c r="I41" s="37" t="e">
        <f ca="1">VLOOKUP(I7,Sheet1!$B$8:$IV$895,69,FALSE)</f>
        <v>#N/A</v>
      </c>
      <c r="J41" s="37" t="e">
        <f ca="1">VLOOKUP(J7,Sheet1!$B$8:$IV$895,69,FALSE)</f>
        <v>#N/A</v>
      </c>
      <c r="K41" s="197" t="e">
        <f ca="1">VLOOKUP(K7,Sheet1!$B$8:$IV$895,69,FALSE)</f>
        <v>#N/A</v>
      </c>
    </row>
    <row r="42" spans="1:11" s="118" customFormat="1">
      <c r="A42" s="168" t="s">
        <v>573</v>
      </c>
      <c r="B42" s="244" t="s">
        <v>13</v>
      </c>
      <c r="C42" s="146" t="e">
        <f ca="1">VLOOKUP(C7,'Calculations II'!$B$9:$BI$384,23,FALSE)</f>
        <v>#N/A</v>
      </c>
      <c r="D42" s="37" t="e">
        <f ca="1">VLOOKUP(D7,'Calculations II'!$B$9:$BI$384,23,FALSE)</f>
        <v>#N/A</v>
      </c>
      <c r="E42" s="201" t="e">
        <f ca="1">VLOOKUP(E7,'Calculations II'!$B$9:$BI$384,23,FALSE)</f>
        <v>#N/A</v>
      </c>
      <c r="F42" s="37" t="e">
        <f ca="1">VLOOKUP(F7,'Calculations II'!$B$9:$BI$384,23,FALSE)</f>
        <v>#N/A</v>
      </c>
      <c r="G42" s="37" t="e">
        <f ca="1">VLOOKUP(G7,'Calculations II'!$B$9:$BI$384,23,FALSE)</f>
        <v>#N/A</v>
      </c>
      <c r="H42" s="37" t="e">
        <f ca="1">VLOOKUP(H7,'Calculations II'!$B$9:$BI$384,23,FALSE)</f>
        <v>#N/A</v>
      </c>
      <c r="I42" s="37" t="e">
        <f ca="1">VLOOKUP(I7,'Calculations II'!$B$9:$BI$384,23,FALSE)</f>
        <v>#N/A</v>
      </c>
      <c r="J42" s="37" t="e">
        <f ca="1">VLOOKUP(J7,'Calculations II'!$B$9:$BI$384,23,FALSE)</f>
        <v>#N/A</v>
      </c>
      <c r="K42" s="197" t="e">
        <f ca="1">VLOOKUP(K7,'Calculations II'!$B$9:$BI$384,23,FALSE)</f>
        <v>#N/A</v>
      </c>
    </row>
    <row r="43" spans="1:11" s="118" customFormat="1">
      <c r="A43" s="34" t="s">
        <v>89</v>
      </c>
      <c r="B43" s="234" t="s">
        <v>41</v>
      </c>
      <c r="C43" s="146" t="e">
        <f ca="1">IF(VLOOKUP(C7,Sheet1!$B$8:$IV$895,74,FALSE)=0,VLOOKUP(C7,Sheet1!$B$8:$IV$895,163,FALSE),VLOOKUP(C7,Sheet1!$B$8:$IV$895,74,FALSE))</f>
        <v>#N/A</v>
      </c>
      <c r="D43" s="37" t="e">
        <f ca="1">IF(VLOOKUP(D7,Sheet1!$B$8:$IV$895,74,FALSE)=0,VLOOKUP(D7,Sheet1!$B$8:$IV$895,163,FALSE),VLOOKUP(D7,Sheet1!$B$8:$IV$895,74,FALSE))</f>
        <v>#N/A</v>
      </c>
      <c r="E43" s="201" t="e">
        <f ca="1">IF(VLOOKUP(E7,Sheet1!$B$8:$IV$895,74,FALSE)=0,VLOOKUP(E7,Sheet1!$B$8:$IV$895,163,FALSE),VLOOKUP(E7,Sheet1!$B$8:$IV$895,74,FALSE))</f>
        <v>#N/A</v>
      </c>
      <c r="F43" s="37" t="e">
        <f ca="1">IF(VLOOKUP(F7,Sheet1!$B$8:$IV$895,74,FALSE)=0,VLOOKUP(F7,Sheet1!$B$8:$IV$895,163,FALSE),VLOOKUP(F7,Sheet1!$B$8:$IV$895,74,FALSE))</f>
        <v>#N/A</v>
      </c>
      <c r="G43" s="37" t="e">
        <f ca="1">IF(VLOOKUP(G7,Sheet1!$B$8:$IV$895,74,FALSE)=0,VLOOKUP(G7,Sheet1!$B$8:$IV$895,163,FALSE),VLOOKUP(G7,Sheet1!$B$8:$IV$895,74,FALSE))</f>
        <v>#N/A</v>
      </c>
      <c r="H43" s="37" t="e">
        <f ca="1">IF(VLOOKUP(H7,Sheet1!$B$8:$IV$895,74,FALSE)=0,VLOOKUP(H7,Sheet1!$B$8:$IV$895,163,FALSE),VLOOKUP(H7,Sheet1!$B$8:$IV$895,74,FALSE))</f>
        <v>#N/A</v>
      </c>
      <c r="I43" s="37" t="e">
        <f ca="1">IF(VLOOKUP(I7,Sheet1!$B$8:$IV$895,74,FALSE)=0,VLOOKUP(I7,Sheet1!$B$8:$IV$895,163,FALSE),VLOOKUP(I7,Sheet1!$B$8:$IV$895,74,FALSE))</f>
        <v>#N/A</v>
      </c>
      <c r="J43" s="37" t="e">
        <f ca="1">IF(VLOOKUP(J7,Sheet1!$B$8:$IV$895,74,FALSE)=0,VLOOKUP(J7,Sheet1!$B$8:$IV$895,163,FALSE),VLOOKUP(J7,Sheet1!$B$8:$IV$895,74,FALSE))</f>
        <v>#N/A</v>
      </c>
      <c r="K43" s="197" t="e">
        <f ca="1">IF(VLOOKUP(K7,Sheet1!$B$8:$IV$895,74,FALSE)=0,VLOOKUP(K7,Sheet1!$B$8:$IV$895,163,FALSE),VLOOKUP(K7,Sheet1!$B$8:$IV$895,74,FALSE))</f>
        <v>#N/A</v>
      </c>
    </row>
    <row r="44" spans="1:11" s="118" customFormat="1">
      <c r="A44" s="147" t="s">
        <v>90</v>
      </c>
      <c r="B44" s="158" t="s">
        <v>14</v>
      </c>
      <c r="C44" s="146" t="e">
        <f ca="1">IF(VLOOKUP(C7,Sheet1!$B$8:$IV$895,75,FALSE)=1,VLOOKUP(C7,Sheet1!$B$8:$IV$895,157,FALSE),VLOOKUP(C7,Sheet1!$B$8:$IV$895,75,FALSE))</f>
        <v>#N/A</v>
      </c>
      <c r="D44" s="37" t="e">
        <f ca="1">IF(VLOOKUP(D7,Sheet1!$B$8:$IV$895,75,FALSE)=1,VLOOKUP(D7,Sheet1!$B$8:$IV$895,157,FALSE),VLOOKUP(D7,Sheet1!$B$8:$IV$895,75,FALSE))</f>
        <v>#N/A</v>
      </c>
      <c r="E44" s="201" t="e">
        <f ca="1">IF(VLOOKUP(E7,Sheet1!$B$8:$IV$895,75,FALSE)=1,VLOOKUP(E7,Sheet1!$B$8:$IV$895,157,FALSE),VLOOKUP(E7,Sheet1!$B$8:$IV$895,75,FALSE))</f>
        <v>#N/A</v>
      </c>
      <c r="F44" s="37" t="e">
        <f ca="1">IF(VLOOKUP(F7,Sheet1!$B$8:$IV$895,75,FALSE)=1,VLOOKUP(F7,Sheet1!$B$8:$IV$895,157,FALSE),VLOOKUP(F7,Sheet1!$B$8:$IV$895,75,FALSE))</f>
        <v>#N/A</v>
      </c>
      <c r="G44" s="37" t="e">
        <f ca="1">IF(VLOOKUP(G7,Sheet1!$B$8:$IV$895,75,FALSE)=1,VLOOKUP(G7,Sheet1!$B$8:$IV$895,157,FALSE),VLOOKUP(G7,Sheet1!$B$8:$IV$895,75,FALSE))</f>
        <v>#N/A</v>
      </c>
      <c r="H44" s="37" t="e">
        <f ca="1">IF(VLOOKUP(H7,Sheet1!$B$8:$IV$895,75,FALSE)=1,VLOOKUP(H7,Sheet1!$B$8:$IV$895,157,FALSE),VLOOKUP(H7,Sheet1!$B$8:$IV$895,75,FALSE))</f>
        <v>#N/A</v>
      </c>
      <c r="I44" s="37" t="e">
        <f ca="1">IF(VLOOKUP(I7,Sheet1!$B$8:$IV$895,75,FALSE)=1,VLOOKUP(I7,Sheet1!$B$8:$IV$895,157,FALSE),VLOOKUP(I7,Sheet1!$B$8:$IV$895,75,FALSE))</f>
        <v>#N/A</v>
      </c>
      <c r="J44" s="37" t="e">
        <f ca="1">IF(VLOOKUP(J7,Sheet1!$B$8:$IV$895,75,FALSE)=1,VLOOKUP(J7,Sheet1!$B$8:$IV$895,157,FALSE),VLOOKUP(J7,Sheet1!$B$8:$IV$895,75,FALSE))</f>
        <v>#N/A</v>
      </c>
      <c r="K44" s="197" t="e">
        <f ca="1">IF(VLOOKUP(K7,Sheet1!$B$8:$IV$895,75,FALSE)=1,VLOOKUP(K7,Sheet1!$B$8:$IV$895,157,FALSE),VLOOKUP(K7,Sheet1!$B$8:$IV$895,75,FALSE))</f>
        <v>#N/A</v>
      </c>
    </row>
    <row r="45" spans="1:11" s="118" customFormat="1">
      <c r="A45" s="235" t="s">
        <v>91</v>
      </c>
      <c r="B45" s="245" t="s">
        <v>14</v>
      </c>
      <c r="C45" s="146" t="e">
        <f ca="1">IF(VLOOKUP(C7,Sheet1!$B$8:$IV$895,76,FALSE)=1,VLOOKUP(C7,Sheet1!$B$8:$IV$895,159,FALSE),VLOOKUP(C7,Sheet1!$B$8:$IV$895,76,FALSE))</f>
        <v>#N/A</v>
      </c>
      <c r="D45" s="37" t="e">
        <f ca="1">IF(VLOOKUP(D7,Sheet1!$B$8:$IV$895,76,FALSE)=1,VLOOKUP(D7,Sheet1!$B$8:$IV$895,159,FALSE),VLOOKUP(D7,Sheet1!$B$8:$IV$895,76,FALSE))</f>
        <v>#N/A</v>
      </c>
      <c r="E45" s="201" t="e">
        <f ca="1">IF(VLOOKUP(E7,Sheet1!$B$8:$IV$895,76,FALSE)=1,VLOOKUP(E7,Sheet1!$B$8:$IV$895,159,FALSE),VLOOKUP(E7,Sheet1!$B$8:$IV$895,76,FALSE))</f>
        <v>#N/A</v>
      </c>
      <c r="F45" s="37" t="e">
        <f ca="1">IF(VLOOKUP(F7,Sheet1!$B$8:$IV$895,76,FALSE)=1,VLOOKUP(F7,Sheet1!$B$8:$IV$895,159,FALSE),VLOOKUP(F7,Sheet1!$B$8:$IV$895,76,FALSE))</f>
        <v>#N/A</v>
      </c>
      <c r="G45" s="37" t="e">
        <f ca="1">IF(VLOOKUP(G7,Sheet1!$B$8:$IV$895,76,FALSE)=1,VLOOKUP(G7,Sheet1!$B$8:$IV$895,159,FALSE),VLOOKUP(G7,Sheet1!$B$8:$IV$895,76,FALSE))</f>
        <v>#N/A</v>
      </c>
      <c r="H45" s="37" t="e">
        <f ca="1">IF(VLOOKUP(H7,Sheet1!$B$8:$IV$895,76,FALSE)=1,VLOOKUP(H7,Sheet1!$B$8:$IV$895,159,FALSE),VLOOKUP(H7,Sheet1!$B$8:$IV$895,76,FALSE))</f>
        <v>#N/A</v>
      </c>
      <c r="I45" s="37" t="e">
        <f ca="1">IF(VLOOKUP(I7,Sheet1!$B$8:$IV$895,76,FALSE)=1,VLOOKUP(I7,Sheet1!$B$8:$IV$895,159,FALSE),VLOOKUP(I7,Sheet1!$B$8:$IV$895,76,FALSE))</f>
        <v>#N/A</v>
      </c>
      <c r="J45" s="37" t="e">
        <f ca="1">IF(VLOOKUP(J7,Sheet1!$B$8:$IV$895,76,FALSE)=1,VLOOKUP(J7,Sheet1!$B$8:$IV$895,159,FALSE),VLOOKUP(J7,Sheet1!$B$8:$IV$895,76,FALSE))</f>
        <v>#N/A</v>
      </c>
      <c r="K45" s="197" t="e">
        <f ca="1">IF(VLOOKUP(K7,Sheet1!$B$8:$IV$895,76,FALSE)=1,VLOOKUP(K7,Sheet1!$B$8:$IV$895,159,FALSE),VLOOKUP(K7,Sheet1!$B$8:$IV$895,76,FALSE))</f>
        <v>#N/A</v>
      </c>
    </row>
    <row r="46" spans="1:11" s="118" customFormat="1" ht="13.5" thickBot="1">
      <c r="A46" s="246" t="s">
        <v>300</v>
      </c>
      <c r="B46" s="247" t="s">
        <v>15</v>
      </c>
      <c r="C46" s="271" t="e">
        <f ca="1">VLOOKUP(C7,Sheet1!$B$8:$IV$895,161,FALSE)</f>
        <v>#N/A</v>
      </c>
      <c r="D46" s="248" t="e">
        <f ca="1">VLOOKUP(D7,Sheet1!$B$8:$IV$895,161,FALSE)</f>
        <v>#N/A</v>
      </c>
      <c r="E46" s="272" t="e">
        <f ca="1">VLOOKUP(E7,Sheet1!$B$8:$IV$895,161,FALSE)</f>
        <v>#N/A</v>
      </c>
      <c r="F46" s="248" t="e">
        <f ca="1">VLOOKUP(F7,Sheet1!$B$8:$IV$895,161,FALSE)</f>
        <v>#N/A</v>
      </c>
      <c r="G46" s="248" t="e">
        <f ca="1">VLOOKUP(G7,Sheet1!$B$8:$IV$895,161,FALSE)</f>
        <v>#N/A</v>
      </c>
      <c r="H46" s="248" t="e">
        <f ca="1">VLOOKUP(H7,Sheet1!$B$8:$IV$895,161,FALSE)</f>
        <v>#N/A</v>
      </c>
      <c r="I46" s="248" t="e">
        <f ca="1">VLOOKUP(I7,Sheet1!$B$8:$IV$895,161,FALSE)</f>
        <v>#N/A</v>
      </c>
      <c r="J46" s="248" t="e">
        <f ca="1">VLOOKUP(J7,Sheet1!$B$8:$IV$895,161,FALSE)</f>
        <v>#N/A</v>
      </c>
      <c r="K46" s="249" t="e">
        <f ca="1">VLOOKUP(K7,Sheet1!$B$8:$IV$895,161,FALSE)</f>
        <v>#N/A</v>
      </c>
    </row>
    <row r="47" spans="1:11" s="118" customFormat="1" ht="13.5" thickBot="1">
      <c r="A47" s="893" t="s">
        <v>99</v>
      </c>
      <c r="B47" s="896"/>
      <c r="C47" s="896"/>
      <c r="D47" s="896"/>
      <c r="E47" s="896"/>
      <c r="F47" s="896"/>
      <c r="G47" s="896"/>
      <c r="H47" s="896"/>
      <c r="I47" s="896"/>
      <c r="J47" s="896"/>
      <c r="K47" s="897"/>
    </row>
    <row r="48" spans="1:11" s="118" customFormat="1">
      <c r="A48" s="224" t="s">
        <v>92</v>
      </c>
      <c r="B48" s="225" t="s">
        <v>13</v>
      </c>
      <c r="C48" s="267" t="e">
        <f ca="1">VLOOKUP(C7,Sheet1!$B$8:$IV$895,93,FALSE)</f>
        <v>#N/A</v>
      </c>
      <c r="D48" s="227" t="e">
        <f ca="1">VLOOKUP(D7,Sheet1!$B$8:$IV$895,93,FALSE)</f>
        <v>#N/A</v>
      </c>
      <c r="E48" s="269" t="e">
        <f ca="1">VLOOKUP(E7,Sheet1!$B$8:$IV$895,93,FALSE)</f>
        <v>#N/A</v>
      </c>
      <c r="F48" s="227" t="e">
        <f ca="1">VLOOKUP(F7,Sheet1!$B$8:$IV$895,93,FALSE)</f>
        <v>#N/A</v>
      </c>
      <c r="G48" s="227" t="e">
        <f ca="1">VLOOKUP(G7,Sheet1!$B$8:$IV$895,93,FALSE)</f>
        <v>#N/A</v>
      </c>
      <c r="H48" s="227" t="e">
        <f ca="1">VLOOKUP(H7,Sheet1!$B$8:$IV$895,93,FALSE)</f>
        <v>#N/A</v>
      </c>
      <c r="I48" s="227" t="e">
        <f ca="1">VLOOKUP(I7,Sheet1!$B$8:$IV$895,93,FALSE)</f>
        <v>#N/A</v>
      </c>
      <c r="J48" s="227" t="e">
        <f ca="1">VLOOKUP(J7,Sheet1!$B$8:$IV$895,93,FALSE)</f>
        <v>#N/A</v>
      </c>
      <c r="K48" s="228" t="e">
        <f ca="1">VLOOKUP(K7,Sheet1!$B$8:$IV$895,93,FALSE)</f>
        <v>#N/A</v>
      </c>
    </row>
    <row r="49" spans="1:11" s="118" customFormat="1" ht="13.5" thickBot="1">
      <c r="A49" s="250" t="s">
        <v>88</v>
      </c>
      <c r="B49" s="251" t="s">
        <v>17</v>
      </c>
      <c r="C49" s="273" t="e">
        <f ca="1">VLOOKUP(C7,Sheet1!$B$8:$IV$895,94,FALSE)</f>
        <v>#N/A</v>
      </c>
      <c r="D49" s="254" t="e">
        <f ca="1">VLOOKUP(D7,Sheet1!$B$8:$IV$895,94,FALSE)</f>
        <v>#N/A</v>
      </c>
      <c r="E49" s="274" t="e">
        <f ca="1">VLOOKUP(E7,Sheet1!$B$8:$IV$895,94,FALSE)</f>
        <v>#N/A</v>
      </c>
      <c r="F49" s="254" t="e">
        <f ca="1">VLOOKUP(F7,Sheet1!$B$8:$IV$895,94,FALSE)</f>
        <v>#N/A</v>
      </c>
      <c r="G49" s="254" t="e">
        <f ca="1">VLOOKUP(G7,Sheet1!$B$8:$IV$895,94,FALSE)</f>
        <v>#N/A</v>
      </c>
      <c r="H49" s="254" t="e">
        <f ca="1">VLOOKUP(H7,Sheet1!$B$8:$IV$895,94,FALSE)</f>
        <v>#N/A</v>
      </c>
      <c r="I49" s="254" t="e">
        <f ca="1">VLOOKUP(I7,Sheet1!$B$8:$IV$895,94,FALSE)</f>
        <v>#N/A</v>
      </c>
      <c r="J49" s="254" t="e">
        <f ca="1">VLOOKUP(J7,Sheet1!$B$8:$IV$895,94,FALSE)</f>
        <v>#N/A</v>
      </c>
      <c r="K49" s="255" t="e">
        <f ca="1">VLOOKUP(K7,Sheet1!$B$8:$IV$895,94,FALSE)</f>
        <v>#N/A</v>
      </c>
    </row>
    <row r="50" spans="1:11" s="118" customFormat="1" ht="13.5" thickBot="1">
      <c r="A50" s="893" t="s">
        <v>106</v>
      </c>
      <c r="B50" s="896"/>
      <c r="C50" s="896"/>
      <c r="D50" s="896"/>
      <c r="E50" s="896"/>
      <c r="F50" s="896"/>
      <c r="G50" s="896"/>
      <c r="H50" s="896"/>
      <c r="I50" s="896"/>
      <c r="J50" s="896"/>
      <c r="K50" s="897"/>
    </row>
    <row r="51" spans="1:11" s="118" customFormat="1">
      <c r="A51" s="140" t="s">
        <v>276</v>
      </c>
      <c r="B51" s="171" t="s">
        <v>24</v>
      </c>
      <c r="C51" s="267" t="e">
        <f ca="1">VLOOKUP(C7,Sheet1!$B$8:$IV$895,77,FALSE)</f>
        <v>#N/A</v>
      </c>
      <c r="D51" s="227" t="e">
        <f ca="1">VLOOKUP(D7,Sheet1!$B$8:$IV$895,77,FALSE)</f>
        <v>#N/A</v>
      </c>
      <c r="E51" s="269" t="e">
        <f ca="1">VLOOKUP(E7,Sheet1!$B$8:$IV$895,77,FALSE)</f>
        <v>#N/A</v>
      </c>
      <c r="F51" s="227" t="e">
        <f ca="1">VLOOKUP(F7,Sheet1!$B$8:$IV$895,77,FALSE)</f>
        <v>#N/A</v>
      </c>
      <c r="G51" s="227" t="e">
        <f ca="1">VLOOKUP(G7,Sheet1!$B$8:$IV$895,77,FALSE)</f>
        <v>#N/A</v>
      </c>
      <c r="H51" s="227" t="e">
        <f ca="1">VLOOKUP(H7,Sheet1!$B$8:$IV$895,77,FALSE)</f>
        <v>#N/A</v>
      </c>
      <c r="I51" s="227" t="e">
        <f ca="1">VLOOKUP(I7,Sheet1!$B$8:$IV$895,77,FALSE)</f>
        <v>#N/A</v>
      </c>
      <c r="J51" s="227" t="e">
        <f ca="1">VLOOKUP(J7,Sheet1!$B$8:$IV$895,77,FALSE)</f>
        <v>#N/A</v>
      </c>
      <c r="K51" s="228" t="e">
        <f ca="1">VLOOKUP(K7,Sheet1!$B$8:$IV$895,77,FALSE)</f>
        <v>#N/A</v>
      </c>
    </row>
    <row r="52" spans="1:11" s="118" customFormat="1">
      <c r="A52" s="233" t="s">
        <v>571</v>
      </c>
      <c r="B52" s="126" t="s">
        <v>13</v>
      </c>
      <c r="C52" s="146" t="e">
        <f ca="1">VLOOKUP(C7,Sheet1!$B$8:$IV$895,85,FALSE)</f>
        <v>#N/A</v>
      </c>
      <c r="D52" s="37" t="e">
        <f ca="1">VLOOKUP(D7,Sheet1!$B$8:$IV$895,85,FALSE)</f>
        <v>#N/A</v>
      </c>
      <c r="E52" s="201" t="e">
        <f ca="1">VLOOKUP(E7,Sheet1!$B$8:$IV$895,85,FALSE)</f>
        <v>#N/A</v>
      </c>
      <c r="F52" s="37" t="e">
        <f ca="1">VLOOKUP(F7,Sheet1!$B$8:$IV$895,85,FALSE)</f>
        <v>#N/A</v>
      </c>
      <c r="G52" s="37" t="e">
        <f ca="1">VLOOKUP(G7,Sheet1!$B$8:$IV$895,85,FALSE)</f>
        <v>#N/A</v>
      </c>
      <c r="H52" s="37" t="e">
        <f ca="1">VLOOKUP(H7,Sheet1!$B$8:$IV$895,85,FALSE)</f>
        <v>#N/A</v>
      </c>
      <c r="I52" s="37" t="e">
        <f ca="1">VLOOKUP(I7,Sheet1!$B$8:$IV$895,85,FALSE)</f>
        <v>#N/A</v>
      </c>
      <c r="J52" s="37" t="e">
        <f ca="1">VLOOKUP(J7,Sheet1!$B$8:$IV$895,85,FALSE)</f>
        <v>#N/A</v>
      </c>
      <c r="K52" s="39" t="e">
        <f ca="1">VLOOKUP(K7,Sheet1!$B$8:$IV$895,85,FALSE)</f>
        <v>#N/A</v>
      </c>
    </row>
    <row r="53" spans="1:11" s="118" customFormat="1">
      <c r="A53" s="142" t="s">
        <v>572</v>
      </c>
      <c r="B53" s="144" t="s">
        <v>13</v>
      </c>
      <c r="C53" s="268" t="e">
        <f ca="1">VLOOKUP(C7,Sheet1!$B$8:$IV$895,86,FALSE)</f>
        <v>#N/A</v>
      </c>
      <c r="D53" s="229" t="e">
        <f ca="1">VLOOKUP(D7,Sheet1!$B$8:$IV$895,86,FALSE)</f>
        <v>#N/A</v>
      </c>
      <c r="E53" s="270" t="e">
        <f ca="1">VLOOKUP(E7,Sheet1!$B$8:$IV$895,86,FALSE)</f>
        <v>#N/A</v>
      </c>
      <c r="F53" s="229" t="e">
        <f ca="1">VLOOKUP(F7,Sheet1!$B$8:$IV$895,86,FALSE)</f>
        <v>#N/A</v>
      </c>
      <c r="G53" s="229" t="e">
        <f ca="1">VLOOKUP(G7,Sheet1!$B$8:$IV$895,86,FALSE)</f>
        <v>#N/A</v>
      </c>
      <c r="H53" s="229" t="e">
        <f ca="1">VLOOKUP(H7,Sheet1!$B$8:$IV$895,86,FALSE)</f>
        <v>#N/A</v>
      </c>
      <c r="I53" s="229" t="e">
        <f ca="1">VLOOKUP(I7,Sheet1!$B$8:$IV$895,86,FALSE)</f>
        <v>#N/A</v>
      </c>
      <c r="J53" s="229" t="e">
        <f ca="1">VLOOKUP(J7,Sheet1!$B$8:$IV$895,86,FALSE)</f>
        <v>#N/A</v>
      </c>
      <c r="K53" s="230" t="e">
        <f ca="1">VLOOKUP(K7,Sheet1!$B$8:$IV$895,86,FALSE)</f>
        <v>#N/A</v>
      </c>
    </row>
    <row r="54" spans="1:11" s="118" customFormat="1" ht="13.5" thickBot="1">
      <c r="A54" s="252" t="s">
        <v>84</v>
      </c>
      <c r="B54" s="253" t="s">
        <v>15</v>
      </c>
      <c r="C54" s="273" t="e">
        <f ca="1">VLOOKUP(C7,Sheet1!$B$8:$IV$895,98,FALSE)</f>
        <v>#N/A</v>
      </c>
      <c r="D54" s="254" t="e">
        <f ca="1">VLOOKUP(D7,Sheet1!$B$8:$IV$895,98,FALSE)</f>
        <v>#N/A</v>
      </c>
      <c r="E54" s="274" t="e">
        <f ca="1">VLOOKUP(E7,Sheet1!$B$8:$IV$895,98,FALSE)</f>
        <v>#N/A</v>
      </c>
      <c r="F54" s="254" t="e">
        <f ca="1">VLOOKUP(F7,Sheet1!$B$8:$IV$895,98,FALSE)</f>
        <v>#N/A</v>
      </c>
      <c r="G54" s="254" t="e">
        <f ca="1">VLOOKUP(G7,Sheet1!$B$8:$IV$895,98,FALSE)</f>
        <v>#N/A</v>
      </c>
      <c r="H54" s="254" t="e">
        <f ca="1">VLOOKUP(H7,Sheet1!$B$8:$IV$895,98,FALSE)</f>
        <v>#N/A</v>
      </c>
      <c r="I54" s="254" t="e">
        <f ca="1">VLOOKUP(I7,Sheet1!$B$8:$IV$895,98,FALSE)</f>
        <v>#N/A</v>
      </c>
      <c r="J54" s="254" t="e">
        <f ca="1">VLOOKUP(J7,Sheet1!$B$8:$IV$895,98,FALSE)</f>
        <v>#N/A</v>
      </c>
      <c r="K54" s="255" t="e">
        <f ca="1">VLOOKUP(K7,Sheet1!$B$8:$IV$895,98,FALSE)</f>
        <v>#N/A</v>
      </c>
    </row>
    <row r="55" spans="1:11" s="118" customFormat="1" ht="13.5" thickBot="1">
      <c r="A55" s="893" t="s">
        <v>107</v>
      </c>
      <c r="B55" s="896"/>
      <c r="C55" s="896"/>
      <c r="D55" s="896"/>
      <c r="E55" s="896"/>
      <c r="F55" s="896"/>
      <c r="G55" s="896"/>
      <c r="H55" s="896"/>
      <c r="I55" s="896"/>
      <c r="J55" s="896"/>
      <c r="K55" s="897"/>
    </row>
    <row r="56" spans="1:11" s="118" customFormat="1">
      <c r="A56" s="140" t="s">
        <v>276</v>
      </c>
      <c r="B56" s="171" t="s">
        <v>24</v>
      </c>
      <c r="C56" s="267" t="e">
        <f ca="1">VLOOKUP(C7,Sheet1!$B$8:$IV$895,79,FALSE)</f>
        <v>#N/A</v>
      </c>
      <c r="D56" s="227" t="e">
        <f ca="1">VLOOKUP(D7,Sheet1!$B$8:$IV$895,79,FALSE)</f>
        <v>#N/A</v>
      </c>
      <c r="E56" s="269" t="e">
        <f ca="1">VLOOKUP(E7,Sheet1!$B$8:$IV$895,79,FALSE)</f>
        <v>#N/A</v>
      </c>
      <c r="F56" s="227" t="e">
        <f ca="1">VLOOKUP(F7,Sheet1!$B$8:$IV$895,79,FALSE)</f>
        <v>#N/A</v>
      </c>
      <c r="G56" s="227" t="e">
        <f ca="1">VLOOKUP(G7,Sheet1!$B$8:$IV$895,79,FALSE)</f>
        <v>#N/A</v>
      </c>
      <c r="H56" s="227" t="e">
        <f ca="1">VLOOKUP(H7,Sheet1!$B$8:$IV$895,79,FALSE)</f>
        <v>#N/A</v>
      </c>
      <c r="I56" s="227" t="e">
        <f ca="1">VLOOKUP(I7,Sheet1!$B$8:$IV$895,79,FALSE)</f>
        <v>#N/A</v>
      </c>
      <c r="J56" s="227" t="e">
        <f ca="1">VLOOKUP(J7,Sheet1!$B$8:$IV$895,79,FALSE)</f>
        <v>#N/A</v>
      </c>
      <c r="K56" s="228" t="e">
        <f ca="1">VLOOKUP(K7,Sheet1!$B$8:$IV$895,79,FALSE)</f>
        <v>#N/A</v>
      </c>
    </row>
    <row r="57" spans="1:11" s="118" customFormat="1">
      <c r="A57" s="233" t="s">
        <v>100</v>
      </c>
      <c r="B57" s="234" t="s">
        <v>13</v>
      </c>
      <c r="C57" s="146" t="e">
        <f ca="1">VLOOKUP(C7,'Calculations II'!$B$8:$IV$887,57,FALSE)</f>
        <v>#N/A</v>
      </c>
      <c r="D57" s="37" t="e">
        <f ca="1">VLOOKUP(D7,'Calculations II'!$B$8:$IV$887,57,FALSE)</f>
        <v>#N/A</v>
      </c>
      <c r="E57" s="201" t="e">
        <f ca="1">VLOOKUP(E7,'Calculations II'!$B$8:$IV$887,57,FALSE)</f>
        <v>#N/A</v>
      </c>
      <c r="F57" s="37" t="e">
        <f ca="1">VLOOKUP(F7,'Calculations II'!$B$8:$IV$887,57,FALSE)</f>
        <v>#N/A</v>
      </c>
      <c r="G57" s="37" t="e">
        <f ca="1">VLOOKUP(G7,'Calculations II'!$B$8:$IV$887,57,FALSE)</f>
        <v>#N/A</v>
      </c>
      <c r="H57" s="37" t="e">
        <f ca="1">VLOOKUP(H7,'Calculations II'!$B$8:$IV$887,57,FALSE)</f>
        <v>#N/A</v>
      </c>
      <c r="I57" s="37" t="e">
        <f ca="1">VLOOKUP(I7,'Calculations II'!$B$8:$IV$887,57,FALSE)</f>
        <v>#N/A</v>
      </c>
      <c r="J57" s="37" t="e">
        <f ca="1">VLOOKUP(J7,'Calculations II'!$B$8:$IV$887,57,FALSE)</f>
        <v>#N/A</v>
      </c>
      <c r="K57" s="39" t="e">
        <f ca="1">VLOOKUP(K7,'Calculations II'!$B$8:$IV$887,57,FALSE)</f>
        <v>#N/A</v>
      </c>
    </row>
    <row r="58" spans="1:11" s="118" customFormat="1" ht="13.5" thickBot="1">
      <c r="A58" s="149" t="s">
        <v>101</v>
      </c>
      <c r="B58" s="167" t="s">
        <v>13</v>
      </c>
      <c r="C58" s="275" t="e">
        <f ca="1">VLOOKUP(C7,'Calculations II'!$B$8:$IV$887,58,FALSE)</f>
        <v>#N/A</v>
      </c>
      <c r="D58" s="256" t="e">
        <f ca="1">VLOOKUP(D7,'Calculations II'!$B$8:$IV$887,58,FALSE)</f>
        <v>#N/A</v>
      </c>
      <c r="E58" s="276" t="e">
        <f ca="1">VLOOKUP(E7,'Calculations II'!$B$8:$IV$887,58,FALSE)</f>
        <v>#N/A</v>
      </c>
      <c r="F58" s="256" t="e">
        <f ca="1">VLOOKUP(F7,'Calculations II'!$B$8:$IV$887,58,FALSE)</f>
        <v>#N/A</v>
      </c>
      <c r="G58" s="256" t="e">
        <f ca="1">VLOOKUP(G7,'Calculations II'!$B$8:$IV$887,58,FALSE)</f>
        <v>#N/A</v>
      </c>
      <c r="H58" s="256" t="e">
        <f ca="1">VLOOKUP(H7,'Calculations II'!$B$8:$IV$887,58,FALSE)</f>
        <v>#N/A</v>
      </c>
      <c r="I58" s="256" t="e">
        <f ca="1">VLOOKUP(I7,'Calculations II'!$B$8:$IV$887,58,FALSE)</f>
        <v>#N/A</v>
      </c>
      <c r="J58" s="256" t="e">
        <f ca="1">VLOOKUP(J7,'Calculations II'!$B$8:$IV$887,58,FALSE)</f>
        <v>#N/A</v>
      </c>
      <c r="K58" s="257" t="e">
        <f ca="1">VLOOKUP(K7,'Calculations II'!$B$8:$IV$887,58,FALSE)</f>
        <v>#N/A</v>
      </c>
    </row>
    <row r="59" spans="1:11" s="118" customFormat="1" ht="13.5" thickBot="1">
      <c r="A59" s="893" t="s">
        <v>108</v>
      </c>
      <c r="B59" s="896"/>
      <c r="C59" s="896"/>
      <c r="D59" s="896"/>
      <c r="E59" s="896"/>
      <c r="F59" s="896"/>
      <c r="G59" s="896"/>
      <c r="H59" s="896"/>
      <c r="I59" s="896"/>
      <c r="J59" s="896"/>
      <c r="K59" s="897"/>
    </row>
    <row r="60" spans="1:11" s="118" customFormat="1">
      <c r="A60" s="258" t="s">
        <v>276</v>
      </c>
      <c r="B60" s="141" t="s">
        <v>24</v>
      </c>
      <c r="C60" s="226" t="e">
        <f ca="1">VLOOKUP(C7,Sheet1!$B$8:$IV$895,78,FALSE)</f>
        <v>#N/A</v>
      </c>
      <c r="D60" s="227" t="e">
        <f ca="1">VLOOKUP(D7,Sheet1!$B$8:$IV$895,78,FALSE)</f>
        <v>#N/A</v>
      </c>
      <c r="E60" s="269" t="e">
        <f ca="1">VLOOKUP(E7,Sheet1!$B$8:$IV$895,78,FALSE)</f>
        <v>#N/A</v>
      </c>
      <c r="F60" s="227" t="e">
        <f ca="1">VLOOKUP(F7,Sheet1!$B$8:$IV$895,78,FALSE)</f>
        <v>#N/A</v>
      </c>
      <c r="G60" s="227" t="e">
        <f ca="1">VLOOKUP(G7,Sheet1!$B$8:$IV$895,78,FALSE)</f>
        <v>#N/A</v>
      </c>
      <c r="H60" s="227" t="e">
        <f ca="1">VLOOKUP(H7,Sheet1!$B$8:$IV$895,78,FALSE)</f>
        <v>#N/A</v>
      </c>
      <c r="I60" s="227" t="e">
        <f ca="1">VLOOKUP(I7,Sheet1!$B$8:$IV$895,78,FALSE)</f>
        <v>#N/A</v>
      </c>
      <c r="J60" s="227" t="e">
        <f ca="1">VLOOKUP(J7,Sheet1!$B$8:$IV$895,78,FALSE)</f>
        <v>#N/A</v>
      </c>
      <c r="K60" s="228" t="e">
        <f ca="1">VLOOKUP(K7,Sheet1!$B$8:$IV$895,78,FALSE)</f>
        <v>#N/A</v>
      </c>
    </row>
    <row r="61" spans="1:11" s="118" customFormat="1" ht="13.5" thickBot="1">
      <c r="A61" s="113" t="s">
        <v>102</v>
      </c>
      <c r="B61" s="259" t="s">
        <v>13</v>
      </c>
      <c r="C61" s="45" t="e">
        <f ca="1">VLOOKUP(C7,'Calculations II'!$B$8:$IV$887,59,FALSE)</f>
        <v>#N/A</v>
      </c>
      <c r="D61" s="40" t="e">
        <f ca="1">VLOOKUP(D7,'Calculations II'!$B$8:$IV$887,59,FALSE)</f>
        <v>#N/A</v>
      </c>
      <c r="E61" s="202" t="e">
        <f ca="1">VLOOKUP(E7,'Calculations II'!$B$8:$IV$887,59,FALSE)</f>
        <v>#N/A</v>
      </c>
      <c r="F61" s="40" t="e">
        <f ca="1">VLOOKUP(F7,'Calculations II'!$B$8:$IV$887,59,FALSE)</f>
        <v>#N/A</v>
      </c>
      <c r="G61" s="40" t="e">
        <f ca="1">VLOOKUP(G7,'Calculations II'!$B$8:$IV$887,59,FALSE)</f>
        <v>#N/A</v>
      </c>
      <c r="H61" s="40" t="e">
        <f ca="1">VLOOKUP(H7,'Calculations II'!$B$8:$IV$887,59,FALSE)</f>
        <v>#N/A</v>
      </c>
      <c r="I61" s="40" t="e">
        <f ca="1">VLOOKUP(I7,'Calculations II'!$B$8:$IV$887,59,FALSE)</f>
        <v>#N/A</v>
      </c>
      <c r="J61" s="40" t="e">
        <f ca="1">VLOOKUP(J7,'Calculations II'!$B$8:$IV$887,59,FALSE)</f>
        <v>#N/A</v>
      </c>
      <c r="K61" s="41" t="e">
        <f ca="1">VLOOKUP(K7,'Calculations II'!$B$8:$IV$887,59,FALSE)</f>
        <v>#N/A</v>
      </c>
    </row>
    <row r="62" spans="1:11" s="118" customFormat="1" ht="13.5" thickBot="1">
      <c r="A62" s="893" t="s">
        <v>109</v>
      </c>
      <c r="B62" s="896"/>
      <c r="C62" s="896"/>
      <c r="D62" s="896"/>
      <c r="E62" s="896"/>
      <c r="F62" s="896"/>
      <c r="G62" s="896"/>
      <c r="H62" s="896"/>
      <c r="I62" s="896"/>
      <c r="J62" s="896"/>
      <c r="K62" s="897"/>
    </row>
    <row r="63" spans="1:11" s="118" customFormat="1">
      <c r="A63" s="258" t="s">
        <v>103</v>
      </c>
      <c r="B63" s="171" t="s">
        <v>24</v>
      </c>
      <c r="C63" s="267" t="e">
        <f ca="1">VLOOKUP(C7,Sheet1!$B$8:$IV$895,80,FALSE)</f>
        <v>#N/A</v>
      </c>
      <c r="D63" s="227" t="e">
        <f ca="1">VLOOKUP(D7,Sheet1!$B$8:$IV$895,80,FALSE)</f>
        <v>#N/A</v>
      </c>
      <c r="E63" s="269" t="e">
        <f ca="1">VLOOKUP(E7,Sheet1!$B$8:$IV$895,80,FALSE)</f>
        <v>#N/A</v>
      </c>
      <c r="F63" s="227" t="e">
        <f ca="1">VLOOKUP(F7,Sheet1!$B$8:$IV$895,80,FALSE)</f>
        <v>#N/A</v>
      </c>
      <c r="G63" s="227" t="e">
        <f ca="1">VLOOKUP(G7,Sheet1!$B$8:$IV$895,80,FALSE)</f>
        <v>#N/A</v>
      </c>
      <c r="H63" s="227" t="e">
        <f ca="1">VLOOKUP(H7,Sheet1!$B$8:$IV$895,80,FALSE)</f>
        <v>#N/A</v>
      </c>
      <c r="I63" s="227" t="e">
        <f ca="1">VLOOKUP(I7,Sheet1!$B$8:$IV$895,80,FALSE)</f>
        <v>#N/A</v>
      </c>
      <c r="J63" s="227" t="e">
        <f ca="1">VLOOKUP(J7,Sheet1!$B$8:$IV$895,80,FALSE)</f>
        <v>#N/A</v>
      </c>
      <c r="K63" s="228" t="e">
        <f ca="1">VLOOKUP(K7,Sheet1!$B$8:$IV$895,80,FALSE)</f>
        <v>#N/A</v>
      </c>
    </row>
    <row r="64" spans="1:11" s="118" customFormat="1">
      <c r="A64" s="260" t="s">
        <v>281</v>
      </c>
      <c r="B64" s="126" t="s">
        <v>24</v>
      </c>
      <c r="C64" s="146" t="e">
        <f ca="1">VLOOKUP(C7,Sheet1!$B$8:$IV$895,81,FALSE)</f>
        <v>#N/A</v>
      </c>
      <c r="D64" s="37" t="e">
        <f ca="1">VLOOKUP(D7,Sheet1!$B$8:$IV$895,81,FALSE)</f>
        <v>#N/A</v>
      </c>
      <c r="E64" s="201" t="e">
        <f ca="1">VLOOKUP(E7,Sheet1!$B$8:$IV$895,81,FALSE)</f>
        <v>#N/A</v>
      </c>
      <c r="F64" s="37" t="e">
        <f ca="1">VLOOKUP(F7,Sheet1!$B$8:$IV$895,81,FALSE)</f>
        <v>#N/A</v>
      </c>
      <c r="G64" s="37" t="e">
        <f ca="1">VLOOKUP(G7,Sheet1!$B$8:$IV$895,81,FALSE)</f>
        <v>#N/A</v>
      </c>
      <c r="H64" s="37" t="e">
        <f ca="1">VLOOKUP(H7,Sheet1!$B$8:$IV$895,81,FALSE)</f>
        <v>#N/A</v>
      </c>
      <c r="I64" s="37" t="e">
        <f ca="1">VLOOKUP(I7,Sheet1!$B$8:$IV$895,81,FALSE)</f>
        <v>#N/A</v>
      </c>
      <c r="J64" s="37" t="e">
        <f ca="1">VLOOKUP(J7,Sheet1!$B$8:$IV$895,81,FALSE)</f>
        <v>#N/A</v>
      </c>
      <c r="K64" s="39" t="e">
        <f ca="1">VLOOKUP(K7,Sheet1!$B$8:$IV$895,81,FALSE)</f>
        <v>#N/A</v>
      </c>
    </row>
    <row r="65" spans="1:11" s="118" customFormat="1">
      <c r="A65" s="164" t="s">
        <v>104</v>
      </c>
      <c r="B65" s="144" t="s">
        <v>24</v>
      </c>
      <c r="C65" s="268" t="e">
        <f ca="1">VLOOKUP(C7,Sheet1!$B$8:$IV$895,82,FALSE)</f>
        <v>#N/A</v>
      </c>
      <c r="D65" s="229" t="e">
        <f ca="1">VLOOKUP(D7,Sheet1!$B$8:$IV$895,82,FALSE)</f>
        <v>#N/A</v>
      </c>
      <c r="E65" s="270" t="e">
        <f ca="1">VLOOKUP(E7,Sheet1!$B$8:$IV$895,82,FALSE)</f>
        <v>#N/A</v>
      </c>
      <c r="F65" s="229" t="e">
        <f ca="1">VLOOKUP(F7,Sheet1!$B$8:$IV$895,82,FALSE)</f>
        <v>#N/A</v>
      </c>
      <c r="G65" s="229" t="e">
        <f ca="1">VLOOKUP(G7,Sheet1!$B$8:$IV$895,82,FALSE)</f>
        <v>#N/A</v>
      </c>
      <c r="H65" s="229" t="e">
        <f ca="1">VLOOKUP(H7,Sheet1!$B$8:$IV$895,82,FALSE)</f>
        <v>#N/A</v>
      </c>
      <c r="I65" s="229" t="e">
        <f ca="1">VLOOKUP(I7,Sheet1!$B$8:$IV$895,82,FALSE)</f>
        <v>#N/A</v>
      </c>
      <c r="J65" s="229" t="e">
        <f ca="1">VLOOKUP(J7,Sheet1!$B$8:$IV$895,82,FALSE)</f>
        <v>#N/A</v>
      </c>
      <c r="K65" s="230" t="e">
        <f ca="1">VLOOKUP(K7,Sheet1!$B$8:$IV$895,82,FALSE)</f>
        <v>#N/A</v>
      </c>
    </row>
    <row r="66" spans="1:11" s="118" customFormat="1" ht="13.5" thickBot="1">
      <c r="A66" s="261" t="s">
        <v>20</v>
      </c>
      <c r="B66" s="253" t="s">
        <v>13</v>
      </c>
      <c r="C66" s="204" t="e">
        <f ca="1">VLOOKUP(C7,'Calculations II'!$B$8:$IV$887,60,FALSE)</f>
        <v>#N/A</v>
      </c>
      <c r="D66" s="40" t="e">
        <f ca="1">VLOOKUP(D7,'Calculations II'!$B$8:$IV$887,60,FALSE)</f>
        <v>#N/A</v>
      </c>
      <c r="E66" s="202" t="e">
        <f ca="1">VLOOKUP(E7,'Calculations II'!$B$8:$IV$887,60,FALSE)</f>
        <v>#N/A</v>
      </c>
      <c r="F66" s="40" t="e">
        <f ca="1">VLOOKUP(F7,'Calculations II'!$B$8:$IV$887,60,FALSE)</f>
        <v>#N/A</v>
      </c>
      <c r="G66" s="40" t="e">
        <f ca="1">VLOOKUP(G7,'Calculations II'!$B$8:$IV$887,60,FALSE)</f>
        <v>#N/A</v>
      </c>
      <c r="H66" s="40" t="e">
        <f ca="1">VLOOKUP(H7,'Calculations II'!$B$8:$IV$887,60,FALSE)</f>
        <v>#N/A</v>
      </c>
      <c r="I66" s="40" t="e">
        <f ca="1">VLOOKUP(I7,'Calculations II'!$B$8:$IV$887,60,FALSE)</f>
        <v>#N/A</v>
      </c>
      <c r="J66" s="40" t="e">
        <f ca="1">VLOOKUP(J7,'Calculations II'!$B$8:$IV$887,60,FALSE)</f>
        <v>#N/A</v>
      </c>
      <c r="K66" s="41" t="e">
        <f ca="1">VLOOKUP(K7,'Calculations II'!$B$8:$IV$887,60,FALSE)</f>
        <v>#N/A</v>
      </c>
    </row>
    <row r="67" spans="1:11" s="118" customFormat="1" ht="13.5" thickBot="1">
      <c r="A67" s="893" t="s">
        <v>105</v>
      </c>
      <c r="B67" s="894"/>
      <c r="C67" s="894"/>
      <c r="D67" s="894"/>
      <c r="E67" s="894"/>
      <c r="F67" s="894"/>
      <c r="G67" s="894"/>
      <c r="H67" s="894"/>
      <c r="I67" s="894"/>
      <c r="J67" s="894"/>
      <c r="K67" s="895"/>
    </row>
    <row r="68" spans="1:11" s="118" customFormat="1">
      <c r="A68" s="258" t="s">
        <v>277</v>
      </c>
      <c r="B68" s="171" t="s">
        <v>24</v>
      </c>
      <c r="C68" s="267" t="e">
        <f ca="1">VLOOKUP(C7,Sheet1!$B$8:$IV$895,83,FALSE)</f>
        <v>#N/A</v>
      </c>
      <c r="D68" s="227" t="e">
        <f ca="1">VLOOKUP(D7,Sheet1!$B$8:$IV$895,83,FALSE)</f>
        <v>#N/A</v>
      </c>
      <c r="E68" s="269" t="e">
        <f ca="1">VLOOKUP(E7,Sheet1!$B$8:$IV$895,83,FALSE)</f>
        <v>#N/A</v>
      </c>
      <c r="F68" s="227" t="e">
        <f ca="1">VLOOKUP(F7,Sheet1!$B$8:$IV$895,83,FALSE)</f>
        <v>#N/A</v>
      </c>
      <c r="G68" s="227" t="e">
        <f ca="1">VLOOKUP(G7,Sheet1!$B$8:$IV$895,83,FALSE)</f>
        <v>#N/A</v>
      </c>
      <c r="H68" s="227" t="e">
        <f ca="1">VLOOKUP(H7,Sheet1!$B$8:$IV$895,83,FALSE)</f>
        <v>#N/A</v>
      </c>
      <c r="I68" s="227" t="e">
        <f ca="1">VLOOKUP(I7,Sheet1!$B$8:$IV$895,83,FALSE)</f>
        <v>#N/A</v>
      </c>
      <c r="J68" s="227" t="e">
        <f ca="1">VLOOKUP(J7,Sheet1!$B$8:$IV$895,83,FALSE)</f>
        <v>#N/A</v>
      </c>
      <c r="K68" s="228" t="e">
        <f ca="1">VLOOKUP(K7,Sheet1!$B$8:$IV$895,83,FALSE)</f>
        <v>#N/A</v>
      </c>
    </row>
    <row r="69" spans="1:11" s="118" customFormat="1">
      <c r="A69" s="34" t="s">
        <v>110</v>
      </c>
      <c r="B69" s="234" t="s">
        <v>13</v>
      </c>
      <c r="C69" s="146" t="e">
        <f ca="1">VLOOKUP(C7,Sheet1!$B$8:$IV$895,90,FALSE)</f>
        <v>#N/A</v>
      </c>
      <c r="D69" s="37" t="e">
        <f ca="1">VLOOKUP(D7,Sheet1!$B$8:$IV$895,90,FALSE)</f>
        <v>#N/A</v>
      </c>
      <c r="E69" s="201" t="e">
        <f ca="1">VLOOKUP(E7,Sheet1!$B$8:$IV$895,90,FALSE)</f>
        <v>#N/A</v>
      </c>
      <c r="F69" s="37" t="e">
        <f ca="1">VLOOKUP(F7,Sheet1!$B$8:$IV$895,90,FALSE)</f>
        <v>#N/A</v>
      </c>
      <c r="G69" s="37" t="e">
        <f ca="1">VLOOKUP(G7,Sheet1!$B$8:$IV$895,90,FALSE)</f>
        <v>#N/A</v>
      </c>
      <c r="H69" s="37" t="e">
        <f ca="1">VLOOKUP(H7,Sheet1!$B$8:$IV$895,90,FALSE)</f>
        <v>#N/A</v>
      </c>
      <c r="I69" s="37" t="e">
        <f ca="1">VLOOKUP(I7,Sheet1!$B$8:$IV$895,90,FALSE)</f>
        <v>#N/A</v>
      </c>
      <c r="J69" s="37" t="e">
        <f ca="1">VLOOKUP(J7,Sheet1!$B$8:$IV$895,90,FALSE)</f>
        <v>#N/A</v>
      </c>
      <c r="K69" s="39" t="e">
        <f ca="1">VLOOKUP(K7,Sheet1!$B$8:$IV$895,90,FALSE)</f>
        <v>#N/A</v>
      </c>
    </row>
    <row r="70" spans="1:11" s="118" customFormat="1">
      <c r="A70" s="164" t="s">
        <v>111</v>
      </c>
      <c r="B70" s="144" t="s">
        <v>13</v>
      </c>
      <c r="C70" s="268" t="e">
        <f ca="1">VLOOKUP(C7,Sheet1!$B$8:$IV$895,91,FALSE)</f>
        <v>#N/A</v>
      </c>
      <c r="D70" s="229" t="e">
        <f ca="1">VLOOKUP(D7,Sheet1!$B$8:$IV$895,91,FALSE)</f>
        <v>#N/A</v>
      </c>
      <c r="E70" s="270" t="e">
        <f ca="1">VLOOKUP(E7,Sheet1!$B$8:$IV$895,91,FALSE)</f>
        <v>#N/A</v>
      </c>
      <c r="F70" s="229" t="e">
        <f ca="1">VLOOKUP(F7,Sheet1!$B$8:$IV$895,91,FALSE)</f>
        <v>#N/A</v>
      </c>
      <c r="G70" s="229" t="e">
        <f ca="1">VLOOKUP(G7,Sheet1!$B$8:$IV$895,91,FALSE)</f>
        <v>#N/A</v>
      </c>
      <c r="H70" s="229" t="e">
        <f ca="1">VLOOKUP(H7,Sheet1!$B$8:$IV$895,91,FALSE)</f>
        <v>#N/A</v>
      </c>
      <c r="I70" s="229" t="e">
        <f ca="1">VLOOKUP(I7,Sheet1!$B$8:$IV$895,91,FALSE)</f>
        <v>#N/A</v>
      </c>
      <c r="J70" s="229" t="e">
        <f ca="1">VLOOKUP(J7,Sheet1!$B$8:$IV$895,91,FALSE)</f>
        <v>#N/A</v>
      </c>
      <c r="K70" s="230" t="e">
        <f ca="1">VLOOKUP(K7,Sheet1!$B$8:$IV$895,91,FALSE)</f>
        <v>#N/A</v>
      </c>
    </row>
    <row r="71" spans="1:11" s="118" customFormat="1">
      <c r="A71" s="21" t="s">
        <v>300</v>
      </c>
      <c r="B71" s="126" t="s">
        <v>15</v>
      </c>
      <c r="C71" s="268" t="e">
        <f ca="1">IF(VLOOKUP(C7,Sheet1!$B$8:$IV$895,95,FALSE)=0,VLOOKUP(C7,Sheet1!$B$8:$IV$895,111,FALSE),VLOOKUP(C7,Sheet1!$B$8:$IV$895,95,FALSE))</f>
        <v>#N/A</v>
      </c>
      <c r="D71" s="229" t="e">
        <f ca="1">IF(VLOOKUP(D7,Sheet1!$B$8:$IV$895,95,FALSE)=0,VLOOKUP(D7,Sheet1!$B$8:$IV$895,111,FALSE),VLOOKUP(D7,Sheet1!$B$8:$IV$895,95,FALSE))</f>
        <v>#N/A</v>
      </c>
      <c r="E71" s="270" t="e">
        <f ca="1">IF(VLOOKUP(E7,Sheet1!$B$8:$IV$895,95,FALSE)=0,VLOOKUP(E7,Sheet1!$B$8:$IV$895,111,FALSE),VLOOKUP(E7,Sheet1!$B$8:$IV$895,95,FALSE))</f>
        <v>#N/A</v>
      </c>
      <c r="F71" s="229" t="e">
        <f ca="1">IF(VLOOKUP(F7,Sheet1!$B$8:$IV$895,95,FALSE)=0,VLOOKUP(F7,Sheet1!$B$8:$IV$895,111,FALSE),VLOOKUP(F7,Sheet1!$B$8:$IV$895,95,FALSE))</f>
        <v>#N/A</v>
      </c>
      <c r="G71" s="229" t="e">
        <f ca="1">IF(VLOOKUP(G7,Sheet1!$B$8:$IV$895,95,FALSE)=0,VLOOKUP(G7,Sheet1!$B$8:$IV$895,111,FALSE),VLOOKUP(G7,Sheet1!$B$8:$IV$895,95,FALSE))</f>
        <v>#N/A</v>
      </c>
      <c r="H71" s="229" t="e">
        <f ca="1">IF(VLOOKUP(H7,Sheet1!$B$8:$IV$895,95,FALSE)=0,VLOOKUP(H7,Sheet1!$B$8:$IV$895,111,FALSE),VLOOKUP(H7,Sheet1!$B$8:$IV$895,95,FALSE))</f>
        <v>#N/A</v>
      </c>
      <c r="I71" s="229" t="e">
        <f ca="1">IF(VLOOKUP(I7,Sheet1!$B$8:$IV$895,95,FALSE)=0,VLOOKUP(I7,Sheet1!$B$8:$IV$895,111,FALSE),VLOOKUP(I7,Sheet1!$B$8:$IV$895,95,FALSE))</f>
        <v>#N/A</v>
      </c>
      <c r="J71" s="229" t="e">
        <f ca="1">IF(VLOOKUP(J7,Sheet1!$B$8:$IV$895,95,FALSE)=0,VLOOKUP(J7,Sheet1!$B$8:$IV$895,111,FALSE),VLOOKUP(J7,Sheet1!$B$8:$IV$895,95,FALSE))</f>
        <v>#N/A</v>
      </c>
      <c r="K71" s="230" t="e">
        <f ca="1">IF(VLOOKUP(K7,Sheet1!$B$8:$IV$895,95,FALSE)=0,VLOOKUP(K7,Sheet1!$B$8:$IV$895,111,FALSE),VLOOKUP(K7,Sheet1!$B$8:$IV$895,95,FALSE))</f>
        <v>#N/A</v>
      </c>
    </row>
    <row r="72" spans="1:11" s="118" customFormat="1">
      <c r="A72" s="262" t="s">
        <v>437</v>
      </c>
      <c r="B72" s="144" t="s">
        <v>14</v>
      </c>
      <c r="C72" s="268" t="e">
        <f ca="1">IF(VLOOKUP(C7,Sheet1!$B$8:$IV$895,96,FALSE)=0,VLOOKUP(C7,Sheet1!$B$8:$IV$895,112,FALSE),VLOOKUP(C7,Sheet1!$B$8:$IV$895,96,FALSE))</f>
        <v>#N/A</v>
      </c>
      <c r="D72" s="229" t="e">
        <f ca="1">IF(VLOOKUP(D7,Sheet1!$B$8:$IV$895,96,FALSE)=0,VLOOKUP(D7,Sheet1!$B$8:$IV$895,112,FALSE),VLOOKUP(D7,Sheet1!$B$8:$IV$895,96,FALSE))</f>
        <v>#N/A</v>
      </c>
      <c r="E72" s="270" t="e">
        <f ca="1">IF(VLOOKUP(E7,Sheet1!$B$8:$IV$895,96,FALSE)=0,VLOOKUP(E7,Sheet1!$B$8:$IV$895,112,FALSE),VLOOKUP(E7,Sheet1!$B$8:$IV$895,96,FALSE))</f>
        <v>#N/A</v>
      </c>
      <c r="F72" s="229" t="e">
        <f ca="1">IF(VLOOKUP(F7,Sheet1!$B$8:$IV$895,96,FALSE)=0,VLOOKUP(F7,Sheet1!$B$8:$IV$895,112,FALSE),VLOOKUP(F7,Sheet1!$B$8:$IV$895,96,FALSE))</f>
        <v>#N/A</v>
      </c>
      <c r="G72" s="229" t="e">
        <f ca="1">IF(VLOOKUP(G7,Sheet1!$B$8:$IV$895,96,FALSE)=0,VLOOKUP(G7,Sheet1!$B$8:$IV$895,112,FALSE),VLOOKUP(G7,Sheet1!$B$8:$IV$895,96,FALSE))</f>
        <v>#N/A</v>
      </c>
      <c r="H72" s="229" t="e">
        <f ca="1">IF(VLOOKUP(H7,Sheet1!$B$8:$IV$895,96,FALSE)=0,VLOOKUP(H7,Sheet1!$B$8:$IV$895,112,FALSE),VLOOKUP(H7,Sheet1!$B$8:$IV$895,96,FALSE))</f>
        <v>#N/A</v>
      </c>
      <c r="I72" s="229" t="e">
        <f ca="1">IF(VLOOKUP(I7,Sheet1!$B$8:$IV$895,96,FALSE)=0,VLOOKUP(I7,Sheet1!$B$8:$IV$895,112,FALSE),VLOOKUP(I7,Sheet1!$B$8:$IV$895,96,FALSE))</f>
        <v>#N/A</v>
      </c>
      <c r="J72" s="229" t="e">
        <f ca="1">IF(VLOOKUP(J7,Sheet1!$B$8:$IV$895,96,FALSE)=0,VLOOKUP(J7,Sheet1!$B$8:$IV$895,112,FALSE),VLOOKUP(J7,Sheet1!$B$8:$IV$895,96,FALSE))</f>
        <v>#N/A</v>
      </c>
      <c r="K72" s="230" t="e">
        <f ca="1">IF(VLOOKUP(K7,Sheet1!$B$8:$IV$895,96,FALSE)=0,VLOOKUP(K7,Sheet1!$B$8:$IV$895,112,FALSE),VLOOKUP(K7,Sheet1!$B$8:$IV$895,96,FALSE))</f>
        <v>#N/A</v>
      </c>
    </row>
    <row r="73" spans="1:11" s="118" customFormat="1">
      <c r="A73" s="21" t="s">
        <v>438</v>
      </c>
      <c r="B73" s="126" t="s">
        <v>14</v>
      </c>
      <c r="C73" s="268" t="e">
        <f ca="1">IF(VLOOKUP(C7,Sheet1!$B$8:$IV$895,97,FALSE)=0,VLOOKUP(C7,Sheet1!$B$8:$IV$895,113,FALSE),VLOOKUP(C7,Sheet1!$B$8:$IV$895,97,FALSE))</f>
        <v>#N/A</v>
      </c>
      <c r="D73" s="229" t="e">
        <f ca="1">IF(VLOOKUP(D7,Sheet1!$B$8:$IV$895,97,FALSE)=0,VLOOKUP(D7,Sheet1!$B$8:$IV$895,113,FALSE),VLOOKUP(D7,Sheet1!$B$8:$IV$895,97,FALSE))</f>
        <v>#N/A</v>
      </c>
      <c r="E73" s="270" t="e">
        <f ca="1">IF(VLOOKUP(E7,Sheet1!$B$8:$IV$895,97,FALSE)=0,VLOOKUP(E7,Sheet1!$B$8:$IV$895,113,FALSE),VLOOKUP(E7,Sheet1!$B$8:$IV$895,97,FALSE))</f>
        <v>#N/A</v>
      </c>
      <c r="F73" s="229" t="e">
        <f ca="1">IF(VLOOKUP(F7,Sheet1!$B$8:$IV$895,97,FALSE)=0,VLOOKUP(F7,Sheet1!$B$8:$IV$895,113,FALSE),VLOOKUP(F7,Sheet1!$B$8:$IV$895,97,FALSE))</f>
        <v>#N/A</v>
      </c>
      <c r="G73" s="229" t="e">
        <f ca="1">IF(VLOOKUP(G7,Sheet1!$B$8:$IV$895,97,FALSE)=0,VLOOKUP(G7,Sheet1!$B$8:$IV$895,113,FALSE),VLOOKUP(G7,Sheet1!$B$8:$IV$895,97,FALSE))</f>
        <v>#N/A</v>
      </c>
      <c r="H73" s="229" t="e">
        <f ca="1">IF(VLOOKUP(H7,Sheet1!$B$8:$IV$895,97,FALSE)=0,VLOOKUP(H7,Sheet1!$B$8:$IV$895,113,FALSE),VLOOKUP(H7,Sheet1!$B$8:$IV$895,97,FALSE))</f>
        <v>#N/A</v>
      </c>
      <c r="I73" s="229" t="e">
        <f ca="1">IF(VLOOKUP(I7,Sheet1!$B$8:$IV$895,97,FALSE)=0,VLOOKUP(I7,Sheet1!$B$8:$IV$895,113,FALSE),VLOOKUP(I7,Sheet1!$B$8:$IV$895,97,FALSE))</f>
        <v>#N/A</v>
      </c>
      <c r="J73" s="229" t="e">
        <f ca="1">IF(VLOOKUP(J7,Sheet1!$B$8:$IV$895,97,FALSE)=0,VLOOKUP(J7,Sheet1!$B$8:$IV$895,113,FALSE),VLOOKUP(J7,Sheet1!$B$8:$IV$895,97,FALSE))</f>
        <v>#N/A</v>
      </c>
      <c r="K73" s="230" t="e">
        <f ca="1">IF(VLOOKUP(K7,Sheet1!$B$8:$IV$895,97,FALSE)=0,VLOOKUP(K7,Sheet1!$B$8:$IV$895,113,FALSE),VLOOKUP(K7,Sheet1!$B$8:$IV$895,97,FALSE))</f>
        <v>#N/A</v>
      </c>
    </row>
    <row r="74" spans="1:11" s="118" customFormat="1" ht="13.5" thickBot="1">
      <c r="A74" s="263" t="s">
        <v>112</v>
      </c>
      <c r="B74" s="169" t="s">
        <v>113</v>
      </c>
      <c r="C74" s="271" t="e">
        <f ca="1">VLOOKUP(C7,Sheet1!$B$8:$IV$895,84,FALSE)</f>
        <v>#N/A</v>
      </c>
      <c r="D74" s="248" t="e">
        <f ca="1">VLOOKUP(D7,Sheet1!$B$8:$IV$895,84,FALSE)</f>
        <v>#N/A</v>
      </c>
      <c r="E74" s="272" t="e">
        <f ca="1">VLOOKUP(E7,Sheet1!$B$8:$IV$895,84,FALSE)</f>
        <v>#N/A</v>
      </c>
      <c r="F74" s="248" t="e">
        <f ca="1">VLOOKUP(F7,Sheet1!$B$8:$IV$895,84,FALSE)</f>
        <v>#N/A</v>
      </c>
      <c r="G74" s="248" t="e">
        <f ca="1">VLOOKUP(G7,Sheet1!$B$8:$IV$895,84,FALSE)</f>
        <v>#N/A</v>
      </c>
      <c r="H74" s="248" t="e">
        <f ca="1">VLOOKUP(H7,Sheet1!$B$8:$IV$895,84,FALSE)</f>
        <v>#N/A</v>
      </c>
      <c r="I74" s="248" t="e">
        <f ca="1">VLOOKUP(I7,Sheet1!$B$8:$IV$895,84,FALSE)</f>
        <v>#N/A</v>
      </c>
      <c r="J74" s="248" t="e">
        <f ca="1">VLOOKUP(J7,Sheet1!$B$8:$IV$895,84,FALSE)</f>
        <v>#N/A</v>
      </c>
      <c r="K74" s="249" t="e">
        <f ca="1">VLOOKUP(K7,Sheet1!$B$8:$IV$895,84,FALSE)</f>
        <v>#N/A</v>
      </c>
    </row>
    <row r="75" spans="1:11" s="118" customFormat="1">
      <c r="A75" s="264"/>
      <c r="B75" s="264"/>
      <c r="C75" s="264"/>
      <c r="D75" s="264"/>
      <c r="E75" s="264"/>
      <c r="F75" s="264"/>
      <c r="G75" s="264"/>
      <c r="H75" s="264"/>
      <c r="I75" s="264"/>
      <c r="J75" s="264"/>
      <c r="K75" s="264"/>
    </row>
    <row r="76" spans="1:11" s="118" customFormat="1">
      <c r="A76" s="265" t="s">
        <v>299</v>
      </c>
      <c r="B76" s="266"/>
      <c r="C76" s="266"/>
      <c r="D76" s="266"/>
      <c r="E76" s="266"/>
      <c r="F76" s="266"/>
      <c r="G76" s="266"/>
      <c r="H76" s="266"/>
      <c r="I76" s="266"/>
      <c r="J76" s="266"/>
      <c r="K76" s="266"/>
    </row>
    <row r="77" spans="1:11" s="118" customFormat="1"/>
    <row r="78" spans="1:11" s="118" customFormat="1"/>
    <row r="79" spans="1:11" s="118" customFormat="1"/>
    <row r="80" spans="1:11" s="118" customFormat="1"/>
    <row r="81" s="118" customFormat="1"/>
    <row r="82" s="118" customFormat="1"/>
    <row r="83" s="118" customFormat="1"/>
    <row r="84" s="118" customFormat="1"/>
    <row r="85" s="118" customFormat="1"/>
    <row r="86" s="118" customFormat="1"/>
    <row r="87" s="118" customFormat="1"/>
    <row r="88" s="118" customFormat="1"/>
    <row r="89" s="118" customFormat="1"/>
    <row r="90" s="118" customFormat="1"/>
    <row r="91" s="118" customFormat="1"/>
    <row r="92" s="118" customFormat="1"/>
    <row r="93" s="118" customFormat="1"/>
    <row r="94" s="118" customFormat="1"/>
    <row r="95" s="118" customFormat="1"/>
    <row r="96" s="118" customFormat="1"/>
    <row r="97" s="118" customFormat="1"/>
    <row r="98" s="118" customFormat="1"/>
    <row r="99" s="118" customFormat="1"/>
    <row r="100" s="118" customFormat="1"/>
    <row r="101" s="118" customFormat="1"/>
    <row r="102" s="118" customFormat="1"/>
    <row r="103" s="118" customFormat="1"/>
    <row r="104" s="118" customFormat="1"/>
    <row r="105" s="118" customFormat="1"/>
    <row r="106" s="118" customFormat="1"/>
    <row r="107" s="118" customFormat="1"/>
    <row r="108" s="118" customFormat="1"/>
    <row r="109" s="118" customFormat="1"/>
    <row r="110" s="118" customFormat="1"/>
    <row r="111" s="118" customFormat="1"/>
    <row r="112" s="118" customFormat="1"/>
    <row r="113" s="118" customFormat="1"/>
    <row r="114" s="118" customFormat="1"/>
    <row r="115" s="118" customFormat="1"/>
    <row r="116" s="118" customFormat="1"/>
    <row r="117" s="118" customFormat="1"/>
    <row r="118" s="118" customFormat="1"/>
    <row r="119" s="118" customFormat="1"/>
    <row r="120" s="118" customFormat="1"/>
    <row r="121" s="118" customFormat="1"/>
    <row r="122" s="118" customFormat="1"/>
  </sheetData>
  <mergeCells count="11">
    <mergeCell ref="A67:K67"/>
    <mergeCell ref="A62:K62"/>
    <mergeCell ref="A59:K59"/>
    <mergeCell ref="A55:K55"/>
    <mergeCell ref="A1:K1"/>
    <mergeCell ref="A2:K2"/>
    <mergeCell ref="A8:K8"/>
    <mergeCell ref="A50:K50"/>
    <mergeCell ref="A47:K47"/>
    <mergeCell ref="A22:K22"/>
    <mergeCell ref="A39:K39"/>
  </mergeCells>
  <phoneticPr fontId="0" type="noConversion"/>
  <pageMargins left="0" right="0" top="0" bottom="0" header="0" footer="0"/>
  <pageSetup paperSize="5" scale="83" orientation="portrait"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sheetPr codeName="Sheet10">
    <pageSetUpPr fitToPage="1"/>
  </sheetPr>
  <dimension ref="A1:L109"/>
  <sheetViews>
    <sheetView tabSelected="1" workbookViewId="0">
      <pane ySplit="4" topLeftCell="A17" activePane="bottomLeft" state="frozen"/>
      <selection pane="bottomLeft" activeCell="L54" sqref="L54"/>
    </sheetView>
  </sheetViews>
  <sheetFormatPr defaultRowHeight="12.75"/>
  <cols>
    <col min="1" max="1" width="31.7109375" customWidth="1"/>
    <col min="2" max="2" width="6" customWidth="1"/>
    <col min="3" max="11" width="9.7109375" customWidth="1"/>
  </cols>
  <sheetData>
    <row r="1" spans="1:12" s="6" customFormat="1" ht="15.75">
      <c r="A1" s="902" t="s">
        <v>283</v>
      </c>
      <c r="B1" s="902"/>
      <c r="C1" s="902"/>
      <c r="D1" s="902"/>
      <c r="E1" s="902"/>
      <c r="F1" s="902"/>
      <c r="G1" s="902"/>
      <c r="H1" s="902"/>
      <c r="I1" s="902"/>
      <c r="J1" s="902"/>
      <c r="K1" s="902"/>
    </row>
    <row r="2" spans="1:12" s="7" customFormat="1" ht="12" customHeight="1" thickBot="1">
      <c r="A2" s="127"/>
      <c r="B2" s="127"/>
      <c r="C2" s="127"/>
      <c r="D2" s="127"/>
      <c r="E2" s="128" t="s">
        <v>271</v>
      </c>
      <c r="F2" s="644">
        <v>40908</v>
      </c>
      <c r="G2" s="129"/>
      <c r="H2" s="130"/>
      <c r="I2" s="130"/>
      <c r="J2" s="130"/>
      <c r="K2" s="131"/>
    </row>
    <row r="3" spans="1:12" s="17" customFormat="1" ht="12" customHeight="1">
      <c r="A3" s="132"/>
      <c r="B3" s="133"/>
      <c r="C3" s="134" t="str">
        <f t="shared" ref="C3:K3" si="0">CHOOSE(WEEKDAY(C4,2),"Monday","Tuesday","Wednesday","Thursday","Friday","Saturday","Sunday")</f>
        <v>Friday</v>
      </c>
      <c r="D3" s="134" t="str">
        <f t="shared" si="0"/>
        <v>Saturday</v>
      </c>
      <c r="E3" s="134" t="str">
        <f t="shared" si="0"/>
        <v>Sunday</v>
      </c>
      <c r="F3" s="134" t="str">
        <f>CHOOSE(WEEKDAY(F4,2),"Monday","Tuesday","Wednesday","Thursday","Friday","Saturday","Sunday")</f>
        <v>Monday</v>
      </c>
      <c r="G3" s="134" t="str">
        <f t="shared" si="0"/>
        <v>Tuesday</v>
      </c>
      <c r="H3" s="134" t="str">
        <f t="shared" si="0"/>
        <v>Wednesday</v>
      </c>
      <c r="I3" s="134" t="str">
        <f t="shared" si="0"/>
        <v>Thursday</v>
      </c>
      <c r="J3" s="134" t="str">
        <f t="shared" si="0"/>
        <v>Friday</v>
      </c>
      <c r="K3" s="135" t="str">
        <f t="shared" si="0"/>
        <v>Saturday</v>
      </c>
    </row>
    <row r="4" spans="1:12" s="17" customFormat="1" ht="12" customHeight="1" thickBot="1">
      <c r="A4" s="136"/>
      <c r="B4" s="137"/>
      <c r="C4" s="138">
        <f>D4-1</f>
        <v>40900</v>
      </c>
      <c r="D4" s="138">
        <f>E4-1</f>
        <v>40901</v>
      </c>
      <c r="E4" s="138">
        <f t="shared" ref="E4:J4" si="1">F4-1</f>
        <v>40902</v>
      </c>
      <c r="F4" s="138">
        <f t="shared" si="1"/>
        <v>40903</v>
      </c>
      <c r="G4" s="138">
        <f t="shared" si="1"/>
        <v>40904</v>
      </c>
      <c r="H4" s="138">
        <f t="shared" si="1"/>
        <v>40905</v>
      </c>
      <c r="I4" s="138">
        <f t="shared" si="1"/>
        <v>40906</v>
      </c>
      <c r="J4" s="138">
        <f t="shared" si="1"/>
        <v>40907</v>
      </c>
      <c r="K4" s="139">
        <f>F2</f>
        <v>40908</v>
      </c>
    </row>
    <row r="5" spans="1:12" s="20" customFormat="1" ht="12" customHeight="1" thickBot="1">
      <c r="A5" s="907" t="s">
        <v>120</v>
      </c>
      <c r="B5" s="907"/>
      <c r="C5" s="909"/>
      <c r="D5" s="909"/>
      <c r="E5" s="905"/>
      <c r="F5" s="905"/>
      <c r="G5" s="905"/>
      <c r="H5" s="905"/>
      <c r="I5" s="905"/>
      <c r="J5" s="905"/>
      <c r="K5" s="906"/>
    </row>
    <row r="6" spans="1:12" ht="12" customHeight="1">
      <c r="A6" s="140" t="s">
        <v>23</v>
      </c>
      <c r="B6" s="141" t="s">
        <v>24</v>
      </c>
      <c r="C6" s="43">
        <f>VLOOKUP(C4,Sheet1!$B$8:$IV$895,102,FALSE)</f>
        <v>1075.7</v>
      </c>
      <c r="D6" s="200">
        <f>VLOOKUP(D4,Sheet1!$B$8:$IV$895,102,FALSE)</f>
        <v>1076.0899999999999</v>
      </c>
      <c r="E6" s="200">
        <f>VLOOKUP(E4,Sheet1!$B$8:$IV$895,102,FALSE)</f>
        <v>1077.04</v>
      </c>
      <c r="F6" s="38">
        <f>VLOOKUP(F4,Sheet1!$B$8:$IV$895,102,FALSE)</f>
        <v>1077.1199999999999</v>
      </c>
      <c r="G6" s="38">
        <f>VLOOKUP(G4,Sheet1!$B$8:$IV$895,102,FALSE)</f>
        <v>1077.0999999999999</v>
      </c>
      <c r="H6" s="38">
        <f>VLOOKUP(H4,Sheet1!$B$8:$IV$895,102,FALSE)</f>
        <v>1093.8800000000001</v>
      </c>
      <c r="I6" s="38">
        <f>VLOOKUP(I4,Sheet1!$B$8:$IV$895,102,FALSE)</f>
        <v>1096</v>
      </c>
      <c r="J6" s="38">
        <f>VLOOKUP(J4,Sheet1!$B$8:$IV$895,102,FALSE)</f>
        <v>1099.33</v>
      </c>
      <c r="K6" s="778">
        <f>VLOOKUP(K4,Sheet1!$B$8:$IV$895,102,FALSE)</f>
        <v>1093</v>
      </c>
    </row>
    <row r="7" spans="1:12" ht="12" customHeight="1">
      <c r="A7" s="142" t="s">
        <v>25</v>
      </c>
      <c r="B7" s="143" t="s">
        <v>26</v>
      </c>
      <c r="C7" s="44">
        <f>VLOOKUP(C4,Calculation!$B$8:$IV$881,27,FALSE)</f>
        <v>1854.4000000026354</v>
      </c>
      <c r="D7" s="37">
        <f>VLOOKUP(D4,Calculation!$B$8:$IV$881,27,FALSE)</f>
        <v>1902.3400000027502</v>
      </c>
      <c r="E7" s="37">
        <f>VLOOKUP(E4,Calculation!$B$8:$IV$881,27,FALSE)</f>
        <v>2022.2000000029559</v>
      </c>
      <c r="F7" s="37">
        <f>VLOOKUP(F4,Calculation!$B$8:$IV$881,27,FALSE)</f>
        <v>2032.6000000029558</v>
      </c>
      <c r="G7" s="37">
        <f>VLOOKUP(G4,Calculation!$B$8:$IV$881,27,FALSE)</f>
        <v>2030.0000000029559</v>
      </c>
      <c r="H7" s="37">
        <f>VLOOKUP(H4,Calculation!$B$8:$IV$881,27,FALSE)</f>
        <v>4873.4400000081359</v>
      </c>
      <c r="I7" s="37">
        <f>VLOOKUP(I4,Calculation!$B$8:$IV$881,27,FALSE)</f>
        <v>5345.0000000092841</v>
      </c>
      <c r="J7" s="37">
        <f>VLOOKUP(J4,Calculation!$B$8:$IV$881,27,FALSE)</f>
        <v>6144.1600000108301</v>
      </c>
      <c r="K7" s="197">
        <f>VLOOKUP(K4,Calculation!$B$8:$IV$881,27,FALSE)</f>
        <v>4686.0000000079426</v>
      </c>
    </row>
    <row r="8" spans="1:12" ht="12" customHeight="1">
      <c r="A8" s="142" t="s">
        <v>27</v>
      </c>
      <c r="B8" s="144" t="s">
        <v>26</v>
      </c>
      <c r="C8" s="44">
        <f>VLOOKUP(C4,Calculation!$B$8:$IV$881,28,FALSE)</f>
        <v>28.060000000027912</v>
      </c>
      <c r="D8" s="37">
        <f>VLOOKUP(D4,Calculation!$B$8:$IV$881,28,FALSE)</f>
        <v>47.940000000114878</v>
      </c>
      <c r="E8" s="37">
        <f>VLOOKUP(E4,Calculation!$B$8:$IV$881,28,FALSE)</f>
        <v>119.86000000020567</v>
      </c>
      <c r="F8" s="37">
        <f>VLOOKUP(F4,Calculation!$B$8:$IV$881,28,FALSE)</f>
        <v>10.399999999999864</v>
      </c>
      <c r="G8" s="37">
        <f>VLOOKUP(G4,Calculation!$B$8:$IV$881,28,FALSE)</f>
        <v>-2.5999999999999091</v>
      </c>
      <c r="H8" s="37">
        <f>VLOOKUP(H4,Calculation!$B$8:$IV$881,28,FALSE)</f>
        <v>2843.4400000051801</v>
      </c>
      <c r="I8" s="37">
        <f>VLOOKUP(I4,Calculation!$B$8:$IV$881,28,FALSE)</f>
        <v>471.56000000114818</v>
      </c>
      <c r="J8" s="37">
        <f>VLOOKUP(J4,Calculation!$B$8:$IV$881,28,FALSE)</f>
        <v>799.160000001546</v>
      </c>
      <c r="K8" s="197">
        <f>VLOOKUP(K4,Calculation!$B$8:$IV$881,28,FALSE)</f>
        <v>-1458.1600000028875</v>
      </c>
    </row>
    <row r="9" spans="1:12" ht="12" customHeight="1">
      <c r="A9" s="142" t="s">
        <v>28</v>
      </c>
      <c r="B9" s="143" t="s">
        <v>11</v>
      </c>
      <c r="C9" s="201">
        <f>VLOOKUP(C4,Calculation!$B$8:$IV$881,6,FALSE)</f>
        <v>432.98361069088645</v>
      </c>
      <c r="D9" s="201">
        <f>VLOOKUP(D4,Calculation!$B$8:$IV$881,6,FALSE)</f>
        <v>432.84215834599843</v>
      </c>
      <c r="E9" s="201">
        <f>VLOOKUP(E4,Calculation!$B$8:$IV$881,6,FALSE)</f>
        <v>473.81877206263522</v>
      </c>
      <c r="F9" s="37">
        <f>VLOOKUP(F4,Calculation!$B$8:$IV$881,6,FALSE)</f>
        <v>452.41124558749362</v>
      </c>
      <c r="G9" s="37">
        <f>VLOOKUP(G4,Calculation!$B$8:$IV$881,6,FALSE)</f>
        <v>508.68885526979329</v>
      </c>
      <c r="H9" s="37">
        <f>VLOOKUP(H4,Calculation!$B$8:$IV$881,6,FALSE)</f>
        <v>4129.6998865381638</v>
      </c>
      <c r="I9" s="37">
        <f>VLOOKUP(I4,Calculation!$B$8:$IV$881,6,FALSE)</f>
        <v>5939.0513111453092</v>
      </c>
      <c r="J9" s="37">
        <f>VLOOKUP(J4,Calculation!$B$8:$IV$881,6,FALSE)</f>
        <v>6138.4222138182286</v>
      </c>
      <c r="K9" s="197">
        <f>VLOOKUP(K4,Calculation!$B$8:$IV$881,6,FALSE)</f>
        <v>3695.086359050486</v>
      </c>
    </row>
    <row r="10" spans="1:12" ht="12" customHeight="1">
      <c r="A10" s="142" t="s">
        <v>29</v>
      </c>
      <c r="B10" s="143" t="s">
        <v>11</v>
      </c>
      <c r="C10" s="201">
        <f>VLOOKUP(C4,Sheet1!$B$8:$IV$895,99,FALSE)</f>
        <v>418.83333333333331</v>
      </c>
      <c r="D10" s="201">
        <f>VLOOKUP(D4,Sheet1!$B$8:$IV$895,99,FALSE)</f>
        <v>408.66666666666669</v>
      </c>
      <c r="E10" s="201">
        <f>VLOOKUP(E4,Sheet1!$B$8:$IV$895,99,FALSE)</f>
        <v>413.375</v>
      </c>
      <c r="F10" s="37">
        <f>VLOOKUP(F4,Sheet1!$B$8:$IV$895,99,FALSE)</f>
        <v>447.16666666666669</v>
      </c>
      <c r="G10" s="37">
        <f>VLOOKUP(G4,Sheet1!$B$8:$IV$895,99,FALSE)</f>
        <v>510</v>
      </c>
      <c r="H10" s="37">
        <f>VLOOKUP(H4,Sheet1!$B$8:$IV$895,99,FALSE)</f>
        <v>2695.7916666666665</v>
      </c>
      <c r="I10" s="37">
        <f>VLOOKUP(I4,Sheet1!$B$8:$IV$895,99,FALSE)</f>
        <v>5701.25</v>
      </c>
      <c r="J10" s="37">
        <f>VLOOKUP(J4,Sheet1!$B$8:$IV$895,99,FALSE)</f>
        <v>5735.416666666667</v>
      </c>
      <c r="K10" s="197">
        <f>VLOOKUP(K4,Sheet1!$B$8:$IV$895,99,FALSE)</f>
        <v>4430.416666666667</v>
      </c>
    </row>
    <row r="11" spans="1:12" ht="12" customHeight="1">
      <c r="A11" s="142" t="s">
        <v>30</v>
      </c>
      <c r="B11" s="143" t="s">
        <v>11</v>
      </c>
      <c r="C11" s="201">
        <f>VLOOKUP(C4,Sheet1!$B$8:$IV$895,101,FALSE)</f>
        <v>388.0625</v>
      </c>
      <c r="D11" s="201">
        <f>VLOOKUP(D4,Sheet1!$B$8:$IV$895,101,FALSE)</f>
        <v>375.29166666666669</v>
      </c>
      <c r="E11" s="201">
        <f>VLOOKUP(E4,Sheet1!$B$8:$IV$895,101,FALSE)</f>
        <v>384.76041666666669</v>
      </c>
      <c r="F11" s="37">
        <f>VLOOKUP(F4,Sheet1!$B$8:$IV$895,101,FALSE)</f>
        <v>449.39583333333331</v>
      </c>
      <c r="G11" s="37">
        <f>VLOOKUP(G4,Sheet1!$B$8:$IV$895,101,FALSE)</f>
        <v>624.30208333333337</v>
      </c>
      <c r="H11" s="37">
        <f>VLOOKUP(H4,Sheet1!$B$8:$IV$895,101,FALSE)</f>
        <v>2688.6041666666665</v>
      </c>
      <c r="I11" s="37">
        <f>VLOOKUP(I4,Sheet1!$B$8:$IV$895,101,FALSE)</f>
        <v>6001.5625</v>
      </c>
      <c r="J11" s="37">
        <f>VLOOKUP(J4,Sheet1!$B$8:$IV$895,101,FALSE)</f>
        <v>6217.916666666667</v>
      </c>
      <c r="K11" s="197">
        <f>VLOOKUP(K4,Sheet1!$B$8:$IV$895,101,FALSE)</f>
        <v>5105.833333333333</v>
      </c>
    </row>
    <row r="12" spans="1:12" ht="12" customHeight="1">
      <c r="A12" s="142" t="s">
        <v>31</v>
      </c>
      <c r="B12" s="143" t="s">
        <v>11</v>
      </c>
      <c r="C12" s="201">
        <f>VLOOKUP(C4,Calculation!$B$8:$IV$881,3,FALSE)</f>
        <v>300</v>
      </c>
      <c r="D12" s="201">
        <f>VLOOKUP(D4,Calculation!$B$8:$IV$881,3,FALSE)</f>
        <v>300</v>
      </c>
      <c r="E12" s="201">
        <f>VLOOKUP(E4,Calculation!$B$8:$IV$881,3,FALSE)</f>
        <v>300</v>
      </c>
      <c r="F12" s="37">
        <f>VLOOKUP(F4,Calculation!$B$8:$IV$881,3,FALSE)</f>
        <v>300</v>
      </c>
      <c r="G12" s="37">
        <f>VLOOKUP(G4,Calculation!$B$8:$IV$881,3,FALSE)</f>
        <v>300</v>
      </c>
      <c r="H12" s="37">
        <f>VLOOKUP(H4,Calculation!$B$8:$IV$881,3,FALSE)</f>
        <v>300</v>
      </c>
      <c r="I12" s="37">
        <f>VLOOKUP(I4,Calculation!$B$8:$IV$881,3,FALSE)</f>
        <v>300</v>
      </c>
      <c r="J12" s="37">
        <f>VLOOKUP(J4,Calculation!$B$8:$IV$881,3,FALSE)</f>
        <v>300</v>
      </c>
      <c r="K12" s="197">
        <f>VLOOKUP(K4,Calculation!$B$8:$IV$881,3,FALSE)</f>
        <v>300</v>
      </c>
    </row>
    <row r="13" spans="1:12" ht="12" customHeight="1">
      <c r="A13" s="142" t="s">
        <v>32</v>
      </c>
      <c r="B13" s="143" t="s">
        <v>11</v>
      </c>
      <c r="C13" s="201">
        <f>VLOOKUP(C4,Sheet1!$B$8:$IV$895,100,FALSE)</f>
        <v>619.08333333333337</v>
      </c>
      <c r="D13" s="201">
        <f>VLOOKUP(D4,Sheet1!$B$8:$IV$895,100,FALSE)</f>
        <v>589.19791666666663</v>
      </c>
      <c r="E13" s="201">
        <f>VLOOKUP(E4,Sheet1!$B$8:$IV$895,100,FALSE)</f>
        <v>589.77083333333337</v>
      </c>
      <c r="F13" s="37">
        <f>VLOOKUP(F4,Sheet1!$B$8:$IV$895,100,FALSE)</f>
        <v>629.45833333333337</v>
      </c>
      <c r="G13" s="37">
        <f>VLOOKUP(G4,Sheet1!$B$8:$IV$895,100,FALSE)</f>
        <v>734.76041666666663</v>
      </c>
      <c r="H13" s="37">
        <f>VLOOKUP(H4,Sheet1!$B$8:$IV$895,100,FALSE)</f>
        <v>1925.59375</v>
      </c>
      <c r="I13" s="37">
        <f>VLOOKUP(I4,Sheet1!$B$8:$IV$895,100,FALSE)</f>
        <v>6053.541666666667</v>
      </c>
      <c r="J13" s="37">
        <f>VLOOKUP(J4,Sheet1!$B$8:$IV$895,100,FALSE)</f>
        <v>7061.458333333333</v>
      </c>
      <c r="K13" s="197">
        <f>VLOOKUP(K4,Sheet1!$B$8:$IV$895,100,FALSE)</f>
        <v>5954.166666666667</v>
      </c>
    </row>
    <row r="14" spans="1:12" ht="12" customHeight="1">
      <c r="A14" s="142" t="s">
        <v>33</v>
      </c>
      <c r="B14" s="143" t="s">
        <v>11</v>
      </c>
      <c r="C14" s="201">
        <f>VLOOKUP(C4,Calculation!$B$8:$IV$881,4,FALSE)</f>
        <v>250</v>
      </c>
      <c r="D14" s="201">
        <f>VLOOKUP(D4,Calculation!$B$8:$IV$881,4,FALSE)</f>
        <v>250</v>
      </c>
      <c r="E14" s="201">
        <f>VLOOKUP(E4,Calculation!$B$8:$IV$881,4,FALSE)</f>
        <v>250</v>
      </c>
      <c r="F14" s="37">
        <f>VLOOKUP(F4,Calculation!$B$8:$IV$881,4,FALSE)</f>
        <v>250</v>
      </c>
      <c r="G14" s="37">
        <f>VLOOKUP(G4,Calculation!$B$8:$IV$881,4,FALSE)</f>
        <v>250</v>
      </c>
      <c r="H14" s="37">
        <f>VLOOKUP(H4,Calculation!$B$8:$IV$881,4,FALSE)</f>
        <v>250</v>
      </c>
      <c r="I14" s="37">
        <f>VLOOKUP(I4,Calculation!$B$8:$IV$881,4,FALSE)</f>
        <v>250</v>
      </c>
      <c r="J14" s="37">
        <f>VLOOKUP(J4,Calculation!$B$8:$IV$881,4,FALSE)</f>
        <v>250</v>
      </c>
      <c r="K14" s="197">
        <f>VLOOKUP(K4,Calculation!$B$8:$IV$881,4,FALSE)</f>
        <v>250</v>
      </c>
    </row>
    <row r="15" spans="1:12" ht="12" customHeight="1">
      <c r="A15" s="142" t="s">
        <v>34</v>
      </c>
      <c r="B15" s="143" t="s">
        <v>11</v>
      </c>
      <c r="C15" s="201">
        <f>VLOOKUP(C4,Calculation!$B$8:$IV$881,5,FALSE)</f>
        <v>250</v>
      </c>
      <c r="D15" s="201">
        <f>VLOOKUP(D4,Calculation!$B$8:$IV$881,5,FALSE)</f>
        <v>250</v>
      </c>
      <c r="E15" s="201">
        <f>VLOOKUP(E4,Calculation!$B$8:$IV$881,5,FALSE)</f>
        <v>250</v>
      </c>
      <c r="F15" s="37">
        <f>VLOOKUP(F4,Calculation!$B$8:$IV$881,5,FALSE)</f>
        <v>250</v>
      </c>
      <c r="G15" s="37">
        <f>VLOOKUP(G4,Calculation!$B$8:$IV$881,5,FALSE)</f>
        <v>250</v>
      </c>
      <c r="H15" s="37">
        <f>VLOOKUP(H4,Calculation!$B$8:$IV$881,5,FALSE)</f>
        <v>250</v>
      </c>
      <c r="I15" s="37">
        <f>VLOOKUP(I4,Calculation!$B$8:$IV$881,5,FALSE)</f>
        <v>250</v>
      </c>
      <c r="J15" s="37">
        <f>VLOOKUP(J4,Calculation!$B$8:$IV$881,5,FALSE)</f>
        <v>250</v>
      </c>
      <c r="K15" s="197">
        <f>VLOOKUP(K4,Calculation!$B$8:$IV$881,5,FALSE)</f>
        <v>250</v>
      </c>
    </row>
    <row r="16" spans="1:12" ht="12" customHeight="1">
      <c r="A16" s="142" t="s">
        <v>122</v>
      </c>
      <c r="B16" s="143" t="s">
        <v>11</v>
      </c>
      <c r="C16" s="201">
        <f>VLOOKUP(C4,Calculation!$B$8:$IV$881,18,FALSE)</f>
        <v>45.048639999999999</v>
      </c>
      <c r="D16" s="201">
        <f>VLOOKUP(D4,Calculation!$B$8:$IV$881,18,FALSE)</f>
        <v>44.182319999999997</v>
      </c>
      <c r="E16" s="201">
        <f>VLOOKUP(E4,Calculation!$B$8:$IV$881,18,FALSE)</f>
        <v>44.677359999999993</v>
      </c>
      <c r="F16" s="37">
        <f>VLOOKUP(F4,Calculation!$B$8:$IV$881,18,FALSE)</f>
        <v>44.816589999999998</v>
      </c>
      <c r="G16" s="37">
        <f>VLOOKUP(G4,Calculation!$B$8:$IV$881,18,FALSE)</f>
        <v>44.677359999999993</v>
      </c>
      <c r="H16" s="37">
        <f>VLOOKUP(H4,Calculation!$B$8:$IV$881,18,FALSE)</f>
        <v>45.002229999999997</v>
      </c>
      <c r="I16" s="37">
        <f>VLOOKUP(I4,Calculation!$B$8:$IV$881,18,FALSE)</f>
        <v>39.726959999999998</v>
      </c>
      <c r="J16" s="37">
        <f>VLOOKUP(J4,Calculation!$B$8:$IV$881,18,FALSE)</f>
        <v>41.103789999999996</v>
      </c>
      <c r="K16" s="863">
        <f>VLOOKUP(K4,Calculation!$B$8:$IV$881,18,FALSE)</f>
        <v>38.442950000000003</v>
      </c>
      <c r="L16" s="876"/>
    </row>
    <row r="17" spans="1:12" ht="12" customHeight="1">
      <c r="A17" s="142" t="s">
        <v>122</v>
      </c>
      <c r="B17" s="143" t="s">
        <v>35</v>
      </c>
      <c r="C17" s="201">
        <f>VLOOKUP(C4,Sheet1!$B$8:$IV$895,24,FALSE)</f>
        <v>29.12</v>
      </c>
      <c r="D17" s="201">
        <f>VLOOKUP(D4,Sheet1!$B$8:$IV$895,24,FALSE)</f>
        <v>28.56</v>
      </c>
      <c r="E17" s="201">
        <f>VLOOKUP(E4,Sheet1!$B$8:$IV$895,24,FALSE)</f>
        <v>28.88</v>
      </c>
      <c r="F17" s="37">
        <f>VLOOKUP(F4,Sheet1!$B$8:$IV$895,24,FALSE)</f>
        <v>28.97</v>
      </c>
      <c r="G17" s="37">
        <f>VLOOKUP(G4,Sheet1!$B$8:$IV$895,24,FALSE)</f>
        <v>28.88</v>
      </c>
      <c r="H17" s="37">
        <f>VLOOKUP(H4,Sheet1!$B$8:$IV$895,24,FALSE)</f>
        <v>29.09</v>
      </c>
      <c r="I17" s="37">
        <f>VLOOKUP(I4,Sheet1!$B$8:$IV$895,24,FALSE)</f>
        <v>25.68</v>
      </c>
      <c r="J17" s="37">
        <f>VLOOKUP(J4,Sheet1!$B$8:$IV$895,24,FALSE)</f>
        <v>26.57</v>
      </c>
      <c r="K17" s="863">
        <f>VLOOKUP(K4,Sheet1!$B$8:$IV$895,24,FALSE)</f>
        <v>24.85</v>
      </c>
      <c r="L17" s="876"/>
    </row>
    <row r="18" spans="1:12" ht="12" customHeight="1">
      <c r="A18" s="142" t="s">
        <v>123</v>
      </c>
      <c r="B18" s="143" t="s">
        <v>11</v>
      </c>
      <c r="C18" s="201">
        <f>VLOOKUP(C4,Calculation!$B$8:$IV$881,19,FALSE)</f>
        <v>38.520299999999999</v>
      </c>
      <c r="D18" s="201">
        <f>VLOOKUP(D4,Calculation!$B$8:$IV$881,19,FALSE)</f>
        <v>37.019709999999996</v>
      </c>
      <c r="E18" s="201">
        <f>VLOOKUP(E4,Calculation!$B$8:$IV$881,19,FALSE)</f>
        <v>36.617490000000004</v>
      </c>
      <c r="F18" s="37">
        <f>VLOOKUP(F4,Calculation!$B$8:$IV$881,19,FALSE)</f>
        <v>37.205350000000003</v>
      </c>
      <c r="G18" s="37">
        <f>VLOOKUP(G4,Calculation!$B$8:$IV$881,19,FALSE)</f>
        <v>37.267229999999998</v>
      </c>
      <c r="H18" s="37">
        <f>VLOOKUP(H4,Calculation!$B$8:$IV$881,19,FALSE)</f>
        <v>30.615129999999997</v>
      </c>
      <c r="I18" s="37">
        <f>VLOOKUP(I4,Calculation!$B$8:$IV$881,19,FALSE)</f>
        <v>21.62706</v>
      </c>
      <c r="J18" s="37">
        <f>VLOOKUP(J4,Calculation!$B$8:$IV$881,19,FALSE)</f>
        <v>21.30219</v>
      </c>
      <c r="K18" s="863">
        <f>VLOOKUP(K4,Calculation!$B$8:$IV$881,19,FALSE)</f>
        <v>20.064589999999999</v>
      </c>
      <c r="L18" s="876"/>
    </row>
    <row r="19" spans="1:12" ht="12" customHeight="1">
      <c r="A19" s="147" t="s">
        <v>123</v>
      </c>
      <c r="B19" s="144" t="s">
        <v>35</v>
      </c>
      <c r="C19" s="201">
        <f>VLOOKUP(C4,Sheet1!$B$8:$IV$895,25,FALSE)</f>
        <v>24.9</v>
      </c>
      <c r="D19" s="201">
        <f>VLOOKUP(D4,Sheet1!$B$8:$IV$895,25,FALSE)</f>
        <v>23.93</v>
      </c>
      <c r="E19" s="201">
        <f>VLOOKUP(E4,Sheet1!$B$8:$IV$895,25,FALSE)</f>
        <v>23.67</v>
      </c>
      <c r="F19" s="37">
        <f>VLOOKUP(F4,Sheet1!$B$8:$IV$895,25,FALSE)</f>
        <v>24.05</v>
      </c>
      <c r="G19" s="37">
        <f>VLOOKUP(G4,Sheet1!$B$8:$IV$895,25,FALSE)</f>
        <v>24.09</v>
      </c>
      <c r="H19" s="37">
        <f>VLOOKUP(H4,Sheet1!$B$8:$IV$895,25,FALSE)</f>
        <v>19.79</v>
      </c>
      <c r="I19" s="37">
        <f>VLOOKUP(I4,Sheet1!$B$8:$IV$895,25,FALSE)</f>
        <v>13.98</v>
      </c>
      <c r="J19" s="37">
        <f>VLOOKUP(J4,Sheet1!$B$8:$IV$895,25,FALSE)</f>
        <v>13.77</v>
      </c>
      <c r="K19" s="863">
        <f>VLOOKUP(K4,Sheet1!$B$8:$IV$895,25,FALSE)</f>
        <v>12.97</v>
      </c>
      <c r="L19" s="876"/>
    </row>
    <row r="20" spans="1:12" ht="12" customHeight="1">
      <c r="A20" s="142" t="s">
        <v>121</v>
      </c>
      <c r="B20" s="143" t="s">
        <v>35</v>
      </c>
      <c r="C20" s="201">
        <f>VLOOKUP(C4,Calculation!$B$8:$IV$881,10,FALSE)</f>
        <v>12.917405950589002</v>
      </c>
      <c r="D20" s="201">
        <f>VLOOKUP(D4,Calculation!$B$8:$IV$881,10,FALSE)</f>
        <v>12.825971154853383</v>
      </c>
      <c r="E20" s="201">
        <f>VLOOKUP(E4,Calculation!$B$8:$IV$881,10,FALSE)</f>
        <v>39.313254261287405</v>
      </c>
      <c r="F20" s="37">
        <f>VLOOKUP(F4,Calculation!$B$8:$IV$881,10,FALSE)</f>
        <v>25.475429147755879</v>
      </c>
      <c r="G20" s="37">
        <f>VLOOKUP(G4,Calculation!$B$8:$IV$881,10,FALSE)</f>
        <v>61.853276046394384</v>
      </c>
      <c r="H20" s="37">
        <f>VLOOKUP(H4,Calculation!$B$8:$IV$881,10,FALSE)</f>
        <v>64.64</v>
      </c>
      <c r="I20" s="37">
        <f>VLOOKUP(I4,Calculation!$B$8:$IV$881,10,FALSE)</f>
        <v>64.64</v>
      </c>
      <c r="J20" s="37">
        <f>VLOOKUP(J4,Calculation!$B$8:$IV$881,10,FALSE)</f>
        <v>64.64</v>
      </c>
      <c r="K20" s="863">
        <f>VLOOKUP(K4,Calculation!$B$8:$IV$881,10,FALSE)</f>
        <v>64.64</v>
      </c>
      <c r="L20" s="876"/>
    </row>
    <row r="21" spans="1:12" ht="12" customHeight="1" thickBot="1">
      <c r="A21" s="149" t="s">
        <v>36</v>
      </c>
      <c r="B21" s="167" t="s">
        <v>35</v>
      </c>
      <c r="C21" s="202">
        <f>VLOOKUP(C4,Calculation!$B$8:$IV$881,13,FALSE)</f>
        <v>73</v>
      </c>
      <c r="D21" s="202">
        <f>VLOOKUP(D4,Calculation!$B$8:$IV$881,13,FALSE)</f>
        <v>73</v>
      </c>
      <c r="E21" s="202">
        <f>VLOOKUP(E4,Calculation!$B$8:$IV$881,13,FALSE)</f>
        <v>73</v>
      </c>
      <c r="F21" s="40">
        <f>VLOOKUP(F4,Calculation!$B$8:$IV$881,13,FALSE)</f>
        <v>73</v>
      </c>
      <c r="G21" s="40">
        <f>VLOOKUP(G4,Calculation!$B$8:$IV$881,13,FALSE)</f>
        <v>73</v>
      </c>
      <c r="H21" s="40">
        <f>VLOOKUP(H4,Calculation!$B$8:$IV$881,13,FALSE)</f>
        <v>73</v>
      </c>
      <c r="I21" s="40">
        <f>VLOOKUP(I4,Calculation!$B$8:$IV$881,13,FALSE)</f>
        <v>73</v>
      </c>
      <c r="J21" s="40">
        <f>VLOOKUP(J4,Calculation!$B$8:$IV$881,13,FALSE)</f>
        <v>73</v>
      </c>
      <c r="K21" s="774">
        <f>VLOOKUP(K4,Calculation!$B$8:$IV$881,13,FALSE)</f>
        <v>73</v>
      </c>
    </row>
    <row r="22" spans="1:12" ht="12" customHeight="1" thickBot="1">
      <c r="A22" s="903" t="s">
        <v>119</v>
      </c>
      <c r="B22" s="904"/>
      <c r="C22" s="904"/>
      <c r="D22" s="904"/>
      <c r="E22" s="904"/>
      <c r="F22" s="904"/>
      <c r="G22" s="904"/>
      <c r="H22" s="904"/>
      <c r="I22" s="904"/>
      <c r="J22" s="904"/>
      <c r="K22" s="908"/>
    </row>
    <row r="23" spans="1:12" ht="12" customHeight="1">
      <c r="A23" s="150" t="s">
        <v>129</v>
      </c>
      <c r="B23" s="151" t="s">
        <v>13</v>
      </c>
      <c r="C23" s="203">
        <f>VLOOKUP(C4,Calculation!$B$8:$IV$881,14,FALSE)</f>
        <v>52.060000000004948</v>
      </c>
      <c r="D23" s="38">
        <f>VLOOKUP(D4,Calculation!$B$8:$IV$881,14,FALSE)</f>
        <v>53.449999999991846</v>
      </c>
      <c r="E23" s="200">
        <f>VLOOKUP(E4,Calculation!$B$8:$IV$881,14,FALSE)</f>
        <v>52.700000000011642</v>
      </c>
      <c r="F23" s="38">
        <f>VLOOKUP(F4,Calculation!$B$8:$IV$881,14,FALSE)</f>
        <v>53.27999999999156</v>
      </c>
      <c r="G23" s="38">
        <f>VLOOKUP(G4,Calculation!$B$8:$IV$881,14,FALSE)</f>
        <v>50.7</v>
      </c>
      <c r="H23" s="38">
        <f>VLOOKUP(H4,Calculation!$B$8:$IV$881,14,FALSE)</f>
        <v>44.22000000000844</v>
      </c>
      <c r="I23" s="38">
        <f>VLOOKUP(I4,Calculation!$B$8:$IV$881,14,FALSE)</f>
        <v>41.189999999991272</v>
      </c>
      <c r="J23" s="38">
        <f>VLOOKUP(J4,Calculation!$B$8:$IV$881,14,FALSE)</f>
        <v>40.980000000003201</v>
      </c>
      <c r="K23" s="866">
        <f>VLOOKUP(K4,Calculation!$B$8:$IV$881,14,FALSE)</f>
        <v>38</v>
      </c>
    </row>
    <row r="24" spans="1:12" ht="12" customHeight="1">
      <c r="A24" s="21" t="s">
        <v>714</v>
      </c>
      <c r="B24" s="145" t="s">
        <v>13</v>
      </c>
      <c r="C24" s="146">
        <f>VLOOKUP(C4,Calculation!$B$8:$IV$881,16,FALSE)</f>
        <v>43.588451882850237</v>
      </c>
      <c r="D24" s="37">
        <f>VLOOKUP(D4,Calculation!$B$8:$IV$881,16,FALSE)</f>
        <v>44.824043532850787</v>
      </c>
      <c r="E24" s="201">
        <f>VLOOKUP(E4,Calculation!$B$8:$IV$881,16,FALSE)</f>
        <v>43.479470198686009</v>
      </c>
      <c r="F24" s="201">
        <f>VLOOKUP(F4,Calculation!$B$8:$IV$881,16,FALSE)</f>
        <v>45.665942331793481</v>
      </c>
      <c r="G24" s="201">
        <f>VLOOKUP(G4,Calculation!$B$8:$IV$881,16,FALSE)</f>
        <v>42.166743862899487</v>
      </c>
      <c r="H24" s="201">
        <f>VLOOKUP(H4,Calculation!$B$8:$IV$881,16,FALSE)</f>
        <v>41.645070422543249</v>
      </c>
      <c r="I24" s="201">
        <f>VLOOKUP(I4,Calculation!$B$8:$IV$881,16,FALSE)</f>
        <v>41.189999999991272</v>
      </c>
      <c r="J24" s="201">
        <f>VLOOKUP(J4,Calculation!$B$8:$IV$881,16,FALSE)</f>
        <v>40.980000000003201</v>
      </c>
      <c r="K24" s="863">
        <f>VLOOKUP(K4,Calculation!$B$8:$IV$881,16,FALSE)</f>
        <v>38</v>
      </c>
    </row>
    <row r="25" spans="1:12" ht="12" customHeight="1">
      <c r="A25" s="21" t="s">
        <v>715</v>
      </c>
      <c r="B25" s="145" t="s">
        <v>13</v>
      </c>
      <c r="C25" s="146">
        <f>VLOOKUP(C4,Calculation!$B$8:$IV$881,121,FALSE)</f>
        <v>8.4715481171547093</v>
      </c>
      <c r="D25" s="37">
        <f>VLOOKUP(D4,Calculation!$B$8:$IV$881,121,FALSE)</f>
        <v>8.6259564671410622</v>
      </c>
      <c r="E25" s="201">
        <f>VLOOKUP(E4,Calculation!$B$8:$IV$881,121,FALSE)</f>
        <v>9.2205298013256307</v>
      </c>
      <c r="F25" s="201">
        <f>VLOOKUP(F4,Calculation!$B$8:$IV$881,121,FALSE)</f>
        <v>7.6140576681980781</v>
      </c>
      <c r="G25" s="201">
        <f>VLOOKUP(G4,Calculation!$B$8:$IV$881,121,FALSE)</f>
        <v>8.5332561371005085</v>
      </c>
      <c r="H25" s="201">
        <f>VLOOKUP(H4,Calculation!$B$8:$IV$881,121,FALSE)</f>
        <v>2.5749295774651948</v>
      </c>
      <c r="I25" s="201">
        <f>VLOOKUP(I4,Calculation!$B$8:$IV$881,121,FALSE)</f>
        <v>0</v>
      </c>
      <c r="J25" s="201">
        <f>VLOOKUP(J4,Calculation!$B$8:$IV$881,121,FALSE)</f>
        <v>0</v>
      </c>
      <c r="K25" s="197">
        <f>VLOOKUP(K4,Calculation!$B$8:$IV$881,121,FALSE)</f>
        <v>0</v>
      </c>
      <c r="L25" s="876"/>
    </row>
    <row r="26" spans="1:12" ht="12" customHeight="1">
      <c r="A26" s="260" t="s">
        <v>763</v>
      </c>
      <c r="B26" s="148" t="s">
        <v>13</v>
      </c>
      <c r="C26" s="146">
        <f>VLOOKUP(C4,Calculation!$B$8:$IV$881,127,FALSE)</f>
        <v>3.797093891755456</v>
      </c>
      <c r="D26" s="37">
        <f>VLOOKUP(D4,Calculation!$B$8:$IV$881,127,FALSE)</f>
        <v>4.0834784937606026</v>
      </c>
      <c r="E26" s="201">
        <f>VLOOKUP(E4,Calculation!$B$8:$IV$881,127,FALSE)</f>
        <v>0</v>
      </c>
      <c r="F26" s="201">
        <f>VLOOKUP(F4,Calculation!$B$8:$IV$881,127,FALSE)</f>
        <v>0.66468085557283008</v>
      </c>
      <c r="G26" s="201">
        <f>VLOOKUP(G4,Calculation!$B$8:$IV$881,127,FALSE)</f>
        <v>0</v>
      </c>
      <c r="H26" s="201">
        <f>VLOOKUP(H4,Calculation!$B$8:$IV$881,127,FALSE)</f>
        <v>0</v>
      </c>
      <c r="I26" s="201">
        <f>VLOOKUP(I4,Calculation!$B$8:$IV$881,127,FALSE)</f>
        <v>0</v>
      </c>
      <c r="J26" s="201">
        <f>VLOOKUP(J4,Calculation!$B$8:$IV$881,127,FALSE)</f>
        <v>0</v>
      </c>
      <c r="K26" s="197">
        <f>VLOOKUP(K4,Calculation!$B$8:$IV$881,127,FALSE)</f>
        <v>0</v>
      </c>
      <c r="L26" s="876"/>
    </row>
    <row r="27" spans="1:12" ht="12" customHeight="1">
      <c r="A27" s="142" t="s">
        <v>122</v>
      </c>
      <c r="B27" s="145" t="s">
        <v>13</v>
      </c>
      <c r="C27" s="146">
        <f>VLOOKUP(C4,Sheet1!$B$8:$IV$895,26,FALSE)</f>
        <v>28.240000000005239</v>
      </c>
      <c r="D27" s="37">
        <f>VLOOKUP(D4,Sheet1!$B$8:$IV$895,26,FALSE)</f>
        <v>29.459999999991851</v>
      </c>
      <c r="E27" s="201">
        <f>VLOOKUP(E4,Sheet1!$B$8:$IV$895,26,FALSE)</f>
        <v>28.900000000008731</v>
      </c>
      <c r="F27" s="37">
        <f>VLOOKUP(F4,Sheet1!$B$8:$IV$895,26,FALSE)</f>
        <v>29.399999999994179</v>
      </c>
      <c r="G27" s="37">
        <f>VLOOKUP(G4,Sheet1!$B$8:$IV$895,26,FALSE)</f>
        <v>29</v>
      </c>
      <c r="H27" s="37">
        <f>VLOOKUP(H4,Sheet1!$B$8:$IV$895,26,FALSE)</f>
        <v>27.600000000005821</v>
      </c>
      <c r="I27" s="37">
        <f>VLOOKUP(I4,Sheet1!$B$8:$IV$895,26,FALSE)</f>
        <v>27.099999999991269</v>
      </c>
      <c r="J27" s="37">
        <f>VLOOKUP(J4,Sheet1!$B$8:$IV$895,26,FALSE)</f>
        <v>24.30000000000291</v>
      </c>
      <c r="K27" s="863">
        <f>VLOOKUP(K4,Sheet1!$B$8:$IV$895,26,FALSE)</f>
        <v>25</v>
      </c>
    </row>
    <row r="28" spans="1:12" ht="12" customHeight="1">
      <c r="A28" s="142" t="s">
        <v>122</v>
      </c>
      <c r="B28" s="145" t="s">
        <v>38</v>
      </c>
      <c r="C28" s="146">
        <f>VLOOKUP(C4,Calculation!$B$8:$IV$881,20,FALSE)</f>
        <v>43.687280000008101</v>
      </c>
      <c r="D28" s="37">
        <f>VLOOKUP(D4,Calculation!$B$8:$IV$881,20,FALSE)</f>
        <v>45.574619999987391</v>
      </c>
      <c r="E28" s="201">
        <f>VLOOKUP(E4,Calculation!$B$8:$IV$881,20,FALSE)</f>
        <v>44.708300000013502</v>
      </c>
      <c r="F28" s="37">
        <f>VLOOKUP(F4,Calculation!$B$8:$IV$881,20,FALSE)</f>
        <v>45.48179999999099</v>
      </c>
      <c r="G28" s="37">
        <f>VLOOKUP(G4,Calculation!$B$8:$IV$881,20,FALSE)</f>
        <v>44.863</v>
      </c>
      <c r="H28" s="37">
        <f>VLOOKUP(H4,Calculation!$B$8:$IV$881,20,FALSE)</f>
        <v>42.697200000009005</v>
      </c>
      <c r="I28" s="37">
        <f>VLOOKUP(I4,Calculation!$B$8:$IV$881,20,FALSE)</f>
        <v>41.923699999986489</v>
      </c>
      <c r="J28" s="37">
        <f>VLOOKUP(J4,Calculation!$B$8:$IV$881,20,FALSE)</f>
        <v>37.5921000000045</v>
      </c>
      <c r="K28" s="863">
        <f>VLOOKUP(K4,Calculation!$B$8:$IV$881,20,FALSE)</f>
        <v>38.674999999999997</v>
      </c>
    </row>
    <row r="29" spans="1:12" ht="12" customHeight="1">
      <c r="A29" s="142" t="s">
        <v>123</v>
      </c>
      <c r="B29" s="145" t="s">
        <v>13</v>
      </c>
      <c r="C29" s="146">
        <f>VLOOKUP(C4,Sheet1!$B$8:$IV$895,27,FALSE)</f>
        <v>23.819999999999709</v>
      </c>
      <c r="D29" s="37">
        <f>VLOOKUP(D4,Sheet1!$B$8:$IV$895,27,FALSE)</f>
        <v>23.99</v>
      </c>
      <c r="E29" s="201">
        <f>VLOOKUP(E4,Sheet1!$B$8:$IV$895,27,FALSE)</f>
        <v>23.80000000000291</v>
      </c>
      <c r="F29" s="37">
        <f>VLOOKUP(F4,Sheet1!$B$8:$IV$895,27,FALSE)</f>
        <v>23.879999999997381</v>
      </c>
      <c r="G29" s="37">
        <f>VLOOKUP(G4,Sheet1!$B$8:$IV$895,27,FALSE)</f>
        <v>21.7</v>
      </c>
      <c r="H29" s="37">
        <f>VLOOKUP(H4,Sheet1!$B$8:$IV$895,27,FALSE)</f>
        <v>16.620000000002619</v>
      </c>
      <c r="I29" s="37">
        <f>VLOOKUP(I4,Sheet1!$B$8:$IV$895,27,FALSE)</f>
        <v>14.09</v>
      </c>
      <c r="J29" s="37">
        <f>VLOOKUP(J4,Sheet1!$B$8:$IV$895,27,FALSE)</f>
        <v>16.680000000000291</v>
      </c>
      <c r="K29" s="863">
        <f>VLOOKUP(K4,Sheet1!$B$8:$IV$895,27,FALSE)</f>
        <v>13</v>
      </c>
    </row>
    <row r="30" spans="1:12" ht="12" customHeight="1">
      <c r="A30" s="142" t="s">
        <v>123</v>
      </c>
      <c r="B30" s="145" t="s">
        <v>38</v>
      </c>
      <c r="C30" s="146">
        <f>VLOOKUP(C4,Calculation!$B$8:$IV$881,21,FALSE)</f>
        <v>36.84953999999955</v>
      </c>
      <c r="D30" s="37">
        <f>VLOOKUP(D4,Calculation!$B$8:$IV$881,21,FALSE)</f>
        <v>37.112529999999992</v>
      </c>
      <c r="E30" s="201">
        <f>VLOOKUP(E4,Calculation!$B$8:$IV$881,21,FALSE)</f>
        <v>36.818600000004501</v>
      </c>
      <c r="F30" s="37">
        <f>VLOOKUP(F4,Calculation!$B$8:$IV$881,21,FALSE)</f>
        <v>36.942359999995944</v>
      </c>
      <c r="G30" s="37">
        <f>VLOOKUP(G4,Calculation!$B$8:$IV$881,21,FALSE)</f>
        <v>33.569899999999997</v>
      </c>
      <c r="H30" s="37">
        <f>VLOOKUP(H4,Calculation!$B$8:$IV$881,21,FALSE)</f>
        <v>25.71114000000405</v>
      </c>
      <c r="I30" s="37">
        <f>VLOOKUP(I4,Calculation!$B$8:$IV$881,21,FALSE)</f>
        <v>21.797229999999999</v>
      </c>
      <c r="J30" s="37">
        <f>VLOOKUP(J4,Calculation!$B$8:$IV$881,21,FALSE)</f>
        <v>25.803960000000448</v>
      </c>
      <c r="K30" s="863">
        <f>VLOOKUP(K4,Calculation!$B$8:$IV$881,21,FALSE)</f>
        <v>20.111000000000001</v>
      </c>
    </row>
    <row r="31" spans="1:12" ht="12" customHeight="1">
      <c r="A31" s="142" t="s">
        <v>124</v>
      </c>
      <c r="B31" s="145" t="s">
        <v>13</v>
      </c>
      <c r="C31" s="146">
        <f>VLOOKUP(C4,Sheet1!$B$8:$IV$895,11,FALSE)</f>
        <v>0</v>
      </c>
      <c r="D31" s="37">
        <f>VLOOKUP(D4,Sheet1!$B$8:$IV$895,11,FALSE)</f>
        <v>0</v>
      </c>
      <c r="E31" s="201">
        <f>VLOOKUP(E4,Sheet1!$B$8:$IV$895,11,FALSE)</f>
        <v>0</v>
      </c>
      <c r="F31" s="37">
        <f>VLOOKUP(F4,Sheet1!$B$8:$IV$895,11,FALSE)</f>
        <v>17</v>
      </c>
      <c r="G31" s="37">
        <f>VLOOKUP(G4,Sheet1!$B$8:$IV$895,11,FALSE)</f>
        <v>3</v>
      </c>
      <c r="H31" s="37">
        <f>VLOOKUP(H4,Sheet1!$B$8:$IV$895,11,FALSE)</f>
        <v>45.110000000000582</v>
      </c>
      <c r="I31" s="37">
        <f>VLOOKUP(I4,Sheet1!$B$8:$IV$895,11,FALSE)</f>
        <v>40.889999999999418</v>
      </c>
      <c r="J31" s="37">
        <f>VLOOKUP(J4,Sheet1!$B$8:$IV$895,11,FALSE)</f>
        <v>41</v>
      </c>
      <c r="K31" s="197">
        <f>VLOOKUP(K4,Sheet1!$B$8:$IV$895,11,FALSE)</f>
        <v>39</v>
      </c>
    </row>
    <row r="32" spans="1:12" ht="12" customHeight="1">
      <c r="A32" s="142" t="s">
        <v>124</v>
      </c>
      <c r="B32" s="145" t="s">
        <v>11</v>
      </c>
      <c r="C32" s="146">
        <f>VLOOKUP(C4,Calculation!$B$8:$IV$881,22,FALSE)</f>
        <v>0</v>
      </c>
      <c r="D32" s="37">
        <f>VLOOKUP(D4,Calculation!$B$8:$IV$881,22,FALSE)</f>
        <v>0</v>
      </c>
      <c r="E32" s="201">
        <f>VLOOKUP(E4,Calculation!$B$8:$IV$881,22,FALSE)</f>
        <v>0</v>
      </c>
      <c r="F32" s="37">
        <f>VLOOKUP(F4,Calculation!$B$8:$IV$881,22,FALSE)</f>
        <v>26.298999999999999</v>
      </c>
      <c r="G32" s="37">
        <f>VLOOKUP(G4,Calculation!$B$8:$IV$881,22,FALSE)</f>
        <v>4.641</v>
      </c>
      <c r="H32" s="37">
        <f>VLOOKUP(H4,Calculation!$B$8:$IV$881,22,FALSE)</f>
        <v>69.785170000000903</v>
      </c>
      <c r="I32" s="37">
        <f>VLOOKUP(I4,Calculation!$B$8:$IV$881,22,FALSE)</f>
        <v>63.256829999999098</v>
      </c>
      <c r="J32" s="37">
        <f>VLOOKUP(J4,Calculation!$B$8:$IV$881,22,FALSE)</f>
        <v>63.427</v>
      </c>
      <c r="K32" s="197">
        <f>VLOOKUP(K4,Calculation!$B$8:$IV$881,22,FALSE)</f>
        <v>60.332999999999998</v>
      </c>
    </row>
    <row r="33" spans="1:12" ht="12" customHeight="1">
      <c r="A33" s="233" t="s">
        <v>736</v>
      </c>
      <c r="B33" s="145" t="s">
        <v>13</v>
      </c>
      <c r="C33" s="146">
        <f>VLOOKUP(C4,Calculation!$B$8:$IV$881,23,FALSE)</f>
        <v>3.797093891755456</v>
      </c>
      <c r="D33" s="37">
        <f>VLOOKUP(D4,Calculation!$B$8:$IV$881,23,FALSE)</f>
        <v>4.0834784937606026</v>
      </c>
      <c r="E33" s="201">
        <f>VLOOKUP(E4,Calculation!$B$8:$IV$881,23,FALSE)</f>
        <v>0</v>
      </c>
      <c r="F33" s="37">
        <f>VLOOKUP(F4,Calculation!$B$8:$IV$881,23,FALSE)</f>
        <v>0.66468085557283008</v>
      </c>
      <c r="G33" s="37">
        <f>VLOOKUP(G4,Calculation!$B$8:$IV$881,23,FALSE)</f>
        <v>0</v>
      </c>
      <c r="H33" s="37">
        <f>VLOOKUP(H4,Calculation!$B$8:$IV$881,23,FALSE)</f>
        <v>0</v>
      </c>
      <c r="I33" s="37">
        <f>VLOOKUP(I4,Calculation!$B$8:$IV$881,23,FALSE)</f>
        <v>0</v>
      </c>
      <c r="J33" s="37">
        <f>VLOOKUP(J4,Calculation!$B$8:$IV$881,23,FALSE)</f>
        <v>0</v>
      </c>
      <c r="K33" s="863">
        <f>VLOOKUP(K4,Calculation!$B$8:$IV$881,23,FALSE)</f>
        <v>0</v>
      </c>
      <c r="L33" s="876"/>
    </row>
    <row r="34" spans="1:12" ht="12" customHeight="1">
      <c r="A34" s="233" t="s">
        <v>736</v>
      </c>
      <c r="B34" s="148" t="s">
        <v>11</v>
      </c>
      <c r="C34" s="146">
        <f>VLOOKUP(C4,Calculation!$B$8:$IV$881,24,FALSE)</f>
        <v>5.87410425054569</v>
      </c>
      <c r="D34" s="37">
        <f>VLOOKUP(D4,Calculation!$B$8:$IV$881,24,FALSE)</f>
        <v>6.3171412298476515</v>
      </c>
      <c r="E34" s="201">
        <f>VLOOKUP(E4,Calculation!$B$8:$IV$881,24,FALSE)</f>
        <v>0</v>
      </c>
      <c r="F34" s="37">
        <f>VLOOKUP(F4,Calculation!$B$8:$IV$881,24,FALSE)</f>
        <v>1.028261283571168</v>
      </c>
      <c r="G34" s="37">
        <f>VLOOKUP(G4,Calculation!$B$8:$IV$881,24,FALSE)</f>
        <v>0</v>
      </c>
      <c r="H34" s="37">
        <f>VLOOKUP(H4,Calculation!$B$8:$IV$881,24,FALSE)</f>
        <v>0</v>
      </c>
      <c r="I34" s="37">
        <f>VLOOKUP(I4,Calculation!$B$8:$IV$881,24,FALSE)</f>
        <v>0</v>
      </c>
      <c r="J34" s="37">
        <f>VLOOKUP(J4,Calculation!$B$8:$IV$881,24,FALSE)</f>
        <v>0</v>
      </c>
      <c r="K34" s="863">
        <f>VLOOKUP(K4,Calculation!$B$8:$IV$881,24,FALSE)</f>
        <v>0</v>
      </c>
      <c r="L34" s="876"/>
    </row>
    <row r="35" spans="1:12" ht="12" customHeight="1">
      <c r="A35" s="147" t="s">
        <v>39</v>
      </c>
      <c r="B35" s="148" t="s">
        <v>13</v>
      </c>
      <c r="C35" s="146">
        <f>VLOOKUP(C4,Calculation!$B$8:$IV$881,25,FALSE)</f>
        <v>0</v>
      </c>
      <c r="D35" s="37">
        <f>VLOOKUP(D4,Calculation!$B$8:$IV$881,25,FALSE)</f>
        <v>0</v>
      </c>
      <c r="E35" s="201">
        <f>VLOOKUP(E4,Calculation!$B$8:$IV$881,25,FALSE)</f>
        <v>0</v>
      </c>
      <c r="F35" s="37">
        <f>VLOOKUP(F4,Calculation!$B$8:$IV$881,25,FALSE)</f>
        <v>0</v>
      </c>
      <c r="G35" s="37">
        <f>VLOOKUP(G4,Calculation!$B$8:$IV$881,25,FALSE)</f>
        <v>0</v>
      </c>
      <c r="H35" s="37">
        <f>VLOOKUP(H4,Calculation!$B$8:$IV$881,25,FALSE)</f>
        <v>0</v>
      </c>
      <c r="I35" s="37">
        <f>VLOOKUP(I4,Calculation!$B$8:$IV$881,25,FALSE)</f>
        <v>0</v>
      </c>
      <c r="J35" s="37">
        <f>VLOOKUP(J4,Calculation!$B$8:$IV$881,25,FALSE)</f>
        <v>0</v>
      </c>
      <c r="K35" s="197">
        <f>VLOOKUP(K4,Calculation!$B$8:$IV$881,25,FALSE)</f>
        <v>0</v>
      </c>
    </row>
    <row r="36" spans="1:12" ht="12" customHeight="1">
      <c r="A36" s="147" t="s">
        <v>39</v>
      </c>
      <c r="B36" s="148" t="s">
        <v>11</v>
      </c>
      <c r="C36" s="146">
        <f>VLOOKUP(C4,Calculation!$B$8:$IV$881,26,FALSE)</f>
        <v>0</v>
      </c>
      <c r="D36" s="37">
        <f>VLOOKUP(D4,Calculation!$B$8:$IV$881,26,FALSE)</f>
        <v>0</v>
      </c>
      <c r="E36" s="201">
        <f>VLOOKUP(E4,Calculation!$B$8:$IV$881,26,FALSE)</f>
        <v>0</v>
      </c>
      <c r="F36" s="37">
        <f>VLOOKUP(F4,Calculation!$B$8:$IV$881,26,FALSE)</f>
        <v>0</v>
      </c>
      <c r="G36" s="37">
        <f>VLOOKUP(G4,Calculation!$B$8:$IV$881,26,FALSE)</f>
        <v>0</v>
      </c>
      <c r="H36" s="37">
        <f>VLOOKUP(H4,Calculation!$B$8:$IV$881,26,FALSE)</f>
        <v>0</v>
      </c>
      <c r="I36" s="37">
        <f>VLOOKUP(I4,Calculation!$B$8:$IV$881,26,FALSE)</f>
        <v>0</v>
      </c>
      <c r="J36" s="37">
        <f>VLOOKUP(J4,Calculation!$B$8:$IV$881,26,FALSE)</f>
        <v>0</v>
      </c>
      <c r="K36" s="197">
        <f>VLOOKUP(K4,Calculation!$B$8:$IV$881,26,FALSE)</f>
        <v>0</v>
      </c>
    </row>
    <row r="37" spans="1:12" ht="12" customHeight="1">
      <c r="A37" s="152" t="s">
        <v>564</v>
      </c>
      <c r="B37" s="153" t="s">
        <v>26</v>
      </c>
      <c r="C37" s="146">
        <f>VLOOKUP(C4,Calculation!$B$8:$IV$881,117,FALSE)</f>
        <v>0</v>
      </c>
      <c r="D37" s="37">
        <f>VLOOKUP(D4,Calculation!$B$8:$IV$881,117,FALSE)</f>
        <v>0</v>
      </c>
      <c r="E37" s="201">
        <f>VLOOKUP(E4,Calculation!$B$8:$IV$881,117,FALSE)</f>
        <v>0</v>
      </c>
      <c r="F37" s="37">
        <f>VLOOKUP(F4,Calculation!$B$8:$IV$881,117,FALSE)</f>
        <v>0</v>
      </c>
      <c r="G37" s="37">
        <f>VLOOKUP(G4,Calculation!$B$8:$IV$881,117,FALSE)</f>
        <v>0</v>
      </c>
      <c r="H37" s="37">
        <f>VLOOKUP(H4,Calculation!$B$8:$IV$881,117,FALSE)</f>
        <v>0</v>
      </c>
      <c r="I37" s="37">
        <f>VLOOKUP(I4,Calculation!$B$8:$IV$881,117,FALSE)</f>
        <v>0</v>
      </c>
      <c r="J37" s="37">
        <f>VLOOKUP(J4,Calculation!$B$8:$IV$881,117,FALSE)</f>
        <v>0</v>
      </c>
      <c r="K37" s="197">
        <f>VLOOKUP(K4,Calculation!$B$8:$IV$881,117,FALSE)</f>
        <v>0</v>
      </c>
    </row>
    <row r="38" spans="1:12" ht="12" customHeight="1">
      <c r="A38" s="152" t="s">
        <v>564</v>
      </c>
      <c r="B38" s="151" t="s">
        <v>13</v>
      </c>
      <c r="C38" s="146">
        <f>VLOOKUP(C4,Calculation!$B$8:$IV$881,116,FALSE)</f>
        <v>0</v>
      </c>
      <c r="D38" s="37">
        <f>VLOOKUP(D4,Calculation!$B$8:$IV$881,116,FALSE)</f>
        <v>0</v>
      </c>
      <c r="E38" s="201">
        <f>VLOOKUP(E4,Calculation!$B$8:$IV$881,116,FALSE)</f>
        <v>0</v>
      </c>
      <c r="F38" s="37">
        <f>VLOOKUP(F4,Calculation!$B$8:$IV$881,116,FALSE)</f>
        <v>0</v>
      </c>
      <c r="G38" s="37">
        <f>VLOOKUP(G4,Calculation!$B$8:$IV$881,116,FALSE)</f>
        <v>0</v>
      </c>
      <c r="H38" s="37">
        <f>VLOOKUP(H4,Calculation!$B$8:$IV$881,116,FALSE)</f>
        <v>0</v>
      </c>
      <c r="I38" s="37">
        <f>VLOOKUP(I4,Calculation!$B$8:$IV$881,116,FALSE)</f>
        <v>0</v>
      </c>
      <c r="J38" s="37">
        <f>VLOOKUP(J4,Calculation!$B$8:$IV$881,116,FALSE)</f>
        <v>0</v>
      </c>
      <c r="K38" s="197">
        <f>VLOOKUP(K4,Calculation!$B$8:$IV$881,116,FALSE)</f>
        <v>0</v>
      </c>
    </row>
    <row r="39" spans="1:12" ht="12" customHeight="1">
      <c r="A39" s="154" t="s">
        <v>40</v>
      </c>
      <c r="B39" s="144" t="s">
        <v>26</v>
      </c>
      <c r="C39" s="146">
        <f>VLOOKUP(C4,Calculation!$B$8:$IV$881,30,FALSE)</f>
        <v>0</v>
      </c>
      <c r="D39" s="37">
        <f>VLOOKUP(D4,Calculation!$B$8:$IV$881,30,FALSE)</f>
        <v>0</v>
      </c>
      <c r="E39" s="201">
        <f>VLOOKUP(E4,Calculation!$B$8:$IV$881,30,FALSE)</f>
        <v>0</v>
      </c>
      <c r="F39" s="37">
        <f>VLOOKUP(F4,Calculation!$B$8:$IV$881,30,FALSE)</f>
        <v>0</v>
      </c>
      <c r="G39" s="37">
        <f>VLOOKUP(G4,Calculation!$B$8:$IV$881,30,FALSE)</f>
        <v>0</v>
      </c>
      <c r="H39" s="37">
        <f>VLOOKUP(H4,Calculation!$B$8:$IV$881,30,FALSE)</f>
        <v>0</v>
      </c>
      <c r="I39" s="37">
        <f>VLOOKUP(I4,Calculation!$B$8:$IV$881,30,FALSE)</f>
        <v>0</v>
      </c>
      <c r="J39" s="37">
        <f>VLOOKUP(J4,Calculation!$B$8:$IV$881,30,FALSE)</f>
        <v>0</v>
      </c>
      <c r="K39" s="197">
        <f>VLOOKUP(K4,Calculation!$B$8:$IV$881,30,FALSE)</f>
        <v>0</v>
      </c>
    </row>
    <row r="40" spans="1:12" ht="12" customHeight="1" thickBot="1">
      <c r="A40" s="155" t="s">
        <v>40</v>
      </c>
      <c r="B40" s="156" t="s">
        <v>13</v>
      </c>
      <c r="C40" s="204">
        <f>VLOOKUP(C4,Calculation!$B$8:$IV$881,29,FALSE)</f>
        <v>0</v>
      </c>
      <c r="D40" s="40">
        <f>VLOOKUP(D4,Calculation!$B$8:$IV$881,29,FALSE)</f>
        <v>0</v>
      </c>
      <c r="E40" s="202">
        <f>VLOOKUP(E4,Calculation!$B$8:$IV$881,29,FALSE)</f>
        <v>0</v>
      </c>
      <c r="F40" s="40">
        <f>VLOOKUP(F4,Calculation!$B$8:$IV$881,29,FALSE)</f>
        <v>0</v>
      </c>
      <c r="G40" s="40">
        <f>VLOOKUP(G4,Calculation!$B$8:$IV$881,29,FALSE)</f>
        <v>0</v>
      </c>
      <c r="H40" s="40">
        <f>VLOOKUP(H4,Calculation!$B$8:$IV$881,29,FALSE)</f>
        <v>0</v>
      </c>
      <c r="I40" s="40">
        <f>VLOOKUP(I4,Calculation!$B$8:$IV$881,29,FALSE)</f>
        <v>0</v>
      </c>
      <c r="J40" s="40">
        <f>VLOOKUP(J4,Calculation!$B$8:$IV$881,29,FALSE)</f>
        <v>0</v>
      </c>
      <c r="K40" s="774">
        <f>VLOOKUP(K4,Calculation!$B$8:$IV$881,29,FALSE)</f>
        <v>0</v>
      </c>
    </row>
    <row r="41" spans="1:12" ht="12" customHeight="1" thickBot="1">
      <c r="A41" s="903" t="s">
        <v>118</v>
      </c>
      <c r="B41" s="904"/>
      <c r="C41" s="904"/>
      <c r="D41" s="904"/>
      <c r="E41" s="904"/>
      <c r="F41" s="907"/>
      <c r="G41" s="907"/>
      <c r="H41" s="907"/>
      <c r="I41" s="907"/>
      <c r="J41" s="907"/>
      <c r="K41" s="908"/>
    </row>
    <row r="42" spans="1:12" ht="12" customHeight="1">
      <c r="A42" s="140" t="s">
        <v>125</v>
      </c>
      <c r="B42" s="157" t="s">
        <v>41</v>
      </c>
      <c r="C42" s="775">
        <f>VLOOKUP(C4,Sheet1!$B$8:$IV$895,7,FALSE)</f>
        <v>1.44</v>
      </c>
      <c r="D42" s="776">
        <f>VLOOKUP(D4,Sheet1!$B$8:$IV$895,7,FALSE)</f>
        <v>1.0900000000000001</v>
      </c>
      <c r="E42" s="777">
        <f>VLOOKUP(E4,Sheet1!$B$8:$IV$895,7,FALSE)</f>
        <v>4.75</v>
      </c>
      <c r="F42" s="776">
        <f>VLOOKUP(F4,Sheet1!$B$8:$IV$895,7,FALSE)</f>
        <v>11.29</v>
      </c>
      <c r="G42" s="776">
        <f>VLOOKUP(G4,Sheet1!$B$8:$IV$895,7,FALSE)</f>
        <v>13.76</v>
      </c>
      <c r="H42" s="776">
        <f>VLOOKUP(H4,Sheet1!$B$8:$IV$895,7,FALSE)</f>
        <v>70.73</v>
      </c>
      <c r="I42" s="776">
        <f>VLOOKUP(I4,Sheet1!$B$8:$IV$895,7,FALSE)</f>
        <v>58.1</v>
      </c>
      <c r="J42" s="776">
        <f>VLOOKUP(J4,Sheet1!$B$8:$IV$895,7,FALSE)</f>
        <v>68.94</v>
      </c>
      <c r="K42" s="866">
        <f>VLOOKUP(K4,Sheet1!$B$8:$IV$895,7,FALSE)</f>
        <v>39.619999999999997</v>
      </c>
    </row>
    <row r="43" spans="1:12" ht="12" customHeight="1">
      <c r="A43" s="147" t="s">
        <v>126</v>
      </c>
      <c r="B43" s="158" t="s">
        <v>41</v>
      </c>
      <c r="C43" s="779">
        <f>IF(VLOOKUP(C4,Sheet1!$B$8:$IV$895,10,FALSE)="os",VLOOKUP(C4,Sheet1!$B$8:$IV$895,9,FALSE),VLOOKUP(C4,Sheet1!$B$8:$IV$895,10,FALSE))</f>
        <v>0.87</v>
      </c>
      <c r="D43" s="196">
        <f>IF(VLOOKUP(D4,Sheet1!$B$8:$IV$895,10,FALSE)="os",VLOOKUP(D4,Sheet1!$B$8:$IV$895,9,FALSE),VLOOKUP(D4,Sheet1!$B$8:$IV$895,10,FALSE))</f>
        <v>0.73</v>
      </c>
      <c r="E43" s="196">
        <f>IF(VLOOKUP(E4,Sheet1!$B$8:$IV$895,10,FALSE)="os",VLOOKUP(E4,Sheet1!$B$8:$IV$895,9,FALSE),VLOOKUP(E4,Sheet1!$B$8:$IV$895,10,FALSE))</f>
        <v>2.06</v>
      </c>
      <c r="F43" s="196">
        <f>IF(VLOOKUP(F4,Sheet1!$B$8:$IV$895,10,FALSE)="os",VLOOKUP(F4,Sheet1!$B$8:$IV$895,9,FALSE),VLOOKUP(F4,Sheet1!$B$8:$IV$895,10,FALSE))</f>
        <v>2.33</v>
      </c>
      <c r="G43" s="196">
        <f>IF(VLOOKUP(G4,Sheet1!$B$8:$IV$895,10,FALSE)="os",VLOOKUP(G4,Sheet1!$B$8:$IV$895,9,FALSE),VLOOKUP(G4,Sheet1!$B$8:$IV$895,10,FALSE))</f>
        <v>1.89</v>
      </c>
      <c r="H43" s="196">
        <f>IF(VLOOKUP(H4,Sheet1!$B$8:$IV$895,10,FALSE)="os",VLOOKUP(H4,Sheet1!$B$8:$IV$895,9,FALSE),VLOOKUP(H4,Sheet1!$B$8:$IV$895,10,FALSE))</f>
        <v>0.31</v>
      </c>
      <c r="I43" s="196">
        <f>IF(VLOOKUP(I4,Sheet1!$B$8:$IV$895,10,FALSE)="os",VLOOKUP(I4,Sheet1!$B$8:$IV$895,9,FALSE),VLOOKUP(I4,Sheet1!$B$8:$IV$895,10,FALSE))</f>
        <v>0.18</v>
      </c>
      <c r="J43" s="196">
        <f>IF(VLOOKUP(J4,Sheet1!$B$8:$IV$895,10,FALSE)="os",VLOOKUP(J4,Sheet1!$B$8:$IV$895,9,FALSE),VLOOKUP(J4,Sheet1!$B$8:$IV$895,10,FALSE))</f>
        <v>0.13</v>
      </c>
      <c r="K43" s="863">
        <f>IF(VLOOKUP(K4,Sheet1!$B$8:$IV$895,10,FALSE)="os",VLOOKUP(K4,Sheet1!$B$8:$IV$895,9,FALSE),VLOOKUP(K4,Sheet1!$B$8:$IV$895,10,FALSE))</f>
        <v>0.08</v>
      </c>
    </row>
    <row r="44" spans="1:12" ht="12" customHeight="1">
      <c r="A44" s="517" t="s">
        <v>570</v>
      </c>
      <c r="B44" s="158" t="s">
        <v>17</v>
      </c>
      <c r="C44" s="206">
        <f>IF(ISNUMBER(VLOOKUP(C4,Sheet1!$B$8:$IV$895,22,FALSE))=TRUE,VLOOKUP(C4,Sheet1!$B$8:$IV$895,22,FALSE),VLOOKUP(C4,Sheet1!$B$8:$IV$895,23,FALSE))</f>
        <v>45.14</v>
      </c>
      <c r="D44" s="196">
        <f>IF(ISNUMBER(VLOOKUP(D4,Sheet1!$B$8:$IV$895,22,FALSE))=TRUE,VLOOKUP(D4,Sheet1!$B$8:$IV$895,22,FALSE),VLOOKUP(D4,Sheet1!$B$8:$IV$895,23,FALSE))</f>
        <v>46.58</v>
      </c>
      <c r="E44" s="209">
        <f>IF(ISNUMBER(VLOOKUP(E4,Sheet1!$B$8:$IV$895,22,FALSE))=TRUE,VLOOKUP(E4,Sheet1!$B$8:$IV$895,22,FALSE),VLOOKUP(E4,Sheet1!$B$8:$IV$895,23,FALSE))</f>
        <v>48.38000000000001</v>
      </c>
      <c r="F44" s="196">
        <f>IF(ISNUMBER(VLOOKUP(F4,Sheet1!$B$8:$IV$895,22,FALSE))=TRUE,VLOOKUP(F4,Sheet1!$B$8:$IV$895,22,FALSE),VLOOKUP(F4,Sheet1!$B$8:$IV$895,23,FALSE))</f>
        <v>46.400000000000006</v>
      </c>
      <c r="G44" s="196">
        <f>IF(ISNUMBER(VLOOKUP(G4,Sheet1!$B$8:$IV$895,22,FALSE))=TRUE,VLOOKUP(G4,Sheet1!$B$8:$IV$895,22,FALSE),VLOOKUP(G4,Sheet1!$B$8:$IV$895,23,FALSE))</f>
        <v>44.600000000000009</v>
      </c>
      <c r="H44" s="196">
        <f>IF(ISNUMBER(VLOOKUP(H4,Sheet1!$B$8:$IV$895,22,FALSE))=TRUE,VLOOKUP(H4,Sheet1!$B$8:$IV$895,22,FALSE),VLOOKUP(H4,Sheet1!$B$8:$IV$895,23,FALSE))</f>
        <v>43.88000000000001</v>
      </c>
      <c r="I44" s="196">
        <f>IF(ISNUMBER(VLOOKUP(I4,Sheet1!$B$8:$IV$895,22,FALSE))=TRUE,VLOOKUP(I4,Sheet1!$B$8:$IV$895,22,FALSE),VLOOKUP(I4,Sheet1!$B$8:$IV$895,23,FALSE))</f>
        <v>49.64</v>
      </c>
      <c r="J44" s="196">
        <f>IF(ISNUMBER(VLOOKUP(J4,Sheet1!$B$8:$IV$895,22,FALSE))=TRUE,VLOOKUP(J4,Sheet1!$B$8:$IV$895,22,FALSE),VLOOKUP(J4,Sheet1!$B$8:$IV$895,23,FALSE))</f>
        <v>50.539999999999992</v>
      </c>
      <c r="K44" s="863">
        <f>IF(ISNUMBER(VLOOKUP(K4,Sheet1!$B$8:$IV$895,22,FALSE))=TRUE,VLOOKUP(K4,Sheet1!$B$8:$IV$895,22,FALSE),VLOOKUP(K4,Sheet1!$B$8:$IV$895,23,FALSE))</f>
        <v>50</v>
      </c>
    </row>
    <row r="45" spans="1:12" ht="12" customHeight="1">
      <c r="A45" s="142" t="s">
        <v>297</v>
      </c>
      <c r="B45" s="159" t="s">
        <v>14</v>
      </c>
      <c r="C45" s="779">
        <f>IF(VLOOKUP(C4,Sheet1!$B$8:$IV$895,21,FALSE)="os",VLOOKUP(C4,Sheet1!$B$8:$IV$895,20,FALSE),VLOOKUP(C4,Sheet1!$B$8:$IV$895,21,FALSE))</f>
        <v>0.79</v>
      </c>
      <c r="D45" s="196">
        <f>IF(VLOOKUP(D4,Sheet1!$B$8:$IV$895,21,FALSE)="os",VLOOKUP(D4,Sheet1!$B$8:$IV$895,20,FALSE),VLOOKUP(D4,Sheet1!$B$8:$IV$895,21,FALSE))</f>
        <v>0.79</v>
      </c>
      <c r="E45" s="196">
        <f>IF(VLOOKUP(E4,Sheet1!$B$8:$IV$895,21,FALSE)="os",VLOOKUP(E4,Sheet1!$B$8:$IV$895,20,FALSE),VLOOKUP(E4,Sheet1!$B$8:$IV$895,21,FALSE))</f>
        <v>0.8</v>
      </c>
      <c r="F45" s="196">
        <f>IF(VLOOKUP(F4,Sheet1!$B$8:$IV$895,21,FALSE)="os",VLOOKUP(F4,Sheet1!$B$8:$IV$895,20,FALSE),VLOOKUP(F4,Sheet1!$B$8:$IV$895,21,FALSE))</f>
        <v>0.76</v>
      </c>
      <c r="G45" s="196">
        <f>IF(VLOOKUP(G4,Sheet1!$B$8:$IV$895,21,FALSE)="os",VLOOKUP(G4,Sheet1!$B$8:$IV$895,20,FALSE),VLOOKUP(G4,Sheet1!$B$8:$IV$895,21,FALSE))</f>
        <v>0.78</v>
      </c>
      <c r="H45" s="196">
        <f>IF(VLOOKUP(H4,Sheet1!$B$8:$IV$895,21,FALSE)="os",VLOOKUP(H4,Sheet1!$B$8:$IV$895,20,FALSE),VLOOKUP(H4,Sheet1!$B$8:$IV$895,21,FALSE))</f>
        <v>0.8</v>
      </c>
      <c r="I45" s="196">
        <f>IF(VLOOKUP(I4,Sheet1!$B$8:$IV$895,21,FALSE)="os",VLOOKUP(I4,Sheet1!$B$8:$IV$895,20,FALSE),VLOOKUP(I4,Sheet1!$B$8:$IV$895,21,FALSE))</f>
        <v>0.81</v>
      </c>
      <c r="J45" s="196">
        <f>IF(VLOOKUP(J4,Sheet1!$B$8:$IV$895,21,FALSE)="os",VLOOKUP(J4,Sheet1!$B$8:$IV$895,20,FALSE),VLOOKUP(J4,Sheet1!$B$8:$IV$895,21,FALSE))</f>
        <v>0.72</v>
      </c>
      <c r="K45" s="863">
        <f>IF(VLOOKUP(K4,Sheet1!$B$8:$IV$895,21,FALSE)="os",VLOOKUP(K4,Sheet1!$B$8:$IV$895,20,FALSE),VLOOKUP(K4,Sheet1!$B$8:$IV$895,21,FALSE))</f>
        <v>0.83</v>
      </c>
    </row>
    <row r="46" spans="1:12" ht="12" customHeight="1">
      <c r="A46" s="21" t="s">
        <v>577</v>
      </c>
      <c r="B46" s="144" t="s">
        <v>14</v>
      </c>
      <c r="C46" s="206">
        <f>VLOOKUP(C4,Sheet1!$B$8:$IV$895,15,FALSE)</f>
        <v>1.61</v>
      </c>
      <c r="D46" s="196">
        <f>VLOOKUP(D4,Sheet1!$B$8:$IV$895,15,FALSE)</f>
        <v>1.66</v>
      </c>
      <c r="E46" s="209">
        <f>VLOOKUP(E4,Sheet1!$B$8:$IV$895,15,FALSE)</f>
        <v>1.68</v>
      </c>
      <c r="F46" s="196">
        <f>VLOOKUP(F4,Sheet1!$B$8:$IV$895,15,FALSE)</f>
        <v>1.66</v>
      </c>
      <c r="G46" s="196">
        <f>VLOOKUP(G4,Sheet1!$B$8:$IV$895,15,FALSE)</f>
        <v>1.66</v>
      </c>
      <c r="H46" s="196">
        <f>VLOOKUP(H4,Sheet1!$B$8:$IV$895,15,FALSE)</f>
        <v>1.58</v>
      </c>
      <c r="I46" s="196">
        <f>VLOOKUP(I4,Sheet1!$B$8:$IV$895,15,FALSE)</f>
        <v>1.6</v>
      </c>
      <c r="J46" s="196">
        <f>VLOOKUP(J4,Sheet1!$B$8:$IV$895,15,FALSE)</f>
        <v>1.56</v>
      </c>
      <c r="K46" s="863">
        <f>VLOOKUP(K4,Sheet1!$B$8:$IV$895,15,FALSE)</f>
        <v>1.58</v>
      </c>
    </row>
    <row r="47" spans="1:12" ht="12" customHeight="1">
      <c r="A47" s="160" t="s">
        <v>42</v>
      </c>
      <c r="B47" s="161" t="s">
        <v>43</v>
      </c>
      <c r="C47" s="779">
        <f>IF(VLOOKUP(C4,Sheet1!$B$8:$IV$895,8,FALSE)&gt;1,VLOOKUP(C4,Sheet1!$B$8:$IV$895,8,FALSE),VLOOKUP(C4,Sheet1!$B$8:$IV$895,8,FALSE)*100)</f>
        <v>94.8</v>
      </c>
      <c r="D47" s="196">
        <f>IF(VLOOKUP(D4,Sheet1!$B$8:$IV$895,8,FALSE)&gt;1,VLOOKUP(D4,Sheet1!$B$8:$IV$895,8,FALSE),VLOOKUP(D4,Sheet1!$B$8:$IV$895,8,FALSE)*100)</f>
        <v>95.1</v>
      </c>
      <c r="E47" s="196">
        <f>IF(VLOOKUP(E4,Sheet1!$B$8:$IV$895,8,FALSE)&gt;1,VLOOKUP(E4,Sheet1!$B$8:$IV$895,8,FALSE),VLOOKUP(E4,Sheet1!$B$8:$IV$895,8,FALSE)*100)</f>
        <v>94.3</v>
      </c>
      <c r="F47" s="196">
        <f>IF(VLOOKUP(F4,Sheet1!$B$8:$IV$895,8,FALSE)&gt;1,VLOOKUP(F4,Sheet1!$B$8:$IV$895,8,FALSE),VLOOKUP(F4,Sheet1!$B$8:$IV$895,8,FALSE)*100)</f>
        <v>91.7</v>
      </c>
      <c r="G47" s="196">
        <f>IF(VLOOKUP(G4,Sheet1!$B$8:$IV$895,8,FALSE)&gt;1,VLOOKUP(G4,Sheet1!$B$8:$IV$895,8,FALSE),VLOOKUP(G4,Sheet1!$B$8:$IV$895,8,FALSE)*100)</f>
        <v>94</v>
      </c>
      <c r="H47" s="196">
        <f>IF(VLOOKUP(H4,Sheet1!$B$8:$IV$895,8,FALSE)&gt;1,VLOOKUP(H4,Sheet1!$B$8:$IV$895,8,FALSE),VLOOKUP(H4,Sheet1!$B$8:$IV$895,8,FALSE)*100)</f>
        <v>73.400000000000006</v>
      </c>
      <c r="I47" s="196">
        <f>IF(VLOOKUP(I4,Sheet1!$B$8:$IV$895,8,FALSE)&gt;1,VLOOKUP(I4,Sheet1!$B$8:$IV$895,8,FALSE),VLOOKUP(I4,Sheet1!$B$8:$IV$895,8,FALSE)*100)</f>
        <v>44.6</v>
      </c>
      <c r="J47" s="196">
        <f>IF(VLOOKUP(J4,Sheet1!$B$8:$IV$895,8,FALSE)&gt;1,VLOOKUP(J4,Sheet1!$B$8:$IV$895,8,FALSE),VLOOKUP(J4,Sheet1!$B$8:$IV$895,8,FALSE)*100)</f>
        <v>61.72</v>
      </c>
      <c r="K47" s="863">
        <f>IF(VLOOKUP(K4,Sheet1!$B$8:$IV$895,8,FALSE)&gt;1,VLOOKUP(K4,Sheet1!$B$8:$IV$895,8,FALSE),VLOOKUP(K4,Sheet1!$B$8:$IV$895,8,FALSE)*100)</f>
        <v>71.5</v>
      </c>
    </row>
    <row r="48" spans="1:12" ht="12" customHeight="1" thickBot="1">
      <c r="A48" s="252" t="s">
        <v>590</v>
      </c>
      <c r="B48" s="162"/>
      <c r="C48" s="780">
        <f>IF(OR(ISNUMBER(VLOOKUP(C4,Sheet1!$B$8:$IV$895,19,FALSE))=FALSE,VLOOKUP(C4,Sheet1!$B$8:$IV$895,19,FALSE)=0),VLOOKUP(C4,Sheet1!$B$8:$IV$895,18,FALSE),VLOOKUP(C4,Sheet1!$B$8:$IV$895,19,FALSE))</f>
        <v>8.08</v>
      </c>
      <c r="D48" s="781">
        <f>IF(OR(ISNUMBER(VLOOKUP(D4,Sheet1!$B$8:$IV$895,19,FALSE))=FALSE,VLOOKUP(D4,Sheet1!$B$8:$IV$895,19,FALSE)=0),VLOOKUP(D4,Sheet1!$B$8:$IV$895,18,FALSE),VLOOKUP(D4,Sheet1!$B$8:$IV$895,19,FALSE))</f>
        <v>8.0299999999999994</v>
      </c>
      <c r="E48" s="782">
        <f>IF(OR(ISNUMBER(VLOOKUP(E4,Sheet1!$B$8:$IV$895,19,FALSE))=FALSE,VLOOKUP(E4,Sheet1!$B$8:$IV$895,19,FALSE)=0),VLOOKUP(E4,Sheet1!$B$8:$IV$895,18,FALSE),VLOOKUP(E4,Sheet1!$B$8:$IV$895,19,FALSE))</f>
        <v>7.97</v>
      </c>
      <c r="F48" s="781">
        <f>IF(OR(ISNUMBER(VLOOKUP(F4,Sheet1!$B$8:$IV$895,19,FALSE))=FALSE,VLOOKUP(F4,Sheet1!$B$8:$IV$895,19,FALSE)=0),VLOOKUP(F4,Sheet1!$B$8:$IV$895,18,FALSE),VLOOKUP(F4,Sheet1!$B$8:$IV$895,19,FALSE))</f>
        <v>8.0299999999999994</v>
      </c>
      <c r="G48" s="781">
        <f>IF(OR(ISNUMBER(VLOOKUP(G4,Sheet1!$B$8:$IV$895,19,FALSE))=FALSE,VLOOKUP(G4,Sheet1!$B$8:$IV$895,19,FALSE)=0),VLOOKUP(G4,Sheet1!$B$8:$IV$895,18,FALSE),VLOOKUP(G4,Sheet1!$B$8:$IV$895,19,FALSE))</f>
        <v>7.98</v>
      </c>
      <c r="H48" s="781">
        <f>IF(OR(ISNUMBER(VLOOKUP(H4,Sheet1!$B$8:$IV$895,19,FALSE))=FALSE,VLOOKUP(H4,Sheet1!$B$8:$IV$895,19,FALSE)=0),VLOOKUP(H4,Sheet1!$B$8:$IV$895,18,FALSE),VLOOKUP(H4,Sheet1!$B$8:$IV$895,19,FALSE))</f>
        <v>7.98</v>
      </c>
      <c r="I48" s="781">
        <f>IF(OR(ISNUMBER(VLOOKUP(I4,Sheet1!$B$8:$IV$895,19,FALSE))=FALSE,VLOOKUP(I4,Sheet1!$B$8:$IV$895,19,FALSE)=0),VLOOKUP(I4,Sheet1!$B$8:$IV$895,18,FALSE),VLOOKUP(I4,Sheet1!$B$8:$IV$895,19,FALSE))</f>
        <v>8.0500000000000007</v>
      </c>
      <c r="J48" s="781">
        <f>IF(OR(ISNUMBER(VLOOKUP(J4,Sheet1!$B$8:$IV$895,19,FALSE))=FALSE,VLOOKUP(J4,Sheet1!$B$8:$IV$895,19,FALSE)=0),VLOOKUP(J4,Sheet1!$B$8:$IV$895,18,FALSE),VLOOKUP(J4,Sheet1!$B$8:$IV$895,19,FALSE))</f>
        <v>8.0299999999999994</v>
      </c>
      <c r="K48" s="867">
        <f>IF(OR(ISNUMBER(VLOOKUP(K4,Sheet1!$B$8:$IV$895,19,FALSE))=FALSE,VLOOKUP(K4,Sheet1!$B$8:$IV$895,19,FALSE)=0),VLOOKUP(K4,Sheet1!$B$8:$IV$895,18,FALSE),VLOOKUP(K4,Sheet1!$B$8:$IV$895,19,FALSE))</f>
        <v>7.97</v>
      </c>
    </row>
    <row r="49" spans="1:12" ht="12" customHeight="1" thickBot="1">
      <c r="A49" s="903" t="s">
        <v>457</v>
      </c>
      <c r="B49" s="904"/>
      <c r="C49" s="905"/>
      <c r="D49" s="905"/>
      <c r="E49" s="905"/>
      <c r="F49" s="905"/>
      <c r="G49" s="905"/>
      <c r="H49" s="905"/>
      <c r="I49" s="905"/>
      <c r="J49" s="905"/>
      <c r="K49" s="906"/>
    </row>
    <row r="50" spans="1:12" ht="12" customHeight="1">
      <c r="A50" s="163" t="s">
        <v>566</v>
      </c>
      <c r="B50" s="153" t="s">
        <v>13</v>
      </c>
      <c r="C50" s="775">
        <f>VLOOKUP(C4,Calculation!$B$8:$IV$881,31,FALSE)</f>
        <v>15.4</v>
      </c>
      <c r="D50" s="776">
        <f>VLOOKUP(D4,Calculation!$B$8:$IV$881,31,FALSE)</f>
        <v>15.3</v>
      </c>
      <c r="E50" s="777">
        <f>VLOOKUP(E4,Calculation!$B$8:$IV$881,31,FALSE)</f>
        <v>14.8</v>
      </c>
      <c r="F50" s="776">
        <f>VLOOKUP(F4,Calculation!$B$8:$IV$881,31,FALSE)</f>
        <v>16.3</v>
      </c>
      <c r="G50" s="776">
        <f>VLOOKUP(G4,Calculation!$B$8:$IV$881,31,FALSE)</f>
        <v>13.1</v>
      </c>
      <c r="H50" s="776">
        <f>VLOOKUP(H4,Calculation!$B$8:$IV$881,31,FALSE)</f>
        <v>14.4</v>
      </c>
      <c r="I50" s="776">
        <f>VLOOKUP(I4,Calculation!$B$8:$IV$881,31,FALSE)</f>
        <v>14</v>
      </c>
      <c r="J50" s="776">
        <f>VLOOKUP(J4,Calculation!$B$8:$IV$881,31,FALSE)</f>
        <v>16.899999999999999</v>
      </c>
      <c r="K50" s="778">
        <f>VLOOKUP(K4,Calculation!$B$8:$IV$881,31,FALSE)</f>
        <v>13</v>
      </c>
    </row>
    <row r="51" spans="1:12" ht="12" customHeight="1">
      <c r="A51" s="163" t="s">
        <v>567</v>
      </c>
      <c r="B51" s="148" t="s">
        <v>13</v>
      </c>
      <c r="C51" s="206">
        <f>VLOOKUP(C4,Calculation!$B$8:$IV$881,32,FALSE)</f>
        <v>15.348451882845001</v>
      </c>
      <c r="D51" s="196">
        <f>VLOOKUP(D4,Calculation!$B$8:$IV$881,32,FALSE)</f>
        <v>15.364043532858936</v>
      </c>
      <c r="E51" s="196">
        <f>VLOOKUP(E4,Calculation!$B$8:$IV$881,32,FALSE)</f>
        <v>14.57947019867728</v>
      </c>
      <c r="F51" s="196">
        <f>VLOOKUP(F4,Calculation!$B$8:$IV$881,32,FALSE)</f>
        <v>16.265942331799302</v>
      </c>
      <c r="G51" s="196">
        <f>VLOOKUP(G4,Calculation!$B$8:$IV$881,32,FALSE)</f>
        <v>13.166743862899489</v>
      </c>
      <c r="H51" s="196">
        <f>VLOOKUP(H4,Calculation!$B$8:$IV$881,32,FALSE)</f>
        <v>14.045070422537426</v>
      </c>
      <c r="I51" s="196">
        <f>VLOOKUP(I4,Calculation!$B$8:$IV$881,32,FALSE)</f>
        <v>14.09</v>
      </c>
      <c r="J51" s="196">
        <f>VLOOKUP(J4,Calculation!$B$8:$IV$881,32,FALSE)</f>
        <v>16.680000000000291</v>
      </c>
      <c r="K51" s="863">
        <f>VLOOKUP(K4,Calculation!$B$8:$IV$881,32,FALSE)</f>
        <v>13</v>
      </c>
    </row>
    <row r="52" spans="1:12" ht="12" customHeight="1">
      <c r="A52" s="164" t="s">
        <v>568</v>
      </c>
      <c r="B52" s="148" t="s">
        <v>13</v>
      </c>
      <c r="C52" s="206">
        <f>VLOOKUP(C4,Calculation!$B$8:$IV$881,162,FALSE)</f>
        <v>1.4861751152073732</v>
      </c>
      <c r="D52" s="196">
        <f>VLOOKUP(D4,Calculation!$B$8:$IV$881,162,FALSE)</f>
        <v>2.5417626728110601</v>
      </c>
      <c r="E52" s="196">
        <f>VLOOKUP(E4,Calculation!$B$8:$IV$881,162,FALSE)</f>
        <v>1.272897465437788</v>
      </c>
      <c r="F52" s="196">
        <f>VLOOKUP(F4,Calculation!$B$8:$IV$881,162,FALSE)</f>
        <v>2.1705069124423964</v>
      </c>
      <c r="G52" s="196">
        <f>VLOOKUP(G4,Calculation!$B$8:$IV$881,162,FALSE)</f>
        <v>1.469758064516129</v>
      </c>
      <c r="H52" s="196">
        <f>VLOOKUP(H4,Calculation!$B$8:$IV$881,162,FALSE)</f>
        <v>2.2923387096774195</v>
      </c>
      <c r="I52" s="196">
        <f>VLOOKUP(I4,Calculation!$B$8:$IV$881,162,FALSE)</f>
        <v>1.2737615207373272</v>
      </c>
      <c r="J52" s="196">
        <f>VLOOKUP(J4,Calculation!$B$8:$IV$881,162,FALSE)</f>
        <v>2.2253744239631335</v>
      </c>
      <c r="K52" s="197">
        <f>VLOOKUP(K4,Calculation!$B$8:$IV$881,162,FALSE)</f>
        <v>1.6291762672811059</v>
      </c>
    </row>
    <row r="53" spans="1:12" ht="12" customHeight="1">
      <c r="A53" s="164" t="s">
        <v>525</v>
      </c>
      <c r="B53" s="148" t="s">
        <v>13</v>
      </c>
      <c r="C53" s="206">
        <f>VLOOKUP(C4,Calculation!$B$8:$IV$881,33,FALSE)</f>
        <v>0</v>
      </c>
      <c r="D53" s="196">
        <f>VLOOKUP(D4,Calculation!$B$8:$IV$881,33,FALSE)</f>
        <v>0</v>
      </c>
      <c r="E53" s="209">
        <f>VLOOKUP(E4,Calculation!$B$8:$IV$881,33,FALSE)</f>
        <v>0</v>
      </c>
      <c r="F53" s="196">
        <f>VLOOKUP(F4,Calculation!$B$8:$IV$881,33,FALSE)</f>
        <v>0</v>
      </c>
      <c r="G53" s="196">
        <f>VLOOKUP(G4,Calculation!$B$8:$IV$881,33,FALSE)</f>
        <v>0</v>
      </c>
      <c r="H53" s="196">
        <f>VLOOKUP(H4,Calculation!$B$8:$IV$881,33,FALSE)</f>
        <v>0</v>
      </c>
      <c r="I53" s="196">
        <f>VLOOKUP(I4,Calculation!$B$8:$IV$881,33,FALSE)</f>
        <v>0</v>
      </c>
      <c r="J53" s="196">
        <f>VLOOKUP(J4,Calculation!$B$8:$IV$881,33,FALSE)</f>
        <v>0</v>
      </c>
      <c r="K53" s="197">
        <f>VLOOKUP(K4,Calculation!$B$8:$IV$881,33,FALSE)</f>
        <v>0</v>
      </c>
    </row>
    <row r="54" spans="1:12" ht="12" customHeight="1">
      <c r="A54" s="643" t="s">
        <v>722</v>
      </c>
      <c r="B54" s="642" t="s">
        <v>13</v>
      </c>
      <c r="C54" s="639">
        <f>VLOOKUP(C4,Sheet1!$B$8:$IV$895,52,FALSE)</f>
        <v>0</v>
      </c>
      <c r="D54" s="640">
        <f>VLOOKUP(D4,Sheet1!$B$8:$IV$895,52,FALSE)</f>
        <v>0</v>
      </c>
      <c r="E54" s="641">
        <f>VLOOKUP(E4,Sheet1!$B$8:$IV$895,52,FALSE)</f>
        <v>0</v>
      </c>
      <c r="F54" s="640">
        <f>VLOOKUP(F4,Sheet1!$B$8:$IV$895,52,FALSE)</f>
        <v>0</v>
      </c>
      <c r="G54" s="640">
        <f>VLOOKUP(G4,Sheet1!$B$8:$IV$895,52,FALSE)</f>
        <v>0</v>
      </c>
      <c r="H54" s="640">
        <f>VLOOKUP(H4,Sheet1!$B$8:$IV$895,52,FALSE)</f>
        <v>0</v>
      </c>
      <c r="I54" s="640">
        <f>VLOOKUP(I4,Sheet1!$B$8:$IV$895,52,FALSE)</f>
        <v>0</v>
      </c>
      <c r="J54" s="640">
        <f>VLOOKUP(J4,Sheet1!$B$8:$IV$895,52,FALSE)</f>
        <v>0</v>
      </c>
      <c r="K54" s="636">
        <f>VLOOKUP(K4,Sheet1!$B$8:$IV$895,52,FALSE)</f>
        <v>0</v>
      </c>
    </row>
    <row r="55" spans="1:12" ht="12" customHeight="1">
      <c r="A55" s="260" t="s">
        <v>747</v>
      </c>
      <c r="B55" s="148" t="s">
        <v>13</v>
      </c>
      <c r="C55" s="146">
        <f>VLOOKUP(C4,Sheet1!$B$8:$IV$895,53,FALSE)</f>
        <v>0</v>
      </c>
      <c r="D55" s="37">
        <f>VLOOKUP(D4,Sheet1!$B$8:$IV$895,53,FALSE)</f>
        <v>0</v>
      </c>
      <c r="E55" s="201">
        <f>VLOOKUP(E4,Sheet1!$B$8:$IV$895,53,FALSE)</f>
        <v>0</v>
      </c>
      <c r="F55" s="37">
        <f>VLOOKUP(F4,Sheet1!$B$8:$IV$895,53,FALSE)</f>
        <v>0</v>
      </c>
      <c r="G55" s="37">
        <f>VLOOKUP(G4,Sheet1!$B$8:$IV$895,53,FALSE)</f>
        <v>0</v>
      </c>
      <c r="H55" s="37">
        <f>VLOOKUP(H4,Sheet1!$B$8:$IV$895,53,FALSE)</f>
        <v>0</v>
      </c>
      <c r="I55" s="37">
        <f>VLOOKUP(I4,Sheet1!$B$8:$IV$895,53,FALSE)</f>
        <v>0</v>
      </c>
      <c r="J55" s="37">
        <f>VLOOKUP(J4,Sheet1!$B$8:$IV$895,53,FALSE)</f>
        <v>0</v>
      </c>
      <c r="K55" s="197">
        <f>VLOOKUP(K4,Sheet1!$B$8:$IV$895,53,FALSE)</f>
        <v>0</v>
      </c>
    </row>
    <row r="56" spans="1:12" ht="12" customHeight="1">
      <c r="A56" s="164" t="s">
        <v>44</v>
      </c>
      <c r="B56" s="148" t="s">
        <v>13</v>
      </c>
      <c r="C56" s="146">
        <f>VLOOKUP(C4,Calculation!$B$8:$IV$881,34,FALSE)</f>
        <v>0</v>
      </c>
      <c r="D56" s="37">
        <f>VLOOKUP(D4,Calculation!$B$8:$IV$881,34,FALSE)</f>
        <v>0</v>
      </c>
      <c r="E56" s="201">
        <f>VLOOKUP(E4,Calculation!$B$8:$IV$881,34,FALSE)</f>
        <v>0</v>
      </c>
      <c r="F56" s="37">
        <f>VLOOKUP(F4,Calculation!$B$8:$IV$881,34,FALSE)</f>
        <v>0</v>
      </c>
      <c r="G56" s="37">
        <f>VLOOKUP(G4,Calculation!$B$8:$IV$881,34,FALSE)</f>
        <v>0</v>
      </c>
      <c r="H56" s="37">
        <f>VLOOKUP(H4,Calculation!$B$8:$IV$881,34,FALSE)</f>
        <v>0</v>
      </c>
      <c r="I56" s="37">
        <f>VLOOKUP(I4,Calculation!$B$8:$IV$881,34,FALSE)</f>
        <v>0</v>
      </c>
      <c r="J56" s="37">
        <f>VLOOKUP(J4,Calculation!$B$8:$IV$881,34,FALSE)</f>
        <v>0</v>
      </c>
      <c r="K56" s="197">
        <f>VLOOKUP(K4,Calculation!$B$8:$IV$881,34,FALSE)</f>
        <v>0</v>
      </c>
    </row>
    <row r="57" spans="1:12" ht="12" customHeight="1">
      <c r="A57" s="164" t="s">
        <v>45</v>
      </c>
      <c r="B57" s="148" t="s">
        <v>13</v>
      </c>
      <c r="C57" s="146">
        <f>VLOOKUP(C4,Calculation!$B$8:$IV$881,35,FALSE)</f>
        <v>15.348451882845001</v>
      </c>
      <c r="D57" s="37">
        <f>VLOOKUP(D4,Calculation!$B$8:$IV$881,35,FALSE)</f>
        <v>15.364043532858936</v>
      </c>
      <c r="E57" s="201">
        <f>VLOOKUP(E4,Calculation!$B$8:$IV$881,35,FALSE)</f>
        <v>14.57947019867728</v>
      </c>
      <c r="F57" s="37">
        <f>VLOOKUP(F4,Calculation!$B$8:$IV$881,35,FALSE)</f>
        <v>16.265942331799302</v>
      </c>
      <c r="G57" s="37">
        <f>VLOOKUP(G4,Calculation!$B$8:$IV$881,35,FALSE)</f>
        <v>13.166743862899489</v>
      </c>
      <c r="H57" s="37">
        <f>VLOOKUP(H4,Calculation!$B$8:$IV$881,35,FALSE)</f>
        <v>14.045070422537426</v>
      </c>
      <c r="I57" s="37">
        <f>VLOOKUP(I4,Calculation!$B$8:$IV$881,35,FALSE)</f>
        <v>14.09</v>
      </c>
      <c r="J57" s="37">
        <f>VLOOKUP(J4,Calculation!$B$8:$IV$881,35,FALSE)</f>
        <v>16.680000000000291</v>
      </c>
      <c r="K57" s="863">
        <f>VLOOKUP(K4,Calculation!$B$8:$IV$881,35,FALSE)</f>
        <v>13</v>
      </c>
    </row>
    <row r="58" spans="1:12" ht="12" customHeight="1">
      <c r="A58" s="260" t="s">
        <v>716</v>
      </c>
      <c r="B58" s="148" t="s">
        <v>13</v>
      </c>
      <c r="C58" s="146">
        <f>VLOOKUP(C4,Calculation!$B$8:$IV$881,36,FALSE)</f>
        <v>0</v>
      </c>
      <c r="D58" s="37">
        <f>VLOOKUP(D4,Calculation!$B$8:$IV$881,36,FALSE)</f>
        <v>0</v>
      </c>
      <c r="E58" s="201">
        <f>VLOOKUP(E4,Calculation!$B$8:$IV$881,36,FALSE)</f>
        <v>0</v>
      </c>
      <c r="F58" s="37">
        <f>VLOOKUP(F4,Calculation!$B$8:$IV$881,36,FALSE)</f>
        <v>0</v>
      </c>
      <c r="G58" s="37">
        <f>VLOOKUP(G4,Calculation!$B$8:$IV$881,36,FALSE)</f>
        <v>0</v>
      </c>
      <c r="H58" s="37">
        <f>VLOOKUP(H4,Calculation!$B$8:$IV$881,36,FALSE)</f>
        <v>0</v>
      </c>
      <c r="I58" s="37">
        <f>VLOOKUP(I4,Calculation!$B$8:$IV$881,36,FALSE)</f>
        <v>0</v>
      </c>
      <c r="J58" s="37">
        <f>VLOOKUP(J4,Calculation!$B$8:$IV$881,36,FALSE)</f>
        <v>0</v>
      </c>
      <c r="K58" s="197">
        <f>VLOOKUP(K4,Calculation!$B$8:$IV$881,36,FALSE)</f>
        <v>0</v>
      </c>
      <c r="L58" s="876"/>
    </row>
    <row r="59" spans="1:12" ht="12" customHeight="1">
      <c r="A59" s="648" t="s">
        <v>734</v>
      </c>
      <c r="B59" s="148" t="s">
        <v>13</v>
      </c>
      <c r="C59" s="146">
        <f>VLOOKUP(C4,Calculation!$B$8:$IV$881,42,FALSE)</f>
        <v>0</v>
      </c>
      <c r="D59" s="37">
        <f>VLOOKUP(D4,Calculation!$B$8:$IV$881,42,FALSE)</f>
        <v>0</v>
      </c>
      <c r="E59" s="201">
        <f>VLOOKUP(E4,Calculation!$B$8:$IV$881,42,FALSE)</f>
        <v>0</v>
      </c>
      <c r="F59" s="37">
        <f>VLOOKUP(F4,Calculation!$B$8:$IV$881,42,FALSE)</f>
        <v>0</v>
      </c>
      <c r="G59" s="37">
        <f>VLOOKUP(G4,Calculation!$B$8:$IV$881,42,FALSE)</f>
        <v>0</v>
      </c>
      <c r="H59" s="37">
        <f>VLOOKUP(H4,Calculation!$B$8:$IV$881,42,FALSE)</f>
        <v>0</v>
      </c>
      <c r="I59" s="37">
        <f>VLOOKUP(I4,Calculation!$B$8:$IV$881,42,FALSE)</f>
        <v>0</v>
      </c>
      <c r="J59" s="37">
        <f>VLOOKUP(J4,Calculation!$B$8:$IV$881,42,FALSE)</f>
        <v>0</v>
      </c>
      <c r="K59" s="197">
        <f>VLOOKUP(K4,Calculation!$B$8:$IV$881,42,FALSE)</f>
        <v>0</v>
      </c>
    </row>
    <row r="60" spans="1:12" ht="12" customHeight="1">
      <c r="A60" s="260" t="s">
        <v>717</v>
      </c>
      <c r="B60" s="148" t="s">
        <v>13</v>
      </c>
      <c r="C60" s="146">
        <f>VLOOKUP(C4,Calculation!$B$8:$IV$881,37,FALSE)</f>
        <v>0</v>
      </c>
      <c r="D60" s="37">
        <f>VLOOKUP(D4,Calculation!$B$8:$IV$881,37,FALSE)</f>
        <v>0</v>
      </c>
      <c r="E60" s="201">
        <f>VLOOKUP(E4,Calculation!$B$8:$IV$881,37,FALSE)</f>
        <v>0</v>
      </c>
      <c r="F60" s="37">
        <f>VLOOKUP(F4,Calculation!$B$8:$IV$881,37,FALSE)</f>
        <v>0</v>
      </c>
      <c r="G60" s="37">
        <f>VLOOKUP(G4,Calculation!$B$8:$IV$881,37,FALSE)</f>
        <v>0</v>
      </c>
      <c r="H60" s="37">
        <f>VLOOKUP(H4,Calculation!$B$8:$IV$881,37,FALSE)</f>
        <v>0</v>
      </c>
      <c r="I60" s="37">
        <f>VLOOKUP(I4,Calculation!$B$8:$IV$881,37,FALSE)</f>
        <v>0</v>
      </c>
      <c r="J60" s="37">
        <f>VLOOKUP(J4,Calculation!$B$8:$IV$881,37,FALSE)</f>
        <v>0</v>
      </c>
      <c r="K60" s="197">
        <f>VLOOKUP(K4,Calculation!$B$8:$IV$881,37,FALSE)</f>
        <v>0</v>
      </c>
    </row>
    <row r="61" spans="1:12" ht="12" customHeight="1">
      <c r="A61" s="260" t="s">
        <v>718</v>
      </c>
      <c r="B61" s="148" t="s">
        <v>13</v>
      </c>
      <c r="C61" s="146">
        <f>VLOOKUP(C4,Calculation!$B$8:$IV$881,112,FALSE)</f>
        <v>0</v>
      </c>
      <c r="D61" s="37">
        <f>VLOOKUP(D4,Calculation!$B$8:$IV$881,112,FALSE)</f>
        <v>0</v>
      </c>
      <c r="E61" s="201">
        <f>VLOOKUP(E4,Calculation!$B$8:$IV$881,112,FALSE)</f>
        <v>0</v>
      </c>
      <c r="F61" s="37">
        <f>VLOOKUP(F4,Calculation!$B$8:$IV$881,112,FALSE)</f>
        <v>0</v>
      </c>
      <c r="G61" s="37">
        <f>VLOOKUP(G4,Calculation!$B$8:$IV$881,112,FALSE)</f>
        <v>0</v>
      </c>
      <c r="H61" s="37">
        <f>VLOOKUP(H4,Calculation!$B$8:$IV$881,112,FALSE)</f>
        <v>0</v>
      </c>
      <c r="I61" s="37">
        <f>VLOOKUP(I4,Calculation!$B$8:$IV$881,112,FALSE)</f>
        <v>0</v>
      </c>
      <c r="J61" s="37">
        <f>VLOOKUP(J4,Calculation!$B$8:$IV$881,112,FALSE)</f>
        <v>0</v>
      </c>
      <c r="K61" s="197">
        <f>VLOOKUP(K4,Calculation!$B$8:$IV$881,112,FALSE)</f>
        <v>0</v>
      </c>
    </row>
    <row r="62" spans="1:12" ht="12" customHeight="1">
      <c r="A62" s="260" t="s">
        <v>718</v>
      </c>
      <c r="B62" s="148" t="s">
        <v>26</v>
      </c>
      <c r="C62" s="146">
        <f>VLOOKUP(C4,Sheet1!$B$8:$IV$895,126,FALSE)</f>
        <v>0</v>
      </c>
      <c r="D62" s="37">
        <f>VLOOKUP(D4,Sheet1!$B$8:$IV$895,126,FALSE)</f>
        <v>0</v>
      </c>
      <c r="E62" s="201">
        <f>VLOOKUP(E4,Sheet1!$B$8:$IV$895,126,FALSE)</f>
        <v>0</v>
      </c>
      <c r="F62" s="37">
        <f>VLOOKUP(F4,Sheet1!$B$8:$IV$895,126,FALSE)</f>
        <v>0</v>
      </c>
      <c r="G62" s="37">
        <f>VLOOKUP(G4,Sheet1!$B$8:$IV$895,126,FALSE)</f>
        <v>0</v>
      </c>
      <c r="H62" s="37">
        <f>VLOOKUP(H4,Sheet1!$B$8:$IV$895,126,FALSE)</f>
        <v>0</v>
      </c>
      <c r="I62" s="37">
        <f>VLOOKUP(I4,Sheet1!$B$8:$IV$895,126,FALSE)</f>
        <v>0</v>
      </c>
      <c r="J62" s="37">
        <f>VLOOKUP(J4,Sheet1!$B$8:$IV$895,126,FALSE)</f>
        <v>0</v>
      </c>
      <c r="K62" s="197">
        <f>VLOOKUP(K4,Sheet1!$B$8:$IV$895,126,FALSE)</f>
        <v>0</v>
      </c>
    </row>
    <row r="63" spans="1:12" ht="12" customHeight="1">
      <c r="A63" s="260" t="s">
        <v>719</v>
      </c>
      <c r="B63" s="144" t="s">
        <v>13</v>
      </c>
      <c r="C63" s="146">
        <f>VLOOKUP(C4,Calculation!$B$8:$IV$881,43,FALSE)</f>
        <v>0</v>
      </c>
      <c r="D63" s="37">
        <f>VLOOKUP(D4,Calculation!$B$8:$IV$881,43,FALSE)</f>
        <v>0</v>
      </c>
      <c r="E63" s="201">
        <f>VLOOKUP(E4,Calculation!$B$8:$IV$881,43,FALSE)</f>
        <v>0</v>
      </c>
      <c r="F63" s="37">
        <f>VLOOKUP(F4,Calculation!$B$8:$IV$881,43,FALSE)</f>
        <v>0</v>
      </c>
      <c r="G63" s="37">
        <f>VLOOKUP(G4,Calculation!$B$8:$IV$881,43,FALSE)</f>
        <v>0</v>
      </c>
      <c r="H63" s="37">
        <f>VLOOKUP(H4,Calculation!$B$8:$IV$881,43,FALSE)</f>
        <v>0</v>
      </c>
      <c r="I63" s="37">
        <f>VLOOKUP(I4,Calculation!$B$8:$IV$881,43,FALSE)</f>
        <v>0</v>
      </c>
      <c r="J63" s="37">
        <f>VLOOKUP(J4,Calculation!$B$8:$IV$881,43,FALSE)</f>
        <v>0</v>
      </c>
      <c r="K63" s="197">
        <f>VLOOKUP(K4,Calculation!$B$8:$IV$881,43,FALSE)</f>
        <v>0</v>
      </c>
    </row>
    <row r="64" spans="1:12" ht="12" customHeight="1" thickBot="1">
      <c r="A64" s="113" t="s">
        <v>719</v>
      </c>
      <c r="B64" s="167" t="s">
        <v>26</v>
      </c>
      <c r="C64" s="204">
        <f ca="1">VLOOKUP(C4,Calculation!$B$8:$IV$881,45,FALSE)</f>
        <v>0</v>
      </c>
      <c r="D64" s="40">
        <f ca="1">VLOOKUP(D4,Calculation!$B$8:$IV$881,45,FALSE)</f>
        <v>0</v>
      </c>
      <c r="E64" s="202">
        <f ca="1">VLOOKUP(E4,Calculation!$B$8:$IV$881,45,FALSE)</f>
        <v>0</v>
      </c>
      <c r="F64" s="40">
        <f ca="1">VLOOKUP(F4,Calculation!$B$8:$IV$881,45,FALSE)</f>
        <v>0</v>
      </c>
      <c r="G64" s="40">
        <f ca="1">VLOOKUP(G4,Calculation!$B$8:$IV$881,45,FALSE)</f>
        <v>0</v>
      </c>
      <c r="H64" s="40">
        <f ca="1">VLOOKUP(H4,Calculation!$B$8:$IV$881,45,FALSE)</f>
        <v>0</v>
      </c>
      <c r="I64" s="40">
        <f ca="1">VLOOKUP(I4,Calculation!$B$8:$IV$881,45,FALSE)</f>
        <v>0</v>
      </c>
      <c r="J64" s="40">
        <f ca="1">VLOOKUP(J4,Calculation!$B$8:$IV$881,45,FALSE)</f>
        <v>0</v>
      </c>
      <c r="K64" s="774">
        <f ca="1">VLOOKUP(K4,Calculation!$B$8:$IV$881,45,FALSE)</f>
        <v>0</v>
      </c>
    </row>
    <row r="65" spans="1:12" ht="12" customHeight="1">
      <c r="A65" s="154" t="s">
        <v>49</v>
      </c>
      <c r="B65" s="153" t="s">
        <v>13</v>
      </c>
      <c r="C65" s="146">
        <f>VLOOKUP(C4,Calculation!$B$8:$IV$881,52,FALSE)</f>
        <v>0</v>
      </c>
      <c r="D65" s="37">
        <f>VLOOKUP(D4,Calculation!$B$8:$IV$881,52,FALSE)</f>
        <v>0</v>
      </c>
      <c r="E65" s="201">
        <f>VLOOKUP(E4,Calculation!$B$8:$IV$881,52,FALSE)</f>
        <v>0</v>
      </c>
      <c r="F65" s="37">
        <f>VLOOKUP(F4,Calculation!$B$8:$IV$881,52,FALSE)</f>
        <v>0</v>
      </c>
      <c r="G65" s="37">
        <f>VLOOKUP(G4,Calculation!$B$8:$IV$881,52,FALSE)</f>
        <v>0</v>
      </c>
      <c r="H65" s="37">
        <f>VLOOKUP(H4,Calculation!$B$8:$IV$881,52,FALSE)</f>
        <v>0</v>
      </c>
      <c r="I65" s="37">
        <f>VLOOKUP(I4,Calculation!$B$8:$IV$881,52,FALSE)</f>
        <v>0</v>
      </c>
      <c r="J65" s="37">
        <f>VLOOKUP(J4,Calculation!$B$8:$IV$881,52,FALSE)</f>
        <v>0</v>
      </c>
      <c r="K65" s="39">
        <f>VLOOKUP(K4,Calculation!$B$8:$IV$881,52,FALSE)</f>
        <v>0</v>
      </c>
    </row>
    <row r="66" spans="1:12" ht="12" customHeight="1">
      <c r="A66" s="164" t="s">
        <v>50</v>
      </c>
      <c r="B66" s="148" t="s">
        <v>13</v>
      </c>
      <c r="C66" s="146">
        <f>VLOOKUP(C4,Calculation!$B$8:$IV$881,53,FALSE)</f>
        <v>0</v>
      </c>
      <c r="D66" s="37">
        <f>VLOOKUP(D4,Calculation!$B$8:$IV$881,53,FALSE)</f>
        <v>0</v>
      </c>
      <c r="E66" s="201">
        <f>VLOOKUP(E4,Calculation!$B$8:$IV$881,53,FALSE)</f>
        <v>0</v>
      </c>
      <c r="F66" s="37">
        <f>VLOOKUP(F4,Calculation!$B$8:$IV$881,53,FALSE)</f>
        <v>0</v>
      </c>
      <c r="G66" s="37">
        <f>VLOOKUP(G4,Calculation!$B$8:$IV$881,53,FALSE)</f>
        <v>0</v>
      </c>
      <c r="H66" s="37">
        <f>VLOOKUP(H4,Calculation!$B$8:$IV$881,53,FALSE)</f>
        <v>0</v>
      </c>
      <c r="I66" s="37">
        <f>VLOOKUP(I4,Calculation!$B$8:$IV$881,53,FALSE)</f>
        <v>0</v>
      </c>
      <c r="J66" s="37">
        <f>VLOOKUP(J4,Calculation!$B$8:$IV$881,53,FALSE)</f>
        <v>0</v>
      </c>
      <c r="K66" s="863">
        <f>VLOOKUP(K4,Calculation!$B$8:$IV$881,53,FALSE)</f>
        <v>0</v>
      </c>
    </row>
    <row r="67" spans="1:12" ht="12" customHeight="1">
      <c r="A67" s="164" t="s">
        <v>345</v>
      </c>
      <c r="B67" s="148" t="s">
        <v>13</v>
      </c>
      <c r="C67" s="146">
        <f>VLOOKUP(C4,Sheet1!$B$8:$IV$895,58,FALSE)</f>
        <v>0</v>
      </c>
      <c r="D67" s="37">
        <f>VLOOKUP(D4,Sheet1!$B$8:$IV$895,58,FALSE)</f>
        <v>0</v>
      </c>
      <c r="E67" s="201">
        <f>VLOOKUP(E4,Sheet1!$B$8:$IV$895,58,FALSE)</f>
        <v>0</v>
      </c>
      <c r="F67" s="37">
        <f>VLOOKUP(F4,Sheet1!$B$8:$IV$895,58,FALSE)</f>
        <v>0</v>
      </c>
      <c r="G67" s="37">
        <f>VLOOKUP(G4,Sheet1!$B$8:$IV$895,58,FALSE)</f>
        <v>0</v>
      </c>
      <c r="H67" s="37">
        <f>VLOOKUP(H4,Sheet1!$B$8:$IV$895,58,FALSE)</f>
        <v>0</v>
      </c>
      <c r="I67" s="37">
        <f>VLOOKUP(I4,Sheet1!$B$8:$IV$895,58,FALSE)</f>
        <v>0</v>
      </c>
      <c r="J67" s="37">
        <f>VLOOKUP(J4,Sheet1!$B$8:$IV$895,58,FALSE)</f>
        <v>0</v>
      </c>
      <c r="K67" s="39">
        <f>VLOOKUP(K4,Sheet1!$B$8:$IV$895,58,FALSE)</f>
        <v>0</v>
      </c>
    </row>
    <row r="68" spans="1:12" ht="12" customHeight="1">
      <c r="A68" s="643" t="s">
        <v>721</v>
      </c>
      <c r="B68" s="642" t="s">
        <v>13</v>
      </c>
      <c r="C68" s="639">
        <f>VLOOKUP(C4,Sheet1!$B$8:$IV$895,59,FALSE)</f>
        <v>0</v>
      </c>
      <c r="D68" s="640">
        <f>VLOOKUP(D4,Sheet1!$B$8:$IV$895,59,FALSE)</f>
        <v>0</v>
      </c>
      <c r="E68" s="641">
        <f>VLOOKUP(E4,Sheet1!$B$8:$IV$895,59,FALSE)</f>
        <v>0</v>
      </c>
      <c r="F68" s="640">
        <f>VLOOKUP(F4,Sheet1!$B$8:$IV$895,59,FALSE)</f>
        <v>0</v>
      </c>
      <c r="G68" s="640">
        <f>VLOOKUP(G4,Sheet1!$B$8:$IV$895,59,FALSE)</f>
        <v>0</v>
      </c>
      <c r="H68" s="640">
        <f>VLOOKUP(H4,Sheet1!$B$8:$IV$895,59,FALSE)</f>
        <v>0</v>
      </c>
      <c r="I68" s="640">
        <f>VLOOKUP(I4,Sheet1!$B$8:$IV$895,59,FALSE)</f>
        <v>0</v>
      </c>
      <c r="J68" s="640">
        <f>VLOOKUP(J4,Sheet1!$B$8:$IV$895,59,FALSE)</f>
        <v>0</v>
      </c>
      <c r="K68" s="636">
        <f>VLOOKUP(K4,Sheet1!$B$8:$IV$895,59,FALSE)</f>
        <v>0</v>
      </c>
    </row>
    <row r="69" spans="1:12" ht="12" customHeight="1">
      <c r="A69" s="164" t="s">
        <v>346</v>
      </c>
      <c r="B69" s="148" t="s">
        <v>13</v>
      </c>
      <c r="C69" s="146">
        <f>VLOOKUP(C4,Sheet1!$B$8:$IV$895,60,FALSE)</f>
        <v>0</v>
      </c>
      <c r="D69" s="37">
        <f>VLOOKUP(D4,Sheet1!$B$8:$IV$895,60,FALSE)</f>
        <v>0</v>
      </c>
      <c r="E69" s="201">
        <f>VLOOKUP(E4,Sheet1!$B$8:$IV$895,60,FALSE)</f>
        <v>0</v>
      </c>
      <c r="F69" s="37">
        <f>VLOOKUP(F4,Sheet1!$B$8:$IV$895,60,FALSE)</f>
        <v>0</v>
      </c>
      <c r="G69" s="37">
        <f>VLOOKUP(G4,Sheet1!$B$8:$IV$895,60,FALSE)</f>
        <v>0</v>
      </c>
      <c r="H69" s="37">
        <f>VLOOKUP(H4,Sheet1!$B$8:$IV$895,60,FALSE)</f>
        <v>0</v>
      </c>
      <c r="I69" s="37">
        <f>VLOOKUP(I4,Sheet1!$B$8:$IV$895,60,FALSE)</f>
        <v>0</v>
      </c>
      <c r="J69" s="37">
        <f>VLOOKUP(J4,Sheet1!$B$8:$IV$895,60,FALSE)</f>
        <v>0</v>
      </c>
      <c r="K69" s="39">
        <f>VLOOKUP(K4,Sheet1!$B$8:$IV$895,60,FALSE)</f>
        <v>0</v>
      </c>
    </row>
    <row r="70" spans="1:12" ht="12" customHeight="1">
      <c r="A70" s="164" t="s">
        <v>569</v>
      </c>
      <c r="B70" s="148" t="s">
        <v>13</v>
      </c>
      <c r="C70" s="146">
        <f>VLOOKUP(C4,Calculation!$B$8:$IV$881,54,FALSE)</f>
        <v>0</v>
      </c>
      <c r="D70" s="37">
        <f>VLOOKUP(D4,Calculation!$B$8:$IV$881,54,FALSE)</f>
        <v>0</v>
      </c>
      <c r="E70" s="201">
        <f>VLOOKUP(E4,Calculation!$B$8:$IV$881,54,FALSE)</f>
        <v>0</v>
      </c>
      <c r="F70" s="37">
        <f>VLOOKUP(F4,Calculation!$B$8:$IV$881,54,FALSE)</f>
        <v>0</v>
      </c>
      <c r="G70" s="37">
        <f>VLOOKUP(G4,Calculation!$B$8:$IV$881,54,FALSE)</f>
        <v>0</v>
      </c>
      <c r="H70" s="37">
        <f>VLOOKUP(H4,Calculation!$B$8:$IV$881,54,FALSE)</f>
        <v>0</v>
      </c>
      <c r="I70" s="37">
        <f>VLOOKUP(I4,Calculation!$B$8:$IV$881,54,FALSE)</f>
        <v>0</v>
      </c>
      <c r="J70" s="37">
        <f>VLOOKUP(J4,Calculation!$B$8:$IV$881,54,FALSE)</f>
        <v>0</v>
      </c>
      <c r="K70" s="39">
        <f>VLOOKUP(K4,Calculation!$B$8:$IV$881,54,FALSE)</f>
        <v>0</v>
      </c>
    </row>
    <row r="71" spans="1:12" ht="12" customHeight="1">
      <c r="A71" s="260" t="s">
        <v>584</v>
      </c>
      <c r="B71" s="148" t="s">
        <v>13</v>
      </c>
      <c r="C71" s="146">
        <f>VLOOKUP(C4,Calculation!$B$8:$IV$881,57,FALSE)</f>
        <v>0</v>
      </c>
      <c r="D71" s="37">
        <f>VLOOKUP(D4,Calculation!$B$8:$IV$881,57,FALSE)</f>
        <v>0</v>
      </c>
      <c r="E71" s="201">
        <f>VLOOKUP(E4,Calculation!$B$8:$IV$881,57,FALSE)</f>
        <v>0</v>
      </c>
      <c r="F71" s="37">
        <f>VLOOKUP(F4,Calculation!$B$8:$IV$881,57,FALSE)</f>
        <v>0</v>
      </c>
      <c r="G71" s="37">
        <f>VLOOKUP(G4,Calculation!$B$8:$IV$881,57,FALSE)</f>
        <v>0</v>
      </c>
      <c r="H71" s="37">
        <f>VLOOKUP(H4,Calculation!$B$8:$IV$881,57,FALSE)</f>
        <v>0</v>
      </c>
      <c r="I71" s="37">
        <f>VLOOKUP(I4,Calculation!$B$8:$IV$881,57,FALSE)</f>
        <v>0</v>
      </c>
      <c r="J71" s="37">
        <f>VLOOKUP(J4,Calculation!$B$8:$IV$881,57,FALSE)</f>
        <v>0</v>
      </c>
      <c r="K71" s="39">
        <f>VLOOKUP(K4,Calculation!$B$8:$IV$881,57,FALSE)</f>
        <v>0</v>
      </c>
      <c r="L71" s="876"/>
    </row>
    <row r="72" spans="1:12" ht="12" customHeight="1">
      <c r="A72" s="164" t="s">
        <v>46</v>
      </c>
      <c r="B72" s="148" t="s">
        <v>13</v>
      </c>
      <c r="C72" s="146">
        <f>VLOOKUP(C4,Calculation!$B$8:$IV$881,55,FALSE)</f>
        <v>0</v>
      </c>
      <c r="D72" s="37">
        <f>VLOOKUP(D4,Calculation!$B$8:$IV$881,55,FALSE)</f>
        <v>0</v>
      </c>
      <c r="E72" s="201">
        <f>VLOOKUP(E4,Calculation!$B$8:$IV$881,55,FALSE)</f>
        <v>0</v>
      </c>
      <c r="F72" s="37">
        <f>VLOOKUP(F4,Calculation!$B$8:$IV$881,55,FALSE)</f>
        <v>0</v>
      </c>
      <c r="G72" s="37">
        <f>VLOOKUP(G4,Calculation!$B$8:$IV$881,55,FALSE)</f>
        <v>0</v>
      </c>
      <c r="H72" s="37">
        <f>VLOOKUP(H4,Calculation!$B$8:$IV$881,55,FALSE)</f>
        <v>0</v>
      </c>
      <c r="I72" s="37">
        <f>VLOOKUP(I4,Calculation!$B$8:$IV$881,55,FALSE)</f>
        <v>0</v>
      </c>
      <c r="J72" s="37">
        <f>VLOOKUP(J4,Calculation!$B$8:$IV$881,55,FALSE)</f>
        <v>0</v>
      </c>
      <c r="K72" s="39">
        <f>VLOOKUP(K4,Calculation!$B$8:$IV$881,55,FALSE)</f>
        <v>0</v>
      </c>
      <c r="L72" s="876"/>
    </row>
    <row r="73" spans="1:12" ht="12" customHeight="1">
      <c r="A73" s="164" t="s">
        <v>47</v>
      </c>
      <c r="B73" s="148" t="s">
        <v>13</v>
      </c>
      <c r="C73" s="146">
        <f>VLOOKUP(C4,Calculation!$B$8:$IV$881,56,FALSE)</f>
        <v>0</v>
      </c>
      <c r="D73" s="37">
        <f>VLOOKUP(D4,Calculation!$B$8:$IV$881,56,FALSE)</f>
        <v>0</v>
      </c>
      <c r="E73" s="201">
        <f>VLOOKUP(E4,Calculation!$B$8:$IV$881,56,FALSE)</f>
        <v>0</v>
      </c>
      <c r="F73" s="37">
        <f>VLOOKUP(F4,Calculation!$B$8:$IV$881,56,FALSE)</f>
        <v>0</v>
      </c>
      <c r="G73" s="37">
        <f>VLOOKUP(G4,Calculation!$B$8:$IV$881,56,FALSE)</f>
        <v>0</v>
      </c>
      <c r="H73" s="37">
        <f>VLOOKUP(H4,Calculation!$B$8:$IV$881,56,FALSE)</f>
        <v>0</v>
      </c>
      <c r="I73" s="37">
        <f>VLOOKUP(I4,Calculation!$B$8:$IV$881,56,FALSE)</f>
        <v>0</v>
      </c>
      <c r="J73" s="37">
        <f>VLOOKUP(J4,Calculation!$B$8:$IV$881,56,FALSE)</f>
        <v>0</v>
      </c>
      <c r="K73" s="39">
        <f>VLOOKUP(K4,Calculation!$B$8:$IV$881,56,FALSE)</f>
        <v>0</v>
      </c>
    </row>
    <row r="74" spans="1:12" ht="12" customHeight="1">
      <c r="A74" s="164" t="s">
        <v>237</v>
      </c>
      <c r="B74" s="148" t="s">
        <v>13</v>
      </c>
      <c r="C74" s="146">
        <f>VLOOKUP(C4,Calculation!$B$8:$IV$881,113,FALSE)</f>
        <v>0</v>
      </c>
      <c r="D74" s="37">
        <f>VLOOKUP(D4,Calculation!$B$8:$IV$881,113,FALSE)</f>
        <v>0</v>
      </c>
      <c r="E74" s="201">
        <f>VLOOKUP(E4,Calculation!$B$8:$IV$881,113,FALSE)</f>
        <v>0</v>
      </c>
      <c r="F74" s="37">
        <f>VLOOKUP(F4,Calculation!$B$8:$IV$881,113,FALSE)</f>
        <v>0</v>
      </c>
      <c r="G74" s="37">
        <f>VLOOKUP(G4,Calculation!$B$8:$IV$881,113,FALSE)</f>
        <v>0</v>
      </c>
      <c r="H74" s="37">
        <f>VLOOKUP(H4,Calculation!$B$8:$IV$881,113,FALSE)</f>
        <v>0</v>
      </c>
      <c r="I74" s="37">
        <f>VLOOKUP(I4,Calculation!$B$8:$IV$881,113,FALSE)</f>
        <v>0</v>
      </c>
      <c r="J74" s="37">
        <f>VLOOKUP(J4,Calculation!$B$8:$IV$881,113,FALSE)</f>
        <v>0</v>
      </c>
      <c r="K74" s="39">
        <f>VLOOKUP(K4,Calculation!$B$8:$IV$881,113,FALSE)</f>
        <v>0</v>
      </c>
    </row>
    <row r="75" spans="1:12" ht="12" customHeight="1">
      <c r="A75" s="164" t="s">
        <v>237</v>
      </c>
      <c r="B75" s="148" t="s">
        <v>26</v>
      </c>
      <c r="C75" s="146">
        <f>VLOOKUP(C4,Sheet1!$B$8:$IV$895,127,FALSE)</f>
        <v>0</v>
      </c>
      <c r="D75" s="37">
        <f>VLOOKUP(D4,Sheet1!$B$8:$IV$895,127,FALSE)</f>
        <v>0</v>
      </c>
      <c r="E75" s="201">
        <f>VLOOKUP(E4,Sheet1!$B$8:$IV$895,127,FALSE)</f>
        <v>0</v>
      </c>
      <c r="F75" s="37">
        <f>VLOOKUP(F4,Sheet1!$B$8:$IV$895,127,FALSE)</f>
        <v>0</v>
      </c>
      <c r="G75" s="37">
        <f>VLOOKUP(G4,Sheet1!$B$8:$IV$895,127,FALSE)</f>
        <v>0</v>
      </c>
      <c r="H75" s="37">
        <f>VLOOKUP(H4,Sheet1!$B$8:$IV$895,127,FALSE)</f>
        <v>0</v>
      </c>
      <c r="I75" s="37">
        <f>VLOOKUP(I4,Sheet1!$B$8:$IV$895,127,FALSE)</f>
        <v>0</v>
      </c>
      <c r="J75" s="37">
        <f>VLOOKUP(J4,Sheet1!$B$8:$IV$895,127,FALSE)</f>
        <v>0</v>
      </c>
      <c r="K75" s="39">
        <f>VLOOKUP(K4,Sheet1!$B$8:$IV$895,127,FALSE)</f>
        <v>0</v>
      </c>
    </row>
    <row r="76" spans="1:12" ht="12" customHeight="1">
      <c r="A76" s="164" t="s">
        <v>40</v>
      </c>
      <c r="B76" s="148" t="s">
        <v>13</v>
      </c>
      <c r="C76" s="146">
        <f>VLOOKUP(C4,Calculation!$B$8:$IV$881,62,FALSE)</f>
        <v>0</v>
      </c>
      <c r="D76" s="37">
        <f>VLOOKUP(D4,Calculation!$B$8:$IV$881,62,FALSE)</f>
        <v>0</v>
      </c>
      <c r="E76" s="201">
        <f>VLOOKUP(E4,Calculation!$B$8:$IV$881,62,FALSE)</f>
        <v>0</v>
      </c>
      <c r="F76" s="37">
        <f>VLOOKUP(F4,Calculation!$B$8:$IV$881,62,FALSE)</f>
        <v>0</v>
      </c>
      <c r="G76" s="37">
        <f>VLOOKUP(G4,Calculation!$B$8:$IV$881,62,FALSE)</f>
        <v>0</v>
      </c>
      <c r="H76" s="37">
        <f>VLOOKUP(H4,Calculation!$B$8:$IV$881,62,FALSE)</f>
        <v>0</v>
      </c>
      <c r="I76" s="37">
        <f>VLOOKUP(I4,Calculation!$B$8:$IV$881,62,FALSE)</f>
        <v>0</v>
      </c>
      <c r="J76" s="37">
        <f>VLOOKUP(J4,Calculation!$B$8:$IV$881,62,FALSE)</f>
        <v>0</v>
      </c>
      <c r="K76" s="39">
        <f>VLOOKUP(K4,Calculation!$B$8:$IV$881,62,FALSE)</f>
        <v>0</v>
      </c>
    </row>
    <row r="77" spans="1:12" ht="12" customHeight="1" thickBot="1">
      <c r="A77" s="166" t="s">
        <v>48</v>
      </c>
      <c r="B77" s="167" t="s">
        <v>26</v>
      </c>
      <c r="C77" s="204">
        <f ca="1">VLOOKUP(C4,Calculation!$B$8:$IV$881,64,FALSE)</f>
        <v>0</v>
      </c>
      <c r="D77" s="40">
        <f ca="1">VLOOKUP(D4,Calculation!$B$8:$IV$881,64,FALSE)</f>
        <v>0</v>
      </c>
      <c r="E77" s="202">
        <f ca="1">VLOOKUP(E4,Calculation!$B$8:$IV$881,64,FALSE)</f>
        <v>0</v>
      </c>
      <c r="F77" s="40">
        <f ca="1">VLOOKUP(F4,Calculation!$B$8:$IV$881,64,FALSE)</f>
        <v>0</v>
      </c>
      <c r="G77" s="40">
        <f ca="1">VLOOKUP(G4,Calculation!$B$8:$IV$881,64,FALSE)</f>
        <v>0</v>
      </c>
      <c r="H77" s="40">
        <f ca="1">VLOOKUP(H4,Calculation!$B$8:$IV$881,64,FALSE)</f>
        <v>0</v>
      </c>
      <c r="I77" s="40">
        <f ca="1">VLOOKUP(I4,Calculation!$B$8:$IV$881,64,FALSE)</f>
        <v>0</v>
      </c>
      <c r="J77" s="40">
        <f ca="1">VLOOKUP(J4,Calculation!$B$8:$IV$881,64,FALSE)</f>
        <v>0</v>
      </c>
      <c r="K77" s="41">
        <f ca="1">VLOOKUP(K4,Calculation!$B$8:$IV$881,64,FALSE)</f>
        <v>0</v>
      </c>
    </row>
    <row r="78" spans="1:12" ht="12" customHeight="1">
      <c r="A78" s="152" t="s">
        <v>51</v>
      </c>
      <c r="B78" s="153" t="s">
        <v>13</v>
      </c>
      <c r="C78" s="146">
        <f>VLOOKUP(C4,Calculation!$B$8:$IV$881,72,FALSE)</f>
        <v>2.17</v>
      </c>
      <c r="D78" s="37">
        <f>VLOOKUP(D4,Calculation!$B$8:$IV$881,72,FALSE)</f>
        <v>2.04</v>
      </c>
      <c r="E78" s="201">
        <f>VLOOKUP(E4,Calculation!$B$8:$IV$881,72,FALSE)</f>
        <v>2.1</v>
      </c>
      <c r="F78" s="37">
        <f>VLOOKUP(F4,Calculation!$B$8:$IV$881,72,FALSE)</f>
        <v>2</v>
      </c>
      <c r="G78" s="37">
        <f>VLOOKUP(G4,Calculation!$B$8:$IV$881,72,FALSE)</f>
        <v>2.02</v>
      </c>
      <c r="H78" s="37">
        <f>VLOOKUP(H4,Calculation!$B$8:$IV$881,72,FALSE)</f>
        <v>0.64</v>
      </c>
      <c r="I78" s="37">
        <f>VLOOKUP(I4,Calculation!$B$8:$IV$881,72,FALSE)</f>
        <v>0</v>
      </c>
      <c r="J78" s="37">
        <f>VLOOKUP(J4,Calculation!$B$8:$IV$881,72,FALSE)</f>
        <v>0</v>
      </c>
      <c r="K78" s="39">
        <f>VLOOKUP(K4,Calculation!$B$8:$IV$881,72,FALSE)</f>
        <v>0</v>
      </c>
    </row>
    <row r="79" spans="1:12" ht="12" customHeight="1">
      <c r="A79" s="147" t="s">
        <v>52</v>
      </c>
      <c r="B79" s="148" t="s">
        <v>13</v>
      </c>
      <c r="C79" s="146">
        <f>VLOOKUP(C4,Calculation!$B$8:$IV$881,73,FALSE)</f>
        <v>2.1627364016736137</v>
      </c>
      <c r="D79" s="37">
        <f>VLOOKUP(D4,Calculation!$B$8:$IV$881,73,FALSE)</f>
        <v>2.0485391377145246</v>
      </c>
      <c r="E79" s="201">
        <f>VLOOKUP(E4,Calculation!$B$8:$IV$881,73,FALSE)</f>
        <v>2.0687086092717761</v>
      </c>
      <c r="F79" s="37">
        <f>VLOOKUP(F4,Calculation!$B$8:$IV$881,73,FALSE)</f>
        <v>1.9958211450060495</v>
      </c>
      <c r="G79" s="37">
        <f>VLOOKUP(G4,Calculation!$B$8:$IV$881,73,FALSE)</f>
        <v>2.030291801760074</v>
      </c>
      <c r="H79" s="37">
        <f>VLOOKUP(H4,Calculation!$B$8:$IV$881,73,FALSE)</f>
        <v>0.62422535211277452</v>
      </c>
      <c r="I79" s="37">
        <f>VLOOKUP(I4,Calculation!$B$8:$IV$881,73,FALSE)</f>
        <v>0</v>
      </c>
      <c r="J79" s="37">
        <f>VLOOKUP(J4,Calculation!$B$8:$IV$881,73,FALSE)</f>
        <v>0</v>
      </c>
      <c r="K79" s="863">
        <f>VLOOKUP(K4,Calculation!$B$8:$IV$881,73,FALSE)</f>
        <v>0</v>
      </c>
    </row>
    <row r="80" spans="1:12" ht="12" customHeight="1">
      <c r="A80" s="147" t="s">
        <v>347</v>
      </c>
      <c r="B80" s="148" t="s">
        <v>13</v>
      </c>
      <c r="C80" s="146">
        <f>VLOOKUP(C4,Sheet1!$B$8:$IV$895,54,FALSE)</f>
        <v>0.17</v>
      </c>
      <c r="D80" s="37">
        <f>VLOOKUP(D4,Sheet1!$B$8:$IV$895,54,FALSE)</f>
        <v>0.04</v>
      </c>
      <c r="E80" s="201">
        <f>VLOOKUP(E4,Sheet1!$B$8:$IV$895,54,FALSE)</f>
        <v>0.11</v>
      </c>
      <c r="F80" s="37">
        <f>VLOOKUP(F4,Sheet1!$B$8:$IV$895,54,FALSE)</f>
        <v>0</v>
      </c>
      <c r="G80" s="37">
        <f>VLOOKUP(G4,Sheet1!$B$8:$IV$895,54,FALSE)</f>
        <v>0.3</v>
      </c>
      <c r="H80" s="37">
        <f>VLOOKUP(H4,Sheet1!$B$8:$IV$895,54,FALSE)</f>
        <v>0.16</v>
      </c>
      <c r="I80" s="37">
        <f>VLOOKUP(I4,Sheet1!$B$8:$IV$895,54,FALSE)</f>
        <v>0</v>
      </c>
      <c r="J80" s="37">
        <f>VLOOKUP(J4,Sheet1!$B$8:$IV$895,54,FALSE)</f>
        <v>0</v>
      </c>
      <c r="K80" s="39">
        <f>VLOOKUP(K4,Sheet1!$B$8:$IV$895,54,FALSE)</f>
        <v>0</v>
      </c>
    </row>
    <row r="81" spans="1:12" ht="12" customHeight="1">
      <c r="A81" s="147" t="s">
        <v>348</v>
      </c>
      <c r="B81" s="148" t="s">
        <v>13</v>
      </c>
      <c r="C81" s="146">
        <f>VLOOKUP(C4,Sheet1!$B$8:$IV$895,55,FALSE)</f>
        <v>1.5</v>
      </c>
      <c r="D81" s="37">
        <f>VLOOKUP(D4,Sheet1!$B$8:$IV$895,55,FALSE)</f>
        <v>1.5</v>
      </c>
      <c r="E81" s="201">
        <f>VLOOKUP(E4,Sheet1!$B$8:$IV$895,55,FALSE)</f>
        <v>1.5</v>
      </c>
      <c r="F81" s="37">
        <f>VLOOKUP(F4,Sheet1!$B$8:$IV$895,55,FALSE)</f>
        <v>1.5</v>
      </c>
      <c r="G81" s="37">
        <f>VLOOKUP(G4,Sheet1!$B$8:$IV$895,55,FALSE)</f>
        <v>1.5</v>
      </c>
      <c r="H81" s="37">
        <f>VLOOKUP(H4,Sheet1!$B$8:$IV$895,55,FALSE)</f>
        <v>0.48</v>
      </c>
      <c r="I81" s="37">
        <f>VLOOKUP(I4,Sheet1!$B$8:$IV$895,55,FALSE)</f>
        <v>0</v>
      </c>
      <c r="J81" s="37">
        <f>VLOOKUP(J4,Sheet1!$B$8:$IV$895,55,FALSE)</f>
        <v>0</v>
      </c>
      <c r="K81" s="39">
        <f>VLOOKUP(K4,Sheet1!$B$8:$IV$895,55,FALSE)</f>
        <v>0</v>
      </c>
    </row>
    <row r="82" spans="1:12" ht="12" customHeight="1">
      <c r="A82" s="631" t="s">
        <v>720</v>
      </c>
      <c r="B82" s="642" t="s">
        <v>13</v>
      </c>
      <c r="C82" s="639">
        <f>VLOOKUP(C4,Sheet1!$B$8:$IV$895,56,FALSE)</f>
        <v>0</v>
      </c>
      <c r="D82" s="640">
        <f>VLOOKUP(D4,Sheet1!$B$8:$IV$895,56,FALSE)</f>
        <v>0</v>
      </c>
      <c r="E82" s="641">
        <f>VLOOKUP(E4,Sheet1!$B$8:$IV$895,56,FALSE)</f>
        <v>0</v>
      </c>
      <c r="F82" s="640">
        <f>VLOOKUP(F4,Sheet1!$B$8:$IV$895,56,FALSE)</f>
        <v>0</v>
      </c>
      <c r="G82" s="640">
        <f>VLOOKUP(G4,Sheet1!$B$8:$IV$895,56,FALSE)</f>
        <v>0</v>
      </c>
      <c r="H82" s="640">
        <f>VLOOKUP(H4,Sheet1!$B$8:$IV$895,56,FALSE)</f>
        <v>0</v>
      </c>
      <c r="I82" s="640">
        <f>VLOOKUP(I4,Sheet1!$B$8:$IV$895,56,FALSE)</f>
        <v>0</v>
      </c>
      <c r="J82" s="640">
        <f>VLOOKUP(J4,Sheet1!$B$8:$IV$895,56,FALSE)</f>
        <v>0</v>
      </c>
      <c r="K82" s="636">
        <f>VLOOKUP(K4,Sheet1!$B$8:$IV$895,56,FALSE)</f>
        <v>0</v>
      </c>
    </row>
    <row r="83" spans="1:12" ht="12" customHeight="1">
      <c r="A83" s="21" t="s">
        <v>749</v>
      </c>
      <c r="B83" s="148" t="s">
        <v>13</v>
      </c>
      <c r="C83" s="146">
        <f>VLOOKUP(C4,Sheet1!$B$8:$IV$895,57,FALSE)</f>
        <v>0.5</v>
      </c>
      <c r="D83" s="37">
        <f>VLOOKUP(D4,Sheet1!$B$8:$IV$895,57,FALSE)</f>
        <v>0.5</v>
      </c>
      <c r="E83" s="201">
        <f>VLOOKUP(E4,Sheet1!$B$8:$IV$895,57,FALSE)</f>
        <v>0.49</v>
      </c>
      <c r="F83" s="37">
        <f>VLOOKUP(F4,Sheet1!$B$8:$IV$895,57,FALSE)</f>
        <v>0.5</v>
      </c>
      <c r="G83" s="37">
        <f>VLOOKUP(G4,Sheet1!$B$8:$IV$895,57,FALSE)</f>
        <v>0.22</v>
      </c>
      <c r="H83" s="37">
        <f>VLOOKUP(H4,Sheet1!$B$8:$IV$895,57,FALSE)</f>
        <v>0</v>
      </c>
      <c r="I83" s="37">
        <f>VLOOKUP(I4,Sheet1!$B$8:$IV$895,57,FALSE)</f>
        <v>0</v>
      </c>
      <c r="J83" s="37">
        <f>VLOOKUP(J4,Sheet1!$B$8:$IV$895,57,FALSE)</f>
        <v>0</v>
      </c>
      <c r="K83" s="39">
        <f>VLOOKUP(K4,Sheet1!$B$8:$IV$895,57,FALSE)</f>
        <v>0</v>
      </c>
    </row>
    <row r="84" spans="1:12" ht="12" customHeight="1">
      <c r="A84" s="147" t="s">
        <v>417</v>
      </c>
      <c r="B84" s="148" t="s">
        <v>13</v>
      </c>
      <c r="C84" s="146">
        <f>VLOOKUP(C4,Calculation!$B$8:$IV$881,75,FALSE)</f>
        <v>0</v>
      </c>
      <c r="D84" s="37">
        <f>VLOOKUP(D4,Calculation!$B$8:$IV$881,75,FALSE)</f>
        <v>0</v>
      </c>
      <c r="E84" s="201">
        <f>VLOOKUP(E4,Calculation!$B$8:$IV$881,75,FALSE)</f>
        <v>0</v>
      </c>
      <c r="F84" s="37">
        <f>VLOOKUP(F4,Calculation!$B$8:$IV$881,75,FALSE)</f>
        <v>0</v>
      </c>
      <c r="G84" s="37">
        <f>VLOOKUP(G4,Calculation!$B$8:$IV$881,75,FALSE)</f>
        <v>0</v>
      </c>
      <c r="H84" s="37">
        <f>VLOOKUP(H4,Calculation!$B$8:$IV$881,75,FALSE)</f>
        <v>0</v>
      </c>
      <c r="I84" s="37">
        <f>VLOOKUP(I4,Calculation!$B$8:$IV$881,75,FALSE)</f>
        <v>0</v>
      </c>
      <c r="J84" s="37">
        <f>VLOOKUP(J4,Calculation!$B$8:$IV$881,75,FALSE)</f>
        <v>0</v>
      </c>
      <c r="K84" s="39">
        <f>VLOOKUP(K4,Calculation!$B$8:$IV$881,75,FALSE)</f>
        <v>0</v>
      </c>
    </row>
    <row r="85" spans="1:12" ht="12" customHeight="1">
      <c r="A85" s="260" t="s">
        <v>772</v>
      </c>
      <c r="B85" s="148" t="s">
        <v>13</v>
      </c>
      <c r="C85" s="146">
        <f>VLOOKUP(C4,Calculation!$B$8:$IV$881,75,FALSE)</f>
        <v>0</v>
      </c>
      <c r="D85" s="37">
        <f>VLOOKUP(D4,Calculation!$B$8:$IV$881,75,FALSE)</f>
        <v>0</v>
      </c>
      <c r="E85" s="201">
        <f>VLOOKUP(E4,Calculation!$B$8:$IV$881,75,FALSE)</f>
        <v>0</v>
      </c>
      <c r="F85" s="37">
        <f>VLOOKUP(F4,Calculation!$B$8:$IV$881,75,FALSE)</f>
        <v>0</v>
      </c>
      <c r="G85" s="37">
        <f>VLOOKUP(G4,Calculation!$B$8:$IV$881,75,FALSE)</f>
        <v>0</v>
      </c>
      <c r="H85" s="37">
        <f>VLOOKUP(H4,Calculation!$B$8:$IV$881,75,FALSE)</f>
        <v>0</v>
      </c>
      <c r="I85" s="37">
        <f>VLOOKUP(I4,Calculation!$B$8:$IV$881,75,FALSE)</f>
        <v>0</v>
      </c>
      <c r="J85" s="37">
        <f>VLOOKUP(J4,Calculation!$B$8:$IV$881,75,FALSE)</f>
        <v>0</v>
      </c>
      <c r="K85" s="39">
        <f>VLOOKUP(K4,Calculation!$B$8:$IV$881,75,FALSE)</f>
        <v>0</v>
      </c>
    </row>
    <row r="86" spans="1:12" ht="12" customHeight="1">
      <c r="A86" s="260" t="s">
        <v>583</v>
      </c>
      <c r="B86" s="148" t="s">
        <v>13</v>
      </c>
      <c r="C86" s="146">
        <f>VLOOKUP(C4,Calculation!$B$8:$IV$881,78,FALSE)</f>
        <v>2.1627364016736137</v>
      </c>
      <c r="D86" s="37">
        <f>VLOOKUP(D4,Calculation!$B$8:$IV$881,78,FALSE)</f>
        <v>2.0485391377145246</v>
      </c>
      <c r="E86" s="201">
        <f>VLOOKUP(E4,Calculation!$B$8:$IV$881,78,FALSE)</f>
        <v>2.0687086092717761</v>
      </c>
      <c r="F86" s="37">
        <f>VLOOKUP(F4,Calculation!$B$8:$IV$881,78,FALSE)</f>
        <v>1.9958211450060495</v>
      </c>
      <c r="G86" s="37">
        <f>VLOOKUP(G4,Calculation!$B$8:$IV$881,78,FALSE)</f>
        <v>2.030291801760074</v>
      </c>
      <c r="H86" s="37">
        <f>VLOOKUP(H4,Calculation!$B$8:$IV$881,78,FALSE)</f>
        <v>0.62422535211277452</v>
      </c>
      <c r="I86" s="37">
        <f>VLOOKUP(I4,Calculation!$B$8:$IV$881,78,FALSE)</f>
        <v>0</v>
      </c>
      <c r="J86" s="37">
        <f>VLOOKUP(J4,Calculation!$B$8:$IV$881,78,FALSE)</f>
        <v>0</v>
      </c>
      <c r="K86" s="39">
        <f>VLOOKUP(K4,Calculation!$B$8:$IV$881,78,FALSE)</f>
        <v>0</v>
      </c>
      <c r="L86" s="876"/>
    </row>
    <row r="87" spans="1:12" ht="12" customHeight="1">
      <c r="A87" s="164" t="s">
        <v>46</v>
      </c>
      <c r="B87" s="148" t="s">
        <v>13</v>
      </c>
      <c r="C87" s="146">
        <f>VLOOKUP(C4,Calculation!$B$8:$IV$881,76,FALSE)</f>
        <v>0</v>
      </c>
      <c r="D87" s="37">
        <f>VLOOKUP(D4,Calculation!$B$8:$IV$881,76,FALSE)</f>
        <v>0</v>
      </c>
      <c r="E87" s="201">
        <f>VLOOKUP(E4,Calculation!$B$8:$IV$881,76,FALSE)</f>
        <v>0</v>
      </c>
      <c r="F87" s="37">
        <f>VLOOKUP(F4,Calculation!$B$8:$IV$881,76,FALSE)</f>
        <v>0</v>
      </c>
      <c r="G87" s="37">
        <f>VLOOKUP(G4,Calculation!$B$8:$IV$881,76,FALSE)</f>
        <v>0</v>
      </c>
      <c r="H87" s="37">
        <f>VLOOKUP(H4,Calculation!$B$8:$IV$881,76,FALSE)</f>
        <v>0</v>
      </c>
      <c r="I87" s="37">
        <f>VLOOKUP(I4,Calculation!$B$8:$IV$881,76,FALSE)</f>
        <v>0</v>
      </c>
      <c r="J87" s="37">
        <f>VLOOKUP(J4,Calculation!$B$8:$IV$881,76,FALSE)</f>
        <v>0</v>
      </c>
      <c r="K87" s="39">
        <f>VLOOKUP(K4,Calculation!$B$8:$IV$881,76,FALSE)</f>
        <v>0</v>
      </c>
      <c r="L87" s="876"/>
    </row>
    <row r="88" spans="1:12" ht="12" customHeight="1">
      <c r="A88" s="164" t="s">
        <v>47</v>
      </c>
      <c r="B88" s="148" t="s">
        <v>13</v>
      </c>
      <c r="C88" s="146">
        <f>VLOOKUP(C4,Calculation!$B$8:$IV$881,77,FALSE)</f>
        <v>0</v>
      </c>
      <c r="D88" s="37">
        <f>VLOOKUP(D4,Calculation!$B$8:$IV$881,77,FALSE)</f>
        <v>0</v>
      </c>
      <c r="E88" s="201">
        <f>VLOOKUP(E4,Calculation!$B$8:$IV$881,77,FALSE)</f>
        <v>0</v>
      </c>
      <c r="F88" s="37">
        <f>VLOOKUP(F4,Calculation!$B$8:$IV$881,77,FALSE)</f>
        <v>0</v>
      </c>
      <c r="G88" s="37">
        <f>VLOOKUP(G4,Calculation!$B$8:$IV$881,77,FALSE)</f>
        <v>0</v>
      </c>
      <c r="H88" s="37">
        <f>VLOOKUP(H4,Calculation!$B$8:$IV$881,77,FALSE)</f>
        <v>0</v>
      </c>
      <c r="I88" s="37">
        <f>VLOOKUP(I4,Calculation!$B$8:$IV$881,77,FALSE)</f>
        <v>0</v>
      </c>
      <c r="J88" s="37">
        <f>VLOOKUP(J4,Calculation!$B$8:$IV$881,77,FALSE)</f>
        <v>0</v>
      </c>
      <c r="K88" s="39">
        <f>VLOOKUP(K4,Calculation!$B$8:$IV$881,77,FALSE)</f>
        <v>0</v>
      </c>
    </row>
    <row r="89" spans="1:12" ht="12" customHeight="1">
      <c r="A89" s="164" t="s">
        <v>237</v>
      </c>
      <c r="B89" s="148" t="s">
        <v>13</v>
      </c>
      <c r="C89" s="146">
        <f>VLOOKUP(C4,Calculation!$B$8:$IV$881,114,FALSE)</f>
        <v>0</v>
      </c>
      <c r="D89" s="37">
        <f>VLOOKUP(D4,Calculation!$B$8:$IV$881,114,FALSE)</f>
        <v>0</v>
      </c>
      <c r="E89" s="201">
        <f>VLOOKUP(E4,Calculation!$B$8:$IV$881,114,FALSE)</f>
        <v>0</v>
      </c>
      <c r="F89" s="37">
        <f>VLOOKUP(F4,Calculation!$B$8:$IV$881,114,FALSE)</f>
        <v>0</v>
      </c>
      <c r="G89" s="37">
        <f>VLOOKUP(G4,Calculation!$B$8:$IV$881,114,FALSE)</f>
        <v>0</v>
      </c>
      <c r="H89" s="37">
        <f>VLOOKUP(H4,Calculation!$B$8:$IV$881,114,FALSE)</f>
        <v>0</v>
      </c>
      <c r="I89" s="37">
        <f>VLOOKUP(I4,Calculation!$B$8:$IV$881,114,FALSE)</f>
        <v>0</v>
      </c>
      <c r="J89" s="37">
        <f>VLOOKUP(J4,Calculation!$B$8:$IV$881,114,FALSE)</f>
        <v>0</v>
      </c>
      <c r="K89" s="39">
        <f>VLOOKUP(K4,Calculation!$B$8:$IV$881,114,FALSE)</f>
        <v>0</v>
      </c>
    </row>
    <row r="90" spans="1:12" ht="12" customHeight="1">
      <c r="A90" s="164" t="s">
        <v>237</v>
      </c>
      <c r="B90" s="148" t="s">
        <v>26</v>
      </c>
      <c r="C90" s="146">
        <f>VLOOKUP(C4,Sheet1!$B$8:$IV$895,128,FALSE)</f>
        <v>0</v>
      </c>
      <c r="D90" s="37">
        <f>VLOOKUP(D4,Sheet1!$B$8:$IV$895,128,FALSE)</f>
        <v>0</v>
      </c>
      <c r="E90" s="201">
        <f>VLOOKUP(E4,Sheet1!$B$8:$IV$895,128,FALSE)</f>
        <v>0</v>
      </c>
      <c r="F90" s="37">
        <f>VLOOKUP(F4,Sheet1!$B$8:$IV$895,128,FALSE)</f>
        <v>0</v>
      </c>
      <c r="G90" s="37">
        <f>VLOOKUP(G4,Sheet1!$B$8:$IV$895,128,FALSE)</f>
        <v>0</v>
      </c>
      <c r="H90" s="37">
        <f>VLOOKUP(H4,Sheet1!$B$8:$IV$895,128,FALSE)</f>
        <v>0</v>
      </c>
      <c r="I90" s="37">
        <f>VLOOKUP(I4,Sheet1!$B$8:$IV$895,128,FALSE)</f>
        <v>0</v>
      </c>
      <c r="J90" s="37">
        <f>VLOOKUP(J4,Sheet1!$B$8:$IV$895,128,FALSE)</f>
        <v>0</v>
      </c>
      <c r="K90" s="39">
        <f>VLOOKUP(K4,Sheet1!$B$8:$IV$895,128,FALSE)</f>
        <v>0</v>
      </c>
    </row>
    <row r="91" spans="1:12" ht="12" customHeight="1">
      <c r="A91" s="164" t="s">
        <v>40</v>
      </c>
      <c r="B91" s="144" t="s">
        <v>13</v>
      </c>
      <c r="C91" s="146">
        <f>VLOOKUP(C4,Calculation!$B$8:$IV$881,83,FALSE)</f>
        <v>0</v>
      </c>
      <c r="D91" s="37">
        <f>VLOOKUP(D4,Calculation!$B$8:$IV$881,83,FALSE)</f>
        <v>0</v>
      </c>
      <c r="E91" s="201">
        <f>VLOOKUP(E4,Calculation!$B$8:$IV$881,83,FALSE)</f>
        <v>0</v>
      </c>
      <c r="F91" s="37">
        <f>VLOOKUP(F4,Calculation!$B$8:$IV$881,83,FALSE)</f>
        <v>0</v>
      </c>
      <c r="G91" s="37">
        <f>VLOOKUP(G4,Calculation!$B$8:$IV$881,83,FALSE)</f>
        <v>0</v>
      </c>
      <c r="H91" s="37">
        <f>VLOOKUP(H4,Calculation!$B$8:$IV$881,83,FALSE)</f>
        <v>0</v>
      </c>
      <c r="I91" s="37">
        <f>VLOOKUP(I4,Calculation!$B$8:$IV$881,83,FALSE)</f>
        <v>0</v>
      </c>
      <c r="J91" s="37">
        <f>VLOOKUP(J4,Calculation!$B$8:$IV$881,83,FALSE)</f>
        <v>0</v>
      </c>
      <c r="K91" s="39">
        <f>VLOOKUP(K4,Calculation!$B$8:$IV$881,83,FALSE)</f>
        <v>0</v>
      </c>
    </row>
    <row r="92" spans="1:12" ht="12" customHeight="1" thickBot="1">
      <c r="A92" s="166" t="s">
        <v>48</v>
      </c>
      <c r="B92" s="167" t="s">
        <v>26</v>
      </c>
      <c r="C92" s="204">
        <f ca="1">VLOOKUP(C4,Calculation!$B$8:$IV$881,85,FALSE)</f>
        <v>0</v>
      </c>
      <c r="D92" s="40">
        <f ca="1">VLOOKUP(D4,Calculation!$B$8:$IV$881,85,FALSE)</f>
        <v>0</v>
      </c>
      <c r="E92" s="202">
        <f ca="1">VLOOKUP(E4,Calculation!$B$8:$IV$881,85,FALSE)</f>
        <v>0</v>
      </c>
      <c r="F92" s="40">
        <f ca="1">VLOOKUP(F4,Calculation!$B$8:$IV$881,85,FALSE)</f>
        <v>0</v>
      </c>
      <c r="G92" s="40">
        <f ca="1">VLOOKUP(G4,Calculation!$B$8:$IV$881,85,FALSE)</f>
        <v>0</v>
      </c>
      <c r="H92" s="40">
        <f ca="1">VLOOKUP(H4,Calculation!$B$8:$IV$881,85,FALSE)</f>
        <v>0</v>
      </c>
      <c r="I92" s="40">
        <f ca="1">VLOOKUP(I4,Calculation!$B$8:$IV$881,85,FALSE)</f>
        <v>0</v>
      </c>
      <c r="J92" s="40">
        <f ca="1">VLOOKUP(J4,Calculation!$B$8:$IV$881,85,FALSE)</f>
        <v>0</v>
      </c>
      <c r="K92" s="41">
        <f ca="1">VLOOKUP(K4,Calculation!$B$8:$IV$881,85,FALSE)</f>
        <v>0</v>
      </c>
    </row>
    <row r="93" spans="1:12" ht="12" customHeight="1">
      <c r="A93" s="152" t="s">
        <v>53</v>
      </c>
      <c r="B93" s="153" t="s">
        <v>13</v>
      </c>
      <c r="C93" s="146">
        <f>VLOOKUP(C4,Calculation!$B$8:$IV$881,92,FALSE)</f>
        <v>6.33</v>
      </c>
      <c r="D93" s="37">
        <f>VLOOKUP(D4,Calculation!$B$8:$IV$881,92,FALSE)</f>
        <v>6.5500000000000007</v>
      </c>
      <c r="E93" s="201">
        <f>VLOOKUP(E4,Calculation!$B$8:$IV$881,92,FALSE)</f>
        <v>7.26</v>
      </c>
      <c r="F93" s="37">
        <f>VLOOKUP(F4,Calculation!$B$8:$IV$881,92,FALSE)</f>
        <v>5.63</v>
      </c>
      <c r="G93" s="37">
        <f>VLOOKUP(G4,Calculation!$B$8:$IV$881,92,FALSE)</f>
        <v>6.47</v>
      </c>
      <c r="H93" s="37">
        <f>VLOOKUP(H4,Calculation!$B$8:$IV$881,92,FALSE)</f>
        <v>2</v>
      </c>
      <c r="I93" s="37">
        <f>VLOOKUP(I4,Calculation!$B$8:$IV$881,92,FALSE)</f>
        <v>0</v>
      </c>
      <c r="J93" s="37">
        <f>VLOOKUP(J4,Calculation!$B$8:$IV$881,92,FALSE)</f>
        <v>0</v>
      </c>
      <c r="K93" s="39">
        <f>VLOOKUP(K4,Calculation!$B$8:$IV$881,92,FALSE)</f>
        <v>0</v>
      </c>
    </row>
    <row r="94" spans="1:12" ht="12" customHeight="1">
      <c r="A94" s="147" t="s">
        <v>54</v>
      </c>
      <c r="B94" s="148" t="s">
        <v>13</v>
      </c>
      <c r="C94" s="146">
        <f>VLOOKUP(C4,Calculation!$B$8:$IV$881,93,FALSE)</f>
        <v>6.3088117154810952</v>
      </c>
      <c r="D94" s="37">
        <f>VLOOKUP(D4,Calculation!$B$8:$IV$881,93,FALSE)</f>
        <v>6.5774173294265381</v>
      </c>
      <c r="E94" s="201">
        <f>VLOOKUP(E4,Calculation!$B$8:$IV$881,93,FALSE)</f>
        <v>7.1518211920538546</v>
      </c>
      <c r="F94" s="37">
        <f>VLOOKUP(F4,Calculation!$B$8:$IV$881,93,FALSE)</f>
        <v>5.6182365231920288</v>
      </c>
      <c r="G94" s="37">
        <f>VLOOKUP(G4,Calculation!$B$8:$IV$881,93,FALSE)</f>
        <v>6.5029643353404349</v>
      </c>
      <c r="H94" s="37">
        <f>VLOOKUP(H4,Calculation!$B$8:$IV$881,93,FALSE)</f>
        <v>1.9507042253524203</v>
      </c>
      <c r="I94" s="37">
        <f>VLOOKUP(I4,Calculation!$B$8:$IV$881,93,FALSE)</f>
        <v>0</v>
      </c>
      <c r="J94" s="37">
        <f>VLOOKUP(J4,Calculation!$B$8:$IV$881,93,FALSE)</f>
        <v>0</v>
      </c>
      <c r="K94" s="39">
        <f>VLOOKUP(K4,Calculation!$B$8:$IV$881,93,FALSE)</f>
        <v>0</v>
      </c>
    </row>
    <row r="95" spans="1:12" ht="12" customHeight="1">
      <c r="A95" s="147" t="s">
        <v>349</v>
      </c>
      <c r="B95" s="148" t="s">
        <v>13</v>
      </c>
      <c r="C95" s="146">
        <f>VLOOKUP(C4,Sheet1!$B$8:$IV$895,62,FALSE)</f>
        <v>3.18</v>
      </c>
      <c r="D95" s="37">
        <f>VLOOKUP(D4,Sheet1!$B$8:$IV$895,62,FALSE)</f>
        <v>3.18</v>
      </c>
      <c r="E95" s="201">
        <f>VLOOKUP(E4,Sheet1!$B$8:$IV$895,62,FALSE)</f>
        <v>2.6</v>
      </c>
      <c r="F95" s="37">
        <f>VLOOKUP(F4,Sheet1!$B$8:$IV$895,62,FALSE)</f>
        <v>1.85</v>
      </c>
      <c r="G95" s="37">
        <f>VLOOKUP(G4,Sheet1!$B$8:$IV$895,62,FALSE)</f>
        <v>2.33</v>
      </c>
      <c r="H95" s="37">
        <f>VLOOKUP(H4,Sheet1!$B$8:$IV$895,62,FALSE)</f>
        <v>0.97</v>
      </c>
      <c r="I95" s="37">
        <f>VLOOKUP(I4,Sheet1!$B$8:$IV$895,62,FALSE)</f>
        <v>0</v>
      </c>
      <c r="J95" s="37">
        <f>VLOOKUP(J4,Sheet1!$B$8:$IV$895,62,FALSE)</f>
        <v>0</v>
      </c>
      <c r="K95" s="39">
        <f>VLOOKUP(K4,Sheet1!$B$8:$IV$895,62,FALSE)</f>
        <v>0</v>
      </c>
    </row>
    <row r="96" spans="1:12" ht="12" customHeight="1">
      <c r="A96" s="147" t="s">
        <v>350</v>
      </c>
      <c r="B96" s="148" t="s">
        <v>13</v>
      </c>
      <c r="C96" s="146">
        <f>VLOOKUP(C4,Sheet1!$B$8:$IV$895,63,FALSE)</f>
        <v>3.15</v>
      </c>
      <c r="D96" s="37">
        <f>VLOOKUP(D4,Sheet1!$B$8:$IV$895,63,FALSE)</f>
        <v>3.37</v>
      </c>
      <c r="E96" s="201">
        <f>VLOOKUP(E4,Sheet1!$B$8:$IV$895,63,FALSE)</f>
        <v>4.66</v>
      </c>
      <c r="F96" s="37">
        <f>VLOOKUP(F4,Sheet1!$B$8:$IV$895,63,FALSE)</f>
        <v>3.78</v>
      </c>
      <c r="G96" s="37">
        <f>VLOOKUP(G4,Sheet1!$B$8:$IV$895,63,FALSE)</f>
        <v>4.1399999999999997</v>
      </c>
      <c r="H96" s="37">
        <f>VLOOKUP(H4,Sheet1!$B$8:$IV$895,63,FALSE)</f>
        <v>1.03</v>
      </c>
      <c r="I96" s="37">
        <f>VLOOKUP(I4,Sheet1!$B$8:$IV$895,63,FALSE)</f>
        <v>0</v>
      </c>
      <c r="J96" s="37">
        <f>VLOOKUP(J4,Sheet1!$B$8:$IV$895,63,FALSE)</f>
        <v>0</v>
      </c>
      <c r="K96" s="39">
        <f>VLOOKUP(K4,Sheet1!$B$8:$IV$895,63,FALSE)</f>
        <v>0</v>
      </c>
    </row>
    <row r="97" spans="1:12" ht="12" customHeight="1">
      <c r="A97" s="147" t="s">
        <v>351</v>
      </c>
      <c r="B97" s="148" t="s">
        <v>13</v>
      </c>
      <c r="C97" s="146">
        <f>VLOOKUP(C4,Sheet1!$B$8:$IV$895,64,FALSE)</f>
        <v>0</v>
      </c>
      <c r="D97" s="37">
        <f>VLOOKUP(D4,Sheet1!$B$8:$IV$895,64,FALSE)</f>
        <v>0</v>
      </c>
      <c r="E97" s="201">
        <f>VLOOKUP(E4,Sheet1!$B$8:$IV$895,64,FALSE)</f>
        <v>0</v>
      </c>
      <c r="F97" s="37">
        <f>VLOOKUP(F4,Sheet1!$B$8:$IV$895,64,FALSE)</f>
        <v>0</v>
      </c>
      <c r="G97" s="37">
        <f>VLOOKUP(G4,Sheet1!$B$8:$IV$895,64,FALSE)</f>
        <v>0</v>
      </c>
      <c r="H97" s="37">
        <f>VLOOKUP(H4,Sheet1!$B$8:$IV$895,64,FALSE)</f>
        <v>0</v>
      </c>
      <c r="I97" s="37">
        <f>VLOOKUP(I4,Sheet1!$B$8:$IV$895,64,FALSE)</f>
        <v>0</v>
      </c>
      <c r="J97" s="37">
        <f>VLOOKUP(J4,Sheet1!$B$8:$IV$895,64,FALSE)</f>
        <v>0</v>
      </c>
      <c r="K97" s="39">
        <f>VLOOKUP(K4,Sheet1!$B$8:$IV$895,64,FALSE)</f>
        <v>0</v>
      </c>
    </row>
    <row r="98" spans="1:12" ht="12" customHeight="1">
      <c r="A98" s="260" t="s">
        <v>773</v>
      </c>
      <c r="B98" s="148" t="s">
        <v>13</v>
      </c>
      <c r="C98" s="206">
        <f>VLOOKUP(C4,Calculation!$B$8:$IV$881,94,FALSE)</f>
        <v>0</v>
      </c>
      <c r="D98" s="196">
        <f>VLOOKUP(D4,Calculation!$B$8:$IV$881,94,FALSE)</f>
        <v>0</v>
      </c>
      <c r="E98" s="209">
        <f>VLOOKUP(E4,Calculation!$B$8:$IV$881,94,FALSE)</f>
        <v>0</v>
      </c>
      <c r="F98" s="196">
        <f>VLOOKUP(F4,Calculation!$B$8:$IV$881,94,FALSE)</f>
        <v>0</v>
      </c>
      <c r="G98" s="196">
        <f>VLOOKUP(G4,Calculation!$B$8:$IV$881,94,FALSE)</f>
        <v>0</v>
      </c>
      <c r="H98" s="196">
        <f>VLOOKUP(H4,Calculation!$B$8:$IV$881,94,FALSE)</f>
        <v>0</v>
      </c>
      <c r="I98" s="196">
        <f>VLOOKUP(I4,Calculation!$B$8:$IV$881,94,FALSE)</f>
        <v>0</v>
      </c>
      <c r="J98" s="196">
        <f>VLOOKUP(J4,Calculation!$B$8:$IV$881,94,FALSE)</f>
        <v>0</v>
      </c>
      <c r="K98" s="197">
        <f>VLOOKUP(K4,Calculation!$B$8:$IV$881,94,FALSE)</f>
        <v>0</v>
      </c>
    </row>
    <row r="99" spans="1:12" ht="12" customHeight="1">
      <c r="A99" s="260" t="s">
        <v>582</v>
      </c>
      <c r="B99" s="148" t="s">
        <v>13</v>
      </c>
      <c r="C99" s="146">
        <f>VLOOKUP(C4,Calculation!$B$8:$IV$881,97,FALSE)</f>
        <v>2.5117178237256392</v>
      </c>
      <c r="D99" s="37">
        <f>VLOOKUP(D4,Calculation!$B$8:$IV$881,97,FALSE)</f>
        <v>2.4939388356659355</v>
      </c>
      <c r="E99" s="201">
        <f>VLOOKUP(E4,Calculation!$B$8:$IV$881,97,FALSE)</f>
        <v>7.1518211920538546</v>
      </c>
      <c r="F99" s="37">
        <f>VLOOKUP(F4,Calculation!$B$8:$IV$881,97,FALSE)</f>
        <v>4.9535556676191987</v>
      </c>
      <c r="G99" s="37">
        <f>VLOOKUP(G4,Calculation!$B$8:$IV$881,97,FALSE)</f>
        <v>6.5029643353404349</v>
      </c>
      <c r="H99" s="37">
        <f>VLOOKUP(H4,Calculation!$B$8:$IV$881,97,FALSE)</f>
        <v>1.9507042253524203</v>
      </c>
      <c r="I99" s="37">
        <f>VLOOKUP(I4,Calculation!$B$8:$IV$881,97,FALSE)</f>
        <v>0</v>
      </c>
      <c r="J99" s="37">
        <f>VLOOKUP(J4,Calculation!$B$8:$IV$881,97,FALSE)</f>
        <v>0</v>
      </c>
      <c r="K99" s="39">
        <f>VLOOKUP(K4,Calculation!$B$8:$IV$881,97,FALSE)</f>
        <v>0</v>
      </c>
      <c r="L99" s="876"/>
    </row>
    <row r="100" spans="1:12" ht="12" customHeight="1">
      <c r="A100" s="164" t="s">
        <v>46</v>
      </c>
      <c r="B100" s="148" t="s">
        <v>13</v>
      </c>
      <c r="C100" s="146">
        <f>VLOOKUP(C4,Calculation!$B$8:$IV$881,95,FALSE)</f>
        <v>3.797093891755456</v>
      </c>
      <c r="D100" s="37">
        <f>VLOOKUP(D4,Calculation!$B$8:$IV$881,95,FALSE)</f>
        <v>4.0834784937606026</v>
      </c>
      <c r="E100" s="201">
        <f>VLOOKUP(E4,Calculation!$B$8:$IV$881,95,FALSE)</f>
        <v>0</v>
      </c>
      <c r="F100" s="37">
        <f>VLOOKUP(F4,Calculation!$B$8:$IV$881,95,FALSE)</f>
        <v>0.66468085557283008</v>
      </c>
      <c r="G100" s="37">
        <f>VLOOKUP(G4,Calculation!$B$8:$IV$881,95,FALSE)</f>
        <v>0</v>
      </c>
      <c r="H100" s="37">
        <f>VLOOKUP(H4,Calculation!$B$8:$IV$881,95,FALSE)</f>
        <v>0</v>
      </c>
      <c r="I100" s="37">
        <f>VLOOKUP(I4,Calculation!$B$8:$IV$881,95,FALSE)</f>
        <v>0</v>
      </c>
      <c r="J100" s="37">
        <f>VLOOKUP(J4,Calculation!$B$8:$IV$881,95,FALSE)</f>
        <v>0</v>
      </c>
      <c r="K100" s="39">
        <f>VLOOKUP(K4,Calculation!$B$8:$IV$881,95,FALSE)</f>
        <v>0</v>
      </c>
      <c r="L100" s="876"/>
    </row>
    <row r="101" spans="1:12" ht="12" customHeight="1">
      <c r="A101" s="164" t="s">
        <v>47</v>
      </c>
      <c r="B101" s="148" t="s">
        <v>13</v>
      </c>
      <c r="C101" s="146">
        <f>VLOOKUP(C4,Calculation!$B$8:$IV$881,96,FALSE)</f>
        <v>0</v>
      </c>
      <c r="D101" s="37">
        <f>VLOOKUP(D4,Calculation!$B$8:$IV$881,96,FALSE)</f>
        <v>0</v>
      </c>
      <c r="E101" s="201">
        <f>VLOOKUP(E4,Calculation!$B$8:$IV$881,96,FALSE)</f>
        <v>0</v>
      </c>
      <c r="F101" s="37">
        <f>VLOOKUP(F4,Calculation!$B$8:$IV$881,96,FALSE)</f>
        <v>0</v>
      </c>
      <c r="G101" s="37">
        <f>VLOOKUP(G4,Calculation!$B$8:$IV$881,96,FALSE)</f>
        <v>0</v>
      </c>
      <c r="H101" s="37">
        <f>VLOOKUP(H4,Calculation!$B$8:$IV$881,96,FALSE)</f>
        <v>0</v>
      </c>
      <c r="I101" s="37">
        <f>VLOOKUP(I4,Calculation!$B$8:$IV$881,96,FALSE)</f>
        <v>0</v>
      </c>
      <c r="J101" s="37">
        <f>VLOOKUP(J4,Calculation!$B$8:$IV$881,96,FALSE)</f>
        <v>0</v>
      </c>
      <c r="K101" s="39">
        <f>VLOOKUP(K4,Calculation!$B$8:$IV$881,96,FALSE)</f>
        <v>0</v>
      </c>
    </row>
    <row r="102" spans="1:12" ht="12" customHeight="1">
      <c r="A102" s="164" t="s">
        <v>237</v>
      </c>
      <c r="B102" s="148" t="s">
        <v>13</v>
      </c>
      <c r="C102" s="146">
        <f>VLOOKUP(C4,Calculation!$B$8:$IV$881,115,FALSE)</f>
        <v>0</v>
      </c>
      <c r="D102" s="37">
        <f>VLOOKUP(D4,Calculation!$B$8:$IV$881,115,FALSE)</f>
        <v>0</v>
      </c>
      <c r="E102" s="201">
        <f>VLOOKUP(E4,Calculation!$B$8:$IV$881,115,FALSE)</f>
        <v>0</v>
      </c>
      <c r="F102" s="37">
        <f>VLOOKUP(F4,Calculation!$B$8:$IV$881,115,FALSE)</f>
        <v>0</v>
      </c>
      <c r="G102" s="37">
        <f>VLOOKUP(G4,Calculation!$B$8:$IV$881,115,FALSE)</f>
        <v>0</v>
      </c>
      <c r="H102" s="37">
        <f>VLOOKUP(H4,Calculation!$B$8:$IV$881,115,FALSE)</f>
        <v>0</v>
      </c>
      <c r="I102" s="37">
        <f>VLOOKUP(I4,Calculation!$B$8:$IV$881,115,FALSE)</f>
        <v>0</v>
      </c>
      <c r="J102" s="37">
        <f>VLOOKUP(J4,Calculation!$B$8:$IV$881,115,FALSE)</f>
        <v>0</v>
      </c>
      <c r="K102" s="39">
        <f>VLOOKUP(K4,Calculation!$B$8:$IV$881,115,FALSE)</f>
        <v>0</v>
      </c>
    </row>
    <row r="103" spans="1:12" ht="12" customHeight="1">
      <c r="A103" s="164" t="s">
        <v>237</v>
      </c>
      <c r="B103" s="148" t="s">
        <v>26</v>
      </c>
      <c r="C103" s="146">
        <f>VLOOKUP(C4,Sheet1!$B$8:$IV$895,129,FALSE)</f>
        <v>0</v>
      </c>
      <c r="D103" s="37">
        <f>VLOOKUP(D4,Sheet1!$B$8:$IV$895,129,FALSE)</f>
        <v>0</v>
      </c>
      <c r="E103" s="201">
        <f>VLOOKUP(E4,Sheet1!$B$8:$IV$895,129,FALSE)</f>
        <v>0</v>
      </c>
      <c r="F103" s="37">
        <f>VLOOKUP(F4,Sheet1!$B$8:$IV$895,129,FALSE)</f>
        <v>0</v>
      </c>
      <c r="G103" s="37">
        <f>VLOOKUP(G4,Sheet1!$B$8:$IV$895,129,FALSE)</f>
        <v>0</v>
      </c>
      <c r="H103" s="37">
        <f>VLOOKUP(H4,Sheet1!$B$8:$IV$895,129,FALSE)</f>
        <v>0</v>
      </c>
      <c r="I103" s="37">
        <f>VLOOKUP(I4,Sheet1!$B$8:$IV$895,129,FALSE)</f>
        <v>0</v>
      </c>
      <c r="J103" s="37">
        <f>VLOOKUP(J4,Sheet1!$B$8:$IV$895,129,FALSE)</f>
        <v>0</v>
      </c>
      <c r="K103" s="39">
        <f>VLOOKUP(K4,Sheet1!$B$8:$IV$895,129,FALSE)</f>
        <v>0</v>
      </c>
    </row>
    <row r="104" spans="1:12" ht="12" customHeight="1">
      <c r="A104" s="168" t="s">
        <v>40</v>
      </c>
      <c r="B104" s="143" t="s">
        <v>13</v>
      </c>
      <c r="C104" s="146">
        <f>VLOOKUP(C4,Calculation!$B$8:$IV$881,102,FALSE)</f>
        <v>0</v>
      </c>
      <c r="D104" s="37">
        <f>VLOOKUP(D4,Calculation!$B$8:$IV$881,102,FALSE)</f>
        <v>0</v>
      </c>
      <c r="E104" s="201">
        <f>VLOOKUP(E4,Calculation!$B$8:$IV$881,102,FALSE)</f>
        <v>0</v>
      </c>
      <c r="F104" s="37">
        <f>VLOOKUP(F4,Calculation!$B$8:$IV$881,102,FALSE)</f>
        <v>0</v>
      </c>
      <c r="G104" s="37">
        <f>VLOOKUP(G4,Calculation!$B$8:$IV$881,102,FALSE)</f>
        <v>0</v>
      </c>
      <c r="H104" s="37">
        <f>VLOOKUP(H4,Calculation!$B$8:$IV$881,102,FALSE)</f>
        <v>0</v>
      </c>
      <c r="I104" s="37">
        <f>VLOOKUP(I4,Calculation!$B$8:$IV$881,102,FALSE)</f>
        <v>0</v>
      </c>
      <c r="J104" s="37">
        <f>VLOOKUP(J4,Calculation!$B$8:$IV$881,102,FALSE)</f>
        <v>0</v>
      </c>
      <c r="K104" s="39">
        <f>VLOOKUP(K4,Calculation!$B$8:$IV$881,102,FALSE)</f>
        <v>0</v>
      </c>
    </row>
    <row r="105" spans="1:12" ht="12" customHeight="1" thickBot="1">
      <c r="A105" s="155" t="s">
        <v>48</v>
      </c>
      <c r="B105" s="169" t="s">
        <v>26</v>
      </c>
      <c r="C105" s="204">
        <f ca="1">VLOOKUP(C4,Calculation!$B$8:$IV$881,104,FALSE)</f>
        <v>0</v>
      </c>
      <c r="D105" s="40">
        <f ca="1">VLOOKUP(D4,Calculation!$B$8:$IV$881,104,FALSE)</f>
        <v>0</v>
      </c>
      <c r="E105" s="202">
        <f ca="1">VLOOKUP(E4,Calculation!$B$8:$IV$881,104,FALSE)</f>
        <v>0</v>
      </c>
      <c r="F105" s="40">
        <f ca="1">VLOOKUP(F4,Calculation!$B$8:$IV$881,104,FALSE)</f>
        <v>0</v>
      </c>
      <c r="G105" s="40">
        <f ca="1">VLOOKUP(G4,Calculation!$B$8:$IV$881,104,FALSE)</f>
        <v>0</v>
      </c>
      <c r="H105" s="40">
        <f ca="1">VLOOKUP(H4,Calculation!$B$8:$IV$881,104,FALSE)</f>
        <v>0</v>
      </c>
      <c r="I105" s="40">
        <f ca="1">VLOOKUP(I4,Calculation!$B$8:$IV$881,104,FALSE)</f>
        <v>0</v>
      </c>
      <c r="J105" s="40">
        <f ca="1">VLOOKUP(J4,Calculation!$B$8:$IV$881,104,FALSE)</f>
        <v>0</v>
      </c>
      <c r="K105" s="41">
        <f ca="1">VLOOKUP(K4,Calculation!$B$8:$IV$881,104,FALSE)</f>
        <v>0</v>
      </c>
    </row>
    <row r="106" spans="1:12" ht="12" customHeight="1" thickBot="1">
      <c r="A106" s="170" t="s">
        <v>55</v>
      </c>
      <c r="B106" s="171" t="s">
        <v>13</v>
      </c>
      <c r="C106" s="205">
        <f>VLOOKUP(C4,Calculation!$B$8:$IV$881,105,FALSE)</f>
        <v>8.5</v>
      </c>
      <c r="D106" s="172">
        <f>VLOOKUP(D4,Calculation!$B$8:$IV$881,105,FALSE)</f>
        <v>8.59</v>
      </c>
      <c r="E106" s="208">
        <f>VLOOKUP(E4,Calculation!$B$8:$IV$881,105,FALSE)</f>
        <v>9.36</v>
      </c>
      <c r="F106" s="172">
        <f>VLOOKUP(F4,Calculation!$B$8:$IV$881,105,FALSE)</f>
        <v>7.63</v>
      </c>
      <c r="G106" s="172">
        <f>VLOOKUP(G4,Calculation!$B$8:$IV$881,105,FALSE)</f>
        <v>8.49</v>
      </c>
      <c r="H106" s="172">
        <f>VLOOKUP(H4,Calculation!$B$8:$IV$881,105,FALSE)</f>
        <v>2.64</v>
      </c>
      <c r="I106" s="172">
        <f>VLOOKUP(I4,Calculation!$B$8:$IV$881,105,FALSE)</f>
        <v>0</v>
      </c>
      <c r="J106" s="172">
        <f>VLOOKUP(J4,Calculation!$B$8:$IV$881,105,FALSE)</f>
        <v>0</v>
      </c>
      <c r="K106" s="165">
        <f>VLOOKUP(K4,Calculation!$B$8:$IV$881,105,FALSE)</f>
        <v>0</v>
      </c>
    </row>
    <row r="107" spans="1:12" ht="12" customHeight="1" thickBot="1">
      <c r="A107" s="170" t="s">
        <v>56</v>
      </c>
      <c r="B107" s="173" t="s">
        <v>13</v>
      </c>
      <c r="C107" s="205">
        <f>VLOOKUP(C4,Calculation!$B$8:$IV$881,106,FALSE)</f>
        <v>23.9</v>
      </c>
      <c r="D107" s="172">
        <f>VLOOKUP(D4,Calculation!$B$8:$IV$881,106,FALSE)</f>
        <v>23.89</v>
      </c>
      <c r="E107" s="208">
        <f>VLOOKUP(E4,Calculation!$B$8:$IV$881,106,FALSE)</f>
        <v>24.16</v>
      </c>
      <c r="F107" s="172">
        <f>VLOOKUP(F4,Calculation!$B$8:$IV$881,106,FALSE)</f>
        <v>23.93</v>
      </c>
      <c r="G107" s="172">
        <f>VLOOKUP(G4,Calculation!$B$8:$IV$881,106,FALSE)</f>
        <v>21.59</v>
      </c>
      <c r="H107" s="172">
        <f>VLOOKUP(H4,Calculation!$B$8:$IV$881,106,FALSE)</f>
        <v>17.04</v>
      </c>
      <c r="I107" s="172">
        <f>VLOOKUP(I4,Calculation!$B$8:$IV$881,106,FALSE)</f>
        <v>14</v>
      </c>
      <c r="J107" s="172">
        <f>VLOOKUP(J4,Calculation!$B$8:$IV$881,106,FALSE)</f>
        <v>16.899999999999999</v>
      </c>
      <c r="K107" s="165">
        <f>VLOOKUP(K4,Calculation!$B$8:$IV$881,106,FALSE)</f>
        <v>13</v>
      </c>
    </row>
    <row r="108" spans="1:12" ht="12" customHeight="1" thickBot="1">
      <c r="A108" s="170" t="s">
        <v>57</v>
      </c>
      <c r="B108" s="173" t="s">
        <v>13</v>
      </c>
      <c r="C108" s="205">
        <f>VLOOKUP(C4,Calculation!$B$8:$IV$881,107,FALSE)</f>
        <v>-8.0000000000289617E-2</v>
      </c>
      <c r="D108" s="172">
        <f>VLOOKUP(D4,Calculation!$B$8:$IV$881,107,FALSE)</f>
        <v>9.9999999999997868E-2</v>
      </c>
      <c r="E108" s="208">
        <f>VLOOKUP(E4,Calculation!$B$8:$IV$881,107,FALSE)</f>
        <v>-0.35999999999708976</v>
      </c>
      <c r="F108" s="172">
        <f>VLOOKUP(F4,Calculation!$B$8:$IV$881,107,FALSE)</f>
        <v>-5.0000000002619061E-2</v>
      </c>
      <c r="G108" s="172">
        <f>VLOOKUP(G4,Calculation!$B$8:$IV$881,107,FALSE)</f>
        <v>0.10999999999999943</v>
      </c>
      <c r="H108" s="172">
        <f>VLOOKUP(H4,Calculation!$B$8:$IV$881,107,FALSE)</f>
        <v>-0.4199999999973798</v>
      </c>
      <c r="I108" s="172">
        <f>VLOOKUP(I4,Calculation!$B$8:$IV$881,107,FALSE)</f>
        <v>8.9999999999999858E-2</v>
      </c>
      <c r="J108" s="172">
        <f>VLOOKUP(J4,Calculation!$B$8:$IV$881,107,FALSE)</f>
        <v>-0.21999999999970754</v>
      </c>
      <c r="K108" s="165">
        <f>VLOOKUP(K4,Calculation!$B$8:$IV$881,107,FALSE)</f>
        <v>0</v>
      </c>
    </row>
    <row r="109" spans="1:12" ht="12" customHeight="1" thickBot="1">
      <c r="A109" s="174"/>
      <c r="B109" s="175" t="s">
        <v>58</v>
      </c>
      <c r="C109" s="207">
        <f>VLOOKUP(C4,Calculation!$B$8:$IV$881,108,FALSE)</f>
        <v>-3.3472803347401516E-3</v>
      </c>
      <c r="D109" s="176">
        <f>VLOOKUP(D4,Calculation!$B$8:$IV$881,108,FALSE)</f>
        <v>4.1858518208454524E-3</v>
      </c>
      <c r="E109" s="210">
        <f>VLOOKUP(E4,Calculation!$B$8:$IV$881,108,FALSE)</f>
        <v>-1.4900662251535171E-2</v>
      </c>
      <c r="F109" s="176">
        <f>VLOOKUP(F4,Calculation!$B$8:$IV$881,108,FALSE)</f>
        <v>-2.0894274969753056E-3</v>
      </c>
      <c r="G109" s="176">
        <f>VLOOKUP(G4,Calculation!$B$8:$IV$881,108,FALSE)</f>
        <v>5.0949513663732949E-3</v>
      </c>
      <c r="H109" s="176">
        <f>VLOOKUP(H4,Calculation!$B$8:$IV$881,108,FALSE)</f>
        <v>-2.4647887323789894E-2</v>
      </c>
      <c r="I109" s="176">
        <f>VLOOKUP(I4,Calculation!$B$8:$IV$881,108,FALSE)</f>
        <v>6.428571428571418E-3</v>
      </c>
      <c r="J109" s="176">
        <f>VLOOKUP(J4,Calculation!$B$8:$IV$881,108,FALSE)</f>
        <v>-1.3017751479272636E-2</v>
      </c>
      <c r="K109" s="177">
        <f>VLOOKUP(K4,Calculation!$B$8:$IV$881,108,FALSE)</f>
        <v>0</v>
      </c>
    </row>
  </sheetData>
  <mergeCells count="5">
    <mergeCell ref="A1:K1"/>
    <mergeCell ref="A49:K49"/>
    <mergeCell ref="A41:K41"/>
    <mergeCell ref="A5:K5"/>
    <mergeCell ref="A22:K22"/>
  </mergeCells>
  <phoneticPr fontId="11" type="noConversion"/>
  <printOptions horizontalCentered="1"/>
  <pageMargins left="0" right="0" top="0" bottom="0" header="0" footer="0"/>
  <pageSetup paperSize="5" scale="7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sheetPr codeName="Sheet5">
    <pageSetUpPr fitToPage="1"/>
  </sheetPr>
  <dimension ref="A1:AB51"/>
  <sheetViews>
    <sheetView workbookViewId="0">
      <selection activeCell="T28" sqref="T28"/>
    </sheetView>
  </sheetViews>
  <sheetFormatPr defaultColWidth="1" defaultRowHeight="12.75"/>
  <cols>
    <col min="1" max="1" width="11.28515625" style="52" customWidth="1"/>
    <col min="2" max="2" width="7" style="52" bestFit="1" customWidth="1"/>
    <col min="3" max="3" width="7.140625" style="52" bestFit="1" customWidth="1"/>
    <col min="4" max="4" width="9.7109375" style="52" bestFit="1" customWidth="1"/>
    <col min="5" max="5" width="9.140625" style="282" bestFit="1" customWidth="1"/>
    <col min="6" max="6" width="9.140625" style="282" customWidth="1"/>
    <col min="7" max="7" width="9.7109375" style="282" bestFit="1" customWidth="1"/>
    <col min="8" max="8" width="9.85546875" style="52" hidden="1" customWidth="1"/>
    <col min="9" max="9" width="12.5703125" style="52" hidden="1" customWidth="1"/>
    <col min="10" max="10" width="9.85546875" style="52" hidden="1" customWidth="1"/>
    <col min="11" max="11" width="9.42578125" style="52" customWidth="1"/>
    <col min="12" max="12" width="14.85546875" style="52" customWidth="1"/>
    <col min="13" max="13" width="9" style="52" bestFit="1" customWidth="1"/>
    <col min="14" max="14" width="12.85546875" style="52" bestFit="1" customWidth="1"/>
    <col min="15" max="15" width="9.7109375" style="52" bestFit="1" customWidth="1"/>
    <col min="16" max="16" width="10.7109375" style="52" bestFit="1" customWidth="1"/>
    <col min="17" max="17" width="9.85546875" style="52" bestFit="1" customWidth="1"/>
    <col min="18" max="18" width="12" style="52" bestFit="1" customWidth="1"/>
    <col min="19" max="19" width="10" style="52" bestFit="1" customWidth="1"/>
    <col min="20" max="20" width="10.28515625" style="52" bestFit="1" customWidth="1"/>
    <col min="21" max="21" width="11" bestFit="1" customWidth="1"/>
    <col min="22" max="22" width="13.28515625" style="52" bestFit="1" customWidth="1"/>
    <col min="23" max="25" width="9.140625" customWidth="1"/>
    <col min="26" max="28" width="9.28515625" style="52" customWidth="1"/>
    <col min="29" max="32" width="1" style="52"/>
    <col min="33" max="33" width="4" style="52" customWidth="1"/>
    <col min="34" max="46" width="7.42578125" style="52" customWidth="1"/>
    <col min="47" max="16384" width="1" style="52"/>
  </cols>
  <sheetData>
    <row r="1" spans="1:28">
      <c r="A1" s="282"/>
      <c r="B1" s="282"/>
      <c r="C1" s="282"/>
      <c r="D1" s="282"/>
      <c r="E1" s="342">
        <v>40817</v>
      </c>
      <c r="F1" s="282" t="s">
        <v>486</v>
      </c>
      <c r="J1" s="282"/>
      <c r="K1" s="282"/>
      <c r="L1" s="282"/>
      <c r="M1" s="282"/>
      <c r="N1" s="282"/>
      <c r="O1" s="282"/>
      <c r="P1" s="282"/>
      <c r="Q1" s="282"/>
      <c r="R1" s="282"/>
      <c r="S1" s="282"/>
      <c r="T1" s="282"/>
      <c r="V1" s="282"/>
      <c r="Z1" s="282"/>
    </row>
    <row r="2" spans="1:28" ht="18">
      <c r="A2" s="915" t="s">
        <v>467</v>
      </c>
      <c r="B2" s="915"/>
      <c r="C2" s="915"/>
      <c r="D2" s="915"/>
      <c r="E2" s="915"/>
      <c r="F2" s="915"/>
      <c r="G2" s="915"/>
      <c r="H2" s="915"/>
      <c r="I2" s="915"/>
      <c r="J2" s="915"/>
      <c r="K2" s="915"/>
      <c r="L2" s="915"/>
      <c r="M2" s="915"/>
      <c r="N2" s="915"/>
      <c r="O2" s="915"/>
      <c r="P2" s="915"/>
      <c r="Q2" s="915"/>
      <c r="R2" s="915"/>
      <c r="S2" s="279"/>
      <c r="T2" s="279"/>
      <c r="V2" s="279"/>
      <c r="Z2" s="279"/>
      <c r="AA2" s="279"/>
      <c r="AB2" s="279"/>
    </row>
    <row r="3" spans="1:28" ht="20.25" customHeight="1">
      <c r="A3" s="916" t="str">
        <f>"Annual Production Report for: "&amp;YEAR(E1)</f>
        <v>Annual Production Report for: 2011</v>
      </c>
      <c r="B3" s="916"/>
      <c r="C3" s="916"/>
      <c r="D3" s="916"/>
      <c r="E3" s="916"/>
      <c r="F3" s="916"/>
      <c r="G3" s="916"/>
      <c r="H3" s="916"/>
      <c r="I3" s="916"/>
      <c r="J3" s="916"/>
      <c r="K3" s="916"/>
      <c r="L3" s="916"/>
      <c r="M3" s="916"/>
      <c r="N3" s="916"/>
      <c r="O3" s="916"/>
      <c r="P3" s="916"/>
      <c r="Q3" s="916"/>
      <c r="R3" s="916"/>
      <c r="S3" s="198"/>
      <c r="T3" s="198"/>
      <c r="V3" s="366"/>
      <c r="Z3" s="198"/>
      <c r="AA3" s="198"/>
      <c r="AB3" s="198"/>
    </row>
    <row r="4" spans="1:28" ht="18">
      <c r="A4" s="279"/>
      <c r="B4" s="198"/>
      <c r="C4" s="198"/>
      <c r="D4" s="198"/>
      <c r="E4" s="198"/>
      <c r="F4" s="198"/>
      <c r="G4" s="198"/>
      <c r="H4" s="198"/>
      <c r="I4" s="198"/>
      <c r="J4" s="198"/>
      <c r="K4" s="198"/>
      <c r="L4" s="198"/>
      <c r="M4" s="198"/>
      <c r="N4" s="198"/>
      <c r="O4" s="198"/>
      <c r="P4" s="198"/>
      <c r="Q4" s="198"/>
      <c r="R4" s="198"/>
      <c r="S4" s="198"/>
      <c r="T4" s="198"/>
      <c r="V4" s="198"/>
      <c r="Z4" s="198"/>
      <c r="AA4" s="198"/>
      <c r="AB4" s="198"/>
    </row>
    <row r="5" spans="1:28" ht="18.75" thickBot="1">
      <c r="A5" s="53"/>
      <c r="B5" s="53"/>
      <c r="C5" s="54"/>
      <c r="D5" s="54"/>
      <c r="E5" s="345"/>
      <c r="F5" s="345"/>
      <c r="G5" s="345"/>
      <c r="H5" s="54"/>
      <c r="I5" s="54"/>
      <c r="J5" s="54"/>
      <c r="K5" s="54"/>
      <c r="L5" s="54"/>
      <c r="M5" s="54"/>
      <c r="N5" s="54"/>
      <c r="O5" s="54"/>
      <c r="P5" s="54"/>
      <c r="Q5" s="54"/>
      <c r="R5" s="54"/>
      <c r="S5"/>
      <c r="T5"/>
      <c r="X5" s="343"/>
      <c r="Y5" s="344"/>
      <c r="Z5" s="344"/>
    </row>
    <row r="6" spans="1:28" ht="18" customHeight="1" thickBot="1">
      <c r="A6" s="364"/>
      <c r="B6" s="365"/>
      <c r="C6" s="917" t="s">
        <v>441</v>
      </c>
      <c r="D6" s="918"/>
      <c r="E6" s="918"/>
      <c r="F6" s="918"/>
      <c r="G6" s="919"/>
      <c r="H6" s="920" t="s">
        <v>466</v>
      </c>
      <c r="I6" s="921"/>
      <c r="J6" s="922"/>
      <c r="K6" s="910" t="s">
        <v>442</v>
      </c>
      <c r="L6" s="913"/>
      <c r="M6" s="913"/>
      <c r="N6" s="913"/>
      <c r="O6" s="913"/>
      <c r="P6" s="913"/>
      <c r="Q6" s="913"/>
      <c r="R6" s="914"/>
      <c r="S6" s="910" t="s">
        <v>741</v>
      </c>
      <c r="T6" s="911"/>
      <c r="U6" s="912"/>
      <c r="V6" s="108" t="s">
        <v>234</v>
      </c>
      <c r="W6" s="52"/>
      <c r="X6" s="52"/>
      <c r="Y6" s="52"/>
    </row>
    <row r="7" spans="1:28">
      <c r="A7" s="283"/>
      <c r="B7" s="348" t="s">
        <v>165</v>
      </c>
      <c r="C7" s="285" t="s">
        <v>469</v>
      </c>
      <c r="D7" s="286" t="s">
        <v>443</v>
      </c>
      <c r="E7" s="286" t="s">
        <v>212</v>
      </c>
      <c r="F7" s="286" t="s">
        <v>167</v>
      </c>
      <c r="G7" s="284" t="s">
        <v>444</v>
      </c>
      <c r="H7" s="353"/>
      <c r="I7" s="286" t="s">
        <v>166</v>
      </c>
      <c r="J7" s="361" t="s">
        <v>21</v>
      </c>
      <c r="K7" s="358" t="s">
        <v>445</v>
      </c>
      <c r="L7" s="286" t="s">
        <v>461</v>
      </c>
      <c r="M7" s="287"/>
      <c r="N7" s="286" t="s">
        <v>462</v>
      </c>
      <c r="O7" s="286" t="s">
        <v>266</v>
      </c>
      <c r="P7" s="286" t="s">
        <v>170</v>
      </c>
      <c r="Q7" s="286" t="s">
        <v>465</v>
      </c>
      <c r="R7" s="284" t="s">
        <v>169</v>
      </c>
      <c r="S7" s="285" t="s">
        <v>267</v>
      </c>
      <c r="T7" s="286" t="s">
        <v>268</v>
      </c>
      <c r="U7" s="284" t="s">
        <v>269</v>
      </c>
      <c r="V7" s="608" t="s">
        <v>228</v>
      </c>
      <c r="X7" s="52"/>
      <c r="Y7" s="52"/>
    </row>
    <row r="8" spans="1:28" s="751" customFormat="1">
      <c r="A8" s="381" t="s">
        <v>213</v>
      </c>
      <c r="B8" s="349" t="s">
        <v>18</v>
      </c>
      <c r="C8" s="288" t="s">
        <v>18</v>
      </c>
      <c r="D8" s="289" t="s">
        <v>168</v>
      </c>
      <c r="E8" s="289" t="s">
        <v>168</v>
      </c>
      <c r="F8" s="289" t="s">
        <v>73</v>
      </c>
      <c r="G8" s="291" t="s">
        <v>174</v>
      </c>
      <c r="H8" s="354" t="s">
        <v>21</v>
      </c>
      <c r="I8" s="290" t="s">
        <v>171</v>
      </c>
      <c r="J8" s="362" t="s">
        <v>446</v>
      </c>
      <c r="K8" s="752" t="s">
        <v>460</v>
      </c>
      <c r="L8" s="289" t="s">
        <v>702</v>
      </c>
      <c r="M8" s="289" t="s">
        <v>19</v>
      </c>
      <c r="N8" s="289" t="s">
        <v>463</v>
      </c>
      <c r="O8" s="289" t="s">
        <v>464</v>
      </c>
      <c r="P8" s="289" t="s">
        <v>173</v>
      </c>
      <c r="Q8" s="289" t="s">
        <v>447</v>
      </c>
      <c r="R8" s="291" t="s">
        <v>470</v>
      </c>
      <c r="S8" s="381" t="s">
        <v>447</v>
      </c>
      <c r="T8" s="289" t="s">
        <v>447</v>
      </c>
      <c r="U8" s="291" t="s">
        <v>447</v>
      </c>
      <c r="V8" s="661" t="s">
        <v>229</v>
      </c>
      <c r="W8" s="750"/>
    </row>
    <row r="9" spans="1:28">
      <c r="A9" s="383" t="s">
        <v>214</v>
      </c>
      <c r="B9" s="292">
        <f>SUMIF(Sheet1!$B$8:$B$385,"&gt;="&amp;Conversions!L51,Sheet1!L$8:L$385)-SUMIF(Sheet1!$B$8:$B$385,"&gt;"&amp;Conversions!M51,Sheet1!L$8:L$385)</f>
        <v>1043.4800000000005</v>
      </c>
      <c r="C9" s="351">
        <f>SUMIF('Calculations II'!$B$8:$B$385,"&gt;="&amp;Conversions!L51,'Calculations II'!BC$8:BC$385)-SUMIF('Calculations II'!$B$8:$B$385,"&gt;"&amp;Conversions!M51,'Calculations II'!BC$8:BC$385)</f>
        <v>0</v>
      </c>
      <c r="D9" s="294">
        <f>SUMIF(Sheet1!$B$8:$B$385,"&gt;="&amp;Conversions!L51,Sheet1!$AA$8:AA$385)-SUMIF(Sheet1!$B$8:$B$385,"&gt;"&amp;Conversions!M51,Sheet1!$AA$8:$AA$385)</f>
        <v>899.69999999999527</v>
      </c>
      <c r="E9" s="57">
        <f>SUMIF(Sheet1!$B$8:$B$385,"&gt;="&amp;Conversions!L51,Sheet1!$AB$8:$AB$385)-SUMIF(Sheet1!$B$8:$B$385,"&gt;"&amp;Conversions!M51,Sheet1!$AB$8:$AB$385)</f>
        <v>566.10000000000036</v>
      </c>
      <c r="F9" s="295">
        <f>SUMIF('Calculations II'!$B$8:$B$385,"&gt;="&amp;Conversions!L51,'Calculations II'!$AE$8:$AE$385)-SUMIF('Calculations II'!$B$8:$B$385,"&gt;"&amp;Conversions!M51,'Calculations II'!$AE$8:$AE$385)</f>
        <v>1417.6168701367933</v>
      </c>
      <c r="G9" s="296">
        <f>SUMIF('Calculations II'!$B$8:$B$385,"&gt;="&amp;Conversions!L51,'Calculations II'!$AC$8:$AC$385)-SUMIF('Calculations II'!$B$8:$B$385,"&gt;"&amp;Conversions!M51,'Calculations II'!$AC$8:$AC$385)</f>
        <v>1465.799999999992</v>
      </c>
      <c r="H9" s="57">
        <f ca="1">SUMIF(Calculation!$B$8:$B$385,"&gt;="&amp;Conversions!L51,Calculation!$EI$8:$EI$385)-SUMIF(Calculation!$B$8:$B$385,"&gt;"&amp;Conversions!M51,Calculation!$EI$8:$EI$385)</f>
        <v>-1.0810000000000031</v>
      </c>
      <c r="I9" s="294">
        <f ca="1">SUMIF('Calculations II'!$B$8:$B$385,"&gt;="&amp;Conversions!L51,'Calculations II'!$O8:$O385)-SUMIF('Calculations II'!$B$8:$B$385,"&gt;"&amp;Conversions!M51,'Calculations II'!$O8:$O385)</f>
        <v>-2.6561435471170967</v>
      </c>
      <c r="J9" s="363">
        <f>SUMIF('Calculations II'!$B$8:$B$385,"&gt;="&amp;Conversions!L51,'Calculations II'!$W8:$W385)-SUMIF('Calculations II'!$B$8:$B$385,"&gt;"&amp;Conversions!M51,'Calculations II'!$W8:$W385)</f>
        <v>0</v>
      </c>
      <c r="K9" s="374">
        <f ca="1">SUMIF('Calculations II'!$B$8:$B$385,"&gt;="&amp;Conversions!L51,'Calculations II'!$P$8:$P$385)-SUMIF('Calculations II'!$B$8:$B$385,"&gt;"&amp;Conversions!M51,'Calculations II'!$P$8:$P$385)</f>
        <v>-3.7371435471170855</v>
      </c>
      <c r="L9" s="294">
        <f>SUMIF(Sheet1!$B$8:$B$385,"&gt;="&amp;Conversions!L51,Sheet1!$BN$8:$BN$385)-SUMIF(Sheet1!$B$8:$B$385,"&gt;"&amp;Conversions!M51,Sheet1!$BN$8:$BN$385)</f>
        <v>518.00000000000364</v>
      </c>
      <c r="M9" s="57">
        <f>SUMIF(Sheet1!$B$8:$B$385,"&gt;="&amp;Conversions!L51,Sheet1!$CP$8:$CP$385)-SUMIF(Sheet1!$B$8:$B$385,"&gt;"&amp;Conversions!M51,Sheet1!$CP$8:$CP$385)</f>
        <v>479.27000000000135</v>
      </c>
      <c r="N9" s="297">
        <f ca="1">SUMIF('Calculations II'!$B$8:$B$385,"&gt;="&amp;Conversions!L51,'Calculations II'!$AG$8:$AG$385)-SUMIF('Calculations II'!$B$8:$B$385,"&gt;"&amp;Conversions!M51,'Calculations II'!$AG$8:$AG$385)</f>
        <v>934.69285645287891</v>
      </c>
      <c r="O9" s="297">
        <f ca="1">SUMIF('Calculations II'!$B$8:$B$385,"&gt;="&amp;Conversions!L51,'Calculations II'!$AH$8:$AH$385)-SUMIF('Calculations II'!$B$8:$B$385,"&gt;"&amp;Conversions!M51,'Calculations II'!$AH$8:$AH$385)</f>
        <v>1413.962856452883</v>
      </c>
      <c r="P9" s="57">
        <f>SUMIF(Calculation!$B$8:$B$385,"&gt;="&amp;Conversions!L51,Calculation!$AI$8:$AI$385)-SUMIF(Calculation!$B$8:$B$385,"&gt;"&amp;Conversions!M51,Calculation!$AI$8:$AI$385)</f>
        <v>0</v>
      </c>
      <c r="Q9" s="294">
        <f>SUMIF(Calculation!$B$8:$B$385,"&gt;="&amp;Conversions!L51,Calculation!$CZ$8:$CZ$385)-SUMIF(Calculation!$B$8:$B$385,"&gt;"&amp;Conversions!M51,Calculation!$CZ$8:$CZ$385)</f>
        <v>48.183129863202339</v>
      </c>
      <c r="R9" s="298">
        <f ca="1">SUMIF('Calculations II'!$B$8:$B$385,"&gt;="&amp;Conversions!L51,'Calculations II'!$AI$8:$AI$385)-SUMIF('Calculations II'!$B$8:$B$385,"&gt;"&amp;Conversions!M51,'Calculations II'!$AI$8:$AI$385)</f>
        <v>1462.1459863160744</v>
      </c>
      <c r="S9" s="351">
        <f>SUMIF(Calculation!$B$8:$B$385,"&gt;="&amp;Conversions!$L51,Calculation!$BB$8:$BB$385)-SUMIF(Calculation!$B$8:$B$385,"&gt;"&amp;Conversions!$M51,Calculation!$BB$8:$BB$385)</f>
        <v>0</v>
      </c>
      <c r="T9" s="294">
        <f>SUMIF(Calculation!$B$8:$B$385,"&gt;="&amp;Conversions!$L51,Calculation!$BV$8:$BV$385)-SUMIF(Calculation!$B$8:$B$385,"&gt;"&amp;Conversions!$M51,Calculation!$BV$8:$BV$385)</f>
        <v>14.207956450399593</v>
      </c>
      <c r="U9" s="292">
        <f>SUMIF(Calculation!$B$8:$B$385,"&gt;="&amp;Conversions!$L51,Calculation!$CP$8:$CP$385)-SUMIF(Calculation!$B$8:$B$385,"&gt;"&amp;Conversions!$M51,Calculation!$CP$8:$CP$385)</f>
        <v>33.975173412803088</v>
      </c>
      <c r="V9" s="610">
        <f ca="1">SUMIF(Sheet1!$B$8:$B$385,"&gt;="&amp;Conversions!N51,'Calculations II'!$BP$8:$BP$385)-SUMIF(Sheet1!$B$8:$B$385,"&gt;"&amp;Conversions!O51,'Calculations II'!$BP$8:$BP$385)</f>
        <v>0</v>
      </c>
      <c r="X9" s="52"/>
      <c r="Y9" s="52"/>
    </row>
    <row r="10" spans="1:28">
      <c r="A10" s="383" t="s">
        <v>215</v>
      </c>
      <c r="B10" s="292">
        <f>SUMIF(Sheet1!$B$8:$B$385,"&gt;="&amp;Conversions!L52,Sheet1!L$8:L$385)-SUMIF(Sheet1!$B$8:$B$385,"&gt;"&amp;Conversions!M52,Sheet1!L$8:L$385)</f>
        <v>726.51999999999907</v>
      </c>
      <c r="C10" s="351">
        <f>SUMIF('Calculations II'!$B$8:$B$385,"&gt;="&amp;Conversions!L52,'Calculations II'!BC$8:BC$385)-SUMIF('Calculations II'!$B$8:$B$385,"&gt;"&amp;Conversions!M52,'Calculations II'!BC$8:BC$385)</f>
        <v>0.59613119999994524</v>
      </c>
      <c r="D10" s="294">
        <f>SUMIF(Sheet1!$B$8:$B$385,"&gt;="&amp;Conversions!L52,Sheet1!$AA$8:AA$385)-SUMIF(Sheet1!$B$8:$B$385,"&gt;"&amp;Conversions!M52,Sheet1!$AA$8:$AA$385)</f>
        <v>821.02000000001863</v>
      </c>
      <c r="E10" s="57">
        <f>SUMIF(Sheet1!$B$8:$B$385,"&gt;="&amp;Conversions!L52,Sheet1!$AB$8:$AB$385)-SUMIF(Sheet1!$B$8:$B$385,"&gt;"&amp;Conversions!M52,Sheet1!$AB$8:$AB$385)</f>
        <v>576.10000000000127</v>
      </c>
      <c r="F10" s="295">
        <f>SUMIF('Calculations II'!$B$8:$B$385,"&gt;="&amp;Conversions!L52,'Calculations II'!$AE$8:$AE$385)-SUMIF('Calculations II'!$B$8:$B$385,"&gt;"&amp;Conversions!M52,'Calculations II'!$AE$8:$AE$385)</f>
        <v>1291.6161728899624</v>
      </c>
      <c r="G10" s="296">
        <f>SUMIF('Calculations II'!$B$8:$B$385,"&gt;="&amp;Conversions!L52,'Calculations II'!$AC$8:$AC$385)-SUMIF('Calculations II'!$B$8:$B$385,"&gt;"&amp;Conversions!M52,'Calculations II'!$AC$8:$AC$385)</f>
        <v>1397.7161312000208</v>
      </c>
      <c r="H10" s="57">
        <f ca="1">SUMIF(Calculation!$B$8:$B$385,"&gt;="&amp;Conversions!L52,Calculation!$EI$8:$EI$385)-SUMIF(Calculation!$B$8:$B$385,"&gt;"&amp;Conversions!M52,Calculation!$EI$8:$EI$385)</f>
        <v>9.9243000000000166</v>
      </c>
      <c r="I10" s="294">
        <f ca="1">SUMIF('Calculations II'!$B$8:$B$385,"&gt;="&amp;Conversions!L52,'Calculations II'!$O8:$O18)-SUMIF('Calculations II'!$B$8:$B$385,"&gt;"&amp;Conversions!M52,'Calculations II'!$O8:$O18)</f>
        <v>0.69977663515656729</v>
      </c>
      <c r="J10" s="363">
        <f ca="1">SUMIF('Calculations II'!$B$8:$B$385,"&gt;="&amp;Conversions!L52,'Calculations II'!$W8:$W18)-SUMIF('Calculations II'!$B$8:$B$385,"&gt;"&amp;Conversions!M52,'Calculations II'!$W8:$W18)</f>
        <v>0</v>
      </c>
      <c r="K10" s="374">
        <f ca="1">SUMIF('Calculations II'!$B$8:$B$385,"&gt;="&amp;Conversions!L52,'Calculations II'!$P$8:$P$385)-SUMIF('Calculations II'!$B$8:$B$385,"&gt;"&amp;Conversions!M52,'Calculations II'!$P$8:$P$385)</f>
        <v>10.62407663515657</v>
      </c>
      <c r="L10" s="294">
        <f>SUMIF(Sheet1!$B$8:$B$385,"&gt;="&amp;Conversions!L52,Sheet1!$BN$8:$BN$385)-SUMIF(Sheet1!$B$8:$B$385,"&gt;"&amp;Conversions!M52,Sheet1!$BN$8:$BN$385)</f>
        <v>468.69999999999618</v>
      </c>
      <c r="M10" s="57">
        <f>SUMIF(Sheet1!$B$8:$B$385,"&gt;="&amp;Conversions!L52,Sheet1!$CP$8:$CP$385)-SUMIF(Sheet1!$B$8:$B$385,"&gt;"&amp;Conversions!M52,Sheet1!$CP$8:$CP$385)</f>
        <v>451.81999999999789</v>
      </c>
      <c r="N10" s="297">
        <f ca="1">SUMIF('Calculations II'!$B$8:$B$385,"&gt;="&amp;Conversions!L52,'Calculations II'!$AG$8:$AG$385)-SUMIF('Calculations II'!$B$8:$B$385,"&gt;"&amp;Conversions!M52,'Calculations II'!$AG$8:$AG$385)</f>
        <v>849.12020783517619</v>
      </c>
      <c r="O10" s="297">
        <f ca="1">SUMIF('Calculations II'!$B$8:$B$385,"&gt;="&amp;Conversions!L52,'Calculations II'!$AH$8:$AH$385)-SUMIF('Calculations II'!$B$8:$B$385,"&gt;"&amp;Conversions!M52,'Calculations II'!$AH$8:$AH$385)</f>
        <v>1300.9402078351832</v>
      </c>
      <c r="P10" s="57">
        <f>SUMIF(Calculation!$B$8:$B$385,"&gt;="&amp;Conversions!L52,Calculation!$AI$8:$AI$385)-SUMIF(Calculation!$B$8:$B$385,"&gt;"&amp;Conversions!M52,Calculation!$AI$8:$AI$385)</f>
        <v>0</v>
      </c>
      <c r="Q10" s="294">
        <f>SUMIF(Calculation!$B$8:$B$385,"&gt;="&amp;Conversions!L52,Calculation!$CZ$8:$CZ$385)-SUMIF(Calculation!$B$8:$B$385,"&gt;"&amp;Conversions!M52,Calculation!$CZ$8:$CZ$385)</f>
        <v>106.09995831005472</v>
      </c>
      <c r="R10" s="298">
        <f ca="1">SUMIF('Calculations II'!$B$8:$B$385,"&gt;="&amp;Conversions!L52,'Calculations II'!$AI$8:$AI$385)-SUMIF('Calculations II'!$B$8:$B$385,"&gt;"&amp;Conversions!M52,'Calculations II'!$AI$8:$AI$385)</f>
        <v>1407.0401661452379</v>
      </c>
      <c r="S10" s="351">
        <f>SUMIF(Calculation!$B$8:$B$385,"&gt;="&amp;Conversions!$L52,Calculation!$BB$8:$BB$385)-SUMIF(Calculation!$B$8:$B$385,"&gt;"&amp;Conversions!$M52,Calculation!$BB$8:$BB$385)</f>
        <v>0</v>
      </c>
      <c r="T10" s="294">
        <f>SUMIF(Calculation!$B$8:$B$385,"&gt;="&amp;Conversions!$L52,Calculation!$BV$8:$BV$385)-SUMIF(Calculation!$B$8:$B$385,"&gt;"&amp;Conversions!$M52,Calculation!$BV$8:$BV$385)</f>
        <v>35.199736333379633</v>
      </c>
      <c r="U10" s="292">
        <f>SUMIF(Calculation!$B$8:$B$385,"&gt;="&amp;Conversions!$L52,Calculation!$CP$8:$CP$385)-SUMIF(Calculation!$B$8:$B$385,"&gt;"&amp;Conversions!$M52,Calculation!$CP$8:$CP$385)</f>
        <v>70.900221976675994</v>
      </c>
      <c r="V10" s="610">
        <f ca="1">SUMIF(Sheet1!$B$8:$B$385,"&gt;="&amp;Conversions!N52,'Calculations II'!$BP$8:$BP$385)-SUMIF(Sheet1!$B$8:$B$385,"&gt;"&amp;Conversions!O52,'Calculations II'!$BP$8:$BP$385)</f>
        <v>0</v>
      </c>
      <c r="X10" s="52"/>
      <c r="Y10" s="52"/>
    </row>
    <row r="11" spans="1:28">
      <c r="A11" s="383" t="s">
        <v>216</v>
      </c>
      <c r="B11" s="292">
        <f>SUMIF(Sheet1!$B$8:$B$385,"&gt;="&amp;Conversions!L53,Sheet1!L$8:L$385)-SUMIF(Sheet1!$B$8:$B$385,"&gt;"&amp;Conversions!M53,Sheet1!L$8:L$385)</f>
        <v>219.26000000000158</v>
      </c>
      <c r="C11" s="351">
        <f>SUMIF('Calculations II'!$B$8:$B$385,"&gt;="&amp;Conversions!L53,'Calculations II'!BC$8:BC$385)-SUMIF('Calculations II'!$B$8:$B$385,"&gt;"&amp;Conversions!M53,'Calculations II'!BC$8:BC$385)</f>
        <v>0</v>
      </c>
      <c r="D11" s="294">
        <f>SUMIF(Sheet1!$B$8:$B$385,"&gt;="&amp;Conversions!L53,Sheet1!$AA$8:AA$385)-SUMIF(Sheet1!$B$8:$B$385,"&gt;"&amp;Conversions!M53,Sheet1!$AA$8:$AA$385)</f>
        <v>915.53000000000247</v>
      </c>
      <c r="E11" s="57">
        <f>SUMIF(Sheet1!$B$8:$B$385,"&gt;="&amp;Conversions!L53,Sheet1!$AB$8:$AB$385)-SUMIF(Sheet1!$B$8:$B$385,"&gt;"&amp;Conversions!M53,Sheet1!$AB$8:$AB$385)</f>
        <v>736</v>
      </c>
      <c r="F11" s="295">
        <f>SUMIF('Calculations II'!$B$8:$B$385,"&gt;="&amp;Conversions!L53,'Calculations II'!$AE$8:$AE$385)-SUMIF('Calculations II'!$B$8:$B$385,"&gt;"&amp;Conversions!M53,'Calculations II'!$AE$8:$AE$385)</f>
        <v>1433.8607450444688</v>
      </c>
      <c r="G11" s="296">
        <f>SUMIF('Calculations II'!$B$8:$B$385,"&gt;="&amp;Conversions!L53,'Calculations II'!$AC$8:$AC$385)-SUMIF('Calculations II'!$B$8:$B$385,"&gt;"&amp;Conversions!M53,'Calculations II'!$AC$8:$AC$385)</f>
        <v>1651.5300000000025</v>
      </c>
      <c r="H11" s="57">
        <f ca="1">SUMIF(Calculation!$B$8:$B$385,"&gt;="&amp;Conversions!L53,Calculation!$EI$8:$EI$385)-SUMIF(Calculation!$B$8:$B$385,"&gt;"&amp;Conversions!M53,Calculation!$EI$8:$EI$385)</f>
        <v>-14.562299999999993</v>
      </c>
      <c r="I11" s="294">
        <f ca="1">SUMIF('Calculations II'!$B$8:$B$385,"&gt;="&amp;Conversions!L53,'Calculations II'!$O8:$O19)-SUMIF('Calculations II'!$B$8:$B$385,"&gt;"&amp;Conversions!M53,'Calculations II'!$O8:$O19)</f>
        <v>1.5911325808565095</v>
      </c>
      <c r="J11" s="363">
        <f ca="1">SUMIF('Calculations II'!$B$8:$B$385,"&gt;="&amp;Conversions!L53,'Calculations II'!$W8:$W19)-SUMIF('Calculations II'!$B$8:$B$385,"&gt;"&amp;Conversions!M53,'Calculations II'!$W8:$W19)</f>
        <v>0</v>
      </c>
      <c r="K11" s="374">
        <f ca="1">SUMIF('Calculations II'!$B$8:$B$385,"&gt;="&amp;Conversions!L53,'Calculations II'!$P$8:$P$385)-SUMIF('Calculations II'!$B$8:$B$385,"&gt;"&amp;Conversions!M53,'Calculations II'!$P$8:$P$385)</f>
        <v>-12.971167419143512</v>
      </c>
      <c r="L11" s="294">
        <f>SUMIF(Sheet1!$B$8:$B$385,"&gt;="&amp;Conversions!L53,Sheet1!$BN$8:$BN$385)-SUMIF(Sheet1!$B$8:$B$385,"&gt;"&amp;Conversions!M53,Sheet1!$BN$8:$BN$385)</f>
        <v>517.10000000000036</v>
      </c>
      <c r="M11" s="57">
        <f>SUMIF(Sheet1!$B$8:$B$385,"&gt;="&amp;Conversions!L53,Sheet1!$CP$8:$CP$385)-SUMIF(Sheet1!$B$8:$B$385,"&gt;"&amp;Conversions!M53,Sheet1!$CP$8:$CP$385)</f>
        <v>504.39999999999964</v>
      </c>
      <c r="N11" s="297">
        <f ca="1">SUMIF('Calculations II'!$B$8:$B$385,"&gt;="&amp;Conversions!L53,'Calculations II'!$AG$8:$AG$385)-SUMIF('Calculations II'!$B$8:$B$385,"&gt;"&amp;Conversions!M53,'Calculations II'!$AG$8:$AG$385)</f>
        <v>915.25883258086105</v>
      </c>
      <c r="O11" s="297">
        <f ca="1">SUMIF('Calculations II'!$B$8:$B$385,"&gt;="&amp;Conversions!L53,'Calculations II'!$AH$8:$AH$385)-SUMIF('Calculations II'!$B$8:$B$385,"&gt;"&amp;Conversions!M53,'Calculations II'!$AH$8:$AH$385)</f>
        <v>1419.6588325808552</v>
      </c>
      <c r="P11" s="57">
        <f>SUMIF(Calculation!$B$8:$B$385,"&gt;="&amp;Conversions!L53,Calculation!$AI$8:$AI$385)-SUMIF(Calculation!$B$8:$B$385,"&gt;"&amp;Conversions!M53,Calculation!$AI$8:$AI$385)</f>
        <v>1.92</v>
      </c>
      <c r="Q11" s="294">
        <f>SUMIF(Calculation!$B$8:$B$385,"&gt;="&amp;Conversions!L53,Calculation!$CZ$8:$CZ$385)-SUMIF(Calculation!$B$8:$B$385,"&gt;"&amp;Conversions!M53,Calculation!$CZ$8:$CZ$385)</f>
        <v>215.74925495552816</v>
      </c>
      <c r="R11" s="298">
        <f ca="1">SUMIF('Calculations II'!$B$8:$B$385,"&gt;="&amp;Conversions!L53,'Calculations II'!$AI$8:$AI$385)-SUMIF('Calculations II'!$B$8:$B$385,"&gt;"&amp;Conversions!M53,'Calculations II'!$AI$8:$AI$385)</f>
        <v>1637.3280875363853</v>
      </c>
      <c r="S11" s="351">
        <f>SUMIF(Calculation!$B$8:$B$385,"&gt;="&amp;Conversions!$L53,Calculation!$BB$8:$BB$385)-SUMIF(Calculation!$B$8:$B$385,"&gt;"&amp;Conversions!$M53,Calculation!$BB$8:$BB$385)</f>
        <v>0</v>
      </c>
      <c r="T11" s="294">
        <f>SUMIF(Calculation!$B$8:$B$385,"&gt;="&amp;Conversions!$L53,Calculation!$BV$8:$BV$385)-SUMIF(Calculation!$B$8:$B$385,"&gt;"&amp;Conversions!$M53,Calculation!$BV$8:$BV$385)</f>
        <v>62.770176000247943</v>
      </c>
      <c r="U11" s="292">
        <f>SUMIF(Calculation!$B$8:$B$385,"&gt;="&amp;Conversions!$L53,Calculation!$CP$8:$CP$385)-SUMIF(Calculation!$B$8:$B$385,"&gt;"&amp;Conversions!$M53,Calculation!$CP$8:$CP$385)</f>
        <v>152.97907895527851</v>
      </c>
      <c r="V11" s="610">
        <f ca="1">SUMIF(Sheet1!$B$8:$B$385,"&gt;="&amp;Conversions!N53,'Calculations II'!$BP$8:$BP$385)-SUMIF(Sheet1!$B$8:$B$385,"&gt;"&amp;Conversions!O53,'Calculations II'!$BP$8:$BP$385)</f>
        <v>0</v>
      </c>
      <c r="X11" s="52"/>
      <c r="Y11" s="52"/>
    </row>
    <row r="12" spans="1:28">
      <c r="A12" s="383" t="s">
        <v>217</v>
      </c>
      <c r="B12" s="292">
        <f>SUMIF(Sheet1!$B$8:$B$385,"&gt;="&amp;Conversions!L54,Sheet1!L$8:L$385)-SUMIF(Sheet1!$B$8:$B$385,"&gt;"&amp;Conversions!M54,Sheet1!L$8:L$385)</f>
        <v>626.90999999999985</v>
      </c>
      <c r="C12" s="351">
        <f>SUMIF('Calculations II'!$B$8:$B$385,"&gt;="&amp;Conversions!L54,'Calculations II'!BC$8:BC$385)-SUMIF('Calculations II'!$B$8:$B$385,"&gt;"&amp;Conversions!M54,'Calculations II'!BC$8:BC$385)</f>
        <v>21.762864000000263</v>
      </c>
      <c r="D12" s="294">
        <f>SUMIF(Sheet1!$B$8:$B$385,"&gt;="&amp;Conversions!L54,Sheet1!$AA$8:AA$385)-SUMIF(Sheet1!$B$8:$B$385,"&gt;"&amp;Conversions!M54,Sheet1!$AA$8:$AA$385)</f>
        <v>859.24999999999636</v>
      </c>
      <c r="E12" s="57">
        <f>SUMIF(Sheet1!$B$8:$B$385,"&gt;="&amp;Conversions!L54,Sheet1!$AB$8:$AB$385)-SUMIF(Sheet1!$B$8:$B$385,"&gt;"&amp;Conversions!M54,Sheet1!$AB$8:$AB$385)</f>
        <v>624</v>
      </c>
      <c r="F12" s="295">
        <f>SUMIF('Calculations II'!$B$8:$B$385,"&gt;="&amp;Conversions!L54,'Calculations II'!$AE$8:$AE$385)-SUMIF('Calculations II'!$B$8:$B$385,"&gt;"&amp;Conversions!M54,'Calculations II'!$AE$8:$AE$385)</f>
        <v>1362.0503603457291</v>
      </c>
      <c r="G12" s="296">
        <f>SUMIF('Calculations II'!$B$8:$B$385,"&gt;="&amp;Conversions!L54,'Calculations II'!$AC$8:$AC$385)-SUMIF('Calculations II'!$B$8:$B$385,"&gt;"&amp;Conversions!M54,'Calculations II'!$AC$8:$AC$385)</f>
        <v>1505.0128639999984</v>
      </c>
      <c r="H12" s="57">
        <f ca="1">SUMIF(Calculation!$B$8:$B$385,"&gt;="&amp;Conversions!L54,Calculation!$EI$8:$EI$385)-SUMIF(Calculation!$B$8:$B$385,"&gt;"&amp;Conversions!M54,Calculation!$EI$8:$EI$385)</f>
        <v>3.2831999999999795</v>
      </c>
      <c r="I12" s="294">
        <f ca="1">SUMIF('Calculations II'!$B$8:$B$385,"&gt;="&amp;Conversions!L54,'Calculations II'!$O8:$O20)-SUMIF('Calculations II'!$B$8:$B$385,"&gt;"&amp;Conversions!M54,'Calculations II'!$O8:$O20)</f>
        <v>-1.6959147147068663</v>
      </c>
      <c r="J12" s="363">
        <f ca="1">SUMIF('Calculations II'!$B$8:$B$385,"&gt;="&amp;Conversions!L54,'Calculations II'!$W8:$W20)-SUMIF('Calculations II'!$B$8:$B$385,"&gt;"&amp;Conversions!M54,'Calculations II'!$W8:$W20)</f>
        <v>0</v>
      </c>
      <c r="K12" s="374">
        <f ca="1">SUMIF('Calculations II'!$B$8:$B$385,"&gt;="&amp;Conversions!L54,'Calculations II'!$P$8:$P$385)-SUMIF('Calculations II'!$B$8:$B$385,"&gt;"&amp;Conversions!M54,'Calculations II'!$P$8:$P$385)</f>
        <v>1.5872852852931487</v>
      </c>
      <c r="L12" s="294">
        <f>SUMIF(Sheet1!$B$8:$B$385,"&gt;="&amp;Conversions!L54,Sheet1!$BN$8:$BN$385)-SUMIF(Sheet1!$B$8:$B$385,"&gt;"&amp;Conversions!M54,Sheet1!$BN$8:$BN$385)</f>
        <v>478.79999999999927</v>
      </c>
      <c r="M12" s="57">
        <f>SUMIF(Sheet1!$B$8:$B$385,"&gt;="&amp;Conversions!L54,Sheet1!$CP$8:$CP$385)-SUMIF(Sheet1!$B$8:$B$385,"&gt;"&amp;Conversions!M54,Sheet1!$CP$8:$CP$385)</f>
        <v>468.73999999999933</v>
      </c>
      <c r="N12" s="297">
        <f ca="1">SUMIF('Calculations II'!$B$8:$B$385,"&gt;="&amp;Conversions!L54,'Calculations II'!$AG$8:$AG$385)-SUMIF('Calculations II'!$B$8:$B$385,"&gt;"&amp;Conversions!M54,'Calculations II'!$AG$8:$AG$385)</f>
        <v>892.66014928529694</v>
      </c>
      <c r="O12" s="297">
        <f ca="1">SUMIF('Calculations II'!$B$8:$B$385,"&gt;="&amp;Conversions!L54,'Calculations II'!$AH$8:$AH$385)-SUMIF('Calculations II'!$B$8:$B$385,"&gt;"&amp;Conversions!M54,'Calculations II'!$AH$8:$AH$385)</f>
        <v>1361.4001492852967</v>
      </c>
      <c r="P12" s="57">
        <f>SUMIF(Calculation!$B$8:$B$385,"&gt;="&amp;Conversions!L54,Calculation!$AI$8:$AI$385)-SUMIF(Calculation!$B$8:$B$385,"&gt;"&amp;Conversions!M54,Calculation!$AI$8:$AI$385)</f>
        <v>8.6470000000000002E-3</v>
      </c>
      <c r="Q12" s="294">
        <f>SUMIF(Calculation!$B$8:$B$385,"&gt;="&amp;Conversions!L54,Calculation!$CZ$8:$CZ$385)-SUMIF(Calculation!$B$8:$B$385,"&gt;"&amp;Conversions!M54,Calculation!$CZ$8:$CZ$385)</f>
        <v>142.95385665427102</v>
      </c>
      <c r="R12" s="298">
        <f ca="1">SUMIF('Calculations II'!$B$8:$B$385,"&gt;="&amp;Conversions!L54,'Calculations II'!$AI$8:$AI$385)-SUMIF('Calculations II'!$B$8:$B$385,"&gt;"&amp;Conversions!M54,'Calculations II'!$AI$8:$AI$385)</f>
        <v>1504.3626529395624</v>
      </c>
      <c r="S12" s="351">
        <f>SUMIF(Calculation!$B$8:$B$385,"&gt;="&amp;Conversions!$L54,Calculation!$BB$8:$BB$385)-SUMIF(Calculation!$B$8:$B$385,"&gt;"&amp;Conversions!$M54,Calculation!$BB$8:$BB$385)</f>
        <v>0</v>
      </c>
      <c r="T12" s="294">
        <f>SUMIF(Calculation!$B$8:$B$385,"&gt;="&amp;Conversions!$L54,Calculation!$BV$8:$BV$385)-SUMIF(Calculation!$B$8:$B$385,"&gt;"&amp;Conversions!$M54,Calculation!$BV$8:$BV$385)</f>
        <v>41.987348670100801</v>
      </c>
      <c r="U12" s="292">
        <f>SUMIF(Calculation!$B$8:$B$385,"&gt;="&amp;Conversions!$L54,Calculation!$CP$8:$CP$385)-SUMIF(Calculation!$B$8:$B$385,"&gt;"&amp;Conversions!$M54,Calculation!$CP$8:$CP$385)</f>
        <v>100.96650798416999</v>
      </c>
      <c r="V12" s="610">
        <f ca="1">SUMIF(Sheet1!$B$8:$B$385,"&gt;="&amp;Conversions!N54,'Calculations II'!$BP$8:$BP$385)-SUMIF(Sheet1!$B$8:$B$385,"&gt;"&amp;Conversions!O54,'Calculations II'!$BP$8:$BP$385)</f>
        <v>0</v>
      </c>
      <c r="X12" s="52"/>
      <c r="Y12" s="52"/>
    </row>
    <row r="13" spans="1:28">
      <c r="A13" s="383" t="s">
        <v>218</v>
      </c>
      <c r="B13" s="292">
        <f>SUMIF(Sheet1!$B$8:$B$385,"&gt;="&amp;Conversions!L55,Sheet1!L$8:L$385)-SUMIF(Sheet1!$B$8:$B$385,"&gt;"&amp;Conversions!M55,Sheet1!L$8:L$385)</f>
        <v>657.46999999999957</v>
      </c>
      <c r="C13" s="351">
        <f>SUMIF('Calculations II'!$B$8:$B$385,"&gt;="&amp;Conversions!L55,'Calculations II'!BC$8:BC$385)-SUMIF('Calculations II'!$B$8:$B$385,"&gt;"&amp;Conversions!M55,'Calculations II'!BC$8:BC$385)</f>
        <v>81.073439999999437</v>
      </c>
      <c r="D13" s="294">
        <f>SUMIF(Sheet1!$B$8:$B$385,"&gt;="&amp;Conversions!L55,Sheet1!$AA$8:AA$385)-SUMIF(Sheet1!$B$8:$B$385,"&gt;"&amp;Conversions!M55,Sheet1!$AA$8:$AA$385)</f>
        <v>1000.8000000000029</v>
      </c>
      <c r="E13" s="57">
        <f>SUMIF(Sheet1!$B$8:$B$385,"&gt;="&amp;Conversions!L55,Sheet1!$AB$8:$AB$385)-SUMIF(Sheet1!$B$8:$B$385,"&gt;"&amp;Conversions!M55,Sheet1!$AB$8:$AB$385)</f>
        <v>576.30000000000382</v>
      </c>
      <c r="F13" s="295">
        <f>SUMIF('Calculations II'!$B$8:$B$385,"&gt;="&amp;Conversions!L55,'Calculations II'!$AE$8:$AE$385)-SUMIF('Calculations II'!$B$8:$B$385,"&gt;"&amp;Conversions!M55,'Calculations II'!$AE$8:$AE$385)</f>
        <v>1534.6219982799375</v>
      </c>
      <c r="G13" s="296">
        <f>SUMIF('Calculations II'!$B$8:$B$385,"&gt;="&amp;Conversions!L55,'Calculations II'!$AC$8:$AC$385)-SUMIF('Calculations II'!$B$8:$B$385,"&gt;"&amp;Conversions!M55,'Calculations II'!$AC$8:$AC$385)</f>
        <v>1658.1734400000078</v>
      </c>
      <c r="H13" s="57">
        <f ca="1">SUMIF(Calculation!$B$8:$B$385,"&gt;="&amp;Conversions!L55,Calculation!$EI$8:$EI$385)-SUMIF(Calculation!$B$8:$B$385,"&gt;"&amp;Conversions!M55,Calculation!$EI$8:$EI$385)</f>
        <v>3.2463000000000051</v>
      </c>
      <c r="I13" s="294">
        <f ca="1">SUMIF('Calculations II'!$B$8:$B$385,"&gt;="&amp;Conversions!L55,'Calculations II'!$O8:$O21)-SUMIF('Calculations II'!$B$8:$B$385,"&gt;"&amp;Conversions!M55,'Calculations II'!$O8:$O21)</f>
        <v>0.52756143360020502</v>
      </c>
      <c r="J13" s="363">
        <f ca="1">SUMIF('Calculations II'!$B$8:$B$385,"&gt;="&amp;Conversions!L55,'Calculations II'!$W8:$W21)-SUMIF('Calculations II'!$B$8:$B$385,"&gt;"&amp;Conversions!M55,'Calculations II'!$W8:$W21)</f>
        <v>0</v>
      </c>
      <c r="K13" s="374">
        <f ca="1">SUMIF('Calculations II'!$B$8:$B$385,"&gt;="&amp;Conversions!L55,'Calculations II'!$P$8:$P$385)-SUMIF('Calculations II'!$B$8:$B$385,"&gt;"&amp;Conversions!M55,'Calculations II'!$P$8:$P$385)</f>
        <v>3.7738614336002172</v>
      </c>
      <c r="L13" s="294">
        <f>SUMIF(Sheet1!$B$8:$B$385,"&gt;="&amp;Conversions!L55,Sheet1!$BN$8:$BN$385)-SUMIF(Sheet1!$B$8:$B$385,"&gt;"&amp;Conversions!M55,Sheet1!$BN$8:$BN$385)</f>
        <v>451.20000000000255</v>
      </c>
      <c r="M13" s="57">
        <f>SUMIF(Sheet1!$B$8:$B$385,"&gt;="&amp;Conversions!L55,Sheet1!$CP$8:$CP$385)-SUMIF(Sheet1!$B$8:$B$385,"&gt;"&amp;Conversions!M55,Sheet1!$CP$8:$CP$385)</f>
        <v>502.25999999999931</v>
      </c>
      <c r="N13" s="297">
        <f ca="1">SUMIF('Calculations II'!$B$8:$B$385,"&gt;="&amp;Conversions!L55,'Calculations II'!$AG$8:$AG$385)-SUMIF('Calculations II'!$B$8:$B$385,"&gt;"&amp;Conversions!M55,'Calculations II'!$AG$8:$AG$385)</f>
        <v>981.82727943359896</v>
      </c>
      <c r="O13" s="297">
        <f ca="1">SUMIF('Calculations II'!$B$8:$B$385,"&gt;="&amp;Conversions!L55,'Calculations II'!$AH$8:$AH$385)-SUMIF('Calculations II'!$B$8:$B$385,"&gt;"&amp;Conversions!M55,'Calculations II'!$AH$8:$AH$385)</f>
        <v>1484.0872794336065</v>
      </c>
      <c r="P13" s="57">
        <f>SUMIF(Calculation!$B$8:$B$385,"&gt;="&amp;Conversions!L55,Calculation!$AI$8:$AI$385)-SUMIF(Calculation!$B$8:$B$385,"&gt;"&amp;Conversions!M55,Calculation!$AI$8:$AI$385)</f>
        <v>0</v>
      </c>
      <c r="Q13" s="294">
        <f>SUMIF(Calculation!$B$8:$B$385,"&gt;="&amp;Conversions!L55,Calculation!$CZ$8:$CZ$385)-SUMIF(Calculation!$B$8:$B$385,"&gt;"&amp;Conversions!M55,Calculation!$CZ$8:$CZ$385)</f>
        <v>123.55144172007203</v>
      </c>
      <c r="R13" s="298">
        <f ca="1">SUMIF('Calculations II'!$B$8:$B$385,"&gt;="&amp;Conversions!L55,'Calculations II'!$AI$8:$AI$385)-SUMIF('Calculations II'!$B$8:$B$385,"&gt;"&amp;Conversions!M55,'Calculations II'!$AI$8:$AI$385)</f>
        <v>1607.6387211536785</v>
      </c>
      <c r="S13" s="351">
        <f>SUMIF(Calculation!$B$8:$B$385,"&gt;="&amp;Conversions!$L55,Calculation!$BB$8:$BB$385)-SUMIF(Calculation!$B$8:$B$385,"&gt;"&amp;Conversions!$M55,Calculation!$BB$8:$BB$385)</f>
        <v>0</v>
      </c>
      <c r="T13" s="294">
        <f>SUMIF(Calculation!$B$8:$B$385,"&gt;="&amp;Conversions!$L55,Calculation!$BV$8:$BV$385)-SUMIF(Calculation!$B$8:$B$385,"&gt;"&amp;Conversions!$M55,Calculation!$BV$8:$BV$385)</f>
        <v>34.791830090677195</v>
      </c>
      <c r="U13" s="292">
        <f>SUMIF(Calculation!$B$8:$B$385,"&gt;="&amp;Conversions!$L55,Calculation!$CP$8:$CP$385)-SUMIF(Calculation!$B$8:$B$385,"&gt;"&amp;Conversions!$M55,Calculation!$CP$8:$CP$385)</f>
        <v>88.759611629395749</v>
      </c>
      <c r="V13" s="610">
        <f ca="1">SUMIF(Sheet1!$B$8:$B$385,"&gt;="&amp;Conversions!N55,'Calculations II'!$BP$8:$BP$385)-SUMIF(Sheet1!$B$8:$B$385,"&gt;"&amp;Conversions!O55,'Calculations II'!$BP$8:$BP$385)</f>
        <v>52.760021999999978</v>
      </c>
      <c r="X13" s="52"/>
      <c r="Y13" s="52"/>
    </row>
    <row r="14" spans="1:28">
      <c r="A14" s="383" t="s">
        <v>219</v>
      </c>
      <c r="B14" s="292">
        <f>SUMIF(Sheet1!$B$8:$B$385,"&gt;="&amp;Conversions!L56,Sheet1!L$8:L$385)-SUMIF(Sheet1!$B$8:$B$385,"&gt;"&amp;Conversions!M56,Sheet1!L$8:L$385)</f>
        <v>16.980000000001382</v>
      </c>
      <c r="C14" s="351">
        <f>SUMIF('Calculations II'!$B$8:$B$385,"&gt;="&amp;Conversions!L56,'Calculations II'!BC$8:BC$385)-SUMIF('Calculations II'!$B$8:$B$385,"&gt;"&amp;Conversions!M56,'Calculations II'!BC$8:BC$385)</f>
        <v>124.26009984000007</v>
      </c>
      <c r="D14" s="294">
        <f>SUMIF(Sheet1!$B$8:$B$385,"&gt;="&amp;Conversions!L56,Sheet1!$AA$8:AA$385)-SUMIF(Sheet1!$B$8:$B$385,"&gt;"&amp;Conversions!M56,Sheet1!$AA$8:$AA$385)</f>
        <v>1000.1699999999946</v>
      </c>
      <c r="E14" s="57">
        <f>SUMIF(Sheet1!$B$8:$B$385,"&gt;="&amp;Conversions!L56,Sheet1!$AB$8:$AB$385)-SUMIF(Sheet1!$B$8:$B$385,"&gt;"&amp;Conversions!M56,Sheet1!$AB$8:$AB$385)</f>
        <v>799.49999999999909</v>
      </c>
      <c r="F14" s="295">
        <f>SUMIF('Calculations II'!$B$8:$B$385,"&gt;="&amp;Conversions!L56,'Calculations II'!$AE$8:$AE$385)-SUMIF('Calculations II'!$B$8:$B$385,"&gt;"&amp;Conversions!M56,'Calculations II'!$AE$8:$AE$385)</f>
        <v>1647.7938835111927</v>
      </c>
      <c r="G14" s="296">
        <f>SUMIF('Calculations II'!$B$8:$B$385,"&gt;="&amp;Conversions!L56,'Calculations II'!$AC$8:$AC$385)-SUMIF('Calculations II'!$B$8:$B$385,"&gt;"&amp;Conversions!M56,'Calculations II'!$AC$8:$AC$385)</f>
        <v>1923.9300998399958</v>
      </c>
      <c r="H14" s="57">
        <f ca="1">SUMIF(Calculation!$B$8:$B$385,"&gt;="&amp;Conversions!L56,Calculation!$EI$8:$EI$385)-SUMIF(Calculation!$B$8:$B$385,"&gt;"&amp;Conversions!M56,Calculation!$EI$8:$EI$385)</f>
        <v>-6.2556999999999903</v>
      </c>
      <c r="I14" s="294">
        <f ca="1">SUMIF('Calculations II'!$B$8:$B$385,"&gt;="&amp;Conversions!L56,'Calculations II'!$O8:$O22)-SUMIF('Calculations II'!$B$8:$B$385,"&gt;"&amp;Conversions!M56,'Calculations II'!$O8:$O22)</f>
        <v>-5.1256732567630223</v>
      </c>
      <c r="J14" s="363">
        <f ca="1">SUMIF('Calculations II'!$B$8:$B$385,"&gt;="&amp;Conversions!L56,'Calculations II'!$W8:$W22)-SUMIF('Calculations II'!$B$8:$B$385,"&gt;"&amp;Conversions!M56,'Calculations II'!$W8:$W22)</f>
        <v>0</v>
      </c>
      <c r="K14" s="374">
        <f ca="1">SUMIF('Calculations II'!$B$8:$B$385,"&gt;="&amp;Conversions!L56,'Calculations II'!$P$8:$P$385)-SUMIF('Calculations II'!$B$8:$B$385,"&gt;"&amp;Conversions!M56,'Calculations II'!$P$8:$P$385)</f>
        <v>-11.381373256763027</v>
      </c>
      <c r="L14" s="294">
        <f>SUMIF(Sheet1!$B$8:$B$385,"&gt;="&amp;Conversions!L56,Sheet1!$BN$8:$BN$385)-SUMIF(Sheet1!$B$8:$B$385,"&gt;"&amp;Conversions!M56,Sheet1!$BN$8:$BN$385)</f>
        <v>518.90000000000055</v>
      </c>
      <c r="M14" s="57">
        <f>SUMIF(Sheet1!$B$8:$B$385,"&gt;="&amp;Conversions!L56,Sheet1!$CP$8:$CP$385)-SUMIF(Sheet1!$B$8:$B$385,"&gt;"&amp;Conversions!M56,Sheet1!$CP$8:$CP$385)</f>
        <v>500.52</v>
      </c>
      <c r="N14" s="297">
        <f ca="1">SUMIF('Calculations II'!$B$8:$B$385,"&gt;="&amp;Conversions!L56,'Calculations II'!$AG$8:$AG$385)-SUMIF('Calculations II'!$B$8:$B$385,"&gt;"&amp;Conversions!M56,'Calculations II'!$AG$8:$AG$385)</f>
        <v>1131.4287265832345</v>
      </c>
      <c r="O14" s="297">
        <f ca="1">SUMIF('Calculations II'!$B$8:$B$385,"&gt;="&amp;Conversions!L56,'Calculations II'!$AH$8:$AH$385)-SUMIF('Calculations II'!$B$8:$B$385,"&gt;"&amp;Conversions!M56,'Calculations II'!$AH$8:$AH$385)</f>
        <v>1631.9487265832231</v>
      </c>
      <c r="P14" s="57">
        <f>SUMIF(Calculation!$B$8:$B$385,"&gt;="&amp;Conversions!L56,Calculation!$AI$8:$AI$385)-SUMIF(Calculation!$B$8:$B$385,"&gt;"&amp;Conversions!M56,Calculation!$AI$8:$AI$385)</f>
        <v>0</v>
      </c>
      <c r="Q14" s="294">
        <f>SUMIF(Calculation!$B$8:$B$385,"&gt;="&amp;Conversions!L56,Calculation!$CZ$8:$CZ$385)-SUMIF(Calculation!$B$8:$B$385,"&gt;"&amp;Conversions!M56,Calculation!$CZ$8:$CZ$385)</f>
        <v>276.13621632879745</v>
      </c>
      <c r="R14" s="298">
        <f ca="1">SUMIF('Calculations II'!$B$8:$B$385,"&gt;="&amp;Conversions!L56,'Calculations II'!$AI$8:$AI$385)-SUMIF('Calculations II'!$B$8:$B$385,"&gt;"&amp;Conversions!M56,'Calculations II'!$AI$8:$AI$385)</f>
        <v>1908.0849429120353</v>
      </c>
      <c r="S14" s="351">
        <f>SUMIF(Calculation!$B$8:$B$385,"&gt;="&amp;Conversions!$L56,Calculation!$BB$8:$BB$385)-SUMIF(Calculation!$B$8:$B$385,"&gt;"&amp;Conversions!$M56,Calculation!$BB$8:$BB$385)</f>
        <v>0</v>
      </c>
      <c r="T14" s="294">
        <f>SUMIF(Calculation!$B$8:$B$385,"&gt;="&amp;Conversions!$L56,Calculation!$BV$8:$BV$385)-SUMIF(Calculation!$B$8:$B$385,"&gt;"&amp;Conversions!$M56,Calculation!$BV$8:$BV$385)</f>
        <v>74.33971614761316</v>
      </c>
      <c r="U14" s="292">
        <f>SUMIF(Calculation!$B$8:$B$385,"&gt;="&amp;Conversions!$L56,Calculation!$CP$8:$CP$385)-SUMIF(Calculation!$B$8:$B$385,"&gt;"&amp;Conversions!$M56,Calculation!$CP$8:$CP$385)</f>
        <v>201.79650018118423</v>
      </c>
      <c r="V14" s="610">
        <f ca="1">SUMIF(Sheet1!$B$8:$B$385,"&gt;="&amp;Conversions!N56,'Calculations II'!$BP$8:$BP$385)-SUMIF(Sheet1!$B$8:$B$385,"&gt;"&amp;Conversions!O56,'Calculations II'!$BP$8:$BP$385)</f>
        <v>0</v>
      </c>
      <c r="X14" s="52"/>
      <c r="Y14" s="52"/>
    </row>
    <row r="15" spans="1:28" ht="12.75" customHeight="1">
      <c r="A15" s="383" t="s">
        <v>220</v>
      </c>
      <c r="B15" s="292">
        <f>SUMIF(Sheet1!$B$8:$B$385,"&gt;="&amp;Conversions!L57,Sheet1!L$8:L$385)-SUMIF(Sheet1!$B$8:$B$385,"&gt;"&amp;Conversions!M57,Sheet1!L$8:L$385)</f>
        <v>116.42999999999847</v>
      </c>
      <c r="C15" s="351">
        <f>SUMIF('Calculations II'!$B$8:$B$385,"&gt;="&amp;Conversions!L57,'Calculations II'!BC$8:BC$385)-SUMIF('Calculations II'!$B$8:$B$385,"&gt;"&amp;Conversions!M57,'Calculations II'!BC$8:BC$385)</f>
        <v>379.74598559999998</v>
      </c>
      <c r="D15" s="294">
        <f>SUMIF(Sheet1!$B$8:$B$385,"&gt;="&amp;Conversions!L57,Sheet1!$AA$8:AA$385)-SUMIF(Sheet1!$B$8:$B$385,"&gt;"&amp;Conversions!M57,Sheet1!$AA$8:$AA$385)</f>
        <v>1234.0900000000047</v>
      </c>
      <c r="E15" s="57">
        <f>SUMIF(Sheet1!$B$8:$B$385,"&gt;="&amp;Conversions!L57,Sheet1!$AB$8:$AB$385)-SUMIF(Sheet1!$B$8:$B$385,"&gt;"&amp;Conversions!M57,Sheet1!$AB$8:$AB$385)</f>
        <v>705.24999999999545</v>
      </c>
      <c r="F15" s="295">
        <f>SUMIF('Calculations II'!$B$8:$B$385,"&gt;="&amp;Conversions!L57,'Calculations II'!$AE$8:$AE$385)-SUMIF('Calculations II'!$B$8:$B$385,"&gt;"&amp;Conversions!M57,'Calculations II'!$AE$8:$AE$385)</f>
        <v>1900.8581528390805</v>
      </c>
      <c r="G15" s="296">
        <f>SUMIF('Calculations II'!$B$8:$B$385,"&gt;="&amp;Conversions!L57,'Calculations II'!$AC$8:$AC$385)-SUMIF('Calculations II'!$B$8:$B$385,"&gt;"&amp;Conversions!M57,'Calculations II'!$AC$8:$AC$385)</f>
        <v>2319.0859855999952</v>
      </c>
      <c r="H15" s="57">
        <f ca="1">SUMIF(Calculation!$B$8:$B$385,"&gt;="&amp;Conversions!L57,Calculation!$EI$8:$EI$385)-SUMIF(Calculation!$B$8:$B$385,"&gt;"&amp;Conversions!M57,Calculation!$EI$8:$EI$385)</f>
        <v>12.691199999999995</v>
      </c>
      <c r="I15" s="294">
        <f ca="1">SUMIF('Calculations II'!$B$8:$B$385,"&gt;="&amp;Conversions!L57,'Calculations II'!$O8:$O23)-SUMIF('Calculations II'!$B$8:$B$385,"&gt;"&amp;Conversions!M57,'Calculations II'!$O8:$O23)</f>
        <v>-0.74833525369842846</v>
      </c>
      <c r="J15" s="363">
        <f ca="1">SUMIF('Calculations II'!$B$8:$B$385,"&gt;="&amp;Conversions!L57,'Calculations II'!$W8:$W23)-SUMIF('Calculations II'!$B$8:$B$385,"&gt;"&amp;Conversions!M57,'Calculations II'!$W8:$W23)</f>
        <v>0</v>
      </c>
      <c r="K15" s="374">
        <f ca="1">SUMIF('Calculations II'!$B$8:$B$385,"&gt;="&amp;Conversions!L57,'Calculations II'!$P$8:$P$385)-SUMIF('Calculations II'!$B$8:$B$385,"&gt;"&amp;Conversions!M57,'Calculations II'!$P$8:$P$385)</f>
        <v>11.942864746301566</v>
      </c>
      <c r="L15" s="294">
        <f>SUMIF(Sheet1!$B$8:$B$385,"&gt;="&amp;Conversions!L57,Sheet1!$BN$8:$BN$385)-SUMIF(Sheet1!$B$8:$B$385,"&gt;"&amp;Conversions!M57,Sheet1!$BN$8:$BN$385)</f>
        <v>285.60000000000173</v>
      </c>
      <c r="M15" s="57">
        <f>SUMIF(Sheet1!$B$8:$B$385,"&gt;="&amp;Conversions!L57,Sheet1!$CP$8:$CP$385)-SUMIF(Sheet1!$B$8:$B$385,"&gt;"&amp;Conversions!M57,Sheet1!$CP$8:$CP$385)</f>
        <v>398.67000000000053</v>
      </c>
      <c r="N15" s="297">
        <f ca="1">SUMIF('Calculations II'!$B$8:$B$385,"&gt;="&amp;Conversions!L57,'Calculations II'!$AG$8:$AG$385)-SUMIF('Calculations II'!$B$8:$B$385,"&gt;"&amp;Conversions!M57,'Calculations II'!$AG$8:$AG$385)</f>
        <v>1444.7088503463019</v>
      </c>
      <c r="O15" s="297">
        <f ca="1">SUMIF('Calculations II'!$B$8:$B$385,"&gt;="&amp;Conversions!L57,'Calculations II'!$AH$8:$AH$385)-SUMIF('Calculations II'!$B$8:$B$385,"&gt;"&amp;Conversions!M57,'Calculations II'!$AH$8:$AH$385)</f>
        <v>1843.3788503463056</v>
      </c>
      <c r="P15" s="57">
        <f>SUMIF(Calculation!$B$8:$B$385,"&gt;="&amp;Conversions!L57,Calculation!$AI$8:$AI$385)-SUMIF(Calculation!$B$8:$B$385,"&gt;"&amp;Conversions!M57,Calculation!$AI$8:$AI$385)</f>
        <v>0</v>
      </c>
      <c r="Q15" s="294">
        <f>SUMIF(Calculation!$B$8:$B$385,"&gt;="&amp;Conversions!L57,Calculation!$CZ$8:$CZ$385)-SUMIF(Calculation!$B$8:$B$385,"&gt;"&amp;Conversions!M57,Calculation!$CZ$8:$CZ$385)</f>
        <v>418.22783276092173</v>
      </c>
      <c r="R15" s="298">
        <f ca="1">SUMIF('Calculations II'!$B$8:$B$385,"&gt;="&amp;Conversions!L57,'Calculations II'!$AI$8:$AI$385)-SUMIF('Calculations II'!$B$8:$B$385,"&gt;"&amp;Conversions!M57,'Calculations II'!$AI$8:$AI$385)</f>
        <v>2261.6066831072258</v>
      </c>
      <c r="S15" s="351">
        <f>SUMIF(Calculation!$B$8:$B$385,"&gt;="&amp;Conversions!$L57,Calculation!$BB$8:$BB$385)-SUMIF(Calculation!$B$8:$B$385,"&gt;"&amp;Conversions!$M57,Calculation!$BB$8:$BB$385)</f>
        <v>39.95255828597206</v>
      </c>
      <c r="T15" s="294">
        <f>SUMIF(Calculation!$B$8:$B$385,"&gt;="&amp;Conversions!$L57,Calculation!$BV$8:$BV$385)-SUMIF(Calculation!$B$8:$B$385,"&gt;"&amp;Conversions!$M57,Calculation!$BV$8:$BV$385)</f>
        <v>84.121262627974829</v>
      </c>
      <c r="U15" s="292">
        <f>SUMIF(Calculation!$B$8:$B$385,"&gt;="&amp;Conversions!$L57,Calculation!$CP$8:$CP$385)-SUMIF(Calculation!$B$8:$B$385,"&gt;"&amp;Conversions!$M57,Calculation!$CP$8:$CP$385)</f>
        <v>294.15401184697464</v>
      </c>
      <c r="V15" s="610">
        <f ca="1">SUMIF(Sheet1!$B$8:$B$385,"&gt;="&amp;Conversions!N57,'Calculations II'!$BP$8:$BP$385)-SUMIF(Sheet1!$B$8:$B$385,"&gt;"&amp;Conversions!O57,'Calculations II'!$BP$8:$BP$385)</f>
        <v>68</v>
      </c>
      <c r="X15" s="52"/>
      <c r="Y15" s="52"/>
    </row>
    <row r="16" spans="1:28">
      <c r="A16" s="383" t="s">
        <v>221</v>
      </c>
      <c r="B16" s="292">
        <f>SUMIF(Sheet1!$B$8:$B$385,"&gt;="&amp;Conversions!L58,Sheet1!L$8:L$385)-SUMIF(Sheet1!$B$8:$B$385,"&gt;"&amp;Conversions!M58,Sheet1!L$8:L$385)</f>
        <v>0</v>
      </c>
      <c r="C16" s="351">
        <f>SUMIF('Calculations II'!$B$8:$B$385,"&gt;="&amp;Conversions!L58,'Calculations II'!BC$8:BC$385)-SUMIF('Calculations II'!$B$8:$B$385,"&gt;"&amp;Conversions!M58,'Calculations II'!BC$8:BC$385)</f>
        <v>331.49162303999992</v>
      </c>
      <c r="D16" s="294">
        <f>SUMIF(Sheet1!$B$8:$B$385,"&gt;="&amp;Conversions!L58,Sheet1!$AA$8:AA$385)-SUMIF(Sheet1!$B$8:$B$385,"&gt;"&amp;Conversions!M58,Sheet1!$AA$8:$AA$385)</f>
        <v>1407.3800000000006</v>
      </c>
      <c r="E16" s="57">
        <f>SUMIF(Sheet1!$B$8:$B$385,"&gt;="&amp;Conversions!L58,Sheet1!$AB$8:$AB$385)-SUMIF(Sheet1!$B$8:$B$385,"&gt;"&amp;Conversions!M58,Sheet1!$AB$8:$AB$385)</f>
        <v>980.9899999999966</v>
      </c>
      <c r="F16" s="295">
        <f>SUMIF('Calculations II'!$B$8:$B$385,"&gt;="&amp;Conversions!L58,'Calculations II'!$AE$8:$AE$385)-SUMIF('Calculations II'!$B$8:$B$385,"&gt;"&amp;Conversions!M58,'Calculations II'!$AE$8:$AE$385)</f>
        <v>2163.5406637444585</v>
      </c>
      <c r="G16" s="296">
        <f>SUMIF('Calculations II'!$B$8:$B$385,"&gt;="&amp;Conversions!L58,'Calculations II'!$AC$8:$AC$385)-SUMIF('Calculations II'!$B$8:$B$385,"&gt;"&amp;Conversions!M58,'Calculations II'!$AC$8:$AC$385)</f>
        <v>2719.861623039993</v>
      </c>
      <c r="H16" s="57">
        <f ca="1">SUMIF(Calculation!$B$8:$B$385,"&gt;="&amp;Conversions!L58,Calculation!$EI$8:$EI$385)-SUMIF(Calculation!$B$8:$B$385,"&gt;"&amp;Conversions!M58,Calculation!$EI$8:$EI$385)</f>
        <v>-17.095999999999989</v>
      </c>
      <c r="I16" s="294">
        <f ca="1">SUMIF('Calculations II'!$B$8:$B$385,"&gt;="&amp;Conversions!L58,'Calculations II'!$O8:$O24)-SUMIF('Calculations II'!$B$8:$B$385,"&gt;"&amp;Conversions!M58,'Calculations II'!$O8:$O24)</f>
        <v>-0.11264794343552609</v>
      </c>
      <c r="J16" s="363">
        <f ca="1">SUMIF('Calculations II'!$B$8:$B$385,"&gt;="&amp;Conversions!L58,'Calculations II'!$W8:$W24)-SUMIF('Calculations II'!$B$8:$B$385,"&gt;"&amp;Conversions!M58,'Calculations II'!$W8:$W24)</f>
        <v>0</v>
      </c>
      <c r="K16" s="374">
        <f ca="1">SUMIF('Calculations II'!$B$8:$B$385,"&gt;="&amp;Conversions!L58,'Calculations II'!$P$8:$P$385)-SUMIF('Calculations II'!$B$8:$B$385,"&gt;"&amp;Conversions!M58,'Calculations II'!$P$8:$P$385)</f>
        <v>-17.208647943435537</v>
      </c>
      <c r="L16" s="294">
        <f>SUMIF(Sheet1!$B$8:$B$385,"&gt;="&amp;Conversions!L58,Sheet1!$BN$8:$BN$385)-SUMIF(Sheet1!$B$8:$B$385,"&gt;"&amp;Conversions!M58,Sheet1!$BN$8:$BN$385)</f>
        <v>425.80000000000018</v>
      </c>
      <c r="M16" s="57">
        <f>SUMIF(Sheet1!$B$8:$B$385,"&gt;="&amp;Conversions!L58,Sheet1!$CP$8:$CP$385)-SUMIF(Sheet1!$B$8:$B$385,"&gt;"&amp;Conversions!M58,Sheet1!$CP$8:$CP$385)</f>
        <v>526.74000000000024</v>
      </c>
      <c r="N16" s="297">
        <f ca="1">SUMIF('Calculations II'!$B$8:$B$385,"&gt;="&amp;Conversions!L58,'Calculations II'!$AG$8:$AG$385)-SUMIF('Calculations II'!$B$8:$B$385,"&gt;"&amp;Conversions!M58,'Calculations II'!$AG$8:$AG$385)</f>
        <v>1620.7229750965644</v>
      </c>
      <c r="O16" s="297">
        <f ca="1">SUMIF('Calculations II'!$B$8:$B$385,"&gt;="&amp;Conversions!L58,'Calculations II'!$AH$8:$AH$385)-SUMIF('Calculations II'!$B$8:$B$385,"&gt;"&amp;Conversions!M58,'Calculations II'!$AH$8:$AH$385)</f>
        <v>2147.4629750965642</v>
      </c>
      <c r="P16" s="57">
        <f>SUMIF(Calculation!$B$8:$B$385,"&gt;="&amp;Conversions!L58,Calculation!$AI$8:$AI$385)-SUMIF(Calculation!$B$8:$B$385,"&gt;"&amp;Conversions!M58,Calculation!$AI$8:$AI$385)</f>
        <v>0</v>
      </c>
      <c r="Q16" s="294">
        <f>SUMIF(Calculation!$B$8:$B$385,"&gt;="&amp;Conversions!L58,Calculation!$CZ$8:$CZ$385)-SUMIF(Calculation!$B$8:$B$385,"&gt;"&amp;Conversions!M58,Calculation!$CZ$8:$CZ$385)</f>
        <v>556.32095929554089</v>
      </c>
      <c r="R16" s="298">
        <f ca="1">SUMIF('Calculations II'!$B$8:$B$385,"&gt;="&amp;Conversions!L58,'Calculations II'!$AI$8:$AI$385)-SUMIF('Calculations II'!$B$8:$B$385,"&gt;"&amp;Conversions!M58,'Calculations II'!$AI$8:$AI$385)</f>
        <v>2703.7839343920969</v>
      </c>
      <c r="S16" s="351">
        <f>SUMIF(Calculation!$B$8:$B$385,"&gt;="&amp;Conversions!$L58,Calculation!$BB$8:$BB$385)-SUMIF(Calculation!$B$8:$B$385,"&gt;"&amp;Conversions!$M58,Calculation!$BB$8:$BB$385)</f>
        <v>60.086024217111415</v>
      </c>
      <c r="T16" s="294">
        <f>SUMIF(Calculation!$B$8:$B$385,"&gt;="&amp;Conversions!$L58,Calculation!$BV$8:$BV$385)-SUMIF(Calculation!$B$8:$B$385,"&gt;"&amp;Conversions!$M58,Calculation!$BV$8:$BV$385)</f>
        <v>142.51100340233788</v>
      </c>
      <c r="U16" s="292">
        <f>SUMIF(Calculation!$B$8:$B$385,"&gt;="&amp;Conversions!$L58,Calculation!$CP$8:$CP$385)-SUMIF(Calculation!$B$8:$B$385,"&gt;"&amp;Conversions!$M58,Calculation!$CP$8:$CP$385)</f>
        <v>353.7239316760913</v>
      </c>
      <c r="V16" s="610">
        <f ca="1">SUMIF(Sheet1!$B$8:$B$385,"&gt;="&amp;Conversions!N58,'Calculations II'!$BP$8:$BP$385)-SUMIF(Sheet1!$B$8:$B$385,"&gt;"&amp;Conversions!O58,'Calculations II'!$BP$8:$BP$385)</f>
        <v>0</v>
      </c>
      <c r="X16" s="52"/>
      <c r="Y16" s="52"/>
    </row>
    <row r="17" spans="1:27">
      <c r="A17" s="383" t="s">
        <v>222</v>
      </c>
      <c r="B17" s="292">
        <f>SUMIF(Sheet1!$B$8:$B$385,"&gt;="&amp;Conversions!L59,Sheet1!L$8:L$385)-SUMIF(Sheet1!$B$8:$B$385,"&gt;"&amp;Conversions!M59,Sheet1!L$8:L$385)</f>
        <v>0</v>
      </c>
      <c r="C17" s="351">
        <f>SUMIF('Calculations II'!$B$8:$B$385,"&gt;="&amp;Conversions!L59,'Calculations II'!BC$8:BC$385)-SUMIF('Calculations II'!$B$8:$B$385,"&gt;"&amp;Conversions!M59,'Calculations II'!BC$8:BC$385)</f>
        <v>82.741017600000021</v>
      </c>
      <c r="D17" s="294">
        <f>SUMIF(Sheet1!$B$8:$B$385,"&gt;="&amp;Conversions!L59,Sheet1!$AA$8:AA$385)-SUMIF(Sheet1!$B$8:$B$385,"&gt;"&amp;Conversions!M59,Sheet1!$AA$8:$AA$385)</f>
        <v>1252.5099999999984</v>
      </c>
      <c r="E17" s="57">
        <f>SUMIF(Sheet1!$B$8:$B$385,"&gt;="&amp;Conversions!L59,Sheet1!$AB$8:$AB$385)-SUMIF(Sheet1!$B$8:$B$385,"&gt;"&amp;Conversions!M59,Sheet1!$AB$8:$AB$385)</f>
        <v>935.61000000000058</v>
      </c>
      <c r="F17" s="295">
        <f>SUMIF('Calculations II'!$B$8:$B$385,"&gt;="&amp;Conversions!L59,'Calculations II'!$AE$8:$AE$385)-SUMIF('Calculations II'!$B$8:$B$385,"&gt;"&amp;Conversions!M59,'Calculations II'!$AE$8:$AE$385)</f>
        <v>1841.3400702397221</v>
      </c>
      <c r="G17" s="296">
        <f>SUMIF('Calculations II'!$B$8:$B$385,"&gt;="&amp;Conversions!L59,'Calculations II'!$AC$8:$AC$385)-SUMIF('Calculations II'!$B$8:$B$385,"&gt;"&amp;Conversions!M59,'Calculations II'!$AC$8:$AC$385)</f>
        <v>2270.8610176000002</v>
      </c>
      <c r="H17" s="57">
        <f ca="1">SUMIF(Calculation!$B$8:$B$385,"&gt;="&amp;Conversions!L59,Calculation!$EI$8:$EI$385)-SUMIF(Calculation!$B$8:$B$385,"&gt;"&amp;Conversions!M59,Calculation!$EI$8:$EI$385)</f>
        <v>2.215999999999994</v>
      </c>
      <c r="I17" s="294">
        <f ca="1">SUMIF('Calculations II'!$B$8:$B$385,"&gt;="&amp;Conversions!L59,'Calculations II'!$O8:$O25)-SUMIF('Calculations II'!$B$8:$B$385,"&gt;"&amp;Conversions!M59,'Calculations II'!$O8:$O25)</f>
        <v>3.9267579949915685</v>
      </c>
      <c r="J17" s="363">
        <f ca="1">SUMIF('Calculations II'!$B$8:$B$385,"&gt;="&amp;Conversions!L59,'Calculations II'!$W8:$W25)-SUMIF('Calculations II'!$B$8:$B$385,"&gt;"&amp;Conversions!M59,'Calculations II'!$W8:$W25)</f>
        <v>0</v>
      </c>
      <c r="K17" s="374">
        <f ca="1">SUMIF('Calculations II'!$B$8:$B$385,"&gt;="&amp;Conversions!L59,'Calculations II'!$P$8:$P$385)-SUMIF('Calculations II'!$B$8:$B$385,"&gt;"&amp;Conversions!M59,'Calculations II'!$P$8:$P$385)</f>
        <v>6.1427579949915696</v>
      </c>
      <c r="L17" s="294">
        <f>SUMIF(Sheet1!$B$8:$B$385,"&gt;="&amp;Conversions!L59,Sheet1!$BN$8:$BN$385)-SUMIF(Sheet1!$B$8:$B$385,"&gt;"&amp;Conversions!M59,Sheet1!$BN$8:$BN$385)</f>
        <v>506.70000000000005</v>
      </c>
      <c r="M17" s="57">
        <f>SUMIF(Sheet1!$B$8:$B$385,"&gt;="&amp;Conversions!L59,Sheet1!$CP$8:$CP$385)-SUMIF(Sheet1!$B$8:$B$385,"&gt;"&amp;Conversions!M59,Sheet1!$CP$8:$CP$385)</f>
        <v>517.7099999999989</v>
      </c>
      <c r="N17" s="297">
        <f ca="1">SUMIF('Calculations II'!$B$8:$B$385,"&gt;="&amp;Conversions!L59,'Calculations II'!$AG$8:$AG$385)-SUMIF('Calculations II'!$B$8:$B$385,"&gt;"&amp;Conversions!M59,'Calculations II'!$AG$8:$AG$385)</f>
        <v>1330.3837755949908</v>
      </c>
      <c r="O17" s="297">
        <f ca="1">SUMIF('Calculations II'!$B$8:$B$385,"&gt;="&amp;Conversions!L59,'Calculations II'!$AH$8:$AH$385)-SUMIF('Calculations II'!$B$8:$B$385,"&gt;"&amp;Conversions!M59,'Calculations II'!$AH$8:$AH$385)</f>
        <v>1848.0937755949944</v>
      </c>
      <c r="P17" s="57">
        <f>SUMIF(Calculation!$B$8:$B$385,"&gt;="&amp;Conversions!L59,Calculation!$AI$8:$AI$385)-SUMIF(Calculation!$B$8:$B$385,"&gt;"&amp;Conversions!M59,Calculation!$AI$8:$AI$385)</f>
        <v>0</v>
      </c>
      <c r="Q17" s="294">
        <f>SUMIF(Calculation!$B$8:$B$385,"&gt;="&amp;Conversions!L59,Calculation!$CZ$8:$CZ$385)-SUMIF(Calculation!$B$8:$B$385,"&gt;"&amp;Conversions!M59,Calculation!$CZ$8:$CZ$385)</f>
        <v>429.52094736027806</v>
      </c>
      <c r="R17" s="298">
        <f ca="1">SUMIF('Calculations II'!$B$8:$B$385,"&gt;="&amp;Conversions!L59,'Calculations II'!$AI$8:$AI$385)-SUMIF('Calculations II'!$B$8:$B$385,"&gt;"&amp;Conversions!M59,'Calculations II'!$AI$8:$AI$385)</f>
        <v>2277.6147229552744</v>
      </c>
      <c r="S17" s="351">
        <f>SUMIF(Calculation!$B$8:$B$385,"&gt;="&amp;Conversions!$L59,Calculation!$BB$8:$BB$385)-SUMIF(Calculation!$B$8:$B$385,"&gt;"&amp;Conversions!$M59,Calculation!$BB$8:$BB$385)</f>
        <v>48.352989852018936</v>
      </c>
      <c r="T17" s="294">
        <f>SUMIF(Calculation!$B$8:$B$385,"&gt;="&amp;Conversions!$L59,Calculation!$BV$8:$BV$385)-SUMIF(Calculation!$B$8:$B$385,"&gt;"&amp;Conversions!$M59,Calculation!$BV$8:$BV$385)</f>
        <v>104.83882508366497</v>
      </c>
      <c r="U17" s="292">
        <f>SUMIF(Calculation!$B$8:$B$385,"&gt;="&amp;Conversions!$L59,Calculation!$CP$8:$CP$385)-SUMIF(Calculation!$B$8:$B$385,"&gt;"&amp;Conversions!$M59,Calculation!$CP$8:$CP$385)</f>
        <v>276.32913242459449</v>
      </c>
      <c r="V17" s="610">
        <f ca="1">SUMIF(Sheet1!$B$8:$B$385,"&gt;="&amp;Conversions!N59,'Calculations II'!$BP$8:$BP$385)-SUMIF(Sheet1!$B$8:$B$385,"&gt;"&amp;Conversions!O59,'Calculations II'!$BP$8:$BP$385)</f>
        <v>0</v>
      </c>
      <c r="X17" s="52"/>
      <c r="Y17" s="52"/>
    </row>
    <row r="18" spans="1:27">
      <c r="A18" s="383" t="s">
        <v>223</v>
      </c>
      <c r="B18" s="292">
        <f>SUMIF(Sheet1!$B$8:$B$385,"&gt;="&amp;Conversions!L60,Sheet1!L$8:L$385)-SUMIF(Sheet1!$B$8:$B$385,"&gt;"&amp;Conversions!M60,Sheet1!L$8:L$385)</f>
        <v>214.53999999999905</v>
      </c>
      <c r="C18" s="351">
        <f>SUMIF('Calculations II'!$B$8:$B$385,"&gt;="&amp;Conversions!L60,'Calculations II'!BC$8:BC$385)-SUMIF('Calculations II'!$B$8:$B$385,"&gt;"&amp;Conversions!M60,'Calculations II'!BC$8:BC$385)</f>
        <v>0</v>
      </c>
      <c r="D18" s="294">
        <f>SUMIF(Sheet1!$B$8:$B$385,"&gt;="&amp;Conversions!L60,Sheet1!$AA$8:AA$385)-SUMIF(Sheet1!$B$8:$B$385,"&gt;"&amp;Conversions!M60,Sheet1!$AA$8:$AA$385)</f>
        <v>953.81000000000063</v>
      </c>
      <c r="E18" s="57">
        <f>SUMIF(Sheet1!$B$8:$B$385,"&gt;="&amp;Conversions!L60,Sheet1!$AB$8:$AB$385)-SUMIF(Sheet1!$B$8:$B$385,"&gt;"&amp;Conversions!M60,Sheet1!$AB$8:$AB$385)</f>
        <v>721.58999999999287</v>
      </c>
      <c r="F18" s="295">
        <f>SUMIF('Calculations II'!$B$8:$B$385,"&gt;="&amp;Conversions!L60,'Calculations II'!$AE$8:$AE$385)-SUMIF('Calculations II'!$B$8:$B$385,"&gt;"&amp;Conversions!M60,'Calculations II'!$AE$8:$AE$385)</f>
        <v>1432.4708592030647</v>
      </c>
      <c r="G18" s="296">
        <f>SUMIF('Calculations II'!$B$8:$B$385,"&gt;="&amp;Conversions!L60,'Calculations II'!$AC$8:$AC$385)-SUMIF('Calculations II'!$B$8:$B$385,"&gt;"&amp;Conversions!M60,'Calculations II'!$AC$8:$AC$385)</f>
        <v>1675.3999999999951</v>
      </c>
      <c r="H18" s="57">
        <f ca="1">SUMIF(Calculation!$B$8:$B$385,"&gt;="&amp;Conversions!L60,Calculation!$EI$8:$EI$385)-SUMIF(Calculation!$B$8:$B$385,"&gt;"&amp;Conversions!M60,Calculation!$EI$8:$EI$385)</f>
        <v>1.6415999999999826</v>
      </c>
      <c r="I18" s="294">
        <f ca="1">SUMIF('Calculations II'!$B$8:$B$385,"&gt;="&amp;Conversions!L60,'Calculations II'!$O8:$O26)-SUMIF('Calculations II'!$B$8:$B$385,"&gt;"&amp;Conversions!M60,'Calculations II'!$O8:$O26)</f>
        <v>0.82683613379445831</v>
      </c>
      <c r="J18" s="363">
        <f ca="1">SUMIF('Calculations II'!$B$8:$B$385,"&gt;="&amp;Conversions!L60,'Calculations II'!$W8:$W26)-SUMIF('Calculations II'!$B$8:$B$385,"&gt;"&amp;Conversions!M60,'Calculations II'!$W8:$W26)</f>
        <v>0</v>
      </c>
      <c r="K18" s="374">
        <f ca="1">SUMIF('Calculations II'!$B$8:$B$385,"&gt;="&amp;Conversions!L60,'Calculations II'!$P$8:$P$385)-SUMIF('Calculations II'!$B$8:$B$385,"&gt;"&amp;Conversions!M60,'Calculations II'!$P$8:$P$385)</f>
        <v>2.4684361337944551</v>
      </c>
      <c r="L18" s="294">
        <f>SUMIF(Sheet1!$B$8:$B$385,"&gt;="&amp;Conversions!L60,Sheet1!$BN$8:$BN$385)-SUMIF(Sheet1!$B$8:$B$385,"&gt;"&amp;Conversions!M60,Sheet1!$BN$8:$BN$385)</f>
        <v>475.70000000000027</v>
      </c>
      <c r="M18" s="57">
        <f>SUMIF(Sheet1!$B$8:$B$385,"&gt;="&amp;Conversions!L60,Sheet1!$CP$8:$CP$385)-SUMIF(Sheet1!$B$8:$B$385,"&gt;"&amp;Conversions!M60,Sheet1!$CP$8:$CP$385)</f>
        <v>522.97</v>
      </c>
      <c r="N18" s="297">
        <f ca="1">SUMIF('Calculations II'!$B$8:$B$385,"&gt;="&amp;Conversions!L60,'Calculations II'!$AG$8:$AG$385)-SUMIF('Calculations II'!$B$8:$B$385,"&gt;"&amp;Conversions!M60,'Calculations II'!$AG$8:$AG$385)</f>
        <v>909.00843613379379</v>
      </c>
      <c r="O18" s="297">
        <f ca="1">SUMIF('Calculations II'!$B$8:$B$385,"&gt;="&amp;Conversions!L60,'Calculations II'!$AH$8:$AH$385)-SUMIF('Calculations II'!$B$8:$B$385,"&gt;"&amp;Conversions!M60,'Calculations II'!$AH$8:$AH$385)</f>
        <v>1431.9784361337934</v>
      </c>
      <c r="P18" s="57">
        <f>SUMIF(Calculation!$B$8:$B$385,"&gt;="&amp;Conversions!L60,Calculation!$AI$8:$AI$385)-SUMIF(Calculation!$B$8:$B$385,"&gt;"&amp;Conversions!M60,Calculation!$AI$8:$AI$385)</f>
        <v>0</v>
      </c>
      <c r="Q18" s="294">
        <f>SUMIF(Calculation!$B$8:$B$385,"&gt;="&amp;Conversions!L60,Calculation!$CZ$8:$CZ$385)-SUMIF(Calculation!$B$8:$B$385,"&gt;"&amp;Conversions!M60,Calculation!$CZ$8:$CZ$385)</f>
        <v>242.92914079692724</v>
      </c>
      <c r="R18" s="298">
        <f ca="1">SUMIF('Calculations II'!$B$8:$B$385,"&gt;="&amp;Conversions!L60,'Calculations II'!$AI$8:$AI$385)-SUMIF('Calculations II'!$B$8:$B$385,"&gt;"&amp;Conversions!M60,'Calculations II'!$AI$8:$AI$385)</f>
        <v>1674.9075769307215</v>
      </c>
      <c r="S18" s="351">
        <f>SUMIF(Calculation!$B$8:$B$385,"&gt;="&amp;Conversions!$L60,Calculation!$BB$8:$BB$385)-SUMIF(Calculation!$B$8:$B$385,"&gt;"&amp;Conversions!$M60,Calculation!$BB$8:$BB$385)</f>
        <v>22.486721389790194</v>
      </c>
      <c r="T18" s="294">
        <f>SUMIF(Calculation!$B$8:$B$385,"&gt;="&amp;Conversions!$L60,Calculation!$BV$8:$BV$385)-SUMIF(Calculation!$B$8:$B$385,"&gt;"&amp;Conversions!$M60,Calculation!$BV$8:$BV$385)</f>
        <v>58.183739176999516</v>
      </c>
      <c r="U18" s="292">
        <f>SUMIF(Calculation!$B$8:$B$385,"&gt;="&amp;Conversions!$L60,Calculation!$CP$8:$CP$385)-SUMIF(Calculation!$B$8:$B$385,"&gt;"&amp;Conversions!$M60,Calculation!$CP$8:$CP$385)</f>
        <v>162.25868023013737</v>
      </c>
      <c r="V18" s="610">
        <f ca="1">SUMIF(Sheet1!$B$8:$B$385,"&gt;="&amp;Conversions!N60,'Calculations II'!$BP$8:$BP$385)-SUMIF(Sheet1!$B$8:$B$385,"&gt;"&amp;Conversions!O60,'Calculations II'!$BP$8:$BP$385)</f>
        <v>0</v>
      </c>
      <c r="X18" s="52"/>
      <c r="Y18" s="52"/>
    </row>
    <row r="19" spans="1:27">
      <c r="A19" s="383" t="s">
        <v>224</v>
      </c>
      <c r="B19" s="292">
        <f>SUMIF(Sheet1!$B$8:$B$385,"&gt;="&amp;Conversions!L61,Sheet1!L$8:L$385)-SUMIF(Sheet1!$B$8:$B$385,"&gt;"&amp;Conversions!M61,Sheet1!L$8:L$385)</f>
        <v>773.01000000000022</v>
      </c>
      <c r="C19" s="351">
        <f>SUMIF('Calculations II'!$B$8:$B$385,"&gt;="&amp;Conversions!L61,'Calculations II'!BC$8:BC$385)-SUMIF('Calculations II'!$B$8:$B$385,"&gt;"&amp;Conversions!M61,'Calculations II'!BC$8:BC$385)</f>
        <v>75.650976</v>
      </c>
      <c r="D19" s="294">
        <f>SUMIF(Sheet1!$B$8:$B$385,"&gt;="&amp;Conversions!L61,Sheet1!$AA$8:AA$385)-SUMIF(Sheet1!$B$8:$B$385,"&gt;"&amp;Conversions!M61,Sheet1!$AA$8:$AA$385)</f>
        <v>792.1900000000096</v>
      </c>
      <c r="E19" s="57">
        <f>SUMIF(Sheet1!$B$8:$B$385,"&gt;="&amp;Conversions!L61,Sheet1!$AB$8:$AB$385)-SUMIF(Sheet1!$B$8:$B$385,"&gt;"&amp;Conversions!M61,Sheet1!$AB$8:$AB$385)</f>
        <v>499.67999999999802</v>
      </c>
      <c r="F19" s="295">
        <f>SUMIF('Calculations II'!$B$8:$B$385,"&gt;="&amp;Conversions!L61,'Calculations II'!$AE$8:$AE$385)-SUMIF('Calculations II'!$B$8:$B$385,"&gt;"&amp;Conversions!M61,'Calculations II'!$AE$8:$AE$385)</f>
        <v>1343.69120888985</v>
      </c>
      <c r="G19" s="296">
        <f>SUMIF('Calculations II'!$B$8:$B$385,"&gt;="&amp;Conversions!L61,'Calculations II'!$AC$8:$AC$385)-SUMIF('Calculations II'!$B$8:$B$385,"&gt;"&amp;Conversions!M61,'Calculations II'!$AC$8:$AC$385)</f>
        <v>1367.5209760000073</v>
      </c>
      <c r="H19" s="57">
        <f ca="1">SUMIF(Calculation!$B$8:$B$385,"&gt;="&amp;Conversions!L61,Calculation!$EI$8:$EI$385)-SUMIF(Calculation!$B$8:$B$385,"&gt;"&amp;Conversions!M61,Calculation!$EI$8:$EI$385)</f>
        <v>9.7691000000000088</v>
      </c>
      <c r="I19" s="294">
        <f ca="1">SUMIF('Calculations II'!$B$8:$B$385,"&gt;="&amp;Conversions!L61,'Calculations II'!$O8:$O27)-SUMIF('Calculations II'!$B$8:$B$385,"&gt;"&amp;Conversions!M61,'Calculations II'!$O8:$O27)</f>
        <v>2.5565163862414764</v>
      </c>
      <c r="J19" s="363">
        <f ca="1">SUMIF('Calculations II'!$B$8:$B$385,"&gt;="&amp;Conversions!L61,'Calculations II'!$W8:$W27)-SUMIF('Calculations II'!$B$8:$B$385,"&gt;"&amp;Conversions!M61,'Calculations II'!$W8:$W27)</f>
        <v>0</v>
      </c>
      <c r="K19" s="374">
        <f ca="1">SUMIF('Calculations II'!$B$8:$B$385,"&gt;="&amp;Conversions!L61,'Calculations II'!$P$8:$P$385)-SUMIF('Calculations II'!$B$8:$B$385,"&gt;"&amp;Conversions!M61,'Calculations II'!$P$8:$P$385)</f>
        <v>12.325616386241492</v>
      </c>
      <c r="L19" s="294">
        <f>SUMIF(Sheet1!$B$8:$B$385,"&gt;="&amp;Conversions!L61,Sheet1!$BN$8:$BN$385)-SUMIF(Sheet1!$B$8:$B$385,"&gt;"&amp;Conversions!M61,Sheet1!$BN$8:$BN$385)</f>
        <v>471.82999999999947</v>
      </c>
      <c r="M19" s="57">
        <f>SUMIF(Sheet1!$B$8:$B$385,"&gt;="&amp;Conversions!L61,Sheet1!$CP$8:$CP$385)-SUMIF(Sheet1!$B$8:$B$385,"&gt;"&amp;Conversions!M61,Sheet1!$CP$8:$CP$385)</f>
        <v>492.61000000000035</v>
      </c>
      <c r="N19" s="297">
        <f ca="1">SUMIF('Calculations II'!$B$8:$B$385,"&gt;="&amp;Conversions!L61,'Calculations II'!$AG$8:$AG$385)-SUMIF('Calculations II'!$B$8:$B$385,"&gt;"&amp;Conversions!M61,'Calculations II'!$AG$8:$AG$385)</f>
        <v>859.38659238625166</v>
      </c>
      <c r="O19" s="297">
        <f ca="1">SUMIF('Calculations II'!$B$8:$B$385,"&gt;="&amp;Conversions!L61,'Calculations II'!$AH$8:$AH$385)-SUMIF('Calculations II'!$B$8:$B$385,"&gt;"&amp;Conversions!M61,'Calculations II'!$AH$8:$AH$385)</f>
        <v>1351.9965923862519</v>
      </c>
      <c r="P19" s="57">
        <f>SUMIF(Calculation!$B$8:$B$385,"&gt;="&amp;Conversions!L61,Calculation!$AI$8:$AI$385)-SUMIF(Calculation!$B$8:$B$385,"&gt;"&amp;Conversions!M61,Calculation!$AI$8:$AI$385)</f>
        <v>0</v>
      </c>
      <c r="Q19" s="294">
        <f>SUMIF(Calculation!$B$8:$B$385,"&gt;="&amp;Conversions!L61,Calculation!$CZ$8:$CZ$385)-SUMIF(Calculation!$B$8:$B$385,"&gt;"&amp;Conversions!M61,Calculation!$CZ$8:$CZ$385)</f>
        <v>23.829767110158002</v>
      </c>
      <c r="R19" s="298">
        <f ca="1">SUMIF('Calculations II'!$B$8:$B$385,"&gt;="&amp;Conversions!L61,'Calculations II'!$AI$8:$AI$385)-SUMIF('Calculations II'!$B$8:$B$385,"&gt;"&amp;Conversions!M61,'Calculations II'!$AI$8:$AI$385)</f>
        <v>1375.8263594964101</v>
      </c>
      <c r="S19" s="351">
        <f>SUMIF(Calculation!$B$8:$B$385,"&gt;="&amp;Conversions!$L61,Calculation!$BB$8:$BB$385)-SUMIF(Calculation!$B$8:$B$385,"&gt;"&amp;Conversions!$M61,Calculation!$BB$8:$BB$385)</f>
        <v>0</v>
      </c>
      <c r="T19" s="294">
        <f>SUMIF(Calculation!$B$8:$B$385,"&gt;="&amp;Conversions!$L61,Calculation!$BV$8:$BV$385)-SUMIF(Calculation!$B$8:$B$385,"&gt;"&amp;Conversions!$M61,Calculation!$BV$8:$BV$385)</f>
        <v>10.08967353641868</v>
      </c>
      <c r="U19" s="292">
        <f>SUMIF(Calculation!$B$8:$B$385,"&gt;="&amp;Conversions!$L61,Calculation!$CP$8:$CP$385)-SUMIF(Calculation!$B$8:$B$385,"&gt;"&amp;Conversions!$M61,Calculation!$CP$8:$CP$385)</f>
        <v>13.740093573739301</v>
      </c>
      <c r="V19" s="610">
        <f ca="1">SUMIF(Sheet1!$B$8:$B$385,"&gt;="&amp;Conversions!N61,'Calculations II'!$BP$8:$BP$385)-SUMIF(Sheet1!$B$8:$B$385,"&gt;"&amp;Conversions!O61,'Calculations II'!$BP$8:$BP$385)</f>
        <v>0</v>
      </c>
      <c r="X19" s="52"/>
      <c r="Y19" s="52"/>
    </row>
    <row r="20" spans="1:27">
      <c r="A20" s="383" t="s">
        <v>225</v>
      </c>
      <c r="B20" s="292">
        <f>SUMIF(Sheet1!$B$8:$B$385,"&gt;="&amp;Conversions!L62,Sheet1!L$8:L$385)-SUMIF(Sheet1!$B$8:$B$385,"&gt;"&amp;Conversions!M62,Sheet1!L$8:L$385)</f>
        <v>234.75</v>
      </c>
      <c r="C20" s="351">
        <f>SUMIF('Calculations II'!$B$8:$B$385,"&gt;="&amp;Conversions!L62,'Calculations II'!BC$8:BC$385)-SUMIF('Calculations II'!$B$8:$B$385,"&gt;"&amp;Conversions!M62,'Calculations II'!BC$8:BC$385)</f>
        <v>0.721584</v>
      </c>
      <c r="D20" s="294">
        <f>SUMIF(Sheet1!$B$8:$B$385,"&gt;="&amp;Conversions!L62,Sheet1!$AA$8:AA$385)-SUMIF(Sheet1!$B$8:$B$385,"&gt;"&amp;Conversions!M62,Sheet1!$AA$8:$AA$385)</f>
        <v>854.18999999998834</v>
      </c>
      <c r="E20" s="57">
        <f>SUMIF(Sheet1!$B$8:$B$385,"&gt;="&amp;Conversions!L62,Sheet1!$AB$8:$AB$385)-SUMIF(Sheet1!$B$8:$B$385,"&gt;"&amp;Conversions!M62,Sheet1!$AB$8:$AB$385)</f>
        <v>751.21000000000708</v>
      </c>
      <c r="F20" s="295">
        <f>SUMIF('Calculations II'!$B$8:$B$385,"&gt;="&amp;Conversions!L62,'Calculations II'!$AE$8:$AE$385)-SUMIF('Calculations II'!$B$8:$B$385,"&gt;"&amp;Conversions!M62,'Calculations II'!$AE$8:$AE$385)</f>
        <v>1385.2225576866697</v>
      </c>
      <c r="G20" s="296">
        <f>SUMIF('Calculations II'!$B$8:$B$385,"&gt;="&amp;Conversions!L62,'Calculations II'!$AC$8:$AC$385)-SUMIF('Calculations II'!$B$8:$B$385,"&gt;"&amp;Conversions!M62,'Calculations II'!$AC$8:$AC$385)</f>
        <v>1606.1215839999952</v>
      </c>
      <c r="H20" s="57">
        <f ca="1">SUMIF(Calculation!$B$8:$B$385,"&gt;="&amp;Conversions!L62,Calculation!$EI$8:$EI$385)-SUMIF(Calculation!$B$8:$B$385,"&gt;"&amp;Conversions!M62,Calculation!$EI$8:$EI$385)</f>
        <v>1.0670000000000073</v>
      </c>
      <c r="I20" s="294">
        <f ca="1">SUMIF('Calculations II'!$B$8:$B$385,"&gt;="&amp;Conversions!L62,'Calculations II'!$O8:$O28)-SUMIF('Calculations II'!$B$8:$B$385,"&gt;"&amp;Conversions!M62,'Calculations II'!$O8:$O28)</f>
        <v>0.17055614667609831</v>
      </c>
      <c r="J20" s="363">
        <f ca="1">SUMIF('Calculations II'!$B$8:$B$385,"&gt;="&amp;Conversions!L62,'Calculations II'!$W8:$W28)-SUMIF('Calculations II'!$B$8:$B$385,"&gt;"&amp;Conversions!M62,'Calculations II'!$W8:$W28)</f>
        <v>0</v>
      </c>
      <c r="K20" s="374">
        <f ca="1">SUMIF('Calculations II'!$B$8:$B$385,"&gt;="&amp;Conversions!L62,'Calculations II'!$P$8:$P$385)-SUMIF('Calculations II'!$B$8:$B$385,"&gt;"&amp;Conversions!M62,'Calculations II'!$P$8:$P$385)</f>
        <v>1.2375561466760985</v>
      </c>
      <c r="L20" s="294">
        <f>SUMIF(Sheet1!$B$8:$B$385,"&gt;="&amp;Conversions!L62,Sheet1!$BN$8:$BN$385)-SUMIF(Sheet1!$B$8:$B$385,"&gt;"&amp;Conversions!M62,Sheet1!$BN$8:$BN$385)</f>
        <v>533.92000000000007</v>
      </c>
      <c r="M20" s="57">
        <f>SUMIF(Sheet1!$B$8:$B$385,"&gt;="&amp;Conversions!L62,Sheet1!$CP$8:$CP$385)-SUMIF(Sheet1!$B$8:$B$385,"&gt;"&amp;Conversions!M62,Sheet1!$CP$8:$CP$385)</f>
        <v>490.2600000000001</v>
      </c>
      <c r="N20" s="297">
        <f ca="1">SUMIF('Calculations II'!$B$8:$B$385,"&gt;="&amp;Conversions!L62,'Calculations II'!$AG$8:$AG$385)-SUMIF('Calculations II'!$B$8:$B$385,"&gt;"&amp;Conversions!M62,'Calculations II'!$AG$8:$AG$385)</f>
        <v>899.8091401466645</v>
      </c>
      <c r="O20" s="297">
        <f ca="1">SUMIF('Calculations II'!$B$8:$B$385,"&gt;="&amp;Conversions!L62,'Calculations II'!$AH$8:$AH$385)-SUMIF('Calculations II'!$B$8:$B$385,"&gt;"&amp;Conversions!M62,'Calculations II'!$AH$8:$AH$385)</f>
        <v>1390.069140146664</v>
      </c>
      <c r="P20" s="57">
        <f>SUMIF(Calculation!$B$8:$B$385,"&gt;="&amp;Conversions!L62,Calculation!$AI$8:$AI$385)-SUMIF(Calculation!$B$8:$B$385,"&gt;"&amp;Conversions!M62,Calculation!$AI$8:$AI$385)</f>
        <v>0</v>
      </c>
      <c r="Q20" s="294">
        <f>SUMIF(Calculation!$B$8:$B$385,"&gt;="&amp;Conversions!L62,Calculation!$CZ$8:$CZ$385)-SUMIF(Calculation!$B$8:$B$385,"&gt;"&amp;Conversions!M62,Calculation!$CZ$8:$CZ$385)</f>
        <v>220.89902631332524</v>
      </c>
      <c r="R20" s="298">
        <f ca="1">SUMIF('Calculations II'!$B$8:$B$385,"&gt;="&amp;Conversions!L62,'Calculations II'!$AI$8:$AI$385)-SUMIF('Calculations II'!$B$8:$B$385,"&gt;"&amp;Conversions!M62,'Calculations II'!$AI$8:$AI$385)</f>
        <v>1610.9681664599891</v>
      </c>
      <c r="S20" s="351">
        <f>SUMIF(Calculation!$B$8:$B$385,"&gt;="&amp;Conversions!$L62,Calculation!$BB$8:$BB$385)-SUMIF(Calculation!$B$8:$B$385,"&gt;"&amp;Conversions!$M62,Calculation!$BB$8:$BB$385)</f>
        <v>0</v>
      </c>
      <c r="T20" s="294">
        <f>SUMIF(Calculation!$B$8:$B$385,"&gt;="&amp;Conversions!$L62,Calculation!$BV$8:$BV$385)-SUMIF(Calculation!$B$8:$B$385,"&gt;"&amp;Conversions!$M62,Calculation!$BV$8:$BV$385)</f>
        <v>52.71283498181748</v>
      </c>
      <c r="U20" s="292">
        <f>SUMIF(Calculation!$B$8:$B$385,"&gt;="&amp;Conversions!$L62,Calculation!$CP$8:$CP$385)-SUMIF(Calculation!$B$8:$B$385,"&gt;"&amp;Conversions!$M62,Calculation!$CP$8:$CP$385)</f>
        <v>168.18619133150779</v>
      </c>
      <c r="V20" s="610">
        <f ca="1">SUMIF(Sheet1!$B$8:$B$385,"&gt;="&amp;Conversions!N62,'Calculations II'!$BP$8:$BP$385)-SUMIF(Sheet1!$B$8:$B$385,"&gt;"&amp;Conversions!O62,'Calculations II'!$BP$8:$BP$385)</f>
        <v>0</v>
      </c>
      <c r="X20" s="52"/>
      <c r="Y20" s="52"/>
    </row>
    <row r="21" spans="1:27">
      <c r="A21" s="384" t="s">
        <v>448</v>
      </c>
      <c r="B21" s="360"/>
      <c r="C21" s="350"/>
      <c r="D21" s="59"/>
      <c r="E21" s="55"/>
      <c r="F21" s="367"/>
      <c r="G21" s="368"/>
      <c r="H21" s="55"/>
      <c r="I21" s="59"/>
      <c r="J21" s="355"/>
      <c r="K21" s="55"/>
      <c r="L21" s="59"/>
      <c r="M21" s="55"/>
      <c r="N21" s="398"/>
      <c r="O21" s="398"/>
      <c r="P21" s="55"/>
      <c r="Q21" s="59"/>
      <c r="R21" s="399"/>
      <c r="S21" s="350"/>
      <c r="T21" s="59"/>
      <c r="U21" s="360"/>
      <c r="V21" s="611"/>
      <c r="X21" s="52"/>
      <c r="Y21" s="52"/>
    </row>
    <row r="22" spans="1:27" s="660" customFormat="1">
      <c r="A22" s="649" t="s">
        <v>175</v>
      </c>
      <c r="B22" s="650">
        <f t="shared" ref="B22:R22" si="0">SUM(B9:B20)</f>
        <v>4629.3499999999995</v>
      </c>
      <c r="C22" s="651">
        <f t="shared" si="0"/>
        <v>1098.0437212799995</v>
      </c>
      <c r="D22" s="652">
        <f t="shared" si="0"/>
        <v>11990.640000000012</v>
      </c>
      <c r="E22" s="652">
        <f t="shared" si="0"/>
        <v>8472.3299999999945</v>
      </c>
      <c r="F22" s="653">
        <f t="shared" si="0"/>
        <v>18754.68354281093</v>
      </c>
      <c r="G22" s="654">
        <f t="shared" si="0"/>
        <v>21561.013721280004</v>
      </c>
      <c r="H22" s="655">
        <f t="shared" ca="1" si="0"/>
        <v>4.8437000000000126</v>
      </c>
      <c r="I22" s="652">
        <f t="shared" ca="1" si="0"/>
        <v>-3.9577404404056438E-2</v>
      </c>
      <c r="J22" s="656">
        <f t="shared" ca="1" si="0"/>
        <v>0</v>
      </c>
      <c r="K22" s="655">
        <f t="shared" ca="1" si="0"/>
        <v>4.8041225955959561</v>
      </c>
      <c r="L22" s="652">
        <f t="shared" si="0"/>
        <v>5652.2500000000055</v>
      </c>
      <c r="M22" s="655">
        <f t="shared" si="0"/>
        <v>5855.9699999999984</v>
      </c>
      <c r="N22" s="657">
        <f t="shared" ca="1" si="0"/>
        <v>12769.007821875613</v>
      </c>
      <c r="O22" s="657">
        <f t="shared" ca="1" si="0"/>
        <v>18624.977821875622</v>
      </c>
      <c r="P22" s="655">
        <f t="shared" si="0"/>
        <v>1.928647</v>
      </c>
      <c r="Q22" s="652">
        <f t="shared" si="0"/>
        <v>2804.4015314690769</v>
      </c>
      <c r="R22" s="658">
        <f t="shared" ca="1" si="0"/>
        <v>21431.308000344692</v>
      </c>
      <c r="S22" s="651">
        <f>SUM(S9:S20)</f>
        <v>170.87829374489263</v>
      </c>
      <c r="T22" s="652">
        <f>SUM(T9:T20)</f>
        <v>715.75410250163168</v>
      </c>
      <c r="U22" s="650">
        <f>SUM(U9:U20)</f>
        <v>1917.7691352225527</v>
      </c>
      <c r="V22" s="662">
        <f ca="1">SUM(V9:V20)</f>
        <v>120.76002199999998</v>
      </c>
      <c r="W22" s="659"/>
    </row>
    <row r="23" spans="1:27">
      <c r="A23" s="299" t="s">
        <v>226</v>
      </c>
      <c r="B23" s="370"/>
      <c r="C23" s="371"/>
      <c r="D23" s="372"/>
      <c r="E23" s="373"/>
      <c r="F23" s="393"/>
      <c r="G23" s="394"/>
      <c r="H23" s="371"/>
      <c r="I23" s="372"/>
      <c r="J23" s="387"/>
      <c r="K23" s="371"/>
      <c r="L23" s="372"/>
      <c r="M23" s="373"/>
      <c r="N23" s="302"/>
      <c r="O23" s="302"/>
      <c r="P23" s="395"/>
      <c r="Q23" s="372"/>
      <c r="R23" s="303"/>
      <c r="S23" s="371"/>
      <c r="T23" s="372"/>
      <c r="U23" s="370"/>
      <c r="V23" s="613"/>
      <c r="X23" s="52"/>
      <c r="Y23" s="52"/>
    </row>
    <row r="24" spans="1:27" ht="13.5" thickBot="1">
      <c r="A24" s="386" t="s">
        <v>227</v>
      </c>
      <c r="B24" s="377">
        <f ca="1">B22/IF(Summary!$A$1&lt;Conversions!$M$62,(ROUNDDOWN(Summary!$A$1,0)-Conversions!$L$51+1),(Conversions!$M$62-Conversions!$L$51+1))</f>
        <v>12.683150684931505</v>
      </c>
      <c r="C24" s="378">
        <f ca="1">C22/IF(Summary!$A$1&lt;Conversions!$M$62,(ROUNDDOWN(Summary!$A$1,0)-Conversions!$L$51+1),(Conversions!$M$62-Conversions!$L$51+1))</f>
        <v>3.0083389624109578</v>
      </c>
      <c r="D24" s="379">
        <f ca="1">D22/IF(Summary!$A$1&lt;Conversions!$M$62,(ROUNDDOWN(Summary!$A$1,0)-Conversions!$L$51+1),(Conversions!$M$62-Conversions!$L$51+1))</f>
        <v>32.85106849315072</v>
      </c>
      <c r="E24" s="380">
        <f ca="1">E22/IF(Summary!$A$1&lt;Conversions!$M$62,(ROUNDDOWN(Summary!$A$1,0)-Conversions!$L$51+1),(Conversions!$M$62-Conversions!$L$51+1))</f>
        <v>23.211863013698615</v>
      </c>
      <c r="F24" s="304">
        <f ca="1">F22/IF(Summary!$A$1&lt;Conversions!$M$62,(ROUNDDOWN(Summary!$A$1,0)-Conversions!$L$51+1),(Conversions!$M$62-Conversions!$L$51+1))</f>
        <v>51.382694637838163</v>
      </c>
      <c r="G24" s="305">
        <f ca="1">G22/IF(Summary!$A$1&lt;Conversions!$M$62,(ROUNDDOWN(Summary!$A$1,0)-Conversions!$L$51+1),(Conversions!$M$62-Conversions!$L$51+1))</f>
        <v>59.071270469260284</v>
      </c>
      <c r="H24" s="378">
        <f ca="1">H22/IF(Summary!$A$1&lt;Conversions!$M$62,(ROUNDDOWN(Summary!$A$1,0)-Conversions!$L$51+1),(Conversions!$M$62-Conversions!$L$51+1))</f>
        <v>1.3270410958904143E-2</v>
      </c>
      <c r="I24" s="379">
        <f ca="1">I22/IF(Summary!$A$1&lt;Conversions!$M$62,(ROUNDDOWN(Summary!$A$1,0)-Conversions!$L$51+1),(Conversions!$M$62-Conversions!$L$51+1))</f>
        <v>-1.0843124494262038E-4</v>
      </c>
      <c r="J24" s="380">
        <f ca="1">J22/IF(Summary!$A$1&lt;Conversions!$M$62,(ROUNDDOWN(Summary!$A$1,0)-Conversions!$L$51+1),(Conversions!$M$62-Conversions!$L$51+1))</f>
        <v>0</v>
      </c>
      <c r="K24" s="378">
        <f ca="1">K22/IF(Summary!$A$1&lt;Conversions!$M$62,(ROUNDDOWN(Summary!$A$1,0)-Conversions!$L$51+1),(Conversions!$M$62-Conversions!$L$51+1))</f>
        <v>1.3161979713961524E-2</v>
      </c>
      <c r="L24" s="379">
        <f ca="1">L22/IF(Summary!$A$1&lt;Conversions!$M$62,(ROUNDDOWN(Summary!$A$1,0)-Conversions!$L$51+1),(Conversions!$M$62-Conversions!$L$51+1))</f>
        <v>15.48561643835618</v>
      </c>
      <c r="M24" s="380">
        <f ca="1">M22/IF(Summary!$A$1&lt;Conversions!$M$62,(ROUNDDOWN(Summary!$A$1,0)-Conversions!$L$51+1),(Conversions!$M$62-Conversions!$L$51+1))</f>
        <v>16.043753424657531</v>
      </c>
      <c r="N24" s="306">
        <f ca="1">N22/IF(Summary!$A$1&lt;Conversions!$M$62,(ROUNDDOWN(Summary!$A$1,0)-Conversions!$L$51+1),(Conversions!$M$62-Conversions!$L$51+1))</f>
        <v>34.98358307363182</v>
      </c>
      <c r="O24" s="389">
        <f ca="1">O22/IF(Summary!$A$1&lt;Conversions!$M$62,(ROUNDDOWN(Summary!$A$1,0)-Conversions!$L$51+1),(Conversions!$M$62-Conversions!$L$51+1))</f>
        <v>51.027336498289372</v>
      </c>
      <c r="P24" s="390">
        <f ca="1">P22/IF(Summary!$A$1&lt;Conversions!$M$62,(ROUNDDOWN(Summary!$A$1,0)-Conversions!$L$51+1),(Conversions!$M$62-Conversions!$L$51+1))</f>
        <v>5.2839643835616438E-3</v>
      </c>
      <c r="Q24" s="379">
        <f ca="1">Q22/IF(Summary!$A$1&lt;Conversions!$M$62,(ROUNDDOWN(Summary!$A$1,0)-Conversions!$L$51+1),(Conversions!$M$62-Conversions!$L$51+1))</f>
        <v>7.6832918670385668</v>
      </c>
      <c r="R24" s="307">
        <f ca="1">R22/IF(Summary!$A$1&lt;Conversions!$M$62,(ROUNDDOWN(Summary!$A$1,0)-Conversions!$L$51+1),(Conversions!$M$62-Conversions!$L$51+1))</f>
        <v>58.715912329711486</v>
      </c>
      <c r="S24" s="378">
        <f ca="1">S22/IF(Summary!$A$1&lt;Conversions!$M$62,(ROUNDDOWN(Summary!$A$1,0)-Conversions!$L$51+1),(Conversions!$M$62-Conversions!$L$51+1))</f>
        <v>0.46815970889011682</v>
      </c>
      <c r="T24" s="379">
        <f ca="1">T22/IF(Summary!$A$1&lt;Conversions!$M$62,(ROUNDDOWN(Summary!$A$1,0)-Conversions!$L$51+1),(Conversions!$M$62-Conversions!$L$51+1))</f>
        <v>1.9609701438400868</v>
      </c>
      <c r="U24" s="377">
        <f ca="1">U22/IF(Summary!$A$1&lt;Conversions!$M$62,(ROUNDDOWN(Summary!$A$1,0)-Conversions!$L$51+1),(Conversions!$M$62-Conversions!$L$51+1))</f>
        <v>5.2541620143083634</v>
      </c>
      <c r="V24" s="614">
        <f ca="1">V22/IF(Summary!$A$1&lt;Conversions!$M$62,(ROUNDDOWN(Summary!$A$1,0)-Conversions!$L$51+1),(Conversions!$M$62-Conversions!$L$51+1))</f>
        <v>0.33084937534246567</v>
      </c>
      <c r="X24" s="52"/>
      <c r="Y24" s="52"/>
    </row>
    <row r="25" spans="1:27">
      <c r="A25" s="400"/>
      <c r="B25" s="53"/>
      <c r="C25" s="53"/>
      <c r="D25" s="53"/>
      <c r="E25" s="346"/>
      <c r="F25" s="343"/>
      <c r="G25" s="343"/>
      <c r="H25" s="53"/>
      <c r="I25" s="53"/>
      <c r="J25" s="61"/>
      <c r="K25" s="53"/>
      <c r="L25" s="53"/>
      <c r="M25" s="400"/>
      <c r="N25" s="400"/>
      <c r="O25" s="400"/>
      <c r="P25" s="400"/>
      <c r="Q25" s="400"/>
      <c r="R25" s="400"/>
      <c r="S25"/>
      <c r="T25"/>
      <c r="V25" s="400"/>
      <c r="X25" s="52"/>
      <c r="Y25" s="52"/>
    </row>
    <row r="26" spans="1:27" ht="13.5" thickBot="1"/>
    <row r="27" spans="1:27" ht="13.5" thickBot="1">
      <c r="A27" s="309" t="s">
        <v>471</v>
      </c>
      <c r="B27" s="310"/>
      <c r="C27" s="310"/>
      <c r="D27" s="310"/>
      <c r="E27" s="310"/>
      <c r="F27" s="311" t="s">
        <v>176</v>
      </c>
      <c r="G27" s="312" t="s">
        <v>177</v>
      </c>
      <c r="H27" s="51"/>
      <c r="I27" s="51"/>
      <c r="J27" s="51"/>
      <c r="K27" s="313" t="s">
        <v>472</v>
      </c>
      <c r="L27" s="314"/>
      <c r="M27" s="314"/>
      <c r="N27" s="314"/>
      <c r="O27" s="314"/>
      <c r="P27" s="314"/>
      <c r="Q27" s="315" t="s">
        <v>176</v>
      </c>
      <c r="R27" s="316" t="s">
        <v>177</v>
      </c>
      <c r="Z27" s="62"/>
      <c r="AA27" s="62"/>
    </row>
    <row r="28" spans="1:27">
      <c r="A28" s="317" t="s">
        <v>484</v>
      </c>
      <c r="B28" s="318"/>
      <c r="C28" s="318"/>
      <c r="D28" s="318"/>
      <c r="E28" s="319"/>
      <c r="F28" s="403">
        <f>INDEX('Calculations II'!$AC$15:$AM$379, MATCH(G28,'Calculations II'!$AC$15:$AC$379,), MATCH("Date",'Calculations II'!$AC$7:$AM$7,))</f>
        <v>40862</v>
      </c>
      <c r="G28" s="321">
        <f>MIN(IF(('Calculations II'!$B$15:$B$379&gt;=Conversions!$L$51)*('Calculations II'!$B$15:$B$379&lt;=Conversions!$M$62),'Calculations II'!$AC$15:$AC$379))</f>
        <v>37.831119999991557</v>
      </c>
      <c r="H28" s="51"/>
      <c r="I28" s="51"/>
      <c r="J28" s="51"/>
      <c r="K28" s="322" t="s">
        <v>490</v>
      </c>
      <c r="L28" s="323"/>
      <c r="M28" s="323"/>
      <c r="N28" s="323"/>
      <c r="O28" s="323"/>
      <c r="P28" s="324"/>
      <c r="Q28" s="404">
        <f ca="1">INDEX('Calculations II'!$AC$15:$AM$379, MATCH(R28,'Calculations II'!$AI$15:$AI$379,), MATCH("Date",'Calculations II'!$AC$7:$AM$7,))</f>
        <v>40839</v>
      </c>
      <c r="R28" s="326">
        <f ca="1">MIN(IF(('Calculations II'!$B$15:$B$379&gt;=Conversions!$L$51)*('Calculations II'!$B$15:$B$379&lt;=Conversions!$M$62),'Calculations II'!$AI$15:$AI$379))</f>
        <v>41.110420618361339</v>
      </c>
      <c r="V28" s="327"/>
      <c r="Z28" s="62"/>
      <c r="AA28" s="62"/>
    </row>
    <row r="29" spans="1:27" ht="13.5" thickBot="1">
      <c r="A29" s="328" t="s">
        <v>485</v>
      </c>
      <c r="B29" s="329"/>
      <c r="C29" s="329"/>
      <c r="D29" s="329"/>
      <c r="E29" s="330"/>
      <c r="F29" s="402">
        <f>INDEX('Calculations II'!$AC$15:$AM$379, MATCH(G29,'Calculations II'!$AC$15:$AC$379,), MATCH("Date",'Calculations II'!$AC$7:$AM$7,))</f>
        <v>40760</v>
      </c>
      <c r="G29" s="332">
        <f>MAX(IF(('Calculations II'!$B$15:$B$379&gt;=Conversions!$L$51)*('Calculations II'!$B$15:$B$379&lt;=Conversions!$M$62),'Calculations II'!$AC$15:$AC$379))</f>
        <v>97.479293440002323</v>
      </c>
      <c r="H29" s="51"/>
      <c r="I29" s="51"/>
      <c r="J29" s="51"/>
      <c r="K29" s="333" t="s">
        <v>489</v>
      </c>
      <c r="L29" s="334"/>
      <c r="M29" s="334"/>
      <c r="N29" s="334"/>
      <c r="O29" s="334"/>
      <c r="P29" s="335"/>
      <c r="Q29" s="405">
        <f ca="1">INDEX('Calculations II'!$AC$15:$AM$379, MATCH(R29,'Calculations II'!$AI$15:$AI$379,), MATCH("Date",'Calculations II'!$AC$7:$AM$7,))</f>
        <v>40796</v>
      </c>
      <c r="R29" s="337">
        <f ca="1">MAX(IF(('Calculations II'!$B$15:$B$379&gt;=Conversions!$L$51)*('Calculations II'!$B$15:$B$379&lt;=Conversions!$M$62),'Calculations II'!$AI$15:$AI$379))</f>
        <v>97.487544686264812</v>
      </c>
    </row>
    <row r="30" spans="1:27">
      <c r="A30" s="308"/>
      <c r="B30" s="60"/>
      <c r="C30" s="60"/>
      <c r="D30" s="60"/>
      <c r="E30" s="60"/>
      <c r="F30" s="60"/>
      <c r="G30" s="60"/>
      <c r="H30" s="51"/>
      <c r="I30" s="51"/>
      <c r="J30" s="51"/>
      <c r="K30" s="60"/>
      <c r="L30" s="60"/>
      <c r="M30" s="60"/>
      <c r="N30" s="60"/>
      <c r="O30" s="60"/>
      <c r="P30" s="60"/>
      <c r="Q30" s="60"/>
      <c r="R30" s="60"/>
    </row>
    <row r="31" spans="1:27" ht="13.5" thickBot="1">
      <c r="A31" s="308" t="s">
        <v>475</v>
      </c>
      <c r="B31" s="60"/>
      <c r="C31" s="60"/>
      <c r="D31" s="60"/>
      <c r="E31" s="60"/>
      <c r="F31" s="60"/>
      <c r="G31" s="60"/>
      <c r="H31" s="51"/>
      <c r="I31" s="51"/>
      <c r="J31" s="51"/>
      <c r="K31" s="308" t="s">
        <v>475</v>
      </c>
      <c r="L31" s="60"/>
      <c r="M31" s="60"/>
      <c r="N31" s="60"/>
      <c r="O31" s="60"/>
      <c r="P31" s="60"/>
      <c r="Q31" s="60"/>
      <c r="R31" s="60"/>
    </row>
    <row r="32" spans="1:27" ht="13.5" thickBot="1">
      <c r="A32" s="309" t="s">
        <v>471</v>
      </c>
      <c r="B32" s="310"/>
      <c r="C32" s="310"/>
      <c r="D32" s="310"/>
      <c r="E32" s="311" t="s">
        <v>176</v>
      </c>
      <c r="F32" s="312" t="s">
        <v>177</v>
      </c>
      <c r="G32" s="52"/>
      <c r="H32" s="51"/>
      <c r="I32" s="51"/>
      <c r="J32" s="51"/>
      <c r="K32" s="313" t="s">
        <v>472</v>
      </c>
      <c r="L32" s="314"/>
      <c r="M32" s="314"/>
      <c r="N32" s="315" t="s">
        <v>176</v>
      </c>
      <c r="O32" s="316" t="s">
        <v>177</v>
      </c>
      <c r="P32" s="51"/>
      <c r="Q32" s="51"/>
    </row>
    <row r="33" spans="1:22">
      <c r="A33" s="317" t="s">
        <v>487</v>
      </c>
      <c r="B33" s="318"/>
      <c r="C33" s="318"/>
      <c r="D33" s="318"/>
      <c r="E33" s="403">
        <f>INDEX('Calculations II'!$AE$8:$AM$385, MATCH(F33,'Calculations II'!$AE$8:$AE$385,), MATCH("Date",'Calculations II'!$AE$7:$AM$7,))</f>
        <v>40862</v>
      </c>
      <c r="F33" s="321">
        <f t="array" ref="F33">MIN(IF(('Calculations II'!$B$8:$B$385&gt;=Conversions!L51)*('Calculations II'!$B$8:$B$385&lt;=Conversions!M62),'Calculations II'!$AE$8:$AE$385))</f>
        <v>37.831119999991557</v>
      </c>
      <c r="G33" s="52"/>
      <c r="H33" s="51"/>
      <c r="I33" s="51"/>
      <c r="J33" s="51"/>
      <c r="K33" s="322" t="s">
        <v>490</v>
      </c>
      <c r="L33" s="323"/>
      <c r="M33" s="323"/>
      <c r="N33" s="404">
        <f ca="1">INDEX('Calculations II'!$AH$8:$AM$385, MATCH(O33,'Calculations II'!$AH$8:$AH$385,), MATCH("Date",'Calculations II'!$AH$7:$AM$7,))</f>
        <v>40902</v>
      </c>
      <c r="O33" s="326">
        <f t="array" aca="1" ref="O33" ca="1">MIN(IF(('Calculations II'!$B$8:$B$385&gt;=Conversions!L51)*('Calculations II'!$B$8:$B$385&lt;=Conversions!M62),'Calculations II'!$AH$8:$AH$385))</f>
        <v>40.05958638489696</v>
      </c>
      <c r="P33" s="51"/>
      <c r="Q33" s="51"/>
    </row>
    <row r="34" spans="1:22" ht="13.5" thickBot="1">
      <c r="A34" s="328" t="s">
        <v>488</v>
      </c>
      <c r="B34" s="329"/>
      <c r="C34" s="329"/>
      <c r="D34" s="329"/>
      <c r="E34" s="402">
        <f>INDEX('Calculations II'!$AE$8:$AM$385, MATCH(F34,'Calculations II'!$AE$8:$AE$385,), MATCH("Date",'Calculations II'!$AE$7:$AM$7,))</f>
        <v>40760</v>
      </c>
      <c r="F34" s="332">
        <f t="array" ref="F34">MAX(IF(('Calculations II'!$B$8:$B$385&gt;=Conversions!L51)*('Calculations II'!$B$8:$B$385&lt;=Conversions!M62),'Calculations II'!$AE$8:$AE$385))</f>
        <v>79.207653381947424</v>
      </c>
      <c r="G34" s="52"/>
      <c r="H34" s="51"/>
      <c r="I34" s="51"/>
      <c r="J34" s="51"/>
      <c r="K34" s="333" t="s">
        <v>489</v>
      </c>
      <c r="L34" s="334"/>
      <c r="M34" s="334"/>
      <c r="N34" s="405">
        <f ca="1">INDEX('Calculations II'!$AH$8:$AM$385, MATCH(O34,'Calculations II'!$AH$8:$AH$385,), MATCH("Date",'Calculations II'!$AH$7:$AM$7,))</f>
        <v>40796</v>
      </c>
      <c r="O34" s="337">
        <f t="array" aca="1" ref="O34" ca="1">MAX(IF(('Calculations II'!$B$8:$B$385&gt;=Conversions!L51)*('Calculations II'!$B$8:$B$385&lt;=Conversions!M62),'Calculations II'!$AH$8:$AH$385))</f>
        <v>80.497836281462071</v>
      </c>
      <c r="P34" s="51"/>
      <c r="Q34" s="51"/>
    </row>
    <row r="35" spans="1:22">
      <c r="E35" s="52"/>
      <c r="F35" s="52"/>
      <c r="G35" s="52"/>
      <c r="K35" s="52" t="s">
        <v>476</v>
      </c>
    </row>
    <row r="36" spans="1:22">
      <c r="A36" s="338" t="s">
        <v>477</v>
      </c>
      <c r="B36" s="401">
        <v>1</v>
      </c>
      <c r="C36" s="401">
        <v>2</v>
      </c>
      <c r="D36" s="401">
        <v>3</v>
      </c>
      <c r="E36" s="401">
        <v>4</v>
      </c>
      <c r="F36" s="338" t="s">
        <v>478</v>
      </c>
      <c r="G36" s="338" t="s">
        <v>479</v>
      </c>
      <c r="H36" s="401">
        <v>5</v>
      </c>
      <c r="I36" s="401">
        <v>6</v>
      </c>
      <c r="J36" s="401">
        <v>7</v>
      </c>
      <c r="K36" s="338" t="s">
        <v>480</v>
      </c>
      <c r="L36" s="338">
        <v>8</v>
      </c>
      <c r="M36" s="338">
        <v>9</v>
      </c>
      <c r="N36" s="338" t="s">
        <v>481</v>
      </c>
      <c r="O36" s="338" t="s">
        <v>482</v>
      </c>
      <c r="P36" s="338">
        <v>10</v>
      </c>
      <c r="Q36" s="338">
        <v>11</v>
      </c>
      <c r="R36" s="338" t="s">
        <v>483</v>
      </c>
      <c r="V36" s="341"/>
    </row>
    <row r="39" spans="1:22">
      <c r="N39" s="109"/>
      <c r="O39" s="109"/>
      <c r="V39" s="109"/>
    </row>
    <row r="40" spans="1:22">
      <c r="N40" s="62"/>
      <c r="O40" s="62"/>
      <c r="V40" s="62"/>
    </row>
    <row r="41" spans="1:22">
      <c r="N41" s="62"/>
      <c r="O41" s="62"/>
      <c r="V41" s="62"/>
    </row>
    <row r="42" spans="1:22">
      <c r="N42" s="62"/>
      <c r="O42" s="62"/>
      <c r="V42" s="62"/>
    </row>
    <row r="43" spans="1:22">
      <c r="N43" s="62"/>
      <c r="O43" s="62"/>
      <c r="V43" s="62"/>
    </row>
    <row r="44" spans="1:22">
      <c r="N44" s="62"/>
      <c r="O44" s="62"/>
      <c r="V44" s="62"/>
    </row>
    <row r="45" spans="1:22">
      <c r="N45" s="62"/>
      <c r="O45" s="62"/>
      <c r="V45" s="62"/>
    </row>
    <row r="46" spans="1:22">
      <c r="N46" s="62"/>
      <c r="O46" s="62"/>
      <c r="V46" s="62"/>
    </row>
    <row r="47" spans="1:22">
      <c r="N47" s="62"/>
      <c r="O47" s="62"/>
      <c r="V47" s="62"/>
    </row>
    <row r="48" spans="1:22">
      <c r="N48" s="62"/>
      <c r="O48" s="62"/>
      <c r="V48" s="62"/>
    </row>
    <row r="49" spans="14:22">
      <c r="N49" s="62"/>
      <c r="O49" s="62"/>
      <c r="V49" s="62"/>
    </row>
    <row r="50" spans="14:22">
      <c r="N50" s="62"/>
      <c r="O50" s="62"/>
      <c r="V50" s="62"/>
    </row>
    <row r="51" spans="14:22">
      <c r="N51" s="62"/>
      <c r="O51" s="62"/>
      <c r="V51" s="62"/>
    </row>
  </sheetData>
  <mergeCells count="6">
    <mergeCell ref="S6:U6"/>
    <mergeCell ref="K6:R6"/>
    <mergeCell ref="A2:R2"/>
    <mergeCell ref="A3:R3"/>
    <mergeCell ref="C6:G6"/>
    <mergeCell ref="H6:J6"/>
  </mergeCells>
  <phoneticPr fontId="0" type="noConversion"/>
  <conditionalFormatting sqref="W24">
    <cfRule type="expression" priority="4" stopIfTrue="1">
      <formula>IF(MONTH($A$39)=MONTH($E$1),TRUE,FALSE)</formula>
    </cfRule>
    <cfRule type="expression" dxfId="35" priority="5" stopIfTrue="1">
      <formula>IF(MONTH($A$39)&gt;MONTH($E$1),TRUE,FALSE)</formula>
    </cfRule>
    <cfRule type="expression" dxfId="34" priority="6" stopIfTrue="1">
      <formula>IF(MONTH($A$39)&lt;MONTH($E$1),TRUE,FALSE)</formula>
    </cfRule>
  </conditionalFormatting>
  <conditionalFormatting sqref="W22:W23">
    <cfRule type="expression" priority="7" stopIfTrue="1">
      <formula>IF(MONTH($A$38)=MONTH($E$1),TRUE,FALSE)</formula>
    </cfRule>
    <cfRule type="expression" dxfId="33" priority="8" stopIfTrue="1">
      <formula>IF(MONTH($A$38)&gt;MONTH($E$1),TRUE,FALSE)</formula>
    </cfRule>
    <cfRule type="expression" dxfId="32" priority="9" stopIfTrue="1">
      <formula>IF(MONTH($A$38)&lt;MONTH($E$1),TRUE,FALSE)</formula>
    </cfRule>
  </conditionalFormatting>
  <pageMargins left="0.25" right="0.25" top="0.75" bottom="0.75" header="0.3" footer="0.3"/>
  <pageSetup paperSize="5" scale="88"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sheetPr codeName="Sheet6">
    <pageSetUpPr fitToPage="1"/>
  </sheetPr>
  <dimension ref="A1:AC70"/>
  <sheetViews>
    <sheetView zoomScale="90" zoomScaleNormal="90" workbookViewId="0">
      <selection activeCell="A2" sqref="A2:R2"/>
    </sheetView>
  </sheetViews>
  <sheetFormatPr defaultColWidth="1.42578125" defaultRowHeight="12.75"/>
  <cols>
    <col min="1" max="1" width="8.7109375" style="52" customWidth="1"/>
    <col min="2" max="2" width="7.28515625" style="52" bestFit="1" customWidth="1"/>
    <col min="3" max="3" width="7" style="52" bestFit="1" customWidth="1"/>
    <col min="4" max="4" width="7.28515625" style="52" bestFit="1" customWidth="1"/>
    <col min="5" max="5" width="7.85546875" style="282" bestFit="1" customWidth="1"/>
    <col min="6" max="6" width="8.7109375" style="282" customWidth="1"/>
    <col min="7" max="7" width="9" style="282" bestFit="1" customWidth="1"/>
    <col min="8" max="8" width="8.5703125" style="52" bestFit="1" customWidth="1"/>
    <col min="9" max="9" width="11" style="52" bestFit="1" customWidth="1"/>
    <col min="10" max="10" width="9.5703125" style="52" bestFit="1" customWidth="1"/>
    <col min="11" max="11" width="9" style="52" bestFit="1" customWidth="1"/>
    <col min="12" max="12" width="12.28515625" style="52" bestFit="1" customWidth="1"/>
    <col min="13" max="13" width="8.85546875" style="52" bestFit="1" customWidth="1"/>
    <col min="14" max="14" width="12.140625" style="52" bestFit="1" customWidth="1"/>
    <col min="15" max="15" width="9" style="52" bestFit="1" customWidth="1"/>
    <col min="16" max="16" width="10.5703125" style="52" bestFit="1" customWidth="1"/>
    <col min="17" max="17" width="9.85546875" style="52" bestFit="1" customWidth="1"/>
    <col min="18" max="18" width="11.85546875" style="52" bestFit="1" customWidth="1"/>
    <col min="19" max="19" width="13.28515625" style="52" hidden="1" customWidth="1"/>
    <col min="20" max="20" width="26.42578125" style="52" customWidth="1"/>
    <col min="21" max="21" width="10.5703125" style="52" customWidth="1"/>
    <col min="22" max="22" width="17.28515625" style="52" customWidth="1"/>
    <col min="23" max="26" width="9.140625" customWidth="1"/>
    <col min="27" max="29" width="9.28515625" style="52" customWidth="1"/>
    <col min="30" max="32" width="1.42578125" style="52"/>
    <col min="33" max="33" width="5.28515625" style="52" customWidth="1"/>
    <col min="34" max="34" width="4" style="52" customWidth="1"/>
    <col min="35" max="47" width="7.42578125" style="52" customWidth="1"/>
    <col min="48" max="16384" width="1.42578125" style="52"/>
  </cols>
  <sheetData>
    <row r="1" spans="1:29">
      <c r="A1" s="282"/>
      <c r="B1" s="282"/>
      <c r="C1" s="282"/>
      <c r="D1" s="282"/>
      <c r="E1" s="342">
        <v>40848</v>
      </c>
      <c r="F1" s="282" t="s">
        <v>235</v>
      </c>
      <c r="K1" s="282"/>
      <c r="L1" s="282"/>
      <c r="M1" s="282"/>
      <c r="N1" s="282"/>
      <c r="O1" s="282"/>
      <c r="P1" s="282"/>
      <c r="Q1" s="282"/>
      <c r="R1" s="282"/>
      <c r="S1" s="282"/>
      <c r="T1" s="282"/>
      <c r="U1" s="282"/>
      <c r="V1" s="282"/>
      <c r="AA1" s="282"/>
    </row>
    <row r="2" spans="1:29" ht="18">
      <c r="A2" s="915" t="s">
        <v>467</v>
      </c>
      <c r="B2" s="915"/>
      <c r="C2" s="915"/>
      <c r="D2" s="915"/>
      <c r="E2" s="915"/>
      <c r="F2" s="915"/>
      <c r="G2" s="915"/>
      <c r="H2" s="915"/>
      <c r="I2" s="915"/>
      <c r="J2" s="915"/>
      <c r="K2" s="915"/>
      <c r="L2" s="915"/>
      <c r="M2" s="915"/>
      <c r="N2" s="915"/>
      <c r="O2" s="915"/>
      <c r="P2" s="915"/>
      <c r="Q2" s="915"/>
      <c r="R2" s="915"/>
      <c r="S2" s="279"/>
      <c r="T2" s="279"/>
      <c r="U2" s="279"/>
      <c r="V2" s="279"/>
      <c r="AA2" s="279"/>
      <c r="AB2" s="279"/>
      <c r="AC2" s="279"/>
    </row>
    <row r="3" spans="1:29" ht="20.25" customHeight="1">
      <c r="A3" s="916" t="str">
        <f>"Monthly Production Report for: "&amp;CHOOSE(MONTH(E1),"January","February","March","April","May","June","July","August","September","October","November","December")&amp;" "&amp;YEAR(E1)</f>
        <v>Monthly Production Report for: November 2011</v>
      </c>
      <c r="B3" s="916"/>
      <c r="C3" s="916"/>
      <c r="D3" s="916"/>
      <c r="E3" s="916"/>
      <c r="F3" s="916"/>
      <c r="G3" s="916"/>
      <c r="H3" s="916"/>
      <c r="I3" s="916"/>
      <c r="J3" s="916"/>
      <c r="K3" s="916"/>
      <c r="L3" s="916"/>
      <c r="M3" s="916"/>
      <c r="N3" s="916"/>
      <c r="O3" s="916"/>
      <c r="P3" s="916"/>
      <c r="Q3" s="916"/>
      <c r="R3" s="916"/>
      <c r="S3" s="366"/>
      <c r="T3" s="366"/>
      <c r="U3" s="198"/>
      <c r="V3" s="198"/>
      <c r="AA3" s="198"/>
      <c r="AB3" s="198"/>
      <c r="AC3" s="198"/>
    </row>
    <row r="4" spans="1:29" ht="9" customHeight="1">
      <c r="A4" s="521"/>
      <c r="B4" s="198"/>
      <c r="C4" s="198"/>
      <c r="D4" s="198"/>
      <c r="E4" s="198"/>
      <c r="F4" s="198"/>
      <c r="G4" s="198"/>
      <c r="H4" s="198"/>
      <c r="I4" s="198"/>
      <c r="J4" s="198"/>
      <c r="K4" s="198"/>
      <c r="L4" s="198"/>
      <c r="M4" s="198"/>
      <c r="N4" s="198"/>
      <c r="O4" s="198"/>
      <c r="P4" s="198"/>
      <c r="Q4" s="198"/>
      <c r="R4" s="198"/>
      <c r="S4" s="198"/>
      <c r="T4" s="198"/>
      <c r="U4" s="198"/>
      <c r="V4" s="198"/>
      <c r="AA4" s="198"/>
      <c r="AB4" s="198"/>
      <c r="AC4" s="198"/>
    </row>
    <row r="5" spans="1:29" ht="8.25" customHeight="1" thickBot="1">
      <c r="A5" s="53"/>
      <c r="B5" s="53"/>
      <c r="C5" s="54"/>
      <c r="D5" s="54"/>
      <c r="E5" s="345"/>
      <c r="F5" s="345"/>
      <c r="G5" s="345"/>
      <c r="H5" s="54"/>
      <c r="I5" s="54"/>
      <c r="J5" s="54"/>
      <c r="K5" s="54"/>
      <c r="L5" s="54"/>
      <c r="M5" s="54"/>
      <c r="N5" s="54"/>
      <c r="O5" s="54"/>
      <c r="P5" s="54"/>
      <c r="Q5" s="54"/>
      <c r="R5" s="54"/>
      <c r="U5"/>
      <c r="V5"/>
      <c r="Y5" s="343"/>
      <c r="Z5" s="344"/>
      <c r="AA5" s="344"/>
    </row>
    <row r="6" spans="1:29" ht="18" customHeight="1" thickBot="1">
      <c r="A6" s="364"/>
      <c r="B6" s="365"/>
      <c r="C6" s="917" t="s">
        <v>441</v>
      </c>
      <c r="D6" s="918"/>
      <c r="E6" s="918"/>
      <c r="F6" s="918"/>
      <c r="G6" s="919"/>
      <c r="H6" s="920" t="s">
        <v>709</v>
      </c>
      <c r="I6" s="921"/>
      <c r="J6" s="922"/>
      <c r="K6" s="108" t="s">
        <v>708</v>
      </c>
      <c r="L6" s="910" t="s">
        <v>442</v>
      </c>
      <c r="M6" s="911"/>
      <c r="N6" s="911"/>
      <c r="O6" s="911"/>
      <c r="P6" s="911"/>
      <c r="Q6" s="911"/>
      <c r="R6" s="912"/>
      <c r="S6" s="920" t="s">
        <v>234</v>
      </c>
      <c r="T6" s="922"/>
      <c r="U6"/>
      <c r="V6"/>
      <c r="Y6" s="280"/>
      <c r="Z6" s="280"/>
      <c r="AA6" s="280"/>
    </row>
    <row r="7" spans="1:29" ht="15.75">
      <c r="A7" s="283"/>
      <c r="B7" s="348" t="s">
        <v>165</v>
      </c>
      <c r="C7" s="285" t="s">
        <v>469</v>
      </c>
      <c r="D7" s="286" t="s">
        <v>443</v>
      </c>
      <c r="E7" s="286" t="s">
        <v>212</v>
      </c>
      <c r="F7" s="286" t="s">
        <v>167</v>
      </c>
      <c r="G7" s="284" t="s">
        <v>444</v>
      </c>
      <c r="H7" s="353"/>
      <c r="I7" s="348" t="s">
        <v>166</v>
      </c>
      <c r="J7" s="348" t="s">
        <v>445</v>
      </c>
      <c r="K7" s="608" t="s">
        <v>705</v>
      </c>
      <c r="L7" s="353" t="s">
        <v>461</v>
      </c>
      <c r="M7" s="287"/>
      <c r="N7" s="286" t="s">
        <v>575</v>
      </c>
      <c r="O7" s="286" t="s">
        <v>266</v>
      </c>
      <c r="P7" s="286" t="s">
        <v>170</v>
      </c>
      <c r="Q7" s="286" t="s">
        <v>465</v>
      </c>
      <c r="R7" s="284" t="s">
        <v>169</v>
      </c>
      <c r="S7" s="353" t="s">
        <v>228</v>
      </c>
      <c r="T7" s="284" t="s">
        <v>232</v>
      </c>
      <c r="U7"/>
      <c r="V7"/>
      <c r="Y7" s="281"/>
      <c r="Z7" s="281"/>
      <c r="AA7" s="281"/>
    </row>
    <row r="8" spans="1:29" s="751" customFormat="1">
      <c r="A8" s="381" t="s">
        <v>1</v>
      </c>
      <c r="B8" s="349" t="s">
        <v>18</v>
      </c>
      <c r="C8" s="288" t="s">
        <v>18</v>
      </c>
      <c r="D8" s="289" t="s">
        <v>168</v>
      </c>
      <c r="E8" s="289" t="s">
        <v>168</v>
      </c>
      <c r="F8" s="289" t="s">
        <v>73</v>
      </c>
      <c r="G8" s="291" t="s">
        <v>174</v>
      </c>
      <c r="H8" s="354" t="s">
        <v>21</v>
      </c>
      <c r="I8" s="349" t="s">
        <v>171</v>
      </c>
      <c r="J8" s="349" t="s">
        <v>460</v>
      </c>
      <c r="K8" s="609" t="s">
        <v>706</v>
      </c>
      <c r="L8" s="618" t="s">
        <v>702</v>
      </c>
      <c r="M8" s="289" t="s">
        <v>19</v>
      </c>
      <c r="N8" s="289" t="s">
        <v>463</v>
      </c>
      <c r="O8" s="289" t="s">
        <v>464</v>
      </c>
      <c r="P8" s="289" t="s">
        <v>173</v>
      </c>
      <c r="Q8" s="289" t="s">
        <v>447</v>
      </c>
      <c r="R8" s="291" t="s">
        <v>470</v>
      </c>
      <c r="S8" s="354" t="s">
        <v>229</v>
      </c>
      <c r="T8" s="291" t="s">
        <v>233</v>
      </c>
      <c r="U8" s="750"/>
      <c r="V8" s="750"/>
      <c r="W8" s="750"/>
      <c r="X8" s="750"/>
    </row>
    <row r="9" spans="1:29">
      <c r="A9" s="486">
        <f>E1</f>
        <v>40848</v>
      </c>
      <c r="B9" s="292">
        <f>IF(MONTH(A9)=MONTH($E$1),VLOOKUP((A9),Sheet1!$B$8:$IV$895,11,FALSE),0)</f>
        <v>32.270000000000437</v>
      </c>
      <c r="C9" s="351">
        <f>IF(MONTH(A9)=MONTH($E$1),VLOOKUP(A9,'Calculations II'!$B$8:$IV$891,54,FALSE),0)</f>
        <v>0</v>
      </c>
      <c r="D9" s="294">
        <f>IF(MONTH(A9)=MONTH($E$1),VLOOKUP(A9,Sheet1!$B$8:$IV$895,26,FALSE),0)</f>
        <v>27.099999999991269</v>
      </c>
      <c r="E9" s="57">
        <f>IF(MONTH(A9)=MONTH($E$1),VLOOKUP(A9,Sheet1!$B$8:$IV$895,27,FALSE),0)</f>
        <v>17.029999999998836</v>
      </c>
      <c r="F9" s="295">
        <f t="shared" ref="F9:F39" si="0">C9+D9+E9-P9-Q9</f>
        <v>44.129999999990105</v>
      </c>
      <c r="G9" s="295">
        <f t="shared" ref="G9:G38" si="1">C9+D9+E9</f>
        <v>44.129999999990105</v>
      </c>
      <c r="H9" s="293">
        <f ca="1">IF(MONTH(A9)=MONTH($E$1),VLOOKUP(A9,Calculation!$B$8:$IV$881,138,FALSE),0)</f>
        <v>0.54719999999999991</v>
      </c>
      <c r="I9" s="605">
        <f ca="1">IF(MONTH(A9)=MONTH($E$1),VLOOKUP(A9,'Calculations II'!$B$8:$IV$891,14,FALSE),0)</f>
        <v>2.5135322262709212</v>
      </c>
      <c r="J9" s="605">
        <f ca="1">H9+I9</f>
        <v>3.0607322262709209</v>
      </c>
      <c r="K9" s="610">
        <f ca="1">IF(MONTH(A9)=MONTH($E$1),VLOOKUP(A9,'Calculations II'!$B$8:$IV$891,67,FALSE),0)</f>
        <v>0</v>
      </c>
      <c r="L9" s="619">
        <f>IF(MONTH(A9)=MONTH($E$1),VLOOKUP(A9,Sheet1!$B$8:$IV$895,65,FALSE),0)</f>
        <v>16.8</v>
      </c>
      <c r="M9" s="57">
        <f>IF(MONTH(A9)=MONTH($E$1),VLOOKUP(A9,Sheet1!$B$8:$IV$895,93,FALSE),0)</f>
        <v>16.79</v>
      </c>
      <c r="N9" s="297">
        <f ca="1">IF(AND(D9=0,E9=0),0,C9+D9+J9-K9+L9-M9)</f>
        <v>30.170732226262196</v>
      </c>
      <c r="O9" s="297">
        <f ca="1">M9+N9</f>
        <v>46.960732226262195</v>
      </c>
      <c r="P9" s="57">
        <f>IF(MONTH(A9)=MONTH($E$1),VLOOKUP(A9,Calculation!$B$8:$IV$881,34,FALSE),0)</f>
        <v>0</v>
      </c>
      <c r="Q9" s="294">
        <f>IF(MONTH(A9)=MONTH($E$1),VLOOKUP(A9,Calculation!$B$8:$IV$881,103,FALSE),0)</f>
        <v>0</v>
      </c>
      <c r="R9" s="298">
        <f ca="1">IF(AND(D9=0,E9=0),0,C9+D9+J9-K9+L9+P9+Q9)</f>
        <v>46.960732226262195</v>
      </c>
      <c r="S9" s="391">
        <f>IF(MONTH(A9)=MONTH($E$1),VLOOKUP(A9,Sheet1!$B$8:$IV$895,123,FALSE),0)</f>
        <v>0</v>
      </c>
      <c r="T9" s="356">
        <f>IF(MONTH(A9)=MONTH($E$1),VLOOKUP(A9,Sheet1!$B$8:$IV$895,124,FALSE),0)</f>
        <v>0</v>
      </c>
      <c r="U9"/>
      <c r="V9"/>
      <c r="Y9" s="53"/>
      <c r="Z9" s="53"/>
      <c r="AA9" s="53"/>
    </row>
    <row r="10" spans="1:29">
      <c r="A10" s="486">
        <f>A9+1</f>
        <v>40849</v>
      </c>
      <c r="B10" s="292">
        <f>IF(MONTH(A10)=MONTH($E$1),VLOOKUP((A10),Sheet1!$B$8:$IV$895,11,FALSE),0)</f>
        <v>21.199999999998909</v>
      </c>
      <c r="C10" s="351">
        <f>IF(MONTH(A10)=MONTH($E$1),VLOOKUP(A10,'Calculations II'!$B$8:$IV$891,54,FALSE),0)</f>
        <v>0</v>
      </c>
      <c r="D10" s="294">
        <f>IF(MONTH(A10)=MONTH($E$1),VLOOKUP(A10,Sheet1!$B$8:$IV$895,26,FALSE),0)</f>
        <v>26.600000000005821</v>
      </c>
      <c r="E10" s="57">
        <f>IF(MONTH(A10)=MONTH($E$1),VLOOKUP(A10,Sheet1!$B$8:$IV$895,27,FALSE),0)</f>
        <v>17.44999999999709</v>
      </c>
      <c r="F10" s="295">
        <f t="shared" si="0"/>
        <v>43.268656716420949</v>
      </c>
      <c r="G10" s="295">
        <f t="shared" si="1"/>
        <v>44.05000000000291</v>
      </c>
      <c r="H10" s="293">
        <f ca="1">IF(MONTH(A10)=MONTH($E$1),VLOOKUP(A10,Calculation!$B$8:$IV$881,138,FALSE),0)</f>
        <v>3.2831999999999999</v>
      </c>
      <c r="I10" s="605">
        <f ca="1">IF(MONTH(A10)=MONTH($E$1),VLOOKUP(A10,'Calculations II'!$B$8:$IV$891,14,FALSE),0)</f>
        <v>-3.9000813581717502</v>
      </c>
      <c r="J10" s="605">
        <f t="shared" ref="J10:J39" ca="1" si="2">H10+I10</f>
        <v>-0.61688135817175027</v>
      </c>
      <c r="K10" s="610">
        <f ca="1">IF(MONTH(A10)=MONTH($E$1),VLOOKUP(A10,'Calculations II'!$B$8:$IV$891,67,FALSE),0)</f>
        <v>0</v>
      </c>
      <c r="L10" s="619">
        <f>IF(MONTH(A10)=MONTH($E$1),VLOOKUP(A10,Sheet1!$B$8:$IV$895,65,FALSE),0)</f>
        <v>16</v>
      </c>
      <c r="M10" s="57">
        <f>IF(MONTH(A10)=MONTH($E$1),VLOOKUP(A10,Sheet1!$B$8:$IV$895,93,FALSE),0)</f>
        <v>16.399999999999999</v>
      </c>
      <c r="N10" s="297">
        <f t="shared" ref="N10:N39" ca="1" si="3">IF(AND(D10=0,E10=0),0,C10+D10+J10-K10+L10-M10)</f>
        <v>25.583118641834069</v>
      </c>
      <c r="O10" s="297">
        <f t="shared" ref="O10:O39" ca="1" si="4">M10+N10</f>
        <v>41.983118641834068</v>
      </c>
      <c r="P10" s="57">
        <f>IF(MONTH(A10)=MONTH($E$1),VLOOKUP(A10,Calculation!$B$8:$IV$881,34,FALSE),0)</f>
        <v>0</v>
      </c>
      <c r="Q10" s="294">
        <f>IF(MONTH(A10)=MONTH($E$1),VLOOKUP(A10,Calculation!$B$8:$IV$881,103,FALSE),0)</f>
        <v>0.78134328358195926</v>
      </c>
      <c r="R10" s="298">
        <f t="shared" ref="R10:R39" ca="1" si="5">IF(AND(D10=0,E10=0),0,C10+D10+J10-K10+L10+P10+Q10)</f>
        <v>42.764461925416029</v>
      </c>
      <c r="S10" s="391">
        <f>IF(MONTH(A10)=MONTH($E$1),VLOOKUP(A10,Sheet1!$B$8:$IV$895,123,FALSE),0)</f>
        <v>0</v>
      </c>
      <c r="T10" s="356">
        <f>IF(MONTH(A10)=MONTH($E$1),VLOOKUP(A10,Sheet1!$B$8:$IV$895,124,FALSE),0)</f>
        <v>0</v>
      </c>
      <c r="U10"/>
      <c r="V10"/>
      <c r="Y10" s="53"/>
      <c r="Z10" s="53"/>
      <c r="AA10" s="53"/>
    </row>
    <row r="11" spans="1:29">
      <c r="A11" s="486">
        <f t="shared" ref="A11:A39" si="6">A10+1</f>
        <v>40850</v>
      </c>
      <c r="B11" s="292">
        <f>IF(MONTH(A11)=MONTH($E$1),VLOOKUP((A11),Sheet1!$B$8:$IV$895,11,FALSE),0)</f>
        <v>26.080000000001746</v>
      </c>
      <c r="C11" s="351">
        <f>IF(MONTH(A11)=MONTH($E$1),VLOOKUP(A11,'Calculations II'!$B$8:$IV$891,54,FALSE),0)</f>
        <v>0</v>
      </c>
      <c r="D11" s="294">
        <f>IF(MONTH(A11)=MONTH($E$1),VLOOKUP(A11,Sheet1!$B$8:$IV$895,26,FALSE),0)</f>
        <v>26.5</v>
      </c>
      <c r="E11" s="57">
        <f>IF(MONTH(A11)=MONTH($E$1),VLOOKUP(A11,Sheet1!$B$8:$IV$895,27,FALSE),0)</f>
        <v>20.650000000001455</v>
      </c>
      <c r="F11" s="295">
        <f t="shared" si="0"/>
        <v>43.841990291263357</v>
      </c>
      <c r="G11" s="295">
        <f t="shared" si="1"/>
        <v>47.150000000001455</v>
      </c>
      <c r="H11" s="293">
        <f ca="1">IF(MONTH(A11)=MONTH($E$1),VLOOKUP(A11,Calculation!$B$8:$IV$881,138,FALSE),0)</f>
        <v>2.4320000000000004</v>
      </c>
      <c r="I11" s="605">
        <f ca="1">IF(MONTH(A11)=MONTH($E$1),VLOOKUP(A11,'Calculations II'!$B$8:$IV$891,14,FALSE),0)</f>
        <v>3.0168361322335668</v>
      </c>
      <c r="J11" s="605">
        <f t="shared" ca="1" si="2"/>
        <v>5.4488361322335672</v>
      </c>
      <c r="K11" s="610">
        <f ca="1">IF(MONTH(A11)=MONTH($E$1),VLOOKUP(A11,'Calculations II'!$B$8:$IV$891,67,FALSE),0)</f>
        <v>0</v>
      </c>
      <c r="L11" s="619">
        <f>IF(MONTH(A11)=MONTH($E$1),VLOOKUP(A11,Sheet1!$B$8:$IV$895,65,FALSE),0)</f>
        <v>17.3</v>
      </c>
      <c r="M11" s="57">
        <f>IF(MONTH(A11)=MONTH($E$1),VLOOKUP(A11,Sheet1!$B$8:$IV$895,93,FALSE),0)</f>
        <v>16.82</v>
      </c>
      <c r="N11" s="297">
        <f t="shared" ca="1" si="3"/>
        <v>32.428836132233563</v>
      </c>
      <c r="O11" s="297">
        <f t="shared" ca="1" si="4"/>
        <v>49.248836132233563</v>
      </c>
      <c r="P11" s="57">
        <f>IF(MONTH(A11)=MONTH($E$1),VLOOKUP(A11,Calculation!$B$8:$IV$881,34,FALSE),0)</f>
        <v>0</v>
      </c>
      <c r="Q11" s="294">
        <f>IF(MONTH(A11)=MONTH($E$1),VLOOKUP(A11,Calculation!$B$8:$IV$881,103,FALSE),0)</f>
        <v>3.3080097087380969</v>
      </c>
      <c r="R11" s="298">
        <f t="shared" ca="1" si="5"/>
        <v>52.556845840971661</v>
      </c>
      <c r="S11" s="391">
        <f>IF(MONTH(A11)=MONTH($E$1),VLOOKUP(A11,Sheet1!$B$8:$IV$895,123,FALSE),0)</f>
        <v>0</v>
      </c>
      <c r="T11" s="356">
        <f>IF(MONTH(A11)=MONTH($E$1),VLOOKUP(A11,Sheet1!$B$8:$IV$895,124,FALSE),0)</f>
        <v>0</v>
      </c>
      <c r="U11"/>
      <c r="V11"/>
      <c r="Y11" s="55"/>
      <c r="Z11" s="55"/>
      <c r="AA11" s="55"/>
    </row>
    <row r="12" spans="1:29">
      <c r="A12" s="486">
        <f>A11+1</f>
        <v>40851</v>
      </c>
      <c r="B12" s="292">
        <f>IF(MONTH(A12)=MONTH($E$1),VLOOKUP((A12),Sheet1!$B$8:$IV$895,11,FALSE),0)</f>
        <v>17.3799999999992</v>
      </c>
      <c r="C12" s="351">
        <f>IF(MONTH(A12)=MONTH($E$1),VLOOKUP(A12,'Calculations II'!$B$8:$IV$891,54,FALSE),0)</f>
        <v>0</v>
      </c>
      <c r="D12" s="294">
        <f>IF(MONTH(A12)=MONTH($E$1),VLOOKUP(A12,Sheet1!$B$8:$IV$895,26,FALSE),0)</f>
        <v>26.80000000000291</v>
      </c>
      <c r="E12" s="57">
        <f>IF(MONTH(A12)=MONTH($E$1),VLOOKUP(A12,Sheet1!$B$8:$IV$895,27,FALSE),0)</f>
        <v>20.80000000000291</v>
      </c>
      <c r="F12" s="295">
        <f t="shared" si="0"/>
        <v>45.887301587307171</v>
      </c>
      <c r="G12" s="295">
        <f t="shared" si="1"/>
        <v>47.600000000005821</v>
      </c>
      <c r="H12" s="293">
        <f ca="1">IF(MONTH(A12)=MONTH($E$1),VLOOKUP(A12,Calculation!$B$8:$IV$881,138,FALSE),0)</f>
        <v>0.54049999999999998</v>
      </c>
      <c r="I12" s="605">
        <f ca="1">IF(MONTH(A12)=MONTH($E$1),VLOOKUP(A12,'Calculations II'!$B$8:$IV$891,14,FALSE),0)</f>
        <v>-1.4967043324588409</v>
      </c>
      <c r="J12" s="605">
        <f t="shared" ca="1" si="2"/>
        <v>-0.95620433245884096</v>
      </c>
      <c r="K12" s="610">
        <f ca="1">IF(MONTH(A12)=MONTH($E$1),VLOOKUP(A12,'Calculations II'!$B$8:$IV$891,67,FALSE),0)</f>
        <v>0</v>
      </c>
      <c r="L12" s="619">
        <f>IF(MONTH(A12)=MONTH($E$1),VLOOKUP(A12,Sheet1!$B$8:$IV$895,65,FALSE),0)</f>
        <v>18.5</v>
      </c>
      <c r="M12" s="57">
        <f>IF(MONTH(A12)=MONTH($E$1),VLOOKUP(A12,Sheet1!$B$8:$IV$895,93,FALSE),0)</f>
        <v>15.94</v>
      </c>
      <c r="N12" s="297">
        <f t="shared" ca="1" si="3"/>
        <v>28.403795667544074</v>
      </c>
      <c r="O12" s="297">
        <f t="shared" ca="1" si="4"/>
        <v>44.343795667544072</v>
      </c>
      <c r="P12" s="57">
        <f>IF(MONTH(A12)=MONTH($E$1),VLOOKUP(A12,Calculation!$B$8:$IV$881,34,FALSE),0)</f>
        <v>0</v>
      </c>
      <c r="Q12" s="294">
        <f>IF(MONTH(A12)=MONTH($E$1),VLOOKUP(A12,Calculation!$B$8:$IV$881,103,FALSE),0)</f>
        <v>1.7126984126986524</v>
      </c>
      <c r="R12" s="298">
        <f t="shared" ca="1" si="5"/>
        <v>46.056494080242722</v>
      </c>
      <c r="S12" s="391">
        <f>IF(MONTH(A12)=MONTH($E$1),VLOOKUP(A12,Sheet1!$B$8:$IV$895,123,FALSE),0)</f>
        <v>0</v>
      </c>
      <c r="T12" s="356">
        <f>IF(MONTH(A12)=MONTH($E$1),VLOOKUP(A12,Sheet1!$B$8:$IV$895,124,FALSE),0)</f>
        <v>0</v>
      </c>
      <c r="U12"/>
      <c r="V12"/>
      <c r="Y12" s="57"/>
      <c r="Z12" s="57"/>
      <c r="AA12" s="57"/>
    </row>
    <row r="13" spans="1:29">
      <c r="A13" s="486">
        <f t="shared" si="6"/>
        <v>40852</v>
      </c>
      <c r="B13" s="292">
        <f>IF(MONTH(A13)=MONTH($E$1),VLOOKUP((A13),Sheet1!$B$8:$IV$895,11,FALSE),0)</f>
        <v>12.739999999999782</v>
      </c>
      <c r="C13" s="351">
        <f>IF(MONTH(A13)=MONTH($E$1),VLOOKUP(A13,'Calculations II'!$B$8:$IV$891,54,FALSE),0)</f>
        <v>0</v>
      </c>
      <c r="D13" s="294">
        <f>IF(MONTH(A13)=MONTH($E$1),VLOOKUP(A13,Sheet1!$B$8:$IV$895,26,FALSE),0)</f>
        <v>26.399999999994179</v>
      </c>
      <c r="E13" s="57">
        <f>IF(MONTH(A13)=MONTH($E$1),VLOOKUP(A13,Sheet1!$B$8:$IV$895,27,FALSE),0)</f>
        <v>18.94999999999709</v>
      </c>
      <c r="F13" s="295">
        <f t="shared" si="0"/>
        <v>45.349999999991269</v>
      </c>
      <c r="G13" s="295">
        <f t="shared" si="1"/>
        <v>45.349999999991269</v>
      </c>
      <c r="H13" s="293">
        <f ca="1">IF(MONTH(A13)=MONTH($E$1),VLOOKUP(A13,Calculation!$B$8:$IV$881,138,FALSE),0)</f>
        <v>-1.351</v>
      </c>
      <c r="I13" s="605">
        <f ca="1">IF(MONTH(A13)=MONTH($E$1),VLOOKUP(A13,'Calculations II'!$B$8:$IV$891,14,FALSE),0)</f>
        <v>2.1211111864817576</v>
      </c>
      <c r="J13" s="605">
        <f t="shared" ca="1" si="2"/>
        <v>0.77011118648175758</v>
      </c>
      <c r="K13" s="610">
        <f ca="1">IF(MONTH(A13)=MONTH($E$1),VLOOKUP(A13,'Calculations II'!$B$8:$IV$891,67,FALSE),0)</f>
        <v>0</v>
      </c>
      <c r="L13" s="619">
        <f>IF(MONTH(A13)=MONTH($E$1),VLOOKUP(A13,Sheet1!$B$8:$IV$895,65,FALSE),0)</f>
        <v>18.899999999999999</v>
      </c>
      <c r="M13" s="57">
        <f>IF(MONTH(A13)=MONTH($E$1),VLOOKUP(A13,Sheet1!$B$8:$IV$895,93,FALSE),0)</f>
        <v>15.5</v>
      </c>
      <c r="N13" s="297">
        <f t="shared" ca="1" si="3"/>
        <v>30.570111186475934</v>
      </c>
      <c r="O13" s="297">
        <f t="shared" ca="1" si="4"/>
        <v>46.070111186475934</v>
      </c>
      <c r="P13" s="57">
        <f>IF(MONTH(A13)=MONTH($E$1),VLOOKUP(A13,Calculation!$B$8:$IV$881,34,FALSE),0)</f>
        <v>0</v>
      </c>
      <c r="Q13" s="294">
        <f>IF(MONTH(A13)=MONTH($E$1),VLOOKUP(A13,Calculation!$B$8:$IV$881,103,FALSE),0)</f>
        <v>0</v>
      </c>
      <c r="R13" s="298">
        <f t="shared" ca="1" si="5"/>
        <v>46.070111186475934</v>
      </c>
      <c r="S13" s="391">
        <f>IF(MONTH(A13)=MONTH($E$1),VLOOKUP(A13,Sheet1!$B$8:$IV$895,123,FALSE),0)</f>
        <v>0</v>
      </c>
      <c r="T13" s="356">
        <f>IF(MONTH(A13)=MONTH($E$1),VLOOKUP(A13,Sheet1!$B$8:$IV$895,124,FALSE),0)</f>
        <v>0</v>
      </c>
      <c r="U13"/>
      <c r="V13"/>
      <c r="Y13" s="57"/>
      <c r="Z13" s="57"/>
      <c r="AA13" s="57"/>
    </row>
    <row r="14" spans="1:29">
      <c r="A14" s="486">
        <f t="shared" si="6"/>
        <v>40853</v>
      </c>
      <c r="B14" s="292">
        <f>IF(MONTH(A14)=MONTH($E$1),VLOOKUP((A14),Sheet1!$B$8:$IV$895,11,FALSE),0)</f>
        <v>16.729999999999563</v>
      </c>
      <c r="C14" s="351">
        <f>IF(MONTH(A14)=MONTH($E$1),VLOOKUP(A14,'Calculations II'!$B$8:$IV$891,54,FALSE),0)</f>
        <v>0</v>
      </c>
      <c r="D14" s="294">
        <f>IF(MONTH(A14)=MONTH($E$1),VLOOKUP(A14,Sheet1!$B$8:$IV$895,26,FALSE),0)</f>
        <v>26.48</v>
      </c>
      <c r="E14" s="57">
        <f>IF(MONTH(A14)=MONTH($E$1),VLOOKUP(A14,Sheet1!$B$8:$IV$895,27,FALSE),0)</f>
        <v>19.03</v>
      </c>
      <c r="F14" s="295">
        <f t="shared" si="0"/>
        <v>45.510000000000005</v>
      </c>
      <c r="G14" s="295">
        <f t="shared" si="1"/>
        <v>45.510000000000005</v>
      </c>
      <c r="H14" s="293">
        <f ca="1">IF(MONTH(A14)=MONTH($E$1),VLOOKUP(A14,Calculation!$B$8:$IV$881,138,FALSE),0)</f>
        <v>0</v>
      </c>
      <c r="I14" s="605">
        <f ca="1">IF(MONTH(A14)=MONTH($E$1),VLOOKUP(A14,'Calculations II'!$B$8:$IV$891,14,FALSE),0)</f>
        <v>6.2052345394622583E-3</v>
      </c>
      <c r="J14" s="605">
        <f t="shared" ca="1" si="2"/>
        <v>6.2052345394622583E-3</v>
      </c>
      <c r="K14" s="610">
        <f ca="1">IF(MONTH(A14)=MONTH($E$1),VLOOKUP(A14,'Calculations II'!$B$8:$IV$891,67,FALSE),0)</f>
        <v>0</v>
      </c>
      <c r="L14" s="619">
        <f>IF(MONTH(A14)=MONTH($E$1),VLOOKUP(A14,Sheet1!$B$8:$IV$895,65,FALSE),0)</f>
        <v>18.899999999999999</v>
      </c>
      <c r="M14" s="57">
        <f>IF(MONTH(A14)=MONTH($E$1),VLOOKUP(A14,Sheet1!$B$8:$IV$895,93,FALSE),0)</f>
        <v>15.5</v>
      </c>
      <c r="N14" s="297">
        <f t="shared" ca="1" si="3"/>
        <v>29.88620523453946</v>
      </c>
      <c r="O14" s="297">
        <f t="shared" ca="1" si="4"/>
        <v>45.38620523453946</v>
      </c>
      <c r="P14" s="57">
        <f>IF(MONTH(A14)=MONTH($E$1),VLOOKUP(A14,Calculation!$B$8:$IV$881,34,FALSE),0)</f>
        <v>0</v>
      </c>
      <c r="Q14" s="294">
        <f>IF(MONTH(A14)=MONTH($E$1),VLOOKUP(A14,Calculation!$B$8:$IV$881,103,FALSE),0)</f>
        <v>0</v>
      </c>
      <c r="R14" s="298">
        <f t="shared" ca="1" si="5"/>
        <v>45.38620523453946</v>
      </c>
      <c r="S14" s="391">
        <f>IF(MONTH(A14)=MONTH($E$1),VLOOKUP(A14,Sheet1!$B$8:$IV$895,123,FALSE),0)</f>
        <v>0</v>
      </c>
      <c r="T14" s="356">
        <f>IF(MONTH(A14)=MONTH($E$1),VLOOKUP(A14,Sheet1!$B$8:$IV$895,124,FALSE),0)</f>
        <v>0</v>
      </c>
      <c r="U14"/>
      <c r="V14"/>
      <c r="Y14" s="57"/>
      <c r="Z14" s="57"/>
      <c r="AA14" s="57"/>
    </row>
    <row r="15" spans="1:29" ht="12.75" customHeight="1">
      <c r="A15" s="486">
        <f t="shared" si="6"/>
        <v>40854</v>
      </c>
      <c r="B15" s="292">
        <f>IF(MONTH(A15)=MONTH($E$1),VLOOKUP((A15),Sheet1!$B$8:$IV$895,11,FALSE),0)</f>
        <v>16.380000000001019</v>
      </c>
      <c r="C15" s="351">
        <f>IF(MONTH(A15)=MONTH($E$1),VLOOKUP(A15,'Calculations II'!$B$8:$IV$891,54,FALSE),0)</f>
        <v>0</v>
      </c>
      <c r="D15" s="294">
        <f>IF(MONTH(A15)=MONTH($E$1),VLOOKUP(A15,Sheet1!$B$8:$IV$895,26,FALSE),0)</f>
        <v>26.180000000007567</v>
      </c>
      <c r="E15" s="57">
        <f>IF(MONTH(A15)=MONTH($E$1),VLOOKUP(A15,Sheet1!$B$8:$IV$895,27,FALSE),0)</f>
        <v>18.900000000001455</v>
      </c>
      <c r="F15" s="295">
        <f t="shared" si="0"/>
        <v>45.080000000009022</v>
      </c>
      <c r="G15" s="295">
        <f t="shared" si="1"/>
        <v>45.080000000009022</v>
      </c>
      <c r="H15" s="293">
        <f ca="1">IF(MONTH(A15)=MONTH($E$1),VLOOKUP(A15,Calculation!$B$8:$IV$881,138,FALSE),0)</f>
        <v>-0.54049999999999998</v>
      </c>
      <c r="I15" s="605">
        <f ca="1">IF(MONTH(A15)=MONTH($E$1),VLOOKUP(A15,'Calculations II'!$B$8:$IV$891,14,FALSE),0)</f>
        <v>-0.88590894030987999</v>
      </c>
      <c r="J15" s="605">
        <f t="shared" ca="1" si="2"/>
        <v>-1.4264089403098801</v>
      </c>
      <c r="K15" s="610">
        <f ca="1">IF(MONTH(A15)=MONTH($E$1),VLOOKUP(A15,'Calculations II'!$B$8:$IV$891,67,FALSE),0)</f>
        <v>0</v>
      </c>
      <c r="L15" s="619">
        <f>IF(MONTH(A15)=MONTH($E$1),VLOOKUP(A15,Sheet1!$B$8:$IV$895,65,FALSE),0)</f>
        <v>18.899999999999999</v>
      </c>
      <c r="M15" s="57">
        <f>IF(MONTH(A15)=MONTH($E$1),VLOOKUP(A15,Sheet1!$B$8:$IV$895,93,FALSE),0)</f>
        <v>15.96</v>
      </c>
      <c r="N15" s="297">
        <f t="shared" ca="1" si="3"/>
        <v>27.693591059697688</v>
      </c>
      <c r="O15" s="297">
        <f t="shared" ca="1" si="4"/>
        <v>43.653591059697689</v>
      </c>
      <c r="P15" s="57">
        <f>IF(MONTH(A15)=MONTH($E$1),VLOOKUP(A15,Calculation!$B$8:$IV$881,34,FALSE),0)</f>
        <v>0</v>
      </c>
      <c r="Q15" s="294">
        <f>IF(MONTH(A15)=MONTH($E$1),VLOOKUP(A15,Calculation!$B$8:$IV$881,103,FALSE),0)</f>
        <v>0</v>
      </c>
      <c r="R15" s="298">
        <f t="shared" ca="1" si="5"/>
        <v>43.653591059697689</v>
      </c>
      <c r="S15" s="391">
        <f>IF(MONTH(A15)=MONTH($E$1),VLOOKUP(A15,Sheet1!$B$8:$IV$895,123,FALSE),0)</f>
        <v>0</v>
      </c>
      <c r="T15" s="356">
        <f>IF(MONTH(A15)=MONTH($E$1),VLOOKUP(A15,Sheet1!$B$8:$IV$895,124,FALSE),0)</f>
        <v>0</v>
      </c>
      <c r="U15"/>
      <c r="V15"/>
      <c r="Y15" s="57"/>
      <c r="Z15" s="57"/>
      <c r="AA15" s="57"/>
    </row>
    <row r="16" spans="1:29">
      <c r="A16" s="486">
        <f t="shared" si="6"/>
        <v>40855</v>
      </c>
      <c r="B16" s="292">
        <f>IF(MONTH(A16)=MONTH($E$1),VLOOKUP((A16),Sheet1!$B$8:$IV$895,11,FALSE),0)</f>
        <v>16.469999999999345</v>
      </c>
      <c r="C16" s="351">
        <f>IF(MONTH(A16)=MONTH($E$1),VLOOKUP(A16,'Calculations II'!$B$8:$IV$891,54,FALSE),0)</f>
        <v>0</v>
      </c>
      <c r="D16" s="294">
        <f>IF(MONTH(A16)=MONTH($E$1),VLOOKUP(A16,Sheet1!$B$8:$IV$895,26,FALSE),0)</f>
        <v>26.55000000000291</v>
      </c>
      <c r="E16" s="57">
        <f>IF(MONTH(A16)=MONTH($E$1),VLOOKUP(A16,Sheet1!$B$8:$IV$895,27,FALSE),0)</f>
        <v>19</v>
      </c>
      <c r="F16" s="295">
        <f t="shared" si="0"/>
        <v>45.55000000000291</v>
      </c>
      <c r="G16" s="295">
        <f t="shared" si="1"/>
        <v>45.55000000000291</v>
      </c>
      <c r="H16" s="293">
        <f ca="1">IF(MONTH(A16)=MONTH($E$1),VLOOKUP(A16,Calculation!$B$8:$IV$881,138,FALSE),0)</f>
        <v>2.1619999999999999</v>
      </c>
      <c r="I16" s="605">
        <f ca="1">IF(MONTH(A16)=MONTH($E$1),VLOOKUP(A16,'Calculations II'!$B$8:$IV$891,14,FALSE),0)</f>
        <v>-9.8874574325426151E-3</v>
      </c>
      <c r="J16" s="605">
        <f t="shared" ca="1" si="2"/>
        <v>2.1521125425674574</v>
      </c>
      <c r="K16" s="610">
        <f ca="1">IF(MONTH(A16)=MONTH($E$1),VLOOKUP(A16,'Calculations II'!$B$8:$IV$891,67,FALSE),0)</f>
        <v>0</v>
      </c>
      <c r="L16" s="619">
        <f>IF(MONTH(A16)=MONTH($E$1),VLOOKUP(A16,Sheet1!$B$8:$IV$895,65,FALSE),0)</f>
        <v>18.899999999999999</v>
      </c>
      <c r="M16" s="57">
        <f>IF(MONTH(A16)=MONTH($E$1),VLOOKUP(A16,Sheet1!$B$8:$IV$895,93,FALSE),0)</f>
        <v>16.04</v>
      </c>
      <c r="N16" s="297">
        <f t="shared" ca="1" si="3"/>
        <v>31.562112542570368</v>
      </c>
      <c r="O16" s="297">
        <f t="shared" ca="1" si="4"/>
        <v>47.602112542570367</v>
      </c>
      <c r="P16" s="57">
        <f>IF(MONTH(A16)=MONTH($E$1),VLOOKUP(A16,Calculation!$B$8:$IV$881,34,FALSE),0)</f>
        <v>0</v>
      </c>
      <c r="Q16" s="294">
        <f>IF(MONTH(A16)=MONTH($E$1),VLOOKUP(A16,Calculation!$B$8:$IV$881,103,FALSE),0)</f>
        <v>0</v>
      </c>
      <c r="R16" s="298">
        <f t="shared" ca="1" si="5"/>
        <v>47.602112542570367</v>
      </c>
      <c r="S16" s="391">
        <f>IF(MONTH(A16)=MONTH($E$1),VLOOKUP(A16,Sheet1!$B$8:$IV$895,123,FALSE),0)</f>
        <v>0</v>
      </c>
      <c r="T16" s="356">
        <f>IF(MONTH(A16)=MONTH($E$1),VLOOKUP(A16,Sheet1!$B$8:$IV$895,124,FALSE),0)</f>
        <v>0</v>
      </c>
      <c r="U16"/>
      <c r="V16"/>
      <c r="Y16" s="57"/>
      <c r="Z16" s="57"/>
      <c r="AA16" s="57"/>
    </row>
    <row r="17" spans="1:27">
      <c r="A17" s="486">
        <f t="shared" si="6"/>
        <v>40856</v>
      </c>
      <c r="B17" s="292">
        <f>IF(MONTH(A17)=MONTH($E$1),VLOOKUP((A17),Sheet1!$B$8:$IV$895,11,FALSE),0)</f>
        <v>10.710000000000946</v>
      </c>
      <c r="C17" s="351">
        <f>IF(MONTH(A17)=MONTH($E$1),VLOOKUP(A17,'Calculations II'!$B$8:$IV$891,54,FALSE),0)</f>
        <v>1.7009280000000002</v>
      </c>
      <c r="D17" s="294">
        <f>IF(MONTH(A17)=MONTH($E$1),VLOOKUP(A17,Sheet1!$B$8:$IV$895,26,FALSE),0)</f>
        <v>26.799999999988358</v>
      </c>
      <c r="E17" s="57">
        <f>IF(MONTH(A17)=MONTH($E$1),VLOOKUP(A17,Sheet1!$B$8:$IV$895,27,FALSE),0)</f>
        <v>17.69999999999709</v>
      </c>
      <c r="F17" s="295">
        <f t="shared" si="0"/>
        <v>46.200927999985453</v>
      </c>
      <c r="G17" s="295">
        <f t="shared" si="1"/>
        <v>46.200927999985453</v>
      </c>
      <c r="H17" s="293">
        <f ca="1">IF(MONTH(A17)=MONTH($E$1),VLOOKUP(A17,Calculation!$B$8:$IV$881,138,FALSE),0)</f>
        <v>-0.54049999999999998</v>
      </c>
      <c r="I17" s="605">
        <f ca="1">IF(MONTH(A17)=MONTH($E$1),VLOOKUP(A17,'Calculations II'!$B$8:$IV$891,14,FALSE),0)</f>
        <v>-0.7827480626326242</v>
      </c>
      <c r="J17" s="605">
        <f t="shared" ca="1" si="2"/>
        <v>-1.3232480626326242</v>
      </c>
      <c r="K17" s="610">
        <f ca="1">IF(MONTH(A17)=MONTH($E$1),VLOOKUP(A17,'Calculations II'!$B$8:$IV$891,67,FALSE),0)</f>
        <v>0</v>
      </c>
      <c r="L17" s="619">
        <f>IF(MONTH(A17)=MONTH($E$1),VLOOKUP(A17,Sheet1!$B$8:$IV$895,65,FALSE),0)</f>
        <v>17.3</v>
      </c>
      <c r="M17" s="57">
        <f>IF(MONTH(A17)=MONTH($E$1),VLOOKUP(A17,Sheet1!$B$8:$IV$895,93,FALSE),0)</f>
        <v>16</v>
      </c>
      <c r="N17" s="297">
        <f t="shared" ca="1" si="3"/>
        <v>28.477679937355731</v>
      </c>
      <c r="O17" s="297">
        <f t="shared" ca="1" si="4"/>
        <v>44.477679937355731</v>
      </c>
      <c r="P17" s="57">
        <f>IF(MONTH(A17)=MONTH($E$1),VLOOKUP(A17,Calculation!$B$8:$IV$881,34,FALSE),0)</f>
        <v>0</v>
      </c>
      <c r="Q17" s="294">
        <f>IF(MONTH(A17)=MONTH($E$1),VLOOKUP(A17,Calculation!$B$8:$IV$881,103,FALSE),0)</f>
        <v>0</v>
      </c>
      <c r="R17" s="298">
        <f t="shared" ca="1" si="5"/>
        <v>44.477679937355731</v>
      </c>
      <c r="S17" s="391">
        <f>IF(MONTH(A17)=MONTH($E$1),VLOOKUP(A17,Sheet1!$B$8:$IV$895,123,FALSE),0)</f>
        <v>0</v>
      </c>
      <c r="T17" s="356">
        <f>IF(MONTH(A17)=MONTH($E$1),VLOOKUP(A17,Sheet1!$B$8:$IV$895,124,FALSE),0)</f>
        <v>0</v>
      </c>
      <c r="U17"/>
      <c r="V17"/>
      <c r="Y17" s="57"/>
      <c r="Z17" s="57"/>
      <c r="AA17" s="57"/>
    </row>
    <row r="18" spans="1:27">
      <c r="A18" s="486">
        <f t="shared" si="6"/>
        <v>40857</v>
      </c>
      <c r="B18" s="292">
        <f>IF(MONTH(A18)=MONTH($E$1),VLOOKUP((A18),Sheet1!$B$8:$IV$895,11,FALSE),0)</f>
        <v>12.769999999998618</v>
      </c>
      <c r="C18" s="351">
        <f>IF(MONTH(A18)=MONTH($E$1),VLOOKUP(A18,'Calculations II'!$B$8:$IV$891,54,FALSE),0)</f>
        <v>9.1383840000000003</v>
      </c>
      <c r="D18" s="294">
        <f>IF(MONTH(A18)=MONTH($E$1),VLOOKUP(A18,Sheet1!$B$8:$IV$895,26,FALSE),0)</f>
        <v>26.600000000005821</v>
      </c>
      <c r="E18" s="57">
        <f>IF(MONTH(A18)=MONTH($E$1),VLOOKUP(A18,Sheet1!$B$8:$IV$895,27,FALSE),0)</f>
        <v>9.35</v>
      </c>
      <c r="F18" s="295">
        <f t="shared" si="0"/>
        <v>45.088384000005824</v>
      </c>
      <c r="G18" s="295">
        <f t="shared" si="1"/>
        <v>45.088384000005824</v>
      </c>
      <c r="H18" s="293">
        <f ca="1">IF(MONTH(A18)=MONTH($E$1),VLOOKUP(A18,Calculation!$B$8:$IV$881,138,FALSE),0)</f>
        <v>-1.081</v>
      </c>
      <c r="I18" s="605">
        <f ca="1">IF(MONTH(A18)=MONTH($E$1),VLOOKUP(A18,'Calculations II'!$B$8:$IV$891,14,FALSE),0)</f>
        <v>0.64163532058138195</v>
      </c>
      <c r="J18" s="605">
        <f t="shared" ca="1" si="2"/>
        <v>-0.43936467941861801</v>
      </c>
      <c r="K18" s="610">
        <f ca="1">IF(MONTH(A18)=MONTH($E$1),VLOOKUP(A18,'Calculations II'!$B$8:$IV$891,67,FALSE),0)</f>
        <v>0</v>
      </c>
      <c r="L18" s="619">
        <f>IF(MONTH(A18)=MONTH($E$1),VLOOKUP(A18,Sheet1!$B$8:$IV$895,65,FALSE),0)</f>
        <v>9.1999999999999993</v>
      </c>
      <c r="M18" s="57">
        <f>IF(MONTH(A18)=MONTH($E$1),VLOOKUP(A18,Sheet1!$B$8:$IV$895,93,FALSE),0)</f>
        <v>14.58</v>
      </c>
      <c r="N18" s="297">
        <f t="shared" ca="1" si="3"/>
        <v>29.919019320587211</v>
      </c>
      <c r="O18" s="297">
        <f t="shared" ca="1" si="4"/>
        <v>44.499019320587209</v>
      </c>
      <c r="P18" s="57">
        <f>IF(MONTH(A18)=MONTH($E$1),VLOOKUP(A18,Calculation!$B$8:$IV$881,34,FALSE),0)</f>
        <v>0</v>
      </c>
      <c r="Q18" s="294">
        <f>IF(MONTH(A18)=MONTH($E$1),VLOOKUP(A18,Calculation!$B$8:$IV$881,103,FALSE),0)</f>
        <v>0</v>
      </c>
      <c r="R18" s="298">
        <f t="shared" ca="1" si="5"/>
        <v>44.499019320587209</v>
      </c>
      <c r="S18" s="391">
        <f>IF(MONTH(A18)=MONTH($E$1),VLOOKUP(A18,Sheet1!$B$8:$IV$895,123,FALSE),0)</f>
        <v>0</v>
      </c>
      <c r="T18" s="356">
        <f>IF(MONTH(A18)=MONTH($E$1),VLOOKUP(A18,Sheet1!$B$8:$IV$895,124,FALSE),0)</f>
        <v>0</v>
      </c>
      <c r="U18"/>
      <c r="V18"/>
      <c r="Y18" s="57"/>
      <c r="Z18" s="57"/>
      <c r="AA18" s="57"/>
    </row>
    <row r="19" spans="1:27">
      <c r="A19" s="486">
        <f t="shared" si="6"/>
        <v>40858</v>
      </c>
      <c r="B19" s="292">
        <f>IF(MONTH(A19)=MONTH($E$1),VLOOKUP((A19),Sheet1!$B$8:$IV$895,11,FALSE),0)</f>
        <v>3.180000000000291</v>
      </c>
      <c r="C19" s="351">
        <f>IF(MONTH(A19)=MONTH($E$1),VLOOKUP(A19,'Calculations II'!$B$8:$IV$891,54,FALSE),0)</f>
        <v>0</v>
      </c>
      <c r="D19" s="294">
        <f>IF(MONTH(A19)=MONTH($E$1),VLOOKUP(A19,Sheet1!$B$8:$IV$895,26,FALSE),0)</f>
        <v>26.44</v>
      </c>
      <c r="E19" s="57">
        <f>IF(MONTH(A19)=MONTH($E$1),VLOOKUP(A19,Sheet1!$B$8:$IV$895,27,FALSE),0)</f>
        <v>18.899999999999999</v>
      </c>
      <c r="F19" s="295">
        <f t="shared" si="0"/>
        <v>45.34</v>
      </c>
      <c r="G19" s="295">
        <f t="shared" si="1"/>
        <v>45.34</v>
      </c>
      <c r="H19" s="293">
        <f ca="1">IF(MONTH(A19)=MONTH($E$1),VLOOKUP(A19,Calculation!$B$8:$IV$881,138,FALSE),0)</f>
        <v>-2.4424999999999999</v>
      </c>
      <c r="I19" s="605">
        <f ca="1">IF(MONTH(A19)=MONTH($E$1),VLOOKUP(A19,'Calculations II'!$B$8:$IV$891,14,FALSE),0)</f>
        <v>-0.57541280789816429</v>
      </c>
      <c r="J19" s="605">
        <f t="shared" ca="1" si="2"/>
        <v>-3.0179128078981643</v>
      </c>
      <c r="K19" s="610">
        <f ca="1">IF(MONTH(A19)=MONTH($E$1),VLOOKUP(A19,'Calculations II'!$B$8:$IV$891,67,FALSE),0)</f>
        <v>0</v>
      </c>
      <c r="L19" s="619">
        <f>IF(MONTH(A19)=MONTH($E$1),VLOOKUP(A19,Sheet1!$B$8:$IV$895,65,FALSE),0)</f>
        <v>18.7</v>
      </c>
      <c r="M19" s="57">
        <f>IF(MONTH(A19)=MONTH($E$1),VLOOKUP(A19,Sheet1!$B$8:$IV$895,93,FALSE),0)</f>
        <v>15.27</v>
      </c>
      <c r="N19" s="297">
        <f t="shared" ca="1" si="3"/>
        <v>26.852087192101838</v>
      </c>
      <c r="O19" s="297">
        <f t="shared" ca="1" si="4"/>
        <v>42.122087192101837</v>
      </c>
      <c r="P19" s="57">
        <f>IF(MONTH(A19)=MONTH($E$1),VLOOKUP(A19,Calculation!$B$8:$IV$881,34,FALSE),0)</f>
        <v>0</v>
      </c>
      <c r="Q19" s="294">
        <f>IF(MONTH(A19)=MONTH($E$1),VLOOKUP(A19,Calculation!$B$8:$IV$881,103,FALSE),0)</f>
        <v>0</v>
      </c>
      <c r="R19" s="298">
        <f t="shared" ca="1" si="5"/>
        <v>42.122087192101837</v>
      </c>
      <c r="S19" s="391">
        <f>IF(MONTH(A19)=MONTH($E$1),VLOOKUP(A19,Sheet1!$B$8:$IV$895,123,FALSE),0)</f>
        <v>0</v>
      </c>
      <c r="T19" s="356">
        <f>IF(MONTH(A19)=MONTH($E$1),VLOOKUP(A19,Sheet1!$B$8:$IV$895,124,FALSE),0)</f>
        <v>0</v>
      </c>
      <c r="U19"/>
      <c r="V19"/>
      <c r="Y19" s="57"/>
      <c r="Z19" s="57"/>
      <c r="AA19" s="57"/>
    </row>
    <row r="20" spans="1:27">
      <c r="A20" s="486">
        <f t="shared" si="6"/>
        <v>40859</v>
      </c>
      <c r="B20" s="292">
        <f>IF(MONTH(A20)=MONTH($E$1),VLOOKUP((A20),Sheet1!$B$8:$IV$895,11,FALSE),0)</f>
        <v>42.25</v>
      </c>
      <c r="C20" s="351">
        <f>IF(MONTH(A20)=MONTH($E$1),VLOOKUP(A20,'Calculations II'!$B$8:$IV$891,54,FALSE),0)</f>
        <v>0</v>
      </c>
      <c r="D20" s="294">
        <f>IF(MONTH(A20)=MONTH($E$1),VLOOKUP(A20,Sheet1!$B$8:$IV$895,26,FALSE),0)</f>
        <v>26.49</v>
      </c>
      <c r="E20" s="57">
        <f>IF(MONTH(A20)=MONTH($E$1),VLOOKUP(A20,Sheet1!$B$8:$IV$895,27,FALSE),0)</f>
        <v>19.079999999999998</v>
      </c>
      <c r="F20" s="295">
        <f t="shared" si="0"/>
        <v>45.569999999999993</v>
      </c>
      <c r="G20" s="295">
        <f t="shared" si="1"/>
        <v>45.569999999999993</v>
      </c>
      <c r="H20" s="293">
        <f ca="1">IF(MONTH(A20)=MONTH($E$1),VLOOKUP(A20,Calculation!$B$8:$IV$881,138,FALSE),0)</f>
        <v>0.54719999999999991</v>
      </c>
      <c r="I20" s="605">
        <f ca="1">IF(MONTH(A20)=MONTH($E$1),VLOOKUP(A20,'Calculations II'!$B$8:$IV$891,14,FALSE),0)</f>
        <v>0.9786907564307088</v>
      </c>
      <c r="J20" s="605">
        <f t="shared" ca="1" si="2"/>
        <v>1.5258907564307087</v>
      </c>
      <c r="K20" s="610">
        <f ca="1">IF(MONTH(A20)=MONTH($E$1),VLOOKUP(A20,'Calculations II'!$B$8:$IV$891,67,FALSE),0)</f>
        <v>0</v>
      </c>
      <c r="L20" s="619">
        <f>IF(MONTH(A20)=MONTH($E$1),VLOOKUP(A20,Sheet1!$B$8:$IV$895,65,FALSE),0)</f>
        <v>18.899999999999999</v>
      </c>
      <c r="M20" s="57">
        <f>IF(MONTH(A20)=MONTH($E$1),VLOOKUP(A20,Sheet1!$B$8:$IV$895,93,FALSE),0)</f>
        <v>16.600000000000001</v>
      </c>
      <c r="N20" s="297">
        <f t="shared" ca="1" si="3"/>
        <v>30.315890756430704</v>
      </c>
      <c r="O20" s="297">
        <f t="shared" ca="1" si="4"/>
        <v>46.915890756430706</v>
      </c>
      <c r="P20" s="57">
        <f>IF(MONTH(A20)=MONTH($E$1),VLOOKUP(A20,Calculation!$B$8:$IV$881,34,FALSE),0)</f>
        <v>0</v>
      </c>
      <c r="Q20" s="294">
        <f>IF(MONTH(A20)=MONTH($E$1),VLOOKUP(A20,Calculation!$B$8:$IV$881,103,FALSE),0)</f>
        <v>0</v>
      </c>
      <c r="R20" s="298">
        <f t="shared" ca="1" si="5"/>
        <v>46.915890756430706</v>
      </c>
      <c r="S20" s="391">
        <f>IF(MONTH(A20)=MONTH($E$1),VLOOKUP(A20,Sheet1!$B$8:$IV$895,123,FALSE),0)</f>
        <v>0</v>
      </c>
      <c r="T20" s="356">
        <f>IF(MONTH(A20)=MONTH($E$1),VLOOKUP(A20,Sheet1!$B$8:$IV$895,124,FALSE),0)</f>
        <v>0</v>
      </c>
      <c r="U20"/>
      <c r="V20"/>
      <c r="Y20" s="57"/>
      <c r="Z20" s="57"/>
      <c r="AA20" s="57"/>
    </row>
    <row r="21" spans="1:27">
      <c r="A21" s="486">
        <f t="shared" si="6"/>
        <v>40860</v>
      </c>
      <c r="B21" s="292">
        <f>IF(MONTH(A21)=MONTH($E$1),VLOOKUP((A21),Sheet1!$B$8:$IV$895,11,FALSE),0)</f>
        <v>41.050000000001091</v>
      </c>
      <c r="C21" s="351">
        <f>IF(MONTH(A21)=MONTH($E$1),VLOOKUP(A21,'Calculations II'!$B$8:$IV$891,54,FALSE),0)</f>
        <v>0</v>
      </c>
      <c r="D21" s="294">
        <f>IF(MONTH(A21)=MONTH($E$1),VLOOKUP(A21,Sheet1!$B$8:$IV$895,26,FALSE),0)</f>
        <v>26.970000000001164</v>
      </c>
      <c r="E21" s="57">
        <f>IF(MONTH(A21)=MONTH($E$1),VLOOKUP(A21,Sheet1!$B$8:$IV$895,27,FALSE),0)</f>
        <v>18.47</v>
      </c>
      <c r="F21" s="295">
        <f t="shared" si="0"/>
        <v>45.440000000001163</v>
      </c>
      <c r="G21" s="295">
        <f t="shared" si="1"/>
        <v>45.440000000001163</v>
      </c>
      <c r="H21" s="293">
        <f ca="1">IF(MONTH(A21)=MONTH($E$1),VLOOKUP(A21,Calculation!$B$8:$IV$881,138,FALSE),0)</f>
        <v>-0.54719999999999991</v>
      </c>
      <c r="I21" s="605">
        <f ca="1">IF(MONTH(A21)=MONTH($E$1),VLOOKUP(A21,'Calculations II'!$B$8:$IV$891,14,FALSE),0)</f>
        <v>-1.1828922961405244</v>
      </c>
      <c r="J21" s="605">
        <f t="shared" ca="1" si="2"/>
        <v>-1.7300922961405243</v>
      </c>
      <c r="K21" s="610">
        <f ca="1">IF(MONTH(A21)=MONTH($E$1),VLOOKUP(A21,'Calculations II'!$B$8:$IV$891,67,FALSE),0)</f>
        <v>0</v>
      </c>
      <c r="L21" s="619">
        <f>IF(MONTH(A21)=MONTH($E$1),VLOOKUP(A21,Sheet1!$B$8:$IV$895,65,FALSE),0)</f>
        <v>18.3</v>
      </c>
      <c r="M21" s="57">
        <f>IF(MONTH(A21)=MONTH($E$1),VLOOKUP(A21,Sheet1!$B$8:$IV$895,93,FALSE),0)</f>
        <v>16.36</v>
      </c>
      <c r="N21" s="297">
        <f t="shared" ca="1" si="3"/>
        <v>27.179907703860643</v>
      </c>
      <c r="O21" s="297">
        <f t="shared" ca="1" si="4"/>
        <v>43.539907703860642</v>
      </c>
      <c r="P21" s="57">
        <f>IF(MONTH(A21)=MONTH($E$1),VLOOKUP(A21,Calculation!$B$8:$IV$881,34,FALSE),0)</f>
        <v>0</v>
      </c>
      <c r="Q21" s="294">
        <f>IF(MONTH(A21)=MONTH($E$1),VLOOKUP(A21,Calculation!$B$8:$IV$881,103,FALSE),0)</f>
        <v>0</v>
      </c>
      <c r="R21" s="298">
        <f t="shared" ca="1" si="5"/>
        <v>43.539907703860642</v>
      </c>
      <c r="S21" s="391">
        <f>IF(MONTH(A21)=MONTH($E$1),VLOOKUP(A21,Sheet1!$B$8:$IV$895,123,FALSE),0)</f>
        <v>0</v>
      </c>
      <c r="T21" s="356">
        <f>IF(MONTH(A21)=MONTH($E$1),VLOOKUP(A21,Sheet1!$B$8:$IV$895,124,FALSE),0)</f>
        <v>0</v>
      </c>
      <c r="U21"/>
      <c r="V21"/>
      <c r="Y21" s="57"/>
      <c r="Z21" s="57"/>
      <c r="AA21" s="57"/>
    </row>
    <row r="22" spans="1:27">
      <c r="A22" s="486">
        <f t="shared" si="6"/>
        <v>40861</v>
      </c>
      <c r="B22" s="292">
        <f>IF(MONTH(A22)=MONTH($E$1),VLOOKUP((A22),Sheet1!$B$8:$IV$895,11,FALSE),0)</f>
        <v>36.420000000000073</v>
      </c>
      <c r="C22" s="351">
        <f>IF(MONTH(A22)=MONTH($E$1),VLOOKUP(A22,'Calculations II'!$B$8:$IV$891,54,FALSE),0)</f>
        <v>0</v>
      </c>
      <c r="D22" s="294">
        <f>IF(MONTH(A22)=MONTH($E$1),VLOOKUP(A22,Sheet1!$B$8:$IV$895,26,FALSE),0)</f>
        <v>26.74</v>
      </c>
      <c r="E22" s="57">
        <f>IF(MONTH(A22)=MONTH($E$1),VLOOKUP(A22,Sheet1!$B$8:$IV$895,27,FALSE),0)</f>
        <v>11.19</v>
      </c>
      <c r="F22" s="295">
        <f t="shared" si="0"/>
        <v>37.93</v>
      </c>
      <c r="G22" s="295">
        <f t="shared" si="1"/>
        <v>37.93</v>
      </c>
      <c r="H22" s="293">
        <f ca="1">IF(MONTH(A22)=MONTH($E$1),VLOOKUP(A22,Calculation!$B$8:$IV$881,138,FALSE),0)</f>
        <v>6.7597000000000005</v>
      </c>
      <c r="I22" s="605">
        <f ca="1">IF(MONTH(A22)=MONTH($E$1),VLOOKUP(A22,'Calculations II'!$B$8:$IV$891,14,FALSE),0)</f>
        <v>-0.7735391585622462</v>
      </c>
      <c r="J22" s="605">
        <f t="shared" ca="1" si="2"/>
        <v>5.9861608414377541</v>
      </c>
      <c r="K22" s="610">
        <f ca="1">IF(MONTH(A22)=MONTH($E$1),VLOOKUP(A22,'Calculations II'!$B$8:$IV$891,67,FALSE),0)</f>
        <v>0</v>
      </c>
      <c r="L22" s="619">
        <f>IF(MONTH(A22)=MONTH($E$1),VLOOKUP(A22,Sheet1!$B$8:$IV$895,65,FALSE),0)</f>
        <v>11.1</v>
      </c>
      <c r="M22" s="57">
        <f>IF(MONTH(A22)=MONTH($E$1),VLOOKUP(A22,Sheet1!$B$8:$IV$895,93,FALSE),0)</f>
        <v>16.5</v>
      </c>
      <c r="N22" s="297">
        <f t="shared" ca="1" si="3"/>
        <v>27.326160841437755</v>
      </c>
      <c r="O22" s="297">
        <f t="shared" ca="1" si="4"/>
        <v>43.826160841437755</v>
      </c>
      <c r="P22" s="57">
        <f>IF(MONTH(A22)=MONTH($E$1),VLOOKUP(A22,Calculation!$B$8:$IV$881,34,FALSE),0)</f>
        <v>0</v>
      </c>
      <c r="Q22" s="294">
        <f>IF(MONTH(A22)=MONTH($E$1),VLOOKUP(A22,Calculation!$B$8:$IV$881,103,FALSE),0)</f>
        <v>0</v>
      </c>
      <c r="R22" s="298">
        <f t="shared" ca="1" si="5"/>
        <v>43.826160841437755</v>
      </c>
      <c r="S22" s="391">
        <f>IF(MONTH(A22)=MONTH($E$1),VLOOKUP(A22,Sheet1!$B$8:$IV$895,123,FALSE),0)</f>
        <v>0</v>
      </c>
      <c r="T22" s="850">
        <f>IF(MONTH(A22)=MONTH($E$1),VLOOKUP(A22,Sheet1!$B$8:$IV$895,124,FALSE),0)</f>
        <v>0</v>
      </c>
      <c r="U22"/>
      <c r="V22"/>
      <c r="Y22" s="57"/>
      <c r="Z22" s="57"/>
      <c r="AA22" s="57"/>
    </row>
    <row r="23" spans="1:27">
      <c r="A23" s="486">
        <f t="shared" si="6"/>
        <v>40862</v>
      </c>
      <c r="B23" s="292">
        <f>IF(MONTH(A23)=MONTH($E$1),VLOOKUP((A23),Sheet1!$B$8:$IV$895,11,FALSE),0)</f>
        <v>35.339999999998327</v>
      </c>
      <c r="C23" s="351">
        <f>IF(MONTH(A23)=MONTH($E$1),VLOOKUP(A23,'Calculations II'!$B$8:$IV$891,54,FALSE),0)</f>
        <v>2.3011200000000001</v>
      </c>
      <c r="D23" s="294">
        <f>IF(MONTH(A23)=MONTH($E$1),VLOOKUP(A23,Sheet1!$B$8:$IV$895,26,FALSE),0)</f>
        <v>26.399999999994179</v>
      </c>
      <c r="E23" s="57">
        <f>IF(MONTH(A23)=MONTH($E$1),VLOOKUP(A23,Sheet1!$B$8:$IV$895,27,FALSE),0)</f>
        <v>9.1299999999973807</v>
      </c>
      <c r="F23" s="295">
        <f t="shared" si="0"/>
        <v>37.831119999991557</v>
      </c>
      <c r="G23" s="295">
        <f t="shared" si="1"/>
        <v>37.831119999991557</v>
      </c>
      <c r="H23" s="293">
        <f ca="1">IF(MONTH(A23)=MONTH($E$1),VLOOKUP(A23,Calculation!$B$8:$IV$881,138,FALSE),0)</f>
        <v>5.3303000000000003</v>
      </c>
      <c r="I23" s="605">
        <f ca="1">IF(MONTH(A23)=MONTH($E$1),VLOOKUP(A23,'Calculations II'!$B$8:$IV$891,14,FALSE),0)</f>
        <v>1.2545835471883702</v>
      </c>
      <c r="J23" s="605">
        <f t="shared" ca="1" si="2"/>
        <v>6.5848835471883707</v>
      </c>
      <c r="K23" s="610">
        <f ca="1">IF(MONTH(A23)=MONTH($E$1),VLOOKUP(A23,'Calculations II'!$B$8:$IV$891,67,FALSE),0)</f>
        <v>0</v>
      </c>
      <c r="L23" s="619">
        <f>IF(MONTH(A23)=MONTH($E$1),VLOOKUP(A23,Sheet1!$B$8:$IV$895,65,FALSE),0)</f>
        <v>9.1</v>
      </c>
      <c r="M23" s="57">
        <f>IF(MONTH(A23)=MONTH($E$1),VLOOKUP(A23,Sheet1!$B$8:$IV$895,93,FALSE),0)</f>
        <v>15.99</v>
      </c>
      <c r="N23" s="297">
        <f t="shared" ca="1" si="3"/>
        <v>28.396003547182552</v>
      </c>
      <c r="O23" s="297">
        <f t="shared" ca="1" si="4"/>
        <v>44.386003547182554</v>
      </c>
      <c r="P23" s="57">
        <f>IF(MONTH(A23)=MONTH($E$1),VLOOKUP(A23,Calculation!$B$8:$IV$881,34,FALSE),0)</f>
        <v>0</v>
      </c>
      <c r="Q23" s="294">
        <f>IF(MONTH(A23)=MONTH($E$1),VLOOKUP(A23,Calculation!$B$8:$IV$881,103,FALSE),0)</f>
        <v>0</v>
      </c>
      <c r="R23" s="298">
        <f t="shared" ca="1" si="5"/>
        <v>44.386003547182554</v>
      </c>
      <c r="S23" s="391">
        <f>IF(MONTH(A23)=MONTH($E$1),VLOOKUP(A23,Sheet1!$B$8:$IV$895,123,FALSE),0)</f>
        <v>0</v>
      </c>
      <c r="T23" s="850">
        <f>IF(MONTH(A23)=MONTH($E$1),VLOOKUP(A23,Sheet1!$B$8:$IV$895,124,FALSE),0)</f>
        <v>0</v>
      </c>
      <c r="U23"/>
      <c r="V23"/>
      <c r="Y23" s="57"/>
      <c r="Z23" s="57"/>
      <c r="AA23" s="57"/>
    </row>
    <row r="24" spans="1:27" ht="12" customHeight="1">
      <c r="A24" s="486">
        <f t="shared" si="6"/>
        <v>40863</v>
      </c>
      <c r="B24" s="292">
        <f>IF(MONTH(A24)=MONTH($E$1),VLOOKUP((A24),Sheet1!$B$8:$IV$895,11,FALSE),0)</f>
        <v>35.780000000000655</v>
      </c>
      <c r="C24" s="351">
        <f>IF(MONTH(A24)=MONTH($E$1),VLOOKUP(A24,'Calculations II'!$B$8:$IV$891,54,FALSE),0)</f>
        <v>9.1425600000000014</v>
      </c>
      <c r="D24" s="294">
        <f>IF(MONTH(A24)=MONTH($E$1),VLOOKUP(A24,Sheet1!$B$8:$IV$895,26,FALSE),0)</f>
        <v>26.779999999998836</v>
      </c>
      <c r="E24" s="57">
        <f>IF(MONTH(A24)=MONTH($E$1),VLOOKUP(A24,Sheet1!$B$8:$IV$895,27,FALSE),0)</f>
        <v>9.2699999999967986</v>
      </c>
      <c r="F24" s="295">
        <f t="shared" si="0"/>
        <v>45.192559999995638</v>
      </c>
      <c r="G24" s="295">
        <f t="shared" si="1"/>
        <v>45.192559999995638</v>
      </c>
      <c r="H24" s="293">
        <f ca="1">IF(MONTH(A24)=MONTH($E$1),VLOOKUP(A24,Calculation!$B$8:$IV$881,138,FALSE),0)</f>
        <v>-0.52699999999999991</v>
      </c>
      <c r="I24" s="605">
        <f ca="1">IF(MONTH(A24)=MONTH($E$1),VLOOKUP(A24,'Calculations II'!$B$8:$IV$891,14,FALSE),0)</f>
        <v>0.77632306362029357</v>
      </c>
      <c r="J24" s="605">
        <f t="shared" ca="1" si="2"/>
        <v>0.24932306362029366</v>
      </c>
      <c r="K24" s="610">
        <f ca="1">IF(MONTH(A24)=MONTH($E$1),VLOOKUP(A24,'Calculations II'!$B$8:$IV$891,67,FALSE),0)</f>
        <v>0</v>
      </c>
      <c r="L24" s="619">
        <f>IF(MONTH(A24)=MONTH($E$1),VLOOKUP(A24,Sheet1!$B$8:$IV$895,65,FALSE),0)</f>
        <v>9.1</v>
      </c>
      <c r="M24" s="57">
        <f>IF(MONTH(A24)=MONTH($E$1),VLOOKUP(A24,Sheet1!$B$8:$IV$895,93,FALSE),0)</f>
        <v>16</v>
      </c>
      <c r="N24" s="297">
        <f t="shared" ca="1" si="3"/>
        <v>29.271883063619136</v>
      </c>
      <c r="O24" s="297">
        <f t="shared" ca="1" si="4"/>
        <v>45.271883063619136</v>
      </c>
      <c r="P24" s="57">
        <f>IF(MONTH(A24)=MONTH($E$1),VLOOKUP(A24,Calculation!$B$8:$IV$881,34,FALSE),0)</f>
        <v>0</v>
      </c>
      <c r="Q24" s="294">
        <f>IF(MONTH(A24)=MONTH($E$1),VLOOKUP(A24,Calculation!$B$8:$IV$881,103,FALSE),0)</f>
        <v>0</v>
      </c>
      <c r="R24" s="298">
        <f t="shared" ca="1" si="5"/>
        <v>45.271883063619136</v>
      </c>
      <c r="S24" s="391">
        <f>IF(MONTH(A24)=MONTH($E$1),VLOOKUP(A24,Sheet1!$B$8:$IV$895,123,FALSE),0)</f>
        <v>0</v>
      </c>
      <c r="T24" s="356">
        <f>IF(MONTH(A24)=MONTH($E$1),VLOOKUP(A24,Sheet1!$B$8:$IV$895,124,FALSE),0)</f>
        <v>0</v>
      </c>
      <c r="U24"/>
      <c r="V24"/>
      <c r="Y24" s="57"/>
      <c r="Z24" s="57"/>
      <c r="AA24" s="57"/>
    </row>
    <row r="25" spans="1:27">
      <c r="A25" s="486">
        <f t="shared" si="6"/>
        <v>40864</v>
      </c>
      <c r="B25" s="292">
        <f>IF(MONTH(A25)=MONTH($E$1),VLOOKUP((A25),Sheet1!$B$8:$IV$895,11,FALSE),0)</f>
        <v>34.850000000000364</v>
      </c>
      <c r="C25" s="351">
        <f>IF(MONTH(A25)=MONTH($E$1),VLOOKUP(A25,'Calculations II'!$B$8:$IV$891,54,FALSE),0)</f>
        <v>10.521936</v>
      </c>
      <c r="D25" s="294">
        <f>IF(MONTH(A25)=MONTH($E$1),VLOOKUP(A25,Sheet1!$B$8:$IV$895,26,FALSE),0)</f>
        <v>25.420000000012806</v>
      </c>
      <c r="E25" s="57">
        <f>IF(MONTH(A25)=MONTH($E$1),VLOOKUP(A25,Sheet1!$B$8:$IV$895,27,FALSE),0)</f>
        <v>9.1000000000058208</v>
      </c>
      <c r="F25" s="295">
        <f t="shared" si="0"/>
        <v>45.041936000018623</v>
      </c>
      <c r="G25" s="295">
        <f t="shared" si="1"/>
        <v>45.041936000018623</v>
      </c>
      <c r="H25" s="293">
        <f ca="1">IF(MONTH(A25)=MONTH($E$1),VLOOKUP(A25,Calculation!$B$8:$IV$881,138,FALSE),0)</f>
        <v>-2.9356</v>
      </c>
      <c r="I25" s="605">
        <f ca="1">IF(MONTH(A25)=MONTH($E$1),VLOOKUP(A25,'Calculations II'!$B$8:$IV$891,14,FALSE),0)</f>
        <v>0.42465692575536151</v>
      </c>
      <c r="J25" s="605">
        <f t="shared" ca="1" si="2"/>
        <v>-2.5109430742446386</v>
      </c>
      <c r="K25" s="610">
        <f ca="1">IF(MONTH(A25)=MONTH($E$1),VLOOKUP(A25,'Calculations II'!$B$8:$IV$891,67,FALSE),0)</f>
        <v>0</v>
      </c>
      <c r="L25" s="619">
        <f>IF(MONTH(A25)=MONTH($E$1),VLOOKUP(A25,Sheet1!$B$8:$IV$895,65,FALSE),0)</f>
        <v>9.0299999999999994</v>
      </c>
      <c r="M25" s="57">
        <f>IF(MONTH(A25)=MONTH($E$1),VLOOKUP(A25,Sheet1!$B$8:$IV$895,93,FALSE),0)</f>
        <v>15.76</v>
      </c>
      <c r="N25" s="297">
        <f t="shared" ca="1" si="3"/>
        <v>26.700992925768169</v>
      </c>
      <c r="O25" s="297">
        <f t="shared" ca="1" si="4"/>
        <v>42.460992925768167</v>
      </c>
      <c r="P25" s="57">
        <f>IF(MONTH(A25)=MONTH($E$1),VLOOKUP(A25,Calculation!$B$8:$IV$881,34,FALSE),0)</f>
        <v>0</v>
      </c>
      <c r="Q25" s="294">
        <f>IF(MONTH(A25)=MONTH($E$1),VLOOKUP(A25,Calculation!$B$8:$IV$881,103,FALSE),0)</f>
        <v>0</v>
      </c>
      <c r="R25" s="298">
        <f t="shared" ca="1" si="5"/>
        <v>42.460992925768167</v>
      </c>
      <c r="S25" s="391">
        <f>IF(MONTH(A25)=MONTH($E$1),VLOOKUP(A25,Sheet1!$B$8:$IV$895,123,FALSE),0)</f>
        <v>0</v>
      </c>
      <c r="T25" s="356">
        <f>IF(MONTH(A25)=MONTH($E$1),VLOOKUP(A25,Sheet1!$B$8:$IV$895,124,FALSE),0)</f>
        <v>0</v>
      </c>
      <c r="U25"/>
      <c r="V25"/>
      <c r="Y25" s="57"/>
      <c r="Z25" s="57"/>
      <c r="AA25" s="57"/>
    </row>
    <row r="26" spans="1:27">
      <c r="A26" s="486">
        <f t="shared" si="6"/>
        <v>40865</v>
      </c>
      <c r="B26" s="292">
        <f>IF(MONTH(A26)=MONTH($E$1),VLOOKUP((A26),Sheet1!$B$8:$IV$895,11,FALSE),0)</f>
        <v>29.770000000000437</v>
      </c>
      <c r="C26" s="351">
        <f>IF(MONTH(A26)=MONTH($E$1),VLOOKUP(A26,'Calculations II'!$B$8:$IV$891,54,FALSE),0)</f>
        <v>10.501344000000001</v>
      </c>
      <c r="D26" s="294">
        <f>IF(MONTH(A26)=MONTH($E$1),VLOOKUP(A26,Sheet1!$B$8:$IV$895,26,FALSE),0)</f>
        <v>26</v>
      </c>
      <c r="E26" s="57">
        <f>IF(MONTH(A26)=MONTH($E$1),VLOOKUP(A26,Sheet1!$B$8:$IV$895,27,FALSE),0)</f>
        <v>9.0399999999999991</v>
      </c>
      <c r="F26" s="295">
        <f t="shared" si="0"/>
        <v>45.266169253664039</v>
      </c>
      <c r="G26" s="295">
        <f t="shared" si="1"/>
        <v>45.541344000000002</v>
      </c>
      <c r="H26" s="293">
        <f ca="1">IF(MONTH(A26)=MONTH($E$1),VLOOKUP(A26,Calculation!$B$8:$IV$881,138,FALSE),0)</f>
        <v>-0.2666</v>
      </c>
      <c r="I26" s="605">
        <f ca="1">IF(MONTH(A26)=MONTH($E$1),VLOOKUP(A26,'Calculations II'!$B$8:$IV$891,14,FALSE),0)</f>
        <v>1.3594030502525887</v>
      </c>
      <c r="J26" s="605">
        <f t="shared" ca="1" si="2"/>
        <v>1.0928030502525887</v>
      </c>
      <c r="K26" s="610">
        <f ca="1">IF(MONTH(A26)=MONTH($E$1),VLOOKUP(A26,'Calculations II'!$B$8:$IV$891,67,FALSE),0)</f>
        <v>0</v>
      </c>
      <c r="L26" s="619">
        <f>IF(MONTH(A26)=MONTH($E$1),VLOOKUP(A26,Sheet1!$B$8:$IV$895,65,FALSE),0)</f>
        <v>8.6</v>
      </c>
      <c r="M26" s="57">
        <f>IF(MONTH(A26)=MONTH($E$1),VLOOKUP(A26,Sheet1!$B$8:$IV$895,93,FALSE),0)</f>
        <v>16.829999999999998</v>
      </c>
      <c r="N26" s="297">
        <f t="shared" ca="1" si="3"/>
        <v>29.364147050252598</v>
      </c>
      <c r="O26" s="297">
        <f t="shared" ca="1" si="4"/>
        <v>46.194147050252596</v>
      </c>
      <c r="P26" s="57">
        <f>IF(MONTH(A26)=MONTH($E$1),VLOOKUP(A26,Calculation!$B$8:$IV$881,34,FALSE),0)</f>
        <v>0</v>
      </c>
      <c r="Q26" s="294">
        <f>IF(MONTH(A26)=MONTH($E$1),VLOOKUP(A26,Calculation!$B$8:$IV$881,103,FALSE),0)</f>
        <v>0.27517474633596395</v>
      </c>
      <c r="R26" s="298">
        <f t="shared" ca="1" si="5"/>
        <v>46.469321796588559</v>
      </c>
      <c r="S26" s="391">
        <f>IF(MONTH(A26)=MONTH($E$1),VLOOKUP(A26,Sheet1!$B$8:$IV$895,123,FALSE),0)</f>
        <v>0</v>
      </c>
      <c r="T26" s="850">
        <f>IF(MONTH(A26)=MONTH($E$1),VLOOKUP(A26,Sheet1!$B$8:$IV$895,124,FALSE),0)</f>
        <v>0</v>
      </c>
      <c r="U26"/>
      <c r="V26"/>
      <c r="Y26" s="57"/>
      <c r="Z26" s="57"/>
      <c r="AA26" s="57"/>
    </row>
    <row r="27" spans="1:27">
      <c r="A27" s="486">
        <f t="shared" si="6"/>
        <v>40866</v>
      </c>
      <c r="B27" s="292">
        <f>IF(MONTH(A27)=MONTH($E$1),VLOOKUP((A27),Sheet1!$B$8:$IV$895,11,FALSE),0)</f>
        <v>12.389999999999418</v>
      </c>
      <c r="C27" s="351">
        <f>IF(MONTH(A27)=MONTH($E$1),VLOOKUP(A27,'Calculations II'!$B$8:$IV$891,54,FALSE),0)</f>
        <v>14.346576000000001</v>
      </c>
      <c r="D27" s="294">
        <f>IF(MONTH(A27)=MONTH($E$1),VLOOKUP(A27,Sheet1!$B$8:$IV$895,26,FALSE),0)</f>
        <v>25.299999999988358</v>
      </c>
      <c r="E27" s="57">
        <f>IF(MONTH(A27)=MONTH($E$1),VLOOKUP(A27,Sheet1!$B$8:$IV$895,27,FALSE),0)</f>
        <v>8.8000000000000007</v>
      </c>
      <c r="F27" s="295">
        <f t="shared" si="0"/>
        <v>48.446575999988355</v>
      </c>
      <c r="G27" s="295">
        <f t="shared" si="1"/>
        <v>48.446575999988355</v>
      </c>
      <c r="H27" s="293">
        <f ca="1">IF(MONTH(A27)=MONTH($E$1),VLOOKUP(A27,Calculation!$B$8:$IV$881,138,FALSE),0)</f>
        <v>0.53370000000000006</v>
      </c>
      <c r="I27" s="605">
        <f ca="1">IF(MONTH(A27)=MONTH($E$1),VLOOKUP(A27,'Calculations II'!$B$8:$IV$891,14,FALSE),0)</f>
        <v>-2.6544069334220572</v>
      </c>
      <c r="J27" s="605">
        <f t="shared" ca="1" si="2"/>
        <v>-2.1207069334220572</v>
      </c>
      <c r="K27" s="610">
        <f ca="1">IF(MONTH(A27)=MONTH($E$1),VLOOKUP(A27,'Calculations II'!$B$8:$IV$891,67,FALSE),0)</f>
        <v>0</v>
      </c>
      <c r="L27" s="619">
        <f>IF(MONTH(A27)=MONTH($E$1),VLOOKUP(A27,Sheet1!$B$8:$IV$895,65,FALSE),0)</f>
        <v>8.6999999999999993</v>
      </c>
      <c r="M27" s="57">
        <f>IF(MONTH(A27)=MONTH($E$1),VLOOKUP(A27,Sheet1!$B$8:$IV$895,93,FALSE),0)</f>
        <v>16.78</v>
      </c>
      <c r="N27" s="297">
        <f t="shared" ca="1" si="3"/>
        <v>29.445869066566303</v>
      </c>
      <c r="O27" s="297">
        <f t="shared" ca="1" si="4"/>
        <v>46.225869066566304</v>
      </c>
      <c r="P27" s="57">
        <f>IF(MONTH(A27)=MONTH($E$1),VLOOKUP(A27,Calculation!$B$8:$IV$881,34,FALSE),0)</f>
        <v>0</v>
      </c>
      <c r="Q27" s="294">
        <f>IF(MONTH(A27)=MONTH($E$1),VLOOKUP(A27,Calculation!$B$8:$IV$881,103,FALSE),0)</f>
        <v>0</v>
      </c>
      <c r="R27" s="298">
        <f t="shared" ca="1" si="5"/>
        <v>46.225869066566304</v>
      </c>
      <c r="S27" s="391">
        <f>IF(MONTH(A27)=MONTH($E$1),VLOOKUP(A27,Sheet1!$B$8:$IV$895,123,FALSE),0)</f>
        <v>0</v>
      </c>
      <c r="T27" s="850">
        <f>IF(MONTH(A27)=MONTH($E$1),VLOOKUP(A27,Sheet1!$B$8:$IV$895,124,FALSE),0)</f>
        <v>0</v>
      </c>
      <c r="U27"/>
      <c r="V27"/>
      <c r="Y27" s="57"/>
      <c r="Z27" s="57"/>
      <c r="AA27" s="57"/>
    </row>
    <row r="28" spans="1:27">
      <c r="A28" s="486">
        <f t="shared" si="6"/>
        <v>40867</v>
      </c>
      <c r="B28" s="292">
        <f>IF(MONTH(A28)=MONTH($E$1),VLOOKUP((A28),Sheet1!$B$8:$IV$895,11,FALSE),0)</f>
        <v>25.639999999999418</v>
      </c>
      <c r="C28" s="351">
        <f>IF(MONTH(A28)=MONTH($E$1),VLOOKUP(A28,'Calculations II'!$B$8:$IV$891,54,FALSE),0)</f>
        <v>11.716848000000001</v>
      </c>
      <c r="D28" s="294">
        <f>IF(MONTH(A28)=MONTH($E$1),VLOOKUP(A28,Sheet1!$B$8:$IV$895,26,FALSE),0)</f>
        <v>25.350000000005821</v>
      </c>
      <c r="E28" s="57">
        <f>IF(MONTH(A28)=MONTH($E$1),VLOOKUP(A28,Sheet1!$B$8:$IV$895,27,FALSE),0)</f>
        <v>8.82</v>
      </c>
      <c r="F28" s="295">
        <f t="shared" si="0"/>
        <v>45.88684800000582</v>
      </c>
      <c r="G28" s="295">
        <f t="shared" si="1"/>
        <v>45.88684800000582</v>
      </c>
      <c r="H28" s="293">
        <f ca="1">IF(MONTH(A28)=MONTH($E$1),VLOOKUP(A28,Calculation!$B$8:$IV$881,138,FALSE),0)</f>
        <v>-1.6011</v>
      </c>
      <c r="I28" s="605">
        <f ca="1">IF(MONTH(A28)=MONTH($E$1),VLOOKUP(A28,'Calculations II'!$B$8:$IV$891,14,FALSE),0)</f>
        <v>2.1687301563375918</v>
      </c>
      <c r="J28" s="605">
        <f t="shared" ca="1" si="2"/>
        <v>0.56763015633759184</v>
      </c>
      <c r="K28" s="610">
        <f ca="1">IF(MONTH(A28)=MONTH($E$1),VLOOKUP(A28,'Calculations II'!$B$8:$IV$891,67,FALSE),0)</f>
        <v>0</v>
      </c>
      <c r="L28" s="619">
        <f>IF(MONTH(A28)=MONTH($E$1),VLOOKUP(A28,Sheet1!$B$8:$IV$895,65,FALSE),0)</f>
        <v>8.6999999999999993</v>
      </c>
      <c r="M28" s="57">
        <f>IF(MONTH(A28)=MONTH($E$1),VLOOKUP(A28,Sheet1!$B$8:$IV$895,93,FALSE),0)</f>
        <v>17.760000000000002</v>
      </c>
      <c r="N28" s="297">
        <f t="shared" ca="1" si="3"/>
        <v>28.574478156343407</v>
      </c>
      <c r="O28" s="297">
        <f t="shared" ca="1" si="4"/>
        <v>46.334478156343408</v>
      </c>
      <c r="P28" s="57">
        <f>IF(MONTH(A28)=MONTH($E$1),VLOOKUP(A28,Calculation!$B$8:$IV$881,34,FALSE),0)</f>
        <v>0</v>
      </c>
      <c r="Q28" s="294">
        <f>IF(MONTH(A28)=MONTH($E$1),VLOOKUP(A28,Calculation!$B$8:$IV$881,103,FALSE),0)</f>
        <v>0</v>
      </c>
      <c r="R28" s="298">
        <f t="shared" ca="1" si="5"/>
        <v>46.334478156343408</v>
      </c>
      <c r="S28" s="391">
        <f>IF(MONTH(A28)=MONTH($E$1),VLOOKUP(A28,Sheet1!$B$8:$IV$895,123,FALSE),0)</f>
        <v>0</v>
      </c>
      <c r="T28" s="356">
        <f>IF(MONTH(A28)=MONTH($E$1),VLOOKUP(A28,Sheet1!$B$8:$IV$895,124,FALSE),0)</f>
        <v>0</v>
      </c>
      <c r="U28"/>
      <c r="V28"/>
      <c r="Y28" s="57"/>
      <c r="Z28" s="57"/>
      <c r="AA28" s="57"/>
    </row>
    <row r="29" spans="1:27">
      <c r="A29" s="486">
        <f t="shared" si="6"/>
        <v>40868</v>
      </c>
      <c r="B29" s="292">
        <f>IF(MONTH(A29)=MONTH($E$1),VLOOKUP((A29),Sheet1!$B$8:$IV$895,11,FALSE),0)</f>
        <v>3.8600000000005821</v>
      </c>
      <c r="C29" s="351">
        <f>IF(MONTH(A29)=MONTH($E$1),VLOOKUP(A29,'Calculations II'!$B$8:$IV$891,54,FALSE),0)</f>
        <v>6.2812800000000006</v>
      </c>
      <c r="D29" s="294">
        <f>IF(MONTH(A29)=MONTH($E$1),VLOOKUP(A29,Sheet1!$B$8:$IV$895,26,FALSE),0)</f>
        <v>26.320000000006985</v>
      </c>
      <c r="E29" s="57">
        <f>IF(MONTH(A29)=MONTH($E$1),VLOOKUP(A29,Sheet1!$B$8:$IV$895,27,FALSE),0)</f>
        <v>17.040000000000873</v>
      </c>
      <c r="F29" s="295">
        <f t="shared" si="0"/>
        <v>45.608913587793914</v>
      </c>
      <c r="G29" s="295">
        <f t="shared" si="1"/>
        <v>49.64128000000786</v>
      </c>
      <c r="H29" s="293">
        <f ca="1">IF(MONTH(A29)=MONTH($E$1),VLOOKUP(A29,Calculation!$B$8:$IV$881,138,FALSE),0)</f>
        <v>1.6011</v>
      </c>
      <c r="I29" s="605">
        <f ca="1">IF(MONTH(A29)=MONTH($E$1),VLOOKUP(A29,'Calculations II'!$B$8:$IV$891,14,FALSE),0)</f>
        <v>-1.3414988051385608</v>
      </c>
      <c r="J29" s="605">
        <f t="shared" ca="1" si="2"/>
        <v>0.25960119486143918</v>
      </c>
      <c r="K29" s="610">
        <f ca="1">IF(MONTH(A29)=MONTH($E$1),VLOOKUP(A29,'Calculations II'!$B$8:$IV$891,67,FALSE),0)</f>
        <v>0</v>
      </c>
      <c r="L29" s="619">
        <f>IF(MONTH(A29)=MONTH($E$1),VLOOKUP(A29,Sheet1!$B$8:$IV$895,65,FALSE),0)</f>
        <v>13</v>
      </c>
      <c r="M29" s="57">
        <f>IF(MONTH(A29)=MONTH($E$1),VLOOKUP(A29,Sheet1!$B$8:$IV$895,93,FALSE),0)</f>
        <v>17.22</v>
      </c>
      <c r="N29" s="297">
        <f t="shared" ca="1" si="3"/>
        <v>28.640881194868427</v>
      </c>
      <c r="O29" s="297">
        <f t="shared" ca="1" si="4"/>
        <v>45.860881194868426</v>
      </c>
      <c r="P29" s="57">
        <f>IF(MONTH(A29)=MONTH($E$1),VLOOKUP(A29,Calculation!$B$8:$IV$881,34,FALSE),0)</f>
        <v>0</v>
      </c>
      <c r="Q29" s="294">
        <f>IF(MONTH(A29)=MONTH($E$1),VLOOKUP(A29,Calculation!$B$8:$IV$881,103,FALSE),0)</f>
        <v>4.0323664122139471</v>
      </c>
      <c r="R29" s="298">
        <f t="shared" ca="1" si="5"/>
        <v>49.893247607082372</v>
      </c>
      <c r="S29" s="391">
        <f>IF(MONTH(A29)=MONTH($E$1),VLOOKUP(A29,Sheet1!$B$8:$IV$895,123,FALSE),0)</f>
        <v>0</v>
      </c>
      <c r="T29" s="356">
        <f>IF(MONTH(A29)=MONTH($E$1),VLOOKUP(A29,Sheet1!$B$8:$IV$895,124,FALSE),0)</f>
        <v>0</v>
      </c>
      <c r="U29"/>
      <c r="V29"/>
      <c r="Y29" s="57"/>
      <c r="Z29" s="57"/>
      <c r="AA29" s="57"/>
    </row>
    <row r="30" spans="1:27">
      <c r="A30" s="486">
        <f t="shared" si="6"/>
        <v>40869</v>
      </c>
      <c r="B30" s="292">
        <f>IF(MONTH(A30)=MONTH($E$1),VLOOKUP((A30),Sheet1!$B$8:$IV$895,11,FALSE),0)</f>
        <v>25.479999999999563</v>
      </c>
      <c r="C30" s="351">
        <f>IF(MONTH(A30)=MONTH($E$1),VLOOKUP(A30,'Calculations II'!$B$8:$IV$891,54,FALSE),0)</f>
        <v>0</v>
      </c>
      <c r="D30" s="294">
        <f>IF(MONTH(A30)=MONTH($E$1),VLOOKUP(A30,Sheet1!$B$8:$IV$895,26,FALSE),0)</f>
        <v>27.68</v>
      </c>
      <c r="E30" s="57">
        <f>IF(MONTH(A30)=MONTH($E$1),VLOOKUP(A30,Sheet1!$B$8:$IV$895,27,FALSE),0)</f>
        <v>23.08</v>
      </c>
      <c r="F30" s="295">
        <f t="shared" si="0"/>
        <v>46.035671447196869</v>
      </c>
      <c r="G30" s="295">
        <f t="shared" si="1"/>
        <v>50.76</v>
      </c>
      <c r="H30" s="293">
        <f ca="1">IF(MONTH(A30)=MONTH($E$1),VLOOKUP(A30,Calculation!$B$8:$IV$881,138,FALSE),0)</f>
        <v>-0.53370000000000006</v>
      </c>
      <c r="I30" s="605">
        <f ca="1">IF(MONTH(A30)=MONTH($E$1),VLOOKUP(A30,'Calculations II'!$B$8:$IV$891,14,FALSE),0)</f>
        <v>-0.92169807568930207</v>
      </c>
      <c r="J30" s="605">
        <f t="shared" ca="1" si="2"/>
        <v>-1.4553980756893021</v>
      </c>
      <c r="K30" s="610">
        <f ca="1">IF(MONTH(A30)=MONTH($E$1),VLOOKUP(A30,'Calculations II'!$B$8:$IV$891,67,FALSE),0)</f>
        <v>0</v>
      </c>
      <c r="L30" s="619">
        <f>IF(MONTH(A30)=MONTH($E$1),VLOOKUP(A30,Sheet1!$B$8:$IV$895,65,FALSE),0)</f>
        <v>18.3</v>
      </c>
      <c r="M30" s="57">
        <f>IF(MONTH(A30)=MONTH($E$1),VLOOKUP(A30,Sheet1!$B$8:$IV$895,93,FALSE),0)</f>
        <v>17.02</v>
      </c>
      <c r="N30" s="297">
        <f t="shared" ca="1" si="3"/>
        <v>27.504601924310702</v>
      </c>
      <c r="O30" s="297">
        <f t="shared" ca="1" si="4"/>
        <v>44.524601924310701</v>
      </c>
      <c r="P30" s="57">
        <f>IF(MONTH(A30)=MONTH($E$1),VLOOKUP(A30,Calculation!$B$8:$IV$881,34,FALSE),0)</f>
        <v>0</v>
      </c>
      <c r="Q30" s="294">
        <f>IF(MONTH(A30)=MONTH($E$1),VLOOKUP(A30,Calculation!$B$8:$IV$881,103,FALSE),0)</f>
        <v>4.7243285528031285</v>
      </c>
      <c r="R30" s="298">
        <f t="shared" ca="1" si="5"/>
        <v>49.248930477113831</v>
      </c>
      <c r="S30" s="391">
        <f>IF(MONTH(A30)=MONTH($E$1),VLOOKUP(A30,Sheet1!$B$8:$IV$895,123,FALSE),0)</f>
        <v>0</v>
      </c>
      <c r="T30" s="356">
        <f>IF(MONTH(A30)=MONTH($E$1),VLOOKUP(A30,Sheet1!$B$8:$IV$895,124,FALSE),0)</f>
        <v>0</v>
      </c>
      <c r="U30"/>
      <c r="V30"/>
      <c r="Y30" s="57"/>
      <c r="Z30" s="57"/>
      <c r="AA30" s="57"/>
    </row>
    <row r="31" spans="1:27">
      <c r="A31" s="486">
        <f t="shared" si="6"/>
        <v>40870</v>
      </c>
      <c r="B31" s="292">
        <f>IF(MONTH(A31)=MONTH($E$1),VLOOKUP((A31),Sheet1!$B$8:$IV$895,11,FALSE),0)</f>
        <v>45.409999999999854</v>
      </c>
      <c r="C31" s="351">
        <f>IF(MONTH(A31)=MONTH($E$1),VLOOKUP(A31,'Calculations II'!$B$8:$IV$891,54,FALSE),0)</f>
        <v>0</v>
      </c>
      <c r="D31" s="294">
        <f>IF(MONTH(A31)=MONTH($E$1),VLOOKUP(A31,Sheet1!$B$8:$IV$895,26,FALSE),0)</f>
        <v>26.99</v>
      </c>
      <c r="E31" s="57">
        <f>IF(MONTH(A31)=MONTH($E$1),VLOOKUP(A31,Sheet1!$B$8:$IV$895,27,FALSE),0)</f>
        <v>18.819999999999709</v>
      </c>
      <c r="F31" s="295">
        <f t="shared" si="0"/>
        <v>45.809999999999704</v>
      </c>
      <c r="G31" s="295">
        <f t="shared" si="1"/>
        <v>45.809999999999704</v>
      </c>
      <c r="H31" s="293">
        <f ca="1">IF(MONTH(A31)=MONTH($E$1),VLOOKUP(A31,Calculation!$B$8:$IV$881,138,FALSE),0)</f>
        <v>0.53370000000000006</v>
      </c>
      <c r="I31" s="605">
        <f ca="1">IF(MONTH(A31)=MONTH($E$1),VLOOKUP(A31,'Calculations II'!$B$8:$IV$891,14,FALSE),0)</f>
        <v>1.5811649656464519</v>
      </c>
      <c r="J31" s="605">
        <f t="shared" ca="1" si="2"/>
        <v>2.114864965646452</v>
      </c>
      <c r="K31" s="610">
        <f ca="1">IF(MONTH(A31)=MONTH($E$1),VLOOKUP(A31,'Calculations II'!$B$8:$IV$891,67,FALSE),0)</f>
        <v>0</v>
      </c>
      <c r="L31" s="619">
        <f>IF(MONTH(A31)=MONTH($E$1),VLOOKUP(A31,Sheet1!$B$8:$IV$895,65,FALSE),0)</f>
        <v>18.8</v>
      </c>
      <c r="M31" s="57">
        <f>IF(MONTH(A31)=MONTH($E$1),VLOOKUP(A31,Sheet1!$B$8:$IV$895,93,FALSE),0)</f>
        <v>17.87</v>
      </c>
      <c r="N31" s="297">
        <f t="shared" ca="1" si="3"/>
        <v>30.034864965646452</v>
      </c>
      <c r="O31" s="297">
        <f t="shared" ca="1" si="4"/>
        <v>47.904864965646453</v>
      </c>
      <c r="P31" s="57">
        <f>IF(MONTH(A31)=MONTH($E$1),VLOOKUP(A31,Calculation!$B$8:$IV$881,34,FALSE),0)</f>
        <v>0</v>
      </c>
      <c r="Q31" s="294">
        <f>IF(MONTH(A31)=MONTH($E$1),VLOOKUP(A31,Calculation!$B$8:$IV$881,103,FALSE),0)</f>
        <v>0</v>
      </c>
      <c r="R31" s="298">
        <f t="shared" ca="1" si="5"/>
        <v>47.904864965646453</v>
      </c>
      <c r="S31" s="391">
        <f>IF(MONTH(A31)=MONTH($E$1),VLOOKUP(A31,Sheet1!$B$8:$IV$895,123,FALSE),0)</f>
        <v>0</v>
      </c>
      <c r="T31" s="356">
        <f>IF(MONTH(A31)=MONTH($E$1),VLOOKUP(A31,Sheet1!$B$8:$IV$895,124,FALSE),0)</f>
        <v>0</v>
      </c>
      <c r="U31"/>
      <c r="V31"/>
      <c r="Y31" s="57"/>
      <c r="Z31" s="57"/>
      <c r="AA31" s="57"/>
    </row>
    <row r="32" spans="1:27">
      <c r="A32" s="486">
        <f t="shared" si="6"/>
        <v>40871</v>
      </c>
      <c r="B32" s="292">
        <f>IF(MONTH(A32)=MONTH($E$1),VLOOKUP((A32),Sheet1!$B$8:$IV$895,11,FALSE),0)</f>
        <v>45.079999999999927</v>
      </c>
      <c r="C32" s="351">
        <f>IF(MONTH(A32)=MONTH($E$1),VLOOKUP(A32,'Calculations II'!$B$8:$IV$891,54,FALSE),0)</f>
        <v>0</v>
      </c>
      <c r="D32" s="294">
        <f>IF(MONTH(A32)=MONTH($E$1),VLOOKUP(A32,Sheet1!$B$8:$IV$895,26,FALSE),0)</f>
        <v>26.830000000001746</v>
      </c>
      <c r="E32" s="57">
        <f>IF(MONTH(A32)=MONTH($E$1),VLOOKUP(A32,Sheet1!$B$8:$IV$895,27,FALSE),0)</f>
        <v>19</v>
      </c>
      <c r="F32" s="295">
        <f t="shared" si="0"/>
        <v>45.830000000001746</v>
      </c>
      <c r="G32" s="295">
        <f t="shared" si="1"/>
        <v>45.830000000001746</v>
      </c>
      <c r="H32" s="293">
        <f ca="1">IF(MONTH(A32)=MONTH($E$1),VLOOKUP(A32,Calculation!$B$8:$IV$881,138,FALSE),0)</f>
        <v>0</v>
      </c>
      <c r="I32" s="605">
        <f ca="1">IF(MONTH(A32)=MONTH($E$1),VLOOKUP(A32,'Calculations II'!$B$8:$IV$891,14,FALSE),0)</f>
        <v>-0.4447742970252615</v>
      </c>
      <c r="J32" s="605">
        <f t="shared" ca="1" si="2"/>
        <v>-0.4447742970252615</v>
      </c>
      <c r="K32" s="610">
        <f ca="1">IF(MONTH(A32)=MONTH($E$1),VLOOKUP(A32,'Calculations II'!$B$8:$IV$891,67,FALSE),0)</f>
        <v>0</v>
      </c>
      <c r="L32" s="619">
        <f>IF(MONTH(A32)=MONTH($E$1),VLOOKUP(A32,Sheet1!$B$8:$IV$895,65,FALSE),0)</f>
        <v>18.899999999999999</v>
      </c>
      <c r="M32" s="57">
        <f>IF(MONTH(A32)=MONTH($E$1),VLOOKUP(A32,Sheet1!$B$8:$IV$895,93,FALSE),0)</f>
        <v>17.29</v>
      </c>
      <c r="N32" s="297">
        <f t="shared" ca="1" si="3"/>
        <v>27.995225702976484</v>
      </c>
      <c r="O32" s="297">
        <f t="shared" ca="1" si="4"/>
        <v>45.285225702976483</v>
      </c>
      <c r="P32" s="57">
        <f>IF(MONTH(A32)=MONTH($E$1),VLOOKUP(A32,Calculation!$B$8:$IV$881,34,FALSE),0)</f>
        <v>0</v>
      </c>
      <c r="Q32" s="294">
        <f>IF(MONTH(A32)=MONTH($E$1),VLOOKUP(A32,Calculation!$B$8:$IV$881,103,FALSE),0)</f>
        <v>0</v>
      </c>
      <c r="R32" s="298">
        <f t="shared" ca="1" si="5"/>
        <v>45.285225702976483</v>
      </c>
      <c r="S32" s="391">
        <f>IF(MONTH(A32)=MONTH($E$1),VLOOKUP(A32,Sheet1!$B$8:$IV$895,123,FALSE),0)</f>
        <v>0</v>
      </c>
      <c r="T32" s="356">
        <f>IF(MONTH(A32)=MONTH($E$1),VLOOKUP(A32,Sheet1!$B$8:$IV$895,124,FALSE),0)</f>
        <v>0</v>
      </c>
      <c r="U32"/>
      <c r="V32"/>
      <c r="Y32" s="57"/>
      <c r="Z32" s="57"/>
      <c r="AA32" s="57"/>
    </row>
    <row r="33" spans="1:28">
      <c r="A33" s="486">
        <f t="shared" si="6"/>
        <v>40872</v>
      </c>
      <c r="B33" s="292">
        <f>IF(MONTH(A33)=MONTH($E$1),VLOOKUP((A33),Sheet1!$B$8:$IV$895,11,FALSE),0)</f>
        <v>44.659999999999854</v>
      </c>
      <c r="C33" s="351">
        <f>IF(MONTH(A33)=MONTH($E$1),VLOOKUP(A33,'Calculations II'!$B$8:$IV$891,54,FALSE),0)</f>
        <v>0</v>
      </c>
      <c r="D33" s="294">
        <f>IF(MONTH(A33)=MONTH($E$1),VLOOKUP(A33,Sheet1!$B$8:$IV$895,26,FALSE),0)</f>
        <v>26.470000000001164</v>
      </c>
      <c r="E33" s="57">
        <f>IF(MONTH(A33)=MONTH($E$1),VLOOKUP(A33,Sheet1!$B$8:$IV$895,27,FALSE),0)</f>
        <v>18.900000000001455</v>
      </c>
      <c r="F33" s="295">
        <f t="shared" si="0"/>
        <v>45.370000000002619</v>
      </c>
      <c r="G33" s="295">
        <f t="shared" si="1"/>
        <v>45.370000000002619</v>
      </c>
      <c r="H33" s="293">
        <f ca="1">IF(MONTH(A33)=MONTH($E$1),VLOOKUP(A33,Calculation!$B$8:$IV$881,138,FALSE),0)</f>
        <v>-2.1348000000000003</v>
      </c>
      <c r="I33" s="605">
        <f ca="1">IF(MONTH(A33)=MONTH($E$1),VLOOKUP(A33,'Calculations II'!$B$8:$IV$891,14,FALSE),0)</f>
        <v>-0.53572751854911149</v>
      </c>
      <c r="J33" s="605">
        <f t="shared" ca="1" si="2"/>
        <v>-2.670527518549112</v>
      </c>
      <c r="K33" s="610">
        <f ca="1">IF(MONTH(A33)=MONTH($E$1),VLOOKUP(A33,'Calculations II'!$B$8:$IV$891,67,FALSE),0)</f>
        <v>0</v>
      </c>
      <c r="L33" s="619">
        <f>IF(MONTH(A33)=MONTH($E$1),VLOOKUP(A33,Sheet1!$B$8:$IV$895,65,FALSE),0)</f>
        <v>18.899999999999999</v>
      </c>
      <c r="M33" s="57">
        <f>IF(MONTH(A33)=MONTH($E$1),VLOOKUP(A33,Sheet1!$B$8:$IV$895,93,FALSE),0)</f>
        <v>17.38</v>
      </c>
      <c r="N33" s="297">
        <f t="shared" ca="1" si="3"/>
        <v>25.319472481452049</v>
      </c>
      <c r="O33" s="297">
        <f t="shared" ca="1" si="4"/>
        <v>42.699472481452048</v>
      </c>
      <c r="P33" s="57">
        <f>IF(MONTH(A33)=MONTH($E$1),VLOOKUP(A33,Calculation!$B$8:$IV$881,34,FALSE),0)</f>
        <v>0</v>
      </c>
      <c r="Q33" s="294">
        <f>IF(MONTH(A33)=MONTH($E$1),VLOOKUP(A33,Calculation!$B$8:$IV$881,103,FALSE),0)</f>
        <v>0</v>
      </c>
      <c r="R33" s="298">
        <f t="shared" ca="1" si="5"/>
        <v>42.699472481452048</v>
      </c>
      <c r="S33" s="391">
        <f>IF(MONTH(A33)=MONTH($E$1),VLOOKUP(A33,Sheet1!$B$8:$IV$895,123,FALSE),0)</f>
        <v>0</v>
      </c>
      <c r="T33" s="356">
        <f>IF(MONTH(A33)=MONTH($E$1),VLOOKUP(A33,Sheet1!$B$8:$IV$895,124,FALSE),0)</f>
        <v>0</v>
      </c>
      <c r="U33"/>
      <c r="V33"/>
      <c r="Y33" s="57"/>
      <c r="Z33" s="57"/>
      <c r="AA33" s="57"/>
    </row>
    <row r="34" spans="1:28">
      <c r="A34" s="486">
        <f t="shared" si="6"/>
        <v>40873</v>
      </c>
      <c r="B34" s="292">
        <f>IF(MONTH(A34)=MONTH($E$1),VLOOKUP((A34),Sheet1!$B$8:$IV$895,11,FALSE),0)</f>
        <v>23.150000000001455</v>
      </c>
      <c r="C34" s="351">
        <f>IF(MONTH(A34)=MONTH($E$1),VLOOKUP(A34,'Calculations II'!$B$8:$IV$891,54,FALSE),0)</f>
        <v>0</v>
      </c>
      <c r="D34" s="294">
        <f>IF(MONTH(A34)=MONTH($E$1),VLOOKUP(A34,Sheet1!$B$8:$IV$895,26,FALSE),0)</f>
        <v>26.30000000000291</v>
      </c>
      <c r="E34" s="57">
        <f>IF(MONTH(A34)=MONTH($E$1),VLOOKUP(A34,Sheet1!$B$8:$IV$895,27,FALSE),0)</f>
        <v>21.19999999999709</v>
      </c>
      <c r="F34" s="295">
        <f t="shared" si="0"/>
        <v>44.491419141914605</v>
      </c>
      <c r="G34" s="295">
        <f t="shared" si="1"/>
        <v>47.5</v>
      </c>
      <c r="H34" s="293">
        <f ca="1">IF(MONTH(A34)=MONTH($E$1),VLOOKUP(A34,Calculation!$B$8:$IV$881,138,FALSE),0)</f>
        <v>0.53370000000000006</v>
      </c>
      <c r="I34" s="605">
        <f ca="1">IF(MONTH(A34)=MONTH($E$1),VLOOKUP(A34,'Calculations II'!$B$8:$IV$891,14,FALSE),0)</f>
        <v>1.3917806467192277</v>
      </c>
      <c r="J34" s="605">
        <f t="shared" ca="1" si="2"/>
        <v>1.9254806467192278</v>
      </c>
      <c r="K34" s="610">
        <f ca="1">IF(MONTH(A34)=MONTH($E$1),VLOOKUP(A34,'Calculations II'!$B$8:$IV$891,67,FALSE),0)</f>
        <v>0</v>
      </c>
      <c r="L34" s="619">
        <f>IF(MONTH(A34)=MONTH($E$1),VLOOKUP(A34,Sheet1!$B$8:$IV$895,65,FALSE),0)</f>
        <v>18.2</v>
      </c>
      <c r="M34" s="57">
        <f>IF(MONTH(A34)=MONTH($E$1),VLOOKUP(A34,Sheet1!$B$8:$IV$895,93,FALSE),0)</f>
        <v>17.23</v>
      </c>
      <c r="N34" s="297">
        <f t="shared" ca="1" si="3"/>
        <v>29.195480646722135</v>
      </c>
      <c r="O34" s="297">
        <f t="shared" ca="1" si="4"/>
        <v>46.425480646722136</v>
      </c>
      <c r="P34" s="57">
        <f>IF(MONTH(A34)=MONTH($E$1),VLOOKUP(A34,Calculation!$B$8:$IV$881,34,FALSE),0)</f>
        <v>0</v>
      </c>
      <c r="Q34" s="294">
        <f>IF(MONTH(A34)=MONTH($E$1),VLOOKUP(A34,Calculation!$B$8:$IV$881,103,FALSE),0)</f>
        <v>3.0085808580853954</v>
      </c>
      <c r="R34" s="298">
        <f t="shared" ca="1" si="5"/>
        <v>49.434061504807531</v>
      </c>
      <c r="S34" s="391">
        <f>IF(MONTH(A34)=MONTH($E$1),VLOOKUP(A34,Sheet1!$B$8:$IV$895,123,FALSE),0)</f>
        <v>0</v>
      </c>
      <c r="T34" s="356">
        <f>IF(MONTH(A34)=MONTH($E$1),VLOOKUP(A34,Sheet1!$B$8:$IV$895,124,FALSE),0)</f>
        <v>0</v>
      </c>
      <c r="U34"/>
      <c r="V34"/>
      <c r="Y34" s="57"/>
      <c r="Z34" s="57"/>
      <c r="AA34" s="57"/>
    </row>
    <row r="35" spans="1:28">
      <c r="A35" s="486">
        <f t="shared" si="6"/>
        <v>40874</v>
      </c>
      <c r="B35" s="292">
        <f>IF(MONTH(A35)=MONTH($E$1),VLOOKUP((A35),Sheet1!$B$8:$IV$895,11,FALSE),0)</f>
        <v>15.829999999999927</v>
      </c>
      <c r="C35" s="351">
        <f>IF(MONTH(A35)=MONTH($E$1),VLOOKUP(A35,'Calculations II'!$B$8:$IV$891,54,FALSE),0)</f>
        <v>0</v>
      </c>
      <c r="D35" s="294">
        <f>IF(MONTH(A35)=MONTH($E$1),VLOOKUP(A35,Sheet1!$B$8:$IV$895,26,FALSE),0)</f>
        <v>27.279999999998836</v>
      </c>
      <c r="E35" s="57">
        <f>IF(MONTH(A35)=MONTH($E$1),VLOOKUP(A35,Sheet1!$B$8:$IV$895,27,FALSE),0)</f>
        <v>24.100000000005821</v>
      </c>
      <c r="F35" s="295">
        <f t="shared" si="0"/>
        <v>45.392734864303833</v>
      </c>
      <c r="G35" s="295">
        <f t="shared" si="1"/>
        <v>51.380000000004657</v>
      </c>
      <c r="H35" s="293">
        <f ca="1">IF(MONTH(A35)=MONTH($E$1),VLOOKUP(A35,Calculation!$B$8:$IV$881,138,FALSE),0)</f>
        <v>0.5333</v>
      </c>
      <c r="I35" s="605">
        <f ca="1">IF(MONTH(A35)=MONTH($E$1),VLOOKUP(A35,'Calculations II'!$B$8:$IV$891,14,FALSE),0)</f>
        <v>-1.8371101828320298</v>
      </c>
      <c r="J35" s="605">
        <f t="shared" ca="1" si="2"/>
        <v>-1.3038101828320299</v>
      </c>
      <c r="K35" s="623">
        <f ca="1">IF(MONTH(A35)=MONTH($E$1),VLOOKUP(A35,'Calculations II'!$B$8:$IV$891,67,FALSE),0)</f>
        <v>0</v>
      </c>
      <c r="L35" s="619">
        <f>IF(MONTH(A35)=MONTH($E$1),VLOOKUP(A35,Sheet1!$B$8:$IV$895,65,FALSE),0)</f>
        <v>18</v>
      </c>
      <c r="M35" s="57">
        <f>IF(MONTH(A35)=MONTH($E$1),VLOOKUP(A35,Sheet1!$B$8:$IV$895,93,FALSE),0)</f>
        <v>17.04</v>
      </c>
      <c r="N35" s="297">
        <f t="shared" ca="1" si="3"/>
        <v>26.936189817166806</v>
      </c>
      <c r="O35" s="297">
        <f t="shared" ca="1" si="4"/>
        <v>43.976189817166805</v>
      </c>
      <c r="P35" s="57">
        <f>IF(MONTH(A35)=MONTH($E$1),VLOOKUP(A35,Calculation!$B$8:$IV$881,34,FALSE),0)</f>
        <v>0</v>
      </c>
      <c r="Q35" s="294">
        <f>IF(MONTH(A35)=MONTH($E$1),VLOOKUP(A35,Calculation!$B$8:$IV$881,103,FALSE),0)</f>
        <v>5.9872651357008202</v>
      </c>
      <c r="R35" s="298">
        <f t="shared" ca="1" si="5"/>
        <v>49.963454952867622</v>
      </c>
      <c r="S35" s="391">
        <f>IF(MONTH(A35)=MONTH($E$1),VLOOKUP(A35,Sheet1!$B$8:$IV$895,123,FALSE),0)</f>
        <v>0</v>
      </c>
      <c r="T35" s="356">
        <f>IF(MONTH(A35)=MONTH($E$1),VLOOKUP(A35,Sheet1!$B$8:$IV$895,124,FALSE),0)</f>
        <v>0</v>
      </c>
      <c r="U35"/>
      <c r="V35"/>
      <c r="Y35" s="57"/>
      <c r="Z35" s="57"/>
      <c r="AA35" s="57"/>
    </row>
    <row r="36" spans="1:28">
      <c r="A36" s="486">
        <f t="shared" si="6"/>
        <v>40875</v>
      </c>
      <c r="B36" s="292">
        <f>IF(MONTH(A36)=MONTH($E$1),VLOOKUP((A36),Sheet1!$B$8:$IV$895,11,FALSE),0)</f>
        <v>44.889999999999418</v>
      </c>
      <c r="C36" s="351">
        <f>IF(MONTH(A36)=MONTH($E$1),VLOOKUP(A36,'Calculations II'!$B$8:$IV$891,54,FALSE),0)</f>
        <v>0</v>
      </c>
      <c r="D36" s="294">
        <f>IF(MONTH(A36)=MONTH($E$1),VLOOKUP(A36,Sheet1!$B$8:$IV$895,26,FALSE),0)</f>
        <v>25.919999999998254</v>
      </c>
      <c r="E36" s="57">
        <f>IF(MONTH(A36)=MONTH($E$1),VLOOKUP(A36,Sheet1!$B$8:$IV$895,27,FALSE),0)</f>
        <v>18.379999999997381</v>
      </c>
      <c r="F36" s="295">
        <f t="shared" si="0"/>
        <v>44.299999999995634</v>
      </c>
      <c r="G36" s="295">
        <f t="shared" si="1"/>
        <v>44.299999999995634</v>
      </c>
      <c r="H36" s="293">
        <f ca="1">IF(MONTH(A36)=MONTH($E$1),VLOOKUP(A36,Calculation!$B$8:$IV$881,138,FALSE),0)</f>
        <v>0</v>
      </c>
      <c r="I36" s="605">
        <f ca="1">IF(MONTH(A36)=MONTH($E$1),VLOOKUP(A36,'Calculations II'!$B$8:$IV$891,14,FALSE),0)</f>
        <v>-2.482093815785013E-2</v>
      </c>
      <c r="J36" s="605">
        <f t="shared" ca="1" si="2"/>
        <v>-2.482093815785013E-2</v>
      </c>
      <c r="K36" s="623">
        <f ca="1">IF(MONTH(A36)=MONTH($E$1),VLOOKUP(A36,'Calculations II'!$B$8:$IV$891,67,FALSE),0)</f>
        <v>0</v>
      </c>
      <c r="L36" s="619">
        <f>IF(MONTH(A36)=MONTH($E$1),VLOOKUP(A36,Sheet1!$B$8:$IV$895,65,FALSE),0)</f>
        <v>18.8</v>
      </c>
      <c r="M36" s="57">
        <f>IF(MONTH(A36)=MONTH($E$1),VLOOKUP(A36,Sheet1!$B$8:$IV$895,93,FALSE),0)</f>
        <v>16.32</v>
      </c>
      <c r="N36" s="297">
        <f t="shared" ca="1" si="3"/>
        <v>28.375179061840406</v>
      </c>
      <c r="O36" s="297">
        <f t="shared" ca="1" si="4"/>
        <v>44.695179061840406</v>
      </c>
      <c r="P36" s="57">
        <f>IF(MONTH(A36)=MONTH($E$1),VLOOKUP(A36,Calculation!$B$8:$IV$881,34,FALSE),0)</f>
        <v>0</v>
      </c>
      <c r="Q36" s="294">
        <f>IF(MONTH(A36)=MONTH($E$1),VLOOKUP(A36,Calculation!$B$8:$IV$881,103,FALSE),0)</f>
        <v>0</v>
      </c>
      <c r="R36" s="298">
        <f t="shared" ca="1" si="5"/>
        <v>44.695179061840406</v>
      </c>
      <c r="S36" s="391">
        <f>IF(MONTH(A36)=MONTH($E$1),VLOOKUP(A36,Sheet1!$B$8:$IV$895,123,FALSE),0)</f>
        <v>0</v>
      </c>
      <c r="T36" s="356">
        <f>IF(MONTH(A36)=MONTH($E$1),VLOOKUP(A36,Sheet1!$B$8:$IV$895,124,FALSE),0)</f>
        <v>0</v>
      </c>
      <c r="U36"/>
      <c r="V36"/>
      <c r="Y36" s="57"/>
      <c r="Z36" s="57"/>
      <c r="AA36" s="57"/>
    </row>
    <row r="37" spans="1:28">
      <c r="A37" s="487">
        <f t="shared" si="6"/>
        <v>40876</v>
      </c>
      <c r="B37" s="292">
        <f>IF(MONTH(A37)=MONTH($E$1),VLOOKUP((A37),Sheet1!$B$8:$IV$895,11,FALSE),0)</f>
        <v>26</v>
      </c>
      <c r="C37" s="351">
        <f>IF(MONTH(A37)=MONTH($E$1),VLOOKUP(A37,'Calculations II'!$B$8:$IV$891,54,FALSE),0)</f>
        <v>0</v>
      </c>
      <c r="D37" s="294">
        <f>IF(MONTH(A37)=MONTH($E$1),VLOOKUP(A37,Sheet1!$B$8:$IV$895,26,FALSE),0)</f>
        <v>25.4</v>
      </c>
      <c r="E37" s="57">
        <f>IF(MONTH(A37)=MONTH($E$1),VLOOKUP(A37,Sheet1!$B$8:$IV$895,27,FALSE),0)</f>
        <v>19.170000000000002</v>
      </c>
      <c r="F37" s="295">
        <f t="shared" si="0"/>
        <v>44.57</v>
      </c>
      <c r="G37" s="295">
        <f t="shared" si="1"/>
        <v>44.57</v>
      </c>
      <c r="H37" s="293">
        <f ca="1">IF(MONTH(A37)=MONTH($E$1),VLOOKUP(A37,Calculation!$B$8:$IV$881,138,FALSE),0)</f>
        <v>0</v>
      </c>
      <c r="I37" s="605">
        <f ca="1">IF(MONTH(A37)=MONTH($E$1),VLOOKUP(A37,'Calculations II'!$B$8:$IV$891,14,FALSE),0)</f>
        <v>0.78307856846166923</v>
      </c>
      <c r="J37" s="605">
        <f t="shared" ca="1" si="2"/>
        <v>0.78307856846166923</v>
      </c>
      <c r="K37" s="623">
        <f ca="1">IF(MONTH(A37)=MONTH($E$1),VLOOKUP(A37,'Calculations II'!$B$8:$IV$891,67,FALSE),0)</f>
        <v>0</v>
      </c>
      <c r="L37" s="619">
        <f>IF(MONTH(A37)=MONTH($E$1),VLOOKUP(A37,Sheet1!$B$8:$IV$895,65,FALSE),0)</f>
        <v>18.899999999999999</v>
      </c>
      <c r="M37" s="57">
        <f>IF(MONTH(A37)=MONTH($E$1),VLOOKUP(A37,Sheet1!$B$8:$IV$895,93,FALSE),0)</f>
        <v>15.69</v>
      </c>
      <c r="N37" s="297">
        <f t="shared" ca="1" si="3"/>
        <v>29.393078568461668</v>
      </c>
      <c r="O37" s="297">
        <f t="shared" ca="1" si="4"/>
        <v>45.083078568461666</v>
      </c>
      <c r="P37" s="57">
        <f>IF(MONTH(A37)=MONTH($E$1),VLOOKUP(A37,Calculation!$B$8:$IV$881,34,FALSE),0)</f>
        <v>0</v>
      </c>
      <c r="Q37" s="294">
        <f>IF(MONTH(A37)=MONTH($E$1),VLOOKUP(A37,Calculation!$B$8:$IV$881,103,FALSE),0)</f>
        <v>0</v>
      </c>
      <c r="R37" s="298">
        <f t="shared" ca="1" si="5"/>
        <v>45.083078568461666</v>
      </c>
      <c r="S37" s="293">
        <f>IF(MONTH(A37)=MONTH($E$1),VLOOKUP(A37,Sheet1!$B$8:$IV$895,123,FALSE),0)</f>
        <v>0</v>
      </c>
      <c r="T37" s="356">
        <f>IF(MONTH(A37)=MONTH($E$1),VLOOKUP(A37,Sheet1!$B$8:$IV$895,124,FALSE),0)</f>
        <v>0</v>
      </c>
      <c r="U37"/>
      <c r="V37"/>
      <c r="Y37" s="57"/>
      <c r="Z37" s="57"/>
      <c r="AA37" s="57"/>
    </row>
    <row r="38" spans="1:28">
      <c r="A38" s="487">
        <f t="shared" si="6"/>
        <v>40877</v>
      </c>
      <c r="B38" s="292">
        <f>IF(MONTH(A38)=MONTH($E$1),VLOOKUP((A38),Sheet1!$B$8:$IV$895,11,FALSE),0)</f>
        <v>19.25</v>
      </c>
      <c r="C38" s="351">
        <f>IF(MONTH(A38)=MONTH($E$1),VLOOKUP(A38,'Calculations II'!$B$8:$IV$891,54,FALSE),0)</f>
        <v>0</v>
      </c>
      <c r="D38" s="294">
        <f>IF(MONTH(A38)=MONTH($E$1),VLOOKUP(A38,Sheet1!$B$8:$IV$895,26,FALSE),0)</f>
        <v>25.1</v>
      </c>
      <c r="E38" s="57">
        <f>IF(MONTH(A38)=MONTH($E$1),VLOOKUP(A38,Sheet1!$B$8:$IV$895,27,FALSE),0)</f>
        <v>19.329999999999998</v>
      </c>
      <c r="F38" s="295">
        <f t="shared" si="0"/>
        <v>44.43</v>
      </c>
      <c r="G38" s="295">
        <f t="shared" si="1"/>
        <v>44.43</v>
      </c>
      <c r="H38" s="293">
        <f ca="1">IF(MONTH(A38)=MONTH($E$1),VLOOKUP(A38,Calculation!$B$8:$IV$881,138,FALSE),0)</f>
        <v>-1.0670000000000002</v>
      </c>
      <c r="I38" s="605">
        <f ca="1">IF(MONTH(A38)=MONTH($E$1),VLOOKUP(A38,'Calculations II'!$B$8:$IV$891,14,FALSE),0)</f>
        <v>0.90599577014287158</v>
      </c>
      <c r="J38" s="605">
        <f t="shared" ca="1" si="2"/>
        <v>-0.16100422985712859</v>
      </c>
      <c r="K38" s="623">
        <f ca="1">IF(MONTH(A38)=MONTH($E$1),VLOOKUP(A38,'Calculations II'!$B$8:$IV$891,67,FALSE),0)</f>
        <v>0</v>
      </c>
      <c r="L38" s="619">
        <f>IF(MONTH(A38)=MONTH($E$1),VLOOKUP(A38,Sheet1!$B$8:$IV$895,65,FALSE),0)</f>
        <v>19.100000000000001</v>
      </c>
      <c r="M38" s="57">
        <f>IF(MONTH(A38)=MONTH($E$1),VLOOKUP(A38,Sheet1!$B$8:$IV$895,93,FALSE),0)</f>
        <v>16.170000000000002</v>
      </c>
      <c r="N38" s="297">
        <f t="shared" ca="1" si="3"/>
        <v>27.868995770142874</v>
      </c>
      <c r="O38" s="297">
        <f t="shared" ca="1" si="4"/>
        <v>44.038995770142876</v>
      </c>
      <c r="P38" s="57">
        <f>IF(MONTH(A38)=MONTH($E$1),VLOOKUP(A38,Calculation!$B$8:$IV$881,34,FALSE),0)</f>
        <v>0</v>
      </c>
      <c r="Q38" s="294">
        <f>IF(MONTH(A38)=MONTH($E$1),VLOOKUP(A38,Calculation!$B$8:$IV$881,103,FALSE),0)</f>
        <v>0</v>
      </c>
      <c r="R38" s="298">
        <f t="shared" ca="1" si="5"/>
        <v>44.038995770142876</v>
      </c>
      <c r="S38" s="293">
        <f>IF(MONTH(A38)=MONTH($E$1),VLOOKUP(A38,Sheet1!$B$8:$IV$895,123,FALSE),0)</f>
        <v>0</v>
      </c>
      <c r="T38" s="356"/>
      <c r="U38"/>
      <c r="V38"/>
      <c r="Y38" s="57"/>
      <c r="Z38" s="57"/>
      <c r="AA38" s="57"/>
    </row>
    <row r="39" spans="1:28" ht="13.5" thickBot="1">
      <c r="A39" s="488">
        <f t="shared" si="6"/>
        <v>40878</v>
      </c>
      <c r="B39" s="359">
        <f>IF(MONTH(A39)=MONTH($E$1),VLOOKUP((A39),Sheet1!$B$8:$IV$895,11,FALSE),0)</f>
        <v>0</v>
      </c>
      <c r="C39" s="352">
        <f>IF(MONTH(A39)=MONTH($E$1),VLOOKUP(A39,'Calculations II'!$B$8:$IV$891,54,FALSE),0)</f>
        <v>0</v>
      </c>
      <c r="D39" s="347">
        <f>IF(MONTH(A39)=MONTH($E$1),VLOOKUP(A39,Sheet1!$B$8:$IV$895,26,FALSE),0)</f>
        <v>0</v>
      </c>
      <c r="E39" s="58">
        <f>IF(MONTH(A39)=MONTH($E$1),VLOOKUP(A39,Sheet1!$B$8:$IV$895,27,FALSE),0)</f>
        <v>0</v>
      </c>
      <c r="F39" s="369">
        <f t="shared" si="0"/>
        <v>0</v>
      </c>
      <c r="G39" s="603">
        <f>C39+D39+E39</f>
        <v>0</v>
      </c>
      <c r="H39" s="392">
        <f>IF(MONTH(A39)=MONTH($E$1),VLOOKUP(A39,Calculation!$B$8:$IV$881,138,FALSE),0)</f>
        <v>0</v>
      </c>
      <c r="I39" s="606">
        <f>IF(MONTH(A39)=MONTH($E$1),VLOOKUP(A39,'Calculations II'!$B$8:$IV$891,14,FALSE),0)</f>
        <v>0</v>
      </c>
      <c r="J39" s="606">
        <f t="shared" si="2"/>
        <v>0</v>
      </c>
      <c r="K39" s="624">
        <f>IF(MONTH(A39)=MONTH($E$1),VLOOKUP(A39,'Calculations II'!$B$8:$IV$891,67,FALSE),0)</f>
        <v>0</v>
      </c>
      <c r="L39" s="620">
        <f>IF(MONTH(A39)=MONTH($E$1),VLOOKUP(A39,Sheet1!$B$8:$IV$895,65,FALSE),0)</f>
        <v>0</v>
      </c>
      <c r="M39" s="58">
        <f>IF(MONTH(A39)=MONTH($E$1),VLOOKUP(A39,Sheet1!$B$8:$IV$895,93,FALSE),0)</f>
        <v>0</v>
      </c>
      <c r="N39" s="615">
        <f t="shared" si="3"/>
        <v>0</v>
      </c>
      <c r="O39" s="615">
        <f t="shared" si="4"/>
        <v>0</v>
      </c>
      <c r="P39" s="58">
        <f>IF(MONTH(A39)=MONTH($E$1),VLOOKUP(A39,Calculation!$B$8:$IV$881,34,FALSE),0)</f>
        <v>0</v>
      </c>
      <c r="Q39" s="347">
        <f>IF(MONTH(A39)=MONTH($E$1),VLOOKUP(A39,Calculation!$B$8:$IV$881,103,FALSE),0)</f>
        <v>0</v>
      </c>
      <c r="R39" s="616">
        <f t="shared" si="5"/>
        <v>0</v>
      </c>
      <c r="S39" s="392">
        <f>IF(MONTH(A39)=MONTH($E$1),VLOOKUP(A39,Sheet1!$B$8:$IV$895,123,FALSE),0)</f>
        <v>0</v>
      </c>
      <c r="T39" s="357"/>
      <c r="U39"/>
      <c r="V39"/>
      <c r="Y39" s="57"/>
      <c r="Z39" s="57"/>
      <c r="AA39" s="57"/>
    </row>
    <row r="40" spans="1:28" ht="13.5" thickTop="1">
      <c r="A40" s="384" t="s">
        <v>468</v>
      </c>
      <c r="B40" s="360"/>
      <c r="C40" s="350"/>
      <c r="D40" s="59"/>
      <c r="E40" s="55"/>
      <c r="F40" s="367"/>
      <c r="G40" s="368"/>
      <c r="H40" s="55"/>
      <c r="I40" s="607"/>
      <c r="J40" s="607"/>
      <c r="K40" s="611"/>
      <c r="L40" s="56"/>
      <c r="M40" s="55"/>
      <c r="N40" s="398"/>
      <c r="O40" s="398"/>
      <c r="P40" s="55"/>
      <c r="Q40" s="59"/>
      <c r="R40" s="298"/>
      <c r="S40" s="382"/>
      <c r="T40" s="375"/>
      <c r="U40"/>
      <c r="V40"/>
      <c r="Y40" s="57"/>
      <c r="Z40" s="57"/>
      <c r="AA40" s="57"/>
    </row>
    <row r="41" spans="1:28">
      <c r="A41" s="385" t="s">
        <v>175</v>
      </c>
      <c r="B41" s="489">
        <f>SUM(B9:B39)</f>
        <v>773.01000000000022</v>
      </c>
      <c r="C41" s="490">
        <f>SUM(C9:C39)</f>
        <v>75.650976</v>
      </c>
      <c r="D41" s="491">
        <f t="shared" ref="D41:S41" si="7">SUM(D9:D39)</f>
        <v>792.19000000000995</v>
      </c>
      <c r="E41" s="492">
        <f t="shared" si="7"/>
        <v>499.67999999999824</v>
      </c>
      <c r="F41" s="493">
        <f t="shared" si="7"/>
        <v>1343.6912088898498</v>
      </c>
      <c r="G41" s="494">
        <f t="shared" si="7"/>
        <v>1367.520976000008</v>
      </c>
      <c r="H41" s="490">
        <f t="shared" ca="1" si="7"/>
        <v>9.7691000000000034</v>
      </c>
      <c r="I41" s="496">
        <f t="shared" ca="1" si="7"/>
        <v>2.556516386241479</v>
      </c>
      <c r="J41" s="496">
        <f t="shared" ca="1" si="7"/>
        <v>12.325616386241482</v>
      </c>
      <c r="K41" s="612">
        <f t="shared" ca="1" si="7"/>
        <v>0</v>
      </c>
      <c r="L41" s="621">
        <f t="shared" si="7"/>
        <v>471.83</v>
      </c>
      <c r="M41" s="492">
        <f t="shared" si="7"/>
        <v>492.61000000000007</v>
      </c>
      <c r="N41" s="300">
        <f t="shared" ca="1" si="7"/>
        <v>859.38659238625132</v>
      </c>
      <c r="O41" s="495">
        <f t="shared" ca="1" si="7"/>
        <v>1351.9965923862515</v>
      </c>
      <c r="P41" s="496">
        <f t="shared" si="7"/>
        <v>0</v>
      </c>
      <c r="Q41" s="491">
        <f t="shared" si="7"/>
        <v>23.829767110157963</v>
      </c>
      <c r="R41" s="301">
        <f t="shared" ca="1" si="7"/>
        <v>1375.8263594964094</v>
      </c>
      <c r="S41" s="497">
        <f t="shared" si="7"/>
        <v>0</v>
      </c>
      <c r="T41" s="376"/>
      <c r="U41"/>
      <c r="V41"/>
      <c r="Y41" s="57"/>
      <c r="Z41" s="57"/>
      <c r="AA41" s="57"/>
    </row>
    <row r="42" spans="1:28">
      <c r="A42" s="299" t="s">
        <v>226</v>
      </c>
      <c r="B42" s="370"/>
      <c r="C42" s="371"/>
      <c r="D42" s="372"/>
      <c r="E42" s="373"/>
      <c r="F42" s="393"/>
      <c r="G42" s="394"/>
      <c r="H42" s="371"/>
      <c r="I42" s="395"/>
      <c r="J42" s="395"/>
      <c r="K42" s="613"/>
      <c r="L42" s="373"/>
      <c r="M42" s="373"/>
      <c r="N42" s="302"/>
      <c r="O42" s="302"/>
      <c r="P42" s="395"/>
      <c r="Q42" s="372"/>
      <c r="R42" s="303"/>
      <c r="S42" s="396"/>
      <c r="T42" s="397"/>
      <c r="U42"/>
      <c r="V42"/>
      <c r="Y42" s="57"/>
      <c r="Z42" s="57"/>
      <c r="AA42" s="57"/>
    </row>
    <row r="43" spans="1:28" ht="13.5" thickBot="1">
      <c r="A43" s="601" t="s">
        <v>227</v>
      </c>
      <c r="B43" s="377">
        <f>IF(SUM(B9:B39)=0,0,SUM(B9:B39)/COUNTIF($G9:$G39,"&lt;&gt;0"))</f>
        <v>25.767000000000007</v>
      </c>
      <c r="C43" s="378">
        <f t="shared" ref="C43:S43" si="8">IF(SUM(C9:C39)=0,0,SUM(C9:C39)/COUNTIF($G9:$G39,"&lt;&gt;0"))</f>
        <v>2.5216992</v>
      </c>
      <c r="D43" s="379">
        <f t="shared" si="8"/>
        <v>26.406333333333667</v>
      </c>
      <c r="E43" s="380">
        <f t="shared" si="8"/>
        <v>16.655999999999942</v>
      </c>
      <c r="F43" s="304">
        <f t="shared" si="8"/>
        <v>44.789706962994991</v>
      </c>
      <c r="G43" s="305">
        <f t="shared" si="8"/>
        <v>45.584032533333598</v>
      </c>
      <c r="H43" s="378">
        <f t="shared" ca="1" si="8"/>
        <v>0.3256366666666668</v>
      </c>
      <c r="I43" s="390">
        <f t="shared" ca="1" si="8"/>
        <v>8.5217212874715967E-2</v>
      </c>
      <c r="J43" s="390">
        <f t="shared" ca="1" si="8"/>
        <v>0.41085387954138269</v>
      </c>
      <c r="K43" s="614">
        <f t="shared" ca="1" si="8"/>
        <v>0</v>
      </c>
      <c r="L43" s="622">
        <f t="shared" si="8"/>
        <v>15.727666666666666</v>
      </c>
      <c r="M43" s="380">
        <f t="shared" si="8"/>
        <v>16.420333333333335</v>
      </c>
      <c r="N43" s="306">
        <f t="shared" ca="1" si="8"/>
        <v>28.646219746208377</v>
      </c>
      <c r="O43" s="389">
        <f t="shared" ca="1" si="8"/>
        <v>45.066553079541713</v>
      </c>
      <c r="P43" s="390">
        <f t="shared" si="8"/>
        <v>0</v>
      </c>
      <c r="Q43" s="379">
        <f t="shared" si="8"/>
        <v>0.79432557033859874</v>
      </c>
      <c r="R43" s="307">
        <f t="shared" ca="1" si="8"/>
        <v>45.860878649880313</v>
      </c>
      <c r="S43" s="388">
        <f t="shared" si="8"/>
        <v>0</v>
      </c>
      <c r="T43" s="602"/>
      <c r="U43"/>
      <c r="V43"/>
      <c r="Y43" s="57"/>
      <c r="Z43" s="57"/>
      <c r="AA43" s="57"/>
    </row>
    <row r="44" spans="1:28" ht="8.25" customHeight="1">
      <c r="A44" s="53"/>
      <c r="B44" s="53"/>
      <c r="C44" s="53"/>
      <c r="D44" s="53"/>
      <c r="E44" s="343"/>
      <c r="F44" s="343"/>
      <c r="G44" s="343"/>
      <c r="H44" s="53"/>
      <c r="I44" s="53"/>
      <c r="J44" s="53"/>
      <c r="K44" s="53"/>
      <c r="L44" s="53"/>
      <c r="M44" s="53"/>
      <c r="N44" s="53"/>
      <c r="O44" s="53"/>
      <c r="P44" s="53"/>
      <c r="Q44" s="53"/>
      <c r="R44" s="53"/>
      <c r="S44" s="53"/>
      <c r="T44" s="53"/>
      <c r="U44"/>
      <c r="V44"/>
      <c r="Y44" s="55"/>
      <c r="Z44" s="55"/>
      <c r="AA44" s="55"/>
    </row>
    <row r="45" spans="1:28" ht="6" customHeight="1" thickBot="1"/>
    <row r="46" spans="1:28" ht="13.5" thickBot="1">
      <c r="A46" s="309" t="s">
        <v>471</v>
      </c>
      <c r="B46" s="310"/>
      <c r="C46" s="310"/>
      <c r="D46" s="310"/>
      <c r="E46" s="310"/>
      <c r="F46" s="311" t="s">
        <v>176</v>
      </c>
      <c r="G46" s="312" t="s">
        <v>177</v>
      </c>
      <c r="H46" s="51"/>
      <c r="I46" s="51"/>
      <c r="J46" s="51"/>
      <c r="K46" s="313" t="s">
        <v>472</v>
      </c>
      <c r="L46" s="314"/>
      <c r="M46" s="314"/>
      <c r="N46" s="314"/>
      <c r="O46" s="314"/>
      <c r="P46" s="314"/>
      <c r="Q46" s="315" t="s">
        <v>176</v>
      </c>
      <c r="R46" s="316" t="s">
        <v>177</v>
      </c>
      <c r="T46" s="62"/>
      <c r="AA46" s="62"/>
      <c r="AB46" s="62"/>
    </row>
    <row r="47" spans="1:28">
      <c r="A47" s="317" t="s">
        <v>178</v>
      </c>
      <c r="B47" s="318"/>
      <c r="C47" s="318"/>
      <c r="D47" s="318"/>
      <c r="E47" s="318"/>
      <c r="F47" s="320">
        <f>IF(MONTH($A$39)=MONTH($E$1),MATCH(MIN(G$9:G$39),G$9:G$39,0),IF(MONTH($A$38)=MONTH($E$1),MATCH(MIN(G$9:G$38),G$9:G$38,0),IF(MONTH($A$37)=MONTH($E$1),MATCH(MIN(G$9:G$37),G$9:G$37,0),MATCH(MIN(G$9:G$36),G$9:G$36,0))))</f>
        <v>15</v>
      </c>
      <c r="G47" s="321">
        <f>IF(MONTH($A$39)=MONTH($E$1),MIN(G$9:G$39),IF(MONTH($A$38)=MONTH($E$1),MIN(G$9:G$38),IF(MONTH($A$37)=MONTH($E$1),MIN(G$9:G$37),MIN(G$9:G$36))))</f>
        <v>37.831119999991557</v>
      </c>
      <c r="H47" s="51"/>
      <c r="I47" s="51"/>
      <c r="J47" s="51"/>
      <c r="K47" s="322" t="s">
        <v>473</v>
      </c>
      <c r="L47" s="323"/>
      <c r="M47" s="323"/>
      <c r="N47" s="323"/>
      <c r="O47" s="323"/>
      <c r="P47" s="323"/>
      <c r="Q47" s="325">
        <f ca="1">IF(MONTH($A$39)=MONTH($E$1),MATCH(MIN(R$9:R$39),R$9:R$39,0),IF(MONTH($A$38)=MONTH($E$1),MATCH(MIN(R$9:R$38),R$9:R$38,0),IF(MONTH($A$37)=MONTH($E$1),MATCH(MIN(R$9:R$37),R$9:R$37,0),MATCH(MIN(R$9:R$36),R$9:R$36,0))))</f>
        <v>11</v>
      </c>
      <c r="R47" s="326">
        <f ca="1">IF(MONTH($A$39)=MONTH($E$1),MIN(R$9:R$39),IF(MONTH($A$38)=MONTH($E$1),MIN(R$9:R$38),IF(MONTH($A$37)=MONTH($E$1),MIN(R$9:R$37),MIN(R$9:R$36))))</f>
        <v>42.122087192101837</v>
      </c>
      <c r="S47" s="327"/>
      <c r="T47" s="62"/>
      <c r="AA47" s="62"/>
      <c r="AB47" s="62"/>
    </row>
    <row r="48" spans="1:28" ht="13.5" thickBot="1">
      <c r="A48" s="328" t="s">
        <v>179</v>
      </c>
      <c r="B48" s="329"/>
      <c r="C48" s="329"/>
      <c r="D48" s="329"/>
      <c r="E48" s="329"/>
      <c r="F48" s="331">
        <f>IF(MONTH($A$39)=MONTH($E$1),MATCH(MAX(G$9:G$39),G$9:G$39,0),IF(MONTH($A$38)=MONTH($E$1),MATCH(MAX(G$9:G$38),G$9:G$38,0),IF(MONTH($A$37)=MONTH($E$1),MATCH(MAX(G$9:G$37),G$9:G$37,0),MATCH(MAX(G$9:G$36),G$9:G$36,0))))</f>
        <v>27</v>
      </c>
      <c r="G48" s="332">
        <f>IF(MONTH($A$39)=MONTH($E$1),MAX(G$9:G$39),IF(MONTH($A$38)=MONTH($E$1),MAX(G$9:G$38),IF(MONTH($A$37)=MONTH($E$1),MAX(G$9:G$37),MAX(G$9:G$36))))</f>
        <v>51.380000000004657</v>
      </c>
      <c r="H48" s="51"/>
      <c r="I48" s="51"/>
      <c r="J48" s="51"/>
      <c r="K48" s="333" t="s">
        <v>474</v>
      </c>
      <c r="L48" s="334"/>
      <c r="M48" s="334"/>
      <c r="N48" s="334"/>
      <c r="O48" s="334"/>
      <c r="P48" s="334"/>
      <c r="Q48" s="336">
        <f ca="1">IF(MONTH($A$39)=MONTH($E$1),MATCH(MAX(R$9:R$39),R$9:R$39,0),IF(MONTH($A$38)=MONTH($E$1),MATCH(MAX(R$9:R$38),R$9:R$38,0),IF(MONTH($A$37)=MONTH($E$1),MATCH(MAX(R$9:R$37),R$9:R$37,0),MATCH(MAX(R$9:R$36),R$9:R$36,0))))</f>
        <v>3</v>
      </c>
      <c r="R48" s="337">
        <f ca="1">IF(MONTH($A$39)=MONTH($E$1),MAX(R$9:R$39),IF(MONTH($A$38)=MONTH($E$1),MAX(R$9:R$38),IF(MONTH($A$37)=MONTH($E$1),MAX(R$9:R$37),MAX(R$9:R$36))))</f>
        <v>52.556845840971661</v>
      </c>
    </row>
    <row r="49" spans="1:19">
      <c r="A49" s="308"/>
      <c r="B49" s="60"/>
      <c r="C49" s="60"/>
      <c r="D49" s="60"/>
      <c r="E49" s="60"/>
      <c r="F49" s="60"/>
      <c r="G49" s="60"/>
      <c r="H49" s="51"/>
      <c r="I49" s="51"/>
      <c r="J49" s="51"/>
      <c r="K49" s="60"/>
      <c r="L49" s="60"/>
      <c r="M49" s="60"/>
      <c r="N49" s="60"/>
      <c r="O49" s="60"/>
      <c r="Q49" s="60"/>
      <c r="R49" s="60"/>
    </row>
    <row r="50" spans="1:19" ht="13.5" thickBot="1">
      <c r="A50" s="308" t="s">
        <v>475</v>
      </c>
      <c r="B50" s="60"/>
      <c r="C50" s="60"/>
      <c r="D50" s="60"/>
      <c r="E50" s="60"/>
      <c r="F50" s="60"/>
      <c r="G50" s="60"/>
      <c r="H50" s="51"/>
      <c r="I50" s="51"/>
      <c r="J50" s="51"/>
      <c r="K50" s="308" t="s">
        <v>475</v>
      </c>
      <c r="L50" s="60"/>
      <c r="M50" s="60"/>
      <c r="N50" s="60"/>
      <c r="O50" s="60"/>
      <c r="Q50" s="60"/>
      <c r="R50" s="60"/>
    </row>
    <row r="51" spans="1:19" ht="13.5" thickBot="1">
      <c r="A51" s="309" t="s">
        <v>471</v>
      </c>
      <c r="B51" s="310"/>
      <c r="C51" s="310"/>
      <c r="D51" s="310"/>
      <c r="E51" s="311" t="s">
        <v>176</v>
      </c>
      <c r="F51" s="312" t="s">
        <v>177</v>
      </c>
      <c r="G51" s="52"/>
      <c r="H51" s="51"/>
      <c r="I51" s="51"/>
      <c r="J51" s="51"/>
      <c r="K51" s="313" t="s">
        <v>472</v>
      </c>
      <c r="L51" s="314"/>
      <c r="M51" s="314"/>
      <c r="N51" s="315" t="s">
        <v>176</v>
      </c>
      <c r="O51" s="316" t="s">
        <v>177</v>
      </c>
      <c r="Q51" s="51"/>
    </row>
    <row r="52" spans="1:19">
      <c r="A52" s="317" t="s">
        <v>178</v>
      </c>
      <c r="B52" s="318"/>
      <c r="C52" s="318"/>
      <c r="D52" s="318"/>
      <c r="E52" s="320">
        <f>IF(MONTH($A$39)=MONTH($E$1),MATCH(MIN(F$9:F$39),F$9:F$39,0),IF(MONTH($A$38)=MONTH($E$1),MATCH(MIN(F$9:F$38),F$9:F$38,0),IF(MONTH($A$37)=MONTH($E$1),MATCH(MIN(F$9:F$37),F$9:F$37,0),MATCH(MIN(F$9:F$36),F$9:F$36,0))))</f>
        <v>15</v>
      </c>
      <c r="F52" s="321">
        <f>IF(MONTH($A$39)=MONTH($E$1),MIN(F$9:F$39),IF(MONTH($A$38)=MONTH($E$1),MIN(F$9:F$38),IF(MONTH($A$37)=MONTH($E$1),MIN(F$9:F$37),MIN(F$9:F$36))))</f>
        <v>37.831119999991557</v>
      </c>
      <c r="G52" s="52"/>
      <c r="H52" s="51"/>
      <c r="I52" s="51"/>
      <c r="J52" s="51"/>
      <c r="K52" s="322" t="s">
        <v>473</v>
      </c>
      <c r="L52" s="323"/>
      <c r="M52" s="323"/>
      <c r="N52" s="325">
        <f ca="1">IF(MONTH($A$39)=MONTH($E$1),MATCH(MIN(O$9:O$39),O$9:O$39,0),IF(MONTH($A$38)=MONTH($E$1),MATCH(MIN(O$9:O$38),O$9:O$38,0),IF(MONTH($A$37)=MONTH($E$1),MATCH(MIN(O$9:O$37),O$9:O$37,0),MATCH(MIN(O$9:O$36),O$9:O$36,0))))</f>
        <v>2</v>
      </c>
      <c r="O52" s="326">
        <f ca="1">IF(MONTH($A$39)=MONTH($E$1),MIN(O$9:O$39),IF(MONTH($A$38)=MONTH($E$1),MIN(O$9:O$38),IF(MONTH($A$37)=MONTH($E$1),MIN(O$9:O$37),MIN(O$9:O$36))))</f>
        <v>41.983118641834068</v>
      </c>
      <c r="Q52" s="51"/>
    </row>
    <row r="53" spans="1:19" ht="13.5" thickBot="1">
      <c r="A53" s="328" t="s">
        <v>179</v>
      </c>
      <c r="B53" s="329"/>
      <c r="C53" s="329"/>
      <c r="D53" s="329"/>
      <c r="E53" s="331">
        <f>IF(MONTH($A$39)=MONTH($E$1),MATCH(MAX(F$9:F$39),F$9:F$39,0),IF(MONTH($A$38)=MONTH($E$1),MATCH(MAX(F$9:F$38),F$9:F$38,0),IF(MONTH($A$37)=MONTH($E$1),MATCH(MAX(F$9:F$37),F$9:F$37,0),MATCH(MAX(F$9:F$36),F$9:F$36,0))))</f>
        <v>19</v>
      </c>
      <c r="F53" s="332">
        <f>IF(MONTH($A$39)=MONTH($E$1),MAX(F$9:F$39),IF(MONTH($A$38)=MONTH($E$1),MAX(F$9:F$38),IF(MONTH($A$37)=MONTH($E$1),MAX(F$9:F$37),MAX(F$9:F$36))))</f>
        <v>48.446575999988355</v>
      </c>
      <c r="G53" s="52"/>
      <c r="H53" s="51"/>
      <c r="I53" s="51"/>
      <c r="J53" s="51"/>
      <c r="K53" s="333" t="s">
        <v>474</v>
      </c>
      <c r="L53" s="334"/>
      <c r="M53" s="334"/>
      <c r="N53" s="336">
        <f ca="1">IF(MONTH($A$39)=MONTH($E$1),MATCH(MAX(O$9:O$39),O$9:O$39,0),IF(MONTH($A$38)=MONTH($E$1),MATCH(MAX(O$9:O$38),O$9:O$38,0),IF(MONTH($A$37)=MONTH($E$1),MATCH(MAX(O$9:O$37),O$9:O$37,0),MATCH(MAX(O$9:O$36),O$9:O$36,0))))</f>
        <v>3</v>
      </c>
      <c r="O53" s="337">
        <f ca="1">IF(MONTH($A$39)=MONTH($E$1),MAX(O$9:O$39),IF(MONTH($A$38)=MONTH($E$1),MAX(O$9:O$38),IF(MONTH($A$37)=MONTH($E$1),MAX(O$9:O$37),MAX(O$9:O$36))))</f>
        <v>49.248836132233563</v>
      </c>
      <c r="Q53" s="51"/>
    </row>
    <row r="54" spans="1:19">
      <c r="E54" s="52"/>
      <c r="F54" s="52"/>
      <c r="G54" s="52"/>
      <c r="K54" s="52" t="s">
        <v>476</v>
      </c>
    </row>
    <row r="55" spans="1:19">
      <c r="A55" s="338" t="s">
        <v>477</v>
      </c>
      <c r="B55" s="339">
        <v>1</v>
      </c>
      <c r="C55" s="339">
        <v>2</v>
      </c>
      <c r="D55" s="339">
        <v>3</v>
      </c>
      <c r="E55" s="339">
        <v>4</v>
      </c>
      <c r="F55" s="340" t="s">
        <v>478</v>
      </c>
      <c r="G55" s="340" t="s">
        <v>479</v>
      </c>
      <c r="H55" s="339">
        <v>5</v>
      </c>
      <c r="I55" s="339">
        <v>6</v>
      </c>
      <c r="J55" s="339"/>
      <c r="K55" s="339">
        <v>7</v>
      </c>
      <c r="L55" s="340">
        <v>8</v>
      </c>
      <c r="M55" s="340">
        <v>9</v>
      </c>
      <c r="N55" s="340" t="s">
        <v>481</v>
      </c>
      <c r="O55" s="340" t="s">
        <v>482</v>
      </c>
      <c r="P55" s="340">
        <v>10</v>
      </c>
      <c r="Q55" s="340">
        <v>11</v>
      </c>
      <c r="R55" s="340" t="s">
        <v>483</v>
      </c>
      <c r="S55" s="341"/>
    </row>
    <row r="58" spans="1:19">
      <c r="N58" s="109"/>
      <c r="O58" s="109"/>
      <c r="S58" s="109"/>
    </row>
    <row r="59" spans="1:19">
      <c r="N59" s="62"/>
      <c r="O59" s="62"/>
      <c r="S59" s="62"/>
    </row>
    <row r="60" spans="1:19">
      <c r="N60" s="62"/>
      <c r="O60" s="62"/>
      <c r="S60" s="62"/>
    </row>
    <row r="61" spans="1:19">
      <c r="N61" s="62"/>
      <c r="O61" s="62"/>
      <c r="S61" s="62"/>
    </row>
    <row r="62" spans="1:19">
      <c r="N62" s="62"/>
      <c r="O62" s="62"/>
      <c r="S62" s="62"/>
    </row>
    <row r="63" spans="1:19">
      <c r="N63" s="62"/>
      <c r="O63" s="62"/>
      <c r="S63" s="62"/>
    </row>
    <row r="64" spans="1:19">
      <c r="N64" s="62"/>
      <c r="O64" s="62"/>
      <c r="S64" s="62"/>
    </row>
    <row r="65" spans="14:19">
      <c r="N65" s="62"/>
      <c r="O65" s="62"/>
      <c r="S65" s="62"/>
    </row>
    <row r="66" spans="14:19">
      <c r="N66" s="62"/>
      <c r="O66" s="62"/>
      <c r="S66" s="62"/>
    </row>
    <row r="67" spans="14:19">
      <c r="N67" s="62"/>
      <c r="O67" s="62"/>
      <c r="S67" s="62"/>
    </row>
    <row r="68" spans="14:19">
      <c r="N68" s="62"/>
      <c r="O68" s="62"/>
      <c r="S68" s="62"/>
    </row>
    <row r="69" spans="14:19">
      <c r="N69" s="62"/>
      <c r="O69" s="62"/>
      <c r="S69" s="62"/>
    </row>
    <row r="70" spans="14:19">
      <c r="N70" s="62"/>
      <c r="O70" s="62"/>
      <c r="S70" s="62"/>
    </row>
  </sheetData>
  <mergeCells count="6">
    <mergeCell ref="S6:T6"/>
    <mergeCell ref="A2:R2"/>
    <mergeCell ref="A3:R3"/>
    <mergeCell ref="C6:G6"/>
    <mergeCell ref="H6:J6"/>
    <mergeCell ref="L6:R6"/>
  </mergeCells>
  <phoneticPr fontId="19" type="noConversion"/>
  <conditionalFormatting sqref="T9:T39">
    <cfRule type="cellIs" dxfId="31" priority="28" stopIfTrue="1" operator="equal">
      <formula>0</formula>
    </cfRule>
  </conditionalFormatting>
  <conditionalFormatting sqref="Y40:AA40 U40:V40">
    <cfRule type="expression" priority="43" stopIfTrue="1">
      <formula>IF(MONTH($A$40)=MONTH($E$1),TRUE,FALSE)</formula>
    </cfRule>
    <cfRule type="expression" dxfId="30" priority="44" stopIfTrue="1">
      <formula>IF(MONTH($A$40)&gt;MONTH($E$1),TRUE,FALSE)</formula>
    </cfRule>
    <cfRule type="expression" dxfId="29" priority="45" stopIfTrue="1">
      <formula>IF(MONTH($A$40)&lt;MONTH($E$1),TRUE,FALSE)</formula>
    </cfRule>
  </conditionalFormatting>
  <conditionalFormatting sqref="U43:AA43 P39:Q39 S39:T39 A39:E39 H39:M39">
    <cfRule type="expression" priority="30" stopIfTrue="1">
      <formula>IF(MONTH($A$39)=MONTH($E$1),TRUE,FALSE)</formula>
    </cfRule>
    <cfRule type="expression" dxfId="28" priority="31" stopIfTrue="1">
      <formula>IF(MONTH($A$39)&gt;MONTH($E$1),TRUE,FALSE)</formula>
    </cfRule>
    <cfRule type="expression" dxfId="27" priority="32" stopIfTrue="1">
      <formula>IF(MONTH($A$39)&lt;MONTH($E$1),TRUE,FALSE)</formula>
    </cfRule>
  </conditionalFormatting>
  <conditionalFormatting sqref="P38:Q38 S38:T38 U41:AA43 A38:E38 H38:M38">
    <cfRule type="expression" priority="33" stopIfTrue="1">
      <formula>IF(MONTH($A$38)=MONTH($E$1),TRUE,FALSE)</formula>
    </cfRule>
    <cfRule type="expression" dxfId="26" priority="34" stopIfTrue="1">
      <formula>IF(MONTH($A$38)&gt;MONTH($E$1),TRUE,FALSE)</formula>
    </cfRule>
    <cfRule type="expression" dxfId="25" priority="35" stopIfTrue="1">
      <formula>IF(MONTH($A$38)&lt;MONTH($E$1),TRUE,FALSE)</formula>
    </cfRule>
  </conditionalFormatting>
  <conditionalFormatting sqref="P37:Q37 S37 A37:E37 H37:M37">
    <cfRule type="expression" dxfId="24" priority="69" stopIfTrue="1">
      <formula>IF(MONTH($A$37)&gt;MONTH($E$1),TRUE,FALSE)</formula>
    </cfRule>
    <cfRule type="expression" dxfId="23" priority="70" stopIfTrue="1">
      <formula>IF(MONTH($A$37)&lt;MONTH($E$1),TRUE,FALSE)</formula>
    </cfRule>
  </conditionalFormatting>
  <conditionalFormatting sqref="O37:IV37 A37:E37 H37:M37">
    <cfRule type="expression" priority="68" stopIfTrue="1">
      <formula>IF(MONTH($A$37)=MONTH($E$1),TRUE,FALSE)</formula>
    </cfRule>
  </conditionalFormatting>
  <conditionalFormatting sqref="F9:G39">
    <cfRule type="cellIs" dxfId="22" priority="23" stopIfTrue="1" operator="equal">
      <formula>0</formula>
    </cfRule>
  </conditionalFormatting>
  <conditionalFormatting sqref="N9:O39 R9:R40">
    <cfRule type="cellIs" dxfId="21" priority="22" stopIfTrue="1" operator="equal">
      <formula>0</formula>
    </cfRule>
  </conditionalFormatting>
  <printOptions horizontalCentered="1"/>
  <pageMargins left="0" right="0" top="0.5" bottom="0" header="0" footer="0"/>
  <pageSetup scale="80" orientation="landscape" r:id="rId1"/>
  <headerFooter alignWithMargins="0"/>
  <colBreaks count="1" manualBreakCount="1">
    <brk id="18" max="1048575" man="1"/>
  </colBreaks>
  <legacyDrawing r:id="rId2"/>
</worksheet>
</file>

<file path=xl/worksheets/sheet6.xml><?xml version="1.0" encoding="utf-8"?>
<worksheet xmlns="http://schemas.openxmlformats.org/spreadsheetml/2006/main" xmlns:r="http://schemas.openxmlformats.org/officeDocument/2006/relationships">
  <sheetPr codeName="Sheet3">
    <pageSetUpPr fitToPage="1"/>
  </sheetPr>
  <dimension ref="A1:IT895"/>
  <sheetViews>
    <sheetView zoomScale="90" zoomScaleNormal="90" workbookViewId="0">
      <pane xSplit="3" ySplit="7" topLeftCell="O137" activePane="bottomRight" state="frozen"/>
      <selection pane="topRight" activeCell="D1" sqref="D1"/>
      <selection pane="bottomLeft" activeCell="A8" sqref="A8"/>
      <selection pane="bottomRight" activeCell="AC57" sqref="AC57"/>
    </sheetView>
  </sheetViews>
  <sheetFormatPr defaultColWidth="9.140625" defaultRowHeight="12.75"/>
  <cols>
    <col min="1" max="1" width="11.5703125" style="2" bestFit="1" customWidth="1"/>
    <col min="2" max="2" width="13" style="2" customWidth="1"/>
    <col min="3" max="3" width="5.85546875" style="2" customWidth="1"/>
    <col min="4" max="4" width="9.7109375" style="432" bestFit="1" customWidth="1"/>
    <col min="5" max="5" width="9.7109375" style="433" bestFit="1" customWidth="1"/>
    <col min="6" max="6" width="13.42578125" style="433" customWidth="1"/>
    <col min="7" max="7" width="10.5703125" style="433" bestFit="1" customWidth="1"/>
    <col min="8" max="8" width="10.42578125" style="434" bestFit="1" customWidth="1"/>
    <col min="9" max="9" width="9.7109375" style="434" bestFit="1" customWidth="1"/>
    <col min="10" max="10" width="13.42578125" style="412" bestFit="1" customWidth="1"/>
    <col min="11" max="11" width="13.7109375" style="412" customWidth="1"/>
    <col min="12" max="12" width="10.85546875" style="435" customWidth="1"/>
    <col min="13" max="17" width="10.28515625" style="435" customWidth="1"/>
    <col min="18" max="18" width="17.85546875" style="412" bestFit="1" customWidth="1"/>
    <col min="19" max="20" width="14.42578125" style="412" bestFit="1" customWidth="1"/>
    <col min="21" max="22" width="12.28515625" style="412" customWidth="1"/>
    <col min="23" max="23" width="13.5703125" style="435" customWidth="1"/>
    <col min="24" max="24" width="14.5703125" style="3" customWidth="1"/>
    <col min="25" max="25" width="9.42578125" style="412" bestFit="1" customWidth="1"/>
    <col min="26" max="26" width="12.85546875" style="412" customWidth="1"/>
    <col min="27" max="27" width="12" style="412" customWidth="1"/>
    <col min="28" max="28" width="14.140625" style="412" bestFit="1" customWidth="1"/>
    <col min="29" max="29" width="12" style="436" customWidth="1"/>
    <col min="30" max="30" width="3.42578125" style="436" bestFit="1" customWidth="1"/>
    <col min="31" max="35" width="12" style="436" customWidth="1"/>
    <col min="36" max="42" width="9.140625" style="3"/>
    <col min="43" max="43" width="12" style="412" customWidth="1"/>
    <col min="44" max="44" width="12" style="753" customWidth="1"/>
    <col min="45" max="45" width="12" style="412" customWidth="1"/>
    <col min="46" max="46" width="12" style="753" customWidth="1"/>
    <col min="47" max="47" width="12" style="412" customWidth="1"/>
    <col min="48" max="48" width="10.42578125" style="412" bestFit="1" customWidth="1"/>
    <col min="49" max="49" width="10.140625" style="412" bestFit="1" customWidth="1"/>
    <col min="50" max="50" width="11.28515625" style="412" bestFit="1" customWidth="1"/>
    <col min="51" max="51" width="11.42578125" style="753" bestFit="1" customWidth="1"/>
    <col min="52" max="52" width="11.7109375" style="753" customWidth="1"/>
    <col min="53" max="53" width="12" style="753" customWidth="1"/>
    <col min="54" max="55" width="12.42578125" style="412" customWidth="1"/>
    <col min="56" max="56" width="11.85546875" style="412" customWidth="1"/>
    <col min="57" max="57" width="11.5703125" style="753" customWidth="1"/>
    <col min="58" max="58" width="11.85546875" style="412" customWidth="1"/>
    <col min="59" max="59" width="10.28515625" style="451" customWidth="1"/>
    <col min="60" max="60" width="10.7109375" style="753" bestFit="1" customWidth="1"/>
    <col min="61" max="61" width="13.5703125" style="412" customWidth="1"/>
    <col min="62" max="62" width="9.28515625" style="412" bestFit="1" customWidth="1"/>
    <col min="63" max="63" width="11.42578125" style="412" customWidth="1"/>
    <col min="64" max="64" width="9.28515625" style="412" bestFit="1" customWidth="1"/>
    <col min="65" max="65" width="9.5703125" style="451" bestFit="1" customWidth="1"/>
    <col min="66" max="66" width="12" style="412" bestFit="1" customWidth="1"/>
    <col min="67" max="67" width="11.140625" style="412" customWidth="1"/>
    <col min="68" max="68" width="11.5703125" style="412" customWidth="1"/>
    <col min="69" max="69" width="13.7109375" style="451" customWidth="1"/>
    <col min="70" max="70" width="12.7109375" style="451" customWidth="1"/>
    <col min="71" max="71" width="13.5703125" style="451" customWidth="1"/>
    <col min="72" max="72" width="10.5703125" style="451" customWidth="1"/>
    <col min="73" max="73" width="11.140625" style="451" customWidth="1"/>
    <col min="74" max="74" width="9.140625" style="425"/>
    <col min="75" max="75" width="11.85546875" style="451" customWidth="1"/>
    <col min="76" max="76" width="11" style="451" customWidth="1"/>
    <col min="77" max="77" width="9.140625" style="425"/>
    <col min="78" max="80" width="10.42578125" style="3" customWidth="1"/>
    <col min="81" max="83" width="10.42578125" style="3" bestFit="1" customWidth="1"/>
    <col min="84" max="84" width="9.140625" style="3"/>
    <col min="85" max="85" width="12" style="3" customWidth="1"/>
    <col min="86" max="87" width="9.140625" style="3"/>
    <col min="88" max="88" width="9.5703125" style="3" customWidth="1"/>
    <col min="89" max="89" width="10.42578125" style="3" customWidth="1"/>
    <col min="90" max="90" width="10.5703125" style="3" customWidth="1"/>
    <col min="91" max="92" width="9.140625" style="3"/>
    <col min="93" max="93" width="13.42578125" style="412" customWidth="1"/>
    <col min="94" max="94" width="17.5703125" style="412" customWidth="1"/>
    <col min="95" max="95" width="11.7109375" style="412" customWidth="1"/>
    <col min="96" max="96" width="9.140625" style="425"/>
    <col min="97" max="97" width="10" style="425" customWidth="1"/>
    <col min="98" max="98" width="10.28515625" style="425" customWidth="1"/>
    <col min="99" max="99" width="9.140625" style="425"/>
    <col min="100" max="100" width="11" style="451" customWidth="1"/>
    <col min="101" max="101" width="12.85546875" style="451" customWidth="1"/>
    <col min="102" max="102" width="13" style="451" bestFit="1" customWidth="1"/>
    <col min="103" max="103" width="8.7109375" style="451" bestFit="1" customWidth="1"/>
    <col min="104" max="108" width="10.28515625" style="425" customWidth="1"/>
    <col min="109" max="109" width="10.28515625" style="3" customWidth="1"/>
    <col min="110" max="112" width="9.140625" style="3"/>
    <col min="113" max="113" width="10.42578125" style="3" customWidth="1"/>
    <col min="114" max="114" width="10.28515625" style="3" customWidth="1"/>
    <col min="115" max="122" width="9.140625" style="3"/>
    <col min="123" max="123" width="10" style="3" customWidth="1"/>
    <col min="124" max="139" width="9.140625" style="3"/>
    <col min="140" max="140" width="10.85546875" style="3" customWidth="1"/>
    <col min="141" max="141" width="10.28515625" style="3" customWidth="1"/>
    <col min="142" max="142" width="9.140625" style="3"/>
    <col min="143" max="143" width="10.28515625" style="3" customWidth="1"/>
    <col min="144" max="145" width="11.140625" style="3" customWidth="1"/>
    <col min="146" max="146" width="9.140625" style="3"/>
    <col min="147" max="147" width="7.85546875" style="3" bestFit="1" customWidth="1"/>
    <col min="148" max="148" width="10.7109375" style="3" customWidth="1"/>
    <col min="149" max="149" width="9.28515625" style="3" bestFit="1" customWidth="1"/>
    <col min="150" max="150" width="6" style="3" bestFit="1" customWidth="1"/>
    <col min="151" max="151" width="8.7109375" style="3" bestFit="1" customWidth="1"/>
    <col min="152" max="152" width="10" style="3" bestFit="1" customWidth="1"/>
    <col min="153" max="153" width="9.85546875" style="425" customWidth="1"/>
    <col min="154" max="154" width="8.7109375" style="666" bestFit="1" customWidth="1"/>
    <col min="155" max="155" width="9.5703125" style="666" bestFit="1" customWidth="1"/>
    <col min="156" max="156" width="9.5703125" style="666" customWidth="1"/>
    <col min="157" max="157" width="11.7109375" style="666" bestFit="1" customWidth="1"/>
    <col min="158" max="158" width="8.140625" style="666" bestFit="1" customWidth="1"/>
    <col min="159" max="159" width="9.42578125" style="666" customWidth="1"/>
    <col min="160" max="160" width="9.140625" style="666"/>
    <col min="161" max="161" width="10.85546875" style="666" bestFit="1" customWidth="1"/>
    <col min="162" max="162" width="10.140625" style="666" bestFit="1" customWidth="1"/>
    <col min="163" max="163" width="10.85546875" style="666" customWidth="1"/>
    <col min="164" max="164" width="11.28515625" style="666" bestFit="1" customWidth="1"/>
    <col min="165" max="165" width="10.140625" style="666" bestFit="1" customWidth="1"/>
    <col min="166" max="167" width="8" style="666" bestFit="1" customWidth="1"/>
    <col min="168" max="169" width="10.28515625" style="413" bestFit="1" customWidth="1"/>
    <col min="170" max="170" width="7.42578125" style="413" customWidth="1"/>
    <col min="171" max="16384" width="9.140625" style="413"/>
  </cols>
  <sheetData>
    <row r="1" spans="1:254" s="666" customFormat="1" ht="29.25" customHeight="1">
      <c r="A1" s="425"/>
      <c r="B1" s="425"/>
      <c r="C1" s="425"/>
      <c r="D1" s="670" t="s">
        <v>242</v>
      </c>
      <c r="E1" s="671"/>
      <c r="F1" s="671"/>
      <c r="G1" s="671"/>
      <c r="H1" s="671"/>
      <c r="I1" s="671"/>
      <c r="J1" s="671"/>
      <c r="K1" s="671"/>
      <c r="L1" s="671"/>
      <c r="M1" s="671"/>
      <c r="N1" s="671"/>
      <c r="O1" s="671"/>
      <c r="P1" s="671"/>
      <c r="Q1" s="671"/>
      <c r="R1" s="671"/>
      <c r="S1" s="671"/>
      <c r="T1" s="671"/>
      <c r="U1" s="671"/>
      <c r="V1" s="671"/>
      <c r="W1" s="671"/>
      <c r="X1" s="671"/>
      <c r="Y1" s="671"/>
      <c r="Z1" s="671"/>
      <c r="AA1" s="671"/>
      <c r="AB1" s="671"/>
      <c r="AC1" s="672"/>
      <c r="AD1" s="672"/>
      <c r="AE1" s="672"/>
      <c r="AF1" s="672"/>
      <c r="AG1" s="672"/>
      <c r="AH1" s="672"/>
      <c r="AI1" s="672"/>
      <c r="AJ1" s="425"/>
      <c r="AK1" s="425"/>
      <c r="AL1" s="425"/>
      <c r="AM1" s="425"/>
      <c r="AN1" s="425"/>
      <c r="AO1" s="425"/>
      <c r="AP1" s="425"/>
      <c r="AQ1" s="451"/>
      <c r="AR1" s="451"/>
      <c r="AS1" s="451"/>
      <c r="AT1" s="451"/>
      <c r="AU1" s="451"/>
      <c r="AV1" s="451"/>
      <c r="AW1" s="451"/>
      <c r="AX1" s="451"/>
      <c r="AY1" s="451"/>
      <c r="AZ1" s="451"/>
      <c r="BA1" s="451"/>
      <c r="BB1" s="451"/>
      <c r="BC1" s="451"/>
      <c r="BD1" s="451"/>
      <c r="BE1" s="451"/>
      <c r="BF1" s="451"/>
      <c r="BG1" s="451"/>
      <c r="BH1" s="451"/>
      <c r="BI1" s="451"/>
      <c r="BJ1" s="451"/>
      <c r="BK1" s="451"/>
      <c r="BL1" s="451"/>
      <c r="BM1" s="451"/>
      <c r="BN1" s="451"/>
      <c r="BO1" s="451"/>
      <c r="BP1" s="451"/>
      <c r="BQ1" s="451"/>
      <c r="BR1" s="451"/>
      <c r="BS1" s="451"/>
      <c r="BT1" s="451"/>
      <c r="BU1" s="451"/>
      <c r="BV1" s="425"/>
      <c r="BW1" s="451"/>
      <c r="BX1" s="451"/>
      <c r="BY1" s="425"/>
      <c r="BZ1" s="425"/>
      <c r="CA1" s="425"/>
      <c r="CB1" s="425"/>
      <c r="CC1" s="425"/>
      <c r="CD1" s="425"/>
      <c r="CE1" s="425"/>
      <c r="CF1" s="425"/>
      <c r="CG1" s="425"/>
      <c r="CH1" s="425"/>
      <c r="CI1" s="425"/>
      <c r="CJ1" s="425"/>
      <c r="CK1" s="425"/>
      <c r="CL1" s="425"/>
      <c r="CM1" s="425"/>
      <c r="CN1" s="425"/>
      <c r="CO1" s="451"/>
      <c r="CP1" s="451"/>
      <c r="CQ1" s="451"/>
      <c r="CR1" s="425"/>
      <c r="CS1" s="425"/>
      <c r="CT1" s="425"/>
      <c r="CU1" s="425"/>
      <c r="CV1" s="451"/>
      <c r="CW1" s="451"/>
      <c r="CX1" s="451"/>
      <c r="CY1" s="451"/>
      <c r="CZ1" s="425"/>
      <c r="DA1" s="425"/>
      <c r="DB1" s="425"/>
      <c r="DC1" s="425"/>
      <c r="DD1" s="425"/>
      <c r="DE1" s="425"/>
      <c r="DF1" s="425"/>
      <c r="DG1" s="425"/>
      <c r="DH1" s="425"/>
      <c r="DI1" s="425"/>
      <c r="DJ1" s="425"/>
      <c r="DK1" s="425"/>
      <c r="DL1" s="425"/>
      <c r="DM1" s="425"/>
      <c r="DN1" s="425"/>
      <c r="DO1" s="425"/>
      <c r="DP1" s="425"/>
      <c r="DQ1" s="425"/>
      <c r="DR1" s="425"/>
      <c r="DS1" s="425"/>
      <c r="DT1" s="425"/>
      <c r="DU1" s="425"/>
      <c r="DV1" s="425"/>
      <c r="DW1" s="425"/>
      <c r="DX1" s="425"/>
      <c r="DY1" s="425"/>
      <c r="DZ1" s="425"/>
      <c r="EA1" s="425"/>
      <c r="EB1" s="425"/>
      <c r="EC1" s="425"/>
      <c r="ED1" s="425"/>
      <c r="EE1" s="425"/>
      <c r="EF1" s="425"/>
      <c r="EG1" s="425"/>
      <c r="EH1" s="425"/>
      <c r="EI1" s="425"/>
      <c r="EJ1" s="425"/>
      <c r="EK1" s="425"/>
      <c r="EL1" s="425"/>
      <c r="EM1" s="425"/>
      <c r="EN1" s="425"/>
      <c r="EO1" s="425"/>
      <c r="EP1" s="425"/>
      <c r="EQ1" s="425"/>
      <c r="ER1" s="425"/>
      <c r="ES1" s="425"/>
      <c r="ET1" s="425"/>
      <c r="EU1" s="425"/>
      <c r="EV1" s="425"/>
      <c r="EW1" s="425"/>
      <c r="EX1" s="425"/>
    </row>
    <row r="2" spans="1:254" s="666" customFormat="1" ht="8.25" customHeight="1">
      <c r="A2" s="425"/>
      <c r="B2" s="425"/>
      <c r="C2" s="425"/>
      <c r="D2" s="673"/>
      <c r="E2" s="674"/>
      <c r="F2" s="674"/>
      <c r="G2" s="674"/>
      <c r="H2" s="674"/>
      <c r="I2" s="674"/>
      <c r="J2" s="674"/>
      <c r="K2" s="674"/>
      <c r="L2" s="674"/>
      <c r="M2" s="674"/>
      <c r="N2" s="674"/>
      <c r="O2" s="674"/>
      <c r="P2" s="674"/>
      <c r="Q2" s="674"/>
      <c r="R2" s="674"/>
      <c r="S2" s="674"/>
      <c r="T2" s="674"/>
      <c r="U2" s="674"/>
      <c r="V2" s="674"/>
      <c r="W2" s="674"/>
      <c r="X2" s="674"/>
      <c r="Y2" s="674"/>
      <c r="Z2" s="674"/>
      <c r="AA2" s="674"/>
      <c r="AB2" s="674"/>
      <c r="AC2" s="672"/>
      <c r="AD2" s="672"/>
      <c r="AE2" s="672"/>
      <c r="AF2" s="672"/>
      <c r="AG2" s="672"/>
      <c r="AH2" s="672"/>
      <c r="AI2" s="672"/>
      <c r="AJ2" s="425"/>
      <c r="AK2" s="425"/>
      <c r="AL2" s="425"/>
      <c r="AM2" s="425"/>
      <c r="AN2" s="425"/>
      <c r="AO2" s="425"/>
      <c r="AP2" s="425"/>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25"/>
      <c r="BW2" s="451"/>
      <c r="BX2" s="451"/>
      <c r="BY2" s="425"/>
      <c r="BZ2" s="425"/>
      <c r="CA2" s="425"/>
      <c r="CB2" s="425"/>
      <c r="CC2" s="425"/>
      <c r="CD2" s="425"/>
      <c r="CE2" s="425"/>
      <c r="CF2" s="425"/>
      <c r="CG2" s="425"/>
      <c r="CH2" s="425"/>
      <c r="CI2" s="425"/>
      <c r="CJ2" s="425"/>
      <c r="CK2" s="425"/>
      <c r="CL2" s="425"/>
      <c r="CM2" s="425"/>
      <c r="CN2" s="425"/>
      <c r="CO2" s="451"/>
      <c r="CP2" s="451"/>
      <c r="CQ2" s="451"/>
      <c r="CR2" s="425"/>
      <c r="CS2" s="425"/>
      <c r="CT2" s="425"/>
      <c r="CU2" s="425"/>
      <c r="CV2" s="451"/>
      <c r="CW2" s="451"/>
      <c r="CX2" s="451"/>
      <c r="CY2" s="451"/>
      <c r="CZ2" s="425"/>
      <c r="DA2" s="425"/>
      <c r="DB2" s="425"/>
      <c r="DC2" s="425"/>
      <c r="DD2" s="425"/>
      <c r="DE2" s="425"/>
      <c r="DF2" s="425"/>
      <c r="DG2" s="425"/>
      <c r="DH2" s="425"/>
      <c r="DI2" s="425"/>
      <c r="DJ2" s="425"/>
      <c r="DK2" s="425"/>
      <c r="DL2" s="425"/>
      <c r="DM2" s="425"/>
      <c r="DN2" s="425"/>
      <c r="DO2" s="425"/>
      <c r="DP2" s="425"/>
      <c r="DQ2" s="425"/>
      <c r="DR2" s="425"/>
      <c r="DS2" s="425"/>
      <c r="DT2" s="425"/>
      <c r="DU2" s="425"/>
      <c r="DV2" s="425"/>
      <c r="DW2" s="425"/>
      <c r="DX2" s="425"/>
      <c r="DY2" s="425"/>
      <c r="DZ2" s="425"/>
      <c r="EA2" s="425"/>
      <c r="EB2" s="425"/>
      <c r="EC2" s="425"/>
      <c r="ED2" s="425"/>
      <c r="EE2" s="425"/>
      <c r="EF2" s="425"/>
      <c r="EG2" s="425"/>
      <c r="EH2" s="425"/>
      <c r="EI2" s="425"/>
      <c r="EJ2" s="425"/>
      <c r="EK2" s="425"/>
      <c r="EL2" s="425"/>
      <c r="EM2" s="425"/>
      <c r="EN2" s="425"/>
      <c r="EO2" s="425"/>
      <c r="EP2" s="425"/>
      <c r="EQ2" s="425"/>
      <c r="ER2" s="425"/>
      <c r="ES2" s="425"/>
      <c r="ET2" s="425"/>
      <c r="EU2" s="425"/>
      <c r="EV2" s="425"/>
      <c r="EW2" s="425"/>
      <c r="EX2" s="425"/>
    </row>
    <row r="3" spans="1:254" s="414" customFormat="1">
      <c r="A3" s="675"/>
      <c r="B3" s="440">
        <v>1</v>
      </c>
      <c r="C3" s="440">
        <v>2</v>
      </c>
      <c r="D3" s="440">
        <v>3</v>
      </c>
      <c r="E3" s="440">
        <v>4</v>
      </c>
      <c r="F3" s="440">
        <v>5</v>
      </c>
      <c r="G3" s="440">
        <v>6</v>
      </c>
      <c r="H3" s="440">
        <v>7</v>
      </c>
      <c r="I3" s="440">
        <v>8</v>
      </c>
      <c r="J3" s="440">
        <v>9</v>
      </c>
      <c r="K3" s="440">
        <v>10</v>
      </c>
      <c r="L3" s="440">
        <v>11</v>
      </c>
      <c r="M3" s="440">
        <v>12</v>
      </c>
      <c r="N3" s="440">
        <v>13</v>
      </c>
      <c r="O3" s="440">
        <v>14</v>
      </c>
      <c r="P3" s="440">
        <v>15</v>
      </c>
      <c r="Q3" s="440">
        <v>16</v>
      </c>
      <c r="R3" s="440">
        <v>17</v>
      </c>
      <c r="S3" s="440">
        <v>18</v>
      </c>
      <c r="T3" s="440">
        <v>19</v>
      </c>
      <c r="U3" s="440">
        <v>20</v>
      </c>
      <c r="V3" s="440">
        <v>21</v>
      </c>
      <c r="W3" s="440">
        <v>22</v>
      </c>
      <c r="X3" s="440">
        <v>23</v>
      </c>
      <c r="Y3" s="440">
        <v>24</v>
      </c>
      <c r="Z3" s="440">
        <v>25</v>
      </c>
      <c r="AA3" s="440">
        <v>26</v>
      </c>
      <c r="AB3" s="440">
        <v>27</v>
      </c>
      <c r="AC3" s="440">
        <v>28</v>
      </c>
      <c r="AD3" s="440">
        <v>29</v>
      </c>
      <c r="AE3" s="440">
        <v>30</v>
      </c>
      <c r="AF3" s="440">
        <v>31</v>
      </c>
      <c r="AG3" s="440">
        <v>32</v>
      </c>
      <c r="AH3" s="440">
        <v>33</v>
      </c>
      <c r="AI3" s="440">
        <v>34</v>
      </c>
      <c r="AJ3" s="440">
        <v>35</v>
      </c>
      <c r="AK3" s="440">
        <v>36</v>
      </c>
      <c r="AL3" s="440">
        <v>37</v>
      </c>
      <c r="AM3" s="440">
        <v>38</v>
      </c>
      <c r="AN3" s="440">
        <v>39</v>
      </c>
      <c r="AO3" s="440">
        <v>40</v>
      </c>
      <c r="AP3" s="440">
        <v>41</v>
      </c>
      <c r="AQ3" s="440">
        <v>42</v>
      </c>
      <c r="AR3" s="440">
        <v>43</v>
      </c>
      <c r="AS3" s="440">
        <v>44</v>
      </c>
      <c r="AT3" s="440">
        <v>45</v>
      </c>
      <c r="AU3" s="440">
        <v>46</v>
      </c>
      <c r="AV3" s="440">
        <v>47</v>
      </c>
      <c r="AW3" s="440">
        <v>48</v>
      </c>
      <c r="AX3" s="440">
        <v>49</v>
      </c>
      <c r="AY3" s="440">
        <v>50</v>
      </c>
      <c r="AZ3" s="440">
        <v>51</v>
      </c>
      <c r="BA3" s="440">
        <v>52</v>
      </c>
      <c r="BB3" s="440">
        <v>53</v>
      </c>
      <c r="BC3" s="440">
        <v>54</v>
      </c>
      <c r="BD3" s="440">
        <v>55</v>
      </c>
      <c r="BE3" s="440">
        <v>56</v>
      </c>
      <c r="BF3" s="440">
        <v>57</v>
      </c>
      <c r="BG3" s="440">
        <v>58</v>
      </c>
      <c r="BH3" s="440">
        <v>59</v>
      </c>
      <c r="BI3" s="440">
        <v>60</v>
      </c>
      <c r="BJ3" s="440">
        <v>61</v>
      </c>
      <c r="BK3" s="440">
        <v>62</v>
      </c>
      <c r="BL3" s="440">
        <v>63</v>
      </c>
      <c r="BM3" s="440">
        <v>64</v>
      </c>
      <c r="BN3" s="440">
        <v>65</v>
      </c>
      <c r="BO3" s="440">
        <v>66</v>
      </c>
      <c r="BP3" s="440">
        <v>67</v>
      </c>
      <c r="BQ3" s="440">
        <v>68</v>
      </c>
      <c r="BR3" s="440">
        <v>69</v>
      </c>
      <c r="BS3" s="440">
        <v>70</v>
      </c>
      <c r="BT3" s="440">
        <v>71</v>
      </c>
      <c r="BU3" s="440">
        <v>72</v>
      </c>
      <c r="BV3" s="440">
        <v>73</v>
      </c>
      <c r="BW3" s="440">
        <v>74</v>
      </c>
      <c r="BX3" s="440">
        <v>75</v>
      </c>
      <c r="BY3" s="440">
        <v>76</v>
      </c>
      <c r="BZ3" s="440">
        <v>77</v>
      </c>
      <c r="CA3" s="440">
        <v>78</v>
      </c>
      <c r="CB3" s="440">
        <v>79</v>
      </c>
      <c r="CC3" s="440">
        <v>80</v>
      </c>
      <c r="CD3" s="440">
        <v>81</v>
      </c>
      <c r="CE3" s="440">
        <v>82</v>
      </c>
      <c r="CF3" s="440">
        <v>83</v>
      </c>
      <c r="CG3" s="440">
        <v>84</v>
      </c>
      <c r="CH3" s="440">
        <v>85</v>
      </c>
      <c r="CI3" s="440">
        <v>86</v>
      </c>
      <c r="CJ3" s="440">
        <v>87</v>
      </c>
      <c r="CK3" s="440">
        <v>88</v>
      </c>
      <c r="CL3" s="440">
        <v>89</v>
      </c>
      <c r="CM3" s="440">
        <v>90</v>
      </c>
      <c r="CN3" s="440">
        <v>91</v>
      </c>
      <c r="CO3" s="440">
        <v>92</v>
      </c>
      <c r="CP3" s="440">
        <v>93</v>
      </c>
      <c r="CQ3" s="440">
        <v>94</v>
      </c>
      <c r="CR3" s="440">
        <v>95</v>
      </c>
      <c r="CS3" s="440">
        <v>96</v>
      </c>
      <c r="CT3" s="440">
        <v>97</v>
      </c>
      <c r="CU3" s="440">
        <v>98</v>
      </c>
      <c r="CV3" s="478">
        <v>99</v>
      </c>
      <c r="CW3" s="478">
        <v>100</v>
      </c>
      <c r="CX3" s="478">
        <v>101</v>
      </c>
      <c r="CY3" s="478">
        <v>102</v>
      </c>
      <c r="CZ3" s="440">
        <v>103</v>
      </c>
      <c r="DA3" s="440">
        <v>104</v>
      </c>
      <c r="DB3" s="440">
        <v>105</v>
      </c>
      <c r="DC3" s="440">
        <v>106</v>
      </c>
      <c r="DD3" s="440">
        <v>107</v>
      </c>
      <c r="DE3" s="440">
        <v>108</v>
      </c>
      <c r="DF3" s="440">
        <v>109</v>
      </c>
      <c r="DG3" s="440">
        <v>110</v>
      </c>
      <c r="DH3" s="440">
        <v>111</v>
      </c>
      <c r="DI3" s="440">
        <v>112</v>
      </c>
      <c r="DJ3" s="440">
        <v>113</v>
      </c>
      <c r="DK3" s="440">
        <v>114</v>
      </c>
      <c r="DL3" s="440">
        <v>115</v>
      </c>
      <c r="DM3" s="440">
        <v>116</v>
      </c>
      <c r="DN3" s="440">
        <v>117</v>
      </c>
      <c r="DO3" s="440">
        <v>118</v>
      </c>
      <c r="DP3" s="440">
        <v>119</v>
      </c>
      <c r="DQ3" s="440">
        <v>120</v>
      </c>
      <c r="DR3" s="440">
        <v>121</v>
      </c>
      <c r="DS3" s="440">
        <v>122</v>
      </c>
      <c r="DT3" s="440">
        <v>123</v>
      </c>
      <c r="DU3" s="440">
        <v>124</v>
      </c>
      <c r="DV3" s="440">
        <v>125</v>
      </c>
      <c r="DW3" s="440">
        <v>126</v>
      </c>
      <c r="DX3" s="440">
        <v>127</v>
      </c>
      <c r="DY3" s="440">
        <v>128</v>
      </c>
      <c r="DZ3" s="440">
        <v>129</v>
      </c>
      <c r="EA3" s="440">
        <v>130</v>
      </c>
      <c r="EB3" s="440">
        <v>131</v>
      </c>
      <c r="EC3" s="440">
        <v>132</v>
      </c>
      <c r="ED3" s="440">
        <v>133</v>
      </c>
      <c r="EE3" s="440">
        <v>134</v>
      </c>
      <c r="EF3" s="440">
        <v>135</v>
      </c>
      <c r="EG3" s="440">
        <v>136</v>
      </c>
      <c r="EH3" s="440">
        <v>137</v>
      </c>
      <c r="EI3" s="440">
        <v>138</v>
      </c>
      <c r="EJ3" s="440">
        <v>139</v>
      </c>
      <c r="EK3" s="440">
        <v>140</v>
      </c>
      <c r="EL3" s="440">
        <v>141</v>
      </c>
      <c r="EM3" s="440">
        <v>142</v>
      </c>
      <c r="EN3" s="440">
        <v>143</v>
      </c>
      <c r="EO3" s="440">
        <v>144</v>
      </c>
      <c r="EP3" s="440">
        <v>145</v>
      </c>
      <c r="EQ3" s="440">
        <v>146</v>
      </c>
      <c r="ER3" s="440">
        <v>147</v>
      </c>
      <c r="ES3" s="440">
        <v>148</v>
      </c>
      <c r="ET3" s="440">
        <v>149</v>
      </c>
      <c r="EU3" s="440">
        <v>150</v>
      </c>
      <c r="EV3" s="440">
        <v>151</v>
      </c>
      <c r="EW3" s="440">
        <v>152</v>
      </c>
      <c r="EX3" s="440">
        <v>153</v>
      </c>
      <c r="EY3" s="440">
        <v>154</v>
      </c>
      <c r="EZ3" s="440">
        <v>155</v>
      </c>
      <c r="FA3" s="440">
        <v>156</v>
      </c>
      <c r="FB3" s="440">
        <v>157</v>
      </c>
      <c r="FC3" s="440">
        <v>158</v>
      </c>
      <c r="FD3" s="440">
        <v>159</v>
      </c>
      <c r="FE3" s="440">
        <v>160</v>
      </c>
      <c r="FF3" s="440">
        <v>161</v>
      </c>
      <c r="FG3" s="440">
        <v>162</v>
      </c>
      <c r="FH3" s="440">
        <v>163</v>
      </c>
      <c r="FI3" s="440">
        <v>164</v>
      </c>
      <c r="FJ3" s="440">
        <v>165</v>
      </c>
      <c r="FK3" s="440">
        <v>166</v>
      </c>
      <c r="FL3" s="440">
        <v>167</v>
      </c>
      <c r="FM3" s="440">
        <v>168</v>
      </c>
      <c r="FN3" s="440">
        <v>169</v>
      </c>
    </row>
    <row r="4" spans="1:254" s="666" customFormat="1" ht="23.25" customHeight="1">
      <c r="A4" s="425"/>
      <c r="B4" s="425"/>
      <c r="C4" s="425"/>
      <c r="D4" s="673"/>
      <c r="E4" s="674"/>
      <c r="F4" s="674"/>
      <c r="G4" s="674"/>
      <c r="H4" s="674"/>
      <c r="I4" s="674"/>
      <c r="J4" s="674"/>
      <c r="K4" s="674"/>
      <c r="L4" s="674"/>
      <c r="M4" s="674"/>
      <c r="N4" s="674"/>
      <c r="O4" s="674"/>
      <c r="P4" s="674"/>
      <c r="Q4" s="674"/>
      <c r="R4" s="674"/>
      <c r="S4" s="674"/>
      <c r="T4" s="674"/>
      <c r="U4" s="674"/>
      <c r="V4" s="674"/>
      <c r="W4" s="674"/>
      <c r="X4" s="674"/>
      <c r="Y4" s="674"/>
      <c r="Z4" s="674"/>
      <c r="AA4" s="674"/>
      <c r="AB4" s="674"/>
      <c r="AC4" s="672"/>
      <c r="AD4" s="672"/>
      <c r="AE4" s="672"/>
      <c r="AF4" s="672"/>
      <c r="AG4" s="672"/>
      <c r="AH4" s="672"/>
      <c r="AI4" s="672"/>
      <c r="AJ4" s="425"/>
      <c r="AK4" s="425"/>
      <c r="AL4" s="425"/>
      <c r="AM4" s="425"/>
      <c r="AN4" s="425"/>
      <c r="AO4" s="425"/>
      <c r="AP4" s="425"/>
      <c r="AQ4" s="451"/>
      <c r="AR4" s="451"/>
      <c r="AS4" s="451"/>
      <c r="AT4" s="451"/>
      <c r="AU4" s="451"/>
      <c r="AV4" s="451"/>
      <c r="AW4" s="451"/>
      <c r="AX4" s="451"/>
      <c r="AY4" s="451"/>
      <c r="AZ4" s="451"/>
      <c r="BA4" s="451"/>
      <c r="BB4" s="451"/>
      <c r="BC4" s="451"/>
      <c r="BD4" s="451"/>
      <c r="BE4" s="451"/>
      <c r="BF4" s="451"/>
      <c r="BG4" s="451"/>
      <c r="BH4" s="451"/>
      <c r="BI4" s="451"/>
      <c r="BJ4" s="451"/>
      <c r="BK4" s="451"/>
      <c r="BL4" s="451"/>
      <c r="BM4" s="451"/>
      <c r="BN4" s="451"/>
      <c r="BO4" s="451"/>
      <c r="BP4" s="451"/>
      <c r="BQ4" s="451"/>
      <c r="BR4" s="451"/>
      <c r="BS4" s="451"/>
      <c r="BT4" s="451"/>
      <c r="BU4" s="451"/>
      <c r="BV4" s="425"/>
      <c r="BW4" s="451"/>
      <c r="BX4" s="451"/>
      <c r="BY4" s="425"/>
      <c r="BZ4" s="425"/>
      <c r="CA4" s="425"/>
      <c r="CB4" s="425"/>
      <c r="CC4" s="425"/>
      <c r="CD4" s="425"/>
      <c r="CE4" s="425"/>
      <c r="CF4" s="425"/>
      <c r="CG4" s="425"/>
      <c r="CH4" s="425"/>
      <c r="CI4" s="425"/>
      <c r="CJ4" s="425"/>
      <c r="CK4" s="425"/>
      <c r="CL4" s="425"/>
      <c r="CM4" s="425"/>
      <c r="CN4" s="425"/>
      <c r="CO4" s="451"/>
      <c r="CP4" s="451"/>
      <c r="CQ4" s="451"/>
      <c r="CR4" s="425"/>
      <c r="CS4" s="425"/>
      <c r="CT4" s="425"/>
      <c r="CU4" s="425"/>
      <c r="CV4" s="451"/>
      <c r="CW4" s="451"/>
      <c r="CX4" s="451"/>
      <c r="CY4" s="451"/>
      <c r="CZ4" s="425"/>
      <c r="DA4" s="425"/>
      <c r="DB4" s="425"/>
      <c r="DC4" s="425"/>
      <c r="DD4" s="425"/>
      <c r="DE4" s="425"/>
      <c r="DF4" s="425"/>
      <c r="DG4" s="425"/>
      <c r="DH4" s="425"/>
      <c r="DI4" s="425"/>
      <c r="DJ4" s="425"/>
      <c r="DK4" s="425"/>
      <c r="DL4" s="425"/>
      <c r="DM4" s="425"/>
      <c r="DN4" s="425"/>
      <c r="DO4" s="425"/>
      <c r="DP4" s="425"/>
      <c r="DQ4" s="425"/>
      <c r="DR4" s="425"/>
      <c r="DS4" s="425"/>
      <c r="DT4" s="425"/>
      <c r="DU4" s="425"/>
      <c r="DV4" s="425"/>
      <c r="DW4" s="425"/>
      <c r="DX4" s="425"/>
      <c r="DY4" s="425"/>
      <c r="DZ4" s="425"/>
      <c r="EA4" s="425"/>
      <c r="EB4" s="425"/>
      <c r="EC4" s="425"/>
      <c r="ED4" s="425"/>
      <c r="EE4" s="425"/>
      <c r="EF4" s="425"/>
      <c r="EG4" s="425"/>
      <c r="EH4" s="425"/>
      <c r="EI4" s="425"/>
      <c r="EJ4" s="425"/>
      <c r="EK4" s="425"/>
      <c r="EL4" s="425"/>
      <c r="EM4" s="425"/>
      <c r="EN4" s="425"/>
      <c r="EO4" s="425"/>
      <c r="EP4" s="425"/>
      <c r="EQ4" s="425"/>
      <c r="ER4" s="425"/>
      <c r="ES4" s="425"/>
      <c r="ET4" s="425"/>
      <c r="EU4" s="425"/>
      <c r="EV4" s="425"/>
      <c r="EW4" s="425"/>
      <c r="EX4" s="425"/>
    </row>
    <row r="5" spans="1:254" s="666" customFormat="1">
      <c r="B5" s="923"/>
      <c r="C5" s="924"/>
      <c r="D5" s="673" t="s">
        <v>114</v>
      </c>
      <c r="E5" s="672"/>
      <c r="F5" s="672"/>
      <c r="G5" s="672"/>
      <c r="H5" s="672"/>
      <c r="I5" s="672"/>
      <c r="J5" s="672"/>
      <c r="K5" s="672"/>
      <c r="L5" s="672"/>
      <c r="M5" s="672"/>
      <c r="N5" s="672"/>
      <c r="O5" s="672"/>
      <c r="P5" s="672"/>
      <c r="Q5" s="672"/>
      <c r="R5" s="672"/>
      <c r="S5" s="672"/>
      <c r="T5" s="672"/>
      <c r="U5" s="672"/>
      <c r="V5" s="672"/>
      <c r="W5" s="672"/>
      <c r="X5" s="672"/>
      <c r="Y5" s="672"/>
      <c r="Z5" s="672"/>
      <c r="AA5" s="672"/>
      <c r="AB5" s="672"/>
      <c r="AC5" s="672"/>
      <c r="AD5" s="672"/>
      <c r="AE5" s="672"/>
      <c r="AF5" s="672"/>
      <c r="AG5" s="672"/>
      <c r="AH5" s="672"/>
      <c r="AI5" s="672"/>
      <c r="AQ5" s="414"/>
      <c r="AR5" s="414"/>
      <c r="AS5" s="414"/>
      <c r="AT5" s="414"/>
      <c r="AU5" s="414"/>
      <c r="AV5" s="414"/>
      <c r="AW5" s="414"/>
      <c r="AX5" s="414"/>
      <c r="AY5" s="414"/>
      <c r="AZ5" s="414"/>
      <c r="BA5" s="414"/>
      <c r="BB5" s="414"/>
      <c r="BC5" s="414"/>
      <c r="BD5" s="414"/>
      <c r="BE5" s="414"/>
      <c r="BF5" s="414"/>
      <c r="BG5" s="414"/>
      <c r="BH5" s="414"/>
      <c r="BI5" s="414"/>
      <c r="BJ5" s="414"/>
      <c r="BK5" s="414"/>
      <c r="BL5" s="414"/>
      <c r="BM5" s="414"/>
      <c r="BN5" s="414"/>
      <c r="BO5" s="414"/>
      <c r="BP5" s="414"/>
      <c r="BQ5" s="414"/>
      <c r="BR5" s="414"/>
      <c r="BS5" s="414"/>
      <c r="BT5" s="414"/>
      <c r="BU5" s="414"/>
      <c r="BV5" s="414"/>
      <c r="BW5" s="414"/>
      <c r="BX5" s="414"/>
      <c r="BY5" s="414"/>
      <c r="BZ5" s="414"/>
      <c r="CA5" s="414"/>
      <c r="CB5" s="414"/>
      <c r="CC5" s="414"/>
      <c r="CD5" s="414"/>
      <c r="CE5" s="414"/>
      <c r="CF5" s="414"/>
      <c r="CG5" s="414"/>
      <c r="CH5" s="414"/>
      <c r="CI5" s="414"/>
      <c r="CJ5" s="414"/>
      <c r="CK5" s="414"/>
      <c r="CL5" s="414"/>
      <c r="CM5" s="414"/>
      <c r="CN5" s="414"/>
      <c r="CO5" s="414"/>
      <c r="CP5" s="414"/>
      <c r="CQ5" s="414"/>
      <c r="CR5" s="414"/>
      <c r="CS5" s="414"/>
      <c r="CT5" s="414"/>
      <c r="CU5" s="414"/>
      <c r="CV5" s="479"/>
      <c r="CW5" s="479"/>
      <c r="CX5" s="479"/>
      <c r="CY5" s="479"/>
      <c r="CZ5" s="414"/>
      <c r="DA5" s="414"/>
      <c r="DB5" s="414"/>
      <c r="DC5" s="414"/>
      <c r="DD5" s="414"/>
      <c r="DE5" s="414"/>
      <c r="DF5" s="414"/>
      <c r="DH5" s="414"/>
      <c r="DI5" s="414"/>
      <c r="DJ5" s="414"/>
      <c r="DL5" s="414"/>
      <c r="DM5" s="414"/>
      <c r="DN5" s="414"/>
    </row>
    <row r="6" spans="1:254" s="681" customFormat="1">
      <c r="A6" s="676"/>
      <c r="B6" s="925" t="s">
        <v>0</v>
      </c>
      <c r="C6" s="926"/>
      <c r="D6" s="677"/>
      <c r="E6" s="678"/>
      <c r="F6" s="678"/>
      <c r="G6" s="678"/>
      <c r="H6" s="679"/>
      <c r="I6" s="679"/>
      <c r="J6" s="680"/>
      <c r="K6" s="680"/>
      <c r="L6" s="680"/>
      <c r="M6" s="680"/>
      <c r="N6" s="680"/>
      <c r="O6" s="680"/>
      <c r="P6" s="680"/>
      <c r="Q6" s="680"/>
      <c r="R6" s="450"/>
      <c r="S6" s="450"/>
      <c r="T6" s="450"/>
      <c r="U6" s="450"/>
      <c r="V6" s="450"/>
      <c r="W6" s="680"/>
      <c r="X6" s="455"/>
      <c r="Y6" s="450"/>
      <c r="Z6" s="447"/>
      <c r="AA6" s="448"/>
      <c r="AB6" s="448"/>
      <c r="AC6" s="449"/>
      <c r="AD6" s="449"/>
      <c r="AE6" s="449"/>
      <c r="AF6" s="449"/>
      <c r="AG6" s="449"/>
      <c r="AH6" s="449"/>
      <c r="AI6" s="449"/>
      <c r="AO6" s="455"/>
      <c r="AQ6" s="448"/>
      <c r="AR6" s="448" t="s">
        <v>418</v>
      </c>
      <c r="AS6" s="448"/>
      <c r="AT6" s="448"/>
      <c r="AU6" s="448"/>
      <c r="AV6" s="448"/>
      <c r="AW6" s="450"/>
      <c r="AX6" s="448"/>
      <c r="AY6" s="448"/>
      <c r="AZ6" s="448"/>
      <c r="BA6" s="450" t="s">
        <v>419</v>
      </c>
      <c r="BB6" s="450"/>
      <c r="BC6" s="450"/>
      <c r="BD6" s="450"/>
      <c r="BE6" s="450"/>
      <c r="BF6" s="450"/>
      <c r="BG6" s="450"/>
      <c r="BH6" s="450"/>
      <c r="BI6" s="450"/>
      <c r="BJ6" s="450"/>
      <c r="BK6" s="450"/>
      <c r="BL6" s="450"/>
      <c r="BM6" s="450"/>
      <c r="BN6" s="450"/>
      <c r="BO6" s="450"/>
      <c r="BP6" s="450"/>
      <c r="BQ6" s="450" t="s">
        <v>420</v>
      </c>
      <c r="BR6" s="450"/>
      <c r="BS6" s="450"/>
      <c r="BT6" s="450"/>
      <c r="BU6" s="450"/>
      <c r="BV6" s="455"/>
      <c r="BW6" s="450"/>
      <c r="BX6" s="450"/>
      <c r="BY6" s="455"/>
      <c r="BZ6" s="455" t="s">
        <v>421</v>
      </c>
      <c r="CA6" s="455"/>
      <c r="CB6" s="455"/>
      <c r="CC6" s="455"/>
      <c r="CD6" s="455"/>
      <c r="CE6" s="455"/>
      <c r="CF6" s="455"/>
      <c r="CG6" s="455"/>
      <c r="CH6" s="455" t="s">
        <v>422</v>
      </c>
      <c r="CI6" s="455"/>
      <c r="CJ6" s="455"/>
      <c r="CK6" s="455"/>
      <c r="CL6" s="455"/>
      <c r="CM6" s="455"/>
      <c r="CN6" s="455"/>
      <c r="CO6" s="450" t="s">
        <v>18</v>
      </c>
      <c r="CP6" s="448" t="s">
        <v>19</v>
      </c>
      <c r="CQ6" s="448"/>
      <c r="CR6" s="455" t="s">
        <v>423</v>
      </c>
      <c r="CS6" s="455"/>
      <c r="CT6" s="455"/>
      <c r="CU6" s="455"/>
      <c r="CV6" s="450"/>
      <c r="CW6" s="450"/>
      <c r="CX6" s="450"/>
      <c r="CY6" s="450"/>
      <c r="CZ6" s="455"/>
      <c r="DA6" s="455"/>
      <c r="DB6" s="455"/>
      <c r="DC6" s="455"/>
      <c r="DD6" s="455"/>
      <c r="DE6" s="455"/>
      <c r="DF6" s="455"/>
      <c r="DH6" s="455"/>
      <c r="DI6" s="455"/>
      <c r="DJ6" s="455"/>
      <c r="DL6" s="455"/>
      <c r="DM6" s="455"/>
      <c r="DN6" s="455"/>
      <c r="DO6" s="455"/>
      <c r="DP6" s="455"/>
      <c r="DQ6" s="455"/>
      <c r="DR6" s="455"/>
      <c r="DS6" s="455"/>
      <c r="DT6" s="455"/>
      <c r="DU6" s="455"/>
      <c r="DV6" s="455"/>
      <c r="DW6" s="455"/>
      <c r="DX6" s="455"/>
      <c r="DY6" s="455"/>
      <c r="DZ6" s="455"/>
      <c r="EA6" s="455"/>
      <c r="EB6" s="455"/>
      <c r="EC6" s="455"/>
      <c r="ED6" s="455"/>
      <c r="EE6" s="455"/>
      <c r="EF6" s="455"/>
      <c r="EG6" s="455"/>
      <c r="EH6" s="455"/>
      <c r="EI6" s="455"/>
      <c r="EJ6" s="455"/>
      <c r="EK6" s="455"/>
      <c r="EL6" s="455"/>
      <c r="EM6" s="455"/>
      <c r="EN6" s="455"/>
      <c r="EO6" s="455"/>
      <c r="EP6" s="455"/>
      <c r="EQ6" s="455" t="s">
        <v>513</v>
      </c>
      <c r="ER6" s="455"/>
      <c r="ES6" s="455"/>
      <c r="ET6" s="455"/>
      <c r="EU6" s="455"/>
      <c r="EV6" s="455"/>
      <c r="EW6" s="455"/>
      <c r="EX6" s="455"/>
      <c r="EY6" s="455"/>
      <c r="EZ6" s="455"/>
      <c r="FA6" s="455"/>
      <c r="FB6" s="455"/>
      <c r="FC6" s="455"/>
      <c r="FD6" s="455"/>
      <c r="FE6" s="455"/>
      <c r="FF6" s="455"/>
      <c r="FG6" s="455"/>
      <c r="FH6" s="455"/>
      <c r="FI6" s="455"/>
      <c r="FJ6" s="455"/>
      <c r="FK6" s="455"/>
      <c r="FL6" s="455"/>
      <c r="FM6" s="455"/>
    </row>
    <row r="7" spans="1:254" s="687" customFormat="1" ht="115.5" thickBot="1">
      <c r="A7" s="682"/>
      <c r="B7" s="683" t="s">
        <v>1</v>
      </c>
      <c r="C7" s="683" t="s">
        <v>2</v>
      </c>
      <c r="D7" s="443" t="s">
        <v>291</v>
      </c>
      <c r="E7" s="444" t="s">
        <v>292</v>
      </c>
      <c r="F7" s="445" t="s">
        <v>599</v>
      </c>
      <c r="G7" s="445" t="s">
        <v>600</v>
      </c>
      <c r="H7" s="444" t="s">
        <v>601</v>
      </c>
      <c r="I7" s="446" t="s">
        <v>602</v>
      </c>
      <c r="J7" s="446" t="s">
        <v>603</v>
      </c>
      <c r="K7" s="452" t="s">
        <v>604</v>
      </c>
      <c r="L7" s="445" t="s">
        <v>605</v>
      </c>
      <c r="M7" s="444" t="s">
        <v>606</v>
      </c>
      <c r="N7" s="444" t="s">
        <v>607</v>
      </c>
      <c r="O7" s="444" t="s">
        <v>608</v>
      </c>
      <c r="P7" s="444" t="s">
        <v>609</v>
      </c>
      <c r="Q7" s="411" t="s">
        <v>610</v>
      </c>
      <c r="R7" s="452" t="s">
        <v>293</v>
      </c>
      <c r="S7" s="444" t="s">
        <v>273</v>
      </c>
      <c r="T7" s="444" t="s">
        <v>274</v>
      </c>
      <c r="U7" s="444" t="s">
        <v>611</v>
      </c>
      <c r="V7" s="444" t="s">
        <v>612</v>
      </c>
      <c r="W7" s="411" t="s">
        <v>613</v>
      </c>
      <c r="X7" s="444" t="s">
        <v>614</v>
      </c>
      <c r="Y7" s="444" t="s">
        <v>615</v>
      </c>
      <c r="Z7" s="446" t="s">
        <v>616</v>
      </c>
      <c r="AA7" s="444" t="s">
        <v>617</v>
      </c>
      <c r="AB7" s="444" t="s">
        <v>618</v>
      </c>
      <c r="AC7" s="437"/>
      <c r="AD7" s="437"/>
      <c r="AE7" s="437"/>
      <c r="AF7" s="437"/>
      <c r="AG7" s="437"/>
      <c r="AH7" s="437"/>
      <c r="AI7" s="437"/>
      <c r="AJ7" s="684"/>
      <c r="AK7" s="684"/>
      <c r="AL7" s="684"/>
      <c r="AM7" s="684"/>
      <c r="AN7" s="684"/>
      <c r="AO7" s="685"/>
      <c r="AP7" s="684"/>
      <c r="AQ7" s="452"/>
      <c r="AR7" s="733" t="s">
        <v>645</v>
      </c>
      <c r="AS7" s="452" t="s">
        <v>644</v>
      </c>
      <c r="AT7" s="733" t="s">
        <v>646</v>
      </c>
      <c r="AU7" s="452" t="s">
        <v>652</v>
      </c>
      <c r="AV7" s="452" t="s">
        <v>647</v>
      </c>
      <c r="AW7" s="452" t="s">
        <v>648</v>
      </c>
      <c r="AX7" s="452" t="s">
        <v>649</v>
      </c>
      <c r="AY7" s="733" t="s">
        <v>650</v>
      </c>
      <c r="AZ7" s="733" t="s">
        <v>651</v>
      </c>
      <c r="BA7" s="733" t="s">
        <v>653</v>
      </c>
      <c r="BB7" s="772" t="s">
        <v>748</v>
      </c>
      <c r="BC7" s="452" t="s">
        <v>654</v>
      </c>
      <c r="BD7" s="452" t="s">
        <v>655</v>
      </c>
      <c r="BE7" s="733" t="s">
        <v>656</v>
      </c>
      <c r="BF7" s="772" t="s">
        <v>750</v>
      </c>
      <c r="BG7" s="452" t="s">
        <v>657</v>
      </c>
      <c r="BH7" s="733" t="s">
        <v>658</v>
      </c>
      <c r="BI7" s="452" t="s">
        <v>659</v>
      </c>
      <c r="BJ7" s="452" t="s">
        <v>660</v>
      </c>
      <c r="BK7" s="452" t="s">
        <v>661</v>
      </c>
      <c r="BL7" s="452" t="s">
        <v>662</v>
      </c>
      <c r="BM7" s="452" t="s">
        <v>663</v>
      </c>
      <c r="BN7" s="452" t="s">
        <v>664</v>
      </c>
      <c r="BO7" s="452" t="s">
        <v>665</v>
      </c>
      <c r="BP7" s="452" t="s">
        <v>666</v>
      </c>
      <c r="BQ7" s="452" t="s">
        <v>667</v>
      </c>
      <c r="BR7" s="452" t="s">
        <v>668</v>
      </c>
      <c r="BS7" s="452" t="s">
        <v>669</v>
      </c>
      <c r="BT7" s="452" t="s">
        <v>670</v>
      </c>
      <c r="BU7" s="452" t="s">
        <v>671</v>
      </c>
      <c r="BV7" s="452" t="s">
        <v>672</v>
      </c>
      <c r="BW7" s="452" t="s">
        <v>673</v>
      </c>
      <c r="BX7" s="452" t="s">
        <v>674</v>
      </c>
      <c r="BY7" s="452" t="s">
        <v>675</v>
      </c>
      <c r="BZ7" s="452" t="s">
        <v>676</v>
      </c>
      <c r="CA7" s="452" t="s">
        <v>677</v>
      </c>
      <c r="CB7" s="452" t="s">
        <v>678</v>
      </c>
      <c r="CC7" s="452" t="s">
        <v>679</v>
      </c>
      <c r="CD7" s="452" t="s">
        <v>680</v>
      </c>
      <c r="CE7" s="452" t="s">
        <v>681</v>
      </c>
      <c r="CF7" s="685" t="s">
        <v>682</v>
      </c>
      <c r="CG7" s="452" t="s">
        <v>683</v>
      </c>
      <c r="CH7" s="452" t="s">
        <v>684</v>
      </c>
      <c r="CI7" s="452" t="s">
        <v>685</v>
      </c>
      <c r="CJ7" s="452" t="s">
        <v>730</v>
      </c>
      <c r="CK7" s="452" t="s">
        <v>731</v>
      </c>
      <c r="CL7" s="452" t="s">
        <v>686</v>
      </c>
      <c r="CM7" s="452" t="s">
        <v>687</v>
      </c>
      <c r="CN7" s="452" t="s">
        <v>688</v>
      </c>
      <c r="CO7" s="452" t="s">
        <v>689</v>
      </c>
      <c r="CP7" s="452" t="s">
        <v>690</v>
      </c>
      <c r="CQ7" s="452" t="s">
        <v>691</v>
      </c>
      <c r="CR7" s="452" t="s">
        <v>692</v>
      </c>
      <c r="CS7" s="452" t="s">
        <v>693</v>
      </c>
      <c r="CT7" s="452" t="s">
        <v>694</v>
      </c>
      <c r="CU7" s="452" t="s">
        <v>695</v>
      </c>
      <c r="CV7" s="480" t="s">
        <v>641</v>
      </c>
      <c r="CW7" s="480" t="s">
        <v>642</v>
      </c>
      <c r="CX7" s="480" t="s">
        <v>643</v>
      </c>
      <c r="CY7" s="669" t="s">
        <v>639</v>
      </c>
      <c r="CZ7" s="686"/>
      <c r="DA7" s="686"/>
      <c r="DB7" s="686"/>
      <c r="DC7" s="686"/>
      <c r="DD7" s="686"/>
      <c r="DE7" s="686"/>
      <c r="DF7" s="686"/>
      <c r="DH7" s="452" t="s">
        <v>640</v>
      </c>
      <c r="DI7" s="452" t="s">
        <v>637</v>
      </c>
      <c r="DJ7" s="452" t="s">
        <v>638</v>
      </c>
      <c r="DL7" s="688"/>
      <c r="DM7" s="688"/>
      <c r="DN7" s="689"/>
      <c r="DO7" s="690"/>
      <c r="DP7" s="691"/>
      <c r="DQ7" s="691" t="s">
        <v>275</v>
      </c>
      <c r="DR7" s="691"/>
      <c r="DS7" s="691"/>
      <c r="DT7" s="690" t="s">
        <v>270</v>
      </c>
      <c r="DU7" s="690" t="s">
        <v>230</v>
      </c>
      <c r="DV7" s="690"/>
      <c r="DW7" s="690" t="s">
        <v>238</v>
      </c>
      <c r="DX7" s="690" t="s">
        <v>241</v>
      </c>
      <c r="DY7" s="690" t="s">
        <v>239</v>
      </c>
      <c r="DZ7" s="690" t="s">
        <v>240</v>
      </c>
      <c r="EA7" s="691"/>
      <c r="EB7" s="691"/>
      <c r="EC7" s="691"/>
      <c r="ED7" s="452" t="s">
        <v>629</v>
      </c>
      <c r="EE7" s="452" t="s">
        <v>630</v>
      </c>
      <c r="EF7" s="452" t="s">
        <v>631</v>
      </c>
      <c r="EG7" s="452" t="s">
        <v>632</v>
      </c>
      <c r="EH7" s="452" t="s">
        <v>633</v>
      </c>
      <c r="EI7" s="772" t="s">
        <v>752</v>
      </c>
      <c r="EJ7" s="772" t="s">
        <v>754</v>
      </c>
      <c r="EK7" s="772" t="s">
        <v>753</v>
      </c>
      <c r="EL7" s="452" t="s">
        <v>634</v>
      </c>
      <c r="EM7" s="452" t="s">
        <v>635</v>
      </c>
      <c r="EN7" s="452" t="s">
        <v>636</v>
      </c>
      <c r="EO7" s="691"/>
      <c r="EP7" s="691"/>
      <c r="EQ7" s="691" t="s">
        <v>352</v>
      </c>
      <c r="ER7" s="691" t="s">
        <v>353</v>
      </c>
      <c r="ES7" s="452" t="s">
        <v>576</v>
      </c>
      <c r="ET7" s="452" t="s">
        <v>732</v>
      </c>
      <c r="EU7" s="452" t="s">
        <v>733</v>
      </c>
      <c r="EV7" s="690" t="s">
        <v>354</v>
      </c>
      <c r="EW7" s="690" t="s">
        <v>355</v>
      </c>
      <c r="EX7" s="690" t="s">
        <v>378</v>
      </c>
      <c r="EY7" s="692" t="s">
        <v>626</v>
      </c>
      <c r="EZ7" s="692" t="s">
        <v>627</v>
      </c>
      <c r="FA7" s="692" t="s">
        <v>628</v>
      </c>
      <c r="FB7" s="692" t="s">
        <v>619</v>
      </c>
      <c r="FC7" s="692" t="s">
        <v>620</v>
      </c>
      <c r="FD7" s="692" t="s">
        <v>621</v>
      </c>
      <c r="FE7" s="692" t="s">
        <v>622</v>
      </c>
      <c r="FF7" s="693" t="s">
        <v>356</v>
      </c>
      <c r="FG7" s="692" t="s">
        <v>623</v>
      </c>
      <c r="FH7" s="692" t="s">
        <v>624</v>
      </c>
      <c r="FI7" s="692" t="s">
        <v>625</v>
      </c>
      <c r="FJ7" s="693" t="s">
        <v>357</v>
      </c>
      <c r="FK7" s="693" t="s">
        <v>358</v>
      </c>
      <c r="FL7" s="693" t="s">
        <v>359</v>
      </c>
      <c r="FM7" s="693" t="s">
        <v>360</v>
      </c>
      <c r="FN7" s="692" t="s">
        <v>361</v>
      </c>
      <c r="FO7" s="694"/>
      <c r="FP7" s="694"/>
      <c r="FQ7" s="694"/>
      <c r="FR7" s="694"/>
      <c r="FS7" s="695"/>
      <c r="FT7" s="695"/>
      <c r="FU7" s="695"/>
      <c r="FV7" s="695"/>
      <c r="FW7" s="695"/>
      <c r="FX7" s="695"/>
      <c r="FY7" s="695"/>
      <c r="FZ7" s="695"/>
      <c r="GA7" s="695"/>
      <c r="GB7" s="695"/>
      <c r="GC7" s="695"/>
      <c r="GD7" s="695"/>
      <c r="GE7" s="695"/>
      <c r="GF7" s="695"/>
      <c r="GG7" s="695"/>
      <c r="GH7" s="695"/>
      <c r="GI7" s="695"/>
      <c r="GJ7" s="695"/>
      <c r="GK7" s="695"/>
      <c r="GL7" s="695"/>
      <c r="GM7" s="695"/>
      <c r="GN7" s="695"/>
      <c r="GO7" s="695"/>
      <c r="GP7" s="695"/>
      <c r="GQ7" s="695"/>
      <c r="GR7" s="695"/>
      <c r="GS7" s="695"/>
      <c r="GT7" s="695"/>
      <c r="GU7" s="695"/>
      <c r="GV7" s="695"/>
      <c r="GW7" s="695"/>
      <c r="GX7" s="695"/>
      <c r="GY7" s="695"/>
      <c r="GZ7" s="695"/>
      <c r="HA7" s="695"/>
      <c r="HB7" s="695"/>
      <c r="HC7" s="695"/>
      <c r="HD7" s="695"/>
      <c r="HE7" s="695"/>
      <c r="HF7" s="695"/>
      <c r="HG7" s="695"/>
      <c r="HH7" s="695"/>
      <c r="HI7" s="695"/>
      <c r="HJ7" s="695"/>
      <c r="HK7" s="695"/>
      <c r="HL7" s="695"/>
      <c r="HM7" s="695"/>
      <c r="HN7" s="695"/>
      <c r="HO7" s="695"/>
      <c r="HP7" s="695"/>
      <c r="HQ7" s="695"/>
      <c r="HR7" s="695"/>
      <c r="HS7" s="695"/>
      <c r="HT7" s="695"/>
      <c r="HU7" s="695"/>
      <c r="HV7" s="695"/>
      <c r="HW7" s="695"/>
      <c r="HX7" s="695"/>
      <c r="HY7" s="695"/>
      <c r="HZ7" s="695"/>
      <c r="IA7" s="695"/>
      <c r="IB7" s="695"/>
      <c r="IC7" s="695"/>
      <c r="ID7" s="695"/>
      <c r="IE7" s="695"/>
      <c r="IF7" s="695"/>
      <c r="IG7" s="695"/>
      <c r="IH7" s="695"/>
      <c r="II7" s="695"/>
      <c r="IJ7" s="695"/>
      <c r="IK7" s="695"/>
      <c r="IL7" s="695"/>
      <c r="IM7" s="695"/>
      <c r="IN7" s="695"/>
      <c r="IO7" s="695"/>
      <c r="IP7" s="695"/>
      <c r="IQ7" s="695"/>
      <c r="IR7" s="695"/>
      <c r="IS7" s="695"/>
      <c r="IT7" s="695"/>
    </row>
    <row r="8" spans="1:254" ht="15">
      <c r="A8" s="425" t="s">
        <v>9</v>
      </c>
      <c r="B8" s="417">
        <v>40537</v>
      </c>
      <c r="C8" s="418">
        <v>0</v>
      </c>
      <c r="D8" s="419">
        <v>0.49</v>
      </c>
      <c r="E8" s="199">
        <v>0</v>
      </c>
      <c r="F8" s="199">
        <v>40</v>
      </c>
      <c r="G8" s="199">
        <v>1.175</v>
      </c>
      <c r="H8" s="420">
        <v>10</v>
      </c>
      <c r="I8" s="420">
        <v>91.4</v>
      </c>
      <c r="J8" s="199">
        <v>3.43</v>
      </c>
      <c r="K8" s="422" t="s">
        <v>742</v>
      </c>
      <c r="L8" s="199">
        <v>13.760000000000218</v>
      </c>
      <c r="M8" s="199">
        <v>24.5</v>
      </c>
      <c r="N8" s="199">
        <v>1.67</v>
      </c>
      <c r="O8" s="199">
        <v>2.2644115911071139</v>
      </c>
      <c r="P8" s="199" t="s">
        <v>742</v>
      </c>
      <c r="Q8" s="199">
        <v>0</v>
      </c>
      <c r="R8" s="199">
        <v>887.60405548216647</v>
      </c>
      <c r="S8" s="199">
        <v>7.84</v>
      </c>
      <c r="T8" s="199" t="s">
        <v>742</v>
      </c>
      <c r="U8" s="199">
        <v>0.87</v>
      </c>
      <c r="V8" s="199" t="s">
        <v>742</v>
      </c>
      <c r="W8" s="199">
        <v>42.08</v>
      </c>
      <c r="X8" s="423" t="e">
        <v>#VALUE!</v>
      </c>
      <c r="Y8" s="199">
        <v>29.22</v>
      </c>
      <c r="Z8" s="199">
        <v>21.86</v>
      </c>
      <c r="AA8" s="420">
        <v>30</v>
      </c>
      <c r="AB8" s="420">
        <v>18</v>
      </c>
      <c r="AC8" s="732">
        <f>SUM(AA8:AB8)</f>
        <v>48</v>
      </c>
      <c r="AD8" s="732"/>
      <c r="AE8" s="732"/>
      <c r="AF8" s="732"/>
      <c r="AG8" s="732"/>
      <c r="AH8" s="732"/>
      <c r="AI8" s="732"/>
      <c r="AO8" s="423"/>
      <c r="AQ8" s="199"/>
      <c r="AR8" s="734">
        <v>0</v>
      </c>
      <c r="AS8" s="453">
        <v>36.799999999999997</v>
      </c>
      <c r="AT8" s="734">
        <v>0</v>
      </c>
      <c r="AU8" s="453">
        <v>31</v>
      </c>
      <c r="AV8" s="519">
        <v>394.2</v>
      </c>
      <c r="AW8" s="519">
        <v>428.1</v>
      </c>
      <c r="AX8" s="453">
        <v>0</v>
      </c>
      <c r="AY8" s="734">
        <v>0</v>
      </c>
      <c r="AZ8" s="734">
        <v>0</v>
      </c>
      <c r="BA8" s="734">
        <v>0</v>
      </c>
      <c r="BB8" s="453">
        <v>0</v>
      </c>
      <c r="BC8" s="453">
        <v>0.4</v>
      </c>
      <c r="BD8" s="453">
        <v>0.46</v>
      </c>
      <c r="BE8" s="734">
        <v>0</v>
      </c>
      <c r="BF8" s="453">
        <v>0</v>
      </c>
      <c r="BG8" s="453">
        <v>0</v>
      </c>
      <c r="BH8" s="734">
        <v>0</v>
      </c>
      <c r="BI8" s="453">
        <v>0</v>
      </c>
      <c r="BJ8" s="453">
        <v>16.899999999999999</v>
      </c>
      <c r="BK8" s="453">
        <v>0</v>
      </c>
      <c r="BL8" s="453">
        <v>2.04</v>
      </c>
      <c r="BM8" s="453">
        <v>0</v>
      </c>
      <c r="BN8" s="453">
        <v>14.8</v>
      </c>
      <c r="BO8" s="453">
        <v>1806.5</v>
      </c>
      <c r="BP8" s="453">
        <v>0</v>
      </c>
      <c r="BQ8" s="453">
        <v>18.2</v>
      </c>
      <c r="BR8" s="453">
        <v>18.16</v>
      </c>
      <c r="BS8" s="453">
        <v>0</v>
      </c>
      <c r="BT8" s="453">
        <v>30.6</v>
      </c>
      <c r="BU8" s="453">
        <v>22.4</v>
      </c>
      <c r="BV8" s="456">
        <v>454.1</v>
      </c>
      <c r="BW8" s="453">
        <v>0.9</v>
      </c>
      <c r="BX8" s="453">
        <v>1.69</v>
      </c>
      <c r="BY8" s="456">
        <v>1.07</v>
      </c>
      <c r="BZ8" s="456">
        <v>15.3</v>
      </c>
      <c r="CA8" s="456">
        <v>32.5</v>
      </c>
      <c r="CB8" s="456">
        <v>12.8</v>
      </c>
      <c r="CC8" s="456">
        <v>9.9700000000000006</v>
      </c>
      <c r="CD8" s="456">
        <v>14.11</v>
      </c>
      <c r="CE8" s="456">
        <v>18.45</v>
      </c>
      <c r="CF8" s="456">
        <v>13</v>
      </c>
      <c r="CG8" s="456">
        <v>475.42</v>
      </c>
      <c r="CH8" s="456">
        <v>1.7</v>
      </c>
      <c r="CI8" s="456">
        <v>2.7</v>
      </c>
      <c r="CJ8" s="456">
        <v>194.3</v>
      </c>
      <c r="CK8" s="456">
        <v>375.1</v>
      </c>
      <c r="CL8" s="456">
        <v>409.1</v>
      </c>
      <c r="CM8" s="456">
        <v>10.9</v>
      </c>
      <c r="CN8" s="456">
        <v>1</v>
      </c>
      <c r="CO8" s="453">
        <v>0</v>
      </c>
      <c r="CP8" s="453">
        <v>15.69</v>
      </c>
      <c r="CQ8" s="453">
        <v>45</v>
      </c>
      <c r="CR8" s="456">
        <v>0</v>
      </c>
      <c r="CS8" s="456">
        <v>0</v>
      </c>
      <c r="CT8" s="456">
        <v>0</v>
      </c>
      <c r="CU8" s="456">
        <v>0</v>
      </c>
      <c r="CV8" s="481">
        <v>850.5</v>
      </c>
      <c r="CW8" s="481">
        <v>1707.0833333333333</v>
      </c>
      <c r="CX8" s="481">
        <v>894.69791666666663</v>
      </c>
      <c r="CY8" s="481">
        <v>1077.92</v>
      </c>
      <c r="CZ8" s="456"/>
      <c r="DA8" s="456"/>
      <c r="DB8" s="456"/>
      <c r="DC8" s="456"/>
      <c r="DD8" s="456"/>
      <c r="DE8" s="423"/>
      <c r="DF8" s="423"/>
      <c r="DH8" s="423">
        <v>0</v>
      </c>
      <c r="DI8" s="423">
        <v>0.85</v>
      </c>
      <c r="DJ8" s="423">
        <v>1.26</v>
      </c>
      <c r="DL8" s="423"/>
      <c r="DM8" s="423"/>
      <c r="DN8" s="423"/>
      <c r="DO8" s="423"/>
      <c r="DP8" s="423"/>
      <c r="DQ8" s="423"/>
      <c r="DR8" s="423"/>
      <c r="DS8" s="423"/>
      <c r="DT8" s="423"/>
      <c r="DU8" s="423"/>
      <c r="DV8" s="423"/>
      <c r="DW8" s="423"/>
      <c r="DX8" s="423"/>
      <c r="DY8" s="423"/>
      <c r="DZ8" s="423"/>
      <c r="EA8" s="423"/>
      <c r="EB8" s="423"/>
      <c r="EC8" s="423"/>
      <c r="ED8" s="423">
        <v>0</v>
      </c>
      <c r="EE8" s="423">
        <v>1</v>
      </c>
      <c r="EF8" s="423">
        <v>2.5</v>
      </c>
      <c r="EG8" s="423">
        <v>6</v>
      </c>
      <c r="EH8" s="423">
        <v>0</v>
      </c>
      <c r="EI8" s="423"/>
      <c r="EJ8" s="423"/>
      <c r="EK8" s="423"/>
      <c r="EL8" s="423"/>
      <c r="EM8" s="423"/>
      <c r="EN8" s="423"/>
      <c r="EQ8" s="3" t="s">
        <v>743</v>
      </c>
      <c r="ER8" s="3">
        <v>1</v>
      </c>
      <c r="ES8" s="3">
        <v>8</v>
      </c>
      <c r="ET8" s="3">
        <v>4000</v>
      </c>
      <c r="EU8" s="666">
        <v>3200</v>
      </c>
      <c r="EV8" s="666">
        <v>70</v>
      </c>
      <c r="EW8" s="666">
        <v>6517546</v>
      </c>
      <c r="EX8" s="666">
        <v>39981</v>
      </c>
      <c r="EY8" s="666">
        <v>18.5</v>
      </c>
      <c r="EZ8" s="666">
        <v>18.5</v>
      </c>
      <c r="FA8" s="666">
        <v>0</v>
      </c>
      <c r="FB8" s="666">
        <v>1.56</v>
      </c>
      <c r="FC8" s="666">
        <v>1.41</v>
      </c>
      <c r="FD8" s="666">
        <v>1.1299999999999999</v>
      </c>
      <c r="FE8" s="666">
        <v>1.1599999999999999</v>
      </c>
      <c r="FF8" s="666">
        <v>120</v>
      </c>
      <c r="FG8" s="666">
        <v>2.67</v>
      </c>
      <c r="FH8" s="666">
        <v>0.93</v>
      </c>
      <c r="FI8" s="666">
        <v>1.53</v>
      </c>
      <c r="FJ8" s="666">
        <v>8.1999999999999993</v>
      </c>
      <c r="FK8" s="666">
        <v>8.1</v>
      </c>
      <c r="FL8" s="413">
        <v>8.2799999999999994</v>
      </c>
      <c r="FM8" s="413">
        <v>7.7</v>
      </c>
      <c r="FN8" s="413">
        <v>1</v>
      </c>
    </row>
    <row r="9" spans="1:254" ht="15">
      <c r="A9" s="425" t="s">
        <v>3</v>
      </c>
      <c r="B9" s="417">
        <v>40538</v>
      </c>
      <c r="C9" s="418">
        <v>0</v>
      </c>
      <c r="D9" s="419">
        <v>0.26</v>
      </c>
      <c r="E9" s="199">
        <v>0</v>
      </c>
      <c r="F9" s="199">
        <v>36</v>
      </c>
      <c r="G9" s="199">
        <v>1.175</v>
      </c>
      <c r="H9" s="420">
        <v>1.84</v>
      </c>
      <c r="I9" s="420">
        <v>93.8</v>
      </c>
      <c r="J9" s="199">
        <v>1.81</v>
      </c>
      <c r="K9" s="422" t="s">
        <v>742</v>
      </c>
      <c r="L9" s="199">
        <v>0</v>
      </c>
      <c r="M9" s="199">
        <v>24.7</v>
      </c>
      <c r="N9" s="199">
        <v>1.7</v>
      </c>
      <c r="O9" s="199">
        <v>2.3679757289021595</v>
      </c>
      <c r="P9" s="199" t="s">
        <v>742</v>
      </c>
      <c r="Q9" s="199">
        <v>0</v>
      </c>
      <c r="R9" s="199">
        <v>985.27349801849402</v>
      </c>
      <c r="S9" s="199">
        <v>7.99</v>
      </c>
      <c r="T9" s="199" t="s">
        <v>742</v>
      </c>
      <c r="U9" s="199">
        <v>0.96</v>
      </c>
      <c r="V9" s="199" t="s">
        <v>742</v>
      </c>
      <c r="W9" s="199">
        <v>44.600000000000009</v>
      </c>
      <c r="X9" s="423" t="e">
        <v>#VALUE!</v>
      </c>
      <c r="Y9" s="199">
        <v>29.72</v>
      </c>
      <c r="Z9" s="199">
        <v>14.87</v>
      </c>
      <c r="AA9" s="420">
        <v>30</v>
      </c>
      <c r="AB9" s="420">
        <v>19.94999999999709</v>
      </c>
      <c r="AC9" s="732">
        <f t="shared" ref="AC9:AC72" si="0">SUM(AA9:AB9)</f>
        <v>49.94999999999709</v>
      </c>
      <c r="AD9" s="732"/>
      <c r="AE9" s="732"/>
      <c r="AF9" s="732"/>
      <c r="AG9" s="732"/>
      <c r="AH9" s="732"/>
      <c r="AI9" s="732"/>
      <c r="AO9" s="423"/>
      <c r="AQ9" s="199"/>
      <c r="AR9" s="734">
        <v>0</v>
      </c>
      <c r="AS9" s="453">
        <v>36.799999999999997</v>
      </c>
      <c r="AT9" s="734">
        <v>0</v>
      </c>
      <c r="AU9" s="453">
        <v>30.9</v>
      </c>
      <c r="AV9" s="519">
        <v>471</v>
      </c>
      <c r="AW9" s="519">
        <v>510.4</v>
      </c>
      <c r="AX9" s="453">
        <v>0</v>
      </c>
      <c r="AY9" s="734">
        <v>0</v>
      </c>
      <c r="AZ9" s="734">
        <v>0</v>
      </c>
      <c r="BA9" s="734">
        <v>0</v>
      </c>
      <c r="BB9" s="453">
        <v>0</v>
      </c>
      <c r="BC9" s="453">
        <v>0.8</v>
      </c>
      <c r="BD9" s="453">
        <v>0.91</v>
      </c>
      <c r="BE9" s="734">
        <v>0</v>
      </c>
      <c r="BF9" s="453">
        <v>0</v>
      </c>
      <c r="BG9" s="453">
        <v>0</v>
      </c>
      <c r="BH9" s="734">
        <v>0</v>
      </c>
      <c r="BI9" s="453">
        <v>0</v>
      </c>
      <c r="BJ9" s="453">
        <v>18.2</v>
      </c>
      <c r="BK9" s="453">
        <v>0</v>
      </c>
      <c r="BL9" s="453">
        <v>4.17</v>
      </c>
      <c r="BM9" s="453">
        <v>0</v>
      </c>
      <c r="BN9" s="453">
        <v>14</v>
      </c>
      <c r="BO9" s="453">
        <v>617</v>
      </c>
      <c r="BP9" s="453">
        <v>0</v>
      </c>
      <c r="BQ9" s="453">
        <v>18.3</v>
      </c>
      <c r="BR9" s="453">
        <v>18.2</v>
      </c>
      <c r="BS9" s="453">
        <v>0</v>
      </c>
      <c r="BT9" s="453">
        <v>29.9</v>
      </c>
      <c r="BU9" s="453">
        <v>24.9</v>
      </c>
      <c r="BV9" s="456">
        <v>642.6</v>
      </c>
      <c r="BW9" s="453">
        <v>0.9</v>
      </c>
      <c r="BX9" s="453">
        <v>1.72</v>
      </c>
      <c r="BY9" s="456">
        <v>1.1399999999999999</v>
      </c>
      <c r="BZ9" s="456">
        <v>15</v>
      </c>
      <c r="CA9" s="456">
        <v>36.5</v>
      </c>
      <c r="CB9" s="456">
        <v>13.96</v>
      </c>
      <c r="CC9" s="456">
        <v>6.2</v>
      </c>
      <c r="CD9" s="456">
        <v>10.37</v>
      </c>
      <c r="CE9" s="456">
        <v>14.7</v>
      </c>
      <c r="CF9" s="456">
        <v>13.1</v>
      </c>
      <c r="CG9" s="456">
        <v>511.6</v>
      </c>
      <c r="CH9" s="456">
        <v>2</v>
      </c>
      <c r="CI9" s="456">
        <v>3.1</v>
      </c>
      <c r="CJ9" s="456">
        <v>265.3</v>
      </c>
      <c r="CK9" s="456">
        <v>408.3</v>
      </c>
      <c r="CL9" s="456">
        <v>442.6</v>
      </c>
      <c r="CM9" s="456">
        <v>11.4</v>
      </c>
      <c r="CN9" s="456">
        <v>1.05</v>
      </c>
      <c r="CO9" s="453">
        <v>0</v>
      </c>
      <c r="CP9" s="453">
        <v>16.22</v>
      </c>
      <c r="CQ9" s="453">
        <v>44</v>
      </c>
      <c r="CR9" s="456">
        <v>0</v>
      </c>
      <c r="CS9" s="456">
        <v>0.6</v>
      </c>
      <c r="CT9" s="456">
        <v>0.78</v>
      </c>
      <c r="CU9" s="456">
        <v>0</v>
      </c>
      <c r="CV9" s="481">
        <v>858</v>
      </c>
      <c r="CW9" s="481">
        <v>1626.25</v>
      </c>
      <c r="CX9" s="481">
        <v>873.71875</v>
      </c>
      <c r="CY9" s="481">
        <v>1078.4100000000001</v>
      </c>
      <c r="CZ9" s="456"/>
      <c r="DA9" s="456"/>
      <c r="DB9" s="456"/>
      <c r="DC9" s="456"/>
      <c r="DD9" s="456"/>
      <c r="DE9" s="423"/>
      <c r="DF9" s="423"/>
      <c r="DH9" s="423"/>
      <c r="DI9" s="423"/>
      <c r="DJ9" s="423"/>
      <c r="DL9" s="423"/>
      <c r="DM9" s="423"/>
      <c r="DN9" s="423"/>
      <c r="DO9" s="423"/>
      <c r="DP9" s="423"/>
      <c r="DQ9" s="423"/>
      <c r="DR9" s="423"/>
      <c r="DS9" s="423"/>
      <c r="DT9" s="423"/>
      <c r="DU9" s="423"/>
      <c r="DV9" s="423"/>
      <c r="DW9" s="423"/>
      <c r="DX9" s="423"/>
      <c r="DY9" s="423"/>
      <c r="DZ9" s="423"/>
      <c r="EA9" s="423"/>
      <c r="EB9" s="423"/>
      <c r="EC9" s="423"/>
      <c r="ED9" s="423">
        <v>0</v>
      </c>
      <c r="EE9" s="423">
        <v>1</v>
      </c>
      <c r="EF9" s="423">
        <v>2.5</v>
      </c>
      <c r="EG9" s="423">
        <v>6</v>
      </c>
      <c r="EH9" s="423">
        <v>0</v>
      </c>
      <c r="EI9" s="423"/>
      <c r="EJ9" s="423"/>
      <c r="EK9" s="423"/>
      <c r="EL9" s="423"/>
      <c r="EM9" s="423"/>
      <c r="EN9" s="423"/>
      <c r="EQ9" s="3" t="s">
        <v>743</v>
      </c>
      <c r="ER9" s="3">
        <v>1</v>
      </c>
      <c r="ES9" s="3">
        <v>8</v>
      </c>
      <c r="ET9" s="3">
        <v>4000</v>
      </c>
      <c r="EU9" s="666">
        <v>3080</v>
      </c>
      <c r="EV9" s="666">
        <v>150</v>
      </c>
      <c r="EW9" s="666">
        <v>6520324</v>
      </c>
      <c r="EX9" s="666">
        <v>40771</v>
      </c>
      <c r="EY9" s="666">
        <v>18.05</v>
      </c>
      <c r="EZ9" s="666">
        <v>18.05</v>
      </c>
      <c r="FA9" s="666">
        <v>0</v>
      </c>
      <c r="FB9" s="666">
        <v>1.57</v>
      </c>
      <c r="FC9" s="666">
        <v>1.44</v>
      </c>
      <c r="FD9" s="666">
        <v>1.1599999999999999</v>
      </c>
      <c r="FE9" s="666">
        <v>1.29</v>
      </c>
      <c r="FF9" s="666">
        <v>120</v>
      </c>
      <c r="FG9" s="666">
        <v>1.23</v>
      </c>
      <c r="FH9" s="666">
        <v>0.83</v>
      </c>
      <c r="FI9" s="666">
        <v>1.28</v>
      </c>
      <c r="FJ9" s="666">
        <v>8.2200000000000006</v>
      </c>
      <c r="FK9" s="666">
        <v>8.1999999999999993</v>
      </c>
      <c r="FL9" s="413">
        <v>8.17</v>
      </c>
      <c r="FM9" s="413">
        <v>7.7</v>
      </c>
      <c r="FN9" s="413">
        <v>1</v>
      </c>
    </row>
    <row r="10" spans="1:254" ht="15">
      <c r="A10" s="425" t="s">
        <v>4</v>
      </c>
      <c r="B10" s="417">
        <v>40539</v>
      </c>
      <c r="C10" s="418">
        <v>0</v>
      </c>
      <c r="D10" s="419">
        <v>1.1000000000000001</v>
      </c>
      <c r="E10" s="199">
        <v>0</v>
      </c>
      <c r="F10" s="199">
        <v>38</v>
      </c>
      <c r="G10" s="199">
        <v>1.4</v>
      </c>
      <c r="H10" s="420">
        <v>1.84</v>
      </c>
      <c r="I10" s="420">
        <v>94</v>
      </c>
      <c r="J10" s="199">
        <v>1.53</v>
      </c>
      <c r="K10" s="422" t="s">
        <v>742</v>
      </c>
      <c r="L10" s="199">
        <v>0</v>
      </c>
      <c r="M10" s="199">
        <v>24.6</v>
      </c>
      <c r="N10" s="199">
        <v>1.65</v>
      </c>
      <c r="O10" s="199">
        <v>2.3866067243364339</v>
      </c>
      <c r="P10" s="199" t="s">
        <v>742</v>
      </c>
      <c r="Q10" s="199">
        <v>0</v>
      </c>
      <c r="R10" s="199">
        <v>1048.9566142668427</v>
      </c>
      <c r="S10" s="199">
        <v>7.96</v>
      </c>
      <c r="T10" s="199" t="s">
        <v>742</v>
      </c>
      <c r="U10" s="199">
        <v>0.95</v>
      </c>
      <c r="V10" s="199" t="s">
        <v>742</v>
      </c>
      <c r="W10" s="199">
        <v>44.600000000000009</v>
      </c>
      <c r="X10" s="423" t="e">
        <v>#VALUE!</v>
      </c>
      <c r="Y10" s="199">
        <v>29.72</v>
      </c>
      <c r="Z10" s="199">
        <v>22.01</v>
      </c>
      <c r="AA10" s="420">
        <v>30.19999999999709</v>
      </c>
      <c r="AB10" s="420">
        <v>22.600000000005821</v>
      </c>
      <c r="AC10" s="732">
        <f t="shared" si="0"/>
        <v>52.80000000000291</v>
      </c>
      <c r="AD10" s="732"/>
      <c r="AE10" s="732"/>
      <c r="AF10" s="732"/>
      <c r="AG10" s="732"/>
      <c r="AH10" s="732"/>
      <c r="AI10" s="732"/>
      <c r="AO10" s="423"/>
      <c r="AQ10" s="199"/>
      <c r="AR10" s="734">
        <v>0</v>
      </c>
      <c r="AS10" s="453">
        <v>36.799999999999997</v>
      </c>
      <c r="AT10" s="734">
        <v>0</v>
      </c>
      <c r="AU10" s="453">
        <v>30.9</v>
      </c>
      <c r="AV10" s="519">
        <v>392.9</v>
      </c>
      <c r="AW10" s="519">
        <v>413.9</v>
      </c>
      <c r="AX10" s="453">
        <v>0</v>
      </c>
      <c r="AY10" s="734">
        <v>0</v>
      </c>
      <c r="AZ10" s="734">
        <v>0</v>
      </c>
      <c r="BA10" s="734">
        <v>0</v>
      </c>
      <c r="BB10" s="453">
        <v>0</v>
      </c>
      <c r="BC10" s="453">
        <v>1.04</v>
      </c>
      <c r="BD10" s="453">
        <v>1.47</v>
      </c>
      <c r="BE10" s="734">
        <v>0</v>
      </c>
      <c r="BF10" s="453">
        <v>0</v>
      </c>
      <c r="BG10" s="453">
        <v>0</v>
      </c>
      <c r="BH10" s="734">
        <v>0</v>
      </c>
      <c r="BI10" s="453">
        <v>0</v>
      </c>
      <c r="BJ10" s="453">
        <v>19.600000000000001</v>
      </c>
      <c r="BK10" s="453">
        <v>0</v>
      </c>
      <c r="BL10" s="453">
        <v>6</v>
      </c>
      <c r="BM10" s="453">
        <v>0</v>
      </c>
      <c r="BN10" s="453">
        <v>13.6</v>
      </c>
      <c r="BO10" s="453">
        <v>1078.7</v>
      </c>
      <c r="BP10" s="453">
        <v>0</v>
      </c>
      <c r="BQ10" s="453">
        <v>18</v>
      </c>
      <c r="BR10" s="453">
        <v>18</v>
      </c>
      <c r="BS10" s="453">
        <v>0</v>
      </c>
      <c r="BT10" s="453">
        <v>30.2</v>
      </c>
      <c r="BU10" s="453">
        <v>27.4</v>
      </c>
      <c r="BV10" s="456">
        <v>454.9</v>
      </c>
      <c r="BW10" s="453">
        <v>0.8</v>
      </c>
      <c r="BX10" s="453">
        <v>1.69</v>
      </c>
      <c r="BY10" s="456">
        <v>1.1200000000000001</v>
      </c>
      <c r="BZ10" s="456">
        <v>15.1</v>
      </c>
      <c r="CA10" s="456">
        <v>35</v>
      </c>
      <c r="CB10" s="456">
        <v>14.7</v>
      </c>
      <c r="CC10" s="456">
        <v>5.0999999999999996</v>
      </c>
      <c r="CD10" s="456">
        <v>9.4</v>
      </c>
      <c r="CE10" s="456">
        <v>13.4</v>
      </c>
      <c r="CF10" s="456">
        <v>13.2</v>
      </c>
      <c r="CG10" s="456">
        <v>529.9</v>
      </c>
      <c r="CH10" s="456">
        <v>2</v>
      </c>
      <c r="CI10" s="456">
        <v>2.8</v>
      </c>
      <c r="CJ10" s="456">
        <v>248</v>
      </c>
      <c r="CK10" s="456">
        <v>386.6</v>
      </c>
      <c r="CL10" s="456">
        <v>469.2</v>
      </c>
      <c r="CM10" s="456">
        <v>12.2</v>
      </c>
      <c r="CN10" s="456">
        <v>1.1200000000000001</v>
      </c>
      <c r="CO10" s="453">
        <v>10.199999999999999</v>
      </c>
      <c r="CP10" s="453">
        <v>15.93</v>
      </c>
      <c r="CQ10" s="453">
        <v>44</v>
      </c>
      <c r="CR10" s="456">
        <v>0</v>
      </c>
      <c r="CS10" s="456">
        <v>0.6</v>
      </c>
      <c r="CT10" s="456">
        <v>1.05</v>
      </c>
      <c r="CU10" s="456">
        <v>0</v>
      </c>
      <c r="CV10" s="481">
        <v>931.85</v>
      </c>
      <c r="CW10" s="481">
        <v>1592.3958333333333</v>
      </c>
      <c r="CX10" s="481">
        <v>956</v>
      </c>
      <c r="CY10" s="481">
        <v>1077.69</v>
      </c>
      <c r="CZ10" s="456"/>
      <c r="DA10" s="456"/>
      <c r="DB10" s="456"/>
      <c r="DC10" s="456"/>
      <c r="DD10" s="456"/>
      <c r="DE10" s="423"/>
      <c r="DF10" s="423"/>
      <c r="DH10" s="423"/>
      <c r="DI10" s="423"/>
      <c r="DJ10" s="423"/>
      <c r="DL10" s="423"/>
      <c r="DM10" s="423"/>
      <c r="DN10" s="423"/>
      <c r="DO10" s="423"/>
      <c r="DP10" s="423"/>
      <c r="DQ10" s="423"/>
      <c r="DR10" s="423"/>
      <c r="DS10" s="423"/>
      <c r="DT10" s="423"/>
      <c r="DU10" s="423"/>
      <c r="DV10" s="423"/>
      <c r="DW10" s="423"/>
      <c r="DX10" s="423"/>
      <c r="DY10" s="423"/>
      <c r="DZ10" s="423"/>
      <c r="EA10" s="423"/>
      <c r="EB10" s="423"/>
      <c r="EC10" s="423"/>
      <c r="ED10" s="423">
        <v>0</v>
      </c>
      <c r="EE10" s="423">
        <v>1</v>
      </c>
      <c r="EF10" s="423">
        <v>2.5</v>
      </c>
      <c r="EG10" s="423">
        <v>6</v>
      </c>
      <c r="EH10" s="423">
        <v>0</v>
      </c>
      <c r="EI10" s="423"/>
      <c r="EJ10" s="423"/>
      <c r="EK10" s="423"/>
      <c r="EL10" s="423"/>
      <c r="EM10" s="423"/>
      <c r="EN10" s="423"/>
      <c r="EQ10" s="3" t="s">
        <v>743</v>
      </c>
      <c r="ER10" s="3">
        <v>1</v>
      </c>
      <c r="ES10" s="3">
        <v>8</v>
      </c>
      <c r="ET10" s="3">
        <v>4000</v>
      </c>
      <c r="EU10" s="413">
        <v>2930</v>
      </c>
      <c r="EV10" s="3">
        <v>140</v>
      </c>
      <c r="EW10" s="425">
        <v>6522905</v>
      </c>
      <c r="EX10" s="425">
        <v>41536</v>
      </c>
      <c r="EY10" s="666">
        <v>17.93</v>
      </c>
      <c r="EZ10" s="666">
        <v>17.920000000000002</v>
      </c>
      <c r="FA10" s="666">
        <v>0</v>
      </c>
      <c r="FB10" s="666">
        <v>1.52</v>
      </c>
      <c r="FC10" s="666">
        <v>1.5</v>
      </c>
      <c r="FD10" s="666">
        <v>1.1599999999999999</v>
      </c>
      <c r="FE10" s="666">
        <v>1.1499999999999999</v>
      </c>
      <c r="FF10" s="666">
        <v>150</v>
      </c>
      <c r="FG10" s="666">
        <v>1.3</v>
      </c>
      <c r="FH10" s="666">
        <v>0.72899999999999998</v>
      </c>
      <c r="FI10" s="666">
        <v>1.41</v>
      </c>
      <c r="FJ10" s="666">
        <v>7.77</v>
      </c>
      <c r="FK10" s="666">
        <v>8.3000000000000007</v>
      </c>
      <c r="FL10" s="413">
        <v>8.26</v>
      </c>
      <c r="FM10" s="413">
        <v>7.9</v>
      </c>
      <c r="FN10" s="413">
        <v>1</v>
      </c>
    </row>
    <row r="11" spans="1:254" ht="15">
      <c r="A11" s="425" t="s">
        <v>5</v>
      </c>
      <c r="B11" s="417">
        <v>40540</v>
      </c>
      <c r="C11" s="418">
        <v>0</v>
      </c>
      <c r="D11" s="419">
        <v>0.6</v>
      </c>
      <c r="E11" s="199">
        <v>0</v>
      </c>
      <c r="F11" s="199">
        <v>34</v>
      </c>
      <c r="G11" s="199">
        <v>1.7</v>
      </c>
      <c r="H11" s="420">
        <v>13.39</v>
      </c>
      <c r="I11" s="420">
        <v>89.15</v>
      </c>
      <c r="J11" s="199">
        <v>3.42</v>
      </c>
      <c r="K11" s="422" t="s">
        <v>742</v>
      </c>
      <c r="L11" s="199">
        <v>16.699999999998909</v>
      </c>
      <c r="M11" s="199">
        <v>24.2</v>
      </c>
      <c r="N11" s="199">
        <v>1.65</v>
      </c>
      <c r="O11" s="199">
        <v>2.2997547260339299</v>
      </c>
      <c r="P11" s="199" t="s">
        <v>742</v>
      </c>
      <c r="Q11" s="199">
        <v>0</v>
      </c>
      <c r="R11" s="199">
        <v>915.65102377807125</v>
      </c>
      <c r="S11" s="199">
        <v>7.97</v>
      </c>
      <c r="T11" s="199" t="s">
        <v>742</v>
      </c>
      <c r="U11" s="199">
        <v>0.96</v>
      </c>
      <c r="V11" s="199" t="s">
        <v>742</v>
      </c>
      <c r="W11" s="199">
        <v>39.92</v>
      </c>
      <c r="X11" s="423" t="e">
        <v>#VALUE!</v>
      </c>
      <c r="Y11" s="199">
        <v>29.43</v>
      </c>
      <c r="Z11" s="199">
        <v>21.97</v>
      </c>
      <c r="AA11" s="420">
        <v>26</v>
      </c>
      <c r="AB11" s="420">
        <v>21.899999999994179</v>
      </c>
      <c r="AC11" s="732">
        <f t="shared" si="0"/>
        <v>47.899999999994179</v>
      </c>
      <c r="AD11" s="732"/>
      <c r="AE11" s="732"/>
      <c r="AF11" s="732"/>
      <c r="AG11" s="732"/>
      <c r="AH11" s="732"/>
      <c r="AI11" s="732"/>
      <c r="AO11" s="423"/>
      <c r="AQ11" s="199"/>
      <c r="AR11" s="734">
        <v>0</v>
      </c>
      <c r="AS11" s="453">
        <v>35.9</v>
      </c>
      <c r="AT11" s="734">
        <v>0</v>
      </c>
      <c r="AU11" s="453">
        <v>27.7</v>
      </c>
      <c r="AV11" s="519">
        <v>388.9</v>
      </c>
      <c r="AW11" s="519">
        <v>430.8</v>
      </c>
      <c r="AX11" s="453">
        <v>0</v>
      </c>
      <c r="AY11" s="734">
        <v>0</v>
      </c>
      <c r="AZ11" s="734">
        <v>0</v>
      </c>
      <c r="BA11" s="734">
        <v>0</v>
      </c>
      <c r="BB11" s="453">
        <v>0</v>
      </c>
      <c r="BC11" s="453">
        <v>0.46</v>
      </c>
      <c r="BD11" s="453">
        <v>0.8</v>
      </c>
      <c r="BE11" s="734">
        <v>0</v>
      </c>
      <c r="BF11" s="453">
        <v>0</v>
      </c>
      <c r="BG11" s="453">
        <v>0</v>
      </c>
      <c r="BH11" s="734">
        <v>0</v>
      </c>
      <c r="BI11" s="453">
        <v>0</v>
      </c>
      <c r="BJ11" s="453">
        <v>20.9</v>
      </c>
      <c r="BK11" s="453">
        <v>0</v>
      </c>
      <c r="BL11" s="453">
        <v>3.03</v>
      </c>
      <c r="BM11" s="453">
        <v>0</v>
      </c>
      <c r="BN11" s="453">
        <v>17.899999999999999</v>
      </c>
      <c r="BO11" s="453">
        <v>1844.9</v>
      </c>
      <c r="BP11" s="453">
        <v>0</v>
      </c>
      <c r="BQ11" s="453">
        <v>18</v>
      </c>
      <c r="BR11" s="453">
        <v>18</v>
      </c>
      <c r="BS11" s="453">
        <v>0</v>
      </c>
      <c r="BT11" s="453">
        <v>27.2</v>
      </c>
      <c r="BU11" s="453">
        <v>23.4</v>
      </c>
      <c r="BV11" s="456">
        <v>432</v>
      </c>
      <c r="BW11" s="453">
        <v>0.7</v>
      </c>
      <c r="BX11" s="453">
        <v>1.67</v>
      </c>
      <c r="BY11" s="456">
        <v>1.1100000000000001</v>
      </c>
      <c r="BZ11" s="456">
        <v>15.1</v>
      </c>
      <c r="CA11" s="456">
        <v>35</v>
      </c>
      <c r="CB11" s="456">
        <v>14.7</v>
      </c>
      <c r="CC11" s="456">
        <v>5.2</v>
      </c>
      <c r="CD11" s="456">
        <v>9.4</v>
      </c>
      <c r="CE11" s="456">
        <v>13.4</v>
      </c>
      <c r="CF11" s="456">
        <v>13.2</v>
      </c>
      <c r="CG11" s="456">
        <v>541</v>
      </c>
      <c r="CH11" s="456">
        <v>2.4</v>
      </c>
      <c r="CI11" s="456">
        <v>3</v>
      </c>
      <c r="CJ11" s="456">
        <v>273.10000000000002</v>
      </c>
      <c r="CK11" s="456">
        <v>392.2</v>
      </c>
      <c r="CL11" s="456">
        <v>477.1</v>
      </c>
      <c r="CM11" s="456">
        <v>12</v>
      </c>
      <c r="CN11" s="456">
        <v>1.1000000000000001</v>
      </c>
      <c r="CO11" s="453">
        <v>0</v>
      </c>
      <c r="CP11" s="453">
        <v>15.98</v>
      </c>
      <c r="CQ11" s="453">
        <v>44</v>
      </c>
      <c r="CR11" s="456">
        <v>0</v>
      </c>
      <c r="CS11" s="456">
        <v>0.66</v>
      </c>
      <c r="CT11" s="456">
        <v>1.18</v>
      </c>
      <c r="CU11" s="456">
        <v>0</v>
      </c>
      <c r="CV11" s="481">
        <v>1152.5</v>
      </c>
      <c r="CW11" s="481">
        <v>1919.4791666666667</v>
      </c>
      <c r="CX11" s="481">
        <v>1319.375</v>
      </c>
      <c r="CY11" s="481">
        <v>1077.27</v>
      </c>
      <c r="CZ11" s="456"/>
      <c r="DA11" s="456"/>
      <c r="DB11" s="456"/>
      <c r="DC11" s="456"/>
      <c r="DD11" s="456"/>
      <c r="DE11" s="423"/>
      <c r="DF11" s="423"/>
      <c r="DH11" s="423">
        <v>0</v>
      </c>
      <c r="DI11" s="423">
        <v>0.66</v>
      </c>
      <c r="DJ11" s="423">
        <v>1.18</v>
      </c>
      <c r="DL11" s="423"/>
      <c r="DM11" s="423"/>
      <c r="DN11" s="423"/>
      <c r="DO11" s="423"/>
      <c r="DP11" s="423"/>
      <c r="DQ11" s="423"/>
      <c r="DR11" s="423"/>
      <c r="DS11" s="423"/>
      <c r="DT11" s="423"/>
      <c r="DU11" s="423"/>
      <c r="DV11" s="423"/>
      <c r="DW11" s="423"/>
      <c r="DX11" s="423"/>
      <c r="DY11" s="423"/>
      <c r="DZ11" s="423"/>
      <c r="EA11" s="423"/>
      <c r="EB11" s="423"/>
      <c r="EC11" s="423"/>
      <c r="ED11" s="423">
        <v>0</v>
      </c>
      <c r="EE11" s="423">
        <v>1</v>
      </c>
      <c r="EF11" s="423">
        <v>2.5</v>
      </c>
      <c r="EG11" s="423">
        <v>6</v>
      </c>
      <c r="EH11" s="423">
        <v>0</v>
      </c>
      <c r="EI11" s="423"/>
      <c r="EJ11" s="423"/>
      <c r="EK11" s="423"/>
      <c r="EL11" s="423"/>
      <c r="EM11" s="423"/>
      <c r="EN11" s="423"/>
      <c r="EQ11" s="3" t="s">
        <v>743</v>
      </c>
      <c r="ER11" s="3">
        <v>1</v>
      </c>
      <c r="ES11" s="3">
        <v>8</v>
      </c>
      <c r="ET11" s="3">
        <v>4000</v>
      </c>
      <c r="EU11" s="413">
        <v>2840</v>
      </c>
      <c r="EV11" s="3">
        <v>100</v>
      </c>
      <c r="EW11" s="425">
        <v>6524903</v>
      </c>
      <c r="EX11" s="425">
        <v>42305</v>
      </c>
      <c r="EY11" s="666">
        <v>18.21</v>
      </c>
      <c r="EZ11" s="666">
        <v>18.21</v>
      </c>
      <c r="FA11" s="666">
        <v>0</v>
      </c>
      <c r="FB11" s="666">
        <v>1.47</v>
      </c>
      <c r="FC11" s="666">
        <v>1.4</v>
      </c>
      <c r="FD11" s="666">
        <v>1.1100000000000001</v>
      </c>
      <c r="FE11" s="666">
        <v>1.1200000000000001</v>
      </c>
      <c r="FF11" s="666">
        <v>90</v>
      </c>
      <c r="FG11" s="666">
        <v>1.73</v>
      </c>
      <c r="FH11" s="666">
        <v>0.78</v>
      </c>
      <c r="FI11" s="666">
        <v>1.37</v>
      </c>
      <c r="FJ11" s="666">
        <v>8.1999999999999993</v>
      </c>
      <c r="FK11" s="666">
        <v>7.8</v>
      </c>
      <c r="FL11" s="413">
        <v>8.19</v>
      </c>
      <c r="FM11" s="413">
        <v>7.3</v>
      </c>
      <c r="FN11" s="413">
        <v>1</v>
      </c>
    </row>
    <row r="12" spans="1:254" ht="15">
      <c r="A12" s="425" t="s">
        <v>6</v>
      </c>
      <c r="B12" s="417">
        <v>40541</v>
      </c>
      <c r="C12" s="418">
        <v>0</v>
      </c>
      <c r="D12" s="419">
        <v>0.26</v>
      </c>
      <c r="E12" s="199">
        <v>0.08</v>
      </c>
      <c r="F12" s="199">
        <v>29</v>
      </c>
      <c r="G12" s="199">
        <v>1.425</v>
      </c>
      <c r="H12" s="420">
        <v>2.88</v>
      </c>
      <c r="I12" s="420">
        <v>91.7</v>
      </c>
      <c r="J12" s="199">
        <v>2.2200000000000002</v>
      </c>
      <c r="K12" s="422" t="s">
        <v>742</v>
      </c>
      <c r="L12" s="199">
        <v>0</v>
      </c>
      <c r="M12" s="199">
        <v>24.8</v>
      </c>
      <c r="N12" s="199">
        <v>1.65</v>
      </c>
      <c r="O12" s="199">
        <v>2.4750509690770417</v>
      </c>
      <c r="P12" s="199" t="s">
        <v>742</v>
      </c>
      <c r="Q12" s="199">
        <v>0</v>
      </c>
      <c r="R12" s="199">
        <v>1066.7746882430647</v>
      </c>
      <c r="S12" s="199">
        <v>7.96</v>
      </c>
      <c r="T12" s="199" t="s">
        <v>742</v>
      </c>
      <c r="U12" s="199">
        <v>0.94</v>
      </c>
      <c r="V12" s="199" t="s">
        <v>742</v>
      </c>
      <c r="W12" s="199">
        <v>39.019999999999996</v>
      </c>
      <c r="X12" s="423" t="e">
        <v>#VALUE!</v>
      </c>
      <c r="Y12" s="199">
        <v>25.4</v>
      </c>
      <c r="Z12" s="199">
        <v>21.81</v>
      </c>
      <c r="AA12" s="420">
        <v>27.540000000008149</v>
      </c>
      <c r="AB12" s="420">
        <v>24.200000000004366</v>
      </c>
      <c r="AC12" s="732">
        <f t="shared" si="0"/>
        <v>51.740000000012515</v>
      </c>
      <c r="AD12" s="732"/>
      <c r="AE12" s="732"/>
      <c r="AF12" s="732"/>
      <c r="AG12" s="732"/>
      <c r="AH12" s="732"/>
      <c r="AI12" s="732"/>
      <c r="AO12" s="423"/>
      <c r="AQ12" s="199"/>
      <c r="AR12" s="734">
        <v>0</v>
      </c>
      <c r="AS12" s="453">
        <v>19.7</v>
      </c>
      <c r="AT12" s="734">
        <v>0</v>
      </c>
      <c r="AU12" s="453">
        <v>28.7</v>
      </c>
      <c r="AV12" s="519">
        <v>392.7</v>
      </c>
      <c r="AW12" s="519">
        <v>397.5</v>
      </c>
      <c r="AX12" s="453">
        <v>0</v>
      </c>
      <c r="AY12" s="734">
        <v>0</v>
      </c>
      <c r="AZ12" s="734">
        <v>0</v>
      </c>
      <c r="BA12" s="734">
        <v>0</v>
      </c>
      <c r="BB12" s="453">
        <v>0</v>
      </c>
      <c r="BC12" s="453">
        <v>0.6</v>
      </c>
      <c r="BD12" s="453">
        <v>1.04</v>
      </c>
      <c r="BE12" s="734">
        <v>0</v>
      </c>
      <c r="BF12" s="453">
        <v>0</v>
      </c>
      <c r="BG12" s="453">
        <v>0</v>
      </c>
      <c r="BH12" s="734">
        <v>0</v>
      </c>
      <c r="BI12" s="453">
        <v>0</v>
      </c>
      <c r="BJ12" s="453">
        <v>23.1</v>
      </c>
      <c r="BK12" s="453">
        <v>0</v>
      </c>
      <c r="BL12" s="453">
        <v>1.03</v>
      </c>
      <c r="BM12" s="453">
        <v>0</v>
      </c>
      <c r="BN12" s="453">
        <v>19</v>
      </c>
      <c r="BO12" s="453">
        <v>1563.5</v>
      </c>
      <c r="BP12" s="453">
        <v>0</v>
      </c>
      <c r="BQ12" s="453">
        <v>17.899999999999999</v>
      </c>
      <c r="BR12" s="453">
        <v>17.899999999999999</v>
      </c>
      <c r="BS12" s="453">
        <v>0</v>
      </c>
      <c r="BT12" s="453">
        <v>27.9</v>
      </c>
      <c r="BU12" s="453">
        <v>21</v>
      </c>
      <c r="BV12" s="456">
        <v>636.6</v>
      </c>
      <c r="BW12" s="453">
        <v>0.8</v>
      </c>
      <c r="BX12" s="453">
        <v>1.62</v>
      </c>
      <c r="BY12" s="456">
        <v>1.1200000000000001</v>
      </c>
      <c r="BZ12" s="456">
        <v>15.1</v>
      </c>
      <c r="CA12" s="456">
        <v>33.6</v>
      </c>
      <c r="CB12" s="456">
        <v>13.9</v>
      </c>
      <c r="CC12" s="456">
        <v>8</v>
      </c>
      <c r="CD12" s="456">
        <v>12.3</v>
      </c>
      <c r="CE12" s="456">
        <v>16.3</v>
      </c>
      <c r="CF12" s="456">
        <v>13</v>
      </c>
      <c r="CG12" s="456">
        <v>539</v>
      </c>
      <c r="CH12" s="456">
        <v>1.5</v>
      </c>
      <c r="CI12" s="456">
        <v>2.2999999999999998</v>
      </c>
      <c r="CJ12" s="456">
        <v>211.1</v>
      </c>
      <c r="CK12" s="456">
        <v>383.6</v>
      </c>
      <c r="CL12" s="456">
        <v>475.1</v>
      </c>
      <c r="CM12" s="456">
        <v>12.4</v>
      </c>
      <c r="CN12" s="456">
        <v>1.1000000000000001</v>
      </c>
      <c r="CO12" s="453">
        <v>0</v>
      </c>
      <c r="CP12" s="453">
        <v>14.91</v>
      </c>
      <c r="CQ12" s="453">
        <v>44</v>
      </c>
      <c r="CR12" s="456">
        <v>0</v>
      </c>
      <c r="CS12" s="456">
        <v>0.55000000000000004</v>
      </c>
      <c r="CT12" s="456">
        <v>1.23</v>
      </c>
      <c r="CU12" s="456">
        <v>0</v>
      </c>
      <c r="CV12" s="481">
        <v>1209</v>
      </c>
      <c r="CW12" s="481">
        <v>2077.1875</v>
      </c>
      <c r="CX12" s="481">
        <v>1285.8333333333333</v>
      </c>
      <c r="CY12" s="481">
        <v>1076.72</v>
      </c>
      <c r="CZ12" s="456"/>
      <c r="DA12" s="456"/>
      <c r="DB12" s="456"/>
      <c r="DC12" s="456"/>
      <c r="DD12" s="456"/>
      <c r="DE12" s="423"/>
      <c r="DF12" s="423"/>
      <c r="DH12" s="423">
        <v>0</v>
      </c>
      <c r="DI12" s="423">
        <v>0.55000000000000004</v>
      </c>
      <c r="DJ12" s="423">
        <v>1.23</v>
      </c>
      <c r="DL12" s="423"/>
      <c r="DM12" s="423"/>
      <c r="DN12" s="423"/>
      <c r="DO12" s="423"/>
      <c r="DP12" s="423"/>
      <c r="DQ12" s="423"/>
      <c r="DR12" s="423"/>
      <c r="DS12" s="423"/>
      <c r="DT12" s="423"/>
      <c r="DU12" s="423"/>
      <c r="DV12" s="423"/>
      <c r="DW12" s="423"/>
      <c r="DX12" s="423"/>
      <c r="DY12" s="423"/>
      <c r="DZ12" s="423"/>
      <c r="EA12" s="423"/>
      <c r="EB12" s="423"/>
      <c r="EC12" s="423"/>
      <c r="ED12" s="423">
        <v>0</v>
      </c>
      <c r="EE12" s="423">
        <v>1</v>
      </c>
      <c r="EF12" s="423">
        <v>2.5</v>
      </c>
      <c r="EG12" s="423">
        <v>6</v>
      </c>
      <c r="EH12" s="423">
        <v>0</v>
      </c>
      <c r="EI12" s="423"/>
      <c r="EJ12" s="423"/>
      <c r="EK12" s="423"/>
      <c r="EL12" s="423"/>
      <c r="EM12" s="423"/>
      <c r="EN12" s="423"/>
      <c r="EQ12" s="3" t="s">
        <v>743</v>
      </c>
      <c r="ER12" s="3">
        <v>1</v>
      </c>
      <c r="ES12" s="3">
        <v>8</v>
      </c>
      <c r="ET12" s="3">
        <v>4000</v>
      </c>
      <c r="EU12" s="413">
        <v>2670</v>
      </c>
      <c r="EV12" s="3">
        <v>150</v>
      </c>
      <c r="EW12" s="425">
        <v>6527239</v>
      </c>
      <c r="EX12" s="425">
        <v>43081</v>
      </c>
      <c r="EY12" s="666">
        <v>18.600000000000001</v>
      </c>
      <c r="EZ12" s="666">
        <v>18.59</v>
      </c>
      <c r="FA12" s="666">
        <v>0</v>
      </c>
      <c r="FB12" s="666">
        <v>1.55</v>
      </c>
      <c r="FC12" s="666">
        <v>1.44</v>
      </c>
      <c r="FD12" s="666">
        <v>1.1399999999999999</v>
      </c>
      <c r="FE12" s="666">
        <v>1.1200000000000001</v>
      </c>
      <c r="FF12" s="666">
        <v>170</v>
      </c>
      <c r="FG12" s="666">
        <v>1.45</v>
      </c>
      <c r="FH12" s="666">
        <v>0.83</v>
      </c>
      <c r="FI12" s="666">
        <v>1.6</v>
      </c>
      <c r="FJ12" s="666">
        <v>8.3000000000000007</v>
      </c>
      <c r="FK12" s="666">
        <v>8.1</v>
      </c>
      <c r="FL12" s="413">
        <v>8.1199999999999992</v>
      </c>
      <c r="FM12" s="413">
        <v>7.8</v>
      </c>
      <c r="FN12" s="413">
        <v>1</v>
      </c>
    </row>
    <row r="13" spans="1:254" ht="15">
      <c r="A13" s="425" t="s">
        <v>7</v>
      </c>
      <c r="B13" s="417">
        <v>40542</v>
      </c>
      <c r="C13" s="418">
        <v>0</v>
      </c>
      <c r="D13" s="419">
        <v>0.26</v>
      </c>
      <c r="E13" s="199">
        <v>0.08</v>
      </c>
      <c r="F13" s="199">
        <v>22.6</v>
      </c>
      <c r="G13" s="199">
        <v>1.1499999999999999</v>
      </c>
      <c r="H13" s="420">
        <v>1.27</v>
      </c>
      <c r="I13" s="420">
        <v>95.4</v>
      </c>
      <c r="J13" s="199">
        <v>1.55</v>
      </c>
      <c r="K13" s="422" t="s">
        <v>742</v>
      </c>
      <c r="L13" s="199">
        <v>0</v>
      </c>
      <c r="M13" s="199">
        <v>24.7</v>
      </c>
      <c r="N13" s="199">
        <v>1.59</v>
      </c>
      <c r="O13" s="199">
        <v>2.45645874772887</v>
      </c>
      <c r="P13" s="199" t="s">
        <v>742</v>
      </c>
      <c r="Q13" s="199">
        <v>0</v>
      </c>
      <c r="R13" s="199">
        <v>1069.4144029062086</v>
      </c>
      <c r="S13" s="199">
        <v>8</v>
      </c>
      <c r="T13" s="199" t="s">
        <v>742</v>
      </c>
      <c r="U13" s="199">
        <v>0.88</v>
      </c>
      <c r="V13" s="199" t="s">
        <v>742</v>
      </c>
      <c r="W13" s="199">
        <v>37.94</v>
      </c>
      <c r="X13" s="423" t="e">
        <v>#VALUE!</v>
      </c>
      <c r="Y13" s="199">
        <v>30.53</v>
      </c>
      <c r="Z13" s="199">
        <v>21.92</v>
      </c>
      <c r="AA13" s="420">
        <v>30.220000000001164</v>
      </c>
      <c r="AB13" s="420">
        <v>22.099999999998545</v>
      </c>
      <c r="AC13" s="732">
        <f t="shared" si="0"/>
        <v>52.319999999999709</v>
      </c>
      <c r="AD13" s="732"/>
      <c r="AE13" s="732"/>
      <c r="AF13" s="732"/>
      <c r="AG13" s="732"/>
      <c r="AH13" s="732"/>
      <c r="AI13" s="732"/>
      <c r="AO13" s="423"/>
      <c r="AQ13" s="199"/>
      <c r="AR13" s="734">
        <v>0</v>
      </c>
      <c r="AS13" s="453">
        <v>38.6</v>
      </c>
      <c r="AT13" s="734">
        <v>0</v>
      </c>
      <c r="AU13" s="453">
        <v>31.6</v>
      </c>
      <c r="AV13" s="519">
        <v>428.3</v>
      </c>
      <c r="AW13" s="519">
        <v>403.3</v>
      </c>
      <c r="AX13" s="453">
        <v>0</v>
      </c>
      <c r="AY13" s="734">
        <v>0</v>
      </c>
      <c r="AZ13" s="734">
        <v>0</v>
      </c>
      <c r="BA13" s="734">
        <v>0</v>
      </c>
      <c r="BB13" s="453">
        <v>0</v>
      </c>
      <c r="BC13" s="453">
        <v>0.91</v>
      </c>
      <c r="BD13" s="453">
        <v>1.6</v>
      </c>
      <c r="BE13" s="734">
        <v>0</v>
      </c>
      <c r="BF13" s="453">
        <v>0</v>
      </c>
      <c r="BG13" s="453">
        <v>0</v>
      </c>
      <c r="BH13" s="734">
        <v>0</v>
      </c>
      <c r="BI13" s="453">
        <v>0</v>
      </c>
      <c r="BJ13" s="453">
        <v>19.7</v>
      </c>
      <c r="BK13" s="453">
        <v>0</v>
      </c>
      <c r="BL13" s="453">
        <v>6</v>
      </c>
      <c r="BM13" s="453">
        <v>0</v>
      </c>
      <c r="BN13" s="453">
        <v>14.4</v>
      </c>
      <c r="BO13" s="453">
        <v>561.29999999999995</v>
      </c>
      <c r="BP13" s="453">
        <v>0</v>
      </c>
      <c r="BQ13" s="453">
        <v>18.899999999999999</v>
      </c>
      <c r="BR13" s="453">
        <v>18.899999999999999</v>
      </c>
      <c r="BS13" s="453">
        <v>0</v>
      </c>
      <c r="BT13" s="453">
        <v>30.6</v>
      </c>
      <c r="BU13" s="453">
        <v>25.5</v>
      </c>
      <c r="BV13" s="456">
        <v>588.4</v>
      </c>
      <c r="BW13" s="453">
        <v>0.8</v>
      </c>
      <c r="BX13" s="453">
        <v>1.71</v>
      </c>
      <c r="BY13" s="456">
        <v>1.1200000000000001</v>
      </c>
      <c r="BZ13" s="456">
        <v>14.8</v>
      </c>
      <c r="CA13" s="456">
        <v>32.299999999999997</v>
      </c>
      <c r="CB13" s="456">
        <v>13.2</v>
      </c>
      <c r="CC13" s="456">
        <v>9.6999999999999993</v>
      </c>
      <c r="CD13" s="456">
        <v>13.9</v>
      </c>
      <c r="CE13" s="456">
        <v>18.2</v>
      </c>
      <c r="CF13" s="456">
        <v>13.1</v>
      </c>
      <c r="CG13" s="456">
        <v>534.5</v>
      </c>
      <c r="CH13" s="456">
        <v>2</v>
      </c>
      <c r="CI13" s="456">
        <v>2.1</v>
      </c>
      <c r="CJ13" s="456">
        <v>189.1</v>
      </c>
      <c r="CK13" s="456">
        <v>387</v>
      </c>
      <c r="CL13" s="456">
        <v>480.8</v>
      </c>
      <c r="CM13" s="456">
        <v>11.8</v>
      </c>
      <c r="CN13" s="456">
        <v>1.1000000000000001</v>
      </c>
      <c r="CO13" s="453">
        <v>0</v>
      </c>
      <c r="CP13" s="453">
        <v>14.79</v>
      </c>
      <c r="CQ13" s="453">
        <v>42</v>
      </c>
      <c r="CR13" s="456">
        <v>0</v>
      </c>
      <c r="CS13" s="456">
        <v>0</v>
      </c>
      <c r="CT13" s="456">
        <v>0</v>
      </c>
      <c r="CU13" s="456">
        <v>0</v>
      </c>
      <c r="CV13" s="481">
        <v>980.1</v>
      </c>
      <c r="CW13" s="481">
        <v>1766.4583333333333</v>
      </c>
      <c r="CX13" s="481">
        <v>1004.6979166666666</v>
      </c>
      <c r="CY13" s="481">
        <v>1077.82</v>
      </c>
      <c r="CZ13" s="456"/>
      <c r="DA13" s="456"/>
      <c r="DB13" s="456"/>
      <c r="DC13" s="456"/>
      <c r="DD13" s="456"/>
      <c r="DE13" s="423"/>
      <c r="DF13" s="423"/>
      <c r="DH13" s="423">
        <v>0</v>
      </c>
      <c r="DI13" s="423">
        <v>0.52</v>
      </c>
      <c r="DJ13" s="423">
        <v>1.22</v>
      </c>
      <c r="DL13" s="423"/>
      <c r="DM13" s="423"/>
      <c r="DN13" s="423"/>
      <c r="DO13" s="423"/>
      <c r="DP13" s="423"/>
      <c r="DQ13" s="423"/>
      <c r="DR13" s="423"/>
      <c r="DS13" s="423"/>
      <c r="DT13" s="423"/>
      <c r="DU13" s="423"/>
      <c r="DV13" s="423"/>
      <c r="DW13" s="423"/>
      <c r="DX13" s="423"/>
      <c r="DY13" s="423"/>
      <c r="DZ13" s="423"/>
      <c r="EA13" s="423"/>
      <c r="EB13" s="423"/>
      <c r="EC13" s="423"/>
      <c r="ED13" s="423">
        <v>0</v>
      </c>
      <c r="EE13" s="423">
        <v>1</v>
      </c>
      <c r="EF13" s="423">
        <v>2.5</v>
      </c>
      <c r="EG13" s="423">
        <v>6</v>
      </c>
      <c r="EH13" s="423">
        <v>0</v>
      </c>
      <c r="EI13" s="423"/>
      <c r="EJ13" s="423"/>
      <c r="EK13" s="423"/>
      <c r="EL13" s="423"/>
      <c r="EM13" s="423"/>
      <c r="EN13" s="423"/>
      <c r="EQ13" s="3" t="s">
        <v>743</v>
      </c>
      <c r="ER13" s="3">
        <v>1</v>
      </c>
      <c r="ES13" s="3">
        <v>8</v>
      </c>
      <c r="ET13" s="3">
        <v>4000</v>
      </c>
      <c r="EU13" s="413">
        <v>2470</v>
      </c>
      <c r="EV13" s="3">
        <v>230</v>
      </c>
      <c r="EW13" s="425">
        <v>6529953</v>
      </c>
      <c r="EX13" s="425">
        <v>43885</v>
      </c>
      <c r="EY13" s="666">
        <v>18.62</v>
      </c>
      <c r="EZ13" s="666">
        <v>18.600000000000001</v>
      </c>
      <c r="FA13" s="666">
        <v>0</v>
      </c>
      <c r="FB13" s="666">
        <v>1.57</v>
      </c>
      <c r="FC13" s="666">
        <v>1.46</v>
      </c>
      <c r="FD13" s="666">
        <v>1.23</v>
      </c>
      <c r="FE13" s="666">
        <v>1.21</v>
      </c>
      <c r="FF13" s="666">
        <v>200</v>
      </c>
      <c r="FG13" s="666">
        <v>1.21</v>
      </c>
      <c r="FH13" s="666">
        <v>0.75</v>
      </c>
      <c r="FI13" s="666">
        <v>1.28</v>
      </c>
      <c r="FJ13" s="666">
        <v>8.17</v>
      </c>
      <c r="FK13" s="666">
        <v>8.4</v>
      </c>
      <c r="FL13" s="413">
        <v>8.02</v>
      </c>
      <c r="FM13" s="413">
        <v>7.7</v>
      </c>
      <c r="FN13" s="413">
        <v>1</v>
      </c>
    </row>
    <row r="14" spans="1:254" ht="15">
      <c r="A14" s="425" t="s">
        <v>8</v>
      </c>
      <c r="B14" s="417">
        <v>40543</v>
      </c>
      <c r="C14" s="418">
        <v>0</v>
      </c>
      <c r="D14" s="419">
        <v>0</v>
      </c>
      <c r="E14" s="199">
        <v>0.08</v>
      </c>
      <c r="F14" s="199">
        <v>26</v>
      </c>
      <c r="G14" s="199">
        <v>1.1499999999999999</v>
      </c>
      <c r="H14" s="420">
        <v>1.45</v>
      </c>
      <c r="I14" s="420">
        <v>94.6</v>
      </c>
      <c r="J14" s="199">
        <v>1.22</v>
      </c>
      <c r="K14" s="422" t="s">
        <v>742</v>
      </c>
      <c r="L14" s="199">
        <v>0</v>
      </c>
      <c r="M14" s="199">
        <v>24.6</v>
      </c>
      <c r="N14" s="199">
        <v>1.57</v>
      </c>
      <c r="O14" s="199">
        <v>2.429688680642633</v>
      </c>
      <c r="P14" s="199" t="s">
        <v>742</v>
      </c>
      <c r="Q14" s="199">
        <v>0</v>
      </c>
      <c r="R14" s="199">
        <v>1068.0945455746366</v>
      </c>
      <c r="S14" s="199">
        <v>8.08</v>
      </c>
      <c r="T14" s="199" t="s">
        <v>742</v>
      </c>
      <c r="U14" s="199">
        <v>0.91</v>
      </c>
      <c r="V14" s="199" t="s">
        <v>742</v>
      </c>
      <c r="W14" s="199">
        <v>41</v>
      </c>
      <c r="X14" s="423" t="e">
        <v>#VALUE!</v>
      </c>
      <c r="Y14" s="199">
        <v>30.21</v>
      </c>
      <c r="Z14" s="199">
        <v>21.85</v>
      </c>
      <c r="AA14" s="420">
        <v>30.539999999993597</v>
      </c>
      <c r="AB14" s="420">
        <v>22.30000000000291</v>
      </c>
      <c r="AC14" s="732">
        <f t="shared" si="0"/>
        <v>52.839999999996508</v>
      </c>
      <c r="AD14" s="732"/>
      <c r="AE14" s="732"/>
      <c r="AF14" s="732"/>
      <c r="AG14" s="732"/>
      <c r="AH14" s="732"/>
      <c r="AI14" s="732"/>
      <c r="AO14" s="423"/>
      <c r="AQ14" s="199"/>
      <c r="AR14" s="734">
        <v>0</v>
      </c>
      <c r="AS14" s="453">
        <v>19.2</v>
      </c>
      <c r="AT14" s="734">
        <v>0</v>
      </c>
      <c r="AU14" s="453">
        <v>31.6</v>
      </c>
      <c r="AV14" s="519">
        <v>505.8</v>
      </c>
      <c r="AW14" s="519">
        <v>541.70000000000005</v>
      </c>
      <c r="AX14" s="453">
        <v>0</v>
      </c>
      <c r="AY14" s="734">
        <v>0</v>
      </c>
      <c r="AZ14" s="734">
        <v>0</v>
      </c>
      <c r="BA14" s="734">
        <v>0</v>
      </c>
      <c r="BB14" s="453">
        <v>0</v>
      </c>
      <c r="BC14" s="453">
        <v>0.9</v>
      </c>
      <c r="BD14" s="453">
        <v>1.6</v>
      </c>
      <c r="BE14" s="734">
        <v>0</v>
      </c>
      <c r="BF14" s="453">
        <v>0</v>
      </c>
      <c r="BG14" s="453">
        <v>0</v>
      </c>
      <c r="BH14" s="734">
        <v>0</v>
      </c>
      <c r="BI14" s="453">
        <v>0</v>
      </c>
      <c r="BJ14" s="453">
        <v>19.7</v>
      </c>
      <c r="BK14" s="453">
        <v>0</v>
      </c>
      <c r="BL14" s="453">
        <v>6</v>
      </c>
      <c r="BM14" s="453">
        <v>0</v>
      </c>
      <c r="BN14" s="453">
        <v>13.7</v>
      </c>
      <c r="BO14" s="453">
        <v>1088.5999999999999</v>
      </c>
      <c r="BP14" s="453">
        <v>0</v>
      </c>
      <c r="BQ14" s="453">
        <v>18.600000000000001</v>
      </c>
      <c r="BR14" s="453">
        <v>18.600000000000001</v>
      </c>
      <c r="BS14" s="453">
        <v>0</v>
      </c>
      <c r="BT14" s="453">
        <v>30.8</v>
      </c>
      <c r="BU14" s="453">
        <v>27.2</v>
      </c>
      <c r="BV14" s="456">
        <v>382.2</v>
      </c>
      <c r="BW14" s="453">
        <v>0.7</v>
      </c>
      <c r="BX14" s="453">
        <v>1.79</v>
      </c>
      <c r="BY14" s="456">
        <v>1.1299999999999999</v>
      </c>
      <c r="BZ14" s="456">
        <v>15.6</v>
      </c>
      <c r="CA14" s="456">
        <v>30.9</v>
      </c>
      <c r="CB14" s="456">
        <v>12.4</v>
      </c>
      <c r="CC14" s="456">
        <v>5.9</v>
      </c>
      <c r="CD14" s="456">
        <v>10</v>
      </c>
      <c r="CE14" s="456">
        <v>14.4</v>
      </c>
      <c r="CF14" s="456">
        <v>13.4</v>
      </c>
      <c r="CG14" s="456">
        <v>485.3</v>
      </c>
      <c r="CH14" s="456">
        <v>1.6</v>
      </c>
      <c r="CI14" s="456">
        <v>2.7</v>
      </c>
      <c r="CJ14" s="456">
        <v>298.7</v>
      </c>
      <c r="CK14" s="456">
        <v>411.7</v>
      </c>
      <c r="CL14" s="456">
        <v>485.1</v>
      </c>
      <c r="CM14" s="456">
        <v>11.7</v>
      </c>
      <c r="CN14" s="456">
        <v>1.3</v>
      </c>
      <c r="CO14" s="453">
        <v>0</v>
      </c>
      <c r="CP14" s="453">
        <v>15.26</v>
      </c>
      <c r="CQ14" s="453">
        <v>42</v>
      </c>
      <c r="CR14" s="456">
        <v>0</v>
      </c>
      <c r="CS14" s="456">
        <v>0</v>
      </c>
      <c r="CT14" s="456">
        <v>0</v>
      </c>
      <c r="CU14" s="456">
        <v>0</v>
      </c>
      <c r="CV14" s="481">
        <v>863</v>
      </c>
      <c r="CW14" s="481">
        <v>1440</v>
      </c>
      <c r="CX14" s="481">
        <v>881.72916666666663</v>
      </c>
      <c r="CY14" s="481">
        <v>1078.6199999999999</v>
      </c>
      <c r="CZ14" s="456"/>
      <c r="DA14" s="456"/>
      <c r="DB14" s="456"/>
      <c r="DC14" s="456"/>
      <c r="DD14" s="456"/>
      <c r="DE14" s="423"/>
      <c r="DF14" s="423"/>
      <c r="DH14" s="423">
        <v>0</v>
      </c>
      <c r="DI14" s="423">
        <v>0.64</v>
      </c>
      <c r="DJ14" s="423">
        <v>1.27</v>
      </c>
      <c r="DL14" s="423"/>
      <c r="DM14" s="423"/>
      <c r="DN14" s="423"/>
      <c r="DO14" s="423"/>
      <c r="DP14" s="423"/>
      <c r="DQ14" s="423"/>
      <c r="DR14" s="423"/>
      <c r="DS14" s="423"/>
      <c r="DT14" s="423"/>
      <c r="DU14" s="423"/>
      <c r="DV14" s="423"/>
      <c r="DW14" s="423"/>
      <c r="DX14" s="423"/>
      <c r="DY14" s="423"/>
      <c r="DZ14" s="423"/>
      <c r="EA14" s="423"/>
      <c r="EB14" s="423"/>
      <c r="EC14" s="423"/>
      <c r="ED14" s="423">
        <v>0</v>
      </c>
      <c r="EE14" s="423">
        <v>1</v>
      </c>
      <c r="EF14" s="423">
        <v>2.5</v>
      </c>
      <c r="EG14" s="423">
        <v>6</v>
      </c>
      <c r="EH14" s="423">
        <v>0</v>
      </c>
      <c r="EI14" s="423"/>
      <c r="EJ14" s="423"/>
      <c r="EK14" s="423"/>
      <c r="EL14" s="423"/>
      <c r="EM14" s="423"/>
      <c r="EN14" s="423"/>
      <c r="EQ14" s="3" t="s">
        <v>743</v>
      </c>
      <c r="ER14" s="3">
        <v>1</v>
      </c>
      <c r="ES14" s="3">
        <v>8</v>
      </c>
      <c r="ET14" s="3">
        <v>4000</v>
      </c>
      <c r="EU14" s="413">
        <v>2260</v>
      </c>
      <c r="EV14" s="3">
        <v>210</v>
      </c>
      <c r="EW14" s="425">
        <v>6532903</v>
      </c>
      <c r="EX14" s="425">
        <v>44699</v>
      </c>
      <c r="EY14" s="666">
        <v>18.18</v>
      </c>
      <c r="EZ14" s="666">
        <v>18.2</v>
      </c>
      <c r="FA14" s="666">
        <v>0</v>
      </c>
      <c r="FB14" s="666">
        <v>1.64</v>
      </c>
      <c r="FC14" s="666">
        <v>1.54</v>
      </c>
      <c r="FD14" s="666">
        <v>1.1539999999999999</v>
      </c>
      <c r="FE14" s="666">
        <v>1.05</v>
      </c>
      <c r="FF14" s="666">
        <v>210</v>
      </c>
      <c r="FG14" s="666">
        <v>1.48</v>
      </c>
      <c r="FH14" s="666">
        <v>0.65</v>
      </c>
      <c r="FI14" s="666">
        <v>1.28</v>
      </c>
      <c r="FJ14" s="666">
        <v>8.1300000000000008</v>
      </c>
      <c r="FK14" s="666">
        <v>8.1</v>
      </c>
      <c r="FL14" s="413">
        <v>7.99</v>
      </c>
      <c r="FM14" s="413">
        <v>8</v>
      </c>
      <c r="FN14" s="413">
        <v>1</v>
      </c>
    </row>
    <row r="15" spans="1:254" ht="15">
      <c r="A15" s="425" t="s">
        <v>9</v>
      </c>
      <c r="B15" s="417">
        <v>40544</v>
      </c>
      <c r="C15" s="418">
        <v>0</v>
      </c>
      <c r="D15" s="419">
        <v>0</v>
      </c>
      <c r="E15" s="199">
        <v>0.05</v>
      </c>
      <c r="F15" s="199">
        <v>27</v>
      </c>
      <c r="G15" s="199">
        <v>1.1499999999999999</v>
      </c>
      <c r="H15" s="420">
        <v>1.23</v>
      </c>
      <c r="I15" s="420">
        <v>95.03</v>
      </c>
      <c r="J15" s="199">
        <v>1.02</v>
      </c>
      <c r="K15" s="422" t="s">
        <v>742</v>
      </c>
      <c r="L15" s="199">
        <v>0</v>
      </c>
      <c r="M15" s="199">
        <v>24.5</v>
      </c>
      <c r="N15" s="199">
        <v>1.5</v>
      </c>
      <c r="O15" s="199">
        <v>2.4305775030532639</v>
      </c>
      <c r="P15" s="199" t="s">
        <v>742</v>
      </c>
      <c r="Q15" s="199">
        <v>0</v>
      </c>
      <c r="R15" s="199">
        <v>1074.3638678996037</v>
      </c>
      <c r="S15" s="199">
        <v>8.02</v>
      </c>
      <c r="T15" s="199" t="s">
        <v>742</v>
      </c>
      <c r="U15" s="199">
        <v>0.9</v>
      </c>
      <c r="V15" s="199" t="s">
        <v>742</v>
      </c>
      <c r="W15" s="199">
        <v>39.019999999999996</v>
      </c>
      <c r="X15" s="423" t="e">
        <v>#VALUE!</v>
      </c>
      <c r="Y15" s="199">
        <v>30.41</v>
      </c>
      <c r="Z15" s="199">
        <v>21.67</v>
      </c>
      <c r="AA15" s="420">
        <v>30.600000000005821</v>
      </c>
      <c r="AB15" s="420">
        <v>22.399999999994179</v>
      </c>
      <c r="AC15" s="732">
        <f t="shared" si="0"/>
        <v>53</v>
      </c>
      <c r="AD15" s="732"/>
      <c r="AE15" s="732"/>
      <c r="AF15" s="732"/>
      <c r="AG15" s="732"/>
      <c r="AH15" s="732"/>
      <c r="AI15" s="732"/>
      <c r="AO15" s="423"/>
      <c r="AQ15" s="199"/>
      <c r="AR15" s="734">
        <v>0</v>
      </c>
      <c r="AS15" s="453">
        <v>37.1</v>
      </c>
      <c r="AT15" s="734">
        <v>0</v>
      </c>
      <c r="AU15" s="453">
        <v>31.5</v>
      </c>
      <c r="AV15" s="519">
        <v>446.4</v>
      </c>
      <c r="AW15" s="519">
        <v>499.4</v>
      </c>
      <c r="AX15" s="453">
        <v>0</v>
      </c>
      <c r="AY15" s="734">
        <v>0</v>
      </c>
      <c r="AZ15" s="734">
        <v>0</v>
      </c>
      <c r="BA15" s="734">
        <v>0</v>
      </c>
      <c r="BB15" s="453">
        <v>0</v>
      </c>
      <c r="BC15" s="453">
        <v>0.86</v>
      </c>
      <c r="BD15" s="453">
        <v>1.65</v>
      </c>
      <c r="BE15" s="734">
        <v>0</v>
      </c>
      <c r="BF15" s="453">
        <v>0</v>
      </c>
      <c r="BG15" s="453">
        <v>0</v>
      </c>
      <c r="BH15" s="734">
        <v>0</v>
      </c>
      <c r="BI15" s="453">
        <v>0</v>
      </c>
      <c r="BJ15" s="453">
        <v>19.7</v>
      </c>
      <c r="BK15" s="453">
        <v>0</v>
      </c>
      <c r="BL15" s="453">
        <v>6</v>
      </c>
      <c r="BM15" s="453">
        <v>0</v>
      </c>
      <c r="BN15" s="453">
        <v>13.7</v>
      </c>
      <c r="BO15" s="453">
        <v>1641</v>
      </c>
      <c r="BP15" s="453">
        <v>0</v>
      </c>
      <c r="BQ15" s="453">
        <v>18.399999999999999</v>
      </c>
      <c r="BR15" s="453">
        <v>18.3</v>
      </c>
      <c r="BS15" s="453">
        <v>0</v>
      </c>
      <c r="BT15" s="453">
        <v>30.5</v>
      </c>
      <c r="BU15" s="453">
        <v>28.4</v>
      </c>
      <c r="BV15" s="456">
        <v>1032.5999999999999</v>
      </c>
      <c r="BW15" s="453">
        <v>0.6</v>
      </c>
      <c r="BX15" s="453">
        <v>1.81</v>
      </c>
      <c r="BY15" s="456">
        <v>1.1299999999999999</v>
      </c>
      <c r="BZ15" s="456">
        <v>14.8</v>
      </c>
      <c r="CA15" s="456">
        <v>30.2</v>
      </c>
      <c r="CB15" s="456">
        <v>15.4</v>
      </c>
      <c r="CC15" s="456">
        <v>4.8</v>
      </c>
      <c r="CD15" s="456">
        <v>9.1</v>
      </c>
      <c r="CE15" s="456">
        <v>13.1</v>
      </c>
      <c r="CF15" s="456">
        <v>13.1</v>
      </c>
      <c r="CG15" s="456">
        <v>538.20000000000005</v>
      </c>
      <c r="CH15" s="456">
        <v>2.2000000000000002</v>
      </c>
      <c r="CI15" s="456">
        <v>2.8</v>
      </c>
      <c r="CJ15" s="456">
        <v>203</v>
      </c>
      <c r="CK15" s="456">
        <v>403</v>
      </c>
      <c r="CL15" s="456">
        <v>445.3</v>
      </c>
      <c r="CM15" s="456">
        <v>12.2</v>
      </c>
      <c r="CN15" s="456">
        <v>1.3</v>
      </c>
      <c r="CO15" s="453">
        <v>0</v>
      </c>
      <c r="CP15" s="453">
        <v>15.96</v>
      </c>
      <c r="CQ15" s="453">
        <v>42</v>
      </c>
      <c r="CR15" s="456">
        <v>0</v>
      </c>
      <c r="CS15" s="456">
        <v>0.68</v>
      </c>
      <c r="CT15" s="456">
        <v>1.33</v>
      </c>
      <c r="CU15" s="456">
        <v>0</v>
      </c>
      <c r="CV15" s="481">
        <v>863</v>
      </c>
      <c r="CW15" s="481">
        <v>1400</v>
      </c>
      <c r="CX15" s="481">
        <v>873.33333333333337</v>
      </c>
      <c r="CY15" s="481">
        <v>1078.23</v>
      </c>
      <c r="CZ15" s="456"/>
      <c r="DA15" s="456"/>
      <c r="DB15" s="456"/>
      <c r="DC15" s="456"/>
      <c r="DD15" s="456"/>
      <c r="DE15" s="423"/>
      <c r="DF15" s="423"/>
      <c r="DH15" s="423">
        <v>0</v>
      </c>
      <c r="DI15" s="423">
        <v>0.68</v>
      </c>
      <c r="DJ15" s="423">
        <v>1.33</v>
      </c>
      <c r="DL15" s="423"/>
      <c r="DM15" s="423"/>
      <c r="DN15" s="423"/>
      <c r="DO15" s="423"/>
      <c r="DP15" s="423"/>
      <c r="DQ15" s="423"/>
      <c r="DR15" s="423"/>
      <c r="DS15" s="423"/>
      <c r="DT15" s="423"/>
      <c r="DU15" s="423"/>
      <c r="DV15" s="423"/>
      <c r="DW15" s="423"/>
      <c r="DX15" s="423"/>
      <c r="DY15" s="423"/>
      <c r="DZ15" s="423"/>
      <c r="EA15" s="423"/>
      <c r="EB15" s="423"/>
      <c r="EC15" s="423"/>
      <c r="ED15" s="423">
        <v>0</v>
      </c>
      <c r="EE15" s="423">
        <v>1</v>
      </c>
      <c r="EF15" s="423">
        <v>2.5</v>
      </c>
      <c r="EG15" s="423">
        <v>6</v>
      </c>
      <c r="EH15" s="423">
        <v>0</v>
      </c>
      <c r="EI15" s="423"/>
      <c r="EJ15" s="423"/>
      <c r="EK15" s="423"/>
      <c r="EL15" s="423"/>
      <c r="EM15" s="423"/>
      <c r="EN15" s="423"/>
      <c r="EQ15" s="3" t="s">
        <v>743</v>
      </c>
      <c r="ER15" s="3">
        <v>1</v>
      </c>
      <c r="ES15" s="3">
        <v>8</v>
      </c>
      <c r="ET15" s="3">
        <v>4000</v>
      </c>
      <c r="EU15" s="413">
        <v>2080</v>
      </c>
      <c r="EV15" s="3">
        <v>280</v>
      </c>
      <c r="EW15" s="425">
        <v>6535417</v>
      </c>
      <c r="EX15" s="425">
        <v>45526</v>
      </c>
      <c r="EY15" s="666">
        <v>18.11</v>
      </c>
      <c r="EZ15" s="666">
        <v>18.11</v>
      </c>
      <c r="FA15" s="666">
        <v>0</v>
      </c>
      <c r="FB15" s="666">
        <v>1.64</v>
      </c>
      <c r="FC15" s="666">
        <v>1.49</v>
      </c>
      <c r="FD15" s="666">
        <v>1.26</v>
      </c>
      <c r="FE15" s="666">
        <v>1.23</v>
      </c>
      <c r="FF15" s="666">
        <v>180</v>
      </c>
      <c r="FG15" s="666">
        <v>1.1299999999999999</v>
      </c>
      <c r="FH15" s="666">
        <v>0.60799999999999998</v>
      </c>
      <c r="FI15" s="666">
        <v>1.1200000000000001</v>
      </c>
      <c r="FJ15" s="666">
        <v>8.11</v>
      </c>
      <c r="FK15" s="666">
        <v>8.1</v>
      </c>
      <c r="FL15" s="413">
        <v>7.95</v>
      </c>
      <c r="FM15" s="413">
        <v>7.8</v>
      </c>
      <c r="FN15" s="413">
        <v>1</v>
      </c>
    </row>
    <row r="16" spans="1:254" ht="15">
      <c r="A16" s="425" t="s">
        <v>3</v>
      </c>
      <c r="B16" s="417">
        <v>40545</v>
      </c>
      <c r="C16" s="418">
        <v>0</v>
      </c>
      <c r="D16" s="419">
        <v>0.06</v>
      </c>
      <c r="E16" s="199">
        <v>0.05</v>
      </c>
      <c r="F16" s="199">
        <v>33</v>
      </c>
      <c r="G16" s="199">
        <v>1.1000000000000001</v>
      </c>
      <c r="H16" s="420">
        <v>0.95</v>
      </c>
      <c r="I16" s="420">
        <v>94.9</v>
      </c>
      <c r="J16" s="199">
        <v>0.81</v>
      </c>
      <c r="K16" s="422" t="s">
        <v>742</v>
      </c>
      <c r="L16" s="199">
        <v>0</v>
      </c>
      <c r="M16" s="199">
        <v>24.4</v>
      </c>
      <c r="N16" s="199">
        <v>1.54</v>
      </c>
      <c r="O16" s="199">
        <v>2.4299966444276309</v>
      </c>
      <c r="P16" s="199" t="s">
        <v>742</v>
      </c>
      <c r="Q16" s="199">
        <v>0</v>
      </c>
      <c r="R16" s="199">
        <v>1059.5154729194187</v>
      </c>
      <c r="S16" s="199">
        <v>7.99</v>
      </c>
      <c r="T16" s="199" t="s">
        <v>742</v>
      </c>
      <c r="U16" s="199">
        <v>0.88</v>
      </c>
      <c r="V16" s="199" t="s">
        <v>742</v>
      </c>
      <c r="W16" s="199">
        <v>39.200000000000003</v>
      </c>
      <c r="X16" s="423" t="e">
        <v>#VALUE!</v>
      </c>
      <c r="Y16" s="199">
        <v>30.31</v>
      </c>
      <c r="Z16" s="199">
        <v>21.95</v>
      </c>
      <c r="AA16" s="420">
        <v>30.25</v>
      </c>
      <c r="AB16" s="420">
        <v>22.100000000005821</v>
      </c>
      <c r="AC16" s="732">
        <f t="shared" si="0"/>
        <v>52.350000000005821</v>
      </c>
      <c r="AD16" s="732"/>
      <c r="AE16" s="732"/>
      <c r="AF16" s="732"/>
      <c r="AG16" s="732"/>
      <c r="AH16" s="732"/>
      <c r="AI16" s="732"/>
      <c r="AO16" s="423"/>
      <c r="AQ16" s="199"/>
      <c r="AR16" s="734">
        <v>0</v>
      </c>
      <c r="AS16" s="453">
        <v>20.399999999999999</v>
      </c>
      <c r="AT16" s="734">
        <v>0</v>
      </c>
      <c r="AU16" s="453">
        <v>31.5</v>
      </c>
      <c r="AV16" s="519">
        <v>532.20000000000005</v>
      </c>
      <c r="AW16" s="519">
        <v>587.5</v>
      </c>
      <c r="AX16" s="453">
        <v>0</v>
      </c>
      <c r="AY16" s="734">
        <v>0</v>
      </c>
      <c r="AZ16" s="734">
        <v>0</v>
      </c>
      <c r="BA16" s="734">
        <v>0</v>
      </c>
      <c r="BB16" s="453">
        <v>0</v>
      </c>
      <c r="BC16" s="453">
        <v>0.86</v>
      </c>
      <c r="BD16" s="453">
        <v>1.65</v>
      </c>
      <c r="BE16" s="734">
        <v>0</v>
      </c>
      <c r="BF16" s="453">
        <v>0</v>
      </c>
      <c r="BG16" s="453">
        <v>0</v>
      </c>
      <c r="BH16" s="734">
        <v>0</v>
      </c>
      <c r="BI16" s="453">
        <v>0</v>
      </c>
      <c r="BJ16" s="453">
        <v>19.600000000000001</v>
      </c>
      <c r="BK16" s="453">
        <v>0</v>
      </c>
      <c r="BL16" s="453">
        <v>6</v>
      </c>
      <c r="BM16" s="453">
        <v>0</v>
      </c>
      <c r="BN16" s="453">
        <v>13.6</v>
      </c>
      <c r="BO16" s="453">
        <v>2119.8000000000002</v>
      </c>
      <c r="BP16" s="453">
        <v>0</v>
      </c>
      <c r="BQ16" s="453">
        <v>17.899999999999999</v>
      </c>
      <c r="BR16" s="453">
        <v>17.8</v>
      </c>
      <c r="BS16" s="453">
        <v>0</v>
      </c>
      <c r="BT16" s="453">
        <v>30.5</v>
      </c>
      <c r="BU16" s="453">
        <v>29.5</v>
      </c>
      <c r="BV16" s="456">
        <v>1375.6</v>
      </c>
      <c r="BW16" s="453">
        <v>0.6</v>
      </c>
      <c r="BX16" s="453">
        <v>1.83</v>
      </c>
      <c r="BY16" s="456">
        <v>1.1299999999999999</v>
      </c>
      <c r="BZ16" s="456">
        <v>15.2</v>
      </c>
      <c r="CA16" s="456">
        <v>31</v>
      </c>
      <c r="CB16" s="456">
        <v>14.5</v>
      </c>
      <c r="CC16" s="456">
        <v>6.5</v>
      </c>
      <c r="CD16" s="456">
        <v>10.7</v>
      </c>
      <c r="CE16" s="456">
        <v>14.8</v>
      </c>
      <c r="CF16" s="456">
        <v>13.5</v>
      </c>
      <c r="CG16" s="456">
        <v>488.9</v>
      </c>
      <c r="CH16" s="456">
        <v>1.9</v>
      </c>
      <c r="CI16" s="456">
        <v>2.9</v>
      </c>
      <c r="CJ16" s="456">
        <v>344.9</v>
      </c>
      <c r="CK16" s="456">
        <v>446</v>
      </c>
      <c r="CL16" s="456">
        <v>490.7</v>
      </c>
      <c r="CM16" s="456">
        <v>12.1</v>
      </c>
      <c r="CN16" s="456">
        <v>1.3</v>
      </c>
      <c r="CO16" s="453">
        <v>0</v>
      </c>
      <c r="CP16" s="453">
        <v>15.86</v>
      </c>
      <c r="CQ16" s="453">
        <v>41</v>
      </c>
      <c r="CR16" s="456">
        <v>0</v>
      </c>
      <c r="CS16" s="456">
        <v>0.6</v>
      </c>
      <c r="CT16" s="456">
        <v>1.3</v>
      </c>
      <c r="CU16" s="456">
        <v>0</v>
      </c>
      <c r="CV16" s="481">
        <v>849</v>
      </c>
      <c r="CW16" s="481">
        <v>1360</v>
      </c>
      <c r="CX16" s="481">
        <v>859.91666666666663</v>
      </c>
      <c r="CY16" s="481">
        <v>1077.0999999999999</v>
      </c>
      <c r="CZ16" s="456"/>
      <c r="DA16" s="456"/>
      <c r="DB16" s="456"/>
      <c r="DC16" s="456"/>
      <c r="DD16" s="456"/>
      <c r="DE16" s="423"/>
      <c r="DF16" s="423"/>
      <c r="DH16" s="423">
        <v>0</v>
      </c>
      <c r="DI16" s="423">
        <v>0.6</v>
      </c>
      <c r="DJ16" s="423">
        <v>1.3</v>
      </c>
      <c r="DL16" s="423"/>
      <c r="DM16" s="423"/>
      <c r="DN16" s="423"/>
      <c r="DO16" s="423"/>
      <c r="DP16" s="423"/>
      <c r="DQ16" s="423"/>
      <c r="DR16" s="423"/>
      <c r="DS16" s="423"/>
      <c r="DT16" s="423"/>
      <c r="DU16" s="423"/>
      <c r="DV16" s="423"/>
      <c r="DW16" s="423"/>
      <c r="DX16" s="423"/>
      <c r="DY16" s="423"/>
      <c r="DZ16" s="423"/>
      <c r="EA16" s="423"/>
      <c r="EB16" s="423"/>
      <c r="EC16" s="423"/>
      <c r="ED16" s="423">
        <v>0</v>
      </c>
      <c r="EE16" s="423">
        <v>1</v>
      </c>
      <c r="EF16" s="423">
        <v>2.5</v>
      </c>
      <c r="EG16" s="423">
        <v>6</v>
      </c>
      <c r="EH16" s="423">
        <v>0</v>
      </c>
      <c r="EI16" s="423"/>
      <c r="EJ16" s="423"/>
      <c r="EK16" s="423"/>
      <c r="EL16" s="423"/>
      <c r="EM16" s="423"/>
      <c r="EN16" s="423"/>
      <c r="EQ16" s="3" t="s">
        <v>743</v>
      </c>
      <c r="ER16" s="3">
        <v>1</v>
      </c>
      <c r="ES16" s="3">
        <v>8</v>
      </c>
      <c r="ET16" s="3">
        <v>4000</v>
      </c>
      <c r="EU16" s="413">
        <v>1870</v>
      </c>
      <c r="EV16" s="3">
        <v>220</v>
      </c>
      <c r="EW16" s="425">
        <v>6538479</v>
      </c>
      <c r="EX16" s="425">
        <v>46941</v>
      </c>
      <c r="EY16" s="666">
        <v>18.11</v>
      </c>
      <c r="EZ16" s="666">
        <v>18.12</v>
      </c>
      <c r="FA16" s="666">
        <v>0</v>
      </c>
      <c r="FB16" s="666">
        <v>1.66</v>
      </c>
      <c r="FC16" s="666">
        <v>1.58</v>
      </c>
      <c r="FD16" s="666">
        <v>1.1100000000000001</v>
      </c>
      <c r="FE16" s="666">
        <v>1.1000000000000001</v>
      </c>
      <c r="FF16" s="666">
        <v>210</v>
      </c>
      <c r="FG16" s="666">
        <v>1.17</v>
      </c>
      <c r="FH16" s="666">
        <v>0.51700000000000002</v>
      </c>
      <c r="FI16" s="666">
        <v>1.01</v>
      </c>
      <c r="FJ16" s="666">
        <v>8.1300000000000008</v>
      </c>
      <c r="FK16" s="666">
        <v>8.1999999999999993</v>
      </c>
      <c r="FL16" s="413">
        <v>8.06</v>
      </c>
      <c r="FM16" s="413">
        <v>7.7</v>
      </c>
      <c r="FN16" s="413">
        <v>1</v>
      </c>
    </row>
    <row r="17" spans="1:170" s="416" customFormat="1" ht="15">
      <c r="A17" s="425" t="s">
        <v>4</v>
      </c>
      <c r="B17" s="426">
        <v>40546</v>
      </c>
      <c r="C17" s="418">
        <v>0</v>
      </c>
      <c r="D17" s="518">
        <v>0</v>
      </c>
      <c r="E17" s="453">
        <v>0</v>
      </c>
      <c r="F17" s="453">
        <v>32</v>
      </c>
      <c r="G17" s="453">
        <v>0.95</v>
      </c>
      <c r="H17" s="519">
        <v>1.72</v>
      </c>
      <c r="I17" s="519">
        <v>95.7</v>
      </c>
      <c r="J17" s="483">
        <v>1.63</v>
      </c>
      <c r="K17" s="520" t="s">
        <v>742</v>
      </c>
      <c r="L17" s="453">
        <v>0</v>
      </c>
      <c r="M17" s="453">
        <v>24.2</v>
      </c>
      <c r="N17" s="453">
        <v>1.58</v>
      </c>
      <c r="O17" s="453">
        <v>2.4370529886735492</v>
      </c>
      <c r="P17" s="453" t="s">
        <v>742</v>
      </c>
      <c r="Q17" s="453">
        <v>0</v>
      </c>
      <c r="R17" s="453">
        <v>1030.4786116248349</v>
      </c>
      <c r="S17" s="453">
        <v>7.97</v>
      </c>
      <c r="T17" s="453" t="s">
        <v>742</v>
      </c>
      <c r="U17" s="453">
        <v>0.92</v>
      </c>
      <c r="V17" s="453" t="s">
        <v>742</v>
      </c>
      <c r="W17" s="453">
        <v>40.28</v>
      </c>
      <c r="X17" s="456" t="e">
        <v>#VALUE!</v>
      </c>
      <c r="Y17" s="453">
        <v>30.25</v>
      </c>
      <c r="Z17" s="453">
        <v>21.65</v>
      </c>
      <c r="AA17" s="519">
        <v>29.349999999991269</v>
      </c>
      <c r="AB17" s="519">
        <v>21.5</v>
      </c>
      <c r="AC17" s="732">
        <f t="shared" si="0"/>
        <v>50.849999999991269</v>
      </c>
      <c r="AD17" s="664"/>
      <c r="AE17" s="664"/>
      <c r="AF17" s="664"/>
      <c r="AG17" s="664"/>
      <c r="AH17" s="664"/>
      <c r="AI17" s="664"/>
      <c r="AJ17" s="485"/>
      <c r="AK17" s="485"/>
      <c r="AL17" s="485"/>
      <c r="AM17" s="485"/>
      <c r="AN17" s="485"/>
      <c r="AO17" s="665"/>
      <c r="AP17" s="485"/>
      <c r="AQ17" s="483"/>
      <c r="AR17" s="755">
        <v>0</v>
      </c>
      <c r="AS17" s="483">
        <v>36.5</v>
      </c>
      <c r="AT17" s="755">
        <v>0</v>
      </c>
      <c r="AU17" s="483">
        <v>31.5</v>
      </c>
      <c r="AV17" s="484">
        <v>168.7</v>
      </c>
      <c r="AW17" s="484">
        <v>757.9</v>
      </c>
      <c r="AX17" s="453">
        <v>0</v>
      </c>
      <c r="AY17" s="734">
        <v>0</v>
      </c>
      <c r="AZ17" s="734">
        <v>0</v>
      </c>
      <c r="BA17" s="734">
        <v>0</v>
      </c>
      <c r="BB17" s="453">
        <v>0</v>
      </c>
      <c r="BC17" s="453">
        <v>0.86</v>
      </c>
      <c r="BD17" s="453">
        <v>1.65</v>
      </c>
      <c r="BE17" s="734">
        <v>0</v>
      </c>
      <c r="BF17" s="453">
        <v>0</v>
      </c>
      <c r="BG17" s="453">
        <v>0</v>
      </c>
      <c r="BH17" s="734">
        <v>0</v>
      </c>
      <c r="BI17" s="453">
        <v>0</v>
      </c>
      <c r="BJ17" s="453">
        <v>19.7</v>
      </c>
      <c r="BK17" s="453">
        <v>0</v>
      </c>
      <c r="BL17" s="453">
        <v>6</v>
      </c>
      <c r="BM17" s="453">
        <v>0</v>
      </c>
      <c r="BN17" s="453">
        <v>13.7</v>
      </c>
      <c r="BO17" s="453">
        <v>570.5</v>
      </c>
      <c r="BP17" s="453">
        <v>0</v>
      </c>
      <c r="BQ17" s="453">
        <v>16.899999999999999</v>
      </c>
      <c r="BR17" s="453">
        <v>16.899999999999999</v>
      </c>
      <c r="BS17" s="453">
        <v>0</v>
      </c>
      <c r="BT17" s="453">
        <v>30.9</v>
      </c>
      <c r="BU17" s="453">
        <v>27.9</v>
      </c>
      <c r="BV17" s="456">
        <v>1215.2</v>
      </c>
      <c r="BW17" s="453">
        <v>0.5</v>
      </c>
      <c r="BX17" s="453">
        <v>1.84</v>
      </c>
      <c r="BY17" s="456">
        <v>1.1299999999999999</v>
      </c>
      <c r="BZ17" s="456">
        <v>15.9</v>
      </c>
      <c r="CA17" s="456">
        <v>30.9</v>
      </c>
      <c r="CB17" s="456">
        <v>12.6</v>
      </c>
      <c r="CC17" s="456">
        <v>6</v>
      </c>
      <c r="CD17" s="456">
        <v>10.1</v>
      </c>
      <c r="CE17" s="456">
        <v>14.6</v>
      </c>
      <c r="CF17" s="456">
        <v>13.1</v>
      </c>
      <c r="CG17" s="456">
        <v>525.4</v>
      </c>
      <c r="CH17" s="456">
        <v>2</v>
      </c>
      <c r="CI17" s="456">
        <v>1.8</v>
      </c>
      <c r="CJ17" s="456">
        <v>336.8</v>
      </c>
      <c r="CK17" s="456">
        <v>329</v>
      </c>
      <c r="CL17" s="456">
        <v>325.3</v>
      </c>
      <c r="CM17" s="456">
        <v>10.3</v>
      </c>
      <c r="CN17" s="456">
        <v>1.2</v>
      </c>
      <c r="CO17" s="453">
        <v>0</v>
      </c>
      <c r="CP17" s="453">
        <v>14.96</v>
      </c>
      <c r="CQ17" s="453">
        <v>41</v>
      </c>
      <c r="CR17" s="456">
        <v>0</v>
      </c>
      <c r="CS17" s="456">
        <v>0</v>
      </c>
      <c r="CT17" s="456">
        <v>0</v>
      </c>
      <c r="CU17" s="456">
        <v>0</v>
      </c>
      <c r="CV17" s="481">
        <v>818.55</v>
      </c>
      <c r="CW17" s="481">
        <v>1346.9791666666667</v>
      </c>
      <c r="CX17" s="481">
        <v>802.01041666666663</v>
      </c>
      <c r="CY17" s="481">
        <v>1076.0899999999999</v>
      </c>
      <c r="CZ17" s="456"/>
      <c r="DA17" s="456"/>
      <c r="DB17" s="456"/>
      <c r="DC17" s="456"/>
      <c r="DD17" s="456"/>
      <c r="DE17" s="456"/>
      <c r="DF17" s="456"/>
      <c r="DG17" s="425"/>
      <c r="DH17" s="456">
        <v>0</v>
      </c>
      <c r="DI17" s="456">
        <v>0.63</v>
      </c>
      <c r="DJ17" s="456">
        <v>1.22</v>
      </c>
      <c r="DK17" s="425"/>
      <c r="DL17" s="456"/>
      <c r="DM17" s="456"/>
      <c r="DN17" s="456"/>
      <c r="DO17" s="456"/>
      <c r="DP17" s="456"/>
      <c r="DQ17" s="456"/>
      <c r="DR17" s="456"/>
      <c r="DS17" s="456"/>
      <c r="DT17" s="456"/>
      <c r="DU17" s="456"/>
      <c r="DV17" s="456"/>
      <c r="DW17" s="456"/>
      <c r="DX17" s="456"/>
      <c r="DY17" s="456"/>
      <c r="DZ17" s="456"/>
      <c r="EA17" s="456"/>
      <c r="EB17" s="456"/>
      <c r="EC17" s="456"/>
      <c r="ED17" s="423">
        <v>0</v>
      </c>
      <c r="EE17" s="423">
        <v>1</v>
      </c>
      <c r="EF17" s="423">
        <v>2.5</v>
      </c>
      <c r="EG17" s="423">
        <v>6</v>
      </c>
      <c r="EH17" s="423">
        <v>0</v>
      </c>
      <c r="EI17" s="456"/>
      <c r="EJ17" s="456"/>
      <c r="EK17" s="456"/>
      <c r="EL17" s="456"/>
      <c r="EM17" s="456"/>
      <c r="EN17" s="456"/>
      <c r="EO17" s="425"/>
      <c r="EP17" s="425"/>
      <c r="EQ17" s="425" t="s">
        <v>743</v>
      </c>
      <c r="ER17" s="425">
        <v>1</v>
      </c>
      <c r="ES17" s="425">
        <v>8</v>
      </c>
      <c r="ET17" s="425">
        <v>4000</v>
      </c>
      <c r="EU17" s="457">
        <v>1700</v>
      </c>
      <c r="EV17" s="425">
        <v>200</v>
      </c>
      <c r="EW17" s="425">
        <v>6541123</v>
      </c>
      <c r="EX17" s="425">
        <v>47097</v>
      </c>
      <c r="EY17" s="666">
        <v>16.649999999999999</v>
      </c>
      <c r="EZ17" s="666">
        <v>16.649999999999999</v>
      </c>
      <c r="FA17" s="666">
        <v>0</v>
      </c>
      <c r="FB17" s="666">
        <v>1.63</v>
      </c>
      <c r="FC17" s="666">
        <v>1.53</v>
      </c>
      <c r="FD17" s="666">
        <v>1.1399999999999999</v>
      </c>
      <c r="FE17" s="666">
        <v>1.1499999999999999</v>
      </c>
      <c r="FF17" s="666">
        <v>120</v>
      </c>
      <c r="FG17" s="666">
        <v>1.28</v>
      </c>
      <c r="FH17" s="666">
        <v>0.49</v>
      </c>
      <c r="FI17" s="666">
        <v>0.88</v>
      </c>
      <c r="FJ17" s="666">
        <v>7.68</v>
      </c>
      <c r="FK17" s="666">
        <v>7.9</v>
      </c>
      <c r="FL17" s="666">
        <v>7.88</v>
      </c>
      <c r="FM17" s="666">
        <v>7.5</v>
      </c>
      <c r="FN17" s="666">
        <v>1</v>
      </c>
    </row>
    <row r="18" spans="1:170" s="416" customFormat="1" ht="15">
      <c r="A18" s="425" t="s">
        <v>5</v>
      </c>
      <c r="B18" s="426">
        <v>40547</v>
      </c>
      <c r="C18" s="418">
        <v>0</v>
      </c>
      <c r="D18" s="518">
        <v>0</v>
      </c>
      <c r="E18" s="453">
        <v>0</v>
      </c>
      <c r="F18" s="453">
        <v>34</v>
      </c>
      <c r="G18" s="453">
        <v>0.95</v>
      </c>
      <c r="H18" s="519">
        <v>1.41</v>
      </c>
      <c r="I18" s="519">
        <v>95.3</v>
      </c>
      <c r="J18" s="483">
        <v>1.44</v>
      </c>
      <c r="K18" s="520" t="s">
        <v>742</v>
      </c>
      <c r="L18" s="453">
        <v>0</v>
      </c>
      <c r="M18" s="453">
        <v>24</v>
      </c>
      <c r="N18" s="453">
        <v>1.55</v>
      </c>
      <c r="O18" s="453">
        <v>2.3901405342660942</v>
      </c>
      <c r="P18" s="453" t="s">
        <v>742</v>
      </c>
      <c r="Q18" s="453">
        <v>0</v>
      </c>
      <c r="R18" s="453">
        <v>1132.4375904887713</v>
      </c>
      <c r="S18" s="453">
        <v>7.98</v>
      </c>
      <c r="T18" s="453" t="s">
        <v>742</v>
      </c>
      <c r="U18" s="453">
        <v>0.83</v>
      </c>
      <c r="V18" s="453" t="s">
        <v>742</v>
      </c>
      <c r="W18" s="453">
        <v>40.460000000000008</v>
      </c>
      <c r="X18" s="456" t="e">
        <v>#VALUE!</v>
      </c>
      <c r="Y18" s="453">
        <v>30.41</v>
      </c>
      <c r="Z18" s="453">
        <v>22.3</v>
      </c>
      <c r="AA18" s="519">
        <v>29.400000000008731</v>
      </c>
      <c r="AB18" s="519">
        <v>27</v>
      </c>
      <c r="AC18" s="732">
        <f t="shared" si="0"/>
        <v>56.400000000008731</v>
      </c>
      <c r="AD18" s="664"/>
      <c r="AE18" s="664"/>
      <c r="AF18" s="664"/>
      <c r="AG18" s="664"/>
      <c r="AH18" s="664"/>
      <c r="AI18" s="664"/>
      <c r="AJ18" s="485"/>
      <c r="AK18" s="485"/>
      <c r="AL18" s="485"/>
      <c r="AM18" s="485"/>
      <c r="AN18" s="485"/>
      <c r="AO18" s="665"/>
      <c r="AP18" s="485"/>
      <c r="AQ18" s="483"/>
      <c r="AR18" s="755">
        <v>0</v>
      </c>
      <c r="AS18" s="453">
        <v>18.899999999999999</v>
      </c>
      <c r="AT18" s="755">
        <v>0</v>
      </c>
      <c r="AU18" s="483">
        <v>31.3</v>
      </c>
      <c r="AV18" s="484">
        <v>0</v>
      </c>
      <c r="AW18" s="484">
        <v>1254.4000000000001</v>
      </c>
      <c r="AX18" s="453">
        <v>0</v>
      </c>
      <c r="AY18" s="734">
        <v>0</v>
      </c>
      <c r="AZ18" s="734">
        <v>0</v>
      </c>
      <c r="BA18" s="734">
        <v>0</v>
      </c>
      <c r="BB18" s="453">
        <v>0</v>
      </c>
      <c r="BC18" s="453">
        <v>0.87</v>
      </c>
      <c r="BD18" s="453">
        <v>1.65</v>
      </c>
      <c r="BE18" s="734">
        <v>0</v>
      </c>
      <c r="BF18" s="453">
        <v>0</v>
      </c>
      <c r="BG18" s="453">
        <v>0</v>
      </c>
      <c r="BH18" s="734">
        <v>0</v>
      </c>
      <c r="BI18" s="453">
        <v>0</v>
      </c>
      <c r="BJ18" s="453">
        <v>24.5</v>
      </c>
      <c r="BK18" s="453">
        <v>0</v>
      </c>
      <c r="BL18" s="453">
        <v>6</v>
      </c>
      <c r="BM18" s="453">
        <v>0</v>
      </c>
      <c r="BN18" s="453">
        <v>18.5</v>
      </c>
      <c r="BO18" s="453">
        <v>1206.3</v>
      </c>
      <c r="BP18" s="453">
        <v>44.1</v>
      </c>
      <c r="BQ18" s="453">
        <v>17.2</v>
      </c>
      <c r="BR18" s="453">
        <v>17.100000000000001</v>
      </c>
      <c r="BS18" s="453">
        <v>0</v>
      </c>
      <c r="BT18" s="453">
        <v>30.5</v>
      </c>
      <c r="BU18" s="453">
        <v>25</v>
      </c>
      <c r="BV18" s="456">
        <v>926.6</v>
      </c>
      <c r="BW18" s="453">
        <v>0.5</v>
      </c>
      <c r="BX18" s="453">
        <v>1.81</v>
      </c>
      <c r="BY18" s="456">
        <v>1.1299999999999999</v>
      </c>
      <c r="BZ18" s="456">
        <v>14.5</v>
      </c>
      <c r="CA18" s="456">
        <v>30.8</v>
      </c>
      <c r="CB18" s="456">
        <v>15.5</v>
      </c>
      <c r="CC18" s="456">
        <v>6.3</v>
      </c>
      <c r="CD18" s="456">
        <v>10.5</v>
      </c>
      <c r="CE18" s="456">
        <v>14.6</v>
      </c>
      <c r="CF18" s="456">
        <v>12.6</v>
      </c>
      <c r="CG18" s="456">
        <v>524.79999999999995</v>
      </c>
      <c r="CH18" s="456">
        <v>2.6</v>
      </c>
      <c r="CI18" s="456">
        <v>2</v>
      </c>
      <c r="CJ18" s="456">
        <v>145</v>
      </c>
      <c r="CK18" s="456">
        <v>252.5</v>
      </c>
      <c r="CL18" s="456">
        <v>344</v>
      </c>
      <c r="CM18" s="456">
        <v>10.4</v>
      </c>
      <c r="CN18" s="456">
        <v>1.2</v>
      </c>
      <c r="CO18" s="453">
        <v>0</v>
      </c>
      <c r="CP18" s="453">
        <v>15.41</v>
      </c>
      <c r="CQ18" s="453">
        <v>41</v>
      </c>
      <c r="CR18" s="456">
        <v>0</v>
      </c>
      <c r="CS18" s="456">
        <v>0</v>
      </c>
      <c r="CT18" s="456">
        <v>0</v>
      </c>
      <c r="CU18" s="456">
        <v>0</v>
      </c>
      <c r="CV18" s="481">
        <v>713.6</v>
      </c>
      <c r="CW18" s="481">
        <v>1195.8333333333333</v>
      </c>
      <c r="CX18" s="481">
        <v>699.30208333333337</v>
      </c>
      <c r="CY18" s="481">
        <v>1075.8900000000001</v>
      </c>
      <c r="CZ18" s="456"/>
      <c r="DA18" s="456"/>
      <c r="DB18" s="456"/>
      <c r="DC18" s="456"/>
      <c r="DD18" s="456"/>
      <c r="DE18" s="456"/>
      <c r="DF18" s="456"/>
      <c r="DG18" s="425"/>
      <c r="DH18" s="456">
        <v>0</v>
      </c>
      <c r="DI18" s="456">
        <v>0.73</v>
      </c>
      <c r="DJ18" s="456">
        <v>1.3</v>
      </c>
      <c r="DK18" s="425"/>
      <c r="DL18" s="456"/>
      <c r="DM18" s="456"/>
      <c r="DN18" s="456"/>
      <c r="DO18" s="456"/>
      <c r="DP18" s="456"/>
      <c r="DQ18" s="456"/>
      <c r="DR18" s="456"/>
      <c r="DS18" s="456"/>
      <c r="DT18" s="456"/>
      <c r="DU18" s="456"/>
      <c r="DV18" s="456"/>
      <c r="DW18" s="456"/>
      <c r="DX18" s="456"/>
      <c r="DY18" s="456"/>
      <c r="DZ18" s="456"/>
      <c r="EA18" s="456"/>
      <c r="EB18" s="456"/>
      <c r="EC18" s="456"/>
      <c r="ED18" s="423">
        <v>0</v>
      </c>
      <c r="EE18" s="423">
        <v>1</v>
      </c>
      <c r="EF18" s="423">
        <v>2.5</v>
      </c>
      <c r="EG18" s="423">
        <v>6</v>
      </c>
      <c r="EH18" s="423">
        <v>0</v>
      </c>
      <c r="EI18" s="456"/>
      <c r="EJ18" s="456"/>
      <c r="EK18" s="456"/>
      <c r="EL18" s="456"/>
      <c r="EM18" s="456"/>
      <c r="EN18" s="456"/>
      <c r="EO18" s="425"/>
      <c r="EP18" s="425"/>
      <c r="EQ18" s="425" t="s">
        <v>743</v>
      </c>
      <c r="ER18" s="425">
        <v>1</v>
      </c>
      <c r="ES18" s="425">
        <v>8</v>
      </c>
      <c r="ET18" s="425">
        <v>4000</v>
      </c>
      <c r="EU18" s="457">
        <v>1560</v>
      </c>
      <c r="EV18" s="425">
        <v>180</v>
      </c>
      <c r="EW18" s="425">
        <v>6543488</v>
      </c>
      <c r="EX18" s="425">
        <v>47944</v>
      </c>
      <c r="EY18" s="666">
        <v>17.2</v>
      </c>
      <c r="EZ18" s="666">
        <v>17.2</v>
      </c>
      <c r="FA18" s="666">
        <v>0</v>
      </c>
      <c r="FB18" s="666">
        <v>1.72</v>
      </c>
      <c r="FC18" s="666">
        <v>1.66</v>
      </c>
      <c r="FD18" s="666">
        <v>1.19</v>
      </c>
      <c r="FE18" s="666">
        <v>1.17</v>
      </c>
      <c r="FF18" s="666">
        <v>140</v>
      </c>
      <c r="FG18" s="666">
        <v>1.29</v>
      </c>
      <c r="FH18" s="666">
        <v>0.49</v>
      </c>
      <c r="FI18" s="666">
        <v>0.9</v>
      </c>
      <c r="FJ18" s="666">
        <v>7.72</v>
      </c>
      <c r="FK18" s="666">
        <v>7.9</v>
      </c>
      <c r="FL18" s="666">
        <v>8</v>
      </c>
      <c r="FM18" s="666">
        <v>7.6</v>
      </c>
      <c r="FN18" s="666">
        <v>1</v>
      </c>
    </row>
    <row r="19" spans="1:170" s="416" customFormat="1" ht="15">
      <c r="A19" s="425" t="s">
        <v>6</v>
      </c>
      <c r="B19" s="426">
        <v>40548</v>
      </c>
      <c r="C19" s="418">
        <v>0</v>
      </c>
      <c r="D19" s="518">
        <v>0.4</v>
      </c>
      <c r="E19" s="453">
        <v>0</v>
      </c>
      <c r="F19" s="453">
        <v>39</v>
      </c>
      <c r="G19" s="453">
        <v>0.95</v>
      </c>
      <c r="H19" s="519">
        <v>1.85</v>
      </c>
      <c r="I19" s="519">
        <v>96.7</v>
      </c>
      <c r="J19" s="483">
        <v>1.97</v>
      </c>
      <c r="K19" s="520" t="s">
        <v>742</v>
      </c>
      <c r="L19" s="453">
        <v>0</v>
      </c>
      <c r="M19" s="453">
        <v>24</v>
      </c>
      <c r="N19" s="453">
        <v>1.55</v>
      </c>
      <c r="O19" s="453">
        <v>2.3195131821309767</v>
      </c>
      <c r="P19" s="453" t="s">
        <v>742</v>
      </c>
      <c r="Q19" s="756">
        <v>1.2858322325037144</v>
      </c>
      <c r="R19" s="453">
        <v>1107.3603011889036</v>
      </c>
      <c r="S19" s="453">
        <v>7.98</v>
      </c>
      <c r="T19" s="453" t="s">
        <v>742</v>
      </c>
      <c r="U19" s="453">
        <v>0.84</v>
      </c>
      <c r="V19" s="453" t="s">
        <v>742</v>
      </c>
      <c r="W19" s="453">
        <v>42.8</v>
      </c>
      <c r="X19" s="456" t="e">
        <v>#VALUE!</v>
      </c>
      <c r="Y19" s="453">
        <v>29.91</v>
      </c>
      <c r="Z19" s="453">
        <v>25.78</v>
      </c>
      <c r="AA19" s="519">
        <v>31.099999999991269</v>
      </c>
      <c r="AB19" s="519">
        <v>26.5</v>
      </c>
      <c r="AC19" s="732">
        <f t="shared" si="0"/>
        <v>57.599999999991269</v>
      </c>
      <c r="AD19" s="664"/>
      <c r="AE19" s="664"/>
      <c r="AF19" s="664"/>
      <c r="AG19" s="664"/>
      <c r="AH19" s="664"/>
      <c r="AI19" s="664"/>
      <c r="AJ19" s="485"/>
      <c r="AK19" s="485"/>
      <c r="AL19" s="485"/>
      <c r="AM19" s="485"/>
      <c r="AN19" s="485"/>
      <c r="AO19" s="665"/>
      <c r="AP19" s="485"/>
      <c r="AQ19" s="483"/>
      <c r="AR19" s="755">
        <v>0</v>
      </c>
      <c r="AS19" s="483">
        <v>37.299999999999997</v>
      </c>
      <c r="AT19" s="755">
        <v>0</v>
      </c>
      <c r="AU19" s="483">
        <v>31.5</v>
      </c>
      <c r="AV19" s="484">
        <v>247</v>
      </c>
      <c r="AW19" s="484">
        <v>715.6</v>
      </c>
      <c r="AX19" s="453">
        <v>0</v>
      </c>
      <c r="AY19" s="734">
        <v>0</v>
      </c>
      <c r="AZ19" s="734">
        <v>0</v>
      </c>
      <c r="BA19" s="734">
        <v>0</v>
      </c>
      <c r="BB19" s="453">
        <v>0</v>
      </c>
      <c r="BC19" s="453">
        <v>0.87</v>
      </c>
      <c r="BD19" s="453">
        <v>1.65</v>
      </c>
      <c r="BE19" s="734">
        <v>0</v>
      </c>
      <c r="BF19" s="453">
        <v>0</v>
      </c>
      <c r="BG19" s="453">
        <v>0</v>
      </c>
      <c r="BH19" s="734">
        <v>0</v>
      </c>
      <c r="BI19" s="453">
        <v>0</v>
      </c>
      <c r="BJ19" s="453">
        <v>23.6</v>
      </c>
      <c r="BK19" s="453">
        <v>0</v>
      </c>
      <c r="BL19" s="453">
        <v>6</v>
      </c>
      <c r="BM19" s="453">
        <v>0</v>
      </c>
      <c r="BN19" s="453">
        <v>17.5</v>
      </c>
      <c r="BO19" s="453">
        <v>1896.1</v>
      </c>
      <c r="BP19" s="453">
        <v>0</v>
      </c>
      <c r="BQ19" s="453">
        <v>17.100000000000001</v>
      </c>
      <c r="BR19" s="453">
        <v>17</v>
      </c>
      <c r="BS19" s="453">
        <v>0</v>
      </c>
      <c r="BT19" s="453">
        <v>30.3</v>
      </c>
      <c r="BU19" s="453">
        <v>26.5</v>
      </c>
      <c r="BV19" s="456">
        <v>797.4</v>
      </c>
      <c r="BW19" s="453">
        <v>0.5</v>
      </c>
      <c r="BX19" s="453">
        <v>1.77</v>
      </c>
      <c r="BY19" s="456">
        <v>1.1399999999999999</v>
      </c>
      <c r="BZ19" s="456">
        <v>15</v>
      </c>
      <c r="CA19" s="456">
        <v>30.9</v>
      </c>
      <c r="CB19" s="456">
        <v>14.7</v>
      </c>
      <c r="CC19" s="456">
        <v>9.6</v>
      </c>
      <c r="CD19" s="456">
        <v>13.8</v>
      </c>
      <c r="CE19" s="456">
        <v>17.899999999999999</v>
      </c>
      <c r="CF19" s="456">
        <v>12.9</v>
      </c>
      <c r="CG19" s="456">
        <v>526.5</v>
      </c>
      <c r="CH19" s="456">
        <v>2.2999999999999998</v>
      </c>
      <c r="CI19" s="456">
        <v>3</v>
      </c>
      <c r="CJ19" s="456">
        <v>205.5</v>
      </c>
      <c r="CK19" s="456">
        <v>386.4</v>
      </c>
      <c r="CL19" s="456">
        <v>521.6</v>
      </c>
      <c r="CM19" s="456">
        <v>10.1</v>
      </c>
      <c r="CN19" s="456">
        <v>1.2</v>
      </c>
      <c r="CO19" s="453">
        <v>0</v>
      </c>
      <c r="CP19" s="453">
        <v>14.97</v>
      </c>
      <c r="CQ19" s="453">
        <v>41</v>
      </c>
      <c r="CR19" s="456">
        <v>0</v>
      </c>
      <c r="CS19" s="456">
        <v>0</v>
      </c>
      <c r="CT19" s="456">
        <v>0</v>
      </c>
      <c r="CU19" s="456">
        <v>0</v>
      </c>
      <c r="CV19" s="481">
        <v>726.5</v>
      </c>
      <c r="CW19" s="481">
        <v>1181.875</v>
      </c>
      <c r="CX19" s="481">
        <v>718.05208333333337</v>
      </c>
      <c r="CY19" s="481">
        <v>1075.6600000000001</v>
      </c>
      <c r="CZ19" s="456"/>
      <c r="DA19" s="456"/>
      <c r="DB19" s="456"/>
      <c r="DC19" s="456"/>
      <c r="DD19" s="456"/>
      <c r="DE19" s="456"/>
      <c r="DF19" s="456"/>
      <c r="DG19" s="425"/>
      <c r="DH19" s="456">
        <v>0</v>
      </c>
      <c r="DI19" s="456">
        <v>0.72</v>
      </c>
      <c r="DJ19" s="456">
        <v>1.38</v>
      </c>
      <c r="DK19" s="425"/>
      <c r="DL19" s="456"/>
      <c r="DM19" s="456"/>
      <c r="DN19" s="456"/>
      <c r="DO19" s="456"/>
      <c r="DP19" s="456"/>
      <c r="DQ19" s="456"/>
      <c r="DR19" s="456"/>
      <c r="DS19" s="456"/>
      <c r="DT19" s="456"/>
      <c r="DU19" s="456"/>
      <c r="DV19" s="456"/>
      <c r="DW19" s="456"/>
      <c r="DX19" s="456"/>
      <c r="DY19" s="456"/>
      <c r="DZ19" s="456"/>
      <c r="EA19" s="456"/>
      <c r="EB19" s="456"/>
      <c r="EC19" s="456"/>
      <c r="ED19" s="423">
        <v>0</v>
      </c>
      <c r="EE19" s="423">
        <v>1</v>
      </c>
      <c r="EF19" s="423">
        <v>2.5</v>
      </c>
      <c r="EG19" s="423">
        <v>6</v>
      </c>
      <c r="EH19" s="423">
        <v>0</v>
      </c>
      <c r="EI19" s="456"/>
      <c r="EJ19" s="456"/>
      <c r="EK19" s="456"/>
      <c r="EL19" s="456"/>
      <c r="EM19" s="456"/>
      <c r="EN19" s="456"/>
      <c r="EO19" s="425"/>
      <c r="EP19" s="425"/>
      <c r="EQ19" s="425" t="s">
        <v>743</v>
      </c>
      <c r="ER19" s="425">
        <v>1</v>
      </c>
      <c r="ES19" s="425">
        <v>8</v>
      </c>
      <c r="ET19" s="425">
        <v>4000</v>
      </c>
      <c r="EU19" s="457">
        <v>1430</v>
      </c>
      <c r="EV19" s="425">
        <v>130</v>
      </c>
      <c r="EW19" s="425">
        <v>6546153</v>
      </c>
      <c r="EX19" s="425">
        <v>48772</v>
      </c>
      <c r="EY19" s="666">
        <v>17.05</v>
      </c>
      <c r="EZ19" s="666">
        <v>17.05</v>
      </c>
      <c r="FA19" s="666">
        <v>0</v>
      </c>
      <c r="FB19" s="666">
        <v>1.56</v>
      </c>
      <c r="FC19" s="666">
        <v>1.64</v>
      </c>
      <c r="FD19" s="666">
        <v>1.18</v>
      </c>
      <c r="FE19" s="666">
        <v>1.0900000000000001</v>
      </c>
      <c r="FF19" s="666">
        <v>130</v>
      </c>
      <c r="FG19" s="666">
        <v>1.06</v>
      </c>
      <c r="FH19" s="666">
        <v>0.47</v>
      </c>
      <c r="FI19" s="666">
        <v>0.89</v>
      </c>
      <c r="FJ19" s="666">
        <v>8.35</v>
      </c>
      <c r="FK19" s="666">
        <v>8.1999999999999993</v>
      </c>
      <c r="FL19" s="666">
        <v>8.6</v>
      </c>
      <c r="FM19" s="666">
        <v>7.5</v>
      </c>
      <c r="FN19" s="666">
        <v>1</v>
      </c>
    </row>
    <row r="20" spans="1:170" s="416" customFormat="1" ht="15">
      <c r="A20" s="425" t="s">
        <v>7</v>
      </c>
      <c r="B20" s="426">
        <v>40549</v>
      </c>
      <c r="C20" s="418">
        <v>0</v>
      </c>
      <c r="D20" s="518">
        <v>1.32</v>
      </c>
      <c r="E20" s="453">
        <v>0</v>
      </c>
      <c r="F20" s="453">
        <v>40</v>
      </c>
      <c r="G20" s="453">
        <v>1.7</v>
      </c>
      <c r="H20" s="519">
        <v>9.25</v>
      </c>
      <c r="I20" s="519">
        <v>94.5</v>
      </c>
      <c r="J20" s="483">
        <v>3.26</v>
      </c>
      <c r="K20" s="520" t="s">
        <v>742</v>
      </c>
      <c r="L20" s="453">
        <v>13.900000000001455</v>
      </c>
      <c r="M20" s="453">
        <v>20.2</v>
      </c>
      <c r="N20" s="453">
        <v>1.52</v>
      </c>
      <c r="O20" s="453">
        <v>2.1816556739706936</v>
      </c>
      <c r="P20" s="453" t="s">
        <v>742</v>
      </c>
      <c r="Q20" s="756">
        <v>0.59346103038453046</v>
      </c>
      <c r="R20" s="453">
        <v>1025.5291466314397</v>
      </c>
      <c r="S20" s="453">
        <v>7.96</v>
      </c>
      <c r="T20" s="453" t="s">
        <v>742</v>
      </c>
      <c r="U20" s="453">
        <v>0.83</v>
      </c>
      <c r="V20" s="453" t="s">
        <v>742</v>
      </c>
      <c r="W20" s="453">
        <v>42.8</v>
      </c>
      <c r="X20" s="456" t="e">
        <v>#VALUE!</v>
      </c>
      <c r="Y20" s="453">
        <v>30.02</v>
      </c>
      <c r="Z20" s="453">
        <v>26.38</v>
      </c>
      <c r="AA20" s="519">
        <v>30.19999999999709</v>
      </c>
      <c r="AB20" s="519">
        <v>26.229999999995925</v>
      </c>
      <c r="AC20" s="732">
        <f t="shared" si="0"/>
        <v>56.429999999993015</v>
      </c>
      <c r="AD20" s="664"/>
      <c r="AE20" s="664"/>
      <c r="AF20" s="664"/>
      <c r="AG20" s="664"/>
      <c r="AH20" s="664"/>
      <c r="AI20" s="664"/>
      <c r="AJ20" s="485"/>
      <c r="AK20" s="485"/>
      <c r="AL20" s="485"/>
      <c r="AM20" s="485"/>
      <c r="AN20" s="485"/>
      <c r="AO20" s="665"/>
      <c r="AP20" s="485"/>
      <c r="AQ20" s="483"/>
      <c r="AR20" s="755">
        <v>0</v>
      </c>
      <c r="AS20" s="483">
        <v>32.299999999999997</v>
      </c>
      <c r="AT20" s="755">
        <v>0</v>
      </c>
      <c r="AU20" s="483">
        <v>31.2</v>
      </c>
      <c r="AV20" s="484">
        <v>691.1</v>
      </c>
      <c r="AW20" s="484">
        <v>393.8</v>
      </c>
      <c r="AX20" s="453">
        <v>0</v>
      </c>
      <c r="AY20" s="734">
        <v>0</v>
      </c>
      <c r="AZ20" s="734">
        <v>0</v>
      </c>
      <c r="BA20" s="734">
        <v>0</v>
      </c>
      <c r="BB20" s="453">
        <v>0</v>
      </c>
      <c r="BC20" s="453">
        <v>1.64</v>
      </c>
      <c r="BD20" s="453">
        <v>0</v>
      </c>
      <c r="BE20" s="734">
        <v>0</v>
      </c>
      <c r="BF20" s="453">
        <v>0</v>
      </c>
      <c r="BG20" s="453">
        <v>0</v>
      </c>
      <c r="BH20" s="734">
        <v>0</v>
      </c>
      <c r="BI20" s="453">
        <v>0</v>
      </c>
      <c r="BJ20" s="453">
        <v>24.5</v>
      </c>
      <c r="BK20" s="453">
        <v>0</v>
      </c>
      <c r="BL20" s="453">
        <v>3.98</v>
      </c>
      <c r="BM20" s="453">
        <v>0</v>
      </c>
      <c r="BN20" s="453">
        <v>20.399999999999999</v>
      </c>
      <c r="BO20" s="453">
        <v>921.7</v>
      </c>
      <c r="BP20" s="453">
        <v>0</v>
      </c>
      <c r="BQ20" s="453">
        <v>17.399999999999999</v>
      </c>
      <c r="BR20" s="453">
        <v>17.399999999999999</v>
      </c>
      <c r="BS20" s="453">
        <v>0</v>
      </c>
      <c r="BT20" s="453">
        <v>30</v>
      </c>
      <c r="BU20" s="453">
        <v>24.3</v>
      </c>
      <c r="BV20" s="456">
        <v>671.1</v>
      </c>
      <c r="BW20" s="453">
        <v>0.5</v>
      </c>
      <c r="BX20" s="453">
        <v>1.67</v>
      </c>
      <c r="BY20" s="456">
        <v>1.1299999999999999</v>
      </c>
      <c r="BZ20" s="456">
        <v>15.9</v>
      </c>
      <c r="CA20" s="456">
        <v>31.3</v>
      </c>
      <c r="CB20" s="456">
        <v>14</v>
      </c>
      <c r="CC20" s="456">
        <v>7.8</v>
      </c>
      <c r="CD20" s="456">
        <v>11.9</v>
      </c>
      <c r="CE20" s="456">
        <v>16.399999999999999</v>
      </c>
      <c r="CF20" s="456">
        <v>13.7</v>
      </c>
      <c r="CG20" s="456">
        <v>565.9</v>
      </c>
      <c r="CH20" s="456">
        <v>3</v>
      </c>
      <c r="CI20" s="456">
        <v>3.7</v>
      </c>
      <c r="CJ20" s="456">
        <v>163.69999999999999</v>
      </c>
      <c r="CK20" s="456">
        <v>384.6</v>
      </c>
      <c r="CL20" s="456">
        <v>517.79999999999995</v>
      </c>
      <c r="CM20" s="456">
        <v>11.1</v>
      </c>
      <c r="CN20" s="456">
        <v>1.3</v>
      </c>
      <c r="CO20" s="453">
        <v>0</v>
      </c>
      <c r="CP20" s="453">
        <v>14.67</v>
      </c>
      <c r="CQ20" s="453">
        <v>42</v>
      </c>
      <c r="CR20" s="456">
        <v>0</v>
      </c>
      <c r="CS20" s="456">
        <v>0</v>
      </c>
      <c r="CT20" s="456">
        <v>0</v>
      </c>
      <c r="CU20" s="456">
        <v>0</v>
      </c>
      <c r="CV20" s="481">
        <v>1066.1500000000001</v>
      </c>
      <c r="CW20" s="481">
        <v>1417.3958333333333</v>
      </c>
      <c r="CX20" s="481">
        <v>1173.4166666666667</v>
      </c>
      <c r="CY20" s="481">
        <v>1078.73</v>
      </c>
      <c r="CZ20" s="456"/>
      <c r="DA20" s="456"/>
      <c r="DB20" s="456"/>
      <c r="DC20" s="456"/>
      <c r="DD20" s="456"/>
      <c r="DE20" s="456"/>
      <c r="DF20" s="456"/>
      <c r="DG20" s="425"/>
      <c r="DH20" s="456">
        <v>0</v>
      </c>
      <c r="DI20" s="456">
        <v>0.84</v>
      </c>
      <c r="DJ20" s="456">
        <v>1.1399999999999999</v>
      </c>
      <c r="DK20" s="425"/>
      <c r="DL20" s="456"/>
      <c r="DM20" s="456"/>
      <c r="DN20" s="456"/>
      <c r="DO20" s="456"/>
      <c r="DP20" s="456"/>
      <c r="DQ20" s="456"/>
      <c r="DR20" s="456"/>
      <c r="DS20" s="456"/>
      <c r="DT20" s="456"/>
      <c r="DU20" s="456"/>
      <c r="DV20" s="456"/>
      <c r="DW20" s="456"/>
      <c r="DX20" s="456"/>
      <c r="DY20" s="456"/>
      <c r="DZ20" s="456"/>
      <c r="EA20" s="456"/>
      <c r="EB20" s="456"/>
      <c r="EC20" s="456"/>
      <c r="ED20" s="423">
        <v>0</v>
      </c>
      <c r="EE20" s="423">
        <v>1</v>
      </c>
      <c r="EF20" s="423">
        <v>2.5</v>
      </c>
      <c r="EG20" s="423">
        <v>6</v>
      </c>
      <c r="EH20" s="423">
        <v>0</v>
      </c>
      <c r="EI20" s="456"/>
      <c r="EJ20" s="456"/>
      <c r="EK20" s="456"/>
      <c r="EL20" s="456"/>
      <c r="EM20" s="456"/>
      <c r="EN20" s="456"/>
      <c r="EO20" s="425"/>
      <c r="EP20" s="425"/>
      <c r="EQ20" s="425" t="s">
        <v>743</v>
      </c>
      <c r="ER20" s="425">
        <v>1</v>
      </c>
      <c r="ES20" s="425">
        <v>8</v>
      </c>
      <c r="ET20" s="425">
        <v>4000</v>
      </c>
      <c r="EU20" s="457">
        <v>1340</v>
      </c>
      <c r="EV20" s="425">
        <v>70</v>
      </c>
      <c r="EW20" s="425">
        <v>6548147</v>
      </c>
      <c r="EX20" s="425">
        <v>49596</v>
      </c>
      <c r="EY20" s="666">
        <v>18.2</v>
      </c>
      <c r="EZ20" s="666">
        <v>18.2</v>
      </c>
      <c r="FA20" s="666">
        <v>0</v>
      </c>
      <c r="FB20" s="666">
        <v>1.56</v>
      </c>
      <c r="FC20" s="666">
        <v>1.33</v>
      </c>
      <c r="FD20" s="666">
        <v>1.1599999999999999</v>
      </c>
      <c r="FE20" s="666">
        <v>1.0900000000000001</v>
      </c>
      <c r="FF20" s="666">
        <v>90</v>
      </c>
      <c r="FG20" s="666">
        <v>1.98</v>
      </c>
      <c r="FH20" s="666">
        <v>0.63</v>
      </c>
      <c r="FI20" s="666">
        <v>1.34</v>
      </c>
      <c r="FJ20" s="666">
        <v>8.24</v>
      </c>
      <c r="FK20" s="666">
        <v>8.1999999999999993</v>
      </c>
      <c r="FL20" s="666">
        <v>8.1199999999999992</v>
      </c>
      <c r="FM20" s="666">
        <v>7.7</v>
      </c>
      <c r="FN20" s="666">
        <v>1</v>
      </c>
    </row>
    <row r="21" spans="1:170" s="416" customFormat="1" ht="15">
      <c r="A21" s="425" t="s">
        <v>8</v>
      </c>
      <c r="B21" s="426">
        <v>40550</v>
      </c>
      <c r="C21" s="418">
        <v>0</v>
      </c>
      <c r="D21" s="518">
        <v>1.08</v>
      </c>
      <c r="E21" s="453">
        <v>0</v>
      </c>
      <c r="F21" s="453">
        <v>37</v>
      </c>
      <c r="G21" s="453">
        <v>2.6</v>
      </c>
      <c r="H21" s="519">
        <v>15.45</v>
      </c>
      <c r="I21" s="519">
        <v>84.6</v>
      </c>
      <c r="J21" s="483">
        <v>3.01</v>
      </c>
      <c r="K21" s="520" t="s">
        <v>742</v>
      </c>
      <c r="L21" s="453">
        <v>39.409999999999854</v>
      </c>
      <c r="M21" s="453">
        <v>19</v>
      </c>
      <c r="N21" s="453">
        <v>1.64</v>
      </c>
      <c r="O21" s="453">
        <v>2.0663586678817913</v>
      </c>
      <c r="P21" s="453" t="s">
        <v>742</v>
      </c>
      <c r="Q21" s="756">
        <v>0.28260049065685239</v>
      </c>
      <c r="R21" s="453">
        <v>871.76576750330253</v>
      </c>
      <c r="S21" s="453">
        <v>7.82</v>
      </c>
      <c r="T21" s="453" t="s">
        <v>742</v>
      </c>
      <c r="U21" s="453">
        <v>0.78</v>
      </c>
      <c r="V21" s="453" t="s">
        <v>742</v>
      </c>
      <c r="W21" s="453">
        <v>46.94</v>
      </c>
      <c r="X21" s="456" t="e">
        <v>#VALUE!</v>
      </c>
      <c r="Y21" s="453">
        <v>30.33</v>
      </c>
      <c r="Z21" s="453">
        <v>25.49</v>
      </c>
      <c r="AA21" s="519">
        <v>29.5</v>
      </c>
      <c r="AB21" s="519">
        <v>21.069999999999709</v>
      </c>
      <c r="AC21" s="732">
        <f t="shared" si="0"/>
        <v>50.569999999999709</v>
      </c>
      <c r="AD21" s="664"/>
      <c r="AE21" s="664"/>
      <c r="AF21" s="664"/>
      <c r="AG21" s="664"/>
      <c r="AH21" s="664"/>
      <c r="AI21" s="664"/>
      <c r="AJ21" s="485"/>
      <c r="AK21" s="485"/>
      <c r="AL21" s="485"/>
      <c r="AM21" s="485"/>
      <c r="AN21" s="485"/>
      <c r="AO21" s="665"/>
      <c r="AP21" s="485"/>
      <c r="AQ21" s="483"/>
      <c r="AR21" s="755">
        <v>0</v>
      </c>
      <c r="AS21" s="483">
        <v>24.1</v>
      </c>
      <c r="AT21" s="755">
        <v>0</v>
      </c>
      <c r="AU21" s="483">
        <v>31.5</v>
      </c>
      <c r="AV21" s="484">
        <v>461.4</v>
      </c>
      <c r="AW21" s="484">
        <v>515.9</v>
      </c>
      <c r="AX21" s="453">
        <v>0</v>
      </c>
      <c r="AY21" s="734">
        <v>0</v>
      </c>
      <c r="AZ21" s="734">
        <v>0</v>
      </c>
      <c r="BA21" s="734">
        <v>0</v>
      </c>
      <c r="BB21" s="453">
        <v>0</v>
      </c>
      <c r="BC21" s="453">
        <v>0</v>
      </c>
      <c r="BD21" s="453">
        <v>0</v>
      </c>
      <c r="BE21" s="734">
        <v>0</v>
      </c>
      <c r="BF21" s="453">
        <v>0</v>
      </c>
      <c r="BG21" s="453">
        <v>0</v>
      </c>
      <c r="BH21" s="734">
        <v>0</v>
      </c>
      <c r="BI21" s="453">
        <v>0</v>
      </c>
      <c r="BJ21" s="453">
        <v>21.9</v>
      </c>
      <c r="BK21" s="453">
        <v>0</v>
      </c>
      <c r="BL21" s="453">
        <v>0</v>
      </c>
      <c r="BM21" s="453">
        <v>0</v>
      </c>
      <c r="BN21" s="453">
        <v>21.7</v>
      </c>
      <c r="BO21" s="453">
        <v>618.5</v>
      </c>
      <c r="BP21" s="453">
        <v>0</v>
      </c>
      <c r="BQ21" s="453">
        <v>19.2</v>
      </c>
      <c r="BR21" s="453">
        <v>19.2</v>
      </c>
      <c r="BS21" s="453">
        <v>0</v>
      </c>
      <c r="BT21" s="453">
        <v>31.3</v>
      </c>
      <c r="BU21" s="453">
        <v>17.100000000000001</v>
      </c>
      <c r="BV21" s="456">
        <v>452</v>
      </c>
      <c r="BW21" s="453">
        <v>0.6</v>
      </c>
      <c r="BX21" s="453">
        <v>1.66</v>
      </c>
      <c r="BY21" s="456">
        <v>1.1299999999999999</v>
      </c>
      <c r="BZ21" s="456">
        <v>14.9</v>
      </c>
      <c r="CA21" s="456">
        <v>32.4</v>
      </c>
      <c r="CB21" s="456">
        <v>13.2</v>
      </c>
      <c r="CC21" s="456">
        <v>4.8</v>
      </c>
      <c r="CD21" s="456">
        <v>9</v>
      </c>
      <c r="CE21" s="456">
        <v>13.1</v>
      </c>
      <c r="CF21" s="456">
        <v>12.8</v>
      </c>
      <c r="CG21" s="456">
        <v>498.8</v>
      </c>
      <c r="CH21" s="456">
        <v>1.7</v>
      </c>
      <c r="CI21" s="456">
        <v>2.9</v>
      </c>
      <c r="CJ21" s="456">
        <v>163.6</v>
      </c>
      <c r="CK21" s="456">
        <v>384.7</v>
      </c>
      <c r="CL21" s="456">
        <v>479.6</v>
      </c>
      <c r="CM21" s="456">
        <v>10.1</v>
      </c>
      <c r="CN21" s="456">
        <v>1.2</v>
      </c>
      <c r="CO21" s="453">
        <v>0</v>
      </c>
      <c r="CP21" s="453">
        <v>14.7</v>
      </c>
      <c r="CQ21" s="453">
        <v>42</v>
      </c>
      <c r="CR21" s="456">
        <v>0</v>
      </c>
      <c r="CS21" s="456">
        <v>0</v>
      </c>
      <c r="CT21" s="456">
        <v>0</v>
      </c>
      <c r="CU21" s="456">
        <v>0</v>
      </c>
      <c r="CV21" s="481">
        <v>1772.1052631578948</v>
      </c>
      <c r="CW21" s="481">
        <v>2490</v>
      </c>
      <c r="CX21" s="481">
        <v>2207.7083333333335</v>
      </c>
      <c r="CY21" s="481">
        <v>1086.5</v>
      </c>
      <c r="CZ21" s="456"/>
      <c r="DA21" s="456"/>
      <c r="DB21" s="456"/>
      <c r="DC21" s="456"/>
      <c r="DD21" s="456"/>
      <c r="DE21" s="456"/>
      <c r="DF21" s="456"/>
      <c r="DG21" s="425"/>
      <c r="DH21" s="456">
        <v>0</v>
      </c>
      <c r="DI21" s="456">
        <v>0.71</v>
      </c>
      <c r="DJ21" s="456">
        <v>1.23</v>
      </c>
      <c r="DK21" s="425"/>
      <c r="DL21" s="456"/>
      <c r="DM21" s="456"/>
      <c r="DN21" s="456"/>
      <c r="DO21" s="456"/>
      <c r="DP21" s="456"/>
      <c r="DQ21" s="456"/>
      <c r="DR21" s="456"/>
      <c r="DS21" s="456"/>
      <c r="DT21" s="456"/>
      <c r="DU21" s="456"/>
      <c r="DV21" s="456"/>
      <c r="DW21" s="456"/>
      <c r="DX21" s="456"/>
      <c r="DY21" s="456"/>
      <c r="DZ21" s="456"/>
      <c r="EA21" s="456"/>
      <c r="EB21" s="456"/>
      <c r="EC21" s="456"/>
      <c r="ED21" s="423">
        <v>0</v>
      </c>
      <c r="EE21" s="423">
        <v>1</v>
      </c>
      <c r="EF21" s="423">
        <v>2.5</v>
      </c>
      <c r="EG21" s="423">
        <v>6</v>
      </c>
      <c r="EH21" s="423">
        <v>0</v>
      </c>
      <c r="EI21" s="456"/>
      <c r="EJ21" s="456"/>
      <c r="EK21" s="456"/>
      <c r="EL21" s="456"/>
      <c r="EM21" s="456"/>
      <c r="EN21" s="456"/>
      <c r="EO21" s="425"/>
      <c r="EP21" s="425"/>
      <c r="EQ21" s="425" t="s">
        <v>743</v>
      </c>
      <c r="ER21" s="425">
        <v>1</v>
      </c>
      <c r="ES21" s="425">
        <v>8</v>
      </c>
      <c r="ET21" s="425">
        <v>4000</v>
      </c>
      <c r="EU21" s="457">
        <v>1240</v>
      </c>
      <c r="EV21" s="425">
        <v>80</v>
      </c>
      <c r="EW21" s="425">
        <v>6550046</v>
      </c>
      <c r="EX21" s="425">
        <v>50446</v>
      </c>
      <c r="EY21" s="666">
        <v>19.45</v>
      </c>
      <c r="EZ21" s="666">
        <v>19.45</v>
      </c>
      <c r="FA21" s="666">
        <v>0</v>
      </c>
      <c r="FB21" s="666">
        <v>1.61</v>
      </c>
      <c r="FC21" s="666">
        <v>1.68</v>
      </c>
      <c r="FD21" s="666">
        <v>1.1399999999999999</v>
      </c>
      <c r="FE21" s="666">
        <v>0.94</v>
      </c>
      <c r="FF21" s="666">
        <v>100</v>
      </c>
      <c r="FG21" s="666">
        <v>0.65</v>
      </c>
      <c r="FH21" s="666">
        <v>0.68</v>
      </c>
      <c r="FI21" s="666">
        <v>1.1299999999999999</v>
      </c>
      <c r="FJ21" s="666">
        <v>8.02</v>
      </c>
      <c r="FK21" s="666">
        <v>8</v>
      </c>
      <c r="FL21" s="666">
        <v>8.14</v>
      </c>
      <c r="FM21" s="666">
        <v>7.7</v>
      </c>
      <c r="FN21" s="666">
        <v>1</v>
      </c>
    </row>
    <row r="22" spans="1:170" s="416" customFormat="1" ht="15">
      <c r="A22" s="425" t="s">
        <v>9</v>
      </c>
      <c r="B22" s="426">
        <v>40551</v>
      </c>
      <c r="C22" s="418">
        <v>0</v>
      </c>
      <c r="D22" s="518">
        <v>0.24</v>
      </c>
      <c r="E22" s="453">
        <v>0</v>
      </c>
      <c r="F22" s="453">
        <v>34</v>
      </c>
      <c r="G22" s="453">
        <v>2.75</v>
      </c>
      <c r="H22" s="519">
        <v>15.5</v>
      </c>
      <c r="I22" s="519">
        <v>81.900000000000006</v>
      </c>
      <c r="J22" s="483">
        <v>2.38</v>
      </c>
      <c r="K22" s="520" t="s">
        <v>742</v>
      </c>
      <c r="L22" s="453">
        <v>41.039999999999054</v>
      </c>
      <c r="M22" s="453">
        <v>19.2</v>
      </c>
      <c r="N22" s="453">
        <v>1.69</v>
      </c>
      <c r="O22" s="453">
        <v>2.0577271302735758</v>
      </c>
      <c r="P22" s="453" t="s">
        <v>742</v>
      </c>
      <c r="Q22" s="756">
        <v>0.22608039252783182</v>
      </c>
      <c r="R22" s="453">
        <v>825.24079656538959</v>
      </c>
      <c r="S22" s="453">
        <v>7.8</v>
      </c>
      <c r="T22" s="453" t="s">
        <v>742</v>
      </c>
      <c r="U22" s="453">
        <v>0.7</v>
      </c>
      <c r="V22" s="453" t="s">
        <v>742</v>
      </c>
      <c r="W22" s="453">
        <v>47.84</v>
      </c>
      <c r="X22" s="456" t="e">
        <v>#VALUE!</v>
      </c>
      <c r="Y22" s="453">
        <v>29.81</v>
      </c>
      <c r="Z22" s="453">
        <v>19.88</v>
      </c>
      <c r="AA22" s="519">
        <v>30</v>
      </c>
      <c r="AB22" s="519">
        <v>18</v>
      </c>
      <c r="AC22" s="732">
        <f t="shared" si="0"/>
        <v>48</v>
      </c>
      <c r="AD22" s="664"/>
      <c r="AE22" s="664"/>
      <c r="AF22" s="664"/>
      <c r="AG22" s="664"/>
      <c r="AH22" s="664"/>
      <c r="AI22" s="664"/>
      <c r="AJ22" s="485"/>
      <c r="AK22" s="485"/>
      <c r="AL22" s="485"/>
      <c r="AM22" s="485"/>
      <c r="AN22" s="485"/>
      <c r="AO22" s="665"/>
      <c r="AP22" s="485"/>
      <c r="AQ22" s="483"/>
      <c r="AR22" s="755">
        <v>0</v>
      </c>
      <c r="AS22" s="483">
        <v>19.399999999999999</v>
      </c>
      <c r="AT22" s="755">
        <v>0</v>
      </c>
      <c r="AU22" s="483">
        <v>31.1</v>
      </c>
      <c r="AV22" s="484">
        <v>330.5</v>
      </c>
      <c r="AW22" s="484">
        <v>398</v>
      </c>
      <c r="AX22" s="453">
        <v>0</v>
      </c>
      <c r="AY22" s="734">
        <v>0</v>
      </c>
      <c r="AZ22" s="734">
        <v>0</v>
      </c>
      <c r="BA22" s="734">
        <v>0</v>
      </c>
      <c r="BB22" s="453">
        <v>0</v>
      </c>
      <c r="BC22" s="453">
        <v>0</v>
      </c>
      <c r="BD22" s="453">
        <v>0</v>
      </c>
      <c r="BE22" s="734">
        <v>0</v>
      </c>
      <c r="BF22" s="453">
        <v>0</v>
      </c>
      <c r="BG22" s="453">
        <v>0</v>
      </c>
      <c r="BH22" s="734">
        <v>0</v>
      </c>
      <c r="BI22" s="453">
        <v>0</v>
      </c>
      <c r="BJ22" s="453">
        <v>18.100000000000001</v>
      </c>
      <c r="BK22" s="453">
        <v>0</v>
      </c>
      <c r="BL22" s="453">
        <v>0</v>
      </c>
      <c r="BM22" s="453">
        <v>0</v>
      </c>
      <c r="BN22" s="453">
        <v>18</v>
      </c>
      <c r="BO22" s="453">
        <v>1454.5</v>
      </c>
      <c r="BP22" s="453">
        <v>0</v>
      </c>
      <c r="BQ22" s="453">
        <v>19.7</v>
      </c>
      <c r="BR22" s="453">
        <v>19.7</v>
      </c>
      <c r="BS22" s="453">
        <v>0</v>
      </c>
      <c r="BT22" s="453">
        <v>30.9</v>
      </c>
      <c r="BU22" s="453">
        <v>23.5</v>
      </c>
      <c r="BV22" s="456">
        <v>665.8</v>
      </c>
      <c r="BW22" s="453">
        <v>0.7</v>
      </c>
      <c r="BX22" s="453">
        <v>1.74</v>
      </c>
      <c r="BY22" s="456">
        <v>1.1299999999999999</v>
      </c>
      <c r="BZ22" s="456">
        <v>14.9</v>
      </c>
      <c r="CA22" s="456">
        <v>33.6</v>
      </c>
      <c r="CB22" s="456">
        <v>12.4</v>
      </c>
      <c r="CC22" s="456">
        <v>5.2</v>
      </c>
      <c r="CD22" s="456">
        <v>9.5</v>
      </c>
      <c r="CE22" s="456">
        <v>13.5</v>
      </c>
      <c r="CF22" s="456">
        <v>13</v>
      </c>
      <c r="CG22" s="456">
        <v>537.9</v>
      </c>
      <c r="CH22" s="456">
        <v>1.8</v>
      </c>
      <c r="CI22" s="456">
        <v>2.6</v>
      </c>
      <c r="CJ22" s="456">
        <v>245.5</v>
      </c>
      <c r="CK22" s="456">
        <v>404.1</v>
      </c>
      <c r="CL22" s="456">
        <v>466</v>
      </c>
      <c r="CM22" s="456">
        <v>10.8</v>
      </c>
      <c r="CN22" s="456">
        <v>1.3</v>
      </c>
      <c r="CO22" s="453">
        <v>0</v>
      </c>
      <c r="CP22" s="453">
        <v>15.45</v>
      </c>
      <c r="CQ22" s="453">
        <v>43</v>
      </c>
      <c r="CR22" s="456">
        <v>0</v>
      </c>
      <c r="CS22" s="456">
        <v>0</v>
      </c>
      <c r="CT22" s="456">
        <v>0</v>
      </c>
      <c r="CU22" s="456">
        <v>0</v>
      </c>
      <c r="CV22" s="481">
        <v>2406.8421052631579</v>
      </c>
      <c r="CW22" s="481">
        <v>3385.2083333333335</v>
      </c>
      <c r="CX22" s="481">
        <v>2830.2083333333335</v>
      </c>
      <c r="CY22" s="481">
        <v>1089.1400000000001</v>
      </c>
      <c r="CZ22" s="456"/>
      <c r="DA22" s="456"/>
      <c r="DB22" s="456"/>
      <c r="DC22" s="456"/>
      <c r="DD22" s="456"/>
      <c r="DE22" s="456"/>
      <c r="DF22" s="456"/>
      <c r="DG22" s="425"/>
      <c r="DH22" s="456">
        <v>0</v>
      </c>
      <c r="DI22" s="456">
        <v>0.69</v>
      </c>
      <c r="DJ22" s="456">
        <v>1.24</v>
      </c>
      <c r="DK22" s="425"/>
      <c r="DL22" s="456"/>
      <c r="DM22" s="456"/>
      <c r="DN22" s="456"/>
      <c r="DO22" s="456"/>
      <c r="DP22" s="456"/>
      <c r="DQ22" s="456"/>
      <c r="DR22" s="456"/>
      <c r="DS22" s="456"/>
      <c r="DT22" s="456"/>
      <c r="DU22" s="456"/>
      <c r="DV22" s="456"/>
      <c r="DW22" s="456"/>
      <c r="DX22" s="456"/>
      <c r="DY22" s="456"/>
      <c r="DZ22" s="456"/>
      <c r="EA22" s="456"/>
      <c r="EB22" s="456"/>
      <c r="EC22" s="456"/>
      <c r="ED22" s="423">
        <v>0</v>
      </c>
      <c r="EE22" s="423">
        <v>1</v>
      </c>
      <c r="EF22" s="423">
        <v>2.5</v>
      </c>
      <c r="EG22" s="423">
        <v>6</v>
      </c>
      <c r="EH22" s="423">
        <v>0</v>
      </c>
      <c r="EI22" s="456"/>
      <c r="EJ22" s="456"/>
      <c r="EK22" s="456"/>
      <c r="EL22" s="456"/>
      <c r="EM22" s="456"/>
      <c r="EN22" s="456"/>
      <c r="EO22" s="425"/>
      <c r="EP22" s="425"/>
      <c r="EQ22" s="425" t="s">
        <v>743</v>
      </c>
      <c r="ER22" s="425">
        <v>1</v>
      </c>
      <c r="ES22" s="425">
        <v>8</v>
      </c>
      <c r="ET22" s="425">
        <v>4000</v>
      </c>
      <c r="EU22" s="457">
        <v>1120</v>
      </c>
      <c r="EV22" s="425">
        <v>130</v>
      </c>
      <c r="EW22" s="425">
        <v>6552562</v>
      </c>
      <c r="EX22" s="425">
        <v>51381</v>
      </c>
      <c r="EY22" s="666">
        <v>19.7</v>
      </c>
      <c r="EZ22" s="666">
        <v>19.7</v>
      </c>
      <c r="FA22" s="666">
        <v>0</v>
      </c>
      <c r="FB22" s="666">
        <v>1.56</v>
      </c>
      <c r="FC22" s="666">
        <v>1.6</v>
      </c>
      <c r="FD22" s="666">
        <v>1.1100000000000001</v>
      </c>
      <c r="FE22" s="666">
        <v>1.26</v>
      </c>
      <c r="FF22" s="666">
        <v>120</v>
      </c>
      <c r="FG22" s="666">
        <v>1.81</v>
      </c>
      <c r="FH22" s="666">
        <v>0.64</v>
      </c>
      <c r="FI22" s="666">
        <v>1.1299999999999999</v>
      </c>
      <c r="FJ22" s="666">
        <v>8.2100000000000009</v>
      </c>
      <c r="FK22" s="666">
        <v>8.1</v>
      </c>
      <c r="FL22" s="666">
        <v>8.17</v>
      </c>
      <c r="FM22" s="666">
        <v>7.7</v>
      </c>
      <c r="FN22" s="666">
        <v>1</v>
      </c>
    </row>
    <row r="23" spans="1:170" s="416" customFormat="1" ht="15">
      <c r="A23" s="425" t="s">
        <v>3</v>
      </c>
      <c r="B23" s="426">
        <v>40552</v>
      </c>
      <c r="C23" s="418">
        <v>0</v>
      </c>
      <c r="D23" s="518">
        <v>0.16</v>
      </c>
      <c r="E23" s="453">
        <v>0.25</v>
      </c>
      <c r="F23" s="453">
        <v>30</v>
      </c>
      <c r="G23" s="453">
        <v>2.5499999999999998</v>
      </c>
      <c r="H23" s="519">
        <v>6</v>
      </c>
      <c r="I23" s="519">
        <v>88.1</v>
      </c>
      <c r="J23" s="483">
        <v>3.09</v>
      </c>
      <c r="K23" s="520" t="s">
        <v>742</v>
      </c>
      <c r="L23" s="453">
        <v>19.079999999999927</v>
      </c>
      <c r="M23" s="453">
        <v>23.1</v>
      </c>
      <c r="N23" s="453">
        <v>1.68</v>
      </c>
      <c r="O23" s="453">
        <v>2.2038365079248385</v>
      </c>
      <c r="P23" s="453" t="s">
        <v>742</v>
      </c>
      <c r="Q23" s="453">
        <v>0</v>
      </c>
      <c r="R23" s="453">
        <v>789.60464861294577</v>
      </c>
      <c r="S23" s="453">
        <v>7.98</v>
      </c>
      <c r="T23" s="453" t="s">
        <v>742</v>
      </c>
      <c r="U23" s="453">
        <v>0.72</v>
      </c>
      <c r="V23" s="453" t="s">
        <v>742</v>
      </c>
      <c r="W23" s="453">
        <v>46.94</v>
      </c>
      <c r="X23" s="456" t="e">
        <v>#VALUE!</v>
      </c>
      <c r="Y23" s="453">
        <v>30</v>
      </c>
      <c r="Z23" s="453">
        <v>14.75</v>
      </c>
      <c r="AA23" s="519">
        <v>27.840000000011059</v>
      </c>
      <c r="AB23" s="519">
        <v>15.099999999998545</v>
      </c>
      <c r="AC23" s="732">
        <f t="shared" si="0"/>
        <v>42.940000000009604</v>
      </c>
      <c r="AD23" s="664"/>
      <c r="AE23" s="664"/>
      <c r="AF23" s="664"/>
      <c r="AG23" s="664"/>
      <c r="AH23" s="664"/>
      <c r="AI23" s="664"/>
      <c r="AJ23" s="485"/>
      <c r="AK23" s="485"/>
      <c r="AL23" s="485"/>
      <c r="AM23" s="485"/>
      <c r="AN23" s="485"/>
      <c r="AO23" s="665"/>
      <c r="AP23" s="485"/>
      <c r="AQ23" s="483"/>
      <c r="AR23" s="755">
        <v>0</v>
      </c>
      <c r="AS23" s="483">
        <v>19.399999999999999</v>
      </c>
      <c r="AT23" s="755">
        <v>0</v>
      </c>
      <c r="AU23" s="483">
        <v>29.1</v>
      </c>
      <c r="AV23" s="484">
        <v>422.8</v>
      </c>
      <c r="AW23" s="484">
        <v>465.4</v>
      </c>
      <c r="AX23" s="453">
        <v>0</v>
      </c>
      <c r="AY23" s="734">
        <v>0</v>
      </c>
      <c r="AZ23" s="734">
        <v>0</v>
      </c>
      <c r="BA23" s="734">
        <v>0</v>
      </c>
      <c r="BB23" s="453">
        <v>0</v>
      </c>
      <c r="BC23" s="453">
        <v>0</v>
      </c>
      <c r="BD23" s="453">
        <v>0</v>
      </c>
      <c r="BE23" s="734">
        <v>0</v>
      </c>
      <c r="BF23" s="453">
        <v>0</v>
      </c>
      <c r="BG23" s="453">
        <v>0</v>
      </c>
      <c r="BH23" s="734">
        <v>0</v>
      </c>
      <c r="BI23" s="453">
        <v>0</v>
      </c>
      <c r="BJ23" s="453">
        <v>15.2</v>
      </c>
      <c r="BK23" s="453">
        <v>0</v>
      </c>
      <c r="BL23" s="453">
        <v>0</v>
      </c>
      <c r="BM23" s="453">
        <v>0</v>
      </c>
      <c r="BN23" s="453">
        <v>15.1</v>
      </c>
      <c r="BO23" s="453">
        <v>2182.1999999999998</v>
      </c>
      <c r="BP23" s="453">
        <v>0</v>
      </c>
      <c r="BQ23" s="453">
        <v>18.5</v>
      </c>
      <c r="BR23" s="453">
        <v>18.399999999999999</v>
      </c>
      <c r="BS23" s="453">
        <v>0</v>
      </c>
      <c r="BT23" s="453">
        <v>28.6</v>
      </c>
      <c r="BU23" s="453">
        <v>30.1</v>
      </c>
      <c r="BV23" s="456">
        <v>675.4</v>
      </c>
      <c r="BW23" s="453">
        <v>0.6</v>
      </c>
      <c r="BX23" s="453">
        <v>1.71</v>
      </c>
      <c r="BY23" s="456">
        <v>1.1299999999999999</v>
      </c>
      <c r="BZ23" s="456">
        <v>14.7</v>
      </c>
      <c r="CA23" s="456">
        <v>34.1</v>
      </c>
      <c r="CB23" s="456">
        <v>15.2</v>
      </c>
      <c r="CC23" s="456">
        <v>9.1</v>
      </c>
      <c r="CD23" s="456">
        <v>13.4</v>
      </c>
      <c r="CE23" s="456">
        <v>17.399999999999999</v>
      </c>
      <c r="CF23" s="456">
        <v>12.9</v>
      </c>
      <c r="CG23" s="456">
        <v>529.70000000000005</v>
      </c>
      <c r="CH23" s="456">
        <v>1.8</v>
      </c>
      <c r="CI23" s="456">
        <v>2.7</v>
      </c>
      <c r="CJ23" s="456">
        <v>309.3</v>
      </c>
      <c r="CK23" s="456">
        <v>434</v>
      </c>
      <c r="CL23" s="456">
        <v>484</v>
      </c>
      <c r="CM23" s="456">
        <v>11</v>
      </c>
      <c r="CN23" s="456">
        <v>1.3</v>
      </c>
      <c r="CO23" s="453">
        <v>0</v>
      </c>
      <c r="CP23" s="453">
        <v>15.9</v>
      </c>
      <c r="CQ23" s="453">
        <v>43</v>
      </c>
      <c r="CR23" s="456">
        <v>0</v>
      </c>
      <c r="CS23" s="456">
        <v>0</v>
      </c>
      <c r="CT23" s="456">
        <v>0</v>
      </c>
      <c r="CU23" s="456">
        <v>0</v>
      </c>
      <c r="CV23" s="481">
        <v>2542.2222222222222</v>
      </c>
      <c r="CW23" s="481">
        <v>3470.5208333333335</v>
      </c>
      <c r="CX23" s="481">
        <v>2809.1666666666665</v>
      </c>
      <c r="CY23" s="481">
        <v>1082.32</v>
      </c>
      <c r="CZ23" s="456"/>
      <c r="DA23" s="456"/>
      <c r="DB23" s="456"/>
      <c r="DC23" s="456"/>
      <c r="DD23" s="456"/>
      <c r="DE23" s="456"/>
      <c r="DF23" s="456"/>
      <c r="DG23" s="425"/>
      <c r="DH23" s="456">
        <v>0</v>
      </c>
      <c r="DI23" s="456">
        <v>0.71</v>
      </c>
      <c r="DJ23" s="456">
        <v>1.38</v>
      </c>
      <c r="DK23" s="425"/>
      <c r="DL23" s="456"/>
      <c r="DM23" s="456"/>
      <c r="DN23" s="456"/>
      <c r="DO23" s="456"/>
      <c r="DP23" s="456"/>
      <c r="DQ23" s="456"/>
      <c r="DR23" s="456"/>
      <c r="DS23" s="456"/>
      <c r="DT23" s="456"/>
      <c r="DU23" s="456"/>
      <c r="DV23" s="456"/>
      <c r="DW23" s="456"/>
      <c r="DX23" s="456"/>
      <c r="DY23" s="456"/>
      <c r="DZ23" s="456"/>
      <c r="EA23" s="456"/>
      <c r="EB23" s="456"/>
      <c r="EC23" s="456"/>
      <c r="ED23" s="423">
        <v>0</v>
      </c>
      <c r="EE23" s="423">
        <v>1</v>
      </c>
      <c r="EF23" s="423">
        <v>2.5</v>
      </c>
      <c r="EG23" s="423">
        <v>6</v>
      </c>
      <c r="EH23" s="423">
        <v>0</v>
      </c>
      <c r="EI23" s="456"/>
      <c r="EJ23" s="456"/>
      <c r="EK23" s="456"/>
      <c r="EL23" s="456"/>
      <c r="EM23" s="456"/>
      <c r="EN23" s="456"/>
      <c r="EO23" s="425"/>
      <c r="EP23" s="425"/>
      <c r="EQ23" s="425" t="s">
        <v>743</v>
      </c>
      <c r="ER23" s="425">
        <v>1</v>
      </c>
      <c r="ES23" s="425">
        <v>8</v>
      </c>
      <c r="ET23" s="425">
        <v>4000</v>
      </c>
      <c r="EU23" s="457">
        <v>980</v>
      </c>
      <c r="EV23" s="425">
        <v>140</v>
      </c>
      <c r="EW23" s="425">
        <v>6555631</v>
      </c>
      <c r="EX23" s="425">
        <v>52233</v>
      </c>
      <c r="EY23" s="666">
        <v>18.3</v>
      </c>
      <c r="EZ23" s="666">
        <v>18.3</v>
      </c>
      <c r="FA23" s="666">
        <v>0</v>
      </c>
      <c r="FB23" s="666">
        <v>1.49</v>
      </c>
      <c r="FC23" s="666">
        <v>1.46</v>
      </c>
      <c r="FD23" s="666">
        <v>1.1399999999999999</v>
      </c>
      <c r="FE23" s="666">
        <v>1.2</v>
      </c>
      <c r="FF23" s="666">
        <v>140</v>
      </c>
      <c r="FG23" s="666">
        <v>1.87</v>
      </c>
      <c r="FH23" s="666">
        <v>0.71</v>
      </c>
      <c r="FI23" s="666">
        <v>1.4</v>
      </c>
      <c r="FJ23" s="666">
        <v>8.58</v>
      </c>
      <c r="FK23" s="666">
        <v>8.3000000000000007</v>
      </c>
      <c r="FL23" s="666">
        <v>8.15</v>
      </c>
      <c r="FM23" s="666">
        <v>7.7</v>
      </c>
      <c r="FN23" s="666">
        <v>1</v>
      </c>
    </row>
    <row r="24" spans="1:170" s="416" customFormat="1" ht="15">
      <c r="A24" s="425" t="s">
        <v>4</v>
      </c>
      <c r="B24" s="426">
        <v>40553</v>
      </c>
      <c r="C24" s="418">
        <v>0</v>
      </c>
      <c r="D24" s="518">
        <v>0.09</v>
      </c>
      <c r="E24" s="453">
        <v>1</v>
      </c>
      <c r="F24" s="453">
        <v>24</v>
      </c>
      <c r="G24" s="453">
        <v>1.75</v>
      </c>
      <c r="H24" s="519">
        <v>7.07</v>
      </c>
      <c r="I24" s="519">
        <v>90.3</v>
      </c>
      <c r="J24" s="483">
        <v>4.5999999999999996</v>
      </c>
      <c r="K24" s="520" t="s">
        <v>742</v>
      </c>
      <c r="L24" s="453">
        <v>18.5</v>
      </c>
      <c r="M24" s="453">
        <v>22.7</v>
      </c>
      <c r="N24" s="453">
        <v>1.73</v>
      </c>
      <c r="O24" s="453">
        <v>2.2949839555854257</v>
      </c>
      <c r="P24" s="453" t="s">
        <v>742</v>
      </c>
      <c r="Q24" s="453">
        <v>0</v>
      </c>
      <c r="R24" s="453">
        <v>791.25447027741075</v>
      </c>
      <c r="S24" s="453">
        <v>7.91</v>
      </c>
      <c r="T24" s="453" t="s">
        <v>742</v>
      </c>
      <c r="U24" s="453">
        <v>0.68</v>
      </c>
      <c r="V24" s="453" t="s">
        <v>742</v>
      </c>
      <c r="W24" s="453">
        <v>44.600000000000009</v>
      </c>
      <c r="X24" s="456" t="e">
        <v>#VALUE!</v>
      </c>
      <c r="Y24" s="453">
        <v>26.5</v>
      </c>
      <c r="Z24" s="453">
        <v>14.9</v>
      </c>
      <c r="AA24" s="519">
        <v>26.360000000000582</v>
      </c>
      <c r="AB24" s="519">
        <v>15.100000000005821</v>
      </c>
      <c r="AC24" s="732">
        <f t="shared" si="0"/>
        <v>41.460000000006403</v>
      </c>
      <c r="AD24" s="664"/>
      <c r="AE24" s="664"/>
      <c r="AF24" s="664"/>
      <c r="AG24" s="664"/>
      <c r="AH24" s="664"/>
      <c r="AI24" s="664"/>
      <c r="AJ24" s="485"/>
      <c r="AK24" s="485"/>
      <c r="AL24" s="485"/>
      <c r="AM24" s="485"/>
      <c r="AN24" s="485"/>
      <c r="AO24" s="665"/>
      <c r="AP24" s="485"/>
      <c r="AQ24" s="483"/>
      <c r="AR24" s="755">
        <v>0</v>
      </c>
      <c r="AS24" s="483">
        <v>38.799999999999997</v>
      </c>
      <c r="AT24" s="755">
        <v>0</v>
      </c>
      <c r="AU24" s="483">
        <v>27.4</v>
      </c>
      <c r="AV24" s="484">
        <v>181.3</v>
      </c>
      <c r="AW24" s="484">
        <v>386.6</v>
      </c>
      <c r="AX24" s="453">
        <v>0</v>
      </c>
      <c r="AY24" s="734">
        <v>0</v>
      </c>
      <c r="AZ24" s="734">
        <v>0</v>
      </c>
      <c r="BA24" s="734">
        <v>0</v>
      </c>
      <c r="BB24" s="453">
        <v>0</v>
      </c>
      <c r="BC24" s="453">
        <v>0</v>
      </c>
      <c r="BD24" s="453">
        <v>0</v>
      </c>
      <c r="BE24" s="734">
        <v>0</v>
      </c>
      <c r="BF24" s="453">
        <v>0</v>
      </c>
      <c r="BG24" s="453">
        <v>0</v>
      </c>
      <c r="BH24" s="734">
        <v>0</v>
      </c>
      <c r="BI24" s="453">
        <v>0</v>
      </c>
      <c r="BJ24" s="453">
        <v>15.1</v>
      </c>
      <c r="BK24" s="453">
        <v>0</v>
      </c>
      <c r="BL24" s="453">
        <v>0</v>
      </c>
      <c r="BM24" s="453">
        <v>0</v>
      </c>
      <c r="BN24" s="453">
        <v>15</v>
      </c>
      <c r="BO24" s="453">
        <v>1028.9000000000001</v>
      </c>
      <c r="BP24" s="453">
        <v>0</v>
      </c>
      <c r="BQ24" s="453">
        <v>17.600000000000001</v>
      </c>
      <c r="BR24" s="453">
        <v>17.5</v>
      </c>
      <c r="BS24" s="453">
        <v>0</v>
      </c>
      <c r="BT24" s="453">
        <v>27.1</v>
      </c>
      <c r="BU24" s="453">
        <v>27.5</v>
      </c>
      <c r="BV24" s="456">
        <v>485</v>
      </c>
      <c r="BW24" s="453">
        <v>0.7</v>
      </c>
      <c r="BX24" s="453">
        <v>1.67</v>
      </c>
      <c r="BY24" s="456">
        <v>1.1200000000000001</v>
      </c>
      <c r="BZ24" s="456">
        <v>15.2</v>
      </c>
      <c r="CA24" s="456">
        <v>34.200000000000003</v>
      </c>
      <c r="CB24" s="456">
        <v>14.5</v>
      </c>
      <c r="CC24" s="456">
        <v>7.7</v>
      </c>
      <c r="CD24" s="456">
        <v>11.9</v>
      </c>
      <c r="CE24" s="456">
        <v>16.3</v>
      </c>
      <c r="CF24" s="456">
        <v>13.5</v>
      </c>
      <c r="CG24" s="456">
        <v>554.29999999999995</v>
      </c>
      <c r="CH24" s="456">
        <v>1.8</v>
      </c>
      <c r="CI24" s="456">
        <v>2.1</v>
      </c>
      <c r="CJ24" s="456">
        <v>219.6</v>
      </c>
      <c r="CK24" s="456">
        <v>392.9</v>
      </c>
      <c r="CL24" s="456">
        <v>507.4</v>
      </c>
      <c r="CM24" s="456">
        <v>11.4</v>
      </c>
      <c r="CN24" s="456">
        <v>1.3</v>
      </c>
      <c r="CO24" s="453">
        <v>0</v>
      </c>
      <c r="CP24" s="453">
        <v>15.14</v>
      </c>
      <c r="CQ24" s="453">
        <v>42</v>
      </c>
      <c r="CR24" s="456">
        <v>0</v>
      </c>
      <c r="CS24" s="456">
        <v>0</v>
      </c>
      <c r="CT24" s="456">
        <v>0</v>
      </c>
      <c r="CU24" s="456">
        <v>0</v>
      </c>
      <c r="CV24" s="481">
        <v>2011.6666666666667</v>
      </c>
      <c r="CW24" s="481">
        <v>2976.9791666666665</v>
      </c>
      <c r="CX24" s="481">
        <v>2130.4166666666665</v>
      </c>
      <c r="CY24" s="481">
        <v>1076.5999999999999</v>
      </c>
      <c r="CZ24" s="456"/>
      <c r="DA24" s="456"/>
      <c r="DB24" s="456"/>
      <c r="DC24" s="456"/>
      <c r="DD24" s="456"/>
      <c r="DE24" s="456"/>
      <c r="DF24" s="456"/>
      <c r="DG24" s="425"/>
      <c r="DH24" s="456">
        <v>0</v>
      </c>
      <c r="DI24" s="456">
        <v>0.6</v>
      </c>
      <c r="DJ24" s="456">
        <v>1</v>
      </c>
      <c r="DK24" s="425"/>
      <c r="DL24" s="456"/>
      <c r="DM24" s="456"/>
      <c r="DN24" s="456"/>
      <c r="DO24" s="456"/>
      <c r="DP24" s="456"/>
      <c r="DQ24" s="456"/>
      <c r="DR24" s="456"/>
      <c r="DS24" s="456"/>
      <c r="DT24" s="456"/>
      <c r="DU24" s="456"/>
      <c r="DV24" s="456"/>
      <c r="DW24" s="456"/>
      <c r="DX24" s="456"/>
      <c r="DY24" s="456"/>
      <c r="DZ24" s="456"/>
      <c r="EA24" s="456"/>
      <c r="EB24" s="456"/>
      <c r="EC24" s="456"/>
      <c r="ED24" s="423">
        <v>0</v>
      </c>
      <c r="EE24" s="423">
        <v>1</v>
      </c>
      <c r="EF24" s="423">
        <v>2.5</v>
      </c>
      <c r="EG24" s="423">
        <v>6</v>
      </c>
      <c r="EH24" s="423">
        <v>0</v>
      </c>
      <c r="EI24" s="456"/>
      <c r="EJ24" s="456"/>
      <c r="EK24" s="456"/>
      <c r="EL24" s="456"/>
      <c r="EM24" s="456"/>
      <c r="EN24" s="456"/>
      <c r="EO24" s="425"/>
      <c r="EP24" s="425"/>
      <c r="EQ24" s="425" t="s">
        <v>743</v>
      </c>
      <c r="ER24" s="425">
        <v>1</v>
      </c>
      <c r="ES24" s="425">
        <v>8</v>
      </c>
      <c r="ET24" s="425">
        <v>4000</v>
      </c>
      <c r="EU24" s="457">
        <v>800</v>
      </c>
      <c r="EV24" s="425">
        <v>170</v>
      </c>
      <c r="EW24" s="425">
        <v>6558299</v>
      </c>
      <c r="EX24" s="425">
        <v>53036</v>
      </c>
      <c r="EY24" s="666">
        <v>17.149999999999999</v>
      </c>
      <c r="EZ24" s="666">
        <v>17.149999999999999</v>
      </c>
      <c r="FA24" s="666">
        <v>0</v>
      </c>
      <c r="FB24" s="666">
        <v>1.6</v>
      </c>
      <c r="FC24" s="666">
        <v>1.6</v>
      </c>
      <c r="FD24" s="666">
        <v>1.19</v>
      </c>
      <c r="FE24" s="666">
        <v>1.1499999999999999</v>
      </c>
      <c r="FF24" s="666">
        <v>140</v>
      </c>
      <c r="FG24" s="666">
        <v>2.2599999999999998</v>
      </c>
      <c r="FH24" s="666">
        <v>0.79</v>
      </c>
      <c r="FI24" s="666">
        <v>1.36</v>
      </c>
      <c r="FJ24" s="666">
        <v>8.5399999999999991</v>
      </c>
      <c r="FK24" s="666">
        <v>8.4</v>
      </c>
      <c r="FL24" s="666">
        <v>8.18</v>
      </c>
      <c r="FM24" s="666">
        <v>7.7</v>
      </c>
      <c r="FN24" s="666">
        <v>1</v>
      </c>
    </row>
    <row r="25" spans="1:170" s="416" customFormat="1" ht="15">
      <c r="A25" s="425" t="s">
        <v>5</v>
      </c>
      <c r="B25" s="426">
        <v>40554</v>
      </c>
      <c r="C25" s="418">
        <v>0</v>
      </c>
      <c r="D25" s="518">
        <v>0.02</v>
      </c>
      <c r="E25" s="453">
        <v>1.5</v>
      </c>
      <c r="F25" s="453">
        <v>26</v>
      </c>
      <c r="G25" s="453">
        <v>1.6</v>
      </c>
      <c r="H25" s="519">
        <v>7.72</v>
      </c>
      <c r="I25" s="519">
        <v>92.4</v>
      </c>
      <c r="J25" s="483">
        <v>3.28</v>
      </c>
      <c r="K25" s="520" t="s">
        <v>742</v>
      </c>
      <c r="L25" s="453">
        <v>16.350000000000364</v>
      </c>
      <c r="M25" s="453">
        <v>22.6</v>
      </c>
      <c r="N25" s="453">
        <v>1.69</v>
      </c>
      <c r="O25" s="453">
        <v>2.3367873749940933</v>
      </c>
      <c r="P25" s="453" t="s">
        <v>742</v>
      </c>
      <c r="Q25" s="453">
        <v>0</v>
      </c>
      <c r="R25" s="453">
        <v>836.45958388375163</v>
      </c>
      <c r="S25" s="453">
        <v>7.98</v>
      </c>
      <c r="T25" s="453" t="s">
        <v>742</v>
      </c>
      <c r="U25" s="453">
        <v>0.63</v>
      </c>
      <c r="V25" s="453" t="s">
        <v>742</v>
      </c>
      <c r="W25" s="453">
        <v>42.8</v>
      </c>
      <c r="X25" s="456" t="e">
        <v>#VALUE!</v>
      </c>
      <c r="Y25" s="453">
        <v>26.4</v>
      </c>
      <c r="Z25" s="453">
        <v>14.97</v>
      </c>
      <c r="AA25" s="519">
        <v>27.799999999988358</v>
      </c>
      <c r="AB25" s="519">
        <v>15.029999999998836</v>
      </c>
      <c r="AC25" s="732">
        <f t="shared" si="0"/>
        <v>42.829999999987194</v>
      </c>
      <c r="AD25" s="664"/>
      <c r="AE25" s="664"/>
      <c r="AF25" s="664"/>
      <c r="AG25" s="664"/>
      <c r="AH25" s="664"/>
      <c r="AI25" s="664"/>
      <c r="AJ25" s="485"/>
      <c r="AK25" s="485"/>
      <c r="AL25" s="485"/>
      <c r="AM25" s="485"/>
      <c r="AN25" s="485"/>
      <c r="AO25" s="665"/>
      <c r="AP25" s="485"/>
      <c r="AQ25" s="483"/>
      <c r="AR25" s="755">
        <v>0</v>
      </c>
      <c r="AS25" s="483">
        <v>18.399999999999999</v>
      </c>
      <c r="AT25" s="755">
        <v>0</v>
      </c>
      <c r="AU25" s="483">
        <v>28.6</v>
      </c>
      <c r="AV25" s="484">
        <v>165.9</v>
      </c>
      <c r="AW25" s="484">
        <v>1362.8</v>
      </c>
      <c r="AX25" s="453">
        <v>0</v>
      </c>
      <c r="AY25" s="734">
        <v>0</v>
      </c>
      <c r="AZ25" s="734">
        <v>0</v>
      </c>
      <c r="BA25" s="734">
        <v>0</v>
      </c>
      <c r="BB25" s="453">
        <v>0</v>
      </c>
      <c r="BC25" s="453">
        <v>0</v>
      </c>
      <c r="BD25" s="453">
        <v>0</v>
      </c>
      <c r="BE25" s="734">
        <v>0</v>
      </c>
      <c r="BF25" s="453">
        <v>0</v>
      </c>
      <c r="BG25" s="453">
        <v>0</v>
      </c>
      <c r="BH25" s="734">
        <v>0</v>
      </c>
      <c r="BI25" s="453">
        <v>0</v>
      </c>
      <c r="BJ25" s="453">
        <v>15.1</v>
      </c>
      <c r="BK25" s="453">
        <v>0</v>
      </c>
      <c r="BL25" s="453">
        <v>0</v>
      </c>
      <c r="BM25" s="453">
        <v>0</v>
      </c>
      <c r="BN25" s="453">
        <v>15</v>
      </c>
      <c r="BO25" s="453">
        <v>645</v>
      </c>
      <c r="BP25" s="453">
        <v>0</v>
      </c>
      <c r="BQ25" s="453">
        <v>17.32</v>
      </c>
      <c r="BR25" s="453">
        <v>17.3</v>
      </c>
      <c r="BS25" s="453">
        <v>0</v>
      </c>
      <c r="BT25" s="453">
        <v>27.3</v>
      </c>
      <c r="BU25" s="453">
        <v>24.3</v>
      </c>
      <c r="BV25" s="456">
        <v>654.79999999999995</v>
      </c>
      <c r="BW25" s="453">
        <v>0.72</v>
      </c>
      <c r="BX25" s="453">
        <v>1.77</v>
      </c>
      <c r="BY25" s="456">
        <v>1.1200000000000001</v>
      </c>
      <c r="BZ25" s="456">
        <v>14.7</v>
      </c>
      <c r="CA25" s="456">
        <v>30.3</v>
      </c>
      <c r="CB25" s="456">
        <v>13.7</v>
      </c>
      <c r="CC25" s="456">
        <v>4.8</v>
      </c>
      <c r="CD25" s="456">
        <v>9</v>
      </c>
      <c r="CE25" s="456">
        <v>13.1</v>
      </c>
      <c r="CF25" s="456">
        <v>12.91</v>
      </c>
      <c r="CG25" s="456">
        <v>521.6</v>
      </c>
      <c r="CH25" s="456">
        <v>1.4</v>
      </c>
      <c r="CI25" s="456">
        <v>1.9</v>
      </c>
      <c r="CJ25" s="456">
        <v>139.9</v>
      </c>
      <c r="CK25" s="456">
        <v>378.4</v>
      </c>
      <c r="CL25" s="456">
        <v>496.6</v>
      </c>
      <c r="CM25" s="456">
        <v>11.1</v>
      </c>
      <c r="CN25" s="456">
        <v>1.3</v>
      </c>
      <c r="CO25" s="453">
        <v>0</v>
      </c>
      <c r="CP25" s="453">
        <v>14.47</v>
      </c>
      <c r="CQ25" s="453">
        <v>42</v>
      </c>
      <c r="CR25" s="456">
        <v>0</v>
      </c>
      <c r="CS25" s="456">
        <v>0</v>
      </c>
      <c r="CT25" s="456">
        <v>0</v>
      </c>
      <c r="CU25" s="456">
        <v>0</v>
      </c>
      <c r="CV25" s="481">
        <v>1382.7777777777778</v>
      </c>
      <c r="CW25" s="481">
        <v>2098.5416666666665</v>
      </c>
      <c r="CX25" s="481">
        <v>1485.625</v>
      </c>
      <c r="CY25" s="481">
        <v>1075.06</v>
      </c>
      <c r="CZ25" s="456"/>
      <c r="DA25" s="456"/>
      <c r="DB25" s="456"/>
      <c r="DC25" s="456"/>
      <c r="DD25" s="456"/>
      <c r="DE25" s="456"/>
      <c r="DF25" s="456"/>
      <c r="DG25" s="425"/>
      <c r="DH25" s="456">
        <v>0</v>
      </c>
      <c r="DI25" s="456">
        <v>0.7</v>
      </c>
      <c r="DJ25" s="456">
        <v>1.22</v>
      </c>
      <c r="DK25" s="425"/>
      <c r="DL25" s="456"/>
      <c r="DM25" s="456"/>
      <c r="DN25" s="456"/>
      <c r="DO25" s="456"/>
      <c r="DP25" s="456"/>
      <c r="DQ25" s="456"/>
      <c r="DR25" s="456"/>
      <c r="DS25" s="456"/>
      <c r="DT25" s="456"/>
      <c r="DU25" s="456"/>
      <c r="DV25" s="456"/>
      <c r="DW25" s="456"/>
      <c r="DX25" s="456"/>
      <c r="DY25" s="456"/>
      <c r="DZ25" s="456"/>
      <c r="EA25" s="456"/>
      <c r="EB25" s="456"/>
      <c r="EC25" s="456"/>
      <c r="ED25" s="423">
        <v>0</v>
      </c>
      <c r="EE25" s="423">
        <v>1</v>
      </c>
      <c r="EF25" s="423">
        <v>2.5</v>
      </c>
      <c r="EG25" s="423">
        <v>6</v>
      </c>
      <c r="EH25" s="423">
        <v>0</v>
      </c>
      <c r="EI25" s="456"/>
      <c r="EJ25" s="456"/>
      <c r="EK25" s="456"/>
      <c r="EL25" s="456"/>
      <c r="EM25" s="456"/>
      <c r="EN25" s="456"/>
      <c r="EO25" s="425"/>
      <c r="EP25" s="425"/>
      <c r="EQ25" s="425" t="s">
        <v>743</v>
      </c>
      <c r="ER25" s="425">
        <v>1</v>
      </c>
      <c r="ES25" s="425">
        <v>8</v>
      </c>
      <c r="ET25" s="425">
        <v>4000</v>
      </c>
      <c r="EU25" s="457">
        <v>660</v>
      </c>
      <c r="EV25" s="425">
        <v>160</v>
      </c>
      <c r="EW25" s="425">
        <v>6560583</v>
      </c>
      <c r="EX25" s="425">
        <v>53827</v>
      </c>
      <c r="EY25" s="666">
        <v>16.45</v>
      </c>
      <c r="EZ25" s="666">
        <v>16.45</v>
      </c>
      <c r="FA25" s="666">
        <v>0</v>
      </c>
      <c r="FB25" s="666">
        <v>1.62</v>
      </c>
      <c r="FC25" s="666">
        <v>1.71</v>
      </c>
      <c r="FD25" s="666">
        <v>1.17</v>
      </c>
      <c r="FE25" s="666">
        <v>1.1399999999999999</v>
      </c>
      <c r="FF25" s="666">
        <v>140</v>
      </c>
      <c r="FG25" s="666">
        <v>1.91</v>
      </c>
      <c r="FH25" s="666">
        <v>0.86</v>
      </c>
      <c r="FI25" s="666">
        <v>1.41</v>
      </c>
      <c r="FJ25" s="666">
        <v>8.73</v>
      </c>
      <c r="FK25" s="666">
        <v>8.5</v>
      </c>
      <c r="FL25" s="666">
        <v>8.23</v>
      </c>
      <c r="FM25" s="666">
        <v>7.8</v>
      </c>
      <c r="FN25" s="666">
        <v>1</v>
      </c>
    </row>
    <row r="26" spans="1:170" s="416" customFormat="1" ht="15">
      <c r="A26" s="425" t="s">
        <v>6</v>
      </c>
      <c r="B26" s="426">
        <v>40555</v>
      </c>
      <c r="C26" s="418">
        <v>0</v>
      </c>
      <c r="D26" s="518">
        <v>1.76</v>
      </c>
      <c r="E26" s="453">
        <v>0</v>
      </c>
      <c r="F26" s="453">
        <v>39</v>
      </c>
      <c r="G26" s="453">
        <v>2.5</v>
      </c>
      <c r="H26" s="519">
        <v>30</v>
      </c>
      <c r="I26" s="519">
        <v>91.2</v>
      </c>
      <c r="J26" s="483">
        <v>3.5</v>
      </c>
      <c r="K26" s="520" t="s">
        <v>742</v>
      </c>
      <c r="L26" s="453">
        <v>34.510000000000218</v>
      </c>
      <c r="M26" s="453">
        <v>19.8</v>
      </c>
      <c r="N26" s="453">
        <v>1.68</v>
      </c>
      <c r="O26" s="453">
        <v>2.1110218955377462</v>
      </c>
      <c r="P26" s="453" t="s">
        <v>742</v>
      </c>
      <c r="Q26" s="453">
        <v>0</v>
      </c>
      <c r="R26" s="453">
        <v>791.91439894319672</v>
      </c>
      <c r="S26" s="453">
        <v>7.92</v>
      </c>
      <c r="T26" s="453" t="s">
        <v>742</v>
      </c>
      <c r="U26" s="453">
        <v>0.74</v>
      </c>
      <c r="V26" s="453" t="s">
        <v>742</v>
      </c>
      <c r="W26" s="453">
        <v>44.960000000000008</v>
      </c>
      <c r="X26" s="456" t="e">
        <v>#VALUE!</v>
      </c>
      <c r="Y26" s="453">
        <v>29.66</v>
      </c>
      <c r="Z26" s="453">
        <v>15.07</v>
      </c>
      <c r="AA26" s="519">
        <v>29.770000000004075</v>
      </c>
      <c r="AB26" s="519">
        <v>15.169999999998254</v>
      </c>
      <c r="AC26" s="732">
        <f t="shared" si="0"/>
        <v>44.940000000002328</v>
      </c>
      <c r="AD26" s="664"/>
      <c r="AE26" s="664"/>
      <c r="AF26" s="664"/>
      <c r="AG26" s="664"/>
      <c r="AH26" s="664"/>
      <c r="AI26" s="664"/>
      <c r="AJ26" s="485"/>
      <c r="AK26" s="485"/>
      <c r="AL26" s="485"/>
      <c r="AM26" s="485"/>
      <c r="AN26" s="485"/>
      <c r="AO26" s="665"/>
      <c r="AP26" s="485"/>
      <c r="AQ26" s="483"/>
      <c r="AR26" s="755">
        <v>0</v>
      </c>
      <c r="AS26" s="483">
        <v>37.200000000000003</v>
      </c>
      <c r="AT26" s="755">
        <v>0</v>
      </c>
      <c r="AU26" s="483">
        <v>31</v>
      </c>
      <c r="AV26" s="484">
        <v>510.9</v>
      </c>
      <c r="AW26" s="484">
        <v>553.9</v>
      </c>
      <c r="AX26" s="453">
        <v>0</v>
      </c>
      <c r="AY26" s="734">
        <v>0</v>
      </c>
      <c r="AZ26" s="734">
        <v>0</v>
      </c>
      <c r="BA26" s="734">
        <v>0</v>
      </c>
      <c r="BB26" s="453">
        <v>0</v>
      </c>
      <c r="BC26" s="453">
        <v>0</v>
      </c>
      <c r="BD26" s="453">
        <v>0</v>
      </c>
      <c r="BE26" s="734">
        <v>0</v>
      </c>
      <c r="BF26" s="453">
        <v>0</v>
      </c>
      <c r="BG26" s="453">
        <v>0</v>
      </c>
      <c r="BH26" s="734">
        <v>0</v>
      </c>
      <c r="BI26" s="453">
        <v>0</v>
      </c>
      <c r="BJ26" s="453">
        <v>15.2</v>
      </c>
      <c r="BK26" s="453">
        <v>0</v>
      </c>
      <c r="BL26" s="453">
        <v>0</v>
      </c>
      <c r="BM26" s="453">
        <v>0</v>
      </c>
      <c r="BN26" s="453">
        <v>15.2</v>
      </c>
      <c r="BO26" s="453">
        <v>1679.3</v>
      </c>
      <c r="BP26" s="453">
        <v>0</v>
      </c>
      <c r="BQ26" s="453">
        <v>17.3</v>
      </c>
      <c r="BR26" s="453">
        <v>17.25</v>
      </c>
      <c r="BS26" s="453">
        <v>0</v>
      </c>
      <c r="BT26" s="453">
        <v>30.6</v>
      </c>
      <c r="BU26" s="453">
        <v>26.8</v>
      </c>
      <c r="BV26" s="456">
        <v>662.2</v>
      </c>
      <c r="BW26" s="453">
        <v>0.8</v>
      </c>
      <c r="BX26" s="453">
        <v>1.75</v>
      </c>
      <c r="BY26" s="456">
        <v>1.1299999999999999</v>
      </c>
      <c r="BZ26" s="456">
        <v>14.9</v>
      </c>
      <c r="CA26" s="456">
        <v>35.700000000000003</v>
      </c>
      <c r="CB26" s="456">
        <v>13</v>
      </c>
      <c r="CC26" s="456">
        <v>7.1</v>
      </c>
      <c r="CD26" s="456">
        <v>11.3</v>
      </c>
      <c r="CE26" s="456">
        <v>14.4</v>
      </c>
      <c r="CF26" s="456">
        <v>13.2</v>
      </c>
      <c r="CG26" s="456">
        <v>545.1</v>
      </c>
      <c r="CH26" s="456">
        <v>1.2</v>
      </c>
      <c r="CI26" s="456">
        <v>1</v>
      </c>
      <c r="CJ26" s="456">
        <v>159.5</v>
      </c>
      <c r="CK26" s="456">
        <v>384</v>
      </c>
      <c r="CL26" s="456">
        <v>496</v>
      </c>
      <c r="CM26" s="456">
        <v>11.3</v>
      </c>
      <c r="CN26" s="456">
        <v>1.3</v>
      </c>
      <c r="CO26" s="453">
        <v>0</v>
      </c>
      <c r="CP26" s="453">
        <v>14.03</v>
      </c>
      <c r="CQ26" s="453">
        <v>43</v>
      </c>
      <c r="CR26" s="456">
        <v>0</v>
      </c>
      <c r="CS26" s="456">
        <v>0</v>
      </c>
      <c r="CT26" s="456">
        <v>0</v>
      </c>
      <c r="CU26" s="456">
        <v>0</v>
      </c>
      <c r="CV26" s="481">
        <v>1362.7777777777778</v>
      </c>
      <c r="CW26" s="481">
        <v>2088.4375</v>
      </c>
      <c r="CX26" s="481">
        <v>1702.6041666666667</v>
      </c>
      <c r="CY26" s="481">
        <v>1075.97</v>
      </c>
      <c r="CZ26" s="456"/>
      <c r="DA26" s="456"/>
      <c r="DB26" s="456"/>
      <c r="DC26" s="456"/>
      <c r="DD26" s="456"/>
      <c r="DE26" s="456"/>
      <c r="DF26" s="456"/>
      <c r="DG26" s="425"/>
      <c r="DH26" s="456">
        <v>0</v>
      </c>
      <c r="DI26" s="456">
        <v>0.7</v>
      </c>
      <c r="DJ26" s="456">
        <v>1.26</v>
      </c>
      <c r="DK26" s="425"/>
      <c r="DL26" s="456"/>
      <c r="DM26" s="456"/>
      <c r="DN26" s="456"/>
      <c r="DO26" s="456"/>
      <c r="DP26" s="456"/>
      <c r="DQ26" s="456"/>
      <c r="DR26" s="456"/>
      <c r="DS26" s="456"/>
      <c r="DT26" s="456"/>
      <c r="DU26" s="456"/>
      <c r="DV26" s="456"/>
      <c r="DW26" s="456"/>
      <c r="DX26" s="456"/>
      <c r="DY26" s="456"/>
      <c r="DZ26" s="456"/>
      <c r="EA26" s="456"/>
      <c r="EB26" s="456"/>
      <c r="EC26" s="456"/>
      <c r="ED26" s="423">
        <v>0</v>
      </c>
      <c r="EE26" s="423">
        <v>1</v>
      </c>
      <c r="EF26" s="423">
        <v>2.5</v>
      </c>
      <c r="EG26" s="423">
        <v>6</v>
      </c>
      <c r="EH26" s="423">
        <v>0</v>
      </c>
      <c r="EI26" s="456"/>
      <c r="EJ26" s="456"/>
      <c r="EK26" s="456"/>
      <c r="EL26" s="456"/>
      <c r="EM26" s="456"/>
      <c r="EN26" s="456"/>
      <c r="EO26" s="425"/>
      <c r="EP26" s="425"/>
      <c r="EQ26" s="425" t="s">
        <v>743</v>
      </c>
      <c r="ER26" s="425">
        <v>1</v>
      </c>
      <c r="ES26" s="425">
        <v>8</v>
      </c>
      <c r="ET26" s="425">
        <v>4000</v>
      </c>
      <c r="EU26" s="457">
        <v>520</v>
      </c>
      <c r="EV26" s="425">
        <v>135</v>
      </c>
      <c r="EW26" s="425">
        <v>6563573</v>
      </c>
      <c r="EX26" s="425">
        <v>54705</v>
      </c>
      <c r="EY26" s="666">
        <v>17.36</v>
      </c>
      <c r="EZ26" s="666">
        <v>17.37</v>
      </c>
      <c r="FA26" s="666">
        <v>0</v>
      </c>
      <c r="FB26" s="666">
        <v>1.58</v>
      </c>
      <c r="FC26" s="666">
        <v>1.34</v>
      </c>
      <c r="FD26" s="666">
        <v>1.073</v>
      </c>
      <c r="FE26" s="666">
        <v>1</v>
      </c>
      <c r="FF26" s="666">
        <v>140</v>
      </c>
      <c r="FG26" s="666">
        <v>0.42</v>
      </c>
      <c r="FH26" s="666">
        <v>0.76100000000000001</v>
      </c>
      <c r="FI26" s="666">
        <v>1.36</v>
      </c>
      <c r="FJ26" s="666">
        <v>8.66</v>
      </c>
      <c r="FK26" s="666">
        <v>8</v>
      </c>
      <c r="FL26" s="666">
        <v>8.3699999999999992</v>
      </c>
      <c r="FM26" s="666">
        <v>8.1</v>
      </c>
      <c r="FN26" s="666">
        <v>0</v>
      </c>
    </row>
    <row r="27" spans="1:170" s="416" customFormat="1" ht="15">
      <c r="A27" s="425" t="s">
        <v>7</v>
      </c>
      <c r="B27" s="426">
        <v>40556</v>
      </c>
      <c r="C27" s="418">
        <v>0</v>
      </c>
      <c r="D27" s="518">
        <v>1.2</v>
      </c>
      <c r="E27" s="453">
        <v>0</v>
      </c>
      <c r="F27" s="453">
        <v>44</v>
      </c>
      <c r="G27" s="453">
        <v>3.55</v>
      </c>
      <c r="H27" s="519" t="s">
        <v>742</v>
      </c>
      <c r="I27" s="519">
        <v>80.400000000000006</v>
      </c>
      <c r="J27" s="483">
        <v>0.05</v>
      </c>
      <c r="K27" s="520" t="s">
        <v>742</v>
      </c>
      <c r="L27" s="453">
        <v>45.299999999999272</v>
      </c>
      <c r="M27" s="453">
        <v>20.9</v>
      </c>
      <c r="N27" s="453">
        <v>1.63</v>
      </c>
      <c r="O27" s="453">
        <v>1.9069048554807031</v>
      </c>
      <c r="P27" s="453" t="s">
        <v>742</v>
      </c>
      <c r="Q27" s="453">
        <v>0</v>
      </c>
      <c r="R27" s="453">
        <v>710.41320871862615</v>
      </c>
      <c r="S27" s="453">
        <v>7.77</v>
      </c>
      <c r="T27" s="453" t="s">
        <v>742</v>
      </c>
      <c r="U27" s="453">
        <v>0.71</v>
      </c>
      <c r="V27" s="453" t="s">
        <v>742</v>
      </c>
      <c r="W27" s="453">
        <v>48.739999999999995</v>
      </c>
      <c r="X27" s="456" t="e">
        <v>#VALUE!</v>
      </c>
      <c r="Y27" s="453">
        <v>29.62</v>
      </c>
      <c r="Z27" s="453">
        <v>15.06</v>
      </c>
      <c r="AA27" s="519">
        <v>29.430000000007567</v>
      </c>
      <c r="AB27" s="519">
        <v>15.029999999998836</v>
      </c>
      <c r="AC27" s="732">
        <f t="shared" si="0"/>
        <v>44.460000000006403</v>
      </c>
      <c r="AD27" s="664"/>
      <c r="AE27" s="664"/>
      <c r="AF27" s="664"/>
      <c r="AG27" s="664"/>
      <c r="AH27" s="664"/>
      <c r="AI27" s="664"/>
      <c r="AJ27" s="485"/>
      <c r="AK27" s="485"/>
      <c r="AL27" s="485"/>
      <c r="AM27" s="485"/>
      <c r="AN27" s="485"/>
      <c r="AO27" s="665"/>
      <c r="AP27" s="485"/>
      <c r="AQ27" s="483"/>
      <c r="AR27" s="755">
        <v>0</v>
      </c>
      <c r="AS27" s="483">
        <v>18.399999999999999</v>
      </c>
      <c r="AT27" s="755">
        <v>0</v>
      </c>
      <c r="AU27" s="483">
        <v>30.8</v>
      </c>
      <c r="AV27" s="484">
        <v>0</v>
      </c>
      <c r="AW27" s="484">
        <v>287.3</v>
      </c>
      <c r="AX27" s="453">
        <v>0</v>
      </c>
      <c r="AY27" s="734">
        <v>0</v>
      </c>
      <c r="AZ27" s="734">
        <v>0</v>
      </c>
      <c r="BA27" s="734">
        <v>0</v>
      </c>
      <c r="BB27" s="453">
        <v>0</v>
      </c>
      <c r="BC27" s="453">
        <v>0</v>
      </c>
      <c r="BD27" s="453">
        <v>0</v>
      </c>
      <c r="BE27" s="734">
        <v>0</v>
      </c>
      <c r="BF27" s="453">
        <v>0</v>
      </c>
      <c r="BG27" s="453">
        <v>0</v>
      </c>
      <c r="BH27" s="734">
        <v>0</v>
      </c>
      <c r="BI27" s="453">
        <v>0</v>
      </c>
      <c r="BJ27" s="453">
        <v>15.2</v>
      </c>
      <c r="BK27" s="453">
        <v>0</v>
      </c>
      <c r="BL27" s="453">
        <v>0</v>
      </c>
      <c r="BM27" s="453">
        <v>0</v>
      </c>
      <c r="BN27" s="453">
        <v>15.1</v>
      </c>
      <c r="BO27" s="453">
        <v>1881.2</v>
      </c>
      <c r="BP27" s="453">
        <v>0</v>
      </c>
      <c r="BQ27" s="453">
        <v>17.3</v>
      </c>
      <c r="BR27" s="453">
        <v>17.3</v>
      </c>
      <c r="BS27" s="453">
        <v>0</v>
      </c>
      <c r="BT27" s="453">
        <v>31.7</v>
      </c>
      <c r="BU27" s="453">
        <v>27.2</v>
      </c>
      <c r="BV27" s="456">
        <v>450.7</v>
      </c>
      <c r="BW27" s="453">
        <v>0.8</v>
      </c>
      <c r="BX27" s="453">
        <v>1.71</v>
      </c>
      <c r="BY27" s="456">
        <v>1.1299999999999999</v>
      </c>
      <c r="BZ27" s="456">
        <v>14.2</v>
      </c>
      <c r="CA27" s="456">
        <v>37.9</v>
      </c>
      <c r="CB27" s="456">
        <v>13.4</v>
      </c>
      <c r="CC27" s="456">
        <v>10.5</v>
      </c>
      <c r="CD27" s="456">
        <v>14.7</v>
      </c>
      <c r="CE27" s="456">
        <v>18.8</v>
      </c>
      <c r="CF27" s="456">
        <v>13</v>
      </c>
      <c r="CG27" s="456">
        <v>524.20000000000005</v>
      </c>
      <c r="CH27" s="456">
        <v>1.4</v>
      </c>
      <c r="CI27" s="456">
        <v>2.1</v>
      </c>
      <c r="CJ27" s="456">
        <v>182.2</v>
      </c>
      <c r="CK27" s="456">
        <v>378.4</v>
      </c>
      <c r="CL27" s="456">
        <v>512.4</v>
      </c>
      <c r="CM27" s="456">
        <v>12</v>
      </c>
      <c r="CN27" s="456">
        <v>1.02</v>
      </c>
      <c r="CO27" s="453">
        <v>0</v>
      </c>
      <c r="CP27" s="453">
        <v>14.66</v>
      </c>
      <c r="CQ27" s="453">
        <v>43</v>
      </c>
      <c r="CR27" s="456">
        <v>0</v>
      </c>
      <c r="CS27" s="456">
        <v>0</v>
      </c>
      <c r="CT27" s="456">
        <v>0</v>
      </c>
      <c r="CU27" s="456">
        <v>0</v>
      </c>
      <c r="CV27" s="481">
        <v>2710.5882352941176</v>
      </c>
      <c r="CW27" s="481">
        <v>4111.25</v>
      </c>
      <c r="CX27" s="481">
        <v>3451.7708333333335</v>
      </c>
      <c r="CY27" s="481">
        <v>1079.1600000000001</v>
      </c>
      <c r="CZ27" s="456"/>
      <c r="DA27" s="456"/>
      <c r="DB27" s="456"/>
      <c r="DC27" s="456"/>
      <c r="DD27" s="456"/>
      <c r="DE27" s="456"/>
      <c r="DF27" s="456"/>
      <c r="DG27" s="425"/>
      <c r="DH27" s="456">
        <v>0</v>
      </c>
      <c r="DI27" s="456">
        <v>0.64</v>
      </c>
      <c r="DJ27" s="456">
        <v>1.37</v>
      </c>
      <c r="DK27" s="425"/>
      <c r="DL27" s="456"/>
      <c r="DM27" s="456"/>
      <c r="DN27" s="456"/>
      <c r="DO27" s="456"/>
      <c r="DP27" s="456"/>
      <c r="DQ27" s="456"/>
      <c r="DR27" s="456"/>
      <c r="DS27" s="456"/>
      <c r="DT27" s="456"/>
      <c r="DU27" s="456"/>
      <c r="DV27" s="456"/>
      <c r="DW27" s="456"/>
      <c r="DX27" s="456"/>
      <c r="DY27" s="456"/>
      <c r="DZ27" s="456"/>
      <c r="EA27" s="456"/>
      <c r="EB27" s="456"/>
      <c r="EC27" s="456"/>
      <c r="ED27" s="423">
        <v>0</v>
      </c>
      <c r="EE27" s="423">
        <v>1</v>
      </c>
      <c r="EF27" s="423">
        <v>2.5</v>
      </c>
      <c r="EG27" s="423">
        <v>6</v>
      </c>
      <c r="EH27" s="423">
        <v>0</v>
      </c>
      <c r="EI27" s="456"/>
      <c r="EJ27" s="456"/>
      <c r="EK27" s="456"/>
      <c r="EL27" s="456"/>
      <c r="EM27" s="456"/>
      <c r="EN27" s="456"/>
      <c r="EO27" s="425"/>
      <c r="EP27" s="425"/>
      <c r="EQ27" s="425" t="s">
        <v>743</v>
      </c>
      <c r="ER27" s="425">
        <v>1</v>
      </c>
      <c r="ES27" s="425">
        <v>8</v>
      </c>
      <c r="ET27" s="425">
        <v>4000</v>
      </c>
      <c r="EU27" s="457">
        <v>390</v>
      </c>
      <c r="EV27" s="425">
        <v>125</v>
      </c>
      <c r="EW27" s="425">
        <v>6566127</v>
      </c>
      <c r="EX27" s="425">
        <v>55463</v>
      </c>
      <c r="EY27" s="666">
        <v>17.329999999999998</v>
      </c>
      <c r="EZ27" s="666">
        <v>17.34</v>
      </c>
      <c r="FA27" s="666">
        <v>0</v>
      </c>
      <c r="FB27" s="666">
        <v>1.57</v>
      </c>
      <c r="FC27" s="666">
        <v>1.45</v>
      </c>
      <c r="FD27" s="666">
        <v>1.1020000000000001</v>
      </c>
      <c r="FE27" s="666">
        <v>1.07</v>
      </c>
      <c r="FF27" s="666">
        <v>130</v>
      </c>
      <c r="FG27" s="666">
        <v>0.63</v>
      </c>
      <c r="FH27" s="666">
        <v>0.58299999999999996</v>
      </c>
      <c r="FI27" s="666">
        <v>0.92</v>
      </c>
      <c r="FJ27" s="666">
        <v>8.66</v>
      </c>
      <c r="FK27" s="666">
        <v>8.1</v>
      </c>
      <c r="FL27" s="666">
        <v>8.2799999999999994</v>
      </c>
      <c r="FM27" s="666">
        <v>8.1</v>
      </c>
      <c r="FN27" s="666">
        <v>0</v>
      </c>
    </row>
    <row r="28" spans="1:170" s="416" customFormat="1" ht="15">
      <c r="A28" s="425" t="s">
        <v>8</v>
      </c>
      <c r="B28" s="426">
        <v>40557</v>
      </c>
      <c r="C28" s="418">
        <v>0</v>
      </c>
      <c r="D28" s="518">
        <v>0.46</v>
      </c>
      <c r="E28" s="453">
        <v>0</v>
      </c>
      <c r="F28" s="453">
        <v>45</v>
      </c>
      <c r="G28" s="453">
        <v>4.45</v>
      </c>
      <c r="H28" s="519">
        <v>82.71</v>
      </c>
      <c r="I28" s="519">
        <v>79.599999999999994</v>
      </c>
      <c r="J28" s="483">
        <v>0.05</v>
      </c>
      <c r="K28" s="520" t="s">
        <v>742</v>
      </c>
      <c r="L28" s="453">
        <v>46.700000000000728</v>
      </c>
      <c r="M28" s="453">
        <v>22.4</v>
      </c>
      <c r="N28" s="453">
        <v>1.59</v>
      </c>
      <c r="O28" s="453">
        <v>1.8040746515385853</v>
      </c>
      <c r="P28" s="453" t="s">
        <v>742</v>
      </c>
      <c r="Q28" s="453">
        <v>0</v>
      </c>
      <c r="R28" s="453">
        <v>711.07313738441201</v>
      </c>
      <c r="S28" s="453">
        <v>7.81</v>
      </c>
      <c r="T28" s="453" t="s">
        <v>742</v>
      </c>
      <c r="U28" s="453">
        <v>0.74</v>
      </c>
      <c r="V28" s="453" t="s">
        <v>742</v>
      </c>
      <c r="W28" s="453">
        <v>48.2</v>
      </c>
      <c r="X28" s="456" t="e">
        <v>#VALUE!</v>
      </c>
      <c r="Y28" s="453">
        <v>29.72</v>
      </c>
      <c r="Z28" s="453">
        <v>14.58</v>
      </c>
      <c r="AA28" s="519">
        <v>30.69999999999709</v>
      </c>
      <c r="AB28" s="519">
        <v>16.470000000001164</v>
      </c>
      <c r="AC28" s="732">
        <f t="shared" si="0"/>
        <v>47.169999999998254</v>
      </c>
      <c r="AD28" s="664"/>
      <c r="AE28" s="664"/>
      <c r="AF28" s="664"/>
      <c r="AG28" s="664"/>
      <c r="AH28" s="664"/>
      <c r="AI28" s="664"/>
      <c r="AJ28" s="485"/>
      <c r="AK28" s="485"/>
      <c r="AL28" s="485"/>
      <c r="AM28" s="485"/>
      <c r="AN28" s="485"/>
      <c r="AO28" s="665"/>
      <c r="AP28" s="485"/>
      <c r="AQ28" s="483"/>
      <c r="AR28" s="755">
        <v>0</v>
      </c>
      <c r="AS28" s="483">
        <v>18.8</v>
      </c>
      <c r="AT28" s="755">
        <v>0</v>
      </c>
      <c r="AU28" s="483">
        <v>30.7</v>
      </c>
      <c r="AV28" s="484">
        <v>178.8</v>
      </c>
      <c r="AW28" s="484">
        <v>1168.9000000000001</v>
      </c>
      <c r="AX28" s="453">
        <v>0</v>
      </c>
      <c r="AY28" s="734">
        <v>0</v>
      </c>
      <c r="AZ28" s="734">
        <v>0</v>
      </c>
      <c r="BA28" s="734">
        <v>0</v>
      </c>
      <c r="BB28" s="453">
        <v>0</v>
      </c>
      <c r="BC28" s="453">
        <v>0</v>
      </c>
      <c r="BD28" s="453">
        <v>0</v>
      </c>
      <c r="BE28" s="734">
        <v>0</v>
      </c>
      <c r="BF28" s="453">
        <v>0</v>
      </c>
      <c r="BG28" s="453">
        <v>0</v>
      </c>
      <c r="BH28" s="734">
        <v>0</v>
      </c>
      <c r="BI28" s="453">
        <v>0</v>
      </c>
      <c r="BJ28" s="453">
        <v>15.7</v>
      </c>
      <c r="BK28" s="453">
        <v>0</v>
      </c>
      <c r="BL28" s="453">
        <v>0</v>
      </c>
      <c r="BM28" s="453">
        <v>0</v>
      </c>
      <c r="BN28" s="453">
        <v>15.6</v>
      </c>
      <c r="BO28" s="453">
        <v>999.6</v>
      </c>
      <c r="BP28" s="453">
        <v>0</v>
      </c>
      <c r="BQ28" s="453">
        <v>17</v>
      </c>
      <c r="BR28" s="453">
        <v>17</v>
      </c>
      <c r="BS28" s="453">
        <v>0</v>
      </c>
      <c r="BT28" s="453">
        <v>30.4</v>
      </c>
      <c r="BU28" s="453">
        <v>27.7</v>
      </c>
      <c r="BV28" s="456">
        <v>670.9</v>
      </c>
      <c r="BW28" s="453">
        <v>0.51</v>
      </c>
      <c r="BX28" s="453">
        <v>1.67</v>
      </c>
      <c r="BY28" s="456">
        <v>1.1200000000000001</v>
      </c>
      <c r="BZ28" s="456">
        <v>14.9</v>
      </c>
      <c r="CA28" s="456">
        <v>32.799999999999997</v>
      </c>
      <c r="CB28" s="456">
        <v>14.5</v>
      </c>
      <c r="CC28" s="456">
        <v>9.4</v>
      </c>
      <c r="CD28" s="456">
        <v>13.7</v>
      </c>
      <c r="CE28" s="456">
        <v>17.7</v>
      </c>
      <c r="CF28" s="456">
        <v>13.03</v>
      </c>
      <c r="CG28" s="456">
        <v>558.4</v>
      </c>
      <c r="CH28" s="456">
        <v>1.8</v>
      </c>
      <c r="CI28" s="456">
        <v>1.6</v>
      </c>
      <c r="CJ28" s="456">
        <v>266.3</v>
      </c>
      <c r="CK28" s="456">
        <v>385.8</v>
      </c>
      <c r="CL28" s="456">
        <v>524.29999999999995</v>
      </c>
      <c r="CM28" s="456">
        <v>13.1</v>
      </c>
      <c r="CN28" s="456">
        <v>0.44</v>
      </c>
      <c r="CO28" s="453">
        <v>0</v>
      </c>
      <c r="CP28" s="453">
        <v>15.27</v>
      </c>
      <c r="CQ28" s="453">
        <v>44</v>
      </c>
      <c r="CR28" s="456">
        <v>0</v>
      </c>
      <c r="CS28" s="456">
        <v>0</v>
      </c>
      <c r="CT28" s="456">
        <v>0</v>
      </c>
      <c r="CU28" s="456">
        <v>0</v>
      </c>
      <c r="CV28" s="481">
        <v>3969.4117647058824</v>
      </c>
      <c r="CW28" s="481">
        <v>5637.1875</v>
      </c>
      <c r="CX28" s="481">
        <v>4691.145833333333</v>
      </c>
      <c r="CY28" s="481">
        <v>1078.3399999999999</v>
      </c>
      <c r="CZ28" s="456"/>
      <c r="DA28" s="456"/>
      <c r="DB28" s="456"/>
      <c r="DC28" s="456"/>
      <c r="DD28" s="456"/>
      <c r="DE28" s="456"/>
      <c r="DF28" s="456"/>
      <c r="DG28" s="425"/>
      <c r="DH28" s="456"/>
      <c r="DI28" s="456"/>
      <c r="DJ28" s="456"/>
      <c r="DK28" s="425"/>
      <c r="DL28" s="456"/>
      <c r="DM28" s="456"/>
      <c r="DN28" s="456"/>
      <c r="DO28" s="456"/>
      <c r="DP28" s="456"/>
      <c r="DQ28" s="456"/>
      <c r="DR28" s="456"/>
      <c r="DS28" s="456"/>
      <c r="DT28" s="456"/>
      <c r="DU28" s="456"/>
      <c r="DV28" s="456"/>
      <c r="DW28" s="456"/>
      <c r="DX28" s="456"/>
      <c r="DY28" s="456"/>
      <c r="DZ28" s="456"/>
      <c r="EA28" s="456"/>
      <c r="EB28" s="456"/>
      <c r="EC28" s="456"/>
      <c r="ED28" s="423">
        <v>0</v>
      </c>
      <c r="EE28" s="423">
        <v>1</v>
      </c>
      <c r="EF28" s="423">
        <v>2.5</v>
      </c>
      <c r="EG28" s="423">
        <v>6</v>
      </c>
      <c r="EH28" s="423">
        <v>0</v>
      </c>
      <c r="EI28" s="456"/>
      <c r="EJ28" s="456"/>
      <c r="EK28" s="456"/>
      <c r="EL28" s="456"/>
      <c r="EM28" s="456"/>
      <c r="EN28" s="456"/>
      <c r="EO28" s="425"/>
      <c r="EP28" s="425"/>
      <c r="EQ28" s="425" t="s">
        <v>743</v>
      </c>
      <c r="ER28" s="425">
        <v>1</v>
      </c>
      <c r="ES28" s="425">
        <v>8</v>
      </c>
      <c r="ET28" s="425">
        <v>4000</v>
      </c>
      <c r="EU28" s="457">
        <v>230</v>
      </c>
      <c r="EV28" s="425">
        <v>180</v>
      </c>
      <c r="EW28" s="425">
        <v>6568697</v>
      </c>
      <c r="EX28" s="425">
        <v>56249</v>
      </c>
      <c r="EY28" s="666">
        <v>17.489999999999998</v>
      </c>
      <c r="EZ28" s="666">
        <v>17.48</v>
      </c>
      <c r="FA28" s="666">
        <v>0</v>
      </c>
      <c r="FB28" s="666">
        <v>1.42</v>
      </c>
      <c r="FC28" s="666">
        <v>1.24</v>
      </c>
      <c r="FD28" s="666">
        <v>1.1839999999999999</v>
      </c>
      <c r="FE28" s="666">
        <v>1.07</v>
      </c>
      <c r="FF28" s="666">
        <v>160</v>
      </c>
      <c r="FG28" s="666">
        <v>0.26</v>
      </c>
      <c r="FH28" s="666">
        <v>0.41</v>
      </c>
      <c r="FI28" s="666">
        <v>0.71</v>
      </c>
      <c r="FJ28" s="666">
        <v>8.6300000000000008</v>
      </c>
      <c r="FK28" s="666">
        <v>8.1999999999999993</v>
      </c>
      <c r="FL28" s="666">
        <v>8.18</v>
      </c>
      <c r="FM28" s="666">
        <v>8.1</v>
      </c>
      <c r="FN28" s="666">
        <v>0</v>
      </c>
    </row>
    <row r="29" spans="1:170" s="416" customFormat="1" ht="15">
      <c r="A29" s="425" t="s">
        <v>9</v>
      </c>
      <c r="B29" s="426">
        <v>40558</v>
      </c>
      <c r="C29" s="418">
        <v>0</v>
      </c>
      <c r="D29" s="518">
        <v>1.31</v>
      </c>
      <c r="E29" s="453">
        <v>0</v>
      </c>
      <c r="F29" s="453">
        <v>44</v>
      </c>
      <c r="G29" s="453">
        <v>4.0999999999999996</v>
      </c>
      <c r="H29" s="519">
        <v>344</v>
      </c>
      <c r="I29" s="519">
        <v>72.400000000000006</v>
      </c>
      <c r="J29" s="483">
        <v>0.05</v>
      </c>
      <c r="K29" s="520" t="s">
        <v>742</v>
      </c>
      <c r="L29" s="453">
        <v>45.1200000000008</v>
      </c>
      <c r="M29" s="453">
        <v>22.7</v>
      </c>
      <c r="N29" s="453">
        <v>1.56</v>
      </c>
      <c r="O29" s="453">
        <v>1.7624072238948221</v>
      </c>
      <c r="P29" s="453" t="s">
        <v>742</v>
      </c>
      <c r="Q29" s="453">
        <v>0</v>
      </c>
      <c r="R29" s="453">
        <v>677.74673976221925</v>
      </c>
      <c r="S29" s="453">
        <v>7.91</v>
      </c>
      <c r="T29" s="453" t="s">
        <v>742</v>
      </c>
      <c r="U29" s="453">
        <v>0.77</v>
      </c>
      <c r="V29" s="453" t="s">
        <v>742</v>
      </c>
      <c r="W29" s="453">
        <v>48.2</v>
      </c>
      <c r="X29" s="456" t="e">
        <v>#VALUE!</v>
      </c>
      <c r="Y29" s="453">
        <v>28.93</v>
      </c>
      <c r="Z29" s="453">
        <v>16.71</v>
      </c>
      <c r="AA29" s="519">
        <v>28.80000000000291</v>
      </c>
      <c r="AB29" s="519">
        <v>17.19999999999709</v>
      </c>
      <c r="AC29" s="732">
        <f t="shared" si="0"/>
        <v>46</v>
      </c>
      <c r="AD29" s="664"/>
      <c r="AE29" s="664"/>
      <c r="AF29" s="664"/>
      <c r="AG29" s="664"/>
      <c r="AH29" s="664"/>
      <c r="AI29" s="664"/>
      <c r="AJ29" s="485"/>
      <c r="AK29" s="485"/>
      <c r="AL29" s="485"/>
      <c r="AM29" s="485"/>
      <c r="AN29" s="485"/>
      <c r="AO29" s="665"/>
      <c r="AP29" s="485"/>
      <c r="AQ29" s="483"/>
      <c r="AR29" s="755">
        <v>0</v>
      </c>
      <c r="AS29" s="483">
        <v>36.799999999999997</v>
      </c>
      <c r="AT29" s="755">
        <v>0</v>
      </c>
      <c r="AU29" s="483">
        <v>29.9</v>
      </c>
      <c r="AV29" s="484">
        <v>543.20000000000005</v>
      </c>
      <c r="AW29" s="484">
        <v>588.4</v>
      </c>
      <c r="AX29" s="453">
        <v>0</v>
      </c>
      <c r="AY29" s="734">
        <v>0</v>
      </c>
      <c r="AZ29" s="734">
        <v>0</v>
      </c>
      <c r="BA29" s="734">
        <v>0</v>
      </c>
      <c r="BB29" s="453">
        <v>0</v>
      </c>
      <c r="BC29" s="453">
        <v>0</v>
      </c>
      <c r="BD29" s="453">
        <v>0</v>
      </c>
      <c r="BE29" s="734">
        <v>0</v>
      </c>
      <c r="BF29" s="453">
        <v>0</v>
      </c>
      <c r="BG29" s="453">
        <v>0</v>
      </c>
      <c r="BH29" s="734">
        <v>0</v>
      </c>
      <c r="BI29" s="453">
        <v>0</v>
      </c>
      <c r="BJ29" s="453">
        <v>17.2</v>
      </c>
      <c r="BK29" s="453">
        <v>0</v>
      </c>
      <c r="BL29" s="453">
        <v>0</v>
      </c>
      <c r="BM29" s="453">
        <v>0</v>
      </c>
      <c r="BN29" s="453">
        <v>17.100000000000001</v>
      </c>
      <c r="BO29" s="453">
        <v>1193.2</v>
      </c>
      <c r="BP29" s="453">
        <v>0</v>
      </c>
      <c r="BQ29" s="453">
        <v>17.5</v>
      </c>
      <c r="BR29" s="453">
        <v>17.399999999999999</v>
      </c>
      <c r="BS29" s="453">
        <v>0</v>
      </c>
      <c r="BT29" s="453">
        <v>29.6</v>
      </c>
      <c r="BU29" s="453">
        <v>23.4</v>
      </c>
      <c r="BV29" s="456">
        <v>669.7</v>
      </c>
      <c r="BW29" s="453">
        <v>0.4</v>
      </c>
      <c r="BX29" s="453">
        <v>1.55</v>
      </c>
      <c r="BY29" s="456">
        <v>1.1299999999999999</v>
      </c>
      <c r="BZ29" s="456">
        <v>14.8</v>
      </c>
      <c r="CA29" s="456">
        <v>32.799999999999997</v>
      </c>
      <c r="CB29" s="456">
        <v>13.7</v>
      </c>
      <c r="CC29" s="456">
        <v>8.6999999999999993</v>
      </c>
      <c r="CD29" s="456">
        <v>12.9</v>
      </c>
      <c r="CE29" s="456">
        <v>17</v>
      </c>
      <c r="CF29" s="456">
        <v>13.02</v>
      </c>
      <c r="CG29" s="456">
        <v>535.6</v>
      </c>
      <c r="CH29" s="456">
        <v>1.7</v>
      </c>
      <c r="CI29" s="456">
        <v>2.1</v>
      </c>
      <c r="CJ29" s="456">
        <v>292.8</v>
      </c>
      <c r="CK29" s="456">
        <v>399.5</v>
      </c>
      <c r="CL29" s="456">
        <v>585.9</v>
      </c>
      <c r="CM29" s="456">
        <v>11.3</v>
      </c>
      <c r="CN29" s="456">
        <v>1.8</v>
      </c>
      <c r="CO29" s="453">
        <v>0</v>
      </c>
      <c r="CP29" s="453">
        <v>15.4</v>
      </c>
      <c r="CQ29" s="453">
        <v>45</v>
      </c>
      <c r="CR29" s="456">
        <v>0</v>
      </c>
      <c r="CS29" s="456">
        <v>0</v>
      </c>
      <c r="CT29" s="456">
        <v>0</v>
      </c>
      <c r="CU29" s="456">
        <v>0</v>
      </c>
      <c r="CV29" s="481">
        <v>4817.6470588235297</v>
      </c>
      <c r="CW29" s="481">
        <v>6657.8125</v>
      </c>
      <c r="CX29" s="481">
        <v>5000.833333333333</v>
      </c>
      <c r="CY29" s="481">
        <v>1076.5999999999999</v>
      </c>
      <c r="CZ29" s="456"/>
      <c r="DA29" s="456"/>
      <c r="DB29" s="456"/>
      <c r="DC29" s="456"/>
      <c r="DD29" s="456"/>
      <c r="DE29" s="456"/>
      <c r="DF29" s="456"/>
      <c r="DG29" s="425"/>
      <c r="DH29" s="456"/>
      <c r="DI29" s="456"/>
      <c r="DJ29" s="456"/>
      <c r="DK29" s="425"/>
      <c r="DL29" s="456"/>
      <c r="DM29" s="456"/>
      <c r="DN29" s="456"/>
      <c r="DO29" s="456"/>
      <c r="DP29" s="456"/>
      <c r="DQ29" s="456"/>
      <c r="DR29" s="456"/>
      <c r="DS29" s="456"/>
      <c r="DT29" s="456"/>
      <c r="DU29" s="456"/>
      <c r="DV29" s="456"/>
      <c r="DW29" s="456"/>
      <c r="DX29" s="456"/>
      <c r="DY29" s="456"/>
      <c r="DZ29" s="456"/>
      <c r="EA29" s="456"/>
      <c r="EB29" s="456"/>
      <c r="EC29" s="456"/>
      <c r="ED29" s="423">
        <v>0</v>
      </c>
      <c r="EE29" s="423">
        <v>1</v>
      </c>
      <c r="EF29" s="423">
        <v>2.5</v>
      </c>
      <c r="EG29" s="423">
        <v>6</v>
      </c>
      <c r="EH29" s="423">
        <v>0</v>
      </c>
      <c r="EI29" s="456"/>
      <c r="EJ29" s="456"/>
      <c r="EK29" s="456"/>
      <c r="EL29" s="456"/>
      <c r="EM29" s="456"/>
      <c r="EN29" s="456"/>
      <c r="EO29" s="425"/>
      <c r="EP29" s="425"/>
      <c r="EQ29" s="425" t="s">
        <v>743</v>
      </c>
      <c r="ER29" s="425">
        <v>1</v>
      </c>
      <c r="ES29" s="425">
        <v>8</v>
      </c>
      <c r="ET29" s="425">
        <v>4000</v>
      </c>
      <c r="EU29" s="457">
        <v>130</v>
      </c>
      <c r="EV29" s="425">
        <v>190</v>
      </c>
      <c r="EW29" s="425">
        <v>6570875</v>
      </c>
      <c r="EX29" s="425">
        <v>57003</v>
      </c>
      <c r="EY29" s="666">
        <v>18.05</v>
      </c>
      <c r="EZ29" s="666">
        <v>18.07</v>
      </c>
      <c r="FA29" s="666">
        <v>0</v>
      </c>
      <c r="FB29" s="666">
        <v>1.42</v>
      </c>
      <c r="FC29" s="666">
        <v>1.26</v>
      </c>
      <c r="FD29" s="666">
        <v>1.1839999999999999</v>
      </c>
      <c r="FE29" s="666">
        <v>1.1499999999999999</v>
      </c>
      <c r="FF29" s="666">
        <v>100</v>
      </c>
      <c r="FG29" s="666">
        <v>0.33</v>
      </c>
      <c r="FH29" s="666">
        <v>0.32700000000000001</v>
      </c>
      <c r="FI29" s="666">
        <v>0.51</v>
      </c>
      <c r="FJ29" s="666">
        <v>8.9</v>
      </c>
      <c r="FK29" s="666">
        <v>8.6999999999999993</v>
      </c>
      <c r="FL29" s="666">
        <v>8.23</v>
      </c>
      <c r="FM29" s="666">
        <v>8</v>
      </c>
      <c r="FN29" s="666">
        <v>0</v>
      </c>
    </row>
    <row r="30" spans="1:170" s="416" customFormat="1" ht="15">
      <c r="A30" s="425" t="s">
        <v>3</v>
      </c>
      <c r="B30" s="426">
        <v>40559</v>
      </c>
      <c r="C30" s="418">
        <v>0</v>
      </c>
      <c r="D30" s="518">
        <v>2.04</v>
      </c>
      <c r="E30" s="453">
        <v>0</v>
      </c>
      <c r="F30" s="453">
        <v>48</v>
      </c>
      <c r="G30" s="453">
        <v>5.7</v>
      </c>
      <c r="H30" s="519">
        <v>396</v>
      </c>
      <c r="I30" s="519">
        <v>30</v>
      </c>
      <c r="J30" s="483">
        <v>0.16</v>
      </c>
      <c r="K30" s="520" t="s">
        <v>742</v>
      </c>
      <c r="L30" s="453">
        <v>45.299999999999272</v>
      </c>
      <c r="M30" s="453">
        <v>28.2</v>
      </c>
      <c r="N30" s="453">
        <v>1.54</v>
      </c>
      <c r="O30" s="453">
        <v>1.7620450655797519</v>
      </c>
      <c r="P30" s="453" t="s">
        <v>742</v>
      </c>
      <c r="Q30" s="453">
        <v>0</v>
      </c>
      <c r="R30" s="453">
        <v>656.29905812417428</v>
      </c>
      <c r="S30" s="453">
        <v>7.86</v>
      </c>
      <c r="T30" s="453" t="s">
        <v>742</v>
      </c>
      <c r="U30" s="453">
        <v>0.77</v>
      </c>
      <c r="V30" s="453" t="s">
        <v>742</v>
      </c>
      <c r="W30" s="453">
        <v>50</v>
      </c>
      <c r="X30" s="456" t="e">
        <v>#VALUE!</v>
      </c>
      <c r="Y30" s="453">
        <v>28.62</v>
      </c>
      <c r="Z30" s="453">
        <v>17.14</v>
      </c>
      <c r="AA30" s="519">
        <v>28</v>
      </c>
      <c r="AB30" s="519">
        <v>16.600000000005821</v>
      </c>
      <c r="AC30" s="732">
        <f t="shared" si="0"/>
        <v>44.600000000005821</v>
      </c>
      <c r="AD30" s="664"/>
      <c r="AE30" s="664"/>
      <c r="AF30" s="664"/>
      <c r="AG30" s="664"/>
      <c r="AH30" s="664"/>
      <c r="AI30" s="664"/>
      <c r="AJ30" s="485"/>
      <c r="AK30" s="485"/>
      <c r="AL30" s="485"/>
      <c r="AM30" s="485"/>
      <c r="AN30" s="485"/>
      <c r="AO30" s="665"/>
      <c r="AP30" s="485"/>
      <c r="AQ30" s="483"/>
      <c r="AR30" s="755">
        <v>0</v>
      </c>
      <c r="AS30" s="483">
        <v>19.600000000000001</v>
      </c>
      <c r="AT30" s="755">
        <v>0</v>
      </c>
      <c r="AU30" s="483">
        <v>30</v>
      </c>
      <c r="AV30" s="484">
        <v>398.2</v>
      </c>
      <c r="AW30" s="484">
        <v>502.4</v>
      </c>
      <c r="AX30" s="453">
        <v>0</v>
      </c>
      <c r="AY30" s="734">
        <v>0</v>
      </c>
      <c r="AZ30" s="734">
        <v>0</v>
      </c>
      <c r="BA30" s="734">
        <v>0</v>
      </c>
      <c r="BB30" s="453">
        <v>0</v>
      </c>
      <c r="BC30" s="453">
        <v>0</v>
      </c>
      <c r="BD30" s="453">
        <v>0</v>
      </c>
      <c r="BE30" s="734">
        <v>0</v>
      </c>
      <c r="BF30" s="453">
        <v>0</v>
      </c>
      <c r="BG30" s="453">
        <v>0</v>
      </c>
      <c r="BH30" s="734">
        <v>0</v>
      </c>
      <c r="BI30" s="453">
        <v>0</v>
      </c>
      <c r="BJ30" s="453">
        <v>17.100000000000001</v>
      </c>
      <c r="BK30" s="453">
        <v>0</v>
      </c>
      <c r="BL30" s="453">
        <v>0</v>
      </c>
      <c r="BM30" s="453">
        <v>0</v>
      </c>
      <c r="BN30" s="453">
        <v>17</v>
      </c>
      <c r="BO30" s="453">
        <v>1182.2</v>
      </c>
      <c r="BP30" s="453">
        <v>0</v>
      </c>
      <c r="BQ30" s="453">
        <v>18.2</v>
      </c>
      <c r="BR30" s="453">
        <v>18.2</v>
      </c>
      <c r="BS30" s="453">
        <v>0</v>
      </c>
      <c r="BT30" s="453">
        <v>29.9</v>
      </c>
      <c r="BU30" s="453">
        <v>21.8</v>
      </c>
      <c r="BV30" s="456">
        <v>473.7</v>
      </c>
      <c r="BW30" s="453">
        <v>0.3</v>
      </c>
      <c r="BX30" s="453">
        <v>1.54</v>
      </c>
      <c r="BY30" s="456">
        <v>1.1200000000000001</v>
      </c>
      <c r="BZ30" s="456">
        <v>15</v>
      </c>
      <c r="CA30" s="456">
        <v>33.6</v>
      </c>
      <c r="CB30" s="456">
        <v>12.9</v>
      </c>
      <c r="CC30" s="456">
        <v>7.9</v>
      </c>
      <c r="CD30" s="456">
        <v>12.1</v>
      </c>
      <c r="CE30" s="456">
        <v>16.2</v>
      </c>
      <c r="CF30" s="456">
        <v>13.2</v>
      </c>
      <c r="CG30" s="456">
        <v>540.1</v>
      </c>
      <c r="CH30" s="456">
        <v>1.6</v>
      </c>
      <c r="CI30" s="456">
        <v>1.6</v>
      </c>
      <c r="CJ30" s="456">
        <v>296.7</v>
      </c>
      <c r="CK30" s="456">
        <v>414.1</v>
      </c>
      <c r="CL30" s="456">
        <v>549.70000000000005</v>
      </c>
      <c r="CM30" s="456">
        <v>11</v>
      </c>
      <c r="CN30" s="456">
        <v>1.8</v>
      </c>
      <c r="CO30" s="453">
        <v>0</v>
      </c>
      <c r="CP30" s="453">
        <v>15.18</v>
      </c>
      <c r="CQ30" s="453">
        <v>45</v>
      </c>
      <c r="CR30" s="456">
        <v>0</v>
      </c>
      <c r="CS30" s="456">
        <v>0</v>
      </c>
      <c r="CT30" s="456">
        <v>0</v>
      </c>
      <c r="CU30" s="456">
        <v>0</v>
      </c>
      <c r="CV30" s="481">
        <v>6261.1764705882351</v>
      </c>
      <c r="CW30" s="481">
        <v>7683.958333333333</v>
      </c>
      <c r="CX30" s="481">
        <v>6632.083333333333</v>
      </c>
      <c r="CY30" s="481">
        <v>1130.55</v>
      </c>
      <c r="CZ30" s="456"/>
      <c r="DA30" s="456"/>
      <c r="DB30" s="456"/>
      <c r="DC30" s="456"/>
      <c r="DD30" s="456"/>
      <c r="DE30" s="456"/>
      <c r="DF30" s="456"/>
      <c r="DG30" s="425"/>
      <c r="DH30" s="456">
        <v>0</v>
      </c>
      <c r="DI30" s="456">
        <v>0.7</v>
      </c>
      <c r="DJ30" s="456">
        <v>1.26</v>
      </c>
      <c r="DK30" s="425"/>
      <c r="DL30" s="456"/>
      <c r="DM30" s="456"/>
      <c r="DN30" s="456"/>
      <c r="DO30" s="456"/>
      <c r="DP30" s="456"/>
      <c r="DQ30" s="456"/>
      <c r="DR30" s="456"/>
      <c r="DS30" s="456"/>
      <c r="DT30" s="456"/>
      <c r="DU30" s="456"/>
      <c r="DV30" s="456"/>
      <c r="DW30" s="456"/>
      <c r="DX30" s="456"/>
      <c r="DY30" s="456"/>
      <c r="DZ30" s="456"/>
      <c r="EA30" s="456"/>
      <c r="EB30" s="456"/>
      <c r="EC30" s="456"/>
      <c r="ED30" s="423">
        <v>0</v>
      </c>
      <c r="EE30" s="423">
        <v>1</v>
      </c>
      <c r="EF30" s="423">
        <v>2.5</v>
      </c>
      <c r="EG30" s="423">
        <v>6</v>
      </c>
      <c r="EH30" s="423">
        <v>0</v>
      </c>
      <c r="EI30" s="456"/>
      <c r="EJ30" s="456"/>
      <c r="EK30" s="456"/>
      <c r="EL30" s="456"/>
      <c r="EM30" s="456"/>
      <c r="EN30" s="456"/>
      <c r="EO30" s="425"/>
      <c r="EP30" s="425"/>
      <c r="EQ30" s="425" t="s">
        <v>743</v>
      </c>
      <c r="ER30" s="425">
        <v>1</v>
      </c>
      <c r="ES30" s="425">
        <v>8</v>
      </c>
      <c r="ET30" s="425">
        <v>4000</v>
      </c>
      <c r="EU30" s="457">
        <v>-50</v>
      </c>
      <c r="EV30" s="425">
        <v>215</v>
      </c>
      <c r="EW30" s="425">
        <v>6573255</v>
      </c>
      <c r="EX30" s="425">
        <v>57832</v>
      </c>
      <c r="EY30" s="666">
        <v>18.600000000000001</v>
      </c>
      <c r="EZ30" s="666">
        <v>18.59</v>
      </c>
      <c r="FA30" s="666">
        <v>0</v>
      </c>
      <c r="FB30" s="666">
        <v>1.37</v>
      </c>
      <c r="FC30" s="666">
        <v>1.26</v>
      </c>
      <c r="FD30" s="666">
        <v>1.196</v>
      </c>
      <c r="FE30" s="666">
        <v>1.1399999999999999</v>
      </c>
      <c r="FF30" s="666">
        <v>180</v>
      </c>
      <c r="FG30" s="666">
        <v>0.68</v>
      </c>
      <c r="FH30" s="666">
        <v>0.27100000000000002</v>
      </c>
      <c r="FI30" s="666">
        <v>0.51</v>
      </c>
      <c r="FJ30" s="666">
        <v>8.9600000000000009</v>
      </c>
      <c r="FK30" s="666">
        <v>8.8000000000000007</v>
      </c>
      <c r="FL30" s="666">
        <v>8.18</v>
      </c>
      <c r="FM30" s="666">
        <v>8</v>
      </c>
      <c r="FN30" s="666">
        <v>0</v>
      </c>
    </row>
    <row r="31" spans="1:170" s="416" customFormat="1" ht="15">
      <c r="A31" s="425" t="s">
        <v>4</v>
      </c>
      <c r="B31" s="426">
        <v>40560</v>
      </c>
      <c r="C31" s="418">
        <v>0</v>
      </c>
      <c r="D31" s="518">
        <v>1.1599999999999999</v>
      </c>
      <c r="E31" s="453">
        <v>0</v>
      </c>
      <c r="F31" s="453">
        <v>39</v>
      </c>
      <c r="G31" s="453">
        <v>5.6</v>
      </c>
      <c r="H31" s="519">
        <v>399</v>
      </c>
      <c r="I31" s="519">
        <v>9.8000000000000007</v>
      </c>
      <c r="J31" s="483">
        <v>0.26</v>
      </c>
      <c r="K31" s="520" t="s">
        <v>742</v>
      </c>
      <c r="L31" s="453">
        <v>44.340000000000146</v>
      </c>
      <c r="M31" s="453">
        <v>28.2</v>
      </c>
      <c r="N31" s="453">
        <v>1.55</v>
      </c>
      <c r="O31" s="453">
        <v>1.7997423373598633</v>
      </c>
      <c r="P31" s="453" t="s">
        <v>742</v>
      </c>
      <c r="Q31" s="453">
        <v>0</v>
      </c>
      <c r="R31" s="453">
        <v>667.1878811096434</v>
      </c>
      <c r="S31" s="453">
        <v>7.78</v>
      </c>
      <c r="T31" s="453" t="s">
        <v>742</v>
      </c>
      <c r="U31" s="453">
        <v>0.75</v>
      </c>
      <c r="V31" s="453" t="s">
        <v>742</v>
      </c>
      <c r="W31" s="453">
        <v>48.56</v>
      </c>
      <c r="X31" s="456" t="e">
        <v>#VALUE!</v>
      </c>
      <c r="Y31" s="453">
        <v>28.84</v>
      </c>
      <c r="Z31" s="453">
        <v>16.899999999999999</v>
      </c>
      <c r="AA31" s="519">
        <v>27.69999999999709</v>
      </c>
      <c r="AB31" s="519">
        <v>16.69999999999709</v>
      </c>
      <c r="AC31" s="732">
        <f t="shared" si="0"/>
        <v>44.399999999994179</v>
      </c>
      <c r="AD31" s="664"/>
      <c r="AE31" s="664"/>
      <c r="AF31" s="664"/>
      <c r="AG31" s="664"/>
      <c r="AH31" s="664"/>
      <c r="AI31" s="664"/>
      <c r="AJ31" s="485"/>
      <c r="AK31" s="485"/>
      <c r="AL31" s="485"/>
      <c r="AM31" s="485"/>
      <c r="AN31" s="485"/>
      <c r="AO31" s="665"/>
      <c r="AP31" s="485"/>
      <c r="AQ31" s="483"/>
      <c r="AR31" s="755">
        <v>0</v>
      </c>
      <c r="AS31" s="483">
        <v>36.799999999999997</v>
      </c>
      <c r="AT31" s="755">
        <v>0</v>
      </c>
      <c r="AU31" s="483">
        <v>29.8</v>
      </c>
      <c r="AV31" s="484">
        <v>47.7</v>
      </c>
      <c r="AW31" s="484">
        <v>405.8</v>
      </c>
      <c r="AX31" s="453">
        <v>0</v>
      </c>
      <c r="AY31" s="734">
        <v>0</v>
      </c>
      <c r="AZ31" s="734">
        <v>0</v>
      </c>
      <c r="BA31" s="734">
        <v>0</v>
      </c>
      <c r="BB31" s="453">
        <v>0</v>
      </c>
      <c r="BC31" s="453">
        <v>0</v>
      </c>
      <c r="BD31" s="453">
        <v>0</v>
      </c>
      <c r="BE31" s="734">
        <v>0</v>
      </c>
      <c r="BF31" s="453">
        <v>0</v>
      </c>
      <c r="BG31" s="453">
        <v>0</v>
      </c>
      <c r="BH31" s="734">
        <v>0</v>
      </c>
      <c r="BI31" s="453">
        <v>0</v>
      </c>
      <c r="BJ31" s="453">
        <v>17.3</v>
      </c>
      <c r="BK31" s="453">
        <v>0</v>
      </c>
      <c r="BL31" s="453">
        <v>0</v>
      </c>
      <c r="BM31" s="453">
        <v>0</v>
      </c>
      <c r="BN31" s="453">
        <v>17.2</v>
      </c>
      <c r="BO31" s="453">
        <v>1712.7</v>
      </c>
      <c r="BP31" s="453">
        <v>0</v>
      </c>
      <c r="BQ31" s="453">
        <v>18.34</v>
      </c>
      <c r="BR31" s="453">
        <v>18.3</v>
      </c>
      <c r="BS31" s="453">
        <v>0</v>
      </c>
      <c r="BT31" s="453">
        <v>30.4</v>
      </c>
      <c r="BU31" s="453">
        <v>25.5</v>
      </c>
      <c r="BV31" s="456">
        <v>676.5</v>
      </c>
      <c r="BW31" s="453">
        <v>0.27</v>
      </c>
      <c r="BX31" s="453">
        <v>1.53</v>
      </c>
      <c r="BY31" s="456">
        <v>1.1200000000000001</v>
      </c>
      <c r="BZ31" s="456">
        <v>14.93</v>
      </c>
      <c r="CA31" s="456">
        <v>33.700000000000003</v>
      </c>
      <c r="CB31" s="456">
        <v>12.63</v>
      </c>
      <c r="CC31" s="456">
        <v>9.2799999999999994</v>
      </c>
      <c r="CD31" s="456">
        <v>13.5</v>
      </c>
      <c r="CE31" s="456">
        <v>17.649999999999999</v>
      </c>
      <c r="CF31" s="456">
        <v>13.18</v>
      </c>
      <c r="CG31" s="456">
        <v>534.9</v>
      </c>
      <c r="CH31" s="456">
        <v>1.6</v>
      </c>
      <c r="CI31" s="456">
        <v>2</v>
      </c>
      <c r="CJ31" s="456">
        <v>386.9</v>
      </c>
      <c r="CK31" s="456">
        <v>414.1</v>
      </c>
      <c r="CL31" s="456">
        <v>578.9</v>
      </c>
      <c r="CM31" s="456">
        <v>10.7</v>
      </c>
      <c r="CN31" s="456">
        <v>1.83</v>
      </c>
      <c r="CO31" s="453">
        <v>0</v>
      </c>
      <c r="CP31" s="453">
        <v>15.27</v>
      </c>
      <c r="CQ31" s="453">
        <v>45</v>
      </c>
      <c r="CR31" s="456">
        <v>0</v>
      </c>
      <c r="CS31" s="456">
        <v>0</v>
      </c>
      <c r="CT31" s="456">
        <v>0</v>
      </c>
      <c r="CU31" s="456">
        <v>0</v>
      </c>
      <c r="CV31" s="481">
        <v>6918.8235294117649</v>
      </c>
      <c r="CW31" s="481">
        <v>10007.1875</v>
      </c>
      <c r="CX31" s="481">
        <v>6991.5625</v>
      </c>
      <c r="CY31" s="481">
        <v>1154.4100000000001</v>
      </c>
      <c r="CZ31" s="456"/>
      <c r="DA31" s="456"/>
      <c r="DB31" s="456"/>
      <c r="DC31" s="456"/>
      <c r="DD31" s="456"/>
      <c r="DE31" s="456"/>
      <c r="DF31" s="456"/>
      <c r="DG31" s="425"/>
      <c r="DH31" s="456">
        <v>0</v>
      </c>
      <c r="DI31" s="456">
        <v>0.45</v>
      </c>
      <c r="DJ31" s="456">
        <v>0.99</v>
      </c>
      <c r="DK31" s="425"/>
      <c r="DL31" s="456"/>
      <c r="DM31" s="456"/>
      <c r="DN31" s="456"/>
      <c r="DO31" s="456"/>
      <c r="DP31" s="456"/>
      <c r="DQ31" s="456"/>
      <c r="DR31" s="456"/>
      <c r="DS31" s="456"/>
      <c r="DT31" s="456"/>
      <c r="DU31" s="456"/>
      <c r="DV31" s="456"/>
      <c r="DW31" s="456"/>
      <c r="DX31" s="456"/>
      <c r="DY31" s="456"/>
      <c r="DZ31" s="456"/>
      <c r="EA31" s="456"/>
      <c r="EB31" s="456"/>
      <c r="EC31" s="456"/>
      <c r="ED31" s="423">
        <v>0</v>
      </c>
      <c r="EE31" s="423">
        <v>1</v>
      </c>
      <c r="EF31" s="423">
        <v>2.5</v>
      </c>
      <c r="EG31" s="423">
        <v>6</v>
      </c>
      <c r="EH31" s="423">
        <v>0</v>
      </c>
      <c r="EI31" s="456"/>
      <c r="EJ31" s="456"/>
      <c r="EK31" s="456"/>
      <c r="EL31" s="456"/>
      <c r="EM31" s="456"/>
      <c r="EN31" s="456"/>
      <c r="EO31" s="425"/>
      <c r="EP31" s="425"/>
      <c r="EQ31" s="425" t="s">
        <v>743</v>
      </c>
      <c r="ER31" s="425">
        <v>1</v>
      </c>
      <c r="ES31" s="425">
        <v>6</v>
      </c>
      <c r="ET31" s="425">
        <v>3850</v>
      </c>
      <c r="EU31" s="457">
        <v>-80</v>
      </c>
      <c r="EV31" s="425">
        <v>165</v>
      </c>
      <c r="EW31" s="425">
        <v>6575676</v>
      </c>
      <c r="EX31" s="425">
        <v>58510</v>
      </c>
      <c r="EY31" s="666">
        <v>18.420000000000002</v>
      </c>
      <c r="EZ31" s="666">
        <v>18.399999999999999</v>
      </c>
      <c r="FA31" s="666">
        <v>0</v>
      </c>
      <c r="FB31" s="666">
        <v>1.42</v>
      </c>
      <c r="FC31" s="666">
        <v>1.36</v>
      </c>
      <c r="FD31" s="666">
        <v>1.2210000000000001</v>
      </c>
      <c r="FE31" s="666">
        <v>1.1499999999999999</v>
      </c>
      <c r="FF31" s="666">
        <v>180</v>
      </c>
      <c r="FG31" s="666">
        <v>0.67</v>
      </c>
      <c r="FH31" s="666">
        <v>0.246</v>
      </c>
      <c r="FI31" s="666">
        <v>0.6</v>
      </c>
      <c r="FJ31" s="666">
        <v>8.83</v>
      </c>
      <c r="FK31" s="666">
        <v>8.6999999999999993</v>
      </c>
      <c r="FL31" s="666">
        <v>8.15</v>
      </c>
      <c r="FM31" s="666">
        <v>8.1</v>
      </c>
      <c r="FN31" s="666">
        <v>0</v>
      </c>
    </row>
    <row r="32" spans="1:170" s="416" customFormat="1" ht="15">
      <c r="A32" s="425" t="s">
        <v>5</v>
      </c>
      <c r="B32" s="426">
        <v>40561</v>
      </c>
      <c r="C32" s="418">
        <v>0</v>
      </c>
      <c r="D32" s="518">
        <v>0.26</v>
      </c>
      <c r="E32" s="453">
        <v>0</v>
      </c>
      <c r="F32" s="453">
        <v>35</v>
      </c>
      <c r="G32" s="453">
        <v>5.8</v>
      </c>
      <c r="H32" s="519">
        <v>287</v>
      </c>
      <c r="I32" s="519" t="s">
        <v>742</v>
      </c>
      <c r="J32" s="483">
        <v>0.24</v>
      </c>
      <c r="K32" s="520" t="s">
        <v>742</v>
      </c>
      <c r="L32" s="453">
        <v>45.789999999999054</v>
      </c>
      <c r="M32" s="453">
        <v>26.6</v>
      </c>
      <c r="N32" s="453">
        <v>1.53</v>
      </c>
      <c r="O32" s="453">
        <v>1.8134606828258513</v>
      </c>
      <c r="P32" s="453" t="s">
        <v>742</v>
      </c>
      <c r="Q32" s="453">
        <v>0</v>
      </c>
      <c r="R32" s="453">
        <v>695.5648137384411</v>
      </c>
      <c r="S32" s="453">
        <v>7.78</v>
      </c>
      <c r="T32" s="453" t="s">
        <v>742</v>
      </c>
      <c r="U32" s="453">
        <v>0.75</v>
      </c>
      <c r="V32" s="453" t="s">
        <v>742</v>
      </c>
      <c r="W32" s="453">
        <v>48.92</v>
      </c>
      <c r="X32" s="456" t="e">
        <v>#VALUE!</v>
      </c>
      <c r="Y32" s="453">
        <v>28.53</v>
      </c>
      <c r="Z32" s="453">
        <v>17.079999999999998</v>
      </c>
      <c r="AA32" s="519">
        <v>28.75</v>
      </c>
      <c r="AB32" s="519">
        <v>17.099999999998545</v>
      </c>
      <c r="AC32" s="732">
        <f t="shared" si="0"/>
        <v>45.849999999998545</v>
      </c>
      <c r="AD32" s="664"/>
      <c r="AE32" s="664"/>
      <c r="AF32" s="664"/>
      <c r="AG32" s="664"/>
      <c r="AH32" s="664"/>
      <c r="AI32" s="664"/>
      <c r="AJ32" s="485"/>
      <c r="AK32" s="485"/>
      <c r="AL32" s="485"/>
      <c r="AM32" s="485"/>
      <c r="AN32" s="485"/>
      <c r="AO32" s="665"/>
      <c r="AP32" s="485"/>
      <c r="AQ32" s="483"/>
      <c r="AR32" s="755">
        <v>0</v>
      </c>
      <c r="AS32" s="483">
        <v>18.5</v>
      </c>
      <c r="AT32" s="755">
        <v>0</v>
      </c>
      <c r="AU32" s="483">
        <v>29.9</v>
      </c>
      <c r="AV32" s="484">
        <v>238.6</v>
      </c>
      <c r="AW32" s="484">
        <v>1060.2</v>
      </c>
      <c r="AX32" s="453">
        <v>0</v>
      </c>
      <c r="AY32" s="734">
        <v>0</v>
      </c>
      <c r="AZ32" s="734">
        <v>0</v>
      </c>
      <c r="BA32" s="734">
        <v>0</v>
      </c>
      <c r="BB32" s="453">
        <v>0</v>
      </c>
      <c r="BC32" s="453">
        <v>0</v>
      </c>
      <c r="BD32" s="453">
        <v>0</v>
      </c>
      <c r="BE32" s="734">
        <v>0</v>
      </c>
      <c r="BF32" s="453">
        <v>0</v>
      </c>
      <c r="BG32" s="453">
        <v>0</v>
      </c>
      <c r="BH32" s="734">
        <v>0</v>
      </c>
      <c r="BI32" s="453">
        <v>0</v>
      </c>
      <c r="BJ32" s="453">
        <v>17.2</v>
      </c>
      <c r="BK32" s="453">
        <v>0</v>
      </c>
      <c r="BL32" s="453">
        <v>0</v>
      </c>
      <c r="BM32" s="453">
        <v>0</v>
      </c>
      <c r="BN32" s="453">
        <v>17.100000000000001</v>
      </c>
      <c r="BO32" s="453">
        <v>905.8</v>
      </c>
      <c r="BP32" s="453">
        <v>0</v>
      </c>
      <c r="BQ32" s="453">
        <v>18.3</v>
      </c>
      <c r="BR32" s="453">
        <v>18.260000000000002</v>
      </c>
      <c r="BS32" s="453">
        <v>0</v>
      </c>
      <c r="BT32" s="453">
        <v>29.7</v>
      </c>
      <c r="BU32" s="453">
        <v>25.3</v>
      </c>
      <c r="BV32" s="456">
        <v>655.9</v>
      </c>
      <c r="BW32" s="453">
        <v>0.2</v>
      </c>
      <c r="BX32" s="453">
        <v>1.56</v>
      </c>
      <c r="BY32" s="456">
        <v>1.1200000000000001</v>
      </c>
      <c r="BZ32" s="456">
        <v>14.79</v>
      </c>
      <c r="CA32" s="456">
        <v>33.700000000000003</v>
      </c>
      <c r="CB32" s="456">
        <v>15.09</v>
      </c>
      <c r="CC32" s="456">
        <v>9.17</v>
      </c>
      <c r="CD32" s="456">
        <v>13.41</v>
      </c>
      <c r="CE32" s="456">
        <v>17.5</v>
      </c>
      <c r="CF32" s="456">
        <v>13.06</v>
      </c>
      <c r="CG32" s="456">
        <v>543.79999999999995</v>
      </c>
      <c r="CH32" s="456">
        <v>1.9</v>
      </c>
      <c r="CI32" s="456">
        <v>2.5</v>
      </c>
      <c r="CJ32" s="456">
        <v>357.1</v>
      </c>
      <c r="CK32" s="456">
        <v>375.4</v>
      </c>
      <c r="CL32" s="456">
        <v>579</v>
      </c>
      <c r="CM32" s="456">
        <v>11.7</v>
      </c>
      <c r="CN32" s="456">
        <v>1.43</v>
      </c>
      <c r="CO32" s="453">
        <v>0</v>
      </c>
      <c r="CP32" s="453">
        <v>15.47</v>
      </c>
      <c r="CQ32" s="453">
        <v>45</v>
      </c>
      <c r="CR32" s="456">
        <v>0</v>
      </c>
      <c r="CS32" s="456">
        <v>0</v>
      </c>
      <c r="CT32" s="456">
        <v>0</v>
      </c>
      <c r="CU32" s="456">
        <v>0</v>
      </c>
      <c r="CV32" s="481">
        <v>7847.0588235294117</v>
      </c>
      <c r="CW32" s="481">
        <v>10352.083333333334</v>
      </c>
      <c r="CX32" s="481">
        <v>7259.375</v>
      </c>
      <c r="CY32" s="481">
        <v>1153.8699999999999</v>
      </c>
      <c r="CZ32" s="456"/>
      <c r="DA32" s="456"/>
      <c r="DB32" s="456"/>
      <c r="DC32" s="456"/>
      <c r="DD32" s="456"/>
      <c r="DE32" s="456"/>
      <c r="DF32" s="456"/>
      <c r="DG32" s="425"/>
      <c r="DH32" s="456">
        <v>0</v>
      </c>
      <c r="DI32" s="456">
        <v>0.63</v>
      </c>
      <c r="DJ32" s="456">
        <v>1.27</v>
      </c>
      <c r="DK32" s="425"/>
      <c r="DL32" s="456"/>
      <c r="DM32" s="456"/>
      <c r="DN32" s="456"/>
      <c r="DO32" s="456"/>
      <c r="DP32" s="456"/>
      <c r="DQ32" s="456"/>
      <c r="DR32" s="456"/>
      <c r="DS32" s="456"/>
      <c r="DT32" s="456"/>
      <c r="DU32" s="456"/>
      <c r="DV32" s="456"/>
      <c r="DW32" s="456"/>
      <c r="DX32" s="456"/>
      <c r="DY32" s="456"/>
      <c r="DZ32" s="456"/>
      <c r="EA32" s="456"/>
      <c r="EB32" s="456"/>
      <c r="EC32" s="456"/>
      <c r="ED32" s="423">
        <v>0</v>
      </c>
      <c r="EE32" s="423">
        <v>1</v>
      </c>
      <c r="EF32" s="423">
        <v>2.5</v>
      </c>
      <c r="EG32" s="423">
        <v>6</v>
      </c>
      <c r="EH32" s="423">
        <v>0</v>
      </c>
      <c r="EI32" s="456"/>
      <c r="EJ32" s="456"/>
      <c r="EK32" s="456"/>
      <c r="EL32" s="456"/>
      <c r="EM32" s="456"/>
      <c r="EN32" s="456"/>
      <c r="EO32" s="425"/>
      <c r="EP32" s="425"/>
      <c r="EQ32" s="425" t="s">
        <v>743</v>
      </c>
      <c r="ER32" s="425">
        <v>1</v>
      </c>
      <c r="ES32" s="425">
        <v>6</v>
      </c>
      <c r="ET32" s="425">
        <v>3660</v>
      </c>
      <c r="EU32" s="457">
        <v>-80</v>
      </c>
      <c r="EV32" s="425">
        <v>230</v>
      </c>
      <c r="EW32" s="425">
        <v>6578339</v>
      </c>
      <c r="EX32" s="425">
        <v>59389</v>
      </c>
      <c r="EY32" s="666">
        <v>18.37</v>
      </c>
      <c r="EZ32" s="666">
        <v>18.37</v>
      </c>
      <c r="FA32" s="666">
        <v>0</v>
      </c>
      <c r="FB32" s="666">
        <v>1.47</v>
      </c>
      <c r="FC32" s="666">
        <v>1.24</v>
      </c>
      <c r="FD32" s="666">
        <v>1.1439999999999999</v>
      </c>
      <c r="FE32" s="666">
        <v>1.04</v>
      </c>
      <c r="FF32" s="666">
        <v>190</v>
      </c>
      <c r="FG32" s="666">
        <v>0.62</v>
      </c>
      <c r="FH32" s="666">
        <v>0.24099999999999999</v>
      </c>
      <c r="FI32" s="666">
        <v>0.62</v>
      </c>
      <c r="FJ32" s="666">
        <v>9.2899999999999991</v>
      </c>
      <c r="FK32" s="666">
        <v>9</v>
      </c>
      <c r="FL32" s="666">
        <v>8.33</v>
      </c>
      <c r="FM32" s="666">
        <v>8.1</v>
      </c>
      <c r="FN32" s="666">
        <v>0</v>
      </c>
    </row>
    <row r="33" spans="1:170" s="416" customFormat="1" ht="15">
      <c r="A33" s="425" t="s">
        <v>6</v>
      </c>
      <c r="B33" s="426">
        <v>40562</v>
      </c>
      <c r="C33" s="418">
        <v>0</v>
      </c>
      <c r="D33" s="518">
        <v>0</v>
      </c>
      <c r="E33" s="453">
        <v>0</v>
      </c>
      <c r="F33" s="453">
        <v>33</v>
      </c>
      <c r="G33" s="453">
        <v>5.5</v>
      </c>
      <c r="H33" s="519">
        <v>184</v>
      </c>
      <c r="I33" s="519" t="s">
        <v>742</v>
      </c>
      <c r="J33" s="483">
        <v>0.18</v>
      </c>
      <c r="K33" s="520" t="s">
        <v>742</v>
      </c>
      <c r="L33" s="453">
        <v>45.790000000000873</v>
      </c>
      <c r="M33" s="453">
        <v>25.5</v>
      </c>
      <c r="N33" s="453">
        <v>1.53</v>
      </c>
      <c r="O33" s="453">
        <v>2.084484728324373</v>
      </c>
      <c r="P33" s="453" t="s">
        <v>742</v>
      </c>
      <c r="Q33" s="453">
        <v>0</v>
      </c>
      <c r="R33" s="453">
        <v>802.47325759577279</v>
      </c>
      <c r="S33" s="453">
        <v>7.81</v>
      </c>
      <c r="T33" s="453" t="s">
        <v>742</v>
      </c>
      <c r="U33" s="453">
        <v>0.69</v>
      </c>
      <c r="V33" s="453" t="s">
        <v>742</v>
      </c>
      <c r="W33" s="453">
        <v>48.92</v>
      </c>
      <c r="X33" s="456" t="e">
        <v>#VALUE!</v>
      </c>
      <c r="Y33" s="453">
        <v>28.46</v>
      </c>
      <c r="Z33" s="453">
        <v>17.010000000000002</v>
      </c>
      <c r="AA33" s="519">
        <v>28.649999999994179</v>
      </c>
      <c r="AB33" s="519">
        <v>19.80000000000291</v>
      </c>
      <c r="AC33" s="732">
        <f t="shared" si="0"/>
        <v>48.44999999999709</v>
      </c>
      <c r="AD33" s="664"/>
      <c r="AE33" s="664"/>
      <c r="AF33" s="664"/>
      <c r="AG33" s="664"/>
      <c r="AH33" s="664"/>
      <c r="AI33" s="664"/>
      <c r="AJ33" s="485"/>
      <c r="AK33" s="485"/>
      <c r="AL33" s="485"/>
      <c r="AM33" s="485"/>
      <c r="AN33" s="485"/>
      <c r="AO33" s="665"/>
      <c r="AP33" s="485"/>
      <c r="AQ33" s="483"/>
      <c r="AR33" s="755">
        <v>0</v>
      </c>
      <c r="AS33" s="483">
        <v>20.399999999999999</v>
      </c>
      <c r="AT33" s="755">
        <v>0</v>
      </c>
      <c r="AU33" s="483">
        <v>29.9</v>
      </c>
      <c r="AV33" s="484">
        <v>600</v>
      </c>
      <c r="AW33" s="484">
        <v>627.20000000000005</v>
      </c>
      <c r="AX33" s="453">
        <v>0</v>
      </c>
      <c r="AY33" s="734">
        <v>0</v>
      </c>
      <c r="AZ33" s="734">
        <v>0</v>
      </c>
      <c r="BA33" s="734">
        <v>0</v>
      </c>
      <c r="BB33" s="453">
        <v>0</v>
      </c>
      <c r="BC33" s="453">
        <v>0</v>
      </c>
      <c r="BD33" s="453">
        <v>0</v>
      </c>
      <c r="BE33" s="734">
        <v>0</v>
      </c>
      <c r="BF33" s="453">
        <v>0</v>
      </c>
      <c r="BG33" s="453">
        <v>0</v>
      </c>
      <c r="BH33" s="734">
        <v>0</v>
      </c>
      <c r="BI33" s="453">
        <v>0</v>
      </c>
      <c r="BJ33" s="453">
        <v>17.2</v>
      </c>
      <c r="BK33" s="453">
        <v>0</v>
      </c>
      <c r="BL33" s="453">
        <v>0</v>
      </c>
      <c r="BM33" s="453">
        <v>0</v>
      </c>
      <c r="BN33" s="453">
        <v>17</v>
      </c>
      <c r="BO33" s="453">
        <v>1486.6</v>
      </c>
      <c r="BP33" s="453">
        <v>0</v>
      </c>
      <c r="BQ33" s="453">
        <v>18.05</v>
      </c>
      <c r="BR33" s="453">
        <v>18</v>
      </c>
      <c r="BS33" s="453">
        <v>0</v>
      </c>
      <c r="BT33" s="453">
        <v>29.6</v>
      </c>
      <c r="BU33" s="453">
        <v>26.4</v>
      </c>
      <c r="BV33" s="456">
        <v>454.7</v>
      </c>
      <c r="BW33" s="453">
        <v>0.2</v>
      </c>
      <c r="BX33" s="453">
        <v>1.56</v>
      </c>
      <c r="BY33" s="456">
        <v>1.1100000000000001</v>
      </c>
      <c r="BZ33" s="456">
        <v>14.75</v>
      </c>
      <c r="CA33" s="456">
        <v>33.700000000000003</v>
      </c>
      <c r="CB33" s="456">
        <v>14.46</v>
      </c>
      <c r="CC33" s="456">
        <v>8.91</v>
      </c>
      <c r="CD33" s="456">
        <v>13.13</v>
      </c>
      <c r="CE33" s="456">
        <v>17.260000000000002</v>
      </c>
      <c r="CF33" s="456">
        <v>13.06</v>
      </c>
      <c r="CG33" s="456">
        <v>564.5</v>
      </c>
      <c r="CH33" s="456">
        <v>2.2999999999999998</v>
      </c>
      <c r="CI33" s="456">
        <v>2.6</v>
      </c>
      <c r="CJ33" s="456">
        <v>311.60000000000002</v>
      </c>
      <c r="CK33" s="456">
        <v>370.3</v>
      </c>
      <c r="CL33" s="456">
        <v>579.1</v>
      </c>
      <c r="CM33" s="456">
        <v>11.9</v>
      </c>
      <c r="CN33" s="456">
        <v>1.59</v>
      </c>
      <c r="CO33" s="453">
        <v>0</v>
      </c>
      <c r="CP33" s="453">
        <v>15.81</v>
      </c>
      <c r="CQ33" s="453">
        <v>45</v>
      </c>
      <c r="CR33" s="456">
        <v>0</v>
      </c>
      <c r="CS33" s="456">
        <v>0</v>
      </c>
      <c r="CT33" s="456">
        <v>0</v>
      </c>
      <c r="CU33" s="456">
        <v>0</v>
      </c>
      <c r="CV33" s="481">
        <v>7897.6470588235297</v>
      </c>
      <c r="CW33" s="481">
        <v>10472.916666666666</v>
      </c>
      <c r="CX33" s="481">
        <v>7080.416666666667</v>
      </c>
      <c r="CY33" s="481">
        <v>1146</v>
      </c>
      <c r="CZ33" s="456"/>
      <c r="DA33" s="456"/>
      <c r="DB33" s="456"/>
      <c r="DC33" s="456"/>
      <c r="DD33" s="456"/>
      <c r="DE33" s="456"/>
      <c r="DF33" s="456"/>
      <c r="DG33" s="425"/>
      <c r="DH33" s="456">
        <v>0</v>
      </c>
      <c r="DI33" s="456">
        <v>0.53</v>
      </c>
      <c r="DJ33" s="456">
        <v>1</v>
      </c>
      <c r="DK33" s="425"/>
      <c r="DL33" s="456"/>
      <c r="DM33" s="456"/>
      <c r="DN33" s="456"/>
      <c r="DO33" s="456"/>
      <c r="DP33" s="456"/>
      <c r="DQ33" s="456"/>
      <c r="DR33" s="456"/>
      <c r="DS33" s="456"/>
      <c r="DT33" s="456"/>
      <c r="DU33" s="456"/>
      <c r="DV33" s="456"/>
      <c r="DW33" s="456"/>
      <c r="DX33" s="456"/>
      <c r="DY33" s="456"/>
      <c r="DZ33" s="456"/>
      <c r="EA33" s="456"/>
      <c r="EB33" s="456"/>
      <c r="EC33" s="456"/>
      <c r="ED33" s="423">
        <v>0</v>
      </c>
      <c r="EE33" s="423">
        <v>1</v>
      </c>
      <c r="EF33" s="423">
        <v>2.5</v>
      </c>
      <c r="EG33" s="423">
        <v>6</v>
      </c>
      <c r="EH33" s="423">
        <v>0</v>
      </c>
      <c r="EI33" s="456"/>
      <c r="EJ33" s="456"/>
      <c r="EK33" s="456"/>
      <c r="EL33" s="456"/>
      <c r="EM33" s="456"/>
      <c r="EN33" s="456"/>
      <c r="EO33" s="425"/>
      <c r="EP33" s="425"/>
      <c r="EQ33" s="425" t="s">
        <v>743</v>
      </c>
      <c r="ER33" s="425">
        <v>1</v>
      </c>
      <c r="ES33" s="425">
        <v>6</v>
      </c>
      <c r="ET33" s="425">
        <v>3500</v>
      </c>
      <c r="EU33" s="457">
        <v>4000</v>
      </c>
      <c r="EV33" s="425">
        <v>200</v>
      </c>
      <c r="EW33" s="425">
        <v>6580721</v>
      </c>
      <c r="EX33" s="425">
        <v>60135</v>
      </c>
      <c r="EY33" s="666">
        <v>18.260000000000002</v>
      </c>
      <c r="EZ33" s="666">
        <v>18.260000000000002</v>
      </c>
      <c r="FA33" s="666">
        <v>0</v>
      </c>
      <c r="FB33" s="666">
        <v>1.42</v>
      </c>
      <c r="FC33" s="666">
        <v>1.34</v>
      </c>
      <c r="FD33" s="666">
        <v>1.18</v>
      </c>
      <c r="FE33" s="666">
        <v>1.1499999999999999</v>
      </c>
      <c r="FF33" s="666">
        <v>160</v>
      </c>
      <c r="FG33" s="666">
        <v>0.44</v>
      </c>
      <c r="FH33" s="666">
        <v>0.22</v>
      </c>
      <c r="FI33" s="666">
        <v>0.33</v>
      </c>
      <c r="FJ33" s="666">
        <v>9.58</v>
      </c>
      <c r="FK33" s="666">
        <v>8.3000000000000007</v>
      </c>
      <c r="FL33" s="666">
        <v>8.3000000000000007</v>
      </c>
      <c r="FM33" s="666">
        <v>7.7</v>
      </c>
      <c r="FN33" s="666">
        <v>0</v>
      </c>
    </row>
    <row r="34" spans="1:170" s="416" customFormat="1" ht="15">
      <c r="A34" s="425" t="s">
        <v>7</v>
      </c>
      <c r="B34" s="426">
        <v>40563</v>
      </c>
      <c r="C34" s="418">
        <v>0</v>
      </c>
      <c r="D34" s="518">
        <v>0.55000000000000004</v>
      </c>
      <c r="E34" s="453">
        <v>0</v>
      </c>
      <c r="F34" s="453">
        <v>38</v>
      </c>
      <c r="G34" s="453">
        <v>4.95</v>
      </c>
      <c r="H34" s="519">
        <v>138</v>
      </c>
      <c r="I34" s="519" t="s">
        <v>742</v>
      </c>
      <c r="J34" s="483">
        <v>0.11</v>
      </c>
      <c r="K34" s="520" t="s">
        <v>742</v>
      </c>
      <c r="L34" s="453">
        <v>45.309999999999491</v>
      </c>
      <c r="M34" s="453">
        <v>24.7</v>
      </c>
      <c r="N34" s="453">
        <v>1.53</v>
      </c>
      <c r="O34" s="453">
        <v>1.5217617639679608</v>
      </c>
      <c r="P34" s="453" t="s">
        <v>742</v>
      </c>
      <c r="Q34" s="453">
        <v>0</v>
      </c>
      <c r="R34" s="453">
        <v>578.09751122853368</v>
      </c>
      <c r="S34" s="453">
        <v>7.78</v>
      </c>
      <c r="T34" s="453" t="s">
        <v>742</v>
      </c>
      <c r="U34" s="453">
        <v>0.66</v>
      </c>
      <c r="V34" s="453" t="s">
        <v>742</v>
      </c>
      <c r="W34" s="453">
        <v>48.739999999999995</v>
      </c>
      <c r="X34" s="456" t="e">
        <v>#VALUE!</v>
      </c>
      <c r="Y34" s="453">
        <v>29.09</v>
      </c>
      <c r="Z34" s="453">
        <v>16.28</v>
      </c>
      <c r="AA34" s="519">
        <v>28.80000000000291</v>
      </c>
      <c r="AB34" s="519">
        <v>14.299999999995634</v>
      </c>
      <c r="AC34" s="732">
        <f t="shared" si="0"/>
        <v>43.099999999998545</v>
      </c>
      <c r="AD34" s="664"/>
      <c r="AE34" s="664"/>
      <c r="AF34" s="664"/>
      <c r="AG34" s="664"/>
      <c r="AH34" s="664"/>
      <c r="AI34" s="664"/>
      <c r="AJ34" s="485"/>
      <c r="AK34" s="485"/>
      <c r="AL34" s="485"/>
      <c r="AM34" s="485"/>
      <c r="AN34" s="485"/>
      <c r="AO34" s="665"/>
      <c r="AP34" s="485"/>
      <c r="AQ34" s="483"/>
      <c r="AR34" s="755">
        <v>0</v>
      </c>
      <c r="AS34" s="483">
        <v>35.1</v>
      </c>
      <c r="AT34" s="755">
        <v>0</v>
      </c>
      <c r="AU34" s="483">
        <v>30</v>
      </c>
      <c r="AV34" s="484">
        <v>412.4</v>
      </c>
      <c r="AW34" s="484">
        <v>459.6</v>
      </c>
      <c r="AX34" s="453">
        <v>0</v>
      </c>
      <c r="AY34" s="734">
        <v>0</v>
      </c>
      <c r="AZ34" s="734">
        <v>0</v>
      </c>
      <c r="BA34" s="734">
        <v>0</v>
      </c>
      <c r="BB34" s="453">
        <v>0</v>
      </c>
      <c r="BC34" s="453">
        <v>0</v>
      </c>
      <c r="BD34" s="453">
        <v>0</v>
      </c>
      <c r="BE34" s="734">
        <v>0</v>
      </c>
      <c r="BF34" s="453">
        <v>0</v>
      </c>
      <c r="BG34" s="453">
        <v>0</v>
      </c>
      <c r="BH34" s="734">
        <v>0</v>
      </c>
      <c r="BI34" s="453">
        <v>0</v>
      </c>
      <c r="BJ34" s="453">
        <v>17.100000000000001</v>
      </c>
      <c r="BK34" s="453">
        <v>0</v>
      </c>
      <c r="BL34" s="453">
        <v>0</v>
      </c>
      <c r="BM34" s="453">
        <v>0</v>
      </c>
      <c r="BN34" s="453">
        <v>17</v>
      </c>
      <c r="BO34" s="453">
        <v>1198.4000000000001</v>
      </c>
      <c r="BP34" s="453">
        <v>0</v>
      </c>
      <c r="BQ34" s="453">
        <v>18.100000000000001</v>
      </c>
      <c r="BR34" s="453">
        <v>18</v>
      </c>
      <c r="BS34" s="453">
        <v>0</v>
      </c>
      <c r="BT34" s="453">
        <v>30.1</v>
      </c>
      <c r="BU34" s="453">
        <v>25.4</v>
      </c>
      <c r="BV34" s="456">
        <v>656.2</v>
      </c>
      <c r="BW34" s="453">
        <v>0.2</v>
      </c>
      <c r="BX34" s="453">
        <v>1.57</v>
      </c>
      <c r="BY34" s="456">
        <v>1.1299999999999999</v>
      </c>
      <c r="BZ34" s="456">
        <v>14.91</v>
      </c>
      <c r="CA34" s="456">
        <v>33.700000000000003</v>
      </c>
      <c r="CB34" s="456">
        <v>13.73</v>
      </c>
      <c r="CC34" s="456">
        <v>9.48</v>
      </c>
      <c r="CD34" s="456">
        <v>13.71</v>
      </c>
      <c r="CE34" s="456">
        <v>17.38</v>
      </c>
      <c r="CF34" s="456">
        <v>13.04</v>
      </c>
      <c r="CG34" s="456">
        <v>542.6</v>
      </c>
      <c r="CH34" s="456">
        <v>2</v>
      </c>
      <c r="CI34" s="456">
        <v>3.1</v>
      </c>
      <c r="CJ34" s="456">
        <v>300.7</v>
      </c>
      <c r="CK34" s="456">
        <v>391.8</v>
      </c>
      <c r="CL34" s="456">
        <v>579</v>
      </c>
      <c r="CM34" s="456">
        <v>11.7</v>
      </c>
      <c r="CN34" s="456">
        <v>1.18</v>
      </c>
      <c r="CO34" s="453">
        <v>0</v>
      </c>
      <c r="CP34" s="453">
        <v>16.350000000000001</v>
      </c>
      <c r="CQ34" s="453">
        <v>45</v>
      </c>
      <c r="CR34" s="456">
        <v>0</v>
      </c>
      <c r="CS34" s="456">
        <v>0</v>
      </c>
      <c r="CT34" s="456">
        <v>0</v>
      </c>
      <c r="CU34" s="456">
        <v>0</v>
      </c>
      <c r="CV34" s="481">
        <v>7114.1176470588234</v>
      </c>
      <c r="CW34" s="481">
        <v>9252.3958333333339</v>
      </c>
      <c r="CX34" s="481">
        <v>6396.354166666667</v>
      </c>
      <c r="CY34" s="481">
        <v>1136.1500000000001</v>
      </c>
      <c r="CZ34" s="456"/>
      <c r="DA34" s="456"/>
      <c r="DB34" s="456"/>
      <c r="DC34" s="456"/>
      <c r="DD34" s="456"/>
      <c r="DE34" s="456"/>
      <c r="DF34" s="456"/>
      <c r="DG34" s="425"/>
      <c r="DH34" s="456">
        <v>0</v>
      </c>
      <c r="DI34" s="456">
        <v>0.65</v>
      </c>
      <c r="DJ34" s="456">
        <v>1.21</v>
      </c>
      <c r="DK34" s="425"/>
      <c r="DL34" s="456"/>
      <c r="DM34" s="456"/>
      <c r="DN34" s="456"/>
      <c r="DO34" s="456"/>
      <c r="DP34" s="456"/>
      <c r="DQ34" s="456"/>
      <c r="DR34" s="456"/>
      <c r="DS34" s="456"/>
      <c r="DT34" s="456"/>
      <c r="DU34" s="456"/>
      <c r="DV34" s="456"/>
      <c r="DW34" s="456"/>
      <c r="DX34" s="456"/>
      <c r="DY34" s="456"/>
      <c r="DZ34" s="456"/>
      <c r="EA34" s="456"/>
      <c r="EB34" s="456"/>
      <c r="EC34" s="456"/>
      <c r="ED34" s="423">
        <v>0</v>
      </c>
      <c r="EE34" s="423">
        <v>1</v>
      </c>
      <c r="EF34" s="423">
        <v>2.5</v>
      </c>
      <c r="EG34" s="423">
        <v>6</v>
      </c>
      <c r="EH34" s="423">
        <v>0</v>
      </c>
      <c r="EI34" s="456"/>
      <c r="EJ34" s="456"/>
      <c r="EK34" s="456"/>
      <c r="EL34" s="456"/>
      <c r="EM34" s="456"/>
      <c r="EN34" s="456"/>
      <c r="EO34" s="425"/>
      <c r="EP34" s="425"/>
      <c r="EQ34" s="425" t="s">
        <v>743</v>
      </c>
      <c r="ER34" s="425">
        <v>1</v>
      </c>
      <c r="ES34" s="425">
        <v>6</v>
      </c>
      <c r="ET34" s="425">
        <v>3320</v>
      </c>
      <c r="EU34" s="457">
        <v>4000</v>
      </c>
      <c r="EV34" s="425">
        <v>220</v>
      </c>
      <c r="EW34" s="425">
        <v>6583194</v>
      </c>
      <c r="EX34" s="425">
        <v>60930</v>
      </c>
      <c r="EY34" s="666">
        <v>18.3</v>
      </c>
      <c r="EZ34" s="666">
        <v>18.3</v>
      </c>
      <c r="FA34" s="666">
        <v>0</v>
      </c>
      <c r="FB34" s="666">
        <v>1.42</v>
      </c>
      <c r="FC34" s="666">
        <v>1.45</v>
      </c>
      <c r="FD34" s="666">
        <v>1.2</v>
      </c>
      <c r="FE34" s="666">
        <v>1.1599999999999999</v>
      </c>
      <c r="FF34" s="666">
        <v>180</v>
      </c>
      <c r="FG34" s="666">
        <v>0.3</v>
      </c>
      <c r="FH34" s="666">
        <v>0.19</v>
      </c>
      <c r="FI34" s="666">
        <v>0.3</v>
      </c>
      <c r="FJ34" s="666">
        <v>9.42</v>
      </c>
      <c r="FK34" s="666">
        <v>8.3000000000000007</v>
      </c>
      <c r="FL34" s="666">
        <v>8.35</v>
      </c>
      <c r="FM34" s="666">
        <v>7.7</v>
      </c>
      <c r="FN34" s="666">
        <v>0</v>
      </c>
    </row>
    <row r="35" spans="1:170" s="416" customFormat="1" ht="15">
      <c r="A35" s="425" t="s">
        <v>8</v>
      </c>
      <c r="B35" s="426">
        <v>40564</v>
      </c>
      <c r="C35" s="418">
        <v>0</v>
      </c>
      <c r="D35" s="518">
        <v>0.55000000000000004</v>
      </c>
      <c r="E35" s="453">
        <v>0</v>
      </c>
      <c r="F35" s="453">
        <v>42</v>
      </c>
      <c r="G35" s="453">
        <v>4.8499999999999996</v>
      </c>
      <c r="H35" s="519">
        <v>82</v>
      </c>
      <c r="I35" s="519">
        <v>54.6</v>
      </c>
      <c r="J35" s="483">
        <v>0.08</v>
      </c>
      <c r="K35" s="520" t="s">
        <v>742</v>
      </c>
      <c r="L35" s="453">
        <v>45.440000000000509</v>
      </c>
      <c r="M35" s="453">
        <v>25.5</v>
      </c>
      <c r="N35" s="453">
        <v>1.49</v>
      </c>
      <c r="O35" s="453">
        <v>1.7645661305000877</v>
      </c>
      <c r="P35" s="453" t="s">
        <v>742</v>
      </c>
      <c r="Q35" s="453">
        <v>0</v>
      </c>
      <c r="R35" s="453">
        <v>671.8073817701453</v>
      </c>
      <c r="S35" s="453">
        <v>7.75</v>
      </c>
      <c r="T35" s="453" t="s">
        <v>742</v>
      </c>
      <c r="U35" s="453">
        <v>0.68</v>
      </c>
      <c r="V35" s="453" t="s">
        <v>742</v>
      </c>
      <c r="W35" s="453">
        <v>48.739999999999995</v>
      </c>
      <c r="X35" s="456" t="e">
        <v>#VALUE!</v>
      </c>
      <c r="Y35" s="453">
        <v>29.03</v>
      </c>
      <c r="Z35" s="453">
        <v>16.989999999999998</v>
      </c>
      <c r="AA35" s="519">
        <v>28.600000000005821</v>
      </c>
      <c r="AB35" s="519">
        <v>16.900000000001455</v>
      </c>
      <c r="AC35" s="732">
        <f t="shared" si="0"/>
        <v>45.500000000007276</v>
      </c>
      <c r="AD35" s="664"/>
      <c r="AE35" s="664"/>
      <c r="AF35" s="664"/>
      <c r="AG35" s="664"/>
      <c r="AH35" s="664"/>
      <c r="AI35" s="664"/>
      <c r="AJ35" s="485"/>
      <c r="AK35" s="485"/>
      <c r="AL35" s="485"/>
      <c r="AM35" s="485"/>
      <c r="AN35" s="485"/>
      <c r="AO35" s="665"/>
      <c r="AP35" s="485"/>
      <c r="AQ35" s="483"/>
      <c r="AR35" s="755">
        <v>0</v>
      </c>
      <c r="AS35" s="483">
        <v>18.2</v>
      </c>
      <c r="AT35" s="755">
        <v>0</v>
      </c>
      <c r="AU35" s="483">
        <v>30</v>
      </c>
      <c r="AV35" s="484">
        <v>71.400000000000006</v>
      </c>
      <c r="AW35" s="484">
        <v>248.1</v>
      </c>
      <c r="AX35" s="453">
        <v>0</v>
      </c>
      <c r="AY35" s="734">
        <v>0</v>
      </c>
      <c r="AZ35" s="734">
        <v>0</v>
      </c>
      <c r="BA35" s="734">
        <v>0</v>
      </c>
      <c r="BB35" s="453">
        <v>0</v>
      </c>
      <c r="BC35" s="453">
        <v>0</v>
      </c>
      <c r="BD35" s="453">
        <v>0</v>
      </c>
      <c r="BE35" s="734">
        <v>0</v>
      </c>
      <c r="BF35" s="453">
        <v>0</v>
      </c>
      <c r="BG35" s="453">
        <v>0</v>
      </c>
      <c r="BH35" s="734">
        <v>0</v>
      </c>
      <c r="BI35" s="453">
        <v>0</v>
      </c>
      <c r="BJ35" s="453">
        <v>17.100000000000001</v>
      </c>
      <c r="BK35" s="453">
        <v>0</v>
      </c>
      <c r="BL35" s="453">
        <v>0</v>
      </c>
      <c r="BM35" s="453">
        <v>0</v>
      </c>
      <c r="BN35" s="453">
        <v>17</v>
      </c>
      <c r="BO35" s="453">
        <v>925.4</v>
      </c>
      <c r="BP35" s="453">
        <v>0</v>
      </c>
      <c r="BQ35" s="453">
        <v>18.39</v>
      </c>
      <c r="BR35" s="453">
        <v>18.3</v>
      </c>
      <c r="BS35" s="453">
        <v>0</v>
      </c>
      <c r="BT35" s="453">
        <v>30.8</v>
      </c>
      <c r="BU35" s="453">
        <v>25</v>
      </c>
      <c r="BV35" s="456">
        <v>453.3</v>
      </c>
      <c r="BW35" s="453">
        <v>0.2</v>
      </c>
      <c r="BX35" s="453">
        <v>1.54</v>
      </c>
      <c r="BY35" s="456">
        <v>1.1299999999999999</v>
      </c>
      <c r="BZ35" s="456">
        <v>14.84</v>
      </c>
      <c r="CA35" s="456">
        <v>33.700000000000003</v>
      </c>
      <c r="CB35" s="456">
        <v>12.95</v>
      </c>
      <c r="CC35" s="456">
        <v>9.1</v>
      </c>
      <c r="CD35" s="456">
        <v>13.34</v>
      </c>
      <c r="CE35" s="456">
        <v>17.45</v>
      </c>
      <c r="CF35" s="456">
        <v>13.02</v>
      </c>
      <c r="CG35" s="456">
        <v>526.79999999999995</v>
      </c>
      <c r="CH35" s="456">
        <v>2.1</v>
      </c>
      <c r="CI35" s="456">
        <v>2.9</v>
      </c>
      <c r="CJ35" s="456">
        <v>306</v>
      </c>
      <c r="CK35" s="456">
        <v>376.5</v>
      </c>
      <c r="CL35" s="456">
        <v>579</v>
      </c>
      <c r="CM35" s="456">
        <v>11.5</v>
      </c>
      <c r="CN35" s="456">
        <v>1.69</v>
      </c>
      <c r="CO35" s="453">
        <v>0</v>
      </c>
      <c r="CP35" s="453">
        <v>15.84</v>
      </c>
      <c r="CQ35" s="453">
        <v>45</v>
      </c>
      <c r="CR35" s="456">
        <v>0</v>
      </c>
      <c r="CS35" s="456">
        <v>0</v>
      </c>
      <c r="CT35" s="456">
        <v>0</v>
      </c>
      <c r="CU35" s="456">
        <v>0</v>
      </c>
      <c r="CV35" s="481">
        <v>6035.2941176470586</v>
      </c>
      <c r="CW35" s="481">
        <v>8446.4583333333339</v>
      </c>
      <c r="CX35" s="481">
        <v>5928.020833333333</v>
      </c>
      <c r="CY35" s="481">
        <v>1129.92</v>
      </c>
      <c r="CZ35" s="456"/>
      <c r="DA35" s="456"/>
      <c r="DB35" s="456"/>
      <c r="DC35" s="456"/>
      <c r="DD35" s="456"/>
      <c r="DE35" s="456"/>
      <c r="DF35" s="456"/>
      <c r="DG35" s="425"/>
      <c r="DH35" s="456">
        <v>0</v>
      </c>
      <c r="DI35" s="456">
        <v>0.68</v>
      </c>
      <c r="DJ35" s="456">
        <v>1.18</v>
      </c>
      <c r="DK35" s="425"/>
      <c r="DL35" s="456"/>
      <c r="DM35" s="456"/>
      <c r="DN35" s="456"/>
      <c r="DO35" s="456"/>
      <c r="DP35" s="456"/>
      <c r="DQ35" s="456"/>
      <c r="DR35" s="456"/>
      <c r="DS35" s="456"/>
      <c r="DT35" s="456"/>
      <c r="DU35" s="456"/>
      <c r="DV35" s="456"/>
      <c r="DW35" s="456"/>
      <c r="DX35" s="456"/>
      <c r="DY35" s="456"/>
      <c r="DZ35" s="456"/>
      <c r="EA35" s="456"/>
      <c r="EB35" s="456"/>
      <c r="EC35" s="456"/>
      <c r="ED35" s="423">
        <v>0</v>
      </c>
      <c r="EE35" s="423">
        <v>1</v>
      </c>
      <c r="EF35" s="423">
        <v>2.5</v>
      </c>
      <c r="EG35" s="423">
        <v>6</v>
      </c>
      <c r="EH35" s="423">
        <v>0</v>
      </c>
      <c r="EI35" s="456"/>
      <c r="EJ35" s="456"/>
      <c r="EK35" s="456"/>
      <c r="EL35" s="456"/>
      <c r="EM35" s="456"/>
      <c r="EN35" s="456"/>
      <c r="EO35" s="425"/>
      <c r="EP35" s="425"/>
      <c r="EQ35" s="425" t="s">
        <v>743</v>
      </c>
      <c r="ER35" s="425">
        <v>1</v>
      </c>
      <c r="ES35" s="425">
        <v>6</v>
      </c>
      <c r="ET35" s="425">
        <v>3160</v>
      </c>
      <c r="EU35" s="457">
        <v>4000</v>
      </c>
      <c r="EV35" s="425">
        <v>100</v>
      </c>
      <c r="EW35" s="425">
        <v>6585690</v>
      </c>
      <c r="EX35" s="425">
        <v>61724</v>
      </c>
      <c r="EY35" s="666">
        <v>18.3</v>
      </c>
      <c r="EZ35" s="666">
        <v>18.3</v>
      </c>
      <c r="FA35" s="666">
        <v>0</v>
      </c>
      <c r="FB35" s="666">
        <v>1.37</v>
      </c>
      <c r="FC35" s="666">
        <v>1.4</v>
      </c>
      <c r="FD35" s="666">
        <v>1.1200000000000001</v>
      </c>
      <c r="FE35" s="666">
        <v>1.1000000000000001</v>
      </c>
      <c r="FF35" s="666">
        <v>160</v>
      </c>
      <c r="FG35" s="666">
        <v>0.21</v>
      </c>
      <c r="FH35" s="666">
        <v>0.17</v>
      </c>
      <c r="FI35" s="666">
        <v>0.27</v>
      </c>
      <c r="FJ35" s="666">
        <v>9.11</v>
      </c>
      <c r="FK35" s="666">
        <v>8.4</v>
      </c>
      <c r="FL35" s="666">
        <v>8.3699999999999992</v>
      </c>
      <c r="FM35" s="666">
        <v>7.7</v>
      </c>
      <c r="FN35" s="666">
        <v>0</v>
      </c>
    </row>
    <row r="36" spans="1:170" s="416" customFormat="1" ht="15">
      <c r="A36" s="425" t="s">
        <v>9</v>
      </c>
      <c r="B36" s="426">
        <v>40565</v>
      </c>
      <c r="C36" s="418">
        <v>0</v>
      </c>
      <c r="D36" s="518">
        <v>0.02</v>
      </c>
      <c r="E36" s="453">
        <v>0</v>
      </c>
      <c r="F36" s="453">
        <v>38</v>
      </c>
      <c r="G36" s="453">
        <v>4.7</v>
      </c>
      <c r="H36" s="519">
        <v>45</v>
      </c>
      <c r="I36" s="519">
        <v>69.8</v>
      </c>
      <c r="J36" s="483">
        <v>0.08</v>
      </c>
      <c r="K36" s="520" t="s">
        <v>742</v>
      </c>
      <c r="L36" s="453">
        <v>45.8799999999992</v>
      </c>
      <c r="M36" s="453">
        <v>25.5</v>
      </c>
      <c r="N36" s="453">
        <v>1.49</v>
      </c>
      <c r="O36" s="453">
        <v>1.7631813221526622</v>
      </c>
      <c r="P36" s="453" t="s">
        <v>742</v>
      </c>
      <c r="Q36" s="453">
        <v>0</v>
      </c>
      <c r="R36" s="453">
        <v>676.4268824306472</v>
      </c>
      <c r="S36" s="453">
        <v>7.74</v>
      </c>
      <c r="T36" s="453" t="s">
        <v>742</v>
      </c>
      <c r="U36" s="453">
        <v>0.7</v>
      </c>
      <c r="V36" s="453" t="s">
        <v>742</v>
      </c>
      <c r="W36" s="453">
        <v>48.38000000000001</v>
      </c>
      <c r="X36" s="456" t="e">
        <v>#VALUE!</v>
      </c>
      <c r="Y36" s="453">
        <v>28.93</v>
      </c>
      <c r="Z36" s="453">
        <v>16.88</v>
      </c>
      <c r="AA36" s="519">
        <v>28.789999999993597</v>
      </c>
      <c r="AB36" s="519">
        <v>17.200000000004366</v>
      </c>
      <c r="AC36" s="732">
        <f t="shared" si="0"/>
        <v>45.989999999997963</v>
      </c>
      <c r="AD36" s="664"/>
      <c r="AE36" s="664"/>
      <c r="AF36" s="664"/>
      <c r="AG36" s="664"/>
      <c r="AH36" s="664"/>
      <c r="AI36" s="664"/>
      <c r="AJ36" s="485"/>
      <c r="AK36" s="485"/>
      <c r="AL36" s="485"/>
      <c r="AM36" s="485"/>
      <c r="AN36" s="485"/>
      <c r="AO36" s="665"/>
      <c r="AP36" s="485"/>
      <c r="AQ36" s="483"/>
      <c r="AR36" s="755">
        <v>0</v>
      </c>
      <c r="AS36" s="483">
        <v>28.7</v>
      </c>
      <c r="AT36" s="755">
        <v>0</v>
      </c>
      <c r="AU36" s="483">
        <v>29.9</v>
      </c>
      <c r="AV36" s="484">
        <v>0</v>
      </c>
      <c r="AW36" s="484">
        <v>1891.6</v>
      </c>
      <c r="AX36" s="453">
        <v>0</v>
      </c>
      <c r="AY36" s="734">
        <v>0</v>
      </c>
      <c r="AZ36" s="734">
        <v>0</v>
      </c>
      <c r="BA36" s="734">
        <v>0</v>
      </c>
      <c r="BB36" s="453">
        <v>0</v>
      </c>
      <c r="BC36" s="453">
        <v>0</v>
      </c>
      <c r="BD36" s="453">
        <v>0</v>
      </c>
      <c r="BE36" s="734">
        <v>0</v>
      </c>
      <c r="BF36" s="453">
        <v>0</v>
      </c>
      <c r="BG36" s="453">
        <v>0</v>
      </c>
      <c r="BH36" s="734">
        <v>0</v>
      </c>
      <c r="BI36" s="453">
        <v>0</v>
      </c>
      <c r="BJ36" s="453">
        <v>17.2</v>
      </c>
      <c r="BK36" s="453">
        <v>0</v>
      </c>
      <c r="BL36" s="453">
        <v>0</v>
      </c>
      <c r="BM36" s="453">
        <v>0</v>
      </c>
      <c r="BN36" s="453">
        <v>17.100000000000001</v>
      </c>
      <c r="BO36" s="453">
        <v>1736</v>
      </c>
      <c r="BP36" s="453">
        <v>0</v>
      </c>
      <c r="BQ36" s="453">
        <v>17.899999999999999</v>
      </c>
      <c r="BR36" s="453">
        <v>17.899999999999999</v>
      </c>
      <c r="BS36" s="453">
        <v>0</v>
      </c>
      <c r="BT36" s="453">
        <v>29.4</v>
      </c>
      <c r="BU36" s="453">
        <v>27.1</v>
      </c>
      <c r="BV36" s="456">
        <v>675.1</v>
      </c>
      <c r="BW36" s="453">
        <v>0.2</v>
      </c>
      <c r="BX36" s="453">
        <v>1.52</v>
      </c>
      <c r="BY36" s="456">
        <v>1.1100000000000001</v>
      </c>
      <c r="BZ36" s="667">
        <v>15</v>
      </c>
      <c r="CA36" s="456">
        <v>33.700000000000003</v>
      </c>
      <c r="CB36" s="456">
        <v>13.09</v>
      </c>
      <c r="CC36" s="456">
        <v>9.19</v>
      </c>
      <c r="CD36" s="456">
        <v>13.4</v>
      </c>
      <c r="CE36" s="456">
        <v>17.55</v>
      </c>
      <c r="CF36" s="456">
        <v>12.98</v>
      </c>
      <c r="CG36" s="456">
        <v>362.5</v>
      </c>
      <c r="CH36" s="456">
        <v>2.1</v>
      </c>
      <c r="CI36" s="456">
        <v>3.1</v>
      </c>
      <c r="CJ36" s="456">
        <v>356.7</v>
      </c>
      <c r="CK36" s="456">
        <v>410.5</v>
      </c>
      <c r="CL36" s="456">
        <v>579</v>
      </c>
      <c r="CM36" s="456">
        <v>11.3</v>
      </c>
      <c r="CN36" s="456">
        <v>1.7</v>
      </c>
      <c r="CO36" s="453">
        <v>0</v>
      </c>
      <c r="CP36" s="453">
        <v>16.100000000000001</v>
      </c>
      <c r="CQ36" s="453">
        <v>45.36</v>
      </c>
      <c r="CR36" s="456">
        <v>0</v>
      </c>
      <c r="CS36" s="456">
        <v>0</v>
      </c>
      <c r="CT36" s="456">
        <v>0</v>
      </c>
      <c r="CU36" s="456">
        <v>0</v>
      </c>
      <c r="CV36" s="481">
        <v>5741.7647058823532</v>
      </c>
      <c r="CW36" s="481">
        <v>8325.4166666666661</v>
      </c>
      <c r="CX36" s="481">
        <v>5685.520833333333</v>
      </c>
      <c r="CY36" s="481">
        <v>1125.4100000000001</v>
      </c>
      <c r="CZ36" s="456"/>
      <c r="DA36" s="456"/>
      <c r="DB36" s="456"/>
      <c r="DC36" s="456"/>
      <c r="DD36" s="456"/>
      <c r="DE36" s="456"/>
      <c r="DF36" s="456"/>
      <c r="DG36" s="425"/>
      <c r="DH36" s="456">
        <v>0</v>
      </c>
      <c r="DI36" s="456">
        <v>0.67</v>
      </c>
      <c r="DJ36" s="456">
        <v>1.1399999999999999</v>
      </c>
      <c r="DK36" s="425"/>
      <c r="DL36" s="456"/>
      <c r="DM36" s="456"/>
      <c r="DN36" s="456"/>
      <c r="DO36" s="456"/>
      <c r="DP36" s="456"/>
      <c r="DQ36" s="456"/>
      <c r="DR36" s="456"/>
      <c r="DS36" s="456"/>
      <c r="DT36" s="456"/>
      <c r="DU36" s="456"/>
      <c r="DV36" s="456"/>
      <c r="DW36" s="456"/>
      <c r="DX36" s="456"/>
      <c r="DY36" s="456"/>
      <c r="DZ36" s="456"/>
      <c r="EA36" s="456"/>
      <c r="EB36" s="456"/>
      <c r="EC36" s="456"/>
      <c r="ED36" s="423">
        <v>0</v>
      </c>
      <c r="EE36" s="423">
        <v>1</v>
      </c>
      <c r="EF36" s="423">
        <v>2.5</v>
      </c>
      <c r="EG36" s="423">
        <v>6</v>
      </c>
      <c r="EH36" s="423">
        <v>0</v>
      </c>
      <c r="EI36" s="456"/>
      <c r="EJ36" s="456"/>
      <c r="EK36" s="456"/>
      <c r="EL36" s="456"/>
      <c r="EM36" s="456"/>
      <c r="EN36" s="456"/>
      <c r="EO36" s="425"/>
      <c r="EP36" s="425"/>
      <c r="EQ36" s="425" t="s">
        <v>743</v>
      </c>
      <c r="ER36" s="425">
        <v>1</v>
      </c>
      <c r="ES36" s="425">
        <v>6</v>
      </c>
      <c r="ET36" s="425">
        <v>2930</v>
      </c>
      <c r="EU36" s="457">
        <v>4000</v>
      </c>
      <c r="EV36" s="425">
        <v>130</v>
      </c>
      <c r="EW36" s="425">
        <v>6588299</v>
      </c>
      <c r="EX36" s="425">
        <v>62536</v>
      </c>
      <c r="EY36" s="666">
        <v>18.3</v>
      </c>
      <c r="EZ36" s="666">
        <v>18.3</v>
      </c>
      <c r="FA36" s="666">
        <v>0</v>
      </c>
      <c r="FB36" s="666">
        <v>1.38</v>
      </c>
      <c r="FC36" s="666">
        <v>1.32</v>
      </c>
      <c r="FD36" s="666">
        <v>1.1599999999999999</v>
      </c>
      <c r="FE36" s="666">
        <v>1.1200000000000001</v>
      </c>
      <c r="FF36" s="666">
        <v>130</v>
      </c>
      <c r="FG36" s="666">
        <v>0.27</v>
      </c>
      <c r="FH36" s="666">
        <v>0.16</v>
      </c>
      <c r="FI36" s="666">
        <v>0.24</v>
      </c>
      <c r="FJ36" s="666">
        <v>9.09</v>
      </c>
      <c r="FK36" s="666">
        <v>8.1999999999999993</v>
      </c>
      <c r="FL36" s="666">
        <v>8.2799999999999994</v>
      </c>
      <c r="FM36" s="666">
        <v>7.6</v>
      </c>
      <c r="FN36" s="666">
        <v>0</v>
      </c>
    </row>
    <row r="37" spans="1:170" s="416" customFormat="1" ht="15">
      <c r="A37" s="425" t="s">
        <v>3</v>
      </c>
      <c r="B37" s="426">
        <v>40566</v>
      </c>
      <c r="C37" s="418">
        <v>0</v>
      </c>
      <c r="D37" s="518">
        <v>0.12</v>
      </c>
      <c r="E37" s="453">
        <v>0</v>
      </c>
      <c r="F37" s="453">
        <v>43</v>
      </c>
      <c r="G37" s="453">
        <v>4.4000000000000004</v>
      </c>
      <c r="H37" s="519">
        <v>32</v>
      </c>
      <c r="I37" s="519">
        <v>73.400000000000006</v>
      </c>
      <c r="J37" s="483">
        <v>0.08</v>
      </c>
      <c r="K37" s="520" t="s">
        <v>742</v>
      </c>
      <c r="L37" s="453">
        <v>46.200000000000728</v>
      </c>
      <c r="M37" s="453">
        <v>24.5</v>
      </c>
      <c r="N37" s="453">
        <v>1.35</v>
      </c>
      <c r="O37" s="453">
        <v>1.7644469732551562</v>
      </c>
      <c r="P37" s="453" t="s">
        <v>742</v>
      </c>
      <c r="Q37" s="453">
        <v>0</v>
      </c>
      <c r="R37" s="453">
        <v>685.00595508586514</v>
      </c>
      <c r="S37" s="453">
        <v>7.69</v>
      </c>
      <c r="T37" s="453" t="s">
        <v>742</v>
      </c>
      <c r="U37" s="453">
        <v>0.7</v>
      </c>
      <c r="V37" s="453" t="s">
        <v>742</v>
      </c>
      <c r="W37" s="453">
        <v>48.92</v>
      </c>
      <c r="X37" s="456" t="e">
        <v>#VALUE!</v>
      </c>
      <c r="Y37" s="453">
        <v>28.65</v>
      </c>
      <c r="Z37" s="453">
        <v>16.93</v>
      </c>
      <c r="AA37" s="519">
        <v>29.110000000000582</v>
      </c>
      <c r="AB37" s="519">
        <v>17.299999999995634</v>
      </c>
      <c r="AC37" s="732">
        <f t="shared" si="0"/>
        <v>46.409999999996217</v>
      </c>
      <c r="AD37" s="664"/>
      <c r="AE37" s="664"/>
      <c r="AF37" s="664"/>
      <c r="AG37" s="664"/>
      <c r="AH37" s="664"/>
      <c r="AI37" s="664"/>
      <c r="AJ37" s="485"/>
      <c r="AK37" s="485"/>
      <c r="AL37" s="485"/>
      <c r="AM37" s="485"/>
      <c r="AN37" s="485"/>
      <c r="AO37" s="665"/>
      <c r="AP37" s="485"/>
      <c r="AQ37" s="483"/>
      <c r="AR37" s="755">
        <v>0</v>
      </c>
      <c r="AS37" s="483">
        <v>26.6</v>
      </c>
      <c r="AT37" s="755">
        <v>0</v>
      </c>
      <c r="AU37" s="483">
        <v>30</v>
      </c>
      <c r="AV37" s="484">
        <v>280.7</v>
      </c>
      <c r="AW37" s="484">
        <v>588</v>
      </c>
      <c r="AX37" s="453">
        <v>0</v>
      </c>
      <c r="AY37" s="734">
        <v>0</v>
      </c>
      <c r="AZ37" s="734">
        <v>0</v>
      </c>
      <c r="BA37" s="734">
        <v>0</v>
      </c>
      <c r="BB37" s="453">
        <v>0</v>
      </c>
      <c r="BC37" s="453">
        <v>0</v>
      </c>
      <c r="BD37" s="453">
        <v>0</v>
      </c>
      <c r="BE37" s="734">
        <v>0</v>
      </c>
      <c r="BF37" s="453">
        <v>0</v>
      </c>
      <c r="BG37" s="453">
        <v>0</v>
      </c>
      <c r="BH37" s="734">
        <v>0</v>
      </c>
      <c r="BI37" s="453">
        <v>0</v>
      </c>
      <c r="BJ37" s="453">
        <v>17.2</v>
      </c>
      <c r="BK37" s="453">
        <v>0</v>
      </c>
      <c r="BL37" s="453">
        <v>0</v>
      </c>
      <c r="BM37" s="453">
        <v>0</v>
      </c>
      <c r="BN37" s="453">
        <v>17</v>
      </c>
      <c r="BO37" s="453">
        <v>1253.3</v>
      </c>
      <c r="BP37" s="453">
        <v>0</v>
      </c>
      <c r="BQ37" s="453">
        <v>18</v>
      </c>
      <c r="BR37" s="453">
        <v>17.899999999999999</v>
      </c>
      <c r="BS37" s="453">
        <v>0</v>
      </c>
      <c r="BT37" s="453">
        <v>30.1</v>
      </c>
      <c r="BU37" s="453">
        <v>25.3</v>
      </c>
      <c r="BV37" s="456">
        <v>673.3</v>
      </c>
      <c r="BW37" s="453">
        <v>0.1</v>
      </c>
      <c r="BX37" s="453">
        <v>1.52</v>
      </c>
      <c r="BY37" s="456">
        <v>1.1200000000000001</v>
      </c>
      <c r="BZ37" s="456">
        <v>15.12</v>
      </c>
      <c r="CA37" s="456">
        <v>33.700000000000003</v>
      </c>
      <c r="CB37" s="456">
        <v>14.42</v>
      </c>
      <c r="CC37" s="456">
        <v>9.2799999999999994</v>
      </c>
      <c r="CD37" s="456">
        <v>13.53</v>
      </c>
      <c r="CE37" s="456">
        <v>17.61</v>
      </c>
      <c r="CF37" s="456">
        <v>13.08</v>
      </c>
      <c r="CG37" s="456">
        <v>525.9</v>
      </c>
      <c r="CH37" s="456">
        <v>2.1</v>
      </c>
      <c r="CI37" s="456">
        <v>2.8</v>
      </c>
      <c r="CJ37" s="456">
        <v>437</v>
      </c>
      <c r="CK37" s="456">
        <v>429.9</v>
      </c>
      <c r="CL37" s="456">
        <v>579</v>
      </c>
      <c r="CM37" s="456">
        <v>10.8</v>
      </c>
      <c r="CN37" s="456">
        <v>1.62</v>
      </c>
      <c r="CO37" s="453">
        <v>0</v>
      </c>
      <c r="CP37" s="453">
        <v>15.8</v>
      </c>
      <c r="CQ37" s="453">
        <v>46</v>
      </c>
      <c r="CR37" s="456">
        <v>0</v>
      </c>
      <c r="CS37" s="456">
        <v>0</v>
      </c>
      <c r="CT37" s="456">
        <v>0</v>
      </c>
      <c r="CU37" s="456">
        <v>0</v>
      </c>
      <c r="CV37" s="481">
        <v>5510.588235294118</v>
      </c>
      <c r="CW37" s="481">
        <v>7623.958333333333</v>
      </c>
      <c r="CX37" s="481">
        <v>5354.0625</v>
      </c>
      <c r="CY37" s="481">
        <v>1115.27</v>
      </c>
      <c r="CZ37" s="456"/>
      <c r="DA37" s="456"/>
      <c r="DB37" s="456"/>
      <c r="DC37" s="456"/>
      <c r="DD37" s="456"/>
      <c r="DE37" s="456"/>
      <c r="DF37" s="456"/>
      <c r="DG37" s="425"/>
      <c r="DH37" s="456">
        <v>0</v>
      </c>
      <c r="DI37" s="456">
        <v>0.6</v>
      </c>
      <c r="DJ37" s="456">
        <v>1.22</v>
      </c>
      <c r="DK37" s="425"/>
      <c r="DL37" s="456"/>
      <c r="DM37" s="456"/>
      <c r="DN37" s="456"/>
      <c r="DO37" s="456"/>
      <c r="DP37" s="456"/>
      <c r="DQ37" s="456"/>
      <c r="DR37" s="456"/>
      <c r="DS37" s="456"/>
      <c r="DT37" s="456"/>
      <c r="DU37" s="456"/>
      <c r="DV37" s="456"/>
      <c r="DW37" s="456"/>
      <c r="DX37" s="456"/>
      <c r="DY37" s="456"/>
      <c r="DZ37" s="456"/>
      <c r="EA37" s="456"/>
      <c r="EB37" s="456"/>
      <c r="EC37" s="456"/>
      <c r="ED37" s="423">
        <v>0</v>
      </c>
      <c r="EE37" s="423">
        <v>1</v>
      </c>
      <c r="EF37" s="423">
        <v>2.5</v>
      </c>
      <c r="EG37" s="423">
        <v>6</v>
      </c>
      <c r="EH37" s="423">
        <v>0</v>
      </c>
      <c r="EI37" s="456"/>
      <c r="EJ37" s="456"/>
      <c r="EK37" s="456"/>
      <c r="EL37" s="456"/>
      <c r="EM37" s="456"/>
      <c r="EN37" s="456"/>
      <c r="EO37" s="425"/>
      <c r="EP37" s="425"/>
      <c r="EQ37" s="425" t="s">
        <v>743</v>
      </c>
      <c r="ER37" s="425">
        <v>1</v>
      </c>
      <c r="ES37" s="425">
        <v>6</v>
      </c>
      <c r="ET37" s="425">
        <v>2720</v>
      </c>
      <c r="EU37" s="457">
        <v>4000</v>
      </c>
      <c r="EV37" s="425">
        <v>300</v>
      </c>
      <c r="EW37" s="425">
        <v>6590842</v>
      </c>
      <c r="EX37" s="425">
        <v>63321</v>
      </c>
      <c r="EY37" s="666">
        <v>18.2</v>
      </c>
      <c r="EZ37" s="666">
        <v>18.2</v>
      </c>
      <c r="FA37" s="666">
        <v>0</v>
      </c>
      <c r="FB37" s="666">
        <v>1.41</v>
      </c>
      <c r="FC37" s="666">
        <v>1.3</v>
      </c>
      <c r="FD37" s="666">
        <v>1.21</v>
      </c>
      <c r="FE37" s="666">
        <v>1.18</v>
      </c>
      <c r="FF37" s="666">
        <v>210</v>
      </c>
      <c r="FG37" s="666">
        <v>0.21</v>
      </c>
      <c r="FH37" s="666">
        <v>0.15</v>
      </c>
      <c r="FI37" s="666">
        <v>0.25</v>
      </c>
      <c r="FJ37" s="666">
        <v>9.66</v>
      </c>
      <c r="FK37" s="666">
        <v>8.4</v>
      </c>
      <c r="FL37" s="666">
        <v>8.27</v>
      </c>
      <c r="FM37" s="666">
        <v>7.7</v>
      </c>
      <c r="FN37" s="666">
        <v>0</v>
      </c>
    </row>
    <row r="38" spans="1:170" s="416" customFormat="1" ht="15">
      <c r="A38" s="425" t="s">
        <v>4</v>
      </c>
      <c r="B38" s="426">
        <v>40567</v>
      </c>
      <c r="C38" s="418">
        <v>0</v>
      </c>
      <c r="D38" s="518">
        <v>1</v>
      </c>
      <c r="E38" s="453">
        <v>0</v>
      </c>
      <c r="F38" s="453">
        <v>46</v>
      </c>
      <c r="G38" s="453">
        <v>3.9</v>
      </c>
      <c r="H38" s="519">
        <v>29.8</v>
      </c>
      <c r="I38" s="519">
        <v>79.47</v>
      </c>
      <c r="J38" s="483">
        <v>0.08</v>
      </c>
      <c r="K38" s="520" t="s">
        <v>742</v>
      </c>
      <c r="L38" s="453">
        <v>44.8700000000008</v>
      </c>
      <c r="M38" s="453">
        <v>24.5</v>
      </c>
      <c r="N38" s="453">
        <v>1.35</v>
      </c>
      <c r="O38" s="453">
        <v>1.7631528738026692</v>
      </c>
      <c r="P38" s="453" t="s">
        <v>742</v>
      </c>
      <c r="Q38" s="756">
        <v>10.207529722589166</v>
      </c>
      <c r="R38" s="453">
        <v>709.42331571994703</v>
      </c>
      <c r="S38" s="453">
        <v>7.77</v>
      </c>
      <c r="T38" s="453" t="s">
        <v>742</v>
      </c>
      <c r="U38" s="453">
        <v>0.66</v>
      </c>
      <c r="V38" s="453" t="s">
        <v>742</v>
      </c>
      <c r="W38" s="453">
        <v>48.56</v>
      </c>
      <c r="X38" s="456" t="e">
        <v>#VALUE!</v>
      </c>
      <c r="Y38" s="453">
        <v>28.73</v>
      </c>
      <c r="Z38" s="453">
        <v>16.93</v>
      </c>
      <c r="AA38" s="519">
        <v>28.399999999994179</v>
      </c>
      <c r="AB38" s="519">
        <v>16.849999999998545</v>
      </c>
      <c r="AC38" s="732">
        <f t="shared" si="0"/>
        <v>45.249999999992724</v>
      </c>
      <c r="AD38" s="664"/>
      <c r="AE38" s="664"/>
      <c r="AF38" s="664"/>
      <c r="AG38" s="664"/>
      <c r="AH38" s="664"/>
      <c r="AI38" s="664"/>
      <c r="AJ38" s="485"/>
      <c r="AK38" s="485"/>
      <c r="AL38" s="485"/>
      <c r="AM38" s="485"/>
      <c r="AN38" s="485"/>
      <c r="AO38" s="665"/>
      <c r="AP38" s="485"/>
      <c r="AQ38" s="483"/>
      <c r="AR38" s="755">
        <v>0</v>
      </c>
      <c r="AS38" s="483">
        <v>18.399999999999999</v>
      </c>
      <c r="AT38" s="755">
        <v>0</v>
      </c>
      <c r="AU38" s="483">
        <v>30</v>
      </c>
      <c r="AV38" s="484">
        <v>331.6</v>
      </c>
      <c r="AW38" s="484">
        <v>317.60000000000002</v>
      </c>
      <c r="AX38" s="453">
        <v>0</v>
      </c>
      <c r="AY38" s="734">
        <v>0</v>
      </c>
      <c r="AZ38" s="734">
        <v>0</v>
      </c>
      <c r="BA38" s="734">
        <v>0</v>
      </c>
      <c r="BB38" s="453">
        <v>0</v>
      </c>
      <c r="BC38" s="453">
        <v>0</v>
      </c>
      <c r="BD38" s="453">
        <v>0</v>
      </c>
      <c r="BE38" s="734">
        <v>0</v>
      </c>
      <c r="BF38" s="453">
        <v>0</v>
      </c>
      <c r="BG38" s="453">
        <v>0</v>
      </c>
      <c r="BH38" s="734">
        <v>0</v>
      </c>
      <c r="BI38" s="453">
        <v>0</v>
      </c>
      <c r="BJ38" s="453">
        <v>17.100000000000001</v>
      </c>
      <c r="BK38" s="453">
        <v>0</v>
      </c>
      <c r="BL38" s="453">
        <v>0</v>
      </c>
      <c r="BM38" s="453">
        <v>0</v>
      </c>
      <c r="BN38" s="453">
        <v>17</v>
      </c>
      <c r="BO38" s="453">
        <v>1106.8</v>
      </c>
      <c r="BP38" s="453">
        <v>28.8</v>
      </c>
      <c r="BQ38" s="453">
        <v>18.2</v>
      </c>
      <c r="BR38" s="453">
        <v>18.100000000000001</v>
      </c>
      <c r="BS38" s="453">
        <v>0</v>
      </c>
      <c r="BT38" s="453">
        <v>30.3</v>
      </c>
      <c r="BU38" s="453">
        <v>24.9</v>
      </c>
      <c r="BV38" s="456">
        <v>491.2</v>
      </c>
      <c r="BW38" s="453">
        <v>0.1</v>
      </c>
      <c r="BX38" s="453">
        <v>1.51</v>
      </c>
      <c r="BY38" s="456">
        <v>1.1299999999999999</v>
      </c>
      <c r="BZ38" s="456">
        <v>15.1</v>
      </c>
      <c r="CA38" s="456">
        <v>33.9</v>
      </c>
      <c r="CB38" s="456">
        <v>13.1</v>
      </c>
      <c r="CC38" s="456">
        <v>8.1999999999999993</v>
      </c>
      <c r="CD38" s="456">
        <v>12.4</v>
      </c>
      <c r="CE38" s="456">
        <v>16.7</v>
      </c>
      <c r="CF38" s="456">
        <v>13.11</v>
      </c>
      <c r="CG38" s="456">
        <v>522.5</v>
      </c>
      <c r="CH38" s="456">
        <v>2.1</v>
      </c>
      <c r="CI38" s="456">
        <v>3.3</v>
      </c>
      <c r="CJ38" s="456">
        <v>244.1</v>
      </c>
      <c r="CK38" s="456">
        <v>381.4</v>
      </c>
      <c r="CL38" s="456">
        <v>579.1</v>
      </c>
      <c r="CM38" s="456">
        <v>10.6</v>
      </c>
      <c r="CN38" s="456">
        <v>1.7</v>
      </c>
      <c r="CO38" s="453">
        <v>0</v>
      </c>
      <c r="CP38" s="453">
        <v>15.95</v>
      </c>
      <c r="CQ38" s="453">
        <v>46</v>
      </c>
      <c r="CR38" s="456">
        <v>0</v>
      </c>
      <c r="CS38" s="456">
        <v>0</v>
      </c>
      <c r="CT38" s="456">
        <v>0</v>
      </c>
      <c r="CU38" s="456">
        <v>0</v>
      </c>
      <c r="CV38" s="481">
        <v>4792.9411764705883</v>
      </c>
      <c r="CW38" s="481">
        <v>6847.5</v>
      </c>
      <c r="CX38" s="481">
        <v>4615.3125</v>
      </c>
      <c r="CY38" s="481">
        <v>1102.3499999999999</v>
      </c>
      <c r="CZ38" s="456"/>
      <c r="DA38" s="456"/>
      <c r="DB38" s="456"/>
      <c r="DC38" s="456"/>
      <c r="DD38" s="456"/>
      <c r="DE38" s="456"/>
      <c r="DF38" s="456"/>
      <c r="DG38" s="425"/>
      <c r="DH38" s="456">
        <v>0</v>
      </c>
      <c r="DI38" s="456">
        <v>0.76</v>
      </c>
      <c r="DJ38" s="456">
        <v>1.24</v>
      </c>
      <c r="DK38" s="425"/>
      <c r="DL38" s="456"/>
      <c r="DM38" s="456"/>
      <c r="DN38" s="456"/>
      <c r="DO38" s="456"/>
      <c r="DP38" s="456"/>
      <c r="DQ38" s="456"/>
      <c r="DR38" s="456"/>
      <c r="DS38" s="456"/>
      <c r="DT38" s="456"/>
      <c r="DU38" s="456"/>
      <c r="DV38" s="456"/>
      <c r="DW38" s="456"/>
      <c r="DX38" s="456"/>
      <c r="DY38" s="456"/>
      <c r="DZ38" s="456"/>
      <c r="EA38" s="456"/>
      <c r="EB38" s="456"/>
      <c r="EC38" s="456"/>
      <c r="ED38" s="423">
        <v>0</v>
      </c>
      <c r="EE38" s="423">
        <v>1</v>
      </c>
      <c r="EF38" s="423">
        <v>2.5</v>
      </c>
      <c r="EG38" s="423">
        <v>6</v>
      </c>
      <c r="EH38" s="423">
        <v>0</v>
      </c>
      <c r="EI38" s="456"/>
      <c r="EJ38" s="456"/>
      <c r="EK38" s="456"/>
      <c r="EL38" s="456"/>
      <c r="EM38" s="456"/>
      <c r="EN38" s="456"/>
      <c r="EO38" s="425"/>
      <c r="EP38" s="425"/>
      <c r="EQ38" s="425" t="s">
        <v>743</v>
      </c>
      <c r="ER38" s="425">
        <v>1</v>
      </c>
      <c r="ES38" s="425">
        <v>6</v>
      </c>
      <c r="ET38" s="425">
        <v>2520</v>
      </c>
      <c r="EU38" s="457">
        <v>4000</v>
      </c>
      <c r="EV38" s="425">
        <v>195</v>
      </c>
      <c r="EW38" s="425">
        <v>6593418</v>
      </c>
      <c r="EX38" s="425">
        <v>64139</v>
      </c>
      <c r="EY38" s="666">
        <v>18.18</v>
      </c>
      <c r="EZ38" s="666">
        <v>18.18</v>
      </c>
      <c r="FA38" s="666">
        <v>0</v>
      </c>
      <c r="FB38" s="666">
        <v>1.4</v>
      </c>
      <c r="FC38" s="666">
        <v>1.27</v>
      </c>
      <c r="FD38" s="666">
        <v>1.1890000000000001</v>
      </c>
      <c r="FE38" s="666">
        <v>1.0900000000000001</v>
      </c>
      <c r="FF38" s="666">
        <v>200</v>
      </c>
      <c r="FG38" s="666">
        <v>0.28000000000000003</v>
      </c>
      <c r="FH38" s="666">
        <v>0.14699999999999999</v>
      </c>
      <c r="FI38" s="666">
        <v>0.22</v>
      </c>
      <c r="FJ38" s="666">
        <v>8.43</v>
      </c>
      <c r="FK38" s="666">
        <v>8.4</v>
      </c>
      <c r="FL38" s="666">
        <v>8.3699999999999992</v>
      </c>
      <c r="FM38" s="666">
        <v>8.1</v>
      </c>
      <c r="FN38" s="666">
        <v>0</v>
      </c>
    </row>
    <row r="39" spans="1:170" s="416" customFormat="1" ht="15">
      <c r="A39" s="425" t="s">
        <v>5</v>
      </c>
      <c r="B39" s="426">
        <v>40568</v>
      </c>
      <c r="C39" s="418">
        <v>0</v>
      </c>
      <c r="D39" s="518">
        <v>0.27</v>
      </c>
      <c r="E39" s="453">
        <v>0</v>
      </c>
      <c r="F39" s="453">
        <v>44</v>
      </c>
      <c r="G39" s="453">
        <v>3.8</v>
      </c>
      <c r="H39" s="519" t="s">
        <v>742</v>
      </c>
      <c r="I39" s="519">
        <v>80.5</v>
      </c>
      <c r="J39" s="483">
        <v>0.09</v>
      </c>
      <c r="K39" s="520" t="s">
        <v>742</v>
      </c>
      <c r="L39" s="453">
        <v>45.409999999999854</v>
      </c>
      <c r="M39" s="453">
        <v>24.9</v>
      </c>
      <c r="N39" s="453">
        <v>1.35</v>
      </c>
      <c r="O39" s="453">
        <v>1.7630122353014952</v>
      </c>
      <c r="P39" s="453" t="s">
        <v>742</v>
      </c>
      <c r="Q39" s="453">
        <v>2.1100836635894415</v>
      </c>
      <c r="R39" s="453">
        <v>683.68609775429331</v>
      </c>
      <c r="S39" s="453">
        <v>7.79</v>
      </c>
      <c r="T39" s="453" t="s">
        <v>742</v>
      </c>
      <c r="U39" s="453">
        <v>0.64</v>
      </c>
      <c r="V39" s="453" t="s">
        <v>742</v>
      </c>
      <c r="W39" s="453">
        <v>48.56</v>
      </c>
      <c r="X39" s="456" t="e">
        <v>#VALUE!</v>
      </c>
      <c r="Y39" s="453">
        <v>28.72</v>
      </c>
      <c r="Z39" s="453">
        <v>16.79</v>
      </c>
      <c r="AA39" s="519">
        <v>28.700000000011642</v>
      </c>
      <c r="AB39" s="519">
        <v>17.05000000000291</v>
      </c>
      <c r="AC39" s="732">
        <f t="shared" si="0"/>
        <v>45.750000000014552</v>
      </c>
      <c r="AD39" s="664"/>
      <c r="AE39" s="664"/>
      <c r="AF39" s="664"/>
      <c r="AG39" s="664"/>
      <c r="AH39" s="664"/>
      <c r="AI39" s="664"/>
      <c r="AJ39" s="485"/>
      <c r="AK39" s="485"/>
      <c r="AL39" s="485"/>
      <c r="AM39" s="485"/>
      <c r="AN39" s="485"/>
      <c r="AO39" s="665"/>
      <c r="AP39" s="485"/>
      <c r="AQ39" s="483"/>
      <c r="AR39" s="755">
        <v>0</v>
      </c>
      <c r="AS39" s="483">
        <v>36.4</v>
      </c>
      <c r="AT39" s="755">
        <v>0</v>
      </c>
      <c r="AU39" s="483">
        <v>30</v>
      </c>
      <c r="AV39" s="484">
        <v>610.1</v>
      </c>
      <c r="AW39" s="484">
        <v>710.4</v>
      </c>
      <c r="AX39" s="453">
        <v>0</v>
      </c>
      <c r="AY39" s="734">
        <v>0</v>
      </c>
      <c r="AZ39" s="734">
        <v>0</v>
      </c>
      <c r="BA39" s="734">
        <v>0</v>
      </c>
      <c r="BB39" s="453">
        <v>0</v>
      </c>
      <c r="BC39" s="453">
        <v>0</v>
      </c>
      <c r="BD39" s="453">
        <v>0</v>
      </c>
      <c r="BE39" s="734">
        <v>0</v>
      </c>
      <c r="BF39" s="453">
        <v>0</v>
      </c>
      <c r="BG39" s="453">
        <v>0</v>
      </c>
      <c r="BH39" s="734">
        <v>0</v>
      </c>
      <c r="BI39" s="453">
        <v>0</v>
      </c>
      <c r="BJ39" s="453">
        <v>17.2</v>
      </c>
      <c r="BK39" s="453">
        <v>0</v>
      </c>
      <c r="BL39" s="453">
        <v>0</v>
      </c>
      <c r="BM39" s="453">
        <v>0</v>
      </c>
      <c r="BN39" s="453">
        <v>17.100000000000001</v>
      </c>
      <c r="BO39" s="453">
        <v>1464.1</v>
      </c>
      <c r="BP39" s="453">
        <v>0</v>
      </c>
      <c r="BQ39" s="453">
        <v>18.2</v>
      </c>
      <c r="BR39" s="453">
        <v>18.100000000000001</v>
      </c>
      <c r="BS39" s="453">
        <v>0</v>
      </c>
      <c r="BT39" s="453">
        <v>30.2</v>
      </c>
      <c r="BU39" s="453">
        <v>25.4</v>
      </c>
      <c r="BV39" s="456">
        <v>627.9</v>
      </c>
      <c r="BW39" s="453">
        <v>0.1</v>
      </c>
      <c r="BX39" s="453">
        <v>1.52</v>
      </c>
      <c r="BY39" s="456">
        <v>1.1200000000000001</v>
      </c>
      <c r="BZ39" s="456">
        <v>14.9</v>
      </c>
      <c r="CA39" s="456">
        <v>31.1</v>
      </c>
      <c r="CB39" s="456">
        <v>12.4</v>
      </c>
      <c r="CC39" s="456">
        <v>9.6999999999999993</v>
      </c>
      <c r="CD39" s="456">
        <v>13.9</v>
      </c>
      <c r="CE39" s="456">
        <v>18</v>
      </c>
      <c r="CF39" s="456">
        <v>12.85</v>
      </c>
      <c r="CG39" s="456">
        <v>520.29999999999995</v>
      </c>
      <c r="CH39" s="456">
        <v>2.1</v>
      </c>
      <c r="CI39" s="456">
        <v>3.2</v>
      </c>
      <c r="CJ39" s="456">
        <v>195.3</v>
      </c>
      <c r="CK39" s="456">
        <v>371</v>
      </c>
      <c r="CL39" s="456">
        <v>466.9</v>
      </c>
      <c r="CM39" s="456">
        <v>10.8</v>
      </c>
      <c r="CN39" s="456">
        <v>1.7</v>
      </c>
      <c r="CO39" s="453">
        <v>0</v>
      </c>
      <c r="CP39" s="453">
        <v>15.65</v>
      </c>
      <c r="CQ39" s="453">
        <v>46</v>
      </c>
      <c r="CR39" s="456">
        <v>0</v>
      </c>
      <c r="CS39" s="456">
        <v>0</v>
      </c>
      <c r="CT39" s="456">
        <v>0</v>
      </c>
      <c r="CU39" s="456">
        <v>0</v>
      </c>
      <c r="CV39" s="481">
        <v>3968.8235294117649</v>
      </c>
      <c r="CW39" s="481">
        <v>5827.708333333333</v>
      </c>
      <c r="CX39" s="481">
        <v>4083.0208333333335</v>
      </c>
      <c r="CY39" s="481">
        <v>1096.5899999999999</v>
      </c>
      <c r="CZ39" s="456"/>
      <c r="DA39" s="456"/>
      <c r="DB39" s="456"/>
      <c r="DC39" s="456"/>
      <c r="DD39" s="456"/>
      <c r="DE39" s="456"/>
      <c r="DF39" s="456"/>
      <c r="DG39" s="425"/>
      <c r="DH39" s="456">
        <v>0</v>
      </c>
      <c r="DI39" s="456">
        <v>0.71</v>
      </c>
      <c r="DJ39" s="456">
        <v>1.25</v>
      </c>
      <c r="DK39" s="425"/>
      <c r="DL39" s="456"/>
      <c r="DM39" s="456"/>
      <c r="DN39" s="456"/>
      <c r="DO39" s="456"/>
      <c r="DP39" s="456"/>
      <c r="DQ39" s="456"/>
      <c r="DR39" s="456"/>
      <c r="DS39" s="456"/>
      <c r="DT39" s="456"/>
      <c r="DU39" s="456"/>
      <c r="DV39" s="456"/>
      <c r="DW39" s="456"/>
      <c r="DX39" s="456"/>
      <c r="DY39" s="456"/>
      <c r="DZ39" s="456"/>
      <c r="EA39" s="456"/>
      <c r="EB39" s="456"/>
      <c r="EC39" s="456"/>
      <c r="ED39" s="423">
        <v>0</v>
      </c>
      <c r="EE39" s="423">
        <v>1</v>
      </c>
      <c r="EF39" s="423">
        <v>2.5</v>
      </c>
      <c r="EG39" s="423">
        <v>6</v>
      </c>
      <c r="EH39" s="423">
        <v>0</v>
      </c>
      <c r="EI39" s="456"/>
      <c r="EJ39" s="456"/>
      <c r="EK39" s="456"/>
      <c r="EL39" s="456"/>
      <c r="EM39" s="456"/>
      <c r="EN39" s="456"/>
      <c r="EO39" s="425"/>
      <c r="EP39" s="425"/>
      <c r="EQ39" s="425" t="s">
        <v>743</v>
      </c>
      <c r="ER39" s="425">
        <v>1</v>
      </c>
      <c r="ES39" s="425">
        <v>6</v>
      </c>
      <c r="ET39" s="425">
        <v>2320</v>
      </c>
      <c r="EU39" s="457">
        <v>4000</v>
      </c>
      <c r="EV39" s="425">
        <v>200</v>
      </c>
      <c r="EW39" s="425">
        <v>6595829</v>
      </c>
      <c r="EX39" s="425">
        <v>64917</v>
      </c>
      <c r="EY39" s="666">
        <v>18.3</v>
      </c>
      <c r="EZ39" s="666">
        <v>18.3</v>
      </c>
      <c r="FA39" s="666">
        <v>0</v>
      </c>
      <c r="FB39" s="666">
        <v>1.41</v>
      </c>
      <c r="FC39" s="666">
        <v>1.32</v>
      </c>
      <c r="FD39" s="666">
        <v>1.18</v>
      </c>
      <c r="FE39" s="666">
        <v>1.1499999999999999</v>
      </c>
      <c r="FF39" s="666">
        <v>200</v>
      </c>
      <c r="FG39" s="666">
        <v>0.3</v>
      </c>
      <c r="FH39" s="666">
        <v>0.14000000000000001</v>
      </c>
      <c r="FI39" s="666">
        <v>0.22</v>
      </c>
      <c r="FJ39" s="666">
        <v>8.85</v>
      </c>
      <c r="FK39" s="666">
        <v>8.1999999999999993</v>
      </c>
      <c r="FL39" s="666">
        <v>8.31</v>
      </c>
      <c r="FM39" s="666">
        <v>7.6</v>
      </c>
      <c r="FN39" s="666">
        <v>0</v>
      </c>
    </row>
    <row r="40" spans="1:170" s="416" customFormat="1" ht="15">
      <c r="A40" s="425" t="s">
        <v>6</v>
      </c>
      <c r="B40" s="426">
        <v>40569</v>
      </c>
      <c r="C40" s="418">
        <v>0</v>
      </c>
      <c r="D40" s="518">
        <v>0.01</v>
      </c>
      <c r="E40" s="453">
        <v>0</v>
      </c>
      <c r="F40" s="453">
        <v>42</v>
      </c>
      <c r="G40" s="453">
        <v>3.4</v>
      </c>
      <c r="H40" s="519" t="s">
        <v>742</v>
      </c>
      <c r="I40" s="519">
        <v>80.3</v>
      </c>
      <c r="J40" s="483">
        <v>0.16</v>
      </c>
      <c r="K40" s="520" t="s">
        <v>742</v>
      </c>
      <c r="L40" s="453">
        <v>46.049999999999272</v>
      </c>
      <c r="M40" s="453">
        <v>24.4</v>
      </c>
      <c r="N40" s="453">
        <v>1.34</v>
      </c>
      <c r="O40" s="453">
        <v>1.7655487090862698</v>
      </c>
      <c r="P40" s="453" t="s">
        <v>742</v>
      </c>
      <c r="Q40" s="453">
        <v>2.1760237780502245</v>
      </c>
      <c r="R40" s="453">
        <v>690.28538441215323</v>
      </c>
      <c r="S40" s="453">
        <v>7.83</v>
      </c>
      <c r="T40" s="453" t="s">
        <v>742</v>
      </c>
      <c r="U40" s="453">
        <v>0.64</v>
      </c>
      <c r="V40" s="453" t="s">
        <v>742</v>
      </c>
      <c r="W40" s="453">
        <v>48.92</v>
      </c>
      <c r="X40" s="456" t="e">
        <v>#VALUE!</v>
      </c>
      <c r="Y40" s="453">
        <v>29.03</v>
      </c>
      <c r="Z40" s="453">
        <v>16.989999999999998</v>
      </c>
      <c r="AA40" s="519">
        <v>28.899999999994179</v>
      </c>
      <c r="AB40" s="519">
        <v>17.099999999998545</v>
      </c>
      <c r="AC40" s="732">
        <f t="shared" si="0"/>
        <v>45.999999999992724</v>
      </c>
      <c r="AD40" s="664"/>
      <c r="AE40" s="664"/>
      <c r="AF40" s="664"/>
      <c r="AG40" s="664"/>
      <c r="AH40" s="664"/>
      <c r="AI40" s="664"/>
      <c r="AJ40" s="485"/>
      <c r="AK40" s="485"/>
      <c r="AL40" s="485"/>
      <c r="AM40" s="485"/>
      <c r="AN40" s="485"/>
      <c r="AO40" s="665"/>
      <c r="AP40" s="485"/>
      <c r="AQ40" s="483"/>
      <c r="AR40" s="755">
        <v>0</v>
      </c>
      <c r="AS40" s="483">
        <v>18.899999999999999</v>
      </c>
      <c r="AT40" s="755">
        <v>0</v>
      </c>
      <c r="AU40" s="483">
        <v>30</v>
      </c>
      <c r="AV40" s="484">
        <v>392.7</v>
      </c>
      <c r="AW40" s="484">
        <v>400.9</v>
      </c>
      <c r="AX40" s="453">
        <v>0</v>
      </c>
      <c r="AY40" s="734">
        <v>0</v>
      </c>
      <c r="AZ40" s="734">
        <v>0</v>
      </c>
      <c r="BA40" s="734">
        <v>0</v>
      </c>
      <c r="BB40" s="453">
        <v>0</v>
      </c>
      <c r="BC40" s="453">
        <v>0</v>
      </c>
      <c r="BD40" s="453">
        <v>0</v>
      </c>
      <c r="BE40" s="734">
        <v>0</v>
      </c>
      <c r="BF40" s="453">
        <v>0</v>
      </c>
      <c r="BG40" s="453">
        <v>0</v>
      </c>
      <c r="BH40" s="734">
        <v>0</v>
      </c>
      <c r="BI40" s="453">
        <v>0</v>
      </c>
      <c r="BJ40" s="453">
        <v>17.2</v>
      </c>
      <c r="BK40" s="453">
        <v>0</v>
      </c>
      <c r="BL40" s="453">
        <v>0</v>
      </c>
      <c r="BM40" s="453">
        <v>0</v>
      </c>
      <c r="BN40" s="453">
        <v>17.2</v>
      </c>
      <c r="BO40" s="453">
        <v>922.2</v>
      </c>
      <c r="BP40" s="453">
        <v>0</v>
      </c>
      <c r="BQ40" s="453">
        <v>17.899999999999999</v>
      </c>
      <c r="BR40" s="453">
        <v>17.8</v>
      </c>
      <c r="BS40" s="453">
        <v>0</v>
      </c>
      <c r="BT40" s="453">
        <v>30.3</v>
      </c>
      <c r="BU40" s="453">
        <v>27.3</v>
      </c>
      <c r="BV40" s="456">
        <v>657.9</v>
      </c>
      <c r="BW40" s="453">
        <v>0.1</v>
      </c>
      <c r="BX40" s="453">
        <v>1.51</v>
      </c>
      <c r="BY40" s="456">
        <v>1.1000000000000001</v>
      </c>
      <c r="BZ40" s="456">
        <v>14.8</v>
      </c>
      <c r="CA40" s="456">
        <v>40</v>
      </c>
      <c r="CB40" s="456">
        <v>15.2</v>
      </c>
      <c r="CC40" s="456">
        <v>8.1</v>
      </c>
      <c r="CD40" s="456">
        <v>12.4</v>
      </c>
      <c r="CE40" s="456">
        <v>16.399999999999999</v>
      </c>
      <c r="CF40" s="456">
        <v>12.73</v>
      </c>
      <c r="CG40" s="456">
        <v>514.6</v>
      </c>
      <c r="CH40" s="456">
        <v>2.1</v>
      </c>
      <c r="CI40" s="456">
        <v>3.2</v>
      </c>
      <c r="CJ40" s="456">
        <v>277.7</v>
      </c>
      <c r="CK40" s="456">
        <v>382.9</v>
      </c>
      <c r="CL40" s="456">
        <v>430.9</v>
      </c>
      <c r="CM40" s="456">
        <v>10.6</v>
      </c>
      <c r="CN40" s="456">
        <v>1.72</v>
      </c>
      <c r="CO40" s="453">
        <v>0</v>
      </c>
      <c r="CP40" s="453">
        <v>15.46</v>
      </c>
      <c r="CQ40" s="453">
        <v>46</v>
      </c>
      <c r="CR40" s="456">
        <v>0</v>
      </c>
      <c r="CS40" s="456">
        <v>0</v>
      </c>
      <c r="CT40" s="456">
        <v>0</v>
      </c>
      <c r="CU40" s="456">
        <v>0</v>
      </c>
      <c r="CV40" s="481">
        <v>3734.1176470588234</v>
      </c>
      <c r="CW40" s="481">
        <v>5454.166666666667</v>
      </c>
      <c r="CX40" s="481">
        <v>3787.2916666666665</v>
      </c>
      <c r="CY40" s="481">
        <v>1088.77</v>
      </c>
      <c r="CZ40" s="456"/>
      <c r="DA40" s="456"/>
      <c r="DB40" s="456"/>
      <c r="DC40" s="456"/>
      <c r="DD40" s="456"/>
      <c r="DE40" s="456"/>
      <c r="DF40" s="456"/>
      <c r="DG40" s="425"/>
      <c r="DH40" s="456">
        <v>0</v>
      </c>
      <c r="DI40" s="456">
        <v>0.56999999999999995</v>
      </c>
      <c r="DJ40" s="456">
        <v>1.36</v>
      </c>
      <c r="DK40" s="425"/>
      <c r="DL40" s="456"/>
      <c r="DM40" s="456"/>
      <c r="DN40" s="456"/>
      <c r="DO40" s="456"/>
      <c r="DP40" s="456"/>
      <c r="DQ40" s="456"/>
      <c r="DR40" s="456"/>
      <c r="DS40" s="456"/>
      <c r="DT40" s="456"/>
      <c r="DU40" s="456"/>
      <c r="DV40" s="456"/>
      <c r="DW40" s="456"/>
      <c r="DX40" s="456"/>
      <c r="DY40" s="456"/>
      <c r="DZ40" s="456"/>
      <c r="EA40" s="456"/>
      <c r="EB40" s="456"/>
      <c r="EC40" s="456"/>
      <c r="ED40" s="423">
        <v>0</v>
      </c>
      <c r="EE40" s="423">
        <v>1</v>
      </c>
      <c r="EF40" s="423">
        <v>2.5</v>
      </c>
      <c r="EG40" s="423">
        <v>6</v>
      </c>
      <c r="EH40" s="423">
        <v>0</v>
      </c>
      <c r="EI40" s="456"/>
      <c r="EJ40" s="456"/>
      <c r="EK40" s="456"/>
      <c r="EL40" s="456"/>
      <c r="EM40" s="456"/>
      <c r="EN40" s="456"/>
      <c r="EO40" s="425"/>
      <c r="EP40" s="425"/>
      <c r="EQ40" s="425" t="s">
        <v>743</v>
      </c>
      <c r="ER40" s="425">
        <v>1</v>
      </c>
      <c r="ES40" s="425">
        <v>6</v>
      </c>
      <c r="ET40" s="425">
        <v>2080</v>
      </c>
      <c r="EU40" s="457">
        <v>4000</v>
      </c>
      <c r="EV40" s="425">
        <v>310</v>
      </c>
      <c r="EW40" s="425">
        <v>6598679</v>
      </c>
      <c r="EX40" s="425">
        <v>65720</v>
      </c>
      <c r="EY40" s="666">
        <v>17.82</v>
      </c>
      <c r="EZ40" s="666">
        <v>17.82</v>
      </c>
      <c r="FA40" s="666">
        <v>0</v>
      </c>
      <c r="FB40" s="666">
        <v>1.39</v>
      </c>
      <c r="FC40" s="666">
        <v>1.31</v>
      </c>
      <c r="FD40" s="666">
        <v>1.2</v>
      </c>
      <c r="FE40" s="666">
        <v>1.1599999999999999</v>
      </c>
      <c r="FF40" s="666">
        <v>240</v>
      </c>
      <c r="FG40" s="666">
        <v>0.31</v>
      </c>
      <c r="FH40" s="666">
        <v>0.14399999999999999</v>
      </c>
      <c r="FI40" s="666">
        <v>0.21</v>
      </c>
      <c r="FJ40" s="666">
        <v>8.91</v>
      </c>
      <c r="FK40" s="666">
        <v>8</v>
      </c>
      <c r="FL40" s="666">
        <v>8.31</v>
      </c>
      <c r="FM40" s="666">
        <v>7.6</v>
      </c>
      <c r="FN40" s="666">
        <v>0</v>
      </c>
    </row>
    <row r="41" spans="1:170" s="416" customFormat="1" ht="15">
      <c r="A41" s="425" t="s">
        <v>7</v>
      </c>
      <c r="B41" s="426">
        <v>40570</v>
      </c>
      <c r="C41" s="418">
        <v>0</v>
      </c>
      <c r="D41" s="518">
        <v>0.01</v>
      </c>
      <c r="E41" s="453">
        <v>0</v>
      </c>
      <c r="F41" s="453">
        <v>41</v>
      </c>
      <c r="G41" s="453">
        <v>2.8</v>
      </c>
      <c r="H41" s="519" t="s">
        <v>742</v>
      </c>
      <c r="I41" s="519">
        <v>73.599999999999994</v>
      </c>
      <c r="J41" s="483">
        <v>0.09</v>
      </c>
      <c r="K41" s="520" t="s">
        <v>742</v>
      </c>
      <c r="L41" s="453">
        <v>45.559999999999491</v>
      </c>
      <c r="M41" s="453">
        <v>24.4</v>
      </c>
      <c r="N41" s="453">
        <v>1.34</v>
      </c>
      <c r="O41" s="453">
        <v>1.7665296438692097</v>
      </c>
      <c r="P41" s="453" t="s">
        <v>742</v>
      </c>
      <c r="Q41" s="453">
        <v>2.3738441215323647</v>
      </c>
      <c r="R41" s="453">
        <v>687.31570541611609</v>
      </c>
      <c r="S41" s="453">
        <v>7.83</v>
      </c>
      <c r="T41" s="453" t="s">
        <v>742</v>
      </c>
      <c r="U41" s="453" t="s">
        <v>745</v>
      </c>
      <c r="V41" s="453" t="s">
        <v>742</v>
      </c>
      <c r="W41" s="453">
        <v>48.92</v>
      </c>
      <c r="X41" s="456" t="e">
        <v>#VALUE!</v>
      </c>
      <c r="Y41" s="453">
        <v>28.96</v>
      </c>
      <c r="Z41" s="453">
        <v>16.89</v>
      </c>
      <c r="AA41" s="519">
        <v>28.899999999994179</v>
      </c>
      <c r="AB41" s="519">
        <v>17</v>
      </c>
      <c r="AC41" s="732">
        <f t="shared" si="0"/>
        <v>45.899999999994179</v>
      </c>
      <c r="AD41" s="664"/>
      <c r="AE41" s="664"/>
      <c r="AF41" s="664"/>
      <c r="AG41" s="664"/>
      <c r="AH41" s="664"/>
      <c r="AI41" s="664"/>
      <c r="AJ41" s="485"/>
      <c r="AK41" s="485"/>
      <c r="AL41" s="485"/>
      <c r="AM41" s="485"/>
      <c r="AN41" s="485"/>
      <c r="AO41" s="665"/>
      <c r="AP41" s="485"/>
      <c r="AQ41" s="483"/>
      <c r="AR41" s="755">
        <v>0</v>
      </c>
      <c r="AS41" s="483">
        <v>18.3</v>
      </c>
      <c r="AT41" s="755">
        <v>0</v>
      </c>
      <c r="AU41" s="483">
        <v>30.1</v>
      </c>
      <c r="AV41" s="484">
        <v>332.6</v>
      </c>
      <c r="AW41" s="484">
        <v>384.9</v>
      </c>
      <c r="AX41" s="453">
        <v>0</v>
      </c>
      <c r="AY41" s="734">
        <v>0</v>
      </c>
      <c r="AZ41" s="734">
        <v>0</v>
      </c>
      <c r="BA41" s="734">
        <v>0</v>
      </c>
      <c r="BB41" s="453">
        <v>0</v>
      </c>
      <c r="BC41" s="453">
        <v>0</v>
      </c>
      <c r="BD41" s="453">
        <v>0</v>
      </c>
      <c r="BE41" s="734">
        <v>0</v>
      </c>
      <c r="BF41" s="453">
        <v>0</v>
      </c>
      <c r="BG41" s="453">
        <v>0</v>
      </c>
      <c r="BH41" s="734">
        <v>0</v>
      </c>
      <c r="BI41" s="453">
        <v>0</v>
      </c>
      <c r="BJ41" s="453">
        <v>17.2</v>
      </c>
      <c r="BK41" s="453">
        <v>0</v>
      </c>
      <c r="BL41" s="453">
        <v>0</v>
      </c>
      <c r="BM41" s="453">
        <v>0</v>
      </c>
      <c r="BN41" s="453">
        <v>17</v>
      </c>
      <c r="BO41" s="453">
        <v>1550</v>
      </c>
      <c r="BP41" s="453">
        <v>0</v>
      </c>
      <c r="BQ41" s="453">
        <v>18</v>
      </c>
      <c r="BR41" s="453">
        <v>18</v>
      </c>
      <c r="BS41" s="453">
        <v>0</v>
      </c>
      <c r="BT41" s="453">
        <v>30.4</v>
      </c>
      <c r="BU41" s="453">
        <v>25</v>
      </c>
      <c r="BV41" s="456">
        <v>454.6</v>
      </c>
      <c r="BW41" s="453">
        <v>0.1</v>
      </c>
      <c r="BX41" s="453">
        <v>1.51</v>
      </c>
      <c r="BY41" s="456">
        <v>1.1000000000000001</v>
      </c>
      <c r="BZ41" s="456">
        <v>14.87</v>
      </c>
      <c r="CA41" s="456">
        <v>38.799999999999997</v>
      </c>
      <c r="CB41" s="456">
        <v>14.41</v>
      </c>
      <c r="CC41" s="456">
        <v>9.67</v>
      </c>
      <c r="CD41" s="456">
        <v>13.8</v>
      </c>
      <c r="CE41" s="456">
        <v>18.2</v>
      </c>
      <c r="CF41" s="456">
        <v>13.01</v>
      </c>
      <c r="CG41" s="456">
        <v>537.1</v>
      </c>
      <c r="CH41" s="456">
        <v>2.1</v>
      </c>
      <c r="CI41" s="456">
        <v>3.1</v>
      </c>
      <c r="CJ41" s="456">
        <v>242.9</v>
      </c>
      <c r="CK41" s="456">
        <v>379.1</v>
      </c>
      <c r="CL41" s="757">
        <v>460.2</v>
      </c>
      <c r="CM41" s="456">
        <v>10.8</v>
      </c>
      <c r="CN41" s="456">
        <v>1.75</v>
      </c>
      <c r="CO41" s="453">
        <v>0</v>
      </c>
      <c r="CP41" s="453">
        <v>15.55</v>
      </c>
      <c r="CQ41" s="453">
        <v>46</v>
      </c>
      <c r="CR41" s="456">
        <v>0</v>
      </c>
      <c r="CS41" s="456">
        <v>0</v>
      </c>
      <c r="CT41" s="456">
        <v>0</v>
      </c>
      <c r="CU41" s="456">
        <v>0</v>
      </c>
      <c r="CV41" s="481">
        <v>3108.8235294117649</v>
      </c>
      <c r="CW41" s="481">
        <v>4741.5625</v>
      </c>
      <c r="CX41" s="481">
        <v>3060.8333333333335</v>
      </c>
      <c r="CY41" s="481">
        <v>1082.48</v>
      </c>
      <c r="CZ41" s="456"/>
      <c r="DA41" s="456"/>
      <c r="DB41" s="456"/>
      <c r="DC41" s="456"/>
      <c r="DD41" s="456"/>
      <c r="DE41" s="456"/>
      <c r="DF41" s="456"/>
      <c r="DG41" s="425"/>
      <c r="DH41" s="456">
        <v>0</v>
      </c>
      <c r="DI41" s="456">
        <v>0.71</v>
      </c>
      <c r="DJ41" s="456">
        <v>1.2</v>
      </c>
      <c r="DK41" s="425"/>
      <c r="DL41" s="456"/>
      <c r="DM41" s="456"/>
      <c r="DN41" s="456"/>
      <c r="DO41" s="456"/>
      <c r="DP41" s="456"/>
      <c r="DQ41" s="456"/>
      <c r="DR41" s="456"/>
      <c r="DS41" s="456"/>
      <c r="DT41" s="456"/>
      <c r="DU41" s="456"/>
      <c r="DV41" s="456"/>
      <c r="DW41" s="456"/>
      <c r="DX41" s="456"/>
      <c r="DY41" s="456"/>
      <c r="DZ41" s="456"/>
      <c r="EA41" s="456"/>
      <c r="EB41" s="456"/>
      <c r="EC41" s="456"/>
      <c r="ED41" s="423">
        <v>0</v>
      </c>
      <c r="EE41" s="423">
        <v>1</v>
      </c>
      <c r="EF41" s="423">
        <v>2.5</v>
      </c>
      <c r="EG41" s="423">
        <v>6</v>
      </c>
      <c r="EH41" s="423">
        <v>0</v>
      </c>
      <c r="EI41" s="456"/>
      <c r="EJ41" s="456"/>
      <c r="EK41" s="456"/>
      <c r="EL41" s="456"/>
      <c r="EM41" s="456"/>
      <c r="EN41" s="456"/>
      <c r="EO41" s="425"/>
      <c r="EP41" s="425"/>
      <c r="EQ41" s="425" t="s">
        <v>743</v>
      </c>
      <c r="ER41" s="425">
        <v>1</v>
      </c>
      <c r="ES41" s="425">
        <v>6</v>
      </c>
      <c r="ET41" s="425">
        <v>1860</v>
      </c>
      <c r="EU41" s="457">
        <v>4000</v>
      </c>
      <c r="EV41" s="425">
        <v>240</v>
      </c>
      <c r="EW41" s="425">
        <v>6601183</v>
      </c>
      <c r="EX41" s="425">
        <v>66564</v>
      </c>
      <c r="EY41" s="666">
        <v>18.18</v>
      </c>
      <c r="EZ41" s="666">
        <v>18.170000000000002</v>
      </c>
      <c r="FA41" s="666">
        <v>0</v>
      </c>
      <c r="FB41" s="666">
        <v>1.38</v>
      </c>
      <c r="FC41" s="666">
        <v>1.3</v>
      </c>
      <c r="FD41" s="666">
        <v>1.153</v>
      </c>
      <c r="FE41" s="666">
        <v>1.1499999999999999</v>
      </c>
      <c r="FF41" s="666">
        <v>220</v>
      </c>
      <c r="FG41" s="666">
        <v>0.28999999999999998</v>
      </c>
      <c r="FH41" s="666">
        <v>0.13800000000000001</v>
      </c>
      <c r="FI41" s="666">
        <v>0.33</v>
      </c>
      <c r="FJ41" s="666">
        <v>8.6999999999999993</v>
      </c>
      <c r="FK41" s="666">
        <v>8.6</v>
      </c>
      <c r="FL41" s="666">
        <v>8.36</v>
      </c>
      <c r="FM41" s="666">
        <v>7.7</v>
      </c>
      <c r="FN41" s="666">
        <v>0</v>
      </c>
    </row>
    <row r="42" spans="1:170" s="416" customFormat="1" ht="15">
      <c r="A42" s="425" t="s">
        <v>8</v>
      </c>
      <c r="B42" s="426">
        <v>40571</v>
      </c>
      <c r="C42" s="418">
        <v>0</v>
      </c>
      <c r="D42" s="518">
        <v>0.38</v>
      </c>
      <c r="E42" s="453">
        <v>0</v>
      </c>
      <c r="F42" s="453">
        <v>44</v>
      </c>
      <c r="G42" s="453">
        <v>2.5</v>
      </c>
      <c r="H42" s="519">
        <v>58.5</v>
      </c>
      <c r="I42" s="519" t="s">
        <v>742</v>
      </c>
      <c r="J42" s="483">
        <v>7.0000000000000007E-2</v>
      </c>
      <c r="K42" s="520" t="s">
        <v>742</v>
      </c>
      <c r="L42" s="453">
        <v>46.579999999999927</v>
      </c>
      <c r="M42" s="453">
        <v>25.4</v>
      </c>
      <c r="N42" s="453">
        <v>1.34</v>
      </c>
      <c r="O42" s="453">
        <v>1.7610219511509597</v>
      </c>
      <c r="P42" s="453" t="s">
        <v>742</v>
      </c>
      <c r="Q42" s="453">
        <v>2.7694848084544255</v>
      </c>
      <c r="R42" s="453">
        <v>701.83413606340821</v>
      </c>
      <c r="S42" s="453">
        <v>7.76</v>
      </c>
      <c r="T42" s="453" t="s">
        <v>742</v>
      </c>
      <c r="U42" s="453">
        <v>0.68</v>
      </c>
      <c r="V42" s="453" t="s">
        <v>742</v>
      </c>
      <c r="W42" s="453">
        <v>48.92</v>
      </c>
      <c r="X42" s="456" t="e">
        <v>#VALUE!</v>
      </c>
      <c r="Y42" s="453">
        <v>29.41</v>
      </c>
      <c r="Z42" s="453">
        <v>17.09</v>
      </c>
      <c r="AA42" s="519">
        <v>29.5</v>
      </c>
      <c r="AB42" s="519">
        <v>17.400000000001455</v>
      </c>
      <c r="AC42" s="732">
        <f t="shared" si="0"/>
        <v>46.900000000001455</v>
      </c>
      <c r="AD42" s="664"/>
      <c r="AE42" s="664"/>
      <c r="AF42" s="664"/>
      <c r="AG42" s="664"/>
      <c r="AH42" s="664"/>
      <c r="AI42" s="664"/>
      <c r="AJ42" s="485"/>
      <c r="AK42" s="485"/>
      <c r="AL42" s="485"/>
      <c r="AM42" s="485"/>
      <c r="AN42" s="485"/>
      <c r="AO42" s="665"/>
      <c r="AP42" s="485"/>
      <c r="AQ42" s="483"/>
      <c r="AR42" s="755">
        <v>0</v>
      </c>
      <c r="AS42" s="483">
        <v>26.6</v>
      </c>
      <c r="AT42" s="755">
        <v>0</v>
      </c>
      <c r="AU42" s="483">
        <v>30.1</v>
      </c>
      <c r="AV42" s="484">
        <v>0</v>
      </c>
      <c r="AW42" s="484">
        <v>1837.5</v>
      </c>
      <c r="AX42" s="453">
        <v>0</v>
      </c>
      <c r="AY42" s="734">
        <v>0</v>
      </c>
      <c r="AZ42" s="734">
        <v>0</v>
      </c>
      <c r="BA42" s="734">
        <v>0</v>
      </c>
      <c r="BB42" s="453">
        <v>0</v>
      </c>
      <c r="BC42" s="453">
        <v>0</v>
      </c>
      <c r="BD42" s="453">
        <v>0</v>
      </c>
      <c r="BE42" s="734">
        <v>0</v>
      </c>
      <c r="BF42" s="453">
        <v>0</v>
      </c>
      <c r="BG42" s="453">
        <v>0</v>
      </c>
      <c r="BH42" s="734">
        <v>0</v>
      </c>
      <c r="BI42" s="453">
        <v>0</v>
      </c>
      <c r="BJ42" s="453">
        <v>17.2</v>
      </c>
      <c r="BK42" s="453">
        <v>0</v>
      </c>
      <c r="BL42" s="453">
        <v>0</v>
      </c>
      <c r="BM42" s="453">
        <v>0</v>
      </c>
      <c r="BN42" s="453">
        <v>17</v>
      </c>
      <c r="BO42" s="453">
        <v>1140.4000000000001</v>
      </c>
      <c r="BP42" s="453">
        <v>0</v>
      </c>
      <c r="BQ42" s="453">
        <v>18.100000000000001</v>
      </c>
      <c r="BR42" s="453">
        <v>18.010000000000002</v>
      </c>
      <c r="BS42" s="453">
        <v>0</v>
      </c>
      <c r="BT42" s="453">
        <v>29.8</v>
      </c>
      <c r="BU42" s="453">
        <v>24.8</v>
      </c>
      <c r="BV42" s="456">
        <v>650.5</v>
      </c>
      <c r="BW42" s="453">
        <v>0.1</v>
      </c>
      <c r="BX42" s="453">
        <v>1.5</v>
      </c>
      <c r="BY42" s="456">
        <v>1.1200000000000001</v>
      </c>
      <c r="BZ42" s="456">
        <v>15.02</v>
      </c>
      <c r="CA42" s="456">
        <v>38.799999999999997</v>
      </c>
      <c r="CB42" s="456">
        <v>13.7</v>
      </c>
      <c r="CC42" s="456">
        <v>9.4</v>
      </c>
      <c r="CD42" s="456">
        <v>13.63</v>
      </c>
      <c r="CE42" s="456">
        <v>17.7</v>
      </c>
      <c r="CF42" s="456">
        <v>12.99</v>
      </c>
      <c r="CG42" s="456">
        <v>516.9</v>
      </c>
      <c r="CH42" s="456">
        <v>2.1</v>
      </c>
      <c r="CI42" s="456">
        <v>2.9</v>
      </c>
      <c r="CJ42" s="456">
        <v>253.1</v>
      </c>
      <c r="CK42" s="456">
        <v>386.9</v>
      </c>
      <c r="CL42" s="456">
        <v>498.1</v>
      </c>
      <c r="CM42" s="456">
        <v>10.7</v>
      </c>
      <c r="CN42" s="456">
        <v>1.78</v>
      </c>
      <c r="CO42" s="453">
        <v>0</v>
      </c>
      <c r="CP42" s="453">
        <v>15.39</v>
      </c>
      <c r="CQ42" s="453">
        <v>46</v>
      </c>
      <c r="CR42" s="456">
        <v>0</v>
      </c>
      <c r="CS42" s="456">
        <v>0</v>
      </c>
      <c r="CT42" s="456">
        <v>0</v>
      </c>
      <c r="CU42" s="456">
        <v>0</v>
      </c>
      <c r="CV42" s="481">
        <v>2205</v>
      </c>
      <c r="CW42" s="481">
        <v>3706.98</v>
      </c>
      <c r="CX42" s="481">
        <v>2363.96</v>
      </c>
      <c r="CY42" s="481">
        <v>1081.3499999999999</v>
      </c>
      <c r="CZ42" s="456"/>
      <c r="DA42" s="456"/>
      <c r="DB42" s="456"/>
      <c r="DC42" s="456"/>
      <c r="DD42" s="456"/>
      <c r="DE42" s="456"/>
      <c r="DF42" s="456"/>
      <c r="DG42" s="425"/>
      <c r="DH42" s="456">
        <v>0</v>
      </c>
      <c r="DI42" s="456">
        <v>0.66</v>
      </c>
      <c r="DJ42" s="456">
        <v>1.25</v>
      </c>
      <c r="DK42" s="425"/>
      <c r="DL42" s="456"/>
      <c r="DM42" s="456"/>
      <c r="DN42" s="456"/>
      <c r="DO42" s="456"/>
      <c r="DP42" s="456"/>
      <c r="DQ42" s="456"/>
      <c r="DR42" s="456"/>
      <c r="DS42" s="456"/>
      <c r="DT42" s="456"/>
      <c r="DU42" s="456"/>
      <c r="DV42" s="456"/>
      <c r="DW42" s="456"/>
      <c r="DX42" s="456"/>
      <c r="DY42" s="456"/>
      <c r="DZ42" s="456"/>
      <c r="EA42" s="456"/>
      <c r="EB42" s="456"/>
      <c r="EC42" s="456"/>
      <c r="ED42" s="423">
        <v>0</v>
      </c>
      <c r="EE42" s="423">
        <v>1</v>
      </c>
      <c r="EF42" s="423">
        <v>2.5</v>
      </c>
      <c r="EG42" s="423">
        <v>6</v>
      </c>
      <c r="EH42" s="423">
        <v>0</v>
      </c>
      <c r="EI42" s="456"/>
      <c r="EJ42" s="456"/>
      <c r="EK42" s="456"/>
      <c r="EL42" s="456"/>
      <c r="EM42" s="456"/>
      <c r="EN42" s="456"/>
      <c r="EO42" s="425"/>
      <c r="EP42" s="425"/>
      <c r="EQ42" s="425" t="s">
        <v>743</v>
      </c>
      <c r="ER42" s="425">
        <v>1</v>
      </c>
      <c r="ES42" s="425">
        <v>6</v>
      </c>
      <c r="ET42" s="425">
        <v>1650</v>
      </c>
      <c r="EU42" s="457">
        <v>4000</v>
      </c>
      <c r="EV42" s="425">
        <v>275</v>
      </c>
      <c r="EW42" s="425">
        <v>6603652</v>
      </c>
      <c r="EX42" s="425">
        <v>67382</v>
      </c>
      <c r="EY42" s="666">
        <v>18.399999999999999</v>
      </c>
      <c r="EZ42" s="666">
        <v>18.399999999999999</v>
      </c>
      <c r="FA42" s="666">
        <v>0</v>
      </c>
      <c r="FB42" s="666">
        <v>1.38</v>
      </c>
      <c r="FC42" s="666">
        <v>1.31</v>
      </c>
      <c r="FD42" s="666">
        <v>1.1950000000000001</v>
      </c>
      <c r="FE42" s="666">
        <v>1.19</v>
      </c>
      <c r="FF42" s="666">
        <v>210</v>
      </c>
      <c r="FG42" s="666">
        <v>0.36</v>
      </c>
      <c r="FH42" s="666">
        <v>0.13700000000000001</v>
      </c>
      <c r="FI42" s="666">
        <v>0.2</v>
      </c>
      <c r="FJ42" s="666">
        <v>7.84</v>
      </c>
      <c r="FK42" s="666">
        <v>8.1999999999999993</v>
      </c>
      <c r="FL42" s="666">
        <v>8.84</v>
      </c>
      <c r="FM42" s="666">
        <v>7.8</v>
      </c>
      <c r="FN42" s="666">
        <v>0</v>
      </c>
    </row>
    <row r="43" spans="1:170" s="416" customFormat="1" ht="15">
      <c r="A43" s="425" t="s">
        <v>9</v>
      </c>
      <c r="B43" s="426">
        <v>40572</v>
      </c>
      <c r="C43" s="418">
        <v>0</v>
      </c>
      <c r="D43" s="518">
        <v>1.02</v>
      </c>
      <c r="E43" s="453">
        <v>0</v>
      </c>
      <c r="F43" s="453">
        <v>43</v>
      </c>
      <c r="G43" s="453">
        <v>2.6</v>
      </c>
      <c r="H43" s="519">
        <v>24.4</v>
      </c>
      <c r="I43" s="519" t="s">
        <v>742</v>
      </c>
      <c r="J43" s="483">
        <v>0.06</v>
      </c>
      <c r="K43" s="520" t="s">
        <v>742</v>
      </c>
      <c r="L43" s="453">
        <v>45.319999999999709</v>
      </c>
      <c r="M43" s="453">
        <v>25.5</v>
      </c>
      <c r="N43" s="453">
        <v>1.33</v>
      </c>
      <c r="O43" s="453">
        <v>1.7647656956129327</v>
      </c>
      <c r="P43" s="453" t="s">
        <v>742</v>
      </c>
      <c r="Q43" s="453">
        <v>2.4397842360252922</v>
      </c>
      <c r="R43" s="453">
        <v>683.35613342140016</v>
      </c>
      <c r="S43" s="453">
        <v>7.79</v>
      </c>
      <c r="T43" s="453" t="s">
        <v>742</v>
      </c>
      <c r="U43" s="453">
        <v>0.7</v>
      </c>
      <c r="V43" s="453" t="s">
        <v>742</v>
      </c>
      <c r="W43" s="453">
        <v>48.92</v>
      </c>
      <c r="X43" s="456" t="e">
        <v>#VALUE!</v>
      </c>
      <c r="Y43" s="453">
        <v>29.2</v>
      </c>
      <c r="Z43" s="453">
        <v>16.899999999999999</v>
      </c>
      <c r="AA43" s="519">
        <v>28.600000000005821</v>
      </c>
      <c r="AB43" s="519">
        <v>16.919999999998254</v>
      </c>
      <c r="AC43" s="732">
        <f t="shared" si="0"/>
        <v>45.520000000004075</v>
      </c>
      <c r="AD43" s="664"/>
      <c r="AE43" s="664"/>
      <c r="AF43" s="664"/>
      <c r="AG43" s="664"/>
      <c r="AH43" s="664"/>
      <c r="AI43" s="664"/>
      <c r="AJ43" s="485"/>
      <c r="AK43" s="485"/>
      <c r="AL43" s="485"/>
      <c r="AM43" s="485"/>
      <c r="AN43" s="485"/>
      <c r="AO43" s="665"/>
      <c r="AP43" s="485"/>
      <c r="AQ43" s="483"/>
      <c r="AR43" s="755">
        <v>0</v>
      </c>
      <c r="AS43" s="483">
        <v>28.3</v>
      </c>
      <c r="AT43" s="755">
        <v>0</v>
      </c>
      <c r="AU43" s="483">
        <v>30.1</v>
      </c>
      <c r="AV43" s="484">
        <v>0</v>
      </c>
      <c r="AW43" s="484">
        <v>643</v>
      </c>
      <c r="AX43" s="453">
        <v>0</v>
      </c>
      <c r="AY43" s="734">
        <v>0</v>
      </c>
      <c r="AZ43" s="734">
        <v>0</v>
      </c>
      <c r="BA43" s="734">
        <v>0</v>
      </c>
      <c r="BB43" s="453">
        <v>0</v>
      </c>
      <c r="BC43" s="453">
        <v>0</v>
      </c>
      <c r="BD43" s="453">
        <v>0</v>
      </c>
      <c r="BE43" s="734">
        <v>0</v>
      </c>
      <c r="BF43" s="453">
        <v>0</v>
      </c>
      <c r="BG43" s="453">
        <v>0</v>
      </c>
      <c r="BH43" s="734">
        <v>0</v>
      </c>
      <c r="BI43" s="453">
        <v>0</v>
      </c>
      <c r="BJ43" s="453">
        <v>17.2</v>
      </c>
      <c r="BK43" s="453">
        <v>0</v>
      </c>
      <c r="BL43" s="453">
        <v>0</v>
      </c>
      <c r="BM43" s="453">
        <v>0</v>
      </c>
      <c r="BN43" s="453">
        <v>17</v>
      </c>
      <c r="BO43" s="453">
        <v>1212.3</v>
      </c>
      <c r="BP43" s="453">
        <v>0</v>
      </c>
      <c r="BQ43" s="453">
        <v>18.399999999999999</v>
      </c>
      <c r="BR43" s="453">
        <v>18.3</v>
      </c>
      <c r="BS43" s="453">
        <v>0</v>
      </c>
      <c r="BT43" s="453">
        <v>30.7</v>
      </c>
      <c r="BU43" s="453">
        <v>24.7</v>
      </c>
      <c r="BV43" s="456">
        <v>660.3</v>
      </c>
      <c r="BW43" s="453">
        <v>0.1</v>
      </c>
      <c r="BX43" s="453">
        <v>1.51</v>
      </c>
      <c r="BY43" s="456">
        <v>1.1299999999999999</v>
      </c>
      <c r="BZ43" s="456">
        <v>15.5</v>
      </c>
      <c r="CA43" s="456">
        <v>38.799999999999997</v>
      </c>
      <c r="CB43" s="456">
        <v>12.8</v>
      </c>
      <c r="CC43" s="456">
        <v>8.8000000000000007</v>
      </c>
      <c r="CD43" s="456">
        <v>13</v>
      </c>
      <c r="CE43" s="456">
        <v>17.09</v>
      </c>
      <c r="CF43" s="456">
        <v>13.23</v>
      </c>
      <c r="CG43" s="456">
        <v>516.29999999999995</v>
      </c>
      <c r="CH43" s="456">
        <v>2</v>
      </c>
      <c r="CI43" s="456">
        <v>2.5</v>
      </c>
      <c r="CJ43" s="456">
        <v>304</v>
      </c>
      <c r="CK43" s="456">
        <v>409.4</v>
      </c>
      <c r="CL43" s="456">
        <v>497.9</v>
      </c>
      <c r="CM43" s="456">
        <v>10.3</v>
      </c>
      <c r="CN43" s="456">
        <v>1.7</v>
      </c>
      <c r="CO43" s="453">
        <v>0</v>
      </c>
      <c r="CP43" s="453">
        <v>15.18</v>
      </c>
      <c r="CQ43" s="453">
        <v>46</v>
      </c>
      <c r="CR43" s="456">
        <v>0</v>
      </c>
      <c r="CS43" s="456">
        <v>0</v>
      </c>
      <c r="CT43" s="456">
        <v>0</v>
      </c>
      <c r="CU43" s="456">
        <v>0</v>
      </c>
      <c r="CV43" s="481">
        <v>2041.1764705882354</v>
      </c>
      <c r="CW43" s="481">
        <v>3432.7083333333335</v>
      </c>
      <c r="CX43" s="481">
        <v>2234.7916666666665</v>
      </c>
      <c r="CY43" s="481">
        <v>1083.5</v>
      </c>
      <c r="CZ43" s="456"/>
      <c r="DA43" s="456"/>
      <c r="DB43" s="456"/>
      <c r="DC43" s="456"/>
      <c r="DD43" s="456"/>
      <c r="DE43" s="456"/>
      <c r="DF43" s="456"/>
      <c r="DG43" s="425"/>
      <c r="DH43" s="456">
        <v>0</v>
      </c>
      <c r="DI43" s="456">
        <v>0.63</v>
      </c>
      <c r="DJ43" s="456">
        <v>1.22</v>
      </c>
      <c r="DK43" s="425"/>
      <c r="DL43" s="456"/>
      <c r="DM43" s="456"/>
      <c r="DN43" s="456"/>
      <c r="DO43" s="456"/>
      <c r="DP43" s="456"/>
      <c r="DQ43" s="456"/>
      <c r="DR43" s="456"/>
      <c r="DS43" s="456"/>
      <c r="DT43" s="456"/>
      <c r="DU43" s="456"/>
      <c r="DV43" s="456"/>
      <c r="DW43" s="456"/>
      <c r="DX43" s="456"/>
      <c r="DY43" s="456"/>
      <c r="DZ43" s="456"/>
      <c r="EA43" s="456"/>
      <c r="EB43" s="456"/>
      <c r="EC43" s="456"/>
      <c r="ED43" s="423">
        <v>0</v>
      </c>
      <c r="EE43" s="423">
        <v>1</v>
      </c>
      <c r="EF43" s="423">
        <v>2.5</v>
      </c>
      <c r="EG43" s="423">
        <v>6</v>
      </c>
      <c r="EH43" s="423">
        <v>0</v>
      </c>
      <c r="EI43" s="456"/>
      <c r="EJ43" s="456"/>
      <c r="EK43" s="456"/>
      <c r="EL43" s="456"/>
      <c r="EM43" s="456"/>
      <c r="EN43" s="456"/>
      <c r="EO43" s="425"/>
      <c r="EP43" s="425"/>
      <c r="EQ43" s="425" t="s">
        <v>743</v>
      </c>
      <c r="ER43" s="425">
        <v>1</v>
      </c>
      <c r="ES43" s="425">
        <v>6</v>
      </c>
      <c r="ET43" s="425">
        <v>1470</v>
      </c>
      <c r="EU43" s="457">
        <v>4000</v>
      </c>
      <c r="EV43" s="425">
        <v>285</v>
      </c>
      <c r="EW43" s="425">
        <v>6606018</v>
      </c>
      <c r="EX43" s="425">
        <v>68160</v>
      </c>
      <c r="EY43" s="666">
        <v>18.690000000000001</v>
      </c>
      <c r="EZ43" s="666">
        <v>18.68</v>
      </c>
      <c r="FA43" s="666">
        <v>0</v>
      </c>
      <c r="FB43" s="666">
        <v>1.4</v>
      </c>
      <c r="FC43" s="666">
        <v>1.26</v>
      </c>
      <c r="FD43" s="666">
        <v>1.153</v>
      </c>
      <c r="FE43" s="666">
        <v>1.1299999999999999</v>
      </c>
      <c r="FF43" s="666">
        <v>180</v>
      </c>
      <c r="FG43" s="666">
        <v>0.25</v>
      </c>
      <c r="FH43" s="666">
        <v>0.14299999999999999</v>
      </c>
      <c r="FI43" s="666">
        <v>0.28000000000000003</v>
      </c>
      <c r="FJ43" s="666">
        <v>8.1199999999999992</v>
      </c>
      <c r="FK43" s="666">
        <v>8.1</v>
      </c>
      <c r="FL43" s="666">
        <v>8.36</v>
      </c>
      <c r="FM43" s="666">
        <v>8.1999999999999993</v>
      </c>
      <c r="FN43" s="666">
        <v>0</v>
      </c>
    </row>
    <row r="44" spans="1:170" s="416" customFormat="1" ht="15">
      <c r="A44" s="425" t="s">
        <v>3</v>
      </c>
      <c r="B44" s="426">
        <v>40573</v>
      </c>
      <c r="C44" s="418">
        <v>0</v>
      </c>
      <c r="D44" s="518">
        <v>0.23</v>
      </c>
      <c r="E44" s="453">
        <v>0</v>
      </c>
      <c r="F44" s="453">
        <v>37</v>
      </c>
      <c r="G44" s="453">
        <v>2.8</v>
      </c>
      <c r="H44" s="519">
        <v>13.8</v>
      </c>
      <c r="I44" s="519">
        <v>86.1</v>
      </c>
      <c r="J44" s="483">
        <v>0.06</v>
      </c>
      <c r="K44" s="520" t="s">
        <v>742</v>
      </c>
      <c r="L44" s="453">
        <v>45.390000000001237</v>
      </c>
      <c r="M44" s="453">
        <v>25.6</v>
      </c>
      <c r="N44" s="453">
        <v>1.33</v>
      </c>
      <c r="O44" s="453">
        <v>1.7660984711617658</v>
      </c>
      <c r="P44" s="453" t="s">
        <v>742</v>
      </c>
      <c r="Q44" s="453">
        <v>3.1651254953764862</v>
      </c>
      <c r="R44" s="453">
        <v>686.32581241743731</v>
      </c>
      <c r="S44" s="453">
        <v>7.78</v>
      </c>
      <c r="T44" s="453" t="s">
        <v>742</v>
      </c>
      <c r="U44" s="453">
        <v>0.67</v>
      </c>
      <c r="V44" s="453" t="s">
        <v>742</v>
      </c>
      <c r="W44" s="453">
        <v>48.2</v>
      </c>
      <c r="X44" s="456" t="e">
        <v>#VALUE!</v>
      </c>
      <c r="Y44" s="453">
        <v>29.05</v>
      </c>
      <c r="Z44" s="453">
        <v>16.79</v>
      </c>
      <c r="AA44" s="519">
        <v>28.75</v>
      </c>
      <c r="AB44" s="519">
        <v>16.880000000004657</v>
      </c>
      <c r="AC44" s="732">
        <f t="shared" si="0"/>
        <v>45.630000000004657</v>
      </c>
      <c r="AD44" s="664"/>
      <c r="AE44" s="664"/>
      <c r="AF44" s="664"/>
      <c r="AG44" s="664"/>
      <c r="AH44" s="664"/>
      <c r="AI44" s="664"/>
      <c r="AJ44" s="485"/>
      <c r="AK44" s="485"/>
      <c r="AL44" s="485"/>
      <c r="AM44" s="485"/>
      <c r="AN44" s="485"/>
      <c r="AO44" s="665"/>
      <c r="AP44" s="485"/>
      <c r="AQ44" s="483"/>
      <c r="AR44" s="755">
        <v>0</v>
      </c>
      <c r="AS44" s="483">
        <v>19.7</v>
      </c>
      <c r="AT44" s="755">
        <v>0</v>
      </c>
      <c r="AU44" s="483">
        <v>30.1</v>
      </c>
      <c r="AV44" s="484">
        <v>0</v>
      </c>
      <c r="AW44" s="484">
        <v>1904.6</v>
      </c>
      <c r="AX44" s="453">
        <v>0</v>
      </c>
      <c r="AY44" s="734">
        <v>0</v>
      </c>
      <c r="AZ44" s="734">
        <v>0</v>
      </c>
      <c r="BA44" s="734">
        <v>0</v>
      </c>
      <c r="BB44" s="453">
        <v>0</v>
      </c>
      <c r="BC44" s="453">
        <v>0</v>
      </c>
      <c r="BD44" s="453">
        <v>0</v>
      </c>
      <c r="BE44" s="734">
        <v>0</v>
      </c>
      <c r="BF44" s="453">
        <v>0</v>
      </c>
      <c r="BG44" s="453">
        <v>0</v>
      </c>
      <c r="BH44" s="734">
        <v>0</v>
      </c>
      <c r="BI44" s="453">
        <v>0</v>
      </c>
      <c r="BJ44" s="453">
        <v>17.100000000000001</v>
      </c>
      <c r="BK44" s="453">
        <v>0</v>
      </c>
      <c r="BL44" s="453">
        <v>0</v>
      </c>
      <c r="BM44" s="453">
        <v>0</v>
      </c>
      <c r="BN44" s="453">
        <v>17</v>
      </c>
      <c r="BO44" s="453">
        <v>2010.2</v>
      </c>
      <c r="BP44" s="453">
        <v>0</v>
      </c>
      <c r="BQ44" s="453">
        <v>18.3</v>
      </c>
      <c r="BR44" s="453">
        <v>18.2</v>
      </c>
      <c r="BS44" s="453">
        <v>0</v>
      </c>
      <c r="BT44" s="453">
        <v>29.6</v>
      </c>
      <c r="BU44" s="453">
        <v>25.6</v>
      </c>
      <c r="BV44" s="456">
        <v>533.1</v>
      </c>
      <c r="BW44" s="453">
        <v>0.1</v>
      </c>
      <c r="BX44" s="453">
        <v>1.51</v>
      </c>
      <c r="BY44" s="456">
        <v>1.1100000000000001</v>
      </c>
      <c r="BZ44" s="456">
        <v>14.5</v>
      </c>
      <c r="CA44" s="456">
        <v>38</v>
      </c>
      <c r="CB44" s="456">
        <v>14.5</v>
      </c>
      <c r="CC44" s="456">
        <v>4.9000000000000004</v>
      </c>
      <c r="CD44" s="456">
        <v>12.1</v>
      </c>
      <c r="CE44" s="456">
        <v>16</v>
      </c>
      <c r="CF44" s="456">
        <v>16.2</v>
      </c>
      <c r="CG44" s="456">
        <v>594.4</v>
      </c>
      <c r="CH44" s="456">
        <v>1.9</v>
      </c>
      <c r="CI44" s="456">
        <v>3.5</v>
      </c>
      <c r="CJ44" s="456">
        <v>408.8</v>
      </c>
      <c r="CK44" s="456">
        <v>431.5</v>
      </c>
      <c r="CL44" s="456">
        <v>498.1</v>
      </c>
      <c r="CM44" s="456">
        <v>11.5</v>
      </c>
      <c r="CN44" s="456">
        <v>1.8</v>
      </c>
      <c r="CO44" s="453">
        <v>0</v>
      </c>
      <c r="CP44" s="453">
        <v>16.98</v>
      </c>
      <c r="CQ44" s="453">
        <v>46</v>
      </c>
      <c r="CR44" s="456">
        <v>0</v>
      </c>
      <c r="CS44" s="456">
        <v>0</v>
      </c>
      <c r="CT44" s="456">
        <v>0</v>
      </c>
      <c r="CU44" s="456">
        <v>0</v>
      </c>
      <c r="CV44" s="481">
        <v>2205.294117647059</v>
      </c>
      <c r="CW44" s="481">
        <v>3608.125</v>
      </c>
      <c r="CX44" s="481">
        <v>2450.8333333333335</v>
      </c>
      <c r="CY44" s="481">
        <v>1085.3800000000001</v>
      </c>
      <c r="CZ44" s="456"/>
      <c r="DA44" s="456"/>
      <c r="DB44" s="456"/>
      <c r="DC44" s="456"/>
      <c r="DD44" s="456"/>
      <c r="DE44" s="456"/>
      <c r="DF44" s="456"/>
      <c r="DG44" s="425"/>
      <c r="DH44" s="456">
        <v>0</v>
      </c>
      <c r="DI44" s="456">
        <v>0.75</v>
      </c>
      <c r="DJ44" s="456">
        <v>1.1499999999999999</v>
      </c>
      <c r="DK44" s="425"/>
      <c r="DL44" s="456"/>
      <c r="DM44" s="456"/>
      <c r="DN44" s="456"/>
      <c r="DO44" s="456"/>
      <c r="DP44" s="456"/>
      <c r="DQ44" s="456"/>
      <c r="DR44" s="456"/>
      <c r="DS44" s="456"/>
      <c r="DT44" s="456"/>
      <c r="DU44" s="456"/>
      <c r="DV44" s="456"/>
      <c r="DW44" s="456"/>
      <c r="DX44" s="456"/>
      <c r="DY44" s="456"/>
      <c r="DZ44" s="456"/>
      <c r="EA44" s="456"/>
      <c r="EB44" s="456"/>
      <c r="EC44" s="456"/>
      <c r="ED44" s="423">
        <v>0</v>
      </c>
      <c r="EE44" s="423">
        <v>1</v>
      </c>
      <c r="EF44" s="423">
        <v>2.5</v>
      </c>
      <c r="EG44" s="423">
        <v>6</v>
      </c>
      <c r="EH44" s="423">
        <v>0</v>
      </c>
      <c r="EI44" s="456"/>
      <c r="EJ44" s="456"/>
      <c r="EK44" s="456"/>
      <c r="EL44" s="456"/>
      <c r="EM44" s="456"/>
      <c r="EN44" s="456"/>
      <c r="EO44" s="425"/>
      <c r="EP44" s="425"/>
      <c r="EQ44" s="425" t="s">
        <v>743</v>
      </c>
      <c r="ER44" s="425">
        <v>1</v>
      </c>
      <c r="ES44" s="425">
        <v>6</v>
      </c>
      <c r="ET44" s="425">
        <v>1240</v>
      </c>
      <c r="EU44" s="457">
        <v>4000</v>
      </c>
      <c r="EV44" s="425">
        <v>320</v>
      </c>
      <c r="EW44" s="425">
        <v>6608719</v>
      </c>
      <c r="EX44" s="425">
        <v>68938</v>
      </c>
      <c r="EY44" s="666">
        <v>18.2</v>
      </c>
      <c r="EZ44" s="666">
        <v>18.2</v>
      </c>
      <c r="FA44" s="666">
        <v>0</v>
      </c>
      <c r="FB44" s="666">
        <v>1.39</v>
      </c>
      <c r="FC44" s="666">
        <v>1.21</v>
      </c>
      <c r="FD44" s="666">
        <v>1.2709999999999999</v>
      </c>
      <c r="FE44" s="666">
        <v>1.21</v>
      </c>
      <c r="FF44" s="666">
        <v>250</v>
      </c>
      <c r="FG44" s="666">
        <v>0.3</v>
      </c>
      <c r="FH44" s="666">
        <v>0.14899999999999999</v>
      </c>
      <c r="FI44" s="666">
        <v>0.38</v>
      </c>
      <c r="FJ44" s="666">
        <v>8.39</v>
      </c>
      <c r="FK44" s="666">
        <v>8.1</v>
      </c>
      <c r="FL44" s="666">
        <v>8.32</v>
      </c>
      <c r="FM44" s="666">
        <v>8.1999999999999993</v>
      </c>
      <c r="FN44" s="666">
        <v>0</v>
      </c>
    </row>
    <row r="45" spans="1:170" s="416" customFormat="1" ht="15">
      <c r="A45" s="425" t="s">
        <v>4</v>
      </c>
      <c r="B45" s="426">
        <v>40574</v>
      </c>
      <c r="C45" s="418">
        <v>0</v>
      </c>
      <c r="D45" s="518">
        <v>0</v>
      </c>
      <c r="E45" s="453">
        <v>0</v>
      </c>
      <c r="F45" s="453">
        <v>32</v>
      </c>
      <c r="G45" s="453">
        <v>2.6</v>
      </c>
      <c r="H45" s="519">
        <v>12.8</v>
      </c>
      <c r="I45" s="519">
        <v>88.9</v>
      </c>
      <c r="J45" s="483">
        <v>2.4500000000000002</v>
      </c>
      <c r="K45" s="520" t="s">
        <v>742</v>
      </c>
      <c r="L45" s="453">
        <v>40.340000000000146</v>
      </c>
      <c r="M45" s="453">
        <v>25.9</v>
      </c>
      <c r="N45" s="453">
        <v>1.35</v>
      </c>
      <c r="O45" s="453">
        <v>1.8161121881830611</v>
      </c>
      <c r="P45" s="453" t="s">
        <v>742</v>
      </c>
      <c r="Q45" s="453">
        <v>3.3011889035747166</v>
      </c>
      <c r="R45" s="453">
        <v>706.4365601056802</v>
      </c>
      <c r="S45" s="453">
        <v>7.82</v>
      </c>
      <c r="T45" s="453" t="s">
        <v>742</v>
      </c>
      <c r="U45" s="453">
        <v>0.67</v>
      </c>
      <c r="V45" s="453" t="s">
        <v>742</v>
      </c>
      <c r="W45" s="453">
        <v>48.92</v>
      </c>
      <c r="X45" s="456" t="e">
        <v>#VALUE!</v>
      </c>
      <c r="Y45" s="453">
        <v>28.73</v>
      </c>
      <c r="Z45" s="453">
        <v>16.87</v>
      </c>
      <c r="AA45" s="519">
        <v>28.44999999999709</v>
      </c>
      <c r="AB45" s="519">
        <v>17.099999999998545</v>
      </c>
      <c r="AC45" s="732">
        <f t="shared" si="0"/>
        <v>45.549999999995634</v>
      </c>
      <c r="AD45" s="664"/>
      <c r="AE45" s="664"/>
      <c r="AF45" s="664"/>
      <c r="AG45" s="664"/>
      <c r="AH45" s="664"/>
      <c r="AI45" s="664"/>
      <c r="AJ45" s="485"/>
      <c r="AK45" s="485"/>
      <c r="AL45" s="485"/>
      <c r="AM45" s="485"/>
      <c r="AN45" s="485"/>
      <c r="AO45" s="665"/>
      <c r="AP45" s="485"/>
      <c r="AQ45" s="483"/>
      <c r="AR45" s="755">
        <v>0</v>
      </c>
      <c r="AS45" s="483">
        <v>18.5</v>
      </c>
      <c r="AT45" s="755">
        <v>0</v>
      </c>
      <c r="AU45" s="483">
        <v>29</v>
      </c>
      <c r="AV45" s="484">
        <v>135.6</v>
      </c>
      <c r="AW45" s="484">
        <v>513</v>
      </c>
      <c r="AX45" s="453">
        <v>0</v>
      </c>
      <c r="AY45" s="734">
        <v>0</v>
      </c>
      <c r="AZ45" s="734">
        <v>0</v>
      </c>
      <c r="BA45" s="734">
        <v>0</v>
      </c>
      <c r="BB45" s="453">
        <v>0</v>
      </c>
      <c r="BC45" s="453">
        <v>0</v>
      </c>
      <c r="BD45" s="453">
        <v>0</v>
      </c>
      <c r="BE45" s="734">
        <v>0</v>
      </c>
      <c r="BF45" s="453">
        <v>0</v>
      </c>
      <c r="BG45" s="453">
        <v>0</v>
      </c>
      <c r="BH45" s="734">
        <v>0</v>
      </c>
      <c r="BI45" s="453">
        <v>0</v>
      </c>
      <c r="BJ45" s="453">
        <v>17.2</v>
      </c>
      <c r="BK45" s="453">
        <v>0</v>
      </c>
      <c r="BL45" s="453">
        <v>0</v>
      </c>
      <c r="BM45" s="453">
        <v>0</v>
      </c>
      <c r="BN45" s="453">
        <v>17.100000000000001</v>
      </c>
      <c r="BO45" s="453">
        <v>1734.9</v>
      </c>
      <c r="BP45" s="453">
        <v>0</v>
      </c>
      <c r="BQ45" s="453">
        <v>18.88</v>
      </c>
      <c r="BR45" s="453">
        <v>18.8</v>
      </c>
      <c r="BS45" s="453">
        <v>0</v>
      </c>
      <c r="BT45" s="453">
        <v>30.2</v>
      </c>
      <c r="BU45" s="453">
        <v>27.5</v>
      </c>
      <c r="BV45" s="456">
        <v>524.4</v>
      </c>
      <c r="BW45" s="453">
        <v>0.1</v>
      </c>
      <c r="BX45" s="453">
        <v>1.51</v>
      </c>
      <c r="BY45" s="456">
        <v>1.1200000000000001</v>
      </c>
      <c r="BZ45" s="456">
        <v>15.2</v>
      </c>
      <c r="CA45" s="456">
        <v>35.9</v>
      </c>
      <c r="CB45" s="456">
        <v>13.79</v>
      </c>
      <c r="CC45" s="456">
        <v>10.199999999999999</v>
      </c>
      <c r="CD45" s="456">
        <v>14.5</v>
      </c>
      <c r="CE45" s="456">
        <v>18.55</v>
      </c>
      <c r="CF45" s="456">
        <v>13.25</v>
      </c>
      <c r="CG45" s="456">
        <v>555.07000000000005</v>
      </c>
      <c r="CH45" s="456">
        <v>2.5</v>
      </c>
      <c r="CI45" s="456">
        <v>3.1</v>
      </c>
      <c r="CJ45" s="456">
        <v>347.3</v>
      </c>
      <c r="CK45" s="456">
        <v>381.2</v>
      </c>
      <c r="CL45" s="456">
        <v>410.5</v>
      </c>
      <c r="CM45" s="456">
        <v>11.5</v>
      </c>
      <c r="CN45" s="456">
        <v>1.83</v>
      </c>
      <c r="CO45" s="453">
        <v>0</v>
      </c>
      <c r="CP45" s="453">
        <v>16.440000000000001</v>
      </c>
      <c r="CQ45" s="453">
        <v>45</v>
      </c>
      <c r="CR45" s="456">
        <v>0</v>
      </c>
      <c r="CS45" s="456">
        <v>0</v>
      </c>
      <c r="CT45" s="456">
        <v>0</v>
      </c>
      <c r="CU45" s="456">
        <v>0</v>
      </c>
      <c r="CV45" s="481">
        <v>2388.8235294117649</v>
      </c>
      <c r="CW45" s="481">
        <v>3716.9791666666665</v>
      </c>
      <c r="CX45" s="481">
        <v>2591.7708333333335</v>
      </c>
      <c r="CY45" s="481">
        <v>1080.8900000000001</v>
      </c>
      <c r="CZ45" s="456"/>
      <c r="DA45" s="456"/>
      <c r="DB45" s="456"/>
      <c r="DC45" s="456"/>
      <c r="DD45" s="456"/>
      <c r="DE45" s="456"/>
      <c r="DF45" s="456"/>
      <c r="DG45" s="425"/>
      <c r="DH45" s="456">
        <v>0</v>
      </c>
      <c r="DI45" s="456">
        <v>0.71</v>
      </c>
      <c r="DJ45" s="456">
        <v>1.18</v>
      </c>
      <c r="DK45" s="425"/>
      <c r="DL45" s="456"/>
      <c r="DM45" s="456"/>
      <c r="DN45" s="456"/>
      <c r="DO45" s="456"/>
      <c r="DP45" s="456"/>
      <c r="DQ45" s="456"/>
      <c r="DR45" s="456"/>
      <c r="DS45" s="456"/>
      <c r="DT45" s="456"/>
      <c r="DU45" s="456"/>
      <c r="DV45" s="456"/>
      <c r="DW45" s="456"/>
      <c r="DX45" s="456"/>
      <c r="DY45" s="456"/>
      <c r="DZ45" s="456"/>
      <c r="EA45" s="456"/>
      <c r="EB45" s="456"/>
      <c r="EC45" s="456"/>
      <c r="ED45" s="423">
        <v>0</v>
      </c>
      <c r="EE45" s="423">
        <v>1</v>
      </c>
      <c r="EF45" s="423">
        <v>2.5</v>
      </c>
      <c r="EG45" s="423">
        <v>6</v>
      </c>
      <c r="EH45" s="423">
        <v>0</v>
      </c>
      <c r="EI45" s="456"/>
      <c r="EJ45" s="456"/>
      <c r="EK45" s="456"/>
      <c r="EL45" s="456"/>
      <c r="EM45" s="456"/>
      <c r="EN45" s="456"/>
      <c r="EO45" s="425"/>
      <c r="EP45" s="425"/>
      <c r="EQ45" s="425" t="s">
        <v>743</v>
      </c>
      <c r="ER45" s="425">
        <v>1</v>
      </c>
      <c r="ES45" s="425">
        <v>6</v>
      </c>
      <c r="ET45" s="425">
        <v>1030</v>
      </c>
      <c r="EU45" s="457">
        <v>4000</v>
      </c>
      <c r="EV45" s="425">
        <v>240</v>
      </c>
      <c r="EW45" s="425">
        <v>6611300</v>
      </c>
      <c r="EX45" s="425">
        <v>69727</v>
      </c>
      <c r="EY45" s="666">
        <v>17.87</v>
      </c>
      <c r="EZ45" s="666">
        <v>17.82</v>
      </c>
      <c r="FA45" s="666">
        <v>0</v>
      </c>
      <c r="FB45" s="666">
        <v>1.39</v>
      </c>
      <c r="FC45" s="666">
        <v>1.28</v>
      </c>
      <c r="FD45" s="666">
        <v>1.1639999999999999</v>
      </c>
      <c r="FE45" s="758">
        <v>1.1000000000000001</v>
      </c>
      <c r="FF45" s="666">
        <v>210</v>
      </c>
      <c r="FG45" s="666">
        <v>1.62</v>
      </c>
      <c r="FH45" s="666">
        <v>0.215</v>
      </c>
      <c r="FI45" s="666">
        <v>0.71</v>
      </c>
      <c r="FJ45" s="666">
        <v>8.4499999999999993</v>
      </c>
      <c r="FK45" s="666">
        <v>8.4</v>
      </c>
      <c r="FL45" s="666">
        <v>8.36</v>
      </c>
      <c r="FM45" s="666">
        <v>8.4</v>
      </c>
      <c r="FN45" s="666">
        <v>0</v>
      </c>
    </row>
    <row r="46" spans="1:170" s="416" customFormat="1" ht="15">
      <c r="A46" s="425" t="s">
        <v>5</v>
      </c>
      <c r="B46" s="426">
        <v>40575</v>
      </c>
      <c r="C46" s="418">
        <v>0</v>
      </c>
      <c r="D46" s="518">
        <v>0</v>
      </c>
      <c r="E46" s="453">
        <v>0</v>
      </c>
      <c r="F46" s="453">
        <v>33</v>
      </c>
      <c r="G46" s="453">
        <v>2.1</v>
      </c>
      <c r="H46" s="519">
        <v>150</v>
      </c>
      <c r="I46" s="519">
        <v>78</v>
      </c>
      <c r="J46" s="483">
        <v>1.65</v>
      </c>
      <c r="K46" s="520" t="s">
        <v>742</v>
      </c>
      <c r="L46" s="453">
        <v>44.68999999999869</v>
      </c>
      <c r="M46" s="453">
        <v>24.9</v>
      </c>
      <c r="N46" s="453">
        <v>1.38</v>
      </c>
      <c r="O46" s="453">
        <v>1.8144764175841588</v>
      </c>
      <c r="P46" s="453" t="s">
        <v>742</v>
      </c>
      <c r="Q46" s="453">
        <v>3.4953764861379355</v>
      </c>
      <c r="R46" s="453">
        <v>702.54970145310426</v>
      </c>
      <c r="S46" s="453">
        <v>7.85</v>
      </c>
      <c r="T46" s="453" t="s">
        <v>742</v>
      </c>
      <c r="U46" s="453">
        <v>0.66</v>
      </c>
      <c r="V46" s="453" t="s">
        <v>742</v>
      </c>
      <c r="W46" s="453">
        <v>49.100000000000009</v>
      </c>
      <c r="X46" s="456" t="e">
        <v>#VALUE!</v>
      </c>
      <c r="Y46" s="453">
        <v>27.83</v>
      </c>
      <c r="Z46" s="453">
        <v>16.79</v>
      </c>
      <c r="AA46" s="519">
        <v>28.30000000000291</v>
      </c>
      <c r="AB46" s="519">
        <v>17</v>
      </c>
      <c r="AC46" s="732">
        <f t="shared" si="0"/>
        <v>45.30000000000291</v>
      </c>
      <c r="AD46" s="664"/>
      <c r="AE46" s="664"/>
      <c r="AF46" s="664"/>
      <c r="AG46" s="664"/>
      <c r="AH46" s="664"/>
      <c r="AI46" s="664"/>
      <c r="AJ46" s="485"/>
      <c r="AK46" s="485"/>
      <c r="AL46" s="485"/>
      <c r="AM46" s="485"/>
      <c r="AN46" s="485"/>
      <c r="AO46" s="665"/>
      <c r="AP46" s="485"/>
      <c r="AQ46" s="483"/>
      <c r="AR46" s="755">
        <v>0</v>
      </c>
      <c r="AS46" s="483">
        <v>35.5</v>
      </c>
      <c r="AT46" s="755">
        <v>0</v>
      </c>
      <c r="AU46" s="483">
        <v>29.7</v>
      </c>
      <c r="AV46" s="484">
        <v>34.799999999999997</v>
      </c>
      <c r="AW46" s="484">
        <v>356</v>
      </c>
      <c r="AX46" s="453">
        <v>0</v>
      </c>
      <c r="AY46" s="734">
        <v>0</v>
      </c>
      <c r="AZ46" s="734">
        <v>0</v>
      </c>
      <c r="BA46" s="734">
        <v>0</v>
      </c>
      <c r="BB46" s="453">
        <v>0</v>
      </c>
      <c r="BC46" s="453">
        <v>0</v>
      </c>
      <c r="BD46" s="453">
        <v>0</v>
      </c>
      <c r="BE46" s="734">
        <v>0</v>
      </c>
      <c r="BF46" s="453">
        <v>0</v>
      </c>
      <c r="BG46" s="453">
        <v>0</v>
      </c>
      <c r="BH46" s="734">
        <v>0</v>
      </c>
      <c r="BI46" s="453">
        <v>0</v>
      </c>
      <c r="BJ46" s="453">
        <v>17.2</v>
      </c>
      <c r="BK46" s="453">
        <v>0</v>
      </c>
      <c r="BL46" s="453">
        <v>0</v>
      </c>
      <c r="BM46" s="453">
        <v>0</v>
      </c>
      <c r="BN46" s="453">
        <v>17</v>
      </c>
      <c r="BO46" s="453">
        <v>938</v>
      </c>
      <c r="BP46" s="453">
        <v>0</v>
      </c>
      <c r="BQ46" s="453">
        <v>17.829999999999998</v>
      </c>
      <c r="BR46" s="453">
        <v>17.8</v>
      </c>
      <c r="BS46" s="453">
        <v>0</v>
      </c>
      <c r="BT46" s="453">
        <v>29.8</v>
      </c>
      <c r="BU46" s="453">
        <v>25.2</v>
      </c>
      <c r="BV46" s="456">
        <v>312.2</v>
      </c>
      <c r="BW46" s="453">
        <v>0.2</v>
      </c>
      <c r="BX46" s="453">
        <v>1.54</v>
      </c>
      <c r="BY46" s="456">
        <v>1.1000000000000001</v>
      </c>
      <c r="BZ46" s="456">
        <v>15.39</v>
      </c>
      <c r="CA46" s="456">
        <v>39.700000000000003</v>
      </c>
      <c r="CB46" s="456">
        <v>13.08</v>
      </c>
      <c r="CC46" s="456">
        <v>8.6</v>
      </c>
      <c r="CD46" s="456">
        <v>12.88</v>
      </c>
      <c r="CE46" s="456">
        <v>16.899999999999999</v>
      </c>
      <c r="CF46" s="456">
        <v>13.19</v>
      </c>
      <c r="CG46" s="456">
        <v>517.58000000000004</v>
      </c>
      <c r="CH46" s="456">
        <v>2.2999999999999998</v>
      </c>
      <c r="CI46" s="456">
        <v>3.4</v>
      </c>
      <c r="CJ46" s="456">
        <v>294.89999999999998</v>
      </c>
      <c r="CK46" s="456">
        <v>372</v>
      </c>
      <c r="CL46" s="456">
        <v>512</v>
      </c>
      <c r="CM46" s="456">
        <v>10.4</v>
      </c>
      <c r="CN46" s="456">
        <v>1.75</v>
      </c>
      <c r="CO46" s="453">
        <v>0</v>
      </c>
      <c r="CP46" s="453">
        <v>15.64</v>
      </c>
      <c r="CQ46" s="453">
        <v>45</v>
      </c>
      <c r="CR46" s="456">
        <v>0</v>
      </c>
      <c r="CS46" s="456">
        <v>0</v>
      </c>
      <c r="CT46" s="456">
        <v>0</v>
      </c>
      <c r="CU46" s="456">
        <v>0</v>
      </c>
      <c r="CV46" s="481">
        <v>2245.8823529411766</v>
      </c>
      <c r="CW46" s="481">
        <v>3574.1666666666665</v>
      </c>
      <c r="CX46" s="481">
        <v>2233.0208333333335</v>
      </c>
      <c r="CY46" s="481">
        <v>1076.3900000000001</v>
      </c>
      <c r="CZ46" s="456"/>
      <c r="DA46" s="456"/>
      <c r="DB46" s="456"/>
      <c r="DC46" s="456"/>
      <c r="DD46" s="456"/>
      <c r="DE46" s="456"/>
      <c r="DF46" s="456"/>
      <c r="DG46" s="425"/>
      <c r="DH46" s="456">
        <v>0</v>
      </c>
      <c r="DI46" s="456">
        <v>0.68</v>
      </c>
      <c r="DJ46" s="456">
        <v>1.2</v>
      </c>
      <c r="DK46" s="425"/>
      <c r="DL46" s="456"/>
      <c r="DM46" s="456"/>
      <c r="DN46" s="456"/>
      <c r="DO46" s="456"/>
      <c r="DP46" s="456"/>
      <c r="DQ46" s="456"/>
      <c r="DR46" s="456"/>
      <c r="DS46" s="456"/>
      <c r="DT46" s="456"/>
      <c r="DU46" s="456"/>
      <c r="DV46" s="456"/>
      <c r="DW46" s="456"/>
      <c r="DX46" s="456"/>
      <c r="DY46" s="456"/>
      <c r="DZ46" s="456"/>
      <c r="EA46" s="456"/>
      <c r="EB46" s="456"/>
      <c r="EC46" s="456"/>
      <c r="ED46" s="423">
        <v>0</v>
      </c>
      <c r="EE46" s="423">
        <v>1</v>
      </c>
      <c r="EF46" s="423">
        <v>2.5</v>
      </c>
      <c r="EG46" s="423">
        <v>6</v>
      </c>
      <c r="EH46" s="423">
        <v>0</v>
      </c>
      <c r="EI46" s="456"/>
      <c r="EJ46" s="456"/>
      <c r="EK46" s="456"/>
      <c r="EL46" s="456"/>
      <c r="EM46" s="456"/>
      <c r="EN46" s="456"/>
      <c r="EO46" s="425"/>
      <c r="EP46" s="425"/>
      <c r="EQ46" s="425" t="s">
        <v>743</v>
      </c>
      <c r="ER46" s="425">
        <v>1</v>
      </c>
      <c r="ES46" s="425">
        <v>6</v>
      </c>
      <c r="ET46" s="425">
        <v>800</v>
      </c>
      <c r="EU46" s="457">
        <v>4000</v>
      </c>
      <c r="EV46" s="425">
        <v>320</v>
      </c>
      <c r="EW46" s="425">
        <v>6613898</v>
      </c>
      <c r="EX46" s="425">
        <v>70539</v>
      </c>
      <c r="EY46" s="666">
        <v>17.88</v>
      </c>
      <c r="EZ46" s="666">
        <v>17.86</v>
      </c>
      <c r="FA46" s="666">
        <v>0</v>
      </c>
      <c r="FB46" s="666">
        <v>1.48</v>
      </c>
      <c r="FC46" s="666">
        <v>1.24</v>
      </c>
      <c r="FD46" s="666">
        <v>1.272</v>
      </c>
      <c r="FE46" s="666">
        <v>1.23</v>
      </c>
      <c r="FF46" s="666">
        <v>230</v>
      </c>
      <c r="FG46" s="666">
        <v>0.47</v>
      </c>
      <c r="FH46" s="666">
        <v>0.221</v>
      </c>
      <c r="FI46" s="666">
        <v>0.51</v>
      </c>
      <c r="FJ46" s="666">
        <v>8.42</v>
      </c>
      <c r="FK46" s="666">
        <v>8.1999999999999993</v>
      </c>
      <c r="FL46" s="666">
        <v>8.32</v>
      </c>
      <c r="FM46" s="666">
        <v>8</v>
      </c>
      <c r="FN46" s="666">
        <v>0</v>
      </c>
    </row>
    <row r="47" spans="1:170" s="416" customFormat="1" ht="15">
      <c r="A47" s="425" t="s">
        <v>6</v>
      </c>
      <c r="B47" s="426">
        <v>40576</v>
      </c>
      <c r="C47" s="418">
        <v>0</v>
      </c>
      <c r="D47" s="518">
        <v>0</v>
      </c>
      <c r="E47" s="453">
        <v>0</v>
      </c>
      <c r="F47" s="453">
        <v>39</v>
      </c>
      <c r="G47" s="453">
        <v>1.95</v>
      </c>
      <c r="H47" s="519">
        <v>111.2</v>
      </c>
      <c r="I47" s="519">
        <v>0</v>
      </c>
      <c r="J47" s="483">
        <v>0.08</v>
      </c>
      <c r="K47" s="520" t="s">
        <v>742</v>
      </c>
      <c r="L47" s="453">
        <v>47.200000000000728</v>
      </c>
      <c r="M47" s="453">
        <v>24</v>
      </c>
      <c r="N47" s="453">
        <v>1.33</v>
      </c>
      <c r="O47" s="453">
        <v>1.7324738831842241</v>
      </c>
      <c r="P47" s="453" t="s">
        <v>742</v>
      </c>
      <c r="Q47" s="453">
        <v>3.8837516512643728</v>
      </c>
      <c r="R47" s="453">
        <v>705.46484544253622</v>
      </c>
      <c r="S47" s="453">
        <v>7.82</v>
      </c>
      <c r="T47" s="453" t="s">
        <v>742</v>
      </c>
      <c r="U47" s="453">
        <v>0.64</v>
      </c>
      <c r="V47" s="453" t="s">
        <v>742</v>
      </c>
      <c r="W47" s="453">
        <v>48.38000000000001</v>
      </c>
      <c r="X47" s="456" t="e">
        <v>#VALUE!</v>
      </c>
      <c r="Y47" s="453">
        <v>28.95</v>
      </c>
      <c r="Z47" s="453">
        <v>16.899999999999999</v>
      </c>
      <c r="AA47" s="519">
        <v>29.80000000000291</v>
      </c>
      <c r="AB47" s="519">
        <v>17.5</v>
      </c>
      <c r="AC47" s="732">
        <f t="shared" si="0"/>
        <v>47.30000000000291</v>
      </c>
      <c r="AD47" s="664"/>
      <c r="AE47" s="664"/>
      <c r="AF47" s="664"/>
      <c r="AG47" s="664"/>
      <c r="AH47" s="664"/>
      <c r="AI47" s="664"/>
      <c r="AJ47" s="485"/>
      <c r="AK47" s="485"/>
      <c r="AL47" s="485"/>
      <c r="AM47" s="485"/>
      <c r="AN47" s="485"/>
      <c r="AO47" s="665"/>
      <c r="AP47" s="485"/>
      <c r="AQ47" s="483"/>
      <c r="AR47" s="755">
        <v>0</v>
      </c>
      <c r="AS47" s="483">
        <v>18.600000000000001</v>
      </c>
      <c r="AT47" s="755">
        <v>0</v>
      </c>
      <c r="AU47" s="483">
        <v>30.1</v>
      </c>
      <c r="AV47" s="484">
        <v>363.3</v>
      </c>
      <c r="AW47" s="484">
        <v>421</v>
      </c>
      <c r="AX47" s="453">
        <v>0</v>
      </c>
      <c r="AY47" s="734">
        <v>0</v>
      </c>
      <c r="AZ47" s="734">
        <v>0</v>
      </c>
      <c r="BA47" s="734">
        <v>0</v>
      </c>
      <c r="BB47" s="453">
        <v>0</v>
      </c>
      <c r="BC47" s="453">
        <v>0</v>
      </c>
      <c r="BD47" s="453">
        <v>0</v>
      </c>
      <c r="BE47" s="734">
        <v>0</v>
      </c>
      <c r="BF47" s="453">
        <v>0</v>
      </c>
      <c r="BG47" s="453">
        <v>0</v>
      </c>
      <c r="BH47" s="734">
        <v>0</v>
      </c>
      <c r="BI47" s="453">
        <v>0</v>
      </c>
      <c r="BJ47" s="453">
        <v>17.100000000000001</v>
      </c>
      <c r="BK47" s="453">
        <v>0</v>
      </c>
      <c r="BL47" s="453">
        <v>0</v>
      </c>
      <c r="BM47" s="453">
        <v>0</v>
      </c>
      <c r="BN47" s="453">
        <v>17</v>
      </c>
      <c r="BO47" s="453">
        <v>1290.0999999999999</v>
      </c>
      <c r="BP47" s="453">
        <v>0</v>
      </c>
      <c r="BQ47" s="453">
        <v>18</v>
      </c>
      <c r="BR47" s="453">
        <v>17.989999999999998</v>
      </c>
      <c r="BS47" s="453">
        <v>0</v>
      </c>
      <c r="BT47" s="453">
        <v>30.4</v>
      </c>
      <c r="BU47" s="453">
        <v>24.8</v>
      </c>
      <c r="BV47" s="456">
        <v>536.79999999999995</v>
      </c>
      <c r="BW47" s="453">
        <v>0.2</v>
      </c>
      <c r="BX47" s="453">
        <v>1.57</v>
      </c>
      <c r="BY47" s="456">
        <v>1.0900000000000001</v>
      </c>
      <c r="BZ47" s="456">
        <v>15.2</v>
      </c>
      <c r="CA47" s="456">
        <v>37.200000000000003</v>
      </c>
      <c r="CB47" s="456">
        <v>12.3</v>
      </c>
      <c r="CC47" s="456">
        <v>8.6999999999999993</v>
      </c>
      <c r="CD47" s="456">
        <v>12.87</v>
      </c>
      <c r="CE47" s="456">
        <v>17.21</v>
      </c>
      <c r="CF47" s="456">
        <v>13.02</v>
      </c>
      <c r="CG47" s="456">
        <v>447.6</v>
      </c>
      <c r="CH47" s="456">
        <v>2.2000000000000002</v>
      </c>
      <c r="CI47" s="456">
        <v>3.4</v>
      </c>
      <c r="CJ47" s="456">
        <v>284</v>
      </c>
      <c r="CK47" s="456">
        <v>379.2</v>
      </c>
      <c r="CL47" s="456">
        <v>503.5</v>
      </c>
      <c r="CM47" s="456">
        <v>9.8000000000000007</v>
      </c>
      <c r="CN47" s="456">
        <v>1.7</v>
      </c>
      <c r="CO47" s="453">
        <v>0</v>
      </c>
      <c r="CP47" s="453">
        <v>15.17</v>
      </c>
      <c r="CQ47" s="453">
        <v>46</v>
      </c>
      <c r="CR47" s="456">
        <v>0</v>
      </c>
      <c r="CS47" s="456">
        <v>0</v>
      </c>
      <c r="CT47" s="456">
        <v>0</v>
      </c>
      <c r="CU47" s="456">
        <v>0</v>
      </c>
      <c r="CV47" s="481">
        <v>1587.0588235294117</v>
      </c>
      <c r="CW47" s="481">
        <v>2701.1458333333335</v>
      </c>
      <c r="CX47" s="481">
        <v>1662.0833333333333</v>
      </c>
      <c r="CY47" s="481">
        <v>1076.3399999999999</v>
      </c>
      <c r="CZ47" s="456"/>
      <c r="DA47" s="456"/>
      <c r="DB47" s="456"/>
      <c r="DC47" s="456"/>
      <c r="DD47" s="456"/>
      <c r="DE47" s="456"/>
      <c r="DF47" s="456"/>
      <c r="DG47" s="425"/>
      <c r="DH47" s="456">
        <v>0</v>
      </c>
      <c r="DI47" s="456">
        <v>0.52</v>
      </c>
      <c r="DJ47" s="456">
        <v>1.1100000000000001</v>
      </c>
      <c r="DK47" s="425"/>
      <c r="DL47" s="456"/>
      <c r="DM47" s="456"/>
      <c r="DN47" s="456"/>
      <c r="DO47" s="456"/>
      <c r="DP47" s="456"/>
      <c r="DQ47" s="456"/>
      <c r="DR47" s="456"/>
      <c r="DS47" s="456"/>
      <c r="DT47" s="456"/>
      <c r="DU47" s="456"/>
      <c r="DV47" s="456"/>
      <c r="DW47" s="456"/>
      <c r="DX47" s="456"/>
      <c r="DY47" s="456"/>
      <c r="DZ47" s="456"/>
      <c r="EA47" s="456"/>
      <c r="EB47" s="456"/>
      <c r="EC47" s="456"/>
      <c r="ED47" s="423">
        <v>0</v>
      </c>
      <c r="EE47" s="423">
        <v>1</v>
      </c>
      <c r="EF47" s="423">
        <v>2.5</v>
      </c>
      <c r="EG47" s="423">
        <v>6</v>
      </c>
      <c r="EH47" s="423">
        <v>0</v>
      </c>
      <c r="EI47" s="456"/>
      <c r="EJ47" s="456"/>
      <c r="EK47" s="456"/>
      <c r="EL47" s="456"/>
      <c r="EM47" s="456"/>
      <c r="EN47" s="456"/>
      <c r="EO47" s="425"/>
      <c r="EP47" s="425"/>
      <c r="EQ47" s="425" t="s">
        <v>743</v>
      </c>
      <c r="ER47" s="425">
        <v>1</v>
      </c>
      <c r="ES47" s="425">
        <v>6</v>
      </c>
      <c r="ET47" s="425">
        <v>600</v>
      </c>
      <c r="EU47" s="457">
        <v>4000</v>
      </c>
      <c r="EV47" s="425">
        <v>310</v>
      </c>
      <c r="EW47" s="425">
        <v>6616326</v>
      </c>
      <c r="EX47" s="425">
        <v>71275</v>
      </c>
      <c r="EY47" s="666">
        <v>17.899999999999999</v>
      </c>
      <c r="EZ47" s="666">
        <v>17.88</v>
      </c>
      <c r="FA47" s="666">
        <v>0</v>
      </c>
      <c r="FB47" s="666">
        <v>1.4</v>
      </c>
      <c r="FC47" s="666">
        <v>1.3</v>
      </c>
      <c r="FD47" s="666">
        <v>1.2</v>
      </c>
      <c r="FE47" s="666">
        <v>1.2</v>
      </c>
      <c r="FF47" s="666">
        <v>200</v>
      </c>
      <c r="FG47" s="666">
        <v>0.23</v>
      </c>
      <c r="FH47" s="666">
        <v>0.19</v>
      </c>
      <c r="FI47" s="666">
        <v>0.31</v>
      </c>
      <c r="FJ47" s="666">
        <v>8.36</v>
      </c>
      <c r="FK47" s="666">
        <v>8.1</v>
      </c>
      <c r="FL47" s="666">
        <v>8.39</v>
      </c>
      <c r="FM47" s="666">
        <v>7.9</v>
      </c>
      <c r="FN47" s="666">
        <v>0</v>
      </c>
    </row>
    <row r="48" spans="1:170" s="416" customFormat="1" ht="15">
      <c r="A48" s="425" t="s">
        <v>7</v>
      </c>
      <c r="B48" s="426">
        <v>40577</v>
      </c>
      <c r="C48" s="418">
        <v>0</v>
      </c>
      <c r="D48" s="518">
        <v>0.23</v>
      </c>
      <c r="E48" s="453">
        <v>0</v>
      </c>
      <c r="F48" s="453">
        <v>41</v>
      </c>
      <c r="G48" s="453">
        <v>2</v>
      </c>
      <c r="H48" s="519">
        <v>16.72</v>
      </c>
      <c r="I48" s="519">
        <v>0</v>
      </c>
      <c r="J48" s="483">
        <v>0.08</v>
      </c>
      <c r="K48" s="520" t="s">
        <v>742</v>
      </c>
      <c r="L48" s="453">
        <v>45.780000000000655</v>
      </c>
      <c r="M48" s="453">
        <v>23.6</v>
      </c>
      <c r="N48" s="453">
        <v>1.32</v>
      </c>
      <c r="O48" s="453">
        <v>1.7320347778036245</v>
      </c>
      <c r="P48" s="453" t="s">
        <v>742</v>
      </c>
      <c r="Q48" s="453">
        <v>4.5828269484808448</v>
      </c>
      <c r="R48" s="453">
        <v>682.14369352708047</v>
      </c>
      <c r="S48" s="453">
        <v>7.78</v>
      </c>
      <c r="T48" s="453" t="s">
        <v>742</v>
      </c>
      <c r="U48" s="453">
        <v>0.65</v>
      </c>
      <c r="V48" s="453" t="s">
        <v>742</v>
      </c>
      <c r="W48" s="453">
        <v>48.739999999999995</v>
      </c>
      <c r="X48" s="456" t="e">
        <v>#VALUE!</v>
      </c>
      <c r="Y48" s="453">
        <v>29.28</v>
      </c>
      <c r="Z48" s="453">
        <v>17.38</v>
      </c>
      <c r="AA48" s="519">
        <v>28.899999999994179</v>
      </c>
      <c r="AB48" s="519">
        <v>17</v>
      </c>
      <c r="AC48" s="732">
        <f t="shared" si="0"/>
        <v>45.899999999994179</v>
      </c>
      <c r="AD48" s="664"/>
      <c r="AE48" s="664"/>
      <c r="AF48" s="664"/>
      <c r="AG48" s="664"/>
      <c r="AH48" s="664"/>
      <c r="AI48" s="664"/>
      <c r="AJ48" s="485"/>
      <c r="AK48" s="485"/>
      <c r="AL48" s="485"/>
      <c r="AM48" s="485"/>
      <c r="AN48" s="485"/>
      <c r="AO48" s="665"/>
      <c r="AP48" s="485"/>
      <c r="AQ48" s="483"/>
      <c r="AR48" s="755">
        <v>0</v>
      </c>
      <c r="AS48" s="483">
        <v>17.7</v>
      </c>
      <c r="AT48" s="755">
        <v>0</v>
      </c>
      <c r="AU48" s="483">
        <v>30.1</v>
      </c>
      <c r="AV48" s="484">
        <v>777.2</v>
      </c>
      <c r="AW48" s="484">
        <v>0</v>
      </c>
      <c r="AX48" s="453">
        <v>0</v>
      </c>
      <c r="AY48" s="734">
        <v>0</v>
      </c>
      <c r="AZ48" s="734">
        <v>0</v>
      </c>
      <c r="BA48" s="734">
        <v>0</v>
      </c>
      <c r="BB48" s="453">
        <v>0</v>
      </c>
      <c r="BC48" s="453">
        <v>0</v>
      </c>
      <c r="BD48" s="453">
        <v>0</v>
      </c>
      <c r="BE48" s="734">
        <v>0</v>
      </c>
      <c r="BF48" s="453">
        <v>0</v>
      </c>
      <c r="BG48" s="453">
        <v>0</v>
      </c>
      <c r="BH48" s="734">
        <v>0</v>
      </c>
      <c r="BI48" s="453">
        <v>0</v>
      </c>
      <c r="BJ48" s="453">
        <v>17.2</v>
      </c>
      <c r="BK48" s="453">
        <v>0</v>
      </c>
      <c r="BL48" s="453">
        <v>0</v>
      </c>
      <c r="BM48" s="453">
        <v>0</v>
      </c>
      <c r="BN48" s="453">
        <v>17</v>
      </c>
      <c r="BO48" s="453">
        <v>1378.4</v>
      </c>
      <c r="BP48" s="453">
        <v>0</v>
      </c>
      <c r="BQ48" s="453">
        <v>17.8</v>
      </c>
      <c r="BR48" s="453">
        <v>17.600000000000001</v>
      </c>
      <c r="BS48" s="453">
        <v>0</v>
      </c>
      <c r="BT48" s="453">
        <v>29.9</v>
      </c>
      <c r="BU48" s="453">
        <v>26.4</v>
      </c>
      <c r="BV48" s="456">
        <v>464.7</v>
      </c>
      <c r="BW48" s="453">
        <v>0.2</v>
      </c>
      <c r="BX48" s="453">
        <v>1.53</v>
      </c>
      <c r="BY48" s="456">
        <v>1.1399999999999999</v>
      </c>
      <c r="BZ48" s="456">
        <v>15.4</v>
      </c>
      <c r="CA48" s="456">
        <v>35.299999999999997</v>
      </c>
      <c r="CB48" s="456">
        <v>14.9</v>
      </c>
      <c r="CC48" s="456">
        <v>9.6</v>
      </c>
      <c r="CD48" s="456">
        <v>13.9</v>
      </c>
      <c r="CE48" s="456">
        <v>17.899999999999999</v>
      </c>
      <c r="CF48" s="456">
        <v>13.3</v>
      </c>
      <c r="CG48" s="456">
        <v>525.70000000000005</v>
      </c>
      <c r="CH48" s="456">
        <v>2.2999999999999998</v>
      </c>
      <c r="CI48" s="456">
        <v>3.3</v>
      </c>
      <c r="CJ48" s="456">
        <v>284.39999999999998</v>
      </c>
      <c r="CK48" s="456">
        <v>373.4</v>
      </c>
      <c r="CL48" s="456">
        <v>500.7</v>
      </c>
      <c r="CM48" s="456">
        <v>10.4</v>
      </c>
      <c r="CN48" s="456">
        <v>1.74</v>
      </c>
      <c r="CO48" s="453">
        <v>0</v>
      </c>
      <c r="CP48" s="453">
        <v>15.62</v>
      </c>
      <c r="CQ48" s="453">
        <v>46</v>
      </c>
      <c r="CR48" s="456">
        <v>0</v>
      </c>
      <c r="CS48" s="456">
        <v>0</v>
      </c>
      <c r="CT48" s="456">
        <v>0</v>
      </c>
      <c r="CU48" s="456">
        <v>0</v>
      </c>
      <c r="CV48" s="481">
        <v>1392.3529411764705</v>
      </c>
      <c r="CW48" s="481">
        <v>2415.4166666666665</v>
      </c>
      <c r="CX48" s="481">
        <v>1482.6041666666667</v>
      </c>
      <c r="CY48" s="481">
        <v>1076.58</v>
      </c>
      <c r="CZ48" s="456"/>
      <c r="DA48" s="456"/>
      <c r="DB48" s="456"/>
      <c r="DC48" s="456"/>
      <c r="DD48" s="456"/>
      <c r="DE48" s="456"/>
      <c r="DF48" s="456"/>
      <c r="DG48" s="425"/>
      <c r="DH48" s="456">
        <v>0</v>
      </c>
      <c r="DI48" s="456">
        <v>0.53</v>
      </c>
      <c r="DJ48" s="456">
        <v>1.17</v>
      </c>
      <c r="DK48" s="425"/>
      <c r="DL48" s="456"/>
      <c r="DM48" s="456"/>
      <c r="DN48" s="456"/>
      <c r="DO48" s="456"/>
      <c r="DP48" s="456"/>
      <c r="DQ48" s="456"/>
      <c r="DR48" s="456"/>
      <c r="DS48" s="456"/>
      <c r="DT48" s="456"/>
      <c r="DU48" s="456"/>
      <c r="DV48" s="456"/>
      <c r="DW48" s="456"/>
      <c r="DX48" s="456"/>
      <c r="DY48" s="456"/>
      <c r="DZ48" s="456"/>
      <c r="EA48" s="456"/>
      <c r="EB48" s="456"/>
      <c r="EC48" s="456"/>
      <c r="ED48" s="423">
        <v>0</v>
      </c>
      <c r="EE48" s="423">
        <v>1</v>
      </c>
      <c r="EF48" s="423">
        <v>2.5</v>
      </c>
      <c r="EG48" s="423">
        <v>6</v>
      </c>
      <c r="EH48" s="423">
        <v>0</v>
      </c>
      <c r="EI48" s="456"/>
      <c r="EJ48" s="456"/>
      <c r="EK48" s="456"/>
      <c r="EL48" s="456"/>
      <c r="EM48" s="456"/>
      <c r="EN48" s="456"/>
      <c r="EO48" s="425"/>
      <c r="EP48" s="425"/>
      <c r="EQ48" s="425" t="s">
        <v>743</v>
      </c>
      <c r="ER48" s="425">
        <v>1</v>
      </c>
      <c r="ES48" s="425">
        <v>6</v>
      </c>
      <c r="ET48" s="425">
        <v>400</v>
      </c>
      <c r="EU48" s="457">
        <v>4000</v>
      </c>
      <c r="EV48" s="425">
        <v>180</v>
      </c>
      <c r="EW48" s="425">
        <v>6618724</v>
      </c>
      <c r="EX48" s="425">
        <v>72057</v>
      </c>
      <c r="EY48" s="666">
        <v>18.149999999999999</v>
      </c>
      <c r="EZ48" s="666">
        <v>18.100000000000001</v>
      </c>
      <c r="FA48" s="666">
        <v>0</v>
      </c>
      <c r="FB48" s="666">
        <v>1.41</v>
      </c>
      <c r="FC48" s="666">
        <v>1.43</v>
      </c>
      <c r="FD48" s="666">
        <v>1.17</v>
      </c>
      <c r="FE48" s="666">
        <v>1.1499999999999999</v>
      </c>
      <c r="FF48" s="666">
        <v>200</v>
      </c>
      <c r="FG48" s="666">
        <v>0.18</v>
      </c>
      <c r="FH48" s="666">
        <v>0.16</v>
      </c>
      <c r="FI48" s="666">
        <v>0.22</v>
      </c>
      <c r="FJ48" s="666">
        <v>8</v>
      </c>
      <c r="FK48" s="666">
        <v>8.1999999999999993</v>
      </c>
      <c r="FL48" s="666">
        <v>8.44</v>
      </c>
      <c r="FM48" s="666">
        <v>7.7</v>
      </c>
      <c r="FN48" s="666">
        <v>0</v>
      </c>
    </row>
    <row r="49" spans="1:170" s="416" customFormat="1" ht="15">
      <c r="A49" s="425" t="s">
        <v>8</v>
      </c>
      <c r="B49" s="426">
        <v>40578</v>
      </c>
      <c r="C49" s="418">
        <v>0</v>
      </c>
      <c r="D49" s="518">
        <v>0.96</v>
      </c>
      <c r="E49" s="453">
        <v>0</v>
      </c>
      <c r="F49" s="453">
        <v>43</v>
      </c>
      <c r="G49" s="453">
        <v>2.65</v>
      </c>
      <c r="H49" s="519">
        <v>90</v>
      </c>
      <c r="I49" s="519">
        <v>0</v>
      </c>
      <c r="J49" s="483">
        <v>0.08</v>
      </c>
      <c r="K49" s="520" t="s">
        <v>742</v>
      </c>
      <c r="L49" s="453">
        <v>45.559999999999491</v>
      </c>
      <c r="M49" s="453">
        <v>23.6</v>
      </c>
      <c r="N49" s="453">
        <v>1.32</v>
      </c>
      <c r="O49" s="453">
        <v>1.7308487051694954</v>
      </c>
      <c r="P49" s="453" t="s">
        <v>742</v>
      </c>
      <c r="Q49" s="453">
        <v>0</v>
      </c>
      <c r="R49" s="453">
        <v>657.52692206076608</v>
      </c>
      <c r="S49" s="453">
        <v>7.75</v>
      </c>
      <c r="T49" s="453" t="s">
        <v>742</v>
      </c>
      <c r="U49" s="453">
        <v>0.66</v>
      </c>
      <c r="V49" s="453" t="s">
        <v>742</v>
      </c>
      <c r="W49" s="453">
        <v>48.739999999999995</v>
      </c>
      <c r="X49" s="456" t="e">
        <v>#VALUE!</v>
      </c>
      <c r="Y49" s="453">
        <v>28.92</v>
      </c>
      <c r="Z49" s="453">
        <v>16.78</v>
      </c>
      <c r="AA49" s="519">
        <v>28.600000000005821</v>
      </c>
      <c r="AB49" s="519">
        <v>16.830000000001746</v>
      </c>
      <c r="AC49" s="732">
        <f t="shared" si="0"/>
        <v>45.430000000007567</v>
      </c>
      <c r="AD49" s="664"/>
      <c r="AE49" s="664"/>
      <c r="AF49" s="664"/>
      <c r="AG49" s="664"/>
      <c r="AH49" s="664"/>
      <c r="AI49" s="664"/>
      <c r="AJ49" s="485"/>
      <c r="AK49" s="485"/>
      <c r="AL49" s="485"/>
      <c r="AM49" s="485"/>
      <c r="AN49" s="485"/>
      <c r="AO49" s="665"/>
      <c r="AP49" s="485"/>
      <c r="AQ49" s="483"/>
      <c r="AR49" s="755">
        <v>0</v>
      </c>
      <c r="AS49" s="483">
        <v>36.9</v>
      </c>
      <c r="AT49" s="755">
        <v>0</v>
      </c>
      <c r="AU49" s="483">
        <v>30</v>
      </c>
      <c r="AV49" s="484">
        <v>491.4</v>
      </c>
      <c r="AW49" s="484">
        <v>525.6</v>
      </c>
      <c r="AX49" s="453">
        <v>0</v>
      </c>
      <c r="AY49" s="734">
        <v>0</v>
      </c>
      <c r="AZ49" s="734">
        <v>0</v>
      </c>
      <c r="BA49" s="734">
        <v>0</v>
      </c>
      <c r="BB49" s="453">
        <v>0</v>
      </c>
      <c r="BC49" s="453">
        <v>0</v>
      </c>
      <c r="BD49" s="453">
        <v>0</v>
      </c>
      <c r="BE49" s="734">
        <v>0</v>
      </c>
      <c r="BF49" s="453">
        <v>0</v>
      </c>
      <c r="BG49" s="453">
        <v>0</v>
      </c>
      <c r="BH49" s="734">
        <v>0</v>
      </c>
      <c r="BI49" s="453">
        <v>0</v>
      </c>
      <c r="BJ49" s="453">
        <v>17.100000000000001</v>
      </c>
      <c r="BK49" s="453">
        <v>0</v>
      </c>
      <c r="BL49" s="453">
        <v>0</v>
      </c>
      <c r="BM49" s="453">
        <v>0</v>
      </c>
      <c r="BN49" s="453">
        <v>17</v>
      </c>
      <c r="BO49" s="453">
        <v>910.8</v>
      </c>
      <c r="BP49" s="453">
        <v>0</v>
      </c>
      <c r="BQ49" s="453">
        <v>18.100000000000001</v>
      </c>
      <c r="BR49" s="453">
        <v>18</v>
      </c>
      <c r="BS49" s="453">
        <v>0</v>
      </c>
      <c r="BT49" s="453">
        <v>30.2</v>
      </c>
      <c r="BU49" s="453">
        <v>24.1</v>
      </c>
      <c r="BV49" s="456">
        <v>646</v>
      </c>
      <c r="BW49" s="453">
        <v>0.1</v>
      </c>
      <c r="BX49" s="453">
        <v>1.53</v>
      </c>
      <c r="BY49" s="456">
        <v>1.1299999999999999</v>
      </c>
      <c r="BZ49" s="456">
        <v>15.2</v>
      </c>
      <c r="CA49" s="456">
        <v>36</v>
      </c>
      <c r="CB49" s="456">
        <v>14.2</v>
      </c>
      <c r="CC49" s="456">
        <v>8.1</v>
      </c>
      <c r="CD49" s="456">
        <v>12.4</v>
      </c>
      <c r="CE49" s="456">
        <v>16.399999999999999</v>
      </c>
      <c r="CF49" s="456">
        <v>13.28</v>
      </c>
      <c r="CG49" s="456">
        <v>523.11</v>
      </c>
      <c r="CH49" s="456">
        <v>2</v>
      </c>
      <c r="CI49" s="456">
        <v>1.2</v>
      </c>
      <c r="CJ49" s="456">
        <v>206.2</v>
      </c>
      <c r="CK49" s="456">
        <v>182.9</v>
      </c>
      <c r="CL49" s="456">
        <v>221.8</v>
      </c>
      <c r="CM49" s="456">
        <v>10.4</v>
      </c>
      <c r="CN49" s="456">
        <v>1.6</v>
      </c>
      <c r="CO49" s="453">
        <v>0</v>
      </c>
      <c r="CP49" s="453">
        <v>15.59</v>
      </c>
      <c r="CQ49" s="453">
        <v>46</v>
      </c>
      <c r="CR49" s="456">
        <v>0</v>
      </c>
      <c r="CS49" s="456">
        <v>0</v>
      </c>
      <c r="CT49" s="456">
        <v>0</v>
      </c>
      <c r="CU49" s="456">
        <v>0</v>
      </c>
      <c r="CV49" s="481">
        <v>1726.4705882352941</v>
      </c>
      <c r="CW49" s="481">
        <v>2614.4791666666665</v>
      </c>
      <c r="CX49" s="481">
        <v>1920</v>
      </c>
      <c r="CY49" s="481">
        <v>1080.52</v>
      </c>
      <c r="CZ49" s="456"/>
      <c r="DA49" s="456"/>
      <c r="DB49" s="456"/>
      <c r="DC49" s="456"/>
      <c r="DD49" s="456"/>
      <c r="DE49" s="456"/>
      <c r="DF49" s="456"/>
      <c r="DG49" s="425"/>
      <c r="DH49" s="456">
        <v>0</v>
      </c>
      <c r="DI49" s="456">
        <v>0.33</v>
      </c>
      <c r="DJ49" s="456">
        <v>0.73</v>
      </c>
      <c r="DK49" s="425"/>
      <c r="DL49" s="456"/>
      <c r="DM49" s="456"/>
      <c r="DN49" s="456"/>
      <c r="DO49" s="456"/>
      <c r="DP49" s="456"/>
      <c r="DQ49" s="456"/>
      <c r="DR49" s="456"/>
      <c r="DS49" s="456"/>
      <c r="DT49" s="456"/>
      <c r="DU49" s="456"/>
      <c r="DV49" s="456"/>
      <c r="DW49" s="456"/>
      <c r="DX49" s="456"/>
      <c r="DY49" s="456"/>
      <c r="DZ49" s="456"/>
      <c r="EA49" s="456"/>
      <c r="EB49" s="456"/>
      <c r="EC49" s="456"/>
      <c r="ED49" s="423">
        <v>0</v>
      </c>
      <c r="EE49" s="456">
        <v>1</v>
      </c>
      <c r="EF49" s="456">
        <v>2.5</v>
      </c>
      <c r="EG49" s="423">
        <v>6</v>
      </c>
      <c r="EH49" s="423">
        <v>0</v>
      </c>
      <c r="EI49" s="456"/>
      <c r="EJ49" s="456"/>
      <c r="EK49" s="456"/>
      <c r="EL49" s="456"/>
      <c r="EM49" s="456"/>
      <c r="EN49" s="456"/>
      <c r="EO49" s="425"/>
      <c r="EP49" s="425"/>
      <c r="EQ49" s="425" t="s">
        <v>743</v>
      </c>
      <c r="ER49" s="425">
        <v>1</v>
      </c>
      <c r="ES49" s="425">
        <v>6</v>
      </c>
      <c r="ET49" s="425">
        <v>120</v>
      </c>
      <c r="EU49" s="457">
        <v>4000</v>
      </c>
      <c r="EV49" s="425">
        <v>80</v>
      </c>
      <c r="EW49" s="425">
        <v>6621116</v>
      </c>
      <c r="EX49" s="425">
        <v>72841</v>
      </c>
      <c r="EY49" s="666">
        <v>18.2</v>
      </c>
      <c r="EZ49" s="666">
        <v>18.2</v>
      </c>
      <c r="FA49" s="666">
        <v>0</v>
      </c>
      <c r="FB49" s="666">
        <v>1.36</v>
      </c>
      <c r="FC49" s="666">
        <v>1.39</v>
      </c>
      <c r="FD49" s="666">
        <v>1.1499999999999999</v>
      </c>
      <c r="FE49" s="666">
        <v>1.1599999999999999</v>
      </c>
      <c r="FF49" s="666">
        <v>280</v>
      </c>
      <c r="FG49" s="666">
        <v>0.2</v>
      </c>
      <c r="FH49" s="666">
        <v>0.15</v>
      </c>
      <c r="FI49" s="666">
        <v>0.21</v>
      </c>
      <c r="FJ49" s="666">
        <v>8.43</v>
      </c>
      <c r="FK49" s="666">
        <v>8.1999999999999993</v>
      </c>
      <c r="FL49" s="666">
        <v>8.42</v>
      </c>
      <c r="FM49" s="666">
        <v>7.8</v>
      </c>
      <c r="FN49" s="666">
        <v>0</v>
      </c>
    </row>
    <row r="50" spans="1:170" s="416" customFormat="1" ht="15">
      <c r="A50" s="425" t="s">
        <v>9</v>
      </c>
      <c r="B50" s="426">
        <v>40579</v>
      </c>
      <c r="C50" s="418">
        <v>0</v>
      </c>
      <c r="D50" s="518">
        <v>0.06</v>
      </c>
      <c r="E50" s="453">
        <v>0</v>
      </c>
      <c r="F50" s="453">
        <v>40</v>
      </c>
      <c r="G50" s="453">
        <v>2.4</v>
      </c>
      <c r="H50" s="519">
        <v>37</v>
      </c>
      <c r="I50" s="519">
        <v>78</v>
      </c>
      <c r="J50" s="483">
        <v>7.0000000000000007E-2</v>
      </c>
      <c r="K50" s="520" t="s">
        <v>742</v>
      </c>
      <c r="L50" s="453">
        <v>45.829999999999927</v>
      </c>
      <c r="M50" s="453">
        <v>23.4</v>
      </c>
      <c r="N50" s="453">
        <v>1.32</v>
      </c>
      <c r="O50" s="453">
        <v>1.7339235834501945</v>
      </c>
      <c r="P50" s="453" t="s">
        <v>742</v>
      </c>
      <c r="Q50" s="453">
        <v>0</v>
      </c>
      <c r="R50" s="453">
        <v>663.03330515191544</v>
      </c>
      <c r="S50" s="453">
        <v>7.74</v>
      </c>
      <c r="T50" s="453" t="s">
        <v>742</v>
      </c>
      <c r="U50" s="453">
        <v>0.63</v>
      </c>
      <c r="V50" s="453" t="s">
        <v>742</v>
      </c>
      <c r="W50" s="453">
        <v>48.739999999999995</v>
      </c>
      <c r="X50" s="456" t="e">
        <v>#VALUE!</v>
      </c>
      <c r="Y50" s="453">
        <v>29.32</v>
      </c>
      <c r="Z50" s="453">
        <v>16.920000000000002</v>
      </c>
      <c r="AA50" s="519">
        <v>28.899999999994179</v>
      </c>
      <c r="AB50" s="519">
        <v>16.969999999993888</v>
      </c>
      <c r="AC50" s="732">
        <f t="shared" si="0"/>
        <v>45.869999999988067</v>
      </c>
      <c r="AD50" s="664"/>
      <c r="AE50" s="664"/>
      <c r="AF50" s="664"/>
      <c r="AG50" s="664"/>
      <c r="AH50" s="664"/>
      <c r="AI50" s="664"/>
      <c r="AJ50" s="485"/>
      <c r="AK50" s="485"/>
      <c r="AL50" s="485"/>
      <c r="AM50" s="485"/>
      <c r="AN50" s="485"/>
      <c r="AO50" s="665"/>
      <c r="AP50" s="485"/>
      <c r="AQ50" s="483"/>
      <c r="AR50" s="755">
        <v>0</v>
      </c>
      <c r="AS50" s="483">
        <v>19.2</v>
      </c>
      <c r="AT50" s="755">
        <v>0</v>
      </c>
      <c r="AU50" s="483">
        <v>30.1</v>
      </c>
      <c r="AV50" s="484">
        <v>311.5</v>
      </c>
      <c r="AW50" s="484">
        <v>371.2</v>
      </c>
      <c r="AX50" s="453">
        <v>0</v>
      </c>
      <c r="AY50" s="734">
        <v>0</v>
      </c>
      <c r="AZ50" s="734">
        <v>0</v>
      </c>
      <c r="BA50" s="734">
        <v>0</v>
      </c>
      <c r="BB50" s="453">
        <v>0</v>
      </c>
      <c r="BC50" s="453">
        <v>0</v>
      </c>
      <c r="BD50" s="453">
        <v>0</v>
      </c>
      <c r="BE50" s="734">
        <v>0</v>
      </c>
      <c r="BF50" s="453">
        <v>0</v>
      </c>
      <c r="BG50" s="453">
        <v>0</v>
      </c>
      <c r="BH50" s="734">
        <v>0</v>
      </c>
      <c r="BI50" s="453">
        <v>0</v>
      </c>
      <c r="BJ50" s="453">
        <v>17.2</v>
      </c>
      <c r="BK50" s="453">
        <v>0</v>
      </c>
      <c r="BL50" s="453">
        <v>0</v>
      </c>
      <c r="BM50" s="453">
        <v>0</v>
      </c>
      <c r="BN50" s="453">
        <v>17</v>
      </c>
      <c r="BO50" s="453">
        <v>1710.9</v>
      </c>
      <c r="BP50" s="453">
        <v>0</v>
      </c>
      <c r="BQ50" s="453">
        <v>18.239999999999998</v>
      </c>
      <c r="BR50" s="453">
        <v>18.2</v>
      </c>
      <c r="BS50" s="453">
        <v>0</v>
      </c>
      <c r="BT50" s="453">
        <v>30.7</v>
      </c>
      <c r="BU50" s="453">
        <v>25</v>
      </c>
      <c r="BV50" s="456">
        <v>659.8</v>
      </c>
      <c r="BW50" s="453">
        <v>0.1</v>
      </c>
      <c r="BX50" s="453">
        <v>1.51</v>
      </c>
      <c r="BY50" s="456">
        <v>1.1200000000000001</v>
      </c>
      <c r="BZ50" s="456">
        <v>15.2</v>
      </c>
      <c r="CA50" s="456">
        <v>38.6</v>
      </c>
      <c r="CB50" s="456">
        <v>13.4</v>
      </c>
      <c r="CC50" s="456">
        <v>10</v>
      </c>
      <c r="CD50" s="456">
        <v>14.26</v>
      </c>
      <c r="CE50" s="456">
        <v>18.3</v>
      </c>
      <c r="CF50" s="456">
        <v>13.24</v>
      </c>
      <c r="CG50" s="456">
        <v>386.4</v>
      </c>
      <c r="CH50" s="456">
        <v>1.9</v>
      </c>
      <c r="CI50" s="456">
        <v>2.4</v>
      </c>
      <c r="CJ50" s="456">
        <v>427.2</v>
      </c>
      <c r="CK50" s="456">
        <v>402.5</v>
      </c>
      <c r="CL50" s="456">
        <v>457.1</v>
      </c>
      <c r="CM50" s="456">
        <v>9.9</v>
      </c>
      <c r="CN50" s="456">
        <v>1.7</v>
      </c>
      <c r="CO50" s="453">
        <v>0</v>
      </c>
      <c r="CP50" s="453">
        <v>14.9</v>
      </c>
      <c r="CQ50" s="453">
        <v>46</v>
      </c>
      <c r="CR50" s="456">
        <v>0</v>
      </c>
      <c r="CS50" s="456">
        <v>0</v>
      </c>
      <c r="CT50" s="456">
        <v>0</v>
      </c>
      <c r="CU50" s="456">
        <v>0</v>
      </c>
      <c r="CV50" s="481">
        <v>2568.2352941176468</v>
      </c>
      <c r="CW50" s="481">
        <v>3445</v>
      </c>
      <c r="CX50" s="481">
        <v>2845</v>
      </c>
      <c r="CY50" s="481">
        <v>1084.68</v>
      </c>
      <c r="CZ50" s="456"/>
      <c r="DA50" s="456"/>
      <c r="DB50" s="456"/>
      <c r="DC50" s="456"/>
      <c r="DD50" s="456"/>
      <c r="DE50" s="456"/>
      <c r="DF50" s="456"/>
      <c r="DG50" s="425"/>
      <c r="DH50" s="456">
        <v>0</v>
      </c>
      <c r="DI50" s="456">
        <v>0.59</v>
      </c>
      <c r="DJ50" s="456">
        <v>1.26</v>
      </c>
      <c r="DK50" s="425"/>
      <c r="DL50" s="456"/>
      <c r="DM50" s="456"/>
      <c r="DN50" s="456"/>
      <c r="DO50" s="456"/>
      <c r="DP50" s="456"/>
      <c r="DQ50" s="456"/>
      <c r="DR50" s="456"/>
      <c r="DS50" s="456"/>
      <c r="DT50" s="456"/>
      <c r="DU50" s="456"/>
      <c r="DV50" s="456"/>
      <c r="DW50" s="456"/>
      <c r="DX50" s="456"/>
      <c r="DY50" s="456"/>
      <c r="DZ50" s="456"/>
      <c r="EA50" s="456"/>
      <c r="EB50" s="456"/>
      <c r="EC50" s="456"/>
      <c r="ED50" s="423">
        <v>0</v>
      </c>
      <c r="EE50" s="456">
        <v>1</v>
      </c>
      <c r="EF50" s="456">
        <v>2.5</v>
      </c>
      <c r="EG50" s="423">
        <v>6</v>
      </c>
      <c r="EH50" s="423">
        <v>0</v>
      </c>
      <c r="EI50" s="456"/>
      <c r="EJ50" s="456"/>
      <c r="EK50" s="456"/>
      <c r="EL50" s="456"/>
      <c r="EM50" s="456"/>
      <c r="EN50" s="456"/>
      <c r="EO50" s="425"/>
      <c r="EP50" s="425"/>
      <c r="EQ50" s="425" t="s">
        <v>743</v>
      </c>
      <c r="ER50" s="425">
        <v>1</v>
      </c>
      <c r="ES50" s="425">
        <v>4</v>
      </c>
      <c r="ET50" s="425">
        <v>3820</v>
      </c>
      <c r="EU50" s="457">
        <v>100</v>
      </c>
      <c r="EV50" s="425">
        <v>120</v>
      </c>
      <c r="EW50" s="425">
        <v>6623439</v>
      </c>
      <c r="EX50" s="425">
        <v>73644</v>
      </c>
      <c r="EY50" s="666">
        <v>18.66</v>
      </c>
      <c r="EZ50" s="666">
        <v>18.649999999999999</v>
      </c>
      <c r="FA50" s="666">
        <v>0</v>
      </c>
      <c r="FB50" s="666">
        <v>1.37</v>
      </c>
      <c r="FC50" s="666">
        <v>1.29</v>
      </c>
      <c r="FD50" s="666">
        <v>1.19</v>
      </c>
      <c r="FE50" s="666">
        <v>1.1499999999999999</v>
      </c>
      <c r="FF50" s="666">
        <v>200</v>
      </c>
      <c r="FG50" s="666">
        <v>0.24</v>
      </c>
      <c r="FH50" s="666">
        <v>0.14000000000000001</v>
      </c>
      <c r="FI50" s="666">
        <v>0.22</v>
      </c>
      <c r="FJ50" s="666">
        <v>8.36</v>
      </c>
      <c r="FK50" s="666">
        <v>8.1999999999999993</v>
      </c>
      <c r="FL50" s="666">
        <v>8.3699999999999992</v>
      </c>
      <c r="FM50" s="666">
        <v>7.7</v>
      </c>
      <c r="FN50" s="666">
        <v>0</v>
      </c>
    </row>
    <row r="51" spans="1:170" s="416" customFormat="1" ht="15">
      <c r="A51" s="425" t="s">
        <v>3</v>
      </c>
      <c r="B51" s="426">
        <v>40580</v>
      </c>
      <c r="C51" s="418">
        <v>0</v>
      </c>
      <c r="D51" s="518">
        <v>1.03</v>
      </c>
      <c r="E51" s="453">
        <v>0</v>
      </c>
      <c r="F51" s="453">
        <v>44</v>
      </c>
      <c r="G51" s="453">
        <v>2.4</v>
      </c>
      <c r="H51" s="519">
        <v>16.3</v>
      </c>
      <c r="I51" s="519">
        <v>86.1</v>
      </c>
      <c r="J51" s="483">
        <v>7.0000000000000007E-2</v>
      </c>
      <c r="K51" s="520" t="s">
        <v>742</v>
      </c>
      <c r="L51" s="453">
        <v>46.389999999999418</v>
      </c>
      <c r="M51" s="453">
        <v>23.6</v>
      </c>
      <c r="N51" s="453">
        <v>1.31</v>
      </c>
      <c r="O51" s="453">
        <v>1.7317161042393308</v>
      </c>
      <c r="P51" s="453" t="s">
        <v>742</v>
      </c>
      <c r="Q51" s="453">
        <v>0</v>
      </c>
      <c r="R51" s="453">
        <v>667.24406869220604</v>
      </c>
      <c r="S51" s="453">
        <v>7.7</v>
      </c>
      <c r="T51" s="453" t="s">
        <v>742</v>
      </c>
      <c r="U51" s="453">
        <v>0.63</v>
      </c>
      <c r="V51" s="453" t="s">
        <v>742</v>
      </c>
      <c r="W51" s="453">
        <v>48.56</v>
      </c>
      <c r="X51" s="456" t="e">
        <v>#VALUE!</v>
      </c>
      <c r="Y51" s="453">
        <v>29.46</v>
      </c>
      <c r="Z51" s="453">
        <v>17.09</v>
      </c>
      <c r="AA51" s="519">
        <v>29</v>
      </c>
      <c r="AB51" s="519">
        <v>17.100000000005821</v>
      </c>
      <c r="AC51" s="732">
        <f t="shared" si="0"/>
        <v>46.100000000005821</v>
      </c>
      <c r="AD51" s="664"/>
      <c r="AE51" s="664"/>
      <c r="AF51" s="664"/>
      <c r="AG51" s="664"/>
      <c r="AH51" s="664"/>
      <c r="AI51" s="664"/>
      <c r="AJ51" s="485"/>
      <c r="AK51" s="485"/>
      <c r="AL51" s="485"/>
      <c r="AM51" s="485"/>
      <c r="AN51" s="485"/>
      <c r="AO51" s="665"/>
      <c r="AP51" s="485"/>
      <c r="AQ51" s="483"/>
      <c r="AR51" s="755">
        <v>0</v>
      </c>
      <c r="AS51" s="483">
        <v>19.100000000000001</v>
      </c>
      <c r="AT51" s="755">
        <v>0</v>
      </c>
      <c r="AU51" s="483">
        <v>30.1</v>
      </c>
      <c r="AV51" s="484">
        <v>399.4</v>
      </c>
      <c r="AW51" s="484">
        <v>128.30000000000001</v>
      </c>
      <c r="AX51" s="453">
        <v>0</v>
      </c>
      <c r="AY51" s="734">
        <v>0</v>
      </c>
      <c r="AZ51" s="734">
        <v>0</v>
      </c>
      <c r="BA51" s="734">
        <v>0</v>
      </c>
      <c r="BB51" s="453">
        <v>0</v>
      </c>
      <c r="BC51" s="453">
        <v>0</v>
      </c>
      <c r="BD51" s="453">
        <v>0</v>
      </c>
      <c r="BE51" s="734">
        <v>0</v>
      </c>
      <c r="BF51" s="453">
        <v>0</v>
      </c>
      <c r="BG51" s="453">
        <v>0</v>
      </c>
      <c r="BH51" s="734">
        <v>0</v>
      </c>
      <c r="BI51" s="453">
        <v>0</v>
      </c>
      <c r="BJ51" s="453">
        <v>17.100000000000001</v>
      </c>
      <c r="BK51" s="453">
        <v>0</v>
      </c>
      <c r="BL51" s="453">
        <v>0</v>
      </c>
      <c r="BM51" s="453">
        <v>0</v>
      </c>
      <c r="BN51" s="453">
        <v>17</v>
      </c>
      <c r="BO51" s="453">
        <v>1181.3</v>
      </c>
      <c r="BP51" s="453">
        <v>0</v>
      </c>
      <c r="BQ51" s="453">
        <v>18.78</v>
      </c>
      <c r="BR51" s="453">
        <v>18.690000000000001</v>
      </c>
      <c r="BS51" s="453">
        <v>0</v>
      </c>
      <c r="BT51" s="453">
        <v>30.7</v>
      </c>
      <c r="BU51" s="453">
        <v>23.1</v>
      </c>
      <c r="BV51" s="456">
        <v>524.5</v>
      </c>
      <c r="BW51" s="453">
        <v>0.1</v>
      </c>
      <c r="BX51" s="453">
        <v>1.51</v>
      </c>
      <c r="BY51" s="456">
        <v>1.1200000000000001</v>
      </c>
      <c r="BZ51" s="456">
        <v>15.3</v>
      </c>
      <c r="CA51" s="456">
        <v>35.799999999999997</v>
      </c>
      <c r="CB51" s="456">
        <v>12.57</v>
      </c>
      <c r="CC51" s="456">
        <v>8.8000000000000007</v>
      </c>
      <c r="CD51" s="456">
        <v>13.02</v>
      </c>
      <c r="CE51" s="456">
        <v>17.100000000000001</v>
      </c>
      <c r="CF51" s="456">
        <v>13.08</v>
      </c>
      <c r="CG51" s="456">
        <v>502.31</v>
      </c>
      <c r="CH51" s="456">
        <v>1.9</v>
      </c>
      <c r="CI51" s="456">
        <v>2.5</v>
      </c>
      <c r="CJ51" s="456">
        <v>384.5</v>
      </c>
      <c r="CK51" s="456">
        <v>410.1</v>
      </c>
      <c r="CL51" s="456">
        <v>455.1</v>
      </c>
      <c r="CM51" s="456">
        <v>9.9</v>
      </c>
      <c r="CN51" s="456">
        <v>1.63</v>
      </c>
      <c r="CO51" s="453">
        <v>0</v>
      </c>
      <c r="CP51" s="453">
        <v>15.22</v>
      </c>
      <c r="CQ51" s="453">
        <v>46</v>
      </c>
      <c r="CR51" s="456">
        <v>0</v>
      </c>
      <c r="CS51" s="456">
        <v>0</v>
      </c>
      <c r="CT51" s="456">
        <v>0</v>
      </c>
      <c r="CU51" s="456">
        <v>0</v>
      </c>
      <c r="CV51" s="481">
        <v>3088.8235294117649</v>
      </c>
      <c r="CW51" s="481">
        <v>4164.6875</v>
      </c>
      <c r="CX51" s="481">
        <v>3188.125</v>
      </c>
      <c r="CY51" s="481">
        <v>1079.8699999999999</v>
      </c>
      <c r="CZ51" s="456"/>
      <c r="DA51" s="456"/>
      <c r="DB51" s="456"/>
      <c r="DC51" s="456"/>
      <c r="DD51" s="456"/>
      <c r="DE51" s="456"/>
      <c r="DF51" s="456"/>
      <c r="DG51" s="425"/>
      <c r="DH51" s="456">
        <v>0</v>
      </c>
      <c r="DI51" s="456">
        <v>0.55000000000000004</v>
      </c>
      <c r="DJ51" s="456">
        <v>1.18</v>
      </c>
      <c r="DK51" s="425"/>
      <c r="DL51" s="456"/>
      <c r="DM51" s="456"/>
      <c r="DN51" s="456"/>
      <c r="DO51" s="456"/>
      <c r="DP51" s="456"/>
      <c r="DQ51" s="456"/>
      <c r="DR51" s="456"/>
      <c r="DS51" s="456"/>
      <c r="DT51" s="456"/>
      <c r="DU51" s="456"/>
      <c r="DV51" s="456"/>
      <c r="DW51" s="456"/>
      <c r="DX51" s="456"/>
      <c r="DY51" s="456"/>
      <c r="DZ51" s="456"/>
      <c r="EA51" s="456"/>
      <c r="EB51" s="456"/>
      <c r="EC51" s="456"/>
      <c r="ED51" s="423">
        <v>0</v>
      </c>
      <c r="EE51" s="456">
        <v>1</v>
      </c>
      <c r="EF51" s="456">
        <v>2.5</v>
      </c>
      <c r="EG51" s="423">
        <v>6</v>
      </c>
      <c r="EH51" s="423">
        <v>0</v>
      </c>
      <c r="EI51" s="456"/>
      <c r="EJ51" s="456"/>
      <c r="EK51" s="456"/>
      <c r="EL51" s="456"/>
      <c r="EM51" s="456"/>
      <c r="EN51" s="456"/>
      <c r="EO51" s="425"/>
      <c r="EP51" s="425"/>
      <c r="EQ51" s="425" t="s">
        <v>743</v>
      </c>
      <c r="ER51" s="425">
        <v>1</v>
      </c>
      <c r="ES51" s="425">
        <v>4</v>
      </c>
      <c r="ET51" s="425">
        <v>100</v>
      </c>
      <c r="EU51" s="457">
        <v>3600</v>
      </c>
      <c r="EV51" s="425">
        <v>260</v>
      </c>
      <c r="EW51" s="425">
        <v>6625772</v>
      </c>
      <c r="EX51" s="425">
        <v>74459</v>
      </c>
      <c r="EY51" s="666">
        <v>19</v>
      </c>
      <c r="EZ51" s="666">
        <v>19</v>
      </c>
      <c r="FA51" s="666">
        <v>0</v>
      </c>
      <c r="FB51" s="666">
        <v>1.39</v>
      </c>
      <c r="FC51" s="666">
        <v>1.35</v>
      </c>
      <c r="FD51" s="666">
        <v>1.19</v>
      </c>
      <c r="FE51" s="666">
        <v>1.1499999999999999</v>
      </c>
      <c r="FF51" s="666">
        <v>220</v>
      </c>
      <c r="FG51" s="666">
        <v>0.2</v>
      </c>
      <c r="FH51" s="666">
        <v>0.13</v>
      </c>
      <c r="FI51" s="666">
        <v>0.21</v>
      </c>
      <c r="FJ51" s="666">
        <v>8.44</v>
      </c>
      <c r="FK51" s="666">
        <v>8.1999999999999993</v>
      </c>
      <c r="FL51" s="666">
        <v>8.32</v>
      </c>
      <c r="FM51" s="666">
        <v>7.7</v>
      </c>
      <c r="FN51" s="666">
        <v>0</v>
      </c>
    </row>
    <row r="52" spans="1:170" s="416" customFormat="1" ht="15">
      <c r="A52" s="425" t="s">
        <v>4</v>
      </c>
      <c r="B52" s="426">
        <v>40581</v>
      </c>
      <c r="C52" s="418">
        <v>0</v>
      </c>
      <c r="D52" s="518">
        <v>0.39</v>
      </c>
      <c r="E52" s="453">
        <v>0</v>
      </c>
      <c r="F52" s="453">
        <v>35</v>
      </c>
      <c r="G52" s="453">
        <v>3.5</v>
      </c>
      <c r="H52" s="519">
        <v>30</v>
      </c>
      <c r="I52" s="519">
        <v>0</v>
      </c>
      <c r="J52" s="483">
        <v>7.0000000000000007E-2</v>
      </c>
      <c r="K52" s="520" t="s">
        <v>742</v>
      </c>
      <c r="L52" s="453">
        <v>46.700000000000728</v>
      </c>
      <c r="M52" s="453">
        <v>24</v>
      </c>
      <c r="N52" s="453">
        <v>1.3</v>
      </c>
      <c r="O52" s="453">
        <v>1.7333352478318302</v>
      </c>
      <c r="P52" s="453" t="s">
        <v>742</v>
      </c>
      <c r="Q52" s="453">
        <v>0</v>
      </c>
      <c r="R52" s="453">
        <v>664.9767344782033</v>
      </c>
      <c r="S52" s="453">
        <v>7.5</v>
      </c>
      <c r="T52" s="453" t="s">
        <v>742</v>
      </c>
      <c r="U52" s="453">
        <v>0.6</v>
      </c>
      <c r="V52" s="453" t="s">
        <v>742</v>
      </c>
      <c r="W52" s="453">
        <v>48.2</v>
      </c>
      <c r="X52" s="456" t="e">
        <v>#VALUE!</v>
      </c>
      <c r="Y52" s="453">
        <v>28.93</v>
      </c>
      <c r="Z52" s="453">
        <v>17.39</v>
      </c>
      <c r="AA52" s="519">
        <v>28.370000000009895</v>
      </c>
      <c r="AB52" s="519">
        <v>17</v>
      </c>
      <c r="AC52" s="732">
        <f t="shared" si="0"/>
        <v>45.370000000009895</v>
      </c>
      <c r="AD52" s="664"/>
      <c r="AE52" s="664"/>
      <c r="AF52" s="664"/>
      <c r="AG52" s="664"/>
      <c r="AH52" s="664"/>
      <c r="AI52" s="664"/>
      <c r="AJ52" s="485"/>
      <c r="AK52" s="485"/>
      <c r="AL52" s="485"/>
      <c r="AM52" s="485"/>
      <c r="AN52" s="485"/>
      <c r="AO52" s="665"/>
      <c r="AP52" s="485"/>
      <c r="AQ52" s="483"/>
      <c r="AR52" s="755">
        <v>0</v>
      </c>
      <c r="AS52" s="483">
        <v>18.100000000000001</v>
      </c>
      <c r="AT52" s="755">
        <v>0</v>
      </c>
      <c r="AU52" s="483">
        <v>30.1</v>
      </c>
      <c r="AV52" s="484">
        <v>640</v>
      </c>
      <c r="AW52" s="484">
        <v>0</v>
      </c>
      <c r="AX52" s="453">
        <v>0</v>
      </c>
      <c r="AY52" s="734">
        <v>0</v>
      </c>
      <c r="AZ52" s="734">
        <v>0</v>
      </c>
      <c r="BA52" s="734">
        <v>0</v>
      </c>
      <c r="BB52" s="453">
        <v>0</v>
      </c>
      <c r="BC52" s="453">
        <v>0</v>
      </c>
      <c r="BD52" s="453">
        <v>0</v>
      </c>
      <c r="BE52" s="734">
        <v>0</v>
      </c>
      <c r="BF52" s="453">
        <v>0</v>
      </c>
      <c r="BG52" s="453">
        <v>0</v>
      </c>
      <c r="BH52" s="734">
        <v>0</v>
      </c>
      <c r="BI52" s="453">
        <v>0</v>
      </c>
      <c r="BJ52" s="453">
        <v>17.100000000000001</v>
      </c>
      <c r="BK52" s="453">
        <v>0</v>
      </c>
      <c r="BL52" s="453">
        <v>0</v>
      </c>
      <c r="BM52" s="453">
        <v>0</v>
      </c>
      <c r="BN52" s="453">
        <v>17</v>
      </c>
      <c r="BO52" s="453">
        <v>1252</v>
      </c>
      <c r="BP52" s="453">
        <v>0</v>
      </c>
      <c r="BQ52" s="453">
        <v>18.8</v>
      </c>
      <c r="BR52" s="453">
        <v>18.7</v>
      </c>
      <c r="BS52" s="453">
        <v>0</v>
      </c>
      <c r="BT52" s="453">
        <v>30.4</v>
      </c>
      <c r="BU52" s="453">
        <v>25.2</v>
      </c>
      <c r="BV52" s="456">
        <v>596.70000000000005</v>
      </c>
      <c r="BW52" s="453">
        <v>0.1</v>
      </c>
      <c r="BX52" s="453">
        <v>1.5</v>
      </c>
      <c r="BY52" s="456">
        <v>1.0900000000000001</v>
      </c>
      <c r="BZ52" s="456">
        <v>15.3</v>
      </c>
      <c r="CA52" s="456">
        <v>35.799999999999997</v>
      </c>
      <c r="CB52" s="456">
        <v>12.5</v>
      </c>
      <c r="CC52" s="456">
        <v>8.8000000000000007</v>
      </c>
      <c r="CD52" s="456">
        <v>13</v>
      </c>
      <c r="CE52" s="456">
        <v>17.100000000000001</v>
      </c>
      <c r="CF52" s="456">
        <v>13.1</v>
      </c>
      <c r="CG52" s="456">
        <v>506.7</v>
      </c>
      <c r="CH52" s="456">
        <v>1.9</v>
      </c>
      <c r="CI52" s="456">
        <v>2.7</v>
      </c>
      <c r="CJ52" s="456">
        <v>345.5</v>
      </c>
      <c r="CK52" s="456">
        <v>379.9</v>
      </c>
      <c r="CL52" s="456">
        <v>505.5</v>
      </c>
      <c r="CM52" s="456">
        <v>10.3</v>
      </c>
      <c r="CN52" s="456">
        <v>1.7</v>
      </c>
      <c r="CO52" s="453">
        <v>0</v>
      </c>
      <c r="CP52" s="453">
        <v>15.21</v>
      </c>
      <c r="CQ52" s="453">
        <v>46</v>
      </c>
      <c r="CR52" s="456">
        <v>0</v>
      </c>
      <c r="CS52" s="456">
        <v>0.69</v>
      </c>
      <c r="CT52" s="456">
        <v>1.1299999999999999</v>
      </c>
      <c r="CU52" s="456">
        <v>0</v>
      </c>
      <c r="CV52" s="481">
        <v>3177.6470588235293</v>
      </c>
      <c r="CW52" s="481">
        <v>4287.083333333333</v>
      </c>
      <c r="CX52" s="481">
        <v>3376.5625</v>
      </c>
      <c r="CY52" s="481">
        <v>1079.32</v>
      </c>
      <c r="CZ52" s="456"/>
      <c r="DA52" s="456"/>
      <c r="DB52" s="456"/>
      <c r="DC52" s="456"/>
      <c r="DD52" s="456"/>
      <c r="DE52" s="456"/>
      <c r="DF52" s="456"/>
      <c r="DG52" s="425"/>
      <c r="DH52" s="456">
        <v>0</v>
      </c>
      <c r="DI52" s="456">
        <v>0.69</v>
      </c>
      <c r="DJ52" s="456">
        <v>1.1299999999999999</v>
      </c>
      <c r="DK52" s="425"/>
      <c r="DL52" s="456"/>
      <c r="DM52" s="456"/>
      <c r="DN52" s="456"/>
      <c r="DO52" s="456"/>
      <c r="DP52" s="456"/>
      <c r="DQ52" s="456"/>
      <c r="DR52" s="456"/>
      <c r="DS52" s="456"/>
      <c r="DT52" s="456"/>
      <c r="DU52" s="456"/>
      <c r="DV52" s="456"/>
      <c r="DW52" s="456"/>
      <c r="DX52" s="456"/>
      <c r="DY52" s="456"/>
      <c r="DZ52" s="456"/>
      <c r="EA52" s="456"/>
      <c r="EB52" s="456"/>
      <c r="EC52" s="456"/>
      <c r="ED52" s="423">
        <v>0</v>
      </c>
      <c r="EE52" s="456">
        <v>1</v>
      </c>
      <c r="EF52" s="456">
        <v>3.5</v>
      </c>
      <c r="EG52" s="423">
        <v>6</v>
      </c>
      <c r="EH52" s="423">
        <v>0</v>
      </c>
      <c r="EI52" s="456"/>
      <c r="EJ52" s="456"/>
      <c r="EK52" s="456"/>
      <c r="EL52" s="456"/>
      <c r="EM52" s="456"/>
      <c r="EN52" s="456"/>
      <c r="EO52" s="425"/>
      <c r="EP52" s="425"/>
      <c r="EQ52" s="425" t="s">
        <v>746</v>
      </c>
      <c r="ER52" s="425">
        <v>1</v>
      </c>
      <c r="ES52" s="425">
        <v>4</v>
      </c>
      <c r="ET52" s="425">
        <v>100</v>
      </c>
      <c r="EU52" s="457">
        <v>3360</v>
      </c>
      <c r="EV52" s="425">
        <v>230</v>
      </c>
      <c r="EW52" s="425">
        <v>6628430</v>
      </c>
      <c r="EX52" s="425">
        <v>75243</v>
      </c>
      <c r="EY52" s="666">
        <v>18.78</v>
      </c>
      <c r="EZ52" s="666">
        <v>18.78</v>
      </c>
      <c r="FA52" s="666">
        <v>0</v>
      </c>
      <c r="FB52" s="666">
        <v>1.37</v>
      </c>
      <c r="FC52" s="666">
        <v>1.27</v>
      </c>
      <c r="FD52" s="666">
        <v>1.23</v>
      </c>
      <c r="FE52" s="666">
        <v>1.2</v>
      </c>
      <c r="FF52" s="666">
        <v>240</v>
      </c>
      <c r="FG52" s="666">
        <v>0.16</v>
      </c>
      <c r="FH52" s="666">
        <v>0.13</v>
      </c>
      <c r="FI52" s="666">
        <v>0.19</v>
      </c>
      <c r="FJ52" s="666">
        <v>8.25</v>
      </c>
      <c r="FK52" s="666">
        <v>8.3000000000000007</v>
      </c>
      <c r="FL52" s="666">
        <v>8.34</v>
      </c>
      <c r="FM52" s="666">
        <v>7.8</v>
      </c>
      <c r="FN52" s="666">
        <v>0</v>
      </c>
    </row>
    <row r="53" spans="1:170" s="416" customFormat="1" ht="15">
      <c r="A53" s="425" t="s">
        <v>5</v>
      </c>
      <c r="B53" s="426">
        <v>40582</v>
      </c>
      <c r="C53" s="418">
        <v>0</v>
      </c>
      <c r="D53" s="518">
        <v>0.03</v>
      </c>
      <c r="E53" s="453">
        <v>0</v>
      </c>
      <c r="F53" s="453">
        <v>33</v>
      </c>
      <c r="G53" s="453">
        <v>2.9</v>
      </c>
      <c r="H53" s="519">
        <v>57</v>
      </c>
      <c r="I53" s="519">
        <v>0</v>
      </c>
      <c r="J53" s="483">
        <v>7.0000000000000007E-2</v>
      </c>
      <c r="K53" s="520" t="s">
        <v>742</v>
      </c>
      <c r="L53" s="453">
        <v>45.35</v>
      </c>
      <c r="M53" s="453">
        <v>22.8</v>
      </c>
      <c r="N53" s="453">
        <v>1.3</v>
      </c>
      <c r="O53" s="453">
        <v>1.73</v>
      </c>
      <c r="P53" s="453" t="s">
        <v>742</v>
      </c>
      <c r="Q53" s="453">
        <v>0</v>
      </c>
      <c r="R53" s="453">
        <v>672.43</v>
      </c>
      <c r="S53" s="453">
        <v>7.6</v>
      </c>
      <c r="T53" s="453" t="s">
        <v>742</v>
      </c>
      <c r="U53" s="453">
        <v>0.7</v>
      </c>
      <c r="V53" s="453" t="s">
        <v>742</v>
      </c>
      <c r="W53" s="453">
        <v>48.56</v>
      </c>
      <c r="X53" s="456" t="s">
        <v>742</v>
      </c>
      <c r="Y53" s="453">
        <v>29.2</v>
      </c>
      <c r="Z53" s="453">
        <v>17.2</v>
      </c>
      <c r="AA53" s="519">
        <v>29.93</v>
      </c>
      <c r="AB53" s="519">
        <v>17.2</v>
      </c>
      <c r="AC53" s="732">
        <f t="shared" si="0"/>
        <v>47.129999999999995</v>
      </c>
      <c r="AD53" s="664"/>
      <c r="AE53" s="664"/>
      <c r="AF53" s="664"/>
      <c r="AG53" s="664"/>
      <c r="AH53" s="664"/>
      <c r="AI53" s="664"/>
      <c r="AJ53" s="485"/>
      <c r="AK53" s="485"/>
      <c r="AL53" s="485"/>
      <c r="AM53" s="485"/>
      <c r="AN53" s="485"/>
      <c r="AO53" s="665"/>
      <c r="AP53" s="485"/>
      <c r="AQ53" s="483"/>
      <c r="AR53" s="755">
        <v>0</v>
      </c>
      <c r="AS53" s="483">
        <v>26</v>
      </c>
      <c r="AT53" s="755">
        <v>0</v>
      </c>
      <c r="AU53" s="483">
        <v>30.3</v>
      </c>
      <c r="AV53" s="484">
        <v>1045.5</v>
      </c>
      <c r="AW53" s="484">
        <v>0</v>
      </c>
      <c r="AX53" s="453">
        <v>0</v>
      </c>
      <c r="AY53" s="734">
        <v>0</v>
      </c>
      <c r="AZ53" s="734">
        <v>0</v>
      </c>
      <c r="BA53" s="734">
        <v>0</v>
      </c>
      <c r="BB53" s="453">
        <v>0</v>
      </c>
      <c r="BC53" s="453">
        <v>0</v>
      </c>
      <c r="BD53" s="453">
        <v>0</v>
      </c>
      <c r="BE53" s="734">
        <v>0</v>
      </c>
      <c r="BF53" s="453">
        <v>0</v>
      </c>
      <c r="BG53" s="453">
        <v>0</v>
      </c>
      <c r="BH53" s="734">
        <v>0</v>
      </c>
      <c r="BI53" s="453">
        <v>0</v>
      </c>
      <c r="BJ53" s="453">
        <v>17.100000000000001</v>
      </c>
      <c r="BK53" s="453">
        <v>0</v>
      </c>
      <c r="BL53" s="453">
        <v>0</v>
      </c>
      <c r="BM53" s="453">
        <v>0</v>
      </c>
      <c r="BN53" s="453">
        <v>17</v>
      </c>
      <c r="BO53" s="453">
        <v>1364.7</v>
      </c>
      <c r="BP53" s="453">
        <v>0</v>
      </c>
      <c r="BQ53" s="453">
        <v>18.7</v>
      </c>
      <c r="BR53" s="453">
        <v>18.600000000000001</v>
      </c>
      <c r="BS53" s="453">
        <v>0</v>
      </c>
      <c r="BT53" s="453">
        <v>30</v>
      </c>
      <c r="BU53" s="453">
        <v>22.9</v>
      </c>
      <c r="BV53" s="456">
        <v>649.29999999999995</v>
      </c>
      <c r="BW53" s="453">
        <v>0.1</v>
      </c>
      <c r="BX53" s="453">
        <v>1.5</v>
      </c>
      <c r="BY53" s="456">
        <v>1.03</v>
      </c>
      <c r="BZ53" s="456">
        <v>15.1</v>
      </c>
      <c r="CA53" s="456">
        <v>38.1</v>
      </c>
      <c r="CB53" s="456">
        <v>15.3</v>
      </c>
      <c r="CC53" s="456">
        <v>8.5</v>
      </c>
      <c r="CD53" s="456">
        <v>12.7</v>
      </c>
      <c r="CE53" s="456">
        <v>17.100000000000001</v>
      </c>
      <c r="CF53" s="456">
        <v>13.3</v>
      </c>
      <c r="CG53" s="456">
        <v>544.1</v>
      </c>
      <c r="CH53" s="456">
        <v>1.8</v>
      </c>
      <c r="CI53" s="456">
        <v>2.2999999999999998</v>
      </c>
      <c r="CJ53" s="456">
        <v>326.8</v>
      </c>
      <c r="CK53" s="456">
        <v>372</v>
      </c>
      <c r="CL53" s="456">
        <v>502</v>
      </c>
      <c r="CM53" s="456">
        <v>11.4</v>
      </c>
      <c r="CN53" s="456">
        <v>1.8</v>
      </c>
      <c r="CO53" s="453">
        <v>220.4</v>
      </c>
      <c r="CP53" s="453">
        <v>15.2</v>
      </c>
      <c r="CQ53" s="453">
        <v>46</v>
      </c>
      <c r="CR53" s="456">
        <v>0</v>
      </c>
      <c r="CS53" s="456">
        <v>0</v>
      </c>
      <c r="CT53" s="456">
        <v>0</v>
      </c>
      <c r="CU53" s="456">
        <v>0</v>
      </c>
      <c r="CV53" s="481">
        <v>2935.294117647059</v>
      </c>
      <c r="CW53" s="481">
        <v>4160.625</v>
      </c>
      <c r="CX53" s="481">
        <v>2926.4583333333335</v>
      </c>
      <c r="CY53" s="481">
        <v>1078.2</v>
      </c>
      <c r="CZ53" s="456"/>
      <c r="DA53" s="456"/>
      <c r="DB53" s="456"/>
      <c r="DC53" s="456"/>
      <c r="DD53" s="456"/>
      <c r="DE53" s="456"/>
      <c r="DF53" s="456"/>
      <c r="DG53" s="425"/>
      <c r="DH53" s="456">
        <v>0</v>
      </c>
      <c r="DI53" s="456">
        <v>0.51</v>
      </c>
      <c r="DJ53" s="456">
        <v>1.1599999999999999</v>
      </c>
      <c r="DK53" s="425"/>
      <c r="DL53" s="456"/>
      <c r="DM53" s="456"/>
      <c r="DN53" s="456"/>
      <c r="DO53" s="456"/>
      <c r="DP53" s="456"/>
      <c r="DQ53" s="456"/>
      <c r="DR53" s="456"/>
      <c r="DS53" s="456"/>
      <c r="DT53" s="456"/>
      <c r="DU53" s="456"/>
      <c r="DV53" s="456"/>
      <c r="DW53" s="456"/>
      <c r="DX53" s="456"/>
      <c r="DY53" s="456"/>
      <c r="DZ53" s="456"/>
      <c r="EA53" s="456"/>
      <c r="EB53" s="456"/>
      <c r="EC53" s="456"/>
      <c r="ED53" s="423">
        <v>0</v>
      </c>
      <c r="EE53" s="456">
        <v>1</v>
      </c>
      <c r="EF53" s="456">
        <v>3.5</v>
      </c>
      <c r="EG53" s="423">
        <v>6</v>
      </c>
      <c r="EH53" s="423">
        <v>0</v>
      </c>
      <c r="EI53" s="456"/>
      <c r="EJ53" s="456"/>
      <c r="EK53" s="456"/>
      <c r="EL53" s="456"/>
      <c r="EM53" s="456"/>
      <c r="EN53" s="456"/>
      <c r="EO53" s="425"/>
      <c r="EP53" s="425"/>
      <c r="EQ53" s="425" t="s">
        <v>743</v>
      </c>
      <c r="ER53" s="425">
        <v>1</v>
      </c>
      <c r="ES53" s="425">
        <v>4</v>
      </c>
      <c r="ET53" s="425">
        <v>100</v>
      </c>
      <c r="EU53" s="457">
        <v>3150</v>
      </c>
      <c r="EV53" s="425">
        <v>310</v>
      </c>
      <c r="EW53" s="425">
        <v>6630677</v>
      </c>
      <c r="EX53" s="425">
        <v>76116</v>
      </c>
      <c r="EY53" s="666">
        <v>18.95</v>
      </c>
      <c r="EZ53" s="666">
        <v>18.95</v>
      </c>
      <c r="FA53" s="666">
        <v>0</v>
      </c>
      <c r="FB53" s="666">
        <v>1.37</v>
      </c>
      <c r="FC53" s="666">
        <v>1.4</v>
      </c>
      <c r="FD53" s="666">
        <v>1.0900000000000001</v>
      </c>
      <c r="FE53" s="666">
        <v>1.1100000000000001</v>
      </c>
      <c r="FF53" s="666">
        <v>210</v>
      </c>
      <c r="FG53" s="666">
        <v>0.37</v>
      </c>
      <c r="FH53" s="666">
        <v>0.13</v>
      </c>
      <c r="FI53" s="666">
        <v>0.17</v>
      </c>
      <c r="FJ53" s="666">
        <v>8.41</v>
      </c>
      <c r="FK53" s="666">
        <v>8.1</v>
      </c>
      <c r="FL53" s="666">
        <v>8.27</v>
      </c>
      <c r="FM53" s="666">
        <v>7.7</v>
      </c>
      <c r="FN53" s="666">
        <v>0</v>
      </c>
    </row>
    <row r="54" spans="1:170" s="416" customFormat="1" ht="15">
      <c r="A54" s="425" t="s">
        <v>6</v>
      </c>
      <c r="B54" s="426">
        <v>40583</v>
      </c>
      <c r="C54" s="418">
        <v>0</v>
      </c>
      <c r="D54" s="518">
        <v>0</v>
      </c>
      <c r="E54" s="453">
        <v>0</v>
      </c>
      <c r="F54" s="453">
        <v>31</v>
      </c>
      <c r="G54" s="453">
        <v>2</v>
      </c>
      <c r="H54" s="519">
        <v>0</v>
      </c>
      <c r="I54" s="519">
        <v>0</v>
      </c>
      <c r="J54" s="483">
        <v>0.06</v>
      </c>
      <c r="K54" s="520" t="s">
        <v>742</v>
      </c>
      <c r="L54" s="453">
        <v>46.059999999999491</v>
      </c>
      <c r="M54" s="453">
        <v>23.6</v>
      </c>
      <c r="N54" s="453">
        <v>1.34</v>
      </c>
      <c r="O54" s="453">
        <v>1.7262054519350096</v>
      </c>
      <c r="P54" s="453" t="s">
        <v>742</v>
      </c>
      <c r="Q54" s="453">
        <v>0</v>
      </c>
      <c r="R54" s="453">
        <v>663.68111492734465</v>
      </c>
      <c r="S54" s="453">
        <v>7.64</v>
      </c>
      <c r="T54" s="453" t="s">
        <v>742</v>
      </c>
      <c r="U54" s="453">
        <v>0.68</v>
      </c>
      <c r="V54" s="453" t="s">
        <v>742</v>
      </c>
      <c r="W54" s="453">
        <v>48.56</v>
      </c>
      <c r="X54" s="456" t="e">
        <v>#VALUE!</v>
      </c>
      <c r="Y54" s="453">
        <v>29.1</v>
      </c>
      <c r="Z54" s="453">
        <v>17</v>
      </c>
      <c r="AA54" s="519">
        <v>28.960000000006403</v>
      </c>
      <c r="AB54" s="519">
        <v>16.989999999997963</v>
      </c>
      <c r="AC54" s="732">
        <f t="shared" si="0"/>
        <v>45.950000000004366</v>
      </c>
      <c r="AD54" s="664"/>
      <c r="AE54" s="664"/>
      <c r="AF54" s="664"/>
      <c r="AG54" s="664"/>
      <c r="AH54" s="664"/>
      <c r="AI54" s="664"/>
      <c r="AJ54" s="485"/>
      <c r="AK54" s="485"/>
      <c r="AL54" s="485"/>
      <c r="AM54" s="485"/>
      <c r="AN54" s="485"/>
      <c r="AO54" s="665"/>
      <c r="AP54" s="485"/>
      <c r="AQ54" s="483"/>
      <c r="AR54" s="755">
        <v>0</v>
      </c>
      <c r="AS54" s="483">
        <v>27.9</v>
      </c>
      <c r="AT54" s="755">
        <v>0</v>
      </c>
      <c r="AU54" s="483">
        <v>30.2</v>
      </c>
      <c r="AV54" s="484">
        <v>213.6</v>
      </c>
      <c r="AW54" s="484">
        <v>211.3</v>
      </c>
      <c r="AX54" s="453">
        <v>0</v>
      </c>
      <c r="AY54" s="734">
        <v>0</v>
      </c>
      <c r="AZ54" s="734">
        <v>0</v>
      </c>
      <c r="BA54" s="734">
        <v>0</v>
      </c>
      <c r="BB54" s="453">
        <v>0</v>
      </c>
      <c r="BC54" s="453">
        <v>0</v>
      </c>
      <c r="BD54" s="453">
        <v>0</v>
      </c>
      <c r="BE54" s="734">
        <v>0</v>
      </c>
      <c r="BF54" s="453">
        <v>0</v>
      </c>
      <c r="BG54" s="453">
        <v>0</v>
      </c>
      <c r="BH54" s="734">
        <v>0</v>
      </c>
      <c r="BI54" s="453">
        <v>0</v>
      </c>
      <c r="BJ54" s="453">
        <v>17.100000000000001</v>
      </c>
      <c r="BK54" s="453">
        <v>0</v>
      </c>
      <c r="BL54" s="453">
        <v>0</v>
      </c>
      <c r="BM54" s="453">
        <v>0</v>
      </c>
      <c r="BN54" s="453">
        <v>17</v>
      </c>
      <c r="BO54" s="453">
        <v>914.4</v>
      </c>
      <c r="BP54" s="453">
        <v>0</v>
      </c>
      <c r="BQ54" s="453">
        <v>18.899999999999999</v>
      </c>
      <c r="BR54" s="453">
        <v>18.8</v>
      </c>
      <c r="BS54" s="453">
        <v>0</v>
      </c>
      <c r="BT54" s="453">
        <v>31</v>
      </c>
      <c r="BU54" s="453">
        <v>25.2</v>
      </c>
      <c r="BV54" s="456">
        <v>399.2</v>
      </c>
      <c r="BW54" s="453">
        <v>0.1</v>
      </c>
      <c r="BX54" s="453">
        <v>1.54</v>
      </c>
      <c r="BY54" s="456">
        <v>1.01</v>
      </c>
      <c r="BZ54" s="456">
        <v>14.8</v>
      </c>
      <c r="CA54" s="456">
        <v>37.6</v>
      </c>
      <c r="CB54" s="456">
        <v>14.6</v>
      </c>
      <c r="CC54" s="456">
        <v>9.3000000000000007</v>
      </c>
      <c r="CD54" s="456">
        <v>13.6</v>
      </c>
      <c r="CE54" s="456">
        <v>17.600000000000001</v>
      </c>
      <c r="CF54" s="456">
        <v>13.1</v>
      </c>
      <c r="CG54" s="456">
        <v>534.6</v>
      </c>
      <c r="CH54" s="456">
        <v>2.2999999999999998</v>
      </c>
      <c r="CI54" s="456">
        <v>3.2</v>
      </c>
      <c r="CJ54" s="456">
        <v>302.2</v>
      </c>
      <c r="CK54" s="456">
        <v>383.6</v>
      </c>
      <c r="CL54" s="456">
        <v>484.9</v>
      </c>
      <c r="CM54" s="456">
        <v>12.3</v>
      </c>
      <c r="CN54" s="456">
        <v>1.9</v>
      </c>
      <c r="CO54" s="453">
        <v>64.400000000000006</v>
      </c>
      <c r="CP54" s="453">
        <v>16.649999999999999</v>
      </c>
      <c r="CQ54" s="453">
        <v>46</v>
      </c>
      <c r="CR54" s="456">
        <v>0</v>
      </c>
      <c r="CS54" s="456">
        <v>0</v>
      </c>
      <c r="CT54" s="456">
        <v>0</v>
      </c>
      <c r="CU54" s="456">
        <v>0</v>
      </c>
      <c r="CV54" s="481">
        <v>2257.0588235294117</v>
      </c>
      <c r="CW54" s="481">
        <v>3290.9375</v>
      </c>
      <c r="CX54" s="481">
        <v>2354.0625</v>
      </c>
      <c r="CY54" s="481">
        <v>1076.71</v>
      </c>
      <c r="CZ54" s="456"/>
      <c r="DA54" s="456"/>
      <c r="DB54" s="456"/>
      <c r="DC54" s="456"/>
      <c r="DD54" s="456"/>
      <c r="DE54" s="456"/>
      <c r="DF54" s="456"/>
      <c r="DG54" s="425"/>
      <c r="DH54" s="456">
        <v>0</v>
      </c>
      <c r="DI54" s="456">
        <v>0.57999999999999996</v>
      </c>
      <c r="DJ54" s="456">
        <v>1.1299999999999999</v>
      </c>
      <c r="DK54" s="425"/>
      <c r="DL54" s="456"/>
      <c r="DM54" s="456"/>
      <c r="DN54" s="456"/>
      <c r="DO54" s="456"/>
      <c r="DP54" s="456"/>
      <c r="DQ54" s="456"/>
      <c r="DR54" s="456"/>
      <c r="DS54" s="456"/>
      <c r="DT54" s="456"/>
      <c r="DU54" s="456"/>
      <c r="DV54" s="456"/>
      <c r="DW54" s="456"/>
      <c r="DX54" s="456"/>
      <c r="DY54" s="456"/>
      <c r="DZ54" s="456"/>
      <c r="EA54" s="456"/>
      <c r="EB54" s="456"/>
      <c r="EC54" s="456"/>
      <c r="ED54" s="423">
        <v>0</v>
      </c>
      <c r="EE54" s="456">
        <v>1</v>
      </c>
      <c r="EF54" s="456">
        <v>3.5</v>
      </c>
      <c r="EG54" s="423">
        <v>6</v>
      </c>
      <c r="EH54" s="423">
        <v>0</v>
      </c>
      <c r="EI54" s="456"/>
      <c r="EJ54" s="456"/>
      <c r="EK54" s="456"/>
      <c r="EL54" s="456"/>
      <c r="EM54" s="456"/>
      <c r="EN54" s="456"/>
      <c r="EO54" s="425"/>
      <c r="EP54" s="425"/>
      <c r="EQ54" s="425" t="s">
        <v>743</v>
      </c>
      <c r="ER54" s="425">
        <v>1</v>
      </c>
      <c r="ES54" s="425">
        <v>4</v>
      </c>
      <c r="ET54" s="425">
        <v>4000</v>
      </c>
      <c r="EU54" s="457">
        <v>2880</v>
      </c>
      <c r="EV54" s="425">
        <v>225</v>
      </c>
      <c r="EW54" s="425">
        <v>6633290</v>
      </c>
      <c r="EX54" s="425">
        <v>76975</v>
      </c>
      <c r="EY54" s="666">
        <v>18.579999999999998</v>
      </c>
      <c r="EZ54" s="666">
        <v>18.579999999999998</v>
      </c>
      <c r="FA54" s="666">
        <v>0</v>
      </c>
      <c r="FB54" s="666">
        <v>1.39</v>
      </c>
      <c r="FC54" s="666">
        <v>1.29</v>
      </c>
      <c r="FD54" s="666">
        <v>1.177</v>
      </c>
      <c r="FE54" s="666">
        <v>1.18</v>
      </c>
      <c r="FF54" s="666">
        <v>270</v>
      </c>
      <c r="FG54" s="666">
        <v>0.3</v>
      </c>
      <c r="FH54" s="666">
        <v>0.12</v>
      </c>
      <c r="FI54" s="666">
        <v>0.19</v>
      </c>
      <c r="FJ54" s="666">
        <v>8.44</v>
      </c>
      <c r="FK54" s="666">
        <v>8.5</v>
      </c>
      <c r="FL54" s="666">
        <v>8.27</v>
      </c>
      <c r="FM54" s="666">
        <v>8</v>
      </c>
      <c r="FN54" s="666">
        <v>0</v>
      </c>
    </row>
    <row r="55" spans="1:170" s="416" customFormat="1" ht="15">
      <c r="A55" s="425" t="s">
        <v>7</v>
      </c>
      <c r="B55" s="426">
        <v>40584</v>
      </c>
      <c r="C55" s="418">
        <v>0</v>
      </c>
      <c r="D55" s="518">
        <v>0</v>
      </c>
      <c r="E55" s="453">
        <v>0</v>
      </c>
      <c r="F55" s="453">
        <v>35</v>
      </c>
      <c r="G55" s="453">
        <v>2.2000000000000002</v>
      </c>
      <c r="H55" s="519">
        <v>110</v>
      </c>
      <c r="I55" s="519">
        <v>0</v>
      </c>
      <c r="J55" s="483">
        <v>0.09</v>
      </c>
      <c r="K55" s="520" t="s">
        <v>742</v>
      </c>
      <c r="L55" s="453">
        <v>46.090000000000146</v>
      </c>
      <c r="M55" s="453">
        <v>23.1</v>
      </c>
      <c r="N55" s="453">
        <v>1.3</v>
      </c>
      <c r="O55" s="453">
        <v>1.7340426291549145</v>
      </c>
      <c r="P55" s="453" t="s">
        <v>742</v>
      </c>
      <c r="Q55" s="453">
        <v>0</v>
      </c>
      <c r="R55" s="453">
        <v>668.86359313077935</v>
      </c>
      <c r="S55" s="453">
        <v>7.74</v>
      </c>
      <c r="T55" s="453" t="s">
        <v>742</v>
      </c>
      <c r="U55" s="453">
        <v>0.64</v>
      </c>
      <c r="V55" s="453" t="s">
        <v>742</v>
      </c>
      <c r="W55" s="453">
        <v>48.56</v>
      </c>
      <c r="X55" s="456" t="e">
        <v>#VALUE!</v>
      </c>
      <c r="Y55" s="453">
        <v>28.53</v>
      </c>
      <c r="Z55" s="453">
        <v>17</v>
      </c>
      <c r="AA55" s="519">
        <v>29.069999999992433</v>
      </c>
      <c r="AB55" s="519">
        <v>17.110000000000582</v>
      </c>
      <c r="AC55" s="732">
        <f t="shared" si="0"/>
        <v>46.179999999993015</v>
      </c>
      <c r="AD55" s="664"/>
      <c r="AE55" s="664"/>
      <c r="AF55" s="664"/>
      <c r="AG55" s="664"/>
      <c r="AH55" s="664"/>
      <c r="AI55" s="664"/>
      <c r="AJ55" s="485"/>
      <c r="AK55" s="485"/>
      <c r="AL55" s="485"/>
      <c r="AM55" s="485"/>
      <c r="AN55" s="485"/>
      <c r="AO55" s="665"/>
      <c r="AP55" s="485"/>
      <c r="AQ55" s="483"/>
      <c r="AR55" s="755">
        <v>0</v>
      </c>
      <c r="AS55" s="483">
        <v>18.3</v>
      </c>
      <c r="AT55" s="755">
        <v>0</v>
      </c>
      <c r="AU55" s="483">
        <v>30.2</v>
      </c>
      <c r="AV55" s="484">
        <v>305.7</v>
      </c>
      <c r="AW55" s="484">
        <v>286.39999999999998</v>
      </c>
      <c r="AX55" s="453">
        <v>0</v>
      </c>
      <c r="AY55" s="734">
        <v>0</v>
      </c>
      <c r="AZ55" s="734">
        <v>0</v>
      </c>
      <c r="BA55" s="734">
        <v>0</v>
      </c>
      <c r="BB55" s="453">
        <v>0</v>
      </c>
      <c r="BC55" s="453">
        <v>0</v>
      </c>
      <c r="BD55" s="453">
        <v>0</v>
      </c>
      <c r="BE55" s="734">
        <v>0</v>
      </c>
      <c r="BF55" s="453">
        <v>0</v>
      </c>
      <c r="BG55" s="453">
        <v>0</v>
      </c>
      <c r="BH55" s="734">
        <v>0</v>
      </c>
      <c r="BI55" s="453">
        <v>0</v>
      </c>
      <c r="BJ55" s="453">
        <v>17.2</v>
      </c>
      <c r="BK55" s="453">
        <v>0</v>
      </c>
      <c r="BL55" s="453">
        <v>0</v>
      </c>
      <c r="BM55" s="453">
        <v>0</v>
      </c>
      <c r="BN55" s="453">
        <v>17</v>
      </c>
      <c r="BO55" s="453">
        <v>1641.5</v>
      </c>
      <c r="BP55" s="453">
        <v>0</v>
      </c>
      <c r="BQ55" s="453">
        <v>18.7</v>
      </c>
      <c r="BR55" s="453">
        <v>18.600000000000001</v>
      </c>
      <c r="BS55" s="453">
        <v>0</v>
      </c>
      <c r="BT55" s="453">
        <v>30.6</v>
      </c>
      <c r="BU55" s="453">
        <v>24.4</v>
      </c>
      <c r="BV55" s="456">
        <v>649.1</v>
      </c>
      <c r="BW55" s="453">
        <v>0.1</v>
      </c>
      <c r="BX55" s="453">
        <v>1.56</v>
      </c>
      <c r="BY55" s="456">
        <v>1.01</v>
      </c>
      <c r="BZ55" s="456">
        <v>14.9</v>
      </c>
      <c r="CA55" s="456">
        <v>36.6</v>
      </c>
      <c r="CB55" s="456">
        <v>13.9</v>
      </c>
      <c r="CC55" s="456">
        <v>7.8</v>
      </c>
      <c r="CD55" s="456">
        <v>12</v>
      </c>
      <c r="CE55" s="456">
        <v>16.100000000000001</v>
      </c>
      <c r="CF55" s="456">
        <v>13.8</v>
      </c>
      <c r="CG55" s="456">
        <v>638.9</v>
      </c>
      <c r="CH55" s="456">
        <v>2.1</v>
      </c>
      <c r="CI55" s="456">
        <v>2.8</v>
      </c>
      <c r="CJ55" s="456">
        <v>301.2</v>
      </c>
      <c r="CK55" s="456">
        <v>378</v>
      </c>
      <c r="CL55" s="456">
        <v>470.8</v>
      </c>
      <c r="CM55" s="456">
        <v>11.9</v>
      </c>
      <c r="CN55" s="456">
        <v>1.9</v>
      </c>
      <c r="CO55" s="453">
        <v>0</v>
      </c>
      <c r="CP55" s="453">
        <v>15.63</v>
      </c>
      <c r="CQ55" s="453">
        <v>46</v>
      </c>
      <c r="CR55" s="456">
        <v>0</v>
      </c>
      <c r="CS55" s="456">
        <v>0</v>
      </c>
      <c r="CT55" s="456">
        <v>0</v>
      </c>
      <c r="CU55" s="456">
        <v>0</v>
      </c>
      <c r="CV55" s="481">
        <v>1820</v>
      </c>
      <c r="CW55" s="481">
        <v>2847.1875</v>
      </c>
      <c r="CX55" s="481">
        <v>1903.0208333333333</v>
      </c>
      <c r="CY55" s="481">
        <v>1076.6400000000001</v>
      </c>
      <c r="CZ55" s="456"/>
      <c r="DA55" s="456"/>
      <c r="DB55" s="456"/>
      <c r="DC55" s="456"/>
      <c r="DD55" s="456"/>
      <c r="DE55" s="456"/>
      <c r="DF55" s="456"/>
      <c r="DG55" s="425"/>
      <c r="DH55" s="456">
        <v>0</v>
      </c>
      <c r="DI55" s="456">
        <v>0.56000000000000005</v>
      </c>
      <c r="DJ55" s="456">
        <v>1.25</v>
      </c>
      <c r="DK55" s="425"/>
      <c r="DL55" s="456"/>
      <c r="DM55" s="456"/>
      <c r="DN55" s="456"/>
      <c r="DO55" s="456"/>
      <c r="DP55" s="456"/>
      <c r="DQ55" s="456"/>
      <c r="DR55" s="456"/>
      <c r="DS55" s="456"/>
      <c r="DT55" s="456"/>
      <c r="DU55" s="456"/>
      <c r="DV55" s="456"/>
      <c r="DW55" s="456"/>
      <c r="DX55" s="456"/>
      <c r="DY55" s="456"/>
      <c r="DZ55" s="456"/>
      <c r="EA55" s="456"/>
      <c r="EB55" s="456"/>
      <c r="EC55" s="456"/>
      <c r="ED55" s="423">
        <v>0</v>
      </c>
      <c r="EE55" s="456">
        <v>1</v>
      </c>
      <c r="EF55" s="456">
        <v>3.5</v>
      </c>
      <c r="EG55" s="423">
        <v>6</v>
      </c>
      <c r="EH55" s="423">
        <v>0</v>
      </c>
      <c r="EI55" s="456"/>
      <c r="EJ55" s="456"/>
      <c r="EK55" s="456"/>
      <c r="EL55" s="456"/>
      <c r="EM55" s="456"/>
      <c r="EN55" s="456"/>
      <c r="EO55" s="425"/>
      <c r="EP55" s="425"/>
      <c r="EQ55" s="425" t="s">
        <v>743</v>
      </c>
      <c r="ER55" s="425">
        <v>1</v>
      </c>
      <c r="ES55" s="425">
        <v>4</v>
      </c>
      <c r="ET55" s="425">
        <v>4000</v>
      </c>
      <c r="EU55" s="457">
        <v>2670</v>
      </c>
      <c r="EV55" s="425">
        <v>260</v>
      </c>
      <c r="EW55" s="425">
        <v>6635545</v>
      </c>
      <c r="EX55" s="425">
        <v>77775</v>
      </c>
      <c r="EY55" s="666">
        <v>18.66</v>
      </c>
      <c r="EZ55" s="666">
        <v>18.63</v>
      </c>
      <c r="FA55" s="666">
        <v>0</v>
      </c>
      <c r="FB55" s="666">
        <v>1.42</v>
      </c>
      <c r="FC55" s="666">
        <v>1.33</v>
      </c>
      <c r="FD55" s="666">
        <v>1.1599999999999999</v>
      </c>
      <c r="FE55" s="666">
        <v>1.1100000000000001</v>
      </c>
      <c r="FF55" s="666">
        <v>205</v>
      </c>
      <c r="FG55" s="666">
        <v>0.47</v>
      </c>
      <c r="FH55" s="666">
        <v>0.11899999999999999</v>
      </c>
      <c r="FI55" s="666">
        <v>0.5</v>
      </c>
      <c r="FJ55" s="666">
        <v>8.5500000000000007</v>
      </c>
      <c r="FK55" s="666">
        <v>8.4</v>
      </c>
      <c r="FL55" s="666">
        <v>8.3000000000000007</v>
      </c>
      <c r="FM55" s="666">
        <v>7.8</v>
      </c>
      <c r="FN55" s="666">
        <v>0</v>
      </c>
    </row>
    <row r="56" spans="1:170" s="416" customFormat="1" ht="15">
      <c r="A56" s="425" t="s">
        <v>8</v>
      </c>
      <c r="B56" s="426">
        <v>40585</v>
      </c>
      <c r="C56" s="418">
        <v>0</v>
      </c>
      <c r="D56" s="518">
        <v>0</v>
      </c>
      <c r="E56" s="453">
        <v>0</v>
      </c>
      <c r="F56" s="453">
        <v>42</v>
      </c>
      <c r="G56" s="453">
        <v>2.2000000000000002</v>
      </c>
      <c r="H56" s="519">
        <v>8.8000000000000007</v>
      </c>
      <c r="I56" s="519">
        <v>92.45</v>
      </c>
      <c r="J56" s="483">
        <v>7.0000000000000007E-2</v>
      </c>
      <c r="K56" s="520" t="s">
        <v>742</v>
      </c>
      <c r="L56" s="453">
        <v>45.8799999999992</v>
      </c>
      <c r="M56" s="453">
        <v>22.6</v>
      </c>
      <c r="N56" s="453">
        <v>1.3</v>
      </c>
      <c r="O56" s="453">
        <v>1.7593639453373431</v>
      </c>
      <c r="P56" s="453" t="s">
        <v>742</v>
      </c>
      <c r="Q56" s="453">
        <v>0</v>
      </c>
      <c r="R56" s="453">
        <v>675.9895006605019</v>
      </c>
      <c r="S56" s="453">
        <v>7.7</v>
      </c>
      <c r="T56" s="453" t="s">
        <v>742</v>
      </c>
      <c r="U56" s="453">
        <v>0.7</v>
      </c>
      <c r="V56" s="453" t="s">
        <v>742</v>
      </c>
      <c r="W56" s="453">
        <v>48.38000000000001</v>
      </c>
      <c r="X56" s="456" t="e">
        <v>#VALUE!</v>
      </c>
      <c r="Y56" s="453">
        <v>29.03</v>
      </c>
      <c r="Z56" s="453">
        <v>16.899999999999999</v>
      </c>
      <c r="AA56" s="519">
        <v>29.070000000006985</v>
      </c>
      <c r="AB56" s="519">
        <v>17</v>
      </c>
      <c r="AC56" s="732">
        <f t="shared" si="0"/>
        <v>46.070000000006985</v>
      </c>
      <c r="AD56" s="664"/>
      <c r="AE56" s="664"/>
      <c r="AF56" s="664"/>
      <c r="AG56" s="664"/>
      <c r="AH56" s="664"/>
      <c r="AI56" s="664"/>
      <c r="AJ56" s="485"/>
      <c r="AK56" s="485"/>
      <c r="AL56" s="485"/>
      <c r="AM56" s="485"/>
      <c r="AN56" s="485"/>
      <c r="AO56" s="665"/>
      <c r="AP56" s="485"/>
      <c r="AQ56" s="483"/>
      <c r="AR56" s="755">
        <v>0</v>
      </c>
      <c r="AS56" s="483">
        <v>18.100000000000001</v>
      </c>
      <c r="AT56" s="755">
        <v>0</v>
      </c>
      <c r="AU56" s="483">
        <v>30.3</v>
      </c>
      <c r="AV56" s="484">
        <v>325.8</v>
      </c>
      <c r="AW56" s="484">
        <v>305.39999999999998</v>
      </c>
      <c r="AX56" s="453">
        <v>0</v>
      </c>
      <c r="AY56" s="734">
        <v>0</v>
      </c>
      <c r="AZ56" s="734">
        <v>0</v>
      </c>
      <c r="BA56" s="734">
        <v>0</v>
      </c>
      <c r="BB56" s="453">
        <v>0</v>
      </c>
      <c r="BC56" s="453">
        <v>0</v>
      </c>
      <c r="BD56" s="453">
        <v>0</v>
      </c>
      <c r="BE56" s="734">
        <v>0</v>
      </c>
      <c r="BF56" s="453">
        <v>0</v>
      </c>
      <c r="BG56" s="453">
        <v>0</v>
      </c>
      <c r="BH56" s="734">
        <v>0</v>
      </c>
      <c r="BI56" s="453">
        <v>0</v>
      </c>
      <c r="BJ56" s="453">
        <v>17.100000000000001</v>
      </c>
      <c r="BK56" s="453">
        <v>0</v>
      </c>
      <c r="BL56" s="453">
        <v>0</v>
      </c>
      <c r="BM56" s="453">
        <v>0</v>
      </c>
      <c r="BN56" s="453">
        <v>17</v>
      </c>
      <c r="BO56" s="453">
        <v>918.7</v>
      </c>
      <c r="BP56" s="453">
        <v>0</v>
      </c>
      <c r="BQ56" s="453">
        <v>18.5</v>
      </c>
      <c r="BR56" s="453">
        <v>18.399999999999999</v>
      </c>
      <c r="BS56" s="453">
        <v>0</v>
      </c>
      <c r="BT56" s="453">
        <v>30.9</v>
      </c>
      <c r="BU56" s="453">
        <v>23.5</v>
      </c>
      <c r="BV56" s="456">
        <v>581.79999999999995</v>
      </c>
      <c r="BW56" s="453">
        <v>0.1</v>
      </c>
      <c r="BX56" s="453">
        <v>1.54</v>
      </c>
      <c r="BY56" s="456">
        <v>1.08</v>
      </c>
      <c r="BZ56" s="456">
        <v>15.1</v>
      </c>
      <c r="CA56" s="456">
        <v>35.6</v>
      </c>
      <c r="CB56" s="456">
        <v>13.1</v>
      </c>
      <c r="CC56" s="456">
        <v>9.8000000000000007</v>
      </c>
      <c r="CD56" s="456">
        <v>14.1</v>
      </c>
      <c r="CE56" s="456">
        <v>18.100000000000001</v>
      </c>
      <c r="CF56" s="456">
        <v>13.5</v>
      </c>
      <c r="CG56" s="456">
        <v>488.2</v>
      </c>
      <c r="CH56" s="456">
        <v>2.1</v>
      </c>
      <c r="CI56" s="456">
        <v>3.1</v>
      </c>
      <c r="CJ56" s="456">
        <v>240.4</v>
      </c>
      <c r="CK56" s="456">
        <v>348.9</v>
      </c>
      <c r="CL56" s="456">
        <v>467.4</v>
      </c>
      <c r="CM56" s="456">
        <v>11.3</v>
      </c>
      <c r="CN56" s="456">
        <v>1.8</v>
      </c>
      <c r="CO56" s="453">
        <v>0</v>
      </c>
      <c r="CP56" s="453">
        <v>15.99</v>
      </c>
      <c r="CQ56" s="453">
        <v>46</v>
      </c>
      <c r="CR56" s="456">
        <v>0</v>
      </c>
      <c r="CS56" s="456">
        <v>0</v>
      </c>
      <c r="CT56" s="456">
        <v>0</v>
      </c>
      <c r="CU56" s="456">
        <v>0</v>
      </c>
      <c r="CV56" s="481">
        <v>1538.2352941176471</v>
      </c>
      <c r="CW56" s="481">
        <v>2450.9375</v>
      </c>
      <c r="CX56" s="481">
        <v>1615.9375</v>
      </c>
      <c r="CY56" s="481">
        <v>1076.78</v>
      </c>
      <c r="CZ56" s="456"/>
      <c r="DA56" s="456"/>
      <c r="DB56" s="456"/>
      <c r="DC56" s="456"/>
      <c r="DD56" s="456"/>
      <c r="DE56" s="456"/>
      <c r="DF56" s="456"/>
      <c r="DG56" s="425"/>
      <c r="DH56" s="456">
        <v>0</v>
      </c>
      <c r="DI56" s="456">
        <v>0.74</v>
      </c>
      <c r="DJ56" s="456">
        <v>1.2</v>
      </c>
      <c r="DK56" s="425"/>
      <c r="DL56" s="456"/>
      <c r="DM56" s="456"/>
      <c r="DN56" s="456"/>
      <c r="DO56" s="456"/>
      <c r="DP56" s="456"/>
      <c r="DQ56" s="456"/>
      <c r="DR56" s="456"/>
      <c r="DS56" s="456"/>
      <c r="DT56" s="456"/>
      <c r="DU56" s="456"/>
      <c r="DV56" s="456"/>
      <c r="DW56" s="456"/>
      <c r="DX56" s="456"/>
      <c r="DY56" s="456"/>
      <c r="DZ56" s="456"/>
      <c r="EA56" s="456"/>
      <c r="EB56" s="456"/>
      <c r="EC56" s="456"/>
      <c r="ED56" s="423">
        <v>0</v>
      </c>
      <c r="EE56" s="456">
        <v>1</v>
      </c>
      <c r="EF56" s="456">
        <v>2.5</v>
      </c>
      <c r="EG56" s="423">
        <v>6</v>
      </c>
      <c r="EH56" s="423">
        <v>0</v>
      </c>
      <c r="EI56" s="456"/>
      <c r="EJ56" s="456"/>
      <c r="EK56" s="456"/>
      <c r="EL56" s="456"/>
      <c r="EM56" s="456"/>
      <c r="EN56" s="456"/>
      <c r="EO56" s="425"/>
      <c r="EP56" s="425"/>
      <c r="EQ56" s="425" t="s">
        <v>743</v>
      </c>
      <c r="ER56" s="425">
        <v>1</v>
      </c>
      <c r="ES56" s="425">
        <v>4</v>
      </c>
      <c r="ET56" s="425">
        <v>4000</v>
      </c>
      <c r="EU56" s="457">
        <v>2450</v>
      </c>
      <c r="EV56" s="425">
        <v>290</v>
      </c>
      <c r="EW56" s="425">
        <v>6637919</v>
      </c>
      <c r="EX56" s="425">
        <v>78642</v>
      </c>
      <c r="EY56" s="666">
        <v>18.79</v>
      </c>
      <c r="EZ56" s="666">
        <v>18.78</v>
      </c>
      <c r="FA56" s="666">
        <v>0</v>
      </c>
      <c r="FB56" s="666">
        <v>1.49</v>
      </c>
      <c r="FC56" s="666">
        <v>1.4</v>
      </c>
      <c r="FD56" s="666">
        <v>1.2330000000000001</v>
      </c>
      <c r="FE56" s="666">
        <v>1.24</v>
      </c>
      <c r="FF56" s="666">
        <v>220</v>
      </c>
      <c r="FG56" s="666">
        <v>0.31</v>
      </c>
      <c r="FH56" s="666">
        <v>0.11799999999999999</v>
      </c>
      <c r="FI56" s="666">
        <v>0.17</v>
      </c>
      <c r="FJ56" s="666">
        <v>8.58</v>
      </c>
      <c r="FK56" s="666">
        <v>8.8000000000000007</v>
      </c>
      <c r="FL56" s="666">
        <v>8.3800000000000008</v>
      </c>
      <c r="FM56" s="666">
        <v>8</v>
      </c>
      <c r="FN56" s="666">
        <v>0</v>
      </c>
    </row>
    <row r="57" spans="1:170" s="416" customFormat="1" ht="15">
      <c r="A57" s="425" t="s">
        <v>9</v>
      </c>
      <c r="B57" s="426">
        <v>40586</v>
      </c>
      <c r="C57" s="418">
        <v>0</v>
      </c>
      <c r="D57" s="518">
        <v>0.74</v>
      </c>
      <c r="E57" s="453">
        <v>0</v>
      </c>
      <c r="F57" s="453">
        <v>40</v>
      </c>
      <c r="G57" s="453">
        <v>2</v>
      </c>
      <c r="H57" s="519">
        <v>179</v>
      </c>
      <c r="I57" s="519">
        <v>0</v>
      </c>
      <c r="J57" s="483">
        <v>2.2999999999999998</v>
      </c>
      <c r="K57" s="520" t="s">
        <v>742</v>
      </c>
      <c r="L57" s="453">
        <v>43.530000000000655</v>
      </c>
      <c r="M57" s="453">
        <v>22.5</v>
      </c>
      <c r="N57" s="453">
        <v>1.4</v>
      </c>
      <c r="O57" s="453">
        <v>1.8545163733177457</v>
      </c>
      <c r="P57" s="453" t="s">
        <v>742</v>
      </c>
      <c r="Q57" s="453">
        <v>0</v>
      </c>
      <c r="R57" s="453">
        <v>721.98399471598395</v>
      </c>
      <c r="S57" s="453">
        <v>7.7</v>
      </c>
      <c r="T57" s="453" t="s">
        <v>742</v>
      </c>
      <c r="U57" s="453">
        <v>0.7</v>
      </c>
      <c r="V57" s="453" t="s">
        <v>742</v>
      </c>
      <c r="W57" s="453">
        <v>48.2</v>
      </c>
      <c r="X57" s="456" t="e">
        <v>#VALUE!</v>
      </c>
      <c r="Y57" s="453">
        <v>28.9</v>
      </c>
      <c r="Z57" s="453">
        <v>17.100000000000001</v>
      </c>
      <c r="AA57" s="519">
        <v>29.5</v>
      </c>
      <c r="AB57" s="519">
        <v>17.099999999998545</v>
      </c>
      <c r="AC57" s="732">
        <f t="shared" si="0"/>
        <v>46.599999999998545</v>
      </c>
      <c r="AD57" s="664"/>
      <c r="AE57" s="664"/>
      <c r="AF57" s="664"/>
      <c r="AG57" s="664"/>
      <c r="AH57" s="664"/>
      <c r="AI57" s="664"/>
      <c r="AJ57" s="485"/>
      <c r="AK57" s="485"/>
      <c r="AL57" s="485"/>
      <c r="AM57" s="485"/>
      <c r="AN57" s="485"/>
      <c r="AO57" s="665"/>
      <c r="AP57" s="485"/>
      <c r="AQ57" s="483"/>
      <c r="AR57" s="755">
        <v>0</v>
      </c>
      <c r="AS57" s="483">
        <v>19.600000000000001</v>
      </c>
      <c r="AT57" s="755">
        <v>0</v>
      </c>
      <c r="AU57" s="483">
        <v>30.5</v>
      </c>
      <c r="AV57" s="484">
        <v>442.5</v>
      </c>
      <c r="AW57" s="484">
        <v>408.4</v>
      </c>
      <c r="AX57" s="453">
        <v>0</v>
      </c>
      <c r="AY57" s="734">
        <v>0</v>
      </c>
      <c r="AZ57" s="734">
        <v>0</v>
      </c>
      <c r="BA57" s="734">
        <v>0</v>
      </c>
      <c r="BB57" s="453">
        <v>0</v>
      </c>
      <c r="BC57" s="453">
        <v>0</v>
      </c>
      <c r="BD57" s="453">
        <v>0</v>
      </c>
      <c r="BE57" s="734">
        <v>0</v>
      </c>
      <c r="BF57" s="453">
        <v>0</v>
      </c>
      <c r="BG57" s="453">
        <v>0</v>
      </c>
      <c r="BH57" s="734">
        <v>0</v>
      </c>
      <c r="BI57" s="453">
        <v>0</v>
      </c>
      <c r="BJ57" s="453">
        <v>17.100000000000001</v>
      </c>
      <c r="BK57" s="453">
        <v>0</v>
      </c>
      <c r="BL57" s="453">
        <v>0</v>
      </c>
      <c r="BM57" s="453">
        <v>0</v>
      </c>
      <c r="BN57" s="453">
        <v>17</v>
      </c>
      <c r="BO57" s="453">
        <v>1536.5</v>
      </c>
      <c r="BP57" s="453">
        <v>0</v>
      </c>
      <c r="BQ57" s="453">
        <v>18.7</v>
      </c>
      <c r="BR57" s="453">
        <v>18.600000000000001</v>
      </c>
      <c r="BS57" s="453">
        <v>0</v>
      </c>
      <c r="BT57" s="453">
        <v>30.8</v>
      </c>
      <c r="BU57" s="453">
        <v>25.7</v>
      </c>
      <c r="BV57" s="456">
        <v>661.4</v>
      </c>
      <c r="BW57" s="453">
        <v>0.1</v>
      </c>
      <c r="BX57" s="453">
        <v>1.57</v>
      </c>
      <c r="BY57" s="456">
        <v>1.1100000000000001</v>
      </c>
      <c r="BZ57" s="456">
        <v>15.4</v>
      </c>
      <c r="CA57" s="456">
        <v>35.6</v>
      </c>
      <c r="CB57" s="456">
        <v>12.2</v>
      </c>
      <c r="CC57" s="456">
        <v>10.4</v>
      </c>
      <c r="CD57" s="456">
        <v>14.6</v>
      </c>
      <c r="CE57" s="456">
        <v>18.8</v>
      </c>
      <c r="CF57" s="456">
        <v>13.3</v>
      </c>
      <c r="CG57" s="456">
        <v>535</v>
      </c>
      <c r="CH57" s="456">
        <v>2.7</v>
      </c>
      <c r="CI57" s="456">
        <v>3.3</v>
      </c>
      <c r="CJ57" s="456">
        <v>402.7</v>
      </c>
      <c r="CK57" s="456">
        <v>390.4</v>
      </c>
      <c r="CL57" s="456">
        <v>459.5</v>
      </c>
      <c r="CM57" s="456">
        <v>10.5</v>
      </c>
      <c r="CN57" s="456">
        <v>1.5</v>
      </c>
      <c r="CO57" s="453">
        <v>0</v>
      </c>
      <c r="CP57" s="453">
        <v>15.82</v>
      </c>
      <c r="CQ57" s="453">
        <v>46</v>
      </c>
      <c r="CR57" s="456">
        <v>0</v>
      </c>
      <c r="CS57" s="456">
        <v>0</v>
      </c>
      <c r="CT57" s="456">
        <v>0</v>
      </c>
      <c r="CU57" s="456">
        <v>0</v>
      </c>
      <c r="CV57" s="481">
        <v>1438.8235294117646</v>
      </c>
      <c r="CW57" s="481">
        <v>2318.6458333333335</v>
      </c>
      <c r="CX57" s="481">
        <v>1497.3958333333333</v>
      </c>
      <c r="CY57" s="481">
        <v>1076.95</v>
      </c>
      <c r="CZ57" s="456"/>
      <c r="DA57" s="456"/>
      <c r="DB57" s="456"/>
      <c r="DC57" s="456"/>
      <c r="DD57" s="456"/>
      <c r="DE57" s="456"/>
      <c r="DF57" s="456"/>
      <c r="DG57" s="425"/>
      <c r="DH57" s="456">
        <v>0</v>
      </c>
      <c r="DI57" s="456">
        <v>0.65</v>
      </c>
      <c r="DJ57" s="456">
        <v>1.23</v>
      </c>
      <c r="DK57" s="425"/>
      <c r="DL57" s="456"/>
      <c r="DM57" s="456"/>
      <c r="DN57" s="456"/>
      <c r="DO57" s="456"/>
      <c r="DP57" s="456"/>
      <c r="DQ57" s="456"/>
      <c r="DR57" s="456"/>
      <c r="DS57" s="456"/>
      <c r="DT57" s="456"/>
      <c r="DU57" s="456"/>
      <c r="DV57" s="456"/>
      <c r="DW57" s="456"/>
      <c r="DX57" s="456"/>
      <c r="DY57" s="456"/>
      <c r="DZ57" s="456"/>
      <c r="EA57" s="456"/>
      <c r="EB57" s="456"/>
      <c r="EC57" s="456"/>
      <c r="ED57" s="423">
        <v>0</v>
      </c>
      <c r="EE57" s="456">
        <v>1</v>
      </c>
      <c r="EF57" s="456">
        <v>2.5</v>
      </c>
      <c r="EG57" s="423">
        <v>6</v>
      </c>
      <c r="EH57" s="423">
        <v>0</v>
      </c>
      <c r="EI57" s="456"/>
      <c r="EJ57" s="456"/>
      <c r="EK57" s="456"/>
      <c r="EL57" s="456"/>
      <c r="EM57" s="456"/>
      <c r="EN57" s="456"/>
      <c r="EO57" s="425"/>
      <c r="EP57" s="425"/>
      <c r="EQ57" s="425" t="s">
        <v>743</v>
      </c>
      <c r="ER57" s="425">
        <v>1</v>
      </c>
      <c r="ES57" s="425">
        <v>4</v>
      </c>
      <c r="ET57" s="425">
        <v>4000</v>
      </c>
      <c r="EU57" s="457">
        <v>2220</v>
      </c>
      <c r="EV57" s="425">
        <v>210</v>
      </c>
      <c r="EW57" s="425">
        <v>6640345</v>
      </c>
      <c r="EX57" s="425">
        <v>79458</v>
      </c>
      <c r="EY57" s="666">
        <v>18.989999999999998</v>
      </c>
      <c r="EZ57" s="666">
        <v>18.989999999999998</v>
      </c>
      <c r="FA57" s="666">
        <v>0</v>
      </c>
      <c r="FB57" s="666">
        <v>1.5</v>
      </c>
      <c r="FC57" s="666">
        <v>1.42</v>
      </c>
      <c r="FD57" s="666">
        <v>1.1319999999999999</v>
      </c>
      <c r="FE57" s="666">
        <v>1.1100000000000001</v>
      </c>
      <c r="FF57" s="666">
        <v>230</v>
      </c>
      <c r="FG57" s="666">
        <v>0.44</v>
      </c>
      <c r="FH57" s="666">
        <v>0.17499999999999999</v>
      </c>
      <c r="FI57" s="666">
        <v>0.35</v>
      </c>
      <c r="FJ57" s="666">
        <v>8.56</v>
      </c>
      <c r="FK57" s="666">
        <v>8.6999999999999993</v>
      </c>
      <c r="FL57" s="666">
        <v>8.39</v>
      </c>
      <c r="FM57" s="666">
        <v>7.8</v>
      </c>
      <c r="FN57" s="666">
        <v>0</v>
      </c>
    </row>
    <row r="58" spans="1:170" s="416" customFormat="1" ht="15">
      <c r="A58" s="425" t="s">
        <v>3</v>
      </c>
      <c r="B58" s="426">
        <v>40587</v>
      </c>
      <c r="C58" s="418">
        <v>0</v>
      </c>
      <c r="D58" s="518">
        <v>0.25</v>
      </c>
      <c r="E58" s="453">
        <v>0</v>
      </c>
      <c r="F58" s="453">
        <v>42</v>
      </c>
      <c r="G58" s="453">
        <v>1.9</v>
      </c>
      <c r="H58" s="519">
        <v>120</v>
      </c>
      <c r="I58" s="519">
        <v>0</v>
      </c>
      <c r="J58" s="483">
        <v>0.08</v>
      </c>
      <c r="K58" s="520" t="s">
        <v>742</v>
      </c>
      <c r="L58" s="453">
        <v>46.530000000000655</v>
      </c>
      <c r="M58" s="453">
        <v>21.8</v>
      </c>
      <c r="N58" s="453">
        <v>1.4</v>
      </c>
      <c r="O58" s="453">
        <v>1.7849814590053343</v>
      </c>
      <c r="P58" s="453" t="s">
        <v>742</v>
      </c>
      <c r="Q58" s="453">
        <v>0</v>
      </c>
      <c r="R58" s="453">
        <v>703.84532100396291</v>
      </c>
      <c r="S58" s="453">
        <v>7.6</v>
      </c>
      <c r="T58" s="453" t="s">
        <v>742</v>
      </c>
      <c r="U58" s="453">
        <v>0.7</v>
      </c>
      <c r="V58" s="453" t="s">
        <v>742</v>
      </c>
      <c r="W58" s="453">
        <v>48.739999999999995</v>
      </c>
      <c r="X58" s="456" t="e">
        <v>#VALUE!</v>
      </c>
      <c r="Y58" s="453">
        <v>30.3</v>
      </c>
      <c r="Z58" s="453">
        <v>16.899999999999999</v>
      </c>
      <c r="AA58" s="519">
        <v>30.299999999988358</v>
      </c>
      <c r="AB58" s="519">
        <v>17</v>
      </c>
      <c r="AC58" s="732">
        <f t="shared" si="0"/>
        <v>47.299999999988358</v>
      </c>
      <c r="AD58" s="664"/>
      <c r="AE58" s="664"/>
      <c r="AF58" s="664"/>
      <c r="AG58" s="664"/>
      <c r="AH58" s="664"/>
      <c r="AI58" s="664"/>
      <c r="AJ58" s="485"/>
      <c r="AK58" s="485"/>
      <c r="AL58" s="485"/>
      <c r="AM58" s="485"/>
      <c r="AN58" s="485"/>
      <c r="AO58" s="665"/>
      <c r="AP58" s="485"/>
      <c r="AQ58" s="483"/>
      <c r="AR58" s="755">
        <v>0</v>
      </c>
      <c r="AS58" s="483">
        <v>36.1</v>
      </c>
      <c r="AT58" s="755">
        <v>0</v>
      </c>
      <c r="AU58" s="483">
        <v>31.5</v>
      </c>
      <c r="AV58" s="484">
        <v>531</v>
      </c>
      <c r="AW58" s="484">
        <v>525.4</v>
      </c>
      <c r="AX58" s="453">
        <v>0</v>
      </c>
      <c r="AY58" s="734">
        <v>0</v>
      </c>
      <c r="AZ58" s="734">
        <v>0</v>
      </c>
      <c r="BA58" s="734">
        <v>0</v>
      </c>
      <c r="BB58" s="453">
        <v>0</v>
      </c>
      <c r="BC58" s="453">
        <v>0</v>
      </c>
      <c r="BD58" s="453">
        <v>0</v>
      </c>
      <c r="BE58" s="734">
        <v>0</v>
      </c>
      <c r="BF58" s="453">
        <v>0</v>
      </c>
      <c r="BG58" s="453">
        <v>0</v>
      </c>
      <c r="BH58" s="734">
        <v>0</v>
      </c>
      <c r="BI58" s="453">
        <v>0</v>
      </c>
      <c r="BJ58" s="453">
        <v>17.100000000000001</v>
      </c>
      <c r="BK58" s="453">
        <v>0</v>
      </c>
      <c r="BL58" s="453">
        <v>0</v>
      </c>
      <c r="BM58" s="453">
        <v>0</v>
      </c>
      <c r="BN58" s="453">
        <v>17</v>
      </c>
      <c r="BO58" s="453">
        <v>1463.1</v>
      </c>
      <c r="BP58" s="453">
        <v>0</v>
      </c>
      <c r="BQ58" s="453">
        <v>19</v>
      </c>
      <c r="BR58" s="453">
        <v>18.899999999999999</v>
      </c>
      <c r="BS58" s="453">
        <v>0</v>
      </c>
      <c r="BT58" s="453">
        <v>31.5</v>
      </c>
      <c r="BU58" s="453">
        <v>23.3</v>
      </c>
      <c r="BV58" s="456">
        <v>669.3</v>
      </c>
      <c r="BW58" s="453">
        <v>0.2</v>
      </c>
      <c r="BX58" s="453">
        <v>1.69</v>
      </c>
      <c r="BY58" s="456">
        <v>1.07</v>
      </c>
      <c r="BZ58" s="456">
        <v>16</v>
      </c>
      <c r="CA58" s="456">
        <v>33.9</v>
      </c>
      <c r="CB58" s="456">
        <v>15.3</v>
      </c>
      <c r="CC58" s="456">
        <v>9.1</v>
      </c>
      <c r="CD58" s="456">
        <v>13.3</v>
      </c>
      <c r="CE58" s="456">
        <v>17.7</v>
      </c>
      <c r="CF58" s="456">
        <v>13.5</v>
      </c>
      <c r="CG58" s="456">
        <v>497</v>
      </c>
      <c r="CH58" s="456">
        <v>1.6</v>
      </c>
      <c r="CI58" s="456">
        <v>3.2</v>
      </c>
      <c r="CJ58" s="456">
        <v>443.2</v>
      </c>
      <c r="CK58" s="456">
        <v>433.3</v>
      </c>
      <c r="CL58" s="456">
        <v>467.9</v>
      </c>
      <c r="CM58" s="456">
        <v>10.7</v>
      </c>
      <c r="CN58" s="456">
        <v>1.7</v>
      </c>
      <c r="CO58" s="453">
        <v>0</v>
      </c>
      <c r="CP58" s="453">
        <v>16.27</v>
      </c>
      <c r="CQ58" s="453">
        <v>46</v>
      </c>
      <c r="CR58" s="456">
        <v>0</v>
      </c>
      <c r="CS58" s="456">
        <v>0</v>
      </c>
      <c r="CT58" s="456">
        <v>0</v>
      </c>
      <c r="CU58" s="456">
        <v>0</v>
      </c>
      <c r="CV58" s="481">
        <v>1359.4117647058824</v>
      </c>
      <c r="CW58" s="481">
        <v>2353.3333333333335</v>
      </c>
      <c r="CX58" s="481">
        <v>1458.0208333333333</v>
      </c>
      <c r="CY58" s="481">
        <v>1078.06</v>
      </c>
      <c r="CZ58" s="456"/>
      <c r="DA58" s="456"/>
      <c r="DB58" s="456"/>
      <c r="DC58" s="456"/>
      <c r="DD58" s="456"/>
      <c r="DE58" s="456"/>
      <c r="DF58" s="456"/>
      <c r="DG58" s="425"/>
      <c r="DH58" s="456">
        <v>0</v>
      </c>
      <c r="DI58" s="456">
        <v>0.63</v>
      </c>
      <c r="DJ58" s="456">
        <v>1.35</v>
      </c>
      <c r="DK58" s="425"/>
      <c r="DL58" s="456"/>
      <c r="DM58" s="456"/>
      <c r="DN58" s="456"/>
      <c r="DO58" s="456"/>
      <c r="DP58" s="456"/>
      <c r="DQ58" s="456"/>
      <c r="DR58" s="456"/>
      <c r="DS58" s="456"/>
      <c r="DT58" s="456"/>
      <c r="DU58" s="456"/>
      <c r="DV58" s="456"/>
      <c r="DW58" s="456"/>
      <c r="DX58" s="456"/>
      <c r="DY58" s="456"/>
      <c r="DZ58" s="456"/>
      <c r="EA58" s="456"/>
      <c r="EB58" s="456"/>
      <c r="EC58" s="456"/>
      <c r="ED58" s="423">
        <v>0</v>
      </c>
      <c r="EE58" s="456">
        <v>1</v>
      </c>
      <c r="EF58" s="456">
        <v>2.5</v>
      </c>
      <c r="EG58" s="423">
        <v>6</v>
      </c>
      <c r="EH58" s="423">
        <v>0</v>
      </c>
      <c r="EI58" s="456"/>
      <c r="EJ58" s="456"/>
      <c r="EK58" s="456"/>
      <c r="EL58" s="456"/>
      <c r="EM58" s="456"/>
      <c r="EN58" s="456"/>
      <c r="EO58" s="425"/>
      <c r="EP58" s="425"/>
      <c r="EQ58" s="425" t="s">
        <v>743</v>
      </c>
      <c r="ER58" s="425">
        <v>1</v>
      </c>
      <c r="ES58" s="425">
        <v>4</v>
      </c>
      <c r="ET58" s="425">
        <v>4000</v>
      </c>
      <c r="EU58" s="457">
        <v>2000</v>
      </c>
      <c r="EV58" s="425">
        <v>285</v>
      </c>
      <c r="EW58" s="425">
        <v>6642858</v>
      </c>
      <c r="EX58" s="425">
        <v>80293</v>
      </c>
      <c r="EY58" s="666">
        <v>19.100000000000001</v>
      </c>
      <c r="EZ58" s="666">
        <v>19.079999999999998</v>
      </c>
      <c r="FA58" s="666">
        <v>0</v>
      </c>
      <c r="FB58" s="666">
        <v>1.47</v>
      </c>
      <c r="FC58" s="666">
        <v>1.34</v>
      </c>
      <c r="FD58" s="666">
        <v>1.1739999999999999</v>
      </c>
      <c r="FE58" s="666">
        <v>1.1399999999999999</v>
      </c>
      <c r="FF58" s="666">
        <v>220</v>
      </c>
      <c r="FG58" s="666">
        <v>0.36</v>
      </c>
      <c r="FH58" s="666">
        <v>0.14699999999999999</v>
      </c>
      <c r="FI58" s="666">
        <v>0.22</v>
      </c>
      <c r="FJ58" s="666">
        <v>8.43</v>
      </c>
      <c r="FK58" s="666">
        <v>8.6</v>
      </c>
      <c r="FL58" s="666">
        <v>8.35</v>
      </c>
      <c r="FM58" s="666">
        <v>8</v>
      </c>
      <c r="FN58" s="666">
        <v>0</v>
      </c>
    </row>
    <row r="59" spans="1:170" s="416" customFormat="1" ht="15">
      <c r="A59" s="425" t="s">
        <v>4</v>
      </c>
      <c r="B59" s="426">
        <v>40588</v>
      </c>
      <c r="C59" s="418">
        <v>0</v>
      </c>
      <c r="D59" s="518">
        <v>0.49</v>
      </c>
      <c r="E59" s="453">
        <v>0</v>
      </c>
      <c r="F59" s="453">
        <v>37</v>
      </c>
      <c r="G59" s="453">
        <v>1.7</v>
      </c>
      <c r="H59" s="519">
        <v>9.24</v>
      </c>
      <c r="I59" s="519">
        <v>92.1</v>
      </c>
      <c r="J59" s="483">
        <v>2.87</v>
      </c>
      <c r="K59" s="520" t="s">
        <v>742</v>
      </c>
      <c r="L59" s="453">
        <v>22.469999999999345</v>
      </c>
      <c r="M59" s="453">
        <v>24.7</v>
      </c>
      <c r="N59" s="453">
        <v>1.51</v>
      </c>
      <c r="O59" s="453">
        <v>2.176100413944059</v>
      </c>
      <c r="P59" s="453" t="s">
        <v>742</v>
      </c>
      <c r="Q59" s="453">
        <v>41.750330251092009</v>
      </c>
      <c r="R59" s="453">
        <v>1078.6032760898279</v>
      </c>
      <c r="S59" s="453">
        <v>7.73</v>
      </c>
      <c r="T59" s="453" t="s">
        <v>742</v>
      </c>
      <c r="U59" s="453">
        <v>0.7</v>
      </c>
      <c r="V59" s="453" t="s">
        <v>742</v>
      </c>
      <c r="W59" s="453">
        <v>41.180000000000007</v>
      </c>
      <c r="X59" s="456" t="e">
        <v>#VALUE!</v>
      </c>
      <c r="Y59" s="453">
        <v>30.8</v>
      </c>
      <c r="Z59" s="453">
        <v>17</v>
      </c>
      <c r="AA59" s="519">
        <v>30.5</v>
      </c>
      <c r="AB59" s="519">
        <v>17.5</v>
      </c>
      <c r="AC59" s="732">
        <f t="shared" si="0"/>
        <v>48</v>
      </c>
      <c r="AD59" s="664"/>
      <c r="AE59" s="664"/>
      <c r="AF59" s="664"/>
      <c r="AG59" s="664"/>
      <c r="AH59" s="664"/>
      <c r="AI59" s="664"/>
      <c r="AJ59" s="485"/>
      <c r="AK59" s="485"/>
      <c r="AL59" s="485"/>
      <c r="AM59" s="485"/>
      <c r="AN59" s="485"/>
      <c r="AO59" s="665"/>
      <c r="AP59" s="485"/>
      <c r="AQ59" s="483"/>
      <c r="AR59" s="755">
        <v>0</v>
      </c>
      <c r="AS59" s="483">
        <v>18.399999999999999</v>
      </c>
      <c r="AT59" s="755">
        <v>0</v>
      </c>
      <c r="AU59" s="483">
        <v>31.5</v>
      </c>
      <c r="AV59" s="484">
        <v>487.6</v>
      </c>
      <c r="AW59" s="484">
        <v>459.1</v>
      </c>
      <c r="AX59" s="453">
        <v>0</v>
      </c>
      <c r="AY59" s="734">
        <v>0</v>
      </c>
      <c r="AZ59" s="734">
        <v>0</v>
      </c>
      <c r="BA59" s="734">
        <v>0</v>
      </c>
      <c r="BB59" s="453">
        <v>0</v>
      </c>
      <c r="BC59" s="453">
        <v>0</v>
      </c>
      <c r="BD59" s="453">
        <v>0</v>
      </c>
      <c r="BE59" s="734">
        <v>0</v>
      </c>
      <c r="BF59" s="453">
        <v>0</v>
      </c>
      <c r="BG59" s="453">
        <v>0</v>
      </c>
      <c r="BH59" s="734">
        <v>0</v>
      </c>
      <c r="BI59" s="453">
        <v>0</v>
      </c>
      <c r="BJ59" s="453">
        <v>17.399999999999999</v>
      </c>
      <c r="BK59" s="453">
        <v>1.38</v>
      </c>
      <c r="BL59" s="453">
        <v>1.64</v>
      </c>
      <c r="BM59" s="453">
        <v>0</v>
      </c>
      <c r="BN59" s="453">
        <v>14.3</v>
      </c>
      <c r="BO59" s="453">
        <v>946.5</v>
      </c>
      <c r="BP59" s="453">
        <v>0</v>
      </c>
      <c r="BQ59" s="453">
        <v>18.5</v>
      </c>
      <c r="BR59" s="453">
        <v>18.399999999999999</v>
      </c>
      <c r="BS59" s="453">
        <v>0</v>
      </c>
      <c r="BT59" s="453">
        <v>31.7</v>
      </c>
      <c r="BU59" s="453">
        <v>27.4</v>
      </c>
      <c r="BV59" s="456">
        <v>449.7</v>
      </c>
      <c r="BW59" s="453">
        <v>0.88</v>
      </c>
      <c r="BX59" s="453">
        <v>1.66</v>
      </c>
      <c r="BY59" s="456">
        <v>1.1200000000000001</v>
      </c>
      <c r="BZ59" s="456">
        <v>15.1</v>
      </c>
      <c r="CA59" s="456">
        <v>38.799999999999997</v>
      </c>
      <c r="CB59" s="456">
        <v>13.7</v>
      </c>
      <c r="CC59" s="456">
        <v>7.9</v>
      </c>
      <c r="CD59" s="456">
        <v>12.1</v>
      </c>
      <c r="CE59" s="456">
        <v>16.2</v>
      </c>
      <c r="CF59" s="456">
        <v>13.2</v>
      </c>
      <c r="CG59" s="456">
        <v>534.5</v>
      </c>
      <c r="CH59" s="456">
        <v>2.5</v>
      </c>
      <c r="CI59" s="456">
        <v>3.2</v>
      </c>
      <c r="CJ59" s="456">
        <v>400.4</v>
      </c>
      <c r="CK59" s="456">
        <v>368.7</v>
      </c>
      <c r="CL59" s="456">
        <v>503.2</v>
      </c>
      <c r="CM59" s="456">
        <v>11.3</v>
      </c>
      <c r="CN59" s="456">
        <v>1.8</v>
      </c>
      <c r="CO59" s="453">
        <v>0</v>
      </c>
      <c r="CP59" s="453">
        <v>16.39</v>
      </c>
      <c r="CQ59" s="453">
        <v>46</v>
      </c>
      <c r="CR59" s="456">
        <v>0</v>
      </c>
      <c r="CS59" s="456">
        <v>0</v>
      </c>
      <c r="CT59" s="456">
        <v>0</v>
      </c>
      <c r="CU59" s="456">
        <v>0</v>
      </c>
      <c r="CV59" s="481">
        <v>1366.4705882352941</v>
      </c>
      <c r="CW59" s="481">
        <v>2305.625</v>
      </c>
      <c r="CX59" s="481">
        <v>1406.0416666666667</v>
      </c>
      <c r="CY59" s="481">
        <v>1077.77</v>
      </c>
      <c r="CZ59" s="456"/>
      <c r="DA59" s="456"/>
      <c r="DB59" s="456"/>
      <c r="DC59" s="456"/>
      <c r="DD59" s="456"/>
      <c r="DE59" s="456"/>
      <c r="DF59" s="456"/>
      <c r="DG59" s="425"/>
      <c r="DH59" s="456">
        <v>0</v>
      </c>
      <c r="DI59" s="456">
        <v>0.64</v>
      </c>
      <c r="DJ59" s="456">
        <v>1.1200000000000001</v>
      </c>
      <c r="DK59" s="425"/>
      <c r="DL59" s="456"/>
      <c r="DM59" s="456"/>
      <c r="DN59" s="456"/>
      <c r="DO59" s="456"/>
      <c r="DP59" s="456"/>
      <c r="DQ59" s="456"/>
      <c r="DR59" s="456"/>
      <c r="DS59" s="456"/>
      <c r="DT59" s="456"/>
      <c r="DU59" s="456"/>
      <c r="DV59" s="456"/>
      <c r="DW59" s="456"/>
      <c r="DX59" s="456"/>
      <c r="DY59" s="456"/>
      <c r="DZ59" s="456"/>
      <c r="EA59" s="456"/>
      <c r="EB59" s="456"/>
      <c r="EC59" s="456"/>
      <c r="ED59" s="423">
        <v>0</v>
      </c>
      <c r="EE59" s="456">
        <v>1</v>
      </c>
      <c r="EF59" s="456">
        <v>3.5</v>
      </c>
      <c r="EG59" s="423">
        <v>6</v>
      </c>
      <c r="EH59" s="423">
        <v>0</v>
      </c>
      <c r="EI59" s="456"/>
      <c r="EJ59" s="456"/>
      <c r="EK59" s="456"/>
      <c r="EL59" s="456"/>
      <c r="EM59" s="456"/>
      <c r="EN59" s="456"/>
      <c r="EO59" s="425"/>
      <c r="EP59" s="425"/>
      <c r="EQ59" s="425" t="s">
        <v>743</v>
      </c>
      <c r="ER59" s="425">
        <v>1</v>
      </c>
      <c r="ES59" s="425">
        <v>4</v>
      </c>
      <c r="ET59" s="425">
        <v>4000</v>
      </c>
      <c r="EU59" s="457">
        <v>1720</v>
      </c>
      <c r="EV59" s="425">
        <v>220</v>
      </c>
      <c r="EW59" s="425">
        <v>6645844</v>
      </c>
      <c r="EX59" s="425">
        <v>81100</v>
      </c>
      <c r="EY59" s="666">
        <v>18.05</v>
      </c>
      <c r="EZ59" s="666">
        <v>18.05</v>
      </c>
      <c r="FA59" s="666">
        <v>0</v>
      </c>
      <c r="FB59" s="666">
        <v>1.64</v>
      </c>
      <c r="FC59" s="666">
        <v>1.48</v>
      </c>
      <c r="FD59" s="666">
        <v>1.1539999999999999</v>
      </c>
      <c r="FE59" s="666">
        <v>1.0900000000000001</v>
      </c>
      <c r="FF59" s="666">
        <v>280</v>
      </c>
      <c r="FG59" s="666">
        <v>2.2799999999999998</v>
      </c>
      <c r="FH59" s="666">
        <v>0.34499999999999997</v>
      </c>
      <c r="FI59" s="666">
        <v>0.6</v>
      </c>
      <c r="FJ59" s="666">
        <v>8.4499999999999993</v>
      </c>
      <c r="FK59" s="666">
        <v>8.4</v>
      </c>
      <c r="FL59" s="666">
        <v>8.39</v>
      </c>
      <c r="FM59" s="666">
        <v>8.1</v>
      </c>
      <c r="FN59" s="666">
        <v>0</v>
      </c>
    </row>
    <row r="60" spans="1:170" s="416" customFormat="1" ht="15">
      <c r="A60" s="425" t="s">
        <v>5</v>
      </c>
      <c r="B60" s="426">
        <v>40589</v>
      </c>
      <c r="C60" s="418">
        <v>0</v>
      </c>
      <c r="D60" s="518">
        <v>0.26</v>
      </c>
      <c r="E60" s="453">
        <v>0</v>
      </c>
      <c r="F60" s="453">
        <v>34</v>
      </c>
      <c r="G60" s="453">
        <v>1.6</v>
      </c>
      <c r="H60" s="519">
        <v>12.16</v>
      </c>
      <c r="I60" s="519">
        <v>94.4</v>
      </c>
      <c r="J60" s="483">
        <v>3.16</v>
      </c>
      <c r="K60" s="520" t="s">
        <v>742</v>
      </c>
      <c r="L60" s="453">
        <v>7.6100000000005821</v>
      </c>
      <c r="M60" s="453">
        <v>26</v>
      </c>
      <c r="N60" s="453">
        <v>1.59</v>
      </c>
      <c r="O60" s="453">
        <v>2.3331766040496498</v>
      </c>
      <c r="P60" s="453" t="s">
        <v>742</v>
      </c>
      <c r="Q60" s="453" t="s">
        <v>742</v>
      </c>
      <c r="R60" s="453">
        <v>1055.6060290620871</v>
      </c>
      <c r="S60" s="453">
        <v>7.81</v>
      </c>
      <c r="T60" s="453" t="s">
        <v>742</v>
      </c>
      <c r="U60" s="453">
        <v>0.69</v>
      </c>
      <c r="V60" s="453" t="s">
        <v>742</v>
      </c>
      <c r="W60" s="453">
        <v>40.460000000000008</v>
      </c>
      <c r="X60" s="456" t="e">
        <v>#VALUE!</v>
      </c>
      <c r="Y60" s="453">
        <v>29.83</v>
      </c>
      <c r="Z60" s="453">
        <v>14.98</v>
      </c>
      <c r="AA60" s="519">
        <v>37.970000000001164</v>
      </c>
      <c r="AB60" s="519">
        <v>15.100000000005821</v>
      </c>
      <c r="AC60" s="732">
        <f t="shared" si="0"/>
        <v>53.070000000006985</v>
      </c>
      <c r="AD60" s="664"/>
      <c r="AE60" s="664"/>
      <c r="AF60" s="664"/>
      <c r="AG60" s="664"/>
      <c r="AH60" s="664"/>
      <c r="AI60" s="664"/>
      <c r="AJ60" s="485"/>
      <c r="AK60" s="485"/>
      <c r="AL60" s="485"/>
      <c r="AM60" s="485"/>
      <c r="AN60" s="485"/>
      <c r="AO60" s="665"/>
      <c r="AP60" s="485"/>
      <c r="AQ60" s="483"/>
      <c r="AR60" s="755">
        <v>0</v>
      </c>
      <c r="AS60" s="483">
        <v>18.100000000000001</v>
      </c>
      <c r="AT60" s="755">
        <v>0</v>
      </c>
      <c r="AU60" s="483">
        <v>39.799999999999997</v>
      </c>
      <c r="AV60" s="484">
        <v>489.7</v>
      </c>
      <c r="AW60" s="484">
        <v>502.1</v>
      </c>
      <c r="AX60" s="453">
        <v>0</v>
      </c>
      <c r="AY60" s="734">
        <v>0</v>
      </c>
      <c r="AZ60" s="734">
        <v>0</v>
      </c>
      <c r="BA60" s="734">
        <v>0</v>
      </c>
      <c r="BB60" s="453">
        <v>0</v>
      </c>
      <c r="BC60" s="453">
        <v>0.76</v>
      </c>
      <c r="BD60" s="453">
        <v>1.39</v>
      </c>
      <c r="BE60" s="734">
        <v>0</v>
      </c>
      <c r="BF60" s="453">
        <v>0</v>
      </c>
      <c r="BG60" s="453">
        <v>0</v>
      </c>
      <c r="BH60" s="734">
        <v>0</v>
      </c>
      <c r="BI60" s="453">
        <v>0</v>
      </c>
      <c r="BJ60" s="453">
        <v>13.1</v>
      </c>
      <c r="BK60" s="453">
        <v>2.54</v>
      </c>
      <c r="BL60" s="453">
        <v>3.43</v>
      </c>
      <c r="BM60" s="453">
        <v>0</v>
      </c>
      <c r="BN60" s="453">
        <v>7.2</v>
      </c>
      <c r="BO60" s="453">
        <v>1436.7</v>
      </c>
      <c r="BP60" s="453">
        <v>31.8</v>
      </c>
      <c r="BQ60" s="453">
        <v>18.399999999999999</v>
      </c>
      <c r="BR60" s="453">
        <v>18.3</v>
      </c>
      <c r="BS60" s="453">
        <v>0</v>
      </c>
      <c r="BT60" s="453">
        <v>39.5</v>
      </c>
      <c r="BU60" s="453">
        <v>34</v>
      </c>
      <c r="BV60" s="456">
        <v>650.4</v>
      </c>
      <c r="BW60" s="453">
        <v>0.9</v>
      </c>
      <c r="BX60" s="453">
        <v>1.74</v>
      </c>
      <c r="BY60" s="456">
        <v>1.1399999999999999</v>
      </c>
      <c r="BZ60" s="456">
        <v>14.6</v>
      </c>
      <c r="CA60" s="456">
        <v>35</v>
      </c>
      <c r="CB60" s="456">
        <v>13</v>
      </c>
      <c r="CC60" s="456">
        <v>9.1</v>
      </c>
      <c r="CD60" s="456">
        <v>13.3</v>
      </c>
      <c r="CE60" s="456">
        <v>17.600000000000001</v>
      </c>
      <c r="CF60" s="456">
        <v>12.9</v>
      </c>
      <c r="CG60" s="456">
        <v>528.4</v>
      </c>
      <c r="CH60" s="456">
        <v>2.2000000000000002</v>
      </c>
      <c r="CI60" s="456">
        <v>3.7</v>
      </c>
      <c r="CJ60" s="456">
        <v>357.2</v>
      </c>
      <c r="CK60" s="456">
        <v>366.3</v>
      </c>
      <c r="CL60" s="456">
        <v>501.7</v>
      </c>
      <c r="CM60" s="456">
        <v>11</v>
      </c>
      <c r="CN60" s="456">
        <v>1.8</v>
      </c>
      <c r="CO60" s="453">
        <v>57.08</v>
      </c>
      <c r="CP60" s="453">
        <v>16.68</v>
      </c>
      <c r="CQ60" s="453">
        <v>45</v>
      </c>
      <c r="CR60" s="456">
        <v>0</v>
      </c>
      <c r="CS60" s="456">
        <v>0</v>
      </c>
      <c r="CT60" s="456">
        <v>0</v>
      </c>
      <c r="CU60" s="456">
        <v>0</v>
      </c>
      <c r="CV60" s="481">
        <v>1365.2941176470588</v>
      </c>
      <c r="CW60" s="481">
        <v>2241.7708333333335</v>
      </c>
      <c r="CX60" s="481">
        <v>1332.1875</v>
      </c>
      <c r="CY60" s="481">
        <v>1077.69</v>
      </c>
      <c r="CZ60" s="456"/>
      <c r="DA60" s="456"/>
      <c r="DB60" s="456"/>
      <c r="DC60" s="456"/>
      <c r="DD60" s="456"/>
      <c r="DE60" s="456"/>
      <c r="DF60" s="456"/>
      <c r="DG60" s="425"/>
      <c r="DH60" s="456">
        <v>0</v>
      </c>
      <c r="DI60" s="456">
        <v>0.73</v>
      </c>
      <c r="DJ60" s="456">
        <v>1.1499999999999999</v>
      </c>
      <c r="DK60" s="425"/>
      <c r="DL60" s="456"/>
      <c r="DM60" s="456"/>
      <c r="DN60" s="456"/>
      <c r="DO60" s="456"/>
      <c r="DP60" s="456"/>
      <c r="DQ60" s="456"/>
      <c r="DR60" s="456"/>
      <c r="DS60" s="456"/>
      <c r="DT60" s="456"/>
      <c r="DU60" s="456"/>
      <c r="DV60" s="456"/>
      <c r="DW60" s="456"/>
      <c r="DX60" s="456"/>
      <c r="DY60" s="456"/>
      <c r="DZ60" s="456"/>
      <c r="EA60" s="456"/>
      <c r="EB60" s="456"/>
      <c r="EC60" s="456"/>
      <c r="ED60" s="423">
        <v>0</v>
      </c>
      <c r="EE60" s="456">
        <v>1</v>
      </c>
      <c r="EF60" s="456">
        <v>3.5</v>
      </c>
      <c r="EG60" s="423">
        <v>6</v>
      </c>
      <c r="EH60" s="423">
        <v>0</v>
      </c>
      <c r="EI60" s="456"/>
      <c r="EJ60" s="456"/>
      <c r="EK60" s="456"/>
      <c r="EL60" s="456"/>
      <c r="EM60" s="456"/>
      <c r="EN60" s="456"/>
      <c r="EO60" s="425"/>
      <c r="EP60" s="425"/>
      <c r="EQ60" s="425" t="s">
        <v>743</v>
      </c>
      <c r="ER60" s="425">
        <v>1</v>
      </c>
      <c r="ES60" s="425">
        <v>4</v>
      </c>
      <c r="ET60" s="425">
        <v>4000</v>
      </c>
      <c r="EU60" s="457">
        <v>1440</v>
      </c>
      <c r="EV60" s="425">
        <v>250</v>
      </c>
      <c r="EW60" s="425">
        <v>6649184</v>
      </c>
      <c r="EX60" s="425">
        <v>81869</v>
      </c>
      <c r="EY60" s="666">
        <v>17.82</v>
      </c>
      <c r="EZ60" s="666">
        <v>17.8</v>
      </c>
      <c r="FA60" s="666">
        <v>0</v>
      </c>
      <c r="FB60" s="666">
        <v>1.69</v>
      </c>
      <c r="FC60" s="666">
        <v>1.49</v>
      </c>
      <c r="FD60" s="666">
        <v>1.19</v>
      </c>
      <c r="FE60" s="666">
        <v>1.1499999999999999</v>
      </c>
      <c r="FF60" s="666">
        <v>280</v>
      </c>
      <c r="FG60" s="666">
        <v>2.14</v>
      </c>
      <c r="FH60" s="666">
        <v>0.89</v>
      </c>
      <c r="FI60" s="666">
        <v>1.43</v>
      </c>
      <c r="FJ60" s="666">
        <v>8.26</v>
      </c>
      <c r="FK60" s="666">
        <v>8.1999999999999993</v>
      </c>
      <c r="FL60" s="666">
        <v>8.32</v>
      </c>
      <c r="FM60" s="666">
        <v>7.9</v>
      </c>
      <c r="FN60" s="666">
        <v>0</v>
      </c>
    </row>
    <row r="61" spans="1:170" s="416" customFormat="1" ht="15">
      <c r="A61" s="425" t="s">
        <v>6</v>
      </c>
      <c r="B61" s="426">
        <v>40590</v>
      </c>
      <c r="C61" s="418">
        <v>0</v>
      </c>
      <c r="D61" s="518">
        <v>0.15</v>
      </c>
      <c r="E61" s="453">
        <v>0</v>
      </c>
      <c r="F61" s="453">
        <v>33</v>
      </c>
      <c r="G61" s="453">
        <v>1.6</v>
      </c>
      <c r="H61" s="519">
        <v>2.6</v>
      </c>
      <c r="I61" s="519">
        <v>94.6</v>
      </c>
      <c r="J61" s="483">
        <v>2.6</v>
      </c>
      <c r="K61" s="520" t="s">
        <v>742</v>
      </c>
      <c r="L61" s="453">
        <v>0</v>
      </c>
      <c r="M61" s="453">
        <v>26.1</v>
      </c>
      <c r="N61" s="453">
        <v>1.5</v>
      </c>
      <c r="O61" s="453">
        <v>2.3033870959321048</v>
      </c>
      <c r="P61" s="453" t="s">
        <v>742</v>
      </c>
      <c r="Q61" s="453">
        <v>0</v>
      </c>
      <c r="R61" s="453">
        <v>972.03856803170402</v>
      </c>
      <c r="S61" s="453">
        <v>7.8</v>
      </c>
      <c r="T61" s="453" t="s">
        <v>742</v>
      </c>
      <c r="U61" s="453">
        <v>0.7</v>
      </c>
      <c r="V61" s="453" t="s">
        <v>742</v>
      </c>
      <c r="W61" s="453">
        <v>39.92</v>
      </c>
      <c r="X61" s="456" t="e">
        <v>#VALUE!</v>
      </c>
      <c r="Y61" s="453">
        <v>30.33</v>
      </c>
      <c r="Z61" s="453">
        <v>14.87</v>
      </c>
      <c r="AA61" s="519">
        <v>29.990000000005239</v>
      </c>
      <c r="AB61" s="519">
        <v>20.799999999995634</v>
      </c>
      <c r="AC61" s="732">
        <f t="shared" si="0"/>
        <v>50.790000000000873</v>
      </c>
      <c r="AD61" s="664"/>
      <c r="AE61" s="664"/>
      <c r="AF61" s="664"/>
      <c r="AG61" s="664"/>
      <c r="AH61" s="664"/>
      <c r="AI61" s="664"/>
      <c r="AJ61" s="485"/>
      <c r="AK61" s="485"/>
      <c r="AL61" s="485"/>
      <c r="AM61" s="485"/>
      <c r="AN61" s="485"/>
      <c r="AO61" s="665"/>
      <c r="AP61" s="485"/>
      <c r="AQ61" s="483"/>
      <c r="AR61" s="755">
        <v>0</v>
      </c>
      <c r="AS61" s="483">
        <v>18.100000000000001</v>
      </c>
      <c r="AT61" s="755">
        <v>0</v>
      </c>
      <c r="AU61" s="483">
        <v>31.3</v>
      </c>
      <c r="AV61" s="484">
        <v>238.9</v>
      </c>
      <c r="AW61" s="484">
        <v>244.3</v>
      </c>
      <c r="AX61" s="453">
        <v>0</v>
      </c>
      <c r="AY61" s="734">
        <v>0</v>
      </c>
      <c r="AZ61" s="734">
        <v>0</v>
      </c>
      <c r="BA61" s="734">
        <v>0</v>
      </c>
      <c r="BB61" s="453">
        <v>0</v>
      </c>
      <c r="BC61" s="453">
        <v>3.42</v>
      </c>
      <c r="BD61" s="453">
        <v>0</v>
      </c>
      <c r="BE61" s="734">
        <v>0</v>
      </c>
      <c r="BF61" s="453">
        <v>0</v>
      </c>
      <c r="BG61" s="453">
        <v>0</v>
      </c>
      <c r="BH61" s="734">
        <v>0</v>
      </c>
      <c r="BI61" s="453">
        <v>0</v>
      </c>
      <c r="BJ61" s="453">
        <v>17.3</v>
      </c>
      <c r="BK61" s="453">
        <v>2.72</v>
      </c>
      <c r="BL61" s="453">
        <v>3.25</v>
      </c>
      <c r="BM61" s="453">
        <v>0</v>
      </c>
      <c r="BN61" s="453">
        <v>11.2</v>
      </c>
      <c r="BO61" s="453">
        <v>1371.3</v>
      </c>
      <c r="BP61" s="453">
        <v>0</v>
      </c>
      <c r="BQ61" s="453">
        <v>17.3</v>
      </c>
      <c r="BR61" s="453">
        <v>17.3</v>
      </c>
      <c r="BS61" s="453">
        <v>0</v>
      </c>
      <c r="BT61" s="453">
        <v>30.9</v>
      </c>
      <c r="BU61" s="453">
        <v>31.4</v>
      </c>
      <c r="BV61" s="456">
        <v>633.70000000000005</v>
      </c>
      <c r="BW61" s="453">
        <v>0.9</v>
      </c>
      <c r="BX61" s="453">
        <v>1.79</v>
      </c>
      <c r="BY61" s="456">
        <v>1.1299999999999999</v>
      </c>
      <c r="BZ61" s="456">
        <v>14.7</v>
      </c>
      <c r="CA61" s="456">
        <v>38.1</v>
      </c>
      <c r="CB61" s="456">
        <v>12.4</v>
      </c>
      <c r="CC61" s="456">
        <v>10</v>
      </c>
      <c r="CD61" s="456">
        <v>14.2</v>
      </c>
      <c r="CE61" s="456">
        <v>18.3</v>
      </c>
      <c r="CF61" s="456">
        <v>12.9</v>
      </c>
      <c r="CG61" s="456">
        <v>534.20000000000005</v>
      </c>
      <c r="CH61" s="456">
        <v>2.2999999999999998</v>
      </c>
      <c r="CI61" s="456">
        <v>3.5</v>
      </c>
      <c r="CJ61" s="456">
        <v>361.4</v>
      </c>
      <c r="CK61" s="456">
        <v>358.2</v>
      </c>
      <c r="CL61" s="456">
        <v>493.2</v>
      </c>
      <c r="CM61" s="456">
        <v>11</v>
      </c>
      <c r="CN61" s="456">
        <v>1.8</v>
      </c>
      <c r="CO61" s="453">
        <v>72.099999999999994</v>
      </c>
      <c r="CP61" s="453">
        <v>16.45</v>
      </c>
      <c r="CQ61" s="453">
        <v>45</v>
      </c>
      <c r="CR61" s="456">
        <v>0</v>
      </c>
      <c r="CS61" s="456">
        <v>0</v>
      </c>
      <c r="CT61" s="456">
        <v>0</v>
      </c>
      <c r="CU61" s="456">
        <v>0</v>
      </c>
      <c r="CV61" s="481">
        <v>1294.7058823529412</v>
      </c>
      <c r="CW61" s="481">
        <v>2106.25</v>
      </c>
      <c r="CX61" s="481">
        <v>1250.625</v>
      </c>
      <c r="CY61" s="481">
        <v>1077.2</v>
      </c>
      <c r="CZ61" s="456"/>
      <c r="DA61" s="456"/>
      <c r="DB61" s="456"/>
      <c r="DC61" s="456"/>
      <c r="DD61" s="456"/>
      <c r="DE61" s="456"/>
      <c r="DF61" s="456"/>
      <c r="DG61" s="425"/>
      <c r="DH61" s="456">
        <v>0</v>
      </c>
      <c r="DI61" s="456">
        <v>0.72</v>
      </c>
      <c r="DJ61" s="456">
        <v>1.47</v>
      </c>
      <c r="DK61" s="425"/>
      <c r="DL61" s="456"/>
      <c r="DM61" s="456"/>
      <c r="DN61" s="456"/>
      <c r="DO61" s="456"/>
      <c r="DP61" s="456"/>
      <c r="DQ61" s="456"/>
      <c r="DR61" s="456"/>
      <c r="DS61" s="456"/>
      <c r="DT61" s="456"/>
      <c r="DU61" s="456"/>
      <c r="DV61" s="456"/>
      <c r="DW61" s="456"/>
      <c r="DX61" s="456"/>
      <c r="DY61" s="456"/>
      <c r="DZ61" s="456"/>
      <c r="EA61" s="456"/>
      <c r="EB61" s="456"/>
      <c r="EC61" s="456"/>
      <c r="ED61" s="423">
        <v>0</v>
      </c>
      <c r="EE61" s="456">
        <v>1</v>
      </c>
      <c r="EF61" s="456">
        <v>3.5</v>
      </c>
      <c r="EG61" s="423">
        <v>6</v>
      </c>
      <c r="EH61" s="423">
        <v>0</v>
      </c>
      <c r="EI61" s="456"/>
      <c r="EJ61" s="456"/>
      <c r="EK61" s="456"/>
      <c r="EL61" s="456"/>
      <c r="EM61" s="456"/>
      <c r="EN61" s="456"/>
      <c r="EO61" s="425"/>
      <c r="EP61" s="425"/>
      <c r="EQ61" s="425" t="s">
        <v>743</v>
      </c>
      <c r="ER61" s="425">
        <v>1</v>
      </c>
      <c r="ES61" s="425">
        <v>4</v>
      </c>
      <c r="ET61" s="425">
        <v>4000</v>
      </c>
      <c r="EU61" s="457">
        <v>1240</v>
      </c>
      <c r="EV61" s="425">
        <v>220</v>
      </c>
      <c r="EW61" s="425">
        <v>6651954</v>
      </c>
      <c r="EX61" s="425">
        <v>82657</v>
      </c>
      <c r="EY61" s="666">
        <v>17.34</v>
      </c>
      <c r="EZ61" s="666">
        <v>17.329999999999998</v>
      </c>
      <c r="FA61" s="666">
        <v>0</v>
      </c>
      <c r="FB61" s="666">
        <v>1.54</v>
      </c>
      <c r="FC61" s="666">
        <v>1.45</v>
      </c>
      <c r="FD61" s="666">
        <v>1.18</v>
      </c>
      <c r="FE61" s="666">
        <v>1.2</v>
      </c>
      <c r="FF61" s="666">
        <v>200</v>
      </c>
      <c r="FG61" s="666">
        <v>1.72</v>
      </c>
      <c r="FH61" s="666">
        <v>0.85</v>
      </c>
      <c r="FI61" s="666">
        <v>1.35</v>
      </c>
      <c r="FJ61" s="666">
        <v>8.2200000000000006</v>
      </c>
      <c r="FK61" s="666">
        <v>8.1</v>
      </c>
      <c r="FL61" s="666">
        <v>8.27</v>
      </c>
      <c r="FM61" s="666">
        <v>7.7</v>
      </c>
      <c r="FN61" s="666">
        <v>0</v>
      </c>
    </row>
    <row r="62" spans="1:170" s="416" customFormat="1" ht="15">
      <c r="A62" s="425" t="s">
        <v>7</v>
      </c>
      <c r="B62" s="426">
        <v>40591</v>
      </c>
      <c r="C62" s="418">
        <v>0</v>
      </c>
      <c r="D62" s="518">
        <v>0.02</v>
      </c>
      <c r="E62" s="453">
        <v>0</v>
      </c>
      <c r="F62" s="453">
        <v>32</v>
      </c>
      <c r="G62" s="453">
        <v>1.3</v>
      </c>
      <c r="H62" s="519">
        <v>3.8</v>
      </c>
      <c r="I62" s="519">
        <v>95.23</v>
      </c>
      <c r="J62" s="483">
        <v>3.4</v>
      </c>
      <c r="K62" s="520" t="s">
        <v>742</v>
      </c>
      <c r="L62" s="453">
        <v>0.67000000000007276</v>
      </c>
      <c r="M62" s="453">
        <v>25.9</v>
      </c>
      <c r="N62" s="453">
        <v>1.5</v>
      </c>
      <c r="O62" s="453">
        <v>2.2887135399371736</v>
      </c>
      <c r="P62" s="453" t="s">
        <v>742</v>
      </c>
      <c r="Q62" s="453">
        <v>0</v>
      </c>
      <c r="R62" s="453">
        <v>1070.8295587846762</v>
      </c>
      <c r="S62" s="453">
        <v>7.8</v>
      </c>
      <c r="T62" s="453" t="s">
        <v>742</v>
      </c>
      <c r="U62" s="453">
        <v>0.7</v>
      </c>
      <c r="V62" s="453" t="s">
        <v>742</v>
      </c>
      <c r="W62" s="453">
        <v>46.400000000000006</v>
      </c>
      <c r="X62" s="456" t="e">
        <v>#VALUE!</v>
      </c>
      <c r="Y62" s="453">
        <v>29.8</v>
      </c>
      <c r="Z62" s="453">
        <v>24.5</v>
      </c>
      <c r="AA62" s="519">
        <v>29.539999999993597</v>
      </c>
      <c r="AB62" s="519">
        <v>26.900000000001455</v>
      </c>
      <c r="AC62" s="732">
        <f t="shared" si="0"/>
        <v>56.439999999995052</v>
      </c>
      <c r="AD62" s="664"/>
      <c r="AE62" s="664"/>
      <c r="AF62" s="664"/>
      <c r="AG62" s="664"/>
      <c r="AH62" s="664"/>
      <c r="AI62" s="664"/>
      <c r="AJ62" s="485"/>
      <c r="AK62" s="485"/>
      <c r="AL62" s="485"/>
      <c r="AM62" s="485"/>
      <c r="AN62" s="485"/>
      <c r="AO62" s="665"/>
      <c r="AP62" s="485"/>
      <c r="AQ62" s="483"/>
      <c r="AR62" s="755">
        <v>0</v>
      </c>
      <c r="AS62" s="483">
        <v>18.600000000000001</v>
      </c>
      <c r="AT62" s="755">
        <v>0</v>
      </c>
      <c r="AU62" s="483">
        <v>30.9</v>
      </c>
      <c r="AV62" s="484">
        <v>289.7</v>
      </c>
      <c r="AW62" s="484">
        <v>255</v>
      </c>
      <c r="AX62" s="453">
        <v>0</v>
      </c>
      <c r="AY62" s="734">
        <v>0</v>
      </c>
      <c r="AZ62" s="734">
        <v>0</v>
      </c>
      <c r="BA62" s="734">
        <v>0</v>
      </c>
      <c r="BB62" s="453">
        <v>0</v>
      </c>
      <c r="BC62" s="453">
        <v>1.44</v>
      </c>
      <c r="BD62" s="453">
        <v>2.0699999999999998</v>
      </c>
      <c r="BE62" s="734">
        <v>0</v>
      </c>
      <c r="BF62" s="453">
        <v>0</v>
      </c>
      <c r="BG62" s="453">
        <v>0</v>
      </c>
      <c r="BH62" s="734">
        <v>0</v>
      </c>
      <c r="BI62" s="453">
        <v>0</v>
      </c>
      <c r="BJ62" s="453">
        <v>23.5</v>
      </c>
      <c r="BK62" s="453">
        <v>2.72</v>
      </c>
      <c r="BL62" s="453">
        <v>3.68</v>
      </c>
      <c r="BM62" s="453">
        <v>0</v>
      </c>
      <c r="BN62" s="453">
        <v>17</v>
      </c>
      <c r="BO62" s="453">
        <v>864</v>
      </c>
      <c r="BP62" s="453">
        <v>0</v>
      </c>
      <c r="BQ62" s="453">
        <v>17.3</v>
      </c>
      <c r="BR62" s="453">
        <v>17.2</v>
      </c>
      <c r="BS62" s="453">
        <v>0</v>
      </c>
      <c r="BT62" s="453">
        <v>30.4</v>
      </c>
      <c r="BU62" s="453">
        <v>25.7</v>
      </c>
      <c r="BV62" s="456">
        <v>476.3</v>
      </c>
      <c r="BW62" s="453">
        <v>1</v>
      </c>
      <c r="BX62" s="453">
        <v>1.73</v>
      </c>
      <c r="BY62" s="456">
        <v>1.1299999999999999</v>
      </c>
      <c r="BZ62" s="456">
        <v>14.9</v>
      </c>
      <c r="CA62" s="456">
        <v>35.700000000000003</v>
      </c>
      <c r="CB62" s="456">
        <v>15</v>
      </c>
      <c r="CC62" s="456">
        <v>8.3000000000000007</v>
      </c>
      <c r="CD62" s="456">
        <v>12.6</v>
      </c>
      <c r="CE62" s="456">
        <v>16.7</v>
      </c>
      <c r="CF62" s="456">
        <v>12.8</v>
      </c>
      <c r="CG62" s="456">
        <v>542.79999999999995</v>
      </c>
      <c r="CH62" s="456">
        <v>2.6</v>
      </c>
      <c r="CI62" s="456">
        <v>3.7</v>
      </c>
      <c r="CJ62" s="456">
        <v>339</v>
      </c>
      <c r="CK62" s="456">
        <v>372.1</v>
      </c>
      <c r="CL62" s="456">
        <v>495</v>
      </c>
      <c r="CM62" s="456">
        <v>11.3</v>
      </c>
      <c r="CN62" s="456">
        <v>1.8</v>
      </c>
      <c r="CO62" s="453">
        <v>0</v>
      </c>
      <c r="CP62" s="453">
        <v>16.899999999999999</v>
      </c>
      <c r="CQ62" s="453">
        <v>44</v>
      </c>
      <c r="CR62" s="456">
        <v>0</v>
      </c>
      <c r="CS62" s="456">
        <v>0</v>
      </c>
      <c r="CT62" s="456">
        <v>0</v>
      </c>
      <c r="CU62" s="456">
        <v>0</v>
      </c>
      <c r="CV62" s="481">
        <v>1240.5882352941176</v>
      </c>
      <c r="CW62" s="481">
        <v>2000.7291666666667</v>
      </c>
      <c r="CX62" s="481">
        <v>1126.8333333333333</v>
      </c>
      <c r="CY62" s="481">
        <v>1077.03</v>
      </c>
      <c r="CZ62" s="456"/>
      <c r="DA62" s="456"/>
      <c r="DB62" s="456"/>
      <c r="DC62" s="456"/>
      <c r="DD62" s="456"/>
      <c r="DE62" s="456"/>
      <c r="DF62" s="456"/>
      <c r="DG62" s="425"/>
      <c r="DH62" s="456">
        <v>0</v>
      </c>
      <c r="DI62" s="456">
        <v>0.72</v>
      </c>
      <c r="DJ62" s="456">
        <v>1.41</v>
      </c>
      <c r="DK62" s="425"/>
      <c r="DL62" s="456"/>
      <c r="DM62" s="456"/>
      <c r="DN62" s="456"/>
      <c r="DO62" s="456"/>
      <c r="DP62" s="456"/>
      <c r="DQ62" s="456"/>
      <c r="DR62" s="456"/>
      <c r="DS62" s="456"/>
      <c r="DT62" s="456"/>
      <c r="DU62" s="456"/>
      <c r="DV62" s="456"/>
      <c r="DW62" s="456"/>
      <c r="DX62" s="456"/>
      <c r="DY62" s="456"/>
      <c r="DZ62" s="456"/>
      <c r="EA62" s="456"/>
      <c r="EB62" s="456"/>
      <c r="EC62" s="456"/>
      <c r="ED62" s="423">
        <v>0</v>
      </c>
      <c r="EE62" s="456">
        <v>1</v>
      </c>
      <c r="EF62" s="456">
        <v>3.5</v>
      </c>
      <c r="EG62" s="423">
        <v>6</v>
      </c>
      <c r="EH62" s="423">
        <v>0</v>
      </c>
      <c r="EI62" s="456"/>
      <c r="EJ62" s="456"/>
      <c r="EK62" s="456"/>
      <c r="EL62" s="456"/>
      <c r="EM62" s="456"/>
      <c r="EN62" s="456"/>
      <c r="EO62" s="425"/>
      <c r="EP62" s="425"/>
      <c r="EQ62" s="425" t="s">
        <v>743</v>
      </c>
      <c r="ER62" s="425">
        <v>1</v>
      </c>
      <c r="ES62" s="425">
        <v>4</v>
      </c>
      <c r="ET62" s="425">
        <v>4000</v>
      </c>
      <c r="EU62" s="457">
        <v>1020</v>
      </c>
      <c r="EV62" s="425">
        <v>210</v>
      </c>
      <c r="EW62" s="425">
        <v>6654375</v>
      </c>
      <c r="EX62" s="425">
        <v>83403</v>
      </c>
      <c r="EY62" s="666">
        <v>17.350000000000001</v>
      </c>
      <c r="EZ62" s="666">
        <v>17.350000000000001</v>
      </c>
      <c r="FA62" s="666">
        <v>0</v>
      </c>
      <c r="FB62" s="666">
        <v>1.54</v>
      </c>
      <c r="FC62" s="666">
        <v>1.5</v>
      </c>
      <c r="FD62" s="666">
        <v>1.1399999999999999</v>
      </c>
      <c r="FE62" s="666">
        <v>1.1000000000000001</v>
      </c>
      <c r="FF62" s="666">
        <v>220</v>
      </c>
      <c r="FG62" s="666">
        <v>2.11</v>
      </c>
      <c r="FH62" s="666">
        <v>0.86</v>
      </c>
      <c r="FI62" s="666">
        <v>1.49</v>
      </c>
      <c r="FJ62" s="666">
        <v>8.32</v>
      </c>
      <c r="FK62" s="666">
        <v>8.1999999999999993</v>
      </c>
      <c r="FL62" s="666">
        <v>8.16</v>
      </c>
      <c r="FM62" s="666">
        <v>7.7</v>
      </c>
      <c r="FN62" s="666">
        <v>0</v>
      </c>
    </row>
    <row r="63" spans="1:170" s="416" customFormat="1" ht="15">
      <c r="A63" s="425" t="s">
        <v>8</v>
      </c>
      <c r="B63" s="426">
        <v>40592</v>
      </c>
      <c r="C63" s="418">
        <v>0</v>
      </c>
      <c r="D63" s="518">
        <v>0</v>
      </c>
      <c r="E63" s="453">
        <v>0</v>
      </c>
      <c r="F63" s="453">
        <v>35.6</v>
      </c>
      <c r="G63" s="453">
        <v>1.2</v>
      </c>
      <c r="H63" s="519">
        <v>2.34</v>
      </c>
      <c r="I63" s="519">
        <v>94.4</v>
      </c>
      <c r="J63" s="483">
        <v>2.39</v>
      </c>
      <c r="K63" s="520" t="s">
        <v>742</v>
      </c>
      <c r="L63" s="453">
        <v>0</v>
      </c>
      <c r="M63" s="453">
        <v>25.7</v>
      </c>
      <c r="N63" s="453">
        <v>1.46</v>
      </c>
      <c r="O63" s="453">
        <v>2.2720188643780448</v>
      </c>
      <c r="P63" s="453" t="s">
        <v>742</v>
      </c>
      <c r="Q63" s="453">
        <v>11.540290620919842</v>
      </c>
      <c r="R63" s="453">
        <v>1133.9910118890357</v>
      </c>
      <c r="S63" s="453">
        <v>7.91</v>
      </c>
      <c r="T63" s="453" t="s">
        <v>742</v>
      </c>
      <c r="U63" s="453">
        <v>0.71</v>
      </c>
      <c r="V63" s="453" t="s">
        <v>742</v>
      </c>
      <c r="W63" s="453">
        <v>44.600000000000009</v>
      </c>
      <c r="X63" s="456" t="e">
        <v>#VALUE!</v>
      </c>
      <c r="Y63" s="453">
        <v>29.8</v>
      </c>
      <c r="Z63" s="453">
        <v>25.5</v>
      </c>
      <c r="AA63" s="519">
        <v>29.900000000008731</v>
      </c>
      <c r="AB63" s="519">
        <v>26.599999999998545</v>
      </c>
      <c r="AC63" s="732">
        <f t="shared" si="0"/>
        <v>56.500000000007276</v>
      </c>
      <c r="AD63" s="664"/>
      <c r="AE63" s="664"/>
      <c r="AF63" s="664"/>
      <c r="AG63" s="664"/>
      <c r="AH63" s="664"/>
      <c r="AI63" s="664"/>
      <c r="AJ63" s="485"/>
      <c r="AK63" s="485"/>
      <c r="AL63" s="485"/>
      <c r="AM63" s="485"/>
      <c r="AN63" s="485"/>
      <c r="AO63" s="665"/>
      <c r="AP63" s="485"/>
      <c r="AQ63" s="483"/>
      <c r="AR63" s="755">
        <v>0</v>
      </c>
      <c r="AS63" s="483">
        <v>35.299999999999997</v>
      </c>
      <c r="AT63" s="755">
        <v>0</v>
      </c>
      <c r="AU63" s="483">
        <v>31</v>
      </c>
      <c r="AV63" s="484">
        <v>443.1</v>
      </c>
      <c r="AW63" s="484">
        <v>163.69999999999999</v>
      </c>
      <c r="AX63" s="453">
        <v>0</v>
      </c>
      <c r="AY63" s="734">
        <v>0</v>
      </c>
      <c r="AZ63" s="734">
        <v>0</v>
      </c>
      <c r="BA63" s="734">
        <v>0</v>
      </c>
      <c r="BB63" s="453">
        <v>0</v>
      </c>
      <c r="BC63" s="453">
        <v>1.69</v>
      </c>
      <c r="BD63" s="453">
        <v>1.82</v>
      </c>
      <c r="BE63" s="734">
        <v>0</v>
      </c>
      <c r="BF63" s="453">
        <v>0</v>
      </c>
      <c r="BG63" s="453">
        <v>0</v>
      </c>
      <c r="BH63" s="734">
        <v>0</v>
      </c>
      <c r="BI63" s="453">
        <v>0</v>
      </c>
      <c r="BJ63" s="453">
        <v>22.9</v>
      </c>
      <c r="BK63" s="453">
        <v>2.71</v>
      </c>
      <c r="BL63" s="453">
        <v>3.3</v>
      </c>
      <c r="BM63" s="453">
        <v>0</v>
      </c>
      <c r="BN63" s="453">
        <v>16.8</v>
      </c>
      <c r="BO63" s="453">
        <v>1056.5999999999999</v>
      </c>
      <c r="BP63" s="453">
        <v>0</v>
      </c>
      <c r="BQ63" s="453">
        <v>17.399999999999999</v>
      </c>
      <c r="BR63" s="453">
        <v>17.399999999999999</v>
      </c>
      <c r="BS63" s="453">
        <v>0</v>
      </c>
      <c r="BT63" s="453">
        <v>30.4</v>
      </c>
      <c r="BU63" s="453">
        <v>24.6</v>
      </c>
      <c r="BV63" s="456">
        <v>649.29999999999995</v>
      </c>
      <c r="BW63" s="453">
        <v>0.9</v>
      </c>
      <c r="BX63" s="453">
        <v>1.75</v>
      </c>
      <c r="BY63" s="456">
        <v>1.1399999999999999</v>
      </c>
      <c r="BZ63" s="456">
        <v>14.7</v>
      </c>
      <c r="CA63" s="456">
        <v>38</v>
      </c>
      <c r="CB63" s="456">
        <v>14.2</v>
      </c>
      <c r="CC63" s="456">
        <v>7.8</v>
      </c>
      <c r="CD63" s="456">
        <v>12.1</v>
      </c>
      <c r="CE63" s="456">
        <v>16.100000000000001</v>
      </c>
      <c r="CF63" s="456">
        <v>12.6</v>
      </c>
      <c r="CG63" s="456">
        <v>519</v>
      </c>
      <c r="CH63" s="456">
        <v>2.2000000000000002</v>
      </c>
      <c r="CI63" s="456">
        <v>3.3</v>
      </c>
      <c r="CJ63" s="456">
        <v>270.89999999999998</v>
      </c>
      <c r="CK63" s="456">
        <v>375.9</v>
      </c>
      <c r="CL63" s="456">
        <v>474.6</v>
      </c>
      <c r="CM63" s="456">
        <v>10.4</v>
      </c>
      <c r="CN63" s="456">
        <v>1.8</v>
      </c>
      <c r="CO63" s="453">
        <v>0</v>
      </c>
      <c r="CP63" s="453">
        <v>15.78</v>
      </c>
      <c r="CQ63" s="453">
        <v>44</v>
      </c>
      <c r="CR63" s="456">
        <v>0</v>
      </c>
      <c r="CS63" s="456">
        <v>0</v>
      </c>
      <c r="CT63" s="456">
        <v>0</v>
      </c>
      <c r="CU63" s="456">
        <v>0</v>
      </c>
      <c r="CV63" s="481">
        <v>989.52941176470586</v>
      </c>
      <c r="CW63" s="481">
        <v>1708.125</v>
      </c>
      <c r="CX63" s="481">
        <v>908.36458333333337</v>
      </c>
      <c r="CY63" s="481">
        <v>1079</v>
      </c>
      <c r="CZ63" s="456"/>
      <c r="DA63" s="456"/>
      <c r="DB63" s="456"/>
      <c r="DC63" s="456"/>
      <c r="DD63" s="456"/>
      <c r="DE63" s="456"/>
      <c r="DF63" s="456"/>
      <c r="DG63" s="425"/>
      <c r="DH63" s="456">
        <v>0</v>
      </c>
      <c r="DI63" s="456">
        <v>0.67</v>
      </c>
      <c r="DJ63" s="456">
        <v>1.04</v>
      </c>
      <c r="DK63" s="425"/>
      <c r="DL63" s="456"/>
      <c r="DM63" s="456"/>
      <c r="DN63" s="456"/>
      <c r="DO63" s="456"/>
      <c r="DP63" s="456"/>
      <c r="DQ63" s="456"/>
      <c r="DR63" s="456"/>
      <c r="DS63" s="456"/>
      <c r="DT63" s="456"/>
      <c r="DU63" s="456"/>
      <c r="DV63" s="456"/>
      <c r="DW63" s="456"/>
      <c r="DX63" s="456"/>
      <c r="DY63" s="456"/>
      <c r="DZ63" s="456"/>
      <c r="EA63" s="456"/>
      <c r="EB63" s="456"/>
      <c r="EC63" s="456"/>
      <c r="ED63" s="423">
        <v>0</v>
      </c>
      <c r="EE63" s="456">
        <v>0</v>
      </c>
      <c r="EF63" s="456">
        <v>3.5</v>
      </c>
      <c r="EG63" s="423">
        <v>6</v>
      </c>
      <c r="EH63" s="423">
        <v>0</v>
      </c>
      <c r="EI63" s="456"/>
      <c r="EJ63" s="456"/>
      <c r="EK63" s="456"/>
      <c r="EL63" s="456"/>
      <c r="EM63" s="456"/>
      <c r="EN63" s="456"/>
      <c r="EO63" s="425"/>
      <c r="EP63" s="425"/>
      <c r="EQ63" s="425" t="s">
        <v>743</v>
      </c>
      <c r="ER63" s="425">
        <v>1</v>
      </c>
      <c r="ES63" s="425">
        <v>4</v>
      </c>
      <c r="ET63" s="425">
        <v>4000</v>
      </c>
      <c r="EU63" s="457">
        <v>840</v>
      </c>
      <c r="EV63" s="425">
        <v>100</v>
      </c>
      <c r="EW63" s="425">
        <v>6656723</v>
      </c>
      <c r="EX63" s="425">
        <v>84191</v>
      </c>
      <c r="EY63" s="666">
        <v>17.649999999999999</v>
      </c>
      <c r="EZ63" s="666">
        <v>17.649999999999999</v>
      </c>
      <c r="FA63" s="666">
        <v>0</v>
      </c>
      <c r="FB63" s="666">
        <v>1.52</v>
      </c>
      <c r="FC63" s="666">
        <v>1.49</v>
      </c>
      <c r="FD63" s="666">
        <v>1.06</v>
      </c>
      <c r="FE63" s="666">
        <v>1.0900000000000001</v>
      </c>
      <c r="FF63" s="666">
        <v>180</v>
      </c>
      <c r="FG63" s="666">
        <v>1.34</v>
      </c>
      <c r="FH63" s="666">
        <v>0.81</v>
      </c>
      <c r="FI63" s="666">
        <v>1.4</v>
      </c>
      <c r="FJ63" s="666">
        <v>8.2100000000000009</v>
      </c>
      <c r="FK63" s="666">
        <v>8.1</v>
      </c>
      <c r="FL63" s="666">
        <v>8.27</v>
      </c>
      <c r="FM63" s="666">
        <v>7.6</v>
      </c>
      <c r="FN63" s="666">
        <v>0</v>
      </c>
    </row>
    <row r="64" spans="1:170" s="416" customFormat="1" ht="15">
      <c r="A64" s="425" t="s">
        <v>9</v>
      </c>
      <c r="B64" s="426">
        <v>40593</v>
      </c>
      <c r="C64" s="418">
        <v>0</v>
      </c>
      <c r="D64" s="518">
        <v>0</v>
      </c>
      <c r="E64" s="453">
        <v>0</v>
      </c>
      <c r="F64" s="453">
        <v>28</v>
      </c>
      <c r="G64" s="453">
        <v>1.2</v>
      </c>
      <c r="H64" s="519">
        <v>3.14</v>
      </c>
      <c r="I64" s="519">
        <v>94.6</v>
      </c>
      <c r="J64" s="483">
        <v>2.89</v>
      </c>
      <c r="K64" s="520" t="s">
        <v>742</v>
      </c>
      <c r="L64" s="453">
        <v>0</v>
      </c>
      <c r="M64" s="453">
        <v>25.5</v>
      </c>
      <c r="N64" s="453">
        <v>1.41</v>
      </c>
      <c r="O64" s="453">
        <v>2.2456463005496015</v>
      </c>
      <c r="P64" s="453" t="s">
        <v>742</v>
      </c>
      <c r="Q64" s="453">
        <v>3.8282694847845784</v>
      </c>
      <c r="R64" s="453">
        <v>1086.7008982826947</v>
      </c>
      <c r="S64" s="453">
        <v>7.92</v>
      </c>
      <c r="T64" s="453" t="s">
        <v>742</v>
      </c>
      <c r="U64" s="453">
        <v>0.66</v>
      </c>
      <c r="V64" s="453" t="s">
        <v>742</v>
      </c>
      <c r="W64" s="453">
        <v>39.92</v>
      </c>
      <c r="X64" s="456" t="e">
        <v>#VALUE!</v>
      </c>
      <c r="Y64" s="453">
        <v>29.5</v>
      </c>
      <c r="Z64" s="453">
        <v>27.91</v>
      </c>
      <c r="AA64" s="519">
        <v>29.379999999990105</v>
      </c>
      <c r="AB64" s="519">
        <v>27.80000000000291</v>
      </c>
      <c r="AC64" s="732">
        <f t="shared" si="0"/>
        <v>57.179999999993015</v>
      </c>
      <c r="AD64" s="664"/>
      <c r="AE64" s="664"/>
      <c r="AF64" s="664"/>
      <c r="AG64" s="664"/>
      <c r="AH64" s="664"/>
      <c r="AI64" s="664"/>
      <c r="AJ64" s="485"/>
      <c r="AK64" s="485"/>
      <c r="AL64" s="485"/>
      <c r="AM64" s="485"/>
      <c r="AN64" s="485"/>
      <c r="AO64" s="665"/>
      <c r="AP64" s="485"/>
      <c r="AQ64" s="483"/>
      <c r="AR64" s="755">
        <v>0</v>
      </c>
      <c r="AS64" s="483">
        <v>18.399999999999999</v>
      </c>
      <c r="AT64" s="755">
        <v>0</v>
      </c>
      <c r="AU64" s="483">
        <v>31</v>
      </c>
      <c r="AV64" s="484">
        <v>590.6</v>
      </c>
      <c r="AW64" s="484">
        <v>448.6</v>
      </c>
      <c r="AX64" s="453">
        <v>0</v>
      </c>
      <c r="AY64" s="734">
        <v>0</v>
      </c>
      <c r="AZ64" s="734">
        <v>0</v>
      </c>
      <c r="BA64" s="734">
        <v>0</v>
      </c>
      <c r="BB64" s="453">
        <v>0</v>
      </c>
      <c r="BC64" s="453">
        <v>1.44</v>
      </c>
      <c r="BD64" s="453">
        <v>2.0699999999999998</v>
      </c>
      <c r="BE64" s="734">
        <v>0</v>
      </c>
      <c r="BF64" s="453">
        <v>0</v>
      </c>
      <c r="BG64" s="453">
        <v>0</v>
      </c>
      <c r="BH64" s="734">
        <v>0</v>
      </c>
      <c r="BI64" s="453">
        <v>0</v>
      </c>
      <c r="BJ64" s="453">
        <v>24.6</v>
      </c>
      <c r="BK64" s="453">
        <v>2.71</v>
      </c>
      <c r="BL64" s="453">
        <v>3.03</v>
      </c>
      <c r="BM64" s="453">
        <v>0</v>
      </c>
      <c r="BN64" s="453">
        <v>18.5</v>
      </c>
      <c r="BO64" s="453">
        <v>1638.1</v>
      </c>
      <c r="BP64" s="453">
        <v>0</v>
      </c>
      <c r="BQ64" s="453">
        <v>17.899999999999999</v>
      </c>
      <c r="BR64" s="453">
        <v>17.899999999999999</v>
      </c>
      <c r="BS64" s="453">
        <v>0</v>
      </c>
      <c r="BT64" s="453">
        <v>29.6</v>
      </c>
      <c r="BU64" s="453">
        <v>22.4</v>
      </c>
      <c r="BV64" s="456">
        <v>482.2</v>
      </c>
      <c r="BW64" s="453">
        <v>0.8</v>
      </c>
      <c r="BX64" s="453">
        <v>1.67</v>
      </c>
      <c r="BY64" s="456">
        <v>1.1100000000000001</v>
      </c>
      <c r="BZ64" s="456">
        <v>14.8</v>
      </c>
      <c r="CA64" s="456">
        <v>38</v>
      </c>
      <c r="CB64" s="456">
        <v>13.2</v>
      </c>
      <c r="CC64" s="456">
        <v>9.6</v>
      </c>
      <c r="CD64" s="456">
        <v>13.8</v>
      </c>
      <c r="CE64" s="456">
        <v>17.899999999999999</v>
      </c>
      <c r="CF64" s="456">
        <v>12.5</v>
      </c>
      <c r="CG64" s="456">
        <v>511</v>
      </c>
      <c r="CH64" s="456">
        <v>2.2000000000000002</v>
      </c>
      <c r="CI64" s="456">
        <v>3</v>
      </c>
      <c r="CJ64" s="456">
        <v>389.7</v>
      </c>
      <c r="CK64" s="456">
        <v>469.1</v>
      </c>
      <c r="CL64" s="456">
        <v>455.8</v>
      </c>
      <c r="CM64" s="456">
        <v>10</v>
      </c>
      <c r="CN64" s="456">
        <v>1.7</v>
      </c>
      <c r="CO64" s="453">
        <v>0</v>
      </c>
      <c r="CP64" s="453">
        <v>15.43</v>
      </c>
      <c r="CQ64" s="453">
        <v>43</v>
      </c>
      <c r="CR64" s="456">
        <v>0</v>
      </c>
      <c r="CS64" s="456">
        <v>0</v>
      </c>
      <c r="CT64" s="456">
        <v>0</v>
      </c>
      <c r="CU64" s="456">
        <v>0</v>
      </c>
      <c r="CV64" s="481">
        <v>929.70588235294122</v>
      </c>
      <c r="CW64" s="481">
        <v>1562.7083333333333</v>
      </c>
      <c r="CX64" s="481">
        <v>861.66666666666663</v>
      </c>
      <c r="CY64" s="481">
        <v>1080.19</v>
      </c>
      <c r="CZ64" s="456"/>
      <c r="DA64" s="456"/>
      <c r="DB64" s="456"/>
      <c r="DC64" s="456"/>
      <c r="DD64" s="456"/>
      <c r="DE64" s="456"/>
      <c r="DF64" s="456"/>
      <c r="DG64" s="425"/>
      <c r="DH64" s="456">
        <v>0</v>
      </c>
      <c r="DI64" s="456">
        <v>0.71</v>
      </c>
      <c r="DJ64" s="456">
        <v>1.1399999999999999</v>
      </c>
      <c r="DK64" s="425"/>
      <c r="DL64" s="456"/>
      <c r="DM64" s="456"/>
      <c r="DN64" s="456"/>
      <c r="DO64" s="456"/>
      <c r="DP64" s="456"/>
      <c r="DQ64" s="456"/>
      <c r="DR64" s="456"/>
      <c r="DS64" s="456"/>
      <c r="DT64" s="456"/>
      <c r="DU64" s="456"/>
      <c r="DV64" s="456"/>
      <c r="DW64" s="456"/>
      <c r="DX64" s="456"/>
      <c r="DY64" s="456"/>
      <c r="DZ64" s="456"/>
      <c r="EA64" s="456"/>
      <c r="EB64" s="456"/>
      <c r="EC64" s="456"/>
      <c r="ED64" s="423">
        <v>0</v>
      </c>
      <c r="EE64" s="456">
        <v>0</v>
      </c>
      <c r="EF64" s="456">
        <v>3.5</v>
      </c>
      <c r="EG64" s="423">
        <v>6</v>
      </c>
      <c r="EH64" s="423">
        <v>0</v>
      </c>
      <c r="EI64" s="456"/>
      <c r="EJ64" s="456"/>
      <c r="EK64" s="456"/>
      <c r="EL64" s="456"/>
      <c r="EM64" s="456"/>
      <c r="EN64" s="456"/>
      <c r="EO64" s="425"/>
      <c r="EP64" s="425"/>
      <c r="EQ64" s="425" t="s">
        <v>743</v>
      </c>
      <c r="ER64" s="425">
        <v>1</v>
      </c>
      <c r="ES64" s="425">
        <v>4</v>
      </c>
      <c r="ET64" s="425">
        <v>4000</v>
      </c>
      <c r="EU64" s="457">
        <v>640</v>
      </c>
      <c r="EV64" s="425">
        <v>120</v>
      </c>
      <c r="EW64" s="425">
        <v>6658902</v>
      </c>
      <c r="EX64" s="425">
        <v>84999</v>
      </c>
      <c r="EY64" s="666">
        <v>18.45</v>
      </c>
      <c r="EZ64" s="666">
        <v>18.45</v>
      </c>
      <c r="FA64" s="666">
        <v>0</v>
      </c>
      <c r="FB64" s="666">
        <v>1.51</v>
      </c>
      <c r="FC64" s="666">
        <v>1.49</v>
      </c>
      <c r="FD64" s="666">
        <v>1.1200000000000001</v>
      </c>
      <c r="FE64" s="666">
        <v>1.0900000000000001</v>
      </c>
      <c r="FF64" s="666">
        <v>200</v>
      </c>
      <c r="FG64" s="666">
        <v>1.59</v>
      </c>
      <c r="FH64" s="666">
        <v>0.74</v>
      </c>
      <c r="FI64" s="666">
        <v>1.39</v>
      </c>
      <c r="FJ64" s="666">
        <v>8.2799999999999994</v>
      </c>
      <c r="FK64" s="666">
        <v>8.1</v>
      </c>
      <c r="FL64" s="666">
        <v>8.16</v>
      </c>
      <c r="FM64" s="666">
        <v>7.7</v>
      </c>
      <c r="FN64" s="666">
        <v>0</v>
      </c>
    </row>
    <row r="65" spans="1:170" s="416" customFormat="1" ht="15">
      <c r="A65" s="425" t="s">
        <v>3</v>
      </c>
      <c r="B65" s="426">
        <v>40594</v>
      </c>
      <c r="C65" s="418">
        <v>0</v>
      </c>
      <c r="D65" s="518">
        <v>0</v>
      </c>
      <c r="E65" s="453">
        <v>0</v>
      </c>
      <c r="F65" s="453">
        <v>32</v>
      </c>
      <c r="G65" s="453">
        <v>1.2</v>
      </c>
      <c r="H65" s="519">
        <v>2.64</v>
      </c>
      <c r="I65" s="519">
        <v>94.5</v>
      </c>
      <c r="J65" s="483">
        <v>2.52</v>
      </c>
      <c r="K65" s="520" t="s">
        <v>742</v>
      </c>
      <c r="L65" s="453">
        <v>0</v>
      </c>
      <c r="M65" s="453">
        <v>25.3</v>
      </c>
      <c r="N65" s="453">
        <v>1.43</v>
      </c>
      <c r="O65" s="453">
        <v>2.2469889965536272</v>
      </c>
      <c r="P65" s="453" t="s">
        <v>742</v>
      </c>
      <c r="Q65" s="453">
        <v>4.4015852047662891</v>
      </c>
      <c r="R65" s="453">
        <v>1095.4463302509905</v>
      </c>
      <c r="S65" s="453">
        <v>7.89</v>
      </c>
      <c r="T65" s="453" t="s">
        <v>742</v>
      </c>
      <c r="U65" s="453">
        <v>0.69</v>
      </c>
      <c r="V65" s="453" t="s">
        <v>742</v>
      </c>
      <c r="W65" s="453">
        <v>38.120000000000005</v>
      </c>
      <c r="X65" s="456" t="e">
        <v>#VALUE!</v>
      </c>
      <c r="Y65" s="453">
        <v>29.53</v>
      </c>
      <c r="Z65" s="453">
        <v>27.68</v>
      </c>
      <c r="AA65" s="519">
        <v>29.520000000004075</v>
      </c>
      <c r="AB65" s="519">
        <v>27.989999999997963</v>
      </c>
      <c r="AC65" s="732">
        <f t="shared" si="0"/>
        <v>57.510000000002037</v>
      </c>
      <c r="AD65" s="664"/>
      <c r="AE65" s="664"/>
      <c r="AF65" s="664"/>
      <c r="AG65" s="664"/>
      <c r="AH65" s="664"/>
      <c r="AI65" s="664"/>
      <c r="AJ65" s="485"/>
      <c r="AK65" s="485"/>
      <c r="AL65" s="485"/>
      <c r="AM65" s="485"/>
      <c r="AN65" s="485"/>
      <c r="AO65" s="665"/>
      <c r="AP65" s="485"/>
      <c r="AQ65" s="483"/>
      <c r="AR65" s="755">
        <v>0</v>
      </c>
      <c r="AS65" s="483">
        <v>19.3</v>
      </c>
      <c r="AT65" s="755">
        <v>0</v>
      </c>
      <c r="AU65" s="483">
        <v>31</v>
      </c>
      <c r="AV65" s="484">
        <v>577.4</v>
      </c>
      <c r="AW65" s="484">
        <v>470.1</v>
      </c>
      <c r="AX65" s="453">
        <v>0</v>
      </c>
      <c r="AY65" s="734">
        <v>0</v>
      </c>
      <c r="AZ65" s="734">
        <v>0</v>
      </c>
      <c r="BA65" s="734">
        <v>0</v>
      </c>
      <c r="BB65" s="453">
        <v>0</v>
      </c>
      <c r="BC65" s="453">
        <v>1.44</v>
      </c>
      <c r="BD65" s="453">
        <v>2.08</v>
      </c>
      <c r="BE65" s="734">
        <v>0</v>
      </c>
      <c r="BF65" s="453">
        <v>0</v>
      </c>
      <c r="BG65" s="453">
        <v>0</v>
      </c>
      <c r="BH65" s="734">
        <v>0</v>
      </c>
      <c r="BI65" s="453">
        <v>0</v>
      </c>
      <c r="BJ65" s="453">
        <v>24.6</v>
      </c>
      <c r="BK65" s="453">
        <v>2.72</v>
      </c>
      <c r="BL65" s="453">
        <v>3.32</v>
      </c>
      <c r="BM65" s="453">
        <v>0</v>
      </c>
      <c r="BN65" s="453">
        <v>18.399999999999999</v>
      </c>
      <c r="BO65" s="453">
        <v>1124.5999999999999</v>
      </c>
      <c r="BP65" s="453">
        <v>0</v>
      </c>
      <c r="BQ65" s="453">
        <v>18.5</v>
      </c>
      <c r="BR65" s="453">
        <v>18.399999999999999</v>
      </c>
      <c r="BS65" s="453">
        <v>0</v>
      </c>
      <c r="BT65" s="453">
        <v>29.7</v>
      </c>
      <c r="BU65" s="453">
        <v>21.8</v>
      </c>
      <c r="BV65" s="456">
        <v>647.79999999999995</v>
      </c>
      <c r="BW65" s="453">
        <v>1.52</v>
      </c>
      <c r="BX65" s="453">
        <v>1.66</v>
      </c>
      <c r="BY65" s="456">
        <v>1.1100000000000001</v>
      </c>
      <c r="BZ65" s="456">
        <v>14.7</v>
      </c>
      <c r="CA65" s="456">
        <v>37.4</v>
      </c>
      <c r="CB65" s="456">
        <v>12.3</v>
      </c>
      <c r="CC65" s="456">
        <v>8.6999999999999993</v>
      </c>
      <c r="CD65" s="456">
        <v>13</v>
      </c>
      <c r="CE65" s="456">
        <v>17</v>
      </c>
      <c r="CF65" s="456">
        <v>12.7</v>
      </c>
      <c r="CG65" s="456">
        <v>528.4</v>
      </c>
      <c r="CH65" s="456">
        <v>2.2000000000000002</v>
      </c>
      <c r="CI65" s="456">
        <v>3.2</v>
      </c>
      <c r="CJ65" s="456">
        <v>369.4</v>
      </c>
      <c r="CK65" s="456">
        <v>408.3</v>
      </c>
      <c r="CL65" s="456">
        <v>442.9</v>
      </c>
      <c r="CM65" s="456">
        <v>10.199999999999999</v>
      </c>
      <c r="CN65" s="456">
        <v>1.7</v>
      </c>
      <c r="CO65" s="453">
        <v>0</v>
      </c>
      <c r="CP65" s="453">
        <v>16.14</v>
      </c>
      <c r="CQ65" s="453">
        <v>43</v>
      </c>
      <c r="CR65" s="456">
        <v>0</v>
      </c>
      <c r="CS65" s="456">
        <v>0</v>
      </c>
      <c r="CT65" s="456">
        <v>0</v>
      </c>
      <c r="CU65" s="456">
        <v>0</v>
      </c>
      <c r="CV65" s="481">
        <v>935</v>
      </c>
      <c r="CW65" s="481">
        <v>1533.8541666666667</v>
      </c>
      <c r="CX65" s="481">
        <v>862.45833333333337</v>
      </c>
      <c r="CY65" s="481">
        <v>1080.25</v>
      </c>
      <c r="CZ65" s="456"/>
      <c r="DA65" s="456"/>
      <c r="DB65" s="456"/>
      <c r="DC65" s="456"/>
      <c r="DD65" s="456"/>
      <c r="DE65" s="456"/>
      <c r="DF65" s="456"/>
      <c r="DG65" s="425"/>
      <c r="DH65" s="456">
        <v>0</v>
      </c>
      <c r="DI65" s="456">
        <v>0.61</v>
      </c>
      <c r="DJ65" s="456">
        <v>1.17</v>
      </c>
      <c r="DK65" s="425"/>
      <c r="DL65" s="456"/>
      <c r="DM65" s="456"/>
      <c r="DN65" s="456"/>
      <c r="DO65" s="456"/>
      <c r="DP65" s="456"/>
      <c r="DQ65" s="456"/>
      <c r="DR65" s="456"/>
      <c r="DS65" s="456"/>
      <c r="DT65" s="456"/>
      <c r="DU65" s="456"/>
      <c r="DV65" s="456"/>
      <c r="DW65" s="456"/>
      <c r="DX65" s="456"/>
      <c r="DY65" s="456"/>
      <c r="DZ65" s="456"/>
      <c r="EA65" s="456"/>
      <c r="EB65" s="456"/>
      <c r="EC65" s="456"/>
      <c r="ED65" s="423">
        <v>0</v>
      </c>
      <c r="EE65" s="456">
        <v>0</v>
      </c>
      <c r="EF65" s="456">
        <v>3.5</v>
      </c>
      <c r="EG65" s="423">
        <v>6</v>
      </c>
      <c r="EH65" s="423">
        <v>0</v>
      </c>
      <c r="EI65" s="456"/>
      <c r="EJ65" s="456"/>
      <c r="EK65" s="456"/>
      <c r="EL65" s="456"/>
      <c r="EM65" s="456"/>
      <c r="EN65" s="456"/>
      <c r="EO65" s="425"/>
      <c r="EP65" s="425"/>
      <c r="EQ65" s="425" t="s">
        <v>743</v>
      </c>
      <c r="ER65" s="425">
        <v>1</v>
      </c>
      <c r="ES65" s="425">
        <v>4</v>
      </c>
      <c r="ET65" s="425">
        <v>4000</v>
      </c>
      <c r="EU65" s="457">
        <v>440</v>
      </c>
      <c r="EV65" s="425">
        <v>110</v>
      </c>
      <c r="EW65" s="425">
        <v>6661017</v>
      </c>
      <c r="EX65" s="425">
        <v>85784</v>
      </c>
      <c r="EY65" s="666">
        <v>18.899999999999999</v>
      </c>
      <c r="EZ65" s="666">
        <v>18.899999999999999</v>
      </c>
      <c r="FA65" s="666">
        <v>0</v>
      </c>
      <c r="FB65" s="666">
        <v>1.55</v>
      </c>
      <c r="FC65" s="666">
        <v>1.43</v>
      </c>
      <c r="FD65" s="666">
        <v>1.18</v>
      </c>
      <c r="FE65" s="666">
        <v>1.1499999999999999</v>
      </c>
      <c r="FF65" s="666">
        <v>200</v>
      </c>
      <c r="FG65" s="666">
        <v>1.19</v>
      </c>
      <c r="FH65" s="666">
        <v>0.78</v>
      </c>
      <c r="FI65" s="666">
        <v>1.22</v>
      </c>
      <c r="FJ65" s="666">
        <v>8.2200000000000006</v>
      </c>
      <c r="FK65" s="666">
        <v>8.1999999999999993</v>
      </c>
      <c r="FL65" s="666">
        <v>8.15</v>
      </c>
      <c r="FM65" s="666">
        <v>7.6</v>
      </c>
      <c r="FN65" s="666">
        <v>0</v>
      </c>
    </row>
    <row r="66" spans="1:170" s="416" customFormat="1" ht="15">
      <c r="A66" s="425" t="s">
        <v>4</v>
      </c>
      <c r="B66" s="426">
        <v>40595</v>
      </c>
      <c r="C66" s="418">
        <v>0</v>
      </c>
      <c r="D66" s="518">
        <v>0.15</v>
      </c>
      <c r="E66" s="453">
        <v>0</v>
      </c>
      <c r="F66" s="453">
        <v>35</v>
      </c>
      <c r="G66" s="453">
        <v>1.2</v>
      </c>
      <c r="H66" s="519">
        <v>1.3</v>
      </c>
      <c r="I66" s="519">
        <v>95.11</v>
      </c>
      <c r="J66" s="483">
        <v>1.2</v>
      </c>
      <c r="K66" s="520" t="s">
        <v>742</v>
      </c>
      <c r="L66" s="453">
        <v>0</v>
      </c>
      <c r="M66" s="453">
        <v>25.1</v>
      </c>
      <c r="N66" s="453">
        <v>1.5</v>
      </c>
      <c r="O66" s="453">
        <v>2.208303839928365</v>
      </c>
      <c r="P66" s="453" t="s">
        <v>742</v>
      </c>
      <c r="Q66" s="453">
        <v>0</v>
      </c>
      <c r="R66" s="453">
        <v>1079.2510858652574</v>
      </c>
      <c r="S66" s="453">
        <v>7.9</v>
      </c>
      <c r="T66" s="453" t="s">
        <v>742</v>
      </c>
      <c r="U66" s="453">
        <v>0.7</v>
      </c>
      <c r="V66" s="453" t="s">
        <v>742</v>
      </c>
      <c r="W66" s="453">
        <v>39.92</v>
      </c>
      <c r="X66" s="456" t="e">
        <v>#VALUE!</v>
      </c>
      <c r="Y66" s="453">
        <v>29.6</v>
      </c>
      <c r="Z66" s="453">
        <v>28.28</v>
      </c>
      <c r="AA66" s="519">
        <v>29.69999999999709</v>
      </c>
      <c r="AB66" s="519">
        <v>28.139999999999418</v>
      </c>
      <c r="AC66" s="732">
        <f t="shared" si="0"/>
        <v>57.839999999996508</v>
      </c>
      <c r="AD66" s="664"/>
      <c r="AE66" s="664"/>
      <c r="AF66" s="664"/>
      <c r="AG66" s="664"/>
      <c r="AH66" s="664"/>
      <c r="AI66" s="664"/>
      <c r="AJ66" s="485"/>
      <c r="AK66" s="485"/>
      <c r="AL66" s="485"/>
      <c r="AM66" s="485"/>
      <c r="AN66" s="485"/>
      <c r="AO66" s="665"/>
      <c r="AP66" s="485"/>
      <c r="AQ66" s="483"/>
      <c r="AR66" s="755">
        <v>0</v>
      </c>
      <c r="AS66" s="483">
        <v>36.200000000000003</v>
      </c>
      <c r="AT66" s="755">
        <v>0</v>
      </c>
      <c r="AU66" s="483">
        <v>31</v>
      </c>
      <c r="AV66" s="484">
        <v>407.8</v>
      </c>
      <c r="AW66" s="484">
        <v>413.8</v>
      </c>
      <c r="AX66" s="453">
        <v>0</v>
      </c>
      <c r="AY66" s="734">
        <v>0</v>
      </c>
      <c r="AZ66" s="734">
        <v>0</v>
      </c>
      <c r="BA66" s="734">
        <v>0</v>
      </c>
      <c r="BB66" s="453">
        <v>0</v>
      </c>
      <c r="BC66" s="453">
        <v>1.43</v>
      </c>
      <c r="BD66" s="453">
        <v>2.0699999999999998</v>
      </c>
      <c r="BE66" s="734">
        <v>0</v>
      </c>
      <c r="BF66" s="453">
        <v>0</v>
      </c>
      <c r="BG66" s="453">
        <v>0</v>
      </c>
      <c r="BH66" s="734">
        <v>0</v>
      </c>
      <c r="BI66" s="453">
        <v>0</v>
      </c>
      <c r="BJ66" s="453">
        <v>24.7</v>
      </c>
      <c r="BK66" s="453">
        <v>2.76</v>
      </c>
      <c r="BL66" s="453">
        <v>3.32</v>
      </c>
      <c r="BM66" s="453">
        <v>0</v>
      </c>
      <c r="BN66" s="453">
        <v>18.399999999999999</v>
      </c>
      <c r="BO66" s="453">
        <v>1139.5999999999999</v>
      </c>
      <c r="BP66" s="453">
        <v>51</v>
      </c>
      <c r="BQ66" s="453">
        <v>18.670000000000002</v>
      </c>
      <c r="BR66" s="453">
        <v>18.600000000000001</v>
      </c>
      <c r="BS66" s="453">
        <v>0</v>
      </c>
      <c r="BT66" s="453">
        <v>30</v>
      </c>
      <c r="BU66" s="453">
        <v>24.2</v>
      </c>
      <c r="BV66" s="456">
        <v>678.4</v>
      </c>
      <c r="BW66" s="453">
        <v>0.8</v>
      </c>
      <c r="BX66" s="453">
        <v>1.67</v>
      </c>
      <c r="BY66" s="456">
        <v>1.1200000000000001</v>
      </c>
      <c r="BZ66" s="456">
        <v>14.7</v>
      </c>
      <c r="CA66" s="456">
        <v>36.6</v>
      </c>
      <c r="CB66" s="456">
        <v>15.1</v>
      </c>
      <c r="CC66" s="456">
        <v>8.1</v>
      </c>
      <c r="CD66" s="456">
        <v>12.4</v>
      </c>
      <c r="CE66" s="456">
        <v>16.399999999999999</v>
      </c>
      <c r="CF66" s="456">
        <v>12.85</v>
      </c>
      <c r="CG66" s="456">
        <v>542.70000000000005</v>
      </c>
      <c r="CH66" s="456">
        <v>2.2000000000000002</v>
      </c>
      <c r="CI66" s="456">
        <v>3.1</v>
      </c>
      <c r="CJ66" s="456">
        <v>453.7</v>
      </c>
      <c r="CK66" s="456">
        <v>408.6</v>
      </c>
      <c r="CL66" s="456">
        <v>471.6</v>
      </c>
      <c r="CM66" s="456">
        <v>10.7</v>
      </c>
      <c r="CN66" s="456">
        <v>1.56</v>
      </c>
      <c r="CO66" s="453">
        <v>0</v>
      </c>
      <c r="CP66" s="453">
        <v>16.350000000000001</v>
      </c>
      <c r="CQ66" s="453">
        <v>43</v>
      </c>
      <c r="CR66" s="456">
        <v>0</v>
      </c>
      <c r="CS66" s="456">
        <v>0</v>
      </c>
      <c r="CT66" s="456">
        <v>0</v>
      </c>
      <c r="CU66" s="456">
        <v>0</v>
      </c>
      <c r="CV66" s="481">
        <v>932.94117647058829</v>
      </c>
      <c r="CW66" s="481">
        <v>1508.0208333333333</v>
      </c>
      <c r="CX66" s="481">
        <v>857.58333333333337</v>
      </c>
      <c r="CY66" s="481">
        <v>1079.5999999999999</v>
      </c>
      <c r="CZ66" s="456"/>
      <c r="DA66" s="456"/>
      <c r="DB66" s="456"/>
      <c r="DC66" s="456"/>
      <c r="DD66" s="456"/>
      <c r="DE66" s="456"/>
      <c r="DF66" s="456"/>
      <c r="DG66" s="425"/>
      <c r="DH66" s="456">
        <v>0</v>
      </c>
      <c r="DI66" s="456">
        <v>0.73</v>
      </c>
      <c r="DJ66" s="456">
        <v>1.04</v>
      </c>
      <c r="DK66" s="425"/>
      <c r="DL66" s="456"/>
      <c r="DM66" s="456"/>
      <c r="DN66" s="456"/>
      <c r="DO66" s="456"/>
      <c r="DP66" s="456"/>
      <c r="DQ66" s="456"/>
      <c r="DR66" s="456"/>
      <c r="DS66" s="456"/>
      <c r="DT66" s="456"/>
      <c r="DU66" s="456"/>
      <c r="DV66" s="456"/>
      <c r="DW66" s="456"/>
      <c r="DX66" s="456"/>
      <c r="DY66" s="456"/>
      <c r="DZ66" s="456"/>
      <c r="EA66" s="456"/>
      <c r="EB66" s="456"/>
      <c r="EC66" s="456"/>
      <c r="ED66" s="423">
        <v>0</v>
      </c>
      <c r="EE66" s="456">
        <v>0</v>
      </c>
      <c r="EF66" s="456">
        <v>3.5</v>
      </c>
      <c r="EG66" s="423">
        <v>6</v>
      </c>
      <c r="EH66" s="423">
        <v>0</v>
      </c>
      <c r="EI66" s="456"/>
      <c r="EJ66" s="456"/>
      <c r="EK66" s="456"/>
      <c r="EL66" s="456"/>
      <c r="EM66" s="456"/>
      <c r="EN66" s="456"/>
      <c r="EO66" s="425"/>
      <c r="EP66" s="425"/>
      <c r="EQ66" s="425" t="s">
        <v>743</v>
      </c>
      <c r="ER66" s="425">
        <v>1</v>
      </c>
      <c r="ES66" s="425">
        <v>4</v>
      </c>
      <c r="ET66" s="425">
        <v>4000</v>
      </c>
      <c r="EU66" s="457">
        <v>210</v>
      </c>
      <c r="EV66" s="425">
        <v>220</v>
      </c>
      <c r="EW66" s="425">
        <v>6663565</v>
      </c>
      <c r="EX66" s="425">
        <v>86635</v>
      </c>
      <c r="EY66" s="666">
        <v>18.78</v>
      </c>
      <c r="EZ66" s="666">
        <v>18.77</v>
      </c>
      <c r="FA66" s="666">
        <v>0</v>
      </c>
      <c r="FB66" s="666">
        <v>1.54</v>
      </c>
      <c r="FC66" s="666">
        <v>1.45</v>
      </c>
      <c r="FD66" s="666">
        <v>1.1499999999999999</v>
      </c>
      <c r="FE66" s="666">
        <v>1.1200000000000001</v>
      </c>
      <c r="FF66" s="666">
        <v>230</v>
      </c>
      <c r="FG66" s="666">
        <v>0.95</v>
      </c>
      <c r="FH66" s="666">
        <v>0.71</v>
      </c>
      <c r="FI66" s="666">
        <v>1.0900000000000001</v>
      </c>
      <c r="FJ66" s="666">
        <v>8.26</v>
      </c>
      <c r="FK66" s="666">
        <v>8</v>
      </c>
      <c r="FL66" s="666">
        <v>8.14</v>
      </c>
      <c r="FM66" s="666">
        <v>7.9</v>
      </c>
      <c r="FN66" s="666">
        <v>0</v>
      </c>
    </row>
    <row r="67" spans="1:170" s="416" customFormat="1" ht="15">
      <c r="A67" s="425" t="s">
        <v>5</v>
      </c>
      <c r="B67" s="426">
        <v>40596</v>
      </c>
      <c r="C67" s="418">
        <v>0</v>
      </c>
      <c r="D67" s="518">
        <v>0.43</v>
      </c>
      <c r="E67" s="453">
        <v>1</v>
      </c>
      <c r="F67" s="453">
        <v>32</v>
      </c>
      <c r="G67" s="453">
        <v>1.4</v>
      </c>
      <c r="H67" s="519">
        <v>2</v>
      </c>
      <c r="I67" s="519">
        <v>94.78</v>
      </c>
      <c r="J67" s="483">
        <v>2.1</v>
      </c>
      <c r="K67" s="520" t="s">
        <v>742</v>
      </c>
      <c r="L67" s="453">
        <v>0</v>
      </c>
      <c r="M67" s="453">
        <v>24.9</v>
      </c>
      <c r="N67" s="453">
        <v>1.4</v>
      </c>
      <c r="O67" s="453">
        <v>2.2852022018282798</v>
      </c>
      <c r="P67" s="453" t="s">
        <v>742</v>
      </c>
      <c r="Q67" s="453">
        <v>0</v>
      </c>
      <c r="R67" s="453">
        <v>1084.433564068692</v>
      </c>
      <c r="S67" s="453">
        <v>7.9</v>
      </c>
      <c r="T67" s="453" t="s">
        <v>742</v>
      </c>
      <c r="U67" s="453">
        <v>0.7</v>
      </c>
      <c r="V67" s="453" t="s">
        <v>742</v>
      </c>
      <c r="W67" s="453">
        <v>37.039999999999992</v>
      </c>
      <c r="X67" s="456" t="e">
        <v>#VALUE!</v>
      </c>
      <c r="Y67" s="453">
        <v>29.7</v>
      </c>
      <c r="Z67" s="453">
        <v>28</v>
      </c>
      <c r="AA67" s="519">
        <v>29.460000000006403</v>
      </c>
      <c r="AB67" s="519">
        <v>28.840000000003783</v>
      </c>
      <c r="AC67" s="732">
        <f t="shared" si="0"/>
        <v>58.300000000010186</v>
      </c>
      <c r="AD67" s="664"/>
      <c r="AE67" s="664"/>
      <c r="AF67" s="664"/>
      <c r="AG67" s="664"/>
      <c r="AH67" s="664"/>
      <c r="AI67" s="664"/>
      <c r="AJ67" s="485"/>
      <c r="AK67" s="485"/>
      <c r="AL67" s="485"/>
      <c r="AM67" s="485"/>
      <c r="AN67" s="485"/>
      <c r="AO67" s="665"/>
      <c r="AP67" s="485"/>
      <c r="AQ67" s="483"/>
      <c r="AR67" s="755">
        <v>0</v>
      </c>
      <c r="AS67" s="483">
        <v>18.399999999999999</v>
      </c>
      <c r="AT67" s="755">
        <v>0</v>
      </c>
      <c r="AU67" s="483">
        <v>30.9</v>
      </c>
      <c r="AV67" s="484">
        <v>231.2</v>
      </c>
      <c r="AW67" s="484">
        <v>220.6</v>
      </c>
      <c r="AX67" s="453">
        <v>0</v>
      </c>
      <c r="AY67" s="734">
        <v>0</v>
      </c>
      <c r="AZ67" s="734">
        <v>0</v>
      </c>
      <c r="BA67" s="734">
        <v>0</v>
      </c>
      <c r="BB67" s="453">
        <v>0</v>
      </c>
      <c r="BC67" s="453">
        <v>1.44</v>
      </c>
      <c r="BD67" s="453">
        <v>2.08</v>
      </c>
      <c r="BE67" s="734">
        <v>0</v>
      </c>
      <c r="BF67" s="453">
        <v>0</v>
      </c>
      <c r="BG67" s="453">
        <v>0</v>
      </c>
      <c r="BH67" s="734">
        <v>0</v>
      </c>
      <c r="BI67" s="453">
        <v>0</v>
      </c>
      <c r="BJ67" s="453">
        <v>25.5</v>
      </c>
      <c r="BK67" s="453">
        <v>2.93</v>
      </c>
      <c r="BL67" s="453">
        <v>4.13</v>
      </c>
      <c r="BM67" s="453">
        <v>0</v>
      </c>
      <c r="BN67" s="453">
        <v>18.3</v>
      </c>
      <c r="BO67" s="453">
        <v>1520.1</v>
      </c>
      <c r="BP67" s="453">
        <v>0</v>
      </c>
      <c r="BQ67" s="453">
        <v>19</v>
      </c>
      <c r="BR67" s="453">
        <v>18.940000000000001</v>
      </c>
      <c r="BS67" s="453">
        <v>0</v>
      </c>
      <c r="BT67" s="453">
        <v>30.2</v>
      </c>
      <c r="BU67" s="453">
        <v>23.2</v>
      </c>
      <c r="BV67" s="456">
        <v>657.8</v>
      </c>
      <c r="BW67" s="453">
        <v>0.7</v>
      </c>
      <c r="BX67" s="453">
        <v>1.67</v>
      </c>
      <c r="BY67" s="456">
        <v>1.1100000000000001</v>
      </c>
      <c r="BZ67" s="456">
        <v>14.9</v>
      </c>
      <c r="CA67" s="456">
        <v>35.6</v>
      </c>
      <c r="CB67" s="456">
        <v>14.4</v>
      </c>
      <c r="CC67" s="456">
        <v>9.6999999999999993</v>
      </c>
      <c r="CD67" s="456">
        <v>13.85</v>
      </c>
      <c r="CE67" s="456">
        <v>18.27</v>
      </c>
      <c r="CF67" s="456">
        <v>12.99</v>
      </c>
      <c r="CG67" s="456">
        <v>542.70000000000005</v>
      </c>
      <c r="CH67" s="456">
        <v>2.2000000000000002</v>
      </c>
      <c r="CI67" s="456">
        <v>3</v>
      </c>
      <c r="CJ67" s="456">
        <v>406.9</v>
      </c>
      <c r="CK67" s="456">
        <v>372</v>
      </c>
      <c r="CL67" s="456">
        <v>487.5</v>
      </c>
      <c r="CM67" s="456">
        <v>10.5</v>
      </c>
      <c r="CN67" s="456">
        <v>1.6</v>
      </c>
      <c r="CO67" s="453">
        <v>0</v>
      </c>
      <c r="CP67" s="453">
        <v>15.85</v>
      </c>
      <c r="CQ67" s="453">
        <v>43</v>
      </c>
      <c r="CR67" s="456">
        <v>0</v>
      </c>
      <c r="CS67" s="456">
        <v>0</v>
      </c>
      <c r="CT67" s="456">
        <v>0</v>
      </c>
      <c r="CU67" s="456">
        <v>0</v>
      </c>
      <c r="CV67" s="481">
        <v>942.82352941176475</v>
      </c>
      <c r="CW67" s="481">
        <v>1488.6458333333333</v>
      </c>
      <c r="CX67" s="481">
        <v>898.54166666666663</v>
      </c>
      <c r="CY67" s="481">
        <v>1077.8599999999999</v>
      </c>
      <c r="CZ67" s="456"/>
      <c r="DA67" s="456"/>
      <c r="DB67" s="456"/>
      <c r="DC67" s="456"/>
      <c r="DD67" s="456"/>
      <c r="DE67" s="456"/>
      <c r="DF67" s="456"/>
      <c r="DG67" s="425"/>
      <c r="DH67" s="456">
        <v>0</v>
      </c>
      <c r="DI67" s="456">
        <v>0.66</v>
      </c>
      <c r="DJ67" s="456">
        <v>0.91</v>
      </c>
      <c r="DK67" s="425"/>
      <c r="DL67" s="456"/>
      <c r="DM67" s="456"/>
      <c r="DN67" s="456"/>
      <c r="DO67" s="456"/>
      <c r="DP67" s="456"/>
      <c r="DQ67" s="456"/>
      <c r="DR67" s="456"/>
      <c r="DS67" s="456"/>
      <c r="DT67" s="456"/>
      <c r="DU67" s="456"/>
      <c r="DV67" s="456"/>
      <c r="DW67" s="456"/>
      <c r="DX67" s="456"/>
      <c r="DY67" s="456"/>
      <c r="DZ67" s="456"/>
      <c r="EA67" s="456"/>
      <c r="EB67" s="456"/>
      <c r="EC67" s="456"/>
      <c r="ED67" s="423">
        <v>0</v>
      </c>
      <c r="EE67" s="456">
        <v>0</v>
      </c>
      <c r="EF67" s="456">
        <v>3.5</v>
      </c>
      <c r="EG67" s="423">
        <v>6</v>
      </c>
      <c r="EH67" s="423">
        <v>0</v>
      </c>
      <c r="EI67" s="456"/>
      <c r="EJ67" s="456"/>
      <c r="EK67" s="456"/>
      <c r="EL67" s="456"/>
      <c r="EM67" s="456"/>
      <c r="EN67" s="456"/>
      <c r="EO67" s="425"/>
      <c r="EP67" s="425"/>
      <c r="EQ67" s="425" t="s">
        <v>743</v>
      </c>
      <c r="ER67" s="425">
        <v>1</v>
      </c>
      <c r="ES67" s="425">
        <v>4</v>
      </c>
      <c r="ET67" s="425">
        <v>4000</v>
      </c>
      <c r="EU67" s="457">
        <v>30</v>
      </c>
      <c r="EV67" s="425">
        <v>240</v>
      </c>
      <c r="EW67" s="425">
        <v>6665891</v>
      </c>
      <c r="EX67" s="425">
        <v>87485</v>
      </c>
      <c r="EY67" s="666">
        <v>19.100000000000001</v>
      </c>
      <c r="EZ67" s="666">
        <v>19.100000000000001</v>
      </c>
      <c r="FA67" s="666">
        <v>0</v>
      </c>
      <c r="FB67" s="666">
        <v>1.61</v>
      </c>
      <c r="FC67" s="666">
        <v>1.58</v>
      </c>
      <c r="FD67" s="666">
        <v>1.19</v>
      </c>
      <c r="FE67" s="666">
        <v>1.17</v>
      </c>
      <c r="FF67" s="666">
        <v>180</v>
      </c>
      <c r="FG67" s="666">
        <v>1.39</v>
      </c>
      <c r="FH67" s="666">
        <v>0.7</v>
      </c>
      <c r="FI67" s="666">
        <v>1.28</v>
      </c>
      <c r="FJ67" s="666">
        <v>8.42</v>
      </c>
      <c r="FK67" s="666">
        <v>8.4</v>
      </c>
      <c r="FL67" s="666">
        <v>8.18</v>
      </c>
      <c r="FM67" s="666">
        <v>7.7</v>
      </c>
      <c r="FN67" s="666">
        <v>0</v>
      </c>
    </row>
    <row r="68" spans="1:170" s="416" customFormat="1" ht="15">
      <c r="A68" s="425" t="s">
        <v>6</v>
      </c>
      <c r="B68" s="426">
        <v>40597</v>
      </c>
      <c r="C68" s="418">
        <v>0</v>
      </c>
      <c r="D68" s="518">
        <v>0.63</v>
      </c>
      <c r="E68" s="453">
        <v>9</v>
      </c>
      <c r="F68" s="453">
        <v>28</v>
      </c>
      <c r="G68" s="453">
        <v>1</v>
      </c>
      <c r="H68" s="519">
        <v>8.8800000000000008</v>
      </c>
      <c r="I68" s="519">
        <v>95</v>
      </c>
      <c r="J68" s="483">
        <v>2.95</v>
      </c>
      <c r="K68" s="520" t="s">
        <v>742</v>
      </c>
      <c r="L68" s="453">
        <v>9.6099999999987631</v>
      </c>
      <c r="M68" s="453">
        <v>22.7</v>
      </c>
      <c r="N68" s="453">
        <v>1.4</v>
      </c>
      <c r="O68" s="453">
        <v>2.0852357859086412</v>
      </c>
      <c r="P68" s="453" t="s">
        <v>742</v>
      </c>
      <c r="Q68" s="453">
        <v>11.762219286706763</v>
      </c>
      <c r="R68" s="453">
        <v>975.60152179656518</v>
      </c>
      <c r="S68" s="453">
        <v>7.95</v>
      </c>
      <c r="T68" s="453" t="s">
        <v>742</v>
      </c>
      <c r="U68" s="453">
        <v>0.69</v>
      </c>
      <c r="V68" s="453" t="s">
        <v>742</v>
      </c>
      <c r="W68" s="453">
        <v>36.680000000000007</v>
      </c>
      <c r="X68" s="456" t="e">
        <v>#VALUE!</v>
      </c>
      <c r="Y68" s="453">
        <v>29.8</v>
      </c>
      <c r="Z68" s="453">
        <v>24.6</v>
      </c>
      <c r="AA68" s="519">
        <v>29.339999999996508</v>
      </c>
      <c r="AB68" s="519">
        <v>22.969999999993888</v>
      </c>
      <c r="AC68" s="732">
        <f t="shared" si="0"/>
        <v>52.309999999990396</v>
      </c>
      <c r="AD68" s="664"/>
      <c r="AE68" s="664"/>
      <c r="AF68" s="664"/>
      <c r="AG68" s="664"/>
      <c r="AH68" s="664"/>
      <c r="AI68" s="664"/>
      <c r="AJ68" s="485"/>
      <c r="AK68" s="485"/>
      <c r="AL68" s="485"/>
      <c r="AM68" s="485"/>
      <c r="AN68" s="485"/>
      <c r="AO68" s="665"/>
      <c r="AP68" s="485"/>
      <c r="AQ68" s="483"/>
      <c r="AR68" s="755">
        <v>0</v>
      </c>
      <c r="AS68" s="483">
        <v>18.2</v>
      </c>
      <c r="AT68" s="755">
        <v>0</v>
      </c>
      <c r="AU68" s="483">
        <v>31.1</v>
      </c>
      <c r="AV68" s="484">
        <v>325.89999999999998</v>
      </c>
      <c r="AW68" s="484">
        <v>297.39999999999998</v>
      </c>
      <c r="AX68" s="453">
        <v>0</v>
      </c>
      <c r="AY68" s="734">
        <v>0</v>
      </c>
      <c r="AZ68" s="734">
        <v>0</v>
      </c>
      <c r="BA68" s="734">
        <v>0</v>
      </c>
      <c r="BB68" s="453">
        <v>0</v>
      </c>
      <c r="BC68" s="453">
        <v>1.1200000000000001</v>
      </c>
      <c r="BD68" s="453">
        <v>1.63</v>
      </c>
      <c r="BE68" s="734">
        <v>0</v>
      </c>
      <c r="BF68" s="453">
        <v>0</v>
      </c>
      <c r="BG68" s="453">
        <v>0</v>
      </c>
      <c r="BH68" s="734">
        <v>0</v>
      </c>
      <c r="BI68" s="453">
        <v>0</v>
      </c>
      <c r="BJ68" s="453">
        <v>20.5</v>
      </c>
      <c r="BK68" s="453">
        <v>1.97</v>
      </c>
      <c r="BL68" s="453">
        <v>2.41</v>
      </c>
      <c r="BM68" s="453">
        <v>0.09</v>
      </c>
      <c r="BN68" s="453">
        <v>16</v>
      </c>
      <c r="BO68" s="453">
        <v>1166.5999999999999</v>
      </c>
      <c r="BP68" s="453">
        <v>0</v>
      </c>
      <c r="BQ68" s="453">
        <v>18.899999999999999</v>
      </c>
      <c r="BR68" s="453">
        <v>18.8</v>
      </c>
      <c r="BS68" s="453">
        <v>0</v>
      </c>
      <c r="BT68" s="453">
        <v>30.2</v>
      </c>
      <c r="BU68" s="453">
        <v>25.8</v>
      </c>
      <c r="BV68" s="456">
        <v>461</v>
      </c>
      <c r="BW68" s="453">
        <v>0.88</v>
      </c>
      <c r="BX68" s="453">
        <v>1.71</v>
      </c>
      <c r="BY68" s="456">
        <v>1.1299999999999999</v>
      </c>
      <c r="BZ68" s="456">
        <v>15.2</v>
      </c>
      <c r="CA68" s="456">
        <v>34.6</v>
      </c>
      <c r="CB68" s="456">
        <v>13.8</v>
      </c>
      <c r="CC68" s="456">
        <v>9.4</v>
      </c>
      <c r="CD68" s="456">
        <v>13.6</v>
      </c>
      <c r="CE68" s="456">
        <v>17.7</v>
      </c>
      <c r="CF68" s="456">
        <v>13.1</v>
      </c>
      <c r="CG68" s="456">
        <v>555.79999999999995</v>
      </c>
      <c r="CH68" s="456">
        <v>2.7</v>
      </c>
      <c r="CI68" s="456">
        <v>3.9</v>
      </c>
      <c r="CJ68" s="456">
        <v>328.8</v>
      </c>
      <c r="CK68" s="456">
        <v>369.3</v>
      </c>
      <c r="CL68" s="456">
        <v>488.4</v>
      </c>
      <c r="CM68" s="456">
        <v>11</v>
      </c>
      <c r="CN68" s="456">
        <v>1.62</v>
      </c>
      <c r="CO68" s="453">
        <v>0</v>
      </c>
      <c r="CP68" s="453">
        <v>17.29</v>
      </c>
      <c r="CQ68" s="453">
        <v>42</v>
      </c>
      <c r="CR68" s="456">
        <v>0</v>
      </c>
      <c r="CS68" s="456">
        <v>0</v>
      </c>
      <c r="CT68" s="456">
        <v>0</v>
      </c>
      <c r="CU68" s="456">
        <v>0</v>
      </c>
      <c r="CV68" s="481">
        <v>1010.1176470588235</v>
      </c>
      <c r="CW68" s="481">
        <v>1610.2083333333333</v>
      </c>
      <c r="CX68" s="481">
        <v>881.79166666666663</v>
      </c>
      <c r="CY68" s="481">
        <v>1076.1300000000001</v>
      </c>
      <c r="CZ68" s="456"/>
      <c r="DA68" s="456"/>
      <c r="DB68" s="456"/>
      <c r="DC68" s="456"/>
      <c r="DD68" s="456"/>
      <c r="DE68" s="456"/>
      <c r="DF68" s="456"/>
      <c r="DG68" s="425"/>
      <c r="DH68" s="456">
        <v>0</v>
      </c>
      <c r="DI68" s="456">
        <v>0.61</v>
      </c>
      <c r="DJ68" s="456">
        <v>1.32</v>
      </c>
      <c r="DK68" s="425"/>
      <c r="DL68" s="456"/>
      <c r="DM68" s="456"/>
      <c r="DN68" s="456"/>
      <c r="DO68" s="456"/>
      <c r="DP68" s="456"/>
      <c r="DQ68" s="456"/>
      <c r="DR68" s="456"/>
      <c r="DS68" s="456"/>
      <c r="DT68" s="456"/>
      <c r="DU68" s="456"/>
      <c r="DV68" s="456"/>
      <c r="DW68" s="456"/>
      <c r="DX68" s="456"/>
      <c r="DY68" s="456"/>
      <c r="DZ68" s="456"/>
      <c r="EA68" s="456"/>
      <c r="EB68" s="456"/>
      <c r="EC68" s="456"/>
      <c r="ED68" s="423">
        <v>0</v>
      </c>
      <c r="EE68" s="456">
        <v>0</v>
      </c>
      <c r="EF68" s="456">
        <v>3.5</v>
      </c>
      <c r="EG68" s="423">
        <v>6</v>
      </c>
      <c r="EH68" s="423">
        <v>0</v>
      </c>
      <c r="EI68" s="456"/>
      <c r="EJ68" s="456"/>
      <c r="EK68" s="456"/>
      <c r="EL68" s="456"/>
      <c r="EM68" s="456"/>
      <c r="EN68" s="456"/>
      <c r="EO68" s="425"/>
      <c r="EP68" s="425"/>
      <c r="EQ68" s="425" t="s">
        <v>743</v>
      </c>
      <c r="ER68" s="425">
        <v>1</v>
      </c>
      <c r="ES68" s="425">
        <v>2</v>
      </c>
      <c r="ET68" s="425">
        <v>3800</v>
      </c>
      <c r="EU68" s="457">
        <v>0</v>
      </c>
      <c r="EV68" s="425">
        <v>295</v>
      </c>
      <c r="EW68" s="425">
        <v>6668685</v>
      </c>
      <c r="EX68" s="425">
        <v>88422</v>
      </c>
      <c r="EY68" s="666">
        <v>18.96</v>
      </c>
      <c r="EZ68" s="666">
        <v>18.940000000000001</v>
      </c>
      <c r="FA68" s="666">
        <v>0</v>
      </c>
      <c r="FB68" s="666">
        <v>1.44</v>
      </c>
      <c r="FC68" s="666">
        <v>1.33</v>
      </c>
      <c r="FD68" s="666">
        <v>1.196</v>
      </c>
      <c r="FE68" s="666">
        <v>1.18</v>
      </c>
      <c r="FF68" s="666">
        <v>270</v>
      </c>
      <c r="FG68" s="666">
        <v>1.2</v>
      </c>
      <c r="FH68" s="666">
        <v>0.74299999999999999</v>
      </c>
      <c r="FI68" s="666">
        <v>1.41</v>
      </c>
      <c r="FJ68" s="666">
        <v>8.84</v>
      </c>
      <c r="FK68" s="666">
        <v>8.6</v>
      </c>
      <c r="FL68" s="666">
        <v>8.1300000000000008</v>
      </c>
      <c r="FM68" s="666">
        <v>8</v>
      </c>
      <c r="FN68" s="666">
        <v>0</v>
      </c>
    </row>
    <row r="69" spans="1:170" s="416" customFormat="1" ht="15">
      <c r="A69" s="425" t="s">
        <v>7</v>
      </c>
      <c r="B69" s="426">
        <v>40598</v>
      </c>
      <c r="C69" s="418">
        <v>0</v>
      </c>
      <c r="D69" s="518">
        <v>0</v>
      </c>
      <c r="E69" s="453">
        <v>7</v>
      </c>
      <c r="F69" s="453">
        <v>21</v>
      </c>
      <c r="G69" s="453">
        <v>1</v>
      </c>
      <c r="H69" s="519">
        <v>6.84</v>
      </c>
      <c r="I69" s="519">
        <v>0</v>
      </c>
      <c r="J69" s="483">
        <v>2.38</v>
      </c>
      <c r="K69" s="520" t="s">
        <v>742</v>
      </c>
      <c r="L69" s="453">
        <v>3.9800000000013824</v>
      </c>
      <c r="M69" s="453">
        <v>24.4</v>
      </c>
      <c r="N69" s="453">
        <v>1.4</v>
      </c>
      <c r="O69" s="453">
        <v>2.1153116930490112</v>
      </c>
      <c r="P69" s="453" t="s">
        <v>742</v>
      </c>
      <c r="Q69" s="453">
        <v>4.5310435931417681</v>
      </c>
      <c r="R69" s="453">
        <v>927.33969352708039</v>
      </c>
      <c r="S69" s="453">
        <v>7.9</v>
      </c>
      <c r="T69" s="453" t="s">
        <v>742</v>
      </c>
      <c r="U69" s="453">
        <v>0.69</v>
      </c>
      <c r="V69" s="453" t="s">
        <v>742</v>
      </c>
      <c r="W69" s="453">
        <v>36.860000000000014</v>
      </c>
      <c r="X69" s="456" t="e">
        <v>#VALUE!</v>
      </c>
      <c r="Y69" s="453">
        <v>30.03</v>
      </c>
      <c r="Z69" s="453">
        <v>16.079999999999998</v>
      </c>
      <c r="AA69" s="519">
        <v>30.19999999999709</v>
      </c>
      <c r="AB69" s="519">
        <v>21.260000000002037</v>
      </c>
      <c r="AC69" s="732">
        <f t="shared" si="0"/>
        <v>51.459999999999127</v>
      </c>
      <c r="AD69" s="664"/>
      <c r="AE69" s="664"/>
      <c r="AF69" s="664"/>
      <c r="AG69" s="664"/>
      <c r="AH69" s="664"/>
      <c r="AI69" s="664"/>
      <c r="AJ69" s="485"/>
      <c r="AK69" s="485"/>
      <c r="AL69" s="485"/>
      <c r="AM69" s="485"/>
      <c r="AN69" s="485"/>
      <c r="AO69" s="665"/>
      <c r="AP69" s="485"/>
      <c r="AQ69" s="483"/>
      <c r="AR69" s="755">
        <v>0</v>
      </c>
      <c r="AS69" s="483">
        <v>36.5</v>
      </c>
      <c r="AT69" s="755">
        <v>0</v>
      </c>
      <c r="AU69" s="483">
        <v>31.1</v>
      </c>
      <c r="AV69" s="484">
        <v>412.5</v>
      </c>
      <c r="AW69" s="484">
        <v>369.9</v>
      </c>
      <c r="AX69" s="453">
        <v>0</v>
      </c>
      <c r="AY69" s="734">
        <v>0</v>
      </c>
      <c r="AZ69" s="734">
        <v>0</v>
      </c>
      <c r="BA69" s="734">
        <v>0</v>
      </c>
      <c r="BB69" s="453">
        <v>0</v>
      </c>
      <c r="BC69" s="453">
        <v>0.48</v>
      </c>
      <c r="BD69" s="453">
        <v>1.07</v>
      </c>
      <c r="BE69" s="734">
        <v>0</v>
      </c>
      <c r="BF69" s="453">
        <v>0</v>
      </c>
      <c r="BG69" s="453">
        <v>0</v>
      </c>
      <c r="BH69" s="734">
        <v>0</v>
      </c>
      <c r="BI69" s="453">
        <v>0</v>
      </c>
      <c r="BJ69" s="453">
        <v>19.7</v>
      </c>
      <c r="BK69" s="453">
        <v>1.87</v>
      </c>
      <c r="BL69" s="453">
        <v>2.2400000000000002</v>
      </c>
      <c r="BM69" s="453">
        <v>0</v>
      </c>
      <c r="BN69" s="453">
        <v>15.5</v>
      </c>
      <c r="BO69" s="453">
        <v>1017.9</v>
      </c>
      <c r="BP69" s="453">
        <v>0</v>
      </c>
      <c r="BQ69" s="453">
        <v>18.899999999999999</v>
      </c>
      <c r="BR69" s="453">
        <v>18.8</v>
      </c>
      <c r="BS69" s="453">
        <v>0</v>
      </c>
      <c r="BT69" s="453">
        <v>30.3</v>
      </c>
      <c r="BU69" s="453">
        <v>25.2</v>
      </c>
      <c r="BV69" s="456">
        <v>651.29999999999995</v>
      </c>
      <c r="BW69" s="453">
        <v>0.7</v>
      </c>
      <c r="BX69" s="453">
        <v>1.63</v>
      </c>
      <c r="BY69" s="456">
        <v>1.1200000000000001</v>
      </c>
      <c r="BZ69" s="456">
        <v>14.72</v>
      </c>
      <c r="CA69" s="456">
        <v>35</v>
      </c>
      <c r="CB69" s="456">
        <v>13</v>
      </c>
      <c r="CC69" s="456">
        <v>8.3000000000000007</v>
      </c>
      <c r="CD69" s="456">
        <v>12.5</v>
      </c>
      <c r="CE69" s="456">
        <v>16.600000000000001</v>
      </c>
      <c r="CF69" s="456">
        <v>12.99</v>
      </c>
      <c r="CG69" s="456">
        <v>548.79999999999995</v>
      </c>
      <c r="CH69" s="456">
        <v>2.2000000000000002</v>
      </c>
      <c r="CI69" s="456">
        <v>3.6</v>
      </c>
      <c r="CJ69" s="456">
        <v>337.7</v>
      </c>
      <c r="CK69" s="456">
        <v>379</v>
      </c>
      <c r="CL69" s="456">
        <v>468.1</v>
      </c>
      <c r="CM69" s="456">
        <v>10.7</v>
      </c>
      <c r="CN69" s="456">
        <v>1.61</v>
      </c>
      <c r="CO69" s="453">
        <v>0</v>
      </c>
      <c r="CP69" s="453">
        <v>16.68</v>
      </c>
      <c r="CQ69" s="453">
        <v>41</v>
      </c>
      <c r="CR69" s="456">
        <v>0</v>
      </c>
      <c r="CS69" s="456">
        <v>0</v>
      </c>
      <c r="CT69" s="456">
        <v>0</v>
      </c>
      <c r="CU69" s="456">
        <v>0</v>
      </c>
      <c r="CV69" s="481">
        <v>768.35294117647061</v>
      </c>
      <c r="CW69" s="481">
        <v>1334.2708333333333</v>
      </c>
      <c r="CX69" s="481">
        <v>719.02083333333337</v>
      </c>
      <c r="CY69" s="481">
        <v>1075.8499999999999</v>
      </c>
      <c r="CZ69" s="456"/>
      <c r="DA69" s="456"/>
      <c r="DB69" s="456"/>
      <c r="DC69" s="456"/>
      <c r="DD69" s="456"/>
      <c r="DE69" s="456"/>
      <c r="DF69" s="456"/>
      <c r="DG69" s="425"/>
      <c r="DH69" s="456">
        <v>0</v>
      </c>
      <c r="DI69" s="456">
        <v>0.62</v>
      </c>
      <c r="DJ69" s="456">
        <v>1.21</v>
      </c>
      <c r="DK69" s="425"/>
      <c r="DL69" s="456"/>
      <c r="DM69" s="456"/>
      <c r="DN69" s="456"/>
      <c r="DO69" s="456"/>
      <c r="DP69" s="456"/>
      <c r="DQ69" s="456"/>
      <c r="DR69" s="456"/>
      <c r="DS69" s="456"/>
      <c r="DT69" s="456"/>
      <c r="DU69" s="456"/>
      <c r="DV69" s="456"/>
      <c r="DW69" s="456"/>
      <c r="DX69" s="456"/>
      <c r="DY69" s="456"/>
      <c r="DZ69" s="456"/>
      <c r="EA69" s="456"/>
      <c r="EB69" s="456"/>
      <c r="EC69" s="456"/>
      <c r="ED69" s="423">
        <v>0</v>
      </c>
      <c r="EE69" s="456">
        <v>0</v>
      </c>
      <c r="EF69" s="456">
        <v>3.5</v>
      </c>
      <c r="EG69" s="423">
        <v>6</v>
      </c>
      <c r="EH69" s="423">
        <v>0</v>
      </c>
      <c r="EI69" s="456"/>
      <c r="EJ69" s="456"/>
      <c r="EK69" s="456"/>
      <c r="EL69" s="456"/>
      <c r="EM69" s="456"/>
      <c r="EN69" s="456"/>
      <c r="EO69" s="425"/>
      <c r="EP69" s="425"/>
      <c r="EQ69" s="425" t="s">
        <v>743</v>
      </c>
      <c r="ER69" s="425">
        <v>1</v>
      </c>
      <c r="ES69" s="425">
        <v>2</v>
      </c>
      <c r="ET69" s="425">
        <v>3600</v>
      </c>
      <c r="EU69" s="457">
        <v>4000</v>
      </c>
      <c r="EV69" s="425">
        <v>295</v>
      </c>
      <c r="EW69" s="425">
        <v>6671238</v>
      </c>
      <c r="EX69" s="425">
        <v>89229</v>
      </c>
      <c r="EY69" s="666">
        <v>18.53</v>
      </c>
      <c r="EZ69" s="666">
        <v>18.52</v>
      </c>
      <c r="FA69" s="666">
        <v>0</v>
      </c>
      <c r="FB69" s="666">
        <v>1.56</v>
      </c>
      <c r="FC69" s="666">
        <v>1.44</v>
      </c>
      <c r="FD69" s="666">
        <v>1.173</v>
      </c>
      <c r="FE69" s="666">
        <v>1.1299999999999999</v>
      </c>
      <c r="FF69" s="666">
        <v>200</v>
      </c>
      <c r="FG69" s="666">
        <v>1.25</v>
      </c>
      <c r="FH69" s="666">
        <v>0.72099999999999997</v>
      </c>
      <c r="FI69" s="666">
        <v>1.33</v>
      </c>
      <c r="FJ69" s="666">
        <v>8.3800000000000008</v>
      </c>
      <c r="FK69" s="666">
        <v>8.3000000000000007</v>
      </c>
      <c r="FL69" s="666">
        <v>8.07</v>
      </c>
      <c r="FM69" s="666">
        <v>8.1</v>
      </c>
      <c r="FN69" s="666">
        <v>0</v>
      </c>
    </row>
    <row r="70" spans="1:170" s="416" customFormat="1" ht="15">
      <c r="A70" s="425" t="s">
        <v>8</v>
      </c>
      <c r="B70" s="426">
        <v>40599</v>
      </c>
      <c r="C70" s="418">
        <v>0</v>
      </c>
      <c r="D70" s="518">
        <v>0</v>
      </c>
      <c r="E70" s="453">
        <v>5</v>
      </c>
      <c r="F70" s="453">
        <v>17</v>
      </c>
      <c r="G70" s="453">
        <v>0.9</v>
      </c>
      <c r="H70" s="519">
        <v>9.8000000000000007</v>
      </c>
      <c r="I70" s="519">
        <v>0</v>
      </c>
      <c r="J70" s="483">
        <v>2.8</v>
      </c>
      <c r="K70" s="520" t="s">
        <v>742</v>
      </c>
      <c r="L70" s="453">
        <v>14.449999999998909</v>
      </c>
      <c r="M70" s="453">
        <v>21.9</v>
      </c>
      <c r="N70" s="453">
        <v>1.4</v>
      </c>
      <c r="O70" s="453">
        <v>2.0235519072315529</v>
      </c>
      <c r="P70" s="453" t="s">
        <v>742</v>
      </c>
      <c r="Q70" s="453">
        <v>0</v>
      </c>
      <c r="R70" s="453">
        <v>910.82054425363253</v>
      </c>
      <c r="S70" s="453">
        <v>8</v>
      </c>
      <c r="T70" s="453" t="s">
        <v>742</v>
      </c>
      <c r="U70" s="453">
        <v>0.7</v>
      </c>
      <c r="V70" s="453" t="s">
        <v>742</v>
      </c>
      <c r="W70" s="453">
        <v>39.019999999999996</v>
      </c>
      <c r="X70" s="456" t="e">
        <v>#VALUE!</v>
      </c>
      <c r="Y70" s="453">
        <v>29.71</v>
      </c>
      <c r="Z70" s="453">
        <v>23.87</v>
      </c>
      <c r="AA70" s="519">
        <v>29.900000000008731</v>
      </c>
      <c r="AB70" s="519">
        <v>24.200000000004366</v>
      </c>
      <c r="AC70" s="732">
        <f t="shared" si="0"/>
        <v>54.100000000013097</v>
      </c>
      <c r="AD70" s="664"/>
      <c r="AE70" s="664"/>
      <c r="AF70" s="664"/>
      <c r="AG70" s="664"/>
      <c r="AH70" s="664"/>
      <c r="AI70" s="664"/>
      <c r="AJ70" s="485"/>
      <c r="AK70" s="485"/>
      <c r="AL70" s="485"/>
      <c r="AM70" s="485"/>
      <c r="AN70" s="485"/>
      <c r="AO70" s="665"/>
      <c r="AP70" s="485"/>
      <c r="AQ70" s="483"/>
      <c r="AR70" s="755">
        <v>0</v>
      </c>
      <c r="AS70" s="483">
        <v>29</v>
      </c>
      <c r="AT70" s="755">
        <v>0</v>
      </c>
      <c r="AU70" s="483">
        <v>31</v>
      </c>
      <c r="AV70" s="484">
        <v>369.9</v>
      </c>
      <c r="AW70" s="484">
        <v>310.2</v>
      </c>
      <c r="AX70" s="453">
        <v>0</v>
      </c>
      <c r="AY70" s="734">
        <v>0</v>
      </c>
      <c r="AZ70" s="734">
        <v>0</v>
      </c>
      <c r="BA70" s="734">
        <v>0</v>
      </c>
      <c r="BB70" s="453">
        <v>0</v>
      </c>
      <c r="BC70" s="453">
        <v>0.77</v>
      </c>
      <c r="BD70" s="453">
        <v>1.75</v>
      </c>
      <c r="BE70" s="734">
        <v>0</v>
      </c>
      <c r="BF70" s="453">
        <v>0</v>
      </c>
      <c r="BG70" s="453">
        <v>0</v>
      </c>
      <c r="BH70" s="734">
        <v>0</v>
      </c>
      <c r="BI70" s="453">
        <v>0</v>
      </c>
      <c r="BJ70" s="453">
        <v>21.6</v>
      </c>
      <c r="BK70" s="453">
        <v>2.74</v>
      </c>
      <c r="BL70" s="453">
        <v>3.3</v>
      </c>
      <c r="BM70" s="453">
        <v>0</v>
      </c>
      <c r="BN70" s="453">
        <v>15.5</v>
      </c>
      <c r="BO70" s="453">
        <v>1205.2</v>
      </c>
      <c r="BP70" s="453">
        <v>0</v>
      </c>
      <c r="BQ70" s="453">
        <v>18.3</v>
      </c>
      <c r="BR70" s="453">
        <v>18.22</v>
      </c>
      <c r="BS70" s="453">
        <v>0</v>
      </c>
      <c r="BT70" s="453">
        <v>30.1</v>
      </c>
      <c r="BU70" s="453">
        <v>27.5</v>
      </c>
      <c r="BV70" s="456">
        <v>394.1</v>
      </c>
      <c r="BW70" s="453">
        <v>0.7</v>
      </c>
      <c r="BX70" s="453">
        <v>1.69</v>
      </c>
      <c r="BY70" s="456">
        <v>1.1200000000000001</v>
      </c>
      <c r="BZ70" s="456">
        <v>15</v>
      </c>
      <c r="CA70" s="456">
        <v>39.4</v>
      </c>
      <c r="CB70" s="456">
        <v>12.3</v>
      </c>
      <c r="CC70" s="456">
        <v>8.1999999999999993</v>
      </c>
      <c r="CD70" s="456">
        <v>12.4</v>
      </c>
      <c r="CE70" s="456">
        <v>16.7</v>
      </c>
      <c r="CF70" s="456">
        <v>13</v>
      </c>
      <c r="CG70" s="456">
        <v>556.79999999999995</v>
      </c>
      <c r="CH70" s="456">
        <v>2.9</v>
      </c>
      <c r="CI70" s="456">
        <v>4.0999999999999996</v>
      </c>
      <c r="CJ70" s="456">
        <v>319.2</v>
      </c>
      <c r="CK70" s="456">
        <v>380.2</v>
      </c>
      <c r="CL70" s="456">
        <v>474.1</v>
      </c>
      <c r="CM70" s="456">
        <v>11</v>
      </c>
      <c r="CN70" s="456">
        <v>1.66</v>
      </c>
      <c r="CO70" s="453">
        <v>0</v>
      </c>
      <c r="CP70" s="453">
        <v>17.46</v>
      </c>
      <c r="CQ70" s="453">
        <v>41</v>
      </c>
      <c r="CR70" s="456">
        <v>0</v>
      </c>
      <c r="CS70" s="456">
        <v>0</v>
      </c>
      <c r="CT70" s="456">
        <v>0</v>
      </c>
      <c r="CU70" s="456">
        <v>0</v>
      </c>
      <c r="CV70" s="481">
        <v>752.35294117647061</v>
      </c>
      <c r="CW70" s="481">
        <v>1297.7083333333333</v>
      </c>
      <c r="CX70" s="481">
        <v>693.11458333333337</v>
      </c>
      <c r="CY70" s="481">
        <v>1075.04</v>
      </c>
      <c r="CZ70" s="456"/>
      <c r="DA70" s="456"/>
      <c r="DB70" s="456"/>
      <c r="DC70" s="456"/>
      <c r="DD70" s="456"/>
      <c r="DE70" s="456"/>
      <c r="DF70" s="456"/>
      <c r="DG70" s="425"/>
      <c r="DH70" s="456">
        <v>0</v>
      </c>
      <c r="DI70" s="456">
        <v>0.67</v>
      </c>
      <c r="DJ70" s="456">
        <v>1.28</v>
      </c>
      <c r="DK70" s="425"/>
      <c r="DL70" s="456"/>
      <c r="DM70" s="456"/>
      <c r="DN70" s="456"/>
      <c r="DO70" s="456"/>
      <c r="DP70" s="456"/>
      <c r="DQ70" s="456"/>
      <c r="DR70" s="456"/>
      <c r="DS70" s="456"/>
      <c r="DT70" s="456"/>
      <c r="DU70" s="456"/>
      <c r="DV70" s="456"/>
      <c r="DW70" s="456"/>
      <c r="DX70" s="456"/>
      <c r="DY70" s="456"/>
      <c r="DZ70" s="456"/>
      <c r="EA70" s="456"/>
      <c r="EB70" s="456"/>
      <c r="EC70" s="456"/>
      <c r="ED70" s="423">
        <v>0</v>
      </c>
      <c r="EE70" s="456">
        <v>0</v>
      </c>
      <c r="EF70" s="456">
        <v>2.5</v>
      </c>
      <c r="EG70" s="456">
        <v>6</v>
      </c>
      <c r="EH70" s="423">
        <v>0</v>
      </c>
      <c r="EI70" s="456"/>
      <c r="EJ70" s="456"/>
      <c r="EK70" s="456"/>
      <c r="EL70" s="456"/>
      <c r="EM70" s="456"/>
      <c r="EN70" s="456"/>
      <c r="EO70" s="425"/>
      <c r="EP70" s="425"/>
      <c r="EQ70" s="425" t="s">
        <v>743</v>
      </c>
      <c r="ER70" s="425">
        <v>1</v>
      </c>
      <c r="ES70" s="425">
        <v>2</v>
      </c>
      <c r="ET70" s="425">
        <v>3370</v>
      </c>
      <c r="EU70" s="457">
        <v>4000</v>
      </c>
      <c r="EV70" s="425">
        <v>155</v>
      </c>
      <c r="EW70" s="425">
        <v>6673796</v>
      </c>
      <c r="EX70" s="425">
        <v>90037</v>
      </c>
      <c r="EY70" s="666">
        <v>18.100000000000001</v>
      </c>
      <c r="EZ70" s="666">
        <v>18.100000000000001</v>
      </c>
      <c r="FA70" s="666">
        <v>0</v>
      </c>
      <c r="FB70" s="666">
        <v>1.42</v>
      </c>
      <c r="FC70" s="666">
        <v>1.29</v>
      </c>
      <c r="FD70" s="666">
        <v>1.1000000000000001</v>
      </c>
      <c r="FE70" s="666">
        <v>1.07</v>
      </c>
      <c r="FF70" s="666">
        <v>230</v>
      </c>
      <c r="FG70" s="666">
        <v>1.81</v>
      </c>
      <c r="FH70" s="666">
        <v>0.71</v>
      </c>
      <c r="FI70" s="666">
        <v>1.66</v>
      </c>
      <c r="FJ70" s="666">
        <v>8.64</v>
      </c>
      <c r="FK70" s="666">
        <v>8.6</v>
      </c>
      <c r="FL70" s="666">
        <v>8.11</v>
      </c>
      <c r="FM70" s="666">
        <v>7.9</v>
      </c>
      <c r="FN70" s="666">
        <v>0</v>
      </c>
    </row>
    <row r="71" spans="1:170" s="416" customFormat="1" ht="15">
      <c r="A71" s="425" t="s">
        <v>9</v>
      </c>
      <c r="B71" s="426">
        <v>40600</v>
      </c>
      <c r="C71" s="418">
        <v>0</v>
      </c>
      <c r="D71" s="453">
        <v>0.15</v>
      </c>
      <c r="E71" s="453">
        <v>5</v>
      </c>
      <c r="F71" s="453">
        <v>33</v>
      </c>
      <c r="G71" s="453">
        <v>0.7</v>
      </c>
      <c r="H71" s="453">
        <v>16</v>
      </c>
      <c r="I71" s="453">
        <v>94.16</v>
      </c>
      <c r="J71" s="453">
        <v>3.4</v>
      </c>
      <c r="K71" s="453" t="s">
        <v>742</v>
      </c>
      <c r="L71" s="453">
        <v>31.16</v>
      </c>
      <c r="M71" s="453">
        <v>20.9</v>
      </c>
      <c r="N71" s="453">
        <v>1.3</v>
      </c>
      <c r="O71" s="453">
        <v>1.87</v>
      </c>
      <c r="P71" s="453" t="s">
        <v>742</v>
      </c>
      <c r="Q71" s="453">
        <v>0</v>
      </c>
      <c r="R71" s="453">
        <v>787.74</v>
      </c>
      <c r="S71" s="453">
        <v>8</v>
      </c>
      <c r="T71" s="453" t="s">
        <v>742</v>
      </c>
      <c r="U71" s="453">
        <v>0.8</v>
      </c>
      <c r="V71" s="453" t="s">
        <v>742</v>
      </c>
      <c r="W71" s="453">
        <v>41.72</v>
      </c>
      <c r="X71" s="453" t="s">
        <v>742</v>
      </c>
      <c r="Y71" s="453">
        <v>29.7</v>
      </c>
      <c r="Z71" s="453">
        <v>24.4</v>
      </c>
      <c r="AA71" s="453">
        <v>27.3</v>
      </c>
      <c r="AB71" s="453">
        <v>23.6</v>
      </c>
      <c r="AC71" s="732">
        <f t="shared" si="0"/>
        <v>50.900000000000006</v>
      </c>
      <c r="AD71" s="664"/>
      <c r="AE71" s="664"/>
      <c r="AF71" s="664"/>
      <c r="AG71" s="664"/>
      <c r="AH71" s="664"/>
      <c r="AI71" s="664"/>
      <c r="AJ71" s="485"/>
      <c r="AK71" s="485"/>
      <c r="AL71" s="485"/>
      <c r="AM71" s="485"/>
      <c r="AN71" s="485"/>
      <c r="AO71" s="665"/>
      <c r="AP71" s="485"/>
      <c r="AQ71" s="483"/>
      <c r="AR71" s="755">
        <v>0</v>
      </c>
      <c r="AS71" s="483">
        <v>19.7</v>
      </c>
      <c r="AT71" s="755">
        <v>0</v>
      </c>
      <c r="AU71" s="483">
        <v>28.7</v>
      </c>
      <c r="AV71" s="484">
        <v>461.7</v>
      </c>
      <c r="AW71" s="484">
        <v>419.9</v>
      </c>
      <c r="AX71" s="453">
        <v>0</v>
      </c>
      <c r="AY71" s="734">
        <v>0</v>
      </c>
      <c r="AZ71" s="734">
        <v>0</v>
      </c>
      <c r="BA71" s="734">
        <v>0</v>
      </c>
      <c r="BB71" s="453">
        <v>0</v>
      </c>
      <c r="BC71" s="453">
        <v>0.5</v>
      </c>
      <c r="BD71" s="453">
        <v>1.1499999999999999</v>
      </c>
      <c r="BE71" s="734">
        <v>0</v>
      </c>
      <c r="BF71" s="453">
        <v>0</v>
      </c>
      <c r="BG71" s="453">
        <v>0</v>
      </c>
      <c r="BH71" s="734">
        <v>0</v>
      </c>
      <c r="BI71" s="453">
        <v>0</v>
      </c>
      <c r="BJ71" s="453">
        <v>21.6</v>
      </c>
      <c r="BK71" s="453">
        <v>1.73</v>
      </c>
      <c r="BL71" s="453">
        <v>2.0699999999999998</v>
      </c>
      <c r="BM71" s="453">
        <v>0</v>
      </c>
      <c r="BN71" s="453">
        <v>17.7</v>
      </c>
      <c r="BO71" s="453">
        <v>1589</v>
      </c>
      <c r="BP71" s="453">
        <v>0</v>
      </c>
      <c r="BQ71" s="453">
        <v>17.5</v>
      </c>
      <c r="BR71" s="453">
        <v>17.5</v>
      </c>
      <c r="BS71" s="453">
        <v>0</v>
      </c>
      <c r="BT71" s="453">
        <v>27.9</v>
      </c>
      <c r="BU71" s="453">
        <v>26.6</v>
      </c>
      <c r="BV71" s="456">
        <v>473.9</v>
      </c>
      <c r="BW71" s="453">
        <v>0.7</v>
      </c>
      <c r="BX71" s="453">
        <v>1.58</v>
      </c>
      <c r="BY71" s="456">
        <v>1.1299999999999999</v>
      </c>
      <c r="BZ71" s="456">
        <v>15</v>
      </c>
      <c r="CA71" s="456">
        <v>36.299999999999997</v>
      </c>
      <c r="CB71" s="456">
        <v>14.5</v>
      </c>
      <c r="CC71" s="456">
        <v>9.6</v>
      </c>
      <c r="CD71" s="456">
        <v>13.9</v>
      </c>
      <c r="CE71" s="456">
        <v>17.899999999999999</v>
      </c>
      <c r="CF71" s="456">
        <v>13</v>
      </c>
      <c r="CG71" s="456">
        <v>558.70000000000005</v>
      </c>
      <c r="CH71" s="456">
        <v>2.8</v>
      </c>
      <c r="CI71" s="456">
        <v>4.2</v>
      </c>
      <c r="CJ71" s="456">
        <v>390.1</v>
      </c>
      <c r="CK71" s="456">
        <v>412.6</v>
      </c>
      <c r="CL71" s="456">
        <v>462.3</v>
      </c>
      <c r="CM71" s="456">
        <v>11.1</v>
      </c>
      <c r="CN71" s="456">
        <v>1.59</v>
      </c>
      <c r="CO71" s="453">
        <v>0</v>
      </c>
      <c r="CP71" s="453">
        <v>17.82</v>
      </c>
      <c r="CQ71" s="453">
        <v>41</v>
      </c>
      <c r="CR71" s="456">
        <v>0</v>
      </c>
      <c r="CS71" s="456">
        <v>0</v>
      </c>
      <c r="CT71" s="456">
        <v>0</v>
      </c>
      <c r="CU71" s="456">
        <v>0</v>
      </c>
      <c r="CV71" s="481">
        <v>616.52941176470586</v>
      </c>
      <c r="CW71" s="481">
        <v>1195</v>
      </c>
      <c r="CX71" s="481">
        <v>602.82291666666663</v>
      </c>
      <c r="CY71" s="481">
        <v>1075.79</v>
      </c>
      <c r="CZ71" s="456"/>
      <c r="DA71" s="456"/>
      <c r="DB71" s="456"/>
      <c r="DC71" s="456"/>
      <c r="DD71" s="456"/>
      <c r="DE71" s="456"/>
      <c r="DF71" s="456"/>
      <c r="DG71" s="425"/>
      <c r="DH71" s="456">
        <v>0</v>
      </c>
      <c r="DI71" s="456">
        <v>0.73</v>
      </c>
      <c r="DJ71" s="456">
        <v>1.27</v>
      </c>
      <c r="DK71" s="425"/>
      <c r="DL71" s="456"/>
      <c r="DM71" s="456"/>
      <c r="DN71" s="456"/>
      <c r="DO71" s="456"/>
      <c r="DP71" s="456"/>
      <c r="DQ71" s="456"/>
      <c r="DR71" s="456"/>
      <c r="DS71" s="456"/>
      <c r="DT71" s="456"/>
      <c r="DU71" s="456"/>
      <c r="DV71" s="456"/>
      <c r="DW71" s="456"/>
      <c r="DX71" s="456"/>
      <c r="DY71" s="456"/>
      <c r="DZ71" s="456"/>
      <c r="EA71" s="456"/>
      <c r="EB71" s="456"/>
      <c r="EC71" s="456"/>
      <c r="ED71" s="423">
        <v>0</v>
      </c>
      <c r="EE71" s="456">
        <v>0</v>
      </c>
      <c r="EF71" s="456">
        <v>2.5</v>
      </c>
      <c r="EG71" s="456">
        <v>6</v>
      </c>
      <c r="EH71" s="423">
        <v>0</v>
      </c>
      <c r="EI71" s="456"/>
      <c r="EJ71" s="456"/>
      <c r="EK71" s="456"/>
      <c r="EL71" s="456"/>
      <c r="EM71" s="456"/>
      <c r="EN71" s="456"/>
      <c r="EO71" s="425"/>
      <c r="EP71" s="425"/>
      <c r="EQ71" s="425" t="s">
        <v>743</v>
      </c>
      <c r="ER71" s="425">
        <v>1</v>
      </c>
      <c r="ES71" s="425">
        <v>2</v>
      </c>
      <c r="ET71" s="425">
        <v>3170</v>
      </c>
      <c r="EU71" s="457">
        <v>4000</v>
      </c>
      <c r="EV71" s="425">
        <v>290</v>
      </c>
      <c r="EW71" s="425">
        <v>6676250</v>
      </c>
      <c r="EX71" s="425">
        <v>90930</v>
      </c>
      <c r="EY71" s="666">
        <v>17.47</v>
      </c>
      <c r="EZ71" s="666">
        <v>17.46</v>
      </c>
      <c r="FA71" s="666">
        <v>0</v>
      </c>
      <c r="FB71" s="666">
        <v>1.42</v>
      </c>
      <c r="FC71" s="666">
        <v>1.27</v>
      </c>
      <c r="FD71" s="666">
        <v>1.1459999999999999</v>
      </c>
      <c r="FE71" s="666">
        <v>1.1499999999999999</v>
      </c>
      <c r="FF71" s="666">
        <v>200</v>
      </c>
      <c r="FG71" s="666">
        <v>1.35</v>
      </c>
      <c r="FH71" s="666">
        <v>0.74099999999999999</v>
      </c>
      <c r="FI71" s="666">
        <v>1.43</v>
      </c>
      <c r="FJ71" s="666">
        <v>9.0299999999999994</v>
      </c>
      <c r="FK71" s="666">
        <v>9.3000000000000007</v>
      </c>
      <c r="FL71" s="666">
        <v>8.2100000000000009</v>
      </c>
      <c r="FM71" s="666">
        <v>8.1999999999999993</v>
      </c>
      <c r="FN71" s="666">
        <v>0</v>
      </c>
    </row>
    <row r="72" spans="1:170" s="416" customFormat="1" ht="15">
      <c r="A72" s="425" t="s">
        <v>3</v>
      </c>
      <c r="B72" s="426">
        <v>40601</v>
      </c>
      <c r="C72" s="418">
        <v>0</v>
      </c>
      <c r="D72" s="453">
        <v>0.66</v>
      </c>
      <c r="E72" s="453">
        <v>3</v>
      </c>
      <c r="F72" s="453">
        <v>36</v>
      </c>
      <c r="G72" s="453">
        <v>1.1000000000000001</v>
      </c>
      <c r="H72" s="453">
        <v>5</v>
      </c>
      <c r="I72" s="453">
        <v>96.2</v>
      </c>
      <c r="J72" s="453">
        <v>4.4000000000000004</v>
      </c>
      <c r="K72" s="453" t="s">
        <v>742</v>
      </c>
      <c r="L72" s="453">
        <v>3.33</v>
      </c>
      <c r="M72" s="453">
        <v>23.7</v>
      </c>
      <c r="N72" s="453">
        <v>1.4</v>
      </c>
      <c r="O72" s="453">
        <v>2.11</v>
      </c>
      <c r="P72" s="453" t="s">
        <v>742</v>
      </c>
      <c r="Q72" s="453">
        <v>0</v>
      </c>
      <c r="R72" s="453">
        <v>758.91</v>
      </c>
      <c r="S72" s="453">
        <v>8</v>
      </c>
      <c r="T72" s="453" t="s">
        <v>742</v>
      </c>
      <c r="U72" s="453">
        <v>0.6</v>
      </c>
      <c r="V72" s="453" t="s">
        <v>742</v>
      </c>
      <c r="W72" s="453">
        <v>39.74</v>
      </c>
      <c r="X72" s="453" t="s">
        <v>742</v>
      </c>
      <c r="Y72" s="453">
        <v>21.4</v>
      </c>
      <c r="Z72" s="453">
        <v>21.3</v>
      </c>
      <c r="AA72" s="453">
        <v>22.3</v>
      </c>
      <c r="AB72" s="453">
        <v>20.9</v>
      </c>
      <c r="AC72" s="732">
        <f t="shared" si="0"/>
        <v>43.2</v>
      </c>
      <c r="AD72" s="664"/>
      <c r="AE72" s="664"/>
      <c r="AF72" s="664"/>
      <c r="AG72" s="664"/>
      <c r="AH72" s="664"/>
      <c r="AI72" s="664"/>
      <c r="AJ72" s="485"/>
      <c r="AK72" s="485"/>
      <c r="AL72" s="485"/>
      <c r="AM72" s="485"/>
      <c r="AN72" s="485"/>
      <c r="AO72" s="665"/>
      <c r="AP72" s="485"/>
      <c r="AQ72" s="483"/>
      <c r="AR72" s="755">
        <v>0</v>
      </c>
      <c r="AS72" s="483">
        <v>36</v>
      </c>
      <c r="AT72" s="755">
        <v>0</v>
      </c>
      <c r="AU72" s="483">
        <v>23</v>
      </c>
      <c r="AV72" s="484">
        <v>592.29999999999995</v>
      </c>
      <c r="AW72" s="484">
        <v>542</v>
      </c>
      <c r="AX72" s="453">
        <v>0</v>
      </c>
      <c r="AY72" s="734">
        <v>0</v>
      </c>
      <c r="AZ72" s="734">
        <v>0</v>
      </c>
      <c r="BA72" s="734">
        <v>0</v>
      </c>
      <c r="BB72" s="453">
        <v>0</v>
      </c>
      <c r="BC72" s="453">
        <v>0</v>
      </c>
      <c r="BD72" s="453">
        <v>0</v>
      </c>
      <c r="BE72" s="734">
        <v>0</v>
      </c>
      <c r="BF72" s="453">
        <v>0</v>
      </c>
      <c r="BG72" s="453">
        <v>0</v>
      </c>
      <c r="BH72" s="734">
        <v>0</v>
      </c>
      <c r="BI72" s="453">
        <v>0</v>
      </c>
      <c r="BJ72" s="453">
        <v>21.4</v>
      </c>
      <c r="BK72" s="453">
        <v>0</v>
      </c>
      <c r="BL72" s="453">
        <v>0</v>
      </c>
      <c r="BM72" s="453">
        <v>0</v>
      </c>
      <c r="BN72" s="453">
        <v>21.2</v>
      </c>
      <c r="BO72" s="453">
        <v>1162.4000000000001</v>
      </c>
      <c r="BP72" s="453">
        <v>0</v>
      </c>
      <c r="BQ72" s="453">
        <v>16.7</v>
      </c>
      <c r="BR72" s="453">
        <v>16.600000000000001</v>
      </c>
      <c r="BS72" s="453">
        <v>0</v>
      </c>
      <c r="BT72" s="453">
        <v>22</v>
      </c>
      <c r="BU72" s="453">
        <v>21.5</v>
      </c>
      <c r="BV72" s="456">
        <v>447.9</v>
      </c>
      <c r="BW72" s="453">
        <v>0.7</v>
      </c>
      <c r="BX72" s="453">
        <v>1.58</v>
      </c>
      <c r="BY72" s="456">
        <v>1.1200000000000001</v>
      </c>
      <c r="BZ72" s="456">
        <v>14.8</v>
      </c>
      <c r="CA72" s="456">
        <v>38</v>
      </c>
      <c r="CB72" s="456">
        <v>13.6</v>
      </c>
      <c r="CC72" s="456">
        <v>8.2799999999999994</v>
      </c>
      <c r="CD72" s="456">
        <v>12.5</v>
      </c>
      <c r="CE72" s="456">
        <v>16.600000000000001</v>
      </c>
      <c r="CF72" s="456">
        <v>13</v>
      </c>
      <c r="CG72" s="456">
        <v>565.5</v>
      </c>
      <c r="CH72" s="456">
        <v>2.4</v>
      </c>
      <c r="CI72" s="456">
        <v>3.4</v>
      </c>
      <c r="CJ72" s="456">
        <v>401.8</v>
      </c>
      <c r="CK72" s="456">
        <v>435.3</v>
      </c>
      <c r="CL72" s="456">
        <v>481.7</v>
      </c>
      <c r="CM72" s="456">
        <v>11.5</v>
      </c>
      <c r="CN72" s="456">
        <v>1.57</v>
      </c>
      <c r="CO72" s="453">
        <v>0</v>
      </c>
      <c r="CP72" s="453">
        <v>17.309999999999999</v>
      </c>
      <c r="CQ72" s="453">
        <v>42</v>
      </c>
      <c r="CR72" s="456">
        <v>0</v>
      </c>
      <c r="CS72" s="456">
        <v>0</v>
      </c>
      <c r="CT72" s="456">
        <v>0</v>
      </c>
      <c r="CU72" s="456">
        <v>0</v>
      </c>
      <c r="CV72" s="481">
        <v>685.58823529411768</v>
      </c>
      <c r="CW72" s="481">
        <v>1152.6041666666667</v>
      </c>
      <c r="CX72" s="481">
        <v>679.14583333333337</v>
      </c>
      <c r="CY72" s="481">
        <v>1074.97</v>
      </c>
      <c r="CZ72" s="456"/>
      <c r="DA72" s="456"/>
      <c r="DB72" s="456"/>
      <c r="DC72" s="456"/>
      <c r="DD72" s="456"/>
      <c r="DE72" s="456"/>
      <c r="DF72" s="456"/>
      <c r="DG72" s="425"/>
      <c r="DH72" s="456">
        <v>0</v>
      </c>
      <c r="DI72" s="456">
        <v>0.64</v>
      </c>
      <c r="DJ72" s="456">
        <v>1.28</v>
      </c>
      <c r="DK72" s="425"/>
      <c r="DL72" s="456"/>
      <c r="DM72" s="456"/>
      <c r="DN72" s="456"/>
      <c r="DO72" s="456"/>
      <c r="DP72" s="456"/>
      <c r="DQ72" s="456"/>
      <c r="DR72" s="456"/>
      <c r="DS72" s="456"/>
      <c r="DT72" s="456"/>
      <c r="DU72" s="456"/>
      <c r="DV72" s="456"/>
      <c r="DW72" s="456"/>
      <c r="DX72" s="456"/>
      <c r="DY72" s="456"/>
      <c r="DZ72" s="456"/>
      <c r="EA72" s="456"/>
      <c r="EB72" s="456"/>
      <c r="EC72" s="456"/>
      <c r="ED72" s="423">
        <v>0</v>
      </c>
      <c r="EE72" s="456">
        <v>0</v>
      </c>
      <c r="EF72" s="456">
        <v>2.5</v>
      </c>
      <c r="EG72" s="456">
        <v>6</v>
      </c>
      <c r="EH72" s="423">
        <v>0</v>
      </c>
      <c r="EI72" s="456"/>
      <c r="EJ72" s="456"/>
      <c r="EK72" s="456"/>
      <c r="EL72" s="456"/>
      <c r="EM72" s="456"/>
      <c r="EN72" s="456"/>
      <c r="EO72" s="425"/>
      <c r="EP72" s="425"/>
      <c r="EQ72" s="425" t="s">
        <v>743</v>
      </c>
      <c r="ER72" s="425">
        <v>1</v>
      </c>
      <c r="ES72" s="425">
        <v>2</v>
      </c>
      <c r="ET72" s="425">
        <v>3000</v>
      </c>
      <c r="EU72" s="457">
        <v>4000</v>
      </c>
      <c r="EV72" s="425">
        <v>210</v>
      </c>
      <c r="EW72" s="425">
        <v>6678465</v>
      </c>
      <c r="EX72" s="425">
        <v>91692</v>
      </c>
      <c r="EY72" s="666">
        <v>16.79</v>
      </c>
      <c r="EZ72" s="666">
        <v>16.79</v>
      </c>
      <c r="FA72" s="666">
        <v>0</v>
      </c>
      <c r="FB72" s="666">
        <v>1.54</v>
      </c>
      <c r="FC72" s="666">
        <v>1.42</v>
      </c>
      <c r="FD72" s="666">
        <v>1.17</v>
      </c>
      <c r="FE72" s="666">
        <v>1.0900000000000001</v>
      </c>
      <c r="FF72" s="666">
        <v>170</v>
      </c>
      <c r="FG72" s="666">
        <v>1.73</v>
      </c>
      <c r="FH72" s="666">
        <v>0.73899999999999999</v>
      </c>
      <c r="FI72" s="666">
        <v>1.96</v>
      </c>
      <c r="FJ72" s="666">
        <v>8.7799999999999994</v>
      </c>
      <c r="FK72" s="666">
        <v>9.1</v>
      </c>
      <c r="FL72" s="666">
        <v>8.24</v>
      </c>
      <c r="FM72" s="666">
        <v>8.4</v>
      </c>
      <c r="FN72" s="666">
        <v>0</v>
      </c>
    </row>
    <row r="73" spans="1:170" s="416" customFormat="1" ht="15">
      <c r="A73" s="425" t="s">
        <v>4</v>
      </c>
      <c r="B73" s="426">
        <v>40602</v>
      </c>
      <c r="C73" s="418">
        <v>0</v>
      </c>
      <c r="D73" s="518">
        <v>1.25</v>
      </c>
      <c r="E73" s="453">
        <v>3</v>
      </c>
      <c r="F73" s="453">
        <v>32</v>
      </c>
      <c r="G73" s="453">
        <v>0.9</v>
      </c>
      <c r="H73" s="519">
        <v>30</v>
      </c>
      <c r="I73" s="519">
        <v>91.8</v>
      </c>
      <c r="J73" s="483">
        <v>2.76</v>
      </c>
      <c r="K73" s="520" t="s">
        <v>742</v>
      </c>
      <c r="L73" s="453">
        <v>37.649999999999636</v>
      </c>
      <c r="M73" s="453">
        <v>19.899999999999999</v>
      </c>
      <c r="N73" s="453">
        <v>1.39</v>
      </c>
      <c r="O73" s="453">
        <v>1.9601504344612279</v>
      </c>
      <c r="P73" s="453" t="s">
        <v>742</v>
      </c>
      <c r="Q73" s="453">
        <v>18.318361955130293</v>
      </c>
      <c r="R73" s="453">
        <v>890.73844121532341</v>
      </c>
      <c r="S73" s="453">
        <v>7.87</v>
      </c>
      <c r="T73" s="453" t="s">
        <v>742</v>
      </c>
      <c r="U73" s="453">
        <v>0</v>
      </c>
      <c r="V73" s="453" t="s">
        <v>742</v>
      </c>
      <c r="W73" s="453">
        <v>43.34</v>
      </c>
      <c r="X73" s="456" t="e">
        <v>#VALUE!</v>
      </c>
      <c r="Y73" s="453">
        <v>26.3</v>
      </c>
      <c r="Z73" s="453">
        <v>21.4</v>
      </c>
      <c r="AA73" s="519">
        <v>27.320000000006985</v>
      </c>
      <c r="AB73" s="519">
        <v>21.69999999999709</v>
      </c>
      <c r="AC73" s="732">
        <f t="shared" ref="AC73:AC136" si="1">SUM(AA73:AB73)</f>
        <v>49.020000000004075</v>
      </c>
      <c r="AD73" s="664"/>
      <c r="AE73" s="664"/>
      <c r="AF73" s="664"/>
      <c r="AG73" s="664"/>
      <c r="AH73" s="664"/>
      <c r="AI73" s="664"/>
      <c r="AJ73" s="485"/>
      <c r="AK73" s="485"/>
      <c r="AL73" s="485"/>
      <c r="AM73" s="485"/>
      <c r="AN73" s="485"/>
      <c r="AO73" s="665"/>
      <c r="AP73" s="485"/>
      <c r="AQ73" s="483"/>
      <c r="AR73" s="755">
        <v>0</v>
      </c>
      <c r="AS73" s="483">
        <v>18.899999999999999</v>
      </c>
      <c r="AT73" s="755">
        <v>0</v>
      </c>
      <c r="AU73" s="483">
        <v>28.2</v>
      </c>
      <c r="AV73" s="484">
        <v>506.8</v>
      </c>
      <c r="AW73" s="484">
        <v>465</v>
      </c>
      <c r="AX73" s="453">
        <v>0</v>
      </c>
      <c r="AY73" s="734">
        <v>0</v>
      </c>
      <c r="AZ73" s="734">
        <v>0</v>
      </c>
      <c r="BA73" s="734">
        <v>0</v>
      </c>
      <c r="BB73" s="453">
        <v>0</v>
      </c>
      <c r="BC73" s="453">
        <v>0</v>
      </c>
      <c r="BD73" s="453">
        <v>0</v>
      </c>
      <c r="BE73" s="734">
        <v>0</v>
      </c>
      <c r="BF73" s="453">
        <v>0</v>
      </c>
      <c r="BG73" s="453">
        <v>0</v>
      </c>
      <c r="BH73" s="734">
        <v>0</v>
      </c>
      <c r="BI73" s="453">
        <v>0</v>
      </c>
      <c r="BJ73" s="453">
        <v>21.9</v>
      </c>
      <c r="BK73" s="453">
        <v>0</v>
      </c>
      <c r="BL73" s="453">
        <v>0</v>
      </c>
      <c r="BM73" s="453">
        <v>0</v>
      </c>
      <c r="BN73" s="453">
        <v>21.7</v>
      </c>
      <c r="BO73" s="453">
        <v>1508.6</v>
      </c>
      <c r="BP73" s="453">
        <v>0</v>
      </c>
      <c r="BQ73" s="453">
        <v>17</v>
      </c>
      <c r="BR73" s="453">
        <v>16.95</v>
      </c>
      <c r="BS73" s="453">
        <v>0</v>
      </c>
      <c r="BT73" s="453">
        <v>37.799999999999997</v>
      </c>
      <c r="BU73" s="453">
        <v>21.2</v>
      </c>
      <c r="BV73" s="456">
        <v>600.4</v>
      </c>
      <c r="BW73" s="453">
        <v>0.7</v>
      </c>
      <c r="BX73" s="453">
        <v>1.6</v>
      </c>
      <c r="BY73" s="456">
        <v>1.1399999999999999</v>
      </c>
      <c r="BZ73" s="456">
        <v>14.97</v>
      </c>
      <c r="CA73" s="456">
        <v>38.799999999999997</v>
      </c>
      <c r="CB73" s="456">
        <v>13.29</v>
      </c>
      <c r="CC73" s="456">
        <v>8.89</v>
      </c>
      <c r="CD73" s="456">
        <v>13.12</v>
      </c>
      <c r="CE73" s="456">
        <v>17.25</v>
      </c>
      <c r="CF73" s="456">
        <v>13.16</v>
      </c>
      <c r="CG73" s="456">
        <v>556.79999999999995</v>
      </c>
      <c r="CH73" s="456">
        <v>2.4</v>
      </c>
      <c r="CI73" s="456">
        <v>3.2</v>
      </c>
      <c r="CJ73" s="456">
        <v>348.3</v>
      </c>
      <c r="CK73" s="456">
        <v>396</v>
      </c>
      <c r="CL73" s="456">
        <v>503.9</v>
      </c>
      <c r="CM73" s="456">
        <v>11.3</v>
      </c>
      <c r="CN73" s="456">
        <v>1.57</v>
      </c>
      <c r="CO73" s="453">
        <v>0</v>
      </c>
      <c r="CP73" s="453">
        <v>16.38</v>
      </c>
      <c r="CQ73" s="453">
        <v>41</v>
      </c>
      <c r="CR73" s="456">
        <v>0</v>
      </c>
      <c r="CS73" s="456">
        <v>0</v>
      </c>
      <c r="CT73" s="456">
        <v>0</v>
      </c>
      <c r="CU73" s="456">
        <v>0</v>
      </c>
      <c r="CV73" s="481">
        <v>763.11764705882354</v>
      </c>
      <c r="CW73" s="481">
        <v>1605</v>
      </c>
      <c r="CX73" s="481">
        <v>753.375</v>
      </c>
      <c r="CY73" s="481">
        <v>1074.53</v>
      </c>
      <c r="CZ73" s="456"/>
      <c r="DA73" s="456"/>
      <c r="DB73" s="456"/>
      <c r="DC73" s="456"/>
      <c r="DD73" s="456"/>
      <c r="DE73" s="456"/>
      <c r="DF73" s="456"/>
      <c r="DG73" s="425"/>
      <c r="DH73" s="456">
        <v>0</v>
      </c>
      <c r="DI73" s="456">
        <v>0.66</v>
      </c>
      <c r="DJ73" s="456">
        <v>1.28</v>
      </c>
      <c r="DK73" s="425"/>
      <c r="DL73" s="456"/>
      <c r="DM73" s="456"/>
      <c r="DN73" s="456"/>
      <c r="DO73" s="456"/>
      <c r="DP73" s="456"/>
      <c r="DQ73" s="456"/>
      <c r="DR73" s="456"/>
      <c r="DS73" s="456"/>
      <c r="DT73" s="456"/>
      <c r="DU73" s="456"/>
      <c r="DV73" s="456"/>
      <c r="DW73" s="456"/>
      <c r="DX73" s="456"/>
      <c r="DY73" s="456"/>
      <c r="DZ73" s="456"/>
      <c r="EA73" s="456"/>
      <c r="EB73" s="456"/>
      <c r="EC73" s="456"/>
      <c r="ED73" s="423">
        <v>0</v>
      </c>
      <c r="EE73" s="456">
        <v>0</v>
      </c>
      <c r="EF73" s="456">
        <v>2.5</v>
      </c>
      <c r="EG73" s="456">
        <v>6</v>
      </c>
      <c r="EH73" s="423">
        <v>0</v>
      </c>
      <c r="EI73" s="456"/>
      <c r="EJ73" s="456"/>
      <c r="EK73" s="456"/>
      <c r="EL73" s="456"/>
      <c r="EM73" s="456"/>
      <c r="EN73" s="456"/>
      <c r="EO73" s="425"/>
      <c r="EP73" s="425"/>
      <c r="EQ73" s="425" t="s">
        <v>743</v>
      </c>
      <c r="ER73" s="425">
        <v>1</v>
      </c>
      <c r="ES73" s="425">
        <v>2</v>
      </c>
      <c r="ET73" s="425">
        <v>2850</v>
      </c>
      <c r="EU73" s="457">
        <v>4000</v>
      </c>
      <c r="EV73" s="425">
        <v>190</v>
      </c>
      <c r="EW73" s="425">
        <v>6680449</v>
      </c>
      <c r="EX73" s="457">
        <v>92460</v>
      </c>
      <c r="EY73" s="666">
        <v>17.5</v>
      </c>
      <c r="EZ73" s="666">
        <v>17.399999999999999</v>
      </c>
      <c r="FA73" s="666">
        <v>0</v>
      </c>
      <c r="FB73" s="666">
        <v>1.58</v>
      </c>
      <c r="FC73" s="666">
        <v>1.52</v>
      </c>
      <c r="FD73" s="666">
        <v>1.2</v>
      </c>
      <c r="FE73" s="666">
        <v>1.22</v>
      </c>
      <c r="FF73" s="666">
        <v>150</v>
      </c>
      <c r="FG73" s="666">
        <v>0.9</v>
      </c>
      <c r="FH73" s="666">
        <v>0.68</v>
      </c>
      <c r="FI73" s="666">
        <v>1.02</v>
      </c>
      <c r="FJ73" s="666">
        <v>8.34</v>
      </c>
      <c r="FK73" s="666">
        <v>8.1999999999999993</v>
      </c>
      <c r="FL73" s="666">
        <v>8.33</v>
      </c>
      <c r="FM73" s="666">
        <v>7.7</v>
      </c>
      <c r="FN73" s="666">
        <v>0</v>
      </c>
    </row>
    <row r="74" spans="1:170" s="416" customFormat="1" ht="15">
      <c r="A74" s="425" t="s">
        <v>5</v>
      </c>
      <c r="B74" s="426">
        <v>40603</v>
      </c>
      <c r="C74" s="418">
        <v>0</v>
      </c>
      <c r="D74" s="518">
        <v>0.41</v>
      </c>
      <c r="E74" s="453">
        <v>3</v>
      </c>
      <c r="F74" s="453">
        <v>40</v>
      </c>
      <c r="G74" s="453">
        <v>0.9</v>
      </c>
      <c r="H74" s="519">
        <v>15.04</v>
      </c>
      <c r="I74" s="519">
        <v>90.8</v>
      </c>
      <c r="J74" s="483">
        <v>3.5</v>
      </c>
      <c r="K74" s="520" t="s">
        <v>742</v>
      </c>
      <c r="L74" s="453">
        <v>36.220000000001164</v>
      </c>
      <c r="M74" s="453">
        <v>20</v>
      </c>
      <c r="N74" s="453">
        <v>1.53</v>
      </c>
      <c r="O74" s="453">
        <v>2.0367912305660703</v>
      </c>
      <c r="P74" s="453" t="s">
        <v>742</v>
      </c>
      <c r="Q74" s="453">
        <v>3.7173051518922722</v>
      </c>
      <c r="R74" s="453">
        <v>869.68462351387052</v>
      </c>
      <c r="S74" s="453">
        <v>7.88</v>
      </c>
      <c r="T74" s="453" t="s">
        <v>742</v>
      </c>
      <c r="U74" s="453">
        <v>0.65</v>
      </c>
      <c r="V74" s="453" t="s">
        <v>742</v>
      </c>
      <c r="W74" s="453">
        <v>41.539999999999992</v>
      </c>
      <c r="X74" s="456" t="e">
        <v>#VALUE!</v>
      </c>
      <c r="Y74" s="453">
        <v>30.33</v>
      </c>
      <c r="Z74" s="453">
        <v>19.97</v>
      </c>
      <c r="AA74" s="519">
        <v>30.179999999993015</v>
      </c>
      <c r="AB74" s="519">
        <v>19.900000000001455</v>
      </c>
      <c r="AC74" s="732">
        <f t="shared" si="1"/>
        <v>50.07999999999447</v>
      </c>
      <c r="AD74" s="664"/>
      <c r="AE74" s="664"/>
      <c r="AF74" s="664"/>
      <c r="AG74" s="664"/>
      <c r="AH74" s="664"/>
      <c r="AI74" s="664"/>
      <c r="AJ74" s="485"/>
      <c r="AK74" s="485"/>
      <c r="AL74" s="485"/>
      <c r="AM74" s="485"/>
      <c r="AN74" s="485"/>
      <c r="AO74" s="665"/>
      <c r="AP74" s="485"/>
      <c r="AQ74" s="483"/>
      <c r="AR74" s="755">
        <v>0</v>
      </c>
      <c r="AS74" s="483">
        <v>18.399999999999999</v>
      </c>
      <c r="AT74" s="755">
        <v>0</v>
      </c>
      <c r="AU74" s="483">
        <v>31.8</v>
      </c>
      <c r="AV74" s="484">
        <v>324.89999999999998</v>
      </c>
      <c r="AW74" s="484">
        <v>0</v>
      </c>
      <c r="AX74" s="453">
        <v>0</v>
      </c>
      <c r="AY74" s="734">
        <v>0</v>
      </c>
      <c r="AZ74" s="734">
        <v>0</v>
      </c>
      <c r="BA74" s="734">
        <v>0</v>
      </c>
      <c r="BB74" s="453">
        <v>0</v>
      </c>
      <c r="BC74" s="453">
        <v>0</v>
      </c>
      <c r="BD74" s="453">
        <v>0</v>
      </c>
      <c r="BE74" s="734">
        <v>0</v>
      </c>
      <c r="BF74" s="453">
        <v>0</v>
      </c>
      <c r="BG74" s="453">
        <v>0</v>
      </c>
      <c r="BH74" s="734">
        <v>0</v>
      </c>
      <c r="BI74" s="453">
        <v>0</v>
      </c>
      <c r="BJ74" s="453">
        <v>20.100000000000001</v>
      </c>
      <c r="BK74" s="453">
        <v>0</v>
      </c>
      <c r="BL74" s="453">
        <v>0</v>
      </c>
      <c r="BM74" s="453">
        <v>0</v>
      </c>
      <c r="BN74" s="453">
        <v>19.899999999999999</v>
      </c>
      <c r="BO74" s="453">
        <v>1105</v>
      </c>
      <c r="BP74" s="453">
        <v>0</v>
      </c>
      <c r="BQ74" s="453">
        <v>17.8</v>
      </c>
      <c r="BR74" s="453">
        <v>17.78</v>
      </c>
      <c r="BS74" s="453">
        <v>0</v>
      </c>
      <c r="BT74" s="453">
        <v>32.1</v>
      </c>
      <c r="BU74" s="453">
        <v>22.3</v>
      </c>
      <c r="BV74" s="456">
        <v>457</v>
      </c>
      <c r="BW74" s="453">
        <v>0.7</v>
      </c>
      <c r="BX74" s="453">
        <v>1.72</v>
      </c>
      <c r="BY74" s="456">
        <v>1.1399999999999999</v>
      </c>
      <c r="BZ74" s="456">
        <v>14.88</v>
      </c>
      <c r="CA74" s="456">
        <v>38.6</v>
      </c>
      <c r="CB74" s="456">
        <v>12.59</v>
      </c>
      <c r="CC74" s="456">
        <v>9.4600000000000009</v>
      </c>
      <c r="CD74" s="456">
        <v>13.7</v>
      </c>
      <c r="CE74" s="456">
        <v>17.809999999999999</v>
      </c>
      <c r="CF74" s="456">
        <v>13.13</v>
      </c>
      <c r="CG74" s="456">
        <v>568.20000000000005</v>
      </c>
      <c r="CH74" s="456">
        <v>2.4</v>
      </c>
      <c r="CI74" s="456">
        <v>3.2</v>
      </c>
      <c r="CJ74" s="456">
        <v>288.2</v>
      </c>
      <c r="CK74" s="456">
        <v>370.4</v>
      </c>
      <c r="CL74" s="456">
        <v>504.1</v>
      </c>
      <c r="CM74" s="456">
        <v>11.3</v>
      </c>
      <c r="CN74" s="456">
        <v>1.79</v>
      </c>
      <c r="CO74" s="453">
        <v>0</v>
      </c>
      <c r="CP74" s="453">
        <v>16.63</v>
      </c>
      <c r="CQ74" s="453">
        <v>42</v>
      </c>
      <c r="CR74" s="456">
        <v>0</v>
      </c>
      <c r="CS74" s="456">
        <v>0</v>
      </c>
      <c r="CT74" s="456">
        <v>0</v>
      </c>
      <c r="CU74" s="456">
        <v>0</v>
      </c>
      <c r="CV74" s="481">
        <v>598.47058823529414</v>
      </c>
      <c r="CW74" s="481">
        <v>1443.6458333333333</v>
      </c>
      <c r="CX74" s="481">
        <v>600.38541666666663</v>
      </c>
      <c r="CY74" s="481">
        <v>1075.4000000000001</v>
      </c>
      <c r="CZ74" s="456"/>
      <c r="DA74" s="456"/>
      <c r="DB74" s="456"/>
      <c r="DC74" s="456"/>
      <c r="DD74" s="456"/>
      <c r="DE74" s="456"/>
      <c r="DF74" s="456"/>
      <c r="DG74" s="425"/>
      <c r="DH74" s="456">
        <v>0</v>
      </c>
      <c r="DI74" s="456">
        <v>0.66</v>
      </c>
      <c r="DJ74" s="456">
        <v>1.32</v>
      </c>
      <c r="DK74" s="425"/>
      <c r="DL74" s="456"/>
      <c r="DM74" s="456"/>
      <c r="DN74" s="456"/>
      <c r="DO74" s="456"/>
      <c r="DP74" s="456"/>
      <c r="DQ74" s="456"/>
      <c r="DR74" s="456"/>
      <c r="DS74" s="456"/>
      <c r="DT74" s="456"/>
      <c r="DU74" s="456"/>
      <c r="DV74" s="456"/>
      <c r="DW74" s="456"/>
      <c r="DX74" s="456"/>
      <c r="DY74" s="456"/>
      <c r="DZ74" s="456"/>
      <c r="EA74" s="456"/>
      <c r="EB74" s="456"/>
      <c r="EC74" s="456"/>
      <c r="ED74" s="423">
        <v>0</v>
      </c>
      <c r="EE74" s="456">
        <v>0</v>
      </c>
      <c r="EF74" s="456">
        <v>2.5</v>
      </c>
      <c r="EG74" s="456">
        <v>6</v>
      </c>
      <c r="EH74" s="423">
        <v>0</v>
      </c>
      <c r="EI74" s="456"/>
      <c r="EJ74" s="456"/>
      <c r="EK74" s="456"/>
      <c r="EL74" s="456"/>
      <c r="EM74" s="456"/>
      <c r="EN74" s="456"/>
      <c r="EO74" s="425"/>
      <c r="EP74" s="425"/>
      <c r="EQ74" s="425" t="s">
        <v>743</v>
      </c>
      <c r="ER74" s="425">
        <v>1</v>
      </c>
      <c r="ES74" s="425">
        <v>2</v>
      </c>
      <c r="ET74" s="425">
        <v>2720</v>
      </c>
      <c r="EU74" s="457">
        <v>4000</v>
      </c>
      <c r="EV74" s="425">
        <v>150</v>
      </c>
      <c r="EW74" s="425">
        <v>6682691</v>
      </c>
      <c r="EX74" s="425">
        <v>93248</v>
      </c>
      <c r="EY74" s="666">
        <v>17.899999999999999</v>
      </c>
      <c r="EZ74" s="666">
        <v>17.899999999999999</v>
      </c>
      <c r="FA74" s="666">
        <v>0</v>
      </c>
      <c r="FB74" s="666">
        <v>1.6</v>
      </c>
      <c r="FC74" s="666">
        <v>1.52</v>
      </c>
      <c r="FD74" s="666">
        <v>1.18</v>
      </c>
      <c r="FE74" s="666">
        <v>1.1499999999999999</v>
      </c>
      <c r="FF74" s="666">
        <v>130</v>
      </c>
      <c r="FG74" s="666">
        <v>2.08</v>
      </c>
      <c r="FH74" s="666">
        <v>0.73</v>
      </c>
      <c r="FI74" s="666">
        <v>1.1499999999999999</v>
      </c>
      <c r="FJ74" s="666">
        <v>8.58</v>
      </c>
      <c r="FK74" s="666">
        <v>8.3000000000000007</v>
      </c>
      <c r="FL74" s="666">
        <v>8.43</v>
      </c>
      <c r="FM74" s="666">
        <v>7.7</v>
      </c>
      <c r="FN74" s="666">
        <v>0</v>
      </c>
    </row>
    <row r="75" spans="1:170" s="416" customFormat="1" ht="15">
      <c r="A75" s="425" t="s">
        <v>6</v>
      </c>
      <c r="B75" s="426">
        <v>40604</v>
      </c>
      <c r="C75" s="418">
        <v>0</v>
      </c>
      <c r="D75" s="518">
        <v>0.2</v>
      </c>
      <c r="E75" s="453">
        <v>2</v>
      </c>
      <c r="F75" s="453">
        <v>34</v>
      </c>
      <c r="G75" s="453">
        <v>0.8</v>
      </c>
      <c r="H75" s="519">
        <v>4.4000000000000004</v>
      </c>
      <c r="I75" s="519">
        <v>94.3</v>
      </c>
      <c r="J75" s="483">
        <v>2.8</v>
      </c>
      <c r="K75" s="520" t="s">
        <v>742</v>
      </c>
      <c r="L75" s="453">
        <v>2.5</v>
      </c>
      <c r="M75" s="453">
        <v>23.2</v>
      </c>
      <c r="N75" s="453">
        <v>1.7</v>
      </c>
      <c r="O75" s="453">
        <v>2.2624927948950528</v>
      </c>
      <c r="P75" s="453" t="s">
        <v>742</v>
      </c>
      <c r="Q75" s="453">
        <v>0</v>
      </c>
      <c r="R75" s="453">
        <v>1068.5622245706736</v>
      </c>
      <c r="S75" s="453">
        <v>7.9</v>
      </c>
      <c r="T75" s="453" t="s">
        <v>742</v>
      </c>
      <c r="U75" s="453">
        <v>0.7</v>
      </c>
      <c r="V75" s="453" t="s">
        <v>742</v>
      </c>
      <c r="W75" s="453">
        <v>41.360000000000014</v>
      </c>
      <c r="X75" s="456" t="e">
        <v>#VALUE!</v>
      </c>
      <c r="Y75" s="453">
        <v>30.42</v>
      </c>
      <c r="Z75" s="453">
        <v>19.37</v>
      </c>
      <c r="AA75" s="519">
        <v>30.5</v>
      </c>
      <c r="AB75" s="519">
        <v>26.400000000001455</v>
      </c>
      <c r="AC75" s="732">
        <f t="shared" si="1"/>
        <v>56.900000000001455</v>
      </c>
      <c r="AD75" s="664"/>
      <c r="AE75" s="664"/>
      <c r="AF75" s="664"/>
      <c r="AG75" s="664"/>
      <c r="AH75" s="664"/>
      <c r="AI75" s="664"/>
      <c r="AJ75" s="485"/>
      <c r="AK75" s="485"/>
      <c r="AL75" s="485"/>
      <c r="AM75" s="485"/>
      <c r="AN75" s="485"/>
      <c r="AO75" s="665"/>
      <c r="AP75" s="485"/>
      <c r="AQ75" s="483"/>
      <c r="AR75" s="755">
        <v>0</v>
      </c>
      <c r="AS75" s="483">
        <v>79.900000000000006</v>
      </c>
      <c r="AT75" s="755">
        <v>0</v>
      </c>
      <c r="AU75" s="483">
        <v>31.2</v>
      </c>
      <c r="AV75" s="484">
        <v>533.29999999999995</v>
      </c>
      <c r="AW75" s="484">
        <v>0</v>
      </c>
      <c r="AX75" s="453">
        <v>0</v>
      </c>
      <c r="AY75" s="734">
        <v>0</v>
      </c>
      <c r="AZ75" s="734">
        <v>0</v>
      </c>
      <c r="BA75" s="734">
        <v>0</v>
      </c>
      <c r="BB75" s="453">
        <v>0</v>
      </c>
      <c r="BC75" s="453">
        <v>0.7</v>
      </c>
      <c r="BD75" s="453">
        <v>1.05</v>
      </c>
      <c r="BE75" s="734">
        <v>0</v>
      </c>
      <c r="BF75" s="453">
        <v>0</v>
      </c>
      <c r="BG75" s="453">
        <v>0</v>
      </c>
      <c r="BH75" s="734">
        <v>0</v>
      </c>
      <c r="BI75" s="453">
        <v>0</v>
      </c>
      <c r="BJ75" s="453">
        <v>24.4</v>
      </c>
      <c r="BK75" s="453">
        <v>2.12</v>
      </c>
      <c r="BL75" s="453">
        <v>2.58</v>
      </c>
      <c r="BM75" s="453">
        <v>0</v>
      </c>
      <c r="BN75" s="453">
        <v>19.5</v>
      </c>
      <c r="BO75" s="453">
        <v>939.8</v>
      </c>
      <c r="BP75" s="453">
        <v>0</v>
      </c>
      <c r="BQ75" s="453">
        <v>18.2</v>
      </c>
      <c r="BR75" s="453">
        <v>18.16</v>
      </c>
      <c r="BS75" s="453">
        <v>0</v>
      </c>
      <c r="BT75" s="453">
        <v>31</v>
      </c>
      <c r="BU75" s="453">
        <v>23.4</v>
      </c>
      <c r="BV75" s="456">
        <v>623</v>
      </c>
      <c r="BW75" s="453">
        <v>0.8</v>
      </c>
      <c r="BX75" s="453">
        <v>1.75</v>
      </c>
      <c r="BY75" s="456">
        <v>1.1000000000000001</v>
      </c>
      <c r="BZ75" s="456">
        <v>14.77</v>
      </c>
      <c r="CA75" s="456">
        <v>37.299999999999997</v>
      </c>
      <c r="CB75" s="456">
        <v>14.65</v>
      </c>
      <c r="CC75" s="456">
        <v>8.98</v>
      </c>
      <c r="CD75" s="456">
        <v>13.22</v>
      </c>
      <c r="CE75" s="456">
        <v>17.309999999999999</v>
      </c>
      <c r="CF75" s="456">
        <v>13.18</v>
      </c>
      <c r="CG75" s="456">
        <v>568.20000000000005</v>
      </c>
      <c r="CH75" s="456">
        <v>2.2999999999999998</v>
      </c>
      <c r="CI75" s="456">
        <v>3.1</v>
      </c>
      <c r="CJ75" s="456">
        <v>302.89999999999998</v>
      </c>
      <c r="CK75" s="456">
        <v>371.5</v>
      </c>
      <c r="CL75" s="456">
        <v>482.4</v>
      </c>
      <c r="CM75" s="456">
        <v>11.7</v>
      </c>
      <c r="CN75" s="456">
        <v>1.78</v>
      </c>
      <c r="CO75" s="453">
        <v>0</v>
      </c>
      <c r="CP75" s="453">
        <v>16.68</v>
      </c>
      <c r="CQ75" s="453">
        <v>43</v>
      </c>
      <c r="CR75" s="456">
        <v>0</v>
      </c>
      <c r="CS75" s="456">
        <v>0</v>
      </c>
      <c r="CT75" s="456">
        <v>0</v>
      </c>
      <c r="CU75" s="456">
        <v>0</v>
      </c>
      <c r="CV75" s="481">
        <v>544.88235294117646</v>
      </c>
      <c r="CW75" s="481">
        <v>1279.375</v>
      </c>
      <c r="CX75" s="481">
        <v>506.77083333333331</v>
      </c>
      <c r="CY75" s="481">
        <v>1077.54</v>
      </c>
      <c r="CZ75" s="456"/>
      <c r="DA75" s="456"/>
      <c r="DB75" s="456"/>
      <c r="DC75" s="456"/>
      <c r="DD75" s="456"/>
      <c r="DE75" s="456"/>
      <c r="DF75" s="456"/>
      <c r="DG75" s="425"/>
      <c r="DH75" s="456">
        <v>0</v>
      </c>
      <c r="DI75" s="456">
        <v>0.67</v>
      </c>
      <c r="DJ75" s="456">
        <v>1.32</v>
      </c>
      <c r="DK75" s="425"/>
      <c r="DL75" s="456"/>
      <c r="DM75" s="456"/>
      <c r="DN75" s="456"/>
      <c r="DO75" s="456"/>
      <c r="DP75" s="456"/>
      <c r="DQ75" s="456"/>
      <c r="DR75" s="456"/>
      <c r="DS75" s="456"/>
      <c r="DT75" s="456"/>
      <c r="DU75" s="456"/>
      <c r="DV75" s="456"/>
      <c r="DW75" s="456"/>
      <c r="DX75" s="456"/>
      <c r="DY75" s="456"/>
      <c r="DZ75" s="456"/>
      <c r="EA75" s="456"/>
      <c r="EB75" s="456"/>
      <c r="EC75" s="456"/>
      <c r="ED75" s="423">
        <v>0</v>
      </c>
      <c r="EE75" s="456">
        <v>0</v>
      </c>
      <c r="EF75" s="456">
        <v>2.5</v>
      </c>
      <c r="EG75" s="456">
        <v>6</v>
      </c>
      <c r="EH75" s="423">
        <v>0</v>
      </c>
      <c r="EI75" s="456"/>
      <c r="EJ75" s="456"/>
      <c r="EK75" s="456"/>
      <c r="EL75" s="456"/>
      <c r="EM75" s="456"/>
      <c r="EN75" s="456"/>
      <c r="EO75" s="425"/>
      <c r="EP75" s="425"/>
      <c r="EQ75" s="425" t="s">
        <v>743</v>
      </c>
      <c r="ER75" s="425">
        <v>1</v>
      </c>
      <c r="ES75" s="425">
        <v>2</v>
      </c>
      <c r="ET75" s="425">
        <v>2530</v>
      </c>
      <c r="EU75" s="457">
        <v>4000</v>
      </c>
      <c r="EV75" s="425">
        <v>230</v>
      </c>
      <c r="EW75" s="425">
        <v>6685095</v>
      </c>
      <c r="EX75" s="425">
        <v>94052</v>
      </c>
      <c r="EY75" s="666">
        <v>18.2</v>
      </c>
      <c r="EZ75" s="666">
        <v>18.2</v>
      </c>
      <c r="FA75" s="666">
        <v>0</v>
      </c>
      <c r="FB75" s="666">
        <v>1.59</v>
      </c>
      <c r="FC75" s="666">
        <v>1.55</v>
      </c>
      <c r="FD75" s="666">
        <v>1.24</v>
      </c>
      <c r="FE75" s="666">
        <v>1.2</v>
      </c>
      <c r="FF75" s="666">
        <v>190</v>
      </c>
      <c r="FG75" s="666">
        <v>2.15</v>
      </c>
      <c r="FH75" s="666">
        <v>0.81</v>
      </c>
      <c r="FI75" s="666">
        <v>1.39</v>
      </c>
      <c r="FJ75" s="666">
        <v>8</v>
      </c>
      <c r="FK75" s="666">
        <v>8.1</v>
      </c>
      <c r="FL75" s="666">
        <v>8.2899999999999991</v>
      </c>
      <c r="FM75" s="666">
        <v>7.7</v>
      </c>
      <c r="FN75" s="666">
        <v>0</v>
      </c>
    </row>
    <row r="76" spans="1:170" s="416" customFormat="1" ht="15">
      <c r="A76" s="425" t="s">
        <v>7</v>
      </c>
      <c r="B76" s="426">
        <v>40605</v>
      </c>
      <c r="C76" s="418">
        <v>0</v>
      </c>
      <c r="D76" s="518">
        <v>0.51</v>
      </c>
      <c r="E76" s="453">
        <v>1</v>
      </c>
      <c r="F76" s="453">
        <v>30</v>
      </c>
      <c r="G76" s="453">
        <v>0.8</v>
      </c>
      <c r="H76" s="519">
        <v>3.2</v>
      </c>
      <c r="I76" s="519">
        <v>94.7</v>
      </c>
      <c r="J76" s="483">
        <v>2.9</v>
      </c>
      <c r="K76" s="520" t="s">
        <v>742</v>
      </c>
      <c r="L76" s="453">
        <v>0</v>
      </c>
      <c r="M76" s="453">
        <v>23.4</v>
      </c>
      <c r="N76" s="453">
        <v>1.6</v>
      </c>
      <c r="O76" s="453">
        <v>2.1577948369553401</v>
      </c>
      <c r="P76" s="453" t="s">
        <v>742</v>
      </c>
      <c r="Q76" s="453">
        <v>0</v>
      </c>
      <c r="R76" s="453">
        <v>1001.837817701453</v>
      </c>
      <c r="S76" s="453">
        <v>7.8</v>
      </c>
      <c r="T76" s="453" t="s">
        <v>742</v>
      </c>
      <c r="U76" s="453">
        <v>0.7</v>
      </c>
      <c r="V76" s="453" t="s">
        <v>742</v>
      </c>
      <c r="W76" s="453">
        <v>37.760000000000005</v>
      </c>
      <c r="X76" s="456" t="e">
        <v>#VALUE!</v>
      </c>
      <c r="Y76" s="453">
        <v>30.3</v>
      </c>
      <c r="Z76" s="453">
        <v>26.2</v>
      </c>
      <c r="AA76" s="519">
        <v>29.900000000008731</v>
      </c>
      <c r="AB76" s="519">
        <v>26</v>
      </c>
      <c r="AC76" s="732">
        <f t="shared" si="1"/>
        <v>55.900000000008731</v>
      </c>
      <c r="AD76" s="664"/>
      <c r="AE76" s="664"/>
      <c r="AF76" s="664"/>
      <c r="AG76" s="664"/>
      <c r="AH76" s="664"/>
      <c r="AI76" s="664"/>
      <c r="AJ76" s="485"/>
      <c r="AK76" s="485"/>
      <c r="AL76" s="485"/>
      <c r="AM76" s="485"/>
      <c r="AN76" s="485"/>
      <c r="AO76" s="665"/>
      <c r="AP76" s="485"/>
      <c r="AQ76" s="483"/>
      <c r="AR76" s="755">
        <v>0</v>
      </c>
      <c r="AS76" s="483">
        <v>98</v>
      </c>
      <c r="AT76" s="755">
        <v>0</v>
      </c>
      <c r="AU76" s="483">
        <v>31</v>
      </c>
      <c r="AV76" s="484">
        <v>500.2</v>
      </c>
      <c r="AW76" s="484">
        <v>456.3</v>
      </c>
      <c r="AX76" s="453">
        <v>0</v>
      </c>
      <c r="AY76" s="734">
        <v>0</v>
      </c>
      <c r="AZ76" s="734">
        <v>0</v>
      </c>
      <c r="BA76" s="734">
        <v>0</v>
      </c>
      <c r="BB76" s="453">
        <v>0</v>
      </c>
      <c r="BC76" s="453">
        <v>2.46</v>
      </c>
      <c r="BD76" s="453">
        <v>0</v>
      </c>
      <c r="BE76" s="734">
        <v>0</v>
      </c>
      <c r="BF76" s="453">
        <v>0</v>
      </c>
      <c r="BG76" s="453">
        <v>0</v>
      </c>
      <c r="BH76" s="734">
        <v>0</v>
      </c>
      <c r="BI76" s="453">
        <v>0</v>
      </c>
      <c r="BJ76" s="453">
        <v>23.6</v>
      </c>
      <c r="BK76" s="453">
        <v>2.73</v>
      </c>
      <c r="BL76" s="453">
        <v>3.3</v>
      </c>
      <c r="BM76" s="453">
        <v>0</v>
      </c>
      <c r="BN76" s="453">
        <v>17.5</v>
      </c>
      <c r="BO76" s="453">
        <v>1560.2</v>
      </c>
      <c r="BP76" s="453">
        <v>0</v>
      </c>
      <c r="BQ76" s="453">
        <v>18.3</v>
      </c>
      <c r="BR76" s="453">
        <v>18.2</v>
      </c>
      <c r="BS76" s="453">
        <v>0</v>
      </c>
      <c r="BT76" s="453">
        <v>30.5</v>
      </c>
      <c r="BU76" s="453">
        <v>24.7</v>
      </c>
      <c r="BV76" s="456">
        <v>438.6</v>
      </c>
      <c r="BW76" s="453">
        <v>0.8</v>
      </c>
      <c r="BX76" s="453">
        <v>1.69</v>
      </c>
      <c r="BY76" s="456">
        <v>1.1200000000000001</v>
      </c>
      <c r="BZ76" s="456">
        <v>15.24</v>
      </c>
      <c r="CA76" s="456">
        <v>36</v>
      </c>
      <c r="CB76" s="456">
        <v>14.53</v>
      </c>
      <c r="CC76" s="456">
        <v>9.31</v>
      </c>
      <c r="CD76" s="456">
        <v>13.53</v>
      </c>
      <c r="CE76" s="456">
        <v>17.690000000000001</v>
      </c>
      <c r="CF76" s="456">
        <v>13.23</v>
      </c>
      <c r="CG76" s="456">
        <v>568.4</v>
      </c>
      <c r="CH76" s="456">
        <v>2.7</v>
      </c>
      <c r="CI76" s="456">
        <v>3.7</v>
      </c>
      <c r="CJ76" s="456">
        <v>300</v>
      </c>
      <c r="CK76" s="456">
        <v>366</v>
      </c>
      <c r="CL76" s="456">
        <v>514.29999999999995</v>
      </c>
      <c r="CM76" s="456">
        <v>10.9</v>
      </c>
      <c r="CN76" s="456">
        <v>1.52</v>
      </c>
      <c r="CO76" s="453">
        <v>0</v>
      </c>
      <c r="CP76" s="453">
        <v>16.559999999999999</v>
      </c>
      <c r="CQ76" s="453">
        <v>42</v>
      </c>
      <c r="CR76" s="456">
        <v>0</v>
      </c>
      <c r="CS76" s="456">
        <v>0</v>
      </c>
      <c r="CT76" s="456">
        <v>0</v>
      </c>
      <c r="CU76" s="456">
        <v>0</v>
      </c>
      <c r="CV76" s="481">
        <v>560.29411764705878</v>
      </c>
      <c r="CW76" s="481">
        <v>1225.2083333333333</v>
      </c>
      <c r="CX76" s="481">
        <v>518.66666666666663</v>
      </c>
      <c r="CY76" s="481">
        <v>1079.23</v>
      </c>
      <c r="CZ76" s="456"/>
      <c r="DA76" s="456"/>
      <c r="DB76" s="456"/>
      <c r="DC76" s="456"/>
      <c r="DD76" s="456"/>
      <c r="DE76" s="456"/>
      <c r="DF76" s="456"/>
      <c r="DG76" s="425"/>
      <c r="DH76" s="456">
        <v>0</v>
      </c>
      <c r="DI76" s="456">
        <v>0.55000000000000004</v>
      </c>
      <c r="DJ76" s="456">
        <v>1.25</v>
      </c>
      <c r="DK76" s="425"/>
      <c r="DL76" s="456"/>
      <c r="DM76" s="456"/>
      <c r="DN76" s="456"/>
      <c r="DO76" s="456"/>
      <c r="DP76" s="456"/>
      <c r="DQ76" s="456"/>
      <c r="DR76" s="456"/>
      <c r="DS76" s="456"/>
      <c r="DT76" s="456"/>
      <c r="DU76" s="456"/>
      <c r="DV76" s="456"/>
      <c r="DW76" s="456"/>
      <c r="DX76" s="456"/>
      <c r="DY76" s="456"/>
      <c r="DZ76" s="456"/>
      <c r="EA76" s="456"/>
      <c r="EB76" s="456"/>
      <c r="EC76" s="456"/>
      <c r="ED76" s="423">
        <v>0</v>
      </c>
      <c r="EE76" s="456">
        <v>0</v>
      </c>
      <c r="EF76" s="456">
        <v>2.5</v>
      </c>
      <c r="EG76" s="456">
        <v>6</v>
      </c>
      <c r="EH76" s="423">
        <v>0</v>
      </c>
      <c r="EI76" s="456"/>
      <c r="EJ76" s="456"/>
      <c r="EK76" s="456"/>
      <c r="EL76" s="456"/>
      <c r="EM76" s="456"/>
      <c r="EN76" s="456"/>
      <c r="EO76" s="425"/>
      <c r="EP76" s="425"/>
      <c r="EQ76" s="425" t="s">
        <v>743</v>
      </c>
      <c r="ER76" s="425">
        <v>1</v>
      </c>
      <c r="ES76" s="425">
        <v>10</v>
      </c>
      <c r="ET76" s="425">
        <v>2340</v>
      </c>
      <c r="EU76" s="457">
        <v>4000</v>
      </c>
      <c r="EV76" s="425">
        <v>200</v>
      </c>
      <c r="EW76" s="425">
        <v>6687473</v>
      </c>
      <c r="EX76" s="425">
        <v>94850</v>
      </c>
      <c r="EY76" s="666">
        <v>18.5</v>
      </c>
      <c r="EZ76" s="666">
        <v>18.5</v>
      </c>
      <c r="FA76" s="666">
        <v>0</v>
      </c>
      <c r="FB76" s="666">
        <v>1.54</v>
      </c>
      <c r="FC76" s="666">
        <v>1.5</v>
      </c>
      <c r="FD76" s="666">
        <v>1.17</v>
      </c>
      <c r="FE76" s="666">
        <v>1.1499999999999999</v>
      </c>
      <c r="FF76" s="666">
        <v>190</v>
      </c>
      <c r="FG76" s="666">
        <v>1.19</v>
      </c>
      <c r="FH76" s="666">
        <v>0.76</v>
      </c>
      <c r="FI76" s="666">
        <v>1.19</v>
      </c>
      <c r="FJ76" s="666">
        <v>8.19</v>
      </c>
      <c r="FK76" s="666">
        <v>8.1999999999999993</v>
      </c>
      <c r="FL76" s="666">
        <v>8.19</v>
      </c>
      <c r="FM76" s="666">
        <v>7.7</v>
      </c>
      <c r="FN76" s="666">
        <v>0</v>
      </c>
    </row>
    <row r="77" spans="1:170" s="416" customFormat="1" ht="15">
      <c r="A77" s="425" t="s">
        <v>8</v>
      </c>
      <c r="B77" s="426">
        <v>40606</v>
      </c>
      <c r="C77" s="418">
        <v>0</v>
      </c>
      <c r="D77" s="518">
        <v>0.28000000000000003</v>
      </c>
      <c r="E77" s="453">
        <v>0</v>
      </c>
      <c r="F77" s="453">
        <v>36</v>
      </c>
      <c r="G77" s="453">
        <v>0.7</v>
      </c>
      <c r="H77" s="519">
        <v>1.39</v>
      </c>
      <c r="I77" s="759">
        <v>0</v>
      </c>
      <c r="J77" s="483">
        <v>1.31</v>
      </c>
      <c r="K77" s="520" t="s">
        <v>742</v>
      </c>
      <c r="L77" s="453">
        <v>0</v>
      </c>
      <c r="M77" s="453">
        <v>23.4</v>
      </c>
      <c r="N77" s="453">
        <v>1.55</v>
      </c>
      <c r="O77" s="453">
        <v>2.112361711817436</v>
      </c>
      <c r="P77" s="453" t="s">
        <v>742</v>
      </c>
      <c r="Q77" s="453">
        <v>13.722589167634377</v>
      </c>
      <c r="R77" s="453">
        <v>1055.9299339498018</v>
      </c>
      <c r="S77" s="453">
        <v>7.79</v>
      </c>
      <c r="T77" s="453" t="s">
        <v>742</v>
      </c>
      <c r="U77" s="453">
        <v>0.72</v>
      </c>
      <c r="V77" s="453" t="s">
        <v>742</v>
      </c>
      <c r="W77" s="453">
        <v>38.299999999999997</v>
      </c>
      <c r="X77" s="456" t="e">
        <v>#VALUE!</v>
      </c>
      <c r="Y77" s="453">
        <v>29.7</v>
      </c>
      <c r="Z77" s="453">
        <v>25.8</v>
      </c>
      <c r="AA77" s="519">
        <v>30.099999999991269</v>
      </c>
      <c r="AB77" s="519">
        <v>26.169999999998254</v>
      </c>
      <c r="AC77" s="732">
        <f t="shared" si="1"/>
        <v>56.269999999989523</v>
      </c>
      <c r="AD77" s="664"/>
      <c r="AE77" s="664"/>
      <c r="AF77" s="664"/>
      <c r="AG77" s="664"/>
      <c r="AH77" s="664"/>
      <c r="AI77" s="664"/>
      <c r="AJ77" s="485"/>
      <c r="AK77" s="485"/>
      <c r="AL77" s="485"/>
      <c r="AM77" s="485"/>
      <c r="AN77" s="485"/>
      <c r="AO77" s="665"/>
      <c r="AP77" s="485"/>
      <c r="AQ77" s="483"/>
      <c r="AR77" s="755">
        <v>0</v>
      </c>
      <c r="AS77" s="483">
        <v>26.5</v>
      </c>
      <c r="AT77" s="755">
        <v>0</v>
      </c>
      <c r="AU77" s="483">
        <v>31.1</v>
      </c>
      <c r="AV77" s="484">
        <v>460.5</v>
      </c>
      <c r="AW77" s="484">
        <v>467.1</v>
      </c>
      <c r="AX77" s="453">
        <v>0</v>
      </c>
      <c r="AY77" s="734">
        <v>0</v>
      </c>
      <c r="AZ77" s="734">
        <v>0</v>
      </c>
      <c r="BA77" s="734">
        <v>0</v>
      </c>
      <c r="BB77" s="453">
        <v>0</v>
      </c>
      <c r="BC77" s="453">
        <v>2.4700000000000002</v>
      </c>
      <c r="BD77" s="453">
        <v>0</v>
      </c>
      <c r="BE77" s="734">
        <v>0</v>
      </c>
      <c r="BF77" s="453">
        <v>0</v>
      </c>
      <c r="BG77" s="453">
        <v>0</v>
      </c>
      <c r="BH77" s="734">
        <v>0</v>
      </c>
      <c r="BI77" s="453">
        <v>0</v>
      </c>
      <c r="BJ77" s="453">
        <v>23.6</v>
      </c>
      <c r="BK77" s="453">
        <v>2.73</v>
      </c>
      <c r="BL77" s="453">
        <v>3.3</v>
      </c>
      <c r="BM77" s="453">
        <v>0</v>
      </c>
      <c r="BN77" s="453">
        <v>17.399999999999999</v>
      </c>
      <c r="BO77" s="453">
        <v>898.8</v>
      </c>
      <c r="BP77" s="453">
        <v>0</v>
      </c>
      <c r="BQ77" s="453">
        <v>18.5</v>
      </c>
      <c r="BR77" s="453">
        <v>18.399999999999999</v>
      </c>
      <c r="BS77" s="453">
        <v>0</v>
      </c>
      <c r="BT77" s="453">
        <v>30.5</v>
      </c>
      <c r="BU77" s="453">
        <v>24.1</v>
      </c>
      <c r="BV77" s="456">
        <v>588.6</v>
      </c>
      <c r="BW77" s="453">
        <v>0.8</v>
      </c>
      <c r="BX77" s="453">
        <v>1.73</v>
      </c>
      <c r="BY77" s="456">
        <v>1.28</v>
      </c>
      <c r="BZ77" s="456">
        <v>15.11</v>
      </c>
      <c r="CA77" s="456">
        <v>34.799999999999997</v>
      </c>
      <c r="CB77" s="456">
        <v>13.88</v>
      </c>
      <c r="CC77" s="456">
        <v>9.1999999999999993</v>
      </c>
      <c r="CD77" s="456">
        <v>13.44</v>
      </c>
      <c r="CE77" s="456">
        <v>17.53</v>
      </c>
      <c r="CF77" s="456">
        <v>13.02</v>
      </c>
      <c r="CG77" s="456">
        <v>547.1</v>
      </c>
      <c r="CH77" s="456">
        <v>2.4</v>
      </c>
      <c r="CI77" s="456">
        <v>3.9</v>
      </c>
      <c r="CJ77" s="456">
        <v>253.4</v>
      </c>
      <c r="CK77" s="456">
        <v>366.1</v>
      </c>
      <c r="CL77" s="456">
        <v>545.20000000000005</v>
      </c>
      <c r="CM77" s="456">
        <v>10.7</v>
      </c>
      <c r="CN77" s="456">
        <v>1.77</v>
      </c>
      <c r="CO77" s="453">
        <v>0</v>
      </c>
      <c r="CP77" s="453">
        <v>16.77</v>
      </c>
      <c r="CQ77" s="453">
        <v>42</v>
      </c>
      <c r="CR77" s="456">
        <v>0</v>
      </c>
      <c r="CS77" s="456">
        <v>0</v>
      </c>
      <c r="CT77" s="456">
        <v>0</v>
      </c>
      <c r="CU77" s="456">
        <v>0</v>
      </c>
      <c r="CV77" s="481">
        <v>556.47058823529414</v>
      </c>
      <c r="CW77" s="481">
        <v>1211.25</v>
      </c>
      <c r="CX77" s="481">
        <v>509.875</v>
      </c>
      <c r="CY77" s="481">
        <v>1080.47</v>
      </c>
      <c r="CZ77" s="456"/>
      <c r="DA77" s="456"/>
      <c r="DB77" s="456"/>
      <c r="DC77" s="456"/>
      <c r="DD77" s="456"/>
      <c r="DE77" s="456"/>
      <c r="DF77" s="456"/>
      <c r="DG77" s="425"/>
      <c r="DH77" s="456">
        <v>0</v>
      </c>
      <c r="DI77" s="456">
        <v>0.57999999999999996</v>
      </c>
      <c r="DJ77" s="456">
        <v>1.28</v>
      </c>
      <c r="DK77" s="425"/>
      <c r="DL77" s="456"/>
      <c r="DM77" s="456"/>
      <c r="DN77" s="456"/>
      <c r="DO77" s="456"/>
      <c r="DP77" s="456"/>
      <c r="DQ77" s="456"/>
      <c r="DR77" s="456"/>
      <c r="DS77" s="456"/>
      <c r="DT77" s="456"/>
      <c r="DU77" s="456"/>
      <c r="DV77" s="456"/>
      <c r="DW77" s="456"/>
      <c r="DX77" s="456"/>
      <c r="DY77" s="456"/>
      <c r="DZ77" s="456"/>
      <c r="EA77" s="456"/>
      <c r="EB77" s="456"/>
      <c r="EC77" s="456"/>
      <c r="ED77" s="423">
        <v>0</v>
      </c>
      <c r="EE77" s="456">
        <v>0</v>
      </c>
      <c r="EF77" s="456">
        <v>2.5</v>
      </c>
      <c r="EG77" s="456">
        <v>6</v>
      </c>
      <c r="EH77" s="423">
        <v>0</v>
      </c>
      <c r="EI77" s="456"/>
      <c r="EJ77" s="456"/>
      <c r="EK77" s="456"/>
      <c r="EL77" s="456"/>
      <c r="EM77" s="456"/>
      <c r="EN77" s="456"/>
      <c r="EO77" s="425"/>
      <c r="EP77" s="425"/>
      <c r="EQ77" s="425" t="s">
        <v>743</v>
      </c>
      <c r="ER77" s="425">
        <v>1</v>
      </c>
      <c r="ES77" s="425">
        <v>10</v>
      </c>
      <c r="ET77" s="425">
        <v>2180</v>
      </c>
      <c r="EU77" s="457">
        <v>4000</v>
      </c>
      <c r="EV77" s="425">
        <v>120</v>
      </c>
      <c r="EW77" s="425">
        <v>6689736</v>
      </c>
      <c r="EX77" s="425">
        <v>95627</v>
      </c>
      <c r="EY77" s="666">
        <v>18.78</v>
      </c>
      <c r="EZ77" s="666">
        <v>18.77</v>
      </c>
      <c r="FA77" s="666">
        <v>0</v>
      </c>
      <c r="FB77" s="666">
        <v>1.52</v>
      </c>
      <c r="FC77" s="666">
        <v>1.5</v>
      </c>
      <c r="FD77" s="666">
        <v>1.1499999999999999</v>
      </c>
      <c r="FE77" s="666">
        <v>1.1100000000000001</v>
      </c>
      <c r="FF77" s="666">
        <v>160</v>
      </c>
      <c r="FG77" s="666">
        <v>1.01</v>
      </c>
      <c r="FH77" s="666">
        <v>0.69</v>
      </c>
      <c r="FI77" s="666">
        <v>1.07</v>
      </c>
      <c r="FJ77" s="666">
        <v>8.5500000000000007</v>
      </c>
      <c r="FK77" s="666">
        <v>8.4</v>
      </c>
      <c r="FL77" s="666">
        <v>8.3699999999999992</v>
      </c>
      <c r="FM77" s="666">
        <v>8</v>
      </c>
      <c r="FN77" s="666">
        <v>0</v>
      </c>
    </row>
    <row r="78" spans="1:170" s="416" customFormat="1" ht="15">
      <c r="A78" s="425" t="s">
        <v>9</v>
      </c>
      <c r="B78" s="426">
        <v>40607</v>
      </c>
      <c r="C78" s="418">
        <v>0</v>
      </c>
      <c r="D78" s="518">
        <v>0.18</v>
      </c>
      <c r="E78" s="453">
        <v>0</v>
      </c>
      <c r="F78" s="453">
        <v>35</v>
      </c>
      <c r="G78" s="453">
        <v>0.7</v>
      </c>
      <c r="H78" s="519">
        <v>1.51</v>
      </c>
      <c r="I78" s="519">
        <v>98</v>
      </c>
      <c r="J78" s="483">
        <v>1.23</v>
      </c>
      <c r="K78" s="520" t="s">
        <v>742</v>
      </c>
      <c r="L78" s="453">
        <v>19.549999999999272</v>
      </c>
      <c r="M78" s="453">
        <v>21.7</v>
      </c>
      <c r="N78" s="453">
        <v>1.47</v>
      </c>
      <c r="O78" s="453">
        <v>2.0094998004936215</v>
      </c>
      <c r="P78" s="453" t="s">
        <v>742</v>
      </c>
      <c r="Q78" s="453">
        <v>4.5310435931417681</v>
      </c>
      <c r="R78" s="453">
        <v>937.05684015852034</v>
      </c>
      <c r="S78" s="453">
        <v>7.82</v>
      </c>
      <c r="T78" s="453" t="s">
        <v>742</v>
      </c>
      <c r="U78" s="453">
        <v>0.69</v>
      </c>
      <c r="V78" s="453" t="s">
        <v>742</v>
      </c>
      <c r="W78" s="453">
        <v>39.38000000000001</v>
      </c>
      <c r="X78" s="456" t="e">
        <v>#VALUE!</v>
      </c>
      <c r="Y78" s="453">
        <v>30</v>
      </c>
      <c r="Z78" s="453">
        <v>26.78</v>
      </c>
      <c r="AA78" s="519">
        <v>29.100000000005821</v>
      </c>
      <c r="AB78" s="519">
        <v>25.669999999998254</v>
      </c>
      <c r="AC78" s="732">
        <f t="shared" si="1"/>
        <v>54.770000000004075</v>
      </c>
      <c r="AD78" s="664"/>
      <c r="AE78" s="664"/>
      <c r="AF78" s="664"/>
      <c r="AG78" s="664"/>
      <c r="AH78" s="664"/>
      <c r="AI78" s="664"/>
      <c r="AJ78" s="485"/>
      <c r="AK78" s="485"/>
      <c r="AL78" s="485"/>
      <c r="AM78" s="485"/>
      <c r="AN78" s="485"/>
      <c r="AO78" s="665"/>
      <c r="AP78" s="485"/>
      <c r="AQ78" s="483"/>
      <c r="AR78" s="755">
        <v>0</v>
      </c>
      <c r="AS78" s="483">
        <v>30.3</v>
      </c>
      <c r="AT78" s="755">
        <v>0</v>
      </c>
      <c r="AU78" s="483">
        <v>30.7</v>
      </c>
      <c r="AV78" s="484">
        <v>473.8</v>
      </c>
      <c r="AW78" s="484">
        <v>435.4</v>
      </c>
      <c r="AX78" s="453">
        <v>0</v>
      </c>
      <c r="AY78" s="734">
        <v>0</v>
      </c>
      <c r="AZ78" s="734">
        <v>0</v>
      </c>
      <c r="BA78" s="734">
        <v>0</v>
      </c>
      <c r="BB78" s="453">
        <v>0</v>
      </c>
      <c r="BC78" s="453">
        <v>2.4700000000000002</v>
      </c>
      <c r="BD78" s="453">
        <v>0</v>
      </c>
      <c r="BE78" s="734">
        <v>0</v>
      </c>
      <c r="BF78" s="453">
        <v>0</v>
      </c>
      <c r="BG78" s="453">
        <v>0</v>
      </c>
      <c r="BH78" s="734">
        <v>0</v>
      </c>
      <c r="BI78" s="453">
        <v>0</v>
      </c>
      <c r="BJ78" s="453">
        <v>23.6</v>
      </c>
      <c r="BK78" s="453">
        <v>2.77</v>
      </c>
      <c r="BL78" s="453">
        <v>3.3</v>
      </c>
      <c r="BM78" s="453">
        <v>0</v>
      </c>
      <c r="BN78" s="453">
        <v>17.399999999999999</v>
      </c>
      <c r="BO78" s="453">
        <v>1501.3</v>
      </c>
      <c r="BP78" s="453">
        <v>0</v>
      </c>
      <c r="BQ78" s="453">
        <v>18.399999999999999</v>
      </c>
      <c r="BR78" s="453">
        <v>18.3</v>
      </c>
      <c r="BS78" s="453">
        <v>0</v>
      </c>
      <c r="BT78" s="453">
        <v>30</v>
      </c>
      <c r="BU78" s="453">
        <v>25.3</v>
      </c>
      <c r="BV78" s="456">
        <v>479.3</v>
      </c>
      <c r="BW78" s="453">
        <v>0.7</v>
      </c>
      <c r="BX78" s="453">
        <v>1.65</v>
      </c>
      <c r="BY78" s="456">
        <v>1.1299999999999999</v>
      </c>
      <c r="BZ78" s="456">
        <v>14.94</v>
      </c>
      <c r="CA78" s="456">
        <v>36.700000000000003</v>
      </c>
      <c r="CB78" s="456">
        <v>13.15</v>
      </c>
      <c r="CC78" s="456">
        <v>8.8800000000000008</v>
      </c>
      <c r="CD78" s="456">
        <v>13.11</v>
      </c>
      <c r="CE78" s="456">
        <v>17.22</v>
      </c>
      <c r="CF78" s="456">
        <v>12.95</v>
      </c>
      <c r="CG78" s="456">
        <v>559.29999999999995</v>
      </c>
      <c r="CH78" s="456">
        <v>2.5</v>
      </c>
      <c r="CI78" s="456">
        <v>3.8</v>
      </c>
      <c r="CJ78" s="456">
        <v>421.1</v>
      </c>
      <c r="CK78" s="456">
        <v>406</v>
      </c>
      <c r="CL78" s="456">
        <v>520.70000000000005</v>
      </c>
      <c r="CM78" s="456">
        <v>10.7</v>
      </c>
      <c r="CN78" s="456">
        <v>1.78</v>
      </c>
      <c r="CO78" s="453">
        <v>0</v>
      </c>
      <c r="CP78" s="453">
        <v>17.05</v>
      </c>
      <c r="CQ78" s="453">
        <v>42</v>
      </c>
      <c r="CR78" s="456">
        <v>0</v>
      </c>
      <c r="CS78" s="456">
        <v>0</v>
      </c>
      <c r="CT78" s="456">
        <v>0</v>
      </c>
      <c r="CU78" s="456">
        <v>0</v>
      </c>
      <c r="CV78" s="481">
        <v>551.47058823529414</v>
      </c>
      <c r="CW78" s="481">
        <v>1198.3333333333333</v>
      </c>
      <c r="CX78" s="481">
        <v>545.63541666666663</v>
      </c>
      <c r="CY78" s="481">
        <v>1081.6199999999999</v>
      </c>
      <c r="CZ78" s="456"/>
      <c r="DA78" s="456"/>
      <c r="DB78" s="456"/>
      <c r="DC78" s="456"/>
      <c r="DD78" s="456"/>
      <c r="DE78" s="456"/>
      <c r="DF78" s="456"/>
      <c r="DG78" s="425"/>
      <c r="DH78" s="456">
        <v>0</v>
      </c>
      <c r="DI78" s="456">
        <v>0.63</v>
      </c>
      <c r="DJ78" s="456">
        <v>0.95</v>
      </c>
      <c r="DK78" s="425"/>
      <c r="DL78" s="456"/>
      <c r="DM78" s="456"/>
      <c r="DN78" s="456"/>
      <c r="DO78" s="456"/>
      <c r="DP78" s="456"/>
      <c r="DQ78" s="456"/>
      <c r="DR78" s="456"/>
      <c r="DS78" s="456"/>
      <c r="DT78" s="456"/>
      <c r="DU78" s="456"/>
      <c r="DV78" s="456"/>
      <c r="DW78" s="456"/>
      <c r="DX78" s="456"/>
      <c r="DY78" s="456"/>
      <c r="DZ78" s="456"/>
      <c r="EA78" s="456"/>
      <c r="EB78" s="456"/>
      <c r="EC78" s="456"/>
      <c r="ED78" s="423">
        <v>0</v>
      </c>
      <c r="EE78" s="456">
        <v>0</v>
      </c>
      <c r="EF78" s="456">
        <v>2.5</v>
      </c>
      <c r="EG78" s="456">
        <v>6</v>
      </c>
      <c r="EH78" s="423">
        <v>0</v>
      </c>
      <c r="EI78" s="456"/>
      <c r="EJ78" s="456"/>
      <c r="EK78" s="456"/>
      <c r="EL78" s="456"/>
      <c r="EM78" s="456"/>
      <c r="EN78" s="456"/>
      <c r="EO78" s="425"/>
      <c r="EP78" s="425"/>
      <c r="EQ78" s="425" t="s">
        <v>743</v>
      </c>
      <c r="ER78" s="425">
        <v>1</v>
      </c>
      <c r="ES78" s="425">
        <v>10</v>
      </c>
      <c r="ET78" s="425">
        <v>2000</v>
      </c>
      <c r="EU78" s="457">
        <v>4000</v>
      </c>
      <c r="EV78" s="425">
        <v>225</v>
      </c>
      <c r="EW78" s="425">
        <v>6692407</v>
      </c>
      <c r="EX78" s="425">
        <v>96494</v>
      </c>
      <c r="EY78" s="666">
        <v>18.66</v>
      </c>
      <c r="EZ78" s="666">
        <v>18.649999999999999</v>
      </c>
      <c r="FA78" s="666">
        <v>0</v>
      </c>
      <c r="FB78" s="666">
        <v>1.6</v>
      </c>
      <c r="FC78" s="666">
        <v>1.53</v>
      </c>
      <c r="FD78" s="666">
        <v>1.1830000000000001</v>
      </c>
      <c r="FE78" s="666">
        <v>1.2</v>
      </c>
      <c r="FF78" s="666">
        <v>180</v>
      </c>
      <c r="FG78" s="666">
        <v>1.39</v>
      </c>
      <c r="FH78" s="666">
        <v>0.61</v>
      </c>
      <c r="FI78" s="666">
        <v>1.2</v>
      </c>
      <c r="FJ78" s="666">
        <v>9.07</v>
      </c>
      <c r="FK78" s="666">
        <v>9.1999999999999993</v>
      </c>
      <c r="FL78" s="666">
        <v>8.32</v>
      </c>
      <c r="FM78" s="666">
        <v>8.1</v>
      </c>
      <c r="FN78" s="666">
        <v>0</v>
      </c>
    </row>
    <row r="79" spans="1:170" s="416" customFormat="1" ht="15">
      <c r="A79" s="425" t="s">
        <v>3</v>
      </c>
      <c r="B79" s="426">
        <v>40608</v>
      </c>
      <c r="C79" s="418">
        <v>0</v>
      </c>
      <c r="D79" s="518">
        <v>0.01</v>
      </c>
      <c r="E79" s="453">
        <v>0</v>
      </c>
      <c r="F79" s="453">
        <v>34</v>
      </c>
      <c r="G79" s="453">
        <v>0.7</v>
      </c>
      <c r="H79" s="519">
        <v>1.28</v>
      </c>
      <c r="I79" s="519">
        <v>94.6</v>
      </c>
      <c r="J79" s="483">
        <v>1.05</v>
      </c>
      <c r="K79" s="520" t="s">
        <v>742</v>
      </c>
      <c r="L79" s="453">
        <v>0</v>
      </c>
      <c r="M79" s="453">
        <v>23</v>
      </c>
      <c r="N79" s="453">
        <v>1.49</v>
      </c>
      <c r="O79" s="453">
        <v>2.0781719665258889</v>
      </c>
      <c r="P79" s="453" t="s">
        <v>742</v>
      </c>
      <c r="Q79" s="453">
        <v>3.8282694848243706</v>
      </c>
      <c r="R79" s="453">
        <v>1000.2182932628798</v>
      </c>
      <c r="S79" s="453">
        <v>7.71</v>
      </c>
      <c r="T79" s="453" t="s">
        <v>742</v>
      </c>
      <c r="U79" s="453">
        <v>0.71</v>
      </c>
      <c r="V79" s="453" t="s">
        <v>742</v>
      </c>
      <c r="W79" s="453">
        <v>39.739999999999995</v>
      </c>
      <c r="X79" s="456" t="e">
        <v>#VALUE!</v>
      </c>
      <c r="Y79" s="453">
        <v>29.66</v>
      </c>
      <c r="Z79" s="453">
        <v>26.54</v>
      </c>
      <c r="AA79" s="519">
        <v>30.089999999996508</v>
      </c>
      <c r="AB79" s="519">
        <v>26.559999999997672</v>
      </c>
      <c r="AC79" s="732">
        <f t="shared" si="1"/>
        <v>56.649999999994179</v>
      </c>
      <c r="AD79" s="664"/>
      <c r="AE79" s="664"/>
      <c r="AF79" s="664"/>
      <c r="AG79" s="664"/>
      <c r="AH79" s="664"/>
      <c r="AI79" s="664"/>
      <c r="AJ79" s="485"/>
      <c r="AK79" s="485"/>
      <c r="AL79" s="485"/>
      <c r="AM79" s="485"/>
      <c r="AN79" s="485"/>
      <c r="AO79" s="665"/>
      <c r="AP79" s="485"/>
      <c r="AQ79" s="483"/>
      <c r="AR79" s="755">
        <v>0</v>
      </c>
      <c r="AS79" s="483">
        <v>37.200000000000003</v>
      </c>
      <c r="AT79" s="755">
        <v>0</v>
      </c>
      <c r="AU79" s="483">
        <v>30.9</v>
      </c>
      <c r="AV79" s="484">
        <v>346.9</v>
      </c>
      <c r="AW79" s="484">
        <v>341.2</v>
      </c>
      <c r="AX79" s="453">
        <v>0</v>
      </c>
      <c r="AY79" s="734">
        <v>0</v>
      </c>
      <c r="AZ79" s="734">
        <v>0</v>
      </c>
      <c r="BA79" s="734">
        <v>0</v>
      </c>
      <c r="BB79" s="453">
        <v>0</v>
      </c>
      <c r="BC79" s="453">
        <v>2.46</v>
      </c>
      <c r="BD79" s="453">
        <v>0</v>
      </c>
      <c r="BE79" s="734">
        <v>0</v>
      </c>
      <c r="BF79" s="453">
        <v>0</v>
      </c>
      <c r="BG79" s="453">
        <v>0</v>
      </c>
      <c r="BH79" s="734">
        <v>0</v>
      </c>
      <c r="BI79" s="453">
        <v>0</v>
      </c>
      <c r="BJ79" s="453">
        <v>23.6</v>
      </c>
      <c r="BK79" s="453">
        <v>2.73</v>
      </c>
      <c r="BL79" s="453">
        <v>3.3</v>
      </c>
      <c r="BM79" s="453">
        <v>0</v>
      </c>
      <c r="BN79" s="453">
        <v>17.399999999999999</v>
      </c>
      <c r="BO79" s="453">
        <v>1584.8</v>
      </c>
      <c r="BP79" s="453">
        <v>0</v>
      </c>
      <c r="BQ79" s="453">
        <v>18.2</v>
      </c>
      <c r="BR79" s="453">
        <v>18.100000000000001</v>
      </c>
      <c r="BS79" s="453">
        <v>0</v>
      </c>
      <c r="BT79" s="453">
        <v>30.1</v>
      </c>
      <c r="BU79" s="453">
        <v>26.1</v>
      </c>
      <c r="BV79" s="456">
        <v>447.4</v>
      </c>
      <c r="BW79" s="453">
        <v>1.55</v>
      </c>
      <c r="BX79" s="453">
        <v>1.67</v>
      </c>
      <c r="BY79" s="456">
        <v>1.1200000000000001</v>
      </c>
      <c r="BZ79" s="456">
        <v>15.14</v>
      </c>
      <c r="CA79" s="456">
        <v>38.200000000000003</v>
      </c>
      <c r="CB79" s="456">
        <v>12.98</v>
      </c>
      <c r="CC79" s="456">
        <v>9.5500000000000007</v>
      </c>
      <c r="CD79" s="456">
        <v>13.74</v>
      </c>
      <c r="CE79" s="456">
        <v>17.91</v>
      </c>
      <c r="CF79" s="456">
        <v>13.13</v>
      </c>
      <c r="CG79" s="456">
        <v>596.29999999999995</v>
      </c>
      <c r="CH79" s="456">
        <v>2.5</v>
      </c>
      <c r="CI79" s="456">
        <v>3.3</v>
      </c>
      <c r="CJ79" s="456">
        <v>432.2</v>
      </c>
      <c r="CK79" s="456">
        <v>433.1</v>
      </c>
      <c r="CL79" s="456">
        <v>525.6</v>
      </c>
      <c r="CM79" s="456">
        <v>10.4</v>
      </c>
      <c r="CN79" s="456">
        <v>1.74</v>
      </c>
      <c r="CO79" s="453">
        <v>0</v>
      </c>
      <c r="CP79" s="453">
        <v>16.440000000000001</v>
      </c>
      <c r="CQ79" s="453">
        <v>43</v>
      </c>
      <c r="CR79" s="456">
        <v>0</v>
      </c>
      <c r="CS79" s="456">
        <v>0</v>
      </c>
      <c r="CT79" s="456">
        <v>0</v>
      </c>
      <c r="CU79" s="456">
        <v>0</v>
      </c>
      <c r="CV79" s="481">
        <v>556.17647058823525</v>
      </c>
      <c r="CW79" s="481">
        <v>1172.0833333333333</v>
      </c>
      <c r="CX79" s="481">
        <v>518.34375</v>
      </c>
      <c r="CY79" s="481">
        <v>1082.51</v>
      </c>
      <c r="CZ79" s="456"/>
      <c r="DA79" s="456"/>
      <c r="DB79" s="456"/>
      <c r="DC79" s="456"/>
      <c r="DD79" s="456"/>
      <c r="DE79" s="456"/>
      <c r="DF79" s="456"/>
      <c r="DG79" s="425"/>
      <c r="DH79" s="456">
        <v>0</v>
      </c>
      <c r="DI79" s="456">
        <v>0.6</v>
      </c>
      <c r="DJ79" s="456">
        <v>1.29</v>
      </c>
      <c r="DK79" s="425"/>
      <c r="DL79" s="456"/>
      <c r="DM79" s="456"/>
      <c r="DN79" s="456"/>
      <c r="DO79" s="456"/>
      <c r="DP79" s="456"/>
      <c r="DQ79" s="456"/>
      <c r="DR79" s="456"/>
      <c r="DS79" s="456"/>
      <c r="DT79" s="456"/>
      <c r="DU79" s="456"/>
      <c r="DV79" s="456"/>
      <c r="DW79" s="456"/>
      <c r="DX79" s="456"/>
      <c r="DY79" s="456"/>
      <c r="DZ79" s="456"/>
      <c r="EA79" s="456"/>
      <c r="EB79" s="456"/>
      <c r="EC79" s="456"/>
      <c r="ED79" s="423">
        <v>0</v>
      </c>
      <c r="EE79" s="456">
        <v>0</v>
      </c>
      <c r="EF79" s="456">
        <v>2.5</v>
      </c>
      <c r="EG79" s="456">
        <v>6</v>
      </c>
      <c r="EH79" s="423">
        <v>0</v>
      </c>
      <c r="EI79" s="456"/>
      <c r="EJ79" s="456"/>
      <c r="EK79" s="456"/>
      <c r="EL79" s="456"/>
      <c r="EM79" s="456"/>
      <c r="EN79" s="456"/>
      <c r="EO79" s="425"/>
      <c r="EP79" s="425"/>
      <c r="EQ79" s="425" t="s">
        <v>743</v>
      </c>
      <c r="ER79" s="425">
        <v>1</v>
      </c>
      <c r="ES79" s="425">
        <v>10</v>
      </c>
      <c r="ET79" s="425">
        <v>1800</v>
      </c>
      <c r="EU79" s="457">
        <v>4000</v>
      </c>
      <c r="EV79" s="425">
        <v>180</v>
      </c>
      <c r="EW79" s="425">
        <v>6695018</v>
      </c>
      <c r="EX79" s="425">
        <v>97305</v>
      </c>
      <c r="EY79" s="666">
        <v>18.45</v>
      </c>
      <c r="EZ79" s="666">
        <v>18.440000000000001</v>
      </c>
      <c r="FA79" s="666">
        <v>0</v>
      </c>
      <c r="FB79" s="666">
        <v>1.5</v>
      </c>
      <c r="FC79" s="666">
        <v>1.48</v>
      </c>
      <c r="FD79" s="666">
        <v>1.1399999999999999</v>
      </c>
      <c r="FE79" s="666">
        <v>1.1000000000000001</v>
      </c>
      <c r="FF79" s="666">
        <v>200</v>
      </c>
      <c r="FG79" s="666">
        <v>1.1599999999999999</v>
      </c>
      <c r="FH79" s="666">
        <v>0.58299999999999996</v>
      </c>
      <c r="FI79" s="666">
        <v>1.1200000000000001</v>
      </c>
      <c r="FJ79" s="666">
        <v>8.56</v>
      </c>
      <c r="FK79" s="666">
        <v>8.5</v>
      </c>
      <c r="FL79" s="666">
        <v>8.27</v>
      </c>
      <c r="FM79" s="666">
        <v>8.1999999999999993</v>
      </c>
      <c r="FN79" s="666">
        <v>0</v>
      </c>
    </row>
    <row r="80" spans="1:170" s="416" customFormat="1" ht="15">
      <c r="A80" s="425" t="s">
        <v>4</v>
      </c>
      <c r="B80" s="426">
        <v>40609</v>
      </c>
      <c r="C80" s="418">
        <v>0</v>
      </c>
      <c r="D80" s="518">
        <v>0</v>
      </c>
      <c r="E80" s="453">
        <v>0</v>
      </c>
      <c r="F80" s="453">
        <v>36</v>
      </c>
      <c r="G80" s="453">
        <v>0.7</v>
      </c>
      <c r="H80" s="519">
        <v>1</v>
      </c>
      <c r="I80" s="519">
        <v>95.1</v>
      </c>
      <c r="J80" s="483">
        <v>1</v>
      </c>
      <c r="K80" s="520" t="s">
        <v>742</v>
      </c>
      <c r="L80" s="453">
        <v>0</v>
      </c>
      <c r="M80" s="453">
        <v>23.1</v>
      </c>
      <c r="N80" s="453">
        <v>1.5</v>
      </c>
      <c r="O80" s="453">
        <v>2.0619627264482627</v>
      </c>
      <c r="P80" s="453" t="s">
        <v>742</v>
      </c>
      <c r="Q80" s="453">
        <v>0</v>
      </c>
      <c r="R80" s="453">
        <v>945.47836723910166</v>
      </c>
      <c r="S80" s="453">
        <v>7.8</v>
      </c>
      <c r="T80" s="453" t="s">
        <v>742</v>
      </c>
      <c r="U80" s="453">
        <v>0.7</v>
      </c>
      <c r="V80" s="453" t="s">
        <v>742</v>
      </c>
      <c r="W80" s="453">
        <v>40.100000000000009</v>
      </c>
      <c r="X80" s="456" t="e">
        <v>#VALUE!</v>
      </c>
      <c r="Y80" s="453">
        <v>29.72</v>
      </c>
      <c r="Z80" s="453">
        <v>25.83</v>
      </c>
      <c r="AA80" s="519">
        <v>29.309999999997672</v>
      </c>
      <c r="AB80" s="519">
        <v>25.900000000001455</v>
      </c>
      <c r="AC80" s="732">
        <f t="shared" si="1"/>
        <v>55.209999999999127</v>
      </c>
      <c r="AD80" s="664"/>
      <c r="AE80" s="664"/>
      <c r="AF80" s="664"/>
      <c r="AG80" s="664"/>
      <c r="AH80" s="664"/>
      <c r="AI80" s="664"/>
      <c r="AJ80" s="485"/>
      <c r="AK80" s="485"/>
      <c r="AL80" s="485"/>
      <c r="AM80" s="485"/>
      <c r="AN80" s="485"/>
      <c r="AO80" s="665"/>
      <c r="AP80" s="485"/>
      <c r="AQ80" s="483"/>
      <c r="AR80" s="755">
        <v>0</v>
      </c>
      <c r="AS80" s="483">
        <v>19.2</v>
      </c>
      <c r="AT80" s="755">
        <v>0</v>
      </c>
      <c r="AU80" s="483">
        <v>31</v>
      </c>
      <c r="AV80" s="484">
        <v>310.60000000000002</v>
      </c>
      <c r="AW80" s="484">
        <v>283.10000000000002</v>
      </c>
      <c r="AX80" s="453">
        <v>0</v>
      </c>
      <c r="AY80" s="734">
        <v>0</v>
      </c>
      <c r="AZ80" s="734">
        <v>0</v>
      </c>
      <c r="BA80" s="734">
        <v>0</v>
      </c>
      <c r="BB80" s="453">
        <v>0</v>
      </c>
      <c r="BC80" s="453">
        <v>1</v>
      </c>
      <c r="BD80" s="453">
        <v>1.52</v>
      </c>
      <c r="BE80" s="734">
        <v>0</v>
      </c>
      <c r="BF80" s="453">
        <v>0</v>
      </c>
      <c r="BG80" s="453">
        <v>0</v>
      </c>
      <c r="BH80" s="734">
        <v>0</v>
      </c>
      <c r="BI80" s="453">
        <v>0</v>
      </c>
      <c r="BJ80" s="453">
        <v>23.6</v>
      </c>
      <c r="BK80" s="453">
        <v>2.77</v>
      </c>
      <c r="BL80" s="453">
        <v>3.3</v>
      </c>
      <c r="BM80" s="453">
        <v>0</v>
      </c>
      <c r="BN80" s="453">
        <v>17.399999999999999</v>
      </c>
      <c r="BO80" s="453">
        <v>910.6</v>
      </c>
      <c r="BP80" s="453">
        <v>0</v>
      </c>
      <c r="BQ80" s="453">
        <v>18.5</v>
      </c>
      <c r="BR80" s="453">
        <v>18.399999999999999</v>
      </c>
      <c r="BS80" s="453">
        <v>0</v>
      </c>
      <c r="BT80" s="453">
        <v>30.2</v>
      </c>
      <c r="BU80" s="453">
        <v>23.5</v>
      </c>
      <c r="BV80" s="456">
        <v>635.5</v>
      </c>
      <c r="BW80" s="453">
        <v>2.6</v>
      </c>
      <c r="BX80" s="453">
        <v>1.59</v>
      </c>
      <c r="BY80" s="456">
        <v>1.1299999999999999</v>
      </c>
      <c r="BZ80" s="456">
        <v>14.9</v>
      </c>
      <c r="CA80" s="456">
        <v>35.700000000000003</v>
      </c>
      <c r="CB80" s="456">
        <v>14.3</v>
      </c>
      <c r="CC80" s="456">
        <v>8.1999999999999993</v>
      </c>
      <c r="CD80" s="456">
        <v>12.4</v>
      </c>
      <c r="CE80" s="456">
        <v>16.5</v>
      </c>
      <c r="CF80" s="456">
        <v>13.09</v>
      </c>
      <c r="CG80" s="456">
        <v>535.9</v>
      </c>
      <c r="CH80" s="456">
        <v>2.2000000000000002</v>
      </c>
      <c r="CI80" s="456">
        <v>3.8</v>
      </c>
      <c r="CJ80" s="456">
        <v>361.3</v>
      </c>
      <c r="CK80" s="456">
        <v>393.1</v>
      </c>
      <c r="CL80" s="456">
        <v>563.29999999999995</v>
      </c>
      <c r="CM80" s="456">
        <v>10.4</v>
      </c>
      <c r="CN80" s="456">
        <v>1.74</v>
      </c>
      <c r="CO80" s="453">
        <v>0</v>
      </c>
      <c r="CP80" s="453">
        <v>16.329999999999998</v>
      </c>
      <c r="CQ80" s="453">
        <v>43</v>
      </c>
      <c r="CR80" s="456">
        <v>0</v>
      </c>
      <c r="CS80" s="456">
        <v>0</v>
      </c>
      <c r="CT80" s="456">
        <v>0</v>
      </c>
      <c r="CU80" s="456">
        <v>0</v>
      </c>
      <c r="CV80" s="481">
        <v>532.75</v>
      </c>
      <c r="CW80" s="481">
        <v>1109.5833333333333</v>
      </c>
      <c r="CX80" s="481">
        <v>483.77083333333331</v>
      </c>
      <c r="CY80" s="481">
        <v>1083.6500000000001</v>
      </c>
      <c r="CZ80" s="456"/>
      <c r="DA80" s="456"/>
      <c r="DB80" s="456"/>
      <c r="DC80" s="456"/>
      <c r="DD80" s="456"/>
      <c r="DE80" s="456"/>
      <c r="DF80" s="456"/>
      <c r="DG80" s="425"/>
      <c r="DH80" s="456">
        <v>0</v>
      </c>
      <c r="DI80" s="456">
        <v>0.67</v>
      </c>
      <c r="DJ80" s="456">
        <v>1.19</v>
      </c>
      <c r="DK80" s="425"/>
      <c r="DL80" s="456"/>
      <c r="DM80" s="456"/>
      <c r="DN80" s="456"/>
      <c r="DO80" s="456"/>
      <c r="DP80" s="456"/>
      <c r="DQ80" s="456"/>
      <c r="DR80" s="456"/>
      <c r="DS80" s="456"/>
      <c r="DT80" s="456"/>
      <c r="DU80" s="456"/>
      <c r="DV80" s="456"/>
      <c r="DW80" s="456"/>
      <c r="DX80" s="456"/>
      <c r="DY80" s="456"/>
      <c r="DZ80" s="456"/>
      <c r="EA80" s="456"/>
      <c r="EB80" s="456"/>
      <c r="EC80" s="456"/>
      <c r="ED80" s="423">
        <v>0</v>
      </c>
      <c r="EE80" s="456">
        <v>0</v>
      </c>
      <c r="EF80" s="456">
        <v>2.5</v>
      </c>
      <c r="EG80" s="456">
        <v>6</v>
      </c>
      <c r="EH80" s="423">
        <v>0</v>
      </c>
      <c r="EI80" s="456"/>
      <c r="EJ80" s="456"/>
      <c r="EK80" s="456"/>
      <c r="EL80" s="456"/>
      <c r="EM80" s="456"/>
      <c r="EN80" s="456"/>
      <c r="EO80" s="425"/>
      <c r="EP80" s="425"/>
      <c r="EQ80" s="425" t="s">
        <v>743</v>
      </c>
      <c r="ER80" s="425">
        <v>1</v>
      </c>
      <c r="ES80" s="425">
        <v>10</v>
      </c>
      <c r="ET80" s="425">
        <v>1600</v>
      </c>
      <c r="EU80" s="457">
        <v>4000</v>
      </c>
      <c r="EV80" s="425">
        <v>260</v>
      </c>
      <c r="EW80" s="425">
        <v>6697483</v>
      </c>
      <c r="EX80" s="425">
        <v>98111</v>
      </c>
      <c r="EY80" s="666">
        <v>18.5</v>
      </c>
      <c r="EZ80" s="666">
        <v>18.48</v>
      </c>
      <c r="FA80" s="666">
        <v>0</v>
      </c>
      <c r="FB80" s="666">
        <v>1.45</v>
      </c>
      <c r="FC80" s="666">
        <v>1.37</v>
      </c>
      <c r="FD80" s="666">
        <v>1.1719999999999999</v>
      </c>
      <c r="FE80" s="666">
        <v>1.1200000000000001</v>
      </c>
      <c r="FF80" s="666">
        <v>200</v>
      </c>
      <c r="FG80" s="666">
        <v>0.97</v>
      </c>
      <c r="FH80" s="666">
        <v>0.55500000000000005</v>
      </c>
      <c r="FI80" s="666">
        <v>0.94</v>
      </c>
      <c r="FJ80" s="666">
        <v>8.48</v>
      </c>
      <c r="FK80" s="666">
        <v>8.4</v>
      </c>
      <c r="FL80" s="666">
        <v>8.33</v>
      </c>
      <c r="FM80" s="666">
        <v>7.9</v>
      </c>
      <c r="FN80" s="666">
        <v>0</v>
      </c>
    </row>
    <row r="81" spans="1:170" s="416" customFormat="1" ht="15">
      <c r="A81" s="425" t="s">
        <v>5</v>
      </c>
      <c r="B81" s="426">
        <v>40610</v>
      </c>
      <c r="C81" s="418">
        <v>0</v>
      </c>
      <c r="D81" s="518">
        <v>0.69</v>
      </c>
      <c r="E81" s="453">
        <v>0</v>
      </c>
      <c r="F81" s="453">
        <v>37</v>
      </c>
      <c r="G81" s="453">
        <v>0.7</v>
      </c>
      <c r="H81" s="519">
        <v>1.1000000000000001</v>
      </c>
      <c r="I81" s="519">
        <v>95.5</v>
      </c>
      <c r="J81" s="483">
        <v>1.1000000000000001</v>
      </c>
      <c r="K81" s="520" t="s">
        <v>742</v>
      </c>
      <c r="L81" s="453">
        <v>0</v>
      </c>
      <c r="M81" s="453">
        <v>23.1</v>
      </c>
      <c r="N81" s="453">
        <v>1.5</v>
      </c>
      <c r="O81" s="453">
        <v>2.0875165125496475</v>
      </c>
      <c r="P81" s="453" t="s">
        <v>742</v>
      </c>
      <c r="Q81" s="453">
        <v>0</v>
      </c>
      <c r="R81" s="453">
        <v>961.02580184940541</v>
      </c>
      <c r="S81" s="453">
        <v>7.8</v>
      </c>
      <c r="T81" s="453" t="s">
        <v>742</v>
      </c>
      <c r="U81" s="453">
        <v>0.7</v>
      </c>
      <c r="V81" s="453" t="s">
        <v>742</v>
      </c>
      <c r="W81" s="453">
        <v>40.28</v>
      </c>
      <c r="X81" s="456" t="e">
        <v>#VALUE!</v>
      </c>
      <c r="Y81" s="453">
        <v>29.7</v>
      </c>
      <c r="Z81" s="453">
        <v>25.8</v>
      </c>
      <c r="AA81" s="519">
        <v>29.400000000008731</v>
      </c>
      <c r="AB81" s="519">
        <v>26</v>
      </c>
      <c r="AC81" s="732">
        <f t="shared" si="1"/>
        <v>55.400000000008731</v>
      </c>
      <c r="AD81" s="664"/>
      <c r="AE81" s="664"/>
      <c r="AF81" s="664"/>
      <c r="AG81" s="664"/>
      <c r="AH81" s="664"/>
      <c r="AI81" s="664"/>
      <c r="AJ81" s="485"/>
      <c r="AK81" s="485"/>
      <c r="AL81" s="485"/>
      <c r="AM81" s="485"/>
      <c r="AN81" s="485"/>
      <c r="AO81" s="665"/>
      <c r="AP81" s="485"/>
      <c r="AQ81" s="483"/>
      <c r="AR81" s="755">
        <v>0</v>
      </c>
      <c r="AS81" s="483">
        <v>18.3</v>
      </c>
      <c r="AT81" s="755">
        <v>0</v>
      </c>
      <c r="AU81" s="483">
        <v>31</v>
      </c>
      <c r="AV81" s="484">
        <v>331.4</v>
      </c>
      <c r="AW81" s="484">
        <v>297.10000000000002</v>
      </c>
      <c r="AX81" s="453">
        <v>0</v>
      </c>
      <c r="AY81" s="734">
        <v>0</v>
      </c>
      <c r="AZ81" s="734">
        <v>0</v>
      </c>
      <c r="BA81" s="734">
        <v>0</v>
      </c>
      <c r="BB81" s="453">
        <v>0</v>
      </c>
      <c r="BC81" s="453">
        <v>1</v>
      </c>
      <c r="BD81" s="453">
        <v>1.52</v>
      </c>
      <c r="BE81" s="734">
        <v>0</v>
      </c>
      <c r="BF81" s="453">
        <v>0</v>
      </c>
      <c r="BG81" s="453">
        <v>0</v>
      </c>
      <c r="BH81" s="734">
        <v>0</v>
      </c>
      <c r="BI81" s="453">
        <v>0</v>
      </c>
      <c r="BJ81" s="453">
        <v>23.6</v>
      </c>
      <c r="BK81" s="453">
        <v>2.74</v>
      </c>
      <c r="BL81" s="453">
        <v>3.3</v>
      </c>
      <c r="BM81" s="453">
        <v>0</v>
      </c>
      <c r="BN81" s="453">
        <v>17.399999999999999</v>
      </c>
      <c r="BO81" s="453">
        <v>1342.4</v>
      </c>
      <c r="BP81" s="453">
        <v>0</v>
      </c>
      <c r="BQ81" s="453">
        <v>18.7</v>
      </c>
      <c r="BR81" s="453">
        <v>18.600000000000001</v>
      </c>
      <c r="BS81" s="453">
        <v>0</v>
      </c>
      <c r="BT81" s="453">
        <v>30.2</v>
      </c>
      <c r="BU81" s="453">
        <v>23.9</v>
      </c>
      <c r="BV81" s="456">
        <v>445.3</v>
      </c>
      <c r="BW81" s="453">
        <v>0.5</v>
      </c>
      <c r="BX81" s="453">
        <v>1.58</v>
      </c>
      <c r="BY81" s="456">
        <v>1.0900000000000001</v>
      </c>
      <c r="BZ81" s="456">
        <v>14.8</v>
      </c>
      <c r="CA81" s="456">
        <v>36.4</v>
      </c>
      <c r="CB81" s="456">
        <v>13.63</v>
      </c>
      <c r="CC81" s="456">
        <v>8.94</v>
      </c>
      <c r="CD81" s="456">
        <v>13.09</v>
      </c>
      <c r="CE81" s="456">
        <v>17.48</v>
      </c>
      <c r="CF81" s="456">
        <v>12.79</v>
      </c>
      <c r="CG81" s="456">
        <v>532</v>
      </c>
      <c r="CH81" s="456">
        <v>2.4</v>
      </c>
      <c r="CI81" s="456">
        <v>3.7</v>
      </c>
      <c r="CJ81" s="456">
        <v>337.9</v>
      </c>
      <c r="CK81" s="456">
        <v>377</v>
      </c>
      <c r="CL81" s="456">
        <v>563.6</v>
      </c>
      <c r="CM81" s="456">
        <v>10.6</v>
      </c>
      <c r="CN81" s="456">
        <v>1.66</v>
      </c>
      <c r="CO81" s="453">
        <v>0</v>
      </c>
      <c r="CP81" s="453">
        <v>16.28</v>
      </c>
      <c r="CQ81" s="453">
        <v>43</v>
      </c>
      <c r="CR81" s="456">
        <v>0</v>
      </c>
      <c r="CS81" s="456">
        <v>0</v>
      </c>
      <c r="CT81" s="456">
        <v>0</v>
      </c>
      <c r="CU81" s="456">
        <v>0</v>
      </c>
      <c r="CV81" s="481">
        <v>501.88235294117646</v>
      </c>
      <c r="CW81" s="481">
        <v>1051.6666666666667</v>
      </c>
      <c r="CX81" s="481">
        <v>467.95833333333331</v>
      </c>
      <c r="CY81" s="481">
        <v>1085.1400000000001</v>
      </c>
      <c r="CZ81" s="456"/>
      <c r="DA81" s="456"/>
      <c r="DB81" s="456"/>
      <c r="DC81" s="456"/>
      <c r="DD81" s="456"/>
      <c r="DE81" s="456"/>
      <c r="DF81" s="456"/>
      <c r="DG81" s="425"/>
      <c r="DH81" s="456">
        <v>0</v>
      </c>
      <c r="DI81" s="456">
        <v>0.64</v>
      </c>
      <c r="DJ81" s="456">
        <v>1.1299999999999999</v>
      </c>
      <c r="DK81" s="425"/>
      <c r="DL81" s="456"/>
      <c r="DM81" s="456"/>
      <c r="DN81" s="456"/>
      <c r="DO81" s="456"/>
      <c r="DP81" s="456"/>
      <c r="DQ81" s="456"/>
      <c r="DR81" s="456"/>
      <c r="DS81" s="456"/>
      <c r="DT81" s="456"/>
      <c r="DU81" s="456"/>
      <c r="DV81" s="456"/>
      <c r="DW81" s="456"/>
      <c r="DX81" s="456"/>
      <c r="DY81" s="456"/>
      <c r="DZ81" s="456"/>
      <c r="EA81" s="456"/>
      <c r="EB81" s="456"/>
      <c r="EC81" s="456"/>
      <c r="ED81" s="423">
        <v>0</v>
      </c>
      <c r="EE81" s="456">
        <v>0</v>
      </c>
      <c r="EF81" s="456">
        <v>2.5</v>
      </c>
      <c r="EG81" s="456">
        <v>6</v>
      </c>
      <c r="EH81" s="423">
        <v>0</v>
      </c>
      <c r="EI81" s="456"/>
      <c r="EJ81" s="456"/>
      <c r="EK81" s="456"/>
      <c r="EL81" s="456"/>
      <c r="EM81" s="456"/>
      <c r="EN81" s="456"/>
      <c r="EO81" s="425"/>
      <c r="EP81" s="425"/>
      <c r="EQ81" s="425" t="s">
        <v>743</v>
      </c>
      <c r="ER81" s="425">
        <v>1</v>
      </c>
      <c r="ES81" s="425">
        <v>10</v>
      </c>
      <c r="ET81" s="425">
        <v>1400</v>
      </c>
      <c r="EU81" s="457">
        <v>4000</v>
      </c>
      <c r="EV81" s="425">
        <v>270</v>
      </c>
      <c r="EW81" s="425">
        <v>6699810</v>
      </c>
      <c r="EX81" s="425">
        <v>98895</v>
      </c>
      <c r="EY81" s="666">
        <v>18.63</v>
      </c>
      <c r="EZ81" s="666">
        <v>18.61</v>
      </c>
      <c r="FA81" s="666">
        <v>0</v>
      </c>
      <c r="FB81" s="666">
        <v>1.51</v>
      </c>
      <c r="FC81" s="666">
        <v>1.37</v>
      </c>
      <c r="FD81" s="666">
        <v>1.2330000000000001</v>
      </c>
      <c r="FE81" s="666">
        <v>1.1299999999999999</v>
      </c>
      <c r="FF81" s="666">
        <v>200</v>
      </c>
      <c r="FG81" s="666">
        <v>1.01</v>
      </c>
      <c r="FH81" s="666">
        <v>0.54900000000000004</v>
      </c>
      <c r="FI81" s="666">
        <v>0.96</v>
      </c>
      <c r="FJ81" s="666">
        <v>8.41</v>
      </c>
      <c r="FK81" s="666">
        <v>8.3000000000000007</v>
      </c>
      <c r="FL81" s="666">
        <v>8.34</v>
      </c>
      <c r="FM81" s="666">
        <v>8</v>
      </c>
      <c r="FN81" s="666">
        <v>0</v>
      </c>
    </row>
    <row r="82" spans="1:170" s="416" customFormat="1" ht="15">
      <c r="A82" s="425" t="s">
        <v>6</v>
      </c>
      <c r="B82" s="426">
        <v>40611</v>
      </c>
      <c r="C82" s="418">
        <v>0</v>
      </c>
      <c r="D82" s="518">
        <v>1.38</v>
      </c>
      <c r="E82" s="453">
        <v>0</v>
      </c>
      <c r="F82" s="453">
        <v>41</v>
      </c>
      <c r="G82" s="453">
        <v>1</v>
      </c>
      <c r="H82" s="519">
        <v>3.87</v>
      </c>
      <c r="I82" s="519">
        <v>95.1</v>
      </c>
      <c r="J82" s="483">
        <v>2.68</v>
      </c>
      <c r="K82" s="520" t="s">
        <v>742</v>
      </c>
      <c r="L82" s="453">
        <v>0.25</v>
      </c>
      <c r="M82" s="453">
        <v>23.4</v>
      </c>
      <c r="N82" s="453">
        <v>1.43</v>
      </c>
      <c r="O82" s="453">
        <v>2.0869401567108805</v>
      </c>
      <c r="P82" s="453" t="s">
        <v>742</v>
      </c>
      <c r="Q82" s="453">
        <v>13.010568031735648</v>
      </c>
      <c r="R82" s="453">
        <v>1018.0330620871861</v>
      </c>
      <c r="S82" s="453">
        <v>7.71</v>
      </c>
      <c r="T82" s="453" t="s">
        <v>742</v>
      </c>
      <c r="U82" s="453">
        <v>0.68</v>
      </c>
      <c r="V82" s="453" t="s">
        <v>742</v>
      </c>
      <c r="W82" s="453">
        <v>39.56</v>
      </c>
      <c r="X82" s="456" t="e">
        <v>#VALUE!</v>
      </c>
      <c r="Y82" s="453">
        <v>29.5</v>
      </c>
      <c r="Z82" s="453">
        <v>26.3</v>
      </c>
      <c r="AA82" s="519">
        <v>29.19999999999709</v>
      </c>
      <c r="AB82" s="519">
        <v>25.779999999998836</v>
      </c>
      <c r="AC82" s="732">
        <f t="shared" si="1"/>
        <v>54.979999999995925</v>
      </c>
      <c r="AD82" s="664"/>
      <c r="AE82" s="664"/>
      <c r="AF82" s="664"/>
      <c r="AG82" s="664"/>
      <c r="AH82" s="664"/>
      <c r="AI82" s="664"/>
      <c r="AJ82" s="485"/>
      <c r="AK82" s="485"/>
      <c r="AL82" s="485"/>
      <c r="AM82" s="485"/>
      <c r="AN82" s="485"/>
      <c r="AO82" s="665"/>
      <c r="AP82" s="485"/>
      <c r="AQ82" s="483"/>
      <c r="AR82" s="755">
        <v>0</v>
      </c>
      <c r="AS82" s="483">
        <v>36.6</v>
      </c>
      <c r="AT82" s="755">
        <v>0</v>
      </c>
      <c r="AU82" s="483">
        <v>30.9</v>
      </c>
      <c r="AV82" s="484">
        <v>326.3</v>
      </c>
      <c r="AW82" s="484">
        <v>316.2</v>
      </c>
      <c r="AX82" s="453">
        <v>0</v>
      </c>
      <c r="AY82" s="734">
        <v>0</v>
      </c>
      <c r="AZ82" s="734">
        <v>0</v>
      </c>
      <c r="BA82" s="734">
        <v>0</v>
      </c>
      <c r="BB82" s="453">
        <v>0</v>
      </c>
      <c r="BC82" s="453">
        <v>1</v>
      </c>
      <c r="BD82" s="453">
        <v>1.51</v>
      </c>
      <c r="BE82" s="734">
        <v>0</v>
      </c>
      <c r="BF82" s="453">
        <v>0</v>
      </c>
      <c r="BG82" s="453">
        <v>0</v>
      </c>
      <c r="BH82" s="734">
        <v>0</v>
      </c>
      <c r="BI82" s="453">
        <v>0</v>
      </c>
      <c r="BJ82" s="453">
        <v>23.6</v>
      </c>
      <c r="BK82" s="453">
        <v>2.74</v>
      </c>
      <c r="BL82" s="453">
        <v>3.3</v>
      </c>
      <c r="BM82" s="453">
        <v>0</v>
      </c>
      <c r="BN82" s="453">
        <v>17.399999999999999</v>
      </c>
      <c r="BO82" s="453">
        <v>1293.0999999999999</v>
      </c>
      <c r="BP82" s="453">
        <v>0</v>
      </c>
      <c r="BQ82" s="453">
        <v>19</v>
      </c>
      <c r="BR82" s="453">
        <v>18.899999999999999</v>
      </c>
      <c r="BS82" s="453">
        <v>0</v>
      </c>
      <c r="BT82" s="453">
        <v>30.1</v>
      </c>
      <c r="BU82" s="453">
        <v>24</v>
      </c>
      <c r="BV82" s="456">
        <v>447.2</v>
      </c>
      <c r="BW82" s="453">
        <v>0.5</v>
      </c>
      <c r="BX82" s="453">
        <v>1.6</v>
      </c>
      <c r="BY82" s="456">
        <v>1.1299999999999999</v>
      </c>
      <c r="BZ82" s="456">
        <v>14.9</v>
      </c>
      <c r="CA82" s="456">
        <v>38.299999999999997</v>
      </c>
      <c r="CB82" s="456">
        <v>12.9</v>
      </c>
      <c r="CC82" s="456">
        <v>9.5500000000000007</v>
      </c>
      <c r="CD82" s="456">
        <v>13.8</v>
      </c>
      <c r="CE82" s="456">
        <v>17.899999999999999</v>
      </c>
      <c r="CF82" s="456">
        <v>12.92</v>
      </c>
      <c r="CG82" s="456">
        <v>540</v>
      </c>
      <c r="CH82" s="456">
        <v>2.2999999999999998</v>
      </c>
      <c r="CI82" s="456">
        <v>3.4</v>
      </c>
      <c r="CJ82" s="456">
        <v>313.10000000000002</v>
      </c>
      <c r="CK82" s="456">
        <v>376.1</v>
      </c>
      <c r="CL82" s="456">
        <v>553.20000000000005</v>
      </c>
      <c r="CM82" s="456">
        <v>10.6</v>
      </c>
      <c r="CN82" s="456">
        <v>1.41</v>
      </c>
      <c r="CO82" s="453">
        <v>0</v>
      </c>
      <c r="CP82" s="453">
        <v>16.010000000000002</v>
      </c>
      <c r="CQ82" s="453">
        <v>43</v>
      </c>
      <c r="CR82" s="456">
        <v>0</v>
      </c>
      <c r="CS82" s="456">
        <v>0</v>
      </c>
      <c r="CT82" s="456">
        <v>0</v>
      </c>
      <c r="CU82" s="456">
        <v>0</v>
      </c>
      <c r="CV82" s="481">
        <v>526.64705882352939</v>
      </c>
      <c r="CW82" s="481">
        <v>1169.4791666666667</v>
      </c>
      <c r="CX82" s="481">
        <v>570.125</v>
      </c>
      <c r="CY82" s="481">
        <v>1087.27</v>
      </c>
      <c r="CZ82" s="456"/>
      <c r="DA82" s="456"/>
      <c r="DB82" s="456"/>
      <c r="DC82" s="456"/>
      <c r="DD82" s="456"/>
      <c r="DE82" s="456"/>
      <c r="DF82" s="456"/>
      <c r="DG82" s="425"/>
      <c r="DH82" s="456">
        <v>0</v>
      </c>
      <c r="DI82" s="456">
        <v>0.74</v>
      </c>
      <c r="DJ82" s="456">
        <v>1.29</v>
      </c>
      <c r="DK82" s="425"/>
      <c r="DL82" s="456"/>
      <c r="DM82" s="456"/>
      <c r="DN82" s="456"/>
      <c r="DO82" s="456"/>
      <c r="DP82" s="456"/>
      <c r="DQ82" s="456"/>
      <c r="DR82" s="456"/>
      <c r="DS82" s="456"/>
      <c r="DT82" s="456"/>
      <c r="DU82" s="456"/>
      <c r="DV82" s="456"/>
      <c r="DW82" s="456"/>
      <c r="DX82" s="456"/>
      <c r="DY82" s="456"/>
      <c r="DZ82" s="456"/>
      <c r="EA82" s="456"/>
      <c r="EB82" s="456"/>
      <c r="EC82" s="456"/>
      <c r="ED82" s="423">
        <v>0</v>
      </c>
      <c r="EE82" s="456">
        <v>0</v>
      </c>
      <c r="EF82" s="456">
        <v>2.5</v>
      </c>
      <c r="EG82" s="456">
        <v>6</v>
      </c>
      <c r="EH82" s="423">
        <v>0</v>
      </c>
      <c r="EI82" s="456"/>
      <c r="EJ82" s="456"/>
      <c r="EK82" s="456"/>
      <c r="EL82" s="456"/>
      <c r="EM82" s="456"/>
      <c r="EN82" s="456"/>
      <c r="EO82" s="425"/>
      <c r="EP82" s="425"/>
      <c r="EQ82" s="425" t="s">
        <v>743</v>
      </c>
      <c r="ER82" s="425">
        <v>1</v>
      </c>
      <c r="ES82" s="425">
        <v>10</v>
      </c>
      <c r="ET82" s="425">
        <v>1215</v>
      </c>
      <c r="EU82" s="457">
        <v>4000</v>
      </c>
      <c r="EV82" s="425">
        <v>225</v>
      </c>
      <c r="EW82" s="425">
        <v>6702128</v>
      </c>
      <c r="EX82" s="425">
        <v>99711</v>
      </c>
      <c r="EY82" s="666">
        <v>19.010000000000002</v>
      </c>
      <c r="EZ82" s="666">
        <v>19</v>
      </c>
      <c r="FA82" s="666">
        <v>0</v>
      </c>
      <c r="FB82" s="666">
        <v>1.32</v>
      </c>
      <c r="FC82" s="666">
        <v>1.24</v>
      </c>
      <c r="FD82" s="666">
        <v>1.1519999999999999</v>
      </c>
      <c r="FE82" s="666">
        <v>1.08</v>
      </c>
      <c r="FF82" s="666">
        <v>185</v>
      </c>
      <c r="FG82" s="666">
        <v>2.27</v>
      </c>
      <c r="FH82" s="666">
        <v>0.60899999999999999</v>
      </c>
      <c r="FI82" s="666">
        <v>1.3</v>
      </c>
      <c r="FJ82" s="666">
        <v>8.32</v>
      </c>
      <c r="FK82" s="666">
        <v>8.5</v>
      </c>
      <c r="FL82" s="666">
        <v>8.3000000000000007</v>
      </c>
      <c r="FM82" s="666">
        <v>8.1</v>
      </c>
      <c r="FN82" s="666">
        <v>0</v>
      </c>
    </row>
    <row r="83" spans="1:170" s="416" customFormat="1" ht="15">
      <c r="A83" s="425" t="s">
        <v>7</v>
      </c>
      <c r="B83" s="426">
        <v>40612</v>
      </c>
      <c r="C83" s="418">
        <v>0</v>
      </c>
      <c r="D83" s="518">
        <v>0.8</v>
      </c>
      <c r="E83" s="453">
        <v>0</v>
      </c>
      <c r="F83" s="453">
        <v>38</v>
      </c>
      <c r="G83" s="453">
        <v>1.85</v>
      </c>
      <c r="H83" s="519">
        <v>15.46</v>
      </c>
      <c r="I83" s="519">
        <v>89.9</v>
      </c>
      <c r="J83" s="483">
        <v>2.67</v>
      </c>
      <c r="K83" s="520" t="s">
        <v>742</v>
      </c>
      <c r="L83" s="453">
        <v>28.720000000001164</v>
      </c>
      <c r="M83" s="453">
        <v>21.6</v>
      </c>
      <c r="N83" s="453">
        <v>1.32</v>
      </c>
      <c r="O83" s="453">
        <v>1.8726243623984637</v>
      </c>
      <c r="P83" s="453" t="s">
        <v>742</v>
      </c>
      <c r="Q83" s="453">
        <v>5.3077939233946427</v>
      </c>
      <c r="R83" s="453">
        <v>775.42830118890345</v>
      </c>
      <c r="S83" s="453">
        <v>7.71</v>
      </c>
      <c r="T83" s="453" t="s">
        <v>742</v>
      </c>
      <c r="U83" s="453">
        <v>0.72</v>
      </c>
      <c r="V83" s="453" t="s">
        <v>742</v>
      </c>
      <c r="W83" s="453">
        <v>42.980000000000004</v>
      </c>
      <c r="X83" s="456" t="e">
        <v>#VALUE!</v>
      </c>
      <c r="Y83" s="453">
        <v>29.53</v>
      </c>
      <c r="Z83" s="453">
        <v>25.8</v>
      </c>
      <c r="AA83" s="519">
        <v>29.639999999999418</v>
      </c>
      <c r="AB83" s="519">
        <v>18.319999999999709</v>
      </c>
      <c r="AC83" s="732">
        <f t="shared" si="1"/>
        <v>47.959999999999127</v>
      </c>
      <c r="AD83" s="664"/>
      <c r="AE83" s="664"/>
      <c r="AF83" s="664"/>
      <c r="AG83" s="664"/>
      <c r="AH83" s="664"/>
      <c r="AI83" s="664"/>
      <c r="AJ83" s="485"/>
      <c r="AK83" s="485"/>
      <c r="AL83" s="485"/>
      <c r="AM83" s="485"/>
      <c r="AN83" s="485"/>
      <c r="AO83" s="665"/>
      <c r="AP83" s="485"/>
      <c r="AQ83" s="483"/>
      <c r="AR83" s="755">
        <v>0</v>
      </c>
      <c r="AS83" s="483">
        <v>18.399999999999999</v>
      </c>
      <c r="AT83" s="755">
        <v>0</v>
      </c>
      <c r="AU83" s="483">
        <v>31.1</v>
      </c>
      <c r="AV83" s="484">
        <v>694.2</v>
      </c>
      <c r="AW83" s="484">
        <v>642.4</v>
      </c>
      <c r="AX83" s="453">
        <v>0</v>
      </c>
      <c r="AY83" s="734">
        <v>0</v>
      </c>
      <c r="AZ83" s="734">
        <v>0</v>
      </c>
      <c r="BA83" s="734">
        <v>0</v>
      </c>
      <c r="BB83" s="453">
        <v>0</v>
      </c>
      <c r="BC83" s="453">
        <v>0.24</v>
      </c>
      <c r="BD83" s="453">
        <v>0.35</v>
      </c>
      <c r="BE83" s="734">
        <v>0</v>
      </c>
      <c r="BF83" s="453">
        <v>0</v>
      </c>
      <c r="BG83" s="453">
        <v>0</v>
      </c>
      <c r="BH83" s="734">
        <v>0</v>
      </c>
      <c r="BI83" s="453">
        <v>0</v>
      </c>
      <c r="BJ83" s="453">
        <v>17.8</v>
      </c>
      <c r="BK83" s="453">
        <v>0.71</v>
      </c>
      <c r="BL83" s="453">
        <v>0.81</v>
      </c>
      <c r="BM83" s="453">
        <v>0</v>
      </c>
      <c r="BN83" s="453">
        <v>16.2</v>
      </c>
      <c r="BO83" s="453">
        <v>900.2</v>
      </c>
      <c r="BP83" s="453">
        <v>0</v>
      </c>
      <c r="BQ83" s="453">
        <v>19</v>
      </c>
      <c r="BR83" s="453">
        <v>18.89</v>
      </c>
      <c r="BS83" s="453">
        <v>0</v>
      </c>
      <c r="BT83" s="453">
        <v>29.9</v>
      </c>
      <c r="BU83" s="453">
        <v>25</v>
      </c>
      <c r="BV83" s="456">
        <v>533.9</v>
      </c>
      <c r="BW83" s="453">
        <v>0.6</v>
      </c>
      <c r="BX83" s="453">
        <v>1.48</v>
      </c>
      <c r="BY83" s="456">
        <v>1.1100000000000001</v>
      </c>
      <c r="BZ83" s="456">
        <v>14.95</v>
      </c>
      <c r="CA83" s="456">
        <v>36.6</v>
      </c>
      <c r="CB83" s="456">
        <v>12.2</v>
      </c>
      <c r="CC83" s="456">
        <v>8</v>
      </c>
      <c r="CD83" s="456">
        <v>12.3</v>
      </c>
      <c r="CE83" s="456">
        <v>16.3</v>
      </c>
      <c r="CF83" s="456">
        <v>13.07</v>
      </c>
      <c r="CG83" s="456">
        <v>466.6</v>
      </c>
      <c r="CH83" s="456">
        <v>2.5</v>
      </c>
      <c r="CI83" s="456">
        <v>3.6</v>
      </c>
      <c r="CJ83" s="456">
        <v>294.89999999999998</v>
      </c>
      <c r="CK83" s="456">
        <v>380.4</v>
      </c>
      <c r="CL83" s="456">
        <v>558.4</v>
      </c>
      <c r="CM83" s="456">
        <v>11.9</v>
      </c>
      <c r="CN83" s="456">
        <v>1.61</v>
      </c>
      <c r="CO83" s="453">
        <v>0</v>
      </c>
      <c r="CP83" s="453">
        <v>16.7</v>
      </c>
      <c r="CQ83" s="453">
        <v>43</v>
      </c>
      <c r="CR83" s="456">
        <v>0</v>
      </c>
      <c r="CS83" s="456">
        <v>0</v>
      </c>
      <c r="CT83" s="456">
        <v>0</v>
      </c>
      <c r="CU83" s="456">
        <v>0</v>
      </c>
      <c r="CV83" s="481">
        <v>968.88235294117646</v>
      </c>
      <c r="CW83" s="481">
        <v>2253.0208333333335</v>
      </c>
      <c r="CX83" s="481">
        <v>1300.46875</v>
      </c>
      <c r="CY83" s="481">
        <v>1091.6400000000001</v>
      </c>
      <c r="CZ83" s="456"/>
      <c r="DA83" s="456"/>
      <c r="DB83" s="456"/>
      <c r="DC83" s="456"/>
      <c r="DD83" s="456"/>
      <c r="DE83" s="456"/>
      <c r="DF83" s="456"/>
      <c r="DG83" s="425"/>
      <c r="DH83" s="456">
        <v>0</v>
      </c>
      <c r="DI83" s="456">
        <v>0.69</v>
      </c>
      <c r="DJ83" s="456">
        <v>1.1499999999999999</v>
      </c>
      <c r="DK83" s="425"/>
      <c r="DL83" s="456"/>
      <c r="DM83" s="456"/>
      <c r="DN83" s="456"/>
      <c r="DO83" s="456"/>
      <c r="DP83" s="456"/>
      <c r="DQ83" s="456"/>
      <c r="DR83" s="456"/>
      <c r="DS83" s="456"/>
      <c r="DT83" s="456"/>
      <c r="DU83" s="456"/>
      <c r="DV83" s="456"/>
      <c r="DW83" s="456"/>
      <c r="DX83" s="456"/>
      <c r="DY83" s="456"/>
      <c r="DZ83" s="456"/>
      <c r="EA83" s="456"/>
      <c r="EB83" s="456"/>
      <c r="EC83" s="456"/>
      <c r="ED83" s="423">
        <v>0</v>
      </c>
      <c r="EE83" s="456">
        <v>0</v>
      </c>
      <c r="EF83" s="456">
        <v>2.5</v>
      </c>
      <c r="EG83" s="456">
        <v>6</v>
      </c>
      <c r="EH83" s="423">
        <v>0</v>
      </c>
      <c r="EI83" s="456"/>
      <c r="EJ83" s="456"/>
      <c r="EK83" s="456"/>
      <c r="EL83" s="456"/>
      <c r="EM83" s="456"/>
      <c r="EN83" s="456"/>
      <c r="EO83" s="425"/>
      <c r="EP83" s="425"/>
      <c r="EQ83" s="425" t="s">
        <v>743</v>
      </c>
      <c r="ER83" s="425">
        <v>1</v>
      </c>
      <c r="ES83" s="425">
        <v>10</v>
      </c>
      <c r="ET83" s="425">
        <v>1000</v>
      </c>
      <c r="EU83" s="457">
        <v>4000</v>
      </c>
      <c r="EV83" s="425">
        <v>255</v>
      </c>
      <c r="EW83" s="425">
        <v>6704783</v>
      </c>
      <c r="EX83" s="425">
        <v>510</v>
      </c>
      <c r="EY83" s="666">
        <v>18.79</v>
      </c>
      <c r="EZ83" s="666">
        <v>18.78</v>
      </c>
      <c r="FA83" s="666">
        <v>0</v>
      </c>
      <c r="FB83" s="666">
        <v>1.51</v>
      </c>
      <c r="FC83" s="666">
        <v>1.34</v>
      </c>
      <c r="FD83" s="666">
        <v>1.1299999999999999</v>
      </c>
      <c r="FE83" s="666">
        <v>1.1200000000000001</v>
      </c>
      <c r="FF83" s="666">
        <v>215</v>
      </c>
      <c r="FG83" s="666">
        <v>2.44</v>
      </c>
      <c r="FH83" s="666">
        <v>0.68700000000000006</v>
      </c>
      <c r="FI83" s="666">
        <v>1.27</v>
      </c>
      <c r="FJ83" s="666">
        <v>8.7100000000000009</v>
      </c>
      <c r="FK83" s="666">
        <v>8.6</v>
      </c>
      <c r="FL83" s="666">
        <v>8.24</v>
      </c>
      <c r="FM83" s="666">
        <v>8</v>
      </c>
      <c r="FN83" s="666">
        <v>0</v>
      </c>
    </row>
    <row r="84" spans="1:170" s="416" customFormat="1" ht="15">
      <c r="A84" s="425" t="s">
        <v>8</v>
      </c>
      <c r="B84" s="426">
        <v>40613</v>
      </c>
      <c r="C84" s="418">
        <v>0</v>
      </c>
      <c r="D84" s="518">
        <v>0</v>
      </c>
      <c r="E84" s="453">
        <v>0</v>
      </c>
      <c r="F84" s="453">
        <v>40</v>
      </c>
      <c r="G84" s="453">
        <v>1.4</v>
      </c>
      <c r="H84" s="519">
        <v>15.8</v>
      </c>
      <c r="I84" s="519">
        <v>84.2</v>
      </c>
      <c r="J84" s="483">
        <v>2.6</v>
      </c>
      <c r="K84" s="520" t="s">
        <v>742</v>
      </c>
      <c r="L84" s="453">
        <v>36.719999999999345</v>
      </c>
      <c r="M84" s="453">
        <v>21.6</v>
      </c>
      <c r="N84" s="453">
        <v>1.4</v>
      </c>
      <c r="O84" s="453">
        <v>1.9270717189195192</v>
      </c>
      <c r="P84" s="453" t="s">
        <v>742</v>
      </c>
      <c r="Q84" s="453">
        <v>0</v>
      </c>
      <c r="R84" s="453">
        <v>737.85533421400248</v>
      </c>
      <c r="S84" s="453">
        <v>7.8</v>
      </c>
      <c r="T84" s="453" t="s">
        <v>742</v>
      </c>
      <c r="U84" s="453">
        <v>0.7</v>
      </c>
      <c r="V84" s="453" t="s">
        <v>742</v>
      </c>
      <c r="W84" s="453">
        <v>43.160000000000011</v>
      </c>
      <c r="X84" s="456" t="e">
        <v>#VALUE!</v>
      </c>
      <c r="Y84" s="453">
        <v>30.02</v>
      </c>
      <c r="Z84" s="453">
        <v>15.19</v>
      </c>
      <c r="AA84" s="519">
        <v>30.559999999997672</v>
      </c>
      <c r="AB84" s="519">
        <v>15.30000000000291</v>
      </c>
      <c r="AC84" s="732">
        <f t="shared" si="1"/>
        <v>45.860000000000582</v>
      </c>
      <c r="AD84" s="664"/>
      <c r="AE84" s="664"/>
      <c r="AF84" s="664"/>
      <c r="AG84" s="664"/>
      <c r="AH84" s="664"/>
      <c r="AI84" s="664"/>
      <c r="AJ84" s="485"/>
      <c r="AK84" s="485"/>
      <c r="AL84" s="485"/>
      <c r="AM84" s="485"/>
      <c r="AN84" s="485"/>
      <c r="AO84" s="665"/>
      <c r="AP84" s="485"/>
      <c r="AQ84" s="483"/>
      <c r="AR84" s="755">
        <v>0</v>
      </c>
      <c r="AS84" s="483">
        <v>38.200000000000003</v>
      </c>
      <c r="AT84" s="755">
        <v>0</v>
      </c>
      <c r="AU84" s="483">
        <v>31.1</v>
      </c>
      <c r="AV84" s="484">
        <v>254.7</v>
      </c>
      <c r="AW84" s="484">
        <v>2335.4</v>
      </c>
      <c r="AX84" s="453">
        <v>0</v>
      </c>
      <c r="AY84" s="734">
        <v>0</v>
      </c>
      <c r="AZ84" s="734">
        <v>0</v>
      </c>
      <c r="BA84" s="734">
        <v>0</v>
      </c>
      <c r="BB84" s="453">
        <v>0</v>
      </c>
      <c r="BC84" s="453">
        <v>0</v>
      </c>
      <c r="BD84" s="453">
        <v>0</v>
      </c>
      <c r="BE84" s="734">
        <v>0</v>
      </c>
      <c r="BF84" s="453">
        <v>0</v>
      </c>
      <c r="BG84" s="453">
        <v>0</v>
      </c>
      <c r="BH84" s="734">
        <v>0</v>
      </c>
      <c r="BI84" s="453">
        <v>0</v>
      </c>
      <c r="BJ84" s="453">
        <v>15.2</v>
      </c>
      <c r="BK84" s="453">
        <v>0</v>
      </c>
      <c r="BL84" s="453">
        <v>0</v>
      </c>
      <c r="BM84" s="453">
        <v>0</v>
      </c>
      <c r="BN84" s="453">
        <v>15</v>
      </c>
      <c r="BO84" s="453">
        <v>1498.2</v>
      </c>
      <c r="BP84" s="453">
        <v>0</v>
      </c>
      <c r="BQ84" s="453">
        <v>18.86</v>
      </c>
      <c r="BR84" s="453">
        <v>18.77</v>
      </c>
      <c r="BS84" s="453">
        <v>0</v>
      </c>
      <c r="BT84" s="453">
        <v>31.2</v>
      </c>
      <c r="BU84" s="453">
        <v>26.5</v>
      </c>
      <c r="BV84" s="456">
        <v>510</v>
      </c>
      <c r="BW84" s="453">
        <v>0.7</v>
      </c>
      <c r="BX84" s="453">
        <v>1.59</v>
      </c>
      <c r="BY84" s="456">
        <v>1.1000000000000001</v>
      </c>
      <c r="BZ84" s="456">
        <v>14.5</v>
      </c>
      <c r="CA84" s="456">
        <v>36.700000000000003</v>
      </c>
      <c r="CB84" s="456">
        <v>12.5</v>
      </c>
      <c r="CC84" s="456">
        <v>9.6999999999999993</v>
      </c>
      <c r="CD84" s="456">
        <v>13.89</v>
      </c>
      <c r="CE84" s="456">
        <v>18.2</v>
      </c>
      <c r="CF84" s="456">
        <v>12.76</v>
      </c>
      <c r="CG84" s="456">
        <v>550.1</v>
      </c>
      <c r="CH84" s="456">
        <v>2</v>
      </c>
      <c r="CI84" s="456">
        <v>3.3</v>
      </c>
      <c r="CJ84" s="456">
        <v>274.3</v>
      </c>
      <c r="CK84" s="456">
        <v>368.1</v>
      </c>
      <c r="CL84" s="456">
        <v>550.79999999999995</v>
      </c>
      <c r="CM84" s="456">
        <v>12.1</v>
      </c>
      <c r="CN84" s="456">
        <v>1.6</v>
      </c>
      <c r="CO84" s="453">
        <v>0</v>
      </c>
      <c r="CP84" s="453">
        <v>16.43</v>
      </c>
      <c r="CQ84" s="453">
        <v>43</v>
      </c>
      <c r="CR84" s="456">
        <v>0</v>
      </c>
      <c r="CS84" s="456">
        <v>0</v>
      </c>
      <c r="CT84" s="456">
        <v>0</v>
      </c>
      <c r="CU84" s="456">
        <v>0</v>
      </c>
      <c r="CV84" s="481">
        <v>1271.7647058823529</v>
      </c>
      <c r="CW84" s="481">
        <v>2587.8125</v>
      </c>
      <c r="CX84" s="481">
        <v>1343.8541666666667</v>
      </c>
      <c r="CY84" s="481">
        <v>1093.78</v>
      </c>
      <c r="CZ84" s="456"/>
      <c r="DA84" s="456"/>
      <c r="DB84" s="456"/>
      <c r="DC84" s="456"/>
      <c r="DD84" s="456"/>
      <c r="DE84" s="456"/>
      <c r="DF84" s="456"/>
      <c r="DG84" s="425"/>
      <c r="DH84" s="456">
        <v>0</v>
      </c>
      <c r="DI84" s="456">
        <v>0.7</v>
      </c>
      <c r="DJ84" s="456">
        <v>0.96</v>
      </c>
      <c r="DK84" s="425"/>
      <c r="DL84" s="456"/>
      <c r="DM84" s="456"/>
      <c r="DN84" s="456"/>
      <c r="DO84" s="456"/>
      <c r="DP84" s="456"/>
      <c r="DQ84" s="456"/>
      <c r="DR84" s="456"/>
      <c r="DS84" s="456"/>
      <c r="DT84" s="456"/>
      <c r="DU84" s="456"/>
      <c r="DV84" s="456"/>
      <c r="DW84" s="456"/>
      <c r="DX84" s="456"/>
      <c r="DY84" s="456"/>
      <c r="DZ84" s="456"/>
      <c r="EA84" s="456"/>
      <c r="EB84" s="456"/>
      <c r="EC84" s="456"/>
      <c r="ED84" s="423">
        <v>0</v>
      </c>
      <c r="EE84" s="456">
        <v>0</v>
      </c>
      <c r="EF84" s="456">
        <v>2.5</v>
      </c>
      <c r="EG84" s="456">
        <v>6</v>
      </c>
      <c r="EH84" s="423">
        <v>0</v>
      </c>
      <c r="EI84" s="456"/>
      <c r="EJ84" s="456"/>
      <c r="EK84" s="456"/>
      <c r="EL84" s="456"/>
      <c r="EM84" s="456"/>
      <c r="EN84" s="456"/>
      <c r="EO84" s="425"/>
      <c r="EP84" s="425"/>
      <c r="EQ84" s="425" t="s">
        <v>743</v>
      </c>
      <c r="ER84" s="425">
        <v>1</v>
      </c>
      <c r="ES84" s="425">
        <v>10</v>
      </c>
      <c r="ET84" s="425">
        <v>770</v>
      </c>
      <c r="EU84" s="457">
        <v>4000</v>
      </c>
      <c r="EV84" s="425">
        <v>225</v>
      </c>
      <c r="EW84" s="425">
        <v>6707266</v>
      </c>
      <c r="EX84" s="425">
        <v>1289</v>
      </c>
      <c r="EY84" s="666">
        <v>18.78</v>
      </c>
      <c r="EZ84" s="666">
        <v>18.77</v>
      </c>
      <c r="FA84" s="666">
        <v>0</v>
      </c>
      <c r="FB84" s="666">
        <v>1.54</v>
      </c>
      <c r="FC84" s="666">
        <v>1.43</v>
      </c>
      <c r="FD84" s="666">
        <v>1.1910000000000001</v>
      </c>
      <c r="FE84" s="666">
        <v>1.18</v>
      </c>
      <c r="FF84" s="666">
        <v>230</v>
      </c>
      <c r="FG84" s="666">
        <v>1.19</v>
      </c>
      <c r="FH84" s="666">
        <v>0.69799999999999995</v>
      </c>
      <c r="FI84" s="666">
        <v>1.24</v>
      </c>
      <c r="FJ84" s="666">
        <v>8.58</v>
      </c>
      <c r="FK84" s="666">
        <v>8.9</v>
      </c>
      <c r="FL84" s="666">
        <v>8.36</v>
      </c>
      <c r="FM84" s="666">
        <v>7.8</v>
      </c>
      <c r="FN84" s="666">
        <v>0</v>
      </c>
    </row>
    <row r="85" spans="1:170" s="416" customFormat="1" ht="15">
      <c r="A85" s="425" t="s">
        <v>9</v>
      </c>
      <c r="B85" s="426">
        <v>40614</v>
      </c>
      <c r="C85" s="418">
        <v>0</v>
      </c>
      <c r="D85" s="518">
        <v>0.27</v>
      </c>
      <c r="E85" s="453">
        <v>0</v>
      </c>
      <c r="F85" s="453">
        <v>39</v>
      </c>
      <c r="G85" s="453">
        <v>1.4</v>
      </c>
      <c r="H85" s="519">
        <v>6.1</v>
      </c>
      <c r="I85" s="519">
        <v>88.1</v>
      </c>
      <c r="J85" s="483">
        <v>3.1</v>
      </c>
      <c r="K85" s="520" t="s">
        <v>742</v>
      </c>
      <c r="L85" s="453">
        <v>11.149999999999636</v>
      </c>
      <c r="M85" s="453">
        <v>24.2</v>
      </c>
      <c r="N85" s="453">
        <v>1.4</v>
      </c>
      <c r="O85" s="453">
        <v>2.128467635402866</v>
      </c>
      <c r="P85" s="453" t="s">
        <v>742</v>
      </c>
      <c r="Q85" s="453">
        <v>0</v>
      </c>
      <c r="R85" s="453">
        <v>835.0268005284014</v>
      </c>
      <c r="S85" s="453">
        <v>7.7</v>
      </c>
      <c r="T85" s="453" t="s">
        <v>742</v>
      </c>
      <c r="U85" s="453">
        <v>0.7</v>
      </c>
      <c r="V85" s="453" t="s">
        <v>742</v>
      </c>
      <c r="W85" s="453">
        <v>42.08</v>
      </c>
      <c r="X85" s="456" t="e">
        <v>#VALUE!</v>
      </c>
      <c r="Y85" s="453">
        <v>30.3</v>
      </c>
      <c r="Z85" s="453">
        <v>15.3</v>
      </c>
      <c r="AA85" s="519">
        <v>29.80000000000291</v>
      </c>
      <c r="AB85" s="519">
        <v>17.19999999999709</v>
      </c>
      <c r="AC85" s="732">
        <f t="shared" si="1"/>
        <v>47</v>
      </c>
      <c r="AD85" s="664"/>
      <c r="AE85" s="664"/>
      <c r="AF85" s="664"/>
      <c r="AG85" s="664"/>
      <c r="AH85" s="664"/>
      <c r="AI85" s="664"/>
      <c r="AJ85" s="485"/>
      <c r="AK85" s="485"/>
      <c r="AL85" s="485"/>
      <c r="AM85" s="485"/>
      <c r="AN85" s="485"/>
      <c r="AO85" s="665"/>
      <c r="AP85" s="485"/>
      <c r="AQ85" s="483"/>
      <c r="AR85" s="755">
        <v>0</v>
      </c>
      <c r="AS85" s="483">
        <v>19</v>
      </c>
      <c r="AT85" s="755">
        <v>0</v>
      </c>
      <c r="AU85" s="483">
        <v>31.1</v>
      </c>
      <c r="AV85" s="484">
        <v>469.6</v>
      </c>
      <c r="AW85" s="484">
        <v>456</v>
      </c>
      <c r="AX85" s="453">
        <v>0</v>
      </c>
      <c r="AY85" s="734">
        <v>0</v>
      </c>
      <c r="AZ85" s="734">
        <v>0</v>
      </c>
      <c r="BA85" s="734">
        <v>0</v>
      </c>
      <c r="BB85" s="453">
        <v>0</v>
      </c>
      <c r="BC85" s="453">
        <v>0.28000000000000003</v>
      </c>
      <c r="BD85" s="453">
        <v>0.41</v>
      </c>
      <c r="BE85" s="734">
        <v>0</v>
      </c>
      <c r="BF85" s="453">
        <v>0</v>
      </c>
      <c r="BG85" s="453">
        <v>0</v>
      </c>
      <c r="BH85" s="734">
        <v>0</v>
      </c>
      <c r="BI85" s="453">
        <v>0</v>
      </c>
      <c r="BJ85" s="453">
        <v>16.7</v>
      </c>
      <c r="BK85" s="453">
        <v>0.78</v>
      </c>
      <c r="BL85" s="453">
        <v>0.99</v>
      </c>
      <c r="BM85" s="453">
        <v>0</v>
      </c>
      <c r="BN85" s="453">
        <v>14.8</v>
      </c>
      <c r="BO85" s="453">
        <v>1278.8</v>
      </c>
      <c r="BP85" s="453">
        <v>0</v>
      </c>
      <c r="BQ85" s="453">
        <v>18.600000000000001</v>
      </c>
      <c r="BR85" s="453">
        <v>18.5</v>
      </c>
      <c r="BS85" s="453">
        <v>0</v>
      </c>
      <c r="BT85" s="453">
        <v>30.5</v>
      </c>
      <c r="BU85" s="453">
        <v>27</v>
      </c>
      <c r="BV85" s="456">
        <v>447.3</v>
      </c>
      <c r="BW85" s="453">
        <v>0.85</v>
      </c>
      <c r="BX85" s="453">
        <v>1.59</v>
      </c>
      <c r="BY85" s="456">
        <v>1.1200000000000001</v>
      </c>
      <c r="BZ85" s="456">
        <v>14.5</v>
      </c>
      <c r="CA85" s="456">
        <v>37.5</v>
      </c>
      <c r="CB85" s="456">
        <v>14</v>
      </c>
      <c r="CC85" s="456">
        <v>9.6999999999999993</v>
      </c>
      <c r="CD85" s="456">
        <v>14</v>
      </c>
      <c r="CE85" s="456">
        <v>18</v>
      </c>
      <c r="CF85" s="456">
        <v>12.69</v>
      </c>
      <c r="CG85" s="456">
        <v>413.8</v>
      </c>
      <c r="CH85" s="456">
        <v>2</v>
      </c>
      <c r="CI85" s="456">
        <v>3</v>
      </c>
      <c r="CJ85" s="456">
        <v>413.3</v>
      </c>
      <c r="CK85" s="456">
        <v>390.8</v>
      </c>
      <c r="CL85" s="456">
        <v>519.20000000000005</v>
      </c>
      <c r="CM85" s="456">
        <v>12.1</v>
      </c>
      <c r="CN85" s="456">
        <v>1.76</v>
      </c>
      <c r="CO85" s="453">
        <v>0</v>
      </c>
      <c r="CP85" s="453">
        <v>16.510000000000002</v>
      </c>
      <c r="CQ85" s="453">
        <v>44</v>
      </c>
      <c r="CR85" s="456">
        <v>0</v>
      </c>
      <c r="CS85" s="456">
        <v>0</v>
      </c>
      <c r="CT85" s="456">
        <v>0</v>
      </c>
      <c r="CU85" s="456">
        <v>0</v>
      </c>
      <c r="CV85" s="481">
        <v>1005.6470588235294</v>
      </c>
      <c r="CW85" s="481">
        <v>2021.875</v>
      </c>
      <c r="CX85" s="481">
        <v>1023.1875</v>
      </c>
      <c r="CY85" s="481">
        <v>1095.5899999999999</v>
      </c>
      <c r="CZ85" s="456"/>
      <c r="DA85" s="456"/>
      <c r="DB85" s="456"/>
      <c r="DC85" s="456"/>
      <c r="DD85" s="456"/>
      <c r="DE85" s="456"/>
      <c r="DF85" s="456"/>
      <c r="DG85" s="425"/>
      <c r="DH85" s="456">
        <v>0</v>
      </c>
      <c r="DI85" s="456">
        <v>0.54</v>
      </c>
      <c r="DJ85" s="456">
        <v>1.21</v>
      </c>
      <c r="DK85" s="425"/>
      <c r="DL85" s="456"/>
      <c r="DM85" s="456"/>
      <c r="DN85" s="456"/>
      <c r="DO85" s="456"/>
      <c r="DP85" s="456"/>
      <c r="DQ85" s="456"/>
      <c r="DR85" s="456"/>
      <c r="DS85" s="456"/>
      <c r="DT85" s="456"/>
      <c r="DU85" s="456"/>
      <c r="DV85" s="456"/>
      <c r="DW85" s="456"/>
      <c r="DX85" s="456"/>
      <c r="DY85" s="456"/>
      <c r="DZ85" s="456"/>
      <c r="EA85" s="456"/>
      <c r="EB85" s="456"/>
      <c r="EC85" s="456"/>
      <c r="ED85" s="423">
        <v>0</v>
      </c>
      <c r="EE85" s="456">
        <v>0</v>
      </c>
      <c r="EF85" s="456">
        <v>2.5</v>
      </c>
      <c r="EG85" s="456">
        <v>6</v>
      </c>
      <c r="EH85" s="423">
        <v>0</v>
      </c>
      <c r="EI85" s="456"/>
      <c r="EJ85" s="456"/>
      <c r="EK85" s="456"/>
      <c r="EL85" s="456"/>
      <c r="EM85" s="456"/>
      <c r="EN85" s="456"/>
      <c r="EO85" s="425"/>
      <c r="EP85" s="425"/>
      <c r="EQ85" s="425" t="s">
        <v>743</v>
      </c>
      <c r="ER85" s="425">
        <v>1</v>
      </c>
      <c r="ES85" s="425">
        <v>10</v>
      </c>
      <c r="ET85" s="425">
        <v>570</v>
      </c>
      <c r="EU85" s="457">
        <v>4000</v>
      </c>
      <c r="EV85" s="425">
        <v>255</v>
      </c>
      <c r="EW85" s="425">
        <v>6709788</v>
      </c>
      <c r="EX85" s="425">
        <v>2068</v>
      </c>
      <c r="EY85" s="666">
        <v>18.79</v>
      </c>
      <c r="EZ85" s="666">
        <v>18.78</v>
      </c>
      <c r="FA85" s="666">
        <v>0</v>
      </c>
      <c r="FB85" s="666">
        <v>1.38</v>
      </c>
      <c r="FC85" s="666">
        <v>1.34</v>
      </c>
      <c r="FD85" s="666">
        <v>1.22</v>
      </c>
      <c r="FE85" s="666">
        <v>1.24</v>
      </c>
      <c r="FF85" s="666">
        <v>200</v>
      </c>
      <c r="FG85" s="666">
        <v>2.4900000000000002</v>
      </c>
      <c r="FH85" s="666">
        <v>0.85699999999999998</v>
      </c>
      <c r="FI85" s="666">
        <v>1.41</v>
      </c>
      <c r="FJ85" s="666">
        <v>8.25</v>
      </c>
      <c r="FK85" s="666">
        <v>8.1</v>
      </c>
      <c r="FL85" s="666">
        <v>8.33</v>
      </c>
      <c r="FM85" s="666">
        <v>8</v>
      </c>
      <c r="FN85" s="666">
        <v>0</v>
      </c>
    </row>
    <row r="86" spans="1:170" s="416" customFormat="1" ht="15">
      <c r="A86" s="425" t="s">
        <v>3</v>
      </c>
      <c r="B86" s="426">
        <v>40615</v>
      </c>
      <c r="C86" s="418">
        <v>0</v>
      </c>
      <c r="D86" s="518">
        <v>0.54</v>
      </c>
      <c r="E86" s="453">
        <v>0</v>
      </c>
      <c r="F86" s="453">
        <v>39</v>
      </c>
      <c r="G86" s="453">
        <v>1.4</v>
      </c>
      <c r="H86" s="519">
        <v>3</v>
      </c>
      <c r="I86" s="519">
        <v>90.9</v>
      </c>
      <c r="J86" s="483">
        <v>2.7</v>
      </c>
      <c r="K86" s="520" t="s">
        <v>742</v>
      </c>
      <c r="L86" s="453">
        <v>0</v>
      </c>
      <c r="M86" s="453">
        <v>24.8</v>
      </c>
      <c r="N86" s="453">
        <v>1.5</v>
      </c>
      <c r="O86" s="453">
        <v>2.3325558878752441</v>
      </c>
      <c r="P86" s="453" t="s">
        <v>742</v>
      </c>
      <c r="Q86" s="453">
        <v>0</v>
      </c>
      <c r="R86" s="453">
        <v>983.37523910171717</v>
      </c>
      <c r="S86" s="453">
        <v>7.7</v>
      </c>
      <c r="T86" s="453" t="s">
        <v>742</v>
      </c>
      <c r="U86" s="453">
        <v>0.7</v>
      </c>
      <c r="V86" s="453" t="s">
        <v>742</v>
      </c>
      <c r="W86" s="453">
        <v>40.28</v>
      </c>
      <c r="X86" s="456" t="e">
        <v>#VALUE!</v>
      </c>
      <c r="Y86" s="453">
        <v>29.7</v>
      </c>
      <c r="Z86" s="453">
        <v>23.4</v>
      </c>
      <c r="AA86" s="519">
        <v>28.529999999998836</v>
      </c>
      <c r="AB86" s="519">
        <v>22.200000000004366</v>
      </c>
      <c r="AC86" s="732">
        <f t="shared" si="1"/>
        <v>50.730000000003201</v>
      </c>
      <c r="AD86" s="664"/>
      <c r="AE86" s="664"/>
      <c r="AF86" s="664"/>
      <c r="AG86" s="664"/>
      <c r="AH86" s="664"/>
      <c r="AI86" s="664"/>
      <c r="AJ86" s="485"/>
      <c r="AK86" s="485"/>
      <c r="AL86" s="485"/>
      <c r="AM86" s="485"/>
      <c r="AN86" s="485"/>
      <c r="AO86" s="665"/>
      <c r="AP86" s="485"/>
      <c r="AQ86" s="483"/>
      <c r="AR86" s="755">
        <v>0</v>
      </c>
      <c r="AS86" s="483">
        <v>36.799999999999997</v>
      </c>
      <c r="AT86" s="755">
        <v>0</v>
      </c>
      <c r="AU86" s="483">
        <v>31</v>
      </c>
      <c r="AV86" s="484">
        <v>507.1</v>
      </c>
      <c r="AW86" s="484">
        <v>488</v>
      </c>
      <c r="AX86" s="453">
        <v>0</v>
      </c>
      <c r="AY86" s="734">
        <v>0</v>
      </c>
      <c r="AZ86" s="734">
        <v>0</v>
      </c>
      <c r="BA86" s="734">
        <v>0</v>
      </c>
      <c r="BB86" s="453">
        <v>0</v>
      </c>
      <c r="BC86" s="453">
        <v>1.01</v>
      </c>
      <c r="BD86" s="453">
        <v>1.51</v>
      </c>
      <c r="BE86" s="734">
        <v>0</v>
      </c>
      <c r="BF86" s="453">
        <v>0</v>
      </c>
      <c r="BG86" s="453">
        <v>0</v>
      </c>
      <c r="BH86" s="734">
        <v>0</v>
      </c>
      <c r="BI86" s="453">
        <v>0</v>
      </c>
      <c r="BJ86" s="453">
        <v>20.6</v>
      </c>
      <c r="BK86" s="453">
        <v>2.72</v>
      </c>
      <c r="BL86" s="453">
        <v>3.3</v>
      </c>
      <c r="BM86" s="453">
        <v>0</v>
      </c>
      <c r="BN86" s="453">
        <v>14.5</v>
      </c>
      <c r="BO86" s="453">
        <v>1276.8</v>
      </c>
      <c r="BP86" s="453">
        <v>0</v>
      </c>
      <c r="BQ86" s="453">
        <v>18.46</v>
      </c>
      <c r="BR86" s="453">
        <v>18.329999999999998</v>
      </c>
      <c r="BS86" s="453">
        <v>0</v>
      </c>
      <c r="BT86" s="453">
        <v>30</v>
      </c>
      <c r="BU86" s="453">
        <v>25.9</v>
      </c>
      <c r="BV86" s="456">
        <v>438.3</v>
      </c>
      <c r="BW86" s="453">
        <v>1.05</v>
      </c>
      <c r="BX86" s="453">
        <v>1.51</v>
      </c>
      <c r="BY86" s="456">
        <v>1.1200000000000001</v>
      </c>
      <c r="BZ86" s="456">
        <v>14.8</v>
      </c>
      <c r="CA86" s="456">
        <v>35.1</v>
      </c>
      <c r="CB86" s="456">
        <v>13.4</v>
      </c>
      <c r="CC86" s="456">
        <v>9.4</v>
      </c>
      <c r="CD86" s="456">
        <v>13.6</v>
      </c>
      <c r="CE86" s="456">
        <v>17.7</v>
      </c>
      <c r="CF86" s="456">
        <v>12.88</v>
      </c>
      <c r="CG86" s="456">
        <v>543.1</v>
      </c>
      <c r="CH86" s="456">
        <v>2.1</v>
      </c>
      <c r="CI86" s="456">
        <v>2.8</v>
      </c>
      <c r="CJ86" s="456">
        <v>392.6</v>
      </c>
      <c r="CK86" s="456">
        <v>412.1</v>
      </c>
      <c r="CL86" s="456">
        <v>521.20000000000005</v>
      </c>
      <c r="CM86" s="456">
        <v>11.8</v>
      </c>
      <c r="CN86" s="456">
        <v>1.68</v>
      </c>
      <c r="CO86" s="453">
        <v>0</v>
      </c>
      <c r="CP86" s="453">
        <v>16.14</v>
      </c>
      <c r="CQ86" s="453">
        <v>44</v>
      </c>
      <c r="CR86" s="456">
        <v>0</v>
      </c>
      <c r="CS86" s="456">
        <v>0</v>
      </c>
      <c r="CT86" s="456">
        <v>0</v>
      </c>
      <c r="CU86" s="456">
        <v>0</v>
      </c>
      <c r="CV86" s="481">
        <v>1016.6666666666666</v>
      </c>
      <c r="CW86" s="481">
        <v>1915.8333333333333</v>
      </c>
      <c r="CX86" s="481">
        <v>994.76041666666663</v>
      </c>
      <c r="CY86" s="481">
        <v>1096.92</v>
      </c>
      <c r="CZ86" s="456"/>
      <c r="DA86" s="456"/>
      <c r="DB86" s="456"/>
      <c r="DC86" s="456"/>
      <c r="DD86" s="456"/>
      <c r="DE86" s="456"/>
      <c r="DF86" s="456"/>
      <c r="DG86" s="425"/>
      <c r="DH86" s="764">
        <v>0</v>
      </c>
      <c r="DI86" s="764">
        <v>0.77</v>
      </c>
      <c r="DJ86" s="764">
        <v>1.1100000000000001</v>
      </c>
      <c r="DK86" s="425"/>
      <c r="DL86" s="456"/>
      <c r="DM86" s="456"/>
      <c r="DN86" s="456"/>
      <c r="DO86" s="456"/>
      <c r="DP86" s="456"/>
      <c r="DQ86" s="456"/>
      <c r="DR86" s="456"/>
      <c r="DS86" s="456"/>
      <c r="DT86" s="456"/>
      <c r="DU86" s="456"/>
      <c r="DV86" s="456"/>
      <c r="DW86" s="456"/>
      <c r="DX86" s="456"/>
      <c r="DY86" s="456"/>
      <c r="DZ86" s="456"/>
      <c r="EA86" s="456"/>
      <c r="EB86" s="456"/>
      <c r="EC86" s="456"/>
      <c r="ED86" s="423">
        <v>0</v>
      </c>
      <c r="EE86" s="456">
        <v>0</v>
      </c>
      <c r="EF86" s="456">
        <v>2.5</v>
      </c>
      <c r="EG86" s="456">
        <v>6</v>
      </c>
      <c r="EH86" s="423">
        <v>0</v>
      </c>
      <c r="EI86" s="456"/>
      <c r="EJ86" s="456"/>
      <c r="EK86" s="456"/>
      <c r="EL86" s="456"/>
      <c r="EM86" s="456"/>
      <c r="EN86" s="456"/>
      <c r="EO86" s="425"/>
      <c r="EP86" s="425"/>
      <c r="EQ86" s="425" t="s">
        <v>743</v>
      </c>
      <c r="ER86" s="425">
        <v>1</v>
      </c>
      <c r="ES86" s="425">
        <v>10</v>
      </c>
      <c r="ET86" s="425">
        <v>360</v>
      </c>
      <c r="EU86" s="457">
        <v>4000</v>
      </c>
      <c r="EV86" s="425">
        <v>200</v>
      </c>
      <c r="EW86" s="425">
        <v>6712254</v>
      </c>
      <c r="EX86" s="425">
        <v>2800</v>
      </c>
      <c r="EY86" s="666">
        <v>18.55</v>
      </c>
      <c r="EZ86" s="666">
        <v>18.55</v>
      </c>
      <c r="FA86" s="666">
        <v>0</v>
      </c>
      <c r="FB86" s="666">
        <v>1.46</v>
      </c>
      <c r="FC86" s="666">
        <v>1.42</v>
      </c>
      <c r="FD86" s="666">
        <v>1.17</v>
      </c>
      <c r="FE86" s="666">
        <v>1.1499999999999999</v>
      </c>
      <c r="FF86" s="666">
        <v>210</v>
      </c>
      <c r="FG86" s="666">
        <v>2.5299999999999998</v>
      </c>
      <c r="FH86" s="666">
        <v>0.94</v>
      </c>
      <c r="FI86" s="666">
        <v>1.46</v>
      </c>
      <c r="FJ86" s="666">
        <v>8.25</v>
      </c>
      <c r="FK86" s="666">
        <v>8.3000000000000007</v>
      </c>
      <c r="FL86" s="666">
        <v>8.27</v>
      </c>
      <c r="FM86" s="666">
        <v>7.9</v>
      </c>
      <c r="FN86" s="666">
        <v>0</v>
      </c>
    </row>
    <row r="87" spans="1:170" s="770" customFormat="1" ht="15">
      <c r="A87" s="760" t="s">
        <v>4</v>
      </c>
      <c r="B87" s="426">
        <v>40616</v>
      </c>
      <c r="C87" s="761">
        <v>0</v>
      </c>
      <c r="D87" s="762">
        <v>0.03</v>
      </c>
      <c r="E87" s="763">
        <v>0</v>
      </c>
      <c r="F87" s="763">
        <v>42</v>
      </c>
      <c r="G87" s="763">
        <v>1.5</v>
      </c>
      <c r="H87" s="519">
        <v>4.12</v>
      </c>
      <c r="I87" s="519">
        <v>90.6</v>
      </c>
      <c r="J87" s="763">
        <v>3.72</v>
      </c>
      <c r="K87" s="520" t="s">
        <v>742</v>
      </c>
      <c r="L87" s="763">
        <v>3.7800000000006548</v>
      </c>
      <c r="M87" s="763">
        <v>24.2</v>
      </c>
      <c r="N87" s="763">
        <v>1.46</v>
      </c>
      <c r="O87" s="763">
        <v>2.2299521617011449</v>
      </c>
      <c r="P87" s="763" t="s">
        <v>742</v>
      </c>
      <c r="Q87" s="763">
        <v>7.4438573315900474</v>
      </c>
      <c r="R87" s="763">
        <v>995.03581505944499</v>
      </c>
      <c r="S87" s="763">
        <v>7.7</v>
      </c>
      <c r="T87" s="763" t="s">
        <v>742</v>
      </c>
      <c r="U87" s="763">
        <v>0.69</v>
      </c>
      <c r="V87" s="763" t="s">
        <v>742</v>
      </c>
      <c r="W87" s="763">
        <v>41.360000000000014</v>
      </c>
      <c r="X87" s="764" t="e">
        <v>#VALUE!</v>
      </c>
      <c r="Y87" s="763">
        <v>29.6</v>
      </c>
      <c r="Z87" s="763">
        <v>22.6</v>
      </c>
      <c r="AA87" s="519">
        <v>29.470000000001164</v>
      </c>
      <c r="AB87" s="519">
        <v>22.19999999999709</v>
      </c>
      <c r="AC87" s="732">
        <f t="shared" si="1"/>
        <v>51.669999999998254</v>
      </c>
      <c r="AD87" s="765"/>
      <c r="AE87" s="765"/>
      <c r="AF87" s="765"/>
      <c r="AG87" s="765"/>
      <c r="AH87" s="765"/>
      <c r="AI87" s="765"/>
      <c r="AJ87" s="760"/>
      <c r="AK87" s="760"/>
      <c r="AL87" s="760"/>
      <c r="AM87" s="760"/>
      <c r="AN87" s="760"/>
      <c r="AO87" s="764"/>
      <c r="AP87" s="760"/>
      <c r="AQ87" s="763"/>
      <c r="AR87" s="766">
        <v>0</v>
      </c>
      <c r="AS87" s="763">
        <v>18.7</v>
      </c>
      <c r="AT87" s="766">
        <v>0</v>
      </c>
      <c r="AU87" s="763">
        <v>31</v>
      </c>
      <c r="AV87" s="519">
        <v>360.1</v>
      </c>
      <c r="AW87" s="519">
        <v>325.3</v>
      </c>
      <c r="AX87" s="763">
        <v>0</v>
      </c>
      <c r="AY87" s="766">
        <v>0</v>
      </c>
      <c r="AZ87" s="766">
        <v>0</v>
      </c>
      <c r="BA87" s="766">
        <v>0</v>
      </c>
      <c r="BB87" s="763">
        <v>0</v>
      </c>
      <c r="BC87" s="763">
        <v>0.83</v>
      </c>
      <c r="BD87" s="763">
        <v>1.25</v>
      </c>
      <c r="BE87" s="766">
        <v>0</v>
      </c>
      <c r="BF87" s="763">
        <v>0</v>
      </c>
      <c r="BG87" s="763">
        <v>0</v>
      </c>
      <c r="BH87" s="766">
        <v>0</v>
      </c>
      <c r="BI87" s="763">
        <v>0</v>
      </c>
      <c r="BJ87" s="763">
        <v>20.100000000000001</v>
      </c>
      <c r="BK87" s="763">
        <v>2.23</v>
      </c>
      <c r="BL87" s="763">
        <v>2.69</v>
      </c>
      <c r="BM87" s="763">
        <v>0</v>
      </c>
      <c r="BN87" s="763">
        <v>15.1</v>
      </c>
      <c r="BO87" s="763">
        <v>954.6</v>
      </c>
      <c r="BP87" s="763">
        <v>36.299999999999997</v>
      </c>
      <c r="BQ87" s="763">
        <v>18.420000000000002</v>
      </c>
      <c r="BR87" s="763">
        <v>18.32</v>
      </c>
      <c r="BS87" s="763">
        <v>0</v>
      </c>
      <c r="BT87" s="763">
        <v>30.4</v>
      </c>
      <c r="BU87" s="763">
        <v>25.5</v>
      </c>
      <c r="BV87" s="764">
        <v>629.5</v>
      </c>
      <c r="BW87" s="763">
        <v>0.91</v>
      </c>
      <c r="BX87" s="763">
        <v>1.57</v>
      </c>
      <c r="BY87" s="764">
        <v>1.08</v>
      </c>
      <c r="BZ87" s="764">
        <v>14.8</v>
      </c>
      <c r="CA87" s="764">
        <v>35.4</v>
      </c>
      <c r="CB87" s="764">
        <v>12.7</v>
      </c>
      <c r="CC87" s="764">
        <v>8.6999999999999993</v>
      </c>
      <c r="CD87" s="764">
        <v>12.4</v>
      </c>
      <c r="CE87" s="764">
        <v>16.5</v>
      </c>
      <c r="CF87" s="764">
        <v>12.88</v>
      </c>
      <c r="CG87" s="764">
        <v>545.67999999999995</v>
      </c>
      <c r="CH87" s="764">
        <v>2.1</v>
      </c>
      <c r="CI87" s="764">
        <v>2.9</v>
      </c>
      <c r="CJ87" s="764">
        <v>324</v>
      </c>
      <c r="CK87" s="764">
        <v>382.8</v>
      </c>
      <c r="CL87" s="764">
        <v>557.1</v>
      </c>
      <c r="CM87" s="764">
        <v>12</v>
      </c>
      <c r="CN87" s="764">
        <v>1.75</v>
      </c>
      <c r="CO87" s="763">
        <v>0</v>
      </c>
      <c r="CP87" s="763">
        <v>15.77</v>
      </c>
      <c r="CQ87" s="763">
        <v>44</v>
      </c>
      <c r="CR87" s="764">
        <v>0</v>
      </c>
      <c r="CS87" s="764">
        <v>0</v>
      </c>
      <c r="CT87" s="764">
        <v>0</v>
      </c>
      <c r="CU87" s="764">
        <v>0</v>
      </c>
      <c r="CV87" s="767">
        <v>1075.2631578947369</v>
      </c>
      <c r="CW87" s="767">
        <v>1962.9166666666667</v>
      </c>
      <c r="CX87" s="767">
        <v>1083.2291666666667</v>
      </c>
      <c r="CY87" s="767">
        <v>1098.1199999999999</v>
      </c>
      <c r="CZ87" s="764"/>
      <c r="DA87" s="764"/>
      <c r="DB87" s="764"/>
      <c r="DC87" s="764"/>
      <c r="DD87" s="764"/>
      <c r="DE87" s="764"/>
      <c r="DF87" s="764"/>
      <c r="DG87" s="760"/>
      <c r="DH87" s="764">
        <v>0</v>
      </c>
      <c r="DI87" s="764">
        <v>0.69</v>
      </c>
      <c r="DJ87" s="764">
        <v>1.1399999999999999</v>
      </c>
      <c r="DK87" s="760"/>
      <c r="DL87" s="764"/>
      <c r="DM87" s="764"/>
      <c r="DN87" s="764"/>
      <c r="DO87" s="764"/>
      <c r="DP87" s="764"/>
      <c r="DQ87" s="764"/>
      <c r="DR87" s="764"/>
      <c r="DS87" s="764"/>
      <c r="DT87" s="764"/>
      <c r="DU87" s="764"/>
      <c r="DV87" s="764"/>
      <c r="DW87" s="764"/>
      <c r="DX87" s="764"/>
      <c r="DY87" s="764"/>
      <c r="DZ87" s="764"/>
      <c r="EA87" s="764"/>
      <c r="EB87" s="764"/>
      <c r="EC87" s="764"/>
      <c r="ED87" s="768">
        <v>0</v>
      </c>
      <c r="EE87" s="764">
        <v>0</v>
      </c>
      <c r="EF87" s="764">
        <v>2.5</v>
      </c>
      <c r="EG87" s="764">
        <v>6</v>
      </c>
      <c r="EH87" s="768">
        <v>0</v>
      </c>
      <c r="EI87" s="764"/>
      <c r="EJ87" s="764"/>
      <c r="EK87" s="764"/>
      <c r="EL87" s="764"/>
      <c r="EM87" s="764"/>
      <c r="EN87" s="764"/>
      <c r="EO87" s="760"/>
      <c r="EP87" s="760"/>
      <c r="EQ87" s="760" t="s">
        <v>743</v>
      </c>
      <c r="ER87" s="760">
        <v>1</v>
      </c>
      <c r="ES87" s="760">
        <v>10</v>
      </c>
      <c r="ET87" s="760">
        <v>140</v>
      </c>
      <c r="EU87" s="769">
        <v>4000</v>
      </c>
      <c r="EV87" s="760">
        <v>250</v>
      </c>
      <c r="EW87" s="760">
        <v>6714790</v>
      </c>
      <c r="EX87" s="760">
        <v>3592</v>
      </c>
      <c r="EY87" s="769">
        <v>18.5</v>
      </c>
      <c r="EZ87" s="769">
        <v>18.5</v>
      </c>
      <c r="FA87" s="769">
        <v>0</v>
      </c>
      <c r="FB87" s="769">
        <v>1.5</v>
      </c>
      <c r="FC87" s="769">
        <v>1.61</v>
      </c>
      <c r="FD87" s="769">
        <v>1.1200000000000001</v>
      </c>
      <c r="FE87" s="769">
        <v>1.1399999999999999</v>
      </c>
      <c r="FF87" s="769">
        <v>220</v>
      </c>
      <c r="FG87" s="769">
        <v>1.42</v>
      </c>
      <c r="FH87" s="769">
        <v>1.63</v>
      </c>
      <c r="FI87" s="769">
        <v>1.69</v>
      </c>
      <c r="FJ87" s="769">
        <v>8.34</v>
      </c>
      <c r="FK87" s="769">
        <v>8.4</v>
      </c>
      <c r="FL87" s="769">
        <v>8.32</v>
      </c>
      <c r="FM87" s="769">
        <v>7.7</v>
      </c>
      <c r="FN87" s="769">
        <v>0</v>
      </c>
    </row>
    <row r="88" spans="1:170" s="416" customFormat="1" ht="15">
      <c r="A88" s="425" t="s">
        <v>5</v>
      </c>
      <c r="B88" s="426">
        <v>40617</v>
      </c>
      <c r="C88" s="418">
        <v>0</v>
      </c>
      <c r="D88" s="762">
        <v>1.1100000000000001</v>
      </c>
      <c r="E88" s="763">
        <v>0</v>
      </c>
      <c r="F88" s="763">
        <v>40</v>
      </c>
      <c r="G88" s="763">
        <v>1.6</v>
      </c>
      <c r="H88" s="519">
        <v>4.05</v>
      </c>
      <c r="I88" s="519">
        <v>95.8</v>
      </c>
      <c r="J88" s="763">
        <v>3.41</v>
      </c>
      <c r="K88" s="520" t="s">
        <v>742</v>
      </c>
      <c r="L88" s="763">
        <v>3.3500000000003638</v>
      </c>
      <c r="M88" s="763">
        <v>25.1</v>
      </c>
      <c r="N88" s="763">
        <v>1.46</v>
      </c>
      <c r="O88" s="763">
        <v>2.2274114284730664</v>
      </c>
      <c r="P88" s="763" t="s">
        <v>742</v>
      </c>
      <c r="Q88" s="763">
        <v>2.4775657085517349</v>
      </c>
      <c r="R88" s="763">
        <v>938.02855482166433</v>
      </c>
      <c r="S88" s="763">
        <v>7.74</v>
      </c>
      <c r="T88" s="763" t="s">
        <v>742</v>
      </c>
      <c r="U88" s="763">
        <v>0.69</v>
      </c>
      <c r="V88" s="763" t="s">
        <v>742</v>
      </c>
      <c r="W88" s="763">
        <v>41.180000000000007</v>
      </c>
      <c r="X88" s="764" t="e">
        <v>#VALUE!</v>
      </c>
      <c r="Y88" s="763">
        <v>29.88</v>
      </c>
      <c r="Z88" s="763">
        <v>17.829999999999998</v>
      </c>
      <c r="AA88" s="519">
        <v>29.69999999999709</v>
      </c>
      <c r="AB88" s="519">
        <v>20.150000000001455</v>
      </c>
      <c r="AC88" s="732">
        <f t="shared" si="1"/>
        <v>49.849999999998545</v>
      </c>
      <c r="AD88" s="664"/>
      <c r="AE88" s="664"/>
      <c r="AF88" s="664"/>
      <c r="AG88" s="664"/>
      <c r="AH88" s="664"/>
      <c r="AI88" s="664"/>
      <c r="AJ88" s="485"/>
      <c r="AK88" s="485"/>
      <c r="AL88" s="485"/>
      <c r="AM88" s="485"/>
      <c r="AN88" s="485"/>
      <c r="AO88" s="665"/>
      <c r="AP88" s="485"/>
      <c r="AQ88" s="483"/>
      <c r="AR88" s="755">
        <v>0</v>
      </c>
      <c r="AS88" s="483">
        <v>37.5</v>
      </c>
      <c r="AT88" s="755">
        <v>0</v>
      </c>
      <c r="AU88" s="483">
        <v>31</v>
      </c>
      <c r="AV88" s="484">
        <v>346.1</v>
      </c>
      <c r="AW88" s="484">
        <v>320.7</v>
      </c>
      <c r="AX88" s="453">
        <v>0</v>
      </c>
      <c r="AY88" s="734">
        <v>0</v>
      </c>
      <c r="AZ88" s="734">
        <v>0</v>
      </c>
      <c r="BA88" s="734">
        <v>0</v>
      </c>
      <c r="BB88" s="453">
        <v>0</v>
      </c>
      <c r="BC88" s="453">
        <v>0.82</v>
      </c>
      <c r="BD88" s="453">
        <v>0.35</v>
      </c>
      <c r="BE88" s="734">
        <v>0</v>
      </c>
      <c r="BF88" s="453">
        <v>0</v>
      </c>
      <c r="BG88" s="453">
        <v>0</v>
      </c>
      <c r="BH88" s="734">
        <v>0</v>
      </c>
      <c r="BI88" s="453">
        <v>0</v>
      </c>
      <c r="BJ88" s="453">
        <v>19.8</v>
      </c>
      <c r="BK88" s="453">
        <v>1.31</v>
      </c>
      <c r="BL88" s="453">
        <v>1.54</v>
      </c>
      <c r="BM88" s="453">
        <v>0</v>
      </c>
      <c r="BN88" s="453">
        <v>16.8</v>
      </c>
      <c r="BO88" s="453">
        <v>1433.1</v>
      </c>
      <c r="BP88" s="453">
        <v>0</v>
      </c>
      <c r="BQ88" s="453">
        <v>18.3</v>
      </c>
      <c r="BR88" s="453">
        <v>18.2</v>
      </c>
      <c r="BS88" s="453">
        <v>0</v>
      </c>
      <c r="BT88" s="453">
        <v>30.6</v>
      </c>
      <c r="BU88" s="453">
        <v>26.5</v>
      </c>
      <c r="BV88" s="456">
        <v>444.9</v>
      </c>
      <c r="BW88" s="453">
        <v>1.1000000000000001</v>
      </c>
      <c r="BX88" s="453">
        <v>1.57</v>
      </c>
      <c r="BY88" s="456">
        <v>1.0900000000000001</v>
      </c>
      <c r="BZ88" s="456">
        <v>15.1</v>
      </c>
      <c r="CA88" s="456">
        <v>38.1</v>
      </c>
      <c r="CB88" s="456">
        <v>15.1</v>
      </c>
      <c r="CC88" s="456">
        <v>9.1999999999999993</v>
      </c>
      <c r="CD88" s="456">
        <v>13.4</v>
      </c>
      <c r="CE88" s="456">
        <v>17.8</v>
      </c>
      <c r="CF88" s="456">
        <v>13.2</v>
      </c>
      <c r="CG88" s="456">
        <v>556.4</v>
      </c>
      <c r="CH88" s="456">
        <v>2.2999999999999998</v>
      </c>
      <c r="CI88" s="456">
        <v>3.3</v>
      </c>
      <c r="CJ88" s="456">
        <v>495.3</v>
      </c>
      <c r="CK88" s="456">
        <v>273.2</v>
      </c>
      <c r="CL88" s="456">
        <v>389</v>
      </c>
      <c r="CM88" s="456">
        <v>11.8</v>
      </c>
      <c r="CN88" s="456">
        <v>1.59</v>
      </c>
      <c r="CO88" s="453">
        <v>0</v>
      </c>
      <c r="CP88" s="453">
        <v>15.81</v>
      </c>
      <c r="CQ88" s="453">
        <v>44</v>
      </c>
      <c r="CR88" s="456">
        <v>0</v>
      </c>
      <c r="CS88" s="456">
        <v>0</v>
      </c>
      <c r="CT88" s="456">
        <v>0</v>
      </c>
      <c r="CU88" s="456">
        <v>0</v>
      </c>
      <c r="CV88" s="481">
        <v>1162.6315789473683</v>
      </c>
      <c r="CW88" s="481">
        <v>2094.2708333333335</v>
      </c>
      <c r="CX88" s="481">
        <v>1185.1041666666667</v>
      </c>
      <c r="CY88" s="481">
        <v>1099.69</v>
      </c>
      <c r="CZ88" s="456"/>
      <c r="DA88" s="456"/>
      <c r="DB88" s="456"/>
      <c r="DC88" s="456"/>
      <c r="DD88" s="456"/>
      <c r="DE88" s="456"/>
      <c r="DF88" s="456"/>
      <c r="DG88" s="425"/>
      <c r="DH88" s="456">
        <v>0</v>
      </c>
      <c r="DI88" s="456">
        <v>0.66</v>
      </c>
      <c r="DJ88" s="456">
        <v>1.17</v>
      </c>
      <c r="DK88" s="425"/>
      <c r="DL88" s="456"/>
      <c r="DM88" s="456"/>
      <c r="DN88" s="456"/>
      <c r="DO88" s="456"/>
      <c r="DP88" s="456"/>
      <c r="DQ88" s="456"/>
      <c r="DR88" s="456"/>
      <c r="DS88" s="456"/>
      <c r="DT88" s="456"/>
      <c r="DU88" s="456"/>
      <c r="DV88" s="456"/>
      <c r="DW88" s="456"/>
      <c r="DX88" s="456"/>
      <c r="DY88" s="456"/>
      <c r="DZ88" s="456"/>
      <c r="EA88" s="456"/>
      <c r="EB88" s="456"/>
      <c r="EC88" s="456"/>
      <c r="ED88" s="423">
        <v>0</v>
      </c>
      <c r="EE88" s="456">
        <v>0</v>
      </c>
      <c r="EF88" s="456">
        <v>2.5</v>
      </c>
      <c r="EG88" s="456">
        <v>6</v>
      </c>
      <c r="EH88" s="423">
        <v>0</v>
      </c>
      <c r="EI88" s="456"/>
      <c r="EJ88" s="456"/>
      <c r="EK88" s="456"/>
      <c r="EL88" s="456"/>
      <c r="EM88" s="456"/>
      <c r="EN88" s="456"/>
      <c r="EO88" s="425"/>
      <c r="EP88" s="425"/>
      <c r="EQ88" s="425" t="s">
        <v>743</v>
      </c>
      <c r="ER88" s="425">
        <v>1</v>
      </c>
      <c r="ES88" s="425">
        <v>8</v>
      </c>
      <c r="ET88" s="425">
        <v>60</v>
      </c>
      <c r="EU88" s="457">
        <v>3760</v>
      </c>
      <c r="EV88" s="425">
        <v>260</v>
      </c>
      <c r="EW88" s="425">
        <v>6717434</v>
      </c>
      <c r="EX88" s="425">
        <v>4913</v>
      </c>
      <c r="EY88" s="666">
        <v>18.2</v>
      </c>
      <c r="EZ88" s="666">
        <v>18.2</v>
      </c>
      <c r="FA88" s="666">
        <v>0</v>
      </c>
      <c r="FB88" s="666">
        <v>1.42</v>
      </c>
      <c r="FC88" s="666">
        <v>1.5</v>
      </c>
      <c r="FD88" s="666">
        <v>1.21</v>
      </c>
      <c r="FE88" s="666">
        <v>1.18</v>
      </c>
      <c r="FF88" s="666">
        <v>300</v>
      </c>
      <c r="FG88" s="666">
        <v>2.82</v>
      </c>
      <c r="FH88" s="666">
        <v>1.1499999999999999</v>
      </c>
      <c r="FI88" s="666">
        <v>2.1</v>
      </c>
      <c r="FJ88" s="666">
        <v>8.59</v>
      </c>
      <c r="FK88" s="666">
        <v>8.9</v>
      </c>
      <c r="FL88" s="666">
        <v>8.35</v>
      </c>
      <c r="FM88" s="666">
        <v>7.9</v>
      </c>
      <c r="FN88" s="666">
        <v>0</v>
      </c>
    </row>
    <row r="89" spans="1:170" s="416" customFormat="1" ht="15">
      <c r="A89" s="425" t="s">
        <v>6</v>
      </c>
      <c r="B89" s="426">
        <v>40618</v>
      </c>
      <c r="C89" s="418">
        <v>0</v>
      </c>
      <c r="D89" s="762">
        <v>0.19</v>
      </c>
      <c r="E89" s="763">
        <v>0</v>
      </c>
      <c r="F89" s="763">
        <v>37</v>
      </c>
      <c r="G89" s="763">
        <v>1.5</v>
      </c>
      <c r="H89" s="519">
        <v>3.2</v>
      </c>
      <c r="I89" s="519">
        <v>91.8</v>
      </c>
      <c r="J89" s="763">
        <v>3</v>
      </c>
      <c r="K89" s="520" t="s">
        <v>742</v>
      </c>
      <c r="L89" s="763">
        <v>0</v>
      </c>
      <c r="M89" s="763">
        <v>25.3</v>
      </c>
      <c r="N89" s="763">
        <v>1.5</v>
      </c>
      <c r="O89" s="763">
        <v>2.2827389223596146</v>
      </c>
      <c r="P89" s="763" t="s">
        <v>742</v>
      </c>
      <c r="Q89" s="763">
        <v>0</v>
      </c>
      <c r="R89" s="763">
        <v>1027.1023989431967</v>
      </c>
      <c r="S89" s="763">
        <v>7.7</v>
      </c>
      <c r="T89" s="763" t="s">
        <v>742</v>
      </c>
      <c r="U89" s="763">
        <v>0.7</v>
      </c>
      <c r="V89" s="763" t="s">
        <v>742</v>
      </c>
      <c r="W89" s="763">
        <v>41.180000000000007</v>
      </c>
      <c r="X89" s="764" t="e">
        <v>#VALUE!</v>
      </c>
      <c r="Y89" s="763">
        <v>30.04</v>
      </c>
      <c r="Z89" s="763">
        <v>23.92</v>
      </c>
      <c r="AA89" s="519">
        <v>29.900000000008731</v>
      </c>
      <c r="AB89" s="519">
        <v>24.25</v>
      </c>
      <c r="AC89" s="732">
        <f t="shared" si="1"/>
        <v>54.150000000008731</v>
      </c>
      <c r="AD89" s="664"/>
      <c r="AE89" s="664"/>
      <c r="AF89" s="664"/>
      <c r="AG89" s="664"/>
      <c r="AH89" s="664"/>
      <c r="AI89" s="664"/>
      <c r="AJ89" s="485"/>
      <c r="AK89" s="485"/>
      <c r="AL89" s="485"/>
      <c r="AM89" s="485"/>
      <c r="AN89" s="485"/>
      <c r="AO89" s="665"/>
      <c r="AP89" s="485"/>
      <c r="AQ89" s="483"/>
      <c r="AR89" s="755">
        <v>0</v>
      </c>
      <c r="AS89" s="483">
        <v>18.600000000000001</v>
      </c>
      <c r="AT89" s="755">
        <v>0</v>
      </c>
      <c r="AU89" s="483">
        <v>31</v>
      </c>
      <c r="AV89" s="484">
        <v>334.2</v>
      </c>
      <c r="AW89" s="484">
        <v>280.5</v>
      </c>
      <c r="AX89" s="453">
        <v>0</v>
      </c>
      <c r="AY89" s="734">
        <v>0</v>
      </c>
      <c r="AZ89" s="734">
        <v>0</v>
      </c>
      <c r="BA89" s="734">
        <v>0</v>
      </c>
      <c r="BB89" s="453">
        <v>0</v>
      </c>
      <c r="BC89" s="453">
        <v>1.01</v>
      </c>
      <c r="BD89" s="453">
        <v>1.51</v>
      </c>
      <c r="BE89" s="734">
        <v>0</v>
      </c>
      <c r="BF89" s="453">
        <v>0</v>
      </c>
      <c r="BG89" s="453">
        <v>0</v>
      </c>
      <c r="BH89" s="734">
        <v>0</v>
      </c>
      <c r="BI89" s="453">
        <v>0</v>
      </c>
      <c r="BJ89" s="453">
        <v>21.6</v>
      </c>
      <c r="BK89" s="453">
        <v>2.74</v>
      </c>
      <c r="BL89" s="453">
        <v>3.3</v>
      </c>
      <c r="BM89" s="453">
        <v>0</v>
      </c>
      <c r="BN89" s="453">
        <v>15.4</v>
      </c>
      <c r="BO89" s="453">
        <v>1246.0999999999999</v>
      </c>
      <c r="BP89" s="453">
        <v>0</v>
      </c>
      <c r="BQ89" s="453">
        <v>18.21</v>
      </c>
      <c r="BR89" s="453">
        <v>18.190000000000001</v>
      </c>
      <c r="BS89" s="453">
        <v>0</v>
      </c>
      <c r="BT89" s="453">
        <v>30.4</v>
      </c>
      <c r="BU89" s="453">
        <v>25.8</v>
      </c>
      <c r="BV89" s="456">
        <v>438.8</v>
      </c>
      <c r="BW89" s="453">
        <v>2.68</v>
      </c>
      <c r="BX89" s="453">
        <v>1.54</v>
      </c>
      <c r="BY89" s="456">
        <v>1.1000000000000001</v>
      </c>
      <c r="BZ89" s="456">
        <v>14.6</v>
      </c>
      <c r="CA89" s="456">
        <v>36.6</v>
      </c>
      <c r="CB89" s="456">
        <v>14.4</v>
      </c>
      <c r="CC89" s="456">
        <v>9.8000000000000007</v>
      </c>
      <c r="CD89" s="456">
        <v>14.1</v>
      </c>
      <c r="CE89" s="456">
        <v>18.170000000000002</v>
      </c>
      <c r="CF89" s="456">
        <v>12.92</v>
      </c>
      <c r="CG89" s="456">
        <v>544.66</v>
      </c>
      <c r="CH89" s="456">
        <v>2.1</v>
      </c>
      <c r="CI89" s="456">
        <v>3.5</v>
      </c>
      <c r="CJ89" s="456">
        <v>310.5</v>
      </c>
      <c r="CK89" s="456">
        <v>373.1</v>
      </c>
      <c r="CL89" s="456">
        <v>553.70000000000005</v>
      </c>
      <c r="CM89" s="456">
        <v>12.1</v>
      </c>
      <c r="CN89" s="456">
        <v>1.78</v>
      </c>
      <c r="CO89" s="453">
        <v>0</v>
      </c>
      <c r="CP89" s="453">
        <v>16.420000000000002</v>
      </c>
      <c r="CQ89" s="453">
        <v>44</v>
      </c>
      <c r="CR89" s="456">
        <v>0</v>
      </c>
      <c r="CS89" s="456">
        <v>0</v>
      </c>
      <c r="CT89" s="456">
        <v>0</v>
      </c>
      <c r="CU89" s="456">
        <v>0</v>
      </c>
      <c r="CV89" s="481">
        <v>1166.8421052631579</v>
      </c>
      <c r="CW89" s="481">
        <v>2223.5416666666665</v>
      </c>
      <c r="CX89" s="481">
        <v>1176.25</v>
      </c>
      <c r="CY89" s="481">
        <v>1102.01</v>
      </c>
      <c r="CZ89" s="456"/>
      <c r="DA89" s="456"/>
      <c r="DB89" s="456"/>
      <c r="DC89" s="456"/>
      <c r="DD89" s="456"/>
      <c r="DE89" s="456"/>
      <c r="DF89" s="456"/>
      <c r="DG89" s="425"/>
      <c r="DH89" s="456">
        <v>0</v>
      </c>
      <c r="DI89" s="456">
        <v>0.66</v>
      </c>
      <c r="DJ89" s="456">
        <v>1.17</v>
      </c>
      <c r="DK89" s="425"/>
      <c r="DL89" s="456"/>
      <c r="DM89" s="456"/>
      <c r="DN89" s="456"/>
      <c r="DO89" s="456"/>
      <c r="DP89" s="456"/>
      <c r="DQ89" s="456"/>
      <c r="DR89" s="456"/>
      <c r="DS89" s="456"/>
      <c r="DT89" s="456"/>
      <c r="DU89" s="456"/>
      <c r="DV89" s="456"/>
      <c r="DW89" s="456"/>
      <c r="DX89" s="456"/>
      <c r="DY89" s="456"/>
      <c r="DZ89" s="456"/>
      <c r="EA89" s="456"/>
      <c r="EB89" s="456"/>
      <c r="EC89" s="456"/>
      <c r="ED89" s="423">
        <v>0</v>
      </c>
      <c r="EE89" s="456">
        <v>0</v>
      </c>
      <c r="EF89" s="456">
        <v>2.5</v>
      </c>
      <c r="EG89" s="456">
        <v>6</v>
      </c>
      <c r="EH89" s="423">
        <v>0</v>
      </c>
      <c r="EI89" s="456"/>
      <c r="EJ89" s="456"/>
      <c r="EK89" s="456"/>
      <c r="EL89" s="456"/>
      <c r="EM89" s="456"/>
      <c r="EN89" s="456"/>
      <c r="EO89" s="425"/>
      <c r="EP89" s="425"/>
      <c r="EQ89" s="425" t="s">
        <v>743</v>
      </c>
      <c r="ER89" s="425">
        <v>1</v>
      </c>
      <c r="ES89" s="425">
        <v>8</v>
      </c>
      <c r="ET89" s="425">
        <v>4000</v>
      </c>
      <c r="EU89" s="457">
        <v>3500</v>
      </c>
      <c r="EV89" s="425">
        <v>230</v>
      </c>
      <c r="EW89" s="425">
        <v>6719982</v>
      </c>
      <c r="EX89" s="425">
        <v>5143</v>
      </c>
      <c r="EY89" s="666">
        <v>18.2</v>
      </c>
      <c r="EZ89" s="666">
        <v>18.2</v>
      </c>
      <c r="FA89" s="666">
        <v>0</v>
      </c>
      <c r="FB89" s="666">
        <v>1.42</v>
      </c>
      <c r="FC89" s="666">
        <v>1.64</v>
      </c>
      <c r="FD89" s="666">
        <v>1.18</v>
      </c>
      <c r="FE89" s="666">
        <v>1.2</v>
      </c>
      <c r="FF89" s="666">
        <v>260</v>
      </c>
      <c r="FG89" s="666">
        <v>2.5499999999999998</v>
      </c>
      <c r="FH89" s="666">
        <v>1.1599999999999999</v>
      </c>
      <c r="FI89" s="666">
        <v>1.9</v>
      </c>
      <c r="FJ89" s="666">
        <v>8.58</v>
      </c>
      <c r="FK89" s="666">
        <v>8.6999999999999993</v>
      </c>
      <c r="FL89" s="666">
        <v>8.2899999999999991</v>
      </c>
      <c r="FM89" s="666">
        <v>8</v>
      </c>
      <c r="FN89" s="666">
        <v>0</v>
      </c>
    </row>
    <row r="90" spans="1:170" s="416" customFormat="1" ht="15">
      <c r="A90" s="425" t="s">
        <v>7</v>
      </c>
      <c r="B90" s="426">
        <v>40619</v>
      </c>
      <c r="C90" s="418">
        <v>0</v>
      </c>
      <c r="D90" s="762">
        <v>0</v>
      </c>
      <c r="E90" s="763">
        <v>0</v>
      </c>
      <c r="F90" s="763">
        <v>39</v>
      </c>
      <c r="G90" s="763">
        <v>1.3</v>
      </c>
      <c r="H90" s="519">
        <v>2.8</v>
      </c>
      <c r="I90" s="519">
        <v>91.5</v>
      </c>
      <c r="J90" s="763">
        <v>3</v>
      </c>
      <c r="K90" s="520" t="s">
        <v>742</v>
      </c>
      <c r="L90" s="763">
        <v>0</v>
      </c>
      <c r="M90" s="763">
        <v>25.2</v>
      </c>
      <c r="N90" s="763">
        <v>1.5</v>
      </c>
      <c r="O90" s="763">
        <v>2.3026500140105512</v>
      </c>
      <c r="P90" s="763" t="s">
        <v>742</v>
      </c>
      <c r="Q90" s="763">
        <v>0</v>
      </c>
      <c r="R90" s="763">
        <v>1064.6753659180977</v>
      </c>
      <c r="S90" s="763">
        <v>7.8</v>
      </c>
      <c r="T90" s="763" t="s">
        <v>742</v>
      </c>
      <c r="U90" s="763">
        <v>0.7</v>
      </c>
      <c r="V90" s="763" t="s">
        <v>742</v>
      </c>
      <c r="W90" s="763">
        <v>40.819999999999993</v>
      </c>
      <c r="X90" s="764" t="e">
        <v>#VALUE!</v>
      </c>
      <c r="Y90" s="763">
        <v>29.5</v>
      </c>
      <c r="Z90" s="763">
        <v>24.1</v>
      </c>
      <c r="AA90" s="519">
        <v>29.399999999994179</v>
      </c>
      <c r="AB90" s="519">
        <v>26.30000000000291</v>
      </c>
      <c r="AC90" s="732">
        <f t="shared" si="1"/>
        <v>55.69999999999709</v>
      </c>
      <c r="AD90" s="664"/>
      <c r="AE90" s="664"/>
      <c r="AF90" s="664"/>
      <c r="AG90" s="664"/>
      <c r="AH90" s="664"/>
      <c r="AI90" s="664"/>
      <c r="AJ90" s="485"/>
      <c r="AK90" s="485"/>
      <c r="AL90" s="485"/>
      <c r="AM90" s="485"/>
      <c r="AN90" s="485"/>
      <c r="AO90" s="665"/>
      <c r="AP90" s="485"/>
      <c r="AQ90" s="483"/>
      <c r="AR90" s="755">
        <v>0</v>
      </c>
      <c r="AS90" s="483">
        <v>36.799999999999997</v>
      </c>
      <c r="AT90" s="755">
        <v>0</v>
      </c>
      <c r="AU90" s="483">
        <v>30.9</v>
      </c>
      <c r="AV90" s="484">
        <v>441.9</v>
      </c>
      <c r="AW90" s="484">
        <v>454.8</v>
      </c>
      <c r="AX90" s="453">
        <v>0</v>
      </c>
      <c r="AY90" s="734">
        <v>0</v>
      </c>
      <c r="AZ90" s="734">
        <v>0</v>
      </c>
      <c r="BA90" s="734">
        <v>0</v>
      </c>
      <c r="BB90" s="453">
        <v>0</v>
      </c>
      <c r="BC90" s="453">
        <v>1</v>
      </c>
      <c r="BD90" s="453">
        <v>1.51</v>
      </c>
      <c r="BE90" s="734">
        <v>0</v>
      </c>
      <c r="BF90" s="453">
        <v>0</v>
      </c>
      <c r="BG90" s="453">
        <v>0</v>
      </c>
      <c r="BH90" s="734">
        <v>0</v>
      </c>
      <c r="BI90" s="453">
        <v>0</v>
      </c>
      <c r="BJ90" s="453">
        <v>24</v>
      </c>
      <c r="BK90" s="453">
        <v>2.78</v>
      </c>
      <c r="BL90" s="453">
        <v>3.3</v>
      </c>
      <c r="BM90" s="453">
        <v>0</v>
      </c>
      <c r="BN90" s="453">
        <v>17.7</v>
      </c>
      <c r="BO90" s="453">
        <v>817.6</v>
      </c>
      <c r="BP90" s="453">
        <v>0</v>
      </c>
      <c r="BQ90" s="453">
        <v>18.3</v>
      </c>
      <c r="BR90" s="453">
        <v>18.25</v>
      </c>
      <c r="BS90" s="453">
        <v>0</v>
      </c>
      <c r="BT90" s="453">
        <v>30</v>
      </c>
      <c r="BU90" s="453">
        <v>25.4</v>
      </c>
      <c r="BV90" s="456">
        <v>621.1</v>
      </c>
      <c r="BW90" s="453">
        <v>1.2</v>
      </c>
      <c r="BX90" s="453">
        <v>1.53</v>
      </c>
      <c r="BY90" s="456">
        <v>1.1000000000000001</v>
      </c>
      <c r="BZ90" s="456">
        <v>15.1</v>
      </c>
      <c r="CA90" s="456">
        <v>34.6</v>
      </c>
      <c r="CB90" s="456">
        <v>13.7</v>
      </c>
      <c r="CC90" s="456">
        <v>8</v>
      </c>
      <c r="CD90" s="456">
        <v>12.2</v>
      </c>
      <c r="CE90" s="456">
        <v>16.3</v>
      </c>
      <c r="CF90" s="456">
        <v>13.25</v>
      </c>
      <c r="CG90" s="456">
        <v>573.75</v>
      </c>
      <c r="CH90" s="456">
        <v>2.5</v>
      </c>
      <c r="CI90" s="456">
        <v>3.2</v>
      </c>
      <c r="CJ90" s="456">
        <v>343.5</v>
      </c>
      <c r="CK90" s="456">
        <v>376.4</v>
      </c>
      <c r="CL90" s="456">
        <v>557.9</v>
      </c>
      <c r="CM90" s="456">
        <v>12.5</v>
      </c>
      <c r="CN90" s="456">
        <v>1.85</v>
      </c>
      <c r="CO90" s="453">
        <v>0</v>
      </c>
      <c r="CP90" s="453">
        <v>16.57</v>
      </c>
      <c r="CQ90" s="453">
        <v>44</v>
      </c>
      <c r="CR90" s="456">
        <v>0</v>
      </c>
      <c r="CS90" s="456">
        <v>0</v>
      </c>
      <c r="CT90" s="456">
        <v>0</v>
      </c>
      <c r="CU90" s="456">
        <v>0</v>
      </c>
      <c r="CV90" s="481">
        <v>1024.7368421052631</v>
      </c>
      <c r="CW90" s="481">
        <v>1965.7291666666667</v>
      </c>
      <c r="CX90" s="481">
        <v>1003.7604166666666</v>
      </c>
      <c r="CY90" s="481">
        <v>1104.1199999999999</v>
      </c>
      <c r="CZ90" s="456"/>
      <c r="DA90" s="456"/>
      <c r="DB90" s="456"/>
      <c r="DC90" s="456"/>
      <c r="DD90" s="456"/>
      <c r="DE90" s="456"/>
      <c r="DF90" s="456"/>
      <c r="DG90" s="425"/>
      <c r="DH90" s="456">
        <v>0</v>
      </c>
      <c r="DI90" s="456">
        <v>0.6</v>
      </c>
      <c r="DJ90" s="456">
        <v>1.04</v>
      </c>
      <c r="DK90" s="425"/>
      <c r="DL90" s="456"/>
      <c r="DM90" s="456"/>
      <c r="DN90" s="456"/>
      <c r="DO90" s="456"/>
      <c r="DP90" s="456"/>
      <c r="DQ90" s="456"/>
      <c r="DR90" s="456"/>
      <c r="DS90" s="456"/>
      <c r="DT90" s="456"/>
      <c r="DU90" s="456"/>
      <c r="DV90" s="456"/>
      <c r="DW90" s="456"/>
      <c r="DX90" s="456"/>
      <c r="DY90" s="456"/>
      <c r="DZ90" s="456"/>
      <c r="EA90" s="456"/>
      <c r="EB90" s="456"/>
      <c r="EC90" s="456"/>
      <c r="ED90" s="423">
        <v>0</v>
      </c>
      <c r="EE90" s="456">
        <v>0</v>
      </c>
      <c r="EF90" s="456">
        <v>2.5</v>
      </c>
      <c r="EG90" s="456">
        <v>6</v>
      </c>
      <c r="EH90" s="423">
        <v>0</v>
      </c>
      <c r="EI90" s="456"/>
      <c r="EJ90" s="456"/>
      <c r="EK90" s="456"/>
      <c r="EL90" s="456"/>
      <c r="EM90" s="456"/>
      <c r="EN90" s="456"/>
      <c r="EO90" s="425"/>
      <c r="EP90" s="425"/>
      <c r="EQ90" s="425" t="s">
        <v>743</v>
      </c>
      <c r="ER90" s="425">
        <v>1</v>
      </c>
      <c r="ES90" s="425">
        <v>8</v>
      </c>
      <c r="ET90" s="425">
        <v>4000</v>
      </c>
      <c r="EU90" s="457">
        <v>3280</v>
      </c>
      <c r="EV90" s="425">
        <v>270</v>
      </c>
      <c r="EW90" s="425">
        <v>6722545</v>
      </c>
      <c r="EX90" s="425">
        <v>5923</v>
      </c>
      <c r="EY90" s="666">
        <v>18.350000000000001</v>
      </c>
      <c r="EZ90" s="666">
        <v>18.350000000000001</v>
      </c>
      <c r="FA90" s="666">
        <v>0</v>
      </c>
      <c r="FB90" s="666">
        <v>1.43</v>
      </c>
      <c r="FC90" s="666">
        <v>1.36</v>
      </c>
      <c r="FD90" s="666">
        <v>1.2</v>
      </c>
      <c r="FE90" s="666">
        <v>1.18</v>
      </c>
      <c r="FF90" s="666">
        <v>220</v>
      </c>
      <c r="FG90" s="666">
        <v>2.06</v>
      </c>
      <c r="FH90" s="666">
        <v>1.17</v>
      </c>
      <c r="FI90" s="666">
        <v>1.91</v>
      </c>
      <c r="FJ90" s="666">
        <v>8.66</v>
      </c>
      <c r="FK90" s="666">
        <v>8.8000000000000007</v>
      </c>
      <c r="FL90" s="666">
        <v>8.25</v>
      </c>
      <c r="FM90" s="666">
        <v>7.8</v>
      </c>
      <c r="FN90" s="666">
        <v>0</v>
      </c>
    </row>
    <row r="91" spans="1:170" s="416" customFormat="1" ht="15">
      <c r="A91" s="425" t="s">
        <v>8</v>
      </c>
      <c r="B91" s="426">
        <v>40620</v>
      </c>
      <c r="C91" s="418">
        <v>0</v>
      </c>
      <c r="D91" s="762">
        <v>0.49</v>
      </c>
      <c r="E91" s="763">
        <v>0</v>
      </c>
      <c r="F91" s="763">
        <v>34.5</v>
      </c>
      <c r="G91" s="763">
        <v>1.1000000000000001</v>
      </c>
      <c r="H91" s="519">
        <v>2.72</v>
      </c>
      <c r="I91" s="519">
        <v>91.6</v>
      </c>
      <c r="J91" s="763">
        <v>2.61</v>
      </c>
      <c r="K91" s="520" t="s">
        <v>742</v>
      </c>
      <c r="L91" s="763">
        <v>0</v>
      </c>
      <c r="M91" s="763">
        <v>25</v>
      </c>
      <c r="N91" s="763">
        <v>1.52</v>
      </c>
      <c r="O91" s="763">
        <v>2.294845626862462</v>
      </c>
      <c r="P91" s="763" t="s">
        <v>742</v>
      </c>
      <c r="Q91" s="763">
        <v>7.5085865257777877</v>
      </c>
      <c r="R91" s="763">
        <v>1066.294890356671</v>
      </c>
      <c r="S91" s="763">
        <v>7.78</v>
      </c>
      <c r="T91" s="763" t="s">
        <v>742</v>
      </c>
      <c r="U91" s="763">
        <v>0.67</v>
      </c>
      <c r="V91" s="763" t="s">
        <v>742</v>
      </c>
      <c r="W91" s="763">
        <v>41.360000000000014</v>
      </c>
      <c r="X91" s="764" t="e">
        <v>#VALUE!</v>
      </c>
      <c r="Y91" s="763">
        <v>29.8</v>
      </c>
      <c r="Z91" s="763">
        <v>24.5</v>
      </c>
      <c r="AA91" s="519">
        <v>29.169999999998254</v>
      </c>
      <c r="AB91" s="519">
        <v>24.69999999999709</v>
      </c>
      <c r="AC91" s="732">
        <f t="shared" si="1"/>
        <v>53.869999999995343</v>
      </c>
      <c r="AD91" s="664"/>
      <c r="AE91" s="664"/>
      <c r="AF91" s="664"/>
      <c r="AG91" s="664"/>
      <c r="AH91" s="664"/>
      <c r="AI91" s="664"/>
      <c r="AJ91" s="485"/>
      <c r="AK91" s="485"/>
      <c r="AL91" s="485"/>
      <c r="AM91" s="485"/>
      <c r="AN91" s="485"/>
      <c r="AO91" s="665"/>
      <c r="AP91" s="485"/>
      <c r="AQ91" s="483"/>
      <c r="AR91" s="755">
        <v>0</v>
      </c>
      <c r="AS91" s="483">
        <v>19.100000000000001</v>
      </c>
      <c r="AT91" s="755">
        <v>0</v>
      </c>
      <c r="AU91" s="483">
        <v>31</v>
      </c>
      <c r="AV91" s="483">
        <v>502.7</v>
      </c>
      <c r="AW91" s="484">
        <v>455</v>
      </c>
      <c r="AX91" s="453">
        <v>0</v>
      </c>
      <c r="AY91" s="734">
        <v>0</v>
      </c>
      <c r="AZ91" s="734">
        <v>0</v>
      </c>
      <c r="BA91" s="734">
        <v>0</v>
      </c>
      <c r="BB91" s="453">
        <v>0</v>
      </c>
      <c r="BC91" s="453">
        <v>1</v>
      </c>
      <c r="BD91" s="453">
        <v>1.51</v>
      </c>
      <c r="BE91" s="734">
        <v>0</v>
      </c>
      <c r="BF91" s="453">
        <v>0</v>
      </c>
      <c r="BG91" s="453">
        <v>0</v>
      </c>
      <c r="BH91" s="734">
        <v>0</v>
      </c>
      <c r="BI91" s="453">
        <v>0</v>
      </c>
      <c r="BJ91" s="453">
        <v>22.6</v>
      </c>
      <c r="BK91" s="453">
        <v>2.71</v>
      </c>
      <c r="BL91" s="453">
        <v>3.3</v>
      </c>
      <c r="BM91" s="453">
        <v>0</v>
      </c>
      <c r="BN91" s="453">
        <v>16.5</v>
      </c>
      <c r="BO91" s="453">
        <v>1641.8</v>
      </c>
      <c r="BP91" s="453">
        <v>0</v>
      </c>
      <c r="BQ91" s="453">
        <v>18.3</v>
      </c>
      <c r="BR91" s="453">
        <v>18.2</v>
      </c>
      <c r="BS91" s="453">
        <v>0</v>
      </c>
      <c r="BT91" s="453">
        <v>30</v>
      </c>
      <c r="BU91" s="453">
        <v>26.4</v>
      </c>
      <c r="BV91" s="456">
        <v>438.3</v>
      </c>
      <c r="BW91" s="453">
        <v>1.1200000000000001</v>
      </c>
      <c r="BX91" s="453">
        <v>1.57</v>
      </c>
      <c r="BY91" s="456">
        <v>1.1200000000000001</v>
      </c>
      <c r="BZ91" s="456">
        <v>15.1</v>
      </c>
      <c r="CA91" s="456">
        <v>33.9</v>
      </c>
      <c r="CB91" s="456">
        <v>13</v>
      </c>
      <c r="CC91" s="456">
        <v>10.3</v>
      </c>
      <c r="CD91" s="456">
        <v>14.47</v>
      </c>
      <c r="CE91" s="456">
        <v>18.850000000000001</v>
      </c>
      <c r="CF91" s="456">
        <v>13.17</v>
      </c>
      <c r="CG91" s="456">
        <v>542.32000000000005</v>
      </c>
      <c r="CH91" s="456">
        <v>2.2999999999999998</v>
      </c>
      <c r="CI91" s="456">
        <v>3.4</v>
      </c>
      <c r="CJ91" s="456">
        <v>265</v>
      </c>
      <c r="CK91" s="456">
        <v>374.9</v>
      </c>
      <c r="CL91" s="456">
        <v>542.9</v>
      </c>
      <c r="CM91" s="456">
        <v>11.8</v>
      </c>
      <c r="CN91" s="456">
        <v>1.79</v>
      </c>
      <c r="CO91" s="453">
        <v>0</v>
      </c>
      <c r="CP91" s="453">
        <v>16.61</v>
      </c>
      <c r="CQ91" s="453">
        <v>44</v>
      </c>
      <c r="CR91" s="456">
        <v>0</v>
      </c>
      <c r="CS91" s="456">
        <v>0</v>
      </c>
      <c r="CT91" s="456">
        <v>0</v>
      </c>
      <c r="CU91" s="456">
        <v>0</v>
      </c>
      <c r="CV91" s="481">
        <v>903.59090909090912</v>
      </c>
      <c r="CW91" s="481">
        <v>1751.5625</v>
      </c>
      <c r="CX91" s="481">
        <v>862.13541666666663</v>
      </c>
      <c r="CY91" s="481">
        <v>1106.21</v>
      </c>
      <c r="CZ91" s="456"/>
      <c r="DA91" s="456"/>
      <c r="DB91" s="456"/>
      <c r="DC91" s="456"/>
      <c r="DD91" s="456"/>
      <c r="DE91" s="456"/>
      <c r="DF91" s="456"/>
      <c r="DG91" s="425"/>
      <c r="DH91" s="456">
        <v>0</v>
      </c>
      <c r="DI91" s="456">
        <v>0.65</v>
      </c>
      <c r="DJ91" s="456">
        <v>0.98</v>
      </c>
      <c r="DK91" s="425"/>
      <c r="DL91" s="456"/>
      <c r="DM91" s="456"/>
      <c r="DN91" s="456"/>
      <c r="DO91" s="456"/>
      <c r="DP91" s="456"/>
      <c r="DQ91" s="456"/>
      <c r="DR91" s="456"/>
      <c r="DS91" s="456"/>
      <c r="DT91" s="456"/>
      <c r="DU91" s="456"/>
      <c r="DV91" s="456"/>
      <c r="DW91" s="456"/>
      <c r="DX91" s="456"/>
      <c r="DY91" s="456"/>
      <c r="DZ91" s="456"/>
      <c r="EA91" s="456"/>
      <c r="EB91" s="456"/>
      <c r="EC91" s="456"/>
      <c r="ED91" s="423">
        <v>0</v>
      </c>
      <c r="EE91" s="456">
        <v>0</v>
      </c>
      <c r="EF91" s="456">
        <v>2.5</v>
      </c>
      <c r="EG91" s="456">
        <v>6</v>
      </c>
      <c r="EH91" s="423">
        <v>0</v>
      </c>
      <c r="EI91" s="456"/>
      <c r="EJ91" s="456"/>
      <c r="EK91" s="456"/>
      <c r="EL91" s="456"/>
      <c r="EM91" s="456"/>
      <c r="EN91" s="456"/>
      <c r="EO91" s="425"/>
      <c r="EP91" s="425"/>
      <c r="EQ91" s="425" t="s">
        <v>743</v>
      </c>
      <c r="ER91" s="425">
        <v>1</v>
      </c>
      <c r="ES91" s="425">
        <v>8</v>
      </c>
      <c r="ET91" s="425">
        <v>4000</v>
      </c>
      <c r="EU91" s="457">
        <v>3050</v>
      </c>
      <c r="EV91" s="425">
        <v>120</v>
      </c>
      <c r="EW91" s="425">
        <v>6724959</v>
      </c>
      <c r="EX91" s="425">
        <v>6679</v>
      </c>
      <c r="EY91" s="666">
        <v>18.559999999999999</v>
      </c>
      <c r="EZ91" s="666">
        <v>18.55</v>
      </c>
      <c r="FA91" s="666">
        <v>0</v>
      </c>
      <c r="FB91" s="666">
        <v>1.49</v>
      </c>
      <c r="FC91" s="666">
        <v>1.52</v>
      </c>
      <c r="FD91" s="666">
        <v>1.1000000000000001</v>
      </c>
      <c r="FE91" s="666">
        <v>1.0900000000000001</v>
      </c>
      <c r="FF91" s="666">
        <v>230</v>
      </c>
      <c r="FG91" s="666">
        <v>2.27</v>
      </c>
      <c r="FH91" s="666">
        <v>1.1299999999999999</v>
      </c>
      <c r="FI91" s="666">
        <v>1.97</v>
      </c>
      <c r="FJ91" s="666">
        <v>8.3699999999999992</v>
      </c>
      <c r="FK91" s="666">
        <v>8.1999999999999993</v>
      </c>
      <c r="FL91" s="666">
        <v>8.26</v>
      </c>
      <c r="FM91" s="666">
        <v>7.7</v>
      </c>
      <c r="FN91" s="666">
        <v>0</v>
      </c>
    </row>
    <row r="92" spans="1:170" s="416" customFormat="1" ht="15">
      <c r="A92" s="425" t="s">
        <v>9</v>
      </c>
      <c r="B92" s="426">
        <v>40621</v>
      </c>
      <c r="C92" s="418">
        <v>0</v>
      </c>
      <c r="D92" s="762">
        <v>0.01</v>
      </c>
      <c r="E92" s="763">
        <v>0</v>
      </c>
      <c r="F92" s="763">
        <v>36</v>
      </c>
      <c r="G92" s="763">
        <v>1.1000000000000001</v>
      </c>
      <c r="H92" s="519">
        <v>2.33</v>
      </c>
      <c r="I92" s="519">
        <v>0</v>
      </c>
      <c r="J92" s="763">
        <v>2.0499999999999998</v>
      </c>
      <c r="K92" s="520" t="s">
        <v>742</v>
      </c>
      <c r="L92" s="763">
        <v>0</v>
      </c>
      <c r="M92" s="763">
        <v>24.8</v>
      </c>
      <c r="N92" s="763">
        <v>1.52</v>
      </c>
      <c r="O92" s="763">
        <v>2.280766625732626</v>
      </c>
      <c r="P92" s="763" t="s">
        <v>742</v>
      </c>
      <c r="Q92" s="763">
        <v>2.1638044913999792</v>
      </c>
      <c r="R92" s="763">
        <v>1066.6187952443856</v>
      </c>
      <c r="S92" s="763">
        <v>7.76</v>
      </c>
      <c r="T92" s="763" t="s">
        <v>742</v>
      </c>
      <c r="U92" s="763">
        <v>0.64</v>
      </c>
      <c r="V92" s="763" t="s">
        <v>742</v>
      </c>
      <c r="W92" s="763">
        <v>41.72</v>
      </c>
      <c r="X92" s="764" t="e">
        <v>#VALUE!</v>
      </c>
      <c r="Y92" s="763">
        <v>29.65</v>
      </c>
      <c r="Z92" s="763">
        <v>24.69</v>
      </c>
      <c r="AA92" s="519">
        <v>30.100000000005821</v>
      </c>
      <c r="AB92" s="519">
        <v>25.5</v>
      </c>
      <c r="AC92" s="732">
        <f t="shared" si="1"/>
        <v>55.600000000005821</v>
      </c>
      <c r="AD92" s="664"/>
      <c r="AE92" s="664"/>
      <c r="AF92" s="664"/>
      <c r="AG92" s="664"/>
      <c r="AH92" s="664"/>
      <c r="AI92" s="664"/>
      <c r="AJ92" s="485"/>
      <c r="AK92" s="485"/>
      <c r="AL92" s="485"/>
      <c r="AM92" s="485"/>
      <c r="AN92" s="485"/>
      <c r="AO92" s="665"/>
      <c r="AP92" s="485"/>
      <c r="AQ92" s="483"/>
      <c r="AR92" s="755">
        <v>0</v>
      </c>
      <c r="AS92" s="483">
        <v>31.8</v>
      </c>
      <c r="AT92" s="755">
        <v>0</v>
      </c>
      <c r="AU92" s="483">
        <v>31</v>
      </c>
      <c r="AV92" s="484">
        <v>505.5</v>
      </c>
      <c r="AW92" s="484">
        <v>500.7</v>
      </c>
      <c r="AX92" s="453">
        <v>0</v>
      </c>
      <c r="AY92" s="734">
        <v>0</v>
      </c>
      <c r="AZ92" s="734">
        <v>0</v>
      </c>
      <c r="BA92" s="734">
        <v>0</v>
      </c>
      <c r="BB92" s="453">
        <v>0</v>
      </c>
      <c r="BC92" s="453">
        <v>1.01</v>
      </c>
      <c r="BD92" s="453">
        <v>1.51</v>
      </c>
      <c r="BE92" s="734">
        <v>0</v>
      </c>
      <c r="BF92" s="453">
        <v>0</v>
      </c>
      <c r="BG92" s="453">
        <v>0</v>
      </c>
      <c r="BH92" s="734">
        <v>0</v>
      </c>
      <c r="BI92" s="453">
        <v>0</v>
      </c>
      <c r="BJ92" s="453">
        <v>22.5</v>
      </c>
      <c r="BK92" s="453">
        <v>2.74</v>
      </c>
      <c r="BL92" s="453">
        <v>3.3</v>
      </c>
      <c r="BM92" s="453">
        <v>0</v>
      </c>
      <c r="BN92" s="453">
        <v>16.399999999999999</v>
      </c>
      <c r="BO92" s="453">
        <v>1183.5</v>
      </c>
      <c r="BP92" s="453">
        <v>0</v>
      </c>
      <c r="BQ92" s="453">
        <v>18.2</v>
      </c>
      <c r="BR92" s="453">
        <v>18.100000000000001</v>
      </c>
      <c r="BS92" s="453">
        <v>0</v>
      </c>
      <c r="BT92" s="453">
        <v>30.1</v>
      </c>
      <c r="BU92" s="453">
        <v>26.2</v>
      </c>
      <c r="BV92" s="456">
        <v>445.1</v>
      </c>
      <c r="BW92" s="453">
        <v>1.1000000000000001</v>
      </c>
      <c r="BX92" s="453">
        <v>1.59</v>
      </c>
      <c r="BY92" s="456">
        <v>1.1000000000000001</v>
      </c>
      <c r="BZ92" s="456">
        <v>14.9</v>
      </c>
      <c r="CA92" s="456">
        <v>34.4</v>
      </c>
      <c r="CB92" s="456">
        <v>12.75</v>
      </c>
      <c r="CC92" s="456">
        <v>9.5</v>
      </c>
      <c r="CD92" s="456">
        <v>13.8</v>
      </c>
      <c r="CE92" s="456">
        <v>17.8</v>
      </c>
      <c r="CF92" s="456">
        <v>13.6</v>
      </c>
      <c r="CG92" s="456">
        <v>558.25</v>
      </c>
      <c r="CH92" s="456">
        <v>2.4</v>
      </c>
      <c r="CI92" s="456">
        <v>3.8</v>
      </c>
      <c r="CJ92" s="456">
        <v>371.9</v>
      </c>
      <c r="CK92" s="456">
        <v>416.7</v>
      </c>
      <c r="CL92" s="456">
        <v>514.1</v>
      </c>
      <c r="CM92" s="456">
        <v>12.3</v>
      </c>
      <c r="CN92" s="456">
        <v>1.81</v>
      </c>
      <c r="CO92" s="453">
        <v>0</v>
      </c>
      <c r="CP92" s="453">
        <v>17.72</v>
      </c>
      <c r="CQ92" s="453">
        <v>44</v>
      </c>
      <c r="CR92" s="456">
        <v>0</v>
      </c>
      <c r="CS92" s="456">
        <v>0</v>
      </c>
      <c r="CT92" s="456">
        <v>0</v>
      </c>
      <c r="CU92" s="456">
        <v>0</v>
      </c>
      <c r="CV92" s="481">
        <v>810.4</v>
      </c>
      <c r="CW92" s="481">
        <v>1615.4166666666667</v>
      </c>
      <c r="CX92" s="481">
        <v>776.04166666666663</v>
      </c>
      <c r="CY92" s="481">
        <v>1108.1099999999999</v>
      </c>
      <c r="CZ92" s="456"/>
      <c r="DA92" s="456"/>
      <c r="DB92" s="456"/>
      <c r="DC92" s="456"/>
      <c r="DD92" s="456"/>
      <c r="DE92" s="456"/>
      <c r="DF92" s="456"/>
      <c r="DG92" s="425"/>
      <c r="DH92" s="456">
        <v>0</v>
      </c>
      <c r="DI92" s="456">
        <v>0.59</v>
      </c>
      <c r="DJ92" s="456">
        <v>1.0900000000000001</v>
      </c>
      <c r="DK92" s="425"/>
      <c r="DL92" s="456"/>
      <c r="DM92" s="456"/>
      <c r="DN92" s="456"/>
      <c r="DO92" s="456"/>
      <c r="DP92" s="456"/>
      <c r="DQ92" s="456"/>
      <c r="DR92" s="456"/>
      <c r="DS92" s="456"/>
      <c r="DT92" s="456"/>
      <c r="DU92" s="456"/>
      <c r="DV92" s="456"/>
      <c r="DW92" s="456"/>
      <c r="DX92" s="456"/>
      <c r="DY92" s="456"/>
      <c r="DZ92" s="456"/>
      <c r="EA92" s="456"/>
      <c r="EB92" s="456"/>
      <c r="EC92" s="456"/>
      <c r="ED92" s="423">
        <v>0</v>
      </c>
      <c r="EE92" s="456">
        <v>0</v>
      </c>
      <c r="EF92" s="456">
        <v>2.5</v>
      </c>
      <c r="EG92" s="456">
        <v>6</v>
      </c>
      <c r="EH92" s="423">
        <v>0</v>
      </c>
      <c r="EI92" s="456"/>
      <c r="EJ92" s="456"/>
      <c r="EK92" s="456"/>
      <c r="EL92" s="456"/>
      <c r="EM92" s="456"/>
      <c r="EN92" s="456"/>
      <c r="EO92" s="425"/>
      <c r="EP92" s="425"/>
      <c r="EQ92" s="425" t="s">
        <v>743</v>
      </c>
      <c r="ER92" s="425">
        <v>1</v>
      </c>
      <c r="ES92" s="425">
        <v>8</v>
      </c>
      <c r="ET92" s="425">
        <v>4000</v>
      </c>
      <c r="EU92" s="457">
        <v>2800</v>
      </c>
      <c r="EV92" s="425">
        <v>130</v>
      </c>
      <c r="EW92" s="425">
        <v>6727727</v>
      </c>
      <c r="EX92" s="425">
        <v>7459</v>
      </c>
      <c r="EY92" s="666">
        <v>18.149999999999999</v>
      </c>
      <c r="EZ92" s="666">
        <v>18.149999999999999</v>
      </c>
      <c r="FA92" s="666">
        <v>0</v>
      </c>
      <c r="FB92" s="666">
        <v>1.57</v>
      </c>
      <c r="FC92" s="666">
        <v>1.4</v>
      </c>
      <c r="FD92" s="666">
        <v>1.1100000000000001</v>
      </c>
      <c r="FE92" s="666">
        <v>1.1299999999999999</v>
      </c>
      <c r="FF92" s="666">
        <v>250</v>
      </c>
      <c r="FG92" s="666">
        <v>1.81</v>
      </c>
      <c r="FH92" s="666">
        <v>1.08</v>
      </c>
      <c r="FI92" s="666">
        <v>1.9</v>
      </c>
      <c r="FJ92" s="666">
        <v>8.33</v>
      </c>
      <c r="FK92" s="666">
        <v>8.4</v>
      </c>
      <c r="FL92" s="666">
        <v>8.1</v>
      </c>
      <c r="FM92" s="666">
        <v>7.6</v>
      </c>
      <c r="FN92" s="666">
        <v>0</v>
      </c>
    </row>
    <row r="93" spans="1:170" s="416" customFormat="1" ht="15">
      <c r="A93" s="425" t="s">
        <v>3</v>
      </c>
      <c r="B93" s="426">
        <v>40622</v>
      </c>
      <c r="C93" s="418">
        <v>0</v>
      </c>
      <c r="D93" s="762">
        <v>0</v>
      </c>
      <c r="E93" s="763">
        <v>0</v>
      </c>
      <c r="F93" s="763">
        <v>44</v>
      </c>
      <c r="G93" s="763">
        <v>1.1000000000000001</v>
      </c>
      <c r="H93" s="519">
        <v>3.44</v>
      </c>
      <c r="I93" s="519">
        <v>95.6</v>
      </c>
      <c r="J93" s="763">
        <v>2.87</v>
      </c>
      <c r="K93" s="520" t="s">
        <v>742</v>
      </c>
      <c r="L93" s="763">
        <v>0</v>
      </c>
      <c r="M93" s="763">
        <v>24.6</v>
      </c>
      <c r="N93" s="763">
        <v>1.54</v>
      </c>
      <c r="O93" s="763">
        <v>2.2039407458484899</v>
      </c>
      <c r="P93" s="763" t="s">
        <v>742</v>
      </c>
      <c r="Q93" s="763">
        <v>2.0528401585290106</v>
      </c>
      <c r="R93" s="763">
        <v>1002.1617225891677</v>
      </c>
      <c r="S93" s="763">
        <v>7.72</v>
      </c>
      <c r="T93" s="763" t="s">
        <v>742</v>
      </c>
      <c r="U93" s="763">
        <v>0.53</v>
      </c>
      <c r="V93" s="763" t="s">
        <v>742</v>
      </c>
      <c r="W93" s="763">
        <v>44.42</v>
      </c>
      <c r="X93" s="764" t="e">
        <v>#VALUE!</v>
      </c>
      <c r="Y93" s="763">
        <v>29.69</v>
      </c>
      <c r="Z93" s="763">
        <v>24.95</v>
      </c>
      <c r="AA93" s="519">
        <v>29.229999999995925</v>
      </c>
      <c r="AB93" s="519">
        <v>24.80000000000291</v>
      </c>
      <c r="AC93" s="732">
        <f t="shared" si="1"/>
        <v>54.029999999998836</v>
      </c>
      <c r="AD93" s="664"/>
      <c r="AE93" s="664"/>
      <c r="AF93" s="664"/>
      <c r="AG93" s="664"/>
      <c r="AH93" s="664"/>
      <c r="AI93" s="664"/>
      <c r="AJ93" s="485"/>
      <c r="AK93" s="485"/>
      <c r="AL93" s="485"/>
      <c r="AM93" s="485"/>
      <c r="AN93" s="485"/>
      <c r="AO93" s="665"/>
      <c r="AP93" s="485"/>
      <c r="AQ93" s="483"/>
      <c r="AR93" s="755">
        <v>0</v>
      </c>
      <c r="AS93" s="483">
        <v>24.6</v>
      </c>
      <c r="AT93" s="755">
        <v>0</v>
      </c>
      <c r="AU93" s="483">
        <v>31</v>
      </c>
      <c r="AV93" s="484">
        <v>712.6</v>
      </c>
      <c r="AW93" s="484">
        <v>686.8</v>
      </c>
      <c r="AX93" s="453">
        <v>0</v>
      </c>
      <c r="AY93" s="734">
        <v>0</v>
      </c>
      <c r="AZ93" s="734">
        <v>0</v>
      </c>
      <c r="BA93" s="734">
        <v>0</v>
      </c>
      <c r="BB93" s="453">
        <v>0</v>
      </c>
      <c r="BC93" s="453">
        <v>1.01</v>
      </c>
      <c r="BD93" s="453">
        <v>1.51</v>
      </c>
      <c r="BE93" s="734">
        <v>0</v>
      </c>
      <c r="BF93" s="453">
        <v>0</v>
      </c>
      <c r="BG93" s="453">
        <v>0</v>
      </c>
      <c r="BH93" s="734">
        <v>0</v>
      </c>
      <c r="BI93" s="453">
        <v>0</v>
      </c>
      <c r="BJ93" s="453">
        <v>22.6</v>
      </c>
      <c r="BK93" s="453">
        <v>2.74</v>
      </c>
      <c r="BL93" s="453">
        <v>3.3</v>
      </c>
      <c r="BM93" s="453">
        <v>0</v>
      </c>
      <c r="BN93" s="453">
        <v>16.399999999999999</v>
      </c>
      <c r="BO93" s="453">
        <v>1285.9000000000001</v>
      </c>
      <c r="BP93" s="453">
        <v>0</v>
      </c>
      <c r="BQ93" s="453">
        <v>17.7</v>
      </c>
      <c r="BR93" s="453">
        <v>17.600000000000001</v>
      </c>
      <c r="BS93" s="453">
        <v>0</v>
      </c>
      <c r="BT93" s="453">
        <v>30.2</v>
      </c>
      <c r="BU93" s="453">
        <v>28.4</v>
      </c>
      <c r="BV93" s="456">
        <v>640.1</v>
      </c>
      <c r="BW93" s="453">
        <v>1.53</v>
      </c>
      <c r="BX93" s="453">
        <v>1.62</v>
      </c>
      <c r="BY93" s="456">
        <v>1.1100000000000001</v>
      </c>
      <c r="BZ93" s="456">
        <v>15.6</v>
      </c>
      <c r="CA93" s="456">
        <v>38.200000000000003</v>
      </c>
      <c r="CB93" s="456">
        <v>14.4</v>
      </c>
      <c r="CC93" s="456">
        <v>8.9</v>
      </c>
      <c r="CD93" s="456">
        <v>13.1</v>
      </c>
      <c r="CE93" s="456">
        <v>17.2</v>
      </c>
      <c r="CF93" s="456">
        <v>13.52</v>
      </c>
      <c r="CG93" s="456">
        <v>553.6</v>
      </c>
      <c r="CH93" s="456">
        <v>2.5</v>
      </c>
      <c r="CI93" s="456">
        <v>3</v>
      </c>
      <c r="CJ93" s="456">
        <v>477.7</v>
      </c>
      <c r="CK93" s="456">
        <v>429.7</v>
      </c>
      <c r="CL93" s="456">
        <v>518.4</v>
      </c>
      <c r="CM93" s="456">
        <v>12</v>
      </c>
      <c r="CN93" s="456">
        <v>1.74</v>
      </c>
      <c r="CO93" s="453">
        <v>0</v>
      </c>
      <c r="CP93" s="453">
        <v>17.010000000000002</v>
      </c>
      <c r="CQ93" s="453">
        <v>44</v>
      </c>
      <c r="CR93" s="456">
        <v>0</v>
      </c>
      <c r="CS93" s="456">
        <v>0</v>
      </c>
      <c r="CT93" s="456">
        <v>0</v>
      </c>
      <c r="CU93" s="456">
        <v>0</v>
      </c>
      <c r="CV93" s="481">
        <v>818.6</v>
      </c>
      <c r="CW93" s="481">
        <v>1535.5208333333333</v>
      </c>
      <c r="CX93" s="481">
        <v>774.5</v>
      </c>
      <c r="CY93" s="481">
        <v>1109.3699999999999</v>
      </c>
      <c r="CZ93" s="456"/>
      <c r="DA93" s="456"/>
      <c r="DB93" s="456"/>
      <c r="DC93" s="456"/>
      <c r="DD93" s="456"/>
      <c r="DE93" s="456"/>
      <c r="DF93" s="456"/>
      <c r="DG93" s="425"/>
      <c r="DH93" s="456">
        <v>0</v>
      </c>
      <c r="DI93" s="456">
        <v>0.65</v>
      </c>
      <c r="DJ93" s="456">
        <v>1.1399999999999999</v>
      </c>
      <c r="DK93" s="425"/>
      <c r="DL93" s="456"/>
      <c r="DM93" s="456"/>
      <c r="DN93" s="456"/>
      <c r="DO93" s="456"/>
      <c r="DP93" s="456"/>
      <c r="DQ93" s="456"/>
      <c r="DR93" s="456"/>
      <c r="DS93" s="456"/>
      <c r="DT93" s="456"/>
      <c r="DU93" s="456"/>
      <c r="DV93" s="456"/>
      <c r="DW93" s="456"/>
      <c r="DX93" s="456"/>
      <c r="DY93" s="456"/>
      <c r="DZ93" s="456"/>
      <c r="EA93" s="456"/>
      <c r="EB93" s="456"/>
      <c r="EC93" s="456"/>
      <c r="ED93" s="423">
        <v>0</v>
      </c>
      <c r="EE93" s="456">
        <v>0</v>
      </c>
      <c r="EF93" s="456">
        <v>2.5</v>
      </c>
      <c r="EG93" s="456">
        <v>6</v>
      </c>
      <c r="EH93" s="423">
        <v>0</v>
      </c>
      <c r="EI93" s="456"/>
      <c r="EJ93" s="456"/>
      <c r="EK93" s="456"/>
      <c r="EL93" s="456"/>
      <c r="EM93" s="456"/>
      <c r="EN93" s="456"/>
      <c r="EO93" s="425"/>
      <c r="EP93" s="425"/>
      <c r="EQ93" s="425" t="s">
        <v>743</v>
      </c>
      <c r="ER93" s="425">
        <v>1</v>
      </c>
      <c r="ES93" s="425">
        <v>8</v>
      </c>
      <c r="ET93" s="425">
        <v>4000</v>
      </c>
      <c r="EU93" s="457">
        <v>2540</v>
      </c>
      <c r="EV93" s="425">
        <v>260</v>
      </c>
      <c r="EW93" s="425">
        <v>6730412</v>
      </c>
      <c r="EX93" s="425">
        <v>8225</v>
      </c>
      <c r="EY93" s="666">
        <v>19.95</v>
      </c>
      <c r="EZ93" s="666">
        <v>17.91</v>
      </c>
      <c r="FA93" s="666">
        <v>0</v>
      </c>
      <c r="FB93" s="666">
        <v>1.52</v>
      </c>
      <c r="FC93" s="666">
        <v>1.52</v>
      </c>
      <c r="FD93" s="666">
        <v>1.18</v>
      </c>
      <c r="FE93" s="666">
        <v>1.1499999999999999</v>
      </c>
      <c r="FF93" s="666">
        <v>260</v>
      </c>
      <c r="FG93" s="666">
        <v>2.57</v>
      </c>
      <c r="FH93" s="666">
        <v>1.03</v>
      </c>
      <c r="FI93" s="666">
        <v>1.99</v>
      </c>
      <c r="FJ93" s="666">
        <v>8.2200000000000006</v>
      </c>
      <c r="FK93" s="666">
        <v>8.1</v>
      </c>
      <c r="FL93" s="666">
        <v>8.1199999999999992</v>
      </c>
      <c r="FM93" s="666">
        <v>7.7</v>
      </c>
      <c r="FN93" s="666">
        <v>0</v>
      </c>
    </row>
    <row r="94" spans="1:170" s="416" customFormat="1" ht="15">
      <c r="A94" s="425" t="s">
        <v>4</v>
      </c>
      <c r="B94" s="426">
        <v>40623</v>
      </c>
      <c r="C94" s="418">
        <v>0</v>
      </c>
      <c r="D94" s="762">
        <v>0.28000000000000003</v>
      </c>
      <c r="E94" s="763">
        <v>0</v>
      </c>
      <c r="F94" s="763">
        <v>38.1</v>
      </c>
      <c r="G94" s="763">
        <v>1.1000000000000001</v>
      </c>
      <c r="H94" s="519">
        <v>2.3199999999999998</v>
      </c>
      <c r="I94" s="519">
        <v>93.2</v>
      </c>
      <c r="J94" s="763">
        <v>2.23</v>
      </c>
      <c r="K94" s="520" t="s">
        <v>742</v>
      </c>
      <c r="L94" s="763">
        <v>0</v>
      </c>
      <c r="M94" s="763">
        <v>24.5</v>
      </c>
      <c r="N94" s="763">
        <v>1.54</v>
      </c>
      <c r="O94" s="763">
        <v>2.1985523430797209</v>
      </c>
      <c r="P94" s="763" t="s">
        <v>742</v>
      </c>
      <c r="Q94" s="763">
        <v>0</v>
      </c>
      <c r="R94" s="763">
        <v>1008.3159154557463</v>
      </c>
      <c r="S94" s="763">
        <v>7.79</v>
      </c>
      <c r="T94" s="763" t="s">
        <v>742</v>
      </c>
      <c r="U94" s="763">
        <v>0.61</v>
      </c>
      <c r="V94" s="763" t="s">
        <v>742</v>
      </c>
      <c r="W94" s="763">
        <v>41</v>
      </c>
      <c r="X94" s="764" t="e">
        <v>#VALUE!</v>
      </c>
      <c r="Y94" s="763">
        <v>29.68</v>
      </c>
      <c r="Z94" s="763">
        <v>25.14</v>
      </c>
      <c r="AA94" s="519">
        <v>29.5</v>
      </c>
      <c r="AB94" s="519">
        <v>24.44999999999709</v>
      </c>
      <c r="AC94" s="732">
        <f t="shared" si="1"/>
        <v>53.94999999999709</v>
      </c>
      <c r="AD94" s="664"/>
      <c r="AE94" s="664"/>
      <c r="AF94" s="664"/>
      <c r="AG94" s="664"/>
      <c r="AH94" s="664"/>
      <c r="AI94" s="664"/>
      <c r="AJ94" s="485"/>
      <c r="AK94" s="485"/>
      <c r="AL94" s="485"/>
      <c r="AM94" s="485"/>
      <c r="AN94" s="485"/>
      <c r="AO94" s="665"/>
      <c r="AP94" s="485"/>
      <c r="AQ94" s="483"/>
      <c r="AR94" s="755">
        <v>0</v>
      </c>
      <c r="AS94" s="483">
        <v>28.8</v>
      </c>
      <c r="AT94" s="755">
        <v>0</v>
      </c>
      <c r="AU94" s="483">
        <v>31</v>
      </c>
      <c r="AV94" s="484">
        <v>257.10000000000002</v>
      </c>
      <c r="AW94" s="484">
        <v>282.8</v>
      </c>
      <c r="AX94" s="453">
        <v>0</v>
      </c>
      <c r="AY94" s="734">
        <v>0</v>
      </c>
      <c r="AZ94" s="734">
        <v>0</v>
      </c>
      <c r="BA94" s="734">
        <v>0</v>
      </c>
      <c r="BB94" s="453">
        <v>0</v>
      </c>
      <c r="BC94" s="453">
        <v>1.08</v>
      </c>
      <c r="BD94" s="453">
        <v>1.44</v>
      </c>
      <c r="BE94" s="734">
        <v>0</v>
      </c>
      <c r="BF94" s="453">
        <v>0</v>
      </c>
      <c r="BG94" s="453">
        <v>0</v>
      </c>
      <c r="BH94" s="734">
        <v>0</v>
      </c>
      <c r="BI94" s="453">
        <v>0</v>
      </c>
      <c r="BJ94" s="453">
        <v>22.6</v>
      </c>
      <c r="BK94" s="453">
        <v>2.72</v>
      </c>
      <c r="BL94" s="453">
        <v>3.3</v>
      </c>
      <c r="BM94" s="453">
        <v>0</v>
      </c>
      <c r="BN94" s="453">
        <v>16.399999999999999</v>
      </c>
      <c r="BO94" s="453">
        <v>1236.7</v>
      </c>
      <c r="BP94" s="453">
        <v>0</v>
      </c>
      <c r="BQ94" s="453">
        <v>17.7</v>
      </c>
      <c r="BR94" s="453">
        <v>17.600000000000001</v>
      </c>
      <c r="BS94" s="453">
        <v>0</v>
      </c>
      <c r="BT94" s="453">
        <v>30.8</v>
      </c>
      <c r="BU94" s="453">
        <v>23.7</v>
      </c>
      <c r="BV94" s="456">
        <v>458</v>
      </c>
      <c r="BW94" s="453">
        <v>1.1000000000000001</v>
      </c>
      <c r="BX94" s="453">
        <v>1.61</v>
      </c>
      <c r="BY94" s="456">
        <v>1.1000000000000001</v>
      </c>
      <c r="BZ94" s="456">
        <v>15.6</v>
      </c>
      <c r="CA94" s="456">
        <v>38.1</v>
      </c>
      <c r="CB94" s="456">
        <v>14.4</v>
      </c>
      <c r="CC94" s="456">
        <v>8.9</v>
      </c>
      <c r="CD94" s="456">
        <v>13.1</v>
      </c>
      <c r="CE94" s="456">
        <v>17.2</v>
      </c>
      <c r="CF94" s="456">
        <v>13.5</v>
      </c>
      <c r="CG94" s="456">
        <v>535.20000000000005</v>
      </c>
      <c r="CH94" s="456">
        <v>1.9</v>
      </c>
      <c r="CI94" s="456">
        <v>2.7</v>
      </c>
      <c r="CJ94" s="456">
        <v>411.3</v>
      </c>
      <c r="CK94" s="456">
        <v>383.1</v>
      </c>
      <c r="CL94" s="456">
        <v>539.1</v>
      </c>
      <c r="CM94" s="456">
        <v>11.1</v>
      </c>
      <c r="CN94" s="456">
        <v>1.7</v>
      </c>
      <c r="CO94" s="453">
        <v>0</v>
      </c>
      <c r="CP94" s="453">
        <v>14.92</v>
      </c>
      <c r="CQ94" s="453">
        <v>44</v>
      </c>
      <c r="CR94" s="456">
        <v>0</v>
      </c>
      <c r="CS94" s="456">
        <v>0</v>
      </c>
      <c r="CT94" s="456">
        <v>0</v>
      </c>
      <c r="CU94" s="456">
        <v>0</v>
      </c>
      <c r="CV94" s="481">
        <v>824.25</v>
      </c>
      <c r="CW94" s="481">
        <v>1496.4583333333333</v>
      </c>
      <c r="CX94" s="481">
        <v>779.125</v>
      </c>
      <c r="CY94" s="481">
        <v>1110.3699999999999</v>
      </c>
      <c r="CZ94" s="456"/>
      <c r="DA94" s="456"/>
      <c r="DB94" s="456"/>
      <c r="DC94" s="456"/>
      <c r="DD94" s="456"/>
      <c r="DE94" s="456"/>
      <c r="DF94" s="456"/>
      <c r="DG94" s="425"/>
      <c r="DH94" s="456">
        <v>0</v>
      </c>
      <c r="DI94" s="456">
        <v>0.62</v>
      </c>
      <c r="DJ94" s="456">
        <v>1.21</v>
      </c>
      <c r="DK94" s="425"/>
      <c r="DL94" s="456"/>
      <c r="DM94" s="456"/>
      <c r="DN94" s="456"/>
      <c r="DO94" s="456"/>
      <c r="DP94" s="456"/>
      <c r="DQ94" s="456"/>
      <c r="DR94" s="456"/>
      <c r="DS94" s="456"/>
      <c r="DT94" s="456"/>
      <c r="DU94" s="456"/>
      <c r="DV94" s="456"/>
      <c r="DW94" s="456"/>
      <c r="DX94" s="456"/>
      <c r="DY94" s="456"/>
      <c r="DZ94" s="456"/>
      <c r="EA94" s="456"/>
      <c r="EB94" s="456"/>
      <c r="EC94" s="456"/>
      <c r="ED94" s="423">
        <v>0</v>
      </c>
      <c r="EE94" s="456">
        <v>0</v>
      </c>
      <c r="EF94" s="456">
        <v>2.5</v>
      </c>
      <c r="EG94" s="456">
        <v>6</v>
      </c>
      <c r="EH94" s="423">
        <v>0</v>
      </c>
      <c r="EI94" s="456"/>
      <c r="EJ94" s="456"/>
      <c r="EK94" s="456"/>
      <c r="EL94" s="456"/>
      <c r="EM94" s="456"/>
      <c r="EN94" s="456"/>
      <c r="EO94" s="425"/>
      <c r="EP94" s="425"/>
      <c r="EQ94" s="425" t="s">
        <v>743</v>
      </c>
      <c r="ER94" s="425">
        <v>1</v>
      </c>
      <c r="ES94" s="425">
        <v>8</v>
      </c>
      <c r="ET94" s="425">
        <v>4000</v>
      </c>
      <c r="EU94" s="457">
        <v>2320</v>
      </c>
      <c r="EV94" s="425">
        <v>220</v>
      </c>
      <c r="EW94" s="425">
        <v>6732836</v>
      </c>
      <c r="EX94" s="425">
        <v>9010</v>
      </c>
      <c r="EY94" s="666">
        <v>18.399999999999999</v>
      </c>
      <c r="EZ94" s="666">
        <v>18.399999999999999</v>
      </c>
      <c r="FA94" s="666">
        <v>0</v>
      </c>
      <c r="FB94" s="666">
        <v>1.48</v>
      </c>
      <c r="FC94" s="666">
        <v>1.44</v>
      </c>
      <c r="FD94" s="666">
        <v>1.21</v>
      </c>
      <c r="FE94" s="666">
        <v>1.19</v>
      </c>
      <c r="FF94" s="666">
        <v>220</v>
      </c>
      <c r="FG94" s="666">
        <v>1.97</v>
      </c>
      <c r="FH94" s="666">
        <v>1.02</v>
      </c>
      <c r="FI94" s="666">
        <v>1.8</v>
      </c>
      <c r="FJ94" s="666">
        <v>8.4499999999999993</v>
      </c>
      <c r="FK94" s="666">
        <v>8.3000000000000007</v>
      </c>
      <c r="FL94" s="666">
        <v>8.15</v>
      </c>
      <c r="FM94" s="666">
        <v>7.9</v>
      </c>
      <c r="FN94" s="666">
        <v>0</v>
      </c>
    </row>
    <row r="95" spans="1:170" s="416" customFormat="1" ht="15">
      <c r="A95" s="425" t="s">
        <v>5</v>
      </c>
      <c r="B95" s="426">
        <v>40624</v>
      </c>
      <c r="C95" s="418">
        <v>0</v>
      </c>
      <c r="D95" s="762">
        <v>0.03</v>
      </c>
      <c r="E95" s="763">
        <v>0</v>
      </c>
      <c r="F95" s="763">
        <v>35</v>
      </c>
      <c r="G95" s="763">
        <v>1.1000000000000001</v>
      </c>
      <c r="H95" s="771" t="s">
        <v>742</v>
      </c>
      <c r="I95" s="519">
        <v>92.1</v>
      </c>
      <c r="J95" s="763">
        <v>1.91</v>
      </c>
      <c r="K95" s="520" t="s">
        <v>742</v>
      </c>
      <c r="L95" s="763">
        <v>0</v>
      </c>
      <c r="M95" s="763">
        <v>24.3</v>
      </c>
      <c r="N95" s="763">
        <v>1.56</v>
      </c>
      <c r="O95" s="763">
        <v>2.2335102678035303</v>
      </c>
      <c r="P95" s="763" t="s">
        <v>742</v>
      </c>
      <c r="Q95" s="763">
        <v>1.3204755614266841</v>
      </c>
      <c r="R95" s="763">
        <v>1035.5239260237779</v>
      </c>
      <c r="S95" s="763">
        <v>7.78</v>
      </c>
      <c r="T95" s="763" t="s">
        <v>742</v>
      </c>
      <c r="U95" s="763">
        <v>0.64</v>
      </c>
      <c r="V95" s="763" t="s">
        <v>742</v>
      </c>
      <c r="W95" s="763">
        <v>44.600000000000009</v>
      </c>
      <c r="X95" s="764" t="e">
        <v>#VALUE!</v>
      </c>
      <c r="Y95" s="763">
        <v>29.64</v>
      </c>
      <c r="Z95" s="763">
        <v>24.4</v>
      </c>
      <c r="AA95" s="519">
        <v>30</v>
      </c>
      <c r="AB95" s="519">
        <v>26</v>
      </c>
      <c r="AC95" s="732">
        <f t="shared" si="1"/>
        <v>56</v>
      </c>
      <c r="AD95" s="664"/>
      <c r="AE95" s="664"/>
      <c r="AF95" s="664"/>
      <c r="AG95" s="664"/>
      <c r="AH95" s="664"/>
      <c r="AI95" s="664"/>
      <c r="AJ95" s="485"/>
      <c r="AK95" s="485"/>
      <c r="AL95" s="485"/>
      <c r="AM95" s="485"/>
      <c r="AN95" s="485"/>
      <c r="AO95" s="665"/>
      <c r="AP95" s="485"/>
      <c r="AQ95" s="483"/>
      <c r="AR95" s="755">
        <v>0</v>
      </c>
      <c r="AS95" s="483">
        <v>27.5</v>
      </c>
      <c r="AT95" s="755">
        <v>0</v>
      </c>
      <c r="AU95" s="483">
        <v>31</v>
      </c>
      <c r="AV95" s="484">
        <v>327.9</v>
      </c>
      <c r="AW95" s="484">
        <v>308.5</v>
      </c>
      <c r="AX95" s="453">
        <v>0</v>
      </c>
      <c r="AY95" s="734">
        <v>0</v>
      </c>
      <c r="AZ95" s="734">
        <v>0</v>
      </c>
      <c r="BA95" s="734">
        <v>0</v>
      </c>
      <c r="BB95" s="453">
        <f>1.92-BB96-BB97-BB98</f>
        <v>0.19089337175792515</v>
      </c>
      <c r="BC95" s="453">
        <v>1</v>
      </c>
      <c r="BD95" s="453">
        <v>1.51</v>
      </c>
      <c r="BE95" s="734">
        <v>0</v>
      </c>
      <c r="BF95" s="453">
        <v>0</v>
      </c>
      <c r="BG95" s="453">
        <v>0</v>
      </c>
      <c r="BH95" s="734">
        <v>0</v>
      </c>
      <c r="BI95" s="453">
        <v>0</v>
      </c>
      <c r="BJ95" s="453">
        <v>22.6</v>
      </c>
      <c r="BK95" s="453">
        <v>2.73</v>
      </c>
      <c r="BL95" s="453">
        <v>3.3</v>
      </c>
      <c r="BM95" s="453">
        <v>0</v>
      </c>
      <c r="BN95" s="453">
        <v>16.3</v>
      </c>
      <c r="BO95" s="453">
        <v>1383.7</v>
      </c>
      <c r="BP95" s="453">
        <v>0</v>
      </c>
      <c r="BQ95" s="453">
        <v>18.3</v>
      </c>
      <c r="BR95" s="453">
        <v>18.2</v>
      </c>
      <c r="BS95" s="453">
        <v>0</v>
      </c>
      <c r="BT95" s="453">
        <v>30.7</v>
      </c>
      <c r="BU95" s="453">
        <v>24.6</v>
      </c>
      <c r="BV95" s="456">
        <v>365.7</v>
      </c>
      <c r="BW95" s="453">
        <v>1</v>
      </c>
      <c r="BX95" s="453">
        <v>1.59</v>
      </c>
      <c r="BY95" s="456">
        <v>1.1100000000000001</v>
      </c>
      <c r="BZ95" s="456">
        <v>15.3</v>
      </c>
      <c r="CA95" s="456">
        <v>35.700000000000003</v>
      </c>
      <c r="CB95" s="456">
        <v>13.7</v>
      </c>
      <c r="CC95" s="456">
        <v>8.6999999999999993</v>
      </c>
      <c r="CD95" s="456">
        <v>12.9</v>
      </c>
      <c r="CE95" s="456">
        <v>17.3</v>
      </c>
      <c r="CF95" s="456">
        <v>13.3</v>
      </c>
      <c r="CG95" s="456">
        <v>514</v>
      </c>
      <c r="CH95" s="456">
        <v>1.6</v>
      </c>
      <c r="CI95" s="456">
        <v>2.2999999999999998</v>
      </c>
      <c r="CJ95" s="456">
        <v>330.1</v>
      </c>
      <c r="CK95" s="456">
        <v>388</v>
      </c>
      <c r="CL95" s="456">
        <v>543</v>
      </c>
      <c r="CM95" s="456">
        <v>11.5</v>
      </c>
      <c r="CN95" s="456">
        <v>1.7</v>
      </c>
      <c r="CO95" s="453">
        <v>0</v>
      </c>
      <c r="CP95" s="453">
        <v>15.07</v>
      </c>
      <c r="CQ95" s="453">
        <v>44</v>
      </c>
      <c r="CR95" s="456">
        <v>0</v>
      </c>
      <c r="CS95" s="456">
        <v>0</v>
      </c>
      <c r="CT95" s="456">
        <v>0</v>
      </c>
      <c r="CU95" s="456">
        <v>0</v>
      </c>
      <c r="CV95" s="481">
        <v>829.4</v>
      </c>
      <c r="CW95" s="481">
        <v>1466.6666666666667</v>
      </c>
      <c r="CX95" s="481">
        <v>781.625</v>
      </c>
      <c r="CY95" s="481">
        <v>1111.18</v>
      </c>
      <c r="CZ95" s="456"/>
      <c r="DA95" s="456"/>
      <c r="DB95" s="456"/>
      <c r="DC95" s="456"/>
      <c r="DD95" s="456"/>
      <c r="DE95" s="456"/>
      <c r="DF95" s="456"/>
      <c r="DG95" s="425"/>
      <c r="DH95" s="456">
        <v>0</v>
      </c>
      <c r="DI95" s="456">
        <v>0.6</v>
      </c>
      <c r="DJ95" s="456">
        <v>1.17</v>
      </c>
      <c r="DK95" s="425"/>
      <c r="DL95" s="456"/>
      <c r="DM95" s="456"/>
      <c r="DN95" s="456"/>
      <c r="DO95" s="456"/>
      <c r="DP95" s="456"/>
      <c r="DQ95" s="456"/>
      <c r="DR95" s="456"/>
      <c r="DS95" s="456"/>
      <c r="DT95" s="456"/>
      <c r="DU95" s="456"/>
      <c r="DV95" s="456"/>
      <c r="DW95" s="456"/>
      <c r="DX95" s="456"/>
      <c r="DY95" s="456"/>
      <c r="DZ95" s="456"/>
      <c r="EA95" s="456"/>
      <c r="EB95" s="456"/>
      <c r="EC95" s="456"/>
      <c r="ED95" s="423">
        <v>0</v>
      </c>
      <c r="EE95" s="456">
        <v>0</v>
      </c>
      <c r="EF95" s="456">
        <v>2.5</v>
      </c>
      <c r="EG95" s="456">
        <v>6</v>
      </c>
      <c r="EH95" s="423">
        <v>0</v>
      </c>
      <c r="EI95" s="456"/>
      <c r="EJ95" s="456"/>
      <c r="EK95" s="456"/>
      <c r="EL95" s="456"/>
      <c r="EM95" s="456"/>
      <c r="EN95" s="456"/>
      <c r="EO95" s="425"/>
      <c r="EP95" s="425"/>
      <c r="EQ95" s="425" t="s">
        <v>743</v>
      </c>
      <c r="ER95" s="425">
        <v>1</v>
      </c>
      <c r="ES95" s="425">
        <v>8</v>
      </c>
      <c r="ET95" s="425">
        <v>4000</v>
      </c>
      <c r="EU95" s="457">
        <v>2100</v>
      </c>
      <c r="EV95" s="425">
        <v>260</v>
      </c>
      <c r="EW95" s="425">
        <v>6735151</v>
      </c>
      <c r="EX95" s="425">
        <v>9740</v>
      </c>
      <c r="EY95" s="666">
        <v>18.7</v>
      </c>
      <c r="EZ95" s="666">
        <v>18.7</v>
      </c>
      <c r="FA95" s="666">
        <v>0</v>
      </c>
      <c r="FB95" s="666">
        <v>1.45</v>
      </c>
      <c r="FC95" s="666">
        <v>1.42</v>
      </c>
      <c r="FD95" s="666">
        <v>1.21</v>
      </c>
      <c r="FE95" s="666">
        <v>1.18</v>
      </c>
      <c r="FF95" s="666">
        <v>220</v>
      </c>
      <c r="FG95" s="666">
        <v>1.52</v>
      </c>
      <c r="FH95" s="666">
        <v>0.97</v>
      </c>
      <c r="FI95" s="666">
        <v>1.48</v>
      </c>
      <c r="FJ95" s="666">
        <v>8.26</v>
      </c>
      <c r="FK95" s="666">
        <v>8.1</v>
      </c>
      <c r="FL95" s="666">
        <v>8.06</v>
      </c>
      <c r="FM95" s="666">
        <v>7.7</v>
      </c>
      <c r="FN95" s="666">
        <v>0</v>
      </c>
    </row>
    <row r="96" spans="1:170" s="416" customFormat="1" ht="15">
      <c r="A96" s="425" t="s">
        <v>6</v>
      </c>
      <c r="B96" s="426">
        <v>40625</v>
      </c>
      <c r="C96" s="418">
        <v>0</v>
      </c>
      <c r="D96" s="762">
        <v>0.03</v>
      </c>
      <c r="E96" s="763">
        <v>0</v>
      </c>
      <c r="F96" s="763">
        <v>49</v>
      </c>
      <c r="G96" s="763">
        <v>1.1000000000000001</v>
      </c>
      <c r="H96" s="519">
        <v>13.5</v>
      </c>
      <c r="I96" s="519">
        <v>95.6</v>
      </c>
      <c r="J96" s="763">
        <v>2.3199999999999998</v>
      </c>
      <c r="K96" s="520" t="s">
        <v>742</v>
      </c>
      <c r="L96" s="763">
        <v>5.9099999999998545</v>
      </c>
      <c r="M96" s="763">
        <v>23.7</v>
      </c>
      <c r="N96" s="763">
        <v>1.54</v>
      </c>
      <c r="O96" s="763">
        <v>2.1512973045257433</v>
      </c>
      <c r="P96" s="763" t="s">
        <v>742</v>
      </c>
      <c r="Q96" s="763">
        <v>0.79440374684777926</v>
      </c>
      <c r="R96" s="763">
        <v>985.31866842800503</v>
      </c>
      <c r="S96" s="763">
        <v>7.75</v>
      </c>
      <c r="T96" s="763" t="s">
        <v>742</v>
      </c>
      <c r="U96" s="763">
        <v>0.63</v>
      </c>
      <c r="V96" s="763" t="s">
        <v>742</v>
      </c>
      <c r="W96" s="763">
        <v>41.539999999999992</v>
      </c>
      <c r="X96" s="764" t="e">
        <v>#VALUE!</v>
      </c>
      <c r="Y96" s="763">
        <v>29.77</v>
      </c>
      <c r="Z96" s="763">
        <v>24.64</v>
      </c>
      <c r="AA96" s="519">
        <v>29.5</v>
      </c>
      <c r="AB96" s="519">
        <v>24.94999999999709</v>
      </c>
      <c r="AC96" s="732">
        <f t="shared" si="1"/>
        <v>54.44999999999709</v>
      </c>
      <c r="AD96" s="664"/>
      <c r="AE96" s="664"/>
      <c r="AF96" s="664"/>
      <c r="AG96" s="664"/>
      <c r="AH96" s="664"/>
      <c r="AI96" s="664"/>
      <c r="AJ96" s="485"/>
      <c r="AK96" s="485"/>
      <c r="AL96" s="485"/>
      <c r="AM96" s="485"/>
      <c r="AN96" s="485"/>
      <c r="AO96" s="665"/>
      <c r="AP96" s="485"/>
      <c r="AQ96" s="483"/>
      <c r="AR96" s="755">
        <v>0</v>
      </c>
      <c r="AS96" s="483">
        <v>18.2</v>
      </c>
      <c r="AT96" s="755">
        <v>0</v>
      </c>
      <c r="AU96" s="483">
        <v>31</v>
      </c>
      <c r="AV96" s="484">
        <v>344.9</v>
      </c>
      <c r="AW96" s="484">
        <v>304.10000000000002</v>
      </c>
      <c r="AX96" s="453">
        <v>0</v>
      </c>
      <c r="AY96" s="734">
        <v>0</v>
      </c>
      <c r="AZ96" s="734">
        <v>0</v>
      </c>
      <c r="BA96" s="734">
        <v>0</v>
      </c>
      <c r="BB96" s="453">
        <f>BB97-BB98</f>
        <v>0.50432276657060515</v>
      </c>
      <c r="BC96" s="453">
        <v>1.01</v>
      </c>
      <c r="BD96" s="453">
        <v>1.51</v>
      </c>
      <c r="BE96" s="734">
        <v>0</v>
      </c>
      <c r="BF96" s="453">
        <v>0</v>
      </c>
      <c r="BG96" s="453">
        <v>0</v>
      </c>
      <c r="BH96" s="734">
        <v>0</v>
      </c>
      <c r="BI96" s="453">
        <v>0</v>
      </c>
      <c r="BJ96" s="453">
        <v>22.6</v>
      </c>
      <c r="BK96" s="453">
        <v>2.73</v>
      </c>
      <c r="BL96" s="453">
        <v>3.3</v>
      </c>
      <c r="BM96" s="453">
        <v>0</v>
      </c>
      <c r="BN96" s="453">
        <v>15.8</v>
      </c>
      <c r="BO96" s="453">
        <v>933.7</v>
      </c>
      <c r="BP96" s="453">
        <v>0</v>
      </c>
      <c r="BQ96" s="453">
        <v>18.7</v>
      </c>
      <c r="BR96" s="453">
        <v>18.600000000000001</v>
      </c>
      <c r="BS96" s="453">
        <v>0</v>
      </c>
      <c r="BT96" s="453">
        <v>30.7</v>
      </c>
      <c r="BU96" s="453">
        <v>27.2</v>
      </c>
      <c r="BV96" s="456">
        <v>622</v>
      </c>
      <c r="BW96" s="453">
        <v>1.69</v>
      </c>
      <c r="BX96" s="453">
        <v>1.6</v>
      </c>
      <c r="BY96" s="456">
        <v>1.1000000000000001</v>
      </c>
      <c r="BZ96" s="456">
        <v>14.9</v>
      </c>
      <c r="CA96" s="456">
        <v>34.4</v>
      </c>
      <c r="CB96" s="456">
        <v>12.9</v>
      </c>
      <c r="CC96" s="456">
        <v>9.6999999999999993</v>
      </c>
      <c r="CD96" s="456">
        <v>14</v>
      </c>
      <c r="CE96" s="456">
        <v>18</v>
      </c>
      <c r="CF96" s="456">
        <v>13.1</v>
      </c>
      <c r="CG96" s="456">
        <v>540</v>
      </c>
      <c r="CH96" s="456">
        <v>1.9</v>
      </c>
      <c r="CI96" s="456">
        <v>3.1</v>
      </c>
      <c r="CJ96" s="456">
        <v>394.7</v>
      </c>
      <c r="CK96" s="456">
        <v>384.7</v>
      </c>
      <c r="CL96" s="456">
        <v>556.20000000000005</v>
      </c>
      <c r="CM96" s="456">
        <v>12.4</v>
      </c>
      <c r="CN96" s="456">
        <v>1.8</v>
      </c>
      <c r="CO96" s="453">
        <v>0</v>
      </c>
      <c r="CP96" s="453">
        <v>16.43</v>
      </c>
      <c r="CQ96" s="453">
        <v>44</v>
      </c>
      <c r="CR96" s="456">
        <v>0</v>
      </c>
      <c r="CS96" s="456">
        <v>0</v>
      </c>
      <c r="CT96" s="456">
        <v>0</v>
      </c>
      <c r="CU96" s="456">
        <v>0</v>
      </c>
      <c r="CV96" s="481">
        <v>829.25</v>
      </c>
      <c r="CW96" s="481">
        <v>1439.1666666666667</v>
      </c>
      <c r="CX96" s="481">
        <v>786.6875</v>
      </c>
      <c r="CY96" s="481">
        <v>1111.68</v>
      </c>
      <c r="CZ96" s="456"/>
      <c r="DA96" s="456"/>
      <c r="DB96" s="456"/>
      <c r="DC96" s="456"/>
      <c r="DD96" s="456"/>
      <c r="DE96" s="456"/>
      <c r="DF96" s="456"/>
      <c r="DG96" s="425"/>
      <c r="DH96" s="456">
        <v>0</v>
      </c>
      <c r="DI96" s="456">
        <v>0.62</v>
      </c>
      <c r="DJ96" s="456">
        <v>1.02</v>
      </c>
      <c r="DK96" s="425"/>
      <c r="DL96" s="456"/>
      <c r="DM96" s="456"/>
      <c r="DN96" s="456"/>
      <c r="DO96" s="456"/>
      <c r="DP96" s="456"/>
      <c r="DQ96" s="456"/>
      <c r="DR96" s="456"/>
      <c r="DS96" s="456"/>
      <c r="DT96" s="456"/>
      <c r="DU96" s="456"/>
      <c r="DV96" s="456"/>
      <c r="DW96" s="456"/>
      <c r="DX96" s="456"/>
      <c r="DY96" s="456"/>
      <c r="DZ96" s="456"/>
      <c r="EA96" s="456"/>
      <c r="EB96" s="456"/>
      <c r="EC96" s="456"/>
      <c r="ED96" s="423">
        <v>0</v>
      </c>
      <c r="EE96" s="456">
        <v>0</v>
      </c>
      <c r="EF96" s="456">
        <v>2.5</v>
      </c>
      <c r="EG96" s="456">
        <v>6</v>
      </c>
      <c r="EH96" s="423">
        <v>0</v>
      </c>
      <c r="EI96" s="456"/>
      <c r="EJ96" s="456"/>
      <c r="EK96" s="456"/>
      <c r="EL96" s="456"/>
      <c r="EM96" s="456"/>
      <c r="EN96" s="456"/>
      <c r="EO96" s="425"/>
      <c r="EP96" s="425"/>
      <c r="EQ96" s="425" t="s">
        <v>743</v>
      </c>
      <c r="ER96" s="425">
        <v>1</v>
      </c>
      <c r="ES96" s="425">
        <v>8</v>
      </c>
      <c r="ET96" s="425">
        <v>4000</v>
      </c>
      <c r="EU96" s="457">
        <v>1810</v>
      </c>
      <c r="EV96" s="425">
        <v>255</v>
      </c>
      <c r="EW96" s="425">
        <v>6738154</v>
      </c>
      <c r="EX96" s="425">
        <v>10592</v>
      </c>
      <c r="EY96" s="666">
        <v>18.399999999999999</v>
      </c>
      <c r="EZ96" s="666">
        <v>18.399999999999999</v>
      </c>
      <c r="FA96" s="666">
        <v>0</v>
      </c>
      <c r="FB96" s="666">
        <v>1.6</v>
      </c>
      <c r="FC96" s="666">
        <v>1.5</v>
      </c>
      <c r="FD96" s="666">
        <v>1.163</v>
      </c>
      <c r="FE96" s="666">
        <v>1.17</v>
      </c>
      <c r="FF96" s="666">
        <v>290</v>
      </c>
      <c r="FG96" s="666">
        <v>2.2200000000000002</v>
      </c>
      <c r="FH96" s="666">
        <v>0.89500000000000002</v>
      </c>
      <c r="FI96" s="666">
        <v>1.65</v>
      </c>
      <c r="FJ96" s="666">
        <v>8.33</v>
      </c>
      <c r="FK96" s="666">
        <v>8.1999999999999993</v>
      </c>
      <c r="FL96" s="666">
        <v>8.1</v>
      </c>
      <c r="FM96" s="666">
        <v>7.8</v>
      </c>
      <c r="FN96" s="666">
        <v>0</v>
      </c>
    </row>
    <row r="97" spans="1:170" s="416" customFormat="1" ht="15">
      <c r="A97" s="425" t="s">
        <v>7</v>
      </c>
      <c r="B97" s="426">
        <v>40626</v>
      </c>
      <c r="C97" s="418">
        <v>0</v>
      </c>
      <c r="D97" s="762">
        <v>0</v>
      </c>
      <c r="E97" s="763">
        <v>0</v>
      </c>
      <c r="F97" s="763">
        <v>40</v>
      </c>
      <c r="G97" s="763">
        <v>0.9</v>
      </c>
      <c r="H97" s="519">
        <v>2.87</v>
      </c>
      <c r="I97" s="519">
        <v>93.4</v>
      </c>
      <c r="J97" s="763">
        <v>2.36</v>
      </c>
      <c r="K97" s="520" t="s">
        <v>742</v>
      </c>
      <c r="L97" s="763">
        <v>0</v>
      </c>
      <c r="M97" s="763">
        <v>23.9</v>
      </c>
      <c r="N97" s="763">
        <v>1.55</v>
      </c>
      <c r="O97" s="763">
        <v>2.2133432013578576</v>
      </c>
      <c r="P97" s="763" t="s">
        <v>742</v>
      </c>
      <c r="Q97" s="763">
        <v>1.812417437256707</v>
      </c>
      <c r="R97" s="763">
        <v>1042.9737384412153</v>
      </c>
      <c r="S97" s="763">
        <v>7.72</v>
      </c>
      <c r="T97" s="763" t="s">
        <v>742</v>
      </c>
      <c r="U97" s="763">
        <v>0.61</v>
      </c>
      <c r="V97" s="763" t="s">
        <v>742</v>
      </c>
      <c r="W97" s="763">
        <v>42.260000000000005</v>
      </c>
      <c r="X97" s="764" t="e">
        <v>#VALUE!</v>
      </c>
      <c r="Y97" s="763">
        <v>29.74</v>
      </c>
      <c r="Z97" s="763">
        <v>24.59</v>
      </c>
      <c r="AA97" s="519">
        <v>28.80000000000291</v>
      </c>
      <c r="AB97" s="519">
        <v>27.470000000001164</v>
      </c>
      <c r="AC97" s="732">
        <f t="shared" si="1"/>
        <v>56.270000000004075</v>
      </c>
      <c r="AD97" s="664"/>
      <c r="AE97" s="664"/>
      <c r="AF97" s="664"/>
      <c r="AG97" s="664"/>
      <c r="AH97" s="664"/>
      <c r="AI97" s="664"/>
      <c r="AJ97" s="485"/>
      <c r="AK97" s="485"/>
      <c r="AL97" s="485"/>
      <c r="AM97" s="485"/>
      <c r="AN97" s="485"/>
      <c r="AO97" s="665"/>
      <c r="AP97" s="485"/>
      <c r="AQ97" s="483"/>
      <c r="AR97" s="755">
        <v>0</v>
      </c>
      <c r="AS97" s="483">
        <v>50</v>
      </c>
      <c r="AT97" s="755">
        <v>0</v>
      </c>
      <c r="AU97" s="483">
        <v>30.7</v>
      </c>
      <c r="AV97" s="484">
        <v>317.5</v>
      </c>
      <c r="AW97" s="484">
        <v>294.5</v>
      </c>
      <c r="AX97" s="453">
        <v>0</v>
      </c>
      <c r="AY97" s="734">
        <v>0</v>
      </c>
      <c r="AZ97" s="734">
        <v>0</v>
      </c>
      <c r="BA97" s="734">
        <v>0</v>
      </c>
      <c r="BB97" s="453">
        <f>600/694</f>
        <v>0.86455331412103742</v>
      </c>
      <c r="BC97" s="453">
        <v>1.01</v>
      </c>
      <c r="BD97" s="453">
        <v>1.51</v>
      </c>
      <c r="BE97" s="734">
        <v>0</v>
      </c>
      <c r="BF97" s="453">
        <v>0</v>
      </c>
      <c r="BG97" s="453">
        <v>0</v>
      </c>
      <c r="BH97" s="734">
        <v>0</v>
      </c>
      <c r="BI97" s="453">
        <v>0</v>
      </c>
      <c r="BJ97" s="453">
        <v>25.6</v>
      </c>
      <c r="BK97" s="453">
        <v>2.7</v>
      </c>
      <c r="BL97" s="453">
        <v>3.81</v>
      </c>
      <c r="BM97" s="453">
        <v>0</v>
      </c>
      <c r="BN97" s="453">
        <v>18</v>
      </c>
      <c r="BO97" s="453">
        <v>1509</v>
      </c>
      <c r="BP97" s="453">
        <v>0</v>
      </c>
      <c r="BQ97" s="453">
        <v>18.600000000000001</v>
      </c>
      <c r="BR97" s="453">
        <v>18.5</v>
      </c>
      <c r="BS97" s="453">
        <v>0</v>
      </c>
      <c r="BT97" s="453">
        <v>30.5</v>
      </c>
      <c r="BU97" s="453">
        <v>27.1</v>
      </c>
      <c r="BV97" s="456">
        <v>442.8</v>
      </c>
      <c r="BW97" s="453">
        <v>0.9</v>
      </c>
      <c r="BX97" s="453">
        <v>1.65</v>
      </c>
      <c r="BY97" s="456">
        <v>1.1100000000000001</v>
      </c>
      <c r="BZ97" s="456">
        <v>14.4</v>
      </c>
      <c r="CA97" s="456">
        <v>37.9</v>
      </c>
      <c r="CB97" s="456">
        <v>12.2</v>
      </c>
      <c r="CC97" s="456">
        <v>8.1999999999999993</v>
      </c>
      <c r="CD97" s="456">
        <v>12.5</v>
      </c>
      <c r="CE97" s="456">
        <v>16.5</v>
      </c>
      <c r="CF97" s="456">
        <v>13</v>
      </c>
      <c r="CG97" s="456">
        <v>594.70000000000005</v>
      </c>
      <c r="CH97" s="456">
        <v>2.4</v>
      </c>
      <c r="CI97" s="456">
        <v>2.7</v>
      </c>
      <c r="CJ97" s="456">
        <v>339.8</v>
      </c>
      <c r="CK97" s="456">
        <v>381.7</v>
      </c>
      <c r="CL97" s="456">
        <v>539.70000000000005</v>
      </c>
      <c r="CM97" s="456">
        <v>12.8</v>
      </c>
      <c r="CN97" s="456">
        <v>1.9</v>
      </c>
      <c r="CO97" s="453">
        <v>0</v>
      </c>
      <c r="CP97" s="453">
        <v>16.399999999999999</v>
      </c>
      <c r="CQ97" s="453">
        <v>44</v>
      </c>
      <c r="CR97" s="456">
        <v>0</v>
      </c>
      <c r="CS97" s="456">
        <v>0</v>
      </c>
      <c r="CT97" s="456">
        <v>0</v>
      </c>
      <c r="CU97" s="456">
        <v>0</v>
      </c>
      <c r="CV97" s="481">
        <v>728.1</v>
      </c>
      <c r="CW97" s="481">
        <v>1366.5625</v>
      </c>
      <c r="CX97" s="481">
        <v>669.33333333333337</v>
      </c>
      <c r="CY97" s="481">
        <v>1112.75</v>
      </c>
      <c r="CZ97" s="456"/>
      <c r="DA97" s="456"/>
      <c r="DB97" s="456"/>
      <c r="DC97" s="456"/>
      <c r="DD97" s="456"/>
      <c r="DE97" s="456"/>
      <c r="DF97" s="456"/>
      <c r="DG97" s="425"/>
      <c r="DH97" s="456">
        <v>0</v>
      </c>
      <c r="DI97" s="456">
        <v>0.56999999999999995</v>
      </c>
      <c r="DJ97" s="456">
        <v>1.1599999999999999</v>
      </c>
      <c r="DK97" s="425"/>
      <c r="DL97" s="456"/>
      <c r="DM97" s="456"/>
      <c r="DN97" s="456"/>
      <c r="DO97" s="456"/>
      <c r="DP97" s="456"/>
      <c r="DQ97" s="456"/>
      <c r="DR97" s="456"/>
      <c r="DS97" s="456"/>
      <c r="DT97" s="456"/>
      <c r="DU97" s="456"/>
      <c r="DV97" s="456"/>
      <c r="DW97" s="456"/>
      <c r="DX97" s="456"/>
      <c r="DY97" s="456"/>
      <c r="DZ97" s="456"/>
      <c r="EA97" s="456"/>
      <c r="EB97" s="456"/>
      <c r="EC97" s="456"/>
      <c r="ED97" s="423">
        <v>0</v>
      </c>
      <c r="EE97" s="456">
        <v>0</v>
      </c>
      <c r="EF97" s="456">
        <v>2.5</v>
      </c>
      <c r="EG97" s="456">
        <v>6</v>
      </c>
      <c r="EH97" s="423">
        <v>0</v>
      </c>
      <c r="EI97" s="456"/>
      <c r="EJ97" s="456"/>
      <c r="EK97" s="456"/>
      <c r="EL97" s="456"/>
      <c r="EM97" s="456"/>
      <c r="EN97" s="456"/>
      <c r="EO97" s="425"/>
      <c r="EP97" s="425"/>
      <c r="EQ97" s="425" t="s">
        <v>743</v>
      </c>
      <c r="ER97" s="425">
        <v>1</v>
      </c>
      <c r="ES97" s="425">
        <v>8</v>
      </c>
      <c r="ET97" s="425">
        <v>4000</v>
      </c>
      <c r="EU97" s="457">
        <v>1600</v>
      </c>
      <c r="EV97" s="425">
        <v>260</v>
      </c>
      <c r="EW97" s="425">
        <v>6740766</v>
      </c>
      <c r="EX97" s="425">
        <v>11970</v>
      </c>
      <c r="EY97" s="666">
        <v>18.489999999999998</v>
      </c>
      <c r="EZ97" s="666">
        <v>18.489999999999998</v>
      </c>
      <c r="FA97" s="666">
        <v>0</v>
      </c>
      <c r="FB97" s="666">
        <v>1.49</v>
      </c>
      <c r="FC97" s="666">
        <v>1.33</v>
      </c>
      <c r="FD97" s="666">
        <v>1.135</v>
      </c>
      <c r="FE97" s="666">
        <v>1.1100000000000001</v>
      </c>
      <c r="FF97" s="666">
        <v>210</v>
      </c>
      <c r="FG97" s="666">
        <v>2.14</v>
      </c>
      <c r="FH97" s="666">
        <v>0.90800000000000003</v>
      </c>
      <c r="FI97" s="666">
        <v>1.62</v>
      </c>
      <c r="FJ97" s="666">
        <v>8.2899999999999991</v>
      </c>
      <c r="FK97" s="666">
        <v>8.1999999999999993</v>
      </c>
      <c r="FL97" s="666">
        <v>8.0399999999999991</v>
      </c>
      <c r="FM97" s="666">
        <v>7.8</v>
      </c>
      <c r="FN97" s="666">
        <v>0</v>
      </c>
    </row>
    <row r="98" spans="1:170" s="416" customFormat="1" ht="15">
      <c r="A98" s="425" t="s">
        <v>8</v>
      </c>
      <c r="B98" s="426">
        <v>40627</v>
      </c>
      <c r="C98" s="418">
        <v>0</v>
      </c>
      <c r="D98" s="762">
        <v>0.42</v>
      </c>
      <c r="E98" s="763">
        <v>0</v>
      </c>
      <c r="F98" s="763">
        <v>38.299999999999997</v>
      </c>
      <c r="G98" s="763">
        <v>1.18</v>
      </c>
      <c r="H98" s="519">
        <v>2.3199999999999998</v>
      </c>
      <c r="I98" s="519">
        <v>93.5</v>
      </c>
      <c r="J98" s="763">
        <v>1.87</v>
      </c>
      <c r="K98" s="520" t="s">
        <v>742</v>
      </c>
      <c r="L98" s="763">
        <v>0</v>
      </c>
      <c r="M98" s="763">
        <v>23.9</v>
      </c>
      <c r="N98" s="763">
        <v>1.5</v>
      </c>
      <c r="O98" s="763">
        <v>2.1732512389762699</v>
      </c>
      <c r="P98" s="763" t="s">
        <v>742</v>
      </c>
      <c r="Q98" s="763">
        <v>16.020475561076989</v>
      </c>
      <c r="R98" s="763">
        <v>1017.7091571994714</v>
      </c>
      <c r="S98" s="763">
        <v>7.78</v>
      </c>
      <c r="T98" s="763" t="s">
        <v>742</v>
      </c>
      <c r="U98" s="763">
        <v>0.62</v>
      </c>
      <c r="V98" s="763" t="s">
        <v>742</v>
      </c>
      <c r="W98" s="763">
        <v>46.400000000000006</v>
      </c>
      <c r="X98" s="764" t="e">
        <v>#VALUE!</v>
      </c>
      <c r="Y98" s="763">
        <v>29.34</v>
      </c>
      <c r="Z98" s="763">
        <v>25.15</v>
      </c>
      <c r="AA98" s="519">
        <v>29.69999999999709</v>
      </c>
      <c r="AB98" s="519">
        <v>25.580000000001746</v>
      </c>
      <c r="AC98" s="732">
        <f t="shared" si="1"/>
        <v>55.279999999998836</v>
      </c>
      <c r="AD98" s="664"/>
      <c r="AE98" s="664"/>
      <c r="AF98" s="664"/>
      <c r="AG98" s="664"/>
      <c r="AH98" s="664"/>
      <c r="AI98" s="664"/>
      <c r="AJ98" s="485"/>
      <c r="AK98" s="485"/>
      <c r="AL98" s="485"/>
      <c r="AM98" s="485"/>
      <c r="AN98" s="485"/>
      <c r="AO98" s="665"/>
      <c r="AP98" s="485"/>
      <c r="AQ98" s="483"/>
      <c r="AR98" s="755">
        <v>0</v>
      </c>
      <c r="AS98" s="483">
        <v>18.600000000000001</v>
      </c>
      <c r="AT98" s="755">
        <v>0</v>
      </c>
      <c r="AU98" s="483">
        <v>31</v>
      </c>
      <c r="AV98" s="484">
        <v>377.5</v>
      </c>
      <c r="AW98" s="484">
        <v>756.1</v>
      </c>
      <c r="AX98" s="453">
        <v>0</v>
      </c>
      <c r="AY98" s="734">
        <v>0</v>
      </c>
      <c r="AZ98" s="734">
        <v>0</v>
      </c>
      <c r="BA98" s="734">
        <v>0</v>
      </c>
      <c r="BB98" s="453">
        <f>BB97*10/24</f>
        <v>0.36023054755043221</v>
      </c>
      <c r="BC98" s="453">
        <v>1.01</v>
      </c>
      <c r="BD98" s="453">
        <v>1.51</v>
      </c>
      <c r="BE98" s="734">
        <v>0</v>
      </c>
      <c r="BF98" s="453">
        <v>0</v>
      </c>
      <c r="BG98" s="453">
        <v>0</v>
      </c>
      <c r="BH98" s="734">
        <v>0</v>
      </c>
      <c r="BI98" s="453">
        <v>0</v>
      </c>
      <c r="BJ98" s="453">
        <v>22.6</v>
      </c>
      <c r="BK98" s="453">
        <v>2.74</v>
      </c>
      <c r="BL98" s="453">
        <v>3.3</v>
      </c>
      <c r="BM98" s="453">
        <v>0</v>
      </c>
      <c r="BN98" s="453">
        <v>16</v>
      </c>
      <c r="BO98" s="453">
        <v>1162.2</v>
      </c>
      <c r="BP98" s="453">
        <v>0</v>
      </c>
      <c r="BQ98" s="453">
        <v>18.5</v>
      </c>
      <c r="BR98" s="453">
        <v>18.399999999999999</v>
      </c>
      <c r="BS98" s="453">
        <v>0</v>
      </c>
      <c r="BT98" s="453">
        <v>30.2</v>
      </c>
      <c r="BU98" s="453">
        <v>25.8</v>
      </c>
      <c r="BV98" s="456">
        <v>429.8</v>
      </c>
      <c r="BW98" s="453">
        <v>0.99</v>
      </c>
      <c r="BX98" s="453">
        <v>1.58</v>
      </c>
      <c r="BY98" s="456">
        <v>1.1200000000000001</v>
      </c>
      <c r="BZ98" s="456">
        <v>15.2</v>
      </c>
      <c r="CA98" s="456">
        <v>34.299999999999997</v>
      </c>
      <c r="CB98" s="456">
        <v>15.1</v>
      </c>
      <c r="CC98" s="456">
        <v>9.6</v>
      </c>
      <c r="CD98" s="456">
        <v>13.7</v>
      </c>
      <c r="CE98" s="456">
        <v>18.2</v>
      </c>
      <c r="CF98" s="456">
        <v>13.3</v>
      </c>
      <c r="CG98" s="456">
        <v>506.1</v>
      </c>
      <c r="CH98" s="456">
        <v>1.9</v>
      </c>
      <c r="CI98" s="456">
        <v>2.6</v>
      </c>
      <c r="CJ98" s="456">
        <v>317.7</v>
      </c>
      <c r="CK98" s="456">
        <v>378.9</v>
      </c>
      <c r="CL98" s="456">
        <v>543.20000000000005</v>
      </c>
      <c r="CM98" s="456">
        <v>12</v>
      </c>
      <c r="CN98" s="456">
        <v>1.8</v>
      </c>
      <c r="CO98" s="453">
        <v>0</v>
      </c>
      <c r="CP98" s="453">
        <v>15.84</v>
      </c>
      <c r="CQ98" s="453">
        <v>45</v>
      </c>
      <c r="CR98" s="456">
        <v>0</v>
      </c>
      <c r="CS98" s="456">
        <v>0</v>
      </c>
      <c r="CT98" s="456">
        <v>0</v>
      </c>
      <c r="CU98" s="456">
        <v>0</v>
      </c>
      <c r="CV98" s="481">
        <v>755.05</v>
      </c>
      <c r="CW98" s="481">
        <v>1376.9791666666667</v>
      </c>
      <c r="CX98" s="481">
        <v>718.22916666666663</v>
      </c>
      <c r="CY98" s="481">
        <v>1113.96</v>
      </c>
      <c r="CZ98" s="456"/>
      <c r="DA98" s="456"/>
      <c r="DB98" s="456"/>
      <c r="DC98" s="456"/>
      <c r="DD98" s="456"/>
      <c r="DE98" s="456"/>
      <c r="DF98" s="456"/>
      <c r="DG98" s="425"/>
      <c r="DH98" s="456">
        <v>0</v>
      </c>
      <c r="DI98" s="456">
        <v>0.56000000000000005</v>
      </c>
      <c r="DJ98" s="456">
        <v>1.07</v>
      </c>
      <c r="DK98" s="425"/>
      <c r="DL98" s="456"/>
      <c r="DM98" s="456"/>
      <c r="DN98" s="456"/>
      <c r="DO98" s="456"/>
      <c r="DP98" s="456"/>
      <c r="DQ98" s="456"/>
      <c r="DR98" s="456"/>
      <c r="DS98" s="456"/>
      <c r="DT98" s="456"/>
      <c r="DU98" s="456"/>
      <c r="DV98" s="456"/>
      <c r="DW98" s="456"/>
      <c r="DX98" s="456"/>
      <c r="DY98" s="456"/>
      <c r="DZ98" s="456"/>
      <c r="EA98" s="456"/>
      <c r="EB98" s="456"/>
      <c r="EC98" s="456"/>
      <c r="ED98" s="423">
        <v>0</v>
      </c>
      <c r="EE98" s="456">
        <v>0</v>
      </c>
      <c r="EF98" s="456">
        <v>2.5</v>
      </c>
      <c r="EG98" s="456">
        <v>6</v>
      </c>
      <c r="EH98" s="423">
        <v>0</v>
      </c>
      <c r="EI98" s="456"/>
      <c r="EJ98" s="456"/>
      <c r="EK98" s="456"/>
      <c r="EL98" s="456"/>
      <c r="EM98" s="456"/>
      <c r="EN98" s="456"/>
      <c r="EO98" s="425"/>
      <c r="EP98" s="425"/>
      <c r="EQ98" s="425" t="s">
        <v>743</v>
      </c>
      <c r="ER98" s="425">
        <v>1</v>
      </c>
      <c r="ES98" s="425">
        <v>8</v>
      </c>
      <c r="ET98" s="425">
        <v>4000</v>
      </c>
      <c r="EU98" s="457">
        <v>1360</v>
      </c>
      <c r="EV98" s="425">
        <v>245</v>
      </c>
      <c r="EW98" s="425">
        <v>6743274</v>
      </c>
      <c r="EX98" s="425">
        <v>12162</v>
      </c>
      <c r="EY98" s="666">
        <v>18.98</v>
      </c>
      <c r="EZ98" s="666">
        <v>18.96</v>
      </c>
      <c r="FA98" s="666">
        <v>0</v>
      </c>
      <c r="FB98" s="666">
        <v>1.45</v>
      </c>
      <c r="FC98" s="666">
        <v>1.4</v>
      </c>
      <c r="FD98" s="666">
        <v>1.1599999999999999</v>
      </c>
      <c r="FE98" s="666">
        <v>1.0900000000000001</v>
      </c>
      <c r="FF98" s="666">
        <v>245</v>
      </c>
      <c r="FG98" s="666">
        <v>1.88</v>
      </c>
      <c r="FH98" s="666">
        <v>0.91</v>
      </c>
      <c r="FI98" s="666">
        <v>1.49</v>
      </c>
      <c r="FJ98" s="666">
        <v>8.3800000000000008</v>
      </c>
      <c r="FK98" s="666">
        <v>8.1</v>
      </c>
      <c r="FL98" s="666">
        <v>8.09</v>
      </c>
      <c r="FM98" s="666">
        <v>7.9</v>
      </c>
      <c r="FN98" s="666">
        <v>0</v>
      </c>
    </row>
    <row r="99" spans="1:170" s="416" customFormat="1" ht="15">
      <c r="A99" s="425" t="s">
        <v>9</v>
      </c>
      <c r="B99" s="426">
        <v>40628</v>
      </c>
      <c r="C99" s="418">
        <v>0</v>
      </c>
      <c r="D99" s="762">
        <v>0.48</v>
      </c>
      <c r="E99" s="763">
        <v>0</v>
      </c>
      <c r="F99" s="763">
        <v>38.6</v>
      </c>
      <c r="G99" s="763">
        <v>1.18</v>
      </c>
      <c r="H99" s="519">
        <v>1.52</v>
      </c>
      <c r="I99" s="519">
        <v>93.7</v>
      </c>
      <c r="J99" s="763">
        <v>1.83</v>
      </c>
      <c r="K99" s="520" t="s">
        <v>742</v>
      </c>
      <c r="L99" s="763">
        <v>0</v>
      </c>
      <c r="M99" s="763">
        <v>23.8</v>
      </c>
      <c r="N99" s="763">
        <v>1.51</v>
      </c>
      <c r="O99" s="763">
        <v>2.336846040726801</v>
      </c>
      <c r="P99" s="763" t="s">
        <v>742</v>
      </c>
      <c r="Q99" s="763">
        <v>1.2816380449141345</v>
      </c>
      <c r="R99" s="763">
        <v>1043.6215482166444</v>
      </c>
      <c r="S99" s="763">
        <v>7.78</v>
      </c>
      <c r="T99" s="763" t="s">
        <v>742</v>
      </c>
      <c r="U99" s="763">
        <v>0.62</v>
      </c>
      <c r="V99" s="763" t="s">
        <v>742</v>
      </c>
      <c r="W99" s="763">
        <v>46.039999999999992</v>
      </c>
      <c r="X99" s="764" t="e">
        <v>#VALUE!</v>
      </c>
      <c r="Y99" s="763">
        <v>29.73</v>
      </c>
      <c r="Z99" s="763">
        <v>25.26</v>
      </c>
      <c r="AA99" s="519">
        <v>29</v>
      </c>
      <c r="AB99" s="519">
        <v>24</v>
      </c>
      <c r="AC99" s="732">
        <f t="shared" si="1"/>
        <v>53</v>
      </c>
      <c r="AD99" s="664"/>
      <c r="AE99" s="664"/>
      <c r="AF99" s="664"/>
      <c r="AG99" s="664"/>
      <c r="AH99" s="664"/>
      <c r="AI99" s="664"/>
      <c r="AJ99" s="485"/>
      <c r="AK99" s="485"/>
      <c r="AL99" s="485"/>
      <c r="AM99" s="485"/>
      <c r="AN99" s="485"/>
      <c r="AO99" s="665"/>
      <c r="AP99" s="485"/>
      <c r="AQ99" s="483"/>
      <c r="AR99" s="755">
        <v>0</v>
      </c>
      <c r="AS99" s="483">
        <v>19.8</v>
      </c>
      <c r="AT99" s="755">
        <v>0</v>
      </c>
      <c r="AU99" s="483">
        <v>31</v>
      </c>
      <c r="AV99" s="484">
        <v>513.4</v>
      </c>
      <c r="AW99" s="484">
        <v>517</v>
      </c>
      <c r="AX99" s="453">
        <v>0</v>
      </c>
      <c r="AY99" s="734">
        <v>0</v>
      </c>
      <c r="AZ99" s="734">
        <v>0</v>
      </c>
      <c r="BA99" s="734">
        <v>0</v>
      </c>
      <c r="BB99" s="453">
        <v>0</v>
      </c>
      <c r="BC99" s="453">
        <v>0.8</v>
      </c>
      <c r="BD99" s="453">
        <v>1.75</v>
      </c>
      <c r="BE99" s="734">
        <v>0</v>
      </c>
      <c r="BF99" s="453">
        <v>0</v>
      </c>
      <c r="BG99" s="453">
        <v>0</v>
      </c>
      <c r="BH99" s="734">
        <v>0</v>
      </c>
      <c r="BI99" s="453">
        <v>0</v>
      </c>
      <c r="BJ99" s="453">
        <v>22.5</v>
      </c>
      <c r="BK99" s="453">
        <v>2.74</v>
      </c>
      <c r="BL99" s="453">
        <v>3.3</v>
      </c>
      <c r="BM99" s="453">
        <v>0</v>
      </c>
      <c r="BN99" s="453">
        <v>16.3</v>
      </c>
      <c r="BO99" s="453">
        <v>1189.7</v>
      </c>
      <c r="BP99" s="453">
        <v>0</v>
      </c>
      <c r="BQ99" s="453">
        <v>18.600000000000001</v>
      </c>
      <c r="BR99" s="453">
        <v>18.5</v>
      </c>
      <c r="BS99" s="453">
        <v>0</v>
      </c>
      <c r="BT99" s="453">
        <v>30.3</v>
      </c>
      <c r="BU99" s="453">
        <v>24</v>
      </c>
      <c r="BV99" s="456">
        <v>425.1</v>
      </c>
      <c r="BW99" s="453">
        <v>0.9</v>
      </c>
      <c r="BX99" s="453">
        <v>1.56</v>
      </c>
      <c r="BY99" s="456">
        <v>1.1200000000000001</v>
      </c>
      <c r="BZ99" s="456">
        <v>15</v>
      </c>
      <c r="CA99" s="456">
        <v>37.9</v>
      </c>
      <c r="CB99" s="456">
        <v>14.5</v>
      </c>
      <c r="CC99" s="456">
        <v>9.4</v>
      </c>
      <c r="CD99" s="456">
        <v>13.7</v>
      </c>
      <c r="CE99" s="456">
        <v>17.7</v>
      </c>
      <c r="CF99" s="456">
        <v>13.1</v>
      </c>
      <c r="CG99" s="456">
        <v>548.79999999999995</v>
      </c>
      <c r="CH99" s="456">
        <v>1.9</v>
      </c>
      <c r="CI99" s="456">
        <v>2</v>
      </c>
      <c r="CJ99" s="456">
        <v>376</v>
      </c>
      <c r="CK99" s="456">
        <v>398.8</v>
      </c>
      <c r="CL99" s="456">
        <v>507.5</v>
      </c>
      <c r="CM99" s="456">
        <v>11.4</v>
      </c>
      <c r="CN99" s="456">
        <v>1.7</v>
      </c>
      <c r="CO99" s="453">
        <v>0</v>
      </c>
      <c r="CP99" s="453">
        <v>15.23</v>
      </c>
      <c r="CQ99" s="453">
        <v>45</v>
      </c>
      <c r="CR99" s="456">
        <v>0</v>
      </c>
      <c r="CS99" s="456">
        <v>0</v>
      </c>
      <c r="CT99" s="456">
        <v>0</v>
      </c>
      <c r="CU99" s="456">
        <v>0</v>
      </c>
      <c r="CV99" s="481">
        <v>881</v>
      </c>
      <c r="CW99" s="481">
        <v>1546.5625</v>
      </c>
      <c r="CX99" s="481">
        <v>829.04166666666663</v>
      </c>
      <c r="CY99" s="481">
        <v>1114.58</v>
      </c>
      <c r="CZ99" s="456"/>
      <c r="DA99" s="456"/>
      <c r="DB99" s="456"/>
      <c r="DC99" s="456"/>
      <c r="DD99" s="456"/>
      <c r="DE99" s="456"/>
      <c r="DF99" s="456"/>
      <c r="DG99" s="425"/>
      <c r="DH99" s="456">
        <v>0</v>
      </c>
      <c r="DI99" s="456">
        <v>0.63</v>
      </c>
      <c r="DJ99" s="456">
        <v>1.1100000000000001</v>
      </c>
      <c r="DK99" s="425"/>
      <c r="DL99" s="456"/>
      <c r="DM99" s="456"/>
      <c r="DN99" s="456"/>
      <c r="DO99" s="456"/>
      <c r="DP99" s="456"/>
      <c r="DQ99" s="456"/>
      <c r="DR99" s="456"/>
      <c r="DS99" s="456"/>
      <c r="DT99" s="456"/>
      <c r="DU99" s="456"/>
      <c r="DV99" s="456"/>
      <c r="DW99" s="456"/>
      <c r="DX99" s="456"/>
      <c r="DY99" s="456"/>
      <c r="DZ99" s="456"/>
      <c r="EA99" s="456"/>
      <c r="EB99" s="456"/>
      <c r="EC99" s="456"/>
      <c r="ED99" s="423">
        <v>0</v>
      </c>
      <c r="EE99" s="456">
        <v>0</v>
      </c>
      <c r="EF99" s="456">
        <v>2.5</v>
      </c>
      <c r="EG99" s="456">
        <v>6</v>
      </c>
      <c r="EH99" s="423">
        <v>0</v>
      </c>
      <c r="EI99" s="456"/>
      <c r="EJ99" s="456"/>
      <c r="EK99" s="456"/>
      <c r="EL99" s="456"/>
      <c r="EM99" s="456"/>
      <c r="EN99" s="456"/>
      <c r="EO99" s="425"/>
      <c r="EP99" s="425"/>
      <c r="EQ99" s="425" t="s">
        <v>743</v>
      </c>
      <c r="ER99" s="425">
        <v>1</v>
      </c>
      <c r="ES99" s="425">
        <v>8</v>
      </c>
      <c r="ET99" s="425">
        <v>4000</v>
      </c>
      <c r="EU99" s="457">
        <v>1150</v>
      </c>
      <c r="EV99" s="425">
        <v>250</v>
      </c>
      <c r="EW99" s="425">
        <v>6745608</v>
      </c>
      <c r="EX99" s="425">
        <v>12951</v>
      </c>
      <c r="EY99" s="666">
        <v>19.5</v>
      </c>
      <c r="EZ99" s="666">
        <v>19.5</v>
      </c>
      <c r="FA99" s="666">
        <v>0</v>
      </c>
      <c r="FB99" s="666">
        <v>1.6</v>
      </c>
      <c r="FC99" s="666">
        <v>1.43</v>
      </c>
      <c r="FD99" s="666">
        <v>1.1830000000000001</v>
      </c>
      <c r="FE99" s="666">
        <v>1.2</v>
      </c>
      <c r="FF99" s="666">
        <v>210</v>
      </c>
      <c r="FG99" s="666">
        <v>1.77</v>
      </c>
      <c r="FH99" s="666">
        <v>0.873</v>
      </c>
      <c r="FI99" s="666">
        <v>1.67</v>
      </c>
      <c r="FJ99" s="666">
        <v>8.48</v>
      </c>
      <c r="FK99" s="666">
        <v>8</v>
      </c>
      <c r="FL99" s="666">
        <v>8.07</v>
      </c>
      <c r="FM99" s="666">
        <v>7.9</v>
      </c>
      <c r="FN99" s="666">
        <v>0</v>
      </c>
    </row>
    <row r="100" spans="1:170" s="416" customFormat="1" ht="15">
      <c r="A100" s="425" t="s">
        <v>3</v>
      </c>
      <c r="B100" s="426">
        <v>40629</v>
      </c>
      <c r="C100" s="418">
        <v>0</v>
      </c>
      <c r="D100" s="762">
        <v>0.5</v>
      </c>
      <c r="E100" s="763">
        <v>0</v>
      </c>
      <c r="F100" s="763">
        <v>39.299999999999997</v>
      </c>
      <c r="G100" s="763">
        <v>1.18</v>
      </c>
      <c r="H100" s="519">
        <v>2.2000000000000002</v>
      </c>
      <c r="I100" s="519">
        <v>93.3</v>
      </c>
      <c r="J100" s="763">
        <v>2.0099999999999998</v>
      </c>
      <c r="K100" s="520" t="s">
        <v>742</v>
      </c>
      <c r="L100" s="763">
        <v>0</v>
      </c>
      <c r="M100" s="763">
        <v>23.7</v>
      </c>
      <c r="N100" s="763">
        <v>1.52</v>
      </c>
      <c r="O100" s="763">
        <v>2.2483391377446855</v>
      </c>
      <c r="P100" s="763" t="s">
        <v>742</v>
      </c>
      <c r="Q100" s="763" t="s">
        <v>742</v>
      </c>
      <c r="R100" s="763">
        <v>1041.0303091149271</v>
      </c>
      <c r="S100" s="763">
        <v>7.81</v>
      </c>
      <c r="T100" s="763" t="s">
        <v>742</v>
      </c>
      <c r="U100" s="763">
        <v>0.61</v>
      </c>
      <c r="V100" s="763" t="s">
        <v>742</v>
      </c>
      <c r="W100" s="763">
        <v>42.620000000000005</v>
      </c>
      <c r="X100" s="764" t="e">
        <v>#VALUE!</v>
      </c>
      <c r="Y100" s="763">
        <v>29.74</v>
      </c>
      <c r="Z100" s="763">
        <v>24.27</v>
      </c>
      <c r="AA100" s="519">
        <v>30</v>
      </c>
      <c r="AB100" s="519">
        <v>25</v>
      </c>
      <c r="AC100" s="732">
        <f t="shared" si="1"/>
        <v>55</v>
      </c>
      <c r="AD100" s="664"/>
      <c r="AE100" s="664"/>
      <c r="AF100" s="664"/>
      <c r="AG100" s="664"/>
      <c r="AH100" s="664"/>
      <c r="AI100" s="664"/>
      <c r="AJ100" s="485"/>
      <c r="AK100" s="485"/>
      <c r="AL100" s="485"/>
      <c r="AM100" s="485"/>
      <c r="AN100" s="485"/>
      <c r="AO100" s="665"/>
      <c r="AP100" s="485"/>
      <c r="AQ100" s="483"/>
      <c r="AR100" s="755">
        <v>0</v>
      </c>
      <c r="AS100" s="483">
        <v>41.6</v>
      </c>
      <c r="AT100" s="755">
        <v>0</v>
      </c>
      <c r="AU100" s="483">
        <v>31</v>
      </c>
      <c r="AV100" s="484">
        <v>493.4</v>
      </c>
      <c r="AW100" s="484">
        <v>489.7</v>
      </c>
      <c r="AX100" s="453">
        <v>0</v>
      </c>
      <c r="AY100" s="734">
        <v>0</v>
      </c>
      <c r="AZ100" s="734">
        <v>0</v>
      </c>
      <c r="BA100" s="734">
        <v>0</v>
      </c>
      <c r="BB100" s="453">
        <v>0</v>
      </c>
      <c r="BC100" s="453">
        <v>1.01</v>
      </c>
      <c r="BD100" s="453">
        <v>1.51</v>
      </c>
      <c r="BE100" s="734">
        <v>0</v>
      </c>
      <c r="BF100" s="453">
        <v>0</v>
      </c>
      <c r="BG100" s="453">
        <v>0</v>
      </c>
      <c r="BH100" s="734">
        <v>0</v>
      </c>
      <c r="BI100" s="453">
        <v>0</v>
      </c>
      <c r="BJ100" s="453">
        <v>22.4</v>
      </c>
      <c r="BK100" s="453">
        <v>2.85</v>
      </c>
      <c r="BL100" s="453">
        <v>3.19</v>
      </c>
      <c r="BM100" s="453">
        <v>0</v>
      </c>
      <c r="BN100" s="453">
        <v>16.2</v>
      </c>
      <c r="BO100" s="453">
        <v>1235.9000000000001</v>
      </c>
      <c r="BP100" s="453">
        <v>0</v>
      </c>
      <c r="BQ100" s="453">
        <v>19.100000000000001</v>
      </c>
      <c r="BR100" s="453">
        <v>19</v>
      </c>
      <c r="BS100" s="453">
        <v>0</v>
      </c>
      <c r="BT100" s="453">
        <v>30.3</v>
      </c>
      <c r="BU100" s="453">
        <v>24.3</v>
      </c>
      <c r="BV100" s="456">
        <v>633.70000000000005</v>
      </c>
      <c r="BW100" s="453">
        <v>0.8</v>
      </c>
      <c r="BX100" s="453">
        <v>1.63</v>
      </c>
      <c r="BY100" s="456">
        <v>1.1200000000000001</v>
      </c>
      <c r="BZ100" s="456">
        <v>15.3</v>
      </c>
      <c r="CA100" s="456">
        <v>37.1</v>
      </c>
      <c r="CB100" s="456">
        <v>13.7</v>
      </c>
      <c r="CC100" s="456">
        <v>8.8000000000000007</v>
      </c>
      <c r="CD100" s="456">
        <v>13</v>
      </c>
      <c r="CE100" s="456">
        <v>17.100000000000001</v>
      </c>
      <c r="CF100" s="456">
        <v>13.3</v>
      </c>
      <c r="CG100" s="456">
        <v>522.20000000000005</v>
      </c>
      <c r="CH100" s="456">
        <v>1.8</v>
      </c>
      <c r="CI100" s="456">
        <v>2.6</v>
      </c>
      <c r="CJ100" s="456">
        <v>450.5</v>
      </c>
      <c r="CK100" s="456">
        <v>416.5</v>
      </c>
      <c r="CL100" s="456">
        <v>513.20000000000005</v>
      </c>
      <c r="CM100" s="456">
        <v>11.5</v>
      </c>
      <c r="CN100" s="456">
        <v>1.7</v>
      </c>
      <c r="CO100" s="453">
        <v>0</v>
      </c>
      <c r="CP100" s="453">
        <v>15.67</v>
      </c>
      <c r="CQ100" s="453">
        <v>45</v>
      </c>
      <c r="CR100" s="456">
        <v>0</v>
      </c>
      <c r="CS100" s="456">
        <v>0</v>
      </c>
      <c r="CT100" s="456">
        <v>0</v>
      </c>
      <c r="CU100" s="456">
        <v>0</v>
      </c>
      <c r="CV100" s="481">
        <v>882.25</v>
      </c>
      <c r="CW100" s="481">
        <v>1593.4375</v>
      </c>
      <c r="CX100" s="481">
        <v>835.54166666666663</v>
      </c>
      <c r="CY100" s="481">
        <v>1115.1400000000001</v>
      </c>
      <c r="CZ100" s="456"/>
      <c r="DA100" s="456"/>
      <c r="DB100" s="456"/>
      <c r="DC100" s="456"/>
      <c r="DD100" s="456"/>
      <c r="DE100" s="456"/>
      <c r="DF100" s="456"/>
      <c r="DG100" s="425"/>
      <c r="DH100" s="456">
        <v>0</v>
      </c>
      <c r="DI100" s="456">
        <v>0.48</v>
      </c>
      <c r="DJ100" s="456">
        <v>1.25</v>
      </c>
      <c r="DK100" s="425"/>
      <c r="DL100" s="456"/>
      <c r="DM100" s="456"/>
      <c r="DN100" s="456"/>
      <c r="DO100" s="456"/>
      <c r="DP100" s="456"/>
      <c r="DQ100" s="456"/>
      <c r="DR100" s="456"/>
      <c r="DS100" s="456"/>
      <c r="DT100" s="456"/>
      <c r="DU100" s="456"/>
      <c r="DV100" s="456"/>
      <c r="DW100" s="456"/>
      <c r="DX100" s="456"/>
      <c r="DY100" s="456"/>
      <c r="DZ100" s="456"/>
      <c r="EA100" s="456"/>
      <c r="EB100" s="456"/>
      <c r="EC100" s="456"/>
      <c r="ED100" s="423">
        <v>0</v>
      </c>
      <c r="EE100" s="456">
        <v>0</v>
      </c>
      <c r="EF100" s="456">
        <v>2.5</v>
      </c>
      <c r="EG100" s="456">
        <v>6</v>
      </c>
      <c r="EH100" s="423">
        <v>0</v>
      </c>
      <c r="EI100" s="456"/>
      <c r="EJ100" s="456"/>
      <c r="EK100" s="456"/>
      <c r="EL100" s="456"/>
      <c r="EM100" s="456"/>
      <c r="EN100" s="456"/>
      <c r="EO100" s="425"/>
      <c r="EP100" s="425"/>
      <c r="EQ100" s="425" t="s">
        <v>743</v>
      </c>
      <c r="ER100" s="425">
        <v>1</v>
      </c>
      <c r="ES100" s="425">
        <v>8</v>
      </c>
      <c r="ET100" s="425">
        <v>4000</v>
      </c>
      <c r="EU100" s="457">
        <v>940</v>
      </c>
      <c r="EV100" s="425">
        <v>250</v>
      </c>
      <c r="EW100" s="425">
        <v>6748010</v>
      </c>
      <c r="EX100" s="425">
        <v>13722</v>
      </c>
      <c r="EY100" s="666">
        <v>19.649999999999999</v>
      </c>
      <c r="EZ100" s="666">
        <v>19.62</v>
      </c>
      <c r="FA100" s="666">
        <v>0</v>
      </c>
      <c r="FB100" s="666">
        <v>1.53</v>
      </c>
      <c r="FC100" s="666">
        <v>1.21</v>
      </c>
      <c r="FD100" s="666">
        <v>1.2210000000000001</v>
      </c>
      <c r="FE100" s="666">
        <v>1.25</v>
      </c>
      <c r="FF100" s="666">
        <v>210</v>
      </c>
      <c r="FG100" s="666">
        <v>1.42</v>
      </c>
      <c r="FH100" s="666">
        <v>0.84199999999999997</v>
      </c>
      <c r="FI100" s="666">
        <v>1.43</v>
      </c>
      <c r="FJ100" s="666">
        <v>8.39</v>
      </c>
      <c r="FK100" s="666">
        <v>8.1999999999999993</v>
      </c>
      <c r="FL100" s="666">
        <v>8.0500000000000007</v>
      </c>
      <c r="FM100" s="666">
        <v>7.8</v>
      </c>
      <c r="FN100" s="666">
        <v>0</v>
      </c>
    </row>
    <row r="101" spans="1:170" s="416" customFormat="1" ht="15">
      <c r="A101" s="425" t="s">
        <v>4</v>
      </c>
      <c r="B101" s="426">
        <v>40630</v>
      </c>
      <c r="C101" s="418">
        <v>0</v>
      </c>
      <c r="D101" s="762">
        <v>0.13</v>
      </c>
      <c r="E101" s="763">
        <v>0</v>
      </c>
      <c r="F101" s="763">
        <v>41</v>
      </c>
      <c r="G101" s="763">
        <v>1.1499999999999999</v>
      </c>
      <c r="H101" s="519">
        <v>1.2</v>
      </c>
      <c r="I101" s="519">
        <v>93.6</v>
      </c>
      <c r="J101" s="763">
        <v>1.23</v>
      </c>
      <c r="K101" s="520" t="s">
        <v>742</v>
      </c>
      <c r="L101" s="763">
        <v>0</v>
      </c>
      <c r="M101" s="763">
        <v>23.6</v>
      </c>
      <c r="N101" s="763">
        <v>1.51</v>
      </c>
      <c r="O101" s="763">
        <v>2.2315006735883429</v>
      </c>
      <c r="P101" s="763" t="s">
        <v>742</v>
      </c>
      <c r="Q101" s="763">
        <v>0.66432594034764125</v>
      </c>
      <c r="R101" s="763">
        <v>1022.8916354029061</v>
      </c>
      <c r="S101" s="763">
        <v>7.87</v>
      </c>
      <c r="T101" s="763" t="s">
        <v>742</v>
      </c>
      <c r="U101" s="763">
        <v>0.62</v>
      </c>
      <c r="V101" s="763" t="s">
        <v>742</v>
      </c>
      <c r="W101" s="763">
        <v>42.08</v>
      </c>
      <c r="X101" s="764" t="e">
        <v>#VALUE!</v>
      </c>
      <c r="Y101" s="763">
        <v>29.75</v>
      </c>
      <c r="Z101" s="763">
        <v>24.79</v>
      </c>
      <c r="AA101" s="519">
        <v>29.960000000006403</v>
      </c>
      <c r="AB101" s="519">
        <v>25.55000000000291</v>
      </c>
      <c r="AC101" s="732">
        <f t="shared" si="1"/>
        <v>55.510000000009313</v>
      </c>
      <c r="AD101" s="664"/>
      <c r="AE101" s="664"/>
      <c r="AF101" s="664"/>
      <c r="AG101" s="664"/>
      <c r="AH101" s="664"/>
      <c r="AI101" s="664"/>
      <c r="AJ101" s="485"/>
      <c r="AK101" s="485"/>
      <c r="AL101" s="485"/>
      <c r="AM101" s="485"/>
      <c r="AN101" s="485"/>
      <c r="AO101" s="665"/>
      <c r="AP101" s="485"/>
      <c r="AQ101" s="483"/>
      <c r="AR101" s="755">
        <v>0</v>
      </c>
      <c r="AS101" s="483">
        <v>0</v>
      </c>
      <c r="AT101" s="755">
        <v>0</v>
      </c>
      <c r="AU101" s="483">
        <v>31</v>
      </c>
      <c r="AV101" s="484">
        <v>251.4</v>
      </c>
      <c r="AW101" s="484">
        <v>257.10000000000002</v>
      </c>
      <c r="AX101" s="453">
        <v>0</v>
      </c>
      <c r="AY101" s="734">
        <v>0</v>
      </c>
      <c r="AZ101" s="734">
        <v>0</v>
      </c>
      <c r="BA101" s="734">
        <v>0</v>
      </c>
      <c r="BB101" s="453">
        <v>0</v>
      </c>
      <c r="BC101" s="453">
        <v>1.01</v>
      </c>
      <c r="BD101" s="453">
        <v>1.51</v>
      </c>
      <c r="BE101" s="734">
        <v>0</v>
      </c>
      <c r="BF101" s="453">
        <v>0</v>
      </c>
      <c r="BG101" s="453">
        <v>0</v>
      </c>
      <c r="BH101" s="734">
        <v>0</v>
      </c>
      <c r="BI101" s="453">
        <v>0</v>
      </c>
      <c r="BJ101" s="453">
        <v>22.5</v>
      </c>
      <c r="BK101" s="453">
        <v>2.7</v>
      </c>
      <c r="BL101" s="453">
        <v>3.3</v>
      </c>
      <c r="BM101" s="453">
        <v>0</v>
      </c>
      <c r="BN101" s="453">
        <v>16.3</v>
      </c>
      <c r="BO101" s="453">
        <v>1530.1</v>
      </c>
      <c r="BP101" s="453">
        <v>0</v>
      </c>
      <c r="BQ101" s="453">
        <v>20</v>
      </c>
      <c r="BR101" s="453">
        <v>19.899999999999999</v>
      </c>
      <c r="BS101" s="453">
        <v>0</v>
      </c>
      <c r="BT101" s="453">
        <v>30.5</v>
      </c>
      <c r="BU101" s="453">
        <v>27.3</v>
      </c>
      <c r="BV101" s="456">
        <v>444.7</v>
      </c>
      <c r="BW101" s="453">
        <v>0.8</v>
      </c>
      <c r="BX101" s="453">
        <v>1.6</v>
      </c>
      <c r="BY101" s="456">
        <v>1.1100000000000001</v>
      </c>
      <c r="BZ101" s="456">
        <v>15</v>
      </c>
      <c r="CA101" s="456">
        <v>35.700000000000003</v>
      </c>
      <c r="CB101" s="456">
        <v>12.8</v>
      </c>
      <c r="CC101" s="456">
        <v>8.1999999999999993</v>
      </c>
      <c r="CD101" s="456">
        <v>12.4</v>
      </c>
      <c r="CE101" s="456">
        <v>16.5</v>
      </c>
      <c r="CF101" s="456">
        <v>13</v>
      </c>
      <c r="CG101" s="456">
        <v>549.70000000000005</v>
      </c>
      <c r="CH101" s="456">
        <v>2</v>
      </c>
      <c r="CI101" s="456">
        <v>3</v>
      </c>
      <c r="CJ101" s="456">
        <v>431.6</v>
      </c>
      <c r="CK101" s="456">
        <v>377.7</v>
      </c>
      <c r="CL101" s="456">
        <v>535.6</v>
      </c>
      <c r="CM101" s="456">
        <v>12.1</v>
      </c>
      <c r="CN101" s="456">
        <v>1.8</v>
      </c>
      <c r="CO101" s="453">
        <v>0</v>
      </c>
      <c r="CP101" s="453">
        <v>16.09</v>
      </c>
      <c r="CQ101" s="453">
        <v>45</v>
      </c>
      <c r="CR101" s="456">
        <v>0</v>
      </c>
      <c r="CS101" s="456">
        <v>0</v>
      </c>
      <c r="CT101" s="456">
        <v>0</v>
      </c>
      <c r="CU101" s="456">
        <v>0</v>
      </c>
      <c r="CV101" s="481">
        <v>872.7</v>
      </c>
      <c r="CW101" s="481">
        <v>1577.5</v>
      </c>
      <c r="CX101" s="481">
        <v>826.41666666666663</v>
      </c>
      <c r="CY101" s="481">
        <v>1115.79</v>
      </c>
      <c r="CZ101" s="456"/>
      <c r="DA101" s="456"/>
      <c r="DB101" s="456"/>
      <c r="DC101" s="456"/>
      <c r="DD101" s="456"/>
      <c r="DE101" s="456"/>
      <c r="DF101" s="456"/>
      <c r="DG101" s="425"/>
      <c r="DH101" s="456">
        <v>0</v>
      </c>
      <c r="DI101" s="456">
        <v>0.7</v>
      </c>
      <c r="DJ101" s="456">
        <v>1.22</v>
      </c>
      <c r="DK101" s="425"/>
      <c r="DL101" s="456"/>
      <c r="DM101" s="456"/>
      <c r="DN101" s="456"/>
      <c r="DO101" s="456"/>
      <c r="DP101" s="456"/>
      <c r="DQ101" s="456"/>
      <c r="DR101" s="456"/>
      <c r="DS101" s="456"/>
      <c r="DT101" s="456"/>
      <c r="DU101" s="456"/>
      <c r="DV101" s="456"/>
      <c r="DW101" s="456"/>
      <c r="DX101" s="456"/>
      <c r="DY101" s="456"/>
      <c r="DZ101" s="456"/>
      <c r="EA101" s="456"/>
      <c r="EB101" s="456"/>
      <c r="EC101" s="456"/>
      <c r="ED101" s="423">
        <v>0</v>
      </c>
      <c r="EE101" s="456">
        <v>0</v>
      </c>
      <c r="EF101" s="456">
        <v>2.5</v>
      </c>
      <c r="EG101" s="456">
        <v>6</v>
      </c>
      <c r="EH101" s="423">
        <v>0</v>
      </c>
      <c r="EI101" s="456"/>
      <c r="EJ101" s="456"/>
      <c r="EK101" s="456"/>
      <c r="EL101" s="456"/>
      <c r="EM101" s="456"/>
      <c r="EN101" s="456"/>
      <c r="EO101" s="425"/>
      <c r="EP101" s="425"/>
      <c r="EQ101" s="425" t="s">
        <v>743</v>
      </c>
      <c r="ER101" s="425">
        <v>1</v>
      </c>
      <c r="ES101" s="425">
        <v>8</v>
      </c>
      <c r="ET101" s="425">
        <v>4000</v>
      </c>
      <c r="EU101" s="457">
        <v>690</v>
      </c>
      <c r="EV101" s="425">
        <v>260</v>
      </c>
      <c r="EW101" s="425">
        <v>6750637</v>
      </c>
      <c r="EX101" s="425">
        <v>14524</v>
      </c>
      <c r="EY101" s="666">
        <v>19.5</v>
      </c>
      <c r="EZ101" s="666">
        <v>19.5</v>
      </c>
      <c r="FA101" s="666">
        <v>0</v>
      </c>
      <c r="FB101" s="666">
        <v>1.51</v>
      </c>
      <c r="FC101" s="666">
        <v>1.47</v>
      </c>
      <c r="FD101" s="666">
        <v>1.18</v>
      </c>
      <c r="FE101" s="666">
        <v>1.18</v>
      </c>
      <c r="FF101" s="666">
        <v>250</v>
      </c>
      <c r="FG101" s="666">
        <v>1.1299999999999999</v>
      </c>
      <c r="FH101" s="666">
        <v>0.77</v>
      </c>
      <c r="FI101" s="666">
        <v>1.42</v>
      </c>
      <c r="FJ101" s="666">
        <v>8.4499999999999993</v>
      </c>
      <c r="FK101" s="666">
        <v>8.3000000000000007</v>
      </c>
      <c r="FL101" s="666">
        <v>8.17</v>
      </c>
      <c r="FM101" s="666">
        <v>7.7</v>
      </c>
      <c r="FN101" s="666">
        <v>0</v>
      </c>
    </row>
    <row r="102" spans="1:170" s="416" customFormat="1" ht="15">
      <c r="A102" s="425" t="s">
        <v>5</v>
      </c>
      <c r="B102" s="426">
        <v>40631</v>
      </c>
      <c r="C102" s="418">
        <v>0</v>
      </c>
      <c r="D102" s="762">
        <v>0.9</v>
      </c>
      <c r="E102" s="763">
        <v>0</v>
      </c>
      <c r="F102" s="763">
        <v>42</v>
      </c>
      <c r="G102" s="763">
        <v>1.5</v>
      </c>
      <c r="H102" s="519">
        <v>1.53</v>
      </c>
      <c r="I102" s="519">
        <v>94.5</v>
      </c>
      <c r="J102" s="763">
        <v>1.39</v>
      </c>
      <c r="K102" s="520" t="s">
        <v>742</v>
      </c>
      <c r="L102" s="763">
        <v>0</v>
      </c>
      <c r="M102" s="763">
        <v>23.7</v>
      </c>
      <c r="N102" s="763">
        <v>1.55</v>
      </c>
      <c r="O102" s="763">
        <v>2.2966347241585003</v>
      </c>
      <c r="P102" s="763" t="s">
        <v>742</v>
      </c>
      <c r="Q102" s="763">
        <v>2.0066050197955927</v>
      </c>
      <c r="R102" s="763">
        <v>1050.0996459709377</v>
      </c>
      <c r="S102" s="763">
        <v>7.81</v>
      </c>
      <c r="T102" s="763" t="s">
        <v>742</v>
      </c>
      <c r="U102" s="763">
        <v>0.62</v>
      </c>
      <c r="V102" s="763" t="s">
        <v>742</v>
      </c>
      <c r="W102" s="763">
        <v>42.08</v>
      </c>
      <c r="X102" s="764" t="e">
        <v>#VALUE!</v>
      </c>
      <c r="Y102" s="763">
        <v>29.44</v>
      </c>
      <c r="Z102" s="763">
        <v>25.21</v>
      </c>
      <c r="AA102" s="519">
        <v>29.539999999993597</v>
      </c>
      <c r="AB102" s="519">
        <v>25</v>
      </c>
      <c r="AC102" s="732">
        <f t="shared" si="1"/>
        <v>54.539999999993597</v>
      </c>
      <c r="AD102" s="664"/>
      <c r="AE102" s="664"/>
      <c r="AF102" s="664"/>
      <c r="AG102" s="664"/>
      <c r="AH102" s="664"/>
      <c r="AI102" s="664"/>
      <c r="AJ102" s="485"/>
      <c r="AK102" s="485"/>
      <c r="AL102" s="485"/>
      <c r="AM102" s="485"/>
      <c r="AN102" s="485"/>
      <c r="AO102" s="665"/>
      <c r="AP102" s="485"/>
      <c r="AQ102" s="483"/>
      <c r="AR102" s="755">
        <v>0</v>
      </c>
      <c r="AS102" s="483">
        <v>18.899999999999999</v>
      </c>
      <c r="AT102" s="755">
        <v>0</v>
      </c>
      <c r="AU102" s="483">
        <v>31</v>
      </c>
      <c r="AV102" s="484">
        <v>269.60000000000002</v>
      </c>
      <c r="AW102" s="484">
        <v>246.8</v>
      </c>
      <c r="AX102" s="453">
        <v>0</v>
      </c>
      <c r="AY102" s="734">
        <v>0</v>
      </c>
      <c r="AZ102" s="734">
        <v>0</v>
      </c>
      <c r="BA102" s="734">
        <v>0</v>
      </c>
      <c r="BB102" s="453">
        <v>0</v>
      </c>
      <c r="BC102" s="453">
        <v>1.01</v>
      </c>
      <c r="BD102" s="453">
        <v>1.51</v>
      </c>
      <c r="BE102" s="734">
        <v>0</v>
      </c>
      <c r="BF102" s="453">
        <v>0</v>
      </c>
      <c r="BG102" s="453">
        <v>0</v>
      </c>
      <c r="BH102" s="734">
        <v>0</v>
      </c>
      <c r="BI102" s="453">
        <v>0</v>
      </c>
      <c r="BJ102" s="453">
        <v>22.5</v>
      </c>
      <c r="BK102" s="453">
        <v>2.73</v>
      </c>
      <c r="BL102" s="453">
        <v>3.3</v>
      </c>
      <c r="BM102" s="453">
        <v>0</v>
      </c>
      <c r="BN102" s="453">
        <v>16.399999999999999</v>
      </c>
      <c r="BO102" s="453">
        <v>1193.8</v>
      </c>
      <c r="BP102" s="453">
        <v>0</v>
      </c>
      <c r="BQ102" s="453">
        <v>19.600000000000001</v>
      </c>
      <c r="BR102" s="453">
        <v>19.5</v>
      </c>
      <c r="BS102" s="453">
        <v>0</v>
      </c>
      <c r="BT102" s="453">
        <v>30.9</v>
      </c>
      <c r="BU102" s="453">
        <v>26.2</v>
      </c>
      <c r="BV102" s="456">
        <v>427.9</v>
      </c>
      <c r="BW102" s="453">
        <v>0.8</v>
      </c>
      <c r="BX102" s="453">
        <v>1.58</v>
      </c>
      <c r="BY102" s="456">
        <v>1.1200000000000001</v>
      </c>
      <c r="BZ102" s="456">
        <v>14.9</v>
      </c>
      <c r="CA102" s="456">
        <v>38.1</v>
      </c>
      <c r="CB102" s="456">
        <v>14.8</v>
      </c>
      <c r="CC102" s="456">
        <v>9.8000000000000007</v>
      </c>
      <c r="CD102" s="456">
        <v>14</v>
      </c>
      <c r="CE102" s="456">
        <v>18.100000000000001</v>
      </c>
      <c r="CF102" s="456">
        <v>13</v>
      </c>
      <c r="CG102" s="456">
        <v>421.5</v>
      </c>
      <c r="CH102" s="456">
        <v>2.1</v>
      </c>
      <c r="CI102" s="456">
        <v>3.1</v>
      </c>
      <c r="CJ102" s="456">
        <v>370.6</v>
      </c>
      <c r="CK102" s="456">
        <v>372.3</v>
      </c>
      <c r="CL102" s="456">
        <v>547.6</v>
      </c>
      <c r="CM102" s="456">
        <v>11.6</v>
      </c>
      <c r="CN102" s="456">
        <v>1.8</v>
      </c>
      <c r="CO102" s="453">
        <v>0</v>
      </c>
      <c r="CP102" s="453">
        <v>15.9</v>
      </c>
      <c r="CQ102" s="453">
        <v>45</v>
      </c>
      <c r="CR102" s="456">
        <v>0</v>
      </c>
      <c r="CS102" s="456">
        <v>0</v>
      </c>
      <c r="CT102" s="456">
        <v>0</v>
      </c>
      <c r="CU102" s="456">
        <v>0</v>
      </c>
      <c r="CV102" s="481">
        <v>926.05</v>
      </c>
      <c r="CW102" s="481">
        <v>1543.8541666666667</v>
      </c>
      <c r="CX102" s="481">
        <v>917.29166666666663</v>
      </c>
      <c r="CY102" s="481">
        <v>1116.69</v>
      </c>
      <c r="CZ102" s="456"/>
      <c r="DA102" s="456"/>
      <c r="DB102" s="456"/>
      <c r="DC102" s="456"/>
      <c r="DD102" s="456"/>
      <c r="DE102" s="456"/>
      <c r="DF102" s="456"/>
      <c r="DG102" s="425"/>
      <c r="DH102" s="456">
        <v>0</v>
      </c>
      <c r="DI102" s="456">
        <v>0.65</v>
      </c>
      <c r="DJ102" s="456">
        <v>1.17</v>
      </c>
      <c r="DK102" s="425"/>
      <c r="DL102" s="456"/>
      <c r="DM102" s="456"/>
      <c r="DN102" s="456"/>
      <c r="DO102" s="456"/>
      <c r="DP102" s="456"/>
      <c r="DQ102" s="456"/>
      <c r="DR102" s="456"/>
      <c r="DS102" s="456"/>
      <c r="DT102" s="456"/>
      <c r="DU102" s="456"/>
      <c r="DV102" s="456"/>
      <c r="DW102" s="456"/>
      <c r="DX102" s="456"/>
      <c r="DY102" s="456"/>
      <c r="DZ102" s="456"/>
      <c r="EA102" s="456"/>
      <c r="EB102" s="456"/>
      <c r="EC102" s="456"/>
      <c r="ED102" s="423">
        <v>0</v>
      </c>
      <c r="EE102" s="456">
        <v>0</v>
      </c>
      <c r="EF102" s="456">
        <v>2.5</v>
      </c>
      <c r="EG102" s="456">
        <v>6</v>
      </c>
      <c r="EH102" s="423">
        <v>0</v>
      </c>
      <c r="EI102" s="456"/>
      <c r="EJ102" s="456"/>
      <c r="EK102" s="456"/>
      <c r="EL102" s="456"/>
      <c r="EM102" s="456"/>
      <c r="EN102" s="456"/>
      <c r="EO102" s="425"/>
      <c r="EP102" s="425"/>
      <c r="EQ102" s="425" t="s">
        <v>743</v>
      </c>
      <c r="ER102" s="425">
        <v>1</v>
      </c>
      <c r="ES102" s="425">
        <v>8</v>
      </c>
      <c r="ET102" s="425">
        <v>4000</v>
      </c>
      <c r="EU102" s="457">
        <v>450</v>
      </c>
      <c r="EV102" s="425">
        <v>200</v>
      </c>
      <c r="EW102" s="425">
        <v>6753249</v>
      </c>
      <c r="EX102" s="425">
        <v>15359</v>
      </c>
      <c r="EY102" s="666">
        <v>19.7</v>
      </c>
      <c r="EZ102" s="666">
        <v>19.7</v>
      </c>
      <c r="FA102" s="666">
        <v>0</v>
      </c>
      <c r="FB102" s="666">
        <v>1.48</v>
      </c>
      <c r="FC102" s="666">
        <v>1.45</v>
      </c>
      <c r="FD102" s="666">
        <v>1.1599999999999999</v>
      </c>
      <c r="FE102" s="666">
        <v>1.1000000000000001</v>
      </c>
      <c r="FF102" s="666">
        <v>240</v>
      </c>
      <c r="FG102" s="666">
        <v>1.3</v>
      </c>
      <c r="FH102" s="666">
        <v>0.79</v>
      </c>
      <c r="FI102" s="666">
        <v>1.39</v>
      </c>
      <c r="FJ102" s="666">
        <v>8.34</v>
      </c>
      <c r="FK102" s="666">
        <v>8.1999999999999993</v>
      </c>
      <c r="FL102" s="666">
        <v>8.14</v>
      </c>
      <c r="FM102" s="666">
        <v>7.7</v>
      </c>
      <c r="FN102" s="666">
        <v>0</v>
      </c>
    </row>
    <row r="103" spans="1:170" s="416" customFormat="1" ht="15">
      <c r="A103" s="425" t="s">
        <v>6</v>
      </c>
      <c r="B103" s="426">
        <v>40632</v>
      </c>
      <c r="C103" s="418">
        <v>0</v>
      </c>
      <c r="D103" s="762">
        <v>2.7</v>
      </c>
      <c r="E103" s="763">
        <v>0</v>
      </c>
      <c r="F103" s="763">
        <v>48</v>
      </c>
      <c r="G103" s="763">
        <v>5.5</v>
      </c>
      <c r="H103" s="519">
        <v>29.96</v>
      </c>
      <c r="I103" s="519">
        <v>92.2</v>
      </c>
      <c r="J103" s="763">
        <v>3.11</v>
      </c>
      <c r="K103" s="520" t="s">
        <v>742</v>
      </c>
      <c r="L103" s="763">
        <v>27.09</v>
      </c>
      <c r="M103" s="763">
        <v>24</v>
      </c>
      <c r="N103" s="763">
        <v>1.52</v>
      </c>
      <c r="O103" s="763">
        <v>2.2220882432697473</v>
      </c>
      <c r="P103" s="763" t="s">
        <v>742</v>
      </c>
      <c r="Q103" s="763">
        <v>1.1096433289346004</v>
      </c>
      <c r="R103" s="763">
        <v>960.70189696169075</v>
      </c>
      <c r="S103" s="763">
        <v>7.81</v>
      </c>
      <c r="T103" s="763" t="s">
        <v>742</v>
      </c>
      <c r="U103" s="763">
        <v>0.62</v>
      </c>
      <c r="V103" s="763" t="s">
        <v>742</v>
      </c>
      <c r="W103" s="763">
        <v>42.08</v>
      </c>
      <c r="X103" s="764" t="e">
        <v>#VALUE!</v>
      </c>
      <c r="Y103" s="763">
        <v>29.32</v>
      </c>
      <c r="Z103" s="763">
        <v>24.8</v>
      </c>
      <c r="AA103" s="519">
        <v>28.940000000002328</v>
      </c>
      <c r="AB103" s="519">
        <v>22.5</v>
      </c>
      <c r="AC103" s="732">
        <f t="shared" si="1"/>
        <v>51.440000000002328</v>
      </c>
      <c r="AD103" s="664"/>
      <c r="AE103" s="664"/>
      <c r="AF103" s="664"/>
      <c r="AG103" s="664"/>
      <c r="AH103" s="664"/>
      <c r="AI103" s="664"/>
      <c r="AJ103" s="485"/>
      <c r="AK103" s="485"/>
      <c r="AL103" s="485"/>
      <c r="AM103" s="485"/>
      <c r="AN103" s="485"/>
      <c r="AO103" s="665"/>
      <c r="AP103" s="485"/>
      <c r="AQ103" s="483"/>
      <c r="AR103" s="755">
        <v>0</v>
      </c>
      <c r="AS103" s="483">
        <v>1.1000000000000001</v>
      </c>
      <c r="AT103" s="755">
        <v>0</v>
      </c>
      <c r="AU103" s="483">
        <v>30</v>
      </c>
      <c r="AV103" s="484">
        <v>314.39999999999998</v>
      </c>
      <c r="AW103" s="484">
        <v>269.39999999999998</v>
      </c>
      <c r="AX103" s="453">
        <v>0</v>
      </c>
      <c r="AY103" s="734">
        <v>0</v>
      </c>
      <c r="AZ103" s="734">
        <v>0</v>
      </c>
      <c r="BA103" s="734">
        <v>0</v>
      </c>
      <c r="BB103" s="453">
        <v>0</v>
      </c>
      <c r="BC103" s="453">
        <v>0.47</v>
      </c>
      <c r="BD103" s="453">
        <v>0.7</v>
      </c>
      <c r="BE103" s="734">
        <v>0</v>
      </c>
      <c r="BF103" s="453">
        <v>0</v>
      </c>
      <c r="BG103" s="453">
        <v>0</v>
      </c>
      <c r="BH103" s="734">
        <v>0</v>
      </c>
      <c r="BI103" s="453">
        <v>0</v>
      </c>
      <c r="BJ103" s="453">
        <v>21</v>
      </c>
      <c r="BK103" s="453">
        <v>1.46</v>
      </c>
      <c r="BL103" s="453">
        <v>1.54</v>
      </c>
      <c r="BM103" s="453">
        <v>0</v>
      </c>
      <c r="BN103" s="453">
        <v>17.899999999999999</v>
      </c>
      <c r="BO103" s="453">
        <v>869.7</v>
      </c>
      <c r="BP103" s="453">
        <v>0</v>
      </c>
      <c r="BQ103" s="453">
        <v>20.2</v>
      </c>
      <c r="BR103" s="453">
        <v>20.100000000000001</v>
      </c>
      <c r="BS103" s="453">
        <v>0</v>
      </c>
      <c r="BT103" s="453">
        <v>29.8</v>
      </c>
      <c r="BU103" s="453">
        <v>23.2</v>
      </c>
      <c r="BV103" s="456">
        <v>421.6</v>
      </c>
      <c r="BW103" s="453">
        <v>0.8</v>
      </c>
      <c r="BX103" s="453">
        <v>1.61</v>
      </c>
      <c r="BY103" s="456">
        <v>1.1299999999999999</v>
      </c>
      <c r="BZ103" s="456">
        <v>14.8</v>
      </c>
      <c r="CA103" s="456">
        <v>36.200000000000003</v>
      </c>
      <c r="CB103" s="456">
        <v>14.1</v>
      </c>
      <c r="CC103" s="456">
        <v>8.4</v>
      </c>
      <c r="CD103" s="456">
        <v>12.7</v>
      </c>
      <c r="CE103" s="456">
        <v>16.7</v>
      </c>
      <c r="CF103" s="456">
        <v>12.9</v>
      </c>
      <c r="CG103" s="456">
        <v>520.29999999999995</v>
      </c>
      <c r="CH103" s="456">
        <v>2.2000000000000002</v>
      </c>
      <c r="CI103" s="456">
        <v>3.2</v>
      </c>
      <c r="CJ103" s="456">
        <v>329.1</v>
      </c>
      <c r="CK103" s="456">
        <v>373</v>
      </c>
      <c r="CL103" s="456">
        <v>545.6</v>
      </c>
      <c r="CM103" s="456">
        <v>11.6</v>
      </c>
      <c r="CN103" s="456">
        <v>1.8</v>
      </c>
      <c r="CO103" s="453">
        <v>0</v>
      </c>
      <c r="CP103" s="453">
        <v>16.07</v>
      </c>
      <c r="CQ103" s="453">
        <v>45</v>
      </c>
      <c r="CR103" s="456">
        <v>0</v>
      </c>
      <c r="CS103" s="456">
        <v>0</v>
      </c>
      <c r="CT103" s="456">
        <v>0</v>
      </c>
      <c r="CU103" s="456">
        <v>0</v>
      </c>
      <c r="CV103" s="481">
        <v>2318</v>
      </c>
      <c r="CW103" s="481">
        <v>2779.4791666666665</v>
      </c>
      <c r="CX103" s="481">
        <v>3111.0416666666665</v>
      </c>
      <c r="CY103" s="481">
        <v>1127.0899999999999</v>
      </c>
      <c r="CZ103" s="456"/>
      <c r="DA103" s="456"/>
      <c r="DB103" s="456"/>
      <c r="DC103" s="456"/>
      <c r="DD103" s="456"/>
      <c r="DE103" s="456"/>
      <c r="DF103" s="456"/>
      <c r="DG103" s="425"/>
      <c r="DH103" s="456">
        <v>0</v>
      </c>
      <c r="DI103" s="456">
        <v>0.68</v>
      </c>
      <c r="DJ103" s="456">
        <v>1.28</v>
      </c>
      <c r="DK103" s="425"/>
      <c r="DL103" s="456"/>
      <c r="DM103" s="456"/>
      <c r="DN103" s="456"/>
      <c r="DO103" s="456"/>
      <c r="DP103" s="456"/>
      <c r="DQ103" s="456"/>
      <c r="DR103" s="456"/>
      <c r="DS103" s="456"/>
      <c r="DT103" s="456"/>
      <c r="DU103" s="456"/>
      <c r="DV103" s="456"/>
      <c r="DW103" s="456"/>
      <c r="DX103" s="456"/>
      <c r="DY103" s="456"/>
      <c r="DZ103" s="456"/>
      <c r="EA103" s="456"/>
      <c r="EB103" s="456"/>
      <c r="EC103" s="456"/>
      <c r="ED103" s="423">
        <v>0</v>
      </c>
      <c r="EE103" s="456">
        <v>0</v>
      </c>
      <c r="EF103" s="456">
        <v>2.5</v>
      </c>
      <c r="EG103" s="456">
        <v>6</v>
      </c>
      <c r="EH103" s="423">
        <v>0</v>
      </c>
      <c r="EI103" s="456"/>
      <c r="EJ103" s="456"/>
      <c r="EK103" s="456"/>
      <c r="EL103" s="456"/>
      <c r="EM103" s="456"/>
      <c r="EN103" s="456"/>
      <c r="EO103" s="425"/>
      <c r="EP103" s="425"/>
      <c r="EQ103" s="425" t="s">
        <v>743</v>
      </c>
      <c r="ER103" s="425">
        <v>1</v>
      </c>
      <c r="ES103" s="425">
        <v>8</v>
      </c>
      <c r="ET103" s="425">
        <v>4000</v>
      </c>
      <c r="EU103" s="457">
        <v>250</v>
      </c>
      <c r="EV103" s="425">
        <v>210</v>
      </c>
      <c r="EW103" s="425">
        <v>6755587</v>
      </c>
      <c r="EX103" s="425">
        <v>16198</v>
      </c>
      <c r="EY103" s="666">
        <v>20.100000000000001</v>
      </c>
      <c r="EZ103" s="666">
        <v>20.100000000000001</v>
      </c>
      <c r="FA103" s="666">
        <v>0</v>
      </c>
      <c r="FB103" s="666">
        <v>1.77</v>
      </c>
      <c r="FC103" s="666">
        <v>1.65</v>
      </c>
      <c r="FD103" s="666">
        <v>1.1399999999999999</v>
      </c>
      <c r="FE103" s="666">
        <v>1.1499999999999999</v>
      </c>
      <c r="FF103" s="666">
        <v>200</v>
      </c>
      <c r="FG103" s="666">
        <v>0.28000000000000003</v>
      </c>
      <c r="FH103" s="666">
        <v>0.71</v>
      </c>
      <c r="FI103" s="666">
        <v>1.1000000000000001</v>
      </c>
      <c r="FJ103" s="666">
        <v>8.42</v>
      </c>
      <c r="FK103" s="666">
        <v>9.1</v>
      </c>
      <c r="FL103" s="666">
        <v>8.2799999999999994</v>
      </c>
      <c r="FM103" s="666">
        <v>7.7</v>
      </c>
      <c r="FN103" s="666">
        <v>0</v>
      </c>
    </row>
    <row r="104" spans="1:170" s="416" customFormat="1" ht="15">
      <c r="A104" s="425" t="s">
        <v>7</v>
      </c>
      <c r="B104" s="426">
        <v>40633</v>
      </c>
      <c r="C104" s="418">
        <v>0</v>
      </c>
      <c r="D104" s="762">
        <v>0.6</v>
      </c>
      <c r="E104" s="763">
        <v>0</v>
      </c>
      <c r="F104" s="763">
        <v>46</v>
      </c>
      <c r="G104" s="763">
        <v>5.2</v>
      </c>
      <c r="H104" s="759">
        <v>0.08</v>
      </c>
      <c r="I104" s="519">
        <v>57.3</v>
      </c>
      <c r="J104" s="763">
        <v>7.0000000000000007E-2</v>
      </c>
      <c r="K104" s="520" t="s">
        <v>742</v>
      </c>
      <c r="L104" s="763">
        <v>44.02</v>
      </c>
      <c r="M104" s="763">
        <v>26.3</v>
      </c>
      <c r="N104" s="763">
        <v>1.52</v>
      </c>
      <c r="O104" s="763">
        <v>2.0044593006709475</v>
      </c>
      <c r="P104" s="763" t="s">
        <v>742</v>
      </c>
      <c r="Q104" s="763">
        <v>1.4758256274768822</v>
      </c>
      <c r="R104" s="763">
        <v>732.34895112285335</v>
      </c>
      <c r="S104" s="763">
        <v>7.72</v>
      </c>
      <c r="T104" s="763" t="s">
        <v>742</v>
      </c>
      <c r="U104" s="763">
        <v>0.62</v>
      </c>
      <c r="V104" s="763" t="s">
        <v>742</v>
      </c>
      <c r="W104" s="763">
        <v>44.06</v>
      </c>
      <c r="X104" s="764" t="e">
        <v>#VALUE!</v>
      </c>
      <c r="Y104" s="763">
        <v>27.44</v>
      </c>
      <c r="Z104" s="763">
        <v>19.29</v>
      </c>
      <c r="AA104" s="519">
        <v>27.309999999997672</v>
      </c>
      <c r="AB104" s="519">
        <v>16.19999999999709</v>
      </c>
      <c r="AC104" s="732">
        <f t="shared" si="1"/>
        <v>43.509999999994761</v>
      </c>
      <c r="AD104" s="664"/>
      <c r="AE104" s="664"/>
      <c r="AF104" s="664"/>
      <c r="AG104" s="664"/>
      <c r="AH104" s="664"/>
      <c r="AI104" s="664"/>
      <c r="AJ104" s="485"/>
      <c r="AK104" s="485"/>
      <c r="AL104" s="485"/>
      <c r="AM104" s="485"/>
      <c r="AN104" s="485"/>
      <c r="AO104" s="665"/>
      <c r="AP104" s="485"/>
      <c r="AQ104" s="483"/>
      <c r="AR104" s="755">
        <v>0</v>
      </c>
      <c r="AS104" s="483">
        <v>18.600000000000001</v>
      </c>
      <c r="AT104" s="755">
        <v>0</v>
      </c>
      <c r="AU104" s="483">
        <v>28.8</v>
      </c>
      <c r="AV104" s="484">
        <v>0</v>
      </c>
      <c r="AW104" s="484">
        <v>1767.4</v>
      </c>
      <c r="AX104" s="453">
        <v>46.7</v>
      </c>
      <c r="AY104" s="734">
        <v>0</v>
      </c>
      <c r="AZ104" s="734">
        <v>0</v>
      </c>
      <c r="BA104" s="734">
        <v>0</v>
      </c>
      <c r="BB104" s="453">
        <v>0</v>
      </c>
      <c r="BC104" s="453">
        <v>0</v>
      </c>
      <c r="BD104" s="453">
        <v>0</v>
      </c>
      <c r="BE104" s="734">
        <v>0</v>
      </c>
      <c r="BF104" s="453">
        <v>0</v>
      </c>
      <c r="BG104" s="453">
        <v>0</v>
      </c>
      <c r="BH104" s="734">
        <v>0</v>
      </c>
      <c r="BI104" s="453">
        <v>0</v>
      </c>
      <c r="BJ104" s="453">
        <v>16.2</v>
      </c>
      <c r="BK104" s="453">
        <v>0</v>
      </c>
      <c r="BL104" s="453">
        <v>0.66</v>
      </c>
      <c r="BM104" s="453">
        <v>0</v>
      </c>
      <c r="BN104" s="453">
        <v>15.4</v>
      </c>
      <c r="BO104" s="453">
        <v>1166.4000000000001</v>
      </c>
      <c r="BP104" s="453">
        <v>0</v>
      </c>
      <c r="BQ104" s="453">
        <v>19.7</v>
      </c>
      <c r="BR104" s="453">
        <v>19.600000000000001</v>
      </c>
      <c r="BS104" s="453">
        <v>0</v>
      </c>
      <c r="BT104" s="453">
        <v>27.9</v>
      </c>
      <c r="BU104" s="453">
        <v>26.7</v>
      </c>
      <c r="BV104" s="456">
        <v>607.79999999999995</v>
      </c>
      <c r="BW104" s="453">
        <v>0.8</v>
      </c>
      <c r="BX104" s="453">
        <v>1.86</v>
      </c>
      <c r="BY104" s="456">
        <v>1.1299999999999999</v>
      </c>
      <c r="BZ104" s="456">
        <v>14.6</v>
      </c>
      <c r="CA104" s="456">
        <v>33.799999999999997</v>
      </c>
      <c r="CB104" s="456">
        <v>13.4</v>
      </c>
      <c r="CC104" s="456">
        <v>8.5</v>
      </c>
      <c r="CD104" s="456">
        <v>12.7</v>
      </c>
      <c r="CE104" s="456">
        <v>17</v>
      </c>
      <c r="CF104" s="456">
        <v>12.5</v>
      </c>
      <c r="CG104" s="456">
        <v>535.20000000000005</v>
      </c>
      <c r="CH104" s="456">
        <v>2.2999999999999998</v>
      </c>
      <c r="CI104" s="456">
        <v>3.5</v>
      </c>
      <c r="CJ104" s="456">
        <v>328.9</v>
      </c>
      <c r="CK104" s="456">
        <v>377.5</v>
      </c>
      <c r="CL104" s="456">
        <v>538.29999999999995</v>
      </c>
      <c r="CM104" s="456">
        <v>11.8</v>
      </c>
      <c r="CN104" s="456">
        <v>1.8</v>
      </c>
      <c r="CO104" s="453">
        <v>0</v>
      </c>
      <c r="CP104" s="453">
        <v>16.34</v>
      </c>
      <c r="CQ104" s="453">
        <v>45</v>
      </c>
      <c r="CR104" s="456">
        <v>0</v>
      </c>
      <c r="CS104" s="456">
        <v>0</v>
      </c>
      <c r="CT104" s="456">
        <v>0</v>
      </c>
      <c r="CU104" s="456">
        <v>0</v>
      </c>
      <c r="CV104" s="481">
        <v>6169.5</v>
      </c>
      <c r="CW104" s="481">
        <v>7644.583333333333</v>
      </c>
      <c r="CX104" s="481">
        <v>6174.479166666667</v>
      </c>
      <c r="CY104" s="481">
        <v>1139.0999999999999</v>
      </c>
      <c r="CZ104" s="456"/>
      <c r="DA104" s="456"/>
      <c r="DB104" s="456"/>
      <c r="DC104" s="456"/>
      <c r="DD104" s="456"/>
      <c r="DE104" s="456"/>
      <c r="DF104" s="456"/>
      <c r="DG104" s="425"/>
      <c r="DH104" s="456">
        <v>0</v>
      </c>
      <c r="DI104" s="456">
        <v>0.66</v>
      </c>
      <c r="DJ104" s="456">
        <v>1.27</v>
      </c>
      <c r="DK104" s="425"/>
      <c r="DL104" s="456"/>
      <c r="DM104" s="456"/>
      <c r="DN104" s="456"/>
      <c r="DO104" s="456"/>
      <c r="DP104" s="456"/>
      <c r="DQ104" s="456"/>
      <c r="DR104" s="456"/>
      <c r="DS104" s="456"/>
      <c r="DT104" s="456"/>
      <c r="DU104" s="456"/>
      <c r="DV104" s="456"/>
      <c r="DW104" s="456"/>
      <c r="DX104" s="456"/>
      <c r="DY104" s="456"/>
      <c r="DZ104" s="456"/>
      <c r="EA104" s="456"/>
      <c r="EB104" s="456"/>
      <c r="EC104" s="456"/>
      <c r="ED104" s="423">
        <v>0</v>
      </c>
      <c r="EE104" s="456">
        <v>0</v>
      </c>
      <c r="EF104" s="456">
        <v>2.5</v>
      </c>
      <c r="EG104" s="456">
        <v>6</v>
      </c>
      <c r="EH104" s="423">
        <v>0</v>
      </c>
      <c r="EI104" s="456"/>
      <c r="EJ104" s="456"/>
      <c r="EK104" s="456"/>
      <c r="EL104" s="456"/>
      <c r="EM104" s="456"/>
      <c r="EN104" s="456"/>
      <c r="EO104" s="425"/>
      <c r="EP104" s="425"/>
      <c r="EQ104" s="425" t="s">
        <v>743</v>
      </c>
      <c r="ER104" s="425">
        <v>1</v>
      </c>
      <c r="ES104" s="425">
        <v>8</v>
      </c>
      <c r="ET104" s="425">
        <v>4000</v>
      </c>
      <c r="EU104" s="457">
        <v>20</v>
      </c>
      <c r="EV104" s="425">
        <v>210</v>
      </c>
      <c r="EW104" s="425">
        <v>6758232</v>
      </c>
      <c r="EX104" s="425">
        <v>17017</v>
      </c>
      <c r="EY104" s="666">
        <v>19.55</v>
      </c>
      <c r="EZ104" s="666">
        <v>19.55</v>
      </c>
      <c r="FA104" s="666">
        <v>0</v>
      </c>
      <c r="FB104" s="666">
        <v>1.59</v>
      </c>
      <c r="FC104" s="666">
        <v>1.49</v>
      </c>
      <c r="FD104" s="666">
        <v>1.18</v>
      </c>
      <c r="FE104" s="666">
        <v>1.1499999999999999</v>
      </c>
      <c r="FF104" s="666">
        <v>230</v>
      </c>
      <c r="FG104" s="666">
        <v>0.19</v>
      </c>
      <c r="FH104" s="666">
        <v>0.55000000000000004</v>
      </c>
      <c r="FI104" s="666">
        <v>0.92</v>
      </c>
      <c r="FJ104" s="666">
        <v>8.64</v>
      </c>
      <c r="FK104" s="666">
        <v>8.8000000000000007</v>
      </c>
      <c r="FL104" s="666">
        <v>8.23</v>
      </c>
      <c r="FM104" s="666">
        <v>7.9</v>
      </c>
      <c r="FN104" s="666">
        <v>0</v>
      </c>
    </row>
    <row r="105" spans="1:170" s="416" customFormat="1" ht="15">
      <c r="A105" s="425" t="s">
        <v>8</v>
      </c>
      <c r="B105" s="426">
        <v>40634</v>
      </c>
      <c r="C105" s="418">
        <v>0</v>
      </c>
      <c r="D105" s="762">
        <v>1.27</v>
      </c>
      <c r="E105" s="763">
        <v>0</v>
      </c>
      <c r="F105" s="763">
        <v>44</v>
      </c>
      <c r="G105" s="763">
        <v>4.05</v>
      </c>
      <c r="H105" s="519">
        <v>0.08</v>
      </c>
      <c r="I105" s="519">
        <v>50.6</v>
      </c>
      <c r="J105" s="763">
        <v>7.0000000000000007E-2</v>
      </c>
      <c r="K105" s="520" t="s">
        <v>742</v>
      </c>
      <c r="L105" s="763">
        <v>41.59</v>
      </c>
      <c r="M105" s="763">
        <v>25.5</v>
      </c>
      <c r="N105" s="763">
        <v>1.38</v>
      </c>
      <c r="O105" s="763">
        <v>1.8861548550212495</v>
      </c>
      <c r="P105" s="763" t="s">
        <v>742</v>
      </c>
      <c r="Q105" s="763">
        <v>1.4758256274768822</v>
      </c>
      <c r="R105" s="763">
        <v>664.00501981505931</v>
      </c>
      <c r="S105" s="763">
        <v>7.75</v>
      </c>
      <c r="T105" s="763" t="s">
        <v>742</v>
      </c>
      <c r="U105" s="763">
        <v>0.62</v>
      </c>
      <c r="V105" s="763" t="s">
        <v>742</v>
      </c>
      <c r="W105" s="763">
        <v>44.06</v>
      </c>
      <c r="X105" s="764" t="e">
        <v>#VALUE!</v>
      </c>
      <c r="Y105" s="763">
        <v>28.28</v>
      </c>
      <c r="Z105" s="763">
        <v>13.66</v>
      </c>
      <c r="AA105" s="519">
        <v>27.649999999994179</v>
      </c>
      <c r="AB105" s="519">
        <v>13</v>
      </c>
      <c r="AC105" s="732">
        <f t="shared" si="1"/>
        <v>40.649999999994179</v>
      </c>
      <c r="AD105" s="664"/>
      <c r="AE105" s="664"/>
      <c r="AF105" s="664"/>
      <c r="AG105" s="664"/>
      <c r="AH105" s="664"/>
      <c r="AI105" s="664"/>
      <c r="AJ105" s="485"/>
      <c r="AK105" s="485"/>
      <c r="AL105" s="485"/>
      <c r="AM105" s="485"/>
      <c r="AN105" s="485"/>
      <c r="AO105" s="665"/>
      <c r="AP105" s="485"/>
      <c r="AQ105" s="483"/>
      <c r="AR105" s="755">
        <v>0</v>
      </c>
      <c r="AS105" s="483">
        <v>18.100000000000001</v>
      </c>
      <c r="AT105" s="755">
        <v>0</v>
      </c>
      <c r="AU105" s="483">
        <v>28.8</v>
      </c>
      <c r="AV105" s="484">
        <v>52.9</v>
      </c>
      <c r="AW105" s="484">
        <v>376.4</v>
      </c>
      <c r="AX105" s="453">
        <v>9.8000000000000007</v>
      </c>
      <c r="AY105" s="734">
        <v>0</v>
      </c>
      <c r="AZ105" s="734">
        <v>0</v>
      </c>
      <c r="BA105" s="734">
        <v>0</v>
      </c>
      <c r="BB105" s="453">
        <v>0</v>
      </c>
      <c r="BC105" s="453">
        <v>0</v>
      </c>
      <c r="BD105" s="453">
        <v>0</v>
      </c>
      <c r="BE105" s="734">
        <v>0</v>
      </c>
      <c r="BF105" s="453">
        <v>0</v>
      </c>
      <c r="BG105" s="453">
        <v>0</v>
      </c>
      <c r="BH105" s="734">
        <v>0</v>
      </c>
      <c r="BI105" s="453">
        <v>0</v>
      </c>
      <c r="BJ105" s="453">
        <v>14.1</v>
      </c>
      <c r="BK105" s="453">
        <v>0</v>
      </c>
      <c r="BL105" s="453">
        <v>0</v>
      </c>
      <c r="BM105" s="453">
        <v>0</v>
      </c>
      <c r="BN105" s="453">
        <v>13.9</v>
      </c>
      <c r="BO105" s="453">
        <v>1461.3</v>
      </c>
      <c r="BP105" s="453">
        <v>0</v>
      </c>
      <c r="BQ105" s="453">
        <v>19.2</v>
      </c>
      <c r="BR105" s="453">
        <v>19.2</v>
      </c>
      <c r="BS105" s="453">
        <v>0</v>
      </c>
      <c r="BT105" s="453">
        <v>29.2</v>
      </c>
      <c r="BU105" s="453">
        <v>28.6</v>
      </c>
      <c r="BV105" s="456">
        <v>429.1</v>
      </c>
      <c r="BW105" s="453">
        <v>0.6</v>
      </c>
      <c r="BX105" s="453">
        <v>1.7</v>
      </c>
      <c r="BY105" s="456">
        <v>1.1200000000000001</v>
      </c>
      <c r="BZ105" s="456">
        <v>14.5</v>
      </c>
      <c r="CA105" s="456">
        <v>38.200000000000003</v>
      </c>
      <c r="CB105" s="456">
        <v>12.8</v>
      </c>
      <c r="CC105" s="456">
        <v>10.1</v>
      </c>
      <c r="CD105" s="456">
        <v>14.4</v>
      </c>
      <c r="CE105" s="456">
        <v>18.5</v>
      </c>
      <c r="CF105" s="456">
        <v>12.4</v>
      </c>
      <c r="CG105" s="456">
        <v>529.1</v>
      </c>
      <c r="CH105" s="456">
        <v>2.2999999999999998</v>
      </c>
      <c r="CI105" s="456">
        <v>3.3</v>
      </c>
      <c r="CJ105" s="456">
        <v>322</v>
      </c>
      <c r="CK105" s="456">
        <v>369</v>
      </c>
      <c r="CL105" s="456">
        <v>538.1</v>
      </c>
      <c r="CM105" s="456">
        <v>11.6</v>
      </c>
      <c r="CN105" s="456">
        <v>1.7</v>
      </c>
      <c r="CO105" s="453">
        <v>0</v>
      </c>
      <c r="CP105" s="453">
        <v>15.99</v>
      </c>
      <c r="CQ105" s="453">
        <v>46</v>
      </c>
      <c r="CR105" s="456">
        <v>0</v>
      </c>
      <c r="CS105" s="456">
        <v>0</v>
      </c>
      <c r="CT105" s="456">
        <v>0</v>
      </c>
      <c r="CU105" s="456">
        <v>0</v>
      </c>
      <c r="CV105" s="481">
        <v>5762.5</v>
      </c>
      <c r="CW105" s="481">
        <v>7917.291666666667</v>
      </c>
      <c r="CX105" s="481">
        <v>5400.208333333333</v>
      </c>
      <c r="CY105" s="481">
        <v>1141.95</v>
      </c>
      <c r="CZ105" s="456"/>
      <c r="DA105" s="456"/>
      <c r="DB105" s="456"/>
      <c r="DC105" s="456"/>
      <c r="DD105" s="456"/>
      <c r="DE105" s="456"/>
      <c r="DF105" s="456"/>
      <c r="DG105" s="425"/>
      <c r="DH105" s="456">
        <v>0</v>
      </c>
      <c r="DI105" s="456">
        <v>0.7</v>
      </c>
      <c r="DJ105" s="456">
        <v>0.91</v>
      </c>
      <c r="DK105" s="425"/>
      <c r="DL105" s="456"/>
      <c r="DM105" s="456"/>
      <c r="DN105" s="456"/>
      <c r="DO105" s="456"/>
      <c r="DP105" s="456"/>
      <c r="DQ105" s="456"/>
      <c r="DR105" s="456"/>
      <c r="DS105" s="456"/>
      <c r="DT105" s="456"/>
      <c r="DU105" s="456"/>
      <c r="DV105" s="456"/>
      <c r="DW105" s="456"/>
      <c r="DX105" s="456"/>
      <c r="DY105" s="456"/>
      <c r="DZ105" s="456"/>
      <c r="EA105" s="456"/>
      <c r="EB105" s="456"/>
      <c r="EC105" s="456"/>
      <c r="ED105" s="423">
        <v>0</v>
      </c>
      <c r="EE105" s="456">
        <v>0</v>
      </c>
      <c r="EF105" s="456">
        <v>2.5</v>
      </c>
      <c r="EG105" s="456">
        <v>6</v>
      </c>
      <c r="EH105" s="423">
        <v>0</v>
      </c>
      <c r="EI105" s="456"/>
      <c r="EJ105" s="456"/>
      <c r="EK105" s="456"/>
      <c r="EL105" s="456"/>
      <c r="EM105" s="456"/>
      <c r="EN105" s="456"/>
      <c r="EO105" s="425"/>
      <c r="EP105" s="425"/>
      <c r="EQ105" s="425" t="s">
        <v>743</v>
      </c>
      <c r="ER105" s="425">
        <v>1</v>
      </c>
      <c r="ES105" s="425">
        <v>6</v>
      </c>
      <c r="ET105" s="425">
        <v>3880</v>
      </c>
      <c r="EU105" s="457">
        <v>-80</v>
      </c>
      <c r="EV105" s="425">
        <v>180</v>
      </c>
      <c r="EW105" s="425">
        <v>6761007</v>
      </c>
      <c r="EX105" s="425">
        <v>17848</v>
      </c>
      <c r="EY105" s="666">
        <v>19.100000000000001</v>
      </c>
      <c r="EZ105" s="666">
        <v>19.100000000000001</v>
      </c>
      <c r="FA105" s="666">
        <v>0</v>
      </c>
      <c r="FB105" s="666">
        <v>1.51</v>
      </c>
      <c r="FC105" s="666">
        <v>1.5</v>
      </c>
      <c r="FD105" s="666">
        <v>1.1599999999999999</v>
      </c>
      <c r="FE105" s="666">
        <v>1.1200000000000001</v>
      </c>
      <c r="FF105" s="666">
        <v>220</v>
      </c>
      <c r="FG105" s="666">
        <v>0.2</v>
      </c>
      <c r="FH105" s="666">
        <v>0.51</v>
      </c>
      <c r="FI105" s="666">
        <v>0.89</v>
      </c>
      <c r="FJ105" s="666">
        <v>8.5399999999999991</v>
      </c>
      <c r="FK105" s="666">
        <v>8.4</v>
      </c>
      <c r="FL105" s="666">
        <v>8.2799999999999994</v>
      </c>
      <c r="FM105" s="666">
        <v>7.7</v>
      </c>
      <c r="FN105" s="666">
        <v>0</v>
      </c>
    </row>
    <row r="106" spans="1:170" s="416" customFormat="1" ht="15">
      <c r="A106" s="425" t="s">
        <v>9</v>
      </c>
      <c r="B106" s="426">
        <v>40635</v>
      </c>
      <c r="C106" s="418">
        <v>0</v>
      </c>
      <c r="D106" s="762">
        <v>1.1000000000000001</v>
      </c>
      <c r="E106" s="763">
        <v>0</v>
      </c>
      <c r="F106" s="763">
        <v>36</v>
      </c>
      <c r="G106" s="763">
        <v>4.05</v>
      </c>
      <c r="H106" s="519">
        <v>7.0000000000000007E-2</v>
      </c>
      <c r="I106" s="519">
        <v>52.8</v>
      </c>
      <c r="J106" s="763">
        <v>7.0000000000000007E-2</v>
      </c>
      <c r="K106" s="520" t="s">
        <v>742</v>
      </c>
      <c r="L106" s="763">
        <v>41.65</v>
      </c>
      <c r="M106" s="763">
        <v>25.2</v>
      </c>
      <c r="N106" s="763">
        <v>1.29</v>
      </c>
      <c r="O106" s="763">
        <v>1.8080174633056714</v>
      </c>
      <c r="P106" s="763" t="s">
        <v>742</v>
      </c>
      <c r="Q106" s="763">
        <v>1.3204755614266841</v>
      </c>
      <c r="R106" s="763">
        <v>635.50138969616899</v>
      </c>
      <c r="S106" s="763">
        <v>7.71</v>
      </c>
      <c r="T106" s="763" t="s">
        <v>742</v>
      </c>
      <c r="U106" s="763">
        <v>0.63</v>
      </c>
      <c r="V106" s="763" t="s">
        <v>742</v>
      </c>
      <c r="W106" s="763">
        <v>46.400000000000006</v>
      </c>
      <c r="X106" s="764" t="e">
        <v>#VALUE!</v>
      </c>
      <c r="Y106" s="763">
        <v>27.94</v>
      </c>
      <c r="Z106" s="763">
        <v>14.28</v>
      </c>
      <c r="AA106" s="519">
        <v>27.600000000005821</v>
      </c>
      <c r="AB106" s="519">
        <v>15.099999999998545</v>
      </c>
      <c r="AC106" s="732">
        <f t="shared" si="1"/>
        <v>42.700000000004366</v>
      </c>
      <c r="AD106" s="664"/>
      <c r="AE106" s="664"/>
      <c r="AF106" s="664"/>
      <c r="AG106" s="664"/>
      <c r="AH106" s="664"/>
      <c r="AI106" s="664"/>
      <c r="AJ106" s="485"/>
      <c r="AK106" s="485"/>
      <c r="AL106" s="485"/>
      <c r="AM106" s="485"/>
      <c r="AN106" s="485"/>
      <c r="AO106" s="665"/>
      <c r="AP106" s="485"/>
      <c r="AQ106" s="483"/>
      <c r="AR106" s="755">
        <v>0</v>
      </c>
      <c r="AS106" s="483">
        <v>18.899999999999999</v>
      </c>
      <c r="AT106" s="755">
        <v>0</v>
      </c>
      <c r="AU106" s="483">
        <v>28.9</v>
      </c>
      <c r="AV106" s="484">
        <v>344.4</v>
      </c>
      <c r="AW106" s="484">
        <v>548.70000000000005</v>
      </c>
      <c r="AX106" s="453">
        <v>0</v>
      </c>
      <c r="AY106" s="734">
        <v>0</v>
      </c>
      <c r="AZ106" s="734">
        <v>0</v>
      </c>
      <c r="BA106" s="734">
        <v>0</v>
      </c>
      <c r="BB106" s="453">
        <v>0</v>
      </c>
      <c r="BC106" s="453">
        <v>0</v>
      </c>
      <c r="BD106" s="453">
        <v>0</v>
      </c>
      <c r="BE106" s="734">
        <v>0</v>
      </c>
      <c r="BF106" s="453">
        <v>0</v>
      </c>
      <c r="BG106" s="453">
        <v>0</v>
      </c>
      <c r="BH106" s="734">
        <v>0</v>
      </c>
      <c r="BI106" s="453">
        <v>0</v>
      </c>
      <c r="BJ106" s="453">
        <v>14.2</v>
      </c>
      <c r="BK106" s="453">
        <v>0</v>
      </c>
      <c r="BL106" s="453">
        <v>0</v>
      </c>
      <c r="BM106" s="453">
        <v>0</v>
      </c>
      <c r="BN106" s="453">
        <v>14</v>
      </c>
      <c r="BO106" s="453">
        <v>1201.5999999999999</v>
      </c>
      <c r="BP106" s="453">
        <v>0</v>
      </c>
      <c r="BQ106" s="453">
        <v>18.399999999999999</v>
      </c>
      <c r="BR106" s="453">
        <v>18.3</v>
      </c>
      <c r="BS106" s="453">
        <v>0</v>
      </c>
      <c r="BT106" s="453">
        <v>28.5</v>
      </c>
      <c r="BU106" s="453">
        <v>28.8</v>
      </c>
      <c r="BV106" s="456">
        <v>443.5</v>
      </c>
      <c r="BW106" s="453">
        <v>0.5</v>
      </c>
      <c r="BX106" s="453">
        <v>1.57</v>
      </c>
      <c r="BY106" s="456">
        <v>1.1200000000000001</v>
      </c>
      <c r="BZ106" s="456">
        <v>14.6</v>
      </c>
      <c r="CA106" s="456">
        <v>35.200000000000003</v>
      </c>
      <c r="CB106" s="456">
        <v>15.4</v>
      </c>
      <c r="CC106" s="456">
        <v>9.6</v>
      </c>
      <c r="CD106" s="456">
        <v>13.9</v>
      </c>
      <c r="CE106" s="456">
        <v>17.899999999999999</v>
      </c>
      <c r="CF106" s="456">
        <v>12.6</v>
      </c>
      <c r="CG106" s="456">
        <v>527</v>
      </c>
      <c r="CH106" s="456">
        <v>2.2999999999999998</v>
      </c>
      <c r="CI106" s="456">
        <v>3.1</v>
      </c>
      <c r="CJ106" s="456">
        <v>452.8</v>
      </c>
      <c r="CK106" s="456">
        <v>394.1</v>
      </c>
      <c r="CL106" s="456">
        <v>503.5</v>
      </c>
      <c r="CM106" s="456">
        <v>11.4</v>
      </c>
      <c r="CN106" s="456">
        <v>1.7</v>
      </c>
      <c r="CO106" s="453">
        <v>0</v>
      </c>
      <c r="CP106" s="453">
        <v>16.21</v>
      </c>
      <c r="CQ106" s="453">
        <v>46</v>
      </c>
      <c r="CR106" s="456">
        <v>0</v>
      </c>
      <c r="CS106" s="456">
        <v>0</v>
      </c>
      <c r="CT106" s="456">
        <v>0</v>
      </c>
      <c r="CU106" s="456">
        <v>0</v>
      </c>
      <c r="CV106" s="481">
        <v>4222</v>
      </c>
      <c r="CW106" s="481">
        <v>6490.416666666667</v>
      </c>
      <c r="CX106" s="481">
        <v>4355.625</v>
      </c>
      <c r="CY106" s="481">
        <v>1144.32</v>
      </c>
      <c r="CZ106" s="456"/>
      <c r="DA106" s="456"/>
      <c r="DB106" s="456"/>
      <c r="DC106" s="456"/>
      <c r="DD106" s="456"/>
      <c r="DE106" s="456"/>
      <c r="DF106" s="456"/>
      <c r="DG106" s="425"/>
      <c r="DH106" s="456">
        <v>0</v>
      </c>
      <c r="DI106" s="456">
        <v>0.64</v>
      </c>
      <c r="DJ106" s="456">
        <v>1.2</v>
      </c>
      <c r="DK106" s="425"/>
      <c r="DL106" s="456"/>
      <c r="DM106" s="456"/>
      <c r="DN106" s="456"/>
      <c r="DO106" s="456"/>
      <c r="DP106" s="456"/>
      <c r="DQ106" s="456"/>
      <c r="DR106" s="456"/>
      <c r="DS106" s="456"/>
      <c r="DT106" s="456"/>
      <c r="DU106" s="456"/>
      <c r="DV106" s="456"/>
      <c r="DW106" s="456"/>
      <c r="DX106" s="456"/>
      <c r="DY106" s="456"/>
      <c r="DZ106" s="456"/>
      <c r="EA106" s="456"/>
      <c r="EB106" s="456"/>
      <c r="EC106" s="456"/>
      <c r="ED106" s="423">
        <v>0</v>
      </c>
      <c r="EE106" s="456">
        <v>0</v>
      </c>
      <c r="EF106" s="456">
        <v>2.5</v>
      </c>
      <c r="EG106" s="456">
        <v>6</v>
      </c>
      <c r="EH106" s="423">
        <v>0</v>
      </c>
      <c r="EI106" s="456"/>
      <c r="EJ106" s="456"/>
      <c r="EK106" s="456"/>
      <c r="EL106" s="456"/>
      <c r="EM106" s="456"/>
      <c r="EN106" s="456"/>
      <c r="EO106" s="425"/>
      <c r="EP106" s="425"/>
      <c r="EQ106" s="425" t="s">
        <v>743</v>
      </c>
      <c r="ER106" s="425">
        <v>1</v>
      </c>
      <c r="ES106" s="425">
        <v>6</v>
      </c>
      <c r="ET106" s="425">
        <v>3640</v>
      </c>
      <c r="EU106" s="457">
        <v>-80</v>
      </c>
      <c r="EV106" s="425">
        <v>200</v>
      </c>
      <c r="EW106" s="425">
        <v>6763811</v>
      </c>
      <c r="EX106" s="425">
        <v>18615</v>
      </c>
      <c r="EY106" s="666">
        <v>18.399999999999999</v>
      </c>
      <c r="EZ106" s="666">
        <v>18.399999999999999</v>
      </c>
      <c r="FA106" s="666">
        <v>0</v>
      </c>
      <c r="FB106" s="666">
        <v>1.53</v>
      </c>
      <c r="FC106" s="666">
        <v>1.49</v>
      </c>
      <c r="FD106" s="666">
        <v>1.1000000000000001</v>
      </c>
      <c r="FE106" s="666">
        <v>1.07</v>
      </c>
      <c r="FF106" s="666">
        <v>240</v>
      </c>
      <c r="FG106" s="666">
        <v>0.4</v>
      </c>
      <c r="FH106" s="666">
        <v>0.37</v>
      </c>
      <c r="FI106" s="666">
        <v>0.8</v>
      </c>
      <c r="FJ106" s="666">
        <v>8.48</v>
      </c>
      <c r="FK106" s="666">
        <v>8.3000000000000007</v>
      </c>
      <c r="FL106" s="666">
        <v>8.25</v>
      </c>
      <c r="FM106" s="666">
        <v>7.8</v>
      </c>
      <c r="FN106" s="666">
        <v>0</v>
      </c>
    </row>
    <row r="107" spans="1:170" s="416" customFormat="1" ht="15">
      <c r="A107" s="425" t="s">
        <v>3</v>
      </c>
      <c r="B107" s="426">
        <v>40636</v>
      </c>
      <c r="C107" s="418">
        <v>0</v>
      </c>
      <c r="D107" s="762">
        <v>0.12</v>
      </c>
      <c r="E107" s="763">
        <v>0</v>
      </c>
      <c r="F107" s="763">
        <v>37</v>
      </c>
      <c r="G107" s="763">
        <v>4</v>
      </c>
      <c r="H107" s="519">
        <v>0.11</v>
      </c>
      <c r="I107" s="519">
        <v>63.4</v>
      </c>
      <c r="J107" s="763">
        <v>0.06</v>
      </c>
      <c r="K107" s="520" t="s">
        <v>742</v>
      </c>
      <c r="L107" s="763">
        <v>41.7</v>
      </c>
      <c r="M107" s="763">
        <v>25</v>
      </c>
      <c r="N107" s="763">
        <v>1.23</v>
      </c>
      <c r="O107" s="763">
        <v>1.7434224222441501</v>
      </c>
      <c r="P107" s="763" t="s">
        <v>742</v>
      </c>
      <c r="Q107" s="763">
        <v>1.165125495376486</v>
      </c>
      <c r="R107" s="763">
        <v>613.79976221928655</v>
      </c>
      <c r="S107" s="763">
        <v>7.68</v>
      </c>
      <c r="T107" s="763" t="s">
        <v>742</v>
      </c>
      <c r="U107" s="763">
        <v>0.63</v>
      </c>
      <c r="V107" s="763" t="s">
        <v>742</v>
      </c>
      <c r="W107" s="763">
        <v>47.120000000000005</v>
      </c>
      <c r="X107" s="764" t="e">
        <v>#VALUE!</v>
      </c>
      <c r="Y107" s="763">
        <v>27.74</v>
      </c>
      <c r="Z107" s="763">
        <v>13.88</v>
      </c>
      <c r="AA107" s="519">
        <v>27.69999999999709</v>
      </c>
      <c r="AB107" s="519">
        <v>14.099999999998545</v>
      </c>
      <c r="AC107" s="732">
        <f t="shared" si="1"/>
        <v>41.799999999995634</v>
      </c>
      <c r="AD107" s="664"/>
      <c r="AE107" s="664"/>
      <c r="AF107" s="664"/>
      <c r="AG107" s="664"/>
      <c r="AH107" s="664"/>
      <c r="AI107" s="664"/>
      <c r="AJ107" s="485"/>
      <c r="AK107" s="485"/>
      <c r="AL107" s="485"/>
      <c r="AM107" s="485"/>
      <c r="AN107" s="485"/>
      <c r="AO107" s="665"/>
      <c r="AP107" s="485"/>
      <c r="AQ107" s="483"/>
      <c r="AR107" s="755">
        <v>0</v>
      </c>
      <c r="AS107" s="483">
        <v>36.799999999999997</v>
      </c>
      <c r="AT107" s="755">
        <v>0</v>
      </c>
      <c r="AU107" s="483">
        <v>28.9</v>
      </c>
      <c r="AV107" s="484">
        <v>0</v>
      </c>
      <c r="AW107" s="484">
        <v>1888.7</v>
      </c>
      <c r="AX107" s="453">
        <v>0</v>
      </c>
      <c r="AY107" s="734">
        <v>0</v>
      </c>
      <c r="AZ107" s="734">
        <v>0</v>
      </c>
      <c r="BA107" s="734">
        <v>0</v>
      </c>
      <c r="BB107" s="453">
        <v>0</v>
      </c>
      <c r="BC107" s="453">
        <v>0</v>
      </c>
      <c r="BD107" s="453">
        <v>0</v>
      </c>
      <c r="BE107" s="734">
        <v>0</v>
      </c>
      <c r="BF107" s="453">
        <v>0</v>
      </c>
      <c r="BG107" s="453">
        <v>0</v>
      </c>
      <c r="BH107" s="734">
        <v>0</v>
      </c>
      <c r="BI107" s="453">
        <v>0</v>
      </c>
      <c r="BJ107" s="453">
        <v>14.2</v>
      </c>
      <c r="BK107" s="453">
        <v>0</v>
      </c>
      <c r="BL107" s="453">
        <v>0</v>
      </c>
      <c r="BM107" s="453">
        <v>0</v>
      </c>
      <c r="BN107" s="453">
        <v>14</v>
      </c>
      <c r="BO107" s="453">
        <v>1373.4</v>
      </c>
      <c r="BP107" s="453">
        <v>0</v>
      </c>
      <c r="BQ107" s="453">
        <v>17.5</v>
      </c>
      <c r="BR107" s="453">
        <v>17.399999999999999</v>
      </c>
      <c r="BS107" s="453">
        <v>0</v>
      </c>
      <c r="BT107" s="453">
        <v>27.8</v>
      </c>
      <c r="BU107" s="453">
        <v>28.5</v>
      </c>
      <c r="BV107" s="456">
        <v>439</v>
      </c>
      <c r="BW107" s="453">
        <v>0.4</v>
      </c>
      <c r="BX107" s="453">
        <v>1.58</v>
      </c>
      <c r="BY107" s="456">
        <v>1.1200000000000001</v>
      </c>
      <c r="BZ107" s="456">
        <v>14.8</v>
      </c>
      <c r="CA107" s="456">
        <v>37.799999999999997</v>
      </c>
      <c r="CB107" s="456">
        <v>14.4</v>
      </c>
      <c r="CC107" s="456">
        <v>9.8000000000000007</v>
      </c>
      <c r="CD107" s="456">
        <v>14</v>
      </c>
      <c r="CE107" s="456">
        <v>18.100000000000001</v>
      </c>
      <c r="CF107" s="456">
        <v>12.7</v>
      </c>
      <c r="CG107" s="456">
        <v>524.9</v>
      </c>
      <c r="CH107" s="456">
        <v>2.2999999999999998</v>
      </c>
      <c r="CI107" s="456">
        <v>3.1</v>
      </c>
      <c r="CJ107" s="456">
        <v>432.9</v>
      </c>
      <c r="CK107" s="456">
        <v>429.3</v>
      </c>
      <c r="CL107" s="456">
        <v>517.1</v>
      </c>
      <c r="CM107" s="456">
        <v>11.4</v>
      </c>
      <c r="CN107" s="456">
        <v>1.6</v>
      </c>
      <c r="CO107" s="453">
        <v>0</v>
      </c>
      <c r="CP107" s="453">
        <v>16.38</v>
      </c>
      <c r="CQ107" s="453">
        <v>46</v>
      </c>
      <c r="CR107" s="456">
        <v>0</v>
      </c>
      <c r="CS107" s="456">
        <v>0</v>
      </c>
      <c r="CT107" s="456">
        <v>0</v>
      </c>
      <c r="CU107" s="456">
        <v>0</v>
      </c>
      <c r="CV107" s="481">
        <v>4231.5</v>
      </c>
      <c r="CW107" s="481">
        <v>6231.041666666667</v>
      </c>
      <c r="CX107" s="481">
        <v>4291.666666666667</v>
      </c>
      <c r="CY107" s="481">
        <v>1143.18</v>
      </c>
      <c r="CZ107" s="456"/>
      <c r="DA107" s="456"/>
      <c r="DB107" s="456"/>
      <c r="DC107" s="456"/>
      <c r="DD107" s="456"/>
      <c r="DE107" s="456"/>
      <c r="DF107" s="456"/>
      <c r="DG107" s="425"/>
      <c r="DH107" s="456">
        <v>0</v>
      </c>
      <c r="DI107" s="456">
        <v>0.56000000000000005</v>
      </c>
      <c r="DJ107" s="456">
        <v>1.21</v>
      </c>
      <c r="DK107" s="425"/>
      <c r="DL107" s="456"/>
      <c r="DM107" s="456"/>
      <c r="DN107" s="456"/>
      <c r="DO107" s="456"/>
      <c r="DP107" s="456"/>
      <c r="DQ107" s="456"/>
      <c r="DR107" s="456"/>
      <c r="DS107" s="456"/>
      <c r="DT107" s="456"/>
      <c r="DU107" s="456"/>
      <c r="DV107" s="456"/>
      <c r="DW107" s="456"/>
      <c r="DX107" s="456"/>
      <c r="DY107" s="456"/>
      <c r="DZ107" s="456"/>
      <c r="EA107" s="456"/>
      <c r="EB107" s="456"/>
      <c r="EC107" s="456"/>
      <c r="ED107" s="423">
        <v>0</v>
      </c>
      <c r="EE107" s="456">
        <v>0</v>
      </c>
      <c r="EF107" s="456">
        <v>2.5</v>
      </c>
      <c r="EG107" s="456">
        <v>6</v>
      </c>
      <c r="EH107" s="423">
        <v>0</v>
      </c>
      <c r="EI107" s="456"/>
      <c r="EJ107" s="456"/>
      <c r="EK107" s="456"/>
      <c r="EL107" s="456"/>
      <c r="EM107" s="456"/>
      <c r="EN107" s="456"/>
      <c r="EO107" s="425"/>
      <c r="EP107" s="425"/>
      <c r="EQ107" s="425" t="s">
        <v>743</v>
      </c>
      <c r="ER107" s="425">
        <v>1</v>
      </c>
      <c r="ES107" s="425">
        <v>6</v>
      </c>
      <c r="ET107" s="425">
        <v>3360</v>
      </c>
      <c r="EU107" s="457">
        <v>-80</v>
      </c>
      <c r="EV107" s="425">
        <v>110</v>
      </c>
      <c r="EW107" s="425">
        <v>6766683</v>
      </c>
      <c r="EX107" s="425">
        <v>19397</v>
      </c>
      <c r="EY107" s="666">
        <v>17.600000000000001</v>
      </c>
      <c r="EZ107" s="666">
        <v>17.600000000000001</v>
      </c>
      <c r="FA107" s="666">
        <v>0</v>
      </c>
      <c r="FB107" s="666">
        <v>1.35</v>
      </c>
      <c r="FC107" s="666">
        <v>1.32</v>
      </c>
      <c r="FD107" s="666">
        <v>1.06</v>
      </c>
      <c r="FE107" s="666">
        <v>1.05</v>
      </c>
      <c r="FF107" s="666">
        <v>280</v>
      </c>
      <c r="FG107" s="666">
        <v>0.22</v>
      </c>
      <c r="FH107" s="666">
        <v>0.33</v>
      </c>
      <c r="FI107" s="666">
        <v>0.56999999999999995</v>
      </c>
      <c r="FJ107" s="666">
        <v>8.44</v>
      </c>
      <c r="FK107" s="666">
        <v>8.5</v>
      </c>
      <c r="FL107" s="666">
        <v>8.26</v>
      </c>
      <c r="FM107" s="666">
        <v>7.7</v>
      </c>
      <c r="FN107" s="666">
        <v>0</v>
      </c>
    </row>
    <row r="108" spans="1:170" s="416" customFormat="1" ht="15">
      <c r="A108" s="425" t="s">
        <v>4</v>
      </c>
      <c r="B108" s="426">
        <v>40637</v>
      </c>
      <c r="C108" s="418">
        <v>0</v>
      </c>
      <c r="D108" s="762">
        <v>1.5</v>
      </c>
      <c r="E108" s="763">
        <v>0</v>
      </c>
      <c r="F108" s="763">
        <v>41</v>
      </c>
      <c r="G108" s="763">
        <v>3.8</v>
      </c>
      <c r="H108" s="759">
        <v>184.6</v>
      </c>
      <c r="I108" s="759">
        <v>0</v>
      </c>
      <c r="J108" s="763">
        <v>0.06</v>
      </c>
      <c r="K108" s="520" t="s">
        <v>742</v>
      </c>
      <c r="L108" s="763">
        <v>41.23</v>
      </c>
      <c r="M108" s="763">
        <v>24.8</v>
      </c>
      <c r="N108" s="763">
        <v>1.21</v>
      </c>
      <c r="O108" s="763">
        <v>1.7875668801731648</v>
      </c>
      <c r="P108" s="763" t="s">
        <v>742</v>
      </c>
      <c r="Q108" s="763">
        <v>4.3152796124985269</v>
      </c>
      <c r="R108" s="763">
        <v>629.34719682959042</v>
      </c>
      <c r="S108" s="763">
        <v>7.69</v>
      </c>
      <c r="T108" s="763" t="s">
        <v>742</v>
      </c>
      <c r="U108" s="763">
        <v>0.62</v>
      </c>
      <c r="V108" s="763" t="s">
        <v>742</v>
      </c>
      <c r="W108" s="763">
        <v>46.94</v>
      </c>
      <c r="X108" s="764" t="e">
        <v>#VALUE!</v>
      </c>
      <c r="Y108" s="763">
        <v>27.49</v>
      </c>
      <c r="Z108" s="763">
        <v>14.18</v>
      </c>
      <c r="AA108" s="519">
        <v>27.30000000000291</v>
      </c>
      <c r="AB108" s="519">
        <v>13.55000000000291</v>
      </c>
      <c r="AC108" s="732">
        <f t="shared" si="1"/>
        <v>40.850000000005821</v>
      </c>
      <c r="AD108" s="664"/>
      <c r="AE108" s="664"/>
      <c r="AF108" s="664"/>
      <c r="AG108" s="664"/>
      <c r="AH108" s="664"/>
      <c r="AI108" s="664"/>
      <c r="AJ108" s="485"/>
      <c r="AK108" s="485"/>
      <c r="AL108" s="485"/>
      <c r="AM108" s="485"/>
      <c r="AN108" s="485"/>
      <c r="AO108" s="665"/>
      <c r="AP108" s="485"/>
      <c r="AQ108" s="483"/>
      <c r="AR108" s="755">
        <v>0</v>
      </c>
      <c r="AS108" s="483">
        <v>18.100000000000001</v>
      </c>
      <c r="AT108" s="755">
        <v>0</v>
      </c>
      <c r="AU108" s="483">
        <v>28.8</v>
      </c>
      <c r="AV108" s="484">
        <v>177.5</v>
      </c>
      <c r="AW108" s="484">
        <v>178.6</v>
      </c>
      <c r="AX108" s="453">
        <v>0</v>
      </c>
      <c r="AY108" s="734">
        <v>0</v>
      </c>
      <c r="AZ108" s="734">
        <v>0</v>
      </c>
      <c r="BA108" s="734">
        <v>0</v>
      </c>
      <c r="BB108" s="453">
        <v>0</v>
      </c>
      <c r="BC108" s="453">
        <v>0</v>
      </c>
      <c r="BD108" s="453">
        <v>0</v>
      </c>
      <c r="BE108" s="734">
        <v>0</v>
      </c>
      <c r="BF108" s="453">
        <v>0</v>
      </c>
      <c r="BG108" s="453">
        <v>0</v>
      </c>
      <c r="BH108" s="734">
        <v>0</v>
      </c>
      <c r="BI108" s="453">
        <v>0</v>
      </c>
      <c r="BJ108" s="453">
        <v>14.2</v>
      </c>
      <c r="BK108" s="453">
        <v>0</v>
      </c>
      <c r="BL108" s="453">
        <v>0</v>
      </c>
      <c r="BM108" s="453">
        <v>0</v>
      </c>
      <c r="BN108" s="453">
        <v>14</v>
      </c>
      <c r="BO108" s="453">
        <v>1024.5999999999999</v>
      </c>
      <c r="BP108" s="453">
        <v>0</v>
      </c>
      <c r="BQ108" s="453">
        <v>17.7</v>
      </c>
      <c r="BR108" s="453">
        <v>17.7</v>
      </c>
      <c r="BS108" s="453">
        <v>0</v>
      </c>
      <c r="BT108" s="453">
        <v>29</v>
      </c>
      <c r="BU108" s="453">
        <v>23.9</v>
      </c>
      <c r="BV108" s="456">
        <v>617.20000000000005</v>
      </c>
      <c r="BW108" s="453">
        <v>0.3</v>
      </c>
      <c r="BX108" s="453">
        <v>1.49</v>
      </c>
      <c r="BY108" s="456">
        <v>1.1100000000000001</v>
      </c>
      <c r="BZ108" s="456">
        <v>14.8</v>
      </c>
      <c r="CA108" s="456">
        <v>0</v>
      </c>
      <c r="CB108" s="456">
        <v>13.7</v>
      </c>
      <c r="CC108" s="456">
        <v>8.8000000000000007</v>
      </c>
      <c r="CD108" s="456">
        <v>13</v>
      </c>
      <c r="CE108" s="456">
        <v>17.100000000000001</v>
      </c>
      <c r="CF108" s="456">
        <v>13.6</v>
      </c>
      <c r="CG108" s="456">
        <v>403</v>
      </c>
      <c r="CH108" s="456">
        <v>2</v>
      </c>
      <c r="CI108" s="456">
        <v>2.6</v>
      </c>
      <c r="CJ108" s="456">
        <v>428.5</v>
      </c>
      <c r="CK108" s="456">
        <v>380.8</v>
      </c>
      <c r="CL108" s="456">
        <v>547</v>
      </c>
      <c r="CM108" s="456">
        <v>12.1</v>
      </c>
      <c r="CN108" s="456">
        <v>1.77</v>
      </c>
      <c r="CO108" s="453">
        <v>0</v>
      </c>
      <c r="CP108" s="453">
        <v>16</v>
      </c>
      <c r="CQ108" s="453">
        <v>46</v>
      </c>
      <c r="CR108" s="456">
        <v>0</v>
      </c>
      <c r="CS108" s="456">
        <v>0</v>
      </c>
      <c r="CT108" s="456">
        <v>0</v>
      </c>
      <c r="CU108" s="456">
        <v>0</v>
      </c>
      <c r="CV108" s="481">
        <v>3972</v>
      </c>
      <c r="CW108" s="481">
        <v>5864.6875</v>
      </c>
      <c r="CX108" s="481">
        <v>4075.2083333333335</v>
      </c>
      <c r="CY108" s="481">
        <v>1140.8900000000001</v>
      </c>
      <c r="CZ108" s="456"/>
      <c r="DA108" s="456"/>
      <c r="DB108" s="456"/>
      <c r="DC108" s="456"/>
      <c r="DD108" s="456"/>
      <c r="DE108" s="456"/>
      <c r="DF108" s="456"/>
      <c r="DG108" s="425"/>
      <c r="DH108" s="456">
        <v>0</v>
      </c>
      <c r="DI108" s="456">
        <v>0.72</v>
      </c>
      <c r="DJ108" s="456">
        <v>1.1299999999999999</v>
      </c>
      <c r="DK108" s="425"/>
      <c r="DL108" s="456"/>
      <c r="DM108" s="456"/>
      <c r="DN108" s="456"/>
      <c r="DO108" s="456"/>
      <c r="DP108" s="456"/>
      <c r="DQ108" s="456"/>
      <c r="DR108" s="456"/>
      <c r="DS108" s="456"/>
      <c r="DT108" s="456"/>
      <c r="DU108" s="456"/>
      <c r="DV108" s="456"/>
      <c r="DW108" s="456"/>
      <c r="DX108" s="456"/>
      <c r="DY108" s="456"/>
      <c r="DZ108" s="456"/>
      <c r="EA108" s="456"/>
      <c r="EB108" s="456"/>
      <c r="EC108" s="456"/>
      <c r="ED108" s="423">
        <v>0</v>
      </c>
      <c r="EE108" s="456">
        <v>0</v>
      </c>
      <c r="EF108" s="456">
        <v>2.5</v>
      </c>
      <c r="EG108" s="456">
        <v>6</v>
      </c>
      <c r="EH108" s="423">
        <v>0</v>
      </c>
      <c r="EI108" s="456"/>
      <c r="EJ108" s="456"/>
      <c r="EK108" s="456"/>
      <c r="EL108" s="456"/>
      <c r="EM108" s="456"/>
      <c r="EN108" s="456"/>
      <c r="EO108" s="425"/>
      <c r="EP108" s="425"/>
      <c r="EQ108" s="425" t="s">
        <v>743</v>
      </c>
      <c r="ER108" s="425">
        <v>1</v>
      </c>
      <c r="ES108" s="425">
        <v>6</v>
      </c>
      <c r="ET108" s="425">
        <v>3110</v>
      </c>
      <c r="EU108" s="457">
        <v>4000</v>
      </c>
      <c r="EV108" s="425">
        <v>340</v>
      </c>
      <c r="EW108" s="425">
        <v>6769270</v>
      </c>
      <c r="EX108" s="425">
        <v>20195</v>
      </c>
      <c r="EY108" s="666">
        <v>17.68</v>
      </c>
      <c r="EZ108" s="666">
        <v>17.649999999999999</v>
      </c>
      <c r="FA108" s="666">
        <v>0</v>
      </c>
      <c r="FB108" s="666">
        <v>1.44</v>
      </c>
      <c r="FC108" s="666">
        <v>1.29</v>
      </c>
      <c r="FD108" s="666">
        <v>1.246</v>
      </c>
      <c r="FE108" s="666">
        <v>1.19</v>
      </c>
      <c r="FF108" s="666">
        <v>250</v>
      </c>
      <c r="FG108" s="666">
        <v>0.28000000000000003</v>
      </c>
      <c r="FH108" s="666">
        <v>0.28699999999999998</v>
      </c>
      <c r="FI108" s="666">
        <v>0.62</v>
      </c>
      <c r="FJ108" s="666">
        <v>8.4</v>
      </c>
      <c r="FK108" s="666">
        <v>8.1</v>
      </c>
      <c r="FL108" s="666">
        <v>8.0399999999999991</v>
      </c>
      <c r="FM108" s="666">
        <v>7.9</v>
      </c>
      <c r="FN108" s="666">
        <v>0</v>
      </c>
    </row>
    <row r="109" spans="1:170" s="416" customFormat="1" ht="15">
      <c r="A109" s="425" t="s">
        <v>5</v>
      </c>
      <c r="B109" s="426">
        <v>40638</v>
      </c>
      <c r="C109" s="418">
        <v>0</v>
      </c>
      <c r="D109" s="762">
        <v>0.78</v>
      </c>
      <c r="E109" s="763">
        <v>0</v>
      </c>
      <c r="F109" s="763">
        <v>35</v>
      </c>
      <c r="G109" s="763">
        <v>3.4</v>
      </c>
      <c r="H109" s="519">
        <v>35.53</v>
      </c>
      <c r="I109" s="519">
        <v>98.8</v>
      </c>
      <c r="J109" s="763">
        <v>0.06</v>
      </c>
      <c r="K109" s="520" t="s">
        <v>742</v>
      </c>
      <c r="L109" s="763">
        <v>41.23</v>
      </c>
      <c r="M109" s="763">
        <v>24.6</v>
      </c>
      <c r="N109" s="763">
        <v>1.22</v>
      </c>
      <c r="O109" s="763">
        <v>1.7344266520604437</v>
      </c>
      <c r="P109" s="763" t="s">
        <v>742</v>
      </c>
      <c r="Q109" s="763" t="s">
        <v>742</v>
      </c>
      <c r="R109" s="763">
        <v>598.2523276089828</v>
      </c>
      <c r="S109" s="763">
        <v>7.69</v>
      </c>
      <c r="T109" s="763" t="s">
        <v>742</v>
      </c>
      <c r="U109" s="763">
        <v>0.62</v>
      </c>
      <c r="V109" s="763" t="s">
        <v>742</v>
      </c>
      <c r="W109" s="763">
        <v>46.400000000000006</v>
      </c>
      <c r="X109" s="764" t="e">
        <v>#VALUE!</v>
      </c>
      <c r="Y109" s="763">
        <v>27.43</v>
      </c>
      <c r="Z109" s="763">
        <v>14</v>
      </c>
      <c r="AA109" s="519">
        <v>27</v>
      </c>
      <c r="AB109" s="519">
        <v>14</v>
      </c>
      <c r="AC109" s="732">
        <f t="shared" si="1"/>
        <v>41</v>
      </c>
      <c r="AD109" s="664"/>
      <c r="AE109" s="664"/>
      <c r="AF109" s="664"/>
      <c r="AG109" s="664"/>
      <c r="AH109" s="664"/>
      <c r="AI109" s="664"/>
      <c r="AJ109" s="485"/>
      <c r="AK109" s="485"/>
      <c r="AL109" s="485"/>
      <c r="AM109" s="485"/>
      <c r="AN109" s="485"/>
      <c r="AO109" s="665"/>
      <c r="AP109" s="485"/>
      <c r="AQ109" s="483"/>
      <c r="AR109" s="755">
        <v>0</v>
      </c>
      <c r="AS109" s="483">
        <v>18.399999999999999</v>
      </c>
      <c r="AT109" s="755">
        <v>0</v>
      </c>
      <c r="AU109" s="483">
        <v>29.3</v>
      </c>
      <c r="AV109" s="484">
        <v>0</v>
      </c>
      <c r="AW109" s="484">
        <v>1821.7</v>
      </c>
      <c r="AX109" s="453">
        <v>0</v>
      </c>
      <c r="AY109" s="734">
        <v>0</v>
      </c>
      <c r="AZ109" s="734">
        <v>0</v>
      </c>
      <c r="BA109" s="734">
        <v>0</v>
      </c>
      <c r="BB109" s="453">
        <v>0</v>
      </c>
      <c r="BC109" s="453">
        <v>0</v>
      </c>
      <c r="BD109" s="453">
        <v>0</v>
      </c>
      <c r="BE109" s="734">
        <v>0</v>
      </c>
      <c r="BF109" s="453">
        <v>0</v>
      </c>
      <c r="BG109" s="453">
        <v>0</v>
      </c>
      <c r="BH109" s="734">
        <v>0</v>
      </c>
      <c r="BI109" s="453">
        <v>0</v>
      </c>
      <c r="BJ109" s="453">
        <v>14.7</v>
      </c>
      <c r="BK109" s="453">
        <v>0</v>
      </c>
      <c r="BL109" s="453">
        <v>0</v>
      </c>
      <c r="BM109" s="453">
        <v>0</v>
      </c>
      <c r="BN109" s="453">
        <v>14.6</v>
      </c>
      <c r="BO109" s="453">
        <v>1110.2</v>
      </c>
      <c r="BP109" s="453">
        <v>45</v>
      </c>
      <c r="BQ109" s="453">
        <v>17.2</v>
      </c>
      <c r="BR109" s="453">
        <v>17.100000000000001</v>
      </c>
      <c r="BS109" s="453">
        <v>0</v>
      </c>
      <c r="BT109" s="453">
        <v>28.4</v>
      </c>
      <c r="BU109" s="453">
        <v>27.6</v>
      </c>
      <c r="BV109" s="456">
        <v>436.5</v>
      </c>
      <c r="BW109" s="453">
        <v>0.3</v>
      </c>
      <c r="BX109" s="453">
        <v>1.54</v>
      </c>
      <c r="BY109" s="456">
        <v>1.1299999999999999</v>
      </c>
      <c r="BZ109" s="456">
        <v>15.2</v>
      </c>
      <c r="CA109" s="456">
        <v>5.3</v>
      </c>
      <c r="CB109" s="456">
        <v>13</v>
      </c>
      <c r="CC109" s="456">
        <v>8.3000000000000007</v>
      </c>
      <c r="CD109" s="456">
        <v>12.6</v>
      </c>
      <c r="CE109" s="456">
        <v>16.600000000000001</v>
      </c>
      <c r="CF109" s="456">
        <v>13.52</v>
      </c>
      <c r="CG109" s="456">
        <v>478.1</v>
      </c>
      <c r="CH109" s="456">
        <v>2.5</v>
      </c>
      <c r="CI109" s="456">
        <v>3.3</v>
      </c>
      <c r="CJ109" s="456">
        <v>358.8</v>
      </c>
      <c r="CK109" s="456">
        <v>387.5</v>
      </c>
      <c r="CL109" s="456">
        <v>562.4</v>
      </c>
      <c r="CM109" s="456">
        <v>11.9</v>
      </c>
      <c r="CN109" s="456">
        <v>1.78</v>
      </c>
      <c r="CO109" s="453">
        <v>734</v>
      </c>
      <c r="CP109" s="453">
        <v>16.14</v>
      </c>
      <c r="CQ109" s="453">
        <v>46</v>
      </c>
      <c r="CR109" s="456">
        <v>0</v>
      </c>
      <c r="CS109" s="456">
        <v>0</v>
      </c>
      <c r="CT109" s="456">
        <v>0</v>
      </c>
      <c r="CU109" s="456">
        <v>0</v>
      </c>
      <c r="CV109" s="481">
        <v>3613</v>
      </c>
      <c r="CW109" s="481">
        <v>5656.458333333333</v>
      </c>
      <c r="CX109" s="481">
        <v>3743.5416666666665</v>
      </c>
      <c r="CY109" s="481">
        <v>1140.24</v>
      </c>
      <c r="CZ109" s="456"/>
      <c r="DA109" s="456"/>
      <c r="DB109" s="456"/>
      <c r="DC109" s="456"/>
      <c r="DD109" s="456"/>
      <c r="DE109" s="456"/>
      <c r="DF109" s="456"/>
      <c r="DG109" s="425"/>
      <c r="DH109" s="456">
        <v>9</v>
      </c>
      <c r="DI109" s="456">
        <v>0.42</v>
      </c>
      <c r="DJ109" s="456">
        <v>1.01</v>
      </c>
      <c r="DK109" s="425"/>
      <c r="DL109" s="456"/>
      <c r="DM109" s="456"/>
      <c r="DN109" s="456"/>
      <c r="DO109" s="456"/>
      <c r="DP109" s="456"/>
      <c r="DQ109" s="456"/>
      <c r="DR109" s="456"/>
      <c r="DS109" s="456"/>
      <c r="DT109" s="456"/>
      <c r="DU109" s="456"/>
      <c r="DV109" s="456"/>
      <c r="DW109" s="456"/>
      <c r="DX109" s="456"/>
      <c r="DY109" s="456"/>
      <c r="DZ109" s="456"/>
      <c r="EA109" s="456"/>
      <c r="EB109" s="456"/>
      <c r="EC109" s="456"/>
      <c r="ED109" s="423">
        <v>0</v>
      </c>
      <c r="EE109" s="456">
        <v>0</v>
      </c>
      <c r="EF109" s="456">
        <v>2.5</v>
      </c>
      <c r="EG109" s="456">
        <v>6</v>
      </c>
      <c r="EH109" s="423">
        <v>0</v>
      </c>
      <c r="EI109" s="456"/>
      <c r="EJ109" s="456"/>
      <c r="EK109" s="456"/>
      <c r="EL109" s="456"/>
      <c r="EM109" s="456"/>
      <c r="EN109" s="456"/>
      <c r="EO109" s="425"/>
      <c r="EP109" s="425"/>
      <c r="EQ109" s="425" t="s">
        <v>743</v>
      </c>
      <c r="ER109" s="425">
        <v>1</v>
      </c>
      <c r="ES109" s="425">
        <v>6</v>
      </c>
      <c r="ET109" s="425">
        <v>2870</v>
      </c>
      <c r="EU109" s="457">
        <v>4000</v>
      </c>
      <c r="EV109" s="425">
        <v>305</v>
      </c>
      <c r="EW109" s="425">
        <v>6771882</v>
      </c>
      <c r="EX109" s="425">
        <v>20898</v>
      </c>
      <c r="EY109" s="666">
        <v>17.309999999999999</v>
      </c>
      <c r="EZ109" s="666">
        <v>17.3</v>
      </c>
      <c r="FA109" s="666">
        <v>0</v>
      </c>
      <c r="FB109" s="666">
        <v>1.53</v>
      </c>
      <c r="FC109" s="666">
        <v>1.41</v>
      </c>
      <c r="FD109" s="666">
        <v>1.1739999999999999</v>
      </c>
      <c r="FE109" s="666">
        <v>1.1299999999999999</v>
      </c>
      <c r="FF109" s="666">
        <v>240</v>
      </c>
      <c r="FG109" s="666">
        <v>0.27</v>
      </c>
      <c r="FH109" s="666">
        <v>0.24399999999999999</v>
      </c>
      <c r="FI109" s="666">
        <v>0.44</v>
      </c>
      <c r="FJ109" s="666">
        <v>8.3800000000000008</v>
      </c>
      <c r="FK109" s="666">
        <v>8.4</v>
      </c>
      <c r="FL109" s="666">
        <v>8.0299999999999994</v>
      </c>
      <c r="FM109" s="666">
        <v>8.1</v>
      </c>
      <c r="FN109" s="666">
        <v>0</v>
      </c>
    </row>
    <row r="110" spans="1:170" s="416" customFormat="1" ht="15">
      <c r="A110" s="425" t="s">
        <v>6</v>
      </c>
      <c r="B110" s="426">
        <v>40639</v>
      </c>
      <c r="C110" s="418">
        <v>0</v>
      </c>
      <c r="D110" s="518">
        <v>0.43</v>
      </c>
      <c r="E110" s="453">
        <v>0</v>
      </c>
      <c r="F110" s="453">
        <v>32</v>
      </c>
      <c r="G110" s="453">
        <v>2.75</v>
      </c>
      <c r="H110" s="519">
        <v>22.4</v>
      </c>
      <c r="I110" s="519">
        <v>81.349999999999994</v>
      </c>
      <c r="J110" s="483">
        <v>0.06</v>
      </c>
      <c r="K110" s="520" t="s">
        <v>742</v>
      </c>
      <c r="L110" s="453">
        <v>45.17</v>
      </c>
      <c r="M110" s="453">
        <v>24.3</v>
      </c>
      <c r="N110" s="453">
        <v>1.43</v>
      </c>
      <c r="O110" s="453">
        <v>1.7810783343631444</v>
      </c>
      <c r="P110" s="453" t="s">
        <v>742</v>
      </c>
      <c r="Q110" s="453">
        <v>0.46495618360151686</v>
      </c>
      <c r="R110" s="453">
        <v>708.70389431968283</v>
      </c>
      <c r="S110" s="453">
        <v>7.62</v>
      </c>
      <c r="T110" s="453" t="s">
        <v>742</v>
      </c>
      <c r="U110" s="453">
        <v>0.62</v>
      </c>
      <c r="V110" s="453" t="s">
        <v>742</v>
      </c>
      <c r="W110" s="453">
        <v>43.519999999999996</v>
      </c>
      <c r="X110" s="456" t="e">
        <v>#VALUE!</v>
      </c>
      <c r="Y110" s="453">
        <v>29.64</v>
      </c>
      <c r="Z110" s="453">
        <v>16.09</v>
      </c>
      <c r="AA110" s="519">
        <v>30.69999999999709</v>
      </c>
      <c r="AB110" s="519">
        <v>17.25</v>
      </c>
      <c r="AC110" s="732">
        <f t="shared" si="1"/>
        <v>47.94999999999709</v>
      </c>
      <c r="AD110" s="664"/>
      <c r="AE110" s="664"/>
      <c r="AF110" s="664"/>
      <c r="AG110" s="664"/>
      <c r="AH110" s="664"/>
      <c r="AI110" s="664"/>
      <c r="AJ110" s="485"/>
      <c r="AK110" s="485"/>
      <c r="AL110" s="485"/>
      <c r="AM110" s="485"/>
      <c r="AN110" s="485"/>
      <c r="AO110" s="665"/>
      <c r="AP110" s="485"/>
      <c r="AQ110" s="483"/>
      <c r="AR110" s="755">
        <v>0</v>
      </c>
      <c r="AS110" s="483">
        <v>18.2</v>
      </c>
      <c r="AT110" s="755">
        <v>0</v>
      </c>
      <c r="AU110" s="483">
        <v>30.4</v>
      </c>
      <c r="AV110" s="484">
        <v>141</v>
      </c>
      <c r="AW110" s="484">
        <v>941</v>
      </c>
      <c r="AX110" s="453">
        <v>0</v>
      </c>
      <c r="AY110" s="734">
        <v>0</v>
      </c>
      <c r="AZ110" s="734">
        <v>0</v>
      </c>
      <c r="BA110" s="734">
        <v>0</v>
      </c>
      <c r="BB110" s="453">
        <v>0</v>
      </c>
      <c r="BC110" s="453">
        <v>0</v>
      </c>
      <c r="BD110" s="453">
        <v>0</v>
      </c>
      <c r="BE110" s="734">
        <v>0</v>
      </c>
      <c r="BF110" s="453">
        <v>0</v>
      </c>
      <c r="BG110" s="453">
        <v>0</v>
      </c>
      <c r="BH110" s="734">
        <v>0</v>
      </c>
      <c r="BI110" s="453">
        <v>0</v>
      </c>
      <c r="BJ110" s="453">
        <v>16.100000000000001</v>
      </c>
      <c r="BK110" s="453">
        <v>7.0000000000000007E-2</v>
      </c>
      <c r="BL110" s="453">
        <v>0</v>
      </c>
      <c r="BM110" s="453">
        <v>0</v>
      </c>
      <c r="BN110" s="453">
        <v>15.9</v>
      </c>
      <c r="BO110" s="453">
        <v>1239.5999999999999</v>
      </c>
      <c r="BP110" s="453">
        <v>0</v>
      </c>
      <c r="BQ110" s="453">
        <v>17.5</v>
      </c>
      <c r="BR110" s="453">
        <v>17.5</v>
      </c>
      <c r="BS110" s="453">
        <v>0</v>
      </c>
      <c r="BT110" s="453">
        <v>30.3</v>
      </c>
      <c r="BU110" s="453">
        <v>25</v>
      </c>
      <c r="BV110" s="456">
        <v>439.3</v>
      </c>
      <c r="BW110" s="453">
        <v>0.21</v>
      </c>
      <c r="BX110" s="453">
        <v>1.6</v>
      </c>
      <c r="BY110" s="456">
        <v>1.08</v>
      </c>
      <c r="BZ110" s="456">
        <v>15</v>
      </c>
      <c r="CA110" s="456">
        <v>19</v>
      </c>
      <c r="CB110" s="456">
        <v>12.2</v>
      </c>
      <c r="CC110" s="456">
        <v>8.0500000000000007</v>
      </c>
      <c r="CD110" s="456">
        <v>12.25</v>
      </c>
      <c r="CE110" s="456">
        <v>16.46</v>
      </c>
      <c r="CF110" s="456">
        <v>12.46</v>
      </c>
      <c r="CG110" s="456">
        <v>427.6</v>
      </c>
      <c r="CH110" s="456">
        <v>2.1</v>
      </c>
      <c r="CI110" s="456">
        <v>3</v>
      </c>
      <c r="CJ110" s="456">
        <v>368.6</v>
      </c>
      <c r="CK110" s="456">
        <v>398.7</v>
      </c>
      <c r="CL110" s="456">
        <v>548.4</v>
      </c>
      <c r="CM110" s="456">
        <v>11.8</v>
      </c>
      <c r="CN110" s="456">
        <v>1.66</v>
      </c>
      <c r="CO110" s="453">
        <v>1474</v>
      </c>
      <c r="CP110" s="453">
        <v>15.97</v>
      </c>
      <c r="CQ110" s="453">
        <v>46</v>
      </c>
      <c r="CR110" s="456">
        <v>0</v>
      </c>
      <c r="CS110" s="456">
        <v>0</v>
      </c>
      <c r="CT110" s="456">
        <v>0</v>
      </c>
      <c r="CU110" s="456">
        <v>0</v>
      </c>
      <c r="CV110" s="481">
        <v>2882.5</v>
      </c>
      <c r="CW110" s="481">
        <v>4930.625</v>
      </c>
      <c r="CX110" s="481">
        <v>2971.1458333333335</v>
      </c>
      <c r="CY110" s="481">
        <v>1140.02</v>
      </c>
      <c r="CZ110" s="456"/>
      <c r="DA110" s="456"/>
      <c r="DB110" s="456"/>
      <c r="DC110" s="456"/>
      <c r="DD110" s="456"/>
      <c r="DE110" s="456"/>
      <c r="DF110" s="456"/>
      <c r="DG110" s="425"/>
      <c r="DH110" s="456">
        <v>17.5</v>
      </c>
      <c r="DI110" s="456">
        <v>0.74</v>
      </c>
      <c r="DJ110" s="456">
        <v>1.1499999999999999</v>
      </c>
      <c r="DK110" s="425"/>
      <c r="DL110" s="456"/>
      <c r="DM110" s="456"/>
      <c r="DN110" s="456"/>
      <c r="DO110" s="456"/>
      <c r="DP110" s="456"/>
      <c r="DQ110" s="456"/>
      <c r="DR110" s="456"/>
      <c r="DS110" s="456"/>
      <c r="DT110" s="456"/>
      <c r="DU110" s="456"/>
      <c r="DV110" s="456"/>
      <c r="DW110" s="456"/>
      <c r="DX110" s="456"/>
      <c r="DY110" s="456"/>
      <c r="DZ110" s="456"/>
      <c r="EA110" s="456"/>
      <c r="EB110" s="456"/>
      <c r="EC110" s="456"/>
      <c r="ED110" s="423">
        <v>0</v>
      </c>
      <c r="EE110" s="456">
        <v>0</v>
      </c>
      <c r="EF110" s="456">
        <v>2.5</v>
      </c>
      <c r="EG110" s="456">
        <v>6</v>
      </c>
      <c r="EH110" s="423">
        <v>0</v>
      </c>
      <c r="EI110" s="456"/>
      <c r="EJ110" s="456"/>
      <c r="EK110" s="456">
        <v>1</v>
      </c>
      <c r="EL110" s="456"/>
      <c r="EM110" s="456"/>
      <c r="EN110" s="456"/>
      <c r="EO110" s="425"/>
      <c r="EP110" s="425"/>
      <c r="EQ110" s="425" t="s">
        <v>743</v>
      </c>
      <c r="ER110" s="425">
        <v>1</v>
      </c>
      <c r="ES110" s="425">
        <v>6</v>
      </c>
      <c r="ET110" s="425">
        <v>2620</v>
      </c>
      <c r="EU110" s="457">
        <v>4000</v>
      </c>
      <c r="EV110" s="425">
        <v>250</v>
      </c>
      <c r="EW110" s="425">
        <v>6774608</v>
      </c>
      <c r="EX110" s="425">
        <v>21660</v>
      </c>
      <c r="EY110" s="666">
        <v>17.32</v>
      </c>
      <c r="EZ110" s="666">
        <v>17.309999999999999</v>
      </c>
      <c r="FA110" s="666">
        <v>0</v>
      </c>
      <c r="FB110" s="666">
        <v>1.49</v>
      </c>
      <c r="FC110" s="666">
        <v>1.36</v>
      </c>
      <c r="FD110" s="666">
        <v>1.1619999999999999</v>
      </c>
      <c r="FE110" s="666">
        <v>1.08</v>
      </c>
      <c r="FF110" s="666">
        <v>250</v>
      </c>
      <c r="FG110" s="666">
        <v>0.33</v>
      </c>
      <c r="FH110" s="666">
        <v>0.222</v>
      </c>
      <c r="FI110" s="666">
        <v>0.36</v>
      </c>
      <c r="FJ110" s="666">
        <v>8.2200000000000006</v>
      </c>
      <c r="FK110" s="666">
        <v>8.1</v>
      </c>
      <c r="FL110" s="666">
        <v>7.95</v>
      </c>
      <c r="FM110" s="666">
        <v>7.7</v>
      </c>
      <c r="FN110" s="666">
        <v>0</v>
      </c>
    </row>
    <row r="111" spans="1:170" s="416" customFormat="1" ht="15">
      <c r="A111" s="425" t="s">
        <v>7</v>
      </c>
      <c r="B111" s="426">
        <v>40640</v>
      </c>
      <c r="C111" s="418">
        <v>0</v>
      </c>
      <c r="D111" s="518">
        <v>0.09</v>
      </c>
      <c r="E111" s="453">
        <v>0</v>
      </c>
      <c r="F111" s="453">
        <v>36</v>
      </c>
      <c r="G111" s="453">
        <v>2.2999999999999998</v>
      </c>
      <c r="H111" s="519">
        <v>68.400000000000006</v>
      </c>
      <c r="I111" s="519">
        <v>84.7</v>
      </c>
      <c r="J111" s="483">
        <v>0.05</v>
      </c>
      <c r="K111" s="520" t="s">
        <v>742</v>
      </c>
      <c r="L111" s="453">
        <v>44.65</v>
      </c>
      <c r="M111" s="453">
        <v>23.9</v>
      </c>
      <c r="N111" s="453">
        <v>1.22</v>
      </c>
      <c r="O111" s="453">
        <v>1.7922338421916466</v>
      </c>
      <c r="P111" s="453" t="s">
        <v>742</v>
      </c>
      <c r="Q111" s="453">
        <v>2.0713342140076652</v>
      </c>
      <c r="R111" s="453">
        <v>679.55245442536307</v>
      </c>
      <c r="S111" s="453">
        <v>7.58</v>
      </c>
      <c r="T111" s="453" t="s">
        <v>742</v>
      </c>
      <c r="U111" s="453">
        <v>0.63</v>
      </c>
      <c r="V111" s="453" t="s">
        <v>742</v>
      </c>
      <c r="W111" s="453">
        <v>42.980000000000004</v>
      </c>
      <c r="X111" s="456" t="e">
        <v>#VALUE!</v>
      </c>
      <c r="Y111" s="453">
        <v>28.75</v>
      </c>
      <c r="Z111" s="453">
        <v>15.98</v>
      </c>
      <c r="AA111" s="519">
        <v>28.69999999999709</v>
      </c>
      <c r="AB111" s="519">
        <v>15.900000000001455</v>
      </c>
      <c r="AC111" s="732">
        <f t="shared" si="1"/>
        <v>44.599999999998545</v>
      </c>
      <c r="AD111" s="664"/>
      <c r="AE111" s="664"/>
      <c r="AF111" s="664"/>
      <c r="AG111" s="664"/>
      <c r="AH111" s="664"/>
      <c r="AI111" s="664"/>
      <c r="AJ111" s="485"/>
      <c r="AK111" s="485"/>
      <c r="AL111" s="485"/>
      <c r="AM111" s="485"/>
      <c r="AN111" s="485"/>
      <c r="AO111" s="665"/>
      <c r="AP111" s="485"/>
      <c r="AQ111" s="483"/>
      <c r="AR111" s="755">
        <v>0</v>
      </c>
      <c r="AS111" s="483">
        <v>35.799999999999997</v>
      </c>
      <c r="AT111" s="755">
        <v>0</v>
      </c>
      <c r="AU111" s="483">
        <v>30</v>
      </c>
      <c r="AV111" s="484">
        <v>484.5</v>
      </c>
      <c r="AW111" s="484">
        <v>539.70000000000005</v>
      </c>
      <c r="AX111" s="453">
        <v>0</v>
      </c>
      <c r="AY111" s="734">
        <v>0</v>
      </c>
      <c r="AZ111" s="734">
        <v>0</v>
      </c>
      <c r="BA111" s="734">
        <v>0</v>
      </c>
      <c r="BB111" s="453">
        <v>0</v>
      </c>
      <c r="BC111" s="453">
        <v>0</v>
      </c>
      <c r="BD111" s="453">
        <v>0</v>
      </c>
      <c r="BE111" s="734">
        <v>0</v>
      </c>
      <c r="BF111" s="453">
        <v>0</v>
      </c>
      <c r="BG111" s="453">
        <v>0</v>
      </c>
      <c r="BH111" s="734">
        <v>0</v>
      </c>
      <c r="BI111" s="453">
        <v>0</v>
      </c>
      <c r="BJ111" s="453">
        <v>16.100000000000001</v>
      </c>
      <c r="BK111" s="453">
        <v>0</v>
      </c>
      <c r="BL111" s="453">
        <v>0</v>
      </c>
      <c r="BM111" s="453">
        <v>0</v>
      </c>
      <c r="BN111" s="453">
        <v>16</v>
      </c>
      <c r="BO111" s="453">
        <v>1636.4</v>
      </c>
      <c r="BP111" s="453">
        <v>0</v>
      </c>
      <c r="BQ111" s="453">
        <v>17.399999999999999</v>
      </c>
      <c r="BR111" s="453">
        <v>17.3</v>
      </c>
      <c r="BS111" s="453">
        <v>0</v>
      </c>
      <c r="BT111" s="453">
        <v>29.7</v>
      </c>
      <c r="BU111" s="453">
        <v>27</v>
      </c>
      <c r="BV111" s="456">
        <v>435.3</v>
      </c>
      <c r="BW111" s="453">
        <v>0.2</v>
      </c>
      <c r="BX111" s="453">
        <v>1.58</v>
      </c>
      <c r="BY111" s="456">
        <v>1.1000000000000001</v>
      </c>
      <c r="BZ111" s="456">
        <v>14.9</v>
      </c>
      <c r="CA111" s="456">
        <v>29.6</v>
      </c>
      <c r="CB111" s="456">
        <v>14.6</v>
      </c>
      <c r="CC111" s="456">
        <v>10.199999999999999</v>
      </c>
      <c r="CD111" s="456">
        <v>14.5</v>
      </c>
      <c r="CE111" s="456">
        <v>18.5</v>
      </c>
      <c r="CF111" s="456">
        <v>13.04</v>
      </c>
      <c r="CG111" s="456">
        <v>451.5</v>
      </c>
      <c r="CH111" s="456">
        <v>2.1</v>
      </c>
      <c r="CI111" s="456">
        <v>3</v>
      </c>
      <c r="CJ111" s="456">
        <v>346.1</v>
      </c>
      <c r="CK111" s="456">
        <v>386.3</v>
      </c>
      <c r="CL111" s="456">
        <v>535.9</v>
      </c>
      <c r="CM111" s="456">
        <v>11.7</v>
      </c>
      <c r="CN111" s="456">
        <v>1.04</v>
      </c>
      <c r="CO111" s="453">
        <v>1540.4</v>
      </c>
      <c r="CP111" s="453">
        <v>15.78</v>
      </c>
      <c r="CQ111" s="453">
        <v>47</v>
      </c>
      <c r="CR111" s="456">
        <v>0</v>
      </c>
      <c r="CS111" s="456">
        <v>0</v>
      </c>
      <c r="CT111" s="456">
        <v>0</v>
      </c>
      <c r="CU111" s="456">
        <v>0</v>
      </c>
      <c r="CV111" s="481">
        <v>2034.5</v>
      </c>
      <c r="CW111" s="481">
        <v>3797.8125</v>
      </c>
      <c r="CX111" s="481">
        <v>2152.5</v>
      </c>
      <c r="CY111" s="481">
        <v>1140.4100000000001</v>
      </c>
      <c r="CZ111" s="456"/>
      <c r="DA111" s="456"/>
      <c r="DB111" s="456"/>
      <c r="DC111" s="456"/>
      <c r="DD111" s="456"/>
      <c r="DE111" s="456"/>
      <c r="DF111" s="456"/>
      <c r="DG111" s="425"/>
      <c r="DH111" s="456">
        <v>30</v>
      </c>
      <c r="DI111" s="456">
        <v>0.66</v>
      </c>
      <c r="DJ111" s="456">
        <v>1.33</v>
      </c>
      <c r="DK111" s="425"/>
      <c r="DL111" s="456"/>
      <c r="DM111" s="456"/>
      <c r="DN111" s="456"/>
      <c r="DO111" s="456"/>
      <c r="DP111" s="456"/>
      <c r="DQ111" s="456"/>
      <c r="DR111" s="456"/>
      <c r="DS111" s="456"/>
      <c r="DT111" s="456"/>
      <c r="DU111" s="456"/>
      <c r="DV111" s="456"/>
      <c r="DW111" s="456"/>
      <c r="DX111" s="456"/>
      <c r="DY111" s="456"/>
      <c r="DZ111" s="456"/>
      <c r="EA111" s="456"/>
      <c r="EB111" s="456"/>
      <c r="EC111" s="456"/>
      <c r="ED111" s="423">
        <v>0</v>
      </c>
      <c r="EE111" s="456">
        <v>0</v>
      </c>
      <c r="EF111" s="456">
        <v>2.5</v>
      </c>
      <c r="EG111" s="456">
        <v>6</v>
      </c>
      <c r="EH111" s="423">
        <v>0</v>
      </c>
      <c r="EI111" s="456"/>
      <c r="EJ111" s="456"/>
      <c r="EK111" s="456"/>
      <c r="EL111" s="456"/>
      <c r="EM111" s="456"/>
      <c r="EN111" s="456"/>
      <c r="EO111" s="425"/>
      <c r="EP111" s="425"/>
      <c r="EQ111" s="425" t="s">
        <v>743</v>
      </c>
      <c r="ER111" s="425">
        <v>1</v>
      </c>
      <c r="ES111" s="425">
        <v>6</v>
      </c>
      <c r="ET111" s="425">
        <v>2410</v>
      </c>
      <c r="EU111" s="457">
        <v>4000</v>
      </c>
      <c r="EV111" s="425">
        <v>240</v>
      </c>
      <c r="EW111" s="425">
        <v>6776851</v>
      </c>
      <c r="EX111" s="425">
        <v>22400</v>
      </c>
      <c r="EY111" s="666">
        <v>17.97</v>
      </c>
      <c r="EZ111" s="666">
        <v>17.96</v>
      </c>
      <c r="FA111" s="666">
        <v>0</v>
      </c>
      <c r="FB111" s="666">
        <v>1.49</v>
      </c>
      <c r="FC111" s="666">
        <v>1.35</v>
      </c>
      <c r="FD111" s="666">
        <v>1.1739999999999999</v>
      </c>
      <c r="FE111" s="666">
        <v>1.1100000000000001</v>
      </c>
      <c r="FF111" s="666">
        <v>220</v>
      </c>
      <c r="FG111" s="666">
        <v>0.23</v>
      </c>
      <c r="FH111" s="666">
        <v>0.20300000000000001</v>
      </c>
      <c r="FI111" s="666">
        <v>0.28999999999999998</v>
      </c>
      <c r="FJ111" s="666">
        <v>8.24</v>
      </c>
      <c r="FK111" s="666">
        <v>8</v>
      </c>
      <c r="FL111" s="666">
        <v>7.97</v>
      </c>
      <c r="FM111" s="666">
        <v>7.9</v>
      </c>
      <c r="FN111" s="666">
        <v>0</v>
      </c>
    </row>
    <row r="112" spans="1:170" s="416" customFormat="1" ht="15">
      <c r="A112" s="425" t="s">
        <v>8</v>
      </c>
      <c r="B112" s="426">
        <v>40641</v>
      </c>
      <c r="C112" s="418">
        <v>0</v>
      </c>
      <c r="D112" s="518">
        <v>0</v>
      </c>
      <c r="E112" s="453">
        <v>0</v>
      </c>
      <c r="F112" s="453">
        <v>39</v>
      </c>
      <c r="G112" s="453">
        <v>1.95</v>
      </c>
      <c r="H112" s="519">
        <v>68.400000000000006</v>
      </c>
      <c r="I112" s="519">
        <v>83.4</v>
      </c>
      <c r="J112" s="483">
        <v>0.05</v>
      </c>
      <c r="K112" s="520" t="s">
        <v>742</v>
      </c>
      <c r="L112" s="453">
        <v>44.65</v>
      </c>
      <c r="M112" s="453">
        <v>23.4</v>
      </c>
      <c r="N112" s="453">
        <v>1.22</v>
      </c>
      <c r="O112" s="453">
        <v>1.789961809196847</v>
      </c>
      <c r="P112" s="453" t="s">
        <v>742</v>
      </c>
      <c r="Q112" s="453" t="s">
        <v>742</v>
      </c>
      <c r="R112" s="453">
        <v>699.31065257595765</v>
      </c>
      <c r="S112" s="453">
        <v>7.66</v>
      </c>
      <c r="T112" s="453" t="s">
        <v>742</v>
      </c>
      <c r="U112" s="453">
        <v>0.63</v>
      </c>
      <c r="V112" s="453" t="s">
        <v>742</v>
      </c>
      <c r="W112" s="453">
        <v>46.760000000000005</v>
      </c>
      <c r="X112" s="456" t="e">
        <v>#VALUE!</v>
      </c>
      <c r="Y112" s="453">
        <v>29.29</v>
      </c>
      <c r="Z112" s="453">
        <v>16.28</v>
      </c>
      <c r="AA112" s="519">
        <v>28.600000000005821</v>
      </c>
      <c r="AB112" s="519">
        <v>15.849999999998545</v>
      </c>
      <c r="AC112" s="732">
        <f t="shared" si="1"/>
        <v>44.450000000004366</v>
      </c>
      <c r="AD112" s="664"/>
      <c r="AE112" s="664"/>
      <c r="AF112" s="664"/>
      <c r="AG112" s="664"/>
      <c r="AH112" s="664"/>
      <c r="AI112" s="664"/>
      <c r="AJ112" s="485"/>
      <c r="AK112" s="485"/>
      <c r="AL112" s="485"/>
      <c r="AM112" s="485"/>
      <c r="AN112" s="485"/>
      <c r="AO112" s="665"/>
      <c r="AP112" s="485"/>
      <c r="AQ112" s="483"/>
      <c r="AR112" s="755">
        <v>0</v>
      </c>
      <c r="AS112" s="483">
        <v>18.399999999999999</v>
      </c>
      <c r="AT112" s="755">
        <v>0</v>
      </c>
      <c r="AU112" s="483">
        <v>30</v>
      </c>
      <c r="AV112" s="484">
        <v>0</v>
      </c>
      <c r="AW112" s="484">
        <v>915.2</v>
      </c>
      <c r="AX112" s="453">
        <v>0</v>
      </c>
      <c r="AY112" s="734">
        <v>0</v>
      </c>
      <c r="AZ112" s="734">
        <v>0</v>
      </c>
      <c r="BA112" s="734">
        <v>0</v>
      </c>
      <c r="BB112" s="453">
        <v>0</v>
      </c>
      <c r="BC112" s="453">
        <v>0</v>
      </c>
      <c r="BD112" s="453">
        <v>0</v>
      </c>
      <c r="BE112" s="734">
        <v>0</v>
      </c>
      <c r="BF112" s="453">
        <v>0</v>
      </c>
      <c r="BG112" s="453">
        <v>0</v>
      </c>
      <c r="BH112" s="734">
        <v>0</v>
      </c>
      <c r="BI112" s="453">
        <v>0</v>
      </c>
      <c r="BJ112" s="453">
        <v>16.3</v>
      </c>
      <c r="BK112" s="453">
        <v>0</v>
      </c>
      <c r="BL112" s="453">
        <v>0</v>
      </c>
      <c r="BM112" s="453">
        <v>0</v>
      </c>
      <c r="BN112" s="453">
        <v>16.2</v>
      </c>
      <c r="BO112" s="453">
        <v>1080.7</v>
      </c>
      <c r="BP112" s="453">
        <v>0</v>
      </c>
      <c r="BQ112" s="453">
        <v>17.399999999999999</v>
      </c>
      <c r="BR112" s="453">
        <v>17.399999999999999</v>
      </c>
      <c r="BS112" s="453">
        <v>0</v>
      </c>
      <c r="BT112" s="453">
        <v>30</v>
      </c>
      <c r="BU112" s="453">
        <v>26</v>
      </c>
      <c r="BV112" s="456">
        <v>725.8</v>
      </c>
      <c r="BW112" s="453">
        <v>0.2</v>
      </c>
      <c r="BX112" s="453">
        <v>1.57</v>
      </c>
      <c r="BY112" s="456">
        <v>1.0900000000000001</v>
      </c>
      <c r="BZ112" s="456">
        <v>14.9</v>
      </c>
      <c r="CA112" s="456">
        <v>38.200000000000003</v>
      </c>
      <c r="CB112" s="456">
        <v>13.8</v>
      </c>
      <c r="CC112" s="456">
        <v>9.4</v>
      </c>
      <c r="CD112" s="456">
        <v>13.7</v>
      </c>
      <c r="CE112" s="456">
        <v>17.7</v>
      </c>
      <c r="CF112" s="456">
        <v>12.94</v>
      </c>
      <c r="CG112" s="456">
        <v>466.8</v>
      </c>
      <c r="CH112" s="456">
        <v>2.2999999999999998</v>
      </c>
      <c r="CI112" s="456">
        <v>3.4</v>
      </c>
      <c r="CJ112" s="456">
        <v>378.2</v>
      </c>
      <c r="CK112" s="456">
        <v>391.1</v>
      </c>
      <c r="CL112" s="456">
        <v>521.29999999999995</v>
      </c>
      <c r="CM112" s="456">
        <v>12.1</v>
      </c>
      <c r="CN112" s="456">
        <v>1.1000000000000001</v>
      </c>
      <c r="CO112" s="453">
        <v>1134.8</v>
      </c>
      <c r="CP112" s="453">
        <v>16.37</v>
      </c>
      <c r="CQ112" s="453">
        <v>46</v>
      </c>
      <c r="CR112" s="456">
        <v>0</v>
      </c>
      <c r="CS112" s="456">
        <v>0</v>
      </c>
      <c r="CT112" s="456">
        <v>0</v>
      </c>
      <c r="CU112" s="456">
        <v>0</v>
      </c>
      <c r="CV112" s="481">
        <v>1563.5</v>
      </c>
      <c r="CW112" s="481">
        <v>3058.75</v>
      </c>
      <c r="CX112" s="481">
        <v>1647.2916666666667</v>
      </c>
      <c r="CY112" s="481">
        <v>1141</v>
      </c>
      <c r="CZ112" s="456"/>
      <c r="DA112" s="456"/>
      <c r="DB112" s="456"/>
      <c r="DC112" s="456"/>
      <c r="DD112" s="456"/>
      <c r="DE112" s="456"/>
      <c r="DF112" s="456"/>
      <c r="DG112" s="425"/>
      <c r="DH112" s="456">
        <v>0</v>
      </c>
      <c r="DI112" s="456">
        <v>0.49</v>
      </c>
      <c r="DJ112" s="456">
        <v>1.1599999999999999</v>
      </c>
      <c r="DK112" s="425"/>
      <c r="DL112" s="456"/>
      <c r="DM112" s="456"/>
      <c r="DN112" s="456"/>
      <c r="DO112" s="456"/>
      <c r="DP112" s="456"/>
      <c r="DQ112" s="456"/>
      <c r="DR112" s="456"/>
      <c r="DS112" s="456"/>
      <c r="DT112" s="456"/>
      <c r="DU112" s="456"/>
      <c r="DV112" s="456"/>
      <c r="DW112" s="456"/>
      <c r="DX112" s="456"/>
      <c r="DY112" s="456"/>
      <c r="DZ112" s="456"/>
      <c r="EA112" s="456"/>
      <c r="EB112" s="456"/>
      <c r="EC112" s="456"/>
      <c r="ED112" s="423">
        <v>0</v>
      </c>
      <c r="EE112" s="456">
        <v>0</v>
      </c>
      <c r="EF112" s="456">
        <v>2.5</v>
      </c>
      <c r="EG112" s="456">
        <v>6</v>
      </c>
      <c r="EH112" s="423">
        <v>0</v>
      </c>
      <c r="EI112" s="456"/>
      <c r="EJ112" s="456"/>
      <c r="EK112" s="456"/>
      <c r="EL112" s="456"/>
      <c r="EM112" s="456"/>
      <c r="EN112" s="456"/>
      <c r="EO112" s="425"/>
      <c r="EP112" s="425"/>
      <c r="EQ112" s="425" t="s">
        <v>743</v>
      </c>
      <c r="ER112" s="425">
        <v>1</v>
      </c>
      <c r="ES112" s="425">
        <v>6</v>
      </c>
      <c r="ET112" s="425">
        <v>2160</v>
      </c>
      <c r="EU112" s="457">
        <v>4000</v>
      </c>
      <c r="EV112" s="425">
        <v>375</v>
      </c>
      <c r="EW112" s="425">
        <v>6779702</v>
      </c>
      <c r="EX112" s="425">
        <v>23150</v>
      </c>
      <c r="EY112" s="666">
        <v>17.48</v>
      </c>
      <c r="EZ112" s="666">
        <v>17.47</v>
      </c>
      <c r="FA112" s="666">
        <v>0</v>
      </c>
      <c r="FB112" s="666">
        <v>1.49</v>
      </c>
      <c r="FC112" s="666">
        <v>1.39</v>
      </c>
      <c r="FD112" s="666">
        <v>1.234</v>
      </c>
      <c r="FE112" s="666">
        <v>1.1499999999999999</v>
      </c>
      <c r="FF112" s="666">
        <v>240</v>
      </c>
      <c r="FG112" s="666">
        <v>0.27</v>
      </c>
      <c r="FH112" s="666">
        <v>0.19700000000000001</v>
      </c>
      <c r="FI112" s="666">
        <v>0.31</v>
      </c>
      <c r="FJ112" s="666">
        <v>8.3800000000000008</v>
      </c>
      <c r="FK112" s="666">
        <v>8.1999999999999993</v>
      </c>
      <c r="FL112" s="666">
        <v>8</v>
      </c>
      <c r="FM112" s="666">
        <v>7.7</v>
      </c>
      <c r="FN112" s="666">
        <v>0</v>
      </c>
    </row>
    <row r="113" spans="1:170" s="416" customFormat="1" ht="15">
      <c r="A113" s="425" t="s">
        <v>9</v>
      </c>
      <c r="B113" s="426">
        <v>40642</v>
      </c>
      <c r="C113" s="418">
        <v>0</v>
      </c>
      <c r="D113" s="518">
        <v>0.03</v>
      </c>
      <c r="E113" s="453">
        <v>0</v>
      </c>
      <c r="F113" s="453">
        <v>41.7</v>
      </c>
      <c r="G113" s="453">
        <v>1.95</v>
      </c>
      <c r="H113" s="519">
        <v>14.95</v>
      </c>
      <c r="I113" s="519">
        <v>85.3</v>
      </c>
      <c r="J113" s="483">
        <v>0.05</v>
      </c>
      <c r="K113" s="520" t="s">
        <v>742</v>
      </c>
      <c r="L113" s="453">
        <v>44.65</v>
      </c>
      <c r="M113" s="453">
        <v>22.9</v>
      </c>
      <c r="N113" s="453">
        <v>1.26</v>
      </c>
      <c r="O113" s="453">
        <v>1.7709907529722588</v>
      </c>
      <c r="P113" s="453" t="s">
        <v>742</v>
      </c>
      <c r="Q113" s="453">
        <v>1.0303830911459073</v>
      </c>
      <c r="R113" s="453">
        <v>673.07435667106984</v>
      </c>
      <c r="S113" s="453">
        <v>7.74</v>
      </c>
      <c r="T113" s="453" t="s">
        <v>742</v>
      </c>
      <c r="U113" s="453">
        <v>0.64</v>
      </c>
      <c r="V113" s="453" t="s">
        <v>742</v>
      </c>
      <c r="W113" s="453">
        <v>46.400000000000006</v>
      </c>
      <c r="X113" s="456" t="e">
        <v>#VALUE!</v>
      </c>
      <c r="Y113" s="453">
        <v>29.15</v>
      </c>
      <c r="Z113" s="453">
        <v>16.149999999999999</v>
      </c>
      <c r="AA113" s="519">
        <v>29</v>
      </c>
      <c r="AB113" s="519">
        <v>16</v>
      </c>
      <c r="AC113" s="732">
        <f t="shared" si="1"/>
        <v>45</v>
      </c>
      <c r="AD113" s="664"/>
      <c r="AE113" s="664"/>
      <c r="AF113" s="664"/>
      <c r="AG113" s="664"/>
      <c r="AH113" s="664"/>
      <c r="AI113" s="664"/>
      <c r="AJ113" s="485"/>
      <c r="AK113" s="485"/>
      <c r="AL113" s="485"/>
      <c r="AM113" s="485"/>
      <c r="AN113" s="485"/>
      <c r="AO113" s="665"/>
      <c r="AP113" s="485"/>
      <c r="AQ113" s="483"/>
      <c r="AR113" s="755">
        <v>0</v>
      </c>
      <c r="AS113" s="483">
        <v>18.899999999999999</v>
      </c>
      <c r="AT113" s="755">
        <v>0</v>
      </c>
      <c r="AU113" s="483">
        <v>30</v>
      </c>
      <c r="AV113" s="484">
        <v>143.4</v>
      </c>
      <c r="AW113" s="484">
        <v>1079.4000000000001</v>
      </c>
      <c r="AX113" s="453">
        <v>0</v>
      </c>
      <c r="AY113" s="734">
        <v>0</v>
      </c>
      <c r="AZ113" s="734">
        <v>0</v>
      </c>
      <c r="BA113" s="734">
        <v>0</v>
      </c>
      <c r="BB113" s="453">
        <v>0</v>
      </c>
      <c r="BC113" s="453">
        <v>0</v>
      </c>
      <c r="BD113" s="453">
        <v>0</v>
      </c>
      <c r="BE113" s="734">
        <v>0</v>
      </c>
      <c r="BF113" s="453">
        <v>0</v>
      </c>
      <c r="BG113" s="453">
        <v>0</v>
      </c>
      <c r="BH113" s="734">
        <v>0</v>
      </c>
      <c r="BI113" s="453">
        <v>0</v>
      </c>
      <c r="BJ113" s="453">
        <v>16.399999999999999</v>
      </c>
      <c r="BK113" s="453">
        <v>0</v>
      </c>
      <c r="BL113" s="453">
        <v>0</v>
      </c>
      <c r="BM113" s="453">
        <v>0</v>
      </c>
      <c r="BN113" s="453">
        <v>16</v>
      </c>
      <c r="BO113" s="453">
        <v>1337.3</v>
      </c>
      <c r="BP113" s="453">
        <v>0</v>
      </c>
      <c r="BQ113" s="453">
        <v>17.2</v>
      </c>
      <c r="BR113" s="453">
        <v>17.2</v>
      </c>
      <c r="BS113" s="453">
        <v>0</v>
      </c>
      <c r="BT113" s="453">
        <v>29.5</v>
      </c>
      <c r="BU113" s="453">
        <v>26.9</v>
      </c>
      <c r="BV113" s="456">
        <v>460</v>
      </c>
      <c r="BW113" s="453">
        <v>0.2</v>
      </c>
      <c r="BX113" s="453">
        <v>1.58</v>
      </c>
      <c r="BY113" s="456">
        <v>1.1100000000000001</v>
      </c>
      <c r="BZ113" s="456">
        <v>15.07</v>
      </c>
      <c r="CA113" s="456">
        <v>37.9</v>
      </c>
      <c r="CB113" s="456">
        <v>13.48</v>
      </c>
      <c r="CC113" s="456">
        <v>9.15</v>
      </c>
      <c r="CD113" s="456">
        <v>13.4</v>
      </c>
      <c r="CE113" s="456">
        <v>17.489999999999998</v>
      </c>
      <c r="CF113" s="456">
        <v>13.03</v>
      </c>
      <c r="CG113" s="456">
        <v>533.5</v>
      </c>
      <c r="CH113" s="456">
        <v>2.5</v>
      </c>
      <c r="CI113" s="456">
        <v>3.3</v>
      </c>
      <c r="CJ113" s="456">
        <v>456.5</v>
      </c>
      <c r="CK113" s="456">
        <v>412.4</v>
      </c>
      <c r="CL113" s="456">
        <v>484.1</v>
      </c>
      <c r="CM113" s="456">
        <v>11.6</v>
      </c>
      <c r="CN113" s="456">
        <v>1.63</v>
      </c>
      <c r="CO113" s="453">
        <v>0</v>
      </c>
      <c r="CP113" s="453">
        <v>14.49</v>
      </c>
      <c r="CQ113" s="453">
        <v>46</v>
      </c>
      <c r="CR113" s="456">
        <v>0</v>
      </c>
      <c r="CS113" s="456">
        <v>0</v>
      </c>
      <c r="CT113" s="456">
        <v>0</v>
      </c>
      <c r="CU113" s="456">
        <v>0</v>
      </c>
      <c r="CV113" s="481">
        <v>1330.4166666666667</v>
      </c>
      <c r="CW113" s="481">
        <v>2594.0625</v>
      </c>
      <c r="CX113" s="481">
        <v>1405.3125</v>
      </c>
      <c r="CY113" s="481">
        <v>1141.55</v>
      </c>
      <c r="CZ113" s="456"/>
      <c r="DA113" s="456"/>
      <c r="DB113" s="456"/>
      <c r="DC113" s="456"/>
      <c r="DD113" s="456"/>
      <c r="DE113" s="456"/>
      <c r="DF113" s="456"/>
      <c r="DG113" s="425"/>
      <c r="DH113" s="456">
        <v>0</v>
      </c>
      <c r="DI113" s="456">
        <v>0.57999999999999996</v>
      </c>
      <c r="DJ113" s="456">
        <v>1.01</v>
      </c>
      <c r="DK113" s="425"/>
      <c r="DL113" s="456"/>
      <c r="DM113" s="456"/>
      <c r="DN113" s="456"/>
      <c r="DO113" s="456"/>
      <c r="DP113" s="456"/>
      <c r="DQ113" s="456"/>
      <c r="DR113" s="456"/>
      <c r="DS113" s="456"/>
      <c r="DT113" s="456"/>
      <c r="DU113" s="456"/>
      <c r="DV113" s="456"/>
      <c r="DW113" s="456"/>
      <c r="DX113" s="456"/>
      <c r="DY113" s="456"/>
      <c r="DZ113" s="456"/>
      <c r="EA113" s="456"/>
      <c r="EB113" s="456"/>
      <c r="EC113" s="456"/>
      <c r="ED113" s="423">
        <v>0</v>
      </c>
      <c r="EE113" s="456">
        <v>0</v>
      </c>
      <c r="EF113" s="456">
        <v>2.5</v>
      </c>
      <c r="EG113" s="456">
        <v>6</v>
      </c>
      <c r="EH113" s="423">
        <v>0</v>
      </c>
      <c r="EI113" s="456"/>
      <c r="EJ113" s="456"/>
      <c r="EK113" s="456"/>
      <c r="EL113" s="456"/>
      <c r="EM113" s="456"/>
      <c r="EN113" s="456"/>
      <c r="EO113" s="425"/>
      <c r="EP113" s="425"/>
      <c r="EQ113" s="425" t="s">
        <v>743</v>
      </c>
      <c r="ER113" s="425">
        <v>1</v>
      </c>
      <c r="ES113" s="425">
        <v>6</v>
      </c>
      <c r="ET113" s="425">
        <v>1930</v>
      </c>
      <c r="EU113" s="457">
        <v>4000</v>
      </c>
      <c r="EV113" s="425">
        <v>320</v>
      </c>
      <c r="EW113" s="425">
        <v>6782285</v>
      </c>
      <c r="EX113" s="425">
        <v>23928</v>
      </c>
      <c r="EY113" s="666">
        <v>17.690000000000001</v>
      </c>
      <c r="EZ113" s="666">
        <v>17.66</v>
      </c>
      <c r="FA113" s="666">
        <v>0</v>
      </c>
      <c r="FB113" s="666">
        <v>1.49</v>
      </c>
      <c r="FC113" s="666">
        <v>1.31</v>
      </c>
      <c r="FD113" s="666">
        <v>1.153</v>
      </c>
      <c r="FE113" s="666">
        <v>1.1399999999999999</v>
      </c>
      <c r="FF113" s="666">
        <v>230</v>
      </c>
      <c r="FG113" s="666">
        <v>0.32</v>
      </c>
      <c r="FH113" s="666">
        <v>0.191</v>
      </c>
      <c r="FI113" s="666">
        <v>0.36</v>
      </c>
      <c r="FJ113" s="666">
        <v>8.39</v>
      </c>
      <c r="FK113" s="666">
        <v>8.4</v>
      </c>
      <c r="FL113" s="666">
        <v>8.0299999999999994</v>
      </c>
      <c r="FM113" s="666">
        <v>7.9</v>
      </c>
      <c r="FN113" s="666">
        <v>0</v>
      </c>
    </row>
    <row r="114" spans="1:170" s="416" customFormat="1" ht="15">
      <c r="A114" s="425" t="s">
        <v>3</v>
      </c>
      <c r="B114" s="426">
        <v>40643</v>
      </c>
      <c r="C114" s="418">
        <v>0</v>
      </c>
      <c r="D114" s="518">
        <v>0.44</v>
      </c>
      <c r="E114" s="453">
        <v>0</v>
      </c>
      <c r="F114" s="453">
        <v>44.6</v>
      </c>
      <c r="G114" s="453">
        <v>1.7</v>
      </c>
      <c r="H114" s="519">
        <v>11.32</v>
      </c>
      <c r="I114" s="519">
        <v>86.5</v>
      </c>
      <c r="J114" s="483">
        <v>0.05</v>
      </c>
      <c r="K114" s="520" t="s">
        <v>742</v>
      </c>
      <c r="L114" s="453">
        <v>44.65</v>
      </c>
      <c r="M114" s="453">
        <v>22.7</v>
      </c>
      <c r="N114" s="453">
        <v>1.27</v>
      </c>
      <c r="O114" s="453">
        <v>1.7744429766622629</v>
      </c>
      <c r="P114" s="453" t="s">
        <v>742</v>
      </c>
      <c r="Q114" s="453" t="s">
        <v>742</v>
      </c>
      <c r="R114" s="453">
        <v>666.59625891677661</v>
      </c>
      <c r="S114" s="453">
        <v>7.68</v>
      </c>
      <c r="T114" s="453" t="s">
        <v>742</v>
      </c>
      <c r="U114" s="453">
        <v>0.66</v>
      </c>
      <c r="V114" s="453" t="s">
        <v>742</v>
      </c>
      <c r="W114" s="453">
        <v>46.760000000000005</v>
      </c>
      <c r="X114" s="456" t="e">
        <v>#VALUE!</v>
      </c>
      <c r="Y114" s="453">
        <v>29.25</v>
      </c>
      <c r="Z114" s="453">
        <v>16.12</v>
      </c>
      <c r="AA114" s="519">
        <v>28</v>
      </c>
      <c r="AB114" s="519">
        <v>17</v>
      </c>
      <c r="AC114" s="732">
        <f t="shared" si="1"/>
        <v>45</v>
      </c>
      <c r="AD114" s="664"/>
      <c r="AE114" s="664"/>
      <c r="AF114" s="664"/>
      <c r="AG114" s="664"/>
      <c r="AH114" s="664"/>
      <c r="AI114" s="664"/>
      <c r="AJ114" s="485"/>
      <c r="AK114" s="485"/>
      <c r="AL114" s="485"/>
      <c r="AM114" s="485"/>
      <c r="AN114" s="485"/>
      <c r="AO114" s="665"/>
      <c r="AP114" s="485"/>
      <c r="AQ114" s="483"/>
      <c r="AR114" s="755">
        <v>0</v>
      </c>
      <c r="AS114" s="483">
        <v>34.5</v>
      </c>
      <c r="AT114" s="755">
        <v>0</v>
      </c>
      <c r="AU114" s="483">
        <v>30.1</v>
      </c>
      <c r="AV114" s="484">
        <v>530.79999999999995</v>
      </c>
      <c r="AW114" s="484">
        <v>533.1</v>
      </c>
      <c r="AX114" s="453">
        <v>0</v>
      </c>
      <c r="AY114" s="734">
        <v>0</v>
      </c>
      <c r="AZ114" s="734">
        <v>0</v>
      </c>
      <c r="BA114" s="734">
        <v>0</v>
      </c>
      <c r="BB114" s="453">
        <v>0</v>
      </c>
      <c r="BC114" s="453">
        <v>0</v>
      </c>
      <c r="BD114" s="453">
        <v>0</v>
      </c>
      <c r="BE114" s="734">
        <v>0</v>
      </c>
      <c r="BF114" s="453">
        <v>0</v>
      </c>
      <c r="BG114" s="453">
        <v>0</v>
      </c>
      <c r="BH114" s="734">
        <v>0</v>
      </c>
      <c r="BI114" s="453">
        <v>0</v>
      </c>
      <c r="BJ114" s="453">
        <v>16.399999999999999</v>
      </c>
      <c r="BK114" s="453">
        <v>0</v>
      </c>
      <c r="BL114" s="453">
        <v>0</v>
      </c>
      <c r="BM114" s="453">
        <v>0</v>
      </c>
      <c r="BN114" s="453">
        <v>16</v>
      </c>
      <c r="BO114" s="453">
        <v>1367.6</v>
      </c>
      <c r="BP114" s="453">
        <v>0</v>
      </c>
      <c r="BQ114" s="453">
        <v>17.3</v>
      </c>
      <c r="BR114" s="453">
        <v>17.2</v>
      </c>
      <c r="BS114" s="453">
        <v>0</v>
      </c>
      <c r="BT114" s="453">
        <v>29.6</v>
      </c>
      <c r="BU114" s="453">
        <v>25.7</v>
      </c>
      <c r="BV114" s="456">
        <v>448.5</v>
      </c>
      <c r="BW114" s="453">
        <v>0.2</v>
      </c>
      <c r="BX114" s="453">
        <v>1.58</v>
      </c>
      <c r="BY114" s="456">
        <v>1.1100000000000001</v>
      </c>
      <c r="BZ114" s="456">
        <v>15.1</v>
      </c>
      <c r="CA114" s="456">
        <v>34.799999999999997</v>
      </c>
      <c r="CB114" s="456">
        <v>13.3</v>
      </c>
      <c r="CC114" s="456">
        <v>9.1999999999999993</v>
      </c>
      <c r="CD114" s="456">
        <v>13.5</v>
      </c>
      <c r="CE114" s="456">
        <v>17.5</v>
      </c>
      <c r="CF114" s="456">
        <v>12.74</v>
      </c>
      <c r="CG114" s="456">
        <v>486.8</v>
      </c>
      <c r="CH114" s="456">
        <v>2.4</v>
      </c>
      <c r="CI114" s="456">
        <v>3.7</v>
      </c>
      <c r="CJ114" s="456">
        <v>429.14</v>
      </c>
      <c r="CK114" s="456">
        <v>420.6</v>
      </c>
      <c r="CL114" s="456">
        <v>506.8</v>
      </c>
      <c r="CM114" s="456">
        <v>10.7</v>
      </c>
      <c r="CN114" s="456">
        <v>1.61</v>
      </c>
      <c r="CO114" s="453">
        <v>0</v>
      </c>
      <c r="CP114" s="453">
        <v>15.99</v>
      </c>
      <c r="CQ114" s="453">
        <v>46</v>
      </c>
      <c r="CR114" s="456">
        <v>0</v>
      </c>
      <c r="CS114" s="456">
        <v>0.55000000000000004</v>
      </c>
      <c r="CT114" s="456">
        <v>1.1399999999999999</v>
      </c>
      <c r="CU114" s="456">
        <v>0</v>
      </c>
      <c r="CV114" s="481">
        <v>1332</v>
      </c>
      <c r="CW114" s="481">
        <v>2499.8958333333335</v>
      </c>
      <c r="CX114" s="481">
        <v>1403.5416666666667</v>
      </c>
      <c r="CY114" s="481">
        <v>1141.9000000000001</v>
      </c>
      <c r="CZ114" s="456"/>
      <c r="DA114" s="456"/>
      <c r="DB114" s="456"/>
      <c r="DC114" s="456"/>
      <c r="DD114" s="456"/>
      <c r="DE114" s="456"/>
      <c r="DF114" s="456"/>
      <c r="DG114" s="425"/>
      <c r="DH114" s="456">
        <v>0</v>
      </c>
      <c r="DI114" s="456">
        <v>0.55000000000000004</v>
      </c>
      <c r="DJ114" s="456">
        <v>1.1399999999999999</v>
      </c>
      <c r="DK114" s="425"/>
      <c r="DL114" s="456"/>
      <c r="DM114" s="456"/>
      <c r="DN114" s="456"/>
      <c r="DO114" s="456"/>
      <c r="DP114" s="456"/>
      <c r="DQ114" s="456"/>
      <c r="DR114" s="456"/>
      <c r="DS114" s="456"/>
      <c r="DT114" s="456"/>
      <c r="DU114" s="456"/>
      <c r="DV114" s="456"/>
      <c r="DW114" s="456"/>
      <c r="DX114" s="456"/>
      <c r="DY114" s="456"/>
      <c r="DZ114" s="456"/>
      <c r="EA114" s="456"/>
      <c r="EB114" s="456"/>
      <c r="EC114" s="456"/>
      <c r="ED114" s="423">
        <v>0</v>
      </c>
      <c r="EE114" s="456">
        <v>0</v>
      </c>
      <c r="EF114" s="456">
        <v>2.5</v>
      </c>
      <c r="EG114" s="456">
        <v>6</v>
      </c>
      <c r="EH114" s="423">
        <v>0</v>
      </c>
      <c r="EI114" s="456"/>
      <c r="EJ114" s="456"/>
      <c r="EK114" s="456"/>
      <c r="EL114" s="456"/>
      <c r="EM114" s="456"/>
      <c r="EN114" s="456"/>
      <c r="EO114" s="425"/>
      <c r="EP114" s="425"/>
      <c r="EQ114" s="425" t="s">
        <v>743</v>
      </c>
      <c r="ER114" s="425">
        <v>1</v>
      </c>
      <c r="ES114" s="425">
        <v>6</v>
      </c>
      <c r="ET114" s="425">
        <v>1660</v>
      </c>
      <c r="EU114" s="457">
        <v>4000</v>
      </c>
      <c r="EV114" s="425">
        <v>275</v>
      </c>
      <c r="EW114" s="425">
        <v>6784986</v>
      </c>
      <c r="EX114" s="425">
        <v>24653</v>
      </c>
      <c r="EY114" s="666">
        <v>17.38</v>
      </c>
      <c r="EZ114" s="666">
        <v>17.37</v>
      </c>
      <c r="FA114" s="666">
        <v>0</v>
      </c>
      <c r="FB114" s="666">
        <v>1.47</v>
      </c>
      <c r="FC114" s="666">
        <v>1.35</v>
      </c>
      <c r="FD114" s="666">
        <v>1.0960000000000001</v>
      </c>
      <c r="FE114" s="666">
        <v>1.05</v>
      </c>
      <c r="FF114" s="666">
        <v>270</v>
      </c>
      <c r="FG114" s="666">
        <v>0.38</v>
      </c>
      <c r="FH114" s="666">
        <v>0.16600000000000001</v>
      </c>
      <c r="FI114" s="666">
        <v>0.45</v>
      </c>
      <c r="FJ114" s="666">
        <v>8.24</v>
      </c>
      <c r="FK114" s="666">
        <v>8.1999999999999993</v>
      </c>
      <c r="FL114" s="666">
        <v>8.01</v>
      </c>
      <c r="FM114" s="666">
        <v>7.7</v>
      </c>
      <c r="FN114" s="666">
        <v>0</v>
      </c>
    </row>
    <row r="115" spans="1:170" s="416" customFormat="1" ht="15">
      <c r="A115" s="425" t="s">
        <v>4</v>
      </c>
      <c r="B115" s="426">
        <v>40644</v>
      </c>
      <c r="C115" s="418">
        <v>0</v>
      </c>
      <c r="D115" s="518">
        <v>0.55000000000000004</v>
      </c>
      <c r="E115" s="453">
        <v>0</v>
      </c>
      <c r="F115" s="453">
        <v>37</v>
      </c>
      <c r="G115" s="453">
        <v>1.75</v>
      </c>
      <c r="H115" s="519">
        <v>7.51</v>
      </c>
      <c r="I115" s="519">
        <v>87.4</v>
      </c>
      <c r="J115" s="483">
        <v>2.89</v>
      </c>
      <c r="K115" s="520" t="s">
        <v>742</v>
      </c>
      <c r="L115" s="453">
        <v>40.380000000000003</v>
      </c>
      <c r="M115" s="453">
        <v>22.6</v>
      </c>
      <c r="N115" s="453">
        <v>1.28</v>
      </c>
      <c r="O115" s="453">
        <v>1.8969744907471533</v>
      </c>
      <c r="P115" s="453" t="s">
        <v>742</v>
      </c>
      <c r="Q115" s="453" t="s">
        <v>742</v>
      </c>
      <c r="R115" s="453">
        <v>719.39275561426678</v>
      </c>
      <c r="S115" s="453">
        <v>7.7</v>
      </c>
      <c r="T115" s="453" t="s">
        <v>742</v>
      </c>
      <c r="U115" s="453">
        <v>0.65</v>
      </c>
      <c r="V115" s="453" t="s">
        <v>742</v>
      </c>
      <c r="W115" s="453">
        <v>42.980000000000004</v>
      </c>
      <c r="X115" s="456" t="e">
        <v>#VALUE!</v>
      </c>
      <c r="Y115" s="453">
        <v>29.12</v>
      </c>
      <c r="Z115" s="453">
        <v>16.18</v>
      </c>
      <c r="AA115" s="519">
        <v>29.399999999994179</v>
      </c>
      <c r="AB115" s="519">
        <v>17.010000000002037</v>
      </c>
      <c r="AC115" s="732">
        <f t="shared" si="1"/>
        <v>46.409999999996217</v>
      </c>
      <c r="AD115" s="664"/>
      <c r="AE115" s="664"/>
      <c r="AF115" s="664"/>
      <c r="AG115" s="664"/>
      <c r="AH115" s="664"/>
      <c r="AI115" s="664"/>
      <c r="AJ115" s="485"/>
      <c r="AK115" s="485"/>
      <c r="AL115" s="485"/>
      <c r="AM115" s="485"/>
      <c r="AN115" s="485"/>
      <c r="AO115" s="665"/>
      <c r="AP115" s="485"/>
      <c r="AQ115" s="483"/>
      <c r="AR115" s="766">
        <v>0</v>
      </c>
      <c r="AS115" s="763">
        <v>19.7</v>
      </c>
      <c r="AT115" s="766">
        <v>0</v>
      </c>
      <c r="AU115" s="763">
        <v>29.6</v>
      </c>
      <c r="AV115" s="519">
        <v>374.1</v>
      </c>
      <c r="AW115" s="519">
        <v>365.3</v>
      </c>
      <c r="AX115" s="763">
        <v>0</v>
      </c>
      <c r="AY115" s="766">
        <v>0</v>
      </c>
      <c r="AZ115" s="766">
        <v>0</v>
      </c>
      <c r="BA115" s="766">
        <v>0</v>
      </c>
      <c r="BB115" s="766">
        <v>0</v>
      </c>
      <c r="BC115" s="763">
        <v>0</v>
      </c>
      <c r="BD115" s="763">
        <v>0</v>
      </c>
      <c r="BE115" s="766">
        <v>0</v>
      </c>
      <c r="BF115" s="763">
        <v>0</v>
      </c>
      <c r="BG115" s="763">
        <v>0</v>
      </c>
      <c r="BH115" s="766">
        <v>0</v>
      </c>
      <c r="BI115" s="763">
        <v>0</v>
      </c>
      <c r="BJ115" s="763">
        <v>17</v>
      </c>
      <c r="BK115" s="763">
        <v>0</v>
      </c>
      <c r="BL115" s="763">
        <v>0</v>
      </c>
      <c r="BM115" s="763">
        <v>0</v>
      </c>
      <c r="BN115" s="763">
        <v>16.7</v>
      </c>
      <c r="BO115" s="763">
        <v>1111.0999999999999</v>
      </c>
      <c r="BP115" s="763">
        <v>0</v>
      </c>
      <c r="BQ115" s="763">
        <v>17.2</v>
      </c>
      <c r="BR115" s="763">
        <v>17.100000000000001</v>
      </c>
      <c r="BS115" s="763">
        <v>0</v>
      </c>
      <c r="BT115" s="763">
        <v>29.6</v>
      </c>
      <c r="BU115" s="763">
        <v>26.8</v>
      </c>
      <c r="BV115" s="764">
        <v>620.70000000000005</v>
      </c>
      <c r="BW115" s="763">
        <v>0.2</v>
      </c>
      <c r="BX115" s="763">
        <v>1.56</v>
      </c>
      <c r="BY115" s="764">
        <v>1.0900000000000001</v>
      </c>
      <c r="BZ115" s="764">
        <v>14.89</v>
      </c>
      <c r="CA115" s="764">
        <v>34.4</v>
      </c>
      <c r="CB115" s="764">
        <v>14.93</v>
      </c>
      <c r="CC115" s="764">
        <v>9.0500000000000007</v>
      </c>
      <c r="CD115" s="764">
        <v>13.29</v>
      </c>
      <c r="CE115" s="764">
        <v>17.36</v>
      </c>
      <c r="CF115" s="764">
        <v>12.5</v>
      </c>
      <c r="CG115" s="764">
        <v>501.1</v>
      </c>
      <c r="CH115" s="764">
        <v>2.4</v>
      </c>
      <c r="CI115" s="764">
        <v>3.7</v>
      </c>
      <c r="CJ115" s="764">
        <v>322.7</v>
      </c>
      <c r="CK115" s="764">
        <v>402.2</v>
      </c>
      <c r="CL115" s="764">
        <v>522.4</v>
      </c>
      <c r="CM115" s="764">
        <v>10.8</v>
      </c>
      <c r="CN115" s="764">
        <v>1.66</v>
      </c>
      <c r="CO115" s="763">
        <v>0</v>
      </c>
      <c r="CP115" s="763">
        <v>15.93</v>
      </c>
      <c r="CQ115" s="763">
        <v>46</v>
      </c>
      <c r="CR115" s="764">
        <v>0</v>
      </c>
      <c r="CS115" s="764">
        <v>0</v>
      </c>
      <c r="CT115" s="764">
        <v>0</v>
      </c>
      <c r="CU115" s="764">
        <v>0</v>
      </c>
      <c r="CV115" s="767">
        <v>1340.5</v>
      </c>
      <c r="CW115" s="767">
        <v>2482.0833333333335</v>
      </c>
      <c r="CX115" s="767">
        <v>1423.6458333333333</v>
      </c>
      <c r="CY115" s="767">
        <v>1142.3900000000001</v>
      </c>
      <c r="CZ115" s="764"/>
      <c r="DA115" s="764"/>
      <c r="DB115" s="764"/>
      <c r="DC115" s="764"/>
      <c r="DD115" s="764"/>
      <c r="DE115" s="764"/>
      <c r="DF115" s="764"/>
      <c r="DG115" s="760"/>
      <c r="DH115" s="764">
        <v>0</v>
      </c>
      <c r="DI115" s="764">
        <v>0.62</v>
      </c>
      <c r="DJ115" s="764">
        <v>1.24</v>
      </c>
      <c r="DK115" s="425"/>
      <c r="DL115" s="456"/>
      <c r="DM115" s="456"/>
      <c r="DN115" s="456"/>
      <c r="DO115" s="456"/>
      <c r="DP115" s="456"/>
      <c r="DQ115" s="456"/>
      <c r="DR115" s="456"/>
      <c r="DS115" s="456"/>
      <c r="DT115" s="456"/>
      <c r="DU115" s="456"/>
      <c r="DV115" s="456"/>
      <c r="DW115" s="456"/>
      <c r="DX115" s="456"/>
      <c r="DY115" s="456"/>
      <c r="DZ115" s="456"/>
      <c r="EA115" s="456"/>
      <c r="EB115" s="456"/>
      <c r="EC115" s="456"/>
      <c r="ED115" s="423">
        <v>0</v>
      </c>
      <c r="EE115" s="456">
        <v>0</v>
      </c>
      <c r="EF115" s="456">
        <v>2.5</v>
      </c>
      <c r="EG115" s="456">
        <v>6</v>
      </c>
      <c r="EH115" s="423">
        <v>0</v>
      </c>
      <c r="EI115" s="456"/>
      <c r="EJ115" s="456"/>
      <c r="EK115" s="456"/>
      <c r="EL115" s="456"/>
      <c r="EM115" s="456"/>
      <c r="EN115" s="456"/>
      <c r="EO115" s="425"/>
      <c r="EP115" s="425"/>
      <c r="EQ115" s="425" t="s">
        <v>743</v>
      </c>
      <c r="ER115" s="425">
        <v>1</v>
      </c>
      <c r="ES115" s="425">
        <v>6</v>
      </c>
      <c r="ET115" s="425">
        <v>1440</v>
      </c>
      <c r="EU115" s="457">
        <v>4000</v>
      </c>
      <c r="EV115" s="425">
        <v>240</v>
      </c>
      <c r="EW115" s="425">
        <v>6787360</v>
      </c>
      <c r="EX115" s="425">
        <v>25342</v>
      </c>
      <c r="EY115" s="666">
        <v>17.5</v>
      </c>
      <c r="EZ115" s="666">
        <v>17.5</v>
      </c>
      <c r="FA115" s="666">
        <v>0</v>
      </c>
      <c r="FB115" s="666">
        <v>1.47</v>
      </c>
      <c r="FC115" s="666">
        <v>1.45</v>
      </c>
      <c r="FD115" s="666">
        <v>1.17</v>
      </c>
      <c r="FE115" s="666">
        <v>1.1499999999999999</v>
      </c>
      <c r="FF115" s="666">
        <v>220</v>
      </c>
      <c r="FG115" s="666">
        <v>0.22</v>
      </c>
      <c r="FH115" s="666">
        <v>0.25</v>
      </c>
      <c r="FI115" s="666">
        <v>0.48</v>
      </c>
      <c r="FJ115" s="666">
        <v>8.1300000000000008</v>
      </c>
      <c r="FK115" s="666">
        <v>8.1999999999999993</v>
      </c>
      <c r="FL115" s="666">
        <v>7.99</v>
      </c>
      <c r="FM115" s="666">
        <v>7.6</v>
      </c>
      <c r="FN115" s="666">
        <v>0</v>
      </c>
    </row>
    <row r="116" spans="1:170" s="416" customFormat="1" ht="15">
      <c r="A116" s="425" t="s">
        <v>5</v>
      </c>
      <c r="B116" s="426">
        <v>40645</v>
      </c>
      <c r="C116" s="418">
        <v>0</v>
      </c>
      <c r="D116" s="518">
        <v>0.02</v>
      </c>
      <c r="E116" s="453">
        <v>0</v>
      </c>
      <c r="F116" s="453">
        <v>41.1</v>
      </c>
      <c r="G116" s="453">
        <v>1.6</v>
      </c>
      <c r="H116" s="519">
        <v>6.21</v>
      </c>
      <c r="I116" s="519">
        <v>87.7</v>
      </c>
      <c r="J116" s="483">
        <v>2.9</v>
      </c>
      <c r="K116" s="520" t="s">
        <v>742</v>
      </c>
      <c r="L116" s="453">
        <v>38.6</v>
      </c>
      <c r="M116" s="453">
        <v>23.3</v>
      </c>
      <c r="N116" s="453">
        <v>1.47</v>
      </c>
      <c r="O116" s="453">
        <v>1.9335415946162604</v>
      </c>
      <c r="P116" s="453" t="s">
        <v>742</v>
      </c>
      <c r="Q116" s="453" t="s">
        <v>742</v>
      </c>
      <c r="R116" s="453">
        <v>753.72667371202101</v>
      </c>
      <c r="S116" s="453">
        <v>7.61</v>
      </c>
      <c r="T116" s="453" t="s">
        <v>742</v>
      </c>
      <c r="U116" s="453">
        <v>0.67</v>
      </c>
      <c r="V116" s="453" t="s">
        <v>742</v>
      </c>
      <c r="W116" s="453">
        <v>42.980000000000004</v>
      </c>
      <c r="X116" s="456" t="e">
        <v>#VALUE!</v>
      </c>
      <c r="Y116" s="453">
        <v>28.44</v>
      </c>
      <c r="Z116" s="453">
        <v>18.09</v>
      </c>
      <c r="AA116" s="519">
        <v>28.30000000000291</v>
      </c>
      <c r="AB116" s="519">
        <v>18.139999999999418</v>
      </c>
      <c r="AC116" s="732">
        <f t="shared" si="1"/>
        <v>46.440000000002328</v>
      </c>
      <c r="AD116" s="664"/>
      <c r="AE116" s="664"/>
      <c r="AF116" s="664"/>
      <c r="AG116" s="664"/>
      <c r="AH116" s="664"/>
      <c r="AI116" s="664"/>
      <c r="AJ116" s="485"/>
      <c r="AK116" s="485"/>
      <c r="AL116" s="485"/>
      <c r="AM116" s="485"/>
      <c r="AN116" s="485"/>
      <c r="AO116" s="665"/>
      <c r="AP116" s="485"/>
      <c r="AQ116" s="483"/>
      <c r="AR116" s="766">
        <v>0</v>
      </c>
      <c r="AS116" s="763">
        <v>18.7</v>
      </c>
      <c r="AT116" s="766">
        <v>0</v>
      </c>
      <c r="AU116" s="763">
        <v>29.7</v>
      </c>
      <c r="AV116" s="519">
        <v>257.5</v>
      </c>
      <c r="AW116" s="519">
        <v>245.5</v>
      </c>
      <c r="AX116" s="763">
        <v>0</v>
      </c>
      <c r="AY116" s="766">
        <v>0</v>
      </c>
      <c r="AZ116" s="766">
        <v>0</v>
      </c>
      <c r="BA116" s="766">
        <v>0</v>
      </c>
      <c r="BB116" s="766">
        <v>0</v>
      </c>
      <c r="BC116" s="763">
        <v>0</v>
      </c>
      <c r="BD116" s="763">
        <v>0</v>
      </c>
      <c r="BE116" s="766">
        <v>0</v>
      </c>
      <c r="BF116" s="763">
        <v>0</v>
      </c>
      <c r="BG116" s="763">
        <v>0</v>
      </c>
      <c r="BH116" s="766">
        <v>0</v>
      </c>
      <c r="BI116" s="763">
        <v>0</v>
      </c>
      <c r="BJ116" s="763">
        <v>18.600000000000001</v>
      </c>
      <c r="BK116" s="763">
        <v>0</v>
      </c>
      <c r="BL116" s="763">
        <v>0</v>
      </c>
      <c r="BM116" s="763">
        <v>0</v>
      </c>
      <c r="BN116" s="763">
        <v>17.899999999999999</v>
      </c>
      <c r="BO116" s="763">
        <v>1589.8</v>
      </c>
      <c r="BP116" s="763">
        <v>0</v>
      </c>
      <c r="BQ116" s="763">
        <v>17.3</v>
      </c>
      <c r="BR116" s="763">
        <v>17.28</v>
      </c>
      <c r="BS116" s="763">
        <v>0</v>
      </c>
      <c r="BT116" s="763">
        <v>29.8</v>
      </c>
      <c r="BU116" s="763">
        <v>25.4</v>
      </c>
      <c r="BV116" s="764">
        <v>437.4</v>
      </c>
      <c r="BW116" s="763">
        <v>0.3</v>
      </c>
      <c r="BX116" s="763">
        <v>1.56</v>
      </c>
      <c r="BY116" s="764">
        <v>1.06</v>
      </c>
      <c r="BZ116" s="764">
        <v>14.83</v>
      </c>
      <c r="CA116" s="764">
        <v>35</v>
      </c>
      <c r="CB116" s="764">
        <v>14.26</v>
      </c>
      <c r="CC116" s="764">
        <v>8.9700000000000006</v>
      </c>
      <c r="CD116" s="764">
        <v>13.2</v>
      </c>
      <c r="CE116" s="764">
        <v>17.32</v>
      </c>
      <c r="CF116" s="764">
        <v>12.58</v>
      </c>
      <c r="CG116" s="764">
        <v>511.1</v>
      </c>
      <c r="CH116" s="764">
        <v>2.4</v>
      </c>
      <c r="CI116" s="764">
        <v>3.2</v>
      </c>
      <c r="CJ116" s="764">
        <v>414.5</v>
      </c>
      <c r="CK116" s="764">
        <v>391.2</v>
      </c>
      <c r="CL116" s="764">
        <v>561.70000000000005</v>
      </c>
      <c r="CM116" s="764">
        <v>10.8</v>
      </c>
      <c r="CN116" s="764">
        <v>1.72</v>
      </c>
      <c r="CO116" s="763">
        <v>0</v>
      </c>
      <c r="CP116" s="763">
        <v>15.27</v>
      </c>
      <c r="CQ116" s="763">
        <v>46</v>
      </c>
      <c r="CR116" s="764">
        <v>0</v>
      </c>
      <c r="CS116" s="764">
        <v>0</v>
      </c>
      <c r="CT116" s="764">
        <v>0</v>
      </c>
      <c r="CU116" s="764">
        <v>0</v>
      </c>
      <c r="CV116" s="767">
        <v>1314</v>
      </c>
      <c r="CW116" s="767">
        <v>2405.1041666666665</v>
      </c>
      <c r="CX116" s="767">
        <v>1362.9166666666667</v>
      </c>
      <c r="CY116" s="767">
        <v>1142.81</v>
      </c>
      <c r="CZ116" s="764"/>
      <c r="DA116" s="764"/>
      <c r="DB116" s="764"/>
      <c r="DC116" s="764"/>
      <c r="DD116" s="764"/>
      <c r="DE116" s="764"/>
      <c r="DF116" s="764"/>
      <c r="DG116" s="760"/>
      <c r="DH116" s="764">
        <v>0</v>
      </c>
      <c r="DI116" s="764">
        <v>0.6</v>
      </c>
      <c r="DJ116" s="764">
        <v>1.29</v>
      </c>
      <c r="DK116" s="425"/>
      <c r="DL116" s="456"/>
      <c r="DM116" s="456"/>
      <c r="DN116" s="456"/>
      <c r="DO116" s="456"/>
      <c r="DP116" s="456"/>
      <c r="DQ116" s="456"/>
      <c r="DR116" s="456"/>
      <c r="DS116" s="456"/>
      <c r="DT116" s="456"/>
      <c r="DU116" s="456"/>
      <c r="DV116" s="456"/>
      <c r="DW116" s="456"/>
      <c r="DX116" s="456"/>
      <c r="DY116" s="456"/>
      <c r="DZ116" s="456"/>
      <c r="EA116" s="456"/>
      <c r="EB116" s="456"/>
      <c r="EC116" s="456"/>
      <c r="ED116" s="423">
        <v>0</v>
      </c>
      <c r="EE116" s="456">
        <v>0</v>
      </c>
      <c r="EF116" s="456">
        <v>2.5</v>
      </c>
      <c r="EG116" s="456">
        <v>6</v>
      </c>
      <c r="EH116" s="423">
        <v>0</v>
      </c>
      <c r="EI116" s="456"/>
      <c r="EJ116" s="456"/>
      <c r="EK116" s="456"/>
      <c r="EL116" s="456"/>
      <c r="EM116" s="456"/>
      <c r="EN116" s="456"/>
      <c r="EO116" s="425"/>
      <c r="EP116" s="425"/>
      <c r="EQ116" s="425" t="s">
        <v>743</v>
      </c>
      <c r="ER116" s="425">
        <v>1</v>
      </c>
      <c r="ES116" s="425">
        <v>6</v>
      </c>
      <c r="ET116" s="425">
        <v>1220</v>
      </c>
      <c r="EU116" s="457">
        <v>4000</v>
      </c>
      <c r="EV116" s="425">
        <v>260</v>
      </c>
      <c r="EW116" s="425">
        <v>6789849</v>
      </c>
      <c r="EX116" s="425">
        <v>26045</v>
      </c>
      <c r="EY116" s="666">
        <v>17.5</v>
      </c>
      <c r="EZ116" s="666">
        <v>17.5</v>
      </c>
      <c r="FA116" s="666">
        <v>0</v>
      </c>
      <c r="FB116" s="666">
        <v>1.52</v>
      </c>
      <c r="FC116" s="666">
        <v>1.46</v>
      </c>
      <c r="FD116" s="666">
        <v>1.19</v>
      </c>
      <c r="FE116" s="666">
        <v>1.1299999999999999</v>
      </c>
      <c r="FF116" s="666">
        <v>220</v>
      </c>
      <c r="FG116" s="666">
        <v>2.14</v>
      </c>
      <c r="FH116" s="666">
        <v>0.28000000000000003</v>
      </c>
      <c r="FI116" s="666">
        <v>0.49</v>
      </c>
      <c r="FJ116" s="666">
        <v>8.06</v>
      </c>
      <c r="FK116" s="666">
        <v>8.1</v>
      </c>
      <c r="FL116" s="666">
        <v>7.98</v>
      </c>
      <c r="FM116" s="666">
        <v>7.6</v>
      </c>
      <c r="FN116" s="666">
        <v>0</v>
      </c>
    </row>
    <row r="117" spans="1:170" s="416" customFormat="1" ht="15">
      <c r="A117" s="425" t="s">
        <v>6</v>
      </c>
      <c r="B117" s="426">
        <v>40646</v>
      </c>
      <c r="C117" s="418">
        <v>0</v>
      </c>
      <c r="D117" s="518">
        <v>0.6</v>
      </c>
      <c r="E117" s="453">
        <v>0</v>
      </c>
      <c r="F117" s="453">
        <v>36</v>
      </c>
      <c r="G117" s="453">
        <v>1.6</v>
      </c>
      <c r="H117" s="519">
        <v>5.08</v>
      </c>
      <c r="I117" s="519">
        <v>89.2</v>
      </c>
      <c r="J117" s="483">
        <v>2.79</v>
      </c>
      <c r="K117" s="520" t="s">
        <v>742</v>
      </c>
      <c r="L117" s="453">
        <v>38.6</v>
      </c>
      <c r="M117" s="453">
        <v>23.7</v>
      </c>
      <c r="N117" s="453">
        <v>1.73</v>
      </c>
      <c r="O117" s="453">
        <v>2.1753637680577742</v>
      </c>
      <c r="P117" s="453" t="s">
        <v>742</v>
      </c>
      <c r="Q117" s="453" t="s">
        <v>742</v>
      </c>
      <c r="R117" s="453">
        <v>854.4610937912812</v>
      </c>
      <c r="S117" s="453">
        <v>7.85</v>
      </c>
      <c r="T117" s="453" t="s">
        <v>742</v>
      </c>
      <c r="U117" s="453">
        <v>0.73</v>
      </c>
      <c r="V117" s="453" t="s">
        <v>742</v>
      </c>
      <c r="W117" s="453">
        <v>46.400000000000006</v>
      </c>
      <c r="X117" s="456" t="e">
        <v>#VALUE!</v>
      </c>
      <c r="Y117" s="453">
        <v>27.94</v>
      </c>
      <c r="Z117" s="453">
        <v>17.78</v>
      </c>
      <c r="AA117" s="519">
        <v>28.30000000000291</v>
      </c>
      <c r="AB117" s="519">
        <v>17.849999999998545</v>
      </c>
      <c r="AC117" s="732">
        <f t="shared" si="1"/>
        <v>46.150000000001455</v>
      </c>
      <c r="AD117" s="664"/>
      <c r="AE117" s="664"/>
      <c r="AF117" s="664"/>
      <c r="AG117" s="664"/>
      <c r="AH117" s="664"/>
      <c r="AI117" s="664"/>
      <c r="AJ117" s="485"/>
      <c r="AK117" s="485"/>
      <c r="AL117" s="485"/>
      <c r="AM117" s="485"/>
      <c r="AN117" s="485"/>
      <c r="AO117" s="665"/>
      <c r="AP117" s="485"/>
      <c r="AQ117" s="483"/>
      <c r="AR117" s="766">
        <v>0</v>
      </c>
      <c r="AS117" s="763">
        <v>18.2</v>
      </c>
      <c r="AT117" s="766">
        <v>0</v>
      </c>
      <c r="AU117" s="763">
        <v>29</v>
      </c>
      <c r="AV117" s="519">
        <v>361.9</v>
      </c>
      <c r="AW117" s="519">
        <v>362</v>
      </c>
      <c r="AX117" s="763">
        <v>0</v>
      </c>
      <c r="AY117" s="766">
        <v>0</v>
      </c>
      <c r="AZ117" s="766">
        <v>0</v>
      </c>
      <c r="BA117" s="766">
        <v>0</v>
      </c>
      <c r="BB117" s="453">
        <f>8647/1000000</f>
        <v>8.6470000000000002E-3</v>
      </c>
      <c r="BC117" s="763">
        <v>0</v>
      </c>
      <c r="BD117" s="763">
        <v>0</v>
      </c>
      <c r="BE117" s="766">
        <v>0</v>
      </c>
      <c r="BF117" s="763">
        <v>0</v>
      </c>
      <c r="BG117" s="763">
        <v>0</v>
      </c>
      <c r="BH117" s="766">
        <v>0</v>
      </c>
      <c r="BI117" s="763">
        <v>0</v>
      </c>
      <c r="BJ117" s="763">
        <v>18.100000000000001</v>
      </c>
      <c r="BK117" s="763">
        <v>0</v>
      </c>
      <c r="BL117" s="763">
        <v>0</v>
      </c>
      <c r="BM117" s="763">
        <v>0</v>
      </c>
      <c r="BN117" s="763">
        <v>17.899999999999999</v>
      </c>
      <c r="BO117" s="763">
        <v>1271.2</v>
      </c>
      <c r="BP117" s="763">
        <v>0</v>
      </c>
      <c r="BQ117" s="763">
        <v>17.87</v>
      </c>
      <c r="BR117" s="763">
        <v>17.8</v>
      </c>
      <c r="BS117" s="763">
        <v>0</v>
      </c>
      <c r="BT117" s="763">
        <v>28.6</v>
      </c>
      <c r="BU117" s="763">
        <v>22.5</v>
      </c>
      <c r="BV117" s="764">
        <v>442.9</v>
      </c>
      <c r="BW117" s="763">
        <v>0.5</v>
      </c>
      <c r="BX117" s="763">
        <v>1.62</v>
      </c>
      <c r="BY117" s="764">
        <v>1.08</v>
      </c>
      <c r="BZ117" s="764">
        <v>15.1</v>
      </c>
      <c r="CA117" s="764">
        <v>36</v>
      </c>
      <c r="CB117" s="764">
        <v>13.37</v>
      </c>
      <c r="CC117" s="764">
        <v>9.5</v>
      </c>
      <c r="CD117" s="764">
        <v>13.74</v>
      </c>
      <c r="CE117" s="764">
        <v>17.850000000000001</v>
      </c>
      <c r="CF117" s="764">
        <v>12.61</v>
      </c>
      <c r="CG117" s="764">
        <v>470.8</v>
      </c>
      <c r="CH117" s="764">
        <v>2.2000000000000002</v>
      </c>
      <c r="CI117" s="764">
        <v>3.1</v>
      </c>
      <c r="CJ117" s="764">
        <v>373.2</v>
      </c>
      <c r="CK117" s="764">
        <v>388.4</v>
      </c>
      <c r="CL117" s="764">
        <v>546.20000000000005</v>
      </c>
      <c r="CM117" s="764">
        <v>10.1</v>
      </c>
      <c r="CN117" s="764">
        <v>1.63</v>
      </c>
      <c r="CO117" s="763">
        <v>0</v>
      </c>
      <c r="CP117" s="763">
        <v>14.31</v>
      </c>
      <c r="CQ117" s="763">
        <v>46</v>
      </c>
      <c r="CR117" s="764">
        <v>0</v>
      </c>
      <c r="CS117" s="764">
        <v>0</v>
      </c>
      <c r="CT117" s="764">
        <v>0</v>
      </c>
      <c r="CU117" s="764">
        <v>0</v>
      </c>
      <c r="CV117" s="767">
        <v>1240</v>
      </c>
      <c r="CW117" s="767">
        <v>2212.0833333333335</v>
      </c>
      <c r="CX117" s="767">
        <v>1251.3541666666667</v>
      </c>
      <c r="CY117" s="767">
        <v>1143.3</v>
      </c>
      <c r="CZ117" s="764"/>
      <c r="DA117" s="764"/>
      <c r="DB117" s="764"/>
      <c r="DC117" s="764"/>
      <c r="DD117" s="764"/>
      <c r="DE117" s="764"/>
      <c r="DF117" s="764"/>
      <c r="DG117" s="760"/>
      <c r="DH117" s="764">
        <v>0</v>
      </c>
      <c r="DI117" s="764">
        <v>0.55000000000000004</v>
      </c>
      <c r="DJ117" s="764">
        <v>1.32</v>
      </c>
      <c r="DK117" s="425"/>
      <c r="DL117" s="456"/>
      <c r="DM117" s="456"/>
      <c r="DN117" s="456"/>
      <c r="DO117" s="456"/>
      <c r="DP117" s="456"/>
      <c r="DQ117" s="456"/>
      <c r="DR117" s="456"/>
      <c r="DS117" s="456"/>
      <c r="DT117" s="456"/>
      <c r="DU117" s="456"/>
      <c r="DV117" s="456"/>
      <c r="DW117" s="456"/>
      <c r="DX117" s="456"/>
      <c r="DY117" s="456"/>
      <c r="DZ117" s="456"/>
      <c r="EA117" s="456"/>
      <c r="EB117" s="456"/>
      <c r="EC117" s="456"/>
      <c r="ED117" s="423">
        <v>0</v>
      </c>
      <c r="EE117" s="456">
        <v>0</v>
      </c>
      <c r="EF117" s="456">
        <v>2.5</v>
      </c>
      <c r="EG117" s="456">
        <v>6</v>
      </c>
      <c r="EH117" s="423">
        <v>0</v>
      </c>
      <c r="EI117" s="456"/>
      <c r="EJ117" s="456"/>
      <c r="EK117" s="456"/>
      <c r="EL117" s="456"/>
      <c r="EM117" s="456"/>
      <c r="EN117" s="456"/>
      <c r="EO117" s="425"/>
      <c r="EP117" s="425"/>
      <c r="EQ117" s="425" t="s">
        <v>743</v>
      </c>
      <c r="ER117" s="425">
        <v>1</v>
      </c>
      <c r="ES117" s="425">
        <v>6</v>
      </c>
      <c r="ET117" s="425">
        <v>1020</v>
      </c>
      <c r="EU117" s="457">
        <v>4000</v>
      </c>
      <c r="EV117" s="425">
        <v>200</v>
      </c>
      <c r="EW117" s="425">
        <v>6791979</v>
      </c>
      <c r="EX117" s="425">
        <v>26825</v>
      </c>
      <c r="EY117" s="666">
        <v>18.100000000000001</v>
      </c>
      <c r="EZ117" s="666">
        <v>18.100000000000001</v>
      </c>
      <c r="FA117" s="666">
        <v>0</v>
      </c>
      <c r="FB117" s="666">
        <v>1.49</v>
      </c>
      <c r="FC117" s="666">
        <v>1.49</v>
      </c>
      <c r="FD117" s="666">
        <v>1.1200000000000001</v>
      </c>
      <c r="FE117" s="666">
        <v>1.1499999999999999</v>
      </c>
      <c r="FF117" s="666">
        <v>200</v>
      </c>
      <c r="FG117" s="666">
        <v>2.19</v>
      </c>
      <c r="FH117" s="666">
        <v>0.59</v>
      </c>
      <c r="FI117" s="666">
        <v>0.99</v>
      </c>
      <c r="FJ117" s="666">
        <v>8.33</v>
      </c>
      <c r="FK117" s="666">
        <v>8.3000000000000007</v>
      </c>
      <c r="FL117" s="666">
        <v>7.99</v>
      </c>
      <c r="FM117" s="666">
        <v>7.6</v>
      </c>
      <c r="FN117" s="666">
        <v>0</v>
      </c>
    </row>
    <row r="118" spans="1:170" s="416" customFormat="1" ht="15">
      <c r="A118" s="425" t="s">
        <v>7</v>
      </c>
      <c r="B118" s="426">
        <v>40647</v>
      </c>
      <c r="C118" s="418">
        <v>0</v>
      </c>
      <c r="D118" s="518">
        <v>0.68</v>
      </c>
      <c r="E118" s="453">
        <v>0</v>
      </c>
      <c r="F118" s="453">
        <v>37</v>
      </c>
      <c r="G118" s="453">
        <v>1.5</v>
      </c>
      <c r="H118" s="519">
        <v>4.26</v>
      </c>
      <c r="I118" s="519">
        <v>90.1</v>
      </c>
      <c r="J118" s="483">
        <v>3.99</v>
      </c>
      <c r="K118" s="520" t="s">
        <v>742</v>
      </c>
      <c r="L118" s="453">
        <v>38.6</v>
      </c>
      <c r="M118" s="453">
        <v>25.9</v>
      </c>
      <c r="N118" s="453">
        <v>1.74</v>
      </c>
      <c r="O118" s="453">
        <v>2.31</v>
      </c>
      <c r="P118" s="453" t="s">
        <v>742</v>
      </c>
      <c r="Q118" s="453" t="s">
        <v>742</v>
      </c>
      <c r="R118" s="453">
        <v>865.47</v>
      </c>
      <c r="S118" s="453">
        <v>7.78</v>
      </c>
      <c r="T118" s="453" t="s">
        <v>742</v>
      </c>
      <c r="U118" s="453">
        <v>0.72</v>
      </c>
      <c r="V118" s="453" t="s">
        <v>742</v>
      </c>
      <c r="W118" s="453">
        <v>46.04</v>
      </c>
      <c r="X118" s="456" t="e">
        <v>#VALUE!</v>
      </c>
      <c r="Y118" s="453">
        <v>27.44</v>
      </c>
      <c r="Z118" s="453">
        <v>17.91</v>
      </c>
      <c r="AA118" s="519">
        <v>26</v>
      </c>
      <c r="AB118" s="519">
        <v>19</v>
      </c>
      <c r="AC118" s="732">
        <f t="shared" si="1"/>
        <v>45</v>
      </c>
      <c r="AD118" s="664"/>
      <c r="AE118" s="664"/>
      <c r="AF118" s="664"/>
      <c r="AG118" s="664"/>
      <c r="AH118" s="664"/>
      <c r="AI118" s="664"/>
      <c r="AJ118" s="485"/>
      <c r="AK118" s="485"/>
      <c r="AL118" s="485"/>
      <c r="AM118" s="485"/>
      <c r="AN118" s="485"/>
      <c r="AO118" s="665"/>
      <c r="AP118" s="485"/>
      <c r="AQ118" s="483"/>
      <c r="AR118" s="755">
        <v>0</v>
      </c>
      <c r="AS118" s="483">
        <v>18.5</v>
      </c>
      <c r="AT118" s="755">
        <v>0</v>
      </c>
      <c r="AU118" s="483">
        <v>28.9</v>
      </c>
      <c r="AV118" s="484">
        <v>325.89999999999998</v>
      </c>
      <c r="AW118" s="484">
        <v>294.2</v>
      </c>
      <c r="AX118" s="453">
        <v>0</v>
      </c>
      <c r="AY118" s="734">
        <v>0</v>
      </c>
      <c r="AZ118" s="734">
        <v>0</v>
      </c>
      <c r="BA118" s="734">
        <v>0</v>
      </c>
      <c r="BB118" s="416">
        <v>0</v>
      </c>
      <c r="BC118" s="453">
        <v>0.26</v>
      </c>
      <c r="BD118" s="453">
        <v>0.4</v>
      </c>
      <c r="BE118" s="734">
        <v>0</v>
      </c>
      <c r="BF118" s="453">
        <v>0</v>
      </c>
      <c r="BG118" s="453">
        <v>0</v>
      </c>
      <c r="BH118" s="734">
        <v>0</v>
      </c>
      <c r="BI118" s="453">
        <v>0</v>
      </c>
      <c r="BJ118" s="453">
        <v>19.3</v>
      </c>
      <c r="BK118" s="453">
        <v>0.84</v>
      </c>
      <c r="BL118" s="453">
        <v>0.88</v>
      </c>
      <c r="BM118" s="453">
        <v>0</v>
      </c>
      <c r="BN118" s="453">
        <v>17.399999999999999</v>
      </c>
      <c r="BO118" s="453">
        <v>1063.0999999999999</v>
      </c>
      <c r="BP118" s="453">
        <v>0</v>
      </c>
      <c r="BQ118" s="453">
        <v>18.100000000000001</v>
      </c>
      <c r="BR118" s="453">
        <v>18.100000000000001</v>
      </c>
      <c r="BS118" s="453">
        <v>0</v>
      </c>
      <c r="BT118" s="453">
        <v>28.6</v>
      </c>
      <c r="BU118" s="453">
        <v>23.7</v>
      </c>
      <c r="BV118" s="456">
        <v>552.29999999999995</v>
      </c>
      <c r="BW118" s="453">
        <v>0.7</v>
      </c>
      <c r="BX118" s="453">
        <v>1.59</v>
      </c>
      <c r="BY118" s="456">
        <v>1.1100000000000001</v>
      </c>
      <c r="BZ118" s="456">
        <v>15.2</v>
      </c>
      <c r="CA118" s="456">
        <v>37</v>
      </c>
      <c r="CB118" s="456">
        <v>12.51</v>
      </c>
      <c r="CC118" s="456">
        <v>9.14</v>
      </c>
      <c r="CD118" s="456">
        <v>13.39</v>
      </c>
      <c r="CE118" s="456">
        <v>17.46</v>
      </c>
      <c r="CF118" s="456">
        <v>12.75</v>
      </c>
      <c r="CG118" s="456">
        <v>493.5</v>
      </c>
      <c r="CH118" s="456">
        <v>2.1</v>
      </c>
      <c r="CI118" s="456">
        <v>2.9</v>
      </c>
      <c r="CJ118" s="456">
        <v>255.9</v>
      </c>
      <c r="CK118" s="456">
        <v>386.4</v>
      </c>
      <c r="CL118" s="456">
        <v>551.1</v>
      </c>
      <c r="CM118" s="456">
        <v>10.1</v>
      </c>
      <c r="CN118" s="456">
        <v>1.66</v>
      </c>
      <c r="CO118" s="453">
        <v>0</v>
      </c>
      <c r="CP118" s="453">
        <v>14.37</v>
      </c>
      <c r="CQ118" s="453">
        <v>46</v>
      </c>
      <c r="CR118" s="456">
        <v>0</v>
      </c>
      <c r="CS118" s="456">
        <v>0</v>
      </c>
      <c r="CT118" s="456">
        <v>0</v>
      </c>
      <c r="CU118" s="456">
        <v>0</v>
      </c>
      <c r="CV118" s="481">
        <v>1227.78</v>
      </c>
      <c r="CW118" s="481">
        <v>2172.5</v>
      </c>
      <c r="CX118" s="481">
        <v>1196.1500000000001</v>
      </c>
      <c r="CY118" s="481">
        <v>1143.7</v>
      </c>
      <c r="CZ118" s="456"/>
      <c r="DA118" s="456"/>
      <c r="DB118" s="456"/>
      <c r="DC118" s="456"/>
      <c r="DD118" s="456"/>
      <c r="DE118" s="456"/>
      <c r="DF118" s="456"/>
      <c r="DG118" s="425"/>
      <c r="DH118" s="456">
        <v>0</v>
      </c>
      <c r="DI118" s="456">
        <v>0.59</v>
      </c>
      <c r="DJ118" s="456">
        <v>1.1200000000000001</v>
      </c>
      <c r="DK118" s="425"/>
      <c r="DL118" s="456"/>
      <c r="DM118" s="456"/>
      <c r="DN118" s="456"/>
      <c r="DO118" s="456"/>
      <c r="DP118" s="456"/>
      <c r="DQ118" s="456"/>
      <c r="DR118" s="456"/>
      <c r="DS118" s="456"/>
      <c r="DT118" s="456"/>
      <c r="DU118" s="456"/>
      <c r="DV118" s="456"/>
      <c r="DW118" s="456"/>
      <c r="DX118" s="456"/>
      <c r="DY118" s="456"/>
      <c r="DZ118" s="456"/>
      <c r="EA118" s="456"/>
      <c r="EB118" s="456"/>
      <c r="EC118" s="456"/>
      <c r="ED118" s="423">
        <v>0</v>
      </c>
      <c r="EE118" s="456">
        <v>0</v>
      </c>
      <c r="EF118" s="456">
        <v>2.5</v>
      </c>
      <c r="EG118" s="456">
        <v>6</v>
      </c>
      <c r="EH118" s="423">
        <v>0</v>
      </c>
      <c r="EI118" s="456"/>
      <c r="EJ118" s="456">
        <v>1</v>
      </c>
      <c r="EK118" s="456"/>
      <c r="EL118" s="456"/>
      <c r="EM118" s="456"/>
      <c r="EN118" s="456"/>
      <c r="EO118" s="425"/>
      <c r="EP118" s="425"/>
      <c r="EQ118" s="425" t="s">
        <v>743</v>
      </c>
      <c r="ER118" s="425">
        <v>1</v>
      </c>
      <c r="ES118" s="425">
        <v>6</v>
      </c>
      <c r="ET118" s="425">
        <v>800</v>
      </c>
      <c r="EU118" s="457">
        <v>4000</v>
      </c>
      <c r="EV118" s="425">
        <v>230</v>
      </c>
      <c r="EW118" s="425">
        <v>6794478</v>
      </c>
      <c r="EX118" s="425">
        <v>27589</v>
      </c>
      <c r="EY118" s="666">
        <v>18.149999999999999</v>
      </c>
      <c r="EZ118" s="666">
        <v>18.149999999999999</v>
      </c>
      <c r="FA118" s="666">
        <v>0</v>
      </c>
      <c r="FB118" s="666">
        <v>1.45</v>
      </c>
      <c r="FC118" s="666">
        <v>1.44</v>
      </c>
      <c r="FD118" s="666">
        <v>1.24</v>
      </c>
      <c r="FE118" s="666">
        <v>1.21</v>
      </c>
      <c r="FF118" s="666">
        <v>180</v>
      </c>
      <c r="FG118" s="666">
        <v>3.78</v>
      </c>
      <c r="FH118" s="666">
        <v>0.89</v>
      </c>
      <c r="FI118" s="666">
        <v>1.34</v>
      </c>
      <c r="FJ118" s="666">
        <v>8.32</v>
      </c>
      <c r="FK118" s="666">
        <v>8.3000000000000007</v>
      </c>
      <c r="FL118" s="666">
        <v>7.98</v>
      </c>
      <c r="FM118" s="666">
        <v>7.6</v>
      </c>
      <c r="FN118" s="666">
        <v>0</v>
      </c>
    </row>
    <row r="119" spans="1:170" s="416" customFormat="1" ht="15">
      <c r="A119" s="425" t="s">
        <v>8</v>
      </c>
      <c r="B119" s="426">
        <v>40648</v>
      </c>
      <c r="C119" s="418">
        <v>0</v>
      </c>
      <c r="D119" s="518">
        <v>7.0000000000000007E-2</v>
      </c>
      <c r="E119" s="453">
        <v>0</v>
      </c>
      <c r="F119" s="453">
        <v>43.5</v>
      </c>
      <c r="G119" s="453">
        <v>1.58</v>
      </c>
      <c r="H119" s="519">
        <v>3.33</v>
      </c>
      <c r="I119" s="519">
        <v>90.3</v>
      </c>
      <c r="J119" s="483">
        <v>3.41</v>
      </c>
      <c r="K119" s="520" t="s">
        <v>742</v>
      </c>
      <c r="L119" s="453">
        <v>38.6</v>
      </c>
      <c r="M119" s="453">
        <v>26.2</v>
      </c>
      <c r="N119" s="453">
        <v>1.74</v>
      </c>
      <c r="O119" s="453">
        <v>2.401833864325122</v>
      </c>
      <c r="P119" s="453" t="s">
        <v>742</v>
      </c>
      <c r="Q119" s="453" t="s">
        <v>742</v>
      </c>
      <c r="R119" s="453">
        <v>1021.5960158520475</v>
      </c>
      <c r="S119" s="453">
        <v>7.78</v>
      </c>
      <c r="T119" s="453" t="s">
        <v>742</v>
      </c>
      <c r="U119" s="453">
        <v>0.67</v>
      </c>
      <c r="V119" s="453" t="s">
        <v>742</v>
      </c>
      <c r="W119" s="453">
        <v>45.5</v>
      </c>
      <c r="X119" s="456" t="e">
        <v>#VALUE!</v>
      </c>
      <c r="Y119" s="453">
        <v>27.24</v>
      </c>
      <c r="Z119" s="453">
        <v>23.5</v>
      </c>
      <c r="AA119" s="519">
        <v>28</v>
      </c>
      <c r="AB119" s="519">
        <v>24</v>
      </c>
      <c r="AC119" s="732">
        <f t="shared" si="1"/>
        <v>52</v>
      </c>
      <c r="AD119" s="664"/>
      <c r="AE119" s="664"/>
      <c r="AF119" s="664"/>
      <c r="AG119" s="664"/>
      <c r="AH119" s="664"/>
      <c r="AI119" s="664"/>
      <c r="AJ119" s="485"/>
      <c r="AK119" s="485"/>
      <c r="AL119" s="485"/>
      <c r="AM119" s="485"/>
      <c r="AN119" s="485"/>
      <c r="AO119" s="665"/>
      <c r="AP119" s="485"/>
      <c r="AQ119" s="483"/>
      <c r="AR119" s="766">
        <v>0</v>
      </c>
      <c r="AS119" s="763">
        <v>35.4</v>
      </c>
      <c r="AT119" s="766">
        <v>0</v>
      </c>
      <c r="AU119" s="763">
        <v>28.6</v>
      </c>
      <c r="AV119" s="519">
        <v>234.5</v>
      </c>
      <c r="AW119" s="519">
        <v>1167.3</v>
      </c>
      <c r="AX119" s="763">
        <v>0</v>
      </c>
      <c r="AY119" s="766">
        <v>0</v>
      </c>
      <c r="AZ119" s="766">
        <v>0</v>
      </c>
      <c r="BA119" s="766">
        <v>0</v>
      </c>
      <c r="BB119" s="766">
        <v>0</v>
      </c>
      <c r="BC119" s="763">
        <v>0.83</v>
      </c>
      <c r="BD119" s="763">
        <v>1.1599999999999999</v>
      </c>
      <c r="BE119" s="766">
        <v>0</v>
      </c>
      <c r="BF119" s="763">
        <v>0</v>
      </c>
      <c r="BG119" s="763">
        <v>0</v>
      </c>
      <c r="BH119" s="766">
        <v>0</v>
      </c>
      <c r="BI119" s="763">
        <v>0</v>
      </c>
      <c r="BJ119" s="763">
        <v>21.9</v>
      </c>
      <c r="BK119" s="763">
        <v>2.74</v>
      </c>
      <c r="BL119" s="763">
        <v>3.3</v>
      </c>
      <c r="BM119" s="763">
        <v>0</v>
      </c>
      <c r="BN119" s="763">
        <v>15.7</v>
      </c>
      <c r="BO119" s="763">
        <v>1351.1</v>
      </c>
      <c r="BP119" s="763">
        <v>0</v>
      </c>
      <c r="BQ119" s="763">
        <v>18.43</v>
      </c>
      <c r="BR119" s="763">
        <v>18.350000000000001</v>
      </c>
      <c r="BS119" s="763">
        <v>0</v>
      </c>
      <c r="BT119" s="763">
        <v>27.7</v>
      </c>
      <c r="BU119" s="763">
        <v>22.6</v>
      </c>
      <c r="BV119" s="764">
        <v>492.7</v>
      </c>
      <c r="BW119" s="763">
        <v>1</v>
      </c>
      <c r="BX119" s="763">
        <v>1.56</v>
      </c>
      <c r="BY119" s="764">
        <v>1.08</v>
      </c>
      <c r="BZ119" s="764">
        <v>15.27</v>
      </c>
      <c r="CA119" s="764">
        <v>36.799999999999997</v>
      </c>
      <c r="CB119" s="764">
        <v>10.78</v>
      </c>
      <c r="CC119" s="764">
        <v>8.94</v>
      </c>
      <c r="CD119" s="764">
        <v>13.17</v>
      </c>
      <c r="CE119" s="764">
        <v>17.28</v>
      </c>
      <c r="CF119" s="764">
        <v>13.05</v>
      </c>
      <c r="CG119" s="764">
        <v>495</v>
      </c>
      <c r="CH119" s="764">
        <v>1.7</v>
      </c>
      <c r="CI119" s="764">
        <v>2.6</v>
      </c>
      <c r="CJ119" s="764">
        <v>1147.5</v>
      </c>
      <c r="CK119" s="764">
        <v>425.7</v>
      </c>
      <c r="CL119" s="764">
        <v>530.1</v>
      </c>
      <c r="CM119" s="764">
        <v>10.6</v>
      </c>
      <c r="CN119" s="764">
        <v>1.71</v>
      </c>
      <c r="CO119" s="763">
        <v>0</v>
      </c>
      <c r="CP119" s="763">
        <v>14.83</v>
      </c>
      <c r="CQ119" s="763">
        <v>46</v>
      </c>
      <c r="CR119" s="764">
        <v>0</v>
      </c>
      <c r="CS119" s="764">
        <v>0</v>
      </c>
      <c r="CT119" s="764">
        <v>0</v>
      </c>
      <c r="CU119" s="764">
        <v>0</v>
      </c>
      <c r="CV119" s="767">
        <v>1170.5</v>
      </c>
      <c r="CW119" s="767">
        <v>2085.2083333333335</v>
      </c>
      <c r="CX119" s="767">
        <v>1151.1458333333333</v>
      </c>
      <c r="CY119" s="767">
        <v>1144.2</v>
      </c>
      <c r="CZ119" s="456"/>
      <c r="DA119" s="456"/>
      <c r="DB119" s="456"/>
      <c r="DC119" s="456"/>
      <c r="DD119" s="456"/>
      <c r="DE119" s="456"/>
      <c r="DF119" s="456"/>
      <c r="DG119" s="425"/>
      <c r="DH119" s="764">
        <v>0</v>
      </c>
      <c r="DI119" s="764">
        <v>0.63</v>
      </c>
      <c r="DJ119" s="764">
        <v>1.1499999999999999</v>
      </c>
      <c r="DK119" s="425"/>
      <c r="DL119" s="456"/>
      <c r="DM119" s="456"/>
      <c r="DN119" s="456"/>
      <c r="DO119" s="456"/>
      <c r="DP119" s="456"/>
      <c r="DQ119" s="456"/>
      <c r="DR119" s="456"/>
      <c r="DS119" s="456"/>
      <c r="DT119" s="456"/>
      <c r="DU119" s="456"/>
      <c r="DV119" s="456"/>
      <c r="DW119" s="456"/>
      <c r="DX119" s="456"/>
      <c r="DY119" s="456"/>
      <c r="DZ119" s="456"/>
      <c r="EA119" s="456"/>
      <c r="EB119" s="456"/>
      <c r="EC119" s="456"/>
      <c r="ED119" s="423">
        <v>0</v>
      </c>
      <c r="EE119" s="456">
        <v>0</v>
      </c>
      <c r="EF119" s="456">
        <v>2.5</v>
      </c>
      <c r="EG119" s="456">
        <v>6</v>
      </c>
      <c r="EH119" s="423">
        <v>0</v>
      </c>
      <c r="EI119" s="456"/>
      <c r="EJ119" s="456"/>
      <c r="EK119" s="456"/>
      <c r="EL119" s="456"/>
      <c r="EM119" s="456"/>
      <c r="EN119" s="456"/>
      <c r="EO119" s="425"/>
      <c r="EP119" s="425"/>
      <c r="EQ119" s="425" t="s">
        <v>743</v>
      </c>
      <c r="ER119" s="425">
        <v>1</v>
      </c>
      <c r="ES119" s="425">
        <v>6</v>
      </c>
      <c r="ET119" s="425">
        <v>630</v>
      </c>
      <c r="EU119" s="457">
        <v>4000</v>
      </c>
      <c r="EV119" s="425">
        <v>140</v>
      </c>
      <c r="EW119" s="425">
        <v>6796592</v>
      </c>
      <c r="EX119" s="425">
        <v>28329</v>
      </c>
      <c r="EY119" s="666">
        <v>18.7</v>
      </c>
      <c r="EZ119" s="666">
        <v>18.7</v>
      </c>
      <c r="FA119" s="666">
        <v>0</v>
      </c>
      <c r="FB119" s="666">
        <v>1.49</v>
      </c>
      <c r="FC119" s="666">
        <v>1.47</v>
      </c>
      <c r="FD119" s="666">
        <v>1.18</v>
      </c>
      <c r="FE119" s="666">
        <v>1.17</v>
      </c>
      <c r="FF119" s="666">
        <v>170</v>
      </c>
      <c r="FG119" s="666">
        <v>2.82</v>
      </c>
      <c r="FH119" s="666">
        <v>1.1299999999999999</v>
      </c>
      <c r="FI119" s="666">
        <v>1.8</v>
      </c>
      <c r="FJ119" s="666">
        <v>8.34</v>
      </c>
      <c r="FK119" s="666">
        <v>8.3000000000000007</v>
      </c>
      <c r="FL119" s="666">
        <v>8.02</v>
      </c>
      <c r="FM119" s="666">
        <v>7.6</v>
      </c>
      <c r="FN119" s="666">
        <v>0</v>
      </c>
    </row>
    <row r="120" spans="1:170" s="416" customFormat="1" ht="15">
      <c r="A120" s="425" t="s">
        <v>9</v>
      </c>
      <c r="B120" s="426">
        <v>40649</v>
      </c>
      <c r="C120" s="418">
        <v>0</v>
      </c>
      <c r="D120" s="518">
        <v>0.02</v>
      </c>
      <c r="E120" s="453">
        <v>0</v>
      </c>
      <c r="F120" s="453">
        <v>38</v>
      </c>
      <c r="G120" s="453">
        <v>1.65</v>
      </c>
      <c r="H120" s="519">
        <v>3.91</v>
      </c>
      <c r="I120" s="519">
        <v>91.3</v>
      </c>
      <c r="J120" s="483">
        <v>3</v>
      </c>
      <c r="K120" s="520" t="s">
        <v>742</v>
      </c>
      <c r="L120" s="453">
        <v>0.96</v>
      </c>
      <c r="M120" s="453">
        <v>26.1</v>
      </c>
      <c r="N120" s="453">
        <v>1.73</v>
      </c>
      <c r="O120" s="453">
        <v>2.3268357245332756</v>
      </c>
      <c r="P120" s="453" t="s">
        <v>742</v>
      </c>
      <c r="Q120" s="453" t="s">
        <v>742</v>
      </c>
      <c r="R120" s="453">
        <v>1017.3852523117567</v>
      </c>
      <c r="S120" s="453">
        <v>7.77</v>
      </c>
      <c r="T120" s="453" t="s">
        <v>742</v>
      </c>
      <c r="U120" s="453">
        <v>0.73</v>
      </c>
      <c r="V120" s="453" t="s">
        <v>742</v>
      </c>
      <c r="W120" s="453">
        <v>42.08</v>
      </c>
      <c r="X120" s="456" t="e">
        <v>#VALUE!</v>
      </c>
      <c r="Y120" s="453">
        <v>27.34</v>
      </c>
      <c r="Z120" s="453">
        <v>24.31</v>
      </c>
      <c r="AA120" s="519">
        <v>27.69999999999709</v>
      </c>
      <c r="AB120" s="519">
        <v>24</v>
      </c>
      <c r="AC120" s="732">
        <f t="shared" si="1"/>
        <v>51.69999999999709</v>
      </c>
      <c r="AD120" s="664"/>
      <c r="AE120" s="664"/>
      <c r="AF120" s="664"/>
      <c r="AG120" s="664"/>
      <c r="AH120" s="664"/>
      <c r="AI120" s="664"/>
      <c r="AJ120" s="485"/>
      <c r="AK120" s="485"/>
      <c r="AL120" s="485"/>
      <c r="AM120" s="485"/>
      <c r="AN120" s="485"/>
      <c r="AO120" s="665"/>
      <c r="AP120" s="485"/>
      <c r="AQ120" s="483"/>
      <c r="AR120" s="766">
        <v>0</v>
      </c>
      <c r="AS120" s="763">
        <v>18.8</v>
      </c>
      <c r="AT120" s="766">
        <v>0</v>
      </c>
      <c r="AU120" s="763">
        <v>28.6</v>
      </c>
      <c r="AV120" s="519">
        <v>517.79999999999995</v>
      </c>
      <c r="AW120" s="519">
        <v>552.29999999999995</v>
      </c>
      <c r="AX120" s="763">
        <v>0</v>
      </c>
      <c r="AY120" s="766">
        <v>0</v>
      </c>
      <c r="AZ120" s="766">
        <v>0</v>
      </c>
      <c r="BA120" s="766">
        <v>0</v>
      </c>
      <c r="BB120" s="766">
        <v>0</v>
      </c>
      <c r="BC120" s="763">
        <v>1.01</v>
      </c>
      <c r="BD120" s="763">
        <v>1.51</v>
      </c>
      <c r="BE120" s="766">
        <v>0</v>
      </c>
      <c r="BF120" s="763">
        <v>0</v>
      </c>
      <c r="BG120" s="763">
        <v>0</v>
      </c>
      <c r="BH120" s="766">
        <v>0</v>
      </c>
      <c r="BI120" s="763">
        <v>0</v>
      </c>
      <c r="BJ120" s="763">
        <v>21.5</v>
      </c>
      <c r="BK120" s="763">
        <v>2.75</v>
      </c>
      <c r="BL120" s="763">
        <v>3.3</v>
      </c>
      <c r="BM120" s="763">
        <v>0</v>
      </c>
      <c r="BN120" s="763">
        <v>15.3</v>
      </c>
      <c r="BO120" s="763">
        <v>1507.3</v>
      </c>
      <c r="BP120" s="763">
        <v>0</v>
      </c>
      <c r="BQ120" s="763">
        <v>18.3</v>
      </c>
      <c r="BR120" s="763">
        <v>18.2</v>
      </c>
      <c r="BS120" s="763">
        <v>0</v>
      </c>
      <c r="BT120" s="763">
        <v>27.8</v>
      </c>
      <c r="BU120" s="763">
        <v>25</v>
      </c>
      <c r="BV120" s="764">
        <v>447</v>
      </c>
      <c r="BW120" s="763">
        <v>1.2</v>
      </c>
      <c r="BX120" s="763">
        <v>1.57</v>
      </c>
      <c r="BY120" s="764">
        <v>1.1100000000000001</v>
      </c>
      <c r="BZ120" s="764">
        <v>14.96</v>
      </c>
      <c r="CA120" s="764">
        <v>35.200000000000003</v>
      </c>
      <c r="CB120" s="764">
        <v>4.6100000000000003</v>
      </c>
      <c r="CC120" s="764">
        <v>9.5299999999999994</v>
      </c>
      <c r="CD120" s="764">
        <v>13.76</v>
      </c>
      <c r="CE120" s="764">
        <v>17.89</v>
      </c>
      <c r="CF120" s="764">
        <v>12.82</v>
      </c>
      <c r="CG120" s="764">
        <v>507.6</v>
      </c>
      <c r="CH120" s="764">
        <v>1.8</v>
      </c>
      <c r="CI120" s="764">
        <v>2.4</v>
      </c>
      <c r="CJ120" s="764">
        <v>1233</v>
      </c>
      <c r="CK120" s="764">
        <v>443.7</v>
      </c>
      <c r="CL120" s="764">
        <v>509.5</v>
      </c>
      <c r="CM120" s="764">
        <v>10.8</v>
      </c>
      <c r="CN120" s="764">
        <v>1.67</v>
      </c>
      <c r="CO120" s="763">
        <v>0</v>
      </c>
      <c r="CP120" s="763">
        <v>15.17</v>
      </c>
      <c r="CQ120" s="763">
        <v>46</v>
      </c>
      <c r="CR120" s="764">
        <v>0</v>
      </c>
      <c r="CS120" s="764">
        <v>0</v>
      </c>
      <c r="CT120" s="764">
        <v>0</v>
      </c>
      <c r="CU120" s="764">
        <v>0</v>
      </c>
      <c r="CV120" s="767">
        <v>1207.2222222222222</v>
      </c>
      <c r="CW120" s="767">
        <v>2115.7291666666665</v>
      </c>
      <c r="CX120" s="767">
        <v>1219.5833333333333</v>
      </c>
      <c r="CY120" s="767">
        <v>1145.01</v>
      </c>
      <c r="CZ120" s="456"/>
      <c r="DA120" s="456"/>
      <c r="DB120" s="456"/>
      <c r="DC120" s="456"/>
      <c r="DD120" s="456"/>
      <c r="DE120" s="456"/>
      <c r="DF120" s="456"/>
      <c r="DG120" s="425"/>
      <c r="DH120" s="764">
        <v>0</v>
      </c>
      <c r="DI120" s="764">
        <v>0.46</v>
      </c>
      <c r="DJ120" s="764">
        <v>1.18</v>
      </c>
      <c r="DK120" s="425"/>
      <c r="DL120" s="456"/>
      <c r="DM120" s="456"/>
      <c r="DN120" s="456"/>
      <c r="DO120" s="456"/>
      <c r="DP120" s="456"/>
      <c r="DQ120" s="456"/>
      <c r="DR120" s="456"/>
      <c r="DS120" s="456"/>
      <c r="DT120" s="456"/>
      <c r="DU120" s="456"/>
      <c r="DV120" s="456"/>
      <c r="DW120" s="456"/>
      <c r="DX120" s="456"/>
      <c r="DY120" s="456"/>
      <c r="DZ120" s="456"/>
      <c r="EA120" s="456"/>
      <c r="EB120" s="456"/>
      <c r="EC120" s="456"/>
      <c r="ED120" s="423">
        <v>0</v>
      </c>
      <c r="EE120" s="456">
        <v>0</v>
      </c>
      <c r="EF120" s="456">
        <v>2.5</v>
      </c>
      <c r="EG120" s="456">
        <v>6</v>
      </c>
      <c r="EH120" s="423">
        <v>0</v>
      </c>
      <c r="EI120" s="456"/>
      <c r="EJ120" s="456"/>
      <c r="EK120" s="456"/>
      <c r="EL120" s="456"/>
      <c r="EM120" s="456"/>
      <c r="EN120" s="456"/>
      <c r="EO120" s="425"/>
      <c r="EP120" s="425"/>
      <c r="EQ120" s="425" t="s">
        <v>743</v>
      </c>
      <c r="ER120" s="425">
        <v>1</v>
      </c>
      <c r="ES120" s="425">
        <v>6</v>
      </c>
      <c r="ET120" s="425">
        <v>400</v>
      </c>
      <c r="EU120" s="457">
        <v>4000</v>
      </c>
      <c r="EV120" s="425">
        <v>200</v>
      </c>
      <c r="EW120" s="425">
        <v>6799136</v>
      </c>
      <c r="EX120" s="425">
        <v>29116</v>
      </c>
      <c r="EY120" s="666">
        <v>18.579999999999998</v>
      </c>
      <c r="EZ120" s="666">
        <v>18.579999999999998</v>
      </c>
      <c r="FA120" s="666">
        <v>0</v>
      </c>
      <c r="FB120" s="666">
        <v>1.49</v>
      </c>
      <c r="FC120" s="666">
        <v>1.45</v>
      </c>
      <c r="FD120" s="666">
        <v>1.06</v>
      </c>
      <c r="FE120" s="666">
        <v>1.02</v>
      </c>
      <c r="FF120" s="666">
        <v>230</v>
      </c>
      <c r="FG120" s="666">
        <v>2.37</v>
      </c>
      <c r="FH120" s="666">
        <v>1.23</v>
      </c>
      <c r="FI120" s="666">
        <v>1.85</v>
      </c>
      <c r="FJ120" s="666">
        <v>8.32</v>
      </c>
      <c r="FK120" s="666">
        <v>8.3000000000000007</v>
      </c>
      <c r="FL120" s="666">
        <v>7.93</v>
      </c>
      <c r="FM120" s="666">
        <v>7.5</v>
      </c>
      <c r="FN120" s="666">
        <v>0</v>
      </c>
    </row>
    <row r="121" spans="1:170" s="416" customFormat="1" ht="15">
      <c r="A121" s="425" t="s">
        <v>3</v>
      </c>
      <c r="B121" s="426">
        <v>40650</v>
      </c>
      <c r="C121" s="418">
        <v>0</v>
      </c>
      <c r="D121" s="518">
        <v>0</v>
      </c>
      <c r="E121" s="453">
        <v>0</v>
      </c>
      <c r="F121" s="453">
        <v>36</v>
      </c>
      <c r="G121" s="453">
        <v>1.75</v>
      </c>
      <c r="H121" s="519">
        <v>3.21</v>
      </c>
      <c r="I121" s="519">
        <v>91.5</v>
      </c>
      <c r="J121" s="483">
        <v>2.74</v>
      </c>
      <c r="K121" s="520" t="s">
        <v>742</v>
      </c>
      <c r="L121" s="453">
        <v>0</v>
      </c>
      <c r="M121" s="453">
        <v>26.7</v>
      </c>
      <c r="N121" s="453">
        <v>1.79</v>
      </c>
      <c r="O121" s="453">
        <v>2.3568000743062716</v>
      </c>
      <c r="P121" s="453" t="s">
        <v>742</v>
      </c>
      <c r="Q121" s="453">
        <v>0.12136723910182767</v>
      </c>
      <c r="R121" s="453">
        <v>1006.696391017173</v>
      </c>
      <c r="S121" s="453">
        <v>7.79</v>
      </c>
      <c r="T121" s="453" t="s">
        <v>742</v>
      </c>
      <c r="U121" s="453">
        <v>0.67</v>
      </c>
      <c r="V121" s="453" t="s">
        <v>742</v>
      </c>
      <c r="W121" s="453">
        <v>42.08</v>
      </c>
      <c r="X121" s="456" t="e">
        <v>#VALUE!</v>
      </c>
      <c r="Y121" s="453">
        <v>27.42</v>
      </c>
      <c r="Z121" s="453">
        <v>23.38</v>
      </c>
      <c r="AA121" s="519">
        <v>27.460000000006403</v>
      </c>
      <c r="AB121" s="519">
        <v>24.75</v>
      </c>
      <c r="AC121" s="732">
        <f t="shared" si="1"/>
        <v>52.210000000006403</v>
      </c>
      <c r="AD121" s="664"/>
      <c r="AE121" s="664"/>
      <c r="AF121" s="664"/>
      <c r="AG121" s="664"/>
      <c r="AH121" s="664"/>
      <c r="AI121" s="664"/>
      <c r="AJ121" s="485"/>
      <c r="AK121" s="485"/>
      <c r="AL121" s="485"/>
      <c r="AM121" s="485"/>
      <c r="AN121" s="485"/>
      <c r="AO121" s="665"/>
      <c r="AP121" s="485"/>
      <c r="AQ121" s="483"/>
      <c r="AR121" s="766">
        <v>0</v>
      </c>
      <c r="AS121" s="763">
        <v>19.899999999999999</v>
      </c>
      <c r="AT121" s="766">
        <v>0</v>
      </c>
      <c r="AU121" s="763">
        <v>28.7</v>
      </c>
      <c r="AV121" s="519">
        <v>498.5</v>
      </c>
      <c r="AW121" s="519">
        <v>588.70000000000005</v>
      </c>
      <c r="AX121" s="763">
        <v>0</v>
      </c>
      <c r="AY121" s="766">
        <v>0</v>
      </c>
      <c r="AZ121" s="766">
        <v>0</v>
      </c>
      <c r="BA121" s="766">
        <v>0</v>
      </c>
      <c r="BB121" s="766">
        <v>0</v>
      </c>
      <c r="BC121" s="763">
        <v>1.01</v>
      </c>
      <c r="BD121" s="763">
        <v>1.51</v>
      </c>
      <c r="BE121" s="766">
        <v>0</v>
      </c>
      <c r="BF121" s="763">
        <v>0</v>
      </c>
      <c r="BG121" s="763">
        <v>0</v>
      </c>
      <c r="BH121" s="766">
        <v>0</v>
      </c>
      <c r="BI121" s="763">
        <v>0</v>
      </c>
      <c r="BJ121" s="763">
        <v>21.4</v>
      </c>
      <c r="BK121" s="763">
        <v>2.84</v>
      </c>
      <c r="BL121" s="763">
        <v>3.2</v>
      </c>
      <c r="BM121" s="763">
        <v>0</v>
      </c>
      <c r="BN121" s="763">
        <v>15.3</v>
      </c>
      <c r="BO121" s="763">
        <v>1369.3</v>
      </c>
      <c r="BP121" s="763">
        <v>0</v>
      </c>
      <c r="BQ121" s="763">
        <v>17.899999999999999</v>
      </c>
      <c r="BR121" s="763">
        <v>17.8</v>
      </c>
      <c r="BS121" s="763">
        <v>0</v>
      </c>
      <c r="BT121" s="763">
        <v>27.8</v>
      </c>
      <c r="BU121" s="763">
        <v>26.5</v>
      </c>
      <c r="BV121" s="764">
        <v>635.5</v>
      </c>
      <c r="BW121" s="763">
        <v>1.2</v>
      </c>
      <c r="BX121" s="763">
        <v>1.6</v>
      </c>
      <c r="BY121" s="764">
        <v>1.1000000000000001</v>
      </c>
      <c r="BZ121" s="764">
        <v>15.15</v>
      </c>
      <c r="CA121" s="764">
        <v>37.4</v>
      </c>
      <c r="CB121" s="764">
        <v>2.59</v>
      </c>
      <c r="CC121" s="764">
        <v>9.34</v>
      </c>
      <c r="CD121" s="764">
        <v>13.58</v>
      </c>
      <c r="CE121" s="764">
        <v>17.670000000000002</v>
      </c>
      <c r="CF121" s="764">
        <v>12.93</v>
      </c>
      <c r="CG121" s="764">
        <v>490.5</v>
      </c>
      <c r="CH121" s="764">
        <v>1.8</v>
      </c>
      <c r="CI121" s="764">
        <v>2.2999999999999998</v>
      </c>
      <c r="CJ121" s="764">
        <v>531.79999999999995</v>
      </c>
      <c r="CK121" s="764">
        <v>467</v>
      </c>
      <c r="CL121" s="764">
        <v>527.70000000000005</v>
      </c>
      <c r="CM121" s="764">
        <v>10.6</v>
      </c>
      <c r="CN121" s="764">
        <v>1.61</v>
      </c>
      <c r="CO121" s="763">
        <v>0</v>
      </c>
      <c r="CP121" s="763">
        <v>14.83</v>
      </c>
      <c r="CQ121" s="763">
        <v>46</v>
      </c>
      <c r="CR121" s="764">
        <v>0</v>
      </c>
      <c r="CS121" s="764">
        <v>0</v>
      </c>
      <c r="CT121" s="764">
        <v>0</v>
      </c>
      <c r="CU121" s="764">
        <v>0</v>
      </c>
      <c r="CV121" s="767">
        <v>1252.2222222222222</v>
      </c>
      <c r="CW121" s="767">
        <v>2112.6041666666665</v>
      </c>
      <c r="CX121" s="767">
        <v>1290.625</v>
      </c>
      <c r="CY121" s="767">
        <v>1145.8399999999999</v>
      </c>
      <c r="CZ121" s="456"/>
      <c r="DA121" s="456"/>
      <c r="DB121" s="456"/>
      <c r="DC121" s="456"/>
      <c r="DD121" s="456"/>
      <c r="DE121" s="456"/>
      <c r="DF121" s="456"/>
      <c r="DG121" s="425"/>
      <c r="DH121" s="764">
        <v>0</v>
      </c>
      <c r="DI121" s="764">
        <v>0.56000000000000005</v>
      </c>
      <c r="DJ121" s="764">
        <v>1.1200000000000001</v>
      </c>
      <c r="DK121" s="425"/>
      <c r="DL121" s="456"/>
      <c r="DM121" s="456"/>
      <c r="DN121" s="456"/>
      <c r="DO121" s="456"/>
      <c r="DP121" s="456"/>
      <c r="DQ121" s="456"/>
      <c r="DR121" s="456"/>
      <c r="DS121" s="456"/>
      <c r="DT121" s="456"/>
      <c r="DU121" s="456"/>
      <c r="DV121" s="456"/>
      <c r="DW121" s="456"/>
      <c r="DX121" s="456"/>
      <c r="DY121" s="456"/>
      <c r="DZ121" s="456"/>
      <c r="EA121" s="456"/>
      <c r="EB121" s="456"/>
      <c r="EC121" s="456"/>
      <c r="ED121" s="423">
        <v>0</v>
      </c>
      <c r="EE121" s="456">
        <v>0</v>
      </c>
      <c r="EF121" s="456">
        <v>2.5</v>
      </c>
      <c r="EG121" s="456">
        <v>6</v>
      </c>
      <c r="EH121" s="423">
        <v>0</v>
      </c>
      <c r="EI121" s="456"/>
      <c r="EJ121" s="456"/>
      <c r="EK121" s="456"/>
      <c r="EL121" s="456"/>
      <c r="EM121" s="456"/>
      <c r="EN121" s="456"/>
      <c r="EO121" s="425"/>
      <c r="EP121" s="425"/>
      <c r="EQ121" s="425" t="s">
        <v>743</v>
      </c>
      <c r="ER121" s="425">
        <v>1</v>
      </c>
      <c r="ES121" s="425">
        <v>6</v>
      </c>
      <c r="ET121" s="425">
        <v>160</v>
      </c>
      <c r="EU121" s="457">
        <v>4000</v>
      </c>
      <c r="EV121" s="425">
        <v>250</v>
      </c>
      <c r="EW121" s="425">
        <v>6801713</v>
      </c>
      <c r="EX121" s="425">
        <v>29867</v>
      </c>
      <c r="EY121" s="666">
        <v>18.190000000000001</v>
      </c>
      <c r="EZ121" s="666">
        <v>18.190000000000001</v>
      </c>
      <c r="FA121" s="666">
        <v>0</v>
      </c>
      <c r="FB121" s="666">
        <v>1.52</v>
      </c>
      <c r="FC121" s="666">
        <v>1.49</v>
      </c>
      <c r="FD121" s="666">
        <v>1.1499999999999999</v>
      </c>
      <c r="FE121" s="666">
        <v>1.1499999999999999</v>
      </c>
      <c r="FF121" s="666">
        <v>240</v>
      </c>
      <c r="FG121" s="666">
        <v>2.33</v>
      </c>
      <c r="FH121" s="666">
        <v>1.27</v>
      </c>
      <c r="FI121" s="666">
        <v>2.08</v>
      </c>
      <c r="FJ121" s="666">
        <v>8.35</v>
      </c>
      <c r="FK121" s="666">
        <v>8.3000000000000007</v>
      </c>
      <c r="FL121" s="666">
        <v>7.96</v>
      </c>
      <c r="FM121" s="666">
        <v>7.6</v>
      </c>
      <c r="FN121" s="666">
        <v>0</v>
      </c>
    </row>
    <row r="122" spans="1:170" s="416" customFormat="1" ht="15">
      <c r="A122" s="425" t="s">
        <v>4</v>
      </c>
      <c r="B122" s="426">
        <v>40651</v>
      </c>
      <c r="C122" s="418">
        <v>0</v>
      </c>
      <c r="D122" s="518">
        <v>0.4</v>
      </c>
      <c r="E122" s="453">
        <v>0</v>
      </c>
      <c r="F122" s="453">
        <v>35.9</v>
      </c>
      <c r="G122" s="453">
        <v>1.58</v>
      </c>
      <c r="H122" s="519">
        <v>2.0099999999999998</v>
      </c>
      <c r="I122" s="519">
        <v>92.1</v>
      </c>
      <c r="J122" s="483">
        <v>2.0499999999999998</v>
      </c>
      <c r="K122" s="520" t="s">
        <v>742</v>
      </c>
      <c r="L122" s="453">
        <v>0</v>
      </c>
      <c r="M122" s="453">
        <v>26.6</v>
      </c>
      <c r="N122" s="453">
        <v>1.69</v>
      </c>
      <c r="O122" s="453">
        <v>2.3199435492543894</v>
      </c>
      <c r="P122" s="453" t="s">
        <v>742</v>
      </c>
      <c r="Q122" s="453">
        <v>0</v>
      </c>
      <c r="R122" s="453">
        <v>976.89714134742394</v>
      </c>
      <c r="S122" s="453">
        <v>7.8</v>
      </c>
      <c r="T122" s="453" t="s">
        <v>742</v>
      </c>
      <c r="U122" s="453">
        <v>0.68</v>
      </c>
      <c r="V122" s="453" t="s">
        <v>742</v>
      </c>
      <c r="W122" s="453">
        <v>46.400000000000006</v>
      </c>
      <c r="X122" s="456" t="e">
        <v>#VALUE!</v>
      </c>
      <c r="Y122" s="453">
        <v>27.54</v>
      </c>
      <c r="Z122" s="453">
        <v>23.8</v>
      </c>
      <c r="AA122" s="519">
        <v>26.839999999996508</v>
      </c>
      <c r="AB122" s="519">
        <v>23.25</v>
      </c>
      <c r="AC122" s="732">
        <f t="shared" si="1"/>
        <v>50.089999999996508</v>
      </c>
      <c r="AD122" s="664"/>
      <c r="AE122" s="664"/>
      <c r="AF122" s="664"/>
      <c r="AG122" s="664"/>
      <c r="AH122" s="664"/>
      <c r="AI122" s="664"/>
      <c r="AJ122" s="485"/>
      <c r="AK122" s="485"/>
      <c r="AL122" s="485"/>
      <c r="AM122" s="485"/>
      <c r="AN122" s="485"/>
      <c r="AO122" s="665"/>
      <c r="AP122" s="485"/>
      <c r="AQ122" s="483"/>
      <c r="AR122" s="755">
        <v>0</v>
      </c>
      <c r="AS122" s="483">
        <v>18.8</v>
      </c>
      <c r="AT122" s="755">
        <v>0</v>
      </c>
      <c r="AU122" s="483">
        <v>28.7</v>
      </c>
      <c r="AV122" s="484">
        <v>241.3</v>
      </c>
      <c r="AW122" s="484">
        <v>267.89999999999998</v>
      </c>
      <c r="AX122" s="453">
        <v>0</v>
      </c>
      <c r="AY122" s="734">
        <v>0</v>
      </c>
      <c r="AZ122" s="734">
        <v>0</v>
      </c>
      <c r="BA122" s="734">
        <v>0</v>
      </c>
      <c r="BB122" s="453">
        <v>0</v>
      </c>
      <c r="BC122" s="453">
        <v>0.91</v>
      </c>
      <c r="BD122" s="453">
        <v>1.61</v>
      </c>
      <c r="BE122" s="734">
        <v>0</v>
      </c>
      <c r="BF122" s="453">
        <v>0</v>
      </c>
      <c r="BG122" s="453">
        <v>0</v>
      </c>
      <c r="BH122" s="734">
        <v>0</v>
      </c>
      <c r="BI122" s="453">
        <v>0</v>
      </c>
      <c r="BJ122" s="453">
        <v>21.4</v>
      </c>
      <c r="BK122" s="453">
        <v>5.03</v>
      </c>
      <c r="BL122" s="453">
        <v>3.4</v>
      </c>
      <c r="BM122" s="453">
        <v>0</v>
      </c>
      <c r="BN122" s="453">
        <v>15.2</v>
      </c>
      <c r="BO122" s="453">
        <v>978.9</v>
      </c>
      <c r="BP122" s="453">
        <v>0</v>
      </c>
      <c r="BQ122" s="453">
        <v>17.600000000000001</v>
      </c>
      <c r="BR122" s="453">
        <v>17.600000000000001</v>
      </c>
      <c r="BS122" s="453">
        <v>0</v>
      </c>
      <c r="BT122" s="453">
        <v>28.5</v>
      </c>
      <c r="BU122" s="453">
        <v>26.2</v>
      </c>
      <c r="BV122" s="456">
        <v>438.3</v>
      </c>
      <c r="BW122" s="453">
        <v>1.37</v>
      </c>
      <c r="BX122" s="453">
        <v>1.61</v>
      </c>
      <c r="BY122" s="456">
        <v>1.08</v>
      </c>
      <c r="BZ122" s="456">
        <v>14.8</v>
      </c>
      <c r="CA122" s="456">
        <v>37.799999999999997</v>
      </c>
      <c r="CB122" s="456">
        <v>0</v>
      </c>
      <c r="CC122" s="456">
        <v>7.96</v>
      </c>
      <c r="CD122" s="456">
        <v>12.2</v>
      </c>
      <c r="CE122" s="456">
        <v>16.28</v>
      </c>
      <c r="CF122" s="456">
        <v>12.83</v>
      </c>
      <c r="CG122" s="456">
        <v>502.4</v>
      </c>
      <c r="CH122" s="456">
        <v>1.6</v>
      </c>
      <c r="CI122" s="456">
        <v>2.4</v>
      </c>
      <c r="CJ122" s="456">
        <v>286.89999999999998</v>
      </c>
      <c r="CK122" s="456">
        <v>163.30000000000001</v>
      </c>
      <c r="CL122" s="456">
        <v>555.1</v>
      </c>
      <c r="CM122" s="456">
        <v>10.9</v>
      </c>
      <c r="CN122" s="456">
        <v>1.71</v>
      </c>
      <c r="CO122" s="453">
        <v>0</v>
      </c>
      <c r="CP122" s="453">
        <v>14.72</v>
      </c>
      <c r="CQ122" s="453">
        <v>46</v>
      </c>
      <c r="CR122" s="456">
        <v>0</v>
      </c>
      <c r="CS122" s="456">
        <v>0</v>
      </c>
      <c r="CT122" s="456">
        <v>0</v>
      </c>
      <c r="CU122" s="456">
        <v>0</v>
      </c>
      <c r="CV122" s="481">
        <v>1296.1111111111111</v>
      </c>
      <c r="CW122" s="481">
        <v>2162.8125</v>
      </c>
      <c r="CX122" s="481">
        <v>1274.6875</v>
      </c>
      <c r="CY122" s="481">
        <v>1146.3900000000001</v>
      </c>
      <c r="CZ122" s="456"/>
      <c r="DA122" s="456"/>
      <c r="DB122" s="456"/>
      <c r="DC122" s="456"/>
      <c r="DD122" s="456"/>
      <c r="DE122" s="456"/>
      <c r="DF122" s="456"/>
      <c r="DG122" s="425"/>
      <c r="DH122" s="456">
        <v>0</v>
      </c>
      <c r="DI122" s="456">
        <v>0.48</v>
      </c>
      <c r="DJ122" s="456">
        <v>1.0900000000000001</v>
      </c>
      <c r="DK122" s="425"/>
      <c r="DL122" s="456"/>
      <c r="DM122" s="456"/>
      <c r="DN122" s="456"/>
      <c r="DO122" s="456"/>
      <c r="DP122" s="456"/>
      <c r="DQ122" s="456"/>
      <c r="DR122" s="456"/>
      <c r="DS122" s="456"/>
      <c r="DT122" s="456"/>
      <c r="DU122" s="456"/>
      <c r="DV122" s="456"/>
      <c r="DW122" s="456"/>
      <c r="DX122" s="456"/>
      <c r="DY122" s="456"/>
      <c r="DZ122" s="456"/>
      <c r="EA122" s="456"/>
      <c r="EB122" s="456"/>
      <c r="EC122" s="456"/>
      <c r="ED122" s="423">
        <v>0</v>
      </c>
      <c r="EE122" s="456">
        <v>0</v>
      </c>
      <c r="EF122" s="456">
        <v>2.5</v>
      </c>
      <c r="EG122" s="456">
        <v>6</v>
      </c>
      <c r="EH122" s="423">
        <v>0</v>
      </c>
      <c r="EI122" s="456"/>
      <c r="EJ122" s="456"/>
      <c r="EK122" s="456"/>
      <c r="EL122" s="456"/>
      <c r="EM122" s="456"/>
      <c r="EN122" s="456"/>
      <c r="EO122" s="425"/>
      <c r="EP122" s="425"/>
      <c r="EQ122" s="425" t="s">
        <v>743</v>
      </c>
      <c r="ER122" s="425">
        <v>1</v>
      </c>
      <c r="ES122" s="425">
        <v>4</v>
      </c>
      <c r="ET122" s="425">
        <v>35</v>
      </c>
      <c r="EU122" s="457">
        <v>3860</v>
      </c>
      <c r="EV122" s="425">
        <v>315</v>
      </c>
      <c r="EW122" s="425">
        <v>6804673</v>
      </c>
      <c r="EX122" s="425">
        <v>30638</v>
      </c>
      <c r="EY122" s="666">
        <v>17.3</v>
      </c>
      <c r="EZ122" s="666">
        <v>17.28</v>
      </c>
      <c r="FA122" s="666">
        <v>0</v>
      </c>
      <c r="FB122" s="666">
        <v>1.47</v>
      </c>
      <c r="FC122" s="666">
        <v>1.35</v>
      </c>
      <c r="FD122" s="666">
        <v>1.1539999999999999</v>
      </c>
      <c r="FE122" s="666">
        <v>1.1100000000000001</v>
      </c>
      <c r="FF122" s="666">
        <v>265</v>
      </c>
      <c r="FG122" s="666">
        <v>2.1800000000000002</v>
      </c>
      <c r="FH122" s="666">
        <v>1.276</v>
      </c>
      <c r="FI122" s="666">
        <v>2.06</v>
      </c>
      <c r="FJ122" s="666">
        <v>8.16</v>
      </c>
      <c r="FK122" s="666">
        <v>8.1</v>
      </c>
      <c r="FL122" s="666">
        <v>7.93</v>
      </c>
      <c r="FM122" s="666">
        <v>7.6</v>
      </c>
      <c r="FN122" s="666">
        <v>0</v>
      </c>
    </row>
    <row r="123" spans="1:170" s="416" customFormat="1" ht="15">
      <c r="A123" s="425" t="s">
        <v>5</v>
      </c>
      <c r="B123" s="426">
        <v>40652</v>
      </c>
      <c r="C123" s="418">
        <v>0</v>
      </c>
      <c r="D123" s="518">
        <v>0.05</v>
      </c>
      <c r="E123" s="453">
        <v>0</v>
      </c>
      <c r="F123" s="453">
        <v>34</v>
      </c>
      <c r="G123" s="453">
        <v>1.58</v>
      </c>
      <c r="H123" s="519">
        <v>1.73</v>
      </c>
      <c r="I123" s="519">
        <v>92.4</v>
      </c>
      <c r="J123" s="483">
        <v>1.96</v>
      </c>
      <c r="K123" s="520" t="s">
        <v>742</v>
      </c>
      <c r="L123" s="453">
        <v>0</v>
      </c>
      <c r="M123" s="453">
        <v>26.3</v>
      </c>
      <c r="N123" s="453">
        <v>1.66</v>
      </c>
      <c r="O123" s="453">
        <v>2.2473478305050296</v>
      </c>
      <c r="P123" s="453" t="s">
        <v>742</v>
      </c>
      <c r="Q123" s="453" t="s">
        <v>742</v>
      </c>
      <c r="R123" s="453">
        <v>974.62980713342108</v>
      </c>
      <c r="S123" s="453">
        <v>7.76</v>
      </c>
      <c r="T123" s="453" t="s">
        <v>742</v>
      </c>
      <c r="U123" s="453">
        <v>0.68</v>
      </c>
      <c r="V123" s="453" t="s">
        <v>742</v>
      </c>
      <c r="W123" s="453">
        <v>45.860000000000014</v>
      </c>
      <c r="X123" s="456" t="e">
        <v>#VALUE!</v>
      </c>
      <c r="Y123" s="453">
        <v>27.42</v>
      </c>
      <c r="Z123" s="453">
        <v>23.8</v>
      </c>
      <c r="AA123" s="519">
        <v>28</v>
      </c>
      <c r="AB123" s="519">
        <v>25</v>
      </c>
      <c r="AC123" s="732">
        <f t="shared" si="1"/>
        <v>53</v>
      </c>
      <c r="AD123" s="664"/>
      <c r="AE123" s="664"/>
      <c r="AF123" s="664"/>
      <c r="AG123" s="664"/>
      <c r="AH123" s="664"/>
      <c r="AI123" s="664"/>
      <c r="AJ123" s="485"/>
      <c r="AK123" s="485"/>
      <c r="AL123" s="485"/>
      <c r="AM123" s="485"/>
      <c r="AN123" s="485"/>
      <c r="AO123" s="665"/>
      <c r="AP123" s="485"/>
      <c r="AQ123" s="483"/>
      <c r="AR123" s="755">
        <v>0</v>
      </c>
      <c r="AS123" s="483">
        <v>35.700000000000003</v>
      </c>
      <c r="AT123" s="755">
        <v>0</v>
      </c>
      <c r="AU123" s="483">
        <v>28.6</v>
      </c>
      <c r="AV123" s="484">
        <v>378.6</v>
      </c>
      <c r="AW123" s="484">
        <v>336.2</v>
      </c>
      <c r="AX123" s="453">
        <v>0</v>
      </c>
      <c r="AY123" s="734">
        <v>0</v>
      </c>
      <c r="AZ123" s="734">
        <v>0</v>
      </c>
      <c r="BA123" s="734">
        <v>0</v>
      </c>
      <c r="BB123" s="453">
        <v>0</v>
      </c>
      <c r="BC123" s="453">
        <v>0.87</v>
      </c>
      <c r="BD123" s="453">
        <v>1.66</v>
      </c>
      <c r="BE123" s="734">
        <v>0</v>
      </c>
      <c r="BF123" s="453">
        <v>0</v>
      </c>
      <c r="BG123" s="453">
        <v>0</v>
      </c>
      <c r="BH123" s="734">
        <v>0</v>
      </c>
      <c r="BI123" s="453">
        <v>0</v>
      </c>
      <c r="BJ123" s="453">
        <v>21.5</v>
      </c>
      <c r="BK123" s="453">
        <v>2.73</v>
      </c>
      <c r="BL123" s="453">
        <v>3.3</v>
      </c>
      <c r="BM123" s="453">
        <v>0</v>
      </c>
      <c r="BN123" s="453">
        <v>15.3</v>
      </c>
      <c r="BO123" s="453">
        <v>1681.8</v>
      </c>
      <c r="BP123" s="453">
        <v>33.200000000000003</v>
      </c>
      <c r="BQ123" s="453">
        <v>16.8</v>
      </c>
      <c r="BR123" s="453">
        <v>16.8</v>
      </c>
      <c r="BS123" s="453">
        <v>0</v>
      </c>
      <c r="BT123" s="453">
        <v>28.2</v>
      </c>
      <c r="BU123" s="453">
        <v>29</v>
      </c>
      <c r="BV123" s="456">
        <v>446.9</v>
      </c>
      <c r="BW123" s="453">
        <v>1.2</v>
      </c>
      <c r="BX123" s="453">
        <v>1.56</v>
      </c>
      <c r="BY123" s="456">
        <v>1.1000000000000001</v>
      </c>
      <c r="BZ123" s="456">
        <v>14.5</v>
      </c>
      <c r="CA123" s="456">
        <v>36.799999999999997</v>
      </c>
      <c r="CB123" s="456">
        <v>0.7</v>
      </c>
      <c r="CC123" s="456">
        <v>9.8000000000000007</v>
      </c>
      <c r="CD123" s="456">
        <v>13.97</v>
      </c>
      <c r="CE123" s="456">
        <v>18.38</v>
      </c>
      <c r="CF123" s="456">
        <v>12.68</v>
      </c>
      <c r="CG123" s="456">
        <v>535.20000000000005</v>
      </c>
      <c r="CH123" s="456">
        <v>2.2000000000000002</v>
      </c>
      <c r="CI123" s="456">
        <v>3.4</v>
      </c>
      <c r="CJ123" s="456">
        <v>207</v>
      </c>
      <c r="CK123" s="456">
        <v>421.8</v>
      </c>
      <c r="CL123" s="456">
        <v>556.1</v>
      </c>
      <c r="CM123" s="456">
        <v>12</v>
      </c>
      <c r="CN123" s="456">
        <v>1.81</v>
      </c>
      <c r="CO123" s="453">
        <v>0</v>
      </c>
      <c r="CP123" s="453">
        <v>16.38</v>
      </c>
      <c r="CQ123" s="453">
        <v>46</v>
      </c>
      <c r="CR123" s="456">
        <v>0</v>
      </c>
      <c r="CS123" s="456">
        <v>0</v>
      </c>
      <c r="CT123" s="456">
        <v>0</v>
      </c>
      <c r="CU123" s="456">
        <v>0</v>
      </c>
      <c r="CV123" s="481">
        <v>1218.8888888888889</v>
      </c>
      <c r="CW123" s="481">
        <v>1994.6875</v>
      </c>
      <c r="CX123" s="481">
        <v>1174.0625</v>
      </c>
      <c r="CY123" s="481">
        <v>1146.69</v>
      </c>
      <c r="CZ123" s="456"/>
      <c r="DA123" s="456"/>
      <c r="DB123" s="456"/>
      <c r="DC123" s="456"/>
      <c r="DD123" s="456"/>
      <c r="DE123" s="456"/>
      <c r="DF123" s="456"/>
      <c r="DG123" s="425"/>
      <c r="DH123" s="456">
        <v>0</v>
      </c>
      <c r="DI123" s="456">
        <v>0.54</v>
      </c>
      <c r="DJ123" s="456">
        <v>1.1399999999999999</v>
      </c>
      <c r="DK123" s="425"/>
      <c r="DL123" s="456"/>
      <c r="DM123" s="456"/>
      <c r="DN123" s="456"/>
      <c r="DO123" s="456"/>
      <c r="DP123" s="456"/>
      <c r="DQ123" s="456"/>
      <c r="DR123" s="456"/>
      <c r="DS123" s="456"/>
      <c r="DT123" s="456"/>
      <c r="DU123" s="456"/>
      <c r="DV123" s="456"/>
      <c r="DW123" s="456"/>
      <c r="DX123" s="456"/>
      <c r="DY123" s="456"/>
      <c r="DZ123" s="456"/>
      <c r="EA123" s="456"/>
      <c r="EB123" s="456"/>
      <c r="EC123" s="456"/>
      <c r="ED123" s="423">
        <v>0</v>
      </c>
      <c r="EE123" s="456">
        <v>0</v>
      </c>
      <c r="EF123" s="456">
        <v>2.5</v>
      </c>
      <c r="EG123" s="456">
        <v>6</v>
      </c>
      <c r="EH123" s="423">
        <v>0</v>
      </c>
      <c r="EI123" s="456"/>
      <c r="EJ123" s="456"/>
      <c r="EK123" s="456"/>
      <c r="EL123" s="456"/>
      <c r="EM123" s="456"/>
      <c r="EN123" s="456"/>
      <c r="EO123" s="425"/>
      <c r="EP123" s="425"/>
      <c r="EQ123" s="425" t="s">
        <v>743</v>
      </c>
      <c r="ER123" s="425">
        <v>1</v>
      </c>
      <c r="ES123" s="425">
        <v>4</v>
      </c>
      <c r="ET123" s="425">
        <v>35</v>
      </c>
      <c r="EU123" s="457">
        <v>3600</v>
      </c>
      <c r="EV123" s="425">
        <v>280</v>
      </c>
      <c r="EW123" s="425">
        <v>6807514</v>
      </c>
      <c r="EX123" s="425">
        <v>31365</v>
      </c>
      <c r="EY123" s="666">
        <v>16.559999999999999</v>
      </c>
      <c r="EZ123" s="666">
        <v>16.579999999999998</v>
      </c>
      <c r="FA123" s="666">
        <v>0</v>
      </c>
      <c r="FB123" s="666">
        <v>1.45</v>
      </c>
      <c r="FC123" s="666">
        <v>1.4</v>
      </c>
      <c r="FD123" s="666">
        <v>1.173</v>
      </c>
      <c r="FE123" s="666">
        <v>1.1399999999999999</v>
      </c>
      <c r="FF123" s="666">
        <v>260</v>
      </c>
      <c r="FG123" s="666">
        <v>2.14</v>
      </c>
      <c r="FH123" s="666">
        <v>1.2310000000000001</v>
      </c>
      <c r="FI123" s="666">
        <v>2.09</v>
      </c>
      <c r="FJ123" s="666">
        <v>8.17</v>
      </c>
      <c r="FK123" s="666">
        <v>8.1</v>
      </c>
      <c r="FL123" s="666">
        <v>7.9</v>
      </c>
      <c r="FM123" s="666">
        <v>7.7</v>
      </c>
      <c r="FN123" s="666">
        <v>0</v>
      </c>
    </row>
    <row r="124" spans="1:170" s="416" customFormat="1" ht="15">
      <c r="A124" s="425" t="s">
        <v>6</v>
      </c>
      <c r="B124" s="426">
        <v>40653</v>
      </c>
      <c r="C124" s="418">
        <v>0</v>
      </c>
      <c r="D124" s="518">
        <v>0.03</v>
      </c>
      <c r="E124" s="453">
        <v>0</v>
      </c>
      <c r="F124" s="453">
        <v>37</v>
      </c>
      <c r="G124" s="453">
        <v>1.35</v>
      </c>
      <c r="H124" s="519">
        <v>2.12</v>
      </c>
      <c r="I124" s="519">
        <v>93.3</v>
      </c>
      <c r="J124" s="483">
        <v>1.76</v>
      </c>
      <c r="K124" s="520" t="s">
        <v>742</v>
      </c>
      <c r="L124" s="453">
        <v>0</v>
      </c>
      <c r="M124" s="453">
        <v>26.1</v>
      </c>
      <c r="N124" s="453">
        <v>1.66</v>
      </c>
      <c r="O124" s="453">
        <v>2.2096077205508888</v>
      </c>
      <c r="P124" s="453" t="s">
        <v>742</v>
      </c>
      <c r="Q124" s="453">
        <v>2.1846103038328981</v>
      </c>
      <c r="R124" s="453">
        <v>988.23381241743698</v>
      </c>
      <c r="S124" s="453">
        <v>7.73</v>
      </c>
      <c r="T124" s="453" t="s">
        <v>742</v>
      </c>
      <c r="U124" s="453">
        <v>0.68</v>
      </c>
      <c r="V124" s="453" t="s">
        <v>742</v>
      </c>
      <c r="W124" s="453">
        <v>42.980000000000004</v>
      </c>
      <c r="X124" s="456" t="e">
        <v>#VALUE!</v>
      </c>
      <c r="Y124" s="453">
        <v>27.43</v>
      </c>
      <c r="Z124" s="453">
        <v>24.62</v>
      </c>
      <c r="AA124" s="519">
        <v>28.190000000002328</v>
      </c>
      <c r="AB124" s="519">
        <v>25.05000000000291</v>
      </c>
      <c r="AC124" s="732">
        <f t="shared" si="1"/>
        <v>53.240000000005239</v>
      </c>
      <c r="AD124" s="664"/>
      <c r="AE124" s="664"/>
      <c r="AF124" s="664"/>
      <c r="AG124" s="664"/>
      <c r="AH124" s="664"/>
      <c r="AI124" s="664"/>
      <c r="AJ124" s="485"/>
      <c r="AK124" s="485"/>
      <c r="AL124" s="485"/>
      <c r="AM124" s="485"/>
      <c r="AN124" s="485"/>
      <c r="AO124" s="665"/>
      <c r="AP124" s="485"/>
      <c r="AQ124" s="483"/>
      <c r="AR124" s="755">
        <v>0</v>
      </c>
      <c r="AS124" s="483">
        <v>18.600000000000001</v>
      </c>
      <c r="AT124" s="755">
        <v>0</v>
      </c>
      <c r="AU124" s="483">
        <v>31</v>
      </c>
      <c r="AV124" s="484">
        <v>269.3</v>
      </c>
      <c r="AW124" s="484">
        <v>299.8</v>
      </c>
      <c r="AX124" s="453">
        <v>0</v>
      </c>
      <c r="AY124" s="734">
        <v>0</v>
      </c>
      <c r="AZ124" s="734">
        <v>0</v>
      </c>
      <c r="BA124" s="734">
        <v>0</v>
      </c>
      <c r="BB124" s="453">
        <v>0</v>
      </c>
      <c r="BC124" s="453">
        <v>0.63</v>
      </c>
      <c r="BD124" s="453">
        <v>1.35</v>
      </c>
      <c r="BE124" s="734">
        <v>0</v>
      </c>
      <c r="BF124" s="453">
        <v>0.27</v>
      </c>
      <c r="BG124" s="453">
        <v>0</v>
      </c>
      <c r="BH124" s="734">
        <v>0</v>
      </c>
      <c r="BI124" s="453">
        <v>0</v>
      </c>
      <c r="BJ124" s="453">
        <v>23</v>
      </c>
      <c r="BK124" s="453">
        <v>2.74</v>
      </c>
      <c r="BL124" s="453">
        <v>3.3</v>
      </c>
      <c r="BM124" s="453">
        <v>0</v>
      </c>
      <c r="BN124" s="453">
        <v>16.8</v>
      </c>
      <c r="BO124" s="453">
        <v>1058.3</v>
      </c>
      <c r="BP124" s="453">
        <v>0</v>
      </c>
      <c r="BQ124" s="453">
        <v>15.9</v>
      </c>
      <c r="BR124" s="453">
        <v>15.99</v>
      </c>
      <c r="BS124" s="453">
        <v>0</v>
      </c>
      <c r="BT124" s="453">
        <v>29.3</v>
      </c>
      <c r="BU124" s="453">
        <v>30.4</v>
      </c>
      <c r="BV124" s="456">
        <v>625.1</v>
      </c>
      <c r="BW124" s="453">
        <v>1.3</v>
      </c>
      <c r="BX124" s="453">
        <v>1.5</v>
      </c>
      <c r="BY124" s="456">
        <v>1.1200000000000001</v>
      </c>
      <c r="BZ124" s="456">
        <v>14.7</v>
      </c>
      <c r="CA124" s="456">
        <v>35.299999999999997</v>
      </c>
      <c r="CB124" s="456">
        <v>6.4</v>
      </c>
      <c r="CC124" s="456">
        <v>8.9</v>
      </c>
      <c r="CD124" s="456">
        <v>13.2</v>
      </c>
      <c r="CE124" s="456">
        <v>17.22</v>
      </c>
      <c r="CF124" s="456">
        <v>12.98</v>
      </c>
      <c r="CG124" s="456">
        <v>559.29999999999995</v>
      </c>
      <c r="CH124" s="456">
        <v>2.4</v>
      </c>
      <c r="CI124" s="456">
        <v>3.2</v>
      </c>
      <c r="CJ124" s="456">
        <v>327.5</v>
      </c>
      <c r="CK124" s="456">
        <v>410.3</v>
      </c>
      <c r="CL124" s="456">
        <v>564.29999999999995</v>
      </c>
      <c r="CM124" s="456">
        <v>12.5</v>
      </c>
      <c r="CN124" s="456">
        <v>1.89</v>
      </c>
      <c r="CO124" s="453">
        <v>0</v>
      </c>
      <c r="CP124" s="453">
        <v>16.59</v>
      </c>
      <c r="CQ124" s="453">
        <v>46</v>
      </c>
      <c r="CR124" s="456">
        <v>0</v>
      </c>
      <c r="CS124" s="456">
        <v>0</v>
      </c>
      <c r="CT124" s="456">
        <v>0</v>
      </c>
      <c r="CU124" s="456">
        <v>0</v>
      </c>
      <c r="CV124" s="481">
        <v>1164.5454545454545</v>
      </c>
      <c r="CW124" s="481">
        <v>1917.1875</v>
      </c>
      <c r="CX124" s="481">
        <v>1072.8854166666667</v>
      </c>
      <c r="CY124" s="481">
        <v>1146.92</v>
      </c>
      <c r="CZ124" s="456"/>
      <c r="DA124" s="456"/>
      <c r="DB124" s="456"/>
      <c r="DC124" s="456"/>
      <c r="DD124" s="456"/>
      <c r="DE124" s="456"/>
      <c r="DF124" s="456"/>
      <c r="DG124" s="425"/>
      <c r="DH124" s="456">
        <v>0</v>
      </c>
      <c r="DI124" s="456">
        <v>0.73</v>
      </c>
      <c r="DJ124" s="456">
        <v>1.1299999999999999</v>
      </c>
      <c r="DK124" s="425"/>
      <c r="DL124" s="456"/>
      <c r="DM124" s="456"/>
      <c r="DN124" s="456"/>
      <c r="DO124" s="456"/>
      <c r="DP124" s="456"/>
      <c r="DQ124" s="456"/>
      <c r="DR124" s="456"/>
      <c r="DS124" s="456"/>
      <c r="DT124" s="456"/>
      <c r="DU124" s="456"/>
      <c r="DV124" s="456"/>
      <c r="DW124" s="456"/>
      <c r="DX124" s="456"/>
      <c r="DY124" s="456"/>
      <c r="DZ124" s="456"/>
      <c r="EA124" s="456"/>
      <c r="EB124" s="456"/>
      <c r="EC124" s="456"/>
      <c r="ED124" s="423">
        <v>0</v>
      </c>
      <c r="EE124" s="456">
        <v>0</v>
      </c>
      <c r="EF124" s="456">
        <v>2.5</v>
      </c>
      <c r="EG124" s="456">
        <v>6</v>
      </c>
      <c r="EH124" s="423">
        <v>0</v>
      </c>
      <c r="EI124" s="456"/>
      <c r="EJ124" s="456"/>
      <c r="EK124" s="456"/>
      <c r="EL124" s="456"/>
      <c r="EM124" s="456"/>
      <c r="EN124" s="456"/>
      <c r="EO124" s="425"/>
      <c r="EP124" s="425"/>
      <c r="EQ124" s="425" t="s">
        <v>743</v>
      </c>
      <c r="ER124" s="425">
        <v>1</v>
      </c>
      <c r="ES124" s="425">
        <v>4</v>
      </c>
      <c r="ET124" s="425">
        <v>4000</v>
      </c>
      <c r="EU124" s="457">
        <v>3320</v>
      </c>
      <c r="EV124" s="425">
        <v>300</v>
      </c>
      <c r="EW124" s="425">
        <v>6810322</v>
      </c>
      <c r="EX124" s="425">
        <v>32054</v>
      </c>
      <c r="EY124" s="666">
        <v>16.100000000000001</v>
      </c>
      <c r="EZ124" s="666">
        <v>16.12</v>
      </c>
      <c r="FA124" s="666">
        <v>0</v>
      </c>
      <c r="FB124" s="666">
        <v>1.37</v>
      </c>
      <c r="FC124" s="666">
        <v>1.35</v>
      </c>
      <c r="FD124" s="666">
        <v>1.02</v>
      </c>
      <c r="FE124" s="666">
        <v>1.21</v>
      </c>
      <c r="FF124" s="666">
        <v>280</v>
      </c>
      <c r="FG124" s="666">
        <v>1.79</v>
      </c>
      <c r="FH124" s="666">
        <v>1.165</v>
      </c>
      <c r="FI124" s="666">
        <v>1.85</v>
      </c>
      <c r="FJ124" s="666">
        <v>8.2100000000000009</v>
      </c>
      <c r="FK124" s="666">
        <v>7.9</v>
      </c>
      <c r="FL124" s="666">
        <v>7.92</v>
      </c>
      <c r="FM124" s="666">
        <v>7.6</v>
      </c>
      <c r="FN124" s="666">
        <v>0</v>
      </c>
    </row>
    <row r="125" spans="1:170" s="416" customFormat="1" ht="15">
      <c r="A125" s="425" t="s">
        <v>7</v>
      </c>
      <c r="B125" s="426">
        <v>40654</v>
      </c>
      <c r="C125" s="418">
        <v>0</v>
      </c>
      <c r="D125" s="518">
        <v>0.33</v>
      </c>
      <c r="E125" s="453">
        <v>0</v>
      </c>
      <c r="F125" s="453">
        <v>36.299999999999997</v>
      </c>
      <c r="G125" s="453">
        <v>1.45</v>
      </c>
      <c r="H125" s="519">
        <v>2.0299999999999998</v>
      </c>
      <c r="I125" s="519">
        <v>95.1</v>
      </c>
      <c r="J125" s="483">
        <v>1.72</v>
      </c>
      <c r="K125" s="520" t="s">
        <v>742</v>
      </c>
      <c r="L125" s="453">
        <v>0</v>
      </c>
      <c r="M125" s="453">
        <v>25.9</v>
      </c>
      <c r="N125" s="453">
        <v>1.55</v>
      </c>
      <c r="O125" s="453">
        <v>2.2486220562109422</v>
      </c>
      <c r="P125" s="453" t="s">
        <v>742</v>
      </c>
      <c r="Q125" s="453" t="s">
        <v>742</v>
      </c>
      <c r="R125" s="453">
        <v>1149.5384464993392</v>
      </c>
      <c r="S125" s="453">
        <v>7.81</v>
      </c>
      <c r="T125" s="453" t="s">
        <v>742</v>
      </c>
      <c r="U125" s="453">
        <v>0.68</v>
      </c>
      <c r="V125" s="453" t="s">
        <v>742</v>
      </c>
      <c r="W125" s="453">
        <v>42.08</v>
      </c>
      <c r="X125" s="456" t="e">
        <v>#VALUE!</v>
      </c>
      <c r="Y125" s="453">
        <v>29.84</v>
      </c>
      <c r="Z125" s="453">
        <v>29.7</v>
      </c>
      <c r="AA125" s="519">
        <v>29.55000000000291</v>
      </c>
      <c r="AB125" s="519">
        <v>31.599999999998545</v>
      </c>
      <c r="AC125" s="732">
        <f t="shared" si="1"/>
        <v>61.150000000001455</v>
      </c>
      <c r="AD125" s="664"/>
      <c r="AE125" s="664"/>
      <c r="AF125" s="664"/>
      <c r="AG125" s="664"/>
      <c r="AH125" s="664"/>
      <c r="AI125" s="664"/>
      <c r="AJ125" s="485"/>
      <c r="AK125" s="485"/>
      <c r="AL125" s="485"/>
      <c r="AM125" s="485"/>
      <c r="AN125" s="485"/>
      <c r="AO125" s="665"/>
      <c r="AP125" s="485"/>
      <c r="AQ125" s="483"/>
      <c r="AR125" s="755">
        <v>0</v>
      </c>
      <c r="AS125" s="483">
        <v>17.8</v>
      </c>
      <c r="AT125" s="755">
        <v>0</v>
      </c>
      <c r="AU125" s="483">
        <v>30.8</v>
      </c>
      <c r="AV125" s="484">
        <v>857.8</v>
      </c>
      <c r="AW125" s="484">
        <v>0</v>
      </c>
      <c r="AX125" s="453">
        <v>0</v>
      </c>
      <c r="AY125" s="734">
        <v>0</v>
      </c>
      <c r="AZ125" s="734">
        <v>0</v>
      </c>
      <c r="BA125" s="734">
        <v>0</v>
      </c>
      <c r="BB125" s="453">
        <v>0</v>
      </c>
      <c r="BC125" s="453">
        <v>0.5</v>
      </c>
      <c r="BD125" s="453">
        <v>1.51</v>
      </c>
      <c r="BE125" s="734">
        <v>0</v>
      </c>
      <c r="BF125" s="453">
        <v>0.51</v>
      </c>
      <c r="BG125" s="453">
        <v>0</v>
      </c>
      <c r="BH125" s="734">
        <v>0</v>
      </c>
      <c r="BI125" s="453">
        <v>0</v>
      </c>
      <c r="BJ125" s="453">
        <v>29</v>
      </c>
      <c r="BK125" s="453">
        <v>3.01</v>
      </c>
      <c r="BL125" s="453">
        <v>3.02</v>
      </c>
      <c r="BM125" s="453">
        <v>0</v>
      </c>
      <c r="BN125" s="453">
        <v>22.8</v>
      </c>
      <c r="BO125" s="453">
        <v>1303.5999999999999</v>
      </c>
      <c r="BP125" s="453">
        <v>0</v>
      </c>
      <c r="BQ125" s="453">
        <v>16.600000000000001</v>
      </c>
      <c r="BR125" s="453">
        <v>16.600000000000001</v>
      </c>
      <c r="BS125" s="453">
        <v>0</v>
      </c>
      <c r="BT125" s="453">
        <v>31.2</v>
      </c>
      <c r="BU125" s="453">
        <v>23.7</v>
      </c>
      <c r="BV125" s="456">
        <v>435.2</v>
      </c>
      <c r="BW125" s="453">
        <v>1.2</v>
      </c>
      <c r="BX125" s="453">
        <v>1.46</v>
      </c>
      <c r="BY125" s="456">
        <v>1.08</v>
      </c>
      <c r="BZ125" s="456">
        <v>14.6</v>
      </c>
      <c r="CA125" s="456">
        <v>34.5</v>
      </c>
      <c r="CB125" s="456">
        <v>15</v>
      </c>
      <c r="CC125" s="456">
        <v>9.08</v>
      </c>
      <c r="CD125" s="456">
        <v>13.2</v>
      </c>
      <c r="CE125" s="456">
        <v>17.68</v>
      </c>
      <c r="CF125" s="456">
        <v>12.77</v>
      </c>
      <c r="CG125" s="456">
        <v>528.9</v>
      </c>
      <c r="CH125" s="456">
        <v>2</v>
      </c>
      <c r="CI125" s="456">
        <v>2.7</v>
      </c>
      <c r="CJ125" s="456">
        <v>318.60000000000002</v>
      </c>
      <c r="CK125" s="456">
        <v>437</v>
      </c>
      <c r="CL125" s="456">
        <v>566</v>
      </c>
      <c r="CM125" s="456">
        <v>11.8</v>
      </c>
      <c r="CN125" s="456">
        <v>1.82</v>
      </c>
      <c r="CO125" s="453">
        <v>0</v>
      </c>
      <c r="CP125" s="453">
        <v>15.31</v>
      </c>
      <c r="CQ125" s="453">
        <v>46</v>
      </c>
      <c r="CR125" s="456">
        <v>0</v>
      </c>
      <c r="CS125" s="456">
        <v>0</v>
      </c>
      <c r="CT125" s="456">
        <v>0</v>
      </c>
      <c r="CU125" s="456">
        <v>0</v>
      </c>
      <c r="CV125" s="481">
        <v>1068.6363636363637</v>
      </c>
      <c r="CW125" s="481">
        <v>1718.0208333333333</v>
      </c>
      <c r="CX125" s="481">
        <v>997.09375</v>
      </c>
      <c r="CY125" s="481">
        <v>1147.1500000000001</v>
      </c>
      <c r="CZ125" s="456"/>
      <c r="DA125" s="456"/>
      <c r="DB125" s="456"/>
      <c r="DC125" s="456"/>
      <c r="DD125" s="456"/>
      <c r="DE125" s="456"/>
      <c r="DF125" s="456"/>
      <c r="DG125" s="425"/>
      <c r="DH125" s="456">
        <v>0</v>
      </c>
      <c r="DI125" s="456">
        <v>0.5</v>
      </c>
      <c r="DJ125" s="456">
        <v>1.17</v>
      </c>
      <c r="DK125" s="425"/>
      <c r="DL125" s="456"/>
      <c r="DM125" s="456"/>
      <c r="DN125" s="456"/>
      <c r="DO125" s="456"/>
      <c r="DP125" s="456"/>
      <c r="DQ125" s="456"/>
      <c r="DR125" s="456"/>
      <c r="DS125" s="456"/>
      <c r="DT125" s="456"/>
      <c r="DU125" s="456"/>
      <c r="DV125" s="456"/>
      <c r="DW125" s="456"/>
      <c r="DX125" s="456"/>
      <c r="DY125" s="456"/>
      <c r="DZ125" s="456"/>
      <c r="EA125" s="456"/>
      <c r="EB125" s="456"/>
      <c r="EC125" s="456"/>
      <c r="ED125" s="423">
        <v>0</v>
      </c>
      <c r="EE125" s="456">
        <v>0</v>
      </c>
      <c r="EF125" s="456">
        <v>2.5</v>
      </c>
      <c r="EG125" s="456">
        <v>6</v>
      </c>
      <c r="EH125" s="423">
        <v>0</v>
      </c>
      <c r="EI125" s="456"/>
      <c r="EJ125" s="456"/>
      <c r="EK125" s="456"/>
      <c r="EL125" s="456"/>
      <c r="EM125" s="456"/>
      <c r="EN125" s="456"/>
      <c r="EO125" s="425"/>
      <c r="EP125" s="425"/>
      <c r="EQ125" s="425" t="s">
        <v>743</v>
      </c>
      <c r="ER125" s="425">
        <v>1</v>
      </c>
      <c r="ES125" s="425">
        <v>4</v>
      </c>
      <c r="ET125" s="425">
        <v>4000</v>
      </c>
      <c r="EU125" s="457">
        <v>3100</v>
      </c>
      <c r="EV125" s="425">
        <v>275</v>
      </c>
      <c r="EW125" s="425">
        <v>6812826</v>
      </c>
      <c r="EX125" s="425">
        <v>32805</v>
      </c>
      <c r="EY125" s="666">
        <v>16.829999999999998</v>
      </c>
      <c r="EZ125" s="666">
        <v>16.850000000000001</v>
      </c>
      <c r="FA125" s="666">
        <v>0</v>
      </c>
      <c r="FB125" s="666">
        <v>1.39</v>
      </c>
      <c r="FC125" s="666">
        <v>1.41</v>
      </c>
      <c r="FD125" s="666">
        <v>1.2430000000000001</v>
      </c>
      <c r="FE125" s="666">
        <v>1.26</v>
      </c>
      <c r="FF125" s="666">
        <v>220</v>
      </c>
      <c r="FG125" s="666">
        <v>1.73</v>
      </c>
      <c r="FH125" s="666">
        <v>1.091</v>
      </c>
      <c r="FI125" s="666">
        <v>1.69</v>
      </c>
      <c r="FJ125" s="666">
        <v>8.11</v>
      </c>
      <c r="FK125" s="666">
        <v>8.1999999999999993</v>
      </c>
      <c r="FL125" s="666">
        <v>7.92</v>
      </c>
      <c r="FM125" s="666">
        <v>7.9</v>
      </c>
      <c r="FN125" s="666">
        <v>0</v>
      </c>
    </row>
    <row r="126" spans="1:170" s="416" customFormat="1" ht="15">
      <c r="A126" s="425" t="s">
        <v>8</v>
      </c>
      <c r="B126" s="426">
        <v>40655</v>
      </c>
      <c r="C126" s="418">
        <v>0</v>
      </c>
      <c r="D126" s="518">
        <v>0</v>
      </c>
      <c r="E126" s="453">
        <v>0</v>
      </c>
      <c r="F126" s="453">
        <v>39.4</v>
      </c>
      <c r="G126" s="453">
        <v>1.3</v>
      </c>
      <c r="H126" s="519">
        <v>1.04</v>
      </c>
      <c r="I126" s="519">
        <v>94.2</v>
      </c>
      <c r="J126" s="483">
        <v>1.71</v>
      </c>
      <c r="K126" s="520" t="s">
        <v>742</v>
      </c>
      <c r="L126" s="453">
        <v>0</v>
      </c>
      <c r="M126" s="453">
        <v>25.7</v>
      </c>
      <c r="N126" s="453">
        <v>1.59</v>
      </c>
      <c r="O126" s="453">
        <v>2.2807381153257738</v>
      </c>
      <c r="P126" s="453" t="s">
        <v>742</v>
      </c>
      <c r="Q126" s="453" t="s">
        <v>742</v>
      </c>
      <c r="R126" s="453">
        <v>1080.2228005284014</v>
      </c>
      <c r="S126" s="453">
        <v>7.77</v>
      </c>
      <c r="T126" s="453" t="s">
        <v>742</v>
      </c>
      <c r="U126" s="453">
        <v>0.71</v>
      </c>
      <c r="V126" s="453" t="s">
        <v>742</v>
      </c>
      <c r="W126" s="453">
        <v>46.400000000000006</v>
      </c>
      <c r="X126" s="456" t="e">
        <v>#VALUE!</v>
      </c>
      <c r="Y126" s="453">
        <v>29.74</v>
      </c>
      <c r="Z126" s="453">
        <v>28</v>
      </c>
      <c r="AA126" s="519">
        <v>30.259999999994761</v>
      </c>
      <c r="AB126" s="519">
        <v>27.349999999998545</v>
      </c>
      <c r="AC126" s="732">
        <f t="shared" si="1"/>
        <v>57.609999999993306</v>
      </c>
      <c r="AD126" s="664"/>
      <c r="AE126" s="664"/>
      <c r="AF126" s="664"/>
      <c r="AG126" s="664"/>
      <c r="AH126" s="664"/>
      <c r="AI126" s="664"/>
      <c r="AJ126" s="485"/>
      <c r="AK126" s="485"/>
      <c r="AL126" s="485"/>
      <c r="AM126" s="485"/>
      <c r="AN126" s="485"/>
      <c r="AO126" s="665"/>
      <c r="AP126" s="485"/>
      <c r="AQ126" s="483"/>
      <c r="AR126" s="755">
        <v>0</v>
      </c>
      <c r="AS126" s="483">
        <v>18.5</v>
      </c>
      <c r="AT126" s="755">
        <v>0</v>
      </c>
      <c r="AU126" s="483">
        <v>31</v>
      </c>
      <c r="AV126" s="484">
        <v>884.2</v>
      </c>
      <c r="AW126" s="484">
        <v>5.9</v>
      </c>
      <c r="AX126" s="453">
        <v>0</v>
      </c>
      <c r="AY126" s="734">
        <v>0</v>
      </c>
      <c r="AZ126" s="734">
        <v>0</v>
      </c>
      <c r="BA126" s="734">
        <v>0</v>
      </c>
      <c r="BB126" s="453">
        <v>0</v>
      </c>
      <c r="BC126" s="453">
        <v>0.51</v>
      </c>
      <c r="BD126" s="453">
        <v>1.51</v>
      </c>
      <c r="BE126" s="734">
        <v>0</v>
      </c>
      <c r="BF126" s="453">
        <v>0.56000000000000005</v>
      </c>
      <c r="BG126" s="453">
        <v>0</v>
      </c>
      <c r="BH126" s="734">
        <v>0</v>
      </c>
      <c r="BI126" s="453">
        <v>0</v>
      </c>
      <c r="BJ126" s="453">
        <v>24.4</v>
      </c>
      <c r="BK126" s="453">
        <v>2.74</v>
      </c>
      <c r="BL126" s="453">
        <v>3.3</v>
      </c>
      <c r="BM126" s="453">
        <v>0</v>
      </c>
      <c r="BN126" s="453">
        <v>18.2</v>
      </c>
      <c r="BO126" s="453">
        <v>1222</v>
      </c>
      <c r="BP126" s="453">
        <v>0</v>
      </c>
      <c r="BQ126" s="453">
        <v>16.8</v>
      </c>
      <c r="BR126" s="453">
        <v>16.8</v>
      </c>
      <c r="BS126" s="453">
        <v>0</v>
      </c>
      <c r="BT126" s="453">
        <v>31.3</v>
      </c>
      <c r="BU126" s="453">
        <v>26.2</v>
      </c>
      <c r="BV126" s="456">
        <v>450.1</v>
      </c>
      <c r="BW126" s="453">
        <v>1.1000000000000001</v>
      </c>
      <c r="BX126" s="453">
        <v>1.48</v>
      </c>
      <c r="BY126" s="456">
        <v>1.1100000000000001</v>
      </c>
      <c r="BZ126" s="456">
        <v>14.8</v>
      </c>
      <c r="CA126" s="456">
        <v>37.200000000000003</v>
      </c>
      <c r="CB126" s="456">
        <v>14.13</v>
      </c>
      <c r="CC126" s="456">
        <v>9.1</v>
      </c>
      <c r="CD126" s="456">
        <v>13.4</v>
      </c>
      <c r="CE126" s="456">
        <v>17.399999999999999</v>
      </c>
      <c r="CF126" s="456">
        <v>12.89</v>
      </c>
      <c r="CG126" s="456">
        <v>547.70000000000005</v>
      </c>
      <c r="CH126" s="456">
        <v>2</v>
      </c>
      <c r="CI126" s="456">
        <v>2.5</v>
      </c>
      <c r="CJ126" s="456">
        <v>456.7</v>
      </c>
      <c r="CK126" s="456">
        <v>410.8</v>
      </c>
      <c r="CL126" s="456">
        <v>564.70000000000005</v>
      </c>
      <c r="CM126" s="456">
        <v>12.1</v>
      </c>
      <c r="CN126" s="456">
        <v>1.83</v>
      </c>
      <c r="CO126" s="453">
        <v>0</v>
      </c>
      <c r="CP126" s="453">
        <v>15.73</v>
      </c>
      <c r="CQ126" s="453">
        <v>46</v>
      </c>
      <c r="CR126" s="456">
        <v>0</v>
      </c>
      <c r="CS126" s="456">
        <v>0</v>
      </c>
      <c r="CT126" s="456">
        <v>0</v>
      </c>
      <c r="CU126" s="456">
        <v>0</v>
      </c>
      <c r="CV126" s="481">
        <v>1041.8181818181818</v>
      </c>
      <c r="CW126" s="481">
        <v>1741.25</v>
      </c>
      <c r="CX126" s="481">
        <v>970.82291666666663</v>
      </c>
      <c r="CY126" s="481">
        <v>1147.22</v>
      </c>
      <c r="CZ126" s="456"/>
      <c r="DA126" s="456"/>
      <c r="DB126" s="456"/>
      <c r="DC126" s="456"/>
      <c r="DD126" s="456"/>
      <c r="DE126" s="456"/>
      <c r="DF126" s="456"/>
      <c r="DG126" s="425"/>
      <c r="DH126" s="456">
        <v>0</v>
      </c>
      <c r="DI126" s="456">
        <v>0.44</v>
      </c>
      <c r="DJ126" s="456">
        <v>1.05</v>
      </c>
      <c r="DK126" s="425"/>
      <c r="DL126" s="456"/>
      <c r="DM126" s="456"/>
      <c r="DN126" s="456"/>
      <c r="DO126" s="456"/>
      <c r="DP126" s="456"/>
      <c r="DQ126" s="456"/>
      <c r="DR126" s="456"/>
      <c r="DS126" s="456"/>
      <c r="DT126" s="456"/>
      <c r="DU126" s="456"/>
      <c r="DV126" s="456"/>
      <c r="DW126" s="456"/>
      <c r="DX126" s="456"/>
      <c r="DY126" s="456"/>
      <c r="DZ126" s="456"/>
      <c r="EA126" s="456"/>
      <c r="EB126" s="456"/>
      <c r="EC126" s="456"/>
      <c r="ED126" s="423">
        <v>0</v>
      </c>
      <c r="EE126" s="456">
        <v>0</v>
      </c>
      <c r="EF126" s="456">
        <v>2.5</v>
      </c>
      <c r="EG126" s="456">
        <v>6</v>
      </c>
      <c r="EH126" s="423">
        <v>0</v>
      </c>
      <c r="EI126" s="456"/>
      <c r="EJ126" s="456"/>
      <c r="EK126" s="456"/>
      <c r="EL126" s="456"/>
      <c r="EM126" s="456"/>
      <c r="EN126" s="456"/>
      <c r="EO126" s="425"/>
      <c r="EP126" s="425"/>
      <c r="EQ126" s="425" t="s">
        <v>743</v>
      </c>
      <c r="ER126" s="425">
        <v>1</v>
      </c>
      <c r="ES126" s="425">
        <v>4</v>
      </c>
      <c r="ET126" s="425">
        <v>4000</v>
      </c>
      <c r="EU126" s="457">
        <v>2800</v>
      </c>
      <c r="EV126" s="425">
        <v>295</v>
      </c>
      <c r="EW126" s="425">
        <v>6815346</v>
      </c>
      <c r="EX126" s="425">
        <v>33543</v>
      </c>
      <c r="EY126" s="666">
        <v>17.309999999999999</v>
      </c>
      <c r="EZ126" s="666">
        <v>17.28</v>
      </c>
      <c r="FA126" s="666">
        <v>0</v>
      </c>
      <c r="FB126" s="666">
        <v>1.35</v>
      </c>
      <c r="FC126" s="666">
        <v>1.35</v>
      </c>
      <c r="FD126" s="666">
        <v>1.18</v>
      </c>
      <c r="FE126" s="666">
        <v>1.1399999999999999</v>
      </c>
      <c r="FF126" s="666">
        <v>240</v>
      </c>
      <c r="FG126" s="666">
        <v>1.88</v>
      </c>
      <c r="FH126" s="666">
        <v>1.026</v>
      </c>
      <c r="FI126" s="666">
        <v>1.82</v>
      </c>
      <c r="FJ126" s="666">
        <v>8.0500000000000007</v>
      </c>
      <c r="FK126" s="666">
        <v>8.1999999999999993</v>
      </c>
      <c r="FL126" s="666">
        <v>7.88</v>
      </c>
      <c r="FM126" s="666">
        <v>7.5</v>
      </c>
      <c r="FN126" s="666">
        <v>0</v>
      </c>
    </row>
    <row r="127" spans="1:170" s="416" customFormat="1" ht="15">
      <c r="A127" s="425" t="s">
        <v>9</v>
      </c>
      <c r="B127" s="426">
        <v>40656</v>
      </c>
      <c r="C127" s="418">
        <v>0</v>
      </c>
      <c r="D127" s="518">
        <v>0</v>
      </c>
      <c r="E127" s="453">
        <v>0</v>
      </c>
      <c r="F127" s="453">
        <v>44.4</v>
      </c>
      <c r="G127" s="453">
        <v>1.28</v>
      </c>
      <c r="H127" s="519">
        <v>0.92</v>
      </c>
      <c r="I127" s="519">
        <v>93</v>
      </c>
      <c r="J127" s="483">
        <v>1.69</v>
      </c>
      <c r="K127" s="520" t="s">
        <v>742</v>
      </c>
      <c r="L127" s="453">
        <v>0</v>
      </c>
      <c r="M127" s="453">
        <v>25.5</v>
      </c>
      <c r="N127" s="453">
        <v>1.62</v>
      </c>
      <c r="O127" s="453">
        <v>2.2969616908850727</v>
      </c>
      <c r="P127" s="453" t="s">
        <v>742</v>
      </c>
      <c r="Q127" s="453" t="s">
        <v>742</v>
      </c>
      <c r="R127" s="453">
        <v>1072.7729881109642</v>
      </c>
      <c r="S127" s="453">
        <v>7.74</v>
      </c>
      <c r="T127" s="453" t="s">
        <v>742</v>
      </c>
      <c r="U127" s="453">
        <v>0.73</v>
      </c>
      <c r="V127" s="453" t="s">
        <v>742</v>
      </c>
      <c r="W127" s="453">
        <v>46.400000000000006</v>
      </c>
      <c r="X127" s="456" t="e">
        <v>#VALUE!</v>
      </c>
      <c r="Y127" s="453">
        <v>29.92</v>
      </c>
      <c r="Z127" s="453">
        <v>27.01</v>
      </c>
      <c r="AA127" s="519">
        <v>29</v>
      </c>
      <c r="AB127" s="519">
        <v>26</v>
      </c>
      <c r="AC127" s="732">
        <f t="shared" si="1"/>
        <v>55</v>
      </c>
      <c r="AD127" s="664"/>
      <c r="AE127" s="664"/>
      <c r="AF127" s="664"/>
      <c r="AG127" s="664"/>
      <c r="AH127" s="664"/>
      <c r="AI127" s="664"/>
      <c r="AJ127" s="485"/>
      <c r="AK127" s="485"/>
      <c r="AL127" s="485"/>
      <c r="AM127" s="485"/>
      <c r="AN127" s="485"/>
      <c r="AO127" s="665"/>
      <c r="AP127" s="485"/>
      <c r="AQ127" s="483"/>
      <c r="AR127" s="755">
        <v>0</v>
      </c>
      <c r="AS127" s="483">
        <v>35.6</v>
      </c>
      <c r="AT127" s="755">
        <v>0</v>
      </c>
      <c r="AU127" s="483">
        <v>31</v>
      </c>
      <c r="AV127" s="484">
        <v>454.3</v>
      </c>
      <c r="AW127" s="484">
        <v>0</v>
      </c>
      <c r="AX127" s="453">
        <v>0</v>
      </c>
      <c r="AY127" s="734">
        <v>0</v>
      </c>
      <c r="AZ127" s="734">
        <v>0</v>
      </c>
      <c r="BA127" s="734">
        <v>0</v>
      </c>
      <c r="BB127" s="453">
        <v>0</v>
      </c>
      <c r="BC127" s="453">
        <v>0.51</v>
      </c>
      <c r="BD127" s="453">
        <v>1.51</v>
      </c>
      <c r="BE127" s="734">
        <v>0</v>
      </c>
      <c r="BF127" s="453">
        <v>0.49</v>
      </c>
      <c r="BG127" s="453">
        <v>0</v>
      </c>
      <c r="BH127" s="734">
        <v>0</v>
      </c>
      <c r="BI127" s="453">
        <v>0</v>
      </c>
      <c r="BJ127" s="453">
        <v>24.5</v>
      </c>
      <c r="BK127" s="453">
        <v>2.72</v>
      </c>
      <c r="BL127" s="453">
        <v>3.3</v>
      </c>
      <c r="BM127" s="453">
        <v>0</v>
      </c>
      <c r="BN127" s="453">
        <v>18.3</v>
      </c>
      <c r="BO127" s="453">
        <v>1252.5999999999999</v>
      </c>
      <c r="BP127" s="453">
        <v>0</v>
      </c>
      <c r="BQ127" s="453">
        <v>17.29</v>
      </c>
      <c r="BR127" s="453">
        <v>17.2</v>
      </c>
      <c r="BS127" s="453">
        <v>0</v>
      </c>
      <c r="BT127" s="453">
        <v>31.9</v>
      </c>
      <c r="BU127" s="453">
        <v>25.4</v>
      </c>
      <c r="BV127" s="456">
        <v>650.79999999999995</v>
      </c>
      <c r="BW127" s="453">
        <v>1.75</v>
      </c>
      <c r="BX127" s="453">
        <v>1.47</v>
      </c>
      <c r="BY127" s="456">
        <v>1.0900000000000001</v>
      </c>
      <c r="BZ127" s="456">
        <v>14.8</v>
      </c>
      <c r="CA127" s="456">
        <v>37</v>
      </c>
      <c r="CB127" s="456">
        <v>13.1</v>
      </c>
      <c r="CC127" s="456">
        <v>8</v>
      </c>
      <c r="CD127" s="456">
        <v>12.26</v>
      </c>
      <c r="CE127" s="456">
        <v>16.7</v>
      </c>
      <c r="CF127" s="456">
        <v>12.77</v>
      </c>
      <c r="CG127" s="456">
        <v>523.9</v>
      </c>
      <c r="CH127" s="456">
        <v>2</v>
      </c>
      <c r="CI127" s="456">
        <v>2.8</v>
      </c>
      <c r="CJ127" s="456">
        <v>437.6</v>
      </c>
      <c r="CK127" s="456">
        <v>467.1</v>
      </c>
      <c r="CL127" s="456">
        <v>535.4</v>
      </c>
      <c r="CM127" s="456">
        <v>11.5</v>
      </c>
      <c r="CN127" s="456">
        <v>1.73</v>
      </c>
      <c r="CO127" s="453">
        <v>0</v>
      </c>
      <c r="CP127" s="453">
        <v>15.67</v>
      </c>
      <c r="CQ127" s="453">
        <v>47</v>
      </c>
      <c r="CR127" s="456">
        <v>0</v>
      </c>
      <c r="CS127" s="456">
        <v>0</v>
      </c>
      <c r="CT127" s="456">
        <v>0</v>
      </c>
      <c r="CU127" s="456">
        <v>0</v>
      </c>
      <c r="CV127" s="481">
        <v>959.77272727272725</v>
      </c>
      <c r="CW127" s="481">
        <v>1577.5</v>
      </c>
      <c r="CX127" s="481">
        <v>886.91666666666663</v>
      </c>
      <c r="CY127" s="481">
        <v>1147.4000000000001</v>
      </c>
      <c r="CZ127" s="456"/>
      <c r="DA127" s="456"/>
      <c r="DB127" s="456"/>
      <c r="DC127" s="456"/>
      <c r="DD127" s="456"/>
      <c r="DE127" s="456"/>
      <c r="DF127" s="456"/>
      <c r="DG127" s="425"/>
      <c r="DH127" s="456">
        <v>0</v>
      </c>
      <c r="DI127" s="456">
        <v>0.56999999999999995</v>
      </c>
      <c r="DJ127" s="456">
        <v>1.1000000000000001</v>
      </c>
      <c r="DK127" s="425"/>
      <c r="DL127" s="456"/>
      <c r="DM127" s="456"/>
      <c r="DN127" s="456"/>
      <c r="DO127" s="456"/>
      <c r="DP127" s="456"/>
      <c r="DQ127" s="456"/>
      <c r="DR127" s="456"/>
      <c r="DS127" s="456"/>
      <c r="DT127" s="456"/>
      <c r="DU127" s="456"/>
      <c r="DV127" s="456"/>
      <c r="DW127" s="456"/>
      <c r="DX127" s="456"/>
      <c r="DY127" s="456"/>
      <c r="DZ127" s="456"/>
      <c r="EA127" s="456"/>
      <c r="EB127" s="456"/>
      <c r="EC127" s="456"/>
      <c r="ED127" s="423">
        <v>0</v>
      </c>
      <c r="EE127" s="456">
        <v>0</v>
      </c>
      <c r="EF127" s="456">
        <v>2.5</v>
      </c>
      <c r="EG127" s="456">
        <v>6</v>
      </c>
      <c r="EH127" s="423">
        <v>0</v>
      </c>
      <c r="EI127" s="456"/>
      <c r="EJ127" s="456"/>
      <c r="EK127" s="456"/>
      <c r="EL127" s="456"/>
      <c r="EM127" s="456"/>
      <c r="EN127" s="456"/>
      <c r="EO127" s="425"/>
      <c r="EP127" s="425"/>
      <c r="EQ127" s="425" t="s">
        <v>743</v>
      </c>
      <c r="ER127" s="425">
        <v>1</v>
      </c>
      <c r="ES127" s="425">
        <v>4</v>
      </c>
      <c r="ET127" s="425">
        <v>4000</v>
      </c>
      <c r="EU127" s="457">
        <v>2630</v>
      </c>
      <c r="EV127" s="425">
        <v>295</v>
      </c>
      <c r="EW127" s="425">
        <v>6817860</v>
      </c>
      <c r="EX127" s="425">
        <v>34250</v>
      </c>
      <c r="EY127" s="666">
        <v>17.48</v>
      </c>
      <c r="EZ127" s="666">
        <v>17.47</v>
      </c>
      <c r="FA127" s="666">
        <v>0</v>
      </c>
      <c r="FB127" s="666">
        <v>1.45</v>
      </c>
      <c r="FC127" s="666">
        <v>1.42</v>
      </c>
      <c r="FD127" s="666">
        <v>1.1859999999999999</v>
      </c>
      <c r="FE127" s="666">
        <v>1.19</v>
      </c>
      <c r="FF127" s="666">
        <v>230</v>
      </c>
      <c r="FG127" s="666">
        <v>1.68</v>
      </c>
      <c r="FH127" s="666">
        <v>0.96399999999999997</v>
      </c>
      <c r="FI127" s="666">
        <v>1.65</v>
      </c>
      <c r="FJ127" s="666">
        <v>8.06</v>
      </c>
      <c r="FK127" s="666">
        <v>8</v>
      </c>
      <c r="FL127" s="666">
        <v>7.93</v>
      </c>
      <c r="FM127" s="666">
        <v>7.8</v>
      </c>
      <c r="FN127" s="666">
        <v>0</v>
      </c>
    </row>
    <row r="128" spans="1:170" s="416" customFormat="1" ht="15">
      <c r="A128" s="425" t="s">
        <v>3</v>
      </c>
      <c r="B128" s="426">
        <v>40657</v>
      </c>
      <c r="C128" s="418">
        <v>0</v>
      </c>
      <c r="D128" s="518">
        <v>0.33</v>
      </c>
      <c r="E128" s="453">
        <v>0</v>
      </c>
      <c r="F128" s="453">
        <v>41.7</v>
      </c>
      <c r="G128" s="453">
        <v>1.28</v>
      </c>
      <c r="H128" s="519">
        <v>0.87</v>
      </c>
      <c r="I128" s="519">
        <v>93.1</v>
      </c>
      <c r="J128" s="483">
        <v>1.37</v>
      </c>
      <c r="K128" s="520" t="s">
        <v>742</v>
      </c>
      <c r="L128" s="453">
        <v>0</v>
      </c>
      <c r="M128" s="453">
        <v>25.3</v>
      </c>
      <c r="N128" s="453">
        <v>1.64</v>
      </c>
      <c r="O128" s="453">
        <v>2.2730167558923724</v>
      </c>
      <c r="P128" s="453" t="s">
        <v>742</v>
      </c>
      <c r="Q128" s="453" t="s">
        <v>742</v>
      </c>
      <c r="R128" s="453">
        <v>1080.5467054161161</v>
      </c>
      <c r="S128" s="453">
        <v>7.73</v>
      </c>
      <c r="T128" s="453" t="s">
        <v>742</v>
      </c>
      <c r="U128" s="453">
        <v>0.73</v>
      </c>
      <c r="V128" s="453" t="s">
        <v>742</v>
      </c>
      <c r="W128" s="453">
        <v>46.760000000000005</v>
      </c>
      <c r="X128" s="456" t="e">
        <v>#VALUE!</v>
      </c>
      <c r="Y128" s="453">
        <v>29.83</v>
      </c>
      <c r="Z128" s="453">
        <v>26.67</v>
      </c>
      <c r="AA128" s="519">
        <v>30</v>
      </c>
      <c r="AB128" s="519">
        <v>28</v>
      </c>
      <c r="AC128" s="732">
        <f t="shared" si="1"/>
        <v>58</v>
      </c>
      <c r="AD128" s="664"/>
      <c r="AE128" s="664"/>
      <c r="AF128" s="664"/>
      <c r="AG128" s="664"/>
      <c r="AH128" s="664"/>
      <c r="AI128" s="664"/>
      <c r="AJ128" s="485"/>
      <c r="AK128" s="485"/>
      <c r="AL128" s="485"/>
      <c r="AM128" s="485"/>
      <c r="AN128" s="485"/>
      <c r="AO128" s="665"/>
      <c r="AP128" s="485"/>
      <c r="AQ128" s="483"/>
      <c r="AR128" s="755">
        <v>0</v>
      </c>
      <c r="AS128" s="483">
        <v>19.2</v>
      </c>
      <c r="AT128" s="755">
        <v>0</v>
      </c>
      <c r="AU128" s="483">
        <v>31</v>
      </c>
      <c r="AV128" s="484">
        <v>637.5</v>
      </c>
      <c r="AW128" s="484">
        <v>0</v>
      </c>
      <c r="AX128" s="453">
        <v>0</v>
      </c>
      <c r="AY128" s="734">
        <v>0</v>
      </c>
      <c r="AZ128" s="734">
        <v>0</v>
      </c>
      <c r="BA128" s="734">
        <v>0</v>
      </c>
      <c r="BB128" s="453">
        <v>0</v>
      </c>
      <c r="BC128" s="453">
        <v>0.51</v>
      </c>
      <c r="BD128" s="453">
        <v>1.51</v>
      </c>
      <c r="BE128" s="734">
        <v>0</v>
      </c>
      <c r="BF128" s="453">
        <v>0.56000000000000005</v>
      </c>
      <c r="BG128" s="453">
        <v>0</v>
      </c>
      <c r="BH128" s="734">
        <v>0</v>
      </c>
      <c r="BI128" s="453">
        <v>0</v>
      </c>
      <c r="BJ128" s="453">
        <v>24.4</v>
      </c>
      <c r="BK128" s="453">
        <v>2.72</v>
      </c>
      <c r="BL128" s="453">
        <v>3.3</v>
      </c>
      <c r="BM128" s="453">
        <v>0</v>
      </c>
      <c r="BN128" s="453">
        <v>18.3</v>
      </c>
      <c r="BO128" s="453">
        <v>1614.9</v>
      </c>
      <c r="BP128" s="453">
        <v>0</v>
      </c>
      <c r="BQ128" s="453">
        <v>17.7</v>
      </c>
      <c r="BR128" s="453">
        <v>17.62</v>
      </c>
      <c r="BS128" s="453">
        <v>0</v>
      </c>
      <c r="BT128" s="453">
        <v>31.5</v>
      </c>
      <c r="BU128" s="453">
        <v>25.2</v>
      </c>
      <c r="BV128" s="456">
        <v>459.5</v>
      </c>
      <c r="BW128" s="453">
        <v>1</v>
      </c>
      <c r="BX128" s="453">
        <v>1.54</v>
      </c>
      <c r="BY128" s="456">
        <v>1.1100000000000001</v>
      </c>
      <c r="BZ128" s="456">
        <v>14.7</v>
      </c>
      <c r="CA128" s="456">
        <v>36.299999999999997</v>
      </c>
      <c r="CB128" s="456">
        <v>15.19</v>
      </c>
      <c r="CC128" s="456">
        <v>9.1</v>
      </c>
      <c r="CD128" s="456">
        <v>13.4</v>
      </c>
      <c r="CE128" s="456">
        <v>17.399999999999999</v>
      </c>
      <c r="CF128" s="456">
        <v>12.76</v>
      </c>
      <c r="CG128" s="456">
        <v>528.6</v>
      </c>
      <c r="CH128" s="456">
        <v>2</v>
      </c>
      <c r="CI128" s="456">
        <v>2.8</v>
      </c>
      <c r="CJ128" s="456">
        <v>260.60000000000002</v>
      </c>
      <c r="CK128" s="456">
        <v>425.8</v>
      </c>
      <c r="CL128" s="456">
        <v>519.6</v>
      </c>
      <c r="CM128" s="456">
        <v>11.6</v>
      </c>
      <c r="CN128" s="456">
        <v>1.67</v>
      </c>
      <c r="CO128" s="453">
        <v>0</v>
      </c>
      <c r="CP128" s="453">
        <v>16.27</v>
      </c>
      <c r="CQ128" s="453">
        <v>47</v>
      </c>
      <c r="CR128" s="456">
        <v>0</v>
      </c>
      <c r="CS128" s="456">
        <v>0</v>
      </c>
      <c r="CT128" s="456">
        <v>0</v>
      </c>
      <c r="CU128" s="456">
        <v>0</v>
      </c>
      <c r="CV128" s="481">
        <v>960.68181818181813</v>
      </c>
      <c r="CW128" s="481">
        <v>1558.9583333333333</v>
      </c>
      <c r="CX128" s="481">
        <v>889.29166666666663</v>
      </c>
      <c r="CY128" s="481">
        <v>1147.67</v>
      </c>
      <c r="CZ128" s="456"/>
      <c r="DA128" s="456"/>
      <c r="DB128" s="456"/>
      <c r="DC128" s="456"/>
      <c r="DD128" s="456"/>
      <c r="DE128" s="456"/>
      <c r="DF128" s="456"/>
      <c r="DG128" s="425"/>
      <c r="DH128" s="456">
        <v>0</v>
      </c>
      <c r="DI128" s="456">
        <v>0.55000000000000004</v>
      </c>
      <c r="DJ128" s="456">
        <v>1.1200000000000001</v>
      </c>
      <c r="DK128" s="425"/>
      <c r="DL128" s="456"/>
      <c r="DM128" s="456"/>
      <c r="DN128" s="456"/>
      <c r="DO128" s="456"/>
      <c r="DP128" s="456"/>
      <c r="DQ128" s="456"/>
      <c r="DR128" s="456"/>
      <c r="DS128" s="456"/>
      <c r="DT128" s="456"/>
      <c r="DU128" s="456"/>
      <c r="DV128" s="456"/>
      <c r="DW128" s="456"/>
      <c r="DX128" s="456"/>
      <c r="DY128" s="456"/>
      <c r="DZ128" s="456"/>
      <c r="EA128" s="456"/>
      <c r="EB128" s="456"/>
      <c r="EC128" s="456"/>
      <c r="ED128" s="423">
        <v>0</v>
      </c>
      <c r="EE128" s="456">
        <v>0</v>
      </c>
      <c r="EF128" s="456">
        <v>2.5</v>
      </c>
      <c r="EG128" s="456">
        <v>6</v>
      </c>
      <c r="EH128" s="423">
        <v>0</v>
      </c>
      <c r="EI128" s="456"/>
      <c r="EJ128" s="456"/>
      <c r="EK128" s="456"/>
      <c r="EL128" s="456"/>
      <c r="EM128" s="456"/>
      <c r="EN128" s="456"/>
      <c r="EO128" s="425"/>
      <c r="EP128" s="425"/>
      <c r="EQ128" s="425" t="s">
        <v>743</v>
      </c>
      <c r="ER128" s="425">
        <v>1</v>
      </c>
      <c r="ES128" s="425">
        <v>4</v>
      </c>
      <c r="ET128" s="425">
        <v>4000</v>
      </c>
      <c r="EU128" s="457">
        <v>2400</v>
      </c>
      <c r="EV128" s="425">
        <v>250</v>
      </c>
      <c r="EW128" s="425">
        <v>6820395</v>
      </c>
      <c r="EX128" s="425">
        <v>34998</v>
      </c>
      <c r="EY128" s="666">
        <v>18.010000000000002</v>
      </c>
      <c r="EZ128" s="666">
        <v>17.989999999999998</v>
      </c>
      <c r="FA128" s="666">
        <v>0</v>
      </c>
      <c r="FB128" s="666">
        <v>1.44</v>
      </c>
      <c r="FC128" s="666">
        <v>1.47</v>
      </c>
      <c r="FD128" s="666">
        <v>1.1519999999999999</v>
      </c>
      <c r="FE128" s="666">
        <v>1.1299999999999999</v>
      </c>
      <c r="FF128" s="666">
        <v>230</v>
      </c>
      <c r="FG128" s="666">
        <v>1.67</v>
      </c>
      <c r="FH128" s="666">
        <v>0.92100000000000004</v>
      </c>
      <c r="FI128" s="666">
        <v>1.62</v>
      </c>
      <c r="FJ128" s="666">
        <v>8.0500000000000007</v>
      </c>
      <c r="FK128" s="666">
        <v>8</v>
      </c>
      <c r="FL128" s="666">
        <v>7.92</v>
      </c>
      <c r="FM128" s="666">
        <v>7.8</v>
      </c>
      <c r="FN128" s="666">
        <v>0</v>
      </c>
    </row>
    <row r="129" spans="1:170" s="416" customFormat="1" ht="15">
      <c r="A129" s="425" t="s">
        <v>4</v>
      </c>
      <c r="B129" s="426">
        <v>40658</v>
      </c>
      <c r="C129" s="418">
        <v>0</v>
      </c>
      <c r="D129" s="518">
        <v>0.8</v>
      </c>
      <c r="E129" s="453">
        <v>0</v>
      </c>
      <c r="F129" s="453">
        <v>40</v>
      </c>
      <c r="G129" s="453">
        <v>1.77</v>
      </c>
      <c r="H129" s="519">
        <v>2.63</v>
      </c>
      <c r="I129" s="519">
        <v>92.4</v>
      </c>
      <c r="J129" s="483">
        <v>2.16</v>
      </c>
      <c r="K129" s="520" t="s">
        <v>742</v>
      </c>
      <c r="L129" s="453">
        <v>0</v>
      </c>
      <c r="M129" s="453">
        <v>25.4</v>
      </c>
      <c r="N129" s="453">
        <v>1.63</v>
      </c>
      <c r="O129" s="453">
        <v>2.3115257595772785</v>
      </c>
      <c r="P129" s="453" t="s">
        <v>742</v>
      </c>
      <c r="Q129" s="453" t="s">
        <v>742</v>
      </c>
      <c r="R129" s="453">
        <v>1100.3049035667107</v>
      </c>
      <c r="S129" s="453">
        <v>7.78</v>
      </c>
      <c r="T129" s="453" t="s">
        <v>742</v>
      </c>
      <c r="U129" s="453">
        <v>0.72</v>
      </c>
      <c r="V129" s="453" t="s">
        <v>742</v>
      </c>
      <c r="W129" s="453">
        <v>42.980000000000004</v>
      </c>
      <c r="X129" s="456" t="e">
        <v>#VALUE!</v>
      </c>
      <c r="Y129" s="453">
        <v>29.6</v>
      </c>
      <c r="Z129" s="453">
        <v>27.78</v>
      </c>
      <c r="AA129" s="519">
        <v>30</v>
      </c>
      <c r="AB129" s="519">
        <v>26</v>
      </c>
      <c r="AC129" s="732">
        <f t="shared" si="1"/>
        <v>56</v>
      </c>
      <c r="AD129" s="664"/>
      <c r="AE129" s="664"/>
      <c r="AF129" s="664"/>
      <c r="AG129" s="664"/>
      <c r="AH129" s="664"/>
      <c r="AI129" s="664"/>
      <c r="AJ129" s="485"/>
      <c r="AK129" s="485"/>
      <c r="AL129" s="485"/>
      <c r="AM129" s="485"/>
      <c r="AN129" s="485"/>
      <c r="AO129" s="665"/>
      <c r="AP129" s="485"/>
      <c r="AQ129" s="483"/>
      <c r="AR129" s="755">
        <v>0</v>
      </c>
      <c r="AS129" s="483">
        <v>18.3</v>
      </c>
      <c r="AT129" s="755">
        <v>0</v>
      </c>
      <c r="AU129" s="483">
        <v>31</v>
      </c>
      <c r="AV129" s="484">
        <v>1030</v>
      </c>
      <c r="AW129" s="484">
        <v>172</v>
      </c>
      <c r="AX129" s="453">
        <v>0</v>
      </c>
      <c r="AY129" s="734">
        <v>0</v>
      </c>
      <c r="AZ129" s="734">
        <v>0</v>
      </c>
      <c r="BA129" s="734">
        <v>0</v>
      </c>
      <c r="BB129" s="453">
        <v>0</v>
      </c>
      <c r="BC129" s="453">
        <v>0.82</v>
      </c>
      <c r="BD129" s="453">
        <v>1.82</v>
      </c>
      <c r="BE129" s="734">
        <v>0</v>
      </c>
      <c r="BF129" s="453">
        <v>0.49</v>
      </c>
      <c r="BG129" s="453">
        <v>0</v>
      </c>
      <c r="BH129" s="734">
        <v>0</v>
      </c>
      <c r="BI129" s="453">
        <v>0</v>
      </c>
      <c r="BJ129" s="453">
        <v>23.9</v>
      </c>
      <c r="BK129" s="453">
        <v>2.73</v>
      </c>
      <c r="BL129" s="453">
        <v>3.3</v>
      </c>
      <c r="BM129" s="453">
        <v>0</v>
      </c>
      <c r="BN129" s="453">
        <v>17.7</v>
      </c>
      <c r="BO129" s="453">
        <v>1242.5</v>
      </c>
      <c r="BP129" s="453">
        <v>0</v>
      </c>
      <c r="BQ129" s="453">
        <v>18.100000000000001</v>
      </c>
      <c r="BR129" s="453">
        <v>18</v>
      </c>
      <c r="BS129" s="453">
        <v>0</v>
      </c>
      <c r="BT129" s="453">
        <v>30.6</v>
      </c>
      <c r="BU129" s="453">
        <v>24.9</v>
      </c>
      <c r="BV129" s="456">
        <v>629.70000000000005</v>
      </c>
      <c r="BW129" s="453">
        <v>1.94</v>
      </c>
      <c r="BX129" s="453">
        <v>1.53</v>
      </c>
      <c r="BY129" s="456">
        <v>1.1100000000000001</v>
      </c>
      <c r="BZ129" s="456">
        <v>14.5</v>
      </c>
      <c r="CA129" s="456">
        <v>35.1</v>
      </c>
      <c r="CB129" s="456">
        <v>14.5</v>
      </c>
      <c r="CC129" s="456">
        <v>8.6999999999999993</v>
      </c>
      <c r="CD129" s="456">
        <v>12.9</v>
      </c>
      <c r="CE129" s="456">
        <v>17.3</v>
      </c>
      <c r="CF129" s="456">
        <v>12.5</v>
      </c>
      <c r="CG129" s="456">
        <v>530.79999999999995</v>
      </c>
      <c r="CH129" s="456">
        <v>2.1</v>
      </c>
      <c r="CI129" s="456">
        <v>2.9</v>
      </c>
      <c r="CJ129" s="456">
        <v>409.9</v>
      </c>
      <c r="CK129" s="456">
        <v>375.3</v>
      </c>
      <c r="CL129" s="456">
        <v>559.1</v>
      </c>
      <c r="CM129" s="456">
        <v>11.9</v>
      </c>
      <c r="CN129" s="456">
        <v>1.78</v>
      </c>
      <c r="CO129" s="453">
        <v>36.299999999999997</v>
      </c>
      <c r="CP129" s="453">
        <v>16.03</v>
      </c>
      <c r="CQ129" s="453">
        <v>46</v>
      </c>
      <c r="CR129" s="456">
        <v>0</v>
      </c>
      <c r="CS129" s="456">
        <v>0</v>
      </c>
      <c r="CT129" s="456">
        <v>0</v>
      </c>
      <c r="CU129" s="456">
        <v>0</v>
      </c>
      <c r="CV129" s="481">
        <v>1148.1818181818182</v>
      </c>
      <c r="CW129" s="481">
        <v>1696.7708333333333</v>
      </c>
      <c r="CX129" s="481">
        <v>1098.375</v>
      </c>
      <c r="CY129" s="481">
        <v>1147.75</v>
      </c>
      <c r="CZ129" s="456"/>
      <c r="DA129" s="456"/>
      <c r="DB129" s="456"/>
      <c r="DC129" s="456"/>
      <c r="DD129" s="456"/>
      <c r="DE129" s="456"/>
      <c r="DF129" s="456"/>
      <c r="DG129" s="425"/>
      <c r="DH129" s="456">
        <v>0</v>
      </c>
      <c r="DI129" s="456">
        <v>0.54</v>
      </c>
      <c r="DJ129" s="456">
        <v>1.02</v>
      </c>
      <c r="DK129" s="425"/>
      <c r="DL129" s="456"/>
      <c r="DM129" s="456"/>
      <c r="DN129" s="456"/>
      <c r="DO129" s="456"/>
      <c r="DP129" s="456"/>
      <c r="DQ129" s="456"/>
      <c r="DR129" s="456"/>
      <c r="DS129" s="456"/>
      <c r="DT129" s="456"/>
      <c r="DU129" s="456"/>
      <c r="DV129" s="456"/>
      <c r="DW129" s="456"/>
      <c r="DX129" s="456"/>
      <c r="DY129" s="456"/>
      <c r="DZ129" s="456"/>
      <c r="EA129" s="456"/>
      <c r="EB129" s="456"/>
      <c r="EC129" s="456"/>
      <c r="ED129" s="423">
        <v>0</v>
      </c>
      <c r="EE129" s="456">
        <v>0</v>
      </c>
      <c r="EF129" s="456">
        <v>3.5</v>
      </c>
      <c r="EG129" s="456">
        <v>6</v>
      </c>
      <c r="EH129" s="423">
        <v>0</v>
      </c>
      <c r="EI129" s="456"/>
      <c r="EJ129" s="456"/>
      <c r="EK129" s="456"/>
      <c r="EL129" s="456"/>
      <c r="EM129" s="456"/>
      <c r="EN129" s="456"/>
      <c r="EO129" s="425"/>
      <c r="EP129" s="425"/>
      <c r="EQ129" s="425" t="s">
        <v>743</v>
      </c>
      <c r="ER129" s="425">
        <v>1</v>
      </c>
      <c r="ES129" s="425">
        <v>4</v>
      </c>
      <c r="ET129" s="425">
        <v>4000</v>
      </c>
      <c r="EU129" s="457">
        <v>2180</v>
      </c>
      <c r="EV129" s="425">
        <v>250</v>
      </c>
      <c r="EW129" s="425">
        <v>6822878</v>
      </c>
      <c r="EX129" s="425">
        <v>35720</v>
      </c>
      <c r="EY129" s="666">
        <v>18.27</v>
      </c>
      <c r="EZ129" s="666">
        <v>18.239999999999998</v>
      </c>
      <c r="FA129" s="666">
        <v>0</v>
      </c>
      <c r="FB129" s="666">
        <v>1.43</v>
      </c>
      <c r="FC129" s="666">
        <v>1.37</v>
      </c>
      <c r="FD129" s="666">
        <v>1.163</v>
      </c>
      <c r="FE129" s="666">
        <v>1.1399999999999999</v>
      </c>
      <c r="FF129" s="666">
        <v>220</v>
      </c>
      <c r="FG129" s="666">
        <v>1.83</v>
      </c>
      <c r="FH129" s="666">
        <v>0.90200000000000002</v>
      </c>
      <c r="FI129" s="666">
        <v>1.53</v>
      </c>
      <c r="FJ129" s="666">
        <v>8.18</v>
      </c>
      <c r="FK129" s="666">
        <v>8.1999999999999993</v>
      </c>
      <c r="FL129" s="666">
        <v>7.93</v>
      </c>
      <c r="FM129" s="666">
        <v>7.8</v>
      </c>
      <c r="FN129" s="666">
        <v>0</v>
      </c>
    </row>
    <row r="130" spans="1:170" s="416" customFormat="1" ht="15">
      <c r="A130" s="425" t="s">
        <v>5</v>
      </c>
      <c r="B130" s="426">
        <v>40659</v>
      </c>
      <c r="C130" s="418">
        <v>0</v>
      </c>
      <c r="D130" s="518">
        <v>0.42</v>
      </c>
      <c r="E130" s="453">
        <v>0</v>
      </c>
      <c r="F130" s="453">
        <v>42</v>
      </c>
      <c r="G130" s="453">
        <v>1.58</v>
      </c>
      <c r="H130" s="519">
        <v>1.71</v>
      </c>
      <c r="I130" s="519">
        <v>93</v>
      </c>
      <c r="J130" s="483">
        <v>1.44</v>
      </c>
      <c r="K130" s="520" t="s">
        <v>742</v>
      </c>
      <c r="L130" s="453">
        <v>0</v>
      </c>
      <c r="M130" s="453">
        <v>25.3</v>
      </c>
      <c r="N130" s="453">
        <v>1.63</v>
      </c>
      <c r="O130" s="453">
        <v>2.2382087121900374</v>
      </c>
      <c r="P130" s="453" t="s">
        <v>742</v>
      </c>
      <c r="Q130" s="453" t="s">
        <v>742</v>
      </c>
      <c r="R130" s="453">
        <v>1075.6881321003962</v>
      </c>
      <c r="S130" s="453">
        <v>7.77</v>
      </c>
      <c r="T130" s="453" t="s">
        <v>742</v>
      </c>
      <c r="U130" s="453">
        <v>0.72</v>
      </c>
      <c r="V130" s="453" t="s">
        <v>742</v>
      </c>
      <c r="W130" s="453">
        <v>42.980000000000004</v>
      </c>
      <c r="X130" s="456" t="e">
        <v>#VALUE!</v>
      </c>
      <c r="Y130" s="453">
        <v>29.88</v>
      </c>
      <c r="Z130" s="453">
        <v>26.67</v>
      </c>
      <c r="AA130" s="519">
        <v>29.80000000000291</v>
      </c>
      <c r="AB130" s="519">
        <v>27.75</v>
      </c>
      <c r="AC130" s="732">
        <f t="shared" si="1"/>
        <v>57.55000000000291</v>
      </c>
      <c r="AD130" s="664"/>
      <c r="AE130" s="664"/>
      <c r="AF130" s="664"/>
      <c r="AG130" s="664"/>
      <c r="AH130" s="664"/>
      <c r="AI130" s="664"/>
      <c r="AJ130" s="485"/>
      <c r="AK130" s="485"/>
      <c r="AL130" s="485"/>
      <c r="AM130" s="485"/>
      <c r="AN130" s="485"/>
      <c r="AO130" s="665"/>
      <c r="AP130" s="485"/>
      <c r="AQ130" s="483"/>
      <c r="AR130" s="755">
        <v>0</v>
      </c>
      <c r="AS130" s="483">
        <v>35.200000000000003</v>
      </c>
      <c r="AT130" s="755">
        <v>0</v>
      </c>
      <c r="AU130" s="483">
        <v>31</v>
      </c>
      <c r="AV130" s="484">
        <v>128.80000000000001</v>
      </c>
      <c r="AW130" s="484">
        <v>347.8</v>
      </c>
      <c r="AX130" s="453">
        <v>0</v>
      </c>
      <c r="AY130" s="734">
        <v>0</v>
      </c>
      <c r="AZ130" s="734">
        <v>0</v>
      </c>
      <c r="BA130" s="734">
        <v>0</v>
      </c>
      <c r="BB130" s="453">
        <v>0</v>
      </c>
      <c r="BC130" s="453">
        <v>1.01</v>
      </c>
      <c r="BD130" s="453">
        <v>2.02</v>
      </c>
      <c r="BE130" s="734">
        <v>0</v>
      </c>
      <c r="BF130" s="453">
        <v>0.56000000000000005</v>
      </c>
      <c r="BG130" s="453">
        <v>0</v>
      </c>
      <c r="BH130" s="734">
        <v>0</v>
      </c>
      <c r="BI130" s="453">
        <v>0</v>
      </c>
      <c r="BJ130" s="453">
        <v>23.5</v>
      </c>
      <c r="BK130" s="453">
        <v>2.75</v>
      </c>
      <c r="BL130" s="453">
        <v>3.3</v>
      </c>
      <c r="BM130" s="453">
        <v>0</v>
      </c>
      <c r="BN130" s="453">
        <v>17.3</v>
      </c>
      <c r="BO130" s="453">
        <v>1229.5</v>
      </c>
      <c r="BP130" s="453">
        <v>0</v>
      </c>
      <c r="BQ130" s="453">
        <v>18.899999999999999</v>
      </c>
      <c r="BR130" s="453">
        <v>18.8</v>
      </c>
      <c r="BS130" s="453">
        <v>0</v>
      </c>
      <c r="BT130" s="453">
        <v>31.9</v>
      </c>
      <c r="BU130" s="453">
        <v>23.4</v>
      </c>
      <c r="BV130" s="456">
        <v>438.5</v>
      </c>
      <c r="BW130" s="453">
        <v>0.9</v>
      </c>
      <c r="BX130" s="453">
        <v>1.51</v>
      </c>
      <c r="BY130" s="456">
        <v>1.1000000000000001</v>
      </c>
      <c r="BZ130" s="456">
        <v>14.9</v>
      </c>
      <c r="CA130" s="456">
        <v>34.700000000000003</v>
      </c>
      <c r="CB130" s="456">
        <v>14.3</v>
      </c>
      <c r="CC130" s="456">
        <v>9.4</v>
      </c>
      <c r="CD130" s="456">
        <v>13.6</v>
      </c>
      <c r="CE130" s="456">
        <v>17.8</v>
      </c>
      <c r="CF130" s="456">
        <v>13</v>
      </c>
      <c r="CG130" s="456">
        <v>468.7</v>
      </c>
      <c r="CH130" s="456">
        <v>2.2000000000000002</v>
      </c>
      <c r="CI130" s="456">
        <v>2.7</v>
      </c>
      <c r="CJ130" s="456">
        <v>304.7</v>
      </c>
      <c r="CK130" s="456">
        <v>387.2</v>
      </c>
      <c r="CL130" s="456">
        <v>557.6</v>
      </c>
      <c r="CM130" s="456">
        <v>11.9</v>
      </c>
      <c r="CN130" s="456">
        <v>1.83</v>
      </c>
      <c r="CO130" s="453">
        <v>1799.2</v>
      </c>
      <c r="CP130" s="453">
        <v>15.61</v>
      </c>
      <c r="CQ130" s="453">
        <v>47</v>
      </c>
      <c r="CR130" s="456">
        <v>0</v>
      </c>
      <c r="CS130" s="456">
        <v>0</v>
      </c>
      <c r="CT130" s="456">
        <v>0</v>
      </c>
      <c r="CU130" s="456">
        <v>0</v>
      </c>
      <c r="CV130" s="481">
        <v>1351</v>
      </c>
      <c r="CW130" s="481">
        <v>2133.75</v>
      </c>
      <c r="CX130" s="481">
        <v>1308.6458333333333</v>
      </c>
      <c r="CY130" s="481">
        <v>1147.8900000000001</v>
      </c>
      <c r="CZ130" s="456"/>
      <c r="DA130" s="456"/>
      <c r="DB130" s="456"/>
      <c r="DC130" s="456"/>
      <c r="DD130" s="456"/>
      <c r="DE130" s="456"/>
      <c r="DF130" s="456"/>
      <c r="DG130" s="425"/>
      <c r="DH130" s="456">
        <v>105</v>
      </c>
      <c r="DI130" s="456">
        <v>0.48</v>
      </c>
      <c r="DJ130" s="456">
        <v>1.1100000000000001</v>
      </c>
      <c r="DK130" s="425"/>
      <c r="DL130" s="456"/>
      <c r="DM130" s="456"/>
      <c r="DN130" s="456"/>
      <c r="DO130" s="456"/>
      <c r="DP130" s="456"/>
      <c r="DQ130" s="456"/>
      <c r="DR130" s="456"/>
      <c r="DS130" s="456"/>
      <c r="DT130" s="456"/>
      <c r="DU130" s="456"/>
      <c r="DV130" s="456"/>
      <c r="DW130" s="456"/>
      <c r="DX130" s="456"/>
      <c r="DY130" s="456"/>
      <c r="DZ130" s="456"/>
      <c r="EA130" s="456"/>
      <c r="EB130" s="456"/>
      <c r="EC130" s="456"/>
      <c r="ED130" s="423">
        <v>0</v>
      </c>
      <c r="EE130" s="456">
        <v>0</v>
      </c>
      <c r="EF130" s="456">
        <v>3.5</v>
      </c>
      <c r="EG130" s="456">
        <v>6</v>
      </c>
      <c r="EH130" s="423">
        <v>0</v>
      </c>
      <c r="EI130" s="456"/>
      <c r="EJ130" s="456"/>
      <c r="EK130" s="456"/>
      <c r="EL130" s="456"/>
      <c r="EM130" s="456"/>
      <c r="EN130" s="456"/>
      <c r="EO130" s="425"/>
      <c r="EP130" s="425"/>
      <c r="EQ130" s="425" t="s">
        <v>743</v>
      </c>
      <c r="ER130" s="425">
        <v>1</v>
      </c>
      <c r="ES130" s="425">
        <v>4</v>
      </c>
      <c r="ET130" s="425">
        <v>4000</v>
      </c>
      <c r="EU130" s="457">
        <v>1980</v>
      </c>
      <c r="EV130" s="425">
        <v>265</v>
      </c>
      <c r="EW130" s="425">
        <v>6825070</v>
      </c>
      <c r="EX130" s="425">
        <v>36490</v>
      </c>
      <c r="EY130" s="666">
        <v>19.170000000000002</v>
      </c>
      <c r="EZ130" s="666">
        <v>19.18</v>
      </c>
      <c r="FA130" s="666">
        <v>0</v>
      </c>
      <c r="FB130" s="666">
        <v>1.36</v>
      </c>
      <c r="FC130" s="666">
        <v>1.38</v>
      </c>
      <c r="FD130" s="666">
        <v>1.2</v>
      </c>
      <c r="FE130" s="666">
        <v>1.21</v>
      </c>
      <c r="FF130" s="666">
        <v>200</v>
      </c>
      <c r="FG130" s="666">
        <v>1.61</v>
      </c>
      <c r="FH130" s="666">
        <v>0.86799999999999999</v>
      </c>
      <c r="FI130" s="666">
        <v>1.45</v>
      </c>
      <c r="FJ130" s="666">
        <v>8.23</v>
      </c>
      <c r="FK130" s="666">
        <v>8.3000000000000007</v>
      </c>
      <c r="FL130" s="666">
        <v>7.91</v>
      </c>
      <c r="FM130" s="666">
        <v>7.8</v>
      </c>
      <c r="FN130" s="666">
        <v>0</v>
      </c>
    </row>
    <row r="131" spans="1:170" s="416" customFormat="1" ht="15">
      <c r="A131" s="425" t="s">
        <v>6</v>
      </c>
      <c r="B131" s="426">
        <v>40660</v>
      </c>
      <c r="C131" s="418">
        <v>0</v>
      </c>
      <c r="D131" s="518">
        <v>0.96</v>
      </c>
      <c r="E131" s="453">
        <v>0</v>
      </c>
      <c r="F131" s="453">
        <v>36</v>
      </c>
      <c r="G131" s="453">
        <v>1.85</v>
      </c>
      <c r="H131" s="519">
        <v>0.72</v>
      </c>
      <c r="I131" s="519">
        <v>93.5</v>
      </c>
      <c r="J131" s="483">
        <v>1.48</v>
      </c>
      <c r="K131" s="520" t="s">
        <v>742</v>
      </c>
      <c r="L131" s="453">
        <v>0</v>
      </c>
      <c r="M131" s="453">
        <v>25.4</v>
      </c>
      <c r="N131" s="453">
        <v>1.56</v>
      </c>
      <c r="O131" s="453">
        <v>1.7923449737670971</v>
      </c>
      <c r="P131" s="453" t="s">
        <v>742</v>
      </c>
      <c r="Q131" s="453" t="s">
        <v>742</v>
      </c>
      <c r="R131" s="453">
        <v>859.96747688243067</v>
      </c>
      <c r="S131" s="453">
        <v>7.77</v>
      </c>
      <c r="T131" s="453" t="s">
        <v>742</v>
      </c>
      <c r="U131" s="453">
        <v>0.72</v>
      </c>
      <c r="V131" s="453" t="s">
        <v>742</v>
      </c>
      <c r="W131" s="453">
        <v>46.400000000000006</v>
      </c>
      <c r="X131" s="456" t="e">
        <v>#VALUE!</v>
      </c>
      <c r="Y131" s="453">
        <v>29.84</v>
      </c>
      <c r="Z131" s="453">
        <v>27.02</v>
      </c>
      <c r="AA131" s="519">
        <v>30.19999999999709</v>
      </c>
      <c r="AB131" s="519">
        <v>27.25</v>
      </c>
      <c r="AC131" s="732">
        <f t="shared" si="1"/>
        <v>57.44999999999709</v>
      </c>
      <c r="AD131" s="664"/>
      <c r="AE131" s="664"/>
      <c r="AF131" s="664"/>
      <c r="AG131" s="664"/>
      <c r="AH131" s="664"/>
      <c r="AI131" s="664"/>
      <c r="AJ131" s="485"/>
      <c r="AK131" s="485"/>
      <c r="AL131" s="485"/>
      <c r="AM131" s="485"/>
      <c r="AN131" s="485"/>
      <c r="AO131" s="665"/>
      <c r="AP131" s="485"/>
      <c r="AQ131" s="483"/>
      <c r="AR131" s="755">
        <v>0</v>
      </c>
      <c r="AS131" s="483">
        <v>18.8</v>
      </c>
      <c r="AT131" s="755">
        <v>0</v>
      </c>
      <c r="AU131" s="483">
        <v>31</v>
      </c>
      <c r="AV131" s="484">
        <v>263.7</v>
      </c>
      <c r="AW131" s="484">
        <v>423.2</v>
      </c>
      <c r="AX131" s="453">
        <v>0</v>
      </c>
      <c r="AY131" s="734">
        <v>0</v>
      </c>
      <c r="AZ131" s="734">
        <v>0</v>
      </c>
      <c r="BA131" s="734">
        <v>0</v>
      </c>
      <c r="BB131" s="453">
        <v>0</v>
      </c>
      <c r="BC131" s="453">
        <v>1.01</v>
      </c>
      <c r="BD131" s="453">
        <v>2.02</v>
      </c>
      <c r="BE131" s="734">
        <v>0</v>
      </c>
      <c r="BF131" s="453">
        <v>0.5</v>
      </c>
      <c r="BG131" s="453">
        <v>0</v>
      </c>
      <c r="BH131" s="734">
        <v>0</v>
      </c>
      <c r="BI131" s="453">
        <v>0</v>
      </c>
      <c r="BJ131" s="453">
        <v>23.9</v>
      </c>
      <c r="BK131" s="453">
        <v>2.71</v>
      </c>
      <c r="BL131" s="453">
        <v>3.3</v>
      </c>
      <c r="BM131" s="453">
        <v>0</v>
      </c>
      <c r="BN131" s="453">
        <v>17.7</v>
      </c>
      <c r="BO131" s="453">
        <v>1272.3</v>
      </c>
      <c r="BP131" s="453">
        <v>0</v>
      </c>
      <c r="BQ131" s="453">
        <v>19.8</v>
      </c>
      <c r="BR131" s="453">
        <v>19.7</v>
      </c>
      <c r="BS131" s="453">
        <v>0</v>
      </c>
      <c r="BT131" s="453">
        <v>31.3</v>
      </c>
      <c r="BU131" s="453">
        <v>22.6</v>
      </c>
      <c r="BV131" s="456">
        <v>456</v>
      </c>
      <c r="BW131" s="453">
        <v>0.81</v>
      </c>
      <c r="BX131" s="453">
        <v>1.48</v>
      </c>
      <c r="BY131" s="456">
        <v>1.08</v>
      </c>
      <c r="BZ131" s="456">
        <v>14.9</v>
      </c>
      <c r="CA131" s="456">
        <v>37.5</v>
      </c>
      <c r="CB131" s="456">
        <v>13.2</v>
      </c>
      <c r="CC131" s="456">
        <v>8.8000000000000007</v>
      </c>
      <c r="CD131" s="456">
        <v>12.97</v>
      </c>
      <c r="CE131" s="456">
        <v>17.37</v>
      </c>
      <c r="CF131" s="456">
        <v>13.12</v>
      </c>
      <c r="CG131" s="456">
        <v>441</v>
      </c>
      <c r="CH131" s="456">
        <v>2.1</v>
      </c>
      <c r="CI131" s="456">
        <v>2.9</v>
      </c>
      <c r="CJ131" s="456">
        <v>3.05</v>
      </c>
      <c r="CK131" s="456">
        <v>372.8</v>
      </c>
      <c r="CL131" s="456">
        <v>554.1</v>
      </c>
      <c r="CM131" s="456">
        <v>12.1</v>
      </c>
      <c r="CN131" s="456">
        <v>1.86</v>
      </c>
      <c r="CO131" s="453">
        <v>2116.1</v>
      </c>
      <c r="CP131" s="453">
        <v>15.68</v>
      </c>
      <c r="CQ131" s="453">
        <v>48</v>
      </c>
      <c r="CR131" s="456">
        <v>0</v>
      </c>
      <c r="CS131" s="456">
        <v>0</v>
      </c>
      <c r="CT131" s="456">
        <v>0</v>
      </c>
      <c r="CU131" s="456">
        <v>0</v>
      </c>
      <c r="CV131" s="481">
        <v>1405</v>
      </c>
      <c r="CW131" s="481">
        <v>2061.5625</v>
      </c>
      <c r="CX131" s="481">
        <v>1381.6666666666667</v>
      </c>
      <c r="CY131" s="481">
        <v>1148.17</v>
      </c>
      <c r="CZ131" s="456"/>
      <c r="DA131" s="456"/>
      <c r="DB131" s="456"/>
      <c r="DC131" s="456"/>
      <c r="DD131" s="456"/>
      <c r="DE131" s="456"/>
      <c r="DF131" s="456"/>
      <c r="DG131" s="425"/>
      <c r="DH131" s="456">
        <v>114</v>
      </c>
      <c r="DI131" s="456">
        <v>0.46</v>
      </c>
      <c r="DJ131" s="456">
        <v>1.1200000000000001</v>
      </c>
      <c r="DK131" s="425"/>
      <c r="DL131" s="456"/>
      <c r="DM131" s="456"/>
      <c r="DN131" s="456"/>
      <c r="DO131" s="456"/>
      <c r="DP131" s="456"/>
      <c r="DQ131" s="456"/>
      <c r="DR131" s="456"/>
      <c r="DS131" s="456"/>
      <c r="DT131" s="456"/>
      <c r="DU131" s="456"/>
      <c r="DV131" s="456"/>
      <c r="DW131" s="456"/>
      <c r="DX131" s="456"/>
      <c r="DY131" s="456"/>
      <c r="DZ131" s="456"/>
      <c r="EA131" s="456"/>
      <c r="EB131" s="456"/>
      <c r="EC131" s="456"/>
      <c r="ED131" s="423">
        <v>0</v>
      </c>
      <c r="EE131" s="456">
        <v>0</v>
      </c>
      <c r="EF131" s="456">
        <v>3.5</v>
      </c>
      <c r="EG131" s="456">
        <v>6</v>
      </c>
      <c r="EH131" s="423">
        <v>0</v>
      </c>
      <c r="EI131" s="456"/>
      <c r="EJ131" s="456"/>
      <c r="EK131" s="456"/>
      <c r="EL131" s="456"/>
      <c r="EM131" s="456"/>
      <c r="EN131" s="456"/>
      <c r="EO131" s="425"/>
      <c r="EP131" s="425"/>
      <c r="EQ131" s="425" t="s">
        <v>743</v>
      </c>
      <c r="ER131" s="425">
        <v>1</v>
      </c>
      <c r="ES131" s="425">
        <v>4</v>
      </c>
      <c r="ET131" s="425">
        <v>4000</v>
      </c>
      <c r="EU131" s="457">
        <v>1770</v>
      </c>
      <c r="EV131" s="425">
        <v>240</v>
      </c>
      <c r="EW131" s="425">
        <v>6827414</v>
      </c>
      <c r="EX131" s="425">
        <v>37252</v>
      </c>
      <c r="EY131" s="666">
        <v>19.600000000000001</v>
      </c>
      <c r="EZ131" s="666">
        <v>19.600000000000001</v>
      </c>
      <c r="FA131" s="666">
        <v>0</v>
      </c>
      <c r="FB131" s="666">
        <v>1.37</v>
      </c>
      <c r="FC131" s="666">
        <v>1.38</v>
      </c>
      <c r="FD131" s="666">
        <v>1.1499999999999999</v>
      </c>
      <c r="FE131" s="666">
        <v>1.1200000000000001</v>
      </c>
      <c r="FF131" s="666">
        <v>210</v>
      </c>
      <c r="FG131" s="666">
        <v>1.48</v>
      </c>
      <c r="FH131" s="666">
        <v>0.83</v>
      </c>
      <c r="FI131" s="666">
        <v>1.35</v>
      </c>
      <c r="FJ131" s="666">
        <v>8.1300000000000008</v>
      </c>
      <c r="FK131" s="666">
        <v>8.1999999999999993</v>
      </c>
      <c r="FL131" s="666">
        <v>7.94</v>
      </c>
      <c r="FM131" s="666">
        <v>7.6</v>
      </c>
      <c r="FN131" s="666">
        <v>0</v>
      </c>
    </row>
    <row r="132" spans="1:170" s="416" customFormat="1" ht="15">
      <c r="A132" s="425" t="s">
        <v>7</v>
      </c>
      <c r="B132" s="426">
        <v>40661</v>
      </c>
      <c r="C132" s="418">
        <v>0</v>
      </c>
      <c r="D132" s="518">
        <v>0.22</v>
      </c>
      <c r="E132" s="453">
        <v>0</v>
      </c>
      <c r="F132" s="453">
        <v>39</v>
      </c>
      <c r="G132" s="453">
        <v>1.85</v>
      </c>
      <c r="H132" s="519">
        <v>0.73</v>
      </c>
      <c r="I132" s="519">
        <v>93.7</v>
      </c>
      <c r="J132" s="483">
        <v>1.67</v>
      </c>
      <c r="K132" s="520" t="s">
        <v>742</v>
      </c>
      <c r="L132" s="453">
        <v>0</v>
      </c>
      <c r="M132" s="453">
        <v>25.3</v>
      </c>
      <c r="N132" s="453">
        <v>1.62</v>
      </c>
      <c r="O132" s="453">
        <v>2.7574636723910171</v>
      </c>
      <c r="P132" s="453" t="s">
        <v>742</v>
      </c>
      <c r="Q132" s="453" t="s">
        <v>742</v>
      </c>
      <c r="R132" s="453">
        <v>1126.8651043593129</v>
      </c>
      <c r="S132" s="453">
        <v>7.75</v>
      </c>
      <c r="T132" s="453" t="s">
        <v>742</v>
      </c>
      <c r="U132" s="453">
        <v>0.74</v>
      </c>
      <c r="V132" s="453" t="s">
        <v>742</v>
      </c>
      <c r="W132" s="453">
        <v>46.400000000000006</v>
      </c>
      <c r="X132" s="456" t="e">
        <v>#VALUE!</v>
      </c>
      <c r="Y132" s="453">
        <v>30.16</v>
      </c>
      <c r="Z132" s="453">
        <v>19.71</v>
      </c>
      <c r="AA132" s="519">
        <v>29</v>
      </c>
      <c r="AB132" s="519">
        <v>20</v>
      </c>
      <c r="AC132" s="732">
        <f t="shared" si="1"/>
        <v>49</v>
      </c>
      <c r="AD132" s="664"/>
      <c r="AE132" s="664"/>
      <c r="AF132" s="664"/>
      <c r="AG132" s="664"/>
      <c r="AH132" s="664"/>
      <c r="AI132" s="664"/>
      <c r="AJ132" s="485"/>
      <c r="AK132" s="485"/>
      <c r="AL132" s="485"/>
      <c r="AM132" s="485"/>
      <c r="AN132" s="485"/>
      <c r="AO132" s="665"/>
      <c r="AP132" s="485"/>
      <c r="AQ132" s="483"/>
      <c r="AR132" s="755">
        <v>0</v>
      </c>
      <c r="AS132" s="483">
        <v>18.100000000000001</v>
      </c>
      <c r="AT132" s="755">
        <v>0</v>
      </c>
      <c r="AU132" s="483">
        <v>31.3</v>
      </c>
      <c r="AV132" s="484">
        <v>379.6</v>
      </c>
      <c r="AW132" s="484">
        <v>597.6</v>
      </c>
      <c r="AX132" s="453">
        <v>0</v>
      </c>
      <c r="AY132" s="734">
        <v>0</v>
      </c>
      <c r="AZ132" s="734">
        <v>0</v>
      </c>
      <c r="BA132" s="734">
        <v>0</v>
      </c>
      <c r="BB132" s="453">
        <v>0</v>
      </c>
      <c r="BC132" s="453">
        <v>0.54</v>
      </c>
      <c r="BD132" s="453">
        <v>1.88</v>
      </c>
      <c r="BE132" s="734">
        <v>0</v>
      </c>
      <c r="BF132" s="453">
        <v>0.56999999999999995</v>
      </c>
      <c r="BG132" s="453">
        <v>0</v>
      </c>
      <c r="BH132" s="734">
        <v>0</v>
      </c>
      <c r="BI132" s="453">
        <v>0</v>
      </c>
      <c r="BJ132" s="453">
        <v>17</v>
      </c>
      <c r="BK132" s="453">
        <v>2.73</v>
      </c>
      <c r="BL132" s="453">
        <v>3.3</v>
      </c>
      <c r="BM132" s="453">
        <v>0</v>
      </c>
      <c r="BN132" s="453">
        <v>10.8</v>
      </c>
      <c r="BO132" s="453">
        <v>1327.9</v>
      </c>
      <c r="BP132" s="453">
        <v>0</v>
      </c>
      <c r="BQ132" s="453">
        <v>19.39</v>
      </c>
      <c r="BR132" s="453">
        <v>19.3</v>
      </c>
      <c r="BS132" s="453">
        <v>0</v>
      </c>
      <c r="BT132" s="453">
        <v>31.4</v>
      </c>
      <c r="BU132" s="453">
        <v>29.4</v>
      </c>
      <c r="BV132" s="456">
        <v>629.4</v>
      </c>
      <c r="BW132" s="453">
        <v>0.9</v>
      </c>
      <c r="BX132" s="453">
        <v>1.49</v>
      </c>
      <c r="BY132" s="456">
        <v>1.1100000000000001</v>
      </c>
      <c r="BZ132" s="456">
        <v>15.1</v>
      </c>
      <c r="CA132" s="456">
        <v>35.700000000000003</v>
      </c>
      <c r="CB132" s="456">
        <v>12.55</v>
      </c>
      <c r="CC132" s="456">
        <v>9.4</v>
      </c>
      <c r="CD132" s="456">
        <v>13.6</v>
      </c>
      <c r="CE132" s="456">
        <v>17.7</v>
      </c>
      <c r="CF132" s="456">
        <v>13.39</v>
      </c>
      <c r="CG132" s="456">
        <v>441.9</v>
      </c>
      <c r="CH132" s="456">
        <v>2.1</v>
      </c>
      <c r="CI132" s="456">
        <v>2.7</v>
      </c>
      <c r="CJ132" s="456">
        <v>474.1</v>
      </c>
      <c r="CK132" s="456">
        <v>364.4</v>
      </c>
      <c r="CL132" s="456">
        <v>556.6</v>
      </c>
      <c r="CM132" s="456">
        <v>12.1</v>
      </c>
      <c r="CN132" s="456">
        <v>1.81</v>
      </c>
      <c r="CO132" s="453">
        <v>2101.3000000000002</v>
      </c>
      <c r="CP132" s="453">
        <v>15.68</v>
      </c>
      <c r="CQ132" s="453">
        <v>48</v>
      </c>
      <c r="CR132" s="456">
        <v>0</v>
      </c>
      <c r="CS132" s="456">
        <v>0</v>
      </c>
      <c r="CT132" s="456">
        <v>0</v>
      </c>
      <c r="CU132" s="456">
        <v>0</v>
      </c>
      <c r="CV132" s="481">
        <v>1527.2727272727273</v>
      </c>
      <c r="CW132" s="481">
        <v>2443.4375</v>
      </c>
      <c r="CX132" s="481">
        <v>1546.6666666666667</v>
      </c>
      <c r="CY132" s="481">
        <v>1148.1600000000001</v>
      </c>
      <c r="CZ132" s="456"/>
      <c r="DA132" s="456"/>
      <c r="DB132" s="456"/>
      <c r="DC132" s="456"/>
      <c r="DD132" s="456"/>
      <c r="DE132" s="456"/>
      <c r="DF132" s="456"/>
      <c r="DG132" s="425"/>
      <c r="DH132" s="456">
        <v>132</v>
      </c>
      <c r="DI132" s="456">
        <v>0.51</v>
      </c>
      <c r="DJ132" s="456">
        <v>1.04</v>
      </c>
      <c r="DK132" s="425"/>
      <c r="DL132" s="456"/>
      <c r="DM132" s="456"/>
      <c r="DN132" s="456"/>
      <c r="DO132" s="456"/>
      <c r="DP132" s="456"/>
      <c r="DQ132" s="456"/>
      <c r="DR132" s="456"/>
      <c r="DS132" s="456"/>
      <c r="DT132" s="456"/>
      <c r="DU132" s="456"/>
      <c r="DV132" s="456"/>
      <c r="DW132" s="456"/>
      <c r="DX132" s="456"/>
      <c r="DY132" s="456"/>
      <c r="DZ132" s="456"/>
      <c r="EA132" s="456"/>
      <c r="EB132" s="456"/>
      <c r="EC132" s="456"/>
      <c r="ED132" s="423">
        <v>0</v>
      </c>
      <c r="EE132" s="456">
        <v>0</v>
      </c>
      <c r="EF132" s="456">
        <v>2.5</v>
      </c>
      <c r="EG132" s="456">
        <v>6</v>
      </c>
      <c r="EH132" s="423">
        <v>0</v>
      </c>
      <c r="EI132" s="456"/>
      <c r="EJ132" s="456"/>
      <c r="EK132" s="456"/>
      <c r="EL132" s="456"/>
      <c r="EM132" s="456"/>
      <c r="EN132" s="456"/>
      <c r="EO132" s="425"/>
      <c r="EP132" s="425"/>
      <c r="EQ132" s="425" t="s">
        <v>743</v>
      </c>
      <c r="ER132" s="425">
        <v>1</v>
      </c>
      <c r="ES132" s="425">
        <v>4</v>
      </c>
      <c r="ET132" s="425">
        <v>4000</v>
      </c>
      <c r="EU132" s="457">
        <v>1500</v>
      </c>
      <c r="EV132" s="425">
        <v>240</v>
      </c>
      <c r="EW132" s="425">
        <v>6830350</v>
      </c>
      <c r="EX132" s="425">
        <v>38057</v>
      </c>
      <c r="EY132" s="666">
        <v>19.3</v>
      </c>
      <c r="EZ132" s="666">
        <v>19.3</v>
      </c>
      <c r="FA132" s="666">
        <v>0</v>
      </c>
      <c r="FB132" s="666">
        <v>1.41</v>
      </c>
      <c r="FC132" s="666">
        <v>1.4</v>
      </c>
      <c r="FD132" s="666">
        <v>1.1599999999999999</v>
      </c>
      <c r="FE132" s="666">
        <v>1.1499999999999999</v>
      </c>
      <c r="FF132" s="666">
        <v>270</v>
      </c>
      <c r="FG132" s="666">
        <v>1.39</v>
      </c>
      <c r="FH132" s="666">
        <v>0.8</v>
      </c>
      <c r="FI132" s="666">
        <v>1.41</v>
      </c>
      <c r="FJ132" s="666">
        <v>8.18</v>
      </c>
      <c r="FK132" s="666">
        <v>8.1999999999999993</v>
      </c>
      <c r="FL132" s="666">
        <v>7.97</v>
      </c>
      <c r="FM132" s="666">
        <v>7.6</v>
      </c>
      <c r="FN132" s="666">
        <v>0</v>
      </c>
    </row>
    <row r="133" spans="1:170" s="416" customFormat="1" ht="15">
      <c r="A133" s="425" t="s">
        <v>8</v>
      </c>
      <c r="B133" s="426">
        <v>40662</v>
      </c>
      <c r="C133" s="418">
        <v>0</v>
      </c>
      <c r="D133" s="518">
        <v>0.15</v>
      </c>
      <c r="E133" s="453">
        <v>0</v>
      </c>
      <c r="F133" s="453">
        <v>42</v>
      </c>
      <c r="G133" s="453">
        <v>1.73</v>
      </c>
      <c r="H133" s="519">
        <v>1.35</v>
      </c>
      <c r="I133" s="519">
        <v>93.9</v>
      </c>
      <c r="J133" s="483">
        <v>1.37</v>
      </c>
      <c r="K133" s="520" t="s">
        <v>742</v>
      </c>
      <c r="L133" s="453">
        <v>0</v>
      </c>
      <c r="M133" s="453">
        <v>25.3</v>
      </c>
      <c r="N133" s="453">
        <v>1.61</v>
      </c>
      <c r="O133" s="453">
        <v>2.1531519154557461</v>
      </c>
      <c r="P133" s="453" t="s">
        <v>742</v>
      </c>
      <c r="Q133" s="453" t="s">
        <v>742</v>
      </c>
      <c r="R133" s="453">
        <v>909.84882959048855</v>
      </c>
      <c r="S133" s="453">
        <v>7.78</v>
      </c>
      <c r="T133" s="453" t="s">
        <v>742</v>
      </c>
      <c r="U133" s="453">
        <v>0.73</v>
      </c>
      <c r="V133" s="453" t="s">
        <v>742</v>
      </c>
      <c r="W133" s="453">
        <v>43.519999999999996</v>
      </c>
      <c r="X133" s="456" t="e">
        <v>#VALUE!</v>
      </c>
      <c r="Y133" s="453">
        <v>30.24</v>
      </c>
      <c r="Z133" s="453">
        <v>19.8</v>
      </c>
      <c r="AA133" s="519">
        <v>30</v>
      </c>
      <c r="AB133" s="519">
        <v>20</v>
      </c>
      <c r="AC133" s="732">
        <f t="shared" si="1"/>
        <v>50</v>
      </c>
      <c r="AD133" s="664"/>
      <c r="AE133" s="664"/>
      <c r="AF133" s="664"/>
      <c r="AG133" s="664"/>
      <c r="AH133" s="664"/>
      <c r="AI133" s="664"/>
      <c r="AJ133" s="485"/>
      <c r="AK133" s="485"/>
      <c r="AL133" s="485"/>
      <c r="AM133" s="485"/>
      <c r="AN133" s="485"/>
      <c r="AO133" s="665"/>
      <c r="AP133" s="485"/>
      <c r="AQ133" s="483"/>
      <c r="AR133" s="755">
        <v>0</v>
      </c>
      <c r="AS133" s="483">
        <v>18.100000000000001</v>
      </c>
      <c r="AT133" s="755">
        <v>0</v>
      </c>
      <c r="AU133" s="483">
        <v>31.1</v>
      </c>
      <c r="AV133" s="484">
        <v>236.5</v>
      </c>
      <c r="AW133" s="484">
        <v>1474.1</v>
      </c>
      <c r="AX133" s="453">
        <v>0</v>
      </c>
      <c r="AY133" s="734">
        <v>0</v>
      </c>
      <c r="AZ133" s="734">
        <v>0</v>
      </c>
      <c r="BA133" s="734">
        <v>0</v>
      </c>
      <c r="BB133" s="453">
        <v>0</v>
      </c>
      <c r="BC133" s="783">
        <v>0.28000000000000003</v>
      </c>
      <c r="BD133" s="783">
        <v>1.75</v>
      </c>
      <c r="BE133" s="734">
        <v>0</v>
      </c>
      <c r="BF133" s="453">
        <v>0</v>
      </c>
      <c r="BG133" s="453">
        <v>0</v>
      </c>
      <c r="BH133" s="734">
        <v>0</v>
      </c>
      <c r="BI133" s="453">
        <v>0</v>
      </c>
      <c r="BJ133" s="453">
        <v>17.3</v>
      </c>
      <c r="BK133" s="453">
        <v>2.73</v>
      </c>
      <c r="BL133" s="453">
        <v>3.3</v>
      </c>
      <c r="BM133" s="453">
        <v>0</v>
      </c>
      <c r="BN133" s="453">
        <v>11.2</v>
      </c>
      <c r="BO133" s="453">
        <v>975.9</v>
      </c>
      <c r="BP133" s="453">
        <v>0</v>
      </c>
      <c r="BQ133" s="453">
        <v>19.190000000000001</v>
      </c>
      <c r="BR133" s="453">
        <v>19.100000000000001</v>
      </c>
      <c r="BS133" s="453">
        <v>0</v>
      </c>
      <c r="BT133" s="453">
        <v>30.8</v>
      </c>
      <c r="BU133" s="453">
        <v>27.8</v>
      </c>
      <c r="BV133" s="456">
        <v>439.4</v>
      </c>
      <c r="BW133" s="453">
        <v>0.8</v>
      </c>
      <c r="BX133" s="453">
        <v>1.48</v>
      </c>
      <c r="BY133" s="456">
        <v>1.0900000000000001</v>
      </c>
      <c r="BZ133" s="456">
        <v>15.1</v>
      </c>
      <c r="CA133" s="456">
        <v>34.299999999999997</v>
      </c>
      <c r="CB133" s="456">
        <v>14.8</v>
      </c>
      <c r="CC133" s="456">
        <v>8</v>
      </c>
      <c r="CD133" s="456">
        <v>12.23</v>
      </c>
      <c r="CE133" s="456">
        <v>16.3</v>
      </c>
      <c r="CF133" s="456">
        <v>13.27</v>
      </c>
      <c r="CG133" s="456">
        <v>409.32</v>
      </c>
      <c r="CH133" s="456">
        <v>1.9</v>
      </c>
      <c r="CI133" s="456">
        <v>2.6</v>
      </c>
      <c r="CJ133" s="456">
        <v>388.4</v>
      </c>
      <c r="CK133" s="456">
        <v>362.2</v>
      </c>
      <c r="CL133" s="456">
        <v>539.1</v>
      </c>
      <c r="CM133" s="456">
        <v>11.4</v>
      </c>
      <c r="CN133" s="456">
        <v>1.76</v>
      </c>
      <c r="CO133" s="453">
        <v>2090</v>
      </c>
      <c r="CP133" s="453">
        <v>15.04</v>
      </c>
      <c r="CQ133" s="453">
        <v>48</v>
      </c>
      <c r="CR133" s="456">
        <v>0</v>
      </c>
      <c r="CS133" s="456">
        <v>0</v>
      </c>
      <c r="CT133" s="456">
        <v>0</v>
      </c>
      <c r="CU133" s="456">
        <v>0</v>
      </c>
      <c r="CV133" s="481">
        <v>1460.909090909091</v>
      </c>
      <c r="CW133" s="481">
        <v>2323.5416666666665</v>
      </c>
      <c r="CX133" s="481">
        <v>1465.9375</v>
      </c>
      <c r="CY133" s="481">
        <v>1148.04</v>
      </c>
      <c r="CZ133" s="456"/>
      <c r="DA133" s="456"/>
      <c r="DB133" s="456"/>
      <c r="DC133" s="456"/>
      <c r="DD133" s="456"/>
      <c r="DE133" s="456"/>
      <c r="DF133" s="456"/>
      <c r="DG133" s="425"/>
      <c r="DH133" s="456">
        <v>121.5</v>
      </c>
      <c r="DI133" s="456">
        <v>0.43</v>
      </c>
      <c r="DJ133" s="456">
        <v>0.91</v>
      </c>
      <c r="DK133" s="425"/>
      <c r="DL133" s="456"/>
      <c r="DM133" s="456"/>
      <c r="DN133" s="456"/>
      <c r="DO133" s="456"/>
      <c r="DP133" s="456"/>
      <c r="DQ133" s="456"/>
      <c r="DR133" s="456"/>
      <c r="DS133" s="456"/>
      <c r="DT133" s="456"/>
      <c r="DU133" s="456"/>
      <c r="DV133" s="456"/>
      <c r="DW133" s="456"/>
      <c r="DX133" s="456"/>
      <c r="DY133" s="456"/>
      <c r="DZ133" s="456"/>
      <c r="EA133" s="456"/>
      <c r="EB133" s="456"/>
      <c r="EC133" s="456"/>
      <c r="ED133" s="423">
        <v>0</v>
      </c>
      <c r="EE133" s="456">
        <v>0</v>
      </c>
      <c r="EF133" s="456">
        <v>2.5</v>
      </c>
      <c r="EG133" s="456">
        <v>6</v>
      </c>
      <c r="EH133" s="423">
        <v>0</v>
      </c>
      <c r="EI133" s="456"/>
      <c r="EJ133" s="456"/>
      <c r="EK133" s="456"/>
      <c r="EL133" s="456"/>
      <c r="EM133" s="456"/>
      <c r="EN133" s="456"/>
      <c r="EO133" s="425"/>
      <c r="EP133" s="425"/>
      <c r="EQ133" s="425" t="s">
        <v>743</v>
      </c>
      <c r="ER133" s="425">
        <v>1</v>
      </c>
      <c r="ES133" s="425">
        <v>4</v>
      </c>
      <c r="ET133" s="425">
        <v>4000</v>
      </c>
      <c r="EU133" s="457">
        <v>1260</v>
      </c>
      <c r="EV133" s="425">
        <v>230</v>
      </c>
      <c r="EW133" s="425">
        <v>6832930</v>
      </c>
      <c r="EX133" s="425">
        <v>38842</v>
      </c>
      <c r="EY133" s="666">
        <v>19.39</v>
      </c>
      <c r="EZ133" s="666">
        <v>19.38</v>
      </c>
      <c r="FA133" s="666">
        <v>0</v>
      </c>
      <c r="FB133" s="666">
        <v>1.38</v>
      </c>
      <c r="FC133" s="666">
        <v>1.4</v>
      </c>
      <c r="FD133" s="666">
        <v>1.1399999999999999</v>
      </c>
      <c r="FE133" s="666">
        <v>1.1499999999999999</v>
      </c>
      <c r="FF133" s="666">
        <v>240</v>
      </c>
      <c r="FG133" s="666">
        <v>1.19</v>
      </c>
      <c r="FH133" s="666">
        <v>0.76</v>
      </c>
      <c r="FI133" s="666">
        <v>1.2</v>
      </c>
      <c r="FJ133" s="666">
        <v>8.34</v>
      </c>
      <c r="FK133" s="666">
        <v>8.1999999999999993</v>
      </c>
      <c r="FL133" s="666">
        <v>7.95</v>
      </c>
      <c r="FM133" s="666">
        <v>7.7</v>
      </c>
      <c r="FN133" s="666">
        <v>0</v>
      </c>
    </row>
    <row r="134" spans="1:170" s="416" customFormat="1" ht="15">
      <c r="A134" s="425" t="s">
        <v>9</v>
      </c>
      <c r="B134" s="426">
        <v>40663</v>
      </c>
      <c r="C134" s="418">
        <v>0</v>
      </c>
      <c r="D134" s="518">
        <v>0.43</v>
      </c>
      <c r="E134" s="453">
        <v>0</v>
      </c>
      <c r="F134" s="453">
        <v>37</v>
      </c>
      <c r="G134" s="453">
        <v>1.75</v>
      </c>
      <c r="H134" s="519">
        <v>1.43</v>
      </c>
      <c r="I134" s="519">
        <v>93.8</v>
      </c>
      <c r="J134" s="483">
        <v>1.02</v>
      </c>
      <c r="K134" s="520" t="s">
        <v>742</v>
      </c>
      <c r="L134" s="453">
        <v>0</v>
      </c>
      <c r="M134" s="453">
        <v>25.2</v>
      </c>
      <c r="N134" s="453">
        <v>1.61</v>
      </c>
      <c r="O134" s="453">
        <v>2.1084536178081383</v>
      </c>
      <c r="P134" s="453" t="s">
        <v>742</v>
      </c>
      <c r="Q134" s="453" t="s">
        <v>742</v>
      </c>
      <c r="R134" s="453">
        <v>896.89263408190209</v>
      </c>
      <c r="S134" s="453">
        <v>7.86</v>
      </c>
      <c r="T134" s="453" t="s">
        <v>742</v>
      </c>
      <c r="U134" s="453">
        <v>0.69</v>
      </c>
      <c r="V134" s="453" t="s">
        <v>742</v>
      </c>
      <c r="W134" s="453">
        <v>42.980000000000004</v>
      </c>
      <c r="X134" s="456" t="e">
        <v>#VALUE!</v>
      </c>
      <c r="Y134" s="453">
        <v>30.24</v>
      </c>
      <c r="Z134" s="453">
        <v>19.7</v>
      </c>
      <c r="AA134" s="519">
        <v>31</v>
      </c>
      <c r="AB134" s="519">
        <v>20.25</v>
      </c>
      <c r="AC134" s="732">
        <f t="shared" si="1"/>
        <v>51.25</v>
      </c>
      <c r="AD134" s="664"/>
      <c r="AE134" s="664"/>
      <c r="AF134" s="664"/>
      <c r="AG134" s="664"/>
      <c r="AH134" s="664"/>
      <c r="AI134" s="664"/>
      <c r="AJ134" s="485"/>
      <c r="AK134" s="485"/>
      <c r="AL134" s="485"/>
      <c r="AM134" s="485"/>
      <c r="AN134" s="485"/>
      <c r="AO134" s="665"/>
      <c r="AP134" s="485"/>
      <c r="AQ134" s="483"/>
      <c r="AR134" s="755">
        <v>0</v>
      </c>
      <c r="AS134" s="483">
        <v>18.100000000000001</v>
      </c>
      <c r="AT134" s="755">
        <v>0</v>
      </c>
      <c r="AU134" s="483">
        <v>31.2</v>
      </c>
      <c r="AV134" s="484">
        <v>237.4</v>
      </c>
      <c r="AW134" s="484">
        <v>251.4</v>
      </c>
      <c r="AX134" s="453">
        <v>0</v>
      </c>
      <c r="AY134" s="734">
        <v>0</v>
      </c>
      <c r="AZ134" s="734">
        <v>0</v>
      </c>
      <c r="BA134" s="734">
        <v>0</v>
      </c>
      <c r="BB134" s="453">
        <v>0</v>
      </c>
      <c r="BC134" s="783">
        <v>0.28999999999999998</v>
      </c>
      <c r="BD134" s="783">
        <v>1.06</v>
      </c>
      <c r="BE134" s="734">
        <v>0</v>
      </c>
      <c r="BF134" s="453">
        <v>0</v>
      </c>
      <c r="BG134" s="453">
        <v>0</v>
      </c>
      <c r="BH134" s="734">
        <v>0</v>
      </c>
      <c r="BI134" s="453">
        <v>0</v>
      </c>
      <c r="BJ134" s="453">
        <v>18.600000000000001</v>
      </c>
      <c r="BK134" s="453">
        <v>2.73</v>
      </c>
      <c r="BL134" s="453">
        <v>3.3</v>
      </c>
      <c r="BM134" s="453">
        <v>0</v>
      </c>
      <c r="BN134" s="453">
        <v>12.4</v>
      </c>
      <c r="BO134" s="453">
        <v>1728.6</v>
      </c>
      <c r="BP134" s="453">
        <v>0</v>
      </c>
      <c r="BQ134" s="453">
        <v>19.100000000000001</v>
      </c>
      <c r="BR134" s="453">
        <v>19.02</v>
      </c>
      <c r="BS134" s="453">
        <v>0</v>
      </c>
      <c r="BT134" s="453">
        <v>31.9</v>
      </c>
      <c r="BU134" s="453">
        <v>27.7</v>
      </c>
      <c r="BV134" s="456">
        <v>493.9</v>
      </c>
      <c r="BW134" s="453">
        <v>0.7</v>
      </c>
      <c r="BX134" s="453">
        <v>1.47</v>
      </c>
      <c r="BY134" s="456">
        <v>1.0900000000000001</v>
      </c>
      <c r="BZ134" s="456">
        <v>14.9</v>
      </c>
      <c r="CA134" s="456">
        <v>35.200000000000003</v>
      </c>
      <c r="CB134" s="456">
        <v>14</v>
      </c>
      <c r="CC134" s="456">
        <v>9.85</v>
      </c>
      <c r="CD134" s="456">
        <v>14.1</v>
      </c>
      <c r="CE134" s="456">
        <v>18.13</v>
      </c>
      <c r="CF134" s="456">
        <v>13.09</v>
      </c>
      <c r="CG134" s="456">
        <v>429.27</v>
      </c>
      <c r="CH134" s="456">
        <v>1.8</v>
      </c>
      <c r="CI134" s="456">
        <v>2.7</v>
      </c>
      <c r="CJ134" s="456">
        <v>493.3</v>
      </c>
      <c r="CK134" s="456">
        <v>413</v>
      </c>
      <c r="CL134" s="456">
        <v>504.7</v>
      </c>
      <c r="CM134" s="456">
        <v>12.1</v>
      </c>
      <c r="CN134" s="456">
        <v>1.79</v>
      </c>
      <c r="CO134" s="453">
        <v>2087</v>
      </c>
      <c r="CP134" s="453">
        <v>16</v>
      </c>
      <c r="CQ134" s="453">
        <v>48</v>
      </c>
      <c r="CR134" s="456">
        <v>0</v>
      </c>
      <c r="CS134" s="456">
        <v>0</v>
      </c>
      <c r="CT134" s="456">
        <v>0</v>
      </c>
      <c r="CU134" s="456">
        <v>0</v>
      </c>
      <c r="CV134" s="481">
        <v>1378.6363636363637</v>
      </c>
      <c r="CW134" s="481">
        <v>2152.2916666666665</v>
      </c>
      <c r="CX134" s="481">
        <v>1372.2916666666667</v>
      </c>
      <c r="CY134" s="481">
        <v>1147.98</v>
      </c>
      <c r="CZ134" s="456"/>
      <c r="DA134" s="456"/>
      <c r="DB134" s="456"/>
      <c r="DC134" s="456"/>
      <c r="DD134" s="456"/>
      <c r="DE134" s="456"/>
      <c r="DF134" s="456"/>
      <c r="DG134" s="425"/>
      <c r="DH134" s="456">
        <v>93</v>
      </c>
      <c r="DI134" s="456">
        <v>0.47</v>
      </c>
      <c r="DJ134" s="456">
        <v>1.04</v>
      </c>
      <c r="DK134" s="425"/>
      <c r="DL134" s="456"/>
      <c r="DM134" s="456"/>
      <c r="DN134" s="456"/>
      <c r="DO134" s="456"/>
      <c r="DP134" s="456"/>
      <c r="DQ134" s="456"/>
      <c r="DR134" s="456"/>
      <c r="DS134" s="456"/>
      <c r="DT134" s="456"/>
      <c r="DU134" s="456"/>
      <c r="DV134" s="456"/>
      <c r="DW134" s="456"/>
      <c r="DX134" s="456"/>
      <c r="DY134" s="456"/>
      <c r="DZ134" s="456"/>
      <c r="EA134" s="456"/>
      <c r="EB134" s="456"/>
      <c r="EC134" s="456"/>
      <c r="ED134" s="423">
        <v>0</v>
      </c>
      <c r="EE134" s="456">
        <v>0</v>
      </c>
      <c r="EF134" s="456">
        <v>2.5</v>
      </c>
      <c r="EG134" s="456">
        <v>6</v>
      </c>
      <c r="EH134" s="423">
        <v>0</v>
      </c>
      <c r="EI134" s="456"/>
      <c r="EJ134" s="456"/>
      <c r="EK134" s="456"/>
      <c r="EL134" s="456"/>
      <c r="EM134" s="456"/>
      <c r="EN134" s="456"/>
      <c r="EO134" s="425"/>
      <c r="EP134" s="425"/>
      <c r="EQ134" s="425" t="s">
        <v>743</v>
      </c>
      <c r="ER134" s="425">
        <v>1</v>
      </c>
      <c r="ES134" s="425">
        <v>4</v>
      </c>
      <c r="ET134" s="425">
        <v>4000</v>
      </c>
      <c r="EU134" s="457">
        <v>1000</v>
      </c>
      <c r="EV134" s="425">
        <v>180</v>
      </c>
      <c r="EW134" s="425">
        <v>6835630</v>
      </c>
      <c r="EX134" s="425">
        <v>39631</v>
      </c>
      <c r="EY134" s="666">
        <v>19.350000000000001</v>
      </c>
      <c r="EZ134" s="666">
        <v>19.350000000000001</v>
      </c>
      <c r="FA134" s="666">
        <v>0</v>
      </c>
      <c r="FB134" s="666">
        <v>1.37</v>
      </c>
      <c r="FC134" s="666">
        <v>1.4</v>
      </c>
      <c r="FD134" s="666">
        <v>1.04</v>
      </c>
      <c r="FE134" s="666">
        <v>1.07</v>
      </c>
      <c r="FF134" s="666">
        <v>260</v>
      </c>
      <c r="FG134" s="666">
        <v>1.1399999999999999</v>
      </c>
      <c r="FH134" s="666">
        <v>0.73</v>
      </c>
      <c r="FI134" s="666">
        <v>1.19</v>
      </c>
      <c r="FJ134" s="666">
        <v>8.35</v>
      </c>
      <c r="FK134" s="666">
        <v>8.1999999999999993</v>
      </c>
      <c r="FL134" s="666">
        <v>7.97</v>
      </c>
      <c r="FM134" s="666">
        <v>7.6</v>
      </c>
      <c r="FN134" s="666">
        <v>0</v>
      </c>
    </row>
    <row r="135" spans="1:170" s="416" customFormat="1" ht="15">
      <c r="A135" s="425" t="s">
        <v>3</v>
      </c>
      <c r="B135" s="426">
        <v>40664</v>
      </c>
      <c r="C135" s="418">
        <v>0</v>
      </c>
      <c r="D135" s="518">
        <v>0</v>
      </c>
      <c r="E135" s="453">
        <v>0</v>
      </c>
      <c r="F135" s="453">
        <v>48</v>
      </c>
      <c r="G135" s="453">
        <v>1.75</v>
      </c>
      <c r="H135" s="519">
        <v>1.23</v>
      </c>
      <c r="I135" s="519">
        <v>93.7</v>
      </c>
      <c r="J135" s="483">
        <v>0.97</v>
      </c>
      <c r="K135" s="520" t="s">
        <v>742</v>
      </c>
      <c r="L135" s="453">
        <v>0</v>
      </c>
      <c r="M135" s="453">
        <v>25.2</v>
      </c>
      <c r="N135" s="453">
        <v>1.59</v>
      </c>
      <c r="O135" s="453">
        <v>2.8511853439752763</v>
      </c>
      <c r="P135" s="453" t="s">
        <v>742</v>
      </c>
      <c r="Q135" s="453" t="s">
        <v>742</v>
      </c>
      <c r="R135" s="453">
        <v>1197.4763698811093</v>
      </c>
      <c r="S135" s="453">
        <v>7.88</v>
      </c>
      <c r="T135" s="453" t="s">
        <v>742</v>
      </c>
      <c r="U135" s="453">
        <v>0.69</v>
      </c>
      <c r="V135" s="453" t="s">
        <v>742</v>
      </c>
      <c r="W135" s="453">
        <v>44.06</v>
      </c>
      <c r="X135" s="456" t="e">
        <v>#VALUE!</v>
      </c>
      <c r="Y135" s="453">
        <v>30.14</v>
      </c>
      <c r="Z135" s="453">
        <v>19.850000000000001</v>
      </c>
      <c r="AA135" s="519">
        <v>30.100000000005821</v>
      </c>
      <c r="AB135" s="519">
        <v>20</v>
      </c>
      <c r="AC135" s="732">
        <f t="shared" si="1"/>
        <v>50.100000000005821</v>
      </c>
      <c r="AD135" s="664"/>
      <c r="AE135" s="664"/>
      <c r="AF135" s="664"/>
      <c r="AG135" s="664"/>
      <c r="AH135" s="664"/>
      <c r="AI135" s="664"/>
      <c r="AJ135" s="485"/>
      <c r="AK135" s="485"/>
      <c r="AL135" s="485"/>
      <c r="AM135" s="485"/>
      <c r="AN135" s="485"/>
      <c r="AO135" s="665"/>
      <c r="AP135" s="485"/>
      <c r="AQ135" s="483"/>
      <c r="AR135" s="755">
        <v>0</v>
      </c>
      <c r="AS135" s="483">
        <v>18.100000000000001</v>
      </c>
      <c r="AT135" s="755">
        <v>0</v>
      </c>
      <c r="AU135" s="483">
        <v>31.2</v>
      </c>
      <c r="AV135" s="484">
        <v>539</v>
      </c>
      <c r="AW135" s="484">
        <v>604.20000000000005</v>
      </c>
      <c r="AX135" s="453">
        <v>0</v>
      </c>
      <c r="AY135" s="734">
        <v>0</v>
      </c>
      <c r="AZ135" s="734">
        <v>0</v>
      </c>
      <c r="BA135" s="734">
        <v>0</v>
      </c>
      <c r="BB135" s="453">
        <v>0</v>
      </c>
      <c r="BC135" s="783">
        <v>0.54</v>
      </c>
      <c r="BD135" s="783">
        <v>1.02</v>
      </c>
      <c r="BE135" s="734">
        <v>0</v>
      </c>
      <c r="BF135" s="453">
        <v>0</v>
      </c>
      <c r="BG135" s="453">
        <v>0</v>
      </c>
      <c r="BH135" s="734">
        <v>0</v>
      </c>
      <c r="BI135" s="453">
        <v>0</v>
      </c>
      <c r="BJ135" s="453">
        <v>18.3</v>
      </c>
      <c r="BK135" s="453">
        <v>2.73</v>
      </c>
      <c r="BL135" s="453">
        <v>3.3</v>
      </c>
      <c r="BM135" s="453">
        <v>0</v>
      </c>
      <c r="BN135" s="453">
        <v>12.2</v>
      </c>
      <c r="BO135" s="453">
        <v>1358.7</v>
      </c>
      <c r="BP135" s="453">
        <v>0</v>
      </c>
      <c r="BQ135" s="453">
        <v>18.8</v>
      </c>
      <c r="BR135" s="453">
        <v>18.7</v>
      </c>
      <c r="BS135" s="453">
        <v>0</v>
      </c>
      <c r="BT135" s="453">
        <v>31</v>
      </c>
      <c r="BU135" s="453">
        <v>28.8</v>
      </c>
      <c r="BV135" s="456">
        <v>632.70000000000005</v>
      </c>
      <c r="BW135" s="453">
        <v>0.7</v>
      </c>
      <c r="BX135" s="453">
        <v>1.45</v>
      </c>
      <c r="BY135" s="456">
        <v>1.1100000000000001</v>
      </c>
      <c r="BZ135" s="456">
        <v>15.2</v>
      </c>
      <c r="CA135" s="456">
        <v>35.700000000000003</v>
      </c>
      <c r="CB135" s="456">
        <v>13</v>
      </c>
      <c r="CC135" s="456">
        <v>9.1</v>
      </c>
      <c r="CD135" s="456">
        <v>13.4</v>
      </c>
      <c r="CE135" s="456">
        <v>17.399999999999999</v>
      </c>
      <c r="CF135" s="456">
        <v>13.16</v>
      </c>
      <c r="CG135" s="456">
        <v>418.07</v>
      </c>
      <c r="CH135" s="456">
        <v>2.1</v>
      </c>
      <c r="CI135" s="456">
        <v>2.7</v>
      </c>
      <c r="CJ135" s="456">
        <v>508.4</v>
      </c>
      <c r="CK135" s="456">
        <v>483.7</v>
      </c>
      <c r="CL135" s="456">
        <v>521.6</v>
      </c>
      <c r="CM135" s="456">
        <v>11.7</v>
      </c>
      <c r="CN135" s="456">
        <v>1.7</v>
      </c>
      <c r="CO135" s="453">
        <v>2089</v>
      </c>
      <c r="CP135" s="453">
        <v>15.74</v>
      </c>
      <c r="CQ135" s="453">
        <v>49</v>
      </c>
      <c r="CR135" s="456">
        <v>0</v>
      </c>
      <c r="CS135" s="456">
        <v>0</v>
      </c>
      <c r="CT135" s="456">
        <v>0</v>
      </c>
      <c r="CU135" s="456">
        <v>0</v>
      </c>
      <c r="CV135" s="481">
        <v>1377.2727272727273</v>
      </c>
      <c r="CW135" s="481">
        <v>2098.9583333333335</v>
      </c>
      <c r="CX135" s="481">
        <v>1360.1041666666667</v>
      </c>
      <c r="CY135" s="481">
        <v>1147.71</v>
      </c>
      <c r="CZ135" s="456"/>
      <c r="DA135" s="456"/>
      <c r="DB135" s="456"/>
      <c r="DC135" s="456"/>
      <c r="DD135" s="456"/>
      <c r="DE135" s="456"/>
      <c r="DF135" s="456"/>
      <c r="DG135" s="425"/>
      <c r="DH135" s="456">
        <v>112</v>
      </c>
      <c r="DI135" s="456">
        <v>0.53</v>
      </c>
      <c r="DJ135" s="456">
        <v>1.07</v>
      </c>
      <c r="DK135" s="425"/>
      <c r="DL135" s="456"/>
      <c r="DM135" s="456"/>
      <c r="DN135" s="456"/>
      <c r="DO135" s="456"/>
      <c r="DP135" s="456"/>
      <c r="DQ135" s="456"/>
      <c r="DR135" s="456"/>
      <c r="DS135" s="456"/>
      <c r="DT135" s="456"/>
      <c r="DU135" s="456"/>
      <c r="DV135" s="456"/>
      <c r="DW135" s="456"/>
      <c r="DX135" s="456"/>
      <c r="DY135" s="456"/>
      <c r="DZ135" s="456"/>
      <c r="EA135" s="456"/>
      <c r="EB135" s="456"/>
      <c r="EC135" s="456"/>
      <c r="ED135" s="423">
        <v>0</v>
      </c>
      <c r="EE135" s="456">
        <v>0</v>
      </c>
      <c r="EF135" s="456">
        <v>2.5</v>
      </c>
      <c r="EG135" s="456">
        <v>6</v>
      </c>
      <c r="EH135" s="423">
        <v>0</v>
      </c>
      <c r="EI135" s="456"/>
      <c r="EJ135" s="456"/>
      <c r="EK135" s="456"/>
      <c r="EL135" s="456"/>
      <c r="EM135" s="456"/>
      <c r="EN135" s="456"/>
      <c r="EO135" s="425"/>
      <c r="EP135" s="425"/>
      <c r="EQ135" s="425" t="s">
        <v>743</v>
      </c>
      <c r="ER135" s="425">
        <v>1</v>
      </c>
      <c r="ES135" s="425">
        <v>4</v>
      </c>
      <c r="ET135" s="425">
        <v>4000</v>
      </c>
      <c r="EU135" s="457">
        <v>710</v>
      </c>
      <c r="EV135" s="425">
        <v>330</v>
      </c>
      <c r="EW135" s="425">
        <v>6838587</v>
      </c>
      <c r="EX135" s="425">
        <v>40421</v>
      </c>
      <c r="EY135" s="666">
        <v>18.850000000000001</v>
      </c>
      <c r="EZ135" s="666">
        <v>18.850000000000001</v>
      </c>
      <c r="FA135" s="666">
        <v>0</v>
      </c>
      <c r="FB135" s="666">
        <v>1.35</v>
      </c>
      <c r="FC135" s="666">
        <v>1.37</v>
      </c>
      <c r="FD135" s="666">
        <v>1.3</v>
      </c>
      <c r="FE135" s="666">
        <v>1.28</v>
      </c>
      <c r="FF135" s="666">
        <v>290</v>
      </c>
      <c r="FG135" s="666">
        <v>1.34</v>
      </c>
      <c r="FH135" s="666">
        <v>0.69</v>
      </c>
      <c r="FI135" s="666">
        <v>1.3</v>
      </c>
      <c r="FJ135" s="666">
        <v>8.2100000000000009</v>
      </c>
      <c r="FK135" s="666">
        <v>8.1999999999999993</v>
      </c>
      <c r="FL135" s="666">
        <v>7.8</v>
      </c>
      <c r="FM135" s="666">
        <v>7.5</v>
      </c>
      <c r="FN135" s="666">
        <v>0</v>
      </c>
    </row>
    <row r="136" spans="1:170" s="416" customFormat="1" ht="15">
      <c r="A136" s="425" t="s">
        <v>4</v>
      </c>
      <c r="B136" s="426">
        <v>40665</v>
      </c>
      <c r="C136" s="418">
        <v>0</v>
      </c>
      <c r="D136" s="518">
        <v>0.57999999999999996</v>
      </c>
      <c r="E136" s="453">
        <v>0</v>
      </c>
      <c r="F136" s="453">
        <v>42</v>
      </c>
      <c r="G136" s="453">
        <v>1.7</v>
      </c>
      <c r="H136" s="519">
        <v>1.07</v>
      </c>
      <c r="I136" s="519">
        <v>94</v>
      </c>
      <c r="J136" s="483">
        <v>1.91</v>
      </c>
      <c r="K136" s="520" t="s">
        <v>742</v>
      </c>
      <c r="L136" s="453">
        <v>0</v>
      </c>
      <c r="M136" s="453">
        <v>25.2</v>
      </c>
      <c r="N136" s="453">
        <v>1.56</v>
      </c>
      <c r="O136" s="453">
        <v>1.4833934878372981</v>
      </c>
      <c r="P136" s="453" t="s">
        <v>742</v>
      </c>
      <c r="Q136" s="453" t="s">
        <v>742</v>
      </c>
      <c r="R136" s="453">
        <v>620.92566974900922</v>
      </c>
      <c r="S136" s="453">
        <v>7.88</v>
      </c>
      <c r="T136" s="453" t="s">
        <v>742</v>
      </c>
      <c r="U136" s="453">
        <v>0.69</v>
      </c>
      <c r="V136" s="453" t="s">
        <v>742</v>
      </c>
      <c r="W136" s="453">
        <v>48.2</v>
      </c>
      <c r="X136" s="456" t="e">
        <v>#VALUE!</v>
      </c>
      <c r="Y136" s="453">
        <v>30.05</v>
      </c>
      <c r="Z136" s="453">
        <v>20.45</v>
      </c>
      <c r="AA136" s="519">
        <v>29.899999999994179</v>
      </c>
      <c r="AB136" s="519">
        <v>19.75</v>
      </c>
      <c r="AC136" s="732">
        <f t="shared" si="1"/>
        <v>49.649999999994179</v>
      </c>
      <c r="AD136" s="664"/>
      <c r="AE136" s="664"/>
      <c r="AF136" s="664"/>
      <c r="AG136" s="664"/>
      <c r="AH136" s="664"/>
      <c r="AI136" s="664"/>
      <c r="AJ136" s="485"/>
      <c r="AK136" s="485"/>
      <c r="AL136" s="485"/>
      <c r="AM136" s="485"/>
      <c r="AN136" s="485"/>
      <c r="AO136" s="665"/>
      <c r="AP136" s="485"/>
      <c r="AQ136" s="483"/>
      <c r="AR136" s="755">
        <v>0</v>
      </c>
      <c r="AS136" s="483">
        <v>18.100000000000001</v>
      </c>
      <c r="AT136" s="755">
        <v>0</v>
      </c>
      <c r="AU136" s="483">
        <v>31.3</v>
      </c>
      <c r="AV136" s="484">
        <v>572.6</v>
      </c>
      <c r="AW136" s="484">
        <v>771.2</v>
      </c>
      <c r="AX136" s="453">
        <v>0</v>
      </c>
      <c r="AY136" s="734">
        <v>0</v>
      </c>
      <c r="AZ136" s="734">
        <v>0</v>
      </c>
      <c r="BA136" s="734">
        <v>0</v>
      </c>
      <c r="BB136" s="453">
        <v>0</v>
      </c>
      <c r="BC136" s="453">
        <v>1.5</v>
      </c>
      <c r="BD136" s="453">
        <v>1.02</v>
      </c>
      <c r="BE136" s="734">
        <v>0</v>
      </c>
      <c r="BF136" s="453">
        <v>0</v>
      </c>
      <c r="BG136" s="453">
        <v>0</v>
      </c>
      <c r="BH136" s="734">
        <v>0</v>
      </c>
      <c r="BI136" s="453">
        <v>0</v>
      </c>
      <c r="BJ136" s="453">
        <v>17.5</v>
      </c>
      <c r="BK136" s="453">
        <v>2.72</v>
      </c>
      <c r="BL136" s="453">
        <v>3.3</v>
      </c>
      <c r="BM136" s="453">
        <v>0</v>
      </c>
      <c r="BN136" s="453">
        <v>11.4</v>
      </c>
      <c r="BO136" s="453">
        <v>1056.9000000000001</v>
      </c>
      <c r="BP136" s="453">
        <v>0</v>
      </c>
      <c r="BQ136" s="453">
        <v>18.8</v>
      </c>
      <c r="BR136" s="453">
        <v>18.7</v>
      </c>
      <c r="BS136" s="453">
        <v>0</v>
      </c>
      <c r="BT136" s="453">
        <v>31.6</v>
      </c>
      <c r="BU136" s="453">
        <v>28.5</v>
      </c>
      <c r="BV136" s="456">
        <v>491.7</v>
      </c>
      <c r="BW136" s="453">
        <v>0.7</v>
      </c>
      <c r="BX136" s="453">
        <v>1.43</v>
      </c>
      <c r="BY136" s="456">
        <v>1.1000000000000001</v>
      </c>
      <c r="BZ136" s="456">
        <v>15.2</v>
      </c>
      <c r="CA136" s="456">
        <v>35.700000000000003</v>
      </c>
      <c r="CB136" s="456">
        <v>13</v>
      </c>
      <c r="CC136" s="456">
        <v>9.1</v>
      </c>
      <c r="CD136" s="456">
        <v>13.4</v>
      </c>
      <c r="CE136" s="456">
        <v>17.399999999999999</v>
      </c>
      <c r="CF136" s="456">
        <v>13.2</v>
      </c>
      <c r="CG136" s="456">
        <v>403.7</v>
      </c>
      <c r="CH136" s="456">
        <v>2.2000000000000002</v>
      </c>
      <c r="CI136" s="456">
        <v>3.2</v>
      </c>
      <c r="CJ136" s="456">
        <v>388.9</v>
      </c>
      <c r="CK136" s="456">
        <v>380.7</v>
      </c>
      <c r="CL136" s="456">
        <v>544.4</v>
      </c>
      <c r="CM136" s="456">
        <v>11.7</v>
      </c>
      <c r="CN136" s="456">
        <v>1.8</v>
      </c>
      <c r="CO136" s="453">
        <v>2080.8000000000002</v>
      </c>
      <c r="CP136" s="453">
        <v>15.97</v>
      </c>
      <c r="CQ136" s="453">
        <v>48</v>
      </c>
      <c r="CR136" s="456">
        <v>0</v>
      </c>
      <c r="CS136" s="456">
        <v>0</v>
      </c>
      <c r="CT136" s="456">
        <v>0</v>
      </c>
      <c r="CU136" s="456">
        <v>0</v>
      </c>
      <c r="CV136" s="481">
        <v>1325.4545454545455</v>
      </c>
      <c r="CW136" s="481">
        <v>2063.4375</v>
      </c>
      <c r="CX136" s="481">
        <v>1303.8541666666667</v>
      </c>
      <c r="CY136" s="481">
        <v>1147.77</v>
      </c>
      <c r="CZ136" s="456"/>
      <c r="DA136" s="456"/>
      <c r="DB136" s="456"/>
      <c r="DC136" s="456"/>
      <c r="DD136" s="456"/>
      <c r="DE136" s="456"/>
      <c r="DF136" s="456"/>
      <c r="DG136" s="425"/>
      <c r="DH136" s="456">
        <v>112</v>
      </c>
      <c r="DI136" s="456">
        <v>0.45</v>
      </c>
      <c r="DJ136" s="456">
        <v>1.07</v>
      </c>
      <c r="DK136" s="425"/>
      <c r="DL136" s="456"/>
      <c r="DM136" s="456"/>
      <c r="DN136" s="456"/>
      <c r="DO136" s="456"/>
      <c r="DP136" s="456"/>
      <c r="DQ136" s="456"/>
      <c r="DR136" s="456"/>
      <c r="DS136" s="456"/>
      <c r="DT136" s="456"/>
      <c r="DU136" s="456"/>
      <c r="DV136" s="456"/>
      <c r="DW136" s="456"/>
      <c r="DX136" s="456"/>
      <c r="DY136" s="456"/>
      <c r="DZ136" s="456"/>
      <c r="EA136" s="456"/>
      <c r="EB136" s="456"/>
      <c r="EC136" s="456"/>
      <c r="ED136" s="423">
        <v>0</v>
      </c>
      <c r="EE136" s="456">
        <v>0</v>
      </c>
      <c r="EF136" s="456">
        <v>2.5</v>
      </c>
      <c r="EG136" s="456">
        <v>6</v>
      </c>
      <c r="EH136" s="423">
        <v>0</v>
      </c>
      <c r="EI136" s="456"/>
      <c r="EJ136" s="456"/>
      <c r="EK136" s="456"/>
      <c r="EL136" s="456"/>
      <c r="EM136" s="456"/>
      <c r="EN136" s="456"/>
      <c r="EO136" s="425"/>
      <c r="EP136" s="425"/>
      <c r="EQ136" s="425" t="s">
        <v>743</v>
      </c>
      <c r="ER136" s="425">
        <v>1</v>
      </c>
      <c r="ES136" s="425">
        <v>4</v>
      </c>
      <c r="ET136" s="425">
        <v>4000</v>
      </c>
      <c r="EU136" s="457">
        <v>440</v>
      </c>
      <c r="EV136" s="425">
        <v>270</v>
      </c>
      <c r="EW136" s="425">
        <v>6841513</v>
      </c>
      <c r="EX136" s="425">
        <v>41194</v>
      </c>
      <c r="EY136" s="666">
        <v>18.52</v>
      </c>
      <c r="EZ136" s="666">
        <v>18.5</v>
      </c>
      <c r="FA136" s="666">
        <v>0</v>
      </c>
      <c r="FB136" s="666">
        <v>1.31</v>
      </c>
      <c r="FC136" s="666">
        <v>1.29</v>
      </c>
      <c r="FD136" s="666">
        <v>1.145</v>
      </c>
      <c r="FE136" s="666">
        <v>1.17</v>
      </c>
      <c r="FF136" s="666">
        <v>270</v>
      </c>
      <c r="FG136" s="666">
        <v>1.31</v>
      </c>
      <c r="FH136" s="666">
        <v>0.69899999999999995</v>
      </c>
      <c r="FI136" s="666">
        <v>1.22</v>
      </c>
      <c r="FJ136" s="666">
        <v>8.06</v>
      </c>
      <c r="FK136" s="666">
        <v>8</v>
      </c>
      <c r="FL136" s="666">
        <v>7.91</v>
      </c>
      <c r="FM136" s="666">
        <v>7.8</v>
      </c>
      <c r="FN136" s="666">
        <v>0</v>
      </c>
    </row>
    <row r="137" spans="1:170" s="416" customFormat="1" ht="15">
      <c r="A137" s="425" t="s">
        <v>5</v>
      </c>
      <c r="B137" s="426">
        <v>40666</v>
      </c>
      <c r="C137" s="418">
        <v>0</v>
      </c>
      <c r="D137" s="518">
        <v>7.0000000000000007E-2</v>
      </c>
      <c r="E137" s="453">
        <v>0</v>
      </c>
      <c r="F137" s="453">
        <v>42</v>
      </c>
      <c r="G137" s="453">
        <v>1.7</v>
      </c>
      <c r="H137" s="519">
        <v>0.37</v>
      </c>
      <c r="I137" s="519">
        <v>93.5</v>
      </c>
      <c r="J137" s="483">
        <v>1.1299999999999999</v>
      </c>
      <c r="K137" s="520" t="s">
        <v>742</v>
      </c>
      <c r="L137" s="453">
        <v>0</v>
      </c>
      <c r="M137" s="453">
        <v>25.3</v>
      </c>
      <c r="N137" s="453">
        <v>1.63</v>
      </c>
      <c r="O137" s="453">
        <v>2.2563103343156179</v>
      </c>
      <c r="P137" s="453" t="s">
        <v>742</v>
      </c>
      <c r="Q137" s="453" t="s">
        <v>742</v>
      </c>
      <c r="R137" s="453">
        <v>978.51666578599736</v>
      </c>
      <c r="S137" s="453">
        <v>7.84</v>
      </c>
      <c r="T137" s="453" t="s">
        <v>742</v>
      </c>
      <c r="U137" s="453">
        <v>0.7</v>
      </c>
      <c r="V137" s="453" t="s">
        <v>742</v>
      </c>
      <c r="W137" s="453">
        <v>47.3</v>
      </c>
      <c r="X137" s="456" t="e">
        <v>#VALUE!</v>
      </c>
      <c r="Y137" s="453">
        <v>30.24</v>
      </c>
      <c r="Z137" s="453">
        <v>19.36</v>
      </c>
      <c r="AA137" s="519">
        <v>31</v>
      </c>
      <c r="AB137" s="519">
        <v>21</v>
      </c>
      <c r="AC137" s="732">
        <f t="shared" ref="AC137:AC200" si="2">SUM(AA137:AB137)</f>
        <v>52</v>
      </c>
      <c r="AD137" s="664"/>
      <c r="AE137" s="664"/>
      <c r="AF137" s="664"/>
      <c r="AG137" s="664"/>
      <c r="AH137" s="664"/>
      <c r="AI137" s="664"/>
      <c r="AJ137" s="485"/>
      <c r="AK137" s="485"/>
      <c r="AL137" s="485"/>
      <c r="AM137" s="485"/>
      <c r="AN137" s="485"/>
      <c r="AO137" s="665"/>
      <c r="AP137" s="485"/>
      <c r="AQ137" s="483"/>
      <c r="AR137" s="755">
        <v>0</v>
      </c>
      <c r="AS137" s="483">
        <v>18.100000000000001</v>
      </c>
      <c r="AT137" s="755">
        <v>0</v>
      </c>
      <c r="AU137" s="483">
        <v>31.3</v>
      </c>
      <c r="AV137" s="484">
        <v>294.2</v>
      </c>
      <c r="AW137" s="484">
        <v>305.5</v>
      </c>
      <c r="AX137" s="453">
        <v>0</v>
      </c>
      <c r="AY137" s="734">
        <v>0</v>
      </c>
      <c r="AZ137" s="734">
        <v>0</v>
      </c>
      <c r="BA137" s="734">
        <v>0</v>
      </c>
      <c r="BB137" s="453">
        <v>0</v>
      </c>
      <c r="BC137" s="453">
        <v>1.17</v>
      </c>
      <c r="BD137" s="453">
        <v>1.02</v>
      </c>
      <c r="BE137" s="734">
        <v>0</v>
      </c>
      <c r="BF137" s="453">
        <v>0.39</v>
      </c>
      <c r="BG137" s="453">
        <v>0</v>
      </c>
      <c r="BH137" s="734">
        <v>0</v>
      </c>
      <c r="BI137" s="453">
        <v>0</v>
      </c>
      <c r="BJ137" s="453">
        <v>17.399999999999999</v>
      </c>
      <c r="BK137" s="453">
        <v>2.73</v>
      </c>
      <c r="BL137" s="453">
        <v>3.3</v>
      </c>
      <c r="BM137" s="453">
        <v>0</v>
      </c>
      <c r="BN137" s="453">
        <v>11.3</v>
      </c>
      <c r="BO137" s="453">
        <v>0</v>
      </c>
      <c r="BP137" s="453">
        <v>21.2</v>
      </c>
      <c r="BQ137" s="453">
        <v>18.600000000000001</v>
      </c>
      <c r="BR137" s="453">
        <v>18.5</v>
      </c>
      <c r="BS137" s="453">
        <v>0</v>
      </c>
      <c r="BT137" s="453">
        <v>31.6</v>
      </c>
      <c r="BU137" s="453">
        <v>27.2</v>
      </c>
      <c r="BV137" s="456">
        <v>601.20000000000005</v>
      </c>
      <c r="BW137" s="453">
        <v>0.92</v>
      </c>
      <c r="BX137" s="453">
        <v>1.45</v>
      </c>
      <c r="BY137" s="456">
        <v>1.0900000000000001</v>
      </c>
      <c r="BZ137" s="456">
        <v>15.1</v>
      </c>
      <c r="CA137" s="456">
        <v>36.1</v>
      </c>
      <c r="CB137" s="456">
        <v>13</v>
      </c>
      <c r="CC137" s="456">
        <v>10.6</v>
      </c>
      <c r="CD137" s="456">
        <v>15.1</v>
      </c>
      <c r="CE137" s="456">
        <v>14.5</v>
      </c>
      <c r="CF137" s="456">
        <v>13.3</v>
      </c>
      <c r="CG137" s="456">
        <v>446</v>
      </c>
      <c r="CH137" s="456">
        <v>2</v>
      </c>
      <c r="CI137" s="456">
        <v>3.1</v>
      </c>
      <c r="CJ137" s="456">
        <v>495.6</v>
      </c>
      <c r="CK137" s="456">
        <v>387.1</v>
      </c>
      <c r="CL137" s="456">
        <v>540.79999999999995</v>
      </c>
      <c r="CM137" s="456">
        <v>12.3</v>
      </c>
      <c r="CN137" s="456">
        <v>1.5</v>
      </c>
      <c r="CO137" s="453">
        <v>3028</v>
      </c>
      <c r="CP137" s="453">
        <v>16.27</v>
      </c>
      <c r="CQ137" s="453">
        <v>48</v>
      </c>
      <c r="CR137" s="456">
        <v>0</v>
      </c>
      <c r="CS137" s="456">
        <v>0</v>
      </c>
      <c r="CT137" s="456">
        <v>0</v>
      </c>
      <c r="CU137" s="456">
        <v>0</v>
      </c>
      <c r="CV137" s="481">
        <v>1330</v>
      </c>
      <c r="CW137" s="481">
        <v>2059.7916666666665</v>
      </c>
      <c r="CX137" s="481">
        <v>1315.8333333333333</v>
      </c>
      <c r="CY137" s="481">
        <v>1148.1199999999999</v>
      </c>
      <c r="CZ137" s="456"/>
      <c r="DA137" s="456"/>
      <c r="DB137" s="456"/>
      <c r="DC137" s="456"/>
      <c r="DD137" s="456"/>
      <c r="DE137" s="456"/>
      <c r="DF137" s="456"/>
      <c r="DG137" s="425"/>
      <c r="DH137" s="456">
        <v>34</v>
      </c>
      <c r="DI137" s="456">
        <v>0.54</v>
      </c>
      <c r="DJ137" s="456">
        <v>0.98</v>
      </c>
      <c r="DK137" s="425"/>
      <c r="DL137" s="456"/>
      <c r="DM137" s="456"/>
      <c r="DN137" s="456"/>
      <c r="DO137" s="456"/>
      <c r="DP137" s="456"/>
      <c r="DQ137" s="456"/>
      <c r="DR137" s="456"/>
      <c r="DS137" s="456"/>
      <c r="DT137" s="456"/>
      <c r="DU137" s="456"/>
      <c r="DV137" s="456"/>
      <c r="DW137" s="456"/>
      <c r="DX137" s="456"/>
      <c r="DY137" s="456"/>
      <c r="DZ137" s="456"/>
      <c r="EA137" s="456"/>
      <c r="EB137" s="456"/>
      <c r="EC137" s="456"/>
      <c r="ED137" s="423">
        <v>0</v>
      </c>
      <c r="EE137" s="456">
        <v>0</v>
      </c>
      <c r="EF137" s="456">
        <v>2.5</v>
      </c>
      <c r="EG137" s="456">
        <v>6</v>
      </c>
      <c r="EH137" s="423">
        <v>0</v>
      </c>
      <c r="EI137" s="456"/>
      <c r="EJ137" s="456"/>
      <c r="EK137" s="456"/>
      <c r="EL137" s="456"/>
      <c r="EM137" s="456"/>
      <c r="EN137" s="456"/>
      <c r="EO137" s="425"/>
      <c r="EP137" s="425"/>
      <c r="EQ137" s="425" t="s">
        <v>743</v>
      </c>
      <c r="ER137" s="425">
        <v>1</v>
      </c>
      <c r="ES137" s="425">
        <v>4</v>
      </c>
      <c r="ET137" s="425">
        <v>4000</v>
      </c>
      <c r="EU137" s="457">
        <v>155</v>
      </c>
      <c r="EV137" s="425">
        <v>330</v>
      </c>
      <c r="EW137" s="425">
        <v>6844340</v>
      </c>
      <c r="EX137" s="425">
        <v>41965</v>
      </c>
      <c r="EY137" s="666">
        <v>18.38</v>
      </c>
      <c r="EZ137" s="666">
        <v>18.37</v>
      </c>
      <c r="FA137" s="666">
        <v>0</v>
      </c>
      <c r="FB137" s="666">
        <v>1.35</v>
      </c>
      <c r="FC137" s="666">
        <v>1.37</v>
      </c>
      <c r="FD137" s="666">
        <v>1.1279999999999999</v>
      </c>
      <c r="FE137" s="666">
        <v>1.1499999999999999</v>
      </c>
      <c r="FF137" s="666">
        <v>285</v>
      </c>
      <c r="FG137" s="666">
        <v>1.28</v>
      </c>
      <c r="FH137" s="666">
        <v>0.66300000000000003</v>
      </c>
      <c r="FI137" s="666">
        <v>1.33</v>
      </c>
      <c r="FJ137" s="666">
        <v>8.0500000000000007</v>
      </c>
      <c r="FK137" s="666">
        <v>8.1</v>
      </c>
      <c r="FL137" s="666">
        <v>7.81</v>
      </c>
      <c r="FM137" s="666">
        <v>7.8</v>
      </c>
      <c r="FN137" s="666">
        <v>0</v>
      </c>
    </row>
    <row r="138" spans="1:170" s="416" customFormat="1" ht="15">
      <c r="A138" s="425" t="s">
        <v>6</v>
      </c>
      <c r="B138" s="426">
        <v>40667</v>
      </c>
      <c r="C138" s="418">
        <v>0</v>
      </c>
      <c r="D138" s="518">
        <v>0.01</v>
      </c>
      <c r="E138" s="453">
        <v>0</v>
      </c>
      <c r="F138" s="453">
        <v>49</v>
      </c>
      <c r="G138" s="453">
        <v>1.65</v>
      </c>
      <c r="H138" s="519">
        <v>1.36</v>
      </c>
      <c r="I138" s="519">
        <v>93.6</v>
      </c>
      <c r="J138" s="483">
        <v>1.17</v>
      </c>
      <c r="K138" s="520" t="s">
        <v>742</v>
      </c>
      <c r="L138" s="453">
        <v>0</v>
      </c>
      <c r="M138" s="453">
        <v>25.2</v>
      </c>
      <c r="N138" s="453">
        <v>1.62</v>
      </c>
      <c r="O138" s="453">
        <v>2.2299207397622189</v>
      </c>
      <c r="P138" s="453" t="s">
        <v>742</v>
      </c>
      <c r="Q138" s="453" t="s">
        <v>742</v>
      </c>
      <c r="R138" s="453">
        <v>904.34244649933942</v>
      </c>
      <c r="S138" s="453">
        <v>8.02</v>
      </c>
      <c r="T138" s="453" t="s">
        <v>742</v>
      </c>
      <c r="U138" s="453">
        <v>0.69</v>
      </c>
      <c r="V138" s="453" t="s">
        <v>742</v>
      </c>
      <c r="W138" s="453">
        <v>44.06</v>
      </c>
      <c r="X138" s="456" t="e">
        <v>#VALUE!</v>
      </c>
      <c r="Y138" s="453">
        <v>29.94</v>
      </c>
      <c r="Z138" s="453">
        <v>20.2</v>
      </c>
      <c r="AA138" s="519">
        <v>29</v>
      </c>
      <c r="AB138" s="519">
        <v>19</v>
      </c>
      <c r="AC138" s="732">
        <f t="shared" si="2"/>
        <v>48</v>
      </c>
      <c r="AD138" s="664"/>
      <c r="AE138" s="664"/>
      <c r="AF138" s="664"/>
      <c r="AG138" s="664"/>
      <c r="AH138" s="664"/>
      <c r="AI138" s="664"/>
      <c r="AJ138" s="485"/>
      <c r="AK138" s="485"/>
      <c r="AL138" s="485"/>
      <c r="AM138" s="485"/>
      <c r="AN138" s="485"/>
      <c r="AO138" s="665"/>
      <c r="AP138" s="485"/>
      <c r="AQ138" s="483"/>
      <c r="AR138" s="755">
        <v>0</v>
      </c>
      <c r="AS138" s="483">
        <v>30.6</v>
      </c>
      <c r="AT138" s="755">
        <v>0</v>
      </c>
      <c r="AU138" s="483">
        <v>31.2</v>
      </c>
      <c r="AV138" s="484">
        <v>388</v>
      </c>
      <c r="AW138" s="484">
        <v>451.4</v>
      </c>
      <c r="AX138" s="453">
        <v>0</v>
      </c>
      <c r="AY138" s="734">
        <v>0</v>
      </c>
      <c r="AZ138" s="734">
        <v>0</v>
      </c>
      <c r="BA138" s="734">
        <v>0</v>
      </c>
      <c r="BB138" s="453">
        <v>0</v>
      </c>
      <c r="BC138" s="453">
        <v>1</v>
      </c>
      <c r="BD138" s="453">
        <v>1.02</v>
      </c>
      <c r="BE138" s="734">
        <v>0</v>
      </c>
      <c r="BF138" s="453">
        <v>0.51</v>
      </c>
      <c r="BG138" s="453">
        <v>0</v>
      </c>
      <c r="BH138" s="734">
        <v>0</v>
      </c>
      <c r="BI138" s="453">
        <v>0</v>
      </c>
      <c r="BJ138" s="453">
        <v>17.5</v>
      </c>
      <c r="BK138" s="453">
        <v>2.71</v>
      </c>
      <c r="BL138" s="453">
        <v>3.25</v>
      </c>
      <c r="BM138" s="453">
        <v>0.06</v>
      </c>
      <c r="BN138" s="453">
        <v>11.5</v>
      </c>
      <c r="BO138" s="453">
        <v>986</v>
      </c>
      <c r="BP138" s="453">
        <v>0</v>
      </c>
      <c r="BQ138" s="453">
        <v>18.600000000000001</v>
      </c>
      <c r="BR138" s="453">
        <v>18.5</v>
      </c>
      <c r="BS138" s="453">
        <v>0</v>
      </c>
      <c r="BT138" s="453">
        <v>31.2</v>
      </c>
      <c r="BU138" s="453">
        <v>31.3</v>
      </c>
      <c r="BV138" s="456">
        <v>453.8</v>
      </c>
      <c r="BW138" s="453">
        <v>1.26</v>
      </c>
      <c r="BX138" s="453">
        <v>1.45</v>
      </c>
      <c r="BY138" s="456">
        <v>1.0900000000000001</v>
      </c>
      <c r="BZ138" s="456">
        <v>14.9</v>
      </c>
      <c r="CA138" s="456">
        <v>36.1</v>
      </c>
      <c r="CB138" s="456">
        <v>14.6</v>
      </c>
      <c r="CC138" s="456">
        <v>7.6</v>
      </c>
      <c r="CD138" s="456">
        <v>12.4</v>
      </c>
      <c r="CE138" s="456">
        <v>6.1</v>
      </c>
      <c r="CF138" s="456">
        <v>12.8</v>
      </c>
      <c r="CG138" s="456">
        <v>500</v>
      </c>
      <c r="CH138" s="456">
        <v>2.2000000000000002</v>
      </c>
      <c r="CI138" s="456">
        <v>5.5</v>
      </c>
      <c r="CJ138" s="456">
        <v>1611.5</v>
      </c>
      <c r="CK138" s="456">
        <v>711.8</v>
      </c>
      <c r="CL138" s="456">
        <v>883.3</v>
      </c>
      <c r="CM138" s="456">
        <v>13.1</v>
      </c>
      <c r="CN138" s="456">
        <v>2.2000000000000002</v>
      </c>
      <c r="CO138" s="453">
        <v>0</v>
      </c>
      <c r="CP138" s="453">
        <v>15.78</v>
      </c>
      <c r="CQ138" s="453">
        <v>48</v>
      </c>
      <c r="CR138" s="456">
        <v>0</v>
      </c>
      <c r="CS138" s="456">
        <v>0</v>
      </c>
      <c r="CT138" s="456">
        <v>0</v>
      </c>
      <c r="CU138" s="456">
        <v>0</v>
      </c>
      <c r="CV138" s="481">
        <v>1331.7391304347825</v>
      </c>
      <c r="CW138" s="481">
        <v>2007.3958333333333</v>
      </c>
      <c r="CX138" s="481">
        <v>1283.6458333333333</v>
      </c>
      <c r="CY138" s="481">
        <v>1148.5</v>
      </c>
      <c r="CZ138" s="456"/>
      <c r="DA138" s="456"/>
      <c r="DB138" s="456"/>
      <c r="DC138" s="456"/>
      <c r="DD138" s="456"/>
      <c r="DE138" s="456"/>
      <c r="DF138" s="456"/>
      <c r="DG138" s="425"/>
      <c r="DH138" s="456">
        <v>5</v>
      </c>
      <c r="DI138" s="456">
        <v>0.53</v>
      </c>
      <c r="DJ138" s="456">
        <v>0.99</v>
      </c>
      <c r="DK138" s="425"/>
      <c r="DL138" s="456"/>
      <c r="DM138" s="456"/>
      <c r="DN138" s="456"/>
      <c r="DO138" s="456"/>
      <c r="DP138" s="456"/>
      <c r="DQ138" s="456"/>
      <c r="DR138" s="456"/>
      <c r="DS138" s="456"/>
      <c r="DT138" s="456"/>
      <c r="DU138" s="456"/>
      <c r="DV138" s="456"/>
      <c r="DW138" s="456"/>
      <c r="DX138" s="456"/>
      <c r="DY138" s="456"/>
      <c r="DZ138" s="456"/>
      <c r="EA138" s="456"/>
      <c r="EB138" s="456"/>
      <c r="EC138" s="456"/>
      <c r="ED138" s="423">
        <v>0</v>
      </c>
      <c r="EE138" s="456">
        <v>0</v>
      </c>
      <c r="EF138" s="456">
        <v>2.5</v>
      </c>
      <c r="EG138" s="456">
        <v>6</v>
      </c>
      <c r="EH138" s="423">
        <v>0</v>
      </c>
      <c r="EI138" s="456"/>
      <c r="EJ138" s="456"/>
      <c r="EK138" s="456"/>
      <c r="EL138" s="456"/>
      <c r="EM138" s="456"/>
      <c r="EN138" s="456"/>
      <c r="EO138" s="425"/>
      <c r="EP138" s="425"/>
      <c r="EQ138" s="425" t="s">
        <v>743</v>
      </c>
      <c r="ER138" s="425">
        <v>1</v>
      </c>
      <c r="ES138" s="425">
        <v>2</v>
      </c>
      <c r="ET138" s="425">
        <v>3875</v>
      </c>
      <c r="EU138" s="457">
        <v>-80</v>
      </c>
      <c r="EV138" s="425">
        <v>340</v>
      </c>
      <c r="EW138" s="425">
        <v>6847558</v>
      </c>
      <c r="EX138" s="425">
        <v>42713</v>
      </c>
      <c r="EY138" s="666">
        <v>17.5</v>
      </c>
      <c r="EZ138" s="666">
        <v>17.489999999999998</v>
      </c>
      <c r="FA138" s="666">
        <v>0</v>
      </c>
      <c r="FB138" s="666">
        <v>1.45</v>
      </c>
      <c r="FC138" s="666">
        <v>1.45</v>
      </c>
      <c r="FD138" s="666">
        <v>1.1319999999999999</v>
      </c>
      <c r="FE138" s="666">
        <v>1.17</v>
      </c>
      <c r="FF138" s="666">
        <v>360</v>
      </c>
      <c r="FG138" s="666">
        <v>1.5</v>
      </c>
      <c r="FH138" s="666">
        <v>0.65</v>
      </c>
      <c r="FI138" s="666">
        <v>1.26</v>
      </c>
      <c r="FJ138" s="666">
        <v>8.26</v>
      </c>
      <c r="FK138" s="666">
        <v>8.1999999999999993</v>
      </c>
      <c r="FL138" s="666">
        <v>7.86</v>
      </c>
      <c r="FM138" s="666">
        <v>7.7</v>
      </c>
      <c r="FN138" s="666">
        <v>0</v>
      </c>
    </row>
    <row r="139" spans="1:170" s="416" customFormat="1" ht="15">
      <c r="A139" s="425" t="s">
        <v>7</v>
      </c>
      <c r="B139" s="426">
        <v>40668</v>
      </c>
      <c r="C139" s="418">
        <v>0</v>
      </c>
      <c r="D139" s="518">
        <v>0.3</v>
      </c>
      <c r="E139" s="453">
        <v>0</v>
      </c>
      <c r="F139" s="453">
        <v>45</v>
      </c>
      <c r="G139" s="453">
        <v>1.65</v>
      </c>
      <c r="H139" s="519">
        <v>1.36</v>
      </c>
      <c r="I139" s="519">
        <v>93.1</v>
      </c>
      <c r="J139" s="483">
        <v>1.72</v>
      </c>
      <c r="K139" s="520" t="s">
        <v>742</v>
      </c>
      <c r="L139" s="453">
        <v>0</v>
      </c>
      <c r="M139" s="453">
        <v>25.1</v>
      </c>
      <c r="N139" s="453">
        <v>1.63</v>
      </c>
      <c r="O139" s="453">
        <v>2.2731369958815755</v>
      </c>
      <c r="P139" s="453" t="s">
        <v>742</v>
      </c>
      <c r="Q139" s="453" t="s">
        <v>742</v>
      </c>
      <c r="R139" s="453">
        <v>970.4190435931306</v>
      </c>
      <c r="S139" s="453">
        <v>7.88</v>
      </c>
      <c r="T139" s="453" t="s">
        <v>742</v>
      </c>
      <c r="U139" s="453">
        <v>0.68</v>
      </c>
      <c r="V139" s="453" t="s">
        <v>742</v>
      </c>
      <c r="W139" s="453">
        <v>44.960000000000008</v>
      </c>
      <c r="X139" s="456" t="e">
        <v>#VALUE!</v>
      </c>
      <c r="Y139" s="453">
        <v>30.25</v>
      </c>
      <c r="Z139" s="453">
        <v>20.3</v>
      </c>
      <c r="AA139" s="519">
        <v>30</v>
      </c>
      <c r="AB139" s="519">
        <v>21</v>
      </c>
      <c r="AC139" s="732">
        <f t="shared" si="2"/>
        <v>51</v>
      </c>
      <c r="AD139" s="664"/>
      <c r="AE139" s="664"/>
      <c r="AF139" s="664"/>
      <c r="AG139" s="664"/>
      <c r="AH139" s="664"/>
      <c r="AI139" s="664"/>
      <c r="AJ139" s="485"/>
      <c r="AK139" s="485"/>
      <c r="AL139" s="485"/>
      <c r="AM139" s="485"/>
      <c r="AN139" s="485"/>
      <c r="AO139" s="665"/>
      <c r="AP139" s="485"/>
      <c r="AQ139" s="483"/>
      <c r="AR139" s="755">
        <v>0</v>
      </c>
      <c r="AS139" s="483">
        <v>24.1</v>
      </c>
      <c r="AT139" s="755">
        <v>0</v>
      </c>
      <c r="AU139" s="483">
        <v>31.2</v>
      </c>
      <c r="AV139" s="484">
        <v>376.3</v>
      </c>
      <c r="AW139" s="484">
        <v>985.3</v>
      </c>
      <c r="AX139" s="453">
        <v>0</v>
      </c>
      <c r="AY139" s="734">
        <v>0</v>
      </c>
      <c r="AZ139" s="734">
        <v>0</v>
      </c>
      <c r="BA139" s="734">
        <v>0</v>
      </c>
      <c r="BB139" s="453">
        <v>0</v>
      </c>
      <c r="BC139" s="453">
        <v>0.87</v>
      </c>
      <c r="BD139" s="453">
        <v>1.1399999999999999</v>
      </c>
      <c r="BE139" s="734">
        <v>0</v>
      </c>
      <c r="BF139" s="453">
        <v>0.56999999999999995</v>
      </c>
      <c r="BG139" s="453">
        <v>0</v>
      </c>
      <c r="BH139" s="734">
        <v>0</v>
      </c>
      <c r="BI139" s="453">
        <v>0</v>
      </c>
      <c r="BJ139" s="453">
        <v>18.7</v>
      </c>
      <c r="BK139" s="453">
        <v>2.73</v>
      </c>
      <c r="BL139" s="453">
        <v>3.3</v>
      </c>
      <c r="BM139" s="453">
        <v>0</v>
      </c>
      <c r="BN139" s="453">
        <v>12.5</v>
      </c>
      <c r="BO139" s="453">
        <v>1412.9</v>
      </c>
      <c r="BP139" s="453">
        <v>0</v>
      </c>
      <c r="BQ139" s="453">
        <v>17.8</v>
      </c>
      <c r="BR139" s="453">
        <v>17.8</v>
      </c>
      <c r="BS139" s="453">
        <v>0</v>
      </c>
      <c r="BT139" s="453">
        <v>30.8</v>
      </c>
      <c r="BU139" s="453">
        <v>31.8</v>
      </c>
      <c r="BV139" s="456">
        <v>634.20000000000005</v>
      </c>
      <c r="BW139" s="453">
        <v>0.6</v>
      </c>
      <c r="BX139" s="453">
        <v>1.51</v>
      </c>
      <c r="BY139" s="456">
        <v>1.08</v>
      </c>
      <c r="BZ139" s="456">
        <v>14.8</v>
      </c>
      <c r="CA139" s="456">
        <v>36</v>
      </c>
      <c r="CB139" s="456">
        <v>13.8</v>
      </c>
      <c r="CC139" s="456">
        <v>11.2</v>
      </c>
      <c r="CD139" s="456">
        <v>15.1</v>
      </c>
      <c r="CE139" s="456">
        <v>0.1</v>
      </c>
      <c r="CF139" s="456">
        <v>13.2</v>
      </c>
      <c r="CG139" s="456">
        <v>318.2</v>
      </c>
      <c r="CH139" s="456">
        <v>2.8</v>
      </c>
      <c r="CI139" s="456">
        <v>3.6</v>
      </c>
      <c r="CJ139" s="456">
        <v>435.2</v>
      </c>
      <c r="CK139" s="456">
        <v>376.9</v>
      </c>
      <c r="CL139" s="456">
        <v>536.79999999999995</v>
      </c>
      <c r="CM139" s="456">
        <v>11.3</v>
      </c>
      <c r="CN139" s="456">
        <v>1.9</v>
      </c>
      <c r="CO139" s="453">
        <v>0</v>
      </c>
      <c r="CP139" s="453">
        <v>16.260000000000002</v>
      </c>
      <c r="CQ139" s="453">
        <v>48</v>
      </c>
      <c r="CR139" s="456">
        <v>0</v>
      </c>
      <c r="CS139" s="456">
        <v>0</v>
      </c>
      <c r="CT139" s="456">
        <v>0</v>
      </c>
      <c r="CU139" s="456">
        <v>0</v>
      </c>
      <c r="CV139" s="481">
        <v>1339.090909090909</v>
      </c>
      <c r="CW139" s="481">
        <v>1988.75</v>
      </c>
      <c r="CX139" s="481">
        <v>1280</v>
      </c>
      <c r="CY139" s="481">
        <f>AVERAGE(CY138,CY140)</f>
        <v>1149.0149999999999</v>
      </c>
      <c r="CZ139" s="456"/>
      <c r="DA139" s="456"/>
      <c r="DB139" s="456"/>
      <c r="DC139" s="456"/>
      <c r="DD139" s="456"/>
      <c r="DE139" s="456"/>
      <c r="DF139" s="456"/>
      <c r="DG139" s="425"/>
      <c r="DH139" s="456">
        <v>0</v>
      </c>
      <c r="DI139" s="456">
        <v>0.45</v>
      </c>
      <c r="DJ139" s="456">
        <v>1.03</v>
      </c>
      <c r="DK139" s="425"/>
      <c r="DL139" s="456"/>
      <c r="DM139" s="456"/>
      <c r="DN139" s="456"/>
      <c r="DO139" s="456"/>
      <c r="DP139" s="456"/>
      <c r="DQ139" s="456"/>
      <c r="DR139" s="456"/>
      <c r="DS139" s="456"/>
      <c r="DT139" s="456"/>
      <c r="DU139" s="456"/>
      <c r="DV139" s="456"/>
      <c r="DW139" s="456"/>
      <c r="DX139" s="456"/>
      <c r="DY139" s="456"/>
      <c r="DZ139" s="456"/>
      <c r="EA139" s="456"/>
      <c r="EB139" s="456"/>
      <c r="EC139" s="456"/>
      <c r="ED139" s="423">
        <v>0</v>
      </c>
      <c r="EE139" s="456">
        <v>0</v>
      </c>
      <c r="EF139" s="456">
        <v>2.5</v>
      </c>
      <c r="EG139" s="456">
        <v>6</v>
      </c>
      <c r="EH139" s="423">
        <v>0</v>
      </c>
      <c r="EI139" s="456"/>
      <c r="EJ139" s="456"/>
      <c r="EK139" s="456"/>
      <c r="EL139" s="456"/>
      <c r="EM139" s="456"/>
      <c r="EN139" s="456"/>
      <c r="EO139" s="425"/>
      <c r="EP139" s="425"/>
      <c r="EQ139" s="425" t="s">
        <v>743</v>
      </c>
      <c r="ER139" s="425">
        <v>1</v>
      </c>
      <c r="ES139" s="425">
        <v>2</v>
      </c>
      <c r="ET139" s="425">
        <v>3580</v>
      </c>
      <c r="EU139" s="457">
        <v>4000</v>
      </c>
      <c r="EV139" s="425">
        <v>355</v>
      </c>
      <c r="EW139" s="425">
        <v>6850716</v>
      </c>
      <c r="EX139" s="425">
        <v>43445</v>
      </c>
      <c r="EY139" s="666">
        <v>16.89</v>
      </c>
      <c r="EZ139" s="666">
        <v>16.89</v>
      </c>
      <c r="FA139" s="666">
        <v>0</v>
      </c>
      <c r="FB139" s="666">
        <v>1.41</v>
      </c>
      <c r="FC139" s="666">
        <v>1.4</v>
      </c>
      <c r="FD139" s="666">
        <v>1.2549999999999999</v>
      </c>
      <c r="FE139" s="666">
        <v>1.2</v>
      </c>
      <c r="FF139" s="666">
        <v>295</v>
      </c>
      <c r="FG139" s="666">
        <v>1.44</v>
      </c>
      <c r="FH139" s="666">
        <v>0.64500000000000002</v>
      </c>
      <c r="FI139" s="666">
        <v>1.1100000000000001</v>
      </c>
      <c r="FJ139" s="666">
        <v>7.97</v>
      </c>
      <c r="FK139" s="666">
        <v>8.1</v>
      </c>
      <c r="FL139" s="666">
        <v>7.81</v>
      </c>
      <c r="FM139" s="666">
        <v>7.8</v>
      </c>
      <c r="FN139" s="666">
        <v>0</v>
      </c>
    </row>
    <row r="140" spans="1:170" s="416" customFormat="1" ht="15">
      <c r="A140" s="425" t="s">
        <v>8</v>
      </c>
      <c r="B140" s="426">
        <v>40669</v>
      </c>
      <c r="C140" s="418">
        <v>0</v>
      </c>
      <c r="D140" s="518">
        <v>0.73</v>
      </c>
      <c r="E140" s="453">
        <v>0</v>
      </c>
      <c r="F140" s="453">
        <v>43.3</v>
      </c>
      <c r="G140" s="453">
        <v>2</v>
      </c>
      <c r="H140" s="519">
        <v>0.35</v>
      </c>
      <c r="I140" s="519">
        <v>93.6</v>
      </c>
      <c r="J140" s="483">
        <v>1.26</v>
      </c>
      <c r="K140" s="520" t="s">
        <v>742</v>
      </c>
      <c r="L140" s="453">
        <v>0</v>
      </c>
      <c r="M140" s="453">
        <v>25.1</v>
      </c>
      <c r="N140" s="453">
        <v>1.63</v>
      </c>
      <c r="O140" s="453">
        <v>2.2259650667840889</v>
      </c>
      <c r="P140" s="453" t="s">
        <v>742</v>
      </c>
      <c r="Q140" s="453" t="s">
        <v>742</v>
      </c>
      <c r="R140" s="453">
        <v>1002.4856274768823</v>
      </c>
      <c r="S140" s="453">
        <v>7.83</v>
      </c>
      <c r="T140" s="453" t="s">
        <v>742</v>
      </c>
      <c r="U140" s="453">
        <v>0.67</v>
      </c>
      <c r="V140" s="453" t="s">
        <v>742</v>
      </c>
      <c r="W140" s="453">
        <v>47.84</v>
      </c>
      <c r="X140" s="456" t="e">
        <v>#VALUE!</v>
      </c>
      <c r="Y140" s="453">
        <v>30.13</v>
      </c>
      <c r="Z140" s="453">
        <v>23.3</v>
      </c>
      <c r="AA140" s="519">
        <v>30</v>
      </c>
      <c r="AB140" s="519">
        <v>24</v>
      </c>
      <c r="AC140" s="732">
        <f t="shared" si="2"/>
        <v>54</v>
      </c>
      <c r="AD140" s="664"/>
      <c r="AE140" s="664"/>
      <c r="AF140" s="664"/>
      <c r="AG140" s="664"/>
      <c r="AH140" s="664"/>
      <c r="AI140" s="664"/>
      <c r="AJ140" s="485"/>
      <c r="AK140" s="485"/>
      <c r="AL140" s="485"/>
      <c r="AM140" s="485"/>
      <c r="AN140" s="485"/>
      <c r="AO140" s="665"/>
      <c r="AP140" s="485"/>
      <c r="AQ140" s="483"/>
      <c r="AR140" s="755">
        <v>0</v>
      </c>
      <c r="AS140" s="483">
        <v>18.2</v>
      </c>
      <c r="AT140" s="755">
        <v>0</v>
      </c>
      <c r="AU140" s="483">
        <v>31</v>
      </c>
      <c r="AV140" s="484">
        <v>468.4</v>
      </c>
      <c r="AW140" s="484">
        <v>527</v>
      </c>
      <c r="AX140" s="453">
        <v>0</v>
      </c>
      <c r="AY140" s="734">
        <v>0</v>
      </c>
      <c r="AZ140" s="734">
        <v>0</v>
      </c>
      <c r="BA140" s="734">
        <v>0</v>
      </c>
      <c r="BB140" s="453">
        <v>0</v>
      </c>
      <c r="BC140" s="453">
        <v>0.61</v>
      </c>
      <c r="BD140" s="453">
        <v>1.41</v>
      </c>
      <c r="BE140" s="734">
        <v>0</v>
      </c>
      <c r="BF140" s="453">
        <v>0.5</v>
      </c>
      <c r="BG140" s="453">
        <v>0</v>
      </c>
      <c r="BH140" s="734">
        <v>0</v>
      </c>
      <c r="BI140" s="453">
        <v>0</v>
      </c>
      <c r="BJ140" s="453">
        <v>20.3</v>
      </c>
      <c r="BK140" s="453">
        <v>2.71</v>
      </c>
      <c r="BL140" s="453">
        <v>3.3</v>
      </c>
      <c r="BM140" s="453">
        <v>0</v>
      </c>
      <c r="BN140" s="453">
        <v>14.1</v>
      </c>
      <c r="BO140" s="453">
        <v>1883.9</v>
      </c>
      <c r="BP140" s="453">
        <v>0</v>
      </c>
      <c r="BQ140" s="453">
        <v>16.899999999999999</v>
      </c>
      <c r="BR140" s="453">
        <v>16.899999999999999</v>
      </c>
      <c r="BS140" s="453">
        <v>0</v>
      </c>
      <c r="BT140" s="453">
        <v>31.2</v>
      </c>
      <c r="BU140" s="453">
        <v>30.2</v>
      </c>
      <c r="BV140" s="456">
        <v>437.7</v>
      </c>
      <c r="BW140" s="453">
        <v>1.81</v>
      </c>
      <c r="BX140" s="453">
        <v>1.5</v>
      </c>
      <c r="BY140" s="456">
        <v>1.1200000000000001</v>
      </c>
      <c r="BZ140" s="456">
        <v>15.3</v>
      </c>
      <c r="CA140" s="456">
        <v>35.9</v>
      </c>
      <c r="CB140" s="456">
        <v>13.2</v>
      </c>
      <c r="CC140" s="456">
        <v>8.3000000000000007</v>
      </c>
      <c r="CD140" s="456">
        <v>12</v>
      </c>
      <c r="CE140" s="456">
        <v>3.2</v>
      </c>
      <c r="CF140" s="456">
        <v>13.1</v>
      </c>
      <c r="CG140" s="456">
        <v>510</v>
      </c>
      <c r="CH140" s="456">
        <v>2.2999999999999998</v>
      </c>
      <c r="CI140" s="456">
        <v>3.4</v>
      </c>
      <c r="CJ140" s="456">
        <v>378.2</v>
      </c>
      <c r="CK140" s="456">
        <v>370.9</v>
      </c>
      <c r="CL140" s="456">
        <v>512</v>
      </c>
      <c r="CM140" s="456">
        <v>11.9</v>
      </c>
      <c r="CN140" s="456">
        <v>1.9</v>
      </c>
      <c r="CO140" s="453">
        <v>0</v>
      </c>
      <c r="CP140" s="453">
        <v>17.03</v>
      </c>
      <c r="CQ140" s="453">
        <v>48</v>
      </c>
      <c r="CR140" s="456">
        <v>0</v>
      </c>
      <c r="CS140" s="456">
        <v>0</v>
      </c>
      <c r="CT140" s="456">
        <v>0</v>
      </c>
      <c r="CU140" s="456">
        <v>0</v>
      </c>
      <c r="CV140" s="481">
        <v>1465.4545454545455</v>
      </c>
      <c r="CW140" s="481">
        <v>2029.5833333333333</v>
      </c>
      <c r="CX140" s="481">
        <v>1441.5625</v>
      </c>
      <c r="CY140" s="481">
        <v>1149.53</v>
      </c>
      <c r="CZ140" s="456"/>
      <c r="DA140" s="456"/>
      <c r="DB140" s="456"/>
      <c r="DC140" s="456"/>
      <c r="DD140" s="456"/>
      <c r="DE140" s="456"/>
      <c r="DF140" s="456"/>
      <c r="DG140" s="425"/>
      <c r="DH140" s="456" t="s">
        <v>751</v>
      </c>
      <c r="DI140" s="456" t="s">
        <v>751</v>
      </c>
      <c r="DJ140" s="456" t="s">
        <v>751</v>
      </c>
      <c r="DK140" s="425"/>
      <c r="DL140" s="456"/>
      <c r="DM140" s="456"/>
      <c r="DN140" s="456"/>
      <c r="DO140" s="456"/>
      <c r="DP140" s="456"/>
      <c r="DQ140" s="456"/>
      <c r="DR140" s="456"/>
      <c r="DS140" s="456"/>
      <c r="DT140" s="456"/>
      <c r="DU140" s="456"/>
      <c r="DV140" s="456"/>
      <c r="DW140" s="456"/>
      <c r="DX140" s="456"/>
      <c r="DY140" s="456"/>
      <c r="DZ140" s="456"/>
      <c r="EA140" s="456"/>
      <c r="EB140" s="456"/>
      <c r="EC140" s="456"/>
      <c r="ED140" s="423">
        <v>0</v>
      </c>
      <c r="EE140" s="456">
        <v>0</v>
      </c>
      <c r="EF140" s="456">
        <v>2.5</v>
      </c>
      <c r="EG140" s="456">
        <v>6</v>
      </c>
      <c r="EH140" s="423">
        <v>0</v>
      </c>
      <c r="EI140" s="456"/>
      <c r="EJ140" s="456"/>
      <c r="EK140" s="456"/>
      <c r="EL140" s="456"/>
      <c r="EM140" s="456"/>
      <c r="EN140" s="456"/>
      <c r="EO140" s="425"/>
      <c r="EP140" s="425"/>
      <c r="EQ140" s="425" t="s">
        <v>743</v>
      </c>
      <c r="ER140" s="425">
        <v>1</v>
      </c>
      <c r="ES140" s="425">
        <v>2</v>
      </c>
      <c r="ET140" s="425">
        <v>3325</v>
      </c>
      <c r="EU140" s="457">
        <v>4000</v>
      </c>
      <c r="EV140" s="425">
        <v>310</v>
      </c>
      <c r="EW140" s="425">
        <v>6853506</v>
      </c>
      <c r="EX140" s="425">
        <v>44121</v>
      </c>
      <c r="EY140" s="666">
        <v>16.61</v>
      </c>
      <c r="EZ140" s="666">
        <v>16.61</v>
      </c>
      <c r="FA140" s="666">
        <v>0</v>
      </c>
      <c r="FB140" s="666">
        <v>1.38</v>
      </c>
      <c r="FC140" s="666">
        <v>1.4</v>
      </c>
      <c r="FD140" s="666">
        <v>1.1739999999999999</v>
      </c>
      <c r="FE140" s="666">
        <v>1.17</v>
      </c>
      <c r="FF140" s="666">
        <v>255</v>
      </c>
      <c r="FG140" s="666">
        <v>1.38</v>
      </c>
      <c r="FH140" s="666">
        <v>0.66500000000000004</v>
      </c>
      <c r="FI140" s="666">
        <v>1.1200000000000001</v>
      </c>
      <c r="FJ140" s="666">
        <v>8.07</v>
      </c>
      <c r="FK140" s="666">
        <v>8.1999999999999993</v>
      </c>
      <c r="FL140" s="666">
        <v>7.85</v>
      </c>
      <c r="FM140" s="666">
        <v>8</v>
      </c>
      <c r="FN140" s="666">
        <v>0</v>
      </c>
    </row>
    <row r="141" spans="1:170" s="416" customFormat="1" ht="15">
      <c r="A141" s="425" t="s">
        <v>9</v>
      </c>
      <c r="B141" s="426">
        <v>40670</v>
      </c>
      <c r="C141" s="418">
        <v>0</v>
      </c>
      <c r="D141" s="518">
        <v>0.85</v>
      </c>
      <c r="E141" s="453">
        <v>0</v>
      </c>
      <c r="F141" s="453">
        <v>41</v>
      </c>
      <c r="G141" s="453">
        <v>2.08</v>
      </c>
      <c r="H141" s="519">
        <v>0.34</v>
      </c>
      <c r="I141" s="519">
        <v>93.3</v>
      </c>
      <c r="J141" s="483">
        <v>1.28</v>
      </c>
      <c r="K141" s="520" t="s">
        <v>742</v>
      </c>
      <c r="L141" s="453">
        <v>0</v>
      </c>
      <c r="M141" s="453">
        <v>25.3</v>
      </c>
      <c r="N141" s="453">
        <v>1.6</v>
      </c>
      <c r="O141" s="453">
        <v>2.278223374292764</v>
      </c>
      <c r="P141" s="453" t="s">
        <v>742</v>
      </c>
      <c r="Q141" s="453" t="s">
        <v>742</v>
      </c>
      <c r="R141" s="453">
        <v>1007.0202959048875</v>
      </c>
      <c r="S141" s="453">
        <v>7.81</v>
      </c>
      <c r="T141" s="453" t="s">
        <v>742</v>
      </c>
      <c r="U141" s="453">
        <v>0.67</v>
      </c>
      <c r="V141" s="453" t="s">
        <v>742</v>
      </c>
      <c r="W141" s="453">
        <v>46.94</v>
      </c>
      <c r="X141" s="456" t="e">
        <v>#VALUE!</v>
      </c>
      <c r="Y141" s="453">
        <v>30.24</v>
      </c>
      <c r="Z141" s="453">
        <v>23.31</v>
      </c>
      <c r="AA141" s="519">
        <v>31</v>
      </c>
      <c r="AB141" s="519">
        <v>23</v>
      </c>
      <c r="AC141" s="732">
        <f t="shared" si="2"/>
        <v>54</v>
      </c>
      <c r="AD141" s="664"/>
      <c r="AE141" s="664"/>
      <c r="AF141" s="664"/>
      <c r="AG141" s="664"/>
      <c r="AH141" s="664"/>
      <c r="AI141" s="664"/>
      <c r="AJ141" s="485"/>
      <c r="AK141" s="485"/>
      <c r="AL141" s="485"/>
      <c r="AM141" s="485"/>
      <c r="AN141" s="485"/>
      <c r="AO141" s="665"/>
      <c r="AP141" s="485"/>
      <c r="AQ141" s="483"/>
      <c r="AR141" s="755">
        <v>0</v>
      </c>
      <c r="AS141" s="483">
        <v>18.399999999999999</v>
      </c>
      <c r="AT141" s="755">
        <v>0</v>
      </c>
      <c r="AU141" s="483">
        <v>31</v>
      </c>
      <c r="AV141" s="484">
        <v>497.5</v>
      </c>
      <c r="AW141" s="484">
        <v>535.79999999999995</v>
      </c>
      <c r="AX141" s="453">
        <v>0</v>
      </c>
      <c r="AY141" s="734">
        <v>0</v>
      </c>
      <c r="AZ141" s="734">
        <v>0</v>
      </c>
      <c r="BA141" s="734">
        <v>0</v>
      </c>
      <c r="BB141" s="453">
        <v>0</v>
      </c>
      <c r="BC141" s="453">
        <v>0.71</v>
      </c>
      <c r="BD141" s="453">
        <v>1.31</v>
      </c>
      <c r="BE141" s="734">
        <v>0</v>
      </c>
      <c r="BF141" s="453">
        <v>0.56000000000000005</v>
      </c>
      <c r="BG141" s="453">
        <v>0</v>
      </c>
      <c r="BH141" s="734">
        <v>0</v>
      </c>
      <c r="BI141" s="453">
        <v>0</v>
      </c>
      <c r="BJ141" s="453">
        <v>20.7</v>
      </c>
      <c r="BK141" s="453">
        <v>2.72</v>
      </c>
      <c r="BL141" s="453">
        <v>3.3</v>
      </c>
      <c r="BM141" s="453">
        <v>0</v>
      </c>
      <c r="BN141" s="453">
        <v>14.5</v>
      </c>
      <c r="BO141" s="453">
        <v>1905.2</v>
      </c>
      <c r="BP141" s="453">
        <v>0</v>
      </c>
      <c r="BQ141" s="453">
        <v>16.399999999999999</v>
      </c>
      <c r="BR141" s="453">
        <v>16.399999999999999</v>
      </c>
      <c r="BS141" s="453">
        <v>0</v>
      </c>
      <c r="BT141" s="453">
        <v>32</v>
      </c>
      <c r="BU141" s="453">
        <v>30.5</v>
      </c>
      <c r="BV141" s="456">
        <v>441.8</v>
      </c>
      <c r="BW141" s="453">
        <v>1.03</v>
      </c>
      <c r="BX141" s="453">
        <v>1.46</v>
      </c>
      <c r="BY141" s="456">
        <v>1.1200000000000001</v>
      </c>
      <c r="BZ141" s="456">
        <v>14.9</v>
      </c>
      <c r="CA141" s="456">
        <v>35.9</v>
      </c>
      <c r="CB141" s="456">
        <v>12.4</v>
      </c>
      <c r="CC141" s="456">
        <v>8.9</v>
      </c>
      <c r="CD141" s="456">
        <v>12.7</v>
      </c>
      <c r="CE141" s="456">
        <v>8</v>
      </c>
      <c r="CF141" s="456">
        <v>13.1</v>
      </c>
      <c r="CG141" s="456">
        <v>495.8</v>
      </c>
      <c r="CH141" s="456">
        <v>2.4</v>
      </c>
      <c r="CI141" s="456">
        <v>3.2</v>
      </c>
      <c r="CJ141" s="456">
        <v>428.2</v>
      </c>
      <c r="CK141" s="456">
        <v>437.1</v>
      </c>
      <c r="CL141" s="456">
        <v>494.7</v>
      </c>
      <c r="CM141" s="456">
        <v>11</v>
      </c>
      <c r="CN141" s="456">
        <v>1.8</v>
      </c>
      <c r="CO141" s="453">
        <v>0</v>
      </c>
      <c r="CP141" s="453">
        <v>16.09</v>
      </c>
      <c r="CQ141" s="453">
        <v>48</v>
      </c>
      <c r="CR141" s="456">
        <v>0</v>
      </c>
      <c r="CS141" s="456">
        <v>0</v>
      </c>
      <c r="CT141" s="456">
        <v>0</v>
      </c>
      <c r="CU141" s="456">
        <v>0</v>
      </c>
      <c r="CV141" s="481">
        <v>1690</v>
      </c>
      <c r="CW141" s="481">
        <v>2437.0833333333335</v>
      </c>
      <c r="CX141" s="481">
        <v>1726.25</v>
      </c>
      <c r="CY141" s="481">
        <v>1150.28</v>
      </c>
      <c r="CZ141" s="456"/>
      <c r="DA141" s="456"/>
      <c r="DB141" s="456"/>
      <c r="DC141" s="456"/>
      <c r="DD141" s="456"/>
      <c r="DE141" s="456"/>
      <c r="DF141" s="456"/>
      <c r="DG141" s="425"/>
      <c r="DH141" s="456" t="s">
        <v>751</v>
      </c>
      <c r="DI141" s="456" t="s">
        <v>751</v>
      </c>
      <c r="DJ141" s="456" t="s">
        <v>751</v>
      </c>
      <c r="DK141" s="425"/>
      <c r="DL141" s="456"/>
      <c r="DM141" s="456"/>
      <c r="DN141" s="456"/>
      <c r="DO141" s="456"/>
      <c r="DP141" s="456"/>
      <c r="DQ141" s="456"/>
      <c r="DR141" s="456"/>
      <c r="DS141" s="456"/>
      <c r="DT141" s="456"/>
      <c r="DU141" s="456"/>
      <c r="DV141" s="456"/>
      <c r="DW141" s="456"/>
      <c r="DX141" s="456"/>
      <c r="DY141" s="456"/>
      <c r="DZ141" s="456"/>
      <c r="EA141" s="456"/>
      <c r="EB141" s="456"/>
      <c r="EC141" s="456"/>
      <c r="ED141" s="423">
        <v>0</v>
      </c>
      <c r="EE141" s="456">
        <v>0</v>
      </c>
      <c r="EF141" s="456">
        <v>2.5</v>
      </c>
      <c r="EG141" s="456">
        <v>6</v>
      </c>
      <c r="EH141" s="423">
        <v>0</v>
      </c>
      <c r="EI141" s="456"/>
      <c r="EJ141" s="456"/>
      <c r="EK141" s="456"/>
      <c r="EL141" s="456"/>
      <c r="EM141" s="456"/>
      <c r="EN141" s="456"/>
      <c r="EO141" s="425"/>
      <c r="EP141" s="425"/>
      <c r="EQ141" s="425" t="s">
        <v>743</v>
      </c>
      <c r="ER141" s="425">
        <v>1</v>
      </c>
      <c r="ES141" s="425">
        <v>2</v>
      </c>
      <c r="ET141" s="425">
        <v>3060</v>
      </c>
      <c r="EU141" s="457">
        <v>4000</v>
      </c>
      <c r="EV141" s="425">
        <v>250</v>
      </c>
      <c r="EW141" s="425">
        <v>6856470</v>
      </c>
      <c r="EX141" s="425">
        <v>44842</v>
      </c>
      <c r="EY141" s="666">
        <v>16.45</v>
      </c>
      <c r="EZ141" s="666">
        <v>16.47</v>
      </c>
      <c r="FA141" s="666">
        <v>0</v>
      </c>
      <c r="FB141" s="666">
        <v>1.35</v>
      </c>
      <c r="FC141" s="666">
        <v>1.3</v>
      </c>
      <c r="FD141" s="666">
        <v>1.1459999999999999</v>
      </c>
      <c r="FE141" s="666">
        <v>1.1399999999999999</v>
      </c>
      <c r="FF141" s="666">
        <v>255</v>
      </c>
      <c r="FG141" s="666">
        <v>1.57</v>
      </c>
      <c r="FH141" s="666">
        <v>0.68200000000000005</v>
      </c>
      <c r="FI141" s="666">
        <v>1.29</v>
      </c>
      <c r="FJ141" s="666">
        <v>8.01</v>
      </c>
      <c r="FK141" s="666">
        <v>8.1</v>
      </c>
      <c r="FL141" s="666">
        <v>7.85</v>
      </c>
      <c r="FM141" s="666">
        <v>7.9</v>
      </c>
      <c r="FN141" s="666">
        <v>0</v>
      </c>
    </row>
    <row r="142" spans="1:170" s="416" customFormat="1" ht="15">
      <c r="A142" s="425" t="s">
        <v>3</v>
      </c>
      <c r="B142" s="426">
        <v>40671</v>
      </c>
      <c r="C142" s="418">
        <v>0</v>
      </c>
      <c r="D142" s="518">
        <v>0.38</v>
      </c>
      <c r="E142" s="453">
        <v>0</v>
      </c>
      <c r="F142" s="453">
        <v>43.8</v>
      </c>
      <c r="G142" s="453">
        <v>2.4500000000000002</v>
      </c>
      <c r="H142" s="519">
        <v>0.59</v>
      </c>
      <c r="I142" s="519">
        <v>95</v>
      </c>
      <c r="J142" s="483">
        <v>1.59</v>
      </c>
      <c r="K142" s="520" t="s">
        <v>742</v>
      </c>
      <c r="L142" s="453">
        <v>0</v>
      </c>
      <c r="M142" s="453">
        <v>25.4</v>
      </c>
      <c r="N142" s="453">
        <v>1.54</v>
      </c>
      <c r="O142" s="453">
        <v>2.2407859973579916</v>
      </c>
      <c r="P142" s="453" t="s">
        <v>742</v>
      </c>
      <c r="Q142" s="453" t="s">
        <v>742</v>
      </c>
      <c r="R142" s="453">
        <v>1046.5366922060764</v>
      </c>
      <c r="S142" s="453">
        <v>7.87</v>
      </c>
      <c r="T142" s="453" t="s">
        <v>742</v>
      </c>
      <c r="U142" s="453">
        <v>0.65</v>
      </c>
      <c r="V142" s="453" t="s">
        <v>742</v>
      </c>
      <c r="W142" s="453">
        <v>48.2</v>
      </c>
      <c r="X142" s="456" t="e">
        <v>#VALUE!</v>
      </c>
      <c r="Y142" s="453">
        <v>29.84</v>
      </c>
      <c r="Z142" s="453">
        <v>26.41</v>
      </c>
      <c r="AA142" s="519">
        <v>29</v>
      </c>
      <c r="AB142" s="519">
        <v>27</v>
      </c>
      <c r="AC142" s="732">
        <f t="shared" si="2"/>
        <v>56</v>
      </c>
      <c r="AD142" s="664"/>
      <c r="AE142" s="664"/>
      <c r="AF142" s="664"/>
      <c r="AG142" s="664"/>
      <c r="AH142" s="664"/>
      <c r="AI142" s="664"/>
      <c r="AJ142" s="485"/>
      <c r="AK142" s="485"/>
      <c r="AL142" s="485"/>
      <c r="AM142" s="485"/>
      <c r="AN142" s="485"/>
      <c r="AO142" s="665"/>
      <c r="AP142" s="485"/>
      <c r="AQ142" s="483"/>
      <c r="AR142" s="755">
        <v>0</v>
      </c>
      <c r="AS142" s="483">
        <v>19.100000000000001</v>
      </c>
      <c r="AT142" s="755">
        <v>0</v>
      </c>
      <c r="AU142" s="483">
        <v>31</v>
      </c>
      <c r="AV142" s="484">
        <v>312.5</v>
      </c>
      <c r="AW142" s="484">
        <v>378.7</v>
      </c>
      <c r="AX142" s="453">
        <v>0</v>
      </c>
      <c r="AY142" s="734">
        <v>0</v>
      </c>
      <c r="AZ142" s="734">
        <v>0</v>
      </c>
      <c r="BA142" s="734">
        <v>0</v>
      </c>
      <c r="BB142" s="453">
        <v>0</v>
      </c>
      <c r="BC142" s="453">
        <v>0.74</v>
      </c>
      <c r="BD142" s="453">
        <v>1.27</v>
      </c>
      <c r="BE142" s="734">
        <v>0</v>
      </c>
      <c r="BF142" s="453">
        <v>0.49</v>
      </c>
      <c r="BG142" s="453">
        <v>0</v>
      </c>
      <c r="BH142" s="734">
        <v>0</v>
      </c>
      <c r="BI142" s="453">
        <v>0</v>
      </c>
      <c r="BJ142" s="453">
        <v>24.5</v>
      </c>
      <c r="BK142" s="453">
        <v>2.74</v>
      </c>
      <c r="BL142" s="453">
        <v>3.3</v>
      </c>
      <c r="BM142" s="453">
        <v>0</v>
      </c>
      <c r="BN142" s="453">
        <v>18.3</v>
      </c>
      <c r="BO142" s="453">
        <v>1663.9</v>
      </c>
      <c r="BP142" s="453">
        <v>0</v>
      </c>
      <c r="BQ142" s="453">
        <v>15.9</v>
      </c>
      <c r="BR142" s="453">
        <v>15.9</v>
      </c>
      <c r="BS142" s="453">
        <v>0</v>
      </c>
      <c r="BT142" s="453">
        <v>32.1</v>
      </c>
      <c r="BU142" s="453">
        <v>24.6</v>
      </c>
      <c r="BV142" s="456">
        <v>697.6</v>
      </c>
      <c r="BW142" s="453">
        <v>0.7</v>
      </c>
      <c r="BX142" s="453">
        <v>1.43</v>
      </c>
      <c r="BY142" s="456">
        <v>1.07</v>
      </c>
      <c r="BZ142" s="456">
        <v>15.1</v>
      </c>
      <c r="CA142" s="456">
        <v>36.299999999999997</v>
      </c>
      <c r="CB142" s="456">
        <v>14.7</v>
      </c>
      <c r="CC142" s="456">
        <v>9.1</v>
      </c>
      <c r="CD142" s="456">
        <v>12.9</v>
      </c>
      <c r="CE142" s="456">
        <v>13.3</v>
      </c>
      <c r="CF142" s="456">
        <v>13</v>
      </c>
      <c r="CG142" s="456">
        <v>498.1</v>
      </c>
      <c r="CH142" s="456">
        <v>2</v>
      </c>
      <c r="CI142" s="456">
        <v>2.9</v>
      </c>
      <c r="CJ142" s="456">
        <v>417</v>
      </c>
      <c r="CK142" s="456">
        <v>452.7</v>
      </c>
      <c r="CL142" s="456">
        <v>495.7</v>
      </c>
      <c r="CM142" s="456">
        <v>10.9</v>
      </c>
      <c r="CN142" s="456">
        <v>1.7</v>
      </c>
      <c r="CO142" s="453">
        <v>0</v>
      </c>
      <c r="CP142" s="453">
        <v>15.89</v>
      </c>
      <c r="CQ142" s="453">
        <v>48</v>
      </c>
      <c r="CR142" s="456">
        <v>0</v>
      </c>
      <c r="CS142" s="456">
        <v>0</v>
      </c>
      <c r="CT142" s="456">
        <v>0</v>
      </c>
      <c r="CU142" s="456">
        <v>0</v>
      </c>
      <c r="CV142" s="481">
        <v>1896.3636363636363</v>
      </c>
      <c r="CW142" s="481">
        <v>2678.3333333333335</v>
      </c>
      <c r="CX142" s="481">
        <v>1972.7083333333333</v>
      </c>
      <c r="CY142" s="481">
        <v>1151.03</v>
      </c>
      <c r="CZ142" s="456"/>
      <c r="DA142" s="456"/>
      <c r="DB142" s="456"/>
      <c r="DC142" s="456"/>
      <c r="DD142" s="456"/>
      <c r="DE142" s="456"/>
      <c r="DF142" s="456"/>
      <c r="DG142" s="425"/>
      <c r="DH142" s="456" t="s">
        <v>751</v>
      </c>
      <c r="DI142" s="456" t="s">
        <v>751</v>
      </c>
      <c r="DJ142" s="456" t="s">
        <v>751</v>
      </c>
      <c r="DK142" s="425"/>
      <c r="DL142" s="456"/>
      <c r="DM142" s="456"/>
      <c r="DN142" s="456"/>
      <c r="DO142" s="456"/>
      <c r="DP142" s="456"/>
      <c r="DQ142" s="456"/>
      <c r="DR142" s="456"/>
      <c r="DS142" s="456"/>
      <c r="DT142" s="456"/>
      <c r="DU142" s="456"/>
      <c r="DV142" s="456"/>
      <c r="DW142" s="456"/>
      <c r="DX142" s="456"/>
      <c r="DY142" s="456"/>
      <c r="DZ142" s="456"/>
      <c r="EA142" s="456"/>
      <c r="EB142" s="456"/>
      <c r="EC142" s="456"/>
      <c r="ED142" s="423">
        <v>0</v>
      </c>
      <c r="EE142" s="456">
        <v>0</v>
      </c>
      <c r="EF142" s="456">
        <v>2.5</v>
      </c>
      <c r="EG142" s="456">
        <v>6</v>
      </c>
      <c r="EH142" s="423">
        <v>0</v>
      </c>
      <c r="EI142" s="456"/>
      <c r="EJ142" s="456"/>
      <c r="EK142" s="456"/>
      <c r="EL142" s="456"/>
      <c r="EM142" s="456"/>
      <c r="EN142" s="456"/>
      <c r="EO142" s="425"/>
      <c r="EP142" s="425"/>
      <c r="EQ142" s="425" t="s">
        <v>743</v>
      </c>
      <c r="ER142" s="425">
        <v>1</v>
      </c>
      <c r="ES142" s="425">
        <v>2</v>
      </c>
      <c r="ET142" s="425">
        <v>2860</v>
      </c>
      <c r="EU142" s="457">
        <v>4000</v>
      </c>
      <c r="EV142" s="425">
        <v>270</v>
      </c>
      <c r="EW142" s="425">
        <v>6858819</v>
      </c>
      <c r="EX142" s="425">
        <v>45508</v>
      </c>
      <c r="EY142" s="666">
        <v>16.89</v>
      </c>
      <c r="EZ142" s="666">
        <v>16.89</v>
      </c>
      <c r="FA142" s="666">
        <v>0</v>
      </c>
      <c r="FB142" s="666">
        <v>1.32</v>
      </c>
      <c r="FC142" s="666">
        <v>1.35</v>
      </c>
      <c r="FD142" s="666">
        <v>1.1359999999999999</v>
      </c>
      <c r="FE142" s="666">
        <v>1.1200000000000001</v>
      </c>
      <c r="FF142" s="666">
        <v>200</v>
      </c>
      <c r="FG142" s="666">
        <v>1.91</v>
      </c>
      <c r="FH142" s="666">
        <v>0.70399999999999996</v>
      </c>
      <c r="FI142" s="666">
        <v>1.37</v>
      </c>
      <c r="FJ142" s="666">
        <v>8.17</v>
      </c>
      <c r="FK142" s="666">
        <v>8.3000000000000007</v>
      </c>
      <c r="FL142" s="666">
        <v>7.86</v>
      </c>
      <c r="FM142" s="666">
        <v>8</v>
      </c>
      <c r="FN142" s="666">
        <v>0</v>
      </c>
    </row>
    <row r="143" spans="1:170" s="416" customFormat="1" ht="15">
      <c r="A143" s="425" t="s">
        <v>4</v>
      </c>
      <c r="B143" s="426">
        <v>40672</v>
      </c>
      <c r="C143" s="418">
        <v>0</v>
      </c>
      <c r="D143" s="518">
        <v>0</v>
      </c>
      <c r="E143" s="453">
        <v>0</v>
      </c>
      <c r="F143" s="453">
        <v>46</v>
      </c>
      <c r="G143" s="453">
        <v>2</v>
      </c>
      <c r="H143" s="519">
        <v>1.73</v>
      </c>
      <c r="I143" s="519">
        <v>94.8</v>
      </c>
      <c r="J143" s="483">
        <v>1.43</v>
      </c>
      <c r="K143" s="520" t="s">
        <v>742</v>
      </c>
      <c r="L143" s="453">
        <v>0</v>
      </c>
      <c r="M143" s="453">
        <v>25.4</v>
      </c>
      <c r="N143" s="453">
        <v>1.55</v>
      </c>
      <c r="O143" s="453">
        <v>2.2683311238597414</v>
      </c>
      <c r="P143" s="453" t="s">
        <v>742</v>
      </c>
      <c r="Q143" s="453">
        <v>3.0422721268237587</v>
      </c>
      <c r="R143" s="453">
        <v>1083.1379445178334</v>
      </c>
      <c r="S143" s="453">
        <v>7.89</v>
      </c>
      <c r="T143" s="453" t="s">
        <v>742</v>
      </c>
      <c r="U143" s="453">
        <v>0.65</v>
      </c>
      <c r="V143" s="453" t="s">
        <v>742</v>
      </c>
      <c r="W143" s="453">
        <v>48.38000000000001</v>
      </c>
      <c r="X143" s="456" t="e">
        <v>#VALUE!</v>
      </c>
      <c r="Y143" s="453">
        <v>29.72</v>
      </c>
      <c r="Z143" s="453">
        <v>26.41</v>
      </c>
      <c r="AA143" s="519">
        <v>30.399999999994179</v>
      </c>
      <c r="AB143" s="519">
        <v>26.150000000001455</v>
      </c>
      <c r="AC143" s="732">
        <f t="shared" si="2"/>
        <v>56.549999999995634</v>
      </c>
      <c r="AD143" s="664"/>
      <c r="AE143" s="664"/>
      <c r="AF143" s="664"/>
      <c r="AG143" s="664"/>
      <c r="AH143" s="664"/>
      <c r="AI143" s="664"/>
      <c r="AJ143" s="485"/>
      <c r="AK143" s="485"/>
      <c r="AL143" s="485"/>
      <c r="AM143" s="485"/>
      <c r="AN143" s="485"/>
      <c r="AO143" s="665"/>
      <c r="AP143" s="485"/>
      <c r="AQ143" s="483"/>
      <c r="AR143" s="755">
        <v>0</v>
      </c>
      <c r="AS143" s="483">
        <v>35.4</v>
      </c>
      <c r="AT143" s="755">
        <v>0</v>
      </c>
      <c r="AU143" s="483">
        <v>31</v>
      </c>
      <c r="AV143" s="484">
        <v>207.6</v>
      </c>
      <c r="AW143" s="484">
        <v>378.4</v>
      </c>
      <c r="AX143" s="453">
        <v>0</v>
      </c>
      <c r="AY143" s="734">
        <v>0</v>
      </c>
      <c r="AZ143" s="734">
        <v>0</v>
      </c>
      <c r="BA143" s="734">
        <v>0</v>
      </c>
      <c r="BB143" s="453">
        <v>0</v>
      </c>
      <c r="BC143" s="453">
        <v>0.43</v>
      </c>
      <c r="BD143" s="453">
        <v>0.27</v>
      </c>
      <c r="BE143" s="734">
        <v>0</v>
      </c>
      <c r="BF143" s="453">
        <v>0.17</v>
      </c>
      <c r="BG143" s="453">
        <v>0</v>
      </c>
      <c r="BH143" s="734">
        <v>0</v>
      </c>
      <c r="BI143" s="453">
        <v>0</v>
      </c>
      <c r="BJ143" s="453">
        <v>27.6</v>
      </c>
      <c r="BK143" s="453">
        <v>2.75</v>
      </c>
      <c r="BL143" s="453">
        <v>3.3</v>
      </c>
      <c r="BM143" s="453">
        <v>0</v>
      </c>
      <c r="BN143" s="453">
        <v>21.5</v>
      </c>
      <c r="BO143" s="453">
        <v>3775.3</v>
      </c>
      <c r="BP143" s="453">
        <v>0</v>
      </c>
      <c r="BQ143" s="453">
        <v>17.2</v>
      </c>
      <c r="BR143" s="453">
        <v>17.100000000000001</v>
      </c>
      <c r="BS143" s="453">
        <v>0</v>
      </c>
      <c r="BT143" s="453">
        <v>32.200000000000003</v>
      </c>
      <c r="BU143" s="453">
        <v>24.6</v>
      </c>
      <c r="BV143" s="456">
        <v>478.3</v>
      </c>
      <c r="BW143" s="453">
        <v>0.7</v>
      </c>
      <c r="BX143" s="453">
        <v>1.45</v>
      </c>
      <c r="BY143" s="456">
        <v>1.06</v>
      </c>
      <c r="BZ143" s="456">
        <v>15</v>
      </c>
      <c r="CA143" s="456">
        <v>33.299999999999997</v>
      </c>
      <c r="CB143" s="456">
        <v>13.2</v>
      </c>
      <c r="CC143" s="456">
        <v>8.3000000000000007</v>
      </c>
      <c r="CD143" s="456">
        <v>12.6</v>
      </c>
      <c r="CE143" s="456">
        <v>16.600000000000001</v>
      </c>
      <c r="CF143" s="456">
        <v>13</v>
      </c>
      <c r="CG143" s="456">
        <v>540.4</v>
      </c>
      <c r="CH143" s="456">
        <v>2.1</v>
      </c>
      <c r="CI143" s="456">
        <v>2.9</v>
      </c>
      <c r="CJ143" s="456">
        <v>597.1</v>
      </c>
      <c r="CK143" s="456">
        <v>408.5</v>
      </c>
      <c r="CL143" s="456">
        <v>537.29999999999995</v>
      </c>
      <c r="CM143" s="456">
        <v>11.4</v>
      </c>
      <c r="CN143" s="456">
        <v>1.8</v>
      </c>
      <c r="CO143" s="453">
        <v>0</v>
      </c>
      <c r="CP143" s="453">
        <v>15.85</v>
      </c>
      <c r="CQ143" s="453">
        <v>58</v>
      </c>
      <c r="CR143" s="456">
        <v>0</v>
      </c>
      <c r="CS143" s="456">
        <v>0</v>
      </c>
      <c r="CT143" s="456">
        <v>0</v>
      </c>
      <c r="CU143" s="456">
        <v>0</v>
      </c>
      <c r="CV143" s="481">
        <v>1951.8181818181818</v>
      </c>
      <c r="CW143" s="481">
        <v>2941.25</v>
      </c>
      <c r="CX143" s="481">
        <v>1986.25</v>
      </c>
      <c r="CY143" s="481">
        <v>1150.8499999999999</v>
      </c>
      <c r="CZ143" s="456"/>
      <c r="DA143" s="456"/>
      <c r="DB143" s="456"/>
      <c r="DC143" s="456"/>
      <c r="DD143" s="456"/>
      <c r="DE143" s="456"/>
      <c r="DF143" s="456"/>
      <c r="DG143" s="425"/>
      <c r="DH143" s="456" t="s">
        <v>751</v>
      </c>
      <c r="DI143" s="456" t="s">
        <v>751</v>
      </c>
      <c r="DJ143" s="456" t="s">
        <v>751</v>
      </c>
      <c r="DK143" s="425"/>
      <c r="DL143" s="456"/>
      <c r="DM143" s="456"/>
      <c r="DN143" s="456"/>
      <c r="DO143" s="456"/>
      <c r="DP143" s="456"/>
      <c r="DQ143" s="456"/>
      <c r="DR143" s="456"/>
      <c r="DS143" s="456"/>
      <c r="DT143" s="456"/>
      <c r="DU143" s="456"/>
      <c r="DV143" s="456"/>
      <c r="DW143" s="456"/>
      <c r="DX143" s="456"/>
      <c r="DY143" s="456"/>
      <c r="DZ143" s="456"/>
      <c r="EA143" s="456"/>
      <c r="EB143" s="456"/>
      <c r="EC143" s="456"/>
      <c r="ED143" s="423">
        <v>0</v>
      </c>
      <c r="EE143" s="456">
        <v>0</v>
      </c>
      <c r="EF143" s="456">
        <v>0</v>
      </c>
      <c r="EG143" s="456">
        <v>6</v>
      </c>
      <c r="EH143" s="423">
        <v>0</v>
      </c>
      <c r="EI143" s="456"/>
      <c r="EJ143" s="456"/>
      <c r="EK143" s="456"/>
      <c r="EL143" s="456"/>
      <c r="EM143" s="456"/>
      <c r="EN143" s="456"/>
      <c r="EO143" s="425"/>
      <c r="EP143" s="425"/>
      <c r="EQ143" s="425" t="s">
        <v>743</v>
      </c>
      <c r="ER143" s="425">
        <v>1</v>
      </c>
      <c r="ES143" s="425">
        <v>2</v>
      </c>
      <c r="ET143" s="425">
        <v>2640</v>
      </c>
      <c r="EU143" s="457">
        <v>4000</v>
      </c>
      <c r="EV143" s="425">
        <v>275</v>
      </c>
      <c r="EW143" s="425">
        <v>6861161</v>
      </c>
      <c r="EX143" s="425">
        <v>46173</v>
      </c>
      <c r="EY143" s="666">
        <v>17.399999999999999</v>
      </c>
      <c r="EZ143" s="666">
        <v>17.399999999999999</v>
      </c>
      <c r="FA143" s="666">
        <v>0</v>
      </c>
      <c r="FB143" s="666">
        <v>1.44</v>
      </c>
      <c r="FC143" s="666">
        <v>1.39</v>
      </c>
      <c r="FD143" s="666">
        <v>1.21</v>
      </c>
      <c r="FE143" s="666">
        <v>1.19</v>
      </c>
      <c r="FF143" s="666">
        <v>220</v>
      </c>
      <c r="FG143" s="666">
        <v>1.41</v>
      </c>
      <c r="FH143" s="666">
        <v>0.71</v>
      </c>
      <c r="FI143" s="666">
        <v>1.29</v>
      </c>
      <c r="FJ143" s="666">
        <v>8.2799999999999994</v>
      </c>
      <c r="FK143" s="666">
        <v>8.3000000000000007</v>
      </c>
      <c r="FL143" s="666">
        <v>7.86</v>
      </c>
      <c r="FM143" s="666">
        <v>7.5</v>
      </c>
      <c r="FN143" s="666">
        <v>0</v>
      </c>
    </row>
    <row r="144" spans="1:170" s="416" customFormat="1" ht="15">
      <c r="A144" s="425" t="s">
        <v>5</v>
      </c>
      <c r="B144" s="426">
        <v>40673</v>
      </c>
      <c r="C144" s="418">
        <v>0</v>
      </c>
      <c r="D144" s="518">
        <v>0</v>
      </c>
      <c r="E144" s="453">
        <v>0</v>
      </c>
      <c r="F144" s="453">
        <v>50</v>
      </c>
      <c r="G144" s="453">
        <v>1.9</v>
      </c>
      <c r="H144" s="519">
        <v>1.88</v>
      </c>
      <c r="I144" s="519">
        <v>94.1</v>
      </c>
      <c r="J144" s="483">
        <v>1.4</v>
      </c>
      <c r="K144" s="520" t="s">
        <v>742</v>
      </c>
      <c r="L144" s="453">
        <v>0</v>
      </c>
      <c r="M144" s="453">
        <v>25.4</v>
      </c>
      <c r="N144" s="453">
        <v>1.6</v>
      </c>
      <c r="O144" s="453">
        <v>2.2946108226539428</v>
      </c>
      <c r="P144" s="453" t="s">
        <v>742</v>
      </c>
      <c r="Q144" s="453">
        <v>0</v>
      </c>
      <c r="R144" s="453">
        <v>1013.4983936591807</v>
      </c>
      <c r="S144" s="453">
        <v>7.86</v>
      </c>
      <c r="T144" s="453" t="s">
        <v>742</v>
      </c>
      <c r="U144" s="453">
        <v>0.66</v>
      </c>
      <c r="V144" s="453" t="s">
        <v>742</v>
      </c>
      <c r="W144" s="453">
        <v>48.38000000000001</v>
      </c>
      <c r="X144" s="456" t="e">
        <v>#VALUE!</v>
      </c>
      <c r="Y144" s="453">
        <v>29.95</v>
      </c>
      <c r="Z144" s="453">
        <v>25.03</v>
      </c>
      <c r="AA144" s="519">
        <v>30.020000000004075</v>
      </c>
      <c r="AB144" s="519">
        <v>23</v>
      </c>
      <c r="AC144" s="732">
        <f t="shared" si="2"/>
        <v>53.020000000004075</v>
      </c>
      <c r="AD144" s="664"/>
      <c r="AE144" s="664"/>
      <c r="AF144" s="664"/>
      <c r="AG144" s="664"/>
      <c r="AH144" s="664"/>
      <c r="AI144" s="664"/>
      <c r="AJ144" s="485"/>
      <c r="AK144" s="485"/>
      <c r="AL144" s="485"/>
      <c r="AM144" s="485"/>
      <c r="AN144" s="485"/>
      <c r="AO144" s="665"/>
      <c r="AP144" s="485"/>
      <c r="AQ144" s="483"/>
      <c r="AR144" s="755">
        <v>0</v>
      </c>
      <c r="AS144" s="483">
        <v>18.7</v>
      </c>
      <c r="AT144" s="755">
        <v>0</v>
      </c>
      <c r="AU144" s="483">
        <v>31.1</v>
      </c>
      <c r="AV144" s="484">
        <v>408.9</v>
      </c>
      <c r="AW144" s="484">
        <v>475.4</v>
      </c>
      <c r="AX144" s="453">
        <v>0</v>
      </c>
      <c r="AY144" s="734">
        <v>0</v>
      </c>
      <c r="AZ144" s="734">
        <v>0</v>
      </c>
      <c r="BA144" s="734">
        <v>0</v>
      </c>
      <c r="BB144" s="453">
        <v>0</v>
      </c>
      <c r="BC144" s="453">
        <v>0.47</v>
      </c>
      <c r="BD144" s="453">
        <v>0.83</v>
      </c>
      <c r="BE144" s="734">
        <v>0</v>
      </c>
      <c r="BF144" s="453">
        <v>0.35</v>
      </c>
      <c r="BG144" s="453">
        <v>0</v>
      </c>
      <c r="BH144" s="734">
        <v>0</v>
      </c>
      <c r="BI144" s="453">
        <v>0</v>
      </c>
      <c r="BJ144" s="453">
        <v>21.3</v>
      </c>
      <c r="BK144" s="453">
        <v>2.72</v>
      </c>
      <c r="BL144" s="453">
        <v>3.3</v>
      </c>
      <c r="BM144" s="453">
        <v>0</v>
      </c>
      <c r="BN144" s="453">
        <v>15.2</v>
      </c>
      <c r="BO144" s="453">
        <v>1390.2</v>
      </c>
      <c r="BP144" s="453">
        <v>0</v>
      </c>
      <c r="BQ144" s="453">
        <v>16.8</v>
      </c>
      <c r="BR144" s="453">
        <v>16.8</v>
      </c>
      <c r="BS144" s="453">
        <v>0</v>
      </c>
      <c r="BT144" s="453">
        <v>31.8</v>
      </c>
      <c r="BU144" s="453">
        <v>28.6</v>
      </c>
      <c r="BV144" s="456">
        <v>662.7</v>
      </c>
      <c r="BW144" s="453">
        <v>1.1499999999999999</v>
      </c>
      <c r="BX144" s="453">
        <v>1.54</v>
      </c>
      <c r="BY144" s="456">
        <v>1.0900000000000001</v>
      </c>
      <c r="BZ144" s="456">
        <v>14.5</v>
      </c>
      <c r="CA144" s="456">
        <v>36.9</v>
      </c>
      <c r="CB144" s="456">
        <v>12.4</v>
      </c>
      <c r="CC144" s="456">
        <v>8.9</v>
      </c>
      <c r="CD144" s="456">
        <v>13.1</v>
      </c>
      <c r="CE144" s="456">
        <v>17.399999999999999</v>
      </c>
      <c r="CF144" s="456">
        <v>12.7</v>
      </c>
      <c r="CG144" s="456">
        <v>486.3</v>
      </c>
      <c r="CH144" s="456">
        <v>2.2000000000000002</v>
      </c>
      <c r="CI144" s="456">
        <v>3.5</v>
      </c>
      <c r="CJ144" s="456">
        <v>545.70000000000005</v>
      </c>
      <c r="CK144" s="456">
        <v>398.4</v>
      </c>
      <c r="CL144" s="456">
        <v>536.4</v>
      </c>
      <c r="CM144" s="456">
        <v>11.7</v>
      </c>
      <c r="CN144" s="456">
        <v>1.9</v>
      </c>
      <c r="CO144" s="453">
        <v>0</v>
      </c>
      <c r="CP144" s="453">
        <v>16.43</v>
      </c>
      <c r="CQ144" s="453">
        <v>49</v>
      </c>
      <c r="CR144" s="456">
        <v>0</v>
      </c>
      <c r="CS144" s="456">
        <v>0</v>
      </c>
      <c r="CT144" s="456">
        <v>0</v>
      </c>
      <c r="CU144" s="456">
        <v>0</v>
      </c>
      <c r="CV144" s="481">
        <v>1660.4545454545455</v>
      </c>
      <c r="CW144" s="481">
        <v>2448.3333333333335</v>
      </c>
      <c r="CX144" s="481">
        <v>1655.8333333333333</v>
      </c>
      <c r="CY144" s="481">
        <v>1151.24</v>
      </c>
      <c r="CZ144" s="456"/>
      <c r="DA144" s="456"/>
      <c r="DB144" s="456"/>
      <c r="DC144" s="456"/>
      <c r="DD144" s="456"/>
      <c r="DE144" s="456"/>
      <c r="DF144" s="456"/>
      <c r="DG144" s="425"/>
      <c r="DH144" s="456">
        <v>0</v>
      </c>
      <c r="DI144" s="456">
        <v>0.41</v>
      </c>
      <c r="DJ144" s="456" t="s">
        <v>751</v>
      </c>
      <c r="DK144" s="425"/>
      <c r="DL144" s="456"/>
      <c r="DM144" s="456"/>
      <c r="DN144" s="456"/>
      <c r="DO144" s="456"/>
      <c r="DP144" s="456"/>
      <c r="DQ144" s="456"/>
      <c r="DR144" s="456"/>
      <c r="DS144" s="456"/>
      <c r="DT144" s="456"/>
      <c r="DU144" s="456"/>
      <c r="DV144" s="456"/>
      <c r="DW144" s="456"/>
      <c r="DX144" s="456"/>
      <c r="DY144" s="456"/>
      <c r="DZ144" s="456"/>
      <c r="EA144" s="456"/>
      <c r="EB144" s="456"/>
      <c r="EC144" s="456"/>
      <c r="ED144" s="423">
        <v>0</v>
      </c>
      <c r="EE144" s="456">
        <v>0</v>
      </c>
      <c r="EF144" s="456">
        <v>2.5</v>
      </c>
      <c r="EG144" s="456">
        <v>6</v>
      </c>
      <c r="EH144" s="423">
        <v>0</v>
      </c>
      <c r="EI144" s="456"/>
      <c r="EJ144" s="456"/>
      <c r="EK144" s="456"/>
      <c r="EL144" s="456"/>
      <c r="EM144" s="456"/>
      <c r="EN144" s="456"/>
      <c r="EO144" s="425"/>
      <c r="EP144" s="425"/>
      <c r="EQ144" s="425" t="s">
        <v>743</v>
      </c>
      <c r="ER144" s="425">
        <v>1</v>
      </c>
      <c r="ES144" s="425">
        <v>2</v>
      </c>
      <c r="ET144" s="425">
        <v>2340</v>
      </c>
      <c r="EU144" s="457">
        <v>4000</v>
      </c>
      <c r="EV144" s="425">
        <v>260</v>
      </c>
      <c r="EW144" s="425">
        <v>6864253</v>
      </c>
      <c r="EX144" s="425">
        <v>46888</v>
      </c>
      <c r="EY144" s="666">
        <v>16.600000000000001</v>
      </c>
      <c r="EZ144" s="666">
        <v>16.600000000000001</v>
      </c>
      <c r="FA144" s="666">
        <v>0</v>
      </c>
      <c r="FB144" s="666">
        <v>1.49</v>
      </c>
      <c r="FC144" s="666">
        <v>1.51</v>
      </c>
      <c r="FD144" s="666">
        <v>1.1599999999999999</v>
      </c>
      <c r="FE144" s="666">
        <v>1.18</v>
      </c>
      <c r="FF144" s="666">
        <v>300</v>
      </c>
      <c r="FG144" s="666">
        <v>1.66</v>
      </c>
      <c r="FH144" s="666">
        <v>0.71</v>
      </c>
      <c r="FI144" s="666">
        <v>1.31</v>
      </c>
      <c r="FJ144" s="666">
        <v>8.23</v>
      </c>
      <c r="FK144" s="666">
        <v>8.1999999999999993</v>
      </c>
      <c r="FL144" s="666">
        <v>7.86</v>
      </c>
      <c r="FM144" s="666">
        <v>7.5</v>
      </c>
      <c r="FN144" s="666">
        <v>0</v>
      </c>
    </row>
    <row r="145" spans="1:170" s="416" customFormat="1" ht="15">
      <c r="A145" s="425" t="s">
        <v>6</v>
      </c>
      <c r="B145" s="426">
        <v>40674</v>
      </c>
      <c r="C145" s="418">
        <v>0</v>
      </c>
      <c r="D145" s="518">
        <v>0.36</v>
      </c>
      <c r="E145" s="453">
        <v>0</v>
      </c>
      <c r="F145" s="453">
        <v>40</v>
      </c>
      <c r="G145" s="453">
        <v>2.1</v>
      </c>
      <c r="H145" s="519">
        <v>0.69</v>
      </c>
      <c r="I145" s="519">
        <v>92.8</v>
      </c>
      <c r="J145" s="483">
        <v>2.0099999999999998</v>
      </c>
      <c r="K145" s="520" t="s">
        <v>742</v>
      </c>
      <c r="L145" s="453">
        <v>0</v>
      </c>
      <c r="M145" s="453">
        <v>25.3</v>
      </c>
      <c r="N145" s="453">
        <v>1.58</v>
      </c>
      <c r="O145" s="453">
        <v>2.3565655814936433</v>
      </c>
      <c r="P145" s="453" t="s">
        <v>742</v>
      </c>
      <c r="Q145" s="453" t="s">
        <v>742</v>
      </c>
      <c r="R145" s="453">
        <v>974.62980713342108</v>
      </c>
      <c r="S145" s="453">
        <v>7.86</v>
      </c>
      <c r="T145" s="453" t="s">
        <v>742</v>
      </c>
      <c r="U145" s="453">
        <v>0.66</v>
      </c>
      <c r="V145" s="453" t="s">
        <v>742</v>
      </c>
      <c r="W145" s="453">
        <v>48.2</v>
      </c>
      <c r="X145" s="456" t="e">
        <v>#VALUE!</v>
      </c>
      <c r="Y145" s="453">
        <v>30.35</v>
      </c>
      <c r="Z145" s="453">
        <v>20.82</v>
      </c>
      <c r="AA145" s="519">
        <v>29.580000000001746</v>
      </c>
      <c r="AB145" s="519">
        <v>20.849999999998545</v>
      </c>
      <c r="AC145" s="732">
        <f t="shared" si="2"/>
        <v>50.430000000000291</v>
      </c>
      <c r="AD145" s="664"/>
      <c r="AE145" s="664"/>
      <c r="AF145" s="664"/>
      <c r="AG145" s="664"/>
      <c r="AH145" s="664"/>
      <c r="AI145" s="664"/>
      <c r="AJ145" s="485"/>
      <c r="AK145" s="485"/>
      <c r="AL145" s="485"/>
      <c r="AM145" s="485"/>
      <c r="AN145" s="485"/>
      <c r="AO145" s="665"/>
      <c r="AP145" s="485"/>
      <c r="AQ145" s="483"/>
      <c r="AR145" s="755">
        <v>0</v>
      </c>
      <c r="AS145" s="483">
        <v>18.600000000000001</v>
      </c>
      <c r="AT145" s="755">
        <v>0</v>
      </c>
      <c r="AU145" s="483">
        <v>31.1</v>
      </c>
      <c r="AV145" s="484">
        <v>317</v>
      </c>
      <c r="AW145" s="484">
        <v>482.9</v>
      </c>
      <c r="AX145" s="453">
        <v>0</v>
      </c>
      <c r="AY145" s="734">
        <v>0</v>
      </c>
      <c r="AZ145" s="734">
        <v>0</v>
      </c>
      <c r="BA145" s="734">
        <v>0</v>
      </c>
      <c r="BB145" s="453">
        <v>0</v>
      </c>
      <c r="BC145" s="453">
        <v>0.78</v>
      </c>
      <c r="BD145" s="453">
        <v>1.24</v>
      </c>
      <c r="BE145" s="734">
        <v>0</v>
      </c>
      <c r="BF145" s="453">
        <v>0.53</v>
      </c>
      <c r="BG145" s="453">
        <v>0</v>
      </c>
      <c r="BH145" s="734">
        <v>0</v>
      </c>
      <c r="BI145" s="453">
        <v>0</v>
      </c>
      <c r="BJ145" s="453">
        <v>18.399999999999999</v>
      </c>
      <c r="BK145" s="453">
        <v>2.73</v>
      </c>
      <c r="BL145" s="453">
        <v>3.3</v>
      </c>
      <c r="BM145" s="453">
        <v>0</v>
      </c>
      <c r="BN145" s="453">
        <v>12.3</v>
      </c>
      <c r="BO145" s="453">
        <v>1505</v>
      </c>
      <c r="BP145" s="453">
        <v>0</v>
      </c>
      <c r="BQ145" s="453">
        <v>16</v>
      </c>
      <c r="BR145" s="453">
        <v>16</v>
      </c>
      <c r="BS145" s="453">
        <v>0</v>
      </c>
      <c r="BT145" s="453">
        <v>31.9</v>
      </c>
      <c r="BU145" s="453">
        <v>30.9</v>
      </c>
      <c r="BV145" s="456">
        <v>504.8</v>
      </c>
      <c r="BW145" s="453">
        <v>0.7</v>
      </c>
      <c r="BX145" s="453">
        <v>1.49</v>
      </c>
      <c r="BY145" s="456">
        <v>1.1100000000000001</v>
      </c>
      <c r="BZ145" s="456">
        <v>14.3</v>
      </c>
      <c r="CA145" s="456">
        <v>36.1</v>
      </c>
      <c r="CB145" s="456">
        <v>15.2</v>
      </c>
      <c r="CC145" s="456">
        <v>10.4</v>
      </c>
      <c r="CD145" s="456">
        <v>14.7</v>
      </c>
      <c r="CE145" s="456">
        <v>18.8</v>
      </c>
      <c r="CF145" s="456">
        <v>12.6</v>
      </c>
      <c r="CG145" s="456">
        <v>533.4</v>
      </c>
      <c r="CH145" s="456">
        <v>2.1</v>
      </c>
      <c r="CI145" s="456">
        <v>3.1</v>
      </c>
      <c r="CJ145" s="456">
        <v>481</v>
      </c>
      <c r="CK145" s="456">
        <v>380.4</v>
      </c>
      <c r="CL145" s="456">
        <v>529.1</v>
      </c>
      <c r="CM145" s="456">
        <v>11.4</v>
      </c>
      <c r="CN145" s="456">
        <v>1.9</v>
      </c>
      <c r="CO145" s="453">
        <v>0</v>
      </c>
      <c r="CP145" s="453">
        <v>16.18</v>
      </c>
      <c r="CQ145" s="453">
        <v>49</v>
      </c>
      <c r="CR145" s="456">
        <v>0</v>
      </c>
      <c r="CS145" s="456">
        <v>0</v>
      </c>
      <c r="CT145" s="456">
        <v>0</v>
      </c>
      <c r="CU145" s="456">
        <v>0</v>
      </c>
      <c r="CV145" s="481">
        <v>1699.5833333333333</v>
      </c>
      <c r="CW145" s="481">
        <v>2400.625</v>
      </c>
      <c r="CX145" s="481">
        <v>1712.5</v>
      </c>
      <c r="CY145" s="481">
        <v>1151.72</v>
      </c>
      <c r="CZ145" s="456"/>
      <c r="DA145" s="456"/>
      <c r="DB145" s="456"/>
      <c r="DC145" s="456"/>
      <c r="DD145" s="456"/>
      <c r="DE145" s="456"/>
      <c r="DF145" s="456"/>
      <c r="DG145" s="425"/>
      <c r="DH145" s="456">
        <v>0</v>
      </c>
      <c r="DI145" s="456">
        <v>0.56000000000000005</v>
      </c>
      <c r="DJ145" s="456">
        <v>0.93</v>
      </c>
      <c r="DK145" s="425"/>
      <c r="DL145" s="456"/>
      <c r="DM145" s="456"/>
      <c r="DN145" s="456"/>
      <c r="DO145" s="456"/>
      <c r="DP145" s="456"/>
      <c r="DQ145" s="456"/>
      <c r="DR145" s="456"/>
      <c r="DS145" s="456"/>
      <c r="DT145" s="456"/>
      <c r="DU145" s="456"/>
      <c r="DV145" s="456"/>
      <c r="DW145" s="456"/>
      <c r="DX145" s="456"/>
      <c r="DY145" s="456"/>
      <c r="DZ145" s="456"/>
      <c r="EA145" s="456"/>
      <c r="EB145" s="456"/>
      <c r="EC145" s="456"/>
      <c r="ED145" s="423">
        <v>0</v>
      </c>
      <c r="EE145" s="456">
        <v>0</v>
      </c>
      <c r="EF145" s="456">
        <v>2.5</v>
      </c>
      <c r="EG145" s="456">
        <v>6</v>
      </c>
      <c r="EH145" s="423">
        <v>0</v>
      </c>
      <c r="EI145" s="456"/>
      <c r="EJ145" s="456"/>
      <c r="EK145" s="456"/>
      <c r="EL145" s="456"/>
      <c r="EM145" s="456"/>
      <c r="EN145" s="456"/>
      <c r="EO145" s="425"/>
      <c r="EP145" s="425"/>
      <c r="EQ145" s="425" t="s">
        <v>743</v>
      </c>
      <c r="ER145" s="425">
        <v>1</v>
      </c>
      <c r="ES145" s="425">
        <v>2</v>
      </c>
      <c r="ET145" s="425">
        <v>2080</v>
      </c>
      <c r="EU145" s="457">
        <v>4000</v>
      </c>
      <c r="EV145" s="425">
        <v>300</v>
      </c>
      <c r="EW145" s="425">
        <v>6867159</v>
      </c>
      <c r="EX145" s="425">
        <v>47550</v>
      </c>
      <c r="EY145" s="666">
        <v>15.9</v>
      </c>
      <c r="EZ145" s="666">
        <v>16</v>
      </c>
      <c r="FA145" s="666">
        <v>0</v>
      </c>
      <c r="FB145" s="666">
        <v>1.32</v>
      </c>
      <c r="FC145" s="666">
        <v>1.35</v>
      </c>
      <c r="FD145" s="666">
        <v>1.1399999999999999</v>
      </c>
      <c r="FE145" s="666">
        <v>1.21</v>
      </c>
      <c r="FF145" s="666">
        <v>260</v>
      </c>
      <c r="FG145" s="666">
        <v>1.8</v>
      </c>
      <c r="FH145" s="666">
        <v>0.76</v>
      </c>
      <c r="FI145" s="666">
        <v>1.32</v>
      </c>
      <c r="FJ145" s="666">
        <v>7.99</v>
      </c>
      <c r="FK145" s="666">
        <v>7.9</v>
      </c>
      <c r="FL145" s="666">
        <v>7.87</v>
      </c>
      <c r="FM145" s="666">
        <v>7.5</v>
      </c>
      <c r="FN145" s="666">
        <v>0</v>
      </c>
    </row>
    <row r="146" spans="1:170" s="416" customFormat="1" ht="15">
      <c r="A146" s="425" t="s">
        <v>7</v>
      </c>
      <c r="B146" s="426">
        <v>40675</v>
      </c>
      <c r="C146" s="418">
        <v>0</v>
      </c>
      <c r="D146" s="518">
        <v>0</v>
      </c>
      <c r="E146" s="453">
        <v>0</v>
      </c>
      <c r="F146" s="453">
        <v>41</v>
      </c>
      <c r="G146" s="453">
        <v>2.1</v>
      </c>
      <c r="H146" s="519">
        <v>0.78</v>
      </c>
      <c r="I146" s="519">
        <v>93.3</v>
      </c>
      <c r="J146" s="483">
        <v>1.65</v>
      </c>
      <c r="K146" s="520" t="s">
        <v>742</v>
      </c>
      <c r="L146" s="453">
        <v>0</v>
      </c>
      <c r="M146" s="453">
        <v>25.1</v>
      </c>
      <c r="N146" s="453">
        <v>1.62</v>
      </c>
      <c r="O146" s="453">
        <v>2.3133969741531866</v>
      </c>
      <c r="P146" s="453" t="s">
        <v>742</v>
      </c>
      <c r="Q146" s="453" t="s">
        <v>742</v>
      </c>
      <c r="R146" s="453">
        <v>1022.5677305151913</v>
      </c>
      <c r="S146" s="453">
        <v>8.01</v>
      </c>
      <c r="T146" s="453" t="s">
        <v>742</v>
      </c>
      <c r="U146" s="453">
        <v>0.66</v>
      </c>
      <c r="V146" s="453" t="s">
        <v>742</v>
      </c>
      <c r="W146" s="453">
        <v>48.2</v>
      </c>
      <c r="X146" s="456" t="e">
        <v>#VALUE!</v>
      </c>
      <c r="Y146" s="453">
        <v>29.95</v>
      </c>
      <c r="Z146" s="453">
        <v>20.440000000000001</v>
      </c>
      <c r="AA146" s="519">
        <v>31</v>
      </c>
      <c r="AB146" s="519">
        <v>21</v>
      </c>
      <c r="AC146" s="732">
        <f t="shared" si="2"/>
        <v>52</v>
      </c>
      <c r="AD146" s="664"/>
      <c r="AE146" s="664"/>
      <c r="AF146" s="664"/>
      <c r="AG146" s="664"/>
      <c r="AH146" s="664"/>
      <c r="AI146" s="664"/>
      <c r="AJ146" s="485"/>
      <c r="AK146" s="485"/>
      <c r="AL146" s="485"/>
      <c r="AM146" s="485"/>
      <c r="AN146" s="485"/>
      <c r="AO146" s="665"/>
      <c r="AP146" s="485"/>
      <c r="AQ146" s="483"/>
      <c r="AR146" s="755">
        <v>0</v>
      </c>
      <c r="AS146" s="483">
        <v>17.899999999999999</v>
      </c>
      <c r="AT146" s="755">
        <v>0</v>
      </c>
      <c r="AU146" s="483">
        <v>31.2</v>
      </c>
      <c r="AV146" s="484">
        <v>355.9</v>
      </c>
      <c r="AW146" s="484">
        <v>418.6</v>
      </c>
      <c r="AX146" s="453">
        <v>0</v>
      </c>
      <c r="AY146" s="734">
        <v>0</v>
      </c>
      <c r="AZ146" s="734">
        <v>0</v>
      </c>
      <c r="BA146" s="734">
        <v>0</v>
      </c>
      <c r="BB146" s="453">
        <v>0</v>
      </c>
      <c r="BC146" s="453">
        <v>0.78</v>
      </c>
      <c r="BD146" s="453">
        <v>1.23</v>
      </c>
      <c r="BE146" s="734">
        <v>0</v>
      </c>
      <c r="BF146" s="453">
        <v>0.54</v>
      </c>
      <c r="BG146" s="453">
        <v>0</v>
      </c>
      <c r="BH146" s="734">
        <v>0</v>
      </c>
      <c r="BI146" s="453">
        <v>0</v>
      </c>
      <c r="BJ146" s="453">
        <v>18.399999999999999</v>
      </c>
      <c r="BK146" s="453">
        <v>2.72</v>
      </c>
      <c r="BL146" s="453">
        <v>3.3</v>
      </c>
      <c r="BM146" s="453">
        <v>0</v>
      </c>
      <c r="BN146" s="453">
        <v>12.3</v>
      </c>
      <c r="BO146" s="453">
        <v>1053</v>
      </c>
      <c r="BP146" s="453">
        <v>0</v>
      </c>
      <c r="BQ146" s="453">
        <v>15.3</v>
      </c>
      <c r="BR146" s="453">
        <v>15.6</v>
      </c>
      <c r="BS146" s="453">
        <v>0</v>
      </c>
      <c r="BT146" s="453">
        <v>32.200000000000003</v>
      </c>
      <c r="BU146" s="453">
        <v>29.6</v>
      </c>
      <c r="BV146" s="456">
        <v>368.7</v>
      </c>
      <c r="BW146" s="453">
        <v>1.24</v>
      </c>
      <c r="BX146" s="453">
        <v>1.45</v>
      </c>
      <c r="BY146" s="456">
        <v>1.1000000000000001</v>
      </c>
      <c r="BZ146" s="456">
        <v>14.7</v>
      </c>
      <c r="CA146" s="456">
        <v>34.4</v>
      </c>
      <c r="CB146" s="456">
        <v>14.5</v>
      </c>
      <c r="CC146" s="456">
        <v>9.5</v>
      </c>
      <c r="CD146" s="456">
        <v>13.8</v>
      </c>
      <c r="CE146" s="456">
        <v>17.8</v>
      </c>
      <c r="CF146" s="456">
        <v>12.6</v>
      </c>
      <c r="CG146" s="456">
        <v>523.5</v>
      </c>
      <c r="CH146" s="456">
        <v>2.2000000000000002</v>
      </c>
      <c r="CI146" s="456">
        <v>2.7</v>
      </c>
      <c r="CJ146" s="456">
        <v>454.3</v>
      </c>
      <c r="CK146" s="456">
        <v>394.2</v>
      </c>
      <c r="CL146" s="456">
        <v>534.1</v>
      </c>
      <c r="CM146" s="456">
        <v>11.1</v>
      </c>
      <c r="CN146" s="456">
        <v>1.8</v>
      </c>
      <c r="CO146" s="453">
        <v>0</v>
      </c>
      <c r="CP146" s="453">
        <v>15.36</v>
      </c>
      <c r="CQ146" s="453">
        <v>49</v>
      </c>
      <c r="CR146" s="456">
        <v>0</v>
      </c>
      <c r="CS146" s="456">
        <v>0</v>
      </c>
      <c r="CT146" s="456">
        <v>0</v>
      </c>
      <c r="CU146" s="456">
        <v>0</v>
      </c>
      <c r="CV146" s="481">
        <v>1699.5833333333333</v>
      </c>
      <c r="CW146" s="481">
        <v>2566.875</v>
      </c>
      <c r="CX146" s="481">
        <v>1800</v>
      </c>
      <c r="CY146" s="481">
        <v>1152.21</v>
      </c>
      <c r="CZ146" s="456"/>
      <c r="DA146" s="456"/>
      <c r="DB146" s="456"/>
      <c r="DC146" s="456"/>
      <c r="DD146" s="456"/>
      <c r="DE146" s="456"/>
      <c r="DF146" s="456"/>
      <c r="DG146" s="425"/>
      <c r="DH146" s="456">
        <v>0</v>
      </c>
      <c r="DI146" s="456">
        <v>0.47</v>
      </c>
      <c r="DJ146" s="456">
        <v>0.86</v>
      </c>
      <c r="DK146" s="425"/>
      <c r="DL146" s="456"/>
      <c r="DM146" s="456"/>
      <c r="DN146" s="456"/>
      <c r="DO146" s="456"/>
      <c r="DP146" s="456"/>
      <c r="DQ146" s="456"/>
      <c r="DR146" s="456"/>
      <c r="DS146" s="456"/>
      <c r="DT146" s="456"/>
      <c r="DU146" s="456"/>
      <c r="DV146" s="456"/>
      <c r="DW146" s="456"/>
      <c r="DX146" s="456"/>
      <c r="DY146" s="456"/>
      <c r="DZ146" s="456"/>
      <c r="EA146" s="456"/>
      <c r="EB146" s="456"/>
      <c r="EC146" s="456"/>
      <c r="ED146" s="423">
        <v>0</v>
      </c>
      <c r="EE146" s="456">
        <v>0</v>
      </c>
      <c r="EF146" s="456">
        <v>2.5</v>
      </c>
      <c r="EG146" s="456">
        <v>6</v>
      </c>
      <c r="EH146" s="423">
        <v>0</v>
      </c>
      <c r="EI146" s="456"/>
      <c r="EJ146" s="456"/>
      <c r="EK146" s="456"/>
      <c r="EL146" s="456"/>
      <c r="EM146" s="456"/>
      <c r="EN146" s="456"/>
      <c r="EO146" s="425"/>
      <c r="EP146" s="425"/>
      <c r="EQ146" s="425" t="s">
        <v>743</v>
      </c>
      <c r="ER146" s="425">
        <v>1</v>
      </c>
      <c r="ES146" s="425">
        <v>2</v>
      </c>
      <c r="ET146" s="425">
        <v>1820</v>
      </c>
      <c r="EU146" s="457">
        <v>4000</v>
      </c>
      <c r="EV146" s="425">
        <v>260</v>
      </c>
      <c r="EW146" s="425">
        <v>6869999</v>
      </c>
      <c r="EX146" s="425">
        <v>48201</v>
      </c>
      <c r="EY146" s="666">
        <v>15.8</v>
      </c>
      <c r="EZ146" s="666">
        <v>15.3</v>
      </c>
      <c r="FA146" s="666">
        <v>0</v>
      </c>
      <c r="FB146" s="666">
        <v>1.36</v>
      </c>
      <c r="FC146" s="666">
        <v>1.35</v>
      </c>
      <c r="FD146" s="666">
        <v>1.25</v>
      </c>
      <c r="FE146" s="666">
        <v>1.23</v>
      </c>
      <c r="FF146" s="666">
        <v>260</v>
      </c>
      <c r="FG146" s="666">
        <v>2</v>
      </c>
      <c r="FH146" s="666">
        <v>0.85</v>
      </c>
      <c r="FI146" s="666">
        <v>1.4</v>
      </c>
      <c r="FJ146" s="666">
        <v>8.02</v>
      </c>
      <c r="FK146" s="666">
        <v>8</v>
      </c>
      <c r="FL146" s="666">
        <v>7.89</v>
      </c>
      <c r="FM146" s="666">
        <v>7.6</v>
      </c>
      <c r="FN146" s="666">
        <v>0</v>
      </c>
    </row>
    <row r="147" spans="1:170" s="416" customFormat="1" ht="15">
      <c r="A147" s="425" t="s">
        <v>8</v>
      </c>
      <c r="B147" s="426">
        <v>40676</v>
      </c>
      <c r="C147" s="418">
        <v>0</v>
      </c>
      <c r="D147" s="518">
        <v>0</v>
      </c>
      <c r="E147" s="453">
        <v>0</v>
      </c>
      <c r="F147" s="453">
        <v>50</v>
      </c>
      <c r="G147" s="453">
        <v>2.1</v>
      </c>
      <c r="H147" s="519">
        <v>1.98</v>
      </c>
      <c r="I147" s="519">
        <v>1.2999999999999999E-2</v>
      </c>
      <c r="J147" s="483">
        <v>1.75</v>
      </c>
      <c r="K147" s="520" t="s">
        <v>742</v>
      </c>
      <c r="L147" s="453">
        <v>0</v>
      </c>
      <c r="M147" s="453">
        <v>25</v>
      </c>
      <c r="N147" s="453">
        <v>1.62</v>
      </c>
      <c r="O147" s="453">
        <v>2.3137080927709359</v>
      </c>
      <c r="P147" s="453" t="s">
        <v>742</v>
      </c>
      <c r="Q147" s="453">
        <v>10.097754293409821</v>
      </c>
      <c r="R147" s="453">
        <v>986.93819286657845</v>
      </c>
      <c r="S147" s="453">
        <v>7.93</v>
      </c>
      <c r="T147" s="453" t="s">
        <v>742</v>
      </c>
      <c r="U147" s="453">
        <v>0.64</v>
      </c>
      <c r="V147" s="453" t="s">
        <v>742</v>
      </c>
      <c r="W147" s="453">
        <v>48.2</v>
      </c>
      <c r="X147" s="456" t="e">
        <v>#VALUE!</v>
      </c>
      <c r="Y147" s="453">
        <v>29.84</v>
      </c>
      <c r="Z147" s="453">
        <v>21.4</v>
      </c>
      <c r="AA147" s="519">
        <v>29.399999999994179</v>
      </c>
      <c r="AB147" s="519">
        <v>21.94999999999709</v>
      </c>
      <c r="AC147" s="732">
        <f t="shared" si="2"/>
        <v>51.349999999991269</v>
      </c>
      <c r="AD147" s="664"/>
      <c r="AE147" s="664"/>
      <c r="AF147" s="664"/>
      <c r="AG147" s="664"/>
      <c r="AH147" s="664"/>
      <c r="AI147" s="664"/>
      <c r="AJ147" s="485"/>
      <c r="AK147" s="485"/>
      <c r="AL147" s="485"/>
      <c r="AM147" s="485"/>
      <c r="AN147" s="485"/>
      <c r="AO147" s="665"/>
      <c r="AP147" s="485"/>
      <c r="AQ147" s="483"/>
      <c r="AR147" s="755">
        <v>0</v>
      </c>
      <c r="AS147" s="483">
        <v>17.100000000000001</v>
      </c>
      <c r="AT147" s="755">
        <v>0</v>
      </c>
      <c r="AU147" s="483">
        <v>31.2</v>
      </c>
      <c r="AV147" s="484">
        <v>337</v>
      </c>
      <c r="AW147" s="484">
        <v>879.2</v>
      </c>
      <c r="AX147" s="453">
        <v>0</v>
      </c>
      <c r="AY147" s="734">
        <v>0</v>
      </c>
      <c r="AZ147" s="734">
        <v>0</v>
      </c>
      <c r="BA147" s="734">
        <v>0</v>
      </c>
      <c r="BB147" s="453">
        <v>0</v>
      </c>
      <c r="BC147" s="453">
        <v>0.78</v>
      </c>
      <c r="BD147" s="453">
        <v>1.24</v>
      </c>
      <c r="BE147" s="734">
        <v>0</v>
      </c>
      <c r="BF147" s="453">
        <v>0.52</v>
      </c>
      <c r="BG147" s="453">
        <v>0</v>
      </c>
      <c r="BH147" s="734">
        <v>0</v>
      </c>
      <c r="BI147" s="453">
        <v>0</v>
      </c>
      <c r="BJ147" s="453">
        <v>19.3</v>
      </c>
      <c r="BK147" s="453">
        <v>2.76</v>
      </c>
      <c r="BL147" s="453">
        <v>3.28</v>
      </c>
      <c r="BM147" s="453">
        <v>0</v>
      </c>
      <c r="BN147" s="453">
        <v>13.2</v>
      </c>
      <c r="BO147" s="453">
        <v>1102.5999999999999</v>
      </c>
      <c r="BP147" s="453">
        <v>0</v>
      </c>
      <c r="BQ147" s="453">
        <v>18</v>
      </c>
      <c r="BR147" s="453">
        <v>11.6</v>
      </c>
      <c r="BS147" s="453">
        <v>0</v>
      </c>
      <c r="BT147" s="453">
        <v>31.5</v>
      </c>
      <c r="BU147" s="453">
        <v>29.2</v>
      </c>
      <c r="BV147" s="456">
        <v>348.9</v>
      </c>
      <c r="BW147" s="453">
        <v>2.78</v>
      </c>
      <c r="BX147" s="453">
        <v>1.47</v>
      </c>
      <c r="BY147" s="456">
        <v>1.0900000000000001</v>
      </c>
      <c r="BZ147" s="456">
        <v>14.8</v>
      </c>
      <c r="CA147" s="456">
        <v>33.299999999999997</v>
      </c>
      <c r="CB147" s="456">
        <v>13.7</v>
      </c>
      <c r="CC147" s="456">
        <v>8.9</v>
      </c>
      <c r="CD147" s="456">
        <v>13.2</v>
      </c>
      <c r="CE147" s="456">
        <v>17.2</v>
      </c>
      <c r="CF147" s="456">
        <v>13</v>
      </c>
      <c r="CG147" s="456">
        <v>532.5</v>
      </c>
      <c r="CH147" s="456">
        <v>2.1</v>
      </c>
      <c r="CI147" s="456">
        <v>2.7</v>
      </c>
      <c r="CJ147" s="456">
        <v>390.8</v>
      </c>
      <c r="CK147" s="456">
        <v>387.7</v>
      </c>
      <c r="CL147" s="456">
        <v>516.70000000000005</v>
      </c>
      <c r="CM147" s="456">
        <v>11.4</v>
      </c>
      <c r="CN147" s="456">
        <v>1.9</v>
      </c>
      <c r="CO147" s="453">
        <v>0</v>
      </c>
      <c r="CP147" s="453">
        <v>15.4</v>
      </c>
      <c r="CQ147" s="453">
        <v>49</v>
      </c>
      <c r="CR147" s="456">
        <v>0</v>
      </c>
      <c r="CS147" s="456">
        <v>0</v>
      </c>
      <c r="CT147" s="456">
        <v>0</v>
      </c>
      <c r="CU147" s="456">
        <v>0</v>
      </c>
      <c r="CV147" s="481">
        <v>1699.5833333333333</v>
      </c>
      <c r="CW147" s="481">
        <v>2511.1458333333335</v>
      </c>
      <c r="CX147" s="481">
        <v>1794.7916666666667</v>
      </c>
      <c r="CY147" s="481">
        <v>1152.3900000000001</v>
      </c>
      <c r="CZ147" s="456"/>
      <c r="DA147" s="456"/>
      <c r="DB147" s="456"/>
      <c r="DC147" s="456"/>
      <c r="DD147" s="456"/>
      <c r="DE147" s="456"/>
      <c r="DF147" s="456"/>
      <c r="DG147" s="425"/>
      <c r="DH147" s="456">
        <v>0</v>
      </c>
      <c r="DI147" s="456">
        <v>0.44</v>
      </c>
      <c r="DJ147" s="456">
        <v>0.7</v>
      </c>
      <c r="DK147" s="425"/>
      <c r="DL147" s="456"/>
      <c r="DM147" s="456"/>
      <c r="DN147" s="456"/>
      <c r="DO147" s="456"/>
      <c r="DP147" s="456"/>
      <c r="DQ147" s="456"/>
      <c r="DR147" s="456"/>
      <c r="DS147" s="456"/>
      <c r="DT147" s="456"/>
      <c r="DU147" s="456"/>
      <c r="DV147" s="456"/>
      <c r="DW147" s="456"/>
      <c r="DX147" s="456"/>
      <c r="DY147" s="456"/>
      <c r="DZ147" s="456"/>
      <c r="EA147" s="456"/>
      <c r="EB147" s="456"/>
      <c r="EC147" s="456"/>
      <c r="ED147" s="423">
        <v>0</v>
      </c>
      <c r="EE147" s="456">
        <v>0</v>
      </c>
      <c r="EF147" s="456">
        <v>2.5</v>
      </c>
      <c r="EG147" s="456">
        <v>6</v>
      </c>
      <c r="EH147" s="423">
        <v>0</v>
      </c>
      <c r="EI147" s="456"/>
      <c r="EJ147" s="456"/>
      <c r="EK147" s="456"/>
      <c r="EL147" s="456"/>
      <c r="EM147" s="456"/>
      <c r="EN147" s="456"/>
      <c r="EO147" s="425"/>
      <c r="EP147" s="425"/>
      <c r="EQ147" s="425" t="s">
        <v>743</v>
      </c>
      <c r="ER147" s="425">
        <v>1</v>
      </c>
      <c r="ES147" s="425">
        <v>2</v>
      </c>
      <c r="ET147" s="425">
        <v>1550</v>
      </c>
      <c r="EU147" s="457">
        <v>4000</v>
      </c>
      <c r="EV147" s="425">
        <v>330</v>
      </c>
      <c r="EW147" s="425">
        <v>6872950</v>
      </c>
      <c r="EX147" s="425">
        <v>48331</v>
      </c>
      <c r="EY147" s="666">
        <v>18.88</v>
      </c>
      <c r="EZ147" s="666">
        <v>11.5</v>
      </c>
      <c r="FA147" s="666">
        <v>0</v>
      </c>
      <c r="FB147" s="666">
        <v>1.35</v>
      </c>
      <c r="FC147" s="666">
        <v>1.36</v>
      </c>
      <c r="FD147" s="666">
        <v>1.26</v>
      </c>
      <c r="FE147" s="666">
        <v>1.29</v>
      </c>
      <c r="FF147" s="666">
        <v>270</v>
      </c>
      <c r="FG147" s="666">
        <v>1.54</v>
      </c>
      <c r="FH147" s="666">
        <v>0.86</v>
      </c>
      <c r="FI147" s="666">
        <v>1.46</v>
      </c>
      <c r="FJ147" s="666">
        <v>7.86</v>
      </c>
      <c r="FK147" s="666">
        <v>7.9</v>
      </c>
      <c r="FL147" s="666">
        <v>7.9</v>
      </c>
      <c r="FM147" s="666">
        <v>7.6</v>
      </c>
      <c r="FN147" s="666">
        <v>0</v>
      </c>
    </row>
    <row r="148" spans="1:170" s="416" customFormat="1" ht="15">
      <c r="A148" s="425" t="s">
        <v>9</v>
      </c>
      <c r="B148" s="426">
        <v>40677</v>
      </c>
      <c r="C148" s="418">
        <v>0</v>
      </c>
      <c r="D148" s="518">
        <v>1.02</v>
      </c>
      <c r="E148" s="453">
        <v>0</v>
      </c>
      <c r="F148" s="453">
        <v>50</v>
      </c>
      <c r="G148" s="453">
        <v>2.1</v>
      </c>
      <c r="H148" s="519">
        <v>2.15</v>
      </c>
      <c r="I148" s="519">
        <v>92.7</v>
      </c>
      <c r="J148" s="483">
        <v>1.68</v>
      </c>
      <c r="K148" s="520" t="s">
        <v>742</v>
      </c>
      <c r="L148" s="453">
        <v>0</v>
      </c>
      <c r="M148" s="453">
        <v>25.2</v>
      </c>
      <c r="N148" s="453">
        <v>1.62</v>
      </c>
      <c r="O148" s="453">
        <v>2.2668140309321703</v>
      </c>
      <c r="P148" s="453" t="s">
        <v>742</v>
      </c>
      <c r="Q148" s="453" t="s">
        <v>742</v>
      </c>
      <c r="R148" s="453">
        <v>1049.1279313077937</v>
      </c>
      <c r="S148" s="453">
        <v>7.87</v>
      </c>
      <c r="T148" s="453" t="s">
        <v>742</v>
      </c>
      <c r="U148" s="453">
        <v>0.65</v>
      </c>
      <c r="V148" s="453" t="s">
        <v>742</v>
      </c>
      <c r="W148" s="453">
        <v>48.739999999999995</v>
      </c>
      <c r="X148" s="456" t="e">
        <v>#VALUE!</v>
      </c>
      <c r="Y148" s="453">
        <v>30.24</v>
      </c>
      <c r="Z148" s="453">
        <v>24.18</v>
      </c>
      <c r="AA148" s="519">
        <v>30.010000000009313</v>
      </c>
      <c r="AB148" s="519">
        <v>24.100000000005821</v>
      </c>
      <c r="AC148" s="732">
        <f t="shared" si="2"/>
        <v>54.110000000015134</v>
      </c>
      <c r="AD148" s="664"/>
      <c r="AE148" s="664"/>
      <c r="AF148" s="664"/>
      <c r="AG148" s="664"/>
      <c r="AH148" s="664"/>
      <c r="AI148" s="664"/>
      <c r="AJ148" s="485"/>
      <c r="AK148" s="485"/>
      <c r="AL148" s="485"/>
      <c r="AM148" s="485"/>
      <c r="AN148" s="485"/>
      <c r="AO148" s="665"/>
      <c r="AP148" s="485"/>
      <c r="AQ148" s="483"/>
      <c r="AR148" s="755">
        <v>0</v>
      </c>
      <c r="AS148" s="483">
        <v>35.200000000000003</v>
      </c>
      <c r="AT148" s="755">
        <v>0</v>
      </c>
      <c r="AU148" s="483">
        <v>31</v>
      </c>
      <c r="AV148" s="484">
        <v>552</v>
      </c>
      <c r="AW148" s="484">
        <v>584.5</v>
      </c>
      <c r="AX148" s="453">
        <v>0</v>
      </c>
      <c r="AY148" s="734">
        <v>0</v>
      </c>
      <c r="AZ148" s="734">
        <v>0</v>
      </c>
      <c r="BA148" s="734">
        <v>0</v>
      </c>
      <c r="BB148" s="453">
        <v>0</v>
      </c>
      <c r="BC148" s="453">
        <v>0.78</v>
      </c>
      <c r="BD148" s="453">
        <v>1.24</v>
      </c>
      <c r="BE148" s="734">
        <v>0</v>
      </c>
      <c r="BF148" s="453">
        <v>0.52</v>
      </c>
      <c r="BG148" s="453">
        <v>0</v>
      </c>
      <c r="BH148" s="734">
        <v>0</v>
      </c>
      <c r="BI148" s="453">
        <v>0</v>
      </c>
      <c r="BJ148" s="453">
        <v>21.4</v>
      </c>
      <c r="BK148" s="453">
        <v>2.72</v>
      </c>
      <c r="BL148" s="453">
        <v>3.3</v>
      </c>
      <c r="BM148" s="453">
        <v>0</v>
      </c>
      <c r="BN148" s="453">
        <v>15.2</v>
      </c>
      <c r="BO148" s="453">
        <v>1336.2</v>
      </c>
      <c r="BP148" s="453">
        <v>0</v>
      </c>
      <c r="BQ148" s="453">
        <v>17.5</v>
      </c>
      <c r="BR148" s="453">
        <v>8.0299999999999994</v>
      </c>
      <c r="BS148" s="453">
        <v>0</v>
      </c>
      <c r="BT148" s="453">
        <v>31.2</v>
      </c>
      <c r="BU148" s="453">
        <v>27.8</v>
      </c>
      <c r="BV148" s="456">
        <v>320.10000000000002</v>
      </c>
      <c r="BW148" s="453">
        <v>0.98</v>
      </c>
      <c r="BX148" s="453">
        <v>1.45</v>
      </c>
      <c r="BY148" s="456">
        <v>1.0900000000000001</v>
      </c>
      <c r="BZ148" s="456">
        <v>15.5</v>
      </c>
      <c r="CA148" s="456">
        <v>33.700000000000003</v>
      </c>
      <c r="CB148" s="456">
        <v>12.8</v>
      </c>
      <c r="CC148" s="456">
        <v>8.6999999999999993</v>
      </c>
      <c r="CD148" s="456">
        <v>12.96</v>
      </c>
      <c r="CE148" s="456">
        <v>17</v>
      </c>
      <c r="CF148" s="456">
        <v>13.19</v>
      </c>
      <c r="CG148" s="456">
        <v>532.41999999999996</v>
      </c>
      <c r="CH148" s="456">
        <v>2.1</v>
      </c>
      <c r="CI148" s="456">
        <v>2.4</v>
      </c>
      <c r="CJ148" s="456">
        <v>464.2</v>
      </c>
      <c r="CK148" s="456">
        <v>431</v>
      </c>
      <c r="CL148" s="456">
        <v>497.4</v>
      </c>
      <c r="CM148" s="456">
        <v>11.4</v>
      </c>
      <c r="CN148" s="456">
        <v>1.83</v>
      </c>
      <c r="CO148" s="453">
        <v>0</v>
      </c>
      <c r="CP148" s="453">
        <v>15.58</v>
      </c>
      <c r="CQ148" s="453">
        <v>49</v>
      </c>
      <c r="CR148" s="456">
        <v>0</v>
      </c>
      <c r="CS148" s="456">
        <v>0</v>
      </c>
      <c r="CT148" s="456">
        <v>0</v>
      </c>
      <c r="CU148" s="456">
        <v>0</v>
      </c>
      <c r="CV148" s="481">
        <v>1699.5833333333333</v>
      </c>
      <c r="CW148" s="481">
        <v>2496.9791666666665</v>
      </c>
      <c r="CX148" s="481">
        <v>1795.4166666666667</v>
      </c>
      <c r="CY148" s="481">
        <v>1152.93</v>
      </c>
      <c r="CZ148" s="456"/>
      <c r="DA148" s="456"/>
      <c r="DB148" s="456"/>
      <c r="DC148" s="456"/>
      <c r="DD148" s="456"/>
      <c r="DE148" s="456"/>
      <c r="DF148" s="456"/>
      <c r="DG148" s="425"/>
      <c r="DH148" s="456">
        <v>0</v>
      </c>
      <c r="DI148" s="456">
        <v>0.52</v>
      </c>
      <c r="DJ148" s="456">
        <v>0.61</v>
      </c>
      <c r="DK148" s="425"/>
      <c r="DL148" s="456"/>
      <c r="DM148" s="456"/>
      <c r="DN148" s="456"/>
      <c r="DO148" s="456"/>
      <c r="DP148" s="456"/>
      <c r="DQ148" s="456"/>
      <c r="DR148" s="456"/>
      <c r="DS148" s="456"/>
      <c r="DT148" s="456"/>
      <c r="DU148" s="456"/>
      <c r="DV148" s="456"/>
      <c r="DW148" s="456"/>
      <c r="DX148" s="456"/>
      <c r="DY148" s="456"/>
      <c r="DZ148" s="456"/>
      <c r="EA148" s="456"/>
      <c r="EB148" s="456"/>
      <c r="EC148" s="456"/>
      <c r="ED148" s="423">
        <v>0</v>
      </c>
      <c r="EE148" s="456">
        <v>0</v>
      </c>
      <c r="EF148" s="456">
        <v>2.5</v>
      </c>
      <c r="EG148" s="456">
        <v>6</v>
      </c>
      <c r="EH148" s="423">
        <v>0</v>
      </c>
      <c r="EI148" s="456"/>
      <c r="EJ148" s="456"/>
      <c r="EK148" s="456"/>
      <c r="EL148" s="456"/>
      <c r="EM148" s="456"/>
      <c r="EN148" s="456"/>
      <c r="EO148" s="425"/>
      <c r="EP148" s="425"/>
      <c r="EQ148" s="425" t="s">
        <v>743</v>
      </c>
      <c r="ER148" s="425">
        <v>1</v>
      </c>
      <c r="ES148" s="425">
        <v>2</v>
      </c>
      <c r="ET148" s="425">
        <v>1300</v>
      </c>
      <c r="EU148" s="457">
        <v>4000</v>
      </c>
      <c r="EV148" s="425">
        <v>240</v>
      </c>
      <c r="EW148" s="425">
        <v>6875664</v>
      </c>
      <c r="EX148" s="425">
        <v>48331</v>
      </c>
      <c r="EY148" s="666">
        <v>18.649999999999999</v>
      </c>
      <c r="EZ148" s="666">
        <v>6.2</v>
      </c>
      <c r="FA148" s="666">
        <v>0</v>
      </c>
      <c r="FB148" s="666">
        <v>1.4</v>
      </c>
      <c r="FC148" s="666">
        <v>1.39</v>
      </c>
      <c r="FD148" s="666">
        <v>1.21</v>
      </c>
      <c r="FE148" s="666">
        <v>1.19</v>
      </c>
      <c r="FF148" s="666">
        <v>250</v>
      </c>
      <c r="FG148" s="666">
        <v>1.69</v>
      </c>
      <c r="FH148" s="666">
        <v>0.89</v>
      </c>
      <c r="FI148" s="666">
        <v>1.5</v>
      </c>
      <c r="FJ148" s="666">
        <v>8</v>
      </c>
      <c r="FK148" s="666">
        <v>8</v>
      </c>
      <c r="FL148" s="666">
        <v>7.97</v>
      </c>
      <c r="FM148" s="666">
        <v>7.6</v>
      </c>
      <c r="FN148" s="666">
        <v>0</v>
      </c>
    </row>
    <row r="149" spans="1:170" s="416" customFormat="1" ht="15">
      <c r="A149" s="425" t="s">
        <v>3</v>
      </c>
      <c r="B149" s="426">
        <v>40678</v>
      </c>
      <c r="C149" s="418">
        <v>0</v>
      </c>
      <c r="D149" s="518">
        <v>1.44</v>
      </c>
      <c r="E149" s="453">
        <v>0</v>
      </c>
      <c r="F149" s="453">
        <v>45</v>
      </c>
      <c r="G149" s="453">
        <v>3.95</v>
      </c>
      <c r="H149" s="519">
        <v>4.93</v>
      </c>
      <c r="I149" s="519">
        <v>92.7</v>
      </c>
      <c r="J149" s="483">
        <v>2.61</v>
      </c>
      <c r="K149" s="520" t="s">
        <v>742</v>
      </c>
      <c r="L149" s="453">
        <v>0</v>
      </c>
      <c r="M149" s="453">
        <v>26.1</v>
      </c>
      <c r="N149" s="453">
        <v>1.58</v>
      </c>
      <c r="O149" s="453">
        <v>1.9971763810543208</v>
      </c>
      <c r="P149" s="453" t="s">
        <v>742</v>
      </c>
      <c r="Q149" s="453" t="s">
        <v>742</v>
      </c>
      <c r="R149" s="453">
        <v>1019.0047767503301</v>
      </c>
      <c r="S149" s="453">
        <v>7.78</v>
      </c>
      <c r="T149" s="453" t="s">
        <v>742</v>
      </c>
      <c r="U149" s="453">
        <v>0.65</v>
      </c>
      <c r="V149" s="453" t="s">
        <v>742</v>
      </c>
      <c r="W149" s="453">
        <v>49.100000000000009</v>
      </c>
      <c r="X149" s="456" t="e">
        <v>#VALUE!</v>
      </c>
      <c r="Y149" s="453">
        <v>29.86</v>
      </c>
      <c r="Z149" s="453">
        <v>23.61</v>
      </c>
      <c r="AA149" s="519">
        <v>30.029999999998836</v>
      </c>
      <c r="AB149" s="519">
        <v>22.399999999994179</v>
      </c>
      <c r="AC149" s="732">
        <f t="shared" si="2"/>
        <v>52.429999999993015</v>
      </c>
      <c r="AD149" s="664"/>
      <c r="AE149" s="664"/>
      <c r="AF149" s="664"/>
      <c r="AG149" s="664"/>
      <c r="AH149" s="664"/>
      <c r="AI149" s="664"/>
      <c r="AJ149" s="485"/>
      <c r="AK149" s="485"/>
      <c r="AL149" s="485"/>
      <c r="AM149" s="485"/>
      <c r="AN149" s="485"/>
      <c r="AO149" s="665"/>
      <c r="AP149" s="485"/>
      <c r="AQ149" s="483"/>
      <c r="AR149" s="755">
        <v>0</v>
      </c>
      <c r="AS149" s="483">
        <v>18.2</v>
      </c>
      <c r="AT149" s="755">
        <v>0</v>
      </c>
      <c r="AU149" s="483">
        <v>31.2</v>
      </c>
      <c r="AV149" s="484">
        <v>507.6</v>
      </c>
      <c r="AW149" s="484">
        <v>589.4</v>
      </c>
      <c r="AX149" s="453">
        <v>0</v>
      </c>
      <c r="AY149" s="734">
        <v>0</v>
      </c>
      <c r="AZ149" s="734">
        <v>0</v>
      </c>
      <c r="BA149" s="734">
        <v>0</v>
      </c>
      <c r="BB149" s="453">
        <v>0</v>
      </c>
      <c r="BC149" s="453">
        <v>0.54</v>
      </c>
      <c r="BD149" s="453">
        <v>0.85</v>
      </c>
      <c r="BE149" s="734">
        <v>0</v>
      </c>
      <c r="BF149" s="453">
        <v>0.37</v>
      </c>
      <c r="BG149" s="453">
        <v>0</v>
      </c>
      <c r="BH149" s="734">
        <v>0</v>
      </c>
      <c r="BI149" s="453">
        <v>0</v>
      </c>
      <c r="BJ149" s="453">
        <v>20.6</v>
      </c>
      <c r="BK149" s="453">
        <v>1.94</v>
      </c>
      <c r="BL149" s="453">
        <v>2.33</v>
      </c>
      <c r="BM149" s="453">
        <v>0</v>
      </c>
      <c r="BN149" s="453">
        <v>16.2</v>
      </c>
      <c r="BO149" s="453">
        <v>1198.2</v>
      </c>
      <c r="BP149" s="453">
        <v>0</v>
      </c>
      <c r="BQ149" s="453">
        <v>17.600000000000001</v>
      </c>
      <c r="BR149" s="453">
        <v>3.7</v>
      </c>
      <c r="BS149" s="453">
        <v>0</v>
      </c>
      <c r="BT149" s="453">
        <v>31.1</v>
      </c>
      <c r="BU149" s="453">
        <v>26.4</v>
      </c>
      <c r="BV149" s="456">
        <v>70.400000000000006</v>
      </c>
      <c r="BW149" s="453">
        <v>0.98</v>
      </c>
      <c r="BX149" s="453">
        <v>1.44</v>
      </c>
      <c r="BY149" s="456">
        <v>1.1200000000000001</v>
      </c>
      <c r="BZ149" s="456">
        <v>15</v>
      </c>
      <c r="CA149" s="456">
        <v>34</v>
      </c>
      <c r="CB149" s="456">
        <v>15.4</v>
      </c>
      <c r="CC149" s="456">
        <v>7.8</v>
      </c>
      <c r="CD149" s="456">
        <v>12</v>
      </c>
      <c r="CE149" s="456">
        <v>16.100000000000001</v>
      </c>
      <c r="CF149" s="456">
        <v>12.9</v>
      </c>
      <c r="CG149" s="456">
        <v>331.2</v>
      </c>
      <c r="CH149" s="456">
        <v>1.9</v>
      </c>
      <c r="CI149" s="456">
        <v>3</v>
      </c>
      <c r="CJ149" s="456">
        <v>481.4</v>
      </c>
      <c r="CK149" s="456">
        <v>409.1</v>
      </c>
      <c r="CL149" s="456">
        <v>508.3</v>
      </c>
      <c r="CM149" s="456">
        <v>11</v>
      </c>
      <c r="CN149" s="456">
        <v>1.7</v>
      </c>
      <c r="CO149" s="453">
        <v>0</v>
      </c>
      <c r="CP149" s="453">
        <v>15.7</v>
      </c>
      <c r="CQ149" s="453">
        <v>49</v>
      </c>
      <c r="CR149" s="456">
        <v>0</v>
      </c>
      <c r="CS149" s="456">
        <v>0</v>
      </c>
      <c r="CT149" s="456">
        <v>0</v>
      </c>
      <c r="CU149" s="456">
        <v>0</v>
      </c>
      <c r="CV149" s="481">
        <v>1699.5833333333333</v>
      </c>
      <c r="CW149" s="481">
        <v>3056.4583333333335</v>
      </c>
      <c r="CX149" s="481">
        <v>2915.73</v>
      </c>
      <c r="CY149" s="481">
        <v>1161.33</v>
      </c>
      <c r="CZ149" s="456"/>
      <c r="DA149" s="456"/>
      <c r="DB149" s="456"/>
      <c r="DC149" s="456"/>
      <c r="DD149" s="456"/>
      <c r="DE149" s="456"/>
      <c r="DF149" s="456"/>
      <c r="DG149" s="425"/>
      <c r="DH149" s="456">
        <v>0</v>
      </c>
      <c r="DI149" s="456">
        <v>0.41</v>
      </c>
      <c r="DJ149" s="456">
        <v>0.82</v>
      </c>
      <c r="DK149" s="425"/>
      <c r="DL149" s="456"/>
      <c r="DM149" s="456"/>
      <c r="DN149" s="456"/>
      <c r="DO149" s="456"/>
      <c r="DP149" s="456"/>
      <c r="DQ149" s="456"/>
      <c r="DR149" s="456"/>
      <c r="DS149" s="456"/>
      <c r="DT149" s="456"/>
      <c r="DU149" s="456"/>
      <c r="DV149" s="456"/>
      <c r="DW149" s="456"/>
      <c r="DX149" s="456"/>
      <c r="DY149" s="456"/>
      <c r="DZ149" s="456"/>
      <c r="EA149" s="456"/>
      <c r="EB149" s="456"/>
      <c r="EC149" s="456"/>
      <c r="ED149" s="423">
        <v>0</v>
      </c>
      <c r="EE149" s="456">
        <v>0</v>
      </c>
      <c r="EF149" s="456">
        <v>2.5</v>
      </c>
      <c r="EG149" s="456">
        <v>6</v>
      </c>
      <c r="EH149" s="423">
        <v>0</v>
      </c>
      <c r="EI149" s="456"/>
      <c r="EJ149" s="456"/>
      <c r="EK149" s="456"/>
      <c r="EL149" s="456"/>
      <c r="EM149" s="456"/>
      <c r="EN149" s="456"/>
      <c r="EO149" s="425"/>
      <c r="EP149" s="425"/>
      <c r="EQ149" s="425" t="s">
        <v>743</v>
      </c>
      <c r="ER149" s="425">
        <v>1</v>
      </c>
      <c r="ES149" s="425">
        <v>2</v>
      </c>
      <c r="ET149" s="425">
        <v>1100</v>
      </c>
      <c r="EU149" s="457">
        <v>4000</v>
      </c>
      <c r="EV149" s="425">
        <v>180</v>
      </c>
      <c r="EW149" s="425">
        <v>6878161</v>
      </c>
      <c r="EX149" s="425">
        <v>48331</v>
      </c>
      <c r="EY149" s="666">
        <v>18.399999999999999</v>
      </c>
      <c r="EZ149" s="666">
        <v>3.45</v>
      </c>
      <c r="FA149" s="666">
        <v>0</v>
      </c>
      <c r="FB149" s="666">
        <v>1.38</v>
      </c>
      <c r="FC149" s="666">
        <v>1.4</v>
      </c>
      <c r="FD149" s="666">
        <v>1.2</v>
      </c>
      <c r="FE149" s="666">
        <v>1.19</v>
      </c>
      <c r="FF149" s="666">
        <v>200</v>
      </c>
      <c r="FG149" s="666">
        <v>2.4700000000000002</v>
      </c>
      <c r="FH149" s="666">
        <v>1</v>
      </c>
      <c r="FI149" s="666">
        <v>1.82</v>
      </c>
      <c r="FJ149" s="666">
        <v>8.1199999999999992</v>
      </c>
      <c r="FK149" s="666">
        <v>8.1</v>
      </c>
      <c r="FL149" s="666">
        <v>7.96</v>
      </c>
      <c r="FM149" s="666">
        <v>7.4</v>
      </c>
      <c r="FN149" s="666">
        <v>0</v>
      </c>
    </row>
    <row r="150" spans="1:170" s="416" customFormat="1" ht="15">
      <c r="A150" s="425" t="s">
        <v>4</v>
      </c>
      <c r="B150" s="426">
        <v>40679</v>
      </c>
      <c r="C150" s="418">
        <v>0</v>
      </c>
      <c r="D150" s="518">
        <v>0.11</v>
      </c>
      <c r="E150" s="453">
        <v>0</v>
      </c>
      <c r="F150" s="453">
        <v>39.5</v>
      </c>
      <c r="G150" s="453">
        <v>4.0999999999999996</v>
      </c>
      <c r="H150" s="519">
        <v>25.42</v>
      </c>
      <c r="I150" s="519">
        <v>96.3</v>
      </c>
      <c r="J150" s="483">
        <v>2.91</v>
      </c>
      <c r="K150" s="520" t="s">
        <v>742</v>
      </c>
      <c r="L150" s="453">
        <v>34.75</v>
      </c>
      <c r="M150" s="453">
        <v>22.3</v>
      </c>
      <c r="N150" s="453">
        <v>1.53</v>
      </c>
      <c r="O150" s="453">
        <v>2.5752581939252339</v>
      </c>
      <c r="P150" s="453" t="s">
        <v>742</v>
      </c>
      <c r="Q150" s="453" t="s">
        <v>742</v>
      </c>
      <c r="R150" s="453">
        <v>839.56146895640677</v>
      </c>
      <c r="S150" s="453">
        <v>7.89</v>
      </c>
      <c r="T150" s="453" t="s">
        <v>742</v>
      </c>
      <c r="U150" s="453">
        <v>0.66</v>
      </c>
      <c r="V150" s="453" t="s">
        <v>742</v>
      </c>
      <c r="W150" s="453">
        <v>50</v>
      </c>
      <c r="X150" s="456" t="e">
        <v>#VALUE!</v>
      </c>
      <c r="Y150" s="453">
        <v>30.37</v>
      </c>
      <c r="Z150" s="453">
        <v>18.41</v>
      </c>
      <c r="AA150" s="519">
        <v>30.559999999997672</v>
      </c>
      <c r="AB150" s="519">
        <v>17.55000000000291</v>
      </c>
      <c r="AC150" s="732">
        <f t="shared" si="2"/>
        <v>48.110000000000582</v>
      </c>
      <c r="AD150" s="664"/>
      <c r="AE150" s="664"/>
      <c r="AF150" s="664"/>
      <c r="AG150" s="664"/>
      <c r="AH150" s="664"/>
      <c r="AI150" s="664"/>
      <c r="AJ150" s="485"/>
      <c r="AK150" s="485"/>
      <c r="AL150" s="485"/>
      <c r="AM150" s="485"/>
      <c r="AN150" s="485"/>
      <c r="AO150" s="665"/>
      <c r="AP150" s="485"/>
      <c r="AQ150" s="483"/>
      <c r="AR150" s="755">
        <v>0</v>
      </c>
      <c r="AS150" s="483">
        <v>17.8</v>
      </c>
      <c r="AT150" s="755">
        <v>0</v>
      </c>
      <c r="AU150" s="483">
        <v>31.6</v>
      </c>
      <c r="AV150" s="484">
        <v>277</v>
      </c>
      <c r="AW150" s="484">
        <v>314.39999999999998</v>
      </c>
      <c r="AX150" s="453">
        <v>0</v>
      </c>
      <c r="AY150" s="734">
        <v>0</v>
      </c>
      <c r="AZ150" s="734">
        <v>0</v>
      </c>
      <c r="BA150" s="734">
        <v>0</v>
      </c>
      <c r="BB150" s="453">
        <v>0</v>
      </c>
      <c r="BC150" s="453">
        <v>0</v>
      </c>
      <c r="BD150" s="453">
        <v>0</v>
      </c>
      <c r="BE150" s="734">
        <v>0</v>
      </c>
      <c r="BF150" s="453">
        <v>0</v>
      </c>
      <c r="BG150" s="453">
        <v>0</v>
      </c>
      <c r="BH150" s="734">
        <v>0</v>
      </c>
      <c r="BI150" s="453">
        <v>0</v>
      </c>
      <c r="BJ150" s="453">
        <v>18.100000000000001</v>
      </c>
      <c r="BK150" s="453">
        <v>0</v>
      </c>
      <c r="BL150" s="453">
        <v>0</v>
      </c>
      <c r="BM150" s="453">
        <v>0</v>
      </c>
      <c r="BN150" s="453">
        <v>17.899999999999999</v>
      </c>
      <c r="BO150" s="453">
        <v>1542.6</v>
      </c>
      <c r="BP150" s="453">
        <v>5</v>
      </c>
      <c r="BQ150" s="453">
        <v>18.600000000000001</v>
      </c>
      <c r="BR150" s="453">
        <v>1.1000000000000001</v>
      </c>
      <c r="BS150" s="453">
        <v>0</v>
      </c>
      <c r="BT150" s="453">
        <v>32.200000000000003</v>
      </c>
      <c r="BU150" s="453">
        <v>24.6</v>
      </c>
      <c r="BV150" s="456">
        <v>43.7</v>
      </c>
      <c r="BW150" s="453">
        <v>1</v>
      </c>
      <c r="BX150" s="453">
        <v>1.53</v>
      </c>
      <c r="BY150" s="456">
        <v>1.0900000000000001</v>
      </c>
      <c r="BZ150" s="456">
        <v>14.4</v>
      </c>
      <c r="CA150" s="456">
        <v>33.700000000000003</v>
      </c>
      <c r="CB150" s="456">
        <v>14.6</v>
      </c>
      <c r="CC150" s="456">
        <v>9.4</v>
      </c>
      <c r="CD150" s="456">
        <v>13.7</v>
      </c>
      <c r="CE150" s="456">
        <v>17.8</v>
      </c>
      <c r="CF150" s="456">
        <v>12.63</v>
      </c>
      <c r="CG150" s="456">
        <v>533.9</v>
      </c>
      <c r="CH150" s="456">
        <v>1.9</v>
      </c>
      <c r="CI150" s="456">
        <v>3.2</v>
      </c>
      <c r="CJ150" s="456">
        <v>401.1</v>
      </c>
      <c r="CK150" s="456">
        <v>397.5</v>
      </c>
      <c r="CL150" s="456">
        <v>542.9</v>
      </c>
      <c r="CM150" s="456">
        <v>12.2</v>
      </c>
      <c r="CN150" s="456">
        <v>1.86</v>
      </c>
      <c r="CO150" s="453">
        <v>0</v>
      </c>
      <c r="CP150" s="453">
        <v>16.079999999999998</v>
      </c>
      <c r="CQ150" s="453">
        <v>49</v>
      </c>
      <c r="CR150" s="456">
        <v>0</v>
      </c>
      <c r="CS150" s="456">
        <v>0</v>
      </c>
      <c r="CT150" s="456">
        <v>0</v>
      </c>
      <c r="CU150" s="456">
        <v>0</v>
      </c>
      <c r="CV150" s="481">
        <v>1699.5833333333333</v>
      </c>
      <c r="CW150" s="481">
        <v>6158.125</v>
      </c>
      <c r="CX150" s="481">
        <v>4462.604166666667</v>
      </c>
      <c r="CY150" s="481">
        <v>1163.69</v>
      </c>
      <c r="CZ150" s="456"/>
      <c r="DA150" s="456"/>
      <c r="DB150" s="456"/>
      <c r="DC150" s="456"/>
      <c r="DD150" s="456"/>
      <c r="DE150" s="456"/>
      <c r="DF150" s="456"/>
      <c r="DG150" s="425"/>
      <c r="DH150" s="456">
        <v>0</v>
      </c>
      <c r="DI150" s="456">
        <v>0.49</v>
      </c>
      <c r="DJ150" s="456">
        <v>0.79</v>
      </c>
      <c r="DK150" s="425"/>
      <c r="DL150" s="456"/>
      <c r="DM150" s="456"/>
      <c r="DN150" s="456"/>
      <c r="DO150" s="456"/>
      <c r="DP150" s="456"/>
      <c r="DQ150" s="456"/>
      <c r="DR150" s="456"/>
      <c r="DS150" s="456"/>
      <c r="DT150" s="456"/>
      <c r="DU150" s="456"/>
      <c r="DV150" s="456"/>
      <c r="DW150" s="456"/>
      <c r="DX150" s="456"/>
      <c r="DY150" s="456"/>
      <c r="DZ150" s="456"/>
      <c r="EA150" s="456"/>
      <c r="EB150" s="456"/>
      <c r="EC150" s="456"/>
      <c r="ED150" s="423">
        <v>0</v>
      </c>
      <c r="EE150" s="456">
        <v>0</v>
      </c>
      <c r="EF150" s="456">
        <v>2.5</v>
      </c>
      <c r="EG150" s="456">
        <v>6</v>
      </c>
      <c r="EH150" s="423">
        <v>0</v>
      </c>
      <c r="EI150" s="456"/>
      <c r="EJ150" s="456"/>
      <c r="EK150" s="456"/>
      <c r="EL150" s="456"/>
      <c r="EM150" s="456"/>
      <c r="EN150" s="456"/>
      <c r="EO150" s="425"/>
      <c r="EP150" s="425"/>
      <c r="EQ150" s="425" t="s">
        <v>743</v>
      </c>
      <c r="ER150" s="425">
        <v>1</v>
      </c>
      <c r="ES150" s="425">
        <v>2</v>
      </c>
      <c r="ET150" s="425">
        <v>890</v>
      </c>
      <c r="EU150" s="457">
        <v>4000</v>
      </c>
      <c r="EV150" s="425">
        <v>230</v>
      </c>
      <c r="EW150" s="425">
        <v>6880618</v>
      </c>
      <c r="EX150" s="425">
        <v>48331</v>
      </c>
      <c r="EY150" s="666">
        <v>19.18</v>
      </c>
      <c r="EZ150" s="666">
        <v>0</v>
      </c>
      <c r="FA150" s="666">
        <v>0</v>
      </c>
      <c r="FB150" s="666">
        <v>1.59</v>
      </c>
      <c r="FC150" s="666">
        <v>1.45</v>
      </c>
      <c r="FD150" s="666">
        <v>1.123</v>
      </c>
      <c r="FE150" s="666">
        <v>1.19</v>
      </c>
      <c r="FF150" s="666">
        <v>210</v>
      </c>
      <c r="FG150" s="666">
        <v>0.62</v>
      </c>
      <c r="FH150" s="666">
        <v>0.81699999999999995</v>
      </c>
      <c r="FI150" s="666">
        <v>1.48</v>
      </c>
      <c r="FJ150" s="666">
        <v>8.0299999999999994</v>
      </c>
      <c r="FK150" s="666">
        <v>8.1</v>
      </c>
      <c r="FL150" s="666">
        <v>7.89</v>
      </c>
      <c r="FM150" s="666">
        <v>8</v>
      </c>
      <c r="FN150" s="666">
        <v>0</v>
      </c>
    </row>
    <row r="151" spans="1:170" s="416" customFormat="1" ht="15">
      <c r="A151" s="425" t="s">
        <v>5</v>
      </c>
      <c r="B151" s="426">
        <v>40680</v>
      </c>
      <c r="C151" s="418">
        <v>0</v>
      </c>
      <c r="D151" s="518">
        <v>0</v>
      </c>
      <c r="E151" s="453">
        <v>0</v>
      </c>
      <c r="F151" s="453">
        <v>45</v>
      </c>
      <c r="G151" s="453">
        <v>3.8</v>
      </c>
      <c r="H151" s="519">
        <v>33.9</v>
      </c>
      <c r="I151" s="519">
        <v>99.7</v>
      </c>
      <c r="J151" s="483">
        <v>0.12</v>
      </c>
      <c r="K151" s="520" t="s">
        <v>742</v>
      </c>
      <c r="L151" s="453">
        <v>46</v>
      </c>
      <c r="M151" s="453">
        <v>21.2</v>
      </c>
      <c r="N151" s="453">
        <v>1.41</v>
      </c>
      <c r="O151" s="453">
        <v>1.8709551433002125</v>
      </c>
      <c r="P151" s="453" t="s">
        <v>742</v>
      </c>
      <c r="Q151" s="453" t="s">
        <v>742</v>
      </c>
      <c r="R151" s="453">
        <v>717.77323117569335</v>
      </c>
      <c r="S151" s="453">
        <v>7.93</v>
      </c>
      <c r="T151" s="453" t="s">
        <v>742</v>
      </c>
      <c r="U151" s="453">
        <v>0.66</v>
      </c>
      <c r="V151" s="453" t="s">
        <v>742</v>
      </c>
      <c r="W151" s="453">
        <v>46.400000000000006</v>
      </c>
      <c r="X151" s="456" t="e">
        <v>#VALUE!</v>
      </c>
      <c r="Y151" s="453">
        <v>31.22</v>
      </c>
      <c r="Z151" s="453">
        <v>16.11</v>
      </c>
      <c r="AA151" s="519">
        <v>31</v>
      </c>
      <c r="AB151" s="519">
        <v>16</v>
      </c>
      <c r="AC151" s="732">
        <f t="shared" si="2"/>
        <v>47</v>
      </c>
      <c r="AD151" s="664"/>
      <c r="AE151" s="664"/>
      <c r="AF151" s="664"/>
      <c r="AG151" s="664"/>
      <c r="AH151" s="664"/>
      <c r="AI151" s="664"/>
      <c r="AJ151" s="485"/>
      <c r="AK151" s="485"/>
      <c r="AL151" s="485"/>
      <c r="AM151" s="485"/>
      <c r="AN151" s="485"/>
      <c r="AO151" s="665"/>
      <c r="AP151" s="485"/>
      <c r="AQ151" s="483"/>
      <c r="AR151" s="755">
        <v>0</v>
      </c>
      <c r="AS151" s="483">
        <v>17.8</v>
      </c>
      <c r="AT151" s="755">
        <v>0</v>
      </c>
      <c r="AU151" s="483">
        <v>32.799999999999997</v>
      </c>
      <c r="AV151" s="484">
        <v>405.2</v>
      </c>
      <c r="AW151" s="484">
        <v>309.39999999999998</v>
      </c>
      <c r="AX151" s="453">
        <v>0</v>
      </c>
      <c r="AY151" s="734">
        <v>0</v>
      </c>
      <c r="AZ151" s="734">
        <v>0</v>
      </c>
      <c r="BA151" s="734">
        <v>0</v>
      </c>
      <c r="BB151" s="453">
        <v>0</v>
      </c>
      <c r="BC151" s="453">
        <v>0</v>
      </c>
      <c r="BD151" s="453">
        <v>0</v>
      </c>
      <c r="BE151" s="734">
        <v>0</v>
      </c>
      <c r="BF151" s="453">
        <v>0</v>
      </c>
      <c r="BG151" s="453">
        <v>0</v>
      </c>
      <c r="BH151" s="734">
        <v>0</v>
      </c>
      <c r="BI151" s="453">
        <v>0</v>
      </c>
      <c r="BJ151" s="453">
        <v>16.100000000000001</v>
      </c>
      <c r="BK151" s="453">
        <v>0</v>
      </c>
      <c r="BL151" s="453">
        <v>0</v>
      </c>
      <c r="BM151" s="453">
        <v>0</v>
      </c>
      <c r="BN151" s="453">
        <v>16</v>
      </c>
      <c r="BO151" s="453">
        <v>937.8</v>
      </c>
      <c r="BP151" s="453">
        <v>57.5</v>
      </c>
      <c r="BQ151" s="453">
        <v>18</v>
      </c>
      <c r="BR151" s="453">
        <v>0.11</v>
      </c>
      <c r="BS151" s="453">
        <v>0</v>
      </c>
      <c r="BT151" s="453">
        <v>33.200000000000003</v>
      </c>
      <c r="BU151" s="453">
        <v>27.9</v>
      </c>
      <c r="BV151" s="456">
        <v>411.8</v>
      </c>
      <c r="BW151" s="453">
        <v>0.9</v>
      </c>
      <c r="BX151" s="453">
        <v>1.66</v>
      </c>
      <c r="BY151" s="456">
        <v>1.0900000000000001</v>
      </c>
      <c r="BZ151" s="456">
        <v>14.8</v>
      </c>
      <c r="CA151" s="456">
        <v>36.9</v>
      </c>
      <c r="CB151" s="456">
        <v>13.8</v>
      </c>
      <c r="CC151" s="456">
        <v>8</v>
      </c>
      <c r="CD151" s="456">
        <v>12.3</v>
      </c>
      <c r="CE151" s="456">
        <v>16.3</v>
      </c>
      <c r="CF151" s="456">
        <v>13</v>
      </c>
      <c r="CG151" s="456">
        <v>559.79999999999995</v>
      </c>
      <c r="CH151" s="456">
        <v>2</v>
      </c>
      <c r="CI151" s="456">
        <v>2.4</v>
      </c>
      <c r="CJ151" s="456">
        <v>467.4</v>
      </c>
      <c r="CK151" s="456">
        <v>418.9</v>
      </c>
      <c r="CL151" s="456">
        <v>543.4</v>
      </c>
      <c r="CM151" s="456">
        <v>12.9</v>
      </c>
      <c r="CN151" s="456">
        <v>1.89</v>
      </c>
      <c r="CO151" s="453">
        <v>0</v>
      </c>
      <c r="CP151" s="453">
        <v>15.48</v>
      </c>
      <c r="CQ151" s="453">
        <v>49</v>
      </c>
      <c r="CR151" s="456">
        <v>0</v>
      </c>
      <c r="CS151" s="456">
        <v>0</v>
      </c>
      <c r="CT151" s="456">
        <v>0</v>
      </c>
      <c r="CU151" s="456">
        <v>0</v>
      </c>
      <c r="CV151" s="481">
        <v>4229.166666666667</v>
      </c>
      <c r="CW151" s="481">
        <v>5851.145833333333</v>
      </c>
      <c r="CX151" s="481">
        <v>4156.145833333333</v>
      </c>
      <c r="CY151" s="481">
        <v>1162.24</v>
      </c>
      <c r="CZ151" s="456"/>
      <c r="DA151" s="456"/>
      <c r="DB151" s="456"/>
      <c r="DC151" s="456"/>
      <c r="DD151" s="456"/>
      <c r="DE151" s="456"/>
      <c r="DF151" s="456"/>
      <c r="DG151" s="425"/>
      <c r="DH151" s="456">
        <v>0</v>
      </c>
      <c r="DI151" s="456">
        <v>0.42</v>
      </c>
      <c r="DJ151" s="456">
        <v>1</v>
      </c>
      <c r="DK151" s="425"/>
      <c r="DL151" s="456"/>
      <c r="DM151" s="456"/>
      <c r="DN151" s="456"/>
      <c r="DO151" s="456"/>
      <c r="DP151" s="456"/>
      <c r="DQ151" s="456"/>
      <c r="DR151" s="456"/>
      <c r="DS151" s="456"/>
      <c r="DT151" s="456"/>
      <c r="DU151" s="456"/>
      <c r="DV151" s="456"/>
      <c r="DW151" s="456"/>
      <c r="DX151" s="456"/>
      <c r="DY151" s="456"/>
      <c r="DZ151" s="456"/>
      <c r="EA151" s="456"/>
      <c r="EB151" s="456"/>
      <c r="EC151" s="456"/>
      <c r="ED151" s="423">
        <v>0</v>
      </c>
      <c r="EE151" s="456">
        <v>0</v>
      </c>
      <c r="EF151" s="456">
        <v>3.5</v>
      </c>
      <c r="EG151" s="456">
        <v>6</v>
      </c>
      <c r="EH151" s="423">
        <v>0</v>
      </c>
      <c r="EI151" s="456"/>
      <c r="EJ151" s="456"/>
      <c r="EK151" s="456"/>
      <c r="EL151" s="456"/>
      <c r="EM151" s="456"/>
      <c r="EN151" s="456"/>
      <c r="EO151" s="425"/>
      <c r="EP151" s="425"/>
      <c r="EQ151" s="425" t="s">
        <v>743</v>
      </c>
      <c r="ER151" s="425">
        <v>1</v>
      </c>
      <c r="ES151" s="425">
        <v>2</v>
      </c>
      <c r="ET151" s="425">
        <v>630</v>
      </c>
      <c r="EU151" s="457">
        <v>4000</v>
      </c>
      <c r="EV151" s="425">
        <v>255</v>
      </c>
      <c r="EW151" s="425">
        <v>6883608</v>
      </c>
      <c r="EX151" s="425">
        <v>48331</v>
      </c>
      <c r="EY151" s="666">
        <v>18.22</v>
      </c>
      <c r="EZ151" s="666">
        <v>0</v>
      </c>
      <c r="FA151" s="666">
        <v>0</v>
      </c>
      <c r="FB151" s="666">
        <v>1.52</v>
      </c>
      <c r="FC151" s="666">
        <v>1.45</v>
      </c>
      <c r="FD151" s="666">
        <v>1.1679999999999999</v>
      </c>
      <c r="FE151" s="666">
        <v>1.2</v>
      </c>
      <c r="FF151" s="666">
        <v>260</v>
      </c>
      <c r="FG151" s="666">
        <v>0.76</v>
      </c>
      <c r="FH151" s="666">
        <v>0.47499999999999998</v>
      </c>
      <c r="FI151" s="666">
        <v>0.85</v>
      </c>
      <c r="FJ151" s="666">
        <v>7.9</v>
      </c>
      <c r="FK151" s="666">
        <v>8</v>
      </c>
      <c r="FL151" s="666">
        <v>7.99</v>
      </c>
      <c r="FM151" s="666">
        <v>8.1</v>
      </c>
      <c r="FN151" s="666">
        <v>0</v>
      </c>
    </row>
    <row r="152" spans="1:170" s="416" customFormat="1" ht="15">
      <c r="A152" s="425" t="s">
        <v>6</v>
      </c>
      <c r="B152" s="426">
        <v>40681</v>
      </c>
      <c r="C152" s="418">
        <v>0</v>
      </c>
      <c r="D152" s="518">
        <v>0</v>
      </c>
      <c r="E152" s="453">
        <v>0</v>
      </c>
      <c r="F152" s="453">
        <v>44</v>
      </c>
      <c r="G152" s="453">
        <v>3</v>
      </c>
      <c r="H152" s="519">
        <v>27.7</v>
      </c>
      <c r="I152" s="519">
        <v>71.2</v>
      </c>
      <c r="J152" s="483">
        <v>0.14000000000000001</v>
      </c>
      <c r="K152" s="520" t="s">
        <v>742</v>
      </c>
      <c r="L152" s="453">
        <v>53.090000000000146</v>
      </c>
      <c r="M152" s="453">
        <v>17.600000000000001</v>
      </c>
      <c r="N152" s="453">
        <v>1.38</v>
      </c>
      <c r="O152" s="453">
        <v>1.8775223298145729</v>
      </c>
      <c r="P152" s="453" t="s">
        <v>742</v>
      </c>
      <c r="Q152" s="453" t="s">
        <v>742</v>
      </c>
      <c r="R152" s="453">
        <v>842.80051783355327</v>
      </c>
      <c r="S152" s="453">
        <v>7.83</v>
      </c>
      <c r="T152" s="453" t="s">
        <v>742</v>
      </c>
      <c r="U152" s="453">
        <v>0.65</v>
      </c>
      <c r="V152" s="453" t="s">
        <v>742</v>
      </c>
      <c r="W152" s="453">
        <v>47.120000000000005</v>
      </c>
      <c r="X152" s="456" t="e">
        <v>#VALUE!</v>
      </c>
      <c r="Y152" s="453">
        <v>31.49</v>
      </c>
      <c r="Z152" s="453">
        <v>15.81</v>
      </c>
      <c r="AA152" s="519">
        <v>33.210000000006403</v>
      </c>
      <c r="AB152" s="519">
        <v>20.349999999998545</v>
      </c>
      <c r="AC152" s="732">
        <f t="shared" si="2"/>
        <v>53.560000000004948</v>
      </c>
      <c r="AD152" s="664"/>
      <c r="AE152" s="664"/>
      <c r="AF152" s="664"/>
      <c r="AG152" s="664"/>
      <c r="AH152" s="664"/>
      <c r="AI152" s="664"/>
      <c r="AJ152" s="485"/>
      <c r="AK152" s="485"/>
      <c r="AL152" s="485"/>
      <c r="AM152" s="485"/>
      <c r="AN152" s="485"/>
      <c r="AO152" s="665"/>
      <c r="AP152" s="485"/>
      <c r="AQ152" s="483"/>
      <c r="AR152" s="755">
        <v>0</v>
      </c>
      <c r="AS152" s="483">
        <v>35.799999999999997</v>
      </c>
      <c r="AT152" s="755">
        <v>0</v>
      </c>
      <c r="AU152" s="483">
        <v>34</v>
      </c>
      <c r="AV152" s="484">
        <v>464.2</v>
      </c>
      <c r="AW152" s="484">
        <v>520.79999999999995</v>
      </c>
      <c r="AX152" s="453">
        <v>0</v>
      </c>
      <c r="AY152" s="734">
        <v>0</v>
      </c>
      <c r="AZ152" s="734">
        <v>0</v>
      </c>
      <c r="BA152" s="734">
        <v>0</v>
      </c>
      <c r="BB152" s="453">
        <v>0</v>
      </c>
      <c r="BC152" s="453">
        <v>0</v>
      </c>
      <c r="BD152" s="453">
        <v>0</v>
      </c>
      <c r="BE152" s="734">
        <v>0</v>
      </c>
      <c r="BF152" s="453">
        <v>0</v>
      </c>
      <c r="BG152" s="453">
        <v>0</v>
      </c>
      <c r="BH152" s="734">
        <v>0</v>
      </c>
      <c r="BI152" s="453">
        <v>0</v>
      </c>
      <c r="BJ152" s="453">
        <v>19.899999999999999</v>
      </c>
      <c r="BK152" s="453">
        <v>0</v>
      </c>
      <c r="BL152" s="453">
        <v>0</v>
      </c>
      <c r="BM152" s="453">
        <v>0</v>
      </c>
      <c r="BN152" s="453">
        <v>19.7</v>
      </c>
      <c r="BO152" s="453">
        <v>1878.7</v>
      </c>
      <c r="BP152" s="453">
        <v>0</v>
      </c>
      <c r="BQ152" s="453">
        <v>17.3</v>
      </c>
      <c r="BR152" s="453">
        <v>1.6</v>
      </c>
      <c r="BS152" s="453">
        <v>0</v>
      </c>
      <c r="BT152" s="453">
        <v>34</v>
      </c>
      <c r="BU152" s="453">
        <v>25.6</v>
      </c>
      <c r="BV152" s="456">
        <v>460.2</v>
      </c>
      <c r="BW152" s="453">
        <v>1.01</v>
      </c>
      <c r="BX152" s="453">
        <v>1.63</v>
      </c>
      <c r="BY152" s="456">
        <v>1.03</v>
      </c>
      <c r="BZ152" s="456">
        <v>14.7</v>
      </c>
      <c r="CA152" s="456">
        <v>36</v>
      </c>
      <c r="CB152" s="456">
        <v>12.8</v>
      </c>
      <c r="CC152" s="456">
        <v>10.6</v>
      </c>
      <c r="CD152" s="456">
        <v>14.8</v>
      </c>
      <c r="CE152" s="456">
        <v>19</v>
      </c>
      <c r="CF152" s="456">
        <v>13</v>
      </c>
      <c r="CG152" s="456">
        <v>562.20000000000005</v>
      </c>
      <c r="CH152" s="456">
        <v>2.1</v>
      </c>
      <c r="CI152" s="456">
        <v>3</v>
      </c>
      <c r="CJ152" s="456">
        <v>529.70000000000005</v>
      </c>
      <c r="CK152" s="456">
        <v>439.1</v>
      </c>
      <c r="CL152" s="456">
        <v>545</v>
      </c>
      <c r="CM152" s="456">
        <v>13.5</v>
      </c>
      <c r="CN152" s="456">
        <v>1.95</v>
      </c>
      <c r="CO152" s="453">
        <v>0</v>
      </c>
      <c r="CP152" s="453">
        <v>16.3</v>
      </c>
      <c r="CQ152" s="453">
        <v>49</v>
      </c>
      <c r="CR152" s="456">
        <v>0</v>
      </c>
      <c r="CS152" s="456">
        <v>0</v>
      </c>
      <c r="CT152" s="456">
        <v>0</v>
      </c>
      <c r="CU152" s="456">
        <v>0</v>
      </c>
      <c r="CV152" s="481">
        <v>3231.6666666666665</v>
      </c>
      <c r="CW152" s="481">
        <v>4804.583333333333</v>
      </c>
      <c r="CX152" s="481">
        <v>3270.2083333333335</v>
      </c>
      <c r="CY152" s="481">
        <v>1160.8800000000001</v>
      </c>
      <c r="CZ152" s="456"/>
      <c r="DA152" s="456"/>
      <c r="DB152" s="456"/>
      <c r="DC152" s="456"/>
      <c r="DD152" s="456"/>
      <c r="DE152" s="456"/>
      <c r="DF152" s="456"/>
      <c r="DG152" s="425"/>
      <c r="DH152" s="456">
        <v>0</v>
      </c>
      <c r="DI152" s="456">
        <v>0.52</v>
      </c>
      <c r="DJ152" s="456">
        <v>1</v>
      </c>
      <c r="DK152" s="425"/>
      <c r="DL152" s="456"/>
      <c r="DM152" s="456"/>
      <c r="DN152" s="456"/>
      <c r="DO152" s="456"/>
      <c r="DP152" s="456"/>
      <c r="DQ152" s="456"/>
      <c r="DR152" s="456"/>
      <c r="DS152" s="456"/>
      <c r="DT152" s="456"/>
      <c r="DU152" s="456"/>
      <c r="DV152" s="456"/>
      <c r="DW152" s="456"/>
      <c r="DX152" s="456"/>
      <c r="DY152" s="456"/>
      <c r="DZ152" s="456"/>
      <c r="EA152" s="456"/>
      <c r="EB152" s="456"/>
      <c r="EC152" s="456"/>
      <c r="ED152" s="423">
        <v>0</v>
      </c>
      <c r="EE152" s="456">
        <v>0</v>
      </c>
      <c r="EF152" s="456">
        <v>3.5</v>
      </c>
      <c r="EG152" s="456">
        <v>6</v>
      </c>
      <c r="EH152" s="423">
        <v>0</v>
      </c>
      <c r="EI152" s="456"/>
      <c r="EJ152" s="456"/>
      <c r="EK152" s="456"/>
      <c r="EL152" s="456"/>
      <c r="EM152" s="456"/>
      <c r="EN152" s="456"/>
      <c r="EO152" s="425"/>
      <c r="EP152" s="425"/>
      <c r="EQ152" s="425" t="s">
        <v>743</v>
      </c>
      <c r="ER152" s="425">
        <v>1</v>
      </c>
      <c r="ES152" s="425">
        <v>10</v>
      </c>
      <c r="ET152" s="425">
        <v>400</v>
      </c>
      <c r="EU152" s="457">
        <v>4000</v>
      </c>
      <c r="EV152" s="425">
        <v>185</v>
      </c>
      <c r="EW152" s="425">
        <v>6886192</v>
      </c>
      <c r="EX152" s="425">
        <v>48334</v>
      </c>
      <c r="EY152" s="666">
        <v>17.899999999999999</v>
      </c>
      <c r="EZ152" s="666">
        <v>2.7</v>
      </c>
      <c r="FA152" s="666">
        <v>0</v>
      </c>
      <c r="FB152" s="666">
        <v>1.56</v>
      </c>
      <c r="FC152" s="666">
        <v>1.56</v>
      </c>
      <c r="FD152" s="666">
        <v>1.109</v>
      </c>
      <c r="FE152" s="666">
        <v>1.1499999999999999</v>
      </c>
      <c r="FF152" s="666">
        <v>230</v>
      </c>
      <c r="FG152" s="666">
        <v>0.9</v>
      </c>
      <c r="FH152" s="666">
        <v>0.38300000000000001</v>
      </c>
      <c r="FI152" s="666">
        <v>0.63</v>
      </c>
      <c r="FJ152" s="666">
        <v>6.83</v>
      </c>
      <c r="FK152" s="666">
        <v>8</v>
      </c>
      <c r="FL152" s="666">
        <v>7.96</v>
      </c>
      <c r="FM152" s="666">
        <v>7.7</v>
      </c>
      <c r="FN152" s="666">
        <v>0</v>
      </c>
    </row>
    <row r="153" spans="1:170" s="416" customFormat="1" ht="15">
      <c r="A153" s="425" t="s">
        <v>7</v>
      </c>
      <c r="B153" s="426">
        <v>40682</v>
      </c>
      <c r="C153" s="418">
        <v>0</v>
      </c>
      <c r="D153" s="518">
        <v>0</v>
      </c>
      <c r="E153" s="453">
        <v>0</v>
      </c>
      <c r="F153" s="453">
        <v>48</v>
      </c>
      <c r="G153" s="453">
        <v>2.8</v>
      </c>
      <c r="H153" s="519">
        <v>32.6</v>
      </c>
      <c r="I153" s="519">
        <v>70</v>
      </c>
      <c r="J153" s="483">
        <v>0.09</v>
      </c>
      <c r="K153" s="520" t="s">
        <v>742</v>
      </c>
      <c r="L153" s="453">
        <v>54.809999999999491</v>
      </c>
      <c r="M153" s="453">
        <v>17</v>
      </c>
      <c r="N153" s="453">
        <v>1.36</v>
      </c>
      <c r="O153" s="453">
        <v>1.9236244656774597</v>
      </c>
      <c r="P153" s="453" t="s">
        <v>742</v>
      </c>
      <c r="Q153" s="453" t="s">
        <v>742</v>
      </c>
      <c r="R153" s="453">
        <v>904.66635138705396</v>
      </c>
      <c r="S153" s="453">
        <v>7.69</v>
      </c>
      <c r="T153" s="453" t="s">
        <v>742</v>
      </c>
      <c r="U153" s="453">
        <v>0.65</v>
      </c>
      <c r="V153" s="453" t="s">
        <v>742</v>
      </c>
      <c r="W153" s="453">
        <v>47.120000000000005</v>
      </c>
      <c r="X153" s="456" t="e">
        <v>#VALUE!</v>
      </c>
      <c r="Y153" s="453">
        <v>40.770000000000003</v>
      </c>
      <c r="Z153" s="453">
        <v>15.71</v>
      </c>
      <c r="AA153" s="519">
        <v>40.289999999993597</v>
      </c>
      <c r="AB153" s="519">
        <v>16.099999999998545</v>
      </c>
      <c r="AC153" s="732">
        <f t="shared" si="2"/>
        <v>56.389999999992142</v>
      </c>
      <c r="AD153" s="664"/>
      <c r="AE153" s="664"/>
      <c r="AF153" s="664"/>
      <c r="AG153" s="664"/>
      <c r="AH153" s="664"/>
      <c r="AI153" s="664"/>
      <c r="AJ153" s="485"/>
      <c r="AK153" s="485"/>
      <c r="AL153" s="485"/>
      <c r="AM153" s="485"/>
      <c r="AN153" s="485"/>
      <c r="AO153" s="665"/>
      <c r="AP153" s="485"/>
      <c r="AQ153" s="483"/>
      <c r="AR153" s="755">
        <v>0</v>
      </c>
      <c r="AS153" s="483">
        <v>18.7</v>
      </c>
      <c r="AT153" s="755">
        <v>0</v>
      </c>
      <c r="AU153" s="483">
        <v>42</v>
      </c>
      <c r="AV153" s="484">
        <v>461.2</v>
      </c>
      <c r="AW153" s="484">
        <v>524.6</v>
      </c>
      <c r="AX153" s="453">
        <v>0.2</v>
      </c>
      <c r="AY153" s="734">
        <v>0</v>
      </c>
      <c r="AZ153" s="734">
        <v>0</v>
      </c>
      <c r="BA153" s="734">
        <v>0</v>
      </c>
      <c r="BB153" s="453">
        <v>0</v>
      </c>
      <c r="BC153" s="453">
        <v>0</v>
      </c>
      <c r="BD153" s="453">
        <v>0</v>
      </c>
      <c r="BE153" s="734">
        <v>0</v>
      </c>
      <c r="BF153" s="453">
        <v>0</v>
      </c>
      <c r="BG153" s="453">
        <v>0</v>
      </c>
      <c r="BH153" s="734">
        <v>0</v>
      </c>
      <c r="BI153" s="453">
        <v>0</v>
      </c>
      <c r="BJ153" s="453">
        <v>16.100000000000001</v>
      </c>
      <c r="BK153" s="453">
        <v>0</v>
      </c>
      <c r="BL153" s="453">
        <v>0</v>
      </c>
      <c r="BM153" s="453">
        <v>0</v>
      </c>
      <c r="BN153" s="453">
        <v>15.9</v>
      </c>
      <c r="BO153" s="453">
        <v>908.5</v>
      </c>
      <c r="BP153" s="453">
        <v>0</v>
      </c>
      <c r="BQ153" s="453">
        <v>17.8</v>
      </c>
      <c r="BR153" s="453">
        <v>8.09</v>
      </c>
      <c r="BS153" s="453">
        <v>0</v>
      </c>
      <c r="BT153" s="453">
        <v>42.4</v>
      </c>
      <c r="BU153" s="453">
        <v>21.4</v>
      </c>
      <c r="BV153" s="456">
        <v>838.1</v>
      </c>
      <c r="BW153" s="453">
        <v>2.69</v>
      </c>
      <c r="BX153" s="453">
        <v>1.67</v>
      </c>
      <c r="BY153" s="456">
        <v>1.02</v>
      </c>
      <c r="BZ153" s="456">
        <v>15.2</v>
      </c>
      <c r="CA153" s="456">
        <v>33.5</v>
      </c>
      <c r="CB153" s="456">
        <v>15.35</v>
      </c>
      <c r="CC153" s="456">
        <v>8.1999999999999993</v>
      </c>
      <c r="CD153" s="456">
        <v>12.4</v>
      </c>
      <c r="CE153" s="456">
        <v>16.399999999999999</v>
      </c>
      <c r="CF153" s="456">
        <v>14.2</v>
      </c>
      <c r="CG153" s="456">
        <v>229</v>
      </c>
      <c r="CH153" s="456">
        <v>2</v>
      </c>
      <c r="CI153" s="456">
        <v>2.2999999999999998</v>
      </c>
      <c r="CJ153" s="456">
        <v>534.1</v>
      </c>
      <c r="CK153" s="456">
        <v>480.1</v>
      </c>
      <c r="CL153" s="456">
        <v>550.5</v>
      </c>
      <c r="CM153" s="456">
        <v>14.2</v>
      </c>
      <c r="CN153" s="456">
        <v>1.99</v>
      </c>
      <c r="CO153" s="453">
        <v>7166.8</v>
      </c>
      <c r="CP153" s="453">
        <v>16.079999999999998</v>
      </c>
      <c r="CQ153" s="453">
        <v>51</v>
      </c>
      <c r="CR153" s="456">
        <v>0</v>
      </c>
      <c r="CS153" s="456">
        <v>0</v>
      </c>
      <c r="CT153" s="456">
        <v>0</v>
      </c>
      <c r="CU153" s="456">
        <v>0</v>
      </c>
      <c r="CV153" s="481">
        <v>2521.25</v>
      </c>
      <c r="CW153" s="481">
        <v>3693.75</v>
      </c>
      <c r="CX153" s="481">
        <v>2568.9583333333335</v>
      </c>
      <c r="CY153" s="481">
        <v>1160.29</v>
      </c>
      <c r="CZ153" s="456"/>
      <c r="DA153" s="456"/>
      <c r="DB153" s="456"/>
      <c r="DC153" s="456"/>
      <c r="DD153" s="456"/>
      <c r="DE153" s="456"/>
      <c r="DF153" s="456"/>
      <c r="DG153" s="425"/>
      <c r="DH153" s="456">
        <v>122</v>
      </c>
      <c r="DI153" s="456">
        <v>0.41</v>
      </c>
      <c r="DJ153" s="456">
        <v>1.05</v>
      </c>
      <c r="DK153" s="425"/>
      <c r="DL153" s="456"/>
      <c r="DM153" s="456"/>
      <c r="DN153" s="456"/>
      <c r="DO153" s="456"/>
      <c r="DP153" s="456"/>
      <c r="DQ153" s="456"/>
      <c r="DR153" s="456"/>
      <c r="DS153" s="456"/>
      <c r="DT153" s="456"/>
      <c r="DU153" s="456"/>
      <c r="DV153" s="456"/>
      <c r="DW153" s="456"/>
      <c r="DX153" s="456"/>
      <c r="DY153" s="456"/>
      <c r="DZ153" s="456"/>
      <c r="EA153" s="456"/>
      <c r="EB153" s="456"/>
      <c r="EC153" s="456"/>
      <c r="ED153" s="423">
        <v>0</v>
      </c>
      <c r="EE153" s="456">
        <v>0</v>
      </c>
      <c r="EF153" s="456">
        <v>2.5</v>
      </c>
      <c r="EG153" s="456">
        <v>6</v>
      </c>
      <c r="EH153" s="423">
        <v>0</v>
      </c>
      <c r="EI153" s="456"/>
      <c r="EJ153" s="456"/>
      <c r="EK153" s="456"/>
      <c r="EL153" s="456"/>
      <c r="EM153" s="456"/>
      <c r="EN153" s="456"/>
      <c r="EO153" s="425"/>
      <c r="EP153" s="425"/>
      <c r="EQ153" s="425" t="s">
        <v>743</v>
      </c>
      <c r="ER153" s="425">
        <v>1</v>
      </c>
      <c r="ES153" s="425">
        <v>10</v>
      </c>
      <c r="ET153" s="425">
        <v>240</v>
      </c>
      <c r="EU153" s="457">
        <v>4000</v>
      </c>
      <c r="EV153" s="425">
        <v>155</v>
      </c>
      <c r="EW153" s="425">
        <v>6888040</v>
      </c>
      <c r="EX153" s="425">
        <v>48334</v>
      </c>
      <c r="EY153" s="666">
        <v>16.82</v>
      </c>
      <c r="EZ153" s="666">
        <v>11.3</v>
      </c>
      <c r="FA153" s="666">
        <v>0</v>
      </c>
      <c r="FB153" s="666">
        <v>1.57</v>
      </c>
      <c r="FC153" s="666">
        <v>1.46</v>
      </c>
      <c r="FD153" s="666">
        <v>1.155</v>
      </c>
      <c r="FE153" s="666">
        <v>1.1599999999999999</v>
      </c>
      <c r="FF153" s="666">
        <v>160</v>
      </c>
      <c r="FG153" s="666">
        <v>1.1499999999999999</v>
      </c>
      <c r="FH153" s="666">
        <v>0.28899999999999998</v>
      </c>
      <c r="FI153" s="666">
        <v>0.61</v>
      </c>
      <c r="FJ153" s="666">
        <v>10.28</v>
      </c>
      <c r="FK153" s="666">
        <v>7.8</v>
      </c>
      <c r="FL153" s="666">
        <v>7.92</v>
      </c>
      <c r="FM153" s="666">
        <v>7.7</v>
      </c>
      <c r="FN153" s="666">
        <v>0</v>
      </c>
    </row>
    <row r="154" spans="1:170" s="416" customFormat="1" ht="15">
      <c r="A154" s="425" t="s">
        <v>8</v>
      </c>
      <c r="B154" s="426">
        <v>40683</v>
      </c>
      <c r="C154" s="418">
        <v>0</v>
      </c>
      <c r="D154" s="518">
        <v>0</v>
      </c>
      <c r="E154" s="453">
        <v>0</v>
      </c>
      <c r="F154" s="453">
        <v>51</v>
      </c>
      <c r="G154" s="453">
        <v>2</v>
      </c>
      <c r="H154" s="519">
        <v>34</v>
      </c>
      <c r="I154" s="519" t="s">
        <v>742</v>
      </c>
      <c r="J154" s="483">
        <v>0.08</v>
      </c>
      <c r="K154" s="520" t="s">
        <v>742</v>
      </c>
      <c r="L154" s="453">
        <v>53.280000000000655</v>
      </c>
      <c r="M154" s="453">
        <v>19.2</v>
      </c>
      <c r="N154" s="453">
        <v>1.3</v>
      </c>
      <c r="O154" s="453">
        <v>1.8739227556325477</v>
      </c>
      <c r="P154" s="453" t="s">
        <v>742</v>
      </c>
      <c r="Q154" s="453" t="s">
        <v>742</v>
      </c>
      <c r="R154" s="453">
        <v>844.09613738441203</v>
      </c>
      <c r="S154" s="453">
        <v>7.9</v>
      </c>
      <c r="T154" s="453" t="s">
        <v>742</v>
      </c>
      <c r="U154" s="453">
        <v>0.6</v>
      </c>
      <c r="V154" s="453" t="s">
        <v>742</v>
      </c>
      <c r="W154" s="453">
        <v>50</v>
      </c>
      <c r="X154" s="456" t="e">
        <v>#VALUE!</v>
      </c>
      <c r="Y154" s="453">
        <v>41.04</v>
      </c>
      <c r="Z154" s="453">
        <v>16.309999999999999</v>
      </c>
      <c r="AA154" s="519">
        <v>37.600000000005821</v>
      </c>
      <c r="AB154" s="519">
        <v>16.30000000000291</v>
      </c>
      <c r="AC154" s="732">
        <f t="shared" si="2"/>
        <v>53.900000000008731</v>
      </c>
      <c r="AD154" s="664"/>
      <c r="AE154" s="664"/>
      <c r="AF154" s="664"/>
      <c r="AG154" s="664"/>
      <c r="AH154" s="664"/>
      <c r="AI154" s="664"/>
      <c r="AJ154" s="485"/>
      <c r="AK154" s="485"/>
      <c r="AL154" s="485"/>
      <c r="AM154" s="485"/>
      <c r="AN154" s="485"/>
      <c r="AO154" s="665"/>
      <c r="AP154" s="485"/>
      <c r="AQ154" s="483"/>
      <c r="AR154" s="755">
        <v>0</v>
      </c>
      <c r="AS154" s="483">
        <v>18</v>
      </c>
      <c r="AT154" s="755">
        <v>0</v>
      </c>
      <c r="AU154" s="483">
        <v>39.700000000000003</v>
      </c>
      <c r="AV154" s="484">
        <v>289.8</v>
      </c>
      <c r="AW154" s="484">
        <v>287</v>
      </c>
      <c r="AX154" s="453">
        <v>0.1</v>
      </c>
      <c r="AY154" s="734">
        <v>0</v>
      </c>
      <c r="AZ154" s="734">
        <v>0</v>
      </c>
      <c r="BA154" s="734">
        <v>0</v>
      </c>
      <c r="BB154" s="453">
        <v>0</v>
      </c>
      <c r="BC154" s="453">
        <v>0</v>
      </c>
      <c r="BD154" s="453">
        <v>0</v>
      </c>
      <c r="BE154" s="734">
        <v>0</v>
      </c>
      <c r="BF154" s="453">
        <v>0</v>
      </c>
      <c r="BG154" s="453">
        <v>0</v>
      </c>
      <c r="BH154" s="734">
        <v>0</v>
      </c>
      <c r="BI154" s="453">
        <v>0</v>
      </c>
      <c r="BJ154" s="453">
        <v>16.5</v>
      </c>
      <c r="BK154" s="453">
        <v>0</v>
      </c>
      <c r="BL154" s="453">
        <v>0</v>
      </c>
      <c r="BM154" s="453">
        <v>0</v>
      </c>
      <c r="BN154" s="453">
        <v>16.3</v>
      </c>
      <c r="BO154" s="453">
        <v>1826.3</v>
      </c>
      <c r="BP154" s="453">
        <v>0</v>
      </c>
      <c r="BQ154" s="453">
        <v>14.4</v>
      </c>
      <c r="BR154" s="453">
        <v>16.3</v>
      </c>
      <c r="BS154" s="453">
        <v>0</v>
      </c>
      <c r="BT154" s="453">
        <v>40.700000000000003</v>
      </c>
      <c r="BU154" s="453">
        <v>21.8</v>
      </c>
      <c r="BV154" s="456">
        <v>950.7</v>
      </c>
      <c r="BW154" s="453">
        <v>1.3</v>
      </c>
      <c r="BX154" s="453">
        <v>1.65</v>
      </c>
      <c r="BY154" s="456">
        <v>1.04</v>
      </c>
      <c r="BZ154" s="456">
        <v>14.8</v>
      </c>
      <c r="CA154" s="456">
        <v>37</v>
      </c>
      <c r="CB154" s="456">
        <v>14.2</v>
      </c>
      <c r="CC154" s="456">
        <v>10.1</v>
      </c>
      <c r="CD154" s="456">
        <v>14.3</v>
      </c>
      <c r="CE154" s="456">
        <v>18.600000000000001</v>
      </c>
      <c r="CF154" s="456">
        <v>13.25</v>
      </c>
      <c r="CG154" s="456">
        <v>189.4</v>
      </c>
      <c r="CH154" s="456">
        <v>1.9</v>
      </c>
      <c r="CI154" s="456">
        <v>3</v>
      </c>
      <c r="CJ154" s="456">
        <v>512.70000000000005</v>
      </c>
      <c r="CK154" s="456">
        <v>491.4</v>
      </c>
      <c r="CL154" s="456">
        <v>541.70000000000005</v>
      </c>
      <c r="CM154" s="456">
        <v>15.2</v>
      </c>
      <c r="CN154" s="456">
        <v>1.95</v>
      </c>
      <c r="CO154" s="453">
        <v>5511.2</v>
      </c>
      <c r="CP154" s="453">
        <v>17.14</v>
      </c>
      <c r="CQ154" s="453">
        <v>51</v>
      </c>
      <c r="CR154" s="456">
        <v>0</v>
      </c>
      <c r="CS154" s="456">
        <v>0</v>
      </c>
      <c r="CT154" s="456">
        <v>0</v>
      </c>
      <c r="CU154" s="456">
        <v>0</v>
      </c>
      <c r="CV154" s="481">
        <v>2116.6666666666665</v>
      </c>
      <c r="CW154" s="481">
        <v>3172.5</v>
      </c>
      <c r="CX154" s="481">
        <v>2182.7083333333335</v>
      </c>
      <c r="CY154" s="481">
        <v>1160.1199999999999</v>
      </c>
      <c r="CZ154" s="456"/>
      <c r="DA154" s="456"/>
      <c r="DB154" s="456"/>
      <c r="DC154" s="456"/>
      <c r="DD154" s="456"/>
      <c r="DE154" s="456"/>
      <c r="DF154" s="456"/>
      <c r="DG154" s="425"/>
      <c r="DH154" s="456">
        <v>50</v>
      </c>
      <c r="DI154" s="456">
        <v>0.36</v>
      </c>
      <c r="DJ154" s="456">
        <v>1.07</v>
      </c>
      <c r="DK154" s="425"/>
      <c r="DL154" s="456"/>
      <c r="DM154" s="456"/>
      <c r="DN154" s="456"/>
      <c r="DO154" s="456"/>
      <c r="DP154" s="456"/>
      <c r="DQ154" s="456"/>
      <c r="DR154" s="456"/>
      <c r="DS154" s="456"/>
      <c r="DT154" s="456"/>
      <c r="DU154" s="456"/>
      <c r="DV154" s="456"/>
      <c r="DW154" s="456"/>
      <c r="DX154" s="456"/>
      <c r="DY154" s="456"/>
      <c r="DZ154" s="456"/>
      <c r="EA154" s="456"/>
      <c r="EB154" s="456"/>
      <c r="EC154" s="456"/>
      <c r="ED154" s="423">
        <v>0</v>
      </c>
      <c r="EE154" s="456">
        <v>0</v>
      </c>
      <c r="EF154" s="456">
        <v>2.5</v>
      </c>
      <c r="EG154" s="456">
        <v>6</v>
      </c>
      <c r="EH154" s="423">
        <v>0</v>
      </c>
      <c r="EI154" s="456"/>
      <c r="EJ154" s="456"/>
      <c r="EK154" s="456"/>
      <c r="EL154" s="456"/>
      <c r="EM154" s="456"/>
      <c r="EN154" s="456"/>
      <c r="EO154" s="425"/>
      <c r="EP154" s="425"/>
      <c r="EQ154" s="425" t="s">
        <v>743</v>
      </c>
      <c r="ER154" s="425">
        <v>1</v>
      </c>
      <c r="ES154" s="425">
        <v>10</v>
      </c>
      <c r="ET154" s="425">
        <v>75</v>
      </c>
      <c r="EU154" s="457">
        <v>4000</v>
      </c>
      <c r="EV154" s="425">
        <v>195</v>
      </c>
      <c r="EW154" s="425">
        <v>6890395</v>
      </c>
      <c r="EX154" s="425">
        <v>48334</v>
      </c>
      <c r="EY154" s="666">
        <v>14.4</v>
      </c>
      <c r="EZ154" s="666">
        <v>18.16</v>
      </c>
      <c r="FA154" s="666">
        <v>0</v>
      </c>
      <c r="FB154" s="666">
        <v>1.55</v>
      </c>
      <c r="FC154" s="666">
        <v>1.44</v>
      </c>
      <c r="FD154" s="666">
        <v>1.1379999999999999</v>
      </c>
      <c r="FE154" s="666">
        <v>1.07</v>
      </c>
      <c r="FF154" s="666">
        <v>315</v>
      </c>
      <c r="FG154" s="666">
        <v>0.35</v>
      </c>
      <c r="FH154" s="666">
        <v>0.151</v>
      </c>
      <c r="FI154" s="666">
        <v>0.28000000000000003</v>
      </c>
      <c r="FJ154" s="666">
        <v>12.02</v>
      </c>
      <c r="FK154" s="666">
        <v>8.4</v>
      </c>
      <c r="FL154" s="666">
        <v>8.02</v>
      </c>
      <c r="FM154" s="666">
        <v>7.8</v>
      </c>
      <c r="FN154" s="666">
        <v>0</v>
      </c>
    </row>
    <row r="155" spans="1:170" s="416" customFormat="1" ht="15">
      <c r="A155" s="425" t="s">
        <v>9</v>
      </c>
      <c r="B155" s="426">
        <v>40684</v>
      </c>
      <c r="C155" s="418">
        <v>0</v>
      </c>
      <c r="D155" s="518">
        <v>0.13</v>
      </c>
      <c r="E155" s="453">
        <v>0</v>
      </c>
      <c r="F155" s="453">
        <v>48</v>
      </c>
      <c r="G155" s="453">
        <v>2.4</v>
      </c>
      <c r="H155" s="519">
        <v>30</v>
      </c>
      <c r="I155" s="519" t="s">
        <v>742</v>
      </c>
      <c r="J155" s="483">
        <v>0.08</v>
      </c>
      <c r="K155" s="520" t="s">
        <v>742</v>
      </c>
      <c r="L155" s="453">
        <v>49.969999999999345</v>
      </c>
      <c r="M155" s="453">
        <v>19.600000000000001</v>
      </c>
      <c r="N155" s="453">
        <v>1.4</v>
      </c>
      <c r="O155" s="453">
        <v>1.8717525319242081</v>
      </c>
      <c r="P155" s="453" t="s">
        <v>742</v>
      </c>
      <c r="Q155" s="453" t="s">
        <v>742</v>
      </c>
      <c r="R155" s="453">
        <v>786.76497225891649</v>
      </c>
      <c r="S155" s="453">
        <v>7.9</v>
      </c>
      <c r="T155" s="453" t="s">
        <v>742</v>
      </c>
      <c r="U155" s="453">
        <v>0.7</v>
      </c>
      <c r="V155" s="453" t="s">
        <v>742</v>
      </c>
      <c r="W155" s="453">
        <v>48</v>
      </c>
      <c r="X155" s="456" t="e">
        <v>#VALUE!</v>
      </c>
      <c r="Y155" s="453">
        <v>36.6</v>
      </c>
      <c r="Z155" s="453">
        <v>14</v>
      </c>
      <c r="AA155" s="519">
        <v>36.399999999994179</v>
      </c>
      <c r="AB155" s="519">
        <v>14</v>
      </c>
      <c r="AC155" s="732">
        <f t="shared" si="2"/>
        <v>50.399999999994179</v>
      </c>
      <c r="AD155" s="664"/>
      <c r="AE155" s="664"/>
      <c r="AF155" s="664"/>
      <c r="AG155" s="664"/>
      <c r="AH155" s="664"/>
      <c r="AI155" s="664"/>
      <c r="AJ155" s="485"/>
      <c r="AK155" s="485"/>
      <c r="AL155" s="485"/>
      <c r="AM155" s="485"/>
      <c r="AN155" s="485"/>
      <c r="AO155" s="665"/>
      <c r="AP155" s="485"/>
      <c r="AQ155" s="483"/>
      <c r="AR155" s="755">
        <v>0</v>
      </c>
      <c r="AS155" s="483">
        <v>18.399999999999999</v>
      </c>
      <c r="AT155" s="755">
        <v>0</v>
      </c>
      <c r="AU155" s="483">
        <v>37.9</v>
      </c>
      <c r="AV155" s="484">
        <v>207</v>
      </c>
      <c r="AW155" s="484">
        <v>1419.9</v>
      </c>
      <c r="AX155" s="453">
        <v>0</v>
      </c>
      <c r="AY155" s="734">
        <v>0</v>
      </c>
      <c r="AZ155" s="734">
        <v>0</v>
      </c>
      <c r="BA155" s="734">
        <v>0</v>
      </c>
      <c r="BB155" s="453">
        <v>0</v>
      </c>
      <c r="BC155" s="453">
        <v>0</v>
      </c>
      <c r="BD155" s="453">
        <v>0</v>
      </c>
      <c r="BE155" s="734">
        <v>0</v>
      </c>
      <c r="BF155" s="453">
        <v>0</v>
      </c>
      <c r="BG155" s="453">
        <v>0</v>
      </c>
      <c r="BH155" s="734">
        <v>0</v>
      </c>
      <c r="BI155" s="453">
        <v>0</v>
      </c>
      <c r="BJ155" s="453">
        <v>14</v>
      </c>
      <c r="BK155" s="453">
        <v>0</v>
      </c>
      <c r="BL155" s="453">
        <v>0</v>
      </c>
      <c r="BM155" s="453">
        <v>0</v>
      </c>
      <c r="BN155" s="453">
        <v>13.8</v>
      </c>
      <c r="BO155" s="453">
        <v>1283.9000000000001</v>
      </c>
      <c r="BP155" s="453">
        <v>0</v>
      </c>
      <c r="BQ155" s="453">
        <v>8.1</v>
      </c>
      <c r="BR155" s="453">
        <v>18.100000000000001</v>
      </c>
      <c r="BS155" s="453">
        <v>0</v>
      </c>
      <c r="BT155" s="453">
        <v>37.799999999999997</v>
      </c>
      <c r="BU155" s="453">
        <v>26.3</v>
      </c>
      <c r="BV155" s="456">
        <v>515.79999999999995</v>
      </c>
      <c r="BW155" s="453">
        <v>0.1</v>
      </c>
      <c r="BX155" s="453">
        <v>1.64</v>
      </c>
      <c r="BY155" s="456">
        <v>1.1399999999999999</v>
      </c>
      <c r="BZ155" s="456">
        <v>14.9</v>
      </c>
      <c r="CA155" s="456">
        <v>37</v>
      </c>
      <c r="CB155" s="456">
        <v>13.9</v>
      </c>
      <c r="CC155" s="456">
        <v>7.92</v>
      </c>
      <c r="CD155" s="456">
        <v>12.12</v>
      </c>
      <c r="CE155" s="456">
        <v>16.32</v>
      </c>
      <c r="CF155" s="456">
        <v>12.75</v>
      </c>
      <c r="CG155" s="456">
        <v>466.4</v>
      </c>
      <c r="CH155" s="456">
        <v>2.2000000000000002</v>
      </c>
      <c r="CI155" s="456">
        <v>3.1</v>
      </c>
      <c r="CJ155" s="456">
        <v>444.1</v>
      </c>
      <c r="CK155" s="456">
        <v>433.7</v>
      </c>
      <c r="CL155" s="456">
        <v>509.8</v>
      </c>
      <c r="CM155" s="456">
        <v>14</v>
      </c>
      <c r="CN155" s="456">
        <v>1.88</v>
      </c>
      <c r="CO155" s="453">
        <v>1155.5999999999999</v>
      </c>
      <c r="CP155" s="453">
        <v>16.79</v>
      </c>
      <c r="CQ155" s="453">
        <v>50</v>
      </c>
      <c r="CR155" s="456">
        <v>0</v>
      </c>
      <c r="CS155" s="456">
        <v>0</v>
      </c>
      <c r="CT155" s="456">
        <v>0</v>
      </c>
      <c r="CU155" s="456">
        <v>0</v>
      </c>
      <c r="CV155" s="481">
        <v>1971.25</v>
      </c>
      <c r="CW155" s="481">
        <v>2830.625</v>
      </c>
      <c r="CX155" s="481">
        <v>2031.25</v>
      </c>
      <c r="CY155" s="481">
        <v>1160.3699999999999</v>
      </c>
      <c r="CZ155" s="456"/>
      <c r="DA155" s="456"/>
      <c r="DB155" s="456"/>
      <c r="DC155" s="456"/>
      <c r="DD155" s="456"/>
      <c r="DE155" s="456"/>
      <c r="DF155" s="456"/>
      <c r="DG155" s="425"/>
      <c r="DH155" s="456">
        <v>2</v>
      </c>
      <c r="DI155" s="456">
        <v>0.42</v>
      </c>
      <c r="DJ155" s="456">
        <v>0.97</v>
      </c>
      <c r="DK155" s="425"/>
      <c r="DL155" s="456"/>
      <c r="DM155" s="456"/>
      <c r="DN155" s="456"/>
      <c r="DO155" s="456"/>
      <c r="DP155" s="456"/>
      <c r="DQ155" s="456"/>
      <c r="DR155" s="456"/>
      <c r="DS155" s="456"/>
      <c r="DT155" s="456"/>
      <c r="DU155" s="456"/>
      <c r="DV155" s="456"/>
      <c r="DW155" s="456"/>
      <c r="DX155" s="456"/>
      <c r="DY155" s="456"/>
      <c r="DZ155" s="456"/>
      <c r="EA155" s="456"/>
      <c r="EB155" s="456"/>
      <c r="EC155" s="456"/>
      <c r="ED155" s="423">
        <v>0</v>
      </c>
      <c r="EE155" s="456">
        <v>0</v>
      </c>
      <c r="EF155" s="456">
        <v>2.5</v>
      </c>
      <c r="EG155" s="456">
        <v>6</v>
      </c>
      <c r="EH155" s="423">
        <v>0</v>
      </c>
      <c r="EI155" s="456"/>
      <c r="EJ155" s="456"/>
      <c r="EK155" s="456"/>
      <c r="EL155" s="456"/>
      <c r="EM155" s="456"/>
      <c r="EN155" s="456"/>
      <c r="EO155" s="425"/>
      <c r="EP155" s="425"/>
      <c r="EQ155" s="425" t="s">
        <v>743</v>
      </c>
      <c r="ER155" s="425">
        <v>1</v>
      </c>
      <c r="ES155" s="425">
        <v>10</v>
      </c>
      <c r="ET155" s="425">
        <v>75</v>
      </c>
      <c r="EU155" s="457">
        <v>3850</v>
      </c>
      <c r="EV155" s="425">
        <v>180</v>
      </c>
      <c r="EW155" s="425">
        <v>6892995</v>
      </c>
      <c r="EX155" s="425">
        <v>48334</v>
      </c>
      <c r="EY155" s="666">
        <v>6.45</v>
      </c>
      <c r="EZ155" s="666">
        <v>19.399999999999999</v>
      </c>
      <c r="FA155" s="666">
        <v>0</v>
      </c>
      <c r="FB155" s="666">
        <v>1.52</v>
      </c>
      <c r="FC155" s="666">
        <v>1.48</v>
      </c>
      <c r="FD155" s="666">
        <v>1.165</v>
      </c>
      <c r="FE155" s="666">
        <v>1.1100000000000001</v>
      </c>
      <c r="FF155" s="666">
        <v>100</v>
      </c>
      <c r="FG155" s="666">
        <v>0.33</v>
      </c>
      <c r="FH155" s="666">
        <v>0.128</v>
      </c>
      <c r="FI155" s="666">
        <v>0.3</v>
      </c>
      <c r="FJ155" s="666">
        <v>12.31</v>
      </c>
      <c r="FK155" s="666">
        <v>8.1</v>
      </c>
      <c r="FL155" s="666">
        <v>8.08</v>
      </c>
      <c r="FM155" s="666">
        <v>7.9</v>
      </c>
      <c r="FN155" s="666">
        <v>0</v>
      </c>
    </row>
    <row r="156" spans="1:170" s="416" customFormat="1" ht="15">
      <c r="A156" s="425" t="s">
        <v>3</v>
      </c>
      <c r="B156" s="426">
        <v>40685</v>
      </c>
      <c r="C156" s="418">
        <v>0</v>
      </c>
      <c r="D156" s="518">
        <v>0.04</v>
      </c>
      <c r="E156" s="453">
        <v>0</v>
      </c>
      <c r="F156" s="453">
        <v>45</v>
      </c>
      <c r="G156" s="453">
        <v>2.4</v>
      </c>
      <c r="H156" s="519">
        <v>33</v>
      </c>
      <c r="I156" s="519" t="s">
        <v>742</v>
      </c>
      <c r="J156" s="483">
        <v>7.0000000000000007E-2</v>
      </c>
      <c r="K156" s="520" t="s">
        <v>742</v>
      </c>
      <c r="L156" s="453">
        <v>46.989999999999782</v>
      </c>
      <c r="M156" s="453">
        <v>19.600000000000001</v>
      </c>
      <c r="N156" s="453">
        <v>1.4</v>
      </c>
      <c r="O156" s="453">
        <v>1.8806473333180931</v>
      </c>
      <c r="P156" s="453" t="s">
        <v>742</v>
      </c>
      <c r="Q156" s="453" t="s">
        <v>742</v>
      </c>
      <c r="R156" s="453">
        <v>751.13543461030383</v>
      </c>
      <c r="S156" s="453">
        <v>8</v>
      </c>
      <c r="T156" s="453" t="s">
        <v>742</v>
      </c>
      <c r="U156" s="453">
        <v>0.7</v>
      </c>
      <c r="V156" s="453" t="s">
        <v>742</v>
      </c>
      <c r="W156" s="453">
        <v>47</v>
      </c>
      <c r="X156" s="456" t="e">
        <v>#VALUE!</v>
      </c>
      <c r="Y156" s="453">
        <v>36.200000000000003</v>
      </c>
      <c r="Z156" s="453">
        <v>13.8</v>
      </c>
      <c r="AA156" s="519">
        <v>34.30000000000291</v>
      </c>
      <c r="AB156" s="519">
        <v>13.400000000001455</v>
      </c>
      <c r="AC156" s="732">
        <f t="shared" si="2"/>
        <v>47.700000000004366</v>
      </c>
      <c r="AD156" s="664"/>
      <c r="AE156" s="664"/>
      <c r="AF156" s="664"/>
      <c r="AG156" s="664"/>
      <c r="AH156" s="664"/>
      <c r="AI156" s="664"/>
      <c r="AJ156" s="485"/>
      <c r="AK156" s="485"/>
      <c r="AL156" s="485"/>
      <c r="AM156" s="485"/>
      <c r="AN156" s="485"/>
      <c r="AO156" s="665"/>
      <c r="AP156" s="485"/>
      <c r="AQ156" s="483"/>
      <c r="AR156" s="755">
        <v>0</v>
      </c>
      <c r="AS156" s="483">
        <v>22.9</v>
      </c>
      <c r="AT156" s="755">
        <v>0</v>
      </c>
      <c r="AU156" s="483">
        <v>36.1</v>
      </c>
      <c r="AV156" s="484">
        <v>571.20000000000005</v>
      </c>
      <c r="AW156" s="484">
        <v>720.1</v>
      </c>
      <c r="AX156" s="453">
        <v>0</v>
      </c>
      <c r="AY156" s="734">
        <v>0</v>
      </c>
      <c r="AZ156" s="734">
        <v>0</v>
      </c>
      <c r="BA156" s="734">
        <v>0</v>
      </c>
      <c r="BB156" s="453">
        <v>0</v>
      </c>
      <c r="BC156" s="453">
        <v>0</v>
      </c>
      <c r="BD156" s="453">
        <v>0</v>
      </c>
      <c r="BE156" s="734">
        <v>0</v>
      </c>
      <c r="BF156" s="453">
        <v>0</v>
      </c>
      <c r="BG156" s="453">
        <v>0</v>
      </c>
      <c r="BH156" s="734">
        <v>0</v>
      </c>
      <c r="BI156" s="453">
        <v>0</v>
      </c>
      <c r="BJ156" s="453">
        <v>13.5</v>
      </c>
      <c r="BK156" s="453">
        <v>0</v>
      </c>
      <c r="BL156" s="453">
        <v>0</v>
      </c>
      <c r="BM156" s="453">
        <v>0</v>
      </c>
      <c r="BN156" s="453">
        <v>13.4</v>
      </c>
      <c r="BO156" s="453">
        <v>1550.1</v>
      </c>
      <c r="BP156" s="453">
        <v>0</v>
      </c>
      <c r="BQ156" s="453">
        <v>3.9</v>
      </c>
      <c r="BR156" s="453">
        <v>17.5</v>
      </c>
      <c r="BS156" s="453">
        <v>0</v>
      </c>
      <c r="BT156" s="453">
        <v>35.799999999999997</v>
      </c>
      <c r="BU156" s="453">
        <v>30.6</v>
      </c>
      <c r="BV156" s="456">
        <v>769.9</v>
      </c>
      <c r="BW156" s="453">
        <v>0.71</v>
      </c>
      <c r="BX156" s="453">
        <v>1.64</v>
      </c>
      <c r="BY156" s="456">
        <v>1.1200000000000001</v>
      </c>
      <c r="BZ156" s="456">
        <v>15.2</v>
      </c>
      <c r="CA156" s="456">
        <v>35.4</v>
      </c>
      <c r="CB156" s="456">
        <v>12.15</v>
      </c>
      <c r="CC156" s="456">
        <v>9.4</v>
      </c>
      <c r="CD156" s="456">
        <v>13.6</v>
      </c>
      <c r="CE156" s="456">
        <v>17.7</v>
      </c>
      <c r="CF156" s="456">
        <v>13.4</v>
      </c>
      <c r="CG156" s="456">
        <v>533.79999999999995</v>
      </c>
      <c r="CH156" s="456">
        <v>2.1</v>
      </c>
      <c r="CI156" s="456">
        <v>2.8</v>
      </c>
      <c r="CJ156" s="456">
        <v>549.70000000000005</v>
      </c>
      <c r="CK156" s="456">
        <v>486.7</v>
      </c>
      <c r="CL156" s="456">
        <v>510.3</v>
      </c>
      <c r="CM156" s="456">
        <v>13.5</v>
      </c>
      <c r="CN156" s="456">
        <v>1.74</v>
      </c>
      <c r="CO156" s="453">
        <v>0</v>
      </c>
      <c r="CP156" s="453">
        <v>16.350000000000001</v>
      </c>
      <c r="CQ156" s="453">
        <v>49</v>
      </c>
      <c r="CR156" s="456">
        <v>0</v>
      </c>
      <c r="CS156" s="456">
        <v>0</v>
      </c>
      <c r="CT156" s="456">
        <v>0</v>
      </c>
      <c r="CU156" s="456">
        <v>0</v>
      </c>
      <c r="CV156" s="481">
        <v>1971.25</v>
      </c>
      <c r="CW156" s="481">
        <v>2780.8333333333335</v>
      </c>
      <c r="CX156" s="481">
        <v>2020.625</v>
      </c>
      <c r="CY156" s="481">
        <v>1160.3599999999999</v>
      </c>
      <c r="CZ156" s="456"/>
      <c r="DA156" s="456"/>
      <c r="DB156" s="456"/>
      <c r="DC156" s="456"/>
      <c r="DD156" s="456"/>
      <c r="DE156" s="456"/>
      <c r="DF156" s="456"/>
      <c r="DG156" s="425"/>
      <c r="DH156" s="456">
        <v>0</v>
      </c>
      <c r="DI156" s="456">
        <v>0.46</v>
      </c>
      <c r="DJ156" s="456">
        <v>1.27</v>
      </c>
      <c r="DK156" s="425"/>
      <c r="DL156" s="456"/>
      <c r="DM156" s="456"/>
      <c r="DN156" s="456"/>
      <c r="DO156" s="456"/>
      <c r="DP156" s="456"/>
      <c r="DQ156" s="456"/>
      <c r="DR156" s="456"/>
      <c r="DS156" s="456"/>
      <c r="DT156" s="456"/>
      <c r="DU156" s="456"/>
      <c r="DV156" s="456"/>
      <c r="DW156" s="456"/>
      <c r="DX156" s="456"/>
      <c r="DY156" s="456"/>
      <c r="DZ156" s="456"/>
      <c r="EA156" s="456"/>
      <c r="EB156" s="456"/>
      <c r="EC156" s="456"/>
      <c r="ED156" s="423">
        <v>0</v>
      </c>
      <c r="EE156" s="456">
        <v>0</v>
      </c>
      <c r="EF156" s="456">
        <v>2.5</v>
      </c>
      <c r="EG156" s="456">
        <v>6</v>
      </c>
      <c r="EH156" s="423">
        <v>0</v>
      </c>
      <c r="EI156" s="456"/>
      <c r="EJ156" s="456"/>
      <c r="EK156" s="456"/>
      <c r="EL156" s="456"/>
      <c r="EM156" s="456"/>
      <c r="EN156" s="456"/>
      <c r="EO156" s="425"/>
      <c r="EP156" s="425"/>
      <c r="EQ156" s="425" t="s">
        <v>743</v>
      </c>
      <c r="ER156" s="425">
        <v>1</v>
      </c>
      <c r="ES156" s="425">
        <v>10</v>
      </c>
      <c r="ET156" s="425">
        <v>75</v>
      </c>
      <c r="EU156" s="457">
        <v>3480</v>
      </c>
      <c r="EV156" s="425">
        <v>245</v>
      </c>
      <c r="EW156" s="425">
        <v>6896120</v>
      </c>
      <c r="EX156" s="425">
        <v>48334</v>
      </c>
      <c r="EY156" s="666">
        <v>3.4</v>
      </c>
      <c r="EZ156" s="666">
        <v>17.68</v>
      </c>
      <c r="FA156" s="666">
        <v>0</v>
      </c>
      <c r="FB156" s="666">
        <v>1.53</v>
      </c>
      <c r="FC156" s="666">
        <v>1.37</v>
      </c>
      <c r="FD156" s="666">
        <v>1.2190000000000001</v>
      </c>
      <c r="FE156" s="666">
        <v>1.23</v>
      </c>
      <c r="FF156" s="666">
        <v>270</v>
      </c>
      <c r="FG156" s="666">
        <v>0.23</v>
      </c>
      <c r="FH156" s="666">
        <v>0.114</v>
      </c>
      <c r="FI156" s="666">
        <v>0.2</v>
      </c>
      <c r="FJ156" s="666">
        <v>12.23</v>
      </c>
      <c r="FK156" s="666">
        <v>8.1999999999999993</v>
      </c>
      <c r="FL156" s="666">
        <v>8.07</v>
      </c>
      <c r="FM156" s="666">
        <v>7.9</v>
      </c>
      <c r="FN156" s="666">
        <v>0</v>
      </c>
    </row>
    <row r="157" spans="1:170" s="416" customFormat="1" ht="15">
      <c r="A157" s="425" t="s">
        <v>4</v>
      </c>
      <c r="B157" s="426">
        <v>40686</v>
      </c>
      <c r="C157" s="418">
        <v>0</v>
      </c>
      <c r="D157" s="518">
        <v>0</v>
      </c>
      <c r="E157" s="453">
        <v>0</v>
      </c>
      <c r="F157" s="453">
        <v>47</v>
      </c>
      <c r="G157" s="453">
        <v>2.1</v>
      </c>
      <c r="H157" s="519">
        <v>20.7</v>
      </c>
      <c r="I157" s="519">
        <v>80.400000000000006</v>
      </c>
      <c r="J157" s="483">
        <v>7.0000000000000007E-2</v>
      </c>
      <c r="K157" s="520" t="s">
        <v>742</v>
      </c>
      <c r="L157" s="453">
        <v>44.319999999999709</v>
      </c>
      <c r="M157" s="453">
        <v>19.8</v>
      </c>
      <c r="N157" s="453">
        <v>1.4</v>
      </c>
      <c r="O157" s="453">
        <v>1.8484955298301726</v>
      </c>
      <c r="P157" s="453" t="s">
        <v>742</v>
      </c>
      <c r="Q157" s="453" t="s">
        <v>742</v>
      </c>
      <c r="R157" s="453">
        <v>710.97122853368546</v>
      </c>
      <c r="S157" s="453">
        <v>7.98</v>
      </c>
      <c r="T157" s="453" t="s">
        <v>742</v>
      </c>
      <c r="U157" s="453">
        <v>0.67</v>
      </c>
      <c r="V157" s="453" t="s">
        <v>742</v>
      </c>
      <c r="W157" s="453">
        <v>47.3</v>
      </c>
      <c r="X157" s="456" t="e">
        <v>#VALUE!</v>
      </c>
      <c r="Y157" s="453">
        <v>33.299999999999997</v>
      </c>
      <c r="Z157" s="453">
        <v>12.9</v>
      </c>
      <c r="AA157" s="519">
        <v>33.399999999994179</v>
      </c>
      <c r="AB157" s="519">
        <v>11.299999999995634</v>
      </c>
      <c r="AC157" s="732">
        <f t="shared" si="2"/>
        <v>44.699999999989814</v>
      </c>
      <c r="AD157" s="664"/>
      <c r="AE157" s="664"/>
      <c r="AF157" s="664"/>
      <c r="AG157" s="664"/>
      <c r="AH157" s="664"/>
      <c r="AI157" s="664"/>
      <c r="AJ157" s="485"/>
      <c r="AK157" s="485"/>
      <c r="AL157" s="485"/>
      <c r="AM157" s="485"/>
      <c r="AN157" s="485"/>
      <c r="AO157" s="665"/>
      <c r="AP157" s="485"/>
      <c r="AQ157" s="483"/>
      <c r="AR157" s="766">
        <v>0</v>
      </c>
      <c r="AS157" s="763">
        <v>31.7</v>
      </c>
      <c r="AT157" s="766">
        <v>0</v>
      </c>
      <c r="AU157" s="763">
        <v>34.799999999999997</v>
      </c>
      <c r="AV157" s="519">
        <v>326.5</v>
      </c>
      <c r="AW157" s="519">
        <v>369.1</v>
      </c>
      <c r="AX157" s="763">
        <v>0</v>
      </c>
      <c r="AY157" s="766">
        <v>0</v>
      </c>
      <c r="AZ157" s="766">
        <v>0</v>
      </c>
      <c r="BA157" s="766">
        <v>0</v>
      </c>
      <c r="BB157" s="766">
        <v>0</v>
      </c>
      <c r="BC157" s="763">
        <v>0</v>
      </c>
      <c r="BD157" s="763">
        <v>0</v>
      </c>
      <c r="BE157" s="766">
        <v>0</v>
      </c>
      <c r="BF157" s="766">
        <v>0</v>
      </c>
      <c r="BG157" s="763">
        <v>0</v>
      </c>
      <c r="BH157" s="766">
        <v>0</v>
      </c>
      <c r="BI157" s="763">
        <v>0</v>
      </c>
      <c r="BJ157" s="763">
        <v>11.3</v>
      </c>
      <c r="BK157" s="763">
        <v>0</v>
      </c>
      <c r="BL157" s="763">
        <v>0</v>
      </c>
      <c r="BM157" s="763">
        <v>0</v>
      </c>
      <c r="BN157" s="763">
        <v>11.1</v>
      </c>
      <c r="BO157" s="763">
        <v>1287.7</v>
      </c>
      <c r="BP157" s="763">
        <v>0</v>
      </c>
      <c r="BQ157" s="763">
        <v>3</v>
      </c>
      <c r="BR157" s="763">
        <v>17</v>
      </c>
      <c r="BS157" s="763">
        <v>0</v>
      </c>
      <c r="BT157" s="763">
        <v>35.6</v>
      </c>
      <c r="BU157" s="763">
        <v>30</v>
      </c>
      <c r="BV157" s="764">
        <v>1017.7</v>
      </c>
      <c r="BW157" s="763">
        <v>0.2</v>
      </c>
      <c r="BX157" s="763">
        <v>1.62</v>
      </c>
      <c r="BY157" s="764">
        <v>1.1100000000000001</v>
      </c>
      <c r="BZ157" s="764">
        <v>15.15</v>
      </c>
      <c r="CA157" s="764">
        <v>33.4</v>
      </c>
      <c r="CB157" s="764">
        <v>14.03</v>
      </c>
      <c r="CC157" s="764">
        <v>9.07</v>
      </c>
      <c r="CD157" s="764">
        <v>13.31</v>
      </c>
      <c r="CE157" s="764">
        <v>17.38</v>
      </c>
      <c r="CF157" s="764">
        <v>13.2</v>
      </c>
      <c r="CG157" s="764">
        <v>274.89999999999998</v>
      </c>
      <c r="CH157" s="764">
        <v>2</v>
      </c>
      <c r="CI157" s="764">
        <v>2.9</v>
      </c>
      <c r="CJ157" s="764">
        <v>584.79999999999995</v>
      </c>
      <c r="CK157" s="764">
        <v>490.2</v>
      </c>
      <c r="CL157" s="764">
        <v>566.6</v>
      </c>
      <c r="CM157" s="764">
        <v>13.5</v>
      </c>
      <c r="CN157" s="764">
        <v>1.77</v>
      </c>
      <c r="CO157" s="763">
        <v>3605.6</v>
      </c>
      <c r="CP157" s="763">
        <v>16.11</v>
      </c>
      <c r="CQ157" s="763">
        <v>51</v>
      </c>
      <c r="CR157" s="764">
        <v>0</v>
      </c>
      <c r="CS157" s="764">
        <v>0</v>
      </c>
      <c r="CT157" s="764">
        <v>0</v>
      </c>
      <c r="CU157" s="764">
        <v>0</v>
      </c>
      <c r="CV157" s="767">
        <v>1764.1666666666667</v>
      </c>
      <c r="CW157" s="767">
        <v>2663.0208333333335</v>
      </c>
      <c r="CX157" s="767">
        <v>1814.7916666666667</v>
      </c>
      <c r="CY157" s="767">
        <v>1160.3900000000001</v>
      </c>
      <c r="CZ157" s="764"/>
      <c r="DA157" s="764"/>
      <c r="DB157" s="764"/>
      <c r="DC157" s="764"/>
      <c r="DD157" s="764"/>
      <c r="DE157" s="764"/>
      <c r="DF157" s="764"/>
      <c r="DG157" s="760"/>
      <c r="DH157" s="764">
        <v>50</v>
      </c>
      <c r="DI157" s="764">
        <v>0.46</v>
      </c>
      <c r="DJ157" s="764">
        <v>1.1499999999999999</v>
      </c>
      <c r="DK157" s="425"/>
      <c r="DL157" s="456"/>
      <c r="DM157" s="456"/>
      <c r="DN157" s="456"/>
      <c r="DO157" s="456"/>
      <c r="DP157" s="456"/>
      <c r="DQ157" s="456"/>
      <c r="DR157" s="456"/>
      <c r="DS157" s="456"/>
      <c r="DT157" s="456"/>
      <c r="DU157" s="456"/>
      <c r="DV157" s="456"/>
      <c r="DW157" s="456"/>
      <c r="DX157" s="456"/>
      <c r="DY157" s="456"/>
      <c r="DZ157" s="456"/>
      <c r="EA157" s="456"/>
      <c r="EB157" s="456"/>
      <c r="EC157" s="456"/>
      <c r="ED157" s="423">
        <v>0</v>
      </c>
      <c r="EE157" s="456">
        <v>0</v>
      </c>
      <c r="EF157" s="456">
        <v>2.5</v>
      </c>
      <c r="EG157" s="456">
        <v>6</v>
      </c>
      <c r="EH157" s="423">
        <v>0</v>
      </c>
      <c r="EI157" s="456"/>
      <c r="EJ157" s="456"/>
      <c r="EK157" s="456"/>
      <c r="EL157" s="456"/>
      <c r="EM157" s="456"/>
      <c r="EN157" s="456"/>
      <c r="EO157" s="425"/>
      <c r="EP157" s="425"/>
      <c r="EQ157" s="425" t="s">
        <v>743</v>
      </c>
      <c r="ER157" s="425">
        <v>1</v>
      </c>
      <c r="ES157" s="425">
        <v>10</v>
      </c>
      <c r="ET157" s="425">
        <v>75</v>
      </c>
      <c r="EU157" s="457">
        <v>3240</v>
      </c>
      <c r="EV157" s="425">
        <v>200</v>
      </c>
      <c r="EW157" s="425">
        <v>6898977</v>
      </c>
      <c r="EX157" s="425">
        <v>48334</v>
      </c>
      <c r="EY157" s="666">
        <v>0</v>
      </c>
      <c r="EZ157" s="666">
        <v>17.399999999999999</v>
      </c>
      <c r="FA157" s="666">
        <v>0</v>
      </c>
      <c r="FB157" s="666">
        <v>1.5</v>
      </c>
      <c r="FC157" s="666">
        <v>1.47</v>
      </c>
      <c r="FD157" s="666">
        <v>1.1299999999999999</v>
      </c>
      <c r="FE157" s="666">
        <v>1.1399999999999999</v>
      </c>
      <c r="FF157" s="666">
        <v>240</v>
      </c>
      <c r="FG157" s="666">
        <v>0.17</v>
      </c>
      <c r="FH157" s="666">
        <v>0.11</v>
      </c>
      <c r="FI157" s="666">
        <v>0.18</v>
      </c>
      <c r="FJ157" s="666">
        <v>12.9</v>
      </c>
      <c r="FK157" s="666">
        <v>8.6</v>
      </c>
      <c r="FL157" s="666">
        <v>8.1199999999999992</v>
      </c>
      <c r="FM157" s="666">
        <v>7.7</v>
      </c>
      <c r="FN157" s="666">
        <v>0</v>
      </c>
    </row>
    <row r="158" spans="1:170" s="416" customFormat="1" ht="15">
      <c r="A158" s="425" t="s">
        <v>5</v>
      </c>
      <c r="B158" s="426">
        <v>40687</v>
      </c>
      <c r="C158" s="418">
        <v>0</v>
      </c>
      <c r="D158" s="518">
        <v>0</v>
      </c>
      <c r="E158" s="453">
        <v>0</v>
      </c>
      <c r="F158" s="453">
        <v>50</v>
      </c>
      <c r="G158" s="453">
        <v>2.0499999999999998</v>
      </c>
      <c r="H158" s="519">
        <v>17.899999999999999</v>
      </c>
      <c r="I158" s="519">
        <v>82.3</v>
      </c>
      <c r="J158" s="483">
        <v>0.06</v>
      </c>
      <c r="K158" s="520" t="s">
        <v>742</v>
      </c>
      <c r="L158" s="453">
        <v>42.210000000000946</v>
      </c>
      <c r="M158" s="453">
        <v>19.8</v>
      </c>
      <c r="N158" s="453">
        <v>1.45</v>
      </c>
      <c r="O158" s="453">
        <v>1.8351186712326006</v>
      </c>
      <c r="P158" s="453" t="s">
        <v>742</v>
      </c>
      <c r="Q158" s="453" t="s">
        <v>742</v>
      </c>
      <c r="R158" s="453">
        <v>659.47035138705394</v>
      </c>
      <c r="S158" s="453">
        <v>7.97</v>
      </c>
      <c r="T158" s="453" t="s">
        <v>742</v>
      </c>
      <c r="U158" s="453">
        <v>0.68</v>
      </c>
      <c r="V158" s="453" t="s">
        <v>742</v>
      </c>
      <c r="W158" s="453">
        <v>47.480000000000004</v>
      </c>
      <c r="X158" s="456" t="e">
        <v>#VALUE!</v>
      </c>
      <c r="Y158" s="453">
        <v>33.340000000000003</v>
      </c>
      <c r="Z158" s="453">
        <v>9.0399999999999991</v>
      </c>
      <c r="AA158" s="519">
        <v>33.19999999999709</v>
      </c>
      <c r="AB158" s="519">
        <v>9</v>
      </c>
      <c r="AC158" s="732">
        <f t="shared" si="2"/>
        <v>42.19999999999709</v>
      </c>
      <c r="AD158" s="664"/>
      <c r="AE158" s="664"/>
      <c r="AF158" s="664"/>
      <c r="AG158" s="664"/>
      <c r="AH158" s="664"/>
      <c r="AI158" s="664"/>
      <c r="AJ158" s="485"/>
      <c r="AK158" s="485"/>
      <c r="AL158" s="485"/>
      <c r="AM158" s="485"/>
      <c r="AN158" s="485"/>
      <c r="AO158" s="665"/>
      <c r="AP158" s="485"/>
      <c r="AQ158" s="483"/>
      <c r="AR158" s="766">
        <v>0</v>
      </c>
      <c r="AS158" s="763">
        <v>18.8</v>
      </c>
      <c r="AT158" s="766">
        <v>0</v>
      </c>
      <c r="AU158" s="763">
        <v>34.799999999999997</v>
      </c>
      <c r="AV158" s="519">
        <v>381.7</v>
      </c>
      <c r="AW158" s="519">
        <v>436.2</v>
      </c>
      <c r="AX158" s="763">
        <v>0</v>
      </c>
      <c r="AY158" s="766">
        <v>0</v>
      </c>
      <c r="AZ158" s="766">
        <v>0</v>
      </c>
      <c r="BA158" s="766">
        <v>0</v>
      </c>
      <c r="BB158" s="766">
        <v>0</v>
      </c>
      <c r="BC158" s="763">
        <v>0</v>
      </c>
      <c r="BD158" s="763">
        <v>0</v>
      </c>
      <c r="BE158" s="766">
        <v>0</v>
      </c>
      <c r="BF158" s="766">
        <v>0</v>
      </c>
      <c r="BG158" s="763">
        <v>0</v>
      </c>
      <c r="BH158" s="766">
        <v>0</v>
      </c>
      <c r="BI158" s="763">
        <v>0</v>
      </c>
      <c r="BJ158" s="763">
        <v>9</v>
      </c>
      <c r="BK158" s="763">
        <v>0</v>
      </c>
      <c r="BL158" s="763">
        <v>0</v>
      </c>
      <c r="BM158" s="763">
        <v>0</v>
      </c>
      <c r="BN158" s="763">
        <v>8.8000000000000007</v>
      </c>
      <c r="BO158" s="763">
        <v>1974.8</v>
      </c>
      <c r="BP158" s="763">
        <v>0</v>
      </c>
      <c r="BQ158" s="763">
        <v>0</v>
      </c>
      <c r="BR158" s="763">
        <v>17</v>
      </c>
      <c r="BS158" s="763">
        <v>0</v>
      </c>
      <c r="BT158" s="763">
        <v>34.9</v>
      </c>
      <c r="BU158" s="763">
        <v>26.7</v>
      </c>
      <c r="BV158" s="764">
        <v>1471.7</v>
      </c>
      <c r="BW158" s="763">
        <v>0.1</v>
      </c>
      <c r="BX158" s="763">
        <v>1.64</v>
      </c>
      <c r="BY158" s="764">
        <v>1.1100000000000001</v>
      </c>
      <c r="BZ158" s="764">
        <v>15.19</v>
      </c>
      <c r="CA158" s="764">
        <v>33.200000000000003</v>
      </c>
      <c r="CB158" s="764">
        <v>13.36</v>
      </c>
      <c r="CC158" s="764">
        <v>9.07</v>
      </c>
      <c r="CD158" s="764">
        <v>13.29</v>
      </c>
      <c r="CE158" s="764">
        <v>17.43</v>
      </c>
      <c r="CF158" s="764">
        <v>14.01</v>
      </c>
      <c r="CG158" s="764">
        <v>173.5</v>
      </c>
      <c r="CH158" s="764">
        <v>1.1000000000000001</v>
      </c>
      <c r="CI158" s="764">
        <v>1.4</v>
      </c>
      <c r="CJ158" s="764">
        <v>582.9</v>
      </c>
      <c r="CK158" s="764">
        <v>452.8</v>
      </c>
      <c r="CL158" s="764">
        <v>562</v>
      </c>
      <c r="CM158" s="764">
        <v>15</v>
      </c>
      <c r="CN158" s="764">
        <v>1.95</v>
      </c>
      <c r="CO158" s="763">
        <v>7705.8</v>
      </c>
      <c r="CP158" s="763">
        <v>15.88</v>
      </c>
      <c r="CQ158" s="763">
        <v>51</v>
      </c>
      <c r="CR158" s="764">
        <v>0</v>
      </c>
      <c r="CS158" s="764">
        <v>0</v>
      </c>
      <c r="CT158" s="764">
        <v>0</v>
      </c>
      <c r="CU158" s="764">
        <v>0</v>
      </c>
      <c r="CV158" s="767">
        <v>1539.1666666666667</v>
      </c>
      <c r="CW158" s="767">
        <v>2284.5833333333335</v>
      </c>
      <c r="CX158" s="767">
        <v>1556.6666666666667</v>
      </c>
      <c r="CY158" s="767">
        <v>1160.56</v>
      </c>
      <c r="CZ158" s="456"/>
      <c r="DA158" s="456"/>
      <c r="DB158" s="456"/>
      <c r="DC158" s="456"/>
      <c r="DD158" s="456"/>
      <c r="DE158" s="456"/>
      <c r="DF158" s="456"/>
      <c r="DG158" s="425"/>
      <c r="DH158" s="764">
        <v>70</v>
      </c>
      <c r="DI158" s="764">
        <v>0.53</v>
      </c>
      <c r="DJ158" s="764">
        <v>1.31</v>
      </c>
      <c r="DK158" s="425"/>
      <c r="DL158" s="456"/>
      <c r="DM158" s="456"/>
      <c r="DN158" s="456"/>
      <c r="DO158" s="456"/>
      <c r="DP158" s="456"/>
      <c r="DQ158" s="456"/>
      <c r="DR158" s="456"/>
      <c r="DS158" s="456"/>
      <c r="DT158" s="456"/>
      <c r="DU158" s="456"/>
      <c r="DV158" s="456"/>
      <c r="DW158" s="456"/>
      <c r="DX158" s="456"/>
      <c r="DY158" s="456"/>
      <c r="DZ158" s="456"/>
      <c r="EA158" s="456"/>
      <c r="EB158" s="456"/>
      <c r="EC158" s="456"/>
      <c r="ED158" s="423">
        <v>0</v>
      </c>
      <c r="EE158" s="456">
        <v>0</v>
      </c>
      <c r="EF158" s="456">
        <v>2.5</v>
      </c>
      <c r="EG158" s="456">
        <v>6</v>
      </c>
      <c r="EH158" s="423">
        <v>0</v>
      </c>
      <c r="EI158" s="456"/>
      <c r="EJ158" s="456"/>
      <c r="EK158" s="456"/>
      <c r="EL158" s="456"/>
      <c r="EM158" s="456"/>
      <c r="EN158" s="456"/>
      <c r="EO158" s="425"/>
      <c r="EP158" s="425"/>
      <c r="EQ158" s="425" t="s">
        <v>743</v>
      </c>
      <c r="ER158" s="425">
        <v>1</v>
      </c>
      <c r="ES158" s="425">
        <v>8</v>
      </c>
      <c r="ET158" s="425">
        <v>75</v>
      </c>
      <c r="EU158" s="457">
        <v>3020</v>
      </c>
      <c r="EV158" s="425">
        <v>210</v>
      </c>
      <c r="EW158" s="425">
        <v>6901542</v>
      </c>
      <c r="EX158" s="425">
        <v>48334</v>
      </c>
      <c r="EY158" s="666">
        <v>0</v>
      </c>
      <c r="EZ158" s="666">
        <v>18.3</v>
      </c>
      <c r="FA158" s="666">
        <v>0</v>
      </c>
      <c r="FB158" s="666">
        <v>1.56</v>
      </c>
      <c r="FC158" s="666">
        <v>1.52</v>
      </c>
      <c r="FD158" s="666">
        <v>1.17</v>
      </c>
      <c r="FE158" s="666">
        <v>1.18</v>
      </c>
      <c r="FF158" s="666">
        <v>220</v>
      </c>
      <c r="FG158" s="666">
        <v>0.17</v>
      </c>
      <c r="FH158" s="666">
        <v>0.1</v>
      </c>
      <c r="FI158" s="666">
        <v>0.19</v>
      </c>
      <c r="FJ158" s="666">
        <v>7.65</v>
      </c>
      <c r="FK158" s="666">
        <v>8</v>
      </c>
      <c r="FL158" s="666">
        <v>8.11</v>
      </c>
      <c r="FM158" s="666">
        <v>7.6</v>
      </c>
      <c r="FN158" s="666">
        <v>0</v>
      </c>
    </row>
    <row r="159" spans="1:170" s="416" customFormat="1" ht="15">
      <c r="A159" s="425" t="s">
        <v>6</v>
      </c>
      <c r="B159" s="426">
        <v>40688</v>
      </c>
      <c r="C159" s="418">
        <v>0</v>
      </c>
      <c r="D159" s="518">
        <v>0.61</v>
      </c>
      <c r="E159" s="453">
        <v>0</v>
      </c>
      <c r="F159" s="453">
        <v>43</v>
      </c>
      <c r="G159" s="453">
        <v>2.0499999999999998</v>
      </c>
      <c r="H159" s="519">
        <v>20</v>
      </c>
      <c r="I159" s="519">
        <v>86.3</v>
      </c>
      <c r="J159" s="483">
        <v>7.0000000000000007E-2</v>
      </c>
      <c r="K159" s="520" t="s">
        <v>742</v>
      </c>
      <c r="L159" s="453">
        <v>42.8799999999992</v>
      </c>
      <c r="M159" s="453">
        <v>19.8</v>
      </c>
      <c r="N159" s="453">
        <v>1.5</v>
      </c>
      <c r="O159" s="453">
        <v>1.8294987523852693</v>
      </c>
      <c r="P159" s="453" t="s">
        <v>742</v>
      </c>
      <c r="Q159" s="453" t="s">
        <v>742</v>
      </c>
      <c r="R159" s="453">
        <v>659.1464464993395</v>
      </c>
      <c r="S159" s="453">
        <v>8</v>
      </c>
      <c r="T159" s="453" t="s">
        <v>742</v>
      </c>
      <c r="U159" s="453">
        <v>0.7</v>
      </c>
      <c r="V159" s="453" t="s">
        <v>742</v>
      </c>
      <c r="W159" s="453">
        <v>47.84</v>
      </c>
      <c r="X159" s="456" t="e">
        <v>#VALUE!</v>
      </c>
      <c r="Y159" s="453">
        <v>33.35</v>
      </c>
      <c r="Z159" s="453">
        <v>8.6999999999999993</v>
      </c>
      <c r="AA159" s="519">
        <v>33.200000000011642</v>
      </c>
      <c r="AB159" s="519">
        <v>9.9000000000014552</v>
      </c>
      <c r="AC159" s="732">
        <f t="shared" si="2"/>
        <v>43.100000000013097</v>
      </c>
      <c r="AD159" s="664"/>
      <c r="AE159" s="664"/>
      <c r="AF159" s="664"/>
      <c r="AG159" s="664"/>
      <c r="AH159" s="664"/>
      <c r="AI159" s="664"/>
      <c r="AJ159" s="485"/>
      <c r="AK159" s="485"/>
      <c r="AL159" s="485"/>
      <c r="AM159" s="485"/>
      <c r="AN159" s="485"/>
      <c r="AO159" s="665"/>
      <c r="AP159" s="485"/>
      <c r="AQ159" s="483"/>
      <c r="AR159" s="755">
        <v>0</v>
      </c>
      <c r="AS159" s="483">
        <v>17.399999999999999</v>
      </c>
      <c r="AT159" s="755">
        <v>0</v>
      </c>
      <c r="AU159" s="483">
        <v>34.700000000000003</v>
      </c>
      <c r="AV159" s="484">
        <v>406.6</v>
      </c>
      <c r="AW159" s="484">
        <v>452.8</v>
      </c>
      <c r="AX159" s="453">
        <v>0</v>
      </c>
      <c r="AY159" s="734">
        <v>0</v>
      </c>
      <c r="AZ159" s="734">
        <v>0</v>
      </c>
      <c r="BA159" s="734">
        <v>0</v>
      </c>
      <c r="BB159" s="453">
        <v>0</v>
      </c>
      <c r="BC159" s="453">
        <v>0</v>
      </c>
      <c r="BD159" s="453">
        <v>0</v>
      </c>
      <c r="BE159" s="734">
        <v>0</v>
      </c>
      <c r="BF159" s="453">
        <v>0</v>
      </c>
      <c r="BG159" s="453">
        <v>0</v>
      </c>
      <c r="BH159" s="734">
        <v>0</v>
      </c>
      <c r="BI159" s="453">
        <v>0</v>
      </c>
      <c r="BJ159" s="453">
        <v>10</v>
      </c>
      <c r="BK159" s="453">
        <v>0</v>
      </c>
      <c r="BL159" s="453">
        <v>0</v>
      </c>
      <c r="BM159" s="453">
        <v>0</v>
      </c>
      <c r="BN159" s="453">
        <v>9.8000000000000007</v>
      </c>
      <c r="BO159" s="453">
        <v>1091</v>
      </c>
      <c r="BP159" s="453">
        <v>0</v>
      </c>
      <c r="BQ159" s="453">
        <v>0</v>
      </c>
      <c r="BR159" s="453">
        <v>17</v>
      </c>
      <c r="BS159" s="453">
        <v>0</v>
      </c>
      <c r="BT159" s="453">
        <v>34.9</v>
      </c>
      <c r="BU159" s="453">
        <v>27.1</v>
      </c>
      <c r="BV159" s="456">
        <v>742.4</v>
      </c>
      <c r="BW159" s="453">
        <v>0.1</v>
      </c>
      <c r="BX159" s="453">
        <v>1.68</v>
      </c>
      <c r="BY159" s="456">
        <v>1.1200000000000001</v>
      </c>
      <c r="BZ159" s="456">
        <v>14.48</v>
      </c>
      <c r="CA159" s="456">
        <v>35.200000000000003</v>
      </c>
      <c r="CB159" s="456">
        <v>12.8</v>
      </c>
      <c r="CC159" s="456">
        <v>8.93</v>
      </c>
      <c r="CD159" s="456">
        <v>13.17</v>
      </c>
      <c r="CE159" s="456">
        <v>17.23</v>
      </c>
      <c r="CF159" s="456">
        <v>12.86</v>
      </c>
      <c r="CG159" s="456">
        <v>274.8</v>
      </c>
      <c r="CH159" s="456">
        <v>2.1</v>
      </c>
      <c r="CI159" s="456">
        <v>3</v>
      </c>
      <c r="CJ159" s="456">
        <v>469.1</v>
      </c>
      <c r="CK159" s="456">
        <v>422.8</v>
      </c>
      <c r="CL159" s="456">
        <v>556.4</v>
      </c>
      <c r="CM159" s="456">
        <v>14.6</v>
      </c>
      <c r="CN159" s="456">
        <v>1.85</v>
      </c>
      <c r="CO159" s="453">
        <v>5481</v>
      </c>
      <c r="CP159" s="453">
        <v>16.88</v>
      </c>
      <c r="CQ159" s="453">
        <v>51</v>
      </c>
      <c r="CR159" s="456">
        <v>0</v>
      </c>
      <c r="CS159" s="456">
        <v>0</v>
      </c>
      <c r="CT159" s="456">
        <v>0</v>
      </c>
      <c r="CU159" s="456">
        <v>0</v>
      </c>
      <c r="CV159" s="481">
        <v>1505</v>
      </c>
      <c r="CW159" s="481">
        <v>2207.7083333333335</v>
      </c>
      <c r="CX159" s="481">
        <v>1522.8125</v>
      </c>
      <c r="CY159" s="481">
        <v>1160.8</v>
      </c>
      <c r="CZ159" s="456"/>
      <c r="DA159" s="456"/>
      <c r="DB159" s="456"/>
      <c r="DC159" s="456"/>
      <c r="DD159" s="456"/>
      <c r="DE159" s="456"/>
      <c r="DF159" s="456"/>
      <c r="DG159" s="425"/>
      <c r="DH159" s="456">
        <v>44</v>
      </c>
      <c r="DI159" s="456">
        <v>0.51</v>
      </c>
      <c r="DJ159" s="456">
        <v>1.22</v>
      </c>
      <c r="DK159" s="425"/>
      <c r="DL159" s="456"/>
      <c r="DM159" s="456"/>
      <c r="DN159" s="456"/>
      <c r="DO159" s="456"/>
      <c r="DP159" s="456"/>
      <c r="DQ159" s="456"/>
      <c r="DR159" s="456"/>
      <c r="DS159" s="456"/>
      <c r="DT159" s="456"/>
      <c r="DU159" s="456"/>
      <c r="DV159" s="456"/>
      <c r="DW159" s="456"/>
      <c r="DX159" s="456"/>
      <c r="DY159" s="456"/>
      <c r="DZ159" s="456"/>
      <c r="EA159" s="456"/>
      <c r="EB159" s="456"/>
      <c r="EC159" s="456"/>
      <c r="ED159" s="423">
        <v>0</v>
      </c>
      <c r="EE159" s="456">
        <v>0</v>
      </c>
      <c r="EF159" s="456">
        <v>2.5</v>
      </c>
      <c r="EG159" s="456">
        <v>6</v>
      </c>
      <c r="EH159" s="423">
        <v>0</v>
      </c>
      <c r="EI159" s="456"/>
      <c r="EJ159" s="456"/>
      <c r="EK159" s="456"/>
      <c r="EL159" s="456"/>
      <c r="EM159" s="456"/>
      <c r="EN159" s="456"/>
      <c r="EO159" s="425"/>
      <c r="EP159" s="425"/>
      <c r="EQ159" s="425" t="s">
        <v>743</v>
      </c>
      <c r="ER159" s="425">
        <v>1</v>
      </c>
      <c r="ES159" s="425">
        <v>8</v>
      </c>
      <c r="ET159" s="425">
        <v>75</v>
      </c>
      <c r="EU159" s="457">
        <v>2800</v>
      </c>
      <c r="EV159" s="425">
        <v>175</v>
      </c>
      <c r="EW159" s="425">
        <v>6904246</v>
      </c>
      <c r="EX159" s="425">
        <v>48334</v>
      </c>
      <c r="EY159" s="666">
        <v>0</v>
      </c>
      <c r="EZ159" s="666">
        <v>17.649999999999999</v>
      </c>
      <c r="FA159" s="666">
        <v>0</v>
      </c>
      <c r="FB159" s="666">
        <v>1.57</v>
      </c>
      <c r="FC159" s="666">
        <v>1.52</v>
      </c>
      <c r="FD159" s="666">
        <v>1.08</v>
      </c>
      <c r="FE159" s="666">
        <v>0.1</v>
      </c>
      <c r="FF159" s="666">
        <v>220</v>
      </c>
      <c r="FG159" s="666">
        <v>0.53</v>
      </c>
      <c r="FH159" s="666">
        <v>0.1</v>
      </c>
      <c r="FI159" s="666">
        <v>0.14000000000000001</v>
      </c>
      <c r="FJ159" s="666">
        <v>7.66</v>
      </c>
      <c r="FK159" s="666">
        <v>7.9</v>
      </c>
      <c r="FL159" s="666">
        <v>8.07</v>
      </c>
      <c r="FM159" s="666">
        <v>7.6</v>
      </c>
      <c r="FN159" s="666">
        <v>0</v>
      </c>
    </row>
    <row r="160" spans="1:170" s="416" customFormat="1" ht="15">
      <c r="A160" s="425" t="s">
        <v>7</v>
      </c>
      <c r="B160" s="426">
        <v>40689</v>
      </c>
      <c r="C160" s="418">
        <v>0</v>
      </c>
      <c r="D160" s="518">
        <v>0.15</v>
      </c>
      <c r="E160" s="453">
        <v>0</v>
      </c>
      <c r="F160" s="453">
        <v>46</v>
      </c>
      <c r="G160" s="453">
        <v>2.2000000000000002</v>
      </c>
      <c r="H160" s="519">
        <v>11</v>
      </c>
      <c r="I160" s="519">
        <v>85.3</v>
      </c>
      <c r="J160" s="483">
        <v>0.06</v>
      </c>
      <c r="K160" s="520" t="s">
        <v>742</v>
      </c>
      <c r="L160" s="453">
        <v>46.480000000001382</v>
      </c>
      <c r="M160" s="453">
        <v>19.100000000000001</v>
      </c>
      <c r="N160" s="453">
        <v>1.4</v>
      </c>
      <c r="O160" s="453">
        <v>1.8339938353147247</v>
      </c>
      <c r="P160" s="453" t="s">
        <v>742</v>
      </c>
      <c r="Q160" s="453" t="s">
        <v>742</v>
      </c>
      <c r="R160" s="453">
        <v>715.82980184940538</v>
      </c>
      <c r="S160" s="453">
        <v>8</v>
      </c>
      <c r="T160" s="453" t="s">
        <v>742</v>
      </c>
      <c r="U160" s="453">
        <v>0.7</v>
      </c>
      <c r="V160" s="453" t="s">
        <v>742</v>
      </c>
      <c r="W160" s="453">
        <v>47.480000000000004</v>
      </c>
      <c r="X160" s="456" t="e">
        <v>#VALUE!</v>
      </c>
      <c r="Y160" s="453">
        <v>34.799999999999997</v>
      </c>
      <c r="Z160" s="453">
        <v>11.6</v>
      </c>
      <c r="AA160" s="519">
        <v>34.69999999999709</v>
      </c>
      <c r="AB160" s="519">
        <v>12</v>
      </c>
      <c r="AC160" s="732">
        <f t="shared" si="2"/>
        <v>46.69999999999709</v>
      </c>
      <c r="AD160" s="664"/>
      <c r="AE160" s="664"/>
      <c r="AF160" s="664"/>
      <c r="AG160" s="664"/>
      <c r="AH160" s="664"/>
      <c r="AI160" s="664"/>
      <c r="AJ160" s="485"/>
      <c r="AK160" s="485"/>
      <c r="AL160" s="485"/>
      <c r="AM160" s="485"/>
      <c r="AN160" s="485"/>
      <c r="AO160" s="665"/>
      <c r="AP160" s="485"/>
      <c r="AQ160" s="483"/>
      <c r="AR160" s="755">
        <v>0</v>
      </c>
      <c r="AS160" s="483">
        <v>17.899999999999999</v>
      </c>
      <c r="AT160" s="755">
        <v>0</v>
      </c>
      <c r="AU160" s="483">
        <v>36</v>
      </c>
      <c r="AV160" s="484">
        <v>301.8</v>
      </c>
      <c r="AW160" s="484">
        <v>419.4</v>
      </c>
      <c r="AX160" s="453">
        <v>0</v>
      </c>
      <c r="AY160" s="734">
        <v>0</v>
      </c>
      <c r="AZ160" s="734">
        <v>0</v>
      </c>
      <c r="BA160" s="734">
        <v>0</v>
      </c>
      <c r="BB160" s="453">
        <v>0</v>
      </c>
      <c r="BC160" s="453">
        <v>0</v>
      </c>
      <c r="BD160" s="453">
        <v>0</v>
      </c>
      <c r="BE160" s="734">
        <v>0</v>
      </c>
      <c r="BF160" s="453">
        <v>0</v>
      </c>
      <c r="BG160" s="453">
        <v>0</v>
      </c>
      <c r="BH160" s="734">
        <v>0</v>
      </c>
      <c r="BI160" s="453">
        <v>0</v>
      </c>
      <c r="BJ160" s="453">
        <v>12.1</v>
      </c>
      <c r="BK160" s="453">
        <v>0</v>
      </c>
      <c r="BL160" s="453">
        <v>0</v>
      </c>
      <c r="BM160" s="453">
        <v>0</v>
      </c>
      <c r="BN160" s="453">
        <v>11.9</v>
      </c>
      <c r="BO160" s="453">
        <v>1652.6</v>
      </c>
      <c r="BP160" s="453">
        <v>0</v>
      </c>
      <c r="BQ160" s="453">
        <v>2</v>
      </c>
      <c r="BR160" s="453">
        <v>17</v>
      </c>
      <c r="BS160" s="453">
        <v>0</v>
      </c>
      <c r="BT160" s="453">
        <v>37.9</v>
      </c>
      <c r="BU160" s="453">
        <v>35.9</v>
      </c>
      <c r="BV160" s="456">
        <v>689.5</v>
      </c>
      <c r="BW160" s="453">
        <v>0.01</v>
      </c>
      <c r="BX160" s="453">
        <v>1.66</v>
      </c>
      <c r="BY160" s="456">
        <v>1.1200000000000001</v>
      </c>
      <c r="BZ160" s="456">
        <v>14.49</v>
      </c>
      <c r="CA160" s="456">
        <v>36.1</v>
      </c>
      <c r="CB160" s="456">
        <v>12.91</v>
      </c>
      <c r="CC160" s="456">
        <v>9.82</v>
      </c>
      <c r="CD160" s="456">
        <v>14.09</v>
      </c>
      <c r="CE160" s="456">
        <v>18.18</v>
      </c>
      <c r="CF160" s="456">
        <v>12.7</v>
      </c>
      <c r="CG160" s="456">
        <v>327.60000000000002</v>
      </c>
      <c r="CH160" s="456">
        <v>2.2999999999999998</v>
      </c>
      <c r="CI160" s="456">
        <v>3.5</v>
      </c>
      <c r="CJ160" s="456">
        <v>473.1</v>
      </c>
      <c r="CK160" s="456">
        <v>402.6</v>
      </c>
      <c r="CL160" s="456">
        <v>532.9</v>
      </c>
      <c r="CM160" s="456">
        <v>14.4</v>
      </c>
      <c r="CN160" s="456">
        <v>1.83</v>
      </c>
      <c r="CO160" s="453">
        <v>4417.2</v>
      </c>
      <c r="CP160" s="453">
        <v>17.25</v>
      </c>
      <c r="CQ160" s="453">
        <v>50</v>
      </c>
      <c r="CR160" s="456">
        <v>0</v>
      </c>
      <c r="CS160" s="456">
        <v>0</v>
      </c>
      <c r="CT160" s="456">
        <v>0</v>
      </c>
      <c r="CU160" s="456">
        <v>0</v>
      </c>
      <c r="CV160" s="481">
        <v>1577.9166666666667</v>
      </c>
      <c r="CW160" s="481">
        <v>2259.2708333333335</v>
      </c>
      <c r="CX160" s="481">
        <v>1600.4166666666667</v>
      </c>
      <c r="CY160" s="481">
        <v>1161.25</v>
      </c>
      <c r="CZ160" s="456"/>
      <c r="DA160" s="456"/>
      <c r="DB160" s="456"/>
      <c r="DC160" s="456"/>
      <c r="DD160" s="456"/>
      <c r="DE160" s="456"/>
      <c r="DF160" s="456"/>
      <c r="DG160" s="425"/>
      <c r="DH160" s="456">
        <v>44</v>
      </c>
      <c r="DI160" s="456">
        <v>0.48</v>
      </c>
      <c r="DJ160" s="456">
        <v>1.25</v>
      </c>
      <c r="DK160" s="425"/>
      <c r="DL160" s="456"/>
      <c r="DM160" s="456"/>
      <c r="DN160" s="456"/>
      <c r="DO160" s="456"/>
      <c r="DP160" s="456"/>
      <c r="DQ160" s="456"/>
      <c r="DR160" s="456"/>
      <c r="DS160" s="456"/>
      <c r="DT160" s="456"/>
      <c r="DU160" s="456"/>
      <c r="DV160" s="456"/>
      <c r="DW160" s="456"/>
      <c r="DX160" s="456"/>
      <c r="DY160" s="456"/>
      <c r="DZ160" s="456"/>
      <c r="EA160" s="456"/>
      <c r="EB160" s="456"/>
      <c r="EC160" s="456"/>
      <c r="ED160" s="423">
        <v>0</v>
      </c>
      <c r="EE160" s="456">
        <v>0</v>
      </c>
      <c r="EF160" s="456">
        <v>2.5</v>
      </c>
      <c r="EG160" s="456">
        <v>6</v>
      </c>
      <c r="EH160" s="423">
        <v>0</v>
      </c>
      <c r="EI160" s="456"/>
      <c r="EJ160" s="456"/>
      <c r="EK160" s="456"/>
      <c r="EL160" s="456"/>
      <c r="EM160" s="456"/>
      <c r="EN160" s="456"/>
      <c r="EO160" s="425"/>
      <c r="EP160" s="425"/>
      <c r="EQ160" s="425" t="s">
        <v>743</v>
      </c>
      <c r="ER160" s="425">
        <v>1</v>
      </c>
      <c r="ES160" s="425">
        <v>8</v>
      </c>
      <c r="ET160" s="425">
        <v>4000</v>
      </c>
      <c r="EU160" s="457">
        <v>2600</v>
      </c>
      <c r="EV160" s="425">
        <v>140</v>
      </c>
      <c r="EW160" s="425">
        <v>6906786</v>
      </c>
      <c r="EX160" s="425">
        <v>48330</v>
      </c>
      <c r="EY160" s="666">
        <v>2.9</v>
      </c>
      <c r="EZ160" s="666">
        <v>17.8</v>
      </c>
      <c r="FA160" s="666">
        <v>0</v>
      </c>
      <c r="FB160" s="666">
        <v>1.52</v>
      </c>
      <c r="FC160" s="666">
        <v>1.62</v>
      </c>
      <c r="FD160" s="666">
        <v>1.22</v>
      </c>
      <c r="FE160" s="666">
        <v>1.1000000000000001</v>
      </c>
      <c r="FF160" s="666">
        <v>200</v>
      </c>
      <c r="FG160" s="666">
        <v>0.46</v>
      </c>
      <c r="FH160" s="666">
        <v>0.1</v>
      </c>
      <c r="FI160" s="666">
        <v>0.15</v>
      </c>
      <c r="FJ160" s="666">
        <v>7.61</v>
      </c>
      <c r="FK160" s="666">
        <v>7.8</v>
      </c>
      <c r="FL160" s="666">
        <v>8.08</v>
      </c>
      <c r="FM160" s="666">
        <v>7.3</v>
      </c>
      <c r="FN160" s="666">
        <v>0</v>
      </c>
    </row>
    <row r="161" spans="1:170" s="416" customFormat="1" ht="15">
      <c r="A161" s="425" t="s">
        <v>8</v>
      </c>
      <c r="B161" s="426">
        <v>40690</v>
      </c>
      <c r="C161" s="418">
        <v>0</v>
      </c>
      <c r="D161" s="518">
        <v>0.46</v>
      </c>
      <c r="E161" s="453">
        <v>0</v>
      </c>
      <c r="F161" s="453">
        <v>46</v>
      </c>
      <c r="G161" s="453">
        <v>1.7</v>
      </c>
      <c r="H161" s="519">
        <v>8.83</v>
      </c>
      <c r="I161" s="519">
        <v>86.7</v>
      </c>
      <c r="J161" s="483">
        <v>2.21</v>
      </c>
      <c r="K161" s="520" t="s">
        <v>742</v>
      </c>
      <c r="L161" s="453">
        <v>43.409999999999854</v>
      </c>
      <c r="M161" s="453">
        <v>19.600000000000001</v>
      </c>
      <c r="N161" s="453">
        <v>1.42</v>
      </c>
      <c r="O161" s="453">
        <v>1.855500435082009</v>
      </c>
      <c r="P161" s="453" t="s">
        <v>742</v>
      </c>
      <c r="Q161" s="453" t="s">
        <v>742</v>
      </c>
      <c r="R161" s="453">
        <v>765.38724966974883</v>
      </c>
      <c r="S161" s="453">
        <v>7.94</v>
      </c>
      <c r="T161" s="453" t="s">
        <v>742</v>
      </c>
      <c r="U161" s="453">
        <v>0.65</v>
      </c>
      <c r="V161" s="453" t="s">
        <v>742</v>
      </c>
      <c r="W161" s="453">
        <v>47.480000000000004</v>
      </c>
      <c r="X161" s="456" t="e">
        <v>#VALUE!</v>
      </c>
      <c r="Y161" s="453">
        <v>34.700000000000003</v>
      </c>
      <c r="Z161" s="453">
        <v>11.6</v>
      </c>
      <c r="AA161" s="519">
        <v>34.970000000001164</v>
      </c>
      <c r="AB161" s="519">
        <v>14.400000000001455</v>
      </c>
      <c r="AC161" s="732">
        <f t="shared" si="2"/>
        <v>49.370000000002619</v>
      </c>
      <c r="AD161" s="664"/>
      <c r="AE161" s="664"/>
      <c r="AF161" s="664"/>
      <c r="AG161" s="664"/>
      <c r="AH161" s="664"/>
      <c r="AI161" s="664"/>
      <c r="AJ161" s="485"/>
      <c r="AK161" s="485"/>
      <c r="AL161" s="485"/>
      <c r="AM161" s="485"/>
      <c r="AN161" s="485"/>
      <c r="AO161" s="665"/>
      <c r="AP161" s="485"/>
      <c r="AQ161" s="483"/>
      <c r="AR161" s="755">
        <v>0</v>
      </c>
      <c r="AS161" s="483">
        <v>17.7</v>
      </c>
      <c r="AT161" s="755">
        <v>0</v>
      </c>
      <c r="AU161" s="483">
        <v>35.9</v>
      </c>
      <c r="AV161" s="484">
        <v>372.6</v>
      </c>
      <c r="AW161" s="484">
        <v>488.2</v>
      </c>
      <c r="AX161" s="453">
        <v>0</v>
      </c>
      <c r="AY161" s="734">
        <v>0</v>
      </c>
      <c r="AZ161" s="734">
        <v>0</v>
      </c>
      <c r="BA161" s="734">
        <v>0</v>
      </c>
      <c r="BB161" s="453">
        <v>0</v>
      </c>
      <c r="BC161" s="453">
        <v>0.54</v>
      </c>
      <c r="BD161" s="453">
        <v>0</v>
      </c>
      <c r="BE161" s="734">
        <v>0</v>
      </c>
      <c r="BF161" s="453">
        <v>0</v>
      </c>
      <c r="BG161" s="453">
        <v>0</v>
      </c>
      <c r="BH161" s="734">
        <v>0</v>
      </c>
      <c r="BI161" s="453">
        <v>0</v>
      </c>
      <c r="BJ161" s="453">
        <v>13.5</v>
      </c>
      <c r="BK161" s="453">
        <v>0</v>
      </c>
      <c r="BL161" s="453">
        <v>0</v>
      </c>
      <c r="BM161" s="453">
        <v>0</v>
      </c>
      <c r="BN161" s="453">
        <v>13.4</v>
      </c>
      <c r="BO161" s="453">
        <v>984.8</v>
      </c>
      <c r="BP161" s="453">
        <v>0</v>
      </c>
      <c r="BQ161" s="453">
        <v>4.55</v>
      </c>
      <c r="BR161" s="453">
        <v>18.82</v>
      </c>
      <c r="BS161" s="453">
        <v>0</v>
      </c>
      <c r="BT161" s="453">
        <v>36.299999999999997</v>
      </c>
      <c r="BU161" s="453">
        <v>21.3</v>
      </c>
      <c r="BV161" s="456">
        <v>567.4</v>
      </c>
      <c r="BW161" s="453">
        <v>0.2</v>
      </c>
      <c r="BX161" s="453">
        <v>1.61</v>
      </c>
      <c r="BY161" s="456">
        <v>1.07</v>
      </c>
      <c r="BZ161" s="456">
        <v>14.6</v>
      </c>
      <c r="CA161" s="456">
        <v>34.1</v>
      </c>
      <c r="CB161" s="456">
        <v>14.72</v>
      </c>
      <c r="CC161" s="456">
        <v>9.34</v>
      </c>
      <c r="CD161" s="456">
        <v>13.58</v>
      </c>
      <c r="CE161" s="456">
        <v>17.649999999999999</v>
      </c>
      <c r="CF161" s="456">
        <v>13.15</v>
      </c>
      <c r="CG161" s="456">
        <v>297.5</v>
      </c>
      <c r="CH161" s="456">
        <v>2</v>
      </c>
      <c r="CI161" s="456">
        <v>2.8</v>
      </c>
      <c r="CJ161" s="456">
        <v>379.2</v>
      </c>
      <c r="CK161" s="456">
        <v>408.7</v>
      </c>
      <c r="CL161" s="456">
        <v>530</v>
      </c>
      <c r="CM161" s="456">
        <v>14.8</v>
      </c>
      <c r="CN161" s="456">
        <v>1.85</v>
      </c>
      <c r="CO161" s="453">
        <v>6089.5</v>
      </c>
      <c r="CP161" s="453">
        <v>17.079999999999998</v>
      </c>
      <c r="CQ161" s="453">
        <v>50</v>
      </c>
      <c r="CR161" s="456">
        <v>0</v>
      </c>
      <c r="CS161" s="456">
        <v>0</v>
      </c>
      <c r="CT161" s="456">
        <v>0</v>
      </c>
      <c r="CU161" s="456">
        <v>0</v>
      </c>
      <c r="CV161" s="481">
        <v>1551.6666666666667</v>
      </c>
      <c r="CW161" s="481">
        <v>2317.1875</v>
      </c>
      <c r="CX161" s="481">
        <v>1577.0833333333333</v>
      </c>
      <c r="CY161" s="481">
        <v>1161.6199999999999</v>
      </c>
      <c r="CZ161" s="456"/>
      <c r="DA161" s="456"/>
      <c r="DB161" s="456"/>
      <c r="DC161" s="456"/>
      <c r="DD161" s="456"/>
      <c r="DE161" s="456"/>
      <c r="DF161" s="456"/>
      <c r="DG161" s="425"/>
      <c r="DH161" s="456">
        <v>44</v>
      </c>
      <c r="DI161" s="456">
        <v>0.46</v>
      </c>
      <c r="DJ161" s="456">
        <v>1.21</v>
      </c>
      <c r="DK161" s="425"/>
      <c r="DL161" s="456"/>
      <c r="DM161" s="456"/>
      <c r="DN161" s="456"/>
      <c r="DO161" s="456"/>
      <c r="DP161" s="456"/>
      <c r="DQ161" s="456"/>
      <c r="DR161" s="456"/>
      <c r="DS161" s="456"/>
      <c r="DT161" s="456"/>
      <c r="DU161" s="456"/>
      <c r="DV161" s="456"/>
      <c r="DW161" s="456"/>
      <c r="DX161" s="456"/>
      <c r="DY161" s="456"/>
      <c r="DZ161" s="456"/>
      <c r="EA161" s="456"/>
      <c r="EB161" s="456"/>
      <c r="EC161" s="456"/>
      <c r="ED161" s="423">
        <v>0</v>
      </c>
      <c r="EE161" s="456">
        <v>0</v>
      </c>
      <c r="EF161" s="456">
        <v>2.5</v>
      </c>
      <c r="EG161" s="456">
        <v>6</v>
      </c>
      <c r="EH161" s="423">
        <v>0</v>
      </c>
      <c r="EI161" s="456"/>
      <c r="EJ161" s="456">
        <v>1</v>
      </c>
      <c r="EK161" s="456"/>
      <c r="EL161" s="456"/>
      <c r="EM161" s="456"/>
      <c r="EN161" s="456"/>
      <c r="EO161" s="425"/>
      <c r="EP161" s="425"/>
      <c r="EQ161" s="425" t="s">
        <v>743</v>
      </c>
      <c r="ER161" s="425">
        <v>1</v>
      </c>
      <c r="ES161" s="425">
        <v>8</v>
      </c>
      <c r="ET161" s="425">
        <v>4000</v>
      </c>
      <c r="EU161" s="457">
        <v>2400</v>
      </c>
      <c r="EV161" s="425">
        <v>150</v>
      </c>
      <c r="EW161" s="425">
        <v>6908965</v>
      </c>
      <c r="EX161" s="425">
        <v>49487</v>
      </c>
      <c r="EY161" s="666">
        <v>5.35</v>
      </c>
      <c r="EZ161" s="666">
        <v>19.350000000000001</v>
      </c>
      <c r="FA161" s="666">
        <v>0</v>
      </c>
      <c r="FB161" s="666">
        <v>1.57</v>
      </c>
      <c r="FC161" s="666">
        <v>1.52</v>
      </c>
      <c r="FD161" s="666">
        <v>1.1200000000000001</v>
      </c>
      <c r="FE161" s="666">
        <v>1.1499999999999999</v>
      </c>
      <c r="FF161" s="666">
        <v>200</v>
      </c>
      <c r="FG161" s="666">
        <v>1.81</v>
      </c>
      <c r="FH161" s="666">
        <v>0.27</v>
      </c>
      <c r="FI161" s="666">
        <v>0.5</v>
      </c>
      <c r="FJ161" s="666">
        <v>7.65</v>
      </c>
      <c r="FK161" s="666">
        <v>7.9</v>
      </c>
      <c r="FL161" s="666">
        <v>8.02</v>
      </c>
      <c r="FM161" s="666">
        <v>7.6</v>
      </c>
      <c r="FN161" s="666">
        <v>0</v>
      </c>
    </row>
    <row r="162" spans="1:170" s="416" customFormat="1" ht="15">
      <c r="A162" s="425" t="s">
        <v>9</v>
      </c>
      <c r="B162" s="426">
        <v>40691</v>
      </c>
      <c r="C162" s="418">
        <v>0</v>
      </c>
      <c r="D162" s="518">
        <v>0.1</v>
      </c>
      <c r="E162" s="453">
        <v>0</v>
      </c>
      <c r="F162" s="453">
        <v>47</v>
      </c>
      <c r="G162" s="453">
        <v>1.7</v>
      </c>
      <c r="H162" s="519">
        <v>7.79</v>
      </c>
      <c r="I162" s="519">
        <v>88.2</v>
      </c>
      <c r="J162" s="483">
        <v>2.87</v>
      </c>
      <c r="K162" s="520" t="s">
        <v>742</v>
      </c>
      <c r="L162" s="453">
        <v>33.859999999998763</v>
      </c>
      <c r="M162" s="453">
        <v>20.7</v>
      </c>
      <c r="N162" s="453">
        <v>1.43</v>
      </c>
      <c r="O162" s="453">
        <v>1.982253682610015</v>
      </c>
      <c r="P162" s="453" t="s">
        <v>742</v>
      </c>
      <c r="Q162" s="453" t="s">
        <v>742</v>
      </c>
      <c r="R162" s="453">
        <v>909.524924702774</v>
      </c>
      <c r="S162" s="453">
        <v>7.94</v>
      </c>
      <c r="T162" s="453" t="s">
        <v>742</v>
      </c>
      <c r="U162" s="453">
        <v>0.64</v>
      </c>
      <c r="V162" s="453" t="s">
        <v>742</v>
      </c>
      <c r="W162" s="453">
        <v>48.2</v>
      </c>
      <c r="X162" s="456" t="e">
        <v>#VALUE!</v>
      </c>
      <c r="Y162" s="453">
        <v>34.75</v>
      </c>
      <c r="Z162" s="453">
        <v>17.82</v>
      </c>
      <c r="AA162" s="519">
        <v>33.909999999988941</v>
      </c>
      <c r="AB162" s="519">
        <v>17.80000000000291</v>
      </c>
      <c r="AC162" s="732">
        <f t="shared" si="2"/>
        <v>51.709999999991851</v>
      </c>
      <c r="AD162" s="664"/>
      <c r="AE162" s="664"/>
      <c r="AF162" s="664"/>
      <c r="AG162" s="664"/>
      <c r="AH162" s="664"/>
      <c r="AI162" s="664"/>
      <c r="AJ162" s="485"/>
      <c r="AK162" s="485"/>
      <c r="AL162" s="485"/>
      <c r="AM162" s="485"/>
      <c r="AN162" s="485"/>
      <c r="AO162" s="665"/>
      <c r="AP162" s="485"/>
      <c r="AQ162" s="483"/>
      <c r="AR162" s="755">
        <v>0</v>
      </c>
      <c r="AS162" s="483">
        <v>34.6</v>
      </c>
      <c r="AT162" s="755">
        <v>0</v>
      </c>
      <c r="AU162" s="483">
        <v>36</v>
      </c>
      <c r="AV162" s="484">
        <v>468</v>
      </c>
      <c r="AW162" s="484">
        <v>508.1</v>
      </c>
      <c r="AX162" s="453">
        <v>0</v>
      </c>
      <c r="AY162" s="734">
        <v>0</v>
      </c>
      <c r="AZ162" s="734">
        <v>0</v>
      </c>
      <c r="BA162" s="734">
        <v>0</v>
      </c>
      <c r="BB162" s="453">
        <v>0</v>
      </c>
      <c r="BC162" s="453">
        <v>0.24</v>
      </c>
      <c r="BD162" s="453">
        <v>0</v>
      </c>
      <c r="BE162" s="734">
        <v>0</v>
      </c>
      <c r="BF162" s="453">
        <v>0</v>
      </c>
      <c r="BG162" s="453">
        <v>0</v>
      </c>
      <c r="BH162" s="734">
        <v>0</v>
      </c>
      <c r="BI162" s="453">
        <v>0</v>
      </c>
      <c r="BJ162" s="453">
        <v>17.899999999999999</v>
      </c>
      <c r="BK162" s="453">
        <v>0</v>
      </c>
      <c r="BL162" s="453">
        <v>0</v>
      </c>
      <c r="BM162" s="453">
        <v>0</v>
      </c>
      <c r="BN162" s="453">
        <v>17.7</v>
      </c>
      <c r="BO162" s="453">
        <v>1764.6</v>
      </c>
      <c r="BP162" s="453">
        <v>0</v>
      </c>
      <c r="BQ162" s="453">
        <v>8</v>
      </c>
      <c r="BR162" s="453">
        <v>18</v>
      </c>
      <c r="BS162" s="453">
        <v>0</v>
      </c>
      <c r="BT162" s="453">
        <v>36.200000000000003</v>
      </c>
      <c r="BU162" s="453">
        <v>22.6</v>
      </c>
      <c r="BV162" s="456">
        <v>698.6</v>
      </c>
      <c r="BW162" s="453">
        <v>1</v>
      </c>
      <c r="BX162" s="453">
        <v>1.62</v>
      </c>
      <c r="BY162" s="456">
        <v>1.08</v>
      </c>
      <c r="BZ162" s="456">
        <v>14.9</v>
      </c>
      <c r="CA162" s="456">
        <v>31.7</v>
      </c>
      <c r="CB162" s="456">
        <v>14.33</v>
      </c>
      <c r="CC162" s="456">
        <v>9.15</v>
      </c>
      <c r="CD162" s="456">
        <v>13.37</v>
      </c>
      <c r="CE162" s="456">
        <v>17.5</v>
      </c>
      <c r="CF162" s="456">
        <v>12.99</v>
      </c>
      <c r="CG162" s="456">
        <v>402.8</v>
      </c>
      <c r="CH162" s="456">
        <v>2.2000000000000002</v>
      </c>
      <c r="CI162" s="456">
        <v>2.8</v>
      </c>
      <c r="CJ162" s="456">
        <v>420.4</v>
      </c>
      <c r="CK162" s="456">
        <v>416</v>
      </c>
      <c r="CL162" s="456">
        <v>485.4</v>
      </c>
      <c r="CM162" s="456">
        <v>13.7</v>
      </c>
      <c r="CN162" s="456">
        <v>1.68</v>
      </c>
      <c r="CO162" s="453">
        <v>2894</v>
      </c>
      <c r="CP162" s="453">
        <v>16.489999999999998</v>
      </c>
      <c r="CQ162" s="453">
        <v>50</v>
      </c>
      <c r="CR162" s="456">
        <v>0</v>
      </c>
      <c r="CS162" s="456">
        <v>0</v>
      </c>
      <c r="CT162" s="456">
        <v>0</v>
      </c>
      <c r="CU162" s="456">
        <v>0</v>
      </c>
      <c r="CV162" s="481">
        <v>1460</v>
      </c>
      <c r="CW162" s="481">
        <v>2148.6458333333335</v>
      </c>
      <c r="CX162" s="481">
        <v>1453.75</v>
      </c>
      <c r="CY162" s="481">
        <v>1161.8900000000001</v>
      </c>
      <c r="CZ162" s="456"/>
      <c r="DA162" s="456"/>
      <c r="DB162" s="456"/>
      <c r="DC162" s="456"/>
      <c r="DD162" s="456"/>
      <c r="DE162" s="456"/>
      <c r="DF162" s="456"/>
      <c r="DG162" s="425"/>
      <c r="DH162" s="456">
        <v>9</v>
      </c>
      <c r="DI162" s="456">
        <v>0.49</v>
      </c>
      <c r="DJ162" s="456">
        <v>1.31</v>
      </c>
      <c r="DK162" s="425"/>
      <c r="DL162" s="456"/>
      <c r="DM162" s="456"/>
      <c r="DN162" s="456"/>
      <c r="DO162" s="456"/>
      <c r="DP162" s="456"/>
      <c r="DQ162" s="456"/>
      <c r="DR162" s="456"/>
      <c r="DS162" s="456"/>
      <c r="DT162" s="456"/>
      <c r="DU162" s="456"/>
      <c r="DV162" s="456"/>
      <c r="DW162" s="456"/>
      <c r="DX162" s="456"/>
      <c r="DY162" s="456"/>
      <c r="DZ162" s="456"/>
      <c r="EA162" s="456"/>
      <c r="EB162" s="456"/>
      <c r="EC162" s="456"/>
      <c r="ED162" s="423">
        <v>0</v>
      </c>
      <c r="EE162" s="456">
        <v>0</v>
      </c>
      <c r="EF162" s="456">
        <v>2.5</v>
      </c>
      <c r="EG162" s="456">
        <v>6</v>
      </c>
      <c r="EH162" s="423">
        <v>0</v>
      </c>
      <c r="EI162" s="456"/>
      <c r="EJ162" s="456">
        <v>1</v>
      </c>
      <c r="EK162" s="456"/>
      <c r="EL162" s="456"/>
      <c r="EM162" s="456"/>
      <c r="EN162" s="456"/>
      <c r="EO162" s="425"/>
      <c r="EP162" s="425"/>
      <c r="EQ162" s="425" t="s">
        <v>743</v>
      </c>
      <c r="ER162" s="425">
        <v>1</v>
      </c>
      <c r="ES162" s="425">
        <v>8</v>
      </c>
      <c r="ET162" s="425">
        <v>4000</v>
      </c>
      <c r="EU162" s="457">
        <v>2200</v>
      </c>
      <c r="EV162" s="425">
        <v>160</v>
      </c>
      <c r="EW162" s="425">
        <v>6911008</v>
      </c>
      <c r="EX162" s="425">
        <v>50725</v>
      </c>
      <c r="EY162" s="666">
        <v>10.1</v>
      </c>
      <c r="EZ162" s="666">
        <v>18.920000000000002</v>
      </c>
      <c r="FA162" s="666">
        <v>0</v>
      </c>
      <c r="FB162" s="666">
        <v>1.43</v>
      </c>
      <c r="FC162" s="666">
        <v>1.43</v>
      </c>
      <c r="FD162" s="666">
        <v>1.1399999999999999</v>
      </c>
      <c r="FE162" s="666">
        <v>1.1599999999999999</v>
      </c>
      <c r="FF162" s="666">
        <v>200</v>
      </c>
      <c r="FG162" s="666">
        <v>2.66</v>
      </c>
      <c r="FH162" s="666">
        <v>0.59</v>
      </c>
      <c r="FI162" s="666">
        <v>0.95</v>
      </c>
      <c r="FJ162" s="666">
        <v>7.54</v>
      </c>
      <c r="FK162" s="666">
        <v>7.9</v>
      </c>
      <c r="FL162" s="666">
        <v>8.08</v>
      </c>
      <c r="FM162" s="666">
        <v>7.5</v>
      </c>
      <c r="FN162" s="666">
        <v>0</v>
      </c>
    </row>
    <row r="163" spans="1:170" s="416" customFormat="1" ht="15">
      <c r="A163" s="425" t="s">
        <v>3</v>
      </c>
      <c r="B163" s="426">
        <v>40692</v>
      </c>
      <c r="C163" s="418">
        <v>0</v>
      </c>
      <c r="D163" s="518">
        <v>0.02</v>
      </c>
      <c r="E163" s="453">
        <v>0</v>
      </c>
      <c r="F163" s="453">
        <v>47</v>
      </c>
      <c r="G163" s="453">
        <v>1.5</v>
      </c>
      <c r="H163" s="519">
        <v>6.83</v>
      </c>
      <c r="I163" s="519">
        <v>89.6</v>
      </c>
      <c r="J163" s="483">
        <v>3.1</v>
      </c>
      <c r="K163" s="520" t="s">
        <v>742</v>
      </c>
      <c r="L163" s="453">
        <v>25.680000000000291</v>
      </c>
      <c r="M163" s="453">
        <v>20.7</v>
      </c>
      <c r="N163" s="453">
        <v>1.38</v>
      </c>
      <c r="O163" s="453">
        <v>1.9673636384424571</v>
      </c>
      <c r="P163" s="453" t="s">
        <v>742</v>
      </c>
      <c r="Q163" s="453" t="s">
        <v>742</v>
      </c>
      <c r="R163" s="453">
        <v>862.55871598414774</v>
      </c>
      <c r="S163" s="453">
        <v>7.91</v>
      </c>
      <c r="T163" s="453" t="s">
        <v>742</v>
      </c>
      <c r="U163" s="453">
        <v>0.64</v>
      </c>
      <c r="V163" s="453" t="s">
        <v>742</v>
      </c>
      <c r="W163" s="453">
        <v>48.56</v>
      </c>
      <c r="X163" s="456" t="e">
        <v>#VALUE!</v>
      </c>
      <c r="Y163" s="453">
        <v>34.65</v>
      </c>
      <c r="Z163" s="453">
        <v>17.809999999999999</v>
      </c>
      <c r="AA163" s="519">
        <v>34.720000000001164</v>
      </c>
      <c r="AB163" s="519">
        <v>18</v>
      </c>
      <c r="AC163" s="732">
        <f t="shared" si="2"/>
        <v>52.720000000001164</v>
      </c>
      <c r="AD163" s="664"/>
      <c r="AE163" s="664"/>
      <c r="AF163" s="664"/>
      <c r="AG163" s="664"/>
      <c r="AH163" s="664"/>
      <c r="AI163" s="664"/>
      <c r="AJ163" s="485"/>
      <c r="AK163" s="485"/>
      <c r="AL163" s="485"/>
      <c r="AM163" s="485"/>
      <c r="AN163" s="485"/>
      <c r="AO163" s="665"/>
      <c r="AP163" s="485"/>
      <c r="AQ163" s="483"/>
      <c r="AR163" s="755">
        <v>0</v>
      </c>
      <c r="AS163" s="483">
        <v>18.8</v>
      </c>
      <c r="AT163" s="755">
        <v>0</v>
      </c>
      <c r="AU163" s="483">
        <v>36</v>
      </c>
      <c r="AV163" s="484">
        <v>334.7</v>
      </c>
      <c r="AW163" s="484">
        <v>489</v>
      </c>
      <c r="AX163" s="453">
        <v>0</v>
      </c>
      <c r="AY163" s="734">
        <v>0</v>
      </c>
      <c r="AZ163" s="734">
        <v>0</v>
      </c>
      <c r="BA163" s="734">
        <v>0</v>
      </c>
      <c r="BB163" s="453">
        <v>0</v>
      </c>
      <c r="BC163" s="453">
        <v>0</v>
      </c>
      <c r="BD163" s="453">
        <v>0</v>
      </c>
      <c r="BE163" s="734">
        <v>0</v>
      </c>
      <c r="BF163" s="453">
        <v>0</v>
      </c>
      <c r="BG163" s="453">
        <v>0</v>
      </c>
      <c r="BH163" s="734">
        <v>0</v>
      </c>
      <c r="BI163" s="453">
        <v>0</v>
      </c>
      <c r="BJ163" s="453">
        <v>18.100000000000001</v>
      </c>
      <c r="BK163" s="453">
        <v>0</v>
      </c>
      <c r="BL163" s="453">
        <v>0</v>
      </c>
      <c r="BM163" s="453">
        <v>0</v>
      </c>
      <c r="BN163" s="453">
        <v>17.899999999999999</v>
      </c>
      <c r="BO163" s="453">
        <v>1109.4000000000001</v>
      </c>
      <c r="BP163" s="453">
        <v>0</v>
      </c>
      <c r="BQ163" s="453">
        <v>13</v>
      </c>
      <c r="BR163" s="453">
        <v>18</v>
      </c>
      <c r="BS163" s="453">
        <v>0</v>
      </c>
      <c r="BT163" s="453">
        <v>36.4</v>
      </c>
      <c r="BU163" s="453">
        <v>19.5</v>
      </c>
      <c r="BV163" s="456">
        <v>542.6</v>
      </c>
      <c r="BW163" s="453">
        <v>0.8</v>
      </c>
      <c r="BX163" s="453">
        <v>1.53</v>
      </c>
      <c r="BY163" s="456">
        <v>1.1200000000000001</v>
      </c>
      <c r="BZ163" s="456">
        <v>14.86</v>
      </c>
      <c r="CA163" s="456">
        <v>34.700000000000003</v>
      </c>
      <c r="CB163" s="456">
        <v>13.43</v>
      </c>
      <c r="CC163" s="456">
        <v>9.0299999999999994</v>
      </c>
      <c r="CD163" s="456">
        <v>13.28</v>
      </c>
      <c r="CE163" s="456">
        <v>17.350000000000001</v>
      </c>
      <c r="CF163" s="456">
        <v>13.06</v>
      </c>
      <c r="CG163" s="456">
        <v>426.5</v>
      </c>
      <c r="CH163" s="456">
        <v>1.5</v>
      </c>
      <c r="CI163" s="456">
        <v>2.2000000000000002</v>
      </c>
      <c r="CJ163" s="456">
        <v>317.60000000000002</v>
      </c>
      <c r="CK163" s="456">
        <v>435.8</v>
      </c>
      <c r="CL163" s="456">
        <v>484.1</v>
      </c>
      <c r="CM163" s="456">
        <v>13.8</v>
      </c>
      <c r="CN163" s="456">
        <v>1.65</v>
      </c>
      <c r="CO163" s="453">
        <v>2255.1999999999998</v>
      </c>
      <c r="CP163" s="453">
        <v>16.329999999999998</v>
      </c>
      <c r="CQ163" s="453">
        <v>49</v>
      </c>
      <c r="CR163" s="456">
        <v>0</v>
      </c>
      <c r="CS163" s="456">
        <v>0</v>
      </c>
      <c r="CT163" s="456">
        <v>0</v>
      </c>
      <c r="CU163" s="456">
        <v>0</v>
      </c>
      <c r="CV163" s="481">
        <v>1402.9166666666667</v>
      </c>
      <c r="CW163" s="481">
        <v>2085.9375</v>
      </c>
      <c r="CX163" s="481">
        <v>1379.8958333333333</v>
      </c>
      <c r="CY163" s="481">
        <v>1162.05</v>
      </c>
      <c r="CZ163" s="456"/>
      <c r="DA163" s="456"/>
      <c r="DB163" s="456"/>
      <c r="DC163" s="456"/>
      <c r="DD163" s="456"/>
      <c r="DE163" s="456"/>
      <c r="DF163" s="456"/>
      <c r="DG163" s="425"/>
      <c r="DH163" s="456">
        <v>15</v>
      </c>
      <c r="DI163" s="456">
        <v>0.47</v>
      </c>
      <c r="DJ163" s="456">
        <v>1.37</v>
      </c>
      <c r="DK163" s="425"/>
      <c r="DL163" s="456"/>
      <c r="DM163" s="456"/>
      <c r="DN163" s="456"/>
      <c r="DO163" s="456"/>
      <c r="DP163" s="456"/>
      <c r="DQ163" s="456"/>
      <c r="DR163" s="456"/>
      <c r="DS163" s="456"/>
      <c r="DT163" s="456"/>
      <c r="DU163" s="456"/>
      <c r="DV163" s="456"/>
      <c r="DW163" s="456"/>
      <c r="DX163" s="456"/>
      <c r="DY163" s="456"/>
      <c r="DZ163" s="456"/>
      <c r="EA163" s="456"/>
      <c r="EB163" s="456"/>
      <c r="EC163" s="456"/>
      <c r="ED163" s="423">
        <v>0</v>
      </c>
      <c r="EE163" s="456">
        <v>0</v>
      </c>
      <c r="EF163" s="456">
        <v>2.5</v>
      </c>
      <c r="EG163" s="456">
        <v>6</v>
      </c>
      <c r="EH163" s="423">
        <v>0</v>
      </c>
      <c r="EI163" s="456"/>
      <c r="EJ163" s="456"/>
      <c r="EK163" s="456"/>
      <c r="EL163" s="456"/>
      <c r="EM163" s="456"/>
      <c r="EN163" s="456"/>
      <c r="EO163" s="425"/>
      <c r="EP163" s="425"/>
      <c r="EQ163" s="425" t="s">
        <v>743</v>
      </c>
      <c r="ER163" s="425">
        <v>1</v>
      </c>
      <c r="ES163" s="425">
        <v>8</v>
      </c>
      <c r="ET163" s="425">
        <v>4000</v>
      </c>
      <c r="EU163" s="457">
        <v>2040</v>
      </c>
      <c r="EV163" s="425">
        <v>100</v>
      </c>
      <c r="EW163" s="425">
        <v>6912969</v>
      </c>
      <c r="EX163" s="425">
        <v>52031</v>
      </c>
      <c r="EY163" s="666">
        <v>14.37</v>
      </c>
      <c r="EZ163" s="666">
        <v>18.600000000000001</v>
      </c>
      <c r="FA163" s="666">
        <v>0</v>
      </c>
      <c r="FB163" s="666">
        <v>1.43</v>
      </c>
      <c r="FC163" s="666">
        <v>1.45</v>
      </c>
      <c r="FD163" s="666">
        <v>1.1299999999999999</v>
      </c>
      <c r="FE163" s="666">
        <v>1.1200000000000001</v>
      </c>
      <c r="FF163" s="666">
        <v>160</v>
      </c>
      <c r="FG163" s="666">
        <v>2.38</v>
      </c>
      <c r="FH163" s="666">
        <v>0.91</v>
      </c>
      <c r="FI163" s="666">
        <v>1.5</v>
      </c>
      <c r="FJ163" s="666">
        <v>7.67</v>
      </c>
      <c r="FK163" s="666">
        <v>7.9</v>
      </c>
      <c r="FL163" s="666">
        <v>8.01</v>
      </c>
      <c r="FM163" s="666">
        <v>7.7</v>
      </c>
      <c r="FN163" s="666">
        <v>0</v>
      </c>
    </row>
    <row r="164" spans="1:170" s="416" customFormat="1" ht="15">
      <c r="A164" s="425" t="s">
        <v>4</v>
      </c>
      <c r="B164" s="426">
        <v>40693</v>
      </c>
      <c r="C164" s="418">
        <v>0</v>
      </c>
      <c r="D164" s="518">
        <v>7.0000000000000007E-2</v>
      </c>
      <c r="E164" s="453">
        <v>0</v>
      </c>
      <c r="F164" s="453">
        <v>48</v>
      </c>
      <c r="G164" s="453">
        <v>1.5</v>
      </c>
      <c r="H164" s="519">
        <v>5.9</v>
      </c>
      <c r="I164" s="519">
        <v>90.09</v>
      </c>
      <c r="J164" s="483">
        <v>2.9</v>
      </c>
      <c r="K164" s="520" t="s">
        <v>742</v>
      </c>
      <c r="L164" s="453">
        <v>22.960000000000946</v>
      </c>
      <c r="M164" s="453">
        <v>20.8</v>
      </c>
      <c r="N164" s="453">
        <v>1.4</v>
      </c>
      <c r="O164" s="453">
        <v>1.9901738573642427</v>
      </c>
      <c r="P164" s="453" t="s">
        <v>742</v>
      </c>
      <c r="Q164" s="453" t="s">
        <v>742</v>
      </c>
      <c r="R164" s="453">
        <v>874.21929194187567</v>
      </c>
      <c r="S164" s="453">
        <v>7.91</v>
      </c>
      <c r="T164" s="453" t="s">
        <v>742</v>
      </c>
      <c r="U164" s="453">
        <v>0.7</v>
      </c>
      <c r="V164" s="453" t="s">
        <v>742</v>
      </c>
      <c r="W164" s="453">
        <v>48.92</v>
      </c>
      <c r="X164" s="456" t="e">
        <v>#VALUE!</v>
      </c>
      <c r="Y164" s="453">
        <v>34.44</v>
      </c>
      <c r="Z164" s="453">
        <v>17.739999999999998</v>
      </c>
      <c r="AA164" s="519">
        <v>34.5</v>
      </c>
      <c r="AB164" s="519">
        <v>18.099999999998545</v>
      </c>
      <c r="AC164" s="732">
        <f t="shared" si="2"/>
        <v>52.599999999998545</v>
      </c>
      <c r="AD164" s="664"/>
      <c r="AE164" s="664"/>
      <c r="AF164" s="664"/>
      <c r="AG164" s="664"/>
      <c r="AH164" s="664"/>
      <c r="AI164" s="664"/>
      <c r="AJ164" s="485"/>
      <c r="AK164" s="485"/>
      <c r="AL164" s="485"/>
      <c r="AM164" s="485"/>
      <c r="AN164" s="485"/>
      <c r="AO164" s="665"/>
      <c r="AP164" s="485"/>
      <c r="AQ164" s="483"/>
      <c r="AR164" s="755">
        <v>0</v>
      </c>
      <c r="AS164" s="483">
        <v>19.100000000000001</v>
      </c>
      <c r="AT164" s="755">
        <v>0</v>
      </c>
      <c r="AU164" s="483">
        <v>36</v>
      </c>
      <c r="AV164" s="484">
        <v>603.20000000000005</v>
      </c>
      <c r="AW164" s="484">
        <v>636</v>
      </c>
      <c r="AX164" s="453">
        <v>0</v>
      </c>
      <c r="AY164" s="734">
        <v>0</v>
      </c>
      <c r="AZ164" s="734">
        <v>0</v>
      </c>
      <c r="BA164" s="734">
        <v>0</v>
      </c>
      <c r="BB164" s="453">
        <v>0</v>
      </c>
      <c r="BC164" s="453">
        <v>0</v>
      </c>
      <c r="BD164" s="453">
        <v>0</v>
      </c>
      <c r="BE164" s="734">
        <v>0</v>
      </c>
      <c r="BF164" s="453">
        <v>0</v>
      </c>
      <c r="BG164" s="453">
        <v>0</v>
      </c>
      <c r="BH164" s="734">
        <v>0</v>
      </c>
      <c r="BI164" s="453">
        <v>0</v>
      </c>
      <c r="BJ164" s="453">
        <v>18.100000000000001</v>
      </c>
      <c r="BK164" s="453">
        <v>0</v>
      </c>
      <c r="BL164" s="453">
        <v>0</v>
      </c>
      <c r="BM164" s="453">
        <v>0</v>
      </c>
      <c r="BN164" s="453">
        <v>18</v>
      </c>
      <c r="BO164" s="453">
        <v>1917</v>
      </c>
      <c r="BP164" s="453">
        <v>0</v>
      </c>
      <c r="BQ164" s="453">
        <v>17.600000000000001</v>
      </c>
      <c r="BR164" s="453">
        <v>17.579999999999998</v>
      </c>
      <c r="BS164" s="453">
        <v>0</v>
      </c>
      <c r="BT164" s="453">
        <v>35.9</v>
      </c>
      <c r="BU164" s="453">
        <v>22.4</v>
      </c>
      <c r="BV164" s="456">
        <v>760.4</v>
      </c>
      <c r="BW164" s="453">
        <v>1</v>
      </c>
      <c r="BX164" s="453">
        <v>1.51</v>
      </c>
      <c r="BY164" s="456">
        <v>1.1100000000000001</v>
      </c>
      <c r="BZ164" s="456">
        <v>14.5</v>
      </c>
      <c r="CA164" s="456">
        <v>34.799999999999997</v>
      </c>
      <c r="CB164" s="456">
        <v>12.4</v>
      </c>
      <c r="CC164" s="456">
        <v>9.02</v>
      </c>
      <c r="CD164" s="456">
        <v>13.3</v>
      </c>
      <c r="CE164" s="456">
        <v>17.3</v>
      </c>
      <c r="CF164" s="456">
        <v>12.7</v>
      </c>
      <c r="CG164" s="456">
        <v>426.6</v>
      </c>
      <c r="CH164" s="456">
        <v>1.7</v>
      </c>
      <c r="CI164" s="456">
        <v>2.4</v>
      </c>
      <c r="CJ164" s="456">
        <v>529.6</v>
      </c>
      <c r="CK164" s="456">
        <v>509.1</v>
      </c>
      <c r="CL164" s="456">
        <v>529.1</v>
      </c>
      <c r="CM164" s="456">
        <v>13.6</v>
      </c>
      <c r="CN164" s="456">
        <v>1.64</v>
      </c>
      <c r="CO164" s="453">
        <v>2821.3</v>
      </c>
      <c r="CP164" s="453">
        <v>16.02</v>
      </c>
      <c r="CQ164" s="453">
        <v>50</v>
      </c>
      <c r="CR164" s="456">
        <v>0</v>
      </c>
      <c r="CS164" s="456">
        <v>0</v>
      </c>
      <c r="CT164" s="456">
        <v>0</v>
      </c>
      <c r="CU164" s="456">
        <v>0</v>
      </c>
      <c r="CV164" s="481">
        <v>1240.8333333333333</v>
      </c>
      <c r="CW164" s="481">
        <v>1840.4166666666667</v>
      </c>
      <c r="CX164" s="481">
        <v>1178.4375</v>
      </c>
      <c r="CY164" s="481">
        <v>1162.42</v>
      </c>
      <c r="CZ164" s="456"/>
      <c r="DA164" s="456"/>
      <c r="DB164" s="456"/>
      <c r="DC164" s="456"/>
      <c r="DD164" s="456"/>
      <c r="DE164" s="456"/>
      <c r="DF164" s="456"/>
      <c r="DG164" s="425"/>
      <c r="DH164" s="456">
        <v>26</v>
      </c>
      <c r="DI164" s="456">
        <v>0.47</v>
      </c>
      <c r="DJ164" s="456">
        <v>1.25</v>
      </c>
      <c r="DK164" s="425"/>
      <c r="DL164" s="456"/>
      <c r="DM164" s="456"/>
      <c r="DN164" s="456"/>
      <c r="DO164" s="456"/>
      <c r="DP164" s="456"/>
      <c r="DQ164" s="456"/>
      <c r="DR164" s="456"/>
      <c r="DS164" s="456"/>
      <c r="DT164" s="456"/>
      <c r="DU164" s="456"/>
      <c r="DV164" s="456"/>
      <c r="DW164" s="456"/>
      <c r="DX164" s="456"/>
      <c r="DY164" s="456"/>
      <c r="DZ164" s="456"/>
      <c r="EA164" s="456"/>
      <c r="EB164" s="456"/>
      <c r="EC164" s="456"/>
      <c r="ED164" s="423">
        <v>0</v>
      </c>
      <c r="EE164" s="456">
        <v>0</v>
      </c>
      <c r="EF164" s="456">
        <v>2.5</v>
      </c>
      <c r="EG164" s="456">
        <v>6</v>
      </c>
      <c r="EH164" s="423">
        <v>0</v>
      </c>
      <c r="EI164" s="456"/>
      <c r="EJ164" s="456"/>
      <c r="EK164" s="456"/>
      <c r="EL164" s="456"/>
      <c r="EM164" s="456"/>
      <c r="EN164" s="456"/>
      <c r="EO164" s="425"/>
      <c r="EP164" s="425"/>
      <c r="EQ164" s="425" t="s">
        <v>743</v>
      </c>
      <c r="ER164" s="425">
        <v>1</v>
      </c>
      <c r="ES164" s="425">
        <v>8</v>
      </c>
      <c r="ET164" s="425">
        <v>4000</v>
      </c>
      <c r="EU164" s="457">
        <v>1820</v>
      </c>
      <c r="EV164" s="425">
        <v>320</v>
      </c>
      <c r="EW164" s="425">
        <v>6915401</v>
      </c>
      <c r="EX164" s="425">
        <v>53458</v>
      </c>
      <c r="EY164" s="666">
        <v>17.940000000000001</v>
      </c>
      <c r="EZ164" s="666">
        <v>17.920000000000002</v>
      </c>
      <c r="FA164" s="666">
        <v>0</v>
      </c>
      <c r="FB164" s="666">
        <v>1.41</v>
      </c>
      <c r="FC164" s="666">
        <v>1.37</v>
      </c>
      <c r="FD164" s="666">
        <v>1.29</v>
      </c>
      <c r="FE164" s="666">
        <v>1.3</v>
      </c>
      <c r="FF164" s="666">
        <v>220</v>
      </c>
      <c r="FG164" s="666">
        <v>2.09</v>
      </c>
      <c r="FH164" s="666">
        <v>1.06</v>
      </c>
      <c r="FI164" s="666">
        <v>1.66</v>
      </c>
      <c r="FJ164" s="666">
        <v>7.61</v>
      </c>
      <c r="FK164" s="666">
        <v>7.9</v>
      </c>
      <c r="FL164" s="666">
        <v>7.85</v>
      </c>
      <c r="FM164" s="666">
        <v>7.6</v>
      </c>
      <c r="FN164" s="666">
        <v>0</v>
      </c>
    </row>
    <row r="165" spans="1:170" s="416" customFormat="1" ht="15">
      <c r="A165" s="425" t="s">
        <v>5</v>
      </c>
      <c r="B165" s="426">
        <v>40694</v>
      </c>
      <c r="C165" s="418">
        <v>0</v>
      </c>
      <c r="D165" s="518">
        <v>0.28000000000000003</v>
      </c>
      <c r="E165" s="453">
        <v>0</v>
      </c>
      <c r="F165" s="453">
        <v>51</v>
      </c>
      <c r="G165" s="453">
        <v>1.6</v>
      </c>
      <c r="H165" s="519">
        <v>4.8</v>
      </c>
      <c r="I165" s="519">
        <v>91.4</v>
      </c>
      <c r="J165" s="483">
        <v>2.8</v>
      </c>
      <c r="K165" s="520" t="s">
        <v>742</v>
      </c>
      <c r="L165" s="453">
        <v>16.779999999998836</v>
      </c>
      <c r="M165" s="453">
        <v>22</v>
      </c>
      <c r="N165" s="453">
        <v>1.4</v>
      </c>
      <c r="O165" s="453">
        <v>2.0282061189630936</v>
      </c>
      <c r="P165" s="453" t="s">
        <v>742</v>
      </c>
      <c r="Q165" s="453" t="s">
        <v>742</v>
      </c>
      <c r="R165" s="453">
        <v>886.52767767503292</v>
      </c>
      <c r="S165" s="453">
        <v>8</v>
      </c>
      <c r="T165" s="453" t="s">
        <v>742</v>
      </c>
      <c r="U165" s="453">
        <v>0.7</v>
      </c>
      <c r="V165" s="453" t="s">
        <v>742</v>
      </c>
      <c r="W165" s="453">
        <v>46.400000000000006</v>
      </c>
      <c r="X165" s="456" t="e">
        <v>#VALUE!</v>
      </c>
      <c r="Y165" s="453">
        <v>35</v>
      </c>
      <c r="Z165" s="453">
        <v>17.5</v>
      </c>
      <c r="AA165" s="519">
        <v>34.400000000008731</v>
      </c>
      <c r="AB165" s="519">
        <v>17.900000000001455</v>
      </c>
      <c r="AC165" s="732">
        <f t="shared" si="2"/>
        <v>52.300000000010186</v>
      </c>
      <c r="AD165" s="664"/>
      <c r="AE165" s="664"/>
      <c r="AF165" s="664"/>
      <c r="AG165" s="664"/>
      <c r="AH165" s="664"/>
      <c r="AI165" s="664"/>
      <c r="AJ165" s="485"/>
      <c r="AK165" s="485"/>
      <c r="AL165" s="485"/>
      <c r="AM165" s="485"/>
      <c r="AN165" s="485"/>
      <c r="AO165" s="665"/>
      <c r="AP165" s="485"/>
      <c r="AQ165" s="483"/>
      <c r="AR165" s="755">
        <v>0</v>
      </c>
      <c r="AS165" s="483">
        <v>18.5</v>
      </c>
      <c r="AT165" s="755">
        <v>0</v>
      </c>
      <c r="AU165" s="483">
        <v>36</v>
      </c>
      <c r="AV165" s="484">
        <v>330</v>
      </c>
      <c r="AW165" s="484">
        <v>370.5</v>
      </c>
      <c r="AX165" s="453">
        <v>0</v>
      </c>
      <c r="AY165" s="734">
        <v>0</v>
      </c>
      <c r="AZ165" s="734">
        <v>0</v>
      </c>
      <c r="BA165" s="734">
        <v>0</v>
      </c>
      <c r="BB165" s="453">
        <v>0</v>
      </c>
      <c r="BC165" s="453">
        <v>0</v>
      </c>
      <c r="BD165" s="453">
        <v>0</v>
      </c>
      <c r="BE165" s="734">
        <v>0</v>
      </c>
      <c r="BF165" s="453">
        <v>0</v>
      </c>
      <c r="BG165" s="453">
        <v>0</v>
      </c>
      <c r="BH165" s="734">
        <v>0</v>
      </c>
      <c r="BI165" s="453">
        <v>0</v>
      </c>
      <c r="BJ165" s="453">
        <v>18.100000000000001</v>
      </c>
      <c r="BK165" s="453">
        <v>0</v>
      </c>
      <c r="BL165" s="453">
        <v>0</v>
      </c>
      <c r="BM165" s="453">
        <v>0</v>
      </c>
      <c r="BN165" s="453">
        <v>17.899999999999999</v>
      </c>
      <c r="BO165" s="453">
        <v>1379.7</v>
      </c>
      <c r="BP165" s="453">
        <v>33.6</v>
      </c>
      <c r="BQ165" s="453">
        <v>18.5</v>
      </c>
      <c r="BR165" s="453">
        <v>18.399999999999999</v>
      </c>
      <c r="BS165" s="453">
        <v>0</v>
      </c>
      <c r="BT165" s="453">
        <v>36.6</v>
      </c>
      <c r="BU165" s="453">
        <v>26.7</v>
      </c>
      <c r="BV165" s="456">
        <v>508.5</v>
      </c>
      <c r="BW165" s="453">
        <v>1</v>
      </c>
      <c r="BX165" s="453">
        <v>1.51</v>
      </c>
      <c r="BY165" s="456">
        <v>1.1100000000000001</v>
      </c>
      <c r="BZ165" s="456">
        <v>15.2</v>
      </c>
      <c r="CA165" s="456">
        <v>31</v>
      </c>
      <c r="CB165" s="456">
        <v>14.6</v>
      </c>
      <c r="CC165" s="456">
        <v>8.7799999999999994</v>
      </c>
      <c r="CD165" s="456">
        <v>12.9</v>
      </c>
      <c r="CE165" s="456">
        <v>17.3</v>
      </c>
      <c r="CF165" s="456">
        <v>13.12</v>
      </c>
      <c r="CG165" s="456">
        <v>518.4</v>
      </c>
      <c r="CH165" s="456">
        <v>2.2999999999999998</v>
      </c>
      <c r="CI165" s="456">
        <v>2.8</v>
      </c>
      <c r="CJ165" s="456">
        <v>480.6</v>
      </c>
      <c r="CK165" s="456">
        <v>472.2</v>
      </c>
      <c r="CL165" s="456">
        <v>569.9</v>
      </c>
      <c r="CM165" s="456">
        <v>14.1</v>
      </c>
      <c r="CN165" s="456">
        <v>1.76</v>
      </c>
      <c r="CO165" s="453">
        <v>0</v>
      </c>
      <c r="CP165" s="453">
        <v>16.47</v>
      </c>
      <c r="CQ165" s="453">
        <v>49</v>
      </c>
      <c r="CR165" s="456">
        <v>0</v>
      </c>
      <c r="CS165" s="456">
        <v>0</v>
      </c>
      <c r="CT165" s="456">
        <v>0</v>
      </c>
      <c r="CU165" s="456">
        <v>0</v>
      </c>
      <c r="CV165" s="481">
        <v>1273.75</v>
      </c>
      <c r="CW165" s="481">
        <v>1814.5833333333333</v>
      </c>
      <c r="CX165" s="481">
        <v>1201.6666666666667</v>
      </c>
      <c r="CY165" s="481">
        <v>1162.8800000000001</v>
      </c>
      <c r="CZ165" s="456"/>
      <c r="DA165" s="456"/>
      <c r="DB165" s="456"/>
      <c r="DC165" s="456"/>
      <c r="DD165" s="456"/>
      <c r="DE165" s="456"/>
      <c r="DF165" s="456"/>
      <c r="DG165" s="425"/>
      <c r="DH165" s="456">
        <v>0</v>
      </c>
      <c r="DI165" s="456">
        <v>0.47</v>
      </c>
      <c r="DJ165" s="456">
        <v>1.23</v>
      </c>
      <c r="DK165" s="425"/>
      <c r="DL165" s="456"/>
      <c r="DM165" s="456"/>
      <c r="DN165" s="456"/>
      <c r="DO165" s="456"/>
      <c r="DP165" s="456"/>
      <c r="DQ165" s="456"/>
      <c r="DR165" s="456"/>
      <c r="DS165" s="456"/>
      <c r="DT165" s="456"/>
      <c r="DU165" s="456"/>
      <c r="DV165" s="456"/>
      <c r="DW165" s="456"/>
      <c r="DX165" s="456"/>
      <c r="DY165" s="456"/>
      <c r="DZ165" s="456"/>
      <c r="EA165" s="456"/>
      <c r="EB165" s="456"/>
      <c r="EC165" s="456"/>
      <c r="ED165" s="423">
        <v>0</v>
      </c>
      <c r="EE165" s="456">
        <v>0</v>
      </c>
      <c r="EF165" s="456">
        <v>2.5</v>
      </c>
      <c r="EG165" s="456">
        <v>6</v>
      </c>
      <c r="EH165" s="423">
        <v>0</v>
      </c>
      <c r="EI165" s="456"/>
      <c r="EJ165" s="456"/>
      <c r="EK165" s="456"/>
      <c r="EL165" s="456"/>
      <c r="EM165" s="456"/>
      <c r="EN165" s="456"/>
      <c r="EO165" s="425"/>
      <c r="EP165" s="425"/>
      <c r="EQ165" s="425" t="s">
        <v>743</v>
      </c>
      <c r="ER165" s="425">
        <v>1</v>
      </c>
      <c r="ES165" s="425">
        <v>8</v>
      </c>
      <c r="ET165" s="425">
        <v>4000</v>
      </c>
      <c r="EU165" s="457">
        <v>1570</v>
      </c>
      <c r="EV165" s="425">
        <v>300</v>
      </c>
      <c r="EW165" s="425">
        <v>6918134</v>
      </c>
      <c r="EX165" s="425">
        <v>54893</v>
      </c>
      <c r="EY165" s="666">
        <v>18.84</v>
      </c>
      <c r="EZ165" s="666">
        <v>18.809999999999999</v>
      </c>
      <c r="FA165" s="666">
        <v>0</v>
      </c>
      <c r="FB165" s="666">
        <v>1.35</v>
      </c>
      <c r="FC165" s="666">
        <v>1.28</v>
      </c>
      <c r="FD165" s="666">
        <v>1.2969999999999999</v>
      </c>
      <c r="FE165" s="666">
        <v>1.21</v>
      </c>
      <c r="FF165" s="666">
        <v>250</v>
      </c>
      <c r="FG165" s="666">
        <v>2.91</v>
      </c>
      <c r="FH165" s="666">
        <v>1.147</v>
      </c>
      <c r="FI165" s="666">
        <v>2.17</v>
      </c>
      <c r="FJ165" s="666">
        <v>7.79</v>
      </c>
      <c r="FK165" s="666">
        <v>8.1999999999999993</v>
      </c>
      <c r="FL165" s="666">
        <v>7.99</v>
      </c>
      <c r="FM165" s="666">
        <v>7.8</v>
      </c>
      <c r="FN165" s="666">
        <v>0</v>
      </c>
    </row>
    <row r="166" spans="1:170" s="416" customFormat="1" ht="15">
      <c r="A166" s="425" t="s">
        <v>6</v>
      </c>
      <c r="B166" s="426">
        <v>40695</v>
      </c>
      <c r="C166" s="418">
        <v>0</v>
      </c>
      <c r="D166" s="518">
        <v>0.56999999999999995</v>
      </c>
      <c r="E166" s="453">
        <v>0</v>
      </c>
      <c r="F166" s="453">
        <v>48</v>
      </c>
      <c r="G166" s="453">
        <v>2.25</v>
      </c>
      <c r="H166" s="519">
        <v>4.62</v>
      </c>
      <c r="I166" s="519">
        <v>91.9</v>
      </c>
      <c r="J166" s="483">
        <v>2.94</v>
      </c>
      <c r="K166" s="520" t="s">
        <v>742</v>
      </c>
      <c r="L166" s="453">
        <v>12.630000000001019</v>
      </c>
      <c r="M166" s="453">
        <v>22.3</v>
      </c>
      <c r="N166" s="453">
        <v>1.4</v>
      </c>
      <c r="O166" s="453">
        <v>1.9751651254953762</v>
      </c>
      <c r="P166" s="453" t="s">
        <v>742</v>
      </c>
      <c r="Q166" s="453" t="s">
        <v>742</v>
      </c>
      <c r="R166" s="453">
        <v>835.99851519154549</v>
      </c>
      <c r="S166" s="453">
        <v>7.97</v>
      </c>
      <c r="T166" s="453" t="s">
        <v>742</v>
      </c>
      <c r="U166" s="453">
        <v>0.62</v>
      </c>
      <c r="V166" s="453" t="s">
        <v>742</v>
      </c>
      <c r="W166" s="453">
        <v>49.28</v>
      </c>
      <c r="X166" s="456" t="e">
        <v>#VALUE!</v>
      </c>
      <c r="Y166" s="453">
        <v>34.5</v>
      </c>
      <c r="Z166" s="453">
        <v>17.8</v>
      </c>
      <c r="AA166" s="519">
        <v>34.19999999999709</v>
      </c>
      <c r="AB166" s="519">
        <v>16.5</v>
      </c>
      <c r="AC166" s="732">
        <f t="shared" si="2"/>
        <v>50.69999999999709</v>
      </c>
      <c r="AD166" s="664"/>
      <c r="AE166" s="664"/>
      <c r="AF166" s="664"/>
      <c r="AG166" s="664"/>
      <c r="AH166" s="664"/>
      <c r="AI166" s="664"/>
      <c r="AJ166" s="485"/>
      <c r="AK166" s="485"/>
      <c r="AL166" s="485"/>
      <c r="AM166" s="485"/>
      <c r="AN166" s="485"/>
      <c r="AO166" s="665"/>
      <c r="AP166" s="485"/>
      <c r="AQ166" s="483"/>
      <c r="AR166" s="755">
        <v>0</v>
      </c>
      <c r="AS166" s="483">
        <v>35.299999999999997</v>
      </c>
      <c r="AT166" s="755">
        <v>0</v>
      </c>
      <c r="AU166" s="483">
        <v>35.5</v>
      </c>
      <c r="AV166" s="484">
        <v>389</v>
      </c>
      <c r="AW166" s="484">
        <v>427.8</v>
      </c>
      <c r="AX166" s="453">
        <v>0</v>
      </c>
      <c r="AY166" s="734">
        <v>0</v>
      </c>
      <c r="AZ166" s="734">
        <v>0</v>
      </c>
      <c r="BA166" s="734">
        <v>0</v>
      </c>
      <c r="BB166" s="453">
        <v>0</v>
      </c>
      <c r="BC166" s="453">
        <v>0</v>
      </c>
      <c r="BD166" s="453">
        <v>0</v>
      </c>
      <c r="BE166" s="734">
        <v>0</v>
      </c>
      <c r="BF166" s="453">
        <v>0</v>
      </c>
      <c r="BG166" s="453">
        <v>0</v>
      </c>
      <c r="BH166" s="734">
        <v>0</v>
      </c>
      <c r="BI166" s="453">
        <v>0</v>
      </c>
      <c r="BJ166" s="453">
        <v>16.5</v>
      </c>
      <c r="BK166" s="453">
        <v>0</v>
      </c>
      <c r="BL166" s="453">
        <v>0</v>
      </c>
      <c r="BM166" s="453">
        <v>0</v>
      </c>
      <c r="BN166" s="453">
        <v>16.3</v>
      </c>
      <c r="BO166" s="453">
        <v>1279.4000000000001</v>
      </c>
      <c r="BP166" s="453">
        <v>0</v>
      </c>
      <c r="BQ166" s="453">
        <v>19</v>
      </c>
      <c r="BR166" s="453">
        <v>18.899999999999999</v>
      </c>
      <c r="BS166" s="453">
        <v>0</v>
      </c>
      <c r="BT166" s="453">
        <v>35.9</v>
      </c>
      <c r="BU166" s="453">
        <v>28.3</v>
      </c>
      <c r="BV166" s="456">
        <v>721.7</v>
      </c>
      <c r="BW166" s="453">
        <v>1.2</v>
      </c>
      <c r="BX166" s="453">
        <v>1.45</v>
      </c>
      <c r="BY166" s="456">
        <v>1.1200000000000001</v>
      </c>
      <c r="BZ166" s="456">
        <v>15.3</v>
      </c>
      <c r="CA166" s="456">
        <v>35.299999999999997</v>
      </c>
      <c r="CB166" s="456">
        <v>13.6</v>
      </c>
      <c r="CC166" s="456">
        <v>8.4</v>
      </c>
      <c r="CD166" s="456">
        <v>12.65</v>
      </c>
      <c r="CE166" s="456">
        <v>16.7</v>
      </c>
      <c r="CF166" s="456">
        <v>13.28</v>
      </c>
      <c r="CG166" s="456">
        <v>341.9</v>
      </c>
      <c r="CH166" s="456">
        <v>1.8</v>
      </c>
      <c r="CI166" s="456">
        <v>2.2000000000000002</v>
      </c>
      <c r="CJ166" s="456">
        <v>458.2</v>
      </c>
      <c r="CK166" s="456">
        <v>441</v>
      </c>
      <c r="CL166" s="456">
        <v>575.20000000000005</v>
      </c>
      <c r="CM166" s="456">
        <v>13.8</v>
      </c>
      <c r="CN166" s="456">
        <v>1.75</v>
      </c>
      <c r="CO166" s="453">
        <v>0</v>
      </c>
      <c r="CP166" s="453">
        <v>15.19</v>
      </c>
      <c r="CQ166" s="453">
        <v>50</v>
      </c>
      <c r="CR166" s="456">
        <v>0</v>
      </c>
      <c r="CS166" s="456">
        <v>0</v>
      </c>
      <c r="CT166" s="456">
        <v>0</v>
      </c>
      <c r="CU166" s="456">
        <v>0</v>
      </c>
      <c r="CV166" s="481">
        <v>1763.75</v>
      </c>
      <c r="CW166" s="481">
        <v>2116.6666666666665</v>
      </c>
      <c r="CX166" s="481">
        <v>1703.5416666666667</v>
      </c>
      <c r="CY166" s="481">
        <v>1163.43</v>
      </c>
      <c r="CZ166" s="456"/>
      <c r="DA166" s="456"/>
      <c r="DB166" s="456"/>
      <c r="DC166" s="456"/>
      <c r="DD166" s="456"/>
      <c r="DE166" s="456"/>
      <c r="DF166" s="456"/>
      <c r="DG166" s="425"/>
      <c r="DH166" s="456">
        <v>0</v>
      </c>
      <c r="DI166" s="456">
        <v>0.47</v>
      </c>
      <c r="DJ166" s="456">
        <v>1.1499999999999999</v>
      </c>
      <c r="DK166" s="425"/>
      <c r="DL166" s="456"/>
      <c r="DM166" s="456"/>
      <c r="DN166" s="456"/>
      <c r="DO166" s="456"/>
      <c r="DP166" s="456"/>
      <c r="DQ166" s="456"/>
      <c r="DR166" s="456"/>
      <c r="DS166" s="456"/>
      <c r="DT166" s="456"/>
      <c r="DU166" s="456"/>
      <c r="DV166" s="456"/>
      <c r="DW166" s="456"/>
      <c r="DX166" s="456"/>
      <c r="DY166" s="456"/>
      <c r="DZ166" s="456"/>
      <c r="EA166" s="456"/>
      <c r="EB166" s="456"/>
      <c r="EC166" s="456"/>
      <c r="ED166" s="423">
        <v>0</v>
      </c>
      <c r="EE166" s="456">
        <v>0</v>
      </c>
      <c r="EF166" s="456">
        <v>2.5</v>
      </c>
      <c r="EG166" s="456">
        <v>6</v>
      </c>
      <c r="EH166" s="423">
        <v>0</v>
      </c>
      <c r="EI166" s="456"/>
      <c r="EJ166" s="456"/>
      <c r="EK166" s="456"/>
      <c r="EL166" s="456"/>
      <c r="EM166" s="456"/>
      <c r="EN166" s="456"/>
      <c r="EO166" s="425"/>
      <c r="EP166" s="425"/>
      <c r="EQ166" s="425" t="s">
        <v>743</v>
      </c>
      <c r="ER166" s="425">
        <v>1</v>
      </c>
      <c r="ES166" s="425">
        <v>8</v>
      </c>
      <c r="ET166" s="425">
        <v>4000</v>
      </c>
      <c r="EU166" s="457">
        <v>1300</v>
      </c>
      <c r="EV166" s="425">
        <v>330</v>
      </c>
      <c r="EW166" s="425">
        <v>6921245</v>
      </c>
      <c r="EX166" s="425">
        <v>56307</v>
      </c>
      <c r="EY166" s="666">
        <v>18.8</v>
      </c>
      <c r="EZ166" s="666">
        <v>18.79</v>
      </c>
      <c r="FA166" s="666">
        <v>0</v>
      </c>
      <c r="FB166" s="666">
        <v>1.33</v>
      </c>
      <c r="FC166" s="666">
        <v>1.29</v>
      </c>
      <c r="FD166" s="666">
        <v>1.1739999999999999</v>
      </c>
      <c r="FE166" s="666">
        <v>1.18</v>
      </c>
      <c r="FF166" s="666">
        <v>270</v>
      </c>
      <c r="FG166" s="666">
        <v>2.57</v>
      </c>
      <c r="FH166" s="666">
        <v>1.224</v>
      </c>
      <c r="FI166" s="666">
        <v>2.0299999999999998</v>
      </c>
      <c r="FJ166" s="666">
        <v>7.92</v>
      </c>
      <c r="FK166" s="666">
        <v>8.1999999999999993</v>
      </c>
      <c r="FL166" s="666">
        <v>8.07</v>
      </c>
      <c r="FM166" s="666">
        <v>7.9</v>
      </c>
      <c r="FN166" s="666">
        <v>0</v>
      </c>
    </row>
    <row r="167" spans="1:170" s="416" customFormat="1" ht="15">
      <c r="A167" s="425" t="s">
        <v>7</v>
      </c>
      <c r="B167" s="426">
        <v>40696</v>
      </c>
      <c r="C167" s="418">
        <v>0</v>
      </c>
      <c r="D167" s="518">
        <v>0.64</v>
      </c>
      <c r="E167" s="453">
        <v>0</v>
      </c>
      <c r="F167" s="453">
        <v>47</v>
      </c>
      <c r="G167" s="453">
        <v>2.5</v>
      </c>
      <c r="H167" s="519">
        <v>4.01</v>
      </c>
      <c r="I167" s="519">
        <v>95.2</v>
      </c>
      <c r="J167" s="483">
        <v>2.79</v>
      </c>
      <c r="K167" s="520" t="s">
        <v>742</v>
      </c>
      <c r="L167" s="453">
        <v>3.6099999999987631</v>
      </c>
      <c r="M167" s="453">
        <v>23.5</v>
      </c>
      <c r="N167" s="453">
        <v>1.45</v>
      </c>
      <c r="O167" s="453">
        <v>2.2057302286327132</v>
      </c>
      <c r="P167" s="453" t="s">
        <v>742</v>
      </c>
      <c r="Q167" s="453" t="s">
        <v>742</v>
      </c>
      <c r="R167" s="453">
        <v>926.04407397622185</v>
      </c>
      <c r="S167" s="453">
        <v>7.95</v>
      </c>
      <c r="T167" s="453" t="s">
        <v>742</v>
      </c>
      <c r="U167" s="453">
        <v>0.63</v>
      </c>
      <c r="V167" s="453" t="s">
        <v>742</v>
      </c>
      <c r="W167" s="453">
        <v>49.28</v>
      </c>
      <c r="X167" s="456" t="e">
        <v>#VALUE!</v>
      </c>
      <c r="Y167" s="453">
        <v>33.1</v>
      </c>
      <c r="Z167" s="453">
        <v>13.2</v>
      </c>
      <c r="AA167" s="519">
        <v>32.720000000001164</v>
      </c>
      <c r="AB167" s="519">
        <v>17.599999999998545</v>
      </c>
      <c r="AC167" s="732">
        <f t="shared" si="2"/>
        <v>50.319999999999709</v>
      </c>
      <c r="AD167" s="664"/>
      <c r="AE167" s="664"/>
      <c r="AF167" s="664"/>
      <c r="AG167" s="664"/>
      <c r="AH167" s="664"/>
      <c r="AI167" s="664"/>
      <c r="AJ167" s="485"/>
      <c r="AK167" s="485"/>
      <c r="AL167" s="485"/>
      <c r="AM167" s="485"/>
      <c r="AN167" s="485"/>
      <c r="AO167" s="665"/>
      <c r="AP167" s="485"/>
      <c r="AQ167" s="483"/>
      <c r="AR167" s="755">
        <v>0</v>
      </c>
      <c r="AS167" s="483">
        <v>18</v>
      </c>
      <c r="AT167" s="755">
        <v>0</v>
      </c>
      <c r="AU167" s="483">
        <v>34.200000000000003</v>
      </c>
      <c r="AV167" s="484">
        <v>376.7</v>
      </c>
      <c r="AW167" s="484">
        <v>406.7</v>
      </c>
      <c r="AX167" s="453">
        <v>0</v>
      </c>
      <c r="AY167" s="734">
        <v>0</v>
      </c>
      <c r="AZ167" s="734">
        <v>0</v>
      </c>
      <c r="BA167" s="734">
        <v>0</v>
      </c>
      <c r="BB167" s="453">
        <v>0</v>
      </c>
      <c r="BC167" s="453">
        <v>0.26</v>
      </c>
      <c r="BD167" s="453">
        <v>0.79</v>
      </c>
      <c r="BE167" s="734">
        <v>0</v>
      </c>
      <c r="BF167" s="453">
        <v>0.26</v>
      </c>
      <c r="BG167" s="453">
        <v>0</v>
      </c>
      <c r="BH167" s="734">
        <v>0</v>
      </c>
      <c r="BI167" s="453">
        <v>0</v>
      </c>
      <c r="BJ167" s="453">
        <v>16.2</v>
      </c>
      <c r="BK167" s="453">
        <v>1.48</v>
      </c>
      <c r="BL167" s="453">
        <v>1.75</v>
      </c>
      <c r="BM167" s="453">
        <v>0</v>
      </c>
      <c r="BN167" s="453">
        <v>12.8</v>
      </c>
      <c r="BO167" s="453">
        <v>1479.6</v>
      </c>
      <c r="BP167" s="453">
        <v>0</v>
      </c>
      <c r="BQ167" s="453">
        <v>18.7</v>
      </c>
      <c r="BR167" s="453">
        <v>18.600000000000001</v>
      </c>
      <c r="BS167" s="453">
        <v>0</v>
      </c>
      <c r="BT167" s="453">
        <v>34.5</v>
      </c>
      <c r="BU167" s="453">
        <v>30.8</v>
      </c>
      <c r="BV167" s="456">
        <v>508.1</v>
      </c>
      <c r="BW167" s="453">
        <v>1.2</v>
      </c>
      <c r="BX167" s="453">
        <v>1.41</v>
      </c>
      <c r="BY167" s="456">
        <v>1.1100000000000001</v>
      </c>
      <c r="BZ167" s="456">
        <v>14.9</v>
      </c>
      <c r="CA167" s="456">
        <v>32.6</v>
      </c>
      <c r="CB167" s="456">
        <v>12.7</v>
      </c>
      <c r="CC167" s="456">
        <v>8.8000000000000007</v>
      </c>
      <c r="CD167" s="456">
        <v>12.97</v>
      </c>
      <c r="CE167" s="456">
        <v>17.3</v>
      </c>
      <c r="CF167" s="456">
        <v>12.7</v>
      </c>
      <c r="CG167" s="456">
        <v>546.1</v>
      </c>
      <c r="CH167" s="456">
        <v>1.9</v>
      </c>
      <c r="CI167" s="456">
        <v>3</v>
      </c>
      <c r="CJ167" s="456">
        <v>457.7</v>
      </c>
      <c r="CK167" s="456">
        <v>431.7</v>
      </c>
      <c r="CL167" s="456">
        <v>568.79999999999995</v>
      </c>
      <c r="CM167" s="456">
        <v>14</v>
      </c>
      <c r="CN167" s="456">
        <v>1.77</v>
      </c>
      <c r="CO167" s="453">
        <v>0</v>
      </c>
      <c r="CP167" s="453">
        <v>15.84</v>
      </c>
      <c r="CQ167" s="453">
        <v>50</v>
      </c>
      <c r="CR167" s="456">
        <v>0</v>
      </c>
      <c r="CS167" s="456">
        <v>0</v>
      </c>
      <c r="CT167" s="456">
        <v>0</v>
      </c>
      <c r="CU167" s="456">
        <v>0</v>
      </c>
      <c r="CV167" s="481">
        <v>2300.4166666666665</v>
      </c>
      <c r="CW167" s="481">
        <v>2837.6041666666665</v>
      </c>
      <c r="CX167" s="481">
        <v>2256.5625</v>
      </c>
      <c r="CY167" s="481">
        <v>1163.6500000000001</v>
      </c>
      <c r="CZ167" s="456"/>
      <c r="DA167" s="456"/>
      <c r="DB167" s="456"/>
      <c r="DC167" s="456"/>
      <c r="DD167" s="456"/>
      <c r="DE167" s="456"/>
      <c r="DF167" s="456"/>
      <c r="DG167" s="425"/>
      <c r="DH167" s="456">
        <v>1</v>
      </c>
      <c r="DI167" s="456">
        <v>0.49</v>
      </c>
      <c r="DJ167" s="456">
        <v>1.2</v>
      </c>
      <c r="DK167" s="425"/>
      <c r="DL167" s="456"/>
      <c r="DM167" s="456"/>
      <c r="DN167" s="456"/>
      <c r="DO167" s="456"/>
      <c r="DP167" s="456"/>
      <c r="DQ167" s="456"/>
      <c r="DR167" s="456"/>
      <c r="DS167" s="456"/>
      <c r="DT167" s="456"/>
      <c r="DU167" s="456"/>
      <c r="DV167" s="456"/>
      <c r="DW167" s="456"/>
      <c r="DX167" s="456"/>
      <c r="DY167" s="456"/>
      <c r="DZ167" s="456"/>
      <c r="EA167" s="456"/>
      <c r="EB167" s="456"/>
      <c r="EC167" s="456"/>
      <c r="ED167" s="423">
        <v>0</v>
      </c>
      <c r="EE167" s="456">
        <v>0</v>
      </c>
      <c r="EF167" s="456">
        <v>2.5</v>
      </c>
      <c r="EG167" s="456">
        <v>6</v>
      </c>
      <c r="EH167" s="423">
        <v>0</v>
      </c>
      <c r="EI167" s="456"/>
      <c r="EJ167" s="456"/>
      <c r="EK167" s="456"/>
      <c r="EL167" s="456"/>
      <c r="EM167" s="456"/>
      <c r="EN167" s="456"/>
      <c r="EO167" s="425"/>
      <c r="EP167" s="425"/>
      <c r="EQ167" s="425" t="s">
        <v>743</v>
      </c>
      <c r="ER167" s="425">
        <v>1</v>
      </c>
      <c r="ES167" s="425">
        <v>8</v>
      </c>
      <c r="ET167" s="425">
        <v>4000</v>
      </c>
      <c r="EU167" s="457">
        <v>1030</v>
      </c>
      <c r="EV167" s="425">
        <v>295</v>
      </c>
      <c r="EW167" s="425">
        <v>6924185</v>
      </c>
      <c r="EX167" s="425">
        <v>57560</v>
      </c>
      <c r="EY167" s="666">
        <v>18.420000000000002</v>
      </c>
      <c r="EZ167" s="666">
        <v>18.399999999999999</v>
      </c>
      <c r="FA167" s="666">
        <v>0</v>
      </c>
      <c r="FB167" s="666">
        <v>1.25</v>
      </c>
      <c r="FC167" s="666">
        <v>1.26</v>
      </c>
      <c r="FD167" s="666">
        <v>1.1519999999999999</v>
      </c>
      <c r="FE167" s="666">
        <v>1.17</v>
      </c>
      <c r="FF167" s="666">
        <v>270</v>
      </c>
      <c r="FG167" s="666">
        <v>2.98</v>
      </c>
      <c r="FH167" s="666">
        <v>1.2989999999999999</v>
      </c>
      <c r="FI167" s="666">
        <v>2.2599999999999998</v>
      </c>
      <c r="FJ167" s="666">
        <v>7.8</v>
      </c>
      <c r="FK167" s="666">
        <v>8.1</v>
      </c>
      <c r="FL167" s="666">
        <v>8.09</v>
      </c>
      <c r="FM167" s="666">
        <v>7.8</v>
      </c>
      <c r="FN167" s="666">
        <v>0</v>
      </c>
    </row>
    <row r="168" spans="1:170" s="416" customFormat="1" ht="15">
      <c r="A168" s="425" t="s">
        <v>8</v>
      </c>
      <c r="B168" s="426">
        <v>40697</v>
      </c>
      <c r="C168" s="418">
        <v>0</v>
      </c>
      <c r="D168" s="518">
        <v>0</v>
      </c>
      <c r="E168" s="453">
        <v>0</v>
      </c>
      <c r="F168" s="453">
        <v>51</v>
      </c>
      <c r="G168" s="453">
        <v>2.2000000000000002</v>
      </c>
      <c r="H168" s="519">
        <v>3.1</v>
      </c>
      <c r="I168" s="519">
        <v>91.9</v>
      </c>
      <c r="J168" s="483">
        <v>2.6</v>
      </c>
      <c r="K168" s="520" t="s">
        <v>742</v>
      </c>
      <c r="L168" s="453">
        <v>0</v>
      </c>
      <c r="M168" s="453">
        <v>23.6</v>
      </c>
      <c r="N168" s="453">
        <v>1.4</v>
      </c>
      <c r="O168" s="453">
        <v>2.1558840760018212</v>
      </c>
      <c r="P168" s="453" t="s">
        <v>742</v>
      </c>
      <c r="Q168" s="453" t="s">
        <v>742</v>
      </c>
      <c r="R168" s="453">
        <v>1016.4135376486129</v>
      </c>
      <c r="S168" s="453">
        <v>7.9</v>
      </c>
      <c r="T168" s="453" t="s">
        <v>742</v>
      </c>
      <c r="U168" s="453">
        <v>0.7</v>
      </c>
      <c r="V168" s="453" t="s">
        <v>742</v>
      </c>
      <c r="W168" s="453">
        <v>49.64</v>
      </c>
      <c r="X168" s="456" t="e">
        <v>#VALUE!</v>
      </c>
      <c r="Y168" s="453">
        <v>32.68</v>
      </c>
      <c r="Z168" s="453">
        <v>22.68</v>
      </c>
      <c r="AA168" s="519">
        <v>32.380000000004657</v>
      </c>
      <c r="AB168" s="519">
        <v>24.19999999999709</v>
      </c>
      <c r="AC168" s="732">
        <f t="shared" si="2"/>
        <v>56.580000000001746</v>
      </c>
      <c r="AD168" s="664"/>
      <c r="AE168" s="664"/>
      <c r="AF168" s="664"/>
      <c r="AG168" s="664"/>
      <c r="AH168" s="664"/>
      <c r="AI168" s="664"/>
      <c r="AJ168" s="485"/>
      <c r="AK168" s="485"/>
      <c r="AL168" s="485"/>
      <c r="AM168" s="485"/>
      <c r="AN168" s="485"/>
      <c r="AO168" s="665"/>
      <c r="AP168" s="485"/>
      <c r="AQ168" s="483"/>
      <c r="AR168" s="755">
        <v>0</v>
      </c>
      <c r="AS168" s="483">
        <v>18.3</v>
      </c>
      <c r="AT168" s="755">
        <v>0</v>
      </c>
      <c r="AU168" s="483">
        <v>33.9</v>
      </c>
      <c r="AV168" s="484">
        <v>470.9</v>
      </c>
      <c r="AW168" s="484">
        <v>516.1</v>
      </c>
      <c r="AX168" s="453">
        <v>0</v>
      </c>
      <c r="AY168" s="734">
        <v>0</v>
      </c>
      <c r="AZ168" s="734">
        <v>0</v>
      </c>
      <c r="BA168" s="734">
        <v>0</v>
      </c>
      <c r="BB168" s="453">
        <v>0</v>
      </c>
      <c r="BC168" s="453">
        <v>0.42</v>
      </c>
      <c r="BD168" s="453">
        <v>1.64</v>
      </c>
      <c r="BE168" s="734">
        <v>0</v>
      </c>
      <c r="BF168" s="453">
        <v>0.55000000000000004</v>
      </c>
      <c r="BG168" s="453">
        <v>0</v>
      </c>
      <c r="BH168" s="734">
        <v>0</v>
      </c>
      <c r="BI168" s="453">
        <v>0</v>
      </c>
      <c r="BJ168" s="453">
        <v>21.6</v>
      </c>
      <c r="BK168" s="453">
        <v>3.12</v>
      </c>
      <c r="BL168" s="453">
        <v>3.3</v>
      </c>
      <c r="BM168" s="453">
        <v>0</v>
      </c>
      <c r="BN168" s="453">
        <v>15</v>
      </c>
      <c r="BO168" s="453">
        <v>1688.8</v>
      </c>
      <c r="BP168" s="453">
        <v>0</v>
      </c>
      <c r="BQ168" s="453">
        <v>17.71</v>
      </c>
      <c r="BR168" s="453">
        <v>17.7</v>
      </c>
      <c r="BS168" s="453">
        <v>0</v>
      </c>
      <c r="BT168" s="453">
        <v>33.799999999999997</v>
      </c>
      <c r="BU168" s="453">
        <v>33.299999999999997</v>
      </c>
      <c r="BV168" s="456">
        <v>734.3</v>
      </c>
      <c r="BW168" s="453">
        <v>1.63</v>
      </c>
      <c r="BX168" s="453">
        <v>1.38</v>
      </c>
      <c r="BY168" s="456">
        <v>1.1100000000000001</v>
      </c>
      <c r="BZ168" s="456">
        <v>15.04</v>
      </c>
      <c r="CA168" s="456">
        <v>30.2</v>
      </c>
      <c r="CB168" s="456">
        <v>14.9</v>
      </c>
      <c r="CC168" s="456">
        <v>9.93</v>
      </c>
      <c r="CD168" s="456">
        <v>14.2</v>
      </c>
      <c r="CE168" s="456">
        <v>18.2</v>
      </c>
      <c r="CF168" s="456">
        <v>13.2</v>
      </c>
      <c r="CG168" s="456">
        <v>553.1</v>
      </c>
      <c r="CH168" s="456">
        <v>2.2000000000000002</v>
      </c>
      <c r="CI168" s="456">
        <v>3</v>
      </c>
      <c r="CJ168" s="456">
        <v>595.4</v>
      </c>
      <c r="CK168" s="456">
        <v>505.9</v>
      </c>
      <c r="CL168" s="456">
        <v>571.5</v>
      </c>
      <c r="CM168" s="456">
        <v>14.2</v>
      </c>
      <c r="CN168" s="456">
        <v>1.89</v>
      </c>
      <c r="CO168" s="453">
        <v>0</v>
      </c>
      <c r="CP168" s="453">
        <v>15.82</v>
      </c>
      <c r="CQ168" s="453">
        <v>50</v>
      </c>
      <c r="CR168" s="456">
        <v>0</v>
      </c>
      <c r="CS168" s="456">
        <v>0</v>
      </c>
      <c r="CT168" s="456">
        <v>0</v>
      </c>
      <c r="CU168" s="456">
        <v>0</v>
      </c>
      <c r="CV168" s="481">
        <v>2237.5</v>
      </c>
      <c r="CW168" s="481">
        <v>2986.25</v>
      </c>
      <c r="CX168" s="481">
        <v>2203.3333333333335</v>
      </c>
      <c r="CY168" s="481">
        <v>1163.8900000000001</v>
      </c>
      <c r="CZ168" s="456"/>
      <c r="DA168" s="456"/>
      <c r="DB168" s="456"/>
      <c r="DC168" s="456"/>
      <c r="DD168" s="456"/>
      <c r="DE168" s="456"/>
      <c r="DF168" s="456"/>
      <c r="DG168" s="425"/>
      <c r="DH168" s="456">
        <v>0</v>
      </c>
      <c r="DI168" s="456">
        <v>0.48</v>
      </c>
      <c r="DJ168" s="456">
        <v>1.24</v>
      </c>
      <c r="DK168" s="425"/>
      <c r="DL168" s="456"/>
      <c r="DM168" s="456"/>
      <c r="DN168" s="456"/>
      <c r="DO168" s="456"/>
      <c r="DP168" s="456"/>
      <c r="DQ168" s="456"/>
      <c r="DR168" s="456"/>
      <c r="DS168" s="456"/>
      <c r="DT168" s="456"/>
      <c r="DU168" s="456"/>
      <c r="DV168" s="456"/>
      <c r="DW168" s="456"/>
      <c r="DX168" s="456"/>
      <c r="DY168" s="456"/>
      <c r="DZ168" s="456"/>
      <c r="EA168" s="456"/>
      <c r="EB168" s="456"/>
      <c r="EC168" s="456"/>
      <c r="ED168" s="423">
        <v>0</v>
      </c>
      <c r="EE168" s="456">
        <v>0</v>
      </c>
      <c r="EF168" s="456">
        <v>2.5</v>
      </c>
      <c r="EG168" s="456">
        <v>6.5</v>
      </c>
      <c r="EH168" s="423">
        <v>0</v>
      </c>
      <c r="EI168" s="456"/>
      <c r="EJ168" s="456"/>
      <c r="EK168" s="456"/>
      <c r="EL168" s="456"/>
      <c r="EM168" s="456"/>
      <c r="EN168" s="456"/>
      <c r="EO168" s="425"/>
      <c r="EP168" s="425"/>
      <c r="EQ168" s="425" t="s">
        <v>743</v>
      </c>
      <c r="ER168" s="425">
        <v>1</v>
      </c>
      <c r="ES168" s="425">
        <v>8</v>
      </c>
      <c r="ET168" s="425">
        <v>4000</v>
      </c>
      <c r="EU168" s="457">
        <v>690</v>
      </c>
      <c r="EV168" s="425">
        <v>385</v>
      </c>
      <c r="EW168" s="425">
        <v>6927598</v>
      </c>
      <c r="EX168" s="425">
        <v>58890</v>
      </c>
      <c r="EY168" s="666">
        <v>17.61</v>
      </c>
      <c r="EZ168" s="666">
        <v>17.600000000000001</v>
      </c>
      <c r="FA168" s="666">
        <v>0</v>
      </c>
      <c r="FB168" s="666">
        <v>1.27</v>
      </c>
      <c r="FC168" s="666">
        <v>1.23</v>
      </c>
      <c r="FD168" s="666">
        <v>1.1259999999999999</v>
      </c>
      <c r="FE168" s="666">
        <v>1.1100000000000001</v>
      </c>
      <c r="FF168" s="666">
        <v>340</v>
      </c>
      <c r="FG168" s="666">
        <v>2.56</v>
      </c>
      <c r="FH168" s="666">
        <v>1.298</v>
      </c>
      <c r="FI168" s="666">
        <v>2.2799999999999998</v>
      </c>
      <c r="FJ168" s="666">
        <v>8.18</v>
      </c>
      <c r="FK168" s="666">
        <v>7.9</v>
      </c>
      <c r="FL168" s="666">
        <v>8.17</v>
      </c>
      <c r="FM168" s="666">
        <v>7.6</v>
      </c>
      <c r="FN168" s="666">
        <v>0</v>
      </c>
    </row>
    <row r="169" spans="1:170" s="416" customFormat="1" ht="15">
      <c r="A169" s="425" t="s">
        <v>9</v>
      </c>
      <c r="B169" s="426">
        <v>40698</v>
      </c>
      <c r="C169" s="418">
        <v>0</v>
      </c>
      <c r="D169" s="518">
        <v>0</v>
      </c>
      <c r="E169" s="453">
        <v>0</v>
      </c>
      <c r="F169" s="453">
        <v>47</v>
      </c>
      <c r="G169" s="453">
        <v>2.2000000000000002</v>
      </c>
      <c r="H169" s="519">
        <v>2.81</v>
      </c>
      <c r="I169" s="519">
        <v>92.8</v>
      </c>
      <c r="J169" s="483">
        <v>2.2400000000000002</v>
      </c>
      <c r="K169" s="520" t="s">
        <v>742</v>
      </c>
      <c r="L169" s="453">
        <v>0</v>
      </c>
      <c r="M169" s="453">
        <v>23.6</v>
      </c>
      <c r="N169" s="453">
        <v>1.52</v>
      </c>
      <c r="O169" s="453">
        <v>2.1588174367116588</v>
      </c>
      <c r="P169" s="453" t="s">
        <v>742</v>
      </c>
      <c r="Q169" s="453" t="s">
        <v>742</v>
      </c>
      <c r="R169" s="453">
        <v>1055.6060290620871</v>
      </c>
      <c r="S169" s="453">
        <v>7.04</v>
      </c>
      <c r="T169" s="453" t="s">
        <v>742</v>
      </c>
      <c r="U169" s="453">
        <v>0.65</v>
      </c>
      <c r="V169" s="453" t="s">
        <v>742</v>
      </c>
      <c r="W169" s="453">
        <v>46.58</v>
      </c>
      <c r="X169" s="456" t="e">
        <v>#VALUE!</v>
      </c>
      <c r="Y169" s="453">
        <v>32.5</v>
      </c>
      <c r="Z169" s="453">
        <v>26</v>
      </c>
      <c r="AA169" s="519">
        <v>32.439999999987776</v>
      </c>
      <c r="AB169" s="519">
        <v>26.400000000001455</v>
      </c>
      <c r="AC169" s="732">
        <f t="shared" si="2"/>
        <v>58.839999999989232</v>
      </c>
      <c r="AD169" s="664"/>
      <c r="AE169" s="664"/>
      <c r="AF169" s="664"/>
      <c r="AG169" s="664"/>
      <c r="AH169" s="664"/>
      <c r="AI169" s="664"/>
      <c r="AJ169" s="485"/>
      <c r="AK169" s="485"/>
      <c r="AL169" s="485"/>
      <c r="AM169" s="485"/>
      <c r="AN169" s="485"/>
      <c r="AO169" s="665"/>
      <c r="AP169" s="485"/>
      <c r="AQ169" s="483"/>
      <c r="AR169" s="755">
        <v>0</v>
      </c>
      <c r="AS169" s="483">
        <v>21.9</v>
      </c>
      <c r="AT169" s="755">
        <v>0</v>
      </c>
      <c r="AU169" s="483">
        <v>33.9</v>
      </c>
      <c r="AV169" s="484">
        <v>656.6</v>
      </c>
      <c r="AW169" s="484">
        <v>759.5</v>
      </c>
      <c r="AX169" s="453">
        <v>0</v>
      </c>
      <c r="AY169" s="734">
        <v>0</v>
      </c>
      <c r="AZ169" s="734">
        <v>0</v>
      </c>
      <c r="BA169" s="734">
        <v>0</v>
      </c>
      <c r="BB169" s="453">
        <v>0</v>
      </c>
      <c r="BC169" s="453">
        <v>0.14000000000000001</v>
      </c>
      <c r="BD169" s="453">
        <v>2.02</v>
      </c>
      <c r="BE169" s="734">
        <v>0</v>
      </c>
      <c r="BF169" s="453">
        <v>0.49</v>
      </c>
      <c r="BG169" s="453">
        <v>0</v>
      </c>
      <c r="BH169" s="734">
        <v>0</v>
      </c>
      <c r="BI169" s="453">
        <v>0</v>
      </c>
      <c r="BJ169" s="453">
        <v>23.5</v>
      </c>
      <c r="BK169" s="453">
        <v>3.23</v>
      </c>
      <c r="BL169" s="453">
        <v>3.3</v>
      </c>
      <c r="BM169" s="453">
        <v>0</v>
      </c>
      <c r="BN169" s="453">
        <v>16.8</v>
      </c>
      <c r="BO169" s="453">
        <v>1803.7</v>
      </c>
      <c r="BP169" s="453">
        <v>0</v>
      </c>
      <c r="BQ169" s="453">
        <v>16.8</v>
      </c>
      <c r="BR169" s="453">
        <v>16.8</v>
      </c>
      <c r="BS169" s="453">
        <v>0</v>
      </c>
      <c r="BT169" s="453">
        <v>33.1</v>
      </c>
      <c r="BU169" s="453">
        <v>32.9</v>
      </c>
      <c r="BV169" s="456">
        <v>808.6</v>
      </c>
      <c r="BW169" s="453">
        <v>1.75</v>
      </c>
      <c r="BX169" s="453">
        <v>1.37</v>
      </c>
      <c r="BY169" s="456">
        <v>1.1000000000000001</v>
      </c>
      <c r="BZ169" s="456">
        <v>14.8</v>
      </c>
      <c r="CA169" s="456">
        <v>31.7</v>
      </c>
      <c r="CB169" s="456">
        <v>13.03</v>
      </c>
      <c r="CC169" s="456">
        <v>9.9</v>
      </c>
      <c r="CD169" s="456">
        <v>14.15</v>
      </c>
      <c r="CE169" s="456">
        <v>18.5</v>
      </c>
      <c r="CF169" s="456">
        <v>13.06</v>
      </c>
      <c r="CG169" s="456">
        <v>544.9</v>
      </c>
      <c r="CH169" s="456">
        <v>2.1</v>
      </c>
      <c r="CI169" s="456">
        <v>3.2</v>
      </c>
      <c r="CJ169" s="456">
        <v>667.1</v>
      </c>
      <c r="CK169" s="456">
        <v>671.7</v>
      </c>
      <c r="CL169" s="456">
        <v>564.29999999999995</v>
      </c>
      <c r="CM169" s="456">
        <v>14</v>
      </c>
      <c r="CN169" s="456">
        <v>1.85</v>
      </c>
      <c r="CO169" s="453">
        <v>0</v>
      </c>
      <c r="CP169" s="453">
        <v>16.61</v>
      </c>
      <c r="CQ169" s="453">
        <v>51</v>
      </c>
      <c r="CR169" s="456">
        <v>0</v>
      </c>
      <c r="CS169" s="456">
        <v>0</v>
      </c>
      <c r="CT169" s="456">
        <v>0</v>
      </c>
      <c r="CU169" s="456">
        <v>0</v>
      </c>
      <c r="CV169" s="481">
        <v>1994.1666666666667</v>
      </c>
      <c r="CW169" s="481">
        <v>2560.1041666666665</v>
      </c>
      <c r="CX169" s="481">
        <v>1955.8333333333333</v>
      </c>
      <c r="CY169" s="481">
        <v>1164.33</v>
      </c>
      <c r="CZ169" s="456"/>
      <c r="DA169" s="456"/>
      <c r="DB169" s="456"/>
      <c r="DC169" s="456"/>
      <c r="DD169" s="456"/>
      <c r="DE169" s="456"/>
      <c r="DF169" s="456"/>
      <c r="DG169" s="425"/>
      <c r="DH169" s="456">
        <v>0</v>
      </c>
      <c r="DI169" s="456">
        <v>0.48</v>
      </c>
      <c r="DJ169" s="456">
        <v>1</v>
      </c>
      <c r="DK169" s="425"/>
      <c r="DL169" s="456"/>
      <c r="DM169" s="456"/>
      <c r="DN169" s="456"/>
      <c r="DO169" s="456"/>
      <c r="DP169" s="456"/>
      <c r="DQ169" s="456"/>
      <c r="DR169" s="456"/>
      <c r="DS169" s="456"/>
      <c r="DT169" s="456"/>
      <c r="DU169" s="456"/>
      <c r="DV169" s="456"/>
      <c r="DW169" s="456"/>
      <c r="DX169" s="456"/>
      <c r="DY169" s="456"/>
      <c r="DZ169" s="456"/>
      <c r="EA169" s="456"/>
      <c r="EB169" s="456"/>
      <c r="EC169" s="456"/>
      <c r="ED169" s="423">
        <v>0</v>
      </c>
      <c r="EE169" s="456">
        <v>0</v>
      </c>
      <c r="EF169" s="456">
        <v>2.5</v>
      </c>
      <c r="EG169" s="456">
        <v>6.5</v>
      </c>
      <c r="EH169" s="423">
        <v>0</v>
      </c>
      <c r="EI169" s="456"/>
      <c r="EJ169" s="456"/>
      <c r="EK169" s="456"/>
      <c r="EL169" s="456"/>
      <c r="EM169" s="456"/>
      <c r="EN169" s="456"/>
      <c r="EO169" s="425"/>
      <c r="EP169" s="425"/>
      <c r="EQ169" s="425" t="s">
        <v>743</v>
      </c>
      <c r="ER169" s="425">
        <v>1</v>
      </c>
      <c r="ES169" s="425">
        <v>8</v>
      </c>
      <c r="ET169" s="425">
        <v>4000</v>
      </c>
      <c r="EU169" s="457">
        <v>380</v>
      </c>
      <c r="EV169" s="425">
        <v>335</v>
      </c>
      <c r="EW169" s="425">
        <v>6930769</v>
      </c>
      <c r="EX169" s="425">
        <v>60077</v>
      </c>
      <c r="EY169" s="666">
        <v>17.149999999999999</v>
      </c>
      <c r="EZ169" s="666">
        <v>17.13</v>
      </c>
      <c r="FA169" s="666">
        <v>0</v>
      </c>
      <c r="FB169" s="666">
        <v>1.33</v>
      </c>
      <c r="FC169" s="666">
        <v>1.28</v>
      </c>
      <c r="FD169" s="666">
        <v>1.1639999999999999</v>
      </c>
      <c r="FE169" s="666">
        <v>1.21</v>
      </c>
      <c r="FF169" s="666">
        <v>310</v>
      </c>
      <c r="FG169" s="666">
        <v>2.29</v>
      </c>
      <c r="FH169" s="666">
        <v>1.2649999999999999</v>
      </c>
      <c r="FI169" s="666">
        <v>2.12</v>
      </c>
      <c r="FJ169" s="666">
        <v>8</v>
      </c>
      <c r="FK169" s="666">
        <v>7.8</v>
      </c>
      <c r="FL169" s="666">
        <v>8.1199999999999992</v>
      </c>
      <c r="FM169" s="666">
        <v>7.7</v>
      </c>
      <c r="FN169" s="666">
        <v>0</v>
      </c>
    </row>
    <row r="170" spans="1:170" s="416" customFormat="1" ht="15">
      <c r="A170" s="425" t="s">
        <v>3</v>
      </c>
      <c r="B170" s="426">
        <v>40699</v>
      </c>
      <c r="C170" s="418">
        <v>0</v>
      </c>
      <c r="D170" s="518">
        <v>0</v>
      </c>
      <c r="E170" s="453">
        <v>0</v>
      </c>
      <c r="F170" s="453">
        <v>56</v>
      </c>
      <c r="G170" s="453">
        <v>2.2000000000000002</v>
      </c>
      <c r="H170" s="519">
        <v>2.7</v>
      </c>
      <c r="I170" s="519">
        <v>92.6</v>
      </c>
      <c r="J170" s="483">
        <v>2.4</v>
      </c>
      <c r="K170" s="520" t="s">
        <v>742</v>
      </c>
      <c r="L170" s="453">
        <v>0</v>
      </c>
      <c r="M170" s="453">
        <v>23.5</v>
      </c>
      <c r="N170" s="453">
        <v>1.5</v>
      </c>
      <c r="O170" s="453">
        <v>2.2492887698097803</v>
      </c>
      <c r="P170" s="453" t="s">
        <v>742</v>
      </c>
      <c r="Q170" s="453" t="s">
        <v>742</v>
      </c>
      <c r="R170" s="453">
        <v>1196.82856010568</v>
      </c>
      <c r="S170" s="453">
        <v>7.8</v>
      </c>
      <c r="T170" s="453" t="s">
        <v>742</v>
      </c>
      <c r="U170" s="453">
        <v>0.7</v>
      </c>
      <c r="V170" s="453" t="s">
        <v>742</v>
      </c>
      <c r="W170" s="453">
        <v>46.58</v>
      </c>
      <c r="X170" s="456" t="e">
        <v>#VALUE!</v>
      </c>
      <c r="Y170" s="453">
        <v>33.36</v>
      </c>
      <c r="Z170" s="453">
        <v>31.47</v>
      </c>
      <c r="AA170" s="519">
        <v>33.160000000003492</v>
      </c>
      <c r="AB170" s="519">
        <v>30.940000000002328</v>
      </c>
      <c r="AC170" s="732">
        <f t="shared" si="2"/>
        <v>64.100000000005821</v>
      </c>
      <c r="AD170" s="664"/>
      <c r="AE170" s="664"/>
      <c r="AF170" s="664"/>
      <c r="AG170" s="664"/>
      <c r="AH170" s="664"/>
      <c r="AI170" s="664"/>
      <c r="AJ170" s="485"/>
      <c r="AK170" s="485"/>
      <c r="AL170" s="485"/>
      <c r="AM170" s="485"/>
      <c r="AN170" s="485"/>
      <c r="AO170" s="665"/>
      <c r="AP170" s="485"/>
      <c r="AQ170" s="483"/>
      <c r="AR170" s="755">
        <v>0</v>
      </c>
      <c r="AS170" s="483">
        <v>33.6</v>
      </c>
      <c r="AT170" s="755">
        <v>0</v>
      </c>
      <c r="AU170" s="483">
        <v>34.700000000000003</v>
      </c>
      <c r="AV170" s="484">
        <v>607.4</v>
      </c>
      <c r="AW170" s="484">
        <v>695.7</v>
      </c>
      <c r="AX170" s="453">
        <v>0</v>
      </c>
      <c r="AY170" s="734">
        <v>0</v>
      </c>
      <c r="AZ170" s="734">
        <v>0</v>
      </c>
      <c r="BA170" s="734">
        <v>0</v>
      </c>
      <c r="BB170" s="453">
        <v>0</v>
      </c>
      <c r="BC170" s="453">
        <v>0.14000000000000001</v>
      </c>
      <c r="BD170" s="453">
        <v>2.02</v>
      </c>
      <c r="BE170" s="734">
        <v>0</v>
      </c>
      <c r="BF170" s="453">
        <v>0.56000000000000005</v>
      </c>
      <c r="BG170" s="453">
        <v>0</v>
      </c>
      <c r="BH170" s="734">
        <v>0</v>
      </c>
      <c r="BI170" s="453">
        <v>0</v>
      </c>
      <c r="BJ170" s="453">
        <v>28.2</v>
      </c>
      <c r="BK170" s="453">
        <v>3.23</v>
      </c>
      <c r="BL170" s="453">
        <v>3.3</v>
      </c>
      <c r="BM170" s="453">
        <v>0</v>
      </c>
      <c r="BN170" s="453">
        <v>21.4</v>
      </c>
      <c r="BO170" s="453">
        <v>1554.1</v>
      </c>
      <c r="BP170" s="453">
        <v>0</v>
      </c>
      <c r="BQ170" s="453">
        <v>17</v>
      </c>
      <c r="BR170" s="453">
        <v>16.98</v>
      </c>
      <c r="BS170" s="453">
        <v>0</v>
      </c>
      <c r="BT170" s="453">
        <v>34.1</v>
      </c>
      <c r="BU170" s="453">
        <v>28.6</v>
      </c>
      <c r="BV170" s="456">
        <v>717.1</v>
      </c>
      <c r="BW170" s="453">
        <v>2.5</v>
      </c>
      <c r="BX170" s="453">
        <v>1.38</v>
      </c>
      <c r="BY170" s="456">
        <v>1.08</v>
      </c>
      <c r="BZ170" s="456">
        <v>15.1</v>
      </c>
      <c r="CA170" s="456">
        <v>31.6</v>
      </c>
      <c r="CB170" s="456">
        <v>15.1</v>
      </c>
      <c r="CC170" s="456">
        <v>8</v>
      </c>
      <c r="CD170" s="456">
        <v>12.2</v>
      </c>
      <c r="CE170" s="456">
        <v>16.22</v>
      </c>
      <c r="CF170" s="456">
        <v>13.32</v>
      </c>
      <c r="CG170" s="456">
        <v>560.9</v>
      </c>
      <c r="CH170" s="456">
        <v>2.2000000000000002</v>
      </c>
      <c r="CI170" s="456">
        <v>2.7</v>
      </c>
      <c r="CJ170" s="456">
        <v>651.5</v>
      </c>
      <c r="CK170" s="456">
        <v>677.9</v>
      </c>
      <c r="CL170" s="456">
        <v>595.79999999999995</v>
      </c>
      <c r="CM170" s="456">
        <v>14.2</v>
      </c>
      <c r="CN170" s="456">
        <v>1.98</v>
      </c>
      <c r="CO170" s="453">
        <v>0</v>
      </c>
      <c r="CP170" s="453">
        <v>16.399999999999999</v>
      </c>
      <c r="CQ170" s="453">
        <v>51</v>
      </c>
      <c r="CR170" s="456">
        <v>0</v>
      </c>
      <c r="CS170" s="456">
        <v>0</v>
      </c>
      <c r="CT170" s="456">
        <v>0</v>
      </c>
      <c r="CU170" s="456">
        <v>0</v>
      </c>
      <c r="CV170" s="481">
        <v>2000.8333333333333</v>
      </c>
      <c r="CW170" s="481">
        <v>2526.1458333333335</v>
      </c>
      <c r="CX170" s="481">
        <v>1946.1458333333333</v>
      </c>
      <c r="CY170" s="481">
        <v>1164.82</v>
      </c>
      <c r="CZ170" s="456"/>
      <c r="DA170" s="456"/>
      <c r="DB170" s="456"/>
      <c r="DC170" s="456"/>
      <c r="DD170" s="456"/>
      <c r="DE170" s="456"/>
      <c r="DF170" s="456"/>
      <c r="DG170" s="425"/>
      <c r="DH170" s="456">
        <v>0</v>
      </c>
      <c r="DI170" s="456">
        <v>0.47</v>
      </c>
      <c r="DJ170" s="456">
        <v>1.1200000000000001</v>
      </c>
      <c r="DK170" s="425"/>
      <c r="DL170" s="456"/>
      <c r="DM170" s="456"/>
      <c r="DN170" s="456"/>
      <c r="DO170" s="456"/>
      <c r="DP170" s="456"/>
      <c r="DQ170" s="456"/>
      <c r="DR170" s="456"/>
      <c r="DS170" s="456"/>
      <c r="DT170" s="456"/>
      <c r="DU170" s="456"/>
      <c r="DV170" s="456"/>
      <c r="DW170" s="456"/>
      <c r="DX170" s="456"/>
      <c r="DY170" s="456"/>
      <c r="DZ170" s="456"/>
      <c r="EA170" s="456"/>
      <c r="EB170" s="456"/>
      <c r="EC170" s="456"/>
      <c r="ED170" s="423">
        <v>0</v>
      </c>
      <c r="EE170" s="456">
        <v>0</v>
      </c>
      <c r="EF170" s="456">
        <v>2.5</v>
      </c>
      <c r="EG170" s="456">
        <v>6.5</v>
      </c>
      <c r="EH170" s="423">
        <v>0</v>
      </c>
      <c r="EI170" s="456"/>
      <c r="EJ170" s="456"/>
      <c r="EK170" s="456"/>
      <c r="EL170" s="456"/>
      <c r="EM170" s="456"/>
      <c r="EN170" s="456"/>
      <c r="EO170" s="425"/>
      <c r="EP170" s="425"/>
      <c r="EQ170" s="425" t="s">
        <v>743</v>
      </c>
      <c r="ER170" s="425">
        <v>1</v>
      </c>
      <c r="ES170" s="425">
        <v>8</v>
      </c>
      <c r="ET170" s="425">
        <v>4000</v>
      </c>
      <c r="EU170" s="457">
        <v>120</v>
      </c>
      <c r="EV170" s="425">
        <v>280</v>
      </c>
      <c r="EW170" s="425">
        <v>6933388</v>
      </c>
      <c r="EX170" s="425">
        <v>61067</v>
      </c>
      <c r="EY170" s="666">
        <v>17.21</v>
      </c>
      <c r="EZ170" s="666">
        <v>17.2</v>
      </c>
      <c r="FA170" s="666">
        <v>0</v>
      </c>
      <c r="FB170" s="666">
        <v>1.31</v>
      </c>
      <c r="FC170" s="666">
        <v>1.4</v>
      </c>
      <c r="FD170" s="666">
        <v>1.145</v>
      </c>
      <c r="FE170" s="666">
        <v>1.17</v>
      </c>
      <c r="FF170" s="666">
        <v>260</v>
      </c>
      <c r="FG170" s="666">
        <v>2.35</v>
      </c>
      <c r="FH170" s="666">
        <v>1.2529999999999999</v>
      </c>
      <c r="FI170" s="666">
        <v>2.2200000000000002</v>
      </c>
      <c r="FJ170" s="666">
        <v>8.18</v>
      </c>
      <c r="FK170" s="666">
        <v>8.3000000000000007</v>
      </c>
      <c r="FL170" s="666">
        <v>8.1199999999999992</v>
      </c>
      <c r="FM170" s="666">
        <v>7.7</v>
      </c>
      <c r="FN170" s="666">
        <v>0</v>
      </c>
    </row>
    <row r="171" spans="1:170" s="416" customFormat="1" ht="15">
      <c r="A171" s="425" t="s">
        <v>4</v>
      </c>
      <c r="B171" s="426">
        <v>40700</v>
      </c>
      <c r="C171" s="418">
        <v>0</v>
      </c>
      <c r="D171" s="518">
        <v>0</v>
      </c>
      <c r="E171" s="453">
        <v>0</v>
      </c>
      <c r="F171" s="453">
        <v>55</v>
      </c>
      <c r="G171" s="453">
        <v>2.2999999999999998</v>
      </c>
      <c r="H171" s="519">
        <v>2.63</v>
      </c>
      <c r="I171" s="519">
        <v>91.06</v>
      </c>
      <c r="J171" s="483">
        <v>2.4300000000000002</v>
      </c>
      <c r="K171" s="520" t="s">
        <v>742</v>
      </c>
      <c r="L171" s="453">
        <v>0</v>
      </c>
      <c r="M171" s="453">
        <v>23.4</v>
      </c>
      <c r="N171" s="453">
        <v>1.52</v>
      </c>
      <c r="O171" s="453">
        <v>2.2506932946914011</v>
      </c>
      <c r="P171" s="453" t="s">
        <v>742</v>
      </c>
      <c r="Q171" s="453" t="s">
        <v>742</v>
      </c>
      <c r="R171" s="453">
        <v>1200.3915138705413</v>
      </c>
      <c r="S171" s="453">
        <v>7.86</v>
      </c>
      <c r="T171" s="453" t="s">
        <v>742</v>
      </c>
      <c r="U171" s="453">
        <v>0.64</v>
      </c>
      <c r="V171" s="453" t="s">
        <v>742</v>
      </c>
      <c r="W171" s="453">
        <v>50.360000000000014</v>
      </c>
      <c r="X171" s="456" t="e">
        <v>#VALUE!</v>
      </c>
      <c r="Y171" s="453">
        <v>33.200000000000003</v>
      </c>
      <c r="Z171" s="453">
        <v>31.5</v>
      </c>
      <c r="AA171" s="519">
        <v>33.19999999999709</v>
      </c>
      <c r="AB171" s="519">
        <v>31.059999999997672</v>
      </c>
      <c r="AC171" s="732">
        <f t="shared" si="2"/>
        <v>64.259999999994761</v>
      </c>
      <c r="AD171" s="664"/>
      <c r="AE171" s="664"/>
      <c r="AF171" s="664"/>
      <c r="AG171" s="664"/>
      <c r="AH171" s="664"/>
      <c r="AI171" s="664"/>
      <c r="AJ171" s="485"/>
      <c r="AK171" s="485"/>
      <c r="AL171" s="485"/>
      <c r="AM171" s="485"/>
      <c r="AN171" s="485"/>
      <c r="AO171" s="665"/>
      <c r="AP171" s="485"/>
      <c r="AQ171" s="483"/>
      <c r="AR171" s="755">
        <v>0</v>
      </c>
      <c r="AS171" s="483">
        <v>18.2</v>
      </c>
      <c r="AT171" s="755">
        <v>0</v>
      </c>
      <c r="AU171" s="483">
        <v>34.799999999999997</v>
      </c>
      <c r="AV171" s="484">
        <v>411.1</v>
      </c>
      <c r="AW171" s="484">
        <v>457</v>
      </c>
      <c r="AX171" s="453">
        <v>0.7</v>
      </c>
      <c r="AY171" s="734">
        <v>0</v>
      </c>
      <c r="AZ171" s="734">
        <v>0</v>
      </c>
      <c r="BA171" s="734">
        <v>0</v>
      </c>
      <c r="BB171" s="453">
        <v>0</v>
      </c>
      <c r="BC171" s="453">
        <v>0.14000000000000001</v>
      </c>
      <c r="BD171" s="453">
        <v>2.02</v>
      </c>
      <c r="BE171" s="734">
        <v>0</v>
      </c>
      <c r="BF171" s="453">
        <v>0.5</v>
      </c>
      <c r="BG171" s="453">
        <v>0</v>
      </c>
      <c r="BH171" s="734">
        <v>0</v>
      </c>
      <c r="BI171" s="453">
        <v>0</v>
      </c>
      <c r="BJ171" s="453">
        <v>28.7</v>
      </c>
      <c r="BK171" s="453">
        <v>3.24</v>
      </c>
      <c r="BL171" s="453">
        <v>3.3</v>
      </c>
      <c r="BM171" s="453">
        <v>0</v>
      </c>
      <c r="BN171" s="453">
        <v>21.4</v>
      </c>
      <c r="BO171" s="453">
        <v>2229.8000000000002</v>
      </c>
      <c r="BP171" s="453">
        <v>0</v>
      </c>
      <c r="BQ171" s="453">
        <v>17.3</v>
      </c>
      <c r="BR171" s="453">
        <v>17.28</v>
      </c>
      <c r="BS171" s="453">
        <v>0</v>
      </c>
      <c r="BT171" s="453">
        <v>34.6</v>
      </c>
      <c r="BU171" s="453">
        <v>28.3</v>
      </c>
      <c r="BV171" s="456">
        <v>716.1</v>
      </c>
      <c r="BW171" s="453">
        <v>1.2</v>
      </c>
      <c r="BX171" s="453">
        <v>1.38</v>
      </c>
      <c r="BY171" s="456">
        <v>1.05</v>
      </c>
      <c r="BZ171" s="456">
        <v>14.4</v>
      </c>
      <c r="CA171" s="456">
        <v>29.2</v>
      </c>
      <c r="CB171" s="456">
        <v>13.46</v>
      </c>
      <c r="CC171" s="456">
        <v>10.3</v>
      </c>
      <c r="CD171" s="456">
        <v>14.6</v>
      </c>
      <c r="CE171" s="456">
        <v>18.600000000000001</v>
      </c>
      <c r="CF171" s="456">
        <v>12.8</v>
      </c>
      <c r="CG171" s="456">
        <v>563</v>
      </c>
      <c r="CH171" s="456">
        <v>2.2000000000000002</v>
      </c>
      <c r="CI171" s="456">
        <v>3.8</v>
      </c>
      <c r="CJ171" s="456">
        <v>691.4</v>
      </c>
      <c r="CK171" s="456">
        <v>604.9</v>
      </c>
      <c r="CL171" s="456">
        <v>621.5</v>
      </c>
      <c r="CM171" s="456">
        <v>14.6</v>
      </c>
      <c r="CN171" s="456">
        <v>2.15</v>
      </c>
      <c r="CO171" s="453">
        <v>0</v>
      </c>
      <c r="CP171" s="453">
        <v>17.03</v>
      </c>
      <c r="CQ171" s="453">
        <v>51</v>
      </c>
      <c r="CR171" s="456">
        <v>0</v>
      </c>
      <c r="CS171" s="456">
        <v>0</v>
      </c>
      <c r="CT171" s="456">
        <v>0</v>
      </c>
      <c r="CU171" s="456">
        <v>0</v>
      </c>
      <c r="CV171" s="481">
        <v>2110.4166666666665</v>
      </c>
      <c r="CW171" s="481">
        <v>2555.4166666666665</v>
      </c>
      <c r="CX171" s="481">
        <v>2042.0833333333333</v>
      </c>
      <c r="CY171" s="481">
        <v>1165.1400000000001</v>
      </c>
      <c r="CZ171" s="456"/>
      <c r="DA171" s="456"/>
      <c r="DB171" s="456"/>
      <c r="DC171" s="456"/>
      <c r="DD171" s="456"/>
      <c r="DE171" s="456"/>
      <c r="DF171" s="456"/>
      <c r="DG171" s="425"/>
      <c r="DH171" s="456">
        <v>0</v>
      </c>
      <c r="DI171" s="456">
        <v>0.43</v>
      </c>
      <c r="DJ171" s="456">
        <v>1.05</v>
      </c>
      <c r="DK171" s="425"/>
      <c r="DL171" s="456"/>
      <c r="DM171" s="456"/>
      <c r="DN171" s="456"/>
      <c r="DO171" s="456"/>
      <c r="DP171" s="456"/>
      <c r="DQ171" s="456"/>
      <c r="DR171" s="456"/>
      <c r="DS171" s="456"/>
      <c r="DT171" s="456"/>
      <c r="DU171" s="456"/>
      <c r="DV171" s="456"/>
      <c r="DW171" s="456"/>
      <c r="DX171" s="456"/>
      <c r="DY171" s="456"/>
      <c r="DZ171" s="456"/>
      <c r="EA171" s="456"/>
      <c r="EB171" s="456"/>
      <c r="EC171" s="456"/>
      <c r="ED171" s="423">
        <v>0</v>
      </c>
      <c r="EE171" s="456">
        <v>0</v>
      </c>
      <c r="EF171" s="456">
        <v>2.5</v>
      </c>
      <c r="EG171" s="456">
        <v>6.5</v>
      </c>
      <c r="EH171" s="423">
        <v>0</v>
      </c>
      <c r="EI171" s="456"/>
      <c r="EJ171" s="456"/>
      <c r="EK171" s="456"/>
      <c r="EL171" s="456"/>
      <c r="EM171" s="456"/>
      <c r="EN171" s="456"/>
      <c r="EO171" s="425"/>
      <c r="EP171" s="425"/>
      <c r="EQ171" s="425" t="s">
        <v>743</v>
      </c>
      <c r="ER171" s="425">
        <v>1</v>
      </c>
      <c r="ES171" s="425">
        <v>6</v>
      </c>
      <c r="ET171" s="425">
        <v>3850</v>
      </c>
      <c r="EU171" s="457">
        <v>0</v>
      </c>
      <c r="EV171" s="425">
        <v>310</v>
      </c>
      <c r="EW171" s="425">
        <v>6936227</v>
      </c>
      <c r="EX171" s="425">
        <v>62208</v>
      </c>
      <c r="EY171" s="666">
        <v>17.399999999999999</v>
      </c>
      <c r="EZ171" s="666">
        <v>17.399999999999999</v>
      </c>
      <c r="FA171" s="666">
        <v>0</v>
      </c>
      <c r="FB171" s="666">
        <v>1.28</v>
      </c>
      <c r="FC171" s="666">
        <v>1.3</v>
      </c>
      <c r="FD171" s="666">
        <v>1.1100000000000001</v>
      </c>
      <c r="FE171" s="666">
        <v>1.0900000000000001</v>
      </c>
      <c r="FF171" s="666">
        <v>270</v>
      </c>
      <c r="FG171" s="666">
        <v>2.17</v>
      </c>
      <c r="FH171" s="666">
        <v>1.22</v>
      </c>
      <c r="FI171" s="666">
        <v>1.81</v>
      </c>
      <c r="FJ171" s="666">
        <v>8.1</v>
      </c>
      <c r="FK171" s="666">
        <v>8</v>
      </c>
      <c r="FL171" s="666">
        <v>8.1300000000000008</v>
      </c>
      <c r="FM171" s="666">
        <v>7.6</v>
      </c>
      <c r="FN171" s="666">
        <v>0</v>
      </c>
    </row>
    <row r="172" spans="1:170" s="416" customFormat="1" ht="15">
      <c r="A172" s="425" t="s">
        <v>5</v>
      </c>
      <c r="B172" s="426">
        <v>40701</v>
      </c>
      <c r="C172" s="418">
        <v>0</v>
      </c>
      <c r="D172" s="518">
        <v>0.26</v>
      </c>
      <c r="E172" s="453">
        <v>0</v>
      </c>
      <c r="F172" s="453">
        <v>48</v>
      </c>
      <c r="G172" s="453">
        <v>2.2999999999999998</v>
      </c>
      <c r="H172" s="519">
        <v>2.69</v>
      </c>
      <c r="I172" s="519">
        <v>91.7</v>
      </c>
      <c r="J172" s="483">
        <v>2.35</v>
      </c>
      <c r="K172" s="520" t="s">
        <v>742</v>
      </c>
      <c r="L172" s="453">
        <v>0</v>
      </c>
      <c r="M172" s="453">
        <v>23.4</v>
      </c>
      <c r="N172" s="453">
        <v>1.57</v>
      </c>
      <c r="O172" s="453">
        <v>2.3506917889173558</v>
      </c>
      <c r="P172" s="453" t="s">
        <v>742</v>
      </c>
      <c r="Q172" s="453" t="s">
        <v>742</v>
      </c>
      <c r="R172" s="453">
        <v>1273.9179233817699</v>
      </c>
      <c r="S172" s="453">
        <v>7.65</v>
      </c>
      <c r="T172" s="453" t="s">
        <v>742</v>
      </c>
      <c r="U172" s="453">
        <v>0.65</v>
      </c>
      <c r="V172" s="453" t="s">
        <v>742</v>
      </c>
      <c r="W172" s="453">
        <v>46.760000000000005</v>
      </c>
      <c r="X172" s="456" t="e">
        <v>#VALUE!</v>
      </c>
      <c r="Y172" s="453">
        <v>33.15</v>
      </c>
      <c r="Z172" s="453">
        <v>31.1</v>
      </c>
      <c r="AA172" s="519">
        <v>33.100000000005821</v>
      </c>
      <c r="AB172" s="519">
        <v>32.099999999998545</v>
      </c>
      <c r="AC172" s="732">
        <f t="shared" si="2"/>
        <v>65.200000000004366</v>
      </c>
      <c r="AD172" s="664"/>
      <c r="AE172" s="664"/>
      <c r="AF172" s="664"/>
      <c r="AG172" s="664"/>
      <c r="AH172" s="664"/>
      <c r="AI172" s="664"/>
      <c r="AJ172" s="485"/>
      <c r="AK172" s="485"/>
      <c r="AL172" s="485"/>
      <c r="AM172" s="485"/>
      <c r="AN172" s="485"/>
      <c r="AO172" s="665"/>
      <c r="AP172" s="485"/>
      <c r="AQ172" s="483"/>
      <c r="AR172" s="755">
        <v>0</v>
      </c>
      <c r="AS172" s="483">
        <v>18.100000000000001</v>
      </c>
      <c r="AT172" s="755">
        <v>0</v>
      </c>
      <c r="AU172" s="483">
        <v>34.6</v>
      </c>
      <c r="AV172" s="484">
        <v>414</v>
      </c>
      <c r="AW172" s="484">
        <v>466.1</v>
      </c>
      <c r="AX172" s="453">
        <v>1.8</v>
      </c>
      <c r="AY172" s="734">
        <v>0</v>
      </c>
      <c r="AZ172" s="734">
        <v>0</v>
      </c>
      <c r="BA172" s="734">
        <v>0</v>
      </c>
      <c r="BB172" s="453">
        <v>0</v>
      </c>
      <c r="BC172" s="453">
        <v>0.36</v>
      </c>
      <c r="BD172" s="453">
        <v>1.72</v>
      </c>
      <c r="BE172" s="734">
        <v>0</v>
      </c>
      <c r="BF172" s="453">
        <v>0.55000000000000004</v>
      </c>
      <c r="BG172" s="453">
        <v>0</v>
      </c>
      <c r="BH172" s="734">
        <v>0</v>
      </c>
      <c r="BI172" s="453">
        <v>0</v>
      </c>
      <c r="BJ172" s="453">
        <v>29.5</v>
      </c>
      <c r="BK172" s="453">
        <v>3.23</v>
      </c>
      <c r="BL172" s="453">
        <v>3.3</v>
      </c>
      <c r="BM172" s="453">
        <v>0</v>
      </c>
      <c r="BN172" s="453">
        <v>22.7</v>
      </c>
      <c r="BO172" s="453">
        <v>1237.9000000000001</v>
      </c>
      <c r="BP172" s="453">
        <v>35.299999999999997</v>
      </c>
      <c r="BQ172" s="453">
        <v>17.8</v>
      </c>
      <c r="BR172" s="453">
        <v>17.8</v>
      </c>
      <c r="BS172" s="453">
        <v>0</v>
      </c>
      <c r="BT172" s="453">
        <v>34.4</v>
      </c>
      <c r="BU172" s="453">
        <v>27.4</v>
      </c>
      <c r="BV172" s="456">
        <v>857.6</v>
      </c>
      <c r="BW172" s="453">
        <v>1.2</v>
      </c>
      <c r="BX172" s="453">
        <v>1.39</v>
      </c>
      <c r="BY172" s="456">
        <v>1.04</v>
      </c>
      <c r="BZ172" s="456">
        <v>14.97</v>
      </c>
      <c r="CA172" s="456">
        <v>32.6</v>
      </c>
      <c r="CB172" s="456">
        <v>12.35</v>
      </c>
      <c r="CC172" s="456">
        <v>8.7200000000000006</v>
      </c>
      <c r="CD172" s="456">
        <v>12.87</v>
      </c>
      <c r="CE172" s="456">
        <v>17.27</v>
      </c>
      <c r="CF172" s="456">
        <v>13.13</v>
      </c>
      <c r="CG172" s="456">
        <v>591.65</v>
      </c>
      <c r="CH172" s="456">
        <v>3</v>
      </c>
      <c r="CI172" s="456">
        <v>4.0999999999999996</v>
      </c>
      <c r="CJ172" s="456">
        <v>531.79999999999995</v>
      </c>
      <c r="CK172" s="456">
        <v>478.6</v>
      </c>
      <c r="CL172" s="456">
        <v>592.29999999999995</v>
      </c>
      <c r="CM172" s="456">
        <v>15</v>
      </c>
      <c r="CN172" s="456">
        <v>2.14</v>
      </c>
      <c r="CO172" s="453">
        <v>0</v>
      </c>
      <c r="CP172" s="453">
        <v>17.54</v>
      </c>
      <c r="CQ172" s="453">
        <v>50</v>
      </c>
      <c r="CR172" s="456">
        <v>0</v>
      </c>
      <c r="CS172" s="456">
        <v>0</v>
      </c>
      <c r="CT172" s="456">
        <v>0</v>
      </c>
      <c r="CU172" s="456">
        <v>0</v>
      </c>
      <c r="CV172" s="481">
        <v>2190.4166666666665</v>
      </c>
      <c r="CW172" s="481">
        <v>2683.2291666666665</v>
      </c>
      <c r="CX172" s="481">
        <v>2125.2083333333335</v>
      </c>
      <c r="CY172" s="481">
        <v>1165.3800000000001</v>
      </c>
      <c r="CZ172" s="456"/>
      <c r="DA172" s="456"/>
      <c r="DB172" s="456"/>
      <c r="DC172" s="456"/>
      <c r="DD172" s="456"/>
      <c r="DE172" s="456"/>
      <c r="DF172" s="456"/>
      <c r="DG172" s="425"/>
      <c r="DH172" s="456">
        <v>0</v>
      </c>
      <c r="DI172" s="456">
        <v>0.47</v>
      </c>
      <c r="DJ172" s="456">
        <v>1.0900000000000001</v>
      </c>
      <c r="DK172" s="425"/>
      <c r="DL172" s="456"/>
      <c r="DM172" s="456"/>
      <c r="DN172" s="456"/>
      <c r="DO172" s="456"/>
      <c r="DP172" s="456"/>
      <c r="DQ172" s="456"/>
      <c r="DR172" s="456"/>
      <c r="DS172" s="456"/>
      <c r="DT172" s="456"/>
      <c r="DU172" s="456"/>
      <c r="DV172" s="456"/>
      <c r="DW172" s="456"/>
      <c r="DX172" s="456"/>
      <c r="DY172" s="456"/>
      <c r="DZ172" s="456"/>
      <c r="EA172" s="456"/>
      <c r="EB172" s="456"/>
      <c r="EC172" s="456"/>
      <c r="ED172" s="423">
        <v>0</v>
      </c>
      <c r="EE172" s="456">
        <v>0</v>
      </c>
      <c r="EF172" s="456">
        <v>2.5</v>
      </c>
      <c r="EG172" s="456">
        <v>6.5</v>
      </c>
      <c r="EH172" s="423">
        <v>0</v>
      </c>
      <c r="EI172" s="456"/>
      <c r="EJ172" s="456"/>
      <c r="EK172" s="456"/>
      <c r="EL172" s="456"/>
      <c r="EM172" s="456"/>
      <c r="EN172" s="456"/>
      <c r="EO172" s="425"/>
      <c r="EP172" s="425"/>
      <c r="EQ172" s="425" t="s">
        <v>743</v>
      </c>
      <c r="ER172" s="425">
        <v>1</v>
      </c>
      <c r="ES172" s="425">
        <v>6</v>
      </c>
      <c r="ET172" s="425">
        <v>3600</v>
      </c>
      <c r="EU172" s="666">
        <v>0</v>
      </c>
      <c r="EV172" s="425">
        <v>305</v>
      </c>
      <c r="EW172" s="425">
        <v>6938947</v>
      </c>
      <c r="EX172" s="425">
        <v>63295</v>
      </c>
      <c r="EY172" s="666">
        <v>17.899999999999999</v>
      </c>
      <c r="EZ172" s="666">
        <v>17.899999999999999</v>
      </c>
      <c r="FA172" s="666">
        <v>0</v>
      </c>
      <c r="FB172" s="666">
        <v>1.36</v>
      </c>
      <c r="FC172" s="666">
        <v>1.4</v>
      </c>
      <c r="FD172" s="666">
        <v>1.1599999999999999</v>
      </c>
      <c r="FE172" s="666">
        <v>1.1499999999999999</v>
      </c>
      <c r="FF172" s="666">
        <v>250</v>
      </c>
      <c r="FG172" s="666">
        <v>2.25</v>
      </c>
      <c r="FH172" s="666">
        <v>1.23</v>
      </c>
      <c r="FI172" s="666">
        <v>2.04</v>
      </c>
      <c r="FJ172" s="666">
        <v>8.19</v>
      </c>
      <c r="FK172" s="666">
        <v>8.1999999999999993</v>
      </c>
      <c r="FL172" s="666">
        <v>8.0500000000000007</v>
      </c>
      <c r="FM172" s="666">
        <v>7.6</v>
      </c>
      <c r="FN172" s="666">
        <v>0</v>
      </c>
    </row>
    <row r="173" spans="1:170" s="416" customFormat="1" ht="15">
      <c r="A173" s="425" t="s">
        <v>6</v>
      </c>
      <c r="B173" s="426">
        <v>40702</v>
      </c>
      <c r="C173" s="418">
        <v>0</v>
      </c>
      <c r="D173" s="518">
        <v>0.55000000000000004</v>
      </c>
      <c r="E173" s="453">
        <v>0</v>
      </c>
      <c r="F173" s="453">
        <v>51</v>
      </c>
      <c r="G173" s="453">
        <v>2.4</v>
      </c>
      <c r="H173" s="519">
        <v>2.6</v>
      </c>
      <c r="I173" s="519">
        <v>92.6</v>
      </c>
      <c r="J173" s="483">
        <v>2.2000000000000002</v>
      </c>
      <c r="K173" s="520" t="s">
        <v>742</v>
      </c>
      <c r="L173" s="453">
        <v>0</v>
      </c>
      <c r="M173" s="453">
        <v>23.3</v>
      </c>
      <c r="N173" s="453">
        <v>1.6</v>
      </c>
      <c r="O173" s="453">
        <v>2.3703248277693327</v>
      </c>
      <c r="P173" s="453" t="s">
        <v>742</v>
      </c>
      <c r="Q173" s="453" t="s">
        <v>742</v>
      </c>
      <c r="R173" s="453">
        <v>1260.6378229854686</v>
      </c>
      <c r="S173" s="453">
        <v>7.9</v>
      </c>
      <c r="T173" s="453" t="s">
        <v>742</v>
      </c>
      <c r="U173" s="453">
        <v>0.7</v>
      </c>
      <c r="V173" s="453" t="s">
        <v>742</v>
      </c>
      <c r="W173" s="453">
        <v>46.94</v>
      </c>
      <c r="X173" s="456" t="e">
        <v>#VALUE!</v>
      </c>
      <c r="Y173" s="453">
        <v>33.56</v>
      </c>
      <c r="Z173" s="453">
        <v>30.75</v>
      </c>
      <c r="AA173" s="519">
        <v>33.110000000000582</v>
      </c>
      <c r="AB173" s="519">
        <v>30.900000000001455</v>
      </c>
      <c r="AC173" s="732">
        <f t="shared" si="2"/>
        <v>64.010000000002037</v>
      </c>
      <c r="AD173" s="664"/>
      <c r="AE173" s="664"/>
      <c r="AF173" s="664"/>
      <c r="AG173" s="664"/>
      <c r="AH173" s="664"/>
      <c r="AI173" s="664"/>
      <c r="AJ173" s="485"/>
      <c r="AK173" s="485"/>
      <c r="AL173" s="485"/>
      <c r="AM173" s="485"/>
      <c r="AN173" s="485"/>
      <c r="AO173" s="665"/>
      <c r="AP173" s="485"/>
      <c r="AQ173" s="483"/>
      <c r="AR173" s="755">
        <v>0</v>
      </c>
      <c r="AS173" s="483">
        <v>35.4</v>
      </c>
      <c r="AT173" s="755">
        <v>0</v>
      </c>
      <c r="AU173" s="483">
        <v>34.799999999999997</v>
      </c>
      <c r="AV173" s="484">
        <v>345.7</v>
      </c>
      <c r="AW173" s="484">
        <v>405.9</v>
      </c>
      <c r="AX173" s="453">
        <v>0.1</v>
      </c>
      <c r="AY173" s="734">
        <v>0</v>
      </c>
      <c r="AZ173" s="734">
        <v>0</v>
      </c>
      <c r="BA173" s="734">
        <v>0</v>
      </c>
      <c r="BB173" s="453">
        <v>0</v>
      </c>
      <c r="BC173" s="453">
        <v>0.5</v>
      </c>
      <c r="BD173" s="453">
        <v>1.52</v>
      </c>
      <c r="BE173" s="734">
        <v>0</v>
      </c>
      <c r="BF173" s="453">
        <v>0.5</v>
      </c>
      <c r="BG173" s="453">
        <v>0</v>
      </c>
      <c r="BH173" s="734">
        <v>0</v>
      </c>
      <c r="BI173" s="453">
        <v>0</v>
      </c>
      <c r="BJ173" s="453">
        <v>28.4</v>
      </c>
      <c r="BK173" s="453">
        <v>3.26</v>
      </c>
      <c r="BL173" s="453">
        <v>3.3</v>
      </c>
      <c r="BM173" s="453">
        <v>0</v>
      </c>
      <c r="BN173" s="453">
        <v>21.6</v>
      </c>
      <c r="BO173" s="453">
        <v>1299.5</v>
      </c>
      <c r="BP173" s="453">
        <v>0</v>
      </c>
      <c r="BQ173" s="453">
        <v>18.3</v>
      </c>
      <c r="BR173" s="453">
        <v>18.2</v>
      </c>
      <c r="BS173" s="453">
        <v>0</v>
      </c>
      <c r="BT173" s="453">
        <v>34.700000000000003</v>
      </c>
      <c r="BU173" s="453">
        <v>27.8</v>
      </c>
      <c r="BV173" s="456">
        <v>627.9</v>
      </c>
      <c r="BW173" s="453">
        <v>1.3</v>
      </c>
      <c r="BX173" s="453">
        <v>1.48</v>
      </c>
      <c r="BY173" s="456">
        <v>1.07</v>
      </c>
      <c r="BZ173" s="456">
        <v>15.02</v>
      </c>
      <c r="CA173" s="456">
        <v>36.700000000000003</v>
      </c>
      <c r="CB173" s="456">
        <v>14.41</v>
      </c>
      <c r="CC173" s="456">
        <v>7.8</v>
      </c>
      <c r="CD173" s="456">
        <v>12</v>
      </c>
      <c r="CE173" s="456">
        <v>16.100000000000001</v>
      </c>
      <c r="CF173" s="456">
        <v>13.16</v>
      </c>
      <c r="CG173" s="456">
        <v>566.99</v>
      </c>
      <c r="CH173" s="456">
        <v>2.7</v>
      </c>
      <c r="CI173" s="456">
        <v>3.9</v>
      </c>
      <c r="CJ173" s="456">
        <v>507</v>
      </c>
      <c r="CK173" s="456">
        <v>503.3</v>
      </c>
      <c r="CL173" s="456">
        <v>603.4</v>
      </c>
      <c r="CM173" s="456">
        <v>14.5</v>
      </c>
      <c r="CN173" s="456">
        <v>2.0699999999999998</v>
      </c>
      <c r="CO173" s="453">
        <v>66.400000000000006</v>
      </c>
      <c r="CP173" s="453">
        <v>17.16</v>
      </c>
      <c r="CQ173" s="453">
        <v>50</v>
      </c>
      <c r="CR173" s="456">
        <v>0</v>
      </c>
      <c r="CS173" s="456">
        <v>0</v>
      </c>
      <c r="CT173" s="456">
        <v>0</v>
      </c>
      <c r="CU173" s="456">
        <v>0</v>
      </c>
      <c r="CV173" s="481">
        <v>2286.6666666666665</v>
      </c>
      <c r="CW173" s="481">
        <v>2791.0416666666665</v>
      </c>
      <c r="CX173" s="481">
        <v>2214.6875</v>
      </c>
      <c r="CY173" s="481">
        <v>1165.51</v>
      </c>
      <c r="CZ173" s="456"/>
      <c r="DA173" s="456"/>
      <c r="DB173" s="456"/>
      <c r="DC173" s="456"/>
      <c r="DD173" s="456"/>
      <c r="DE173" s="456"/>
      <c r="DF173" s="456"/>
      <c r="DG173" s="425"/>
      <c r="DH173" s="456">
        <v>0</v>
      </c>
      <c r="DI173" s="456">
        <v>0.47</v>
      </c>
      <c r="DJ173" s="456">
        <v>1.02</v>
      </c>
      <c r="DK173" s="425"/>
      <c r="DL173" s="456"/>
      <c r="DM173" s="456"/>
      <c r="DN173" s="456"/>
      <c r="DO173" s="456"/>
      <c r="DP173" s="456"/>
      <c r="DQ173" s="456"/>
      <c r="DR173" s="456"/>
      <c r="DS173" s="456"/>
      <c r="DT173" s="456"/>
      <c r="DU173" s="456"/>
      <c r="DV173" s="456"/>
      <c r="DW173" s="456"/>
      <c r="DX173" s="456"/>
      <c r="DY173" s="456"/>
      <c r="DZ173" s="456"/>
      <c r="EA173" s="456"/>
      <c r="EB173" s="456"/>
      <c r="EC173" s="456"/>
      <c r="ED173" s="423">
        <v>0</v>
      </c>
      <c r="EE173" s="456">
        <v>0</v>
      </c>
      <c r="EF173" s="456">
        <v>2.5</v>
      </c>
      <c r="EG173" s="456">
        <v>6.5</v>
      </c>
      <c r="EH173" s="423">
        <v>0</v>
      </c>
      <c r="EI173" s="456"/>
      <c r="EJ173" s="456"/>
      <c r="EK173" s="456"/>
      <c r="EL173" s="456"/>
      <c r="EM173" s="456"/>
      <c r="EN173" s="456"/>
      <c r="EO173" s="425"/>
      <c r="EP173" s="425"/>
      <c r="EQ173" s="425" t="s">
        <v>743</v>
      </c>
      <c r="ER173" s="425">
        <v>1</v>
      </c>
      <c r="ES173" s="425">
        <v>6</v>
      </c>
      <c r="ET173" s="425">
        <v>3930</v>
      </c>
      <c r="EU173" s="457">
        <v>3440</v>
      </c>
      <c r="EV173" s="425">
        <v>250</v>
      </c>
      <c r="EW173" s="425">
        <v>6941562</v>
      </c>
      <c r="EX173" s="425">
        <v>64368</v>
      </c>
      <c r="EY173" s="666">
        <v>18.45</v>
      </c>
      <c r="EZ173" s="666">
        <v>18.45</v>
      </c>
      <c r="FA173" s="666">
        <v>0</v>
      </c>
      <c r="FB173" s="666">
        <v>1.33</v>
      </c>
      <c r="FC173" s="666">
        <v>1.4</v>
      </c>
      <c r="FD173" s="666">
        <v>1.23</v>
      </c>
      <c r="FE173" s="666">
        <v>1.19</v>
      </c>
      <c r="FF173" s="666">
        <v>230</v>
      </c>
      <c r="FG173" s="666">
        <v>2.39</v>
      </c>
      <c r="FH173" s="666">
        <v>1.2</v>
      </c>
      <c r="FI173" s="666">
        <v>2.15</v>
      </c>
      <c r="FJ173" s="666">
        <v>8.19</v>
      </c>
      <c r="FK173" s="666">
        <v>8.1999999999999993</v>
      </c>
      <c r="FL173" s="666">
        <v>8.0299999999999994</v>
      </c>
      <c r="FM173" s="666">
        <v>7.7</v>
      </c>
      <c r="FN173" s="666">
        <v>0</v>
      </c>
    </row>
    <row r="174" spans="1:170" s="416" customFormat="1" ht="15">
      <c r="A174" s="425" t="s">
        <v>7</v>
      </c>
      <c r="B174" s="426">
        <v>40703</v>
      </c>
      <c r="C174" s="418">
        <v>0</v>
      </c>
      <c r="D174" s="518">
        <v>0.04</v>
      </c>
      <c r="E174" s="453">
        <v>0</v>
      </c>
      <c r="F174" s="453">
        <v>53</v>
      </c>
      <c r="G174" s="453">
        <v>2.2000000000000002</v>
      </c>
      <c r="H174" s="519">
        <v>2.6</v>
      </c>
      <c r="I174" s="519">
        <v>92.71</v>
      </c>
      <c r="J174" s="483">
        <v>2.2000000000000002</v>
      </c>
      <c r="K174" s="520" t="s">
        <v>742</v>
      </c>
      <c r="L174" s="453">
        <v>0</v>
      </c>
      <c r="M174" s="453">
        <v>23</v>
      </c>
      <c r="N174" s="453">
        <v>1.6</v>
      </c>
      <c r="O174" s="453">
        <v>2.3120459048877144</v>
      </c>
      <c r="P174" s="453" t="s">
        <v>742</v>
      </c>
      <c r="Q174" s="453" t="s">
        <v>742</v>
      </c>
      <c r="R174" s="453">
        <v>1234.0776221928663</v>
      </c>
      <c r="S174" s="453">
        <v>7.8</v>
      </c>
      <c r="T174" s="453" t="s">
        <v>742</v>
      </c>
      <c r="U174" s="453">
        <v>0.7</v>
      </c>
      <c r="V174" s="453" t="s">
        <v>742</v>
      </c>
      <c r="W174" s="453">
        <v>46.94</v>
      </c>
      <c r="X174" s="456" t="e">
        <v>#VALUE!</v>
      </c>
      <c r="Y174" s="453">
        <v>33.299999999999997</v>
      </c>
      <c r="Z174" s="453">
        <v>31.4</v>
      </c>
      <c r="AA174" s="519">
        <v>33.289999999993597</v>
      </c>
      <c r="AB174" s="519">
        <v>31</v>
      </c>
      <c r="AC174" s="732">
        <f t="shared" si="2"/>
        <v>64.289999999993597</v>
      </c>
      <c r="AD174" s="664"/>
      <c r="AE174" s="664"/>
      <c r="AF174" s="664"/>
      <c r="AG174" s="664"/>
      <c r="AH174" s="664"/>
      <c r="AI174" s="664"/>
      <c r="AJ174" s="485"/>
      <c r="AK174" s="485"/>
      <c r="AL174" s="485"/>
      <c r="AM174" s="485"/>
      <c r="AN174" s="485"/>
      <c r="AO174" s="665"/>
      <c r="AP174" s="485"/>
      <c r="AQ174" s="483"/>
      <c r="AR174" s="755">
        <v>0</v>
      </c>
      <c r="AS174" s="483">
        <v>18.399999999999999</v>
      </c>
      <c r="AT174" s="755">
        <v>0</v>
      </c>
      <c r="AU174" s="483">
        <v>35</v>
      </c>
      <c r="AV174" s="484">
        <v>413.6</v>
      </c>
      <c r="AW174" s="484">
        <v>269.2</v>
      </c>
      <c r="AX174" s="453">
        <v>0</v>
      </c>
      <c r="AY174" s="734">
        <v>0</v>
      </c>
      <c r="AZ174" s="734">
        <v>0</v>
      </c>
      <c r="BA174" s="734">
        <v>0</v>
      </c>
      <c r="BB174" s="453">
        <v>0</v>
      </c>
      <c r="BC174" s="453">
        <v>0.5</v>
      </c>
      <c r="BD174" s="453">
        <v>1.52</v>
      </c>
      <c r="BE174" s="734">
        <v>0</v>
      </c>
      <c r="BF174" s="453">
        <v>0.55000000000000004</v>
      </c>
      <c r="BG174" s="453">
        <v>0</v>
      </c>
      <c r="BH174" s="734">
        <v>0</v>
      </c>
      <c r="BI174" s="453">
        <v>0</v>
      </c>
      <c r="BJ174" s="453">
        <v>28.4</v>
      </c>
      <c r="BK174" s="453">
        <v>3.24</v>
      </c>
      <c r="BL174" s="453">
        <v>3.3</v>
      </c>
      <c r="BM174" s="453">
        <v>0</v>
      </c>
      <c r="BN174" s="453">
        <v>21.6</v>
      </c>
      <c r="BO174" s="453">
        <v>1588.8</v>
      </c>
      <c r="BP174" s="453">
        <v>0</v>
      </c>
      <c r="BQ174" s="453">
        <v>19</v>
      </c>
      <c r="BR174" s="453">
        <v>18.899999999999999</v>
      </c>
      <c r="BS174" s="453">
        <v>0</v>
      </c>
      <c r="BT174" s="453">
        <v>17.2</v>
      </c>
      <c r="BU174" s="453">
        <v>26.4</v>
      </c>
      <c r="BV174" s="456">
        <v>755.7</v>
      </c>
      <c r="BW174" s="453">
        <v>1.36</v>
      </c>
      <c r="BX174" s="453">
        <v>1.48</v>
      </c>
      <c r="BY174" s="456">
        <v>1.08</v>
      </c>
      <c r="BZ174" s="456">
        <v>14.9</v>
      </c>
      <c r="CA174" s="456">
        <v>32.4</v>
      </c>
      <c r="CB174" s="456">
        <v>12.9</v>
      </c>
      <c r="CC174" s="456">
        <v>7.82</v>
      </c>
      <c r="CD174" s="456">
        <v>12.05</v>
      </c>
      <c r="CE174" s="456">
        <v>16.170000000000002</v>
      </c>
      <c r="CF174" s="456">
        <v>13.07</v>
      </c>
      <c r="CG174" s="456">
        <v>563.19000000000005</v>
      </c>
      <c r="CH174" s="456">
        <v>2.6</v>
      </c>
      <c r="CI174" s="456">
        <v>3.8</v>
      </c>
      <c r="CJ174" s="456">
        <v>612.4</v>
      </c>
      <c r="CK174" s="456">
        <v>573.29999999999995</v>
      </c>
      <c r="CL174" s="456">
        <v>598.29999999999995</v>
      </c>
      <c r="CM174" s="456">
        <v>14.4</v>
      </c>
      <c r="CN174" s="456">
        <v>2.0699999999999998</v>
      </c>
      <c r="CO174" s="453">
        <v>0</v>
      </c>
      <c r="CP174" s="453">
        <v>16.73</v>
      </c>
      <c r="CQ174" s="453">
        <v>51</v>
      </c>
      <c r="CR174" s="456">
        <v>0</v>
      </c>
      <c r="CS174" s="456">
        <v>0</v>
      </c>
      <c r="CT174" s="456">
        <v>0</v>
      </c>
      <c r="CU174" s="456">
        <v>0</v>
      </c>
      <c r="CV174" s="481">
        <v>2098.3333333333335</v>
      </c>
      <c r="CW174" s="481">
        <v>2710.9375</v>
      </c>
      <c r="CX174" s="481">
        <v>2041.9791666666667</v>
      </c>
      <c r="CY174" s="481">
        <v>1165.48</v>
      </c>
      <c r="CZ174" s="456"/>
      <c r="DA174" s="456"/>
      <c r="DB174" s="456"/>
      <c r="DC174" s="456"/>
      <c r="DD174" s="456"/>
      <c r="DE174" s="456"/>
      <c r="DF174" s="456"/>
      <c r="DG174" s="425"/>
      <c r="DH174" s="456">
        <v>0</v>
      </c>
      <c r="DI174" s="456">
        <v>0.35</v>
      </c>
      <c r="DJ174" s="456">
        <v>0.95</v>
      </c>
      <c r="DK174" s="425"/>
      <c r="DL174" s="456"/>
      <c r="DM174" s="456"/>
      <c r="DN174" s="456"/>
      <c r="DO174" s="456"/>
      <c r="DP174" s="456"/>
      <c r="DQ174" s="456"/>
      <c r="DR174" s="456"/>
      <c r="DS174" s="456"/>
      <c r="DT174" s="456"/>
      <c r="DU174" s="456"/>
      <c r="DV174" s="456"/>
      <c r="DW174" s="456"/>
      <c r="DX174" s="456"/>
      <c r="DY174" s="456"/>
      <c r="DZ174" s="456"/>
      <c r="EA174" s="456"/>
      <c r="EB174" s="456"/>
      <c r="EC174" s="456"/>
      <c r="ED174" s="423">
        <v>0</v>
      </c>
      <c r="EE174" s="456">
        <v>0</v>
      </c>
      <c r="EF174" s="456">
        <v>2.5</v>
      </c>
      <c r="EG174" s="456">
        <v>6.5</v>
      </c>
      <c r="EH174" s="423">
        <v>0</v>
      </c>
      <c r="EI174" s="456"/>
      <c r="EJ174" s="456"/>
      <c r="EK174" s="456"/>
      <c r="EL174" s="456"/>
      <c r="EM174" s="456"/>
      <c r="EN174" s="456"/>
      <c r="EO174" s="425"/>
      <c r="EP174" s="425"/>
      <c r="EQ174" s="425" t="s">
        <v>743</v>
      </c>
      <c r="ER174" s="425">
        <v>1</v>
      </c>
      <c r="ES174" s="425">
        <v>6</v>
      </c>
      <c r="ET174" s="425">
        <v>3160</v>
      </c>
      <c r="EU174" s="457">
        <v>3930</v>
      </c>
      <c r="EV174" s="425">
        <v>230</v>
      </c>
      <c r="EW174" s="425">
        <v>6944429</v>
      </c>
      <c r="EX174" s="425">
        <v>65465</v>
      </c>
      <c r="EY174" s="666">
        <v>18.7</v>
      </c>
      <c r="EZ174" s="666">
        <v>18.7</v>
      </c>
      <c r="FA174" s="666">
        <v>0</v>
      </c>
      <c r="FB174" s="666">
        <v>1.35</v>
      </c>
      <c r="FC174" s="666">
        <v>1.36</v>
      </c>
      <c r="FD174" s="666">
        <v>1.0900000000000001</v>
      </c>
      <c r="FE174" s="666">
        <v>1.1100000000000001</v>
      </c>
      <c r="FF174" s="666">
        <v>280</v>
      </c>
      <c r="FG174" s="666">
        <v>2.39</v>
      </c>
      <c r="FH174" s="666">
        <v>1.19</v>
      </c>
      <c r="FI174" s="666">
        <v>2.09</v>
      </c>
      <c r="FJ174" s="666">
        <v>8.15</v>
      </c>
      <c r="FK174" s="666">
        <v>8.1999999999999993</v>
      </c>
      <c r="FL174" s="666">
        <v>8.08</v>
      </c>
      <c r="FM174" s="666">
        <v>7.6</v>
      </c>
      <c r="FN174" s="666">
        <v>0</v>
      </c>
    </row>
    <row r="175" spans="1:170" s="416" customFormat="1" ht="15">
      <c r="A175" s="425" t="s">
        <v>8</v>
      </c>
      <c r="B175" s="426">
        <v>40704</v>
      </c>
      <c r="C175" s="418">
        <v>0</v>
      </c>
      <c r="D175" s="518">
        <v>0.04</v>
      </c>
      <c r="E175" s="453">
        <v>0</v>
      </c>
      <c r="F175" s="453">
        <v>53</v>
      </c>
      <c r="G175" s="453">
        <v>1.7</v>
      </c>
      <c r="H175" s="519">
        <v>2.75</v>
      </c>
      <c r="I175" s="519">
        <v>91.4</v>
      </c>
      <c r="J175" s="483">
        <v>2.23</v>
      </c>
      <c r="K175" s="520" t="s">
        <v>742</v>
      </c>
      <c r="L175" s="453">
        <v>0</v>
      </c>
      <c r="M175" s="453">
        <v>22.8</v>
      </c>
      <c r="N175" s="453">
        <v>1.63</v>
      </c>
      <c r="O175" s="453">
        <v>2.3994303170409506</v>
      </c>
      <c r="P175" s="453" t="s">
        <v>742</v>
      </c>
      <c r="Q175" s="453" t="s">
        <v>742</v>
      </c>
      <c r="R175" s="453">
        <v>1280.719926023778</v>
      </c>
      <c r="S175" s="453">
        <v>7.89</v>
      </c>
      <c r="T175" s="453" t="s">
        <v>742</v>
      </c>
      <c r="U175" s="453">
        <v>0.65</v>
      </c>
      <c r="V175" s="453" t="s">
        <v>742</v>
      </c>
      <c r="W175" s="453">
        <v>47.3</v>
      </c>
      <c r="X175" s="456" t="e">
        <v>#VALUE!</v>
      </c>
      <c r="Y175" s="453">
        <v>33.299999999999997</v>
      </c>
      <c r="Z175" s="453">
        <v>31.4</v>
      </c>
      <c r="AA175" s="519">
        <v>33.200000000011642</v>
      </c>
      <c r="AB175" s="519">
        <v>31.05000000000291</v>
      </c>
      <c r="AC175" s="732">
        <f t="shared" si="2"/>
        <v>64.250000000014552</v>
      </c>
      <c r="AD175" s="664"/>
      <c r="AE175" s="664"/>
      <c r="AF175" s="664"/>
      <c r="AG175" s="664"/>
      <c r="AH175" s="664"/>
      <c r="AI175" s="664"/>
      <c r="AJ175" s="485"/>
      <c r="AK175" s="485"/>
      <c r="AL175" s="485"/>
      <c r="AM175" s="485"/>
      <c r="AN175" s="485"/>
      <c r="AO175" s="665"/>
      <c r="AP175" s="485"/>
      <c r="AQ175" s="483"/>
      <c r="AR175" s="755">
        <v>0</v>
      </c>
      <c r="AS175" s="483">
        <v>18.2</v>
      </c>
      <c r="AT175" s="755">
        <v>0</v>
      </c>
      <c r="AU175" s="483">
        <v>34.9</v>
      </c>
      <c r="AV175" s="484">
        <v>314.89999999999998</v>
      </c>
      <c r="AW175" s="484">
        <v>469.3</v>
      </c>
      <c r="AX175" s="453">
        <v>0</v>
      </c>
      <c r="AY175" s="734">
        <v>0</v>
      </c>
      <c r="AZ175" s="734">
        <v>0</v>
      </c>
      <c r="BA175" s="734">
        <v>0</v>
      </c>
      <c r="BB175" s="453">
        <v>0</v>
      </c>
      <c r="BC175" s="453">
        <v>0.51</v>
      </c>
      <c r="BD175" s="453">
        <v>1.52</v>
      </c>
      <c r="BE175" s="734">
        <v>0</v>
      </c>
      <c r="BF175" s="453">
        <v>0.5</v>
      </c>
      <c r="BG175" s="453">
        <v>0</v>
      </c>
      <c r="BH175" s="734">
        <v>0</v>
      </c>
      <c r="BI175" s="453">
        <v>0</v>
      </c>
      <c r="BJ175" s="453">
        <v>28.4</v>
      </c>
      <c r="BK175" s="453">
        <v>3.25</v>
      </c>
      <c r="BL175" s="453">
        <v>3.66</v>
      </c>
      <c r="BM175" s="453">
        <v>0</v>
      </c>
      <c r="BN175" s="453">
        <v>21.3</v>
      </c>
      <c r="BO175" s="453">
        <v>1718.4</v>
      </c>
      <c r="BP175" s="453">
        <v>0</v>
      </c>
      <c r="BQ175" s="453">
        <v>19.100000000000001</v>
      </c>
      <c r="BR175" s="453">
        <v>19.059999999999999</v>
      </c>
      <c r="BS175" s="453">
        <v>0</v>
      </c>
      <c r="BT175" s="453" t="s">
        <v>755</v>
      </c>
      <c r="BU175" s="453">
        <v>29.3</v>
      </c>
      <c r="BV175" s="456">
        <v>743.1</v>
      </c>
      <c r="BW175" s="453">
        <v>1.2</v>
      </c>
      <c r="BX175" s="453">
        <v>1.47</v>
      </c>
      <c r="BY175" s="456">
        <v>1.1100000000000001</v>
      </c>
      <c r="BZ175" s="456">
        <v>15</v>
      </c>
      <c r="CA175" s="456">
        <v>36.1</v>
      </c>
      <c r="CB175" s="456">
        <v>14.4</v>
      </c>
      <c r="CC175" s="456">
        <v>8.3000000000000007</v>
      </c>
      <c r="CD175" s="456">
        <v>12.6</v>
      </c>
      <c r="CE175" s="456">
        <v>16.600000000000001</v>
      </c>
      <c r="CF175" s="456">
        <v>12.99</v>
      </c>
      <c r="CG175" s="456">
        <v>553.1</v>
      </c>
      <c r="CH175" s="456">
        <v>2.5</v>
      </c>
      <c r="CI175" s="456">
        <v>3.5</v>
      </c>
      <c r="CJ175" s="456">
        <v>625.5</v>
      </c>
      <c r="CK175" s="456">
        <v>614.29999999999995</v>
      </c>
      <c r="CL175" s="456">
        <v>608.20000000000005</v>
      </c>
      <c r="CM175" s="456">
        <v>14.2</v>
      </c>
      <c r="CN175" s="456">
        <v>2.0499999999999998</v>
      </c>
      <c r="CO175" s="453">
        <v>0</v>
      </c>
      <c r="CP175" s="453">
        <v>16.12</v>
      </c>
      <c r="CQ175" s="453">
        <v>51</v>
      </c>
      <c r="CR175" s="456">
        <v>0</v>
      </c>
      <c r="CS175" s="456">
        <v>0</v>
      </c>
      <c r="CT175" s="456">
        <v>0</v>
      </c>
      <c r="CU175" s="456">
        <v>0</v>
      </c>
      <c r="CV175" s="481">
        <v>1670.4166666666667</v>
      </c>
      <c r="CW175" s="481">
        <v>2326.4583333333335</v>
      </c>
      <c r="CX175" s="481">
        <v>1602.7083333333333</v>
      </c>
      <c r="CY175" s="481">
        <v>1165.8</v>
      </c>
      <c r="CZ175" s="456"/>
      <c r="DA175" s="456"/>
      <c r="DB175" s="456"/>
      <c r="DC175" s="456"/>
      <c r="DD175" s="456"/>
      <c r="DE175" s="456"/>
      <c r="DF175" s="456"/>
      <c r="DG175" s="425"/>
      <c r="DH175" s="456">
        <v>0</v>
      </c>
      <c r="DI175" s="456">
        <v>0.4</v>
      </c>
      <c r="DJ175" s="456">
        <v>0.96</v>
      </c>
      <c r="DK175" s="425"/>
      <c r="DL175" s="456"/>
      <c r="DM175" s="456"/>
      <c r="DN175" s="456"/>
      <c r="DO175" s="456"/>
      <c r="DP175" s="456"/>
      <c r="DQ175" s="456"/>
      <c r="DR175" s="456"/>
      <c r="DS175" s="456"/>
      <c r="DT175" s="456"/>
      <c r="DU175" s="456"/>
      <c r="DV175" s="456"/>
      <c r="DW175" s="456"/>
      <c r="DX175" s="456"/>
      <c r="DY175" s="456"/>
      <c r="DZ175" s="456"/>
      <c r="EA175" s="456"/>
      <c r="EB175" s="456"/>
      <c r="EC175" s="456"/>
      <c r="ED175" s="423">
        <v>0</v>
      </c>
      <c r="EE175" s="456">
        <v>0</v>
      </c>
      <c r="EF175" s="456">
        <v>2.5</v>
      </c>
      <c r="EG175" s="456">
        <v>7</v>
      </c>
      <c r="EH175" s="423">
        <v>0</v>
      </c>
      <c r="EI175" s="456"/>
      <c r="EJ175" s="456"/>
      <c r="EK175" s="456"/>
      <c r="EL175" s="456"/>
      <c r="EM175" s="456"/>
      <c r="EN175" s="456"/>
      <c r="EO175" s="425"/>
      <c r="EP175" s="425"/>
      <c r="EQ175" s="425" t="s">
        <v>743</v>
      </c>
      <c r="ER175" s="425">
        <v>1</v>
      </c>
      <c r="ES175" s="425">
        <v>6</v>
      </c>
      <c r="ET175" s="425">
        <v>3930</v>
      </c>
      <c r="EU175" s="457">
        <v>2920</v>
      </c>
      <c r="EV175" s="425">
        <v>280</v>
      </c>
      <c r="EW175" s="425">
        <v>6947126</v>
      </c>
      <c r="EX175" s="425">
        <v>66543</v>
      </c>
      <c r="EY175" s="666">
        <v>19.100000000000001</v>
      </c>
      <c r="EZ175" s="666">
        <v>19.100000000000001</v>
      </c>
      <c r="FA175" s="666">
        <v>0</v>
      </c>
      <c r="FB175" s="666">
        <v>1.36</v>
      </c>
      <c r="FC175" s="666">
        <v>1.4</v>
      </c>
      <c r="FD175" s="666">
        <v>1.18</v>
      </c>
      <c r="FE175" s="666">
        <v>1.1499999999999999</v>
      </c>
      <c r="FF175" s="666">
        <v>240</v>
      </c>
      <c r="FG175" s="666">
        <v>2.44</v>
      </c>
      <c r="FH175" s="666">
        <v>1.22</v>
      </c>
      <c r="FI175" s="666">
        <v>2.21</v>
      </c>
      <c r="FJ175" s="666">
        <v>8.17</v>
      </c>
      <c r="FK175" s="666">
        <v>8.1</v>
      </c>
      <c r="FL175" s="666">
        <v>8.09</v>
      </c>
      <c r="FM175" s="666">
        <v>7.7</v>
      </c>
      <c r="FN175" s="666">
        <v>0</v>
      </c>
    </row>
    <row r="176" spans="1:170" s="416" customFormat="1" ht="15">
      <c r="A176" s="425" t="s">
        <v>9</v>
      </c>
      <c r="B176" s="426">
        <v>40705</v>
      </c>
      <c r="C176" s="418">
        <v>0</v>
      </c>
      <c r="D176" s="518">
        <v>0.06</v>
      </c>
      <c r="E176" s="453">
        <v>0</v>
      </c>
      <c r="F176" s="453">
        <v>46</v>
      </c>
      <c r="G176" s="453">
        <v>1.7</v>
      </c>
      <c r="H176" s="519">
        <v>2.75</v>
      </c>
      <c r="I176" s="519">
        <v>92</v>
      </c>
      <c r="J176" s="483">
        <v>2.2200000000000002</v>
      </c>
      <c r="K176" s="520" t="s">
        <v>742</v>
      </c>
      <c r="L176" s="453">
        <v>0</v>
      </c>
      <c r="M176" s="453">
        <v>22.7</v>
      </c>
      <c r="N176" s="453">
        <v>1.62</v>
      </c>
      <c r="O176" s="453">
        <v>2.3438419979374165</v>
      </c>
      <c r="P176" s="453" t="s">
        <v>742</v>
      </c>
      <c r="Q176" s="453">
        <v>0</v>
      </c>
      <c r="R176" s="453">
        <v>1251.2445812417434</v>
      </c>
      <c r="S176" s="453">
        <v>7.92</v>
      </c>
      <c r="T176" s="453" t="s">
        <v>742</v>
      </c>
      <c r="U176" s="453">
        <v>0.65</v>
      </c>
      <c r="V176" s="453" t="s">
        <v>742</v>
      </c>
      <c r="W176" s="453">
        <v>47.660000000000011</v>
      </c>
      <c r="X176" s="456" t="e">
        <v>#VALUE!</v>
      </c>
      <c r="Y176" s="453">
        <v>33.450000000000003</v>
      </c>
      <c r="Z176" s="453">
        <v>31.31</v>
      </c>
      <c r="AA176" s="519">
        <v>33.299999999988358</v>
      </c>
      <c r="AB176" s="519">
        <v>31.049999999995634</v>
      </c>
      <c r="AC176" s="732">
        <f t="shared" si="2"/>
        <v>64.349999999983993</v>
      </c>
      <c r="AD176" s="664"/>
      <c r="AE176" s="664"/>
      <c r="AF176" s="664"/>
      <c r="AG176" s="664"/>
      <c r="AH176" s="664"/>
      <c r="AI176" s="664"/>
      <c r="AJ176" s="485"/>
      <c r="AK176" s="485"/>
      <c r="AL176" s="485"/>
      <c r="AM176" s="485"/>
      <c r="AN176" s="485"/>
      <c r="AO176" s="665"/>
      <c r="AP176" s="485"/>
      <c r="AQ176" s="483"/>
      <c r="AR176" s="755">
        <v>0</v>
      </c>
      <c r="AS176" s="483">
        <v>18.8</v>
      </c>
      <c r="AT176" s="755">
        <v>0</v>
      </c>
      <c r="AU176" s="483">
        <v>34.799999999999997</v>
      </c>
      <c r="AV176" s="484">
        <v>496.5</v>
      </c>
      <c r="AW176" s="484">
        <v>648.5</v>
      </c>
      <c r="AX176" s="453">
        <v>0</v>
      </c>
      <c r="AY176" s="734">
        <v>0</v>
      </c>
      <c r="AZ176" s="734">
        <v>0</v>
      </c>
      <c r="BA176" s="734">
        <v>0</v>
      </c>
      <c r="BB176" s="453">
        <v>0</v>
      </c>
      <c r="BC176" s="453">
        <v>0.5</v>
      </c>
      <c r="BD176" s="453">
        <v>1.52</v>
      </c>
      <c r="BE176" s="734">
        <v>0</v>
      </c>
      <c r="BF176" s="453">
        <v>0.56000000000000005</v>
      </c>
      <c r="BG176" s="453">
        <v>0</v>
      </c>
      <c r="BH176" s="734">
        <v>0</v>
      </c>
      <c r="BI176" s="453">
        <v>0</v>
      </c>
      <c r="BJ176" s="453">
        <v>28.3</v>
      </c>
      <c r="BK176" s="453">
        <v>3.23</v>
      </c>
      <c r="BL176" s="453">
        <v>3.8</v>
      </c>
      <c r="BM176" s="453">
        <v>0</v>
      </c>
      <c r="BN176" s="453">
        <v>21.1</v>
      </c>
      <c r="BO176" s="453">
        <v>2078.1</v>
      </c>
      <c r="BP176" s="453">
        <v>0</v>
      </c>
      <c r="BQ176" s="453">
        <v>19.2</v>
      </c>
      <c r="BR176" s="453">
        <v>19.100000000000001</v>
      </c>
      <c r="BS176" s="453">
        <v>0</v>
      </c>
      <c r="BT176" s="453" t="s">
        <v>756</v>
      </c>
      <c r="BU176" s="453">
        <v>29.2</v>
      </c>
      <c r="BV176" s="456">
        <v>759.7</v>
      </c>
      <c r="BW176" s="453">
        <v>2</v>
      </c>
      <c r="BX176" s="453">
        <v>1.5</v>
      </c>
      <c r="BY176" s="456">
        <v>1.1100000000000001</v>
      </c>
      <c r="BZ176" s="456">
        <v>14.9</v>
      </c>
      <c r="CA176" s="456">
        <v>36.299999999999997</v>
      </c>
      <c r="CB176" s="456">
        <v>13.7</v>
      </c>
      <c r="CC176" s="456">
        <v>9.6999999999999993</v>
      </c>
      <c r="CD176" s="456">
        <v>13.9</v>
      </c>
      <c r="CE176" s="456">
        <v>17.899999999999999</v>
      </c>
      <c r="CF176" s="456">
        <v>12.99</v>
      </c>
      <c r="CG176" s="456">
        <v>550.28</v>
      </c>
      <c r="CH176" s="456">
        <v>2.4</v>
      </c>
      <c r="CI176" s="456">
        <v>3.5</v>
      </c>
      <c r="CJ176" s="456">
        <v>637.29999999999995</v>
      </c>
      <c r="CK176" s="456">
        <v>629.6</v>
      </c>
      <c r="CL176" s="456">
        <v>597.70000000000005</v>
      </c>
      <c r="CM176" s="456">
        <v>14</v>
      </c>
      <c r="CN176" s="456">
        <v>2</v>
      </c>
      <c r="CO176" s="453">
        <v>0</v>
      </c>
      <c r="CP176" s="453">
        <v>16.7</v>
      </c>
      <c r="CQ176" s="453">
        <v>51</v>
      </c>
      <c r="CR176" s="456">
        <v>0</v>
      </c>
      <c r="CS176" s="456">
        <v>0</v>
      </c>
      <c r="CT176" s="456">
        <v>0</v>
      </c>
      <c r="CU176" s="456">
        <v>0</v>
      </c>
      <c r="CV176" s="481">
        <v>1478.75</v>
      </c>
      <c r="CW176" s="481">
        <v>1932.1875</v>
      </c>
      <c r="CX176" s="481">
        <v>1374.5833333333333</v>
      </c>
      <c r="CY176" s="481">
        <v>1166.24</v>
      </c>
      <c r="CZ176" s="456"/>
      <c r="DA176" s="456"/>
      <c r="DB176" s="456"/>
      <c r="DC176" s="456"/>
      <c r="DD176" s="456"/>
      <c r="DE176" s="456"/>
      <c r="DF176" s="456"/>
      <c r="DG176" s="425"/>
      <c r="DH176" s="456">
        <v>0</v>
      </c>
      <c r="DI176" s="456">
        <v>0.38</v>
      </c>
      <c r="DJ176" s="456">
        <v>1.1000000000000001</v>
      </c>
      <c r="DK176" s="425"/>
      <c r="DL176" s="456"/>
      <c r="DM176" s="456"/>
      <c r="DN176" s="456"/>
      <c r="DO176" s="456"/>
      <c r="DP176" s="456"/>
      <c r="DQ176" s="456"/>
      <c r="DR176" s="456"/>
      <c r="DS176" s="456"/>
      <c r="DT176" s="456"/>
      <c r="DU176" s="456"/>
      <c r="DV176" s="456"/>
      <c r="DW176" s="456"/>
      <c r="DX176" s="456"/>
      <c r="DY176" s="456"/>
      <c r="DZ176" s="456"/>
      <c r="EA176" s="456"/>
      <c r="EB176" s="456"/>
      <c r="EC176" s="456"/>
      <c r="ED176" s="423">
        <v>0</v>
      </c>
      <c r="EE176" s="456">
        <v>0</v>
      </c>
      <c r="EF176" s="456">
        <v>2.5</v>
      </c>
      <c r="EG176" s="456">
        <v>7</v>
      </c>
      <c r="EH176" s="423">
        <v>0</v>
      </c>
      <c r="EI176" s="456"/>
      <c r="EJ176" s="456"/>
      <c r="EK176" s="456"/>
      <c r="EL176" s="456"/>
      <c r="EM176" s="456"/>
      <c r="EN176" s="456"/>
      <c r="EO176" s="425"/>
      <c r="EP176" s="425"/>
      <c r="EQ176" s="425" t="s">
        <v>743</v>
      </c>
      <c r="ER176" s="425">
        <v>1</v>
      </c>
      <c r="ES176" s="425">
        <v>6</v>
      </c>
      <c r="ET176" s="425">
        <v>3930</v>
      </c>
      <c r="EU176" s="457">
        <v>2660</v>
      </c>
      <c r="EV176" s="425">
        <v>300</v>
      </c>
      <c r="EW176" s="425">
        <v>6949926</v>
      </c>
      <c r="EX176" s="425">
        <v>67830</v>
      </c>
      <c r="EY176" s="666">
        <v>19.350000000000001</v>
      </c>
      <c r="EZ176" s="666">
        <v>19.350000000000001</v>
      </c>
      <c r="FA176" s="666">
        <v>0</v>
      </c>
      <c r="FB176" s="666">
        <v>1.33</v>
      </c>
      <c r="FC176" s="666">
        <v>1.35</v>
      </c>
      <c r="FD176" s="666">
        <v>1.1499999999999999</v>
      </c>
      <c r="FE176" s="666">
        <v>1.1000000000000001</v>
      </c>
      <c r="FF176" s="666">
        <v>260</v>
      </c>
      <c r="FG176" s="666">
        <v>2.4500000000000002</v>
      </c>
      <c r="FH176" s="666">
        <v>1.23</v>
      </c>
      <c r="FI176" s="666">
        <v>2.2000000000000002</v>
      </c>
      <c r="FJ176" s="666">
        <v>8.2100000000000009</v>
      </c>
      <c r="FK176" s="666">
        <v>8.1999999999999993</v>
      </c>
      <c r="FL176" s="666">
        <v>8.08</v>
      </c>
      <c r="FM176" s="666">
        <v>7.5</v>
      </c>
      <c r="FN176" s="666">
        <v>0</v>
      </c>
    </row>
    <row r="177" spans="1:170" s="416" customFormat="1" ht="15">
      <c r="A177" s="425" t="s">
        <v>3</v>
      </c>
      <c r="B177" s="426">
        <v>40706</v>
      </c>
      <c r="C177" s="418">
        <v>0</v>
      </c>
      <c r="D177" s="518">
        <v>0.02</v>
      </c>
      <c r="E177" s="453">
        <v>0</v>
      </c>
      <c r="F177" s="453">
        <v>52</v>
      </c>
      <c r="G177" s="453">
        <v>1.7</v>
      </c>
      <c r="H177" s="519">
        <v>2.87</v>
      </c>
      <c r="I177" s="519">
        <v>92.4</v>
      </c>
      <c r="J177" s="483">
        <v>2.2799999999999998</v>
      </c>
      <c r="K177" s="520" t="s">
        <v>742</v>
      </c>
      <c r="L177" s="453">
        <v>0</v>
      </c>
      <c r="M177" s="453">
        <v>22.5</v>
      </c>
      <c r="N177" s="453">
        <v>1.1100000000000001</v>
      </c>
      <c r="O177" s="453">
        <v>2.3442519763294891</v>
      </c>
      <c r="P177" s="453" t="s">
        <v>742</v>
      </c>
      <c r="Q177" s="453">
        <v>0</v>
      </c>
      <c r="R177" s="453">
        <v>1247.3577225891675</v>
      </c>
      <c r="S177" s="453">
        <v>7.91</v>
      </c>
      <c r="T177" s="453" t="s">
        <v>742</v>
      </c>
      <c r="U177" s="453">
        <v>0.66</v>
      </c>
      <c r="V177" s="453" t="s">
        <v>742</v>
      </c>
      <c r="W177" s="453">
        <v>46.760000000000005</v>
      </c>
      <c r="X177" s="456" t="e">
        <v>#VALUE!</v>
      </c>
      <c r="Y177" s="453">
        <v>33.36</v>
      </c>
      <c r="Z177" s="453">
        <v>30.94</v>
      </c>
      <c r="AA177" s="519">
        <v>33.200000000011642</v>
      </c>
      <c r="AB177" s="519">
        <v>30.900000000001455</v>
      </c>
      <c r="AC177" s="732">
        <f t="shared" si="2"/>
        <v>64.100000000013097</v>
      </c>
      <c r="AD177" s="664"/>
      <c r="AE177" s="664"/>
      <c r="AF177" s="664"/>
      <c r="AG177" s="664"/>
      <c r="AH177" s="664"/>
      <c r="AI177" s="664"/>
      <c r="AJ177" s="485"/>
      <c r="AK177" s="485"/>
      <c r="AL177" s="485"/>
      <c r="AM177" s="485"/>
      <c r="AN177" s="485"/>
      <c r="AO177" s="665"/>
      <c r="AP177" s="485"/>
      <c r="AQ177" s="483"/>
      <c r="AR177" s="755">
        <v>0</v>
      </c>
      <c r="AS177" s="483">
        <v>35.799999999999997</v>
      </c>
      <c r="AT177" s="755">
        <v>0</v>
      </c>
      <c r="AU177" s="483">
        <v>34.799999999999997</v>
      </c>
      <c r="AV177" s="484">
        <v>646.1</v>
      </c>
      <c r="AW177" s="484">
        <v>688.8</v>
      </c>
      <c r="AX177" s="453">
        <v>0.1</v>
      </c>
      <c r="AY177" s="734">
        <v>0</v>
      </c>
      <c r="AZ177" s="734">
        <v>0</v>
      </c>
      <c r="BA177" s="734">
        <v>0</v>
      </c>
      <c r="BB177" s="453">
        <v>0</v>
      </c>
      <c r="BC177" s="453">
        <v>0.5</v>
      </c>
      <c r="BD177" s="453">
        <v>1.52</v>
      </c>
      <c r="BE177" s="734">
        <v>0</v>
      </c>
      <c r="BF177" s="453">
        <v>0.5</v>
      </c>
      <c r="BG177" s="453">
        <v>0</v>
      </c>
      <c r="BH177" s="734">
        <v>0</v>
      </c>
      <c r="BI177" s="453">
        <v>0</v>
      </c>
      <c r="BJ177" s="453">
        <v>28.4</v>
      </c>
      <c r="BK177" s="453">
        <v>3.24</v>
      </c>
      <c r="BL177" s="453">
        <v>3.8</v>
      </c>
      <c r="BM177" s="453">
        <v>0</v>
      </c>
      <c r="BN177" s="453">
        <v>21.1</v>
      </c>
      <c r="BO177" s="453">
        <v>1842.2</v>
      </c>
      <c r="BP177" s="453">
        <v>0</v>
      </c>
      <c r="BQ177" s="453">
        <v>19.2</v>
      </c>
      <c r="BR177" s="453">
        <v>19.100000000000001</v>
      </c>
      <c r="BS177" s="453">
        <v>0</v>
      </c>
      <c r="BT177" s="453" t="s">
        <v>756</v>
      </c>
      <c r="BU177" s="453">
        <v>29.6</v>
      </c>
      <c r="BV177" s="456">
        <v>800.9</v>
      </c>
      <c r="BW177" s="453">
        <v>1.25</v>
      </c>
      <c r="BX177" s="453">
        <v>1.48</v>
      </c>
      <c r="BY177" s="456">
        <v>1.1100000000000001</v>
      </c>
      <c r="BZ177" s="456">
        <v>14.8</v>
      </c>
      <c r="CA177" s="456">
        <v>36.1</v>
      </c>
      <c r="CB177" s="456">
        <v>13.1</v>
      </c>
      <c r="CC177" s="456">
        <v>8.8000000000000007</v>
      </c>
      <c r="CD177" s="456">
        <v>12.93</v>
      </c>
      <c r="CE177" s="456">
        <v>17.3</v>
      </c>
      <c r="CF177" s="456">
        <v>12.93</v>
      </c>
      <c r="CG177" s="456">
        <v>549.54999999999995</v>
      </c>
      <c r="CH177" s="456">
        <v>2.2999999999999998</v>
      </c>
      <c r="CI177" s="456">
        <v>3.2</v>
      </c>
      <c r="CJ177" s="456">
        <v>710.2</v>
      </c>
      <c r="CK177" s="456">
        <v>701.4</v>
      </c>
      <c r="CL177" s="456">
        <v>597.4</v>
      </c>
      <c r="CM177" s="456">
        <v>14</v>
      </c>
      <c r="CN177" s="456">
        <v>1.94</v>
      </c>
      <c r="CO177" s="453">
        <v>0</v>
      </c>
      <c r="CP177" s="453">
        <v>16.559999999999999</v>
      </c>
      <c r="CQ177" s="453">
        <v>51</v>
      </c>
      <c r="CR177" s="456">
        <v>0</v>
      </c>
      <c r="CS177" s="456">
        <v>0</v>
      </c>
      <c r="CT177" s="456">
        <v>0</v>
      </c>
      <c r="CU177" s="456">
        <v>0</v>
      </c>
      <c r="CV177" s="481">
        <v>1479.1666666666667</v>
      </c>
      <c r="CW177" s="481">
        <v>1905.8333333333333</v>
      </c>
      <c r="CX177" s="481">
        <v>1373.0208333333333</v>
      </c>
      <c r="CY177" s="481">
        <v>1166.4000000000001</v>
      </c>
      <c r="CZ177" s="456"/>
      <c r="DA177" s="456"/>
      <c r="DB177" s="456"/>
      <c r="DC177" s="456"/>
      <c r="DD177" s="456"/>
      <c r="DE177" s="456"/>
      <c r="DF177" s="456"/>
      <c r="DG177" s="425"/>
      <c r="DH177" s="456">
        <v>0</v>
      </c>
      <c r="DI177" s="456">
        <v>0.38</v>
      </c>
      <c r="DJ177" s="456">
        <v>1.1599999999999999</v>
      </c>
      <c r="DK177" s="425"/>
      <c r="DL177" s="456"/>
      <c r="DM177" s="456"/>
      <c r="DN177" s="456"/>
      <c r="DO177" s="456"/>
      <c r="DP177" s="456"/>
      <c r="DQ177" s="456"/>
      <c r="DR177" s="456"/>
      <c r="DS177" s="456"/>
      <c r="DT177" s="456"/>
      <c r="DU177" s="456"/>
      <c r="DV177" s="456"/>
      <c r="DW177" s="456"/>
      <c r="DX177" s="456"/>
      <c r="DY177" s="456"/>
      <c r="DZ177" s="456"/>
      <c r="EA177" s="456"/>
      <c r="EB177" s="456"/>
      <c r="EC177" s="456"/>
      <c r="ED177" s="423">
        <v>0</v>
      </c>
      <c r="EE177" s="456">
        <v>0</v>
      </c>
      <c r="EF177" s="456">
        <v>2.5</v>
      </c>
      <c r="EG177" s="456">
        <v>7</v>
      </c>
      <c r="EH177" s="423">
        <v>0</v>
      </c>
      <c r="EI177" s="456"/>
      <c r="EJ177" s="456"/>
      <c r="EK177" s="456"/>
      <c r="EL177" s="456"/>
      <c r="EM177" s="456"/>
      <c r="EN177" s="456"/>
      <c r="EO177" s="425"/>
      <c r="EP177" s="425"/>
      <c r="EQ177" s="425" t="s">
        <v>743</v>
      </c>
      <c r="ER177" s="425">
        <v>1</v>
      </c>
      <c r="ES177" s="425">
        <v>6</v>
      </c>
      <c r="ET177" s="425">
        <v>3930</v>
      </c>
      <c r="EU177" s="457">
        <v>2380</v>
      </c>
      <c r="EV177" s="425">
        <v>305</v>
      </c>
      <c r="EW177" s="425">
        <v>6953005</v>
      </c>
      <c r="EX177" s="425">
        <v>68743</v>
      </c>
      <c r="EY177" s="666">
        <v>19.2</v>
      </c>
      <c r="EZ177" s="666">
        <v>19.2</v>
      </c>
      <c r="FA177" s="666">
        <v>0</v>
      </c>
      <c r="FB177" s="666">
        <v>1.38</v>
      </c>
      <c r="FC177" s="666">
        <v>1.35</v>
      </c>
      <c r="FD177" s="666">
        <v>1.21</v>
      </c>
      <c r="FE177" s="666">
        <v>1.19</v>
      </c>
      <c r="FF177" s="666">
        <v>280</v>
      </c>
      <c r="FG177" s="666">
        <v>2.4500000000000002</v>
      </c>
      <c r="FH177" s="666">
        <v>1.25</v>
      </c>
      <c r="FI177" s="666">
        <v>2.2000000000000002</v>
      </c>
      <c r="FJ177" s="666">
        <v>8.2100000000000009</v>
      </c>
      <c r="FK177" s="666">
        <v>8.1999999999999993</v>
      </c>
      <c r="FL177" s="666">
        <v>8.1199999999999992</v>
      </c>
      <c r="FM177" s="666">
        <v>7.7</v>
      </c>
      <c r="FN177" s="666">
        <v>0</v>
      </c>
    </row>
    <row r="178" spans="1:170" s="416" customFormat="1" ht="15">
      <c r="A178" s="425" t="s">
        <v>4</v>
      </c>
      <c r="B178" s="426">
        <v>40707</v>
      </c>
      <c r="C178" s="418">
        <v>0</v>
      </c>
      <c r="D178" s="518">
        <v>0.32</v>
      </c>
      <c r="E178" s="453">
        <v>0</v>
      </c>
      <c r="F178" s="453">
        <v>52</v>
      </c>
      <c r="G178" s="453">
        <v>1.7</v>
      </c>
      <c r="H178" s="519">
        <v>2.72</v>
      </c>
      <c r="I178" s="519">
        <v>91.9</v>
      </c>
      <c r="J178" s="483">
        <v>2.25</v>
      </c>
      <c r="K178" s="520" t="s">
        <v>742</v>
      </c>
      <c r="L178" s="453">
        <v>0</v>
      </c>
      <c r="M178" s="453">
        <v>22.4</v>
      </c>
      <c r="N178" s="453">
        <v>1.61</v>
      </c>
      <c r="O178" s="453">
        <v>2.3373245531891023</v>
      </c>
      <c r="P178" s="453" t="s">
        <v>742</v>
      </c>
      <c r="Q178" s="453" t="s">
        <v>742</v>
      </c>
      <c r="R178" s="453">
        <v>1241.5274346103035</v>
      </c>
      <c r="S178" s="453">
        <v>7.71</v>
      </c>
      <c r="T178" s="453" t="s">
        <v>742</v>
      </c>
      <c r="U178" s="453">
        <v>0.66</v>
      </c>
      <c r="V178" s="453" t="s">
        <v>742</v>
      </c>
      <c r="W178" s="453">
        <v>46.760000000000005</v>
      </c>
      <c r="X178" s="456" t="e">
        <v>#VALUE!</v>
      </c>
      <c r="Y178" s="453">
        <v>33.26</v>
      </c>
      <c r="Z178" s="453">
        <v>31.45</v>
      </c>
      <c r="AA178" s="519">
        <v>33.099999999991269</v>
      </c>
      <c r="AB178" s="519">
        <v>31.80000000000291</v>
      </c>
      <c r="AC178" s="732">
        <f t="shared" si="2"/>
        <v>64.899999999994179</v>
      </c>
      <c r="AD178" s="664"/>
      <c r="AE178" s="664"/>
      <c r="AF178" s="664"/>
      <c r="AG178" s="664"/>
      <c r="AH178" s="664"/>
      <c r="AI178" s="664"/>
      <c r="AJ178" s="485"/>
      <c r="AK178" s="485"/>
      <c r="AL178" s="485"/>
      <c r="AM178" s="485"/>
      <c r="AN178" s="485"/>
      <c r="AO178" s="665"/>
      <c r="AP178" s="485"/>
      <c r="AQ178" s="483"/>
      <c r="AR178" s="755">
        <v>0</v>
      </c>
      <c r="AS178" s="483">
        <v>18</v>
      </c>
      <c r="AT178" s="755">
        <v>0</v>
      </c>
      <c r="AU178" s="483">
        <v>34.799999999999997</v>
      </c>
      <c r="AV178" s="484">
        <v>404.2</v>
      </c>
      <c r="AW178" s="484">
        <v>461.3</v>
      </c>
      <c r="AX178" s="453">
        <v>0</v>
      </c>
      <c r="AY178" s="734">
        <v>0</v>
      </c>
      <c r="AZ178" s="734">
        <v>0</v>
      </c>
      <c r="BA178" s="734">
        <v>0</v>
      </c>
      <c r="BB178" s="453">
        <v>0</v>
      </c>
      <c r="BC178" s="453">
        <v>0.51</v>
      </c>
      <c r="BD178" s="453">
        <v>1.52</v>
      </c>
      <c r="BE178" s="734">
        <v>0</v>
      </c>
      <c r="BF178" s="453">
        <v>0.55000000000000004</v>
      </c>
      <c r="BG178" s="453">
        <v>0</v>
      </c>
      <c r="BH178" s="734">
        <v>0</v>
      </c>
      <c r="BI178" s="453">
        <v>0</v>
      </c>
      <c r="BJ178" s="453">
        <v>28.4</v>
      </c>
      <c r="BK178" s="453">
        <v>3.23</v>
      </c>
      <c r="BL178" s="453">
        <v>3.8</v>
      </c>
      <c r="BM178" s="453">
        <v>0</v>
      </c>
      <c r="BN178" s="453">
        <v>21.1</v>
      </c>
      <c r="BO178" s="453">
        <v>1634</v>
      </c>
      <c r="BP178" s="453">
        <v>0</v>
      </c>
      <c r="BQ178" s="453">
        <v>19.2</v>
      </c>
      <c r="BR178" s="453">
        <v>19.100000000000001</v>
      </c>
      <c r="BS178" s="453">
        <v>0</v>
      </c>
      <c r="BT178" s="453" t="s">
        <v>756</v>
      </c>
      <c r="BU178" s="453">
        <v>29.7</v>
      </c>
      <c r="BV178" s="456">
        <v>274.10000000000002</v>
      </c>
      <c r="BW178" s="453">
        <v>1.55</v>
      </c>
      <c r="BX178" s="453">
        <v>1.45</v>
      </c>
      <c r="BY178" s="456">
        <v>1.1200000000000001</v>
      </c>
      <c r="BZ178" s="456">
        <v>14.8</v>
      </c>
      <c r="CA178" s="456">
        <v>36.1</v>
      </c>
      <c r="CB178" s="456">
        <v>13.1</v>
      </c>
      <c r="CC178" s="456">
        <v>8.8000000000000007</v>
      </c>
      <c r="CD178" s="456">
        <v>12.9</v>
      </c>
      <c r="CE178" s="456">
        <v>17.3</v>
      </c>
      <c r="CF178" s="456">
        <v>12.9</v>
      </c>
      <c r="CG178" s="456">
        <v>552.1</v>
      </c>
      <c r="CH178" s="456">
        <v>2.5</v>
      </c>
      <c r="CI178" s="456">
        <v>3.5</v>
      </c>
      <c r="CJ178" s="456">
        <v>635</v>
      </c>
      <c r="CK178" s="456">
        <v>602</v>
      </c>
      <c r="CL178" s="456">
        <v>627.5</v>
      </c>
      <c r="CM178" s="456">
        <v>14.4</v>
      </c>
      <c r="CN178" s="456">
        <v>2.1</v>
      </c>
      <c r="CO178" s="453">
        <v>0</v>
      </c>
      <c r="CP178" s="453">
        <v>16.79</v>
      </c>
      <c r="CQ178" s="453">
        <v>51</v>
      </c>
      <c r="CR178" s="456">
        <v>0</v>
      </c>
      <c r="CS178" s="456">
        <v>0</v>
      </c>
      <c r="CT178" s="456">
        <v>0</v>
      </c>
      <c r="CU178" s="456">
        <v>0</v>
      </c>
      <c r="CV178" s="481">
        <v>1427.0833333333333</v>
      </c>
      <c r="CW178" s="481">
        <v>1870.625</v>
      </c>
      <c r="CX178" s="481">
        <v>1322.2916666666667</v>
      </c>
      <c r="CY178" s="481">
        <v>1166.57</v>
      </c>
      <c r="CZ178" s="456"/>
      <c r="DA178" s="456"/>
      <c r="DB178" s="456"/>
      <c r="DC178" s="456"/>
      <c r="DD178" s="456"/>
      <c r="DE178" s="456"/>
      <c r="DF178" s="456"/>
      <c r="DG178" s="425"/>
      <c r="DH178" s="456">
        <v>0</v>
      </c>
      <c r="DI178" s="456">
        <v>0.44</v>
      </c>
      <c r="DJ178" s="456">
        <v>0.99</v>
      </c>
      <c r="DK178" s="425"/>
      <c r="DL178" s="456"/>
      <c r="DM178" s="456"/>
      <c r="DN178" s="456"/>
      <c r="DO178" s="456"/>
      <c r="DP178" s="456"/>
      <c r="DQ178" s="456"/>
      <c r="DR178" s="456"/>
      <c r="DS178" s="456"/>
      <c r="DT178" s="456"/>
      <c r="DU178" s="456"/>
      <c r="DV178" s="456"/>
      <c r="DW178" s="456"/>
      <c r="DX178" s="456"/>
      <c r="DY178" s="456"/>
      <c r="DZ178" s="456"/>
      <c r="EA178" s="456"/>
      <c r="EB178" s="456"/>
      <c r="EC178" s="456"/>
      <c r="ED178" s="423">
        <v>0</v>
      </c>
      <c r="EE178" s="456">
        <v>0</v>
      </c>
      <c r="EF178" s="456">
        <v>2.5</v>
      </c>
      <c r="EG178" s="456">
        <v>7</v>
      </c>
      <c r="EH178" s="423">
        <v>0</v>
      </c>
      <c r="EI178" s="456"/>
      <c r="EJ178" s="456"/>
      <c r="EK178" s="456"/>
      <c r="EL178" s="456"/>
      <c r="EM178" s="456"/>
      <c r="EN178" s="456"/>
      <c r="EO178" s="425"/>
      <c r="EP178" s="425"/>
      <c r="EQ178" s="425" t="s">
        <v>743</v>
      </c>
      <c r="ER178" s="425">
        <v>1</v>
      </c>
      <c r="ES178" s="425">
        <v>6</v>
      </c>
      <c r="ET178" s="425">
        <v>2090</v>
      </c>
      <c r="EU178" s="457">
        <v>3930</v>
      </c>
      <c r="EV178" s="425">
        <v>285</v>
      </c>
      <c r="EW178" s="425">
        <v>6956106</v>
      </c>
      <c r="EX178" s="425">
        <v>69824</v>
      </c>
      <c r="EY178" s="666">
        <v>19.37</v>
      </c>
      <c r="EZ178" s="666">
        <v>19.37</v>
      </c>
      <c r="FA178" s="666">
        <v>0</v>
      </c>
      <c r="FB178" s="666">
        <v>1.33</v>
      </c>
      <c r="FC178" s="666">
        <v>1.22</v>
      </c>
      <c r="FD178" s="666">
        <v>1.153</v>
      </c>
      <c r="FE178" s="666">
        <v>1.1499999999999999</v>
      </c>
      <c r="FF178" s="666">
        <v>290</v>
      </c>
      <c r="FG178" s="666">
        <v>2.17</v>
      </c>
      <c r="FH178" s="666">
        <v>1.2270000000000001</v>
      </c>
      <c r="FI178" s="666">
        <v>2.2000000000000002</v>
      </c>
      <c r="FJ178" s="666">
        <v>8.1199999999999992</v>
      </c>
      <c r="FK178" s="666">
        <v>8.1999999999999993</v>
      </c>
      <c r="FL178" s="666">
        <v>8.07</v>
      </c>
      <c r="FM178" s="666">
        <v>7.7</v>
      </c>
      <c r="FN178" s="666">
        <v>0</v>
      </c>
    </row>
    <row r="179" spans="1:170" s="416" customFormat="1" ht="15">
      <c r="A179" s="425" t="s">
        <v>5</v>
      </c>
      <c r="B179" s="426">
        <v>40708</v>
      </c>
      <c r="C179" s="418">
        <v>0</v>
      </c>
      <c r="D179" s="518">
        <v>0</v>
      </c>
      <c r="E179" s="453">
        <v>0</v>
      </c>
      <c r="F179" s="453">
        <v>49</v>
      </c>
      <c r="G179" s="453">
        <v>1.5</v>
      </c>
      <c r="H179" s="519">
        <v>2.42</v>
      </c>
      <c r="I179" s="519">
        <v>93</v>
      </c>
      <c r="J179" s="483">
        <v>2.09</v>
      </c>
      <c r="K179" s="520" t="s">
        <v>742</v>
      </c>
      <c r="L179" s="453">
        <v>0</v>
      </c>
      <c r="M179" s="453">
        <v>22.3</v>
      </c>
      <c r="N179" s="453">
        <v>1.6</v>
      </c>
      <c r="O179" s="453">
        <v>2.3461799659035334</v>
      </c>
      <c r="P179" s="453" t="s">
        <v>742</v>
      </c>
      <c r="Q179" s="453" t="s">
        <v>742</v>
      </c>
      <c r="R179" s="453">
        <v>1249.948961690885</v>
      </c>
      <c r="S179" s="453">
        <v>7.87</v>
      </c>
      <c r="T179" s="453" t="s">
        <v>742</v>
      </c>
      <c r="U179" s="453">
        <v>0.65</v>
      </c>
      <c r="V179" s="453" t="s">
        <v>742</v>
      </c>
      <c r="W179" s="453">
        <v>47.480000000000004</v>
      </c>
      <c r="X179" s="456" t="e">
        <v>#VALUE!</v>
      </c>
      <c r="Y179" s="453">
        <v>33.26</v>
      </c>
      <c r="Z179" s="453">
        <v>31.11</v>
      </c>
      <c r="AA179" s="519">
        <v>33.190000000002328</v>
      </c>
      <c r="AB179" s="519">
        <v>30</v>
      </c>
      <c r="AC179" s="732">
        <f t="shared" si="2"/>
        <v>63.190000000002328</v>
      </c>
      <c r="AD179" s="664"/>
      <c r="AE179" s="664"/>
      <c r="AF179" s="664"/>
      <c r="AG179" s="664"/>
      <c r="AH179" s="664"/>
      <c r="AI179" s="664"/>
      <c r="AJ179" s="485"/>
      <c r="AK179" s="485"/>
      <c r="AL179" s="485"/>
      <c r="AM179" s="485"/>
      <c r="AN179" s="485"/>
      <c r="AO179" s="665"/>
      <c r="AP179" s="485"/>
      <c r="AQ179" s="483"/>
      <c r="AR179" s="755">
        <v>0</v>
      </c>
      <c r="AS179" s="483">
        <v>18</v>
      </c>
      <c r="AT179" s="755">
        <v>0</v>
      </c>
      <c r="AU179" s="483">
        <v>34.799999999999997</v>
      </c>
      <c r="AV179" s="484">
        <v>394.9</v>
      </c>
      <c r="AW179" s="484">
        <v>460.1</v>
      </c>
      <c r="AX179" s="453">
        <v>1.3</v>
      </c>
      <c r="AY179" s="734">
        <v>0</v>
      </c>
      <c r="AZ179" s="734">
        <v>0</v>
      </c>
      <c r="BA179" s="734">
        <v>0</v>
      </c>
      <c r="BB179" s="453">
        <v>0</v>
      </c>
      <c r="BC179" s="453">
        <v>0.35</v>
      </c>
      <c r="BD179" s="453">
        <v>1.68</v>
      </c>
      <c r="BE179" s="734">
        <v>0</v>
      </c>
      <c r="BF179" s="453">
        <v>0.49</v>
      </c>
      <c r="BG179" s="453">
        <v>0</v>
      </c>
      <c r="BH179" s="734">
        <v>0</v>
      </c>
      <c r="BI179" s="453">
        <v>0</v>
      </c>
      <c r="BJ179" s="453">
        <v>28.4</v>
      </c>
      <c r="BK179" s="453">
        <v>3.23</v>
      </c>
      <c r="BL179" s="453">
        <v>3.81</v>
      </c>
      <c r="BM179" s="453">
        <v>0</v>
      </c>
      <c r="BN179" s="453">
        <v>21.1</v>
      </c>
      <c r="BO179" s="453">
        <v>1612</v>
      </c>
      <c r="BP179" s="453">
        <v>0</v>
      </c>
      <c r="BQ179" s="453">
        <v>19.3</v>
      </c>
      <c r="BR179" s="453">
        <v>19.2</v>
      </c>
      <c r="BS179" s="453">
        <v>0</v>
      </c>
      <c r="BT179" s="453" t="s">
        <v>756</v>
      </c>
      <c r="BU179" s="453">
        <v>28.7</v>
      </c>
      <c r="BV179" s="456">
        <v>470.2</v>
      </c>
      <c r="BW179" s="453">
        <v>1.2</v>
      </c>
      <c r="BX179" s="453">
        <v>0.65</v>
      </c>
      <c r="BY179" s="456">
        <v>1.1200000000000001</v>
      </c>
      <c r="BZ179" s="456">
        <v>14.9</v>
      </c>
      <c r="CA179" s="456">
        <v>34.5</v>
      </c>
      <c r="CB179" s="456">
        <v>14.5</v>
      </c>
      <c r="CC179" s="456">
        <v>8.6</v>
      </c>
      <c r="CD179" s="456">
        <v>12.9</v>
      </c>
      <c r="CE179" s="456">
        <v>17.100000000000001</v>
      </c>
      <c r="CF179" s="456">
        <v>13.2</v>
      </c>
      <c r="CG179" s="456">
        <v>545.70000000000005</v>
      </c>
      <c r="CH179" s="456">
        <v>2.8</v>
      </c>
      <c r="CI179" s="456">
        <v>3.7</v>
      </c>
      <c r="CJ179" s="456">
        <v>653.4</v>
      </c>
      <c r="CK179" s="456">
        <v>549.1</v>
      </c>
      <c r="CL179" s="456">
        <v>599.5</v>
      </c>
      <c r="CM179" s="456">
        <v>14.6</v>
      </c>
      <c r="CN179" s="456">
        <v>2</v>
      </c>
      <c r="CO179" s="453">
        <v>0</v>
      </c>
      <c r="CP179" s="453">
        <v>16.510000000000002</v>
      </c>
      <c r="CQ179" s="453">
        <v>51</v>
      </c>
      <c r="CR179" s="456">
        <v>0</v>
      </c>
      <c r="CS179" s="456">
        <v>0</v>
      </c>
      <c r="CT179" s="456">
        <v>0</v>
      </c>
      <c r="CU179" s="456">
        <v>0</v>
      </c>
      <c r="CV179" s="481">
        <v>1322.9166666666667</v>
      </c>
      <c r="CW179" s="481">
        <v>1777.0833333333333</v>
      </c>
      <c r="CX179" s="481">
        <v>1208.125</v>
      </c>
      <c r="CY179" s="481">
        <v>1166.83</v>
      </c>
      <c r="CZ179" s="456"/>
      <c r="DA179" s="456"/>
      <c r="DB179" s="456"/>
      <c r="DC179" s="456"/>
      <c r="DD179" s="456"/>
      <c r="DE179" s="456"/>
      <c r="DF179" s="456"/>
      <c r="DG179" s="425"/>
      <c r="DH179" s="456">
        <v>0</v>
      </c>
      <c r="DI179" s="456">
        <v>0.36</v>
      </c>
      <c r="DJ179" s="456">
        <v>0.87</v>
      </c>
      <c r="DK179" s="425"/>
      <c r="DL179" s="456"/>
      <c r="DM179" s="456"/>
      <c r="DN179" s="456"/>
      <c r="DO179" s="456"/>
      <c r="DP179" s="456"/>
      <c r="DQ179" s="456"/>
      <c r="DR179" s="456"/>
      <c r="DS179" s="456"/>
      <c r="DT179" s="456"/>
      <c r="DU179" s="456"/>
      <c r="DV179" s="456"/>
      <c r="DW179" s="456"/>
      <c r="DX179" s="456"/>
      <c r="DY179" s="456"/>
      <c r="DZ179" s="456"/>
      <c r="EA179" s="456"/>
      <c r="EB179" s="456"/>
      <c r="EC179" s="456"/>
      <c r="ED179" s="423">
        <v>0</v>
      </c>
      <c r="EE179" s="456">
        <v>0</v>
      </c>
      <c r="EF179" s="456">
        <v>2.5</v>
      </c>
      <c r="EG179" s="456">
        <v>7</v>
      </c>
      <c r="EH179" s="423">
        <v>0</v>
      </c>
      <c r="EI179" s="456"/>
      <c r="EJ179" s="456"/>
      <c r="EK179" s="456"/>
      <c r="EL179" s="456"/>
      <c r="EM179" s="456"/>
      <c r="EN179" s="456"/>
      <c r="EO179" s="425"/>
      <c r="EP179" s="425"/>
      <c r="EQ179" s="425" t="s">
        <v>743</v>
      </c>
      <c r="ER179" s="425">
        <v>1</v>
      </c>
      <c r="ES179" s="425">
        <v>6</v>
      </c>
      <c r="ET179" s="425">
        <v>1850</v>
      </c>
      <c r="EU179" s="457">
        <v>3930</v>
      </c>
      <c r="EV179" s="425">
        <v>270</v>
      </c>
      <c r="EW179" s="425">
        <v>6959002</v>
      </c>
      <c r="EX179" s="425">
        <v>70880</v>
      </c>
      <c r="EY179" s="666">
        <v>19.5</v>
      </c>
      <c r="EZ179" s="666">
        <v>19.5</v>
      </c>
      <c r="FA179" s="666">
        <v>0</v>
      </c>
      <c r="FB179" s="666">
        <v>1.39</v>
      </c>
      <c r="FC179" s="666">
        <v>1.25</v>
      </c>
      <c r="FD179" s="666">
        <v>1.165</v>
      </c>
      <c r="FE179" s="666">
        <v>1.19</v>
      </c>
      <c r="FF179" s="666">
        <v>240</v>
      </c>
      <c r="FG179" s="666">
        <v>2.02</v>
      </c>
      <c r="FH179" s="666">
        <v>1.1919999999999999</v>
      </c>
      <c r="FI179" s="666">
        <v>2.09</v>
      </c>
      <c r="FJ179" s="666">
        <v>8.14</v>
      </c>
      <c r="FK179" s="666">
        <v>8.1999999999999993</v>
      </c>
      <c r="FL179" s="666">
        <v>8.08</v>
      </c>
      <c r="FM179" s="666">
        <v>7.7</v>
      </c>
      <c r="FN179" s="666">
        <v>0</v>
      </c>
    </row>
    <row r="180" spans="1:170" s="416" customFormat="1" ht="15">
      <c r="A180" s="425" t="s">
        <v>6</v>
      </c>
      <c r="B180" s="426">
        <v>40709</v>
      </c>
      <c r="C180" s="418">
        <v>0</v>
      </c>
      <c r="D180" s="518">
        <v>0</v>
      </c>
      <c r="E180" s="453">
        <v>0</v>
      </c>
      <c r="F180" s="453">
        <v>47</v>
      </c>
      <c r="G180" s="453">
        <v>1.6</v>
      </c>
      <c r="H180" s="519">
        <v>2.58</v>
      </c>
      <c r="I180" s="519">
        <v>92.3</v>
      </c>
      <c r="J180" s="483">
        <v>2.0699999999999998</v>
      </c>
      <c r="K180" s="520" t="s">
        <v>742</v>
      </c>
      <c r="L180" s="453">
        <v>0</v>
      </c>
      <c r="M180" s="453">
        <v>22.3</v>
      </c>
      <c r="N180" s="453">
        <v>1.61</v>
      </c>
      <c r="O180" s="453">
        <v>2.3415010751161955</v>
      </c>
      <c r="P180" s="453" t="s">
        <v>742</v>
      </c>
      <c r="Q180" s="453" t="s">
        <v>742</v>
      </c>
      <c r="R180" s="453">
        <v>1226.9517146631438</v>
      </c>
      <c r="S180" s="453">
        <v>7.89</v>
      </c>
      <c r="T180" s="453" t="s">
        <v>742</v>
      </c>
      <c r="U180" s="453">
        <v>0.62</v>
      </c>
      <c r="V180" s="453" t="s">
        <v>742</v>
      </c>
      <c r="W180" s="453">
        <v>47.84</v>
      </c>
      <c r="X180" s="456" t="e">
        <v>#VALUE!</v>
      </c>
      <c r="Y180" s="453">
        <v>33.35</v>
      </c>
      <c r="Z180" s="453">
        <v>30.91</v>
      </c>
      <c r="AA180" s="519">
        <v>33.210000000006403</v>
      </c>
      <c r="AB180" s="519">
        <v>29.91</v>
      </c>
      <c r="AC180" s="732">
        <f t="shared" si="2"/>
        <v>63.120000000006399</v>
      </c>
      <c r="AD180" s="664"/>
      <c r="AE180" s="664"/>
      <c r="AF180" s="664"/>
      <c r="AG180" s="664"/>
      <c r="AH180" s="664"/>
      <c r="AI180" s="664"/>
      <c r="AJ180" s="485"/>
      <c r="AK180" s="485"/>
      <c r="AL180" s="485"/>
      <c r="AM180" s="485"/>
      <c r="AN180" s="485"/>
      <c r="AO180" s="665"/>
      <c r="AP180" s="485"/>
      <c r="AQ180" s="483"/>
      <c r="AR180" s="755">
        <v>0</v>
      </c>
      <c r="AS180" s="483">
        <v>28.9</v>
      </c>
      <c r="AT180" s="755">
        <v>0</v>
      </c>
      <c r="AU180" s="483">
        <v>34.799999999999997</v>
      </c>
      <c r="AV180" s="484">
        <v>418.7</v>
      </c>
      <c r="AW180" s="484">
        <v>472.7</v>
      </c>
      <c r="AX180" s="453">
        <v>0.2</v>
      </c>
      <c r="AY180" s="734">
        <v>0</v>
      </c>
      <c r="AZ180" s="734">
        <v>0</v>
      </c>
      <c r="BA180" s="734">
        <v>0</v>
      </c>
      <c r="BB180" s="453">
        <v>0</v>
      </c>
      <c r="BC180" s="453">
        <v>0.33</v>
      </c>
      <c r="BD180" s="453">
        <v>1.69</v>
      </c>
      <c r="BE180" s="734">
        <v>0</v>
      </c>
      <c r="BF180" s="453">
        <v>0.56000000000000005</v>
      </c>
      <c r="BG180" s="453">
        <v>0</v>
      </c>
      <c r="BH180" s="734">
        <v>0</v>
      </c>
      <c r="BI180" s="453">
        <v>0</v>
      </c>
      <c r="BJ180" s="453">
        <v>27.4</v>
      </c>
      <c r="BK180" s="453">
        <v>3.25</v>
      </c>
      <c r="BL180" s="453">
        <v>3.8</v>
      </c>
      <c r="BM180" s="453">
        <v>0</v>
      </c>
      <c r="BN180" s="453">
        <v>20.2</v>
      </c>
      <c r="BO180" s="453">
        <v>1773.7</v>
      </c>
      <c r="BP180" s="453">
        <v>0</v>
      </c>
      <c r="BQ180" s="453">
        <v>19.600000000000001</v>
      </c>
      <c r="BR180" s="453">
        <v>19.5</v>
      </c>
      <c r="BS180" s="453">
        <v>0</v>
      </c>
      <c r="BT180" s="453" t="s">
        <v>756</v>
      </c>
      <c r="BU180" s="453">
        <v>29.3</v>
      </c>
      <c r="BV180" s="456">
        <v>1230</v>
      </c>
      <c r="BW180" s="453">
        <v>1.9</v>
      </c>
      <c r="BX180" s="453" t="s">
        <v>756</v>
      </c>
      <c r="BY180" s="456">
        <v>1.1299999999999999</v>
      </c>
      <c r="BZ180" s="456">
        <v>15.3</v>
      </c>
      <c r="CA180" s="456">
        <v>32.700000000000003</v>
      </c>
      <c r="CB180" s="456">
        <v>14.1</v>
      </c>
      <c r="CC180" s="456">
        <v>8.26</v>
      </c>
      <c r="CD180" s="456">
        <v>12.4</v>
      </c>
      <c r="CE180" s="456">
        <v>16.7</v>
      </c>
      <c r="CF180" s="456">
        <v>13.3</v>
      </c>
      <c r="CG180" s="456">
        <v>580</v>
      </c>
      <c r="CH180" s="456">
        <v>2.2999999999999998</v>
      </c>
      <c r="CI180" s="456">
        <v>3.8</v>
      </c>
      <c r="CJ180" s="456">
        <v>622.6</v>
      </c>
      <c r="CK180" s="456">
        <v>574.70000000000005</v>
      </c>
      <c r="CL180" s="456">
        <v>620.5</v>
      </c>
      <c r="CM180" s="456">
        <v>14.8</v>
      </c>
      <c r="CN180" s="456">
        <v>2.1</v>
      </c>
      <c r="CO180" s="453">
        <v>0.46</v>
      </c>
      <c r="CP180" s="453">
        <v>17.02</v>
      </c>
      <c r="CQ180" s="453">
        <v>51</v>
      </c>
      <c r="CR180" s="456">
        <v>0</v>
      </c>
      <c r="CS180" s="456">
        <v>0</v>
      </c>
      <c r="CT180" s="456">
        <v>0</v>
      </c>
      <c r="CU180" s="456">
        <v>0</v>
      </c>
      <c r="CV180" s="481">
        <v>1370</v>
      </c>
      <c r="CW180" s="481">
        <v>1732.0833333333333</v>
      </c>
      <c r="CX180" s="481">
        <v>1258.5416666666667</v>
      </c>
      <c r="CY180" s="481">
        <v>1167.07</v>
      </c>
      <c r="CZ180" s="456"/>
      <c r="DA180" s="456"/>
      <c r="DB180" s="456"/>
      <c r="DC180" s="456"/>
      <c r="DD180" s="456"/>
      <c r="DE180" s="456"/>
      <c r="DF180" s="456"/>
      <c r="DG180" s="425"/>
      <c r="DH180" s="456">
        <v>2</v>
      </c>
      <c r="DI180" s="456">
        <v>0.33</v>
      </c>
      <c r="DJ180" s="456">
        <v>1.0900000000000001</v>
      </c>
      <c r="DK180" s="425"/>
      <c r="DL180" s="456"/>
      <c r="DM180" s="456"/>
      <c r="DN180" s="456"/>
      <c r="DO180" s="456"/>
      <c r="DP180" s="456"/>
      <c r="DQ180" s="456"/>
      <c r="DR180" s="456"/>
      <c r="DS180" s="456"/>
      <c r="DT180" s="456"/>
      <c r="DU180" s="456"/>
      <c r="DV180" s="456"/>
      <c r="DW180" s="456"/>
      <c r="DX180" s="456"/>
      <c r="DY180" s="456"/>
      <c r="DZ180" s="456"/>
      <c r="EA180" s="456"/>
      <c r="EB180" s="456"/>
      <c r="EC180" s="456"/>
      <c r="ED180" s="423">
        <v>0</v>
      </c>
      <c r="EE180" s="456">
        <v>0</v>
      </c>
      <c r="EF180" s="456">
        <v>2.5</v>
      </c>
      <c r="EG180" s="456">
        <v>7</v>
      </c>
      <c r="EH180" s="423">
        <v>0</v>
      </c>
      <c r="EI180" s="456"/>
      <c r="EJ180" s="456"/>
      <c r="EK180" s="456"/>
      <c r="EL180" s="456"/>
      <c r="EM180" s="456"/>
      <c r="EN180" s="456"/>
      <c r="EO180" s="425"/>
      <c r="EP180" s="425"/>
      <c r="EQ180" s="425" t="s">
        <v>743</v>
      </c>
      <c r="ER180" s="425">
        <v>1</v>
      </c>
      <c r="ES180" s="425">
        <v>6</v>
      </c>
      <c r="ET180" s="425">
        <v>1570</v>
      </c>
      <c r="EU180" s="457">
        <v>3930</v>
      </c>
      <c r="EV180" s="425">
        <v>340</v>
      </c>
      <c r="EW180" s="425">
        <v>6962012</v>
      </c>
      <c r="EX180" s="425">
        <v>71895</v>
      </c>
      <c r="EY180" s="769">
        <v>19.440000000000001</v>
      </c>
      <c r="EZ180" s="769">
        <v>19.420000000000002</v>
      </c>
      <c r="FA180" s="666">
        <v>0</v>
      </c>
      <c r="FB180" s="666">
        <v>1.39</v>
      </c>
      <c r="FC180" s="666">
        <v>1.28</v>
      </c>
      <c r="FD180" s="666">
        <v>1.115</v>
      </c>
      <c r="FE180" s="666">
        <v>1.18</v>
      </c>
      <c r="FF180" s="666">
        <v>280</v>
      </c>
      <c r="FG180" s="666">
        <v>2.09</v>
      </c>
      <c r="FH180" s="666">
        <v>1.1970000000000001</v>
      </c>
      <c r="FI180" s="666">
        <v>1.99</v>
      </c>
      <c r="FJ180" s="666">
        <v>8.1300000000000008</v>
      </c>
      <c r="FK180" s="666">
        <v>8.1999999999999993</v>
      </c>
      <c r="FL180" s="666">
        <v>8.06</v>
      </c>
      <c r="FM180" s="666">
        <v>7.7</v>
      </c>
      <c r="FN180" s="666">
        <v>0</v>
      </c>
    </row>
    <row r="181" spans="1:170" s="416" customFormat="1" ht="15">
      <c r="A181" s="425" t="s">
        <v>7</v>
      </c>
      <c r="B181" s="426">
        <v>40710</v>
      </c>
      <c r="C181" s="418">
        <v>0</v>
      </c>
      <c r="D181" s="518">
        <v>0</v>
      </c>
      <c r="E181" s="453">
        <v>0</v>
      </c>
      <c r="F181" s="453">
        <v>53</v>
      </c>
      <c r="G181" s="453">
        <v>1.5</v>
      </c>
      <c r="H181" s="519">
        <v>2.2999999999999998</v>
      </c>
      <c r="I181" s="519">
        <v>92.8</v>
      </c>
      <c r="J181" s="483">
        <v>1.93</v>
      </c>
      <c r="K181" s="520" t="s">
        <v>742</v>
      </c>
      <c r="L181" s="453">
        <v>0</v>
      </c>
      <c r="M181" s="453">
        <v>22.1</v>
      </c>
      <c r="N181" s="453">
        <v>1.66</v>
      </c>
      <c r="O181" s="453">
        <v>2.270386318674114</v>
      </c>
      <c r="P181" s="453" t="s">
        <v>742</v>
      </c>
      <c r="Q181" s="453" t="s">
        <v>742</v>
      </c>
      <c r="R181" s="453">
        <v>1184.1962694848082</v>
      </c>
      <c r="S181" s="453">
        <v>7.9</v>
      </c>
      <c r="T181" s="453" t="s">
        <v>742</v>
      </c>
      <c r="U181" s="453">
        <v>0.66</v>
      </c>
      <c r="V181" s="453" t="s">
        <v>742</v>
      </c>
      <c r="W181" s="453">
        <v>47.84</v>
      </c>
      <c r="X181" s="456" t="e">
        <v>#VALUE!</v>
      </c>
      <c r="Y181" s="453">
        <v>33.520000000000003</v>
      </c>
      <c r="Z181" s="453">
        <v>29.32</v>
      </c>
      <c r="AA181" s="519">
        <v>33.5</v>
      </c>
      <c r="AB181" s="519">
        <v>29.05</v>
      </c>
      <c r="AC181" s="732">
        <f t="shared" si="2"/>
        <v>62.55</v>
      </c>
      <c r="AD181" s="664"/>
      <c r="AE181" s="664"/>
      <c r="AF181" s="664"/>
      <c r="AG181" s="664"/>
      <c r="AH181" s="664"/>
      <c r="AI181" s="664"/>
      <c r="AJ181" s="485"/>
      <c r="AK181" s="485"/>
      <c r="AL181" s="485"/>
      <c r="AM181" s="485"/>
      <c r="AN181" s="485"/>
      <c r="AO181" s="665"/>
      <c r="AP181" s="485"/>
      <c r="AQ181" s="483"/>
      <c r="AR181" s="755">
        <v>0</v>
      </c>
      <c r="AS181" s="483">
        <v>18.2</v>
      </c>
      <c r="AT181" s="755">
        <v>0</v>
      </c>
      <c r="AU181" s="483">
        <v>34.9</v>
      </c>
      <c r="AV181" s="484">
        <v>435.9</v>
      </c>
      <c r="AW181" s="484">
        <v>482.2</v>
      </c>
      <c r="AX181" s="453">
        <v>0.2</v>
      </c>
      <c r="AY181" s="734">
        <v>0</v>
      </c>
      <c r="AZ181" s="734">
        <v>0</v>
      </c>
      <c r="BA181" s="734">
        <v>0</v>
      </c>
      <c r="BB181" s="453">
        <v>0</v>
      </c>
      <c r="BC181" s="453">
        <v>0.5</v>
      </c>
      <c r="BD181" s="453">
        <v>1.52</v>
      </c>
      <c r="BE181" s="734">
        <v>0</v>
      </c>
      <c r="BF181" s="453">
        <v>0.5</v>
      </c>
      <c r="BG181" s="453">
        <v>0</v>
      </c>
      <c r="BH181" s="734">
        <v>0</v>
      </c>
      <c r="BI181" s="453">
        <v>0</v>
      </c>
      <c r="BJ181" s="453">
        <v>26.5</v>
      </c>
      <c r="BK181" s="453">
        <v>3.26</v>
      </c>
      <c r="BL181" s="453">
        <v>3.8</v>
      </c>
      <c r="BM181" s="453">
        <v>0</v>
      </c>
      <c r="BN181" s="453">
        <v>19.3</v>
      </c>
      <c r="BO181" s="453">
        <v>1937.2</v>
      </c>
      <c r="BP181" s="453">
        <v>0</v>
      </c>
      <c r="BQ181" s="453">
        <v>19.7</v>
      </c>
      <c r="BR181" s="453">
        <v>19.7</v>
      </c>
      <c r="BS181" s="453">
        <v>0</v>
      </c>
      <c r="BT181" s="453" t="s">
        <v>756</v>
      </c>
      <c r="BU181" s="453">
        <v>34.799999999999997</v>
      </c>
      <c r="BV181" s="456">
        <v>1262.2</v>
      </c>
      <c r="BW181" s="453">
        <v>1.75</v>
      </c>
      <c r="BX181" s="453" t="s">
        <v>756</v>
      </c>
      <c r="BY181" s="456">
        <v>1.1299999999999999</v>
      </c>
      <c r="BZ181" s="456">
        <v>14.6</v>
      </c>
      <c r="CA181" s="456">
        <v>33.200000000000003</v>
      </c>
      <c r="CB181" s="456">
        <v>12.6</v>
      </c>
      <c r="CC181" s="456">
        <v>8.5</v>
      </c>
      <c r="CD181" s="456">
        <v>12.6</v>
      </c>
      <c r="CE181" s="456">
        <v>16.899999999999999</v>
      </c>
      <c r="CF181" s="456">
        <v>12.9</v>
      </c>
      <c r="CG181" s="456">
        <v>538</v>
      </c>
      <c r="CH181" s="456">
        <v>2.8</v>
      </c>
      <c r="CI181" s="456">
        <v>3.6</v>
      </c>
      <c r="CJ181" s="456">
        <v>740.1</v>
      </c>
      <c r="CK181" s="456">
        <v>623.4</v>
      </c>
      <c r="CL181" s="456">
        <v>619.4</v>
      </c>
      <c r="CM181" s="456">
        <v>14.2</v>
      </c>
      <c r="CN181" s="456">
        <v>2</v>
      </c>
      <c r="CO181" s="453">
        <v>0</v>
      </c>
      <c r="CP181" s="453">
        <v>16.2</v>
      </c>
      <c r="CQ181" s="453">
        <v>51</v>
      </c>
      <c r="CR181" s="456">
        <v>0</v>
      </c>
      <c r="CS181" s="456">
        <v>0</v>
      </c>
      <c r="CT181" s="456">
        <v>0</v>
      </c>
      <c r="CU181" s="456">
        <v>0</v>
      </c>
      <c r="CV181" s="481">
        <v>1326.1111111111111</v>
      </c>
      <c r="CW181" s="481">
        <v>1728.0208333333333</v>
      </c>
      <c r="CX181" s="481">
        <v>1193.5416666666667</v>
      </c>
      <c r="CY181" s="481">
        <v>1167.1400000000001</v>
      </c>
      <c r="CZ181" s="456"/>
      <c r="DA181" s="456"/>
      <c r="DB181" s="456"/>
      <c r="DC181" s="456"/>
      <c r="DD181" s="456"/>
      <c r="DE181" s="456"/>
      <c r="DF181" s="456"/>
      <c r="DG181" s="425"/>
      <c r="DH181" s="456">
        <v>0</v>
      </c>
      <c r="DI181" s="456">
        <v>0.34</v>
      </c>
      <c r="DJ181" s="456">
        <v>1.06</v>
      </c>
      <c r="DK181" s="425"/>
      <c r="DL181" s="456"/>
      <c r="DM181" s="456"/>
      <c r="DN181" s="456"/>
      <c r="DO181" s="456"/>
      <c r="DP181" s="456"/>
      <c r="DQ181" s="456"/>
      <c r="DR181" s="456"/>
      <c r="DS181" s="456"/>
      <c r="DT181" s="456"/>
      <c r="DU181" s="456"/>
      <c r="DV181" s="456"/>
      <c r="DW181" s="456"/>
      <c r="DX181" s="456"/>
      <c r="DY181" s="456"/>
      <c r="DZ181" s="456"/>
      <c r="EA181" s="456"/>
      <c r="EB181" s="456"/>
      <c r="EC181" s="456"/>
      <c r="ED181" s="423">
        <v>0</v>
      </c>
      <c r="EE181" s="456">
        <v>0</v>
      </c>
      <c r="EF181" s="456">
        <v>2.5</v>
      </c>
      <c r="EG181" s="456">
        <v>7</v>
      </c>
      <c r="EH181" s="423">
        <v>0</v>
      </c>
      <c r="EI181" s="456"/>
      <c r="EJ181" s="456"/>
      <c r="EK181" s="456"/>
      <c r="EL181" s="456"/>
      <c r="EM181" s="456"/>
      <c r="EN181" s="456"/>
      <c r="EO181" s="425"/>
      <c r="EP181" s="425"/>
      <c r="EQ181" s="425" t="s">
        <v>743</v>
      </c>
      <c r="ER181" s="425">
        <v>2</v>
      </c>
      <c r="ES181" s="425">
        <v>6</v>
      </c>
      <c r="ET181" s="425">
        <v>1280</v>
      </c>
      <c r="EU181" s="457">
        <v>3930</v>
      </c>
      <c r="EV181" s="425">
        <v>385</v>
      </c>
      <c r="EW181" s="425">
        <v>6965423</v>
      </c>
      <c r="EX181" s="425">
        <v>72865</v>
      </c>
      <c r="EY181" s="666">
        <v>18.53</v>
      </c>
      <c r="EZ181" s="666">
        <v>18.510000000000002</v>
      </c>
      <c r="FA181" s="666">
        <v>0</v>
      </c>
      <c r="FB181" s="666">
        <v>1.42</v>
      </c>
      <c r="FC181" s="666">
        <v>1.3</v>
      </c>
      <c r="FD181" s="666">
        <v>1.22</v>
      </c>
      <c r="FE181" s="666">
        <v>1.24</v>
      </c>
      <c r="FF181" s="666">
        <v>290</v>
      </c>
      <c r="FG181" s="666">
        <v>2.0099999999999998</v>
      </c>
      <c r="FH181" s="666">
        <v>1.123</v>
      </c>
      <c r="FI181" s="666">
        <v>1.93</v>
      </c>
      <c r="FJ181" s="666">
        <v>8.19</v>
      </c>
      <c r="FK181" s="666">
        <v>7.9</v>
      </c>
      <c r="FL181" s="666">
        <v>8.07</v>
      </c>
      <c r="FM181" s="666">
        <v>8</v>
      </c>
      <c r="FN181" s="666">
        <v>0</v>
      </c>
    </row>
    <row r="182" spans="1:170" s="416" customFormat="1" ht="15">
      <c r="A182" s="425" t="s">
        <v>8</v>
      </c>
      <c r="B182" s="426">
        <v>40711</v>
      </c>
      <c r="C182" s="418">
        <v>0</v>
      </c>
      <c r="D182" s="518">
        <v>0</v>
      </c>
      <c r="E182" s="453">
        <v>0</v>
      </c>
      <c r="F182" s="453">
        <v>55</v>
      </c>
      <c r="G182" s="453">
        <v>1.6</v>
      </c>
      <c r="H182" s="519">
        <v>2.1</v>
      </c>
      <c r="I182" s="519">
        <v>93.3</v>
      </c>
      <c r="J182" s="483">
        <v>1.8</v>
      </c>
      <c r="K182" s="520" t="s">
        <v>742</v>
      </c>
      <c r="L182" s="453">
        <v>0</v>
      </c>
      <c r="M182" s="453">
        <v>22</v>
      </c>
      <c r="N182" s="453">
        <v>1.7</v>
      </c>
      <c r="O182" s="453">
        <v>2.2485871377911035</v>
      </c>
      <c r="P182" s="453" t="s">
        <v>742</v>
      </c>
      <c r="Q182" s="453" t="s">
        <v>742</v>
      </c>
      <c r="R182" s="453">
        <v>1157.636068692206</v>
      </c>
      <c r="S182" s="453">
        <v>7.9</v>
      </c>
      <c r="T182" s="453" t="s">
        <v>742</v>
      </c>
      <c r="U182" s="453">
        <v>0.7</v>
      </c>
      <c r="V182" s="453" t="s">
        <v>742</v>
      </c>
      <c r="W182" s="453">
        <v>50.539999999999992</v>
      </c>
      <c r="X182" s="456" t="e">
        <v>#VALUE!</v>
      </c>
      <c r="Y182" s="453">
        <v>33.36</v>
      </c>
      <c r="Z182" s="453">
        <v>29.76</v>
      </c>
      <c r="AA182" s="519">
        <v>33.099999999991269</v>
      </c>
      <c r="AB182" s="519">
        <v>28.889999999999418</v>
      </c>
      <c r="AC182" s="732">
        <f t="shared" si="2"/>
        <v>61.989999999990687</v>
      </c>
      <c r="AD182" s="664"/>
      <c r="AE182" s="664"/>
      <c r="AF182" s="664"/>
      <c r="AG182" s="664"/>
      <c r="AH182" s="664"/>
      <c r="AI182" s="664"/>
      <c r="AJ182" s="485"/>
      <c r="AK182" s="485"/>
      <c r="AL182" s="485"/>
      <c r="AM182" s="485"/>
      <c r="AN182" s="485"/>
      <c r="AO182" s="665"/>
      <c r="AP182" s="485"/>
      <c r="AQ182" s="483"/>
      <c r="AR182" s="755">
        <v>0</v>
      </c>
      <c r="AS182" s="483">
        <v>26</v>
      </c>
      <c r="AT182" s="755">
        <v>0</v>
      </c>
      <c r="AU182" s="483">
        <v>34.9</v>
      </c>
      <c r="AV182" s="484">
        <v>523.6</v>
      </c>
      <c r="AW182" s="484">
        <v>590.29999999999995</v>
      </c>
      <c r="AX182" s="453">
        <v>2.2000000000000002</v>
      </c>
      <c r="AY182" s="734">
        <v>0</v>
      </c>
      <c r="AZ182" s="734">
        <v>0</v>
      </c>
      <c r="BA182" s="734">
        <v>0</v>
      </c>
      <c r="BB182" s="453">
        <v>0</v>
      </c>
      <c r="BC182" s="453">
        <v>0.5</v>
      </c>
      <c r="BD182" s="453">
        <v>1.52</v>
      </c>
      <c r="BE182" s="734">
        <v>0</v>
      </c>
      <c r="BF182" s="453">
        <v>0.55000000000000004</v>
      </c>
      <c r="BG182" s="453">
        <v>0</v>
      </c>
      <c r="BH182" s="734">
        <v>0</v>
      </c>
      <c r="BI182" s="453">
        <v>0</v>
      </c>
      <c r="BJ182" s="453">
        <v>26.5</v>
      </c>
      <c r="BK182" s="453">
        <v>3.24</v>
      </c>
      <c r="BL182" s="453">
        <v>3.8</v>
      </c>
      <c r="BM182" s="453">
        <v>0</v>
      </c>
      <c r="BN182" s="453">
        <v>19.3</v>
      </c>
      <c r="BO182" s="453">
        <v>2193.1999999999998</v>
      </c>
      <c r="BP182" s="453">
        <v>0</v>
      </c>
      <c r="BQ182" s="453">
        <v>18.899999999999999</v>
      </c>
      <c r="BR182" s="453">
        <v>18.899999999999999</v>
      </c>
      <c r="BS182" s="453">
        <v>0</v>
      </c>
      <c r="BT182" s="453" t="s">
        <v>756</v>
      </c>
      <c r="BU182" s="453">
        <v>34.6</v>
      </c>
      <c r="BV182" s="456">
        <v>823.9</v>
      </c>
      <c r="BW182" s="453">
        <v>1.81</v>
      </c>
      <c r="BX182" s="453" t="s">
        <v>756</v>
      </c>
      <c r="BY182" s="456">
        <v>1.1299999999999999</v>
      </c>
      <c r="BZ182" s="456">
        <v>15.1</v>
      </c>
      <c r="CA182" s="456">
        <v>35.4</v>
      </c>
      <c r="CB182" s="456">
        <v>14.8</v>
      </c>
      <c r="CC182" s="456">
        <v>8.6999999999999993</v>
      </c>
      <c r="CD182" s="456">
        <v>12.9</v>
      </c>
      <c r="CE182" s="456">
        <v>16.95</v>
      </c>
      <c r="CF182" s="456">
        <v>13</v>
      </c>
      <c r="CG182" s="456">
        <v>559</v>
      </c>
      <c r="CH182" s="456">
        <v>2.7</v>
      </c>
      <c r="CI182" s="456">
        <v>4.3</v>
      </c>
      <c r="CJ182" s="456">
        <v>871.1</v>
      </c>
      <c r="CK182" s="456">
        <v>753.8</v>
      </c>
      <c r="CL182" s="456">
        <v>657.5</v>
      </c>
      <c r="CM182" s="456">
        <v>14.6</v>
      </c>
      <c r="CN182" s="456">
        <v>1.6</v>
      </c>
      <c r="CO182" s="453">
        <v>0</v>
      </c>
      <c r="CP182" s="453">
        <v>16.920000000000002</v>
      </c>
      <c r="CQ182" s="453">
        <v>52</v>
      </c>
      <c r="CR182" s="456">
        <v>0</v>
      </c>
      <c r="CS182" s="456">
        <v>0</v>
      </c>
      <c r="CT182" s="456">
        <v>0</v>
      </c>
      <c r="CU182" s="456">
        <v>0</v>
      </c>
      <c r="CV182" s="481">
        <v>1261.6666666666667</v>
      </c>
      <c r="CW182" s="481">
        <v>1619.5833333333333</v>
      </c>
      <c r="CX182" s="481">
        <v>1163.0208333333333</v>
      </c>
      <c r="CY182" s="481">
        <v>1167.04</v>
      </c>
      <c r="CZ182" s="456"/>
      <c r="DA182" s="456"/>
      <c r="DB182" s="456"/>
      <c r="DC182" s="456"/>
      <c r="DD182" s="456"/>
      <c r="DE182" s="456"/>
      <c r="DF182" s="456"/>
      <c r="DG182" s="425"/>
      <c r="DH182" s="456">
        <v>0</v>
      </c>
      <c r="DI182" s="456">
        <v>0.34</v>
      </c>
      <c r="DJ182" s="456">
        <v>1.28</v>
      </c>
      <c r="DK182" s="425"/>
      <c r="DL182" s="456"/>
      <c r="DM182" s="456"/>
      <c r="DN182" s="456"/>
      <c r="DO182" s="456"/>
      <c r="DP182" s="456"/>
      <c r="DQ182" s="456"/>
      <c r="DR182" s="456"/>
      <c r="DS182" s="456"/>
      <c r="DT182" s="456"/>
      <c r="DU182" s="456"/>
      <c r="DV182" s="456"/>
      <c r="DW182" s="456"/>
      <c r="DX182" s="456"/>
      <c r="DY182" s="456"/>
      <c r="DZ182" s="456"/>
      <c r="EA182" s="456"/>
      <c r="EB182" s="456"/>
      <c r="EC182" s="456"/>
      <c r="ED182" s="423">
        <v>0</v>
      </c>
      <c r="EE182" s="456">
        <v>0</v>
      </c>
      <c r="EF182" s="456">
        <v>2.5</v>
      </c>
      <c r="EG182" s="456">
        <v>7</v>
      </c>
      <c r="EH182" s="423">
        <v>0</v>
      </c>
      <c r="EI182" s="456"/>
      <c r="EJ182" s="456"/>
      <c r="EK182" s="456"/>
      <c r="EL182" s="456"/>
      <c r="EM182" s="456"/>
      <c r="EN182" s="456"/>
      <c r="EO182" s="425"/>
      <c r="EP182" s="425"/>
      <c r="EQ182" s="425" t="s">
        <v>743</v>
      </c>
      <c r="ER182" s="425">
        <v>1</v>
      </c>
      <c r="ES182" s="425">
        <v>6</v>
      </c>
      <c r="ET182" s="425">
        <v>975</v>
      </c>
      <c r="EU182" s="457">
        <v>3930</v>
      </c>
      <c r="EV182" s="425">
        <v>300</v>
      </c>
      <c r="EW182" s="425">
        <v>6969285</v>
      </c>
      <c r="EX182" s="425">
        <v>73899</v>
      </c>
      <c r="EY182" s="666">
        <v>17.61</v>
      </c>
      <c r="EZ182" s="666">
        <v>17.600000000000001</v>
      </c>
      <c r="FA182" s="666">
        <v>0</v>
      </c>
      <c r="FB182" s="666">
        <v>1.44</v>
      </c>
      <c r="FC182" s="666">
        <v>1.41</v>
      </c>
      <c r="FD182" s="666">
        <v>1.1240000000000001</v>
      </c>
      <c r="FE182" s="666">
        <v>1.1399999999999999</v>
      </c>
      <c r="FF182" s="666">
        <v>305</v>
      </c>
      <c r="FG182" s="666">
        <v>1.82</v>
      </c>
      <c r="FH182" s="666">
        <v>1.0609999999999999</v>
      </c>
      <c r="FI182" s="666">
        <v>1.77</v>
      </c>
      <c r="FJ182" s="666">
        <v>8.14</v>
      </c>
      <c r="FK182" s="666">
        <v>8.1</v>
      </c>
      <c r="FL182" s="666">
        <v>8.15</v>
      </c>
      <c r="FM182" s="666">
        <v>7.6</v>
      </c>
      <c r="FN182" s="666">
        <v>0</v>
      </c>
    </row>
    <row r="183" spans="1:170" s="416" customFormat="1" ht="15">
      <c r="A183" s="425" t="s">
        <v>9</v>
      </c>
      <c r="B183" s="426">
        <v>40712</v>
      </c>
      <c r="C183" s="418">
        <v>0</v>
      </c>
      <c r="D183" s="518">
        <v>1.9</v>
      </c>
      <c r="E183" s="453">
        <v>0</v>
      </c>
      <c r="F183" s="453">
        <v>52</v>
      </c>
      <c r="G183" s="453">
        <v>1.6</v>
      </c>
      <c r="H183" s="519">
        <v>2.2000000000000002</v>
      </c>
      <c r="I183" s="519">
        <v>92.7</v>
      </c>
      <c r="J183" s="483">
        <v>1.8</v>
      </c>
      <c r="K183" s="520" t="s">
        <v>742</v>
      </c>
      <c r="L183" s="453">
        <v>0</v>
      </c>
      <c r="M183" s="453">
        <v>22</v>
      </c>
      <c r="N183" s="453">
        <v>1.7</v>
      </c>
      <c r="O183" s="453">
        <v>2.2424302898614576</v>
      </c>
      <c r="P183" s="453" t="s">
        <v>742</v>
      </c>
      <c r="Q183" s="453" t="s">
        <v>742</v>
      </c>
      <c r="R183" s="453">
        <v>1161.1990224570673</v>
      </c>
      <c r="S183" s="453">
        <v>7.9</v>
      </c>
      <c r="T183" s="453" t="s">
        <v>742</v>
      </c>
      <c r="U183" s="453">
        <v>0.7</v>
      </c>
      <c r="V183" s="453" t="s">
        <v>742</v>
      </c>
      <c r="W183" s="453">
        <v>51.44</v>
      </c>
      <c r="X183" s="456" t="e">
        <v>#VALUE!</v>
      </c>
      <c r="Y183" s="453">
        <v>33.6</v>
      </c>
      <c r="Z183" s="453">
        <v>29.1</v>
      </c>
      <c r="AA183" s="519">
        <v>33.30000000000291</v>
      </c>
      <c r="AB183" s="519">
        <v>29.030000000006112</v>
      </c>
      <c r="AC183" s="732">
        <f t="shared" si="2"/>
        <v>62.330000000009022</v>
      </c>
      <c r="AD183" s="664"/>
      <c r="AE183" s="664"/>
      <c r="AF183" s="664"/>
      <c r="AG183" s="664"/>
      <c r="AH183" s="664"/>
      <c r="AI183" s="664"/>
      <c r="AJ183" s="485"/>
      <c r="AK183" s="485"/>
      <c r="AL183" s="485"/>
      <c r="AM183" s="485"/>
      <c r="AN183" s="485"/>
      <c r="AO183" s="665"/>
      <c r="AP183" s="485"/>
      <c r="AQ183" s="483"/>
      <c r="AR183" s="755">
        <v>0</v>
      </c>
      <c r="AS183" s="483">
        <v>28.3</v>
      </c>
      <c r="AT183" s="755">
        <v>0</v>
      </c>
      <c r="AU183" s="483">
        <v>34.9</v>
      </c>
      <c r="AV183" s="484">
        <v>427.5</v>
      </c>
      <c r="AW183" s="484">
        <v>487</v>
      </c>
      <c r="AX183" s="453">
        <v>0</v>
      </c>
      <c r="AY183" s="734">
        <v>0</v>
      </c>
      <c r="AZ183" s="734">
        <v>0</v>
      </c>
      <c r="BA183" s="734">
        <v>0</v>
      </c>
      <c r="BB183" s="453">
        <v>0</v>
      </c>
      <c r="BC183" s="453">
        <v>0.49</v>
      </c>
      <c r="BD183" s="453">
        <v>1.52</v>
      </c>
      <c r="BE183" s="734">
        <v>0</v>
      </c>
      <c r="BF183" s="453">
        <v>0.5</v>
      </c>
      <c r="BG183" s="453">
        <v>0</v>
      </c>
      <c r="BH183" s="734">
        <v>0</v>
      </c>
      <c r="BI183" s="453">
        <v>0</v>
      </c>
      <c r="BJ183" s="453">
        <v>26.5</v>
      </c>
      <c r="BK183" s="453">
        <v>3.25</v>
      </c>
      <c r="BL183" s="453">
        <v>3.8</v>
      </c>
      <c r="BM183" s="453">
        <v>0</v>
      </c>
      <c r="BN183" s="453">
        <v>19.3</v>
      </c>
      <c r="BO183" s="453">
        <v>1590.9</v>
      </c>
      <c r="BP183" s="453">
        <v>0</v>
      </c>
      <c r="BQ183" s="453">
        <v>18</v>
      </c>
      <c r="BR183" s="453">
        <v>18</v>
      </c>
      <c r="BS183" s="453">
        <v>0</v>
      </c>
      <c r="BT183" s="453" t="s">
        <v>756</v>
      </c>
      <c r="BU183" s="453">
        <v>31.1</v>
      </c>
      <c r="BV183" s="456">
        <v>730</v>
      </c>
      <c r="BW183" s="453">
        <v>1.1000000000000001</v>
      </c>
      <c r="BX183" s="453" t="s">
        <v>756</v>
      </c>
      <c r="BY183" s="456">
        <v>1.1399999999999999</v>
      </c>
      <c r="BZ183" s="456">
        <v>15</v>
      </c>
      <c r="CA183" s="456">
        <v>36.4</v>
      </c>
      <c r="CB183" s="456">
        <v>12.6</v>
      </c>
      <c r="CC183" s="456">
        <v>9.1999999999999993</v>
      </c>
      <c r="CD183" s="456">
        <v>13.5</v>
      </c>
      <c r="CE183" s="456">
        <v>17.73</v>
      </c>
      <c r="CF183" s="456">
        <v>12.95</v>
      </c>
      <c r="CG183" s="456">
        <v>220</v>
      </c>
      <c r="CH183" s="456">
        <v>3.2</v>
      </c>
      <c r="CI183" s="456">
        <v>3.8</v>
      </c>
      <c r="CJ183" s="456">
        <v>539.70000000000005</v>
      </c>
      <c r="CK183" s="456">
        <v>622.70000000000005</v>
      </c>
      <c r="CL183" s="456">
        <v>561.20000000000005</v>
      </c>
      <c r="CM183" s="456">
        <v>14.2</v>
      </c>
      <c r="CN183" s="456">
        <v>1.6</v>
      </c>
      <c r="CO183" s="453">
        <v>3629.7</v>
      </c>
      <c r="CP183" s="453">
        <v>16.98</v>
      </c>
      <c r="CQ183" s="453">
        <v>52</v>
      </c>
      <c r="CR183" s="456">
        <v>0</v>
      </c>
      <c r="CS183" s="456">
        <v>0</v>
      </c>
      <c r="CT183" s="456">
        <v>0</v>
      </c>
      <c r="CU183" s="456">
        <v>0</v>
      </c>
      <c r="CV183" s="481">
        <v>1348.2608695652175</v>
      </c>
      <c r="CW183" s="481">
        <v>1801.5625</v>
      </c>
      <c r="CX183" s="481">
        <v>1250.9375</v>
      </c>
      <c r="CY183" s="481">
        <v>1167.01</v>
      </c>
      <c r="CZ183" s="456"/>
      <c r="DA183" s="456"/>
      <c r="DB183" s="456"/>
      <c r="DC183" s="456"/>
      <c r="DD183" s="456"/>
      <c r="DE183" s="456"/>
      <c r="DF183" s="456"/>
      <c r="DG183" s="425"/>
      <c r="DH183" s="456">
        <v>35</v>
      </c>
      <c r="DI183" s="456">
        <v>0.43</v>
      </c>
      <c r="DJ183" s="456">
        <v>1.04</v>
      </c>
      <c r="DK183" s="425"/>
      <c r="DL183" s="456"/>
      <c r="DM183" s="456"/>
      <c r="DN183" s="456"/>
      <c r="DO183" s="456"/>
      <c r="DP183" s="456"/>
      <c r="DQ183" s="456"/>
      <c r="DR183" s="456"/>
      <c r="DS183" s="456"/>
      <c r="DT183" s="456"/>
      <c r="DU183" s="456"/>
      <c r="DV183" s="456"/>
      <c r="DW183" s="456"/>
      <c r="DX183" s="456"/>
      <c r="DY183" s="456"/>
      <c r="DZ183" s="456"/>
      <c r="EA183" s="456"/>
      <c r="EB183" s="456"/>
      <c r="EC183" s="456"/>
      <c r="ED183" s="423">
        <v>0</v>
      </c>
      <c r="EE183" s="456">
        <v>0</v>
      </c>
      <c r="EF183" s="456">
        <v>2.5</v>
      </c>
      <c r="EG183" s="456">
        <v>7</v>
      </c>
      <c r="EH183" s="423">
        <v>0</v>
      </c>
      <c r="EI183" s="456"/>
      <c r="EJ183" s="456"/>
      <c r="EK183" s="456"/>
      <c r="EL183" s="456"/>
      <c r="EM183" s="456"/>
      <c r="EN183" s="456"/>
      <c r="EO183" s="425"/>
      <c r="EP183" s="425"/>
      <c r="EQ183" s="425" t="s">
        <v>743</v>
      </c>
      <c r="ER183" s="425">
        <v>1</v>
      </c>
      <c r="ES183" s="425">
        <v>6</v>
      </c>
      <c r="ET183" s="425">
        <v>795</v>
      </c>
      <c r="EU183" s="457">
        <v>3930</v>
      </c>
      <c r="EV183" s="425">
        <v>255</v>
      </c>
      <c r="EW183" s="425">
        <v>6971672</v>
      </c>
      <c r="EX183" s="425">
        <v>74765</v>
      </c>
      <c r="EY183" s="666">
        <v>18.53</v>
      </c>
      <c r="EZ183" s="666">
        <v>18.510000000000002</v>
      </c>
      <c r="FA183" s="666">
        <v>0</v>
      </c>
      <c r="FB183" s="666">
        <v>1.41</v>
      </c>
      <c r="FC183" s="666">
        <v>1.27</v>
      </c>
      <c r="FD183" s="666">
        <v>1.1679999999999999</v>
      </c>
      <c r="FE183" s="666">
        <v>1.18</v>
      </c>
      <c r="FF183" s="666">
        <v>180</v>
      </c>
      <c r="FG183" s="666">
        <v>1.81</v>
      </c>
      <c r="FH183" s="666">
        <v>1.024</v>
      </c>
      <c r="FI183" s="666">
        <v>1.78</v>
      </c>
      <c r="FJ183" s="666">
        <v>8.1999999999999993</v>
      </c>
      <c r="FK183" s="666">
        <v>8.1999999999999993</v>
      </c>
      <c r="FL183" s="666">
        <v>8.14</v>
      </c>
      <c r="FM183" s="666">
        <v>7.8</v>
      </c>
      <c r="FN183" s="666">
        <v>0</v>
      </c>
    </row>
    <row r="184" spans="1:170" s="416" customFormat="1" ht="15">
      <c r="A184" s="425" t="s">
        <v>3</v>
      </c>
      <c r="B184" s="426">
        <v>40713</v>
      </c>
      <c r="C184" s="418">
        <v>0</v>
      </c>
      <c r="D184" s="518">
        <v>0.18</v>
      </c>
      <c r="E184" s="453">
        <v>0</v>
      </c>
      <c r="F184" s="453">
        <v>53</v>
      </c>
      <c r="G184" s="453">
        <v>1.6</v>
      </c>
      <c r="H184" s="519">
        <v>2.1</v>
      </c>
      <c r="I184" s="519">
        <v>92.79</v>
      </c>
      <c r="J184" s="483">
        <v>1.9</v>
      </c>
      <c r="K184" s="520" t="s">
        <v>742</v>
      </c>
      <c r="L184" s="453">
        <v>0</v>
      </c>
      <c r="M184" s="453">
        <v>21.9</v>
      </c>
      <c r="N184" s="453">
        <v>1.7</v>
      </c>
      <c r="O184" s="453">
        <v>2.2609898153207975</v>
      </c>
      <c r="P184" s="453" t="s">
        <v>742</v>
      </c>
      <c r="Q184" s="453" t="s">
        <v>742</v>
      </c>
      <c r="R184" s="453">
        <v>1171.5639788639364</v>
      </c>
      <c r="S184" s="453">
        <v>7.9</v>
      </c>
      <c r="T184" s="453" t="s">
        <v>742</v>
      </c>
      <c r="U184" s="453">
        <v>0.6</v>
      </c>
      <c r="V184" s="453" t="s">
        <v>742</v>
      </c>
      <c r="W184" s="453">
        <v>51.44</v>
      </c>
      <c r="X184" s="456" t="e">
        <v>#VALUE!</v>
      </c>
      <c r="Y184" s="453">
        <v>33.1</v>
      </c>
      <c r="Z184" s="453">
        <v>28.9</v>
      </c>
      <c r="AA184" s="519">
        <v>33.36</v>
      </c>
      <c r="AB184" s="519">
        <v>29.069999999999709</v>
      </c>
      <c r="AC184" s="732">
        <f t="shared" si="2"/>
        <v>62.429999999999708</v>
      </c>
      <c r="AD184" s="664"/>
      <c r="AE184" s="664"/>
      <c r="AF184" s="664"/>
      <c r="AG184" s="664"/>
      <c r="AH184" s="664"/>
      <c r="AI184" s="664"/>
      <c r="AJ184" s="485"/>
      <c r="AK184" s="485"/>
      <c r="AL184" s="485"/>
      <c r="AM184" s="485"/>
      <c r="AN184" s="485"/>
      <c r="AO184" s="665"/>
      <c r="AP184" s="485"/>
      <c r="AQ184" s="483"/>
      <c r="AR184" s="755">
        <v>0</v>
      </c>
      <c r="AS184" s="483">
        <v>19</v>
      </c>
      <c r="AT184" s="755">
        <v>0</v>
      </c>
      <c r="AU184" s="483">
        <v>34.9</v>
      </c>
      <c r="AV184" s="484">
        <v>493.2</v>
      </c>
      <c r="AW184" s="484">
        <v>557</v>
      </c>
      <c r="AX184" s="453">
        <v>0</v>
      </c>
      <c r="AY184" s="734">
        <v>0</v>
      </c>
      <c r="AZ184" s="734">
        <v>0</v>
      </c>
      <c r="BA184" s="734">
        <v>0</v>
      </c>
      <c r="BB184" s="453">
        <v>0</v>
      </c>
      <c r="BC184" s="453">
        <v>0.5</v>
      </c>
      <c r="BD184" s="453">
        <v>1.52</v>
      </c>
      <c r="BE184" s="734">
        <v>0</v>
      </c>
      <c r="BF184" s="453">
        <v>0.55000000000000004</v>
      </c>
      <c r="BG184" s="453">
        <v>0</v>
      </c>
      <c r="BH184" s="734">
        <v>0</v>
      </c>
      <c r="BI184" s="453">
        <v>0</v>
      </c>
      <c r="BJ184" s="453">
        <v>26.5</v>
      </c>
      <c r="BK184" s="453">
        <v>3.25</v>
      </c>
      <c r="BL184" s="453">
        <v>3.8</v>
      </c>
      <c r="BM184" s="453">
        <v>0</v>
      </c>
      <c r="BN184" s="453">
        <v>19.3</v>
      </c>
      <c r="BO184" s="453">
        <v>2025.3</v>
      </c>
      <c r="BP184" s="453">
        <v>0</v>
      </c>
      <c r="BQ184" s="453">
        <v>17.899999999999999</v>
      </c>
      <c r="BR184" s="453">
        <v>17.899999999999999</v>
      </c>
      <c r="BS184" s="453">
        <v>0</v>
      </c>
      <c r="BT184" s="453" t="s">
        <v>756</v>
      </c>
      <c r="BU184" s="453">
        <v>23.3</v>
      </c>
      <c r="BV184" s="456">
        <v>851.9</v>
      </c>
      <c r="BW184" s="453">
        <v>1.1000000000000001</v>
      </c>
      <c r="BX184" s="453" t="s">
        <v>756</v>
      </c>
      <c r="BY184" s="456">
        <v>1.1100000000000001</v>
      </c>
      <c r="BZ184" s="456">
        <v>16</v>
      </c>
      <c r="CA184" s="456">
        <v>35.200000000000003</v>
      </c>
      <c r="CB184" s="456">
        <v>20.9</v>
      </c>
      <c r="CC184" s="456">
        <v>8.6</v>
      </c>
      <c r="CD184" s="456">
        <v>12.8</v>
      </c>
      <c r="CE184" s="456">
        <v>16.8</v>
      </c>
      <c r="CF184" s="456">
        <v>14</v>
      </c>
      <c r="CG184" s="456">
        <v>284</v>
      </c>
      <c r="CH184" s="456">
        <v>4.3</v>
      </c>
      <c r="CI184" s="456">
        <v>5.0999999999999996</v>
      </c>
      <c r="CJ184" s="456">
        <v>518.70000000000005</v>
      </c>
      <c r="CK184" s="456">
        <v>666.1</v>
      </c>
      <c r="CL184" s="456">
        <v>564</v>
      </c>
      <c r="CM184" s="456">
        <v>12.5</v>
      </c>
      <c r="CN184" s="456">
        <v>1.7</v>
      </c>
      <c r="CO184" s="453">
        <v>4268.1000000000004</v>
      </c>
      <c r="CP184" s="453">
        <v>16.95</v>
      </c>
      <c r="CQ184" s="453">
        <v>52</v>
      </c>
      <c r="CR184" s="456">
        <v>0</v>
      </c>
      <c r="CS184" s="456">
        <v>0</v>
      </c>
      <c r="CT184" s="456">
        <v>0</v>
      </c>
      <c r="CU184" s="456">
        <v>0</v>
      </c>
      <c r="CV184" s="481">
        <v>1312.1739130434783</v>
      </c>
      <c r="CW184" s="481">
        <v>1862.0833333333333</v>
      </c>
      <c r="CX184" s="481">
        <v>1229.5833333333333</v>
      </c>
      <c r="CY184" s="481">
        <v>1167.19</v>
      </c>
      <c r="CZ184" s="456"/>
      <c r="DA184" s="456"/>
      <c r="DB184" s="456"/>
      <c r="DC184" s="456"/>
      <c r="DD184" s="456"/>
      <c r="DE184" s="456"/>
      <c r="DF184" s="456"/>
      <c r="DG184" s="425"/>
      <c r="DH184" s="456">
        <v>33</v>
      </c>
      <c r="DI184" s="456">
        <v>0.26</v>
      </c>
      <c r="DJ184" s="456">
        <v>1.22</v>
      </c>
      <c r="DK184" s="425"/>
      <c r="DL184" s="456"/>
      <c r="DM184" s="456"/>
      <c r="DN184" s="456"/>
      <c r="DO184" s="456"/>
      <c r="DP184" s="456"/>
      <c r="DQ184" s="456"/>
      <c r="DR184" s="456"/>
      <c r="DS184" s="456"/>
      <c r="DT184" s="456"/>
      <c r="DU184" s="456"/>
      <c r="DV184" s="456"/>
      <c r="DW184" s="456"/>
      <c r="DX184" s="456"/>
      <c r="DY184" s="456"/>
      <c r="DZ184" s="456"/>
      <c r="EA184" s="456"/>
      <c r="EB184" s="456"/>
      <c r="EC184" s="456"/>
      <c r="ED184" s="423">
        <v>0</v>
      </c>
      <c r="EE184" s="456">
        <v>0</v>
      </c>
      <c r="EF184" s="456">
        <v>2.5</v>
      </c>
      <c r="EG184" s="456">
        <v>7</v>
      </c>
      <c r="EH184" s="423">
        <v>0</v>
      </c>
      <c r="EI184" s="456"/>
      <c r="EJ184" s="456"/>
      <c r="EK184" s="456"/>
      <c r="EL184" s="456"/>
      <c r="EM184" s="456"/>
      <c r="EN184" s="456"/>
      <c r="EO184" s="425"/>
      <c r="EP184" s="425"/>
      <c r="EQ184" s="425" t="s">
        <v>743</v>
      </c>
      <c r="ER184" s="425">
        <v>1</v>
      </c>
      <c r="ES184" s="425">
        <v>6</v>
      </c>
      <c r="ET184" s="425">
        <v>650</v>
      </c>
      <c r="EU184" s="457">
        <v>3930</v>
      </c>
      <c r="EV184" s="425">
        <v>275</v>
      </c>
      <c r="EW184" s="425">
        <v>6974022</v>
      </c>
      <c r="EX184" s="425">
        <v>75654</v>
      </c>
      <c r="EY184" s="666">
        <v>19.36</v>
      </c>
      <c r="EZ184" s="666">
        <v>19.350000000000001</v>
      </c>
      <c r="FA184" s="666">
        <v>0</v>
      </c>
      <c r="FB184" s="666">
        <v>1.43</v>
      </c>
      <c r="FC184" s="666">
        <v>1.34</v>
      </c>
      <c r="FD184" s="666">
        <v>1.19</v>
      </c>
      <c r="FE184" s="666">
        <v>1.23</v>
      </c>
      <c r="FF184" s="666">
        <v>145</v>
      </c>
      <c r="FG184" s="666">
        <v>1.69</v>
      </c>
      <c r="FH184" s="666">
        <v>0.96499999999999997</v>
      </c>
      <c r="FI184" s="666">
        <v>1.6</v>
      </c>
      <c r="FJ184" s="666">
        <v>8.23</v>
      </c>
      <c r="FK184" s="666">
        <v>8</v>
      </c>
      <c r="FL184" s="666">
        <v>8.1300000000000008</v>
      </c>
      <c r="FM184" s="666">
        <v>7.7</v>
      </c>
      <c r="FN184" s="666">
        <v>0</v>
      </c>
    </row>
    <row r="185" spans="1:170" s="416" customFormat="1" ht="15">
      <c r="A185" s="425" t="s">
        <v>4</v>
      </c>
      <c r="B185" s="426">
        <v>40714</v>
      </c>
      <c r="C185" s="418">
        <v>0</v>
      </c>
      <c r="D185" s="518">
        <v>0</v>
      </c>
      <c r="E185" s="453">
        <v>0</v>
      </c>
      <c r="F185" s="453">
        <v>52</v>
      </c>
      <c r="G185" s="453">
        <v>1.6</v>
      </c>
      <c r="H185" s="519">
        <v>1.78</v>
      </c>
      <c r="I185" s="519">
        <v>93.2</v>
      </c>
      <c r="J185" s="483">
        <v>1.5</v>
      </c>
      <c r="K185" s="520" t="s">
        <v>742</v>
      </c>
      <c r="L185" s="453">
        <v>0.63000000000101863</v>
      </c>
      <c r="M185" s="453">
        <v>21.7</v>
      </c>
      <c r="N185" s="453">
        <v>1.6</v>
      </c>
      <c r="O185" s="453">
        <v>2.1970937912813735</v>
      </c>
      <c r="P185" s="453" t="s">
        <v>742</v>
      </c>
      <c r="Q185" s="453">
        <v>160.01056803403256</v>
      </c>
      <c r="R185" s="453">
        <v>1223.7126657859972</v>
      </c>
      <c r="S185" s="453">
        <v>7.83</v>
      </c>
      <c r="T185" s="453" t="s">
        <v>742</v>
      </c>
      <c r="U185" s="453">
        <v>0.69</v>
      </c>
      <c r="V185" s="453" t="s">
        <v>742</v>
      </c>
      <c r="W185" s="453">
        <v>48.92</v>
      </c>
      <c r="X185" s="456" t="e">
        <v>#VALUE!</v>
      </c>
      <c r="Y185" s="453">
        <v>33.5</v>
      </c>
      <c r="Z185" s="453">
        <v>29</v>
      </c>
      <c r="AA185" s="519">
        <v>33.299999999999997</v>
      </c>
      <c r="AB185" s="519">
        <v>26.299999999995634</v>
      </c>
      <c r="AC185" s="732">
        <f t="shared" si="2"/>
        <v>59.599999999995632</v>
      </c>
      <c r="AD185" s="664"/>
      <c r="AE185" s="664"/>
      <c r="AF185" s="664"/>
      <c r="AG185" s="664"/>
      <c r="AH185" s="664"/>
      <c r="AI185" s="664"/>
      <c r="AJ185" s="485"/>
      <c r="AK185" s="485"/>
      <c r="AL185" s="485"/>
      <c r="AM185" s="485"/>
      <c r="AN185" s="485"/>
      <c r="AO185" s="665"/>
      <c r="AP185" s="485"/>
      <c r="AQ185" s="483"/>
      <c r="AR185" s="755">
        <v>0</v>
      </c>
      <c r="AS185" s="483">
        <v>35</v>
      </c>
      <c r="AT185" s="755">
        <v>0</v>
      </c>
      <c r="AU185" s="483">
        <v>35</v>
      </c>
      <c r="AV185" s="484">
        <v>449</v>
      </c>
      <c r="AW185" s="484">
        <v>498</v>
      </c>
      <c r="AX185" s="453">
        <v>7.0000000000000007E-2</v>
      </c>
      <c r="AY185" s="734">
        <v>0</v>
      </c>
      <c r="AZ185" s="734">
        <v>0</v>
      </c>
      <c r="BA185" s="734">
        <v>0</v>
      </c>
      <c r="BB185" s="453">
        <v>0</v>
      </c>
      <c r="BC185" s="453">
        <v>0.5</v>
      </c>
      <c r="BD185" s="453">
        <v>1.52</v>
      </c>
      <c r="BE185" s="734">
        <v>0</v>
      </c>
      <c r="BF185" s="453">
        <v>0.49</v>
      </c>
      <c r="BG185" s="453">
        <v>0</v>
      </c>
      <c r="BH185" s="734">
        <v>0</v>
      </c>
      <c r="BI185" s="453">
        <v>0</v>
      </c>
      <c r="BJ185" s="453">
        <v>23.9</v>
      </c>
      <c r="BK185" s="453">
        <v>3.24</v>
      </c>
      <c r="BL185" s="453">
        <v>3.81</v>
      </c>
      <c r="BM185" s="453">
        <v>0</v>
      </c>
      <c r="BN185" s="453">
        <v>16.7</v>
      </c>
      <c r="BO185" s="453">
        <v>1575.3</v>
      </c>
      <c r="BP185" s="453">
        <v>1.1000000000000001</v>
      </c>
      <c r="BQ185" s="453">
        <v>19.399999999999999</v>
      </c>
      <c r="BR185" s="453">
        <v>19.399999999999999</v>
      </c>
      <c r="BS185" s="453">
        <v>0</v>
      </c>
      <c r="BT185" s="453" t="s">
        <v>755</v>
      </c>
      <c r="BU185" s="453">
        <v>29.2</v>
      </c>
      <c r="BV185" s="456">
        <v>890</v>
      </c>
      <c r="BW185" s="453">
        <v>1</v>
      </c>
      <c r="BX185" s="453" t="s">
        <v>755</v>
      </c>
      <c r="BY185" s="456">
        <v>1.1200000000000001</v>
      </c>
      <c r="BZ185" s="456">
        <v>19</v>
      </c>
      <c r="CA185" s="456">
        <v>34.4</v>
      </c>
      <c r="CB185" s="456">
        <v>19.600000000000001</v>
      </c>
      <c r="CC185" s="456">
        <v>8.9</v>
      </c>
      <c r="CD185" s="456">
        <v>13.1</v>
      </c>
      <c r="CE185" s="456">
        <v>17.399999999999999</v>
      </c>
      <c r="CF185" s="456">
        <v>13</v>
      </c>
      <c r="CG185" s="456">
        <v>71.2</v>
      </c>
      <c r="CH185" s="456">
        <v>7.3</v>
      </c>
      <c r="CI185" s="456">
        <v>10.6</v>
      </c>
      <c r="CJ185" s="456">
        <v>703</v>
      </c>
      <c r="CK185" s="456">
        <v>753</v>
      </c>
      <c r="CL185" s="456">
        <v>624.79999999999995</v>
      </c>
      <c r="CM185" s="456">
        <v>6.9</v>
      </c>
      <c r="CN185" s="456">
        <v>1.3</v>
      </c>
      <c r="CO185" s="453">
        <f>694.4*8.16</f>
        <v>5666.3040000000001</v>
      </c>
      <c r="CP185" s="453">
        <v>16.760000000000002</v>
      </c>
      <c r="CQ185" s="453">
        <v>53</v>
      </c>
      <c r="CR185" s="456">
        <v>0</v>
      </c>
      <c r="CS185" s="456">
        <v>0</v>
      </c>
      <c r="CT185" s="456">
        <v>0</v>
      </c>
      <c r="CU185" s="456">
        <v>0</v>
      </c>
      <c r="CV185" s="481">
        <v>1349.5652173913043</v>
      </c>
      <c r="CW185" s="481">
        <v>1820.5208333333333</v>
      </c>
      <c r="CX185" s="481">
        <v>1261.7708333333333</v>
      </c>
      <c r="CY185" s="481">
        <v>1167.19</v>
      </c>
      <c r="CZ185" s="456"/>
      <c r="DA185" s="456"/>
      <c r="DB185" s="456"/>
      <c r="DC185" s="456"/>
      <c r="DD185" s="456"/>
      <c r="DE185" s="456"/>
      <c r="DF185" s="456"/>
      <c r="DG185" s="425"/>
      <c r="DH185" s="456">
        <v>47</v>
      </c>
      <c r="DI185" s="456">
        <v>0.51</v>
      </c>
      <c r="DJ185" s="456" t="s">
        <v>755</v>
      </c>
      <c r="DK185" s="425"/>
      <c r="DL185" s="456"/>
      <c r="DM185" s="456"/>
      <c r="DN185" s="456"/>
      <c r="DO185" s="456"/>
      <c r="DP185" s="456"/>
      <c r="DQ185" s="456"/>
      <c r="DR185" s="456"/>
      <c r="DS185" s="456"/>
      <c r="DT185" s="456"/>
      <c r="DU185" s="456"/>
      <c r="DV185" s="456"/>
      <c r="DW185" s="456"/>
      <c r="DX185" s="456"/>
      <c r="DY185" s="456"/>
      <c r="DZ185" s="456"/>
      <c r="EA185" s="456"/>
      <c r="EB185" s="456"/>
      <c r="EC185" s="456"/>
      <c r="ED185" s="423">
        <v>0</v>
      </c>
      <c r="EE185" s="456">
        <v>1</v>
      </c>
      <c r="EF185" s="456">
        <v>2.5</v>
      </c>
      <c r="EG185" s="456">
        <v>7</v>
      </c>
      <c r="EH185" s="423">
        <v>0</v>
      </c>
      <c r="EI185" s="456"/>
      <c r="EJ185" s="456"/>
      <c r="EK185" s="456"/>
      <c r="EL185" s="456"/>
      <c r="EM185" s="456"/>
      <c r="EN185" s="456"/>
      <c r="EO185" s="425"/>
      <c r="EP185" s="425"/>
      <c r="EQ185" s="425" t="s">
        <v>743</v>
      </c>
      <c r="ER185" s="425">
        <v>1</v>
      </c>
      <c r="ES185" s="425">
        <v>4</v>
      </c>
      <c r="ET185" s="784">
        <v>620</v>
      </c>
      <c r="EU185" s="785">
        <v>3780</v>
      </c>
      <c r="EV185" s="425">
        <v>260</v>
      </c>
      <c r="EW185" s="425">
        <v>6976929</v>
      </c>
      <c r="EX185" s="425">
        <v>76564</v>
      </c>
      <c r="EY185" s="666">
        <v>19.350000000000001</v>
      </c>
      <c r="EZ185" s="666">
        <v>19.350000000000001</v>
      </c>
      <c r="FA185" s="666">
        <v>0</v>
      </c>
      <c r="FB185" s="666">
        <v>1.31</v>
      </c>
      <c r="FC185" s="666">
        <v>1.3</v>
      </c>
      <c r="FD185" s="666">
        <v>1.1599999999999999</v>
      </c>
      <c r="FE185" s="666">
        <v>1.1499999999999999</v>
      </c>
      <c r="FF185" s="666">
        <v>180</v>
      </c>
      <c r="FG185" s="666">
        <v>1.5</v>
      </c>
      <c r="FH185" s="666">
        <v>0.9</v>
      </c>
      <c r="FI185" s="666">
        <v>1.32</v>
      </c>
      <c r="FJ185" s="666">
        <v>8.27</v>
      </c>
      <c r="FK185" s="666">
        <v>8.3000000000000007</v>
      </c>
      <c r="FL185" s="666">
        <v>8.15</v>
      </c>
      <c r="FM185" s="666">
        <v>7.7</v>
      </c>
      <c r="FN185" s="666">
        <v>0</v>
      </c>
    </row>
    <row r="186" spans="1:170" s="416" customFormat="1" ht="15">
      <c r="A186" s="425" t="s">
        <v>5</v>
      </c>
      <c r="B186" s="426">
        <v>40715</v>
      </c>
      <c r="C186" s="418">
        <v>0</v>
      </c>
      <c r="D186" s="518">
        <v>0</v>
      </c>
      <c r="E186" s="453">
        <v>0</v>
      </c>
      <c r="F186" s="453">
        <v>58</v>
      </c>
      <c r="G186" s="453">
        <v>1.4</v>
      </c>
      <c r="H186" s="519">
        <v>1.7</v>
      </c>
      <c r="I186" s="519">
        <v>93.8</v>
      </c>
      <c r="J186" s="483">
        <v>1.23</v>
      </c>
      <c r="K186" s="520" t="s">
        <v>742</v>
      </c>
      <c r="L186" s="453">
        <v>0.11000000000058208</v>
      </c>
      <c r="M186" s="453">
        <v>21.7</v>
      </c>
      <c r="N186" s="453">
        <v>1.63</v>
      </c>
      <c r="O186" s="453">
        <v>2.2010359452132189</v>
      </c>
      <c r="P186" s="453" t="s">
        <v>742</v>
      </c>
      <c r="Q186" s="453">
        <v>0.19418758256321864</v>
      </c>
      <c r="R186" s="453">
        <v>977.54495112285326</v>
      </c>
      <c r="S186" s="453">
        <v>7.83</v>
      </c>
      <c r="T186" s="453" t="s">
        <v>742</v>
      </c>
      <c r="U186" s="453">
        <v>0.68</v>
      </c>
      <c r="V186" s="453" t="s">
        <v>742</v>
      </c>
      <c r="W186" s="453">
        <v>48.739999999999995</v>
      </c>
      <c r="X186" s="456" t="e">
        <v>#VALUE!</v>
      </c>
      <c r="Y186" s="453">
        <v>33.47</v>
      </c>
      <c r="Z186" s="453">
        <v>20.100000000000001</v>
      </c>
      <c r="AA186" s="519">
        <v>33.470000000001164</v>
      </c>
      <c r="AB186" s="519">
        <v>19.900000000001455</v>
      </c>
      <c r="AC186" s="732">
        <f t="shared" si="2"/>
        <v>53.370000000002619</v>
      </c>
      <c r="AD186" s="664"/>
      <c r="AE186" s="664"/>
      <c r="AF186" s="664"/>
      <c r="AG186" s="664"/>
      <c r="AH186" s="664"/>
      <c r="AI186" s="664"/>
      <c r="AJ186" s="485"/>
      <c r="AK186" s="485"/>
      <c r="AL186" s="485"/>
      <c r="AM186" s="485"/>
      <c r="AN186" s="485"/>
      <c r="AO186" s="665"/>
      <c r="AP186" s="485"/>
      <c r="AQ186" s="483"/>
      <c r="AR186" s="755">
        <v>0</v>
      </c>
      <c r="AS186" s="483">
        <v>20</v>
      </c>
      <c r="AT186" s="755">
        <v>0</v>
      </c>
      <c r="AU186" s="483">
        <v>35</v>
      </c>
      <c r="AV186" s="484">
        <v>544</v>
      </c>
      <c r="AW186" s="484">
        <v>617.79999999999995</v>
      </c>
      <c r="AX186" s="453">
        <v>6.1</v>
      </c>
      <c r="AY186" s="734">
        <v>0</v>
      </c>
      <c r="AZ186" s="734">
        <v>0</v>
      </c>
      <c r="BA186" s="734">
        <v>0</v>
      </c>
      <c r="BB186" s="453">
        <v>0</v>
      </c>
      <c r="BC186" s="453">
        <v>0.38</v>
      </c>
      <c r="BD186" s="453">
        <v>1.69</v>
      </c>
      <c r="BE186" s="734">
        <v>0</v>
      </c>
      <c r="BF186" s="453">
        <v>0.56000000000000005</v>
      </c>
      <c r="BG186" s="453">
        <v>0</v>
      </c>
      <c r="BH186" s="734">
        <v>0</v>
      </c>
      <c r="BI186" s="453">
        <v>0</v>
      </c>
      <c r="BJ186" s="453">
        <v>17.399999999999999</v>
      </c>
      <c r="BK186" s="453">
        <v>3.25</v>
      </c>
      <c r="BL186" s="453">
        <v>3.81</v>
      </c>
      <c r="BM186" s="453">
        <v>0</v>
      </c>
      <c r="BN186" s="453">
        <v>10.199999999999999</v>
      </c>
      <c r="BO186" s="453">
        <v>2334.1999999999998</v>
      </c>
      <c r="BP186" s="453">
        <v>44.5</v>
      </c>
      <c r="BQ186" s="453">
        <v>18.5</v>
      </c>
      <c r="BR186" s="453">
        <v>18.5</v>
      </c>
      <c r="BS186" s="453">
        <v>0</v>
      </c>
      <c r="BT186" s="453" t="s">
        <v>755</v>
      </c>
      <c r="BU186" s="453">
        <v>35</v>
      </c>
      <c r="BV186" s="456">
        <v>933.9</v>
      </c>
      <c r="BW186" s="453">
        <v>1</v>
      </c>
      <c r="BX186" s="453" t="s">
        <v>755</v>
      </c>
      <c r="BY186" s="456">
        <v>1.1299999999999999</v>
      </c>
      <c r="BZ186" s="456">
        <v>18.7</v>
      </c>
      <c r="CA186" s="456">
        <v>33.1</v>
      </c>
      <c r="CB186" s="456">
        <v>17.2</v>
      </c>
      <c r="CC186" s="456">
        <v>10.199999999999999</v>
      </c>
      <c r="CD186" s="456">
        <v>14.4</v>
      </c>
      <c r="CE186" s="456">
        <v>18.7</v>
      </c>
      <c r="CF186" s="456">
        <v>13</v>
      </c>
      <c r="CG186" s="456">
        <v>1.2</v>
      </c>
      <c r="CH186" s="456">
        <v>6.4</v>
      </c>
      <c r="CI186" s="456">
        <v>10.7</v>
      </c>
      <c r="CJ186" s="456">
        <v>909</v>
      </c>
      <c r="CK186" s="456">
        <v>782.8</v>
      </c>
      <c r="CL186" s="456">
        <v>664.2</v>
      </c>
      <c r="CM186" s="456">
        <v>8.1</v>
      </c>
      <c r="CN186" s="456">
        <v>1.4</v>
      </c>
      <c r="CO186" s="453">
        <v>7493</v>
      </c>
      <c r="CP186" s="453">
        <v>17.73</v>
      </c>
      <c r="CQ186" s="453">
        <v>53</v>
      </c>
      <c r="CR186" s="456">
        <v>0</v>
      </c>
      <c r="CS186" s="456">
        <v>0</v>
      </c>
      <c r="CT186" s="456">
        <v>0</v>
      </c>
      <c r="CU186" s="456">
        <v>0</v>
      </c>
      <c r="CV186" s="481">
        <v>1256.6666666666667</v>
      </c>
      <c r="CW186" s="481">
        <v>1771.0416666666667</v>
      </c>
      <c r="CX186" s="481">
        <v>1166.9791666666667</v>
      </c>
      <c r="CY186" s="481">
        <v>1167.2</v>
      </c>
      <c r="CZ186" s="456"/>
      <c r="DA186" s="456"/>
      <c r="DB186" s="456"/>
      <c r="DC186" s="456"/>
      <c r="DD186" s="456"/>
      <c r="DE186" s="456"/>
      <c r="DF186" s="456"/>
      <c r="DG186" s="425"/>
      <c r="DH186" s="456">
        <v>72</v>
      </c>
      <c r="DI186" s="456">
        <v>0.28999999999999998</v>
      </c>
      <c r="DJ186" s="456" t="s">
        <v>755</v>
      </c>
      <c r="DK186" s="425"/>
      <c r="DL186" s="456"/>
      <c r="DM186" s="456"/>
      <c r="DN186" s="456"/>
      <c r="DO186" s="456"/>
      <c r="DP186" s="456"/>
      <c r="DQ186" s="456"/>
      <c r="DR186" s="456"/>
      <c r="DS186" s="456"/>
      <c r="DT186" s="456"/>
      <c r="DU186" s="456"/>
      <c r="DV186" s="456"/>
      <c r="DW186" s="456"/>
      <c r="DX186" s="456"/>
      <c r="DY186" s="456"/>
      <c r="DZ186" s="456"/>
      <c r="EA186" s="456"/>
      <c r="EB186" s="456"/>
      <c r="EC186" s="456"/>
      <c r="ED186" s="423">
        <v>0</v>
      </c>
      <c r="EE186" s="456">
        <v>1</v>
      </c>
      <c r="EF186" s="456">
        <v>2.5</v>
      </c>
      <c r="EG186" s="456">
        <v>7</v>
      </c>
      <c r="EH186" s="423">
        <v>0</v>
      </c>
      <c r="EI186" s="456"/>
      <c r="EJ186" s="456"/>
      <c r="EK186" s="456"/>
      <c r="EL186" s="456"/>
      <c r="EM186" s="456"/>
      <c r="EN186" s="456"/>
      <c r="EO186" s="425"/>
      <c r="EP186" s="425"/>
      <c r="EQ186" s="425" t="s">
        <v>743</v>
      </c>
      <c r="ER186" s="425">
        <v>1</v>
      </c>
      <c r="ES186" s="425">
        <v>4</v>
      </c>
      <c r="ET186" s="425">
        <v>620</v>
      </c>
      <c r="EU186" s="457">
        <v>3480</v>
      </c>
      <c r="EV186" s="425">
        <v>300</v>
      </c>
      <c r="EW186" s="425">
        <v>6980481</v>
      </c>
      <c r="EX186" s="425">
        <v>77437</v>
      </c>
      <c r="EY186" s="666">
        <v>18.399999999999999</v>
      </c>
      <c r="EZ186" s="666">
        <v>18.399999999999999</v>
      </c>
      <c r="FA186" s="666">
        <v>0</v>
      </c>
      <c r="FB186" s="666">
        <v>1.33</v>
      </c>
      <c r="FC186" s="666">
        <v>1.3</v>
      </c>
      <c r="FD186" s="666">
        <v>1.17</v>
      </c>
      <c r="FE186" s="666">
        <v>1.1499999999999999</v>
      </c>
      <c r="FF186" s="666">
        <v>300</v>
      </c>
      <c r="FG186" s="666">
        <v>1.36</v>
      </c>
      <c r="FH186" s="666">
        <v>0.85</v>
      </c>
      <c r="FI186" s="666">
        <v>1.3</v>
      </c>
      <c r="FJ186" s="666">
        <v>8.25</v>
      </c>
      <c r="FK186" s="666">
        <v>8.1999999999999993</v>
      </c>
      <c r="FL186" s="666">
        <v>8.2100000000000009</v>
      </c>
      <c r="FM186" s="666">
        <v>7.6</v>
      </c>
      <c r="FN186" s="666">
        <v>0</v>
      </c>
    </row>
    <row r="187" spans="1:170" s="416" customFormat="1" ht="15">
      <c r="A187" s="425" t="s">
        <v>6</v>
      </c>
      <c r="B187" s="426">
        <v>40716</v>
      </c>
      <c r="C187" s="418">
        <v>0</v>
      </c>
      <c r="D187" s="518">
        <v>0</v>
      </c>
      <c r="E187" s="453">
        <v>0</v>
      </c>
      <c r="F187" s="453">
        <v>51</v>
      </c>
      <c r="G187" s="453">
        <v>1.6</v>
      </c>
      <c r="H187" s="519">
        <v>1.6</v>
      </c>
      <c r="I187" s="519">
        <v>93.24</v>
      </c>
      <c r="J187" s="483">
        <v>1.2</v>
      </c>
      <c r="K187" s="520" t="s">
        <v>742</v>
      </c>
      <c r="L187" s="453">
        <v>0</v>
      </c>
      <c r="M187" s="453">
        <v>21.6</v>
      </c>
      <c r="N187" s="453">
        <v>1.6</v>
      </c>
      <c r="O187" s="453">
        <v>2.2052173102495756</v>
      </c>
      <c r="P187" s="453" t="s">
        <v>742</v>
      </c>
      <c r="Q187" s="453">
        <v>0</v>
      </c>
      <c r="R187" s="453">
        <v>1000.8661030383089</v>
      </c>
      <c r="S187" s="453">
        <v>8</v>
      </c>
      <c r="T187" s="453" t="s">
        <v>742</v>
      </c>
      <c r="U187" s="453">
        <v>0.7</v>
      </c>
      <c r="V187" s="453" t="s">
        <v>742</v>
      </c>
      <c r="W187" s="453">
        <v>52.519999999999996</v>
      </c>
      <c r="X187" s="456" t="e">
        <v>#VALUE!</v>
      </c>
      <c r="Y187" s="453">
        <v>33.659999999999997</v>
      </c>
      <c r="Z187" s="453">
        <v>20.059999999999999</v>
      </c>
      <c r="AA187" s="519">
        <v>34.329999999987194</v>
      </c>
      <c r="AB187" s="519">
        <v>20.19999999999709</v>
      </c>
      <c r="AC187" s="732">
        <f t="shared" si="2"/>
        <v>54.529999999984284</v>
      </c>
      <c r="AD187" s="664"/>
      <c r="AE187" s="664"/>
      <c r="AF187" s="664"/>
      <c r="AG187" s="664"/>
      <c r="AH187" s="664"/>
      <c r="AI187" s="664"/>
      <c r="AJ187" s="485"/>
      <c r="AK187" s="485"/>
      <c r="AL187" s="485"/>
      <c r="AM187" s="485"/>
      <c r="AN187" s="485"/>
      <c r="AO187" s="665"/>
      <c r="AP187" s="485"/>
      <c r="AQ187" s="483"/>
      <c r="AR187" s="755">
        <v>0</v>
      </c>
      <c r="AS187" s="483">
        <v>19.5</v>
      </c>
      <c r="AT187" s="755">
        <v>0</v>
      </c>
      <c r="AU187" s="483">
        <v>35.1</v>
      </c>
      <c r="AV187" s="484">
        <v>445.9</v>
      </c>
      <c r="AW187" s="484">
        <v>516.79999999999995</v>
      </c>
      <c r="AX187" s="453">
        <v>7.2</v>
      </c>
      <c r="AY187" s="734">
        <v>0</v>
      </c>
      <c r="AZ187" s="734">
        <v>0</v>
      </c>
      <c r="BA187" s="734">
        <v>0</v>
      </c>
      <c r="BB187" s="453">
        <v>0</v>
      </c>
      <c r="BC187" s="453">
        <v>0.17</v>
      </c>
      <c r="BD187" s="453">
        <v>1.95</v>
      </c>
      <c r="BE187" s="734">
        <v>0</v>
      </c>
      <c r="BF187" s="453">
        <v>0.5</v>
      </c>
      <c r="BG187" s="453">
        <v>0</v>
      </c>
      <c r="BH187" s="734">
        <v>0</v>
      </c>
      <c r="BI187" s="453">
        <v>0</v>
      </c>
      <c r="BJ187" s="453">
        <v>17.3</v>
      </c>
      <c r="BK187" s="453">
        <v>3.25</v>
      </c>
      <c r="BL187" s="453">
        <v>3.8</v>
      </c>
      <c r="BM187" s="453">
        <v>0</v>
      </c>
      <c r="BN187" s="453">
        <v>10.1</v>
      </c>
      <c r="BO187" s="453">
        <v>1565.1</v>
      </c>
      <c r="BP187" s="453">
        <v>0</v>
      </c>
      <c r="BQ187" s="453">
        <v>18.100000000000001</v>
      </c>
      <c r="BR187" s="453">
        <v>18.100000000000001</v>
      </c>
      <c r="BS187" s="453">
        <v>0</v>
      </c>
      <c r="BT187" s="453" t="s">
        <v>755</v>
      </c>
      <c r="BU187" s="756">
        <v>41.8</v>
      </c>
      <c r="BV187" s="456">
        <v>795.2</v>
      </c>
      <c r="BW187" s="453" t="s">
        <v>755</v>
      </c>
      <c r="BX187" s="453" t="s">
        <v>755</v>
      </c>
      <c r="BY187" s="456">
        <v>0.88</v>
      </c>
      <c r="BZ187" s="456">
        <v>18.399999999999999</v>
      </c>
      <c r="CA187" s="456">
        <v>31</v>
      </c>
      <c r="CB187" s="456">
        <v>20.3</v>
      </c>
      <c r="CC187" s="456">
        <v>7.9</v>
      </c>
      <c r="CD187" s="456">
        <v>12.1</v>
      </c>
      <c r="CE187" s="456">
        <v>16.100000000000001</v>
      </c>
      <c r="CF187" s="456">
        <v>12.3</v>
      </c>
      <c r="CG187" s="456">
        <v>0</v>
      </c>
      <c r="CH187" s="456">
        <v>5.8</v>
      </c>
      <c r="CI187" s="456">
        <v>9.8000000000000007</v>
      </c>
      <c r="CJ187" s="456">
        <v>873.2</v>
      </c>
      <c r="CK187" s="456">
        <v>713.6</v>
      </c>
      <c r="CL187" s="456">
        <v>651.4</v>
      </c>
      <c r="CM187" s="456">
        <v>6.4</v>
      </c>
      <c r="CN187" s="456">
        <v>1.3</v>
      </c>
      <c r="CO187" s="763">
        <f>7.83*694.4</f>
        <v>5437.152</v>
      </c>
      <c r="CP187" s="453">
        <v>15.65</v>
      </c>
      <c r="CQ187" s="453">
        <v>53</v>
      </c>
      <c r="CR187" s="456">
        <v>0</v>
      </c>
      <c r="CS187" s="456">
        <v>0</v>
      </c>
      <c r="CT187" s="456">
        <v>0</v>
      </c>
      <c r="CU187" s="456">
        <v>0</v>
      </c>
      <c r="CV187" s="481">
        <v>1190.8695652173913</v>
      </c>
      <c r="CW187" s="481">
        <v>1573.0208333333333</v>
      </c>
      <c r="CX187" s="481">
        <v>1091.9791666666667</v>
      </c>
      <c r="CY187" s="481">
        <v>1167.3499999999999</v>
      </c>
      <c r="CZ187" s="456"/>
      <c r="DA187" s="456"/>
      <c r="DB187" s="456"/>
      <c r="DC187" s="456"/>
      <c r="DD187" s="456"/>
      <c r="DE187" s="456"/>
      <c r="DF187" s="456"/>
      <c r="DG187" s="425"/>
      <c r="DH187" s="456">
        <v>51</v>
      </c>
      <c r="DI187" s="456">
        <v>0.28000000000000003</v>
      </c>
      <c r="DJ187" s="456">
        <v>0</v>
      </c>
      <c r="DK187" s="425"/>
      <c r="DL187" s="456"/>
      <c r="DM187" s="456"/>
      <c r="DN187" s="456"/>
      <c r="DO187" s="456"/>
      <c r="DP187" s="456"/>
      <c r="DQ187" s="456"/>
      <c r="DR187" s="456"/>
      <c r="DS187" s="456"/>
      <c r="DT187" s="456"/>
      <c r="DU187" s="456"/>
      <c r="DV187" s="456"/>
      <c r="DW187" s="456"/>
      <c r="DX187" s="456"/>
      <c r="DY187" s="456"/>
      <c r="DZ187" s="456"/>
      <c r="EA187" s="456"/>
      <c r="EB187" s="456"/>
      <c r="EC187" s="456"/>
      <c r="ED187" s="423">
        <v>0</v>
      </c>
      <c r="EE187" s="456">
        <v>1</v>
      </c>
      <c r="EF187" s="456">
        <v>2.5</v>
      </c>
      <c r="EG187" s="456">
        <v>7</v>
      </c>
      <c r="EH187" s="423">
        <v>0</v>
      </c>
      <c r="EI187" s="456"/>
      <c r="EJ187" s="456"/>
      <c r="EK187" s="456"/>
      <c r="EL187" s="456"/>
      <c r="EM187" s="456"/>
      <c r="EN187" s="456"/>
      <c r="EO187" s="425"/>
      <c r="EP187" s="425"/>
      <c r="EQ187" s="425" t="s">
        <v>743</v>
      </c>
      <c r="ER187" s="425">
        <v>1</v>
      </c>
      <c r="ES187" s="425">
        <v>4</v>
      </c>
      <c r="ET187" s="666">
        <v>620</v>
      </c>
      <c r="EU187" s="425">
        <v>3160</v>
      </c>
      <c r="EV187" s="425">
        <v>310</v>
      </c>
      <c r="EW187" s="425">
        <v>6983824</v>
      </c>
      <c r="EX187" s="425">
        <v>78049</v>
      </c>
      <c r="EY187" s="666">
        <v>17.8</v>
      </c>
      <c r="EZ187" s="666">
        <v>17.8</v>
      </c>
      <c r="FA187" s="666">
        <v>0</v>
      </c>
      <c r="FB187" s="666">
        <v>1.32</v>
      </c>
      <c r="FC187" s="666">
        <v>1.27</v>
      </c>
      <c r="FD187" s="666">
        <v>1.22</v>
      </c>
      <c r="FE187" s="666">
        <v>1.1399999999999999</v>
      </c>
      <c r="FF187" s="666">
        <v>320</v>
      </c>
      <c r="FG187" s="666">
        <v>1.21</v>
      </c>
      <c r="FH187" s="666">
        <v>0.82</v>
      </c>
      <c r="FI187" s="666">
        <v>1.27</v>
      </c>
      <c r="FJ187" s="666">
        <v>8.0399999999999991</v>
      </c>
      <c r="FK187" s="666">
        <v>8</v>
      </c>
      <c r="FL187" s="666">
        <v>8.11</v>
      </c>
      <c r="FM187" s="666">
        <v>7.8</v>
      </c>
      <c r="FN187" s="666">
        <v>0</v>
      </c>
    </row>
    <row r="188" spans="1:170" s="416" customFormat="1" ht="15">
      <c r="A188" s="425" t="s">
        <v>7</v>
      </c>
      <c r="B188" s="426">
        <v>40717</v>
      </c>
      <c r="C188" s="418">
        <v>0</v>
      </c>
      <c r="D188" s="518">
        <v>0.02</v>
      </c>
      <c r="E188" s="453">
        <v>0</v>
      </c>
      <c r="F188" s="453">
        <v>50</v>
      </c>
      <c r="G188" s="453">
        <v>1.6</v>
      </c>
      <c r="H188" s="519">
        <v>1.6</v>
      </c>
      <c r="I188" s="519">
        <v>93.57</v>
      </c>
      <c r="J188" s="483">
        <v>1.2</v>
      </c>
      <c r="K188" s="520" t="s">
        <v>742</v>
      </c>
      <c r="L188" s="453">
        <v>0</v>
      </c>
      <c r="M188" s="453">
        <v>21.6</v>
      </c>
      <c r="N188" s="453">
        <v>1.7</v>
      </c>
      <c r="O188" s="453">
        <v>2.2394506524094613</v>
      </c>
      <c r="P188" s="453" t="s">
        <v>742</v>
      </c>
      <c r="Q188" s="453">
        <v>0</v>
      </c>
      <c r="R188" s="453">
        <v>996.97924438573307</v>
      </c>
      <c r="S188" s="453">
        <v>8</v>
      </c>
      <c r="T188" s="453" t="s">
        <v>742</v>
      </c>
      <c r="U188" s="453">
        <v>0.7</v>
      </c>
      <c r="V188" s="453" t="s">
        <v>742</v>
      </c>
      <c r="W188" s="453">
        <v>51.980000000000004</v>
      </c>
      <c r="X188" s="456" t="e">
        <v>#VALUE!</v>
      </c>
      <c r="Y188" s="453">
        <v>33.700000000000003</v>
      </c>
      <c r="Z188" s="453">
        <v>20</v>
      </c>
      <c r="AA188" s="519">
        <v>33.600000000005821</v>
      </c>
      <c r="AB188" s="519">
        <v>19.98</v>
      </c>
      <c r="AC188" s="732">
        <f t="shared" si="2"/>
        <v>53.580000000005825</v>
      </c>
      <c r="AD188" s="664"/>
      <c r="AE188" s="664"/>
      <c r="AF188" s="664"/>
      <c r="AG188" s="664"/>
      <c r="AH188" s="664"/>
      <c r="AI188" s="664"/>
      <c r="AJ188" s="485"/>
      <c r="AK188" s="485"/>
      <c r="AL188" s="485"/>
      <c r="AM188" s="485"/>
      <c r="AN188" s="485"/>
      <c r="AO188" s="665"/>
      <c r="AP188" s="485"/>
      <c r="AQ188" s="483"/>
      <c r="AR188" s="755">
        <v>0</v>
      </c>
      <c r="AS188" s="483">
        <v>35.700000000000003</v>
      </c>
      <c r="AT188" s="755">
        <v>0</v>
      </c>
      <c r="AU188" s="483">
        <v>35.1</v>
      </c>
      <c r="AV188" s="484">
        <v>478.6</v>
      </c>
      <c r="AW188" s="484">
        <v>542.6</v>
      </c>
      <c r="AX188" s="453">
        <v>0.05</v>
      </c>
      <c r="AY188" s="734">
        <v>0</v>
      </c>
      <c r="AZ188" s="734">
        <v>0</v>
      </c>
      <c r="BA188" s="734">
        <v>0</v>
      </c>
      <c r="BB188" s="453">
        <v>0</v>
      </c>
      <c r="BC188" s="453">
        <v>0.21</v>
      </c>
      <c r="BD188" s="453">
        <v>1.95</v>
      </c>
      <c r="BE188" s="734">
        <v>0</v>
      </c>
      <c r="BF188" s="453">
        <v>0.54</v>
      </c>
      <c r="BG188" s="453">
        <v>0</v>
      </c>
      <c r="BH188" s="734">
        <v>0</v>
      </c>
      <c r="BI188" s="453">
        <v>0</v>
      </c>
      <c r="BJ188" s="453">
        <v>17.2</v>
      </c>
      <c r="BK188" s="453">
        <v>3.25</v>
      </c>
      <c r="BL188" s="453">
        <v>3.8</v>
      </c>
      <c r="BM188" s="453">
        <v>0</v>
      </c>
      <c r="BN188" s="453">
        <v>10.1</v>
      </c>
      <c r="BO188" s="453">
        <v>2293.3000000000002</v>
      </c>
      <c r="BP188" s="453">
        <v>0</v>
      </c>
      <c r="BQ188" s="453">
        <v>17.5</v>
      </c>
      <c r="BR188" s="453">
        <v>17.5</v>
      </c>
      <c r="BS188" s="453">
        <v>0</v>
      </c>
      <c r="BT188" s="453">
        <v>25.9</v>
      </c>
      <c r="BU188" s="756">
        <v>47</v>
      </c>
      <c r="BV188" s="456">
        <v>903</v>
      </c>
      <c r="BW188" s="453" t="s">
        <v>755</v>
      </c>
      <c r="BX188" s="453" t="s">
        <v>755</v>
      </c>
      <c r="BY188" s="456">
        <v>0.78</v>
      </c>
      <c r="BZ188" s="456">
        <v>18</v>
      </c>
      <c r="CA188" s="456">
        <v>30.6</v>
      </c>
      <c r="CB188" s="456">
        <v>20.399999999999999</v>
      </c>
      <c r="CC188" s="456">
        <v>9.4</v>
      </c>
      <c r="CD188" s="456">
        <v>13.5</v>
      </c>
      <c r="CE188" s="456">
        <v>17.8</v>
      </c>
      <c r="CF188" s="456">
        <v>13.3</v>
      </c>
      <c r="CG188" s="456">
        <v>0</v>
      </c>
      <c r="CH188" s="456">
        <v>5.7</v>
      </c>
      <c r="CI188" s="456">
        <v>9.6999999999999993</v>
      </c>
      <c r="CJ188" s="456">
        <v>843.8</v>
      </c>
      <c r="CK188" s="456">
        <v>720.6</v>
      </c>
      <c r="CL188" s="456">
        <v>660.9</v>
      </c>
      <c r="CM188" s="456">
        <v>7.5</v>
      </c>
      <c r="CN188" s="456">
        <v>1.4</v>
      </c>
      <c r="CO188" s="453">
        <f>694.4*10.78</f>
        <v>7485.6319999999996</v>
      </c>
      <c r="CP188" s="453">
        <v>16.440000000000001</v>
      </c>
      <c r="CQ188" s="453">
        <v>54</v>
      </c>
      <c r="CR188" s="456">
        <v>0</v>
      </c>
      <c r="CS188" s="456">
        <v>0</v>
      </c>
      <c r="CT188" s="456">
        <v>0</v>
      </c>
      <c r="CU188" s="456">
        <v>0</v>
      </c>
      <c r="CV188" s="481">
        <v>1334.7826086956522</v>
      </c>
      <c r="CW188" s="481">
        <v>1688.75</v>
      </c>
      <c r="CX188" s="481">
        <v>1234.2708333333333</v>
      </c>
      <c r="CY188" s="481">
        <v>1167.24</v>
      </c>
      <c r="CZ188" s="456"/>
      <c r="DA188" s="456"/>
      <c r="DB188" s="456"/>
      <c r="DC188" s="456"/>
      <c r="DD188" s="456"/>
      <c r="DE188" s="456"/>
      <c r="DF188" s="456"/>
      <c r="DG188" s="425"/>
      <c r="DH188" s="456">
        <v>71</v>
      </c>
      <c r="DI188" s="456">
        <v>0.46</v>
      </c>
      <c r="DJ188" s="456" t="s">
        <v>755</v>
      </c>
      <c r="DK188" s="425"/>
      <c r="DL188" s="456"/>
      <c r="DM188" s="456"/>
      <c r="DN188" s="456"/>
      <c r="DO188" s="456"/>
      <c r="DP188" s="456"/>
      <c r="DQ188" s="456"/>
      <c r="DR188" s="456"/>
      <c r="DS188" s="456"/>
      <c r="DT188" s="456"/>
      <c r="DU188" s="456"/>
      <c r="DV188" s="456"/>
      <c r="DW188" s="456"/>
      <c r="DX188" s="456"/>
      <c r="DY188" s="456"/>
      <c r="DZ188" s="456"/>
      <c r="EA188" s="456"/>
      <c r="EB188" s="456"/>
      <c r="EC188" s="456"/>
      <c r="ED188" s="423">
        <v>0</v>
      </c>
      <c r="EE188" s="456">
        <v>1</v>
      </c>
      <c r="EF188" s="456">
        <v>2.5</v>
      </c>
      <c r="EG188" s="456">
        <v>7</v>
      </c>
      <c r="EH188" s="423">
        <v>0</v>
      </c>
      <c r="EI188" s="456"/>
      <c r="EJ188" s="456"/>
      <c r="EK188" s="456"/>
      <c r="EL188" s="456"/>
      <c r="EM188" s="456"/>
      <c r="EN188" s="456"/>
      <c r="EO188" s="425"/>
      <c r="EP188" s="425"/>
      <c r="EQ188" s="425" t="s">
        <v>743</v>
      </c>
      <c r="ER188" s="425">
        <v>1</v>
      </c>
      <c r="ES188" s="425">
        <v>4</v>
      </c>
      <c r="ET188" s="425">
        <v>620</v>
      </c>
      <c r="EU188" s="457">
        <v>2880</v>
      </c>
      <c r="EV188" s="425">
        <v>340</v>
      </c>
      <c r="EW188" s="425">
        <v>6987056</v>
      </c>
      <c r="EX188" s="425">
        <v>78640</v>
      </c>
      <c r="EY188" s="666">
        <v>17.48</v>
      </c>
      <c r="EZ188" s="666">
        <v>17.48</v>
      </c>
      <c r="FA188" s="666">
        <v>0</v>
      </c>
      <c r="FB188" s="666">
        <v>1.36</v>
      </c>
      <c r="FC188" s="666">
        <v>1.32</v>
      </c>
      <c r="FD188" s="666">
        <v>1.1399999999999999</v>
      </c>
      <c r="FE188" s="666">
        <v>1.1599999999999999</v>
      </c>
      <c r="FF188" s="666">
        <v>280</v>
      </c>
      <c r="FG188" s="666">
        <v>1.31</v>
      </c>
      <c r="FH188" s="666">
        <v>0.78</v>
      </c>
      <c r="FI188" s="666">
        <v>1.29</v>
      </c>
      <c r="FJ188" s="666">
        <v>8.09</v>
      </c>
      <c r="FK188" s="666">
        <v>8.1</v>
      </c>
      <c r="FL188" s="666">
        <v>8.01</v>
      </c>
      <c r="FM188" s="666">
        <v>7.6</v>
      </c>
      <c r="FN188" s="666">
        <v>0</v>
      </c>
    </row>
    <row r="189" spans="1:170" s="416" customFormat="1" ht="15">
      <c r="A189" s="425" t="s">
        <v>8</v>
      </c>
      <c r="B189" s="426">
        <v>40718</v>
      </c>
      <c r="C189" s="418">
        <v>0</v>
      </c>
      <c r="D189" s="518">
        <v>0.77</v>
      </c>
      <c r="E189" s="453">
        <v>0</v>
      </c>
      <c r="F189" s="453">
        <v>49</v>
      </c>
      <c r="G189" s="453">
        <v>1.4</v>
      </c>
      <c r="H189" s="519">
        <v>1.56</v>
      </c>
      <c r="I189" s="519">
        <v>93.4</v>
      </c>
      <c r="J189" s="483">
        <v>1.1299999999999999</v>
      </c>
      <c r="K189" s="520" t="s">
        <v>742</v>
      </c>
      <c r="L189" s="453">
        <v>0</v>
      </c>
      <c r="M189" s="453">
        <v>21.5</v>
      </c>
      <c r="N189" s="453">
        <v>1.65</v>
      </c>
      <c r="O189" s="453">
        <v>2.2439611938162551</v>
      </c>
      <c r="P189" s="453" t="s">
        <v>742</v>
      </c>
      <c r="Q189" s="453">
        <v>0</v>
      </c>
      <c r="R189" s="453">
        <v>1022.5677305151913</v>
      </c>
      <c r="S189" s="453">
        <v>7.83</v>
      </c>
      <c r="T189" s="453" t="s">
        <v>742</v>
      </c>
      <c r="U189" s="453">
        <v>0.68</v>
      </c>
      <c r="V189" s="453" t="s">
        <v>742</v>
      </c>
      <c r="W189" s="453">
        <v>48.56</v>
      </c>
      <c r="X189" s="456" t="e">
        <v>#VALUE!</v>
      </c>
      <c r="Y189" s="453">
        <v>33.9</v>
      </c>
      <c r="Z189" s="453">
        <v>19.600000000000001</v>
      </c>
      <c r="AA189" s="519">
        <v>33.460000000006403</v>
      </c>
      <c r="AB189" s="519">
        <v>21.67</v>
      </c>
      <c r="AC189" s="732">
        <f t="shared" si="2"/>
        <v>55.130000000006405</v>
      </c>
      <c r="AD189" s="664"/>
      <c r="AE189" s="664"/>
      <c r="AF189" s="664"/>
      <c r="AG189" s="664"/>
      <c r="AH189" s="664"/>
      <c r="AI189" s="664"/>
      <c r="AJ189" s="485"/>
      <c r="AK189" s="485"/>
      <c r="AL189" s="485"/>
      <c r="AM189" s="485"/>
      <c r="AN189" s="485"/>
      <c r="AO189" s="665"/>
      <c r="AP189" s="485"/>
      <c r="AQ189" s="483"/>
      <c r="AR189" s="755">
        <v>0</v>
      </c>
      <c r="AS189" s="483">
        <v>18.100000000000001</v>
      </c>
      <c r="AT189" s="755">
        <v>0</v>
      </c>
      <c r="AU189" s="483">
        <v>35</v>
      </c>
      <c r="AV189" s="484">
        <v>105.1</v>
      </c>
      <c r="AW189" s="484">
        <v>519.29999999999995</v>
      </c>
      <c r="AX189" s="453">
        <v>4.5999999999999996</v>
      </c>
      <c r="AY189" s="734">
        <v>0</v>
      </c>
      <c r="AZ189" s="734">
        <v>0</v>
      </c>
      <c r="BA189" s="734">
        <v>0</v>
      </c>
      <c r="BB189" s="453">
        <v>0</v>
      </c>
      <c r="BC189" s="453">
        <v>0.16</v>
      </c>
      <c r="BD189" s="453">
        <v>2.02</v>
      </c>
      <c r="BE189" s="734">
        <v>0</v>
      </c>
      <c r="BF189" s="453">
        <v>0.49</v>
      </c>
      <c r="BG189" s="453">
        <v>0</v>
      </c>
      <c r="BH189" s="734">
        <v>0</v>
      </c>
      <c r="BI189" s="453">
        <v>0</v>
      </c>
      <c r="BJ189" s="453">
        <v>18.899999999999999</v>
      </c>
      <c r="BK189" s="453">
        <v>3.43</v>
      </c>
      <c r="BL189" s="453">
        <v>3.98</v>
      </c>
      <c r="BM189" s="453">
        <v>0</v>
      </c>
      <c r="BN189" s="453">
        <v>11.3</v>
      </c>
      <c r="BO189" s="453">
        <v>2109.1999999999998</v>
      </c>
      <c r="BP189" s="453">
        <v>0</v>
      </c>
      <c r="BQ189" s="453">
        <v>17.600000000000001</v>
      </c>
      <c r="BR189" s="453">
        <v>17.600000000000001</v>
      </c>
      <c r="BS189" s="453">
        <v>0</v>
      </c>
      <c r="BT189" s="453">
        <v>32.4</v>
      </c>
      <c r="BU189" s="453">
        <v>30.3</v>
      </c>
      <c r="BV189" s="456">
        <v>486.4</v>
      </c>
      <c r="BW189" s="453">
        <v>1.45</v>
      </c>
      <c r="BX189" s="453">
        <v>1.38</v>
      </c>
      <c r="BY189" s="456">
        <v>1.07</v>
      </c>
      <c r="BZ189" s="456">
        <v>18.2</v>
      </c>
      <c r="CA189" s="456">
        <v>30.4</v>
      </c>
      <c r="CB189" s="456">
        <v>20.6</v>
      </c>
      <c r="CC189" s="456">
        <v>9.5</v>
      </c>
      <c r="CD189" s="456">
        <v>13.7</v>
      </c>
      <c r="CE189" s="456">
        <v>17.7</v>
      </c>
      <c r="CF189" s="456">
        <v>13</v>
      </c>
      <c r="CG189" s="456">
        <v>0</v>
      </c>
      <c r="CH189" s="456">
        <v>6</v>
      </c>
      <c r="CI189" s="456">
        <v>9.6999999999999993</v>
      </c>
      <c r="CJ189" s="456">
        <v>815.7</v>
      </c>
      <c r="CK189" s="456">
        <v>734.9</v>
      </c>
      <c r="CL189" s="456">
        <v>633.5</v>
      </c>
      <c r="CM189" s="456">
        <v>8.5</v>
      </c>
      <c r="CN189" s="456">
        <v>1.5</v>
      </c>
      <c r="CO189" s="453">
        <f>694.4*10.74</f>
        <v>7457.8559999999998</v>
      </c>
      <c r="CP189" s="453">
        <v>17.37</v>
      </c>
      <c r="CQ189" s="453">
        <v>54</v>
      </c>
      <c r="CR189" s="456">
        <v>0</v>
      </c>
      <c r="CS189" s="456">
        <v>0</v>
      </c>
      <c r="CT189" s="456">
        <v>0</v>
      </c>
      <c r="CU189" s="456">
        <v>0</v>
      </c>
      <c r="CV189" s="481">
        <v>1266.0869565217392</v>
      </c>
      <c r="CW189" s="481">
        <v>1735.5208333333333</v>
      </c>
      <c r="CX189" s="481">
        <v>1170.8333333333333</v>
      </c>
      <c r="CY189" s="481">
        <v>1167.18</v>
      </c>
      <c r="CZ189" s="456"/>
      <c r="DA189" s="456"/>
      <c r="DB189" s="456"/>
      <c r="DC189" s="456"/>
      <c r="DD189" s="456"/>
      <c r="DE189" s="456"/>
      <c r="DF189" s="456"/>
      <c r="DG189" s="425"/>
      <c r="DH189" s="456">
        <v>75</v>
      </c>
      <c r="DI189" s="456">
        <v>0.38</v>
      </c>
      <c r="DJ189" s="456">
        <v>0</v>
      </c>
      <c r="DK189" s="425"/>
      <c r="DL189" s="456"/>
      <c r="DM189" s="456"/>
      <c r="DN189" s="456"/>
      <c r="DO189" s="456"/>
      <c r="DP189" s="456"/>
      <c r="DQ189" s="456"/>
      <c r="DR189" s="456"/>
      <c r="DS189" s="456"/>
      <c r="DT189" s="456"/>
      <c r="DU189" s="456"/>
      <c r="DV189" s="456"/>
      <c r="DW189" s="456"/>
      <c r="DX189" s="456"/>
      <c r="DY189" s="456"/>
      <c r="DZ189" s="456"/>
      <c r="EA189" s="456"/>
      <c r="EB189" s="456"/>
      <c r="EC189" s="456"/>
      <c r="ED189" s="423">
        <v>0</v>
      </c>
      <c r="EE189" s="456">
        <v>1</v>
      </c>
      <c r="EF189" s="456">
        <v>2.5</v>
      </c>
      <c r="EG189" s="456">
        <v>7.5</v>
      </c>
      <c r="EH189" s="423">
        <v>0</v>
      </c>
      <c r="EI189" s="456"/>
      <c r="EJ189" s="456"/>
      <c r="EK189" s="456"/>
      <c r="EL189" s="456"/>
      <c r="EM189" s="456"/>
      <c r="EN189" s="456"/>
      <c r="EO189" s="425"/>
      <c r="EP189" s="425"/>
      <c r="EQ189" s="425" t="s">
        <v>743</v>
      </c>
      <c r="ER189" s="425">
        <v>1</v>
      </c>
      <c r="ES189" s="425">
        <v>4</v>
      </c>
      <c r="ET189" s="425">
        <v>620</v>
      </c>
      <c r="EU189" s="457">
        <v>2600</v>
      </c>
      <c r="EV189" s="425">
        <v>240</v>
      </c>
      <c r="EW189" s="425">
        <v>6989771</v>
      </c>
      <c r="EX189" s="425">
        <v>79195</v>
      </c>
      <c r="EY189" s="666">
        <v>17.899999999999999</v>
      </c>
      <c r="EZ189" s="666">
        <v>17.899999999999999</v>
      </c>
      <c r="FA189" s="666">
        <v>0</v>
      </c>
      <c r="FB189" s="666">
        <v>1.35</v>
      </c>
      <c r="FC189" s="666">
        <v>1.3</v>
      </c>
      <c r="FD189" s="666">
        <v>1.1299999999999999</v>
      </c>
      <c r="FE189" s="666">
        <v>1.1000000000000001</v>
      </c>
      <c r="FF189" s="666">
        <v>280</v>
      </c>
      <c r="FG189" s="666">
        <v>1.27</v>
      </c>
      <c r="FH189" s="666">
        <v>0.75</v>
      </c>
      <c r="FI189" s="666">
        <v>1.17</v>
      </c>
      <c r="FJ189" s="666">
        <v>8.11</v>
      </c>
      <c r="FK189" s="666">
        <v>8.1999999999999993</v>
      </c>
      <c r="FL189" s="666">
        <v>7.99</v>
      </c>
      <c r="FM189" s="666">
        <v>7.6</v>
      </c>
      <c r="FN189" s="666">
        <v>0</v>
      </c>
    </row>
    <row r="190" spans="1:170" s="416" customFormat="1" ht="15">
      <c r="A190" s="425" t="s">
        <v>9</v>
      </c>
      <c r="B190" s="426">
        <v>40719</v>
      </c>
      <c r="C190" s="418">
        <v>0</v>
      </c>
      <c r="D190" s="518">
        <v>0.01</v>
      </c>
      <c r="E190" s="453">
        <v>0</v>
      </c>
      <c r="F190" s="453">
        <v>48</v>
      </c>
      <c r="G190" s="453">
        <v>1.4</v>
      </c>
      <c r="H190" s="519">
        <v>1.44</v>
      </c>
      <c r="I190" s="519">
        <v>93.7</v>
      </c>
      <c r="J190" s="483">
        <v>1.0900000000000001</v>
      </c>
      <c r="K190" s="520" t="s">
        <v>742</v>
      </c>
      <c r="L190" s="453">
        <v>0</v>
      </c>
      <c r="M190" s="453">
        <v>21.4</v>
      </c>
      <c r="N190" s="453">
        <v>1.62</v>
      </c>
      <c r="O190" s="453">
        <v>2.2494931969192433</v>
      </c>
      <c r="P190" s="453" t="s">
        <v>742</v>
      </c>
      <c r="Q190" s="453">
        <v>0.33289299868038008</v>
      </c>
      <c r="R190" s="453">
        <v>1108.0786208718625</v>
      </c>
      <c r="S190" s="453">
        <v>7.8</v>
      </c>
      <c r="T190" s="453" t="s">
        <v>742</v>
      </c>
      <c r="U190" s="453">
        <v>0.67</v>
      </c>
      <c r="V190" s="453" t="s">
        <v>742</v>
      </c>
      <c r="W190" s="787">
        <v>52</v>
      </c>
      <c r="X190" s="456" t="e">
        <v>#VALUE!</v>
      </c>
      <c r="Y190" s="453">
        <v>33.51</v>
      </c>
      <c r="Z190" s="453">
        <v>24.96</v>
      </c>
      <c r="AA190" s="519">
        <v>33.939999999987776</v>
      </c>
      <c r="AB190" s="519">
        <v>25.30000000000291</v>
      </c>
      <c r="AC190" s="732">
        <f t="shared" si="2"/>
        <v>59.239999999990687</v>
      </c>
      <c r="AD190" s="664"/>
      <c r="AE190" s="664"/>
      <c r="AF190" s="664"/>
      <c r="AG190" s="664"/>
      <c r="AH190" s="664"/>
      <c r="AI190" s="664"/>
      <c r="AJ190" s="485"/>
      <c r="AK190" s="485"/>
      <c r="AL190" s="485"/>
      <c r="AM190" s="485"/>
      <c r="AN190" s="485"/>
      <c r="AO190" s="665"/>
      <c r="AP190" s="485"/>
      <c r="AQ190" s="483"/>
      <c r="AR190" s="755">
        <v>0</v>
      </c>
      <c r="AS190" s="483">
        <v>18.899999999999999</v>
      </c>
      <c r="AT190" s="755">
        <v>0</v>
      </c>
      <c r="AU190" s="483">
        <v>35</v>
      </c>
      <c r="AV190" s="483">
        <v>370.7</v>
      </c>
      <c r="AW190" s="483">
        <v>798.9</v>
      </c>
      <c r="AX190" s="483">
        <v>0</v>
      </c>
      <c r="AY190" s="734">
        <v>0</v>
      </c>
      <c r="AZ190" s="734">
        <v>0</v>
      </c>
      <c r="BA190" s="734">
        <v>0</v>
      </c>
      <c r="BB190" s="483">
        <v>0</v>
      </c>
      <c r="BC190" s="483">
        <v>0.22</v>
      </c>
      <c r="BD190" s="483">
        <v>2.02</v>
      </c>
      <c r="BE190" s="755">
        <v>0</v>
      </c>
      <c r="BF190" s="483">
        <v>0.55000000000000004</v>
      </c>
      <c r="BG190" s="483">
        <v>0</v>
      </c>
      <c r="BH190" s="755">
        <v>0</v>
      </c>
      <c r="BI190" s="483">
        <v>0</v>
      </c>
      <c r="BJ190" s="483">
        <v>22.2</v>
      </c>
      <c r="BK190" s="483">
        <v>3.49</v>
      </c>
      <c r="BL190" s="483">
        <v>4.05</v>
      </c>
      <c r="BM190" s="483">
        <v>0</v>
      </c>
      <c r="BN190" s="483">
        <v>14.5</v>
      </c>
      <c r="BO190" s="483">
        <v>1819.1</v>
      </c>
      <c r="BP190" s="483">
        <v>0</v>
      </c>
      <c r="BQ190" s="483">
        <v>18.3</v>
      </c>
      <c r="BR190" s="483">
        <v>18.3</v>
      </c>
      <c r="BS190" s="483">
        <v>0</v>
      </c>
      <c r="BT190" s="483">
        <v>31.8</v>
      </c>
      <c r="BU190" s="483">
        <v>25.8</v>
      </c>
      <c r="BV190" s="483">
        <v>602.70000000000005</v>
      </c>
      <c r="BW190" s="483">
        <v>1.3</v>
      </c>
      <c r="BX190" s="483">
        <v>1.38</v>
      </c>
      <c r="BY190" s="483">
        <v>1.06</v>
      </c>
      <c r="BZ190" s="483">
        <v>17.899999999999999</v>
      </c>
      <c r="CA190" s="483">
        <v>30.8</v>
      </c>
      <c r="CB190" s="483">
        <v>20.399999999999999</v>
      </c>
      <c r="CC190" s="483">
        <v>8.8000000000000007</v>
      </c>
      <c r="CD190" s="483">
        <v>13</v>
      </c>
      <c r="CE190" s="483">
        <v>17.3</v>
      </c>
      <c r="CF190" s="483">
        <v>13</v>
      </c>
      <c r="CG190" s="483">
        <v>0</v>
      </c>
      <c r="CH190" s="483">
        <v>5.5</v>
      </c>
      <c r="CI190" s="483">
        <v>9.1999999999999993</v>
      </c>
      <c r="CJ190" s="483">
        <v>798.4</v>
      </c>
      <c r="CK190" s="483">
        <v>711.8</v>
      </c>
      <c r="CL190" s="483">
        <v>604.6</v>
      </c>
      <c r="CM190" s="483">
        <v>8.3000000000000007</v>
      </c>
      <c r="CN190" s="483">
        <v>1.4</v>
      </c>
      <c r="CO190" s="483">
        <f>694.4*10.71</f>
        <v>7437.0240000000003</v>
      </c>
      <c r="CP190" s="483">
        <v>17.22</v>
      </c>
      <c r="CQ190" s="483">
        <v>54</v>
      </c>
      <c r="CR190" s="483">
        <v>0</v>
      </c>
      <c r="CS190" s="483">
        <v>0</v>
      </c>
      <c r="CT190" s="483">
        <v>0</v>
      </c>
      <c r="CU190" s="483">
        <v>0</v>
      </c>
      <c r="CV190" s="481">
        <v>1160</v>
      </c>
      <c r="CW190" s="481">
        <v>1569.2708333333333</v>
      </c>
      <c r="CX190" s="481">
        <v>1042.8125</v>
      </c>
      <c r="CY190" s="481">
        <v>1167.1400000000001</v>
      </c>
      <c r="CZ190" s="456"/>
      <c r="DA190" s="456"/>
      <c r="DB190" s="456"/>
      <c r="DC190" s="456"/>
      <c r="DD190" s="456"/>
      <c r="DE190" s="456"/>
      <c r="DF190" s="456"/>
      <c r="DG190" s="425"/>
      <c r="DH190" s="456">
        <v>90</v>
      </c>
      <c r="DI190" s="456">
        <v>0.42</v>
      </c>
      <c r="DJ190" s="456" t="s">
        <v>755</v>
      </c>
      <c r="DK190" s="425"/>
      <c r="DL190" s="456"/>
      <c r="DM190" s="456"/>
      <c r="DN190" s="456"/>
      <c r="DO190" s="456"/>
      <c r="DP190" s="456"/>
      <c r="DQ190" s="456"/>
      <c r="DR190" s="456"/>
      <c r="DS190" s="456"/>
      <c r="DT190" s="456"/>
      <c r="DU190" s="456"/>
      <c r="DV190" s="456"/>
      <c r="DW190" s="456"/>
      <c r="DX190" s="456"/>
      <c r="DY190" s="456"/>
      <c r="DZ190" s="456"/>
      <c r="EA190" s="456"/>
      <c r="EB190" s="456"/>
      <c r="EC190" s="456"/>
      <c r="ED190" s="423">
        <v>0</v>
      </c>
      <c r="EE190" s="456">
        <v>1</v>
      </c>
      <c r="EF190" s="456">
        <v>2.5</v>
      </c>
      <c r="EG190" s="456">
        <v>7.5</v>
      </c>
      <c r="EH190" s="423">
        <v>0</v>
      </c>
      <c r="EI190" s="456"/>
      <c r="EJ190" s="456"/>
      <c r="EK190" s="456"/>
      <c r="EL190" s="456"/>
      <c r="EM190" s="456"/>
      <c r="EN190" s="456"/>
      <c r="EO190" s="425"/>
      <c r="EP190" s="425"/>
      <c r="EQ190" s="425" t="s">
        <v>743</v>
      </c>
      <c r="ER190" s="425">
        <v>1</v>
      </c>
      <c r="ES190" s="425">
        <v>4</v>
      </c>
      <c r="ET190" s="425">
        <v>620</v>
      </c>
      <c r="EU190" s="457">
        <v>2360</v>
      </c>
      <c r="EV190" s="425">
        <v>270</v>
      </c>
      <c r="EW190" s="425">
        <v>6992502</v>
      </c>
      <c r="EX190" s="425">
        <v>79776</v>
      </c>
      <c r="EY190" s="666">
        <v>18.5</v>
      </c>
      <c r="EZ190" s="666">
        <v>18.5</v>
      </c>
      <c r="FA190" s="666">
        <v>0</v>
      </c>
      <c r="FB190" s="666">
        <v>1.38</v>
      </c>
      <c r="FC190" s="666">
        <v>1.38</v>
      </c>
      <c r="FD190" s="666">
        <v>1.1499999999999999</v>
      </c>
      <c r="FE190" s="666">
        <v>1.1299999999999999</v>
      </c>
      <c r="FF190" s="666">
        <v>240</v>
      </c>
      <c r="FG190" s="666">
        <v>1.2</v>
      </c>
      <c r="FH190" s="666">
        <v>0.7</v>
      </c>
      <c r="FI190" s="666">
        <v>1.1499999999999999</v>
      </c>
      <c r="FJ190" s="666">
        <v>8.2100000000000009</v>
      </c>
      <c r="FK190" s="666">
        <v>8.1</v>
      </c>
      <c r="FL190" s="666">
        <v>8.01</v>
      </c>
      <c r="FM190" s="666">
        <v>7.5</v>
      </c>
      <c r="FN190" s="666">
        <v>0</v>
      </c>
    </row>
    <row r="191" spans="1:170" s="416" customFormat="1" ht="15">
      <c r="A191" s="425" t="s">
        <v>3</v>
      </c>
      <c r="B191" s="426">
        <v>40720</v>
      </c>
      <c r="C191" s="418">
        <v>0</v>
      </c>
      <c r="D191" s="518">
        <v>0</v>
      </c>
      <c r="E191" s="453">
        <v>0</v>
      </c>
      <c r="F191" s="453">
        <v>58</v>
      </c>
      <c r="G191" s="453">
        <v>1.4</v>
      </c>
      <c r="H191" s="519">
        <v>1.56</v>
      </c>
      <c r="I191" s="519">
        <v>93.2</v>
      </c>
      <c r="J191" s="483">
        <v>1.1599999999999999</v>
      </c>
      <c r="K191" s="520" t="s">
        <v>742</v>
      </c>
      <c r="L191" s="453">
        <v>0</v>
      </c>
      <c r="M191" s="453">
        <v>21.3</v>
      </c>
      <c r="N191" s="453">
        <v>1.6</v>
      </c>
      <c r="O191" s="453">
        <v>2.2489475392300475</v>
      </c>
      <c r="P191" s="453" t="s">
        <v>742</v>
      </c>
      <c r="Q191" s="453">
        <v>1.9418758256355504</v>
      </c>
      <c r="R191" s="453">
        <v>1095.4463302509905</v>
      </c>
      <c r="S191" s="453">
        <v>7.8</v>
      </c>
      <c r="T191" s="453" t="s">
        <v>742</v>
      </c>
      <c r="U191" s="453">
        <v>0.67</v>
      </c>
      <c r="V191" s="453" t="s">
        <v>742</v>
      </c>
      <c r="W191" s="453">
        <v>49.28</v>
      </c>
      <c r="X191" s="456" t="e">
        <v>#VALUE!</v>
      </c>
      <c r="Y191" s="453">
        <v>33.86</v>
      </c>
      <c r="Z191" s="453">
        <v>25.22</v>
      </c>
      <c r="AA191" s="519">
        <v>33.200000000011642</v>
      </c>
      <c r="AB191" s="519">
        <v>24.69999999999709</v>
      </c>
      <c r="AC191" s="732">
        <f t="shared" si="2"/>
        <v>57.900000000008731</v>
      </c>
      <c r="AD191" s="664"/>
      <c r="AE191" s="664"/>
      <c r="AF191" s="664"/>
      <c r="AG191" s="664"/>
      <c r="AH191" s="664"/>
      <c r="AI191" s="664"/>
      <c r="AJ191" s="485"/>
      <c r="AK191" s="485"/>
      <c r="AL191" s="485"/>
      <c r="AM191" s="485"/>
      <c r="AN191" s="485"/>
      <c r="AO191" s="665"/>
      <c r="AP191" s="485"/>
      <c r="AQ191" s="483"/>
      <c r="AR191" s="755">
        <v>0</v>
      </c>
      <c r="AS191" s="483">
        <v>39.6</v>
      </c>
      <c r="AT191" s="755">
        <v>0</v>
      </c>
      <c r="AU191" s="483">
        <v>35</v>
      </c>
      <c r="AV191" s="484">
        <v>813.3</v>
      </c>
      <c r="AW191" s="786">
        <v>914.2</v>
      </c>
      <c r="AX191" s="453">
        <v>1.4</v>
      </c>
      <c r="AY191" s="734">
        <v>0</v>
      </c>
      <c r="AZ191" s="734">
        <v>0</v>
      </c>
      <c r="BA191" s="734">
        <v>0</v>
      </c>
      <c r="BB191" s="453">
        <v>0</v>
      </c>
      <c r="BC191" s="453">
        <v>0.15</v>
      </c>
      <c r="BD191" s="453">
        <v>2.02</v>
      </c>
      <c r="BE191" s="734">
        <v>0</v>
      </c>
      <c r="BF191" s="453">
        <v>0.5</v>
      </c>
      <c r="BG191" s="453">
        <v>0</v>
      </c>
      <c r="BH191" s="734">
        <v>0</v>
      </c>
      <c r="BI191" s="453">
        <v>0</v>
      </c>
      <c r="BJ191" s="453">
        <v>22.2</v>
      </c>
      <c r="BK191" s="453">
        <v>3.5</v>
      </c>
      <c r="BL191" s="453">
        <v>4.05</v>
      </c>
      <c r="BM191" s="453">
        <v>0</v>
      </c>
      <c r="BN191" s="453">
        <v>14.5</v>
      </c>
      <c r="BO191" s="453">
        <v>2542.6</v>
      </c>
      <c r="BP191" s="453">
        <v>0</v>
      </c>
      <c r="BQ191" s="453">
        <v>18</v>
      </c>
      <c r="BR191" s="453">
        <v>18</v>
      </c>
      <c r="BS191" s="453">
        <v>0</v>
      </c>
      <c r="BT191" s="453">
        <v>31.8</v>
      </c>
      <c r="BU191" s="453">
        <v>30.4</v>
      </c>
      <c r="BV191" s="456">
        <v>632.9</v>
      </c>
      <c r="BW191" s="453">
        <v>1.95</v>
      </c>
      <c r="BX191" s="453">
        <v>1.39</v>
      </c>
      <c r="BY191" s="456">
        <v>1.08</v>
      </c>
      <c r="BZ191" s="456">
        <v>17.600000000000001</v>
      </c>
      <c r="CA191" s="456">
        <v>29.8</v>
      </c>
      <c r="CB191" s="456">
        <v>20.100000000000001</v>
      </c>
      <c r="CC191" s="456">
        <v>10.4</v>
      </c>
      <c r="CD191" s="456">
        <v>14.7</v>
      </c>
      <c r="CE191" s="456">
        <v>18.7</v>
      </c>
      <c r="CF191" s="456">
        <v>12.8</v>
      </c>
      <c r="CG191" s="456">
        <v>0</v>
      </c>
      <c r="CH191" s="456">
        <v>5.6</v>
      </c>
      <c r="CI191" s="456">
        <v>9.1999999999999993</v>
      </c>
      <c r="CJ191" s="456">
        <v>983.2</v>
      </c>
      <c r="CK191" s="456">
        <v>888.5</v>
      </c>
      <c r="CL191" s="456">
        <v>656.9</v>
      </c>
      <c r="CM191" s="456">
        <v>8.5</v>
      </c>
      <c r="CN191" s="456">
        <v>1.4</v>
      </c>
      <c r="CO191" s="453">
        <f>694.4*10.69</f>
        <v>7423.1359999999995</v>
      </c>
      <c r="CP191" s="453">
        <v>17.43</v>
      </c>
      <c r="CQ191" s="453">
        <v>54</v>
      </c>
      <c r="CR191" s="456">
        <v>0</v>
      </c>
      <c r="CS191" s="456">
        <v>0</v>
      </c>
      <c r="CT191" s="456">
        <v>0</v>
      </c>
      <c r="CU191" s="456">
        <v>0</v>
      </c>
      <c r="CV191" s="481">
        <v>1160</v>
      </c>
      <c r="CW191" s="481">
        <v>1519.5833333333333</v>
      </c>
      <c r="CX191" s="481">
        <v>1041.0416666666667</v>
      </c>
      <c r="CY191" s="481">
        <v>1166.9000000000001</v>
      </c>
      <c r="CZ191" s="456"/>
      <c r="DA191" s="456"/>
      <c r="DB191" s="456"/>
      <c r="DC191" s="456"/>
      <c r="DD191" s="456"/>
      <c r="DE191" s="456"/>
      <c r="DF191" s="456"/>
      <c r="DG191" s="425"/>
      <c r="DH191" s="456">
        <v>58</v>
      </c>
      <c r="DI191" s="456">
        <v>0.4</v>
      </c>
      <c r="DJ191" s="456" t="s">
        <v>755</v>
      </c>
      <c r="DK191" s="425"/>
      <c r="DL191" s="456"/>
      <c r="DM191" s="456"/>
      <c r="DN191" s="456"/>
      <c r="DO191" s="456"/>
      <c r="DP191" s="456"/>
      <c r="DQ191" s="456"/>
      <c r="DR191" s="456"/>
      <c r="DS191" s="456"/>
      <c r="DT191" s="456"/>
      <c r="DU191" s="456"/>
      <c r="DV191" s="456"/>
      <c r="DW191" s="456"/>
      <c r="DX191" s="456"/>
      <c r="DY191" s="456"/>
      <c r="DZ191" s="456"/>
      <c r="EA191" s="456"/>
      <c r="EB191" s="456"/>
      <c r="EC191" s="456"/>
      <c r="ED191" s="423">
        <v>0</v>
      </c>
      <c r="EE191" s="456">
        <v>1</v>
      </c>
      <c r="EF191" s="456">
        <v>2.5</v>
      </c>
      <c r="EG191" s="456">
        <v>7.5</v>
      </c>
      <c r="EH191" s="423">
        <v>0</v>
      </c>
      <c r="EI191" s="456"/>
      <c r="EJ191" s="456"/>
      <c r="EK191" s="456"/>
      <c r="EL191" s="456"/>
      <c r="EM191" s="456"/>
      <c r="EN191" s="456"/>
      <c r="EO191" s="425"/>
      <c r="EP191" s="425"/>
      <c r="EQ191" s="425" t="s">
        <v>743</v>
      </c>
      <c r="ER191" s="425">
        <v>1</v>
      </c>
      <c r="ES191" s="425">
        <v>4</v>
      </c>
      <c r="ET191" s="425">
        <v>620</v>
      </c>
      <c r="EU191" s="457">
        <v>2080</v>
      </c>
      <c r="EV191" s="425">
        <v>350</v>
      </c>
      <c r="EW191" s="425">
        <v>6995692</v>
      </c>
      <c r="EX191" s="425">
        <v>80354</v>
      </c>
      <c r="EY191" s="666">
        <v>18.05</v>
      </c>
      <c r="EZ191" s="666">
        <v>18.05</v>
      </c>
      <c r="FA191" s="666">
        <v>0</v>
      </c>
      <c r="FB191" s="666">
        <v>1.39</v>
      </c>
      <c r="FC191" s="666">
        <v>1.35</v>
      </c>
      <c r="FD191" s="666">
        <v>1.23</v>
      </c>
      <c r="FE191" s="666">
        <v>1.2</v>
      </c>
      <c r="FF191" s="666">
        <v>280</v>
      </c>
      <c r="FG191" s="666">
        <v>1.36</v>
      </c>
      <c r="FH191" s="666">
        <v>0.7</v>
      </c>
      <c r="FI191" s="666">
        <v>1.2</v>
      </c>
      <c r="FJ191" s="666">
        <v>8.25</v>
      </c>
      <c r="FK191" s="666">
        <v>8.1</v>
      </c>
      <c r="FL191" s="666">
        <v>8.16</v>
      </c>
      <c r="FM191" s="666">
        <v>7.7</v>
      </c>
      <c r="FN191" s="666">
        <v>0</v>
      </c>
    </row>
    <row r="192" spans="1:170" s="416" customFormat="1" ht="15">
      <c r="A192" s="425" t="s">
        <v>4</v>
      </c>
      <c r="B192" s="426">
        <v>40721</v>
      </c>
      <c r="C192" s="418">
        <v>0</v>
      </c>
      <c r="D192" s="518">
        <v>0.01</v>
      </c>
      <c r="E192" s="453">
        <v>0</v>
      </c>
      <c r="F192" s="453">
        <v>56</v>
      </c>
      <c r="G192" s="453">
        <v>1.2</v>
      </c>
      <c r="H192" s="519">
        <v>1.8</v>
      </c>
      <c r="I192" s="519">
        <v>93.8</v>
      </c>
      <c r="J192" s="483">
        <v>1.6</v>
      </c>
      <c r="K192" s="520" t="s">
        <v>742</v>
      </c>
      <c r="L192" s="453">
        <v>0</v>
      </c>
      <c r="M192" s="453">
        <v>21.2</v>
      </c>
      <c r="N192" s="453">
        <v>1.6</v>
      </c>
      <c r="O192" s="453">
        <v>2.2518126314122617</v>
      </c>
      <c r="P192" s="453" t="s">
        <v>742</v>
      </c>
      <c r="Q192" s="453">
        <v>0</v>
      </c>
      <c r="R192" s="453">
        <v>1108.402525759577</v>
      </c>
      <c r="S192" s="453">
        <v>7.8</v>
      </c>
      <c r="T192" s="453" t="s">
        <v>742</v>
      </c>
      <c r="U192" s="453">
        <v>0.7</v>
      </c>
      <c r="V192" s="453" t="s">
        <v>742</v>
      </c>
      <c r="W192" s="453">
        <v>52.519999999999996</v>
      </c>
      <c r="X192" s="456" t="e">
        <v>#VALUE!</v>
      </c>
      <c r="Y192" s="453">
        <v>33.659999999999997</v>
      </c>
      <c r="Z192" s="453">
        <v>24.58</v>
      </c>
      <c r="AA192" s="519">
        <v>34</v>
      </c>
      <c r="AB192" s="519">
        <v>25.30000000000291</v>
      </c>
      <c r="AC192" s="732">
        <f t="shared" si="2"/>
        <v>59.30000000000291</v>
      </c>
      <c r="AD192" s="664"/>
      <c r="AE192" s="664"/>
      <c r="AF192" s="664"/>
      <c r="AG192" s="664"/>
      <c r="AH192" s="664"/>
      <c r="AI192" s="664"/>
      <c r="AJ192" s="485"/>
      <c r="AK192" s="485"/>
      <c r="AL192" s="485"/>
      <c r="AM192" s="485"/>
      <c r="AN192" s="485"/>
      <c r="AO192" s="665"/>
      <c r="AP192" s="485"/>
      <c r="AQ192" s="483"/>
      <c r="AR192" s="755">
        <v>0</v>
      </c>
      <c r="AS192" s="483">
        <v>18.600000000000001</v>
      </c>
      <c r="AT192" s="755">
        <v>0</v>
      </c>
      <c r="AU192" s="483">
        <v>35</v>
      </c>
      <c r="AV192" s="484">
        <v>465</v>
      </c>
      <c r="AW192" s="484">
        <v>606.20000000000005</v>
      </c>
      <c r="AX192" s="453">
        <v>2.1</v>
      </c>
      <c r="AY192" s="734">
        <v>0</v>
      </c>
      <c r="AZ192" s="734">
        <v>0</v>
      </c>
      <c r="BA192" s="734">
        <v>0</v>
      </c>
      <c r="BB192" s="453">
        <v>0</v>
      </c>
      <c r="BC192" s="453">
        <v>0</v>
      </c>
      <c r="BD192" s="453">
        <v>2</v>
      </c>
      <c r="BE192" s="734">
        <v>0</v>
      </c>
      <c r="BF192" s="453">
        <v>0.4</v>
      </c>
      <c r="BG192" s="453">
        <v>0</v>
      </c>
      <c r="BH192" s="734">
        <v>0</v>
      </c>
      <c r="BI192" s="453">
        <v>0</v>
      </c>
      <c r="BJ192" s="453">
        <v>22.3</v>
      </c>
      <c r="BK192" s="453">
        <v>3.49</v>
      </c>
      <c r="BL192" s="453">
        <v>4.05</v>
      </c>
      <c r="BM192" s="453">
        <v>0</v>
      </c>
      <c r="BN192" s="453">
        <v>14.7</v>
      </c>
      <c r="BO192" s="453">
        <v>1747.5</v>
      </c>
      <c r="BP192" s="453">
        <v>20.8</v>
      </c>
      <c r="BQ192" s="453">
        <v>18.2</v>
      </c>
      <c r="BR192" s="453">
        <v>18.2</v>
      </c>
      <c r="BS192" s="453">
        <v>0</v>
      </c>
      <c r="BT192" s="453">
        <v>31.9</v>
      </c>
      <c r="BU192" s="453">
        <v>28.6</v>
      </c>
      <c r="BV192" s="456">
        <v>599.5</v>
      </c>
      <c r="BW192" s="453">
        <v>1.24</v>
      </c>
      <c r="BX192" s="453">
        <v>1.35</v>
      </c>
      <c r="BY192" s="456">
        <v>1.0900000000000001</v>
      </c>
      <c r="BZ192" s="456">
        <v>18.100000000000001</v>
      </c>
      <c r="CA192" s="456">
        <v>33.6</v>
      </c>
      <c r="CB192" s="456">
        <v>20.5</v>
      </c>
      <c r="CC192" s="456">
        <v>8.4</v>
      </c>
      <c r="CD192" s="456">
        <v>12.6</v>
      </c>
      <c r="CE192" s="456">
        <v>16.899999999999999</v>
      </c>
      <c r="CF192" s="456">
        <v>12.8</v>
      </c>
      <c r="CG192" s="456">
        <v>1.1000000000000001</v>
      </c>
      <c r="CH192" s="456">
        <v>6.1</v>
      </c>
      <c r="CI192" s="456">
        <v>9.5</v>
      </c>
      <c r="CJ192" s="456">
        <v>638.29999999999995</v>
      </c>
      <c r="CK192" s="456">
        <v>785.2</v>
      </c>
      <c r="CL192" s="456">
        <v>653.29999999999995</v>
      </c>
      <c r="CM192" s="456">
        <v>8.3000000000000007</v>
      </c>
      <c r="CN192" s="456">
        <v>1.46</v>
      </c>
      <c r="CO192" s="453">
        <v>7404.2</v>
      </c>
      <c r="CP192" s="453">
        <v>16.850000000000001</v>
      </c>
      <c r="CQ192" s="453">
        <v>54</v>
      </c>
      <c r="CR192" s="456">
        <v>0</v>
      </c>
      <c r="CS192" s="456">
        <v>0</v>
      </c>
      <c r="CT192" s="456">
        <v>0</v>
      </c>
      <c r="CU192" s="456">
        <v>0</v>
      </c>
      <c r="CV192" s="483">
        <v>1028.695652173913</v>
      </c>
      <c r="CW192" s="483">
        <v>1455</v>
      </c>
      <c r="CX192" s="483">
        <v>923.57291666666663</v>
      </c>
      <c r="CY192" s="483">
        <v>1166.83</v>
      </c>
      <c r="CZ192" s="456"/>
      <c r="DA192" s="456"/>
      <c r="DB192" s="456"/>
      <c r="DC192" s="456"/>
      <c r="DD192" s="456"/>
      <c r="DE192" s="456"/>
      <c r="DF192" s="456"/>
      <c r="DG192" s="425"/>
      <c r="DH192" s="456">
        <v>63</v>
      </c>
      <c r="DI192" s="456">
        <v>0.48</v>
      </c>
      <c r="DJ192" s="456" t="s">
        <v>756</v>
      </c>
      <c r="DK192" s="425"/>
      <c r="DL192" s="456"/>
      <c r="DM192" s="456"/>
      <c r="DN192" s="456"/>
      <c r="DO192" s="456"/>
      <c r="DP192" s="456"/>
      <c r="DQ192" s="456"/>
      <c r="DR192" s="456"/>
      <c r="DS192" s="456"/>
      <c r="DT192" s="456"/>
      <c r="DU192" s="456"/>
      <c r="DV192" s="456"/>
      <c r="DW192" s="456"/>
      <c r="DX192" s="456"/>
      <c r="DY192" s="456"/>
      <c r="DZ192" s="456"/>
      <c r="EA192" s="456"/>
      <c r="EB192" s="456"/>
      <c r="EC192" s="456"/>
      <c r="ED192" s="423">
        <v>0</v>
      </c>
      <c r="EE192" s="456">
        <v>1</v>
      </c>
      <c r="EF192" s="456">
        <v>2.5</v>
      </c>
      <c r="EG192" s="456">
        <v>7.5</v>
      </c>
      <c r="EH192" s="423">
        <v>0</v>
      </c>
      <c r="EI192" s="456"/>
      <c r="EJ192" s="456"/>
      <c r="EK192" s="456"/>
      <c r="EL192" s="456"/>
      <c r="EM192" s="456"/>
      <c r="EN192" s="456"/>
      <c r="EO192" s="425"/>
      <c r="EP192" s="425"/>
      <c r="EQ192" s="425" t="s">
        <v>743</v>
      </c>
      <c r="ER192" s="425">
        <v>1</v>
      </c>
      <c r="ES192" s="425">
        <v>4</v>
      </c>
      <c r="ET192" s="425">
        <v>4000</v>
      </c>
      <c r="EU192" s="457">
        <v>1800</v>
      </c>
      <c r="EV192" s="425">
        <v>295</v>
      </c>
      <c r="EW192" s="425">
        <v>6998804</v>
      </c>
      <c r="EX192" s="425">
        <v>80953</v>
      </c>
      <c r="EY192" s="666">
        <v>18.2</v>
      </c>
      <c r="EZ192" s="666">
        <v>18.2</v>
      </c>
      <c r="FA192" s="666">
        <v>0</v>
      </c>
      <c r="FB192" s="666">
        <v>1.35</v>
      </c>
      <c r="FC192" s="666">
        <v>1.31</v>
      </c>
      <c r="FD192" s="666">
        <v>1.1459999999999999</v>
      </c>
      <c r="FE192" s="666">
        <v>1.22</v>
      </c>
      <c r="FF192" s="666">
        <v>290</v>
      </c>
      <c r="FG192" s="666">
        <v>1.32</v>
      </c>
      <c r="FH192" s="666">
        <v>0.67500000000000004</v>
      </c>
      <c r="FI192" s="666">
        <v>1.1100000000000001</v>
      </c>
      <c r="FJ192" s="666">
        <v>8.23</v>
      </c>
      <c r="FK192" s="666">
        <v>8.1999999999999993</v>
      </c>
      <c r="FL192" s="666">
        <v>8.0399999999999991</v>
      </c>
      <c r="FM192" s="666">
        <v>7.8</v>
      </c>
      <c r="FN192" s="666">
        <v>0</v>
      </c>
    </row>
    <row r="193" spans="1:170" s="416" customFormat="1" ht="15">
      <c r="A193" s="425" t="s">
        <v>5</v>
      </c>
      <c r="B193" s="426">
        <v>40722</v>
      </c>
      <c r="C193" s="418">
        <v>0</v>
      </c>
      <c r="D193" s="518">
        <v>0.11</v>
      </c>
      <c r="E193" s="453">
        <v>0</v>
      </c>
      <c r="F193" s="453">
        <v>57</v>
      </c>
      <c r="G193" s="453">
        <v>1.2</v>
      </c>
      <c r="H193" s="519">
        <v>1.5</v>
      </c>
      <c r="I193" s="519">
        <v>93.4</v>
      </c>
      <c r="J193" s="483">
        <v>1.2</v>
      </c>
      <c r="K193" s="520" t="s">
        <v>742</v>
      </c>
      <c r="L193" s="453">
        <v>0</v>
      </c>
      <c r="M193" s="453">
        <v>21.1</v>
      </c>
      <c r="N193" s="453">
        <v>1.6</v>
      </c>
      <c r="O193" s="453">
        <v>2.2934280620086334</v>
      </c>
      <c r="P193" s="453" t="s">
        <v>742</v>
      </c>
      <c r="Q193" s="453">
        <v>0</v>
      </c>
      <c r="R193" s="453">
        <v>1113.5850039630118</v>
      </c>
      <c r="S193" s="453">
        <v>7.8</v>
      </c>
      <c r="T193" s="453" t="s">
        <v>742</v>
      </c>
      <c r="U193" s="453">
        <v>0.7</v>
      </c>
      <c r="V193" s="453" t="s">
        <v>742</v>
      </c>
      <c r="W193" s="453">
        <v>52.519999999999996</v>
      </c>
      <c r="X193" s="456" t="e">
        <v>#VALUE!</v>
      </c>
      <c r="Y193" s="453">
        <v>33.700000000000003</v>
      </c>
      <c r="Z193" s="453">
        <v>25</v>
      </c>
      <c r="AA193" s="519">
        <v>33.5</v>
      </c>
      <c r="AB193" s="519">
        <v>24.899999999994179</v>
      </c>
      <c r="AC193" s="732">
        <f t="shared" si="2"/>
        <v>58.399999999994179</v>
      </c>
      <c r="AD193" s="664"/>
      <c r="AE193" s="664"/>
      <c r="AF193" s="664"/>
      <c r="AG193" s="664"/>
      <c r="AH193" s="664"/>
      <c r="AI193" s="664"/>
      <c r="AJ193" s="485"/>
      <c r="AK193" s="485"/>
      <c r="AL193" s="485"/>
      <c r="AM193" s="485"/>
      <c r="AN193" s="485"/>
      <c r="AO193" s="665"/>
      <c r="AP193" s="485"/>
      <c r="AQ193" s="483"/>
      <c r="AR193" s="755">
        <v>0</v>
      </c>
      <c r="AS193" s="483">
        <v>24.6</v>
      </c>
      <c r="AT193" s="755">
        <v>0</v>
      </c>
      <c r="AU193" s="483">
        <v>35</v>
      </c>
      <c r="AV193" s="484">
        <v>0</v>
      </c>
      <c r="AW193" s="484">
        <v>583.4</v>
      </c>
      <c r="AX193" s="453">
        <v>3.1</v>
      </c>
      <c r="AY193" s="734">
        <v>0</v>
      </c>
      <c r="AZ193" s="734">
        <v>0</v>
      </c>
      <c r="BA193" s="734">
        <v>0</v>
      </c>
      <c r="BB193" s="453">
        <v>0</v>
      </c>
      <c r="BC193" s="453">
        <v>0</v>
      </c>
      <c r="BD193" s="453">
        <v>2.02</v>
      </c>
      <c r="BE193" s="734">
        <v>0</v>
      </c>
      <c r="BF193" s="453">
        <v>0.5</v>
      </c>
      <c r="BG193" s="453">
        <v>0</v>
      </c>
      <c r="BH193" s="734">
        <v>0</v>
      </c>
      <c r="BI193" s="453">
        <v>0</v>
      </c>
      <c r="BJ193" s="453">
        <v>22.4</v>
      </c>
      <c r="BK193" s="453">
        <v>3.5</v>
      </c>
      <c r="BL193" s="453">
        <v>4.05</v>
      </c>
      <c r="BM193" s="453">
        <v>0</v>
      </c>
      <c r="BN193" s="453">
        <v>14.7</v>
      </c>
      <c r="BO193" s="453">
        <v>2414.6</v>
      </c>
      <c r="BP193" s="453">
        <v>14.4</v>
      </c>
      <c r="BQ193" s="453">
        <v>18.7</v>
      </c>
      <c r="BR193" s="453">
        <v>18.7</v>
      </c>
      <c r="BS193" s="453">
        <v>0</v>
      </c>
      <c r="BT193" s="453">
        <v>32.4</v>
      </c>
      <c r="BU193" s="453">
        <v>28.2</v>
      </c>
      <c r="BV193" s="456">
        <v>602.29999999999995</v>
      </c>
      <c r="BW193" s="453">
        <v>2.91</v>
      </c>
      <c r="BX193" s="453">
        <v>1.33</v>
      </c>
      <c r="BY193" s="456">
        <v>1.08</v>
      </c>
      <c r="BZ193" s="456">
        <v>18.399999999999999</v>
      </c>
      <c r="CA193" s="456">
        <v>33</v>
      </c>
      <c r="CB193" s="456">
        <v>20.5</v>
      </c>
      <c r="CC193" s="456">
        <v>10.6</v>
      </c>
      <c r="CD193" s="456">
        <v>14.8</v>
      </c>
      <c r="CE193" s="456">
        <v>18.899999999999999</v>
      </c>
      <c r="CF193" s="456">
        <v>13.2</v>
      </c>
      <c r="CG193" s="456">
        <v>1.1000000000000001</v>
      </c>
      <c r="CH193" s="456">
        <v>5.8</v>
      </c>
      <c r="CI193" s="456">
        <v>9.1</v>
      </c>
      <c r="CJ193" s="456">
        <v>561.79999999999995</v>
      </c>
      <c r="CK193" s="456">
        <v>741.2</v>
      </c>
      <c r="CL193" s="456">
        <v>663.7</v>
      </c>
      <c r="CM193" s="456">
        <v>7.9</v>
      </c>
      <c r="CN193" s="456">
        <v>1.43</v>
      </c>
      <c r="CO193" s="453">
        <v>7622</v>
      </c>
      <c r="CP193" s="453">
        <v>16</v>
      </c>
      <c r="CQ193" s="453">
        <v>54</v>
      </c>
      <c r="CR193" s="456">
        <v>0</v>
      </c>
      <c r="CS193" s="456">
        <v>0</v>
      </c>
      <c r="CT193" s="456">
        <v>0</v>
      </c>
      <c r="CU193" s="456">
        <v>0</v>
      </c>
      <c r="CV193" s="481">
        <v>940.21739130434787</v>
      </c>
      <c r="CW193" s="481">
        <v>1266.0416666666667</v>
      </c>
      <c r="CX193" s="481">
        <v>833.66666666666663</v>
      </c>
      <c r="CY193" s="481">
        <v>1166.9100000000001</v>
      </c>
      <c r="CZ193" s="456"/>
      <c r="DA193" s="456"/>
      <c r="DB193" s="456"/>
      <c r="DC193" s="456"/>
      <c r="DD193" s="456"/>
      <c r="DE193" s="456"/>
      <c r="DF193" s="456"/>
      <c r="DG193" s="425"/>
      <c r="DH193" s="456">
        <v>77</v>
      </c>
      <c r="DI193" s="456">
        <v>0.3</v>
      </c>
      <c r="DJ193" s="456" t="s">
        <v>756</v>
      </c>
      <c r="DK193" s="425"/>
      <c r="DL193" s="456"/>
      <c r="DM193" s="456"/>
      <c r="DN193" s="456"/>
      <c r="DO193" s="456"/>
      <c r="DP193" s="456"/>
      <c r="DQ193" s="456"/>
      <c r="DR193" s="456"/>
      <c r="DS193" s="456"/>
      <c r="DT193" s="456"/>
      <c r="DU193" s="456"/>
      <c r="DV193" s="456"/>
      <c r="DW193" s="456"/>
      <c r="DX193" s="456"/>
      <c r="DY193" s="456"/>
      <c r="DZ193" s="456"/>
      <c r="EA193" s="456"/>
      <c r="EB193" s="456"/>
      <c r="EC193" s="456"/>
      <c r="ED193" s="423">
        <v>0</v>
      </c>
      <c r="EE193" s="456">
        <v>1</v>
      </c>
      <c r="EF193" s="456">
        <v>2.5</v>
      </c>
      <c r="EG193" s="456">
        <v>7.5</v>
      </c>
      <c r="EH193" s="423">
        <v>0</v>
      </c>
      <c r="EI193" s="456"/>
      <c r="EJ193" s="456"/>
      <c r="EK193" s="456"/>
      <c r="EL193" s="456"/>
      <c r="EM193" s="456"/>
      <c r="EN193" s="456"/>
      <c r="EO193" s="425"/>
      <c r="EP193" s="425"/>
      <c r="EQ193" s="425" t="s">
        <v>743</v>
      </c>
      <c r="ER193" s="425">
        <v>1</v>
      </c>
      <c r="ES193" s="425">
        <v>4</v>
      </c>
      <c r="ET193" s="425">
        <v>4000</v>
      </c>
      <c r="EU193" s="457">
        <v>1530</v>
      </c>
      <c r="EV193" s="425">
        <v>330</v>
      </c>
      <c r="EW193" s="425">
        <v>7001671</v>
      </c>
      <c r="EX193" s="425">
        <v>81533</v>
      </c>
      <c r="EY193" s="666">
        <v>18.45</v>
      </c>
      <c r="EZ193" s="666">
        <v>18.43</v>
      </c>
      <c r="FA193" s="666">
        <v>0</v>
      </c>
      <c r="FB193" s="666">
        <v>1.35</v>
      </c>
      <c r="FC193" s="666">
        <v>1.32</v>
      </c>
      <c r="FD193" s="666">
        <v>1.1519999999999999</v>
      </c>
      <c r="FE193" s="666">
        <v>1.21</v>
      </c>
      <c r="FF193" s="666">
        <v>270</v>
      </c>
      <c r="FG193" s="666">
        <v>1.18</v>
      </c>
      <c r="FH193" s="666">
        <v>0.627</v>
      </c>
      <c r="FI193" s="666">
        <v>1.05</v>
      </c>
      <c r="FJ193" s="666">
        <v>8.16</v>
      </c>
      <c r="FK193" s="666">
        <v>8.3000000000000007</v>
      </c>
      <c r="FL193" s="666">
        <v>8.09</v>
      </c>
      <c r="FM193" s="666">
        <v>7.8</v>
      </c>
      <c r="FN193" s="666">
        <v>0</v>
      </c>
    </row>
    <row r="194" spans="1:170" s="416" customFormat="1" ht="15">
      <c r="A194" s="425" t="s">
        <v>6</v>
      </c>
      <c r="B194" s="426">
        <v>40723</v>
      </c>
      <c r="C194" s="418">
        <v>0</v>
      </c>
      <c r="D194" s="518">
        <v>0.47</v>
      </c>
      <c r="E194" s="453">
        <v>0</v>
      </c>
      <c r="F194" s="453">
        <v>51</v>
      </c>
      <c r="G194" s="453">
        <v>1.3</v>
      </c>
      <c r="H194" s="519">
        <v>1.77</v>
      </c>
      <c r="I194" s="519">
        <v>0</v>
      </c>
      <c r="J194" s="788">
        <v>3.99</v>
      </c>
      <c r="K194" s="520" t="s">
        <v>742</v>
      </c>
      <c r="L194" s="453">
        <v>0</v>
      </c>
      <c r="M194" s="453">
        <v>21.2</v>
      </c>
      <c r="N194" s="453">
        <v>1.62</v>
      </c>
      <c r="O194" s="453">
        <v>2.3020814923976269</v>
      </c>
      <c r="P194" s="453" t="s">
        <v>742</v>
      </c>
      <c r="Q194" s="453">
        <v>0.77675033025287454</v>
      </c>
      <c r="R194" s="453">
        <v>1110.3459550858652</v>
      </c>
      <c r="S194" s="453">
        <v>7.75</v>
      </c>
      <c r="T194" s="453" t="s">
        <v>742</v>
      </c>
      <c r="U194" s="453">
        <v>0.69</v>
      </c>
      <c r="V194" s="453" t="s">
        <v>742</v>
      </c>
      <c r="W194" s="453">
        <v>49.64</v>
      </c>
      <c r="X194" s="456" t="e">
        <v>#VALUE!</v>
      </c>
      <c r="Y194" s="453">
        <v>33.6</v>
      </c>
      <c r="Z194" s="453">
        <v>24.2</v>
      </c>
      <c r="AA194" s="519">
        <v>33.099999999991269</v>
      </c>
      <c r="AB194" s="519">
        <v>24.700000000004366</v>
      </c>
      <c r="AC194" s="732">
        <f t="shared" si="2"/>
        <v>57.799999999995634</v>
      </c>
      <c r="AD194" s="664"/>
      <c r="AE194" s="664"/>
      <c r="AF194" s="664"/>
      <c r="AG194" s="664"/>
      <c r="AH194" s="664"/>
      <c r="AI194" s="664"/>
      <c r="AJ194" s="485"/>
      <c r="AK194" s="485"/>
      <c r="AL194" s="485"/>
      <c r="AM194" s="485"/>
      <c r="AN194" s="485"/>
      <c r="AO194" s="665"/>
      <c r="AP194" s="485"/>
      <c r="AQ194" s="483"/>
      <c r="AR194" s="755">
        <v>0</v>
      </c>
      <c r="AS194" s="483">
        <v>28.8</v>
      </c>
      <c r="AT194" s="755">
        <v>0</v>
      </c>
      <c r="AU194" s="483">
        <v>35</v>
      </c>
      <c r="AV194" s="484">
        <v>314.10000000000002</v>
      </c>
      <c r="AW194" s="484">
        <v>798.8</v>
      </c>
      <c r="AX194" s="453">
        <v>9.3000000000000007</v>
      </c>
      <c r="AY194" s="734">
        <v>0</v>
      </c>
      <c r="AZ194" s="734">
        <v>0</v>
      </c>
      <c r="BA194" s="734">
        <v>0</v>
      </c>
      <c r="BB194" s="453">
        <v>0</v>
      </c>
      <c r="BC194" s="453">
        <v>0</v>
      </c>
      <c r="BD194" s="453">
        <v>2.02</v>
      </c>
      <c r="BE194" s="734">
        <v>0</v>
      </c>
      <c r="BF194" s="453">
        <v>0.5</v>
      </c>
      <c r="BG194" s="453">
        <v>0</v>
      </c>
      <c r="BH194" s="734">
        <v>0</v>
      </c>
      <c r="BI194" s="453">
        <v>0</v>
      </c>
      <c r="BJ194" s="453">
        <v>22.4</v>
      </c>
      <c r="BK194" s="453">
        <v>3.5</v>
      </c>
      <c r="BL194" s="453">
        <v>4.05</v>
      </c>
      <c r="BM194" s="453">
        <v>0</v>
      </c>
      <c r="BN194" s="453">
        <v>14.7</v>
      </c>
      <c r="BO194" s="453">
        <v>1786</v>
      </c>
      <c r="BP194" s="453">
        <v>0</v>
      </c>
      <c r="BQ194" s="453">
        <v>19.2</v>
      </c>
      <c r="BR194" s="453">
        <v>19.2</v>
      </c>
      <c r="BS194" s="453">
        <v>0</v>
      </c>
      <c r="BT194" s="453">
        <v>31.8</v>
      </c>
      <c r="BU194" s="453">
        <v>26.8</v>
      </c>
      <c r="BV194" s="456">
        <v>592</v>
      </c>
      <c r="BW194" s="453">
        <v>1.2</v>
      </c>
      <c r="BX194" s="453">
        <v>1.35</v>
      </c>
      <c r="BY194" s="456">
        <v>1.08</v>
      </c>
      <c r="BZ194" s="456">
        <v>18.3</v>
      </c>
      <c r="CA194" s="456">
        <v>31.8</v>
      </c>
      <c r="CB194" s="456">
        <v>19.7</v>
      </c>
      <c r="CC194" s="456">
        <v>8.8000000000000007</v>
      </c>
      <c r="CD194" s="456">
        <v>12.9</v>
      </c>
      <c r="CE194" s="456">
        <v>17.2</v>
      </c>
      <c r="CF194" s="456">
        <v>12.8</v>
      </c>
      <c r="CG194" s="456">
        <v>0</v>
      </c>
      <c r="CH194" s="456">
        <v>6.4</v>
      </c>
      <c r="CI194" s="456">
        <v>10.5</v>
      </c>
      <c r="CJ194" s="456">
        <v>636.70000000000005</v>
      </c>
      <c r="CK194" s="456">
        <v>817.6</v>
      </c>
      <c r="CL194" s="456">
        <v>676.6</v>
      </c>
      <c r="CM194" s="456">
        <v>7.8</v>
      </c>
      <c r="CN194" s="456">
        <v>1.5</v>
      </c>
      <c r="CO194" s="453">
        <v>7519.3</v>
      </c>
      <c r="CP194" s="453">
        <v>17.760000000000002</v>
      </c>
      <c r="CQ194" s="453">
        <v>54</v>
      </c>
      <c r="CR194" s="456">
        <v>0</v>
      </c>
      <c r="CS194" s="456">
        <v>0</v>
      </c>
      <c r="CT194" s="456">
        <v>0</v>
      </c>
      <c r="CU194" s="456">
        <v>0</v>
      </c>
      <c r="CV194" s="481">
        <v>973.86956521739125</v>
      </c>
      <c r="CW194" s="481">
        <v>1271.4583333333333</v>
      </c>
      <c r="CX194" s="481">
        <v>869.42708333333337</v>
      </c>
      <c r="CY194" s="481">
        <v>1167.02</v>
      </c>
      <c r="CZ194" s="456"/>
      <c r="DA194" s="456"/>
      <c r="DB194" s="456"/>
      <c r="DC194" s="456"/>
      <c r="DD194" s="456"/>
      <c r="DE194" s="456"/>
      <c r="DF194" s="456"/>
      <c r="DG194" s="425"/>
      <c r="DH194" s="456">
        <v>64</v>
      </c>
      <c r="DI194" s="456">
        <v>0.36</v>
      </c>
      <c r="DJ194" s="456" t="s">
        <v>756</v>
      </c>
      <c r="DK194" s="425"/>
      <c r="DL194" s="456"/>
      <c r="DM194" s="456"/>
      <c r="DN194" s="456"/>
      <c r="DO194" s="456"/>
      <c r="DP194" s="456"/>
      <c r="DQ194" s="456"/>
      <c r="DR194" s="456"/>
      <c r="DS194" s="456"/>
      <c r="DT194" s="456"/>
      <c r="DU194" s="456"/>
      <c r="DV194" s="456"/>
      <c r="DW194" s="456"/>
      <c r="DX194" s="456"/>
      <c r="DY194" s="456"/>
      <c r="DZ194" s="456"/>
      <c r="EA194" s="456"/>
      <c r="EB194" s="456"/>
      <c r="EC194" s="456"/>
      <c r="ED194" s="423">
        <v>0</v>
      </c>
      <c r="EE194" s="456">
        <v>1</v>
      </c>
      <c r="EF194" s="456">
        <v>2.5</v>
      </c>
      <c r="EG194" s="456">
        <v>7.5</v>
      </c>
      <c r="EH194" s="423">
        <v>0</v>
      </c>
      <c r="EI194" s="456"/>
      <c r="EJ194" s="456"/>
      <c r="EK194" s="456"/>
      <c r="EL194" s="456"/>
      <c r="EM194" s="456"/>
      <c r="EN194" s="456"/>
      <c r="EO194" s="425"/>
      <c r="EP194" s="425"/>
      <c r="EQ194" s="425" t="s">
        <v>743</v>
      </c>
      <c r="ER194" s="425">
        <v>1</v>
      </c>
      <c r="ES194" s="425">
        <v>4</v>
      </c>
      <c r="ET194" s="425">
        <v>4000</v>
      </c>
      <c r="EU194" s="457">
        <v>1290</v>
      </c>
      <c r="EV194" s="425">
        <v>310</v>
      </c>
      <c r="EW194" s="425">
        <v>7004318</v>
      </c>
      <c r="EX194" s="425">
        <v>82114</v>
      </c>
      <c r="EY194" s="666">
        <v>19.2</v>
      </c>
      <c r="EZ194" s="666">
        <v>19.2</v>
      </c>
      <c r="FA194" s="666">
        <v>0</v>
      </c>
      <c r="FB194" s="666">
        <v>1.32</v>
      </c>
      <c r="FC194" s="666">
        <v>1.29</v>
      </c>
      <c r="FD194" s="666">
        <v>1.18</v>
      </c>
      <c r="FE194" s="666">
        <v>1.1599999999999999</v>
      </c>
      <c r="FF194" s="666">
        <v>240</v>
      </c>
      <c r="FG194" s="666">
        <v>1.28</v>
      </c>
      <c r="FH194" s="666">
        <v>0.626</v>
      </c>
      <c r="FI194" s="666">
        <v>1.02</v>
      </c>
      <c r="FJ194" s="666">
        <v>8.14</v>
      </c>
      <c r="FK194" s="666">
        <v>8.1</v>
      </c>
      <c r="FL194" s="666">
        <v>7.7</v>
      </c>
      <c r="FM194" s="666">
        <v>7.8</v>
      </c>
      <c r="FN194" s="666">
        <v>0</v>
      </c>
    </row>
    <row r="195" spans="1:170" s="416" customFormat="1" ht="15">
      <c r="A195" s="425" t="s">
        <v>7</v>
      </c>
      <c r="B195" s="426">
        <v>40724</v>
      </c>
      <c r="C195" s="418">
        <v>0</v>
      </c>
      <c r="D195" s="518">
        <v>0</v>
      </c>
      <c r="E195" s="453">
        <v>0</v>
      </c>
      <c r="F195" s="453">
        <v>51</v>
      </c>
      <c r="G195" s="453">
        <v>1.45</v>
      </c>
      <c r="H195" s="519">
        <v>1.53</v>
      </c>
      <c r="I195" s="519">
        <v>93.06</v>
      </c>
      <c r="J195" s="483">
        <v>1.01</v>
      </c>
      <c r="K195" s="789">
        <v>1.28</v>
      </c>
      <c r="L195" s="453">
        <v>0</v>
      </c>
      <c r="M195" s="453">
        <v>21.1</v>
      </c>
      <c r="N195" s="453">
        <v>1.62</v>
      </c>
      <c r="O195" s="453">
        <v>2.2659974467429058</v>
      </c>
      <c r="P195" s="453">
        <v>1.77</v>
      </c>
      <c r="Q195" s="453">
        <v>2.2981538696671149</v>
      </c>
      <c r="R195" s="453">
        <v>1132.0475825627475</v>
      </c>
      <c r="S195" s="453">
        <v>7.69</v>
      </c>
      <c r="T195" s="453">
        <v>7.97</v>
      </c>
      <c r="U195" s="453">
        <v>0.75</v>
      </c>
      <c r="V195" s="453">
        <v>0.41</v>
      </c>
      <c r="W195" s="453">
        <v>49.460000000000008</v>
      </c>
      <c r="X195" s="456">
        <v>49.64</v>
      </c>
      <c r="Y195" s="453">
        <v>33.729999999999997</v>
      </c>
      <c r="Z195" s="453">
        <v>25.09</v>
      </c>
      <c r="AA195" s="519">
        <v>34.210000000006403</v>
      </c>
      <c r="AB195" s="519">
        <v>25.099999999998545</v>
      </c>
      <c r="AC195" s="732">
        <f t="shared" si="2"/>
        <v>59.310000000004948</v>
      </c>
      <c r="AD195" s="664"/>
      <c r="AE195" s="664"/>
      <c r="AF195" s="664"/>
      <c r="AG195" s="664"/>
      <c r="AH195" s="664"/>
      <c r="AI195" s="664"/>
      <c r="AJ195" s="485"/>
      <c r="AK195" s="485"/>
      <c r="AL195" s="485"/>
      <c r="AM195" s="485"/>
      <c r="AN195" s="485"/>
      <c r="AO195" s="665"/>
      <c r="AP195" s="485"/>
      <c r="AQ195" s="483"/>
      <c r="AR195" s="755">
        <v>0</v>
      </c>
      <c r="AS195" s="483">
        <v>18</v>
      </c>
      <c r="AT195" s="755">
        <v>0</v>
      </c>
      <c r="AU195" s="483">
        <v>35.4</v>
      </c>
      <c r="AV195" s="484">
        <v>503.8</v>
      </c>
      <c r="AW195" s="484">
        <v>557.6</v>
      </c>
      <c r="AX195" s="453">
        <v>7.8</v>
      </c>
      <c r="AY195" s="734">
        <v>0</v>
      </c>
      <c r="AZ195" s="734">
        <v>0</v>
      </c>
      <c r="BA195" s="734">
        <v>0</v>
      </c>
      <c r="BB195" s="453">
        <v>0</v>
      </c>
      <c r="BC195" s="453">
        <v>0.5</v>
      </c>
      <c r="BD195" s="453">
        <v>2.02</v>
      </c>
      <c r="BE195" s="734">
        <v>0</v>
      </c>
      <c r="BF195" s="453">
        <v>0</v>
      </c>
      <c r="BG195" s="453">
        <v>0</v>
      </c>
      <c r="BH195" s="734">
        <v>0</v>
      </c>
      <c r="BI195" s="453">
        <v>0</v>
      </c>
      <c r="BJ195" s="453">
        <v>22.4</v>
      </c>
      <c r="BK195" s="453">
        <v>3.5</v>
      </c>
      <c r="BL195" s="453">
        <v>4.04</v>
      </c>
      <c r="BM195" s="453">
        <v>0</v>
      </c>
      <c r="BN195" s="453">
        <v>14.7</v>
      </c>
      <c r="BO195" s="453">
        <v>2096.1999999999998</v>
      </c>
      <c r="BP195" s="453">
        <v>0</v>
      </c>
      <c r="BQ195" s="453">
        <v>19.600000000000001</v>
      </c>
      <c r="BR195" s="453">
        <v>19.600000000000001</v>
      </c>
      <c r="BS195" s="453">
        <v>0</v>
      </c>
      <c r="BT195" s="453">
        <v>32.200000000000003</v>
      </c>
      <c r="BU195" s="453">
        <v>28</v>
      </c>
      <c r="BV195" s="456">
        <v>596</v>
      </c>
      <c r="BW195" s="453">
        <v>2.5499999999999998</v>
      </c>
      <c r="BX195" s="453">
        <v>1.32</v>
      </c>
      <c r="BY195" s="456">
        <v>1.08</v>
      </c>
      <c r="BZ195" s="456">
        <v>18.7</v>
      </c>
      <c r="CA195" s="456">
        <v>30.5</v>
      </c>
      <c r="CB195" s="456">
        <v>18.5</v>
      </c>
      <c r="CC195" s="456">
        <v>8.4</v>
      </c>
      <c r="CD195" s="456">
        <v>12.6</v>
      </c>
      <c r="CE195" s="456">
        <v>16.899999999999999</v>
      </c>
      <c r="CF195" s="456">
        <v>13.4</v>
      </c>
      <c r="CG195" s="456" t="s">
        <v>755</v>
      </c>
      <c r="CH195" s="456">
        <v>6</v>
      </c>
      <c r="CI195" s="456">
        <v>9.5</v>
      </c>
      <c r="CJ195" s="456">
        <v>629.6</v>
      </c>
      <c r="CK195" s="456">
        <v>786.7</v>
      </c>
      <c r="CL195" s="456">
        <v>677.2</v>
      </c>
      <c r="CM195" s="456">
        <v>7.2</v>
      </c>
      <c r="CN195" s="456">
        <v>1.4</v>
      </c>
      <c r="CO195" s="453">
        <f>694.4*10.63</f>
        <v>7381.4720000000007</v>
      </c>
      <c r="CP195" s="453">
        <v>16.239999999999998</v>
      </c>
      <c r="CQ195" s="453">
        <v>54</v>
      </c>
      <c r="CR195" s="456">
        <v>0</v>
      </c>
      <c r="CS195" s="456">
        <v>0</v>
      </c>
      <c r="CT195" s="456">
        <v>0</v>
      </c>
      <c r="CU195" s="456">
        <v>0</v>
      </c>
      <c r="CV195" s="481">
        <v>1134.608695652174</v>
      </c>
      <c r="CW195" s="481">
        <v>1379.375</v>
      </c>
      <c r="CX195" s="481">
        <v>1019.3333333333334</v>
      </c>
      <c r="CY195" s="481">
        <v>1166.92</v>
      </c>
      <c r="CZ195" s="456"/>
      <c r="DA195" s="456"/>
      <c r="DB195" s="456"/>
      <c r="DC195" s="456"/>
      <c r="DD195" s="456"/>
      <c r="DE195" s="456"/>
      <c r="DF195" s="456"/>
      <c r="DG195" s="425"/>
      <c r="DH195" s="456">
        <v>71</v>
      </c>
      <c r="DI195" s="456">
        <v>0.26</v>
      </c>
      <c r="DJ195" s="456" t="s">
        <v>755</v>
      </c>
      <c r="DK195" s="425"/>
      <c r="DL195" s="456"/>
      <c r="DM195" s="456"/>
      <c r="DN195" s="456"/>
      <c r="DO195" s="456"/>
      <c r="DP195" s="456"/>
      <c r="DQ195" s="456"/>
      <c r="DR195" s="456"/>
      <c r="DS195" s="456"/>
      <c r="DT195" s="456"/>
      <c r="DU195" s="456"/>
      <c r="DV195" s="456"/>
      <c r="DW195" s="456"/>
      <c r="DX195" s="456"/>
      <c r="DY195" s="456"/>
      <c r="DZ195" s="456"/>
      <c r="EA195" s="456"/>
      <c r="EB195" s="456"/>
      <c r="EC195" s="456"/>
      <c r="ED195" s="423">
        <v>0</v>
      </c>
      <c r="EE195" s="456">
        <v>1</v>
      </c>
      <c r="EF195" s="456">
        <v>2.5</v>
      </c>
      <c r="EG195" s="456">
        <v>7.5</v>
      </c>
      <c r="EH195" s="423">
        <v>0</v>
      </c>
      <c r="EI195" s="456"/>
      <c r="EJ195" s="456"/>
      <c r="EK195" s="456"/>
      <c r="EL195" s="456"/>
      <c r="EM195" s="456"/>
      <c r="EN195" s="456"/>
      <c r="EO195" s="425"/>
      <c r="EP195" s="425"/>
      <c r="EQ195" s="425" t="s">
        <v>743</v>
      </c>
      <c r="ER195" s="425">
        <v>1</v>
      </c>
      <c r="ES195" s="425">
        <v>4</v>
      </c>
      <c r="ET195" s="425">
        <v>4000</v>
      </c>
      <c r="EU195" s="457">
        <v>1030</v>
      </c>
      <c r="EV195" s="425">
        <v>340</v>
      </c>
      <c r="EW195" s="425">
        <v>7007155</v>
      </c>
      <c r="EX195" s="425">
        <v>82660</v>
      </c>
      <c r="EY195" s="666">
        <v>19.37</v>
      </c>
      <c r="EZ195" s="666">
        <v>19.36</v>
      </c>
      <c r="FA195" s="666">
        <v>0</v>
      </c>
      <c r="FB195" s="666">
        <v>1.23</v>
      </c>
      <c r="FC195" s="666">
        <v>1.2</v>
      </c>
      <c r="FD195" s="666">
        <v>1.095</v>
      </c>
      <c r="FE195" s="666">
        <v>1.1499999999999999</v>
      </c>
      <c r="FF195" s="666">
        <v>260</v>
      </c>
      <c r="FG195" s="666">
        <v>1.1499999999999999</v>
      </c>
      <c r="FH195" s="666">
        <v>0.61699999999999999</v>
      </c>
      <c r="FI195" s="666">
        <v>1</v>
      </c>
      <c r="FJ195" s="666">
        <v>8.1199999999999992</v>
      </c>
      <c r="FK195" s="666">
        <v>8.3000000000000007</v>
      </c>
      <c r="FL195" s="666">
        <v>7.69</v>
      </c>
      <c r="FM195" s="666">
        <v>7.7</v>
      </c>
      <c r="FN195" s="666">
        <v>0</v>
      </c>
    </row>
    <row r="196" spans="1:170" s="416" customFormat="1" ht="15">
      <c r="A196" s="425" t="s">
        <v>8</v>
      </c>
      <c r="B196" s="426">
        <v>40725</v>
      </c>
      <c r="C196" s="418">
        <v>0</v>
      </c>
      <c r="D196" s="518">
        <v>0.01</v>
      </c>
      <c r="E196" s="453">
        <v>0</v>
      </c>
      <c r="F196" s="453">
        <v>53</v>
      </c>
      <c r="G196" s="453">
        <v>1.2</v>
      </c>
      <c r="H196" s="519">
        <v>1.4</v>
      </c>
      <c r="I196" s="519">
        <v>96.8</v>
      </c>
      <c r="J196" s="483">
        <v>0.9</v>
      </c>
      <c r="K196" s="520">
        <v>1.7</v>
      </c>
      <c r="L196" s="453">
        <v>15.359999999998763</v>
      </c>
      <c r="M196" s="453">
        <v>15.4</v>
      </c>
      <c r="N196" s="453">
        <v>1.7</v>
      </c>
      <c r="O196" s="453">
        <v>2.0967832988969919</v>
      </c>
      <c r="P196" s="453">
        <v>1.8</v>
      </c>
      <c r="Q196" s="453">
        <v>2.1560986349628202</v>
      </c>
      <c r="R196" s="453">
        <v>1066.9427001321003</v>
      </c>
      <c r="S196" s="453">
        <v>7.9</v>
      </c>
      <c r="T196" s="453">
        <v>8</v>
      </c>
      <c r="U196" s="453">
        <v>0.8</v>
      </c>
      <c r="V196" s="453">
        <v>0.8</v>
      </c>
      <c r="W196" s="453">
        <v>52.34</v>
      </c>
      <c r="X196" s="456">
        <v>52.34</v>
      </c>
      <c r="Y196" s="453">
        <v>34.659999999999997</v>
      </c>
      <c r="Z196" s="453">
        <v>25.04</v>
      </c>
      <c r="AA196" s="519">
        <v>34.940000000002328</v>
      </c>
      <c r="AB196" s="519">
        <v>25.19999999999709</v>
      </c>
      <c r="AC196" s="732">
        <f t="shared" si="2"/>
        <v>60.139999999999418</v>
      </c>
      <c r="AD196" s="664"/>
      <c r="AE196" s="664"/>
      <c r="AF196" s="664"/>
      <c r="AG196" s="664"/>
      <c r="AH196" s="664"/>
      <c r="AI196" s="664"/>
      <c r="AJ196" s="485"/>
      <c r="AK196" s="485"/>
      <c r="AL196" s="485"/>
      <c r="AM196" s="485"/>
      <c r="AN196" s="485"/>
      <c r="AO196" s="665"/>
      <c r="AP196" s="485"/>
      <c r="AQ196" s="483"/>
      <c r="AR196" s="755">
        <v>0</v>
      </c>
      <c r="AS196" s="483">
        <v>28.8</v>
      </c>
      <c r="AT196" s="755">
        <v>0</v>
      </c>
      <c r="AU196" s="483">
        <v>36</v>
      </c>
      <c r="AV196" s="484">
        <v>576.5</v>
      </c>
      <c r="AW196" s="484">
        <v>989.7</v>
      </c>
      <c r="AX196" s="453">
        <v>26.1</v>
      </c>
      <c r="AY196" s="734">
        <v>0</v>
      </c>
      <c r="AZ196" s="734">
        <v>0</v>
      </c>
      <c r="BA196" s="734">
        <v>0</v>
      </c>
      <c r="BB196" s="453">
        <v>0</v>
      </c>
      <c r="BC196" s="453">
        <v>0.49</v>
      </c>
      <c r="BD196" s="453">
        <v>2.02</v>
      </c>
      <c r="BE196" s="734">
        <v>0</v>
      </c>
      <c r="BF196" s="453">
        <v>0</v>
      </c>
      <c r="BG196" s="453">
        <v>0</v>
      </c>
      <c r="BH196" s="734">
        <v>0</v>
      </c>
      <c r="BI196" s="453">
        <v>0</v>
      </c>
      <c r="BJ196" s="453">
        <v>22.4</v>
      </c>
      <c r="BK196" s="453">
        <v>3.77</v>
      </c>
      <c r="BL196" s="453">
        <v>4.55</v>
      </c>
      <c r="BM196" s="453">
        <v>0</v>
      </c>
      <c r="BN196" s="453">
        <v>14</v>
      </c>
      <c r="BO196" s="453">
        <v>2617.3000000000002</v>
      </c>
      <c r="BP196" s="453">
        <v>0</v>
      </c>
      <c r="BQ196" s="453">
        <v>18.899999999999999</v>
      </c>
      <c r="BR196" s="453">
        <v>18.899999999999999</v>
      </c>
      <c r="BS196" s="453">
        <v>0</v>
      </c>
      <c r="BT196" s="453">
        <v>32.4</v>
      </c>
      <c r="BU196" s="453">
        <v>34</v>
      </c>
      <c r="BV196" s="456">
        <v>833.1</v>
      </c>
      <c r="BW196" s="453">
        <v>1.1599999999999999</v>
      </c>
      <c r="BX196" s="453">
        <v>1.27</v>
      </c>
      <c r="BY196" s="456">
        <v>1.08</v>
      </c>
      <c r="BZ196" s="456">
        <v>18.3</v>
      </c>
      <c r="CA196" s="456">
        <v>31.2</v>
      </c>
      <c r="CB196" s="456">
        <v>19.079999999999998</v>
      </c>
      <c r="CC196" s="456">
        <v>9.1999999999999993</v>
      </c>
      <c r="CD196" s="456">
        <v>13.3</v>
      </c>
      <c r="CE196" s="456">
        <v>17.600000000000001</v>
      </c>
      <c r="CF196" s="456">
        <v>13.9</v>
      </c>
      <c r="CG196" s="456">
        <v>0</v>
      </c>
      <c r="CH196" s="456">
        <v>5.5</v>
      </c>
      <c r="CI196" s="456">
        <v>9.4</v>
      </c>
      <c r="CJ196" s="456">
        <v>829.4</v>
      </c>
      <c r="CK196" s="456">
        <v>1023.5</v>
      </c>
      <c r="CL196" s="456">
        <v>700.9</v>
      </c>
      <c r="CM196" s="456">
        <v>7.3</v>
      </c>
      <c r="CN196" s="456">
        <v>1.4</v>
      </c>
      <c r="CO196" s="453">
        <v>7338.7</v>
      </c>
      <c r="CP196" s="453">
        <v>16.38</v>
      </c>
      <c r="CQ196" s="453">
        <v>54</v>
      </c>
      <c r="CR196" s="456">
        <v>0</v>
      </c>
      <c r="CS196" s="456">
        <v>0</v>
      </c>
      <c r="CT196" s="456">
        <v>0</v>
      </c>
      <c r="CU196" s="456">
        <v>0</v>
      </c>
      <c r="CV196" s="481">
        <v>1052.391304347826</v>
      </c>
      <c r="CW196" s="481">
        <v>1453.6458333333333</v>
      </c>
      <c r="CX196" s="481">
        <v>973.02083333333337</v>
      </c>
      <c r="CY196" s="481">
        <v>1166.8</v>
      </c>
      <c r="CZ196" s="456"/>
      <c r="DA196" s="456"/>
      <c r="DB196" s="456"/>
      <c r="DC196" s="456"/>
      <c r="DD196" s="456"/>
      <c r="DE196" s="456"/>
      <c r="DF196" s="456"/>
      <c r="DG196" s="425"/>
      <c r="DH196" s="456">
        <v>74</v>
      </c>
      <c r="DI196" s="456">
        <v>0.3</v>
      </c>
      <c r="DJ196" s="456">
        <v>0</v>
      </c>
      <c r="DK196" s="425"/>
      <c r="DL196" s="456"/>
      <c r="DM196" s="456"/>
      <c r="DN196" s="456"/>
      <c r="DO196" s="456"/>
      <c r="DP196" s="456"/>
      <c r="DQ196" s="456"/>
      <c r="DR196" s="456"/>
      <c r="DS196" s="456"/>
      <c r="DT196" s="456"/>
      <c r="DU196" s="456"/>
      <c r="DV196" s="456"/>
      <c r="DW196" s="456"/>
      <c r="DX196" s="456"/>
      <c r="DY196" s="456"/>
      <c r="DZ196" s="456"/>
      <c r="EA196" s="456"/>
      <c r="EB196" s="456"/>
      <c r="EC196" s="456"/>
      <c r="ED196" s="423">
        <v>0</v>
      </c>
      <c r="EE196" s="456">
        <v>0</v>
      </c>
      <c r="EF196" s="456">
        <v>2.5</v>
      </c>
      <c r="EG196" s="456">
        <v>8.5</v>
      </c>
      <c r="EH196" s="423">
        <v>0</v>
      </c>
      <c r="EI196" s="456"/>
      <c r="EJ196" s="456"/>
      <c r="EK196" s="456"/>
      <c r="EL196" s="456"/>
      <c r="EM196" s="456"/>
      <c r="EN196" s="456"/>
      <c r="EO196" s="425"/>
      <c r="EP196" s="425"/>
      <c r="EQ196" s="425" t="s">
        <v>743</v>
      </c>
      <c r="ER196" s="425">
        <v>1</v>
      </c>
      <c r="ES196" s="425">
        <v>4</v>
      </c>
      <c r="ET196" s="425">
        <v>4000</v>
      </c>
      <c r="EU196" s="457">
        <v>705</v>
      </c>
      <c r="EV196" s="425">
        <v>340</v>
      </c>
      <c r="EW196" s="425">
        <v>7010715</v>
      </c>
      <c r="EX196" s="425">
        <v>83308</v>
      </c>
      <c r="EY196" s="666">
        <v>18.86</v>
      </c>
      <c r="EZ196" s="666">
        <v>18.84</v>
      </c>
      <c r="FA196" s="666">
        <v>0</v>
      </c>
      <c r="FB196" s="666">
        <v>1.22</v>
      </c>
      <c r="FC196" s="666">
        <v>1.25</v>
      </c>
      <c r="FD196" s="666">
        <v>1.1539999999999999</v>
      </c>
      <c r="FE196" s="666">
        <v>1.18</v>
      </c>
      <c r="FF196" s="666">
        <v>325</v>
      </c>
      <c r="FG196" s="666">
        <v>0.42</v>
      </c>
      <c r="FH196" s="666">
        <v>0.53400000000000003</v>
      </c>
      <c r="FI196" s="666">
        <v>1.1200000000000001</v>
      </c>
      <c r="FJ196" s="666">
        <v>8.0299999999999994</v>
      </c>
      <c r="FK196" s="666">
        <v>7.9</v>
      </c>
      <c r="FL196" s="666">
        <v>7.74</v>
      </c>
      <c r="FM196" s="666">
        <v>7.7</v>
      </c>
      <c r="FN196" s="666">
        <v>0</v>
      </c>
    </row>
    <row r="197" spans="1:170" s="416" customFormat="1" ht="15">
      <c r="A197" s="425" t="s">
        <v>9</v>
      </c>
      <c r="B197" s="426">
        <v>40726</v>
      </c>
      <c r="C197" s="418">
        <v>0</v>
      </c>
      <c r="D197" s="518">
        <v>0</v>
      </c>
      <c r="E197" s="453">
        <v>0</v>
      </c>
      <c r="F197" s="453">
        <v>53</v>
      </c>
      <c r="G197" s="453">
        <v>1.2</v>
      </c>
      <c r="H197" s="519">
        <v>1.6</v>
      </c>
      <c r="I197" s="519">
        <v>93.5</v>
      </c>
      <c r="J197" s="483">
        <v>0.8</v>
      </c>
      <c r="K197" s="520">
        <v>0.9</v>
      </c>
      <c r="L197" s="453">
        <v>37.420000000000073</v>
      </c>
      <c r="M197" s="453">
        <v>18.8</v>
      </c>
      <c r="N197" s="453">
        <v>1.7</v>
      </c>
      <c r="O197" s="453">
        <v>1.9362796416921133</v>
      </c>
      <c r="P197" s="453">
        <v>1.7</v>
      </c>
      <c r="Q197" s="453">
        <v>1.8186563957281168</v>
      </c>
      <c r="R197" s="453">
        <v>938.02855482166433</v>
      </c>
      <c r="S197" s="453">
        <v>7.9</v>
      </c>
      <c r="T197" s="453">
        <v>7.8</v>
      </c>
      <c r="U197" s="453">
        <v>0.8</v>
      </c>
      <c r="V197" s="453">
        <v>0.8</v>
      </c>
      <c r="W197" s="453">
        <v>49.28</v>
      </c>
      <c r="X197" s="456">
        <v>49.28</v>
      </c>
      <c r="Y197" s="453">
        <v>35</v>
      </c>
      <c r="Z197" s="453">
        <v>24.8</v>
      </c>
      <c r="AA197" s="519">
        <v>34.549999999988358</v>
      </c>
      <c r="AB197" s="519">
        <v>24.860000000000582</v>
      </c>
      <c r="AC197" s="732">
        <f t="shared" si="2"/>
        <v>59.409999999988941</v>
      </c>
      <c r="AD197" s="664"/>
      <c r="AE197" s="664"/>
      <c r="AF197" s="664"/>
      <c r="AG197" s="664"/>
      <c r="AH197" s="664"/>
      <c r="AI197" s="664"/>
      <c r="AJ197" s="485"/>
      <c r="AK197" s="485"/>
      <c r="AL197" s="485"/>
      <c r="AM197" s="485"/>
      <c r="AN197" s="485"/>
      <c r="AO197" s="665"/>
      <c r="AP197" s="485"/>
      <c r="AQ197" s="483"/>
      <c r="AR197" s="755">
        <v>0</v>
      </c>
      <c r="AS197" s="483">
        <v>27.1</v>
      </c>
      <c r="AT197" s="755">
        <v>0</v>
      </c>
      <c r="AU197" s="483">
        <v>36</v>
      </c>
      <c r="AV197" s="484">
        <v>739.7</v>
      </c>
      <c r="AW197" s="484">
        <v>863.3</v>
      </c>
      <c r="AX197" s="453">
        <v>21.7</v>
      </c>
      <c r="AY197" s="734">
        <v>0</v>
      </c>
      <c r="AZ197" s="734">
        <v>0</v>
      </c>
      <c r="BA197" s="734">
        <v>0</v>
      </c>
      <c r="BB197" s="453">
        <v>0</v>
      </c>
      <c r="BC197" s="453">
        <v>0.5</v>
      </c>
      <c r="BD197" s="453">
        <v>2.02</v>
      </c>
      <c r="BE197" s="734">
        <v>0</v>
      </c>
      <c r="BF197" s="453">
        <v>0</v>
      </c>
      <c r="BG197" s="453">
        <v>0</v>
      </c>
      <c r="BH197" s="734">
        <v>0</v>
      </c>
      <c r="BI197" s="453">
        <v>0</v>
      </c>
      <c r="BJ197" s="453">
        <v>22.4</v>
      </c>
      <c r="BK197" s="453">
        <v>3.85</v>
      </c>
      <c r="BL197" s="453">
        <v>4.7</v>
      </c>
      <c r="BM197" s="453">
        <v>0</v>
      </c>
      <c r="BN197" s="453">
        <v>13.7</v>
      </c>
      <c r="BO197" s="453">
        <v>2906.1</v>
      </c>
      <c r="BP197" s="453">
        <v>0</v>
      </c>
      <c r="BQ197" s="453">
        <v>18.100000000000001</v>
      </c>
      <c r="BR197" s="453">
        <v>18.100000000000001</v>
      </c>
      <c r="BS197" s="453">
        <v>0</v>
      </c>
      <c r="BT197" s="453">
        <v>32.200000000000003</v>
      </c>
      <c r="BU197" s="453">
        <v>34.200000000000003</v>
      </c>
      <c r="BV197" s="456">
        <v>680.2</v>
      </c>
      <c r="BW197" s="453">
        <v>1.02</v>
      </c>
      <c r="BX197" s="453">
        <v>1.35</v>
      </c>
      <c r="BY197" s="456">
        <v>1.1000000000000001</v>
      </c>
      <c r="BZ197" s="456">
        <v>18.3</v>
      </c>
      <c r="CA197" s="456">
        <v>33.799999999999997</v>
      </c>
      <c r="CB197" s="456">
        <v>17.329999999999998</v>
      </c>
      <c r="CC197" s="456">
        <v>9.5</v>
      </c>
      <c r="CD197" s="456">
        <v>13.7</v>
      </c>
      <c r="CE197" s="456">
        <v>17.899999999999999</v>
      </c>
      <c r="CF197" s="456">
        <v>14.32</v>
      </c>
      <c r="CG197" s="456">
        <v>0</v>
      </c>
      <c r="CH197" s="456">
        <v>5.4</v>
      </c>
      <c r="CI197" s="456">
        <v>8.6999999999999993</v>
      </c>
      <c r="CJ197" s="456">
        <v>1077.2</v>
      </c>
      <c r="CK197" s="456">
        <v>1045.7</v>
      </c>
      <c r="CL197" s="456">
        <v>678.1</v>
      </c>
      <c r="CM197" s="456">
        <v>8.6</v>
      </c>
      <c r="CN197" s="456">
        <v>1.53</v>
      </c>
      <c r="CO197" s="453">
        <v>8669</v>
      </c>
      <c r="CP197" s="453">
        <v>17.57</v>
      </c>
      <c r="CQ197" s="453">
        <v>55</v>
      </c>
      <c r="CR197" s="456">
        <v>0</v>
      </c>
      <c r="CS197" s="456">
        <v>0</v>
      </c>
      <c r="CT197" s="456">
        <v>0</v>
      </c>
      <c r="CU197" s="456">
        <v>0</v>
      </c>
      <c r="CV197" s="481">
        <v>940.41666666666663</v>
      </c>
      <c r="CW197" s="481">
        <v>1317.2916666666667</v>
      </c>
      <c r="CX197" s="481">
        <v>889.90625</v>
      </c>
      <c r="CY197" s="481">
        <v>1166.6500000000001</v>
      </c>
      <c r="CZ197" s="456"/>
      <c r="DA197" s="456"/>
      <c r="DB197" s="456"/>
      <c r="DC197" s="456"/>
      <c r="DD197" s="456"/>
      <c r="DE197" s="456"/>
      <c r="DF197" s="456"/>
      <c r="DG197" s="425"/>
      <c r="DH197" s="456">
        <v>81</v>
      </c>
      <c r="DI197" s="456">
        <v>0.3</v>
      </c>
      <c r="DJ197" s="456">
        <v>0</v>
      </c>
      <c r="DK197" s="425"/>
      <c r="DL197" s="456"/>
      <c r="DM197" s="456"/>
      <c r="DN197" s="456"/>
      <c r="DO197" s="456"/>
      <c r="DP197" s="456"/>
      <c r="DQ197" s="456"/>
      <c r="DR197" s="456"/>
      <c r="DS197" s="456"/>
      <c r="DT197" s="456"/>
      <c r="DU197" s="456"/>
      <c r="DV197" s="456"/>
      <c r="DW197" s="456"/>
      <c r="DX197" s="456"/>
      <c r="DY197" s="456"/>
      <c r="DZ197" s="456"/>
      <c r="EA197" s="456"/>
      <c r="EB197" s="456"/>
      <c r="EC197" s="456"/>
      <c r="ED197" s="423">
        <v>0</v>
      </c>
      <c r="EE197" s="456">
        <v>0</v>
      </c>
      <c r="EF197" s="456">
        <v>2.5</v>
      </c>
      <c r="EG197" s="456">
        <v>8.5</v>
      </c>
      <c r="EH197" s="423">
        <v>0</v>
      </c>
      <c r="EI197" s="456"/>
      <c r="EJ197" s="456"/>
      <c r="EK197" s="456"/>
      <c r="EL197" s="456"/>
      <c r="EM197" s="456"/>
      <c r="EN197" s="456"/>
      <c r="EO197" s="425"/>
      <c r="EP197" s="425"/>
      <c r="EQ197" s="425" t="s">
        <v>743</v>
      </c>
      <c r="ER197" s="425">
        <v>1</v>
      </c>
      <c r="ES197" s="425">
        <v>4</v>
      </c>
      <c r="ET197" s="425">
        <v>4000</v>
      </c>
      <c r="EU197" s="457">
        <v>400</v>
      </c>
      <c r="EV197" s="425">
        <v>345</v>
      </c>
      <c r="EW197" s="425">
        <v>7014083</v>
      </c>
      <c r="EX197" s="425">
        <v>83866</v>
      </c>
      <c r="EY197" s="666">
        <v>18.170000000000002</v>
      </c>
      <c r="EZ197" s="666">
        <v>18.18</v>
      </c>
      <c r="FA197" s="666">
        <v>0</v>
      </c>
      <c r="FB197" s="666">
        <v>1.23</v>
      </c>
      <c r="FC197" s="666">
        <v>1.19</v>
      </c>
      <c r="FD197" s="666">
        <v>1.2170000000000001</v>
      </c>
      <c r="FE197" s="666">
        <v>1.29</v>
      </c>
      <c r="FF197" s="666">
        <v>305</v>
      </c>
      <c r="FG197" s="666">
        <v>1.1200000000000001</v>
      </c>
      <c r="FH197" s="666">
        <v>0.45400000000000001</v>
      </c>
      <c r="FI197" s="666">
        <v>0.84</v>
      </c>
      <c r="FJ197" s="666">
        <v>8.14</v>
      </c>
      <c r="FK197" s="666">
        <v>7.9</v>
      </c>
      <c r="FL197" s="666">
        <v>7.76</v>
      </c>
      <c r="FM197" s="666">
        <v>7.6</v>
      </c>
      <c r="FN197" s="666">
        <v>0</v>
      </c>
    </row>
    <row r="198" spans="1:170" s="416" customFormat="1" ht="15">
      <c r="A198" s="425" t="s">
        <v>3</v>
      </c>
      <c r="B198" s="426">
        <v>40727</v>
      </c>
      <c r="C198" s="418">
        <v>0</v>
      </c>
      <c r="D198" s="518">
        <v>0.12</v>
      </c>
      <c r="E198" s="453">
        <v>0</v>
      </c>
      <c r="F198" s="453">
        <v>52</v>
      </c>
      <c r="G198" s="453">
        <v>1.2</v>
      </c>
      <c r="H198" s="519">
        <v>1.4</v>
      </c>
      <c r="I198" s="519">
        <v>93.88</v>
      </c>
      <c r="J198" s="483">
        <v>0.9</v>
      </c>
      <c r="K198" s="520">
        <v>1.5</v>
      </c>
      <c r="L198" s="453">
        <v>0</v>
      </c>
      <c r="M198" s="453">
        <v>20.3</v>
      </c>
      <c r="N198" s="453">
        <v>1.6</v>
      </c>
      <c r="O198" s="453">
        <v>2.0255773698353883</v>
      </c>
      <c r="P198" s="453">
        <v>1.6</v>
      </c>
      <c r="Q198" s="453">
        <v>2.1151747040899718</v>
      </c>
      <c r="R198" s="453">
        <v>1030.665352708058</v>
      </c>
      <c r="S198" s="453">
        <v>8.1999999999999993</v>
      </c>
      <c r="T198" s="453">
        <v>8.1</v>
      </c>
      <c r="U198" s="453">
        <v>0.8</v>
      </c>
      <c r="V198" s="453">
        <v>0.8</v>
      </c>
      <c r="W198" s="453">
        <v>52.7</v>
      </c>
      <c r="X198" s="456">
        <v>52.7</v>
      </c>
      <c r="Y198" s="453">
        <v>34.9</v>
      </c>
      <c r="Z198" s="453">
        <v>24.8</v>
      </c>
      <c r="AA198" s="519">
        <v>34.600000000005821</v>
      </c>
      <c r="AB198" s="519">
        <v>24.940000000002328</v>
      </c>
      <c r="AC198" s="732">
        <f t="shared" si="2"/>
        <v>59.540000000008149</v>
      </c>
      <c r="AD198" s="664"/>
      <c r="AE198" s="664"/>
      <c r="AF198" s="664"/>
      <c r="AG198" s="664"/>
      <c r="AH198" s="664"/>
      <c r="AI198" s="664"/>
      <c r="AJ198" s="485"/>
      <c r="AK198" s="485"/>
      <c r="AL198" s="485"/>
      <c r="AM198" s="485"/>
      <c r="AN198" s="485"/>
      <c r="AO198" s="665"/>
      <c r="AP198" s="485"/>
      <c r="AQ198" s="483"/>
      <c r="AR198" s="755">
        <v>0</v>
      </c>
      <c r="AS198" s="483">
        <v>36.299999999999997</v>
      </c>
      <c r="AT198" s="755">
        <v>0</v>
      </c>
      <c r="AU198" s="483">
        <v>36</v>
      </c>
      <c r="AV198" s="484">
        <v>346.3</v>
      </c>
      <c r="AW198" s="484">
        <v>758.5</v>
      </c>
      <c r="AX198" s="453">
        <v>29.6</v>
      </c>
      <c r="AY198" s="734">
        <v>0</v>
      </c>
      <c r="AZ198" s="734">
        <v>0</v>
      </c>
      <c r="BA198" s="734">
        <v>0</v>
      </c>
      <c r="BB198" s="453">
        <v>0</v>
      </c>
      <c r="BC198" s="453">
        <v>0.5</v>
      </c>
      <c r="BD198" s="453">
        <v>2.02</v>
      </c>
      <c r="BE198" s="734">
        <v>0</v>
      </c>
      <c r="BF198" s="453">
        <v>0</v>
      </c>
      <c r="BG198" s="453">
        <v>0</v>
      </c>
      <c r="BH198" s="734">
        <v>0</v>
      </c>
      <c r="BI198" s="453">
        <v>0</v>
      </c>
      <c r="BJ198" s="453">
        <v>22.4</v>
      </c>
      <c r="BK198" s="453">
        <v>3.85</v>
      </c>
      <c r="BL198" s="453">
        <v>4.7</v>
      </c>
      <c r="BM198" s="453">
        <v>0</v>
      </c>
      <c r="BN198" s="453">
        <v>13.7</v>
      </c>
      <c r="BO198" s="453">
        <v>2838.1</v>
      </c>
      <c r="BP198" s="453">
        <v>0</v>
      </c>
      <c r="BQ198" s="453">
        <v>17.399999999999999</v>
      </c>
      <c r="BR198" s="453">
        <v>17.399999999999999</v>
      </c>
      <c r="BS198" s="453">
        <v>0</v>
      </c>
      <c r="BT198" s="453">
        <v>32.4</v>
      </c>
      <c r="BU198" s="453">
        <v>34.5</v>
      </c>
      <c r="BV198" s="456">
        <v>856.5</v>
      </c>
      <c r="BW198" s="453">
        <v>1.7</v>
      </c>
      <c r="BX198" s="453">
        <v>1.28</v>
      </c>
      <c r="BY198" s="456">
        <v>1.0900000000000001</v>
      </c>
      <c r="BZ198" s="456">
        <v>18.3</v>
      </c>
      <c r="CA198" s="456">
        <v>33.299999999999997</v>
      </c>
      <c r="CB198" s="456">
        <v>18.600000000000001</v>
      </c>
      <c r="CC198" s="456">
        <v>10.5</v>
      </c>
      <c r="CD198" s="456">
        <v>14.7</v>
      </c>
      <c r="CE198" s="456">
        <v>18.899999999999999</v>
      </c>
      <c r="CF198" s="456">
        <v>12.9</v>
      </c>
      <c r="CG198" s="456">
        <v>0</v>
      </c>
      <c r="CH198" s="456">
        <v>5.5</v>
      </c>
      <c r="CI198" s="456">
        <v>9.1</v>
      </c>
      <c r="CJ198" s="456">
        <v>906.3</v>
      </c>
      <c r="CK198" s="456">
        <v>1005.4</v>
      </c>
      <c r="CL198" s="456">
        <v>667</v>
      </c>
      <c r="CM198" s="456">
        <v>7.8</v>
      </c>
      <c r="CN198" s="456">
        <v>1.49</v>
      </c>
      <c r="CO198" s="453">
        <v>7324.7</v>
      </c>
      <c r="CP198" s="453">
        <v>17.489999999999998</v>
      </c>
      <c r="CQ198" s="453">
        <v>54</v>
      </c>
      <c r="CR198" s="456">
        <v>0</v>
      </c>
      <c r="CS198" s="456">
        <v>0</v>
      </c>
      <c r="CT198" s="456">
        <v>0</v>
      </c>
      <c r="CU198" s="456">
        <v>0</v>
      </c>
      <c r="CV198" s="481">
        <v>944.3478260869565</v>
      </c>
      <c r="CW198" s="481">
        <v>1226.875</v>
      </c>
      <c r="CX198" s="481">
        <v>835.625</v>
      </c>
      <c r="CY198" s="481">
        <v>1166.55</v>
      </c>
      <c r="CZ198" s="456"/>
      <c r="DA198" s="456"/>
      <c r="DB198" s="456"/>
      <c r="DC198" s="456"/>
      <c r="DD198" s="456"/>
      <c r="DE198" s="456"/>
      <c r="DF198" s="456"/>
      <c r="DG198" s="425"/>
      <c r="DH198" s="456">
        <v>54</v>
      </c>
      <c r="DI198" s="456">
        <v>0.34</v>
      </c>
      <c r="DJ198" s="456" t="s">
        <v>756</v>
      </c>
      <c r="DK198" s="425"/>
      <c r="DL198" s="456"/>
      <c r="DM198" s="456"/>
      <c r="DN198" s="456"/>
      <c r="DO198" s="456"/>
      <c r="DP198" s="456"/>
      <c r="DQ198" s="456"/>
      <c r="DR198" s="456"/>
      <c r="DS198" s="456"/>
      <c r="DT198" s="456"/>
      <c r="DU198" s="456"/>
      <c r="DV198" s="456"/>
      <c r="DW198" s="456"/>
      <c r="DX198" s="456"/>
      <c r="DY198" s="456"/>
      <c r="DZ198" s="456"/>
      <c r="EA198" s="456"/>
      <c r="EB198" s="456"/>
      <c r="EC198" s="456"/>
      <c r="ED198" s="423">
        <v>0</v>
      </c>
      <c r="EE198" s="456">
        <v>0</v>
      </c>
      <c r="EF198" s="456">
        <v>2.5</v>
      </c>
      <c r="EG198" s="456">
        <v>8.5</v>
      </c>
      <c r="EH198" s="423">
        <v>0</v>
      </c>
      <c r="EI198" s="456"/>
      <c r="EJ198" s="456"/>
      <c r="EK198" s="456"/>
      <c r="EL198" s="456"/>
      <c r="EM198" s="456"/>
      <c r="EN198" s="456"/>
      <c r="EO198" s="425"/>
      <c r="EP198" s="425"/>
      <c r="EQ198" s="425" t="s">
        <v>743</v>
      </c>
      <c r="ER198" s="425">
        <v>2</v>
      </c>
      <c r="ES198" s="425">
        <v>2</v>
      </c>
      <c r="ET198" s="425">
        <v>3990</v>
      </c>
      <c r="EU198" s="457">
        <v>-10</v>
      </c>
      <c r="EV198" s="425">
        <v>430</v>
      </c>
      <c r="EW198" s="425">
        <v>7017755</v>
      </c>
      <c r="EX198" s="425">
        <v>84446</v>
      </c>
      <c r="EY198" s="666">
        <v>17.18</v>
      </c>
      <c r="EZ198" s="666">
        <v>17.190000000000001</v>
      </c>
      <c r="FA198" s="666">
        <v>0</v>
      </c>
      <c r="FB198" s="666">
        <v>1.26</v>
      </c>
      <c r="FC198" s="666">
        <v>1.31</v>
      </c>
      <c r="FD198" s="666">
        <v>1.1619999999999999</v>
      </c>
      <c r="FE198" s="666">
        <v>1.24</v>
      </c>
      <c r="FF198" s="666">
        <v>420</v>
      </c>
      <c r="FG198" s="666">
        <v>1.1299999999999999</v>
      </c>
      <c r="FH198" s="666">
        <v>0.46700000000000003</v>
      </c>
      <c r="FI198" s="666">
        <v>0.9</v>
      </c>
      <c r="FJ198" s="666">
        <v>8</v>
      </c>
      <c r="FK198" s="666">
        <v>7.8</v>
      </c>
      <c r="FL198" s="666">
        <v>7.71</v>
      </c>
      <c r="FM198" s="666">
        <v>7.7</v>
      </c>
      <c r="FN198" s="666">
        <v>0</v>
      </c>
    </row>
    <row r="199" spans="1:170" s="416" customFormat="1" ht="15">
      <c r="A199" s="425" t="s">
        <v>4</v>
      </c>
      <c r="B199" s="426">
        <v>40728</v>
      </c>
      <c r="C199" s="418">
        <v>0</v>
      </c>
      <c r="D199" s="518">
        <v>0</v>
      </c>
      <c r="E199" s="453">
        <v>0</v>
      </c>
      <c r="F199" s="453">
        <v>53</v>
      </c>
      <c r="G199" s="453">
        <v>1.2</v>
      </c>
      <c r="H199" s="519">
        <v>1.23</v>
      </c>
      <c r="I199" s="519">
        <v>93.1</v>
      </c>
      <c r="J199" s="483">
        <v>0.93</v>
      </c>
      <c r="K199" s="520">
        <v>0.94</v>
      </c>
      <c r="L199" s="453">
        <v>0</v>
      </c>
      <c r="M199" s="453">
        <v>20.69</v>
      </c>
      <c r="N199" s="453">
        <v>1.65</v>
      </c>
      <c r="O199" s="453">
        <v>2.07704119632105</v>
      </c>
      <c r="P199" s="453">
        <v>1.58</v>
      </c>
      <c r="Q199" s="453">
        <v>2.2309995596653454</v>
      </c>
      <c r="R199" s="453">
        <v>1099.6570937912811</v>
      </c>
      <c r="S199" s="453">
        <v>8.07</v>
      </c>
      <c r="T199" s="453">
        <v>8.08</v>
      </c>
      <c r="U199" s="453">
        <v>0.78</v>
      </c>
      <c r="V199" s="453">
        <v>0.76</v>
      </c>
      <c r="W199" s="453">
        <f>9/5*11.2+32</f>
        <v>52.16</v>
      </c>
      <c r="X199" s="453">
        <f>9/5*11.2+32</f>
        <v>52.16</v>
      </c>
      <c r="Y199" s="453">
        <v>34.799999999999997</v>
      </c>
      <c r="Z199" s="453">
        <v>24.9</v>
      </c>
      <c r="AA199" s="519">
        <v>34.270000000004075</v>
      </c>
      <c r="AB199" s="802">
        <v>26.930000000000291</v>
      </c>
      <c r="AC199" s="732">
        <f t="shared" si="2"/>
        <v>61.200000000004366</v>
      </c>
      <c r="AD199" s="664"/>
      <c r="AE199" s="664"/>
      <c r="AF199" s="664"/>
      <c r="AG199" s="664"/>
      <c r="AH199" s="664"/>
      <c r="AI199" s="664"/>
      <c r="AJ199" s="485"/>
      <c r="AK199" s="485"/>
      <c r="AL199" s="485"/>
      <c r="AM199" s="485"/>
      <c r="AN199" s="485"/>
      <c r="AO199" s="665"/>
      <c r="AP199" s="485"/>
      <c r="AQ199" s="483"/>
      <c r="AR199" s="755">
        <v>0</v>
      </c>
      <c r="AS199" s="483">
        <v>19.5</v>
      </c>
      <c r="AT199" s="755">
        <v>0</v>
      </c>
      <c r="AU199" s="483">
        <v>36</v>
      </c>
      <c r="AV199" s="484">
        <v>766</v>
      </c>
      <c r="AW199" s="484">
        <v>881</v>
      </c>
      <c r="AX199" s="453">
        <v>22.4</v>
      </c>
      <c r="AY199" s="734">
        <v>0</v>
      </c>
      <c r="AZ199" s="734">
        <v>0</v>
      </c>
      <c r="BA199" s="734">
        <v>0</v>
      </c>
      <c r="BB199" s="453">
        <v>0</v>
      </c>
      <c r="BC199" s="453">
        <v>0.49</v>
      </c>
      <c r="BD199" s="453">
        <v>2.02</v>
      </c>
      <c r="BE199" s="734">
        <v>0</v>
      </c>
      <c r="BF199" s="453">
        <v>0</v>
      </c>
      <c r="BG199" s="453">
        <v>0</v>
      </c>
      <c r="BH199" s="734">
        <v>0</v>
      </c>
      <c r="BI199" s="453">
        <v>0</v>
      </c>
      <c r="BJ199" s="453">
        <v>24.6</v>
      </c>
      <c r="BK199" s="453">
        <v>3.86</v>
      </c>
      <c r="BL199" s="453">
        <v>4.6900000000000004</v>
      </c>
      <c r="BM199" s="453">
        <v>0</v>
      </c>
      <c r="BN199" s="453">
        <v>15.9</v>
      </c>
      <c r="BO199" s="453">
        <v>2775.4</v>
      </c>
      <c r="BP199" s="453">
        <v>54.3</v>
      </c>
      <c r="BQ199" s="453">
        <v>16.3</v>
      </c>
      <c r="BR199" s="453">
        <v>16.399999999999999</v>
      </c>
      <c r="BS199" s="453">
        <v>0</v>
      </c>
      <c r="BT199" s="453">
        <v>32.1</v>
      </c>
      <c r="BU199" s="453">
        <v>35.5</v>
      </c>
      <c r="BV199" s="456">
        <v>284.8</v>
      </c>
      <c r="BW199" s="453">
        <v>0.8</v>
      </c>
      <c r="BX199" s="453">
        <v>1.24</v>
      </c>
      <c r="BY199" s="456">
        <v>1.08</v>
      </c>
      <c r="BZ199" s="456">
        <v>18.170000000000002</v>
      </c>
      <c r="CA199" s="456">
        <v>32.799999999999997</v>
      </c>
      <c r="CB199" s="456">
        <v>19.059999999999999</v>
      </c>
      <c r="CC199" s="456">
        <v>8.2100000000000009</v>
      </c>
      <c r="CD199" s="456">
        <v>12.42</v>
      </c>
      <c r="CE199" s="456">
        <v>16.489999999999998</v>
      </c>
      <c r="CF199" s="456">
        <v>12.86</v>
      </c>
      <c r="CG199" s="456">
        <v>0</v>
      </c>
      <c r="CH199" s="456">
        <v>6</v>
      </c>
      <c r="CI199" s="456">
        <v>9.6999999999999993</v>
      </c>
      <c r="CJ199" s="456">
        <v>1086.4000000000001</v>
      </c>
      <c r="CK199" s="456">
        <v>1133.0999999999999</v>
      </c>
      <c r="CL199" s="456">
        <v>686.9</v>
      </c>
      <c r="CM199" s="456">
        <v>6.8</v>
      </c>
      <c r="CN199" s="456">
        <v>1.44</v>
      </c>
      <c r="CO199" s="453">
        <v>7325.3</v>
      </c>
      <c r="CP199" s="453">
        <v>17.45</v>
      </c>
      <c r="CQ199" s="453">
        <v>55</v>
      </c>
      <c r="CR199" s="456">
        <v>0</v>
      </c>
      <c r="CS199" s="456">
        <v>0</v>
      </c>
      <c r="CT199" s="456">
        <v>0</v>
      </c>
      <c r="CU199" s="456">
        <v>0</v>
      </c>
      <c r="CV199" s="481">
        <v>942.17391304347825</v>
      </c>
      <c r="CW199" s="481">
        <v>1209.5833333333333</v>
      </c>
      <c r="CX199" s="481">
        <v>829.08333333333337</v>
      </c>
      <c r="CY199" s="481">
        <v>1166.33</v>
      </c>
      <c r="CZ199" s="456"/>
      <c r="DA199" s="456"/>
      <c r="DB199" s="456"/>
      <c r="DC199" s="456"/>
      <c r="DD199" s="456"/>
      <c r="DE199" s="456"/>
      <c r="DF199" s="456"/>
      <c r="DG199" s="425"/>
      <c r="DH199" s="456">
        <v>71</v>
      </c>
      <c r="DI199" s="456">
        <v>0.31</v>
      </c>
      <c r="DJ199" s="456">
        <v>0</v>
      </c>
      <c r="DK199" s="425"/>
      <c r="DL199" s="456"/>
      <c r="DM199" s="456"/>
      <c r="DN199" s="456"/>
      <c r="DO199" s="456"/>
      <c r="DP199" s="456"/>
      <c r="DQ199" s="456"/>
      <c r="DR199" s="456"/>
      <c r="DS199" s="456"/>
      <c r="DT199" s="456"/>
      <c r="DU199" s="456"/>
      <c r="DV199" s="456"/>
      <c r="DW199" s="456"/>
      <c r="DX199" s="456"/>
      <c r="DY199" s="456"/>
      <c r="DZ199" s="456"/>
      <c r="EA199" s="456"/>
      <c r="EB199" s="456"/>
      <c r="EC199" s="456"/>
      <c r="ED199" s="423">
        <v>0</v>
      </c>
      <c r="EE199" s="456">
        <v>0</v>
      </c>
      <c r="EF199" s="456">
        <v>2.5</v>
      </c>
      <c r="EG199" s="456">
        <v>8.5</v>
      </c>
      <c r="EH199" s="423">
        <v>0</v>
      </c>
      <c r="EI199" s="456"/>
      <c r="EJ199" s="456"/>
      <c r="EK199" s="456"/>
      <c r="EL199" s="456"/>
      <c r="EM199" s="456"/>
      <c r="EN199" s="456"/>
      <c r="EO199" s="425"/>
      <c r="EP199" s="425"/>
      <c r="EQ199" s="425" t="s">
        <v>743</v>
      </c>
      <c r="ER199" s="425">
        <v>2</v>
      </c>
      <c r="ES199" s="425">
        <v>2</v>
      </c>
      <c r="ET199" s="425">
        <v>3645</v>
      </c>
      <c r="EU199" s="457">
        <v>-10</v>
      </c>
      <c r="EV199" s="425">
        <v>365</v>
      </c>
      <c r="EW199" s="425">
        <v>7021130</v>
      </c>
      <c r="EX199" s="425">
        <v>84975</v>
      </c>
      <c r="EY199" s="666">
        <v>16.41</v>
      </c>
      <c r="EZ199" s="666">
        <v>16.48</v>
      </c>
      <c r="FA199" s="666">
        <v>0</v>
      </c>
      <c r="FB199" s="666">
        <v>1.28</v>
      </c>
      <c r="FC199" s="666">
        <v>1.28</v>
      </c>
      <c r="FD199" s="666">
        <v>1.1279999999999999</v>
      </c>
      <c r="FE199" s="666">
        <v>1.21</v>
      </c>
      <c r="FF199" s="666">
        <v>345</v>
      </c>
      <c r="FG199" s="666">
        <v>0.89</v>
      </c>
      <c r="FH199" s="666">
        <v>0.46500000000000002</v>
      </c>
      <c r="FI199" s="666">
        <v>0.91</v>
      </c>
      <c r="FJ199" s="666">
        <v>7.94</v>
      </c>
      <c r="FK199" s="666">
        <v>7.9</v>
      </c>
      <c r="FL199" s="666">
        <v>7.67</v>
      </c>
      <c r="FM199" s="666">
        <v>7.7</v>
      </c>
      <c r="FN199" s="666">
        <v>0</v>
      </c>
    </row>
    <row r="200" spans="1:170" s="416" customFormat="1" ht="15">
      <c r="A200" s="425" t="s">
        <v>5</v>
      </c>
      <c r="B200" s="426">
        <v>40729</v>
      </c>
      <c r="C200" s="418">
        <v>0</v>
      </c>
      <c r="D200" s="518">
        <v>0</v>
      </c>
      <c r="E200" s="453">
        <v>0</v>
      </c>
      <c r="F200" s="453">
        <v>54.6</v>
      </c>
      <c r="G200" s="453">
        <v>1</v>
      </c>
      <c r="H200" s="519">
        <v>1.31</v>
      </c>
      <c r="I200" s="519">
        <v>93.4</v>
      </c>
      <c r="J200" s="483">
        <v>0.83</v>
      </c>
      <c r="K200" s="520">
        <v>0.91</v>
      </c>
      <c r="L200" s="453">
        <v>0</v>
      </c>
      <c r="M200" s="453">
        <v>20.5</v>
      </c>
      <c r="N200" s="453">
        <v>1.68</v>
      </c>
      <c r="O200" s="453">
        <v>2.0879279269192614</v>
      </c>
      <c r="P200" s="453">
        <v>1.59</v>
      </c>
      <c r="Q200" s="453">
        <v>2.2726211275408015</v>
      </c>
      <c r="R200" s="453">
        <v>1245.0903883751648</v>
      </c>
      <c r="S200" s="453">
        <v>8.2100000000000009</v>
      </c>
      <c r="T200" s="453">
        <v>8.1999999999999993</v>
      </c>
      <c r="U200" s="453">
        <v>0.73</v>
      </c>
      <c r="V200" s="453">
        <v>0.68</v>
      </c>
      <c r="W200" s="453">
        <v>50.539999999999992</v>
      </c>
      <c r="X200" s="456">
        <v>50.360000000000014</v>
      </c>
      <c r="Y200" s="453">
        <v>34.700000000000003</v>
      </c>
      <c r="Z200" s="453">
        <v>29.86</v>
      </c>
      <c r="AA200" s="519">
        <v>37.55000000000291</v>
      </c>
      <c r="AB200" s="519">
        <v>31.169999999998254</v>
      </c>
      <c r="AC200" s="732">
        <f t="shared" si="2"/>
        <v>68.720000000001164</v>
      </c>
      <c r="AD200" s="664"/>
      <c r="AE200" s="664"/>
      <c r="AF200" s="664"/>
      <c r="AG200" s="664"/>
      <c r="AH200" s="664"/>
      <c r="AI200" s="664"/>
      <c r="AJ200" s="485"/>
      <c r="AK200" s="485"/>
      <c r="AL200" s="485"/>
      <c r="AM200" s="485"/>
      <c r="AN200" s="485"/>
      <c r="AO200" s="665"/>
      <c r="AP200" s="485"/>
      <c r="AQ200" s="483"/>
      <c r="AR200" s="755">
        <v>0</v>
      </c>
      <c r="AS200" s="483">
        <v>38.700000000000003</v>
      </c>
      <c r="AT200" s="755">
        <v>0</v>
      </c>
      <c r="AU200" s="483">
        <v>38.6</v>
      </c>
      <c r="AV200" s="484">
        <v>509</v>
      </c>
      <c r="AW200" s="484">
        <v>923.9</v>
      </c>
      <c r="AX200" s="453">
        <v>37.200000000000003</v>
      </c>
      <c r="AY200" s="734">
        <v>0</v>
      </c>
      <c r="AZ200" s="734">
        <v>0</v>
      </c>
      <c r="BA200" s="734">
        <v>0</v>
      </c>
      <c r="BB200" s="453">
        <v>0</v>
      </c>
      <c r="BC200" s="453">
        <v>0.5</v>
      </c>
      <c r="BD200" s="453">
        <v>1.83</v>
      </c>
      <c r="BE200" s="734">
        <v>0</v>
      </c>
      <c r="BF200" s="453">
        <v>0</v>
      </c>
      <c r="BG200" s="453">
        <v>0</v>
      </c>
      <c r="BH200" s="734">
        <v>0</v>
      </c>
      <c r="BI200" s="453">
        <v>0.46</v>
      </c>
      <c r="BJ200" s="453">
        <v>28.2</v>
      </c>
      <c r="BK200" s="453">
        <v>3.85</v>
      </c>
      <c r="BL200" s="453">
        <v>4.6900000000000004</v>
      </c>
      <c r="BM200" s="453">
        <v>0</v>
      </c>
      <c r="BN200" s="453">
        <v>19.5</v>
      </c>
      <c r="BO200" s="453">
        <v>2962.9</v>
      </c>
      <c r="BP200" s="453">
        <v>0</v>
      </c>
      <c r="BQ200" s="453">
        <v>16.11</v>
      </c>
      <c r="BR200" s="453">
        <v>16.3</v>
      </c>
      <c r="BS200" s="453">
        <v>0</v>
      </c>
      <c r="BT200" s="453">
        <v>35</v>
      </c>
      <c r="BU200" s="453">
        <v>34.200000000000003</v>
      </c>
      <c r="BV200" s="456">
        <v>488.9</v>
      </c>
      <c r="BW200" s="453">
        <v>2.39</v>
      </c>
      <c r="BX200" s="453">
        <v>1.27</v>
      </c>
      <c r="BY200" s="456">
        <v>1.1000000000000001</v>
      </c>
      <c r="BZ200" s="456">
        <v>18.149999999999999</v>
      </c>
      <c r="CA200" s="456">
        <v>31.4</v>
      </c>
      <c r="CB200" s="456">
        <v>18.600000000000001</v>
      </c>
      <c r="CC200" s="456">
        <v>9.24</v>
      </c>
      <c r="CD200" s="456">
        <v>13.44</v>
      </c>
      <c r="CE200" s="456">
        <v>17.54</v>
      </c>
      <c r="CF200" s="456">
        <v>12.58</v>
      </c>
      <c r="CG200" s="456">
        <v>0</v>
      </c>
      <c r="CH200" s="456">
        <v>6.5</v>
      </c>
      <c r="CI200" s="456">
        <v>10.4</v>
      </c>
      <c r="CJ200" s="456">
        <v>1152.0999999999999</v>
      </c>
      <c r="CK200" s="456">
        <v>1099.5</v>
      </c>
      <c r="CL200" s="456">
        <v>739.7</v>
      </c>
      <c r="CM200" s="456">
        <v>6.4</v>
      </c>
      <c r="CN200" s="456">
        <v>1.6</v>
      </c>
      <c r="CO200" s="453">
        <v>7305.7</v>
      </c>
      <c r="CP200" s="453">
        <v>17.739999999999998</v>
      </c>
      <c r="CQ200" s="453">
        <v>55</v>
      </c>
      <c r="CR200" s="456">
        <v>0</v>
      </c>
      <c r="CS200" s="456">
        <v>0</v>
      </c>
      <c r="CT200" s="456">
        <v>0</v>
      </c>
      <c r="CU200" s="456">
        <v>0</v>
      </c>
      <c r="CV200" s="481">
        <v>852</v>
      </c>
      <c r="CW200" s="481">
        <v>1164.8958333333333</v>
      </c>
      <c r="CX200" s="481">
        <v>733.02083333333337</v>
      </c>
      <c r="CY200" s="481">
        <v>1166.17</v>
      </c>
      <c r="CZ200" s="456"/>
      <c r="DA200" s="456"/>
      <c r="DB200" s="456"/>
      <c r="DC200" s="456"/>
      <c r="DD200" s="456"/>
      <c r="DE200" s="456"/>
      <c r="DF200" s="456"/>
      <c r="DG200" s="425"/>
      <c r="DH200" s="456">
        <v>73</v>
      </c>
      <c r="DI200" s="456">
        <v>0.24</v>
      </c>
      <c r="DJ200" s="456">
        <v>0</v>
      </c>
      <c r="DK200" s="425"/>
      <c r="DL200" s="456"/>
      <c r="DM200" s="456"/>
      <c r="DN200" s="456"/>
      <c r="DO200" s="456"/>
      <c r="DP200" s="456"/>
      <c r="DQ200" s="456"/>
      <c r="DR200" s="456"/>
      <c r="DS200" s="456"/>
      <c r="DT200" s="456"/>
      <c r="DU200" s="456"/>
      <c r="DV200" s="456"/>
      <c r="DW200" s="456"/>
      <c r="DX200" s="456"/>
      <c r="DY200" s="456"/>
      <c r="DZ200" s="456"/>
      <c r="EA200" s="456"/>
      <c r="EB200" s="456"/>
      <c r="EC200" s="456"/>
      <c r="ED200" s="423">
        <v>0</v>
      </c>
      <c r="EE200" s="456">
        <v>2</v>
      </c>
      <c r="EF200" s="456">
        <v>2</v>
      </c>
      <c r="EG200" s="456">
        <v>8.5</v>
      </c>
      <c r="EH200" s="423">
        <v>0</v>
      </c>
      <c r="EI200" s="456"/>
      <c r="EJ200" s="456"/>
      <c r="EK200" s="456"/>
      <c r="EL200" s="456"/>
      <c r="EM200" s="456"/>
      <c r="EN200" s="456"/>
      <c r="EO200" s="425"/>
      <c r="EP200" s="425"/>
      <c r="EQ200" s="425" t="s">
        <v>743</v>
      </c>
      <c r="ER200" s="425">
        <v>2</v>
      </c>
      <c r="ES200" s="425">
        <v>2</v>
      </c>
      <c r="ET200" s="425">
        <v>3400</v>
      </c>
      <c r="EU200" s="457">
        <v>3940</v>
      </c>
      <c r="EV200" s="425">
        <v>375</v>
      </c>
      <c r="EW200" s="425">
        <v>7024669</v>
      </c>
      <c r="EX200" s="425">
        <v>85487</v>
      </c>
      <c r="EY200" s="666">
        <v>16.149999999999999</v>
      </c>
      <c r="EZ200" s="666">
        <v>16.3</v>
      </c>
      <c r="FA200" s="666">
        <v>0</v>
      </c>
      <c r="FB200" s="666">
        <v>1.27</v>
      </c>
      <c r="FC200" s="666">
        <v>1.3</v>
      </c>
      <c r="FD200" s="666">
        <v>1.21</v>
      </c>
      <c r="FE200" s="666">
        <v>1.19</v>
      </c>
      <c r="FF200" s="666">
        <v>305</v>
      </c>
      <c r="FG200" s="666">
        <v>0.96</v>
      </c>
      <c r="FH200" s="666">
        <v>0.54</v>
      </c>
      <c r="FI200" s="666">
        <v>0.89</v>
      </c>
      <c r="FJ200" s="666">
        <v>8.0299999999999994</v>
      </c>
      <c r="FK200" s="666">
        <v>8.1</v>
      </c>
      <c r="FL200" s="666">
        <v>7.89</v>
      </c>
      <c r="FM200" s="666">
        <v>7.5</v>
      </c>
      <c r="FN200" s="666">
        <v>0</v>
      </c>
    </row>
    <row r="201" spans="1:170" s="416" customFormat="1" ht="15">
      <c r="A201" s="425" t="s">
        <v>6</v>
      </c>
      <c r="B201" s="426">
        <v>40730</v>
      </c>
      <c r="C201" s="418">
        <v>0</v>
      </c>
      <c r="D201" s="518">
        <v>0</v>
      </c>
      <c r="E201" s="453">
        <v>0</v>
      </c>
      <c r="F201" s="453">
        <v>59</v>
      </c>
      <c r="G201" s="453">
        <v>1</v>
      </c>
      <c r="H201" s="519">
        <v>1.5</v>
      </c>
      <c r="I201" s="519">
        <v>93.9</v>
      </c>
      <c r="J201" s="483">
        <v>0.9</v>
      </c>
      <c r="K201" s="520">
        <v>0.9</v>
      </c>
      <c r="L201" s="453">
        <v>0</v>
      </c>
      <c r="M201" s="453">
        <v>20.5</v>
      </c>
      <c r="N201" s="453">
        <v>1.6</v>
      </c>
      <c r="O201" s="453">
        <v>2.057500308792608</v>
      </c>
      <c r="P201" s="453">
        <v>1.6</v>
      </c>
      <c r="Q201" s="453">
        <v>2.2902365798006481</v>
      </c>
      <c r="R201" s="453">
        <v>1388.2563487450459</v>
      </c>
      <c r="S201" s="453">
        <v>8.3000000000000007</v>
      </c>
      <c r="T201" s="453">
        <v>8.1999999999999993</v>
      </c>
      <c r="U201" s="453">
        <v>0.7</v>
      </c>
      <c r="V201" s="453">
        <v>0.7</v>
      </c>
      <c r="W201" s="453">
        <v>53.06</v>
      </c>
      <c r="X201" s="456">
        <v>53.06</v>
      </c>
      <c r="Y201" s="453">
        <v>44.08</v>
      </c>
      <c r="Z201" s="453">
        <v>33.1</v>
      </c>
      <c r="AA201" s="519">
        <v>43.979999999995925</v>
      </c>
      <c r="AB201" s="519">
        <v>33.099999999998545</v>
      </c>
      <c r="AC201" s="732">
        <f t="shared" ref="AC201:AC264" si="3">SUM(AA201:AB201)</f>
        <v>77.07999999999447</v>
      </c>
      <c r="AD201" s="664"/>
      <c r="AE201" s="664"/>
      <c r="AF201" s="664"/>
      <c r="AG201" s="664"/>
      <c r="AH201" s="664"/>
      <c r="AI201" s="664"/>
      <c r="AJ201" s="485"/>
      <c r="AK201" s="485"/>
      <c r="AL201" s="485"/>
      <c r="AM201" s="485"/>
      <c r="AN201" s="485"/>
      <c r="AO201" s="665"/>
      <c r="AP201" s="485"/>
      <c r="AQ201" s="483"/>
      <c r="AR201" s="755">
        <v>0</v>
      </c>
      <c r="AS201" s="483">
        <v>41.3</v>
      </c>
      <c r="AT201" s="755">
        <v>0</v>
      </c>
      <c r="AU201" s="483">
        <v>45.8</v>
      </c>
      <c r="AV201" s="484">
        <v>720.3</v>
      </c>
      <c r="AW201" s="484">
        <v>855</v>
      </c>
      <c r="AX201" s="453">
        <v>55</v>
      </c>
      <c r="AY201" s="734">
        <v>0</v>
      </c>
      <c r="AZ201" s="734">
        <v>0</v>
      </c>
      <c r="BA201" s="734">
        <v>0</v>
      </c>
      <c r="BB201" s="453">
        <v>0</v>
      </c>
      <c r="BC201" s="453">
        <v>0.49</v>
      </c>
      <c r="BD201" s="453">
        <v>1.52</v>
      </c>
      <c r="BE201" s="734">
        <v>0</v>
      </c>
      <c r="BF201" s="453">
        <v>0</v>
      </c>
      <c r="BG201" s="453">
        <v>0</v>
      </c>
      <c r="BH201" s="734">
        <v>0</v>
      </c>
      <c r="BI201" s="453">
        <v>1.02</v>
      </c>
      <c r="BJ201" s="453">
        <v>29.9</v>
      </c>
      <c r="BK201" s="453">
        <v>3.85</v>
      </c>
      <c r="BL201" s="453">
        <v>4.6900000000000004</v>
      </c>
      <c r="BM201" s="453">
        <v>0</v>
      </c>
      <c r="BN201" s="453">
        <v>21.1</v>
      </c>
      <c r="BO201" s="453">
        <v>3247.5</v>
      </c>
      <c r="BP201" s="453">
        <v>0</v>
      </c>
      <c r="BQ201" s="453">
        <v>16.399999999999999</v>
      </c>
      <c r="BR201" s="453">
        <v>16.600000000000001</v>
      </c>
      <c r="BS201" s="453">
        <v>0</v>
      </c>
      <c r="BT201" s="453">
        <v>41.8</v>
      </c>
      <c r="BU201" s="453">
        <v>38.5</v>
      </c>
      <c r="BV201" s="456">
        <v>938.1</v>
      </c>
      <c r="BW201" s="453">
        <v>2.37</v>
      </c>
      <c r="BX201" s="453">
        <v>1.29</v>
      </c>
      <c r="BY201" s="456">
        <v>1.1000000000000001</v>
      </c>
      <c r="BZ201" s="456">
        <v>19.48</v>
      </c>
      <c r="CA201" s="456">
        <v>29.6</v>
      </c>
      <c r="CB201" s="456">
        <v>17.86</v>
      </c>
      <c r="CC201" s="456">
        <v>9.02</v>
      </c>
      <c r="CD201" s="456">
        <v>13.21</v>
      </c>
      <c r="CE201" s="456">
        <v>17.3</v>
      </c>
      <c r="CF201" s="456">
        <v>13.14</v>
      </c>
      <c r="CG201" s="456">
        <v>0</v>
      </c>
      <c r="CH201" s="456">
        <v>7.7</v>
      </c>
      <c r="CI201" s="456">
        <v>11.6</v>
      </c>
      <c r="CJ201" s="456">
        <v>1275.4000000000001</v>
      </c>
      <c r="CK201" s="456">
        <v>1177.2</v>
      </c>
      <c r="CL201" s="456">
        <v>765.3</v>
      </c>
      <c r="CM201" s="456">
        <v>5.0999999999999996</v>
      </c>
      <c r="CN201" s="456">
        <v>1.55</v>
      </c>
      <c r="CO201" s="453">
        <v>7290</v>
      </c>
      <c r="CP201" s="453">
        <v>17.37</v>
      </c>
      <c r="CQ201" s="453">
        <v>55</v>
      </c>
      <c r="CR201" s="456">
        <v>0</v>
      </c>
      <c r="CS201" s="456">
        <v>0</v>
      </c>
      <c r="CT201" s="456">
        <v>0</v>
      </c>
      <c r="CU201" s="456">
        <v>0</v>
      </c>
      <c r="CV201" s="481">
        <v>794.26086956521738</v>
      </c>
      <c r="CW201" s="481">
        <v>1007.5729166666666</v>
      </c>
      <c r="CX201" s="481">
        <v>655.90625</v>
      </c>
      <c r="CY201" s="481">
        <v>1166.05</v>
      </c>
      <c r="CZ201" s="456"/>
      <c r="DA201" s="456"/>
      <c r="DB201" s="456"/>
      <c r="DC201" s="456"/>
      <c r="DD201" s="456"/>
      <c r="DE201" s="456"/>
      <c r="DF201" s="456"/>
      <c r="DG201" s="425"/>
      <c r="DH201" s="456">
        <v>60</v>
      </c>
      <c r="DI201" s="456">
        <v>0.27</v>
      </c>
      <c r="DJ201" s="456">
        <v>0</v>
      </c>
      <c r="DK201" s="425"/>
      <c r="DL201" s="456"/>
      <c r="DM201" s="456"/>
      <c r="DN201" s="456"/>
      <c r="DO201" s="456"/>
      <c r="DP201" s="456"/>
      <c r="DQ201" s="456"/>
      <c r="DR201" s="456"/>
      <c r="DS201" s="456"/>
      <c r="DT201" s="456"/>
      <c r="DU201" s="456"/>
      <c r="DV201" s="456"/>
      <c r="DW201" s="456"/>
      <c r="DX201" s="456"/>
      <c r="DY201" s="456"/>
      <c r="DZ201" s="456"/>
      <c r="EA201" s="456"/>
      <c r="EB201" s="456"/>
      <c r="EC201" s="456"/>
      <c r="ED201" s="423">
        <v>0</v>
      </c>
      <c r="EE201" s="456">
        <v>2</v>
      </c>
      <c r="EF201" s="456">
        <v>2</v>
      </c>
      <c r="EG201" s="456">
        <v>8.5</v>
      </c>
      <c r="EH201" s="423">
        <v>0</v>
      </c>
      <c r="EI201" s="456"/>
      <c r="EJ201" s="456"/>
      <c r="EK201" s="456"/>
      <c r="EL201" s="456"/>
      <c r="EM201" s="456"/>
      <c r="EN201" s="456"/>
      <c r="EO201" s="425"/>
      <c r="EP201" s="425"/>
      <c r="EQ201" s="425" t="s">
        <v>743</v>
      </c>
      <c r="ER201" s="425">
        <v>2</v>
      </c>
      <c r="ES201" s="425">
        <v>2</v>
      </c>
      <c r="ET201" s="425">
        <v>3080</v>
      </c>
      <c r="EU201" s="457">
        <v>3940</v>
      </c>
      <c r="EV201" s="425">
        <v>250</v>
      </c>
      <c r="EW201" s="425">
        <v>7028490</v>
      </c>
      <c r="EX201" s="425">
        <v>86035</v>
      </c>
      <c r="EY201" s="666">
        <v>16.5</v>
      </c>
      <c r="EZ201" s="666">
        <v>16.600000000000001</v>
      </c>
      <c r="FA201" s="666">
        <v>0</v>
      </c>
      <c r="FB201" s="666">
        <v>1.29</v>
      </c>
      <c r="FC201" s="666">
        <v>1.3</v>
      </c>
      <c r="FD201" s="666">
        <v>1.18</v>
      </c>
      <c r="FE201" s="666">
        <v>1.1499999999999999</v>
      </c>
      <c r="FF201" s="666">
        <v>320</v>
      </c>
      <c r="FG201" s="666">
        <v>0.92</v>
      </c>
      <c r="FH201" s="666">
        <v>0.51</v>
      </c>
      <c r="FI201" s="666">
        <v>0.8</v>
      </c>
      <c r="FJ201" s="666">
        <v>8.01</v>
      </c>
      <c r="FK201" s="666">
        <v>8</v>
      </c>
      <c r="FL201" s="666">
        <v>7.79</v>
      </c>
      <c r="FM201" s="666">
        <v>7.5</v>
      </c>
      <c r="FN201" s="666">
        <v>0</v>
      </c>
    </row>
    <row r="202" spans="1:170" s="416" customFormat="1" ht="15">
      <c r="A202" s="425" t="s">
        <v>7</v>
      </c>
      <c r="B202" s="426">
        <v>40731</v>
      </c>
      <c r="C202" s="418">
        <v>0</v>
      </c>
      <c r="D202" s="518">
        <v>0.01</v>
      </c>
      <c r="E202" s="453">
        <v>0</v>
      </c>
      <c r="F202" s="453">
        <v>52</v>
      </c>
      <c r="G202" s="453">
        <v>1</v>
      </c>
      <c r="H202" s="519">
        <v>4.4000000000000004</v>
      </c>
      <c r="I202" s="519">
        <v>93.44</v>
      </c>
      <c r="J202" s="483">
        <v>2.4</v>
      </c>
      <c r="K202" s="520">
        <v>2.1</v>
      </c>
      <c r="L202" s="453">
        <v>0.94000000000050932</v>
      </c>
      <c r="M202" s="453">
        <v>20.3</v>
      </c>
      <c r="N202" s="453">
        <v>1.7</v>
      </c>
      <c r="O202" s="453">
        <v>2.0543501407193974</v>
      </c>
      <c r="P202" s="453">
        <v>1.7</v>
      </c>
      <c r="Q202" s="453">
        <v>2.2098919140205839</v>
      </c>
      <c r="R202" s="453">
        <v>1313.4343196829589</v>
      </c>
      <c r="S202" s="453">
        <v>8.3000000000000007</v>
      </c>
      <c r="T202" s="453">
        <v>8.1</v>
      </c>
      <c r="U202" s="453">
        <v>0.7</v>
      </c>
      <c r="V202" s="453">
        <v>0.7</v>
      </c>
      <c r="W202" s="453">
        <v>53.960000000000008</v>
      </c>
      <c r="X202" s="456">
        <v>53.960000000000008</v>
      </c>
      <c r="Y202" s="453">
        <v>43.8</v>
      </c>
      <c r="Z202" s="453">
        <v>32.200000000000003</v>
      </c>
      <c r="AA202" s="802">
        <v>42.74</v>
      </c>
      <c r="AB202" s="519">
        <v>31.4</v>
      </c>
      <c r="AC202" s="732">
        <f t="shared" si="3"/>
        <v>74.14</v>
      </c>
      <c r="AD202" s="664"/>
      <c r="AE202" s="664"/>
      <c r="AF202" s="664"/>
      <c r="AG202" s="664"/>
      <c r="AH202" s="664"/>
      <c r="AI202" s="664"/>
      <c r="AJ202" s="485"/>
      <c r="AK202" s="485"/>
      <c r="AL202" s="485"/>
      <c r="AM202" s="485"/>
      <c r="AN202" s="485"/>
      <c r="AO202" s="665"/>
      <c r="AP202" s="485"/>
      <c r="AQ202" s="483"/>
      <c r="AR202" s="755">
        <v>0</v>
      </c>
      <c r="AS202" s="483">
        <v>37.9</v>
      </c>
      <c r="AT202" s="755">
        <v>0</v>
      </c>
      <c r="AU202" s="483">
        <v>45</v>
      </c>
      <c r="AV202" s="484">
        <v>722.2</v>
      </c>
      <c r="AW202" s="484">
        <v>668.2</v>
      </c>
      <c r="AX202" s="453">
        <v>22.4</v>
      </c>
      <c r="AY202" s="734">
        <v>0</v>
      </c>
      <c r="AZ202" s="734">
        <v>0</v>
      </c>
      <c r="BA202" s="734">
        <v>0</v>
      </c>
      <c r="BB202" s="453">
        <v>0</v>
      </c>
      <c r="BC202" s="453">
        <v>0.5</v>
      </c>
      <c r="BD202" s="453">
        <v>1.52</v>
      </c>
      <c r="BE202" s="734">
        <v>0</v>
      </c>
      <c r="BF202" s="453">
        <v>0</v>
      </c>
      <c r="BG202" s="453">
        <v>0</v>
      </c>
      <c r="BH202" s="734">
        <v>0</v>
      </c>
      <c r="BI202" s="453">
        <v>1.24</v>
      </c>
      <c r="BJ202" s="453">
        <v>28.1</v>
      </c>
      <c r="BK202" s="453">
        <v>3.82</v>
      </c>
      <c r="BL202" s="453">
        <v>4.6900000000000004</v>
      </c>
      <c r="BM202" s="453">
        <v>0</v>
      </c>
      <c r="BN202" s="453">
        <v>19.399999999999999</v>
      </c>
      <c r="BO202" s="453">
        <v>2452</v>
      </c>
      <c r="BP202" s="453">
        <v>0</v>
      </c>
      <c r="BQ202" s="453">
        <v>16.3</v>
      </c>
      <c r="BR202" s="453">
        <v>16.3</v>
      </c>
      <c r="BS202" s="453">
        <v>0</v>
      </c>
      <c r="BT202" s="453">
        <v>41.3</v>
      </c>
      <c r="BU202" s="453">
        <v>30.2</v>
      </c>
      <c r="BV202" s="456">
        <v>924.1</v>
      </c>
      <c r="BW202" s="453">
        <v>1.7</v>
      </c>
      <c r="BX202" s="453">
        <v>1.32</v>
      </c>
      <c r="BY202" s="456">
        <v>1.1000000000000001</v>
      </c>
      <c r="BZ202" s="456">
        <v>19.2</v>
      </c>
      <c r="CA202" s="456">
        <v>30.5</v>
      </c>
      <c r="CB202" s="456">
        <v>17.850000000000001</v>
      </c>
      <c r="CC202" s="456">
        <v>9.94</v>
      </c>
      <c r="CD202" s="456">
        <v>14.15</v>
      </c>
      <c r="CE202" s="456">
        <v>18.25</v>
      </c>
      <c r="CF202" s="456">
        <v>13.25</v>
      </c>
      <c r="CG202" s="456">
        <v>0</v>
      </c>
      <c r="CH202" s="456">
        <v>7</v>
      </c>
      <c r="CI202" s="456">
        <v>11</v>
      </c>
      <c r="CJ202" s="456">
        <v>678.8</v>
      </c>
      <c r="CK202" s="456">
        <v>883.2</v>
      </c>
      <c r="CL202" s="456">
        <v>684</v>
      </c>
      <c r="CM202" s="456">
        <v>6.1</v>
      </c>
      <c r="CN202" s="456">
        <v>1.8</v>
      </c>
      <c r="CO202" s="453">
        <v>7273</v>
      </c>
      <c r="CP202" s="453">
        <v>17.7</v>
      </c>
      <c r="CQ202" s="453">
        <v>55</v>
      </c>
      <c r="CR202" s="456">
        <v>0</v>
      </c>
      <c r="CS202" s="456">
        <v>0</v>
      </c>
      <c r="CT202" s="456">
        <v>0</v>
      </c>
      <c r="CU202" s="456">
        <v>0</v>
      </c>
      <c r="CV202" s="481">
        <v>794.39130434782612</v>
      </c>
      <c r="CW202" s="481">
        <v>994.38541666666663</v>
      </c>
      <c r="CX202" s="481">
        <v>659.41666666666663</v>
      </c>
      <c r="CY202" s="481">
        <v>1165.8900000000001</v>
      </c>
      <c r="CZ202" s="456"/>
      <c r="DA202" s="456"/>
      <c r="DB202" s="456"/>
      <c r="DC202" s="456"/>
      <c r="DD202" s="456"/>
      <c r="DE202" s="456"/>
      <c r="DF202" s="456"/>
      <c r="DG202" s="425"/>
      <c r="DH202" s="456">
        <v>72</v>
      </c>
      <c r="DI202" s="456">
        <v>0.25</v>
      </c>
      <c r="DJ202" s="456">
        <v>0</v>
      </c>
      <c r="DK202" s="425"/>
      <c r="DL202" s="456"/>
      <c r="DM202" s="456"/>
      <c r="DN202" s="456"/>
      <c r="DO202" s="456"/>
      <c r="DP202" s="456"/>
      <c r="DQ202" s="456"/>
      <c r="DR202" s="456"/>
      <c r="DS202" s="456"/>
      <c r="DT202" s="456"/>
      <c r="DU202" s="456"/>
      <c r="DV202" s="456"/>
      <c r="DW202" s="456"/>
      <c r="DX202" s="456"/>
      <c r="DY202" s="456"/>
      <c r="DZ202" s="456"/>
      <c r="EA202" s="456"/>
      <c r="EB202" s="456"/>
      <c r="EC202" s="456"/>
      <c r="ED202" s="423">
        <v>0</v>
      </c>
      <c r="EE202" s="456">
        <v>2</v>
      </c>
      <c r="EF202" s="456">
        <v>2</v>
      </c>
      <c r="EG202" s="456">
        <v>8.5</v>
      </c>
      <c r="EH202" s="423">
        <v>0</v>
      </c>
      <c r="EI202" s="456"/>
      <c r="EJ202" s="456"/>
      <c r="EK202" s="456"/>
      <c r="EL202" s="456"/>
      <c r="EM202" s="456"/>
      <c r="EN202" s="456"/>
      <c r="EO202" s="425"/>
      <c r="EP202" s="425"/>
      <c r="EQ202" s="425" t="s">
        <v>743</v>
      </c>
      <c r="ER202" s="425">
        <v>2</v>
      </c>
      <c r="ES202" s="425">
        <v>2</v>
      </c>
      <c r="ET202" s="425">
        <v>2800</v>
      </c>
      <c r="EU202" s="457">
        <v>3940</v>
      </c>
      <c r="EV202" s="425">
        <v>320</v>
      </c>
      <c r="EW202" s="425">
        <v>7031541</v>
      </c>
      <c r="EX202" s="425">
        <v>86590</v>
      </c>
      <c r="EY202" s="666">
        <v>18.2</v>
      </c>
      <c r="EZ202" s="666">
        <v>18.2</v>
      </c>
      <c r="FA202" s="666">
        <v>0</v>
      </c>
      <c r="FB202" s="666">
        <v>1.32</v>
      </c>
      <c r="FC202" s="666">
        <v>1.3</v>
      </c>
      <c r="FD202" s="666">
        <v>1.1499999999999999</v>
      </c>
      <c r="FE202" s="666">
        <v>1.1499999999999999</v>
      </c>
      <c r="FF202" s="666">
        <v>280</v>
      </c>
      <c r="FG202" s="666">
        <v>0.88</v>
      </c>
      <c r="FH202" s="666">
        <v>0.5</v>
      </c>
      <c r="FI202" s="666">
        <v>0.79</v>
      </c>
      <c r="FJ202" s="666">
        <v>8.0500000000000007</v>
      </c>
      <c r="FK202" s="666">
        <v>8.1</v>
      </c>
      <c r="FL202" s="666">
        <v>7.95</v>
      </c>
      <c r="FM202" s="666">
        <v>7.5</v>
      </c>
      <c r="FN202" s="666">
        <v>0</v>
      </c>
    </row>
    <row r="203" spans="1:170" s="416" customFormat="1" ht="15">
      <c r="A203" s="425" t="s">
        <v>8</v>
      </c>
      <c r="B203" s="426">
        <v>40732</v>
      </c>
      <c r="C203" s="418">
        <v>0</v>
      </c>
      <c r="D203" s="518">
        <v>0</v>
      </c>
      <c r="E203" s="453">
        <v>0</v>
      </c>
      <c r="F203" s="453">
        <v>50</v>
      </c>
      <c r="G203" s="453">
        <v>1</v>
      </c>
      <c r="H203" s="519">
        <v>1.24</v>
      </c>
      <c r="I203" s="519">
        <v>93.44</v>
      </c>
      <c r="J203" s="483">
        <v>0.75</v>
      </c>
      <c r="K203" s="520">
        <v>0.81</v>
      </c>
      <c r="L203" s="453">
        <v>25.850000000000364</v>
      </c>
      <c r="M203" s="453">
        <v>13.5</v>
      </c>
      <c r="N203" s="453">
        <v>1.61</v>
      </c>
      <c r="O203" s="453">
        <v>1.8827963117306492</v>
      </c>
      <c r="P203" s="453">
        <v>1.78</v>
      </c>
      <c r="Q203" s="453">
        <v>1.9634522236904925</v>
      </c>
      <c r="R203" s="453">
        <v>1012.8505838837515</v>
      </c>
      <c r="S203" s="453">
        <v>8.2899999999999991</v>
      </c>
      <c r="T203" s="453">
        <v>8.0500000000000007</v>
      </c>
      <c r="U203" s="453">
        <v>0.7</v>
      </c>
      <c r="V203" s="453">
        <v>0.83</v>
      </c>
      <c r="W203" s="453">
        <v>45.14</v>
      </c>
      <c r="X203" s="456">
        <v>45.14</v>
      </c>
      <c r="Y203" s="453">
        <v>40.9</v>
      </c>
      <c r="Z203" s="453">
        <v>30</v>
      </c>
      <c r="AA203" s="519">
        <v>39.86</v>
      </c>
      <c r="AB203" s="802">
        <v>23.3</v>
      </c>
      <c r="AC203" s="732">
        <f t="shared" si="3"/>
        <v>63.16</v>
      </c>
      <c r="AD203" s="664"/>
      <c r="AE203" s="664"/>
      <c r="AF203" s="664"/>
      <c r="AG203" s="664"/>
      <c r="AH203" s="664"/>
      <c r="AI203" s="664"/>
      <c r="AJ203" s="485"/>
      <c r="AK203" s="485"/>
      <c r="AL203" s="485"/>
      <c r="AM203" s="485"/>
      <c r="AN203" s="485"/>
      <c r="AO203" s="665"/>
      <c r="AP203" s="485"/>
      <c r="AQ203" s="483"/>
      <c r="AR203" s="755">
        <v>0</v>
      </c>
      <c r="AS203" s="483">
        <v>38.700000000000003</v>
      </c>
      <c r="AT203" s="755">
        <v>0</v>
      </c>
      <c r="AU203" s="483">
        <v>42</v>
      </c>
      <c r="AV203" s="484">
        <v>747.5</v>
      </c>
      <c r="AW203" s="484">
        <v>898.9</v>
      </c>
      <c r="AX203" s="453">
        <v>38.200000000000003</v>
      </c>
      <c r="AY203" s="734">
        <v>0</v>
      </c>
      <c r="AZ203" s="734">
        <v>0</v>
      </c>
      <c r="BA203" s="734">
        <v>0</v>
      </c>
      <c r="BB203" s="453">
        <v>0</v>
      </c>
      <c r="BC203" s="453">
        <v>0.5</v>
      </c>
      <c r="BD203" s="453">
        <v>1.52</v>
      </c>
      <c r="BE203" s="734">
        <v>0</v>
      </c>
      <c r="BF203" s="453">
        <v>0.32100000000000001</v>
      </c>
      <c r="BG203" s="453">
        <v>0</v>
      </c>
      <c r="BH203" s="734">
        <v>0</v>
      </c>
      <c r="BI203" s="453">
        <v>1.51</v>
      </c>
      <c r="BJ203" s="453">
        <v>19.399999999999999</v>
      </c>
      <c r="BK203" s="453">
        <v>4.21</v>
      </c>
      <c r="BL203" s="453">
        <v>5.05</v>
      </c>
      <c r="BM203" s="453">
        <v>0</v>
      </c>
      <c r="BN203" s="453">
        <v>10</v>
      </c>
      <c r="BO203" s="453">
        <v>2686.3</v>
      </c>
      <c r="BP203" s="453">
        <v>0</v>
      </c>
      <c r="BQ203" s="453">
        <v>17.8</v>
      </c>
      <c r="BR203" s="453">
        <v>17.8</v>
      </c>
      <c r="BS203" s="453">
        <v>0</v>
      </c>
      <c r="BT203" s="453">
        <v>38.200000000000003</v>
      </c>
      <c r="BU203" s="453">
        <v>38.4</v>
      </c>
      <c r="BV203" s="456">
        <v>865.6</v>
      </c>
      <c r="BW203" s="453">
        <v>2.5099999999999998</v>
      </c>
      <c r="BX203" s="453">
        <v>1.35</v>
      </c>
      <c r="BY203" s="456">
        <v>1.1000000000000001</v>
      </c>
      <c r="BZ203" s="456">
        <v>18.5</v>
      </c>
      <c r="CA203" s="456">
        <v>29.7</v>
      </c>
      <c r="CB203" s="456">
        <v>17.989999999999998</v>
      </c>
      <c r="CC203" s="456">
        <v>9.0500000000000007</v>
      </c>
      <c r="CD203" s="456">
        <v>13.26</v>
      </c>
      <c r="CE203" s="456">
        <v>17.350000000000001</v>
      </c>
      <c r="CF203" s="456">
        <v>13.17</v>
      </c>
      <c r="CG203" s="456">
        <v>0</v>
      </c>
      <c r="CH203" s="456">
        <v>4.9000000000000004</v>
      </c>
      <c r="CI203" s="456">
        <v>10</v>
      </c>
      <c r="CJ203" s="456">
        <v>1051.4000000000001</v>
      </c>
      <c r="CK203" s="456">
        <v>997.8</v>
      </c>
      <c r="CL203" s="456">
        <v>699.8</v>
      </c>
      <c r="CM203" s="456">
        <v>6.8</v>
      </c>
      <c r="CN203" s="456">
        <v>1.65</v>
      </c>
      <c r="CO203" s="453">
        <v>7721</v>
      </c>
      <c r="CP203" s="453">
        <v>17.3</v>
      </c>
      <c r="CQ203" s="453">
        <v>55</v>
      </c>
      <c r="CR203" s="456">
        <v>0</v>
      </c>
      <c r="CS203" s="456">
        <v>0</v>
      </c>
      <c r="CT203" s="456">
        <v>0</v>
      </c>
      <c r="CU203" s="456">
        <v>0</v>
      </c>
      <c r="CV203" s="481">
        <v>781</v>
      </c>
      <c r="CW203" s="481">
        <v>1006.9270833333334</v>
      </c>
      <c r="CX203" s="481">
        <v>709.36458333333337</v>
      </c>
      <c r="CY203" s="481">
        <v>1165.6300000000001</v>
      </c>
      <c r="CZ203" s="456"/>
      <c r="DA203" s="456"/>
      <c r="DB203" s="456"/>
      <c r="DC203" s="456"/>
      <c r="DD203" s="456"/>
      <c r="DE203" s="456"/>
      <c r="DF203" s="456"/>
      <c r="DG203" s="425"/>
      <c r="DH203" s="456">
        <v>77</v>
      </c>
      <c r="DI203" s="456">
        <v>0.22</v>
      </c>
      <c r="DJ203" s="456">
        <v>0</v>
      </c>
      <c r="DK203" s="425"/>
      <c r="DL203" s="456"/>
      <c r="DM203" s="456"/>
      <c r="DN203" s="456"/>
      <c r="DO203" s="456"/>
      <c r="DP203" s="456"/>
      <c r="DQ203" s="456"/>
      <c r="DR203" s="456"/>
      <c r="DS203" s="456"/>
      <c r="DT203" s="456"/>
      <c r="DU203" s="456"/>
      <c r="DV203" s="456"/>
      <c r="DW203" s="456"/>
      <c r="DX203" s="456"/>
      <c r="DY203" s="456"/>
      <c r="DZ203" s="456"/>
      <c r="EA203" s="456"/>
      <c r="EB203" s="456"/>
      <c r="EC203" s="456"/>
      <c r="ED203" s="423">
        <v>0</v>
      </c>
      <c r="EE203" s="456">
        <v>2</v>
      </c>
      <c r="EF203" s="456">
        <v>2.5</v>
      </c>
      <c r="EG203" s="456">
        <v>9.5</v>
      </c>
      <c r="EH203" s="423">
        <v>0</v>
      </c>
      <c r="EI203" s="456"/>
      <c r="EJ203" s="456"/>
      <c r="EK203" s="456"/>
      <c r="EL203" s="456"/>
      <c r="EM203" s="456"/>
      <c r="EN203" s="456"/>
      <c r="EO203" s="425"/>
      <c r="EP203" s="425"/>
      <c r="EQ203" s="425" t="s">
        <v>743</v>
      </c>
      <c r="ER203" s="425">
        <v>2</v>
      </c>
      <c r="ES203" s="425">
        <v>2</v>
      </c>
      <c r="ET203" s="425">
        <v>2480</v>
      </c>
      <c r="EU203" s="457">
        <v>3940</v>
      </c>
      <c r="EV203" s="425">
        <v>210</v>
      </c>
      <c r="EW203" s="425">
        <v>7035671</v>
      </c>
      <c r="EX203" s="425">
        <v>87145</v>
      </c>
      <c r="EY203" s="666">
        <v>17.3</v>
      </c>
      <c r="EZ203" s="666">
        <v>17.3</v>
      </c>
      <c r="FA203" s="666">
        <v>0</v>
      </c>
      <c r="FB203" s="666">
        <v>1.32</v>
      </c>
      <c r="FC203" s="666">
        <v>1.3</v>
      </c>
      <c r="FD203" s="666">
        <v>1.21</v>
      </c>
      <c r="FE203" s="666">
        <v>1.19</v>
      </c>
      <c r="FF203" s="666">
        <v>320</v>
      </c>
      <c r="FG203" s="666">
        <v>0.85</v>
      </c>
      <c r="FH203" s="666">
        <v>0.49</v>
      </c>
      <c r="FI203" s="666">
        <v>0.77</v>
      </c>
      <c r="FJ203" s="666">
        <v>8.09</v>
      </c>
      <c r="FK203" s="666">
        <v>8.1</v>
      </c>
      <c r="FL203" s="666">
        <v>7.93</v>
      </c>
      <c r="FM203" s="666">
        <v>7.5</v>
      </c>
      <c r="FN203" s="666">
        <v>0</v>
      </c>
    </row>
    <row r="204" spans="1:170" s="416" customFormat="1" ht="15">
      <c r="A204" s="425" t="s">
        <v>9</v>
      </c>
      <c r="B204" s="426">
        <v>40733</v>
      </c>
      <c r="C204" s="418">
        <v>0</v>
      </c>
      <c r="D204" s="518">
        <v>0</v>
      </c>
      <c r="E204" s="453">
        <v>0</v>
      </c>
      <c r="F204" s="453">
        <v>54</v>
      </c>
      <c r="G204" s="453">
        <v>1</v>
      </c>
      <c r="H204" s="519">
        <v>1.35</v>
      </c>
      <c r="I204" s="519">
        <v>93.6</v>
      </c>
      <c r="J204" s="483">
        <v>0.76</v>
      </c>
      <c r="K204" s="520">
        <v>1.44</v>
      </c>
      <c r="L204" s="453">
        <v>36.399999999999636</v>
      </c>
      <c r="M204" s="453">
        <v>17.7</v>
      </c>
      <c r="N204" s="453">
        <v>1.56</v>
      </c>
      <c r="O204" s="453">
        <v>1.8436963964270858</v>
      </c>
      <c r="P204" s="453">
        <v>1.64</v>
      </c>
      <c r="Q204" s="453">
        <v>1.9135960805935259</v>
      </c>
      <c r="R204" s="453">
        <v>961.34970673712019</v>
      </c>
      <c r="S204" s="453">
        <v>8.42</v>
      </c>
      <c r="T204" s="453">
        <v>8.09</v>
      </c>
      <c r="U204" s="453">
        <v>0.71</v>
      </c>
      <c r="V204" s="453">
        <v>0.83</v>
      </c>
      <c r="W204" s="453">
        <v>50</v>
      </c>
      <c r="X204" s="456">
        <v>50</v>
      </c>
      <c r="Y204" s="453">
        <v>39.950000000000003</v>
      </c>
      <c r="Z204" s="453">
        <v>20</v>
      </c>
      <c r="AA204" s="519">
        <v>40.900000000008731</v>
      </c>
      <c r="AB204" s="802">
        <v>20.299999999995634</v>
      </c>
      <c r="AC204" s="732">
        <f t="shared" si="3"/>
        <v>61.200000000004366</v>
      </c>
      <c r="AD204" s="664"/>
      <c r="AE204" s="664"/>
      <c r="AF204" s="664"/>
      <c r="AG204" s="664"/>
      <c r="AH204" s="664"/>
      <c r="AI204" s="664"/>
      <c r="AJ204" s="485"/>
      <c r="AK204" s="485"/>
      <c r="AL204" s="485"/>
      <c r="AM204" s="485"/>
      <c r="AN204" s="485"/>
      <c r="AO204" s="665"/>
      <c r="AP204" s="485"/>
      <c r="AQ204" s="483"/>
      <c r="AR204" s="755">
        <v>0</v>
      </c>
      <c r="AS204" s="483">
        <v>38.5</v>
      </c>
      <c r="AT204" s="755">
        <v>0</v>
      </c>
      <c r="AU204" s="483">
        <v>42.2</v>
      </c>
      <c r="AV204" s="484">
        <v>811.2</v>
      </c>
      <c r="AW204" s="484">
        <v>947.6</v>
      </c>
      <c r="AX204" s="453">
        <v>33.4</v>
      </c>
      <c r="AY204" s="734">
        <v>0</v>
      </c>
      <c r="AZ204" s="734">
        <v>0</v>
      </c>
      <c r="BA204" s="734">
        <v>0</v>
      </c>
      <c r="BB204" s="453">
        <v>0</v>
      </c>
      <c r="BC204" s="453">
        <v>0.5</v>
      </c>
      <c r="BD204" s="453">
        <v>1.52</v>
      </c>
      <c r="BE204" s="734">
        <v>0</v>
      </c>
      <c r="BF204" s="453">
        <v>0.45800000000000002</v>
      </c>
      <c r="BG204" s="453">
        <v>0</v>
      </c>
      <c r="BH204" s="734">
        <v>0</v>
      </c>
      <c r="BI204" s="453">
        <v>1.51</v>
      </c>
      <c r="BJ204" s="453">
        <v>15.9</v>
      </c>
      <c r="BK204" s="453">
        <v>4.3600000000000003</v>
      </c>
      <c r="BL204" s="453">
        <v>5.2</v>
      </c>
      <c r="BM204" s="453">
        <v>0</v>
      </c>
      <c r="BN204" s="453">
        <v>6.3</v>
      </c>
      <c r="BO204" s="453">
        <v>3116</v>
      </c>
      <c r="BP204" s="453">
        <v>0</v>
      </c>
      <c r="BQ204" s="453">
        <v>16.100000000000001</v>
      </c>
      <c r="BR204" s="453">
        <v>16.3</v>
      </c>
      <c r="BS204" s="453">
        <v>0</v>
      </c>
      <c r="BT204" s="453">
        <v>37.799999999999997</v>
      </c>
      <c r="BU204" s="453">
        <v>44.4</v>
      </c>
      <c r="BV204" s="456">
        <v>937.5</v>
      </c>
      <c r="BW204" s="453">
        <v>0.8</v>
      </c>
      <c r="BX204" s="453">
        <v>1.41</v>
      </c>
      <c r="BY204" s="456">
        <v>1.1000000000000001</v>
      </c>
      <c r="BZ204" s="456">
        <v>16.91</v>
      </c>
      <c r="CA204" s="456">
        <v>28.5</v>
      </c>
      <c r="CB204" s="456">
        <v>17.77</v>
      </c>
      <c r="CC204" s="456">
        <v>8.19</v>
      </c>
      <c r="CD204" s="456">
        <v>12.39</v>
      </c>
      <c r="CE204" s="456">
        <v>16.489999999999998</v>
      </c>
      <c r="CF204" s="456">
        <v>13.19</v>
      </c>
      <c r="CG204" s="456">
        <v>0</v>
      </c>
      <c r="CH204" s="456">
        <v>5.2</v>
      </c>
      <c r="CI204" s="456">
        <v>7.4</v>
      </c>
      <c r="CJ204" s="456">
        <v>1227</v>
      </c>
      <c r="CK204" s="456">
        <v>1107</v>
      </c>
      <c r="CL204" s="456">
        <v>696.3</v>
      </c>
      <c r="CM204" s="456">
        <v>6.8</v>
      </c>
      <c r="CN204" s="456">
        <v>1.65</v>
      </c>
      <c r="CO204" s="453">
        <v>10147</v>
      </c>
      <c r="CP204" s="453">
        <v>17.510000000000002</v>
      </c>
      <c r="CQ204" s="453">
        <v>55</v>
      </c>
      <c r="CR204" s="456">
        <v>0</v>
      </c>
      <c r="CS204" s="456">
        <v>0</v>
      </c>
      <c r="CT204" s="456">
        <v>0</v>
      </c>
      <c r="CU204" s="456">
        <v>0</v>
      </c>
      <c r="CV204" s="481">
        <v>776.17391304347825</v>
      </c>
      <c r="CW204" s="481">
        <v>1093.75</v>
      </c>
      <c r="CX204" s="481">
        <v>724.88541666666663</v>
      </c>
      <c r="CY204" s="481">
        <v>1165.21</v>
      </c>
      <c r="CZ204" s="456"/>
      <c r="DA204" s="456"/>
      <c r="DB204" s="456"/>
      <c r="DC204" s="456"/>
      <c r="DD204" s="456"/>
      <c r="DE204" s="456"/>
      <c r="DF204" s="456"/>
      <c r="DG204" s="425"/>
      <c r="DH204" s="456">
        <v>90</v>
      </c>
      <c r="DI204" s="456">
        <v>0.28999999999999998</v>
      </c>
      <c r="DJ204" s="456">
        <v>0</v>
      </c>
      <c r="DK204" s="425"/>
      <c r="DL204" s="456"/>
      <c r="DM204" s="456"/>
      <c r="DN204" s="456"/>
      <c r="DO204" s="456"/>
      <c r="DP204" s="456"/>
      <c r="DQ204" s="456"/>
      <c r="DR204" s="456"/>
      <c r="DS204" s="456"/>
      <c r="DT204" s="456"/>
      <c r="DU204" s="456"/>
      <c r="DV204" s="456"/>
      <c r="DW204" s="456"/>
      <c r="DX204" s="456"/>
      <c r="DY204" s="456"/>
      <c r="DZ204" s="456"/>
      <c r="EA204" s="456"/>
      <c r="EB204" s="456"/>
      <c r="EC204" s="456"/>
      <c r="ED204" s="423">
        <v>0</v>
      </c>
      <c r="EE204" s="456">
        <v>2</v>
      </c>
      <c r="EF204" s="456">
        <v>2.5</v>
      </c>
      <c r="EG204" s="456">
        <v>9.5</v>
      </c>
      <c r="EH204" s="423">
        <v>0</v>
      </c>
      <c r="EI204" s="456"/>
      <c r="EJ204" s="456"/>
      <c r="EK204" s="456"/>
      <c r="EL204" s="456"/>
      <c r="EM204" s="456"/>
      <c r="EN204" s="456"/>
      <c r="EO204" s="425"/>
      <c r="EP204" s="425"/>
      <c r="EQ204" s="425" t="s">
        <v>743</v>
      </c>
      <c r="ER204" s="425">
        <v>2</v>
      </c>
      <c r="ES204" s="425">
        <v>2</v>
      </c>
      <c r="ET204" s="425">
        <v>2200</v>
      </c>
      <c r="EU204" s="457">
        <v>3940</v>
      </c>
      <c r="EV204" s="425">
        <v>200</v>
      </c>
      <c r="EW204" s="425">
        <v>7039396</v>
      </c>
      <c r="EX204" s="425">
        <v>87672</v>
      </c>
      <c r="EY204" s="666">
        <v>16.98</v>
      </c>
      <c r="EZ204" s="666">
        <v>17</v>
      </c>
      <c r="FA204" s="666">
        <v>0</v>
      </c>
      <c r="FB204" s="666">
        <v>1.36</v>
      </c>
      <c r="FC204" s="666">
        <v>1.35</v>
      </c>
      <c r="FD204" s="666">
        <v>1.07</v>
      </c>
      <c r="FE204" s="666">
        <v>1.1000000000000001</v>
      </c>
      <c r="FF204" s="666">
        <v>280</v>
      </c>
      <c r="FG204" s="666">
        <v>0.89</v>
      </c>
      <c r="FH204" s="666">
        <v>0.35</v>
      </c>
      <c r="FI204" s="666">
        <v>0.77</v>
      </c>
      <c r="FJ204" s="666">
        <v>8</v>
      </c>
      <c r="FK204" s="666">
        <v>7.9</v>
      </c>
      <c r="FL204" s="666">
        <v>7.84</v>
      </c>
      <c r="FM204" s="666">
        <v>7.5</v>
      </c>
      <c r="FN204" s="666">
        <v>0</v>
      </c>
    </row>
    <row r="205" spans="1:170" s="416" customFormat="1" ht="15">
      <c r="A205" s="425" t="s">
        <v>3</v>
      </c>
      <c r="B205" s="426">
        <v>40734</v>
      </c>
      <c r="C205" s="418">
        <v>0</v>
      </c>
      <c r="D205" s="518">
        <v>0</v>
      </c>
      <c r="E205" s="453">
        <v>0</v>
      </c>
      <c r="F205" s="453">
        <v>54</v>
      </c>
      <c r="G205" s="453">
        <v>1</v>
      </c>
      <c r="H205" s="519">
        <v>1.39</v>
      </c>
      <c r="I205" s="519">
        <v>93.5</v>
      </c>
      <c r="J205" s="483">
        <v>0.82</v>
      </c>
      <c r="K205" s="520">
        <v>1.44</v>
      </c>
      <c r="L205" s="453">
        <v>0</v>
      </c>
      <c r="M205" s="453">
        <v>19.5</v>
      </c>
      <c r="N205" s="453">
        <v>1.73</v>
      </c>
      <c r="O205" s="453">
        <v>1.6327883239705434</v>
      </c>
      <c r="P205" s="453">
        <v>1.61</v>
      </c>
      <c r="Q205" s="453">
        <v>2.252857389007068</v>
      </c>
      <c r="R205" s="453">
        <v>1069.5339392338176</v>
      </c>
      <c r="S205" s="453">
        <v>8.11</v>
      </c>
      <c r="T205" s="453">
        <v>8.14</v>
      </c>
      <c r="U205" s="453">
        <v>0.73</v>
      </c>
      <c r="V205" s="453">
        <v>0.67</v>
      </c>
      <c r="W205" s="453">
        <v>51.980000000000004</v>
      </c>
      <c r="X205" s="456">
        <v>51.980000000000004</v>
      </c>
      <c r="Y205" s="453">
        <v>40.78</v>
      </c>
      <c r="Z205" s="453">
        <v>27.74</v>
      </c>
      <c r="AA205" s="519">
        <v>40.30000000000291</v>
      </c>
      <c r="AB205" s="519">
        <v>27.600000000005821</v>
      </c>
      <c r="AC205" s="732">
        <f t="shared" si="3"/>
        <v>67.900000000008731</v>
      </c>
      <c r="AD205" s="664"/>
      <c r="AE205" s="664"/>
      <c r="AF205" s="664"/>
      <c r="AG205" s="664"/>
      <c r="AH205" s="664"/>
      <c r="AI205" s="664"/>
      <c r="AJ205" s="485"/>
      <c r="AK205" s="485"/>
      <c r="AL205" s="485"/>
      <c r="AM205" s="485"/>
      <c r="AN205" s="485"/>
      <c r="AO205" s="665"/>
      <c r="AP205" s="485"/>
      <c r="AQ205" s="483"/>
      <c r="AR205" s="755">
        <v>0</v>
      </c>
      <c r="AS205" s="483">
        <v>36.5</v>
      </c>
      <c r="AT205" s="755">
        <v>0</v>
      </c>
      <c r="AU205" s="483">
        <v>42.5</v>
      </c>
      <c r="AV205" s="484">
        <v>794.3</v>
      </c>
      <c r="AW205" s="484">
        <v>992.5</v>
      </c>
      <c r="AX205" s="453">
        <v>41.1</v>
      </c>
      <c r="AY205" s="734">
        <v>0</v>
      </c>
      <c r="AZ205" s="734">
        <v>0</v>
      </c>
      <c r="BA205" s="734">
        <v>0</v>
      </c>
      <c r="BB205" s="453">
        <v>0</v>
      </c>
      <c r="BC205" s="453">
        <v>0.49</v>
      </c>
      <c r="BD205" s="453">
        <v>1.52</v>
      </c>
      <c r="BE205" s="734">
        <v>0</v>
      </c>
      <c r="BF205" s="453">
        <v>0.56000000000000005</v>
      </c>
      <c r="BG205" s="453">
        <v>0</v>
      </c>
      <c r="BH205" s="734">
        <v>0</v>
      </c>
      <c r="BI205" s="453">
        <v>1.52</v>
      </c>
      <c r="BJ205" s="453">
        <v>23.9</v>
      </c>
      <c r="BK205" s="453">
        <v>4.3600000000000003</v>
      </c>
      <c r="BL205" s="453">
        <v>5.2</v>
      </c>
      <c r="BM205" s="453">
        <v>0</v>
      </c>
      <c r="BN205" s="453">
        <v>14.2</v>
      </c>
      <c r="BO205" s="453">
        <v>3194.2</v>
      </c>
      <c r="BP205" s="453">
        <v>0</v>
      </c>
      <c r="BQ205" s="453">
        <v>18.2</v>
      </c>
      <c r="BR205" s="453">
        <v>18.2</v>
      </c>
      <c r="BS205" s="453">
        <v>0</v>
      </c>
      <c r="BT205" s="453">
        <v>38.6</v>
      </c>
      <c r="BU205" s="453">
        <v>25.6</v>
      </c>
      <c r="BV205" s="456">
        <v>1098.5999999999999</v>
      </c>
      <c r="BW205" s="453">
        <v>3.5</v>
      </c>
      <c r="BX205" s="453">
        <v>1.37</v>
      </c>
      <c r="BY205" s="456">
        <v>1.0900000000000001</v>
      </c>
      <c r="BZ205" s="456">
        <v>16.899999999999999</v>
      </c>
      <c r="CA205" s="456">
        <v>31.2</v>
      </c>
      <c r="CB205" s="456">
        <v>17.2</v>
      </c>
      <c r="CC205" s="456">
        <v>9.1999999999999993</v>
      </c>
      <c r="CD205" s="456">
        <v>13.4</v>
      </c>
      <c r="CE205" s="456">
        <v>17.5</v>
      </c>
      <c r="CF205" s="456">
        <v>13.6</v>
      </c>
      <c r="CG205" s="456">
        <v>0</v>
      </c>
      <c r="CH205" s="456">
        <v>3.2</v>
      </c>
      <c r="CI205" s="456">
        <v>5.5</v>
      </c>
      <c r="CJ205" s="456">
        <v>1124.4000000000001</v>
      </c>
      <c r="CK205" s="456">
        <v>1057.5999999999999</v>
      </c>
      <c r="CL205" s="456">
        <v>690.5</v>
      </c>
      <c r="CM205" s="456">
        <v>9.5</v>
      </c>
      <c r="CN205" s="456">
        <v>1.8</v>
      </c>
      <c r="CO205" s="453">
        <v>14583.4</v>
      </c>
      <c r="CP205" s="453">
        <v>15.79</v>
      </c>
      <c r="CQ205" s="453">
        <v>55</v>
      </c>
      <c r="CR205" s="456">
        <v>0</v>
      </c>
      <c r="CS205" s="456">
        <v>0</v>
      </c>
      <c r="CT205" s="456">
        <v>0</v>
      </c>
      <c r="CU205" s="456">
        <v>0</v>
      </c>
      <c r="CV205" s="481">
        <v>776</v>
      </c>
      <c r="CW205" s="481">
        <v>980.83333333333337</v>
      </c>
      <c r="CX205" s="481">
        <v>654.08333333333337</v>
      </c>
      <c r="CY205" s="481">
        <v>1164.82</v>
      </c>
      <c r="CZ205" s="456"/>
      <c r="DA205" s="456"/>
      <c r="DB205" s="456"/>
      <c r="DC205" s="456"/>
      <c r="DD205" s="456"/>
      <c r="DE205" s="456"/>
      <c r="DF205" s="456"/>
      <c r="DG205" s="425"/>
      <c r="DH205" s="764">
        <v>77</v>
      </c>
      <c r="DI205" s="764">
        <v>0.33</v>
      </c>
      <c r="DJ205" s="764">
        <v>0</v>
      </c>
      <c r="DK205" s="425"/>
      <c r="DL205" s="456"/>
      <c r="DM205" s="456"/>
      <c r="DN205" s="456"/>
      <c r="DO205" s="456"/>
      <c r="DP205" s="456"/>
      <c r="DQ205" s="456"/>
      <c r="DR205" s="456"/>
      <c r="DS205" s="456"/>
      <c r="DT205" s="456"/>
      <c r="DU205" s="456"/>
      <c r="DV205" s="456"/>
      <c r="DW205" s="456"/>
      <c r="DX205" s="456"/>
      <c r="DY205" s="456"/>
      <c r="DZ205" s="456"/>
      <c r="EA205" s="456"/>
      <c r="EB205" s="456"/>
      <c r="EC205" s="456"/>
      <c r="ED205" s="423">
        <v>0</v>
      </c>
      <c r="EE205" s="456">
        <v>2</v>
      </c>
      <c r="EF205" s="456">
        <v>2.5</v>
      </c>
      <c r="EG205" s="456">
        <v>9.5</v>
      </c>
      <c r="EH205" s="423">
        <v>0</v>
      </c>
      <c r="EI205" s="456"/>
      <c r="EJ205" s="456"/>
      <c r="EK205" s="456"/>
      <c r="EL205" s="456"/>
      <c r="EM205" s="456"/>
      <c r="EN205" s="456"/>
      <c r="EO205" s="425"/>
      <c r="EP205" s="425"/>
      <c r="EQ205" s="425" t="s">
        <v>743</v>
      </c>
      <c r="ER205" s="425">
        <v>2</v>
      </c>
      <c r="ES205" s="425">
        <v>2</v>
      </c>
      <c r="ET205" s="425">
        <v>1970</v>
      </c>
      <c r="EU205" s="457">
        <v>3940</v>
      </c>
      <c r="EV205" s="425">
        <v>240</v>
      </c>
      <c r="EW205" s="425">
        <v>7042312</v>
      </c>
      <c r="EX205" s="425">
        <v>88227</v>
      </c>
      <c r="EY205" s="666">
        <v>18.38</v>
      </c>
      <c r="EZ205" s="666">
        <v>18.38</v>
      </c>
      <c r="FA205" s="666">
        <v>0</v>
      </c>
      <c r="FB205" s="666">
        <v>1.34</v>
      </c>
      <c r="FC205" s="666">
        <v>1.39</v>
      </c>
      <c r="FD205" s="666">
        <v>1.18</v>
      </c>
      <c r="FE205" s="666">
        <v>1.1499999999999999</v>
      </c>
      <c r="FF205" s="666">
        <v>330</v>
      </c>
      <c r="FG205" s="666">
        <v>1.1299999999999999</v>
      </c>
      <c r="FH205" s="666">
        <v>0.37</v>
      </c>
      <c r="FI205" s="666">
        <v>0.56000000000000005</v>
      </c>
      <c r="FJ205" s="666">
        <v>8.0500000000000007</v>
      </c>
      <c r="FK205" s="666">
        <v>8</v>
      </c>
      <c r="FL205" s="666">
        <v>7.76</v>
      </c>
      <c r="FM205" s="666">
        <v>7.4</v>
      </c>
      <c r="FN205" s="666">
        <v>0</v>
      </c>
    </row>
    <row r="206" spans="1:170" s="416" customFormat="1" ht="15">
      <c r="A206" s="425" t="s">
        <v>4</v>
      </c>
      <c r="B206" s="426">
        <v>40735</v>
      </c>
      <c r="C206" s="418">
        <v>0</v>
      </c>
      <c r="D206" s="518">
        <v>0</v>
      </c>
      <c r="E206" s="453">
        <v>0</v>
      </c>
      <c r="F206" s="453">
        <v>58</v>
      </c>
      <c r="G206" s="453">
        <v>1</v>
      </c>
      <c r="H206" s="519">
        <v>1.4</v>
      </c>
      <c r="I206" s="519">
        <v>94.3</v>
      </c>
      <c r="J206" s="483">
        <v>0.9</v>
      </c>
      <c r="K206" s="520">
        <v>0.9</v>
      </c>
      <c r="L206" s="453">
        <v>0</v>
      </c>
      <c r="M206" s="453">
        <v>19.899999999999999</v>
      </c>
      <c r="N206" s="453">
        <v>1.7</v>
      </c>
      <c r="O206" s="453">
        <v>2.5791127470471609</v>
      </c>
      <c r="P206" s="453">
        <v>1.6</v>
      </c>
      <c r="Q206" s="453">
        <v>2.2514702633077031</v>
      </c>
      <c r="R206" s="453">
        <v>1413.8448348745044</v>
      </c>
      <c r="S206" s="453">
        <v>8</v>
      </c>
      <c r="T206" s="453">
        <v>8</v>
      </c>
      <c r="U206" s="453">
        <v>0.7</v>
      </c>
      <c r="V206" s="453">
        <v>0.7</v>
      </c>
      <c r="W206" s="453">
        <v>53.600000000000009</v>
      </c>
      <c r="X206" s="456">
        <v>53.78</v>
      </c>
      <c r="Y206" s="453">
        <v>40.78</v>
      </c>
      <c r="Z206" s="453">
        <v>28.22</v>
      </c>
      <c r="AA206" s="519">
        <v>40.899999999994179</v>
      </c>
      <c r="AB206" s="519">
        <v>28.099999999998545</v>
      </c>
      <c r="AC206" s="732">
        <f t="shared" si="3"/>
        <v>68.999999999992724</v>
      </c>
      <c r="AD206" s="664"/>
      <c r="AE206" s="664"/>
      <c r="AF206" s="664"/>
      <c r="AG206" s="664"/>
      <c r="AH206" s="664"/>
      <c r="AI206" s="664"/>
      <c r="AJ206" s="485"/>
      <c r="AK206" s="485"/>
      <c r="AL206" s="485"/>
      <c r="AM206" s="485"/>
      <c r="AN206" s="485"/>
      <c r="AO206" s="665"/>
      <c r="AP206" s="485"/>
      <c r="AQ206" s="483"/>
      <c r="AR206" s="755">
        <v>0</v>
      </c>
      <c r="AS206" s="483">
        <v>38</v>
      </c>
      <c r="AT206" s="755">
        <v>0</v>
      </c>
      <c r="AU206" s="483">
        <v>42.5</v>
      </c>
      <c r="AV206" s="484">
        <v>659</v>
      </c>
      <c r="AW206" s="484">
        <v>769.7</v>
      </c>
      <c r="AX206" s="453">
        <v>31.1</v>
      </c>
      <c r="AY206" s="734">
        <v>0</v>
      </c>
      <c r="AZ206" s="734">
        <v>0</v>
      </c>
      <c r="BA206" s="734">
        <v>0</v>
      </c>
      <c r="BB206" s="453">
        <v>0</v>
      </c>
      <c r="BC206" s="453">
        <v>0.48</v>
      </c>
      <c r="BD206" s="453">
        <v>1.55</v>
      </c>
      <c r="BE206" s="734">
        <v>0</v>
      </c>
      <c r="BF206" s="453">
        <v>0.5</v>
      </c>
      <c r="BG206" s="453">
        <v>0</v>
      </c>
      <c r="BH206" s="734">
        <v>0</v>
      </c>
      <c r="BI206" s="453">
        <v>1.57</v>
      </c>
      <c r="BJ206" s="453">
        <v>23.9</v>
      </c>
      <c r="BK206" s="453">
        <v>4.3099999999999996</v>
      </c>
      <c r="BL206" s="453">
        <v>5.19</v>
      </c>
      <c r="BM206" s="453">
        <v>0</v>
      </c>
      <c r="BN206" s="453">
        <v>14.2</v>
      </c>
      <c r="BO206" s="453">
        <v>2820.5</v>
      </c>
      <c r="BP206" s="453">
        <v>1.5</v>
      </c>
      <c r="BQ206" s="453">
        <v>20.100000000000001</v>
      </c>
      <c r="BR206" s="453">
        <v>20.07</v>
      </c>
      <c r="BS206" s="453">
        <v>0</v>
      </c>
      <c r="BT206" s="453">
        <v>39.1</v>
      </c>
      <c r="BU206" s="453">
        <v>26.5</v>
      </c>
      <c r="BV206" s="456">
        <v>983.7</v>
      </c>
      <c r="BW206" s="453">
        <v>0.71</v>
      </c>
      <c r="BX206" s="453">
        <v>1.36</v>
      </c>
      <c r="BY206" s="456">
        <v>1.1000000000000001</v>
      </c>
      <c r="BZ206" s="456">
        <v>17.100000000000001</v>
      </c>
      <c r="CA206" s="456">
        <v>35.799999999999997</v>
      </c>
      <c r="CB206" s="456">
        <v>19.7</v>
      </c>
      <c r="CC206" s="456">
        <v>9.6</v>
      </c>
      <c r="CD206" s="456">
        <v>13.82</v>
      </c>
      <c r="CE206" s="456">
        <v>17.899999999999999</v>
      </c>
      <c r="CF206" s="456">
        <v>13.1</v>
      </c>
      <c r="CG206" s="456">
        <v>0</v>
      </c>
      <c r="CH206" s="456">
        <v>4.2</v>
      </c>
      <c r="CI206" s="456">
        <v>6.7</v>
      </c>
      <c r="CJ206" s="456">
        <v>924.4</v>
      </c>
      <c r="CK206" s="456">
        <v>986.9</v>
      </c>
      <c r="CL206" s="456">
        <v>724.8</v>
      </c>
      <c r="CM206" s="456">
        <v>5.8</v>
      </c>
      <c r="CN206" s="456">
        <v>1.41</v>
      </c>
      <c r="CO206" s="453">
        <v>9229.9</v>
      </c>
      <c r="CP206" s="453">
        <v>12.13</v>
      </c>
      <c r="CQ206" s="453">
        <v>55</v>
      </c>
      <c r="CR206" s="456">
        <v>0</v>
      </c>
      <c r="CS206" s="456">
        <v>0</v>
      </c>
      <c r="CT206" s="456">
        <v>0</v>
      </c>
      <c r="CU206" s="456">
        <v>0</v>
      </c>
      <c r="CV206" s="481">
        <v>776</v>
      </c>
      <c r="CW206" s="481">
        <v>961</v>
      </c>
      <c r="CX206" s="481">
        <v>652</v>
      </c>
      <c r="CY206" s="481">
        <v>1164.4000000000001</v>
      </c>
      <c r="CZ206" s="456"/>
      <c r="DA206" s="456"/>
      <c r="DB206" s="456"/>
      <c r="DC206" s="456"/>
      <c r="DD206" s="456"/>
      <c r="DE206" s="456"/>
      <c r="DF206" s="456"/>
      <c r="DG206" s="425"/>
      <c r="DH206" s="456">
        <v>54</v>
      </c>
      <c r="DI206" s="456">
        <v>0.37</v>
      </c>
      <c r="DJ206" s="456">
        <v>0</v>
      </c>
      <c r="DK206" s="425"/>
      <c r="DL206" s="456"/>
      <c r="DM206" s="456"/>
      <c r="DN206" s="456"/>
      <c r="DO206" s="456"/>
      <c r="DP206" s="456"/>
      <c r="DQ206" s="456"/>
      <c r="DR206" s="456"/>
      <c r="DS206" s="456"/>
      <c r="DT206" s="456"/>
      <c r="DU206" s="456"/>
      <c r="DV206" s="456"/>
      <c r="DW206" s="456"/>
      <c r="DX206" s="456"/>
      <c r="DY206" s="456"/>
      <c r="DZ206" s="456"/>
      <c r="EA206" s="456"/>
      <c r="EB206" s="456"/>
      <c r="EC206" s="456"/>
      <c r="ED206" s="423">
        <v>0</v>
      </c>
      <c r="EE206" s="456">
        <v>2</v>
      </c>
      <c r="EF206" s="456">
        <v>2.5</v>
      </c>
      <c r="EG206" s="456">
        <v>9.5</v>
      </c>
      <c r="EH206" s="423">
        <v>0</v>
      </c>
      <c r="EI206" s="456"/>
      <c r="EJ206" s="456"/>
      <c r="EK206" s="456"/>
      <c r="EL206" s="456"/>
      <c r="EM206" s="456"/>
      <c r="EN206" s="456"/>
      <c r="EO206" s="425"/>
      <c r="EP206" s="425"/>
      <c r="EQ206" s="425" t="s">
        <v>743</v>
      </c>
      <c r="ER206" s="425">
        <v>2</v>
      </c>
      <c r="ES206" s="425">
        <v>2</v>
      </c>
      <c r="ET206" s="425">
        <v>1720</v>
      </c>
      <c r="EU206" s="457">
        <v>3940</v>
      </c>
      <c r="EV206" s="425">
        <v>320</v>
      </c>
      <c r="EW206" s="425">
        <v>7045367</v>
      </c>
      <c r="EX206" s="425">
        <v>88822</v>
      </c>
      <c r="EY206" s="666">
        <v>19.55</v>
      </c>
      <c r="EZ206" s="666">
        <v>19.55</v>
      </c>
      <c r="FA206" s="666">
        <v>0</v>
      </c>
      <c r="FB206" s="666">
        <v>1.41</v>
      </c>
      <c r="FC206" s="666">
        <v>1.4</v>
      </c>
      <c r="FD206" s="666">
        <v>1.1499999999999999</v>
      </c>
      <c r="FE206" s="666">
        <v>1.1200000000000001</v>
      </c>
      <c r="FF206" s="666">
        <v>200</v>
      </c>
      <c r="FG206" s="666">
        <v>1.0900000000000001</v>
      </c>
      <c r="FH206" s="666">
        <v>0.39</v>
      </c>
      <c r="FI206" s="666">
        <v>0.7</v>
      </c>
      <c r="FJ206" s="666">
        <v>8</v>
      </c>
      <c r="FK206" s="666">
        <v>8.1</v>
      </c>
      <c r="FL206" s="666">
        <v>7.8</v>
      </c>
      <c r="FM206" s="666">
        <v>7.5</v>
      </c>
      <c r="FN206" s="666">
        <v>0</v>
      </c>
    </row>
    <row r="207" spans="1:170" s="416" customFormat="1" ht="15">
      <c r="A207" s="425" t="s">
        <v>5</v>
      </c>
      <c r="B207" s="426">
        <v>40736</v>
      </c>
      <c r="C207" s="418">
        <v>0</v>
      </c>
      <c r="D207" s="518">
        <v>0.55000000000000004</v>
      </c>
      <c r="E207" s="453">
        <v>0</v>
      </c>
      <c r="F207" s="453">
        <v>55</v>
      </c>
      <c r="G207" s="453">
        <v>1</v>
      </c>
      <c r="H207" s="519">
        <v>1.6</v>
      </c>
      <c r="I207" s="519">
        <v>95</v>
      </c>
      <c r="J207" s="483">
        <v>0.9</v>
      </c>
      <c r="K207" s="520">
        <v>1.3</v>
      </c>
      <c r="L207" s="453">
        <v>0</v>
      </c>
      <c r="M207" s="453">
        <v>19.899999999999999</v>
      </c>
      <c r="N207" s="453">
        <v>1.7</v>
      </c>
      <c r="O207" s="453">
        <v>2.1095402261816538</v>
      </c>
      <c r="P207" s="453">
        <v>1.8</v>
      </c>
      <c r="Q207" s="453">
        <v>2.20568141841754</v>
      </c>
      <c r="R207" s="453">
        <v>1096.4180449141345</v>
      </c>
      <c r="S207" s="453">
        <v>8</v>
      </c>
      <c r="T207" s="453">
        <v>8</v>
      </c>
      <c r="U207" s="453">
        <v>0.7</v>
      </c>
      <c r="V207" s="453">
        <v>0.8</v>
      </c>
      <c r="W207" s="453">
        <v>54.14</v>
      </c>
      <c r="X207" s="456">
        <v>54.5</v>
      </c>
      <c r="Y207" s="453">
        <v>41</v>
      </c>
      <c r="Z207" s="453">
        <v>28.2</v>
      </c>
      <c r="AA207" s="519">
        <v>40.80000000000291</v>
      </c>
      <c r="AB207" s="519">
        <v>20.19999999999709</v>
      </c>
      <c r="AC207" s="732">
        <f t="shared" si="3"/>
        <v>61</v>
      </c>
      <c r="AD207" s="664"/>
      <c r="AE207" s="664"/>
      <c r="AF207" s="664"/>
      <c r="AG207" s="664"/>
      <c r="AH207" s="664"/>
      <c r="AI207" s="664"/>
      <c r="AJ207" s="485"/>
      <c r="AK207" s="485"/>
      <c r="AL207" s="485"/>
      <c r="AM207" s="485"/>
      <c r="AN207" s="485"/>
      <c r="AO207" s="665"/>
      <c r="AP207" s="485"/>
      <c r="AQ207" s="483"/>
      <c r="AR207" s="755">
        <v>0</v>
      </c>
      <c r="AS207" s="483">
        <v>19.7</v>
      </c>
      <c r="AT207" s="755">
        <v>0</v>
      </c>
      <c r="AU207" s="483">
        <v>42.6</v>
      </c>
      <c r="AV207" s="484">
        <v>569.5</v>
      </c>
      <c r="AW207" s="484">
        <v>301.3</v>
      </c>
      <c r="AX207" s="453">
        <v>32.299999999999997</v>
      </c>
      <c r="AY207" s="734">
        <v>0</v>
      </c>
      <c r="AZ207" s="734">
        <v>0</v>
      </c>
      <c r="BA207" s="734">
        <v>0</v>
      </c>
      <c r="BB207" s="453">
        <v>0</v>
      </c>
      <c r="BC207" s="453">
        <v>0.5</v>
      </c>
      <c r="BD207" s="453">
        <v>1.52</v>
      </c>
      <c r="BE207" s="734">
        <v>0</v>
      </c>
      <c r="BF207" s="453">
        <v>0.53</v>
      </c>
      <c r="BG207" s="453">
        <v>0</v>
      </c>
      <c r="BH207" s="734">
        <v>0</v>
      </c>
      <c r="BI207" s="453">
        <v>1.56</v>
      </c>
      <c r="BJ207" s="453">
        <v>16</v>
      </c>
      <c r="BK207" s="453">
        <v>3.84</v>
      </c>
      <c r="BL207" s="453">
        <v>5.7</v>
      </c>
      <c r="BM207" s="453">
        <v>0</v>
      </c>
      <c r="BN207" s="453">
        <v>6.4</v>
      </c>
      <c r="BO207" s="453">
        <v>2124.1999999999998</v>
      </c>
      <c r="BP207" s="453">
        <v>0.08</v>
      </c>
      <c r="BQ207" s="453">
        <v>19.600000000000001</v>
      </c>
      <c r="BR207" s="453">
        <v>19.5</v>
      </c>
      <c r="BS207" s="453">
        <v>0</v>
      </c>
      <c r="BT207" s="453">
        <v>39.6</v>
      </c>
      <c r="BU207" s="453">
        <v>40.1</v>
      </c>
      <c r="BV207" s="456">
        <v>720.3</v>
      </c>
      <c r="BW207" s="453">
        <v>2.23</v>
      </c>
      <c r="BX207" s="453">
        <v>1.37</v>
      </c>
      <c r="BY207" s="456">
        <v>1.1000000000000001</v>
      </c>
      <c r="BZ207" s="456">
        <v>18.899999999999999</v>
      </c>
      <c r="CA207" s="456">
        <v>37.299999999999997</v>
      </c>
      <c r="CB207" s="456">
        <v>18.7</v>
      </c>
      <c r="CC207" s="456">
        <v>8.9</v>
      </c>
      <c r="CD207" s="456">
        <v>13.17</v>
      </c>
      <c r="CE207" s="456">
        <v>17.3</v>
      </c>
      <c r="CF207" s="456">
        <v>12.89</v>
      </c>
      <c r="CG207" s="456">
        <v>0</v>
      </c>
      <c r="CH207" s="456">
        <v>6.3</v>
      </c>
      <c r="CI207" s="456">
        <v>8.6999999999999993</v>
      </c>
      <c r="CJ207" s="456">
        <v>758.8</v>
      </c>
      <c r="CK207" s="456">
        <v>881.2</v>
      </c>
      <c r="CL207" s="456">
        <v>706.1</v>
      </c>
      <c r="CM207" s="456">
        <v>3.7</v>
      </c>
      <c r="CN207" s="456">
        <v>1.07</v>
      </c>
      <c r="CO207" s="453">
        <v>5116.3999999999996</v>
      </c>
      <c r="CP207" s="453">
        <v>11.28</v>
      </c>
      <c r="CQ207" s="453">
        <v>55</v>
      </c>
      <c r="CR207" s="456">
        <v>0</v>
      </c>
      <c r="CS207" s="456">
        <v>0</v>
      </c>
      <c r="CT207" s="456">
        <v>0</v>
      </c>
      <c r="CU207" s="456">
        <v>0</v>
      </c>
      <c r="CV207" s="481">
        <v>775.56521739130437</v>
      </c>
      <c r="CW207" s="481">
        <v>976.83333333333337</v>
      </c>
      <c r="CX207" s="481">
        <v>664.71875</v>
      </c>
      <c r="CY207" s="481">
        <v>1163.97</v>
      </c>
      <c r="CZ207" s="456"/>
      <c r="DA207" s="456"/>
      <c r="DB207" s="456"/>
      <c r="DC207" s="456"/>
      <c r="DD207" s="456"/>
      <c r="DE207" s="456"/>
      <c r="DF207" s="456"/>
      <c r="DG207" s="425"/>
      <c r="DH207" s="456">
        <v>26</v>
      </c>
      <c r="DI207" s="456">
        <v>0.19</v>
      </c>
      <c r="DJ207" s="456">
        <v>0</v>
      </c>
      <c r="DK207" s="425"/>
      <c r="DL207" s="456"/>
      <c r="DM207" s="456"/>
      <c r="DN207" s="456"/>
      <c r="DO207" s="456"/>
      <c r="DP207" s="456"/>
      <c r="DQ207" s="456"/>
      <c r="DR207" s="456"/>
      <c r="DS207" s="456"/>
      <c r="DT207" s="456"/>
      <c r="DU207" s="456"/>
      <c r="DV207" s="456"/>
      <c r="DW207" s="456"/>
      <c r="DX207" s="456"/>
      <c r="DY207" s="456"/>
      <c r="DZ207" s="456"/>
      <c r="EA207" s="456"/>
      <c r="EB207" s="456"/>
      <c r="EC207" s="456"/>
      <c r="ED207" s="423">
        <v>0</v>
      </c>
      <c r="EE207" s="456">
        <v>2</v>
      </c>
      <c r="EF207" s="456">
        <v>2.5</v>
      </c>
      <c r="EG207" s="456">
        <v>9.5</v>
      </c>
      <c r="EH207" s="423">
        <v>0</v>
      </c>
      <c r="EI207" s="456"/>
      <c r="EJ207" s="456"/>
      <c r="EK207" s="456"/>
      <c r="EL207" s="456"/>
      <c r="EM207" s="456"/>
      <c r="EN207" s="456"/>
      <c r="EO207" s="425"/>
      <c r="EP207" s="425"/>
      <c r="EQ207" s="425" t="s">
        <v>743</v>
      </c>
      <c r="ER207" s="425">
        <v>2</v>
      </c>
      <c r="ES207" s="425">
        <v>2</v>
      </c>
      <c r="ET207" s="425">
        <v>1430</v>
      </c>
      <c r="EU207" s="457">
        <v>3940</v>
      </c>
      <c r="EV207" s="425">
        <v>300</v>
      </c>
      <c r="EW207" s="425">
        <v>7049383</v>
      </c>
      <c r="EX207" s="425">
        <v>89429</v>
      </c>
      <c r="EY207" s="666">
        <v>19</v>
      </c>
      <c r="EZ207" s="666">
        <v>19</v>
      </c>
      <c r="FA207" s="666">
        <v>0</v>
      </c>
      <c r="FB207" s="666">
        <v>1.33</v>
      </c>
      <c r="FC207" s="666">
        <v>1.3</v>
      </c>
      <c r="FD207" s="666">
        <v>1.1499999999999999</v>
      </c>
      <c r="FE207" s="666">
        <v>1.1100000000000001</v>
      </c>
      <c r="FF207" s="666">
        <v>290</v>
      </c>
      <c r="FG207" s="666">
        <v>0.76</v>
      </c>
      <c r="FH207" s="666">
        <v>0.39</v>
      </c>
      <c r="FI207" s="666">
        <v>0.57999999999999996</v>
      </c>
      <c r="FJ207" s="666">
        <v>7.91</v>
      </c>
      <c r="FK207" s="666">
        <v>7.9</v>
      </c>
      <c r="FL207" s="666">
        <v>7.79</v>
      </c>
      <c r="FM207" s="666">
        <v>7.4</v>
      </c>
      <c r="FN207" s="666">
        <v>0</v>
      </c>
    </row>
    <row r="208" spans="1:170" s="416" customFormat="1" ht="15">
      <c r="A208" s="425" t="s">
        <v>6</v>
      </c>
      <c r="B208" s="426">
        <v>40737</v>
      </c>
      <c r="C208" s="418">
        <v>0</v>
      </c>
      <c r="D208" s="518">
        <v>0.25</v>
      </c>
      <c r="E208" s="453">
        <v>0</v>
      </c>
      <c r="F208" s="453">
        <v>55</v>
      </c>
      <c r="G208" s="453">
        <v>0.85</v>
      </c>
      <c r="H208" s="519">
        <v>1.49</v>
      </c>
      <c r="I208" s="519">
        <v>93.4</v>
      </c>
      <c r="J208" s="483">
        <v>1.67</v>
      </c>
      <c r="K208" s="520">
        <v>1.02</v>
      </c>
      <c r="L208" s="453">
        <v>0</v>
      </c>
      <c r="M208" s="453">
        <v>19.899999999999999</v>
      </c>
      <c r="N208" s="453">
        <v>1.71</v>
      </c>
      <c r="O208" s="453">
        <v>2.115975037579982</v>
      </c>
      <c r="P208" s="453">
        <v>1.76</v>
      </c>
      <c r="Q208" s="453">
        <v>2.2354492176481142</v>
      </c>
      <c r="R208" s="453">
        <v>1087.6726129458386</v>
      </c>
      <c r="S208" s="453">
        <v>8.0299999999999994</v>
      </c>
      <c r="T208" s="453">
        <v>7.99</v>
      </c>
      <c r="U208" s="453">
        <v>0.72</v>
      </c>
      <c r="V208" s="453">
        <v>0.81</v>
      </c>
      <c r="W208" s="453">
        <v>51.44</v>
      </c>
      <c r="X208" s="456">
        <v>51.620000000000005</v>
      </c>
      <c r="Y208" s="453">
        <v>40.9</v>
      </c>
      <c r="Z208" s="453">
        <v>19.7</v>
      </c>
      <c r="AA208" s="519">
        <v>40.399999999994179</v>
      </c>
      <c r="AB208" s="519">
        <v>19.80000000000291</v>
      </c>
      <c r="AC208" s="732">
        <f t="shared" si="3"/>
        <v>60.19999999999709</v>
      </c>
      <c r="AD208" s="664"/>
      <c r="AE208" s="664"/>
      <c r="AF208" s="664"/>
      <c r="AG208" s="664"/>
      <c r="AH208" s="664"/>
      <c r="AI208" s="664"/>
      <c r="AJ208" s="485"/>
      <c r="AK208" s="485"/>
      <c r="AL208" s="485"/>
      <c r="AM208" s="485"/>
      <c r="AN208" s="485"/>
      <c r="AO208" s="665"/>
      <c r="AP208" s="485"/>
      <c r="AQ208" s="483"/>
      <c r="AR208" s="755">
        <v>0</v>
      </c>
      <c r="AS208" s="483">
        <v>18.399999999999999</v>
      </c>
      <c r="AT208" s="755">
        <v>0</v>
      </c>
      <c r="AU208" s="483">
        <v>42.6</v>
      </c>
      <c r="AV208" s="484">
        <v>583.9</v>
      </c>
      <c r="AW208" s="484">
        <v>640.4</v>
      </c>
      <c r="AX208" s="453">
        <v>24.5</v>
      </c>
      <c r="AY208" s="734">
        <v>0</v>
      </c>
      <c r="AZ208" s="734">
        <v>0</v>
      </c>
      <c r="BA208" s="734">
        <v>0</v>
      </c>
      <c r="BB208" s="453">
        <v>0</v>
      </c>
      <c r="BC208" s="453">
        <v>0.5</v>
      </c>
      <c r="BD208" s="453">
        <v>1.52</v>
      </c>
      <c r="BE208" s="734">
        <v>0</v>
      </c>
      <c r="BF208" s="453">
        <v>0.52</v>
      </c>
      <c r="BG208" s="453">
        <v>0</v>
      </c>
      <c r="BH208" s="734">
        <v>0</v>
      </c>
      <c r="BI208" s="453">
        <v>1.57</v>
      </c>
      <c r="BJ208" s="453">
        <v>15.8</v>
      </c>
      <c r="BK208" s="453">
        <v>4.12</v>
      </c>
      <c r="BL208" s="453">
        <v>5.43</v>
      </c>
      <c r="BM208" s="453">
        <v>0</v>
      </c>
      <c r="BN208" s="453">
        <v>6.3</v>
      </c>
      <c r="BO208" s="453">
        <v>2295.5</v>
      </c>
      <c r="BP208" s="453">
        <v>0</v>
      </c>
      <c r="BQ208" s="453">
        <v>20.3</v>
      </c>
      <c r="BR208" s="453">
        <v>20.3</v>
      </c>
      <c r="BS208" s="453">
        <v>0</v>
      </c>
      <c r="BT208" s="453">
        <v>39.4</v>
      </c>
      <c r="BU208" s="453">
        <v>33.4</v>
      </c>
      <c r="BV208" s="456">
        <v>687.4</v>
      </c>
      <c r="BW208" s="453">
        <v>0.69</v>
      </c>
      <c r="BX208" s="453">
        <v>1.36</v>
      </c>
      <c r="BY208" s="456">
        <v>1.1000000000000001</v>
      </c>
      <c r="BZ208" s="456">
        <v>17.3</v>
      </c>
      <c r="CA208" s="456">
        <v>37.200000000000003</v>
      </c>
      <c r="CB208" s="456">
        <v>18.48</v>
      </c>
      <c r="CC208" s="456">
        <v>9.27</v>
      </c>
      <c r="CD208" s="456">
        <v>13.4</v>
      </c>
      <c r="CE208" s="456">
        <v>17.72</v>
      </c>
      <c r="CF208" s="456">
        <v>13.36</v>
      </c>
      <c r="CG208" s="456">
        <v>0</v>
      </c>
      <c r="CH208" s="456">
        <v>4.5</v>
      </c>
      <c r="CI208" s="456">
        <v>8.6</v>
      </c>
      <c r="CJ208" s="456">
        <v>741.2</v>
      </c>
      <c r="CK208" s="456">
        <v>895</v>
      </c>
      <c r="CL208" s="456">
        <v>707.7</v>
      </c>
      <c r="CM208" s="456">
        <v>3.7</v>
      </c>
      <c r="CN208" s="456">
        <v>1.1100000000000001</v>
      </c>
      <c r="CO208" s="453">
        <v>7069.1</v>
      </c>
      <c r="CP208" s="453">
        <v>11.28</v>
      </c>
      <c r="CQ208" s="453">
        <v>55</v>
      </c>
      <c r="CR208" s="456">
        <v>0</v>
      </c>
      <c r="CS208" s="456">
        <v>0</v>
      </c>
      <c r="CT208" s="456">
        <v>0</v>
      </c>
      <c r="CU208" s="456">
        <v>0</v>
      </c>
      <c r="CV208" s="481">
        <v>688.91304347826087</v>
      </c>
      <c r="CW208" s="481">
        <v>993.91666666666663</v>
      </c>
      <c r="CX208" s="481">
        <v>594.46875</v>
      </c>
      <c r="CY208" s="481">
        <v>1163.76</v>
      </c>
      <c r="CZ208" s="456"/>
      <c r="DA208" s="456"/>
      <c r="DB208" s="456"/>
      <c r="DC208" s="456"/>
      <c r="DD208" s="456"/>
      <c r="DE208" s="456"/>
      <c r="DF208" s="456"/>
      <c r="DG208" s="425"/>
      <c r="DH208" s="456">
        <v>44</v>
      </c>
      <c r="DI208" s="456">
        <v>0.28999999999999998</v>
      </c>
      <c r="DJ208" s="456">
        <v>0</v>
      </c>
      <c r="DK208" s="425"/>
      <c r="DL208" s="456"/>
      <c r="DM208" s="456"/>
      <c r="DN208" s="456"/>
      <c r="DO208" s="456"/>
      <c r="DP208" s="456"/>
      <c r="DQ208" s="456"/>
      <c r="DR208" s="456"/>
      <c r="DS208" s="456"/>
      <c r="DT208" s="456"/>
      <c r="DU208" s="456"/>
      <c r="DV208" s="456"/>
      <c r="DW208" s="456"/>
      <c r="DX208" s="456"/>
      <c r="DY208" s="456"/>
      <c r="DZ208" s="456"/>
      <c r="EA208" s="456"/>
      <c r="EB208" s="456"/>
      <c r="EC208" s="456"/>
      <c r="ED208" s="423">
        <v>0</v>
      </c>
      <c r="EE208" s="456">
        <v>2</v>
      </c>
      <c r="EF208" s="456">
        <v>2.5</v>
      </c>
      <c r="EG208" s="456">
        <v>9.5</v>
      </c>
      <c r="EH208" s="423">
        <v>0</v>
      </c>
      <c r="EI208" s="456"/>
      <c r="EJ208" s="456"/>
      <c r="EK208" s="456"/>
      <c r="EL208" s="456"/>
      <c r="EM208" s="456"/>
      <c r="EN208" s="456"/>
      <c r="EO208" s="425"/>
      <c r="EP208" s="425"/>
      <c r="EQ208" s="425" t="s">
        <v>746</v>
      </c>
      <c r="ER208" s="425">
        <v>2</v>
      </c>
      <c r="ES208" s="425">
        <v>2</v>
      </c>
      <c r="ET208" s="425">
        <v>1200</v>
      </c>
      <c r="EU208" s="457">
        <v>3940</v>
      </c>
      <c r="EV208" s="425">
        <v>250</v>
      </c>
      <c r="EW208" s="425">
        <v>7052393</v>
      </c>
      <c r="EX208" s="425">
        <v>90035</v>
      </c>
      <c r="EY208" s="666">
        <v>19.850000000000001</v>
      </c>
      <c r="EZ208" s="666">
        <v>19.850000000000001</v>
      </c>
      <c r="FA208" s="666">
        <v>0</v>
      </c>
      <c r="FB208" s="666">
        <v>1.35</v>
      </c>
      <c r="FC208" s="666">
        <v>1.31</v>
      </c>
      <c r="FD208" s="666">
        <v>1.1399999999999999</v>
      </c>
      <c r="FE208" s="666">
        <v>1.1100000000000001</v>
      </c>
      <c r="FF208" s="666">
        <v>230</v>
      </c>
      <c r="FG208" s="666">
        <v>0.76</v>
      </c>
      <c r="FH208" s="666">
        <v>0.4</v>
      </c>
      <c r="FI208" s="666">
        <v>0.59</v>
      </c>
      <c r="FJ208" s="666">
        <v>8.01</v>
      </c>
      <c r="FK208" s="666">
        <v>7.9</v>
      </c>
      <c r="FL208" s="666">
        <v>7.81</v>
      </c>
      <c r="FM208" s="666">
        <v>7.6</v>
      </c>
      <c r="FN208" s="666">
        <v>0</v>
      </c>
    </row>
    <row r="209" spans="1:170" s="416" customFormat="1" ht="15">
      <c r="A209" s="425" t="s">
        <v>7</v>
      </c>
      <c r="B209" s="426">
        <v>40738</v>
      </c>
      <c r="C209" s="418">
        <v>0</v>
      </c>
      <c r="D209" s="518">
        <v>0.12</v>
      </c>
      <c r="E209" s="453">
        <v>0</v>
      </c>
      <c r="F209" s="453">
        <v>54</v>
      </c>
      <c r="G209" s="453">
        <v>0.8</v>
      </c>
      <c r="H209" s="519">
        <v>1.36</v>
      </c>
      <c r="I209" s="519">
        <v>93.4</v>
      </c>
      <c r="J209" s="483">
        <v>0.88</v>
      </c>
      <c r="K209" s="520">
        <v>0.87</v>
      </c>
      <c r="L209" s="453">
        <v>0</v>
      </c>
      <c r="M209" s="453">
        <v>19.899999999999999</v>
      </c>
      <c r="N209" s="453">
        <v>1.7</v>
      </c>
      <c r="O209" s="453">
        <v>2.1167857062895457</v>
      </c>
      <c r="P209" s="453">
        <v>1.74</v>
      </c>
      <c r="Q209" s="453">
        <v>1.6731143045142938</v>
      </c>
      <c r="R209" s="453">
        <v>1096.0941400264198</v>
      </c>
      <c r="S209" s="453">
        <v>8.02</v>
      </c>
      <c r="T209" s="453">
        <v>7.95</v>
      </c>
      <c r="U209" s="453">
        <v>0.67</v>
      </c>
      <c r="V209" s="453">
        <v>0.75</v>
      </c>
      <c r="W209" s="453">
        <v>51.8</v>
      </c>
      <c r="X209" s="456">
        <v>51.8</v>
      </c>
      <c r="Y209" s="453">
        <v>40.96</v>
      </c>
      <c r="Z209" s="453">
        <v>19.62</v>
      </c>
      <c r="AA209" s="519">
        <v>41</v>
      </c>
      <c r="AB209" s="519">
        <v>20.059999999997672</v>
      </c>
      <c r="AC209" s="732">
        <f t="shared" si="3"/>
        <v>61.059999999997672</v>
      </c>
      <c r="AD209" s="664"/>
      <c r="AE209" s="664"/>
      <c r="AF209" s="664"/>
      <c r="AG209" s="664"/>
      <c r="AH209" s="664"/>
      <c r="AI209" s="664"/>
      <c r="AJ209" s="485"/>
      <c r="AK209" s="485"/>
      <c r="AL209" s="485"/>
      <c r="AM209" s="485"/>
      <c r="AN209" s="485"/>
      <c r="AO209" s="665"/>
      <c r="AP209" s="485"/>
      <c r="AQ209" s="483"/>
      <c r="AR209" s="755">
        <v>0</v>
      </c>
      <c r="AS209" s="483">
        <v>35.700000000000003</v>
      </c>
      <c r="AT209" s="755">
        <v>0</v>
      </c>
      <c r="AU209" s="483">
        <v>42.6</v>
      </c>
      <c r="AV209" s="484">
        <v>671.2</v>
      </c>
      <c r="AW209" s="484">
        <v>766.3</v>
      </c>
      <c r="AX209" s="453">
        <v>10.1</v>
      </c>
      <c r="AY209" s="734">
        <v>0</v>
      </c>
      <c r="AZ209" s="734">
        <v>0</v>
      </c>
      <c r="BA209" s="734">
        <v>0</v>
      </c>
      <c r="BB209" s="453">
        <v>0</v>
      </c>
      <c r="BC209" s="453">
        <v>0.64</v>
      </c>
      <c r="BD209" s="453">
        <v>1.38</v>
      </c>
      <c r="BE209" s="734">
        <v>0</v>
      </c>
      <c r="BF209" s="453">
        <v>0.22</v>
      </c>
      <c r="BG209" s="453">
        <v>0</v>
      </c>
      <c r="BH209" s="734">
        <v>0</v>
      </c>
      <c r="BI209" s="453">
        <v>1.57</v>
      </c>
      <c r="BJ209" s="453">
        <v>16.100000000000001</v>
      </c>
      <c r="BK209" s="453">
        <v>3.75</v>
      </c>
      <c r="BL209" s="453">
        <v>5.78</v>
      </c>
      <c r="BM209" s="453">
        <v>0</v>
      </c>
      <c r="BN209" s="453">
        <v>6.5</v>
      </c>
      <c r="BO209" s="453">
        <v>2093.3000000000002</v>
      </c>
      <c r="BP209" s="453">
        <v>0</v>
      </c>
      <c r="BQ209" s="453">
        <v>19.399999999999999</v>
      </c>
      <c r="BR209" s="453">
        <v>19.3</v>
      </c>
      <c r="BS209" s="453">
        <v>0</v>
      </c>
      <c r="BT209" s="453">
        <v>39.5</v>
      </c>
      <c r="BU209" s="453">
        <v>21.7</v>
      </c>
      <c r="BV209" s="456">
        <v>665.6</v>
      </c>
      <c r="BW209" s="453">
        <v>1.7</v>
      </c>
      <c r="BX209" s="453">
        <v>1.37</v>
      </c>
      <c r="BY209" s="456">
        <v>1.22</v>
      </c>
      <c r="BZ209" s="456">
        <v>16.5</v>
      </c>
      <c r="CA209" s="456">
        <v>36.9</v>
      </c>
      <c r="CB209" s="456">
        <v>18.7</v>
      </c>
      <c r="CC209" s="456">
        <v>9.6</v>
      </c>
      <c r="CD209" s="456">
        <v>13.8</v>
      </c>
      <c r="CE209" s="456">
        <v>17.899999999999999</v>
      </c>
      <c r="CF209" s="456">
        <v>13.3</v>
      </c>
      <c r="CG209" s="456">
        <v>0</v>
      </c>
      <c r="CH209" s="456">
        <v>1.2</v>
      </c>
      <c r="CI209" s="456">
        <v>2.5</v>
      </c>
      <c r="CJ209" s="456">
        <v>585.9</v>
      </c>
      <c r="CK209" s="456">
        <v>794.7</v>
      </c>
      <c r="CL209" s="456">
        <v>689</v>
      </c>
      <c r="CM209" s="456">
        <v>9.3000000000000007</v>
      </c>
      <c r="CN209" s="456">
        <v>1.7</v>
      </c>
      <c r="CO209" s="453">
        <v>12682</v>
      </c>
      <c r="CP209" s="453">
        <v>10.56</v>
      </c>
      <c r="CQ209" s="453">
        <v>55</v>
      </c>
      <c r="CR209" s="456">
        <v>0</v>
      </c>
      <c r="CS209" s="456">
        <v>0</v>
      </c>
      <c r="CT209" s="456">
        <v>0</v>
      </c>
      <c r="CU209" s="456">
        <v>0</v>
      </c>
      <c r="CV209" s="481">
        <v>612.82608695652175</v>
      </c>
      <c r="CW209" s="481">
        <v>840.88541666666663</v>
      </c>
      <c r="CX209" s="481">
        <v>520.05208333333337</v>
      </c>
      <c r="CY209" s="481">
        <v>1163.6400000000001</v>
      </c>
      <c r="CZ209" s="456"/>
      <c r="DA209" s="456"/>
      <c r="DB209" s="456"/>
      <c r="DC209" s="456"/>
      <c r="DD209" s="456"/>
      <c r="DE209" s="456"/>
      <c r="DF209" s="456"/>
      <c r="DG209" s="425"/>
      <c r="DH209" s="456">
        <v>68</v>
      </c>
      <c r="DI209" s="456">
        <v>0.31</v>
      </c>
      <c r="DJ209" s="456">
        <v>0</v>
      </c>
      <c r="DK209" s="425"/>
      <c r="DL209" s="456"/>
      <c r="DM209" s="456"/>
      <c r="DN209" s="456"/>
      <c r="DO209" s="456"/>
      <c r="DP209" s="456"/>
      <c r="DQ209" s="456"/>
      <c r="DR209" s="456"/>
      <c r="DS209" s="456"/>
      <c r="DT209" s="456">
        <v>19</v>
      </c>
      <c r="DU209" s="764" t="s">
        <v>760</v>
      </c>
      <c r="DV209" s="456"/>
      <c r="DW209" s="456"/>
      <c r="DX209" s="456"/>
      <c r="DY209" s="456"/>
      <c r="DZ209" s="456"/>
      <c r="EA209" s="456"/>
      <c r="EB209" s="456"/>
      <c r="EC209" s="456"/>
      <c r="ED209" s="423">
        <v>0</v>
      </c>
      <c r="EE209" s="456">
        <v>2</v>
      </c>
      <c r="EF209" s="456">
        <v>2</v>
      </c>
      <c r="EG209" s="456">
        <v>9.5</v>
      </c>
      <c r="EH209" s="423">
        <v>0</v>
      </c>
      <c r="EI209" s="456"/>
      <c r="EJ209" s="456"/>
      <c r="EK209" s="456"/>
      <c r="EL209" s="456"/>
      <c r="EM209" s="456"/>
      <c r="EN209" s="456"/>
      <c r="EO209" s="425"/>
      <c r="EP209" s="425"/>
      <c r="EQ209" s="425" t="s">
        <v>743</v>
      </c>
      <c r="ER209" s="425">
        <v>2</v>
      </c>
      <c r="ES209" s="425">
        <v>2</v>
      </c>
      <c r="ET209" s="425">
        <v>1040</v>
      </c>
      <c r="EU209" s="457">
        <v>3940</v>
      </c>
      <c r="EV209" s="425">
        <v>150</v>
      </c>
      <c r="EW209" s="425">
        <v>7054421</v>
      </c>
      <c r="EX209" s="425">
        <v>90604</v>
      </c>
      <c r="EY209" s="666">
        <v>19.350000000000001</v>
      </c>
      <c r="EZ209" s="666">
        <v>19.350000000000001</v>
      </c>
      <c r="FA209" s="666">
        <v>0</v>
      </c>
      <c r="FB209" s="666">
        <v>1.33</v>
      </c>
      <c r="FC209" s="666">
        <v>1.3</v>
      </c>
      <c r="FD209" s="666">
        <v>1.1299999999999999</v>
      </c>
      <c r="FE209" s="666">
        <v>1.1000000000000001</v>
      </c>
      <c r="FF209" s="666">
        <v>160</v>
      </c>
      <c r="FG209" s="666">
        <v>0.79</v>
      </c>
      <c r="FH209" s="666">
        <v>0.4</v>
      </c>
      <c r="FI209" s="666">
        <v>0.55000000000000004</v>
      </c>
      <c r="FJ209" s="666">
        <v>8.0500000000000007</v>
      </c>
      <c r="FK209" s="666">
        <v>8.1</v>
      </c>
      <c r="FL209" s="666">
        <v>7.76</v>
      </c>
      <c r="FM209" s="666">
        <v>7.5</v>
      </c>
      <c r="FN209" s="666">
        <v>0</v>
      </c>
    </row>
    <row r="210" spans="1:170" s="416" customFormat="1" ht="15">
      <c r="A210" s="425" t="s">
        <v>8</v>
      </c>
      <c r="B210" s="426">
        <v>40739</v>
      </c>
      <c r="C210" s="418">
        <v>0</v>
      </c>
      <c r="D210" s="518">
        <v>0</v>
      </c>
      <c r="E210" s="453">
        <v>0</v>
      </c>
      <c r="F210" s="453">
        <v>58</v>
      </c>
      <c r="G210" s="453">
        <v>0.9</v>
      </c>
      <c r="H210" s="519">
        <v>1.2</v>
      </c>
      <c r="I210" s="519">
        <v>93.2</v>
      </c>
      <c r="J210" s="483">
        <v>1.5</v>
      </c>
      <c r="K210" s="520">
        <v>0.9</v>
      </c>
      <c r="L210" s="453">
        <v>0</v>
      </c>
      <c r="M210" s="453">
        <v>19.8</v>
      </c>
      <c r="N210" s="453">
        <v>1.6</v>
      </c>
      <c r="O210" s="453">
        <v>2.0590620775038326</v>
      </c>
      <c r="P210" s="453">
        <v>1.7</v>
      </c>
      <c r="Q210" s="453">
        <v>2.9866597205416232</v>
      </c>
      <c r="R210" s="453">
        <v>1056.5777437252309</v>
      </c>
      <c r="S210" s="453">
        <v>8</v>
      </c>
      <c r="T210" s="453">
        <v>8</v>
      </c>
      <c r="U210" s="453">
        <v>0.7</v>
      </c>
      <c r="V210" s="453">
        <v>0.7</v>
      </c>
      <c r="W210" s="453">
        <v>54.319999999999993</v>
      </c>
      <c r="X210" s="456">
        <v>54.5</v>
      </c>
      <c r="Y210" s="453">
        <v>40.67</v>
      </c>
      <c r="Z210" s="453">
        <v>19.71</v>
      </c>
      <c r="AA210" s="519">
        <v>40.790000000008149</v>
      </c>
      <c r="AB210" s="519">
        <v>19.940000000002328</v>
      </c>
      <c r="AC210" s="732">
        <f t="shared" si="3"/>
        <v>60.730000000010477</v>
      </c>
      <c r="AD210" s="664"/>
      <c r="AE210" s="664"/>
      <c r="AF210" s="664"/>
      <c r="AG210" s="664"/>
      <c r="AH210" s="664"/>
      <c r="AI210" s="664"/>
      <c r="AJ210" s="485"/>
      <c r="AK210" s="485"/>
      <c r="AL210" s="485"/>
      <c r="AM210" s="485"/>
      <c r="AN210" s="485"/>
      <c r="AO210" s="665"/>
      <c r="AP210" s="485"/>
      <c r="AQ210" s="483"/>
      <c r="AR210" s="755">
        <v>0</v>
      </c>
      <c r="AS210" s="483">
        <v>18.399999999999999</v>
      </c>
      <c r="AT210" s="755">
        <v>0</v>
      </c>
      <c r="AU210" s="483">
        <v>42.7</v>
      </c>
      <c r="AV210" s="484">
        <v>423.1</v>
      </c>
      <c r="AW210" s="484">
        <v>484</v>
      </c>
      <c r="AX210" s="453">
        <v>27</v>
      </c>
      <c r="AY210" s="734">
        <v>0</v>
      </c>
      <c r="AZ210" s="734">
        <v>0</v>
      </c>
      <c r="BA210" s="734">
        <v>0</v>
      </c>
      <c r="BB210" s="453">
        <v>0</v>
      </c>
      <c r="BC210" s="453">
        <v>0.67</v>
      </c>
      <c r="BD210" s="453">
        <v>1.02</v>
      </c>
      <c r="BE210" s="734">
        <v>0</v>
      </c>
      <c r="BF210" s="453">
        <v>0.4</v>
      </c>
      <c r="BG210" s="453">
        <v>0</v>
      </c>
      <c r="BH210" s="734">
        <v>0</v>
      </c>
      <c r="BI210" s="453">
        <v>1.58</v>
      </c>
      <c r="BJ210" s="453">
        <v>16.3</v>
      </c>
      <c r="BK210" s="453">
        <v>3.76</v>
      </c>
      <c r="BL210" s="453">
        <v>5.78</v>
      </c>
      <c r="BM210" s="453">
        <v>0</v>
      </c>
      <c r="BN210" s="453">
        <v>6.7</v>
      </c>
      <c r="BO210" s="453">
        <v>2391.6999999999998</v>
      </c>
      <c r="BP210" s="453">
        <v>0</v>
      </c>
      <c r="BQ210" s="453">
        <v>18.73</v>
      </c>
      <c r="BR210" s="453">
        <v>18.7</v>
      </c>
      <c r="BS210" s="453">
        <v>0</v>
      </c>
      <c r="BT210" s="453">
        <v>39.700000000000003</v>
      </c>
      <c r="BU210" s="453">
        <v>21.5</v>
      </c>
      <c r="BV210" s="456">
        <v>696.1</v>
      </c>
      <c r="BW210" s="453">
        <v>1.24</v>
      </c>
      <c r="BX210" s="453">
        <v>1.32</v>
      </c>
      <c r="BY210" s="456">
        <v>1.0900000000000001</v>
      </c>
      <c r="BZ210" s="456">
        <v>16.68</v>
      </c>
      <c r="CA210" s="456">
        <v>35.799999999999997</v>
      </c>
      <c r="CB210" s="456">
        <v>18.7</v>
      </c>
      <c r="CC210" s="456">
        <v>10.32</v>
      </c>
      <c r="CD210" s="456">
        <v>14.6</v>
      </c>
      <c r="CE210" s="456">
        <v>18.600000000000001</v>
      </c>
      <c r="CF210" s="456">
        <v>12.78</v>
      </c>
      <c r="CG210" s="456">
        <v>0</v>
      </c>
      <c r="CH210" s="456">
        <v>2.5</v>
      </c>
      <c r="CI210" s="456">
        <v>3.4</v>
      </c>
      <c r="CJ210" s="456">
        <v>686.6</v>
      </c>
      <c r="CK210" s="456">
        <v>752.8</v>
      </c>
      <c r="CL210" s="456">
        <v>691.3</v>
      </c>
      <c r="CM210" s="456">
        <v>8.1999999999999993</v>
      </c>
      <c r="CN210" s="456">
        <v>1.64</v>
      </c>
      <c r="CO210" s="453">
        <v>13475.5</v>
      </c>
      <c r="CP210" s="453">
        <v>10.67</v>
      </c>
      <c r="CQ210" s="453">
        <v>55</v>
      </c>
      <c r="CR210" s="456">
        <v>0</v>
      </c>
      <c r="CS210" s="456">
        <v>0</v>
      </c>
      <c r="CT210" s="456">
        <v>0</v>
      </c>
      <c r="CU210" s="456">
        <v>0</v>
      </c>
      <c r="CV210" s="481">
        <v>640.04347826086962</v>
      </c>
      <c r="CW210" s="481">
        <v>839.75</v>
      </c>
      <c r="CX210" s="481">
        <v>540.13541666666663</v>
      </c>
      <c r="CY210" s="481">
        <v>1163.3800000000001</v>
      </c>
      <c r="CZ210" s="456"/>
      <c r="DA210" s="456"/>
      <c r="DB210" s="456"/>
      <c r="DC210" s="456"/>
      <c r="DD210" s="456"/>
      <c r="DE210" s="456"/>
      <c r="DF210" s="456"/>
      <c r="DG210" s="425"/>
      <c r="DH210" s="456">
        <v>64</v>
      </c>
      <c r="DI210" s="456">
        <v>0.3</v>
      </c>
      <c r="DJ210" s="456">
        <v>0</v>
      </c>
      <c r="DK210" s="425"/>
      <c r="DL210" s="456"/>
      <c r="DM210" s="456"/>
      <c r="DN210" s="456"/>
      <c r="DO210" s="456"/>
      <c r="DP210" s="456"/>
      <c r="DQ210" s="456"/>
      <c r="DR210" s="456"/>
      <c r="DS210" s="456"/>
      <c r="DT210" s="456">
        <v>19</v>
      </c>
      <c r="DU210" s="764" t="s">
        <v>762</v>
      </c>
      <c r="DV210" s="456"/>
      <c r="DW210" s="456"/>
      <c r="DX210" s="456"/>
      <c r="DY210" s="456"/>
      <c r="DZ210" s="456"/>
      <c r="EA210" s="456"/>
      <c r="EB210" s="456"/>
      <c r="EC210" s="456"/>
      <c r="ED210" s="423">
        <v>0</v>
      </c>
      <c r="EE210" s="456">
        <v>2</v>
      </c>
      <c r="EF210" s="456">
        <v>2</v>
      </c>
      <c r="EG210" s="456">
        <v>9.5</v>
      </c>
      <c r="EH210" s="423">
        <v>0</v>
      </c>
      <c r="EI210" s="456"/>
      <c r="EJ210" s="456"/>
      <c r="EK210" s="456"/>
      <c r="EL210" s="456"/>
      <c r="EM210" s="456"/>
      <c r="EN210" s="456"/>
      <c r="EO210" s="425"/>
      <c r="EP210" s="425"/>
      <c r="EQ210" s="425" t="s">
        <v>743</v>
      </c>
      <c r="ER210" s="425">
        <v>1</v>
      </c>
      <c r="ES210" s="425">
        <v>2</v>
      </c>
      <c r="ET210" s="425">
        <v>830</v>
      </c>
      <c r="EU210" s="457">
        <v>3940</v>
      </c>
      <c r="EV210" s="425">
        <v>300</v>
      </c>
      <c r="EW210" s="425">
        <v>7056936</v>
      </c>
      <c r="EX210" s="425">
        <v>91262</v>
      </c>
      <c r="EY210" s="666">
        <v>18.7</v>
      </c>
      <c r="EZ210" s="666">
        <v>18.670000000000002</v>
      </c>
      <c r="FA210" s="666">
        <v>0</v>
      </c>
      <c r="FB210" s="666">
        <v>1.3</v>
      </c>
      <c r="FC210" s="666">
        <v>1.31</v>
      </c>
      <c r="FD210" s="666">
        <v>1.1299999999999999</v>
      </c>
      <c r="FE210" s="666">
        <v>1.1499999999999999</v>
      </c>
      <c r="FF210" s="666">
        <v>210</v>
      </c>
      <c r="FG210" s="666">
        <v>0.91</v>
      </c>
      <c r="FH210" s="666">
        <v>0.4</v>
      </c>
      <c r="FI210" s="666">
        <v>0.7</v>
      </c>
      <c r="FJ210" s="666">
        <v>8.0299999999999994</v>
      </c>
      <c r="FK210" s="666">
        <v>7.9</v>
      </c>
      <c r="FL210" s="666">
        <v>7.64</v>
      </c>
      <c r="FM210" s="666">
        <v>7.4</v>
      </c>
      <c r="FN210" s="666">
        <v>0</v>
      </c>
    </row>
    <row r="211" spans="1:170" s="416" customFormat="1" ht="15">
      <c r="A211" s="425" t="s">
        <v>9</v>
      </c>
      <c r="B211" s="426">
        <v>40740</v>
      </c>
      <c r="C211" s="418">
        <v>0</v>
      </c>
      <c r="D211" s="518">
        <v>0.2</v>
      </c>
      <c r="E211" s="453">
        <v>0</v>
      </c>
      <c r="F211" s="453">
        <v>56</v>
      </c>
      <c r="G211" s="453">
        <v>1</v>
      </c>
      <c r="H211" s="519">
        <v>2.9</v>
      </c>
      <c r="I211" s="519">
        <v>95.3</v>
      </c>
      <c r="J211" s="483">
        <v>2.7</v>
      </c>
      <c r="K211" s="520">
        <v>2.8</v>
      </c>
      <c r="L211" s="453">
        <v>0</v>
      </c>
      <c r="M211" s="453">
        <v>19.8</v>
      </c>
      <c r="N211" s="453">
        <v>1.6</v>
      </c>
      <c r="O211" s="453">
        <v>2.0630351932649775</v>
      </c>
      <c r="P211" s="453">
        <v>1.7</v>
      </c>
      <c r="Q211" s="453">
        <v>2.116836914867485</v>
      </c>
      <c r="R211" s="453">
        <v>1059.8167926023777</v>
      </c>
      <c r="S211" s="453">
        <v>7.9</v>
      </c>
      <c r="T211" s="453">
        <v>7.9</v>
      </c>
      <c r="U211" s="453">
        <v>0.6</v>
      </c>
      <c r="V211" s="453">
        <v>0.7</v>
      </c>
      <c r="W211" s="453">
        <v>54.860000000000014</v>
      </c>
      <c r="X211" s="456">
        <v>55.039999999999992</v>
      </c>
      <c r="Y211" s="453">
        <v>40.799999999999997</v>
      </c>
      <c r="Z211" s="453">
        <v>19.899999999999999</v>
      </c>
      <c r="AA211" s="519">
        <v>40.610000000000582</v>
      </c>
      <c r="AB211" s="519">
        <v>20</v>
      </c>
      <c r="AC211" s="732">
        <f t="shared" si="3"/>
        <v>60.610000000000582</v>
      </c>
      <c r="AD211" s="664"/>
      <c r="AE211" s="664"/>
      <c r="AF211" s="664"/>
      <c r="AG211" s="664"/>
      <c r="AH211" s="664"/>
      <c r="AI211" s="664"/>
      <c r="AJ211" s="485"/>
      <c r="AK211" s="485"/>
      <c r="AL211" s="485"/>
      <c r="AM211" s="485"/>
      <c r="AN211" s="485"/>
      <c r="AO211" s="665"/>
      <c r="AP211" s="485"/>
      <c r="AQ211" s="483"/>
      <c r="AR211" s="755">
        <v>0</v>
      </c>
      <c r="AS211" s="483">
        <v>19</v>
      </c>
      <c r="AT211" s="755">
        <v>0</v>
      </c>
      <c r="AU211" s="483">
        <v>42.6</v>
      </c>
      <c r="AV211" s="484">
        <v>543.20000000000005</v>
      </c>
      <c r="AW211" s="484">
        <v>631.4</v>
      </c>
      <c r="AX211" s="453">
        <v>13.2</v>
      </c>
      <c r="AY211" s="734">
        <v>0</v>
      </c>
      <c r="AZ211" s="734">
        <v>0</v>
      </c>
      <c r="BA211" s="734">
        <v>0</v>
      </c>
      <c r="BB211" s="453">
        <v>0</v>
      </c>
      <c r="BC211" s="453">
        <v>0.34</v>
      </c>
      <c r="BD211" s="453">
        <v>1.42</v>
      </c>
      <c r="BE211" s="734">
        <v>0</v>
      </c>
      <c r="BF211" s="453">
        <v>0.5</v>
      </c>
      <c r="BG211" s="453">
        <v>0</v>
      </c>
      <c r="BH211" s="734">
        <v>0</v>
      </c>
      <c r="BI211" s="453">
        <v>1.58</v>
      </c>
      <c r="BJ211" s="453">
        <v>16.100000000000001</v>
      </c>
      <c r="BK211" s="453">
        <v>3.87</v>
      </c>
      <c r="BL211" s="453">
        <v>5.67</v>
      </c>
      <c r="BM211" s="453">
        <v>0</v>
      </c>
      <c r="BN211" s="453">
        <v>6.5</v>
      </c>
      <c r="BO211" s="453">
        <v>1784.8</v>
      </c>
      <c r="BP211" s="453">
        <v>0</v>
      </c>
      <c r="BQ211" s="453">
        <v>20.3</v>
      </c>
      <c r="BR211" s="453">
        <v>20.3</v>
      </c>
      <c r="BS211" s="453">
        <v>0</v>
      </c>
      <c r="BT211" s="453">
        <v>39.6</v>
      </c>
      <c r="BU211" s="453">
        <v>29</v>
      </c>
      <c r="BV211" s="456">
        <v>783.2</v>
      </c>
      <c r="BW211" s="453">
        <v>1.6</v>
      </c>
      <c r="BX211" s="453">
        <v>1.31</v>
      </c>
      <c r="BY211" s="456">
        <v>1.1000000000000001</v>
      </c>
      <c r="BZ211" s="456">
        <v>17.2</v>
      </c>
      <c r="CA211" s="456">
        <v>34.799999999999997</v>
      </c>
      <c r="CB211" s="456">
        <v>18.89</v>
      </c>
      <c r="CC211" s="456">
        <v>9.1</v>
      </c>
      <c r="CD211" s="456">
        <v>13.28</v>
      </c>
      <c r="CE211" s="456">
        <v>17.48</v>
      </c>
      <c r="CF211" s="456">
        <v>12.72</v>
      </c>
      <c r="CG211" s="456">
        <v>0</v>
      </c>
      <c r="CH211" s="456">
        <v>3.1</v>
      </c>
      <c r="CI211" s="456">
        <v>4.2</v>
      </c>
      <c r="CJ211" s="456">
        <v>391.2</v>
      </c>
      <c r="CK211" s="456">
        <v>721.6</v>
      </c>
      <c r="CL211" s="456">
        <v>644.79999999999995</v>
      </c>
      <c r="CM211" s="456">
        <v>7.2</v>
      </c>
      <c r="CN211" s="456">
        <v>1.34</v>
      </c>
      <c r="CO211" s="453">
        <v>6544.8</v>
      </c>
      <c r="CP211" s="453">
        <v>10.66</v>
      </c>
      <c r="CQ211" s="453">
        <v>55</v>
      </c>
      <c r="CR211" s="456">
        <v>0</v>
      </c>
      <c r="CS211" s="456">
        <v>0</v>
      </c>
      <c r="CT211" s="456">
        <v>0</v>
      </c>
      <c r="CU211" s="456">
        <v>0</v>
      </c>
      <c r="CV211" s="481">
        <v>659.52173913043475</v>
      </c>
      <c r="CW211" s="481">
        <v>871.79166666666663</v>
      </c>
      <c r="CX211" s="481">
        <v>559.47916666666663</v>
      </c>
      <c r="CY211" s="481">
        <v>1163.17</v>
      </c>
      <c r="CZ211" s="456"/>
      <c r="DA211" s="456"/>
      <c r="DB211" s="456"/>
      <c r="DC211" s="456"/>
      <c r="DD211" s="456"/>
      <c r="DE211" s="456"/>
      <c r="DF211" s="456"/>
      <c r="DG211" s="425"/>
      <c r="DH211" s="456">
        <v>60</v>
      </c>
      <c r="DI211" s="456">
        <v>0.25</v>
      </c>
      <c r="DJ211" s="456">
        <v>0</v>
      </c>
      <c r="DK211" s="425"/>
      <c r="DL211" s="456"/>
      <c r="DM211" s="456"/>
      <c r="DN211" s="456"/>
      <c r="DO211" s="456"/>
      <c r="DP211" s="456"/>
      <c r="DQ211" s="456"/>
      <c r="DR211" s="456"/>
      <c r="DS211" s="456"/>
      <c r="DT211" s="456"/>
      <c r="DU211" s="456"/>
      <c r="DV211" s="456"/>
      <c r="DW211" s="456"/>
      <c r="DX211" s="456"/>
      <c r="DY211" s="456"/>
      <c r="DZ211" s="456"/>
      <c r="EA211" s="456"/>
      <c r="EB211" s="456"/>
      <c r="EC211" s="456"/>
      <c r="ED211" s="423">
        <v>0</v>
      </c>
      <c r="EE211" s="456">
        <v>2</v>
      </c>
      <c r="EF211" s="456">
        <v>2.5</v>
      </c>
      <c r="EG211" s="456">
        <v>9.5</v>
      </c>
      <c r="EH211" s="423">
        <v>0</v>
      </c>
      <c r="EI211" s="456"/>
      <c r="EJ211" s="456"/>
      <c r="EK211" s="456"/>
      <c r="EL211" s="456"/>
      <c r="EM211" s="456"/>
      <c r="EN211" s="456"/>
      <c r="EO211" s="425"/>
      <c r="EP211" s="425"/>
      <c r="EQ211" s="425" t="s">
        <v>743</v>
      </c>
      <c r="ER211" s="425">
        <v>1</v>
      </c>
      <c r="ES211" s="425">
        <v>2</v>
      </c>
      <c r="ET211" s="425">
        <v>600</v>
      </c>
      <c r="EU211" s="457">
        <v>3940</v>
      </c>
      <c r="EV211" s="425">
        <v>140</v>
      </c>
      <c r="EW211" s="425">
        <v>7059794</v>
      </c>
      <c r="EX211" s="425">
        <v>91958</v>
      </c>
      <c r="EY211" s="666">
        <v>19.899999999999999</v>
      </c>
      <c r="EZ211" s="666">
        <v>19.899999999999999</v>
      </c>
      <c r="FA211" s="666">
        <v>0</v>
      </c>
      <c r="FB211" s="666">
        <v>1.27</v>
      </c>
      <c r="FC211" s="666">
        <v>1.3</v>
      </c>
      <c r="FD211" s="666">
        <v>1.08</v>
      </c>
      <c r="FE211" s="666">
        <v>1.1000000000000001</v>
      </c>
      <c r="FF211" s="666">
        <v>230</v>
      </c>
      <c r="FG211" s="666">
        <v>1.49</v>
      </c>
      <c r="FH211" s="666">
        <v>0.41</v>
      </c>
      <c r="FI211" s="666">
        <v>0.68</v>
      </c>
      <c r="FJ211" s="666">
        <v>8.0299999999999994</v>
      </c>
      <c r="FK211" s="666">
        <v>8.1</v>
      </c>
      <c r="FL211" s="666">
        <v>7.84</v>
      </c>
      <c r="FM211" s="666">
        <v>7.5</v>
      </c>
      <c r="FN211" s="666">
        <v>0</v>
      </c>
    </row>
    <row r="212" spans="1:170" s="416" customFormat="1" ht="15">
      <c r="A212" s="425" t="s">
        <v>3</v>
      </c>
      <c r="B212" s="426">
        <v>40741</v>
      </c>
      <c r="C212" s="418">
        <v>0</v>
      </c>
      <c r="D212" s="518">
        <v>0.05</v>
      </c>
      <c r="E212" s="453">
        <v>0</v>
      </c>
      <c r="F212" s="453">
        <v>55</v>
      </c>
      <c r="G212" s="453">
        <v>0.9</v>
      </c>
      <c r="H212" s="519">
        <v>1.2</v>
      </c>
      <c r="I212" s="519">
        <v>93.9</v>
      </c>
      <c r="J212" s="483">
        <v>1.2</v>
      </c>
      <c r="K212" s="520">
        <v>0.9</v>
      </c>
      <c r="L212" s="756">
        <v>0.13999999999941792</v>
      </c>
      <c r="M212" s="453">
        <v>19.7</v>
      </c>
      <c r="N212" s="453">
        <v>1.6</v>
      </c>
      <c r="O212" s="453">
        <v>2.0502346424167985</v>
      </c>
      <c r="P212" s="453">
        <v>1.7</v>
      </c>
      <c r="Q212" s="453">
        <v>2.0959625717713113</v>
      </c>
      <c r="R212" s="453">
        <v>973.65809247027732</v>
      </c>
      <c r="S212" s="453">
        <v>8</v>
      </c>
      <c r="T212" s="453">
        <v>8</v>
      </c>
      <c r="U212" s="453">
        <v>0.6</v>
      </c>
      <c r="V212" s="453">
        <v>0.7</v>
      </c>
      <c r="W212" s="453">
        <v>54.680000000000007</v>
      </c>
      <c r="X212" s="456">
        <v>55.039999999999992</v>
      </c>
      <c r="Y212" s="453">
        <v>36.1</v>
      </c>
      <c r="Z212" s="453">
        <v>20</v>
      </c>
      <c r="AA212" s="519">
        <v>36</v>
      </c>
      <c r="AB212" s="519">
        <v>20.059999999997672</v>
      </c>
      <c r="AC212" s="732">
        <f t="shared" si="3"/>
        <v>56.059999999997672</v>
      </c>
      <c r="AD212" s="664"/>
      <c r="AE212" s="664"/>
      <c r="AF212" s="664"/>
      <c r="AG212" s="664"/>
      <c r="AH212" s="664"/>
      <c r="AI212" s="664"/>
      <c r="AJ212" s="485"/>
      <c r="AK212" s="485"/>
      <c r="AL212" s="485"/>
      <c r="AM212" s="485"/>
      <c r="AN212" s="485"/>
      <c r="AO212" s="665"/>
      <c r="AP212" s="485"/>
      <c r="AQ212" s="483"/>
      <c r="AR212" s="755">
        <v>0</v>
      </c>
      <c r="AS212" s="483">
        <v>34.799999999999997</v>
      </c>
      <c r="AT212" s="755">
        <v>0</v>
      </c>
      <c r="AU212" s="483">
        <v>37.4</v>
      </c>
      <c r="AV212" s="484">
        <v>701</v>
      </c>
      <c r="AW212" s="484">
        <v>776.3</v>
      </c>
      <c r="AX212" s="453">
        <v>20.7</v>
      </c>
      <c r="AY212" s="734">
        <v>0</v>
      </c>
      <c r="AZ212" s="734">
        <v>0</v>
      </c>
      <c r="BA212" s="734">
        <v>0</v>
      </c>
      <c r="BB212" s="453">
        <v>0</v>
      </c>
      <c r="BC212" s="453">
        <v>0.5</v>
      </c>
      <c r="BD212" s="453">
        <v>1.52</v>
      </c>
      <c r="BE212" s="734">
        <v>0</v>
      </c>
      <c r="BF212" s="453">
        <v>0.52</v>
      </c>
      <c r="BG212" s="453">
        <v>0</v>
      </c>
      <c r="BH212" s="734">
        <v>0</v>
      </c>
      <c r="BI212" s="453">
        <v>1.58</v>
      </c>
      <c r="BJ212" s="453">
        <v>15.8</v>
      </c>
      <c r="BK212" s="453">
        <v>4.07</v>
      </c>
      <c r="BL212" s="453">
        <v>5.47</v>
      </c>
      <c r="BM212" s="453">
        <v>0</v>
      </c>
      <c r="BN212" s="453">
        <v>6.3</v>
      </c>
      <c r="BO212" s="453">
        <v>2019.1</v>
      </c>
      <c r="BP212" s="453">
        <v>0</v>
      </c>
      <c r="BQ212" s="453">
        <v>20.5</v>
      </c>
      <c r="BR212" s="453">
        <v>20.399999999999999</v>
      </c>
      <c r="BS212" s="453">
        <v>0</v>
      </c>
      <c r="BT212" s="453">
        <v>34</v>
      </c>
      <c r="BU212" s="453">
        <v>31.2</v>
      </c>
      <c r="BV212" s="456">
        <v>662.3</v>
      </c>
      <c r="BW212" s="453">
        <v>3.07</v>
      </c>
      <c r="BX212" s="453">
        <v>1.28</v>
      </c>
      <c r="BY212" s="456">
        <v>1.1000000000000001</v>
      </c>
      <c r="BZ212" s="456">
        <v>17.72</v>
      </c>
      <c r="CA212" s="456">
        <v>33.9</v>
      </c>
      <c r="CB212" s="456">
        <v>18.97</v>
      </c>
      <c r="CC212" s="456">
        <v>9.5</v>
      </c>
      <c r="CD212" s="456">
        <v>13.75</v>
      </c>
      <c r="CE212" s="456">
        <v>17.7</v>
      </c>
      <c r="CF212" s="456">
        <v>13.1</v>
      </c>
      <c r="CG212" s="456">
        <v>0</v>
      </c>
      <c r="CH212" s="456">
        <v>4.0999999999999996</v>
      </c>
      <c r="CI212" s="456">
        <v>6</v>
      </c>
      <c r="CJ212" s="456">
        <v>458.4</v>
      </c>
      <c r="CK212" s="456">
        <v>716</v>
      </c>
      <c r="CL212" s="456">
        <v>640.29999999999995</v>
      </c>
      <c r="CM212" s="456">
        <v>5.4</v>
      </c>
      <c r="CN212" s="456">
        <v>1.1399999999999999</v>
      </c>
      <c r="CO212" s="453">
        <v>7627.5</v>
      </c>
      <c r="CP212" s="453">
        <v>10.99</v>
      </c>
      <c r="CQ212" s="453">
        <v>55</v>
      </c>
      <c r="CR212" s="456">
        <v>0</v>
      </c>
      <c r="CS212" s="456">
        <v>0</v>
      </c>
      <c r="CT212" s="456">
        <v>0</v>
      </c>
      <c r="CU212" s="456">
        <v>0</v>
      </c>
      <c r="CV212" s="481">
        <v>659</v>
      </c>
      <c r="CW212" s="481">
        <v>874.8125</v>
      </c>
      <c r="CX212" s="481">
        <v>566.52083333333337</v>
      </c>
      <c r="CY212" s="481">
        <v>1162.9000000000001</v>
      </c>
      <c r="CZ212" s="456"/>
      <c r="DA212" s="456"/>
      <c r="DB212" s="456"/>
      <c r="DC212" s="456"/>
      <c r="DD212" s="456"/>
      <c r="DE212" s="456"/>
      <c r="DF212" s="456"/>
      <c r="DG212" s="425"/>
      <c r="DH212" s="456">
        <v>49</v>
      </c>
      <c r="DI212" s="456">
        <v>0.22</v>
      </c>
      <c r="DJ212" s="456">
        <v>0</v>
      </c>
      <c r="DK212" s="425"/>
      <c r="DL212" s="456"/>
      <c r="DM212" s="456"/>
      <c r="DN212" s="456"/>
      <c r="DO212" s="456"/>
      <c r="DP212" s="456"/>
      <c r="DQ212" s="456"/>
      <c r="DR212" s="456"/>
      <c r="DS212" s="456"/>
      <c r="DT212" s="456"/>
      <c r="DU212" s="456"/>
      <c r="DV212" s="456"/>
      <c r="DW212" s="456"/>
      <c r="DX212" s="456"/>
      <c r="DY212" s="456"/>
      <c r="DZ212" s="456"/>
      <c r="EA212" s="456"/>
      <c r="EB212" s="456"/>
      <c r="EC212" s="456"/>
      <c r="ED212" s="423">
        <v>0</v>
      </c>
      <c r="EE212" s="456">
        <v>2</v>
      </c>
      <c r="EF212" s="456">
        <v>2.5</v>
      </c>
      <c r="EG212" s="456">
        <v>9.5</v>
      </c>
      <c r="EH212" s="423">
        <v>0</v>
      </c>
      <c r="EI212" s="456"/>
      <c r="EJ212" s="456"/>
      <c r="EK212" s="456"/>
      <c r="EL212" s="456"/>
      <c r="EM212" s="456"/>
      <c r="EN212" s="456"/>
      <c r="EO212" s="425"/>
      <c r="EP212" s="425"/>
      <c r="EQ212" s="425" t="s">
        <v>743</v>
      </c>
      <c r="ER212" s="425">
        <v>1</v>
      </c>
      <c r="ES212" s="425">
        <v>2</v>
      </c>
      <c r="ET212" s="425">
        <v>380</v>
      </c>
      <c r="EU212" s="457">
        <v>3940</v>
      </c>
      <c r="EV212" s="425">
        <v>310</v>
      </c>
      <c r="EW212" s="425">
        <v>7062808</v>
      </c>
      <c r="EX212" s="425">
        <v>92652</v>
      </c>
      <c r="EY212" s="666">
        <v>20.100000000000001</v>
      </c>
      <c r="EZ212" s="666">
        <v>20.02</v>
      </c>
      <c r="FA212" s="666">
        <v>0</v>
      </c>
      <c r="FB212" s="666">
        <v>1.26</v>
      </c>
      <c r="FC212" s="666">
        <v>1.3</v>
      </c>
      <c r="FD212" s="666">
        <v>1.1299999999999999</v>
      </c>
      <c r="FE212" s="666">
        <v>1.19</v>
      </c>
      <c r="FF212" s="666">
        <v>220</v>
      </c>
      <c r="FG212" s="666">
        <v>0.82</v>
      </c>
      <c r="FH212" s="666">
        <v>0.42</v>
      </c>
      <c r="FI212" s="666">
        <v>0.8</v>
      </c>
      <c r="FJ212" s="666">
        <v>7.3</v>
      </c>
      <c r="FK212" s="666">
        <v>7.5</v>
      </c>
      <c r="FL212" s="666">
        <v>7.76</v>
      </c>
      <c r="FM212" s="666">
        <v>7.4</v>
      </c>
      <c r="FN212" s="666">
        <v>0</v>
      </c>
    </row>
    <row r="213" spans="1:170" s="416" customFormat="1" ht="15">
      <c r="A213" s="425" t="s">
        <v>4</v>
      </c>
      <c r="B213" s="426">
        <v>40742</v>
      </c>
      <c r="C213" s="418">
        <v>0</v>
      </c>
      <c r="D213" s="518">
        <v>0</v>
      </c>
      <c r="E213" s="453">
        <v>0</v>
      </c>
      <c r="F213" s="453">
        <v>54</v>
      </c>
      <c r="G213" s="453">
        <v>0.85</v>
      </c>
      <c r="H213" s="519">
        <v>1.18</v>
      </c>
      <c r="I213" s="519">
        <v>93.4</v>
      </c>
      <c r="J213" s="483">
        <v>1.48</v>
      </c>
      <c r="K213" s="520">
        <v>0.76</v>
      </c>
      <c r="L213" s="453">
        <v>0</v>
      </c>
      <c r="M213" s="453">
        <v>19.600000000000001</v>
      </c>
      <c r="N213" s="453">
        <v>1.67</v>
      </c>
      <c r="O213" s="453">
        <v>2.0774226035548642</v>
      </c>
      <c r="P213" s="453">
        <v>1.67</v>
      </c>
      <c r="Q213" s="453">
        <v>2.0965725143589005</v>
      </c>
      <c r="R213" s="453">
        <v>1053.3386948480845</v>
      </c>
      <c r="S213" s="453">
        <v>7.95</v>
      </c>
      <c r="T213" s="453">
        <v>8.0500000000000007</v>
      </c>
      <c r="U213" s="453">
        <v>0.64</v>
      </c>
      <c r="V213" s="453">
        <v>0.68</v>
      </c>
      <c r="W213" s="453">
        <v>52.34</v>
      </c>
      <c r="X213" s="456">
        <v>52.34</v>
      </c>
      <c r="Y213" s="453">
        <v>35.9</v>
      </c>
      <c r="Z213" s="453">
        <v>19.899999999999999</v>
      </c>
      <c r="AA213" s="519">
        <v>40.19999999999709</v>
      </c>
      <c r="AB213" s="519">
        <v>20.040000000000873</v>
      </c>
      <c r="AC213" s="732">
        <f t="shared" si="3"/>
        <v>60.239999999997963</v>
      </c>
      <c r="AD213" s="664"/>
      <c r="AE213" s="664"/>
      <c r="AF213" s="664"/>
      <c r="AG213" s="664"/>
      <c r="AH213" s="664"/>
      <c r="AI213" s="664"/>
      <c r="AJ213" s="485"/>
      <c r="AK213" s="485"/>
      <c r="AL213" s="485"/>
      <c r="AM213" s="485"/>
      <c r="AN213" s="485"/>
      <c r="AO213" s="665"/>
      <c r="AP213" s="485"/>
      <c r="AQ213" s="483"/>
      <c r="AR213" s="755">
        <v>0</v>
      </c>
      <c r="AS213" s="483">
        <v>18.600000000000001</v>
      </c>
      <c r="AT213" s="755">
        <v>0</v>
      </c>
      <c r="AU213" s="483">
        <v>41.6</v>
      </c>
      <c r="AV213" s="484">
        <v>415.9</v>
      </c>
      <c r="AW213" s="484">
        <v>546.9</v>
      </c>
      <c r="AX213" s="453">
        <v>21.4</v>
      </c>
      <c r="AY213" s="734">
        <v>0</v>
      </c>
      <c r="AZ213" s="734">
        <v>0</v>
      </c>
      <c r="BA213" s="734">
        <v>0</v>
      </c>
      <c r="BB213" s="453">
        <v>0</v>
      </c>
      <c r="BC213" s="453">
        <v>0.51</v>
      </c>
      <c r="BD213" s="453">
        <v>1.52</v>
      </c>
      <c r="BE213" s="734">
        <v>0</v>
      </c>
      <c r="BF213" s="453">
        <v>0.53</v>
      </c>
      <c r="BG213" s="453">
        <v>0</v>
      </c>
      <c r="BH213" s="734">
        <v>0</v>
      </c>
      <c r="BI213" s="453">
        <v>1.5</v>
      </c>
      <c r="BJ213" s="453">
        <v>15.8</v>
      </c>
      <c r="BK213" s="453">
        <v>3.12</v>
      </c>
      <c r="BL213" s="453">
        <v>6.41</v>
      </c>
      <c r="BM213" s="453">
        <v>0</v>
      </c>
      <c r="BN213" s="453">
        <v>6.3</v>
      </c>
      <c r="BO213" s="453">
        <v>2353.1999999999998</v>
      </c>
      <c r="BP213" s="453">
        <v>0</v>
      </c>
      <c r="BQ213" s="453">
        <v>19.2</v>
      </c>
      <c r="BR213" s="453">
        <v>19.2</v>
      </c>
      <c r="BS213" s="453">
        <v>0</v>
      </c>
      <c r="BT213" s="453">
        <v>39.1</v>
      </c>
      <c r="BU213" s="453">
        <v>23.8</v>
      </c>
      <c r="BV213" s="456">
        <v>654.4</v>
      </c>
      <c r="BW213" s="453">
        <v>1.2</v>
      </c>
      <c r="BX213" s="453">
        <v>1.32</v>
      </c>
      <c r="BY213" s="456">
        <v>1.08</v>
      </c>
      <c r="BZ213" s="456">
        <v>16.100000000000001</v>
      </c>
      <c r="CA213" s="456">
        <v>34.9</v>
      </c>
      <c r="CB213" s="456">
        <v>18.64</v>
      </c>
      <c r="CC213" s="456">
        <v>10.47</v>
      </c>
      <c r="CD213" s="456">
        <v>14.6</v>
      </c>
      <c r="CE213" s="456">
        <v>18.920000000000002</v>
      </c>
      <c r="CF213" s="456">
        <v>12.76</v>
      </c>
      <c r="CG213" s="456">
        <v>0</v>
      </c>
      <c r="CH213" s="456">
        <v>2</v>
      </c>
      <c r="CI213" s="456">
        <v>4.3</v>
      </c>
      <c r="CJ213" s="456">
        <v>605.79999999999995</v>
      </c>
      <c r="CK213" s="456">
        <v>808.4</v>
      </c>
      <c r="CL213" s="456">
        <v>682.9</v>
      </c>
      <c r="CM213" s="456">
        <v>7.4</v>
      </c>
      <c r="CN213" s="456">
        <v>1.46</v>
      </c>
      <c r="CO213" s="453">
        <v>16378.2</v>
      </c>
      <c r="CP213" s="453">
        <v>10.62</v>
      </c>
      <c r="CQ213" s="453">
        <v>55</v>
      </c>
      <c r="CR213" s="456">
        <v>0</v>
      </c>
      <c r="CS213" s="456">
        <v>0</v>
      </c>
      <c r="CT213" s="456">
        <v>0</v>
      </c>
      <c r="CU213" s="456">
        <v>0</v>
      </c>
      <c r="CV213" s="481">
        <v>662.38888888888891</v>
      </c>
      <c r="CW213" s="481">
        <v>863.625</v>
      </c>
      <c r="CX213" s="481">
        <v>563.63541666666663</v>
      </c>
      <c r="CY213" s="481">
        <v>1162.54</v>
      </c>
      <c r="CZ213" s="456"/>
      <c r="DA213" s="456"/>
      <c r="DB213" s="456"/>
      <c r="DC213" s="456"/>
      <c r="DD213" s="456"/>
      <c r="DE213" s="456"/>
      <c r="DF213" s="456"/>
      <c r="DG213" s="425"/>
      <c r="DH213" s="456">
        <v>55</v>
      </c>
      <c r="DI213" s="456">
        <v>0.24</v>
      </c>
      <c r="DJ213" s="456">
        <v>0</v>
      </c>
      <c r="DK213" s="425"/>
      <c r="DL213" s="456"/>
      <c r="DM213" s="456"/>
      <c r="DN213" s="456"/>
      <c r="DO213" s="456"/>
      <c r="DP213" s="456"/>
      <c r="DQ213" s="456"/>
      <c r="DR213" s="456"/>
      <c r="DS213" s="456"/>
      <c r="DT213" s="456">
        <v>19</v>
      </c>
      <c r="DU213" s="764" t="s">
        <v>761</v>
      </c>
      <c r="DV213" s="456"/>
      <c r="DW213" s="456"/>
      <c r="DX213" s="456"/>
      <c r="DY213" s="456"/>
      <c r="DZ213" s="456"/>
      <c r="EA213" s="456"/>
      <c r="EB213" s="456"/>
      <c r="EC213" s="456"/>
      <c r="ED213" s="423">
        <v>0</v>
      </c>
      <c r="EE213" s="456">
        <v>2</v>
      </c>
      <c r="EF213" s="456">
        <v>2.5</v>
      </c>
      <c r="EG213" s="456">
        <v>9.5</v>
      </c>
      <c r="EH213" s="423">
        <v>0</v>
      </c>
      <c r="EI213" s="456"/>
      <c r="EJ213" s="456"/>
      <c r="EK213" s="456"/>
      <c r="EL213" s="456"/>
      <c r="EM213" s="456"/>
      <c r="EN213" s="456"/>
      <c r="EO213" s="425"/>
      <c r="EP213" s="425"/>
      <c r="EQ213" s="425" t="s">
        <v>743</v>
      </c>
      <c r="ER213" s="425">
        <v>1</v>
      </c>
      <c r="ES213" s="425">
        <v>2</v>
      </c>
      <c r="ET213" s="425">
        <v>180</v>
      </c>
      <c r="EU213" s="457">
        <v>3940</v>
      </c>
      <c r="EV213" s="425">
        <v>110</v>
      </c>
      <c r="EW213" s="425">
        <v>7065244</v>
      </c>
      <c r="EX213" s="425">
        <v>93978</v>
      </c>
      <c r="EY213" s="666">
        <v>18.75</v>
      </c>
      <c r="EZ213" s="666">
        <v>18.75</v>
      </c>
      <c r="FA213" s="666">
        <v>0</v>
      </c>
      <c r="FB213" s="666">
        <v>1.33</v>
      </c>
      <c r="FC213" s="666">
        <v>1.3</v>
      </c>
      <c r="FD213" s="666">
        <v>1.19</v>
      </c>
      <c r="FE213" s="666">
        <v>1.21</v>
      </c>
      <c r="FF213" s="666">
        <v>200</v>
      </c>
      <c r="FG213" s="666">
        <v>0.86</v>
      </c>
      <c r="FH213" s="666">
        <v>0.4</v>
      </c>
      <c r="FI213" s="666">
        <v>0.75</v>
      </c>
      <c r="FJ213" s="666">
        <v>8.0299999999999994</v>
      </c>
      <c r="FK213" s="666">
        <v>8.1</v>
      </c>
      <c r="FL213" s="666">
        <v>7.89</v>
      </c>
      <c r="FM213" s="666">
        <v>7.5</v>
      </c>
      <c r="FN213" s="666">
        <v>0</v>
      </c>
    </row>
    <row r="214" spans="1:170" s="416" customFormat="1" ht="15">
      <c r="A214" s="425" t="s">
        <v>5</v>
      </c>
      <c r="B214" s="426">
        <v>40743</v>
      </c>
      <c r="C214" s="418">
        <v>0</v>
      </c>
      <c r="D214" s="518">
        <v>0</v>
      </c>
      <c r="E214" s="453">
        <v>0</v>
      </c>
      <c r="F214" s="453">
        <v>55.7</v>
      </c>
      <c r="G214" s="453">
        <v>0.85</v>
      </c>
      <c r="H214" s="519">
        <v>1.21</v>
      </c>
      <c r="I214" s="519">
        <v>93.4</v>
      </c>
      <c r="J214" s="483">
        <v>0.76</v>
      </c>
      <c r="K214" s="520">
        <v>1.2</v>
      </c>
      <c r="L214" s="453">
        <v>0</v>
      </c>
      <c r="M214" s="453">
        <v>19.5</v>
      </c>
      <c r="N214" s="453">
        <v>1.67</v>
      </c>
      <c r="O214" s="453">
        <v>2.0657647502154877</v>
      </c>
      <c r="P214" s="453">
        <v>1.78</v>
      </c>
      <c r="Q214" s="453">
        <v>2.0899198242152193</v>
      </c>
      <c r="R214" s="453">
        <v>1056.9016486129456</v>
      </c>
      <c r="S214" s="453">
        <v>7.96</v>
      </c>
      <c r="T214" s="453">
        <v>8.1300000000000008</v>
      </c>
      <c r="U214" s="453">
        <v>0.63</v>
      </c>
      <c r="V214" s="453">
        <v>0.63</v>
      </c>
      <c r="W214" s="453">
        <v>52.34</v>
      </c>
      <c r="X214" s="456">
        <v>52.34</v>
      </c>
      <c r="Y214" s="453">
        <v>40.58</v>
      </c>
      <c r="Z214" s="453">
        <v>19.82</v>
      </c>
      <c r="AA214" s="519">
        <v>40.69999999999709</v>
      </c>
      <c r="AB214" s="519">
        <v>19.900000000001455</v>
      </c>
      <c r="AC214" s="732">
        <f t="shared" si="3"/>
        <v>60.599999999998545</v>
      </c>
      <c r="AD214" s="664"/>
      <c r="AE214" s="664"/>
      <c r="AF214" s="664"/>
      <c r="AG214" s="664"/>
      <c r="AH214" s="664"/>
      <c r="AI214" s="664"/>
      <c r="AJ214" s="485"/>
      <c r="AK214" s="485"/>
      <c r="AL214" s="485"/>
      <c r="AM214" s="485"/>
      <c r="AN214" s="485"/>
      <c r="AO214" s="665"/>
      <c r="AP214" s="485"/>
      <c r="AQ214" s="483"/>
      <c r="AR214" s="755">
        <v>0</v>
      </c>
      <c r="AS214" s="483">
        <v>35.6</v>
      </c>
      <c r="AT214" s="755">
        <v>0</v>
      </c>
      <c r="AU214" s="483">
        <v>42.4</v>
      </c>
      <c r="AV214" s="484">
        <v>558.79999999999995</v>
      </c>
      <c r="AW214" s="484">
        <v>645.6</v>
      </c>
      <c r="AX214" s="453">
        <v>22.6</v>
      </c>
      <c r="AY214" s="734">
        <v>0</v>
      </c>
      <c r="AZ214" s="734">
        <v>0</v>
      </c>
      <c r="BA214" s="734">
        <v>0</v>
      </c>
      <c r="BB214" s="453">
        <v>0</v>
      </c>
      <c r="BC214" s="453">
        <v>0.51</v>
      </c>
      <c r="BD214" s="453">
        <v>1.52</v>
      </c>
      <c r="BE214" s="734">
        <v>0</v>
      </c>
      <c r="BF214" s="453">
        <v>0.53</v>
      </c>
      <c r="BG214" s="453">
        <v>0</v>
      </c>
      <c r="BH214" s="734">
        <v>0</v>
      </c>
      <c r="BI214" s="453">
        <v>1.5</v>
      </c>
      <c r="BJ214" s="453">
        <v>15.8</v>
      </c>
      <c r="BK214" s="453">
        <v>3.83</v>
      </c>
      <c r="BL214" s="453">
        <v>5.7</v>
      </c>
      <c r="BM214" s="453">
        <v>0</v>
      </c>
      <c r="BN214" s="453">
        <v>6.3</v>
      </c>
      <c r="BO214" s="453">
        <v>1707.5</v>
      </c>
      <c r="BP214" s="453">
        <v>34.1</v>
      </c>
      <c r="BQ214" s="453">
        <v>19.100000000000001</v>
      </c>
      <c r="BR214" s="453">
        <v>19.04</v>
      </c>
      <c r="BS214" s="453">
        <v>0</v>
      </c>
      <c r="BT214" s="453">
        <v>39.4</v>
      </c>
      <c r="BU214" s="453">
        <v>28.7</v>
      </c>
      <c r="BV214" s="456">
        <v>628.20000000000005</v>
      </c>
      <c r="BW214" s="453">
        <v>2.4900000000000002</v>
      </c>
      <c r="BX214" s="453">
        <v>1.34</v>
      </c>
      <c r="BY214" s="456">
        <v>1.1000000000000001</v>
      </c>
      <c r="BZ214" s="456">
        <v>18.600000000000001</v>
      </c>
      <c r="CA214" s="456">
        <v>33.4</v>
      </c>
      <c r="CB214" s="456">
        <v>19</v>
      </c>
      <c r="CC214" s="456">
        <v>9.6</v>
      </c>
      <c r="CD214" s="456">
        <v>13.8</v>
      </c>
      <c r="CE214" s="456">
        <v>17.8</v>
      </c>
      <c r="CF214" s="456">
        <v>12.96</v>
      </c>
      <c r="CG214" s="456">
        <v>0</v>
      </c>
      <c r="CH214" s="456">
        <v>4.7</v>
      </c>
      <c r="CI214" s="456">
        <v>5.2</v>
      </c>
      <c r="CJ214" s="456">
        <v>516.9</v>
      </c>
      <c r="CK214" s="456">
        <v>665.4</v>
      </c>
      <c r="CL214" s="456">
        <v>682.9</v>
      </c>
      <c r="CM214" s="456">
        <v>6.7</v>
      </c>
      <c r="CN214" s="456">
        <v>1.38</v>
      </c>
      <c r="CO214" s="453">
        <v>8859.56</v>
      </c>
      <c r="CP214" s="453">
        <v>10.55</v>
      </c>
      <c r="CQ214" s="453">
        <v>55</v>
      </c>
      <c r="CR214" s="456">
        <v>0</v>
      </c>
      <c r="CS214" s="456">
        <v>0</v>
      </c>
      <c r="CT214" s="456">
        <v>0</v>
      </c>
      <c r="CU214" s="456">
        <v>0</v>
      </c>
      <c r="CV214" s="481">
        <v>693.77777777777783</v>
      </c>
      <c r="CW214" s="481">
        <v>876.5</v>
      </c>
      <c r="CX214" s="481">
        <v>586.26041666666663</v>
      </c>
      <c r="CY214" s="481">
        <v>1162.08</v>
      </c>
      <c r="CZ214" s="456"/>
      <c r="DA214" s="456"/>
      <c r="DB214" s="456"/>
      <c r="DC214" s="456"/>
      <c r="DD214" s="456"/>
      <c r="DE214" s="456"/>
      <c r="DF214" s="456"/>
      <c r="DG214" s="425"/>
      <c r="DH214" s="456">
        <v>55</v>
      </c>
      <c r="DI214" s="456">
        <v>0.19</v>
      </c>
      <c r="DJ214" s="456">
        <v>0</v>
      </c>
      <c r="DK214" s="425"/>
      <c r="DL214" s="456"/>
      <c r="DM214" s="456"/>
      <c r="DN214" s="456"/>
      <c r="DO214" s="456"/>
      <c r="DP214" s="456"/>
      <c r="DQ214" s="456"/>
      <c r="DR214" s="456"/>
      <c r="DS214" s="456"/>
      <c r="DT214" s="646">
        <v>11</v>
      </c>
      <c r="DU214" s="764" t="s">
        <v>761</v>
      </c>
      <c r="DV214" s="456"/>
      <c r="DW214" s="456"/>
      <c r="DX214" s="456"/>
      <c r="DY214" s="456"/>
      <c r="DZ214" s="456"/>
      <c r="EA214" s="456"/>
      <c r="EB214" s="456"/>
      <c r="EC214" s="456"/>
      <c r="ED214" s="423">
        <v>0</v>
      </c>
      <c r="EE214" s="456">
        <v>2</v>
      </c>
      <c r="EF214" s="456">
        <v>2.5</v>
      </c>
      <c r="EG214" s="456">
        <v>9.5</v>
      </c>
      <c r="EH214" s="423">
        <v>0</v>
      </c>
      <c r="EI214" s="456"/>
      <c r="EJ214" s="456"/>
      <c r="EK214" s="456"/>
      <c r="EL214" s="456"/>
      <c r="EM214" s="456"/>
      <c r="EN214" s="456"/>
      <c r="EO214" s="425"/>
      <c r="EP214" s="425"/>
      <c r="EQ214" s="425" t="s">
        <v>743</v>
      </c>
      <c r="ER214" s="425">
        <v>1</v>
      </c>
      <c r="ES214" s="425">
        <v>2</v>
      </c>
      <c r="ET214" s="425">
        <v>80</v>
      </c>
      <c r="EU214" s="457">
        <v>3740</v>
      </c>
      <c r="EV214" s="425">
        <v>300</v>
      </c>
      <c r="EW214" s="425">
        <v>7068387</v>
      </c>
      <c r="EX214" s="425">
        <v>93990</v>
      </c>
      <c r="EY214" s="666">
        <v>18.77</v>
      </c>
      <c r="EZ214" s="666">
        <v>18.75</v>
      </c>
      <c r="FA214" s="666">
        <v>0</v>
      </c>
      <c r="FB214" s="666">
        <v>1.39</v>
      </c>
      <c r="FC214" s="666">
        <v>1.35</v>
      </c>
      <c r="FD214" s="666">
        <v>1.21</v>
      </c>
      <c r="FE214" s="666">
        <v>1.22</v>
      </c>
      <c r="FF214" s="666">
        <v>300</v>
      </c>
      <c r="FG214" s="666">
        <v>0.81</v>
      </c>
      <c r="FH214" s="666">
        <v>0.42</v>
      </c>
      <c r="FI214" s="666">
        <v>0.75</v>
      </c>
      <c r="FJ214" s="666">
        <v>8.0500000000000007</v>
      </c>
      <c r="FK214" s="666">
        <v>7.9</v>
      </c>
      <c r="FL214" s="666">
        <v>7.77</v>
      </c>
      <c r="FM214" s="666">
        <v>7.5</v>
      </c>
      <c r="FN214" s="666">
        <v>0</v>
      </c>
    </row>
    <row r="215" spans="1:170" s="416" customFormat="1" ht="15">
      <c r="A215" s="425" t="s">
        <v>6</v>
      </c>
      <c r="B215" s="426">
        <v>40744</v>
      </c>
      <c r="C215" s="418">
        <v>0</v>
      </c>
      <c r="D215" s="518">
        <v>0</v>
      </c>
      <c r="E215" s="453">
        <v>0</v>
      </c>
      <c r="F215" s="453">
        <v>60</v>
      </c>
      <c r="G215" s="453">
        <v>0.85</v>
      </c>
      <c r="H215" s="519">
        <v>1.2</v>
      </c>
      <c r="I215" s="519">
        <v>94.7</v>
      </c>
      <c r="J215" s="483">
        <v>0.7</v>
      </c>
      <c r="K215" s="520">
        <v>0.8</v>
      </c>
      <c r="L215" s="453">
        <v>0</v>
      </c>
      <c r="M215" s="453">
        <v>19.5</v>
      </c>
      <c r="N215" s="453">
        <v>1.7</v>
      </c>
      <c r="O215" s="453">
        <v>2.0560480808056041</v>
      </c>
      <c r="P215" s="453">
        <v>1.7</v>
      </c>
      <c r="Q215" s="453">
        <v>2.0636053549945714</v>
      </c>
      <c r="R215" s="453">
        <v>1048.804026420079</v>
      </c>
      <c r="S215" s="453">
        <v>8</v>
      </c>
      <c r="T215" s="453">
        <v>8.1</v>
      </c>
      <c r="U215" s="453">
        <v>0.6</v>
      </c>
      <c r="V215" s="453">
        <v>0.7</v>
      </c>
      <c r="W215" s="453">
        <v>55.039999999999992</v>
      </c>
      <c r="X215" s="456">
        <v>55.22</v>
      </c>
      <c r="Y215" s="453">
        <v>40.869999999999997</v>
      </c>
      <c r="Z215" s="453">
        <v>20.309999999999999</v>
      </c>
      <c r="AA215" s="519">
        <v>40.69999999999709</v>
      </c>
      <c r="AB215" s="519">
        <v>19.900000000001455</v>
      </c>
      <c r="AC215" s="732">
        <f t="shared" si="3"/>
        <v>60.599999999998545</v>
      </c>
      <c r="AD215" s="664"/>
      <c r="AE215" s="664"/>
      <c r="AF215" s="664"/>
      <c r="AG215" s="664"/>
      <c r="AH215" s="664"/>
      <c r="AI215" s="664"/>
      <c r="AJ215" s="485"/>
      <c r="AK215" s="485"/>
      <c r="AL215" s="485"/>
      <c r="AM215" s="485"/>
      <c r="AN215" s="485"/>
      <c r="AO215" s="665"/>
      <c r="AP215" s="485"/>
      <c r="AQ215" s="483"/>
      <c r="AR215" s="755">
        <v>0</v>
      </c>
      <c r="AS215" s="483">
        <v>18.100000000000001</v>
      </c>
      <c r="AT215" s="755">
        <v>0</v>
      </c>
      <c r="AU215" s="483">
        <v>42.5</v>
      </c>
      <c r="AV215" s="484">
        <v>698.1</v>
      </c>
      <c r="AW215" s="484">
        <v>818.6</v>
      </c>
      <c r="AX215" s="453">
        <v>16.5</v>
      </c>
      <c r="AY215" s="734">
        <v>0</v>
      </c>
      <c r="AZ215" s="734">
        <v>0</v>
      </c>
      <c r="BA215" s="734">
        <v>0</v>
      </c>
      <c r="BB215" s="453">
        <v>0</v>
      </c>
      <c r="BC215" s="453">
        <v>0.5</v>
      </c>
      <c r="BD215" s="453">
        <v>1.52</v>
      </c>
      <c r="BE215" s="734">
        <v>0</v>
      </c>
      <c r="BF215" s="453">
        <v>0.53</v>
      </c>
      <c r="BG215" s="453">
        <v>0</v>
      </c>
      <c r="BH215" s="734">
        <v>0</v>
      </c>
      <c r="BI215" s="453">
        <v>1.5</v>
      </c>
      <c r="BJ215" s="453">
        <v>15.8</v>
      </c>
      <c r="BK215" s="453">
        <v>3.64</v>
      </c>
      <c r="BL215" s="453">
        <v>5.9</v>
      </c>
      <c r="BM215" s="453">
        <v>0</v>
      </c>
      <c r="BN215" s="453">
        <v>6.3</v>
      </c>
      <c r="BO215" s="453">
        <v>2439.4</v>
      </c>
      <c r="BP215" s="453">
        <v>0</v>
      </c>
      <c r="BQ215" s="453">
        <v>19.399999999999999</v>
      </c>
      <c r="BR215" s="453">
        <v>19.3</v>
      </c>
      <c r="BS215" s="453">
        <v>0</v>
      </c>
      <c r="BT215" s="453">
        <v>39.1</v>
      </c>
      <c r="BU215" s="453">
        <v>35.200000000000003</v>
      </c>
      <c r="BV215" s="456">
        <v>873.3</v>
      </c>
      <c r="BW215" s="453">
        <v>0.48</v>
      </c>
      <c r="BX215" s="453">
        <v>1.33</v>
      </c>
      <c r="BY215" s="456">
        <v>1.1000000000000001</v>
      </c>
      <c r="BZ215" s="456">
        <v>18.100000000000001</v>
      </c>
      <c r="CA215" s="456">
        <v>35.5</v>
      </c>
      <c r="CB215" s="456">
        <v>18.36</v>
      </c>
      <c r="CC215" s="456">
        <v>10.23</v>
      </c>
      <c r="CD215" s="456">
        <v>14.5</v>
      </c>
      <c r="CE215" s="456">
        <v>18.5</v>
      </c>
      <c r="CF215" s="456">
        <v>13.13</v>
      </c>
      <c r="CG215" s="456">
        <v>0</v>
      </c>
      <c r="CH215" s="456">
        <v>3.7</v>
      </c>
      <c r="CI215" s="456">
        <v>6.3</v>
      </c>
      <c r="CJ215" s="456">
        <v>847.1</v>
      </c>
      <c r="CK215" s="456">
        <v>846.9</v>
      </c>
      <c r="CL215" s="456">
        <v>721.6</v>
      </c>
      <c r="CM215" s="456">
        <v>3.6</v>
      </c>
      <c r="CN215" s="456">
        <v>1.1499999999999999</v>
      </c>
      <c r="CO215" s="453">
        <v>4659.8999999999996</v>
      </c>
      <c r="CP215" s="453">
        <v>8.56</v>
      </c>
      <c r="CQ215" s="453">
        <v>56</v>
      </c>
      <c r="CR215" s="456">
        <v>0</v>
      </c>
      <c r="CS215" s="456">
        <v>0</v>
      </c>
      <c r="CT215" s="456">
        <v>0</v>
      </c>
      <c r="CU215" s="456">
        <v>0</v>
      </c>
      <c r="CV215" s="481">
        <v>688.11111111111109</v>
      </c>
      <c r="CW215" s="481">
        <v>876.22916666666663</v>
      </c>
      <c r="CX215" s="481">
        <v>578.98958333333337</v>
      </c>
      <c r="CY215" s="481">
        <v>1161.6300000000001</v>
      </c>
      <c r="CZ215" s="481"/>
      <c r="DA215" s="456"/>
      <c r="DB215" s="456"/>
      <c r="DC215" s="456"/>
      <c r="DD215" s="456"/>
      <c r="DE215" s="456"/>
      <c r="DF215" s="456"/>
      <c r="DG215" s="425"/>
      <c r="DH215" s="456">
        <v>41</v>
      </c>
      <c r="DI215" s="456">
        <v>0.21</v>
      </c>
      <c r="DJ215" s="456">
        <v>0</v>
      </c>
      <c r="DK215" s="425"/>
      <c r="DL215" s="456"/>
      <c r="DM215" s="456"/>
      <c r="DN215" s="456"/>
      <c r="DO215" s="456"/>
      <c r="DP215" s="456"/>
      <c r="DQ215" s="456"/>
      <c r="DR215" s="456"/>
      <c r="DS215" s="456"/>
      <c r="DT215" s="456"/>
      <c r="DU215" s="456"/>
      <c r="DV215" s="456"/>
      <c r="DW215" s="456"/>
      <c r="DX215" s="456"/>
      <c r="DY215" s="456"/>
      <c r="DZ215" s="456"/>
      <c r="EA215" s="456"/>
      <c r="EB215" s="456"/>
      <c r="EC215" s="456"/>
      <c r="ED215" s="423">
        <v>0</v>
      </c>
      <c r="EE215" s="456">
        <v>2</v>
      </c>
      <c r="EF215" s="456">
        <v>2.5</v>
      </c>
      <c r="EG215" s="456">
        <v>9.5</v>
      </c>
      <c r="EH215" s="423">
        <v>0</v>
      </c>
      <c r="EI215" s="456"/>
      <c r="EJ215" s="456"/>
      <c r="EK215" s="456"/>
      <c r="EL215" s="456"/>
      <c r="EM215" s="456"/>
      <c r="EN215" s="456"/>
      <c r="EO215" s="425"/>
      <c r="EP215" s="425"/>
      <c r="EQ215" s="425" t="s">
        <v>743</v>
      </c>
      <c r="ER215" s="425">
        <v>1</v>
      </c>
      <c r="ES215" s="425">
        <v>8</v>
      </c>
      <c r="ET215" s="425">
        <v>4000</v>
      </c>
      <c r="EU215" s="457">
        <v>3460</v>
      </c>
      <c r="EV215" s="425">
        <v>270</v>
      </c>
      <c r="EW215" s="425">
        <v>7071974</v>
      </c>
      <c r="EX215" s="425">
        <v>94689</v>
      </c>
      <c r="EY215" s="666">
        <v>19.399999999999999</v>
      </c>
      <c r="EZ215" s="666">
        <v>19.399999999999999</v>
      </c>
      <c r="FA215" s="666">
        <v>0</v>
      </c>
      <c r="FB215" s="666">
        <v>1.36</v>
      </c>
      <c r="FC215" s="666">
        <v>1.32</v>
      </c>
      <c r="FD215" s="666">
        <v>1.21</v>
      </c>
      <c r="FE215" s="666">
        <v>1.18</v>
      </c>
      <c r="FF215" s="666">
        <v>280</v>
      </c>
      <c r="FG215" s="666">
        <v>0.75</v>
      </c>
      <c r="FH215" s="666">
        <v>0.41</v>
      </c>
      <c r="FI215" s="666">
        <v>0.77</v>
      </c>
      <c r="FJ215" s="666">
        <v>8.02</v>
      </c>
      <c r="FK215" s="666">
        <v>7.8</v>
      </c>
      <c r="FL215" s="666">
        <v>7.06</v>
      </c>
      <c r="FM215" s="666">
        <v>7.5</v>
      </c>
      <c r="FN215" s="666">
        <v>0</v>
      </c>
    </row>
    <row r="216" spans="1:170" s="416" customFormat="1" ht="15">
      <c r="A216" s="425" t="s">
        <v>7</v>
      </c>
      <c r="B216" s="426">
        <v>40745</v>
      </c>
      <c r="C216" s="418">
        <v>0</v>
      </c>
      <c r="D216" s="518">
        <v>0.31</v>
      </c>
      <c r="E216" s="453">
        <v>0</v>
      </c>
      <c r="F216" s="453">
        <v>53</v>
      </c>
      <c r="G216" s="453">
        <v>0.85</v>
      </c>
      <c r="H216" s="519">
        <v>1.4</v>
      </c>
      <c r="I216" s="519">
        <v>93.7</v>
      </c>
      <c r="J216" s="483">
        <v>1.1000000000000001</v>
      </c>
      <c r="K216" s="520">
        <v>1.2</v>
      </c>
      <c r="L216" s="453">
        <v>0</v>
      </c>
      <c r="M216" s="453">
        <v>19.399999999999999</v>
      </c>
      <c r="N216" s="453">
        <v>1.7</v>
      </c>
      <c r="O216" s="453">
        <v>2.0620849237152452</v>
      </c>
      <c r="P216" s="453">
        <v>1.7</v>
      </c>
      <c r="Q216" s="453">
        <v>2.0655375697471867</v>
      </c>
      <c r="R216" s="453">
        <v>1049.1279313077937</v>
      </c>
      <c r="S216" s="453">
        <v>8</v>
      </c>
      <c r="T216" s="453">
        <v>8</v>
      </c>
      <c r="U216" s="453">
        <v>0.6</v>
      </c>
      <c r="V216" s="453">
        <v>0.6</v>
      </c>
      <c r="W216" s="453">
        <v>55.22</v>
      </c>
      <c r="X216" s="456">
        <v>55.400000000000006</v>
      </c>
      <c r="Y216" s="453">
        <v>40.799999999999997</v>
      </c>
      <c r="Z216" s="453">
        <v>19.899999999999999</v>
      </c>
      <c r="AA216" s="519">
        <v>40.610000000000582</v>
      </c>
      <c r="AB216" s="519">
        <v>20</v>
      </c>
      <c r="AC216" s="732">
        <f t="shared" si="3"/>
        <v>60.610000000000582</v>
      </c>
      <c r="AD216" s="664"/>
      <c r="AE216" s="664"/>
      <c r="AF216" s="664"/>
      <c r="AG216" s="664"/>
      <c r="AH216" s="664"/>
      <c r="AI216" s="664"/>
      <c r="AJ216" s="485"/>
      <c r="AK216" s="485"/>
      <c r="AL216" s="485"/>
      <c r="AM216" s="485"/>
      <c r="AN216" s="485"/>
      <c r="AO216" s="665"/>
      <c r="AP216" s="485"/>
      <c r="AQ216" s="483"/>
      <c r="AR216" s="755">
        <v>0</v>
      </c>
      <c r="AS216" s="483">
        <v>18</v>
      </c>
      <c r="AT216" s="755">
        <v>0</v>
      </c>
      <c r="AU216" s="483">
        <v>42.5</v>
      </c>
      <c r="AV216" s="484">
        <v>369.2</v>
      </c>
      <c r="AW216" s="484">
        <v>391.5</v>
      </c>
      <c r="AX216" s="453">
        <v>10.9</v>
      </c>
      <c r="AY216" s="734">
        <v>0</v>
      </c>
      <c r="AZ216" s="734">
        <v>0</v>
      </c>
      <c r="BA216" s="734">
        <v>0</v>
      </c>
      <c r="BB216" s="453">
        <v>0</v>
      </c>
      <c r="BC216" s="453">
        <v>0.51</v>
      </c>
      <c r="BD216" s="453">
        <v>1.52</v>
      </c>
      <c r="BE216" s="734">
        <v>0</v>
      </c>
      <c r="BF216" s="453">
        <v>0.52</v>
      </c>
      <c r="BG216" s="453">
        <v>0</v>
      </c>
      <c r="BH216" s="734">
        <v>0</v>
      </c>
      <c r="BI216" s="453">
        <v>1.51</v>
      </c>
      <c r="BJ216" s="453">
        <v>15.8</v>
      </c>
      <c r="BK216" s="453">
        <v>4.0599999999999996</v>
      </c>
      <c r="BL216" s="453">
        <v>5.47</v>
      </c>
      <c r="BM216" s="453">
        <v>0</v>
      </c>
      <c r="BN216" s="453">
        <v>6.3</v>
      </c>
      <c r="BO216" s="453">
        <v>2246.8000000000002</v>
      </c>
      <c r="BP216" s="453">
        <v>0</v>
      </c>
      <c r="BQ216" s="453">
        <v>19.899999999999999</v>
      </c>
      <c r="BR216" s="453">
        <v>19.899999999999999</v>
      </c>
      <c r="BS216" s="453">
        <v>0</v>
      </c>
      <c r="BT216" s="453">
        <v>40</v>
      </c>
      <c r="BU216" s="453">
        <v>34.6</v>
      </c>
      <c r="BV216" s="456">
        <v>693.5</v>
      </c>
      <c r="BW216" s="453">
        <v>1.29</v>
      </c>
      <c r="BX216" s="453">
        <v>1.31</v>
      </c>
      <c r="BY216" s="456">
        <v>1.02</v>
      </c>
      <c r="BZ216" s="456">
        <v>18.3</v>
      </c>
      <c r="CA216" s="456">
        <v>33</v>
      </c>
      <c r="CB216" s="456">
        <v>17.88</v>
      </c>
      <c r="CC216" s="456">
        <v>10.6</v>
      </c>
      <c r="CD216" s="456">
        <v>14.8</v>
      </c>
      <c r="CE216" s="456">
        <v>18.899999999999999</v>
      </c>
      <c r="CF216" s="456">
        <v>13.14</v>
      </c>
      <c r="CG216" s="456">
        <v>0</v>
      </c>
      <c r="CH216" s="456">
        <v>4.5</v>
      </c>
      <c r="CI216" s="456">
        <v>7</v>
      </c>
      <c r="CJ216" s="456">
        <v>772.8</v>
      </c>
      <c r="CK216" s="456">
        <v>789.9</v>
      </c>
      <c r="CL216" s="456">
        <v>679.8</v>
      </c>
      <c r="CM216" s="456">
        <v>3.5</v>
      </c>
      <c r="CN216" s="456">
        <v>1.06</v>
      </c>
      <c r="CO216" s="453">
        <v>4333.53</v>
      </c>
      <c r="CP216" s="453">
        <v>9.1199999999999992</v>
      </c>
      <c r="CQ216" s="453">
        <v>55</v>
      </c>
      <c r="CR216" s="456">
        <v>0</v>
      </c>
      <c r="CS216" s="456">
        <v>0</v>
      </c>
      <c r="CT216" s="456">
        <v>0</v>
      </c>
      <c r="CU216" s="456">
        <v>0</v>
      </c>
      <c r="CV216" s="481">
        <v>692.54166666666663</v>
      </c>
      <c r="CW216" s="481">
        <v>867.39583333333337</v>
      </c>
      <c r="CX216" s="481">
        <v>586.45833333333337</v>
      </c>
      <c r="CY216" s="481">
        <v>1161.19</v>
      </c>
      <c r="CZ216" s="481"/>
      <c r="DA216" s="456"/>
      <c r="DB216" s="456"/>
      <c r="DC216" s="456"/>
      <c r="DD216" s="456"/>
      <c r="DE216" s="456"/>
      <c r="DF216" s="456"/>
      <c r="DG216" s="425"/>
      <c r="DH216" s="456">
        <v>55</v>
      </c>
      <c r="DI216" s="456">
        <v>0.43</v>
      </c>
      <c r="DJ216" s="456">
        <v>0</v>
      </c>
      <c r="DK216" s="425"/>
      <c r="DL216" s="456"/>
      <c r="DM216" s="456"/>
      <c r="DN216" s="456"/>
      <c r="DO216" s="456"/>
      <c r="DP216" s="456"/>
      <c r="DQ216" s="456"/>
      <c r="DR216" s="456"/>
      <c r="DS216" s="456"/>
      <c r="DT216" s="456"/>
      <c r="DU216" s="456"/>
      <c r="DV216" s="456"/>
      <c r="DW216" s="456"/>
      <c r="DX216" s="456"/>
      <c r="DY216" s="456"/>
      <c r="DZ216" s="456"/>
      <c r="EA216" s="456"/>
      <c r="EB216" s="456"/>
      <c r="EC216" s="456"/>
      <c r="ED216" s="423">
        <v>0</v>
      </c>
      <c r="EE216" s="456">
        <v>2</v>
      </c>
      <c r="EF216" s="456">
        <v>2.5</v>
      </c>
      <c r="EG216" s="456">
        <v>9.5</v>
      </c>
      <c r="EH216" s="423">
        <v>0</v>
      </c>
      <c r="EI216" s="456"/>
      <c r="EJ216" s="456"/>
      <c r="EK216" s="456"/>
      <c r="EL216" s="456"/>
      <c r="EM216" s="456"/>
      <c r="EN216" s="456"/>
      <c r="EO216" s="425"/>
      <c r="EP216" s="425"/>
      <c r="EQ216" s="425" t="s">
        <v>743</v>
      </c>
      <c r="ER216" s="425">
        <v>1</v>
      </c>
      <c r="ES216" s="425">
        <v>8</v>
      </c>
      <c r="ET216" s="425">
        <v>4000</v>
      </c>
      <c r="EU216" s="457">
        <v>3240</v>
      </c>
      <c r="EV216" s="425">
        <v>260</v>
      </c>
      <c r="EW216" s="425">
        <v>7075408</v>
      </c>
      <c r="EX216" s="425">
        <v>95380</v>
      </c>
      <c r="EY216" s="666">
        <v>19.5</v>
      </c>
      <c r="EZ216" s="666">
        <v>19.5</v>
      </c>
      <c r="FA216" s="666">
        <v>0</v>
      </c>
      <c r="FB216" s="666">
        <v>1.29</v>
      </c>
      <c r="FC216" s="666">
        <v>1.3</v>
      </c>
      <c r="FD216" s="666">
        <v>0.94</v>
      </c>
      <c r="FE216" s="666">
        <v>0.97</v>
      </c>
      <c r="FF216" s="666">
        <v>220</v>
      </c>
      <c r="FG216" s="666">
        <v>0.98</v>
      </c>
      <c r="FH216" s="666">
        <v>0.4</v>
      </c>
      <c r="FI216" s="666">
        <v>0.72</v>
      </c>
      <c r="FJ216" s="666">
        <v>8.0500000000000007</v>
      </c>
      <c r="FK216" s="666">
        <v>7.9</v>
      </c>
      <c r="FL216" s="666">
        <v>7.86</v>
      </c>
      <c r="FM216" s="666">
        <v>7.5</v>
      </c>
      <c r="FN216" s="666">
        <v>0</v>
      </c>
    </row>
    <row r="217" spans="1:170" s="416" customFormat="1" ht="15">
      <c r="A217" s="425" t="s">
        <v>8</v>
      </c>
      <c r="B217" s="426">
        <v>40746</v>
      </c>
      <c r="C217" s="418">
        <v>0</v>
      </c>
      <c r="D217" s="518">
        <v>0</v>
      </c>
      <c r="E217" s="453">
        <v>0</v>
      </c>
      <c r="F217" s="453">
        <v>53</v>
      </c>
      <c r="G217" s="453">
        <v>0.85</v>
      </c>
      <c r="H217" s="519">
        <v>1.57</v>
      </c>
      <c r="I217" s="519">
        <v>93.6</v>
      </c>
      <c r="J217" s="483">
        <v>1.1599999999999999</v>
      </c>
      <c r="K217" s="520">
        <v>1.26</v>
      </c>
      <c r="L217" s="453">
        <v>0.31999999999970896</v>
      </c>
      <c r="M217" s="453">
        <v>19.3</v>
      </c>
      <c r="N217" s="453">
        <v>1.64</v>
      </c>
      <c r="O217" s="453">
        <v>2.0662883328477997</v>
      </c>
      <c r="P217" s="453">
        <v>1.7</v>
      </c>
      <c r="Q217" s="453">
        <v>2.0630027335629535</v>
      </c>
      <c r="R217" s="453">
        <v>1054.9582192866576</v>
      </c>
      <c r="S217" s="453">
        <v>7.95</v>
      </c>
      <c r="T217" s="453">
        <v>8.0399999999999991</v>
      </c>
      <c r="U217" s="453">
        <v>0.63</v>
      </c>
      <c r="V217" s="453">
        <v>0.64</v>
      </c>
      <c r="W217" s="453">
        <v>54.5</v>
      </c>
      <c r="X217" s="646">
        <v>54.5</v>
      </c>
      <c r="Y217" s="453">
        <v>41</v>
      </c>
      <c r="Z217" s="453">
        <v>19.899999999999999</v>
      </c>
      <c r="AA217" s="519">
        <v>40.889999999999418</v>
      </c>
      <c r="AB217" s="519">
        <v>20</v>
      </c>
      <c r="AC217" s="732">
        <f t="shared" si="3"/>
        <v>60.889999999999418</v>
      </c>
      <c r="AD217" s="664"/>
      <c r="AE217" s="664"/>
      <c r="AF217" s="664"/>
      <c r="AG217" s="664"/>
      <c r="AH217" s="664"/>
      <c r="AI217" s="664"/>
      <c r="AJ217" s="485"/>
      <c r="AK217" s="485"/>
      <c r="AL217" s="485"/>
      <c r="AM217" s="485"/>
      <c r="AN217" s="485"/>
      <c r="AO217" s="665"/>
      <c r="AP217" s="485"/>
      <c r="AQ217" s="483"/>
      <c r="AR217" s="755">
        <v>0</v>
      </c>
      <c r="AS217" s="483">
        <v>35.4</v>
      </c>
      <c r="AT217" s="755">
        <v>0</v>
      </c>
      <c r="AU217" s="483">
        <v>42.5</v>
      </c>
      <c r="AV217" s="484">
        <v>672</v>
      </c>
      <c r="AW217" s="484">
        <v>1286</v>
      </c>
      <c r="AX217" s="453">
        <v>25.4</v>
      </c>
      <c r="AY217" s="734">
        <v>0</v>
      </c>
      <c r="AZ217" s="734">
        <v>0</v>
      </c>
      <c r="BA217" s="734">
        <v>0</v>
      </c>
      <c r="BB217" s="453">
        <v>0</v>
      </c>
      <c r="BC217" s="453">
        <v>0.5</v>
      </c>
      <c r="BD217" s="453">
        <v>1.84</v>
      </c>
      <c r="BE217" s="734">
        <v>0</v>
      </c>
      <c r="BF217" s="453">
        <v>0.52</v>
      </c>
      <c r="BG217" s="453">
        <v>0</v>
      </c>
      <c r="BH217" s="734">
        <v>0</v>
      </c>
      <c r="BI217" s="453">
        <v>1.5</v>
      </c>
      <c r="BJ217" s="453">
        <v>15.5</v>
      </c>
      <c r="BK217" s="453">
        <v>4.5599999999999996</v>
      </c>
      <c r="BL217" s="453">
        <v>5.36</v>
      </c>
      <c r="BM217" s="453">
        <v>0</v>
      </c>
      <c r="BN217" s="453">
        <v>5.6</v>
      </c>
      <c r="BO217" s="453">
        <v>2622</v>
      </c>
      <c r="BP217" s="453">
        <v>0</v>
      </c>
      <c r="BQ217" s="453">
        <v>18.899999999999999</v>
      </c>
      <c r="BR217" s="453">
        <v>18.829999999999998</v>
      </c>
      <c r="BS217" s="453">
        <v>0</v>
      </c>
      <c r="BT217" s="453">
        <v>38.700000000000003</v>
      </c>
      <c r="BU217" s="453">
        <v>41.9</v>
      </c>
      <c r="BV217" s="456">
        <v>852.5</v>
      </c>
      <c r="BW217" s="453">
        <v>2.92</v>
      </c>
      <c r="BX217" s="453">
        <v>1.3</v>
      </c>
      <c r="BY217" s="456">
        <v>0.9</v>
      </c>
      <c r="BZ217" s="456">
        <v>18.3</v>
      </c>
      <c r="CA217" s="456">
        <v>32.6</v>
      </c>
      <c r="CB217" s="456">
        <v>17.75</v>
      </c>
      <c r="CC217" s="456">
        <v>10.3</v>
      </c>
      <c r="CD217" s="456">
        <v>14.57</v>
      </c>
      <c r="CE217" s="456">
        <v>18.7</v>
      </c>
      <c r="CF217" s="456">
        <v>13.17</v>
      </c>
      <c r="CG217" s="456">
        <v>0</v>
      </c>
      <c r="CH217" s="456">
        <v>4.8</v>
      </c>
      <c r="CI217" s="456">
        <v>7.8</v>
      </c>
      <c r="CJ217" s="456">
        <v>1095.5</v>
      </c>
      <c r="CK217" s="456">
        <v>963.3</v>
      </c>
      <c r="CL217" s="456">
        <v>736</v>
      </c>
      <c r="CM217" s="456">
        <v>3.3</v>
      </c>
      <c r="CN217" s="456">
        <v>0.99</v>
      </c>
      <c r="CO217" s="453">
        <v>4162.8999999999996</v>
      </c>
      <c r="CP217" s="453">
        <v>9.7100000000000009</v>
      </c>
      <c r="CQ217" s="453">
        <v>56</v>
      </c>
      <c r="CR217" s="456">
        <v>0</v>
      </c>
      <c r="CS217" s="456">
        <v>0</v>
      </c>
      <c r="CT217" s="456">
        <v>0</v>
      </c>
      <c r="CU217" s="456">
        <v>0</v>
      </c>
      <c r="CV217" s="481">
        <v>697.66666666666663</v>
      </c>
      <c r="CW217" s="481">
        <v>874</v>
      </c>
      <c r="CX217" s="481">
        <v>588.89583333333337</v>
      </c>
      <c r="CY217" s="481">
        <v>1160.69</v>
      </c>
      <c r="CZ217" s="481"/>
      <c r="DA217" s="456"/>
      <c r="DB217" s="456"/>
      <c r="DC217" s="456"/>
      <c r="DD217" s="456"/>
      <c r="DE217" s="456"/>
      <c r="DF217" s="456"/>
      <c r="DG217" s="425"/>
      <c r="DH217" s="456">
        <v>37</v>
      </c>
      <c r="DI217" s="456">
        <v>0.27</v>
      </c>
      <c r="DJ217" s="456">
        <v>0</v>
      </c>
      <c r="DK217" s="425"/>
      <c r="DL217" s="456"/>
      <c r="DM217" s="456"/>
      <c r="DN217" s="456"/>
      <c r="DO217" s="456"/>
      <c r="DP217" s="456"/>
      <c r="DQ217" s="456"/>
      <c r="DR217" s="456"/>
      <c r="DS217" s="456"/>
      <c r="DT217" s="456"/>
      <c r="DU217" s="456"/>
      <c r="DV217" s="456"/>
      <c r="DW217" s="456"/>
      <c r="DX217" s="456"/>
      <c r="DY217" s="456"/>
      <c r="DZ217" s="456"/>
      <c r="EA217" s="456"/>
      <c r="EB217" s="456"/>
      <c r="EC217" s="456"/>
      <c r="ED217" s="423">
        <v>0</v>
      </c>
      <c r="EE217" s="456">
        <v>2</v>
      </c>
      <c r="EF217" s="456">
        <v>3</v>
      </c>
      <c r="EG217" s="456">
        <v>10</v>
      </c>
      <c r="EH217" s="423">
        <v>0</v>
      </c>
      <c r="EI217" s="456"/>
      <c r="EJ217" s="456"/>
      <c r="EK217" s="456"/>
      <c r="EL217" s="456"/>
      <c r="EM217" s="456"/>
      <c r="EN217" s="456"/>
      <c r="EO217" s="425"/>
      <c r="EP217" s="425"/>
      <c r="EQ217" s="425" t="s">
        <v>743</v>
      </c>
      <c r="ER217" s="425">
        <v>2</v>
      </c>
      <c r="ES217" s="425">
        <v>8</v>
      </c>
      <c r="ET217" s="425">
        <v>4000</v>
      </c>
      <c r="EU217" s="457">
        <v>2970</v>
      </c>
      <c r="EV217" s="425">
        <v>250</v>
      </c>
      <c r="EW217" s="425">
        <v>7079614</v>
      </c>
      <c r="EX217" s="425">
        <v>96077</v>
      </c>
      <c r="EY217" s="666">
        <v>18.8</v>
      </c>
      <c r="EZ217" s="666">
        <v>18.8</v>
      </c>
      <c r="FA217" s="666">
        <v>0</v>
      </c>
      <c r="FB217" s="666">
        <v>1.3</v>
      </c>
      <c r="FC217" s="666">
        <v>1.3</v>
      </c>
      <c r="FD217" s="666">
        <v>0.93</v>
      </c>
      <c r="FE217" s="666">
        <v>0.95</v>
      </c>
      <c r="FF217" s="666">
        <v>270</v>
      </c>
      <c r="FG217" s="666">
        <v>0.95</v>
      </c>
      <c r="FH217" s="666">
        <v>0.42</v>
      </c>
      <c r="FI217" s="666">
        <v>0.75</v>
      </c>
      <c r="FJ217" s="666">
        <v>8.1300000000000008</v>
      </c>
      <c r="FK217" s="666">
        <v>8.1</v>
      </c>
      <c r="FL217" s="666">
        <v>7.89</v>
      </c>
      <c r="FM217" s="666">
        <v>7.6</v>
      </c>
      <c r="FN217" s="666">
        <v>0</v>
      </c>
    </row>
    <row r="218" spans="1:170" s="416" customFormat="1" ht="15">
      <c r="A218" s="425" t="s">
        <v>9</v>
      </c>
      <c r="B218" s="426">
        <v>40747</v>
      </c>
      <c r="C218" s="418">
        <v>0</v>
      </c>
      <c r="D218" s="518">
        <v>0</v>
      </c>
      <c r="E218" s="453">
        <v>0</v>
      </c>
      <c r="F218" s="453">
        <v>57</v>
      </c>
      <c r="G218" s="453">
        <v>0.85</v>
      </c>
      <c r="H218" s="519">
        <v>1.06</v>
      </c>
      <c r="I218" s="519">
        <v>93.7</v>
      </c>
      <c r="J218" s="483">
        <v>0.66</v>
      </c>
      <c r="K218" s="520">
        <v>0.7</v>
      </c>
      <c r="L218" s="453">
        <v>0</v>
      </c>
      <c r="M218" s="453">
        <v>19.2</v>
      </c>
      <c r="N218" s="453">
        <v>1.66</v>
      </c>
      <c r="O218" s="453">
        <v>2.0603761220732775</v>
      </c>
      <c r="P218" s="453">
        <v>1.65</v>
      </c>
      <c r="Q218" s="453">
        <v>2.0667804013460778</v>
      </c>
      <c r="R218" s="453">
        <v>1041.3542140026418</v>
      </c>
      <c r="S218" s="453">
        <v>7.93</v>
      </c>
      <c r="T218" s="453">
        <v>8.0399999999999991</v>
      </c>
      <c r="U218" s="453">
        <v>0.62</v>
      </c>
      <c r="V218" s="453">
        <v>0.62</v>
      </c>
      <c r="W218" s="453">
        <v>55.400000000000006</v>
      </c>
      <c r="X218" s="456">
        <v>55.400000000000006</v>
      </c>
      <c r="Y218" s="453">
        <v>40.880000000000003</v>
      </c>
      <c r="Z218" s="453">
        <v>20.12</v>
      </c>
      <c r="AA218" s="519">
        <v>40.389999999999418</v>
      </c>
      <c r="AB218" s="519">
        <v>19.799999999995634</v>
      </c>
      <c r="AC218" s="732">
        <f t="shared" si="3"/>
        <v>60.189999999995052</v>
      </c>
      <c r="AD218" s="664"/>
      <c r="AE218" s="664"/>
      <c r="AF218" s="664"/>
      <c r="AG218" s="664"/>
      <c r="AH218" s="664"/>
      <c r="AI218" s="664"/>
      <c r="AJ218" s="485"/>
      <c r="AK218" s="485"/>
      <c r="AL218" s="485"/>
      <c r="AM218" s="485"/>
      <c r="AN218" s="485"/>
      <c r="AO218" s="665"/>
      <c r="AP218" s="485"/>
      <c r="AQ218" s="483"/>
      <c r="AR218" s="755">
        <v>0</v>
      </c>
      <c r="AS218" s="483">
        <v>38.1</v>
      </c>
      <c r="AT218" s="755">
        <v>0</v>
      </c>
      <c r="AU218" s="483">
        <v>42.4</v>
      </c>
      <c r="AV218" s="484">
        <v>698.6</v>
      </c>
      <c r="AW218" s="484">
        <v>777.5</v>
      </c>
      <c r="AX218" s="453">
        <v>39.1</v>
      </c>
      <c r="AY218" s="734">
        <v>0</v>
      </c>
      <c r="AZ218" s="734">
        <v>0</v>
      </c>
      <c r="BA218" s="734">
        <v>0</v>
      </c>
      <c r="BB218" s="453">
        <v>0</v>
      </c>
      <c r="BC218" s="453">
        <v>0.6</v>
      </c>
      <c r="BD218" s="453">
        <v>1.92</v>
      </c>
      <c r="BE218" s="734">
        <v>0</v>
      </c>
      <c r="BF218" s="453">
        <v>0.53</v>
      </c>
      <c r="BG218" s="453">
        <v>0</v>
      </c>
      <c r="BH218" s="734">
        <v>0</v>
      </c>
      <c r="BI218" s="453">
        <v>1.51</v>
      </c>
      <c r="BJ218" s="453">
        <v>15.3</v>
      </c>
      <c r="BK218" s="453">
        <v>4.62</v>
      </c>
      <c r="BL218" s="453">
        <v>5.42</v>
      </c>
      <c r="BM218" s="453">
        <v>0</v>
      </c>
      <c r="BN218" s="453">
        <v>5.3</v>
      </c>
      <c r="BO218" s="453">
        <v>2937</v>
      </c>
      <c r="BP218" s="453">
        <v>0</v>
      </c>
      <c r="BQ218" s="453">
        <v>18.399999999999999</v>
      </c>
      <c r="BR218" s="453">
        <v>18.399999999999999</v>
      </c>
      <c r="BS218" s="453">
        <v>0</v>
      </c>
      <c r="BT218" s="453">
        <v>39.1</v>
      </c>
      <c r="BU218" s="453">
        <v>39.1</v>
      </c>
      <c r="BV218" s="456">
        <v>943.9</v>
      </c>
      <c r="BW218" s="453">
        <v>0.43</v>
      </c>
      <c r="BX218" s="453">
        <v>1.32</v>
      </c>
      <c r="BY218" s="456">
        <v>0.9</v>
      </c>
      <c r="BZ218" s="456">
        <v>17.2</v>
      </c>
      <c r="CA218" s="456">
        <v>33.1</v>
      </c>
      <c r="CB218" s="456">
        <v>17.670000000000002</v>
      </c>
      <c r="CC218" s="456">
        <v>10.53</v>
      </c>
      <c r="CD218" s="456">
        <v>14.8</v>
      </c>
      <c r="CE218" s="456">
        <v>18.829999999999998</v>
      </c>
      <c r="CF218" s="456">
        <v>13.72</v>
      </c>
      <c r="CG218" s="456">
        <v>0</v>
      </c>
      <c r="CH218" s="456">
        <v>2.2000000000000002</v>
      </c>
      <c r="CI218" s="456">
        <v>4.0999999999999996</v>
      </c>
      <c r="CJ218" s="456">
        <v>1114.2</v>
      </c>
      <c r="CK218" s="456">
        <v>1046.8</v>
      </c>
      <c r="CL218" s="456">
        <v>714.5</v>
      </c>
      <c r="CM218" s="456">
        <v>7.4</v>
      </c>
      <c r="CN218" s="456">
        <v>1.32</v>
      </c>
      <c r="CO218" s="453">
        <v>7445.7</v>
      </c>
      <c r="CP218" s="453">
        <v>10.55</v>
      </c>
      <c r="CQ218" s="453">
        <v>56</v>
      </c>
      <c r="CR218" s="456">
        <v>0</v>
      </c>
      <c r="CS218" s="456">
        <v>0</v>
      </c>
      <c r="CT218" s="456">
        <v>0</v>
      </c>
      <c r="CU218" s="456">
        <v>0</v>
      </c>
      <c r="CV218" s="481">
        <v>698</v>
      </c>
      <c r="CW218" s="481">
        <v>867.125</v>
      </c>
      <c r="CX218" s="481">
        <v>584.625</v>
      </c>
      <c r="CY218" s="481">
        <v>1160.1500000000001</v>
      </c>
      <c r="CZ218" s="481"/>
      <c r="DA218" s="456"/>
      <c r="DB218" s="456"/>
      <c r="DC218" s="456"/>
      <c r="DD218" s="456"/>
      <c r="DE218" s="456"/>
      <c r="DF218" s="456"/>
      <c r="DG218" s="425"/>
      <c r="DH218" s="456">
        <v>85.8</v>
      </c>
      <c r="DI218" s="456">
        <v>0.28999999999999998</v>
      </c>
      <c r="DJ218" s="456">
        <v>0</v>
      </c>
      <c r="DK218" s="425"/>
      <c r="DL218" s="456"/>
      <c r="DM218" s="456"/>
      <c r="DN218" s="456"/>
      <c r="DO218" s="456"/>
      <c r="DP218" s="456"/>
      <c r="DQ218" s="456"/>
      <c r="DR218" s="456"/>
      <c r="DS218" s="456"/>
      <c r="DT218" s="456"/>
      <c r="DU218" s="456"/>
      <c r="DV218" s="456"/>
      <c r="DW218" s="456"/>
      <c r="DX218" s="456"/>
      <c r="DY218" s="456"/>
      <c r="DZ218" s="456"/>
      <c r="EA218" s="456"/>
      <c r="EB218" s="456"/>
      <c r="EC218" s="456"/>
      <c r="ED218" s="423">
        <v>0</v>
      </c>
      <c r="EE218" s="456">
        <v>2</v>
      </c>
      <c r="EF218" s="456">
        <v>3</v>
      </c>
      <c r="EG218" s="456">
        <v>10</v>
      </c>
      <c r="EH218" s="423">
        <v>0</v>
      </c>
      <c r="EI218" s="456"/>
      <c r="EJ218" s="456"/>
      <c r="EK218" s="456"/>
      <c r="EL218" s="456"/>
      <c r="EM218" s="456"/>
      <c r="EN218" s="456"/>
      <c r="EO218" s="425"/>
      <c r="EP218" s="425"/>
      <c r="EQ218" s="425" t="s">
        <v>743</v>
      </c>
      <c r="ER218" s="425">
        <v>2</v>
      </c>
      <c r="ES218" s="425">
        <v>8</v>
      </c>
      <c r="ET218" s="425">
        <v>4000</v>
      </c>
      <c r="EU218" s="457">
        <v>2740</v>
      </c>
      <c r="EV218" s="425">
        <v>240</v>
      </c>
      <c r="EW218" s="425">
        <v>7083573</v>
      </c>
      <c r="EX218" s="425">
        <v>96758</v>
      </c>
      <c r="EY218" s="666">
        <v>18.2</v>
      </c>
      <c r="EZ218" s="666">
        <v>18.2</v>
      </c>
      <c r="FA218" s="666">
        <v>0</v>
      </c>
      <c r="FB218" s="666">
        <v>1.36</v>
      </c>
      <c r="FC218" s="666">
        <v>1.3</v>
      </c>
      <c r="FD218" s="666">
        <v>0.9</v>
      </c>
      <c r="FE218" s="666">
        <v>0.89</v>
      </c>
      <c r="FF218" s="666">
        <v>230</v>
      </c>
      <c r="FG218" s="666">
        <v>0.75</v>
      </c>
      <c r="FH218" s="666">
        <v>0.4</v>
      </c>
      <c r="FI218" s="666">
        <v>0.69</v>
      </c>
      <c r="FJ218" s="666">
        <v>8.06</v>
      </c>
      <c r="FK218" s="666">
        <v>8.1</v>
      </c>
      <c r="FL218" s="666">
        <v>7.94</v>
      </c>
      <c r="FM218" s="666">
        <v>7.6</v>
      </c>
      <c r="FN218" s="666">
        <v>0</v>
      </c>
    </row>
    <row r="219" spans="1:170" s="416" customFormat="1" ht="15">
      <c r="A219" s="425" t="s">
        <v>3</v>
      </c>
      <c r="B219" s="426">
        <v>40748</v>
      </c>
      <c r="C219" s="418">
        <v>0</v>
      </c>
      <c r="D219" s="518">
        <v>0</v>
      </c>
      <c r="E219" s="453">
        <v>0</v>
      </c>
      <c r="F219" s="453">
        <v>62</v>
      </c>
      <c r="G219" s="453">
        <v>0.85</v>
      </c>
      <c r="H219" s="519">
        <v>1.07</v>
      </c>
      <c r="I219" s="519">
        <v>94.8</v>
      </c>
      <c r="J219" s="483">
        <v>0.69</v>
      </c>
      <c r="K219" s="520">
        <v>0.7</v>
      </c>
      <c r="L219" s="453">
        <v>0</v>
      </c>
      <c r="M219" s="453">
        <v>19.2</v>
      </c>
      <c r="N219" s="453">
        <v>1.69</v>
      </c>
      <c r="O219" s="453">
        <v>2.0286846574823714</v>
      </c>
      <c r="P219" s="453">
        <v>1.66</v>
      </c>
      <c r="Q219" s="453">
        <v>2.0283950455814681</v>
      </c>
      <c r="R219" s="453">
        <v>1038.1151651254952</v>
      </c>
      <c r="S219" s="453">
        <v>7.91</v>
      </c>
      <c r="T219" s="453">
        <v>8.07</v>
      </c>
      <c r="U219" s="453">
        <v>0.62</v>
      </c>
      <c r="V219" s="453">
        <v>0.62</v>
      </c>
      <c r="W219" s="453">
        <v>53.78</v>
      </c>
      <c r="X219" s="456">
        <v>53.78</v>
      </c>
      <c r="Y219" s="453">
        <v>40.78</v>
      </c>
      <c r="Z219" s="453">
        <v>20.23</v>
      </c>
      <c r="AA219" s="519">
        <v>40.820000000006985</v>
      </c>
      <c r="AB219" s="519">
        <v>19.970000000001164</v>
      </c>
      <c r="AC219" s="732">
        <f t="shared" si="3"/>
        <v>60.790000000008149</v>
      </c>
      <c r="AD219" s="664"/>
      <c r="AE219" s="664"/>
      <c r="AF219" s="664"/>
      <c r="AG219" s="664"/>
      <c r="AH219" s="664"/>
      <c r="AI219" s="664"/>
      <c r="AJ219" s="485"/>
      <c r="AK219" s="485"/>
      <c r="AL219" s="485"/>
      <c r="AM219" s="485"/>
      <c r="AN219" s="485"/>
      <c r="AO219" s="665"/>
      <c r="AP219" s="485"/>
      <c r="AQ219" s="483"/>
      <c r="AR219" s="755">
        <v>0</v>
      </c>
      <c r="AS219" s="483">
        <v>20.100000000000001</v>
      </c>
      <c r="AT219" s="755">
        <v>0</v>
      </c>
      <c r="AU219" s="483">
        <v>42.5</v>
      </c>
      <c r="AV219" s="484">
        <v>1099.7</v>
      </c>
      <c r="AW219" s="484">
        <v>874.9</v>
      </c>
      <c r="AX219" s="453">
        <v>55.2</v>
      </c>
      <c r="AY219" s="734">
        <v>0</v>
      </c>
      <c r="AZ219" s="734">
        <v>0</v>
      </c>
      <c r="BA219" s="734">
        <v>0</v>
      </c>
      <c r="BB219" s="453">
        <v>0</v>
      </c>
      <c r="BC219" s="453">
        <v>0.88</v>
      </c>
      <c r="BD219" s="453">
        <v>1.63</v>
      </c>
      <c r="BE219" s="734">
        <v>0</v>
      </c>
      <c r="BF219" s="453">
        <v>0.53</v>
      </c>
      <c r="BG219" s="453">
        <v>0</v>
      </c>
      <c r="BH219" s="734">
        <v>0</v>
      </c>
      <c r="BI219" s="453">
        <v>1.51</v>
      </c>
      <c r="BJ219" s="453">
        <v>15.4</v>
      </c>
      <c r="BK219" s="453">
        <v>4.62</v>
      </c>
      <c r="BL219" s="453">
        <v>5.42</v>
      </c>
      <c r="BM219" s="453">
        <v>0</v>
      </c>
      <c r="BN219" s="453">
        <v>5.3</v>
      </c>
      <c r="BO219" s="453">
        <v>2976.8</v>
      </c>
      <c r="BP219" s="453">
        <v>0</v>
      </c>
      <c r="BQ219" s="453">
        <v>17.600000000000001</v>
      </c>
      <c r="BR219" s="453">
        <v>17.600000000000001</v>
      </c>
      <c r="BS219" s="453">
        <v>0</v>
      </c>
      <c r="BT219" s="453">
        <v>38.4</v>
      </c>
      <c r="BU219" s="453">
        <v>40.4</v>
      </c>
      <c r="BV219" s="456">
        <v>1186.3</v>
      </c>
      <c r="BW219" s="453">
        <v>1.43</v>
      </c>
      <c r="BX219" s="453">
        <v>1.36</v>
      </c>
      <c r="BY219" s="456">
        <v>0.9</v>
      </c>
      <c r="BZ219" s="456">
        <v>16</v>
      </c>
      <c r="CA219" s="456">
        <v>32.799999999999997</v>
      </c>
      <c r="CB219" s="456">
        <v>17.2</v>
      </c>
      <c r="CC219" s="456">
        <v>9.1999999999999993</v>
      </c>
      <c r="CD219" s="456">
        <v>13.4</v>
      </c>
      <c r="CE219" s="456">
        <v>17.649999999999999</v>
      </c>
      <c r="CF219" s="456">
        <v>14.06</v>
      </c>
      <c r="CG219" s="456">
        <v>0</v>
      </c>
      <c r="CH219" s="456">
        <v>0.9</v>
      </c>
      <c r="CI219" s="456">
        <v>1.7</v>
      </c>
      <c r="CJ219" s="456">
        <v>1314.9</v>
      </c>
      <c r="CK219" s="456">
        <v>1195.7</v>
      </c>
      <c r="CL219" s="456">
        <v>736.8</v>
      </c>
      <c r="CM219" s="456">
        <v>10.1</v>
      </c>
      <c r="CN219" s="456">
        <v>1.62</v>
      </c>
      <c r="CO219" s="453">
        <v>9027.2999999999993</v>
      </c>
      <c r="CP219" s="453">
        <v>10.86</v>
      </c>
      <c r="CQ219" s="453">
        <v>56</v>
      </c>
      <c r="CR219" s="456">
        <v>0</v>
      </c>
      <c r="CS219" s="456">
        <v>0</v>
      </c>
      <c r="CT219" s="456">
        <v>0</v>
      </c>
      <c r="CU219" s="456">
        <v>0</v>
      </c>
      <c r="CV219" s="481">
        <v>698</v>
      </c>
      <c r="CW219" s="481">
        <v>859.95833333333337</v>
      </c>
      <c r="CX219" s="481">
        <v>583.97916666666663</v>
      </c>
      <c r="CY219" s="481">
        <v>1159.5899999999999</v>
      </c>
      <c r="CZ219" s="481"/>
      <c r="DA219" s="456"/>
      <c r="DB219" s="456"/>
      <c r="DC219" s="456"/>
      <c r="DD219" s="456"/>
      <c r="DE219" s="456"/>
      <c r="DF219" s="456"/>
      <c r="DG219" s="425"/>
      <c r="DH219" s="456">
        <v>72</v>
      </c>
      <c r="DI219" s="456">
        <v>0.14000000000000001</v>
      </c>
      <c r="DJ219" s="456">
        <v>0</v>
      </c>
      <c r="DK219" s="425"/>
      <c r="DL219" s="456"/>
      <c r="DM219" s="456"/>
      <c r="DN219" s="456"/>
      <c r="DO219" s="456"/>
      <c r="DP219" s="456"/>
      <c r="DQ219" s="456"/>
      <c r="DR219" s="456"/>
      <c r="DS219" s="456"/>
      <c r="DT219" s="456"/>
      <c r="DU219" s="456"/>
      <c r="DV219" s="456"/>
      <c r="DW219" s="456"/>
      <c r="DX219" s="456"/>
      <c r="DY219" s="456"/>
      <c r="DZ219" s="456"/>
      <c r="EA219" s="456"/>
      <c r="EB219" s="456"/>
      <c r="EC219" s="456"/>
      <c r="ED219" s="423">
        <v>0</v>
      </c>
      <c r="EE219" s="456">
        <v>2</v>
      </c>
      <c r="EF219" s="456">
        <v>3</v>
      </c>
      <c r="EG219" s="456">
        <v>10</v>
      </c>
      <c r="EH219" s="423">
        <v>0</v>
      </c>
      <c r="EI219" s="456"/>
      <c r="EJ219" s="456"/>
      <c r="EK219" s="456"/>
      <c r="EL219" s="456"/>
      <c r="EM219" s="456"/>
      <c r="EN219" s="456"/>
      <c r="EO219" s="425"/>
      <c r="EP219" s="425"/>
      <c r="EQ219" s="425" t="s">
        <v>743</v>
      </c>
      <c r="ER219" s="425">
        <v>2</v>
      </c>
      <c r="ES219" s="425">
        <v>8</v>
      </c>
      <c r="ET219" s="425">
        <v>4000</v>
      </c>
      <c r="EU219" s="457">
        <v>2500</v>
      </c>
      <c r="EV219" s="425">
        <v>225</v>
      </c>
      <c r="EW219" s="425">
        <v>7087732</v>
      </c>
      <c r="EX219" s="425">
        <v>97395</v>
      </c>
      <c r="EY219" s="666">
        <v>17.100000000000001</v>
      </c>
      <c r="EZ219" s="666">
        <v>17.100000000000001</v>
      </c>
      <c r="FA219" s="666">
        <v>0</v>
      </c>
      <c r="FB219" s="666">
        <v>1.33</v>
      </c>
      <c r="FC219" s="666">
        <v>1.3</v>
      </c>
      <c r="FD219" s="666">
        <v>0.93</v>
      </c>
      <c r="FE219" s="666">
        <v>0.95</v>
      </c>
      <c r="FF219" s="666">
        <v>240</v>
      </c>
      <c r="FG219" s="666">
        <v>0.81</v>
      </c>
      <c r="FH219" s="666">
        <v>0.4</v>
      </c>
      <c r="FI219" s="666">
        <v>0.71</v>
      </c>
      <c r="FJ219" s="666">
        <v>8.02</v>
      </c>
      <c r="FK219" s="666">
        <v>8</v>
      </c>
      <c r="FL219" s="666">
        <v>8.1199999999999992</v>
      </c>
      <c r="FM219" s="666">
        <v>7.6</v>
      </c>
      <c r="FN219" s="666">
        <v>0</v>
      </c>
    </row>
    <row r="220" spans="1:170" s="416" customFormat="1" ht="15">
      <c r="A220" s="425" t="s">
        <v>4</v>
      </c>
      <c r="B220" s="426">
        <v>40749</v>
      </c>
      <c r="C220" s="418">
        <v>0</v>
      </c>
      <c r="D220" s="518">
        <v>0.16</v>
      </c>
      <c r="E220" s="453">
        <v>0</v>
      </c>
      <c r="F220" s="453">
        <v>57</v>
      </c>
      <c r="G220" s="453">
        <v>0.8</v>
      </c>
      <c r="H220" s="519" t="s">
        <v>742</v>
      </c>
      <c r="I220" s="519">
        <v>94.2</v>
      </c>
      <c r="J220" s="483">
        <v>1.21</v>
      </c>
      <c r="K220" s="520">
        <v>1.03</v>
      </c>
      <c r="L220" s="453">
        <v>0</v>
      </c>
      <c r="M220" s="453">
        <v>19.100000000000001</v>
      </c>
      <c r="N220" s="453">
        <v>1.65</v>
      </c>
      <c r="O220" s="453">
        <v>2.0072794456330163</v>
      </c>
      <c r="P220" s="453">
        <v>1.66</v>
      </c>
      <c r="Q220" s="453">
        <v>2.0371229882455149</v>
      </c>
      <c r="R220" s="453">
        <v>1030.3414478203433</v>
      </c>
      <c r="S220" s="453">
        <v>7.95</v>
      </c>
      <c r="T220" s="453">
        <v>7.95</v>
      </c>
      <c r="U220" s="453">
        <v>0.62</v>
      </c>
      <c r="V220" s="453">
        <v>0.73</v>
      </c>
      <c r="W220" s="453">
        <v>56.120000000000005</v>
      </c>
      <c r="X220" s="646">
        <v>56.120000000000005</v>
      </c>
      <c r="Y220" s="453">
        <v>41.09</v>
      </c>
      <c r="Z220" s="453">
        <v>19.84</v>
      </c>
      <c r="AA220" s="519">
        <v>40.589999999996508</v>
      </c>
      <c r="AB220" s="519">
        <v>19.680000000000291</v>
      </c>
      <c r="AC220" s="732">
        <f t="shared" si="3"/>
        <v>60.269999999996799</v>
      </c>
      <c r="AD220" s="664"/>
      <c r="AE220" s="664"/>
      <c r="AF220" s="664"/>
      <c r="AG220" s="664"/>
      <c r="AH220" s="664"/>
      <c r="AI220" s="664"/>
      <c r="AJ220" s="485"/>
      <c r="AK220" s="485"/>
      <c r="AL220" s="485"/>
      <c r="AM220" s="485"/>
      <c r="AN220" s="485"/>
      <c r="AO220" s="665"/>
      <c r="AP220" s="485"/>
      <c r="AQ220" s="483"/>
      <c r="AR220" s="755">
        <v>0</v>
      </c>
      <c r="AS220" s="483">
        <v>35.200000000000003</v>
      </c>
      <c r="AT220" s="755">
        <v>0</v>
      </c>
      <c r="AU220" s="483">
        <v>42.5</v>
      </c>
      <c r="AV220" s="484">
        <v>628.70000000000005</v>
      </c>
      <c r="AW220" s="484">
        <v>381.8</v>
      </c>
      <c r="AX220" s="453">
        <v>38.799999999999997</v>
      </c>
      <c r="AY220" s="734">
        <v>0</v>
      </c>
      <c r="AZ220" s="734">
        <v>0</v>
      </c>
      <c r="BA220" s="734">
        <v>0</v>
      </c>
      <c r="BB220" s="453">
        <v>0</v>
      </c>
      <c r="BC220" s="453">
        <v>0.5</v>
      </c>
      <c r="BD220" s="453">
        <v>2.02</v>
      </c>
      <c r="BE220" s="734">
        <v>0</v>
      </c>
      <c r="BF220" s="453">
        <v>0.52</v>
      </c>
      <c r="BG220" s="453">
        <v>0</v>
      </c>
      <c r="BH220" s="734">
        <v>0</v>
      </c>
      <c r="BI220" s="453">
        <v>1.5</v>
      </c>
      <c r="BJ220" s="453">
        <v>15.4</v>
      </c>
      <c r="BK220" s="453">
        <v>4.62</v>
      </c>
      <c r="BL220" s="453">
        <v>5.42</v>
      </c>
      <c r="BM220" s="453">
        <v>0</v>
      </c>
      <c r="BN220" s="453">
        <v>5.3</v>
      </c>
      <c r="BO220" s="453">
        <v>2187.1</v>
      </c>
      <c r="BP220" s="453">
        <v>28.8</v>
      </c>
      <c r="BQ220" s="453">
        <v>17.600000000000001</v>
      </c>
      <c r="BR220" s="453">
        <v>17.600000000000001</v>
      </c>
      <c r="BS220" s="453">
        <v>0</v>
      </c>
      <c r="BT220" s="453">
        <v>39.6</v>
      </c>
      <c r="BU220" s="453">
        <v>33</v>
      </c>
      <c r="BV220" s="456">
        <v>932</v>
      </c>
      <c r="BW220" s="453">
        <v>1.5</v>
      </c>
      <c r="BX220" s="453">
        <v>1.32</v>
      </c>
      <c r="BY220" s="456">
        <v>0.91</v>
      </c>
      <c r="BZ220" s="456">
        <v>16</v>
      </c>
      <c r="CA220" s="456">
        <v>32.799999999999997</v>
      </c>
      <c r="CB220" s="456">
        <v>17.2</v>
      </c>
      <c r="CC220" s="456">
        <v>9.23</v>
      </c>
      <c r="CD220" s="456">
        <v>13.4</v>
      </c>
      <c r="CE220" s="456">
        <v>17.7</v>
      </c>
      <c r="CF220" s="456">
        <v>14.7</v>
      </c>
      <c r="CG220" s="456">
        <v>0</v>
      </c>
      <c r="CH220" s="456">
        <v>1.6</v>
      </c>
      <c r="CI220" s="456">
        <v>1.5</v>
      </c>
      <c r="CJ220" s="456">
        <v>815.4</v>
      </c>
      <c r="CK220" s="456">
        <v>837.2</v>
      </c>
      <c r="CL220" s="456">
        <v>701</v>
      </c>
      <c r="CM220" s="456">
        <v>10.7</v>
      </c>
      <c r="CN220" s="456">
        <v>1.7</v>
      </c>
      <c r="CO220" s="453">
        <v>9208.9</v>
      </c>
      <c r="CP220" s="453">
        <v>10.94</v>
      </c>
      <c r="CQ220" s="453">
        <v>56</v>
      </c>
      <c r="CR220" s="456">
        <v>0</v>
      </c>
      <c r="CS220" s="456">
        <v>0</v>
      </c>
      <c r="CT220" s="456">
        <v>0</v>
      </c>
      <c r="CU220" s="456">
        <v>0</v>
      </c>
      <c r="CV220" s="481">
        <v>676.66666666666663</v>
      </c>
      <c r="CW220" s="481">
        <v>884.55208333333337</v>
      </c>
      <c r="CX220" s="481">
        <v>576.875</v>
      </c>
      <c r="CY220" s="481">
        <v>1159.04</v>
      </c>
      <c r="CZ220" s="456"/>
      <c r="DA220" s="456"/>
      <c r="DB220" s="456"/>
      <c r="DC220" s="456"/>
      <c r="DD220" s="456"/>
      <c r="DE220" s="456"/>
      <c r="DF220" s="456"/>
      <c r="DG220" s="425"/>
      <c r="DH220" s="456">
        <v>85</v>
      </c>
      <c r="DI220" s="456">
        <v>0.26</v>
      </c>
      <c r="DJ220" s="456" t="s">
        <v>755</v>
      </c>
      <c r="DK220" s="425"/>
      <c r="DL220" s="456"/>
      <c r="DM220" s="456"/>
      <c r="DN220" s="456"/>
      <c r="DO220" s="456"/>
      <c r="DP220" s="456"/>
      <c r="DQ220" s="456"/>
      <c r="DR220" s="456"/>
      <c r="DS220" s="456"/>
      <c r="DT220" s="456"/>
      <c r="DU220" s="456"/>
      <c r="DV220" s="456"/>
      <c r="DW220" s="456"/>
      <c r="DX220" s="456"/>
      <c r="DY220" s="456"/>
      <c r="DZ220" s="456"/>
      <c r="EA220" s="456"/>
      <c r="EB220" s="456"/>
      <c r="EC220" s="456"/>
      <c r="ED220" s="423">
        <v>0</v>
      </c>
      <c r="EE220" s="456">
        <v>2</v>
      </c>
      <c r="EF220" s="456">
        <v>3</v>
      </c>
      <c r="EG220" s="456">
        <v>10</v>
      </c>
      <c r="EH220" s="423">
        <v>0</v>
      </c>
      <c r="EI220" s="456"/>
      <c r="EJ220" s="456"/>
      <c r="EK220" s="456"/>
      <c r="EL220" s="456"/>
      <c r="EM220" s="456"/>
      <c r="EN220" s="456"/>
      <c r="EO220" s="425"/>
      <c r="EP220" s="425"/>
      <c r="EQ220" s="425" t="s">
        <v>743</v>
      </c>
      <c r="ER220" s="425">
        <v>1</v>
      </c>
      <c r="ES220" s="425">
        <v>8</v>
      </c>
      <c r="ET220" s="425">
        <v>4000</v>
      </c>
      <c r="EU220" s="457">
        <v>2290</v>
      </c>
      <c r="EV220" s="425">
        <v>170</v>
      </c>
      <c r="EW220" s="425">
        <v>7091037</v>
      </c>
      <c r="EX220" s="425">
        <v>98074</v>
      </c>
      <c r="EY220" s="666">
        <v>18.41</v>
      </c>
      <c r="EZ220" s="666">
        <v>18.399999999999999</v>
      </c>
      <c r="FA220" s="666">
        <v>0</v>
      </c>
      <c r="FB220" s="666">
        <v>1.31</v>
      </c>
      <c r="FC220" s="666">
        <v>1.23</v>
      </c>
      <c r="FD220" s="666">
        <v>0.96899999999999997</v>
      </c>
      <c r="FE220" s="666">
        <v>1</v>
      </c>
      <c r="FF220" s="666">
        <v>210</v>
      </c>
      <c r="FG220" s="666">
        <v>0.96</v>
      </c>
      <c r="FH220" s="666">
        <v>0.39600000000000002</v>
      </c>
      <c r="FI220" s="666">
        <v>0.96</v>
      </c>
      <c r="FJ220" s="666">
        <v>7.98</v>
      </c>
      <c r="FK220" s="666">
        <v>7.8</v>
      </c>
      <c r="FL220" s="666">
        <v>8.06</v>
      </c>
      <c r="FM220" s="666">
        <v>7.6</v>
      </c>
      <c r="FN220" s="666">
        <v>0</v>
      </c>
    </row>
    <row r="221" spans="1:170" s="416" customFormat="1" ht="15">
      <c r="A221" s="425" t="s">
        <v>5</v>
      </c>
      <c r="B221" s="426">
        <v>40750</v>
      </c>
      <c r="C221" s="418">
        <v>0</v>
      </c>
      <c r="D221" s="518">
        <v>0</v>
      </c>
      <c r="E221" s="453">
        <v>0</v>
      </c>
      <c r="F221" s="453">
        <v>56</v>
      </c>
      <c r="G221" s="453">
        <v>0.7</v>
      </c>
      <c r="H221" s="519" t="s">
        <v>742</v>
      </c>
      <c r="I221" s="519">
        <v>94</v>
      </c>
      <c r="J221" s="483">
        <v>0.9</v>
      </c>
      <c r="K221" s="520">
        <v>0.86</v>
      </c>
      <c r="L221" s="453">
        <v>0</v>
      </c>
      <c r="M221" s="453">
        <v>19.100000000000001</v>
      </c>
      <c r="N221" s="453">
        <v>1.65</v>
      </c>
      <c r="O221" s="453">
        <v>2.04512678416084</v>
      </c>
      <c r="P221" s="453">
        <v>1.67</v>
      </c>
      <c r="Q221" s="453">
        <v>2.0603302509907526</v>
      </c>
      <c r="R221" s="453">
        <v>1042.9737384412153</v>
      </c>
      <c r="S221" s="453">
        <v>7.95</v>
      </c>
      <c r="T221" s="453">
        <v>7.95</v>
      </c>
      <c r="U221" s="453">
        <v>0.62</v>
      </c>
      <c r="V221" s="453">
        <v>0.73</v>
      </c>
      <c r="W221" s="453">
        <v>55.94</v>
      </c>
      <c r="X221" s="646">
        <v>55.94</v>
      </c>
      <c r="Y221" s="453">
        <v>40.770000000000003</v>
      </c>
      <c r="Z221" s="453">
        <v>19.82</v>
      </c>
      <c r="AA221" s="519">
        <v>41</v>
      </c>
      <c r="AB221" s="519">
        <v>20</v>
      </c>
      <c r="AC221" s="732">
        <f t="shared" si="3"/>
        <v>61</v>
      </c>
      <c r="AD221" s="664"/>
      <c r="AE221" s="664"/>
      <c r="AF221" s="664"/>
      <c r="AG221" s="664"/>
      <c r="AH221" s="664"/>
      <c r="AI221" s="664"/>
      <c r="AJ221" s="485"/>
      <c r="AK221" s="485"/>
      <c r="AL221" s="485"/>
      <c r="AM221" s="485"/>
      <c r="AN221" s="485"/>
      <c r="AO221" s="665"/>
      <c r="AP221" s="485"/>
      <c r="AQ221" s="483"/>
      <c r="AR221" s="755">
        <v>0</v>
      </c>
      <c r="AS221" s="483">
        <v>18.2</v>
      </c>
      <c r="AT221" s="755">
        <v>0</v>
      </c>
      <c r="AU221" s="483">
        <v>42.5</v>
      </c>
      <c r="AV221" s="484">
        <v>769.9</v>
      </c>
      <c r="AW221" s="484">
        <v>806.6</v>
      </c>
      <c r="AX221" s="453">
        <v>32.5</v>
      </c>
      <c r="AY221" s="734">
        <v>0</v>
      </c>
      <c r="AZ221" s="734">
        <v>0</v>
      </c>
      <c r="BA221" s="734">
        <v>0</v>
      </c>
      <c r="BB221" s="453">
        <v>0</v>
      </c>
      <c r="BC221" s="453">
        <v>0.5</v>
      </c>
      <c r="BD221" s="453">
        <v>2.0299999999999998</v>
      </c>
      <c r="BE221" s="734">
        <v>0</v>
      </c>
      <c r="BF221" s="453">
        <v>0.53</v>
      </c>
      <c r="BG221" s="453">
        <v>0</v>
      </c>
      <c r="BH221" s="734">
        <v>0</v>
      </c>
      <c r="BI221" s="453">
        <v>1.58</v>
      </c>
      <c r="BJ221" s="453">
        <v>15.4</v>
      </c>
      <c r="BK221" s="453">
        <v>3.34</v>
      </c>
      <c r="BL221" s="453">
        <v>6.7</v>
      </c>
      <c r="BM221" s="453">
        <v>0</v>
      </c>
      <c r="BN221" s="453">
        <v>5.3</v>
      </c>
      <c r="BO221" s="453">
        <v>2132.1</v>
      </c>
      <c r="BP221" s="453">
        <v>0</v>
      </c>
      <c r="BQ221" s="453">
        <v>18.5</v>
      </c>
      <c r="BR221" s="453">
        <v>18.5</v>
      </c>
      <c r="BS221" s="453">
        <v>0</v>
      </c>
      <c r="BT221" s="453">
        <v>39</v>
      </c>
      <c r="BU221" s="453">
        <v>35.700000000000003</v>
      </c>
      <c r="BV221" s="456">
        <v>774.6</v>
      </c>
      <c r="BW221" s="453">
        <v>3.21</v>
      </c>
      <c r="BX221" s="453">
        <v>1.32</v>
      </c>
      <c r="BY221" s="456">
        <v>0.9</v>
      </c>
      <c r="BZ221" s="456">
        <v>16.3</v>
      </c>
      <c r="CA221" s="456">
        <v>33.299999999999997</v>
      </c>
      <c r="CB221" s="456">
        <v>17.38</v>
      </c>
      <c r="CC221" s="456">
        <v>9.3000000000000007</v>
      </c>
      <c r="CD221" s="456">
        <v>13.5</v>
      </c>
      <c r="CE221" s="456">
        <v>17.399999999999999</v>
      </c>
      <c r="CF221" s="456">
        <v>14</v>
      </c>
      <c r="CG221" s="456">
        <v>0</v>
      </c>
      <c r="CH221" s="456">
        <v>3.9</v>
      </c>
      <c r="CI221" s="456">
        <v>4.3</v>
      </c>
      <c r="CJ221" s="456">
        <v>888.7</v>
      </c>
      <c r="CK221" s="456">
        <v>732.4</v>
      </c>
      <c r="CL221" s="456">
        <v>688.3</v>
      </c>
      <c r="CM221" s="456">
        <v>7.5</v>
      </c>
      <c r="CN221" s="456">
        <v>1.4</v>
      </c>
      <c r="CO221" s="453">
        <v>7168.1</v>
      </c>
      <c r="CP221" s="453">
        <v>10.48</v>
      </c>
      <c r="CQ221" s="453">
        <v>56</v>
      </c>
      <c r="CR221" s="456">
        <v>0</v>
      </c>
      <c r="CS221" s="456">
        <v>0</v>
      </c>
      <c r="CT221" s="456">
        <v>0</v>
      </c>
      <c r="CU221" s="456">
        <v>0</v>
      </c>
      <c r="CV221" s="481">
        <v>544</v>
      </c>
      <c r="CW221" s="481">
        <v>763.95833333333337</v>
      </c>
      <c r="CX221" s="481">
        <v>452.21875</v>
      </c>
      <c r="CY221" s="481">
        <v>1158.74</v>
      </c>
      <c r="CZ221" s="456"/>
      <c r="DA221" s="456"/>
      <c r="DB221" s="456"/>
      <c r="DC221" s="456"/>
      <c r="DD221" s="456"/>
      <c r="DE221" s="456"/>
      <c r="DF221" s="456"/>
      <c r="DG221" s="425"/>
      <c r="DH221" s="456">
        <v>68</v>
      </c>
      <c r="DI221" s="456">
        <v>0.13</v>
      </c>
      <c r="DJ221" s="456" t="s">
        <v>755</v>
      </c>
      <c r="DK221" s="425"/>
      <c r="DL221" s="456"/>
      <c r="DM221" s="456"/>
      <c r="DN221" s="456"/>
      <c r="DO221" s="456"/>
      <c r="DP221" s="456"/>
      <c r="DQ221" s="456"/>
      <c r="DR221" s="456"/>
      <c r="DS221" s="456"/>
      <c r="DT221" s="456"/>
      <c r="DU221" s="456"/>
      <c r="DV221" s="456"/>
      <c r="DW221" s="456"/>
      <c r="DX221" s="456"/>
      <c r="DY221" s="456"/>
      <c r="DZ221" s="456"/>
      <c r="EA221" s="456"/>
      <c r="EB221" s="456"/>
      <c r="EC221" s="456"/>
      <c r="ED221" s="423">
        <v>0</v>
      </c>
      <c r="EE221" s="456">
        <v>2</v>
      </c>
      <c r="EF221" s="456">
        <v>3</v>
      </c>
      <c r="EG221" s="456">
        <v>10</v>
      </c>
      <c r="EH221" s="423">
        <v>0</v>
      </c>
      <c r="EI221" s="456"/>
      <c r="EJ221" s="456"/>
      <c r="EK221" s="456"/>
      <c r="EL221" s="456"/>
      <c r="EM221" s="456"/>
      <c r="EN221" s="456"/>
      <c r="EO221" s="425"/>
      <c r="EP221" s="425"/>
      <c r="EQ221" s="425" t="s">
        <v>743</v>
      </c>
      <c r="ER221" s="425">
        <v>1</v>
      </c>
      <c r="ES221" s="425">
        <v>8</v>
      </c>
      <c r="ET221" s="425">
        <v>4000</v>
      </c>
      <c r="EU221" s="457">
        <v>2280</v>
      </c>
      <c r="EV221" s="425">
        <v>250</v>
      </c>
      <c r="EW221" s="425">
        <v>7094787</v>
      </c>
      <c r="EX221" s="425">
        <v>98702</v>
      </c>
      <c r="EY221" s="666">
        <v>18.57</v>
      </c>
      <c r="EZ221" s="666">
        <v>18.559999999999999</v>
      </c>
      <c r="FA221" s="666">
        <v>0</v>
      </c>
      <c r="FB221" s="666">
        <v>1.31</v>
      </c>
      <c r="FC221" s="666">
        <v>1.24</v>
      </c>
      <c r="FD221" s="666">
        <v>0.96</v>
      </c>
      <c r="FE221" s="666">
        <v>0.96</v>
      </c>
      <c r="FF221" s="666">
        <v>210</v>
      </c>
      <c r="FG221" s="666">
        <v>1.27</v>
      </c>
      <c r="FH221" s="666">
        <v>0.38900000000000001</v>
      </c>
      <c r="FI221" s="666">
        <v>0.9</v>
      </c>
      <c r="FJ221" s="666">
        <v>8.01</v>
      </c>
      <c r="FK221" s="666">
        <v>8.3000000000000007</v>
      </c>
      <c r="FL221" s="666">
        <v>8.07</v>
      </c>
      <c r="FM221" s="666">
        <v>7.6</v>
      </c>
      <c r="FN221" s="666">
        <v>0</v>
      </c>
    </row>
    <row r="222" spans="1:170" s="416" customFormat="1" ht="15">
      <c r="A222" s="425" t="s">
        <v>6</v>
      </c>
      <c r="B222" s="426">
        <v>40751</v>
      </c>
      <c r="C222" s="418">
        <v>0</v>
      </c>
      <c r="D222" s="518">
        <v>0</v>
      </c>
      <c r="E222" s="453">
        <v>0</v>
      </c>
      <c r="F222" s="453">
        <v>53</v>
      </c>
      <c r="G222" s="453">
        <v>0.55000000000000004</v>
      </c>
      <c r="H222" s="802">
        <v>5.03</v>
      </c>
      <c r="I222" s="519">
        <v>93.4</v>
      </c>
      <c r="J222" s="483">
        <v>2.19</v>
      </c>
      <c r="K222" s="520">
        <v>2.09</v>
      </c>
      <c r="L222" s="453">
        <v>0</v>
      </c>
      <c r="M222" s="453">
        <v>18.899999999999999</v>
      </c>
      <c r="N222" s="453">
        <v>1.64</v>
      </c>
      <c r="O222" s="453">
        <v>1.9989475033874364</v>
      </c>
      <c r="P222" s="453">
        <v>1.68</v>
      </c>
      <c r="Q222" s="453">
        <v>1.9437871207314685</v>
      </c>
      <c r="R222" s="453">
        <v>1004.4290568031703</v>
      </c>
      <c r="S222" s="453">
        <v>7.89</v>
      </c>
      <c r="T222" s="453">
        <v>7.97</v>
      </c>
      <c r="U222" s="453">
        <v>0.62</v>
      </c>
      <c r="V222" s="453">
        <v>0.69</v>
      </c>
      <c r="W222" s="453">
        <v>54.860000000000014</v>
      </c>
      <c r="X222" s="646">
        <v>54.860000000000014</v>
      </c>
      <c r="Y222" s="453">
        <v>40.770000000000003</v>
      </c>
      <c r="Z222" s="453">
        <v>19.82</v>
      </c>
      <c r="AA222" s="519">
        <v>40.440000000002328</v>
      </c>
      <c r="AB222" s="519">
        <v>20.129999999997381</v>
      </c>
      <c r="AC222" s="732">
        <f t="shared" si="3"/>
        <v>60.569999999999709</v>
      </c>
      <c r="AD222" s="664"/>
      <c r="AE222" s="664"/>
      <c r="AF222" s="664"/>
      <c r="AG222" s="664"/>
      <c r="AH222" s="664"/>
      <c r="AI222" s="664"/>
      <c r="AJ222" s="485"/>
      <c r="AK222" s="485"/>
      <c r="AL222" s="485"/>
      <c r="AM222" s="485"/>
      <c r="AN222" s="485"/>
      <c r="AO222" s="665"/>
      <c r="AP222" s="485"/>
      <c r="AQ222" s="483"/>
      <c r="AR222" s="755">
        <v>0</v>
      </c>
      <c r="AS222" s="483">
        <v>37</v>
      </c>
      <c r="AT222" s="755">
        <v>0</v>
      </c>
      <c r="AU222" s="483">
        <v>42.4</v>
      </c>
      <c r="AV222" s="484">
        <v>695.8</v>
      </c>
      <c r="AW222" s="484">
        <v>858.6</v>
      </c>
      <c r="AX222" s="453">
        <v>36.200000000000003</v>
      </c>
      <c r="AY222" s="734">
        <v>0</v>
      </c>
      <c r="AZ222" s="734">
        <v>0</v>
      </c>
      <c r="BA222" s="734">
        <v>0</v>
      </c>
      <c r="BB222" s="453">
        <v>0</v>
      </c>
      <c r="BC222" s="453">
        <v>0.5</v>
      </c>
      <c r="BD222" s="453">
        <v>2.02</v>
      </c>
      <c r="BE222" s="734">
        <v>0</v>
      </c>
      <c r="BF222" s="453">
        <v>0.53</v>
      </c>
      <c r="BG222" s="453">
        <v>0</v>
      </c>
      <c r="BH222" s="734">
        <v>0</v>
      </c>
      <c r="BI222" s="453">
        <v>1.59</v>
      </c>
      <c r="BJ222" s="453">
        <v>15.4</v>
      </c>
      <c r="BK222" s="453">
        <v>4.2300000000000004</v>
      </c>
      <c r="BL222" s="453">
        <v>5.82</v>
      </c>
      <c r="BM222" s="453">
        <v>0</v>
      </c>
      <c r="BN222" s="453">
        <v>5.3</v>
      </c>
      <c r="BO222" s="453">
        <v>2753.2</v>
      </c>
      <c r="BP222" s="453">
        <v>0</v>
      </c>
      <c r="BQ222" s="453">
        <v>18.7</v>
      </c>
      <c r="BR222" s="453">
        <v>18.7</v>
      </c>
      <c r="BS222" s="453">
        <v>0</v>
      </c>
      <c r="BT222" s="453">
        <v>39</v>
      </c>
      <c r="BU222" s="453">
        <v>41.3</v>
      </c>
      <c r="BV222" s="456">
        <v>1008.9</v>
      </c>
      <c r="BW222" s="453">
        <v>0.75</v>
      </c>
      <c r="BX222" s="453">
        <v>1.31</v>
      </c>
      <c r="BY222" s="456">
        <v>0.9</v>
      </c>
      <c r="BZ222" s="456">
        <v>18.2</v>
      </c>
      <c r="CA222" s="456">
        <v>32.700000000000003</v>
      </c>
      <c r="CB222" s="456">
        <v>18.3</v>
      </c>
      <c r="CC222" s="456">
        <v>9.5</v>
      </c>
      <c r="CD222" s="456">
        <v>13.8</v>
      </c>
      <c r="CE222" s="456">
        <v>17.7</v>
      </c>
      <c r="CF222" s="456">
        <v>14</v>
      </c>
      <c r="CG222" s="456">
        <v>0</v>
      </c>
      <c r="CH222" s="456">
        <v>4.7</v>
      </c>
      <c r="CI222" s="456">
        <v>6.6</v>
      </c>
      <c r="CJ222" s="456">
        <v>949.2</v>
      </c>
      <c r="CK222" s="456">
        <v>881.7</v>
      </c>
      <c r="CL222" s="456">
        <v>717.5</v>
      </c>
      <c r="CM222" s="456">
        <v>5.9</v>
      </c>
      <c r="CN222" s="456">
        <v>1.3</v>
      </c>
      <c r="CO222" s="453">
        <v>6104.5</v>
      </c>
      <c r="CP222" s="453">
        <v>11.1</v>
      </c>
      <c r="CQ222" s="453">
        <v>56</v>
      </c>
      <c r="CR222" s="456">
        <v>0</v>
      </c>
      <c r="CS222" s="456">
        <v>0</v>
      </c>
      <c r="CT222" s="456">
        <v>0</v>
      </c>
      <c r="CU222" s="456">
        <v>0</v>
      </c>
      <c r="CV222" s="481">
        <v>484.83333333333331</v>
      </c>
      <c r="CW222" s="481">
        <v>698.13541666666663</v>
      </c>
      <c r="CX222" s="481">
        <v>413.6875</v>
      </c>
      <c r="CY222" s="481">
        <v>1158.46</v>
      </c>
      <c r="CZ222" s="456"/>
      <c r="DA222" s="456"/>
      <c r="DB222" s="456"/>
      <c r="DC222" s="456"/>
      <c r="DD222" s="456"/>
      <c r="DE222" s="456"/>
      <c r="DF222" s="456"/>
      <c r="DG222" s="425"/>
      <c r="DH222" s="456">
        <v>40</v>
      </c>
      <c r="DI222" s="456">
        <v>0.12</v>
      </c>
      <c r="DJ222" s="456" t="s">
        <v>755</v>
      </c>
      <c r="DK222" s="425"/>
      <c r="DL222" s="456"/>
      <c r="DM222" s="456"/>
      <c r="DN222" s="456"/>
      <c r="DO222" s="456"/>
      <c r="DP222" s="456"/>
      <c r="DQ222" s="456"/>
      <c r="DR222" s="456"/>
      <c r="DS222" s="456"/>
      <c r="DT222" s="456"/>
      <c r="DU222" s="456"/>
      <c r="DV222" s="456"/>
      <c r="DW222" s="456"/>
      <c r="DX222" s="456"/>
      <c r="DY222" s="456"/>
      <c r="DZ222" s="456"/>
      <c r="EA222" s="456"/>
      <c r="EB222" s="456"/>
      <c r="EC222" s="456"/>
      <c r="ED222" s="423">
        <v>0</v>
      </c>
      <c r="EE222" s="456">
        <v>2</v>
      </c>
      <c r="EF222" s="456">
        <v>3</v>
      </c>
      <c r="EG222" s="456">
        <v>10</v>
      </c>
      <c r="EH222" s="423">
        <v>0</v>
      </c>
      <c r="EI222" s="456"/>
      <c r="EJ222" s="456"/>
      <c r="EK222" s="456"/>
      <c r="EL222" s="456"/>
      <c r="EM222" s="456"/>
      <c r="EN222" s="456"/>
      <c r="EO222" s="425"/>
      <c r="EP222" s="425"/>
      <c r="EQ222" s="425" t="s">
        <v>743</v>
      </c>
      <c r="ER222" s="425">
        <v>1</v>
      </c>
      <c r="ES222" s="425">
        <v>8</v>
      </c>
      <c r="ET222" s="425">
        <v>4000</v>
      </c>
      <c r="EU222" s="457">
        <v>1820</v>
      </c>
      <c r="EV222" s="425">
        <v>240</v>
      </c>
      <c r="EW222" s="425">
        <v>7098958</v>
      </c>
      <c r="EX222" s="425">
        <v>99964</v>
      </c>
      <c r="EY222" s="666">
        <v>17.399999999999999</v>
      </c>
      <c r="EZ222" s="666">
        <v>17.41</v>
      </c>
      <c r="FA222" s="666">
        <v>0</v>
      </c>
      <c r="FB222" s="666">
        <v>1.31</v>
      </c>
      <c r="FC222" s="666">
        <v>1.31</v>
      </c>
      <c r="FD222" s="666">
        <v>0.93400000000000005</v>
      </c>
      <c r="FE222" s="666">
        <v>0.96</v>
      </c>
      <c r="FF222" s="666">
        <v>240</v>
      </c>
      <c r="FG222" s="666">
        <v>0.96</v>
      </c>
      <c r="FH222" s="666">
        <v>0.41599999999999998</v>
      </c>
      <c r="FI222" s="666">
        <v>0.83</v>
      </c>
      <c r="FJ222" s="666">
        <v>8.18</v>
      </c>
      <c r="FK222" s="666">
        <v>8</v>
      </c>
      <c r="FL222" s="666">
        <v>8.06</v>
      </c>
      <c r="FM222" s="666">
        <v>7.6</v>
      </c>
      <c r="FN222" s="666">
        <v>0</v>
      </c>
    </row>
    <row r="223" spans="1:170" s="416" customFormat="1" ht="15">
      <c r="A223" s="425" t="s">
        <v>7</v>
      </c>
      <c r="B223" s="426">
        <v>40752</v>
      </c>
      <c r="C223" s="418">
        <v>0</v>
      </c>
      <c r="D223" s="518">
        <v>0</v>
      </c>
      <c r="E223" s="453">
        <v>0</v>
      </c>
      <c r="F223" s="453">
        <v>58</v>
      </c>
      <c r="G223" s="453">
        <v>0.5</v>
      </c>
      <c r="H223" s="519">
        <v>0.99</v>
      </c>
      <c r="I223" s="519">
        <v>93.5</v>
      </c>
      <c r="J223" s="483">
        <v>0.61</v>
      </c>
      <c r="K223" s="520">
        <v>0.68</v>
      </c>
      <c r="L223" s="453">
        <v>0</v>
      </c>
      <c r="M223" s="453">
        <v>18.899999999999999</v>
      </c>
      <c r="N223" s="453">
        <v>1.68</v>
      </c>
      <c r="O223" s="453">
        <v>2.0323909409977792</v>
      </c>
      <c r="P223" s="453">
        <v>1.65</v>
      </c>
      <c r="Q223" s="453">
        <v>2.0402197515602873</v>
      </c>
      <c r="R223" s="453">
        <v>1101.9244280052837</v>
      </c>
      <c r="S223" s="453">
        <v>7.97</v>
      </c>
      <c r="T223" s="453">
        <v>8.09</v>
      </c>
      <c r="U223" s="453">
        <v>0.62</v>
      </c>
      <c r="V223" s="453">
        <v>0.63</v>
      </c>
      <c r="W223" s="453">
        <v>53.600000000000009</v>
      </c>
      <c r="X223" s="456">
        <v>53.600000000000009</v>
      </c>
      <c r="Y223" s="453">
        <v>40.729999999999997</v>
      </c>
      <c r="Z223" s="453">
        <v>20.079999999999998</v>
      </c>
      <c r="AA223" s="519">
        <v>41.319999999992433</v>
      </c>
      <c r="AB223" s="519">
        <v>23.120000000002619</v>
      </c>
      <c r="AC223" s="732">
        <f t="shared" si="3"/>
        <v>64.439999999995052</v>
      </c>
      <c r="AD223" s="664"/>
      <c r="AE223" s="664"/>
      <c r="AF223" s="664"/>
      <c r="AG223" s="664"/>
      <c r="AH223" s="664"/>
      <c r="AI223" s="664"/>
      <c r="AJ223" s="485"/>
      <c r="AK223" s="485"/>
      <c r="AL223" s="485"/>
      <c r="AM223" s="485"/>
      <c r="AN223" s="485"/>
      <c r="AO223" s="665"/>
      <c r="AP223" s="485"/>
      <c r="AQ223" s="483"/>
      <c r="AR223" s="755">
        <v>0</v>
      </c>
      <c r="AS223" s="483">
        <v>38.4</v>
      </c>
      <c r="AT223" s="755">
        <v>0</v>
      </c>
      <c r="AU223" s="483">
        <v>42.3</v>
      </c>
      <c r="AV223" s="484">
        <v>813.3</v>
      </c>
      <c r="AW223" s="484">
        <v>857.4</v>
      </c>
      <c r="AX223" s="453">
        <v>51.9</v>
      </c>
      <c r="AY223" s="734">
        <v>0</v>
      </c>
      <c r="AZ223" s="734">
        <v>0</v>
      </c>
      <c r="BA223" s="734">
        <v>0</v>
      </c>
      <c r="BB223" s="453">
        <v>0</v>
      </c>
      <c r="BC223" s="453">
        <v>0.39</v>
      </c>
      <c r="BD223" s="453">
        <v>2.19</v>
      </c>
      <c r="BE223" s="734">
        <v>0</v>
      </c>
      <c r="BF223" s="453">
        <v>0.53</v>
      </c>
      <c r="BG223" s="453">
        <v>0</v>
      </c>
      <c r="BH223" s="734">
        <v>0</v>
      </c>
      <c r="BI223" s="453">
        <v>1.6</v>
      </c>
      <c r="BJ223" s="453">
        <v>18.2</v>
      </c>
      <c r="BK223" s="453">
        <v>4.62</v>
      </c>
      <c r="BL223" s="453">
        <v>5.42</v>
      </c>
      <c r="BM223" s="453">
        <v>0</v>
      </c>
      <c r="BN223" s="453">
        <v>8.1</v>
      </c>
      <c r="BO223" s="453">
        <v>2613.8000000000002</v>
      </c>
      <c r="BP223" s="453">
        <v>0</v>
      </c>
      <c r="BQ223" s="453">
        <v>17.8</v>
      </c>
      <c r="BR223" s="453">
        <v>17.8</v>
      </c>
      <c r="BS223" s="453">
        <v>0</v>
      </c>
      <c r="BT223" s="453">
        <v>38.799999999999997</v>
      </c>
      <c r="BU223" s="453">
        <v>34.9</v>
      </c>
      <c r="BV223" s="456">
        <v>957.8</v>
      </c>
      <c r="BW223" s="453">
        <v>0.5</v>
      </c>
      <c r="BX223" s="453">
        <v>1.3</v>
      </c>
      <c r="BY223" s="456">
        <v>0.89</v>
      </c>
      <c r="BZ223" s="456">
        <v>19.100000000000001</v>
      </c>
      <c r="CA223" s="456">
        <v>31.5</v>
      </c>
      <c r="CB223" s="456">
        <v>17.899999999999999</v>
      </c>
      <c r="CC223" s="456">
        <v>10.6</v>
      </c>
      <c r="CD223" s="456">
        <v>14.8</v>
      </c>
      <c r="CE223" s="456">
        <v>18.899999999999999</v>
      </c>
      <c r="CF223" s="456">
        <v>14</v>
      </c>
      <c r="CG223" s="456">
        <v>0</v>
      </c>
      <c r="CH223" s="456">
        <v>3.3</v>
      </c>
      <c r="CI223" s="456">
        <v>7.5</v>
      </c>
      <c r="CJ223" s="456">
        <v>970.6</v>
      </c>
      <c r="CK223" s="456">
        <v>987.3</v>
      </c>
      <c r="CL223" s="456">
        <v>716.4</v>
      </c>
      <c r="CM223" s="456">
        <v>5.3</v>
      </c>
      <c r="CN223" s="456">
        <v>1.2</v>
      </c>
      <c r="CO223" s="453">
        <v>8782.5</v>
      </c>
      <c r="CP223" s="453">
        <v>11.34</v>
      </c>
      <c r="CQ223" s="453">
        <v>56</v>
      </c>
      <c r="CR223" s="456">
        <v>0</v>
      </c>
      <c r="CS223" s="456">
        <v>0</v>
      </c>
      <c r="CT223" s="456">
        <v>0</v>
      </c>
      <c r="CU223" s="456">
        <v>0</v>
      </c>
      <c r="CV223" s="481">
        <v>419.33333333333331</v>
      </c>
      <c r="CW223" s="481">
        <v>613.32291666666663</v>
      </c>
      <c r="CX223" s="481">
        <v>332.27083333333331</v>
      </c>
      <c r="CY223" s="481">
        <v>1158.31</v>
      </c>
      <c r="CZ223" s="456"/>
      <c r="DA223" s="456"/>
      <c r="DB223" s="456"/>
      <c r="DC223" s="456"/>
      <c r="DD223" s="456"/>
      <c r="DE223" s="456"/>
      <c r="DF223" s="456"/>
      <c r="DG223" s="425"/>
      <c r="DH223" s="456">
        <v>56</v>
      </c>
      <c r="DI223" s="456">
        <v>0.2</v>
      </c>
      <c r="DJ223" s="456" t="s">
        <v>755</v>
      </c>
      <c r="DK223" s="425"/>
      <c r="DL223" s="456"/>
      <c r="DM223" s="456"/>
      <c r="DN223" s="456"/>
      <c r="DO223" s="456"/>
      <c r="DP223" s="456"/>
      <c r="DQ223" s="456"/>
      <c r="DR223" s="456"/>
      <c r="DS223" s="456"/>
      <c r="DT223" s="456"/>
      <c r="DU223" s="456"/>
      <c r="DV223" s="456"/>
      <c r="DW223" s="456"/>
      <c r="DX223" s="456"/>
      <c r="DY223" s="456"/>
      <c r="DZ223" s="456"/>
      <c r="EA223" s="456"/>
      <c r="EB223" s="456"/>
      <c r="EC223" s="456"/>
      <c r="ED223" s="423">
        <v>0</v>
      </c>
      <c r="EE223" s="456">
        <v>2</v>
      </c>
      <c r="EF223" s="456">
        <v>3</v>
      </c>
      <c r="EG223" s="456">
        <v>10</v>
      </c>
      <c r="EH223" s="423">
        <v>0</v>
      </c>
      <c r="EI223" s="456"/>
      <c r="EJ223" s="456"/>
      <c r="EK223" s="456"/>
      <c r="EL223" s="456"/>
      <c r="EM223" s="456"/>
      <c r="EN223" s="456"/>
      <c r="EO223" s="425"/>
      <c r="EP223" s="425"/>
      <c r="EQ223" s="425" t="s">
        <v>743</v>
      </c>
      <c r="ER223" s="425">
        <v>1</v>
      </c>
      <c r="ES223" s="425">
        <v>8</v>
      </c>
      <c r="ET223" s="425">
        <v>4000</v>
      </c>
      <c r="EU223" s="457">
        <v>1650</v>
      </c>
      <c r="EV223" s="425">
        <v>235</v>
      </c>
      <c r="EW223" s="425">
        <v>7102275</v>
      </c>
      <c r="EX223" s="425">
        <v>100026</v>
      </c>
      <c r="EY223" s="666">
        <v>18.149999999999999</v>
      </c>
      <c r="EZ223" s="666">
        <v>18.16</v>
      </c>
      <c r="FA223" s="666">
        <v>0</v>
      </c>
      <c r="FB223" s="666">
        <v>1.34</v>
      </c>
      <c r="FC223" s="666">
        <v>1.32</v>
      </c>
      <c r="FD223" s="666">
        <v>1.0209999999999999</v>
      </c>
      <c r="FE223" s="666">
        <v>1.04</v>
      </c>
      <c r="FF223" s="666">
        <v>190</v>
      </c>
      <c r="FG223" s="666">
        <v>0.93</v>
      </c>
      <c r="FH223" s="666">
        <v>0.377</v>
      </c>
      <c r="FI223" s="666">
        <v>0.73</v>
      </c>
      <c r="FJ223" s="666">
        <v>7.7</v>
      </c>
      <c r="FK223" s="666">
        <v>8</v>
      </c>
      <c r="FL223" s="666">
        <v>8.07</v>
      </c>
      <c r="FM223" s="666">
        <v>7.8</v>
      </c>
      <c r="FN223" s="666">
        <v>0</v>
      </c>
    </row>
    <row r="224" spans="1:170" s="416" customFormat="1" ht="15">
      <c r="A224" s="425" t="s">
        <v>8</v>
      </c>
      <c r="B224" s="426">
        <v>40753</v>
      </c>
      <c r="C224" s="418">
        <v>0</v>
      </c>
      <c r="D224" s="518">
        <v>0</v>
      </c>
      <c r="E224" s="453">
        <v>0</v>
      </c>
      <c r="F224" s="453">
        <v>57</v>
      </c>
      <c r="G224" s="453">
        <v>0.4</v>
      </c>
      <c r="H224" s="519" t="s">
        <v>742</v>
      </c>
      <c r="I224" s="519">
        <v>93.7</v>
      </c>
      <c r="J224" s="483">
        <v>1.49</v>
      </c>
      <c r="K224" s="520">
        <v>1.72</v>
      </c>
      <c r="L224" s="453">
        <v>0</v>
      </c>
      <c r="M224" s="453">
        <v>18.899999999999999</v>
      </c>
      <c r="N224" s="453">
        <v>1.74</v>
      </c>
      <c r="O224" s="453">
        <v>2.0639257368982964</v>
      </c>
      <c r="P224" s="453">
        <v>1.66</v>
      </c>
      <c r="Q224" s="453">
        <v>2.0744828745246493</v>
      </c>
      <c r="R224" s="453">
        <v>1073.7447027741082</v>
      </c>
      <c r="S224" s="453">
        <v>7.98</v>
      </c>
      <c r="T224" s="453">
        <v>8.01</v>
      </c>
      <c r="U224" s="453">
        <v>0.62</v>
      </c>
      <c r="V224" s="453">
        <v>0.63</v>
      </c>
      <c r="W224" s="453">
        <v>56.3</v>
      </c>
      <c r="X224" s="456">
        <v>56.3</v>
      </c>
      <c r="Y224" s="453">
        <v>40.659999999999997</v>
      </c>
      <c r="Z224" s="453">
        <v>21.93</v>
      </c>
      <c r="AA224" s="519">
        <v>40.240000000005239</v>
      </c>
      <c r="AB224" s="519">
        <v>21.75</v>
      </c>
      <c r="AC224" s="732">
        <f t="shared" si="3"/>
        <v>61.990000000005239</v>
      </c>
      <c r="AD224" s="664"/>
      <c r="AE224" s="664"/>
      <c r="AF224" s="664"/>
      <c r="AG224" s="664"/>
      <c r="AH224" s="664"/>
      <c r="AI224" s="664"/>
      <c r="AJ224" s="485"/>
      <c r="AK224" s="485"/>
      <c r="AL224" s="485"/>
      <c r="AM224" s="485"/>
      <c r="AN224" s="485"/>
      <c r="AO224" s="665"/>
      <c r="AP224" s="485"/>
      <c r="AQ224" s="483"/>
      <c r="AR224" s="755">
        <v>0</v>
      </c>
      <c r="AS224" s="483">
        <v>40.200000000000003</v>
      </c>
      <c r="AT224" s="755">
        <v>0</v>
      </c>
      <c r="AU224" s="483">
        <v>42</v>
      </c>
      <c r="AV224" s="484">
        <v>804.3</v>
      </c>
      <c r="AW224" s="484">
        <v>953.3</v>
      </c>
      <c r="AX224" s="453">
        <v>47</v>
      </c>
      <c r="AY224" s="734">
        <v>0</v>
      </c>
      <c r="AZ224" s="734">
        <v>0</v>
      </c>
      <c r="BA224" s="734">
        <v>0</v>
      </c>
      <c r="BB224" s="453">
        <v>0</v>
      </c>
      <c r="BC224" s="453">
        <v>1.1000000000000001</v>
      </c>
      <c r="BD224" s="453">
        <v>1.83</v>
      </c>
      <c r="BE224" s="734">
        <v>0</v>
      </c>
      <c r="BF224" s="453">
        <v>0.78</v>
      </c>
      <c r="BG224" s="453">
        <v>0</v>
      </c>
      <c r="BH224" s="734">
        <v>0</v>
      </c>
      <c r="BI224" s="453">
        <v>1.59</v>
      </c>
      <c r="BJ224" s="453">
        <v>16.8</v>
      </c>
      <c r="BK224" s="453">
        <v>4.62</v>
      </c>
      <c r="BL224" s="453">
        <v>5.42</v>
      </c>
      <c r="BM224" s="453">
        <v>0</v>
      </c>
      <c r="BN224" s="453">
        <v>6.7</v>
      </c>
      <c r="BO224" s="453">
        <v>2993.5</v>
      </c>
      <c r="BP224" s="453">
        <v>0</v>
      </c>
      <c r="BQ224" s="453">
        <v>18.2</v>
      </c>
      <c r="BR224" s="453">
        <v>18.2</v>
      </c>
      <c r="BS224" s="453">
        <v>0</v>
      </c>
      <c r="BT224" s="453">
        <v>38.799999999999997</v>
      </c>
      <c r="BU224" s="453">
        <v>38.700000000000003</v>
      </c>
      <c r="BV224" s="456">
        <v>1182</v>
      </c>
      <c r="BW224" s="453">
        <v>2.2599999999999998</v>
      </c>
      <c r="BX224" s="453">
        <v>1.37</v>
      </c>
      <c r="BY224" s="456">
        <v>0.97</v>
      </c>
      <c r="BZ224" s="456">
        <v>16.399999999999999</v>
      </c>
      <c r="CA224" s="456">
        <v>34.200000000000003</v>
      </c>
      <c r="CB224" s="456">
        <v>18.3</v>
      </c>
      <c r="CC224" s="456">
        <v>9.6999999999999993</v>
      </c>
      <c r="CD224" s="456">
        <v>13.9</v>
      </c>
      <c r="CE224" s="456">
        <v>18.2</v>
      </c>
      <c r="CF224" s="456">
        <v>12.79</v>
      </c>
      <c r="CG224" s="456">
        <v>0</v>
      </c>
      <c r="CH224" s="456">
        <v>2.2000000000000002</v>
      </c>
      <c r="CI224" s="456">
        <v>3.4</v>
      </c>
      <c r="CJ224" s="456">
        <v>1012.6</v>
      </c>
      <c r="CK224" s="456">
        <v>1043.5999999999999</v>
      </c>
      <c r="CL224" s="456">
        <v>748.2</v>
      </c>
      <c r="CM224" s="456">
        <v>10.7</v>
      </c>
      <c r="CN224" s="456">
        <v>1.8</v>
      </c>
      <c r="CO224" s="453">
        <v>11040.7</v>
      </c>
      <c r="CP224" s="453">
        <v>12.54</v>
      </c>
      <c r="CQ224" s="453">
        <v>56</v>
      </c>
      <c r="CR224" s="456">
        <v>0</v>
      </c>
      <c r="CS224" s="456">
        <v>0</v>
      </c>
      <c r="CT224" s="456">
        <v>0</v>
      </c>
      <c r="CU224" s="456">
        <v>0</v>
      </c>
      <c r="CV224" s="481">
        <v>363.66666666666669</v>
      </c>
      <c r="CW224" s="481">
        <v>544.08333333333337</v>
      </c>
      <c r="CX224" s="481">
        <v>278.84375</v>
      </c>
      <c r="CY224" s="481">
        <v>1158.23</v>
      </c>
      <c r="CZ224" s="456"/>
      <c r="DA224" s="456"/>
      <c r="DB224" s="456"/>
      <c r="DC224" s="456"/>
      <c r="DD224" s="456"/>
      <c r="DE224" s="456"/>
      <c r="DF224" s="456"/>
      <c r="DG224" s="425"/>
      <c r="DH224" s="456">
        <v>98</v>
      </c>
      <c r="DI224" s="456">
        <v>0.18</v>
      </c>
      <c r="DJ224" s="456" t="s">
        <v>755</v>
      </c>
      <c r="DK224" s="425"/>
      <c r="DL224" s="456"/>
      <c r="DM224" s="456"/>
      <c r="DN224" s="456"/>
      <c r="DO224" s="456"/>
      <c r="DP224" s="456"/>
      <c r="DQ224" s="456"/>
      <c r="DR224" s="456"/>
      <c r="DS224" s="456"/>
      <c r="DT224" s="456"/>
      <c r="DU224" s="456"/>
      <c r="DV224" s="456"/>
      <c r="DW224" s="456"/>
      <c r="DX224" s="456"/>
      <c r="DY224" s="456"/>
      <c r="DZ224" s="456"/>
      <c r="EA224" s="456"/>
      <c r="EB224" s="456"/>
      <c r="EC224" s="456"/>
      <c r="ED224" s="423">
        <v>0</v>
      </c>
      <c r="EE224" s="456">
        <v>2</v>
      </c>
      <c r="EF224" s="456">
        <v>4</v>
      </c>
      <c r="EG224" s="456">
        <v>10</v>
      </c>
      <c r="EH224" s="423">
        <v>0</v>
      </c>
      <c r="EI224" s="456"/>
      <c r="EJ224" s="456"/>
      <c r="EK224" s="456"/>
      <c r="EL224" s="456"/>
      <c r="EM224" s="456"/>
      <c r="EN224" s="456"/>
      <c r="EO224" s="425"/>
      <c r="EP224" s="425"/>
      <c r="EQ224" s="425" t="s">
        <v>743</v>
      </c>
      <c r="ER224" s="425">
        <v>1</v>
      </c>
      <c r="ES224" s="425">
        <v>8</v>
      </c>
      <c r="ET224" s="425">
        <v>4000</v>
      </c>
      <c r="EU224" s="457">
        <v>1430</v>
      </c>
      <c r="EV224" s="425">
        <v>230</v>
      </c>
      <c r="EW224" s="425">
        <v>7106233</v>
      </c>
      <c r="EX224" s="425">
        <v>662</v>
      </c>
      <c r="EY224" s="666">
        <v>17.62</v>
      </c>
      <c r="EZ224" s="666">
        <v>17.62</v>
      </c>
      <c r="FA224" s="666">
        <v>0</v>
      </c>
      <c r="FB224" s="666">
        <v>1.32</v>
      </c>
      <c r="FC224" s="666">
        <v>1.27</v>
      </c>
      <c r="FD224" s="666">
        <v>0.65900000000000003</v>
      </c>
      <c r="FE224" s="666">
        <v>0.9</v>
      </c>
      <c r="FF224" s="666">
        <v>220</v>
      </c>
      <c r="FG224" s="666">
        <v>0.88</v>
      </c>
      <c r="FH224" s="666">
        <v>0.41</v>
      </c>
      <c r="FI224" s="666">
        <v>0.75</v>
      </c>
      <c r="FJ224" s="666">
        <v>7.76</v>
      </c>
      <c r="FK224" s="666">
        <v>7.9</v>
      </c>
      <c r="FL224" s="666">
        <v>7.97</v>
      </c>
      <c r="FM224" s="666">
        <v>7.7</v>
      </c>
      <c r="FN224" s="666">
        <v>0</v>
      </c>
    </row>
    <row r="225" spans="1:170" s="416" customFormat="1" ht="15">
      <c r="A225" s="425" t="s">
        <v>9</v>
      </c>
      <c r="B225" s="426">
        <v>40754</v>
      </c>
      <c r="C225" s="418">
        <v>0</v>
      </c>
      <c r="D225" s="518">
        <v>0</v>
      </c>
      <c r="E225" s="453">
        <v>0</v>
      </c>
      <c r="F225" s="453">
        <v>56</v>
      </c>
      <c r="G225" s="453">
        <v>0.4</v>
      </c>
      <c r="H225" s="519" t="s">
        <v>742</v>
      </c>
      <c r="I225" s="519">
        <v>93.6</v>
      </c>
      <c r="J225" s="483">
        <v>0.69</v>
      </c>
      <c r="K225" s="520">
        <v>0.74</v>
      </c>
      <c r="L225" s="453">
        <v>0</v>
      </c>
      <c r="M225" s="453">
        <v>18.899999999999999</v>
      </c>
      <c r="N225" s="453">
        <v>1.65</v>
      </c>
      <c r="O225" s="453">
        <v>1.9873441376421688</v>
      </c>
      <c r="P225" s="453">
        <v>1.58</v>
      </c>
      <c r="Q225" s="453">
        <v>1.852380678881167</v>
      </c>
      <c r="R225" s="453">
        <v>1034.8761162483486</v>
      </c>
      <c r="S225" s="453">
        <v>7.93</v>
      </c>
      <c r="T225" s="453">
        <v>7.98</v>
      </c>
      <c r="U225" s="453">
        <v>0.63</v>
      </c>
      <c r="V225" s="453">
        <v>0.63</v>
      </c>
      <c r="W225" s="453">
        <v>56.120000000000005</v>
      </c>
      <c r="X225" s="456">
        <v>56.120000000000005</v>
      </c>
      <c r="Y225" s="453">
        <v>41.09</v>
      </c>
      <c r="Z225" s="453">
        <v>22.2</v>
      </c>
      <c r="AA225" s="519">
        <v>41</v>
      </c>
      <c r="AB225" s="519">
        <v>22</v>
      </c>
      <c r="AC225" s="732">
        <f t="shared" si="3"/>
        <v>63</v>
      </c>
      <c r="AD225" s="664"/>
      <c r="AE225" s="664"/>
      <c r="AF225" s="664"/>
      <c r="AG225" s="664"/>
      <c r="AH225" s="664"/>
      <c r="AI225" s="664"/>
      <c r="AJ225" s="485"/>
      <c r="AK225" s="485"/>
      <c r="AL225" s="485"/>
      <c r="AM225" s="485"/>
      <c r="AN225" s="485"/>
      <c r="AO225" s="665"/>
      <c r="AP225" s="485"/>
      <c r="AQ225" s="483"/>
      <c r="AR225" s="755">
        <v>0</v>
      </c>
      <c r="AS225" s="483">
        <v>38.799999999999997</v>
      </c>
      <c r="AT225" s="755">
        <v>0</v>
      </c>
      <c r="AU225" s="483">
        <v>42.2</v>
      </c>
      <c r="AV225" s="484">
        <v>1050</v>
      </c>
      <c r="AW225" s="484">
        <v>805.9</v>
      </c>
      <c r="AX225" s="453">
        <v>42.5</v>
      </c>
      <c r="AY225" s="734">
        <v>0</v>
      </c>
      <c r="AZ225" s="734">
        <v>0</v>
      </c>
      <c r="BA225" s="734">
        <v>0</v>
      </c>
      <c r="BB225" s="453">
        <v>0</v>
      </c>
      <c r="BC225" s="453">
        <v>1.23</v>
      </c>
      <c r="BD225" s="453">
        <v>1.81</v>
      </c>
      <c r="BE225" s="734">
        <v>0</v>
      </c>
      <c r="BF225" s="453">
        <v>1.05</v>
      </c>
      <c r="BG225" s="453">
        <v>0</v>
      </c>
      <c r="BH225" s="734">
        <v>0</v>
      </c>
      <c r="BI225" s="453">
        <v>1.59</v>
      </c>
      <c r="BJ225" s="453">
        <v>16.399999999999999</v>
      </c>
      <c r="BK225" s="453">
        <v>4.62</v>
      </c>
      <c r="BL225" s="453">
        <v>5.42</v>
      </c>
      <c r="BM225" s="453">
        <v>0</v>
      </c>
      <c r="BN225" s="453">
        <v>6.4</v>
      </c>
      <c r="BO225" s="453">
        <v>2955.7</v>
      </c>
      <c r="BP225" s="453">
        <v>0</v>
      </c>
      <c r="BQ225" s="453">
        <v>17.8</v>
      </c>
      <c r="BR225" s="453">
        <v>17.8</v>
      </c>
      <c r="BS225" s="453">
        <v>0</v>
      </c>
      <c r="BT225" s="453">
        <v>38.5</v>
      </c>
      <c r="BU225" s="453">
        <v>39.200000000000003</v>
      </c>
      <c r="BV225" s="456">
        <v>1211.9000000000001</v>
      </c>
      <c r="BW225" s="453">
        <v>0.61</v>
      </c>
      <c r="BX225" s="453">
        <v>1.35</v>
      </c>
      <c r="BY225" s="456">
        <v>0.9</v>
      </c>
      <c r="BZ225" s="456">
        <v>16</v>
      </c>
      <c r="CA225" s="456">
        <v>37.200000000000003</v>
      </c>
      <c r="CB225" s="456">
        <v>17.899999999999999</v>
      </c>
      <c r="CC225" s="456">
        <v>9.9</v>
      </c>
      <c r="CD225" s="456">
        <v>14.1</v>
      </c>
      <c r="CE225" s="456">
        <v>18.399999999999999</v>
      </c>
      <c r="CF225" s="456">
        <v>13.6</v>
      </c>
      <c r="CG225" s="456">
        <v>0</v>
      </c>
      <c r="CH225" s="456">
        <v>3.1</v>
      </c>
      <c r="CI225" s="456">
        <v>2.1</v>
      </c>
      <c r="CJ225" s="456">
        <v>1099.5999999999999</v>
      </c>
      <c r="CK225" s="456">
        <v>1026.8</v>
      </c>
      <c r="CL225" s="456">
        <v>701.7</v>
      </c>
      <c r="CM225" s="456">
        <v>9.6</v>
      </c>
      <c r="CN225" s="456">
        <v>1.6</v>
      </c>
      <c r="CO225" s="453">
        <v>10483.6</v>
      </c>
      <c r="CP225" s="453">
        <v>10.99</v>
      </c>
      <c r="CQ225" s="453">
        <v>56</v>
      </c>
      <c r="CR225" s="456">
        <v>0</v>
      </c>
      <c r="CS225" s="456">
        <v>0</v>
      </c>
      <c r="CT225" s="456">
        <v>0</v>
      </c>
      <c r="CU225" s="456">
        <v>0</v>
      </c>
      <c r="CV225" s="481">
        <v>353.75</v>
      </c>
      <c r="CW225" s="481">
        <v>499.92708333333331</v>
      </c>
      <c r="CX225" s="481">
        <v>265.67708333333331</v>
      </c>
      <c r="CY225" s="481">
        <v>1158.1500000000001</v>
      </c>
      <c r="CZ225" s="456"/>
      <c r="DA225" s="456"/>
      <c r="DB225" s="456"/>
      <c r="DC225" s="456"/>
      <c r="DD225" s="456"/>
      <c r="DE225" s="456"/>
      <c r="DF225" s="456"/>
      <c r="DG225" s="425"/>
      <c r="DH225" s="456">
        <v>84</v>
      </c>
      <c r="DI225" s="456">
        <v>0.28999999999999998</v>
      </c>
      <c r="DJ225" s="456" t="s">
        <v>755</v>
      </c>
      <c r="DK225" s="425"/>
      <c r="DL225" s="456"/>
      <c r="DM225" s="456"/>
      <c r="DN225" s="456"/>
      <c r="DO225" s="456"/>
      <c r="DP225" s="456"/>
      <c r="DQ225" s="456"/>
      <c r="DR225" s="456"/>
      <c r="DS225" s="456"/>
      <c r="DT225" s="456"/>
      <c r="DU225" s="456"/>
      <c r="DV225" s="456"/>
      <c r="DW225" s="456"/>
      <c r="DX225" s="456"/>
      <c r="DY225" s="456"/>
      <c r="DZ225" s="456"/>
      <c r="EA225" s="456"/>
      <c r="EB225" s="456"/>
      <c r="EC225" s="456"/>
      <c r="ED225" s="423">
        <v>0</v>
      </c>
      <c r="EE225" s="456">
        <v>2</v>
      </c>
      <c r="EF225" s="456">
        <v>4</v>
      </c>
      <c r="EG225" s="456">
        <v>10</v>
      </c>
      <c r="EH225" s="423">
        <v>0</v>
      </c>
      <c r="EI225" s="456"/>
      <c r="EJ225" s="456"/>
      <c r="EK225" s="456"/>
      <c r="EL225" s="456"/>
      <c r="EM225" s="456"/>
      <c r="EN225" s="456"/>
      <c r="EO225" s="425"/>
      <c r="EP225" s="425"/>
      <c r="EQ225" s="425" t="s">
        <v>743</v>
      </c>
      <c r="ER225" s="425">
        <v>1</v>
      </c>
      <c r="ES225" s="425">
        <v>8</v>
      </c>
      <c r="ET225" s="425">
        <v>4000</v>
      </c>
      <c r="EU225" s="457">
        <v>1205</v>
      </c>
      <c r="EV225" s="425">
        <v>170</v>
      </c>
      <c r="EW225" s="425">
        <v>7110125</v>
      </c>
      <c r="EX225" s="425">
        <v>1316</v>
      </c>
      <c r="EY225" s="666">
        <v>17.440000000000001</v>
      </c>
      <c r="EZ225" s="666">
        <v>17.45</v>
      </c>
      <c r="FA225" s="666">
        <v>0</v>
      </c>
      <c r="FB225" s="666">
        <v>1.3</v>
      </c>
      <c r="FC225" s="666">
        <v>1.26</v>
      </c>
      <c r="FD225" s="666">
        <v>0.95699999999999996</v>
      </c>
      <c r="FE225" s="666">
        <v>1.03</v>
      </c>
      <c r="FF225" s="666">
        <v>225</v>
      </c>
      <c r="FG225" s="666">
        <v>1.06</v>
      </c>
      <c r="FH225" s="666">
        <v>0.39400000000000002</v>
      </c>
      <c r="FI225" s="666">
        <v>0.78</v>
      </c>
      <c r="FJ225" s="666">
        <v>7.8</v>
      </c>
      <c r="FK225" s="666">
        <v>7.9</v>
      </c>
      <c r="FL225" s="666">
        <v>8</v>
      </c>
      <c r="FM225" s="666">
        <v>7.4</v>
      </c>
      <c r="FN225" s="666">
        <v>0</v>
      </c>
    </row>
    <row r="226" spans="1:170" s="416" customFormat="1" ht="15">
      <c r="A226" s="425" t="s">
        <v>3</v>
      </c>
      <c r="B226" s="426">
        <v>40755</v>
      </c>
      <c r="C226" s="418">
        <v>0</v>
      </c>
      <c r="D226" s="518">
        <v>0</v>
      </c>
      <c r="E226" s="453">
        <v>0</v>
      </c>
      <c r="F226" s="453">
        <v>53</v>
      </c>
      <c r="G226" s="453">
        <v>0.4</v>
      </c>
      <c r="H226" s="519" t="s">
        <v>742</v>
      </c>
      <c r="I226" s="519">
        <v>94.9</v>
      </c>
      <c r="J226" s="483">
        <v>0.73</v>
      </c>
      <c r="K226" s="520">
        <v>0.75</v>
      </c>
      <c r="L226" s="453">
        <v>0</v>
      </c>
      <c r="M226" s="453">
        <v>18.8</v>
      </c>
      <c r="N226" s="453">
        <v>1.63</v>
      </c>
      <c r="O226" s="453">
        <v>1.9409511228533685</v>
      </c>
      <c r="P226" s="453">
        <v>1.62</v>
      </c>
      <c r="Q226" s="453">
        <v>1.9895400504383329</v>
      </c>
      <c r="R226" s="453">
        <v>1044.9171677675031</v>
      </c>
      <c r="S226" s="453">
        <v>7.99</v>
      </c>
      <c r="T226" s="453">
        <v>8.01</v>
      </c>
      <c r="U226" s="453">
        <v>0.61</v>
      </c>
      <c r="V226" s="453">
        <v>0.64</v>
      </c>
      <c r="W226" s="453">
        <v>56.3</v>
      </c>
      <c r="X226" s="456">
        <v>56.3</v>
      </c>
      <c r="Y226" s="453">
        <v>40.880000000000003</v>
      </c>
      <c r="Z226" s="453">
        <v>21.88</v>
      </c>
      <c r="AA226" s="519">
        <v>41</v>
      </c>
      <c r="AB226" s="519">
        <v>22</v>
      </c>
      <c r="AC226" s="732">
        <f t="shared" si="3"/>
        <v>63</v>
      </c>
      <c r="AD226" s="664"/>
      <c r="AE226" s="664"/>
      <c r="AF226" s="664"/>
      <c r="AG226" s="664"/>
      <c r="AH226" s="664"/>
      <c r="AI226" s="664"/>
      <c r="AJ226" s="485"/>
      <c r="AK226" s="485"/>
      <c r="AL226" s="485"/>
      <c r="AM226" s="485"/>
      <c r="AN226" s="485"/>
      <c r="AO226" s="665"/>
      <c r="AP226" s="485"/>
      <c r="AQ226" s="483"/>
      <c r="AR226" s="755">
        <v>0</v>
      </c>
      <c r="AS226" s="483">
        <v>19</v>
      </c>
      <c r="AT226" s="755">
        <v>0</v>
      </c>
      <c r="AU226" s="483">
        <v>42.3</v>
      </c>
      <c r="AV226" s="484">
        <v>781.1</v>
      </c>
      <c r="AW226" s="484">
        <v>875.1</v>
      </c>
      <c r="AX226" s="453">
        <v>47</v>
      </c>
      <c r="AY226" s="734">
        <v>0</v>
      </c>
      <c r="AZ226" s="734">
        <v>0</v>
      </c>
      <c r="BA226" s="734">
        <v>0</v>
      </c>
      <c r="BB226" s="453">
        <v>0</v>
      </c>
      <c r="BC226" s="453">
        <v>0.82</v>
      </c>
      <c r="BD226" s="453">
        <v>2.21</v>
      </c>
      <c r="BE226" s="734">
        <v>0</v>
      </c>
      <c r="BF226" s="453">
        <v>1.05</v>
      </c>
      <c r="BG226" s="453">
        <v>0</v>
      </c>
      <c r="BH226" s="734">
        <v>0</v>
      </c>
      <c r="BI226" s="453">
        <v>1.58</v>
      </c>
      <c r="BJ226" s="453">
        <v>16.5</v>
      </c>
      <c r="BK226" s="453">
        <v>4.62</v>
      </c>
      <c r="BL226" s="453">
        <v>5.42</v>
      </c>
      <c r="BM226" s="453">
        <v>0</v>
      </c>
      <c r="BN226" s="453">
        <v>6.4</v>
      </c>
      <c r="BO226" s="453">
        <v>2875.4</v>
      </c>
      <c r="BP226" s="453">
        <v>0</v>
      </c>
      <c r="BQ226" s="453">
        <v>17.2</v>
      </c>
      <c r="BR226" s="453">
        <v>17.3</v>
      </c>
      <c r="BS226" s="453">
        <v>0</v>
      </c>
      <c r="BT226" s="453">
        <v>39</v>
      </c>
      <c r="BU226" s="453">
        <v>34.299999999999997</v>
      </c>
      <c r="BV226" s="456">
        <v>1036.5999999999999</v>
      </c>
      <c r="BW226" s="453">
        <v>2.98</v>
      </c>
      <c r="BX226" s="453">
        <v>1.32</v>
      </c>
      <c r="BY226" s="456">
        <v>0.9</v>
      </c>
      <c r="BZ226" s="456">
        <v>18.2</v>
      </c>
      <c r="CA226" s="456">
        <v>36.200000000000003</v>
      </c>
      <c r="CB226" s="456">
        <v>17.8</v>
      </c>
      <c r="CC226" s="456">
        <v>9.4700000000000006</v>
      </c>
      <c r="CD226" s="456">
        <v>13.6</v>
      </c>
      <c r="CE226" s="456">
        <v>17.899999999999999</v>
      </c>
      <c r="CF226" s="456">
        <v>13.8</v>
      </c>
      <c r="CG226" s="456">
        <v>0</v>
      </c>
      <c r="CH226" s="456">
        <v>1.6</v>
      </c>
      <c r="CI226" s="456">
        <v>3</v>
      </c>
      <c r="CJ226" s="456">
        <v>1067.4000000000001</v>
      </c>
      <c r="CK226" s="456">
        <v>1046.7</v>
      </c>
      <c r="CL226" s="456">
        <v>688.7</v>
      </c>
      <c r="CM226" s="456">
        <v>9.1999999999999993</v>
      </c>
      <c r="CN226" s="456">
        <v>1.5</v>
      </c>
      <c r="CO226" s="453">
        <v>9334.1</v>
      </c>
      <c r="CP226" s="453">
        <v>11.44</v>
      </c>
      <c r="CQ226" s="453">
        <v>56</v>
      </c>
      <c r="CR226" s="456">
        <v>0</v>
      </c>
      <c r="CS226" s="456">
        <v>0</v>
      </c>
      <c r="CT226" s="456">
        <v>0</v>
      </c>
      <c r="CU226" s="456">
        <v>0</v>
      </c>
      <c r="CV226" s="481">
        <v>353.75</v>
      </c>
      <c r="CW226" s="481">
        <v>494.92708333333331</v>
      </c>
      <c r="CX226" s="481">
        <v>265.63541666666669</v>
      </c>
      <c r="CY226" s="481">
        <v>1158.06</v>
      </c>
      <c r="CZ226" s="456"/>
      <c r="DA226" s="456"/>
      <c r="DB226" s="456"/>
      <c r="DC226" s="456"/>
      <c r="DD226" s="456"/>
      <c r="DE226" s="456"/>
      <c r="DF226" s="456"/>
      <c r="DG226" s="425"/>
      <c r="DH226" s="456">
        <v>66</v>
      </c>
      <c r="DI226" s="456">
        <v>0.2</v>
      </c>
      <c r="DJ226" s="456" t="s">
        <v>755</v>
      </c>
      <c r="DK226" s="425"/>
      <c r="DL226" s="456"/>
      <c r="DM226" s="456"/>
      <c r="DN226" s="456"/>
      <c r="DO226" s="456"/>
      <c r="DP226" s="456"/>
      <c r="DQ226" s="456"/>
      <c r="DR226" s="456"/>
      <c r="DS226" s="456"/>
      <c r="DT226" s="456"/>
      <c r="DU226" s="456"/>
      <c r="DV226" s="456"/>
      <c r="DW226" s="456"/>
      <c r="DX226" s="456"/>
      <c r="DY226" s="456"/>
      <c r="DZ226" s="456"/>
      <c r="EA226" s="456"/>
      <c r="EB226" s="456"/>
      <c r="EC226" s="456"/>
      <c r="ED226" s="423">
        <v>0</v>
      </c>
      <c r="EE226" s="456">
        <v>2</v>
      </c>
      <c r="EF226" s="456">
        <v>4</v>
      </c>
      <c r="EG226" s="456">
        <v>10</v>
      </c>
      <c r="EH226" s="423">
        <v>0</v>
      </c>
      <c r="EI226" s="456"/>
      <c r="EJ226" s="456"/>
      <c r="EK226" s="456"/>
      <c r="EL226" s="456"/>
      <c r="EM226" s="456"/>
      <c r="EN226" s="456"/>
      <c r="EO226" s="425"/>
      <c r="EP226" s="425"/>
      <c r="EQ226" s="425" t="s">
        <v>743</v>
      </c>
      <c r="ER226" s="425">
        <v>1</v>
      </c>
      <c r="ES226" s="425">
        <v>8</v>
      </c>
      <c r="ET226" s="425">
        <v>4000</v>
      </c>
      <c r="EU226" s="457">
        <v>1030</v>
      </c>
      <c r="EV226" s="425">
        <v>210</v>
      </c>
      <c r="EW226" s="425">
        <v>7113473</v>
      </c>
      <c r="EX226" s="425">
        <v>1885</v>
      </c>
      <c r="EY226" s="666">
        <v>17.670000000000002</v>
      </c>
      <c r="EZ226" s="666">
        <v>17.690000000000001</v>
      </c>
      <c r="FA226" s="666">
        <v>0</v>
      </c>
      <c r="FB226" s="666">
        <v>1.26</v>
      </c>
      <c r="FC226" s="666">
        <v>1.25</v>
      </c>
      <c r="FD226" s="666">
        <v>0.91400000000000003</v>
      </c>
      <c r="FE226" s="666">
        <v>0.92</v>
      </c>
      <c r="FF226" s="666">
        <v>165</v>
      </c>
      <c r="FG226" s="666">
        <v>1.02</v>
      </c>
      <c r="FH226" s="666">
        <v>0.38700000000000001</v>
      </c>
      <c r="FI226" s="666">
        <v>0.81</v>
      </c>
      <c r="FJ226" s="666">
        <v>7.98</v>
      </c>
      <c r="FK226" s="666">
        <v>7.9</v>
      </c>
      <c r="FL226" s="666">
        <v>7.9</v>
      </c>
      <c r="FM226" s="666">
        <v>7.4</v>
      </c>
      <c r="FN226" s="666">
        <v>0</v>
      </c>
    </row>
    <row r="227" spans="1:170" s="416" customFormat="1" ht="15">
      <c r="A227" s="425" t="s">
        <v>4</v>
      </c>
      <c r="B227" s="426">
        <v>40756</v>
      </c>
      <c r="C227" s="418">
        <v>0</v>
      </c>
      <c r="D227" s="518">
        <v>0</v>
      </c>
      <c r="E227" s="453">
        <v>0</v>
      </c>
      <c r="F227" s="453">
        <v>56</v>
      </c>
      <c r="G227" s="453">
        <v>0.45</v>
      </c>
      <c r="H227" s="519">
        <v>1.04</v>
      </c>
      <c r="I227" s="519">
        <v>93.3</v>
      </c>
      <c r="J227" s="483">
        <v>0.75</v>
      </c>
      <c r="K227" s="520">
        <v>0.77</v>
      </c>
      <c r="L227" s="453">
        <v>0</v>
      </c>
      <c r="M227" s="453">
        <v>18.7</v>
      </c>
      <c r="N227" s="453">
        <v>1.64</v>
      </c>
      <c r="O227" s="453">
        <v>1.9951247476383935</v>
      </c>
      <c r="P227" s="453">
        <v>1.61</v>
      </c>
      <c r="Q227" s="453">
        <v>2.0155557684210006</v>
      </c>
      <c r="R227" s="453">
        <v>1060.1406974900922</v>
      </c>
      <c r="S227" s="453">
        <v>7.91</v>
      </c>
      <c r="T227" s="453">
        <v>8.0399999999999991</v>
      </c>
      <c r="U227" s="453">
        <v>0.6</v>
      </c>
      <c r="V227" s="453">
        <v>0.64</v>
      </c>
      <c r="W227" s="453">
        <v>56.84</v>
      </c>
      <c r="X227" s="456">
        <v>56.84</v>
      </c>
      <c r="Y227" s="453">
        <v>41.08</v>
      </c>
      <c r="Z227" s="453">
        <v>22.22</v>
      </c>
      <c r="AA227" s="519">
        <v>40.30000000000291</v>
      </c>
      <c r="AB227" s="519">
        <v>24.05000000000291</v>
      </c>
      <c r="AC227" s="732">
        <f t="shared" si="3"/>
        <v>64.350000000005821</v>
      </c>
      <c r="AD227" s="664"/>
      <c r="AE227" s="664"/>
      <c r="AF227" s="664"/>
      <c r="AG227" s="664"/>
      <c r="AH227" s="664"/>
      <c r="AI227" s="664"/>
      <c r="AJ227" s="485"/>
      <c r="AK227" s="485"/>
      <c r="AL227" s="485"/>
      <c r="AM227" s="485"/>
      <c r="AN227" s="485"/>
      <c r="AO227" s="665"/>
      <c r="AP227" s="485"/>
      <c r="AQ227" s="483"/>
      <c r="AR227" s="755">
        <v>0</v>
      </c>
      <c r="AS227" s="483">
        <v>38.799999999999997</v>
      </c>
      <c r="AT227" s="755">
        <v>0</v>
      </c>
      <c r="AU227" s="483">
        <v>42.2</v>
      </c>
      <c r="AV227" s="484">
        <v>855.9</v>
      </c>
      <c r="AW227" s="484">
        <v>1021.5</v>
      </c>
      <c r="AX227" s="453">
        <v>51.9</v>
      </c>
      <c r="AY227" s="734">
        <v>0</v>
      </c>
      <c r="AZ227" s="734">
        <v>0</v>
      </c>
      <c r="BA227" s="734">
        <v>0</v>
      </c>
      <c r="BB227" s="453">
        <v>0</v>
      </c>
      <c r="BC227" s="453">
        <v>1.23</v>
      </c>
      <c r="BD227" s="453">
        <v>1.72</v>
      </c>
      <c r="BE227" s="734">
        <v>0</v>
      </c>
      <c r="BF227" s="453">
        <v>1.05</v>
      </c>
      <c r="BG227" s="453">
        <v>0</v>
      </c>
      <c r="BH227" s="734">
        <v>0</v>
      </c>
      <c r="BI227" s="453">
        <v>1.51</v>
      </c>
      <c r="BJ227" s="453">
        <v>18.8</v>
      </c>
      <c r="BK227" s="453">
        <v>4.62</v>
      </c>
      <c r="BL227" s="453">
        <v>5.42</v>
      </c>
      <c r="BM227" s="453">
        <v>0</v>
      </c>
      <c r="BN227" s="453">
        <v>8.6999999999999993</v>
      </c>
      <c r="BO227" s="453">
        <v>3044.5</v>
      </c>
      <c r="BP227" s="453">
        <v>0</v>
      </c>
      <c r="BQ227" s="453">
        <v>17</v>
      </c>
      <c r="BR227" s="453">
        <v>17.100000000000001</v>
      </c>
      <c r="BS227" s="453">
        <v>0</v>
      </c>
      <c r="BT227" s="453">
        <v>38.6</v>
      </c>
      <c r="BU227" s="453">
        <v>40.4</v>
      </c>
      <c r="BV227" s="456">
        <v>1129.0999999999999</v>
      </c>
      <c r="BW227" s="453">
        <v>1</v>
      </c>
      <c r="BX227" s="453">
        <v>1.29</v>
      </c>
      <c r="BY227" s="456">
        <v>0.89</v>
      </c>
      <c r="BZ227" s="456">
        <v>18.7</v>
      </c>
      <c r="CA227" s="456">
        <v>34.4</v>
      </c>
      <c r="CB227" s="456">
        <v>17.5</v>
      </c>
      <c r="CC227" s="456">
        <v>9.4</v>
      </c>
      <c r="CD227" s="456">
        <v>13.6</v>
      </c>
      <c r="CE227" s="456">
        <v>17.899999999999999</v>
      </c>
      <c r="CF227" s="456">
        <v>13.5</v>
      </c>
      <c r="CG227" s="456">
        <v>0</v>
      </c>
      <c r="CH227" s="456">
        <v>3.7</v>
      </c>
      <c r="CI227" s="456">
        <v>4</v>
      </c>
      <c r="CJ227" s="456">
        <v>1260.5999999999999</v>
      </c>
      <c r="CK227" s="456">
        <v>1072.3</v>
      </c>
      <c r="CL227" s="456">
        <v>764.5</v>
      </c>
      <c r="CM227" s="456">
        <v>9.6</v>
      </c>
      <c r="CN227" s="456">
        <v>1.7</v>
      </c>
      <c r="CO227" s="453">
        <v>9310.4</v>
      </c>
      <c r="CP227" s="453">
        <v>11.76</v>
      </c>
      <c r="CQ227" s="787">
        <v>57</v>
      </c>
      <c r="CR227" s="456">
        <v>0</v>
      </c>
      <c r="CS227" s="456">
        <v>0</v>
      </c>
      <c r="CT227" s="456">
        <v>0</v>
      </c>
      <c r="CU227" s="456">
        <v>0</v>
      </c>
      <c r="CV227" s="481">
        <v>344.16666666666669</v>
      </c>
      <c r="CW227" s="481">
        <v>484.25</v>
      </c>
      <c r="CX227" s="481">
        <v>253.98958333333334</v>
      </c>
      <c r="CY227" s="481">
        <v>1157.96</v>
      </c>
      <c r="CZ227" s="456"/>
      <c r="DA227" s="456"/>
      <c r="DB227" s="456"/>
      <c r="DC227" s="456"/>
      <c r="DD227" s="456"/>
      <c r="DE227" s="456"/>
      <c r="DF227" s="456"/>
      <c r="DG227" s="425"/>
      <c r="DH227" s="456">
        <v>57</v>
      </c>
      <c r="DI227" s="456">
        <v>0.16</v>
      </c>
      <c r="DJ227" s="456">
        <v>0</v>
      </c>
      <c r="DK227" s="425"/>
      <c r="DL227" s="456"/>
      <c r="DM227" s="456"/>
      <c r="DN227" s="456"/>
      <c r="DO227" s="456"/>
      <c r="DP227" s="456"/>
      <c r="DQ227" s="456"/>
      <c r="DR227" s="456"/>
      <c r="DS227" s="456"/>
      <c r="DT227" s="456"/>
      <c r="DU227" s="456"/>
      <c r="DV227" s="456"/>
      <c r="DW227" s="456"/>
      <c r="DX227" s="456"/>
      <c r="DY227" s="456"/>
      <c r="DZ227" s="456"/>
      <c r="EA227" s="456"/>
      <c r="EB227" s="456"/>
      <c r="EC227" s="456"/>
      <c r="ED227" s="423">
        <v>0</v>
      </c>
      <c r="EE227" s="456">
        <v>2</v>
      </c>
      <c r="EF227" s="456">
        <v>4</v>
      </c>
      <c r="EG227" s="456">
        <v>10</v>
      </c>
      <c r="EH227" s="423">
        <v>0</v>
      </c>
      <c r="EI227" s="456"/>
      <c r="EJ227" s="456"/>
      <c r="EK227" s="456"/>
      <c r="EL227" s="456"/>
      <c r="EM227" s="456"/>
      <c r="EN227" s="456"/>
      <c r="EO227" s="425"/>
      <c r="EP227" s="425"/>
      <c r="EQ227" s="425" t="s">
        <v>743</v>
      </c>
      <c r="ER227" s="425">
        <v>1</v>
      </c>
      <c r="ES227" s="425">
        <v>8</v>
      </c>
      <c r="ET227" s="425">
        <v>4000</v>
      </c>
      <c r="EU227" s="457">
        <v>800</v>
      </c>
      <c r="EV227" s="425">
        <v>260</v>
      </c>
      <c r="EW227" s="425">
        <v>7117356</v>
      </c>
      <c r="EX227" s="425">
        <v>2516</v>
      </c>
      <c r="EY227" s="666">
        <v>17.38</v>
      </c>
      <c r="EZ227" s="666">
        <v>17.39</v>
      </c>
      <c r="FA227" s="666">
        <v>0</v>
      </c>
      <c r="FB227" s="666">
        <v>1.29</v>
      </c>
      <c r="FC227" s="666">
        <v>1.31</v>
      </c>
      <c r="FD227" s="666">
        <v>0.91</v>
      </c>
      <c r="FE227" s="666">
        <v>0.93</v>
      </c>
      <c r="FF227" s="666">
        <v>230</v>
      </c>
      <c r="FG227" s="666">
        <v>0.74</v>
      </c>
      <c r="FH227" s="666">
        <v>0.39</v>
      </c>
      <c r="FI227" s="666">
        <v>0.64</v>
      </c>
      <c r="FJ227" s="666">
        <v>7.99</v>
      </c>
      <c r="FK227" s="666">
        <v>8</v>
      </c>
      <c r="FL227" s="666">
        <v>7.8</v>
      </c>
      <c r="FM227" s="666">
        <v>7.5</v>
      </c>
      <c r="FN227" s="666">
        <v>0</v>
      </c>
    </row>
    <row r="228" spans="1:170" s="416" customFormat="1" ht="15">
      <c r="A228" s="425" t="s">
        <v>5</v>
      </c>
      <c r="B228" s="426">
        <v>40757</v>
      </c>
      <c r="C228" s="418">
        <v>0</v>
      </c>
      <c r="D228" s="518">
        <v>0</v>
      </c>
      <c r="E228" s="453">
        <v>0</v>
      </c>
      <c r="F228" s="453">
        <v>55</v>
      </c>
      <c r="G228" s="453">
        <v>0.45</v>
      </c>
      <c r="H228" s="519">
        <v>0.99</v>
      </c>
      <c r="I228" s="519">
        <v>93.4</v>
      </c>
      <c r="J228" s="483">
        <v>0.85</v>
      </c>
      <c r="K228" s="520">
        <v>0.93</v>
      </c>
      <c r="L228" s="453">
        <v>0</v>
      </c>
      <c r="M228" s="453">
        <v>18.7</v>
      </c>
      <c r="N228" s="453">
        <v>1.66</v>
      </c>
      <c r="O228" s="453">
        <v>2.0147079924923328</v>
      </c>
      <c r="P228" s="453">
        <v>1.63</v>
      </c>
      <c r="Q228" s="453">
        <v>2.1165724612414323</v>
      </c>
      <c r="R228" s="453">
        <v>1164.7619762219285</v>
      </c>
      <c r="S228" s="453">
        <v>8.0399999999999991</v>
      </c>
      <c r="T228" s="453">
        <v>7.98</v>
      </c>
      <c r="U228" s="453">
        <v>0.6</v>
      </c>
      <c r="V228" s="453">
        <v>0.6</v>
      </c>
      <c r="W228" s="453">
        <v>54.860000000000014</v>
      </c>
      <c r="X228" s="456">
        <v>54.860000000000014</v>
      </c>
      <c r="Y228" s="453">
        <v>40.96</v>
      </c>
      <c r="Z228" s="453">
        <v>27.14</v>
      </c>
      <c r="AA228" s="519">
        <v>40.80000000000291</v>
      </c>
      <c r="AB228" s="519">
        <v>27</v>
      </c>
      <c r="AC228" s="732">
        <f t="shared" si="3"/>
        <v>67.80000000000291</v>
      </c>
      <c r="AD228" s="664"/>
      <c r="AE228" s="664"/>
      <c r="AF228" s="664"/>
      <c r="AG228" s="664"/>
      <c r="AH228" s="664"/>
      <c r="AI228" s="664"/>
      <c r="AJ228" s="485"/>
      <c r="AK228" s="485"/>
      <c r="AL228" s="485"/>
      <c r="AM228" s="485"/>
      <c r="AN228" s="485"/>
      <c r="AO228" s="665"/>
      <c r="AP228" s="485"/>
      <c r="AQ228" s="483"/>
      <c r="AR228" s="755">
        <v>0</v>
      </c>
      <c r="AS228" s="483">
        <v>41.8</v>
      </c>
      <c r="AT228" s="755">
        <v>0</v>
      </c>
      <c r="AU228" s="483">
        <v>42.1</v>
      </c>
      <c r="AV228" s="484">
        <v>912.9</v>
      </c>
      <c r="AW228" s="484">
        <v>1065.8</v>
      </c>
      <c r="AX228" s="453">
        <v>50.8</v>
      </c>
      <c r="AY228" s="734">
        <v>0</v>
      </c>
      <c r="AZ228" s="734">
        <v>0</v>
      </c>
      <c r="BA228" s="734">
        <v>0</v>
      </c>
      <c r="BB228" s="453">
        <v>0</v>
      </c>
      <c r="BC228" s="453">
        <v>0.89</v>
      </c>
      <c r="BD228" s="453">
        <v>2.14</v>
      </c>
      <c r="BE228" s="734">
        <v>0</v>
      </c>
      <c r="BF228" s="453">
        <v>1.05</v>
      </c>
      <c r="BG228" s="453">
        <v>0</v>
      </c>
      <c r="BH228" s="734">
        <v>0</v>
      </c>
      <c r="BI228" s="453">
        <v>1.81</v>
      </c>
      <c r="BJ228" s="453">
        <v>21.2</v>
      </c>
      <c r="BK228" s="453">
        <v>4.62</v>
      </c>
      <c r="BL228" s="453">
        <v>5.42</v>
      </c>
      <c r="BM228" s="453">
        <v>0</v>
      </c>
      <c r="BN228" s="453">
        <v>11.1</v>
      </c>
      <c r="BO228" s="453">
        <v>2885.1</v>
      </c>
      <c r="BP228" s="453">
        <v>0.43</v>
      </c>
      <c r="BQ228" s="453">
        <v>17.5</v>
      </c>
      <c r="BR228" s="453">
        <v>17.5</v>
      </c>
      <c r="BS228" s="453">
        <v>0</v>
      </c>
      <c r="BT228" s="453">
        <v>38.4</v>
      </c>
      <c r="BU228" s="453">
        <v>34.200000000000003</v>
      </c>
      <c r="BV228" s="456">
        <v>1450.4</v>
      </c>
      <c r="BW228" s="453">
        <v>1.22</v>
      </c>
      <c r="BX228" s="453">
        <v>1.31</v>
      </c>
      <c r="BY228" s="456">
        <v>0.9</v>
      </c>
      <c r="BZ228" s="456">
        <v>15.7</v>
      </c>
      <c r="CA228" s="456">
        <v>37.200000000000003</v>
      </c>
      <c r="CB228" s="456">
        <v>17.7</v>
      </c>
      <c r="CC228" s="456">
        <v>9.4</v>
      </c>
      <c r="CD228" s="456">
        <v>13.5</v>
      </c>
      <c r="CE228" s="456">
        <v>17.8</v>
      </c>
      <c r="CF228" s="456">
        <v>12.9</v>
      </c>
      <c r="CG228" s="456">
        <v>0</v>
      </c>
      <c r="CH228" s="456">
        <v>1.9</v>
      </c>
      <c r="CI228" s="456">
        <v>5.4</v>
      </c>
      <c r="CJ228" s="456">
        <v>1155</v>
      </c>
      <c r="CK228" s="456">
        <v>918</v>
      </c>
      <c r="CL228" s="456">
        <v>740.2</v>
      </c>
      <c r="CM228" s="456">
        <v>10.1</v>
      </c>
      <c r="CN228" s="456">
        <v>1.7</v>
      </c>
      <c r="CO228" s="453">
        <f>694.4*14.13</f>
        <v>9811.8719999999994</v>
      </c>
      <c r="CP228" s="453">
        <v>13.17</v>
      </c>
      <c r="CQ228" s="453">
        <v>57</v>
      </c>
      <c r="CR228" s="456">
        <v>0</v>
      </c>
      <c r="CS228" s="456">
        <v>0</v>
      </c>
      <c r="CT228" s="456">
        <v>0</v>
      </c>
      <c r="CU228" s="456">
        <v>0</v>
      </c>
      <c r="CV228" s="481">
        <v>332</v>
      </c>
      <c r="CW228" s="481">
        <v>455.61458333333331</v>
      </c>
      <c r="CX228" s="481">
        <v>238.36458333333334</v>
      </c>
      <c r="CY228" s="481">
        <v>1157.8599999999999</v>
      </c>
      <c r="CZ228" s="456"/>
      <c r="DA228" s="456"/>
      <c r="DB228" s="456"/>
      <c r="DC228" s="456"/>
      <c r="DD228" s="456"/>
      <c r="DE228" s="456"/>
      <c r="DF228" s="456"/>
      <c r="DG228" s="425"/>
      <c r="DH228" s="456">
        <v>94</v>
      </c>
      <c r="DI228" s="456">
        <v>0.28000000000000003</v>
      </c>
      <c r="DJ228" s="456">
        <v>0</v>
      </c>
      <c r="DK228" s="425"/>
      <c r="DL228" s="456"/>
      <c r="DM228" s="456"/>
      <c r="DN228" s="456"/>
      <c r="DO228" s="456"/>
      <c r="DP228" s="456"/>
      <c r="DQ228" s="456"/>
      <c r="DR228" s="456"/>
      <c r="DS228" s="456"/>
      <c r="DT228" s="456"/>
      <c r="DU228" s="456"/>
      <c r="DV228" s="456"/>
      <c r="DW228" s="456"/>
      <c r="DX228" s="456"/>
      <c r="DY228" s="456"/>
      <c r="DZ228" s="456"/>
      <c r="EA228" s="456"/>
      <c r="EB228" s="456"/>
      <c r="EC228" s="456"/>
      <c r="ED228" s="423">
        <v>0</v>
      </c>
      <c r="EE228" s="456">
        <v>2</v>
      </c>
      <c r="EF228" s="456">
        <v>4</v>
      </c>
      <c r="EG228" s="456">
        <v>10</v>
      </c>
      <c r="EH228" s="423">
        <v>0</v>
      </c>
      <c r="EI228" s="456"/>
      <c r="EJ228" s="456"/>
      <c r="EK228" s="456"/>
      <c r="EL228" s="456"/>
      <c r="EM228" s="456"/>
      <c r="EN228" s="456"/>
      <c r="EO228" s="425"/>
      <c r="EP228" s="425"/>
      <c r="EQ228" s="425" t="s">
        <v>743</v>
      </c>
      <c r="ER228" s="425">
        <v>1</v>
      </c>
      <c r="ES228" s="425">
        <v>8</v>
      </c>
      <c r="ET228" s="425">
        <v>4000</v>
      </c>
      <c r="EU228" s="457">
        <v>600</v>
      </c>
      <c r="EV228" s="425">
        <v>250</v>
      </c>
      <c r="EW228" s="425">
        <v>7121178</v>
      </c>
      <c r="EX228" s="425">
        <v>3131</v>
      </c>
      <c r="EY228" s="666">
        <v>17.2</v>
      </c>
      <c r="EZ228" s="666">
        <v>17.2</v>
      </c>
      <c r="FA228" s="666">
        <v>0</v>
      </c>
      <c r="FB228" s="666">
        <v>1.3</v>
      </c>
      <c r="FC228" s="666">
        <v>1.29</v>
      </c>
      <c r="FD228" s="666">
        <v>0.9</v>
      </c>
      <c r="FE228" s="666">
        <v>0.92</v>
      </c>
      <c r="FF228" s="666">
        <v>200</v>
      </c>
      <c r="FG228" s="666">
        <v>0.79</v>
      </c>
      <c r="FH228" s="666">
        <v>0.39</v>
      </c>
      <c r="FI228" s="666">
        <v>0.65</v>
      </c>
      <c r="FJ228" s="666">
        <v>7.99</v>
      </c>
      <c r="FK228" s="666">
        <v>7.7</v>
      </c>
      <c r="FL228" s="666">
        <v>7.69</v>
      </c>
      <c r="FM228" s="666">
        <v>7.5</v>
      </c>
      <c r="FN228" s="666">
        <v>0</v>
      </c>
    </row>
    <row r="229" spans="1:170" s="416" customFormat="1" ht="15">
      <c r="A229" s="425" t="s">
        <v>6</v>
      </c>
      <c r="B229" s="426">
        <v>40758</v>
      </c>
      <c r="C229" s="418">
        <v>0</v>
      </c>
      <c r="D229" s="518">
        <v>0</v>
      </c>
      <c r="E229" s="453">
        <v>0</v>
      </c>
      <c r="F229" s="453">
        <v>58</v>
      </c>
      <c r="G229" s="453">
        <v>0.4</v>
      </c>
      <c r="H229" s="519" t="s">
        <v>742</v>
      </c>
      <c r="I229" s="519">
        <v>93.6</v>
      </c>
      <c r="J229" s="483">
        <v>2.09</v>
      </c>
      <c r="K229" s="520">
        <v>2.2799999999999998</v>
      </c>
      <c r="L229" s="453">
        <v>0</v>
      </c>
      <c r="M229" s="453">
        <v>18.600000000000001</v>
      </c>
      <c r="N229" s="453">
        <v>1.67</v>
      </c>
      <c r="O229" s="453">
        <v>2.0187407848309178</v>
      </c>
      <c r="P229" s="453">
        <v>1.64</v>
      </c>
      <c r="Q229" s="453">
        <v>2.1553671112628097</v>
      </c>
      <c r="R229" s="453">
        <v>1256.4270594451782</v>
      </c>
      <c r="S229" s="453">
        <v>8.1199999999999992</v>
      </c>
      <c r="T229" s="453">
        <v>8.0399999999999991</v>
      </c>
      <c r="U229" s="453">
        <v>0.6</v>
      </c>
      <c r="V229" s="453">
        <v>0.61</v>
      </c>
      <c r="W229" s="453">
        <v>56.3</v>
      </c>
      <c r="X229" s="456">
        <v>56.3</v>
      </c>
      <c r="Y229" s="453">
        <v>40.86</v>
      </c>
      <c r="Z229" s="453">
        <v>27.05</v>
      </c>
      <c r="AA229" s="519">
        <v>41.899999999994179</v>
      </c>
      <c r="AB229" s="519">
        <v>29.94999999999709</v>
      </c>
      <c r="AC229" s="732">
        <f t="shared" si="3"/>
        <v>71.849999999991269</v>
      </c>
      <c r="AD229" s="664"/>
      <c r="AE229" s="664"/>
      <c r="AF229" s="664"/>
      <c r="AG229" s="664"/>
      <c r="AH229" s="664"/>
      <c r="AI229" s="664"/>
      <c r="AJ229" s="485"/>
      <c r="AK229" s="485"/>
      <c r="AL229" s="485"/>
      <c r="AM229" s="485"/>
      <c r="AN229" s="485"/>
      <c r="AO229" s="665"/>
      <c r="AP229" s="485"/>
      <c r="AQ229" s="483"/>
      <c r="AR229" s="755">
        <v>0</v>
      </c>
      <c r="AS229" s="483">
        <v>42.5</v>
      </c>
      <c r="AT229" s="755">
        <v>0</v>
      </c>
      <c r="AU229" s="483">
        <v>42.5</v>
      </c>
      <c r="AV229" s="484">
        <v>1131.0999999999999</v>
      </c>
      <c r="AW229" s="484">
        <v>766.8</v>
      </c>
      <c r="AX229" s="453">
        <v>61.5</v>
      </c>
      <c r="AY229" s="734">
        <v>0</v>
      </c>
      <c r="AZ229" s="734">
        <v>0</v>
      </c>
      <c r="BA229" s="734">
        <v>0</v>
      </c>
      <c r="BB229" s="453">
        <v>0</v>
      </c>
      <c r="BC229" s="453">
        <v>0.83</v>
      </c>
      <c r="BD229" s="453">
        <v>2.19</v>
      </c>
      <c r="BE229" s="734">
        <v>0</v>
      </c>
      <c r="BF229" s="453">
        <v>1.05</v>
      </c>
      <c r="BG229" s="453">
        <v>0</v>
      </c>
      <c r="BH229" s="734">
        <v>0</v>
      </c>
      <c r="BI229" s="453">
        <v>1.93</v>
      </c>
      <c r="BJ229" s="453">
        <v>24.4</v>
      </c>
      <c r="BK229" s="453">
        <v>4.63</v>
      </c>
      <c r="BL229" s="453">
        <v>5.42</v>
      </c>
      <c r="BM229" s="453">
        <v>0</v>
      </c>
      <c r="BN229" s="453">
        <v>14.3</v>
      </c>
      <c r="BO229" s="453">
        <v>3413.6</v>
      </c>
      <c r="BP229" s="453">
        <v>0</v>
      </c>
      <c r="BQ229" s="453">
        <v>16.600000000000001</v>
      </c>
      <c r="BR229" s="453">
        <v>16.7</v>
      </c>
      <c r="BS229" s="453">
        <v>0</v>
      </c>
      <c r="BT229" s="453">
        <v>38.799999999999997</v>
      </c>
      <c r="BU229" s="453">
        <v>41.2</v>
      </c>
      <c r="BV229" s="456">
        <v>2538</v>
      </c>
      <c r="BW229" s="453">
        <v>0.56000000000000005</v>
      </c>
      <c r="BX229" s="453">
        <v>1.33</v>
      </c>
      <c r="BY229" s="456">
        <v>0.9</v>
      </c>
      <c r="BZ229" s="456">
        <v>19.8</v>
      </c>
      <c r="CA229" s="456">
        <v>35</v>
      </c>
      <c r="CB229" s="456">
        <v>17.2</v>
      </c>
      <c r="CC229" s="456">
        <v>10.4</v>
      </c>
      <c r="CD229" s="456">
        <v>14.7</v>
      </c>
      <c r="CE229" s="456">
        <v>18.7</v>
      </c>
      <c r="CF229" s="456">
        <v>12.2</v>
      </c>
      <c r="CG229" s="456">
        <v>0</v>
      </c>
      <c r="CH229" s="456">
        <v>8.6999999999999993</v>
      </c>
      <c r="CI229" s="456">
        <v>10.5</v>
      </c>
      <c r="CJ229" s="456">
        <v>1281.5999999999999</v>
      </c>
      <c r="CK229" s="456">
        <v>1052.0999999999999</v>
      </c>
      <c r="CL229" s="456">
        <v>778.9</v>
      </c>
      <c r="CM229" s="456">
        <v>8.8000000000000007</v>
      </c>
      <c r="CN229" s="456">
        <v>1.7</v>
      </c>
      <c r="CO229" s="453">
        <v>12213.7</v>
      </c>
      <c r="CP229" s="453">
        <v>17.260000000000002</v>
      </c>
      <c r="CQ229" s="453">
        <v>57</v>
      </c>
      <c r="CR229" s="456">
        <v>0</v>
      </c>
      <c r="CS229" s="456">
        <v>0</v>
      </c>
      <c r="CT229" s="456">
        <v>0</v>
      </c>
      <c r="CU229" s="456">
        <v>0</v>
      </c>
      <c r="CV229" s="481">
        <v>324.25</v>
      </c>
      <c r="CW229" s="481">
        <v>438.41666666666669</v>
      </c>
      <c r="CX229" s="481">
        <v>226.69791666666666</v>
      </c>
      <c r="CY229" s="481">
        <v>1157.76</v>
      </c>
      <c r="CZ229" s="456"/>
      <c r="DA229" s="456"/>
      <c r="DB229" s="456"/>
      <c r="DC229" s="456"/>
      <c r="DD229" s="456"/>
      <c r="DE229" s="456"/>
      <c r="DF229" s="456"/>
      <c r="DG229" s="425"/>
      <c r="DH229" s="456">
        <v>70</v>
      </c>
      <c r="DI229" s="456">
        <v>0.06</v>
      </c>
      <c r="DJ229" s="456">
        <v>0</v>
      </c>
      <c r="DK229" s="425"/>
      <c r="DL229" s="456"/>
      <c r="DM229" s="456"/>
      <c r="DN229" s="456"/>
      <c r="DO229" s="456"/>
      <c r="DP229" s="456"/>
      <c r="DQ229" s="456"/>
      <c r="DR229" s="456"/>
      <c r="DS229" s="456"/>
      <c r="DT229" s="456"/>
      <c r="DU229" s="456"/>
      <c r="DV229" s="456"/>
      <c r="DW229" s="456"/>
      <c r="DX229" s="456"/>
      <c r="DY229" s="456"/>
      <c r="DZ229" s="456"/>
      <c r="EA229" s="456"/>
      <c r="EB229" s="456"/>
      <c r="EC229" s="456"/>
      <c r="ED229" s="423">
        <v>0</v>
      </c>
      <c r="EE229" s="456">
        <v>2</v>
      </c>
      <c r="EF229" s="456">
        <v>4</v>
      </c>
      <c r="EG229" s="456">
        <v>10</v>
      </c>
      <c r="EH229" s="423">
        <v>0</v>
      </c>
      <c r="EI229" s="456"/>
      <c r="EJ229" s="456"/>
      <c r="EK229" s="456"/>
      <c r="EL229" s="456"/>
      <c r="EM229" s="456"/>
      <c r="EN229" s="456"/>
      <c r="EO229" s="425"/>
      <c r="EP229" s="425"/>
      <c r="EQ229" s="425" t="s">
        <v>743</v>
      </c>
      <c r="ER229" s="425">
        <v>1</v>
      </c>
      <c r="ES229" s="425">
        <v>8</v>
      </c>
      <c r="ET229" s="425">
        <v>4000</v>
      </c>
      <c r="EU229" s="457">
        <v>420</v>
      </c>
      <c r="EV229" s="425">
        <v>200</v>
      </c>
      <c r="EW229" s="425">
        <v>7124928</v>
      </c>
      <c r="EX229" s="425">
        <v>3759</v>
      </c>
      <c r="EY229" s="666">
        <v>17.149999999999999</v>
      </c>
      <c r="EZ229" s="666">
        <v>17.16</v>
      </c>
      <c r="FA229" s="666">
        <v>0</v>
      </c>
      <c r="FB229" s="666">
        <v>1.31</v>
      </c>
      <c r="FC229" s="666">
        <v>1.29</v>
      </c>
      <c r="FD229" s="666">
        <v>0.93</v>
      </c>
      <c r="FE229" s="666">
        <v>0.9</v>
      </c>
      <c r="FF229" s="666">
        <v>180</v>
      </c>
      <c r="FG229" s="666">
        <v>0.89</v>
      </c>
      <c r="FH229" s="666">
        <v>0.44</v>
      </c>
      <c r="FI229" s="666">
        <v>0.68</v>
      </c>
      <c r="FJ229" s="666">
        <v>8.01</v>
      </c>
      <c r="FK229" s="666">
        <v>7.9</v>
      </c>
      <c r="FL229" s="666">
        <v>7.84</v>
      </c>
      <c r="FM229" s="666">
        <v>7.5</v>
      </c>
      <c r="FN229" s="666">
        <v>0</v>
      </c>
    </row>
    <row r="230" spans="1:170" s="416" customFormat="1" ht="15">
      <c r="A230" s="425" t="s">
        <v>7</v>
      </c>
      <c r="B230" s="426">
        <v>40759</v>
      </c>
      <c r="C230" s="418">
        <v>0</v>
      </c>
      <c r="D230" s="518">
        <v>0</v>
      </c>
      <c r="E230" s="453">
        <v>0</v>
      </c>
      <c r="F230" s="453">
        <v>56</v>
      </c>
      <c r="G230" s="453">
        <v>0.45</v>
      </c>
      <c r="H230" s="519">
        <v>1.29</v>
      </c>
      <c r="I230" s="519">
        <v>94.2</v>
      </c>
      <c r="J230" s="483">
        <v>0.68</v>
      </c>
      <c r="K230" s="520">
        <v>0.68</v>
      </c>
      <c r="L230" s="453">
        <v>0</v>
      </c>
      <c r="M230" s="453">
        <v>18.5</v>
      </c>
      <c r="N230" s="453">
        <v>1.63</v>
      </c>
      <c r="O230" s="453">
        <v>1.9890356671070013</v>
      </c>
      <c r="P230" s="453">
        <v>1.63</v>
      </c>
      <c r="Q230" s="453">
        <v>2.127432848965213</v>
      </c>
      <c r="R230" s="453">
        <v>1335.4598520475558</v>
      </c>
      <c r="S230" s="453">
        <v>8.01</v>
      </c>
      <c r="T230" s="453">
        <v>7.98</v>
      </c>
      <c r="U230" s="453">
        <v>0.6</v>
      </c>
      <c r="V230" s="453">
        <v>0.57999999999999996</v>
      </c>
      <c r="W230" s="453">
        <v>56.660000000000011</v>
      </c>
      <c r="X230" s="456">
        <v>56.660000000000011</v>
      </c>
      <c r="Y230" s="453">
        <v>42.21</v>
      </c>
      <c r="Z230" s="453">
        <v>34.19</v>
      </c>
      <c r="AA230" s="519">
        <v>42</v>
      </c>
      <c r="AB230" s="519">
        <v>37</v>
      </c>
      <c r="AC230" s="732">
        <f t="shared" si="3"/>
        <v>79</v>
      </c>
      <c r="AD230" s="664"/>
      <c r="AE230" s="664"/>
      <c r="AF230" s="664"/>
      <c r="AG230" s="664"/>
      <c r="AH230" s="664"/>
      <c r="AI230" s="664"/>
      <c r="AJ230" s="485"/>
      <c r="AK230" s="485"/>
      <c r="AL230" s="485"/>
      <c r="AM230" s="485"/>
      <c r="AN230" s="485"/>
      <c r="AO230" s="665"/>
      <c r="AP230" s="485"/>
      <c r="AQ230" s="483"/>
      <c r="AR230" s="755">
        <v>0</v>
      </c>
      <c r="AS230" s="483">
        <v>40.9</v>
      </c>
      <c r="AT230" s="755">
        <v>0</v>
      </c>
      <c r="AU230" s="483">
        <v>43.6</v>
      </c>
      <c r="AV230" s="484">
        <v>905.2</v>
      </c>
      <c r="AW230" s="484">
        <v>1381.3</v>
      </c>
      <c r="AX230" s="453">
        <v>49.5</v>
      </c>
      <c r="AY230" s="734">
        <v>0</v>
      </c>
      <c r="AZ230" s="734">
        <v>0</v>
      </c>
      <c r="BA230" s="734">
        <v>0</v>
      </c>
      <c r="BB230" s="453">
        <v>0</v>
      </c>
      <c r="BC230" s="453">
        <v>1</v>
      </c>
      <c r="BD230" s="453">
        <v>2.0299999999999998</v>
      </c>
      <c r="BE230" s="734">
        <v>0</v>
      </c>
      <c r="BF230" s="453">
        <v>1.05</v>
      </c>
      <c r="BG230" s="453">
        <v>0</v>
      </c>
      <c r="BH230" s="734">
        <v>0</v>
      </c>
      <c r="BI230" s="453">
        <v>2.0299999999999998</v>
      </c>
      <c r="BJ230" s="453">
        <v>30.6</v>
      </c>
      <c r="BK230" s="453">
        <v>4.6100000000000003</v>
      </c>
      <c r="BL230" s="453">
        <v>5.42</v>
      </c>
      <c r="BM230" s="453">
        <v>0</v>
      </c>
      <c r="BN230" s="453">
        <v>20.399999999999999</v>
      </c>
      <c r="BO230" s="453">
        <v>3112.8</v>
      </c>
      <c r="BP230" s="453">
        <v>0</v>
      </c>
      <c r="BQ230" s="453">
        <v>17.100000000000001</v>
      </c>
      <c r="BR230" s="453">
        <v>17.2</v>
      </c>
      <c r="BS230" s="453">
        <v>0</v>
      </c>
      <c r="BT230" s="453">
        <v>40.1</v>
      </c>
      <c r="BU230" s="453">
        <v>36.1</v>
      </c>
      <c r="BV230" s="456">
        <v>1200.2</v>
      </c>
      <c r="BW230" s="453">
        <v>1.9</v>
      </c>
      <c r="BX230" s="453">
        <v>1.32</v>
      </c>
      <c r="BY230" s="456">
        <v>0.9</v>
      </c>
      <c r="BZ230" s="456">
        <v>19.5</v>
      </c>
      <c r="CA230" s="456">
        <v>33.299999999999997</v>
      </c>
      <c r="CB230" s="456">
        <v>17.5</v>
      </c>
      <c r="CC230" s="456">
        <v>10.1</v>
      </c>
      <c r="CD230" s="456">
        <v>14.2</v>
      </c>
      <c r="CE230" s="456">
        <v>18.7</v>
      </c>
      <c r="CF230" s="456">
        <v>13.7</v>
      </c>
      <c r="CG230" s="456">
        <v>0</v>
      </c>
      <c r="CH230" s="456">
        <v>5.7</v>
      </c>
      <c r="CI230" s="456">
        <v>9.3000000000000007</v>
      </c>
      <c r="CJ230" s="456">
        <v>1302.3</v>
      </c>
      <c r="CK230" s="456">
        <v>1085.7</v>
      </c>
      <c r="CL230" s="456">
        <v>754.8</v>
      </c>
      <c r="CM230" s="456">
        <v>11.5</v>
      </c>
      <c r="CN230" s="456">
        <v>2</v>
      </c>
      <c r="CO230" s="453">
        <v>10730.2</v>
      </c>
      <c r="CP230" s="453">
        <v>18.989999999999998</v>
      </c>
      <c r="CQ230" s="453">
        <v>57</v>
      </c>
      <c r="CR230" s="456">
        <v>0</v>
      </c>
      <c r="CS230" s="456">
        <v>0</v>
      </c>
      <c r="CT230" s="456">
        <v>0</v>
      </c>
      <c r="CU230" s="456">
        <v>0</v>
      </c>
      <c r="CV230" s="481">
        <v>334.33333333333331</v>
      </c>
      <c r="CW230" s="481">
        <v>412.76041666666669</v>
      </c>
      <c r="CX230" s="481">
        <v>221.1875</v>
      </c>
      <c r="CY230" s="481">
        <v>1157.6400000000001</v>
      </c>
      <c r="CZ230" s="456"/>
      <c r="DA230" s="456"/>
      <c r="DB230" s="456"/>
      <c r="DC230" s="456"/>
      <c r="DD230" s="456"/>
      <c r="DE230" s="456"/>
      <c r="DF230" s="456"/>
      <c r="DG230" s="425"/>
      <c r="DH230" s="456">
        <v>79</v>
      </c>
      <c r="DI230" s="456">
        <v>0.12</v>
      </c>
      <c r="DJ230" s="456">
        <v>0</v>
      </c>
      <c r="DK230" s="425"/>
      <c r="DL230" s="456"/>
      <c r="DM230" s="456"/>
      <c r="DN230" s="456"/>
      <c r="DO230" s="456"/>
      <c r="DP230" s="456"/>
      <c r="DQ230" s="456"/>
      <c r="DR230" s="456"/>
      <c r="DS230" s="456"/>
      <c r="DT230" s="456"/>
      <c r="DU230" s="456"/>
      <c r="DV230" s="456"/>
      <c r="DW230" s="456"/>
      <c r="DX230" s="456"/>
      <c r="DY230" s="456"/>
      <c r="DZ230" s="456"/>
      <c r="EA230" s="456"/>
      <c r="EB230" s="456"/>
      <c r="EC230" s="456"/>
      <c r="ED230" s="423">
        <v>0</v>
      </c>
      <c r="EE230" s="456">
        <v>2</v>
      </c>
      <c r="EF230" s="456">
        <v>4</v>
      </c>
      <c r="EG230" s="456">
        <v>10</v>
      </c>
      <c r="EH230" s="423">
        <v>0</v>
      </c>
      <c r="EI230" s="456"/>
      <c r="EJ230" s="456"/>
      <c r="EK230" s="456"/>
      <c r="EL230" s="456"/>
      <c r="EM230" s="456"/>
      <c r="EN230" s="456"/>
      <c r="EO230" s="425"/>
      <c r="EP230" s="425"/>
      <c r="EQ230" s="425" t="s">
        <v>743</v>
      </c>
      <c r="ER230" s="425">
        <v>1</v>
      </c>
      <c r="ES230" s="425">
        <v>8</v>
      </c>
      <c r="ET230" s="425">
        <v>4000</v>
      </c>
      <c r="EU230" s="457">
        <v>240</v>
      </c>
      <c r="EV230" s="425">
        <v>190</v>
      </c>
      <c r="EW230" s="425">
        <v>7128500</v>
      </c>
      <c r="EX230" s="425">
        <v>4373</v>
      </c>
      <c r="EY230" s="666">
        <v>17.68</v>
      </c>
      <c r="EZ230" s="666">
        <v>17.690000000000001</v>
      </c>
      <c r="FA230" s="666">
        <v>0</v>
      </c>
      <c r="FB230" s="666">
        <v>1.24</v>
      </c>
      <c r="FC230" s="666">
        <v>1.25</v>
      </c>
      <c r="FD230" s="666">
        <v>0.91</v>
      </c>
      <c r="FE230" s="666">
        <v>0.92</v>
      </c>
      <c r="FF230" s="666">
        <v>180</v>
      </c>
      <c r="FG230" s="666">
        <v>0.88</v>
      </c>
      <c r="FH230" s="666">
        <v>0.4</v>
      </c>
      <c r="FI230" s="666">
        <v>0.79</v>
      </c>
      <c r="FJ230" s="666">
        <v>7.65</v>
      </c>
      <c r="FK230" s="666">
        <v>7.8</v>
      </c>
      <c r="FL230" s="666">
        <v>7.91</v>
      </c>
      <c r="FM230" s="666">
        <v>7.5</v>
      </c>
      <c r="FN230" s="666">
        <v>0</v>
      </c>
    </row>
    <row r="231" spans="1:170" s="416" customFormat="1" ht="15">
      <c r="A231" s="425" t="s">
        <v>8</v>
      </c>
      <c r="B231" s="426">
        <v>40760</v>
      </c>
      <c r="C231" s="418">
        <v>0</v>
      </c>
      <c r="D231" s="518">
        <v>0</v>
      </c>
      <c r="E231" s="453">
        <v>0</v>
      </c>
      <c r="F231" s="453">
        <v>58.6</v>
      </c>
      <c r="G231" s="453">
        <v>0.45</v>
      </c>
      <c r="H231" s="519">
        <v>0.89</v>
      </c>
      <c r="I231" s="519">
        <v>92.9</v>
      </c>
      <c r="J231" s="483">
        <v>0.64</v>
      </c>
      <c r="K231" s="520">
        <v>0.62</v>
      </c>
      <c r="L231" s="453">
        <v>0</v>
      </c>
      <c r="M231" s="453">
        <v>18.5</v>
      </c>
      <c r="N231" s="453">
        <v>1.63</v>
      </c>
      <c r="O231" s="453">
        <v>2.0405135111165569</v>
      </c>
      <c r="P231" s="453">
        <v>1.65</v>
      </c>
      <c r="Q231" s="453">
        <v>2.1102248769193208</v>
      </c>
      <c r="R231" s="453">
        <v>1499.3557252311753</v>
      </c>
      <c r="S231" s="453">
        <v>8.09</v>
      </c>
      <c r="T231" s="453">
        <v>8.02</v>
      </c>
      <c r="U231" s="453">
        <v>0.57999999999999996</v>
      </c>
      <c r="V231" s="453">
        <v>0.52</v>
      </c>
      <c r="W231" s="453">
        <v>55.22</v>
      </c>
      <c r="X231" s="456">
        <v>55.22</v>
      </c>
      <c r="Y231" s="453">
        <v>42.19</v>
      </c>
      <c r="Z231" s="453">
        <v>42.92</v>
      </c>
      <c r="AA231" s="519">
        <v>44.80000000000291</v>
      </c>
      <c r="AB231" s="519">
        <v>41.639999999999418</v>
      </c>
      <c r="AC231" s="732">
        <f t="shared" si="3"/>
        <v>86.440000000002328</v>
      </c>
      <c r="AD231" s="664"/>
      <c r="AE231" s="664"/>
      <c r="AF231" s="664"/>
      <c r="AG231" s="664"/>
      <c r="AH231" s="664"/>
      <c r="AI231" s="664"/>
      <c r="AJ231" s="485"/>
      <c r="AK231" s="485"/>
      <c r="AL231" s="485"/>
      <c r="AM231" s="485"/>
      <c r="AN231" s="485"/>
      <c r="AO231" s="665"/>
      <c r="AP231" s="485"/>
      <c r="AQ231" s="483"/>
      <c r="AR231" s="755">
        <v>0</v>
      </c>
      <c r="AS231" s="483">
        <v>19.2</v>
      </c>
      <c r="AT231" s="755">
        <v>0</v>
      </c>
      <c r="AU231" s="483">
        <v>45.9</v>
      </c>
      <c r="AV231" s="484">
        <v>754.7</v>
      </c>
      <c r="AW231" s="484">
        <v>874.3</v>
      </c>
      <c r="AX231" s="453">
        <v>49.3</v>
      </c>
      <c r="AY231" s="734">
        <v>0</v>
      </c>
      <c r="AZ231" s="734">
        <v>0</v>
      </c>
      <c r="BA231" s="734">
        <v>0</v>
      </c>
      <c r="BB231" s="453">
        <v>0</v>
      </c>
      <c r="BC231" s="453">
        <v>1.31</v>
      </c>
      <c r="BD231" s="453">
        <v>2.0299999999999998</v>
      </c>
      <c r="BE231" s="734">
        <v>0</v>
      </c>
      <c r="BF231" s="453">
        <v>1.36</v>
      </c>
      <c r="BG231" s="453">
        <v>0</v>
      </c>
      <c r="BH231" s="734">
        <v>0</v>
      </c>
      <c r="BI231" s="453">
        <v>1.93</v>
      </c>
      <c r="BJ231" s="453">
        <v>34.9</v>
      </c>
      <c r="BK231" s="453">
        <v>5.0199999999999996</v>
      </c>
      <c r="BL231" s="453">
        <v>6.49</v>
      </c>
      <c r="BM231" s="453">
        <v>0</v>
      </c>
      <c r="BN231" s="453">
        <v>23.2</v>
      </c>
      <c r="BO231" s="453">
        <v>2656.7</v>
      </c>
      <c r="BP231" s="453">
        <v>0</v>
      </c>
      <c r="BQ231" s="453">
        <v>18.899999999999999</v>
      </c>
      <c r="BR231" s="453">
        <v>18.899999999999999</v>
      </c>
      <c r="BS231" s="453">
        <v>0</v>
      </c>
      <c r="BT231" s="453">
        <v>42.5</v>
      </c>
      <c r="BU231" s="453">
        <v>30.8</v>
      </c>
      <c r="BV231" s="456">
        <v>1122.5999999999999</v>
      </c>
      <c r="BW231" s="453">
        <v>0.48</v>
      </c>
      <c r="BX231" s="453">
        <v>1.29</v>
      </c>
      <c r="BY231" s="456">
        <v>0.9</v>
      </c>
      <c r="BZ231" s="456">
        <v>19.3</v>
      </c>
      <c r="CA231" s="456">
        <v>35.799999999999997</v>
      </c>
      <c r="CB231" s="456">
        <v>19.3</v>
      </c>
      <c r="CC231" s="456">
        <v>9.9</v>
      </c>
      <c r="CD231" s="456">
        <v>14</v>
      </c>
      <c r="CE231" s="456">
        <v>18.399999999999999</v>
      </c>
      <c r="CF231" s="456">
        <v>13</v>
      </c>
      <c r="CG231" s="456">
        <v>0</v>
      </c>
      <c r="CH231" s="456">
        <v>7.6</v>
      </c>
      <c r="CI231" s="456">
        <v>12.2</v>
      </c>
      <c r="CJ231" s="456">
        <v>1117.3</v>
      </c>
      <c r="CK231" s="456">
        <v>1002.8</v>
      </c>
      <c r="CL231" s="456">
        <v>727.9</v>
      </c>
      <c r="CM231" s="456">
        <v>7.1</v>
      </c>
      <c r="CN231" s="456">
        <v>1.5</v>
      </c>
      <c r="CO231" s="453">
        <f>694.4*11.04</f>
        <v>7666.1759999999995</v>
      </c>
      <c r="CP231" s="453">
        <v>18.350000000000001</v>
      </c>
      <c r="CQ231" s="453">
        <v>57</v>
      </c>
      <c r="CR231" s="456">
        <v>0</v>
      </c>
      <c r="CS231" s="456">
        <v>0</v>
      </c>
      <c r="CT231" s="456">
        <v>0</v>
      </c>
      <c r="CU231" s="456">
        <v>0</v>
      </c>
      <c r="CV231" s="481">
        <v>346</v>
      </c>
      <c r="CW231" s="481">
        <v>412.08333333333331</v>
      </c>
      <c r="CX231" s="481">
        <v>220.79166666666666</v>
      </c>
      <c r="CY231" s="481">
        <f>(CY230+CY232)/2</f>
        <v>1157.4749999999999</v>
      </c>
      <c r="CZ231" s="456"/>
      <c r="DA231" s="456"/>
      <c r="DB231" s="456"/>
      <c r="DC231" s="456"/>
      <c r="DD231" s="456"/>
      <c r="DE231" s="456"/>
      <c r="DF231" s="456"/>
      <c r="DG231" s="425"/>
      <c r="DH231" s="456">
        <v>53</v>
      </c>
      <c r="DI231" s="456">
        <v>0.18</v>
      </c>
      <c r="DJ231" s="456">
        <v>0</v>
      </c>
      <c r="DK231" s="425"/>
      <c r="DL231" s="456"/>
      <c r="DM231" s="456"/>
      <c r="DN231" s="456"/>
      <c r="DO231" s="456"/>
      <c r="DP231" s="456"/>
      <c r="DQ231" s="456"/>
      <c r="DR231" s="456"/>
      <c r="DS231" s="456"/>
      <c r="DT231" s="456"/>
      <c r="DU231" s="456"/>
      <c r="DV231" s="456"/>
      <c r="DW231" s="456"/>
      <c r="DX231" s="456"/>
      <c r="DY231" s="456"/>
      <c r="DZ231" s="456"/>
      <c r="EA231" s="456"/>
      <c r="EB231" s="456"/>
      <c r="EC231" s="456"/>
      <c r="ED231" s="456">
        <v>0</v>
      </c>
      <c r="EE231" s="456">
        <v>3</v>
      </c>
      <c r="EF231" s="456">
        <v>5</v>
      </c>
      <c r="EG231" s="456">
        <v>12</v>
      </c>
      <c r="EH231" s="423">
        <v>0</v>
      </c>
      <c r="EI231" s="456"/>
      <c r="EJ231" s="456"/>
      <c r="EK231" s="456"/>
      <c r="EL231" s="456"/>
      <c r="EM231" s="456"/>
      <c r="EN231" s="456"/>
      <c r="EO231" s="425"/>
      <c r="EP231" s="425"/>
      <c r="EQ231" s="425" t="s">
        <v>743</v>
      </c>
      <c r="ER231" s="425">
        <v>1</v>
      </c>
      <c r="ES231" s="425">
        <v>8</v>
      </c>
      <c r="ET231" s="425">
        <v>4000</v>
      </c>
      <c r="EU231" s="457">
        <v>70</v>
      </c>
      <c r="EV231" s="425">
        <v>170</v>
      </c>
      <c r="EW231" s="425">
        <v>7131565</v>
      </c>
      <c r="EX231" s="425">
        <v>4987</v>
      </c>
      <c r="EY231" s="666">
        <v>19.48</v>
      </c>
      <c r="EZ231" s="666">
        <v>19.48</v>
      </c>
      <c r="FA231" s="666">
        <v>0</v>
      </c>
      <c r="FB231" s="666">
        <v>1.29</v>
      </c>
      <c r="FC231" s="666">
        <v>1.24</v>
      </c>
      <c r="FD231" s="666">
        <v>0.94</v>
      </c>
      <c r="FE231" s="666">
        <v>0.91</v>
      </c>
      <c r="FF231" s="666">
        <v>170</v>
      </c>
      <c r="FG231" s="666">
        <v>0.8</v>
      </c>
      <c r="FH231" s="666">
        <v>0.39</v>
      </c>
      <c r="FI231" s="666">
        <v>0.69</v>
      </c>
      <c r="FJ231" s="666">
        <v>8.01</v>
      </c>
      <c r="FK231" s="666">
        <v>8</v>
      </c>
      <c r="FL231" s="666">
        <v>7.89</v>
      </c>
      <c r="FM231" s="666">
        <v>7.4</v>
      </c>
      <c r="FN231" s="666">
        <v>0</v>
      </c>
    </row>
    <row r="232" spans="1:170" s="416" customFormat="1" ht="15">
      <c r="A232" s="425" t="s">
        <v>9</v>
      </c>
      <c r="B232" s="426">
        <v>40761</v>
      </c>
      <c r="C232" s="418">
        <v>0</v>
      </c>
      <c r="D232" s="518">
        <v>0</v>
      </c>
      <c r="E232" s="453">
        <v>0</v>
      </c>
      <c r="F232" s="453">
        <v>57</v>
      </c>
      <c r="G232" s="453">
        <v>0.5</v>
      </c>
      <c r="H232" s="519">
        <v>0.87</v>
      </c>
      <c r="I232" s="519">
        <v>93.6</v>
      </c>
      <c r="J232" s="483">
        <v>0.67</v>
      </c>
      <c r="K232" s="520">
        <v>0.63</v>
      </c>
      <c r="L232" s="453">
        <v>0</v>
      </c>
      <c r="M232" s="453">
        <v>18.399999999999999</v>
      </c>
      <c r="N232" s="453">
        <v>1.55</v>
      </c>
      <c r="O232" s="453">
        <v>2.0812773413663104</v>
      </c>
      <c r="P232" s="453">
        <v>1.63</v>
      </c>
      <c r="Q232" s="453">
        <v>2.0686467413134508</v>
      </c>
      <c r="R232" s="453">
        <v>1427.1249352708055</v>
      </c>
      <c r="S232" s="453">
        <v>8.08</v>
      </c>
      <c r="T232" s="453">
        <v>8</v>
      </c>
      <c r="U232" s="453">
        <v>0.56999999999999995</v>
      </c>
      <c r="V232" s="453">
        <v>0.55000000000000004</v>
      </c>
      <c r="W232" s="787">
        <v>55.76</v>
      </c>
      <c r="X232" s="456">
        <v>55.760000000000005</v>
      </c>
      <c r="Y232" s="453">
        <v>45.9</v>
      </c>
      <c r="Z232" s="453">
        <v>40.25</v>
      </c>
      <c r="AA232" s="519">
        <v>45.5</v>
      </c>
      <c r="AB232" s="519">
        <v>36.910000000003492</v>
      </c>
      <c r="AC232" s="732">
        <f t="shared" si="3"/>
        <v>82.410000000003492</v>
      </c>
      <c r="AD232" s="664"/>
      <c r="AE232" s="664"/>
      <c r="AF232" s="664"/>
      <c r="AG232" s="664"/>
      <c r="AH232" s="664"/>
      <c r="AI232" s="664"/>
      <c r="AJ232" s="485"/>
      <c r="AK232" s="485"/>
      <c r="AL232" s="485"/>
      <c r="AM232" s="485"/>
      <c r="AN232" s="485"/>
      <c r="AO232" s="665"/>
      <c r="AP232" s="485"/>
      <c r="AQ232" s="483"/>
      <c r="AR232" s="755">
        <v>0</v>
      </c>
      <c r="AS232" s="483">
        <v>37.5</v>
      </c>
      <c r="AT232" s="755">
        <v>0</v>
      </c>
      <c r="AU232" s="483">
        <v>47.9</v>
      </c>
      <c r="AV232" s="484">
        <v>757.6</v>
      </c>
      <c r="AW232" s="484">
        <v>892.6</v>
      </c>
      <c r="AX232" s="453">
        <v>45</v>
      </c>
      <c r="AY232" s="734">
        <v>0</v>
      </c>
      <c r="AZ232" s="734">
        <v>0</v>
      </c>
      <c r="BA232" s="734">
        <v>0</v>
      </c>
      <c r="BB232" s="453">
        <v>0</v>
      </c>
      <c r="BC232" s="453">
        <v>2.46</v>
      </c>
      <c r="BD232" s="453">
        <v>2.1</v>
      </c>
      <c r="BE232" s="734">
        <v>0</v>
      </c>
      <c r="BF232" s="453">
        <v>0.17</v>
      </c>
      <c r="BG232" s="453">
        <v>0</v>
      </c>
      <c r="BH232" s="734">
        <v>0</v>
      </c>
      <c r="BI232" s="453">
        <v>1.95</v>
      </c>
      <c r="BJ232" s="453">
        <v>30.6</v>
      </c>
      <c r="BK232" s="453">
        <v>4.6100000000000003</v>
      </c>
      <c r="BL232" s="453">
        <v>7.43</v>
      </c>
      <c r="BM232" s="453">
        <v>0</v>
      </c>
      <c r="BN232" s="453">
        <v>18.5</v>
      </c>
      <c r="BO232" s="453">
        <v>3083.6</v>
      </c>
      <c r="BP232" s="453">
        <v>0</v>
      </c>
      <c r="BQ232" s="453">
        <v>20</v>
      </c>
      <c r="BR232" s="453">
        <v>20</v>
      </c>
      <c r="BS232" s="453">
        <v>0</v>
      </c>
      <c r="BT232" s="453">
        <v>44.1</v>
      </c>
      <c r="BU232" s="453">
        <v>35.5</v>
      </c>
      <c r="BV232" s="456">
        <v>1092.5</v>
      </c>
      <c r="BW232" s="453">
        <v>2.99</v>
      </c>
      <c r="BX232" s="453">
        <v>1.36</v>
      </c>
      <c r="BY232" s="456">
        <v>0.9</v>
      </c>
      <c r="BZ232" s="456">
        <v>19.5</v>
      </c>
      <c r="CA232" s="456">
        <v>36.6</v>
      </c>
      <c r="CB232" s="456">
        <v>17.600000000000001</v>
      </c>
      <c r="CC232" s="456">
        <v>10.5</v>
      </c>
      <c r="CD232" s="456">
        <v>14.8</v>
      </c>
      <c r="CE232" s="456">
        <v>18.899999999999999</v>
      </c>
      <c r="CF232" s="456">
        <v>13</v>
      </c>
      <c r="CG232" s="456">
        <v>0</v>
      </c>
      <c r="CH232" s="456">
        <v>7.3</v>
      </c>
      <c r="CI232" s="456">
        <v>11.7</v>
      </c>
      <c r="CJ232" s="456">
        <v>1198.5</v>
      </c>
      <c r="CK232" s="456">
        <v>1053.7</v>
      </c>
      <c r="CL232" s="456">
        <v>710.4</v>
      </c>
      <c r="CM232" s="456">
        <v>5.5</v>
      </c>
      <c r="CN232" s="456">
        <v>1.3</v>
      </c>
      <c r="CO232" s="453">
        <v>6086.4</v>
      </c>
      <c r="CP232" s="453">
        <v>16.809999999999999</v>
      </c>
      <c r="CQ232" s="453">
        <v>57</v>
      </c>
      <c r="CR232" s="456">
        <v>0</v>
      </c>
      <c r="CS232" s="456">
        <v>0</v>
      </c>
      <c r="CT232" s="456">
        <v>0</v>
      </c>
      <c r="CU232" s="456">
        <v>0</v>
      </c>
      <c r="CV232" s="481">
        <v>346</v>
      </c>
      <c r="CW232" s="481">
        <v>410.375</v>
      </c>
      <c r="CX232" s="481">
        <v>224.77083333333334</v>
      </c>
      <c r="CY232" s="481">
        <v>1157.31</v>
      </c>
      <c r="CZ232" s="456"/>
      <c r="DA232" s="456"/>
      <c r="DB232" s="456"/>
      <c r="DC232" s="456"/>
      <c r="DD232" s="456"/>
      <c r="DE232" s="456"/>
      <c r="DF232" s="456"/>
      <c r="DG232" s="425"/>
      <c r="DH232" s="456">
        <v>59</v>
      </c>
      <c r="DI232" s="456">
        <v>0.14000000000000001</v>
      </c>
      <c r="DJ232" s="456">
        <v>0</v>
      </c>
      <c r="DK232" s="425"/>
      <c r="DL232" s="456"/>
      <c r="DM232" s="456"/>
      <c r="DN232" s="456"/>
      <c r="DO232" s="456"/>
      <c r="DP232" s="456"/>
      <c r="DQ232" s="456"/>
      <c r="DR232" s="456"/>
      <c r="DS232" s="456"/>
      <c r="DT232" s="456"/>
      <c r="DU232" s="456"/>
      <c r="DV232" s="456"/>
      <c r="DW232" s="456"/>
      <c r="DX232" s="456"/>
      <c r="DY232" s="456"/>
      <c r="DZ232" s="456"/>
      <c r="EA232" s="456"/>
      <c r="EB232" s="456"/>
      <c r="EC232" s="456"/>
      <c r="ED232" s="456">
        <v>0</v>
      </c>
      <c r="EE232" s="456">
        <v>3</v>
      </c>
      <c r="EF232" s="456">
        <v>6</v>
      </c>
      <c r="EG232" s="456">
        <v>12</v>
      </c>
      <c r="EH232" s="423">
        <v>0</v>
      </c>
      <c r="EI232" s="456"/>
      <c r="EJ232" s="456"/>
      <c r="EK232" s="456"/>
      <c r="EL232" s="456"/>
      <c r="EM232" s="456"/>
      <c r="EN232" s="456"/>
      <c r="EO232" s="425"/>
      <c r="EP232" s="425"/>
      <c r="EQ232" s="425" t="s">
        <v>743</v>
      </c>
      <c r="ER232" s="425">
        <v>1</v>
      </c>
      <c r="ES232" s="425">
        <v>6</v>
      </c>
      <c r="ET232" s="425">
        <v>3850</v>
      </c>
      <c r="EU232" s="457">
        <v>-60</v>
      </c>
      <c r="EV232" s="425">
        <v>175</v>
      </c>
      <c r="EW232" s="425">
        <v>7135556</v>
      </c>
      <c r="EX232" s="425">
        <v>5718</v>
      </c>
      <c r="EY232" s="666">
        <v>20.100000000000001</v>
      </c>
      <c r="EZ232" s="666">
        <v>20.100000000000001</v>
      </c>
      <c r="FA232" s="666">
        <v>0</v>
      </c>
      <c r="FB232" s="666">
        <v>1.37</v>
      </c>
      <c r="FC232" s="666">
        <v>1.39</v>
      </c>
      <c r="FD232" s="666">
        <v>0.96</v>
      </c>
      <c r="FE232" s="666">
        <v>0.97</v>
      </c>
      <c r="FF232" s="666">
        <v>280</v>
      </c>
      <c r="FG232" s="666">
        <v>0.74</v>
      </c>
      <c r="FH232" s="666">
        <v>0.37</v>
      </c>
      <c r="FI232" s="666">
        <v>0.69</v>
      </c>
      <c r="FJ232" s="666">
        <v>7.69</v>
      </c>
      <c r="FK232" s="666">
        <v>7.7</v>
      </c>
      <c r="FL232" s="666">
        <v>7.84</v>
      </c>
      <c r="FM232" s="666">
        <v>7.5</v>
      </c>
      <c r="FN232" s="666">
        <v>0</v>
      </c>
    </row>
    <row r="233" spans="1:170" s="416" customFormat="1" ht="15">
      <c r="A233" s="425" t="s">
        <v>3</v>
      </c>
      <c r="B233" s="426">
        <v>40762</v>
      </c>
      <c r="C233" s="418">
        <v>0</v>
      </c>
      <c r="D233" s="518">
        <v>0</v>
      </c>
      <c r="E233" s="453">
        <v>0</v>
      </c>
      <c r="F233" s="453">
        <v>57</v>
      </c>
      <c r="G233" s="453">
        <v>0.5</v>
      </c>
      <c r="H233" s="519">
        <v>1.04</v>
      </c>
      <c r="I233" s="519">
        <v>93.3</v>
      </c>
      <c r="J233" s="483">
        <v>0.65</v>
      </c>
      <c r="K233" s="520">
        <v>0.67</v>
      </c>
      <c r="L233" s="453">
        <v>0</v>
      </c>
      <c r="M233" s="453">
        <v>18.399999999999999</v>
      </c>
      <c r="N233" s="453">
        <v>1.57</v>
      </c>
      <c r="O233" s="453">
        <v>2.0615456208255813</v>
      </c>
      <c r="P233" s="453">
        <v>1.63</v>
      </c>
      <c r="Q233" s="453">
        <v>2.0481541647323613</v>
      </c>
      <c r="R233" s="453">
        <v>1292.3805019815059</v>
      </c>
      <c r="S233" s="453">
        <v>8.4</v>
      </c>
      <c r="T233" s="453">
        <v>7.97</v>
      </c>
      <c r="U233" s="453">
        <v>0.57999999999999996</v>
      </c>
      <c r="V233" s="453">
        <v>0.63</v>
      </c>
      <c r="W233" s="453">
        <v>55.039999999999992</v>
      </c>
      <c r="X233" s="456">
        <v>55.039999999999992</v>
      </c>
      <c r="Y233" s="453">
        <v>45.96</v>
      </c>
      <c r="Z233" s="453">
        <v>29.79</v>
      </c>
      <c r="AA233" s="519">
        <v>45.44999999999709</v>
      </c>
      <c r="AB233" s="519">
        <v>29.599999999998545</v>
      </c>
      <c r="AC233" s="732">
        <f t="shared" si="3"/>
        <v>75.049999999995634</v>
      </c>
      <c r="AD233" s="664"/>
      <c r="AE233" s="664"/>
      <c r="AF233" s="664"/>
      <c r="AG233" s="664"/>
      <c r="AH233" s="664"/>
      <c r="AI233" s="664"/>
      <c r="AJ233" s="485"/>
      <c r="AK233" s="485"/>
      <c r="AL233" s="485"/>
      <c r="AM233" s="485"/>
      <c r="AN233" s="485"/>
      <c r="AO233" s="665"/>
      <c r="AP233" s="485"/>
      <c r="AQ233" s="483"/>
      <c r="AR233" s="755">
        <v>0</v>
      </c>
      <c r="AS233" s="483">
        <v>20.5</v>
      </c>
      <c r="AT233" s="755">
        <v>0</v>
      </c>
      <c r="AU233" s="483">
        <v>47.7</v>
      </c>
      <c r="AV233" s="484">
        <v>1156.8</v>
      </c>
      <c r="AW233" s="484">
        <v>753.4</v>
      </c>
      <c r="AX233" s="453">
        <v>62.9</v>
      </c>
      <c r="AY233" s="734">
        <v>0</v>
      </c>
      <c r="AZ233" s="734">
        <v>0</v>
      </c>
      <c r="BA233" s="734">
        <v>0</v>
      </c>
      <c r="BB233" s="453">
        <v>0</v>
      </c>
      <c r="BC233" s="453">
        <v>2.4500000000000002</v>
      </c>
      <c r="BD233" s="453">
        <v>0.99</v>
      </c>
      <c r="BE233" s="734">
        <v>0</v>
      </c>
      <c r="BF233" s="453">
        <v>0</v>
      </c>
      <c r="BG233" s="453">
        <v>0</v>
      </c>
      <c r="BH233" s="734">
        <v>0</v>
      </c>
      <c r="BI233" s="453">
        <v>1.95</v>
      </c>
      <c r="BJ233" s="453">
        <v>24.7</v>
      </c>
      <c r="BK233" s="453">
        <v>5.34</v>
      </c>
      <c r="BL233" s="453">
        <v>6.72</v>
      </c>
      <c r="BM233" s="453">
        <v>0</v>
      </c>
      <c r="BN233" s="453">
        <v>12.6</v>
      </c>
      <c r="BO233" s="453">
        <v>3068.7</v>
      </c>
      <c r="BP233" s="453">
        <v>0</v>
      </c>
      <c r="BQ233" s="453">
        <v>19.600000000000001</v>
      </c>
      <c r="BR233" s="453">
        <v>19.600000000000001</v>
      </c>
      <c r="BS233" s="453">
        <v>0</v>
      </c>
      <c r="BT233" s="453">
        <v>43.7</v>
      </c>
      <c r="BU233" s="453">
        <v>42.1</v>
      </c>
      <c r="BV233" s="456">
        <v>1153</v>
      </c>
      <c r="BW233" s="453">
        <v>0.65</v>
      </c>
      <c r="BX233" s="453">
        <v>1.34</v>
      </c>
      <c r="BY233" s="456">
        <v>0.9</v>
      </c>
      <c r="BZ233" s="456">
        <v>19.5</v>
      </c>
      <c r="CA233" s="456">
        <v>33.700000000000003</v>
      </c>
      <c r="CB233" s="456">
        <v>16.5</v>
      </c>
      <c r="CC233" s="456">
        <v>10</v>
      </c>
      <c r="CD233" s="456">
        <v>14.1</v>
      </c>
      <c r="CE233" s="456">
        <v>18.399999999999999</v>
      </c>
      <c r="CF233" s="456">
        <v>12.4</v>
      </c>
      <c r="CG233" s="456">
        <v>0</v>
      </c>
      <c r="CH233" s="456">
        <v>7.4</v>
      </c>
      <c r="CI233" s="456">
        <v>12.3</v>
      </c>
      <c r="CJ233" s="456">
        <v>1190.5</v>
      </c>
      <c r="CK233" s="456">
        <v>1120.3</v>
      </c>
      <c r="CL233" s="456">
        <v>704.1</v>
      </c>
      <c r="CM233" s="456">
        <v>5.5</v>
      </c>
      <c r="CN233" s="456">
        <v>1.3</v>
      </c>
      <c r="CO233" s="453">
        <f>694.4*8.47</f>
        <v>5881.5680000000002</v>
      </c>
      <c r="CP233" s="453">
        <v>17.71</v>
      </c>
      <c r="CQ233" s="453">
        <v>57</v>
      </c>
      <c r="CR233" s="456">
        <v>0</v>
      </c>
      <c r="CS233" s="456">
        <v>0</v>
      </c>
      <c r="CT233" s="456">
        <v>0</v>
      </c>
      <c r="CU233" s="456">
        <v>0</v>
      </c>
      <c r="CV233" s="481">
        <v>346</v>
      </c>
      <c r="CW233" s="481">
        <v>418.6875</v>
      </c>
      <c r="CX233" s="481">
        <v>235.55208333333334</v>
      </c>
      <c r="CY233" s="481">
        <v>1157.1400000000001</v>
      </c>
      <c r="CZ233" s="456"/>
      <c r="DA233" s="456"/>
      <c r="DB233" s="456"/>
      <c r="DC233" s="456"/>
      <c r="DD233" s="456"/>
      <c r="DE233" s="456"/>
      <c r="DF233" s="456"/>
      <c r="DG233" s="425"/>
      <c r="DH233" s="456">
        <v>46</v>
      </c>
      <c r="DI233" s="456">
        <v>0.09</v>
      </c>
      <c r="DJ233" s="456">
        <v>0</v>
      </c>
      <c r="DK233" s="425"/>
      <c r="DL233" s="456"/>
      <c r="DM233" s="456"/>
      <c r="DN233" s="456"/>
      <c r="DO233" s="456"/>
      <c r="DP233" s="456"/>
      <c r="DQ233" s="456"/>
      <c r="DR233" s="456"/>
      <c r="DS233" s="456"/>
      <c r="DT233" s="456"/>
      <c r="DU233" s="456"/>
      <c r="DV233" s="456"/>
      <c r="DW233" s="456"/>
      <c r="DX233" s="456"/>
      <c r="DY233" s="456"/>
      <c r="DZ233" s="456"/>
      <c r="EA233" s="456"/>
      <c r="EB233" s="456"/>
      <c r="EC233" s="456"/>
      <c r="ED233" s="456">
        <v>0</v>
      </c>
      <c r="EE233" s="456">
        <v>3</v>
      </c>
      <c r="EF233" s="456">
        <v>6</v>
      </c>
      <c r="EG233" s="456">
        <v>12</v>
      </c>
      <c r="EH233" s="423">
        <v>0</v>
      </c>
      <c r="EI233" s="456"/>
      <c r="EJ233" s="456"/>
      <c r="EK233" s="456"/>
      <c r="EL233" s="456"/>
      <c r="EM233" s="456"/>
      <c r="EN233" s="456"/>
      <c r="EO233" s="425"/>
      <c r="EP233" s="425"/>
      <c r="EQ233" s="425" t="s">
        <v>743</v>
      </c>
      <c r="ER233" s="425">
        <v>1</v>
      </c>
      <c r="ES233" s="425">
        <v>6</v>
      </c>
      <c r="ET233" s="425">
        <v>3550</v>
      </c>
      <c r="EU233" s="457">
        <v>-60</v>
      </c>
      <c r="EV233" s="425">
        <v>220</v>
      </c>
      <c r="EW233" s="425">
        <v>7140096</v>
      </c>
      <c r="EX233" s="425">
        <v>6400</v>
      </c>
      <c r="EY233" s="666">
        <v>19.2</v>
      </c>
      <c r="EZ233" s="666">
        <v>19.2</v>
      </c>
      <c r="FA233" s="666">
        <v>0</v>
      </c>
      <c r="FB233" s="666">
        <v>1.36</v>
      </c>
      <c r="FC233" s="666">
        <v>1.35</v>
      </c>
      <c r="FD233" s="666">
        <v>0.94</v>
      </c>
      <c r="FE233" s="666">
        <v>0.92</v>
      </c>
      <c r="FF233" s="666">
        <v>350</v>
      </c>
      <c r="FG233" s="666">
        <v>0.85</v>
      </c>
      <c r="FH233" s="666">
        <v>0.38</v>
      </c>
      <c r="FI233" s="666">
        <v>0.66</v>
      </c>
      <c r="FJ233" s="666">
        <v>9.11</v>
      </c>
      <c r="FK233" s="666">
        <v>8.3000000000000007</v>
      </c>
      <c r="FL233" s="666">
        <v>7.93</v>
      </c>
      <c r="FM233" s="666">
        <v>7.6</v>
      </c>
      <c r="FN233" s="666">
        <v>0</v>
      </c>
    </row>
    <row r="234" spans="1:170" s="416" customFormat="1" ht="15">
      <c r="A234" s="425" t="s">
        <v>4</v>
      </c>
      <c r="B234" s="426">
        <v>40763</v>
      </c>
      <c r="C234" s="418">
        <v>0</v>
      </c>
      <c r="D234" s="518">
        <v>0</v>
      </c>
      <c r="E234" s="453">
        <v>0</v>
      </c>
      <c r="F234" s="453">
        <v>57</v>
      </c>
      <c r="G234" s="453">
        <v>0.45</v>
      </c>
      <c r="H234" s="519" t="s">
        <v>742</v>
      </c>
      <c r="I234" s="519">
        <v>95.4</v>
      </c>
      <c r="J234" s="483">
        <v>0.68</v>
      </c>
      <c r="K234" s="520">
        <v>0.73</v>
      </c>
      <c r="L234" s="453">
        <v>0</v>
      </c>
      <c r="M234" s="453">
        <v>18.3</v>
      </c>
      <c r="N234" s="453">
        <v>1.61</v>
      </c>
      <c r="O234" s="453">
        <v>2.0705810798090072</v>
      </c>
      <c r="P234" s="453">
        <v>1.67</v>
      </c>
      <c r="Q234" s="453">
        <v>2.09540275934001</v>
      </c>
      <c r="R234" s="453">
        <v>1397.001780713342</v>
      </c>
      <c r="S234" s="453">
        <v>8.08</v>
      </c>
      <c r="T234" s="453">
        <v>7.93</v>
      </c>
      <c r="U234" s="453">
        <v>0.59</v>
      </c>
      <c r="V234" s="453">
        <v>0.45</v>
      </c>
      <c r="W234" s="453">
        <v>57.019999999999996</v>
      </c>
      <c r="X234" s="456">
        <v>56.660000000000011</v>
      </c>
      <c r="Y234" s="453">
        <v>46.11</v>
      </c>
      <c r="Z234" s="453">
        <v>29.65</v>
      </c>
      <c r="AA234" s="519">
        <v>47.25</v>
      </c>
      <c r="AB234" s="519">
        <v>32.849999999998545</v>
      </c>
      <c r="AC234" s="732">
        <f t="shared" si="3"/>
        <v>80.099999999998545</v>
      </c>
      <c r="AD234" s="664"/>
      <c r="AE234" s="664"/>
      <c r="AF234" s="664"/>
      <c r="AG234" s="664"/>
      <c r="AH234" s="664"/>
      <c r="AI234" s="664"/>
      <c r="AJ234" s="485"/>
      <c r="AK234" s="485"/>
      <c r="AL234" s="485"/>
      <c r="AM234" s="485"/>
      <c r="AN234" s="485"/>
      <c r="AO234" s="665"/>
      <c r="AP234" s="485"/>
      <c r="AQ234" s="483"/>
      <c r="AR234" s="755">
        <v>0</v>
      </c>
      <c r="AS234" s="483">
        <v>35</v>
      </c>
      <c r="AT234" s="755">
        <v>0</v>
      </c>
      <c r="AU234" s="483">
        <v>47.8</v>
      </c>
      <c r="AV234" s="484">
        <v>1138</v>
      </c>
      <c r="AW234" s="484">
        <v>367</v>
      </c>
      <c r="AX234" s="453">
        <v>48.2</v>
      </c>
      <c r="AY234" s="734">
        <v>0</v>
      </c>
      <c r="AZ234" s="734">
        <v>0</v>
      </c>
      <c r="BA234" s="734">
        <v>0</v>
      </c>
      <c r="BB234" s="453">
        <v>0</v>
      </c>
      <c r="BC234" s="453">
        <v>2.02</v>
      </c>
      <c r="BD234" s="453">
        <v>2.0299999999999998</v>
      </c>
      <c r="BE234" s="734">
        <v>0</v>
      </c>
      <c r="BF234" s="453">
        <v>0.71</v>
      </c>
      <c r="BG234" s="453">
        <v>0</v>
      </c>
      <c r="BH234" s="734">
        <v>0</v>
      </c>
      <c r="BI234" s="453">
        <v>1.98</v>
      </c>
      <c r="BJ234" s="453">
        <v>25</v>
      </c>
      <c r="BK234" s="453">
        <v>4.92</v>
      </c>
      <c r="BL234" s="453">
        <v>7.12</v>
      </c>
      <c r="BM234" s="453">
        <v>0</v>
      </c>
      <c r="BN234" s="453">
        <v>12.9</v>
      </c>
      <c r="BO234" s="453">
        <v>2932.8</v>
      </c>
      <c r="BP234" s="453">
        <v>30</v>
      </c>
      <c r="BQ234" s="453">
        <v>18.899999999999999</v>
      </c>
      <c r="BR234" s="453">
        <v>18.899999999999999</v>
      </c>
      <c r="BS234" s="453">
        <v>0</v>
      </c>
      <c r="BT234" s="453">
        <v>44</v>
      </c>
      <c r="BU234" s="453">
        <v>44.2</v>
      </c>
      <c r="BV234" s="456">
        <v>1045</v>
      </c>
      <c r="BW234" s="453">
        <v>3.3</v>
      </c>
      <c r="BX234" s="453">
        <v>1.35</v>
      </c>
      <c r="BY234" s="456">
        <v>0.89</v>
      </c>
      <c r="BZ234" s="456">
        <v>19.7</v>
      </c>
      <c r="CA234" s="456">
        <v>34.9</v>
      </c>
      <c r="CB234" s="456">
        <v>18.100000000000001</v>
      </c>
      <c r="CC234" s="456">
        <v>9.5</v>
      </c>
      <c r="CD234" s="456">
        <v>13.7</v>
      </c>
      <c r="CE234" s="456">
        <v>18</v>
      </c>
      <c r="CF234" s="456">
        <v>12.3</v>
      </c>
      <c r="CG234" s="456">
        <v>0</v>
      </c>
      <c r="CH234" s="456">
        <v>8</v>
      </c>
      <c r="CI234" s="456">
        <v>13.1</v>
      </c>
      <c r="CJ234" s="456">
        <v>1098.4000000000001</v>
      </c>
      <c r="CK234" s="456">
        <v>1022.3</v>
      </c>
      <c r="CL234" s="456">
        <v>738.9</v>
      </c>
      <c r="CM234" s="456">
        <v>5.4</v>
      </c>
      <c r="CN234" s="456">
        <v>1.42</v>
      </c>
      <c r="CO234" s="453">
        <v>6356.3</v>
      </c>
      <c r="CP234" s="453">
        <v>18.059999999999999</v>
      </c>
      <c r="CQ234" s="453">
        <v>57</v>
      </c>
      <c r="CR234" s="456">
        <v>0</v>
      </c>
      <c r="CS234" s="456">
        <v>0</v>
      </c>
      <c r="CT234" s="456">
        <v>0</v>
      </c>
      <c r="CU234" s="456">
        <v>0</v>
      </c>
      <c r="CV234" s="481">
        <v>332.04166666666669</v>
      </c>
      <c r="CW234" s="481">
        <v>414.3125</v>
      </c>
      <c r="CX234" s="481">
        <v>223.09375</v>
      </c>
      <c r="CY234" s="481">
        <v>1157.07</v>
      </c>
      <c r="CZ234" s="456"/>
      <c r="DA234" s="456"/>
      <c r="DB234" s="456"/>
      <c r="DC234" s="456"/>
      <c r="DD234" s="456"/>
      <c r="DE234" s="456"/>
      <c r="DF234" s="456"/>
      <c r="DG234" s="425"/>
      <c r="DH234" s="456">
        <v>59</v>
      </c>
      <c r="DI234" s="456">
        <v>0.11</v>
      </c>
      <c r="DJ234" s="456">
        <v>0</v>
      </c>
      <c r="DK234" s="425"/>
      <c r="DL234" s="456"/>
      <c r="DM234" s="456"/>
      <c r="DN234" s="456"/>
      <c r="DO234" s="456"/>
      <c r="DP234" s="456"/>
      <c r="DQ234" s="456"/>
      <c r="DR234" s="456"/>
      <c r="DS234" s="456"/>
      <c r="DT234" s="456"/>
      <c r="DU234" s="456"/>
      <c r="DV234" s="456"/>
      <c r="DW234" s="456"/>
      <c r="DX234" s="456"/>
      <c r="DY234" s="456"/>
      <c r="DZ234" s="456"/>
      <c r="EA234" s="456"/>
      <c r="EB234" s="456"/>
      <c r="EC234" s="456"/>
      <c r="ED234" s="456">
        <v>0</v>
      </c>
      <c r="EE234" s="456">
        <v>3</v>
      </c>
      <c r="EF234" s="456">
        <v>5</v>
      </c>
      <c r="EG234" s="456">
        <v>12</v>
      </c>
      <c r="EH234" s="423">
        <v>0</v>
      </c>
      <c r="EI234" s="456"/>
      <c r="EJ234" s="456"/>
      <c r="EK234" s="456"/>
      <c r="EL234" s="456"/>
      <c r="EM234" s="456"/>
      <c r="EN234" s="456"/>
      <c r="EO234" s="425"/>
      <c r="EP234" s="425"/>
      <c r="EQ234" s="425" t="s">
        <v>743</v>
      </c>
      <c r="ER234" s="425">
        <v>1</v>
      </c>
      <c r="ES234" s="425">
        <v>6</v>
      </c>
      <c r="ET234" s="425">
        <v>3260</v>
      </c>
      <c r="EU234" s="457">
        <v>-60</v>
      </c>
      <c r="EV234" s="425">
        <v>190</v>
      </c>
      <c r="EW234" s="425">
        <v>7144238</v>
      </c>
      <c r="EX234" s="425">
        <v>7084</v>
      </c>
      <c r="EY234" s="666">
        <v>18.77</v>
      </c>
      <c r="EZ234" s="666">
        <v>18.77</v>
      </c>
      <c r="FA234" s="666">
        <v>0</v>
      </c>
      <c r="FB234" s="666">
        <v>1.39</v>
      </c>
      <c r="FC234" s="666">
        <v>1.37</v>
      </c>
      <c r="FD234" s="666">
        <v>0.93</v>
      </c>
      <c r="FE234" s="666">
        <v>0.94</v>
      </c>
      <c r="FF234" s="666">
        <v>290</v>
      </c>
      <c r="FG234" s="666">
        <v>0.73</v>
      </c>
      <c r="FH234" s="666">
        <v>0.38</v>
      </c>
      <c r="FI234" s="666">
        <v>0.7</v>
      </c>
      <c r="FJ234" s="666">
        <v>6.17</v>
      </c>
      <c r="FK234" s="666">
        <v>8.1</v>
      </c>
      <c r="FL234" s="666">
        <v>7.81</v>
      </c>
      <c r="FM234" s="666">
        <v>7.6</v>
      </c>
      <c r="FN234" s="666">
        <v>0</v>
      </c>
    </row>
    <row r="235" spans="1:170" s="416" customFormat="1" ht="15">
      <c r="A235" s="425" t="s">
        <v>5</v>
      </c>
      <c r="B235" s="426">
        <v>40764</v>
      </c>
      <c r="C235" s="418">
        <v>0</v>
      </c>
      <c r="D235" s="518">
        <v>0</v>
      </c>
      <c r="E235" s="453">
        <v>0</v>
      </c>
      <c r="F235" s="453">
        <v>57</v>
      </c>
      <c r="G235" s="453">
        <v>0.45</v>
      </c>
      <c r="H235" s="519">
        <v>1.05</v>
      </c>
      <c r="I235" s="519">
        <v>93.9</v>
      </c>
      <c r="J235" s="483">
        <v>0.73</v>
      </c>
      <c r="K235" s="520">
        <v>0.76</v>
      </c>
      <c r="L235" s="453">
        <v>0</v>
      </c>
      <c r="M235" s="453">
        <v>18.3</v>
      </c>
      <c r="N235" s="453">
        <v>1.63</v>
      </c>
      <c r="O235" s="453">
        <v>2.0540730955526199</v>
      </c>
      <c r="P235" s="453">
        <v>1.68</v>
      </c>
      <c r="Q235" s="453">
        <v>2.0547473579920736</v>
      </c>
      <c r="R235" s="453">
        <v>1319.2646076618228</v>
      </c>
      <c r="S235" s="453">
        <v>7.99</v>
      </c>
      <c r="T235" s="453">
        <v>7.97</v>
      </c>
      <c r="U235" s="453">
        <v>0.59</v>
      </c>
      <c r="V235" s="453">
        <v>0.63</v>
      </c>
      <c r="W235" s="453">
        <v>57.019999999999996</v>
      </c>
      <c r="X235" s="456">
        <v>57.019999999999996</v>
      </c>
      <c r="Y235" s="453">
        <v>45.87</v>
      </c>
      <c r="Z235" s="453">
        <v>32.94</v>
      </c>
      <c r="AA235" s="519">
        <v>45</v>
      </c>
      <c r="AB235" s="519">
        <v>32</v>
      </c>
      <c r="AC235" s="732">
        <f t="shared" si="3"/>
        <v>77</v>
      </c>
      <c r="AD235" s="664"/>
      <c r="AE235" s="664"/>
      <c r="AF235" s="664"/>
      <c r="AG235" s="664"/>
      <c r="AH235" s="664"/>
      <c r="AI235" s="664"/>
      <c r="AJ235" s="485"/>
      <c r="AK235" s="485"/>
      <c r="AL235" s="485"/>
      <c r="AM235" s="485"/>
      <c r="AN235" s="485"/>
      <c r="AO235" s="665"/>
      <c r="AP235" s="485"/>
      <c r="AQ235" s="483"/>
      <c r="AR235" s="755">
        <v>0</v>
      </c>
      <c r="AS235" s="483">
        <v>40.1</v>
      </c>
      <c r="AT235" s="755">
        <v>0</v>
      </c>
      <c r="AU235" s="483">
        <v>47.9</v>
      </c>
      <c r="AV235" s="484">
        <v>717.5</v>
      </c>
      <c r="AW235" s="484">
        <v>868.7</v>
      </c>
      <c r="AX235" s="453">
        <v>50.7</v>
      </c>
      <c r="AY235" s="734">
        <v>0</v>
      </c>
      <c r="AZ235" s="734">
        <v>0</v>
      </c>
      <c r="BA235" s="734">
        <v>0</v>
      </c>
      <c r="BB235" s="453">
        <v>0</v>
      </c>
      <c r="BC235" s="453">
        <v>2</v>
      </c>
      <c r="BD235" s="453">
        <v>2.0299999999999998</v>
      </c>
      <c r="BE235" s="734">
        <v>0</v>
      </c>
      <c r="BF235" s="453">
        <v>1.05</v>
      </c>
      <c r="BG235" s="453">
        <v>0</v>
      </c>
      <c r="BH235" s="734">
        <v>0</v>
      </c>
      <c r="BI235" s="453">
        <v>1.97</v>
      </c>
      <c r="BJ235" s="453">
        <v>26.1</v>
      </c>
      <c r="BK235" s="453">
        <v>4.75</v>
      </c>
      <c r="BL235" s="453">
        <v>7.31</v>
      </c>
      <c r="BM235" s="453">
        <v>0</v>
      </c>
      <c r="BN235" s="453">
        <v>14</v>
      </c>
      <c r="BO235" s="453">
        <v>2923.2</v>
      </c>
      <c r="BP235" s="453">
        <v>0</v>
      </c>
      <c r="BQ235" s="453">
        <v>19.3</v>
      </c>
      <c r="BR235" s="453">
        <v>19.3</v>
      </c>
      <c r="BS235" s="453">
        <v>0</v>
      </c>
      <c r="BT235" s="453">
        <v>44.2</v>
      </c>
      <c r="BU235" s="453">
        <v>38.299999999999997</v>
      </c>
      <c r="BV235" s="456">
        <v>1053.4000000000001</v>
      </c>
      <c r="BW235" s="453">
        <v>0.77</v>
      </c>
      <c r="BX235" s="453">
        <v>1.39</v>
      </c>
      <c r="BY235" s="456">
        <v>0.89</v>
      </c>
      <c r="BZ235" s="456">
        <v>18.3</v>
      </c>
      <c r="CA235" s="456">
        <v>36.9</v>
      </c>
      <c r="CB235" s="456">
        <v>17.5</v>
      </c>
      <c r="CC235" s="456">
        <v>10</v>
      </c>
      <c r="CD235" s="456">
        <v>14.2</v>
      </c>
      <c r="CE235" s="456">
        <v>18.5</v>
      </c>
      <c r="CF235" s="456">
        <v>12.7</v>
      </c>
      <c r="CG235" s="456">
        <v>0</v>
      </c>
      <c r="CH235" s="456">
        <v>6.9</v>
      </c>
      <c r="CI235" s="456">
        <v>12.5</v>
      </c>
      <c r="CJ235" s="456">
        <v>980.4</v>
      </c>
      <c r="CK235" s="456">
        <v>935</v>
      </c>
      <c r="CL235" s="456">
        <v>738.6</v>
      </c>
      <c r="CM235" s="456">
        <v>5.7</v>
      </c>
      <c r="CN235" s="456">
        <v>1.42</v>
      </c>
      <c r="CO235" s="453">
        <v>6691.3</v>
      </c>
      <c r="CP235" s="453">
        <v>17.73</v>
      </c>
      <c r="CQ235" s="453">
        <v>57</v>
      </c>
      <c r="CR235" s="456">
        <v>0</v>
      </c>
      <c r="CS235" s="456">
        <v>0</v>
      </c>
      <c r="CT235" s="456">
        <v>0</v>
      </c>
      <c r="CU235" s="456">
        <v>0</v>
      </c>
      <c r="CV235" s="481">
        <v>324.5</v>
      </c>
      <c r="CW235" s="481">
        <v>394.27083333333331</v>
      </c>
      <c r="CX235" s="481">
        <v>211.88541666666666</v>
      </c>
      <c r="CY235" s="481">
        <v>1156.8800000000001</v>
      </c>
      <c r="CZ235" s="456"/>
      <c r="DA235" s="456"/>
      <c r="DB235" s="456"/>
      <c r="DC235" s="456"/>
      <c r="DD235" s="456"/>
      <c r="DE235" s="456"/>
      <c r="DF235" s="456"/>
      <c r="DG235" s="425"/>
      <c r="DH235" s="456">
        <v>48</v>
      </c>
      <c r="DI235" s="456">
        <v>0.11</v>
      </c>
      <c r="DJ235" s="456">
        <v>0</v>
      </c>
      <c r="DK235" s="425"/>
      <c r="DL235" s="456"/>
      <c r="DM235" s="456"/>
      <c r="DN235" s="456"/>
      <c r="DO235" s="456"/>
      <c r="DP235" s="456"/>
      <c r="DQ235" s="456"/>
      <c r="DR235" s="456"/>
      <c r="DS235" s="456"/>
      <c r="DT235" s="456"/>
      <c r="DU235" s="456"/>
      <c r="DV235" s="456"/>
      <c r="DW235" s="456"/>
      <c r="DX235" s="456"/>
      <c r="DY235" s="456"/>
      <c r="DZ235" s="456"/>
      <c r="EA235" s="456"/>
      <c r="EB235" s="456"/>
      <c r="EC235" s="456"/>
      <c r="ED235" s="456">
        <v>0</v>
      </c>
      <c r="EE235" s="456">
        <v>3</v>
      </c>
      <c r="EF235" s="456">
        <v>5</v>
      </c>
      <c r="EG235" s="456">
        <v>12</v>
      </c>
      <c r="EH235" s="423">
        <v>0</v>
      </c>
      <c r="EI235" s="456"/>
      <c r="EJ235" s="456"/>
      <c r="EK235" s="456"/>
      <c r="EL235" s="456"/>
      <c r="EM235" s="456"/>
      <c r="EN235" s="456"/>
      <c r="EO235" s="425"/>
      <c r="EP235" s="425"/>
      <c r="EQ235" s="425" t="s">
        <v>743</v>
      </c>
      <c r="ER235" s="425">
        <v>1</v>
      </c>
      <c r="ES235" s="425">
        <v>6</v>
      </c>
      <c r="ET235" s="425">
        <v>3080</v>
      </c>
      <c r="EU235" s="457">
        <v>4000</v>
      </c>
      <c r="EV235" s="425">
        <v>260</v>
      </c>
      <c r="EW235" s="425">
        <v>7148149</v>
      </c>
      <c r="EX235" s="425">
        <v>7771</v>
      </c>
      <c r="EY235" s="666">
        <v>19.16</v>
      </c>
      <c r="EZ235" s="666">
        <v>19.16</v>
      </c>
      <c r="FA235" s="666">
        <v>0</v>
      </c>
      <c r="FB235" s="666">
        <v>1.39</v>
      </c>
      <c r="FC235" s="666">
        <v>1.41</v>
      </c>
      <c r="FD235" s="666">
        <v>0.95</v>
      </c>
      <c r="FE235" s="666">
        <v>0.96</v>
      </c>
      <c r="FF235" s="666">
        <v>180</v>
      </c>
      <c r="FG235" s="666">
        <v>0.73</v>
      </c>
      <c r="FH235" s="666">
        <v>0.39</v>
      </c>
      <c r="FI235" s="666">
        <v>0.66</v>
      </c>
      <c r="FJ235" s="666">
        <v>8.6</v>
      </c>
      <c r="FK235" s="666">
        <v>8.3000000000000007</v>
      </c>
      <c r="FL235" s="666">
        <v>7.76</v>
      </c>
      <c r="FM235" s="666">
        <v>7.5</v>
      </c>
      <c r="FN235" s="666">
        <v>0</v>
      </c>
    </row>
    <row r="236" spans="1:170" s="416" customFormat="1" ht="15">
      <c r="A236" s="425" t="s">
        <v>6</v>
      </c>
      <c r="B236" s="426">
        <v>40765</v>
      </c>
      <c r="C236" s="418">
        <v>0</v>
      </c>
      <c r="D236" s="518">
        <v>0</v>
      </c>
      <c r="E236" s="453">
        <v>0</v>
      </c>
      <c r="F236" s="453">
        <v>57</v>
      </c>
      <c r="G236" s="453">
        <v>0.4</v>
      </c>
      <c r="H236" s="519">
        <v>2.46</v>
      </c>
      <c r="I236" s="519">
        <v>92.2</v>
      </c>
      <c r="J236" s="483">
        <v>2.12</v>
      </c>
      <c r="K236" s="520">
        <v>2.21</v>
      </c>
      <c r="L236" s="453">
        <v>0</v>
      </c>
      <c r="M236" s="453">
        <v>18.2</v>
      </c>
      <c r="N236" s="453">
        <v>1.65</v>
      </c>
      <c r="O236" s="453">
        <v>2.0832255391045358</v>
      </c>
      <c r="P236" s="453">
        <v>1.65</v>
      </c>
      <c r="Q236" s="453">
        <v>2.0638293798937735</v>
      </c>
      <c r="R236" s="453">
        <v>1372.0611043593128</v>
      </c>
      <c r="S236" s="453">
        <v>7.99</v>
      </c>
      <c r="T236" s="453">
        <v>7.96</v>
      </c>
      <c r="U236" s="453">
        <v>0.6</v>
      </c>
      <c r="V236" s="453">
        <v>0.63</v>
      </c>
      <c r="W236" s="453">
        <v>57.019999999999996</v>
      </c>
      <c r="X236" s="456">
        <v>57.019999999999996</v>
      </c>
      <c r="Y236" s="453">
        <v>45.87</v>
      </c>
      <c r="Z236" s="453">
        <v>32.630000000000003</v>
      </c>
      <c r="AA236" s="519">
        <v>46.100000000005821</v>
      </c>
      <c r="AB236" s="519">
        <v>32.94999999999709</v>
      </c>
      <c r="AC236" s="732">
        <f t="shared" si="3"/>
        <v>79.05000000000291</v>
      </c>
      <c r="AD236" s="664"/>
      <c r="AE236" s="664"/>
      <c r="AF236" s="664"/>
      <c r="AG236" s="664"/>
      <c r="AH236" s="664"/>
      <c r="AI236" s="664"/>
      <c r="AJ236" s="485"/>
      <c r="AK236" s="485"/>
      <c r="AL236" s="485"/>
      <c r="AM236" s="485"/>
      <c r="AN236" s="485"/>
      <c r="AO236" s="665"/>
      <c r="AP236" s="485"/>
      <c r="AQ236" s="483"/>
      <c r="AR236" s="755">
        <v>0</v>
      </c>
      <c r="AS236" s="483">
        <v>32.799999999999997</v>
      </c>
      <c r="AT236" s="755">
        <v>0</v>
      </c>
      <c r="AU236" s="483">
        <v>47.7</v>
      </c>
      <c r="AV236" s="484">
        <v>778.1</v>
      </c>
      <c r="AW236" s="484">
        <v>929.6</v>
      </c>
      <c r="AX236" s="453">
        <v>43.8</v>
      </c>
      <c r="AY236" s="734">
        <v>0</v>
      </c>
      <c r="AZ236" s="734">
        <v>0</v>
      </c>
      <c r="BA236" s="734">
        <v>0</v>
      </c>
      <c r="BB236" s="453">
        <v>0</v>
      </c>
      <c r="BC236" s="453">
        <v>2</v>
      </c>
      <c r="BD236" s="453">
        <v>2.0299999999999998</v>
      </c>
      <c r="BE236" s="734">
        <v>0</v>
      </c>
      <c r="BF236" s="453">
        <v>0.69</v>
      </c>
      <c r="BG236" s="453">
        <v>0</v>
      </c>
      <c r="BH236" s="734">
        <v>0</v>
      </c>
      <c r="BI236" s="453">
        <v>1.99</v>
      </c>
      <c r="BJ236" s="453">
        <v>26.5</v>
      </c>
      <c r="BK236" s="453">
        <v>4.6100000000000003</v>
      </c>
      <c r="BL236" s="453">
        <v>7.45</v>
      </c>
      <c r="BM236" s="453">
        <v>0</v>
      </c>
      <c r="BN236" s="453">
        <v>14.3</v>
      </c>
      <c r="BO236" s="453">
        <v>2975.6</v>
      </c>
      <c r="BP236" s="453">
        <v>0</v>
      </c>
      <c r="BQ236" s="453">
        <v>19.52</v>
      </c>
      <c r="BR236" s="453">
        <v>19.5</v>
      </c>
      <c r="BS236" s="453">
        <v>0</v>
      </c>
      <c r="BT236" s="453">
        <v>44.1</v>
      </c>
      <c r="BU236" s="453">
        <v>39.4</v>
      </c>
      <c r="BV236" s="456">
        <v>1176.0999999999999</v>
      </c>
      <c r="BW236" s="453">
        <v>1.68</v>
      </c>
      <c r="BX236" s="453">
        <v>1.38</v>
      </c>
      <c r="BY236" s="456">
        <v>0.9</v>
      </c>
      <c r="BZ236" s="456">
        <v>18.399999999999999</v>
      </c>
      <c r="CA236" s="456">
        <v>34.799999999999997</v>
      </c>
      <c r="CB236" s="456">
        <v>18.5</v>
      </c>
      <c r="CC236" s="456">
        <v>9.8000000000000007</v>
      </c>
      <c r="CD236" s="456">
        <v>13.9</v>
      </c>
      <c r="CE236" s="456">
        <v>18.27</v>
      </c>
      <c r="CF236" s="456">
        <v>12.8</v>
      </c>
      <c r="CG236" s="456">
        <v>0</v>
      </c>
      <c r="CH236" s="456">
        <v>6.7</v>
      </c>
      <c r="CI236" s="456">
        <v>11</v>
      </c>
      <c r="CJ236" s="456">
        <v>1005.7</v>
      </c>
      <c r="CK236" s="456">
        <v>975.4</v>
      </c>
      <c r="CL236" s="456">
        <v>748.5</v>
      </c>
      <c r="CM236" s="456">
        <v>6.7</v>
      </c>
      <c r="CN236" s="456">
        <v>1.52</v>
      </c>
      <c r="CO236" s="453">
        <v>6879.1</v>
      </c>
      <c r="CP236" s="453">
        <v>16.78</v>
      </c>
      <c r="CQ236" s="453">
        <v>57</v>
      </c>
      <c r="CR236" s="456">
        <v>0</v>
      </c>
      <c r="CS236" s="456">
        <v>0</v>
      </c>
      <c r="CT236" s="456">
        <v>0</v>
      </c>
      <c r="CU236" s="456">
        <v>0</v>
      </c>
      <c r="CV236" s="481">
        <v>316.5</v>
      </c>
      <c r="CW236" s="481">
        <v>385.78125</v>
      </c>
      <c r="CX236" s="481">
        <v>205.03125</v>
      </c>
      <c r="CY236" s="481">
        <v>1156.72</v>
      </c>
      <c r="CZ236" s="456"/>
      <c r="DA236" s="456"/>
      <c r="DB236" s="456"/>
      <c r="DC236" s="456"/>
      <c r="DD236" s="456"/>
      <c r="DE236" s="456"/>
      <c r="DF236" s="456"/>
      <c r="DG236" s="425"/>
      <c r="DH236" s="456">
        <v>66</v>
      </c>
      <c r="DI236" s="456">
        <v>0.08</v>
      </c>
      <c r="DJ236" s="456">
        <v>0</v>
      </c>
      <c r="DK236" s="425"/>
      <c r="DL236" s="456"/>
      <c r="DM236" s="456"/>
      <c r="DN236" s="456"/>
      <c r="DO236" s="456"/>
      <c r="DP236" s="456"/>
      <c r="DQ236" s="456"/>
      <c r="DR236" s="456"/>
      <c r="DS236" s="456"/>
      <c r="DT236" s="456"/>
      <c r="DU236" s="456"/>
      <c r="DV236" s="456"/>
      <c r="DW236" s="456"/>
      <c r="DX236" s="456"/>
      <c r="DY236" s="456"/>
      <c r="DZ236" s="456"/>
      <c r="EA236" s="456"/>
      <c r="EB236" s="456"/>
      <c r="EC236" s="456"/>
      <c r="ED236" s="456">
        <v>0</v>
      </c>
      <c r="EE236" s="456">
        <v>3</v>
      </c>
      <c r="EF236" s="456">
        <v>5</v>
      </c>
      <c r="EG236" s="456">
        <v>12</v>
      </c>
      <c r="EH236" s="423">
        <v>0</v>
      </c>
      <c r="EI236" s="456"/>
      <c r="EJ236" s="456"/>
      <c r="EK236" s="456"/>
      <c r="EL236" s="456"/>
      <c r="EM236" s="456"/>
      <c r="EN236" s="456"/>
      <c r="EO236" s="425"/>
      <c r="EP236" s="425"/>
      <c r="EQ236" s="425" t="s">
        <v>743</v>
      </c>
      <c r="ER236" s="425">
        <v>1</v>
      </c>
      <c r="ES236" s="425">
        <v>6</v>
      </c>
      <c r="ET236" s="425">
        <v>2900</v>
      </c>
      <c r="EU236" s="457">
        <v>3990</v>
      </c>
      <c r="EV236" s="425">
        <v>200</v>
      </c>
      <c r="EW236" s="425">
        <v>7152048</v>
      </c>
      <c r="EX236" s="425">
        <v>8456</v>
      </c>
      <c r="EY236" s="666">
        <v>19.600000000000001</v>
      </c>
      <c r="EZ236" s="666">
        <v>19.600000000000001</v>
      </c>
      <c r="FA236" s="666">
        <v>0</v>
      </c>
      <c r="FB236" s="666">
        <v>1.42</v>
      </c>
      <c r="FC236" s="666">
        <v>1.45</v>
      </c>
      <c r="FD236" s="666">
        <v>0.99</v>
      </c>
      <c r="FE236" s="666">
        <v>0.96</v>
      </c>
      <c r="FF236" s="666">
        <v>190</v>
      </c>
      <c r="FG236" s="666">
        <v>1.1499999999999999</v>
      </c>
      <c r="FH236" s="666">
        <v>0.47299999999999998</v>
      </c>
      <c r="FI236" s="666">
        <v>0.75</v>
      </c>
      <c r="FJ236" s="666">
        <v>7.87</v>
      </c>
      <c r="FK236" s="666">
        <v>7.8</v>
      </c>
      <c r="FL236" s="666">
        <v>7.71</v>
      </c>
      <c r="FM236" s="666">
        <v>7.3</v>
      </c>
      <c r="FN236" s="666">
        <v>0</v>
      </c>
    </row>
    <row r="237" spans="1:170" s="416" customFormat="1" ht="15">
      <c r="A237" s="425" t="s">
        <v>7</v>
      </c>
      <c r="B237" s="426">
        <v>40766</v>
      </c>
      <c r="C237" s="418">
        <v>0</v>
      </c>
      <c r="D237" s="518">
        <v>0</v>
      </c>
      <c r="E237" s="453">
        <v>0</v>
      </c>
      <c r="F237" s="453">
        <v>56.4</v>
      </c>
      <c r="G237" s="453">
        <v>0.4</v>
      </c>
      <c r="H237" s="519">
        <v>1.1100000000000001</v>
      </c>
      <c r="I237" s="519">
        <v>93.2</v>
      </c>
      <c r="J237" s="483">
        <v>0.95</v>
      </c>
      <c r="K237" s="520">
        <v>0.98</v>
      </c>
      <c r="L237" s="453">
        <v>0</v>
      </c>
      <c r="M237" s="453">
        <v>18.2</v>
      </c>
      <c r="N237" s="453">
        <v>1.64</v>
      </c>
      <c r="O237" s="453">
        <v>2.0802798392751249</v>
      </c>
      <c r="P237" s="453">
        <v>1.7</v>
      </c>
      <c r="Q237" s="453">
        <v>2.0782332503741117</v>
      </c>
      <c r="R237" s="453">
        <v>1351.3311915455745</v>
      </c>
      <c r="S237" s="453">
        <v>8.06</v>
      </c>
      <c r="T237" s="453">
        <v>7.98</v>
      </c>
      <c r="U237" s="453">
        <v>0.59</v>
      </c>
      <c r="V237" s="453">
        <v>0.6</v>
      </c>
      <c r="W237" s="453">
        <v>55.22</v>
      </c>
      <c r="X237" s="456">
        <v>55.760000000000005</v>
      </c>
      <c r="Y237" s="453">
        <v>45.79</v>
      </c>
      <c r="Z237" s="453">
        <v>33.22</v>
      </c>
      <c r="AA237" s="519">
        <v>45.759999999994761</v>
      </c>
      <c r="AB237" s="519">
        <v>32</v>
      </c>
      <c r="AC237" s="732">
        <f t="shared" si="3"/>
        <v>77.759999999994761</v>
      </c>
      <c r="AD237" s="664"/>
      <c r="AE237" s="664"/>
      <c r="AF237" s="664"/>
      <c r="AG237" s="664"/>
      <c r="AH237" s="664"/>
      <c r="AI237" s="664"/>
      <c r="AJ237" s="485"/>
      <c r="AK237" s="485"/>
      <c r="AL237" s="485"/>
      <c r="AM237" s="485"/>
      <c r="AN237" s="485"/>
      <c r="AO237" s="665"/>
      <c r="AP237" s="485"/>
      <c r="AQ237" s="483"/>
      <c r="AR237" s="755">
        <v>0</v>
      </c>
      <c r="AS237" s="483">
        <v>21.3</v>
      </c>
      <c r="AT237" s="755">
        <v>0</v>
      </c>
      <c r="AU237" s="483">
        <v>47.5</v>
      </c>
      <c r="AV237" s="484">
        <v>819</v>
      </c>
      <c r="AW237" s="484">
        <v>979.7</v>
      </c>
      <c r="AX237" s="453">
        <v>36.1</v>
      </c>
      <c r="AY237" s="734">
        <v>0</v>
      </c>
      <c r="AZ237" s="734">
        <v>0</v>
      </c>
      <c r="BA237" s="734">
        <v>0</v>
      </c>
      <c r="BB237" s="453">
        <v>0</v>
      </c>
      <c r="BC237" s="453">
        <v>2</v>
      </c>
      <c r="BD237" s="453">
        <v>2.02</v>
      </c>
      <c r="BE237" s="734">
        <v>0</v>
      </c>
      <c r="BF237" s="453">
        <v>0</v>
      </c>
      <c r="BG237" s="453">
        <v>0</v>
      </c>
      <c r="BH237" s="734">
        <v>0</v>
      </c>
      <c r="BI237" s="453">
        <v>1.98</v>
      </c>
      <c r="BJ237" s="453">
        <v>26.2</v>
      </c>
      <c r="BK237" s="453">
        <v>4.49</v>
      </c>
      <c r="BL237" s="453">
        <v>7.56</v>
      </c>
      <c r="BM237" s="453">
        <v>0</v>
      </c>
      <c r="BN237" s="453">
        <v>14.2</v>
      </c>
      <c r="BO237" s="453">
        <v>2887.9</v>
      </c>
      <c r="BP237" s="453">
        <v>0</v>
      </c>
      <c r="BQ237" s="453">
        <v>19.8</v>
      </c>
      <c r="BR237" s="453">
        <v>19.8</v>
      </c>
      <c r="BS237" s="453">
        <v>0</v>
      </c>
      <c r="BT237" s="453">
        <v>44</v>
      </c>
      <c r="BU237" s="453">
        <v>39.5</v>
      </c>
      <c r="BV237" s="456">
        <v>1030.7</v>
      </c>
      <c r="BW237" s="453">
        <v>0.98</v>
      </c>
      <c r="BX237" s="453">
        <v>1.4</v>
      </c>
      <c r="BY237" s="456">
        <v>0.9</v>
      </c>
      <c r="BZ237" s="456">
        <v>18.3</v>
      </c>
      <c r="CA237" s="456">
        <v>32.799999999999997</v>
      </c>
      <c r="CB237" s="456">
        <v>18.760000000000002</v>
      </c>
      <c r="CC237" s="456">
        <v>9.6</v>
      </c>
      <c r="CD237" s="456">
        <v>13.7</v>
      </c>
      <c r="CE237" s="456">
        <v>18</v>
      </c>
      <c r="CF237" s="456">
        <v>12.44</v>
      </c>
      <c r="CG237" s="456">
        <v>0</v>
      </c>
      <c r="CH237" s="456">
        <v>6.8</v>
      </c>
      <c r="CI237" s="456">
        <v>10.8</v>
      </c>
      <c r="CJ237" s="456">
        <v>961.7</v>
      </c>
      <c r="CK237" s="456">
        <v>1045.7</v>
      </c>
      <c r="CL237" s="456">
        <v>730.7</v>
      </c>
      <c r="CM237" s="456">
        <v>6.6</v>
      </c>
      <c r="CN237" s="456">
        <v>1.5</v>
      </c>
      <c r="CO237" s="453">
        <v>6743.5</v>
      </c>
      <c r="CP237" s="453">
        <v>16.8</v>
      </c>
      <c r="CQ237" s="453">
        <v>57</v>
      </c>
      <c r="CR237" s="456">
        <v>0</v>
      </c>
      <c r="CS237" s="456">
        <v>0</v>
      </c>
      <c r="CT237" s="456">
        <v>0</v>
      </c>
      <c r="CU237" s="456">
        <v>0</v>
      </c>
      <c r="CV237" s="481">
        <v>305.375</v>
      </c>
      <c r="CW237" s="481">
        <v>374.27083333333331</v>
      </c>
      <c r="CX237" s="481">
        <v>196.36458333333334</v>
      </c>
      <c r="CY237" s="481">
        <v>1156.57</v>
      </c>
      <c r="CZ237" s="456"/>
      <c r="DA237" s="456"/>
      <c r="DB237" s="456"/>
      <c r="DC237" s="456"/>
      <c r="DD237" s="456"/>
      <c r="DE237" s="456"/>
      <c r="DF237" s="456"/>
      <c r="DG237" s="425"/>
      <c r="DH237" s="456">
        <v>64</v>
      </c>
      <c r="DI237" s="456">
        <v>0.15</v>
      </c>
      <c r="DJ237" s="456">
        <v>0</v>
      </c>
      <c r="DK237" s="425"/>
      <c r="DL237" s="456"/>
      <c r="DM237" s="456"/>
      <c r="DN237" s="456"/>
      <c r="DO237" s="456"/>
      <c r="DP237" s="456"/>
      <c r="DQ237" s="456"/>
      <c r="DR237" s="456"/>
      <c r="DS237" s="456"/>
      <c r="DT237" s="456"/>
      <c r="DU237" s="456"/>
      <c r="DV237" s="456"/>
      <c r="DW237" s="456"/>
      <c r="DX237" s="456"/>
      <c r="DY237" s="456"/>
      <c r="DZ237" s="456"/>
      <c r="EA237" s="456"/>
      <c r="EB237" s="456"/>
      <c r="EC237" s="456"/>
      <c r="ED237" s="456">
        <v>0</v>
      </c>
      <c r="EE237" s="456">
        <v>3</v>
      </c>
      <c r="EF237" s="456">
        <v>5</v>
      </c>
      <c r="EG237" s="456">
        <v>12</v>
      </c>
      <c r="EH237" s="423">
        <v>0</v>
      </c>
      <c r="EI237" s="456"/>
      <c r="EJ237" s="456"/>
      <c r="EK237" s="456"/>
      <c r="EL237" s="456"/>
      <c r="EM237" s="456"/>
      <c r="EN237" s="456"/>
      <c r="EO237" s="425"/>
      <c r="EP237" s="425"/>
      <c r="EQ237" s="425" t="s">
        <v>743</v>
      </c>
      <c r="ER237" s="425">
        <v>1</v>
      </c>
      <c r="ES237" s="425">
        <v>6</v>
      </c>
      <c r="ET237" s="425">
        <v>2710</v>
      </c>
      <c r="EU237" s="457">
        <v>4000</v>
      </c>
      <c r="EV237" s="425">
        <v>205</v>
      </c>
      <c r="EW237" s="425">
        <v>7156243</v>
      </c>
      <c r="EX237" s="425">
        <v>9145</v>
      </c>
      <c r="EY237" s="666">
        <v>19.2</v>
      </c>
      <c r="EZ237" s="666">
        <v>19.2</v>
      </c>
      <c r="FA237" s="666">
        <v>0</v>
      </c>
      <c r="FB237" s="666">
        <v>1.37</v>
      </c>
      <c r="FC237" s="666">
        <v>1.44</v>
      </c>
      <c r="FD237" s="666">
        <v>0.94</v>
      </c>
      <c r="FE237" s="666">
        <v>1.04</v>
      </c>
      <c r="FF237" s="666">
        <v>190</v>
      </c>
      <c r="FG237" s="666">
        <v>0.85</v>
      </c>
      <c r="FH237" s="666">
        <v>0.45</v>
      </c>
      <c r="FI237" s="666">
        <v>0.78</v>
      </c>
      <c r="FJ237" s="666">
        <v>8.2899999999999991</v>
      </c>
      <c r="FK237" s="666">
        <v>7.7</v>
      </c>
      <c r="FL237" s="666">
        <v>7.72</v>
      </c>
      <c r="FM237" s="666">
        <v>7.7</v>
      </c>
      <c r="FN237" s="666">
        <v>0</v>
      </c>
    </row>
    <row r="238" spans="1:170" s="416" customFormat="1" ht="15">
      <c r="A238" s="425" t="s">
        <v>8</v>
      </c>
      <c r="B238" s="426">
        <v>40767</v>
      </c>
      <c r="C238" s="418">
        <v>0</v>
      </c>
      <c r="D238" s="518">
        <v>0</v>
      </c>
      <c r="E238" s="453">
        <v>0</v>
      </c>
      <c r="F238" s="453">
        <v>55</v>
      </c>
      <c r="G238" s="453">
        <v>0.4</v>
      </c>
      <c r="H238" s="519" t="s">
        <v>742</v>
      </c>
      <c r="I238" s="519">
        <v>93.6</v>
      </c>
      <c r="J238" s="483">
        <v>0.67</v>
      </c>
      <c r="K238" s="520">
        <v>0.67</v>
      </c>
      <c r="L238" s="453">
        <v>0</v>
      </c>
      <c r="M238" s="453">
        <v>18.100000000000001</v>
      </c>
      <c r="N238" s="453">
        <v>1.61</v>
      </c>
      <c r="O238" s="453">
        <v>2.0718215103202522</v>
      </c>
      <c r="P238" s="453">
        <v>1.75</v>
      </c>
      <c r="Q238" s="453">
        <v>2.111342971338491</v>
      </c>
      <c r="R238" s="453">
        <v>1266.144206076618</v>
      </c>
      <c r="S238" s="453">
        <v>8.07</v>
      </c>
      <c r="T238" s="453">
        <v>7.91</v>
      </c>
      <c r="U238" s="453">
        <v>0.59</v>
      </c>
      <c r="V238" s="453">
        <v>0.68</v>
      </c>
      <c r="W238" s="453">
        <v>57.2</v>
      </c>
      <c r="X238" s="456">
        <v>57.2</v>
      </c>
      <c r="Y238" s="453">
        <v>45.95</v>
      </c>
      <c r="Z238" s="453">
        <v>25.14</v>
      </c>
      <c r="AA238" s="519">
        <v>47.139999999999418</v>
      </c>
      <c r="AB238" s="519">
        <v>25.05000000000291</v>
      </c>
      <c r="AC238" s="732">
        <f t="shared" si="3"/>
        <v>72.190000000002328</v>
      </c>
      <c r="AD238" s="664"/>
      <c r="AE238" s="664"/>
      <c r="AF238" s="664"/>
      <c r="AG238" s="664"/>
      <c r="AH238" s="664"/>
      <c r="AI238" s="664"/>
      <c r="AJ238" s="485"/>
      <c r="AK238" s="485"/>
      <c r="AL238" s="485"/>
      <c r="AM238" s="485"/>
      <c r="AN238" s="485"/>
      <c r="AO238" s="665"/>
      <c r="AP238" s="485"/>
      <c r="AQ238" s="483"/>
      <c r="AR238" s="755">
        <v>0</v>
      </c>
      <c r="AS238" s="483">
        <v>36.9</v>
      </c>
      <c r="AT238" s="755">
        <v>0</v>
      </c>
      <c r="AU238" s="483">
        <v>48.3</v>
      </c>
      <c r="AV238" s="484">
        <v>936.7</v>
      </c>
      <c r="AW238" s="484">
        <v>967.6</v>
      </c>
      <c r="AX238" s="453">
        <v>44.7</v>
      </c>
      <c r="AY238" s="734">
        <v>0</v>
      </c>
      <c r="AZ238" s="734">
        <v>0</v>
      </c>
      <c r="BA238" s="734">
        <v>0</v>
      </c>
      <c r="BB238" s="453">
        <v>0</v>
      </c>
      <c r="BC238" s="453">
        <v>2</v>
      </c>
      <c r="BD238" s="453">
        <v>2</v>
      </c>
      <c r="BE238" s="734">
        <v>0</v>
      </c>
      <c r="BF238" s="453">
        <v>0.65</v>
      </c>
      <c r="BG238" s="453">
        <v>0</v>
      </c>
      <c r="BH238" s="734">
        <v>0</v>
      </c>
      <c r="BI238" s="453">
        <v>1.98</v>
      </c>
      <c r="BJ238" s="453">
        <v>18.5</v>
      </c>
      <c r="BK238" s="453">
        <v>4.5599999999999996</v>
      </c>
      <c r="BL238" s="453">
        <v>6.79</v>
      </c>
      <c r="BM238" s="453">
        <v>0</v>
      </c>
      <c r="BN238" s="453">
        <v>7.2</v>
      </c>
      <c r="BO238" s="453">
        <v>2754.6</v>
      </c>
      <c r="BP238" s="453">
        <v>0</v>
      </c>
      <c r="BQ238" s="453">
        <v>18.7</v>
      </c>
      <c r="BR238" s="453">
        <v>18.7</v>
      </c>
      <c r="BS238" s="453">
        <v>0</v>
      </c>
      <c r="BT238" s="453">
        <v>44.7</v>
      </c>
      <c r="BU238" s="453">
        <v>46.6</v>
      </c>
      <c r="BV238" s="456">
        <v>1195.3</v>
      </c>
      <c r="BW238" s="453">
        <v>2.46</v>
      </c>
      <c r="BX238" s="453">
        <v>1.36</v>
      </c>
      <c r="BY238" s="456">
        <v>0.89</v>
      </c>
      <c r="BZ238" s="456">
        <v>18.7</v>
      </c>
      <c r="CA238" s="456">
        <v>36.200000000000003</v>
      </c>
      <c r="CB238" s="456">
        <v>17.3</v>
      </c>
      <c r="CC238" s="456">
        <v>9.1</v>
      </c>
      <c r="CD238" s="456">
        <v>13.3</v>
      </c>
      <c r="CE238" s="456">
        <v>17.5</v>
      </c>
      <c r="CF238" s="456">
        <v>12.55</v>
      </c>
      <c r="CG238" s="456">
        <v>0</v>
      </c>
      <c r="CH238" s="456">
        <v>7</v>
      </c>
      <c r="CI238" s="456">
        <v>11.4</v>
      </c>
      <c r="CJ238" s="456">
        <v>1008.9</v>
      </c>
      <c r="CK238" s="456">
        <v>983.4</v>
      </c>
      <c r="CL238" s="456">
        <v>736.3</v>
      </c>
      <c r="CM238" s="456">
        <v>6.4</v>
      </c>
      <c r="CN238" s="456">
        <v>1.48</v>
      </c>
      <c r="CO238" s="453">
        <v>6719.1</v>
      </c>
      <c r="CP238" s="453">
        <v>17.03</v>
      </c>
      <c r="CQ238" s="453">
        <v>57</v>
      </c>
      <c r="CR238" s="456">
        <v>0</v>
      </c>
      <c r="CS238" s="456">
        <v>0</v>
      </c>
      <c r="CT238" s="456">
        <v>0</v>
      </c>
      <c r="CU238" s="456">
        <v>0</v>
      </c>
      <c r="CV238" s="481">
        <v>297.41666666666669</v>
      </c>
      <c r="CW238" s="481">
        <v>364.28125</v>
      </c>
      <c r="CX238" s="481">
        <v>197.82291666666666</v>
      </c>
      <c r="CY238" s="481">
        <v>1156.43</v>
      </c>
      <c r="CZ238" s="456"/>
      <c r="DA238" s="456"/>
      <c r="DB238" s="456"/>
      <c r="DC238" s="456"/>
      <c r="DD238" s="456"/>
      <c r="DE238" s="456"/>
      <c r="DF238" s="456"/>
      <c r="DG238" s="425"/>
      <c r="DH238" s="456">
        <v>64</v>
      </c>
      <c r="DI238" s="456">
        <v>0.11</v>
      </c>
      <c r="DJ238" s="456">
        <v>0</v>
      </c>
      <c r="DK238" s="425"/>
      <c r="DL238" s="456"/>
      <c r="DM238" s="456"/>
      <c r="DN238" s="456"/>
      <c r="DO238" s="456"/>
      <c r="DP238" s="456"/>
      <c r="DQ238" s="456"/>
      <c r="DR238" s="456"/>
      <c r="DS238" s="456"/>
      <c r="DT238" s="456"/>
      <c r="DU238" s="456"/>
      <c r="DV238" s="456"/>
      <c r="DW238" s="456"/>
      <c r="DX238" s="456"/>
      <c r="DY238" s="456"/>
      <c r="DZ238" s="456"/>
      <c r="EA238" s="456"/>
      <c r="EB238" s="456"/>
      <c r="EC238" s="456"/>
      <c r="ED238" s="456">
        <v>0</v>
      </c>
      <c r="EE238" s="456">
        <v>2</v>
      </c>
      <c r="EF238" s="456">
        <v>5</v>
      </c>
      <c r="EG238" s="456">
        <v>11</v>
      </c>
      <c r="EH238" s="423">
        <v>0</v>
      </c>
      <c r="EI238" s="456"/>
      <c r="EJ238" s="456"/>
      <c r="EK238" s="456"/>
      <c r="EL238" s="456"/>
      <c r="EM238" s="456"/>
      <c r="EN238" s="456"/>
      <c r="EO238" s="425"/>
      <c r="EP238" s="425"/>
      <c r="EQ238" s="425" t="s">
        <v>743</v>
      </c>
      <c r="ER238" s="425">
        <v>1</v>
      </c>
      <c r="ES238" s="425">
        <v>6</v>
      </c>
      <c r="ET238" s="425">
        <v>2480</v>
      </c>
      <c r="EU238" s="457">
        <v>4000</v>
      </c>
      <c r="EV238" s="425">
        <v>200</v>
      </c>
      <c r="EW238" s="425">
        <v>7160824</v>
      </c>
      <c r="EX238" s="425">
        <v>9800</v>
      </c>
      <c r="EY238" s="666">
        <v>18.25</v>
      </c>
      <c r="EZ238" s="666">
        <v>18.25</v>
      </c>
      <c r="FA238" s="666">
        <v>0</v>
      </c>
      <c r="FB238" s="666">
        <v>1.35</v>
      </c>
      <c r="FC238" s="666">
        <v>1.35</v>
      </c>
      <c r="FD238" s="666">
        <v>0.93</v>
      </c>
      <c r="FE238" s="666">
        <v>0.9</v>
      </c>
      <c r="FF238" s="666">
        <v>230</v>
      </c>
      <c r="FG238" s="666">
        <v>0.42</v>
      </c>
      <c r="FH238" s="666">
        <v>0.81</v>
      </c>
      <c r="FI238" s="666">
        <v>0.69</v>
      </c>
      <c r="FJ238" s="666">
        <v>10.039999999999999</v>
      </c>
      <c r="FK238" s="666">
        <v>7.7</v>
      </c>
      <c r="FL238" s="666">
        <v>7.73</v>
      </c>
      <c r="FM238" s="666">
        <v>7.5</v>
      </c>
      <c r="FN238" s="666">
        <v>0</v>
      </c>
    </row>
    <row r="239" spans="1:170" s="416" customFormat="1" ht="15">
      <c r="A239" s="425" t="s">
        <v>9</v>
      </c>
      <c r="B239" s="426">
        <v>40768</v>
      </c>
      <c r="C239" s="418">
        <v>0</v>
      </c>
      <c r="D239" s="518">
        <v>0</v>
      </c>
      <c r="E239" s="453">
        <v>0</v>
      </c>
      <c r="F239" s="453">
        <v>57</v>
      </c>
      <c r="G239" s="453">
        <v>0.4</v>
      </c>
      <c r="H239" s="519" t="s">
        <v>742</v>
      </c>
      <c r="I239" s="519">
        <v>93.2</v>
      </c>
      <c r="J239" s="483">
        <v>0.91</v>
      </c>
      <c r="K239" s="520">
        <v>0.68</v>
      </c>
      <c r="L239" s="453">
        <v>0</v>
      </c>
      <c r="M239" s="453">
        <v>18</v>
      </c>
      <c r="N239" s="453">
        <v>1.68</v>
      </c>
      <c r="O239" s="453">
        <v>2.0818715246843413</v>
      </c>
      <c r="P239" s="453">
        <v>1.77</v>
      </c>
      <c r="Q239" s="453">
        <v>2.0195508586525759</v>
      </c>
      <c r="R239" s="453">
        <v>1167.6771202113605</v>
      </c>
      <c r="S239" s="453">
        <v>8.01</v>
      </c>
      <c r="T239" s="453">
        <v>7.92</v>
      </c>
      <c r="U239" s="453">
        <v>0.6</v>
      </c>
      <c r="V239" s="453">
        <v>0.68</v>
      </c>
      <c r="W239" s="453">
        <v>57.019999999999996</v>
      </c>
      <c r="X239" s="456">
        <v>57.019999999999996</v>
      </c>
      <c r="Y239" s="453">
        <v>44.08</v>
      </c>
      <c r="Z239" s="453">
        <v>24.94</v>
      </c>
      <c r="AA239" s="519">
        <v>43</v>
      </c>
      <c r="AB239" s="519">
        <v>24</v>
      </c>
      <c r="AC239" s="732">
        <f t="shared" si="3"/>
        <v>67</v>
      </c>
      <c r="AD239" s="664"/>
      <c r="AE239" s="664"/>
      <c r="AF239" s="664"/>
      <c r="AG239" s="664"/>
      <c r="AH239" s="664"/>
      <c r="AI239" s="664"/>
      <c r="AJ239" s="485"/>
      <c r="AK239" s="485"/>
      <c r="AL239" s="485"/>
      <c r="AM239" s="485"/>
      <c r="AN239" s="485"/>
      <c r="AO239" s="665"/>
      <c r="AP239" s="485"/>
      <c r="AQ239" s="483"/>
      <c r="AR239" s="755">
        <v>0</v>
      </c>
      <c r="AS239" s="483">
        <v>46</v>
      </c>
      <c r="AT239" s="755">
        <v>0</v>
      </c>
      <c r="AU239" s="483">
        <v>45.7</v>
      </c>
      <c r="AV239" s="484">
        <v>705.5</v>
      </c>
      <c r="AW239" s="484">
        <v>857.8</v>
      </c>
      <c r="AX239" s="453">
        <v>31.8</v>
      </c>
      <c r="AY239" s="734">
        <v>0</v>
      </c>
      <c r="AZ239" s="734">
        <v>0</v>
      </c>
      <c r="BA239" s="734">
        <v>0</v>
      </c>
      <c r="BB239" s="453">
        <v>0</v>
      </c>
      <c r="BC239" s="453">
        <v>2</v>
      </c>
      <c r="BD239" s="453">
        <v>2</v>
      </c>
      <c r="BE239" s="734">
        <v>0</v>
      </c>
      <c r="BF239" s="453">
        <v>1.06</v>
      </c>
      <c r="BG239" s="453">
        <v>0</v>
      </c>
      <c r="BH239" s="734">
        <v>0</v>
      </c>
      <c r="BI239" s="453">
        <v>1.99</v>
      </c>
      <c r="BJ239" s="453">
        <v>18.100000000000001</v>
      </c>
      <c r="BK239" s="453">
        <v>4.83</v>
      </c>
      <c r="BL239" s="453">
        <v>6.21</v>
      </c>
      <c r="BM239" s="453">
        <v>0</v>
      </c>
      <c r="BN239" s="453">
        <v>7.1</v>
      </c>
      <c r="BO239" s="453">
        <v>2921</v>
      </c>
      <c r="BP239" s="453">
        <v>0</v>
      </c>
      <c r="BQ239" s="453">
        <v>17.8</v>
      </c>
      <c r="BR239" s="453">
        <v>17.8</v>
      </c>
      <c r="BS239" s="453">
        <v>0</v>
      </c>
      <c r="BT239" s="453">
        <v>42.5</v>
      </c>
      <c r="BU239" s="453">
        <v>43.7</v>
      </c>
      <c r="BV239" s="456">
        <v>1095.8</v>
      </c>
      <c r="BW239" s="453">
        <v>1.1100000000000001</v>
      </c>
      <c r="BX239" s="453">
        <v>1.38</v>
      </c>
      <c r="BY239" s="456">
        <v>0.89</v>
      </c>
      <c r="BZ239" s="456">
        <v>18.5</v>
      </c>
      <c r="CA239" s="456">
        <v>36.5</v>
      </c>
      <c r="CB239" s="456">
        <v>12.71</v>
      </c>
      <c r="CC239" s="456">
        <v>9.8000000000000007</v>
      </c>
      <c r="CD239" s="456">
        <v>14</v>
      </c>
      <c r="CE239" s="456">
        <v>18.100000000000001</v>
      </c>
      <c r="CF239" s="456">
        <v>12.7</v>
      </c>
      <c r="CG239" s="456">
        <v>0</v>
      </c>
      <c r="CH239" s="456">
        <v>6.5</v>
      </c>
      <c r="CI239" s="456">
        <v>10.7</v>
      </c>
      <c r="CJ239" s="456">
        <v>924.8</v>
      </c>
      <c r="CK239" s="456">
        <v>1054.5999999999999</v>
      </c>
      <c r="CL239" s="456">
        <v>687.1</v>
      </c>
      <c r="CM239" s="456">
        <v>6.4</v>
      </c>
      <c r="CN239" s="456">
        <v>1.38</v>
      </c>
      <c r="CO239" s="453">
        <v>6717.9</v>
      </c>
      <c r="CP239" s="453">
        <v>16.809999999999999</v>
      </c>
      <c r="CQ239" s="453">
        <v>57</v>
      </c>
      <c r="CR239" s="456">
        <v>0</v>
      </c>
      <c r="CS239" s="456">
        <v>0</v>
      </c>
      <c r="CT239" s="456">
        <v>0</v>
      </c>
      <c r="CU239" s="456">
        <v>0</v>
      </c>
      <c r="CV239" s="481">
        <v>297</v>
      </c>
      <c r="CW239" s="481">
        <v>367.76041666666669</v>
      </c>
      <c r="CX239" s="481">
        <v>201.60416666666666</v>
      </c>
      <c r="CY239" s="481">
        <v>1156.27</v>
      </c>
      <c r="CZ239" s="456"/>
      <c r="DA239" s="456"/>
      <c r="DB239" s="456"/>
      <c r="DC239" s="456"/>
      <c r="DD239" s="456"/>
      <c r="DE239" s="456"/>
      <c r="DF239" s="456"/>
      <c r="DG239" s="425"/>
      <c r="DH239" s="456">
        <v>61</v>
      </c>
      <c r="DI239" s="456">
        <v>0.13</v>
      </c>
      <c r="DJ239" s="456">
        <v>0</v>
      </c>
      <c r="DK239" s="425"/>
      <c r="DL239" s="456"/>
      <c r="DM239" s="456"/>
      <c r="DN239" s="456"/>
      <c r="DO239" s="456"/>
      <c r="DP239" s="456"/>
      <c r="DQ239" s="456"/>
      <c r="DR239" s="456"/>
      <c r="DS239" s="456"/>
      <c r="DT239" s="456"/>
      <c r="DU239" s="456"/>
      <c r="DV239" s="456"/>
      <c r="DW239" s="456"/>
      <c r="DX239" s="456"/>
      <c r="DY239" s="456"/>
      <c r="DZ239" s="456"/>
      <c r="EA239" s="456"/>
      <c r="EB239" s="456"/>
      <c r="EC239" s="456"/>
      <c r="ED239" s="456">
        <v>0</v>
      </c>
      <c r="EE239" s="456">
        <v>2</v>
      </c>
      <c r="EF239" s="456">
        <v>5</v>
      </c>
      <c r="EG239" s="456">
        <v>11</v>
      </c>
      <c r="EH239" s="423">
        <v>0</v>
      </c>
      <c r="EI239" s="456"/>
      <c r="EJ239" s="456"/>
      <c r="EK239" s="456"/>
      <c r="EL239" s="456"/>
      <c r="EM239" s="456"/>
      <c r="EN239" s="456"/>
      <c r="EO239" s="425"/>
      <c r="EP239" s="425"/>
      <c r="EQ239" s="425" t="s">
        <v>743</v>
      </c>
      <c r="ER239" s="425">
        <v>1</v>
      </c>
      <c r="ES239" s="425">
        <v>6</v>
      </c>
      <c r="ET239" s="425">
        <v>2280</v>
      </c>
      <c r="EU239" s="457">
        <v>4000</v>
      </c>
      <c r="EV239" s="425">
        <v>170</v>
      </c>
      <c r="EW239" s="425">
        <v>7165263</v>
      </c>
      <c r="EX239" s="425">
        <v>10448</v>
      </c>
      <c r="EY239" s="666">
        <v>17.36</v>
      </c>
      <c r="EZ239" s="666">
        <v>17.350000000000001</v>
      </c>
      <c r="FA239" s="666">
        <v>0</v>
      </c>
      <c r="FB239" s="666">
        <v>1.42</v>
      </c>
      <c r="FC239" s="666">
        <v>1.39</v>
      </c>
      <c r="FD239" s="666">
        <v>0.9</v>
      </c>
      <c r="FE239" s="666">
        <v>0.89</v>
      </c>
      <c r="FF239" s="666">
        <v>200</v>
      </c>
      <c r="FG239" s="666">
        <v>0.8</v>
      </c>
      <c r="FH239" s="666">
        <v>0.4</v>
      </c>
      <c r="FI239" s="666">
        <v>0.65</v>
      </c>
      <c r="FJ239" s="666">
        <v>10.61</v>
      </c>
      <c r="FK239" s="666">
        <v>7.8</v>
      </c>
      <c r="FL239" s="666">
        <v>7.78</v>
      </c>
      <c r="FM239" s="666">
        <v>7.5</v>
      </c>
      <c r="FN239" s="666">
        <v>0</v>
      </c>
    </row>
    <row r="240" spans="1:170" s="416" customFormat="1" ht="15">
      <c r="A240" s="425" t="s">
        <v>3</v>
      </c>
      <c r="B240" s="426">
        <v>40769</v>
      </c>
      <c r="C240" s="418">
        <v>0</v>
      </c>
      <c r="D240" s="518">
        <v>0</v>
      </c>
      <c r="E240" s="453">
        <v>0</v>
      </c>
      <c r="F240" s="453">
        <v>57</v>
      </c>
      <c r="G240" s="453">
        <v>0.3</v>
      </c>
      <c r="H240" s="519">
        <v>0.78</v>
      </c>
      <c r="I240" s="519">
        <v>94.2</v>
      </c>
      <c r="J240" s="483">
        <v>0.74</v>
      </c>
      <c r="K240" s="520">
        <v>0.69</v>
      </c>
      <c r="L240" s="453">
        <v>0</v>
      </c>
      <c r="M240" s="453">
        <v>18</v>
      </c>
      <c r="N240" s="453">
        <v>1.66</v>
      </c>
      <c r="O240" s="453">
        <v>2.0540730955526199</v>
      </c>
      <c r="P240" s="453">
        <v>1.66</v>
      </c>
      <c r="Q240" s="453">
        <v>2.0847978863936589</v>
      </c>
      <c r="R240" s="453">
        <v>1205.5739920739759</v>
      </c>
      <c r="S240" s="453">
        <v>8.0399999999999991</v>
      </c>
      <c r="T240" s="453">
        <v>7.92</v>
      </c>
      <c r="U240" s="453">
        <v>0.53</v>
      </c>
      <c r="V240" s="453">
        <v>0.69</v>
      </c>
      <c r="W240" s="453">
        <v>57.38000000000001</v>
      </c>
      <c r="X240" s="456">
        <v>57.38000000000001</v>
      </c>
      <c r="Y240" s="453">
        <v>44.18</v>
      </c>
      <c r="Z240" s="453">
        <v>25.03</v>
      </c>
      <c r="AA240" s="519">
        <v>45</v>
      </c>
      <c r="AB240" s="519">
        <v>26</v>
      </c>
      <c r="AC240" s="732">
        <f t="shared" si="3"/>
        <v>71</v>
      </c>
      <c r="AD240" s="664"/>
      <c r="AE240" s="664"/>
      <c r="AF240" s="664"/>
      <c r="AG240" s="664"/>
      <c r="AH240" s="664"/>
      <c r="AI240" s="664"/>
      <c r="AJ240" s="485"/>
      <c r="AK240" s="485"/>
      <c r="AL240" s="485"/>
      <c r="AM240" s="485"/>
      <c r="AN240" s="485"/>
      <c r="AO240" s="665"/>
      <c r="AP240" s="485"/>
      <c r="AQ240" s="483"/>
      <c r="AR240" s="755">
        <v>0</v>
      </c>
      <c r="AS240" s="483">
        <v>37.9</v>
      </c>
      <c r="AT240" s="755">
        <v>0</v>
      </c>
      <c r="AU240" s="483">
        <v>45.8</v>
      </c>
      <c r="AV240" s="484">
        <v>637.1</v>
      </c>
      <c r="AW240" s="484">
        <v>805.7</v>
      </c>
      <c r="AX240" s="453">
        <v>40.700000000000003</v>
      </c>
      <c r="AY240" s="734">
        <v>0</v>
      </c>
      <c r="AZ240" s="734">
        <v>0</v>
      </c>
      <c r="BA240" s="734">
        <v>0</v>
      </c>
      <c r="BB240" s="453">
        <v>0</v>
      </c>
      <c r="BC240" s="453">
        <v>2</v>
      </c>
      <c r="BD240" s="453">
        <v>2</v>
      </c>
      <c r="BE240" s="734">
        <v>0</v>
      </c>
      <c r="BF240" s="453">
        <v>1.06</v>
      </c>
      <c r="BG240" s="453">
        <v>0</v>
      </c>
      <c r="BH240" s="734">
        <v>0</v>
      </c>
      <c r="BI240" s="453">
        <v>1.99</v>
      </c>
      <c r="BJ240" s="453">
        <v>18.100000000000001</v>
      </c>
      <c r="BK240" s="453">
        <v>4.83</v>
      </c>
      <c r="BL240" s="453">
        <v>6.22</v>
      </c>
      <c r="BM240" s="453">
        <v>0</v>
      </c>
      <c r="BN240" s="453">
        <v>7.1</v>
      </c>
      <c r="BO240" s="453">
        <v>2911.4</v>
      </c>
      <c r="BP240" s="453">
        <v>0</v>
      </c>
      <c r="BQ240" s="453">
        <v>17.3</v>
      </c>
      <c r="BR240" s="453">
        <v>17.3</v>
      </c>
      <c r="BS240" s="453">
        <v>0</v>
      </c>
      <c r="BT240" s="453">
        <v>42.6</v>
      </c>
      <c r="BU240" s="453">
        <v>41.7</v>
      </c>
      <c r="BV240" s="456">
        <v>1025.5</v>
      </c>
      <c r="BW240" s="453">
        <v>1.88</v>
      </c>
      <c r="BX240" s="453">
        <v>1.33</v>
      </c>
      <c r="BY240" s="456">
        <v>0.9</v>
      </c>
      <c r="BZ240" s="456">
        <v>17.5</v>
      </c>
      <c r="CA240" s="456">
        <v>36.4</v>
      </c>
      <c r="CB240" s="456">
        <v>16.399999999999999</v>
      </c>
      <c r="CC240" s="456">
        <v>10.1</v>
      </c>
      <c r="CD240" s="456">
        <v>14.3</v>
      </c>
      <c r="CE240" s="456">
        <v>18.5</v>
      </c>
      <c r="CF240" s="456">
        <v>12.39</v>
      </c>
      <c r="CG240" s="456">
        <v>0</v>
      </c>
      <c r="CH240" s="456">
        <v>5.5</v>
      </c>
      <c r="CI240" s="456">
        <v>10</v>
      </c>
      <c r="CJ240" s="456">
        <v>910.5</v>
      </c>
      <c r="CK240" s="456">
        <v>1057.8</v>
      </c>
      <c r="CL240" s="456">
        <v>701.1</v>
      </c>
      <c r="CM240" s="456">
        <v>7</v>
      </c>
      <c r="CN240" s="456">
        <v>1.38</v>
      </c>
      <c r="CO240" s="453">
        <v>6809.8</v>
      </c>
      <c r="CP240" s="453">
        <v>16.86</v>
      </c>
      <c r="CQ240" s="453">
        <v>57</v>
      </c>
      <c r="CR240" s="456">
        <v>0</v>
      </c>
      <c r="CS240" s="456">
        <v>0</v>
      </c>
      <c r="CT240" s="456">
        <v>0</v>
      </c>
      <c r="CU240" s="456">
        <v>0</v>
      </c>
      <c r="CV240" s="481">
        <v>283.08333333333331</v>
      </c>
      <c r="CW240" s="481">
        <v>365.5625</v>
      </c>
      <c r="CX240" s="481">
        <v>190.61458333333334</v>
      </c>
      <c r="CY240" s="481">
        <v>1156.1300000000001</v>
      </c>
      <c r="CZ240" s="456"/>
      <c r="DA240" s="456"/>
      <c r="DB240" s="456"/>
      <c r="DC240" s="456"/>
      <c r="DD240" s="456"/>
      <c r="DE240" s="456"/>
      <c r="DF240" s="456"/>
      <c r="DG240" s="425"/>
      <c r="DH240" s="456">
        <v>48</v>
      </c>
      <c r="DI240" s="456">
        <v>0.13</v>
      </c>
      <c r="DJ240" s="456">
        <v>0</v>
      </c>
      <c r="DK240" s="425"/>
      <c r="DL240" s="456"/>
      <c r="DM240" s="456"/>
      <c r="DN240" s="456"/>
      <c r="DO240" s="456"/>
      <c r="DP240" s="456"/>
      <c r="DQ240" s="456"/>
      <c r="DR240" s="456"/>
      <c r="DS240" s="456"/>
      <c r="DT240" s="456"/>
      <c r="DU240" s="456"/>
      <c r="DV240" s="456"/>
      <c r="DW240" s="456"/>
      <c r="DX240" s="456"/>
      <c r="DY240" s="456"/>
      <c r="DZ240" s="456"/>
      <c r="EA240" s="456"/>
      <c r="EB240" s="456"/>
      <c r="EC240" s="456"/>
      <c r="ED240" s="456">
        <v>0</v>
      </c>
      <c r="EE240" s="456">
        <v>2</v>
      </c>
      <c r="EF240" s="456">
        <v>5</v>
      </c>
      <c r="EG240" s="456">
        <v>11</v>
      </c>
      <c r="EH240" s="423">
        <v>0</v>
      </c>
      <c r="EI240" s="456"/>
      <c r="EJ240" s="456"/>
      <c r="EK240" s="456"/>
      <c r="EL240" s="456"/>
      <c r="EM240" s="456"/>
      <c r="EN240" s="456"/>
      <c r="EO240" s="425"/>
      <c r="EP240" s="425"/>
      <c r="EQ240" s="425" t="s">
        <v>743</v>
      </c>
      <c r="ER240" s="425">
        <v>1</v>
      </c>
      <c r="ES240" s="425">
        <v>6</v>
      </c>
      <c r="ET240" s="425">
        <v>2080</v>
      </c>
      <c r="EU240" s="457">
        <v>4000</v>
      </c>
      <c r="EV240" s="425">
        <v>200</v>
      </c>
      <c r="EW240" s="425">
        <v>7169571</v>
      </c>
      <c r="EX240" s="425">
        <v>11057</v>
      </c>
      <c r="EY240" s="666">
        <v>16.48</v>
      </c>
      <c r="EZ240" s="666">
        <v>16.600000000000001</v>
      </c>
      <c r="FA240" s="666">
        <v>0</v>
      </c>
      <c r="FB240" s="666">
        <v>1.31</v>
      </c>
      <c r="FC240" s="666">
        <v>1.3</v>
      </c>
      <c r="FD240" s="666">
        <v>0.98</v>
      </c>
      <c r="FE240" s="666">
        <v>0.95</v>
      </c>
      <c r="FF240" s="666">
        <v>200</v>
      </c>
      <c r="FG240" s="666">
        <v>0.8</v>
      </c>
      <c r="FH240" s="666">
        <v>0.39</v>
      </c>
      <c r="FI240" s="666">
        <v>0.75</v>
      </c>
      <c r="FJ240" s="666">
        <v>10.98</v>
      </c>
      <c r="FK240" s="666">
        <v>8</v>
      </c>
      <c r="FL240" s="666">
        <v>7.72</v>
      </c>
      <c r="FM240" s="666">
        <v>7.5</v>
      </c>
      <c r="FN240" s="666">
        <v>0</v>
      </c>
    </row>
    <row r="241" spans="1:170" s="416" customFormat="1" ht="15">
      <c r="A241" s="425" t="s">
        <v>4</v>
      </c>
      <c r="B241" s="426">
        <v>40770</v>
      </c>
      <c r="C241" s="418">
        <v>0</v>
      </c>
      <c r="D241" s="518">
        <v>0</v>
      </c>
      <c r="E241" s="453">
        <v>0</v>
      </c>
      <c r="F241" s="453">
        <v>54.6</v>
      </c>
      <c r="G241" s="453">
        <v>0.45</v>
      </c>
      <c r="H241" s="519">
        <v>1.08</v>
      </c>
      <c r="I241" s="519">
        <v>92.9</v>
      </c>
      <c r="J241" s="483">
        <v>0.83</v>
      </c>
      <c r="K241" s="520">
        <v>0.75</v>
      </c>
      <c r="L241" s="453">
        <v>0</v>
      </c>
      <c r="M241" s="453" t="s">
        <v>742</v>
      </c>
      <c r="N241" s="453">
        <v>1.62</v>
      </c>
      <c r="O241" s="453">
        <v>2.0425910803224521</v>
      </c>
      <c r="P241" s="453">
        <v>1.64</v>
      </c>
      <c r="Q241" s="453">
        <v>2.0598668164965179</v>
      </c>
      <c r="R241" s="453">
        <v>1241.2035297225891</v>
      </c>
      <c r="S241" s="453">
        <v>8.02</v>
      </c>
      <c r="T241" s="453">
        <v>7.9</v>
      </c>
      <c r="U241" s="453">
        <v>0.6</v>
      </c>
      <c r="V241" s="453">
        <v>0.69</v>
      </c>
      <c r="W241" s="453">
        <v>55.22</v>
      </c>
      <c r="X241" s="456">
        <v>55.22</v>
      </c>
      <c r="Y241" s="453">
        <v>44.03</v>
      </c>
      <c r="Z241" s="453">
        <v>25.04</v>
      </c>
      <c r="AA241" s="519">
        <v>44.940000000002328</v>
      </c>
      <c r="AB241" s="519">
        <v>27.029999999998836</v>
      </c>
      <c r="AC241" s="732">
        <f t="shared" si="3"/>
        <v>71.970000000001164</v>
      </c>
      <c r="AD241" s="664"/>
      <c r="AE241" s="664"/>
      <c r="AF241" s="664"/>
      <c r="AG241" s="664"/>
      <c r="AH241" s="664"/>
      <c r="AI241" s="664"/>
      <c r="AJ241" s="485"/>
      <c r="AK241" s="485"/>
      <c r="AL241" s="485"/>
      <c r="AM241" s="485"/>
      <c r="AN241" s="485"/>
      <c r="AO241" s="665"/>
      <c r="AP241" s="485"/>
      <c r="AQ241" s="483"/>
      <c r="AR241" s="755">
        <v>0</v>
      </c>
      <c r="AS241" s="483">
        <v>33.4</v>
      </c>
      <c r="AT241" s="755">
        <v>0</v>
      </c>
      <c r="AU241" s="483">
        <v>46.3</v>
      </c>
      <c r="AV241" s="484">
        <v>1096.7</v>
      </c>
      <c r="AW241" s="484">
        <v>1194.3</v>
      </c>
      <c r="AX241" s="453">
        <v>45.8</v>
      </c>
      <c r="AY241" s="734">
        <v>0</v>
      </c>
      <c r="AZ241" s="734">
        <v>0</v>
      </c>
      <c r="BA241" s="734">
        <v>0</v>
      </c>
      <c r="BB241" s="453">
        <v>0</v>
      </c>
      <c r="BC241" s="453">
        <v>2</v>
      </c>
      <c r="BD241" s="453">
        <v>2</v>
      </c>
      <c r="BE241" s="734">
        <v>0</v>
      </c>
      <c r="BF241" s="453">
        <v>0.37</v>
      </c>
      <c r="BG241" s="453">
        <v>0</v>
      </c>
      <c r="BH241" s="734">
        <v>0</v>
      </c>
      <c r="BI241" s="453">
        <v>1.98</v>
      </c>
      <c r="BJ241" s="453">
        <v>21.1</v>
      </c>
      <c r="BK241" s="453">
        <v>4.84</v>
      </c>
      <c r="BL241" s="453">
        <v>6.22</v>
      </c>
      <c r="BM241" s="453">
        <v>0</v>
      </c>
      <c r="BN241" s="453">
        <v>10</v>
      </c>
      <c r="BO241" s="453">
        <v>3069.7</v>
      </c>
      <c r="BP241" s="453">
        <v>29.8</v>
      </c>
      <c r="BQ241" s="453">
        <v>17.3</v>
      </c>
      <c r="BR241" s="453">
        <v>17.3</v>
      </c>
      <c r="BS241" s="453">
        <v>0</v>
      </c>
      <c r="BT241" s="453">
        <v>42.5</v>
      </c>
      <c r="BU241" s="453">
        <v>41.8</v>
      </c>
      <c r="BV241" s="456">
        <v>1047.5</v>
      </c>
      <c r="BW241" s="453">
        <v>1.1499999999999999</v>
      </c>
      <c r="BX241" s="453">
        <v>1.3</v>
      </c>
      <c r="BY241" s="456">
        <v>0.89</v>
      </c>
      <c r="BZ241" s="456">
        <v>17.25</v>
      </c>
      <c r="CA241" s="456">
        <v>35.799999999999997</v>
      </c>
      <c r="CB241" s="456">
        <v>17.059999999999999</v>
      </c>
      <c r="CC241" s="456">
        <v>9.24</v>
      </c>
      <c r="CD241" s="456">
        <v>13.44</v>
      </c>
      <c r="CE241" s="456">
        <v>17.52</v>
      </c>
      <c r="CF241" s="456">
        <v>12.56</v>
      </c>
      <c r="CG241" s="456">
        <v>0</v>
      </c>
      <c r="CH241" s="456">
        <v>4.9000000000000004</v>
      </c>
      <c r="CI241" s="456">
        <v>9</v>
      </c>
      <c r="CJ241" s="456">
        <v>1023.1</v>
      </c>
      <c r="CK241" s="456">
        <v>1053.3</v>
      </c>
      <c r="CL241" s="456">
        <v>763.5</v>
      </c>
      <c r="CM241" s="456">
        <v>9.1</v>
      </c>
      <c r="CN241" s="456">
        <v>1.76</v>
      </c>
      <c r="CO241" s="453">
        <v>8831.2999999999993</v>
      </c>
      <c r="CP241" s="453">
        <v>16.809999999999999</v>
      </c>
      <c r="CQ241" s="453">
        <v>57</v>
      </c>
      <c r="CR241" s="456">
        <v>0</v>
      </c>
      <c r="CS241" s="456">
        <v>0</v>
      </c>
      <c r="CT241" s="456">
        <v>0</v>
      </c>
      <c r="CU241" s="456">
        <v>0</v>
      </c>
      <c r="CV241" s="481">
        <v>274.79166666666669</v>
      </c>
      <c r="CW241" s="481">
        <v>341.70833333333331</v>
      </c>
      <c r="CX241" s="481">
        <v>174.27083333333334</v>
      </c>
      <c r="CY241" s="481">
        <v>1156.02</v>
      </c>
      <c r="CZ241" s="456"/>
      <c r="DA241" s="456"/>
      <c r="DB241" s="456"/>
      <c r="DC241" s="456"/>
      <c r="DD241" s="456"/>
      <c r="DE241" s="456"/>
      <c r="DF241" s="456"/>
      <c r="DG241" s="425"/>
      <c r="DH241" s="456">
        <v>72</v>
      </c>
      <c r="DI241" s="456">
        <v>0.14000000000000001</v>
      </c>
      <c r="DJ241" s="456">
        <v>0</v>
      </c>
      <c r="DK241" s="425"/>
      <c r="DL241" s="456"/>
      <c r="DM241" s="456"/>
      <c r="DN241" s="456"/>
      <c r="DO241" s="456"/>
      <c r="DP241" s="456"/>
      <c r="DQ241" s="456"/>
      <c r="DR241" s="456"/>
      <c r="DS241" s="456"/>
      <c r="DT241" s="456"/>
      <c r="DU241" s="456"/>
      <c r="DV241" s="456"/>
      <c r="DW241" s="456"/>
      <c r="DX241" s="456"/>
      <c r="DY241" s="456"/>
      <c r="DZ241" s="456"/>
      <c r="EA241" s="456"/>
      <c r="EB241" s="456"/>
      <c r="EC241" s="456"/>
      <c r="ED241" s="456">
        <v>0</v>
      </c>
      <c r="EE241" s="456">
        <v>2</v>
      </c>
      <c r="EF241" s="456">
        <v>4</v>
      </c>
      <c r="EG241" s="456">
        <v>11</v>
      </c>
      <c r="EH241" s="423">
        <v>0</v>
      </c>
      <c r="EI241" s="456"/>
      <c r="EJ241" s="456"/>
      <c r="EK241" s="456"/>
      <c r="EL241" s="456"/>
      <c r="EM241" s="456"/>
      <c r="EN241" s="456"/>
      <c r="EO241" s="425"/>
      <c r="EP241" s="425"/>
      <c r="EQ241" s="425" t="s">
        <v>743</v>
      </c>
      <c r="ER241" s="425">
        <v>1</v>
      </c>
      <c r="ES241" s="425">
        <v>6</v>
      </c>
      <c r="ET241" s="425">
        <v>1900</v>
      </c>
      <c r="EU241" s="457">
        <v>4000</v>
      </c>
      <c r="EV241" s="425">
        <v>180</v>
      </c>
      <c r="EW241" s="425">
        <v>7173306</v>
      </c>
      <c r="EX241" s="425">
        <v>11681</v>
      </c>
      <c r="EY241" s="666">
        <v>17.350000000000001</v>
      </c>
      <c r="EZ241" s="666">
        <v>17.37</v>
      </c>
      <c r="FA241" s="666">
        <v>0</v>
      </c>
      <c r="FB241" s="666">
        <v>1.31</v>
      </c>
      <c r="FC241" s="666">
        <v>1.35</v>
      </c>
      <c r="FD241" s="666">
        <v>1.03</v>
      </c>
      <c r="FE241" s="666">
        <v>1.01</v>
      </c>
      <c r="FF241" s="666">
        <v>180</v>
      </c>
      <c r="FG241" s="666">
        <v>0.77</v>
      </c>
      <c r="FH241" s="666">
        <v>0.4</v>
      </c>
      <c r="FI241" s="666">
        <v>0.69</v>
      </c>
      <c r="FJ241" s="666">
        <v>7.91</v>
      </c>
      <c r="FK241" s="666">
        <v>8</v>
      </c>
      <c r="FL241" s="666">
        <v>7.66</v>
      </c>
      <c r="FM241" s="666">
        <v>7.5</v>
      </c>
      <c r="FN241" s="666">
        <v>0</v>
      </c>
    </row>
    <row r="242" spans="1:170" s="416" customFormat="1" ht="15">
      <c r="A242" s="425" t="s">
        <v>5</v>
      </c>
      <c r="B242" s="426">
        <v>40771</v>
      </c>
      <c r="C242" s="418">
        <v>0</v>
      </c>
      <c r="D242" s="518">
        <v>0</v>
      </c>
      <c r="E242" s="453">
        <v>0</v>
      </c>
      <c r="F242" s="453">
        <v>54.3</v>
      </c>
      <c r="G242" s="453">
        <v>0.35</v>
      </c>
      <c r="H242" s="519">
        <v>0.98</v>
      </c>
      <c r="I242" s="519">
        <v>93.5</v>
      </c>
      <c r="J242" s="483">
        <v>0.75</v>
      </c>
      <c r="K242" s="520">
        <v>0.72</v>
      </c>
      <c r="L242" s="453">
        <v>0</v>
      </c>
      <c r="M242" s="453" t="s">
        <v>742</v>
      </c>
      <c r="N242" s="453">
        <v>1.56</v>
      </c>
      <c r="O242" s="453">
        <v>2.0575620450265601</v>
      </c>
      <c r="P242" s="453">
        <v>1.34</v>
      </c>
      <c r="Q242" s="453">
        <v>2.0621158148302303</v>
      </c>
      <c r="R242" s="453">
        <v>1362.0200528401581</v>
      </c>
      <c r="S242" s="453">
        <v>8.0299999999999994</v>
      </c>
      <c r="T242" s="453">
        <v>7.94</v>
      </c>
      <c r="U242" s="453">
        <v>0.6</v>
      </c>
      <c r="V242" s="453">
        <v>0.62</v>
      </c>
      <c r="W242" s="453">
        <v>55.039999999999992</v>
      </c>
      <c r="X242" s="456">
        <v>55.22</v>
      </c>
      <c r="Y242" s="453">
        <v>46.27</v>
      </c>
      <c r="Z242" s="453">
        <v>32</v>
      </c>
      <c r="AA242" s="519">
        <v>46.75</v>
      </c>
      <c r="AB242" s="519">
        <v>32.419999999998254</v>
      </c>
      <c r="AC242" s="732">
        <f t="shared" si="3"/>
        <v>79.169999999998254</v>
      </c>
      <c r="AD242" s="664"/>
      <c r="AE242" s="664"/>
      <c r="AF242" s="664"/>
      <c r="AG242" s="664"/>
      <c r="AH242" s="664"/>
      <c r="AI242" s="664"/>
      <c r="AJ242" s="485"/>
      <c r="AK242" s="485"/>
      <c r="AL242" s="485"/>
      <c r="AM242" s="485"/>
      <c r="AN242" s="485"/>
      <c r="AO242" s="665"/>
      <c r="AP242" s="485"/>
      <c r="AQ242" s="483"/>
      <c r="AR242" s="755">
        <v>0</v>
      </c>
      <c r="AS242" s="483">
        <v>40.700000000000003</v>
      </c>
      <c r="AT242" s="755">
        <v>0</v>
      </c>
      <c r="AU242" s="483">
        <v>47.2</v>
      </c>
      <c r="AV242" s="484">
        <v>831.1</v>
      </c>
      <c r="AW242" s="484">
        <v>994.4</v>
      </c>
      <c r="AX242" s="453">
        <v>51.4</v>
      </c>
      <c r="AY242" s="734">
        <v>0</v>
      </c>
      <c r="AZ242" s="734">
        <v>0</v>
      </c>
      <c r="BA242" s="734">
        <v>0</v>
      </c>
      <c r="BB242" s="453">
        <v>0</v>
      </c>
      <c r="BC242" s="453">
        <v>2.1800000000000002</v>
      </c>
      <c r="BD242" s="453">
        <v>2.1800000000000002</v>
      </c>
      <c r="BE242" s="734">
        <v>0</v>
      </c>
      <c r="BF242" s="453">
        <v>0</v>
      </c>
      <c r="BG242" s="453">
        <v>0</v>
      </c>
      <c r="BH242" s="734">
        <v>0</v>
      </c>
      <c r="BI242" s="453">
        <v>1.94</v>
      </c>
      <c r="BJ242" s="453">
        <v>25.8</v>
      </c>
      <c r="BK242" s="453">
        <v>4.83</v>
      </c>
      <c r="BL242" s="453">
        <v>6.22</v>
      </c>
      <c r="BM242" s="453">
        <v>0</v>
      </c>
      <c r="BN242" s="453">
        <v>14.7</v>
      </c>
      <c r="BO242" s="453">
        <v>2864.7</v>
      </c>
      <c r="BP242" s="453">
        <v>0</v>
      </c>
      <c r="BQ242" s="453">
        <v>17.7</v>
      </c>
      <c r="BR242" s="453">
        <v>17.7</v>
      </c>
      <c r="BS242" s="453">
        <v>0</v>
      </c>
      <c r="BT242" s="453">
        <v>44</v>
      </c>
      <c r="BU242" s="453">
        <v>36.799999999999997</v>
      </c>
      <c r="BV242" s="456">
        <v>1199.0999999999999</v>
      </c>
      <c r="BW242" s="453">
        <v>1.1399999999999999</v>
      </c>
      <c r="BX242" s="453">
        <v>1.32</v>
      </c>
      <c r="BY242" s="456">
        <v>0.9</v>
      </c>
      <c r="BZ242" s="456">
        <v>16.28</v>
      </c>
      <c r="CA242" s="456">
        <v>35.1</v>
      </c>
      <c r="CB242" s="456">
        <v>18.010000000000002</v>
      </c>
      <c r="CC242" s="456">
        <v>9.26</v>
      </c>
      <c r="CD242" s="456">
        <v>13.46</v>
      </c>
      <c r="CE242" s="456">
        <v>17.54</v>
      </c>
      <c r="CF242" s="456">
        <v>13.04</v>
      </c>
      <c r="CG242" s="456">
        <v>0</v>
      </c>
      <c r="CH242" s="456">
        <v>5.0999999999999996</v>
      </c>
      <c r="CI242" s="456">
        <v>6.7</v>
      </c>
      <c r="CJ242" s="456">
        <v>1027.0999999999999</v>
      </c>
      <c r="CK242" s="456">
        <v>1019.3</v>
      </c>
      <c r="CL242" s="456">
        <v>766.5</v>
      </c>
      <c r="CM242" s="456">
        <v>11</v>
      </c>
      <c r="CN242" s="456">
        <v>2.0299999999999998</v>
      </c>
      <c r="CO242" s="453">
        <v>9359.4</v>
      </c>
      <c r="CP242" s="453">
        <v>16.78</v>
      </c>
      <c r="CQ242" s="453">
        <v>57</v>
      </c>
      <c r="CR242" s="456">
        <v>0</v>
      </c>
      <c r="CS242" s="456">
        <v>0</v>
      </c>
      <c r="CT242" s="456">
        <v>0</v>
      </c>
      <c r="CU242" s="456">
        <v>0</v>
      </c>
      <c r="CV242" s="481">
        <v>283</v>
      </c>
      <c r="CW242" s="481">
        <v>335.23958333333331</v>
      </c>
      <c r="CX242" s="481">
        <v>173.04166666666666</v>
      </c>
      <c r="CY242" s="481">
        <v>1155.8699999999999</v>
      </c>
      <c r="CZ242" s="456"/>
      <c r="DA242" s="456"/>
      <c r="DB242" s="456"/>
      <c r="DC242" s="456"/>
      <c r="DD242" s="456"/>
      <c r="DE242" s="456"/>
      <c r="DF242" s="456"/>
      <c r="DG242" s="425"/>
      <c r="DH242" s="456">
        <v>86</v>
      </c>
      <c r="DI242" s="456">
        <v>0.15</v>
      </c>
      <c r="DJ242" s="456">
        <v>0</v>
      </c>
      <c r="DK242" s="425"/>
      <c r="DL242" s="456"/>
      <c r="DM242" s="456"/>
      <c r="DN242" s="456"/>
      <c r="DO242" s="456"/>
      <c r="DP242" s="456"/>
      <c r="DQ242" s="456"/>
      <c r="DR242" s="456"/>
      <c r="DS242" s="456"/>
      <c r="DT242" s="456"/>
      <c r="DU242" s="456"/>
      <c r="DV242" s="456"/>
      <c r="DW242" s="456"/>
      <c r="DX242" s="456"/>
      <c r="DY242" s="456"/>
      <c r="DZ242" s="456"/>
      <c r="EA242" s="456"/>
      <c r="EB242" s="456"/>
      <c r="EC242" s="456"/>
      <c r="ED242" s="456">
        <v>0</v>
      </c>
      <c r="EE242" s="456">
        <v>2</v>
      </c>
      <c r="EF242" s="456">
        <v>4</v>
      </c>
      <c r="EG242" s="456">
        <v>11</v>
      </c>
      <c r="EH242" s="423">
        <v>0</v>
      </c>
      <c r="EI242" s="456"/>
      <c r="EJ242" s="456"/>
      <c r="EK242" s="456"/>
      <c r="EL242" s="456"/>
      <c r="EM242" s="456"/>
      <c r="EN242" s="456"/>
      <c r="EO242" s="425"/>
      <c r="EP242" s="425"/>
      <c r="EQ242" s="425" t="s">
        <v>743</v>
      </c>
      <c r="ER242" s="425">
        <v>1</v>
      </c>
      <c r="ES242" s="425">
        <v>6</v>
      </c>
      <c r="ET242" s="425">
        <v>1700</v>
      </c>
      <c r="EU242" s="457">
        <v>4000</v>
      </c>
      <c r="EV242" s="425">
        <v>200</v>
      </c>
      <c r="EW242" s="425">
        <v>7177415</v>
      </c>
      <c r="EX242" s="425">
        <v>12308</v>
      </c>
      <c r="EY242" s="666">
        <v>17.350000000000001</v>
      </c>
      <c r="EZ242" s="666">
        <v>17.3</v>
      </c>
      <c r="FA242" s="666">
        <v>0</v>
      </c>
      <c r="FB242" s="666">
        <v>1.32</v>
      </c>
      <c r="FC242" s="666">
        <v>1.35</v>
      </c>
      <c r="FD242" s="666">
        <v>1</v>
      </c>
      <c r="FE242" s="666">
        <v>0.99</v>
      </c>
      <c r="FF242" s="666">
        <v>200</v>
      </c>
      <c r="FG242" s="666">
        <v>0.82</v>
      </c>
      <c r="FH242" s="666">
        <v>0.4</v>
      </c>
      <c r="FI242" s="666">
        <v>0.71</v>
      </c>
      <c r="FJ242" s="666">
        <v>9.42</v>
      </c>
      <c r="FK242" s="666">
        <v>8</v>
      </c>
      <c r="FL242" s="666">
        <v>7.7</v>
      </c>
      <c r="FM242" s="666">
        <v>7.6</v>
      </c>
      <c r="FN242" s="666">
        <v>0</v>
      </c>
    </row>
    <row r="243" spans="1:170" s="416" customFormat="1" ht="15">
      <c r="A243" s="425" t="s">
        <v>6</v>
      </c>
      <c r="B243" s="426">
        <v>40772</v>
      </c>
      <c r="C243" s="418">
        <v>0</v>
      </c>
      <c r="D243" s="518">
        <v>0</v>
      </c>
      <c r="E243" s="453">
        <v>0</v>
      </c>
      <c r="F243" s="453">
        <v>52</v>
      </c>
      <c r="G243" s="453">
        <v>0.3</v>
      </c>
      <c r="H243" s="519" t="s">
        <v>742</v>
      </c>
      <c r="I243" s="519">
        <v>92.9</v>
      </c>
      <c r="J243" s="483">
        <v>0.69</v>
      </c>
      <c r="K243" s="520">
        <v>0.82</v>
      </c>
      <c r="L243" s="453">
        <v>0</v>
      </c>
      <c r="M243" s="453" t="s">
        <v>742</v>
      </c>
      <c r="N243" s="453">
        <v>1.56</v>
      </c>
      <c r="O243" s="453">
        <v>2.1526186708789479</v>
      </c>
      <c r="P243" s="453">
        <v>1.53</v>
      </c>
      <c r="Q243" s="453">
        <v>2.1796565389698044</v>
      </c>
      <c r="R243" s="453">
        <v>1354.5702404227209</v>
      </c>
      <c r="S243" s="453">
        <v>8.0500000000000007</v>
      </c>
      <c r="T243" s="453">
        <v>7.88</v>
      </c>
      <c r="U243" s="453">
        <v>0.6</v>
      </c>
      <c r="V243" s="453">
        <v>0.6</v>
      </c>
      <c r="W243" s="453">
        <v>57.2</v>
      </c>
      <c r="X243" s="456">
        <v>57.2</v>
      </c>
      <c r="Y243" s="453">
        <v>46.38</v>
      </c>
      <c r="Z243" s="453">
        <v>31.74</v>
      </c>
      <c r="AA243" s="849">
        <v>44.309999999997672</v>
      </c>
      <c r="AB243" s="849">
        <v>30.55000000000291</v>
      </c>
      <c r="AC243" s="732">
        <f t="shared" si="3"/>
        <v>74.860000000000582</v>
      </c>
      <c r="AD243" s="664"/>
      <c r="AE243" s="664"/>
      <c r="AF243" s="664"/>
      <c r="AG243" s="664"/>
      <c r="AH243" s="664"/>
      <c r="AI243" s="664"/>
      <c r="AJ243" s="485"/>
      <c r="AK243" s="485"/>
      <c r="AL243" s="485"/>
      <c r="AM243" s="485"/>
      <c r="AN243" s="485"/>
      <c r="AO243" s="665"/>
      <c r="AP243" s="485"/>
      <c r="AQ243" s="483"/>
      <c r="AR243" s="755">
        <v>0</v>
      </c>
      <c r="AS243" s="483">
        <v>40.299999999999997</v>
      </c>
      <c r="AT243" s="755">
        <v>0</v>
      </c>
      <c r="AU243" s="483">
        <v>47.1</v>
      </c>
      <c r="AV243" s="484">
        <v>888.8</v>
      </c>
      <c r="AW243" s="484">
        <v>1125.5</v>
      </c>
      <c r="AX243" s="453">
        <v>50.2</v>
      </c>
      <c r="AY243" s="734">
        <v>0</v>
      </c>
      <c r="AZ243" s="734">
        <v>0</v>
      </c>
      <c r="BA243" s="734">
        <v>0</v>
      </c>
      <c r="BB243" s="453">
        <v>0</v>
      </c>
      <c r="BC243" s="453">
        <v>2.5</v>
      </c>
      <c r="BD243" s="453">
        <v>2.5099999999999998</v>
      </c>
      <c r="BE243" s="734">
        <v>0</v>
      </c>
      <c r="BF243" s="453">
        <v>0</v>
      </c>
      <c r="BG243" s="453">
        <v>0</v>
      </c>
      <c r="BH243" s="734">
        <v>0</v>
      </c>
      <c r="BI243" s="453">
        <v>1.93</v>
      </c>
      <c r="BJ243" s="453">
        <v>25</v>
      </c>
      <c r="BK243" s="453">
        <v>4.84</v>
      </c>
      <c r="BL243" s="453">
        <v>6.22</v>
      </c>
      <c r="BM243" s="453">
        <v>0</v>
      </c>
      <c r="BN243" s="453">
        <v>13.9</v>
      </c>
      <c r="BO243" s="453">
        <v>3591.4</v>
      </c>
      <c r="BP243" s="453">
        <v>0</v>
      </c>
      <c r="BQ243" s="453">
        <v>17.2</v>
      </c>
      <c r="BR243" s="453">
        <v>17.3</v>
      </c>
      <c r="BS243" s="453">
        <v>0</v>
      </c>
      <c r="BT243" s="453">
        <v>43.7</v>
      </c>
      <c r="BU243" s="453">
        <v>42.7</v>
      </c>
      <c r="BV243" s="456">
        <v>1293.0999999999999</v>
      </c>
      <c r="BW243" s="453">
        <v>0.83</v>
      </c>
      <c r="BX243" s="453">
        <v>1.32</v>
      </c>
      <c r="BY243" s="456">
        <v>0.89</v>
      </c>
      <c r="BZ243" s="456">
        <v>17.829999999999998</v>
      </c>
      <c r="CA243" s="456">
        <v>33.799999999999997</v>
      </c>
      <c r="CB243" s="456">
        <v>17.25</v>
      </c>
      <c r="CC243" s="456">
        <v>8.91</v>
      </c>
      <c r="CD243" s="456">
        <v>13.11</v>
      </c>
      <c r="CE243" s="456">
        <v>17.21</v>
      </c>
      <c r="CF243" s="456">
        <v>12.76</v>
      </c>
      <c r="CG243" s="456">
        <v>0</v>
      </c>
      <c r="CH243" s="456">
        <v>6.3</v>
      </c>
      <c r="CI243" s="456">
        <v>9.8000000000000007</v>
      </c>
      <c r="CJ243" s="456">
        <v>1124</v>
      </c>
      <c r="CK243" s="456">
        <v>1084.5</v>
      </c>
      <c r="CL243" s="456">
        <v>782.7</v>
      </c>
      <c r="CM243" s="456">
        <v>7.8</v>
      </c>
      <c r="CN243" s="456">
        <v>1.76</v>
      </c>
      <c r="CO243" s="453">
        <v>8627.9</v>
      </c>
      <c r="CP243" s="453">
        <v>17.149999999999999</v>
      </c>
      <c r="CQ243" s="453">
        <v>57</v>
      </c>
      <c r="CR243" s="456">
        <v>0</v>
      </c>
      <c r="CS243" s="456">
        <v>0</v>
      </c>
      <c r="CT243" s="456">
        <v>0</v>
      </c>
      <c r="CU243" s="456">
        <v>0</v>
      </c>
      <c r="CV243" s="481">
        <v>275.5</v>
      </c>
      <c r="CW243" s="481">
        <v>325.66666666666669</v>
      </c>
      <c r="CX243" s="481">
        <v>167.39583333333334</v>
      </c>
      <c r="CY243" s="481">
        <v>1155.72</v>
      </c>
      <c r="CZ243" s="456"/>
      <c r="DA243" s="456"/>
      <c r="DB243" s="456"/>
      <c r="DC243" s="456"/>
      <c r="DD243" s="456"/>
      <c r="DE243" s="456"/>
      <c r="DF243" s="456"/>
      <c r="DG243" s="425"/>
      <c r="DH243" s="456">
        <v>76</v>
      </c>
      <c r="DI243" s="456">
        <v>0.09</v>
      </c>
      <c r="DJ243" s="456">
        <v>0</v>
      </c>
      <c r="DK243" s="425"/>
      <c r="DL243" s="456"/>
      <c r="DM243" s="456"/>
      <c r="DN243" s="456"/>
      <c r="DO243" s="456"/>
      <c r="DP243" s="456"/>
      <c r="DQ243" s="456"/>
      <c r="DR243" s="456"/>
      <c r="DS243" s="456"/>
      <c r="DT243" s="456"/>
      <c r="DU243" s="456"/>
      <c r="DV243" s="456"/>
      <c r="DW243" s="456"/>
      <c r="DX243" s="456"/>
      <c r="DY243" s="456"/>
      <c r="DZ243" s="456"/>
      <c r="EA243" s="456"/>
      <c r="EB243" s="456"/>
      <c r="EC243" s="456"/>
      <c r="ED243" s="456">
        <v>0</v>
      </c>
      <c r="EE243" s="456">
        <v>2</v>
      </c>
      <c r="EF243" s="456">
        <v>5</v>
      </c>
      <c r="EG243" s="456">
        <v>11</v>
      </c>
      <c r="EH243" s="423">
        <v>0</v>
      </c>
      <c r="EI243" s="456"/>
      <c r="EJ243" s="456"/>
      <c r="EK243" s="456"/>
      <c r="EL243" s="456"/>
      <c r="EM243" s="456"/>
      <c r="EN243" s="456"/>
      <c r="EO243" s="425"/>
      <c r="EP243" s="425"/>
      <c r="EQ243" s="425" t="s">
        <v>743</v>
      </c>
      <c r="ER243" s="425">
        <v>1</v>
      </c>
      <c r="ES243" s="425">
        <v>6</v>
      </c>
      <c r="ET243" s="425">
        <v>1510</v>
      </c>
      <c r="EU243" s="457">
        <v>4000</v>
      </c>
      <c r="EV243" s="425">
        <v>200</v>
      </c>
      <c r="EW243" s="425">
        <v>7181541</v>
      </c>
      <c r="EX243" s="425">
        <v>12921</v>
      </c>
      <c r="EY243" s="666">
        <v>17</v>
      </c>
      <c r="EZ243" s="666">
        <v>17</v>
      </c>
      <c r="FA243" s="666">
        <v>0</v>
      </c>
      <c r="FB243" s="666">
        <v>1.33</v>
      </c>
      <c r="FC243" s="666">
        <v>1.29</v>
      </c>
      <c r="FD243" s="666">
        <v>0.94</v>
      </c>
      <c r="FE243" s="666">
        <v>0.95</v>
      </c>
      <c r="FF243" s="666">
        <v>190</v>
      </c>
      <c r="FG243" s="666">
        <v>0.82</v>
      </c>
      <c r="FH243" s="666">
        <v>0.4</v>
      </c>
      <c r="FI243" s="666">
        <v>0.76</v>
      </c>
      <c r="FJ243" s="666">
        <v>7.14</v>
      </c>
      <c r="FK243" s="666">
        <v>7.9</v>
      </c>
      <c r="FL243" s="666">
        <v>7.78</v>
      </c>
      <c r="FM243" s="666">
        <v>7.5</v>
      </c>
      <c r="FN243" s="666">
        <v>0</v>
      </c>
    </row>
    <row r="244" spans="1:170" s="416" customFormat="1" ht="15">
      <c r="A244" s="425" t="s">
        <v>7</v>
      </c>
      <c r="B244" s="426">
        <v>40773</v>
      </c>
      <c r="C244" s="418">
        <v>0</v>
      </c>
      <c r="D244" s="518">
        <v>0</v>
      </c>
      <c r="E244" s="453">
        <v>0</v>
      </c>
      <c r="F244" s="453">
        <v>55</v>
      </c>
      <c r="G244" s="453">
        <v>0.3</v>
      </c>
      <c r="H244" s="519" t="s">
        <v>742</v>
      </c>
      <c r="I244" s="519">
        <v>95.2</v>
      </c>
      <c r="J244" s="483">
        <v>0.77</v>
      </c>
      <c r="K244" s="520">
        <v>0.65</v>
      </c>
      <c r="L244" s="453">
        <v>0</v>
      </c>
      <c r="M244" s="453" t="s">
        <v>742</v>
      </c>
      <c r="N244" s="453">
        <v>1.63</v>
      </c>
      <c r="O244" s="453">
        <v>2.122842125973186</v>
      </c>
      <c r="P244" s="453">
        <v>1.58</v>
      </c>
      <c r="Q244" s="453">
        <v>2.1266482526720307</v>
      </c>
      <c r="R244" s="453">
        <v>1417.4077886393657</v>
      </c>
      <c r="S244" s="453">
        <v>7.96</v>
      </c>
      <c r="T244" s="453">
        <v>7.66</v>
      </c>
      <c r="U244" s="453">
        <v>0.6</v>
      </c>
      <c r="V244" s="453">
        <v>0.6</v>
      </c>
      <c r="W244" s="453">
        <v>57.2</v>
      </c>
      <c r="X244" s="456">
        <v>57.2</v>
      </c>
      <c r="Y244" s="453">
        <v>46.09</v>
      </c>
      <c r="Z244" s="453">
        <v>32.15</v>
      </c>
      <c r="AA244" s="519">
        <v>46</v>
      </c>
      <c r="AB244" s="519">
        <v>33</v>
      </c>
      <c r="AC244" s="732">
        <f t="shared" si="3"/>
        <v>79</v>
      </c>
      <c r="AD244" s="664"/>
      <c r="AE244" s="664"/>
      <c r="AF244" s="664"/>
      <c r="AG244" s="664"/>
      <c r="AH244" s="664"/>
      <c r="AI244" s="664"/>
      <c r="AJ244" s="485"/>
      <c r="AK244" s="485"/>
      <c r="AL244" s="485"/>
      <c r="AM244" s="485"/>
      <c r="AN244" s="485"/>
      <c r="AO244" s="665"/>
      <c r="AP244" s="485"/>
      <c r="AQ244" s="483"/>
      <c r="AR244" s="755">
        <v>0</v>
      </c>
      <c r="AS244" s="483">
        <v>37.799999999999997</v>
      </c>
      <c r="AT244" s="755">
        <v>0</v>
      </c>
      <c r="AU244" s="483">
        <v>47.1</v>
      </c>
      <c r="AV244" s="484">
        <v>864.6</v>
      </c>
      <c r="AW244" s="484">
        <v>1092.4000000000001</v>
      </c>
      <c r="AX244" s="453">
        <v>38.799999999999997</v>
      </c>
      <c r="AY244" s="734">
        <v>0</v>
      </c>
      <c r="AZ244" s="734">
        <v>0</v>
      </c>
      <c r="BA244" s="734">
        <v>0</v>
      </c>
      <c r="BB244" s="453">
        <v>0</v>
      </c>
      <c r="BC244" s="453">
        <v>2.5</v>
      </c>
      <c r="BD244" s="453">
        <v>2.5099999999999998</v>
      </c>
      <c r="BE244" s="734">
        <v>0</v>
      </c>
      <c r="BF244" s="453">
        <v>0</v>
      </c>
      <c r="BG244" s="453">
        <v>0</v>
      </c>
      <c r="BH244" s="734">
        <v>0</v>
      </c>
      <c r="BI244" s="453">
        <v>1.93</v>
      </c>
      <c r="BJ244" s="453">
        <v>25.9</v>
      </c>
      <c r="BK244" s="453">
        <v>4.83</v>
      </c>
      <c r="BL244" s="453">
        <v>6.21</v>
      </c>
      <c r="BM244" s="453">
        <v>0</v>
      </c>
      <c r="BN244" s="453">
        <v>14.7</v>
      </c>
      <c r="BO244" s="453">
        <v>3479.9</v>
      </c>
      <c r="BP244" s="453">
        <v>0</v>
      </c>
      <c r="BQ244" s="453">
        <v>18.100000000000001</v>
      </c>
      <c r="BR244" s="453">
        <v>18.100000000000001</v>
      </c>
      <c r="BS244" s="453">
        <v>0</v>
      </c>
      <c r="BT244" s="453">
        <v>43.9</v>
      </c>
      <c r="BU244" s="453">
        <v>36.299999999999997</v>
      </c>
      <c r="BV244" s="456">
        <v>1119.0999999999999</v>
      </c>
      <c r="BW244" s="453">
        <v>1.73</v>
      </c>
      <c r="BX244" s="453">
        <v>1.33</v>
      </c>
      <c r="BY244" s="456">
        <v>0.89</v>
      </c>
      <c r="BZ244" s="456">
        <v>17.32</v>
      </c>
      <c r="CA244" s="456">
        <v>33.700000000000003</v>
      </c>
      <c r="CB244" s="456">
        <v>17.54</v>
      </c>
      <c r="CC244" s="456">
        <v>9.26</v>
      </c>
      <c r="CD244" s="456">
        <v>13.46</v>
      </c>
      <c r="CE244" s="456">
        <v>17.57</v>
      </c>
      <c r="CF244" s="456">
        <v>12.73</v>
      </c>
      <c r="CG244" s="456">
        <v>0</v>
      </c>
      <c r="CH244" s="456">
        <v>4.4000000000000004</v>
      </c>
      <c r="CI244" s="456">
        <v>9</v>
      </c>
      <c r="CJ244" s="456">
        <v>1119.7</v>
      </c>
      <c r="CK244" s="456">
        <v>1039.2</v>
      </c>
      <c r="CL244" s="456">
        <v>739</v>
      </c>
      <c r="CM244" s="456">
        <v>8.4</v>
      </c>
      <c r="CN244" s="456">
        <v>1.79</v>
      </c>
      <c r="CO244" s="453">
        <v>8413.4</v>
      </c>
      <c r="CP244" s="453">
        <v>17.100000000000001</v>
      </c>
      <c r="CQ244" s="453">
        <v>57</v>
      </c>
      <c r="CR244" s="456">
        <v>0</v>
      </c>
      <c r="CS244" s="456">
        <v>0</v>
      </c>
      <c r="CT244" s="456">
        <v>0</v>
      </c>
      <c r="CU244" s="456">
        <v>0</v>
      </c>
      <c r="CV244" s="481">
        <v>265</v>
      </c>
      <c r="CW244" s="481">
        <v>313.82291666666669</v>
      </c>
      <c r="CX244" s="481">
        <v>157.60416666666666</v>
      </c>
      <c r="CY244" s="481">
        <v>1155.58</v>
      </c>
      <c r="CZ244" s="456"/>
      <c r="DA244" s="456"/>
      <c r="DB244" s="456"/>
      <c r="DC244" s="456"/>
      <c r="DD244" s="456"/>
      <c r="DE244" s="456"/>
      <c r="DF244" s="456"/>
      <c r="DG244" s="425"/>
      <c r="DH244" s="456">
        <v>58</v>
      </c>
      <c r="DI244" s="456">
        <v>0.14000000000000001</v>
      </c>
      <c r="DJ244" s="456">
        <v>0</v>
      </c>
      <c r="DK244" s="425"/>
      <c r="DL244" s="456"/>
      <c r="DM244" s="456"/>
      <c r="DN244" s="456"/>
      <c r="DO244" s="456"/>
      <c r="DP244" s="456"/>
      <c r="DQ244" s="456"/>
      <c r="DR244" s="456"/>
      <c r="DS244" s="456"/>
      <c r="DT244" s="456"/>
      <c r="DU244" s="456"/>
      <c r="DV244" s="456"/>
      <c r="DW244" s="456"/>
      <c r="DX244" s="456"/>
      <c r="DY244" s="456"/>
      <c r="DZ244" s="456"/>
      <c r="EA244" s="456"/>
      <c r="EB244" s="456"/>
      <c r="EC244" s="456"/>
      <c r="ED244" s="456">
        <v>0</v>
      </c>
      <c r="EE244" s="456">
        <v>2</v>
      </c>
      <c r="EF244" s="456">
        <v>5</v>
      </c>
      <c r="EG244" s="456">
        <v>11</v>
      </c>
      <c r="EH244" s="423">
        <v>0</v>
      </c>
      <c r="EI244" s="456"/>
      <c r="EJ244" s="456"/>
      <c r="EK244" s="456"/>
      <c r="EL244" s="456"/>
      <c r="EM244" s="456"/>
      <c r="EN244" s="456"/>
      <c r="EO244" s="425"/>
      <c r="EP244" s="425"/>
      <c r="EQ244" s="425" t="s">
        <v>743</v>
      </c>
      <c r="ER244" s="425">
        <v>1</v>
      </c>
      <c r="ES244" s="425">
        <v>6</v>
      </c>
      <c r="ET244" s="425">
        <v>1340</v>
      </c>
      <c r="EU244" s="457">
        <v>4000</v>
      </c>
      <c r="EV244" s="425">
        <v>210</v>
      </c>
      <c r="EW244" s="425">
        <v>7185000</v>
      </c>
      <c r="EX244" s="425">
        <v>13558</v>
      </c>
      <c r="EY244" s="666">
        <v>17.2</v>
      </c>
      <c r="EZ244" s="666">
        <v>17.2</v>
      </c>
      <c r="FA244" s="666">
        <v>0</v>
      </c>
      <c r="FB244" s="666">
        <v>1.39</v>
      </c>
      <c r="FC244" s="666">
        <v>1.35</v>
      </c>
      <c r="FD244" s="666">
        <v>1.03</v>
      </c>
      <c r="FE244" s="666">
        <v>1.01</v>
      </c>
      <c r="FF244" s="666">
        <v>170</v>
      </c>
      <c r="FG244" s="666">
        <v>0.75</v>
      </c>
      <c r="FH244" s="666">
        <v>0.4</v>
      </c>
      <c r="FI244" s="666">
        <v>0.69</v>
      </c>
      <c r="FJ244" s="666">
        <v>10.18</v>
      </c>
      <c r="FK244" s="666">
        <v>8</v>
      </c>
      <c r="FL244" s="666">
        <v>7.69</v>
      </c>
      <c r="FM244" s="666">
        <v>7.4</v>
      </c>
      <c r="FN244" s="666">
        <v>0</v>
      </c>
    </row>
    <row r="245" spans="1:170" s="416" customFormat="1" ht="15">
      <c r="A245" s="425" t="s">
        <v>8</v>
      </c>
      <c r="B245" s="426">
        <v>40774</v>
      </c>
      <c r="C245" s="418">
        <v>0</v>
      </c>
      <c r="D245" s="518">
        <v>0</v>
      </c>
      <c r="E245" s="453">
        <v>0</v>
      </c>
      <c r="F245" s="453">
        <v>58.4</v>
      </c>
      <c r="G245" s="453">
        <v>0.35</v>
      </c>
      <c r="H245" s="519">
        <v>0.94</v>
      </c>
      <c r="I245" s="519">
        <v>92.8</v>
      </c>
      <c r="J245" s="483">
        <v>0.73</v>
      </c>
      <c r="K245" s="520">
        <v>0.68</v>
      </c>
      <c r="L245" s="453">
        <v>0</v>
      </c>
      <c r="M245" s="453" t="s">
        <v>742</v>
      </c>
      <c r="N245" s="453">
        <v>1.59</v>
      </c>
      <c r="O245" s="453">
        <v>2.1533254645405231</v>
      </c>
      <c r="P245" s="453">
        <v>1.54</v>
      </c>
      <c r="Q245" s="453">
        <v>2.1281894399654302</v>
      </c>
      <c r="R245" s="453">
        <v>1447.8548480845441</v>
      </c>
      <c r="S245" s="453">
        <v>7.94</v>
      </c>
      <c r="T245" s="453">
        <v>7.87</v>
      </c>
      <c r="U245" s="453">
        <v>0.61</v>
      </c>
      <c r="V245" s="453">
        <v>0.6</v>
      </c>
      <c r="W245" s="453">
        <v>55.94</v>
      </c>
      <c r="X245" s="456">
        <v>56.120000000000005</v>
      </c>
      <c r="Y245" s="453">
        <v>46.28</v>
      </c>
      <c r="Z245" s="453">
        <v>35.159999999999997</v>
      </c>
      <c r="AA245" s="519">
        <v>46.539999999993597</v>
      </c>
      <c r="AB245" s="519">
        <v>35.25</v>
      </c>
      <c r="AC245" s="732">
        <f t="shared" si="3"/>
        <v>81.789999999993597</v>
      </c>
      <c r="AD245" s="664"/>
      <c r="AE245" s="664"/>
      <c r="AF245" s="664"/>
      <c r="AG245" s="664"/>
      <c r="AH245" s="664"/>
      <c r="AI245" s="664"/>
      <c r="AJ245" s="485"/>
      <c r="AK245" s="485"/>
      <c r="AL245" s="485"/>
      <c r="AM245" s="485"/>
      <c r="AN245" s="485"/>
      <c r="AO245" s="665"/>
      <c r="AP245" s="485"/>
      <c r="AQ245" s="483"/>
      <c r="AR245" s="755">
        <v>0</v>
      </c>
      <c r="AS245" s="483">
        <v>34.299999999999997</v>
      </c>
      <c r="AT245" s="755">
        <v>0</v>
      </c>
      <c r="AU245" s="483">
        <v>47.1</v>
      </c>
      <c r="AV245" s="484">
        <v>834.2</v>
      </c>
      <c r="AW245" s="484">
        <v>1078.2</v>
      </c>
      <c r="AX245" s="453">
        <v>45.5</v>
      </c>
      <c r="AY245" s="734">
        <v>0</v>
      </c>
      <c r="AZ245" s="734">
        <v>0</v>
      </c>
      <c r="BA245" s="734">
        <v>0</v>
      </c>
      <c r="BB245" s="453">
        <v>0</v>
      </c>
      <c r="BC245" s="453">
        <v>2.5</v>
      </c>
      <c r="BD245" s="453">
        <v>2.5099999999999998</v>
      </c>
      <c r="BE245" s="734">
        <v>0</v>
      </c>
      <c r="BF245" s="453">
        <v>0.35</v>
      </c>
      <c r="BG245" s="453">
        <v>0</v>
      </c>
      <c r="BH245" s="734">
        <v>0</v>
      </c>
      <c r="BI245" s="453">
        <v>1.93</v>
      </c>
      <c r="BJ245" s="453">
        <v>27.8</v>
      </c>
      <c r="BK245" s="453">
        <v>5.21</v>
      </c>
      <c r="BL245" s="453">
        <v>6.6</v>
      </c>
      <c r="BM245" s="453">
        <v>0</v>
      </c>
      <c r="BN245" s="453">
        <v>15.9</v>
      </c>
      <c r="BO245" s="453">
        <v>3011.4</v>
      </c>
      <c r="BP245" s="453">
        <v>0</v>
      </c>
      <c r="BQ245" s="453">
        <v>18.7</v>
      </c>
      <c r="BR245" s="453">
        <v>18.7</v>
      </c>
      <c r="BS245" s="453">
        <v>0</v>
      </c>
      <c r="BT245" s="453">
        <v>43.9</v>
      </c>
      <c r="BU245" s="453">
        <v>37.700000000000003</v>
      </c>
      <c r="BV245" s="456">
        <v>1240.7</v>
      </c>
      <c r="BW245" s="453">
        <v>0.78</v>
      </c>
      <c r="BX245" s="453">
        <v>1.32</v>
      </c>
      <c r="BY245" s="456">
        <v>0.9</v>
      </c>
      <c r="BZ245" s="456">
        <v>16.809999999999999</v>
      </c>
      <c r="CA245" s="456">
        <v>35.700000000000003</v>
      </c>
      <c r="CB245" s="456">
        <v>17.420000000000002</v>
      </c>
      <c r="CC245" s="456">
        <v>9.2899999999999991</v>
      </c>
      <c r="CD245" s="456">
        <v>13.5</v>
      </c>
      <c r="CE245" s="456">
        <v>17.09</v>
      </c>
      <c r="CF245" s="456">
        <v>12.65</v>
      </c>
      <c r="CG245" s="456">
        <v>0</v>
      </c>
      <c r="CH245" s="456">
        <v>6.4</v>
      </c>
      <c r="CI245" s="456">
        <v>8.4</v>
      </c>
      <c r="CJ245" s="456">
        <v>1091.7</v>
      </c>
      <c r="CK245" s="456">
        <v>1038.9000000000001</v>
      </c>
      <c r="CL245" s="456">
        <v>761.1</v>
      </c>
      <c r="CM245" s="456">
        <v>9.1</v>
      </c>
      <c r="CN245" s="456">
        <v>1.91</v>
      </c>
      <c r="CO245" s="453">
        <v>9178.6</v>
      </c>
      <c r="CP245" s="453">
        <v>17.5</v>
      </c>
      <c r="CQ245" s="453">
        <v>58</v>
      </c>
      <c r="CR245" s="456">
        <v>0</v>
      </c>
      <c r="CS245" s="456">
        <v>0</v>
      </c>
      <c r="CT245" s="456">
        <v>0</v>
      </c>
      <c r="CU245" s="456">
        <v>0</v>
      </c>
      <c r="CV245" s="481">
        <v>274.29166666666669</v>
      </c>
      <c r="CW245" s="481">
        <v>306.53125</v>
      </c>
      <c r="CX245" s="481">
        <v>161.03125</v>
      </c>
      <c r="CY245" s="481">
        <v>1155.42</v>
      </c>
      <c r="CZ245" s="456"/>
      <c r="DA245" s="456"/>
      <c r="DB245" s="456"/>
      <c r="DC245" s="456"/>
      <c r="DD245" s="456"/>
      <c r="DE245" s="456"/>
      <c r="DF245" s="456"/>
      <c r="DG245" s="425"/>
      <c r="DH245" s="456">
        <v>79</v>
      </c>
      <c r="DI245" s="456">
        <v>0.14000000000000001</v>
      </c>
      <c r="DJ245" s="456">
        <v>0</v>
      </c>
      <c r="DK245" s="425"/>
      <c r="DL245" s="456"/>
      <c r="DM245" s="456"/>
      <c r="DN245" s="456"/>
      <c r="DO245" s="456"/>
      <c r="DP245" s="456"/>
      <c r="DQ245" s="456"/>
      <c r="DR245" s="456"/>
      <c r="DS245" s="456"/>
      <c r="DT245" s="456"/>
      <c r="DU245" s="456"/>
      <c r="DV245" s="456"/>
      <c r="DW245" s="456"/>
      <c r="DX245" s="456"/>
      <c r="DY245" s="456"/>
      <c r="DZ245" s="456"/>
      <c r="EA245" s="456"/>
      <c r="EB245" s="456"/>
      <c r="EC245" s="456"/>
      <c r="ED245" s="456">
        <v>0</v>
      </c>
      <c r="EE245" s="456">
        <v>2</v>
      </c>
      <c r="EF245" s="456">
        <v>5.5</v>
      </c>
      <c r="EG245" s="456">
        <v>12</v>
      </c>
      <c r="EH245" s="423">
        <v>0</v>
      </c>
      <c r="EI245" s="456"/>
      <c r="EJ245" s="456"/>
      <c r="EK245" s="456"/>
      <c r="EL245" s="456"/>
      <c r="EM245" s="456"/>
      <c r="EN245" s="456"/>
      <c r="EO245" s="425"/>
      <c r="EP245" s="425"/>
      <c r="EQ245" s="425" t="s">
        <v>743</v>
      </c>
      <c r="ER245" s="425">
        <v>1</v>
      </c>
      <c r="ES245" s="425">
        <v>6</v>
      </c>
      <c r="ET245" s="425">
        <v>1150</v>
      </c>
      <c r="EU245" s="457">
        <v>4000</v>
      </c>
      <c r="EV245" s="425">
        <v>210</v>
      </c>
      <c r="EW245" s="425">
        <v>7188955</v>
      </c>
      <c r="EX245" s="425">
        <v>14184</v>
      </c>
      <c r="EY245" s="666">
        <v>18.5</v>
      </c>
      <c r="EZ245" s="666">
        <v>18.5</v>
      </c>
      <c r="FA245" s="666">
        <v>0</v>
      </c>
      <c r="FB245" s="666">
        <v>1.34</v>
      </c>
      <c r="FC245" s="666">
        <v>1.31</v>
      </c>
      <c r="FD245" s="666">
        <v>0.96</v>
      </c>
      <c r="FE245" s="666">
        <v>0.95</v>
      </c>
      <c r="FF245" s="666">
        <v>190</v>
      </c>
      <c r="FG245" s="666">
        <v>0.79</v>
      </c>
      <c r="FH245" s="666">
        <v>0.39</v>
      </c>
      <c r="FI245" s="666">
        <v>0.69</v>
      </c>
      <c r="FJ245" s="666">
        <v>7.98</v>
      </c>
      <c r="FK245" s="666">
        <v>8</v>
      </c>
      <c r="FL245" s="666">
        <v>7.71</v>
      </c>
      <c r="FM245" s="666">
        <v>7.5</v>
      </c>
      <c r="FN245" s="666">
        <v>0</v>
      </c>
    </row>
    <row r="246" spans="1:170" s="416" customFormat="1" ht="15">
      <c r="A246" s="425" t="s">
        <v>9</v>
      </c>
      <c r="B246" s="426">
        <v>40775</v>
      </c>
      <c r="C246" s="418">
        <v>0</v>
      </c>
      <c r="D246" s="518">
        <v>0</v>
      </c>
      <c r="E246" s="453">
        <v>0</v>
      </c>
      <c r="F246" s="453">
        <v>63</v>
      </c>
      <c r="G246" s="453">
        <v>0.35</v>
      </c>
      <c r="H246" s="519">
        <v>0.94</v>
      </c>
      <c r="I246" s="519">
        <v>93.1</v>
      </c>
      <c r="J246" s="483">
        <v>0.7</v>
      </c>
      <c r="K246" s="520">
        <v>0.67</v>
      </c>
      <c r="L246" s="453">
        <v>0</v>
      </c>
      <c r="M246" s="453" t="s">
        <v>742</v>
      </c>
      <c r="N246" s="453">
        <v>1.59</v>
      </c>
      <c r="O246" s="453">
        <v>2.1589588873572167</v>
      </c>
      <c r="P246" s="453">
        <v>1.55</v>
      </c>
      <c r="Q246" s="453">
        <v>2.1581404187366005</v>
      </c>
      <c r="R246" s="453">
        <v>1445.2636089828268</v>
      </c>
      <c r="S246" s="453">
        <v>8.02</v>
      </c>
      <c r="T246" s="453">
        <v>8.01</v>
      </c>
      <c r="U246" s="453">
        <v>0.61</v>
      </c>
      <c r="V246" s="453">
        <v>0.61</v>
      </c>
      <c r="W246" s="453">
        <v>59.360000000000014</v>
      </c>
      <c r="X246" s="456">
        <v>59.360000000000014</v>
      </c>
      <c r="Y246" s="453">
        <v>46.36</v>
      </c>
      <c r="Z246" s="453">
        <v>34.97</v>
      </c>
      <c r="AA246" s="519">
        <v>45.560000000012224</v>
      </c>
      <c r="AB246" s="519">
        <v>34.639999999999418</v>
      </c>
      <c r="AC246" s="732">
        <f t="shared" si="3"/>
        <v>80.200000000011642</v>
      </c>
      <c r="AD246" s="664"/>
      <c r="AE246" s="664"/>
      <c r="AF246" s="664"/>
      <c r="AG246" s="664"/>
      <c r="AH246" s="664"/>
      <c r="AI246" s="664"/>
      <c r="AJ246" s="485"/>
      <c r="AK246" s="485"/>
      <c r="AL246" s="485"/>
      <c r="AM246" s="485"/>
      <c r="AN246" s="485"/>
      <c r="AO246" s="665"/>
      <c r="AP246" s="485"/>
      <c r="AQ246" s="483"/>
      <c r="AR246" s="755">
        <v>0</v>
      </c>
      <c r="AS246" s="483">
        <v>40.9</v>
      </c>
      <c r="AT246" s="755">
        <v>0</v>
      </c>
      <c r="AU246" s="483">
        <v>46.7</v>
      </c>
      <c r="AV246" s="484">
        <v>907.3</v>
      </c>
      <c r="AW246" s="484">
        <v>1150.9000000000001</v>
      </c>
      <c r="AX246" s="453">
        <v>40.9</v>
      </c>
      <c r="AY246" s="734">
        <v>0</v>
      </c>
      <c r="AZ246" s="734">
        <v>0</v>
      </c>
      <c r="BA246" s="734">
        <v>0</v>
      </c>
      <c r="BB246" s="453">
        <v>0</v>
      </c>
      <c r="BC246" s="453">
        <v>2.5</v>
      </c>
      <c r="BD246" s="453">
        <v>2.83</v>
      </c>
      <c r="BE246" s="734">
        <v>0</v>
      </c>
      <c r="BF246" s="453">
        <v>0.49</v>
      </c>
      <c r="BG246" s="453">
        <v>0</v>
      </c>
      <c r="BH246" s="734">
        <v>0</v>
      </c>
      <c r="BI246" s="453">
        <v>2</v>
      </c>
      <c r="BJ246" s="453">
        <v>27.3</v>
      </c>
      <c r="BK246" s="453">
        <v>5.34</v>
      </c>
      <c r="BL246" s="453">
        <v>6.72</v>
      </c>
      <c r="BM246" s="453">
        <v>0</v>
      </c>
      <c r="BN246" s="453">
        <v>15.2</v>
      </c>
      <c r="BO246" s="453">
        <v>3354.4</v>
      </c>
      <c r="BP246" s="453">
        <v>0</v>
      </c>
      <c r="BQ246" s="453">
        <v>18.5</v>
      </c>
      <c r="BR246" s="453">
        <v>18.5</v>
      </c>
      <c r="BS246" s="453">
        <v>0</v>
      </c>
      <c r="BT246" s="453">
        <v>43.8</v>
      </c>
      <c r="BU246" s="453">
        <v>41.5</v>
      </c>
      <c r="BV246" s="456">
        <v>1279.0999999999999</v>
      </c>
      <c r="BW246" s="453">
        <v>2.33</v>
      </c>
      <c r="BX246" s="453">
        <v>1.32</v>
      </c>
      <c r="BY246" s="456">
        <v>0.89</v>
      </c>
      <c r="BZ246" s="456">
        <v>18.98</v>
      </c>
      <c r="CA246" s="456">
        <v>34.299999999999997</v>
      </c>
      <c r="CB246" s="456">
        <v>17.239999999999998</v>
      </c>
      <c r="CC246" s="456">
        <v>9.64</v>
      </c>
      <c r="CD246" s="456">
        <v>13.92</v>
      </c>
      <c r="CE246" s="456">
        <v>18.010000000000002</v>
      </c>
      <c r="CF246" s="456">
        <v>12.65</v>
      </c>
      <c r="CG246" s="456">
        <v>0</v>
      </c>
      <c r="CH246" s="456">
        <v>7.2</v>
      </c>
      <c r="CI246" s="456">
        <v>11.7</v>
      </c>
      <c r="CJ246" s="456">
        <v>1181.5999999999999</v>
      </c>
      <c r="CK246" s="456">
        <v>1080.8</v>
      </c>
      <c r="CL246" s="456">
        <v>733.9</v>
      </c>
      <c r="CM246" s="456">
        <v>5.3</v>
      </c>
      <c r="CN246" s="456">
        <v>1.42</v>
      </c>
      <c r="CO246" s="453">
        <v>6415</v>
      </c>
      <c r="CP246" s="453">
        <v>17.8</v>
      </c>
      <c r="CQ246" s="453">
        <v>58</v>
      </c>
      <c r="CR246" s="456">
        <v>0</v>
      </c>
      <c r="CS246" s="456">
        <v>0</v>
      </c>
      <c r="CT246" s="456">
        <v>0</v>
      </c>
      <c r="CU246" s="456">
        <v>0</v>
      </c>
      <c r="CV246" s="481">
        <v>279.91666666666669</v>
      </c>
      <c r="CW246" s="481">
        <v>311.65625</v>
      </c>
      <c r="CX246" s="481">
        <v>167.22916666666666</v>
      </c>
      <c r="CY246" s="481">
        <v>1155.25</v>
      </c>
      <c r="CZ246" s="456"/>
      <c r="DA246" s="456"/>
      <c r="DB246" s="456"/>
      <c r="DC246" s="456"/>
      <c r="DD246" s="456"/>
      <c r="DE246" s="456"/>
      <c r="DF246" s="456"/>
      <c r="DG246" s="425"/>
      <c r="DH246" s="456">
        <v>59</v>
      </c>
      <c r="DI246" s="456">
        <v>0.13</v>
      </c>
      <c r="DJ246" s="456">
        <v>0</v>
      </c>
      <c r="DK246" s="425"/>
      <c r="DL246" s="456"/>
      <c r="DM246" s="456"/>
      <c r="DN246" s="456"/>
      <c r="DO246" s="456"/>
      <c r="DP246" s="456"/>
      <c r="DQ246" s="456"/>
      <c r="DR246" s="456"/>
      <c r="DS246" s="456"/>
      <c r="DT246" s="456"/>
      <c r="DU246" s="456"/>
      <c r="DV246" s="456"/>
      <c r="DW246" s="456"/>
      <c r="DX246" s="456"/>
      <c r="DY246" s="456"/>
      <c r="DZ246" s="456"/>
      <c r="EA246" s="456"/>
      <c r="EB246" s="456"/>
      <c r="EC246" s="456"/>
      <c r="ED246" s="456">
        <v>0</v>
      </c>
      <c r="EE246" s="456">
        <v>2</v>
      </c>
      <c r="EF246" s="456">
        <v>6</v>
      </c>
      <c r="EG246" s="456">
        <v>12</v>
      </c>
      <c r="EH246" s="423">
        <v>0</v>
      </c>
      <c r="EI246" s="456"/>
      <c r="EJ246" s="456"/>
      <c r="EK246" s="456"/>
      <c r="EL246" s="456"/>
      <c r="EM246" s="456"/>
      <c r="EN246" s="456"/>
      <c r="EO246" s="425"/>
      <c r="EP246" s="425"/>
      <c r="EQ246" s="425" t="s">
        <v>743</v>
      </c>
      <c r="ER246" s="425">
        <v>1</v>
      </c>
      <c r="ES246" s="425">
        <v>6</v>
      </c>
      <c r="ET246" s="425">
        <v>960</v>
      </c>
      <c r="EU246" s="457">
        <v>4000</v>
      </c>
      <c r="EV246" s="425">
        <v>220</v>
      </c>
      <c r="EW246" s="425">
        <v>7193418</v>
      </c>
      <c r="EX246" s="425">
        <v>14856</v>
      </c>
      <c r="EY246" s="666">
        <v>18.149999999999999</v>
      </c>
      <c r="EZ246" s="666">
        <v>18.149999999999999</v>
      </c>
      <c r="FA246" s="666">
        <v>0</v>
      </c>
      <c r="FB246" s="666">
        <v>1.32</v>
      </c>
      <c r="FC246" s="666">
        <v>1.23</v>
      </c>
      <c r="FD246" s="666">
        <v>0.93899999999999995</v>
      </c>
      <c r="FE246" s="666">
        <v>1.19</v>
      </c>
      <c r="FF246" s="666">
        <v>190</v>
      </c>
      <c r="FG246" s="666">
        <v>0.75</v>
      </c>
      <c r="FH246" s="666">
        <v>0.31900000000000001</v>
      </c>
      <c r="FI246" s="666">
        <v>0.64</v>
      </c>
      <c r="FJ246" s="666">
        <v>7.17</v>
      </c>
      <c r="FK246" s="666">
        <v>7.6</v>
      </c>
      <c r="FL246" s="666">
        <v>7.82</v>
      </c>
      <c r="FM246" s="666">
        <v>7.3</v>
      </c>
      <c r="FN246" s="666">
        <v>0</v>
      </c>
    </row>
    <row r="247" spans="1:170" s="416" customFormat="1" ht="15">
      <c r="A247" s="425" t="s">
        <v>3</v>
      </c>
      <c r="B247" s="426">
        <v>40776</v>
      </c>
      <c r="C247" s="418">
        <v>0</v>
      </c>
      <c r="D247" s="518">
        <v>0</v>
      </c>
      <c r="E247" s="453">
        <v>0</v>
      </c>
      <c r="F247" s="453">
        <v>59.1</v>
      </c>
      <c r="G247" s="453">
        <v>0.35</v>
      </c>
      <c r="H247" s="519">
        <v>0.92</v>
      </c>
      <c r="I247" s="519">
        <v>93.6</v>
      </c>
      <c r="J247" s="483">
        <v>0.77</v>
      </c>
      <c r="K247" s="520">
        <v>0.67</v>
      </c>
      <c r="L247" s="453">
        <v>0</v>
      </c>
      <c r="M247" s="453" t="s">
        <v>742</v>
      </c>
      <c r="N247" s="453">
        <v>1.62</v>
      </c>
      <c r="O247" s="453">
        <v>2.1723100961475459</v>
      </c>
      <c r="P247" s="453">
        <v>1.55</v>
      </c>
      <c r="Q247" s="453">
        <v>2.1722491454813433</v>
      </c>
      <c r="R247" s="453">
        <v>1484.1321955085864</v>
      </c>
      <c r="S247" s="453">
        <v>7.99</v>
      </c>
      <c r="T247" s="453">
        <v>7.94</v>
      </c>
      <c r="U247" s="453">
        <v>0.61</v>
      </c>
      <c r="V247" s="453">
        <v>0.61</v>
      </c>
      <c r="W247" s="453">
        <v>59</v>
      </c>
      <c r="X247" s="456">
        <v>59</v>
      </c>
      <c r="Y247" s="453">
        <v>45.9</v>
      </c>
      <c r="Z247" s="453">
        <v>34.85</v>
      </c>
      <c r="AA247" s="519">
        <v>46.439999999987776</v>
      </c>
      <c r="AB247" s="519">
        <v>35.360000000000582</v>
      </c>
      <c r="AC247" s="732">
        <f t="shared" si="3"/>
        <v>81.799999999988358</v>
      </c>
      <c r="AD247" s="664"/>
      <c r="AE247" s="664"/>
      <c r="AF247" s="664"/>
      <c r="AG247" s="664"/>
      <c r="AH247" s="664"/>
      <c r="AI247" s="664"/>
      <c r="AJ247" s="485"/>
      <c r="AK247" s="485"/>
      <c r="AL247" s="485"/>
      <c r="AM247" s="485"/>
      <c r="AN247" s="485"/>
      <c r="AO247" s="665"/>
      <c r="AP247" s="485"/>
      <c r="AQ247" s="483"/>
      <c r="AR247" s="755">
        <v>0</v>
      </c>
      <c r="AS247" s="483">
        <v>41.4</v>
      </c>
      <c r="AT247" s="755">
        <v>0</v>
      </c>
      <c r="AU247" s="483">
        <v>46.4</v>
      </c>
      <c r="AV247" s="484">
        <v>989.4</v>
      </c>
      <c r="AW247" s="484">
        <v>1303.4000000000001</v>
      </c>
      <c r="AX247" s="453">
        <v>62</v>
      </c>
      <c r="AY247" s="734">
        <v>0</v>
      </c>
      <c r="AZ247" s="734">
        <v>0</v>
      </c>
      <c r="BA247" s="734">
        <v>0</v>
      </c>
      <c r="BB247" s="453">
        <v>0</v>
      </c>
      <c r="BC247" s="453">
        <v>2.5</v>
      </c>
      <c r="BD247" s="453">
        <v>3.01</v>
      </c>
      <c r="BE247" s="734">
        <v>0</v>
      </c>
      <c r="BF247" s="453">
        <v>0.56000000000000005</v>
      </c>
      <c r="BG247" s="453">
        <v>0</v>
      </c>
      <c r="BH247" s="734">
        <v>0</v>
      </c>
      <c r="BI247" s="453">
        <v>2.0099999999999998</v>
      </c>
      <c r="BJ247" s="453">
        <v>27.1</v>
      </c>
      <c r="BK247" s="453">
        <v>5.34</v>
      </c>
      <c r="BL247" s="453">
        <v>6.72</v>
      </c>
      <c r="BM247" s="453">
        <v>0</v>
      </c>
      <c r="BN247" s="453">
        <v>15</v>
      </c>
      <c r="BO247" s="453">
        <v>3726.6</v>
      </c>
      <c r="BP247" s="453">
        <v>0</v>
      </c>
      <c r="BQ247" s="453">
        <v>18</v>
      </c>
      <c r="BR247" s="453">
        <v>18</v>
      </c>
      <c r="BS247" s="453">
        <v>0</v>
      </c>
      <c r="BT247" s="453">
        <v>43.5</v>
      </c>
      <c r="BU247" s="453">
        <v>42.2</v>
      </c>
      <c r="BV247" s="456">
        <v>1366.2</v>
      </c>
      <c r="BW247" s="453">
        <v>3.04</v>
      </c>
      <c r="BX247" s="453">
        <v>1.31</v>
      </c>
      <c r="BY247" s="456">
        <v>0.89</v>
      </c>
      <c r="BZ247" s="456">
        <v>18.5</v>
      </c>
      <c r="CA247" s="456">
        <v>31.7</v>
      </c>
      <c r="CB247" s="456">
        <v>17.100000000000001</v>
      </c>
      <c r="CC247" s="456">
        <v>10.4</v>
      </c>
      <c r="CD247" s="456">
        <v>14.6</v>
      </c>
      <c r="CE247" s="456">
        <v>18.8</v>
      </c>
      <c r="CF247" s="456">
        <v>12.96</v>
      </c>
      <c r="CG247" s="456">
        <v>0</v>
      </c>
      <c r="CH247" s="456">
        <v>6.7</v>
      </c>
      <c r="CI247" s="456">
        <v>11.3</v>
      </c>
      <c r="CJ247" s="456">
        <v>1254.0999999999999</v>
      </c>
      <c r="CK247" s="456">
        <v>1170.5</v>
      </c>
      <c r="CL247" s="456">
        <v>730.4</v>
      </c>
      <c r="CM247" s="456">
        <v>4.8</v>
      </c>
      <c r="CN247" s="456">
        <v>1.34</v>
      </c>
      <c r="CO247" s="453">
        <v>6424.2</v>
      </c>
      <c r="CP247" s="453">
        <v>17.21</v>
      </c>
      <c r="CQ247" s="453">
        <v>58</v>
      </c>
      <c r="CR247" s="456">
        <v>0</v>
      </c>
      <c r="CS247" s="456">
        <v>0</v>
      </c>
      <c r="CT247" s="456">
        <v>0</v>
      </c>
      <c r="CU247" s="456">
        <v>0</v>
      </c>
      <c r="CV247" s="481">
        <v>280</v>
      </c>
      <c r="CW247" s="481">
        <v>309.61458333333331</v>
      </c>
      <c r="CX247" s="481">
        <v>166.59375</v>
      </c>
      <c r="CY247" s="481">
        <v>1155.07</v>
      </c>
      <c r="CZ247" s="456"/>
      <c r="DA247" s="456"/>
      <c r="DB247" s="456"/>
      <c r="DC247" s="456"/>
      <c r="DD247" s="456"/>
      <c r="DE247" s="456"/>
      <c r="DF247" s="456"/>
      <c r="DG247" s="425"/>
      <c r="DH247" s="456">
        <v>51</v>
      </c>
      <c r="DI247" s="456">
        <v>0.09</v>
      </c>
      <c r="DJ247" s="456">
        <v>0</v>
      </c>
      <c r="DK247" s="425"/>
      <c r="DL247" s="456"/>
      <c r="DM247" s="456"/>
      <c r="DN247" s="456"/>
      <c r="DO247" s="456"/>
      <c r="DP247" s="456"/>
      <c r="DQ247" s="456"/>
      <c r="DR247" s="456"/>
      <c r="DS247" s="456"/>
      <c r="DT247" s="456"/>
      <c r="DU247" s="456"/>
      <c r="DV247" s="456"/>
      <c r="DW247" s="456"/>
      <c r="DX247" s="456"/>
      <c r="DY247" s="456"/>
      <c r="DZ247" s="456"/>
      <c r="EA247" s="456"/>
      <c r="EB247" s="456"/>
      <c r="EC247" s="456"/>
      <c r="ED247" s="456">
        <v>0</v>
      </c>
      <c r="EE247" s="456">
        <v>2</v>
      </c>
      <c r="EF247" s="456">
        <v>6</v>
      </c>
      <c r="EG247" s="456">
        <v>12</v>
      </c>
      <c r="EH247" s="423">
        <v>0</v>
      </c>
      <c r="EI247" s="456"/>
      <c r="EJ247" s="456"/>
      <c r="EK247" s="456"/>
      <c r="EL247" s="456"/>
      <c r="EM247" s="456"/>
      <c r="EN247" s="456"/>
      <c r="EO247" s="425"/>
      <c r="EP247" s="425"/>
      <c r="EQ247" s="425" t="s">
        <v>743</v>
      </c>
      <c r="ER247" s="425">
        <v>1</v>
      </c>
      <c r="ES247" s="425">
        <v>6</v>
      </c>
      <c r="ET247" s="425">
        <v>760</v>
      </c>
      <c r="EU247" s="457">
        <v>4000</v>
      </c>
      <c r="EV247" s="425">
        <v>190</v>
      </c>
      <c r="EW247" s="425">
        <v>7197496</v>
      </c>
      <c r="EX247" s="425">
        <v>15473</v>
      </c>
      <c r="EY247" s="666">
        <v>17.600000000000001</v>
      </c>
      <c r="EZ247" s="666">
        <v>17.600000000000001</v>
      </c>
      <c r="FA247" s="666">
        <v>0</v>
      </c>
      <c r="FB247" s="666">
        <v>1.33</v>
      </c>
      <c r="FC247" s="666">
        <v>1.3</v>
      </c>
      <c r="FD247" s="666">
        <v>0.97</v>
      </c>
      <c r="FE247" s="666">
        <v>0.95</v>
      </c>
      <c r="FF247" s="666">
        <v>200</v>
      </c>
      <c r="FG247" s="666">
        <v>0.78</v>
      </c>
      <c r="FH247" s="666">
        <v>0.37</v>
      </c>
      <c r="FI247" s="666">
        <v>0.66</v>
      </c>
      <c r="FJ247" s="666">
        <v>7.51</v>
      </c>
      <c r="FK247" s="666">
        <v>7.8</v>
      </c>
      <c r="FL247" s="666">
        <v>7.84</v>
      </c>
      <c r="FM247" s="666">
        <v>7.6</v>
      </c>
      <c r="FN247" s="666">
        <v>0</v>
      </c>
    </row>
    <row r="248" spans="1:170" s="416" customFormat="1" ht="15">
      <c r="A248" s="425" t="s">
        <v>4</v>
      </c>
      <c r="B248" s="426">
        <v>40777</v>
      </c>
      <c r="C248" s="418">
        <v>0</v>
      </c>
      <c r="D248" s="518">
        <v>0.7</v>
      </c>
      <c r="E248" s="453">
        <v>0</v>
      </c>
      <c r="F248" s="453">
        <v>62</v>
      </c>
      <c r="G248" s="453">
        <v>0.35</v>
      </c>
      <c r="H248" s="519" t="s">
        <v>742</v>
      </c>
      <c r="I248" s="519">
        <v>93.8</v>
      </c>
      <c r="J248" s="483">
        <v>0.83</v>
      </c>
      <c r="K248" s="520">
        <v>0.69</v>
      </c>
      <c r="L248" s="453">
        <v>0</v>
      </c>
      <c r="M248" s="453" t="s">
        <v>742</v>
      </c>
      <c r="N248" s="453">
        <v>1.75</v>
      </c>
      <c r="O248" s="756">
        <v>-2926.1132033806507</v>
      </c>
      <c r="P248" s="453">
        <v>1.62</v>
      </c>
      <c r="Q248" s="453">
        <v>2.2544980473370315</v>
      </c>
      <c r="R248" s="756">
        <v>-1132177.7923276087</v>
      </c>
      <c r="S248" s="453">
        <v>8.08</v>
      </c>
      <c r="T248" s="453">
        <v>7.94</v>
      </c>
      <c r="U248" s="453">
        <v>0.6</v>
      </c>
      <c r="V248" s="453">
        <v>0.6</v>
      </c>
      <c r="W248" s="453">
        <v>59</v>
      </c>
      <c r="X248" s="456">
        <v>59</v>
      </c>
      <c r="Y248" s="453">
        <v>45.98</v>
      </c>
      <c r="Z248" s="453">
        <v>35.14</v>
      </c>
      <c r="AA248" s="519">
        <v>46.460000000006403</v>
      </c>
      <c r="AB248" s="519">
        <v>34.75</v>
      </c>
      <c r="AC248" s="732">
        <f t="shared" si="3"/>
        <v>81.210000000006403</v>
      </c>
      <c r="AD248" s="664"/>
      <c r="AE248" s="664"/>
      <c r="AF248" s="664"/>
      <c r="AG248" s="664"/>
      <c r="AH248" s="664"/>
      <c r="AI248" s="664"/>
      <c r="AJ248" s="485"/>
      <c r="AK248" s="485"/>
      <c r="AL248" s="485"/>
      <c r="AM248" s="485"/>
      <c r="AN248" s="485"/>
      <c r="AO248" s="665"/>
      <c r="AP248" s="485"/>
      <c r="AQ248" s="483"/>
      <c r="AR248" s="755">
        <v>0</v>
      </c>
      <c r="AS248" s="483">
        <v>20</v>
      </c>
      <c r="AT248" s="755">
        <v>0</v>
      </c>
      <c r="AU248" s="483">
        <v>46.7</v>
      </c>
      <c r="AV248" s="484">
        <v>766.8</v>
      </c>
      <c r="AW248" s="484">
        <v>975.9</v>
      </c>
      <c r="AX248" s="453">
        <v>35.1</v>
      </c>
      <c r="AY248" s="734">
        <v>0</v>
      </c>
      <c r="AZ248" s="734">
        <v>0</v>
      </c>
      <c r="BA248" s="734">
        <v>0</v>
      </c>
      <c r="BB248" s="453">
        <v>0</v>
      </c>
      <c r="BC248" s="453">
        <v>2.39</v>
      </c>
      <c r="BD248" s="453">
        <v>2.79</v>
      </c>
      <c r="BE248" s="734">
        <v>0</v>
      </c>
      <c r="BF248" s="453">
        <v>0.15</v>
      </c>
      <c r="BG248" s="453">
        <v>0</v>
      </c>
      <c r="BH248" s="734">
        <v>0</v>
      </c>
      <c r="BI248" s="453">
        <v>1.99</v>
      </c>
      <c r="BJ248" s="453">
        <v>27.8</v>
      </c>
      <c r="BK248" s="453">
        <v>5.34</v>
      </c>
      <c r="BL248" s="453">
        <v>6.72</v>
      </c>
      <c r="BM248" s="453">
        <v>0</v>
      </c>
      <c r="BN248" s="453">
        <v>15.7</v>
      </c>
      <c r="BO248" s="453">
        <v>2754.7</v>
      </c>
      <c r="BP248" s="453">
        <v>2.2999999999999998</v>
      </c>
      <c r="BQ248" s="453">
        <v>18.84</v>
      </c>
      <c r="BR248" s="453">
        <v>18.8</v>
      </c>
      <c r="BS248" s="453">
        <v>0</v>
      </c>
      <c r="BT248" s="453">
        <v>44.2</v>
      </c>
      <c r="BU248" s="453">
        <v>36.6</v>
      </c>
      <c r="BV248" s="456">
        <v>931.6</v>
      </c>
      <c r="BW248" s="453">
        <v>1.18</v>
      </c>
      <c r="BX248" s="453">
        <v>1.31</v>
      </c>
      <c r="BY248" s="456">
        <v>0.89</v>
      </c>
      <c r="BZ248" s="456">
        <v>19.600000000000001</v>
      </c>
      <c r="CA248" s="456">
        <v>36</v>
      </c>
      <c r="CB248" s="456">
        <v>17.39</v>
      </c>
      <c r="CC248" s="456">
        <v>10.199999999999999</v>
      </c>
      <c r="CD248" s="456">
        <v>14.36</v>
      </c>
      <c r="CE248" s="456">
        <v>18.7</v>
      </c>
      <c r="CF248" s="456">
        <v>13.44</v>
      </c>
      <c r="CG248" s="456">
        <v>0</v>
      </c>
      <c r="CH248" s="456">
        <v>7.5</v>
      </c>
      <c r="CI248" s="456">
        <v>11.3</v>
      </c>
      <c r="CJ248" s="456">
        <v>941.4</v>
      </c>
      <c r="CK248" s="456">
        <v>878.7</v>
      </c>
      <c r="CL248" s="456">
        <v>723.5</v>
      </c>
      <c r="CM248" s="456">
        <v>4.9000000000000004</v>
      </c>
      <c r="CN248" s="456">
        <v>1.43</v>
      </c>
      <c r="CO248" s="453">
        <v>6268.3</v>
      </c>
      <c r="CP248" s="453">
        <v>16.690000000000001</v>
      </c>
      <c r="CQ248" s="453">
        <v>58</v>
      </c>
      <c r="CR248" s="456">
        <v>0</v>
      </c>
      <c r="CS248" s="456">
        <v>0</v>
      </c>
      <c r="CT248" s="456">
        <v>0</v>
      </c>
      <c r="CU248" s="456">
        <v>0</v>
      </c>
      <c r="CV248" s="481">
        <v>279.91666666666669</v>
      </c>
      <c r="CW248" s="481">
        <v>313.40625</v>
      </c>
      <c r="CX248" s="481">
        <v>158.26041666666666</v>
      </c>
      <c r="CY248" s="481">
        <v>1154.9000000000001</v>
      </c>
      <c r="CZ248" s="456"/>
      <c r="DA248" s="456"/>
      <c r="DB248" s="456"/>
      <c r="DC248" s="456"/>
      <c r="DD248" s="456"/>
      <c r="DE248" s="456"/>
      <c r="DF248" s="456"/>
      <c r="DG248" s="425"/>
      <c r="DH248" s="456">
        <v>33</v>
      </c>
      <c r="DI248" s="456">
        <v>0.16</v>
      </c>
      <c r="DJ248" s="456">
        <v>0</v>
      </c>
      <c r="DK248" s="425"/>
      <c r="DL248" s="456"/>
      <c r="DM248" s="456"/>
      <c r="DN248" s="456"/>
      <c r="DO248" s="456"/>
      <c r="DP248" s="456"/>
      <c r="DQ248" s="456"/>
      <c r="DR248" s="456"/>
      <c r="DS248" s="456"/>
      <c r="DT248" s="456"/>
      <c r="DU248" s="456"/>
      <c r="DV248" s="456"/>
      <c r="DW248" s="456"/>
      <c r="DX248" s="456"/>
      <c r="DY248" s="456"/>
      <c r="DZ248" s="456"/>
      <c r="EA248" s="456"/>
      <c r="EB248" s="456"/>
      <c r="EC248" s="456"/>
      <c r="ED248" s="456">
        <v>0</v>
      </c>
      <c r="EE248" s="456">
        <v>2</v>
      </c>
      <c r="EF248" s="456">
        <v>5.5</v>
      </c>
      <c r="EG248" s="456">
        <v>12</v>
      </c>
      <c r="EH248" s="423">
        <v>0</v>
      </c>
      <c r="EI248" s="456"/>
      <c r="EJ248" s="456"/>
      <c r="EK248" s="456"/>
      <c r="EL248" s="456"/>
      <c r="EM248" s="456"/>
      <c r="EN248" s="456"/>
      <c r="EO248" s="425"/>
      <c r="EP248" s="425"/>
      <c r="EQ248" s="425" t="s">
        <v>743</v>
      </c>
      <c r="ER248" s="425">
        <v>1</v>
      </c>
      <c r="ES248" s="425">
        <v>6</v>
      </c>
      <c r="ET248" s="425">
        <v>600</v>
      </c>
      <c r="EU248" s="457">
        <v>4000</v>
      </c>
      <c r="EV248" s="425">
        <v>175</v>
      </c>
      <c r="EW248" s="425">
        <v>7200784</v>
      </c>
      <c r="EX248" s="425">
        <v>16097</v>
      </c>
      <c r="EY248" s="666">
        <v>19.2</v>
      </c>
      <c r="EZ248" s="666">
        <v>19.2</v>
      </c>
      <c r="FA248" s="666">
        <v>0</v>
      </c>
      <c r="FB248" s="666">
        <v>1.35</v>
      </c>
      <c r="FC248" s="666">
        <v>1.33</v>
      </c>
      <c r="FD248" s="666">
        <v>0.96</v>
      </c>
      <c r="FE248" s="666">
        <v>0.95</v>
      </c>
      <c r="FF248" s="666">
        <v>160</v>
      </c>
      <c r="FG248" s="666">
        <v>0.79</v>
      </c>
      <c r="FH248" s="666">
        <v>0.38</v>
      </c>
      <c r="FI248" s="666">
        <v>0.69</v>
      </c>
      <c r="FJ248" s="666">
        <v>8</v>
      </c>
      <c r="FK248" s="666">
        <v>7.9</v>
      </c>
      <c r="FL248" s="666">
        <v>7.86</v>
      </c>
      <c r="FM248" s="666">
        <v>7.5</v>
      </c>
      <c r="FN248" s="666">
        <v>0</v>
      </c>
    </row>
    <row r="249" spans="1:170" s="416" customFormat="1" ht="15">
      <c r="A249" s="425" t="s">
        <v>5</v>
      </c>
      <c r="B249" s="426">
        <v>40778</v>
      </c>
      <c r="C249" s="418">
        <v>0</v>
      </c>
      <c r="D249" s="518">
        <v>0.38</v>
      </c>
      <c r="E249" s="453">
        <v>0</v>
      </c>
      <c r="F249" s="453">
        <v>60</v>
      </c>
      <c r="G249" s="453">
        <v>0.3</v>
      </c>
      <c r="H249" s="519" t="s">
        <v>742</v>
      </c>
      <c r="I249" s="519">
        <v>92.7</v>
      </c>
      <c r="J249" s="483">
        <v>0.85</v>
      </c>
      <c r="K249" s="520">
        <v>0.81</v>
      </c>
      <c r="L249" s="453">
        <v>0</v>
      </c>
      <c r="M249" s="453" t="s">
        <v>742</v>
      </c>
      <c r="N249" s="453">
        <v>1.75</v>
      </c>
      <c r="O249" s="453">
        <v>2.1622365171443336</v>
      </c>
      <c r="P249" s="453">
        <v>1.65</v>
      </c>
      <c r="Q249" s="453">
        <v>2.2012102100822424</v>
      </c>
      <c r="R249" s="453">
        <v>1398.6213051519153</v>
      </c>
      <c r="S249" s="453">
        <v>8.02</v>
      </c>
      <c r="T249" s="453">
        <v>7.86</v>
      </c>
      <c r="U249" s="453">
        <v>0.6</v>
      </c>
      <c r="V249" s="453">
        <v>0.6</v>
      </c>
      <c r="W249" s="453">
        <v>59</v>
      </c>
      <c r="X249" s="456">
        <v>59</v>
      </c>
      <c r="Y249" s="453">
        <v>45.83</v>
      </c>
      <c r="Z249" s="453">
        <v>34.880000000000003</v>
      </c>
      <c r="AA249" s="519">
        <v>46</v>
      </c>
      <c r="AB249" s="519">
        <v>31</v>
      </c>
      <c r="AC249" s="732">
        <f t="shared" si="3"/>
        <v>77</v>
      </c>
      <c r="AD249" s="664"/>
      <c r="AE249" s="664"/>
      <c r="AF249" s="664"/>
      <c r="AG249" s="664"/>
      <c r="AH249" s="664"/>
      <c r="AI249" s="664"/>
      <c r="AJ249" s="485"/>
      <c r="AK249" s="485"/>
      <c r="AL249" s="485"/>
      <c r="AM249" s="485"/>
      <c r="AN249" s="485"/>
      <c r="AO249" s="665"/>
      <c r="AP249" s="485"/>
      <c r="AQ249" s="483"/>
      <c r="AR249" s="755">
        <v>0</v>
      </c>
      <c r="AS249" s="483">
        <v>71.7</v>
      </c>
      <c r="AT249" s="755">
        <v>0</v>
      </c>
      <c r="AU249" s="483">
        <v>46.1</v>
      </c>
      <c r="AV249" s="484">
        <v>568</v>
      </c>
      <c r="AW249" s="484">
        <v>717.1</v>
      </c>
      <c r="AX249" s="453">
        <v>29.6</v>
      </c>
      <c r="AY249" s="734">
        <v>0</v>
      </c>
      <c r="AZ249" s="734">
        <v>0</v>
      </c>
      <c r="BA249" s="734">
        <v>0</v>
      </c>
      <c r="BB249" s="453">
        <v>0</v>
      </c>
      <c r="BC249" s="453">
        <v>2.0499999999999998</v>
      </c>
      <c r="BD249" s="453">
        <v>1.63</v>
      </c>
      <c r="BE249" s="734">
        <v>0</v>
      </c>
      <c r="BF249" s="453">
        <v>0</v>
      </c>
      <c r="BG249" s="453">
        <v>0</v>
      </c>
      <c r="BH249" s="734">
        <v>0</v>
      </c>
      <c r="BI249" s="453">
        <v>1.98</v>
      </c>
      <c r="BJ249" s="453">
        <v>25.2</v>
      </c>
      <c r="BK249" s="453">
        <v>3.62</v>
      </c>
      <c r="BL249" s="453">
        <v>7.73</v>
      </c>
      <c r="BM249" s="453">
        <v>0</v>
      </c>
      <c r="BN249" s="453">
        <v>13.9</v>
      </c>
      <c r="BO249" s="453">
        <v>2236.8000000000002</v>
      </c>
      <c r="BP249" s="453">
        <v>42.8</v>
      </c>
      <c r="BQ249" s="453">
        <v>19.899999999999999</v>
      </c>
      <c r="BR249" s="453">
        <v>19.899999999999999</v>
      </c>
      <c r="BS249" s="453">
        <v>0</v>
      </c>
      <c r="BT249" s="453">
        <v>44.5</v>
      </c>
      <c r="BU249" s="453">
        <v>35.9</v>
      </c>
      <c r="BV249" s="456">
        <v>916.7</v>
      </c>
      <c r="BW249" s="453">
        <v>0.8</v>
      </c>
      <c r="BX249" s="453">
        <v>1.31</v>
      </c>
      <c r="BY249" s="456">
        <v>0.89</v>
      </c>
      <c r="BZ249" s="456">
        <v>19.8</v>
      </c>
      <c r="CA249" s="456">
        <v>35.700000000000003</v>
      </c>
      <c r="CB249" s="456">
        <v>18.2</v>
      </c>
      <c r="CC249" s="456">
        <v>9.67</v>
      </c>
      <c r="CD249" s="456">
        <v>13.9</v>
      </c>
      <c r="CE249" s="456">
        <v>18</v>
      </c>
      <c r="CF249" s="456">
        <v>12.24</v>
      </c>
      <c r="CG249" s="456">
        <v>0</v>
      </c>
      <c r="CH249" s="456">
        <v>7.9</v>
      </c>
      <c r="CI249" s="456">
        <v>12.6</v>
      </c>
      <c r="CJ249" s="456">
        <v>752.5</v>
      </c>
      <c r="CK249" s="456">
        <v>761.9</v>
      </c>
      <c r="CL249" s="456">
        <v>703.9</v>
      </c>
      <c r="CM249" s="456">
        <v>4.4000000000000004</v>
      </c>
      <c r="CN249" s="416">
        <v>1.43</v>
      </c>
      <c r="CO249" s="453">
        <v>5541.6</v>
      </c>
      <c r="CP249" s="453">
        <v>17.36</v>
      </c>
      <c r="CQ249" s="453">
        <v>58</v>
      </c>
      <c r="CR249" s="456">
        <v>0</v>
      </c>
      <c r="CS249" s="456">
        <v>0</v>
      </c>
      <c r="CT249" s="456">
        <v>0</v>
      </c>
      <c r="CU249" s="456">
        <v>0</v>
      </c>
      <c r="CV249" s="481">
        <v>279.91666666666669</v>
      </c>
      <c r="CW249" s="481">
        <v>316.60416666666669</v>
      </c>
      <c r="CX249" s="481">
        <v>166.57291666666666</v>
      </c>
      <c r="CY249" s="481">
        <v>1154.81</v>
      </c>
      <c r="CZ249" s="456"/>
      <c r="DA249" s="456"/>
      <c r="DB249" s="456"/>
      <c r="DC249" s="456"/>
      <c r="DD249" s="456"/>
      <c r="DE249" s="456"/>
      <c r="DF249" s="456"/>
      <c r="DG249" s="425"/>
      <c r="DH249" s="456">
        <v>61</v>
      </c>
      <c r="DI249" s="456">
        <v>0.1</v>
      </c>
      <c r="DJ249" s="456">
        <v>0</v>
      </c>
      <c r="DK249" s="425"/>
      <c r="DL249" s="456"/>
      <c r="DM249" s="456"/>
      <c r="DN249" s="456"/>
      <c r="DO249" s="456"/>
      <c r="DP249" s="456"/>
      <c r="DQ249" s="456"/>
      <c r="DR249" s="456"/>
      <c r="DS249" s="456"/>
      <c r="DT249" s="456"/>
      <c r="DU249" s="456"/>
      <c r="DV249" s="456"/>
      <c r="DW249" s="456"/>
      <c r="DX249" s="456"/>
      <c r="DY249" s="456"/>
      <c r="DZ249" s="456"/>
      <c r="EA249" s="456"/>
      <c r="EB249" s="456"/>
      <c r="EC249" s="456"/>
      <c r="ED249" s="456">
        <v>0</v>
      </c>
      <c r="EE249" s="456">
        <v>2</v>
      </c>
      <c r="EF249" s="456">
        <v>5.5</v>
      </c>
      <c r="EG249" s="456">
        <v>12</v>
      </c>
      <c r="EH249" s="423">
        <v>0</v>
      </c>
      <c r="EI249" s="456"/>
      <c r="EJ249" s="456"/>
      <c r="EK249" s="456"/>
      <c r="EL249" s="456"/>
      <c r="EM249" s="456"/>
      <c r="EN249" s="456"/>
      <c r="EO249" s="425"/>
      <c r="EP249" s="425"/>
      <c r="EQ249" s="425" t="s">
        <v>743</v>
      </c>
      <c r="ER249" s="425">
        <v>1</v>
      </c>
      <c r="ES249" s="425">
        <v>6</v>
      </c>
      <c r="ET249" s="425">
        <v>420</v>
      </c>
      <c r="EU249" s="457">
        <v>4000</v>
      </c>
      <c r="EV249" s="425">
        <v>200</v>
      </c>
      <c r="EW249" s="425">
        <v>7205385</v>
      </c>
      <c r="EX249" s="425">
        <v>16857</v>
      </c>
      <c r="EY249" s="666">
        <v>18.97</v>
      </c>
      <c r="EZ249" s="666">
        <v>18.96</v>
      </c>
      <c r="FA249" s="666">
        <v>0</v>
      </c>
      <c r="FB249" s="666">
        <v>1.25</v>
      </c>
      <c r="FC249" s="666">
        <v>1.18</v>
      </c>
      <c r="FD249" s="666">
        <v>0.91300000000000003</v>
      </c>
      <c r="FE249" s="666">
        <v>0.98</v>
      </c>
      <c r="FF249" s="666">
        <v>180</v>
      </c>
      <c r="FG249" s="666">
        <v>1.67</v>
      </c>
      <c r="FH249" s="666">
        <v>0.38100000000000001</v>
      </c>
      <c r="FI249" s="666">
        <v>0.86</v>
      </c>
      <c r="FJ249" s="666">
        <v>10.039999999999999</v>
      </c>
      <c r="FK249" s="666">
        <v>7.9</v>
      </c>
      <c r="FL249" s="666">
        <v>7.79</v>
      </c>
      <c r="FM249" s="666">
        <v>7.7</v>
      </c>
      <c r="FN249" s="666">
        <v>0</v>
      </c>
    </row>
    <row r="250" spans="1:170" s="416" customFormat="1" ht="15">
      <c r="A250" s="425" t="s">
        <v>6</v>
      </c>
      <c r="B250" s="426">
        <v>40779</v>
      </c>
      <c r="C250" s="418">
        <v>0</v>
      </c>
      <c r="D250" s="518">
        <v>0</v>
      </c>
      <c r="E250" s="453">
        <v>0</v>
      </c>
      <c r="F250" s="453">
        <v>63</v>
      </c>
      <c r="G250" s="453">
        <v>0.4</v>
      </c>
      <c r="H250" s="519">
        <v>1.05</v>
      </c>
      <c r="I250" s="519">
        <v>93.2</v>
      </c>
      <c r="J250" s="483">
        <v>0.71</v>
      </c>
      <c r="K250" s="520">
        <v>0.67</v>
      </c>
      <c r="L250" s="453">
        <v>0</v>
      </c>
      <c r="M250" s="453" t="s">
        <v>742</v>
      </c>
      <c r="N250" s="453">
        <v>1.68</v>
      </c>
      <c r="O250" s="453">
        <v>2.0048990227561618</v>
      </c>
      <c r="P250" s="453">
        <v>1.61</v>
      </c>
      <c r="Q250" s="453">
        <v>2.068965517241506</v>
      </c>
      <c r="R250" s="453">
        <v>1258.0465838837515</v>
      </c>
      <c r="S250" s="453">
        <v>8.01</v>
      </c>
      <c r="T250" s="453">
        <v>7.85</v>
      </c>
      <c r="U250" s="453" t="s">
        <v>742</v>
      </c>
      <c r="V250" s="453">
        <v>0.66</v>
      </c>
      <c r="W250" s="453">
        <v>58.819999999999993</v>
      </c>
      <c r="X250" s="456">
        <v>58.819999999999993</v>
      </c>
      <c r="Y250" s="453">
        <v>41.78</v>
      </c>
      <c r="Z250" s="453">
        <v>24.98</v>
      </c>
      <c r="AA250" s="519">
        <v>44.899999999994179</v>
      </c>
      <c r="AB250" s="519">
        <v>28.25</v>
      </c>
      <c r="AC250" s="732">
        <f t="shared" si="3"/>
        <v>73.149999999994179</v>
      </c>
      <c r="AD250" s="664"/>
      <c r="AE250" s="664"/>
      <c r="AF250" s="664"/>
      <c r="AG250" s="664"/>
      <c r="AH250" s="664"/>
      <c r="AI250" s="664"/>
      <c r="AJ250" s="485"/>
      <c r="AK250" s="485"/>
      <c r="AL250" s="485"/>
      <c r="AM250" s="485"/>
      <c r="AN250" s="485"/>
      <c r="AO250" s="665"/>
      <c r="AP250" s="485"/>
      <c r="AQ250" s="483"/>
      <c r="AR250" s="755">
        <v>0</v>
      </c>
      <c r="AS250" s="483">
        <v>38</v>
      </c>
      <c r="AT250" s="755">
        <v>0</v>
      </c>
      <c r="AU250" s="483">
        <v>44.8</v>
      </c>
      <c r="AV250" s="484">
        <v>789.8</v>
      </c>
      <c r="AW250" s="484">
        <v>999.4</v>
      </c>
      <c r="AX250" s="453">
        <v>44.2</v>
      </c>
      <c r="AY250" s="734">
        <v>0</v>
      </c>
      <c r="AZ250" s="734">
        <v>0</v>
      </c>
      <c r="BA250" s="734">
        <v>0</v>
      </c>
      <c r="BB250" s="453">
        <v>0</v>
      </c>
      <c r="BC250" s="453">
        <v>2.19</v>
      </c>
      <c r="BD250" s="453">
        <v>1.7</v>
      </c>
      <c r="BE250" s="734">
        <v>0</v>
      </c>
      <c r="BF250" s="453">
        <v>0</v>
      </c>
      <c r="BG250" s="453">
        <v>0</v>
      </c>
      <c r="BH250" s="734">
        <v>0</v>
      </c>
      <c r="BI250" s="453">
        <v>1.93</v>
      </c>
      <c r="BJ250" s="453">
        <v>22.2</v>
      </c>
      <c r="BK250" s="453">
        <v>4.5</v>
      </c>
      <c r="BL250" s="453">
        <v>7.02</v>
      </c>
      <c r="BM250" s="453">
        <v>0</v>
      </c>
      <c r="BN250" s="453">
        <v>10.7</v>
      </c>
      <c r="BO250" s="453">
        <v>3170.2</v>
      </c>
      <c r="BP250" s="453">
        <v>0</v>
      </c>
      <c r="BQ250" s="453">
        <v>19</v>
      </c>
      <c r="BR250" s="453">
        <v>19</v>
      </c>
      <c r="BS250" s="453">
        <v>0</v>
      </c>
      <c r="BT250" s="453">
        <v>43.1</v>
      </c>
      <c r="BU250" s="453">
        <v>44</v>
      </c>
      <c r="BV250" s="456">
        <v>984</v>
      </c>
      <c r="BW250" s="756">
        <v>7.7</v>
      </c>
      <c r="BX250" s="453">
        <v>1.27</v>
      </c>
      <c r="BY250" s="456">
        <v>0.89</v>
      </c>
      <c r="BZ250" s="456">
        <v>19.399999999999999</v>
      </c>
      <c r="CA250" s="456">
        <v>34.299999999999997</v>
      </c>
      <c r="CB250" s="456">
        <v>17.57</v>
      </c>
      <c r="CC250" s="456">
        <v>10.6</v>
      </c>
      <c r="CD250" s="456">
        <v>14.8</v>
      </c>
      <c r="CE250" s="456">
        <v>18.93</v>
      </c>
      <c r="CF250" s="456">
        <v>12.49</v>
      </c>
      <c r="CG250" s="456">
        <v>0</v>
      </c>
      <c r="CH250" s="456">
        <v>7.6</v>
      </c>
      <c r="CI250" s="456">
        <v>12.8</v>
      </c>
      <c r="CJ250" s="456">
        <v>1122.7</v>
      </c>
      <c r="CK250" s="456">
        <v>971</v>
      </c>
      <c r="CL250" s="456">
        <v>747.9</v>
      </c>
      <c r="CM250" s="456">
        <v>4</v>
      </c>
      <c r="CN250" s="416">
        <v>1.41</v>
      </c>
      <c r="CO250" s="453">
        <v>6321.6</v>
      </c>
      <c r="CP250" s="453">
        <v>17.309999999999999</v>
      </c>
      <c r="CQ250" s="453">
        <v>58</v>
      </c>
      <c r="CR250" s="456">
        <v>0</v>
      </c>
      <c r="CS250" s="456">
        <v>0</v>
      </c>
      <c r="CT250" s="456">
        <v>0</v>
      </c>
      <c r="CU250" s="456">
        <v>0</v>
      </c>
      <c r="CV250" s="481">
        <v>260</v>
      </c>
      <c r="CW250" s="481">
        <v>318.63541666666669</v>
      </c>
      <c r="CX250" s="481">
        <v>163.46875</v>
      </c>
      <c r="CY250" s="481">
        <v>1154.6600000000001</v>
      </c>
      <c r="CZ250" s="456"/>
      <c r="DA250" s="456"/>
      <c r="DB250" s="456"/>
      <c r="DC250" s="456"/>
      <c r="DD250" s="456"/>
      <c r="DE250" s="456"/>
      <c r="DF250" s="456"/>
      <c r="DG250" s="425"/>
      <c r="DH250" s="456">
        <v>58</v>
      </c>
      <c r="DI250" s="456">
        <v>0.22</v>
      </c>
      <c r="DJ250" s="456">
        <v>0</v>
      </c>
      <c r="DK250" s="425"/>
      <c r="DL250" s="456"/>
      <c r="DM250" s="456"/>
      <c r="DN250" s="456"/>
      <c r="DO250" s="456"/>
      <c r="DP250" s="456"/>
      <c r="DQ250" s="456"/>
      <c r="DR250" s="456"/>
      <c r="DS250" s="456"/>
      <c r="DT250" s="456"/>
      <c r="DU250" s="456"/>
      <c r="DV250" s="456"/>
      <c r="DW250" s="456"/>
      <c r="DX250" s="456"/>
      <c r="DY250" s="456"/>
      <c r="DZ250" s="456"/>
      <c r="EA250" s="456"/>
      <c r="EB250" s="456"/>
      <c r="EC250" s="456"/>
      <c r="ED250" s="456">
        <v>0</v>
      </c>
      <c r="EE250" s="456">
        <v>2</v>
      </c>
      <c r="EF250" s="456">
        <v>5.5</v>
      </c>
      <c r="EG250" s="456">
        <v>12</v>
      </c>
      <c r="EH250" s="423">
        <v>0</v>
      </c>
      <c r="EI250" s="456"/>
      <c r="EJ250" s="456"/>
      <c r="EK250" s="456"/>
      <c r="EL250" s="456"/>
      <c r="EM250" s="456"/>
      <c r="EN250" s="456"/>
      <c r="EO250" s="425"/>
      <c r="EP250" s="425"/>
      <c r="EQ250" s="425" t="s">
        <v>743</v>
      </c>
      <c r="ER250" s="425">
        <v>1</v>
      </c>
      <c r="ES250" s="425">
        <v>6</v>
      </c>
      <c r="ET250" s="425">
        <v>230</v>
      </c>
      <c r="EU250" s="457">
        <v>4000</v>
      </c>
      <c r="EV250" s="425">
        <v>225</v>
      </c>
      <c r="EW250" s="425">
        <v>7209590</v>
      </c>
      <c r="EX250" s="425">
        <v>17512</v>
      </c>
      <c r="EY250" s="666">
        <v>18.55</v>
      </c>
      <c r="EZ250" s="666">
        <v>18.52</v>
      </c>
      <c r="FA250" s="666">
        <v>0</v>
      </c>
      <c r="FB250" s="666">
        <v>1.28</v>
      </c>
      <c r="FC250" s="666">
        <v>1.26</v>
      </c>
      <c r="FD250" s="666">
        <v>0.95</v>
      </c>
      <c r="FE250" s="666">
        <v>0.98</v>
      </c>
      <c r="FF250" s="666">
        <v>190</v>
      </c>
      <c r="FG250" s="666">
        <v>1.1200000000000001</v>
      </c>
      <c r="FH250" s="666">
        <v>0.33700000000000002</v>
      </c>
      <c r="FI250" s="666">
        <v>1.08</v>
      </c>
      <c r="FJ250" s="666">
        <v>7.9</v>
      </c>
      <c r="FK250" s="666">
        <v>8</v>
      </c>
      <c r="FL250" s="666">
        <v>7.87</v>
      </c>
      <c r="FM250" s="666">
        <v>7.3</v>
      </c>
      <c r="FN250" s="666">
        <v>0</v>
      </c>
    </row>
    <row r="251" spans="1:170" s="416" customFormat="1" ht="15">
      <c r="A251" s="425" t="s">
        <v>7</v>
      </c>
      <c r="B251" s="426">
        <v>40780</v>
      </c>
      <c r="C251" s="418">
        <v>0</v>
      </c>
      <c r="D251" s="518">
        <v>0</v>
      </c>
      <c r="E251" s="453">
        <v>0</v>
      </c>
      <c r="F251" s="453">
        <v>61</v>
      </c>
      <c r="G251" s="453">
        <v>0.3</v>
      </c>
      <c r="H251" s="519">
        <v>1.26</v>
      </c>
      <c r="I251" s="519">
        <v>93.3</v>
      </c>
      <c r="J251" s="483">
        <v>0.75</v>
      </c>
      <c r="K251" s="520">
        <v>0.67</v>
      </c>
      <c r="L251" s="453">
        <v>0</v>
      </c>
      <c r="M251" s="453" t="s">
        <v>742</v>
      </c>
      <c r="N251" s="453">
        <v>1.68</v>
      </c>
      <c r="O251" s="453">
        <v>2.0744438339510087</v>
      </c>
      <c r="P251" s="453">
        <v>1.6</v>
      </c>
      <c r="Q251" s="453">
        <v>2.1423275237567641</v>
      </c>
      <c r="R251" s="453">
        <v>1374.9762483487448</v>
      </c>
      <c r="S251" s="453">
        <v>7.97</v>
      </c>
      <c r="T251" s="453">
        <v>7.88</v>
      </c>
      <c r="U251" s="453">
        <v>0.62</v>
      </c>
      <c r="V251" s="453">
        <v>0.64</v>
      </c>
      <c r="W251" s="453">
        <v>57.56</v>
      </c>
      <c r="X251" s="456">
        <v>57.38000000000001</v>
      </c>
      <c r="Y251" s="453">
        <v>47.24</v>
      </c>
      <c r="Z251" s="453">
        <v>29.88</v>
      </c>
      <c r="AA251" s="519">
        <v>47.150000000008731</v>
      </c>
      <c r="AB251" s="519">
        <v>31.029999999998836</v>
      </c>
      <c r="AC251" s="732">
        <f t="shared" si="3"/>
        <v>78.180000000007567</v>
      </c>
      <c r="AD251" s="664"/>
      <c r="AE251" s="664"/>
      <c r="AF251" s="664"/>
      <c r="AG251" s="664"/>
      <c r="AH251" s="664"/>
      <c r="AI251" s="664"/>
      <c r="AJ251" s="485"/>
      <c r="AK251" s="485"/>
      <c r="AL251" s="485"/>
      <c r="AM251" s="485"/>
      <c r="AN251" s="485"/>
      <c r="AO251" s="665"/>
      <c r="AP251" s="485"/>
      <c r="AQ251" s="483"/>
      <c r="AR251" s="755">
        <v>0</v>
      </c>
      <c r="AS251" s="483">
        <v>38.5</v>
      </c>
      <c r="AT251" s="755">
        <v>0</v>
      </c>
      <c r="AU251" s="483">
        <v>46.6</v>
      </c>
      <c r="AV251" s="484">
        <v>813.9</v>
      </c>
      <c r="AW251" s="484">
        <v>1059.5999999999999</v>
      </c>
      <c r="AX251" s="453">
        <v>40.6</v>
      </c>
      <c r="AY251" s="734">
        <v>0</v>
      </c>
      <c r="AZ251" s="734">
        <v>0</v>
      </c>
      <c r="BA251" s="734">
        <v>0</v>
      </c>
      <c r="BB251" s="453">
        <v>0</v>
      </c>
      <c r="BC251" s="453">
        <v>2.5</v>
      </c>
      <c r="BD251" s="453">
        <v>2.34</v>
      </c>
      <c r="BE251" s="734">
        <v>0</v>
      </c>
      <c r="BF251" s="453">
        <v>0</v>
      </c>
      <c r="BG251" s="453">
        <v>0</v>
      </c>
      <c r="BH251" s="734">
        <v>0</v>
      </c>
      <c r="BI251" s="453">
        <v>1.98</v>
      </c>
      <c r="BJ251" s="453">
        <v>24.5</v>
      </c>
      <c r="BK251" s="453">
        <v>4.83</v>
      </c>
      <c r="BL251" s="453">
        <v>7.22</v>
      </c>
      <c r="BM251" s="453">
        <v>0</v>
      </c>
      <c r="BN251" s="453">
        <v>12.4</v>
      </c>
      <c r="BO251" s="453">
        <v>2815.6</v>
      </c>
      <c r="BP251" s="453">
        <v>0</v>
      </c>
      <c r="BQ251" s="453">
        <v>18.2</v>
      </c>
      <c r="BR251" s="453">
        <v>18.2</v>
      </c>
      <c r="BS251" s="453">
        <v>0</v>
      </c>
      <c r="BT251" s="453">
        <v>45.1</v>
      </c>
      <c r="BU251" s="453">
        <v>45.2</v>
      </c>
      <c r="BV251" s="456">
        <v>1245.8</v>
      </c>
      <c r="BW251" s="453">
        <v>0.63</v>
      </c>
      <c r="BX251" s="453">
        <v>1.28</v>
      </c>
      <c r="BY251" s="456">
        <v>0.89</v>
      </c>
      <c r="BZ251" s="456">
        <v>19.5</v>
      </c>
      <c r="CA251" s="456">
        <v>34</v>
      </c>
      <c r="CB251" s="456">
        <v>17.579999999999998</v>
      </c>
      <c r="CC251" s="456">
        <v>8.8699999999999992</v>
      </c>
      <c r="CD251" s="456">
        <v>13.09</v>
      </c>
      <c r="CE251" s="456">
        <v>17.2</v>
      </c>
      <c r="CF251" s="456">
        <v>12.25</v>
      </c>
      <c r="CG251" s="456">
        <v>0</v>
      </c>
      <c r="CH251" s="456">
        <v>7.9</v>
      </c>
      <c r="CI251" s="456">
        <v>13</v>
      </c>
      <c r="CJ251" s="456">
        <v>1185.7</v>
      </c>
      <c r="CK251" s="456">
        <v>1009.6</v>
      </c>
      <c r="CL251" s="456">
        <v>759.6</v>
      </c>
      <c r="CM251" s="456">
        <v>4.7</v>
      </c>
      <c r="CN251" s="416">
        <v>1.48</v>
      </c>
      <c r="CO251" s="453">
        <v>6322.64</v>
      </c>
      <c r="CP251" s="453">
        <v>17.7</v>
      </c>
      <c r="CQ251" s="453">
        <v>59</v>
      </c>
      <c r="CR251" s="456">
        <v>0</v>
      </c>
      <c r="CS251" s="456">
        <v>0</v>
      </c>
      <c r="CT251" s="456">
        <v>0</v>
      </c>
      <c r="CU251" s="456">
        <v>0</v>
      </c>
      <c r="CV251" s="481">
        <v>260</v>
      </c>
      <c r="CW251" s="481">
        <v>299.375</v>
      </c>
      <c r="CX251" s="481">
        <v>153.26041666666666</v>
      </c>
      <c r="CY251" s="481">
        <v>1154.5</v>
      </c>
      <c r="CZ251" s="456"/>
      <c r="DA251" s="456"/>
      <c r="DB251" s="456"/>
      <c r="DC251" s="456"/>
      <c r="DD251" s="456"/>
      <c r="DE251" s="456"/>
      <c r="DF251" s="456"/>
      <c r="DG251" s="425"/>
      <c r="DH251" s="456">
        <v>59</v>
      </c>
      <c r="DI251" s="456">
        <v>0.23</v>
      </c>
      <c r="DJ251" s="456">
        <v>0</v>
      </c>
      <c r="DK251" s="425"/>
      <c r="DL251" s="456"/>
      <c r="DM251" s="456"/>
      <c r="DN251" s="456"/>
      <c r="DO251" s="456"/>
      <c r="DP251" s="456"/>
      <c r="DQ251" s="456"/>
      <c r="DR251" s="456"/>
      <c r="DS251" s="456"/>
      <c r="DT251" s="456"/>
      <c r="DU251" s="456"/>
      <c r="DV251" s="456"/>
      <c r="DW251" s="456"/>
      <c r="DX251" s="456"/>
      <c r="DY251" s="456"/>
      <c r="DZ251" s="456"/>
      <c r="EA251" s="456"/>
      <c r="EB251" s="456"/>
      <c r="EC251" s="456"/>
      <c r="ED251" s="456">
        <v>0</v>
      </c>
      <c r="EE251" s="456">
        <v>2</v>
      </c>
      <c r="EF251" s="456">
        <v>5.5</v>
      </c>
      <c r="EG251" s="456">
        <v>12</v>
      </c>
      <c r="EH251" s="423">
        <v>0</v>
      </c>
      <c r="EI251" s="456"/>
      <c r="EJ251" s="456"/>
      <c r="EK251" s="456"/>
      <c r="EL251" s="456"/>
      <c r="EM251" s="456"/>
      <c r="EN251" s="456"/>
      <c r="EO251" s="425"/>
      <c r="EP251" s="425"/>
      <c r="EQ251" s="425" t="s">
        <v>743</v>
      </c>
      <c r="ER251" s="425">
        <v>1</v>
      </c>
      <c r="ES251" s="425">
        <v>6</v>
      </c>
      <c r="ET251" s="425">
        <v>20</v>
      </c>
      <c r="EU251" s="457">
        <v>4000</v>
      </c>
      <c r="EV251" s="425">
        <v>185</v>
      </c>
      <c r="EW251" s="425">
        <v>7214219</v>
      </c>
      <c r="EX251" s="425">
        <v>18183</v>
      </c>
      <c r="EY251" s="666">
        <v>17.670000000000002</v>
      </c>
      <c r="EZ251" s="666">
        <v>17.66</v>
      </c>
      <c r="FA251" s="666">
        <v>0</v>
      </c>
      <c r="FB251" s="666">
        <v>1.31</v>
      </c>
      <c r="FC251" s="666">
        <v>1.28</v>
      </c>
      <c r="FD251" s="666">
        <v>0.93400000000000005</v>
      </c>
      <c r="FE251" s="666">
        <v>0.95</v>
      </c>
      <c r="FF251" s="666">
        <v>210</v>
      </c>
      <c r="FG251" s="666">
        <v>1.23</v>
      </c>
      <c r="FH251" s="666">
        <v>0.38600000000000001</v>
      </c>
      <c r="FI251" s="666">
        <v>0.94</v>
      </c>
      <c r="FJ251" s="666">
        <v>9.2799999999999994</v>
      </c>
      <c r="FK251" s="666">
        <v>7.6</v>
      </c>
      <c r="FL251" s="666">
        <v>7.88</v>
      </c>
      <c r="FM251" s="666">
        <v>7.7</v>
      </c>
      <c r="FN251" s="666">
        <v>0</v>
      </c>
    </row>
    <row r="252" spans="1:170" s="416" customFormat="1" ht="15">
      <c r="A252" s="425" t="s">
        <v>8</v>
      </c>
      <c r="B252" s="426">
        <v>40781</v>
      </c>
      <c r="C252" s="418">
        <v>0</v>
      </c>
      <c r="D252" s="518">
        <v>0</v>
      </c>
      <c r="E252" s="453">
        <v>0</v>
      </c>
      <c r="F252" s="453">
        <v>61</v>
      </c>
      <c r="G252" s="453">
        <v>0.3</v>
      </c>
      <c r="H252" s="519">
        <v>0.87</v>
      </c>
      <c r="I252" s="519">
        <v>93.8</v>
      </c>
      <c r="J252" s="483">
        <v>0.81</v>
      </c>
      <c r="K252" s="520">
        <v>0.68</v>
      </c>
      <c r="L252" s="453">
        <v>0</v>
      </c>
      <c r="M252" s="453" t="s">
        <v>742</v>
      </c>
      <c r="N252" s="453">
        <v>1.64</v>
      </c>
      <c r="O252" s="453">
        <v>2.1125180612552268</v>
      </c>
      <c r="P252" s="453">
        <v>1.64</v>
      </c>
      <c r="Q252" s="453">
        <v>2.2067310605598589</v>
      </c>
      <c r="R252" s="453">
        <v>1435.8703672391016</v>
      </c>
      <c r="S252" s="453">
        <v>8.0399999999999991</v>
      </c>
      <c r="T252" s="453">
        <v>7.98</v>
      </c>
      <c r="U252" s="453">
        <v>0.62</v>
      </c>
      <c r="V252" s="453">
        <v>0.61</v>
      </c>
      <c r="W252" s="453">
        <v>58.100000000000009</v>
      </c>
      <c r="X252" s="456">
        <v>58.100000000000009</v>
      </c>
      <c r="Y252" s="453">
        <v>47.74</v>
      </c>
      <c r="Z252" s="453">
        <v>33.049999999999997</v>
      </c>
      <c r="AA252" s="519">
        <v>47.05000000000291</v>
      </c>
      <c r="AB252" s="519">
        <v>32.870000000002619</v>
      </c>
      <c r="AC252" s="732">
        <f t="shared" si="3"/>
        <v>79.92000000000553</v>
      </c>
      <c r="AD252" s="664"/>
      <c r="AE252" s="664"/>
      <c r="AF252" s="664"/>
      <c r="AG252" s="664"/>
      <c r="AH252" s="664"/>
      <c r="AI252" s="664"/>
      <c r="AJ252" s="485"/>
      <c r="AK252" s="485"/>
      <c r="AL252" s="485"/>
      <c r="AM252" s="485"/>
      <c r="AN252" s="485"/>
      <c r="AO252" s="665"/>
      <c r="AP252" s="485"/>
      <c r="AQ252" s="483"/>
      <c r="AR252" s="755">
        <v>0</v>
      </c>
      <c r="AS252" s="483">
        <v>47</v>
      </c>
      <c r="AT252" s="755">
        <v>0</v>
      </c>
      <c r="AU252" s="483">
        <v>46.4</v>
      </c>
      <c r="AV252" s="484">
        <v>855.7</v>
      </c>
      <c r="AW252" s="484">
        <v>1098.5999999999999</v>
      </c>
      <c r="AX252" s="453">
        <v>57</v>
      </c>
      <c r="AY252" s="734">
        <v>0</v>
      </c>
      <c r="AZ252" s="734">
        <v>0</v>
      </c>
      <c r="BA252" s="734">
        <v>0</v>
      </c>
      <c r="BB252" s="453">
        <v>0</v>
      </c>
      <c r="BC252" s="453">
        <v>2.5</v>
      </c>
      <c r="BD252" s="453">
        <v>2.5</v>
      </c>
      <c r="BE252" s="734">
        <v>0</v>
      </c>
      <c r="BF252" s="453">
        <v>0</v>
      </c>
      <c r="BG252" s="453">
        <v>0</v>
      </c>
      <c r="BH252" s="734">
        <v>0</v>
      </c>
      <c r="BI252" s="453">
        <v>1.99</v>
      </c>
      <c r="BJ252" s="453">
        <v>26.1</v>
      </c>
      <c r="BK252" s="453">
        <v>4.83</v>
      </c>
      <c r="BL252" s="453">
        <v>7.22</v>
      </c>
      <c r="BM252" s="453">
        <v>0</v>
      </c>
      <c r="BN252" s="453">
        <v>14</v>
      </c>
      <c r="BO252" s="453">
        <v>3511.3</v>
      </c>
      <c r="BP252" s="453">
        <v>0</v>
      </c>
      <c r="BQ252" s="453">
        <v>17.899999999999999</v>
      </c>
      <c r="BR252" s="453">
        <v>17.899999999999999</v>
      </c>
      <c r="BS252" s="453">
        <v>0</v>
      </c>
      <c r="BT252" s="453">
        <v>45</v>
      </c>
      <c r="BU252" s="453">
        <v>42.8</v>
      </c>
      <c r="BV252" s="456">
        <v>1129.4000000000001</v>
      </c>
      <c r="BW252" s="453">
        <v>2.57</v>
      </c>
      <c r="BX252" s="453">
        <v>1.31</v>
      </c>
      <c r="BY252" s="456">
        <v>0.89</v>
      </c>
      <c r="BZ252" s="456">
        <v>19.2</v>
      </c>
      <c r="CA252" s="456">
        <v>34.200000000000003</v>
      </c>
      <c r="CB252" s="456">
        <v>18.100000000000001</v>
      </c>
      <c r="CC252" s="456">
        <v>10.4</v>
      </c>
      <c r="CD252" s="456">
        <v>14.6</v>
      </c>
      <c r="CE252" s="456">
        <v>18.8</v>
      </c>
      <c r="CF252" s="456">
        <v>12.9</v>
      </c>
      <c r="CG252" s="456">
        <v>0</v>
      </c>
      <c r="CH252" s="456">
        <v>7.1</v>
      </c>
      <c r="CI252" s="456">
        <v>12</v>
      </c>
      <c r="CJ252" s="456">
        <v>1186.2</v>
      </c>
      <c r="CK252" s="456">
        <v>1003.1</v>
      </c>
      <c r="CL252" s="456">
        <v>760</v>
      </c>
      <c r="CM252" s="456">
        <v>4.3</v>
      </c>
      <c r="CN252" s="456">
        <v>1.44</v>
      </c>
      <c r="CO252" s="453">
        <v>6299.16</v>
      </c>
      <c r="CP252" s="453">
        <v>16.45</v>
      </c>
      <c r="CQ252" s="453">
        <v>59</v>
      </c>
      <c r="CR252" s="456">
        <v>0</v>
      </c>
      <c r="CS252" s="456">
        <v>0</v>
      </c>
      <c r="CT252" s="456">
        <v>0</v>
      </c>
      <c r="CU252" s="456">
        <v>0</v>
      </c>
      <c r="CV252" s="481">
        <v>255.41666666666666</v>
      </c>
      <c r="CW252" s="481">
        <v>291.60416666666669</v>
      </c>
      <c r="CX252" s="481">
        <v>146.22916666666666</v>
      </c>
      <c r="CY252" s="481">
        <v>1154.32</v>
      </c>
      <c r="CZ252" s="456"/>
      <c r="DA252" s="456"/>
      <c r="DB252" s="456"/>
      <c r="DC252" s="456"/>
      <c r="DD252" s="456"/>
      <c r="DE252" s="456"/>
      <c r="DF252" s="456"/>
      <c r="DG252" s="425"/>
      <c r="DH252" s="456">
        <v>43</v>
      </c>
      <c r="DI252" s="456">
        <v>0.13</v>
      </c>
      <c r="DJ252" s="456">
        <v>0</v>
      </c>
      <c r="DK252" s="425"/>
      <c r="DL252" s="456"/>
      <c r="DM252" s="456"/>
      <c r="DN252" s="456"/>
      <c r="DO252" s="456"/>
      <c r="DP252" s="456"/>
      <c r="DQ252" s="456"/>
      <c r="DR252" s="456"/>
      <c r="DS252" s="456"/>
      <c r="DT252" s="456"/>
      <c r="DU252" s="456"/>
      <c r="DV252" s="456"/>
      <c r="DW252" s="456"/>
      <c r="DX252" s="456"/>
      <c r="DY252" s="456"/>
      <c r="DZ252" s="456"/>
      <c r="EA252" s="456"/>
      <c r="EB252" s="456"/>
      <c r="EC252" s="456"/>
      <c r="ED252" s="456">
        <v>0</v>
      </c>
      <c r="EE252" s="456">
        <v>2</v>
      </c>
      <c r="EF252" s="456">
        <v>5</v>
      </c>
      <c r="EG252" s="456">
        <v>12</v>
      </c>
      <c r="EH252" s="423">
        <v>0</v>
      </c>
      <c r="EI252" s="456"/>
      <c r="EJ252" s="456"/>
      <c r="EK252" s="456"/>
      <c r="EL252" s="456"/>
      <c r="EM252" s="456"/>
      <c r="EN252" s="456"/>
      <c r="EO252" s="425"/>
      <c r="EP252" s="425"/>
      <c r="EQ252" s="425" t="s">
        <v>743</v>
      </c>
      <c r="ER252" s="425">
        <v>1</v>
      </c>
      <c r="ES252" s="425">
        <v>4</v>
      </c>
      <c r="ET252" s="425">
        <v>-40</v>
      </c>
      <c r="EU252" s="457">
        <v>3960</v>
      </c>
      <c r="EV252" s="425">
        <v>215</v>
      </c>
      <c r="EW252" s="425">
        <v>7218166</v>
      </c>
      <c r="EX252" s="425">
        <v>18772</v>
      </c>
      <c r="EY252" s="666">
        <v>17.84</v>
      </c>
      <c r="EZ252" s="666">
        <v>17.829999999999998</v>
      </c>
      <c r="FA252" s="666">
        <v>0</v>
      </c>
      <c r="FB252" s="666">
        <v>1.31</v>
      </c>
      <c r="FC252" s="666">
        <v>1.29</v>
      </c>
      <c r="FD252" s="666">
        <v>0.94699999999999995</v>
      </c>
      <c r="FE252" s="666">
        <v>1.02</v>
      </c>
      <c r="FF252" s="666">
        <v>110</v>
      </c>
      <c r="FG252" s="666">
        <v>0.85</v>
      </c>
      <c r="FH252" s="666">
        <v>0.38400000000000001</v>
      </c>
      <c r="FI252" s="666">
        <v>1.08</v>
      </c>
      <c r="FJ252" s="666">
        <v>7.19</v>
      </c>
      <c r="FK252" s="666">
        <v>7.8</v>
      </c>
      <c r="FL252" s="666">
        <v>7.93</v>
      </c>
      <c r="FM252" s="666">
        <v>7.9</v>
      </c>
      <c r="FN252" s="666">
        <v>0</v>
      </c>
    </row>
    <row r="253" spans="1:170" s="416" customFormat="1" ht="15">
      <c r="A253" s="425" t="s">
        <v>9</v>
      </c>
      <c r="B253" s="426">
        <v>40782</v>
      </c>
      <c r="C253" s="418">
        <v>0</v>
      </c>
      <c r="D253" s="518">
        <v>0</v>
      </c>
      <c r="E253" s="453">
        <v>0</v>
      </c>
      <c r="F253" s="453">
        <v>60</v>
      </c>
      <c r="G253" s="453">
        <v>0.3</v>
      </c>
      <c r="H253" s="519" t="s">
        <v>742</v>
      </c>
      <c r="I253" s="519">
        <v>93.5</v>
      </c>
      <c r="J253" s="483">
        <v>0.88</v>
      </c>
      <c r="K253" s="520">
        <v>0.7</v>
      </c>
      <c r="L253" s="453">
        <v>0</v>
      </c>
      <c r="M253" s="453" t="s">
        <v>742</v>
      </c>
      <c r="N253" s="453">
        <v>1.64</v>
      </c>
      <c r="O253" s="453">
        <v>2.1184099915935724</v>
      </c>
      <c r="P253" s="453">
        <v>1.63</v>
      </c>
      <c r="Q253" s="453">
        <v>2.2454415720913179</v>
      </c>
      <c r="R253" s="453">
        <v>1468.9086657859971</v>
      </c>
      <c r="S253" s="453">
        <v>8.01</v>
      </c>
      <c r="T253" s="453">
        <v>7.89</v>
      </c>
      <c r="U253" s="453">
        <v>0.62</v>
      </c>
      <c r="V253" s="453">
        <v>0.62</v>
      </c>
      <c r="W253" s="453">
        <v>59</v>
      </c>
      <c r="X253" s="456">
        <v>57.2</v>
      </c>
      <c r="Y253" s="453">
        <v>47.59</v>
      </c>
      <c r="Z253" s="453">
        <v>33.56</v>
      </c>
      <c r="AA253" s="519">
        <v>47.899999999994179</v>
      </c>
      <c r="AB253" s="519">
        <v>32.849999999998545</v>
      </c>
      <c r="AC253" s="732">
        <f t="shared" si="3"/>
        <v>80.749999999992724</v>
      </c>
      <c r="AD253" s="664"/>
      <c r="AE253" s="664"/>
      <c r="AF253" s="664"/>
      <c r="AG253" s="664"/>
      <c r="AH253" s="664"/>
      <c r="AI253" s="664"/>
      <c r="AJ253" s="485"/>
      <c r="AK253" s="485"/>
      <c r="AL253" s="485"/>
      <c r="AM253" s="485"/>
      <c r="AN253" s="485"/>
      <c r="AO253" s="665"/>
      <c r="AP253" s="485"/>
      <c r="AQ253" s="483"/>
      <c r="AR253" s="755">
        <v>0</v>
      </c>
      <c r="AS253" s="483">
        <v>39.6</v>
      </c>
      <c r="AT253" s="755">
        <v>0</v>
      </c>
      <c r="AU253" s="483">
        <v>46.1</v>
      </c>
      <c r="AV253" s="484">
        <v>876</v>
      </c>
      <c r="AW253" s="484">
        <v>1133.2</v>
      </c>
      <c r="AX253" s="453">
        <v>59.9</v>
      </c>
      <c r="AY253" s="734">
        <v>0</v>
      </c>
      <c r="AZ253" s="734">
        <v>0</v>
      </c>
      <c r="BA253" s="734">
        <v>0</v>
      </c>
      <c r="BB253" s="453">
        <v>0</v>
      </c>
      <c r="BC253" s="453">
        <v>2.84</v>
      </c>
      <c r="BD253" s="453">
        <v>2.5</v>
      </c>
      <c r="BE253" s="734">
        <v>0</v>
      </c>
      <c r="BF253" s="453">
        <v>0</v>
      </c>
      <c r="BG253" s="453">
        <v>0</v>
      </c>
      <c r="BH253" s="734">
        <v>0</v>
      </c>
      <c r="BI253" s="453">
        <v>2</v>
      </c>
      <c r="BJ253" s="453">
        <v>25.8</v>
      </c>
      <c r="BK253" s="453">
        <v>4.83</v>
      </c>
      <c r="BL253" s="453">
        <v>7.22</v>
      </c>
      <c r="BM253" s="453">
        <v>0</v>
      </c>
      <c r="BN253" s="453">
        <v>13.7</v>
      </c>
      <c r="BO253" s="453">
        <v>3082.9</v>
      </c>
      <c r="BP253" s="453">
        <v>0</v>
      </c>
      <c r="BQ253" s="453">
        <v>17.7</v>
      </c>
      <c r="BR253" s="453">
        <v>17.8</v>
      </c>
      <c r="BS253" s="453">
        <v>0</v>
      </c>
      <c r="BT253" s="453">
        <v>44.9</v>
      </c>
      <c r="BU253" s="453">
        <v>42.1</v>
      </c>
      <c r="BV253" s="456">
        <v>1215.2</v>
      </c>
      <c r="BW253" s="453">
        <v>2.42</v>
      </c>
      <c r="BX253" s="453">
        <v>1.31</v>
      </c>
      <c r="BY253" s="456">
        <v>0.9</v>
      </c>
      <c r="BZ253" s="456">
        <v>19.399999999999999</v>
      </c>
      <c r="CA253" s="456">
        <v>33.4</v>
      </c>
      <c r="CB253" s="456">
        <v>19.399999999999999</v>
      </c>
      <c r="CC253" s="456">
        <v>9.9</v>
      </c>
      <c r="CD253" s="456">
        <v>14.1</v>
      </c>
      <c r="CE253" s="456">
        <v>18.3</v>
      </c>
      <c r="CF253" s="456">
        <v>12.64</v>
      </c>
      <c r="CG253" s="456">
        <v>0</v>
      </c>
      <c r="CH253" s="456">
        <v>7</v>
      </c>
      <c r="CI253" s="456">
        <v>11.6</v>
      </c>
      <c r="CJ253" s="456">
        <v>1057.4000000000001</v>
      </c>
      <c r="CK253" s="456">
        <v>1046.5999999999999</v>
      </c>
      <c r="CL253" s="456">
        <v>716.7</v>
      </c>
      <c r="CM253" s="456">
        <v>4.5999999999999996</v>
      </c>
      <c r="CN253" s="456">
        <v>1.34</v>
      </c>
      <c r="CO253" s="453">
        <v>6322.6</v>
      </c>
      <c r="CP253" s="453">
        <v>16.36</v>
      </c>
      <c r="CQ253" s="453">
        <v>59</v>
      </c>
      <c r="CR253" s="456">
        <v>0</v>
      </c>
      <c r="CS253" s="456">
        <v>0</v>
      </c>
      <c r="CT253" s="456">
        <v>0</v>
      </c>
      <c r="CU253" s="456">
        <v>0</v>
      </c>
      <c r="CV253" s="481">
        <v>250</v>
      </c>
      <c r="CW253" s="481">
        <v>281.70833333333331</v>
      </c>
      <c r="CX253" s="481">
        <v>139.69791666666666</v>
      </c>
      <c r="CY253" s="481">
        <v>1154.1600000000001</v>
      </c>
      <c r="CZ253" s="456"/>
      <c r="DA253" s="456"/>
      <c r="DB253" s="456"/>
      <c r="DC253" s="456"/>
      <c r="DD253" s="456"/>
      <c r="DE253" s="456"/>
      <c r="DF253" s="456"/>
      <c r="DG253" s="425"/>
      <c r="DH253" s="456">
        <v>59</v>
      </c>
      <c r="DI253" s="456">
        <v>0.17</v>
      </c>
      <c r="DJ253" s="456">
        <v>0</v>
      </c>
      <c r="DK253" s="425"/>
      <c r="DL253" s="456"/>
      <c r="DM253" s="456"/>
      <c r="DN253" s="456"/>
      <c r="DO253" s="456"/>
      <c r="DP253" s="456"/>
      <c r="DQ253" s="456"/>
      <c r="DR253" s="456"/>
      <c r="DS253" s="456"/>
      <c r="DT253" s="456"/>
      <c r="DU253" s="456"/>
      <c r="DV253" s="456"/>
      <c r="DW253" s="456"/>
      <c r="DX253" s="456"/>
      <c r="DY253" s="456"/>
      <c r="DZ253" s="456"/>
      <c r="EA253" s="456"/>
      <c r="EB253" s="456"/>
      <c r="EC253" s="456"/>
      <c r="ED253" s="456">
        <v>0</v>
      </c>
      <c r="EE253" s="456">
        <v>2</v>
      </c>
      <c r="EF253" s="456">
        <v>5.5</v>
      </c>
      <c r="EG253" s="456">
        <v>12</v>
      </c>
      <c r="EH253" s="423">
        <v>0</v>
      </c>
      <c r="EI253" s="456"/>
      <c r="EJ253" s="456"/>
      <c r="EK253" s="456"/>
      <c r="EL253" s="456"/>
      <c r="EM253" s="456"/>
      <c r="EN253" s="456"/>
      <c r="EO253" s="425"/>
      <c r="EP253" s="425"/>
      <c r="EQ253" s="425" t="s">
        <v>743</v>
      </c>
      <c r="ER253" s="425">
        <v>1</v>
      </c>
      <c r="ES253" s="425">
        <v>4</v>
      </c>
      <c r="ET253" s="425">
        <v>-40</v>
      </c>
      <c r="EU253" s="457">
        <v>3750</v>
      </c>
      <c r="EV253" s="425">
        <v>165</v>
      </c>
      <c r="EW253" s="425">
        <v>7222299</v>
      </c>
      <c r="EX253" s="425">
        <v>19395</v>
      </c>
      <c r="EY253" s="666">
        <v>17.82</v>
      </c>
      <c r="EZ253" s="666">
        <v>17.8</v>
      </c>
      <c r="FA253" s="666">
        <v>0</v>
      </c>
      <c r="FB253" s="666">
        <v>1.3</v>
      </c>
      <c r="FC253" s="666">
        <v>1.27</v>
      </c>
      <c r="FD253" s="666">
        <v>0.91100000000000003</v>
      </c>
      <c r="FE253" s="666">
        <v>0.96</v>
      </c>
      <c r="FF253" s="666">
        <v>200</v>
      </c>
      <c r="FG253" s="666">
        <v>0.96</v>
      </c>
      <c r="FH253" s="666">
        <v>0.38100000000000001</v>
      </c>
      <c r="FI253" s="666">
        <v>0.73</v>
      </c>
      <c r="FJ253" s="666">
        <v>8.24</v>
      </c>
      <c r="FK253" s="666">
        <v>8</v>
      </c>
      <c r="FL253" s="666">
        <v>7.89</v>
      </c>
      <c r="FM253" s="666">
        <v>7.6</v>
      </c>
      <c r="FN253" s="666">
        <v>0</v>
      </c>
    </row>
    <row r="254" spans="1:170" s="416" customFormat="1" ht="15">
      <c r="A254" s="425" t="s">
        <v>3</v>
      </c>
      <c r="B254" s="426">
        <v>40783</v>
      </c>
      <c r="C254" s="418">
        <v>0</v>
      </c>
      <c r="D254" s="518">
        <v>0</v>
      </c>
      <c r="E254" s="453">
        <v>0</v>
      </c>
      <c r="F254" s="453">
        <v>57</v>
      </c>
      <c r="G254" s="453">
        <v>0.3</v>
      </c>
      <c r="H254" s="519" t="s">
        <v>742</v>
      </c>
      <c r="I254" s="519">
        <v>93.7</v>
      </c>
      <c r="J254" s="483">
        <v>0.85</v>
      </c>
      <c r="K254" s="520">
        <v>1.26</v>
      </c>
      <c r="L254" s="453">
        <v>0</v>
      </c>
      <c r="M254" s="453" t="s">
        <v>742</v>
      </c>
      <c r="N254" s="453">
        <v>1.64</v>
      </c>
      <c r="O254" s="453">
        <v>2.1327580876359646</v>
      </c>
      <c r="P254" s="453">
        <v>1.61</v>
      </c>
      <c r="Q254" s="453">
        <v>2.1925543412993873</v>
      </c>
      <c r="R254" s="453">
        <v>1439.4333210039629</v>
      </c>
      <c r="S254" s="453">
        <v>8.1199999999999992</v>
      </c>
      <c r="T254" s="453">
        <v>7.85</v>
      </c>
      <c r="U254" s="453">
        <v>0.62</v>
      </c>
      <c r="V254" s="453">
        <v>0.61</v>
      </c>
      <c r="W254" s="453">
        <v>59</v>
      </c>
      <c r="X254" s="456">
        <v>57.2</v>
      </c>
      <c r="Y254" s="453">
        <v>47.49</v>
      </c>
      <c r="Z254" s="453">
        <v>32.97</v>
      </c>
      <c r="AA254" s="519">
        <v>47</v>
      </c>
      <c r="AB254" s="519">
        <v>33</v>
      </c>
      <c r="AC254" s="732">
        <f t="shared" si="3"/>
        <v>80</v>
      </c>
      <c r="AD254" s="664"/>
      <c r="AE254" s="664"/>
      <c r="AF254" s="664"/>
      <c r="AG254" s="664"/>
      <c r="AH254" s="664"/>
      <c r="AI254" s="664"/>
      <c r="AJ254" s="485"/>
      <c r="AK254" s="485"/>
      <c r="AL254" s="485"/>
      <c r="AM254" s="485"/>
      <c r="AN254" s="485"/>
      <c r="AO254" s="665"/>
      <c r="AP254" s="485"/>
      <c r="AQ254" s="483"/>
      <c r="AR254" s="755">
        <v>0</v>
      </c>
      <c r="AS254" s="483">
        <v>40.4</v>
      </c>
      <c r="AT254" s="755">
        <v>0</v>
      </c>
      <c r="AU254" s="483">
        <v>46.9</v>
      </c>
      <c r="AV254" s="484">
        <v>899.1</v>
      </c>
      <c r="AW254" s="484">
        <v>1158.7</v>
      </c>
      <c r="AX254" s="453">
        <v>58.6</v>
      </c>
      <c r="AY254" s="734">
        <v>0</v>
      </c>
      <c r="AZ254" s="734">
        <v>0</v>
      </c>
      <c r="BA254" s="734">
        <v>0</v>
      </c>
      <c r="BB254" s="453">
        <v>0</v>
      </c>
      <c r="BC254" s="453">
        <v>3.01</v>
      </c>
      <c r="BD254" s="453">
        <v>2.4900000000000002</v>
      </c>
      <c r="BE254" s="734">
        <v>0</v>
      </c>
      <c r="BF254" s="453">
        <v>0</v>
      </c>
      <c r="BG254" s="453">
        <v>0</v>
      </c>
      <c r="BH254" s="734">
        <v>0</v>
      </c>
      <c r="BI254" s="453">
        <v>1.98</v>
      </c>
      <c r="BJ254" s="453">
        <v>25.6</v>
      </c>
      <c r="BK254" s="453">
        <v>4.83</v>
      </c>
      <c r="BL254" s="453">
        <v>7.22</v>
      </c>
      <c r="BM254" s="453">
        <v>0</v>
      </c>
      <c r="BN254" s="453">
        <v>13.5</v>
      </c>
      <c r="BO254" s="453">
        <v>3275.7</v>
      </c>
      <c r="BP254" s="453">
        <v>0</v>
      </c>
      <c r="BQ254" s="453">
        <v>17.899999999999999</v>
      </c>
      <c r="BR254" s="453">
        <v>17.97</v>
      </c>
      <c r="BS254" s="453">
        <v>0</v>
      </c>
      <c r="BT254" s="453">
        <v>44.9</v>
      </c>
      <c r="BU254" s="453">
        <v>40.200000000000003</v>
      </c>
      <c r="BV254" s="456">
        <v>1204.8</v>
      </c>
      <c r="BW254" s="453">
        <v>5.81</v>
      </c>
      <c r="BX254" s="453">
        <v>1.31</v>
      </c>
      <c r="BY254" s="456">
        <v>0.87</v>
      </c>
      <c r="BZ254" s="456">
        <v>19.100000000000001</v>
      </c>
      <c r="CA254" s="456">
        <v>33.200000000000003</v>
      </c>
      <c r="CB254" s="456">
        <v>17.89</v>
      </c>
      <c r="CC254" s="456">
        <v>10.38</v>
      </c>
      <c r="CD254" s="456">
        <v>14.6</v>
      </c>
      <c r="CE254" s="456">
        <v>18.8</v>
      </c>
      <c r="CF254" s="456">
        <v>13.09</v>
      </c>
      <c r="CG254" s="456">
        <v>0</v>
      </c>
      <c r="CH254" s="456">
        <v>7</v>
      </c>
      <c r="CI254" s="456">
        <v>11.5</v>
      </c>
      <c r="CJ254" s="456">
        <v>1082.3</v>
      </c>
      <c r="CK254" s="456">
        <v>1070.3</v>
      </c>
      <c r="CL254" s="456">
        <v>722.5</v>
      </c>
      <c r="CM254" s="456">
        <v>4</v>
      </c>
      <c r="CN254" s="456">
        <v>1.27</v>
      </c>
      <c r="CO254" s="453">
        <v>6334.3</v>
      </c>
      <c r="CP254" s="453">
        <v>16.16</v>
      </c>
      <c r="CQ254" s="453">
        <v>59</v>
      </c>
      <c r="CR254" s="456">
        <v>0</v>
      </c>
      <c r="CS254" s="456">
        <v>0</v>
      </c>
      <c r="CT254" s="456">
        <v>0</v>
      </c>
      <c r="CU254" s="456">
        <v>0</v>
      </c>
      <c r="CV254" s="481">
        <v>250</v>
      </c>
      <c r="CW254" s="481">
        <v>273.5</v>
      </c>
      <c r="CX254" s="481">
        <v>139.52083333333334</v>
      </c>
      <c r="CY254" s="481">
        <v>1153.99</v>
      </c>
      <c r="CZ254" s="456"/>
      <c r="DA254" s="456"/>
      <c r="DB254" s="456"/>
      <c r="DC254" s="456"/>
      <c r="DD254" s="456"/>
      <c r="DE254" s="456"/>
      <c r="DF254" s="456"/>
      <c r="DG254" s="425"/>
      <c r="DH254" s="456">
        <v>53</v>
      </c>
      <c r="DI254" s="456">
        <v>0.15</v>
      </c>
      <c r="DJ254" s="456">
        <v>0</v>
      </c>
      <c r="DK254" s="425"/>
      <c r="DL254" s="456"/>
      <c r="DM254" s="456"/>
      <c r="DN254" s="456"/>
      <c r="DO254" s="456"/>
      <c r="DP254" s="456"/>
      <c r="DQ254" s="456"/>
      <c r="DR254" s="456"/>
      <c r="DS254" s="456"/>
      <c r="DT254" s="456"/>
      <c r="DU254" s="456"/>
      <c r="DV254" s="456"/>
      <c r="DW254" s="456"/>
      <c r="DX254" s="456"/>
      <c r="DY254" s="456"/>
      <c r="DZ254" s="456"/>
      <c r="EA254" s="456"/>
      <c r="EB254" s="456"/>
      <c r="EC254" s="456"/>
      <c r="ED254" s="456">
        <v>0</v>
      </c>
      <c r="EE254" s="456">
        <v>2</v>
      </c>
      <c r="EF254" s="456">
        <v>5.5</v>
      </c>
      <c r="EG254" s="456">
        <v>12</v>
      </c>
      <c r="EH254" s="423">
        <v>0</v>
      </c>
      <c r="EI254" s="456"/>
      <c r="EJ254" s="456"/>
      <c r="EK254" s="456"/>
      <c r="EL254" s="456"/>
      <c r="EM254" s="456"/>
      <c r="EN254" s="456"/>
      <c r="EO254" s="425"/>
      <c r="EP254" s="425"/>
      <c r="EQ254" s="425" t="s">
        <v>743</v>
      </c>
      <c r="ER254" s="425">
        <v>1</v>
      </c>
      <c r="ES254" s="425">
        <v>4</v>
      </c>
      <c r="ET254" s="425">
        <v>4000</v>
      </c>
      <c r="EU254" s="457">
        <v>3580</v>
      </c>
      <c r="EV254" s="425">
        <v>180</v>
      </c>
      <c r="EW254" s="425">
        <v>7226502</v>
      </c>
      <c r="EX254" s="425">
        <v>20022</v>
      </c>
      <c r="EY254" s="666">
        <v>17.899999999999999</v>
      </c>
      <c r="EZ254" s="666">
        <v>17.89</v>
      </c>
      <c r="FA254" s="666">
        <v>0</v>
      </c>
      <c r="FB254" s="666">
        <v>1.33</v>
      </c>
      <c r="FC254" s="666">
        <v>1.27</v>
      </c>
      <c r="FD254" s="666">
        <v>1.0569999999999999</v>
      </c>
      <c r="FE254" s="666">
        <v>1.0900000000000001</v>
      </c>
      <c r="FF254" s="666">
        <v>170</v>
      </c>
      <c r="FG254" s="666">
        <v>0.9</v>
      </c>
      <c r="FH254" s="666">
        <v>0.36699999999999999</v>
      </c>
      <c r="FI254" s="666">
        <v>0.72</v>
      </c>
      <c r="FJ254" s="666">
        <v>8.5399999999999991</v>
      </c>
      <c r="FK254" s="666">
        <v>8.1</v>
      </c>
      <c r="FL254" s="666">
        <v>7.95</v>
      </c>
      <c r="FM254" s="666">
        <v>7.8</v>
      </c>
      <c r="FN254" s="666">
        <v>0</v>
      </c>
    </row>
    <row r="255" spans="1:170" s="416" customFormat="1" ht="15">
      <c r="A255" s="425" t="s">
        <v>4</v>
      </c>
      <c r="B255" s="426">
        <v>40784</v>
      </c>
      <c r="C255" s="418">
        <v>0</v>
      </c>
      <c r="D255" s="518">
        <v>0</v>
      </c>
      <c r="E255" s="453">
        <v>0</v>
      </c>
      <c r="F255" s="453">
        <v>58</v>
      </c>
      <c r="G255" s="453">
        <v>0.3</v>
      </c>
      <c r="H255" s="519">
        <v>1.7</v>
      </c>
      <c r="I255" s="519">
        <v>93.1</v>
      </c>
      <c r="J255" s="483">
        <v>1.35</v>
      </c>
      <c r="K255" s="520">
        <v>1.24</v>
      </c>
      <c r="L255" s="453">
        <v>0</v>
      </c>
      <c r="M255" s="453" t="s">
        <v>742</v>
      </c>
      <c r="N255" s="453">
        <v>1.66</v>
      </c>
      <c r="O255" s="453">
        <v>2.1065939813267915</v>
      </c>
      <c r="P255" s="453">
        <v>1.62</v>
      </c>
      <c r="Q255" s="453">
        <v>2.1992471854368065</v>
      </c>
      <c r="R255" s="453">
        <v>1433.9269379128134</v>
      </c>
      <c r="S255" s="453">
        <v>8.0500000000000007</v>
      </c>
      <c r="T255" s="453">
        <v>7.86</v>
      </c>
      <c r="U255" s="453">
        <v>0.63</v>
      </c>
      <c r="V255" s="453">
        <v>0.61</v>
      </c>
      <c r="W255" s="453">
        <v>57.56</v>
      </c>
      <c r="X255" s="456">
        <v>57.739999999999995</v>
      </c>
      <c r="Y255" s="453">
        <v>47.49</v>
      </c>
      <c r="Z255" s="453">
        <v>33.35</v>
      </c>
      <c r="AA255" s="519">
        <v>46.789999999993597</v>
      </c>
      <c r="AB255" s="519">
        <v>33.110000000000582</v>
      </c>
      <c r="AC255" s="732">
        <f t="shared" si="3"/>
        <v>79.899999999994179</v>
      </c>
      <c r="AD255" s="664"/>
      <c r="AE255" s="664"/>
      <c r="AF255" s="664"/>
      <c r="AG255" s="664"/>
      <c r="AH255" s="664"/>
      <c r="AI255" s="664"/>
      <c r="AJ255" s="485"/>
      <c r="AK255" s="485"/>
      <c r="AL255" s="485"/>
      <c r="AM255" s="485"/>
      <c r="AN255" s="485"/>
      <c r="AO255" s="665"/>
      <c r="AP255" s="485"/>
      <c r="AQ255" s="483"/>
      <c r="AR255" s="755">
        <v>0</v>
      </c>
      <c r="AS255" s="483">
        <v>19.2</v>
      </c>
      <c r="AT255" s="755">
        <v>0</v>
      </c>
      <c r="AU255" s="483">
        <v>47.5</v>
      </c>
      <c r="AV255" s="484">
        <v>748.4</v>
      </c>
      <c r="AW255" s="484">
        <v>960.2</v>
      </c>
      <c r="AX255" s="453">
        <v>40.1</v>
      </c>
      <c r="AY255" s="734">
        <v>0</v>
      </c>
      <c r="AZ255" s="734">
        <v>0</v>
      </c>
      <c r="BA255" s="734">
        <v>0</v>
      </c>
      <c r="BB255" s="453">
        <v>0</v>
      </c>
      <c r="BC255" s="453">
        <v>2.35</v>
      </c>
      <c r="BD255" s="453">
        <v>2.17</v>
      </c>
      <c r="BE255" s="734">
        <v>0</v>
      </c>
      <c r="BF255" s="453">
        <v>0.31</v>
      </c>
      <c r="BG255" s="453">
        <v>0</v>
      </c>
      <c r="BH255" s="734">
        <v>0</v>
      </c>
      <c r="BI255" s="453">
        <v>1.97</v>
      </c>
      <c r="BJ255" s="453">
        <v>26.3</v>
      </c>
      <c r="BK255" s="453">
        <v>4.83</v>
      </c>
      <c r="BL255" s="453">
        <v>7.22</v>
      </c>
      <c r="BM255" s="453">
        <v>0</v>
      </c>
      <c r="BN255" s="453">
        <v>14.3</v>
      </c>
      <c r="BO255" s="453">
        <v>2766.1</v>
      </c>
      <c r="BP255" s="453">
        <v>0</v>
      </c>
      <c r="BQ255" s="453">
        <v>18.600000000000001</v>
      </c>
      <c r="BR255" s="453">
        <v>18.600000000000001</v>
      </c>
      <c r="BS255" s="453">
        <v>0</v>
      </c>
      <c r="BT255" s="453">
        <v>45.3</v>
      </c>
      <c r="BU255" s="453">
        <v>38.299999999999997</v>
      </c>
      <c r="BV255" s="456">
        <v>959.9</v>
      </c>
      <c r="BW255" s="453">
        <v>0.64</v>
      </c>
      <c r="BX255" s="453">
        <v>1.3</v>
      </c>
      <c r="BY255" s="456">
        <v>0.92</v>
      </c>
      <c r="BZ255" s="456">
        <v>19.3</v>
      </c>
      <c r="CA255" s="456">
        <v>34</v>
      </c>
      <c r="CB255" s="456">
        <v>17.55</v>
      </c>
      <c r="CC255" s="456">
        <v>9.8000000000000007</v>
      </c>
      <c r="CD255" s="456">
        <v>14.02</v>
      </c>
      <c r="CE255" s="456">
        <v>18.2</v>
      </c>
      <c r="CF255" s="456">
        <v>11.97</v>
      </c>
      <c r="CG255" s="456">
        <v>0</v>
      </c>
      <c r="CH255" s="456">
        <v>7.6</v>
      </c>
      <c r="CI255" s="456">
        <v>12.2</v>
      </c>
      <c r="CJ255" s="456">
        <v>879</v>
      </c>
      <c r="CK255" s="456">
        <v>914</v>
      </c>
      <c r="CL255" s="456">
        <v>737</v>
      </c>
      <c r="CM255" s="456">
        <v>5.0999999999999996</v>
      </c>
      <c r="CN255" s="456">
        <v>1.5</v>
      </c>
      <c r="CO255" s="453">
        <v>6451.7</v>
      </c>
      <c r="CP255" s="453">
        <v>17.329999999999998</v>
      </c>
      <c r="CQ255" s="453">
        <v>58</v>
      </c>
      <c r="CR255" s="456">
        <v>0</v>
      </c>
      <c r="CS255" s="456">
        <v>0</v>
      </c>
      <c r="CT255" s="456">
        <v>0</v>
      </c>
      <c r="CU255" s="456">
        <v>0</v>
      </c>
      <c r="CV255" s="481">
        <v>266.54166666666669</v>
      </c>
      <c r="CW255" s="481">
        <v>276.33333333333331</v>
      </c>
      <c r="CX255" s="481">
        <v>152.77083333333334</v>
      </c>
      <c r="CY255" s="481">
        <v>1153.78</v>
      </c>
      <c r="CZ255" s="456"/>
      <c r="DA255" s="456"/>
      <c r="DB255" s="456"/>
      <c r="DC255" s="456"/>
      <c r="DD255" s="456"/>
      <c r="DE255" s="456"/>
      <c r="DF255" s="456"/>
      <c r="DG255" s="425"/>
      <c r="DH255" s="456">
        <v>68</v>
      </c>
      <c r="DI255" s="456">
        <v>0.14000000000000001</v>
      </c>
      <c r="DJ255" s="456">
        <v>0</v>
      </c>
      <c r="DK255" s="425"/>
      <c r="DL255" s="456"/>
      <c r="DM255" s="456"/>
      <c r="DN255" s="456"/>
      <c r="DO255" s="456"/>
      <c r="DP255" s="456"/>
      <c r="DQ255" s="456"/>
      <c r="DR255" s="456"/>
      <c r="DS255" s="456"/>
      <c r="DT255" s="456"/>
      <c r="DU255" s="456"/>
      <c r="DV255" s="456"/>
      <c r="DW255" s="456"/>
      <c r="DX255" s="456"/>
      <c r="DY255" s="456"/>
      <c r="DZ255" s="456"/>
      <c r="EA255" s="456"/>
      <c r="EB255" s="456"/>
      <c r="EC255" s="456"/>
      <c r="ED255" s="456">
        <v>0</v>
      </c>
      <c r="EE255" s="456">
        <v>2</v>
      </c>
      <c r="EF255" s="456">
        <v>4.5</v>
      </c>
      <c r="EG255" s="456">
        <v>12</v>
      </c>
      <c r="EH255" s="423">
        <v>0</v>
      </c>
      <c r="EI255" s="456"/>
      <c r="EJ255" s="456"/>
      <c r="EK255" s="456"/>
      <c r="EL255" s="456"/>
      <c r="EM255" s="456"/>
      <c r="EN255" s="456"/>
      <c r="EO255" s="425"/>
      <c r="EP255" s="425"/>
      <c r="EQ255" s="425" t="s">
        <v>743</v>
      </c>
      <c r="ER255" s="425">
        <v>1</v>
      </c>
      <c r="ES255" s="425">
        <v>4</v>
      </c>
      <c r="ET255" s="425">
        <v>4000</v>
      </c>
      <c r="EU255" s="457">
        <v>3370</v>
      </c>
      <c r="EV255" s="425">
        <v>165</v>
      </c>
      <c r="EW255" s="425">
        <v>7230254</v>
      </c>
      <c r="EX255" s="425">
        <v>20670</v>
      </c>
      <c r="EY255" s="666">
        <v>18.7</v>
      </c>
      <c r="EZ255" s="666">
        <v>18.690000000000001</v>
      </c>
      <c r="FA255" s="666">
        <v>0</v>
      </c>
      <c r="FB255" s="666">
        <v>1.3</v>
      </c>
      <c r="FC255" s="666">
        <v>1.29</v>
      </c>
      <c r="FD255" s="666">
        <v>0.92600000000000005</v>
      </c>
      <c r="FE255" s="666">
        <v>1</v>
      </c>
      <c r="FF255" s="666">
        <v>210</v>
      </c>
      <c r="FG255" s="666">
        <v>1.19</v>
      </c>
      <c r="FH255" s="666">
        <v>0.39300000000000002</v>
      </c>
      <c r="FI255" s="666">
        <v>0.81</v>
      </c>
      <c r="FJ255" s="666">
        <v>7.87</v>
      </c>
      <c r="FK255" s="666">
        <v>8</v>
      </c>
      <c r="FL255" s="666">
        <v>8.0399999999999991</v>
      </c>
      <c r="FM255" s="666">
        <v>7.6</v>
      </c>
      <c r="FN255" s="666">
        <v>0</v>
      </c>
    </row>
    <row r="256" spans="1:170" s="416" customFormat="1" ht="15">
      <c r="A256" s="425" t="s">
        <v>5</v>
      </c>
      <c r="B256" s="426">
        <v>40785</v>
      </c>
      <c r="C256" s="418">
        <v>0</v>
      </c>
      <c r="D256" s="518">
        <v>0.31</v>
      </c>
      <c r="E256" s="453">
        <v>0</v>
      </c>
      <c r="F256" s="453">
        <v>53</v>
      </c>
      <c r="G256" s="453">
        <v>0.3</v>
      </c>
      <c r="H256" s="519">
        <v>1.66</v>
      </c>
      <c r="I256" s="519">
        <v>93.2</v>
      </c>
      <c r="J256" s="483">
        <v>1.42</v>
      </c>
      <c r="K256" s="520">
        <v>1.25</v>
      </c>
      <c r="L256" s="453">
        <v>0</v>
      </c>
      <c r="M256" s="453" t="s">
        <v>742</v>
      </c>
      <c r="N256" s="453">
        <v>1.67</v>
      </c>
      <c r="O256" s="453">
        <v>2.1268936644252214</v>
      </c>
      <c r="P256" s="453">
        <v>1.61</v>
      </c>
      <c r="Q256" s="453">
        <v>2.1680251264819304</v>
      </c>
      <c r="R256" s="453">
        <v>1502.5947741083219</v>
      </c>
      <c r="S256" s="453">
        <v>8.0299999999999994</v>
      </c>
      <c r="T256" s="453">
        <v>8.02</v>
      </c>
      <c r="U256" s="453">
        <v>0.63</v>
      </c>
      <c r="V256" s="453">
        <v>0.59</v>
      </c>
      <c r="W256" s="453">
        <v>57.739999999999995</v>
      </c>
      <c r="X256" s="456">
        <v>57.739999999999995</v>
      </c>
      <c r="Y256" s="453">
        <v>47.28</v>
      </c>
      <c r="Z256" s="453">
        <v>32.94</v>
      </c>
      <c r="AA256" s="519">
        <v>47.490000000005239</v>
      </c>
      <c r="AB256" s="519">
        <v>36.339999999996508</v>
      </c>
      <c r="AC256" s="732">
        <f t="shared" si="3"/>
        <v>83.830000000001746</v>
      </c>
      <c r="AD256" s="664"/>
      <c r="AE256" s="664"/>
      <c r="AF256" s="664"/>
      <c r="AG256" s="664"/>
      <c r="AH256" s="664"/>
      <c r="AI256" s="664"/>
      <c r="AJ256" s="485"/>
      <c r="AK256" s="485"/>
      <c r="AL256" s="485"/>
      <c r="AM256" s="485"/>
      <c r="AN256" s="485"/>
      <c r="AO256" s="665"/>
      <c r="AP256" s="485"/>
      <c r="AQ256" s="483"/>
      <c r="AR256" s="755">
        <v>0</v>
      </c>
      <c r="AS256" s="788">
        <v>155.5</v>
      </c>
      <c r="AT256" s="755">
        <v>0</v>
      </c>
      <c r="AU256" s="483">
        <v>47.6</v>
      </c>
      <c r="AV256" s="484">
        <v>689.5</v>
      </c>
      <c r="AW256" s="484">
        <v>864.5</v>
      </c>
      <c r="AX256" s="453">
        <v>27.4</v>
      </c>
      <c r="AY256" s="734">
        <v>0</v>
      </c>
      <c r="AZ256" s="734">
        <v>0</v>
      </c>
      <c r="BA256" s="734">
        <v>0</v>
      </c>
      <c r="BB256" s="453">
        <v>0</v>
      </c>
      <c r="BC256" s="453">
        <v>1.85</v>
      </c>
      <c r="BD256" s="453">
        <v>1.4</v>
      </c>
      <c r="BE256" s="734">
        <v>0</v>
      </c>
      <c r="BF256" s="453">
        <v>0.37</v>
      </c>
      <c r="BG256" s="453">
        <v>0</v>
      </c>
      <c r="BH256" s="734">
        <v>0</v>
      </c>
      <c r="BI256" s="453">
        <v>1.92</v>
      </c>
      <c r="BJ256" s="453">
        <v>30.7</v>
      </c>
      <c r="BK256" s="453">
        <v>3.77</v>
      </c>
      <c r="BL256" s="453">
        <v>7.84</v>
      </c>
      <c r="BM256" s="453">
        <v>0</v>
      </c>
      <c r="BN256" s="453">
        <v>19</v>
      </c>
      <c r="BO256" s="453">
        <v>2296.8000000000002</v>
      </c>
      <c r="BP256" s="453">
        <v>38.200000000000003</v>
      </c>
      <c r="BQ256" s="453">
        <v>20.3</v>
      </c>
      <c r="BR256" s="453">
        <v>20.350000000000001</v>
      </c>
      <c r="BS256" s="453">
        <v>0</v>
      </c>
      <c r="BT256" s="453">
        <v>45.5</v>
      </c>
      <c r="BU256" s="453">
        <v>33.299999999999997</v>
      </c>
      <c r="BV256" s="456">
        <v>889.7</v>
      </c>
      <c r="BW256" s="453">
        <v>0.83</v>
      </c>
      <c r="BX256" s="453">
        <v>1.31</v>
      </c>
      <c r="BY256" s="456">
        <v>0.89</v>
      </c>
      <c r="BZ256" s="456">
        <v>19.5</v>
      </c>
      <c r="CA256" s="456">
        <v>33.200000000000003</v>
      </c>
      <c r="CB256" s="456">
        <v>19.8</v>
      </c>
      <c r="CC256" s="456">
        <v>9.1</v>
      </c>
      <c r="CD256" s="456">
        <v>13.33</v>
      </c>
      <c r="CE256" s="456">
        <v>17.3</v>
      </c>
      <c r="CF256" s="456">
        <v>12.71</v>
      </c>
      <c r="CG256" s="456">
        <v>0</v>
      </c>
      <c r="CH256" s="456">
        <v>8</v>
      </c>
      <c r="CI256" s="456">
        <v>12.7</v>
      </c>
      <c r="CJ256" s="456">
        <v>731.1</v>
      </c>
      <c r="CK256" s="456">
        <v>838.2</v>
      </c>
      <c r="CL256" s="456">
        <v>728</v>
      </c>
      <c r="CM256" s="456">
        <v>6</v>
      </c>
      <c r="CN256" s="456">
        <v>1.58</v>
      </c>
      <c r="CO256" s="453">
        <v>7592.8</v>
      </c>
      <c r="CP256" s="453">
        <v>18.309999999999999</v>
      </c>
      <c r="CQ256" s="453">
        <v>58</v>
      </c>
      <c r="CR256" s="456">
        <v>0</v>
      </c>
      <c r="CS256" s="456">
        <v>0</v>
      </c>
      <c r="CT256" s="456">
        <v>0</v>
      </c>
      <c r="CU256" s="456">
        <v>0</v>
      </c>
      <c r="CV256" s="481">
        <v>278</v>
      </c>
      <c r="CW256" s="481">
        <v>301.6875</v>
      </c>
      <c r="CX256" s="481">
        <v>161.23958333333334</v>
      </c>
      <c r="CY256" s="481">
        <v>1153.54</v>
      </c>
      <c r="CZ256" s="456"/>
      <c r="DA256" s="456"/>
      <c r="DB256" s="456"/>
      <c r="DC256" s="456"/>
      <c r="DD256" s="456"/>
      <c r="DE256" s="456"/>
      <c r="DF256" s="456"/>
      <c r="DG256" s="425"/>
      <c r="DH256" s="456">
        <v>68</v>
      </c>
      <c r="DI256" s="456">
        <v>0.4</v>
      </c>
      <c r="DJ256" s="456">
        <v>0</v>
      </c>
      <c r="DK256" s="425"/>
      <c r="DL256" s="456"/>
      <c r="DM256" s="456"/>
      <c r="DN256" s="456"/>
      <c r="DO256" s="456"/>
      <c r="DP256" s="456"/>
      <c r="DQ256" s="456"/>
      <c r="DR256" s="456"/>
      <c r="DS256" s="456"/>
      <c r="DT256" s="456"/>
      <c r="DU256" s="456"/>
      <c r="DV256" s="456"/>
      <c r="DW256" s="456"/>
      <c r="DX256" s="456"/>
      <c r="DY256" s="456"/>
      <c r="DZ256" s="456"/>
      <c r="EA256" s="456"/>
      <c r="EB256" s="456"/>
      <c r="EC256" s="456"/>
      <c r="ED256" s="456">
        <v>0</v>
      </c>
      <c r="EE256" s="456">
        <v>2</v>
      </c>
      <c r="EF256" s="456">
        <v>4.5</v>
      </c>
      <c r="EG256" s="456">
        <v>12</v>
      </c>
      <c r="EH256" s="423">
        <v>0</v>
      </c>
      <c r="EI256" s="456"/>
      <c r="EJ256" s="456"/>
      <c r="EK256" s="456"/>
      <c r="EL256" s="456"/>
      <c r="EM256" s="456"/>
      <c r="EN256" s="456"/>
      <c r="EO256" s="425"/>
      <c r="EP256" s="425"/>
      <c r="EQ256" s="425" t="s">
        <v>743</v>
      </c>
      <c r="ER256" s="425">
        <v>1</v>
      </c>
      <c r="ES256" s="425">
        <v>4</v>
      </c>
      <c r="ET256" s="425">
        <v>4000</v>
      </c>
      <c r="EU256" s="457">
        <v>3230</v>
      </c>
      <c r="EV256" s="425">
        <v>180</v>
      </c>
      <c r="EW256" s="425">
        <v>7233290</v>
      </c>
      <c r="EX256" s="425">
        <v>21323</v>
      </c>
      <c r="EY256" s="666">
        <v>20.6</v>
      </c>
      <c r="EZ256" s="666">
        <v>20.59</v>
      </c>
      <c r="FA256" s="666">
        <v>0</v>
      </c>
      <c r="FB256" s="666">
        <v>1.36</v>
      </c>
      <c r="FC256" s="666">
        <v>1.32</v>
      </c>
      <c r="FD256" s="666">
        <v>0.93200000000000005</v>
      </c>
      <c r="FE256" s="666">
        <v>0.95</v>
      </c>
      <c r="FF256" s="666">
        <v>140</v>
      </c>
      <c r="FG256" s="666">
        <v>0.96</v>
      </c>
      <c r="FH256" s="666">
        <v>0.41599999999999998</v>
      </c>
      <c r="FI256" s="666">
        <v>0.99</v>
      </c>
      <c r="FJ256" s="666">
        <v>8.11</v>
      </c>
      <c r="FK256" s="666">
        <v>7.9</v>
      </c>
      <c r="FL256" s="666">
        <v>7.96</v>
      </c>
      <c r="FM256" s="666">
        <v>7.8</v>
      </c>
      <c r="FN256" s="666">
        <v>0</v>
      </c>
    </row>
    <row r="257" spans="1:170" s="416" customFormat="1" ht="15">
      <c r="A257" s="425" t="s">
        <v>6</v>
      </c>
      <c r="B257" s="426">
        <v>40786</v>
      </c>
      <c r="C257" s="418">
        <v>0</v>
      </c>
      <c r="D257" s="518">
        <v>0</v>
      </c>
      <c r="E257" s="453">
        <v>0</v>
      </c>
      <c r="F257" s="453">
        <v>53</v>
      </c>
      <c r="G257" s="453">
        <v>0.35</v>
      </c>
      <c r="H257" s="519" t="s">
        <v>742</v>
      </c>
      <c r="I257" s="519">
        <v>92.9</v>
      </c>
      <c r="J257" s="483">
        <v>0.78</v>
      </c>
      <c r="K257" s="520">
        <v>0.83</v>
      </c>
      <c r="L257" s="453">
        <v>0</v>
      </c>
      <c r="M257" s="453" t="s">
        <v>742</v>
      </c>
      <c r="N257" s="453">
        <v>1.7</v>
      </c>
      <c r="O257" s="453">
        <v>2.1593420861789134</v>
      </c>
      <c r="P257" s="453">
        <v>1.66</v>
      </c>
      <c r="Q257" s="453">
        <v>2.1389576163050479</v>
      </c>
      <c r="R257" s="453">
        <v>1324.4470858652576</v>
      </c>
      <c r="S257" s="453">
        <v>8.06</v>
      </c>
      <c r="T257" s="453">
        <v>7.9</v>
      </c>
      <c r="U257" s="453">
        <v>0.62</v>
      </c>
      <c r="V257" s="453">
        <v>0.65</v>
      </c>
      <c r="W257" s="453">
        <v>59</v>
      </c>
      <c r="X257" s="456">
        <v>59</v>
      </c>
      <c r="Y257" s="453">
        <v>47.08</v>
      </c>
      <c r="Z257" s="453">
        <v>37</v>
      </c>
      <c r="AA257" s="519">
        <v>46.1</v>
      </c>
      <c r="AB257" s="519">
        <v>28.54</v>
      </c>
      <c r="AC257" s="732">
        <f t="shared" si="3"/>
        <v>74.64</v>
      </c>
      <c r="AD257" s="664"/>
      <c r="AE257" s="664"/>
      <c r="AF257" s="664"/>
      <c r="AG257" s="664"/>
      <c r="AH257" s="664"/>
      <c r="AI257" s="664"/>
      <c r="AJ257" s="485"/>
      <c r="AK257" s="485"/>
      <c r="AL257" s="485"/>
      <c r="AM257" s="485"/>
      <c r="AN257" s="485"/>
      <c r="AO257" s="665"/>
      <c r="AP257" s="485"/>
      <c r="AQ257" s="483"/>
      <c r="AR257" s="755">
        <v>0</v>
      </c>
      <c r="AS257" s="483">
        <v>104.2</v>
      </c>
      <c r="AT257" s="755">
        <v>0</v>
      </c>
      <c r="AU257" s="483">
        <v>47.1</v>
      </c>
      <c r="AV257" s="484">
        <v>706.1</v>
      </c>
      <c r="AW257" s="484">
        <v>901.7</v>
      </c>
      <c r="AX257" s="453">
        <v>28.8</v>
      </c>
      <c r="AY257" s="734">
        <v>0</v>
      </c>
      <c r="AZ257" s="734">
        <v>0</v>
      </c>
      <c r="BA257" s="734">
        <v>0</v>
      </c>
      <c r="BB257" s="453">
        <v>0</v>
      </c>
      <c r="BC257" s="453">
        <v>1.02</v>
      </c>
      <c r="BD257" s="453">
        <v>1.53</v>
      </c>
      <c r="BE257" s="734">
        <v>0</v>
      </c>
      <c r="BF257" s="453">
        <v>0</v>
      </c>
      <c r="BG257" s="453">
        <v>0</v>
      </c>
      <c r="BH257" s="734">
        <v>0</v>
      </c>
      <c r="BI257" s="453">
        <v>1.84</v>
      </c>
      <c r="BJ257" s="453">
        <v>24.2</v>
      </c>
      <c r="BK257" s="453">
        <v>3.38</v>
      </c>
      <c r="BL257" s="453">
        <v>7.21</v>
      </c>
      <c r="BM257" s="453">
        <v>0</v>
      </c>
      <c r="BN257" s="453">
        <v>13.6</v>
      </c>
      <c r="BO257" s="453">
        <v>2610.3000000000002</v>
      </c>
      <c r="BP257" s="453">
        <v>0</v>
      </c>
      <c r="BQ257" s="453">
        <v>20.399999999999999</v>
      </c>
      <c r="BR257" s="453">
        <v>20.399999999999999</v>
      </c>
      <c r="BS257" s="453">
        <v>0</v>
      </c>
      <c r="BT257" s="453">
        <v>44.4</v>
      </c>
      <c r="BU257" s="453">
        <v>40.299999999999997</v>
      </c>
      <c r="BV257" s="456">
        <v>959.6</v>
      </c>
      <c r="BW257" s="453">
        <v>4.2</v>
      </c>
      <c r="BX257" s="453">
        <v>1.36</v>
      </c>
      <c r="BY257" s="456">
        <v>0.9</v>
      </c>
      <c r="BZ257" s="456">
        <v>19.7</v>
      </c>
      <c r="CA257" s="456">
        <v>33.1</v>
      </c>
      <c r="CB257" s="456">
        <v>19.899999999999999</v>
      </c>
      <c r="CC257" s="456">
        <v>8.5</v>
      </c>
      <c r="CD257" s="456">
        <v>12.7</v>
      </c>
      <c r="CE257" s="456">
        <v>16.88</v>
      </c>
      <c r="CF257" s="456">
        <v>12.49</v>
      </c>
      <c r="CG257" s="456">
        <v>0</v>
      </c>
      <c r="CH257" s="456">
        <v>8.3000000000000007</v>
      </c>
      <c r="CI257" s="456">
        <v>13.3</v>
      </c>
      <c r="CJ257" s="456">
        <v>867.9</v>
      </c>
      <c r="CK257" s="456">
        <v>951.5</v>
      </c>
      <c r="CL257" s="456">
        <v>751.2</v>
      </c>
      <c r="CM257" s="456">
        <v>5.4</v>
      </c>
      <c r="CN257" s="456">
        <v>1.5</v>
      </c>
      <c r="CO257" s="453">
        <v>6880.7</v>
      </c>
      <c r="CP257" s="453">
        <v>18.600000000000001</v>
      </c>
      <c r="CQ257" s="453">
        <v>58</v>
      </c>
      <c r="CR257" s="456">
        <v>0</v>
      </c>
      <c r="CS257" s="456">
        <v>0</v>
      </c>
      <c r="CT257" s="456">
        <v>0</v>
      </c>
      <c r="CU257" s="456">
        <v>0</v>
      </c>
      <c r="CV257" s="481">
        <v>271.375</v>
      </c>
      <c r="CW257" s="481">
        <v>295.3125</v>
      </c>
      <c r="CX257" s="481">
        <v>174.03125</v>
      </c>
      <c r="CY257" s="481">
        <v>1153.31</v>
      </c>
      <c r="CZ257" s="456"/>
      <c r="DA257" s="456"/>
      <c r="DB257" s="456"/>
      <c r="DC257" s="456"/>
      <c r="DD257" s="456"/>
      <c r="DE257" s="456"/>
      <c r="DF257" s="456"/>
      <c r="DG257" s="425"/>
      <c r="DH257" s="456">
        <v>60</v>
      </c>
      <c r="DI257" s="456">
        <v>7.0000000000000007E-2</v>
      </c>
      <c r="DJ257" s="456">
        <v>0</v>
      </c>
      <c r="DK257" s="425"/>
      <c r="DL257" s="456"/>
      <c r="DM257" s="456"/>
      <c r="DN257" s="456"/>
      <c r="DO257" s="456"/>
      <c r="DP257" s="456"/>
      <c r="DQ257" s="456"/>
      <c r="DR257" s="456"/>
      <c r="DS257" s="456"/>
      <c r="DT257" s="456"/>
      <c r="DU257" s="456"/>
      <c r="DV257" s="456"/>
      <c r="DW257" s="456"/>
      <c r="DX257" s="456"/>
      <c r="DY257" s="456"/>
      <c r="DZ257" s="456"/>
      <c r="EA257" s="456"/>
      <c r="EB257" s="456"/>
      <c r="EC257" s="456"/>
      <c r="ED257" s="456">
        <v>0</v>
      </c>
      <c r="EE257" s="456">
        <v>2</v>
      </c>
      <c r="EF257" s="456">
        <v>4.5</v>
      </c>
      <c r="EG257" s="456">
        <v>10.5</v>
      </c>
      <c r="EH257" s="423">
        <v>0</v>
      </c>
      <c r="EI257" s="456"/>
      <c r="EJ257" s="456"/>
      <c r="EK257" s="456"/>
      <c r="EL257" s="456"/>
      <c r="EM257" s="456"/>
      <c r="EN257" s="456"/>
      <c r="EO257" s="425"/>
      <c r="EP257" s="425"/>
      <c r="EQ257" s="425" t="s">
        <v>743</v>
      </c>
      <c r="ER257" s="425">
        <v>1</v>
      </c>
      <c r="ES257" s="425">
        <v>4</v>
      </c>
      <c r="ET257" s="425">
        <v>4000</v>
      </c>
      <c r="EU257" s="457">
        <v>3040</v>
      </c>
      <c r="EV257" s="425">
        <v>210</v>
      </c>
      <c r="EW257" s="425">
        <v>7237738</v>
      </c>
      <c r="EX257" s="425">
        <v>22028</v>
      </c>
      <c r="EY257" s="666">
        <v>19.600000000000001</v>
      </c>
      <c r="EZ257" s="666">
        <v>19.600000000000001</v>
      </c>
      <c r="FA257" s="666">
        <v>0</v>
      </c>
      <c r="FB257" s="666">
        <v>1.36</v>
      </c>
      <c r="FC257" s="666">
        <v>1.36</v>
      </c>
      <c r="FD257" s="666">
        <v>0.91</v>
      </c>
      <c r="FE257" s="666">
        <v>0.92</v>
      </c>
      <c r="FF257" s="666">
        <v>190</v>
      </c>
      <c r="FG257" s="666">
        <v>0.85</v>
      </c>
      <c r="FH257" s="666">
        <v>0.4</v>
      </c>
      <c r="FI257" s="666">
        <v>0.64</v>
      </c>
      <c r="FJ257" s="666">
        <v>7.83</v>
      </c>
      <c r="FK257" s="666">
        <v>7.9</v>
      </c>
      <c r="FL257" s="666">
        <v>7.68</v>
      </c>
      <c r="FM257" s="666">
        <v>7.4</v>
      </c>
      <c r="FN257" s="666">
        <v>0</v>
      </c>
    </row>
    <row r="258" spans="1:170" s="416" customFormat="1" ht="15">
      <c r="A258" s="425" t="s">
        <v>7</v>
      </c>
      <c r="B258" s="426">
        <v>40787</v>
      </c>
      <c r="C258" s="418">
        <v>0</v>
      </c>
      <c r="D258" s="518">
        <v>0</v>
      </c>
      <c r="E258" s="453">
        <v>0</v>
      </c>
      <c r="F258" s="453">
        <v>58</v>
      </c>
      <c r="G258" s="453">
        <v>0.35</v>
      </c>
      <c r="H258" s="519" t="s">
        <v>742</v>
      </c>
      <c r="I258" s="519">
        <v>92.1</v>
      </c>
      <c r="J258" s="483">
        <v>0.84</v>
      </c>
      <c r="K258" s="520">
        <v>0.85</v>
      </c>
      <c r="L258" s="453">
        <v>0</v>
      </c>
      <c r="M258" s="453" t="s">
        <v>742</v>
      </c>
      <c r="N258" s="453">
        <v>1.73</v>
      </c>
      <c r="O258" s="453">
        <v>2.1195368054189268</v>
      </c>
      <c r="P258" s="453">
        <v>1.67</v>
      </c>
      <c r="Q258" s="453">
        <v>2.1864083370027885</v>
      </c>
      <c r="R258" s="453">
        <v>1323.1514663143989</v>
      </c>
      <c r="S258" s="453">
        <v>8</v>
      </c>
      <c r="T258" s="453">
        <v>7.78</v>
      </c>
      <c r="U258" s="453">
        <v>0.63</v>
      </c>
      <c r="V258" s="453">
        <v>0.69</v>
      </c>
      <c r="W258" s="453">
        <v>59</v>
      </c>
      <c r="X258" s="456">
        <v>59</v>
      </c>
      <c r="Y258" s="453">
        <v>43.4</v>
      </c>
      <c r="Z258" s="453">
        <v>20.32</v>
      </c>
      <c r="AA258" s="519">
        <v>45.53</v>
      </c>
      <c r="AB258" s="519">
        <v>26.37</v>
      </c>
      <c r="AC258" s="732">
        <f t="shared" si="3"/>
        <v>71.900000000000006</v>
      </c>
      <c r="AD258" s="664"/>
      <c r="AE258" s="664"/>
      <c r="AF258" s="664"/>
      <c r="AG258" s="664"/>
      <c r="AH258" s="664"/>
      <c r="AI258" s="664"/>
      <c r="AJ258" s="485"/>
      <c r="AK258" s="485"/>
      <c r="AL258" s="485"/>
      <c r="AM258" s="485"/>
      <c r="AN258" s="485"/>
      <c r="AO258" s="665"/>
      <c r="AP258" s="485"/>
      <c r="AQ258" s="483"/>
      <c r="AR258" s="755">
        <v>0</v>
      </c>
      <c r="AS258" s="483">
        <v>18.399999999999999</v>
      </c>
      <c r="AT258" s="755">
        <v>0</v>
      </c>
      <c r="AU258" s="483">
        <v>46</v>
      </c>
      <c r="AV258" s="484">
        <v>779.6</v>
      </c>
      <c r="AW258" s="484">
        <v>985.3</v>
      </c>
      <c r="AX258" s="453">
        <v>27</v>
      </c>
      <c r="AY258" s="734">
        <v>0</v>
      </c>
      <c r="AZ258" s="734">
        <v>0</v>
      </c>
      <c r="BA258" s="734">
        <v>0</v>
      </c>
      <c r="BB258" s="453">
        <v>0</v>
      </c>
      <c r="BC258" s="453">
        <v>1.51</v>
      </c>
      <c r="BD258" s="453">
        <v>2.19</v>
      </c>
      <c r="BE258" s="734">
        <v>0</v>
      </c>
      <c r="BF258" s="453">
        <v>0.27</v>
      </c>
      <c r="BG258" s="453">
        <v>0</v>
      </c>
      <c r="BH258" s="734">
        <v>0</v>
      </c>
      <c r="BI258" s="453">
        <v>1.89</v>
      </c>
      <c r="BJ258" s="453">
        <v>20.6</v>
      </c>
      <c r="BK258" s="453">
        <v>3.39</v>
      </c>
      <c r="BL258" s="453">
        <v>8.11</v>
      </c>
      <c r="BM258" s="453">
        <v>0</v>
      </c>
      <c r="BN258" s="453">
        <v>9.1</v>
      </c>
      <c r="BO258" s="453">
        <v>2954.2</v>
      </c>
      <c r="BP258" s="453">
        <v>0</v>
      </c>
      <c r="BQ258" s="453">
        <v>19.7</v>
      </c>
      <c r="BR258" s="453">
        <v>19.7</v>
      </c>
      <c r="BS258" s="453">
        <v>0</v>
      </c>
      <c r="BT258" s="453">
        <v>43.4</v>
      </c>
      <c r="BU258" s="453">
        <v>43.5</v>
      </c>
      <c r="BV258" s="456">
        <v>983.3</v>
      </c>
      <c r="BW258" s="453">
        <v>2.3199999999999998</v>
      </c>
      <c r="BX258" s="453">
        <v>1.36</v>
      </c>
      <c r="BY258" s="456">
        <v>0.89</v>
      </c>
      <c r="BZ258" s="456">
        <v>19.73</v>
      </c>
      <c r="CA258" s="456">
        <v>33.5</v>
      </c>
      <c r="CB258" s="456">
        <v>18.8</v>
      </c>
      <c r="CC258" s="456">
        <v>9.8000000000000007</v>
      </c>
      <c r="CD258" s="456">
        <v>13.97</v>
      </c>
      <c r="CE258" s="456">
        <v>18.27</v>
      </c>
      <c r="CF258" s="456">
        <v>12.83</v>
      </c>
      <c r="CG258" s="456">
        <v>0</v>
      </c>
      <c r="CH258" s="456">
        <v>7.8</v>
      </c>
      <c r="CI258" s="456">
        <v>12.7</v>
      </c>
      <c r="CJ258" s="456">
        <v>782.9</v>
      </c>
      <c r="CK258" s="456">
        <v>884.4</v>
      </c>
      <c r="CL258" s="456">
        <v>732</v>
      </c>
      <c r="CM258" s="456">
        <v>4.9000000000000004</v>
      </c>
      <c r="CN258" s="456">
        <v>1.48</v>
      </c>
      <c r="CO258" s="453">
        <v>6801.5</v>
      </c>
      <c r="CP258" s="453">
        <v>17.559999999999999</v>
      </c>
      <c r="CQ258" s="453">
        <v>58</v>
      </c>
      <c r="CR258" s="456">
        <v>0</v>
      </c>
      <c r="CS258" s="456">
        <v>0</v>
      </c>
      <c r="CT258" s="456">
        <v>0</v>
      </c>
      <c r="CU258" s="456">
        <v>0</v>
      </c>
      <c r="CV258" s="481">
        <v>289.45833333333331</v>
      </c>
      <c r="CW258" s="481">
        <v>314.60416666666669</v>
      </c>
      <c r="CX258" s="481">
        <v>185.63541666666666</v>
      </c>
      <c r="CY258" s="481">
        <v>1153.04</v>
      </c>
      <c r="CZ258" s="456"/>
      <c r="DA258" s="456"/>
      <c r="DB258" s="456"/>
      <c r="DC258" s="456"/>
      <c r="DD258" s="456"/>
      <c r="DE258" s="456"/>
      <c r="DF258" s="456"/>
      <c r="DG258" s="425"/>
      <c r="DH258" s="456">
        <v>59</v>
      </c>
      <c r="DI258" s="456">
        <v>0.13</v>
      </c>
      <c r="DJ258" s="456">
        <v>0</v>
      </c>
      <c r="DK258" s="425"/>
      <c r="DL258" s="456"/>
      <c r="DM258" s="456"/>
      <c r="DN258" s="456"/>
      <c r="DO258" s="456"/>
      <c r="DP258" s="456"/>
      <c r="DQ258" s="456"/>
      <c r="DR258" s="456"/>
      <c r="DS258" s="456"/>
      <c r="DT258" s="456"/>
      <c r="DU258" s="456"/>
      <c r="DV258" s="456"/>
      <c r="DW258" s="456"/>
      <c r="DX258" s="456"/>
      <c r="DY258" s="456"/>
      <c r="DZ258" s="456"/>
      <c r="EA258" s="456"/>
      <c r="EB258" s="456"/>
      <c r="EC258" s="456"/>
      <c r="ED258" s="456">
        <v>0</v>
      </c>
      <c r="EE258" s="456">
        <v>2</v>
      </c>
      <c r="EF258" s="456">
        <v>4.5</v>
      </c>
      <c r="EG258" s="456">
        <v>10.5</v>
      </c>
      <c r="EH258" s="423">
        <v>0</v>
      </c>
      <c r="EI258" s="456"/>
      <c r="EJ258" s="456"/>
      <c r="EK258" s="456"/>
      <c r="EL258" s="456"/>
      <c r="EM258" s="456"/>
      <c r="EN258" s="456"/>
      <c r="EO258" s="425"/>
      <c r="EP258" s="425"/>
      <c r="EQ258" s="425" t="s">
        <v>743</v>
      </c>
      <c r="ER258" s="425">
        <v>1</v>
      </c>
      <c r="ES258" s="425">
        <v>4</v>
      </c>
      <c r="ET258" s="425">
        <v>4000</v>
      </c>
      <c r="EU258" s="457">
        <v>2840</v>
      </c>
      <c r="EV258" s="425">
        <v>230</v>
      </c>
      <c r="EW258" s="425">
        <v>7241952</v>
      </c>
      <c r="EX258" s="425">
        <v>22787</v>
      </c>
      <c r="EY258" s="666">
        <v>19.5</v>
      </c>
      <c r="EZ258" s="666">
        <v>19.5</v>
      </c>
      <c r="FA258" s="666">
        <v>0</v>
      </c>
      <c r="FB258" s="666">
        <v>1.35</v>
      </c>
      <c r="FC258" s="666">
        <v>1.35</v>
      </c>
      <c r="FD258" s="666">
        <v>1.08</v>
      </c>
      <c r="FE258" s="666">
        <v>1.05</v>
      </c>
      <c r="FF258" s="666">
        <v>200</v>
      </c>
      <c r="FG258" s="666">
        <v>0.92</v>
      </c>
      <c r="FH258" s="666">
        <v>0.41</v>
      </c>
      <c r="FI258" s="666">
        <v>0.85</v>
      </c>
      <c r="FJ258" s="666">
        <v>7.54</v>
      </c>
      <c r="FK258" s="666">
        <v>7.8</v>
      </c>
      <c r="FL258" s="666">
        <v>7.95</v>
      </c>
      <c r="FM258" s="666">
        <v>7.6</v>
      </c>
      <c r="FN258" s="666">
        <v>0</v>
      </c>
    </row>
    <row r="259" spans="1:170" s="416" customFormat="1" ht="15">
      <c r="A259" s="425" t="s">
        <v>8</v>
      </c>
      <c r="B259" s="426">
        <v>40788</v>
      </c>
      <c r="C259" s="418">
        <v>0</v>
      </c>
      <c r="D259" s="518">
        <v>0</v>
      </c>
      <c r="E259" s="453">
        <v>0</v>
      </c>
      <c r="F259" s="453">
        <v>53</v>
      </c>
      <c r="G259" s="453">
        <v>0.2</v>
      </c>
      <c r="H259" s="519">
        <v>2.29</v>
      </c>
      <c r="I259" s="519">
        <v>94.3</v>
      </c>
      <c r="J259" s="483">
        <v>0.83</v>
      </c>
      <c r="K259" s="520">
        <v>0.8</v>
      </c>
      <c r="L259" s="453">
        <v>0</v>
      </c>
      <c r="M259" s="453" t="s">
        <v>742</v>
      </c>
      <c r="N259" s="453">
        <v>1.7</v>
      </c>
      <c r="O259" s="453">
        <v>2.1487656806002988</v>
      </c>
      <c r="P259" s="453">
        <v>1.62</v>
      </c>
      <c r="Q259" s="453">
        <v>2.1967389419825496</v>
      </c>
      <c r="R259" s="453">
        <v>1369.1459603698809</v>
      </c>
      <c r="S259" s="453">
        <v>8</v>
      </c>
      <c r="T259" s="453">
        <v>7.79</v>
      </c>
      <c r="U259" s="453">
        <v>0.62</v>
      </c>
      <c r="V259" s="453">
        <v>0.61</v>
      </c>
      <c r="W259" s="453">
        <v>59.180000000000007</v>
      </c>
      <c r="X259" s="456">
        <v>59.360000000000014</v>
      </c>
      <c r="Y259" s="453">
        <v>46.77</v>
      </c>
      <c r="Z259" s="453">
        <v>31.31</v>
      </c>
      <c r="AA259" s="519">
        <v>46.26</v>
      </c>
      <c r="AB259" s="519">
        <v>30.67</v>
      </c>
      <c r="AC259" s="732">
        <f t="shared" si="3"/>
        <v>76.930000000000007</v>
      </c>
      <c r="AD259" s="664"/>
      <c r="AE259" s="664"/>
      <c r="AF259" s="664"/>
      <c r="AG259" s="664"/>
      <c r="AH259" s="664"/>
      <c r="AI259" s="664"/>
      <c r="AJ259" s="485"/>
      <c r="AK259" s="485"/>
      <c r="AL259" s="485"/>
      <c r="AM259" s="485"/>
      <c r="AN259" s="485"/>
      <c r="AO259" s="665"/>
      <c r="AP259" s="485"/>
      <c r="AQ259" s="483"/>
      <c r="AR259" s="755">
        <v>0</v>
      </c>
      <c r="AS259" s="483">
        <v>36.6</v>
      </c>
      <c r="AT259" s="755">
        <v>0</v>
      </c>
      <c r="AU259" s="483">
        <v>46.2</v>
      </c>
      <c r="AV259" s="484">
        <v>773.4</v>
      </c>
      <c r="AW259" s="484">
        <v>1001.4</v>
      </c>
      <c r="AX259" s="453">
        <v>43.2</v>
      </c>
      <c r="AY259" s="734">
        <v>0</v>
      </c>
      <c r="AZ259" s="734">
        <v>0</v>
      </c>
      <c r="BA259" s="734">
        <v>0</v>
      </c>
      <c r="BB259" s="453">
        <v>0</v>
      </c>
      <c r="BC259" s="453">
        <v>1.74</v>
      </c>
      <c r="BD259" s="453">
        <v>1.98</v>
      </c>
      <c r="BE259" s="734">
        <v>0</v>
      </c>
      <c r="BF259" s="453">
        <v>0.5</v>
      </c>
      <c r="BG259" s="453">
        <v>0</v>
      </c>
      <c r="BH259" s="734">
        <v>0</v>
      </c>
      <c r="BI259" s="453">
        <v>1.92</v>
      </c>
      <c r="BJ259" s="453">
        <v>24.6</v>
      </c>
      <c r="BK259" s="453">
        <v>4.28</v>
      </c>
      <c r="BL259" s="453">
        <v>6.67</v>
      </c>
      <c r="BM259" s="453">
        <v>0</v>
      </c>
      <c r="BN259" s="453">
        <v>13.6</v>
      </c>
      <c r="BO259" s="453">
        <v>2850.1</v>
      </c>
      <c r="BP259" s="453">
        <v>0</v>
      </c>
      <c r="BQ259" s="453">
        <v>20</v>
      </c>
      <c r="BR259" s="453">
        <v>20</v>
      </c>
      <c r="BS259" s="453">
        <v>0</v>
      </c>
      <c r="BT259" s="453">
        <v>44.3</v>
      </c>
      <c r="BU259" s="453">
        <v>38.9</v>
      </c>
      <c r="BV259" s="456">
        <v>1045.3</v>
      </c>
      <c r="BW259" s="453">
        <v>2.2599999999999998</v>
      </c>
      <c r="BX259" s="453">
        <v>1.35</v>
      </c>
      <c r="BY259" s="456">
        <v>0.87</v>
      </c>
      <c r="BZ259" s="456">
        <v>19.5</v>
      </c>
      <c r="CA259" s="456">
        <v>33.799999999999997</v>
      </c>
      <c r="CB259" s="456">
        <v>17.329999999999998</v>
      </c>
      <c r="CC259" s="456">
        <v>10.199999999999999</v>
      </c>
      <c r="CD259" s="456">
        <v>14.3</v>
      </c>
      <c r="CE259" s="456">
        <v>18.600000000000001</v>
      </c>
      <c r="CF259" s="456">
        <v>12.7</v>
      </c>
      <c r="CG259" s="456">
        <v>0</v>
      </c>
      <c r="CH259" s="456">
        <v>7.4</v>
      </c>
      <c r="CI259" s="456">
        <v>12.3</v>
      </c>
      <c r="CJ259" s="456">
        <v>935.4</v>
      </c>
      <c r="CK259" s="456">
        <v>987.6</v>
      </c>
      <c r="CL259" s="456">
        <v>743.5</v>
      </c>
      <c r="CM259" s="456">
        <v>4.2</v>
      </c>
      <c r="CN259" s="456">
        <v>1.4</v>
      </c>
      <c r="CO259" s="453">
        <v>6273.7</v>
      </c>
      <c r="CP259" s="453">
        <v>17.13</v>
      </c>
      <c r="CQ259" s="453">
        <v>58</v>
      </c>
      <c r="CR259" s="456">
        <v>0</v>
      </c>
      <c r="CS259" s="456">
        <v>0</v>
      </c>
      <c r="CT259" s="456">
        <v>0</v>
      </c>
      <c r="CU259" s="456">
        <v>0</v>
      </c>
      <c r="CV259" s="481">
        <v>309</v>
      </c>
      <c r="CW259" s="481">
        <v>322.60416666666669</v>
      </c>
      <c r="CX259" s="481">
        <v>198.20833333333334</v>
      </c>
      <c r="CY259" s="481">
        <v>1152.74</v>
      </c>
      <c r="CZ259" s="456"/>
      <c r="DA259" s="456"/>
      <c r="DB259" s="456"/>
      <c r="DC259" s="456"/>
      <c r="DD259" s="456"/>
      <c r="DE259" s="456"/>
      <c r="DF259" s="456"/>
      <c r="DG259" s="425"/>
      <c r="DH259" s="456">
        <v>64</v>
      </c>
      <c r="DI259" s="456">
        <v>0.14000000000000001</v>
      </c>
      <c r="DJ259" s="456">
        <v>0</v>
      </c>
      <c r="DK259" s="425"/>
      <c r="DL259" s="456"/>
      <c r="DM259" s="456"/>
      <c r="DN259" s="456"/>
      <c r="DO259" s="456"/>
      <c r="DP259" s="456"/>
      <c r="DQ259" s="456"/>
      <c r="DR259" s="456"/>
      <c r="DS259" s="456"/>
      <c r="DT259" s="456"/>
      <c r="DU259" s="456"/>
      <c r="DV259" s="456"/>
      <c r="DW259" s="456"/>
      <c r="DX259" s="456"/>
      <c r="DY259" s="456"/>
      <c r="DZ259" s="456"/>
      <c r="EA259" s="456"/>
      <c r="EB259" s="456"/>
      <c r="EC259" s="456"/>
      <c r="ED259" s="456">
        <v>0</v>
      </c>
      <c r="EE259" s="456">
        <v>2</v>
      </c>
      <c r="EF259" s="456">
        <v>4.5</v>
      </c>
      <c r="EG259" s="456">
        <v>10.5</v>
      </c>
      <c r="EH259" s="423">
        <v>0</v>
      </c>
      <c r="EI259" s="456"/>
      <c r="EJ259" s="456"/>
      <c r="EK259" s="456"/>
      <c r="EL259" s="456"/>
      <c r="EM259" s="456"/>
      <c r="EN259" s="456"/>
      <c r="EO259" s="425"/>
      <c r="EP259" s="425"/>
      <c r="EQ259" s="425" t="s">
        <v>743</v>
      </c>
      <c r="ER259" s="425">
        <v>1</v>
      </c>
      <c r="ES259" s="425">
        <v>4</v>
      </c>
      <c r="ET259" s="425">
        <v>4000</v>
      </c>
      <c r="EU259" s="457">
        <v>2630</v>
      </c>
      <c r="EV259" s="425">
        <v>230</v>
      </c>
      <c r="EW259" s="425">
        <v>7245772</v>
      </c>
      <c r="EX259" s="425">
        <v>23444</v>
      </c>
      <c r="EY259" s="666">
        <v>19.5</v>
      </c>
      <c r="EZ259" s="666">
        <v>19.5</v>
      </c>
      <c r="FA259" s="666">
        <v>0</v>
      </c>
      <c r="FB259" s="666">
        <v>1.35</v>
      </c>
      <c r="FC259" s="666">
        <v>1.37</v>
      </c>
      <c r="FD259" s="666">
        <v>0.94</v>
      </c>
      <c r="FE259" s="666">
        <v>0.95</v>
      </c>
      <c r="FF259" s="666">
        <v>210</v>
      </c>
      <c r="FG259" s="666">
        <v>1.01</v>
      </c>
      <c r="FH259" s="666">
        <v>0.42</v>
      </c>
      <c r="FI259" s="666">
        <v>0.9</v>
      </c>
      <c r="FJ259" s="666">
        <v>7.89</v>
      </c>
      <c r="FK259" s="666">
        <v>8</v>
      </c>
      <c r="FL259" s="666">
        <v>7.84</v>
      </c>
      <c r="FM259" s="666">
        <v>7.5</v>
      </c>
      <c r="FN259" s="666">
        <v>0</v>
      </c>
    </row>
    <row r="260" spans="1:170" s="416" customFormat="1" ht="15">
      <c r="A260" s="425" t="s">
        <v>9</v>
      </c>
      <c r="B260" s="426">
        <v>40789</v>
      </c>
      <c r="C260" s="418">
        <v>0</v>
      </c>
      <c r="D260" s="518">
        <v>0</v>
      </c>
      <c r="E260" s="453">
        <v>0</v>
      </c>
      <c r="F260" s="453">
        <v>67</v>
      </c>
      <c r="G260" s="453">
        <v>0.2</v>
      </c>
      <c r="H260" s="519">
        <v>1.18</v>
      </c>
      <c r="I260" s="519">
        <v>92.6</v>
      </c>
      <c r="J260" s="483">
        <v>0.86</v>
      </c>
      <c r="K260" s="520">
        <v>0.84</v>
      </c>
      <c r="L260" s="453">
        <v>0</v>
      </c>
      <c r="M260" s="453" t="s">
        <v>742</v>
      </c>
      <c r="N260" s="453">
        <v>1.68</v>
      </c>
      <c r="O260" s="453">
        <v>2.1634378691681633</v>
      </c>
      <c r="P260" s="453">
        <v>1.59</v>
      </c>
      <c r="Q260" s="453">
        <v>2.1550244852751592</v>
      </c>
      <c r="R260" s="453">
        <v>1352.9507159841478</v>
      </c>
      <c r="S260" s="453">
        <v>8.06</v>
      </c>
      <c r="T260" s="453">
        <v>7.91</v>
      </c>
      <c r="U260" s="453">
        <v>0.62</v>
      </c>
      <c r="V260" s="453">
        <v>0.62</v>
      </c>
      <c r="W260" s="453">
        <v>56.120000000000005</v>
      </c>
      <c r="X260" s="456">
        <v>56.120000000000005</v>
      </c>
      <c r="Y260" s="453">
        <v>45.68</v>
      </c>
      <c r="Z260" s="453">
        <v>30.02</v>
      </c>
      <c r="AA260" s="519">
        <v>45.099999999991269</v>
      </c>
      <c r="AB260" s="519">
        <v>29.729999999995925</v>
      </c>
      <c r="AC260" s="732">
        <f t="shared" si="3"/>
        <v>74.829999999987194</v>
      </c>
      <c r="AD260" s="664"/>
      <c r="AE260" s="664"/>
      <c r="AF260" s="664"/>
      <c r="AG260" s="664"/>
      <c r="AH260" s="664"/>
      <c r="AI260" s="664"/>
      <c r="AJ260" s="485"/>
      <c r="AK260" s="485"/>
      <c r="AL260" s="485"/>
      <c r="AM260" s="485"/>
      <c r="AN260" s="485"/>
      <c r="AO260" s="665"/>
      <c r="AP260" s="485"/>
      <c r="AQ260" s="483"/>
      <c r="AR260" s="755">
        <v>0</v>
      </c>
      <c r="AS260" s="483">
        <v>39.1</v>
      </c>
      <c r="AT260" s="755">
        <v>0</v>
      </c>
      <c r="AU260" s="483">
        <v>45.7</v>
      </c>
      <c r="AV260" s="484">
        <v>812.5</v>
      </c>
      <c r="AW260" s="484">
        <v>1032.3</v>
      </c>
      <c r="AX260" s="453">
        <v>32.299999999999997</v>
      </c>
      <c r="AY260" s="734">
        <v>0</v>
      </c>
      <c r="AZ260" s="734">
        <v>0</v>
      </c>
      <c r="BA260" s="734">
        <v>0</v>
      </c>
      <c r="BB260" s="453">
        <v>0</v>
      </c>
      <c r="BC260" s="453">
        <v>1.86</v>
      </c>
      <c r="BD260" s="453">
        <v>2.48</v>
      </c>
      <c r="BE260" s="734">
        <v>0</v>
      </c>
      <c r="BF260" s="453">
        <v>0.56000000000000005</v>
      </c>
      <c r="BG260" s="453">
        <v>0</v>
      </c>
      <c r="BH260" s="734">
        <v>0</v>
      </c>
      <c r="BI260" s="453">
        <v>1.98</v>
      </c>
      <c r="BJ260" s="453">
        <v>23.3</v>
      </c>
      <c r="BK260" s="453">
        <v>4.62</v>
      </c>
      <c r="BL260" s="453">
        <v>5.93</v>
      </c>
      <c r="BM260" s="453">
        <v>0</v>
      </c>
      <c r="BN260" s="453">
        <v>12.7</v>
      </c>
      <c r="BO260" s="453">
        <v>2880.2</v>
      </c>
      <c r="BP260" s="453">
        <v>0</v>
      </c>
      <c r="BQ260" s="453">
        <v>19.600000000000001</v>
      </c>
      <c r="BR260" s="453">
        <v>19.600000000000001</v>
      </c>
      <c r="BS260" s="453">
        <v>0</v>
      </c>
      <c r="BT260" s="453">
        <v>43.4</v>
      </c>
      <c r="BU260" s="453">
        <v>41.7</v>
      </c>
      <c r="BV260" s="456">
        <v>1131.7</v>
      </c>
      <c r="BW260" s="453">
        <v>3.08</v>
      </c>
      <c r="BX260" s="453">
        <v>1.34</v>
      </c>
      <c r="BY260" s="456">
        <v>0.9</v>
      </c>
      <c r="BZ260" s="456">
        <v>19.5</v>
      </c>
      <c r="CA260" s="456">
        <v>33.5</v>
      </c>
      <c r="CB260" s="456">
        <v>18.350000000000001</v>
      </c>
      <c r="CC260" s="456">
        <v>10.3</v>
      </c>
      <c r="CD260" s="456">
        <v>14.5</v>
      </c>
      <c r="CE260" s="456">
        <v>18.5</v>
      </c>
      <c r="CF260" s="456">
        <v>12.8</v>
      </c>
      <c r="CG260" s="456">
        <v>0</v>
      </c>
      <c r="CH260" s="456">
        <v>7.6</v>
      </c>
      <c r="CI260" s="456">
        <v>12.4</v>
      </c>
      <c r="CJ260" s="456">
        <v>989.2</v>
      </c>
      <c r="CK260" s="456">
        <v>1028.5</v>
      </c>
      <c r="CL260" s="456">
        <v>687.9</v>
      </c>
      <c r="CM260" s="456">
        <v>4.0999999999999996</v>
      </c>
      <c r="CN260" s="456">
        <v>1.27</v>
      </c>
      <c r="CO260" s="453">
        <v>6295.7</v>
      </c>
      <c r="CP260" s="453">
        <v>17.77</v>
      </c>
      <c r="CQ260" s="453">
        <v>58</v>
      </c>
      <c r="CR260" s="456">
        <v>0</v>
      </c>
      <c r="CS260" s="456">
        <v>0</v>
      </c>
      <c r="CT260" s="456">
        <v>0</v>
      </c>
      <c r="CU260" s="456">
        <v>0</v>
      </c>
      <c r="CV260" s="481">
        <v>308.875</v>
      </c>
      <c r="CW260" s="481">
        <v>327.60416666666669</v>
      </c>
      <c r="CX260" s="481">
        <v>200</v>
      </c>
      <c r="CY260" s="481">
        <v>1152.42</v>
      </c>
      <c r="CZ260" s="456"/>
      <c r="DA260" s="456"/>
      <c r="DB260" s="456"/>
      <c r="DC260" s="456"/>
      <c r="DD260" s="456"/>
      <c r="DE260" s="456"/>
      <c r="DF260" s="456"/>
      <c r="DG260" s="425"/>
      <c r="DH260" s="456">
        <v>64</v>
      </c>
      <c r="DI260" s="456">
        <v>0.11</v>
      </c>
      <c r="DJ260" s="456">
        <v>0</v>
      </c>
      <c r="DK260" s="425"/>
      <c r="DL260" s="456"/>
      <c r="DM260" s="456"/>
      <c r="DN260" s="456"/>
      <c r="DO260" s="456"/>
      <c r="DP260" s="456"/>
      <c r="DQ260" s="456"/>
      <c r="DR260" s="456"/>
      <c r="DS260" s="456"/>
      <c r="DT260" s="456"/>
      <c r="DU260" s="456"/>
      <c r="DV260" s="456"/>
      <c r="DW260" s="456"/>
      <c r="DX260" s="456"/>
      <c r="DY260" s="456"/>
      <c r="DZ260" s="456"/>
      <c r="EA260" s="456"/>
      <c r="EB260" s="456"/>
      <c r="EC260" s="456"/>
      <c r="ED260" s="456">
        <v>0</v>
      </c>
      <c r="EE260" s="456">
        <v>2</v>
      </c>
      <c r="EF260" s="456">
        <v>5.5</v>
      </c>
      <c r="EG260" s="456">
        <v>10.5</v>
      </c>
      <c r="EH260" s="423">
        <v>0</v>
      </c>
      <c r="EI260" s="456"/>
      <c r="EJ260" s="456"/>
      <c r="EK260" s="456"/>
      <c r="EL260" s="456"/>
      <c r="EM260" s="456"/>
      <c r="EN260" s="456"/>
      <c r="EO260" s="425"/>
      <c r="EP260" s="425"/>
      <c r="EQ260" s="425" t="s">
        <v>743</v>
      </c>
      <c r="ER260" s="425">
        <v>1</v>
      </c>
      <c r="ES260" s="425">
        <v>4</v>
      </c>
      <c r="ET260" s="425">
        <v>4000</v>
      </c>
      <c r="EU260" s="457">
        <v>2400</v>
      </c>
      <c r="EV260" s="425">
        <v>200</v>
      </c>
      <c r="EW260" s="425">
        <v>7250035</v>
      </c>
      <c r="EX260" s="425">
        <v>24136</v>
      </c>
      <c r="EY260" s="666">
        <v>19.420000000000002</v>
      </c>
      <c r="EZ260" s="666">
        <v>19.420000000000002</v>
      </c>
      <c r="FA260" s="666">
        <v>0</v>
      </c>
      <c r="FB260" s="666">
        <v>1.38</v>
      </c>
      <c r="FC260" s="666">
        <v>1.35</v>
      </c>
      <c r="FD260" s="666">
        <v>0.92</v>
      </c>
      <c r="FE260" s="666">
        <v>0.9</v>
      </c>
      <c r="FF260" s="666">
        <v>230</v>
      </c>
      <c r="FG260" s="666">
        <v>0.81</v>
      </c>
      <c r="FH260" s="666">
        <v>0.41</v>
      </c>
      <c r="FI260" s="666">
        <v>0.69</v>
      </c>
      <c r="FJ260" s="666">
        <v>8.61</v>
      </c>
      <c r="FK260" s="666">
        <v>7.9</v>
      </c>
      <c r="FL260" s="666">
        <v>7.98</v>
      </c>
      <c r="FM260" s="666">
        <v>7.5</v>
      </c>
      <c r="FN260" s="666">
        <v>0</v>
      </c>
    </row>
    <row r="261" spans="1:170" s="416" customFormat="1" ht="15">
      <c r="A261" s="425" t="s">
        <v>3</v>
      </c>
      <c r="B261" s="426">
        <v>40790</v>
      </c>
      <c r="C261" s="418">
        <v>0</v>
      </c>
      <c r="D261" s="518">
        <v>0</v>
      </c>
      <c r="E261" s="453">
        <v>0</v>
      </c>
      <c r="F261" s="453">
        <v>59</v>
      </c>
      <c r="G261" s="453">
        <v>0.2</v>
      </c>
      <c r="H261" s="519">
        <v>1.22</v>
      </c>
      <c r="I261" s="519">
        <v>93.2</v>
      </c>
      <c r="J261" s="483">
        <v>0.88</v>
      </c>
      <c r="K261" s="520">
        <v>0.85</v>
      </c>
      <c r="L261" s="453">
        <v>0</v>
      </c>
      <c r="M261" s="453" t="s">
        <v>742</v>
      </c>
      <c r="N261" s="453">
        <v>1.65</v>
      </c>
      <c r="O261" s="453">
        <v>2.1562360067691508</v>
      </c>
      <c r="P261" s="453">
        <v>1.53</v>
      </c>
      <c r="Q261" s="453">
        <v>2.1597888498848117</v>
      </c>
      <c r="R261" s="453">
        <v>1371.7371994715982</v>
      </c>
      <c r="S261" s="453">
        <v>8.0299999999999994</v>
      </c>
      <c r="T261" s="453">
        <v>7.88</v>
      </c>
      <c r="U261" s="453">
        <v>0.76</v>
      </c>
      <c r="V261" s="453">
        <v>0.75</v>
      </c>
      <c r="W261" s="453">
        <v>56.3</v>
      </c>
      <c r="X261" s="456">
        <v>56.120000000000005</v>
      </c>
      <c r="Y261" s="453">
        <v>45.18</v>
      </c>
      <c r="Z261" s="453">
        <v>30.04</v>
      </c>
      <c r="AA261" s="519">
        <v>45.740000000005239</v>
      </c>
      <c r="AB261" s="519">
        <v>30.220000000001164</v>
      </c>
      <c r="AC261" s="732">
        <f t="shared" si="3"/>
        <v>75.960000000006403</v>
      </c>
      <c r="AD261" s="664"/>
      <c r="AE261" s="664"/>
      <c r="AF261" s="664"/>
      <c r="AG261" s="664"/>
      <c r="AH261" s="664"/>
      <c r="AI261" s="664"/>
      <c r="AJ261" s="485"/>
      <c r="AK261" s="485"/>
      <c r="AL261" s="485"/>
      <c r="AM261" s="485"/>
      <c r="AN261" s="485"/>
      <c r="AO261" s="665"/>
      <c r="AP261" s="485"/>
      <c r="AQ261" s="483"/>
      <c r="AR261" s="755">
        <v>0</v>
      </c>
      <c r="AS261" s="483">
        <v>41.6</v>
      </c>
      <c r="AT261" s="755">
        <v>0</v>
      </c>
      <c r="AU261" s="483">
        <v>45</v>
      </c>
      <c r="AV261" s="484">
        <v>835.2</v>
      </c>
      <c r="AW261" s="484">
        <v>1076.5999999999999</v>
      </c>
      <c r="AX261" s="453">
        <v>35.700000000000003</v>
      </c>
      <c r="AY261" s="734">
        <v>0</v>
      </c>
      <c r="AZ261" s="734">
        <v>0</v>
      </c>
      <c r="BA261" s="734">
        <v>0</v>
      </c>
      <c r="BB261" s="453">
        <v>0</v>
      </c>
      <c r="BC261" s="453">
        <v>2.36</v>
      </c>
      <c r="BD261" s="453">
        <v>2.42</v>
      </c>
      <c r="BE261" s="734">
        <v>0</v>
      </c>
      <c r="BF261" s="453">
        <v>0.5</v>
      </c>
      <c r="BG261" s="453">
        <v>0</v>
      </c>
      <c r="BH261" s="734">
        <v>0</v>
      </c>
      <c r="BI261" s="453">
        <v>1.98</v>
      </c>
      <c r="BJ261" s="453">
        <v>22.9</v>
      </c>
      <c r="BK261" s="453">
        <v>4.6100000000000003</v>
      </c>
      <c r="BL261" s="453">
        <v>5.93</v>
      </c>
      <c r="BM261" s="453">
        <v>0</v>
      </c>
      <c r="BN261" s="453">
        <v>12.3</v>
      </c>
      <c r="BO261" s="453">
        <v>3050.7</v>
      </c>
      <c r="BP261" s="453">
        <v>0</v>
      </c>
      <c r="BQ261" s="453">
        <v>19</v>
      </c>
      <c r="BR261" s="453">
        <v>19</v>
      </c>
      <c r="BS261" s="453">
        <v>0</v>
      </c>
      <c r="BT261" s="453">
        <v>43.3</v>
      </c>
      <c r="BU261" s="453">
        <v>42.6</v>
      </c>
      <c r="BV261" s="456">
        <v>1132.7</v>
      </c>
      <c r="BW261" s="453">
        <v>1.72</v>
      </c>
      <c r="BX261" s="453">
        <v>1.35</v>
      </c>
      <c r="BY261" s="456">
        <v>0.9</v>
      </c>
      <c r="BZ261" s="456">
        <v>19.3</v>
      </c>
      <c r="CA261" s="456">
        <v>32.700000000000003</v>
      </c>
      <c r="CB261" s="456">
        <v>18.100000000000001</v>
      </c>
      <c r="CC261" s="456">
        <v>10.5</v>
      </c>
      <c r="CD261" s="456">
        <v>14.7</v>
      </c>
      <c r="CE261" s="456">
        <v>18.899999999999999</v>
      </c>
      <c r="CF261" s="456">
        <v>12.8</v>
      </c>
      <c r="CG261" s="456">
        <v>0</v>
      </c>
      <c r="CH261" s="456">
        <v>7.2</v>
      </c>
      <c r="CI261" s="456">
        <v>12</v>
      </c>
      <c r="CJ261" s="456">
        <v>1031.4000000000001</v>
      </c>
      <c r="CK261" s="456">
        <v>1063.3</v>
      </c>
      <c r="CL261" s="456">
        <v>688.5</v>
      </c>
      <c r="CM261" s="456">
        <v>4.2</v>
      </c>
      <c r="CN261" s="456">
        <v>1.3</v>
      </c>
      <c r="CO261" s="453">
        <v>6305.2</v>
      </c>
      <c r="CP261" s="453">
        <v>17.559999999999999</v>
      </c>
      <c r="CQ261" s="453">
        <v>58</v>
      </c>
      <c r="CR261" s="456">
        <v>0</v>
      </c>
      <c r="CS261" s="456">
        <v>0</v>
      </c>
      <c r="CT261" s="456">
        <v>0</v>
      </c>
      <c r="CU261" s="456">
        <v>0</v>
      </c>
      <c r="CV261" s="481">
        <v>308.375</v>
      </c>
      <c r="CW261" s="481">
        <v>326.34375</v>
      </c>
      <c r="CX261" s="481">
        <v>199.42708333333334</v>
      </c>
      <c r="CY261" s="481">
        <v>1152.0999999999999</v>
      </c>
      <c r="CZ261" s="456"/>
      <c r="DA261" s="456"/>
      <c r="DB261" s="456"/>
      <c r="DC261" s="456"/>
      <c r="DD261" s="456"/>
      <c r="DE261" s="456"/>
      <c r="DF261" s="456"/>
      <c r="DG261" s="425"/>
      <c r="DH261" s="456">
        <v>61</v>
      </c>
      <c r="DI261" s="456">
        <v>0.1</v>
      </c>
      <c r="DJ261" s="456">
        <v>0</v>
      </c>
      <c r="DK261" s="425"/>
      <c r="DL261" s="456"/>
      <c r="DM261" s="456"/>
      <c r="DN261" s="456"/>
      <c r="DO261" s="456"/>
      <c r="DP261" s="456"/>
      <c r="DQ261" s="456"/>
      <c r="DR261" s="456"/>
      <c r="DS261" s="456"/>
      <c r="DT261" s="456"/>
      <c r="DU261" s="456"/>
      <c r="DV261" s="456"/>
      <c r="DW261" s="456"/>
      <c r="DX261" s="456"/>
      <c r="DY261" s="456"/>
      <c r="DZ261" s="456"/>
      <c r="EA261" s="456"/>
      <c r="EB261" s="456"/>
      <c r="EC261" s="456"/>
      <c r="ED261" s="456">
        <v>0</v>
      </c>
      <c r="EE261" s="456">
        <v>2</v>
      </c>
      <c r="EF261" s="456">
        <v>5.5</v>
      </c>
      <c r="EG261" s="456">
        <v>10.5</v>
      </c>
      <c r="EH261" s="423">
        <v>0</v>
      </c>
      <c r="EI261" s="456"/>
      <c r="EJ261" s="456"/>
      <c r="EK261" s="456"/>
      <c r="EL261" s="456"/>
      <c r="EM261" s="456"/>
      <c r="EN261" s="456"/>
      <c r="EO261" s="425"/>
      <c r="EP261" s="425"/>
      <c r="EQ261" s="425" t="s">
        <v>743</v>
      </c>
      <c r="ER261" s="425">
        <v>1</v>
      </c>
      <c r="ES261" s="425">
        <v>4</v>
      </c>
      <c r="ET261" s="425">
        <v>4000</v>
      </c>
      <c r="EU261" s="457">
        <v>2200</v>
      </c>
      <c r="EV261" s="425">
        <v>200</v>
      </c>
      <c r="EW261" s="425">
        <v>7254335</v>
      </c>
      <c r="EX261" s="425">
        <v>24818</v>
      </c>
      <c r="EY261" s="666">
        <v>18.899999999999999</v>
      </c>
      <c r="EZ261" s="666">
        <v>18.899999999999999</v>
      </c>
      <c r="FA261" s="666">
        <v>0</v>
      </c>
      <c r="FB261" s="666">
        <v>1.39</v>
      </c>
      <c r="FC261" s="666">
        <v>1.37</v>
      </c>
      <c r="FD261" s="666">
        <v>0.96</v>
      </c>
      <c r="FE261" s="666">
        <v>0.95</v>
      </c>
      <c r="FF261" s="666">
        <v>200</v>
      </c>
      <c r="FG261" s="666">
        <v>0.79</v>
      </c>
      <c r="FH261" s="666">
        <v>0.4</v>
      </c>
      <c r="FI261" s="666">
        <v>0.7</v>
      </c>
      <c r="FJ261" s="666">
        <v>8.41</v>
      </c>
      <c r="FK261" s="666">
        <v>7.9</v>
      </c>
      <c r="FL261" s="666">
        <v>7.98</v>
      </c>
      <c r="FM261" s="666">
        <v>7.5</v>
      </c>
      <c r="FN261" s="666">
        <v>0</v>
      </c>
    </row>
    <row r="262" spans="1:170" s="416" customFormat="1" ht="15">
      <c r="A262" s="425" t="s">
        <v>4</v>
      </c>
      <c r="B262" s="426">
        <v>40791</v>
      </c>
      <c r="C262" s="418">
        <v>0</v>
      </c>
      <c r="D262" s="518">
        <v>0</v>
      </c>
      <c r="E262" s="453">
        <v>0</v>
      </c>
      <c r="F262" s="453">
        <v>59</v>
      </c>
      <c r="G262" s="453">
        <v>0.4</v>
      </c>
      <c r="H262" s="519">
        <v>1.06</v>
      </c>
      <c r="I262" s="519">
        <v>92.6</v>
      </c>
      <c r="J262" s="483">
        <v>1</v>
      </c>
      <c r="K262" s="520">
        <v>0.92</v>
      </c>
      <c r="L262" s="453">
        <v>0</v>
      </c>
      <c r="M262" s="453" t="s">
        <v>742</v>
      </c>
      <c r="N262" s="453">
        <v>1.61</v>
      </c>
      <c r="O262" s="453">
        <v>2.1789603576978953</v>
      </c>
      <c r="P262" s="453">
        <v>1.56</v>
      </c>
      <c r="Q262" s="453">
        <v>2.1839560330001526</v>
      </c>
      <c r="R262" s="453">
        <v>1368.1742457067369</v>
      </c>
      <c r="S262" s="453">
        <v>8</v>
      </c>
      <c r="T262" s="453">
        <v>7.81</v>
      </c>
      <c r="U262" s="453">
        <v>0.79</v>
      </c>
      <c r="V262" s="453">
        <v>0.79</v>
      </c>
      <c r="W262" s="453">
        <v>58.460000000000008</v>
      </c>
      <c r="X262" s="456">
        <v>58.460000000000008</v>
      </c>
      <c r="Y262" s="453">
        <v>45.55</v>
      </c>
      <c r="Z262" s="453">
        <v>30.01</v>
      </c>
      <c r="AA262" s="519">
        <v>45.160000000003492</v>
      </c>
      <c r="AB262" s="519">
        <v>29.75</v>
      </c>
      <c r="AC262" s="732">
        <f t="shared" si="3"/>
        <v>74.910000000003492</v>
      </c>
      <c r="AD262" s="664"/>
      <c r="AE262" s="664"/>
      <c r="AF262" s="664"/>
      <c r="AG262" s="664"/>
      <c r="AH262" s="664"/>
      <c r="AI262" s="664"/>
      <c r="AJ262" s="485"/>
      <c r="AK262" s="485"/>
      <c r="AL262" s="485"/>
      <c r="AM262" s="485"/>
      <c r="AN262" s="485"/>
      <c r="AO262" s="665"/>
      <c r="AP262" s="485"/>
      <c r="AQ262" s="483"/>
      <c r="AR262" s="755">
        <v>0</v>
      </c>
      <c r="AS262" s="483">
        <v>45</v>
      </c>
      <c r="AT262" s="755">
        <v>0</v>
      </c>
      <c r="AU262" s="483">
        <v>45.3</v>
      </c>
      <c r="AV262" s="484">
        <v>964.8</v>
      </c>
      <c r="AW262" s="484">
        <v>1238.9000000000001</v>
      </c>
      <c r="AX262" s="453">
        <v>49.2</v>
      </c>
      <c r="AY262" s="734">
        <v>0</v>
      </c>
      <c r="AZ262" s="734">
        <v>0</v>
      </c>
      <c r="BA262" s="734">
        <v>0</v>
      </c>
      <c r="BB262" s="453">
        <v>0</v>
      </c>
      <c r="BC262" s="453">
        <v>1.66</v>
      </c>
      <c r="BD262" s="453">
        <v>2.34</v>
      </c>
      <c r="BE262" s="734">
        <v>0</v>
      </c>
      <c r="BF262" s="453">
        <v>0.55000000000000004</v>
      </c>
      <c r="BG262" s="453">
        <v>0</v>
      </c>
      <c r="BH262" s="734">
        <v>0</v>
      </c>
      <c r="BI262" s="453">
        <v>1.99</v>
      </c>
      <c r="BJ262" s="453">
        <v>23.6</v>
      </c>
      <c r="BK262" s="453">
        <v>4.6100000000000003</v>
      </c>
      <c r="BL262" s="453">
        <v>5.93</v>
      </c>
      <c r="BM262" s="453">
        <v>0</v>
      </c>
      <c r="BN262" s="453">
        <v>13</v>
      </c>
      <c r="BO262" s="453">
        <v>3031.8</v>
      </c>
      <c r="BP262" s="453">
        <v>0</v>
      </c>
      <c r="BQ262" s="453">
        <v>19</v>
      </c>
      <c r="BR262" s="453">
        <v>19</v>
      </c>
      <c r="BS262" s="453">
        <v>0</v>
      </c>
      <c r="BT262" s="453">
        <v>42.9</v>
      </c>
      <c r="BU262" s="453">
        <v>44</v>
      </c>
      <c r="BV262" s="456">
        <v>1088.9000000000001</v>
      </c>
      <c r="BW262" s="453">
        <v>3.27</v>
      </c>
      <c r="BX262" s="453">
        <v>1.35</v>
      </c>
      <c r="BY262" s="456">
        <v>0.89</v>
      </c>
      <c r="BZ262" s="456">
        <v>19.3</v>
      </c>
      <c r="CA262" s="456">
        <v>32.700000000000003</v>
      </c>
      <c r="CB262" s="456">
        <v>18.100000000000001</v>
      </c>
      <c r="CC262" s="456">
        <v>10.5</v>
      </c>
      <c r="CD262" s="456">
        <v>14.7</v>
      </c>
      <c r="CE262" s="456">
        <v>18.899999999999999</v>
      </c>
      <c r="CF262" s="456">
        <v>12.7</v>
      </c>
      <c r="CG262" s="456">
        <v>0</v>
      </c>
      <c r="CH262" s="456">
        <v>6.9</v>
      </c>
      <c r="CI262" s="456">
        <v>11.5</v>
      </c>
      <c r="CJ262" s="456">
        <v>1197.5</v>
      </c>
      <c r="CK262" s="456">
        <v>1121.2</v>
      </c>
      <c r="CL262" s="456">
        <v>706.3</v>
      </c>
      <c r="CM262" s="456">
        <v>4.3</v>
      </c>
      <c r="CN262" s="456">
        <v>1.3</v>
      </c>
      <c r="CO262" s="453">
        <v>6302.9</v>
      </c>
      <c r="CP262" s="453">
        <v>17.239999999999998</v>
      </c>
      <c r="CQ262" s="453">
        <v>58</v>
      </c>
      <c r="CR262" s="456">
        <v>0</v>
      </c>
      <c r="CS262" s="456">
        <v>0</v>
      </c>
      <c r="CT262" s="456">
        <v>0</v>
      </c>
      <c r="CU262" s="456">
        <v>0</v>
      </c>
      <c r="CV262" s="481">
        <v>307.25</v>
      </c>
      <c r="CW262" s="481">
        <v>323.65625</v>
      </c>
      <c r="CX262" s="481">
        <v>198.76041666666666</v>
      </c>
      <c r="CY262" s="481">
        <v>1151.78</v>
      </c>
      <c r="CZ262" s="456"/>
      <c r="DA262" s="456"/>
      <c r="DB262" s="456"/>
      <c r="DC262" s="456"/>
      <c r="DD262" s="456"/>
      <c r="DE262" s="456"/>
      <c r="DF262" s="456"/>
      <c r="DG262" s="425"/>
      <c r="DH262" s="456">
        <v>57</v>
      </c>
      <c r="DI262" s="456">
        <v>0.12</v>
      </c>
      <c r="DJ262" s="456">
        <v>0</v>
      </c>
      <c r="DK262" s="425"/>
      <c r="DL262" s="456"/>
      <c r="DM262" s="456"/>
      <c r="DN262" s="456"/>
      <c r="DO262" s="456"/>
      <c r="DP262" s="456"/>
      <c r="DQ262" s="456"/>
      <c r="DR262" s="456"/>
      <c r="DS262" s="456"/>
      <c r="DT262" s="456"/>
      <c r="DU262" s="456"/>
      <c r="DV262" s="456"/>
      <c r="DW262" s="456"/>
      <c r="DX262" s="456"/>
      <c r="DY262" s="456"/>
      <c r="DZ262" s="456"/>
      <c r="EA262" s="456"/>
      <c r="EB262" s="456"/>
      <c r="EC262" s="456"/>
      <c r="ED262" s="456">
        <v>0</v>
      </c>
      <c r="EE262" s="456">
        <v>2</v>
      </c>
      <c r="EF262" s="456">
        <v>5.5</v>
      </c>
      <c r="EG262" s="456">
        <v>10.5</v>
      </c>
      <c r="EH262" s="423">
        <v>0</v>
      </c>
      <c r="EI262" s="456"/>
      <c r="EJ262" s="456"/>
      <c r="EK262" s="456"/>
      <c r="EL262" s="456"/>
      <c r="EM262" s="456"/>
      <c r="EN262" s="456"/>
      <c r="EO262" s="425"/>
      <c r="EP262" s="425"/>
      <c r="EQ262" s="425" t="s">
        <v>743</v>
      </c>
      <c r="ER262" s="425">
        <v>1</v>
      </c>
      <c r="ES262" s="425">
        <v>4</v>
      </c>
      <c r="ET262" s="425">
        <v>4000</v>
      </c>
      <c r="EU262" s="457">
        <v>2000</v>
      </c>
      <c r="EV262" s="425">
        <v>210</v>
      </c>
      <c r="EW262" s="425">
        <v>7258806</v>
      </c>
      <c r="EX262" s="425">
        <v>25456</v>
      </c>
      <c r="EY262" s="666">
        <v>17.75</v>
      </c>
      <c r="EZ262" s="666">
        <v>17.75</v>
      </c>
      <c r="FA262" s="666">
        <v>0</v>
      </c>
      <c r="FB262" s="666">
        <v>1.39</v>
      </c>
      <c r="FC262" s="666">
        <v>1.35</v>
      </c>
      <c r="FD262" s="666">
        <v>0.97</v>
      </c>
      <c r="FE262" s="666">
        <v>0.94</v>
      </c>
      <c r="FF262" s="666">
        <v>200</v>
      </c>
      <c r="FG262" s="666">
        <v>0.81</v>
      </c>
      <c r="FH262" s="666">
        <v>0.82</v>
      </c>
      <c r="FI262" s="666">
        <v>0.87</v>
      </c>
      <c r="FJ262" s="666">
        <v>9.16</v>
      </c>
      <c r="FK262" s="666">
        <v>7.6</v>
      </c>
      <c r="FL262" s="666">
        <v>7.99</v>
      </c>
      <c r="FM262" s="666">
        <v>7.5</v>
      </c>
      <c r="FN262" s="666">
        <v>0</v>
      </c>
    </row>
    <row r="263" spans="1:170" s="416" customFormat="1" ht="15">
      <c r="A263" s="425" t="s">
        <v>5</v>
      </c>
      <c r="B263" s="426">
        <v>40792</v>
      </c>
      <c r="C263" s="418">
        <v>0</v>
      </c>
      <c r="D263" s="518">
        <v>0</v>
      </c>
      <c r="E263" s="453">
        <v>0</v>
      </c>
      <c r="F263" s="453">
        <v>60</v>
      </c>
      <c r="G263" s="453">
        <v>0.4</v>
      </c>
      <c r="H263" s="519">
        <v>1.1200000000000001</v>
      </c>
      <c r="I263" s="519">
        <v>92.5</v>
      </c>
      <c r="J263" s="483">
        <v>0.83</v>
      </c>
      <c r="K263" s="520">
        <v>0.8</v>
      </c>
      <c r="L263" s="453">
        <v>0</v>
      </c>
      <c r="M263" s="453" t="s">
        <v>742</v>
      </c>
      <c r="N263" s="453">
        <v>1.62</v>
      </c>
      <c r="O263" s="453">
        <v>2.2202391414041887</v>
      </c>
      <c r="P263" s="453">
        <v>1.57</v>
      </c>
      <c r="Q263" s="453">
        <v>2.2184477983733508</v>
      </c>
      <c r="R263" s="453">
        <v>1474.7389537648612</v>
      </c>
      <c r="S263" s="453">
        <v>8.09</v>
      </c>
      <c r="T263" s="453">
        <v>7.83</v>
      </c>
      <c r="U263" s="453">
        <v>0.78</v>
      </c>
      <c r="V263" s="453">
        <v>0.76</v>
      </c>
      <c r="W263" s="453">
        <v>59.180000000000007</v>
      </c>
      <c r="X263" s="456">
        <v>59.180000000000007</v>
      </c>
      <c r="Y263" s="453">
        <v>45.38</v>
      </c>
      <c r="Z263" s="453">
        <v>30.27</v>
      </c>
      <c r="AA263" s="519">
        <v>46.19999999999709</v>
      </c>
      <c r="AB263" s="519">
        <v>33.220000000001164</v>
      </c>
      <c r="AC263" s="732">
        <f t="shared" si="3"/>
        <v>79.419999999998254</v>
      </c>
      <c r="AD263" s="664"/>
      <c r="AE263" s="664"/>
      <c r="AF263" s="664"/>
      <c r="AG263" s="664"/>
      <c r="AH263" s="664"/>
      <c r="AI263" s="664"/>
      <c r="AJ263" s="485"/>
      <c r="AK263" s="485"/>
      <c r="AL263" s="485"/>
      <c r="AM263" s="485"/>
      <c r="AN263" s="485"/>
      <c r="AO263" s="665"/>
      <c r="AP263" s="485"/>
      <c r="AQ263" s="483"/>
      <c r="AR263" s="755">
        <v>0</v>
      </c>
      <c r="AS263" s="483">
        <v>37.700000000000003</v>
      </c>
      <c r="AT263" s="755">
        <v>0</v>
      </c>
      <c r="AU263" s="483">
        <v>45.8</v>
      </c>
      <c r="AV263" s="484">
        <v>840.3</v>
      </c>
      <c r="AW263" s="484">
        <v>1097</v>
      </c>
      <c r="AX263" s="453">
        <v>42.5</v>
      </c>
      <c r="AY263" s="734">
        <v>0</v>
      </c>
      <c r="AZ263" s="734">
        <v>0</v>
      </c>
      <c r="BA263" s="734">
        <v>0</v>
      </c>
      <c r="BB263" s="453">
        <v>0</v>
      </c>
      <c r="BC263" s="453">
        <v>1.95</v>
      </c>
      <c r="BD263" s="453">
        <v>2.38</v>
      </c>
      <c r="BE263" s="734">
        <v>0</v>
      </c>
      <c r="BF263" s="453">
        <v>0.5</v>
      </c>
      <c r="BG263" s="453">
        <v>0</v>
      </c>
      <c r="BH263" s="734">
        <v>0</v>
      </c>
      <c r="BI263" s="453">
        <v>1.99</v>
      </c>
      <c r="BJ263" s="453">
        <v>26.6</v>
      </c>
      <c r="BK263" s="453">
        <v>4.5999999999999996</v>
      </c>
      <c r="BL263" s="453">
        <v>5.92</v>
      </c>
      <c r="BM263" s="453">
        <v>0</v>
      </c>
      <c r="BN263" s="453">
        <v>15.9</v>
      </c>
      <c r="BO263" s="453">
        <v>3289.6</v>
      </c>
      <c r="BP263" s="453">
        <v>30.4</v>
      </c>
      <c r="BQ263" s="453">
        <v>18.100000000000001</v>
      </c>
      <c r="BR263" s="453">
        <v>18.2</v>
      </c>
      <c r="BS263" s="453">
        <v>0</v>
      </c>
      <c r="BT263" s="453">
        <v>44</v>
      </c>
      <c r="BU263" s="453">
        <v>40.6</v>
      </c>
      <c r="BV263" s="456">
        <v>1204.2</v>
      </c>
      <c r="BW263" s="453">
        <v>7.13</v>
      </c>
      <c r="BX263" s="453">
        <v>1.39</v>
      </c>
      <c r="BY263" s="456">
        <v>0.9</v>
      </c>
      <c r="BZ263" s="456">
        <v>19.100000000000001</v>
      </c>
      <c r="CA263" s="456">
        <v>33</v>
      </c>
      <c r="CB263" s="456">
        <v>16.3</v>
      </c>
      <c r="CC263" s="456">
        <v>8.4</v>
      </c>
      <c r="CD263" s="456">
        <v>12.6</v>
      </c>
      <c r="CE263" s="456">
        <v>16.8</v>
      </c>
      <c r="CF263" s="456">
        <v>12.7</v>
      </c>
      <c r="CG263" s="456">
        <v>0</v>
      </c>
      <c r="CH263" s="456">
        <v>5.8</v>
      </c>
      <c r="CI263" s="456">
        <v>11.1</v>
      </c>
      <c r="CJ263" s="456">
        <v>1019.1</v>
      </c>
      <c r="CK263" s="456">
        <v>976.8</v>
      </c>
      <c r="CL263" s="456">
        <v>754.9</v>
      </c>
      <c r="CM263" s="456">
        <v>5.5</v>
      </c>
      <c r="CN263" s="456">
        <v>1.5</v>
      </c>
      <c r="CO263" s="453">
        <v>5224.6000000000004</v>
      </c>
      <c r="CP263" s="453">
        <v>16.97</v>
      </c>
      <c r="CQ263" s="453">
        <v>59</v>
      </c>
      <c r="CR263" s="456">
        <v>0</v>
      </c>
      <c r="CS263" s="456">
        <v>0</v>
      </c>
      <c r="CT263" s="456">
        <v>0</v>
      </c>
      <c r="CU263" s="456">
        <v>0</v>
      </c>
      <c r="CV263" s="481">
        <v>306.25</v>
      </c>
      <c r="CW263" s="481">
        <v>325.6875</v>
      </c>
      <c r="CX263" s="481">
        <v>191.76041666666666</v>
      </c>
      <c r="CY263" s="481">
        <v>1151.45</v>
      </c>
      <c r="CZ263" s="456"/>
      <c r="DA263" s="456"/>
      <c r="DB263" s="456"/>
      <c r="DC263" s="456"/>
      <c r="DD263" s="456"/>
      <c r="DE263" s="456"/>
      <c r="DF263" s="456"/>
      <c r="DG263" s="425"/>
      <c r="DH263" s="456">
        <v>31</v>
      </c>
      <c r="DI263" s="456">
        <v>0.18</v>
      </c>
      <c r="DJ263" s="456">
        <v>0.87</v>
      </c>
      <c r="DK263" s="425"/>
      <c r="DL263" s="456"/>
      <c r="DM263" s="456"/>
      <c r="DN263" s="456"/>
      <c r="DO263" s="456"/>
      <c r="DP263" s="456"/>
      <c r="DQ263" s="456"/>
      <c r="DR263" s="456"/>
      <c r="DS263" s="456"/>
      <c r="DT263" s="456"/>
      <c r="DU263" s="456"/>
      <c r="DV263" s="456"/>
      <c r="DW263" s="456">
        <v>-1600</v>
      </c>
      <c r="DX263" s="456"/>
      <c r="DY263" s="456"/>
      <c r="DZ263" s="456"/>
      <c r="EA263" s="456"/>
      <c r="EB263" s="456"/>
      <c r="EC263" s="456"/>
      <c r="ED263" s="456">
        <v>0</v>
      </c>
      <c r="EE263" s="456">
        <v>2</v>
      </c>
      <c r="EF263" s="456">
        <v>5</v>
      </c>
      <c r="EG263" s="456">
        <v>10.5</v>
      </c>
      <c r="EH263" s="423">
        <v>0</v>
      </c>
      <c r="EI263" s="456"/>
      <c r="EJ263" s="456"/>
      <c r="EK263" s="456"/>
      <c r="EL263" s="456"/>
      <c r="EM263" s="456"/>
      <c r="EN263" s="456"/>
      <c r="EO263" s="425"/>
      <c r="EP263" s="425"/>
      <c r="EQ263" s="425" t="s">
        <v>743</v>
      </c>
      <c r="ER263" s="425">
        <v>1</v>
      </c>
      <c r="ES263" s="425">
        <v>4</v>
      </c>
      <c r="ET263" s="425">
        <v>4000</v>
      </c>
      <c r="EU263" s="457">
        <v>1800</v>
      </c>
      <c r="EV263" s="425">
        <v>195</v>
      </c>
      <c r="EW263" s="425">
        <v>7262887</v>
      </c>
      <c r="EX263" s="425">
        <v>26112</v>
      </c>
      <c r="EY263" s="666">
        <v>18.100000000000001</v>
      </c>
      <c r="EZ263" s="666">
        <v>18.079999999999998</v>
      </c>
      <c r="FA263" s="666">
        <v>0</v>
      </c>
      <c r="FB263" s="666">
        <v>1.43</v>
      </c>
      <c r="FC263" s="666">
        <v>1.38</v>
      </c>
      <c r="FD263" s="666">
        <v>0.90800000000000003</v>
      </c>
      <c r="FE263" s="666">
        <v>0.95</v>
      </c>
      <c r="FF263" s="666">
        <v>200</v>
      </c>
      <c r="FG263" s="666">
        <v>1.01</v>
      </c>
      <c r="FH263" s="666">
        <v>0.39900000000000002</v>
      </c>
      <c r="FI263" s="666">
        <v>0.98</v>
      </c>
      <c r="FJ263" s="666">
        <v>7.76</v>
      </c>
      <c r="FK263" s="666">
        <v>7.8</v>
      </c>
      <c r="FL263" s="666">
        <v>7.71</v>
      </c>
      <c r="FM263" s="666">
        <v>7.4</v>
      </c>
      <c r="FN263" s="666">
        <v>0</v>
      </c>
    </row>
    <row r="264" spans="1:170" s="416" customFormat="1" ht="15">
      <c r="A264" s="425" t="s">
        <v>6</v>
      </c>
      <c r="B264" s="426">
        <v>40793</v>
      </c>
      <c r="C264" s="418">
        <v>0</v>
      </c>
      <c r="D264" s="518">
        <v>0</v>
      </c>
      <c r="E264" s="453">
        <v>0</v>
      </c>
      <c r="F264" s="453">
        <v>60</v>
      </c>
      <c r="G264" s="453">
        <v>0.2</v>
      </c>
      <c r="H264" s="519">
        <v>1.19</v>
      </c>
      <c r="I264" s="519">
        <v>93.2</v>
      </c>
      <c r="J264" s="483">
        <v>0.85</v>
      </c>
      <c r="K264" s="520">
        <v>0.84</v>
      </c>
      <c r="L264" s="453">
        <v>0</v>
      </c>
      <c r="M264" s="453" t="s">
        <v>742</v>
      </c>
      <c r="N264" s="453">
        <v>1.6</v>
      </c>
      <c r="O264" s="453">
        <v>2.2192866578601076</v>
      </c>
      <c r="P264" s="453">
        <v>1.58</v>
      </c>
      <c r="Q264" s="453">
        <v>2.2098074370844834</v>
      </c>
      <c r="R264" s="453">
        <v>1599.4423355350061</v>
      </c>
      <c r="S264" s="453">
        <v>7.88</v>
      </c>
      <c r="T264" s="453">
        <v>7.8</v>
      </c>
      <c r="U264" s="453">
        <v>0.79</v>
      </c>
      <c r="V264" s="453">
        <v>0.76</v>
      </c>
      <c r="W264" s="453">
        <v>58.64</v>
      </c>
      <c r="X264" s="456">
        <v>58.64</v>
      </c>
      <c r="Y264" s="453">
        <v>47.59</v>
      </c>
      <c r="Z264" s="453">
        <v>40.75</v>
      </c>
      <c r="AA264" s="519">
        <v>47.459999999991851</v>
      </c>
      <c r="AB264" s="519">
        <v>38.879999999997381</v>
      </c>
      <c r="AC264" s="732">
        <f t="shared" si="3"/>
        <v>86.339999999989232</v>
      </c>
      <c r="AD264" s="664"/>
      <c r="AE264" s="664"/>
      <c r="AF264" s="664"/>
      <c r="AG264" s="664"/>
      <c r="AH264" s="664"/>
      <c r="AI264" s="664"/>
      <c r="AJ264" s="485"/>
      <c r="AK264" s="485"/>
      <c r="AL264" s="485"/>
      <c r="AM264" s="485"/>
      <c r="AN264" s="485"/>
      <c r="AO264" s="665"/>
      <c r="AP264" s="485"/>
      <c r="AQ264" s="483"/>
      <c r="AR264" s="755">
        <v>0</v>
      </c>
      <c r="AS264" s="483">
        <v>38.299999999999997</v>
      </c>
      <c r="AT264" s="755">
        <v>0</v>
      </c>
      <c r="AU264" s="483">
        <v>46.7</v>
      </c>
      <c r="AV264" s="484">
        <v>879.1</v>
      </c>
      <c r="AW264" s="484">
        <v>1134.2</v>
      </c>
      <c r="AX264" s="453">
        <v>52.1</v>
      </c>
      <c r="AY264" s="734">
        <v>0</v>
      </c>
      <c r="AZ264" s="734">
        <v>0</v>
      </c>
      <c r="BA264" s="734">
        <v>0</v>
      </c>
      <c r="BB264" s="453">
        <v>0</v>
      </c>
      <c r="BC264" s="453">
        <v>2</v>
      </c>
      <c r="BD264" s="453">
        <v>2.5</v>
      </c>
      <c r="BE264" s="734">
        <v>0</v>
      </c>
      <c r="BF264" s="453">
        <v>0.55000000000000004</v>
      </c>
      <c r="BG264" s="453">
        <v>0</v>
      </c>
      <c r="BH264" s="734">
        <v>0</v>
      </c>
      <c r="BI264" s="453">
        <v>2.0099999999999998</v>
      </c>
      <c r="BJ264" s="453">
        <v>32.200000000000003</v>
      </c>
      <c r="BK264" s="453">
        <v>4.59</v>
      </c>
      <c r="BL264" s="453">
        <v>5.93</v>
      </c>
      <c r="BM264" s="453">
        <v>0</v>
      </c>
      <c r="BN264" s="453">
        <v>21.5</v>
      </c>
      <c r="BO264" s="453">
        <v>2891</v>
      </c>
      <c r="BP264" s="453">
        <v>0</v>
      </c>
      <c r="BQ264" s="453">
        <v>18.2</v>
      </c>
      <c r="BR264" s="453">
        <v>18.2</v>
      </c>
      <c r="BS264" s="453">
        <v>0</v>
      </c>
      <c r="BT264" s="453">
        <v>45.3</v>
      </c>
      <c r="BU264" s="453">
        <v>35.6</v>
      </c>
      <c r="BV264" s="456">
        <v>1109.5999999999999</v>
      </c>
      <c r="BW264" s="453">
        <v>1.1299999999999999</v>
      </c>
      <c r="BX264" s="453">
        <v>1.41</v>
      </c>
      <c r="BY264" s="456">
        <v>0.89</v>
      </c>
      <c r="BZ264" s="456">
        <v>17.100000000000001</v>
      </c>
      <c r="CA264" s="456">
        <v>31</v>
      </c>
      <c r="CB264" s="456">
        <v>16.399999999999999</v>
      </c>
      <c r="CC264" s="456">
        <v>10.5</v>
      </c>
      <c r="CD264" s="456">
        <v>14.7</v>
      </c>
      <c r="CE264" s="456">
        <v>18.8</v>
      </c>
      <c r="CF264" s="456">
        <v>13.3</v>
      </c>
      <c r="CG264" s="456">
        <v>0</v>
      </c>
      <c r="CH264" s="456">
        <v>2.7</v>
      </c>
      <c r="CI264" s="456">
        <v>5.0999999999999996</v>
      </c>
      <c r="CJ264" s="456">
        <v>1099.7</v>
      </c>
      <c r="CK264" s="456">
        <v>1010.2</v>
      </c>
      <c r="CL264" s="456">
        <v>744.9</v>
      </c>
      <c r="CM264" s="456">
        <v>14.1</v>
      </c>
      <c r="CN264" s="456">
        <v>2.2999999999999998</v>
      </c>
      <c r="CO264" s="453">
        <v>7168</v>
      </c>
      <c r="CP264" s="453">
        <v>17.309999999999999</v>
      </c>
      <c r="CQ264" s="453">
        <v>58</v>
      </c>
      <c r="CR264" s="456">
        <v>0</v>
      </c>
      <c r="CS264" s="456">
        <v>0</v>
      </c>
      <c r="CT264" s="456">
        <v>0</v>
      </c>
      <c r="CU264" s="456">
        <v>0</v>
      </c>
      <c r="CV264" s="481">
        <v>306.125</v>
      </c>
      <c r="CW264" s="481">
        <v>305.61458333333331</v>
      </c>
      <c r="CX264" s="481">
        <v>180.11458333333334</v>
      </c>
      <c r="CY264" s="481">
        <v>1151.1099999999999</v>
      </c>
      <c r="CZ264" s="456"/>
      <c r="DA264" s="456"/>
      <c r="DB264" s="456"/>
      <c r="DC264" s="456"/>
      <c r="DD264" s="456"/>
      <c r="DE264" s="456"/>
      <c r="DF264" s="456"/>
      <c r="DG264" s="425"/>
      <c r="DH264" s="456">
        <v>69</v>
      </c>
      <c r="DI264" s="456">
        <v>0.06</v>
      </c>
      <c r="DJ264" s="456">
        <v>0.93</v>
      </c>
      <c r="DK264" s="425"/>
      <c r="DL264" s="456"/>
      <c r="DM264" s="456"/>
      <c r="DN264" s="456"/>
      <c r="DO264" s="456"/>
      <c r="DP264" s="456"/>
      <c r="DQ264" s="456"/>
      <c r="DR264" s="456"/>
      <c r="DS264" s="456"/>
      <c r="DT264" s="456"/>
      <c r="DU264" s="456"/>
      <c r="DV264" s="456"/>
      <c r="DW264" s="456"/>
      <c r="DX264" s="456"/>
      <c r="DY264" s="456"/>
      <c r="DZ264" s="456"/>
      <c r="EA264" s="456"/>
      <c r="EB264" s="456"/>
      <c r="EC264" s="456"/>
      <c r="ED264" s="456">
        <v>0</v>
      </c>
      <c r="EE264" s="456">
        <v>2</v>
      </c>
      <c r="EF264" s="456">
        <v>5</v>
      </c>
      <c r="EG264" s="456">
        <v>10.5</v>
      </c>
      <c r="EH264" s="423">
        <v>0</v>
      </c>
      <c r="EI264" s="456"/>
      <c r="EJ264" s="456"/>
      <c r="EK264" s="456"/>
      <c r="EL264" s="456"/>
      <c r="EM264" s="456"/>
      <c r="EN264" s="456"/>
      <c r="EO264" s="425"/>
      <c r="EP264" s="425"/>
      <c r="EQ264" s="425" t="s">
        <v>743</v>
      </c>
      <c r="ER264" s="425">
        <v>1</v>
      </c>
      <c r="ES264" s="425">
        <v>4</v>
      </c>
      <c r="ET264" s="425">
        <v>4000</v>
      </c>
      <c r="EU264" s="457">
        <v>1670</v>
      </c>
      <c r="EV264" s="425">
        <v>195</v>
      </c>
      <c r="EW264" s="425">
        <v>7265919</v>
      </c>
      <c r="EX264" s="425">
        <v>26782</v>
      </c>
      <c r="EY264" s="666">
        <v>20.52</v>
      </c>
      <c r="EZ264" s="666">
        <v>20.5</v>
      </c>
      <c r="FA264" s="666">
        <v>0</v>
      </c>
      <c r="FB264" s="666">
        <v>1.35</v>
      </c>
      <c r="FC264" s="666">
        <v>1.32</v>
      </c>
      <c r="FD264" s="666">
        <v>0.94599999999999995</v>
      </c>
      <c r="FE264" s="666">
        <v>1</v>
      </c>
      <c r="FF264" s="666">
        <v>130</v>
      </c>
      <c r="FG264" s="666">
        <v>1.1100000000000001</v>
      </c>
      <c r="FH264" s="666">
        <v>0.40400000000000003</v>
      </c>
      <c r="FI264" s="666">
        <v>0.85</v>
      </c>
      <c r="FJ264" s="666">
        <v>8.7899999999999991</v>
      </c>
      <c r="FK264" s="666">
        <v>8.1</v>
      </c>
      <c r="FL264" s="666">
        <v>7.76</v>
      </c>
      <c r="FM264" s="666">
        <v>7.7</v>
      </c>
      <c r="FN264" s="666">
        <v>0</v>
      </c>
    </row>
    <row r="265" spans="1:170" s="416" customFormat="1" ht="15">
      <c r="A265" s="425" t="s">
        <v>7</v>
      </c>
      <c r="B265" s="426">
        <v>40794</v>
      </c>
      <c r="C265" s="418">
        <v>0</v>
      </c>
      <c r="D265" s="518">
        <v>0</v>
      </c>
      <c r="E265" s="453">
        <v>0</v>
      </c>
      <c r="F265" s="453">
        <v>62</v>
      </c>
      <c r="G265" s="453">
        <v>0.2</v>
      </c>
      <c r="H265" s="519">
        <v>2.0299999999999998</v>
      </c>
      <c r="I265" s="519">
        <v>93.4</v>
      </c>
      <c r="J265" s="483">
        <v>1.74</v>
      </c>
      <c r="K265" s="520">
        <v>1.67</v>
      </c>
      <c r="L265" s="453">
        <v>0</v>
      </c>
      <c r="M265" s="453" t="s">
        <v>742</v>
      </c>
      <c r="N265" s="453">
        <v>1.69</v>
      </c>
      <c r="O265" s="453">
        <v>2.1818002856659708</v>
      </c>
      <c r="P265" s="453">
        <v>1.64</v>
      </c>
      <c r="Q265" s="453">
        <v>2.1892150229295351</v>
      </c>
      <c r="R265" s="453">
        <v>1538.2243117569349</v>
      </c>
      <c r="S265" s="453">
        <v>8</v>
      </c>
      <c r="T265" s="453">
        <v>7.94</v>
      </c>
      <c r="U265" s="453">
        <v>0.78</v>
      </c>
      <c r="V265" s="453">
        <v>0.74</v>
      </c>
      <c r="W265" s="453">
        <v>59</v>
      </c>
      <c r="X265" s="456">
        <v>59.360000000000014</v>
      </c>
      <c r="Y265" s="453">
        <v>47.79</v>
      </c>
      <c r="Z265" s="453">
        <v>39.049999999999997</v>
      </c>
      <c r="AA265" s="519">
        <v>47.130000000004657</v>
      </c>
      <c r="AB265" s="519">
        <v>37.200000000004366</v>
      </c>
      <c r="AC265" s="732">
        <f t="shared" ref="AC265:AC328" si="4">SUM(AA265:AB265)</f>
        <v>84.330000000009022</v>
      </c>
      <c r="AD265" s="664"/>
      <c r="AE265" s="664"/>
      <c r="AF265" s="664"/>
      <c r="AG265" s="664"/>
      <c r="AH265" s="664"/>
      <c r="AI265" s="664"/>
      <c r="AJ265" s="485"/>
      <c r="AK265" s="485"/>
      <c r="AL265" s="485"/>
      <c r="AM265" s="485"/>
      <c r="AN265" s="485"/>
      <c r="AO265" s="665"/>
      <c r="AP265" s="485"/>
      <c r="AQ265" s="483"/>
      <c r="AR265" s="755">
        <v>0</v>
      </c>
      <c r="AS265" s="483">
        <v>34.799999999999997</v>
      </c>
      <c r="AT265" s="755">
        <v>0</v>
      </c>
      <c r="AU265" s="483">
        <v>46.1</v>
      </c>
      <c r="AV265" s="484">
        <v>819.7</v>
      </c>
      <c r="AW265" s="484">
        <v>1066.8</v>
      </c>
      <c r="AX265" s="453">
        <v>32.799999999999997</v>
      </c>
      <c r="AY265" s="734">
        <v>0</v>
      </c>
      <c r="AZ265" s="734">
        <v>0</v>
      </c>
      <c r="BA265" s="734">
        <v>0</v>
      </c>
      <c r="BB265" s="453">
        <v>0</v>
      </c>
      <c r="BC265" s="453">
        <v>2</v>
      </c>
      <c r="BD265" s="453">
        <v>2.5</v>
      </c>
      <c r="BE265" s="734">
        <v>0</v>
      </c>
      <c r="BF265" s="453">
        <v>0.5</v>
      </c>
      <c r="BG265" s="453">
        <v>0</v>
      </c>
      <c r="BH265" s="734">
        <v>0</v>
      </c>
      <c r="BI265" s="453">
        <v>2</v>
      </c>
      <c r="BJ265" s="453">
        <v>30.4</v>
      </c>
      <c r="BK265" s="453">
        <v>4.59</v>
      </c>
      <c r="BL265" s="453">
        <v>5.92</v>
      </c>
      <c r="BM265" s="453">
        <v>0</v>
      </c>
      <c r="BN265" s="453">
        <v>19.8</v>
      </c>
      <c r="BO265" s="453">
        <v>2641.3</v>
      </c>
      <c r="BP265" s="453">
        <v>0</v>
      </c>
      <c r="BQ265" s="453">
        <v>19.600000000000001</v>
      </c>
      <c r="BR265" s="453">
        <v>19.5</v>
      </c>
      <c r="BS265" s="453">
        <v>0</v>
      </c>
      <c r="BT265" s="453">
        <v>45.2</v>
      </c>
      <c r="BU265" s="453">
        <v>37.5</v>
      </c>
      <c r="BV265" s="456">
        <v>1202.4000000000001</v>
      </c>
      <c r="BW265" s="453">
        <v>3.58</v>
      </c>
      <c r="BX265" s="453">
        <v>1.41</v>
      </c>
      <c r="BY265" s="456">
        <v>0.9</v>
      </c>
      <c r="BZ265" s="456">
        <v>15.9</v>
      </c>
      <c r="CA265" s="456">
        <v>31.9</v>
      </c>
      <c r="CB265" s="456">
        <v>16.5</v>
      </c>
      <c r="CC265" s="456">
        <v>10.199999999999999</v>
      </c>
      <c r="CD265" s="456">
        <v>14.4</v>
      </c>
      <c r="CE265" s="456">
        <v>18.399999999999999</v>
      </c>
      <c r="CF265" s="456">
        <v>14.4</v>
      </c>
      <c r="CG265" s="456">
        <v>460</v>
      </c>
      <c r="CH265" s="456">
        <v>4.4000000000000004</v>
      </c>
      <c r="CI265" s="456">
        <v>6.2</v>
      </c>
      <c r="CJ265" s="456">
        <v>995.1</v>
      </c>
      <c r="CK265" s="456">
        <v>972.8</v>
      </c>
      <c r="CL265" s="456">
        <v>727.9</v>
      </c>
      <c r="CM265" s="456">
        <v>13.7</v>
      </c>
      <c r="CN265" s="456">
        <v>2.2000000000000002</v>
      </c>
      <c r="CO265" s="453">
        <v>6035.8</v>
      </c>
      <c r="CP265" s="453">
        <v>17.16</v>
      </c>
      <c r="CQ265" s="453">
        <v>60</v>
      </c>
      <c r="CR265" s="456">
        <v>0</v>
      </c>
      <c r="CS265" s="456">
        <v>0</v>
      </c>
      <c r="CT265" s="456">
        <v>0</v>
      </c>
      <c r="CU265" s="456">
        <v>0</v>
      </c>
      <c r="CV265" s="481">
        <v>305.125</v>
      </c>
      <c r="CW265" s="481">
        <v>299.25</v>
      </c>
      <c r="CX265" s="481">
        <v>183.41666666666666</v>
      </c>
      <c r="CY265" s="481">
        <v>1150.78</v>
      </c>
      <c r="CZ265" s="456"/>
      <c r="DA265" s="456"/>
      <c r="DB265" s="456"/>
      <c r="DC265" s="456"/>
      <c r="DD265" s="456"/>
      <c r="DE265" s="456"/>
      <c r="DF265" s="456"/>
      <c r="DG265" s="425"/>
      <c r="DH265" s="456">
        <v>20</v>
      </c>
      <c r="DI265" s="456">
        <v>0.05</v>
      </c>
      <c r="DJ265" s="456">
        <v>0.89</v>
      </c>
      <c r="DK265" s="425"/>
      <c r="DL265" s="456"/>
      <c r="DM265" s="456"/>
      <c r="DN265" s="456"/>
      <c r="DO265" s="456"/>
      <c r="DP265" s="456"/>
      <c r="DQ265" s="456"/>
      <c r="DR265" s="456"/>
      <c r="DS265" s="456"/>
      <c r="DT265" s="456"/>
      <c r="DU265" s="456"/>
      <c r="DV265" s="456"/>
      <c r="DW265" s="456"/>
      <c r="DX265" s="456"/>
      <c r="DY265" s="456"/>
      <c r="DZ265" s="456"/>
      <c r="EA265" s="456"/>
      <c r="EB265" s="456"/>
      <c r="EC265" s="456"/>
      <c r="ED265" s="456">
        <v>0</v>
      </c>
      <c r="EE265" s="456">
        <v>2</v>
      </c>
      <c r="EF265" s="456">
        <v>5</v>
      </c>
      <c r="EG265" s="456">
        <v>10.5</v>
      </c>
      <c r="EH265" s="423">
        <v>0</v>
      </c>
      <c r="EI265" s="456"/>
      <c r="EJ265" s="456"/>
      <c r="EK265" s="456"/>
      <c r="EL265" s="456"/>
      <c r="EM265" s="456"/>
      <c r="EN265" s="456"/>
      <c r="EO265" s="425"/>
      <c r="EP265" s="425"/>
      <c r="EQ265" s="425" t="s">
        <v>743</v>
      </c>
      <c r="ER265" s="425">
        <v>1</v>
      </c>
      <c r="ES265" s="425">
        <v>4</v>
      </c>
      <c r="ET265" s="425">
        <v>4000</v>
      </c>
      <c r="EU265" s="457">
        <v>1450</v>
      </c>
      <c r="EV265" s="425">
        <v>200</v>
      </c>
      <c r="EW265" s="425">
        <v>7271026</v>
      </c>
      <c r="EX265" s="425">
        <v>27530</v>
      </c>
      <c r="EY265" s="666">
        <v>19.37</v>
      </c>
      <c r="EZ265" s="666">
        <v>19.37</v>
      </c>
      <c r="FA265" s="666">
        <v>0</v>
      </c>
      <c r="FB265" s="666">
        <v>1.41</v>
      </c>
      <c r="FC265" s="666">
        <v>1.44</v>
      </c>
      <c r="FD265" s="666">
        <v>0.90900000000000003</v>
      </c>
      <c r="FE265" s="666">
        <v>0.9</v>
      </c>
      <c r="FF265" s="666">
        <v>220</v>
      </c>
      <c r="FG265" s="666">
        <v>1.41</v>
      </c>
      <c r="FH265" s="666">
        <v>0.434</v>
      </c>
      <c r="FI265" s="666">
        <v>1.24</v>
      </c>
      <c r="FJ265" s="666">
        <v>8.7799999999999994</v>
      </c>
      <c r="FK265" s="666">
        <v>8</v>
      </c>
      <c r="FL265" s="666">
        <v>7.81</v>
      </c>
      <c r="FM265" s="666">
        <v>7.7</v>
      </c>
      <c r="FN265" s="666">
        <v>0</v>
      </c>
    </row>
    <row r="266" spans="1:170" s="416" customFormat="1" ht="15">
      <c r="A266" s="425" t="s">
        <v>8</v>
      </c>
      <c r="B266" s="426">
        <v>40795</v>
      </c>
      <c r="C266" s="418">
        <v>0</v>
      </c>
      <c r="D266" s="518">
        <v>0</v>
      </c>
      <c r="E266" s="453">
        <v>0</v>
      </c>
      <c r="F266" s="453">
        <v>62</v>
      </c>
      <c r="G266" s="453">
        <v>0.4</v>
      </c>
      <c r="H266" s="519">
        <v>1.79</v>
      </c>
      <c r="I266" s="519">
        <v>91.5</v>
      </c>
      <c r="J266" s="483">
        <v>1.74</v>
      </c>
      <c r="K266" s="520">
        <v>1.64</v>
      </c>
      <c r="L266" s="453">
        <v>0</v>
      </c>
      <c r="M266" s="453" t="s">
        <v>742</v>
      </c>
      <c r="N266" s="453">
        <v>1.69</v>
      </c>
      <c r="O266" s="453">
        <v>2.1595601468303651</v>
      </c>
      <c r="P266" s="453">
        <v>1.59</v>
      </c>
      <c r="Q266" s="453">
        <v>2.1357044662631792</v>
      </c>
      <c r="R266" s="453">
        <v>1428.0966499339497</v>
      </c>
      <c r="S266" s="453">
        <v>7.96</v>
      </c>
      <c r="T266" s="453">
        <v>7.82</v>
      </c>
      <c r="U266" s="453">
        <v>0.79</v>
      </c>
      <c r="V266" s="453">
        <v>0.78</v>
      </c>
      <c r="W266" s="453">
        <v>59.539999999999992</v>
      </c>
      <c r="X266" s="456">
        <v>59.539999999999992</v>
      </c>
      <c r="Y266" s="453">
        <v>46.41</v>
      </c>
      <c r="Z266" s="453">
        <v>29.75</v>
      </c>
      <c r="AA266" s="519">
        <v>46.759999999994761</v>
      </c>
      <c r="AB266" s="519">
        <v>32.5</v>
      </c>
      <c r="AC266" s="732">
        <f t="shared" si="4"/>
        <v>79.259999999994761</v>
      </c>
      <c r="AD266" s="664"/>
      <c r="AE266" s="664"/>
      <c r="AF266" s="664"/>
      <c r="AG266" s="664"/>
      <c r="AH266" s="664"/>
      <c r="AI266" s="664"/>
      <c r="AJ266" s="485"/>
      <c r="AK266" s="485"/>
      <c r="AL266" s="485"/>
      <c r="AM266" s="485"/>
      <c r="AN266" s="485"/>
      <c r="AO266" s="665"/>
      <c r="AP266" s="485"/>
      <c r="AQ266" s="483"/>
      <c r="AR266" s="755">
        <v>0</v>
      </c>
      <c r="AS266" s="483">
        <v>20.6</v>
      </c>
      <c r="AT266" s="755">
        <v>0</v>
      </c>
      <c r="AU266" s="483">
        <v>43.7</v>
      </c>
      <c r="AV266" s="484">
        <v>852.6</v>
      </c>
      <c r="AW266" s="484">
        <v>1095.5</v>
      </c>
      <c r="AX266" s="453">
        <v>39</v>
      </c>
      <c r="AY266" s="734">
        <v>0</v>
      </c>
      <c r="AZ266" s="734">
        <v>0</v>
      </c>
      <c r="BA266" s="734">
        <v>0</v>
      </c>
      <c r="BB266" s="453">
        <v>0</v>
      </c>
      <c r="BC266" s="453">
        <v>2</v>
      </c>
      <c r="BD266" s="453">
        <v>2.5</v>
      </c>
      <c r="BE266" s="734">
        <v>0</v>
      </c>
      <c r="BF266" s="453">
        <v>0.56000000000000005</v>
      </c>
      <c r="BG266" s="453">
        <v>0</v>
      </c>
      <c r="BH266" s="734">
        <v>0</v>
      </c>
      <c r="BI266" s="453">
        <v>1.98</v>
      </c>
      <c r="BJ266" s="453">
        <v>25.6</v>
      </c>
      <c r="BK266" s="453">
        <v>4.62</v>
      </c>
      <c r="BL266" s="453">
        <v>5.56</v>
      </c>
      <c r="BM266" s="453">
        <v>0</v>
      </c>
      <c r="BN266" s="453">
        <v>15.3</v>
      </c>
      <c r="BO266" s="453">
        <v>3222.1</v>
      </c>
      <c r="BP266" s="453">
        <v>0</v>
      </c>
      <c r="BQ266" s="453">
        <v>20.5</v>
      </c>
      <c r="BR266" s="453">
        <v>20.5</v>
      </c>
      <c r="BS266" s="453">
        <v>0</v>
      </c>
      <c r="BT266" s="453">
        <v>44.3</v>
      </c>
      <c r="BU266" s="453">
        <v>49.7</v>
      </c>
      <c r="BV266" s="456">
        <v>1330.4</v>
      </c>
      <c r="BW266" s="453">
        <v>1.38</v>
      </c>
      <c r="BX266" s="453">
        <v>1.39</v>
      </c>
      <c r="BY266" s="456">
        <v>0.89</v>
      </c>
      <c r="BZ266" s="456">
        <v>16.5</v>
      </c>
      <c r="CA266" s="456">
        <v>30.3</v>
      </c>
      <c r="CB266" s="456">
        <v>19.100000000000001</v>
      </c>
      <c r="CC266" s="456">
        <v>9.1999999999999993</v>
      </c>
      <c r="CD266" s="456">
        <v>13.4</v>
      </c>
      <c r="CE266" s="456">
        <v>17.600000000000001</v>
      </c>
      <c r="CF266" s="456">
        <v>12.97</v>
      </c>
      <c r="CG266" s="456">
        <v>531</v>
      </c>
      <c r="CH266" s="456">
        <v>3.7</v>
      </c>
      <c r="CI266" s="456">
        <v>6.9</v>
      </c>
      <c r="CJ266" s="456">
        <v>1106.8</v>
      </c>
      <c r="CK266" s="456">
        <v>1024.4000000000001</v>
      </c>
      <c r="CL266" s="456">
        <v>745.6</v>
      </c>
      <c r="CM266" s="456">
        <v>13.1</v>
      </c>
      <c r="CN266" s="456">
        <v>2.2000000000000002</v>
      </c>
      <c r="CO266" s="453">
        <v>0</v>
      </c>
      <c r="CP266" s="453">
        <v>17.12</v>
      </c>
      <c r="CQ266" s="453">
        <v>61</v>
      </c>
      <c r="CR266" s="456">
        <v>0</v>
      </c>
      <c r="CS266" s="456">
        <v>0</v>
      </c>
      <c r="CT266" s="456">
        <v>0</v>
      </c>
      <c r="CU266" s="456">
        <v>0</v>
      </c>
      <c r="CV266" s="481">
        <v>303.875</v>
      </c>
      <c r="CW266" s="481">
        <v>308.59375</v>
      </c>
      <c r="CX266" s="481">
        <v>191.60416666666666</v>
      </c>
      <c r="CY266" s="481">
        <v>1150.45</v>
      </c>
      <c r="CZ266" s="456"/>
      <c r="DA266" s="456"/>
      <c r="DB266" s="456"/>
      <c r="DC266" s="456"/>
      <c r="DD266" s="456"/>
      <c r="DE266" s="456"/>
      <c r="DF266" s="456"/>
      <c r="DG266" s="425"/>
      <c r="DH266" s="456">
        <v>0</v>
      </c>
      <c r="DI266" s="456">
        <v>0.08</v>
      </c>
      <c r="DJ266" s="456">
        <v>0.95</v>
      </c>
      <c r="DK266" s="425"/>
      <c r="DL266" s="456"/>
      <c r="DM266" s="456"/>
      <c r="DN266" s="456"/>
      <c r="DO266" s="456"/>
      <c r="DP266" s="456"/>
      <c r="DQ266" s="456"/>
      <c r="DR266" s="456"/>
      <c r="DS266" s="456"/>
      <c r="DT266" s="456"/>
      <c r="DU266" s="456"/>
      <c r="DV266" s="456"/>
      <c r="DW266" s="456"/>
      <c r="DX266" s="456"/>
      <c r="DY266" s="456"/>
      <c r="DZ266" s="456"/>
      <c r="EA266" s="456"/>
      <c r="EB266" s="456"/>
      <c r="EC266" s="456"/>
      <c r="ED266" s="456">
        <v>0</v>
      </c>
      <c r="EE266" s="456">
        <v>2</v>
      </c>
      <c r="EF266" s="456">
        <v>5</v>
      </c>
      <c r="EG266" s="456">
        <v>10</v>
      </c>
      <c r="EH266" s="423">
        <v>0</v>
      </c>
      <c r="EI266" s="456"/>
      <c r="EJ266" s="456"/>
      <c r="EK266" s="456"/>
      <c r="EL266" s="456"/>
      <c r="EM266" s="456"/>
      <c r="EN266" s="456"/>
      <c r="EO266" s="425"/>
      <c r="EP266" s="425"/>
      <c r="EQ266" s="425" t="s">
        <v>743</v>
      </c>
      <c r="ER266" s="425">
        <v>1</v>
      </c>
      <c r="ES266" s="425">
        <v>4</v>
      </c>
      <c r="ET266" s="425">
        <v>4000</v>
      </c>
      <c r="EU266" s="457">
        <v>1260</v>
      </c>
      <c r="EV266" s="425">
        <v>200</v>
      </c>
      <c r="EW266" s="425">
        <v>7275237</v>
      </c>
      <c r="EX266" s="425">
        <v>28170</v>
      </c>
      <c r="EY266" s="666">
        <v>18.600000000000001</v>
      </c>
      <c r="EZ266" s="666">
        <v>18.600000000000001</v>
      </c>
      <c r="FA266" s="666">
        <v>0</v>
      </c>
      <c r="FB266" s="666">
        <v>1.37</v>
      </c>
      <c r="FC266" s="666">
        <v>1.35</v>
      </c>
      <c r="FD266" s="666">
        <v>0.92</v>
      </c>
      <c r="FE266" s="666">
        <v>0.9</v>
      </c>
      <c r="FF266" s="666">
        <v>190</v>
      </c>
      <c r="FG266" s="666">
        <v>1.35</v>
      </c>
      <c r="FH266" s="666">
        <v>0.47</v>
      </c>
      <c r="FI266" s="666">
        <v>1.0900000000000001</v>
      </c>
      <c r="FJ266" s="666">
        <v>7.74</v>
      </c>
      <c r="FK266" s="666">
        <v>7.9</v>
      </c>
      <c r="FL266" s="666">
        <v>7.76</v>
      </c>
      <c r="FM266" s="666">
        <v>7.5</v>
      </c>
      <c r="FN266" s="666">
        <v>0</v>
      </c>
    </row>
    <row r="267" spans="1:170" s="416" customFormat="1" ht="15">
      <c r="A267" s="425" t="s">
        <v>9</v>
      </c>
      <c r="B267" s="426">
        <v>40796</v>
      </c>
      <c r="C267" s="418">
        <v>0</v>
      </c>
      <c r="D267" s="518">
        <v>0</v>
      </c>
      <c r="E267" s="453">
        <v>0</v>
      </c>
      <c r="F267" s="453">
        <v>61</v>
      </c>
      <c r="G267" s="453">
        <v>0.4</v>
      </c>
      <c r="H267" s="519">
        <v>1.58</v>
      </c>
      <c r="I267" s="519">
        <v>92.2</v>
      </c>
      <c r="J267" s="483">
        <v>0.94</v>
      </c>
      <c r="K267" s="520">
        <v>0.94</v>
      </c>
      <c r="L267" s="453">
        <v>0</v>
      </c>
      <c r="M267" s="453" t="s">
        <v>742</v>
      </c>
      <c r="N267" s="453">
        <v>1.74</v>
      </c>
      <c r="O267" s="453">
        <v>2.1603989364398561</v>
      </c>
      <c r="P267" s="453">
        <v>1.64</v>
      </c>
      <c r="Q267" s="453">
        <v>2.1614794637727064</v>
      </c>
      <c r="R267" s="453">
        <v>1473.4433342140023</v>
      </c>
      <c r="S267" s="453">
        <v>7.81</v>
      </c>
      <c r="T267" s="453">
        <v>7.48</v>
      </c>
      <c r="U267" s="453">
        <v>0.8</v>
      </c>
      <c r="V267" s="453">
        <v>0.77</v>
      </c>
      <c r="W267" s="453">
        <v>60.260000000000005</v>
      </c>
      <c r="X267" s="456">
        <v>60.08</v>
      </c>
      <c r="Y267" s="453">
        <v>46.65</v>
      </c>
      <c r="Z267" s="453">
        <v>34.33</v>
      </c>
      <c r="AA267" s="519">
        <v>46.55000000000291</v>
      </c>
      <c r="AB267" s="519">
        <v>35</v>
      </c>
      <c r="AC267" s="732">
        <f t="shared" si="4"/>
        <v>81.55000000000291</v>
      </c>
      <c r="AD267" s="664"/>
      <c r="AE267" s="664"/>
      <c r="AF267" s="664"/>
      <c r="AG267" s="664"/>
      <c r="AH267" s="664"/>
      <c r="AI267" s="664"/>
      <c r="AJ267" s="485"/>
      <c r="AK267" s="485"/>
      <c r="AL267" s="485"/>
      <c r="AM267" s="485"/>
      <c r="AN267" s="485"/>
      <c r="AO267" s="665"/>
      <c r="AP267" s="485"/>
      <c r="AQ267" s="483"/>
      <c r="AR267" s="755">
        <v>0</v>
      </c>
      <c r="AS267" s="483">
        <v>36.799999999999997</v>
      </c>
      <c r="AT267" s="755">
        <v>0</v>
      </c>
      <c r="AU267" s="483">
        <v>44.6</v>
      </c>
      <c r="AV267" s="484">
        <v>867.8</v>
      </c>
      <c r="AW267" s="484">
        <v>1126.5</v>
      </c>
      <c r="AX267" s="453">
        <v>42.5</v>
      </c>
      <c r="AY267" s="734">
        <v>0</v>
      </c>
      <c r="AZ267" s="734">
        <v>0</v>
      </c>
      <c r="BA267" s="734">
        <v>0</v>
      </c>
      <c r="BB267" s="453">
        <v>0</v>
      </c>
      <c r="BC267" s="453">
        <v>2</v>
      </c>
      <c r="BD267" s="453">
        <v>2.5</v>
      </c>
      <c r="BE267" s="734">
        <v>0</v>
      </c>
      <c r="BF267" s="453">
        <v>0.5</v>
      </c>
      <c r="BG267" s="453">
        <v>0</v>
      </c>
      <c r="BH267" s="734">
        <v>0</v>
      </c>
      <c r="BI267" s="453">
        <v>1.94</v>
      </c>
      <c r="BJ267" s="453">
        <v>28.1</v>
      </c>
      <c r="BK267" s="453">
        <v>4.62</v>
      </c>
      <c r="BL267" s="453">
        <v>5.42</v>
      </c>
      <c r="BM267" s="453">
        <v>0</v>
      </c>
      <c r="BN267" s="453">
        <v>18</v>
      </c>
      <c r="BO267" s="453">
        <v>3050</v>
      </c>
      <c r="BP267" s="453">
        <v>0</v>
      </c>
      <c r="BQ267" s="453">
        <v>18</v>
      </c>
      <c r="BR267" s="453">
        <v>18</v>
      </c>
      <c r="BS267" s="453">
        <v>0</v>
      </c>
      <c r="BT267" s="453">
        <v>44.2</v>
      </c>
      <c r="BU267" s="453">
        <v>47.1</v>
      </c>
      <c r="BV267" s="456">
        <v>1649.7</v>
      </c>
      <c r="BW267" s="453">
        <v>2.17</v>
      </c>
      <c r="BX267" s="453">
        <v>1.35</v>
      </c>
      <c r="BY267" s="456">
        <v>0.9</v>
      </c>
      <c r="BZ267" s="456">
        <v>15.01</v>
      </c>
      <c r="CA267" s="456">
        <v>29.8</v>
      </c>
      <c r="CB267" s="456">
        <v>17.670000000000002</v>
      </c>
      <c r="CC267" s="456">
        <v>9.19</v>
      </c>
      <c r="CD267" s="456">
        <v>13.42</v>
      </c>
      <c r="CE267" s="456">
        <v>17.510000000000002</v>
      </c>
      <c r="CF267" s="456">
        <v>12.68</v>
      </c>
      <c r="CG267" s="456">
        <v>532.9</v>
      </c>
      <c r="CH267" s="456">
        <v>3.5</v>
      </c>
      <c r="CI267" s="456">
        <v>5.0999999999999996</v>
      </c>
      <c r="CJ267" s="456">
        <v>1147.5999999999999</v>
      </c>
      <c r="CK267" s="456">
        <v>1081.5999999999999</v>
      </c>
      <c r="CL267" s="456">
        <v>721.5</v>
      </c>
      <c r="CM267" s="456">
        <v>14</v>
      </c>
      <c r="CN267" s="456">
        <v>2.04</v>
      </c>
      <c r="CO267" s="453">
        <v>0</v>
      </c>
      <c r="CP267" s="453">
        <v>16.829999999999998</v>
      </c>
      <c r="CQ267" s="453">
        <v>61</v>
      </c>
      <c r="CR267" s="456">
        <v>0</v>
      </c>
      <c r="CS267" s="456">
        <v>0</v>
      </c>
      <c r="CT267" s="456">
        <v>0</v>
      </c>
      <c r="CU267" s="456">
        <v>0</v>
      </c>
      <c r="CV267" s="481">
        <v>302.875</v>
      </c>
      <c r="CW267" s="481">
        <v>301.96875</v>
      </c>
      <c r="CX267" s="481">
        <v>186.45833333333334</v>
      </c>
      <c r="CY267" s="481">
        <v>1150.0999999999999</v>
      </c>
      <c r="CZ267" s="456"/>
      <c r="DA267" s="456"/>
      <c r="DB267" s="456"/>
      <c r="DC267" s="456"/>
      <c r="DD267" s="456"/>
      <c r="DE267" s="456"/>
      <c r="DF267" s="456"/>
      <c r="DG267" s="425"/>
      <c r="DH267" s="456">
        <v>2</v>
      </c>
      <c r="DI267" s="456">
        <v>7.0000000000000007E-2</v>
      </c>
      <c r="DJ267" s="456">
        <v>1.02</v>
      </c>
      <c r="DK267" s="425"/>
      <c r="DL267" s="456"/>
      <c r="DM267" s="456"/>
      <c r="DN267" s="456"/>
      <c r="DO267" s="456"/>
      <c r="DP267" s="456"/>
      <c r="DQ267" s="456"/>
      <c r="DR267" s="456"/>
      <c r="DS267" s="456"/>
      <c r="DT267" s="456"/>
      <c r="DU267" s="456"/>
      <c r="DV267" s="456"/>
      <c r="DW267" s="456"/>
      <c r="DX267" s="456"/>
      <c r="DY267" s="456"/>
      <c r="DZ267" s="456"/>
      <c r="EA267" s="456"/>
      <c r="EB267" s="456"/>
      <c r="EC267" s="456"/>
      <c r="ED267" s="456">
        <v>0</v>
      </c>
      <c r="EE267" s="456">
        <v>2</v>
      </c>
      <c r="EF267" s="456">
        <v>5</v>
      </c>
      <c r="EG267" s="456">
        <v>10</v>
      </c>
      <c r="EH267" s="423">
        <v>0</v>
      </c>
      <c r="EI267" s="456"/>
      <c r="EJ267" s="456"/>
      <c r="EK267" s="456"/>
      <c r="EL267" s="456"/>
      <c r="EM267" s="456"/>
      <c r="EN267" s="456"/>
      <c r="EO267" s="425"/>
      <c r="EP267" s="425"/>
      <c r="EQ267" s="425" t="s">
        <v>743</v>
      </c>
      <c r="ER267" s="425">
        <v>1</v>
      </c>
      <c r="ES267" s="425">
        <v>4</v>
      </c>
      <c r="ET267" s="425">
        <v>4000</v>
      </c>
      <c r="EU267" s="457">
        <v>1040</v>
      </c>
      <c r="EV267" s="425">
        <v>195</v>
      </c>
      <c r="EW267" s="425">
        <v>7280273</v>
      </c>
      <c r="EX267" s="425">
        <v>28827</v>
      </c>
      <c r="EY267" s="666">
        <v>17.399999999999999</v>
      </c>
      <c r="EZ267" s="666">
        <v>17.39</v>
      </c>
      <c r="FA267" s="666">
        <v>0</v>
      </c>
      <c r="FB267" s="666">
        <v>1.35</v>
      </c>
      <c r="FC267" s="666">
        <v>1.26</v>
      </c>
      <c r="FD267" s="666">
        <v>0.92200000000000004</v>
      </c>
      <c r="FE267" s="666">
        <v>0.94</v>
      </c>
      <c r="FF267" s="666">
        <v>220</v>
      </c>
      <c r="FG267" s="666">
        <v>1.1399999999999999</v>
      </c>
      <c r="FH267" s="666">
        <v>0.47299999999999998</v>
      </c>
      <c r="FI267" s="666">
        <v>0.91</v>
      </c>
      <c r="FJ267" s="666">
        <v>7.28</v>
      </c>
      <c r="FK267" s="666">
        <v>7.9</v>
      </c>
      <c r="FL267" s="666">
        <v>7.79</v>
      </c>
      <c r="FM267" s="666">
        <v>7.8</v>
      </c>
      <c r="FN267" s="666">
        <v>0</v>
      </c>
    </row>
    <row r="268" spans="1:170" s="416" customFormat="1" ht="15">
      <c r="A268" s="425" t="s">
        <v>3</v>
      </c>
      <c r="B268" s="426">
        <v>40797</v>
      </c>
      <c r="C268" s="418">
        <v>0</v>
      </c>
      <c r="D268" s="518">
        <v>0</v>
      </c>
      <c r="E268" s="453">
        <v>0</v>
      </c>
      <c r="F268" s="453">
        <v>59</v>
      </c>
      <c r="G268" s="453">
        <v>0.4</v>
      </c>
      <c r="H268" s="519">
        <v>1.3</v>
      </c>
      <c r="I268" s="519">
        <v>93.3</v>
      </c>
      <c r="J268" s="483">
        <v>0.96</v>
      </c>
      <c r="K268" s="520">
        <v>0.94</v>
      </c>
      <c r="L268" s="453">
        <v>0</v>
      </c>
      <c r="M268" s="453" t="s">
        <v>742</v>
      </c>
      <c r="N268" s="453">
        <v>1.68</v>
      </c>
      <c r="O268" s="453">
        <v>2.1526797147439782</v>
      </c>
      <c r="P268" s="453">
        <v>1.6</v>
      </c>
      <c r="Q268" s="453">
        <v>2.2020581530405474</v>
      </c>
      <c r="R268" s="453">
        <v>1482.1887661822984</v>
      </c>
      <c r="S268" s="453">
        <v>7.97</v>
      </c>
      <c r="T268" s="453">
        <v>7.69</v>
      </c>
      <c r="U268" s="453">
        <v>0.79</v>
      </c>
      <c r="V268" s="453">
        <v>0.75</v>
      </c>
      <c r="W268" s="453">
        <v>60.08</v>
      </c>
      <c r="X268" s="456">
        <v>60.08</v>
      </c>
      <c r="Y268" s="453">
        <v>46.4</v>
      </c>
      <c r="Z268" s="453">
        <v>35.15</v>
      </c>
      <c r="AA268" s="519">
        <v>46.5</v>
      </c>
      <c r="AB268" s="519">
        <v>34.900000000001455</v>
      </c>
      <c r="AC268" s="732">
        <f t="shared" si="4"/>
        <v>81.400000000001455</v>
      </c>
      <c r="AD268" s="664"/>
      <c r="AE268" s="664"/>
      <c r="AF268" s="664"/>
      <c r="AG268" s="664"/>
      <c r="AH268" s="664"/>
      <c r="AI268" s="664"/>
      <c r="AJ268" s="485"/>
      <c r="AK268" s="485"/>
      <c r="AL268" s="485"/>
      <c r="AM268" s="485"/>
      <c r="AN268" s="485"/>
      <c r="AO268" s="665"/>
      <c r="AP268" s="485"/>
      <c r="AQ268" s="483"/>
      <c r="AR268" s="755">
        <v>0</v>
      </c>
      <c r="AS268" s="483">
        <v>39.1</v>
      </c>
      <c r="AT268" s="755">
        <v>0</v>
      </c>
      <c r="AU268" s="483">
        <v>43.9</v>
      </c>
      <c r="AV268" s="484">
        <v>918.3</v>
      </c>
      <c r="AW268" s="484">
        <v>1186.9000000000001</v>
      </c>
      <c r="AX268" s="453">
        <v>49.3</v>
      </c>
      <c r="AY268" s="734">
        <v>0</v>
      </c>
      <c r="AZ268" s="734">
        <v>0</v>
      </c>
      <c r="BA268" s="734">
        <v>0</v>
      </c>
      <c r="BB268" s="453">
        <v>0</v>
      </c>
      <c r="BC268" s="453">
        <v>2</v>
      </c>
      <c r="BD268" s="453">
        <v>2.5</v>
      </c>
      <c r="BE268" s="734">
        <v>0</v>
      </c>
      <c r="BF268" s="453">
        <v>0.59</v>
      </c>
      <c r="BG268" s="453">
        <v>0</v>
      </c>
      <c r="BH268" s="734">
        <v>0</v>
      </c>
      <c r="BI268" s="453">
        <v>1.93</v>
      </c>
      <c r="BJ268" s="453">
        <v>28.1</v>
      </c>
      <c r="BK268" s="453">
        <v>4.6100000000000003</v>
      </c>
      <c r="BL268" s="453">
        <v>5.42</v>
      </c>
      <c r="BM268" s="453">
        <v>0</v>
      </c>
      <c r="BN268" s="453">
        <v>18</v>
      </c>
      <c r="BO268" s="453">
        <v>2927.5</v>
      </c>
      <c r="BP268" s="453">
        <v>0</v>
      </c>
      <c r="BQ268" s="453">
        <v>17.8</v>
      </c>
      <c r="BR268" s="453">
        <v>17.8</v>
      </c>
      <c r="BS268" s="453">
        <v>0</v>
      </c>
      <c r="BT268" s="453">
        <v>44.1</v>
      </c>
      <c r="BU268" s="453">
        <v>41.3</v>
      </c>
      <c r="BV268" s="456">
        <v>1746.3</v>
      </c>
      <c r="BW268" s="453">
        <v>2.6</v>
      </c>
      <c r="BX268" s="453">
        <v>1.34</v>
      </c>
      <c r="BY268" s="456">
        <v>0.9</v>
      </c>
      <c r="BZ268" s="456">
        <v>15.3</v>
      </c>
      <c r="CA268" s="456">
        <v>29.2</v>
      </c>
      <c r="CB268" s="456">
        <v>18.2</v>
      </c>
      <c r="CC268" s="456">
        <v>9.5</v>
      </c>
      <c r="CD268" s="456">
        <v>13.7</v>
      </c>
      <c r="CE268" s="456">
        <v>17.600000000000001</v>
      </c>
      <c r="CF268" s="456">
        <v>13.1</v>
      </c>
      <c r="CG268" s="456">
        <v>289.7</v>
      </c>
      <c r="CH268" s="456">
        <v>3.4</v>
      </c>
      <c r="CI268" s="456">
        <v>5</v>
      </c>
      <c r="CJ268" s="456">
        <v>1179.5</v>
      </c>
      <c r="CK268" s="456">
        <v>1172</v>
      </c>
      <c r="CL268" s="456">
        <v>738.3</v>
      </c>
      <c r="CM268" s="456">
        <v>14.2</v>
      </c>
      <c r="CN268" s="456">
        <v>2.1</v>
      </c>
      <c r="CO268" s="453">
        <v>6681</v>
      </c>
      <c r="CP268" s="453">
        <v>17.05</v>
      </c>
      <c r="CQ268" s="453">
        <v>60</v>
      </c>
      <c r="CR268" s="456">
        <v>0</v>
      </c>
      <c r="CS268" s="456">
        <v>0</v>
      </c>
      <c r="CT268" s="456">
        <v>0</v>
      </c>
      <c r="CU268" s="456">
        <v>0</v>
      </c>
      <c r="CV268" s="481">
        <v>302.875</v>
      </c>
      <c r="CW268" s="481">
        <v>303.08333333333331</v>
      </c>
      <c r="CX268" s="481">
        <v>186</v>
      </c>
      <c r="CY268" s="481">
        <v>1149.75</v>
      </c>
      <c r="CZ268" s="456"/>
      <c r="DA268" s="456"/>
      <c r="DB268" s="456"/>
      <c r="DC268" s="456"/>
      <c r="DD268" s="456"/>
      <c r="DE268" s="456"/>
      <c r="DF268" s="456"/>
      <c r="DG268" s="425"/>
      <c r="DH268" s="456">
        <v>65</v>
      </c>
      <c r="DI268" s="456">
        <v>0.12</v>
      </c>
      <c r="DJ268" s="456">
        <v>1.07</v>
      </c>
      <c r="DK268" s="425"/>
      <c r="DL268" s="456"/>
      <c r="DM268" s="456"/>
      <c r="DN268" s="456"/>
      <c r="DO268" s="456"/>
      <c r="DP268" s="456"/>
      <c r="DQ268" s="456"/>
      <c r="DR268" s="456"/>
      <c r="DS268" s="456"/>
      <c r="DT268" s="456"/>
      <c r="DU268" s="456"/>
      <c r="DV268" s="456"/>
      <c r="DW268" s="456"/>
      <c r="DX268" s="456"/>
      <c r="DY268" s="456"/>
      <c r="DZ268" s="456"/>
      <c r="EA268" s="456"/>
      <c r="EB268" s="456"/>
      <c r="EC268" s="456"/>
      <c r="ED268" s="456">
        <v>0</v>
      </c>
      <c r="EE268" s="456">
        <v>2</v>
      </c>
      <c r="EF268" s="456">
        <v>5</v>
      </c>
      <c r="EG268" s="456">
        <v>10</v>
      </c>
      <c r="EH268" s="423">
        <v>0</v>
      </c>
      <c r="EI268" s="456"/>
      <c r="EJ268" s="456"/>
      <c r="EK268" s="456"/>
      <c r="EL268" s="456"/>
      <c r="EM268" s="456"/>
      <c r="EN268" s="456"/>
      <c r="EO268" s="425"/>
      <c r="EP268" s="425"/>
      <c r="EQ268" s="425" t="s">
        <v>743</v>
      </c>
      <c r="ER268" s="425">
        <v>1</v>
      </c>
      <c r="ES268" s="425">
        <v>4</v>
      </c>
      <c r="ET268" s="425">
        <v>4000</v>
      </c>
      <c r="EU268" s="457">
        <v>865</v>
      </c>
      <c r="EV268" s="425">
        <v>195</v>
      </c>
      <c r="EW268" s="425">
        <v>7284103</v>
      </c>
      <c r="EX268" s="425">
        <v>29470</v>
      </c>
      <c r="EY268" s="666">
        <v>17.670000000000002</v>
      </c>
      <c r="EZ268" s="666">
        <v>17.670000000000002</v>
      </c>
      <c r="FA268" s="666">
        <v>0</v>
      </c>
      <c r="FB268" s="666">
        <v>1.41</v>
      </c>
      <c r="FC268" s="666">
        <v>1.26</v>
      </c>
      <c r="FD268" s="666">
        <v>0.92700000000000005</v>
      </c>
      <c r="FE268" s="666">
        <v>1.05</v>
      </c>
      <c r="FF268" s="666">
        <v>175</v>
      </c>
      <c r="FG268" s="666">
        <v>1.2</v>
      </c>
      <c r="FH268" s="666">
        <v>0.45400000000000001</v>
      </c>
      <c r="FI268" s="666">
        <v>1.05</v>
      </c>
      <c r="FJ268" s="666">
        <v>7.45</v>
      </c>
      <c r="FK268" s="666">
        <v>7.9</v>
      </c>
      <c r="FL268" s="666">
        <v>7.78</v>
      </c>
      <c r="FM268" s="666">
        <v>7.6</v>
      </c>
      <c r="FN268" s="666">
        <v>0</v>
      </c>
    </row>
    <row r="269" spans="1:170" s="416" customFormat="1" ht="15">
      <c r="A269" s="425" t="s">
        <v>4</v>
      </c>
      <c r="B269" s="426">
        <v>40798</v>
      </c>
      <c r="C269" s="418">
        <v>0</v>
      </c>
      <c r="D269" s="518">
        <v>0</v>
      </c>
      <c r="E269" s="453">
        <v>0</v>
      </c>
      <c r="F269" s="453">
        <v>57</v>
      </c>
      <c r="G269" s="453">
        <v>0.2</v>
      </c>
      <c r="H269" s="519">
        <v>1.32</v>
      </c>
      <c r="I269" s="519">
        <v>91.6</v>
      </c>
      <c r="J269" s="483">
        <v>0.86</v>
      </c>
      <c r="K269" s="520">
        <v>0.86</v>
      </c>
      <c r="L269" s="453">
        <v>0</v>
      </c>
      <c r="M269" s="453" t="s">
        <v>742</v>
      </c>
      <c r="N269" s="453">
        <v>1.72</v>
      </c>
      <c r="O269" s="453">
        <v>2.1627488053713511</v>
      </c>
      <c r="P269" s="453">
        <v>1.65</v>
      </c>
      <c r="Q269" s="453">
        <v>2.2146921894789378</v>
      </c>
      <c r="R269" s="453">
        <v>1500.0035350066048</v>
      </c>
      <c r="S269" s="453">
        <v>7.99</v>
      </c>
      <c r="T269" s="453">
        <v>7.71</v>
      </c>
      <c r="U269" s="453">
        <v>0.79</v>
      </c>
      <c r="V269" s="453">
        <v>0.77</v>
      </c>
      <c r="W269" s="453">
        <v>60.8</v>
      </c>
      <c r="X269" s="456">
        <v>60.620000000000005</v>
      </c>
      <c r="Y269" s="453">
        <v>46.68</v>
      </c>
      <c r="Z269" s="453">
        <v>35.340000000000003</v>
      </c>
      <c r="AA269" s="519">
        <v>46.820000000006985</v>
      </c>
      <c r="AB269" s="519">
        <v>35.269999999996799</v>
      </c>
      <c r="AC269" s="732">
        <f t="shared" si="4"/>
        <v>82.090000000003783</v>
      </c>
      <c r="AD269" s="664"/>
      <c r="AE269" s="664"/>
      <c r="AF269" s="664"/>
      <c r="AG269" s="664"/>
      <c r="AH269" s="664"/>
      <c r="AI269" s="664"/>
      <c r="AJ269" s="485"/>
      <c r="AK269" s="485"/>
      <c r="AL269" s="485"/>
      <c r="AM269" s="485"/>
      <c r="AN269" s="485"/>
      <c r="AO269" s="665"/>
      <c r="AP269" s="485"/>
      <c r="AQ269" s="483"/>
      <c r="AR269" s="755">
        <v>0</v>
      </c>
      <c r="AS269" s="483">
        <v>37.4</v>
      </c>
      <c r="AT269" s="755">
        <v>0</v>
      </c>
      <c r="AU269" s="483">
        <v>44</v>
      </c>
      <c r="AV269" s="484">
        <v>738.1</v>
      </c>
      <c r="AW269" s="484">
        <v>944.5</v>
      </c>
      <c r="AX269" s="453">
        <v>46.2</v>
      </c>
      <c r="AY269" s="734">
        <v>0</v>
      </c>
      <c r="AZ269" s="734">
        <v>0</v>
      </c>
      <c r="BA269" s="734">
        <v>0</v>
      </c>
      <c r="BB269" s="453">
        <v>0</v>
      </c>
      <c r="BC269" s="453">
        <v>1.36</v>
      </c>
      <c r="BD269" s="453">
        <v>2.5</v>
      </c>
      <c r="BE269" s="734">
        <v>0</v>
      </c>
      <c r="BF269" s="453">
        <v>0.5</v>
      </c>
      <c r="BG269" s="453">
        <v>0</v>
      </c>
      <c r="BH269" s="734">
        <v>0</v>
      </c>
      <c r="BI269" s="453">
        <v>1.93</v>
      </c>
      <c r="BJ269" s="453">
        <v>28.8</v>
      </c>
      <c r="BK269" s="453">
        <v>4.62</v>
      </c>
      <c r="BL269" s="453">
        <v>5.42</v>
      </c>
      <c r="BM269" s="453">
        <v>0</v>
      </c>
      <c r="BN269" s="453">
        <v>18.600000000000001</v>
      </c>
      <c r="BO269" s="453">
        <v>2844.3</v>
      </c>
      <c r="BP269" s="453">
        <v>0</v>
      </c>
      <c r="BQ269" s="453">
        <v>18.5</v>
      </c>
      <c r="BR269" s="453">
        <v>18.5</v>
      </c>
      <c r="BS269" s="453">
        <v>0</v>
      </c>
      <c r="BT269" s="453">
        <v>44.6</v>
      </c>
      <c r="BU269" s="453">
        <v>37.4</v>
      </c>
      <c r="BV269" s="456">
        <v>1336.5</v>
      </c>
      <c r="BW269" s="453">
        <v>1.45</v>
      </c>
      <c r="BX269" s="453">
        <v>1.36</v>
      </c>
      <c r="BY269" s="456">
        <v>0.9</v>
      </c>
      <c r="BZ269" s="456">
        <v>15.4</v>
      </c>
      <c r="CA269" s="456">
        <v>28</v>
      </c>
      <c r="CB269" s="456">
        <v>17.8</v>
      </c>
      <c r="CC269" s="456">
        <v>10.199999999999999</v>
      </c>
      <c r="CD269" s="456">
        <v>14.4</v>
      </c>
      <c r="CE269" s="456">
        <v>18.399999999999999</v>
      </c>
      <c r="CF269" s="456">
        <v>13</v>
      </c>
      <c r="CG269" s="456">
        <v>320.10000000000002</v>
      </c>
      <c r="CH269" s="456">
        <v>3.5</v>
      </c>
      <c r="CI269" s="456">
        <v>5.2</v>
      </c>
      <c r="CJ269" s="456">
        <v>913.4</v>
      </c>
      <c r="CK269" s="456">
        <v>941.1</v>
      </c>
      <c r="CL269" s="456">
        <v>724.2</v>
      </c>
      <c r="CM269" s="456">
        <v>14.2</v>
      </c>
      <c r="CN269" s="456">
        <v>2.4</v>
      </c>
      <c r="CO269" s="453">
        <v>5.64</v>
      </c>
      <c r="CP269" s="453">
        <v>17.16</v>
      </c>
      <c r="CQ269" s="453">
        <v>60</v>
      </c>
      <c r="CR269" s="456">
        <v>0</v>
      </c>
      <c r="CS269" s="456">
        <v>0</v>
      </c>
      <c r="CT269" s="456">
        <v>0</v>
      </c>
      <c r="CU269" s="456">
        <v>0</v>
      </c>
      <c r="CV269" s="481">
        <v>296.375</v>
      </c>
      <c r="CW269" s="481">
        <v>301.54166666666669</v>
      </c>
      <c r="CX269" s="481">
        <v>181.39583333333334</v>
      </c>
      <c r="CY269" s="481">
        <v>1149.4000000000001</v>
      </c>
      <c r="CZ269" s="456"/>
      <c r="DA269" s="456"/>
      <c r="DB269" s="456"/>
      <c r="DC269" s="456"/>
      <c r="DD269" s="456"/>
      <c r="DE269" s="456"/>
      <c r="DF269" s="456"/>
      <c r="DG269" s="425"/>
      <c r="DH269" s="456">
        <v>18</v>
      </c>
      <c r="DI269" s="456" t="s">
        <v>755</v>
      </c>
      <c r="DJ269" s="456">
        <v>0.86</v>
      </c>
      <c r="DK269" s="425"/>
      <c r="DL269" s="456"/>
      <c r="DM269" s="456"/>
      <c r="DN269" s="456"/>
      <c r="DO269" s="456"/>
      <c r="DP269" s="456"/>
      <c r="DQ269" s="456"/>
      <c r="DR269" s="456"/>
      <c r="DS269" s="456"/>
      <c r="DT269" s="456"/>
      <c r="DU269" s="456"/>
      <c r="DV269" s="456"/>
      <c r="DW269" s="456"/>
      <c r="DX269" s="456"/>
      <c r="DY269" s="456"/>
      <c r="DZ269" s="456"/>
      <c r="EA269" s="456"/>
      <c r="EB269" s="456"/>
      <c r="EC269" s="456"/>
      <c r="ED269" s="456">
        <v>0</v>
      </c>
      <c r="EE269" s="456">
        <v>2</v>
      </c>
      <c r="EF269" s="456">
        <v>4</v>
      </c>
      <c r="EG269" s="456">
        <v>10</v>
      </c>
      <c r="EH269" s="423">
        <v>0</v>
      </c>
      <c r="EI269" s="456"/>
      <c r="EJ269" s="456"/>
      <c r="EK269" s="456"/>
      <c r="EL269" s="456"/>
      <c r="EM269" s="456"/>
      <c r="EN269" s="456"/>
      <c r="EO269" s="425"/>
      <c r="EP269" s="425"/>
      <c r="EQ269" s="425" t="s">
        <v>743</v>
      </c>
      <c r="ER269" s="425">
        <v>1</v>
      </c>
      <c r="ES269" s="425">
        <v>4</v>
      </c>
      <c r="ET269" s="425">
        <v>4000</v>
      </c>
      <c r="EU269" s="457">
        <v>720</v>
      </c>
      <c r="EV269" s="425">
        <v>160</v>
      </c>
      <c r="EW269" s="425">
        <v>7287887</v>
      </c>
      <c r="EX269" s="425">
        <v>30108</v>
      </c>
      <c r="EY269" s="666">
        <v>18.3</v>
      </c>
      <c r="EZ269" s="666">
        <v>18.29</v>
      </c>
      <c r="FA269" s="666">
        <v>0</v>
      </c>
      <c r="FB269" s="666">
        <v>1.34</v>
      </c>
      <c r="FC269" s="666">
        <v>1.3</v>
      </c>
      <c r="FD269" s="666">
        <v>1.04</v>
      </c>
      <c r="FE269" s="666">
        <v>0.98</v>
      </c>
      <c r="FF269" s="666">
        <v>145</v>
      </c>
      <c r="FG269" s="666">
        <v>0.89</v>
      </c>
      <c r="FH269" s="666">
        <v>0.45</v>
      </c>
      <c r="FI269" s="666">
        <v>0.78</v>
      </c>
      <c r="FJ269" s="666">
        <v>7.9</v>
      </c>
      <c r="FK269" s="666">
        <v>7.8</v>
      </c>
      <c r="FL269" s="666">
        <v>7.74</v>
      </c>
      <c r="FM269" s="666">
        <v>7.84</v>
      </c>
      <c r="FN269" s="666">
        <v>0</v>
      </c>
    </row>
    <row r="270" spans="1:170" s="416" customFormat="1" ht="15">
      <c r="A270" s="425" t="s">
        <v>5</v>
      </c>
      <c r="B270" s="426">
        <v>40799</v>
      </c>
      <c r="C270" s="418">
        <v>0</v>
      </c>
      <c r="D270" s="518">
        <v>0</v>
      </c>
      <c r="E270" s="453">
        <v>0</v>
      </c>
      <c r="F270" s="453">
        <v>57</v>
      </c>
      <c r="G270" s="453">
        <v>0.4</v>
      </c>
      <c r="H270" s="519">
        <v>1.22</v>
      </c>
      <c r="I270" s="519">
        <v>92.4</v>
      </c>
      <c r="J270" s="483">
        <v>1.21</v>
      </c>
      <c r="K270" s="520">
        <v>0.95</v>
      </c>
      <c r="L270" s="453">
        <v>0</v>
      </c>
      <c r="M270" s="453" t="s">
        <v>742</v>
      </c>
      <c r="N270" s="453">
        <v>1.68</v>
      </c>
      <c r="O270" s="453">
        <v>2.1565261857075892</v>
      </c>
      <c r="P270" s="453">
        <v>1.64</v>
      </c>
      <c r="Q270" s="453">
        <v>2.2602531412244442</v>
      </c>
      <c r="R270" s="453">
        <v>1484.7800052840155</v>
      </c>
      <c r="S270" s="453">
        <v>8.0399999999999991</v>
      </c>
      <c r="T270" s="453">
        <v>7.92</v>
      </c>
      <c r="U270" s="453">
        <v>0.81</v>
      </c>
      <c r="V270" s="453">
        <v>0.75</v>
      </c>
      <c r="W270" s="453">
        <v>60.8</v>
      </c>
      <c r="X270" s="456">
        <v>60.8</v>
      </c>
      <c r="Y270" s="453">
        <v>46.39</v>
      </c>
      <c r="Z270" s="453">
        <v>35.04</v>
      </c>
      <c r="AA270" s="519">
        <v>46.080000000001746</v>
      </c>
      <c r="AB270" s="519">
        <v>34.629999999997381</v>
      </c>
      <c r="AC270" s="732">
        <f t="shared" si="4"/>
        <v>80.709999999999127</v>
      </c>
      <c r="AD270" s="664"/>
      <c r="AE270" s="664"/>
      <c r="AF270" s="664"/>
      <c r="AG270" s="664"/>
      <c r="AH270" s="664"/>
      <c r="AI270" s="664"/>
      <c r="AJ270" s="485"/>
      <c r="AK270" s="485"/>
      <c r="AL270" s="485"/>
      <c r="AM270" s="485"/>
      <c r="AN270" s="485"/>
      <c r="AO270" s="665"/>
      <c r="AP270" s="485"/>
      <c r="AQ270" s="483"/>
      <c r="AR270" s="755">
        <v>0</v>
      </c>
      <c r="AS270" s="483">
        <v>17.8</v>
      </c>
      <c r="AT270" s="755">
        <v>0</v>
      </c>
      <c r="AU270" s="483">
        <v>44.1</v>
      </c>
      <c r="AV270" s="484">
        <v>586.4</v>
      </c>
      <c r="AW270" s="484">
        <v>507.3</v>
      </c>
      <c r="AX270" s="453">
        <v>25.5</v>
      </c>
      <c r="AY270" s="734">
        <v>0</v>
      </c>
      <c r="AZ270" s="734">
        <v>0</v>
      </c>
      <c r="BA270" s="734">
        <v>0</v>
      </c>
      <c r="BB270" s="453">
        <v>0</v>
      </c>
      <c r="BC270" s="453">
        <v>1.21</v>
      </c>
      <c r="BD270" s="453">
        <v>2.29</v>
      </c>
      <c r="BE270" s="734">
        <v>0</v>
      </c>
      <c r="BF270" s="453">
        <v>0.56000000000000005</v>
      </c>
      <c r="BG270" s="453">
        <v>0</v>
      </c>
      <c r="BH270" s="734">
        <v>0</v>
      </c>
      <c r="BI270" s="453">
        <v>1.91</v>
      </c>
      <c r="BJ270" s="453">
        <v>29.1</v>
      </c>
      <c r="BK270" s="453">
        <v>4.2</v>
      </c>
      <c r="BL270" s="453">
        <v>5.84</v>
      </c>
      <c r="BM270" s="453">
        <v>0</v>
      </c>
      <c r="BN270" s="453">
        <v>19</v>
      </c>
      <c r="BO270" s="453">
        <v>2277.8000000000002</v>
      </c>
      <c r="BP270" s="453">
        <v>47</v>
      </c>
      <c r="BQ270" s="453">
        <v>19</v>
      </c>
      <c r="BR270" s="453">
        <v>18.96</v>
      </c>
      <c r="BS270" s="453">
        <v>0</v>
      </c>
      <c r="BT270" s="453">
        <v>45.2</v>
      </c>
      <c r="BU270" s="453">
        <v>39.4</v>
      </c>
      <c r="BV270" s="456">
        <v>924.2</v>
      </c>
      <c r="BW270" s="453">
        <v>2.95</v>
      </c>
      <c r="BX270" s="453">
        <v>1.34</v>
      </c>
      <c r="BY270" s="456">
        <v>0.9</v>
      </c>
      <c r="BZ270" s="456">
        <v>15.2</v>
      </c>
      <c r="CA270" s="456">
        <v>26.9</v>
      </c>
      <c r="CB270" s="456">
        <v>19.2</v>
      </c>
      <c r="CC270" s="456">
        <v>9.9</v>
      </c>
      <c r="CD270" s="456">
        <v>14.2</v>
      </c>
      <c r="CE270" s="456">
        <v>18.100000000000001</v>
      </c>
      <c r="CF270" s="456">
        <v>13</v>
      </c>
      <c r="CG270" s="456">
        <v>560.79999999999995</v>
      </c>
      <c r="CH270" s="456">
        <v>3.2</v>
      </c>
      <c r="CI270" s="456">
        <v>4.9000000000000004</v>
      </c>
      <c r="CJ270" s="456">
        <v>641.20000000000005</v>
      </c>
      <c r="CK270" s="456">
        <v>816.9</v>
      </c>
      <c r="CL270" s="456">
        <v>661</v>
      </c>
      <c r="CM270" s="456">
        <v>14.7</v>
      </c>
      <c r="CN270" s="456">
        <v>2.2000000000000002</v>
      </c>
      <c r="CO270" s="453">
        <v>0</v>
      </c>
      <c r="CP270" s="453">
        <v>16.8</v>
      </c>
      <c r="CQ270" s="453">
        <v>60</v>
      </c>
      <c r="CR270" s="456">
        <v>0</v>
      </c>
      <c r="CS270" s="456">
        <v>0</v>
      </c>
      <c r="CT270" s="456">
        <v>0</v>
      </c>
      <c r="CU270" s="456">
        <v>0</v>
      </c>
      <c r="CV270" s="481">
        <v>286</v>
      </c>
      <c r="CW270" s="481">
        <v>293.80208333333331</v>
      </c>
      <c r="CX270" s="481">
        <v>170.26041666666666</v>
      </c>
      <c r="CY270" s="481">
        <v>1149.07</v>
      </c>
      <c r="CZ270" s="456"/>
      <c r="DA270" s="456"/>
      <c r="DB270" s="456"/>
      <c r="DC270" s="456"/>
      <c r="DD270" s="456"/>
      <c r="DE270" s="456"/>
      <c r="DF270" s="456"/>
      <c r="DG270" s="425"/>
      <c r="DH270" s="456">
        <v>0</v>
      </c>
      <c r="DI270" s="456" t="s">
        <v>755</v>
      </c>
      <c r="DJ270" s="456">
        <v>0.91</v>
      </c>
      <c r="DK270" s="425"/>
      <c r="DL270" s="456"/>
      <c r="DM270" s="456"/>
      <c r="DN270" s="456"/>
      <c r="DO270" s="456"/>
      <c r="DP270" s="456"/>
      <c r="DQ270" s="456"/>
      <c r="DR270" s="456"/>
      <c r="DS270" s="456"/>
      <c r="DT270" s="456"/>
      <c r="DU270" s="456"/>
      <c r="DV270" s="456"/>
      <c r="DW270" s="456"/>
      <c r="DX270" s="456"/>
      <c r="DY270" s="456"/>
      <c r="DZ270" s="456"/>
      <c r="EA270" s="456"/>
      <c r="EB270" s="456"/>
      <c r="EC270" s="456"/>
      <c r="ED270" s="456">
        <v>0</v>
      </c>
      <c r="EE270" s="456">
        <v>2</v>
      </c>
      <c r="EF270" s="456">
        <v>4</v>
      </c>
      <c r="EG270" s="456">
        <v>10</v>
      </c>
      <c r="EH270" s="423">
        <v>0</v>
      </c>
      <c r="EI270" s="456"/>
      <c r="EJ270" s="456"/>
      <c r="EK270" s="456"/>
      <c r="EL270" s="456"/>
      <c r="EM270" s="456"/>
      <c r="EN270" s="456"/>
      <c r="EO270" s="425"/>
      <c r="EP270" s="425"/>
      <c r="EQ270" s="425" t="s">
        <v>743</v>
      </c>
      <c r="ER270" s="425">
        <v>1</v>
      </c>
      <c r="ES270" s="425">
        <v>4</v>
      </c>
      <c r="ET270" s="425">
        <v>4000</v>
      </c>
      <c r="EU270" s="457">
        <v>560</v>
      </c>
      <c r="EV270" s="425">
        <v>140</v>
      </c>
      <c r="EW270" s="425">
        <v>7291807</v>
      </c>
      <c r="EX270" s="425">
        <v>30896</v>
      </c>
      <c r="EY270" s="666">
        <v>18.79</v>
      </c>
      <c r="EZ270" s="666">
        <v>18.8</v>
      </c>
      <c r="FA270" s="666">
        <v>0</v>
      </c>
      <c r="FB270" s="666">
        <v>1.37</v>
      </c>
      <c r="FC270" s="666">
        <v>1.32</v>
      </c>
      <c r="FD270" s="666">
        <v>0.97</v>
      </c>
      <c r="FE270" s="666">
        <v>0.95</v>
      </c>
      <c r="FF270" s="666">
        <v>160</v>
      </c>
      <c r="FG270" s="666">
        <v>0.85</v>
      </c>
      <c r="FH270" s="666">
        <v>0.43</v>
      </c>
      <c r="FI270" s="666">
        <v>0.72</v>
      </c>
      <c r="FJ270" s="666">
        <v>8.1999999999999993</v>
      </c>
      <c r="FK270" s="666">
        <v>8</v>
      </c>
      <c r="FL270" s="666">
        <v>7.76</v>
      </c>
      <c r="FM270" s="666">
        <v>7.5</v>
      </c>
      <c r="FN270" s="666">
        <v>0</v>
      </c>
    </row>
    <row r="271" spans="1:170" s="416" customFormat="1" ht="15">
      <c r="A271" s="425" t="s">
        <v>6</v>
      </c>
      <c r="B271" s="426">
        <v>40800</v>
      </c>
      <c r="C271" s="418">
        <v>0</v>
      </c>
      <c r="D271" s="518">
        <v>0</v>
      </c>
      <c r="E271" s="453">
        <v>0</v>
      </c>
      <c r="F271" s="453">
        <v>56</v>
      </c>
      <c r="G271" s="453">
        <v>0.35</v>
      </c>
      <c r="H271" s="519">
        <v>1.25</v>
      </c>
      <c r="I271" s="519">
        <v>92.2</v>
      </c>
      <c r="J271" s="483">
        <v>1.22</v>
      </c>
      <c r="K271" s="520">
        <v>1.04</v>
      </c>
      <c r="L271" s="453">
        <v>0</v>
      </c>
      <c r="M271" s="453" t="s">
        <v>742</v>
      </c>
      <c r="N271" s="453">
        <v>1.66</v>
      </c>
      <c r="O271" s="453">
        <v>2.1075197750161574</v>
      </c>
      <c r="P271" s="453">
        <v>1.64</v>
      </c>
      <c r="Q271" s="453">
        <v>2.2035074723438801</v>
      </c>
      <c r="R271" s="453">
        <v>1465.9935217965651</v>
      </c>
      <c r="S271" s="453">
        <v>8.01</v>
      </c>
      <c r="T271" s="453">
        <v>7.94</v>
      </c>
      <c r="U271" s="453">
        <v>0.83</v>
      </c>
      <c r="V271" s="453">
        <v>0.79</v>
      </c>
      <c r="W271" s="453">
        <v>59.180000000000007</v>
      </c>
      <c r="X271" s="456">
        <v>58.819999999999993</v>
      </c>
      <c r="Y271" s="453">
        <v>46.67</v>
      </c>
      <c r="Z271" s="453">
        <v>35.14</v>
      </c>
      <c r="AA271" s="519">
        <v>46.52</v>
      </c>
      <c r="AB271" s="519">
        <v>35</v>
      </c>
      <c r="AC271" s="732">
        <f t="shared" si="4"/>
        <v>81.52000000000001</v>
      </c>
      <c r="AD271" s="664"/>
      <c r="AE271" s="664"/>
      <c r="AF271" s="664"/>
      <c r="AG271" s="664"/>
      <c r="AH271" s="664"/>
      <c r="AI271" s="664"/>
      <c r="AJ271" s="485"/>
      <c r="AK271" s="485"/>
      <c r="AL271" s="485"/>
      <c r="AM271" s="485"/>
      <c r="AN271" s="485"/>
      <c r="AO271" s="665"/>
      <c r="AP271" s="485"/>
      <c r="AQ271" s="483"/>
      <c r="AR271" s="755">
        <v>0</v>
      </c>
      <c r="AS271" s="483">
        <v>36.700000000000003</v>
      </c>
      <c r="AT271" s="755">
        <v>0</v>
      </c>
      <c r="AU271" s="483">
        <v>43.2</v>
      </c>
      <c r="AV271" s="484">
        <v>218.5</v>
      </c>
      <c r="AW271" s="484">
        <v>1514.4</v>
      </c>
      <c r="AX271" s="453">
        <v>28</v>
      </c>
      <c r="AY271" s="734">
        <v>0</v>
      </c>
      <c r="AZ271" s="734">
        <v>0</v>
      </c>
      <c r="BA271" s="734">
        <v>0</v>
      </c>
      <c r="BB271" s="453">
        <v>0</v>
      </c>
      <c r="BC271" s="453">
        <v>0.99</v>
      </c>
      <c r="BD271" s="453">
        <v>1.75</v>
      </c>
      <c r="BE271" s="734">
        <v>0</v>
      </c>
      <c r="BF271" s="453">
        <v>0.47</v>
      </c>
      <c r="BG271" s="453">
        <v>0</v>
      </c>
      <c r="BH271" s="734">
        <v>0</v>
      </c>
      <c r="BI271" s="453">
        <v>1.99</v>
      </c>
      <c r="BJ271" s="453">
        <v>29.1</v>
      </c>
      <c r="BK271" s="453">
        <v>3.9</v>
      </c>
      <c r="BL271" s="453">
        <v>6.04</v>
      </c>
      <c r="BM271" s="453">
        <v>0</v>
      </c>
      <c r="BN271" s="453">
        <v>19.7</v>
      </c>
      <c r="BO271" s="453">
        <v>2373.3000000000002</v>
      </c>
      <c r="BP271" s="453">
        <v>0</v>
      </c>
      <c r="BQ271" s="453">
        <v>19.600000000000001</v>
      </c>
      <c r="BR271" s="453">
        <v>19.5</v>
      </c>
      <c r="BS271" s="453">
        <v>0</v>
      </c>
      <c r="BT271" s="453">
        <v>44.7</v>
      </c>
      <c r="BU271" s="453">
        <v>38.700000000000003</v>
      </c>
      <c r="BV271" s="456">
        <v>933.4</v>
      </c>
      <c r="BW271" s="453">
        <v>3.1</v>
      </c>
      <c r="BX271" s="453">
        <v>1.32</v>
      </c>
      <c r="BY271" s="456">
        <v>0.9</v>
      </c>
      <c r="BZ271" s="456">
        <v>15.2</v>
      </c>
      <c r="CA271" s="456">
        <v>33</v>
      </c>
      <c r="CB271" s="456">
        <v>18.3</v>
      </c>
      <c r="CC271" s="456">
        <v>9.6999999999999993</v>
      </c>
      <c r="CD271" s="456">
        <v>14</v>
      </c>
      <c r="CE271" s="456">
        <v>17.899999999999999</v>
      </c>
      <c r="CF271" s="456">
        <v>13.1</v>
      </c>
      <c r="CG271" s="456">
        <v>560.79999999999995</v>
      </c>
      <c r="CH271" s="456">
        <v>3.5</v>
      </c>
      <c r="CI271" s="456">
        <v>5.0999999999999996</v>
      </c>
      <c r="CJ271" s="456">
        <v>942.4</v>
      </c>
      <c r="CK271" s="456">
        <v>818.5</v>
      </c>
      <c r="CL271" s="456">
        <v>689.5</v>
      </c>
      <c r="CM271" s="456">
        <v>14.7</v>
      </c>
      <c r="CN271" s="456">
        <v>2.2000000000000002</v>
      </c>
      <c r="CO271" s="453">
        <v>0</v>
      </c>
      <c r="CP271" s="453">
        <v>17</v>
      </c>
      <c r="CQ271" s="453">
        <v>61</v>
      </c>
      <c r="CR271" s="456">
        <v>0</v>
      </c>
      <c r="CS271" s="456">
        <v>0</v>
      </c>
      <c r="CT271" s="456">
        <v>0</v>
      </c>
      <c r="CU271" s="456">
        <v>0</v>
      </c>
      <c r="CV271" s="481">
        <v>285.75</v>
      </c>
      <c r="CW271" s="481">
        <v>291</v>
      </c>
      <c r="CX271" s="481">
        <v>169.91666666666666</v>
      </c>
      <c r="CY271" s="481">
        <v>1148.75</v>
      </c>
      <c r="CZ271" s="456"/>
      <c r="DA271" s="456"/>
      <c r="DB271" s="456"/>
      <c r="DC271" s="456"/>
      <c r="DD271" s="456"/>
      <c r="DE271" s="456"/>
      <c r="DF271" s="456"/>
      <c r="DG271" s="425"/>
      <c r="DH271" s="456">
        <v>0</v>
      </c>
      <c r="DI271" s="456" t="s">
        <v>755</v>
      </c>
      <c r="DJ271" s="456">
        <v>1</v>
      </c>
      <c r="DK271" s="425"/>
      <c r="DL271" s="456"/>
      <c r="DM271" s="456"/>
      <c r="DN271" s="456"/>
      <c r="DO271" s="456"/>
      <c r="DP271" s="456"/>
      <c r="DQ271" s="456"/>
      <c r="DR271" s="456"/>
      <c r="DS271" s="456"/>
      <c r="DT271" s="456"/>
      <c r="DU271" s="456"/>
      <c r="DV271" s="456"/>
      <c r="DW271" s="456"/>
      <c r="DX271" s="456"/>
      <c r="DY271" s="456"/>
      <c r="DZ271" s="456"/>
      <c r="EA271" s="456"/>
      <c r="EB271" s="456"/>
      <c r="EC271" s="456"/>
      <c r="ED271" s="456">
        <v>0</v>
      </c>
      <c r="EE271" s="456">
        <v>2</v>
      </c>
      <c r="EF271" s="456">
        <v>4</v>
      </c>
      <c r="EG271" s="456">
        <v>10</v>
      </c>
      <c r="EH271" s="423">
        <v>0</v>
      </c>
      <c r="EI271" s="456"/>
      <c r="EJ271" s="456"/>
      <c r="EK271" s="456"/>
      <c r="EL271" s="456"/>
      <c r="EM271" s="456"/>
      <c r="EN271" s="456"/>
      <c r="EO271" s="425"/>
      <c r="EP271" s="425"/>
      <c r="EQ271" s="425" t="s">
        <v>743</v>
      </c>
      <c r="ER271" s="425">
        <v>1</v>
      </c>
      <c r="ES271" s="425">
        <v>4</v>
      </c>
      <c r="ET271" s="425">
        <v>4000</v>
      </c>
      <c r="EU271" s="457">
        <v>440</v>
      </c>
      <c r="EV271" s="425">
        <v>130</v>
      </c>
      <c r="EW271" s="425">
        <v>7295566</v>
      </c>
      <c r="EX271" s="425">
        <v>32037</v>
      </c>
      <c r="EY271" s="666">
        <v>19.7</v>
      </c>
      <c r="EZ271" s="666">
        <v>19.7</v>
      </c>
      <c r="FA271" s="666">
        <v>0</v>
      </c>
      <c r="FB271" s="666">
        <v>1.39</v>
      </c>
      <c r="FC271" s="666">
        <v>1.35</v>
      </c>
      <c r="FD271" s="666">
        <v>0.96</v>
      </c>
      <c r="FE271" s="666">
        <v>0.95</v>
      </c>
      <c r="FF271" s="666">
        <v>160</v>
      </c>
      <c r="FG271" s="666">
        <v>0.8</v>
      </c>
      <c r="FH271" s="666">
        <v>0.44</v>
      </c>
      <c r="FI271" s="666">
        <v>0.71</v>
      </c>
      <c r="FJ271" s="666">
        <v>7.96</v>
      </c>
      <c r="FK271" s="666">
        <v>8.1</v>
      </c>
      <c r="FL271" s="666">
        <v>7.73</v>
      </c>
      <c r="FM271" s="666">
        <v>7.5</v>
      </c>
      <c r="FN271" s="666">
        <v>0</v>
      </c>
    </row>
    <row r="272" spans="1:170" s="416" customFormat="1" ht="15">
      <c r="A272" s="425" t="s">
        <v>7</v>
      </c>
      <c r="B272" s="426">
        <v>40801</v>
      </c>
      <c r="C272" s="418">
        <v>0</v>
      </c>
      <c r="D272" s="518">
        <v>0.04</v>
      </c>
      <c r="E272" s="453">
        <v>0</v>
      </c>
      <c r="F272" s="453">
        <v>53</v>
      </c>
      <c r="G272" s="453">
        <v>0.35</v>
      </c>
      <c r="H272" s="519">
        <v>1.21</v>
      </c>
      <c r="I272" s="519">
        <v>92.6</v>
      </c>
      <c r="J272" s="483">
        <v>0.83</v>
      </c>
      <c r="K272" s="520">
        <v>0.83</v>
      </c>
      <c r="L272" s="453">
        <v>0</v>
      </c>
      <c r="M272" s="453" t="s">
        <v>742</v>
      </c>
      <c r="N272" s="453">
        <v>1.66</v>
      </c>
      <c r="O272" s="453">
        <v>2.1137415683520504</v>
      </c>
      <c r="P272" s="453">
        <v>1.65</v>
      </c>
      <c r="Q272" s="453">
        <v>2.2082208682958573</v>
      </c>
      <c r="R272" s="453">
        <v>1426.8010303830908</v>
      </c>
      <c r="S272" s="453">
        <v>8.0500000000000007</v>
      </c>
      <c r="T272" s="453">
        <v>8</v>
      </c>
      <c r="U272" s="453">
        <v>0.81</v>
      </c>
      <c r="V272" s="453">
        <v>0.77</v>
      </c>
      <c r="W272" s="453">
        <v>59.180000000000007</v>
      </c>
      <c r="X272" s="456">
        <v>58.64</v>
      </c>
      <c r="Y272" s="453">
        <v>46.29</v>
      </c>
      <c r="Z272" s="453">
        <v>35</v>
      </c>
      <c r="AA272" s="519">
        <v>47.090000000011059</v>
      </c>
      <c r="AB272" s="519">
        <v>32.700000000004366</v>
      </c>
      <c r="AC272" s="732">
        <f t="shared" si="4"/>
        <v>79.790000000015425</v>
      </c>
      <c r="AD272" s="664"/>
      <c r="AE272" s="664"/>
      <c r="AF272" s="664"/>
      <c r="AG272" s="664"/>
      <c r="AH272" s="664"/>
      <c r="AI272" s="664"/>
      <c r="AJ272" s="485"/>
      <c r="AK272" s="485"/>
      <c r="AL272" s="485"/>
      <c r="AM272" s="485"/>
      <c r="AN272" s="485"/>
      <c r="AO272" s="665"/>
      <c r="AP272" s="485"/>
      <c r="AQ272" s="483"/>
      <c r="AR272" s="755">
        <v>0</v>
      </c>
      <c r="AS272" s="483">
        <v>18.899999999999999</v>
      </c>
      <c r="AT272" s="755">
        <v>0</v>
      </c>
      <c r="AU272" s="483">
        <v>44.9</v>
      </c>
      <c r="AV272" s="484">
        <v>0</v>
      </c>
      <c r="AW272" s="484">
        <v>1135.5999999999999</v>
      </c>
      <c r="AX272" s="453">
        <v>12.6</v>
      </c>
      <c r="AY272" s="734">
        <v>0</v>
      </c>
      <c r="AZ272" s="734">
        <v>0</v>
      </c>
      <c r="BA272" s="734">
        <v>0</v>
      </c>
      <c r="BB272" s="453">
        <v>0</v>
      </c>
      <c r="BC272" s="453">
        <v>0.5</v>
      </c>
      <c r="BD272" s="453">
        <v>1.5</v>
      </c>
      <c r="BE272" s="734">
        <v>0</v>
      </c>
      <c r="BF272" s="453">
        <v>0.55000000000000004</v>
      </c>
      <c r="BG272" s="453">
        <v>0</v>
      </c>
      <c r="BH272" s="734">
        <v>0</v>
      </c>
      <c r="BI272" s="453">
        <v>1.98</v>
      </c>
      <c r="BJ272" s="453">
        <v>28.4</v>
      </c>
      <c r="BK272" s="453">
        <v>4.0199999999999996</v>
      </c>
      <c r="BL272" s="453">
        <v>6</v>
      </c>
      <c r="BM272" s="453">
        <v>0</v>
      </c>
      <c r="BN272" s="453">
        <v>18.3</v>
      </c>
      <c r="BO272" s="453">
        <v>2340.4</v>
      </c>
      <c r="BP272" s="453">
        <v>0</v>
      </c>
      <c r="BQ272" s="453">
        <v>20.3</v>
      </c>
      <c r="BR272" s="453">
        <v>20.3</v>
      </c>
      <c r="BS272" s="453">
        <v>0</v>
      </c>
      <c r="BT272" s="453">
        <v>45.4</v>
      </c>
      <c r="BU272" s="453">
        <v>37.4</v>
      </c>
      <c r="BV272" s="456">
        <v>917.2</v>
      </c>
      <c r="BW272" s="453">
        <v>1.74</v>
      </c>
      <c r="BX272" s="453">
        <v>1.34</v>
      </c>
      <c r="BY272" s="456">
        <v>0.89</v>
      </c>
      <c r="BZ272" s="456">
        <v>15.1</v>
      </c>
      <c r="CA272" s="456">
        <v>32.5</v>
      </c>
      <c r="CB272" s="456">
        <v>18.399999999999999</v>
      </c>
      <c r="CC272" s="456">
        <v>9.5</v>
      </c>
      <c r="CD272" s="456">
        <v>13.7</v>
      </c>
      <c r="CE272" s="456">
        <v>17.8</v>
      </c>
      <c r="CF272" s="456">
        <v>13.2</v>
      </c>
      <c r="CG272" s="456">
        <v>447.6</v>
      </c>
      <c r="CH272" s="456">
        <v>3.2</v>
      </c>
      <c r="CI272" s="456">
        <v>4.7</v>
      </c>
      <c r="CJ272" s="456">
        <v>806.6</v>
      </c>
      <c r="CK272" s="456">
        <v>799.8</v>
      </c>
      <c r="CL272" s="456">
        <v>678.8</v>
      </c>
      <c r="CM272" s="456">
        <v>14.7</v>
      </c>
      <c r="CN272" s="456">
        <v>2.19</v>
      </c>
      <c r="CO272" s="453">
        <v>365</v>
      </c>
      <c r="CP272" s="453">
        <v>16.55</v>
      </c>
      <c r="CQ272" s="453">
        <v>60</v>
      </c>
      <c r="CR272" s="456">
        <v>0</v>
      </c>
      <c r="CS272" s="456">
        <v>0</v>
      </c>
      <c r="CT272" s="456">
        <v>0</v>
      </c>
      <c r="CU272" s="456">
        <v>0</v>
      </c>
      <c r="CV272" s="481">
        <v>285.5</v>
      </c>
      <c r="CW272" s="481">
        <v>290.42708333333331</v>
      </c>
      <c r="CX272" s="481">
        <v>173.65625</v>
      </c>
      <c r="CY272" s="481">
        <v>1148.42</v>
      </c>
      <c r="CZ272" s="456"/>
      <c r="DA272" s="456"/>
      <c r="DB272" s="456"/>
      <c r="DC272" s="456"/>
      <c r="DD272" s="456"/>
      <c r="DE272" s="456"/>
      <c r="DF272" s="456"/>
      <c r="DG272" s="425"/>
      <c r="DH272" s="456">
        <v>2</v>
      </c>
      <c r="DI272" s="456">
        <v>0</v>
      </c>
      <c r="DJ272" s="456">
        <v>0.92</v>
      </c>
      <c r="DK272" s="425"/>
      <c r="DL272" s="456"/>
      <c r="DM272" s="456"/>
      <c r="DN272" s="456"/>
      <c r="DO272" s="456"/>
      <c r="DP272" s="456"/>
      <c r="DQ272" s="456"/>
      <c r="DR272" s="456"/>
      <c r="DS272" s="456"/>
      <c r="DT272" s="456"/>
      <c r="DU272" s="456"/>
      <c r="DV272" s="456"/>
      <c r="DW272" s="456"/>
      <c r="DX272" s="456"/>
      <c r="DY272" s="456"/>
      <c r="DZ272" s="456"/>
      <c r="EA272" s="456"/>
      <c r="EB272" s="456"/>
      <c r="EC272" s="456"/>
      <c r="ED272" s="456">
        <v>0</v>
      </c>
      <c r="EE272" s="456">
        <v>2</v>
      </c>
      <c r="EF272" s="456">
        <v>4</v>
      </c>
      <c r="EG272" s="456">
        <v>10</v>
      </c>
      <c r="EH272" s="423">
        <v>0</v>
      </c>
      <c r="EI272" s="456"/>
      <c r="EJ272" s="456"/>
      <c r="EK272" s="456"/>
      <c r="EL272" s="456"/>
      <c r="EM272" s="456"/>
      <c r="EN272" s="456"/>
      <c r="EO272" s="425"/>
      <c r="EP272" s="425"/>
      <c r="EQ272" s="425" t="s">
        <v>743</v>
      </c>
      <c r="ER272" s="425">
        <v>1</v>
      </c>
      <c r="ES272" s="425">
        <v>4</v>
      </c>
      <c r="ET272" s="425">
        <v>4000</v>
      </c>
      <c r="EU272" s="457">
        <v>300</v>
      </c>
      <c r="EV272" s="425">
        <v>160</v>
      </c>
      <c r="EW272" s="425">
        <v>7299518</v>
      </c>
      <c r="EX272" s="425">
        <v>33351</v>
      </c>
      <c r="EY272" s="666">
        <v>20.2</v>
      </c>
      <c r="EZ272" s="666">
        <v>20.2</v>
      </c>
      <c r="FA272" s="666">
        <v>0</v>
      </c>
      <c r="FB272" s="666">
        <v>1.3</v>
      </c>
      <c r="FC272" s="666">
        <v>1.33</v>
      </c>
      <c r="FD272" s="666">
        <v>0.93</v>
      </c>
      <c r="FE272" s="666">
        <v>0.95</v>
      </c>
      <c r="FF272" s="666">
        <v>140</v>
      </c>
      <c r="FG272" s="666">
        <v>1.1000000000000001</v>
      </c>
      <c r="FH272" s="666">
        <v>0.44</v>
      </c>
      <c r="FI272" s="666">
        <v>0.8</v>
      </c>
      <c r="FJ272" s="666">
        <v>7.77</v>
      </c>
      <c r="FK272" s="666">
        <v>7.9</v>
      </c>
      <c r="FL272" s="666">
        <v>7.6</v>
      </c>
      <c r="FM272" s="666">
        <v>7.3</v>
      </c>
      <c r="FN272" s="666">
        <v>0</v>
      </c>
    </row>
    <row r="273" spans="1:170" s="416" customFormat="1" ht="15">
      <c r="A273" s="425" t="s">
        <v>8</v>
      </c>
      <c r="B273" s="426">
        <v>40802</v>
      </c>
      <c r="C273" s="418">
        <v>0</v>
      </c>
      <c r="D273" s="518">
        <v>0</v>
      </c>
      <c r="E273" s="453">
        <v>0</v>
      </c>
      <c r="F273" s="453">
        <v>48</v>
      </c>
      <c r="G273" s="453">
        <v>0.5</v>
      </c>
      <c r="H273" s="519">
        <v>1.66</v>
      </c>
      <c r="I273" s="519">
        <v>92.6</v>
      </c>
      <c r="J273" s="483">
        <v>1.1200000000000001</v>
      </c>
      <c r="K273" s="520">
        <v>1.1299999999999999</v>
      </c>
      <c r="L273" s="453">
        <v>0</v>
      </c>
      <c r="M273" s="453" t="s">
        <v>742</v>
      </c>
      <c r="N273" s="453">
        <v>1.65</v>
      </c>
      <c r="O273" s="453">
        <v>2.0989908584507515</v>
      </c>
      <c r="P273" s="453">
        <v>1.64</v>
      </c>
      <c r="Q273" s="453">
        <v>2.2003218446018971</v>
      </c>
      <c r="R273" s="453">
        <v>1328.9817542932628</v>
      </c>
      <c r="S273" s="453">
        <v>8.01</v>
      </c>
      <c r="T273" s="453">
        <v>7.83</v>
      </c>
      <c r="U273" s="453">
        <v>0.81</v>
      </c>
      <c r="V273" s="453">
        <v>0.77</v>
      </c>
      <c r="W273" s="453">
        <v>58.819999999999993</v>
      </c>
      <c r="X273" s="456">
        <v>58.460000000000008</v>
      </c>
      <c r="Y273" s="453">
        <v>46.1</v>
      </c>
      <c r="Z273" s="453">
        <v>28.84</v>
      </c>
      <c r="AA273" s="519">
        <v>46.549999999988358</v>
      </c>
      <c r="AB273" s="519">
        <v>27.599999999998545</v>
      </c>
      <c r="AC273" s="732">
        <f t="shared" si="4"/>
        <v>74.149999999986903</v>
      </c>
      <c r="AD273" s="664"/>
      <c r="AE273" s="664"/>
      <c r="AF273" s="664"/>
      <c r="AG273" s="664"/>
      <c r="AH273" s="664"/>
      <c r="AI273" s="664"/>
      <c r="AJ273" s="485"/>
      <c r="AK273" s="485"/>
      <c r="AL273" s="485"/>
      <c r="AM273" s="485"/>
      <c r="AN273" s="485"/>
      <c r="AO273" s="665"/>
      <c r="AP273" s="485"/>
      <c r="AQ273" s="483"/>
      <c r="AR273" s="755">
        <v>0</v>
      </c>
      <c r="AS273" s="483">
        <v>38.1</v>
      </c>
      <c r="AT273" s="755">
        <v>0</v>
      </c>
      <c r="AU273" s="483">
        <v>40.799999999999997</v>
      </c>
      <c r="AV273" s="484">
        <v>0</v>
      </c>
      <c r="AW273" s="484">
        <v>781</v>
      </c>
      <c r="AX273" s="453">
        <v>0</v>
      </c>
      <c r="AY273" s="734">
        <v>0</v>
      </c>
      <c r="AZ273" s="734">
        <v>0</v>
      </c>
      <c r="BA273" s="734">
        <v>0</v>
      </c>
      <c r="BB273" s="453">
        <v>0</v>
      </c>
      <c r="BC273" s="453">
        <v>0.5</v>
      </c>
      <c r="BD273" s="453">
        <v>1.51</v>
      </c>
      <c r="BE273" s="734">
        <v>0</v>
      </c>
      <c r="BF273" s="453">
        <v>0.49</v>
      </c>
      <c r="BG273" s="453">
        <v>0</v>
      </c>
      <c r="BH273" s="734">
        <v>0</v>
      </c>
      <c r="BI273" s="453">
        <v>1.95</v>
      </c>
      <c r="BJ273" s="453">
        <v>23.2</v>
      </c>
      <c r="BK273" s="453">
        <v>3.61</v>
      </c>
      <c r="BL273" s="453">
        <v>5.4</v>
      </c>
      <c r="BM273" s="453">
        <v>0</v>
      </c>
      <c r="BN273" s="453">
        <v>14.1</v>
      </c>
      <c r="BO273" s="453">
        <v>2427.9</v>
      </c>
      <c r="BP273" s="453">
        <v>0</v>
      </c>
      <c r="BQ273" s="453">
        <v>20.6</v>
      </c>
      <c r="BR273" s="453">
        <v>20.5</v>
      </c>
      <c r="BS273" s="453">
        <v>0</v>
      </c>
      <c r="BT273" s="453">
        <v>45.8</v>
      </c>
      <c r="BU273" s="453">
        <v>41.9</v>
      </c>
      <c r="BV273" s="456">
        <v>870.5</v>
      </c>
      <c r="BW273" s="453">
        <v>2.6</v>
      </c>
      <c r="BX273" s="453">
        <v>1.34</v>
      </c>
      <c r="BY273" s="456">
        <v>0.89</v>
      </c>
      <c r="BZ273" s="456">
        <v>15.4</v>
      </c>
      <c r="CA273" s="456">
        <v>32.4</v>
      </c>
      <c r="CB273" s="456">
        <v>20.100000000000001</v>
      </c>
      <c r="CC273" s="456">
        <v>10.5</v>
      </c>
      <c r="CD273" s="456">
        <v>14.7</v>
      </c>
      <c r="CE273" s="456">
        <v>19</v>
      </c>
      <c r="CF273" s="456">
        <v>13.1</v>
      </c>
      <c r="CG273" s="456">
        <v>199.7</v>
      </c>
      <c r="CH273" s="456">
        <v>3.3</v>
      </c>
      <c r="CI273" s="456">
        <v>4.9000000000000004</v>
      </c>
      <c r="CJ273" s="456">
        <v>812.2</v>
      </c>
      <c r="CK273" s="456">
        <v>803.4</v>
      </c>
      <c r="CL273" s="456">
        <v>695.3</v>
      </c>
      <c r="CM273" s="456">
        <v>14.3</v>
      </c>
      <c r="CN273" s="456">
        <v>21</v>
      </c>
      <c r="CO273" s="453">
        <v>0</v>
      </c>
      <c r="CP273" s="453">
        <v>16.53</v>
      </c>
      <c r="CQ273" s="453">
        <v>60</v>
      </c>
      <c r="CR273" s="456">
        <v>0</v>
      </c>
      <c r="CS273" s="456">
        <v>0</v>
      </c>
      <c r="CT273" s="456">
        <v>0</v>
      </c>
      <c r="CU273" s="456">
        <v>0</v>
      </c>
      <c r="CV273" s="481">
        <v>327.875</v>
      </c>
      <c r="CW273" s="481">
        <v>292.26041666666669</v>
      </c>
      <c r="CX273" s="481">
        <v>215.91666666666666</v>
      </c>
      <c r="CY273" s="481">
        <v>1148.02</v>
      </c>
      <c r="CZ273" s="456"/>
      <c r="DA273" s="456"/>
      <c r="DB273" s="456"/>
      <c r="DC273" s="456"/>
      <c r="DD273" s="456"/>
      <c r="DE273" s="456"/>
      <c r="DF273" s="456"/>
      <c r="DG273" s="425"/>
      <c r="DH273" s="456">
        <v>0</v>
      </c>
      <c r="DI273" s="456" t="s">
        <v>755</v>
      </c>
      <c r="DJ273" s="456">
        <v>1.04</v>
      </c>
      <c r="DK273" s="425"/>
      <c r="DL273" s="456"/>
      <c r="DM273" s="456"/>
      <c r="DN273" s="456"/>
      <c r="DO273" s="456"/>
      <c r="DP273" s="456"/>
      <c r="DQ273" s="456"/>
      <c r="DR273" s="456"/>
      <c r="DS273" s="456"/>
      <c r="DT273" s="456"/>
      <c r="DU273" s="456"/>
      <c r="DV273" s="456"/>
      <c r="DW273" s="456"/>
      <c r="DX273" s="456"/>
      <c r="DY273" s="456"/>
      <c r="DZ273" s="456"/>
      <c r="EA273" s="456"/>
      <c r="EB273" s="456"/>
      <c r="EC273" s="456"/>
      <c r="ED273" s="456">
        <v>0</v>
      </c>
      <c r="EE273" s="456">
        <v>2</v>
      </c>
      <c r="EF273" s="456">
        <v>2.5</v>
      </c>
      <c r="EG273" s="456">
        <v>8.5</v>
      </c>
      <c r="EH273" s="423">
        <v>0</v>
      </c>
      <c r="EI273" s="456"/>
      <c r="EJ273" s="456"/>
      <c r="EK273" s="456"/>
      <c r="EL273" s="456"/>
      <c r="EM273" s="456"/>
      <c r="EN273" s="456"/>
      <c r="EO273" s="425"/>
      <c r="EP273" s="425"/>
      <c r="EQ273" s="425" t="s">
        <v>743</v>
      </c>
      <c r="ER273" s="425">
        <v>1</v>
      </c>
      <c r="ES273" s="425">
        <v>4</v>
      </c>
      <c r="ET273" s="425">
        <v>4000</v>
      </c>
      <c r="EU273" s="457">
        <v>40</v>
      </c>
      <c r="EV273" s="425">
        <v>160</v>
      </c>
      <c r="EW273" s="425">
        <v>7303567</v>
      </c>
      <c r="EX273" s="425">
        <v>34636</v>
      </c>
      <c r="EY273" s="666">
        <v>20.65</v>
      </c>
      <c r="EZ273" s="666">
        <v>20.65</v>
      </c>
      <c r="FA273" s="666">
        <v>0</v>
      </c>
      <c r="FB273" s="666">
        <v>1.27</v>
      </c>
      <c r="FC273" s="666">
        <v>1.26</v>
      </c>
      <c r="FD273" s="666">
        <v>1.02</v>
      </c>
      <c r="FE273" s="666">
        <v>1.01</v>
      </c>
      <c r="FF273" s="666">
        <v>260</v>
      </c>
      <c r="FG273" s="666">
        <v>0.9</v>
      </c>
      <c r="FH273" s="666">
        <v>0.45</v>
      </c>
      <c r="FI273" s="666">
        <v>0.82</v>
      </c>
      <c r="FJ273" s="666">
        <v>8.01</v>
      </c>
      <c r="FK273" s="666">
        <v>7.7</v>
      </c>
      <c r="FL273" s="666">
        <v>7.88</v>
      </c>
      <c r="FM273" s="666">
        <v>7.5</v>
      </c>
      <c r="FN273" s="666">
        <v>0</v>
      </c>
    </row>
    <row r="274" spans="1:170" s="416" customFormat="1" ht="15">
      <c r="A274" s="425" t="s">
        <v>9</v>
      </c>
      <c r="B274" s="426">
        <v>40803</v>
      </c>
      <c r="C274" s="418">
        <v>0</v>
      </c>
      <c r="D274" s="518">
        <v>0.25</v>
      </c>
      <c r="E274" s="453">
        <v>0</v>
      </c>
      <c r="F274" s="453">
        <v>50</v>
      </c>
      <c r="G274" s="453">
        <v>0.5</v>
      </c>
      <c r="H274" s="519">
        <v>1.35</v>
      </c>
      <c r="I274" s="519">
        <v>93.9</v>
      </c>
      <c r="J274" s="483">
        <v>1.04</v>
      </c>
      <c r="K274" s="520">
        <v>1.05</v>
      </c>
      <c r="L274" s="453">
        <v>0</v>
      </c>
      <c r="M274" s="453" t="s">
        <v>742</v>
      </c>
      <c r="N274" s="453">
        <v>1.6</v>
      </c>
      <c r="O274" s="453">
        <v>2.0605931250106853</v>
      </c>
      <c r="P274" s="453">
        <v>1.63</v>
      </c>
      <c r="Q274" s="453">
        <v>2.1596259182081665</v>
      </c>
      <c r="R274" s="453">
        <v>1217.5584729194186</v>
      </c>
      <c r="S274" s="453">
        <v>8.08</v>
      </c>
      <c r="T274" s="453">
        <v>7.9</v>
      </c>
      <c r="U274" s="453">
        <v>0.82</v>
      </c>
      <c r="V274" s="453">
        <v>0.9</v>
      </c>
      <c r="W274" s="453">
        <v>58.28</v>
      </c>
      <c r="X274" s="456">
        <v>58.28</v>
      </c>
      <c r="Y274" s="453">
        <v>46.46</v>
      </c>
      <c r="Z274" s="453">
        <v>24.8</v>
      </c>
      <c r="AA274" s="519">
        <v>45.350000000005821</v>
      </c>
      <c r="AB274" s="519">
        <v>23.900000000001455</v>
      </c>
      <c r="AC274" s="732">
        <f t="shared" si="4"/>
        <v>69.250000000007276</v>
      </c>
      <c r="AD274" s="664"/>
      <c r="AE274" s="664"/>
      <c r="AF274" s="664"/>
      <c r="AG274" s="664"/>
      <c r="AH274" s="664"/>
      <c r="AI274" s="664"/>
      <c r="AJ274" s="485"/>
      <c r="AK274" s="485"/>
      <c r="AL274" s="485"/>
      <c r="AM274" s="485"/>
      <c r="AN274" s="485"/>
      <c r="AO274" s="665"/>
      <c r="AP274" s="485"/>
      <c r="AQ274" s="483"/>
      <c r="AR274" s="755">
        <v>0</v>
      </c>
      <c r="AS274" s="483">
        <v>18</v>
      </c>
      <c r="AT274" s="755">
        <v>0</v>
      </c>
      <c r="AU274" s="483">
        <v>32</v>
      </c>
      <c r="AV274" s="484">
        <v>0</v>
      </c>
      <c r="AW274" s="484">
        <v>1989.7</v>
      </c>
      <c r="AX274" s="453">
        <v>7.3</v>
      </c>
      <c r="AY274" s="734">
        <v>0</v>
      </c>
      <c r="AZ274" s="734">
        <v>0</v>
      </c>
      <c r="BA274" s="734">
        <v>0</v>
      </c>
      <c r="BB274" s="453">
        <v>0</v>
      </c>
      <c r="BC274" s="453">
        <v>0.51</v>
      </c>
      <c r="BD274" s="453">
        <v>1.5</v>
      </c>
      <c r="BE274" s="734">
        <v>0</v>
      </c>
      <c r="BF274" s="453">
        <v>0.55000000000000004</v>
      </c>
      <c r="BG274" s="453">
        <v>0</v>
      </c>
      <c r="BH274" s="734">
        <v>0</v>
      </c>
      <c r="BI274" s="453">
        <v>1.97</v>
      </c>
      <c r="BJ274" s="453">
        <v>19.5</v>
      </c>
      <c r="BK274" s="453">
        <v>3.61</v>
      </c>
      <c r="BL274" s="453">
        <v>4.93</v>
      </c>
      <c r="BM274" s="453">
        <v>0</v>
      </c>
      <c r="BN274" s="453">
        <v>10.9</v>
      </c>
      <c r="BO274" s="453">
        <v>1984</v>
      </c>
      <c r="BP274" s="453">
        <v>0</v>
      </c>
      <c r="BQ274" s="453">
        <v>20.9</v>
      </c>
      <c r="BR274" s="453">
        <v>20.8</v>
      </c>
      <c r="BS274" s="453">
        <v>0</v>
      </c>
      <c r="BT274" s="453">
        <v>44.4</v>
      </c>
      <c r="BU274" s="453">
        <v>39.700000000000003</v>
      </c>
      <c r="BV274" s="456">
        <v>779.4</v>
      </c>
      <c r="BW274" s="453">
        <v>2.73</v>
      </c>
      <c r="BX274" s="453">
        <v>1.29</v>
      </c>
      <c r="BY274" s="456">
        <v>0.89</v>
      </c>
      <c r="BZ274" s="456">
        <v>15.6</v>
      </c>
      <c r="CA274" s="456">
        <v>32.299999999999997</v>
      </c>
      <c r="CB274" s="456">
        <v>19.8</v>
      </c>
      <c r="CC274" s="456">
        <v>10.3</v>
      </c>
      <c r="CD274" s="456">
        <v>14.5</v>
      </c>
      <c r="CE274" s="456">
        <v>18.7</v>
      </c>
      <c r="CF274" s="456">
        <v>13.4</v>
      </c>
      <c r="CG274" s="456">
        <v>525.1</v>
      </c>
      <c r="CH274" s="456">
        <v>3</v>
      </c>
      <c r="CI274" s="456">
        <v>4.3</v>
      </c>
      <c r="CJ274" s="456">
        <v>440.4</v>
      </c>
      <c r="CK274" s="456">
        <v>710.9</v>
      </c>
      <c r="CL274" s="456">
        <v>644.79999999999995</v>
      </c>
      <c r="CM274" s="456">
        <v>13.5</v>
      </c>
      <c r="CN274" s="456">
        <v>1.9</v>
      </c>
      <c r="CO274" s="453">
        <v>0</v>
      </c>
      <c r="CP274" s="453">
        <v>16.100000000000001</v>
      </c>
      <c r="CQ274" s="453">
        <v>60</v>
      </c>
      <c r="CR274" s="456">
        <v>0</v>
      </c>
      <c r="CS274" s="456">
        <v>0</v>
      </c>
      <c r="CT274" s="456">
        <v>0</v>
      </c>
      <c r="CU274" s="456">
        <v>0</v>
      </c>
      <c r="CV274" s="481">
        <v>361.66666666666669</v>
      </c>
      <c r="CW274" s="481">
        <v>364.38541666666669</v>
      </c>
      <c r="CX274" s="481">
        <v>261</v>
      </c>
      <c r="CY274" s="481">
        <v>1147.57</v>
      </c>
      <c r="CZ274" s="456"/>
      <c r="DA274" s="456"/>
      <c r="DB274" s="456"/>
      <c r="DC274" s="456"/>
      <c r="DD274" s="456"/>
      <c r="DE274" s="456"/>
      <c r="DF274" s="456"/>
      <c r="DG274" s="425"/>
      <c r="DH274" s="456">
        <v>0</v>
      </c>
      <c r="DI274" s="456" t="s">
        <v>755</v>
      </c>
      <c r="DJ274" s="456">
        <v>0.91</v>
      </c>
      <c r="DK274" s="425"/>
      <c r="DL274" s="456"/>
      <c r="DM274" s="456"/>
      <c r="DN274" s="456"/>
      <c r="DO274" s="456"/>
      <c r="DP274" s="456"/>
      <c r="DQ274" s="456"/>
      <c r="DR274" s="456"/>
      <c r="DS274" s="456"/>
      <c r="DT274" s="456"/>
      <c r="DU274" s="456"/>
      <c r="DV274" s="456"/>
      <c r="DW274" s="456"/>
      <c r="DX274" s="456"/>
      <c r="DY274" s="456"/>
      <c r="DZ274" s="456"/>
      <c r="EA274" s="456"/>
      <c r="EB274" s="456"/>
      <c r="EC274" s="456"/>
      <c r="ED274" s="456">
        <v>0</v>
      </c>
      <c r="EE274" s="456">
        <v>2</v>
      </c>
      <c r="EF274" s="456">
        <v>2.5</v>
      </c>
      <c r="EG274" s="456">
        <v>8.5</v>
      </c>
      <c r="EH274" s="423">
        <v>0</v>
      </c>
      <c r="EI274" s="456"/>
      <c r="EJ274" s="456"/>
      <c r="EK274" s="456"/>
      <c r="EL274" s="456"/>
      <c r="EM274" s="456"/>
      <c r="EN274" s="456"/>
      <c r="EO274" s="425"/>
      <c r="EP274" s="425"/>
      <c r="EQ274" s="425" t="s">
        <v>743</v>
      </c>
      <c r="ER274" s="425">
        <v>1</v>
      </c>
      <c r="ES274" s="425">
        <v>2</v>
      </c>
      <c r="ET274" s="425">
        <v>3920</v>
      </c>
      <c r="EU274" s="457">
        <v>-120</v>
      </c>
      <c r="EV274" s="425">
        <v>190</v>
      </c>
      <c r="EW274" s="425">
        <v>7307511</v>
      </c>
      <c r="EX274" s="425">
        <v>35924</v>
      </c>
      <c r="EY274" s="666">
        <v>20.149999999999999</v>
      </c>
      <c r="EZ274" s="666">
        <v>20.149999999999999</v>
      </c>
      <c r="FA274" s="666">
        <v>0</v>
      </c>
      <c r="FB274" s="666">
        <v>1.32</v>
      </c>
      <c r="FC274" s="666">
        <v>1.35</v>
      </c>
      <c r="FD274" s="666">
        <v>0.95</v>
      </c>
      <c r="FE274" s="666">
        <v>0.97</v>
      </c>
      <c r="FF274" s="666">
        <v>240</v>
      </c>
      <c r="FG274" s="666">
        <v>1.02</v>
      </c>
      <c r="FH274" s="666">
        <v>0.45</v>
      </c>
      <c r="FI274" s="666">
        <v>0.87</v>
      </c>
      <c r="FJ274" s="666">
        <v>7.16</v>
      </c>
      <c r="FK274" s="666">
        <v>8</v>
      </c>
      <c r="FL274" s="666">
        <v>7.69</v>
      </c>
      <c r="FM274" s="666">
        <v>7.4</v>
      </c>
      <c r="FN274" s="666">
        <v>0</v>
      </c>
    </row>
    <row r="275" spans="1:170" s="416" customFormat="1" ht="15">
      <c r="A275" s="425" t="s">
        <v>3</v>
      </c>
      <c r="B275" s="426">
        <v>40804</v>
      </c>
      <c r="C275" s="418">
        <v>0</v>
      </c>
      <c r="D275" s="518">
        <v>0.25</v>
      </c>
      <c r="E275" s="453">
        <v>0</v>
      </c>
      <c r="F275" s="453">
        <v>57</v>
      </c>
      <c r="G275" s="453">
        <v>0.55000000000000004</v>
      </c>
      <c r="H275" s="519">
        <v>1.77</v>
      </c>
      <c r="I275" s="519">
        <v>92.8</v>
      </c>
      <c r="J275" s="483">
        <v>1.2</v>
      </c>
      <c r="K275" s="520">
        <v>1.27</v>
      </c>
      <c r="L275" s="453">
        <v>0</v>
      </c>
      <c r="M275" s="453" t="s">
        <v>742</v>
      </c>
      <c r="N275" s="453">
        <v>1.62</v>
      </c>
      <c r="O275" s="453">
        <v>2.1124785214070574</v>
      </c>
      <c r="P275" s="453">
        <v>1.68</v>
      </c>
      <c r="Q275" s="453">
        <v>2.2026669375066814</v>
      </c>
      <c r="R275" s="453">
        <v>1007.6681056803168</v>
      </c>
      <c r="S275" s="453">
        <v>8</v>
      </c>
      <c r="T275" s="453">
        <v>8</v>
      </c>
      <c r="U275" s="453">
        <v>0.81</v>
      </c>
      <c r="V275" s="453">
        <v>0.85</v>
      </c>
      <c r="W275" s="453">
        <v>58.460000000000008</v>
      </c>
      <c r="X275" s="456">
        <v>58.28</v>
      </c>
      <c r="Y275" s="453">
        <v>36.11</v>
      </c>
      <c r="Z275" s="453">
        <v>20.12</v>
      </c>
      <c r="AA275" s="519">
        <v>36.100000000005821</v>
      </c>
      <c r="AB275" s="519">
        <v>19.900000000001455</v>
      </c>
      <c r="AC275" s="732">
        <f t="shared" si="4"/>
        <v>56.000000000007276</v>
      </c>
      <c r="AD275" s="664"/>
      <c r="AE275" s="664"/>
      <c r="AF275" s="664"/>
      <c r="AG275" s="664"/>
      <c r="AH275" s="664"/>
      <c r="AI275" s="664"/>
      <c r="AJ275" s="485"/>
      <c r="AK275" s="485"/>
      <c r="AL275" s="485"/>
      <c r="AM275" s="485"/>
      <c r="AN275" s="485"/>
      <c r="AO275" s="665"/>
      <c r="AP275" s="485"/>
      <c r="AQ275" s="483"/>
      <c r="AR275" s="755">
        <v>0</v>
      </c>
      <c r="AS275" s="483">
        <v>20.2</v>
      </c>
      <c r="AT275" s="755">
        <v>0</v>
      </c>
      <c r="AU275" s="483">
        <v>32</v>
      </c>
      <c r="AV275" s="484">
        <v>0</v>
      </c>
      <c r="AW275" s="484">
        <v>1542.6</v>
      </c>
      <c r="AX275" s="453">
        <v>6</v>
      </c>
      <c r="AY275" s="734">
        <v>0</v>
      </c>
      <c r="AZ275" s="734">
        <v>0</v>
      </c>
      <c r="BA275" s="734">
        <v>0</v>
      </c>
      <c r="BB275" s="453">
        <v>0</v>
      </c>
      <c r="BC275" s="453">
        <v>0.5</v>
      </c>
      <c r="BD275" s="453">
        <v>1.5</v>
      </c>
      <c r="BE275" s="734">
        <v>0</v>
      </c>
      <c r="BF275" s="453">
        <v>0.49</v>
      </c>
      <c r="BG275" s="453">
        <v>0</v>
      </c>
      <c r="BH275" s="734">
        <v>0</v>
      </c>
      <c r="BI275" s="453">
        <v>1.94</v>
      </c>
      <c r="BJ275" s="453">
        <v>15.6</v>
      </c>
      <c r="BK275" s="453">
        <v>3.61</v>
      </c>
      <c r="BL275" s="453">
        <v>4.9400000000000004</v>
      </c>
      <c r="BM275" s="453">
        <v>0</v>
      </c>
      <c r="BN275" s="453">
        <v>7.1</v>
      </c>
      <c r="BO275" s="453">
        <v>1947</v>
      </c>
      <c r="BP275" s="453">
        <v>0</v>
      </c>
      <c r="BQ275" s="453">
        <v>18.899999999999999</v>
      </c>
      <c r="BR275" s="453">
        <v>18.899999999999999</v>
      </c>
      <c r="BS275" s="453">
        <v>0</v>
      </c>
      <c r="BT275" s="453">
        <v>35.1</v>
      </c>
      <c r="BU275" s="453">
        <v>42.4</v>
      </c>
      <c r="BV275" s="456">
        <v>721.7</v>
      </c>
      <c r="BW275" s="453">
        <v>0.8</v>
      </c>
      <c r="BX275" s="453">
        <v>1.23</v>
      </c>
      <c r="BY275" s="456">
        <v>0.9</v>
      </c>
      <c r="BZ275" s="456">
        <v>15.6</v>
      </c>
      <c r="CA275" s="456">
        <v>32</v>
      </c>
      <c r="CB275" s="456">
        <v>19.399999999999999</v>
      </c>
      <c r="CC275" s="456">
        <v>10.5</v>
      </c>
      <c r="CD275" s="456">
        <v>14.7</v>
      </c>
      <c r="CE275" s="456">
        <v>18.899999999999999</v>
      </c>
      <c r="CF275" s="456">
        <v>13.5</v>
      </c>
      <c r="CG275" s="456">
        <v>520.9</v>
      </c>
      <c r="CH275" s="456">
        <v>2.8</v>
      </c>
      <c r="CI275" s="456">
        <v>4.2</v>
      </c>
      <c r="CJ275" s="456">
        <v>443.2</v>
      </c>
      <c r="CK275" s="456">
        <v>681</v>
      </c>
      <c r="CL275" s="456">
        <v>635.79999999999995</v>
      </c>
      <c r="CM275" s="456">
        <v>13.7</v>
      </c>
      <c r="CN275" s="456">
        <v>1.9</v>
      </c>
      <c r="CO275" s="453">
        <v>0</v>
      </c>
      <c r="CP275" s="453">
        <v>16.55</v>
      </c>
      <c r="CQ275" s="453">
        <v>60</v>
      </c>
      <c r="CR275" s="456">
        <v>0</v>
      </c>
      <c r="CS275" s="456">
        <v>0</v>
      </c>
      <c r="CT275" s="456">
        <v>0</v>
      </c>
      <c r="CU275" s="456">
        <v>0</v>
      </c>
      <c r="CV275" s="481">
        <v>361.29166666666669</v>
      </c>
      <c r="CW275" s="481">
        <v>419.30208333333331</v>
      </c>
      <c r="CX275" s="481">
        <v>291.15625</v>
      </c>
      <c r="CY275" s="481">
        <v>1147.27</v>
      </c>
      <c r="CZ275" s="456"/>
      <c r="DA275" s="456"/>
      <c r="DB275" s="456"/>
      <c r="DC275" s="456"/>
      <c r="DD275" s="456"/>
      <c r="DE275" s="456"/>
      <c r="DF275" s="456"/>
      <c r="DG275" s="425"/>
      <c r="DH275" s="456">
        <v>0</v>
      </c>
      <c r="DI275" s="456" t="s">
        <v>755</v>
      </c>
      <c r="DJ275" s="456">
        <v>0.72</v>
      </c>
      <c r="DK275" s="425"/>
      <c r="DL275" s="456"/>
      <c r="DM275" s="456"/>
      <c r="DN275" s="456"/>
      <c r="DO275" s="456"/>
      <c r="DP275" s="456"/>
      <c r="DQ275" s="456"/>
      <c r="DR275" s="456"/>
      <c r="DS275" s="456"/>
      <c r="DT275" s="456"/>
      <c r="DU275" s="456"/>
      <c r="DV275" s="456"/>
      <c r="DW275" s="456"/>
      <c r="DX275" s="456"/>
      <c r="DY275" s="456"/>
      <c r="DZ275" s="456"/>
      <c r="EA275" s="456"/>
      <c r="EB275" s="456"/>
      <c r="EC275" s="456"/>
      <c r="ED275" s="456">
        <v>0</v>
      </c>
      <c r="EE275" s="456">
        <v>2</v>
      </c>
      <c r="EF275" s="456">
        <v>2.5</v>
      </c>
      <c r="EG275" s="456">
        <v>8.5</v>
      </c>
      <c r="EH275" s="423">
        <v>0</v>
      </c>
      <c r="EI275" s="456"/>
      <c r="EJ275" s="456"/>
      <c r="EK275" s="456"/>
      <c r="EL275" s="456"/>
      <c r="EM275" s="456"/>
      <c r="EN275" s="456"/>
      <c r="EO275" s="425"/>
      <c r="EP275" s="425"/>
      <c r="EQ275" s="425" t="s">
        <v>743</v>
      </c>
      <c r="ER275" s="425">
        <v>1</v>
      </c>
      <c r="ES275" s="425">
        <v>2</v>
      </c>
      <c r="ET275" s="425">
        <v>3740</v>
      </c>
      <c r="EU275" s="457">
        <v>-120</v>
      </c>
      <c r="EV275" s="425">
        <v>210</v>
      </c>
      <c r="EW275" s="425">
        <v>7311943</v>
      </c>
      <c r="EX275" s="425">
        <v>37212</v>
      </c>
      <c r="EY275" s="666">
        <v>18</v>
      </c>
      <c r="EZ275" s="666">
        <v>18</v>
      </c>
      <c r="FA275" s="666">
        <v>0</v>
      </c>
      <c r="FB275" s="666">
        <v>1.2</v>
      </c>
      <c r="FC275" s="666">
        <v>1.25</v>
      </c>
      <c r="FD275" s="666">
        <v>0.99</v>
      </c>
      <c r="FE275" s="666">
        <v>0.98</v>
      </c>
      <c r="FF275" s="666">
        <v>180</v>
      </c>
      <c r="FG275" s="666">
        <v>1.3</v>
      </c>
      <c r="FH275" s="666">
        <v>0.45</v>
      </c>
      <c r="FI275" s="666">
        <v>0.89</v>
      </c>
      <c r="FJ275" s="666">
        <v>8.93</v>
      </c>
      <c r="FK275" s="666">
        <v>8.1999999999999993</v>
      </c>
      <c r="FL275" s="666">
        <v>7.98</v>
      </c>
      <c r="FM275" s="666">
        <v>7.5</v>
      </c>
      <c r="FN275" s="666">
        <v>0</v>
      </c>
    </row>
    <row r="276" spans="1:170" s="416" customFormat="1" ht="15">
      <c r="A276" s="425" t="s">
        <v>4</v>
      </c>
      <c r="B276" s="426">
        <v>40805</v>
      </c>
      <c r="C276" s="418">
        <v>0</v>
      </c>
      <c r="D276" s="518">
        <v>0.27</v>
      </c>
      <c r="E276" s="453">
        <v>0</v>
      </c>
      <c r="F276" s="453">
        <v>57</v>
      </c>
      <c r="G276" s="453">
        <v>0.5</v>
      </c>
      <c r="H276" s="519">
        <v>1.48</v>
      </c>
      <c r="I276" s="519">
        <v>91.7</v>
      </c>
      <c r="J276" s="483">
        <v>0.98</v>
      </c>
      <c r="K276" s="520">
        <v>0.99</v>
      </c>
      <c r="L276" s="453">
        <v>0</v>
      </c>
      <c r="M276" s="453" t="s">
        <v>742</v>
      </c>
      <c r="N276" s="453">
        <v>1.66</v>
      </c>
      <c r="O276" s="453">
        <v>2.1806903681580607</v>
      </c>
      <c r="P276" s="453">
        <v>1.61</v>
      </c>
      <c r="Q276" s="453">
        <v>2.2063521650683708</v>
      </c>
      <c r="R276" s="453">
        <v>1181.9289352708056</v>
      </c>
      <c r="S276" s="453">
        <v>7.88</v>
      </c>
      <c r="T276" s="453">
        <v>7.82</v>
      </c>
      <c r="U276" s="453" t="s">
        <v>742</v>
      </c>
      <c r="V276" s="453" t="s">
        <v>742</v>
      </c>
      <c r="W276" s="453">
        <v>59.360000000000014</v>
      </c>
      <c r="X276" s="456">
        <v>59.180000000000007</v>
      </c>
      <c r="Y276" s="453">
        <v>36.06</v>
      </c>
      <c r="Z276" s="453">
        <v>19.66</v>
      </c>
      <c r="AA276" s="519">
        <v>39.799999999988358</v>
      </c>
      <c r="AB276" s="519">
        <v>24.519999999996799</v>
      </c>
      <c r="AC276" s="732">
        <f t="shared" si="4"/>
        <v>64.319999999985157</v>
      </c>
      <c r="AD276" s="664"/>
      <c r="AE276" s="664"/>
      <c r="AF276" s="664"/>
      <c r="AG276" s="664"/>
      <c r="AH276" s="664"/>
      <c r="AI276" s="664"/>
      <c r="AJ276" s="485"/>
      <c r="AK276" s="485"/>
      <c r="AL276" s="485"/>
      <c r="AM276" s="485"/>
      <c r="AN276" s="485"/>
      <c r="AO276" s="665"/>
      <c r="AP276" s="485"/>
      <c r="AQ276" s="483"/>
      <c r="AR276" s="755">
        <v>0</v>
      </c>
      <c r="AS276" s="483">
        <v>35.200000000000003</v>
      </c>
      <c r="AT276" s="755">
        <v>0</v>
      </c>
      <c r="AU276" s="483">
        <v>32</v>
      </c>
      <c r="AV276" s="484">
        <v>0</v>
      </c>
      <c r="AW276" s="484">
        <v>2030.9</v>
      </c>
      <c r="AX276" s="453">
        <v>12.3</v>
      </c>
      <c r="AY276" s="734">
        <v>0</v>
      </c>
      <c r="AZ276" s="734">
        <v>0</v>
      </c>
      <c r="BA276" s="734">
        <v>0</v>
      </c>
      <c r="BB276" s="453">
        <v>0</v>
      </c>
      <c r="BC276" s="453">
        <v>0.51</v>
      </c>
      <c r="BD276" s="453">
        <v>1.5</v>
      </c>
      <c r="BE276" s="734">
        <v>0</v>
      </c>
      <c r="BF276" s="453">
        <v>0.55000000000000004</v>
      </c>
      <c r="BG276" s="453">
        <v>0</v>
      </c>
      <c r="BH276" s="734">
        <v>0</v>
      </c>
      <c r="BI276" s="453">
        <v>1.41</v>
      </c>
      <c r="BJ276" s="453">
        <v>20.7</v>
      </c>
      <c r="BK276" s="453">
        <v>3.59</v>
      </c>
      <c r="BL276" s="453">
        <v>4.9400000000000004</v>
      </c>
      <c r="BM276" s="453">
        <v>0</v>
      </c>
      <c r="BN276" s="453">
        <v>12.1</v>
      </c>
      <c r="BO276" s="453">
        <v>1708.7</v>
      </c>
      <c r="BP276" s="453">
        <v>0</v>
      </c>
      <c r="BQ276" s="453">
        <v>18.2</v>
      </c>
      <c r="BR276" s="453">
        <v>18.2</v>
      </c>
      <c r="BS276" s="453">
        <v>0</v>
      </c>
      <c r="BT276" s="453">
        <v>38.5</v>
      </c>
      <c r="BU276" s="453">
        <v>39.200000000000003</v>
      </c>
      <c r="BV276" s="456">
        <v>642.4</v>
      </c>
      <c r="BW276" s="453">
        <v>5.44</v>
      </c>
      <c r="BX276" s="453">
        <v>1.24</v>
      </c>
      <c r="BY276" s="456">
        <v>0.88</v>
      </c>
      <c r="BZ276" s="456">
        <v>15</v>
      </c>
      <c r="CA276" s="456">
        <v>32.299999999999997</v>
      </c>
      <c r="CB276" s="456">
        <v>19.8</v>
      </c>
      <c r="CC276" s="456">
        <v>9.5</v>
      </c>
      <c r="CD276" s="456">
        <v>13.6</v>
      </c>
      <c r="CE276" s="456">
        <v>18</v>
      </c>
      <c r="CF276" s="456">
        <v>13.49</v>
      </c>
      <c r="CG276" s="456">
        <v>556.6</v>
      </c>
      <c r="CH276" s="456">
        <v>2.9</v>
      </c>
      <c r="CI276" s="456">
        <v>4.9000000000000004</v>
      </c>
      <c r="CJ276" s="456">
        <v>389.5</v>
      </c>
      <c r="CK276" s="456">
        <v>654.79999999999995</v>
      </c>
      <c r="CL276" s="456">
        <v>675.9</v>
      </c>
      <c r="CM276" s="456">
        <v>14.7</v>
      </c>
      <c r="CN276" s="456">
        <v>2.11</v>
      </c>
      <c r="CO276" s="453">
        <v>0</v>
      </c>
      <c r="CP276" s="453">
        <v>17.46</v>
      </c>
      <c r="CQ276" s="453">
        <v>60</v>
      </c>
      <c r="CR276" s="456">
        <v>0</v>
      </c>
      <c r="CS276" s="456">
        <v>0</v>
      </c>
      <c r="CT276" s="456">
        <v>0</v>
      </c>
      <c r="CU276" s="456">
        <v>0</v>
      </c>
      <c r="CV276" s="481">
        <v>360.66666666666669</v>
      </c>
      <c r="CW276" s="481">
        <v>441.83333333333331</v>
      </c>
      <c r="CX276" s="481">
        <v>280.25</v>
      </c>
      <c r="CY276" s="481">
        <v>1146.98</v>
      </c>
      <c r="CZ276" s="456"/>
      <c r="DA276" s="456"/>
      <c r="DB276" s="456"/>
      <c r="DC276" s="456"/>
      <c r="DD276" s="456"/>
      <c r="DE276" s="456"/>
      <c r="DF276" s="456"/>
      <c r="DG276" s="425"/>
      <c r="DH276" s="456">
        <v>0</v>
      </c>
      <c r="DI276" s="456" t="s">
        <v>756</v>
      </c>
      <c r="DJ276" s="456">
        <v>0.92</v>
      </c>
      <c r="DK276" s="425"/>
      <c r="DL276" s="456"/>
      <c r="DM276" s="456"/>
      <c r="DN276" s="456"/>
      <c r="DO276" s="456"/>
      <c r="DP276" s="456"/>
      <c r="DQ276" s="456"/>
      <c r="DR276" s="456"/>
      <c r="DS276" s="456"/>
      <c r="DT276" s="456"/>
      <c r="DU276" s="456"/>
      <c r="DV276" s="456"/>
      <c r="DW276" s="456"/>
      <c r="DX276" s="456"/>
      <c r="DY276" s="456"/>
      <c r="DZ276" s="456"/>
      <c r="EA276" s="456"/>
      <c r="EB276" s="456"/>
      <c r="EC276" s="456"/>
      <c r="ED276" s="456">
        <v>0</v>
      </c>
      <c r="EE276" s="456">
        <v>2</v>
      </c>
      <c r="EF276" s="456">
        <v>2.5</v>
      </c>
      <c r="EG276" s="456">
        <v>8.5</v>
      </c>
      <c r="EH276" s="423">
        <v>0</v>
      </c>
      <c r="EI276" s="456"/>
      <c r="EJ276" s="456"/>
      <c r="EK276" s="456"/>
      <c r="EL276" s="456"/>
      <c r="EM276" s="456"/>
      <c r="EN276" s="456"/>
      <c r="EO276" s="425"/>
      <c r="EP276" s="425"/>
      <c r="EQ276" s="425" t="s">
        <v>743</v>
      </c>
      <c r="ER276" s="425">
        <v>1</v>
      </c>
      <c r="ES276" s="425">
        <v>2</v>
      </c>
      <c r="ET276" s="425">
        <v>3550</v>
      </c>
      <c r="EU276" s="457">
        <v>4000</v>
      </c>
      <c r="EV276" s="425">
        <v>175</v>
      </c>
      <c r="EW276" s="425">
        <v>7315586</v>
      </c>
      <c r="EX276" s="425">
        <v>38448</v>
      </c>
      <c r="EY276" s="666">
        <v>18.2</v>
      </c>
      <c r="EZ276" s="666">
        <v>18.2</v>
      </c>
      <c r="FA276" s="666">
        <v>0</v>
      </c>
      <c r="FB276" s="666">
        <v>1.28</v>
      </c>
      <c r="FC276" s="666">
        <v>1.31</v>
      </c>
      <c r="FD276" s="666">
        <v>0.95599999999999996</v>
      </c>
      <c r="FE276" s="666">
        <v>1</v>
      </c>
      <c r="FF276" s="666">
        <v>210</v>
      </c>
      <c r="FG276" s="666">
        <v>1.31</v>
      </c>
      <c r="FH276" s="666">
        <v>0.41099999999999998</v>
      </c>
      <c r="FI276" s="666">
        <v>1.41</v>
      </c>
      <c r="FJ276" s="666">
        <v>6.68</v>
      </c>
      <c r="FK276" s="666">
        <v>8</v>
      </c>
      <c r="FL276" s="666">
        <v>7.82</v>
      </c>
      <c r="FM276" s="666">
        <v>7.6</v>
      </c>
      <c r="FN276" s="666">
        <v>0</v>
      </c>
    </row>
    <row r="277" spans="1:170" s="416" customFormat="1" ht="15">
      <c r="A277" s="425" t="s">
        <v>5</v>
      </c>
      <c r="B277" s="426">
        <v>40806</v>
      </c>
      <c r="C277" s="418">
        <v>0</v>
      </c>
      <c r="D277" s="518">
        <v>0</v>
      </c>
      <c r="E277" s="453">
        <v>0</v>
      </c>
      <c r="F277" s="453">
        <v>58</v>
      </c>
      <c r="G277" s="453">
        <v>0.55000000000000004</v>
      </c>
      <c r="H277" s="519">
        <v>1.73</v>
      </c>
      <c r="I277" s="519">
        <v>92.2</v>
      </c>
      <c r="J277" s="483">
        <v>1.1200000000000001</v>
      </c>
      <c r="K277" s="520">
        <v>1.1399999999999999</v>
      </c>
      <c r="L277" s="453">
        <v>0</v>
      </c>
      <c r="M277" s="453" t="s">
        <v>742</v>
      </c>
      <c r="N277" s="453">
        <v>1.74</v>
      </c>
      <c r="O277" s="453">
        <v>2.1846794392561684</v>
      </c>
      <c r="P277" s="453">
        <v>1.6</v>
      </c>
      <c r="Q277" s="453">
        <v>2.1893804929031346</v>
      </c>
      <c r="R277" s="453">
        <v>1290.113167767503</v>
      </c>
      <c r="S277" s="453">
        <v>8.09</v>
      </c>
      <c r="T277" s="453">
        <v>8.06</v>
      </c>
      <c r="U277" s="453" t="s">
        <v>742</v>
      </c>
      <c r="V277" s="453" t="s">
        <v>742</v>
      </c>
      <c r="W277" s="453">
        <v>59.360000000000014</v>
      </c>
      <c r="X277" s="456">
        <v>59</v>
      </c>
      <c r="Y277" s="453">
        <v>34.840000000000003</v>
      </c>
      <c r="Z277" s="453">
        <v>36.03</v>
      </c>
      <c r="AA277" s="519">
        <v>34.80000000000291</v>
      </c>
      <c r="AB277" s="519">
        <v>35.970000000001164</v>
      </c>
      <c r="AC277" s="732">
        <f t="shared" si="4"/>
        <v>70.770000000004075</v>
      </c>
      <c r="AD277" s="664"/>
      <c r="AE277" s="664"/>
      <c r="AF277" s="664"/>
      <c r="AG277" s="664"/>
      <c r="AH277" s="664"/>
      <c r="AI277" s="664"/>
      <c r="AJ277" s="485"/>
      <c r="AK277" s="485"/>
      <c r="AL277" s="485"/>
      <c r="AM277" s="485"/>
      <c r="AN277" s="485"/>
      <c r="AO277" s="665"/>
      <c r="AP277" s="485"/>
      <c r="AQ277" s="483"/>
      <c r="AR277" s="755">
        <v>0</v>
      </c>
      <c r="AS277" s="483">
        <v>18.3</v>
      </c>
      <c r="AT277" s="755">
        <v>0</v>
      </c>
      <c r="AU277" s="483">
        <v>32</v>
      </c>
      <c r="AV277" s="484">
        <v>0</v>
      </c>
      <c r="AW277" s="484">
        <v>943.7</v>
      </c>
      <c r="AX277" s="453">
        <v>4.9000000000000004</v>
      </c>
      <c r="AY277" s="734">
        <v>0</v>
      </c>
      <c r="AZ277" s="734">
        <v>0</v>
      </c>
      <c r="BA277" s="734">
        <v>0</v>
      </c>
      <c r="BB277" s="453">
        <v>0</v>
      </c>
      <c r="BC277" s="453">
        <v>0.5</v>
      </c>
      <c r="BD277" s="453">
        <v>1.5</v>
      </c>
      <c r="BE277" s="734">
        <v>0</v>
      </c>
      <c r="BF277" s="453">
        <v>0.5</v>
      </c>
      <c r="BG277" s="453">
        <v>0</v>
      </c>
      <c r="BH277" s="734">
        <v>0</v>
      </c>
      <c r="BI277" s="453">
        <v>1.07</v>
      </c>
      <c r="BJ277" s="453">
        <v>32.6</v>
      </c>
      <c r="BK277" s="453">
        <v>3.57</v>
      </c>
      <c r="BL277" s="453">
        <v>4.9400000000000004</v>
      </c>
      <c r="BM277" s="453">
        <v>0</v>
      </c>
      <c r="BN277" s="453">
        <v>23.8</v>
      </c>
      <c r="BO277" s="453">
        <v>2039.7</v>
      </c>
      <c r="BP277" s="453">
        <v>29</v>
      </c>
      <c r="BQ277" s="453">
        <v>19</v>
      </c>
      <c r="BR277" s="453">
        <v>19</v>
      </c>
      <c r="BS277" s="453">
        <v>0</v>
      </c>
      <c r="BT277" s="453">
        <v>34.200000000000003</v>
      </c>
      <c r="BU277" s="453">
        <v>28.2</v>
      </c>
      <c r="BV277" s="456">
        <v>563.79999999999995</v>
      </c>
      <c r="BW277" s="453">
        <v>2.35</v>
      </c>
      <c r="BX277" s="453">
        <v>1.32</v>
      </c>
      <c r="BY277" s="456">
        <v>0.9</v>
      </c>
      <c r="BZ277" s="456">
        <v>15.2</v>
      </c>
      <c r="CA277" s="456">
        <v>31.4</v>
      </c>
      <c r="CB277" s="456">
        <v>19.2</v>
      </c>
      <c r="CC277" s="456">
        <v>10.49</v>
      </c>
      <c r="CD277" s="456">
        <v>14.7</v>
      </c>
      <c r="CE277" s="456">
        <v>18.8</v>
      </c>
      <c r="CF277" s="456">
        <v>13.02</v>
      </c>
      <c r="CG277" s="456">
        <v>557.6</v>
      </c>
      <c r="CH277" s="456">
        <v>3.1</v>
      </c>
      <c r="CI277" s="456">
        <v>4.2</v>
      </c>
      <c r="CJ277" s="456">
        <v>361.3</v>
      </c>
      <c r="CK277" s="456">
        <v>627.5</v>
      </c>
      <c r="CL277" s="456">
        <v>677.8</v>
      </c>
      <c r="CM277" s="456">
        <v>14.7</v>
      </c>
      <c r="CN277" s="456">
        <v>2.14</v>
      </c>
      <c r="CO277" s="453">
        <v>0</v>
      </c>
      <c r="CP277" s="453">
        <v>16.71</v>
      </c>
      <c r="CQ277" s="453">
        <v>60</v>
      </c>
      <c r="CR277" s="456">
        <v>0</v>
      </c>
      <c r="CS277" s="456">
        <v>0</v>
      </c>
      <c r="CT277" s="456">
        <v>0</v>
      </c>
      <c r="CU277" s="456">
        <v>0</v>
      </c>
      <c r="CV277" s="481">
        <v>381.5</v>
      </c>
      <c r="CW277" s="481">
        <v>398.32291666666669</v>
      </c>
      <c r="CX277" s="481">
        <v>278.28125</v>
      </c>
      <c r="CY277" s="481">
        <v>1146.52</v>
      </c>
      <c r="CZ277" s="456"/>
      <c r="DA277" s="456"/>
      <c r="DB277" s="456"/>
      <c r="DC277" s="456"/>
      <c r="DD277" s="456"/>
      <c r="DE277" s="456"/>
      <c r="DF277" s="456"/>
      <c r="DG277" s="425"/>
      <c r="DH277" s="456">
        <v>0</v>
      </c>
      <c r="DI277" s="456">
        <v>0</v>
      </c>
      <c r="DJ277" s="456">
        <v>1.35</v>
      </c>
      <c r="DK277" s="425"/>
      <c r="DL277" s="456"/>
      <c r="DM277" s="456"/>
      <c r="DN277" s="456"/>
      <c r="DO277" s="456"/>
      <c r="DP277" s="456"/>
      <c r="DQ277" s="456"/>
      <c r="DR277" s="456"/>
      <c r="DS277" s="456"/>
      <c r="DT277" s="456"/>
      <c r="DU277" s="456"/>
      <c r="DV277" s="456"/>
      <c r="DW277" s="456">
        <v>-600</v>
      </c>
      <c r="DX277" s="456"/>
      <c r="DY277" s="456">
        <v>-616.54999999999995</v>
      </c>
      <c r="DZ277" s="456">
        <v>616.54999999999995</v>
      </c>
      <c r="EA277" s="456"/>
      <c r="EB277" s="456"/>
      <c r="EC277" s="456"/>
      <c r="ED277" s="456">
        <v>0</v>
      </c>
      <c r="EE277" s="456">
        <v>2</v>
      </c>
      <c r="EF277" s="456">
        <v>2.5</v>
      </c>
      <c r="EG277" s="456">
        <v>8.5</v>
      </c>
      <c r="EH277" s="423">
        <v>0</v>
      </c>
      <c r="EI277" s="456"/>
      <c r="EJ277" s="456"/>
      <c r="EK277" s="456"/>
      <c r="EL277" s="456"/>
      <c r="EM277" s="456"/>
      <c r="EN277" s="456"/>
      <c r="EO277" s="425"/>
      <c r="EP277" s="425"/>
      <c r="EQ277" s="425" t="s">
        <v>743</v>
      </c>
      <c r="ER277" s="425">
        <v>1</v>
      </c>
      <c r="ES277" s="425">
        <v>2</v>
      </c>
      <c r="ET277" s="425">
        <v>3390</v>
      </c>
      <c r="EU277" s="457">
        <v>4000</v>
      </c>
      <c r="EV277" s="425">
        <v>185</v>
      </c>
      <c r="EW277" s="425">
        <v>7318581</v>
      </c>
      <c r="EX277" s="425">
        <v>39693</v>
      </c>
      <c r="EY277" s="666">
        <v>18.690000000000001</v>
      </c>
      <c r="EZ277" s="666">
        <v>18.7</v>
      </c>
      <c r="FA277" s="666">
        <v>0</v>
      </c>
      <c r="FB277" s="666">
        <v>1.29</v>
      </c>
      <c r="FC277" s="666">
        <v>1.19</v>
      </c>
      <c r="FD277" s="666">
        <v>1.008</v>
      </c>
      <c r="FE277" s="666">
        <v>0.96</v>
      </c>
      <c r="FF277" s="666">
        <v>160</v>
      </c>
      <c r="FG277" s="666">
        <v>1.45</v>
      </c>
      <c r="FH277" s="666">
        <v>0.42699999999999999</v>
      </c>
      <c r="FI277" s="666">
        <v>1.19</v>
      </c>
      <c r="FJ277" s="666">
        <v>9.09</v>
      </c>
      <c r="FK277" s="666">
        <v>7.9</v>
      </c>
      <c r="FL277" s="666">
        <v>7.92</v>
      </c>
      <c r="FM277" s="666">
        <v>7.6</v>
      </c>
      <c r="FN277" s="666">
        <v>0</v>
      </c>
    </row>
    <row r="278" spans="1:170" s="416" customFormat="1" ht="15">
      <c r="A278" s="425" t="s">
        <v>6</v>
      </c>
      <c r="B278" s="426">
        <v>40807</v>
      </c>
      <c r="C278" s="418">
        <v>0</v>
      </c>
      <c r="D278" s="518">
        <v>0</v>
      </c>
      <c r="E278" s="453">
        <v>0</v>
      </c>
      <c r="F278" s="453">
        <v>58</v>
      </c>
      <c r="G278" s="453">
        <v>0.55000000000000004</v>
      </c>
      <c r="H278" s="519">
        <v>1.65</v>
      </c>
      <c r="I278" s="519">
        <v>92.3</v>
      </c>
      <c r="J278" s="483">
        <v>0.96</v>
      </c>
      <c r="K278" s="520">
        <v>1</v>
      </c>
      <c r="L278" s="453">
        <v>0</v>
      </c>
      <c r="M278" s="453" t="s">
        <v>742</v>
      </c>
      <c r="N278" s="453">
        <v>1.69</v>
      </c>
      <c r="O278" s="453">
        <v>2.1575197038421443</v>
      </c>
      <c r="P278" s="453">
        <v>1.56</v>
      </c>
      <c r="Q278" s="453">
        <v>2.1563127703079279</v>
      </c>
      <c r="R278" s="453">
        <v>1289.7892628797883</v>
      </c>
      <c r="S278" s="453">
        <v>8.08</v>
      </c>
      <c r="T278" s="453">
        <v>8.0500000000000007</v>
      </c>
      <c r="U278" s="453" t="s">
        <v>742</v>
      </c>
      <c r="V278" s="453" t="s">
        <v>742</v>
      </c>
      <c r="W278" s="453">
        <v>59.72</v>
      </c>
      <c r="X278" s="456">
        <v>59.539999999999992</v>
      </c>
      <c r="Y278" s="453">
        <v>34.89</v>
      </c>
      <c r="Z278" s="453">
        <v>36.130000000000003</v>
      </c>
      <c r="AA278" s="519">
        <v>35.540000000008149</v>
      </c>
      <c r="AB278" s="519">
        <v>35.909999999996217</v>
      </c>
      <c r="AC278" s="732">
        <f t="shared" si="4"/>
        <v>71.450000000004366</v>
      </c>
      <c r="AD278" s="664"/>
      <c r="AE278" s="664"/>
      <c r="AF278" s="664"/>
      <c r="AG278" s="664"/>
      <c r="AH278" s="664"/>
      <c r="AI278" s="664"/>
      <c r="AJ278" s="485"/>
      <c r="AK278" s="485"/>
      <c r="AL278" s="485"/>
      <c r="AM278" s="485"/>
      <c r="AN278" s="485"/>
      <c r="AO278" s="665"/>
      <c r="AP278" s="485"/>
      <c r="AQ278" s="483"/>
      <c r="AR278" s="755">
        <v>0</v>
      </c>
      <c r="AS278" s="483">
        <v>18.8</v>
      </c>
      <c r="AT278" s="755">
        <v>0</v>
      </c>
      <c r="AU278" s="483">
        <v>32</v>
      </c>
      <c r="AV278" s="484">
        <v>0</v>
      </c>
      <c r="AW278" s="484">
        <v>2091.1</v>
      </c>
      <c r="AX278" s="453">
        <v>11.3</v>
      </c>
      <c r="AY278" s="734">
        <v>0</v>
      </c>
      <c r="AZ278" s="734">
        <v>0</v>
      </c>
      <c r="BA278" s="734">
        <v>0</v>
      </c>
      <c r="BB278" s="453">
        <v>0</v>
      </c>
      <c r="BC278" s="453">
        <v>0.51</v>
      </c>
      <c r="BD278" s="453">
        <v>1.5</v>
      </c>
      <c r="BE278" s="734">
        <v>0</v>
      </c>
      <c r="BF278" s="453">
        <v>0.56000000000000005</v>
      </c>
      <c r="BG278" s="453">
        <v>0</v>
      </c>
      <c r="BH278" s="734">
        <v>0</v>
      </c>
      <c r="BI278" s="787">
        <v>1.06</v>
      </c>
      <c r="BJ278" s="453">
        <v>32.6</v>
      </c>
      <c r="BK278" s="453">
        <v>3.58</v>
      </c>
      <c r="BL278" s="453">
        <v>4.9400000000000004</v>
      </c>
      <c r="BM278" s="453">
        <v>0</v>
      </c>
      <c r="BN278" s="453">
        <v>23.8</v>
      </c>
      <c r="BO278" s="453">
        <v>1992.7</v>
      </c>
      <c r="BP278" s="453">
        <v>0</v>
      </c>
      <c r="BQ278" s="453">
        <v>19.2</v>
      </c>
      <c r="BR278" s="453">
        <v>19.2</v>
      </c>
      <c r="BS278" s="453">
        <v>0</v>
      </c>
      <c r="BT278" s="453">
        <v>33.9</v>
      </c>
      <c r="BU278" s="453">
        <v>30.9</v>
      </c>
      <c r="BV278" s="456">
        <v>938.7</v>
      </c>
      <c r="BW278" s="453">
        <v>0.73</v>
      </c>
      <c r="BX278" s="453">
        <v>1.3</v>
      </c>
      <c r="BY278" s="456">
        <v>0.9</v>
      </c>
      <c r="BZ278" s="456">
        <v>15.1</v>
      </c>
      <c r="CA278" s="456">
        <v>32.4</v>
      </c>
      <c r="CB278" s="456">
        <v>18.2</v>
      </c>
      <c r="CC278" s="456">
        <v>10.4</v>
      </c>
      <c r="CD278" s="456">
        <v>14.7</v>
      </c>
      <c r="CE278" s="456">
        <v>18.8</v>
      </c>
      <c r="CF278" s="456">
        <v>13.08</v>
      </c>
      <c r="CG278" s="456">
        <v>564.4</v>
      </c>
      <c r="CH278" s="456">
        <v>3.4</v>
      </c>
      <c r="CI278" s="456">
        <v>5.0999999999999996</v>
      </c>
      <c r="CJ278" s="456">
        <v>401.8</v>
      </c>
      <c r="CK278" s="456">
        <v>666.3</v>
      </c>
      <c r="CL278" s="456">
        <v>676.6</v>
      </c>
      <c r="CM278" s="456">
        <v>14.5</v>
      </c>
      <c r="CN278" s="456">
        <v>2.15</v>
      </c>
      <c r="CO278" s="453">
        <v>0</v>
      </c>
      <c r="CP278" s="453">
        <v>17.239999999999998</v>
      </c>
      <c r="CQ278" s="453">
        <v>60</v>
      </c>
      <c r="CR278" s="456">
        <v>0</v>
      </c>
      <c r="CS278" s="456">
        <v>0</v>
      </c>
      <c r="CT278" s="456">
        <v>0</v>
      </c>
      <c r="CU278" s="456">
        <v>0</v>
      </c>
      <c r="CV278" s="481">
        <v>442.25</v>
      </c>
      <c r="CW278" s="481">
        <v>432.63541666666669</v>
      </c>
      <c r="CX278" s="481">
        <v>335.41666666666669</v>
      </c>
      <c r="CY278" s="481">
        <v>1145.9000000000001</v>
      </c>
      <c r="CZ278" s="456"/>
      <c r="DA278" s="456"/>
      <c r="DB278" s="456"/>
      <c r="DC278" s="456"/>
      <c r="DD278" s="456"/>
      <c r="DE278" s="456"/>
      <c r="DF278" s="456"/>
      <c r="DG278" s="425"/>
      <c r="DH278" s="456">
        <v>0</v>
      </c>
      <c r="DI278" s="456">
        <v>0</v>
      </c>
      <c r="DJ278" s="456">
        <v>1.3</v>
      </c>
      <c r="DK278" s="425"/>
      <c r="DL278" s="456"/>
      <c r="DM278" s="456"/>
      <c r="DN278" s="456"/>
      <c r="DO278" s="456"/>
      <c r="DP278" s="456"/>
      <c r="DQ278" s="456"/>
      <c r="DR278" s="456"/>
      <c r="DS278" s="456"/>
      <c r="DT278" s="456"/>
      <c r="DU278" s="456"/>
      <c r="DV278" s="456"/>
      <c r="DW278" s="456"/>
      <c r="DX278" s="456"/>
      <c r="DY278" s="456"/>
      <c r="DZ278" s="456"/>
      <c r="EA278" s="456"/>
      <c r="EB278" s="456"/>
      <c r="EC278" s="456"/>
      <c r="ED278" s="456">
        <v>0</v>
      </c>
      <c r="EE278" s="456">
        <v>2</v>
      </c>
      <c r="EF278" s="456">
        <v>2.5</v>
      </c>
      <c r="EG278" s="456">
        <v>8.5</v>
      </c>
      <c r="EH278" s="423">
        <v>0</v>
      </c>
      <c r="EI278" s="456"/>
      <c r="EJ278" s="456"/>
      <c r="EK278" s="456"/>
      <c r="EL278" s="456"/>
      <c r="EM278" s="456"/>
      <c r="EN278" s="456"/>
      <c r="EO278" s="425"/>
      <c r="EP278" s="425"/>
      <c r="EQ278" s="425" t="s">
        <v>743</v>
      </c>
      <c r="ER278" s="425">
        <v>1</v>
      </c>
      <c r="ES278" s="425">
        <v>2</v>
      </c>
      <c r="ET278" s="425">
        <v>3240</v>
      </c>
      <c r="EU278" s="457">
        <v>4000</v>
      </c>
      <c r="EV278" s="425">
        <v>125</v>
      </c>
      <c r="EW278" s="425">
        <v>7321543</v>
      </c>
      <c r="EX278" s="425">
        <v>40883</v>
      </c>
      <c r="EY278" s="666">
        <v>19.27</v>
      </c>
      <c r="EZ278" s="666">
        <v>19.239999999999998</v>
      </c>
      <c r="FA278" s="666">
        <v>0</v>
      </c>
      <c r="FB278" s="666">
        <v>1.27</v>
      </c>
      <c r="FC278" s="666">
        <v>1.26</v>
      </c>
      <c r="FD278" s="666">
        <v>0.94599999999999995</v>
      </c>
      <c r="FE278" s="666">
        <v>0.99</v>
      </c>
      <c r="FF278" s="666">
        <v>150</v>
      </c>
      <c r="FG278" s="666">
        <v>1.5</v>
      </c>
      <c r="FH278" s="666">
        <v>0.46100000000000002</v>
      </c>
      <c r="FI278" s="666">
        <v>1.36</v>
      </c>
      <c r="FJ278" s="666">
        <v>8.09</v>
      </c>
      <c r="FK278" s="666">
        <v>8.1</v>
      </c>
      <c r="FL278" s="666">
        <v>8</v>
      </c>
      <c r="FM278" s="666">
        <v>7.6</v>
      </c>
      <c r="FN278" s="666">
        <v>0</v>
      </c>
    </row>
    <row r="279" spans="1:170" s="416" customFormat="1" ht="15">
      <c r="A279" s="425" t="s">
        <v>7</v>
      </c>
      <c r="B279" s="426">
        <v>40808</v>
      </c>
      <c r="C279" s="418">
        <v>0</v>
      </c>
      <c r="D279" s="518">
        <v>0</v>
      </c>
      <c r="E279" s="453">
        <v>0</v>
      </c>
      <c r="F279" s="453">
        <v>64</v>
      </c>
      <c r="G279" s="453">
        <v>0.65</v>
      </c>
      <c r="H279" s="519">
        <v>1.52</v>
      </c>
      <c r="I279" s="519">
        <v>92.4</v>
      </c>
      <c r="J279" s="483">
        <v>1.1399999999999999</v>
      </c>
      <c r="K279" s="520">
        <v>0.98</v>
      </c>
      <c r="L279" s="453">
        <v>0</v>
      </c>
      <c r="M279" s="453" t="s">
        <v>742</v>
      </c>
      <c r="N279" s="453">
        <v>1.72</v>
      </c>
      <c r="O279" s="453">
        <v>2.1588185223446343</v>
      </c>
      <c r="P279" s="453">
        <v>1.57</v>
      </c>
      <c r="Q279" s="453">
        <v>2.1568834031658031</v>
      </c>
      <c r="R279" s="453">
        <v>1274.8896380449141</v>
      </c>
      <c r="S279" s="453">
        <v>8</v>
      </c>
      <c r="T279" s="453">
        <v>7.56</v>
      </c>
      <c r="U279" s="453">
        <v>0.28999999999999998</v>
      </c>
      <c r="V279" s="453" t="s">
        <v>742</v>
      </c>
      <c r="W279" s="453">
        <v>60.8</v>
      </c>
      <c r="X279" s="456">
        <v>60.8</v>
      </c>
      <c r="Y279" s="453">
        <v>35.67</v>
      </c>
      <c r="Z279" s="453">
        <v>36.06</v>
      </c>
      <c r="AA279" s="519">
        <v>36.259999999994761</v>
      </c>
      <c r="AB279" s="519">
        <v>34.5</v>
      </c>
      <c r="AC279" s="732">
        <f t="shared" si="4"/>
        <v>70.759999999994761</v>
      </c>
      <c r="AD279" s="664"/>
      <c r="AE279" s="664"/>
      <c r="AF279" s="664"/>
      <c r="AG279" s="664"/>
      <c r="AH279" s="664"/>
      <c r="AI279" s="664"/>
      <c r="AJ279" s="485"/>
      <c r="AK279" s="485"/>
      <c r="AL279" s="485"/>
      <c r="AM279" s="485"/>
      <c r="AN279" s="485"/>
      <c r="AO279" s="665"/>
      <c r="AP279" s="485"/>
      <c r="AQ279" s="483"/>
      <c r="AR279" s="755">
        <v>0</v>
      </c>
      <c r="AS279" s="483">
        <v>17.899999999999999</v>
      </c>
      <c r="AT279" s="755">
        <v>0</v>
      </c>
      <c r="AU279" s="483">
        <v>32</v>
      </c>
      <c r="AV279" s="484">
        <v>0</v>
      </c>
      <c r="AW279" s="484">
        <v>1292</v>
      </c>
      <c r="AX279" s="453">
        <v>6.8</v>
      </c>
      <c r="AY279" s="734">
        <v>0</v>
      </c>
      <c r="AZ279" s="734">
        <v>0</v>
      </c>
      <c r="BA279" s="734">
        <v>0</v>
      </c>
      <c r="BB279" s="453">
        <v>0</v>
      </c>
      <c r="BC279" s="453">
        <v>0.51</v>
      </c>
      <c r="BD279" s="453">
        <v>1.5</v>
      </c>
      <c r="BE279" s="734">
        <v>0</v>
      </c>
      <c r="BF279" s="453">
        <v>0.49</v>
      </c>
      <c r="BG279" s="453">
        <v>0</v>
      </c>
      <c r="BH279" s="734">
        <v>0</v>
      </c>
      <c r="BI279" s="453">
        <v>1.06</v>
      </c>
      <c r="BJ279" s="453">
        <v>30.9</v>
      </c>
      <c r="BK279" s="453">
        <v>3.34</v>
      </c>
      <c r="BL279" s="453">
        <v>5.21</v>
      </c>
      <c r="BM279" s="453">
        <v>0</v>
      </c>
      <c r="BN279" s="453">
        <v>22.1</v>
      </c>
      <c r="BO279" s="453">
        <v>1934.2</v>
      </c>
      <c r="BP279" s="453">
        <v>0</v>
      </c>
      <c r="BQ279" s="453">
        <v>19.48</v>
      </c>
      <c r="BR279" s="453">
        <v>19.46</v>
      </c>
      <c r="BS279" s="453">
        <v>0</v>
      </c>
      <c r="BT279" s="453">
        <v>35.200000000000003</v>
      </c>
      <c r="BU279" s="453">
        <v>32.4</v>
      </c>
      <c r="BV279" s="456">
        <v>707.1</v>
      </c>
      <c r="BW279" s="453">
        <v>0.77</v>
      </c>
      <c r="BX279" s="453">
        <v>1.3</v>
      </c>
      <c r="BY279" s="456">
        <v>0.9</v>
      </c>
      <c r="BZ279" s="456">
        <v>15.3</v>
      </c>
      <c r="CA279" s="456">
        <v>31.3</v>
      </c>
      <c r="CB279" s="456">
        <v>18.100000000000001</v>
      </c>
      <c r="CC279" s="456">
        <v>10.5</v>
      </c>
      <c r="CD279" s="456">
        <v>14.7</v>
      </c>
      <c r="CE279" s="456">
        <v>18.899999999999999</v>
      </c>
      <c r="CF279" s="456">
        <v>13.06</v>
      </c>
      <c r="CG279" s="456">
        <v>581.70000000000005</v>
      </c>
      <c r="CH279" s="456">
        <v>3.7</v>
      </c>
      <c r="CI279" s="456">
        <v>5.2</v>
      </c>
      <c r="CJ279" s="456">
        <v>376.9</v>
      </c>
      <c r="CK279" s="456">
        <v>595.29999999999995</v>
      </c>
      <c r="CL279" s="456">
        <v>682.1</v>
      </c>
      <c r="CM279" s="456">
        <v>15</v>
      </c>
      <c r="CN279" s="456">
        <v>2.2000000000000002</v>
      </c>
      <c r="CO279" s="453">
        <v>0</v>
      </c>
      <c r="CP279" s="453">
        <v>17.91</v>
      </c>
      <c r="CQ279" s="453">
        <v>61</v>
      </c>
      <c r="CR279" s="456">
        <v>0</v>
      </c>
      <c r="CS279" s="456">
        <v>0</v>
      </c>
      <c r="CT279" s="456">
        <v>0</v>
      </c>
      <c r="CU279" s="456">
        <v>0</v>
      </c>
      <c r="CV279" s="481">
        <v>480.70833333333331</v>
      </c>
      <c r="CW279" s="481">
        <v>474.97916666666669</v>
      </c>
      <c r="CX279" s="481">
        <v>375.57291666666669</v>
      </c>
      <c r="CY279" s="481">
        <v>1145.17</v>
      </c>
      <c r="CZ279" s="456"/>
      <c r="DA279" s="456"/>
      <c r="DB279" s="456"/>
      <c r="DC279" s="456"/>
      <c r="DD279" s="456"/>
      <c r="DE279" s="456"/>
      <c r="DF279" s="456"/>
      <c r="DG279" s="425"/>
      <c r="DH279" s="456">
        <v>0</v>
      </c>
      <c r="DI279" s="456">
        <v>0</v>
      </c>
      <c r="DJ279" s="456">
        <v>0.81</v>
      </c>
      <c r="DK279" s="425"/>
      <c r="DL279" s="456"/>
      <c r="DM279" s="456"/>
      <c r="DN279" s="456"/>
      <c r="DO279" s="456"/>
      <c r="DP279" s="456"/>
      <c r="DQ279" s="456"/>
      <c r="DR279" s="456"/>
      <c r="DS279" s="456"/>
      <c r="DT279" s="456"/>
      <c r="DU279" s="456"/>
      <c r="DV279" s="456"/>
      <c r="DW279" s="456"/>
      <c r="DX279" s="456"/>
      <c r="DY279" s="456"/>
      <c r="DZ279" s="456"/>
      <c r="EA279" s="456"/>
      <c r="EB279" s="456"/>
      <c r="EC279" s="456"/>
      <c r="ED279" s="456">
        <v>0</v>
      </c>
      <c r="EE279" s="456">
        <v>2</v>
      </c>
      <c r="EF279" s="456">
        <v>2.5</v>
      </c>
      <c r="EG279" s="456">
        <v>8.5</v>
      </c>
      <c r="EH279" s="423">
        <v>0</v>
      </c>
      <c r="EI279" s="456"/>
      <c r="EJ279" s="456"/>
      <c r="EK279" s="456"/>
      <c r="EL279" s="456"/>
      <c r="EM279" s="456"/>
      <c r="EN279" s="456"/>
      <c r="EO279" s="425"/>
      <c r="EP279" s="425"/>
      <c r="EQ279" s="425" t="s">
        <v>743</v>
      </c>
      <c r="ER279" s="425">
        <v>1</v>
      </c>
      <c r="ES279" s="425">
        <v>2</v>
      </c>
      <c r="ET279" s="425">
        <v>3075</v>
      </c>
      <c r="EU279" s="457">
        <v>4000</v>
      </c>
      <c r="EV279" s="425">
        <v>200</v>
      </c>
      <c r="EW279" s="425">
        <v>7325023</v>
      </c>
      <c r="EX279" s="425">
        <v>42113</v>
      </c>
      <c r="EY279" s="666">
        <v>18.84</v>
      </c>
      <c r="EZ279" s="666">
        <v>18.82</v>
      </c>
      <c r="FA279" s="666">
        <v>0</v>
      </c>
      <c r="FB279" s="666">
        <v>1.28</v>
      </c>
      <c r="FC279" s="666">
        <v>1.27</v>
      </c>
      <c r="FD279" s="666">
        <v>0.95299999999999996</v>
      </c>
      <c r="FE279" s="666">
        <v>0.97</v>
      </c>
      <c r="FF279" s="666">
        <v>165</v>
      </c>
      <c r="FG279" s="666">
        <v>1.41</v>
      </c>
      <c r="FH279" s="666">
        <v>0.47699999999999998</v>
      </c>
      <c r="FI279" s="666">
        <v>0.97</v>
      </c>
      <c r="FJ279" s="666">
        <v>7.98</v>
      </c>
      <c r="FK279" s="666">
        <v>8</v>
      </c>
      <c r="FL279" s="666">
        <v>8.07</v>
      </c>
      <c r="FM279" s="666">
        <v>7.7</v>
      </c>
      <c r="FN279" s="666">
        <v>0</v>
      </c>
    </row>
    <row r="280" spans="1:170" s="416" customFormat="1" ht="15">
      <c r="A280" s="425" t="s">
        <v>8</v>
      </c>
      <c r="B280" s="426">
        <v>40809</v>
      </c>
      <c r="C280" s="418">
        <v>0</v>
      </c>
      <c r="D280" s="518">
        <v>0</v>
      </c>
      <c r="E280" s="453">
        <v>0</v>
      </c>
      <c r="F280" s="453">
        <v>59</v>
      </c>
      <c r="G280" s="453">
        <v>0.75</v>
      </c>
      <c r="H280" s="519">
        <v>1.6</v>
      </c>
      <c r="I280" s="519">
        <v>92.5</v>
      </c>
      <c r="J280" s="483">
        <v>0.95</v>
      </c>
      <c r="K280" s="520">
        <v>0.98</v>
      </c>
      <c r="L280" s="453">
        <v>0</v>
      </c>
      <c r="M280" s="453" t="s">
        <v>742</v>
      </c>
      <c r="N280" s="453">
        <v>1.71</v>
      </c>
      <c r="O280" s="453">
        <v>2.1546546930731343</v>
      </c>
      <c r="P280" s="453">
        <v>1.57</v>
      </c>
      <c r="Q280" s="453">
        <v>2.1525630067082182</v>
      </c>
      <c r="R280" s="453">
        <v>1198.771989431968</v>
      </c>
      <c r="S280" s="453">
        <v>7.91</v>
      </c>
      <c r="T280" s="453">
        <v>7.85</v>
      </c>
      <c r="U280" s="453" t="s">
        <v>742</v>
      </c>
      <c r="V280" s="453">
        <v>0.53</v>
      </c>
      <c r="W280" s="453">
        <v>60.08</v>
      </c>
      <c r="X280" s="456">
        <v>59.72</v>
      </c>
      <c r="Y280" s="453">
        <v>36.28</v>
      </c>
      <c r="Z280" s="453">
        <v>31.14</v>
      </c>
      <c r="AA280" s="519">
        <v>35.80000000000291</v>
      </c>
      <c r="AB280" s="519">
        <v>30.700000000004366</v>
      </c>
      <c r="AC280" s="732">
        <f t="shared" si="4"/>
        <v>66.500000000007276</v>
      </c>
      <c r="AD280" s="664"/>
      <c r="AE280" s="664"/>
      <c r="AF280" s="664"/>
      <c r="AG280" s="664"/>
      <c r="AH280" s="664"/>
      <c r="AI280" s="664"/>
      <c r="AJ280" s="485"/>
      <c r="AK280" s="485"/>
      <c r="AL280" s="485"/>
      <c r="AM280" s="485"/>
      <c r="AN280" s="485"/>
      <c r="AO280" s="665"/>
      <c r="AP280" s="485"/>
      <c r="AQ280" s="483"/>
      <c r="AR280" s="755">
        <v>0</v>
      </c>
      <c r="AS280" s="483">
        <v>35.799999999999997</v>
      </c>
      <c r="AT280" s="755">
        <v>0</v>
      </c>
      <c r="AU280" s="483">
        <v>32</v>
      </c>
      <c r="AV280" s="484">
        <v>0</v>
      </c>
      <c r="AW280" s="484">
        <v>1692.8</v>
      </c>
      <c r="AX280" s="453">
        <v>16</v>
      </c>
      <c r="AY280" s="734">
        <v>0</v>
      </c>
      <c r="AZ280" s="734">
        <v>0</v>
      </c>
      <c r="BA280" s="734">
        <v>0</v>
      </c>
      <c r="BB280" s="453">
        <v>0</v>
      </c>
      <c r="BC280" s="453">
        <v>0.5</v>
      </c>
      <c r="BD280" s="453">
        <v>1.5</v>
      </c>
      <c r="BE280" s="734">
        <v>0</v>
      </c>
      <c r="BF280" s="453">
        <v>0.56000000000000005</v>
      </c>
      <c r="BG280" s="453">
        <v>0</v>
      </c>
      <c r="BH280" s="734">
        <v>0</v>
      </c>
      <c r="BI280" s="453">
        <v>1.07</v>
      </c>
      <c r="BJ280" s="453">
        <v>27.6</v>
      </c>
      <c r="BK280" s="453">
        <v>3.61</v>
      </c>
      <c r="BL280" s="453">
        <v>4.26</v>
      </c>
      <c r="BM280" s="453">
        <v>0</v>
      </c>
      <c r="BN280" s="453">
        <v>19.5</v>
      </c>
      <c r="BO280" s="453">
        <v>1889.2</v>
      </c>
      <c r="BP280" s="453">
        <v>0</v>
      </c>
      <c r="BQ280" s="453">
        <v>18.399999999999999</v>
      </c>
      <c r="BR280" s="453">
        <v>18.399999999999999</v>
      </c>
      <c r="BS280" s="453">
        <v>0</v>
      </c>
      <c r="BT280" s="453">
        <v>34.9</v>
      </c>
      <c r="BU280" s="453">
        <v>37.700000000000003</v>
      </c>
      <c r="BV280" s="456">
        <v>593.9</v>
      </c>
      <c r="BW280" s="453">
        <v>1.92</v>
      </c>
      <c r="BX280" s="453">
        <v>1.3</v>
      </c>
      <c r="BY280" s="456">
        <v>0.9</v>
      </c>
      <c r="BZ280" s="456">
        <v>15.3</v>
      </c>
      <c r="CA280" s="456">
        <v>32.700000000000003</v>
      </c>
      <c r="CB280" s="456">
        <v>18.350000000000001</v>
      </c>
      <c r="CC280" s="456">
        <v>9.5</v>
      </c>
      <c r="CD280" s="456">
        <v>13.7</v>
      </c>
      <c r="CE280" s="456">
        <v>17.7</v>
      </c>
      <c r="CF280" s="456">
        <v>12.92</v>
      </c>
      <c r="CG280" s="456">
        <v>586.6</v>
      </c>
      <c r="CH280" s="456">
        <v>4.0999999999999996</v>
      </c>
      <c r="CI280" s="456">
        <v>7.1</v>
      </c>
      <c r="CJ280" s="456">
        <v>672.3</v>
      </c>
      <c r="CK280" s="456">
        <v>538.5</v>
      </c>
      <c r="CL280" s="456">
        <v>788.5</v>
      </c>
      <c r="CM280" s="456">
        <v>15.3</v>
      </c>
      <c r="CN280" s="453">
        <v>2.65</v>
      </c>
      <c r="CO280" s="453">
        <v>0</v>
      </c>
      <c r="CP280" s="453">
        <v>18.59</v>
      </c>
      <c r="CQ280" s="453">
        <v>61</v>
      </c>
      <c r="CR280" s="456">
        <v>0</v>
      </c>
      <c r="CS280" s="456">
        <v>0</v>
      </c>
      <c r="CT280" s="456">
        <v>0</v>
      </c>
      <c r="CU280" s="456">
        <v>0</v>
      </c>
      <c r="CV280" s="481">
        <v>519.54166666666663</v>
      </c>
      <c r="CW280" s="481">
        <v>514.27083333333337</v>
      </c>
      <c r="CX280" s="481">
        <v>415.10416666666669</v>
      </c>
      <c r="CY280" s="481">
        <v>1144.3399999999999</v>
      </c>
      <c r="CZ280" s="456"/>
      <c r="DA280" s="456"/>
      <c r="DB280" s="456"/>
      <c r="DC280" s="456"/>
      <c r="DD280" s="456"/>
      <c r="DE280" s="456"/>
      <c r="DF280" s="456"/>
      <c r="DG280" s="425"/>
      <c r="DH280" s="456">
        <v>0</v>
      </c>
      <c r="DI280" s="456">
        <v>0</v>
      </c>
      <c r="DJ280" s="456">
        <v>0.94</v>
      </c>
      <c r="DK280" s="425"/>
      <c r="DL280" s="456"/>
      <c r="DM280" s="456"/>
      <c r="DN280" s="456"/>
      <c r="DO280" s="456"/>
      <c r="DP280" s="456"/>
      <c r="DQ280" s="456"/>
      <c r="DR280" s="456"/>
      <c r="DS280" s="456"/>
      <c r="DT280" s="456"/>
      <c r="DU280" s="456"/>
      <c r="DV280" s="456"/>
      <c r="DW280" s="456"/>
      <c r="DX280" s="456"/>
      <c r="DY280" s="456"/>
      <c r="DZ280" s="456"/>
      <c r="EA280" s="456"/>
      <c r="EB280" s="456"/>
      <c r="EC280" s="456"/>
      <c r="ED280" s="456">
        <v>0</v>
      </c>
      <c r="EE280" s="456">
        <v>2</v>
      </c>
      <c r="EF280" s="456">
        <v>2.5</v>
      </c>
      <c r="EG280" s="456">
        <v>7.5</v>
      </c>
      <c r="EH280" s="423">
        <v>0</v>
      </c>
      <c r="EI280" s="456"/>
      <c r="EJ280" s="456"/>
      <c r="EK280" s="456"/>
      <c r="EL280" s="456"/>
      <c r="EM280" s="456"/>
      <c r="EN280" s="456"/>
      <c r="EO280" s="425"/>
      <c r="EP280" s="425"/>
      <c r="EQ280" s="425" t="s">
        <v>743</v>
      </c>
      <c r="ER280" s="425">
        <v>1</v>
      </c>
      <c r="ES280" s="425">
        <v>2</v>
      </c>
      <c r="ET280" s="425">
        <v>2880</v>
      </c>
      <c r="EU280" s="457">
        <v>4000</v>
      </c>
      <c r="EV280" s="425">
        <v>215</v>
      </c>
      <c r="EW280" s="425">
        <v>7328796</v>
      </c>
      <c r="EX280" s="425">
        <v>43334</v>
      </c>
      <c r="EY280" s="666">
        <v>18.18</v>
      </c>
      <c r="EZ280" s="666">
        <v>18.18</v>
      </c>
      <c r="FA280" s="666">
        <v>0</v>
      </c>
      <c r="FB280" s="666">
        <v>1.29</v>
      </c>
      <c r="FC280" s="666">
        <v>1.18</v>
      </c>
      <c r="FD280" s="666">
        <v>0.94499999999999995</v>
      </c>
      <c r="FE280" s="666">
        <v>0.94</v>
      </c>
      <c r="FF280" s="666">
        <v>185</v>
      </c>
      <c r="FG280" s="666">
        <v>1.45</v>
      </c>
      <c r="FH280" s="666">
        <v>0.48799999999999999</v>
      </c>
      <c r="FI280" s="666">
        <v>1.01</v>
      </c>
      <c r="FJ280" s="666">
        <v>8.18</v>
      </c>
      <c r="FK280" s="666">
        <v>8</v>
      </c>
      <c r="FL280" s="666">
        <v>7.82</v>
      </c>
      <c r="FM280" s="666">
        <v>7.6</v>
      </c>
      <c r="FN280" s="666">
        <v>0</v>
      </c>
    </row>
    <row r="281" spans="1:170" s="416" customFormat="1" ht="15">
      <c r="A281" s="425" t="s">
        <v>9</v>
      </c>
      <c r="B281" s="426">
        <v>40810</v>
      </c>
      <c r="C281" s="418">
        <v>0</v>
      </c>
      <c r="D281" s="518">
        <v>0</v>
      </c>
      <c r="E281" s="453">
        <v>0</v>
      </c>
      <c r="F281" s="453">
        <v>61</v>
      </c>
      <c r="G281" s="453">
        <v>0.75</v>
      </c>
      <c r="H281" s="519">
        <v>1.52</v>
      </c>
      <c r="I281" s="519">
        <v>92.3</v>
      </c>
      <c r="J281" s="483">
        <v>1</v>
      </c>
      <c r="K281" s="520">
        <v>0.97</v>
      </c>
      <c r="L281" s="453">
        <v>0</v>
      </c>
      <c r="M281" s="453" t="s">
        <v>742</v>
      </c>
      <c r="N281" s="453">
        <v>1.71</v>
      </c>
      <c r="O281" s="453">
        <v>2.1590628168422352</v>
      </c>
      <c r="P281" s="453">
        <v>1.58</v>
      </c>
      <c r="Q281" s="453">
        <v>2.1612825747571214</v>
      </c>
      <c r="R281" s="453">
        <v>1210.432565389696</v>
      </c>
      <c r="S281" s="453">
        <v>8</v>
      </c>
      <c r="T281" s="453">
        <v>7.7</v>
      </c>
      <c r="U281" s="453">
        <v>0.56999999999999995</v>
      </c>
      <c r="V281" s="453">
        <v>0.81</v>
      </c>
      <c r="W281" s="453">
        <v>60.08</v>
      </c>
      <c r="X281" s="456">
        <v>60.08</v>
      </c>
      <c r="Y281" s="453">
        <v>36.119999999999997</v>
      </c>
      <c r="Z281" s="453">
        <v>30.92</v>
      </c>
      <c r="AA281" s="519">
        <v>35.989999999990687</v>
      </c>
      <c r="AB281" s="519">
        <v>30.979999999995925</v>
      </c>
      <c r="AC281" s="732">
        <f t="shared" si="4"/>
        <v>66.969999999986612</v>
      </c>
      <c r="AD281" s="664"/>
      <c r="AE281" s="664"/>
      <c r="AF281" s="664"/>
      <c r="AG281" s="664"/>
      <c r="AH281" s="664"/>
      <c r="AI281" s="664"/>
      <c r="AJ281" s="485"/>
      <c r="AK281" s="485"/>
      <c r="AL281" s="485"/>
      <c r="AM281" s="485"/>
      <c r="AN281" s="485"/>
      <c r="AO281" s="665"/>
      <c r="AP281" s="485"/>
      <c r="AQ281" s="483"/>
      <c r="AR281" s="755">
        <v>0</v>
      </c>
      <c r="AS281" s="483">
        <v>17.899999999999999</v>
      </c>
      <c r="AT281" s="755">
        <v>0</v>
      </c>
      <c r="AU281" s="483">
        <v>32</v>
      </c>
      <c r="AV281" s="484">
        <v>0</v>
      </c>
      <c r="AW281" s="484">
        <v>1874.8</v>
      </c>
      <c r="AX281" s="453">
        <v>4.5</v>
      </c>
      <c r="AY281" s="734">
        <v>0</v>
      </c>
      <c r="AZ281" s="734">
        <v>0</v>
      </c>
      <c r="BA281" s="734">
        <v>0</v>
      </c>
      <c r="BB281" s="453">
        <v>0</v>
      </c>
      <c r="BC281" s="453">
        <v>0.5</v>
      </c>
      <c r="BD281" s="453">
        <v>1.5</v>
      </c>
      <c r="BE281" s="734">
        <v>0</v>
      </c>
      <c r="BF281" s="453">
        <v>0.5</v>
      </c>
      <c r="BG281" s="453">
        <v>0</v>
      </c>
      <c r="BH281" s="734">
        <v>0</v>
      </c>
      <c r="BI281" s="453">
        <v>1.08</v>
      </c>
      <c r="BJ281" s="453">
        <v>27.5</v>
      </c>
      <c r="BK281" s="453">
        <v>3.6</v>
      </c>
      <c r="BL281" s="453">
        <v>3.95</v>
      </c>
      <c r="BM281" s="453">
        <v>0</v>
      </c>
      <c r="BN281" s="453">
        <v>19.8</v>
      </c>
      <c r="BO281" s="453">
        <v>2108.4</v>
      </c>
      <c r="BP281" s="453">
        <v>0</v>
      </c>
      <c r="BQ281" s="453">
        <v>18</v>
      </c>
      <c r="BR281" s="453">
        <v>18</v>
      </c>
      <c r="BS281" s="453">
        <v>0</v>
      </c>
      <c r="BT281" s="453">
        <v>34.700000000000003</v>
      </c>
      <c r="BU281" s="453">
        <v>34.4</v>
      </c>
      <c r="BV281" s="456">
        <v>188.8</v>
      </c>
      <c r="BW281" s="453">
        <v>3.46</v>
      </c>
      <c r="BX281" s="453">
        <v>1.29</v>
      </c>
      <c r="BY281" s="456">
        <v>0.89</v>
      </c>
      <c r="BZ281" s="456">
        <v>15.3</v>
      </c>
      <c r="CA281" s="456">
        <v>32</v>
      </c>
      <c r="CB281" s="456">
        <v>17.3</v>
      </c>
      <c r="CC281" s="456">
        <v>10</v>
      </c>
      <c r="CD281" s="456">
        <v>14.3</v>
      </c>
      <c r="CE281" s="456">
        <v>18.3</v>
      </c>
      <c r="CF281" s="456">
        <v>12.87</v>
      </c>
      <c r="CG281" s="456">
        <v>550.4</v>
      </c>
      <c r="CH281" s="456">
        <v>4.0999999999999996</v>
      </c>
      <c r="CI281" s="456">
        <v>6.2</v>
      </c>
      <c r="CJ281" s="456">
        <v>484.2</v>
      </c>
      <c r="CK281" s="456">
        <v>644.4</v>
      </c>
      <c r="CL281" s="456">
        <v>643.20000000000005</v>
      </c>
      <c r="CM281" s="456">
        <v>14.3</v>
      </c>
      <c r="CN281" s="456">
        <v>2</v>
      </c>
      <c r="CO281" s="453">
        <v>0</v>
      </c>
      <c r="CP281" s="453">
        <v>18.77</v>
      </c>
      <c r="CQ281" s="453">
        <v>61</v>
      </c>
      <c r="CR281" s="456">
        <v>0</v>
      </c>
      <c r="CS281" s="456">
        <v>0</v>
      </c>
      <c r="CT281" s="456">
        <v>0</v>
      </c>
      <c r="CU281" s="456">
        <v>0</v>
      </c>
      <c r="CV281" s="481">
        <v>538.33333333333337</v>
      </c>
      <c r="CW281" s="481">
        <v>558.67708333333337</v>
      </c>
      <c r="CX281" s="481">
        <v>435.875</v>
      </c>
      <c r="CY281" s="481">
        <v>1143.43</v>
      </c>
      <c r="CZ281" s="456"/>
      <c r="DA281" s="456"/>
      <c r="DB281" s="456"/>
      <c r="DC281" s="456"/>
      <c r="DD281" s="456"/>
      <c r="DE281" s="456"/>
      <c r="DF281" s="456"/>
      <c r="DG281" s="425"/>
      <c r="DH281" s="456">
        <v>0</v>
      </c>
      <c r="DI281" s="456">
        <v>0</v>
      </c>
      <c r="DJ281" s="456">
        <v>0.94</v>
      </c>
      <c r="DK281" s="425"/>
      <c r="DL281" s="456"/>
      <c r="DM281" s="456"/>
      <c r="DN281" s="456"/>
      <c r="DO281" s="456"/>
      <c r="DP281" s="456"/>
      <c r="DQ281" s="456"/>
      <c r="DR281" s="456"/>
      <c r="DS281" s="456"/>
      <c r="DT281" s="456"/>
      <c r="DU281" s="456"/>
      <c r="DV281" s="456"/>
      <c r="DW281" s="456"/>
      <c r="DX281" s="456"/>
      <c r="DY281" s="456"/>
      <c r="DZ281" s="456"/>
      <c r="EA281" s="456"/>
      <c r="EB281" s="456"/>
      <c r="EC281" s="456"/>
      <c r="ED281" s="456">
        <v>0</v>
      </c>
      <c r="EE281" s="456">
        <v>2</v>
      </c>
      <c r="EF281" s="456">
        <v>2.5</v>
      </c>
      <c r="EG281" s="456">
        <v>7.5</v>
      </c>
      <c r="EH281" s="423">
        <v>0</v>
      </c>
      <c r="EI281" s="456"/>
      <c r="EJ281" s="456"/>
      <c r="EK281" s="456"/>
      <c r="EL281" s="456"/>
      <c r="EM281" s="456"/>
      <c r="EN281" s="456"/>
      <c r="EO281" s="425"/>
      <c r="EP281" s="425"/>
      <c r="EQ281" s="425" t="s">
        <v>743</v>
      </c>
      <c r="ER281" s="425">
        <v>1</v>
      </c>
      <c r="ES281" s="425">
        <v>2</v>
      </c>
      <c r="ET281" s="425">
        <v>2690</v>
      </c>
      <c r="EU281" s="457">
        <v>4000</v>
      </c>
      <c r="EV281" s="425">
        <v>200</v>
      </c>
      <c r="EW281" s="425">
        <v>7332290</v>
      </c>
      <c r="EX281" s="425">
        <v>44592</v>
      </c>
      <c r="EY281" s="666">
        <v>18.079999999999998</v>
      </c>
      <c r="EZ281" s="666">
        <v>18.079999999999998</v>
      </c>
      <c r="FA281" s="666">
        <v>0</v>
      </c>
      <c r="FB281" s="666">
        <v>1.28</v>
      </c>
      <c r="FC281" s="666">
        <v>1.23</v>
      </c>
      <c r="FD281" s="666">
        <v>0.92600000000000005</v>
      </c>
      <c r="FE281" s="666">
        <v>0.94</v>
      </c>
      <c r="FF281" s="666">
        <v>235</v>
      </c>
      <c r="FG281" s="666">
        <v>1.31</v>
      </c>
      <c r="FH281" s="666">
        <v>0.48</v>
      </c>
      <c r="FI281" s="666">
        <v>0.94</v>
      </c>
      <c r="FJ281" s="666">
        <v>8.0500000000000007</v>
      </c>
      <c r="FK281" s="666">
        <v>8</v>
      </c>
      <c r="FL281" s="666">
        <v>7.85</v>
      </c>
      <c r="FM281" s="666">
        <v>7.6</v>
      </c>
      <c r="FN281" s="666">
        <v>0</v>
      </c>
    </row>
    <row r="282" spans="1:170" s="416" customFormat="1" ht="15">
      <c r="A282" s="425" t="s">
        <v>3</v>
      </c>
      <c r="B282" s="426">
        <v>40811</v>
      </c>
      <c r="C282" s="418">
        <v>0</v>
      </c>
      <c r="D282" s="518">
        <v>0.13</v>
      </c>
      <c r="E282" s="453">
        <v>0</v>
      </c>
      <c r="F282" s="453">
        <v>51</v>
      </c>
      <c r="G282" s="453">
        <v>0.75</v>
      </c>
      <c r="H282" s="519">
        <v>1.42</v>
      </c>
      <c r="I282" s="519">
        <v>92</v>
      </c>
      <c r="J282" s="483">
        <v>0.92</v>
      </c>
      <c r="K282" s="520">
        <v>0.88</v>
      </c>
      <c r="L282" s="453">
        <v>0</v>
      </c>
      <c r="M282" s="453" t="s">
        <v>742</v>
      </c>
      <c r="N282" s="453">
        <v>1.71</v>
      </c>
      <c r="O282" s="453">
        <v>2.1553916485165274</v>
      </c>
      <c r="P282" s="453">
        <v>1.57</v>
      </c>
      <c r="Q282" s="453">
        <v>2.1587606580999519</v>
      </c>
      <c r="R282" s="453">
        <v>1210.1086605019811</v>
      </c>
      <c r="S282" s="453">
        <v>8.01</v>
      </c>
      <c r="T282" s="453">
        <v>7.72</v>
      </c>
      <c r="U282" s="453">
        <v>0.81</v>
      </c>
      <c r="V282" s="453">
        <v>0.8</v>
      </c>
      <c r="W282" s="453">
        <v>59.72</v>
      </c>
      <c r="X282" s="456">
        <v>59.360000000000014</v>
      </c>
      <c r="Y282" s="453">
        <v>35.85</v>
      </c>
      <c r="Z282" s="453">
        <v>30.83</v>
      </c>
      <c r="AA282" s="519">
        <v>36.010000000009313</v>
      </c>
      <c r="AB282" s="519">
        <v>30.92000000000553</v>
      </c>
      <c r="AC282" s="732">
        <f t="shared" si="4"/>
        <v>66.930000000014843</v>
      </c>
      <c r="AD282" s="664"/>
      <c r="AE282" s="664"/>
      <c r="AF282" s="664"/>
      <c r="AG282" s="664"/>
      <c r="AH282" s="664"/>
      <c r="AI282" s="664"/>
      <c r="AJ282" s="485"/>
      <c r="AK282" s="485"/>
      <c r="AL282" s="485"/>
      <c r="AM282" s="485"/>
      <c r="AN282" s="485"/>
      <c r="AO282" s="665"/>
      <c r="AP282" s="485"/>
      <c r="AQ282" s="483"/>
      <c r="AR282" s="755">
        <v>0</v>
      </c>
      <c r="AS282" s="483">
        <v>18.100000000000001</v>
      </c>
      <c r="AT282" s="755">
        <v>0</v>
      </c>
      <c r="AU282" s="483">
        <v>32</v>
      </c>
      <c r="AV282" s="484">
        <v>0</v>
      </c>
      <c r="AW282" s="484">
        <v>1506.6</v>
      </c>
      <c r="AX282" s="453">
        <v>4.5</v>
      </c>
      <c r="AY282" s="734">
        <v>0</v>
      </c>
      <c r="AZ282" s="734">
        <v>0</v>
      </c>
      <c r="BA282" s="734">
        <v>0</v>
      </c>
      <c r="BB282" s="453">
        <v>0</v>
      </c>
      <c r="BC282" s="453">
        <v>0.5</v>
      </c>
      <c r="BD282" s="453">
        <v>1.5</v>
      </c>
      <c r="BE282" s="734">
        <v>0</v>
      </c>
      <c r="BF282" s="453">
        <v>0.55000000000000004</v>
      </c>
      <c r="BG282" s="453">
        <v>0</v>
      </c>
      <c r="BH282" s="734">
        <v>0</v>
      </c>
      <c r="BI282" s="453">
        <v>1.07</v>
      </c>
      <c r="BJ282" s="453">
        <v>27.6</v>
      </c>
      <c r="BK282" s="453">
        <v>3.59</v>
      </c>
      <c r="BL282" s="453">
        <v>3.95</v>
      </c>
      <c r="BM282" s="453">
        <v>0</v>
      </c>
      <c r="BN282" s="453">
        <v>19.8</v>
      </c>
      <c r="BO282" s="453">
        <v>1950.6</v>
      </c>
      <c r="BP282" s="453">
        <v>0</v>
      </c>
      <c r="BQ282" s="453">
        <v>18.3</v>
      </c>
      <c r="BR282" s="453">
        <v>18.3</v>
      </c>
      <c r="BS282" s="453">
        <v>0</v>
      </c>
      <c r="BT282" s="453">
        <v>35.1</v>
      </c>
      <c r="BU282" s="453">
        <v>31.2</v>
      </c>
      <c r="BV282" s="456">
        <v>342.9</v>
      </c>
      <c r="BW282" s="453">
        <v>1.07</v>
      </c>
      <c r="BX282" s="453">
        <v>1.28</v>
      </c>
      <c r="BY282" s="456">
        <v>0.89</v>
      </c>
      <c r="BZ282" s="456">
        <v>15.4</v>
      </c>
      <c r="CA282" s="456">
        <v>32.200000000000003</v>
      </c>
      <c r="CB282" s="456">
        <v>16.100000000000001</v>
      </c>
      <c r="CC282" s="456">
        <v>10.3</v>
      </c>
      <c r="CD282" s="456">
        <v>14.58</v>
      </c>
      <c r="CE282" s="456">
        <v>18.53</v>
      </c>
      <c r="CF282" s="456">
        <v>13.13</v>
      </c>
      <c r="CG282" s="456">
        <v>552.29999999999995</v>
      </c>
      <c r="CH282" s="456">
        <v>3.9</v>
      </c>
      <c r="CI282" s="456">
        <v>5.7</v>
      </c>
      <c r="CJ282" s="456">
        <v>368.9</v>
      </c>
      <c r="CK282" s="456">
        <v>618.4</v>
      </c>
      <c r="CL282" s="456">
        <v>621.79999999999995</v>
      </c>
      <c r="CM282" s="456">
        <v>14.2</v>
      </c>
      <c r="CN282" s="456">
        <v>1.9</v>
      </c>
      <c r="CO282" s="453">
        <v>0</v>
      </c>
      <c r="CP282" s="453">
        <v>18.440000000000001</v>
      </c>
      <c r="CQ282" s="453">
        <v>61</v>
      </c>
      <c r="CR282" s="456">
        <v>0</v>
      </c>
      <c r="CS282" s="456">
        <v>0</v>
      </c>
      <c r="CT282" s="456">
        <v>0</v>
      </c>
      <c r="CU282" s="456">
        <v>0</v>
      </c>
      <c r="CV282" s="481">
        <v>536.66666666666663</v>
      </c>
      <c r="CW282" s="481">
        <v>565.86458333333337</v>
      </c>
      <c r="CX282" s="481">
        <v>435.70833333333331</v>
      </c>
      <c r="CY282" s="481">
        <v>1142.57</v>
      </c>
      <c r="CZ282" s="456"/>
      <c r="DA282" s="456"/>
      <c r="DB282" s="456"/>
      <c r="DC282" s="456"/>
      <c r="DD282" s="456"/>
      <c r="DE282" s="456"/>
      <c r="DF282" s="456"/>
      <c r="DG282" s="425"/>
      <c r="DH282" s="456">
        <v>0</v>
      </c>
      <c r="DI282" s="456" t="s">
        <v>756</v>
      </c>
      <c r="DJ282" s="456">
        <v>0.85</v>
      </c>
      <c r="DK282" s="425"/>
      <c r="DL282" s="456"/>
      <c r="DM282" s="456"/>
      <c r="DN282" s="456"/>
      <c r="DO282" s="456"/>
      <c r="DP282" s="456"/>
      <c r="DQ282" s="456"/>
      <c r="DR282" s="456"/>
      <c r="DS282" s="456"/>
      <c r="DT282" s="456"/>
      <c r="DU282" s="456"/>
      <c r="DV282" s="456"/>
      <c r="DW282" s="456"/>
      <c r="DX282" s="456"/>
      <c r="DY282" s="456"/>
      <c r="DZ282" s="456"/>
      <c r="EA282" s="456"/>
      <c r="EB282" s="456"/>
      <c r="EC282" s="456"/>
      <c r="ED282" s="456">
        <v>0</v>
      </c>
      <c r="EE282" s="456">
        <v>2</v>
      </c>
      <c r="EF282" s="456">
        <v>2.5</v>
      </c>
      <c r="EG282" s="456">
        <v>7.5</v>
      </c>
      <c r="EH282" s="423">
        <v>0</v>
      </c>
      <c r="EI282" s="456"/>
      <c r="EJ282" s="456"/>
      <c r="EK282" s="456"/>
      <c r="EL282" s="456"/>
      <c r="EM282" s="456"/>
      <c r="EN282" s="456"/>
      <c r="EO282" s="425"/>
      <c r="EP282" s="425"/>
      <c r="EQ282" s="425" t="s">
        <v>743</v>
      </c>
      <c r="ER282" s="425">
        <v>1</v>
      </c>
      <c r="ES282" s="425">
        <v>2</v>
      </c>
      <c r="ET282" s="425">
        <v>2520</v>
      </c>
      <c r="EU282" s="457">
        <v>4000</v>
      </c>
      <c r="EV282" s="425">
        <v>165</v>
      </c>
      <c r="EW282" s="425">
        <v>7335349</v>
      </c>
      <c r="EX282" s="425">
        <v>45722</v>
      </c>
      <c r="EY282" s="666">
        <v>18.39</v>
      </c>
      <c r="EZ282" s="666">
        <v>18.38</v>
      </c>
      <c r="FA282" s="666">
        <v>0</v>
      </c>
      <c r="FB282" s="666">
        <v>1.28</v>
      </c>
      <c r="FC282" s="666">
        <v>1.32</v>
      </c>
      <c r="FD282" s="666">
        <v>0.92700000000000005</v>
      </c>
      <c r="FE282" s="666">
        <v>0.91</v>
      </c>
      <c r="FF282" s="666">
        <v>225</v>
      </c>
      <c r="FG282" s="666">
        <v>1.2</v>
      </c>
      <c r="FH282" s="666">
        <v>0.46600000000000003</v>
      </c>
      <c r="FI282" s="666">
        <v>0.93</v>
      </c>
      <c r="FJ282" s="666">
        <v>7.98</v>
      </c>
      <c r="FK282" s="666">
        <v>7.9</v>
      </c>
      <c r="FL282" s="666">
        <v>7.68</v>
      </c>
      <c r="FM282" s="666">
        <v>7.5</v>
      </c>
      <c r="FN282" s="666">
        <v>0</v>
      </c>
    </row>
    <row r="283" spans="1:170" s="416" customFormat="1" ht="15">
      <c r="A283" s="425" t="s">
        <v>4</v>
      </c>
      <c r="B283" s="426">
        <v>40812</v>
      </c>
      <c r="C283" s="418">
        <v>0</v>
      </c>
      <c r="D283" s="518">
        <v>0.67</v>
      </c>
      <c r="E283" s="453">
        <v>0</v>
      </c>
      <c r="F283" s="453">
        <v>56</v>
      </c>
      <c r="G283" s="453">
        <v>0.8</v>
      </c>
      <c r="H283" s="519">
        <v>1.77</v>
      </c>
      <c r="I283" s="519">
        <v>92.1</v>
      </c>
      <c r="J283" s="483">
        <v>1.1499999999999999</v>
      </c>
      <c r="K283" s="520">
        <v>1.17</v>
      </c>
      <c r="L283" s="453">
        <v>0</v>
      </c>
      <c r="M283" s="453" t="s">
        <v>742</v>
      </c>
      <c r="N283" s="453">
        <v>1.73</v>
      </c>
      <c r="O283" s="453">
        <v>2.1637591010401547</v>
      </c>
      <c r="P283" s="453">
        <v>1.57</v>
      </c>
      <c r="Q283" s="453">
        <v>2.1661311629096174</v>
      </c>
      <c r="R283" s="453">
        <v>1221.7692364597092</v>
      </c>
      <c r="S283" s="453">
        <v>8.01</v>
      </c>
      <c r="T283" s="453">
        <v>7.9</v>
      </c>
      <c r="U283" s="453">
        <v>0.8</v>
      </c>
      <c r="V283" s="453">
        <v>0.8</v>
      </c>
      <c r="W283" s="453">
        <v>59.539999999999992</v>
      </c>
      <c r="X283" s="456">
        <v>59.539999999999992</v>
      </c>
      <c r="Y283" s="453">
        <v>36.46</v>
      </c>
      <c r="Z283" s="453">
        <v>30.95</v>
      </c>
      <c r="AA283" s="519">
        <v>36.30000000000291</v>
      </c>
      <c r="AB283" s="519">
        <v>31.19999999999709</v>
      </c>
      <c r="AC283" s="732">
        <f t="shared" si="4"/>
        <v>67.5</v>
      </c>
      <c r="AD283" s="664"/>
      <c r="AE283" s="664"/>
      <c r="AF283" s="664"/>
      <c r="AG283" s="664"/>
      <c r="AH283" s="664"/>
      <c r="AI283" s="664"/>
      <c r="AJ283" s="485"/>
      <c r="AK283" s="485"/>
      <c r="AL283" s="485"/>
      <c r="AM283" s="485"/>
      <c r="AN283" s="485"/>
      <c r="AO283" s="665"/>
      <c r="AP283" s="485"/>
      <c r="AQ283" s="483"/>
      <c r="AR283" s="755">
        <v>0</v>
      </c>
      <c r="AS283" s="483">
        <v>18.100000000000001</v>
      </c>
      <c r="AT283" s="755">
        <v>0</v>
      </c>
      <c r="AU283" s="483">
        <v>32</v>
      </c>
      <c r="AV283" s="484">
        <v>0</v>
      </c>
      <c r="AW283" s="484">
        <v>1289.2</v>
      </c>
      <c r="AX283" s="453">
        <v>6.6</v>
      </c>
      <c r="AY283" s="734">
        <v>0</v>
      </c>
      <c r="AZ283" s="734">
        <v>0</v>
      </c>
      <c r="BA283" s="734">
        <v>0</v>
      </c>
      <c r="BB283" s="453">
        <v>0</v>
      </c>
      <c r="BC283" s="453">
        <v>0.56999999999999995</v>
      </c>
      <c r="BD283" s="453">
        <v>1.5</v>
      </c>
      <c r="BE283" s="734">
        <v>0</v>
      </c>
      <c r="BF283" s="453">
        <v>0.49</v>
      </c>
      <c r="BG283" s="453">
        <v>0</v>
      </c>
      <c r="BH283" s="734">
        <v>0</v>
      </c>
      <c r="BI283" s="453">
        <v>1.06</v>
      </c>
      <c r="BJ283" s="453">
        <v>27.5</v>
      </c>
      <c r="BK283" s="453">
        <v>3.61</v>
      </c>
      <c r="BL283" s="453">
        <v>3.95</v>
      </c>
      <c r="BM283" s="453">
        <v>0</v>
      </c>
      <c r="BN283" s="453">
        <v>19.8</v>
      </c>
      <c r="BO283" s="453">
        <v>1509.2</v>
      </c>
      <c r="BP283" s="453">
        <v>35.1</v>
      </c>
      <c r="BQ283" s="453">
        <v>19</v>
      </c>
      <c r="BR283" s="453">
        <v>19</v>
      </c>
      <c r="BS283" s="453">
        <v>0</v>
      </c>
      <c r="BT283" s="453">
        <v>35.299999999999997</v>
      </c>
      <c r="BU283" s="453">
        <v>29.5</v>
      </c>
      <c r="BV283" s="456">
        <v>254.4</v>
      </c>
      <c r="BW283" s="453">
        <v>0.83</v>
      </c>
      <c r="BX283" s="453">
        <v>1.29</v>
      </c>
      <c r="BY283" s="456">
        <v>0.89</v>
      </c>
      <c r="BZ283" s="456">
        <v>15.07</v>
      </c>
      <c r="CA283" s="456">
        <v>32.9</v>
      </c>
      <c r="CB283" s="456">
        <v>15.29</v>
      </c>
      <c r="CC283" s="456">
        <v>9.6300000000000008</v>
      </c>
      <c r="CD283" s="456">
        <v>13.87</v>
      </c>
      <c r="CE283" s="456">
        <v>17.95</v>
      </c>
      <c r="CF283" s="456">
        <v>12.95</v>
      </c>
      <c r="CG283" s="456">
        <v>568.6</v>
      </c>
      <c r="CH283" s="456">
        <v>3.7</v>
      </c>
      <c r="CI283" s="456">
        <v>5.8</v>
      </c>
      <c r="CJ283" s="456">
        <v>314.5</v>
      </c>
      <c r="CK283" s="456">
        <v>558.5</v>
      </c>
      <c r="CL283" s="456">
        <v>657.1</v>
      </c>
      <c r="CM283" s="456">
        <v>14.8</v>
      </c>
      <c r="CN283" s="456">
        <v>2.0499999999999998</v>
      </c>
      <c r="CO283" s="453">
        <v>0</v>
      </c>
      <c r="CP283" s="453">
        <v>18.57</v>
      </c>
      <c r="CQ283" s="453">
        <v>61</v>
      </c>
      <c r="CR283" s="456">
        <v>0</v>
      </c>
      <c r="CS283" s="456">
        <v>0</v>
      </c>
      <c r="CT283" s="456">
        <v>0</v>
      </c>
      <c r="CU283" s="456">
        <v>0</v>
      </c>
      <c r="CV283" s="481">
        <v>563.41666666666663</v>
      </c>
      <c r="CW283" s="481">
        <v>586.41666666666663</v>
      </c>
      <c r="CX283" s="481">
        <v>461.07291666666669</v>
      </c>
      <c r="CY283" s="481">
        <v>1141.71</v>
      </c>
      <c r="CZ283" s="456"/>
      <c r="DA283" s="456"/>
      <c r="DB283" s="456"/>
      <c r="DC283" s="456"/>
      <c r="DD283" s="456"/>
      <c r="DE283" s="456"/>
      <c r="DF283" s="456"/>
      <c r="DG283" s="425"/>
      <c r="DH283" s="456">
        <v>0</v>
      </c>
      <c r="DI283" s="456">
        <v>0</v>
      </c>
      <c r="DJ283" s="456">
        <v>0.79</v>
      </c>
      <c r="DK283" s="425"/>
      <c r="DL283" s="456"/>
      <c r="DM283" s="456"/>
      <c r="DN283" s="456"/>
      <c r="DO283" s="456"/>
      <c r="DP283" s="456"/>
      <c r="DQ283" s="456"/>
      <c r="DR283" s="456"/>
      <c r="DS283" s="456"/>
      <c r="DT283" s="456"/>
      <c r="DU283" s="456"/>
      <c r="DV283" s="456"/>
      <c r="DW283" s="456"/>
      <c r="DX283" s="456"/>
      <c r="DY283" s="456"/>
      <c r="DZ283" s="456"/>
      <c r="EA283" s="456"/>
      <c r="EB283" s="456"/>
      <c r="EC283" s="456"/>
      <c r="ED283" s="456">
        <v>0</v>
      </c>
      <c r="EE283" s="456">
        <v>2</v>
      </c>
      <c r="EF283" s="456">
        <v>2.5</v>
      </c>
      <c r="EG283" s="456">
        <v>7.5</v>
      </c>
      <c r="EH283" s="423">
        <v>0</v>
      </c>
      <c r="EI283" s="456"/>
      <c r="EJ283" s="456"/>
      <c r="EK283" s="456"/>
      <c r="EL283" s="456"/>
      <c r="EM283" s="456"/>
      <c r="EN283" s="456"/>
      <c r="EO283" s="425"/>
      <c r="EP283" s="425"/>
      <c r="EQ283" s="425" t="s">
        <v>743</v>
      </c>
      <c r="ER283" s="425">
        <v>1</v>
      </c>
      <c r="ES283" s="425">
        <v>2</v>
      </c>
      <c r="ET283" s="425">
        <v>2370</v>
      </c>
      <c r="EU283" s="457">
        <v>4000</v>
      </c>
      <c r="EV283" s="425">
        <v>180</v>
      </c>
      <c r="EW283" s="425">
        <v>7338159</v>
      </c>
      <c r="EX283" s="425">
        <v>46862</v>
      </c>
      <c r="EY283" s="666">
        <v>19.12</v>
      </c>
      <c r="EZ283" s="666">
        <v>19.100000000000001</v>
      </c>
      <c r="FA283" s="666">
        <v>0</v>
      </c>
      <c r="FB283" s="666">
        <v>1.26</v>
      </c>
      <c r="FC283" s="666">
        <v>1.22</v>
      </c>
      <c r="FD283" s="666">
        <v>0.98599999999999999</v>
      </c>
      <c r="FE283" s="666">
        <v>0.96</v>
      </c>
      <c r="FF283" s="666">
        <v>150</v>
      </c>
      <c r="FG283" s="666">
        <v>1.49</v>
      </c>
      <c r="FH283" s="666">
        <v>0.47899999999999998</v>
      </c>
      <c r="FI283" s="666">
        <v>1.03</v>
      </c>
      <c r="FJ283" s="666">
        <v>7.29</v>
      </c>
      <c r="FK283" s="666">
        <v>8</v>
      </c>
      <c r="FL283" s="666">
        <v>7.73</v>
      </c>
      <c r="FM283" s="666">
        <v>7.8</v>
      </c>
      <c r="FN283" s="666">
        <v>0</v>
      </c>
    </row>
    <row r="284" spans="1:170" ht="15">
      <c r="A284" s="425" t="s">
        <v>5</v>
      </c>
      <c r="B284" s="426">
        <v>40813</v>
      </c>
      <c r="C284" s="418">
        <v>0</v>
      </c>
      <c r="D284" s="518">
        <v>0.5</v>
      </c>
      <c r="E284" s="453">
        <v>0</v>
      </c>
      <c r="F284" s="453">
        <v>47</v>
      </c>
      <c r="G284" s="453">
        <v>0.95</v>
      </c>
      <c r="H284" s="519">
        <v>2.0099999999999998</v>
      </c>
      <c r="I284" s="519">
        <v>92.9</v>
      </c>
      <c r="J284" s="453">
        <v>1.35</v>
      </c>
      <c r="K284" s="520">
        <v>1.32</v>
      </c>
      <c r="L284" s="453">
        <v>0</v>
      </c>
      <c r="M284" s="453" t="s">
        <v>742</v>
      </c>
      <c r="N284" s="453">
        <v>1.72</v>
      </c>
      <c r="O284" s="453">
        <v>2.1576398062525093</v>
      </c>
      <c r="P284" s="453">
        <v>1.57</v>
      </c>
      <c r="Q284" s="453">
        <v>2.1555327361293761</v>
      </c>
      <c r="R284" s="453">
        <v>1204.9261822985468</v>
      </c>
      <c r="S284" s="453">
        <v>8.0399999999999991</v>
      </c>
      <c r="T284" s="453">
        <v>7.87</v>
      </c>
      <c r="U284" s="453">
        <v>0.78</v>
      </c>
      <c r="V284" s="453">
        <v>0.77</v>
      </c>
      <c r="W284" s="453">
        <v>59.539999999999992</v>
      </c>
      <c r="X284" s="456">
        <v>59.539999999999992</v>
      </c>
      <c r="Y284" s="453">
        <v>36.270000000000003</v>
      </c>
      <c r="Z284" s="453">
        <v>30.65</v>
      </c>
      <c r="AA284" s="519">
        <v>35.819999999992433</v>
      </c>
      <c r="AB284" s="519">
        <v>30.809999999997672</v>
      </c>
      <c r="AC284" s="732">
        <f t="shared" si="4"/>
        <v>66.629999999990105</v>
      </c>
      <c r="AD284" s="668"/>
      <c r="AE284" s="668"/>
      <c r="AF284" s="668"/>
      <c r="AG284" s="668"/>
      <c r="AH284" s="668"/>
      <c r="AI284" s="668"/>
      <c r="AJ284" s="425"/>
      <c r="AK284" s="425"/>
      <c r="AL284" s="425"/>
      <c r="AM284" s="425"/>
      <c r="AN284" s="425"/>
      <c r="AO284" s="456"/>
      <c r="AP284" s="425"/>
      <c r="AQ284" s="453"/>
      <c r="AR284" s="734">
        <v>0</v>
      </c>
      <c r="AS284" s="453">
        <v>18.2</v>
      </c>
      <c r="AT284" s="734">
        <v>0</v>
      </c>
      <c r="AU284" s="453">
        <v>32</v>
      </c>
      <c r="AV284" s="519">
        <v>0</v>
      </c>
      <c r="AW284" s="519">
        <v>1119.4000000000001</v>
      </c>
      <c r="AX284" s="453">
        <v>3.4</v>
      </c>
      <c r="AY284" s="734">
        <v>0</v>
      </c>
      <c r="AZ284" s="734">
        <v>0</v>
      </c>
      <c r="BA284" s="734">
        <v>0</v>
      </c>
      <c r="BB284" s="453">
        <v>0</v>
      </c>
      <c r="BC284" s="453">
        <v>0.5</v>
      </c>
      <c r="BD284" s="453">
        <v>1.5</v>
      </c>
      <c r="BE284" s="734">
        <v>0</v>
      </c>
      <c r="BF284" s="453">
        <v>0.52</v>
      </c>
      <c r="BG284" s="453">
        <v>0</v>
      </c>
      <c r="BH284" s="734">
        <v>0</v>
      </c>
      <c r="BI284" s="453">
        <v>1.06</v>
      </c>
      <c r="BJ284" s="453">
        <v>27.6</v>
      </c>
      <c r="BK284" s="453">
        <v>3.6</v>
      </c>
      <c r="BL284" s="453">
        <v>3.94</v>
      </c>
      <c r="BM284" s="453">
        <v>0</v>
      </c>
      <c r="BN284" s="453">
        <v>19.8</v>
      </c>
      <c r="BO284" s="453">
        <v>1529.9</v>
      </c>
      <c r="BP284" s="453">
        <v>0</v>
      </c>
      <c r="BQ284" s="453">
        <v>19.7</v>
      </c>
      <c r="BR284" s="453">
        <v>19.7</v>
      </c>
      <c r="BS284" s="453">
        <v>0</v>
      </c>
      <c r="BT284" s="453">
        <v>35</v>
      </c>
      <c r="BU284" s="453">
        <v>29.4</v>
      </c>
      <c r="BV284" s="456">
        <v>729.5</v>
      </c>
      <c r="BW284" s="453">
        <v>1.01</v>
      </c>
      <c r="BX284" s="453">
        <v>1.27</v>
      </c>
      <c r="BY284" s="456">
        <v>0.9</v>
      </c>
      <c r="BZ284" s="456">
        <v>15.45</v>
      </c>
      <c r="CA284" s="456">
        <v>32</v>
      </c>
      <c r="CB284" s="456">
        <v>15.86</v>
      </c>
      <c r="CC284" s="456">
        <v>9.74</v>
      </c>
      <c r="CD284" s="456">
        <v>13.96</v>
      </c>
      <c r="CE284" s="456">
        <v>18.079999999999998</v>
      </c>
      <c r="CF284" s="456">
        <v>13.47</v>
      </c>
      <c r="CG284" s="456">
        <v>559.1</v>
      </c>
      <c r="CH284" s="456">
        <v>2.9</v>
      </c>
      <c r="CI284" s="456">
        <v>4.2</v>
      </c>
      <c r="CJ284" s="456">
        <v>238.8</v>
      </c>
      <c r="CK284" s="456">
        <v>510.8</v>
      </c>
      <c r="CL284" s="456">
        <v>624</v>
      </c>
      <c r="CM284" s="456">
        <v>14.3</v>
      </c>
      <c r="CN284" s="456">
        <v>1.98</v>
      </c>
      <c r="CO284" s="453">
        <v>0</v>
      </c>
      <c r="CP284" s="453">
        <v>16.47</v>
      </c>
      <c r="CQ284" s="453">
        <v>60</v>
      </c>
      <c r="CR284" s="456">
        <v>0</v>
      </c>
      <c r="CS284" s="456">
        <v>0</v>
      </c>
      <c r="CT284" s="456">
        <v>0</v>
      </c>
      <c r="CU284" s="456">
        <v>0</v>
      </c>
      <c r="CV284" s="481">
        <v>649.83333333333337</v>
      </c>
      <c r="CW284" s="481">
        <v>649.72916666666663</v>
      </c>
      <c r="CX284" s="481">
        <v>544.10416666666663</v>
      </c>
      <c r="CY284" s="481">
        <v>1140.8699999999999</v>
      </c>
      <c r="CZ284" s="456"/>
      <c r="DA284" s="456"/>
      <c r="DB284" s="456"/>
      <c r="DC284" s="456"/>
      <c r="DD284" s="456"/>
      <c r="DE284" s="456"/>
      <c r="DF284" s="456"/>
      <c r="DG284" s="425"/>
      <c r="DH284" s="456">
        <v>0</v>
      </c>
      <c r="DI284" s="456">
        <v>0</v>
      </c>
      <c r="DJ284" s="456">
        <v>0.81</v>
      </c>
      <c r="DK284" s="425"/>
      <c r="DL284" s="456"/>
      <c r="DM284" s="456"/>
      <c r="DN284" s="456"/>
      <c r="DO284" s="456"/>
      <c r="DP284" s="456"/>
      <c r="DQ284" s="456"/>
      <c r="DR284" s="456"/>
      <c r="DS284" s="456"/>
      <c r="DT284" s="456"/>
      <c r="DU284" s="456"/>
      <c r="DV284" s="456"/>
      <c r="DW284" s="456"/>
      <c r="DX284" s="456"/>
      <c r="DY284" s="456"/>
      <c r="DZ284" s="456"/>
      <c r="EA284" s="456"/>
      <c r="EB284" s="456"/>
      <c r="EC284" s="456"/>
      <c r="ED284" s="456">
        <v>0</v>
      </c>
      <c r="EE284" s="456">
        <v>2</v>
      </c>
      <c r="EF284" s="456">
        <v>2.5</v>
      </c>
      <c r="EG284" s="456">
        <v>7.5</v>
      </c>
      <c r="EH284" s="423">
        <v>0</v>
      </c>
      <c r="EI284" s="456"/>
      <c r="EJ284" s="456"/>
      <c r="EK284" s="456"/>
      <c r="EL284" s="456"/>
      <c r="EM284" s="456"/>
      <c r="EN284" s="456"/>
      <c r="EO284" s="425"/>
      <c r="EP284" s="425"/>
      <c r="EQ284" s="425" t="s">
        <v>743</v>
      </c>
      <c r="ER284" s="425">
        <v>1</v>
      </c>
      <c r="ES284" s="425">
        <v>2</v>
      </c>
      <c r="ET284" s="425">
        <v>2240</v>
      </c>
      <c r="EU284" s="666">
        <v>4000</v>
      </c>
      <c r="EV284" s="425">
        <v>205</v>
      </c>
      <c r="EW284" s="425">
        <v>7340904</v>
      </c>
      <c r="EX284" s="425">
        <v>48066</v>
      </c>
      <c r="EY284" s="666">
        <v>20.170000000000002</v>
      </c>
      <c r="EZ284" s="666">
        <v>20.14</v>
      </c>
      <c r="FA284" s="666">
        <v>0</v>
      </c>
      <c r="FB284" s="666">
        <v>1.23</v>
      </c>
      <c r="FC284" s="666">
        <v>1.23</v>
      </c>
      <c r="FD284" s="666">
        <v>0.93200000000000005</v>
      </c>
      <c r="FE284" s="666">
        <v>0.92</v>
      </c>
      <c r="FF284" s="666">
        <v>130</v>
      </c>
      <c r="FG284" s="666">
        <v>1.51</v>
      </c>
      <c r="FH284" s="666">
        <v>0.501</v>
      </c>
      <c r="FI284" s="666">
        <v>1.07</v>
      </c>
      <c r="FJ284" s="666">
        <v>7.98</v>
      </c>
      <c r="FK284" s="666">
        <v>8.1</v>
      </c>
      <c r="FL284" s="666">
        <v>7.63</v>
      </c>
      <c r="FM284" s="666">
        <v>7.5</v>
      </c>
      <c r="FN284" s="666">
        <v>0</v>
      </c>
    </row>
    <row r="285" spans="1:170" s="416" customFormat="1" ht="15">
      <c r="A285" s="425" t="s">
        <v>6</v>
      </c>
      <c r="B285" s="426">
        <v>40814</v>
      </c>
      <c r="C285" s="418">
        <v>0</v>
      </c>
      <c r="D285" s="518">
        <v>0.02</v>
      </c>
      <c r="E285" s="453">
        <v>0</v>
      </c>
      <c r="F285" s="453">
        <v>62</v>
      </c>
      <c r="G285" s="453">
        <v>0.85</v>
      </c>
      <c r="H285" s="519">
        <v>1.54</v>
      </c>
      <c r="I285" s="519">
        <v>92.86</v>
      </c>
      <c r="J285" s="483">
        <v>1.33</v>
      </c>
      <c r="K285" s="520">
        <v>1.17</v>
      </c>
      <c r="L285" s="453">
        <v>0</v>
      </c>
      <c r="M285" s="453" t="s">
        <v>742</v>
      </c>
      <c r="N285" s="453">
        <v>1.62</v>
      </c>
      <c r="O285" s="453">
        <v>2.15335634662592</v>
      </c>
      <c r="P285" s="453">
        <v>1.57</v>
      </c>
      <c r="Q285" s="453">
        <v>2.25</v>
      </c>
      <c r="R285" s="453">
        <v>1155.692639365918</v>
      </c>
      <c r="S285" s="453">
        <v>8.01</v>
      </c>
      <c r="T285" s="453">
        <v>7.93</v>
      </c>
      <c r="U285" s="453">
        <v>0.8</v>
      </c>
      <c r="V285" s="453">
        <v>0.79</v>
      </c>
      <c r="W285" s="453">
        <v>59.539999999999992</v>
      </c>
      <c r="X285" s="456">
        <v>59.180000000000007</v>
      </c>
      <c r="Y285" s="453">
        <v>36.159999999999997</v>
      </c>
      <c r="Z285" s="453">
        <v>31.03</v>
      </c>
      <c r="AA285" s="519">
        <v>34.880000000004657</v>
      </c>
      <c r="AB285" s="519">
        <v>29.190000000002328</v>
      </c>
      <c r="AC285" s="732">
        <f t="shared" si="4"/>
        <v>64.070000000006985</v>
      </c>
      <c r="AD285" s="664"/>
      <c r="AE285" s="664"/>
      <c r="AF285" s="664"/>
      <c r="AG285" s="664"/>
      <c r="AH285" s="664"/>
      <c r="AI285" s="664"/>
      <c r="AJ285" s="485"/>
      <c r="AK285" s="485"/>
      <c r="AL285" s="485"/>
      <c r="AM285" s="485"/>
      <c r="AN285" s="485"/>
      <c r="AO285" s="665"/>
      <c r="AP285" s="485"/>
      <c r="AQ285" s="483"/>
      <c r="AR285" s="755">
        <v>0</v>
      </c>
      <c r="AS285" s="483">
        <v>35</v>
      </c>
      <c r="AT285" s="755">
        <v>0</v>
      </c>
      <c r="AU285" s="483">
        <v>30.2</v>
      </c>
      <c r="AV285" s="484">
        <v>700</v>
      </c>
      <c r="AW285" s="786">
        <v>371.3</v>
      </c>
      <c r="AX285" s="453">
        <v>3.2</v>
      </c>
      <c r="AY285" s="734">
        <v>0</v>
      </c>
      <c r="AZ285" s="734">
        <v>0</v>
      </c>
      <c r="BA285" s="734">
        <v>0</v>
      </c>
      <c r="BB285" s="453">
        <v>0</v>
      </c>
      <c r="BC285" s="453">
        <v>0.51</v>
      </c>
      <c r="BD285" s="453">
        <v>1.5</v>
      </c>
      <c r="BE285" s="734">
        <v>0</v>
      </c>
      <c r="BF285" s="453">
        <v>0.49</v>
      </c>
      <c r="BG285" s="453">
        <v>0</v>
      </c>
      <c r="BH285" s="734">
        <v>0</v>
      </c>
      <c r="BI285" s="453">
        <v>1.06</v>
      </c>
      <c r="BJ285" s="453">
        <v>25.9</v>
      </c>
      <c r="BK285" s="453">
        <v>3.2</v>
      </c>
      <c r="BL285" s="453">
        <v>4.34</v>
      </c>
      <c r="BM285" s="453">
        <v>0</v>
      </c>
      <c r="BN285" s="453">
        <v>18.2</v>
      </c>
      <c r="BO285" s="453">
        <v>1656.1</v>
      </c>
      <c r="BP285" s="453">
        <v>0</v>
      </c>
      <c r="BQ285" s="453">
        <v>20</v>
      </c>
      <c r="BR285" s="453">
        <v>20</v>
      </c>
      <c r="BS285" s="453">
        <v>0</v>
      </c>
      <c r="BT285" s="453">
        <v>34.700000000000003</v>
      </c>
      <c r="BU285" s="453">
        <v>30.7</v>
      </c>
      <c r="BV285" s="456">
        <v>409.6</v>
      </c>
      <c r="BW285" s="453">
        <v>1.28</v>
      </c>
      <c r="BX285" s="453">
        <v>1.26</v>
      </c>
      <c r="BY285" s="456">
        <v>0.89</v>
      </c>
      <c r="BZ285" s="456">
        <v>15.02</v>
      </c>
      <c r="CA285" s="456">
        <v>32</v>
      </c>
      <c r="CB285" s="456">
        <v>18.32</v>
      </c>
      <c r="CC285" s="456">
        <v>9.6999999999999993</v>
      </c>
      <c r="CD285" s="456">
        <v>13.92</v>
      </c>
      <c r="CE285" s="456">
        <v>18.04</v>
      </c>
      <c r="CF285" s="456">
        <v>13.11</v>
      </c>
      <c r="CG285" s="456">
        <v>579.6</v>
      </c>
      <c r="CH285" s="456">
        <v>3.6</v>
      </c>
      <c r="CI285" s="456">
        <v>4.7</v>
      </c>
      <c r="CJ285" s="456">
        <v>201.8</v>
      </c>
      <c r="CK285" s="456">
        <v>543.9</v>
      </c>
      <c r="CL285" s="456">
        <v>628.9</v>
      </c>
      <c r="CM285" s="456">
        <v>14.6</v>
      </c>
      <c r="CN285" s="456">
        <v>2.1</v>
      </c>
      <c r="CO285" s="453">
        <v>0</v>
      </c>
      <c r="CP285" s="453">
        <v>17.39</v>
      </c>
      <c r="CQ285" s="453">
        <v>60</v>
      </c>
      <c r="CR285" s="456">
        <v>0</v>
      </c>
      <c r="CS285" s="456">
        <v>0</v>
      </c>
      <c r="CT285" s="456">
        <v>0</v>
      </c>
      <c r="CU285" s="456">
        <v>0</v>
      </c>
      <c r="CV285" s="481">
        <v>662.375</v>
      </c>
      <c r="CW285" s="481">
        <v>732.3125</v>
      </c>
      <c r="CX285" s="481">
        <v>563.21875</v>
      </c>
      <c r="CY285" s="481">
        <v>1139.79</v>
      </c>
      <c r="CZ285" s="456"/>
      <c r="DA285" s="456"/>
      <c r="DB285" s="456"/>
      <c r="DC285" s="456"/>
      <c r="DD285" s="456"/>
      <c r="DE285" s="456"/>
      <c r="DF285" s="456"/>
      <c r="DG285" s="425"/>
      <c r="DH285" s="456">
        <v>0</v>
      </c>
      <c r="DI285" s="456">
        <v>0</v>
      </c>
      <c r="DJ285" s="456">
        <v>0.8</v>
      </c>
      <c r="DK285" s="425"/>
      <c r="DL285" s="456"/>
      <c r="DM285" s="456"/>
      <c r="DN285" s="456"/>
      <c r="DO285" s="456"/>
      <c r="DP285" s="456"/>
      <c r="DQ285" s="456"/>
      <c r="DR285" s="456"/>
      <c r="DS285" s="456"/>
      <c r="DT285" s="456"/>
      <c r="DU285" s="456"/>
      <c r="DV285" s="456"/>
      <c r="DW285" s="456"/>
      <c r="DX285" s="456"/>
      <c r="DY285" s="456"/>
      <c r="DZ285" s="456"/>
      <c r="EA285" s="456"/>
      <c r="EB285" s="456"/>
      <c r="EC285" s="456"/>
      <c r="ED285" s="456">
        <v>0</v>
      </c>
      <c r="EE285" s="456">
        <v>2</v>
      </c>
      <c r="EF285" s="456">
        <v>2.5</v>
      </c>
      <c r="EG285" s="456">
        <v>7.5</v>
      </c>
      <c r="EH285" s="423">
        <v>0</v>
      </c>
      <c r="EI285" s="456"/>
      <c r="EJ285" s="456"/>
      <c r="EK285" s="456"/>
      <c r="EL285" s="456"/>
      <c r="EM285" s="456"/>
      <c r="EN285" s="456"/>
      <c r="EO285" s="425"/>
      <c r="EP285" s="425"/>
      <c r="EQ285" s="425" t="s">
        <v>743</v>
      </c>
      <c r="ER285" s="425">
        <v>1</v>
      </c>
      <c r="ES285" s="425">
        <v>2</v>
      </c>
      <c r="ET285" s="425">
        <v>2060</v>
      </c>
      <c r="EU285" s="457">
        <v>4000</v>
      </c>
      <c r="EV285" s="425">
        <v>160</v>
      </c>
      <c r="EW285" s="425">
        <v>7344092</v>
      </c>
      <c r="EX285" s="425">
        <v>49309</v>
      </c>
      <c r="EY285" s="666">
        <v>19.899999999999999</v>
      </c>
      <c r="EZ285" s="666">
        <v>19.899999999999999</v>
      </c>
      <c r="FA285" s="666">
        <v>0</v>
      </c>
      <c r="FB285" s="666">
        <v>1.22</v>
      </c>
      <c r="FC285" s="666">
        <v>1.25</v>
      </c>
      <c r="FD285" s="666">
        <v>0.92</v>
      </c>
      <c r="FE285" s="666">
        <v>0.95</v>
      </c>
      <c r="FF285" s="666">
        <v>210</v>
      </c>
      <c r="FG285" s="666">
        <v>1.39</v>
      </c>
      <c r="FH285" s="666">
        <v>0.48</v>
      </c>
      <c r="FI285" s="666">
        <v>0.99</v>
      </c>
      <c r="FJ285" s="666">
        <v>8.11</v>
      </c>
      <c r="FK285" s="666">
        <v>8</v>
      </c>
      <c r="FL285" s="666">
        <v>7.61</v>
      </c>
      <c r="FM285" s="666">
        <v>7.4</v>
      </c>
      <c r="FN285" s="666">
        <v>0</v>
      </c>
    </row>
    <row r="286" spans="1:170" s="416" customFormat="1" ht="15">
      <c r="A286" s="425" t="s">
        <v>7</v>
      </c>
      <c r="B286" s="426">
        <v>40815</v>
      </c>
      <c r="C286" s="418">
        <v>0</v>
      </c>
      <c r="D286" s="518">
        <v>0</v>
      </c>
      <c r="E286" s="453">
        <v>0</v>
      </c>
      <c r="F286" s="453">
        <v>59</v>
      </c>
      <c r="G286" s="453">
        <v>0.75</v>
      </c>
      <c r="H286" s="519">
        <v>1.55</v>
      </c>
      <c r="I286" s="519">
        <v>92.44</v>
      </c>
      <c r="J286" s="483">
        <v>1.04</v>
      </c>
      <c r="K286" s="520">
        <v>1.6</v>
      </c>
      <c r="L286" s="453">
        <v>0</v>
      </c>
      <c r="M286" s="453" t="s">
        <v>742</v>
      </c>
      <c r="N286" s="453">
        <v>1.71</v>
      </c>
      <c r="O286" s="453">
        <v>2.2263832140337394</v>
      </c>
      <c r="P286" s="453">
        <v>1.62</v>
      </c>
      <c r="Q286" s="453">
        <v>2.23</v>
      </c>
      <c r="R286" s="453">
        <v>1143.060348745046</v>
      </c>
      <c r="S286" s="453">
        <v>8.1</v>
      </c>
      <c r="T286" s="453">
        <v>7.97</v>
      </c>
      <c r="U286" s="453">
        <v>0.8</v>
      </c>
      <c r="V286" s="453">
        <v>0.78</v>
      </c>
      <c r="W286" s="453">
        <v>59.72</v>
      </c>
      <c r="X286" s="456">
        <v>59.539999999999992</v>
      </c>
      <c r="Y286" s="453">
        <v>33.97</v>
      </c>
      <c r="Z286" s="453">
        <v>27.85</v>
      </c>
      <c r="AA286" s="519">
        <v>34.099999999991269</v>
      </c>
      <c r="AB286" s="519">
        <v>27.370000000002619</v>
      </c>
      <c r="AC286" s="732">
        <f t="shared" si="4"/>
        <v>61.469999999993888</v>
      </c>
      <c r="AD286" s="664"/>
      <c r="AE286" s="664"/>
      <c r="AF286" s="664"/>
      <c r="AG286" s="664"/>
      <c r="AH286" s="664"/>
      <c r="AI286" s="664"/>
      <c r="AJ286" s="485"/>
      <c r="AK286" s="485"/>
      <c r="AL286" s="485"/>
      <c r="AM286" s="485"/>
      <c r="AN286" s="485"/>
      <c r="AO286" s="665"/>
      <c r="AP286" s="485"/>
      <c r="AQ286" s="483"/>
      <c r="AR286" s="755">
        <v>0</v>
      </c>
      <c r="AS286" s="483">
        <v>19</v>
      </c>
      <c r="AT286" s="755">
        <v>0</v>
      </c>
      <c r="AU286" s="483">
        <v>28.9</v>
      </c>
      <c r="AV286" s="484">
        <v>700</v>
      </c>
      <c r="AW286" s="484">
        <v>333</v>
      </c>
      <c r="AX286" s="453">
        <v>0.8</v>
      </c>
      <c r="AY286" s="734">
        <v>0</v>
      </c>
      <c r="AZ286" s="734">
        <v>0</v>
      </c>
      <c r="BA286" s="734">
        <v>0</v>
      </c>
      <c r="BB286" s="453">
        <v>0</v>
      </c>
      <c r="BC286" s="453">
        <v>0.69</v>
      </c>
      <c r="BD286" s="453">
        <v>1.5</v>
      </c>
      <c r="BE286" s="734">
        <v>0</v>
      </c>
      <c r="BF286" s="453">
        <v>0.35</v>
      </c>
      <c r="BG286" s="453">
        <v>0</v>
      </c>
      <c r="BH286" s="734">
        <v>0</v>
      </c>
      <c r="BI286" s="453">
        <v>1.0900000000000001</v>
      </c>
      <c r="BJ286" s="453">
        <v>24.1</v>
      </c>
      <c r="BK286" s="453">
        <v>2.89</v>
      </c>
      <c r="BL286" s="453">
        <v>4.6500000000000004</v>
      </c>
      <c r="BM286" s="453">
        <v>0</v>
      </c>
      <c r="BN286" s="453">
        <v>16.3</v>
      </c>
      <c r="BO286" s="453">
        <v>1364.8</v>
      </c>
      <c r="BP286" s="453">
        <v>0</v>
      </c>
      <c r="BQ286" s="453">
        <v>20</v>
      </c>
      <c r="BR286" s="453">
        <v>20</v>
      </c>
      <c r="BS286" s="453">
        <v>0</v>
      </c>
      <c r="BT286" s="453">
        <v>33</v>
      </c>
      <c r="BU286" s="453">
        <v>30.8</v>
      </c>
      <c r="BV286" s="456">
        <v>681.1</v>
      </c>
      <c r="BW286" s="453">
        <v>0.86</v>
      </c>
      <c r="BX286" s="453">
        <v>1.3</v>
      </c>
      <c r="BY286" s="456">
        <v>0.9</v>
      </c>
      <c r="BZ286" s="456">
        <v>15.69</v>
      </c>
      <c r="CA286" s="456">
        <v>31.7</v>
      </c>
      <c r="CB286" s="456">
        <v>17.05</v>
      </c>
      <c r="CC286" s="456">
        <v>9.61</v>
      </c>
      <c r="CD286" s="456">
        <v>13.84</v>
      </c>
      <c r="CE286" s="456">
        <v>17.940000000000001</v>
      </c>
      <c r="CF286" s="456">
        <v>13.82</v>
      </c>
      <c r="CG286" s="456">
        <v>564.6</v>
      </c>
      <c r="CH286" s="456">
        <v>3</v>
      </c>
      <c r="CI286" s="456">
        <v>4.4000000000000004</v>
      </c>
      <c r="CJ286" s="456">
        <v>202.9</v>
      </c>
      <c r="CK286" s="456">
        <v>512.79999999999995</v>
      </c>
      <c r="CL286" s="456">
        <v>609.5</v>
      </c>
      <c r="CM286" s="456">
        <v>14.5</v>
      </c>
      <c r="CN286" s="456">
        <v>2.0699999999999998</v>
      </c>
      <c r="CO286" s="453">
        <v>0</v>
      </c>
      <c r="CP286" s="453">
        <v>16.93</v>
      </c>
      <c r="CQ286" s="453">
        <v>60</v>
      </c>
      <c r="CR286" s="456">
        <v>0</v>
      </c>
      <c r="CS286" s="456">
        <v>0</v>
      </c>
      <c r="CT286" s="456">
        <v>0</v>
      </c>
      <c r="CU286" s="456">
        <v>0</v>
      </c>
      <c r="CV286" s="481">
        <v>599.125</v>
      </c>
      <c r="CW286" s="481">
        <v>674.73958333333337</v>
      </c>
      <c r="CX286" s="481">
        <v>505.72916666666669</v>
      </c>
      <c r="CY286" s="481">
        <v>1138.76</v>
      </c>
      <c r="CZ286" s="456"/>
      <c r="DA286" s="456"/>
      <c r="DB286" s="456"/>
      <c r="DC286" s="456"/>
      <c r="DD286" s="456"/>
      <c r="DE286" s="456"/>
      <c r="DF286" s="456"/>
      <c r="DG286" s="425"/>
      <c r="DH286" s="456">
        <v>0</v>
      </c>
      <c r="DI286" s="456">
        <v>0</v>
      </c>
      <c r="DJ286" s="456">
        <v>0.74</v>
      </c>
      <c r="DK286" s="425"/>
      <c r="DL286" s="456"/>
      <c r="DM286" s="456"/>
      <c r="DN286" s="456"/>
      <c r="DO286" s="456"/>
      <c r="DP286" s="456"/>
      <c r="DQ286" s="456"/>
      <c r="DR286" s="456"/>
      <c r="DS286" s="456"/>
      <c r="DT286" s="456"/>
      <c r="DU286" s="456"/>
      <c r="DV286" s="456"/>
      <c r="DW286" s="456"/>
      <c r="DX286" s="456"/>
      <c r="DY286" s="456"/>
      <c r="DZ286" s="456"/>
      <c r="EA286" s="456"/>
      <c r="EB286" s="456"/>
      <c r="EC286" s="456"/>
      <c r="ED286" s="456">
        <v>0</v>
      </c>
      <c r="EE286" s="456">
        <v>2</v>
      </c>
      <c r="EF286" s="456">
        <v>2.5</v>
      </c>
      <c r="EG286" s="456">
        <v>7.5</v>
      </c>
      <c r="EH286" s="456">
        <v>0</v>
      </c>
      <c r="EI286" s="456"/>
      <c r="EJ286" s="456"/>
      <c r="EK286" s="456"/>
      <c r="EL286" s="456"/>
      <c r="EM286" s="456"/>
      <c r="EN286" s="456"/>
      <c r="EO286" s="425"/>
      <c r="EP286" s="425"/>
      <c r="EQ286" s="425" t="s">
        <v>743</v>
      </c>
      <c r="ER286" s="425">
        <v>1</v>
      </c>
      <c r="ES286" s="425">
        <v>2</v>
      </c>
      <c r="ET286" s="425">
        <v>1880</v>
      </c>
      <c r="EU286" s="457">
        <v>4000</v>
      </c>
      <c r="EV286" s="425">
        <v>200</v>
      </c>
      <c r="EW286" s="425">
        <v>7347179</v>
      </c>
      <c r="EX286" s="425">
        <v>50555</v>
      </c>
      <c r="EY286" s="666">
        <v>20.02</v>
      </c>
      <c r="EZ286" s="666">
        <v>20.03</v>
      </c>
      <c r="FA286" s="666">
        <v>0</v>
      </c>
      <c r="FB286" s="666">
        <v>1.33</v>
      </c>
      <c r="FC286" s="666">
        <v>1.31</v>
      </c>
      <c r="FD286" s="666">
        <v>0.98</v>
      </c>
      <c r="FE286" s="666">
        <v>0.99</v>
      </c>
      <c r="FF286" s="666">
        <v>150</v>
      </c>
      <c r="FG286" s="666">
        <v>1.38</v>
      </c>
      <c r="FH286" s="666">
        <v>0.49</v>
      </c>
      <c r="FI286" s="666">
        <v>0.86</v>
      </c>
      <c r="FJ286" s="666">
        <v>8.15</v>
      </c>
      <c r="FK286" s="666">
        <v>8.1</v>
      </c>
      <c r="FL286" s="666">
        <v>7.74</v>
      </c>
      <c r="FM286" s="666">
        <v>7.5</v>
      </c>
      <c r="FN286" s="666">
        <v>0</v>
      </c>
    </row>
    <row r="287" spans="1:170" s="416" customFormat="1" ht="15">
      <c r="A287" s="425" t="s">
        <v>8</v>
      </c>
      <c r="B287" s="426">
        <v>40816</v>
      </c>
      <c r="C287" s="418">
        <v>0</v>
      </c>
      <c r="D287" s="518">
        <v>0</v>
      </c>
      <c r="E287" s="453">
        <v>0</v>
      </c>
      <c r="F287" s="453">
        <v>52</v>
      </c>
      <c r="G287" s="453">
        <v>0.75</v>
      </c>
      <c r="H287" s="519">
        <v>1.58</v>
      </c>
      <c r="I287" s="519">
        <v>92.1</v>
      </c>
      <c r="J287" s="483">
        <v>1.1399999999999999</v>
      </c>
      <c r="K287" s="520">
        <v>1.1000000000000001</v>
      </c>
      <c r="L287" s="453">
        <v>0</v>
      </c>
      <c r="M287" s="453" t="s">
        <v>742</v>
      </c>
      <c r="N287" s="453">
        <v>1.71</v>
      </c>
      <c r="O287" s="453">
        <v>2.2000000000000002</v>
      </c>
      <c r="P287" s="453">
        <v>1.62</v>
      </c>
      <c r="Q287" s="453">
        <v>2.2000000000000002</v>
      </c>
      <c r="R287" s="453">
        <v>1118.1199999999999</v>
      </c>
      <c r="S287" s="453">
        <v>8.06</v>
      </c>
      <c r="T287" s="453">
        <v>7.88</v>
      </c>
      <c r="U287" s="453">
        <v>0.79</v>
      </c>
      <c r="V287" s="453">
        <v>0.8</v>
      </c>
      <c r="W287" s="453">
        <v>61.34</v>
      </c>
      <c r="X287" s="456">
        <v>61.16</v>
      </c>
      <c r="Y287" s="453">
        <v>34.22</v>
      </c>
      <c r="Z287" s="453">
        <v>25.72</v>
      </c>
      <c r="AA287" s="519">
        <v>34.31</v>
      </c>
      <c r="AB287" s="519">
        <v>26.1</v>
      </c>
      <c r="AC287" s="732">
        <f t="shared" si="4"/>
        <v>60.410000000000004</v>
      </c>
      <c r="AD287" s="664"/>
      <c r="AE287" s="664"/>
      <c r="AF287" s="664"/>
      <c r="AG287" s="664"/>
      <c r="AH287" s="664"/>
      <c r="AI287" s="664"/>
      <c r="AJ287" s="485"/>
      <c r="AK287" s="485"/>
      <c r="AL287" s="485"/>
      <c r="AM287" s="485"/>
      <c r="AN287" s="485"/>
      <c r="AO287" s="665"/>
      <c r="AP287" s="485"/>
      <c r="AQ287" s="483"/>
      <c r="AR287" s="755">
        <v>0</v>
      </c>
      <c r="AS287" s="483">
        <v>17.600000000000001</v>
      </c>
      <c r="AT287" s="755">
        <v>0</v>
      </c>
      <c r="AU287" s="483">
        <v>28.8</v>
      </c>
      <c r="AV287" s="484">
        <v>700</v>
      </c>
      <c r="AW287" s="484">
        <v>389.5</v>
      </c>
      <c r="AX287" s="453">
        <v>1.5</v>
      </c>
      <c r="AY287" s="734">
        <v>0</v>
      </c>
      <c r="AZ287" s="734">
        <v>0</v>
      </c>
      <c r="BA287" s="734">
        <v>0</v>
      </c>
      <c r="BB287" s="453">
        <v>0</v>
      </c>
      <c r="BC287" s="453">
        <v>1</v>
      </c>
      <c r="BD287" s="453">
        <v>1.5</v>
      </c>
      <c r="BE287" s="734">
        <v>0</v>
      </c>
      <c r="BF287" s="453">
        <v>0</v>
      </c>
      <c r="BG287" s="453">
        <v>0</v>
      </c>
      <c r="BH287" s="734">
        <v>0</v>
      </c>
      <c r="BI287" s="453">
        <v>1.08</v>
      </c>
      <c r="BJ287" s="453">
        <v>22.5</v>
      </c>
      <c r="BK287" s="453">
        <v>3.28</v>
      </c>
      <c r="BL287" s="453">
        <v>4.2699999999999996</v>
      </c>
      <c r="BM287" s="453">
        <v>0</v>
      </c>
      <c r="BN287" s="453">
        <v>14.8</v>
      </c>
      <c r="BO287" s="453">
        <v>1655.8</v>
      </c>
      <c r="BP287" s="453">
        <v>0</v>
      </c>
      <c r="BQ287" s="453">
        <v>20</v>
      </c>
      <c r="BR287" s="453">
        <v>20</v>
      </c>
      <c r="BS287" s="453">
        <v>0</v>
      </c>
      <c r="BT287" s="453">
        <v>33.6</v>
      </c>
      <c r="BU287" s="453">
        <v>31.3</v>
      </c>
      <c r="BV287" s="456">
        <v>401.3</v>
      </c>
      <c r="BW287" s="453">
        <v>0.97</v>
      </c>
      <c r="BX287" s="453">
        <v>1.33</v>
      </c>
      <c r="BY287" s="456">
        <v>0.89</v>
      </c>
      <c r="BZ287" s="456">
        <v>15.67</v>
      </c>
      <c r="CA287" s="456">
        <v>33.200000000000003</v>
      </c>
      <c r="CB287" s="456">
        <v>15.81</v>
      </c>
      <c r="CC287" s="456">
        <v>9.6999999999999993</v>
      </c>
      <c r="CD287" s="456">
        <v>13.92</v>
      </c>
      <c r="CE287" s="456">
        <v>18.04</v>
      </c>
      <c r="CF287" s="456">
        <v>13.6</v>
      </c>
      <c r="CG287" s="456">
        <v>548.29999999999995</v>
      </c>
      <c r="CH287" s="456">
        <v>3.1</v>
      </c>
      <c r="CI287" s="456">
        <v>4.5999999999999996</v>
      </c>
      <c r="CJ287" s="456">
        <v>219.4</v>
      </c>
      <c r="CK287" s="456">
        <v>504.5</v>
      </c>
      <c r="CL287" s="456">
        <v>616.6</v>
      </c>
      <c r="CM287" s="456">
        <v>14.1</v>
      </c>
      <c r="CN287" s="456">
        <v>2.02</v>
      </c>
      <c r="CO287" s="453">
        <v>0</v>
      </c>
      <c r="CP287" s="453">
        <v>16.84</v>
      </c>
      <c r="CQ287" s="453">
        <v>60</v>
      </c>
      <c r="CR287" s="456">
        <v>0</v>
      </c>
      <c r="CS287" s="456">
        <v>0</v>
      </c>
      <c r="CT287" s="456">
        <v>0</v>
      </c>
      <c r="CU287" s="456">
        <v>0</v>
      </c>
      <c r="CV287" s="481">
        <v>573</v>
      </c>
      <c r="CW287" s="481">
        <v>624.58333333333337</v>
      </c>
      <c r="CX287" s="481">
        <v>481.90625</v>
      </c>
      <c r="CY287" s="481">
        <v>1137.73</v>
      </c>
      <c r="CZ287" s="456"/>
      <c r="DA287" s="456"/>
      <c r="DB287" s="456"/>
      <c r="DC287" s="456"/>
      <c r="DD287" s="456"/>
      <c r="DE287" s="456"/>
      <c r="DF287" s="456"/>
      <c r="DG287" s="425"/>
      <c r="DH287" s="456">
        <v>0</v>
      </c>
      <c r="DI287" s="456">
        <v>0</v>
      </c>
      <c r="DJ287" s="456">
        <v>0.79</v>
      </c>
      <c r="DK287" s="425"/>
      <c r="DL287" s="456"/>
      <c r="DM287" s="456"/>
      <c r="DN287" s="456"/>
      <c r="DO287" s="456"/>
      <c r="DP287" s="456"/>
      <c r="DQ287" s="456"/>
      <c r="DR287" s="456"/>
      <c r="DS287" s="456"/>
      <c r="DT287" s="456"/>
      <c r="DU287" s="456"/>
      <c r="DV287" s="456"/>
      <c r="DW287" s="456"/>
      <c r="DX287" s="456"/>
      <c r="DY287" s="456"/>
      <c r="DZ287" s="456"/>
      <c r="EA287" s="456"/>
      <c r="EB287" s="456"/>
      <c r="EC287" s="456"/>
      <c r="ED287" s="456">
        <v>0</v>
      </c>
      <c r="EE287" s="456">
        <v>1</v>
      </c>
      <c r="EF287" s="456">
        <v>2.5</v>
      </c>
      <c r="EG287" s="456">
        <v>7.5</v>
      </c>
      <c r="EH287" s="456">
        <v>0</v>
      </c>
      <c r="EI287" s="456"/>
      <c r="EJ287" s="456"/>
      <c r="EK287" s="456"/>
      <c r="EL287" s="456"/>
      <c r="EM287" s="456"/>
      <c r="EN287" s="456"/>
      <c r="EO287" s="425"/>
      <c r="EP287" s="425"/>
      <c r="EQ287" s="425" t="s">
        <v>743</v>
      </c>
      <c r="ER287" s="425">
        <v>1</v>
      </c>
      <c r="ES287" s="425">
        <v>10</v>
      </c>
      <c r="ET287" s="425">
        <v>1710</v>
      </c>
      <c r="EU287" s="457">
        <v>4000</v>
      </c>
      <c r="EV287" s="425">
        <v>175</v>
      </c>
      <c r="EW287" s="425">
        <v>7350258</v>
      </c>
      <c r="EX287" s="425">
        <v>51821</v>
      </c>
      <c r="EY287" s="666">
        <v>20.2</v>
      </c>
      <c r="EZ287" s="666">
        <v>20.2</v>
      </c>
      <c r="FA287" s="666">
        <v>0</v>
      </c>
      <c r="FB287" s="666">
        <v>1.31</v>
      </c>
      <c r="FC287" s="666">
        <v>1.29</v>
      </c>
      <c r="FD287" s="666">
        <v>0.96</v>
      </c>
      <c r="FE287" s="666">
        <v>0.92</v>
      </c>
      <c r="FF287" s="666">
        <v>170</v>
      </c>
      <c r="FG287" s="666">
        <v>1.21</v>
      </c>
      <c r="FH287" s="666">
        <v>0.51</v>
      </c>
      <c r="FI287" s="666">
        <v>0.91</v>
      </c>
      <c r="FJ287" s="666">
        <v>8.07</v>
      </c>
      <c r="FK287" s="666">
        <v>8</v>
      </c>
      <c r="FL287" s="666">
        <v>7.79</v>
      </c>
      <c r="FM287" s="666">
        <v>7.5</v>
      </c>
      <c r="FN287" s="666">
        <v>0</v>
      </c>
    </row>
    <row r="288" spans="1:170" s="416" customFormat="1" ht="15">
      <c r="A288" s="425" t="s">
        <v>9</v>
      </c>
      <c r="B288" s="426">
        <v>40817</v>
      </c>
      <c r="C288" s="418">
        <v>0</v>
      </c>
      <c r="D288" s="518">
        <v>0.5</v>
      </c>
      <c r="E288" s="453">
        <v>0</v>
      </c>
      <c r="F288" s="453">
        <v>51</v>
      </c>
      <c r="G288" s="453">
        <v>0.75</v>
      </c>
      <c r="H288" s="519">
        <v>1.62</v>
      </c>
      <c r="I288" s="519">
        <v>91.9</v>
      </c>
      <c r="J288" s="483">
        <v>1.34</v>
      </c>
      <c r="K288" s="520">
        <v>1.23</v>
      </c>
      <c r="L288" s="453">
        <v>0</v>
      </c>
      <c r="M288" s="453" t="s">
        <v>742</v>
      </c>
      <c r="N288" s="453">
        <v>1.71</v>
      </c>
      <c r="O288" s="453">
        <v>2.21</v>
      </c>
      <c r="P288" s="453">
        <v>1.63</v>
      </c>
      <c r="Q288" s="453">
        <v>2.21</v>
      </c>
      <c r="R288" s="453">
        <v>1111.32</v>
      </c>
      <c r="S288" s="453">
        <v>8.07</v>
      </c>
      <c r="T288" s="453">
        <v>7.85</v>
      </c>
      <c r="U288" s="453">
        <v>0.79</v>
      </c>
      <c r="V288" s="453">
        <v>0.79</v>
      </c>
      <c r="W288" s="453">
        <v>59.36</v>
      </c>
      <c r="X288" s="456">
        <v>59.18</v>
      </c>
      <c r="Y288" s="453">
        <v>34.31</v>
      </c>
      <c r="Z288" s="453">
        <v>25.93</v>
      </c>
      <c r="AA288" s="519">
        <v>34.19</v>
      </c>
      <c r="AB288" s="519">
        <v>25.9</v>
      </c>
      <c r="AC288" s="732">
        <f t="shared" si="4"/>
        <v>60.089999999999996</v>
      </c>
      <c r="AD288" s="664"/>
      <c r="AE288" s="664"/>
      <c r="AF288" s="664"/>
      <c r="AG288" s="664"/>
      <c r="AH288" s="664"/>
      <c r="AI288" s="664"/>
      <c r="AJ288" s="485"/>
      <c r="AK288" s="485"/>
      <c r="AL288" s="485"/>
      <c r="AM288" s="485"/>
      <c r="AN288" s="485"/>
      <c r="AO288" s="665"/>
      <c r="AP288" s="485"/>
      <c r="AQ288" s="483"/>
      <c r="AR288" s="755">
        <v>0</v>
      </c>
      <c r="AS288" s="483">
        <v>18.7</v>
      </c>
      <c r="AT288" s="755">
        <v>0</v>
      </c>
      <c r="AU288" s="483">
        <v>28.1</v>
      </c>
      <c r="AV288" s="484">
        <v>1100</v>
      </c>
      <c r="AW288" s="484">
        <v>0</v>
      </c>
      <c r="AX288" s="453">
        <v>0</v>
      </c>
      <c r="AY288" s="734">
        <v>0</v>
      </c>
      <c r="AZ288" s="734">
        <v>0</v>
      </c>
      <c r="BA288" s="734">
        <v>0</v>
      </c>
      <c r="BB288" s="453">
        <v>0</v>
      </c>
      <c r="BC288" s="873">
        <v>0.99</v>
      </c>
      <c r="BD288" s="873">
        <v>1.83</v>
      </c>
      <c r="BE288" s="734">
        <v>0</v>
      </c>
      <c r="BF288" s="453">
        <v>0</v>
      </c>
      <c r="BG288" s="453">
        <v>0</v>
      </c>
      <c r="BH288" s="734">
        <v>0</v>
      </c>
      <c r="BI288" s="873">
        <v>1.07</v>
      </c>
      <c r="BJ288" s="453">
        <v>22.2</v>
      </c>
      <c r="BK288" s="873">
        <v>3.61</v>
      </c>
      <c r="BL288" s="873">
        <v>3.93</v>
      </c>
      <c r="BM288" s="453">
        <v>0</v>
      </c>
      <c r="BN288" s="453">
        <v>14.5</v>
      </c>
      <c r="BO288" s="453">
        <v>1440.3</v>
      </c>
      <c r="BP288" s="453">
        <v>0</v>
      </c>
      <c r="BQ288" s="453">
        <v>20.100000000000001</v>
      </c>
      <c r="BR288" s="453">
        <v>20.100000000000001</v>
      </c>
      <c r="BS288" s="453">
        <v>0</v>
      </c>
      <c r="BT288" s="453">
        <v>33.200000000000003</v>
      </c>
      <c r="BU288" s="453">
        <v>30.5</v>
      </c>
      <c r="BV288" s="456">
        <v>573.20000000000005</v>
      </c>
      <c r="BW288" s="453">
        <v>0.89</v>
      </c>
      <c r="BX288" s="453">
        <v>1.34</v>
      </c>
      <c r="BY288" s="456">
        <v>0.9</v>
      </c>
      <c r="BZ288" s="456">
        <v>15.87</v>
      </c>
      <c r="CA288" s="456">
        <v>32.9</v>
      </c>
      <c r="CB288" s="456">
        <v>14.66</v>
      </c>
      <c r="CC288" s="456">
        <v>9.59</v>
      </c>
      <c r="CD288" s="456">
        <v>13.82</v>
      </c>
      <c r="CE288" s="456">
        <v>17.82</v>
      </c>
      <c r="CF288" s="456">
        <v>13.73</v>
      </c>
      <c r="CG288" s="456">
        <v>539.6</v>
      </c>
      <c r="CH288" s="456">
        <v>3.1</v>
      </c>
      <c r="CI288" s="456">
        <v>4.3</v>
      </c>
      <c r="CJ288" s="456">
        <v>157.9</v>
      </c>
      <c r="CK288" s="456">
        <v>523</v>
      </c>
      <c r="CL288" s="456">
        <v>575.79999999999995</v>
      </c>
      <c r="CM288" s="456">
        <v>13.9</v>
      </c>
      <c r="CN288" s="456">
        <v>1.82</v>
      </c>
      <c r="CO288" s="453">
        <v>0</v>
      </c>
      <c r="CP288" s="453">
        <v>16.79</v>
      </c>
      <c r="CQ288" s="453">
        <v>60</v>
      </c>
      <c r="CR288" s="456">
        <v>0</v>
      </c>
      <c r="CS288" s="456">
        <v>0</v>
      </c>
      <c r="CT288" s="456">
        <v>0</v>
      </c>
      <c r="CU288" s="456">
        <v>0</v>
      </c>
      <c r="CV288" s="481">
        <v>570.66666666666663</v>
      </c>
      <c r="CW288" s="481">
        <v>619.83333333333337</v>
      </c>
      <c r="CX288" s="481">
        <v>478.25</v>
      </c>
      <c r="CY288" s="481">
        <v>1136.69</v>
      </c>
      <c r="CZ288" s="456"/>
      <c r="DA288" s="456"/>
      <c r="DB288" s="456"/>
      <c r="DC288" s="456"/>
      <c r="DD288" s="456"/>
      <c r="DE288" s="456"/>
      <c r="DF288" s="456"/>
      <c r="DG288" s="425"/>
      <c r="DH288" s="456">
        <v>0</v>
      </c>
      <c r="DI288" s="456">
        <v>0</v>
      </c>
      <c r="DJ288" s="456">
        <v>0.75</v>
      </c>
      <c r="DK288" s="425"/>
      <c r="DL288" s="456"/>
      <c r="DM288" s="456"/>
      <c r="DN288" s="456"/>
      <c r="DO288" s="456"/>
      <c r="DP288" s="456"/>
      <c r="DQ288" s="456"/>
      <c r="DR288" s="456"/>
      <c r="DS288" s="456"/>
      <c r="DT288" s="456"/>
      <c r="DU288" s="456"/>
      <c r="DV288" s="456"/>
      <c r="DW288" s="456"/>
      <c r="DX288" s="456"/>
      <c r="DY288" s="456"/>
      <c r="DZ288" s="456"/>
      <c r="EA288" s="456"/>
      <c r="EB288" s="456"/>
      <c r="EC288" s="456"/>
      <c r="ED288" s="456">
        <v>0</v>
      </c>
      <c r="EE288" s="456">
        <v>1</v>
      </c>
      <c r="EF288" s="456">
        <v>3</v>
      </c>
      <c r="EG288" s="456">
        <v>7.5</v>
      </c>
      <c r="EH288" s="456">
        <v>0</v>
      </c>
      <c r="EI288" s="456"/>
      <c r="EJ288" s="456"/>
      <c r="EK288" s="456"/>
      <c r="EL288" s="456"/>
      <c r="EM288" s="456"/>
      <c r="EN288" s="456"/>
      <c r="EO288" s="425"/>
      <c r="EP288" s="425"/>
      <c r="EQ288" s="425" t="s">
        <v>743</v>
      </c>
      <c r="ER288" s="425">
        <v>1</v>
      </c>
      <c r="ES288" s="425">
        <v>10</v>
      </c>
      <c r="ET288" s="425">
        <v>1560</v>
      </c>
      <c r="EU288" s="457">
        <v>4000</v>
      </c>
      <c r="EV288" s="425">
        <v>130</v>
      </c>
      <c r="EW288" s="425">
        <v>7353393</v>
      </c>
      <c r="EX288" s="425">
        <v>53078</v>
      </c>
      <c r="EY288" s="666">
        <v>20.149999999999999</v>
      </c>
      <c r="EZ288" s="666">
        <v>20.149999999999999</v>
      </c>
      <c r="FA288" s="666">
        <v>0</v>
      </c>
      <c r="FB288" s="666">
        <v>1.35</v>
      </c>
      <c r="FC288" s="666">
        <v>1.3</v>
      </c>
      <c r="FD288" s="666">
        <v>0.95</v>
      </c>
      <c r="FE288" s="666">
        <v>0.95</v>
      </c>
      <c r="FF288" s="666">
        <v>150</v>
      </c>
      <c r="FG288" s="666">
        <v>1.28</v>
      </c>
      <c r="FH288" s="666">
        <v>0.51</v>
      </c>
      <c r="FI288" s="666">
        <v>0.9</v>
      </c>
      <c r="FJ288" s="666">
        <v>8.0500000000000007</v>
      </c>
      <c r="FK288" s="666">
        <v>8</v>
      </c>
      <c r="FL288" s="666">
        <v>7.82</v>
      </c>
      <c r="FM288" s="666">
        <v>7.5</v>
      </c>
      <c r="FN288" s="666">
        <v>0</v>
      </c>
    </row>
    <row r="289" spans="1:170" s="416" customFormat="1" ht="15">
      <c r="A289" s="425" t="s">
        <v>3</v>
      </c>
      <c r="B289" s="426">
        <v>40818</v>
      </c>
      <c r="C289" s="418">
        <v>0</v>
      </c>
      <c r="D289" s="518">
        <v>0.15</v>
      </c>
      <c r="E289" s="453">
        <v>0</v>
      </c>
      <c r="F289" s="453">
        <v>52</v>
      </c>
      <c r="G289" s="453">
        <v>0.75</v>
      </c>
      <c r="H289" s="519">
        <v>1.68</v>
      </c>
      <c r="I289" s="519">
        <v>92.3</v>
      </c>
      <c r="J289" s="483">
        <v>1.35</v>
      </c>
      <c r="K289" s="520">
        <v>1.27</v>
      </c>
      <c r="L289" s="453">
        <v>0</v>
      </c>
      <c r="M289" s="453" t="s">
        <v>742</v>
      </c>
      <c r="N289" s="453">
        <v>1.74</v>
      </c>
      <c r="O289" s="453">
        <v>2.2457678770201666</v>
      </c>
      <c r="P289" s="453">
        <v>1.64</v>
      </c>
      <c r="Q289" s="453">
        <v>2.2534791557866853</v>
      </c>
      <c r="R289" s="453">
        <v>1132.3714874504622</v>
      </c>
      <c r="S289" s="453">
        <v>8.0500000000000007</v>
      </c>
      <c r="T289" s="453">
        <v>7.89</v>
      </c>
      <c r="U289" s="453">
        <v>0.79</v>
      </c>
      <c r="V289" s="453">
        <v>0.79</v>
      </c>
      <c r="W289" s="453">
        <v>59.72</v>
      </c>
      <c r="X289" s="456">
        <v>59.180000000000007</v>
      </c>
      <c r="Y289" s="453">
        <v>34.31</v>
      </c>
      <c r="Z289" s="453">
        <v>26.03</v>
      </c>
      <c r="AA289" s="519">
        <v>34.130000000004657</v>
      </c>
      <c r="AB289" s="519">
        <v>25.94999999999709</v>
      </c>
      <c r="AC289" s="732">
        <f t="shared" si="4"/>
        <v>60.080000000001746</v>
      </c>
      <c r="AD289" s="664"/>
      <c r="AE289" s="664"/>
      <c r="AF289" s="664"/>
      <c r="AG289" s="664"/>
      <c r="AH289" s="664"/>
      <c r="AI289" s="664"/>
      <c r="AJ289" s="485"/>
      <c r="AK289" s="485"/>
      <c r="AL289" s="485"/>
      <c r="AM289" s="485"/>
      <c r="AN289" s="485"/>
      <c r="AO289" s="665"/>
      <c r="AP289" s="485"/>
      <c r="AQ289" s="483"/>
      <c r="AR289" s="755">
        <v>0</v>
      </c>
      <c r="AS289" s="483">
        <v>18.8</v>
      </c>
      <c r="AT289" s="755">
        <v>0</v>
      </c>
      <c r="AU289" s="483">
        <v>28.2</v>
      </c>
      <c r="AV289" s="484">
        <v>600</v>
      </c>
      <c r="AW289" s="484">
        <v>475</v>
      </c>
      <c r="AX289" s="453">
        <v>0</v>
      </c>
      <c r="AY289" s="734">
        <v>0</v>
      </c>
      <c r="AZ289" s="734">
        <v>0</v>
      </c>
      <c r="BA289" s="734">
        <v>0</v>
      </c>
      <c r="BB289" s="453">
        <v>0</v>
      </c>
      <c r="BC289" s="873">
        <v>0.99</v>
      </c>
      <c r="BD289" s="873">
        <v>2</v>
      </c>
      <c r="BE289" s="734">
        <v>0</v>
      </c>
      <c r="BF289" s="453">
        <v>0</v>
      </c>
      <c r="BG289" s="453">
        <v>0</v>
      </c>
      <c r="BH289" s="734">
        <v>0</v>
      </c>
      <c r="BI289" s="873">
        <v>1.07</v>
      </c>
      <c r="BJ289" s="453">
        <v>22</v>
      </c>
      <c r="BK289" s="873">
        <v>3.24</v>
      </c>
      <c r="BL289" s="873">
        <v>4.3099999999999996</v>
      </c>
      <c r="BM289" s="453">
        <v>0</v>
      </c>
      <c r="BN289" s="453">
        <v>14.3</v>
      </c>
      <c r="BO289" s="453">
        <v>1751.9</v>
      </c>
      <c r="BP289" s="453">
        <v>0</v>
      </c>
      <c r="BQ289" s="453">
        <v>19.899999999999999</v>
      </c>
      <c r="BR289" s="453">
        <v>19.8</v>
      </c>
      <c r="BS289" s="453">
        <v>0</v>
      </c>
      <c r="BT289" s="453">
        <v>33.6</v>
      </c>
      <c r="BU289" s="453">
        <v>32.299999999999997</v>
      </c>
      <c r="BV289" s="456">
        <v>410.8</v>
      </c>
      <c r="BW289" s="453">
        <v>3.43</v>
      </c>
      <c r="BX289" s="453">
        <v>1.36</v>
      </c>
      <c r="BY289" s="456">
        <v>0.9</v>
      </c>
      <c r="BZ289" s="456">
        <v>16.02</v>
      </c>
      <c r="CA289" s="456">
        <v>32.5</v>
      </c>
      <c r="CB289" s="456">
        <v>17.03</v>
      </c>
      <c r="CC289" s="456">
        <v>9.7799999999999994</v>
      </c>
      <c r="CD289" s="456">
        <v>14.01</v>
      </c>
      <c r="CE289" s="456">
        <v>18.13</v>
      </c>
      <c r="CF289" s="456">
        <v>13.83</v>
      </c>
      <c r="CG289" s="456">
        <v>521</v>
      </c>
      <c r="CH289" s="456">
        <v>3.1</v>
      </c>
      <c r="CI289" s="456">
        <v>4.5</v>
      </c>
      <c r="CJ289" s="456">
        <v>300.10000000000002</v>
      </c>
      <c r="CK289" s="456">
        <v>546.6</v>
      </c>
      <c r="CL289" s="456">
        <v>580.29999999999995</v>
      </c>
      <c r="CM289" s="456">
        <v>13.7</v>
      </c>
      <c r="CN289" s="456">
        <v>1.75</v>
      </c>
      <c r="CO289" s="453">
        <v>0</v>
      </c>
      <c r="CP289" s="453">
        <v>16.95</v>
      </c>
      <c r="CQ289" s="453">
        <v>60</v>
      </c>
      <c r="CR289" s="456">
        <v>0</v>
      </c>
      <c r="CS289" s="456">
        <v>0</v>
      </c>
      <c r="CT289" s="456">
        <v>0</v>
      </c>
      <c r="CU289" s="456">
        <v>0</v>
      </c>
      <c r="CV289" s="481">
        <v>565.83333333333337</v>
      </c>
      <c r="CW289" s="481">
        <v>616.5625</v>
      </c>
      <c r="CX289" s="481">
        <v>474.39583333333331</v>
      </c>
      <c r="CY289" s="481">
        <v>1135.6400000000001</v>
      </c>
      <c r="CZ289" s="456"/>
      <c r="DA289" s="456"/>
      <c r="DB289" s="456"/>
      <c r="DC289" s="456"/>
      <c r="DD289" s="456"/>
      <c r="DE289" s="456"/>
      <c r="DF289" s="456"/>
      <c r="DG289" s="425"/>
      <c r="DH289" s="456">
        <v>0</v>
      </c>
      <c r="DI289" s="456">
        <v>0</v>
      </c>
      <c r="DJ289" s="456">
        <v>0.72</v>
      </c>
      <c r="DK289" s="425"/>
      <c r="DL289" s="456"/>
      <c r="DM289" s="456"/>
      <c r="DN289" s="456"/>
      <c r="DO289" s="456"/>
      <c r="DP289" s="456"/>
      <c r="DQ289" s="456"/>
      <c r="DR289" s="456"/>
      <c r="DS289" s="456"/>
      <c r="DT289" s="456"/>
      <c r="DU289" s="456"/>
      <c r="DV289" s="456"/>
      <c r="DW289" s="456"/>
      <c r="DX289" s="456"/>
      <c r="DY289" s="456"/>
      <c r="DZ289" s="456"/>
      <c r="EA289" s="456"/>
      <c r="EB289" s="456"/>
      <c r="EC289" s="456"/>
      <c r="ED289" s="456">
        <v>0</v>
      </c>
      <c r="EE289" s="456">
        <v>1</v>
      </c>
      <c r="EF289" s="456">
        <v>3</v>
      </c>
      <c r="EG289" s="456">
        <v>7.5</v>
      </c>
      <c r="EH289" s="456">
        <v>0</v>
      </c>
      <c r="EI289" s="456"/>
      <c r="EJ289" s="456"/>
      <c r="EK289" s="456"/>
      <c r="EL289" s="456"/>
      <c r="EM289" s="456"/>
      <c r="EN289" s="456"/>
      <c r="EO289" s="425"/>
      <c r="EP289" s="425"/>
      <c r="EQ289" s="425" t="s">
        <v>743</v>
      </c>
      <c r="ER289" s="425">
        <v>1</v>
      </c>
      <c r="ES289" s="425">
        <v>10</v>
      </c>
      <c r="ET289" s="425">
        <v>1400</v>
      </c>
      <c r="EU289" s="457">
        <v>4000</v>
      </c>
      <c r="EV289" s="425">
        <v>170</v>
      </c>
      <c r="EW289" s="425">
        <v>7356866</v>
      </c>
      <c r="EX289" s="425">
        <v>54347</v>
      </c>
      <c r="EY289" s="666">
        <v>20.05</v>
      </c>
      <c r="EZ289" s="666">
        <v>20.05</v>
      </c>
      <c r="FA289" s="666">
        <v>0</v>
      </c>
      <c r="FB289" s="666">
        <v>1.36</v>
      </c>
      <c r="FC289" s="666">
        <v>1.35</v>
      </c>
      <c r="FD289" s="666">
        <v>0.96</v>
      </c>
      <c r="FE289" s="666">
        <v>0.95</v>
      </c>
      <c r="FF289" s="666">
        <v>160</v>
      </c>
      <c r="FG289" s="666">
        <v>1.99</v>
      </c>
      <c r="FH289" s="666">
        <v>0.53</v>
      </c>
      <c r="FI289" s="666">
        <v>1.1000000000000001</v>
      </c>
      <c r="FJ289" s="666">
        <v>8.0299999999999994</v>
      </c>
      <c r="FK289" s="666">
        <v>8</v>
      </c>
      <c r="FL289" s="666">
        <v>7.81</v>
      </c>
      <c r="FM289" s="666">
        <v>9.4</v>
      </c>
      <c r="FN289" s="666">
        <v>0</v>
      </c>
    </row>
    <row r="290" spans="1:170" s="416" customFormat="1" ht="15">
      <c r="A290" s="425" t="s">
        <v>4</v>
      </c>
      <c r="B290" s="426">
        <v>40819</v>
      </c>
      <c r="C290" s="418">
        <v>0</v>
      </c>
      <c r="D290" s="518">
        <v>0.17</v>
      </c>
      <c r="E290" s="453">
        <v>0</v>
      </c>
      <c r="F290" s="453">
        <v>49</v>
      </c>
      <c r="G290" s="453">
        <v>0.75</v>
      </c>
      <c r="H290" s="519">
        <v>1.59</v>
      </c>
      <c r="I290" s="519">
        <v>92</v>
      </c>
      <c r="J290" s="483">
        <v>1.21</v>
      </c>
      <c r="K290" s="520">
        <v>1.24</v>
      </c>
      <c r="L290" s="453">
        <v>0</v>
      </c>
      <c r="M290" s="453" t="s">
        <v>742</v>
      </c>
      <c r="N290" s="453">
        <v>1.73</v>
      </c>
      <c r="O290" s="453">
        <v>2.261853620782952</v>
      </c>
      <c r="P290" s="453">
        <v>1.64</v>
      </c>
      <c r="Q290" s="453">
        <v>2.2641381565805303</v>
      </c>
      <c r="R290" s="453">
        <v>1134.9627265521794</v>
      </c>
      <c r="S290" s="453">
        <v>8.14</v>
      </c>
      <c r="T290" s="453">
        <v>8</v>
      </c>
      <c r="U290" s="453">
        <v>0.78</v>
      </c>
      <c r="V290" s="453">
        <v>0.78</v>
      </c>
      <c r="W290" s="453">
        <v>59.180000000000007</v>
      </c>
      <c r="X290" s="456">
        <v>58.64</v>
      </c>
      <c r="Y290" s="453">
        <v>34.42</v>
      </c>
      <c r="Z290" s="453">
        <v>26.03</v>
      </c>
      <c r="AA290" s="519">
        <v>34.169999999998254</v>
      </c>
      <c r="AB290" s="519">
        <v>25.849999999998545</v>
      </c>
      <c r="AC290" s="732">
        <f t="shared" si="4"/>
        <v>60.019999999996799</v>
      </c>
      <c r="AD290" s="664"/>
      <c r="AE290" s="664"/>
      <c r="AF290" s="664"/>
      <c r="AG290" s="664"/>
      <c r="AH290" s="664"/>
      <c r="AI290" s="664"/>
      <c r="AJ290" s="485"/>
      <c r="AK290" s="485"/>
      <c r="AL290" s="485"/>
      <c r="AM290" s="485"/>
      <c r="AN290" s="485"/>
      <c r="AO290" s="665"/>
      <c r="AP290" s="485"/>
      <c r="AQ290" s="483"/>
      <c r="AR290" s="755">
        <v>0</v>
      </c>
      <c r="AS290" s="483">
        <v>85.4</v>
      </c>
      <c r="AT290" s="755">
        <v>0</v>
      </c>
      <c r="AU290" s="483">
        <v>28.1</v>
      </c>
      <c r="AV290" s="484">
        <v>1100</v>
      </c>
      <c r="AW290" s="484">
        <v>0</v>
      </c>
      <c r="AX290" s="453">
        <v>0.1</v>
      </c>
      <c r="AY290" s="734">
        <v>0</v>
      </c>
      <c r="AZ290" s="734">
        <v>0</v>
      </c>
      <c r="BA290" s="734">
        <v>0</v>
      </c>
      <c r="BB290" s="453">
        <v>0</v>
      </c>
      <c r="BC290" s="873">
        <v>0.69</v>
      </c>
      <c r="BD290" s="873">
        <v>1.69</v>
      </c>
      <c r="BE290" s="734">
        <v>0</v>
      </c>
      <c r="BF290" s="873">
        <v>0.33</v>
      </c>
      <c r="BG290" s="453">
        <v>0</v>
      </c>
      <c r="BH290" s="734">
        <v>0</v>
      </c>
      <c r="BI290" s="873">
        <v>1.06</v>
      </c>
      <c r="BJ290" s="453">
        <v>22.3</v>
      </c>
      <c r="BK290" s="873">
        <v>3.26</v>
      </c>
      <c r="BL290" s="873">
        <v>4.28</v>
      </c>
      <c r="BM290" s="453">
        <v>0</v>
      </c>
      <c r="BN290" s="453">
        <v>14.7</v>
      </c>
      <c r="BO290" s="453">
        <v>1395.1</v>
      </c>
      <c r="BP290" s="453">
        <v>0</v>
      </c>
      <c r="BQ290" s="453">
        <v>19.899999999999999</v>
      </c>
      <c r="BR290" s="453">
        <v>19.899999999999999</v>
      </c>
      <c r="BS290" s="453">
        <v>0</v>
      </c>
      <c r="BT290" s="453">
        <v>33.299999999999997</v>
      </c>
      <c r="BU290" s="453">
        <v>30.6</v>
      </c>
      <c r="BV290" s="456">
        <v>566</v>
      </c>
      <c r="BW290" s="453">
        <v>0.94</v>
      </c>
      <c r="BX290" s="453">
        <v>1.38</v>
      </c>
      <c r="BY290" s="456">
        <v>0.9</v>
      </c>
      <c r="BZ290" s="456">
        <v>15.7</v>
      </c>
      <c r="CA290" s="456">
        <v>31.7</v>
      </c>
      <c r="CB290" s="456">
        <v>15.8</v>
      </c>
      <c r="CC290" s="456">
        <v>10.1</v>
      </c>
      <c r="CD290" s="456">
        <v>14.4</v>
      </c>
      <c r="CE290" s="456">
        <v>18.399999999999999</v>
      </c>
      <c r="CF290" s="456">
        <v>13.5</v>
      </c>
      <c r="CG290" s="456">
        <v>525</v>
      </c>
      <c r="CH290" s="456">
        <v>3.3</v>
      </c>
      <c r="CI290" s="456">
        <v>5.3</v>
      </c>
      <c r="CJ290" s="456">
        <v>271.5</v>
      </c>
      <c r="CK290" s="456">
        <v>486.6</v>
      </c>
      <c r="CL290" s="456">
        <v>609</v>
      </c>
      <c r="CM290" s="456">
        <v>13.6</v>
      </c>
      <c r="CN290" s="456">
        <v>1.84</v>
      </c>
      <c r="CO290" s="453">
        <v>0</v>
      </c>
      <c r="CP290" s="453">
        <v>17.239999999999998</v>
      </c>
      <c r="CQ290" s="453">
        <v>60</v>
      </c>
      <c r="CR290" s="456">
        <v>0</v>
      </c>
      <c r="CS290" s="456">
        <v>0</v>
      </c>
      <c r="CT290" s="456">
        <v>0</v>
      </c>
      <c r="CU290" s="456">
        <v>0</v>
      </c>
      <c r="CV290" s="481">
        <v>563.16666666666663</v>
      </c>
      <c r="CW290" s="481">
        <v>625.22916666666663</v>
      </c>
      <c r="CX290" s="481">
        <v>472.38541666666669</v>
      </c>
      <c r="CY290" s="481">
        <v>1134.57</v>
      </c>
      <c r="CZ290" s="456"/>
      <c r="DA290" s="456"/>
      <c r="DB290" s="456"/>
      <c r="DC290" s="456"/>
      <c r="DD290" s="456"/>
      <c r="DE290" s="456"/>
      <c r="DF290" s="456"/>
      <c r="DG290" s="425"/>
      <c r="DH290" s="456">
        <v>0</v>
      </c>
      <c r="DI290" s="456">
        <v>0</v>
      </c>
      <c r="DJ290" s="456">
        <v>0.96</v>
      </c>
      <c r="DK290" s="425"/>
      <c r="DL290" s="456"/>
      <c r="DM290" s="456"/>
      <c r="DN290" s="456"/>
      <c r="DO290" s="456"/>
      <c r="DP290" s="456"/>
      <c r="DQ290" s="456"/>
      <c r="DR290" s="456"/>
      <c r="DS290" s="456"/>
      <c r="DT290" s="456"/>
      <c r="DU290" s="456"/>
      <c r="DV290" s="456"/>
      <c r="DW290" s="456"/>
      <c r="DX290" s="456"/>
      <c r="DY290" s="456"/>
      <c r="DZ290" s="456"/>
      <c r="EA290" s="456"/>
      <c r="EB290" s="456"/>
      <c r="EC290" s="456"/>
      <c r="ED290" s="456">
        <v>0</v>
      </c>
      <c r="EE290" s="456">
        <v>1</v>
      </c>
      <c r="EF290" s="456">
        <v>2.5</v>
      </c>
      <c r="EG290" s="456">
        <v>7.5</v>
      </c>
      <c r="EH290" s="456">
        <v>0</v>
      </c>
      <c r="EI290" s="456"/>
      <c r="EJ290" s="456"/>
      <c r="EK290" s="456"/>
      <c r="EL290" s="456"/>
      <c r="EM290" s="456"/>
      <c r="EN290" s="456"/>
      <c r="EO290" s="425"/>
      <c r="EP290" s="425"/>
      <c r="EQ290" s="425" t="s">
        <v>743</v>
      </c>
      <c r="ER290" s="425">
        <v>1</v>
      </c>
      <c r="ES290" s="425">
        <v>10</v>
      </c>
      <c r="ET290" s="425">
        <v>1255</v>
      </c>
      <c r="EU290" s="457">
        <v>4000</v>
      </c>
      <c r="EV290" s="425">
        <v>160</v>
      </c>
      <c r="EW290" s="425">
        <v>7359613</v>
      </c>
      <c r="EX290" s="425">
        <v>55521</v>
      </c>
      <c r="EY290" s="666">
        <v>20.21</v>
      </c>
      <c r="EZ290" s="666">
        <v>20.2</v>
      </c>
      <c r="FA290" s="666">
        <v>0</v>
      </c>
      <c r="FB290" s="666">
        <v>1.38</v>
      </c>
      <c r="FC290" s="666">
        <v>1.26</v>
      </c>
      <c r="FD290" s="666">
        <v>0.94</v>
      </c>
      <c r="FE290" s="666">
        <v>0.92</v>
      </c>
      <c r="FF290" s="666">
        <v>145</v>
      </c>
      <c r="FG290" s="666">
        <v>1.57</v>
      </c>
      <c r="FH290" s="666">
        <v>0.54300000000000004</v>
      </c>
      <c r="FI290" s="666">
        <v>1.03</v>
      </c>
      <c r="FJ290" s="666">
        <v>8.09</v>
      </c>
      <c r="FK290" s="666">
        <v>7.6</v>
      </c>
      <c r="FL290" s="666">
        <v>7.82</v>
      </c>
      <c r="FM290" s="666">
        <v>7.7</v>
      </c>
      <c r="FN290" s="666">
        <v>0</v>
      </c>
    </row>
    <row r="291" spans="1:170" s="416" customFormat="1" ht="15">
      <c r="A291" s="425" t="s">
        <v>5</v>
      </c>
      <c r="B291" s="426">
        <v>40820</v>
      </c>
      <c r="C291" s="418">
        <v>0</v>
      </c>
      <c r="D291" s="518">
        <v>0.13</v>
      </c>
      <c r="E291" s="453">
        <v>0</v>
      </c>
      <c r="F291" s="453">
        <v>49</v>
      </c>
      <c r="G291" s="453">
        <v>0.8</v>
      </c>
      <c r="H291" s="519">
        <v>1.73</v>
      </c>
      <c r="I291" s="519">
        <v>93.27</v>
      </c>
      <c r="J291" s="483">
        <v>1.31</v>
      </c>
      <c r="K291" s="520">
        <v>1.3</v>
      </c>
      <c r="L291" s="453">
        <v>0</v>
      </c>
      <c r="M291" s="453" t="s">
        <v>742</v>
      </c>
      <c r="N291" s="453">
        <v>1.73</v>
      </c>
      <c r="O291" s="453">
        <v>2.2494330373165474</v>
      </c>
      <c r="P291" s="453">
        <v>1.63</v>
      </c>
      <c r="Q291" s="453">
        <v>2.2540869051750128</v>
      </c>
      <c r="R291" s="453">
        <v>1122.6543408190223</v>
      </c>
      <c r="S291" s="453">
        <v>8.09</v>
      </c>
      <c r="T291" s="453">
        <v>7.8</v>
      </c>
      <c r="U291" s="453">
        <v>0.8</v>
      </c>
      <c r="V291" s="453">
        <v>0.77</v>
      </c>
      <c r="W291" s="453">
        <v>58.64</v>
      </c>
      <c r="X291" s="456">
        <v>58.64</v>
      </c>
      <c r="Y291" s="453">
        <v>34.31</v>
      </c>
      <c r="Z291" s="453">
        <v>25.92</v>
      </c>
      <c r="AA291" s="519">
        <v>34.19999999999709</v>
      </c>
      <c r="AB291" s="519">
        <v>25.30000000000291</v>
      </c>
      <c r="AC291" s="732">
        <f t="shared" si="4"/>
        <v>59.5</v>
      </c>
      <c r="AD291" s="664"/>
      <c r="AE291" s="664"/>
      <c r="AF291" s="664"/>
      <c r="AG291" s="664"/>
      <c r="AH291" s="664"/>
      <c r="AI291" s="664"/>
      <c r="AJ291" s="485"/>
      <c r="AK291" s="485"/>
      <c r="AL291" s="485"/>
      <c r="AM291" s="485"/>
      <c r="AN291" s="485"/>
      <c r="AO291" s="665"/>
      <c r="AP291" s="485"/>
      <c r="AQ291" s="483"/>
      <c r="AR291" s="755">
        <v>0</v>
      </c>
      <c r="AS291" s="483">
        <v>18</v>
      </c>
      <c r="AT291" s="755">
        <v>0</v>
      </c>
      <c r="AU291" s="483">
        <v>29.1</v>
      </c>
      <c r="AV291" s="484">
        <v>700</v>
      </c>
      <c r="AW291" s="484">
        <v>438.1</v>
      </c>
      <c r="AX291" s="453">
        <v>0</v>
      </c>
      <c r="AY291" s="734">
        <v>0</v>
      </c>
      <c r="AZ291" s="734">
        <v>0</v>
      </c>
      <c r="BA291" s="734">
        <v>0</v>
      </c>
      <c r="BB291" s="453">
        <v>0</v>
      </c>
      <c r="BC291" s="873">
        <v>0.51</v>
      </c>
      <c r="BD291" s="873">
        <v>1.49</v>
      </c>
      <c r="BE291" s="734">
        <v>0</v>
      </c>
      <c r="BF291" s="873">
        <v>0.5</v>
      </c>
      <c r="BG291" s="453">
        <v>0</v>
      </c>
      <c r="BH291" s="734">
        <v>0</v>
      </c>
      <c r="BI291" s="873">
        <v>1</v>
      </c>
      <c r="BJ291" s="453">
        <v>21.8</v>
      </c>
      <c r="BK291" s="873">
        <v>3.06</v>
      </c>
      <c r="BL291" s="873">
        <v>4.49</v>
      </c>
      <c r="BM291" s="453">
        <v>0</v>
      </c>
      <c r="BN291" s="453">
        <v>14.2</v>
      </c>
      <c r="BO291" s="453">
        <v>1275.8</v>
      </c>
      <c r="BP291" s="453">
        <v>0</v>
      </c>
      <c r="BQ291" s="453">
        <v>20.3</v>
      </c>
      <c r="BR291" s="453">
        <v>20.3</v>
      </c>
      <c r="BS291" s="453">
        <v>0</v>
      </c>
      <c r="BT291" s="453">
        <v>33.4</v>
      </c>
      <c r="BU291" s="453">
        <v>28.7</v>
      </c>
      <c r="BV291" s="456">
        <v>392.1</v>
      </c>
      <c r="BW291" s="453">
        <v>1</v>
      </c>
      <c r="BX291" s="453">
        <v>1.38</v>
      </c>
      <c r="BY291" s="456">
        <v>0.89</v>
      </c>
      <c r="BZ291" s="456">
        <v>15</v>
      </c>
      <c r="CA291" s="456">
        <v>33</v>
      </c>
      <c r="CB291" s="456">
        <v>14.8</v>
      </c>
      <c r="CC291" s="456">
        <v>9.8000000000000007</v>
      </c>
      <c r="CD291" s="456">
        <v>14.1</v>
      </c>
      <c r="CE291" s="456">
        <v>18.100000000000001</v>
      </c>
      <c r="CF291" s="456">
        <v>13.2</v>
      </c>
      <c r="CG291" s="456">
        <v>535</v>
      </c>
      <c r="CH291" s="456">
        <v>2.8</v>
      </c>
      <c r="CI291" s="456">
        <v>4.7</v>
      </c>
      <c r="CJ291" s="456">
        <v>241.2</v>
      </c>
      <c r="CK291" s="456">
        <v>457.2</v>
      </c>
      <c r="CL291" s="456">
        <v>587.20000000000005</v>
      </c>
      <c r="CM291" s="456">
        <v>13.9</v>
      </c>
      <c r="CN291" s="456">
        <v>1.94</v>
      </c>
      <c r="CO291" s="453">
        <v>0</v>
      </c>
      <c r="CP291" s="453">
        <v>16.989999999999998</v>
      </c>
      <c r="CQ291" s="453">
        <v>60</v>
      </c>
      <c r="CR291" s="456">
        <v>0</v>
      </c>
      <c r="CS291" s="456">
        <v>0</v>
      </c>
      <c r="CT291" s="456">
        <v>0</v>
      </c>
      <c r="CU291" s="456">
        <v>0</v>
      </c>
      <c r="CV291" s="481">
        <v>579.45833333333337</v>
      </c>
      <c r="CW291" s="481">
        <v>620.33333333333337</v>
      </c>
      <c r="CX291" s="481">
        <v>486.42708333333331</v>
      </c>
      <c r="CY291" s="481">
        <v>1133.4000000000001</v>
      </c>
      <c r="CZ291" s="456"/>
      <c r="DA291" s="456"/>
      <c r="DB291" s="456"/>
      <c r="DC291" s="456"/>
      <c r="DD291" s="456"/>
      <c r="DE291" s="456"/>
      <c r="DF291" s="456"/>
      <c r="DG291" s="425"/>
      <c r="DH291" s="456">
        <v>0</v>
      </c>
      <c r="DI291" s="456">
        <v>0</v>
      </c>
      <c r="DJ291" s="456">
        <v>0.82</v>
      </c>
      <c r="DK291" s="425"/>
      <c r="DL291" s="456"/>
      <c r="DM291" s="456"/>
      <c r="DN291" s="456"/>
      <c r="DO291" s="456"/>
      <c r="DP291" s="456"/>
      <c r="DQ291" s="456"/>
      <c r="DR291" s="456"/>
      <c r="DS291" s="456"/>
      <c r="DT291" s="456"/>
      <c r="DU291" s="456"/>
      <c r="DV291" s="456"/>
      <c r="DW291" s="456">
        <v>-1000</v>
      </c>
      <c r="DX291" s="456"/>
      <c r="DY291" s="456"/>
      <c r="DZ291" s="456"/>
      <c r="EA291" s="456"/>
      <c r="EB291" s="456"/>
      <c r="EC291" s="456"/>
      <c r="ED291" s="456">
        <v>0</v>
      </c>
      <c r="EE291" s="456">
        <v>1</v>
      </c>
      <c r="EF291" s="456">
        <v>2.5</v>
      </c>
      <c r="EG291" s="456">
        <v>7.5</v>
      </c>
      <c r="EH291" s="456">
        <v>0</v>
      </c>
      <c r="EI291" s="456"/>
      <c r="EJ291" s="456"/>
      <c r="EK291" s="456"/>
      <c r="EL291" s="456"/>
      <c r="EM291" s="456"/>
      <c r="EN291" s="456"/>
      <c r="EO291" s="425"/>
      <c r="EP291" s="425"/>
      <c r="EQ291" s="425" t="s">
        <v>743</v>
      </c>
      <c r="ER291" s="425">
        <v>1</v>
      </c>
      <c r="ES291" s="425">
        <v>10</v>
      </c>
      <c r="ET291" s="425">
        <v>1140</v>
      </c>
      <c r="EU291" s="457">
        <v>4000</v>
      </c>
      <c r="EV291" s="425">
        <v>200</v>
      </c>
      <c r="EW291" s="425">
        <v>7362557</v>
      </c>
      <c r="EX291" s="425">
        <v>56876</v>
      </c>
      <c r="EY291" s="666">
        <v>20.38</v>
      </c>
      <c r="EZ291" s="666">
        <v>20.38</v>
      </c>
      <c r="FA291" s="666">
        <v>0</v>
      </c>
      <c r="FB291" s="666">
        <v>1.37</v>
      </c>
      <c r="FC291" s="666">
        <v>1.35</v>
      </c>
      <c r="FD291" s="666">
        <v>0.99</v>
      </c>
      <c r="FE291" s="666">
        <v>1.03</v>
      </c>
      <c r="FF291" s="666">
        <v>115</v>
      </c>
      <c r="FG291" s="666">
        <v>1.43</v>
      </c>
      <c r="FH291" s="666">
        <v>1.56</v>
      </c>
      <c r="FI291" s="666">
        <v>1.04</v>
      </c>
      <c r="FJ291" s="666">
        <v>8.0299999999999994</v>
      </c>
      <c r="FK291" s="666">
        <v>8.01</v>
      </c>
      <c r="FL291" s="666">
        <v>7.82</v>
      </c>
      <c r="FM291" s="666">
        <v>7.5</v>
      </c>
      <c r="FN291" s="666">
        <v>0</v>
      </c>
    </row>
    <row r="292" spans="1:170" s="416" customFormat="1" ht="15">
      <c r="A292" s="425" t="s">
        <v>6</v>
      </c>
      <c r="B292" s="426">
        <v>40821</v>
      </c>
      <c r="C292" s="418">
        <v>0</v>
      </c>
      <c r="D292" s="518">
        <v>0.86</v>
      </c>
      <c r="E292" s="453">
        <v>0</v>
      </c>
      <c r="F292" s="453">
        <v>46</v>
      </c>
      <c r="G292" s="453">
        <v>0.9</v>
      </c>
      <c r="H292" s="519">
        <v>1.69</v>
      </c>
      <c r="I292" s="519">
        <v>92.4</v>
      </c>
      <c r="J292" s="483">
        <v>1.19</v>
      </c>
      <c r="K292" s="520">
        <v>1.22</v>
      </c>
      <c r="L292" s="453">
        <v>0</v>
      </c>
      <c r="M292" s="453" t="s">
        <v>742</v>
      </c>
      <c r="N292" s="453">
        <v>1.75</v>
      </c>
      <c r="O292" s="453">
        <v>2.2615817586583189</v>
      </c>
      <c r="P292" s="453">
        <v>1.63</v>
      </c>
      <c r="Q292" s="453">
        <v>2.2606427115759349</v>
      </c>
      <c r="R292" s="453">
        <v>1100.95271334214</v>
      </c>
      <c r="S292" s="453">
        <v>8.01</v>
      </c>
      <c r="T292" s="453">
        <v>7.88</v>
      </c>
      <c r="U292" s="453">
        <v>0.78</v>
      </c>
      <c r="V292" s="453">
        <v>0.78</v>
      </c>
      <c r="W292" s="453">
        <v>58.819999999999993</v>
      </c>
      <c r="X292" s="456">
        <v>58.64</v>
      </c>
      <c r="Y292" s="453">
        <v>34.21</v>
      </c>
      <c r="Z292" s="453">
        <v>24.06</v>
      </c>
      <c r="AA292" s="519">
        <v>34.200000000011642</v>
      </c>
      <c r="AB292" s="519">
        <v>24</v>
      </c>
      <c r="AC292" s="732">
        <f t="shared" si="4"/>
        <v>58.200000000011642</v>
      </c>
      <c r="AD292" s="664"/>
      <c r="AE292" s="664"/>
      <c r="AF292" s="664"/>
      <c r="AG292" s="664"/>
      <c r="AH292" s="664"/>
      <c r="AI292" s="664"/>
      <c r="AJ292" s="485"/>
      <c r="AK292" s="485"/>
      <c r="AL292" s="485"/>
      <c r="AM292" s="485"/>
      <c r="AN292" s="485"/>
      <c r="AO292" s="665"/>
      <c r="AP292" s="485"/>
      <c r="AQ292" s="483"/>
      <c r="AR292" s="755">
        <v>0</v>
      </c>
      <c r="AS292" s="483">
        <v>17.600000000000001</v>
      </c>
      <c r="AT292" s="755">
        <v>0</v>
      </c>
      <c r="AU292" s="483">
        <v>29.3</v>
      </c>
      <c r="AV292" s="484">
        <v>600</v>
      </c>
      <c r="AW292" s="484">
        <v>515</v>
      </c>
      <c r="AX292" s="453">
        <v>0</v>
      </c>
      <c r="AY292" s="734">
        <v>0</v>
      </c>
      <c r="AZ292" s="734">
        <v>0</v>
      </c>
      <c r="BA292" s="734">
        <v>0</v>
      </c>
      <c r="BB292" s="453">
        <v>0</v>
      </c>
      <c r="BC292" s="873">
        <v>0.5</v>
      </c>
      <c r="BD292" s="873">
        <v>1.5</v>
      </c>
      <c r="BE292" s="734">
        <v>0</v>
      </c>
      <c r="BF292" s="873">
        <v>0.56000000000000005</v>
      </c>
      <c r="BG292" s="453">
        <v>0</v>
      </c>
      <c r="BH292" s="734">
        <v>0</v>
      </c>
      <c r="BI292" s="873">
        <v>1</v>
      </c>
      <c r="BJ292" s="453">
        <v>20.5</v>
      </c>
      <c r="BK292" s="873">
        <v>2.9</v>
      </c>
      <c r="BL292" s="873">
        <v>4.6500000000000004</v>
      </c>
      <c r="BM292" s="453">
        <v>0</v>
      </c>
      <c r="BN292" s="453">
        <v>12.8</v>
      </c>
      <c r="BO292" s="453">
        <v>1324.5</v>
      </c>
      <c r="BP292" s="453">
        <v>0</v>
      </c>
      <c r="BQ292" s="453">
        <v>20.2</v>
      </c>
      <c r="BR292" s="453">
        <v>20.2</v>
      </c>
      <c r="BS292" s="453">
        <v>0</v>
      </c>
      <c r="BT292" s="453">
        <v>33.200000000000003</v>
      </c>
      <c r="BU292" s="453">
        <v>30.9</v>
      </c>
      <c r="BV292" s="456">
        <v>398.7</v>
      </c>
      <c r="BW292" s="453">
        <v>3.54</v>
      </c>
      <c r="BX292" s="453">
        <v>1.38</v>
      </c>
      <c r="BY292" s="456">
        <v>0.89</v>
      </c>
      <c r="BZ292" s="456">
        <v>15.2</v>
      </c>
      <c r="CA292" s="456">
        <v>32.1</v>
      </c>
      <c r="CB292" s="456">
        <v>15.3</v>
      </c>
      <c r="CC292" s="456">
        <v>9.6999999999999993</v>
      </c>
      <c r="CD292" s="456">
        <v>14</v>
      </c>
      <c r="CE292" s="456">
        <v>18</v>
      </c>
      <c r="CF292" s="456">
        <v>13</v>
      </c>
      <c r="CG292" s="456">
        <v>529</v>
      </c>
      <c r="CH292" s="456">
        <v>3.3</v>
      </c>
      <c r="CI292" s="456">
        <v>4.7</v>
      </c>
      <c r="CJ292" s="456">
        <v>254.4</v>
      </c>
      <c r="CK292" s="456">
        <v>406.7</v>
      </c>
      <c r="CL292" s="456">
        <v>597</v>
      </c>
      <c r="CM292" s="456">
        <v>13.7</v>
      </c>
      <c r="CN292" s="456">
        <v>1.89</v>
      </c>
      <c r="CO292" s="453">
        <v>0</v>
      </c>
      <c r="CP292" s="453">
        <v>16.75</v>
      </c>
      <c r="CQ292" s="453">
        <v>59</v>
      </c>
      <c r="CR292" s="456">
        <v>0</v>
      </c>
      <c r="CS292" s="456">
        <v>0</v>
      </c>
      <c r="CT292" s="456">
        <v>0</v>
      </c>
      <c r="CU292" s="456">
        <v>0</v>
      </c>
      <c r="CV292" s="481">
        <v>647.375</v>
      </c>
      <c r="CW292" s="481">
        <v>683.91666666666663</v>
      </c>
      <c r="CX292" s="481">
        <v>559.34375</v>
      </c>
      <c r="CY292" s="481">
        <v>1132.1099999999999</v>
      </c>
      <c r="CZ292" s="456"/>
      <c r="DA292" s="456"/>
      <c r="DB292" s="456"/>
      <c r="DC292" s="456"/>
      <c r="DD292" s="456"/>
      <c r="DE292" s="456"/>
      <c r="DF292" s="456"/>
      <c r="DG292" s="425"/>
      <c r="DH292" s="456">
        <v>0</v>
      </c>
      <c r="DI292" s="456">
        <v>0</v>
      </c>
      <c r="DJ292" s="456">
        <v>0.9</v>
      </c>
      <c r="DK292" s="425"/>
      <c r="DL292" s="456"/>
      <c r="DM292" s="456"/>
      <c r="DN292" s="456"/>
      <c r="DO292" s="456"/>
      <c r="DP292" s="456"/>
      <c r="DQ292" s="456"/>
      <c r="DR292" s="456"/>
      <c r="DS292" s="456"/>
      <c r="DT292" s="456"/>
      <c r="DU292" s="456"/>
      <c r="DV292" s="456"/>
      <c r="DW292" s="456"/>
      <c r="DX292" s="456"/>
      <c r="DY292" s="456"/>
      <c r="DZ292" s="456"/>
      <c r="EA292" s="456"/>
      <c r="EB292" s="456"/>
      <c r="EC292" s="456"/>
      <c r="ED292" s="456">
        <v>0</v>
      </c>
      <c r="EE292" s="456">
        <v>1</v>
      </c>
      <c r="EF292" s="456">
        <v>2.5</v>
      </c>
      <c r="EG292" s="456">
        <v>7.5</v>
      </c>
      <c r="EH292" s="456">
        <v>0</v>
      </c>
      <c r="EI292" s="456"/>
      <c r="EJ292" s="456"/>
      <c r="EK292" s="456"/>
      <c r="EL292" s="456"/>
      <c r="EM292" s="456"/>
      <c r="EN292" s="456"/>
      <c r="EO292" s="425"/>
      <c r="EP292" s="425"/>
      <c r="EQ292" s="425" t="s">
        <v>743</v>
      </c>
      <c r="ER292" s="425">
        <v>1</v>
      </c>
      <c r="ES292" s="425">
        <v>10</v>
      </c>
      <c r="ET292" s="425">
        <v>970</v>
      </c>
      <c r="EU292" s="457">
        <v>4000</v>
      </c>
      <c r="EV292" s="425">
        <v>175</v>
      </c>
      <c r="EW292" s="425">
        <v>7365949</v>
      </c>
      <c r="EX292" s="425">
        <v>58214</v>
      </c>
      <c r="EY292" s="666">
        <v>20.079999999999998</v>
      </c>
      <c r="EZ292" s="666">
        <v>20.07</v>
      </c>
      <c r="FA292" s="666">
        <v>0</v>
      </c>
      <c r="FB292" s="666">
        <v>1.35</v>
      </c>
      <c r="FC292" s="666">
        <v>1.26</v>
      </c>
      <c r="FD292" s="666">
        <v>0.99399999999999999</v>
      </c>
      <c r="FE292" s="666">
        <v>0.98</v>
      </c>
      <c r="FF292" s="666">
        <v>170</v>
      </c>
      <c r="FG292" s="666">
        <v>1.52</v>
      </c>
      <c r="FH292" s="666">
        <v>0.56599999999999995</v>
      </c>
      <c r="FI292" s="666">
        <v>1.0900000000000001</v>
      </c>
      <c r="FJ292" s="666">
        <v>7.95</v>
      </c>
      <c r="FK292" s="666">
        <v>8.1</v>
      </c>
      <c r="FL292" s="666">
        <v>7.78</v>
      </c>
      <c r="FM292" s="666">
        <v>7.8</v>
      </c>
      <c r="FN292" s="666">
        <v>0</v>
      </c>
    </row>
    <row r="293" spans="1:170" s="416" customFormat="1" ht="15">
      <c r="A293" s="425" t="s">
        <v>7</v>
      </c>
      <c r="B293" s="426">
        <v>40822</v>
      </c>
      <c r="C293" s="418">
        <v>0</v>
      </c>
      <c r="D293" s="518">
        <v>0.34</v>
      </c>
      <c r="E293" s="453">
        <v>0</v>
      </c>
      <c r="F293" s="453">
        <v>50</v>
      </c>
      <c r="G293" s="453">
        <v>0.9</v>
      </c>
      <c r="H293" s="519">
        <v>1.64</v>
      </c>
      <c r="I293" s="519">
        <v>92</v>
      </c>
      <c r="J293" s="483">
        <v>1.1599999999999999</v>
      </c>
      <c r="K293" s="520">
        <v>1.18</v>
      </c>
      <c r="L293" s="453">
        <v>0</v>
      </c>
      <c r="M293" s="453" t="s">
        <v>742</v>
      </c>
      <c r="N293" s="453">
        <v>1.76</v>
      </c>
      <c r="O293" s="453">
        <v>2.2532455700813494</v>
      </c>
      <c r="P293" s="453">
        <v>1.67</v>
      </c>
      <c r="Q293" s="453">
        <v>2.2533087410586079</v>
      </c>
      <c r="R293" s="453">
        <v>1052.3669801849403</v>
      </c>
      <c r="S293" s="453">
        <v>8.01</v>
      </c>
      <c r="T293" s="453">
        <v>7.86</v>
      </c>
      <c r="U293" s="453">
        <v>0.79</v>
      </c>
      <c r="V293" s="453">
        <v>0.8</v>
      </c>
      <c r="W293" s="453">
        <v>58.460000000000008</v>
      </c>
      <c r="X293" s="456">
        <v>57.739999999999995</v>
      </c>
      <c r="Y293" s="453">
        <v>34.21</v>
      </c>
      <c r="Z293" s="453">
        <v>24.12</v>
      </c>
      <c r="AA293" s="519">
        <v>34.399999999994179</v>
      </c>
      <c r="AB293" s="519">
        <v>21.099999999998545</v>
      </c>
      <c r="AC293" s="732">
        <f t="shared" si="4"/>
        <v>55.499999999992724</v>
      </c>
      <c r="AD293" s="664"/>
      <c r="AE293" s="664"/>
      <c r="AF293" s="664"/>
      <c r="AG293" s="664"/>
      <c r="AH293" s="664"/>
      <c r="AI293" s="664"/>
      <c r="AJ293" s="485"/>
      <c r="AK293" s="485"/>
      <c r="AL293" s="485"/>
      <c r="AM293" s="485"/>
      <c r="AN293" s="485"/>
      <c r="AO293" s="665"/>
      <c r="AP293" s="485"/>
      <c r="AQ293" s="483"/>
      <c r="AR293" s="755">
        <v>0</v>
      </c>
      <c r="AS293" s="483">
        <v>17.7</v>
      </c>
      <c r="AT293" s="755">
        <v>0</v>
      </c>
      <c r="AU293" s="483">
        <v>30.2</v>
      </c>
      <c r="AV293" s="484">
        <v>700</v>
      </c>
      <c r="AW293" s="484">
        <v>366.1</v>
      </c>
      <c r="AX293" s="453">
        <v>0</v>
      </c>
      <c r="AY293" s="734">
        <v>0</v>
      </c>
      <c r="AZ293" s="734">
        <v>0</v>
      </c>
      <c r="BA293" s="734">
        <v>0</v>
      </c>
      <c r="BB293" s="453">
        <v>0</v>
      </c>
      <c r="BC293" s="873">
        <v>0.5</v>
      </c>
      <c r="BD293" s="873">
        <v>1.5</v>
      </c>
      <c r="BE293" s="734">
        <v>0</v>
      </c>
      <c r="BF293" s="873">
        <v>0.48</v>
      </c>
      <c r="BG293" s="453">
        <v>0</v>
      </c>
      <c r="BH293" s="734">
        <v>0</v>
      </c>
      <c r="BI293" s="873">
        <v>1</v>
      </c>
      <c r="BJ293" s="453">
        <v>17.600000000000001</v>
      </c>
      <c r="BK293" s="873">
        <v>3.43</v>
      </c>
      <c r="BL293" s="873">
        <v>4.12</v>
      </c>
      <c r="BM293" s="453">
        <v>0</v>
      </c>
      <c r="BN293" s="453">
        <v>10</v>
      </c>
      <c r="BO293" s="453">
        <v>1262.0999999999999</v>
      </c>
      <c r="BP293" s="453">
        <v>0</v>
      </c>
      <c r="BQ293" s="453">
        <v>19.600000000000001</v>
      </c>
      <c r="BR293" s="453">
        <v>19.600000000000001</v>
      </c>
      <c r="BS293" s="453">
        <v>0</v>
      </c>
      <c r="BT293" s="453">
        <v>33.6</v>
      </c>
      <c r="BU293" s="453">
        <v>34</v>
      </c>
      <c r="BV293" s="456">
        <v>385.9</v>
      </c>
      <c r="BW293" s="453">
        <v>2.13</v>
      </c>
      <c r="BX293" s="453">
        <v>1.36</v>
      </c>
      <c r="BY293" s="456">
        <v>0.9</v>
      </c>
      <c r="BZ293" s="456">
        <v>15.2</v>
      </c>
      <c r="CA293" s="456">
        <v>32</v>
      </c>
      <c r="CB293" s="456">
        <v>17.2</v>
      </c>
      <c r="CC293" s="456">
        <v>9.4</v>
      </c>
      <c r="CD293" s="456">
        <v>13.6</v>
      </c>
      <c r="CE293" s="456">
        <v>17.899999999999999</v>
      </c>
      <c r="CF293" s="456">
        <v>13.2</v>
      </c>
      <c r="CG293" s="456">
        <v>541</v>
      </c>
      <c r="CH293" s="456">
        <v>3.2</v>
      </c>
      <c r="CI293" s="456">
        <v>4.8</v>
      </c>
      <c r="CJ293" s="456">
        <v>293.7</v>
      </c>
      <c r="CK293" s="456">
        <v>409.2</v>
      </c>
      <c r="CL293" s="456">
        <v>575.5</v>
      </c>
      <c r="CM293" s="456">
        <v>13.9</v>
      </c>
      <c r="CN293" s="456">
        <v>1.93</v>
      </c>
      <c r="CO293" s="453">
        <v>0</v>
      </c>
      <c r="CP293" s="453">
        <v>17.29</v>
      </c>
      <c r="CQ293" s="453">
        <v>59</v>
      </c>
      <c r="CR293" s="456">
        <v>0</v>
      </c>
      <c r="CS293" s="456">
        <v>0</v>
      </c>
      <c r="CT293" s="456">
        <v>0</v>
      </c>
      <c r="CU293" s="456">
        <v>0</v>
      </c>
      <c r="CV293" s="481">
        <v>667.08333333333337</v>
      </c>
      <c r="CW293" s="481">
        <v>775.47916666666663</v>
      </c>
      <c r="CX293" s="481">
        <v>582.35416666666663</v>
      </c>
      <c r="CY293" s="481">
        <v>1130.79</v>
      </c>
      <c r="CZ293" s="456"/>
      <c r="DA293" s="456"/>
      <c r="DB293" s="456"/>
      <c r="DC293" s="456"/>
      <c r="DD293" s="456"/>
      <c r="DE293" s="456"/>
      <c r="DF293" s="456"/>
      <c r="DG293" s="425"/>
      <c r="DH293" s="456">
        <v>0</v>
      </c>
      <c r="DI293" s="456">
        <v>0</v>
      </c>
      <c r="DJ293" s="456">
        <v>1.01</v>
      </c>
      <c r="DK293" s="425"/>
      <c r="DL293" s="456"/>
      <c r="DM293" s="456"/>
      <c r="DN293" s="456"/>
      <c r="DO293" s="456"/>
      <c r="DP293" s="456"/>
      <c r="DQ293" s="456"/>
      <c r="DR293" s="456"/>
      <c r="DS293" s="456"/>
      <c r="DT293" s="456"/>
      <c r="DU293" s="456"/>
      <c r="DV293" s="456"/>
      <c r="DW293" s="456"/>
      <c r="DX293" s="456"/>
      <c r="DY293" s="456"/>
      <c r="DZ293" s="456"/>
      <c r="EA293" s="456"/>
      <c r="EB293" s="456"/>
      <c r="EC293" s="456"/>
      <c r="ED293" s="456">
        <v>0</v>
      </c>
      <c r="EE293" s="456">
        <v>1</v>
      </c>
      <c r="EF293" s="456">
        <v>2.5</v>
      </c>
      <c r="EG293" s="456">
        <v>7.5</v>
      </c>
      <c r="EH293" s="456">
        <v>0</v>
      </c>
      <c r="EI293" s="456"/>
      <c r="EJ293" s="456"/>
      <c r="EK293" s="456"/>
      <c r="EL293" s="456"/>
      <c r="EM293" s="456"/>
      <c r="EN293" s="456"/>
      <c r="EO293" s="425"/>
      <c r="EP293" s="425"/>
      <c r="EQ293" s="425" t="s">
        <v>743</v>
      </c>
      <c r="ER293" s="425">
        <v>1</v>
      </c>
      <c r="ES293" s="425">
        <v>10</v>
      </c>
      <c r="ET293" s="425">
        <v>800</v>
      </c>
      <c r="EU293" s="457">
        <v>4000</v>
      </c>
      <c r="EV293" s="425">
        <v>150</v>
      </c>
      <c r="EW293" s="425">
        <v>7369432</v>
      </c>
      <c r="EX293" s="425">
        <v>59485</v>
      </c>
      <c r="EY293" s="666">
        <v>19.36</v>
      </c>
      <c r="EZ293" s="666">
        <v>19.350000000000001</v>
      </c>
      <c r="FA293" s="666">
        <v>0</v>
      </c>
      <c r="FB293" s="666">
        <v>1.34</v>
      </c>
      <c r="FC293" s="666">
        <v>1.27</v>
      </c>
      <c r="FD293" s="666">
        <v>0.92400000000000004</v>
      </c>
      <c r="FE293" s="666">
        <v>0.95</v>
      </c>
      <c r="FF293" s="666">
        <v>170</v>
      </c>
      <c r="FG293" s="666">
        <v>1.51</v>
      </c>
      <c r="FH293" s="666">
        <v>0.56899999999999995</v>
      </c>
      <c r="FI293" s="666">
        <v>1.1299999999999999</v>
      </c>
      <c r="FJ293" s="666">
        <v>7.98</v>
      </c>
      <c r="FK293" s="666">
        <v>8</v>
      </c>
      <c r="FL293" s="666">
        <v>7.85</v>
      </c>
      <c r="FM293" s="666">
        <v>7.7</v>
      </c>
      <c r="FN293" s="666">
        <v>0</v>
      </c>
    </row>
    <row r="294" spans="1:170" s="416" customFormat="1" ht="15">
      <c r="A294" s="425" t="s">
        <v>8</v>
      </c>
      <c r="B294" s="426">
        <v>40823</v>
      </c>
      <c r="C294" s="418">
        <v>0</v>
      </c>
      <c r="D294" s="518">
        <v>0.43</v>
      </c>
      <c r="E294" s="453">
        <v>0</v>
      </c>
      <c r="F294" s="453">
        <v>46</v>
      </c>
      <c r="G294" s="453">
        <v>0.95</v>
      </c>
      <c r="H294" s="519">
        <v>2.0099999999999998</v>
      </c>
      <c r="I294" s="519">
        <v>91.83</v>
      </c>
      <c r="J294" s="483">
        <v>1.81</v>
      </c>
      <c r="K294" s="520">
        <v>1.74</v>
      </c>
      <c r="L294" s="453">
        <v>0</v>
      </c>
      <c r="M294" s="453" t="s">
        <v>742</v>
      </c>
      <c r="N294" s="453">
        <v>1.73</v>
      </c>
      <c r="O294" s="453">
        <v>2.256652198528311</v>
      </c>
      <c r="P294" s="453">
        <v>1.71</v>
      </c>
      <c r="Q294" s="453">
        <v>2.258329663877706</v>
      </c>
      <c r="R294" s="453">
        <v>1001.5139128137383</v>
      </c>
      <c r="S294" s="453">
        <v>8.0500000000000007</v>
      </c>
      <c r="T294" s="453">
        <v>7.94</v>
      </c>
      <c r="U294" s="453">
        <v>0.79</v>
      </c>
      <c r="V294" s="453">
        <v>0.81</v>
      </c>
      <c r="W294" s="453">
        <v>57.019999999999996</v>
      </c>
      <c r="X294" s="456">
        <v>56.84</v>
      </c>
      <c r="Y294" s="453">
        <v>34.21</v>
      </c>
      <c r="Z294" s="453">
        <v>18.52</v>
      </c>
      <c r="AA294" s="519">
        <v>34</v>
      </c>
      <c r="AB294" s="519">
        <v>18.900000000001455</v>
      </c>
      <c r="AC294" s="732">
        <f t="shared" si="4"/>
        <v>52.900000000001455</v>
      </c>
      <c r="AD294" s="664"/>
      <c r="AE294" s="664"/>
      <c r="AF294" s="664"/>
      <c r="AG294" s="664"/>
      <c r="AH294" s="664"/>
      <c r="AI294" s="664"/>
      <c r="AJ294" s="485"/>
      <c r="AK294" s="485"/>
      <c r="AL294" s="485"/>
      <c r="AM294" s="485"/>
      <c r="AN294" s="485"/>
      <c r="AO294" s="665"/>
      <c r="AP294" s="485"/>
      <c r="AQ294" s="483"/>
      <c r="AR294" s="755">
        <v>0</v>
      </c>
      <c r="AS294" s="483">
        <v>17.600000000000001</v>
      </c>
      <c r="AT294" s="755">
        <v>0</v>
      </c>
      <c r="AU294" s="483">
        <v>33</v>
      </c>
      <c r="AV294" s="484">
        <v>393.2</v>
      </c>
      <c r="AW294" s="484">
        <v>445.7</v>
      </c>
      <c r="AX294" s="453">
        <v>0</v>
      </c>
      <c r="AY294" s="734">
        <v>0</v>
      </c>
      <c r="AZ294" s="734">
        <v>0</v>
      </c>
      <c r="BA294" s="734">
        <v>0</v>
      </c>
      <c r="BB294" s="453">
        <v>0</v>
      </c>
      <c r="BC294" s="873">
        <v>0.45</v>
      </c>
      <c r="BD294" s="873">
        <v>1.57</v>
      </c>
      <c r="BE294" s="734">
        <v>0</v>
      </c>
      <c r="BF294" s="873">
        <v>0.55000000000000004</v>
      </c>
      <c r="BG294" s="453">
        <v>0</v>
      </c>
      <c r="BH294" s="734">
        <v>0</v>
      </c>
      <c r="BI294" s="873">
        <v>1.01</v>
      </c>
      <c r="BJ294" s="453">
        <v>15.5</v>
      </c>
      <c r="BK294" s="873">
        <v>3.08</v>
      </c>
      <c r="BL294" s="873">
        <v>3.72</v>
      </c>
      <c r="BM294" s="453">
        <v>0</v>
      </c>
      <c r="BN294" s="453">
        <v>8.6</v>
      </c>
      <c r="BO294" s="453">
        <v>1224.5</v>
      </c>
      <c r="BP294" s="453">
        <v>0</v>
      </c>
      <c r="BQ294" s="453">
        <v>18.8</v>
      </c>
      <c r="BR294" s="453">
        <v>18.8</v>
      </c>
      <c r="BS294" s="453">
        <v>0</v>
      </c>
      <c r="BT294" s="453">
        <v>33.200000000000003</v>
      </c>
      <c r="BU294" s="453">
        <v>34.1</v>
      </c>
      <c r="BV294" s="456">
        <v>460</v>
      </c>
      <c r="BW294" s="453">
        <v>1.02</v>
      </c>
      <c r="BX294" s="453">
        <v>1.36</v>
      </c>
      <c r="BY294" s="456">
        <v>0.89</v>
      </c>
      <c r="BZ294" s="456">
        <v>15.6</v>
      </c>
      <c r="CA294" s="456">
        <v>32.1</v>
      </c>
      <c r="CB294" s="456">
        <v>16.399999999999999</v>
      </c>
      <c r="CC294" s="456">
        <v>9</v>
      </c>
      <c r="CD294" s="456">
        <v>13.3</v>
      </c>
      <c r="CE294" s="456">
        <v>17.3</v>
      </c>
      <c r="CF294" s="456">
        <v>13.3</v>
      </c>
      <c r="CG294" s="456">
        <v>532</v>
      </c>
      <c r="CH294" s="456">
        <v>3.2</v>
      </c>
      <c r="CI294" s="456">
        <v>4.4000000000000004</v>
      </c>
      <c r="CJ294" s="456">
        <v>129.69999999999999</v>
      </c>
      <c r="CK294" s="456">
        <v>401.7</v>
      </c>
      <c r="CL294" s="456">
        <v>581.4</v>
      </c>
      <c r="CM294" s="456">
        <v>13.7</v>
      </c>
      <c r="CN294" s="456">
        <v>1.84</v>
      </c>
      <c r="CO294" s="453">
        <v>0</v>
      </c>
      <c r="CP294" s="453">
        <v>16.649999999999999</v>
      </c>
      <c r="CQ294" s="453">
        <v>59</v>
      </c>
      <c r="CR294" s="456">
        <v>0</v>
      </c>
      <c r="CS294" s="456">
        <v>0</v>
      </c>
      <c r="CT294" s="456">
        <v>0</v>
      </c>
      <c r="CU294" s="456">
        <v>0</v>
      </c>
      <c r="CV294" s="481">
        <v>683.83333333333337</v>
      </c>
      <c r="CW294" s="481">
        <v>768.17708333333337</v>
      </c>
      <c r="CX294" s="481">
        <v>602.34375</v>
      </c>
      <c r="CY294" s="481">
        <v>1129.48</v>
      </c>
      <c r="CZ294" s="456"/>
      <c r="DA294" s="456"/>
      <c r="DB294" s="456"/>
      <c r="DC294" s="456"/>
      <c r="DD294" s="456"/>
      <c r="DE294" s="456"/>
      <c r="DF294" s="456"/>
      <c r="DG294" s="425"/>
      <c r="DH294" s="456">
        <v>0</v>
      </c>
      <c r="DI294" s="456">
        <v>0</v>
      </c>
      <c r="DJ294" s="456">
        <v>0.96</v>
      </c>
      <c r="DK294" s="425"/>
      <c r="DL294" s="456"/>
      <c r="DM294" s="456"/>
      <c r="DN294" s="456"/>
      <c r="DO294" s="456"/>
      <c r="DP294" s="456"/>
      <c r="DQ294" s="456"/>
      <c r="DR294" s="456"/>
      <c r="DS294" s="456"/>
      <c r="DT294" s="456"/>
      <c r="DU294" s="456"/>
      <c r="DV294" s="456"/>
      <c r="DW294" s="456"/>
      <c r="DX294" s="456"/>
      <c r="DY294" s="456"/>
      <c r="DZ294" s="456"/>
      <c r="EA294" s="456"/>
      <c r="EB294" s="456"/>
      <c r="EC294" s="456"/>
      <c r="ED294" s="456"/>
      <c r="EE294" s="456">
        <v>1</v>
      </c>
      <c r="EF294" s="456">
        <v>2.5</v>
      </c>
      <c r="EG294" s="456">
        <v>6.5</v>
      </c>
      <c r="EH294" s="456"/>
      <c r="EI294" s="456"/>
      <c r="EJ294" s="456"/>
      <c r="EK294" s="456"/>
      <c r="EL294" s="456"/>
      <c r="EM294" s="456"/>
      <c r="EN294" s="456"/>
      <c r="EO294" s="425"/>
      <c r="EP294" s="425"/>
      <c r="EQ294" s="425" t="s">
        <v>743</v>
      </c>
      <c r="ER294" s="425">
        <v>1</v>
      </c>
      <c r="ES294" s="425">
        <v>10</v>
      </c>
      <c r="ET294" s="425">
        <v>690</v>
      </c>
      <c r="EU294" s="457">
        <v>4000</v>
      </c>
      <c r="EV294" s="425">
        <v>170</v>
      </c>
      <c r="EW294" s="425">
        <v>7372783</v>
      </c>
      <c r="EX294" s="425">
        <v>60715</v>
      </c>
      <c r="EY294" s="666">
        <v>18.95</v>
      </c>
      <c r="EZ294" s="666">
        <v>18.93</v>
      </c>
      <c r="FA294" s="666">
        <v>0</v>
      </c>
      <c r="FB294" s="666">
        <v>1.34</v>
      </c>
      <c r="FC294" s="666">
        <v>1.21</v>
      </c>
      <c r="FD294" s="666">
        <v>0.96099999999999997</v>
      </c>
      <c r="FE294" s="666">
        <v>0.97</v>
      </c>
      <c r="FF294" s="666">
        <v>110</v>
      </c>
      <c r="FG294" s="666">
        <v>1.71</v>
      </c>
      <c r="FH294" s="666">
        <v>0.59299999999999997</v>
      </c>
      <c r="FI294" s="666">
        <v>1.07</v>
      </c>
      <c r="FJ294" s="666">
        <v>8.0399999999999991</v>
      </c>
      <c r="FK294" s="666">
        <v>8.1999999999999993</v>
      </c>
      <c r="FL294" s="666">
        <v>7.78</v>
      </c>
      <c r="FM294" s="666">
        <v>7.7</v>
      </c>
      <c r="FN294" s="666">
        <v>0</v>
      </c>
    </row>
    <row r="295" spans="1:170" s="416" customFormat="1" ht="15">
      <c r="A295" s="425" t="s">
        <v>9</v>
      </c>
      <c r="B295" s="426">
        <v>40824</v>
      </c>
      <c r="C295" s="418">
        <v>0</v>
      </c>
      <c r="D295" s="518">
        <v>0</v>
      </c>
      <c r="E295" s="453">
        <v>0</v>
      </c>
      <c r="F295" s="453">
        <v>52</v>
      </c>
      <c r="G295" s="453">
        <v>0.95</v>
      </c>
      <c r="H295" s="519">
        <v>1.66</v>
      </c>
      <c r="I295" s="519">
        <v>93.12</v>
      </c>
      <c r="J295" s="483">
        <v>1.21</v>
      </c>
      <c r="K295" s="520">
        <v>1.18</v>
      </c>
      <c r="L295" s="453">
        <v>0</v>
      </c>
      <c r="M295" s="453" t="s">
        <v>742</v>
      </c>
      <c r="N295" s="453">
        <v>1.73</v>
      </c>
      <c r="O295" s="453">
        <v>2.2565316307056795</v>
      </c>
      <c r="P295" s="453">
        <v>1.73</v>
      </c>
      <c r="Q295" s="453">
        <v>2.2550160111215027</v>
      </c>
      <c r="R295" s="453">
        <v>1009.6115350066049</v>
      </c>
      <c r="S295" s="453">
        <v>8.0299999999999994</v>
      </c>
      <c r="T295" s="453">
        <v>7.7</v>
      </c>
      <c r="U295" s="453">
        <v>0.8</v>
      </c>
      <c r="V295" s="453">
        <v>0.8</v>
      </c>
      <c r="W295" s="453">
        <v>56.660000000000011</v>
      </c>
      <c r="X295" s="456">
        <v>56.660000000000011</v>
      </c>
      <c r="Y295" s="453">
        <v>34.21</v>
      </c>
      <c r="Z295" s="453">
        <v>19.010000000000002</v>
      </c>
      <c r="AA295" s="519">
        <v>34.19999999999709</v>
      </c>
      <c r="AB295" s="519">
        <v>19</v>
      </c>
      <c r="AC295" s="732">
        <f t="shared" si="4"/>
        <v>53.19999999999709</v>
      </c>
      <c r="AD295" s="664"/>
      <c r="AE295" s="664"/>
      <c r="AF295" s="664"/>
      <c r="AG295" s="664"/>
      <c r="AH295" s="664"/>
      <c r="AI295" s="664"/>
      <c r="AJ295" s="485"/>
      <c r="AK295" s="485"/>
      <c r="AL295" s="485"/>
      <c r="AM295" s="485"/>
      <c r="AN295" s="485"/>
      <c r="AO295" s="665"/>
      <c r="AP295" s="485"/>
      <c r="AQ295" s="483"/>
      <c r="AR295" s="755">
        <v>0</v>
      </c>
      <c r="AS295" s="483">
        <v>17.7</v>
      </c>
      <c r="AT295" s="755">
        <v>0</v>
      </c>
      <c r="AU295" s="483">
        <v>35.299999999999997</v>
      </c>
      <c r="AV295" s="484">
        <v>775.3</v>
      </c>
      <c r="AW295" s="484">
        <v>2.1</v>
      </c>
      <c r="AX295" s="453">
        <v>0</v>
      </c>
      <c r="AY295" s="734">
        <v>0</v>
      </c>
      <c r="AZ295" s="734">
        <v>0</v>
      </c>
      <c r="BA295" s="734">
        <v>0</v>
      </c>
      <c r="BB295" s="453">
        <v>0</v>
      </c>
      <c r="BC295" s="873">
        <v>0.49</v>
      </c>
      <c r="BD295" s="873">
        <v>1.5</v>
      </c>
      <c r="BE295" s="734">
        <v>0</v>
      </c>
      <c r="BF295" s="873">
        <v>0.5</v>
      </c>
      <c r="BG295" s="453">
        <v>0</v>
      </c>
      <c r="BH295" s="734">
        <v>0</v>
      </c>
      <c r="BI295" s="873">
        <v>1</v>
      </c>
      <c r="BJ295" s="453">
        <v>15.5</v>
      </c>
      <c r="BK295" s="873">
        <v>2.68</v>
      </c>
      <c r="BL295" s="873">
        <v>3.84</v>
      </c>
      <c r="BM295" s="453">
        <v>0</v>
      </c>
      <c r="BN295" s="453">
        <v>8.9</v>
      </c>
      <c r="BO295" s="453">
        <v>1329.1</v>
      </c>
      <c r="BP295" s="453">
        <v>0</v>
      </c>
      <c r="BQ295" s="453">
        <v>18.5</v>
      </c>
      <c r="BR295" s="453">
        <v>18.5</v>
      </c>
      <c r="BS295" s="453">
        <v>0</v>
      </c>
      <c r="BT295" s="453">
        <v>33.4</v>
      </c>
      <c r="BU295" s="453">
        <v>32.5</v>
      </c>
      <c r="BV295" s="456">
        <v>491.1</v>
      </c>
      <c r="BW295" s="453">
        <v>1.08</v>
      </c>
      <c r="BX295" s="453">
        <v>1.34</v>
      </c>
      <c r="BY295" s="456">
        <v>0.89</v>
      </c>
      <c r="BZ295" s="456">
        <v>15.3</v>
      </c>
      <c r="CA295" s="456">
        <v>32.5</v>
      </c>
      <c r="CB295" s="456">
        <v>15.5</v>
      </c>
      <c r="CC295" s="456">
        <v>8.5</v>
      </c>
      <c r="CD295" s="456">
        <v>12.7</v>
      </c>
      <c r="CE295" s="456">
        <v>16.8</v>
      </c>
      <c r="CF295" s="456">
        <v>13.1</v>
      </c>
      <c r="CG295" s="456">
        <v>493</v>
      </c>
      <c r="CH295" s="456">
        <v>2.7</v>
      </c>
      <c r="CI295" s="456">
        <v>4.3</v>
      </c>
      <c r="CJ295" s="456">
        <v>206</v>
      </c>
      <c r="CK295" s="456">
        <v>435.5</v>
      </c>
      <c r="CL295" s="456">
        <v>549.1</v>
      </c>
      <c r="CM295" s="456">
        <v>12.8</v>
      </c>
      <c r="CN295" s="456">
        <v>1.7</v>
      </c>
      <c r="CO295" s="453">
        <v>0</v>
      </c>
      <c r="CP295" s="453">
        <v>16.18</v>
      </c>
      <c r="CQ295" s="453">
        <v>59</v>
      </c>
      <c r="CR295" s="456">
        <v>0</v>
      </c>
      <c r="CS295" s="456">
        <v>0</v>
      </c>
      <c r="CT295" s="456">
        <v>0</v>
      </c>
      <c r="CU295" s="456">
        <v>0</v>
      </c>
      <c r="CV295" s="481">
        <v>709.83333333333337</v>
      </c>
      <c r="CW295" s="481">
        <v>809.5</v>
      </c>
      <c r="CX295" s="481">
        <v>630.28125</v>
      </c>
      <c r="CY295" s="481">
        <v>1128.02</v>
      </c>
      <c r="CZ295" s="456"/>
      <c r="DA295" s="456"/>
      <c r="DB295" s="456"/>
      <c r="DC295" s="456"/>
      <c r="DD295" s="456"/>
      <c r="DE295" s="456"/>
      <c r="DF295" s="456"/>
      <c r="DG295" s="425"/>
      <c r="DH295" s="456">
        <v>0</v>
      </c>
      <c r="DI295" s="456">
        <v>0</v>
      </c>
      <c r="DJ295" s="456">
        <v>0.98</v>
      </c>
      <c r="DK295" s="425"/>
      <c r="DL295" s="456"/>
      <c r="DM295" s="456"/>
      <c r="DN295" s="456"/>
      <c r="DO295" s="456"/>
      <c r="DP295" s="456"/>
      <c r="DQ295" s="456"/>
      <c r="DR295" s="456"/>
      <c r="DS295" s="456"/>
      <c r="DT295" s="456"/>
      <c r="DU295" s="456"/>
      <c r="DV295" s="456"/>
      <c r="DW295" s="456"/>
      <c r="DX295" s="456"/>
      <c r="DY295" s="456"/>
      <c r="DZ295" s="456"/>
      <c r="EA295" s="456"/>
      <c r="EB295" s="456"/>
      <c r="EC295" s="456"/>
      <c r="ED295" s="456"/>
      <c r="EE295" s="456">
        <v>1</v>
      </c>
      <c r="EF295" s="456">
        <v>2.5</v>
      </c>
      <c r="EG295" s="456">
        <v>6.5</v>
      </c>
      <c r="EH295" s="456"/>
      <c r="EI295" s="456"/>
      <c r="EJ295" s="456"/>
      <c r="EK295" s="456"/>
      <c r="EL295" s="456"/>
      <c r="EM295" s="456"/>
      <c r="EN295" s="456"/>
      <c r="EO295" s="425"/>
      <c r="EP295" s="425"/>
      <c r="EQ295" s="425" t="s">
        <v>743</v>
      </c>
      <c r="ER295" s="425">
        <v>1</v>
      </c>
      <c r="ES295" s="425">
        <v>10</v>
      </c>
      <c r="ET295" s="425">
        <v>510</v>
      </c>
      <c r="EU295" s="457">
        <v>4000</v>
      </c>
      <c r="EV295" s="425">
        <v>215</v>
      </c>
      <c r="EW295" s="425">
        <v>7376285</v>
      </c>
      <c r="EX295" s="425">
        <v>61946</v>
      </c>
      <c r="EY295" s="666">
        <v>18.440000000000001</v>
      </c>
      <c r="EZ295" s="666">
        <v>18.43</v>
      </c>
      <c r="FA295" s="666">
        <v>0</v>
      </c>
      <c r="FB295" s="666">
        <v>1.32</v>
      </c>
      <c r="FC295" s="666">
        <v>1.22</v>
      </c>
      <c r="FD295" s="666">
        <v>0.96699999999999997</v>
      </c>
      <c r="FE295" s="666">
        <v>0.97</v>
      </c>
      <c r="FF295" s="666">
        <v>180</v>
      </c>
      <c r="FG295" s="666">
        <v>1.5</v>
      </c>
      <c r="FH295" s="666">
        <v>0.58899999999999997</v>
      </c>
      <c r="FI295" s="666">
        <v>1.25</v>
      </c>
      <c r="FJ295" s="666">
        <v>8.1199999999999992</v>
      </c>
      <c r="FK295" s="666">
        <v>8.1</v>
      </c>
      <c r="FL295" s="666">
        <v>7.81</v>
      </c>
      <c r="FM295" s="666">
        <v>7.8</v>
      </c>
      <c r="FN295" s="666">
        <v>0</v>
      </c>
    </row>
    <row r="296" spans="1:170" s="416" customFormat="1" ht="15">
      <c r="A296" s="425" t="s">
        <v>3</v>
      </c>
      <c r="B296" s="426">
        <v>40825</v>
      </c>
      <c r="C296" s="418">
        <v>0</v>
      </c>
      <c r="D296" s="518">
        <v>0.23</v>
      </c>
      <c r="E296" s="453">
        <v>0</v>
      </c>
      <c r="F296" s="453">
        <v>51</v>
      </c>
      <c r="G296" s="453">
        <v>0.95</v>
      </c>
      <c r="H296" s="519">
        <v>1.64</v>
      </c>
      <c r="I296" s="519">
        <v>88.6</v>
      </c>
      <c r="J296" s="483">
        <v>1.28</v>
      </c>
      <c r="K296" s="520">
        <v>1.23</v>
      </c>
      <c r="L296" s="453">
        <v>0</v>
      </c>
      <c r="M296" s="453" t="s">
        <v>742</v>
      </c>
      <c r="N296" s="453">
        <v>1.69</v>
      </c>
      <c r="O296" s="453">
        <v>2.248842878549898</v>
      </c>
      <c r="P296" s="453">
        <v>1.69</v>
      </c>
      <c r="Q296" s="453">
        <v>2.2566641173607724</v>
      </c>
      <c r="R296" s="453">
        <v>1005.4007714663142</v>
      </c>
      <c r="S296" s="453">
        <v>8.15</v>
      </c>
      <c r="T296" s="453">
        <v>7.95</v>
      </c>
      <c r="U296" s="453">
        <v>0.73</v>
      </c>
      <c r="V296" s="453">
        <v>0.77</v>
      </c>
      <c r="W296" s="453">
        <v>56.480000000000004</v>
      </c>
      <c r="X296" s="456">
        <v>56.120000000000005</v>
      </c>
      <c r="Y296" s="453">
        <v>34.11</v>
      </c>
      <c r="Z296" s="453">
        <v>19.010000000000002</v>
      </c>
      <c r="AA296" s="519">
        <v>34.19999999999709</v>
      </c>
      <c r="AB296" s="519">
        <v>19</v>
      </c>
      <c r="AC296" s="732">
        <f t="shared" si="4"/>
        <v>53.19999999999709</v>
      </c>
      <c r="AD296" s="664"/>
      <c r="AE296" s="664"/>
      <c r="AF296" s="664"/>
      <c r="AG296" s="664"/>
      <c r="AH296" s="664"/>
      <c r="AI296" s="664"/>
      <c r="AJ296" s="485"/>
      <c r="AK296" s="485"/>
      <c r="AL296" s="485"/>
      <c r="AM296" s="485"/>
      <c r="AN296" s="485"/>
      <c r="AO296" s="665"/>
      <c r="AP296" s="485"/>
      <c r="AQ296" s="483"/>
      <c r="AR296" s="755">
        <v>0</v>
      </c>
      <c r="AS296" s="483">
        <v>18.899999999999999</v>
      </c>
      <c r="AT296" s="755">
        <v>0</v>
      </c>
      <c r="AU296" s="483">
        <v>35.299999999999997</v>
      </c>
      <c r="AV296" s="484">
        <v>573.70000000000005</v>
      </c>
      <c r="AW296" s="484">
        <v>2.2999999999999998</v>
      </c>
      <c r="AX296" s="453">
        <v>0</v>
      </c>
      <c r="AY296" s="734">
        <v>0</v>
      </c>
      <c r="AZ296" s="734">
        <v>0</v>
      </c>
      <c r="BA296" s="734">
        <v>0</v>
      </c>
      <c r="BB296" s="453">
        <v>0</v>
      </c>
      <c r="BC296" s="873">
        <v>0.5</v>
      </c>
      <c r="BD296" s="873">
        <v>1.5</v>
      </c>
      <c r="BE296" s="734">
        <v>0</v>
      </c>
      <c r="BF296" s="873">
        <v>0.56999999999999995</v>
      </c>
      <c r="BG296" s="453">
        <v>0</v>
      </c>
      <c r="BH296" s="734">
        <v>0</v>
      </c>
      <c r="BI296" s="873">
        <v>1</v>
      </c>
      <c r="BJ296" s="453">
        <v>15.5</v>
      </c>
      <c r="BK296" s="873">
        <v>2.89</v>
      </c>
      <c r="BL296" s="873">
        <v>3.65</v>
      </c>
      <c r="BM296" s="453">
        <v>0</v>
      </c>
      <c r="BN296" s="453">
        <v>8.9</v>
      </c>
      <c r="BO296" s="453">
        <v>1761.5</v>
      </c>
      <c r="BP296" s="453">
        <v>0</v>
      </c>
      <c r="BQ296" s="453">
        <v>18.2</v>
      </c>
      <c r="BR296" s="453">
        <v>18.2</v>
      </c>
      <c r="BS296" s="453">
        <v>0</v>
      </c>
      <c r="BT296" s="453">
        <v>33.5</v>
      </c>
      <c r="BU296" s="453">
        <v>32.299999999999997</v>
      </c>
      <c r="BV296" s="456">
        <v>410.8</v>
      </c>
      <c r="BW296" s="453">
        <v>1.08</v>
      </c>
      <c r="BX296" s="453">
        <v>1.33</v>
      </c>
      <c r="BY296" s="456">
        <v>0.9</v>
      </c>
      <c r="BZ296" s="456">
        <v>15.1</v>
      </c>
      <c r="CA296" s="456">
        <v>32.1</v>
      </c>
      <c r="CB296" s="456">
        <v>14.5</v>
      </c>
      <c r="CC296" s="456">
        <v>9.9</v>
      </c>
      <c r="CD296" s="456">
        <v>14</v>
      </c>
      <c r="CE296" s="456">
        <v>18.399999999999999</v>
      </c>
      <c r="CF296" s="456">
        <v>13.1</v>
      </c>
      <c r="CG296" s="456">
        <v>510</v>
      </c>
      <c r="CH296" s="456">
        <v>2</v>
      </c>
      <c r="CI296" s="456">
        <v>3.1</v>
      </c>
      <c r="CJ296" s="456">
        <v>269</v>
      </c>
      <c r="CK296" s="456">
        <v>450.8</v>
      </c>
      <c r="CL296" s="456">
        <v>554.70000000000005</v>
      </c>
      <c r="CM296" s="456">
        <v>13.2</v>
      </c>
      <c r="CN296" s="456">
        <v>1.6</v>
      </c>
      <c r="CO296" s="453">
        <v>0</v>
      </c>
      <c r="CP296" s="453">
        <v>15.75</v>
      </c>
      <c r="CQ296" s="453">
        <v>58</v>
      </c>
      <c r="CR296" s="456">
        <v>0</v>
      </c>
      <c r="CS296" s="456">
        <v>0</v>
      </c>
      <c r="CT296" s="456">
        <v>0</v>
      </c>
      <c r="CU296" s="456">
        <v>0</v>
      </c>
      <c r="CV296" s="481">
        <v>704.33333333333337</v>
      </c>
      <c r="CW296" s="481">
        <v>801.9375</v>
      </c>
      <c r="CX296" s="481">
        <v>622.95833333333337</v>
      </c>
      <c r="CY296" s="481">
        <v>1126.43</v>
      </c>
      <c r="CZ296" s="456"/>
      <c r="DA296" s="456"/>
      <c r="DB296" s="456"/>
      <c r="DC296" s="456"/>
      <c r="DD296" s="456"/>
      <c r="DE296" s="456"/>
      <c r="DF296" s="456"/>
      <c r="DG296" s="425"/>
      <c r="DH296" s="456">
        <v>0</v>
      </c>
      <c r="DI296" s="456">
        <v>0</v>
      </c>
      <c r="DJ296" s="456">
        <v>1.02</v>
      </c>
      <c r="DK296" s="425"/>
      <c r="DL296" s="456"/>
      <c r="DM296" s="456"/>
      <c r="DN296" s="456"/>
      <c r="DO296" s="456"/>
      <c r="DP296" s="456"/>
      <c r="DQ296" s="456"/>
      <c r="DR296" s="456"/>
      <c r="DS296" s="456"/>
      <c r="DT296" s="456"/>
      <c r="DU296" s="456"/>
      <c r="DV296" s="456"/>
      <c r="DW296" s="456"/>
      <c r="DX296" s="456"/>
      <c r="DY296" s="456"/>
      <c r="DZ296" s="456"/>
      <c r="EA296" s="456"/>
      <c r="EB296" s="456"/>
      <c r="EC296" s="456"/>
      <c r="ED296" s="456"/>
      <c r="EE296" s="456">
        <v>1</v>
      </c>
      <c r="EF296" s="456">
        <v>2.5</v>
      </c>
      <c r="EG296" s="456">
        <v>6.5</v>
      </c>
      <c r="EH296" s="456"/>
      <c r="EI296" s="456"/>
      <c r="EJ296" s="456"/>
      <c r="EK296" s="456"/>
      <c r="EL296" s="456"/>
      <c r="EM296" s="456"/>
      <c r="EN296" s="456"/>
      <c r="EO296" s="425"/>
      <c r="EP296" s="425"/>
      <c r="EQ296" s="425" t="s">
        <v>743</v>
      </c>
      <c r="ER296" s="425">
        <v>1</v>
      </c>
      <c r="ES296" s="425">
        <v>10</v>
      </c>
      <c r="ET296" s="425">
        <v>360</v>
      </c>
      <c r="EU296" s="457">
        <v>4000</v>
      </c>
      <c r="EV296" s="425">
        <v>155</v>
      </c>
      <c r="EW296" s="425">
        <v>7379255</v>
      </c>
      <c r="EX296" s="425">
        <v>63016</v>
      </c>
      <c r="EY296" s="666">
        <v>18.2</v>
      </c>
      <c r="EZ296" s="666">
        <v>18.21</v>
      </c>
      <c r="FA296" s="666">
        <v>0</v>
      </c>
      <c r="FB296" s="666">
        <v>1.31</v>
      </c>
      <c r="FC296" s="666">
        <v>1.24</v>
      </c>
      <c r="FD296" s="666">
        <v>1.02</v>
      </c>
      <c r="FE296" s="666">
        <v>0.98</v>
      </c>
      <c r="FF296" s="666">
        <v>150</v>
      </c>
      <c r="FG296" s="666">
        <v>1.53</v>
      </c>
      <c r="FH296" s="666">
        <v>0.58099999999999996</v>
      </c>
      <c r="FI296" s="666">
        <v>1.0900000000000001</v>
      </c>
      <c r="FJ296" s="666">
        <v>8.08</v>
      </c>
      <c r="FK296" s="666">
        <v>8</v>
      </c>
      <c r="FL296" s="666">
        <v>7.84</v>
      </c>
      <c r="FM296" s="666">
        <v>7.6</v>
      </c>
      <c r="FN296" s="666">
        <v>0</v>
      </c>
    </row>
    <row r="297" spans="1:170" s="416" customFormat="1" ht="15">
      <c r="A297" s="425" t="s">
        <v>4</v>
      </c>
      <c r="B297" s="426">
        <v>40826</v>
      </c>
      <c r="C297" s="418">
        <v>0</v>
      </c>
      <c r="D297" s="518">
        <v>0.7</v>
      </c>
      <c r="E297" s="453">
        <v>0</v>
      </c>
      <c r="F297" s="453">
        <v>51</v>
      </c>
      <c r="G297" s="453">
        <v>0.95</v>
      </c>
      <c r="H297" s="519">
        <v>7.17</v>
      </c>
      <c r="I297" s="519">
        <v>93.7</v>
      </c>
      <c r="J297" s="483">
        <v>2.5099999999999998</v>
      </c>
      <c r="K297" s="520">
        <v>2.4700000000000002</v>
      </c>
      <c r="L297" s="453">
        <v>0</v>
      </c>
      <c r="M297" s="453" t="s">
        <v>742</v>
      </c>
      <c r="N297" s="453">
        <v>1.76</v>
      </c>
      <c r="O297" s="453">
        <v>2.2652415836029678</v>
      </c>
      <c r="P297" s="453">
        <v>1.72</v>
      </c>
      <c r="Q297" s="453">
        <v>2.2631495224330327</v>
      </c>
      <c r="R297" s="453">
        <v>1015.1179180977541</v>
      </c>
      <c r="S297" s="453">
        <v>8.08</v>
      </c>
      <c r="T297" s="453">
        <v>7.92</v>
      </c>
      <c r="U297" s="453">
        <v>0.72</v>
      </c>
      <c r="V297" s="453">
        <v>0.78</v>
      </c>
      <c r="W297" s="453">
        <v>55.94</v>
      </c>
      <c r="X297" s="456">
        <v>55.94</v>
      </c>
      <c r="Y297" s="453">
        <v>34.31</v>
      </c>
      <c r="Z297" s="453">
        <v>19.010000000000002</v>
      </c>
      <c r="AA297" s="519">
        <v>34.30000000000291</v>
      </c>
      <c r="AB297" s="519">
        <v>19</v>
      </c>
      <c r="AC297" s="732">
        <f t="shared" si="4"/>
        <v>53.30000000000291</v>
      </c>
      <c r="AD297" s="664"/>
      <c r="AE297" s="664"/>
      <c r="AF297" s="664"/>
      <c r="AG297" s="664"/>
      <c r="AH297" s="664"/>
      <c r="AI297" s="664"/>
      <c r="AJ297" s="485"/>
      <c r="AK297" s="485"/>
      <c r="AL297" s="485"/>
      <c r="AM297" s="485"/>
      <c r="AN297" s="485"/>
      <c r="AO297" s="665"/>
      <c r="AP297" s="485"/>
      <c r="AQ297" s="483"/>
      <c r="AR297" s="755">
        <v>0</v>
      </c>
      <c r="AS297" s="483">
        <v>17.8</v>
      </c>
      <c r="AT297" s="755">
        <v>0</v>
      </c>
      <c r="AU297" s="483">
        <v>35.4</v>
      </c>
      <c r="AV297" s="484">
        <v>579</v>
      </c>
      <c r="AW297" s="484">
        <v>0</v>
      </c>
      <c r="AX297" s="453">
        <v>0</v>
      </c>
      <c r="AY297" s="734">
        <v>0</v>
      </c>
      <c r="AZ297" s="734">
        <v>0</v>
      </c>
      <c r="BA297" s="734">
        <v>0</v>
      </c>
      <c r="BB297" s="453">
        <v>0</v>
      </c>
      <c r="BC297" s="873">
        <v>0.51</v>
      </c>
      <c r="BD297" s="873">
        <v>1.5</v>
      </c>
      <c r="BE297" s="734">
        <v>0</v>
      </c>
      <c r="BF297" s="873">
        <v>0.49</v>
      </c>
      <c r="BG297" s="453">
        <v>0</v>
      </c>
      <c r="BH297" s="734">
        <v>0</v>
      </c>
      <c r="BI297" s="873">
        <v>1</v>
      </c>
      <c r="BJ297" s="453">
        <v>15.5</v>
      </c>
      <c r="BK297" s="873">
        <v>3.27</v>
      </c>
      <c r="BL297" s="873">
        <v>3.27</v>
      </c>
      <c r="BM297" s="453">
        <v>0</v>
      </c>
      <c r="BN297" s="453">
        <v>8.9</v>
      </c>
      <c r="BO297" s="453">
        <v>1253</v>
      </c>
      <c r="BP297" s="453">
        <v>0</v>
      </c>
      <c r="BQ297" s="453">
        <v>17.600000000000001</v>
      </c>
      <c r="BR297" s="453">
        <v>17.600000000000001</v>
      </c>
      <c r="BS297" s="453">
        <v>0</v>
      </c>
      <c r="BT297" s="453">
        <v>32.799999999999997</v>
      </c>
      <c r="BU297" s="453">
        <v>33.1</v>
      </c>
      <c r="BV297" s="456">
        <v>1126.9000000000001</v>
      </c>
      <c r="BW297" s="453">
        <v>1.05</v>
      </c>
      <c r="BX297" s="453">
        <v>1.34</v>
      </c>
      <c r="BY297" s="456">
        <v>0.9</v>
      </c>
      <c r="BZ297" s="456">
        <v>15</v>
      </c>
      <c r="CA297" s="456">
        <v>31.5</v>
      </c>
      <c r="CB297" s="456">
        <v>13.6</v>
      </c>
      <c r="CC297" s="456">
        <v>9.4</v>
      </c>
      <c r="CD297" s="456">
        <v>13.7</v>
      </c>
      <c r="CE297" s="456">
        <v>17.7</v>
      </c>
      <c r="CF297" s="456">
        <v>13.3</v>
      </c>
      <c r="CG297" s="456">
        <v>496</v>
      </c>
      <c r="CH297" s="456">
        <v>2.2000000000000002</v>
      </c>
      <c r="CI297" s="456">
        <v>3.3</v>
      </c>
      <c r="CJ297" s="456">
        <v>197.9</v>
      </c>
      <c r="CK297" s="456">
        <v>439.8</v>
      </c>
      <c r="CL297" s="456">
        <v>584.70000000000005</v>
      </c>
      <c r="CM297" s="456">
        <v>14.1</v>
      </c>
      <c r="CN297" s="456">
        <v>1.7</v>
      </c>
      <c r="CO297" s="453">
        <v>0</v>
      </c>
      <c r="CP297" s="453">
        <v>16.38</v>
      </c>
      <c r="CQ297" s="453">
        <v>58</v>
      </c>
      <c r="CR297" s="456">
        <v>0</v>
      </c>
      <c r="CS297" s="456">
        <v>0</v>
      </c>
      <c r="CT297" s="456">
        <v>0</v>
      </c>
      <c r="CU297" s="456">
        <v>0</v>
      </c>
      <c r="CV297" s="481">
        <v>699.45833333333337</v>
      </c>
      <c r="CW297" s="481">
        <v>795.1875</v>
      </c>
      <c r="CX297" s="481">
        <v>634.47916666666663</v>
      </c>
      <c r="CY297" s="481">
        <v>1124.8800000000001</v>
      </c>
      <c r="CZ297" s="456"/>
      <c r="DA297" s="456"/>
      <c r="DB297" s="456"/>
      <c r="DC297" s="456"/>
      <c r="DD297" s="456"/>
      <c r="DE297" s="456"/>
      <c r="DF297" s="456"/>
      <c r="DG297" s="425"/>
      <c r="DH297" s="456">
        <v>0</v>
      </c>
      <c r="DI297" s="456">
        <v>0</v>
      </c>
      <c r="DJ297" s="456">
        <v>1</v>
      </c>
      <c r="DK297" s="425"/>
      <c r="DL297" s="456"/>
      <c r="DM297" s="456"/>
      <c r="DN297" s="456"/>
      <c r="DO297" s="456"/>
      <c r="DP297" s="456"/>
      <c r="DQ297" s="456"/>
      <c r="DR297" s="456"/>
      <c r="DS297" s="456"/>
      <c r="DT297" s="456"/>
      <c r="DU297" s="456"/>
      <c r="DV297" s="456"/>
      <c r="DW297" s="416">
        <v>-334</v>
      </c>
      <c r="DX297" s="416">
        <v>-1257.68</v>
      </c>
      <c r="DZ297" s="416">
        <v>490.8</v>
      </c>
      <c r="EA297" s="456"/>
      <c r="EB297" s="456"/>
      <c r="EC297" s="456"/>
      <c r="ED297" s="456"/>
      <c r="EE297" s="456">
        <v>1</v>
      </c>
      <c r="EF297" s="456">
        <v>2.5</v>
      </c>
      <c r="EG297" s="456">
        <v>6.5</v>
      </c>
      <c r="EH297" s="456"/>
      <c r="EI297" s="456"/>
      <c r="EJ297" s="456"/>
      <c r="EK297" s="456"/>
      <c r="EL297" s="456"/>
      <c r="EM297" s="456"/>
      <c r="EN297" s="456"/>
      <c r="EO297" s="425"/>
      <c r="EP297" s="425"/>
      <c r="EQ297" s="425" t="s">
        <v>743</v>
      </c>
      <c r="ER297" s="425">
        <v>1</v>
      </c>
      <c r="ES297" s="425">
        <v>10</v>
      </c>
      <c r="ET297" s="425">
        <v>200</v>
      </c>
      <c r="EU297" s="457">
        <v>4000</v>
      </c>
      <c r="EV297" s="425">
        <v>165</v>
      </c>
      <c r="EW297" s="425">
        <v>7382383</v>
      </c>
      <c r="EX297" s="425">
        <v>63095</v>
      </c>
      <c r="EY297" s="666">
        <v>17.760000000000002</v>
      </c>
      <c r="EZ297" s="666">
        <v>17.71</v>
      </c>
      <c r="FA297" s="666">
        <v>0</v>
      </c>
      <c r="FB297" s="666">
        <v>1.36</v>
      </c>
      <c r="FC297" s="666">
        <v>1.26</v>
      </c>
      <c r="FD297" s="666">
        <v>0.97899999999999998</v>
      </c>
      <c r="FE297" s="666">
        <v>0.94</v>
      </c>
      <c r="FF297" s="666">
        <v>160</v>
      </c>
      <c r="FG297" s="666">
        <v>2.21</v>
      </c>
      <c r="FH297" s="666">
        <v>0.63600000000000001</v>
      </c>
      <c r="FI297" s="666">
        <v>1.24</v>
      </c>
      <c r="FJ297" s="666">
        <v>8.02</v>
      </c>
      <c r="FK297" s="666">
        <v>8.1999999999999993</v>
      </c>
      <c r="FL297" s="666">
        <v>7.86</v>
      </c>
      <c r="FM297" s="666">
        <v>7.6</v>
      </c>
      <c r="FN297" s="666">
        <v>0</v>
      </c>
    </row>
    <row r="298" spans="1:170" s="416" customFormat="1" ht="15">
      <c r="A298" s="425" t="s">
        <v>5</v>
      </c>
      <c r="B298" s="426">
        <v>40827</v>
      </c>
      <c r="C298" s="418">
        <v>0</v>
      </c>
      <c r="D298" s="518">
        <v>1.21</v>
      </c>
      <c r="E298" s="453">
        <v>0</v>
      </c>
      <c r="F298" s="453">
        <v>48</v>
      </c>
      <c r="G298" s="453">
        <v>1.1499999999999999</v>
      </c>
      <c r="H298" s="519">
        <v>3.18</v>
      </c>
      <c r="I298" s="519">
        <v>90.4</v>
      </c>
      <c r="J298" s="483">
        <v>2.5</v>
      </c>
      <c r="K298" s="520">
        <v>2.38</v>
      </c>
      <c r="L298" s="453">
        <v>0</v>
      </c>
      <c r="M298" s="453" t="s">
        <v>742</v>
      </c>
      <c r="N298" s="453">
        <v>1.79</v>
      </c>
      <c r="O298" s="453">
        <v>2.3020670165060331</v>
      </c>
      <c r="P298" s="453">
        <v>1.72</v>
      </c>
      <c r="Q298" s="453">
        <v>2.3145060516258074</v>
      </c>
      <c r="R298" s="453">
        <v>1089.9399471598413</v>
      </c>
      <c r="S298" s="453">
        <v>7.97</v>
      </c>
      <c r="T298" s="453">
        <v>7.77</v>
      </c>
      <c r="U298" s="453">
        <v>0.77</v>
      </c>
      <c r="V298" s="453">
        <v>0.79</v>
      </c>
      <c r="W298" s="453">
        <v>59</v>
      </c>
      <c r="X298" s="456">
        <v>59</v>
      </c>
      <c r="Y298" s="453">
        <v>34.200000000000003</v>
      </c>
      <c r="Z298" s="453">
        <v>18.899999999999999</v>
      </c>
      <c r="AA298" s="519">
        <v>34.100000000005821</v>
      </c>
      <c r="AB298" s="519">
        <v>22.19999999999709</v>
      </c>
      <c r="AC298" s="732">
        <f t="shared" si="4"/>
        <v>56.30000000000291</v>
      </c>
      <c r="AD298" s="664"/>
      <c r="AE298" s="664"/>
      <c r="AF298" s="664"/>
      <c r="AG298" s="664"/>
      <c r="AH298" s="664"/>
      <c r="AI298" s="664"/>
      <c r="AJ298" s="485"/>
      <c r="AK298" s="485"/>
      <c r="AL298" s="485"/>
      <c r="AM298" s="485"/>
      <c r="AN298" s="485"/>
      <c r="AO298" s="665"/>
      <c r="AP298" s="485"/>
      <c r="AQ298" s="483"/>
      <c r="AR298" s="755">
        <v>0</v>
      </c>
      <c r="AS298" s="483">
        <v>17.899999999999999</v>
      </c>
      <c r="AT298" s="755">
        <v>0</v>
      </c>
      <c r="AU298" s="483">
        <v>35.299999999999997</v>
      </c>
      <c r="AV298" s="484">
        <v>518.20000000000005</v>
      </c>
      <c r="AW298" s="484">
        <v>541.9</v>
      </c>
      <c r="AX298" s="453">
        <v>0</v>
      </c>
      <c r="AY298" s="734">
        <v>0</v>
      </c>
      <c r="AZ298" s="734">
        <v>0</v>
      </c>
      <c r="BA298" s="734">
        <v>0</v>
      </c>
      <c r="BB298" s="453">
        <v>0</v>
      </c>
      <c r="BC298" s="873">
        <v>0.51</v>
      </c>
      <c r="BD298" s="873">
        <v>1.5</v>
      </c>
      <c r="BE298" s="734">
        <v>0</v>
      </c>
      <c r="BF298" s="873">
        <v>0.55000000000000004</v>
      </c>
      <c r="BG298" s="873">
        <v>0.99</v>
      </c>
      <c r="BH298" s="734">
        <v>0</v>
      </c>
      <c r="BI298" s="453">
        <v>0</v>
      </c>
      <c r="BJ298" s="453">
        <v>18.7</v>
      </c>
      <c r="BK298" s="873">
        <v>3.44</v>
      </c>
      <c r="BL298" s="873">
        <v>3.08</v>
      </c>
      <c r="BM298" s="453">
        <v>0</v>
      </c>
      <c r="BN298" s="453">
        <v>12.1</v>
      </c>
      <c r="BO298" s="453">
        <v>1142.8</v>
      </c>
      <c r="BP298" s="453">
        <v>46.7</v>
      </c>
      <c r="BQ298" s="453">
        <v>17.8</v>
      </c>
      <c r="BR298" s="453">
        <v>17.78</v>
      </c>
      <c r="BS298" s="453">
        <v>0</v>
      </c>
      <c r="BT298" s="453">
        <v>33.299999999999997</v>
      </c>
      <c r="BU298" s="453">
        <v>29.4</v>
      </c>
      <c r="BV298" s="456">
        <v>447.4</v>
      </c>
      <c r="BW298" s="453">
        <v>1.1599999999999999</v>
      </c>
      <c r="BX298" s="453">
        <v>1.36</v>
      </c>
      <c r="BY298" s="456">
        <v>0.89</v>
      </c>
      <c r="BZ298" s="456">
        <v>15.5</v>
      </c>
      <c r="CA298" s="456">
        <v>32</v>
      </c>
      <c r="CB298" s="456">
        <v>13.28</v>
      </c>
      <c r="CC298" s="456">
        <v>9</v>
      </c>
      <c r="CD298" s="456">
        <v>13.2</v>
      </c>
      <c r="CE298" s="456">
        <v>17.3</v>
      </c>
      <c r="CF298" s="456">
        <v>13.4</v>
      </c>
      <c r="CG298" s="456">
        <v>408.8</v>
      </c>
      <c r="CH298" s="456">
        <v>2.7</v>
      </c>
      <c r="CI298" s="456">
        <v>3</v>
      </c>
      <c r="CJ298" s="456">
        <v>66.900000000000006</v>
      </c>
      <c r="CK298" s="456">
        <v>413.4</v>
      </c>
      <c r="CL298" s="456">
        <v>582.9</v>
      </c>
      <c r="CM298" s="456">
        <v>13.1</v>
      </c>
      <c r="CN298" s="456">
        <v>1.76</v>
      </c>
      <c r="CO298" s="453">
        <v>0</v>
      </c>
      <c r="CP298" s="453">
        <v>15.09</v>
      </c>
      <c r="CQ298" s="453">
        <v>58</v>
      </c>
      <c r="CR298" s="456">
        <v>0</v>
      </c>
      <c r="CS298" s="456">
        <v>0</v>
      </c>
      <c r="CT298" s="456">
        <v>0</v>
      </c>
      <c r="CU298" s="456">
        <v>0</v>
      </c>
      <c r="CV298" s="481">
        <v>756.83333333333337</v>
      </c>
      <c r="CW298" s="481">
        <v>934.70833333333337</v>
      </c>
      <c r="CX298" s="481">
        <v>727.05208333333337</v>
      </c>
      <c r="CY298" s="481">
        <v>1124.04</v>
      </c>
      <c r="CZ298" s="456"/>
      <c r="DA298" s="456"/>
      <c r="DB298" s="456"/>
      <c r="DC298" s="456"/>
      <c r="DD298" s="456"/>
      <c r="DE298" s="456"/>
      <c r="DF298" s="456"/>
      <c r="DG298" s="425"/>
      <c r="DH298" s="456">
        <v>0</v>
      </c>
      <c r="DI298" s="456">
        <v>0</v>
      </c>
      <c r="DJ298" s="456">
        <v>0.97</v>
      </c>
      <c r="DK298" s="425"/>
      <c r="DL298" s="456"/>
      <c r="DM298" s="456"/>
      <c r="DN298" s="456"/>
      <c r="DO298" s="456"/>
      <c r="DP298" s="456"/>
      <c r="DQ298" s="456"/>
      <c r="DR298" s="456"/>
      <c r="DS298" s="456"/>
      <c r="DT298" s="456"/>
      <c r="DU298" s="456"/>
      <c r="DV298" s="456"/>
      <c r="DW298" s="456"/>
      <c r="DX298" s="456"/>
      <c r="DY298" s="456"/>
      <c r="DZ298" s="456"/>
      <c r="EA298" s="456"/>
      <c r="EB298" s="456"/>
      <c r="EC298" s="456"/>
      <c r="ED298" s="456"/>
      <c r="EE298" s="456">
        <v>1</v>
      </c>
      <c r="EF298" s="456">
        <v>2.5</v>
      </c>
      <c r="EG298" s="456">
        <v>6.5</v>
      </c>
      <c r="EH298" s="456"/>
      <c r="EI298" s="456"/>
      <c r="EJ298" s="456"/>
      <c r="EK298" s="456"/>
      <c r="EL298" s="456"/>
      <c r="EM298" s="456"/>
      <c r="EN298" s="456"/>
      <c r="EO298" s="425"/>
      <c r="EP298" s="425"/>
      <c r="EQ298" s="425" t="s">
        <v>743</v>
      </c>
      <c r="ER298" s="425">
        <v>1</v>
      </c>
      <c r="ES298" s="425">
        <v>10</v>
      </c>
      <c r="ET298" s="425">
        <v>40</v>
      </c>
      <c r="EU298" s="457">
        <v>4000</v>
      </c>
      <c r="EV298" s="425">
        <v>150</v>
      </c>
      <c r="EW298" s="425">
        <v>7385431</v>
      </c>
      <c r="EX298" s="425">
        <v>63096</v>
      </c>
      <c r="EY298" s="666">
        <v>17.8</v>
      </c>
      <c r="EZ298" s="666">
        <v>17.8</v>
      </c>
      <c r="FA298" s="666">
        <v>0</v>
      </c>
      <c r="FB298" s="666">
        <v>1.32</v>
      </c>
      <c r="FC298" s="666">
        <v>1.3</v>
      </c>
      <c r="FD298" s="666">
        <v>0.95</v>
      </c>
      <c r="FE298" s="666">
        <v>0.98</v>
      </c>
      <c r="FF298" s="666">
        <v>160</v>
      </c>
      <c r="FG298" s="666">
        <v>2.23</v>
      </c>
      <c r="FH298" s="666">
        <v>0.64</v>
      </c>
      <c r="FI298" s="666">
        <v>1.1499999999999999</v>
      </c>
      <c r="FJ298" s="666">
        <v>7.48</v>
      </c>
      <c r="FK298" s="666">
        <v>7.9</v>
      </c>
      <c r="FL298" s="666">
        <v>7.76</v>
      </c>
      <c r="FM298" s="666">
        <v>7.5</v>
      </c>
      <c r="FN298" s="666">
        <v>0</v>
      </c>
    </row>
    <row r="299" spans="1:170" s="416" customFormat="1" ht="15">
      <c r="A299" s="425" t="s">
        <v>6</v>
      </c>
      <c r="B299" s="426">
        <v>40828</v>
      </c>
      <c r="C299" s="418">
        <v>0</v>
      </c>
      <c r="D299" s="518">
        <v>0.18</v>
      </c>
      <c r="E299" s="453">
        <v>0</v>
      </c>
      <c r="F299" s="453">
        <v>46</v>
      </c>
      <c r="G299" s="453">
        <v>1.1000000000000001</v>
      </c>
      <c r="H299" s="519">
        <v>3.06</v>
      </c>
      <c r="I299" s="519">
        <v>91.56</v>
      </c>
      <c r="J299" s="483">
        <v>2.5</v>
      </c>
      <c r="K299" s="520">
        <v>2.4500000000000002</v>
      </c>
      <c r="L299" s="453">
        <v>0</v>
      </c>
      <c r="M299" s="453" t="s">
        <v>742</v>
      </c>
      <c r="N299" s="453">
        <v>1.75</v>
      </c>
      <c r="O299" s="453">
        <v>2.3095538816401224</v>
      </c>
      <c r="P299" s="453">
        <v>1.7</v>
      </c>
      <c r="Q299" s="453">
        <v>2.3574735490560004</v>
      </c>
      <c r="R299" s="453">
        <v>1035.2000211360632</v>
      </c>
      <c r="S299" s="453">
        <v>8</v>
      </c>
      <c r="T299" s="453">
        <v>7.82</v>
      </c>
      <c r="U299" s="453">
        <v>0.75</v>
      </c>
      <c r="V299" s="453">
        <v>0.76</v>
      </c>
      <c r="W299" s="453">
        <v>54.860000000000014</v>
      </c>
      <c r="X299" s="456">
        <v>54.680000000000007</v>
      </c>
      <c r="Y299" s="453">
        <v>34.229999999999997</v>
      </c>
      <c r="Z299" s="453">
        <v>19.11</v>
      </c>
      <c r="AA299" s="519">
        <v>31.739999999990687</v>
      </c>
      <c r="AB299" s="519">
        <v>21.400000000001455</v>
      </c>
      <c r="AC299" s="732">
        <f t="shared" si="4"/>
        <v>53.139999999992142</v>
      </c>
      <c r="AD299" s="664"/>
      <c r="AE299" s="664"/>
      <c r="AF299" s="664"/>
      <c r="AG299" s="664"/>
      <c r="AH299" s="664"/>
      <c r="AI299" s="664"/>
      <c r="AJ299" s="485"/>
      <c r="AK299" s="485"/>
      <c r="AL299" s="485"/>
      <c r="AM299" s="485"/>
      <c r="AN299" s="485"/>
      <c r="AO299" s="665"/>
      <c r="AP299" s="485"/>
      <c r="AQ299" s="483"/>
      <c r="AR299" s="755">
        <v>0</v>
      </c>
      <c r="AS299" s="483">
        <v>10.7</v>
      </c>
      <c r="AT299" s="755">
        <v>0</v>
      </c>
      <c r="AU299" s="483">
        <v>33.299999999999997</v>
      </c>
      <c r="AV299" s="484">
        <v>419.2</v>
      </c>
      <c r="AW299" s="484">
        <v>500</v>
      </c>
      <c r="AX299" s="453">
        <v>0</v>
      </c>
      <c r="AY299" s="734">
        <v>0</v>
      </c>
      <c r="AZ299" s="734">
        <v>0</v>
      </c>
      <c r="BA299" s="734">
        <v>0</v>
      </c>
      <c r="BB299" s="453">
        <v>0</v>
      </c>
      <c r="BC299" s="873">
        <v>0.51</v>
      </c>
      <c r="BD299" s="873">
        <v>1.5</v>
      </c>
      <c r="BE299" s="734">
        <v>0</v>
      </c>
      <c r="BF299" s="873">
        <v>0.5</v>
      </c>
      <c r="BG299" s="873">
        <v>1.05</v>
      </c>
      <c r="BH299" s="734">
        <v>0</v>
      </c>
      <c r="BI299" s="453">
        <v>0</v>
      </c>
      <c r="BJ299" s="453">
        <v>18</v>
      </c>
      <c r="BK299" s="873">
        <v>3.22</v>
      </c>
      <c r="BL299" s="873">
        <v>3.32</v>
      </c>
      <c r="BM299" s="453">
        <v>0</v>
      </c>
      <c r="BN299" s="453">
        <v>11.3</v>
      </c>
      <c r="BO299" s="453">
        <v>1344.5</v>
      </c>
      <c r="BP299" s="453">
        <v>0</v>
      </c>
      <c r="BQ299" s="453">
        <v>16.8</v>
      </c>
      <c r="BR299" s="453">
        <v>16.899999999999999</v>
      </c>
      <c r="BS299" s="453">
        <v>0</v>
      </c>
      <c r="BT299" s="453">
        <v>31.2</v>
      </c>
      <c r="BU299" s="453">
        <v>32</v>
      </c>
      <c r="BV299" s="456">
        <v>517.4</v>
      </c>
      <c r="BW299" s="453">
        <v>2.67</v>
      </c>
      <c r="BX299" s="453">
        <v>1.34</v>
      </c>
      <c r="BY299" s="456">
        <v>0.89</v>
      </c>
      <c r="BZ299" s="456">
        <v>15.6</v>
      </c>
      <c r="CA299" s="456">
        <v>31.7</v>
      </c>
      <c r="CB299" s="456">
        <v>14</v>
      </c>
      <c r="CC299" s="456">
        <v>9</v>
      </c>
      <c r="CD299" s="456">
        <v>13.3</v>
      </c>
      <c r="CE299" s="456">
        <v>17.3</v>
      </c>
      <c r="CF299" s="456">
        <v>13.31</v>
      </c>
      <c r="CG299" s="456">
        <v>520.34</v>
      </c>
      <c r="CH299" s="456">
        <v>3.3</v>
      </c>
      <c r="CI299" s="456">
        <v>5</v>
      </c>
      <c r="CJ299" s="456">
        <v>93.9</v>
      </c>
      <c r="CK299" s="456">
        <v>393.6</v>
      </c>
      <c r="CL299" s="456">
        <v>586.9</v>
      </c>
      <c r="CM299" s="456">
        <v>13.5</v>
      </c>
      <c r="CN299" s="456">
        <v>1.83</v>
      </c>
      <c r="CO299" s="453">
        <v>0</v>
      </c>
      <c r="CP299" s="453">
        <v>17.309999999999999</v>
      </c>
      <c r="CQ299" s="453">
        <v>57</v>
      </c>
      <c r="CR299" s="456">
        <v>0</v>
      </c>
      <c r="CS299" s="456">
        <v>0</v>
      </c>
      <c r="CT299" s="456">
        <v>0</v>
      </c>
      <c r="CU299" s="456">
        <v>0</v>
      </c>
      <c r="CV299" s="481">
        <v>806.95833333333337</v>
      </c>
      <c r="CW299" s="481">
        <v>1045.1041666666667</v>
      </c>
      <c r="CX299" s="481">
        <v>782.40625</v>
      </c>
      <c r="CY299" s="481">
        <v>1123.22</v>
      </c>
      <c r="CZ299" s="456"/>
      <c r="DA299" s="456"/>
      <c r="DB299" s="456"/>
      <c r="DC299" s="456"/>
      <c r="DD299" s="456"/>
      <c r="DE299" s="456"/>
      <c r="DF299" s="456"/>
      <c r="DG299" s="425"/>
      <c r="DH299" s="456">
        <v>0</v>
      </c>
      <c r="DI299" s="456">
        <v>0</v>
      </c>
      <c r="DJ299" s="456">
        <v>0.98</v>
      </c>
      <c r="DK299" s="425"/>
      <c r="DL299" s="456"/>
      <c r="DM299" s="456"/>
      <c r="DN299" s="456"/>
      <c r="DO299" s="456"/>
      <c r="DP299" s="456"/>
      <c r="DQ299" s="456"/>
      <c r="DR299" s="456"/>
      <c r="DS299" s="456"/>
      <c r="DT299" s="456"/>
      <c r="DU299" s="456"/>
      <c r="DV299" s="456"/>
      <c r="DW299" s="456"/>
      <c r="DX299" s="456"/>
      <c r="DY299" s="456"/>
      <c r="DZ299" s="456"/>
      <c r="EA299" s="456"/>
      <c r="EB299" s="456"/>
      <c r="EC299" s="456"/>
      <c r="ED299" s="456"/>
      <c r="EE299" s="456">
        <v>1</v>
      </c>
      <c r="EF299" s="456">
        <v>2.5</v>
      </c>
      <c r="EG299" s="456">
        <v>6.5</v>
      </c>
      <c r="EH299" s="456"/>
      <c r="EI299" s="456"/>
      <c r="EJ299" s="456"/>
      <c r="EK299" s="456"/>
      <c r="EL299" s="456"/>
      <c r="EM299" s="456"/>
      <c r="EN299" s="456"/>
      <c r="EO299" s="425"/>
      <c r="EP299" s="425"/>
      <c r="EQ299" s="425" t="s">
        <v>743</v>
      </c>
      <c r="ER299" s="425">
        <v>1</v>
      </c>
      <c r="ES299" s="425">
        <v>8</v>
      </c>
      <c r="ET299" s="425">
        <v>0</v>
      </c>
      <c r="EU299" s="457">
        <v>3860</v>
      </c>
      <c r="EV299" s="425">
        <v>180</v>
      </c>
      <c r="EW299" s="425">
        <v>7388526</v>
      </c>
      <c r="EX299" s="425">
        <v>63095</v>
      </c>
      <c r="EY299" s="666">
        <v>16.850000000000001</v>
      </c>
      <c r="EZ299" s="666">
        <v>16.88</v>
      </c>
      <c r="FA299" s="666">
        <v>0</v>
      </c>
      <c r="FB299" s="666">
        <v>1.21</v>
      </c>
      <c r="FC299" s="666">
        <v>1.25</v>
      </c>
      <c r="FD299" s="666">
        <v>0.95</v>
      </c>
      <c r="FE299" s="666">
        <v>0.96</v>
      </c>
      <c r="FF299" s="666">
        <v>200</v>
      </c>
      <c r="FG299" s="666">
        <v>3.48</v>
      </c>
      <c r="FH299" s="666">
        <v>0.73</v>
      </c>
      <c r="FI299" s="666">
        <v>1.59</v>
      </c>
      <c r="FJ299" s="666">
        <v>8.02</v>
      </c>
      <c r="FK299" s="666">
        <v>8</v>
      </c>
      <c r="FL299" s="666">
        <v>7.73</v>
      </c>
      <c r="FM299" s="666">
        <v>7.5</v>
      </c>
      <c r="FN299" s="666">
        <v>0</v>
      </c>
    </row>
    <row r="300" spans="1:170" s="416" customFormat="1" ht="15">
      <c r="A300" s="425" t="s">
        <v>7</v>
      </c>
      <c r="B300" s="426">
        <v>40829</v>
      </c>
      <c r="C300" s="418">
        <v>0</v>
      </c>
      <c r="D300" s="518">
        <v>0.01</v>
      </c>
      <c r="E300" s="453">
        <v>0</v>
      </c>
      <c r="F300" s="453">
        <v>46</v>
      </c>
      <c r="G300" s="453">
        <v>1.05</v>
      </c>
      <c r="H300" s="519">
        <v>3.09</v>
      </c>
      <c r="I300" s="519">
        <v>87.6</v>
      </c>
      <c r="J300" s="483">
        <v>2.73</v>
      </c>
      <c r="K300" s="520">
        <v>2.58</v>
      </c>
      <c r="L300" s="453">
        <v>0</v>
      </c>
      <c r="M300" s="453">
        <v>17.600000000000001</v>
      </c>
      <c r="N300" s="453">
        <v>1.73</v>
      </c>
      <c r="O300" s="453">
        <v>2.335576409275395</v>
      </c>
      <c r="P300" s="453">
        <v>1.66</v>
      </c>
      <c r="Q300" s="453">
        <v>2.3868562779780218</v>
      </c>
      <c r="R300" s="453">
        <v>1088.320422721268</v>
      </c>
      <c r="S300" s="453">
        <v>8.1300000000000008</v>
      </c>
      <c r="T300" s="453">
        <v>7.9</v>
      </c>
      <c r="U300" s="453">
        <v>0.75</v>
      </c>
      <c r="V300" s="453">
        <v>0.74</v>
      </c>
      <c r="W300" s="453">
        <v>54.14</v>
      </c>
      <c r="X300" s="456">
        <v>54.14</v>
      </c>
      <c r="Y300" s="453">
        <v>30.57</v>
      </c>
      <c r="Z300" s="453">
        <v>23.2</v>
      </c>
      <c r="AA300" s="519">
        <v>30.430000000007567</v>
      </c>
      <c r="AB300" s="519">
        <v>24.69999999999709</v>
      </c>
      <c r="AC300" s="732">
        <f t="shared" si="4"/>
        <v>55.130000000004657</v>
      </c>
      <c r="AD300" s="664"/>
      <c r="AE300" s="664"/>
      <c r="AF300" s="664"/>
      <c r="AG300" s="664"/>
      <c r="AH300" s="664"/>
      <c r="AI300" s="664"/>
      <c r="AJ300" s="485"/>
      <c r="AK300" s="485"/>
      <c r="AL300" s="485"/>
      <c r="AM300" s="485"/>
      <c r="AN300" s="485"/>
      <c r="AO300" s="665"/>
      <c r="AP300" s="485"/>
      <c r="AQ300" s="483"/>
      <c r="AR300" s="755">
        <v>0</v>
      </c>
      <c r="AS300" s="483">
        <v>18.399999999999999</v>
      </c>
      <c r="AT300" s="755">
        <v>0</v>
      </c>
      <c r="AU300" s="483">
        <v>31.4</v>
      </c>
      <c r="AV300" s="484">
        <v>148.9</v>
      </c>
      <c r="AW300" s="484">
        <v>334.2</v>
      </c>
      <c r="AX300" s="453">
        <v>0</v>
      </c>
      <c r="AY300" s="734">
        <v>0</v>
      </c>
      <c r="AZ300" s="734">
        <v>0</v>
      </c>
      <c r="BA300" s="734">
        <v>0</v>
      </c>
      <c r="BB300" s="453">
        <v>0</v>
      </c>
      <c r="BC300" s="873">
        <v>0.5</v>
      </c>
      <c r="BD300" s="873">
        <v>1.5</v>
      </c>
      <c r="BE300" s="734">
        <v>0</v>
      </c>
      <c r="BF300" s="873">
        <v>0.55000000000000004</v>
      </c>
      <c r="BG300" s="453">
        <v>0</v>
      </c>
      <c r="BH300" s="734">
        <v>0</v>
      </c>
      <c r="BI300" s="873">
        <v>1.04</v>
      </c>
      <c r="BJ300" s="453">
        <v>21.3</v>
      </c>
      <c r="BK300" s="873">
        <v>2.7</v>
      </c>
      <c r="BL300" s="873">
        <v>3.8</v>
      </c>
      <c r="BM300" s="453">
        <v>0</v>
      </c>
      <c r="BN300" s="453">
        <v>14.6</v>
      </c>
      <c r="BO300" s="453">
        <v>1341.6</v>
      </c>
      <c r="BP300" s="453">
        <v>0</v>
      </c>
      <c r="BQ300" s="453">
        <v>16.600000000000001</v>
      </c>
      <c r="BR300" s="453">
        <v>16.7</v>
      </c>
      <c r="BS300" s="453">
        <v>0</v>
      </c>
      <c r="BT300" s="453">
        <v>30</v>
      </c>
      <c r="BU300" s="453">
        <v>27.9</v>
      </c>
      <c r="BV300" s="456">
        <v>448.6</v>
      </c>
      <c r="BW300" s="453">
        <v>6.68</v>
      </c>
      <c r="BX300" s="453">
        <v>1.24</v>
      </c>
      <c r="BY300" s="456">
        <v>0.89</v>
      </c>
      <c r="BZ300" s="456">
        <v>15.6</v>
      </c>
      <c r="CA300" s="456">
        <v>32.299999999999997</v>
      </c>
      <c r="CB300" s="456">
        <v>13.2</v>
      </c>
      <c r="CC300" s="456">
        <v>9.15</v>
      </c>
      <c r="CD300" s="456">
        <v>13.3</v>
      </c>
      <c r="CE300" s="456">
        <v>17.75</v>
      </c>
      <c r="CF300" s="456">
        <v>13.17</v>
      </c>
      <c r="CG300" s="456">
        <v>520.37</v>
      </c>
      <c r="CH300" s="456">
        <v>3.1</v>
      </c>
      <c r="CI300" s="456">
        <v>4.7</v>
      </c>
      <c r="CJ300" s="456">
        <v>98.1</v>
      </c>
      <c r="CK300" s="456">
        <v>388.5</v>
      </c>
      <c r="CL300" s="456">
        <v>578.79999999999995</v>
      </c>
      <c r="CM300" s="456">
        <v>13.5</v>
      </c>
      <c r="CN300" s="456">
        <v>1.8</v>
      </c>
      <c r="CO300" s="453">
        <v>0</v>
      </c>
      <c r="CP300" s="453">
        <v>16.809999999999999</v>
      </c>
      <c r="CQ300" s="453">
        <v>57</v>
      </c>
      <c r="CR300" s="456">
        <v>0</v>
      </c>
      <c r="CS300" s="456">
        <v>0</v>
      </c>
      <c r="CT300" s="456">
        <v>0</v>
      </c>
      <c r="CU300" s="456">
        <v>0</v>
      </c>
      <c r="CV300" s="481">
        <v>796.95833333333337</v>
      </c>
      <c r="CW300" s="481">
        <v>983.89583333333337</v>
      </c>
      <c r="CX300" s="481">
        <v>746.65625</v>
      </c>
      <c r="CY300" s="481">
        <v>1121.81</v>
      </c>
      <c r="CZ300" s="456"/>
      <c r="DA300" s="456"/>
      <c r="DB300" s="456"/>
      <c r="DC300" s="456"/>
      <c r="DD300" s="456"/>
      <c r="DE300" s="456"/>
      <c r="DF300" s="456"/>
      <c r="DG300" s="425"/>
      <c r="DH300" s="456">
        <v>0</v>
      </c>
      <c r="DI300" s="456">
        <v>0</v>
      </c>
      <c r="DJ300" s="456">
        <v>0.75</v>
      </c>
      <c r="DK300" s="425"/>
      <c r="DL300" s="456"/>
      <c r="DM300" s="456"/>
      <c r="DN300" s="456"/>
      <c r="DO300" s="456"/>
      <c r="DP300" s="456"/>
      <c r="DQ300" s="456"/>
      <c r="DR300" s="456"/>
      <c r="DS300" s="456"/>
      <c r="DT300" s="456"/>
      <c r="DU300" s="456"/>
      <c r="DV300" s="456"/>
      <c r="DW300" s="456"/>
      <c r="DX300" s="456"/>
      <c r="DY300" s="456"/>
      <c r="DZ300" s="456"/>
      <c r="EA300" s="456"/>
      <c r="EB300" s="456"/>
      <c r="EC300" s="456"/>
      <c r="ED300" s="456"/>
      <c r="EE300" s="456">
        <v>1</v>
      </c>
      <c r="EF300" s="456">
        <v>2.5</v>
      </c>
      <c r="EG300" s="456">
        <v>6.5</v>
      </c>
      <c r="EH300" s="456"/>
      <c r="EI300" s="456"/>
      <c r="EJ300" s="456"/>
      <c r="EK300" s="456"/>
      <c r="EL300" s="456"/>
      <c r="EM300" s="456"/>
      <c r="EN300" s="456"/>
      <c r="EO300" s="425"/>
      <c r="EP300" s="425"/>
      <c r="EQ300" s="425" t="s">
        <v>743</v>
      </c>
      <c r="ER300" s="425">
        <v>1</v>
      </c>
      <c r="ES300" s="425">
        <v>8</v>
      </c>
      <c r="ET300" s="425">
        <v>4000</v>
      </c>
      <c r="EU300" s="457">
        <v>3660</v>
      </c>
      <c r="EV300" s="425">
        <v>215</v>
      </c>
      <c r="EW300" s="425">
        <v>7391396</v>
      </c>
      <c r="EX300" s="425">
        <v>63095</v>
      </c>
      <c r="EY300" s="666">
        <v>16.75</v>
      </c>
      <c r="EZ300" s="666">
        <v>16.760000000000002</v>
      </c>
      <c r="FA300" s="666">
        <v>0</v>
      </c>
      <c r="FB300" s="666">
        <v>1.3</v>
      </c>
      <c r="FC300" s="666">
        <v>1.18</v>
      </c>
      <c r="FD300" s="666">
        <v>0.95499999999999996</v>
      </c>
      <c r="FE300" s="666">
        <v>0.88</v>
      </c>
      <c r="FF300" s="666">
        <v>180</v>
      </c>
      <c r="FG300" s="666">
        <v>2.33</v>
      </c>
      <c r="FH300" s="666">
        <v>0.86399999999999999</v>
      </c>
      <c r="FI300" s="666">
        <v>1.68</v>
      </c>
      <c r="FJ300" s="666">
        <v>9.0399999999999991</v>
      </c>
      <c r="FK300" s="666">
        <v>8</v>
      </c>
      <c r="FL300" s="666">
        <v>7.75</v>
      </c>
      <c r="FM300" s="666">
        <v>7.8</v>
      </c>
      <c r="FN300" s="666">
        <v>0</v>
      </c>
    </row>
    <row r="301" spans="1:170" s="416" customFormat="1" ht="15">
      <c r="A301" s="425" t="s">
        <v>8</v>
      </c>
      <c r="B301" s="426">
        <v>40830</v>
      </c>
      <c r="C301" s="418">
        <v>0</v>
      </c>
      <c r="D301" s="518">
        <v>0</v>
      </c>
      <c r="E301" s="453">
        <v>0</v>
      </c>
      <c r="F301" s="453">
        <v>45</v>
      </c>
      <c r="G301" s="453">
        <v>1.05</v>
      </c>
      <c r="H301" s="519">
        <v>2.96</v>
      </c>
      <c r="I301" s="519">
        <v>89.1</v>
      </c>
      <c r="J301" s="483">
        <v>2.36</v>
      </c>
      <c r="K301" s="520">
        <v>2.35</v>
      </c>
      <c r="L301" s="453">
        <v>0</v>
      </c>
      <c r="M301" s="453">
        <v>17.600000000000001</v>
      </c>
      <c r="N301" s="453">
        <v>1.76</v>
      </c>
      <c r="O301" s="453">
        <v>2.3743183391273077</v>
      </c>
      <c r="P301" s="453">
        <v>1.79</v>
      </c>
      <c r="Q301" s="453">
        <v>2.5152200967985077</v>
      </c>
      <c r="R301" s="453">
        <v>1150.8340660501981</v>
      </c>
      <c r="S301" s="453">
        <v>8.01</v>
      </c>
      <c r="T301" s="453">
        <v>7.95</v>
      </c>
      <c r="U301" s="453">
        <v>0.74</v>
      </c>
      <c r="V301" s="453">
        <v>0.73</v>
      </c>
      <c r="W301" s="453">
        <v>54.14</v>
      </c>
      <c r="X301" s="456">
        <v>54.14</v>
      </c>
      <c r="Y301" s="453">
        <v>30.41</v>
      </c>
      <c r="Z301" s="453">
        <v>25.7</v>
      </c>
      <c r="AA301" s="519">
        <v>30.529999999998836</v>
      </c>
      <c r="AB301" s="519">
        <v>26.130000000004657</v>
      </c>
      <c r="AC301" s="732">
        <f t="shared" si="4"/>
        <v>56.660000000003492</v>
      </c>
      <c r="AD301" s="664"/>
      <c r="AE301" s="664"/>
      <c r="AF301" s="664"/>
      <c r="AG301" s="664"/>
      <c r="AH301" s="664"/>
      <c r="AI301" s="664"/>
      <c r="AJ301" s="485"/>
      <c r="AK301" s="485"/>
      <c r="AL301" s="485"/>
      <c r="AM301" s="485"/>
      <c r="AN301" s="485"/>
      <c r="AO301" s="665"/>
      <c r="AP301" s="485"/>
      <c r="AQ301" s="483"/>
      <c r="AR301" s="755">
        <v>0</v>
      </c>
      <c r="AS301" s="483">
        <v>18.399999999999999</v>
      </c>
      <c r="AT301" s="755">
        <v>0</v>
      </c>
      <c r="AU301" s="483">
        <v>31.5</v>
      </c>
      <c r="AV301" s="484">
        <v>565.9</v>
      </c>
      <c r="AW301" s="484">
        <v>521.4</v>
      </c>
      <c r="AX301" s="453">
        <v>0</v>
      </c>
      <c r="AY301" s="734">
        <v>0</v>
      </c>
      <c r="AZ301" s="734">
        <v>0</v>
      </c>
      <c r="BA301" s="734">
        <v>0</v>
      </c>
      <c r="BB301" s="453">
        <v>0</v>
      </c>
      <c r="BC301" s="873">
        <v>0.39</v>
      </c>
      <c r="BD301" s="873">
        <v>1.68</v>
      </c>
      <c r="BE301" s="734">
        <v>0</v>
      </c>
      <c r="BF301" s="873">
        <v>0.49</v>
      </c>
      <c r="BG301" s="873">
        <v>1.04</v>
      </c>
      <c r="BH301" s="734">
        <v>0</v>
      </c>
      <c r="BI301" s="453">
        <v>0</v>
      </c>
      <c r="BJ301" s="453">
        <v>22.5</v>
      </c>
      <c r="BK301" s="873">
        <v>2.62</v>
      </c>
      <c r="BL301" s="873">
        <v>3.93</v>
      </c>
      <c r="BM301" s="453">
        <v>0</v>
      </c>
      <c r="BN301" s="453">
        <v>15.8</v>
      </c>
      <c r="BO301" s="453">
        <v>1146.0999999999999</v>
      </c>
      <c r="BP301" s="453">
        <v>0</v>
      </c>
      <c r="BQ301" s="453">
        <v>16.600000000000001</v>
      </c>
      <c r="BR301" s="453">
        <v>16.670000000000002</v>
      </c>
      <c r="BS301" s="453">
        <v>0</v>
      </c>
      <c r="BT301" s="453">
        <v>29.4</v>
      </c>
      <c r="BU301" s="453">
        <v>27</v>
      </c>
      <c r="BV301" s="456">
        <v>443.9</v>
      </c>
      <c r="BW301" s="453">
        <v>6.66</v>
      </c>
      <c r="BX301" s="453">
        <v>1.27</v>
      </c>
      <c r="BY301" s="456">
        <v>0.89</v>
      </c>
      <c r="BZ301" s="456">
        <v>15.3</v>
      </c>
      <c r="CA301" s="456">
        <v>32.299999999999997</v>
      </c>
      <c r="CB301" s="456">
        <v>12.6</v>
      </c>
      <c r="CC301" s="456">
        <v>8.6</v>
      </c>
      <c r="CD301" s="456">
        <v>12.8</v>
      </c>
      <c r="CE301" s="456">
        <v>16.850000000000001</v>
      </c>
      <c r="CF301" s="456">
        <v>13.26</v>
      </c>
      <c r="CG301" s="456">
        <v>544.26</v>
      </c>
      <c r="CH301" s="456">
        <v>3.1</v>
      </c>
      <c r="CI301" s="456">
        <v>4.8</v>
      </c>
      <c r="CJ301" s="456">
        <v>88.6</v>
      </c>
      <c r="CK301" s="456">
        <v>370</v>
      </c>
      <c r="CL301" s="456">
        <v>576.79999999999995</v>
      </c>
      <c r="CM301" s="456">
        <v>13.9</v>
      </c>
      <c r="CN301" s="456">
        <v>2.04</v>
      </c>
      <c r="CO301" s="453">
        <v>0</v>
      </c>
      <c r="CP301" s="453">
        <v>17.489999999999998</v>
      </c>
      <c r="CQ301" s="453">
        <v>57</v>
      </c>
      <c r="CR301" s="456">
        <v>0</v>
      </c>
      <c r="CS301" s="456">
        <v>0</v>
      </c>
      <c r="CT301" s="456">
        <v>0</v>
      </c>
      <c r="CU301" s="456">
        <v>0</v>
      </c>
      <c r="CV301" s="481">
        <v>791.5</v>
      </c>
      <c r="CW301" s="481">
        <v>938.59375</v>
      </c>
      <c r="CX301" s="481">
        <v>723.58333333333337</v>
      </c>
      <c r="CY301" s="481">
        <v>1120.04</v>
      </c>
      <c r="CZ301" s="456"/>
      <c r="DA301" s="456"/>
      <c r="DB301" s="456"/>
      <c r="DC301" s="456"/>
      <c r="DD301" s="456"/>
      <c r="DE301" s="456"/>
      <c r="DF301" s="456"/>
      <c r="DG301" s="425"/>
      <c r="DH301" s="456">
        <v>0</v>
      </c>
      <c r="DI301" s="456">
        <v>0</v>
      </c>
      <c r="DJ301" s="456">
        <v>0.75</v>
      </c>
      <c r="DK301" s="425"/>
      <c r="DL301" s="456"/>
      <c r="DM301" s="456"/>
      <c r="DN301" s="456"/>
      <c r="DO301" s="456"/>
      <c r="DP301" s="456"/>
      <c r="DQ301" s="456"/>
      <c r="DR301" s="456"/>
      <c r="DS301" s="456"/>
      <c r="DT301" s="456"/>
      <c r="DU301" s="456"/>
      <c r="DV301" s="456"/>
      <c r="DW301" s="456"/>
      <c r="DX301" s="456"/>
      <c r="DY301" s="456"/>
      <c r="DZ301" s="456"/>
      <c r="EA301" s="456"/>
      <c r="EB301" s="456"/>
      <c r="EC301" s="456"/>
      <c r="ED301" s="456"/>
      <c r="EE301" s="456">
        <v>1</v>
      </c>
      <c r="EF301" s="456">
        <v>2.5</v>
      </c>
      <c r="EG301" s="456">
        <v>6.5</v>
      </c>
      <c r="EH301" s="456"/>
      <c r="EI301" s="456"/>
      <c r="EJ301" s="456"/>
      <c r="EK301" s="456"/>
      <c r="EL301" s="456"/>
      <c r="EM301" s="456"/>
      <c r="EN301" s="456"/>
      <c r="EO301" s="425"/>
      <c r="EP301" s="425"/>
      <c r="EQ301" s="425" t="s">
        <v>743</v>
      </c>
      <c r="ER301" s="425">
        <v>1</v>
      </c>
      <c r="ES301" s="425">
        <v>8</v>
      </c>
      <c r="ET301" s="425">
        <v>4000</v>
      </c>
      <c r="EU301" s="457">
        <v>3470</v>
      </c>
      <c r="EV301" s="425">
        <v>240</v>
      </c>
      <c r="EW301" s="425">
        <v>7394284</v>
      </c>
      <c r="EX301" s="425">
        <v>64155</v>
      </c>
      <c r="EY301" s="666">
        <v>16.78</v>
      </c>
      <c r="EZ301" s="666">
        <v>16.78</v>
      </c>
      <c r="FA301" s="666">
        <v>0</v>
      </c>
      <c r="FB301" s="666">
        <v>1.25</v>
      </c>
      <c r="FC301" s="666">
        <v>1.1200000000000001</v>
      </c>
      <c r="FD301" s="666">
        <v>0.93500000000000005</v>
      </c>
      <c r="FE301" s="666">
        <v>0.89</v>
      </c>
      <c r="FF301" s="666">
        <v>190</v>
      </c>
      <c r="FG301" s="666">
        <v>2.34</v>
      </c>
      <c r="FH301" s="666">
        <v>0.93700000000000006</v>
      </c>
      <c r="FI301" s="666">
        <v>1.72</v>
      </c>
      <c r="FJ301" s="666">
        <v>8.6</v>
      </c>
      <c r="FK301" s="666">
        <v>7.9</v>
      </c>
      <c r="FL301" s="666">
        <v>7.75</v>
      </c>
      <c r="FM301" s="666">
        <v>7.7</v>
      </c>
      <c r="FN301" s="666">
        <v>0</v>
      </c>
    </row>
    <row r="302" spans="1:170" s="416" customFormat="1" ht="15">
      <c r="A302" s="425" t="s">
        <v>9</v>
      </c>
      <c r="B302" s="426">
        <v>40831</v>
      </c>
      <c r="C302" s="418">
        <v>0</v>
      </c>
      <c r="D302" s="518">
        <v>0</v>
      </c>
      <c r="E302" s="453">
        <v>0</v>
      </c>
      <c r="F302" s="453">
        <v>45</v>
      </c>
      <c r="G302" s="453">
        <v>1</v>
      </c>
      <c r="H302" s="519">
        <v>2.57</v>
      </c>
      <c r="I302" s="519">
        <v>89.7</v>
      </c>
      <c r="J302" s="483">
        <v>2.35</v>
      </c>
      <c r="K302" s="520">
        <v>2.33</v>
      </c>
      <c r="L302" s="453">
        <v>0</v>
      </c>
      <c r="M302" s="453">
        <v>17.2</v>
      </c>
      <c r="N302" s="453">
        <v>1.75</v>
      </c>
      <c r="O302" s="453">
        <v>2.39844589836457</v>
      </c>
      <c r="P302" s="453">
        <v>1.73</v>
      </c>
      <c r="Q302" s="453">
        <v>2.4985120280487845</v>
      </c>
      <c r="R302" s="453">
        <v>1143.060348745046</v>
      </c>
      <c r="S302" s="453">
        <v>8.0299999999999994</v>
      </c>
      <c r="T302" s="453">
        <v>7.94</v>
      </c>
      <c r="U302" s="453">
        <v>0.6</v>
      </c>
      <c r="V302" s="453">
        <v>0.72</v>
      </c>
      <c r="W302" s="453">
        <v>54.14</v>
      </c>
      <c r="X302" s="456">
        <v>54.14</v>
      </c>
      <c r="Y302" s="453">
        <v>30.3</v>
      </c>
      <c r="Z302" s="453">
        <v>26.03</v>
      </c>
      <c r="AA302" s="519">
        <v>30.419999999998254</v>
      </c>
      <c r="AB302" s="519">
        <v>26.069999999999709</v>
      </c>
      <c r="AC302" s="732">
        <f t="shared" si="4"/>
        <v>56.489999999997963</v>
      </c>
      <c r="AD302" s="664"/>
      <c r="AE302" s="664"/>
      <c r="AF302" s="664"/>
      <c r="AG302" s="664"/>
      <c r="AH302" s="664"/>
      <c r="AI302" s="664"/>
      <c r="AJ302" s="485"/>
      <c r="AK302" s="485"/>
      <c r="AL302" s="485"/>
      <c r="AM302" s="485"/>
      <c r="AN302" s="485"/>
      <c r="AO302" s="665"/>
      <c r="AP302" s="485"/>
      <c r="AQ302" s="483"/>
      <c r="AR302" s="755">
        <v>0</v>
      </c>
      <c r="AS302" s="483">
        <v>11.3</v>
      </c>
      <c r="AT302" s="755">
        <v>0</v>
      </c>
      <c r="AU302" s="483">
        <v>31.5</v>
      </c>
      <c r="AV302" s="484">
        <v>0.8</v>
      </c>
      <c r="AW302" s="484">
        <v>1745.4</v>
      </c>
      <c r="AX302" s="453">
        <v>0</v>
      </c>
      <c r="AY302" s="734">
        <v>0</v>
      </c>
      <c r="AZ302" s="734">
        <v>0</v>
      </c>
      <c r="BA302" s="734">
        <v>0</v>
      </c>
      <c r="BB302" s="453">
        <v>0</v>
      </c>
      <c r="BC302" s="873">
        <v>0.46</v>
      </c>
      <c r="BD302" s="873">
        <v>1.54</v>
      </c>
      <c r="BE302" s="734">
        <v>0</v>
      </c>
      <c r="BF302" s="873">
        <v>0.56000000000000005</v>
      </c>
      <c r="BG302" s="453">
        <v>0</v>
      </c>
      <c r="BH302" s="734">
        <v>0</v>
      </c>
      <c r="BI302" s="873">
        <v>1.04</v>
      </c>
      <c r="BJ302" s="453">
        <v>22.5</v>
      </c>
      <c r="BK302" s="873">
        <v>2.89</v>
      </c>
      <c r="BL302" s="873">
        <v>3.65</v>
      </c>
      <c r="BM302" s="453">
        <v>0</v>
      </c>
      <c r="BN302" s="453">
        <v>15.8</v>
      </c>
      <c r="BO302" s="453">
        <v>1743.7</v>
      </c>
      <c r="BP302" s="453">
        <v>0</v>
      </c>
      <c r="BQ302" s="453">
        <v>16.39</v>
      </c>
      <c r="BR302" s="453">
        <v>16.399999999999999</v>
      </c>
      <c r="BS302" s="453">
        <v>0</v>
      </c>
      <c r="BT302" s="453">
        <v>29.3</v>
      </c>
      <c r="BU302" s="453">
        <v>28.4</v>
      </c>
      <c r="BV302" s="456">
        <v>461.7</v>
      </c>
      <c r="BW302" s="453">
        <v>2.56</v>
      </c>
      <c r="BX302" s="453">
        <v>1.3</v>
      </c>
      <c r="BY302" s="456">
        <v>0.89</v>
      </c>
      <c r="BZ302" s="456">
        <v>15.2</v>
      </c>
      <c r="CA302" s="456">
        <v>32.6</v>
      </c>
      <c r="CB302" s="456">
        <v>14.1</v>
      </c>
      <c r="CC302" s="456">
        <v>10.5</v>
      </c>
      <c r="CD302" s="456">
        <v>14.7</v>
      </c>
      <c r="CE302" s="456">
        <v>18.899999999999999</v>
      </c>
      <c r="CF302" s="456">
        <v>13.12</v>
      </c>
      <c r="CG302" s="456">
        <v>536.27</v>
      </c>
      <c r="CH302" s="456">
        <v>3.1</v>
      </c>
      <c r="CI302" s="456">
        <v>4.5999999999999996</v>
      </c>
      <c r="CJ302" s="456">
        <v>141.80000000000001</v>
      </c>
      <c r="CK302" s="456">
        <v>411.9</v>
      </c>
      <c r="CL302" s="456">
        <v>535.29999999999995</v>
      </c>
      <c r="CM302" s="456">
        <v>13.9</v>
      </c>
      <c r="CN302" s="456">
        <v>1.59</v>
      </c>
      <c r="CO302" s="453">
        <v>0</v>
      </c>
      <c r="CP302" s="453">
        <v>17.760000000000002</v>
      </c>
      <c r="CQ302" s="453">
        <v>56</v>
      </c>
      <c r="CR302" s="456">
        <v>0</v>
      </c>
      <c r="CS302" s="456">
        <v>0</v>
      </c>
      <c r="CT302" s="456">
        <v>0</v>
      </c>
      <c r="CU302" s="456">
        <v>0</v>
      </c>
      <c r="CV302" s="481">
        <v>784.5</v>
      </c>
      <c r="CW302" s="481">
        <v>909.9375</v>
      </c>
      <c r="CX302" s="481">
        <v>706.875</v>
      </c>
      <c r="CY302" s="481">
        <v>1117.96</v>
      </c>
      <c r="CZ302" s="456"/>
      <c r="DA302" s="456"/>
      <c r="DB302" s="456"/>
      <c r="DC302" s="456"/>
      <c r="DD302" s="456"/>
      <c r="DE302" s="456"/>
      <c r="DF302" s="456"/>
      <c r="DG302" s="425"/>
      <c r="DH302" s="456">
        <v>0</v>
      </c>
      <c r="DI302" s="456">
        <v>0</v>
      </c>
      <c r="DJ302" s="456">
        <v>0.8</v>
      </c>
      <c r="DK302" s="425"/>
      <c r="DL302" s="456"/>
      <c r="DM302" s="456"/>
      <c r="DN302" s="456"/>
      <c r="DO302" s="456"/>
      <c r="DP302" s="456"/>
      <c r="DQ302" s="456"/>
      <c r="DR302" s="456"/>
      <c r="DS302" s="456"/>
      <c r="DT302" s="456"/>
      <c r="DU302" s="456"/>
      <c r="DV302" s="456"/>
      <c r="DW302" s="456"/>
      <c r="DX302" s="456"/>
      <c r="DY302" s="456"/>
      <c r="DZ302" s="456"/>
      <c r="EA302" s="456"/>
      <c r="EB302" s="456"/>
      <c r="EC302" s="456"/>
      <c r="ED302" s="456"/>
      <c r="EE302" s="456">
        <v>1</v>
      </c>
      <c r="EF302" s="456">
        <v>2.5</v>
      </c>
      <c r="EG302" s="456">
        <v>6.5</v>
      </c>
      <c r="EH302" s="456"/>
      <c r="EI302" s="456"/>
      <c r="EJ302" s="456"/>
      <c r="EK302" s="456"/>
      <c r="EL302" s="456"/>
      <c r="EM302" s="456"/>
      <c r="EN302" s="456"/>
      <c r="EO302" s="425"/>
      <c r="EP302" s="425"/>
      <c r="EQ302" s="425" t="s">
        <v>743</v>
      </c>
      <c r="ER302" s="425">
        <v>1</v>
      </c>
      <c r="ES302" s="425">
        <v>8</v>
      </c>
      <c r="ET302" s="425">
        <v>4000</v>
      </c>
      <c r="EU302" s="457">
        <v>3295</v>
      </c>
      <c r="EV302" s="425">
        <v>210</v>
      </c>
      <c r="EW302" s="425">
        <v>7396974</v>
      </c>
      <c r="EX302" s="425">
        <v>65253</v>
      </c>
      <c r="EY302" s="666">
        <v>16.920000000000002</v>
      </c>
      <c r="EZ302" s="666">
        <v>16.940000000000001</v>
      </c>
      <c r="FA302" s="666">
        <v>0</v>
      </c>
      <c r="FB302" s="666">
        <v>1.33</v>
      </c>
      <c r="FC302" s="666">
        <v>1.22</v>
      </c>
      <c r="FD302" s="666">
        <v>0.97299999999999998</v>
      </c>
      <c r="FE302" s="666">
        <v>0.95</v>
      </c>
      <c r="FF302" s="666">
        <v>175</v>
      </c>
      <c r="FG302" s="666">
        <v>2.27</v>
      </c>
      <c r="FH302" s="666">
        <v>0.94599999999999995</v>
      </c>
      <c r="FI302" s="666">
        <v>1.75</v>
      </c>
      <c r="FJ302" s="666">
        <v>8.59</v>
      </c>
      <c r="FK302" s="666">
        <v>8.1</v>
      </c>
      <c r="FL302" s="666">
        <v>7.78</v>
      </c>
      <c r="FM302" s="666">
        <v>7.9</v>
      </c>
      <c r="FN302" s="666">
        <v>0</v>
      </c>
    </row>
    <row r="303" spans="1:170" s="416" customFormat="1" ht="15">
      <c r="A303" s="425" t="s">
        <v>3</v>
      </c>
      <c r="B303" s="426">
        <v>40832</v>
      </c>
      <c r="C303" s="418">
        <v>0</v>
      </c>
      <c r="D303" s="518">
        <v>0</v>
      </c>
      <c r="E303" s="453">
        <v>0</v>
      </c>
      <c r="F303" s="453">
        <v>42</v>
      </c>
      <c r="G303" s="453">
        <v>0.95</v>
      </c>
      <c r="H303" s="519">
        <v>2.48</v>
      </c>
      <c r="I303" s="519">
        <v>90.3</v>
      </c>
      <c r="J303" s="483">
        <v>2.04</v>
      </c>
      <c r="K303" s="520">
        <v>1.96</v>
      </c>
      <c r="L303" s="453">
        <v>0</v>
      </c>
      <c r="M303" s="453">
        <v>17.100000000000001</v>
      </c>
      <c r="N303" s="453">
        <v>1.82</v>
      </c>
      <c r="O303" s="453">
        <v>2.2952304601317302</v>
      </c>
      <c r="P303" s="453">
        <v>1.8</v>
      </c>
      <c r="Q303" s="453">
        <v>2.4910625825628894</v>
      </c>
      <c r="R303" s="453">
        <v>1122.006531043593</v>
      </c>
      <c r="S303" s="453">
        <v>8.0399999999999991</v>
      </c>
      <c r="T303" s="453">
        <v>7.96</v>
      </c>
      <c r="U303" s="453">
        <v>0.73</v>
      </c>
      <c r="V303" s="453">
        <v>0.73</v>
      </c>
      <c r="W303" s="453">
        <v>53.78</v>
      </c>
      <c r="X303" s="456">
        <v>53.600000000000009</v>
      </c>
      <c r="Y303" s="453">
        <v>30.07</v>
      </c>
      <c r="Z303" s="453">
        <v>25.83</v>
      </c>
      <c r="AA303" s="519">
        <v>30.05000000000291</v>
      </c>
      <c r="AB303" s="519">
        <v>25.69999999999709</v>
      </c>
      <c r="AC303" s="732">
        <f t="shared" si="4"/>
        <v>55.75</v>
      </c>
      <c r="AD303" s="664"/>
      <c r="AE303" s="664"/>
      <c r="AF303" s="664"/>
      <c r="AG303" s="664"/>
      <c r="AH303" s="664"/>
      <c r="AI303" s="664"/>
      <c r="AJ303" s="485"/>
      <c r="AK303" s="485"/>
      <c r="AL303" s="485"/>
      <c r="AM303" s="485"/>
      <c r="AN303" s="485"/>
      <c r="AO303" s="665"/>
      <c r="AP303" s="485"/>
      <c r="AQ303" s="483"/>
      <c r="AR303" s="755">
        <v>0</v>
      </c>
      <c r="AS303" s="483">
        <v>11</v>
      </c>
      <c r="AT303" s="755">
        <v>0</v>
      </c>
      <c r="AU303" s="483">
        <v>31.5</v>
      </c>
      <c r="AV303" s="484">
        <v>258.3</v>
      </c>
      <c r="AW303" s="484">
        <v>404.7</v>
      </c>
      <c r="AX303" s="453">
        <v>0</v>
      </c>
      <c r="AY303" s="734">
        <v>0</v>
      </c>
      <c r="AZ303" s="734">
        <v>0</v>
      </c>
      <c r="BA303" s="734">
        <v>0</v>
      </c>
      <c r="BB303" s="453">
        <v>0</v>
      </c>
      <c r="BC303" s="873">
        <v>0.5</v>
      </c>
      <c r="BD303" s="873">
        <v>1.5</v>
      </c>
      <c r="BE303" s="734">
        <v>0</v>
      </c>
      <c r="BF303" s="873">
        <v>0.5</v>
      </c>
      <c r="BG303" s="453">
        <v>0</v>
      </c>
      <c r="BH303" s="734">
        <v>0</v>
      </c>
      <c r="BI303" s="873">
        <v>1.04</v>
      </c>
      <c r="BJ303" s="453">
        <v>22.5</v>
      </c>
      <c r="BK303" s="873">
        <v>3.07</v>
      </c>
      <c r="BL303" s="873">
        <v>3.48</v>
      </c>
      <c r="BM303" s="453">
        <v>0</v>
      </c>
      <c r="BN303" s="453">
        <v>15.8</v>
      </c>
      <c r="BO303" s="453">
        <v>1031.7</v>
      </c>
      <c r="BP303" s="453">
        <v>0</v>
      </c>
      <c r="BQ303" s="453">
        <v>16.7</v>
      </c>
      <c r="BR303" s="453">
        <v>16.7</v>
      </c>
      <c r="BS303" s="453">
        <v>0</v>
      </c>
      <c r="BT303" s="453">
        <v>30.4</v>
      </c>
      <c r="BU303" s="453">
        <v>26.4</v>
      </c>
      <c r="BV303" s="456">
        <v>462.8</v>
      </c>
      <c r="BW303" s="453">
        <v>1.77</v>
      </c>
      <c r="BX303" s="453">
        <v>1.38</v>
      </c>
      <c r="BY303" s="456">
        <v>0.9</v>
      </c>
      <c r="BZ303" s="456">
        <v>15.5</v>
      </c>
      <c r="CA303" s="456">
        <v>31.7</v>
      </c>
      <c r="CB303" s="456">
        <v>13.3</v>
      </c>
      <c r="CC303" s="456">
        <v>8.4</v>
      </c>
      <c r="CD303" s="456">
        <v>12.61</v>
      </c>
      <c r="CE303" s="456">
        <v>16.7</v>
      </c>
      <c r="CF303" s="456">
        <v>13.13</v>
      </c>
      <c r="CG303" s="456">
        <v>520.73</v>
      </c>
      <c r="CH303" s="456">
        <v>3.1</v>
      </c>
      <c r="CI303" s="456">
        <v>4.4000000000000004</v>
      </c>
      <c r="CJ303" s="456">
        <v>231.7</v>
      </c>
      <c r="CK303" s="456">
        <v>429.4</v>
      </c>
      <c r="CL303" s="456">
        <v>542.9</v>
      </c>
      <c r="CM303" s="456">
        <v>13.4</v>
      </c>
      <c r="CN303" s="456">
        <v>1.54</v>
      </c>
      <c r="CO303" s="453">
        <v>0</v>
      </c>
      <c r="CP303" s="453">
        <v>17.3</v>
      </c>
      <c r="CQ303" s="453">
        <v>56</v>
      </c>
      <c r="CR303" s="456">
        <v>0</v>
      </c>
      <c r="CS303" s="456">
        <v>0</v>
      </c>
      <c r="CT303" s="456">
        <v>0</v>
      </c>
      <c r="CU303" s="456">
        <v>0</v>
      </c>
      <c r="CV303" s="481">
        <v>774.375</v>
      </c>
      <c r="CW303" s="481">
        <v>887.2</v>
      </c>
      <c r="CX303" s="481">
        <v>692.91666666666663</v>
      </c>
      <c r="CY303" s="481">
        <v>1115.6600000000001</v>
      </c>
      <c r="CZ303" s="456"/>
      <c r="DA303" s="456"/>
      <c r="DB303" s="456"/>
      <c r="DC303" s="456"/>
      <c r="DD303" s="456"/>
      <c r="DE303" s="456"/>
      <c r="DF303" s="456"/>
      <c r="DG303" s="425"/>
      <c r="DH303" s="456"/>
      <c r="DI303" s="456"/>
      <c r="DJ303" s="456"/>
      <c r="DK303" s="425"/>
      <c r="DL303" s="456"/>
      <c r="DM303" s="456"/>
      <c r="DN303" s="456"/>
      <c r="DO303" s="456"/>
      <c r="DP303" s="456"/>
      <c r="DQ303" s="456"/>
      <c r="DR303" s="456"/>
      <c r="DS303" s="456"/>
      <c r="DT303" s="456"/>
      <c r="DU303" s="456"/>
      <c r="DV303" s="456"/>
      <c r="DW303" s="456"/>
      <c r="DX303" s="456"/>
      <c r="DY303" s="456"/>
      <c r="DZ303" s="456"/>
      <c r="EA303" s="456"/>
      <c r="EB303" s="456"/>
      <c r="EC303" s="456"/>
      <c r="ED303" s="456"/>
      <c r="EE303" s="456">
        <v>1</v>
      </c>
      <c r="EF303" s="456">
        <v>2.5</v>
      </c>
      <c r="EG303" s="456">
        <v>6.5</v>
      </c>
      <c r="EH303" s="456"/>
      <c r="EI303" s="456"/>
      <c r="EJ303" s="456"/>
      <c r="EK303" s="456"/>
      <c r="EL303" s="456"/>
      <c r="EM303" s="456"/>
      <c r="EN303" s="456"/>
      <c r="EO303" s="425"/>
      <c r="EP303" s="425"/>
      <c r="EQ303" s="425" t="s">
        <v>743</v>
      </c>
      <c r="ER303" s="425">
        <v>1</v>
      </c>
      <c r="ES303" s="425">
        <v>8</v>
      </c>
      <c r="ET303" s="425">
        <v>4000</v>
      </c>
      <c r="EU303" s="457">
        <v>3120</v>
      </c>
      <c r="EV303" s="425">
        <v>170</v>
      </c>
      <c r="EW303" s="425">
        <v>7399821</v>
      </c>
      <c r="EX303" s="425">
        <v>66341</v>
      </c>
      <c r="EY303" s="666">
        <v>16.59</v>
      </c>
      <c r="EZ303" s="666">
        <v>16.61</v>
      </c>
      <c r="FA303" s="666">
        <v>0</v>
      </c>
      <c r="FB303" s="666">
        <v>1.3</v>
      </c>
      <c r="FC303" s="666">
        <v>1.22</v>
      </c>
      <c r="FD303" s="666">
        <v>0.96199999999999997</v>
      </c>
      <c r="FE303" s="666">
        <v>0.96</v>
      </c>
      <c r="FF303" s="666">
        <v>175</v>
      </c>
      <c r="FG303" s="666">
        <v>2.39</v>
      </c>
      <c r="FH303" s="666">
        <v>0.94199999999999995</v>
      </c>
      <c r="FI303" s="666">
        <v>1.91</v>
      </c>
      <c r="FJ303" s="666">
        <v>8.6</v>
      </c>
      <c r="FK303" s="666">
        <v>8</v>
      </c>
      <c r="FL303" s="666">
        <v>7.78</v>
      </c>
      <c r="FM303" s="666">
        <v>7.8</v>
      </c>
      <c r="FN303" s="666">
        <v>0</v>
      </c>
    </row>
    <row r="304" spans="1:170" s="416" customFormat="1" ht="15">
      <c r="A304" s="425" t="s">
        <v>4</v>
      </c>
      <c r="B304" s="426">
        <v>40833</v>
      </c>
      <c r="C304" s="418">
        <v>0</v>
      </c>
      <c r="D304" s="518">
        <v>0.03</v>
      </c>
      <c r="E304" s="453">
        <v>0</v>
      </c>
      <c r="F304" s="453">
        <v>44</v>
      </c>
      <c r="G304" s="453">
        <v>0.9</v>
      </c>
      <c r="H304" s="519">
        <v>2.7</v>
      </c>
      <c r="I304" s="519">
        <v>91.9</v>
      </c>
      <c r="J304" s="483">
        <v>2.1</v>
      </c>
      <c r="K304" s="520">
        <v>2.2000000000000002</v>
      </c>
      <c r="L304" s="453">
        <v>0</v>
      </c>
      <c r="M304" s="453">
        <v>17</v>
      </c>
      <c r="N304" s="453">
        <v>1.8</v>
      </c>
      <c r="O304" s="453">
        <v>2.2572881417271811</v>
      </c>
      <c r="P304" s="453">
        <v>1.8</v>
      </c>
      <c r="Q304" s="453">
        <v>2.4004572706025806</v>
      </c>
      <c r="R304" s="453">
        <v>1097.7136644649931</v>
      </c>
      <c r="S304" s="453">
        <v>8.1</v>
      </c>
      <c r="T304" s="453">
        <v>8</v>
      </c>
      <c r="U304" s="453">
        <v>0.74</v>
      </c>
      <c r="V304" s="453">
        <v>0.74</v>
      </c>
      <c r="W304" s="453">
        <v>54.14</v>
      </c>
      <c r="X304" s="456">
        <v>53.960000000000008</v>
      </c>
      <c r="Y304" s="453">
        <v>30.41</v>
      </c>
      <c r="Z304" s="453">
        <v>25.96</v>
      </c>
      <c r="AA304" s="519">
        <v>30.429999999993015</v>
      </c>
      <c r="AB304" s="519">
        <v>26.010000000002037</v>
      </c>
      <c r="AC304" s="732">
        <f t="shared" si="4"/>
        <v>56.439999999995052</v>
      </c>
      <c r="AD304" s="664"/>
      <c r="AE304" s="664"/>
      <c r="AF304" s="664"/>
      <c r="AG304" s="664"/>
      <c r="AH304" s="664"/>
      <c r="AI304" s="664"/>
      <c r="AJ304" s="485"/>
      <c r="AK304" s="485"/>
      <c r="AL304" s="485"/>
      <c r="AM304" s="485"/>
      <c r="AN304" s="485"/>
      <c r="AO304" s="665"/>
      <c r="AP304" s="485"/>
      <c r="AQ304" s="483"/>
      <c r="AR304" s="755">
        <v>0</v>
      </c>
      <c r="AS304" s="483">
        <v>21.4</v>
      </c>
      <c r="AT304" s="755">
        <v>0</v>
      </c>
      <c r="AU304" s="483">
        <v>31.4</v>
      </c>
      <c r="AV304" s="484">
        <v>139.30000000000001</v>
      </c>
      <c r="AW304" s="484">
        <v>574</v>
      </c>
      <c r="AX304" s="453">
        <v>0</v>
      </c>
      <c r="AY304" s="734">
        <v>0</v>
      </c>
      <c r="AZ304" s="734">
        <v>0</v>
      </c>
      <c r="BA304" s="734">
        <v>0</v>
      </c>
      <c r="BB304" s="453">
        <v>0</v>
      </c>
      <c r="BC304" s="873">
        <v>0.51</v>
      </c>
      <c r="BD304" s="873">
        <v>1.5</v>
      </c>
      <c r="BE304" s="734">
        <v>0</v>
      </c>
      <c r="BF304" s="873">
        <v>0.56000000000000005</v>
      </c>
      <c r="BG304" s="453">
        <v>0</v>
      </c>
      <c r="BH304" s="734">
        <v>0</v>
      </c>
      <c r="BI304" s="873">
        <v>1.04</v>
      </c>
      <c r="BJ304" s="453">
        <v>22.5</v>
      </c>
      <c r="BK304" s="873">
        <v>3.18</v>
      </c>
      <c r="BL304" s="873">
        <v>3.37</v>
      </c>
      <c r="BM304" s="453">
        <v>0</v>
      </c>
      <c r="BN304" s="453">
        <v>15.8</v>
      </c>
      <c r="BO304" s="453">
        <v>1752.4</v>
      </c>
      <c r="BP304" s="453">
        <v>0</v>
      </c>
      <c r="BQ304" s="453">
        <v>16.7</v>
      </c>
      <c r="BR304" s="453">
        <v>16.7</v>
      </c>
      <c r="BS304" s="453">
        <v>0</v>
      </c>
      <c r="BT304" s="453">
        <v>30.5</v>
      </c>
      <c r="BU304" s="453">
        <v>28.4</v>
      </c>
      <c r="BV304" s="456">
        <v>457.5</v>
      </c>
      <c r="BW304" s="453">
        <v>1.77</v>
      </c>
      <c r="BX304" s="453">
        <v>1.42</v>
      </c>
      <c r="BY304" s="456">
        <v>0.89</v>
      </c>
      <c r="BZ304" s="456">
        <v>15.5</v>
      </c>
      <c r="CA304" s="456">
        <v>31.7</v>
      </c>
      <c r="CB304" s="456">
        <v>13.3</v>
      </c>
      <c r="CC304" s="456">
        <v>8.4</v>
      </c>
      <c r="CD304" s="456">
        <v>12.6</v>
      </c>
      <c r="CE304" s="456">
        <v>16.7</v>
      </c>
      <c r="CF304" s="456">
        <v>13.1</v>
      </c>
      <c r="CG304" s="456">
        <v>520.70000000000005</v>
      </c>
      <c r="CH304" s="456">
        <v>3.1</v>
      </c>
      <c r="CI304" s="456">
        <v>4.7</v>
      </c>
      <c r="CJ304" s="456">
        <v>130</v>
      </c>
      <c r="CK304" s="456">
        <v>388.3</v>
      </c>
      <c r="CL304" s="456">
        <v>578</v>
      </c>
      <c r="CM304" s="456">
        <v>13.5</v>
      </c>
      <c r="CN304" s="456">
        <v>2</v>
      </c>
      <c r="CO304" s="453">
        <v>0</v>
      </c>
      <c r="CP304" s="453">
        <v>17.21</v>
      </c>
      <c r="CQ304" s="453">
        <v>56</v>
      </c>
      <c r="CR304" s="456">
        <v>0</v>
      </c>
      <c r="CS304" s="456">
        <v>0</v>
      </c>
      <c r="CT304" s="456">
        <v>0</v>
      </c>
      <c r="CU304" s="456">
        <v>0</v>
      </c>
      <c r="CV304" s="481">
        <v>761.33333333333337</v>
      </c>
      <c r="CW304" s="481">
        <v>861.53125</v>
      </c>
      <c r="CX304" s="481">
        <v>677.38541666666663</v>
      </c>
      <c r="CY304" s="481">
        <v>1113.1300000000001</v>
      </c>
      <c r="CZ304" s="456"/>
      <c r="DA304" s="456"/>
      <c r="DB304" s="456"/>
      <c r="DC304" s="456"/>
      <c r="DD304" s="456"/>
      <c r="DE304" s="456"/>
      <c r="DF304" s="456"/>
      <c r="DG304" s="425"/>
      <c r="DH304" s="456">
        <v>0</v>
      </c>
      <c r="DI304" s="456">
        <v>0</v>
      </c>
      <c r="DJ304" s="456">
        <v>0.88</v>
      </c>
      <c r="DK304" s="425"/>
      <c r="DL304" s="456"/>
      <c r="DM304" s="456"/>
      <c r="DN304" s="456"/>
      <c r="DO304" s="456"/>
      <c r="DP304" s="456"/>
      <c r="DQ304" s="456"/>
      <c r="DR304" s="456"/>
      <c r="DS304" s="456"/>
      <c r="DT304" s="456"/>
      <c r="DU304" s="456"/>
      <c r="DV304" s="456"/>
      <c r="DW304" s="456"/>
      <c r="DX304" s="456"/>
      <c r="DY304" s="456"/>
      <c r="DZ304" s="456"/>
      <c r="EA304" s="456"/>
      <c r="EB304" s="456"/>
      <c r="EC304" s="456"/>
      <c r="ED304" s="456"/>
      <c r="EE304" s="456">
        <v>1</v>
      </c>
      <c r="EF304" s="456">
        <v>2.5</v>
      </c>
      <c r="EG304" s="456">
        <v>6.5</v>
      </c>
      <c r="EH304" s="456"/>
      <c r="EI304" s="456"/>
      <c r="EJ304" s="456"/>
      <c r="EK304" s="456"/>
      <c r="EL304" s="456"/>
      <c r="EM304" s="456"/>
      <c r="EN304" s="456"/>
      <c r="EO304" s="425"/>
      <c r="EP304" s="425"/>
      <c r="EQ304" s="425" t="s">
        <v>743</v>
      </c>
      <c r="ER304" s="425">
        <v>1</v>
      </c>
      <c r="ES304" s="425">
        <v>8</v>
      </c>
      <c r="ET304" s="425">
        <v>4000</v>
      </c>
      <c r="EU304" s="457">
        <v>2950</v>
      </c>
      <c r="EV304" s="425">
        <v>170</v>
      </c>
      <c r="EW304" s="425">
        <v>7402355</v>
      </c>
      <c r="EX304" s="425">
        <v>67482</v>
      </c>
      <c r="EY304" s="666">
        <v>16.61</v>
      </c>
      <c r="EZ304" s="666">
        <v>16.600000000000001</v>
      </c>
      <c r="FA304" s="666">
        <v>0</v>
      </c>
      <c r="FB304" s="666">
        <v>1.39</v>
      </c>
      <c r="FC304" s="666">
        <v>1.29</v>
      </c>
      <c r="FD304" s="666">
        <v>0.97199999999999998</v>
      </c>
      <c r="FE304" s="666">
        <v>0.95</v>
      </c>
      <c r="FF304" s="666">
        <v>170</v>
      </c>
      <c r="FG304" s="666">
        <v>2.37</v>
      </c>
      <c r="FH304" s="666">
        <v>0.94299999999999995</v>
      </c>
      <c r="FI304" s="666">
        <v>1.8</v>
      </c>
      <c r="FJ304" s="666">
        <v>8.2200000000000006</v>
      </c>
      <c r="FK304" s="666">
        <v>7.9</v>
      </c>
      <c r="FL304" s="666">
        <v>7.77</v>
      </c>
      <c r="FM304" s="666">
        <v>7.8</v>
      </c>
      <c r="FN304" s="666">
        <v>0</v>
      </c>
    </row>
    <row r="305" spans="1:170" s="416" customFormat="1" ht="15">
      <c r="A305" s="425" t="s">
        <v>5</v>
      </c>
      <c r="B305" s="426">
        <v>40834</v>
      </c>
      <c r="C305" s="418">
        <v>0</v>
      </c>
      <c r="D305" s="518">
        <v>0</v>
      </c>
      <c r="E305" s="453">
        <v>0</v>
      </c>
      <c r="F305" s="453">
        <v>58</v>
      </c>
      <c r="G305" s="453">
        <v>0.9</v>
      </c>
      <c r="H305" s="519">
        <v>2.9</v>
      </c>
      <c r="I305" s="519">
        <v>91.24</v>
      </c>
      <c r="J305" s="483">
        <v>2.4</v>
      </c>
      <c r="K305" s="520">
        <v>2.5</v>
      </c>
      <c r="L305" s="453">
        <v>0</v>
      </c>
      <c r="M305" s="453">
        <v>17</v>
      </c>
      <c r="N305" s="453">
        <v>1.8</v>
      </c>
      <c r="O305" s="453">
        <v>2.2570159891818289</v>
      </c>
      <c r="P305" s="453">
        <v>1.8</v>
      </c>
      <c r="Q305" s="453">
        <v>2.4126336015370353</v>
      </c>
      <c r="R305" s="787">
        <v>1104.1917622192864</v>
      </c>
      <c r="S305" s="453">
        <v>8.1</v>
      </c>
      <c r="T305" s="453">
        <v>8.1</v>
      </c>
      <c r="U305" s="453">
        <v>0.8</v>
      </c>
      <c r="V305" s="453">
        <v>0.7</v>
      </c>
      <c r="W305" s="453">
        <v>55.94</v>
      </c>
      <c r="X305" s="456">
        <v>55.94</v>
      </c>
      <c r="Y305" s="453">
        <v>30.3</v>
      </c>
      <c r="Z305" s="453">
        <v>26.03</v>
      </c>
      <c r="AA305" s="849">
        <v>30.30000000000291</v>
      </c>
      <c r="AB305" s="849">
        <v>26.629999999997381</v>
      </c>
      <c r="AC305" s="732">
        <f t="shared" si="4"/>
        <v>56.930000000000291</v>
      </c>
      <c r="AD305" s="664"/>
      <c r="AE305" s="664"/>
      <c r="AF305" s="664"/>
      <c r="AG305" s="664"/>
      <c r="AH305" s="664"/>
      <c r="AI305" s="664"/>
      <c r="AJ305" s="485"/>
      <c r="AK305" s="485"/>
      <c r="AL305" s="485"/>
      <c r="AM305" s="485"/>
      <c r="AN305" s="485"/>
      <c r="AO305" s="665"/>
      <c r="AP305" s="485"/>
      <c r="AQ305" s="483"/>
      <c r="AR305" s="755">
        <v>0</v>
      </c>
      <c r="AS305" s="483">
        <v>11.4</v>
      </c>
      <c r="AT305" s="755">
        <v>0</v>
      </c>
      <c r="AU305" s="483">
        <v>31.5</v>
      </c>
      <c r="AV305" s="484">
        <v>270.10000000000002</v>
      </c>
      <c r="AW305" s="484">
        <v>640.4</v>
      </c>
      <c r="AX305" s="453">
        <v>0</v>
      </c>
      <c r="AY305" s="734">
        <v>0</v>
      </c>
      <c r="AZ305" s="734">
        <v>0</v>
      </c>
      <c r="BA305" s="734">
        <v>0</v>
      </c>
      <c r="BB305" s="453">
        <v>0</v>
      </c>
      <c r="BC305" s="873">
        <v>0.5</v>
      </c>
      <c r="BD305" s="873">
        <v>1.5</v>
      </c>
      <c r="BE305" s="734">
        <v>0</v>
      </c>
      <c r="BF305" s="873">
        <v>0.49</v>
      </c>
      <c r="BG305" s="453">
        <v>0</v>
      </c>
      <c r="BH305" s="734">
        <v>0</v>
      </c>
      <c r="BI305" s="873">
        <v>1</v>
      </c>
      <c r="BJ305" s="453">
        <v>23.3</v>
      </c>
      <c r="BK305" s="873">
        <v>3.18</v>
      </c>
      <c r="BL305" s="873">
        <v>3.37</v>
      </c>
      <c r="BM305" s="453">
        <v>0</v>
      </c>
      <c r="BN305" s="453">
        <v>16.5</v>
      </c>
      <c r="BO305" s="787">
        <v>803.2</v>
      </c>
      <c r="BP305" s="453">
        <v>65</v>
      </c>
      <c r="BQ305" s="453">
        <v>16.5</v>
      </c>
      <c r="BR305" s="453">
        <v>16.5</v>
      </c>
      <c r="BS305" s="453">
        <v>0</v>
      </c>
      <c r="BT305" s="453">
        <v>30.2</v>
      </c>
      <c r="BU305" s="453">
        <v>26.4</v>
      </c>
      <c r="BV305" s="456">
        <v>559.6</v>
      </c>
      <c r="BW305" s="453">
        <v>4.12</v>
      </c>
      <c r="BX305" s="453">
        <v>1.42</v>
      </c>
      <c r="BY305" s="456">
        <v>0.89</v>
      </c>
      <c r="BZ305" s="456">
        <v>15.4</v>
      </c>
      <c r="CA305" s="456">
        <v>31.5</v>
      </c>
      <c r="CB305" s="456">
        <v>12.5</v>
      </c>
      <c r="CC305" s="456">
        <v>10.4</v>
      </c>
      <c r="CD305" s="456">
        <v>14.5</v>
      </c>
      <c r="CE305" s="456">
        <v>18.899999999999999</v>
      </c>
      <c r="CF305" s="456">
        <v>13.3</v>
      </c>
      <c r="CG305" s="456">
        <v>553.4</v>
      </c>
      <c r="CH305" s="456">
        <v>3.1</v>
      </c>
      <c r="CI305" s="456">
        <v>4.5</v>
      </c>
      <c r="CJ305" s="456">
        <v>102.1</v>
      </c>
      <c r="CK305" s="456">
        <v>388.3</v>
      </c>
      <c r="CL305" s="456">
        <v>563.6</v>
      </c>
      <c r="CM305" s="456">
        <v>13.2</v>
      </c>
      <c r="CN305" s="456">
        <v>1.8</v>
      </c>
      <c r="CO305" s="453">
        <v>0</v>
      </c>
      <c r="CP305" s="453">
        <v>16.53</v>
      </c>
      <c r="CQ305" s="453">
        <v>56</v>
      </c>
      <c r="CR305" s="456">
        <v>0</v>
      </c>
      <c r="CS305" s="456">
        <v>0</v>
      </c>
      <c r="CT305" s="456">
        <v>0</v>
      </c>
      <c r="CU305" s="456">
        <v>0</v>
      </c>
      <c r="CV305" s="481">
        <v>706.54166666666663</v>
      </c>
      <c r="CW305" s="481">
        <v>837.6875</v>
      </c>
      <c r="CX305" s="481">
        <v>627.9375</v>
      </c>
      <c r="CY305" s="481">
        <v>1110.5999999999999</v>
      </c>
      <c r="CZ305" s="456"/>
      <c r="DA305" s="456"/>
      <c r="DB305" s="456"/>
      <c r="DC305" s="456"/>
      <c r="DD305" s="456"/>
      <c r="DE305" s="456"/>
      <c r="DF305" s="456"/>
      <c r="DG305" s="425"/>
      <c r="DH305" s="757">
        <v>0</v>
      </c>
      <c r="DI305" s="757">
        <v>0</v>
      </c>
      <c r="DJ305" s="757">
        <v>0.82</v>
      </c>
      <c r="DK305" s="425"/>
      <c r="DL305" s="456"/>
      <c r="DM305" s="456"/>
      <c r="DN305" s="456"/>
      <c r="DO305" s="456"/>
      <c r="DP305" s="456"/>
      <c r="DQ305" s="456"/>
      <c r="DR305" s="456"/>
      <c r="DS305" s="456"/>
      <c r="DT305" s="456"/>
      <c r="DU305" s="456"/>
      <c r="DV305" s="456"/>
      <c r="DW305" s="456">
        <v>-340</v>
      </c>
      <c r="DX305" s="456"/>
      <c r="DY305" s="456"/>
      <c r="DZ305" s="456"/>
      <c r="EA305" s="456"/>
      <c r="EB305" s="456"/>
      <c r="EC305" s="456"/>
      <c r="ED305" s="456"/>
      <c r="EE305" s="456">
        <v>1</v>
      </c>
      <c r="EF305" s="456">
        <v>2.5</v>
      </c>
      <c r="EG305" s="456">
        <v>6.5</v>
      </c>
      <c r="EH305" s="456"/>
      <c r="EI305" s="456"/>
      <c r="EJ305" s="456"/>
      <c r="EK305" s="456"/>
      <c r="EL305" s="456"/>
      <c r="EM305" s="456"/>
      <c r="EN305" s="456"/>
      <c r="EO305" s="425"/>
      <c r="EP305" s="425"/>
      <c r="EQ305" s="425" t="s">
        <v>743</v>
      </c>
      <c r="ER305" s="425">
        <v>1</v>
      </c>
      <c r="ES305" s="425">
        <v>8</v>
      </c>
      <c r="ET305" s="425">
        <v>4000</v>
      </c>
      <c r="EU305" s="457">
        <v>2770</v>
      </c>
      <c r="EV305" s="425">
        <v>170</v>
      </c>
      <c r="EW305" s="425">
        <v>7405095</v>
      </c>
      <c r="EX305" s="425">
        <v>68539</v>
      </c>
      <c r="EY305" s="666">
        <v>17.13</v>
      </c>
      <c r="EZ305" s="666">
        <v>17.12</v>
      </c>
      <c r="FA305" s="666">
        <v>0</v>
      </c>
      <c r="FB305" s="666">
        <v>1.35</v>
      </c>
      <c r="FC305" s="666">
        <v>1.26</v>
      </c>
      <c r="FD305" s="666">
        <v>0.95499999999999996</v>
      </c>
      <c r="FE305" s="666">
        <v>0.98</v>
      </c>
      <c r="FF305" s="666">
        <v>180</v>
      </c>
      <c r="FG305" s="666">
        <v>2.57</v>
      </c>
      <c r="FH305" s="666">
        <v>0.96799999999999997</v>
      </c>
      <c r="FI305" s="666">
        <v>1.8</v>
      </c>
      <c r="FJ305" s="666">
        <v>8.1300000000000008</v>
      </c>
      <c r="FK305" s="666">
        <v>8.3000000000000007</v>
      </c>
      <c r="FL305" s="666">
        <v>7.83</v>
      </c>
      <c r="FM305" s="666">
        <v>7.7</v>
      </c>
      <c r="FN305" s="666">
        <v>0</v>
      </c>
    </row>
    <row r="306" spans="1:170" s="416" customFormat="1" ht="15">
      <c r="A306" s="425" t="s">
        <v>6</v>
      </c>
      <c r="B306" s="426">
        <v>40835</v>
      </c>
      <c r="C306" s="418">
        <v>0</v>
      </c>
      <c r="D306" s="518">
        <v>0</v>
      </c>
      <c r="E306" s="453">
        <v>0</v>
      </c>
      <c r="F306" s="453">
        <v>49</v>
      </c>
      <c r="G306" s="453">
        <v>0.85</v>
      </c>
      <c r="H306" s="519">
        <v>3.65</v>
      </c>
      <c r="I306" s="519">
        <v>91.5</v>
      </c>
      <c r="J306" s="483">
        <v>2.96</v>
      </c>
      <c r="K306" s="520">
        <v>3.09</v>
      </c>
      <c r="L306" s="453">
        <v>0</v>
      </c>
      <c r="M306" s="453">
        <v>17</v>
      </c>
      <c r="N306" s="453">
        <v>1.81</v>
      </c>
      <c r="O306" s="453">
        <v>2.2722469076495986</v>
      </c>
      <c r="P306" s="453">
        <v>1.75</v>
      </c>
      <c r="Q306" s="453">
        <v>2.4134742404227212</v>
      </c>
      <c r="R306" s="453">
        <v>1147.2711122853366</v>
      </c>
      <c r="S306" s="453">
        <v>8.06</v>
      </c>
      <c r="T306" s="453">
        <v>7.93</v>
      </c>
      <c r="U306" s="453">
        <v>0.78</v>
      </c>
      <c r="V306" s="453">
        <v>0.65</v>
      </c>
      <c r="W306" s="453">
        <v>53.960000000000008</v>
      </c>
      <c r="X306" s="456">
        <v>53.78</v>
      </c>
      <c r="Y306" s="453">
        <v>30.3</v>
      </c>
      <c r="Z306" s="453">
        <v>28</v>
      </c>
      <c r="AA306" s="519">
        <v>30.5</v>
      </c>
      <c r="AB306" s="519">
        <v>28.160000000003492</v>
      </c>
      <c r="AC306" s="732">
        <f t="shared" si="4"/>
        <v>58.660000000003492</v>
      </c>
      <c r="AD306" s="664"/>
      <c r="AE306" s="664"/>
      <c r="AF306" s="664"/>
      <c r="AG306" s="664"/>
      <c r="AH306" s="664"/>
      <c r="AI306" s="664"/>
      <c r="AJ306" s="485"/>
      <c r="AK306" s="485"/>
      <c r="AL306" s="485"/>
      <c r="AM306" s="485"/>
      <c r="AN306" s="485"/>
      <c r="AO306" s="665"/>
      <c r="AP306" s="485"/>
      <c r="AQ306" s="483"/>
      <c r="AR306" s="755">
        <v>0</v>
      </c>
      <c r="AS306" s="483">
        <v>11.1</v>
      </c>
      <c r="AT306" s="755">
        <v>0</v>
      </c>
      <c r="AU306" s="483">
        <v>31.5</v>
      </c>
      <c r="AV306" s="484">
        <v>492</v>
      </c>
      <c r="AW306" s="484">
        <v>1007.6</v>
      </c>
      <c r="AX306" s="453">
        <v>0</v>
      </c>
      <c r="AY306" s="734">
        <v>0</v>
      </c>
      <c r="AZ306" s="734">
        <v>0</v>
      </c>
      <c r="BA306" s="734">
        <v>0</v>
      </c>
      <c r="BB306" s="453">
        <v>0</v>
      </c>
      <c r="BC306" s="873">
        <v>0.51</v>
      </c>
      <c r="BD306" s="873">
        <v>1.5</v>
      </c>
      <c r="BE306" s="734">
        <v>0</v>
      </c>
      <c r="BF306" s="873">
        <v>0.55000000000000004</v>
      </c>
      <c r="BG306" s="453">
        <v>0</v>
      </c>
      <c r="BH306" s="734">
        <v>0</v>
      </c>
      <c r="BI306" s="873">
        <v>1</v>
      </c>
      <c r="BJ306" s="453">
        <v>24.5</v>
      </c>
      <c r="BK306" s="873">
        <v>3.08</v>
      </c>
      <c r="BL306" s="873">
        <v>3.46</v>
      </c>
      <c r="BM306" s="453">
        <v>0</v>
      </c>
      <c r="BN306" s="453">
        <v>17.8</v>
      </c>
      <c r="BO306" s="453">
        <v>1676.7</v>
      </c>
      <c r="BP306" s="453">
        <v>0</v>
      </c>
      <c r="BQ306" s="453">
        <v>17.2</v>
      </c>
      <c r="BR306" s="453">
        <v>17.2</v>
      </c>
      <c r="BS306" s="453">
        <v>0</v>
      </c>
      <c r="BT306" s="453">
        <v>29.5</v>
      </c>
      <c r="BU306" s="453">
        <v>25.7</v>
      </c>
      <c r="BV306" s="456">
        <v>497.5</v>
      </c>
      <c r="BW306" s="453">
        <v>1.87</v>
      </c>
      <c r="BX306" s="453">
        <v>1.37</v>
      </c>
      <c r="BY306" s="456">
        <v>0.9</v>
      </c>
      <c r="BZ306" s="456">
        <v>15.5</v>
      </c>
      <c r="CA306" s="456">
        <v>31</v>
      </c>
      <c r="CB306" s="456">
        <v>14.9</v>
      </c>
      <c r="CC306" s="456">
        <v>8.5</v>
      </c>
      <c r="CD306" s="456">
        <v>12.7</v>
      </c>
      <c r="CE306" s="456">
        <v>16.8</v>
      </c>
      <c r="CF306" s="456">
        <v>12.7</v>
      </c>
      <c r="CG306" s="456">
        <v>488.4</v>
      </c>
      <c r="CH306" s="456">
        <v>3.1</v>
      </c>
      <c r="CI306" s="456">
        <v>5</v>
      </c>
      <c r="CJ306" s="456">
        <v>124.9</v>
      </c>
      <c r="CK306" s="456">
        <v>394.8</v>
      </c>
      <c r="CL306" s="456">
        <v>561.20000000000005</v>
      </c>
      <c r="CM306" s="456">
        <v>13.6</v>
      </c>
      <c r="CN306" s="456">
        <v>1.8</v>
      </c>
      <c r="CO306" s="453">
        <v>0</v>
      </c>
      <c r="CP306" s="453">
        <v>17.170000000000002</v>
      </c>
      <c r="CQ306" s="453">
        <v>56</v>
      </c>
      <c r="CR306" s="456">
        <v>0</v>
      </c>
      <c r="CS306" s="456">
        <v>0</v>
      </c>
      <c r="CT306" s="456">
        <v>0</v>
      </c>
      <c r="CU306" s="456">
        <v>0</v>
      </c>
      <c r="CV306" s="481">
        <v>653</v>
      </c>
      <c r="CW306" s="481">
        <v>740.54166666666663</v>
      </c>
      <c r="CX306" s="481">
        <v>569.10416666666663</v>
      </c>
      <c r="CY306" s="481">
        <v>1108.1600000000001</v>
      </c>
      <c r="CZ306" s="456"/>
      <c r="DA306" s="456"/>
      <c r="DB306" s="456"/>
      <c r="DC306" s="456"/>
      <c r="DD306" s="456"/>
      <c r="DE306" s="456"/>
      <c r="DF306" s="456"/>
      <c r="DG306" s="425"/>
      <c r="DH306" s="456">
        <v>0</v>
      </c>
      <c r="DI306" s="456">
        <v>0</v>
      </c>
      <c r="DJ306" s="456">
        <v>0.91</v>
      </c>
      <c r="DK306" s="425"/>
      <c r="DL306" s="456"/>
      <c r="DM306" s="456"/>
      <c r="DN306" s="456"/>
      <c r="DO306" s="456"/>
      <c r="DP306" s="456"/>
      <c r="DQ306" s="456"/>
      <c r="DR306" s="456"/>
      <c r="DS306" s="456"/>
      <c r="DT306" s="456"/>
      <c r="DU306" s="456"/>
      <c r="DV306" s="456"/>
      <c r="DW306" s="456"/>
      <c r="DX306" s="456"/>
      <c r="DY306" s="456"/>
      <c r="DZ306" s="456"/>
      <c r="EA306" s="456"/>
      <c r="EB306" s="456"/>
      <c r="EC306" s="456"/>
      <c r="ED306" s="456"/>
      <c r="EE306" s="456">
        <v>1</v>
      </c>
      <c r="EF306" s="456">
        <v>2.5</v>
      </c>
      <c r="EG306" s="456">
        <v>6.5</v>
      </c>
      <c r="EH306" s="456"/>
      <c r="EI306" s="456"/>
      <c r="EJ306" s="456"/>
      <c r="EK306" s="456"/>
      <c r="EL306" s="456"/>
      <c r="EM306" s="456"/>
      <c r="EN306" s="456"/>
      <c r="EO306" s="425"/>
      <c r="EP306" s="425"/>
      <c r="EQ306" s="425" t="s">
        <v>743</v>
      </c>
      <c r="ER306" s="425">
        <v>1</v>
      </c>
      <c r="ES306" s="425">
        <v>8</v>
      </c>
      <c r="ET306" s="425">
        <v>4000</v>
      </c>
      <c r="EU306" s="457">
        <v>2500</v>
      </c>
      <c r="EV306" s="425">
        <v>105</v>
      </c>
      <c r="EW306" s="425">
        <v>7410186</v>
      </c>
      <c r="EX306" s="425">
        <v>70793</v>
      </c>
      <c r="EY306" s="666">
        <v>17.91</v>
      </c>
      <c r="EZ306" s="666">
        <v>17.89</v>
      </c>
      <c r="FA306" s="666">
        <v>0</v>
      </c>
      <c r="FB306" s="666">
        <v>1.46</v>
      </c>
      <c r="FC306" s="666">
        <v>1.36</v>
      </c>
      <c r="FD306" s="666">
        <v>0.88200000000000001</v>
      </c>
      <c r="FE306" s="666">
        <v>0.9</v>
      </c>
      <c r="FF306" s="666">
        <v>130</v>
      </c>
      <c r="FG306" s="666">
        <v>3.13</v>
      </c>
      <c r="FH306" s="666">
        <v>1.1419999999999999</v>
      </c>
      <c r="FI306" s="666">
        <v>2.06</v>
      </c>
      <c r="FJ306" s="666">
        <v>8.01</v>
      </c>
      <c r="FK306" s="666">
        <v>7.9</v>
      </c>
      <c r="FL306" s="666">
        <v>7.94</v>
      </c>
      <c r="FM306" s="666">
        <v>7.7</v>
      </c>
      <c r="FN306" s="666">
        <v>0</v>
      </c>
    </row>
    <row r="307" spans="1:170" s="416" customFormat="1" ht="15">
      <c r="A307" s="425" t="s">
        <v>7</v>
      </c>
      <c r="B307" s="426">
        <v>40836</v>
      </c>
      <c r="C307" s="418">
        <v>0</v>
      </c>
      <c r="D307" s="518">
        <v>0</v>
      </c>
      <c r="E307" s="453">
        <v>0</v>
      </c>
      <c r="F307" s="453">
        <v>47</v>
      </c>
      <c r="G307" s="453">
        <v>0.7</v>
      </c>
      <c r="H307" s="519">
        <v>3.82</v>
      </c>
      <c r="I307" s="519">
        <v>93.05</v>
      </c>
      <c r="J307" s="483">
        <v>2.96</v>
      </c>
      <c r="K307" s="520">
        <v>3.08</v>
      </c>
      <c r="L307" s="453">
        <v>0</v>
      </c>
      <c r="M307" s="453">
        <v>16.899999999999999</v>
      </c>
      <c r="N307" s="453">
        <v>1.83</v>
      </c>
      <c r="O307" s="453">
        <v>2.37925812175633</v>
      </c>
      <c r="P307" s="453">
        <v>1.84</v>
      </c>
      <c r="Q307" s="453">
        <v>2.4743931015712124</v>
      </c>
      <c r="R307" s="453">
        <v>1181.9289352708056</v>
      </c>
      <c r="S307" s="453">
        <v>7.99</v>
      </c>
      <c r="T307" s="453">
        <v>7.97</v>
      </c>
      <c r="U307" s="453">
        <v>0.8</v>
      </c>
      <c r="V307" s="453">
        <v>0.78</v>
      </c>
      <c r="W307" s="453">
        <v>53.960000000000008</v>
      </c>
      <c r="X307" s="456">
        <v>53.600000000000009</v>
      </c>
      <c r="Y307" s="453">
        <v>30.37</v>
      </c>
      <c r="Z307" s="453">
        <v>28.07</v>
      </c>
      <c r="AA307" s="519">
        <v>30.400000000008731</v>
      </c>
      <c r="AB307" s="519">
        <v>27.989999999997963</v>
      </c>
      <c r="AC307" s="732">
        <f t="shared" si="4"/>
        <v>58.390000000006694</v>
      </c>
      <c r="AD307" s="664"/>
      <c r="AE307" s="664"/>
      <c r="AF307" s="664"/>
      <c r="AG307" s="664"/>
      <c r="AH307" s="664"/>
      <c r="AI307" s="664"/>
      <c r="AJ307" s="485"/>
      <c r="AK307" s="485"/>
      <c r="AL307" s="485"/>
      <c r="AM307" s="485"/>
      <c r="AN307" s="485"/>
      <c r="AO307" s="665"/>
      <c r="AP307" s="485"/>
      <c r="AQ307" s="483"/>
      <c r="AR307" s="755">
        <v>0</v>
      </c>
      <c r="AS307" s="483">
        <v>11.2</v>
      </c>
      <c r="AT307" s="755">
        <v>0</v>
      </c>
      <c r="AU307" s="483">
        <v>31.5</v>
      </c>
      <c r="AV307" s="484">
        <v>372.1</v>
      </c>
      <c r="AW307" s="484">
        <v>500.8</v>
      </c>
      <c r="AX307" s="453">
        <v>0</v>
      </c>
      <c r="AY307" s="734">
        <v>0</v>
      </c>
      <c r="AZ307" s="734">
        <v>0</v>
      </c>
      <c r="BA307" s="734">
        <v>0</v>
      </c>
      <c r="BB307" s="453">
        <v>0</v>
      </c>
      <c r="BC307" s="873">
        <v>0.51</v>
      </c>
      <c r="BD307" s="873">
        <v>1.5</v>
      </c>
      <c r="BE307" s="734">
        <v>0</v>
      </c>
      <c r="BF307" s="873">
        <v>0.49</v>
      </c>
      <c r="BG307" s="453">
        <v>0</v>
      </c>
      <c r="BH307" s="734">
        <v>0</v>
      </c>
      <c r="BI307" s="873">
        <v>1</v>
      </c>
      <c r="BJ307" s="453">
        <v>24.5</v>
      </c>
      <c r="BK307" s="873">
        <v>2.89</v>
      </c>
      <c r="BL307" s="873">
        <v>3.65</v>
      </c>
      <c r="BM307" s="453">
        <v>0</v>
      </c>
      <c r="BN307" s="453">
        <v>17.8</v>
      </c>
      <c r="BO307" s="453">
        <v>781.5</v>
      </c>
      <c r="BP307" s="453">
        <v>0</v>
      </c>
      <c r="BQ307" s="453">
        <v>17</v>
      </c>
      <c r="BR307" s="453">
        <v>17</v>
      </c>
      <c r="BS307" s="453">
        <v>0</v>
      </c>
      <c r="BT307" s="453">
        <v>29.9</v>
      </c>
      <c r="BU307" s="453">
        <v>24.7</v>
      </c>
      <c r="BV307" s="456">
        <v>435.2</v>
      </c>
      <c r="BW307" s="453">
        <v>2.31</v>
      </c>
      <c r="BX307" s="453">
        <v>1.48</v>
      </c>
      <c r="BY307" s="456">
        <v>0.9</v>
      </c>
      <c r="BZ307" s="456">
        <v>15</v>
      </c>
      <c r="CA307" s="456">
        <v>30.8</v>
      </c>
      <c r="CB307" s="456">
        <v>14.2</v>
      </c>
      <c r="CC307" s="456">
        <v>10.4</v>
      </c>
      <c r="CD307" s="456">
        <v>14.5</v>
      </c>
      <c r="CE307" s="456">
        <v>19</v>
      </c>
      <c r="CF307" s="456">
        <v>13.2</v>
      </c>
      <c r="CG307" s="456">
        <v>562.4</v>
      </c>
      <c r="CH307" s="456">
        <v>3.1</v>
      </c>
      <c r="CI307" s="456">
        <v>4.3</v>
      </c>
      <c r="CJ307" s="456">
        <v>165.2</v>
      </c>
      <c r="CK307" s="456">
        <v>385.6</v>
      </c>
      <c r="CL307" s="456">
        <v>562.70000000000005</v>
      </c>
      <c r="CM307" s="456">
        <v>14</v>
      </c>
      <c r="CN307" s="456">
        <v>1.9</v>
      </c>
      <c r="CO307" s="453">
        <v>0</v>
      </c>
      <c r="CP307" s="453">
        <v>16.77</v>
      </c>
      <c r="CQ307" s="453">
        <v>56</v>
      </c>
      <c r="CR307" s="456">
        <v>0</v>
      </c>
      <c r="CS307" s="456">
        <v>0</v>
      </c>
      <c r="CT307" s="456">
        <v>0</v>
      </c>
      <c r="CU307" s="456">
        <v>0</v>
      </c>
      <c r="CV307" s="481">
        <v>571.08333333333337</v>
      </c>
      <c r="CW307" s="481">
        <v>712.65625</v>
      </c>
      <c r="CX307" s="481">
        <v>500.0625</v>
      </c>
      <c r="CY307" s="481">
        <v>1106</v>
      </c>
      <c r="CZ307" s="456"/>
      <c r="DA307" s="456"/>
      <c r="DB307" s="456"/>
      <c r="DC307" s="456"/>
      <c r="DD307" s="456"/>
      <c r="DE307" s="456"/>
      <c r="DF307" s="456"/>
      <c r="DG307" s="425"/>
      <c r="DH307" s="456">
        <v>0</v>
      </c>
      <c r="DI307" s="456">
        <v>0</v>
      </c>
      <c r="DJ307" s="456">
        <v>0.74</v>
      </c>
      <c r="DK307" s="425"/>
      <c r="DL307" s="456"/>
      <c r="DM307" s="456"/>
      <c r="DN307" s="456"/>
      <c r="DO307" s="456"/>
      <c r="DP307" s="456"/>
      <c r="DQ307" s="456"/>
      <c r="DR307" s="456"/>
      <c r="DS307" s="456"/>
      <c r="DT307" s="456"/>
      <c r="DU307" s="456"/>
      <c r="DV307" s="456"/>
      <c r="DW307" s="456"/>
      <c r="DX307" s="456"/>
      <c r="DY307" s="456"/>
      <c r="DZ307" s="456"/>
      <c r="EA307" s="456"/>
      <c r="EB307" s="456"/>
      <c r="EC307" s="456"/>
      <c r="ED307" s="456"/>
      <c r="EE307" s="456">
        <v>1</v>
      </c>
      <c r="EF307" s="456">
        <v>2.5</v>
      </c>
      <c r="EG307" s="456">
        <v>6.5</v>
      </c>
      <c r="EH307" s="456"/>
      <c r="EI307" s="456"/>
      <c r="EJ307" s="456"/>
      <c r="EK307" s="456"/>
      <c r="EL307" s="456"/>
      <c r="EM307" s="456"/>
      <c r="EN307" s="456"/>
      <c r="EO307" s="425"/>
      <c r="EP307" s="425"/>
      <c r="EQ307" s="425" t="s">
        <v>743</v>
      </c>
      <c r="ER307" s="425">
        <v>1</v>
      </c>
      <c r="ES307" s="425">
        <v>8</v>
      </c>
      <c r="ET307" s="425">
        <v>4000</v>
      </c>
      <c r="EU307" s="457">
        <v>2400</v>
      </c>
      <c r="EV307" s="425">
        <v>160</v>
      </c>
      <c r="EW307" s="425">
        <v>7412746</v>
      </c>
      <c r="EX307" s="425">
        <v>72010</v>
      </c>
      <c r="EY307" s="666">
        <v>18.649999999999999</v>
      </c>
      <c r="EZ307" s="666">
        <v>18.61</v>
      </c>
      <c r="FA307" s="666">
        <v>0</v>
      </c>
      <c r="FB307" s="666">
        <v>1.3</v>
      </c>
      <c r="FC307" s="666">
        <v>1.17</v>
      </c>
      <c r="FD307" s="666">
        <v>0.95599999999999996</v>
      </c>
      <c r="FE307" s="666">
        <v>0.91</v>
      </c>
      <c r="FF307" s="666">
        <v>100</v>
      </c>
      <c r="FG307" s="666">
        <v>2.94</v>
      </c>
      <c r="FH307" s="666">
        <v>1.167</v>
      </c>
      <c r="FI307" s="666">
        <v>2.16</v>
      </c>
      <c r="FJ307" s="666">
        <v>7.95</v>
      </c>
      <c r="FK307" s="666">
        <v>8.1</v>
      </c>
      <c r="FL307" s="666">
        <v>7.93</v>
      </c>
      <c r="FM307" s="666">
        <v>7.7</v>
      </c>
      <c r="FN307" s="666">
        <v>0</v>
      </c>
    </row>
    <row r="308" spans="1:170" s="416" customFormat="1" ht="15">
      <c r="A308" s="425" t="s">
        <v>8</v>
      </c>
      <c r="B308" s="426">
        <v>40837</v>
      </c>
      <c r="C308" s="418">
        <v>0</v>
      </c>
      <c r="D308" s="518">
        <v>0.4</v>
      </c>
      <c r="E308" s="453">
        <v>0</v>
      </c>
      <c r="F308" s="453">
        <v>53</v>
      </c>
      <c r="G308" s="453">
        <v>0.7</v>
      </c>
      <c r="H308" s="519">
        <v>3.2</v>
      </c>
      <c r="I308" s="519">
        <v>92.42</v>
      </c>
      <c r="J308" s="483">
        <v>2.8</v>
      </c>
      <c r="K308" s="520">
        <v>2.7</v>
      </c>
      <c r="L308" s="453">
        <v>0</v>
      </c>
      <c r="M308" s="453">
        <v>17</v>
      </c>
      <c r="N308" s="453">
        <v>1.7</v>
      </c>
      <c r="O308" s="453">
        <v>2.2564456146026055</v>
      </c>
      <c r="P308" s="453">
        <v>1.7</v>
      </c>
      <c r="Q308" s="453">
        <v>2.3578913438264619</v>
      </c>
      <c r="R308" s="453">
        <v>1111.9654795244385</v>
      </c>
      <c r="S308" s="453">
        <v>8</v>
      </c>
      <c r="T308" s="453">
        <v>8.1</v>
      </c>
      <c r="U308" s="453">
        <v>0.8</v>
      </c>
      <c r="V308" s="453">
        <v>0.8</v>
      </c>
      <c r="W308" s="453">
        <v>54.5</v>
      </c>
      <c r="X308" s="456">
        <v>54.5</v>
      </c>
      <c r="Y308" s="453">
        <v>30.31</v>
      </c>
      <c r="Z308" s="453">
        <v>28.12</v>
      </c>
      <c r="AA308" s="519">
        <v>30.1</v>
      </c>
      <c r="AB308" s="519">
        <v>27.74</v>
      </c>
      <c r="AC308" s="732">
        <f t="shared" si="4"/>
        <v>57.84</v>
      </c>
      <c r="AD308" s="664"/>
      <c r="AE308" s="664"/>
      <c r="AF308" s="664"/>
      <c r="AG308" s="664"/>
      <c r="AH308" s="664"/>
      <c r="AI308" s="664"/>
      <c r="AJ308" s="485"/>
      <c r="AK308" s="485"/>
      <c r="AL308" s="485"/>
      <c r="AM308" s="485"/>
      <c r="AN308" s="485"/>
      <c r="AO308" s="665"/>
      <c r="AP308" s="485"/>
      <c r="AQ308" s="483"/>
      <c r="AR308" s="755">
        <v>0</v>
      </c>
      <c r="AS308" s="483">
        <v>10.9</v>
      </c>
      <c r="AT308" s="755">
        <v>0</v>
      </c>
      <c r="AU308" s="483">
        <v>31.5</v>
      </c>
      <c r="AV308" s="484">
        <v>105.9</v>
      </c>
      <c r="AW308" s="484">
        <v>321.5</v>
      </c>
      <c r="AX308" s="453">
        <v>0</v>
      </c>
      <c r="AY308" s="734">
        <v>0</v>
      </c>
      <c r="AZ308" s="734">
        <v>0</v>
      </c>
      <c r="BA308" s="734">
        <v>0</v>
      </c>
      <c r="BB308" s="453">
        <v>0</v>
      </c>
      <c r="BC308" s="873">
        <v>0.5</v>
      </c>
      <c r="BD308" s="873">
        <v>1.5</v>
      </c>
      <c r="BE308" s="734">
        <v>0</v>
      </c>
      <c r="BF308" s="873">
        <v>0.17</v>
      </c>
      <c r="BG308" s="453">
        <v>0</v>
      </c>
      <c r="BH308" s="734">
        <v>0</v>
      </c>
      <c r="BI308" s="873">
        <v>1</v>
      </c>
      <c r="BJ308" s="453">
        <v>24.8</v>
      </c>
      <c r="BK308" s="873">
        <v>2.89</v>
      </c>
      <c r="BL308" s="873">
        <v>3.65</v>
      </c>
      <c r="BM308" s="453">
        <v>0</v>
      </c>
      <c r="BN308" s="453">
        <v>18.100000000000001</v>
      </c>
      <c r="BO308" s="453">
        <v>1415.5</v>
      </c>
      <c r="BP308" s="453">
        <v>0</v>
      </c>
      <c r="BQ308" s="453">
        <v>17.5</v>
      </c>
      <c r="BR308" s="453">
        <v>17.5</v>
      </c>
      <c r="BS308" s="453">
        <v>0</v>
      </c>
      <c r="BT308" s="453">
        <v>30.3</v>
      </c>
      <c r="BU308" s="453">
        <v>24.5</v>
      </c>
      <c r="BV308" s="456">
        <v>425.9</v>
      </c>
      <c r="BW308" s="453">
        <v>2.2799999999999998</v>
      </c>
      <c r="BX308" s="453">
        <v>1.47</v>
      </c>
      <c r="BY308" s="456">
        <v>0.9</v>
      </c>
      <c r="BZ308" s="456">
        <v>15.4</v>
      </c>
      <c r="CA308" s="456">
        <v>30.6</v>
      </c>
      <c r="CB308" s="456">
        <v>13.5</v>
      </c>
      <c r="CC308" s="456">
        <v>8</v>
      </c>
      <c r="CD308" s="456">
        <v>12.2</v>
      </c>
      <c r="CE308" s="456">
        <v>16.3</v>
      </c>
      <c r="CF308" s="456">
        <v>13.3</v>
      </c>
      <c r="CG308" s="456">
        <v>536.70000000000005</v>
      </c>
      <c r="CH308" s="456">
        <v>3.1</v>
      </c>
      <c r="CI308" s="456">
        <v>4.8</v>
      </c>
      <c r="CJ308" s="456">
        <v>81.099999999999994</v>
      </c>
      <c r="CK308" s="456">
        <v>369.8</v>
      </c>
      <c r="CL308" s="456">
        <v>552.29999999999995</v>
      </c>
      <c r="CM308" s="456">
        <v>13.9</v>
      </c>
      <c r="CN308" s="456">
        <v>1.9</v>
      </c>
      <c r="CO308" s="453">
        <v>0</v>
      </c>
      <c r="CP308" s="453">
        <v>17.16</v>
      </c>
      <c r="CQ308" s="453">
        <v>56</v>
      </c>
      <c r="CR308" s="456">
        <v>0</v>
      </c>
      <c r="CS308" s="456">
        <v>0</v>
      </c>
      <c r="CT308" s="456">
        <v>0</v>
      </c>
      <c r="CU308" s="456">
        <v>0</v>
      </c>
      <c r="CV308" s="481">
        <v>513</v>
      </c>
      <c r="CW308" s="481">
        <v>605.26041666666663</v>
      </c>
      <c r="CX308" s="481">
        <v>443.0625</v>
      </c>
      <c r="CY308" s="481">
        <v>1104.17</v>
      </c>
      <c r="CZ308" s="456"/>
      <c r="DA308" s="456"/>
      <c r="DB308" s="456"/>
      <c r="DC308" s="456"/>
      <c r="DD308" s="456"/>
      <c r="DE308" s="456"/>
      <c r="DF308" s="456"/>
      <c r="DG308" s="425"/>
      <c r="DH308" s="456">
        <v>0</v>
      </c>
      <c r="DI308" s="456">
        <v>0</v>
      </c>
      <c r="DJ308" s="456">
        <v>0.98</v>
      </c>
      <c r="DK308" s="425"/>
      <c r="DL308" s="456"/>
      <c r="DM308" s="456"/>
      <c r="DN308" s="456"/>
      <c r="DO308" s="456"/>
      <c r="DP308" s="456"/>
      <c r="DQ308" s="456"/>
      <c r="DR308" s="456"/>
      <c r="DS308" s="456"/>
      <c r="DT308" s="456"/>
      <c r="DU308" s="456"/>
      <c r="DV308" s="456"/>
      <c r="DW308" s="456"/>
      <c r="DX308" s="456"/>
      <c r="DY308" s="456"/>
      <c r="DZ308" s="456"/>
      <c r="EA308" s="456"/>
      <c r="EB308" s="456"/>
      <c r="EC308" s="456"/>
      <c r="ED308" s="456"/>
      <c r="EE308" s="456">
        <v>1</v>
      </c>
      <c r="EF308" s="456">
        <v>2</v>
      </c>
      <c r="EG308" s="456">
        <v>6.5</v>
      </c>
      <c r="EH308" s="456"/>
      <c r="EI308" s="456"/>
      <c r="EJ308" s="456"/>
      <c r="EK308" s="456"/>
      <c r="EL308" s="456"/>
      <c r="EM308" s="456"/>
      <c r="EN308" s="456"/>
      <c r="EO308" s="425"/>
      <c r="EP308" s="425"/>
      <c r="EQ308" s="425" t="s">
        <v>743</v>
      </c>
      <c r="ER308" s="425">
        <v>1</v>
      </c>
      <c r="ES308" s="425">
        <v>8</v>
      </c>
      <c r="ET308" s="425">
        <v>4000</v>
      </c>
      <c r="EU308" s="457">
        <v>2280</v>
      </c>
      <c r="EV308" s="425">
        <v>155</v>
      </c>
      <c r="EW308" s="425">
        <v>7415007</v>
      </c>
      <c r="EX308" s="425">
        <v>73168</v>
      </c>
      <c r="EY308" s="666">
        <v>19.45</v>
      </c>
      <c r="EZ308" s="666">
        <v>19.440000000000001</v>
      </c>
      <c r="FA308" s="666">
        <v>0</v>
      </c>
      <c r="FB308" s="666">
        <v>1.23</v>
      </c>
      <c r="FC308" s="666">
        <v>1.1399999999999999</v>
      </c>
      <c r="FD308" s="666">
        <v>0.93400000000000005</v>
      </c>
      <c r="FE308" s="666">
        <v>0.91</v>
      </c>
      <c r="FF308" s="666">
        <v>120</v>
      </c>
      <c r="FG308" s="666">
        <v>2.4500000000000002</v>
      </c>
      <c r="FH308" s="666">
        <v>1.129</v>
      </c>
      <c r="FI308" s="666">
        <v>1.99</v>
      </c>
      <c r="FJ308" s="666">
        <v>7.87</v>
      </c>
      <c r="FK308" s="666">
        <v>7.7</v>
      </c>
      <c r="FL308" s="666">
        <v>7.94</v>
      </c>
      <c r="FM308" s="666">
        <v>7.7</v>
      </c>
      <c r="FN308" s="666">
        <v>0</v>
      </c>
    </row>
    <row r="309" spans="1:170" s="416" customFormat="1" ht="15">
      <c r="A309" s="425" t="s">
        <v>9</v>
      </c>
      <c r="B309" s="426">
        <v>40838</v>
      </c>
      <c r="C309" s="418">
        <v>0</v>
      </c>
      <c r="D309" s="518">
        <v>2.37</v>
      </c>
      <c r="E309" s="453">
        <v>0</v>
      </c>
      <c r="F309" s="453">
        <v>53</v>
      </c>
      <c r="G309" s="453">
        <v>1</v>
      </c>
      <c r="H309" s="519">
        <v>19.5</v>
      </c>
      <c r="I309" s="519">
        <v>91.62</v>
      </c>
      <c r="J309" s="483">
        <v>2.9</v>
      </c>
      <c r="K309" s="520">
        <v>2.8</v>
      </c>
      <c r="L309" s="453">
        <v>0</v>
      </c>
      <c r="M309" s="453">
        <v>15.2</v>
      </c>
      <c r="N309" s="453">
        <v>1.6</v>
      </c>
      <c r="O309" s="453">
        <v>2.1728702048847111</v>
      </c>
      <c r="P309" s="453">
        <v>1.7</v>
      </c>
      <c r="Q309" s="453">
        <v>2.2550816039549595</v>
      </c>
      <c r="R309" s="453">
        <v>1079.2510858652574</v>
      </c>
      <c r="S309" s="453">
        <v>7.9</v>
      </c>
      <c r="T309" s="453">
        <v>7.9</v>
      </c>
      <c r="U309" s="453">
        <v>0.8</v>
      </c>
      <c r="V309" s="453">
        <v>0.9</v>
      </c>
      <c r="W309" s="453">
        <v>53.239999999999995</v>
      </c>
      <c r="X309" s="456">
        <v>52.88000000000001</v>
      </c>
      <c r="Y309" s="453">
        <v>30.31</v>
      </c>
      <c r="Z309" s="453">
        <v>27.8</v>
      </c>
      <c r="AA309" s="519">
        <v>30.4</v>
      </c>
      <c r="AB309" s="519">
        <v>27.99</v>
      </c>
      <c r="AC309" s="732">
        <f t="shared" si="4"/>
        <v>58.39</v>
      </c>
      <c r="AD309" s="664"/>
      <c r="AE309" s="664"/>
      <c r="AF309" s="664"/>
      <c r="AG309" s="664"/>
      <c r="AH309" s="664"/>
      <c r="AI309" s="664"/>
      <c r="AJ309" s="485"/>
      <c r="AK309" s="485"/>
      <c r="AL309" s="485"/>
      <c r="AM309" s="485"/>
      <c r="AN309" s="485"/>
      <c r="AO309" s="665"/>
      <c r="AP309" s="485"/>
      <c r="AQ309" s="483"/>
      <c r="AR309" s="755">
        <v>0</v>
      </c>
      <c r="AS309" s="483">
        <v>11.2</v>
      </c>
      <c r="AT309" s="755">
        <v>0</v>
      </c>
      <c r="AU309" s="483">
        <v>31.5</v>
      </c>
      <c r="AV309" s="484">
        <v>415.7</v>
      </c>
      <c r="AW309" s="484">
        <v>522.70000000000005</v>
      </c>
      <c r="AX309" s="453">
        <v>0</v>
      </c>
      <c r="AY309" s="734">
        <v>0</v>
      </c>
      <c r="AZ309" s="734">
        <v>0</v>
      </c>
      <c r="BA309" s="734">
        <v>0</v>
      </c>
      <c r="BB309" s="453">
        <v>0</v>
      </c>
      <c r="BC309" s="873">
        <v>0.48</v>
      </c>
      <c r="BD309" s="873">
        <v>1.45</v>
      </c>
      <c r="BE309" s="734">
        <v>0</v>
      </c>
      <c r="BF309" s="453">
        <v>0</v>
      </c>
      <c r="BG309" s="453">
        <v>0</v>
      </c>
      <c r="BH309" s="734">
        <v>0</v>
      </c>
      <c r="BI309" s="873">
        <v>1</v>
      </c>
      <c r="BJ309" s="453">
        <v>25.1</v>
      </c>
      <c r="BK309" s="873">
        <v>2.73</v>
      </c>
      <c r="BL309" s="873">
        <v>3.45</v>
      </c>
      <c r="BM309" s="453">
        <v>0</v>
      </c>
      <c r="BN309" s="453">
        <v>18.7</v>
      </c>
      <c r="BO309" s="453">
        <v>1445.4</v>
      </c>
      <c r="BP309" s="453">
        <v>0</v>
      </c>
      <c r="BQ309" s="453">
        <v>18.2</v>
      </c>
      <c r="BR309" s="453">
        <v>18.2</v>
      </c>
      <c r="BS309" s="453">
        <v>0</v>
      </c>
      <c r="BT309" s="453">
        <v>29.6</v>
      </c>
      <c r="BU309" s="453">
        <v>24</v>
      </c>
      <c r="BV309" s="456">
        <v>450.6</v>
      </c>
      <c r="BW309" s="453">
        <v>2.4</v>
      </c>
      <c r="BX309" s="453">
        <v>1.33</v>
      </c>
      <c r="BY309" s="456">
        <v>0.9</v>
      </c>
      <c r="BZ309" s="456">
        <v>15.2</v>
      </c>
      <c r="CA309" s="456">
        <v>30.7</v>
      </c>
      <c r="CB309" s="456">
        <v>12.9</v>
      </c>
      <c r="CC309" s="456">
        <v>8.9</v>
      </c>
      <c r="CD309" s="456">
        <v>13.2</v>
      </c>
      <c r="CE309" s="456">
        <v>17.2</v>
      </c>
      <c r="CF309" s="456">
        <v>13.2</v>
      </c>
      <c r="CG309" s="456">
        <v>560.1</v>
      </c>
      <c r="CH309" s="456">
        <v>3.2</v>
      </c>
      <c r="CI309" s="456">
        <v>4.4000000000000004</v>
      </c>
      <c r="CJ309" s="456">
        <v>163.1</v>
      </c>
      <c r="CK309" s="456">
        <v>388.4</v>
      </c>
      <c r="CL309" s="456">
        <v>527.6</v>
      </c>
      <c r="CM309" s="456">
        <v>13.6</v>
      </c>
      <c r="CN309" s="456">
        <v>1.7</v>
      </c>
      <c r="CO309" s="453">
        <v>0</v>
      </c>
      <c r="CP309" s="787">
        <v>17.41</v>
      </c>
      <c r="CQ309" s="787">
        <v>56</v>
      </c>
      <c r="CR309" s="456">
        <v>0</v>
      </c>
      <c r="CS309" s="456">
        <v>0</v>
      </c>
      <c r="CT309" s="456">
        <v>0</v>
      </c>
      <c r="CU309" s="456">
        <v>0</v>
      </c>
      <c r="CV309" s="481">
        <v>512.33333333333337</v>
      </c>
      <c r="CW309" s="481">
        <v>671.19791666666663</v>
      </c>
      <c r="CX309" s="481">
        <v>519.44791666666663</v>
      </c>
      <c r="CY309" s="481">
        <v>1105.06</v>
      </c>
      <c r="CZ309" s="456"/>
      <c r="DA309" s="456"/>
      <c r="DB309" s="456"/>
      <c r="DC309" s="456"/>
      <c r="DD309" s="456"/>
      <c r="DE309" s="456"/>
      <c r="DF309" s="456"/>
      <c r="DG309" s="425"/>
      <c r="DH309" s="456">
        <v>0</v>
      </c>
      <c r="DI309" s="456">
        <v>0</v>
      </c>
      <c r="DJ309" s="456">
        <v>0.97</v>
      </c>
      <c r="DK309" s="425"/>
      <c r="DL309" s="456"/>
      <c r="DM309" s="456"/>
      <c r="DN309" s="456"/>
      <c r="DO309" s="456"/>
      <c r="DP309" s="456"/>
      <c r="DQ309" s="456"/>
      <c r="DR309" s="456"/>
      <c r="DS309" s="456"/>
      <c r="DT309" s="456"/>
      <c r="DU309" s="456"/>
      <c r="DV309" s="456"/>
      <c r="DW309" s="456"/>
      <c r="DX309" s="456"/>
      <c r="DY309" s="456"/>
      <c r="DZ309" s="456"/>
      <c r="EA309" s="456"/>
      <c r="EB309" s="456"/>
      <c r="EC309" s="456"/>
      <c r="ED309" s="456"/>
      <c r="EE309" s="456">
        <v>1</v>
      </c>
      <c r="EF309" s="456">
        <v>2</v>
      </c>
      <c r="EG309" s="456">
        <v>6.5</v>
      </c>
      <c r="EH309" s="456"/>
      <c r="EI309" s="456"/>
      <c r="EJ309" s="456"/>
      <c r="EK309" s="456"/>
      <c r="EL309" s="456"/>
      <c r="EM309" s="456"/>
      <c r="EN309" s="456"/>
      <c r="EO309" s="425"/>
      <c r="EP309" s="425"/>
      <c r="EQ309" s="425" t="s">
        <v>743</v>
      </c>
      <c r="ER309" s="425">
        <v>1</v>
      </c>
      <c r="ES309" s="425">
        <v>8</v>
      </c>
      <c r="ET309" s="425">
        <v>4000</v>
      </c>
      <c r="EU309" s="870">
        <v>2170</v>
      </c>
      <c r="EV309" s="871">
        <v>110</v>
      </c>
      <c r="EW309" s="425">
        <v>7417375</v>
      </c>
      <c r="EX309" s="425">
        <v>74364</v>
      </c>
      <c r="EY309" s="666">
        <v>18.73</v>
      </c>
      <c r="EZ309" s="666">
        <v>18.72</v>
      </c>
      <c r="FA309" s="666">
        <v>0</v>
      </c>
      <c r="FB309" s="666">
        <v>1.56</v>
      </c>
      <c r="FC309" s="666">
        <v>1.28</v>
      </c>
      <c r="FD309" s="666">
        <v>0.91700000000000004</v>
      </c>
      <c r="FE309" s="666">
        <v>0.88</v>
      </c>
      <c r="FF309" s="666">
        <v>110</v>
      </c>
      <c r="FG309" s="666">
        <v>1.1499999999999999</v>
      </c>
      <c r="FH309" s="666">
        <v>1.0029999999999999</v>
      </c>
      <c r="FI309" s="666">
        <v>1.75</v>
      </c>
      <c r="FJ309" s="666">
        <v>7.79</v>
      </c>
      <c r="FK309" s="666">
        <v>7.8</v>
      </c>
      <c r="FL309" s="666">
        <v>7.88</v>
      </c>
      <c r="FM309" s="666">
        <v>7.5</v>
      </c>
      <c r="FN309" s="666">
        <v>0</v>
      </c>
    </row>
    <row r="310" spans="1:170" s="416" customFormat="1" ht="15">
      <c r="A310" s="425" t="s">
        <v>3</v>
      </c>
      <c r="B310" s="426">
        <v>40839</v>
      </c>
      <c r="C310" s="418">
        <v>0</v>
      </c>
      <c r="D310" s="518">
        <v>0</v>
      </c>
      <c r="E310" s="453">
        <v>0</v>
      </c>
      <c r="F310" s="453">
        <v>47</v>
      </c>
      <c r="G310" s="453">
        <v>1.2</v>
      </c>
      <c r="H310" s="519">
        <v>16</v>
      </c>
      <c r="I310" s="519">
        <v>88.63</v>
      </c>
      <c r="J310" s="483">
        <v>2.7</v>
      </c>
      <c r="K310" s="520">
        <v>2</v>
      </c>
      <c r="L310" s="453">
        <v>34.8799999999992</v>
      </c>
      <c r="M310" s="453">
        <v>11</v>
      </c>
      <c r="N310" s="453">
        <v>1.7</v>
      </c>
      <c r="O310" s="453">
        <v>2.2581022446622048</v>
      </c>
      <c r="P310" s="453">
        <v>1.7</v>
      </c>
      <c r="Q310" s="453">
        <v>1.9630249682824013</v>
      </c>
      <c r="R310" s="453">
        <v>807.17098018494039</v>
      </c>
      <c r="S310" s="453">
        <v>7.8</v>
      </c>
      <c r="T310" s="453">
        <v>7.7</v>
      </c>
      <c r="U310" s="453">
        <v>0.8</v>
      </c>
      <c r="V310" s="453">
        <v>0.9</v>
      </c>
      <c r="W310" s="453">
        <v>51.44</v>
      </c>
      <c r="X310" s="456">
        <v>51.44</v>
      </c>
      <c r="Y310" s="453">
        <v>28.5</v>
      </c>
      <c r="Z310" s="453">
        <v>27.8</v>
      </c>
      <c r="AA310" s="519">
        <v>25.2</v>
      </c>
      <c r="AB310" s="519">
        <v>20.18</v>
      </c>
      <c r="AC310" s="732">
        <f t="shared" si="4"/>
        <v>45.379999999999995</v>
      </c>
      <c r="AD310" s="664"/>
      <c r="AE310" s="664"/>
      <c r="AF310" s="664"/>
      <c r="AG310" s="664"/>
      <c r="AH310" s="664"/>
      <c r="AI310" s="664"/>
      <c r="AJ310" s="485"/>
      <c r="AK310" s="485"/>
      <c r="AL310" s="485"/>
      <c r="AM310" s="485"/>
      <c r="AN310" s="485"/>
      <c r="AO310" s="665"/>
      <c r="AP310" s="485"/>
      <c r="AQ310" s="483"/>
      <c r="AR310" s="755">
        <v>0</v>
      </c>
      <c r="AS310" s="483">
        <v>11</v>
      </c>
      <c r="AT310" s="755">
        <v>0</v>
      </c>
      <c r="AU310" s="483">
        <v>26.5</v>
      </c>
      <c r="AV310" s="484">
        <v>164.4</v>
      </c>
      <c r="AW310" s="484">
        <v>932</v>
      </c>
      <c r="AX310" s="453">
        <v>0</v>
      </c>
      <c r="AY310" s="734">
        <v>0</v>
      </c>
      <c r="AZ310" s="734">
        <v>0</v>
      </c>
      <c r="BA310" s="734">
        <v>0</v>
      </c>
      <c r="BB310" s="453">
        <v>0</v>
      </c>
      <c r="BC310" s="453">
        <v>0</v>
      </c>
      <c r="BD310" s="453">
        <v>0</v>
      </c>
      <c r="BE310" s="734">
        <v>0</v>
      </c>
      <c r="BF310" s="453">
        <v>0</v>
      </c>
      <c r="BG310" s="453">
        <v>0</v>
      </c>
      <c r="BH310" s="734">
        <v>0</v>
      </c>
      <c r="BI310" s="453">
        <v>0</v>
      </c>
      <c r="BJ310" s="453">
        <v>20.100000000000001</v>
      </c>
      <c r="BK310" s="453">
        <v>0</v>
      </c>
      <c r="BL310" s="453">
        <v>0</v>
      </c>
      <c r="BM310" s="453">
        <v>0</v>
      </c>
      <c r="BN310" s="453">
        <v>19.899999999999999</v>
      </c>
      <c r="BO310" s="453">
        <v>1111.5</v>
      </c>
      <c r="BP310" s="453">
        <v>0</v>
      </c>
      <c r="BQ310" s="453">
        <v>18.899999999999999</v>
      </c>
      <c r="BR310" s="453">
        <v>18.8</v>
      </c>
      <c r="BS310" s="453">
        <v>0</v>
      </c>
      <c r="BT310" s="453">
        <v>24.8</v>
      </c>
      <c r="BU310" s="453">
        <v>22.9</v>
      </c>
      <c r="BV310" s="456">
        <v>466</v>
      </c>
      <c r="BW310" s="453">
        <v>2.1800000000000002</v>
      </c>
      <c r="BX310" s="453">
        <v>1.3</v>
      </c>
      <c r="BY310" s="456">
        <v>0.89</v>
      </c>
      <c r="BZ310" s="456">
        <v>15.5</v>
      </c>
      <c r="CA310" s="456">
        <v>30.7</v>
      </c>
      <c r="CB310" s="456">
        <v>12.2</v>
      </c>
      <c r="CC310" s="456">
        <v>9.4</v>
      </c>
      <c r="CD310" s="456">
        <v>13.4</v>
      </c>
      <c r="CE310" s="456">
        <v>18.2</v>
      </c>
      <c r="CF310" s="456">
        <v>13.3</v>
      </c>
      <c r="CG310" s="456">
        <v>494.9</v>
      </c>
      <c r="CH310" s="456">
        <v>2.8</v>
      </c>
      <c r="CI310" s="456">
        <v>4.4000000000000004</v>
      </c>
      <c r="CJ310" s="456">
        <v>238.1</v>
      </c>
      <c r="CK310" s="456">
        <v>425.4</v>
      </c>
      <c r="CL310" s="456">
        <v>529</v>
      </c>
      <c r="CM310" s="456">
        <v>13.6</v>
      </c>
      <c r="CN310" s="456">
        <v>1.7</v>
      </c>
      <c r="CO310" s="453">
        <v>0</v>
      </c>
      <c r="CP310" s="453">
        <v>17.559999999999999</v>
      </c>
      <c r="CQ310" s="453">
        <v>55</v>
      </c>
      <c r="CR310" s="456">
        <v>0</v>
      </c>
      <c r="CS310" s="456">
        <v>0</v>
      </c>
      <c r="CT310" s="456">
        <v>0</v>
      </c>
      <c r="CU310" s="456">
        <v>0</v>
      </c>
      <c r="CV310" s="481">
        <v>679.66666666666663</v>
      </c>
      <c r="CW310" s="481">
        <v>920.73958333333337</v>
      </c>
      <c r="CX310" s="481">
        <v>792.89583333333337</v>
      </c>
      <c r="CY310" s="481">
        <v>1108.8399999999999</v>
      </c>
      <c r="CZ310" s="456"/>
      <c r="DA310" s="456"/>
      <c r="DB310" s="456"/>
      <c r="DC310" s="456"/>
      <c r="DD310" s="456"/>
      <c r="DE310" s="456"/>
      <c r="DF310" s="456"/>
      <c r="DG310" s="425"/>
      <c r="DH310" s="456">
        <v>0</v>
      </c>
      <c r="DI310" s="456">
        <v>0</v>
      </c>
      <c r="DJ310" s="456">
        <v>0.81</v>
      </c>
      <c r="DK310" s="425"/>
      <c r="DL310" s="456"/>
      <c r="DM310" s="456"/>
      <c r="DN310" s="456"/>
      <c r="DO310" s="456"/>
      <c r="DP310" s="456"/>
      <c r="DQ310" s="456"/>
      <c r="DR310" s="456"/>
      <c r="DS310" s="456"/>
      <c r="DT310" s="456"/>
      <c r="DU310" s="456"/>
      <c r="DV310" s="456"/>
      <c r="DW310" s="456"/>
      <c r="DX310" s="456"/>
      <c r="DY310" s="456"/>
      <c r="DZ310" s="456"/>
      <c r="EA310" s="456"/>
      <c r="EB310" s="456"/>
      <c r="EC310" s="456"/>
      <c r="ED310" s="456"/>
      <c r="EE310" s="456">
        <v>1</v>
      </c>
      <c r="EF310" s="456">
        <v>2</v>
      </c>
      <c r="EG310" s="456">
        <v>6.5</v>
      </c>
      <c r="EH310" s="456"/>
      <c r="EI310" s="456"/>
      <c r="EJ310" s="456"/>
      <c r="EK310" s="456"/>
      <c r="EL310" s="456"/>
      <c r="EM310" s="456"/>
      <c r="EN310" s="456"/>
      <c r="EO310" s="425"/>
      <c r="EP310" s="425"/>
      <c r="EQ310" s="425" t="s">
        <v>743</v>
      </c>
      <c r="ER310" s="425">
        <v>1</v>
      </c>
      <c r="ES310" s="425">
        <v>8</v>
      </c>
      <c r="ET310" s="425">
        <v>4000</v>
      </c>
      <c r="EU310" s="457">
        <v>2170</v>
      </c>
      <c r="EV310" s="425">
        <v>110</v>
      </c>
      <c r="EW310" s="425">
        <v>7417375</v>
      </c>
      <c r="EX310" s="425">
        <v>74364</v>
      </c>
      <c r="EY310" s="666">
        <v>18.73</v>
      </c>
      <c r="EZ310" s="666">
        <v>18.72</v>
      </c>
      <c r="FA310" s="666">
        <v>0</v>
      </c>
      <c r="FB310" s="666">
        <v>1.56</v>
      </c>
      <c r="FC310" s="666">
        <v>1.28</v>
      </c>
      <c r="FD310" s="666">
        <v>0.91700000000000004</v>
      </c>
      <c r="FE310" s="666">
        <v>0.88</v>
      </c>
      <c r="FF310" s="666">
        <v>110</v>
      </c>
      <c r="FG310" s="666">
        <v>1.1499999999999999</v>
      </c>
      <c r="FH310" s="666">
        <v>1.0029999999999999</v>
      </c>
      <c r="FI310" s="666">
        <v>1.75</v>
      </c>
      <c r="FJ310" s="666">
        <v>7.79</v>
      </c>
      <c r="FK310" s="666">
        <v>7.8</v>
      </c>
      <c r="FL310" s="666">
        <v>7.88</v>
      </c>
      <c r="FM310" s="666">
        <v>7.5</v>
      </c>
      <c r="FN310" s="666">
        <v>0</v>
      </c>
    </row>
    <row r="311" spans="1:170" s="416" customFormat="1" ht="15">
      <c r="A311" s="425" t="s">
        <v>4</v>
      </c>
      <c r="B311" s="426">
        <v>40840</v>
      </c>
      <c r="C311" s="418">
        <v>0</v>
      </c>
      <c r="D311" s="518">
        <v>0.26</v>
      </c>
      <c r="E311" s="453">
        <v>0</v>
      </c>
      <c r="F311" s="453">
        <v>41</v>
      </c>
      <c r="G311" s="453">
        <v>1.25</v>
      </c>
      <c r="H311" s="519">
        <v>11.2</v>
      </c>
      <c r="I311" s="519">
        <v>77.8</v>
      </c>
      <c r="J311" s="483">
        <v>0.87</v>
      </c>
      <c r="K311" s="520">
        <v>2.2200000000000002</v>
      </c>
      <c r="L311" s="453">
        <v>43.520000000000437</v>
      </c>
      <c r="M311" s="453">
        <v>7.8</v>
      </c>
      <c r="N311" s="453">
        <v>1.63</v>
      </c>
      <c r="O311" s="453">
        <v>2.1731221071528219</v>
      </c>
      <c r="P311" s="453">
        <v>1.71</v>
      </c>
      <c r="Q311" s="453">
        <v>1.9225536781089347</v>
      </c>
      <c r="R311" s="453">
        <v>797.12992866578588</v>
      </c>
      <c r="S311" s="453">
        <v>7.94</v>
      </c>
      <c r="T311" s="453">
        <v>7.85</v>
      </c>
      <c r="U311" s="453">
        <v>0.77</v>
      </c>
      <c r="V311" s="453">
        <v>0.74</v>
      </c>
      <c r="W311" s="453">
        <v>46.760000000000005</v>
      </c>
      <c r="X311" s="456">
        <v>47.660000000000011</v>
      </c>
      <c r="Y311" s="453">
        <v>25.7</v>
      </c>
      <c r="Z311" s="453">
        <v>20.11</v>
      </c>
      <c r="AA311" s="519">
        <v>26</v>
      </c>
      <c r="AB311" s="519">
        <v>20.2</v>
      </c>
      <c r="AC311" s="732">
        <f t="shared" si="4"/>
        <v>46.2</v>
      </c>
      <c r="AD311" s="664"/>
      <c r="AE311" s="664"/>
      <c r="AF311" s="664"/>
      <c r="AG311" s="664"/>
      <c r="AH311" s="664"/>
      <c r="AI311" s="664"/>
      <c r="AJ311" s="485"/>
      <c r="AK311" s="485"/>
      <c r="AL311" s="485"/>
      <c r="AM311" s="485"/>
      <c r="AN311" s="485"/>
      <c r="AO311" s="665"/>
      <c r="AP311" s="485"/>
      <c r="AQ311" s="483"/>
      <c r="AR311" s="755">
        <v>0</v>
      </c>
      <c r="AS311" s="483">
        <v>10.4</v>
      </c>
      <c r="AT311" s="755">
        <v>0</v>
      </c>
      <c r="AU311" s="483">
        <v>27</v>
      </c>
      <c r="AV311" s="484">
        <v>0</v>
      </c>
      <c r="AW311" s="484">
        <v>810</v>
      </c>
      <c r="AX311" s="453">
        <v>0</v>
      </c>
      <c r="AY311" s="734">
        <v>0</v>
      </c>
      <c r="AZ311" s="734">
        <v>0</v>
      </c>
      <c r="BA311" s="734">
        <v>0</v>
      </c>
      <c r="BB311" s="453">
        <v>0</v>
      </c>
      <c r="BC311" s="453">
        <v>0</v>
      </c>
      <c r="BD311" s="453">
        <v>0</v>
      </c>
      <c r="BE311" s="734">
        <v>0</v>
      </c>
      <c r="BF311" s="453">
        <v>0</v>
      </c>
      <c r="BG311" s="453">
        <v>0</v>
      </c>
      <c r="BH311" s="734">
        <v>0</v>
      </c>
      <c r="BI311" s="453">
        <v>0</v>
      </c>
      <c r="BJ311" s="453">
        <v>20.100000000000001</v>
      </c>
      <c r="BK311" s="453">
        <v>0</v>
      </c>
      <c r="BL311" s="453">
        <v>0</v>
      </c>
      <c r="BM311" s="453">
        <v>0</v>
      </c>
      <c r="BN311" s="453">
        <v>19.8</v>
      </c>
      <c r="BO311" s="453">
        <v>1414.7</v>
      </c>
      <c r="BP311" s="453">
        <v>0</v>
      </c>
      <c r="BQ311" s="453">
        <v>18.7</v>
      </c>
      <c r="BR311" s="453">
        <v>18.7</v>
      </c>
      <c r="BS311" s="453">
        <v>0</v>
      </c>
      <c r="BT311" s="453">
        <v>25.5</v>
      </c>
      <c r="BU311" s="453">
        <v>22.3</v>
      </c>
      <c r="BV311" s="456">
        <v>444.8</v>
      </c>
      <c r="BW311" s="453">
        <v>2.0099999999999998</v>
      </c>
      <c r="BX311" s="453">
        <v>1.58</v>
      </c>
      <c r="BY311" s="456">
        <v>0.9</v>
      </c>
      <c r="BZ311" s="456">
        <v>15.1</v>
      </c>
      <c r="CA311" s="456">
        <v>30.7</v>
      </c>
      <c r="CB311" s="456">
        <v>13.4</v>
      </c>
      <c r="CC311" s="456">
        <v>8.8000000000000007</v>
      </c>
      <c r="CD311" s="456">
        <v>13.1</v>
      </c>
      <c r="CE311" s="456">
        <v>17.100000000000001</v>
      </c>
      <c r="CF311" s="456">
        <v>13.1</v>
      </c>
      <c r="CG311" s="456">
        <v>541.79999999999995</v>
      </c>
      <c r="CH311" s="456">
        <v>2.8</v>
      </c>
      <c r="CI311" s="456">
        <v>4.5</v>
      </c>
      <c r="CJ311" s="456">
        <v>94.6</v>
      </c>
      <c r="CK311" s="456">
        <v>379.7</v>
      </c>
      <c r="CL311" s="456">
        <v>554.5</v>
      </c>
      <c r="CM311" s="456">
        <v>13.7</v>
      </c>
      <c r="CN311" s="456">
        <v>1.8</v>
      </c>
      <c r="CO311" s="453">
        <v>0</v>
      </c>
      <c r="CP311" s="453">
        <v>17.440000000000001</v>
      </c>
      <c r="CQ311" s="453">
        <v>54</v>
      </c>
      <c r="CR311" s="456">
        <v>0</v>
      </c>
      <c r="CS311" s="456">
        <v>0</v>
      </c>
      <c r="CT311" s="456">
        <v>0</v>
      </c>
      <c r="CU311" s="456">
        <v>0</v>
      </c>
      <c r="CV311" s="481">
        <v>915.66666666666663</v>
      </c>
      <c r="CW311" s="481">
        <v>1196.875</v>
      </c>
      <c r="CX311" s="481">
        <v>962.78125</v>
      </c>
      <c r="CY311" s="481">
        <v>1108.44</v>
      </c>
      <c r="CZ311" s="456"/>
      <c r="DA311" s="456"/>
      <c r="DB311" s="456"/>
      <c r="DC311" s="456"/>
      <c r="DD311" s="456"/>
      <c r="DE311" s="456"/>
      <c r="DF311" s="456"/>
      <c r="DG311" s="425"/>
      <c r="DH311" s="456">
        <v>0</v>
      </c>
      <c r="DI311" s="456" t="s">
        <v>756</v>
      </c>
      <c r="DJ311" s="456">
        <v>1.02</v>
      </c>
      <c r="DK311" s="425"/>
      <c r="DL311" s="456"/>
      <c r="DM311" s="456"/>
      <c r="DN311" s="456"/>
      <c r="DO311" s="456"/>
      <c r="DP311" s="456"/>
      <c r="DQ311" s="456"/>
      <c r="DR311" s="456"/>
      <c r="DS311" s="456"/>
      <c r="DT311" s="456"/>
      <c r="DU311" s="456"/>
      <c r="DV311" s="456"/>
      <c r="DW311" s="456"/>
      <c r="DX311" s="456"/>
      <c r="DY311" s="456"/>
      <c r="DZ311" s="456"/>
      <c r="EA311" s="456"/>
      <c r="EB311" s="456"/>
      <c r="EC311" s="456"/>
      <c r="ED311" s="456"/>
      <c r="EE311" s="456">
        <v>1</v>
      </c>
      <c r="EF311" s="456">
        <v>2</v>
      </c>
      <c r="EG311" s="456">
        <v>6.5</v>
      </c>
      <c r="EH311" s="456"/>
      <c r="EI311" s="456"/>
      <c r="EJ311" s="456"/>
      <c r="EK311" s="456"/>
      <c r="EL311" s="456"/>
      <c r="EM311" s="456"/>
      <c r="EN311" s="456"/>
      <c r="EO311" s="425"/>
      <c r="EP311" s="425"/>
      <c r="EQ311" s="425" t="s">
        <v>743</v>
      </c>
      <c r="ER311" s="425">
        <v>1</v>
      </c>
      <c r="ES311" s="425">
        <v>8</v>
      </c>
      <c r="ET311" s="425">
        <v>4000</v>
      </c>
      <c r="EU311" s="457">
        <v>2050</v>
      </c>
      <c r="EV311" s="425">
        <v>140</v>
      </c>
      <c r="EW311" s="425">
        <v>7419578</v>
      </c>
      <c r="EX311" s="425">
        <v>75529</v>
      </c>
      <c r="EY311" s="666">
        <v>18.7</v>
      </c>
      <c r="EZ311" s="666">
        <v>18.7</v>
      </c>
      <c r="FA311" s="666">
        <v>0</v>
      </c>
      <c r="FB311" s="666">
        <v>1.51</v>
      </c>
      <c r="FC311" s="666">
        <v>1.49</v>
      </c>
      <c r="FD311" s="666">
        <v>0.98099999999999998</v>
      </c>
      <c r="FE311" s="666">
        <v>0.94</v>
      </c>
      <c r="FF311" s="666">
        <v>120</v>
      </c>
      <c r="FG311" s="666">
        <v>0.99</v>
      </c>
      <c r="FH311" s="666">
        <v>0.83299999999999996</v>
      </c>
      <c r="FI311" s="666">
        <v>1.45</v>
      </c>
      <c r="FJ311" s="666">
        <v>7.97</v>
      </c>
      <c r="FK311" s="666">
        <v>8.3000000000000007</v>
      </c>
      <c r="FL311" s="666">
        <v>7.83</v>
      </c>
      <c r="FM311" s="666">
        <v>7.9</v>
      </c>
      <c r="FN311" s="666">
        <v>0</v>
      </c>
    </row>
    <row r="312" spans="1:170" s="416" customFormat="1" ht="15">
      <c r="A312" s="425" t="s">
        <v>5</v>
      </c>
      <c r="B312" s="426">
        <v>40841</v>
      </c>
      <c r="C312" s="418">
        <v>0</v>
      </c>
      <c r="D312" s="518">
        <v>0</v>
      </c>
      <c r="E312" s="453">
        <v>0</v>
      </c>
      <c r="F312" s="453">
        <v>38</v>
      </c>
      <c r="G312" s="453">
        <v>1.2</v>
      </c>
      <c r="H312" s="519">
        <v>7.06</v>
      </c>
      <c r="I312" s="519">
        <v>81.67</v>
      </c>
      <c r="J312" s="483">
        <v>2.8</v>
      </c>
      <c r="K312" s="520">
        <v>2.06</v>
      </c>
      <c r="L312" s="453">
        <v>26.549999999999272</v>
      </c>
      <c r="M312" s="453">
        <v>9.5</v>
      </c>
      <c r="N312" s="453">
        <v>1.6</v>
      </c>
      <c r="O312" s="453">
        <v>2.282266414367323</v>
      </c>
      <c r="P312" s="453">
        <v>1.71</v>
      </c>
      <c r="Q312" s="453">
        <v>2.0983852205289475</v>
      </c>
      <c r="R312" s="453">
        <v>844.74394715984135</v>
      </c>
      <c r="S312" s="453">
        <v>7.96</v>
      </c>
      <c r="T312" s="453">
        <v>7.86</v>
      </c>
      <c r="U312" s="453">
        <v>0.78</v>
      </c>
      <c r="V312" s="453">
        <v>0.9</v>
      </c>
      <c r="W312" s="453">
        <v>48.019999999999996</v>
      </c>
      <c r="X312" s="456">
        <v>47.120000000000005</v>
      </c>
      <c r="Y312" s="453">
        <v>26.01</v>
      </c>
      <c r="Z312" s="453">
        <v>20</v>
      </c>
      <c r="AA312" s="519">
        <v>25.8</v>
      </c>
      <c r="AB312" s="519">
        <v>19.940000000000001</v>
      </c>
      <c r="AC312" s="732">
        <f t="shared" si="4"/>
        <v>45.74</v>
      </c>
      <c r="AD312" s="664"/>
      <c r="AE312" s="664"/>
      <c r="AF312" s="664"/>
      <c r="AG312" s="664"/>
      <c r="AH312" s="664"/>
      <c r="AI312" s="664"/>
      <c r="AJ312" s="485"/>
      <c r="AK312" s="485"/>
      <c r="AL312" s="485"/>
      <c r="AM312" s="485"/>
      <c r="AN312" s="485"/>
      <c r="AO312" s="665"/>
      <c r="AP312" s="485"/>
      <c r="AQ312" s="483"/>
      <c r="AR312" s="755">
        <v>0</v>
      </c>
      <c r="AS312" s="483">
        <v>11.4</v>
      </c>
      <c r="AT312" s="755">
        <v>0</v>
      </c>
      <c r="AU312" s="483">
        <v>27</v>
      </c>
      <c r="AV312" s="484">
        <v>0</v>
      </c>
      <c r="AW312" s="484">
        <v>1620.8</v>
      </c>
      <c r="AX312" s="453">
        <v>0</v>
      </c>
      <c r="AY312" s="734">
        <v>0</v>
      </c>
      <c r="AZ312" s="734">
        <v>0</v>
      </c>
      <c r="BA312" s="734">
        <v>0</v>
      </c>
      <c r="BB312" s="453">
        <v>0</v>
      </c>
      <c r="BC312" s="453">
        <v>0</v>
      </c>
      <c r="BD312" s="453">
        <v>0</v>
      </c>
      <c r="BE312" s="734">
        <v>0</v>
      </c>
      <c r="BF312" s="453">
        <v>0</v>
      </c>
      <c r="BG312" s="453">
        <v>0</v>
      </c>
      <c r="BH312" s="734">
        <v>0</v>
      </c>
      <c r="BI312" s="453">
        <v>0</v>
      </c>
      <c r="BJ312" s="453">
        <v>20.100000000000001</v>
      </c>
      <c r="BK312" s="453">
        <v>0</v>
      </c>
      <c r="BL312" s="453">
        <v>0</v>
      </c>
      <c r="BM312" s="453">
        <v>0</v>
      </c>
      <c r="BN312" s="453">
        <v>19.100000000000001</v>
      </c>
      <c r="BO312" s="453">
        <v>1540.5</v>
      </c>
      <c r="BP312" s="453">
        <v>35</v>
      </c>
      <c r="BQ312" s="453">
        <v>18.5</v>
      </c>
      <c r="BR312" s="453">
        <v>18.5</v>
      </c>
      <c r="BS312" s="453">
        <v>0</v>
      </c>
      <c r="BT312" s="453">
        <v>24.8</v>
      </c>
      <c r="BU312" s="453">
        <v>22.8</v>
      </c>
      <c r="BV312" s="456">
        <v>442</v>
      </c>
      <c r="BW312" s="453">
        <v>1.65</v>
      </c>
      <c r="BX312" s="453">
        <v>1.5</v>
      </c>
      <c r="BY312" s="456">
        <v>0.89</v>
      </c>
      <c r="BZ312" s="456">
        <v>15.4</v>
      </c>
      <c r="CA312" s="456">
        <v>31.1</v>
      </c>
      <c r="CB312" s="456">
        <v>12.7</v>
      </c>
      <c r="CC312" s="456">
        <v>10.3</v>
      </c>
      <c r="CD312" s="456">
        <v>14.3</v>
      </c>
      <c r="CE312" s="456">
        <v>19</v>
      </c>
      <c r="CF312" s="456">
        <v>12.9</v>
      </c>
      <c r="CG312" s="456">
        <v>522.70000000000005</v>
      </c>
      <c r="CH312" s="456">
        <v>3.2</v>
      </c>
      <c r="CI312" s="456">
        <v>4.5</v>
      </c>
      <c r="CJ312" s="456">
        <v>111.7</v>
      </c>
      <c r="CK312" s="456">
        <v>373.5</v>
      </c>
      <c r="CL312" s="456">
        <v>543.70000000000005</v>
      </c>
      <c r="CM312" s="456">
        <v>13.2</v>
      </c>
      <c r="CN312" s="456">
        <v>1.8</v>
      </c>
      <c r="CO312" s="453">
        <v>0</v>
      </c>
      <c r="CP312" s="453">
        <v>16.829999999999998</v>
      </c>
      <c r="CQ312" s="453">
        <v>53</v>
      </c>
      <c r="CR312" s="456">
        <v>0</v>
      </c>
      <c r="CS312" s="456">
        <v>0</v>
      </c>
      <c r="CT312" s="456">
        <v>0</v>
      </c>
      <c r="CU312" s="456">
        <v>0</v>
      </c>
      <c r="CV312" s="481">
        <v>939.16666666666663</v>
      </c>
      <c r="CW312" s="481">
        <v>1196.5625</v>
      </c>
      <c r="CX312" s="481">
        <v>945.85416666666663</v>
      </c>
      <c r="CY312" s="481">
        <v>1106.58</v>
      </c>
      <c r="CZ312" s="456"/>
      <c r="DA312" s="456"/>
      <c r="DB312" s="456"/>
      <c r="DC312" s="456"/>
      <c r="DD312" s="456"/>
      <c r="DE312" s="456"/>
      <c r="DF312" s="456"/>
      <c r="DG312" s="425"/>
      <c r="DH312" s="456">
        <v>0</v>
      </c>
      <c r="DI312" s="456" t="s">
        <v>756</v>
      </c>
      <c r="DJ312" s="456">
        <v>0.84</v>
      </c>
      <c r="DK312" s="425"/>
      <c r="DL312" s="456"/>
      <c r="DM312" s="456"/>
      <c r="DN312" s="456"/>
      <c r="DO312" s="456"/>
      <c r="DP312" s="456"/>
      <c r="DQ312" s="456"/>
      <c r="DR312" s="456"/>
      <c r="DS312" s="456"/>
      <c r="DT312" s="456"/>
      <c r="DU312" s="456"/>
      <c r="DV312" s="456"/>
      <c r="DW312" s="456"/>
      <c r="DX312" s="456"/>
      <c r="DY312" s="456"/>
      <c r="DZ312" s="456"/>
      <c r="EA312" s="456"/>
      <c r="EB312" s="456"/>
      <c r="EC312" s="456"/>
      <c r="ED312" s="456"/>
      <c r="EE312" s="456">
        <v>1</v>
      </c>
      <c r="EF312" s="456">
        <v>2</v>
      </c>
      <c r="EG312" s="456">
        <v>6.5</v>
      </c>
      <c r="EH312" s="456"/>
      <c r="EI312" s="456"/>
      <c r="EJ312" s="456"/>
      <c r="EK312" s="456"/>
      <c r="EL312" s="456"/>
      <c r="EM312" s="456"/>
      <c r="EN312" s="456"/>
      <c r="EO312" s="425"/>
      <c r="EP312" s="425"/>
      <c r="EQ312" s="425" t="s">
        <v>743</v>
      </c>
      <c r="ER312" s="425">
        <v>1</v>
      </c>
      <c r="ES312" s="425">
        <v>8</v>
      </c>
      <c r="ET312" s="425">
        <v>4000</v>
      </c>
      <c r="EU312" s="457">
        <v>1960</v>
      </c>
      <c r="EV312" s="425">
        <v>150</v>
      </c>
      <c r="EW312" s="425">
        <v>7421655</v>
      </c>
      <c r="EX312" s="425">
        <v>76678</v>
      </c>
      <c r="EY312" s="666">
        <v>18.850000000000001</v>
      </c>
      <c r="EZ312" s="666">
        <v>18.850000000000001</v>
      </c>
      <c r="FA312" s="666">
        <v>0</v>
      </c>
      <c r="FB312" s="666">
        <v>1.33</v>
      </c>
      <c r="FC312" s="666">
        <v>1.3</v>
      </c>
      <c r="FD312" s="666">
        <v>0.99</v>
      </c>
      <c r="FE312" s="666">
        <v>1.01</v>
      </c>
      <c r="FF312" s="666">
        <v>90</v>
      </c>
      <c r="FG312" s="666">
        <v>1.01</v>
      </c>
      <c r="FH312" s="666">
        <v>0.85</v>
      </c>
      <c r="FI312" s="666">
        <v>1.2</v>
      </c>
      <c r="FJ312" s="666">
        <v>8.07</v>
      </c>
      <c r="FK312" s="666">
        <v>8</v>
      </c>
      <c r="FL312" s="666">
        <v>7.82</v>
      </c>
      <c r="FM312" s="666">
        <v>7.5</v>
      </c>
      <c r="FN312" s="666">
        <v>0</v>
      </c>
    </row>
    <row r="313" spans="1:170" s="416" customFormat="1" ht="15">
      <c r="A313" s="425" t="s">
        <v>6</v>
      </c>
      <c r="B313" s="426">
        <v>40842</v>
      </c>
      <c r="C313" s="418">
        <v>0</v>
      </c>
      <c r="D313" s="518">
        <v>7.0000000000000007E-2</v>
      </c>
      <c r="E313" s="453">
        <v>0</v>
      </c>
      <c r="F313" s="453">
        <v>43</v>
      </c>
      <c r="G313" s="453">
        <v>1.2</v>
      </c>
      <c r="H313" s="519">
        <v>7.8</v>
      </c>
      <c r="I313" s="519">
        <v>86.05</v>
      </c>
      <c r="J313" s="483">
        <v>2.9</v>
      </c>
      <c r="K313" s="520">
        <v>3</v>
      </c>
      <c r="L313" s="453">
        <v>13.840000000000146</v>
      </c>
      <c r="M313" s="453">
        <v>12.5</v>
      </c>
      <c r="N313" s="453">
        <v>1.7</v>
      </c>
      <c r="O313" s="453">
        <v>2.4956426960532867</v>
      </c>
      <c r="P313" s="453">
        <v>1.7</v>
      </c>
      <c r="Q313" s="453">
        <v>2.2838778367083021</v>
      </c>
      <c r="R313" s="453">
        <v>930.25483751651234</v>
      </c>
      <c r="S313" s="453">
        <v>8</v>
      </c>
      <c r="T313" s="453">
        <v>8.1</v>
      </c>
      <c r="U313" s="453">
        <v>0.8</v>
      </c>
      <c r="V313" s="453">
        <v>0.9</v>
      </c>
      <c r="W313" s="453">
        <v>50.539999999999992</v>
      </c>
      <c r="X313" s="456">
        <v>50.539999999999992</v>
      </c>
      <c r="Y313" s="453">
        <v>26.21</v>
      </c>
      <c r="Z313" s="453">
        <v>20.21</v>
      </c>
      <c r="AA313" s="519">
        <v>26.139999999999418</v>
      </c>
      <c r="AB313" s="519">
        <v>20.159999999996217</v>
      </c>
      <c r="AC313" s="732">
        <f t="shared" si="4"/>
        <v>46.299999999995634</v>
      </c>
      <c r="AD313" s="664"/>
      <c r="AE313" s="664"/>
      <c r="AF313" s="664"/>
      <c r="AG313" s="664"/>
      <c r="AH313" s="664"/>
      <c r="AI313" s="664"/>
      <c r="AJ313" s="485"/>
      <c r="AK313" s="485"/>
      <c r="AL313" s="485"/>
      <c r="AM313" s="485"/>
      <c r="AN313" s="485"/>
      <c r="AO313" s="665"/>
      <c r="AP313" s="485"/>
      <c r="AQ313" s="483"/>
      <c r="AR313" s="755">
        <v>0</v>
      </c>
      <c r="AS313" s="483">
        <v>10.7</v>
      </c>
      <c r="AT313" s="755">
        <v>0</v>
      </c>
      <c r="AU313" s="483">
        <v>27</v>
      </c>
      <c r="AV313" s="484">
        <v>406.2</v>
      </c>
      <c r="AW313" s="484">
        <v>656</v>
      </c>
      <c r="AX313" s="453">
        <v>0</v>
      </c>
      <c r="AY313" s="734">
        <v>0</v>
      </c>
      <c r="AZ313" s="734">
        <v>0</v>
      </c>
      <c r="BA313" s="734">
        <v>0</v>
      </c>
      <c r="BB313" s="453">
        <v>0</v>
      </c>
      <c r="BC313" s="453">
        <v>0</v>
      </c>
      <c r="BD313" s="453">
        <v>0</v>
      </c>
      <c r="BE313" s="734">
        <v>0</v>
      </c>
      <c r="BF313" s="453">
        <v>0</v>
      </c>
      <c r="BG313" s="453">
        <v>0</v>
      </c>
      <c r="BH313" s="734">
        <v>0</v>
      </c>
      <c r="BI313" s="453">
        <v>0</v>
      </c>
      <c r="BJ313" s="453">
        <v>20.100000000000001</v>
      </c>
      <c r="BK313" s="873">
        <v>0.99</v>
      </c>
      <c r="BL313" s="873">
        <v>1.02</v>
      </c>
      <c r="BM313" s="453">
        <v>0</v>
      </c>
      <c r="BN313" s="453">
        <v>17.899999999999999</v>
      </c>
      <c r="BO313" s="453">
        <v>768</v>
      </c>
      <c r="BP313" s="453">
        <v>0</v>
      </c>
      <c r="BQ313" s="453">
        <v>18.100000000000001</v>
      </c>
      <c r="BR313" s="453">
        <v>18.100000000000001</v>
      </c>
      <c r="BS313" s="453">
        <v>0</v>
      </c>
      <c r="BT313" s="453">
        <v>24.8</v>
      </c>
      <c r="BU313" s="453">
        <v>23.6</v>
      </c>
      <c r="BV313" s="456">
        <v>434.2</v>
      </c>
      <c r="BW313" s="453">
        <v>1.57</v>
      </c>
      <c r="BX313" s="453">
        <v>1.36</v>
      </c>
      <c r="BY313" s="456">
        <v>0.89</v>
      </c>
      <c r="BZ313" s="456">
        <v>15.3</v>
      </c>
      <c r="CA313" s="456">
        <v>31.2</v>
      </c>
      <c r="CB313" s="456">
        <v>14.6</v>
      </c>
      <c r="CC313" s="456">
        <v>8</v>
      </c>
      <c r="CD313" s="456">
        <v>12.3</v>
      </c>
      <c r="CE313" s="456">
        <v>16.3</v>
      </c>
      <c r="CF313" s="456">
        <v>12.7</v>
      </c>
      <c r="CG313" s="456">
        <v>501</v>
      </c>
      <c r="CH313" s="456">
        <v>3.1</v>
      </c>
      <c r="CI313" s="456">
        <v>4.8</v>
      </c>
      <c r="CJ313" s="456">
        <v>323.7</v>
      </c>
      <c r="CK313" s="456">
        <v>368.6</v>
      </c>
      <c r="CL313" s="456">
        <v>549.20000000000005</v>
      </c>
      <c r="CM313" s="456">
        <v>11.4</v>
      </c>
      <c r="CN313" s="456">
        <v>1.8</v>
      </c>
      <c r="CO313" s="453">
        <v>0</v>
      </c>
      <c r="CP313" s="453">
        <v>16.600000000000001</v>
      </c>
      <c r="CQ313" s="453">
        <v>53</v>
      </c>
      <c r="CR313" s="456">
        <v>0</v>
      </c>
      <c r="CS313" s="456">
        <v>0</v>
      </c>
      <c r="CT313" s="456">
        <v>0</v>
      </c>
      <c r="CU313" s="456">
        <v>0</v>
      </c>
      <c r="CV313" s="481">
        <v>923.875</v>
      </c>
      <c r="CW313" s="481">
        <v>1146.6666666666667</v>
      </c>
      <c r="CX313" s="481">
        <v>901.77083333333337</v>
      </c>
      <c r="CY313" s="481">
        <v>1104.06</v>
      </c>
      <c r="CZ313" s="456"/>
      <c r="DA313" s="456"/>
      <c r="DB313" s="456"/>
      <c r="DC313" s="456"/>
      <c r="DD313" s="456"/>
      <c r="DE313" s="456"/>
      <c r="DF313" s="456"/>
      <c r="DG313" s="425"/>
      <c r="DH313" s="456">
        <v>0</v>
      </c>
      <c r="DI313" s="456" t="s">
        <v>756</v>
      </c>
      <c r="DJ313" s="456">
        <v>0.87</v>
      </c>
      <c r="DK313" s="425"/>
      <c r="DL313" s="456"/>
      <c r="DM313" s="456"/>
      <c r="DN313" s="456"/>
      <c r="DO313" s="456"/>
      <c r="DP313" s="456"/>
      <c r="DQ313" s="456"/>
      <c r="DR313" s="456"/>
      <c r="DS313" s="456"/>
      <c r="DT313" s="456"/>
      <c r="DU313" s="456"/>
      <c r="DV313" s="456"/>
      <c r="DW313" s="456"/>
      <c r="DX313" s="456"/>
      <c r="DY313" s="456"/>
      <c r="DZ313" s="456"/>
      <c r="EA313" s="456"/>
      <c r="EB313" s="456"/>
      <c r="EC313" s="456"/>
      <c r="ED313" s="456"/>
      <c r="EE313" s="456">
        <v>1</v>
      </c>
      <c r="EF313" s="456">
        <v>2</v>
      </c>
      <c r="EG313" s="456">
        <v>6.5</v>
      </c>
      <c r="EH313" s="456"/>
      <c r="EI313" s="456"/>
      <c r="EJ313" s="456"/>
      <c r="EK313" s="456"/>
      <c r="EL313" s="456"/>
      <c r="EM313" s="456"/>
      <c r="EN313" s="456"/>
      <c r="EO313" s="425"/>
      <c r="EP313" s="425"/>
      <c r="EQ313" s="425" t="s">
        <v>743</v>
      </c>
      <c r="ER313" s="425">
        <v>1</v>
      </c>
      <c r="ES313" s="425">
        <v>8</v>
      </c>
      <c r="ET313" s="425">
        <v>4000</v>
      </c>
      <c r="EU313" s="457">
        <v>1800</v>
      </c>
      <c r="EV313" s="425">
        <v>175</v>
      </c>
      <c r="EW313" s="425">
        <v>7424396</v>
      </c>
      <c r="EX313" s="425">
        <v>77926</v>
      </c>
      <c r="EY313" s="666">
        <v>18</v>
      </c>
      <c r="EZ313" s="666">
        <v>18</v>
      </c>
      <c r="FA313" s="666">
        <v>0</v>
      </c>
      <c r="FB313" s="666">
        <v>1.37</v>
      </c>
      <c r="FC313" s="666">
        <v>1.35</v>
      </c>
      <c r="FD313" s="666">
        <v>0.93</v>
      </c>
      <c r="FE313" s="666">
        <v>0.95</v>
      </c>
      <c r="FF313" s="666">
        <v>160</v>
      </c>
      <c r="FG313" s="666">
        <v>2.96</v>
      </c>
      <c r="FH313" s="666">
        <v>0.92</v>
      </c>
      <c r="FI313" s="666">
        <v>1.65</v>
      </c>
      <c r="FJ313" s="666">
        <v>7.82</v>
      </c>
      <c r="FK313" s="666">
        <v>7.9</v>
      </c>
      <c r="FL313" s="666">
        <v>7.8</v>
      </c>
      <c r="FM313" s="666">
        <v>7.5</v>
      </c>
      <c r="FN313" s="666">
        <v>0</v>
      </c>
    </row>
    <row r="314" spans="1:170" s="416" customFormat="1" ht="15">
      <c r="A314" s="425" t="s">
        <v>7</v>
      </c>
      <c r="B314" s="426">
        <v>40843</v>
      </c>
      <c r="C314" s="418">
        <v>0</v>
      </c>
      <c r="D314" s="518">
        <v>0</v>
      </c>
      <c r="E314" s="453">
        <v>0</v>
      </c>
      <c r="F314" s="453">
        <v>50</v>
      </c>
      <c r="G314" s="453">
        <v>1.2</v>
      </c>
      <c r="H314" s="519">
        <v>3.3</v>
      </c>
      <c r="I314" s="519">
        <v>88.44</v>
      </c>
      <c r="J314" s="483">
        <v>2.9</v>
      </c>
      <c r="K314" s="520">
        <v>2.9</v>
      </c>
      <c r="L314" s="453">
        <v>0</v>
      </c>
      <c r="M314" s="453">
        <v>16</v>
      </c>
      <c r="N314" s="453">
        <v>1.8</v>
      </c>
      <c r="O314" s="453">
        <v>2.6269753532327669</v>
      </c>
      <c r="P314" s="453">
        <v>1.8</v>
      </c>
      <c r="Q314" s="453">
        <v>2.5579410916476255</v>
      </c>
      <c r="R314" s="453">
        <v>1174.4791228533684</v>
      </c>
      <c r="S314" s="453">
        <v>8</v>
      </c>
      <c r="T314" s="453">
        <v>8.1</v>
      </c>
      <c r="U314" s="453">
        <v>0.8</v>
      </c>
      <c r="V314" s="453">
        <v>0.8</v>
      </c>
      <c r="W314" s="453">
        <v>52.160000000000011</v>
      </c>
      <c r="X314" s="456">
        <v>52.160000000000011</v>
      </c>
      <c r="Y314" s="453">
        <v>30.1</v>
      </c>
      <c r="Z314" s="453">
        <v>20.2</v>
      </c>
      <c r="AA314" s="519">
        <v>29.659999999988941</v>
      </c>
      <c r="AB314" s="519">
        <v>24.5</v>
      </c>
      <c r="AC314" s="732">
        <f t="shared" si="4"/>
        <v>54.159999999988941</v>
      </c>
      <c r="AD314" s="664"/>
      <c r="AE314" s="664"/>
      <c r="AF314" s="664"/>
      <c r="AG314" s="664"/>
      <c r="AH314" s="664"/>
      <c r="AI314" s="664"/>
      <c r="AJ314" s="485"/>
      <c r="AK314" s="485"/>
      <c r="AL314" s="485"/>
      <c r="AM314" s="485"/>
      <c r="AN314" s="485"/>
      <c r="AO314" s="665"/>
      <c r="AP314" s="485"/>
      <c r="AQ314" s="483"/>
      <c r="AR314" s="755">
        <v>0</v>
      </c>
      <c r="AS314" s="483">
        <v>13.1</v>
      </c>
      <c r="AT314" s="755">
        <v>0</v>
      </c>
      <c r="AU314" s="483">
        <v>30.8</v>
      </c>
      <c r="AV314" s="484">
        <v>293.5</v>
      </c>
      <c r="AW314" s="484">
        <v>280.89999999999998</v>
      </c>
      <c r="AX314" s="453">
        <v>0</v>
      </c>
      <c r="AY314" s="734">
        <v>0</v>
      </c>
      <c r="AZ314" s="734">
        <v>0</v>
      </c>
      <c r="BA314" s="734">
        <v>0</v>
      </c>
      <c r="BB314" s="453">
        <v>0</v>
      </c>
      <c r="BC314" s="453">
        <v>0</v>
      </c>
      <c r="BD314" s="873">
        <v>0.9</v>
      </c>
      <c r="BE314" s="734">
        <v>0</v>
      </c>
      <c r="BF314" s="873">
        <v>0.36</v>
      </c>
      <c r="BG314" s="453">
        <v>0</v>
      </c>
      <c r="BH314" s="734">
        <v>0</v>
      </c>
      <c r="BI314" s="453">
        <v>0</v>
      </c>
      <c r="BJ314" s="453">
        <v>23.4</v>
      </c>
      <c r="BK314" s="873">
        <v>3.27</v>
      </c>
      <c r="BL314" s="873">
        <v>3.28</v>
      </c>
      <c r="BM314" s="453">
        <v>0</v>
      </c>
      <c r="BN314" s="453">
        <v>16.600000000000001</v>
      </c>
      <c r="BO314" s="453">
        <v>1539.4</v>
      </c>
      <c r="BP314" s="453">
        <v>0</v>
      </c>
      <c r="BQ314" s="453">
        <v>18.3</v>
      </c>
      <c r="BR314" s="453">
        <v>18.3</v>
      </c>
      <c r="BS314" s="453">
        <v>0</v>
      </c>
      <c r="BT314" s="453">
        <v>29</v>
      </c>
      <c r="BU314" s="453">
        <v>24</v>
      </c>
      <c r="BV314" s="456">
        <v>419.9</v>
      </c>
      <c r="BW314" s="453">
        <v>2.23</v>
      </c>
      <c r="BX314" s="453">
        <v>1.42</v>
      </c>
      <c r="BY314" s="456">
        <v>0.89</v>
      </c>
      <c r="BZ314" s="456">
        <v>15.7</v>
      </c>
      <c r="CA314" s="456">
        <v>31.1</v>
      </c>
      <c r="CB314" s="456">
        <v>13.8</v>
      </c>
      <c r="CC314" s="456">
        <v>9.6</v>
      </c>
      <c r="CD314" s="456">
        <v>13.9</v>
      </c>
      <c r="CE314" s="456">
        <v>17.899999999999999</v>
      </c>
      <c r="CF314" s="456">
        <v>13</v>
      </c>
      <c r="CG314" s="456">
        <v>518.20000000000005</v>
      </c>
      <c r="CH314" s="456">
        <v>3.1</v>
      </c>
      <c r="CI314" s="456">
        <v>4.2</v>
      </c>
      <c r="CJ314" s="456">
        <v>316.89999999999998</v>
      </c>
      <c r="CK314" s="456">
        <v>393</v>
      </c>
      <c r="CL314" s="456">
        <v>557.6</v>
      </c>
      <c r="CM314" s="456">
        <v>10.5</v>
      </c>
      <c r="CN314" s="456">
        <v>2</v>
      </c>
      <c r="CO314" s="453">
        <v>0</v>
      </c>
      <c r="CP314" s="453">
        <v>16.25</v>
      </c>
      <c r="CQ314" s="453">
        <v>53</v>
      </c>
      <c r="CR314" s="456">
        <v>0</v>
      </c>
      <c r="CS314" s="456">
        <v>0</v>
      </c>
      <c r="CT314" s="456">
        <v>0</v>
      </c>
      <c r="CU314" s="456">
        <v>0</v>
      </c>
      <c r="CV314" s="481">
        <v>906.20833333333337</v>
      </c>
      <c r="CW314" s="481">
        <v>1068.6458333333333</v>
      </c>
      <c r="CX314" s="481">
        <v>844.5</v>
      </c>
      <c r="CY314" s="481">
        <v>1101.1500000000001</v>
      </c>
      <c r="CZ314" s="456"/>
      <c r="DA314" s="456"/>
      <c r="DB314" s="456"/>
      <c r="DC314" s="456"/>
      <c r="DD314" s="456"/>
      <c r="DE314" s="456"/>
      <c r="DF314" s="456"/>
      <c r="DG314" s="425"/>
      <c r="DH314" s="456">
        <v>0</v>
      </c>
      <c r="DI314" s="456" t="s">
        <v>756</v>
      </c>
      <c r="DJ314" s="456">
        <v>0.84</v>
      </c>
      <c r="DK314" s="425"/>
      <c r="DL314" s="456"/>
      <c r="DM314" s="456"/>
      <c r="DN314" s="456"/>
      <c r="DO314" s="456"/>
      <c r="DP314" s="456"/>
      <c r="DQ314" s="456"/>
      <c r="DR314" s="456"/>
      <c r="DS314" s="456"/>
      <c r="DT314" s="456"/>
      <c r="DU314" s="456"/>
      <c r="DV314" s="456"/>
      <c r="DW314" s="456"/>
      <c r="DX314" s="456"/>
      <c r="DY314" s="456"/>
      <c r="DZ314" s="456"/>
      <c r="EA314" s="456"/>
      <c r="EB314" s="456"/>
      <c r="EC314" s="456"/>
      <c r="ED314" s="456"/>
      <c r="EE314" s="456">
        <v>1</v>
      </c>
      <c r="EF314" s="456">
        <v>2</v>
      </c>
      <c r="EG314" s="456">
        <v>6.5</v>
      </c>
      <c r="EH314" s="456"/>
      <c r="EI314" s="456"/>
      <c r="EJ314" s="456"/>
      <c r="EK314" s="456"/>
      <c r="EL314" s="456"/>
      <c r="EM314" s="456"/>
      <c r="EN314" s="456"/>
      <c r="EO314" s="425"/>
      <c r="EP314" s="425"/>
      <c r="EQ314" s="425" t="s">
        <v>743</v>
      </c>
      <c r="ER314" s="425">
        <v>1</v>
      </c>
      <c r="ES314" s="425">
        <v>8</v>
      </c>
      <c r="ET314" s="425">
        <v>4000</v>
      </c>
      <c r="EU314" s="457">
        <v>1660</v>
      </c>
      <c r="EV314" s="425">
        <v>140</v>
      </c>
      <c r="EW314" s="425">
        <v>7426656</v>
      </c>
      <c r="EX314" s="425">
        <v>79168</v>
      </c>
      <c r="EY314" s="666">
        <v>18.7</v>
      </c>
      <c r="EZ314" s="666">
        <v>18.7</v>
      </c>
      <c r="FA314" s="666">
        <v>0</v>
      </c>
      <c r="FB314" s="666">
        <v>1.35</v>
      </c>
      <c r="FC314" s="666">
        <v>1.38</v>
      </c>
      <c r="FD314" s="666">
        <v>0.98</v>
      </c>
      <c r="FE314" s="666">
        <v>0.95</v>
      </c>
      <c r="FF314" s="666">
        <v>140</v>
      </c>
      <c r="FG314" s="666">
        <v>2.6</v>
      </c>
      <c r="FH314" s="666">
        <v>1.05</v>
      </c>
      <c r="FI314" s="666">
        <v>1.79</v>
      </c>
      <c r="FJ314" s="666">
        <v>7.97</v>
      </c>
      <c r="FK314" s="666">
        <v>7.9</v>
      </c>
      <c r="FL314" s="666">
        <v>7.93</v>
      </c>
      <c r="FM314" s="666">
        <v>7.6</v>
      </c>
      <c r="FN314" s="666">
        <v>0</v>
      </c>
    </row>
    <row r="315" spans="1:170" s="416" customFormat="1" ht="15">
      <c r="A315" s="425" t="s">
        <v>8</v>
      </c>
      <c r="B315" s="426">
        <v>40844</v>
      </c>
      <c r="C315" s="418">
        <v>0</v>
      </c>
      <c r="D315" s="518">
        <v>0.7</v>
      </c>
      <c r="E315" s="453">
        <v>0</v>
      </c>
      <c r="F315" s="453">
        <v>46</v>
      </c>
      <c r="G315" s="453">
        <v>1.1000000000000001</v>
      </c>
      <c r="H315" s="519">
        <v>5.19</v>
      </c>
      <c r="I315" s="519">
        <v>86.9</v>
      </c>
      <c r="J315" s="483">
        <v>3.32</v>
      </c>
      <c r="K315" s="520">
        <v>3.28</v>
      </c>
      <c r="L315" s="453">
        <v>18.020000000000437</v>
      </c>
      <c r="M315" s="453">
        <v>13.9</v>
      </c>
      <c r="N315" s="453">
        <v>1.74</v>
      </c>
      <c r="O315" s="453">
        <v>2.3239846780213207</v>
      </c>
      <c r="P315" s="453">
        <v>1.74</v>
      </c>
      <c r="Q315" s="453">
        <v>2.2730097496208486</v>
      </c>
      <c r="R315" s="453">
        <v>995.03581505944499</v>
      </c>
      <c r="S315" s="453">
        <v>8.06</v>
      </c>
      <c r="T315" s="453">
        <v>8.0500000000000007</v>
      </c>
      <c r="U315" s="453">
        <v>0.8</v>
      </c>
      <c r="V315" s="453">
        <v>0.79</v>
      </c>
      <c r="W315" s="453">
        <v>47.84</v>
      </c>
      <c r="X315" s="456">
        <v>46.94</v>
      </c>
      <c r="Y315" s="453">
        <v>29.8</v>
      </c>
      <c r="Z315" s="453">
        <v>26.2</v>
      </c>
      <c r="AA315" s="519">
        <v>28.400000000008731</v>
      </c>
      <c r="AB315" s="519">
        <v>23.400000000001455</v>
      </c>
      <c r="AC315" s="732">
        <f t="shared" si="4"/>
        <v>51.800000000010186</v>
      </c>
      <c r="AD315" s="664"/>
      <c r="AE315" s="664"/>
      <c r="AF315" s="664"/>
      <c r="AG315" s="664"/>
      <c r="AH315" s="664"/>
      <c r="AI315" s="664"/>
      <c r="AJ315" s="485"/>
      <c r="AK315" s="485"/>
      <c r="AL315" s="485"/>
      <c r="AM315" s="485"/>
      <c r="AN315" s="485"/>
      <c r="AO315" s="665"/>
      <c r="AP315" s="485"/>
      <c r="AQ315" s="483"/>
      <c r="AR315" s="755">
        <v>0</v>
      </c>
      <c r="AS315" s="483">
        <v>10.5</v>
      </c>
      <c r="AT315" s="755">
        <v>0</v>
      </c>
      <c r="AU315" s="483">
        <v>29.9</v>
      </c>
      <c r="AV315" s="484">
        <v>325.8</v>
      </c>
      <c r="AW315" s="484">
        <v>337.9</v>
      </c>
      <c r="AX315" s="453">
        <v>0</v>
      </c>
      <c r="AY315" s="734">
        <v>0</v>
      </c>
      <c r="AZ315" s="734">
        <v>0</v>
      </c>
      <c r="BA315" s="734">
        <v>0</v>
      </c>
      <c r="BB315" s="453">
        <v>0</v>
      </c>
      <c r="BC315" s="453">
        <v>0</v>
      </c>
      <c r="BD315" s="873">
        <v>0.89</v>
      </c>
      <c r="BE315" s="734">
        <v>0</v>
      </c>
      <c r="BF315" s="873">
        <v>0.28999999999999998</v>
      </c>
      <c r="BG315" s="453">
        <v>0</v>
      </c>
      <c r="BH315" s="734">
        <v>0</v>
      </c>
      <c r="BI315" s="453">
        <v>0</v>
      </c>
      <c r="BJ315" s="453">
        <v>22.4</v>
      </c>
      <c r="BK315" s="873">
        <v>1.77</v>
      </c>
      <c r="BL315" s="873">
        <v>1.86</v>
      </c>
      <c r="BM315" s="453">
        <v>0</v>
      </c>
      <c r="BN315" s="453">
        <v>18.600000000000001</v>
      </c>
      <c r="BO315" s="453">
        <v>1064.4000000000001</v>
      </c>
      <c r="BP315" s="453">
        <v>0</v>
      </c>
      <c r="BQ315" s="453">
        <v>18.899999999999999</v>
      </c>
      <c r="BR315" s="453">
        <v>18.899999999999999</v>
      </c>
      <c r="BS315" s="453">
        <v>0</v>
      </c>
      <c r="BT315" s="453">
        <v>28.1</v>
      </c>
      <c r="BU315" s="453">
        <v>22.3</v>
      </c>
      <c r="BV315" s="456">
        <v>597.9</v>
      </c>
      <c r="BW315" s="453">
        <v>2.0099999999999998</v>
      </c>
      <c r="BX315" s="453">
        <v>1.37</v>
      </c>
      <c r="BY315" s="456">
        <v>0.9</v>
      </c>
      <c r="BZ315" s="456">
        <v>15.1</v>
      </c>
      <c r="CA315" s="456">
        <v>31.1</v>
      </c>
      <c r="CB315" s="456">
        <v>13.3</v>
      </c>
      <c r="CC315" s="456">
        <v>8.6</v>
      </c>
      <c r="CD315" s="456">
        <v>12.6</v>
      </c>
      <c r="CE315" s="456">
        <v>17.100000000000001</v>
      </c>
      <c r="CF315" s="456">
        <v>12.9</v>
      </c>
      <c r="CG315" s="456">
        <v>518.1</v>
      </c>
      <c r="CH315" s="456">
        <v>3.1</v>
      </c>
      <c r="CI315" s="456">
        <v>5</v>
      </c>
      <c r="CJ315" s="456">
        <v>304</v>
      </c>
      <c r="CK315" s="456">
        <v>364.5</v>
      </c>
      <c r="CL315" s="456">
        <v>539.29999999999995</v>
      </c>
      <c r="CM315" s="456">
        <v>11.2</v>
      </c>
      <c r="CN315" s="456">
        <v>2</v>
      </c>
      <c r="CO315" s="453">
        <v>0</v>
      </c>
      <c r="CP315" s="453">
        <v>17.07</v>
      </c>
      <c r="CQ315" s="453">
        <v>53</v>
      </c>
      <c r="CR315" s="456">
        <v>0</v>
      </c>
      <c r="CS315" s="456">
        <v>0</v>
      </c>
      <c r="CT315" s="456">
        <v>0</v>
      </c>
      <c r="CU315" s="456">
        <v>0</v>
      </c>
      <c r="CV315" s="481">
        <v>887.5</v>
      </c>
      <c r="CW315" s="481">
        <v>1069.2708333333333</v>
      </c>
      <c r="CX315" s="481">
        <v>859.61458333333337</v>
      </c>
      <c r="CY315" s="481">
        <v>1098.27</v>
      </c>
      <c r="CZ315" s="456"/>
      <c r="DA315" s="456"/>
      <c r="DB315" s="456"/>
      <c r="DC315" s="456"/>
      <c r="DD315" s="456"/>
      <c r="DE315" s="456"/>
      <c r="DF315" s="456"/>
      <c r="DG315" s="425"/>
      <c r="DH315" s="456">
        <v>0</v>
      </c>
      <c r="DI315" s="456" t="s">
        <v>756</v>
      </c>
      <c r="DJ315" s="456">
        <v>1.03</v>
      </c>
      <c r="DK315" s="425"/>
      <c r="DL315" s="456"/>
      <c r="DM315" s="456"/>
      <c r="DN315" s="456"/>
      <c r="DO315" s="456"/>
      <c r="DP315" s="456"/>
      <c r="DQ315" s="456"/>
      <c r="DR315" s="456"/>
      <c r="DS315" s="456"/>
      <c r="DT315" s="456"/>
      <c r="DU315" s="456"/>
      <c r="DV315" s="456"/>
      <c r="DW315" s="456"/>
      <c r="DX315" s="456"/>
      <c r="DY315" s="456"/>
      <c r="DZ315" s="456"/>
      <c r="EA315" s="456"/>
      <c r="EB315" s="456"/>
      <c r="EC315" s="456"/>
      <c r="ED315" s="456"/>
      <c r="EE315" s="456">
        <v>1</v>
      </c>
      <c r="EF315" s="456">
        <v>2</v>
      </c>
      <c r="EG315" s="456">
        <v>6.5</v>
      </c>
      <c r="EH315" s="456"/>
      <c r="EI315" s="456"/>
      <c r="EJ315" s="456"/>
      <c r="EK315" s="456"/>
      <c r="EL315" s="456"/>
      <c r="EM315" s="456"/>
      <c r="EN315" s="456"/>
      <c r="EO315" s="425"/>
      <c r="EP315" s="425"/>
      <c r="EQ315" s="425" t="s">
        <v>743</v>
      </c>
      <c r="ER315" s="425">
        <v>1</v>
      </c>
      <c r="ES315" s="425">
        <v>8</v>
      </c>
      <c r="ET315" s="425">
        <v>4000</v>
      </c>
      <c r="EU315" s="457">
        <v>1520</v>
      </c>
      <c r="EV315" s="425">
        <v>110</v>
      </c>
      <c r="EW315" s="425">
        <v>7428844</v>
      </c>
      <c r="EX315" s="425">
        <v>80427</v>
      </c>
      <c r="EY315" s="666">
        <v>19.2</v>
      </c>
      <c r="EZ315" s="666">
        <v>19.2</v>
      </c>
      <c r="FA315" s="666">
        <v>0</v>
      </c>
      <c r="FB315" s="666">
        <v>1.38</v>
      </c>
      <c r="FC315" s="666">
        <v>1.35</v>
      </c>
      <c r="FD315" s="666">
        <v>0.91</v>
      </c>
      <c r="FE315" s="666">
        <v>0.92</v>
      </c>
      <c r="FF315" s="666">
        <v>140</v>
      </c>
      <c r="FG315" s="666">
        <v>2.25</v>
      </c>
      <c r="FH315" s="666">
        <v>1.06</v>
      </c>
      <c r="FI315" s="666">
        <v>1.84</v>
      </c>
      <c r="FJ315" s="666">
        <v>7.99</v>
      </c>
      <c r="FK315" s="666">
        <v>7.7</v>
      </c>
      <c r="FL315" s="666">
        <v>7.89</v>
      </c>
      <c r="FM315" s="666">
        <v>7.5</v>
      </c>
      <c r="FN315" s="666">
        <v>0</v>
      </c>
    </row>
    <row r="316" spans="1:170" s="416" customFormat="1" ht="15">
      <c r="A316" s="425" t="s">
        <v>9</v>
      </c>
      <c r="B316" s="426">
        <v>40845</v>
      </c>
      <c r="C316" s="418">
        <v>0</v>
      </c>
      <c r="D316" s="518">
        <v>0</v>
      </c>
      <c r="E316" s="453">
        <v>0</v>
      </c>
      <c r="F316" s="453">
        <v>44</v>
      </c>
      <c r="G316" s="453">
        <v>1.1000000000000001</v>
      </c>
      <c r="H316" s="519">
        <v>5.66</v>
      </c>
      <c r="I316" s="519">
        <v>87.4</v>
      </c>
      <c r="J316" s="483">
        <v>2.76</v>
      </c>
      <c r="K316" s="520">
        <v>1.55</v>
      </c>
      <c r="L316" s="453">
        <v>24.1299999999992</v>
      </c>
      <c r="M316" s="453">
        <v>12.6</v>
      </c>
      <c r="N316" s="453">
        <v>1.59</v>
      </c>
      <c r="O316" s="453">
        <v>2.2916990442150245</v>
      </c>
      <c r="P316" s="453">
        <v>1.75</v>
      </c>
      <c r="Q316" s="453">
        <v>2.1526522971527133</v>
      </c>
      <c r="R316" s="453">
        <v>877.13443593130762</v>
      </c>
      <c r="S316" s="453">
        <v>8.0299999999999994</v>
      </c>
      <c r="T316" s="453">
        <v>8</v>
      </c>
      <c r="U316" s="453">
        <v>0.81</v>
      </c>
      <c r="V316" s="453">
        <v>0.82</v>
      </c>
      <c r="W316" s="453">
        <v>47.480000000000004</v>
      </c>
      <c r="X316" s="456">
        <v>46.58</v>
      </c>
      <c r="Y316" s="453">
        <v>27.07</v>
      </c>
      <c r="Z316" s="453">
        <v>19.670000000000002</v>
      </c>
      <c r="AA316" s="519">
        <v>27</v>
      </c>
      <c r="AB316" s="519">
        <v>19.900000000001455</v>
      </c>
      <c r="AC316" s="732">
        <f t="shared" si="4"/>
        <v>46.900000000001455</v>
      </c>
      <c r="AD316" s="664"/>
      <c r="AE316" s="664"/>
      <c r="AF316" s="664"/>
      <c r="AG316" s="664"/>
      <c r="AH316" s="664"/>
      <c r="AI316" s="664"/>
      <c r="AJ316" s="485"/>
      <c r="AK316" s="485"/>
      <c r="AL316" s="485"/>
      <c r="AM316" s="485"/>
      <c r="AN316" s="485"/>
      <c r="AO316" s="665"/>
      <c r="AP316" s="485"/>
      <c r="AQ316" s="483"/>
      <c r="AR316" s="755">
        <v>0</v>
      </c>
      <c r="AS316" s="483">
        <v>20.8</v>
      </c>
      <c r="AT316" s="755">
        <v>0</v>
      </c>
      <c r="AU316" s="483">
        <v>28</v>
      </c>
      <c r="AV316" s="484">
        <v>477.9</v>
      </c>
      <c r="AW316" s="484">
        <v>547.6</v>
      </c>
      <c r="AX316" s="453">
        <v>0</v>
      </c>
      <c r="AY316" s="734">
        <v>0</v>
      </c>
      <c r="AZ316" s="734">
        <v>0</v>
      </c>
      <c r="BA316" s="734">
        <v>0</v>
      </c>
      <c r="BB316" s="453">
        <v>0</v>
      </c>
      <c r="BC316" s="453">
        <v>0</v>
      </c>
      <c r="BD316" s="453">
        <v>0</v>
      </c>
      <c r="BE316" s="734">
        <v>0</v>
      </c>
      <c r="BF316" s="453">
        <v>0</v>
      </c>
      <c r="BG316" s="453">
        <v>0</v>
      </c>
      <c r="BH316" s="734">
        <v>0</v>
      </c>
      <c r="BI316" s="453">
        <v>0</v>
      </c>
      <c r="BJ316" s="453">
        <v>19.899999999999999</v>
      </c>
      <c r="BK316" s="453">
        <v>0</v>
      </c>
      <c r="BL316" s="453">
        <v>0</v>
      </c>
      <c r="BM316" s="453">
        <v>0</v>
      </c>
      <c r="BN316" s="453">
        <v>19.7</v>
      </c>
      <c r="BO316" s="453">
        <v>1303.5999999999999</v>
      </c>
      <c r="BP316" s="453">
        <v>0</v>
      </c>
      <c r="BQ316" s="453">
        <v>19.100000000000001</v>
      </c>
      <c r="BR316" s="453">
        <v>19.100000000000001</v>
      </c>
      <c r="BS316" s="453">
        <v>0</v>
      </c>
      <c r="BT316" s="453">
        <v>26.1</v>
      </c>
      <c r="BU316" s="453">
        <v>21.7</v>
      </c>
      <c r="BV316" s="456">
        <v>442.9</v>
      </c>
      <c r="BW316" s="453">
        <v>1.99</v>
      </c>
      <c r="BX316" s="453">
        <v>1.41</v>
      </c>
      <c r="BY316" s="456">
        <v>0.89</v>
      </c>
      <c r="BZ316" s="456">
        <v>15.6</v>
      </c>
      <c r="CA316" s="456">
        <v>31.3</v>
      </c>
      <c r="CB316" s="456">
        <v>12.5</v>
      </c>
      <c r="CC316" s="456">
        <v>8.4</v>
      </c>
      <c r="CD316" s="456">
        <v>12.6</v>
      </c>
      <c r="CE316" s="456">
        <v>16.7</v>
      </c>
      <c r="CF316" s="456">
        <v>13.1</v>
      </c>
      <c r="CG316" s="456">
        <v>531.20000000000005</v>
      </c>
      <c r="CH316" s="456">
        <v>3</v>
      </c>
      <c r="CI316" s="456">
        <v>4.2</v>
      </c>
      <c r="CJ316" s="456">
        <v>353.4</v>
      </c>
      <c r="CK316" s="456">
        <v>394.1</v>
      </c>
      <c r="CL316" s="456">
        <v>577.5</v>
      </c>
      <c r="CM316" s="456">
        <v>11.3</v>
      </c>
      <c r="CN316" s="456">
        <v>2</v>
      </c>
      <c r="CO316" s="453">
        <v>0</v>
      </c>
      <c r="CP316" s="453">
        <v>16.96</v>
      </c>
      <c r="CQ316" s="453">
        <v>52</v>
      </c>
      <c r="CR316" s="456">
        <v>0</v>
      </c>
      <c r="CS316" s="456">
        <v>0</v>
      </c>
      <c r="CT316" s="456">
        <v>0</v>
      </c>
      <c r="CU316" s="456">
        <v>0</v>
      </c>
      <c r="CV316" s="481">
        <v>869.95833333333337</v>
      </c>
      <c r="CW316" s="481">
        <v>1113.9583333333333</v>
      </c>
      <c r="CX316" s="481">
        <v>855.83333333333337</v>
      </c>
      <c r="CY316" s="481">
        <v>1095.54</v>
      </c>
      <c r="CZ316" s="456"/>
      <c r="DA316" s="456"/>
      <c r="DB316" s="456"/>
      <c r="DC316" s="456"/>
      <c r="DD316" s="456"/>
      <c r="DE316" s="456"/>
      <c r="DF316" s="456"/>
      <c r="DG316" s="425"/>
      <c r="DH316" s="456">
        <v>0</v>
      </c>
      <c r="DI316" s="456" t="s">
        <v>756</v>
      </c>
      <c r="DJ316" s="456">
        <v>1.08</v>
      </c>
      <c r="DK316" s="425"/>
      <c r="DL316" s="456"/>
      <c r="DM316" s="456"/>
      <c r="DN316" s="456"/>
      <c r="DO316" s="456"/>
      <c r="DP316" s="456"/>
      <c r="DQ316" s="456"/>
      <c r="DR316" s="456"/>
      <c r="DS316" s="456"/>
      <c r="DT316" s="456"/>
      <c r="DU316" s="456"/>
      <c r="DV316" s="456"/>
      <c r="DW316" s="456"/>
      <c r="DX316" s="456"/>
      <c r="DY316" s="456"/>
      <c r="DZ316" s="456"/>
      <c r="EA316" s="456"/>
      <c r="EB316" s="456"/>
      <c r="EC316" s="456"/>
      <c r="ED316" s="456"/>
      <c r="EE316" s="456">
        <v>1</v>
      </c>
      <c r="EF316" s="456">
        <v>2</v>
      </c>
      <c r="EG316" s="456">
        <v>6.5</v>
      </c>
      <c r="EH316" s="456"/>
      <c r="EI316" s="456"/>
      <c r="EJ316" s="456"/>
      <c r="EK316" s="456"/>
      <c r="EL316" s="456"/>
      <c r="EM316" s="456"/>
      <c r="EN316" s="456"/>
      <c r="EO316" s="425"/>
      <c r="EP316" s="425"/>
      <c r="EQ316" s="425" t="s">
        <v>743</v>
      </c>
      <c r="ER316" s="425">
        <v>1</v>
      </c>
      <c r="ES316" s="425">
        <v>8</v>
      </c>
      <c r="ET316" s="425">
        <v>4000</v>
      </c>
      <c r="EU316" s="457">
        <v>1380</v>
      </c>
      <c r="EV316" s="425">
        <v>160</v>
      </c>
      <c r="EW316" s="425">
        <v>7430985</v>
      </c>
      <c r="EX316" s="425">
        <v>81681</v>
      </c>
      <c r="EY316" s="666">
        <v>19.5</v>
      </c>
      <c r="EZ316" s="666">
        <v>19.5</v>
      </c>
      <c r="FA316" s="666">
        <v>0</v>
      </c>
      <c r="FB316" s="666">
        <v>1.44</v>
      </c>
      <c r="FC316" s="666">
        <v>1.41</v>
      </c>
      <c r="FD316" s="666">
        <v>0.96</v>
      </c>
      <c r="FE316" s="666">
        <v>0.98</v>
      </c>
      <c r="FF316" s="666">
        <v>140</v>
      </c>
      <c r="FG316" s="666">
        <v>2.63</v>
      </c>
      <c r="FH316" s="666">
        <v>1.04</v>
      </c>
      <c r="FI316" s="666">
        <v>1.8</v>
      </c>
      <c r="FJ316" s="666">
        <v>7.92</v>
      </c>
      <c r="FK316" s="666">
        <v>7.9</v>
      </c>
      <c r="FL316" s="666">
        <v>8</v>
      </c>
      <c r="FM316" s="666">
        <v>7.5</v>
      </c>
      <c r="FN316" s="666">
        <v>0</v>
      </c>
    </row>
    <row r="317" spans="1:170" s="416" customFormat="1" ht="15">
      <c r="A317" s="425" t="s">
        <v>3</v>
      </c>
      <c r="B317" s="426">
        <v>40846</v>
      </c>
      <c r="C317" s="418">
        <v>0</v>
      </c>
      <c r="D317" s="518">
        <v>1.1100000000000001</v>
      </c>
      <c r="E317" s="453">
        <v>0</v>
      </c>
      <c r="F317" s="453">
        <v>46</v>
      </c>
      <c r="G317" s="453">
        <v>1.2</v>
      </c>
      <c r="H317" s="519">
        <v>6.01</v>
      </c>
      <c r="I317" s="519">
        <v>86.6</v>
      </c>
      <c r="J317" s="483">
        <v>2.79</v>
      </c>
      <c r="K317" s="520">
        <v>1.54</v>
      </c>
      <c r="L317" s="453">
        <v>24.1200000000008</v>
      </c>
      <c r="M317" s="453">
        <v>12.1</v>
      </c>
      <c r="N317" s="453">
        <v>1.77</v>
      </c>
      <c r="O317" s="453">
        <v>2.2511190152178306</v>
      </c>
      <c r="P317" s="453">
        <v>1.77</v>
      </c>
      <c r="Q317" s="453">
        <v>2.115775153295762</v>
      </c>
      <c r="R317" s="453">
        <v>865.14995508586503</v>
      </c>
      <c r="S317" s="453">
        <v>7.99</v>
      </c>
      <c r="T317" s="453">
        <v>7.99</v>
      </c>
      <c r="U317" s="453">
        <v>0.82</v>
      </c>
      <c r="V317" s="453">
        <v>0.84</v>
      </c>
      <c r="W317" s="453">
        <v>47.480000000000004</v>
      </c>
      <c r="X317" s="456">
        <v>46.94</v>
      </c>
      <c r="Y317" s="453">
        <v>27.21</v>
      </c>
      <c r="Z317" s="453">
        <v>20</v>
      </c>
      <c r="AA317" s="519">
        <v>27.099999999991269</v>
      </c>
      <c r="AB317" s="519">
        <v>19.94999999999709</v>
      </c>
      <c r="AC317" s="732">
        <f t="shared" si="4"/>
        <v>47.049999999988358</v>
      </c>
      <c r="AD317" s="664"/>
      <c r="AE317" s="664"/>
      <c r="AF317" s="664"/>
      <c r="AG317" s="664"/>
      <c r="AH317" s="664"/>
      <c r="AI317" s="664"/>
      <c r="AJ317" s="485"/>
      <c r="AK317" s="485"/>
      <c r="AL317" s="485"/>
      <c r="AM317" s="485"/>
      <c r="AN317" s="485"/>
      <c r="AO317" s="665"/>
      <c r="AP317" s="485"/>
      <c r="AQ317" s="483"/>
      <c r="AR317" s="755">
        <v>0</v>
      </c>
      <c r="AS317" s="483">
        <v>11.6</v>
      </c>
      <c r="AT317" s="755">
        <v>0</v>
      </c>
      <c r="AU317" s="483">
        <v>28</v>
      </c>
      <c r="AV317" s="484">
        <v>447.8</v>
      </c>
      <c r="AW317" s="484">
        <v>560.9</v>
      </c>
      <c r="AX317" s="453">
        <v>0</v>
      </c>
      <c r="AY317" s="734">
        <v>0</v>
      </c>
      <c r="AZ317" s="734">
        <v>0</v>
      </c>
      <c r="BA317" s="734">
        <v>0</v>
      </c>
      <c r="BB317" s="453">
        <v>0</v>
      </c>
      <c r="BC317" s="453">
        <v>0</v>
      </c>
      <c r="BD317" s="453">
        <v>0</v>
      </c>
      <c r="BE317" s="734">
        <v>0</v>
      </c>
      <c r="BF317" s="453">
        <v>0</v>
      </c>
      <c r="BG317" s="453">
        <v>0</v>
      </c>
      <c r="BH317" s="734">
        <v>0</v>
      </c>
      <c r="BI317" s="453">
        <v>0</v>
      </c>
      <c r="BJ317" s="453">
        <v>20</v>
      </c>
      <c r="BK317" s="453">
        <v>0</v>
      </c>
      <c r="BL317" s="453">
        <v>0</v>
      </c>
      <c r="BM317" s="453">
        <v>0</v>
      </c>
      <c r="BN317" s="453">
        <v>19.8</v>
      </c>
      <c r="BO317" s="453">
        <v>1499.7</v>
      </c>
      <c r="BP317" s="453">
        <v>0</v>
      </c>
      <c r="BQ317" s="453">
        <v>19.399999999999999</v>
      </c>
      <c r="BR317" s="453">
        <v>19.399999999999999</v>
      </c>
      <c r="BS317" s="453">
        <v>0</v>
      </c>
      <c r="BT317" s="453">
        <v>26.1</v>
      </c>
      <c r="BU317" s="453">
        <v>21.5</v>
      </c>
      <c r="BV317" s="456">
        <v>457.2</v>
      </c>
      <c r="BW317" s="453">
        <v>6.71</v>
      </c>
      <c r="BX317" s="453">
        <v>1.44</v>
      </c>
      <c r="BY317" s="456">
        <v>0.9</v>
      </c>
      <c r="BZ317" s="456">
        <v>15.5</v>
      </c>
      <c r="CA317" s="456">
        <v>31.6</v>
      </c>
      <c r="CB317" s="456">
        <v>14.3</v>
      </c>
      <c r="CC317" s="456">
        <v>8.9</v>
      </c>
      <c r="CD317" s="456">
        <v>13.2</v>
      </c>
      <c r="CE317" s="456">
        <v>17.2</v>
      </c>
      <c r="CF317" s="456">
        <v>12.9</v>
      </c>
      <c r="CG317" s="456">
        <v>490.6</v>
      </c>
      <c r="CH317" s="456">
        <v>2.7</v>
      </c>
      <c r="CI317" s="456">
        <v>4.2</v>
      </c>
      <c r="CJ317" s="456">
        <v>404.1</v>
      </c>
      <c r="CK317" s="456">
        <v>410.3</v>
      </c>
      <c r="CL317" s="456">
        <v>523.70000000000005</v>
      </c>
      <c r="CM317" s="456">
        <v>10.5</v>
      </c>
      <c r="CN317" s="456">
        <v>1.9</v>
      </c>
      <c r="CO317" s="453">
        <v>0</v>
      </c>
      <c r="CP317" s="453">
        <v>16.739999999999998</v>
      </c>
      <c r="CQ317" s="453">
        <v>52</v>
      </c>
      <c r="CR317" s="456">
        <v>0</v>
      </c>
      <c r="CS317" s="456">
        <v>0</v>
      </c>
      <c r="CT317" s="456">
        <v>0</v>
      </c>
      <c r="CU317" s="456">
        <v>0</v>
      </c>
      <c r="CV317" s="481">
        <v>855.45833333333337</v>
      </c>
      <c r="CW317" s="481">
        <v>1092.8125</v>
      </c>
      <c r="CX317" s="481">
        <v>868.77083333333337</v>
      </c>
      <c r="CY317" s="481">
        <v>1093.75</v>
      </c>
      <c r="CZ317" s="456"/>
      <c r="DA317" s="456"/>
      <c r="DB317" s="456"/>
      <c r="DC317" s="456"/>
      <c r="DD317" s="456"/>
      <c r="DE317" s="456"/>
      <c r="DF317" s="456"/>
      <c r="DG317" s="425"/>
      <c r="DH317" s="456">
        <v>0</v>
      </c>
      <c r="DI317" s="456" t="s">
        <v>756</v>
      </c>
      <c r="DJ317" s="456">
        <v>1.1299999999999999</v>
      </c>
      <c r="DK317" s="425"/>
      <c r="DL317" s="456"/>
      <c r="DM317" s="456"/>
      <c r="DN317" s="456"/>
      <c r="DO317" s="456"/>
      <c r="DP317" s="456"/>
      <c r="DQ317" s="456"/>
      <c r="DR317" s="456"/>
      <c r="DS317" s="456"/>
      <c r="DT317" s="456"/>
      <c r="DU317" s="456"/>
      <c r="DV317" s="456"/>
      <c r="DW317" s="456"/>
      <c r="DX317" s="456"/>
      <c r="DY317" s="456"/>
      <c r="DZ317" s="456"/>
      <c r="EA317" s="456"/>
      <c r="EB317" s="456"/>
      <c r="EC317" s="456"/>
      <c r="ED317" s="456"/>
      <c r="EE317" s="456">
        <v>1</v>
      </c>
      <c r="EF317" s="456">
        <v>2</v>
      </c>
      <c r="EG317" s="456">
        <v>6.5</v>
      </c>
      <c r="EH317" s="456"/>
      <c r="EI317" s="456"/>
      <c r="EJ317" s="456"/>
      <c r="EK317" s="456"/>
      <c r="EL317" s="456"/>
      <c r="EM317" s="456"/>
      <c r="EN317" s="456"/>
      <c r="EO317" s="425"/>
      <c r="EP317" s="425"/>
      <c r="EQ317" s="425" t="s">
        <v>743</v>
      </c>
      <c r="ER317" s="425">
        <v>1</v>
      </c>
      <c r="ES317" s="425">
        <v>8</v>
      </c>
      <c r="ET317" s="425">
        <v>4000</v>
      </c>
      <c r="EU317" s="457">
        <v>1250</v>
      </c>
      <c r="EV317" s="425">
        <v>170</v>
      </c>
      <c r="EW317" s="425">
        <v>7433104</v>
      </c>
      <c r="EX317" s="425">
        <v>82956</v>
      </c>
      <c r="EY317" s="666">
        <v>19.8</v>
      </c>
      <c r="EZ317" s="666">
        <v>19.8</v>
      </c>
      <c r="FA317" s="666">
        <v>0</v>
      </c>
      <c r="FB317" s="666">
        <v>1.28</v>
      </c>
      <c r="FC317" s="666">
        <v>1.3</v>
      </c>
      <c r="FD317" s="666">
        <v>0.97</v>
      </c>
      <c r="FE317" s="666">
        <v>1.01</v>
      </c>
      <c r="FF317" s="666">
        <v>120</v>
      </c>
      <c r="FG317" s="666">
        <v>2.8</v>
      </c>
      <c r="FH317" s="666">
        <v>1.08</v>
      </c>
      <c r="FI317" s="666">
        <v>1.89</v>
      </c>
      <c r="FJ317" s="666">
        <v>7.83</v>
      </c>
      <c r="FK317" s="666">
        <v>7.9</v>
      </c>
      <c r="FL317" s="666">
        <v>8.01</v>
      </c>
      <c r="FM317" s="666">
        <v>7.5</v>
      </c>
      <c r="FN317" s="666">
        <v>0</v>
      </c>
    </row>
    <row r="318" spans="1:170" s="416" customFormat="1" ht="15">
      <c r="A318" s="425" t="s">
        <v>4</v>
      </c>
      <c r="B318" s="426">
        <v>40847</v>
      </c>
      <c r="C318" s="418">
        <v>0</v>
      </c>
      <c r="D318" s="518">
        <v>0.15</v>
      </c>
      <c r="E318" s="453">
        <v>0</v>
      </c>
      <c r="F318" s="453">
        <v>38</v>
      </c>
      <c r="G318" s="453">
        <v>1.3</v>
      </c>
      <c r="H318" s="519">
        <v>8.3000000000000007</v>
      </c>
      <c r="I318" s="519">
        <v>86.84</v>
      </c>
      <c r="J318" s="483">
        <v>3.1</v>
      </c>
      <c r="K318" s="520">
        <v>1.7</v>
      </c>
      <c r="L318" s="453">
        <v>29.479999999999563</v>
      </c>
      <c r="M318" s="453">
        <v>10.7</v>
      </c>
      <c r="N318" s="453">
        <v>1.6</v>
      </c>
      <c r="O318" s="453">
        <v>2.1781738283828194</v>
      </c>
      <c r="P318" s="453">
        <v>1.8</v>
      </c>
      <c r="Q318" s="453">
        <v>2.1156386546082069</v>
      </c>
      <c r="R318" s="453">
        <v>837.29413474240414</v>
      </c>
      <c r="S318" s="453">
        <v>8.1</v>
      </c>
      <c r="T318" s="453">
        <v>8</v>
      </c>
      <c r="U318" s="453">
        <v>0.8</v>
      </c>
      <c r="V318" s="453">
        <v>0.9</v>
      </c>
      <c r="W318" s="453">
        <v>50</v>
      </c>
      <c r="X318" s="456">
        <v>50</v>
      </c>
      <c r="Y318" s="453">
        <v>27</v>
      </c>
      <c r="Z318" s="453">
        <v>19.920000000000002</v>
      </c>
      <c r="AA318" s="519">
        <v>27.12</v>
      </c>
      <c r="AB318" s="519">
        <v>18.64</v>
      </c>
      <c r="AC318" s="732">
        <f t="shared" si="4"/>
        <v>45.760000000000005</v>
      </c>
      <c r="AD318" s="664"/>
      <c r="AE318" s="664"/>
      <c r="AF318" s="664"/>
      <c r="AG318" s="664"/>
      <c r="AH318" s="664"/>
      <c r="AI318" s="664"/>
      <c r="AJ318" s="485"/>
      <c r="AK318" s="485"/>
      <c r="AL318" s="485"/>
      <c r="AM318" s="485"/>
      <c r="AN318" s="485"/>
      <c r="AO318" s="665"/>
      <c r="AP318" s="485"/>
      <c r="AQ318" s="483"/>
      <c r="AR318" s="755">
        <v>0</v>
      </c>
      <c r="AS318" s="483">
        <v>11</v>
      </c>
      <c r="AT318" s="755">
        <v>0</v>
      </c>
      <c r="AU318" s="483">
        <v>28</v>
      </c>
      <c r="AV318" s="484">
        <v>333.4</v>
      </c>
      <c r="AW318" s="484">
        <v>375.5</v>
      </c>
      <c r="AX318" s="453">
        <v>0</v>
      </c>
      <c r="AY318" s="734">
        <v>0</v>
      </c>
      <c r="AZ318" s="734">
        <v>0</v>
      </c>
      <c r="BA318" s="734">
        <v>0</v>
      </c>
      <c r="BB318" s="453">
        <v>0</v>
      </c>
      <c r="BC318" s="453">
        <v>0</v>
      </c>
      <c r="BD318" s="453">
        <v>0</v>
      </c>
      <c r="BE318" s="734">
        <v>0</v>
      </c>
      <c r="BF318" s="453">
        <v>0</v>
      </c>
      <c r="BG318" s="453">
        <v>0</v>
      </c>
      <c r="BH318" s="734">
        <v>0</v>
      </c>
      <c r="BI318" s="453">
        <v>0</v>
      </c>
      <c r="BJ318" s="453">
        <v>18.600000000000001</v>
      </c>
      <c r="BK318" s="453">
        <v>0</v>
      </c>
      <c r="BL318" s="453">
        <v>0</v>
      </c>
      <c r="BM318" s="453">
        <v>0</v>
      </c>
      <c r="BN318" s="453">
        <v>18.399999999999999</v>
      </c>
      <c r="BO318" s="453">
        <v>1559.5</v>
      </c>
      <c r="BP318" s="453">
        <v>0</v>
      </c>
      <c r="BQ318" s="453">
        <v>19.7</v>
      </c>
      <c r="BR318" s="453">
        <v>19.7</v>
      </c>
      <c r="BS318" s="453">
        <v>0</v>
      </c>
      <c r="BT318" s="453">
        <v>26.4</v>
      </c>
      <c r="BU318" s="453">
        <v>21.7</v>
      </c>
      <c r="BV318" s="456">
        <v>429.7</v>
      </c>
      <c r="BW318" s="453">
        <v>2.04</v>
      </c>
      <c r="BX318" s="453">
        <v>1.35</v>
      </c>
      <c r="BY318" s="456">
        <v>0.89</v>
      </c>
      <c r="BZ318" s="456">
        <v>15.3</v>
      </c>
      <c r="CA318" s="456">
        <v>32.5</v>
      </c>
      <c r="CB318" s="456">
        <v>13.7</v>
      </c>
      <c r="CC318" s="456">
        <v>10.5</v>
      </c>
      <c r="CD318" s="456">
        <v>14.7</v>
      </c>
      <c r="CE318" s="456">
        <v>18.8</v>
      </c>
      <c r="CF318" s="456">
        <v>12.8</v>
      </c>
      <c r="CG318" s="456">
        <v>498.3</v>
      </c>
      <c r="CH318" s="456">
        <v>2.7</v>
      </c>
      <c r="CI318" s="456">
        <v>4.3</v>
      </c>
      <c r="CJ318" s="456">
        <v>455.9</v>
      </c>
      <c r="CK318" s="456">
        <v>368.7</v>
      </c>
      <c r="CL318" s="456">
        <v>541.20000000000005</v>
      </c>
      <c r="CM318" s="456">
        <v>10.4</v>
      </c>
      <c r="CN318" s="456">
        <v>1.93</v>
      </c>
      <c r="CO318" s="453">
        <v>0</v>
      </c>
      <c r="CP318" s="453">
        <v>16.54</v>
      </c>
      <c r="CQ318" s="453">
        <v>51</v>
      </c>
      <c r="CR318" s="456">
        <v>0</v>
      </c>
      <c r="CS318" s="456">
        <v>0</v>
      </c>
      <c r="CT318" s="456">
        <v>0</v>
      </c>
      <c r="CU318" s="456">
        <v>0</v>
      </c>
      <c r="CV318" s="481">
        <v>911.625</v>
      </c>
      <c r="CW318" s="481">
        <v>1193.5416666666667</v>
      </c>
      <c r="CX318" s="481">
        <v>975.85416666666663</v>
      </c>
      <c r="CY318" s="481">
        <v>1094.57</v>
      </c>
      <c r="CZ318" s="456"/>
      <c r="DA318" s="456"/>
      <c r="DB318" s="456"/>
      <c r="DC318" s="456"/>
      <c r="DD318" s="456"/>
      <c r="DE318" s="456"/>
      <c r="DF318" s="456"/>
      <c r="DG318" s="425"/>
      <c r="DH318" s="456">
        <v>0</v>
      </c>
      <c r="DI318" s="456" t="s">
        <v>756</v>
      </c>
      <c r="DJ318" s="456">
        <v>1.1100000000000001</v>
      </c>
      <c r="DK318" s="425"/>
      <c r="DL318" s="456"/>
      <c r="DM318" s="456"/>
      <c r="DN318" s="456"/>
      <c r="DO318" s="456"/>
      <c r="DP318" s="456"/>
      <c r="DQ318" s="456"/>
      <c r="DR318" s="456"/>
      <c r="DS318" s="456"/>
      <c r="DT318" s="456"/>
      <c r="DU318" s="456"/>
      <c r="DV318" s="456"/>
      <c r="DW318" s="456"/>
      <c r="DX318" s="456"/>
      <c r="DY318" s="456"/>
      <c r="DZ318" s="456"/>
      <c r="EA318" s="456"/>
      <c r="EB318" s="456"/>
      <c r="EC318" s="456"/>
      <c r="ED318" s="456"/>
      <c r="EE318" s="456">
        <v>1</v>
      </c>
      <c r="EF318" s="456">
        <v>2</v>
      </c>
      <c r="EG318" s="456">
        <v>6.5</v>
      </c>
      <c r="EH318" s="456"/>
      <c r="EI318" s="456"/>
      <c r="EJ318" s="456"/>
      <c r="EK318" s="456"/>
      <c r="EL318" s="456"/>
      <c r="EM318" s="456"/>
      <c r="EN318" s="456"/>
      <c r="EO318" s="425"/>
      <c r="EP318" s="425"/>
      <c r="EQ318" s="425" t="s">
        <v>743</v>
      </c>
      <c r="ER318" s="425">
        <v>1</v>
      </c>
      <c r="ES318" s="425">
        <v>8</v>
      </c>
      <c r="ET318" s="425">
        <v>4000</v>
      </c>
      <c r="EU318" s="457">
        <v>1100</v>
      </c>
      <c r="EV318" s="425">
        <v>190</v>
      </c>
      <c r="EW318" s="425">
        <v>7435434</v>
      </c>
      <c r="EX318" s="425">
        <v>84321</v>
      </c>
      <c r="EY318" s="666">
        <v>19.8</v>
      </c>
      <c r="EZ318" s="666">
        <v>19.8</v>
      </c>
      <c r="FA318" s="666">
        <v>0</v>
      </c>
      <c r="FB318" s="666">
        <v>1.48</v>
      </c>
      <c r="FC318" s="666">
        <v>1.42</v>
      </c>
      <c r="FD318" s="666">
        <v>0.98</v>
      </c>
      <c r="FE318" s="666">
        <v>1.02</v>
      </c>
      <c r="FF318" s="666">
        <v>150</v>
      </c>
      <c r="FG318" s="666">
        <v>1.45</v>
      </c>
      <c r="FH318" s="666">
        <v>1.07</v>
      </c>
      <c r="FI318" s="666">
        <v>1.77</v>
      </c>
      <c r="FJ318" s="666">
        <v>7.98</v>
      </c>
      <c r="FK318" s="666">
        <v>7.9</v>
      </c>
      <c r="FL318" s="666">
        <v>7.92</v>
      </c>
      <c r="FM318" s="666">
        <v>7.5</v>
      </c>
      <c r="FN318" s="666">
        <v>0</v>
      </c>
    </row>
    <row r="319" spans="1:170" s="416" customFormat="1" ht="15">
      <c r="A319" s="425" t="s">
        <v>5</v>
      </c>
      <c r="B319" s="426">
        <v>40848</v>
      </c>
      <c r="C319" s="418">
        <v>0</v>
      </c>
      <c r="D319" s="518">
        <v>0.01</v>
      </c>
      <c r="E319" s="453">
        <v>0</v>
      </c>
      <c r="F319" s="453">
        <v>45</v>
      </c>
      <c r="G319" s="453">
        <v>1.2</v>
      </c>
      <c r="H319" s="519">
        <v>7.4</v>
      </c>
      <c r="I319" s="519">
        <v>84.57</v>
      </c>
      <c r="J319" s="483">
        <v>2.9</v>
      </c>
      <c r="K319" s="520">
        <v>1.5</v>
      </c>
      <c r="L319" s="453">
        <v>32.270000000000437</v>
      </c>
      <c r="M319" s="453">
        <v>10.5</v>
      </c>
      <c r="N319" s="453">
        <v>1.6</v>
      </c>
      <c r="O319" s="453">
        <v>2.1340702805100524</v>
      </c>
      <c r="P319" s="453">
        <v>1.8</v>
      </c>
      <c r="Q319" s="453">
        <v>2.0755271982414087</v>
      </c>
      <c r="R319" s="453">
        <v>784.82154293262863</v>
      </c>
      <c r="S319" s="453">
        <v>8.1999999999999993</v>
      </c>
      <c r="T319" s="453">
        <v>8</v>
      </c>
      <c r="U319" s="453">
        <v>0.8</v>
      </c>
      <c r="V319" s="453">
        <v>0.9</v>
      </c>
      <c r="W319" s="453">
        <v>49.64</v>
      </c>
      <c r="X319" s="456">
        <v>49.64</v>
      </c>
      <c r="Y319" s="453">
        <v>26.8</v>
      </c>
      <c r="Z319" s="453">
        <v>17.2</v>
      </c>
      <c r="AA319" s="519">
        <v>27.099999999991269</v>
      </c>
      <c r="AB319" s="519">
        <v>17.029999999998836</v>
      </c>
      <c r="AC319" s="732">
        <f t="shared" si="4"/>
        <v>44.129999999990105</v>
      </c>
      <c r="AD319" s="664"/>
      <c r="AE319" s="664"/>
      <c r="AF319" s="664"/>
      <c r="AG319" s="664"/>
      <c r="AH319" s="664"/>
      <c r="AI319" s="664"/>
      <c r="AJ319" s="485"/>
      <c r="AK319" s="485"/>
      <c r="AL319" s="485"/>
      <c r="AM319" s="485"/>
      <c r="AN319" s="485"/>
      <c r="AO319" s="665"/>
      <c r="AP319" s="485"/>
      <c r="AQ319" s="483"/>
      <c r="AR319" s="755">
        <v>0</v>
      </c>
      <c r="AS319" s="483">
        <v>11</v>
      </c>
      <c r="AT319" s="755">
        <v>0</v>
      </c>
      <c r="AU319" s="483">
        <v>28</v>
      </c>
      <c r="AV319" s="484">
        <v>580.9</v>
      </c>
      <c r="AW319" s="484">
        <v>758.5</v>
      </c>
      <c r="AX319" s="453">
        <v>0</v>
      </c>
      <c r="AY319" s="734">
        <v>0</v>
      </c>
      <c r="AZ319" s="734">
        <v>0</v>
      </c>
      <c r="BA319" s="734">
        <v>0</v>
      </c>
      <c r="BB319" s="453">
        <v>0</v>
      </c>
      <c r="BC319" s="453">
        <v>0</v>
      </c>
      <c r="BD319" s="453">
        <v>0</v>
      </c>
      <c r="BE319" s="734">
        <v>0</v>
      </c>
      <c r="BF319" s="453">
        <v>0</v>
      </c>
      <c r="BG319" s="453">
        <v>0</v>
      </c>
      <c r="BH319" s="734">
        <v>0</v>
      </c>
      <c r="BI319" s="453">
        <v>0</v>
      </c>
      <c r="BJ319" s="453">
        <v>17</v>
      </c>
      <c r="BK319" s="453">
        <v>0</v>
      </c>
      <c r="BL319" s="453">
        <v>0</v>
      </c>
      <c r="BM319" s="453">
        <v>0</v>
      </c>
      <c r="BN319" s="453">
        <v>16.8</v>
      </c>
      <c r="BO319" s="453">
        <v>752</v>
      </c>
      <c r="BP319" s="453">
        <v>43</v>
      </c>
      <c r="BQ319" s="453">
        <v>19.600000000000001</v>
      </c>
      <c r="BR319" s="453">
        <v>19.600000000000001</v>
      </c>
      <c r="BS319" s="453">
        <v>0</v>
      </c>
      <c r="BT319" s="453">
        <v>25.6</v>
      </c>
      <c r="BU319" s="453">
        <v>23</v>
      </c>
      <c r="BV319" s="456">
        <v>440.7</v>
      </c>
      <c r="BW319" s="453">
        <v>1.87</v>
      </c>
      <c r="BX319" s="453">
        <v>1.49</v>
      </c>
      <c r="BY319" s="456">
        <v>0.89</v>
      </c>
      <c r="BZ319" s="456">
        <v>15.2</v>
      </c>
      <c r="CA319" s="456">
        <v>32.299999999999997</v>
      </c>
      <c r="CB319" s="456">
        <v>13.03</v>
      </c>
      <c r="CC319" s="456">
        <v>8.1999999999999993</v>
      </c>
      <c r="CD319" s="456">
        <v>12.5</v>
      </c>
      <c r="CE319" s="456">
        <v>16.5</v>
      </c>
      <c r="CF319" s="456">
        <v>13.11</v>
      </c>
      <c r="CG319" s="456">
        <v>532.70000000000005</v>
      </c>
      <c r="CH319" s="456">
        <v>2.8</v>
      </c>
      <c r="CI319" s="456">
        <v>4.2</v>
      </c>
      <c r="CJ319" s="456">
        <v>590</v>
      </c>
      <c r="CK319" s="456">
        <v>374.5</v>
      </c>
      <c r="CL319" s="456">
        <v>540.29999999999995</v>
      </c>
      <c r="CM319" s="456">
        <v>11.3</v>
      </c>
      <c r="CN319" s="456">
        <v>2.04</v>
      </c>
      <c r="CO319" s="453">
        <v>0</v>
      </c>
      <c r="CP319" s="453">
        <v>16.79</v>
      </c>
      <c r="CQ319" s="453">
        <v>51</v>
      </c>
      <c r="CR319" s="456">
        <v>0</v>
      </c>
      <c r="CS319" s="456">
        <v>0</v>
      </c>
      <c r="CT319" s="456">
        <v>0</v>
      </c>
      <c r="CU319" s="456">
        <v>0</v>
      </c>
      <c r="CV319" s="481">
        <v>987.5</v>
      </c>
      <c r="CW319" s="481">
        <v>1278.5416666666667</v>
      </c>
      <c r="CX319" s="481">
        <v>1023.4375</v>
      </c>
      <c r="CY319" s="481">
        <v>1093.3699999999999</v>
      </c>
      <c r="CZ319" s="456"/>
      <c r="DA319" s="456"/>
      <c r="DB319" s="456"/>
      <c r="DC319" s="456"/>
      <c r="DD319" s="456"/>
      <c r="DE319" s="456"/>
      <c r="DF319" s="456"/>
      <c r="DG319" s="425"/>
      <c r="DH319" s="456">
        <v>0</v>
      </c>
      <c r="DI319" s="456" t="s">
        <v>756</v>
      </c>
      <c r="DJ319" s="456">
        <v>1.1100000000000001</v>
      </c>
      <c r="DK319" s="425"/>
      <c r="DL319" s="456"/>
      <c r="DM319" s="456"/>
      <c r="DN319" s="456"/>
      <c r="DO319" s="456"/>
      <c r="DP319" s="456"/>
      <c r="DQ319" s="456"/>
      <c r="DR319" s="456"/>
      <c r="DS319" s="456"/>
      <c r="DT319" s="456"/>
      <c r="DU319" s="456"/>
      <c r="DV319" s="456"/>
      <c r="DW319" s="456"/>
      <c r="DX319" s="456"/>
      <c r="DY319" s="456"/>
      <c r="DZ319" s="456"/>
      <c r="EA319" s="456"/>
      <c r="EB319" s="456"/>
      <c r="EC319" s="456"/>
      <c r="ED319" s="456"/>
      <c r="EE319" s="456">
        <v>1</v>
      </c>
      <c r="EF319" s="456">
        <v>2</v>
      </c>
      <c r="EG319" s="456">
        <v>6.5</v>
      </c>
      <c r="EH319" s="456"/>
      <c r="EI319" s="456"/>
      <c r="EJ319" s="456"/>
      <c r="EK319" s="456"/>
      <c r="EL319" s="456"/>
      <c r="EM319" s="456"/>
      <c r="EN319" s="456"/>
      <c r="EO319" s="425"/>
      <c r="EP319" s="425"/>
      <c r="EQ319" s="425" t="s">
        <v>743</v>
      </c>
      <c r="ER319" s="425">
        <v>1</v>
      </c>
      <c r="ES319" s="425">
        <v>8</v>
      </c>
      <c r="ET319" s="425">
        <v>4000</v>
      </c>
      <c r="EU319" s="457">
        <v>920</v>
      </c>
      <c r="EV319" s="425">
        <v>185</v>
      </c>
      <c r="EW319" s="425">
        <v>7438044</v>
      </c>
      <c r="EX319" s="425">
        <v>85736</v>
      </c>
      <c r="EY319" s="666">
        <v>19.96</v>
      </c>
      <c r="EZ319" s="666">
        <v>19.940000000000001</v>
      </c>
      <c r="FA319" s="666">
        <v>0</v>
      </c>
      <c r="FB319" s="666">
        <v>1.46</v>
      </c>
      <c r="FC319" s="666">
        <v>1.42</v>
      </c>
      <c r="FD319" s="666">
        <v>1.004</v>
      </c>
      <c r="FE319" s="666">
        <v>0.99</v>
      </c>
      <c r="FF319" s="666">
        <v>180</v>
      </c>
      <c r="FG319" s="666">
        <v>2.72</v>
      </c>
      <c r="FH319" s="666">
        <v>0.92400000000000004</v>
      </c>
      <c r="FI319" s="666">
        <v>1.73</v>
      </c>
      <c r="FJ319" s="666">
        <v>8</v>
      </c>
      <c r="FK319" s="666">
        <v>8.1</v>
      </c>
      <c r="FL319" s="666">
        <v>7.89</v>
      </c>
      <c r="FM319" s="666">
        <v>7.8</v>
      </c>
      <c r="FN319" s="666">
        <v>0</v>
      </c>
    </row>
    <row r="320" spans="1:170" s="416" customFormat="1" ht="15">
      <c r="A320" s="425" t="s">
        <v>6</v>
      </c>
      <c r="B320" s="426">
        <v>40849</v>
      </c>
      <c r="C320" s="418">
        <v>0</v>
      </c>
      <c r="D320" s="518">
        <v>0.42</v>
      </c>
      <c r="E320" s="453">
        <v>0</v>
      </c>
      <c r="F320" s="453">
        <v>40</v>
      </c>
      <c r="G320" s="453">
        <v>1.25</v>
      </c>
      <c r="H320" s="519">
        <v>5.17</v>
      </c>
      <c r="I320" s="519">
        <v>85.74</v>
      </c>
      <c r="J320" s="483">
        <v>2.68</v>
      </c>
      <c r="K320" s="520">
        <v>2.77</v>
      </c>
      <c r="L320" s="453">
        <v>21.199999999998909</v>
      </c>
      <c r="M320" s="453">
        <v>12.2</v>
      </c>
      <c r="N320" s="453">
        <v>1.66</v>
      </c>
      <c r="O320" s="453">
        <v>2.385004000889392</v>
      </c>
      <c r="P320" s="453">
        <v>1.8</v>
      </c>
      <c r="Q320" s="453">
        <v>2.2321056421655361</v>
      </c>
      <c r="R320" s="453">
        <v>848.63080581241741</v>
      </c>
      <c r="S320" s="453">
        <v>7.88</v>
      </c>
      <c r="T320" s="453">
        <v>7.83</v>
      </c>
      <c r="U320" s="453">
        <v>0.65</v>
      </c>
      <c r="V320" s="453">
        <v>0.77</v>
      </c>
      <c r="W320" s="453">
        <v>45.680000000000007</v>
      </c>
      <c r="X320" s="456">
        <v>45.14</v>
      </c>
      <c r="Y320" s="453">
        <v>27.1</v>
      </c>
      <c r="Z320" s="453">
        <v>16.899999999999999</v>
      </c>
      <c r="AA320" s="519">
        <v>26.600000000005821</v>
      </c>
      <c r="AB320" s="519">
        <v>17.44999999999709</v>
      </c>
      <c r="AC320" s="732">
        <f t="shared" si="4"/>
        <v>44.05000000000291</v>
      </c>
      <c r="AD320" s="664"/>
      <c r="AE320" s="664"/>
      <c r="AF320" s="664"/>
      <c r="AG320" s="664"/>
      <c r="AH320" s="664"/>
      <c r="AI320" s="664"/>
      <c r="AJ320" s="485"/>
      <c r="AK320" s="485"/>
      <c r="AL320" s="485"/>
      <c r="AM320" s="485"/>
      <c r="AN320" s="485"/>
      <c r="AO320" s="665"/>
      <c r="AP320" s="485"/>
      <c r="AQ320" s="483"/>
      <c r="AR320" s="755">
        <v>0</v>
      </c>
      <c r="AS320" s="483">
        <v>10.9</v>
      </c>
      <c r="AT320" s="755">
        <v>0</v>
      </c>
      <c r="AU320" s="483">
        <v>27.7</v>
      </c>
      <c r="AV320" s="484">
        <v>330.4</v>
      </c>
      <c r="AW320" s="484">
        <v>348.4</v>
      </c>
      <c r="AX320" s="453">
        <v>0</v>
      </c>
      <c r="AY320" s="734">
        <v>0</v>
      </c>
      <c r="AZ320" s="734">
        <v>0</v>
      </c>
      <c r="BA320" s="734">
        <v>0</v>
      </c>
      <c r="BB320" s="453">
        <v>0</v>
      </c>
      <c r="BC320" s="873">
        <v>0.56000000000000005</v>
      </c>
      <c r="BD320" s="873">
        <v>0.19</v>
      </c>
      <c r="BE320" s="734">
        <v>0</v>
      </c>
      <c r="BF320" s="453">
        <v>0</v>
      </c>
      <c r="BG320" s="453">
        <v>0</v>
      </c>
      <c r="BH320" s="734">
        <v>0</v>
      </c>
      <c r="BI320" s="453">
        <v>0</v>
      </c>
      <c r="BJ320" s="453">
        <v>17</v>
      </c>
      <c r="BK320" s="453">
        <v>0</v>
      </c>
      <c r="BL320" s="453">
        <v>0</v>
      </c>
      <c r="BM320" s="453">
        <v>0</v>
      </c>
      <c r="BN320" s="453">
        <v>16</v>
      </c>
      <c r="BO320" s="453">
        <v>1645.9</v>
      </c>
      <c r="BP320" s="453">
        <v>0</v>
      </c>
      <c r="BQ320" s="453">
        <v>19</v>
      </c>
      <c r="BR320" s="453">
        <v>19</v>
      </c>
      <c r="BS320" s="453">
        <v>0</v>
      </c>
      <c r="BT320" s="453">
        <v>26.2</v>
      </c>
      <c r="BU320" s="453">
        <v>25.6</v>
      </c>
      <c r="BV320" s="456">
        <v>427.9</v>
      </c>
      <c r="BW320" s="453">
        <v>1.75</v>
      </c>
      <c r="BX320" s="453">
        <v>1.47</v>
      </c>
      <c r="BY320" s="456">
        <v>0.9</v>
      </c>
      <c r="BZ320" s="456">
        <v>15.4</v>
      </c>
      <c r="CA320" s="456">
        <v>32.4</v>
      </c>
      <c r="CB320" s="456">
        <v>15.65</v>
      </c>
      <c r="CC320" s="456">
        <v>10.38</v>
      </c>
      <c r="CD320" s="456">
        <v>14.6</v>
      </c>
      <c r="CE320" s="456">
        <v>18.7</v>
      </c>
      <c r="CF320" s="456">
        <v>13.8</v>
      </c>
      <c r="CG320" s="456">
        <v>529.1</v>
      </c>
      <c r="CH320" s="456">
        <v>2.8</v>
      </c>
      <c r="CI320" s="456">
        <v>4</v>
      </c>
      <c r="CJ320" s="456">
        <v>553.5</v>
      </c>
      <c r="CK320" s="456">
        <v>378.4</v>
      </c>
      <c r="CL320" s="456">
        <v>564.4</v>
      </c>
      <c r="CM320" s="456">
        <v>11.8</v>
      </c>
      <c r="CN320" s="456">
        <v>2.04</v>
      </c>
      <c r="CO320" s="453">
        <v>0</v>
      </c>
      <c r="CP320" s="453">
        <v>16.399999999999999</v>
      </c>
      <c r="CQ320" s="453">
        <v>51</v>
      </c>
      <c r="CR320" s="456">
        <v>0</v>
      </c>
      <c r="CS320" s="456">
        <v>0</v>
      </c>
      <c r="CT320" s="456">
        <v>0</v>
      </c>
      <c r="CU320" s="456">
        <v>0</v>
      </c>
      <c r="CV320" s="481">
        <v>982.91666666666663</v>
      </c>
      <c r="CW320" s="481">
        <v>1252.6041666666667</v>
      </c>
      <c r="CX320" s="481">
        <v>987.90625</v>
      </c>
      <c r="CY320" s="481">
        <v>1091.05</v>
      </c>
      <c r="CZ320" s="456"/>
      <c r="DA320" s="456"/>
      <c r="DB320" s="456"/>
      <c r="DC320" s="456"/>
      <c r="DD320" s="456"/>
      <c r="DE320" s="456"/>
      <c r="DF320" s="456"/>
      <c r="DG320" s="425"/>
      <c r="DH320" s="456">
        <v>0</v>
      </c>
      <c r="DI320" s="456" t="s">
        <v>756</v>
      </c>
      <c r="DJ320" s="456">
        <v>1.1200000000000001</v>
      </c>
      <c r="DK320" s="425"/>
      <c r="DL320" s="456"/>
      <c r="DM320" s="456"/>
      <c r="DN320" s="456"/>
      <c r="DO320" s="456"/>
      <c r="DP320" s="456"/>
      <c r="DQ320" s="456"/>
      <c r="DR320" s="456"/>
      <c r="DS320" s="456"/>
      <c r="DT320" s="456"/>
      <c r="DU320" s="456"/>
      <c r="DV320" s="456"/>
      <c r="DW320" s="456"/>
      <c r="DX320" s="456"/>
      <c r="DY320" s="456"/>
      <c r="DZ320" s="456"/>
      <c r="EA320" s="456"/>
      <c r="EB320" s="456"/>
      <c r="EC320" s="456"/>
      <c r="ED320" s="456"/>
      <c r="EE320" s="456">
        <v>1</v>
      </c>
      <c r="EF320" s="456">
        <v>2</v>
      </c>
      <c r="EG320" s="456">
        <v>6.5</v>
      </c>
      <c r="EH320" s="456"/>
      <c r="EI320" s="456"/>
      <c r="EJ320" s="872">
        <v>1</v>
      </c>
      <c r="EK320" s="456"/>
      <c r="EL320" s="456"/>
      <c r="EM320" s="456"/>
      <c r="EN320" s="456"/>
      <c r="EO320" s="425"/>
      <c r="EP320" s="425"/>
      <c r="EQ320" s="425" t="s">
        <v>743</v>
      </c>
      <c r="ER320" s="425">
        <v>1</v>
      </c>
      <c r="ES320" s="425">
        <v>8</v>
      </c>
      <c r="ET320" s="425">
        <v>4000</v>
      </c>
      <c r="EU320" s="457">
        <v>775</v>
      </c>
      <c r="EV320" s="425">
        <v>165</v>
      </c>
      <c r="EW320" s="425">
        <v>7440512</v>
      </c>
      <c r="EX320" s="425">
        <v>87051</v>
      </c>
      <c r="EY320" s="666">
        <v>18.989999999999998</v>
      </c>
      <c r="EZ320" s="666">
        <v>18.98</v>
      </c>
      <c r="FA320" s="666">
        <v>0</v>
      </c>
      <c r="FB320" s="666">
        <v>1.32</v>
      </c>
      <c r="FC320" s="666">
        <v>1.27</v>
      </c>
      <c r="FD320" s="666">
        <v>0.95699999999999996</v>
      </c>
      <c r="FE320" s="666">
        <v>0.91</v>
      </c>
      <c r="FF320" s="666">
        <v>145</v>
      </c>
      <c r="FG320" s="666">
        <v>2.2200000000000002</v>
      </c>
      <c r="FH320" s="666">
        <v>0.998</v>
      </c>
      <c r="FI320" s="666">
        <v>1.92</v>
      </c>
      <c r="FJ320" s="666">
        <v>7.12</v>
      </c>
      <c r="FK320" s="666">
        <v>7.4</v>
      </c>
      <c r="FL320" s="666">
        <v>7.82</v>
      </c>
      <c r="FM320" s="666">
        <v>7.6</v>
      </c>
      <c r="FN320" s="666">
        <v>0</v>
      </c>
    </row>
    <row r="321" spans="1:171" s="416" customFormat="1" ht="15">
      <c r="A321" s="425" t="s">
        <v>7</v>
      </c>
      <c r="B321" s="426">
        <v>40850</v>
      </c>
      <c r="C321" s="418">
        <v>0</v>
      </c>
      <c r="D321" s="518">
        <v>0.17</v>
      </c>
      <c r="E321" s="453">
        <v>0</v>
      </c>
      <c r="F321" s="453">
        <v>37</v>
      </c>
      <c r="G321" s="453">
        <v>1.2</v>
      </c>
      <c r="H321" s="519">
        <v>5.76</v>
      </c>
      <c r="I321" s="519">
        <v>85.6</v>
      </c>
      <c r="J321" s="483" t="s">
        <v>742</v>
      </c>
      <c r="K321" s="520">
        <v>1.81</v>
      </c>
      <c r="L321" s="453">
        <v>26.080000000001746</v>
      </c>
      <c r="M321" s="453">
        <v>12</v>
      </c>
      <c r="N321" s="453">
        <v>0</v>
      </c>
      <c r="O321" s="453">
        <v>3.120871862628563</v>
      </c>
      <c r="P321" s="453">
        <v>1.84</v>
      </c>
      <c r="Q321" s="453">
        <v>2.1777044821580995</v>
      </c>
      <c r="R321" s="453">
        <v>870.00852840158507</v>
      </c>
      <c r="S321" s="453">
        <v>0</v>
      </c>
      <c r="T321" s="453">
        <v>7.89</v>
      </c>
      <c r="U321" s="453">
        <v>0</v>
      </c>
      <c r="V321" s="453">
        <v>0.65</v>
      </c>
      <c r="W321" s="453">
        <v>32</v>
      </c>
      <c r="X321" s="456">
        <v>44.42</v>
      </c>
      <c r="Y321" s="453">
        <v>26.5</v>
      </c>
      <c r="Z321" s="453">
        <v>19.5</v>
      </c>
      <c r="AA321" s="519">
        <v>26.5</v>
      </c>
      <c r="AB321" s="519">
        <v>20.650000000001455</v>
      </c>
      <c r="AC321" s="732">
        <f t="shared" si="4"/>
        <v>47.150000000001455</v>
      </c>
      <c r="AD321" s="664"/>
      <c r="AE321" s="664"/>
      <c r="AF321" s="664"/>
      <c r="AG321" s="664"/>
      <c r="AH321" s="664"/>
      <c r="AI321" s="664"/>
      <c r="AJ321" s="485"/>
      <c r="AK321" s="485"/>
      <c r="AL321" s="485"/>
      <c r="AM321" s="485"/>
      <c r="AN321" s="485"/>
      <c r="AO321" s="665"/>
      <c r="AP321" s="485"/>
      <c r="AQ321" s="483"/>
      <c r="AR321" s="755">
        <v>0</v>
      </c>
      <c r="AS321" s="483">
        <v>11</v>
      </c>
      <c r="AT321" s="755">
        <v>0</v>
      </c>
      <c r="AU321" s="483">
        <v>27.1</v>
      </c>
      <c r="AV321" s="484">
        <v>360.1</v>
      </c>
      <c r="AW321" s="484">
        <v>475.5</v>
      </c>
      <c r="AX321" s="453">
        <v>0</v>
      </c>
      <c r="AY321" s="734">
        <v>0</v>
      </c>
      <c r="AZ321" s="734">
        <v>0</v>
      </c>
      <c r="BA321" s="734">
        <v>0</v>
      </c>
      <c r="BB321" s="453">
        <v>0</v>
      </c>
      <c r="BC321" s="873">
        <v>1.56</v>
      </c>
      <c r="BD321" s="873">
        <v>1.74</v>
      </c>
      <c r="BE321" s="734">
        <v>0</v>
      </c>
      <c r="BF321" s="453">
        <v>0</v>
      </c>
      <c r="BG321" s="453">
        <v>0</v>
      </c>
      <c r="BH321" s="734">
        <v>0</v>
      </c>
      <c r="BI321" s="453">
        <v>0</v>
      </c>
      <c r="BJ321" s="453">
        <v>17.5</v>
      </c>
      <c r="BK321" s="453">
        <v>0</v>
      </c>
      <c r="BL321" s="453">
        <v>0</v>
      </c>
      <c r="BM321" s="453">
        <v>0</v>
      </c>
      <c r="BN321" s="453">
        <v>17.3</v>
      </c>
      <c r="BO321" s="453">
        <v>753.2</v>
      </c>
      <c r="BP321" s="453">
        <v>0</v>
      </c>
      <c r="BQ321" s="453">
        <v>18.600000000000001</v>
      </c>
      <c r="BR321" s="453">
        <v>18.5</v>
      </c>
      <c r="BS321" s="453">
        <v>0</v>
      </c>
      <c r="BT321" s="453">
        <v>25.3</v>
      </c>
      <c r="BU321" s="453">
        <v>24.2</v>
      </c>
      <c r="BV321" s="456">
        <v>585</v>
      </c>
      <c r="BW321" s="453">
        <v>1.85</v>
      </c>
      <c r="BX321" s="453">
        <v>1.42</v>
      </c>
      <c r="BY321" s="456">
        <v>0.89</v>
      </c>
      <c r="BZ321" s="456">
        <v>15.5</v>
      </c>
      <c r="CA321" s="456">
        <v>32.5</v>
      </c>
      <c r="CB321" s="456">
        <v>15</v>
      </c>
      <c r="CC321" s="456">
        <v>8</v>
      </c>
      <c r="CD321" s="456">
        <v>12.2</v>
      </c>
      <c r="CE321" s="456">
        <v>16.3</v>
      </c>
      <c r="CF321" s="456">
        <v>13.2</v>
      </c>
      <c r="CG321" s="456">
        <v>530.70000000000005</v>
      </c>
      <c r="CH321" s="456">
        <v>2.8</v>
      </c>
      <c r="CI321" s="456">
        <v>4.0999999999999996</v>
      </c>
      <c r="CJ321" s="456">
        <v>349</v>
      </c>
      <c r="CK321" s="456">
        <v>277</v>
      </c>
      <c r="CL321" s="456">
        <v>572.6</v>
      </c>
      <c r="CM321" s="456">
        <v>13</v>
      </c>
      <c r="CN321" s="456">
        <v>2.0499999999999998</v>
      </c>
      <c r="CO321" s="453">
        <v>0</v>
      </c>
      <c r="CP321" s="453">
        <v>16.82</v>
      </c>
      <c r="CQ321" s="453">
        <v>50</v>
      </c>
      <c r="CR321" s="456">
        <v>0</v>
      </c>
      <c r="CS321" s="456">
        <v>0</v>
      </c>
      <c r="CT321" s="456">
        <v>0</v>
      </c>
      <c r="CU321" s="456">
        <v>0</v>
      </c>
      <c r="CV321" s="481">
        <v>960</v>
      </c>
      <c r="CW321" s="481">
        <v>1253.9583333333333</v>
      </c>
      <c r="CX321" s="481">
        <v>967.92708333333337</v>
      </c>
      <c r="CY321" s="481">
        <v>1088.3399999999999</v>
      </c>
      <c r="CZ321" s="456"/>
      <c r="DA321" s="456"/>
      <c r="DB321" s="456"/>
      <c r="DC321" s="456"/>
      <c r="DD321" s="456"/>
      <c r="DE321" s="456"/>
      <c r="DF321" s="456"/>
      <c r="DG321" s="425"/>
      <c r="DH321" s="456">
        <v>0</v>
      </c>
      <c r="DI321" s="456" t="s">
        <v>756</v>
      </c>
      <c r="DJ321" s="456">
        <v>0.91</v>
      </c>
      <c r="DK321" s="425"/>
      <c r="DL321" s="456"/>
      <c r="DM321" s="456"/>
      <c r="DN321" s="456"/>
      <c r="DO321" s="456"/>
      <c r="DP321" s="456"/>
      <c r="DQ321" s="456"/>
      <c r="DR321" s="456"/>
      <c r="DS321" s="456"/>
      <c r="DT321" s="456"/>
      <c r="DU321" s="456"/>
      <c r="DV321" s="456"/>
      <c r="DW321" s="456"/>
      <c r="DX321" s="456"/>
      <c r="DY321" s="456"/>
      <c r="DZ321" s="456"/>
      <c r="EA321" s="456"/>
      <c r="EB321" s="456"/>
      <c r="EC321" s="456"/>
      <c r="ED321" s="456"/>
      <c r="EE321" s="456">
        <v>1</v>
      </c>
      <c r="EF321" s="456">
        <v>2</v>
      </c>
      <c r="EG321" s="456">
        <v>6.5</v>
      </c>
      <c r="EH321" s="456"/>
      <c r="EI321" s="456"/>
      <c r="EJ321" s="872">
        <v>1</v>
      </c>
      <c r="EK321" s="456"/>
      <c r="EL321" s="456"/>
      <c r="EM321" s="456"/>
      <c r="EN321" s="456"/>
      <c r="EO321" s="425"/>
      <c r="EP321" s="425"/>
      <c r="EQ321" s="425" t="s">
        <v>743</v>
      </c>
      <c r="ER321" s="425">
        <v>1</v>
      </c>
      <c r="ES321" s="425">
        <v>8</v>
      </c>
      <c r="ET321" s="425">
        <v>4000</v>
      </c>
      <c r="EU321" s="457">
        <v>600</v>
      </c>
      <c r="EV321" s="425">
        <v>145</v>
      </c>
      <c r="EW321" s="425">
        <v>7443006</v>
      </c>
      <c r="EX321" s="425">
        <v>88457</v>
      </c>
      <c r="EY321" s="666">
        <v>18.46</v>
      </c>
      <c r="EZ321" s="666">
        <v>18.43</v>
      </c>
      <c r="FA321" s="666">
        <v>0</v>
      </c>
      <c r="FB321" s="666">
        <v>1.55</v>
      </c>
      <c r="FC321" s="666">
        <v>1.47</v>
      </c>
      <c r="FD321" s="666">
        <v>1.0209999999999999</v>
      </c>
      <c r="FE321" s="666">
        <v>0.97</v>
      </c>
      <c r="FF321" s="666">
        <v>175</v>
      </c>
      <c r="FG321" s="666">
        <v>2</v>
      </c>
      <c r="FH321" s="666">
        <v>0.95099999999999996</v>
      </c>
      <c r="FI321" s="666">
        <v>1.72</v>
      </c>
      <c r="FJ321" s="666">
        <v>7.63</v>
      </c>
      <c r="FK321" s="666">
        <v>7.8</v>
      </c>
      <c r="FL321" s="666">
        <v>7.84</v>
      </c>
      <c r="FM321" s="666">
        <v>7.6</v>
      </c>
      <c r="FN321" s="666">
        <v>0</v>
      </c>
    </row>
    <row r="322" spans="1:171" s="416" customFormat="1" ht="15">
      <c r="A322" s="425" t="s">
        <v>8</v>
      </c>
      <c r="B322" s="426">
        <v>40851</v>
      </c>
      <c r="C322" s="418">
        <v>0</v>
      </c>
      <c r="D322" s="518">
        <v>0.17</v>
      </c>
      <c r="E322" s="453">
        <v>7</v>
      </c>
      <c r="F322" s="453">
        <v>34</v>
      </c>
      <c r="G322" s="453">
        <v>1.1000000000000001</v>
      </c>
      <c r="H322" s="519">
        <v>5</v>
      </c>
      <c r="I322" s="519">
        <v>88.7</v>
      </c>
      <c r="J322" s="483" t="s">
        <v>742</v>
      </c>
      <c r="K322" s="520">
        <v>2.9</v>
      </c>
      <c r="L322" s="453">
        <v>17.3799999999992</v>
      </c>
      <c r="M322" s="453">
        <v>13.9</v>
      </c>
      <c r="N322" s="453">
        <v>0</v>
      </c>
      <c r="O322" s="453">
        <v>0</v>
      </c>
      <c r="P322" s="453">
        <v>1.8</v>
      </c>
      <c r="Q322" s="453">
        <v>2.1860441783856319</v>
      </c>
      <c r="R322" s="453">
        <v>864.17824042272116</v>
      </c>
      <c r="S322" s="453">
        <v>0</v>
      </c>
      <c r="T322" s="453">
        <v>8.4</v>
      </c>
      <c r="U322" s="453">
        <v>0</v>
      </c>
      <c r="V322" s="453">
        <v>0.8</v>
      </c>
      <c r="W322" s="453">
        <v>32</v>
      </c>
      <c r="X322" s="456">
        <v>48.38000000000001</v>
      </c>
      <c r="Y322" s="453">
        <v>26.46</v>
      </c>
      <c r="Z322" s="453">
        <v>21.3</v>
      </c>
      <c r="AA322" s="519">
        <v>26.80000000000291</v>
      </c>
      <c r="AB322" s="519">
        <v>20.80000000000291</v>
      </c>
      <c r="AC322" s="732">
        <f t="shared" si="4"/>
        <v>47.600000000005821</v>
      </c>
      <c r="AD322" s="664"/>
      <c r="AE322" s="664"/>
      <c r="AF322" s="664"/>
      <c r="AG322" s="664"/>
      <c r="AH322" s="664"/>
      <c r="AI322" s="664"/>
      <c r="AJ322" s="485"/>
      <c r="AK322" s="485"/>
      <c r="AL322" s="485"/>
      <c r="AM322" s="485"/>
      <c r="AN322" s="485"/>
      <c r="AO322" s="665"/>
      <c r="AP322" s="485"/>
      <c r="AQ322" s="483"/>
      <c r="AR322" s="755">
        <v>0</v>
      </c>
      <c r="AS322" s="483">
        <v>21</v>
      </c>
      <c r="AT322" s="755">
        <v>0</v>
      </c>
      <c r="AU322" s="483">
        <v>27</v>
      </c>
      <c r="AV322" s="484">
        <v>389.5</v>
      </c>
      <c r="AW322" s="484">
        <v>395.5</v>
      </c>
      <c r="AX322" s="453">
        <v>0</v>
      </c>
      <c r="AY322" s="734">
        <v>0</v>
      </c>
      <c r="AZ322" s="734">
        <v>0</v>
      </c>
      <c r="BA322" s="734">
        <v>0</v>
      </c>
      <c r="BB322" s="453">
        <v>0</v>
      </c>
      <c r="BC322" s="873">
        <v>0.91</v>
      </c>
      <c r="BD322" s="873">
        <v>0.75</v>
      </c>
      <c r="BE322" s="734">
        <v>0</v>
      </c>
      <c r="BF322" s="453">
        <v>0</v>
      </c>
      <c r="BG322" s="453">
        <v>0</v>
      </c>
      <c r="BH322" s="734">
        <v>0</v>
      </c>
      <c r="BI322" s="453">
        <v>0</v>
      </c>
      <c r="BJ322" s="453">
        <v>18.7</v>
      </c>
      <c r="BK322" s="453">
        <v>0</v>
      </c>
      <c r="BL322" s="453">
        <v>0</v>
      </c>
      <c r="BM322" s="453">
        <v>0</v>
      </c>
      <c r="BN322" s="453">
        <v>18.5</v>
      </c>
      <c r="BO322" s="453">
        <v>1517</v>
      </c>
      <c r="BP322" s="453">
        <v>0</v>
      </c>
      <c r="BQ322" s="453">
        <v>18.5</v>
      </c>
      <c r="BR322" s="453">
        <v>18.399999999999999</v>
      </c>
      <c r="BS322" s="453">
        <v>0</v>
      </c>
      <c r="BT322" s="453">
        <v>24.3</v>
      </c>
      <c r="BU322" s="453">
        <v>22.4</v>
      </c>
      <c r="BV322" s="456">
        <v>412.8</v>
      </c>
      <c r="BW322" s="453">
        <v>1.77</v>
      </c>
      <c r="BX322" s="453">
        <v>1.53</v>
      </c>
      <c r="BY322" s="456">
        <v>0.9</v>
      </c>
      <c r="BZ322" s="456">
        <v>15.8</v>
      </c>
      <c r="CA322" s="456">
        <v>32.6</v>
      </c>
      <c r="CB322" s="456">
        <v>14.8</v>
      </c>
      <c r="CC322" s="456">
        <v>9.17</v>
      </c>
      <c r="CD322" s="456">
        <v>13.4</v>
      </c>
      <c r="CE322" s="456">
        <v>17.55</v>
      </c>
      <c r="CF322" s="456">
        <v>13.24</v>
      </c>
      <c r="CG322" s="456">
        <v>489.6</v>
      </c>
      <c r="CH322" s="456">
        <v>2.9</v>
      </c>
      <c r="CI322" s="456">
        <v>4.0999999999999996</v>
      </c>
      <c r="CJ322" s="456">
        <v>438.9</v>
      </c>
      <c r="CK322" s="456">
        <v>361.1</v>
      </c>
      <c r="CL322" s="456">
        <v>563.70000000000005</v>
      </c>
      <c r="CM322" s="456">
        <v>12.1</v>
      </c>
      <c r="CN322" s="456">
        <v>1.87</v>
      </c>
      <c r="CO322" s="453">
        <v>0</v>
      </c>
      <c r="CP322" s="453">
        <v>15.94</v>
      </c>
      <c r="CQ322" s="453">
        <v>49</v>
      </c>
      <c r="CR322" s="456">
        <v>0</v>
      </c>
      <c r="CS322" s="456">
        <v>0</v>
      </c>
      <c r="CT322" s="456">
        <v>0</v>
      </c>
      <c r="CU322" s="456">
        <v>0</v>
      </c>
      <c r="CV322" s="481">
        <v>867.625</v>
      </c>
      <c r="CW322" s="481">
        <v>1162.0833333333333</v>
      </c>
      <c r="CX322" s="481">
        <v>855.32291666666663</v>
      </c>
      <c r="CY322" s="481">
        <v>1085.45</v>
      </c>
      <c r="CZ322" s="456"/>
      <c r="DA322" s="456"/>
      <c r="DB322" s="456"/>
      <c r="DC322" s="456"/>
      <c r="DD322" s="456"/>
      <c r="DE322" s="456"/>
      <c r="DF322" s="456"/>
      <c r="DG322" s="425"/>
      <c r="DH322" s="456">
        <v>0</v>
      </c>
      <c r="DI322" s="456" t="s">
        <v>756</v>
      </c>
      <c r="DJ322" s="456">
        <v>1.05</v>
      </c>
      <c r="DK322" s="425"/>
      <c r="DL322" s="456"/>
      <c r="DM322" s="456"/>
      <c r="DN322" s="456"/>
      <c r="DO322" s="456"/>
      <c r="DP322" s="456"/>
      <c r="DQ322" s="456"/>
      <c r="DR322" s="456"/>
      <c r="DS322" s="456"/>
      <c r="DT322" s="456"/>
      <c r="DU322" s="456"/>
      <c r="DV322" s="456"/>
      <c r="DW322" s="456"/>
      <c r="DX322" s="456"/>
      <c r="DY322" s="456"/>
      <c r="DZ322" s="456"/>
      <c r="EA322" s="456"/>
      <c r="EB322" s="456"/>
      <c r="EC322" s="456"/>
      <c r="ED322" s="456"/>
      <c r="EE322" s="456">
        <v>0</v>
      </c>
      <c r="EF322" s="456">
        <v>2</v>
      </c>
      <c r="EG322" s="456">
        <v>6.5</v>
      </c>
      <c r="EH322" s="456"/>
      <c r="EI322" s="456"/>
      <c r="EJ322" s="456"/>
      <c r="EK322" s="456"/>
      <c r="EL322" s="456"/>
      <c r="EM322" s="456"/>
      <c r="EN322" s="456"/>
      <c r="EO322" s="425"/>
      <c r="EP322" s="425"/>
      <c r="EQ322" s="425" t="s">
        <v>743</v>
      </c>
      <c r="ER322" s="425">
        <v>1</v>
      </c>
      <c r="ES322" s="425">
        <v>4</v>
      </c>
      <c r="ET322" s="425">
        <v>4000</v>
      </c>
      <c r="EU322" s="457">
        <v>460</v>
      </c>
      <c r="EV322" s="425">
        <v>225</v>
      </c>
      <c r="EW322" s="425">
        <v>7445159</v>
      </c>
      <c r="EX322" s="425">
        <v>89694</v>
      </c>
      <c r="EY322" s="666">
        <v>18.78</v>
      </c>
      <c r="EZ322" s="666">
        <v>18.72</v>
      </c>
      <c r="FA322" s="666">
        <v>0</v>
      </c>
      <c r="FB322" s="666">
        <v>1.47</v>
      </c>
      <c r="FC322" s="666">
        <v>1.41</v>
      </c>
      <c r="FD322" s="666">
        <v>1.0940000000000001</v>
      </c>
      <c r="FE322" s="666">
        <v>0.95</v>
      </c>
      <c r="FF322" s="666">
        <v>140</v>
      </c>
      <c r="FG322" s="666">
        <v>2.65</v>
      </c>
      <c r="FH322" s="666">
        <v>0.98499999999999999</v>
      </c>
      <c r="FI322" s="666">
        <v>1.74</v>
      </c>
      <c r="FJ322" s="666">
        <v>7.78</v>
      </c>
      <c r="FK322" s="666">
        <v>8</v>
      </c>
      <c r="FL322" s="666">
        <v>7.91</v>
      </c>
      <c r="FM322" s="666">
        <v>7.7</v>
      </c>
      <c r="FN322" s="666">
        <v>0</v>
      </c>
    </row>
    <row r="323" spans="1:171" s="416" customFormat="1" ht="15">
      <c r="A323" s="425" t="s">
        <v>9</v>
      </c>
      <c r="B323" s="426">
        <v>40852</v>
      </c>
      <c r="C323" s="418">
        <v>0</v>
      </c>
      <c r="D323" s="518">
        <v>0</v>
      </c>
      <c r="E323" s="453">
        <v>0</v>
      </c>
      <c r="F323" s="453">
        <v>34</v>
      </c>
      <c r="G323" s="453">
        <v>1.1000000000000001</v>
      </c>
      <c r="H323" s="519">
        <v>4.8</v>
      </c>
      <c r="I323" s="519">
        <v>90.24</v>
      </c>
      <c r="J323" s="483" t="s">
        <v>742</v>
      </c>
      <c r="K323" s="520">
        <v>3</v>
      </c>
      <c r="L323" s="453">
        <v>12.739999999999782</v>
      </c>
      <c r="M323" s="453">
        <v>14.9</v>
      </c>
      <c r="N323" s="453">
        <v>0</v>
      </c>
      <c r="O323" s="453">
        <v>0</v>
      </c>
      <c r="P323" s="453">
        <v>1.9</v>
      </c>
      <c r="Q323" s="453">
        <v>2.2046153048990154</v>
      </c>
      <c r="R323" s="453">
        <v>834.37899075297207</v>
      </c>
      <c r="S323" s="453">
        <v>0</v>
      </c>
      <c r="T323" s="453">
        <v>8.3000000000000007</v>
      </c>
      <c r="U323" s="453">
        <v>0</v>
      </c>
      <c r="V323" s="453">
        <v>0.8</v>
      </c>
      <c r="W323" s="453">
        <v>32</v>
      </c>
      <c r="X323" s="456">
        <v>47.84</v>
      </c>
      <c r="Y323" s="453">
        <v>26.4</v>
      </c>
      <c r="Z323" s="453">
        <v>18.600000000000001</v>
      </c>
      <c r="AA323" s="519">
        <v>26.399999999994179</v>
      </c>
      <c r="AB323" s="519">
        <v>18.94999999999709</v>
      </c>
      <c r="AC323" s="732">
        <f t="shared" si="4"/>
        <v>45.349999999991269</v>
      </c>
      <c r="AD323" s="664"/>
      <c r="AE323" s="664"/>
      <c r="AF323" s="664"/>
      <c r="AG323" s="664"/>
      <c r="AH323" s="664"/>
      <c r="AI323" s="664"/>
      <c r="AJ323" s="485"/>
      <c r="AK323" s="485"/>
      <c r="AL323" s="485"/>
      <c r="AM323" s="485"/>
      <c r="AN323" s="485"/>
      <c r="AO323" s="665"/>
      <c r="AP323" s="485"/>
      <c r="AQ323" s="483"/>
      <c r="AR323" s="755">
        <v>0</v>
      </c>
      <c r="AS323" s="483">
        <v>11.1</v>
      </c>
      <c r="AT323" s="755">
        <v>0</v>
      </c>
      <c r="AU323" s="483">
        <v>27.1</v>
      </c>
      <c r="AV323" s="484">
        <v>438.8</v>
      </c>
      <c r="AW323" s="484">
        <v>498.9</v>
      </c>
      <c r="AX323" s="453">
        <v>0</v>
      </c>
      <c r="AY323" s="734">
        <v>0</v>
      </c>
      <c r="AZ323" s="734">
        <v>0</v>
      </c>
      <c r="BA323" s="734">
        <v>0</v>
      </c>
      <c r="BB323" s="453">
        <v>0</v>
      </c>
      <c r="BC323" s="453">
        <v>0</v>
      </c>
      <c r="BD323" s="453">
        <v>0</v>
      </c>
      <c r="BE323" s="734">
        <v>0</v>
      </c>
      <c r="BF323" s="453">
        <v>0</v>
      </c>
      <c r="BG323" s="453">
        <v>0</v>
      </c>
      <c r="BH323" s="734">
        <v>0</v>
      </c>
      <c r="BI323" s="453">
        <v>0</v>
      </c>
      <c r="BJ323" s="453">
        <v>19.100000000000001</v>
      </c>
      <c r="BK323" s="453">
        <v>0</v>
      </c>
      <c r="BL323" s="453">
        <v>0</v>
      </c>
      <c r="BM323" s="453">
        <v>0</v>
      </c>
      <c r="BN323" s="453">
        <v>18.899999999999999</v>
      </c>
      <c r="BO323" s="453">
        <v>1088.0999999999999</v>
      </c>
      <c r="BP323" s="453">
        <v>0</v>
      </c>
      <c r="BQ323" s="453">
        <v>18.7</v>
      </c>
      <c r="BR323" s="453">
        <v>18.7</v>
      </c>
      <c r="BS323" s="453">
        <v>0</v>
      </c>
      <c r="BT323" s="453">
        <v>25.1</v>
      </c>
      <c r="BU323" s="453">
        <v>21.2</v>
      </c>
      <c r="BV323" s="456">
        <v>455.8</v>
      </c>
      <c r="BW323" s="453">
        <v>2.79</v>
      </c>
      <c r="BX323" s="453">
        <v>1.55</v>
      </c>
      <c r="BY323" s="456">
        <v>0.9</v>
      </c>
      <c r="BZ323" s="456">
        <v>15.6</v>
      </c>
      <c r="CA323" s="456">
        <v>32.700000000000003</v>
      </c>
      <c r="CB323" s="456">
        <v>12.9</v>
      </c>
      <c r="CC323" s="456">
        <v>8.1</v>
      </c>
      <c r="CD323" s="456">
        <v>12.4</v>
      </c>
      <c r="CE323" s="456">
        <v>16.399999999999999</v>
      </c>
      <c r="CF323" s="456">
        <v>13.11</v>
      </c>
      <c r="CG323" s="456">
        <v>479.8</v>
      </c>
      <c r="CH323" s="456">
        <v>2.4</v>
      </c>
      <c r="CI323" s="456">
        <v>3.6</v>
      </c>
      <c r="CJ323" s="456">
        <v>484.5</v>
      </c>
      <c r="CK323" s="456">
        <v>417.2</v>
      </c>
      <c r="CL323" s="456">
        <v>559.6</v>
      </c>
      <c r="CM323" s="456">
        <v>11.8</v>
      </c>
      <c r="CN323" s="456">
        <v>1.69</v>
      </c>
      <c r="CO323" s="453">
        <v>0</v>
      </c>
      <c r="CP323" s="453">
        <v>15.5</v>
      </c>
      <c r="CQ323" s="453">
        <v>49</v>
      </c>
      <c r="CR323" s="456">
        <v>0</v>
      </c>
      <c r="CS323" s="456">
        <v>0</v>
      </c>
      <c r="CT323" s="456">
        <v>0</v>
      </c>
      <c r="CU323" s="456">
        <v>0</v>
      </c>
      <c r="CV323" s="481">
        <v>797.66666666666663</v>
      </c>
      <c r="CW323" s="481">
        <v>1016.6979166666666</v>
      </c>
      <c r="CX323" s="481">
        <v>777.69791666666663</v>
      </c>
      <c r="CY323" s="481">
        <v>1082.42</v>
      </c>
      <c r="CZ323" s="456"/>
      <c r="DA323" s="456"/>
      <c r="DB323" s="456"/>
      <c r="DC323" s="456"/>
      <c r="DD323" s="456"/>
      <c r="DE323" s="456"/>
      <c r="DF323" s="456"/>
      <c r="DG323" s="425"/>
      <c r="DH323" s="456">
        <v>0</v>
      </c>
      <c r="DI323" s="456" t="s">
        <v>742</v>
      </c>
      <c r="DJ323" s="456">
        <v>1.08</v>
      </c>
      <c r="DK323" s="425"/>
      <c r="DL323" s="456"/>
      <c r="DM323" s="456"/>
      <c r="DN323" s="456"/>
      <c r="DO323" s="456"/>
      <c r="DP323" s="456"/>
      <c r="DQ323" s="456"/>
      <c r="DR323" s="456"/>
      <c r="DS323" s="456"/>
      <c r="DT323" s="456"/>
      <c r="DU323" s="456"/>
      <c r="DV323" s="456"/>
      <c r="DW323" s="456"/>
      <c r="DX323" s="456"/>
      <c r="DY323" s="456"/>
      <c r="DZ323" s="456"/>
      <c r="EA323" s="456"/>
      <c r="EB323" s="456"/>
      <c r="EC323" s="456"/>
      <c r="ED323" s="456"/>
      <c r="EE323" s="456">
        <v>0</v>
      </c>
      <c r="EF323" s="456">
        <v>2</v>
      </c>
      <c r="EG323" s="456">
        <v>6.5</v>
      </c>
      <c r="EH323" s="456"/>
      <c r="EI323" s="456"/>
      <c r="EJ323" s="456"/>
      <c r="EK323" s="456"/>
      <c r="EL323" s="456"/>
      <c r="EM323" s="456"/>
      <c r="EN323" s="456"/>
      <c r="EO323" s="425"/>
      <c r="EP323" s="425"/>
      <c r="EQ323" s="425" t="s">
        <v>743</v>
      </c>
      <c r="ER323" s="425">
        <v>1</v>
      </c>
      <c r="ES323" s="425">
        <v>8</v>
      </c>
      <c r="ET323" s="425">
        <v>4000</v>
      </c>
      <c r="EU323" s="457">
        <v>325</v>
      </c>
      <c r="EV323" s="425">
        <v>165</v>
      </c>
      <c r="EW323" s="425">
        <v>7447534</v>
      </c>
      <c r="EX323" s="425">
        <v>91109</v>
      </c>
      <c r="EY323" s="666">
        <v>18.739999999999998</v>
      </c>
      <c r="EZ323" s="666">
        <v>18.72</v>
      </c>
      <c r="FA323" s="666">
        <v>0</v>
      </c>
      <c r="FB323" s="666">
        <v>1.56</v>
      </c>
      <c r="FC323" s="666">
        <v>1.42</v>
      </c>
      <c r="FD323" s="666">
        <v>0.96699999999999997</v>
      </c>
      <c r="FE323" s="666">
        <v>0.9</v>
      </c>
      <c r="FF323" s="666">
        <v>135</v>
      </c>
      <c r="FG323" s="666">
        <v>2.52</v>
      </c>
      <c r="FH323" s="666">
        <v>0.99199999999999999</v>
      </c>
      <c r="FI323" s="666">
        <v>1.86</v>
      </c>
      <c r="FJ323" s="666">
        <v>7.71</v>
      </c>
      <c r="FK323" s="666">
        <v>7.8</v>
      </c>
      <c r="FL323" s="666">
        <v>7.94</v>
      </c>
      <c r="FM323" s="666">
        <v>7.5</v>
      </c>
      <c r="FN323" s="666">
        <v>0</v>
      </c>
    </row>
    <row r="324" spans="1:171" s="416" customFormat="1" ht="15">
      <c r="A324" s="425" t="s">
        <v>3</v>
      </c>
      <c r="B324" s="426">
        <v>40853</v>
      </c>
      <c r="C324" s="418">
        <v>0</v>
      </c>
      <c r="D324" s="518">
        <v>0</v>
      </c>
      <c r="E324" s="453">
        <v>0</v>
      </c>
      <c r="F324" s="453">
        <v>38</v>
      </c>
      <c r="G324" s="453">
        <v>0.9</v>
      </c>
      <c r="H324" s="519">
        <v>5.6</v>
      </c>
      <c r="I324" s="519">
        <v>89.83</v>
      </c>
      <c r="J324" s="483" t="s">
        <v>742</v>
      </c>
      <c r="K324" s="520">
        <v>2.7</v>
      </c>
      <c r="L324" s="453">
        <v>16.729999999999563</v>
      </c>
      <c r="M324" s="453">
        <v>14.3</v>
      </c>
      <c r="N324" s="453">
        <v>0</v>
      </c>
      <c r="O324" s="453">
        <v>0</v>
      </c>
      <c r="P324" s="453">
        <v>1.8</v>
      </c>
      <c r="Q324" s="453">
        <v>2.0983069866123061</v>
      </c>
      <c r="R324" s="453">
        <v>829.84432232496692</v>
      </c>
      <c r="S324" s="453">
        <v>0</v>
      </c>
      <c r="T324" s="453">
        <v>8</v>
      </c>
      <c r="U324" s="453">
        <v>0</v>
      </c>
      <c r="V324" s="453">
        <v>0.8</v>
      </c>
      <c r="W324" s="453">
        <v>32</v>
      </c>
      <c r="X324" s="456">
        <v>47.480000000000004</v>
      </c>
      <c r="Y324" s="453">
        <v>26.4</v>
      </c>
      <c r="Z324" s="453">
        <v>19</v>
      </c>
      <c r="AA324" s="519">
        <v>26.48</v>
      </c>
      <c r="AB324" s="519">
        <v>19.03</v>
      </c>
      <c r="AC324" s="732">
        <f t="shared" si="4"/>
        <v>45.510000000000005</v>
      </c>
      <c r="AD324" s="664"/>
      <c r="AE324" s="664"/>
      <c r="AF324" s="664"/>
      <c r="AG324" s="664"/>
      <c r="AH324" s="664"/>
      <c r="AI324" s="664"/>
      <c r="AJ324" s="485"/>
      <c r="AK324" s="485"/>
      <c r="AL324" s="485"/>
      <c r="AM324" s="485"/>
      <c r="AN324" s="485"/>
      <c r="AO324" s="665"/>
      <c r="AP324" s="485"/>
      <c r="AQ324" s="483"/>
      <c r="AR324" s="755">
        <v>0</v>
      </c>
      <c r="AS324" s="483">
        <v>11.7</v>
      </c>
      <c r="AT324" s="755">
        <v>0</v>
      </c>
      <c r="AU324" s="483">
        <v>27.1</v>
      </c>
      <c r="AV324" s="484">
        <v>501.9</v>
      </c>
      <c r="AW324" s="484">
        <v>471.7</v>
      </c>
      <c r="AX324" s="453">
        <v>0</v>
      </c>
      <c r="AY324" s="734">
        <v>0</v>
      </c>
      <c r="AZ324" s="734">
        <v>0</v>
      </c>
      <c r="BA324" s="734">
        <v>0</v>
      </c>
      <c r="BB324" s="453">
        <v>0</v>
      </c>
      <c r="BC324" s="453">
        <v>0</v>
      </c>
      <c r="BD324" s="453">
        <v>0</v>
      </c>
      <c r="BE324" s="734">
        <v>0</v>
      </c>
      <c r="BF324" s="453">
        <v>0</v>
      </c>
      <c r="BG324" s="453">
        <v>0</v>
      </c>
      <c r="BH324" s="734">
        <v>0</v>
      </c>
      <c r="BI324" s="453">
        <v>0</v>
      </c>
      <c r="BJ324" s="453">
        <v>19.079999999999998</v>
      </c>
      <c r="BK324" s="453">
        <v>0</v>
      </c>
      <c r="BL324" s="453">
        <v>0</v>
      </c>
      <c r="BM324" s="453">
        <v>0</v>
      </c>
      <c r="BN324" s="453">
        <v>18.899999999999999</v>
      </c>
      <c r="BO324" s="453">
        <v>1387.7</v>
      </c>
      <c r="BP324" s="453">
        <v>0</v>
      </c>
      <c r="BQ324" s="453">
        <v>18.7</v>
      </c>
      <c r="BR324" s="453">
        <v>18.7</v>
      </c>
      <c r="BS324" s="453">
        <v>0</v>
      </c>
      <c r="BT324" s="453">
        <v>25.1</v>
      </c>
      <c r="BU324" s="453">
        <v>21.2</v>
      </c>
      <c r="BV324" s="456">
        <v>455.8</v>
      </c>
      <c r="BW324" s="453">
        <v>2.79</v>
      </c>
      <c r="BX324" s="453">
        <v>1.55</v>
      </c>
      <c r="BY324" s="456">
        <v>0.9</v>
      </c>
      <c r="BZ324" s="456">
        <v>15.6</v>
      </c>
      <c r="CA324" s="456">
        <v>32.700000000000003</v>
      </c>
      <c r="CB324" s="456">
        <v>12.9</v>
      </c>
      <c r="CC324" s="456">
        <v>8.1</v>
      </c>
      <c r="CD324" s="456">
        <v>12.4</v>
      </c>
      <c r="CE324" s="456">
        <v>16.399999999999999</v>
      </c>
      <c r="CF324" s="456">
        <v>13.1</v>
      </c>
      <c r="CG324" s="456">
        <v>479.8</v>
      </c>
      <c r="CH324" s="456">
        <v>2.4</v>
      </c>
      <c r="CI324" s="456">
        <v>3.6</v>
      </c>
      <c r="CJ324" s="456">
        <v>484.5</v>
      </c>
      <c r="CK324" s="456">
        <v>417.2</v>
      </c>
      <c r="CL324" s="456">
        <v>559.6</v>
      </c>
      <c r="CM324" s="456">
        <v>11.8</v>
      </c>
      <c r="CN324" s="456">
        <v>1.69</v>
      </c>
      <c r="CO324" s="453">
        <v>0</v>
      </c>
      <c r="CP324" s="453">
        <v>15.5</v>
      </c>
      <c r="CQ324" s="453">
        <v>49</v>
      </c>
      <c r="CR324" s="456">
        <v>0</v>
      </c>
      <c r="CS324" s="456">
        <v>0</v>
      </c>
      <c r="CT324" s="456">
        <v>0</v>
      </c>
      <c r="CU324" s="456">
        <v>0</v>
      </c>
      <c r="CV324" s="481">
        <v>714.70833333333337</v>
      </c>
      <c r="CW324" s="481">
        <v>962.30208333333337</v>
      </c>
      <c r="CX324" s="481">
        <v>695.22916666666663</v>
      </c>
      <c r="CY324" s="481">
        <v>1079.45</v>
      </c>
      <c r="CZ324" s="456"/>
      <c r="DA324" s="456"/>
      <c r="DB324" s="456"/>
      <c r="DC324" s="456"/>
      <c r="DD324" s="456"/>
      <c r="DE324" s="456"/>
      <c r="DF324" s="456"/>
      <c r="DG324" s="425"/>
      <c r="DH324" s="456">
        <v>0</v>
      </c>
      <c r="DI324" s="456" t="s">
        <v>756</v>
      </c>
      <c r="DJ324" s="456">
        <v>1.08</v>
      </c>
      <c r="DK324" s="425"/>
      <c r="DL324" s="456"/>
      <c r="DM324" s="456"/>
      <c r="DN324" s="456"/>
      <c r="DO324" s="456"/>
      <c r="DP324" s="456"/>
      <c r="DQ324" s="456"/>
      <c r="DR324" s="456"/>
      <c r="DS324" s="456"/>
      <c r="DT324" s="456"/>
      <c r="DU324" s="456"/>
      <c r="DV324" s="456"/>
      <c r="DW324" s="456"/>
      <c r="DX324" s="456"/>
      <c r="DY324" s="456"/>
      <c r="DZ324" s="456"/>
      <c r="EA324" s="456"/>
      <c r="EB324" s="456"/>
      <c r="EC324" s="456"/>
      <c r="ED324" s="456"/>
      <c r="EE324" s="456">
        <v>0</v>
      </c>
      <c r="EF324" s="456">
        <v>2</v>
      </c>
      <c r="EG324" s="456">
        <v>6.5</v>
      </c>
      <c r="EH324" s="456"/>
      <c r="EI324" s="456"/>
      <c r="EJ324" s="456"/>
      <c r="EK324" s="456"/>
      <c r="EL324" s="456"/>
      <c r="EM324" s="456"/>
      <c r="EN324" s="456"/>
      <c r="EO324" s="425"/>
      <c r="EP324" s="425"/>
      <c r="EQ324" s="425" t="s">
        <v>743</v>
      </c>
      <c r="ER324" s="425">
        <v>1</v>
      </c>
      <c r="ES324" s="425">
        <v>8</v>
      </c>
      <c r="ET324" s="425">
        <v>4000</v>
      </c>
      <c r="EU324" s="457">
        <v>210</v>
      </c>
      <c r="EV324" s="425">
        <v>140</v>
      </c>
      <c r="EW324" s="425">
        <v>7449544</v>
      </c>
      <c r="EX324" s="425">
        <v>92306</v>
      </c>
      <c r="EY324" s="666">
        <v>18.72</v>
      </c>
      <c r="EZ324" s="666">
        <v>18.690000000000001</v>
      </c>
      <c r="FA324" s="666">
        <v>0</v>
      </c>
      <c r="FB324" s="666">
        <v>1.51</v>
      </c>
      <c r="FC324" s="666">
        <v>1.42</v>
      </c>
      <c r="FD324" s="666">
        <v>0.99199999999999999</v>
      </c>
      <c r="FE324" s="666">
        <v>0.93</v>
      </c>
      <c r="FF324" s="666">
        <v>115</v>
      </c>
      <c r="FG324" s="666">
        <v>1.84</v>
      </c>
      <c r="FH324" s="666">
        <v>1.018</v>
      </c>
      <c r="FI324" s="666">
        <v>1.78</v>
      </c>
      <c r="FJ324" s="666">
        <v>7.81</v>
      </c>
      <c r="FK324" s="666">
        <v>7.9</v>
      </c>
      <c r="FL324" s="666">
        <v>8.01</v>
      </c>
      <c r="FM324" s="666">
        <v>7.5</v>
      </c>
      <c r="FN324" s="666">
        <v>0</v>
      </c>
    </row>
    <row r="325" spans="1:171" s="416" customFormat="1" ht="15">
      <c r="A325" s="425" t="s">
        <v>4</v>
      </c>
      <c r="B325" s="426">
        <v>40854</v>
      </c>
      <c r="C325" s="418">
        <v>0</v>
      </c>
      <c r="D325" s="518">
        <v>0.08</v>
      </c>
      <c r="E325" s="453">
        <v>0</v>
      </c>
      <c r="F325" s="453">
        <v>42</v>
      </c>
      <c r="G325" s="453">
        <v>0.7</v>
      </c>
      <c r="H325" s="519">
        <v>5.0599999999999996</v>
      </c>
      <c r="I325" s="519">
        <v>90.75</v>
      </c>
      <c r="J325" s="483" t="s">
        <v>742</v>
      </c>
      <c r="K325" s="520">
        <v>2.34</v>
      </c>
      <c r="L325" s="453">
        <v>16.380000000001019</v>
      </c>
      <c r="M325" s="453">
        <v>13.1</v>
      </c>
      <c r="N325" s="453">
        <v>0</v>
      </c>
      <c r="O325" s="756">
        <v>12.55746367257375</v>
      </c>
      <c r="P325" s="453">
        <v>1.85</v>
      </c>
      <c r="Q325" s="453">
        <v>2.0727790620873883</v>
      </c>
      <c r="R325" s="453">
        <v>837.29413474240414</v>
      </c>
      <c r="S325" s="453">
        <v>0</v>
      </c>
      <c r="T325" s="453">
        <v>8.02</v>
      </c>
      <c r="U325" s="453">
        <v>0</v>
      </c>
      <c r="V325" s="453">
        <v>0.8</v>
      </c>
      <c r="W325" s="453">
        <v>32</v>
      </c>
      <c r="X325" s="456">
        <v>43.160000000000011</v>
      </c>
      <c r="Y325" s="453">
        <v>26.7</v>
      </c>
      <c r="Z325" s="453">
        <v>19</v>
      </c>
      <c r="AA325" s="519">
        <v>26.180000000007567</v>
      </c>
      <c r="AB325" s="519">
        <v>18.900000000001455</v>
      </c>
      <c r="AC325" s="732">
        <f t="shared" si="4"/>
        <v>45.080000000009022</v>
      </c>
      <c r="AD325" s="664"/>
      <c r="AE325" s="664"/>
      <c r="AF325" s="664"/>
      <c r="AG325" s="664"/>
      <c r="AH325" s="664"/>
      <c r="AI325" s="664"/>
      <c r="AJ325" s="485"/>
      <c r="AK325" s="485"/>
      <c r="AL325" s="485"/>
      <c r="AM325" s="485"/>
      <c r="AN325" s="485"/>
      <c r="AO325" s="665"/>
      <c r="AP325" s="485"/>
      <c r="AQ325" s="483"/>
      <c r="AR325" s="755">
        <v>0</v>
      </c>
      <c r="AS325" s="483">
        <v>17.100000000000001</v>
      </c>
      <c r="AT325" s="755">
        <v>0</v>
      </c>
      <c r="AU325" s="483">
        <v>27.1</v>
      </c>
      <c r="AV325" s="484">
        <v>357.6</v>
      </c>
      <c r="AW325" s="484">
        <v>389.9</v>
      </c>
      <c r="AX325" s="453">
        <v>0</v>
      </c>
      <c r="AY325" s="734">
        <v>0</v>
      </c>
      <c r="AZ325" s="734">
        <v>0</v>
      </c>
      <c r="BA325" s="734">
        <v>0</v>
      </c>
      <c r="BB325" s="453">
        <v>0</v>
      </c>
      <c r="BC325" s="453">
        <v>0</v>
      </c>
      <c r="BD325" s="453">
        <v>0</v>
      </c>
      <c r="BE325" s="734">
        <v>0</v>
      </c>
      <c r="BF325" s="453">
        <v>0</v>
      </c>
      <c r="BG325" s="453">
        <v>0</v>
      </c>
      <c r="BH325" s="734">
        <v>0</v>
      </c>
      <c r="BI325" s="453">
        <v>0</v>
      </c>
      <c r="BJ325" s="453">
        <v>19.100000000000001</v>
      </c>
      <c r="BK325" s="453">
        <v>0</v>
      </c>
      <c r="BL325" s="453">
        <v>0</v>
      </c>
      <c r="BM325" s="453">
        <v>0</v>
      </c>
      <c r="BN325" s="453">
        <v>18.899999999999999</v>
      </c>
      <c r="BO325" s="453">
        <v>1593.3</v>
      </c>
      <c r="BP325" s="453">
        <v>0</v>
      </c>
      <c r="BQ325" s="453">
        <v>18.8</v>
      </c>
      <c r="BR325" s="453">
        <v>18.8</v>
      </c>
      <c r="BS325" s="453">
        <v>0</v>
      </c>
      <c r="BT325" s="453">
        <v>33.6</v>
      </c>
      <c r="BU325" s="453">
        <v>22.4</v>
      </c>
      <c r="BV325" s="456">
        <v>410.7</v>
      </c>
      <c r="BW325" s="453">
        <v>3.82</v>
      </c>
      <c r="BX325" s="453">
        <v>1.36</v>
      </c>
      <c r="BY325" s="456">
        <v>0.9</v>
      </c>
      <c r="BZ325" s="456">
        <v>15.36</v>
      </c>
      <c r="CA325" s="456">
        <v>32.6</v>
      </c>
      <c r="CB325" s="456">
        <v>13.4</v>
      </c>
      <c r="CC325" s="456">
        <v>9.0500000000000007</v>
      </c>
      <c r="CD325" s="456">
        <v>13.27</v>
      </c>
      <c r="CE325" s="456">
        <v>17.440000000000001</v>
      </c>
      <c r="CF325" s="456">
        <v>13.18</v>
      </c>
      <c r="CG325" s="456">
        <v>522.20000000000005</v>
      </c>
      <c r="CH325" s="456">
        <v>2.2999999999999998</v>
      </c>
      <c r="CI325" s="456">
        <v>3.5</v>
      </c>
      <c r="CJ325" s="456">
        <v>463.2</v>
      </c>
      <c r="CK325" s="456">
        <v>362.6</v>
      </c>
      <c r="CL325" s="456">
        <v>525.79999999999995</v>
      </c>
      <c r="CM325" s="456">
        <v>13.1</v>
      </c>
      <c r="CN325" s="456">
        <v>1.77</v>
      </c>
      <c r="CO325" s="453">
        <v>0</v>
      </c>
      <c r="CP325" s="453">
        <v>15.96</v>
      </c>
      <c r="CQ325" s="453">
        <v>49</v>
      </c>
      <c r="CR325" s="456">
        <v>0</v>
      </c>
      <c r="CS325" s="456">
        <v>0</v>
      </c>
      <c r="CT325" s="456">
        <v>0</v>
      </c>
      <c r="CU325" s="456">
        <v>0</v>
      </c>
      <c r="CV325" s="481">
        <v>592.70833333333337</v>
      </c>
      <c r="CW325" s="481">
        <v>824.4375</v>
      </c>
      <c r="CX325" s="481">
        <v>587.58333333333337</v>
      </c>
      <c r="CY325" s="481">
        <v>1077.3800000000001</v>
      </c>
      <c r="CZ325" s="456"/>
      <c r="DA325" s="456"/>
      <c r="DB325" s="456"/>
      <c r="DC325" s="456"/>
      <c r="DD325" s="456"/>
      <c r="DE325" s="456"/>
      <c r="DF325" s="456"/>
      <c r="DG325" s="425"/>
      <c r="DH325" s="456">
        <v>0</v>
      </c>
      <c r="DI325" s="456">
        <v>0</v>
      </c>
      <c r="DJ325" s="456">
        <v>1.1399999999999999</v>
      </c>
      <c r="DK325" s="425"/>
      <c r="DL325" s="456"/>
      <c r="DM325" s="456"/>
      <c r="DN325" s="456"/>
      <c r="DO325" s="456"/>
      <c r="DP325" s="456"/>
      <c r="DQ325" s="456"/>
      <c r="DR325" s="456"/>
      <c r="DS325" s="456"/>
      <c r="DT325" s="456"/>
      <c r="DU325" s="456"/>
      <c r="DV325" s="456"/>
      <c r="DW325" s="456"/>
      <c r="DX325" s="456"/>
      <c r="DY325" s="456"/>
      <c r="DZ325" s="456"/>
      <c r="EA325" s="456"/>
      <c r="EB325" s="456"/>
      <c r="EC325" s="456"/>
      <c r="ED325" s="456"/>
      <c r="EE325" s="456">
        <v>0</v>
      </c>
      <c r="EF325" s="456">
        <v>2</v>
      </c>
      <c r="EG325" s="456">
        <v>6.5</v>
      </c>
      <c r="EH325" s="456"/>
      <c r="EI325" s="456"/>
      <c r="EJ325" s="456"/>
      <c r="EK325" s="456"/>
      <c r="EL325" s="456"/>
      <c r="EM325" s="456"/>
      <c r="EN325" s="456"/>
      <c r="EO325" s="425"/>
      <c r="EP325" s="425"/>
      <c r="EQ325" s="425" t="s">
        <v>743</v>
      </c>
      <c r="ER325" s="425">
        <v>1</v>
      </c>
      <c r="ES325" s="425">
        <v>8</v>
      </c>
      <c r="ET325" s="425">
        <v>4000</v>
      </c>
      <c r="EU325" s="457">
        <v>110</v>
      </c>
      <c r="EV325" s="425">
        <v>120</v>
      </c>
      <c r="EW325" s="425">
        <v>7451758</v>
      </c>
      <c r="EX325" s="425">
        <v>93648</v>
      </c>
      <c r="EY325" s="666">
        <v>18.78</v>
      </c>
      <c r="EZ325" s="666">
        <v>18.68</v>
      </c>
      <c r="FA325" s="666">
        <v>0</v>
      </c>
      <c r="FB325" s="666">
        <v>1.5</v>
      </c>
      <c r="FC325" s="666">
        <v>1.41</v>
      </c>
      <c r="FD325" s="666">
        <v>0.97799999999999998</v>
      </c>
      <c r="FE325" s="666">
        <v>0.98109999999999997</v>
      </c>
      <c r="FF325" s="666">
        <v>110</v>
      </c>
      <c r="FG325" s="666">
        <v>2.14</v>
      </c>
      <c r="FH325" s="666">
        <v>0.95799999999999996</v>
      </c>
      <c r="FI325" s="666">
        <v>1.9</v>
      </c>
      <c r="FJ325" s="666">
        <v>7.78</v>
      </c>
      <c r="FK325" s="666">
        <v>7.7</v>
      </c>
      <c r="FL325" s="666">
        <v>7.97</v>
      </c>
      <c r="FM325" s="666">
        <v>7.7</v>
      </c>
      <c r="FN325" s="666">
        <v>0</v>
      </c>
    </row>
    <row r="326" spans="1:171" s="416" customFormat="1" ht="15">
      <c r="A326" s="425" t="s">
        <v>5</v>
      </c>
      <c r="B326" s="426">
        <v>40855</v>
      </c>
      <c r="C326" s="418">
        <v>0</v>
      </c>
      <c r="D326" s="518">
        <v>0.01</v>
      </c>
      <c r="E326" s="453">
        <v>0</v>
      </c>
      <c r="F326" s="453">
        <v>47</v>
      </c>
      <c r="G326" s="453">
        <v>0.6</v>
      </c>
      <c r="H326" s="519">
        <v>5</v>
      </c>
      <c r="I326" s="519">
        <v>91.46</v>
      </c>
      <c r="J326" s="483" t="s">
        <v>742</v>
      </c>
      <c r="K326" s="520">
        <v>2.56</v>
      </c>
      <c r="L326" s="453">
        <v>16.469999999999345</v>
      </c>
      <c r="M326" s="453">
        <v>14.5</v>
      </c>
      <c r="N326" s="453">
        <v>0</v>
      </c>
      <c r="O326" s="453">
        <v>1.6311756935270803</v>
      </c>
      <c r="P326" s="453">
        <v>1.81</v>
      </c>
      <c r="Q326" s="453">
        <v>2.0744708709896384</v>
      </c>
      <c r="R326" s="453">
        <v>792.27135535006596</v>
      </c>
      <c r="S326" s="453">
        <v>0</v>
      </c>
      <c r="T326" s="453">
        <v>8.02</v>
      </c>
      <c r="U326" s="453">
        <v>0</v>
      </c>
      <c r="V326" s="453">
        <v>0.78</v>
      </c>
      <c r="W326" s="453">
        <v>32</v>
      </c>
      <c r="X326" s="456">
        <v>44.06</v>
      </c>
      <c r="Y326" s="453">
        <v>26.69</v>
      </c>
      <c r="Z326" s="453">
        <v>18.89</v>
      </c>
      <c r="AA326" s="519">
        <v>26.55000000000291</v>
      </c>
      <c r="AB326" s="519">
        <v>19</v>
      </c>
      <c r="AC326" s="732">
        <f t="shared" si="4"/>
        <v>45.55000000000291</v>
      </c>
      <c r="AD326" s="664"/>
      <c r="AE326" s="664"/>
      <c r="AF326" s="664"/>
      <c r="AG326" s="664"/>
      <c r="AH326" s="664"/>
      <c r="AI326" s="664"/>
      <c r="AJ326" s="485"/>
      <c r="AK326" s="485"/>
      <c r="AL326" s="485"/>
      <c r="AM326" s="485"/>
      <c r="AN326" s="485"/>
      <c r="AO326" s="665"/>
      <c r="AP326" s="485"/>
      <c r="AQ326" s="483"/>
      <c r="AR326" s="755">
        <v>0</v>
      </c>
      <c r="AS326" s="483">
        <v>15.4</v>
      </c>
      <c r="AT326" s="755">
        <v>0</v>
      </c>
      <c r="AU326" s="483">
        <v>26.9</v>
      </c>
      <c r="AV326" s="484">
        <v>319.5</v>
      </c>
      <c r="AW326" s="484">
        <v>341.1</v>
      </c>
      <c r="AX326" s="453">
        <v>0</v>
      </c>
      <c r="AY326" s="734">
        <v>0</v>
      </c>
      <c r="AZ326" s="734">
        <v>0</v>
      </c>
      <c r="BA326" s="734">
        <v>0</v>
      </c>
      <c r="BB326" s="453">
        <v>0</v>
      </c>
      <c r="BC326" s="453">
        <v>0</v>
      </c>
      <c r="BD326" s="453">
        <v>0</v>
      </c>
      <c r="BE326" s="734">
        <v>0</v>
      </c>
      <c r="BF326" s="453">
        <v>0</v>
      </c>
      <c r="BG326" s="453">
        <v>0</v>
      </c>
      <c r="BH326" s="734">
        <v>0</v>
      </c>
      <c r="BI326" s="453">
        <v>0</v>
      </c>
      <c r="BJ326" s="453">
        <v>19.100000000000001</v>
      </c>
      <c r="BK326" s="453">
        <v>0</v>
      </c>
      <c r="BL326" s="453">
        <v>0</v>
      </c>
      <c r="BM326" s="453">
        <v>0</v>
      </c>
      <c r="BN326" s="453">
        <v>18.899999999999999</v>
      </c>
      <c r="BO326" s="453">
        <v>734.2</v>
      </c>
      <c r="BP326" s="453">
        <v>0</v>
      </c>
      <c r="BQ326" s="453">
        <v>18.399999999999999</v>
      </c>
      <c r="BR326" s="453">
        <v>18.399999999999999</v>
      </c>
      <c r="BS326" s="453">
        <v>0</v>
      </c>
      <c r="BT326" s="453">
        <v>25.3</v>
      </c>
      <c r="BU326" s="453">
        <v>22.4</v>
      </c>
      <c r="BV326" s="456">
        <v>437</v>
      </c>
      <c r="BW326" s="453">
        <v>1.77</v>
      </c>
      <c r="BX326" s="453">
        <v>1.54</v>
      </c>
      <c r="BY326" s="456">
        <v>0.85</v>
      </c>
      <c r="BZ326" s="456">
        <v>15.39</v>
      </c>
      <c r="CA326" s="456">
        <v>32.700000000000003</v>
      </c>
      <c r="CB326" s="456">
        <v>12.78</v>
      </c>
      <c r="CC326" s="456">
        <v>9.17</v>
      </c>
      <c r="CD326" s="456">
        <v>13.42</v>
      </c>
      <c r="CE326" s="456">
        <v>17.5</v>
      </c>
      <c r="CF326" s="456">
        <v>13.37</v>
      </c>
      <c r="CG326" s="456">
        <v>546.29999999999995</v>
      </c>
      <c r="CH326" s="456">
        <v>2.7</v>
      </c>
      <c r="CI326" s="456">
        <v>3.5</v>
      </c>
      <c r="CJ326" s="456">
        <v>483.4</v>
      </c>
      <c r="CK326" s="456">
        <v>364.6</v>
      </c>
      <c r="CL326" s="456">
        <v>581.29999999999995</v>
      </c>
      <c r="CM326" s="456">
        <v>13.5</v>
      </c>
      <c r="CN326" s="456">
        <v>1.73</v>
      </c>
      <c r="CO326" s="453">
        <v>0</v>
      </c>
      <c r="CP326" s="453">
        <v>16.04</v>
      </c>
      <c r="CQ326" s="453">
        <v>49</v>
      </c>
      <c r="CR326" s="456">
        <v>0</v>
      </c>
      <c r="CS326" s="456">
        <v>0</v>
      </c>
      <c r="CT326" s="456">
        <v>0</v>
      </c>
      <c r="CU326" s="456">
        <v>0</v>
      </c>
      <c r="CV326" s="481">
        <v>506.58333333333331</v>
      </c>
      <c r="CW326" s="481">
        <v>721.07291666666663</v>
      </c>
      <c r="CX326" s="481">
        <v>502.54166666666669</v>
      </c>
      <c r="CY326" s="481">
        <v>1076.2</v>
      </c>
      <c r="CZ326" s="456"/>
      <c r="DA326" s="456"/>
      <c r="DB326" s="456"/>
      <c r="DC326" s="456"/>
      <c r="DD326" s="456"/>
      <c r="DE326" s="456"/>
      <c r="DF326" s="456"/>
      <c r="DG326" s="425"/>
      <c r="DH326" s="456">
        <v>0</v>
      </c>
      <c r="DI326" s="456">
        <v>0</v>
      </c>
      <c r="DJ326" s="456">
        <v>0.91</v>
      </c>
      <c r="DK326" s="425"/>
      <c r="DL326" s="456"/>
      <c r="DM326" s="456"/>
      <c r="DN326" s="456"/>
      <c r="DO326" s="456"/>
      <c r="DP326" s="456"/>
      <c r="DQ326" s="456"/>
      <c r="DR326" s="456"/>
      <c r="DS326" s="456"/>
      <c r="DT326" s="456"/>
      <c r="DU326" s="456"/>
      <c r="DV326" s="456"/>
      <c r="DW326" s="456"/>
      <c r="DX326" s="456"/>
      <c r="DY326" s="456"/>
      <c r="DZ326" s="456"/>
      <c r="EA326" s="456"/>
      <c r="EB326" s="456"/>
      <c r="EC326" s="456"/>
      <c r="ED326" s="456"/>
      <c r="EE326" s="456">
        <v>0</v>
      </c>
      <c r="EF326" s="456">
        <v>2</v>
      </c>
      <c r="EG326" s="456">
        <v>6.5</v>
      </c>
      <c r="EH326" s="456"/>
      <c r="EI326" s="456"/>
      <c r="EJ326" s="456"/>
      <c r="EK326" s="456"/>
      <c r="EL326" s="456"/>
      <c r="EM326" s="456"/>
      <c r="EN326" s="456"/>
      <c r="EO326" s="425"/>
      <c r="EP326" s="425"/>
      <c r="EQ326" s="425" t="s">
        <v>743</v>
      </c>
      <c r="ER326" s="425">
        <v>1</v>
      </c>
      <c r="ES326" s="425">
        <v>8</v>
      </c>
      <c r="ET326" s="425">
        <v>4000</v>
      </c>
      <c r="EU326" s="457">
        <v>20</v>
      </c>
      <c r="EV326" s="425">
        <v>90</v>
      </c>
      <c r="EW326" s="425">
        <v>7454024</v>
      </c>
      <c r="EX326" s="425">
        <v>94887</v>
      </c>
      <c r="EY326" s="666">
        <v>18.399999999999999</v>
      </c>
      <c r="EZ326" s="666">
        <v>18.399999999999999</v>
      </c>
      <c r="FA326" s="666">
        <v>0</v>
      </c>
      <c r="FB326" s="666">
        <v>1.55</v>
      </c>
      <c r="FC326" s="666">
        <v>1.49</v>
      </c>
      <c r="FD326" s="666">
        <v>0.97</v>
      </c>
      <c r="FE326" s="666">
        <v>0.83</v>
      </c>
      <c r="FF326" s="666">
        <v>90</v>
      </c>
      <c r="FG326" s="666">
        <v>1.64</v>
      </c>
      <c r="FH326" s="666">
        <v>0.98</v>
      </c>
      <c r="FI326" s="666">
        <v>1.67</v>
      </c>
      <c r="FJ326" s="666">
        <v>7.85</v>
      </c>
      <c r="FK326" s="666">
        <v>7.9</v>
      </c>
      <c r="FL326" s="666">
        <v>8.17</v>
      </c>
      <c r="FM326" s="666">
        <v>7.7</v>
      </c>
      <c r="FN326" s="666">
        <v>0</v>
      </c>
    </row>
    <row r="327" spans="1:171" s="416" customFormat="1" ht="15">
      <c r="A327" s="425" t="s">
        <v>6</v>
      </c>
      <c r="B327" s="426">
        <v>40856</v>
      </c>
      <c r="C327" s="418">
        <v>0</v>
      </c>
      <c r="D327" s="518">
        <v>0</v>
      </c>
      <c r="E327" s="453">
        <v>0</v>
      </c>
      <c r="F327" s="453">
        <v>48</v>
      </c>
      <c r="G327" s="453">
        <v>0.4</v>
      </c>
      <c r="H327" s="519">
        <v>5.0999999999999996</v>
      </c>
      <c r="I327" s="519">
        <v>92.11</v>
      </c>
      <c r="J327" s="483" t="s">
        <v>742</v>
      </c>
      <c r="K327" s="520">
        <v>3.2</v>
      </c>
      <c r="L327" s="453">
        <v>10.710000000000946</v>
      </c>
      <c r="M327" s="453">
        <v>15.8</v>
      </c>
      <c r="N327" s="453">
        <v>0</v>
      </c>
      <c r="O327" s="453">
        <v>0</v>
      </c>
      <c r="P327" s="453">
        <v>1.7</v>
      </c>
      <c r="Q327" s="453">
        <v>2.1054482487771091</v>
      </c>
      <c r="R327" s="453">
        <v>779.63906472919405</v>
      </c>
      <c r="S327" s="453">
        <v>0</v>
      </c>
      <c r="T327" s="453">
        <v>8</v>
      </c>
      <c r="U327" s="453">
        <v>0</v>
      </c>
      <c r="V327" s="453">
        <v>0.8</v>
      </c>
      <c r="W327" s="453">
        <v>32</v>
      </c>
      <c r="X327" s="456">
        <v>48.019999999999996</v>
      </c>
      <c r="Y327" s="453">
        <v>26.44</v>
      </c>
      <c r="Z327" s="453">
        <v>18.96</v>
      </c>
      <c r="AA327" s="519">
        <v>26.799999999988358</v>
      </c>
      <c r="AB327" s="519">
        <v>17.69999999999709</v>
      </c>
      <c r="AC327" s="732">
        <f t="shared" si="4"/>
        <v>44.499999999985448</v>
      </c>
      <c r="AD327" s="664"/>
      <c r="AE327" s="664"/>
      <c r="AF327" s="664"/>
      <c r="AG327" s="664"/>
      <c r="AH327" s="664"/>
      <c r="AI327" s="664"/>
      <c r="AJ327" s="485"/>
      <c r="AK327" s="485"/>
      <c r="AL327" s="485"/>
      <c r="AM327" s="485"/>
      <c r="AN327" s="485"/>
      <c r="AO327" s="665"/>
      <c r="AP327" s="485"/>
      <c r="AQ327" s="483"/>
      <c r="AR327" s="755">
        <v>0</v>
      </c>
      <c r="AS327" s="483">
        <v>0</v>
      </c>
      <c r="AT327" s="755">
        <v>0</v>
      </c>
      <c r="AU327" s="483">
        <v>27.2</v>
      </c>
      <c r="AV327" s="484">
        <v>473.5</v>
      </c>
      <c r="AW327" s="484">
        <v>461.6</v>
      </c>
      <c r="AX327" s="453">
        <v>0</v>
      </c>
      <c r="AY327" s="734">
        <v>0</v>
      </c>
      <c r="AZ327" s="734">
        <v>0</v>
      </c>
      <c r="BA327" s="734">
        <v>0</v>
      </c>
      <c r="BB327" s="453">
        <v>0</v>
      </c>
      <c r="BC327" s="453">
        <v>0</v>
      </c>
      <c r="BD327" s="453">
        <v>0</v>
      </c>
      <c r="BE327" s="734">
        <v>0</v>
      </c>
      <c r="BF327" s="453">
        <v>0</v>
      </c>
      <c r="BG327" s="453">
        <v>0</v>
      </c>
      <c r="BH327" s="734">
        <v>0</v>
      </c>
      <c r="BI327" s="453">
        <v>0</v>
      </c>
      <c r="BJ327" s="453">
        <v>17.5</v>
      </c>
      <c r="BK327" s="453">
        <v>0</v>
      </c>
      <c r="BL327" s="453">
        <v>0</v>
      </c>
      <c r="BM327" s="453">
        <v>0</v>
      </c>
      <c r="BN327" s="453">
        <v>17.3</v>
      </c>
      <c r="BO327" s="453">
        <v>1335.2</v>
      </c>
      <c r="BP327" s="453">
        <v>0</v>
      </c>
      <c r="BQ327" s="453">
        <v>18.5</v>
      </c>
      <c r="BR327" s="453">
        <v>18.5</v>
      </c>
      <c r="BS327" s="453">
        <v>0</v>
      </c>
      <c r="BT327" s="453">
        <v>25.2</v>
      </c>
      <c r="BU327" s="453">
        <v>20.8</v>
      </c>
      <c r="BV327" s="456">
        <v>421</v>
      </c>
      <c r="BW327" s="453">
        <v>3.7</v>
      </c>
      <c r="BX327" s="453">
        <v>1.53</v>
      </c>
      <c r="BY327" s="456">
        <v>0.85</v>
      </c>
      <c r="BZ327" s="456">
        <v>15.5</v>
      </c>
      <c r="CA327" s="456">
        <v>32.5</v>
      </c>
      <c r="CB327" s="456">
        <v>14.7</v>
      </c>
      <c r="CC327" s="456">
        <v>9.15</v>
      </c>
      <c r="CD327" s="456">
        <v>13.4</v>
      </c>
      <c r="CE327" s="456">
        <v>17.5</v>
      </c>
      <c r="CF327" s="456">
        <v>13.1</v>
      </c>
      <c r="CG327" s="456">
        <v>493.7</v>
      </c>
      <c r="CH327" s="456">
        <v>2.1</v>
      </c>
      <c r="CI327" s="456">
        <v>4</v>
      </c>
      <c r="CJ327" s="456">
        <v>471.8</v>
      </c>
      <c r="CK327" s="456">
        <v>358.4</v>
      </c>
      <c r="CL327" s="456">
        <v>582.29999999999995</v>
      </c>
      <c r="CM327" s="456">
        <v>12.7</v>
      </c>
      <c r="CN327" s="456">
        <v>1.6</v>
      </c>
      <c r="CO327" s="453">
        <v>1181.2</v>
      </c>
      <c r="CP327" s="453">
        <v>16</v>
      </c>
      <c r="CQ327" s="453">
        <v>49</v>
      </c>
      <c r="CR327" s="456">
        <v>0</v>
      </c>
      <c r="CS327" s="456">
        <v>0</v>
      </c>
      <c r="CT327" s="456">
        <v>0</v>
      </c>
      <c r="CU327" s="456">
        <v>0</v>
      </c>
      <c r="CV327" s="481">
        <v>443.625</v>
      </c>
      <c r="CW327" s="481">
        <v>640.54166666666663</v>
      </c>
      <c r="CX327" s="481">
        <v>432.13541666666669</v>
      </c>
      <c r="CY327" s="481">
        <v>1075.46</v>
      </c>
      <c r="CZ327" s="456"/>
      <c r="DA327" s="456"/>
      <c r="DB327" s="456"/>
      <c r="DC327" s="456"/>
      <c r="DD327" s="456"/>
      <c r="DE327" s="456"/>
      <c r="DF327" s="456"/>
      <c r="DG327" s="425"/>
      <c r="DH327" s="456"/>
      <c r="DI327" s="456"/>
      <c r="DJ327" s="456"/>
      <c r="DK327" s="425"/>
      <c r="DL327" s="456"/>
      <c r="DM327" s="456"/>
      <c r="DN327" s="456"/>
      <c r="DO327" s="456"/>
      <c r="DP327" s="456"/>
      <c r="DQ327" s="456"/>
      <c r="DR327" s="456"/>
      <c r="DS327" s="456"/>
      <c r="DT327" s="456"/>
      <c r="DU327" s="456"/>
      <c r="DV327" s="456"/>
      <c r="DW327" s="456"/>
      <c r="DX327" s="456"/>
      <c r="DY327" s="456"/>
      <c r="DZ327" s="456"/>
      <c r="EA327" s="456"/>
      <c r="EB327" s="456"/>
      <c r="EC327" s="456"/>
      <c r="ED327" s="456"/>
      <c r="EE327" s="456">
        <v>0</v>
      </c>
      <c r="EF327" s="456">
        <v>2</v>
      </c>
      <c r="EG327" s="456">
        <v>6.5</v>
      </c>
      <c r="EH327" s="456"/>
      <c r="EI327" s="456"/>
      <c r="EJ327" s="456"/>
      <c r="EK327" s="456"/>
      <c r="EL327" s="456"/>
      <c r="EM327" s="456"/>
      <c r="EN327" s="456"/>
      <c r="EO327" s="425"/>
      <c r="EP327" s="425"/>
      <c r="EQ327" s="425" t="s">
        <v>743</v>
      </c>
      <c r="ER327" s="425">
        <v>1</v>
      </c>
      <c r="ES327" s="425">
        <v>8</v>
      </c>
      <c r="ET327" s="425">
        <v>4000</v>
      </c>
      <c r="EU327" s="457">
        <v>-60</v>
      </c>
      <c r="EV327" s="425">
        <v>100</v>
      </c>
      <c r="EW327" s="425">
        <v>7456079</v>
      </c>
      <c r="EX327" s="425">
        <v>96177</v>
      </c>
      <c r="EY327" s="666">
        <v>18.59</v>
      </c>
      <c r="EZ327" s="666">
        <v>18.559999999999999</v>
      </c>
      <c r="FA327" s="666">
        <v>0</v>
      </c>
      <c r="FB327" s="666">
        <v>1.6</v>
      </c>
      <c r="FC327" s="666">
        <v>1.58</v>
      </c>
      <c r="FD327" s="666">
        <v>0.94</v>
      </c>
      <c r="FE327" s="666">
        <v>1.19</v>
      </c>
      <c r="FF327" s="666">
        <v>80</v>
      </c>
      <c r="FG327" s="666">
        <v>2.35</v>
      </c>
      <c r="FH327" s="666">
        <v>0.98</v>
      </c>
      <c r="FI327" s="666">
        <v>1.66</v>
      </c>
      <c r="FJ327" s="666">
        <v>7.85</v>
      </c>
      <c r="FK327" s="666">
        <v>7.9</v>
      </c>
      <c r="FL327" s="666">
        <v>8.1</v>
      </c>
      <c r="FM327" s="666">
        <v>7.6</v>
      </c>
      <c r="FN327" s="666">
        <v>0</v>
      </c>
    </row>
    <row r="328" spans="1:171" s="416" customFormat="1" ht="15">
      <c r="A328" s="425" t="s">
        <v>7</v>
      </c>
      <c r="B328" s="426">
        <v>40857</v>
      </c>
      <c r="C328" s="418">
        <v>0</v>
      </c>
      <c r="D328" s="518">
        <v>0</v>
      </c>
      <c r="E328" s="453">
        <v>0</v>
      </c>
      <c r="F328" s="453">
        <v>38</v>
      </c>
      <c r="G328" s="453">
        <v>0.4</v>
      </c>
      <c r="H328" s="519">
        <v>5.0999999999999996</v>
      </c>
      <c r="I328" s="519">
        <v>93.7</v>
      </c>
      <c r="J328" s="483" t="s">
        <v>742</v>
      </c>
      <c r="K328" s="520">
        <v>3</v>
      </c>
      <c r="L328" s="453">
        <v>12.769999999998618</v>
      </c>
      <c r="M328" s="453">
        <v>15.8</v>
      </c>
      <c r="N328" s="453">
        <v>0</v>
      </c>
      <c r="O328" s="453">
        <v>0</v>
      </c>
      <c r="P328" s="453">
        <v>1.7</v>
      </c>
      <c r="Q328" s="453">
        <v>2.0792018508653878</v>
      </c>
      <c r="R328" s="453">
        <v>627.72767239101711</v>
      </c>
      <c r="S328" s="453">
        <v>0</v>
      </c>
      <c r="T328" s="453">
        <v>7.8</v>
      </c>
      <c r="U328" s="453">
        <v>0</v>
      </c>
      <c r="V328" s="453">
        <v>0.9</v>
      </c>
      <c r="W328" s="453">
        <v>32</v>
      </c>
      <c r="X328" s="456">
        <v>46.94</v>
      </c>
      <c r="Y328" s="453">
        <v>26.8</v>
      </c>
      <c r="Z328" s="453">
        <v>9.4</v>
      </c>
      <c r="AA328" s="519">
        <v>26.600000000005821</v>
      </c>
      <c r="AB328" s="519">
        <v>9.35</v>
      </c>
      <c r="AC328" s="732">
        <f t="shared" si="4"/>
        <v>35.950000000005822</v>
      </c>
      <c r="AD328" s="664"/>
      <c r="AE328" s="664"/>
      <c r="AF328" s="664"/>
      <c r="AG328" s="664"/>
      <c r="AH328" s="664"/>
      <c r="AI328" s="664"/>
      <c r="AJ328" s="485"/>
      <c r="AK328" s="485"/>
      <c r="AL328" s="485"/>
      <c r="AM328" s="485"/>
      <c r="AN328" s="485"/>
      <c r="AO328" s="665"/>
      <c r="AP328" s="485"/>
      <c r="AQ328" s="483"/>
      <c r="AR328" s="755">
        <v>0</v>
      </c>
      <c r="AS328" s="483">
        <v>10.6</v>
      </c>
      <c r="AT328" s="755">
        <v>0</v>
      </c>
      <c r="AU328" s="483">
        <v>27.9</v>
      </c>
      <c r="AV328" s="484">
        <v>381.3</v>
      </c>
      <c r="AW328" s="484">
        <v>379.4</v>
      </c>
      <c r="AX328" s="453">
        <v>0</v>
      </c>
      <c r="AY328" s="734">
        <v>0</v>
      </c>
      <c r="AZ328" s="734">
        <v>0</v>
      </c>
      <c r="BA328" s="734">
        <v>0</v>
      </c>
      <c r="BB328" s="453">
        <v>0</v>
      </c>
      <c r="BC328" s="453">
        <v>0</v>
      </c>
      <c r="BD328" s="453">
        <v>0</v>
      </c>
      <c r="BE328" s="734">
        <v>0</v>
      </c>
      <c r="BF328" s="453">
        <v>0</v>
      </c>
      <c r="BG328" s="453">
        <v>0</v>
      </c>
      <c r="BH328" s="734">
        <v>0</v>
      </c>
      <c r="BI328" s="453">
        <v>0</v>
      </c>
      <c r="BJ328" s="453">
        <v>9.4</v>
      </c>
      <c r="BK328" s="453">
        <v>0</v>
      </c>
      <c r="BL328" s="453">
        <v>0</v>
      </c>
      <c r="BM328" s="453">
        <v>0</v>
      </c>
      <c r="BN328" s="453">
        <v>9.1999999999999993</v>
      </c>
      <c r="BO328" s="453">
        <v>1198.3</v>
      </c>
      <c r="BP328" s="453">
        <v>0</v>
      </c>
      <c r="BQ328" s="453">
        <v>18.7</v>
      </c>
      <c r="BR328" s="453">
        <v>18.7</v>
      </c>
      <c r="BS328" s="453">
        <v>0</v>
      </c>
      <c r="BT328" s="453">
        <v>25.7</v>
      </c>
      <c r="BU328" s="453">
        <v>21.1</v>
      </c>
      <c r="BV328" s="456">
        <v>520.9</v>
      </c>
      <c r="BW328" s="453">
        <v>1.9</v>
      </c>
      <c r="BX328" s="453">
        <v>1.55</v>
      </c>
      <c r="BY328" s="456">
        <v>0.9</v>
      </c>
      <c r="BZ328" s="456">
        <v>15.24</v>
      </c>
      <c r="CA328" s="456">
        <v>32.5</v>
      </c>
      <c r="CB328" s="456">
        <v>14.24</v>
      </c>
      <c r="CC328" s="456">
        <v>8.8699999999999992</v>
      </c>
      <c r="CD328" s="456">
        <v>13.12</v>
      </c>
      <c r="CE328" s="456">
        <v>17.23</v>
      </c>
      <c r="CF328" s="456">
        <v>13.33</v>
      </c>
      <c r="CG328" s="456">
        <v>504.9</v>
      </c>
      <c r="CH328" s="456">
        <v>2.2000000000000002</v>
      </c>
      <c r="CI328" s="456">
        <v>1.8</v>
      </c>
      <c r="CJ328" s="456">
        <v>480.8</v>
      </c>
      <c r="CK328" s="456">
        <v>358.1</v>
      </c>
      <c r="CL328" s="456">
        <v>565</v>
      </c>
      <c r="CM328" s="456">
        <v>13.2</v>
      </c>
      <c r="CN328" s="456">
        <v>1.7</v>
      </c>
      <c r="CO328" s="453">
        <v>6346.1</v>
      </c>
      <c r="CP328" s="453">
        <v>14.58</v>
      </c>
      <c r="CQ328" s="453">
        <v>49</v>
      </c>
      <c r="CR328" s="456">
        <v>0</v>
      </c>
      <c r="CS328" s="456">
        <v>0</v>
      </c>
      <c r="CT328" s="456">
        <v>0</v>
      </c>
      <c r="CU328" s="456">
        <v>0</v>
      </c>
      <c r="CV328" s="481">
        <v>367.91666666666669</v>
      </c>
      <c r="CW328" s="481">
        <v>578.16666666666663</v>
      </c>
      <c r="CX328" s="481">
        <v>379.63541666666669</v>
      </c>
      <c r="CY328" s="481">
        <v>1075.6500000000001</v>
      </c>
      <c r="CZ328" s="456"/>
      <c r="DA328" s="456"/>
      <c r="DB328" s="456"/>
      <c r="DC328" s="456"/>
      <c r="DD328" s="456"/>
      <c r="DE328" s="456"/>
      <c r="DF328" s="456"/>
      <c r="DG328" s="425"/>
      <c r="DH328" s="456">
        <v>0</v>
      </c>
      <c r="DI328" s="456">
        <v>0</v>
      </c>
      <c r="DJ328" s="456">
        <v>1.03</v>
      </c>
      <c r="DK328" s="425"/>
      <c r="DL328" s="456"/>
      <c r="DM328" s="456"/>
      <c r="DN328" s="456"/>
      <c r="DO328" s="456"/>
      <c r="DP328" s="456"/>
      <c r="DQ328" s="456"/>
      <c r="DR328" s="456"/>
      <c r="DS328" s="456"/>
      <c r="DT328" s="456"/>
      <c r="DU328" s="456"/>
      <c r="DV328" s="456"/>
      <c r="DW328" s="456"/>
      <c r="DX328" s="456"/>
      <c r="DY328" s="456"/>
      <c r="DZ328" s="456"/>
      <c r="EA328" s="456"/>
      <c r="EB328" s="456"/>
      <c r="EC328" s="456"/>
      <c r="ED328" s="456"/>
      <c r="EE328" s="456">
        <v>0</v>
      </c>
      <c r="EF328" s="456">
        <v>2</v>
      </c>
      <c r="EG328" s="456">
        <v>6.5</v>
      </c>
      <c r="EH328" s="456"/>
      <c r="EI328" s="456"/>
      <c r="EJ328" s="456"/>
      <c r="EK328" s="456"/>
      <c r="EL328" s="456"/>
      <c r="EM328" s="456"/>
      <c r="EN328" s="456"/>
      <c r="EO328" s="425"/>
      <c r="EP328" s="425"/>
      <c r="EQ328" s="425" t="s">
        <v>743</v>
      </c>
      <c r="ER328" s="425">
        <v>1</v>
      </c>
      <c r="ES328" s="425">
        <v>6</v>
      </c>
      <c r="ET328" s="425">
        <v>3980</v>
      </c>
      <c r="EU328" s="457">
        <v>-80</v>
      </c>
      <c r="EV328" s="425">
        <v>35</v>
      </c>
      <c r="EW328" s="425">
        <v>7456079</v>
      </c>
      <c r="EX328" s="425">
        <v>97489</v>
      </c>
      <c r="EY328" s="666">
        <v>19</v>
      </c>
      <c r="EZ328" s="666">
        <v>19</v>
      </c>
      <c r="FA328" s="666">
        <v>0</v>
      </c>
      <c r="FB328" s="666">
        <v>1.51</v>
      </c>
      <c r="FC328" s="666">
        <v>1.49</v>
      </c>
      <c r="FD328" s="666">
        <v>0.96</v>
      </c>
      <c r="FE328" s="666">
        <v>0.75</v>
      </c>
      <c r="FF328" s="666">
        <v>40</v>
      </c>
      <c r="FG328" s="666">
        <v>2.23</v>
      </c>
      <c r="FH328" s="666">
        <v>0.95</v>
      </c>
      <c r="FI328" s="666">
        <v>1.7</v>
      </c>
      <c r="FJ328" s="666">
        <v>7.86</v>
      </c>
      <c r="FK328" s="666">
        <v>7.9</v>
      </c>
      <c r="FL328" s="666">
        <v>8.1300000000000008</v>
      </c>
      <c r="FM328" s="666">
        <v>7.6</v>
      </c>
      <c r="FN328" s="666">
        <v>0</v>
      </c>
    </row>
    <row r="329" spans="1:171" s="416" customFormat="1" ht="15">
      <c r="A329" s="425" t="s">
        <v>8</v>
      </c>
      <c r="B329" s="426">
        <v>40858</v>
      </c>
      <c r="C329" s="418">
        <v>0</v>
      </c>
      <c r="D329" s="518">
        <v>0.36</v>
      </c>
      <c r="E329" s="453">
        <v>0</v>
      </c>
      <c r="F329" s="453">
        <v>38</v>
      </c>
      <c r="G329" s="453">
        <v>0.4</v>
      </c>
      <c r="H329" s="519">
        <v>3.92</v>
      </c>
      <c r="I329" s="519">
        <v>92.86</v>
      </c>
      <c r="J329" s="483" t="s">
        <v>742</v>
      </c>
      <c r="K329" s="520">
        <v>3.55</v>
      </c>
      <c r="L329" s="453">
        <v>3.180000000000291</v>
      </c>
      <c r="M329" s="453">
        <v>17.3</v>
      </c>
      <c r="N329" s="453">
        <v>0</v>
      </c>
      <c r="O329" s="453">
        <v>0</v>
      </c>
      <c r="P329" s="453">
        <v>1.69</v>
      </c>
      <c r="Q329" s="453">
        <v>2.2195337944587723</v>
      </c>
      <c r="R329" s="453">
        <v>831.13994187582546</v>
      </c>
      <c r="S329" s="453">
        <v>0</v>
      </c>
      <c r="T329" s="453">
        <v>7.93</v>
      </c>
      <c r="U329" s="453">
        <v>0</v>
      </c>
      <c r="V329" s="453">
        <v>0.8</v>
      </c>
      <c r="W329" s="453">
        <v>32</v>
      </c>
      <c r="X329" s="456">
        <v>46.94</v>
      </c>
      <c r="Y329" s="453">
        <v>26.6</v>
      </c>
      <c r="Z329" s="453">
        <v>13.2</v>
      </c>
      <c r="AA329" s="519">
        <v>26.44</v>
      </c>
      <c r="AB329" s="519">
        <v>18.899999999999999</v>
      </c>
      <c r="AC329" s="732">
        <f t="shared" ref="AC329:AC381" si="5">SUM(AA329:AB329)</f>
        <v>45.34</v>
      </c>
      <c r="AD329" s="664"/>
      <c r="AE329" s="664"/>
      <c r="AF329" s="664"/>
      <c r="AG329" s="664"/>
      <c r="AH329" s="664"/>
      <c r="AI329" s="664"/>
      <c r="AJ329" s="485"/>
      <c r="AK329" s="485"/>
      <c r="AL329" s="485"/>
      <c r="AM329" s="485"/>
      <c r="AN329" s="485"/>
      <c r="AO329" s="665"/>
      <c r="AP329" s="485"/>
      <c r="AQ329" s="483"/>
      <c r="AR329" s="755">
        <v>0</v>
      </c>
      <c r="AS329" s="483">
        <v>10.6</v>
      </c>
      <c r="AT329" s="755">
        <v>0</v>
      </c>
      <c r="AU329" s="483">
        <v>27.1</v>
      </c>
      <c r="AV329" s="484">
        <v>402.7</v>
      </c>
      <c r="AW329" s="484">
        <v>402.6</v>
      </c>
      <c r="AX329" s="453">
        <v>0</v>
      </c>
      <c r="AY329" s="734">
        <v>0</v>
      </c>
      <c r="AZ329" s="734">
        <v>0</v>
      </c>
      <c r="BA329" s="734">
        <v>0</v>
      </c>
      <c r="BB329" s="453">
        <v>0</v>
      </c>
      <c r="BC329" s="453">
        <v>0</v>
      </c>
      <c r="BD329" s="453">
        <v>0</v>
      </c>
      <c r="BE329" s="734">
        <v>0</v>
      </c>
      <c r="BF329" s="453">
        <v>0</v>
      </c>
      <c r="BG329" s="453">
        <v>0</v>
      </c>
      <c r="BH329" s="734">
        <v>0</v>
      </c>
      <c r="BI329" s="453">
        <v>0</v>
      </c>
      <c r="BJ329" s="453">
        <v>19</v>
      </c>
      <c r="BK329" s="453">
        <v>0</v>
      </c>
      <c r="BL329" s="453">
        <v>0</v>
      </c>
      <c r="BM329" s="453">
        <v>0</v>
      </c>
      <c r="BN329" s="453">
        <v>18.7</v>
      </c>
      <c r="BO329" s="453">
        <v>1117.9000000000001</v>
      </c>
      <c r="BP329" s="453">
        <v>0</v>
      </c>
      <c r="BQ329" s="453">
        <v>19.2</v>
      </c>
      <c r="BR329" s="453">
        <v>19.100000000000001</v>
      </c>
      <c r="BS329" s="453">
        <v>0</v>
      </c>
      <c r="BT329" s="453">
        <v>25.2</v>
      </c>
      <c r="BU329" s="453">
        <v>19.5</v>
      </c>
      <c r="BV329" s="456">
        <v>490.9</v>
      </c>
      <c r="BW329" s="453">
        <v>2.46</v>
      </c>
      <c r="BX329" s="453">
        <v>1.53</v>
      </c>
      <c r="BY329" s="456">
        <v>0.89</v>
      </c>
      <c r="BZ329" s="456">
        <v>15.58</v>
      </c>
      <c r="CA329" s="456">
        <v>32.6</v>
      </c>
      <c r="CB329" s="456">
        <v>13.56</v>
      </c>
      <c r="CC329" s="456">
        <v>9.4</v>
      </c>
      <c r="CD329" s="456">
        <v>13.63</v>
      </c>
      <c r="CE329" s="456">
        <v>17.77</v>
      </c>
      <c r="CF329" s="456">
        <v>13.32</v>
      </c>
      <c r="CG329" s="456">
        <v>492.8</v>
      </c>
      <c r="CH329" s="456">
        <v>2.1</v>
      </c>
      <c r="CI329" s="456">
        <v>3.1</v>
      </c>
      <c r="CJ329" s="456">
        <v>501.1</v>
      </c>
      <c r="CK329" s="456">
        <v>394.8</v>
      </c>
      <c r="CL329" s="456">
        <v>530.1</v>
      </c>
      <c r="CM329" s="456">
        <v>12.7</v>
      </c>
      <c r="CN329" s="456">
        <v>1.67</v>
      </c>
      <c r="CO329" s="453">
        <v>0</v>
      </c>
      <c r="CP329" s="453">
        <v>15.27</v>
      </c>
      <c r="CQ329" s="453">
        <v>49</v>
      </c>
      <c r="CR329" s="456">
        <v>0</v>
      </c>
      <c r="CS329" s="456">
        <v>0</v>
      </c>
      <c r="CT329" s="456">
        <v>0</v>
      </c>
      <c r="CU329" s="456">
        <v>0</v>
      </c>
      <c r="CV329" s="481">
        <v>343.95833333333331</v>
      </c>
      <c r="CW329" s="481">
        <v>508.44791666666669</v>
      </c>
      <c r="CX329" s="481">
        <v>324.01041666666669</v>
      </c>
      <c r="CY329" s="481">
        <v>1076.6600000000001</v>
      </c>
      <c r="CZ329" s="456"/>
      <c r="DA329" s="456"/>
      <c r="DB329" s="456"/>
      <c r="DC329" s="456"/>
      <c r="DD329" s="456"/>
      <c r="DE329" s="456"/>
      <c r="DF329" s="456"/>
      <c r="DG329" s="425"/>
      <c r="DH329" s="456">
        <v>0</v>
      </c>
      <c r="DI329" s="456">
        <v>0</v>
      </c>
      <c r="DJ329" s="456">
        <v>1.04</v>
      </c>
      <c r="DK329" s="425"/>
      <c r="DL329" s="456"/>
      <c r="DM329" s="456"/>
      <c r="DN329" s="456"/>
      <c r="DO329" s="456"/>
      <c r="DP329" s="456"/>
      <c r="DQ329" s="456"/>
      <c r="DR329" s="456"/>
      <c r="DS329" s="456"/>
      <c r="DT329" s="456"/>
      <c r="DU329" s="456"/>
      <c r="DV329" s="456"/>
      <c r="DW329" s="456"/>
      <c r="DX329" s="456"/>
      <c r="DY329" s="456"/>
      <c r="DZ329" s="456"/>
      <c r="EA329" s="456"/>
      <c r="EB329" s="456"/>
      <c r="EC329" s="456"/>
      <c r="ED329" s="456"/>
      <c r="EE329" s="456">
        <v>0</v>
      </c>
      <c r="EF329" s="456">
        <v>2</v>
      </c>
      <c r="EG329" s="456">
        <v>6.5</v>
      </c>
      <c r="EH329" s="456"/>
      <c r="EI329" s="456"/>
      <c r="EJ329" s="456"/>
      <c r="EK329" s="456"/>
      <c r="EL329" s="456"/>
      <c r="EM329" s="456"/>
      <c r="EN329" s="456"/>
      <c r="EO329" s="425"/>
      <c r="EP329" s="425"/>
      <c r="EQ329" s="425" t="s">
        <v>743</v>
      </c>
      <c r="ER329" s="425">
        <v>1</v>
      </c>
      <c r="ES329" s="425">
        <v>6</v>
      </c>
      <c r="ET329" s="425">
        <v>3920</v>
      </c>
      <c r="EU329" s="457">
        <v>-80</v>
      </c>
      <c r="EV329" s="425">
        <v>80</v>
      </c>
      <c r="EW329" s="425">
        <v>7460003</v>
      </c>
      <c r="EX329" s="425">
        <v>98785</v>
      </c>
      <c r="EY329" s="666">
        <v>19.45</v>
      </c>
      <c r="EZ329" s="666">
        <v>19.45</v>
      </c>
      <c r="FA329" s="666">
        <v>0</v>
      </c>
      <c r="FB329" s="666">
        <v>1.43</v>
      </c>
      <c r="FC329" s="666">
        <v>1.39</v>
      </c>
      <c r="FD329" s="666">
        <v>1.01</v>
      </c>
      <c r="FE329" s="666">
        <v>0.88</v>
      </c>
      <c r="FF329" s="666">
        <v>60</v>
      </c>
      <c r="FG329" s="666">
        <v>2.42</v>
      </c>
      <c r="FH329" s="666">
        <v>0.96</v>
      </c>
      <c r="FI329" s="666">
        <v>1.72</v>
      </c>
      <c r="FJ329" s="666">
        <v>7.84</v>
      </c>
      <c r="FK329" s="666">
        <v>7.9</v>
      </c>
      <c r="FL329" s="666">
        <v>8.1199999999999992</v>
      </c>
      <c r="FM329" s="666">
        <v>7.6</v>
      </c>
      <c r="FN329" s="666">
        <v>0</v>
      </c>
    </row>
    <row r="330" spans="1:171" s="416" customFormat="1" ht="15">
      <c r="A330" s="425" t="s">
        <v>9</v>
      </c>
      <c r="B330" s="426">
        <v>40859</v>
      </c>
      <c r="C330" s="418">
        <v>0</v>
      </c>
      <c r="D330" s="518">
        <v>0.61</v>
      </c>
      <c r="E330" s="453">
        <v>0</v>
      </c>
      <c r="F330" s="453">
        <v>46</v>
      </c>
      <c r="G330" s="453">
        <v>1</v>
      </c>
      <c r="H330" s="519">
        <v>29.2</v>
      </c>
      <c r="I330" s="519">
        <v>92.9</v>
      </c>
      <c r="J330" s="483" t="s">
        <v>742</v>
      </c>
      <c r="K330" s="520">
        <v>2.4900000000000002</v>
      </c>
      <c r="L330" s="453">
        <v>42.25</v>
      </c>
      <c r="M330" s="453">
        <v>10</v>
      </c>
      <c r="N330" s="453">
        <v>0</v>
      </c>
      <c r="O330" s="453">
        <v>0</v>
      </c>
      <c r="P330" s="453">
        <v>1.59</v>
      </c>
      <c r="Q330" s="453">
        <v>1.9125319242624392</v>
      </c>
      <c r="R330" s="453">
        <v>717.77323117569335</v>
      </c>
      <c r="S330" s="453">
        <v>0</v>
      </c>
      <c r="T330" s="453">
        <v>7.95</v>
      </c>
      <c r="U330" s="453">
        <v>0</v>
      </c>
      <c r="V330" s="453">
        <v>0.79</v>
      </c>
      <c r="W330" s="453">
        <v>32</v>
      </c>
      <c r="X330" s="456">
        <v>45.14</v>
      </c>
      <c r="Y330" s="453">
        <v>26.61</v>
      </c>
      <c r="Z330" s="453">
        <v>18.989999999999998</v>
      </c>
      <c r="AA330" s="519">
        <v>26.49</v>
      </c>
      <c r="AB330" s="519">
        <v>19.079999999999998</v>
      </c>
      <c r="AC330" s="732">
        <f t="shared" si="5"/>
        <v>45.569999999999993</v>
      </c>
      <c r="AD330" s="664"/>
      <c r="AE330" s="664"/>
      <c r="AF330" s="664"/>
      <c r="AG330" s="664"/>
      <c r="AH330" s="664"/>
      <c r="AI330" s="664"/>
      <c r="AJ330" s="485"/>
      <c r="AK330" s="485"/>
      <c r="AL330" s="485"/>
      <c r="AM330" s="485"/>
      <c r="AN330" s="485"/>
      <c r="AO330" s="665"/>
      <c r="AP330" s="485"/>
      <c r="AQ330" s="483"/>
      <c r="AR330" s="755">
        <v>0</v>
      </c>
      <c r="AS330" s="483">
        <v>11</v>
      </c>
      <c r="AT330" s="755">
        <v>0</v>
      </c>
      <c r="AU330" s="483">
        <v>27.3</v>
      </c>
      <c r="AV330" s="484">
        <v>446.4</v>
      </c>
      <c r="AW330" s="484">
        <v>401.7</v>
      </c>
      <c r="AX330" s="453">
        <v>0</v>
      </c>
      <c r="AY330" s="734">
        <v>0</v>
      </c>
      <c r="AZ330" s="734">
        <v>0</v>
      </c>
      <c r="BA330" s="734">
        <v>0</v>
      </c>
      <c r="BB330" s="453">
        <v>0</v>
      </c>
      <c r="BC330" s="453">
        <v>0</v>
      </c>
      <c r="BD330" s="453">
        <v>0</v>
      </c>
      <c r="BE330" s="734">
        <v>0</v>
      </c>
      <c r="BF330" s="453">
        <v>0</v>
      </c>
      <c r="BG330" s="453">
        <v>0</v>
      </c>
      <c r="BH330" s="734">
        <v>0</v>
      </c>
      <c r="BI330" s="453">
        <v>0</v>
      </c>
      <c r="BJ330" s="453">
        <v>19.100000000000001</v>
      </c>
      <c r="BK330" s="453">
        <v>0</v>
      </c>
      <c r="BL330" s="453">
        <v>0</v>
      </c>
      <c r="BM330" s="453">
        <v>0</v>
      </c>
      <c r="BN330" s="453">
        <v>18.899999999999999</v>
      </c>
      <c r="BO330" s="453">
        <v>1635.7</v>
      </c>
      <c r="BP330" s="453">
        <v>0</v>
      </c>
      <c r="BQ330" s="453">
        <v>19.100000000000001</v>
      </c>
      <c r="BR330" s="453">
        <v>19</v>
      </c>
      <c r="BS330" s="453">
        <v>0</v>
      </c>
      <c r="BT330" s="453">
        <v>25.2</v>
      </c>
      <c r="BU330" s="453">
        <v>22</v>
      </c>
      <c r="BV330" s="456">
        <v>425.3</v>
      </c>
      <c r="BW330" s="453">
        <v>1.82</v>
      </c>
      <c r="BX330" s="453">
        <v>1.54</v>
      </c>
      <c r="BY330" s="456">
        <v>0.9</v>
      </c>
      <c r="BZ330" s="456">
        <v>15.45</v>
      </c>
      <c r="CA330" s="456">
        <v>32.700000000000003</v>
      </c>
      <c r="CB330" s="456">
        <v>12.74</v>
      </c>
      <c r="CC330" s="456">
        <v>8.8699999999999992</v>
      </c>
      <c r="CD330" s="456">
        <v>13.11</v>
      </c>
      <c r="CE330" s="456">
        <v>17.28</v>
      </c>
      <c r="CF330" s="456">
        <v>13.31</v>
      </c>
      <c r="CG330" s="456">
        <v>540.6</v>
      </c>
      <c r="CH330" s="456">
        <v>2.5</v>
      </c>
      <c r="CI330" s="456">
        <v>3.4</v>
      </c>
      <c r="CJ330" s="456">
        <v>502</v>
      </c>
      <c r="CK330" s="456">
        <v>407.6</v>
      </c>
      <c r="CL330" s="456">
        <v>524.79999999999995</v>
      </c>
      <c r="CM330" s="456">
        <v>13.1</v>
      </c>
      <c r="CN330" s="456">
        <v>1.17</v>
      </c>
      <c r="CO330" s="453">
        <v>0</v>
      </c>
      <c r="CP330" s="453">
        <v>16.600000000000001</v>
      </c>
      <c r="CQ330" s="453">
        <v>48</v>
      </c>
      <c r="CR330" s="456">
        <v>0</v>
      </c>
      <c r="CS330" s="456">
        <v>0</v>
      </c>
      <c r="CT330" s="456">
        <v>0</v>
      </c>
      <c r="CU330" s="456">
        <v>0</v>
      </c>
      <c r="CV330" s="481">
        <v>456.16666666666669</v>
      </c>
      <c r="CW330" s="481">
        <v>545.34375</v>
      </c>
      <c r="CX330" s="481">
        <v>484.55208333333331</v>
      </c>
      <c r="CY330" s="481">
        <v>1076.4100000000001</v>
      </c>
      <c r="CZ330" s="456"/>
      <c r="DA330" s="456"/>
      <c r="DB330" s="456"/>
      <c r="DC330" s="456"/>
      <c r="DD330" s="456"/>
      <c r="DE330" s="456"/>
      <c r="DF330" s="456"/>
      <c r="DG330" s="425"/>
      <c r="DH330" s="456">
        <v>0</v>
      </c>
      <c r="DI330" s="456">
        <v>0</v>
      </c>
      <c r="DJ330" s="456">
        <v>1.17</v>
      </c>
      <c r="DK330" s="425"/>
      <c r="DL330" s="456"/>
      <c r="DM330" s="456"/>
      <c r="DN330" s="456"/>
      <c r="DO330" s="456"/>
      <c r="DP330" s="456"/>
      <c r="DQ330" s="456"/>
      <c r="DR330" s="456"/>
      <c r="DS330" s="456"/>
      <c r="DT330" s="456"/>
      <c r="DU330" s="456"/>
      <c r="DV330" s="456"/>
      <c r="DW330" s="456"/>
      <c r="DX330" s="456"/>
      <c r="DY330" s="456"/>
      <c r="DZ330" s="456"/>
      <c r="EA330" s="456"/>
      <c r="EB330" s="456"/>
      <c r="EC330" s="456"/>
      <c r="ED330" s="456"/>
      <c r="EE330" s="456">
        <v>0</v>
      </c>
      <c r="EF330" s="456">
        <v>2</v>
      </c>
      <c r="EG330" s="456">
        <v>6.5</v>
      </c>
      <c r="EH330" s="456"/>
      <c r="EI330" s="456"/>
      <c r="EJ330" s="456"/>
      <c r="EK330" s="456"/>
      <c r="EL330" s="456"/>
      <c r="EM330" s="456"/>
      <c r="EN330" s="456"/>
      <c r="EO330" s="425"/>
      <c r="EP330" s="425"/>
      <c r="EQ330" s="425" t="s">
        <v>743</v>
      </c>
      <c r="ER330" s="425">
        <v>1</v>
      </c>
      <c r="ES330" s="425">
        <v>6</v>
      </c>
      <c r="ET330" s="425">
        <v>3850</v>
      </c>
      <c r="EU330" s="457">
        <v>-80</v>
      </c>
      <c r="EV330" s="425">
        <v>50</v>
      </c>
      <c r="EW330" s="425">
        <v>7462167</v>
      </c>
      <c r="EX330" s="425">
        <v>119</v>
      </c>
      <c r="EY330" s="666">
        <v>19.45</v>
      </c>
      <c r="EZ330" s="666">
        <v>19.45</v>
      </c>
      <c r="FA330" s="666">
        <v>0</v>
      </c>
      <c r="FB330" s="666">
        <v>1.61</v>
      </c>
      <c r="FC330" s="666">
        <v>1.55</v>
      </c>
      <c r="FD330" s="666">
        <v>0.93</v>
      </c>
      <c r="FE330" s="666">
        <v>0.96</v>
      </c>
      <c r="FF330" s="666">
        <v>70</v>
      </c>
      <c r="FG330" s="666">
        <v>0.71</v>
      </c>
      <c r="FH330" s="666">
        <v>0.81</v>
      </c>
      <c r="FI330" s="666">
        <v>1.44</v>
      </c>
      <c r="FJ330" s="666">
        <v>7.9</v>
      </c>
      <c r="FK330" s="666">
        <v>8</v>
      </c>
      <c r="FL330" s="666">
        <v>8.2200000000000006</v>
      </c>
      <c r="FM330" s="666">
        <v>7.5</v>
      </c>
      <c r="FN330" s="666">
        <v>0</v>
      </c>
    </row>
    <row r="331" spans="1:171" s="416" customFormat="1" ht="15">
      <c r="A331" s="425" t="s">
        <v>3</v>
      </c>
      <c r="B331" s="426">
        <v>40860</v>
      </c>
      <c r="C331" s="418">
        <v>0</v>
      </c>
      <c r="D331" s="518">
        <v>0.31</v>
      </c>
      <c r="E331" s="453">
        <v>0</v>
      </c>
      <c r="F331" s="453">
        <v>44</v>
      </c>
      <c r="G331" s="453">
        <v>0.8</v>
      </c>
      <c r="H331" s="519">
        <v>22.36</v>
      </c>
      <c r="I331" s="519">
        <v>83.6</v>
      </c>
      <c r="J331" s="483" t="s">
        <v>742</v>
      </c>
      <c r="K331" s="520">
        <v>1.93</v>
      </c>
      <c r="L331" s="453">
        <v>41.050000000001091</v>
      </c>
      <c r="M331" s="453">
        <v>7.3</v>
      </c>
      <c r="N331" s="453">
        <v>0</v>
      </c>
      <c r="O331" s="453">
        <v>0</v>
      </c>
      <c r="P331" s="453">
        <v>1.55</v>
      </c>
      <c r="Q331" s="453">
        <v>1.8947429172384727</v>
      </c>
      <c r="R331" s="453">
        <v>716.15370673712005</v>
      </c>
      <c r="S331" s="453">
        <v>0</v>
      </c>
      <c r="T331" s="453">
        <v>7.94</v>
      </c>
      <c r="U331" s="453">
        <v>0</v>
      </c>
      <c r="V331" s="453">
        <v>0.81</v>
      </c>
      <c r="W331" s="453">
        <v>32</v>
      </c>
      <c r="X331" s="456">
        <v>44.960000000000008</v>
      </c>
      <c r="Y331" s="453">
        <v>26.39</v>
      </c>
      <c r="Z331" s="453">
        <v>19.190000000000001</v>
      </c>
      <c r="AA331" s="519">
        <v>26.970000000001164</v>
      </c>
      <c r="AB331" s="519">
        <v>18.47</v>
      </c>
      <c r="AC331" s="732">
        <f t="shared" si="5"/>
        <v>45.440000000001163</v>
      </c>
      <c r="AD331" s="664"/>
      <c r="AE331" s="664"/>
      <c r="AF331" s="664"/>
      <c r="AG331" s="664"/>
      <c r="AH331" s="664"/>
      <c r="AI331" s="664"/>
      <c r="AJ331" s="485"/>
      <c r="AK331" s="485"/>
      <c r="AL331" s="485"/>
      <c r="AM331" s="485"/>
      <c r="AN331" s="485"/>
      <c r="AO331" s="665"/>
      <c r="AP331" s="485"/>
      <c r="AQ331" s="483"/>
      <c r="AR331" s="755">
        <v>0</v>
      </c>
      <c r="AS331" s="483">
        <v>11.5</v>
      </c>
      <c r="AT331" s="755">
        <v>0</v>
      </c>
      <c r="AU331" s="483">
        <v>27.8</v>
      </c>
      <c r="AV331" s="484">
        <v>503.3</v>
      </c>
      <c r="AW331" s="484">
        <v>494</v>
      </c>
      <c r="AX331" s="453">
        <v>0</v>
      </c>
      <c r="AY331" s="734">
        <v>0</v>
      </c>
      <c r="AZ331" s="734">
        <v>0</v>
      </c>
      <c r="BA331" s="734">
        <v>0</v>
      </c>
      <c r="BB331" s="453">
        <v>0</v>
      </c>
      <c r="BC331" s="453">
        <v>0</v>
      </c>
      <c r="BD331" s="453">
        <v>0</v>
      </c>
      <c r="BE331" s="734">
        <v>0</v>
      </c>
      <c r="BF331" s="453">
        <v>0</v>
      </c>
      <c r="BG331" s="453">
        <v>0</v>
      </c>
      <c r="BH331" s="734">
        <v>0</v>
      </c>
      <c r="BI331" s="453">
        <v>0</v>
      </c>
      <c r="BJ331" s="453">
        <v>18.5</v>
      </c>
      <c r="BK331" s="453">
        <v>0</v>
      </c>
      <c r="BL331" s="453">
        <v>0</v>
      </c>
      <c r="BM331" s="453">
        <v>0</v>
      </c>
      <c r="BN331" s="453">
        <v>18.3</v>
      </c>
      <c r="BO331" s="453">
        <v>894.8</v>
      </c>
      <c r="BP331" s="453">
        <v>0</v>
      </c>
      <c r="BQ331" s="453">
        <v>19.2</v>
      </c>
      <c r="BR331" s="453">
        <v>19.100000000000001</v>
      </c>
      <c r="BS331" s="453">
        <v>0</v>
      </c>
      <c r="BT331" s="453">
        <v>25.4</v>
      </c>
      <c r="BU331" s="453">
        <v>21.1</v>
      </c>
      <c r="BV331" s="456">
        <v>443.7</v>
      </c>
      <c r="BW331" s="453">
        <v>1.52</v>
      </c>
      <c r="BX331" s="453">
        <v>1.57</v>
      </c>
      <c r="BY331" s="456">
        <v>0.89</v>
      </c>
      <c r="BZ331" s="456">
        <v>15.6</v>
      </c>
      <c r="CA331" s="456">
        <v>32.700000000000003</v>
      </c>
      <c r="CB331" s="456">
        <v>13.38</v>
      </c>
      <c r="CC331" s="456">
        <v>9.33</v>
      </c>
      <c r="CD331" s="456">
        <v>13.59</v>
      </c>
      <c r="CE331" s="456">
        <v>17.670000000000002</v>
      </c>
      <c r="CF331" s="456">
        <v>13.69</v>
      </c>
      <c r="CG331" s="456">
        <v>492.8</v>
      </c>
      <c r="CH331" s="456">
        <v>2</v>
      </c>
      <c r="CI331" s="456">
        <v>2.5</v>
      </c>
      <c r="CJ331" s="456">
        <v>535.5</v>
      </c>
      <c r="CK331" s="456">
        <v>402.1</v>
      </c>
      <c r="CL331" s="456">
        <v>535.1</v>
      </c>
      <c r="CM331" s="456">
        <v>13.4</v>
      </c>
      <c r="CN331" s="456">
        <v>1.73</v>
      </c>
      <c r="CO331" s="453">
        <v>0</v>
      </c>
      <c r="CP331" s="453">
        <v>16.36</v>
      </c>
      <c r="CQ331" s="453">
        <v>48</v>
      </c>
      <c r="CR331" s="456">
        <v>0</v>
      </c>
      <c r="CS331" s="456">
        <v>0</v>
      </c>
      <c r="CT331" s="456">
        <v>0</v>
      </c>
      <c r="CU331" s="456">
        <v>0</v>
      </c>
      <c r="CV331" s="481">
        <v>579.83333333333337</v>
      </c>
      <c r="CW331" s="481">
        <v>803.35416666666663</v>
      </c>
      <c r="CX331" s="481">
        <v>637.52083333333337</v>
      </c>
      <c r="CY331" s="481">
        <v>1080.03</v>
      </c>
      <c r="CZ331" s="456"/>
      <c r="DA331" s="456"/>
      <c r="DB331" s="456"/>
      <c r="DC331" s="456"/>
      <c r="DD331" s="456"/>
      <c r="DE331" s="456"/>
      <c r="DF331" s="456"/>
      <c r="DG331" s="425"/>
      <c r="DH331" s="456">
        <v>0</v>
      </c>
      <c r="DI331" s="456">
        <v>0</v>
      </c>
      <c r="DJ331" s="456">
        <v>1.1599999999999999</v>
      </c>
      <c r="DK331" s="425"/>
      <c r="DL331" s="456"/>
      <c r="DM331" s="456"/>
      <c r="DN331" s="456"/>
      <c r="DO331" s="456"/>
      <c r="DP331" s="456"/>
      <c r="DQ331" s="456"/>
      <c r="DR331" s="456"/>
      <c r="DS331" s="456"/>
      <c r="DT331" s="456"/>
      <c r="DU331" s="456"/>
      <c r="DV331" s="456"/>
      <c r="DW331" s="456"/>
      <c r="DX331" s="456"/>
      <c r="DY331" s="456"/>
      <c r="DZ331" s="456"/>
      <c r="EA331" s="456"/>
      <c r="EB331" s="456"/>
      <c r="EC331" s="456"/>
      <c r="ED331" s="456"/>
      <c r="EE331" s="456">
        <v>0</v>
      </c>
      <c r="EF331" s="456">
        <v>2</v>
      </c>
      <c r="EG331" s="456">
        <v>6.5</v>
      </c>
      <c r="EH331" s="456"/>
      <c r="EI331" s="456"/>
      <c r="EJ331" s="456"/>
      <c r="EK331" s="456"/>
      <c r="EL331" s="456"/>
      <c r="EM331" s="456"/>
      <c r="EN331" s="456"/>
      <c r="EO331" s="425"/>
      <c r="EP331" s="425"/>
      <c r="EQ331" s="425" t="s">
        <v>743</v>
      </c>
      <c r="ER331" s="425">
        <v>1</v>
      </c>
      <c r="ES331" s="425">
        <v>6</v>
      </c>
      <c r="ET331" s="425">
        <v>3770</v>
      </c>
      <c r="EU331" s="457">
        <v>-80</v>
      </c>
      <c r="EV331" s="425">
        <v>100</v>
      </c>
      <c r="EW331" s="425">
        <v>7464535</v>
      </c>
      <c r="EX331" s="425">
        <v>1471</v>
      </c>
      <c r="EY331" s="666">
        <v>19.25</v>
      </c>
      <c r="EZ331" s="666">
        <v>19.25</v>
      </c>
      <c r="FA331" s="666">
        <v>0</v>
      </c>
      <c r="FB331" s="666">
        <v>1.35</v>
      </c>
      <c r="FC331" s="666">
        <v>1.35</v>
      </c>
      <c r="FD331" s="666">
        <v>1</v>
      </c>
      <c r="FE331" s="666">
        <v>1.04</v>
      </c>
      <c r="FF331" s="666">
        <v>80</v>
      </c>
      <c r="FG331" s="666">
        <v>1.18</v>
      </c>
      <c r="FH331" s="666">
        <v>0.69</v>
      </c>
      <c r="FI331" s="666">
        <v>1.19</v>
      </c>
      <c r="FJ331" s="666">
        <v>7.78</v>
      </c>
      <c r="FK331" s="666">
        <v>7.9</v>
      </c>
      <c r="FL331" s="666">
        <v>8.2100000000000009</v>
      </c>
      <c r="FM331" s="666">
        <v>7.5</v>
      </c>
      <c r="FN331" s="666">
        <v>0</v>
      </c>
    </row>
    <row r="332" spans="1:171" s="416" customFormat="1" ht="15">
      <c r="A332" s="425" t="s">
        <v>4</v>
      </c>
      <c r="B332" s="426">
        <v>40861</v>
      </c>
      <c r="C332" s="418">
        <v>0</v>
      </c>
      <c r="D332" s="518">
        <v>0.01</v>
      </c>
      <c r="E332" s="453">
        <v>0</v>
      </c>
      <c r="F332" s="453">
        <v>32</v>
      </c>
      <c r="G332" s="453">
        <v>1.2</v>
      </c>
      <c r="H332" s="519">
        <v>0</v>
      </c>
      <c r="I332" s="519">
        <v>80.7</v>
      </c>
      <c r="J332" s="483" t="s">
        <v>742</v>
      </c>
      <c r="K332" s="520">
        <v>1.44</v>
      </c>
      <c r="L332" s="453">
        <v>36.420000000000073</v>
      </c>
      <c r="M332" s="453">
        <v>7.4</v>
      </c>
      <c r="N332" s="453">
        <v>0</v>
      </c>
      <c r="O332" s="453">
        <v>0</v>
      </c>
      <c r="P332" s="453">
        <v>1.6</v>
      </c>
      <c r="Q332" s="453">
        <v>1.8284156558777707</v>
      </c>
      <c r="R332" s="453">
        <v>589.83080052840148</v>
      </c>
      <c r="S332" s="453">
        <v>0</v>
      </c>
      <c r="T332" s="453">
        <v>8.1999999999999993</v>
      </c>
      <c r="U332" s="453">
        <v>0</v>
      </c>
      <c r="V332" s="453">
        <v>0.84</v>
      </c>
      <c r="W332" s="453">
        <v>32</v>
      </c>
      <c r="X332" s="456">
        <v>48.019999999999996</v>
      </c>
      <c r="Y332" s="453">
        <v>26.89</v>
      </c>
      <c r="Z332" s="453">
        <v>14.38</v>
      </c>
      <c r="AA332" s="519">
        <v>26.74</v>
      </c>
      <c r="AB332" s="519">
        <v>11.19</v>
      </c>
      <c r="AC332" s="732">
        <f t="shared" si="5"/>
        <v>37.93</v>
      </c>
      <c r="AD332" s="664"/>
      <c r="AE332" s="664"/>
      <c r="AF332" s="664"/>
      <c r="AG332" s="664"/>
      <c r="AH332" s="664"/>
      <c r="AI332" s="664"/>
      <c r="AJ332" s="485"/>
      <c r="AK332" s="485"/>
      <c r="AL332" s="485"/>
      <c r="AM332" s="485"/>
      <c r="AN332" s="485"/>
      <c r="AO332" s="665"/>
      <c r="AP332" s="485"/>
      <c r="AQ332" s="483"/>
      <c r="AR332" s="755">
        <v>0</v>
      </c>
      <c r="AS332" s="483">
        <v>10.5</v>
      </c>
      <c r="AT332" s="755">
        <v>0</v>
      </c>
      <c r="AU332" s="483">
        <v>27.8</v>
      </c>
      <c r="AV332" s="484">
        <v>318</v>
      </c>
      <c r="AW332" s="484">
        <v>372</v>
      </c>
      <c r="AX332" s="453">
        <v>0</v>
      </c>
      <c r="AY332" s="734">
        <v>0</v>
      </c>
      <c r="AZ332" s="734">
        <v>0</v>
      </c>
      <c r="BA332" s="734">
        <v>0</v>
      </c>
      <c r="BB332" s="453">
        <v>0</v>
      </c>
      <c r="BC332" s="453">
        <v>0</v>
      </c>
      <c r="BD332" s="453">
        <v>0</v>
      </c>
      <c r="BE332" s="734">
        <v>0</v>
      </c>
      <c r="BF332" s="453">
        <v>0</v>
      </c>
      <c r="BG332" s="453">
        <v>0</v>
      </c>
      <c r="BH332" s="734">
        <v>0</v>
      </c>
      <c r="BI332" s="453">
        <v>0</v>
      </c>
      <c r="BJ332" s="453">
        <v>11.2</v>
      </c>
      <c r="BK332" s="453">
        <v>0</v>
      </c>
      <c r="BL332" s="453">
        <v>0</v>
      </c>
      <c r="BM332" s="453">
        <v>0</v>
      </c>
      <c r="BN332" s="453">
        <v>11.1</v>
      </c>
      <c r="BO332" s="453">
        <v>1690.3</v>
      </c>
      <c r="BP332" s="453">
        <v>0</v>
      </c>
      <c r="BQ332" s="453">
        <v>17.899999999999999</v>
      </c>
      <c r="BR332" s="453">
        <v>17.899999999999999</v>
      </c>
      <c r="BS332" s="453">
        <v>0</v>
      </c>
      <c r="BT332" s="453">
        <v>25.7</v>
      </c>
      <c r="BU332" s="453">
        <v>28</v>
      </c>
      <c r="BV332" s="456">
        <v>440.1</v>
      </c>
      <c r="BW332" s="453">
        <v>1.27</v>
      </c>
      <c r="BX332" s="453">
        <v>1.36</v>
      </c>
      <c r="BY332" s="456">
        <v>0.89</v>
      </c>
      <c r="BZ332" s="456">
        <v>15.2</v>
      </c>
      <c r="CA332" s="456">
        <v>32.299999999999997</v>
      </c>
      <c r="CB332" s="456">
        <v>14.6</v>
      </c>
      <c r="CC332" s="456">
        <v>10.5</v>
      </c>
      <c r="CD332" s="456">
        <v>14.7</v>
      </c>
      <c r="CE332" s="456">
        <v>19</v>
      </c>
      <c r="CF332" s="456">
        <v>12.9</v>
      </c>
      <c r="CG332" s="456">
        <v>514.1</v>
      </c>
      <c r="CH332" s="456">
        <v>2.4</v>
      </c>
      <c r="CI332" s="456">
        <v>4</v>
      </c>
      <c r="CJ332" s="456">
        <v>518.79999999999995</v>
      </c>
      <c r="CK332" s="456">
        <v>374.8</v>
      </c>
      <c r="CL332" s="456">
        <v>575.79999999999995</v>
      </c>
      <c r="CM332" s="456">
        <v>12.9</v>
      </c>
      <c r="CN332" s="456">
        <v>1.7</v>
      </c>
      <c r="CO332" s="453">
        <v>0</v>
      </c>
      <c r="CP332" s="453">
        <v>16.5</v>
      </c>
      <c r="CQ332" s="453">
        <v>48</v>
      </c>
      <c r="CR332" s="456">
        <v>0</v>
      </c>
      <c r="CS332" s="456">
        <v>0</v>
      </c>
      <c r="CT332" s="456">
        <v>0</v>
      </c>
      <c r="CU332" s="456">
        <v>0</v>
      </c>
      <c r="CV332" s="481">
        <v>920.08333333333337</v>
      </c>
      <c r="CW332" s="481">
        <v>934.10416666666663</v>
      </c>
      <c r="CX332" s="481">
        <v>941.70833333333337</v>
      </c>
      <c r="CY332" s="481">
        <v>1083.8800000000001</v>
      </c>
      <c r="CZ332" s="456"/>
      <c r="DA332" s="456"/>
      <c r="DB332" s="456"/>
      <c r="DC332" s="456"/>
      <c r="DD332" s="456"/>
      <c r="DE332" s="456"/>
      <c r="DF332" s="456"/>
      <c r="DG332" s="425"/>
      <c r="DH332" s="456">
        <v>0</v>
      </c>
      <c r="DI332" s="456">
        <v>0</v>
      </c>
      <c r="DJ332" s="456">
        <v>1.0900000000000001</v>
      </c>
      <c r="DK332" s="425"/>
      <c r="DL332" s="456"/>
      <c r="DM332" s="456"/>
      <c r="DN332" s="456"/>
      <c r="DO332" s="456"/>
      <c r="DP332" s="456"/>
      <c r="DQ332" s="456"/>
      <c r="DR332" s="456"/>
      <c r="DS332" s="456"/>
      <c r="DT332" s="456"/>
      <c r="DU332" s="456"/>
      <c r="DV332" s="456"/>
      <c r="DW332" s="456"/>
      <c r="DX332" s="456"/>
      <c r="DY332" s="456"/>
      <c r="DZ332" s="456"/>
      <c r="EA332" s="456"/>
      <c r="EB332" s="456"/>
      <c r="EC332" s="456"/>
      <c r="ED332" s="456"/>
      <c r="EE332" s="456">
        <v>0</v>
      </c>
      <c r="EF332" s="456">
        <v>2</v>
      </c>
      <c r="EG332" s="456">
        <v>6.5</v>
      </c>
      <c r="EH332" s="456"/>
      <c r="EI332" s="456"/>
      <c r="EJ332" s="456"/>
      <c r="EK332" s="456"/>
      <c r="EL332" s="456"/>
      <c r="EM332" s="456"/>
      <c r="EN332" s="456"/>
      <c r="EO332" s="425"/>
      <c r="EP332" s="425"/>
      <c r="EQ332" s="425" t="s">
        <v>743</v>
      </c>
      <c r="ER332" s="425">
        <v>1</v>
      </c>
      <c r="ES332" s="425">
        <v>6</v>
      </c>
      <c r="ET332" s="425">
        <v>3660</v>
      </c>
      <c r="EU332" s="457">
        <v>-80</v>
      </c>
      <c r="EV332" s="425">
        <v>130</v>
      </c>
      <c r="EW332" s="425">
        <v>7467521</v>
      </c>
      <c r="EX332" s="425">
        <v>1765</v>
      </c>
      <c r="EY332" s="666">
        <v>17.649999999999999</v>
      </c>
      <c r="EZ332" s="666">
        <v>17.600000000000001</v>
      </c>
      <c r="FA332" s="666">
        <v>0</v>
      </c>
      <c r="FB332" s="666">
        <v>1.4</v>
      </c>
      <c r="FC332" s="666">
        <v>1.38</v>
      </c>
      <c r="FD332" s="666">
        <v>0.99</v>
      </c>
      <c r="FE332" s="666">
        <v>1.01</v>
      </c>
      <c r="FF332" s="666">
        <v>110</v>
      </c>
      <c r="FG332" s="666">
        <v>0.34</v>
      </c>
      <c r="FH332" s="666">
        <v>0.57999999999999996</v>
      </c>
      <c r="FI332" s="666">
        <v>0.94</v>
      </c>
      <c r="FJ332" s="666">
        <v>8.0399999999999991</v>
      </c>
      <c r="FK332" s="666">
        <v>8</v>
      </c>
      <c r="FL332" s="666">
        <v>7.94</v>
      </c>
      <c r="FM332" s="666">
        <v>7.5</v>
      </c>
      <c r="FN332" s="666">
        <v>0</v>
      </c>
    </row>
    <row r="333" spans="1:171" s="416" customFormat="1" ht="15">
      <c r="A333" s="425" t="s">
        <v>5</v>
      </c>
      <c r="B333" s="426">
        <v>40862</v>
      </c>
      <c r="C333" s="418">
        <v>0</v>
      </c>
      <c r="D333" s="518">
        <v>0</v>
      </c>
      <c r="E333" s="453">
        <v>0</v>
      </c>
      <c r="F333" s="453">
        <v>33</v>
      </c>
      <c r="G333" s="453">
        <v>1.8</v>
      </c>
      <c r="H333" s="519">
        <v>0</v>
      </c>
      <c r="I333" s="519">
        <v>0</v>
      </c>
      <c r="J333" s="483" t="s">
        <v>742</v>
      </c>
      <c r="K333" s="520">
        <v>7.0000000000000007E-2</v>
      </c>
      <c r="L333" s="453">
        <v>35.339999999998327</v>
      </c>
      <c r="M333" s="453">
        <v>6.6</v>
      </c>
      <c r="N333" s="453">
        <v>0</v>
      </c>
      <c r="O333" s="453">
        <v>0</v>
      </c>
      <c r="P333" s="453">
        <v>1.61</v>
      </c>
      <c r="Q333" s="453">
        <v>1.8217932536805226</v>
      </c>
      <c r="R333" s="453">
        <v>545.45583091149263</v>
      </c>
      <c r="S333" s="453">
        <v>0</v>
      </c>
      <c r="T333" s="453">
        <v>8.11</v>
      </c>
      <c r="U333" s="453">
        <v>0</v>
      </c>
      <c r="V333" s="453">
        <v>0.84</v>
      </c>
      <c r="W333" s="453">
        <v>32</v>
      </c>
      <c r="X333" s="456">
        <v>47.660000000000011</v>
      </c>
      <c r="Y333" s="453">
        <v>27</v>
      </c>
      <c r="Z333" s="453">
        <v>9.1</v>
      </c>
      <c r="AA333" s="519">
        <v>26.399999999994179</v>
      </c>
      <c r="AB333" s="519">
        <v>9.1299999999973807</v>
      </c>
      <c r="AC333" s="732">
        <f t="shared" si="5"/>
        <v>35.52999999999156</v>
      </c>
      <c r="AD333" s="664"/>
      <c r="AE333" s="664"/>
      <c r="AF333" s="664"/>
      <c r="AG333" s="664"/>
      <c r="AH333" s="664"/>
      <c r="AI333" s="664"/>
      <c r="AJ333" s="485"/>
      <c r="AK333" s="485"/>
      <c r="AL333" s="485"/>
      <c r="AM333" s="485"/>
      <c r="AN333" s="485"/>
      <c r="AO333" s="665"/>
      <c r="AP333" s="485"/>
      <c r="AQ333" s="483"/>
      <c r="AR333" s="755">
        <v>0</v>
      </c>
      <c r="AS333" s="483">
        <v>20.5</v>
      </c>
      <c r="AT333" s="755">
        <v>0</v>
      </c>
      <c r="AU333" s="483">
        <v>27.6</v>
      </c>
      <c r="AV333" s="484">
        <v>332.1</v>
      </c>
      <c r="AW333" s="484">
        <v>375.8</v>
      </c>
      <c r="AX333" s="453">
        <v>0</v>
      </c>
      <c r="AY333" s="734">
        <v>0</v>
      </c>
      <c r="AZ333" s="734">
        <v>0</v>
      </c>
      <c r="BA333" s="734">
        <v>0</v>
      </c>
      <c r="BB333" s="453">
        <v>0</v>
      </c>
      <c r="BC333" s="453">
        <v>0</v>
      </c>
      <c r="BD333" s="453">
        <v>0</v>
      </c>
      <c r="BE333" s="734">
        <v>0</v>
      </c>
      <c r="BF333" s="453">
        <v>0</v>
      </c>
      <c r="BG333" s="453">
        <v>0</v>
      </c>
      <c r="BH333" s="734">
        <v>0</v>
      </c>
      <c r="BI333" s="453">
        <v>0</v>
      </c>
      <c r="BJ333" s="453">
        <v>9.1999999999999993</v>
      </c>
      <c r="BK333" s="453">
        <v>0</v>
      </c>
      <c r="BL333" s="453">
        <v>0</v>
      </c>
      <c r="BM333" s="453">
        <v>0</v>
      </c>
      <c r="BN333" s="453">
        <v>9.1</v>
      </c>
      <c r="BO333" s="453">
        <v>901.5</v>
      </c>
      <c r="BP333" s="453">
        <v>0</v>
      </c>
      <c r="BQ333" s="453">
        <v>16.899999999999999</v>
      </c>
      <c r="BR333" s="453">
        <v>16.899999999999999</v>
      </c>
      <c r="BS333" s="453">
        <v>0</v>
      </c>
      <c r="BT333" s="453">
        <v>25.5</v>
      </c>
      <c r="BU333" s="453">
        <v>26.9</v>
      </c>
      <c r="BV333" s="456">
        <v>445.3</v>
      </c>
      <c r="BW333" s="453">
        <v>1.1599999999999999</v>
      </c>
      <c r="BX333" s="453">
        <v>1.42</v>
      </c>
      <c r="BY333" s="456">
        <v>0.89</v>
      </c>
      <c r="BZ333" s="456">
        <v>15.1</v>
      </c>
      <c r="CA333" s="456">
        <v>32.299999999999997</v>
      </c>
      <c r="CB333" s="456">
        <v>14.3</v>
      </c>
      <c r="CC333" s="456">
        <v>9.4</v>
      </c>
      <c r="CD333" s="456">
        <v>13.7</v>
      </c>
      <c r="CE333" s="456">
        <v>17.8</v>
      </c>
      <c r="CF333" s="456">
        <v>13</v>
      </c>
      <c r="CG333" s="456">
        <v>453</v>
      </c>
      <c r="CH333" s="456">
        <v>2.2000000000000002</v>
      </c>
      <c r="CI333" s="456">
        <v>3.4</v>
      </c>
      <c r="CJ333" s="456">
        <v>431.5</v>
      </c>
      <c r="CK333" s="456">
        <v>369.1</v>
      </c>
      <c r="CL333" s="456">
        <v>578.1</v>
      </c>
      <c r="CM333" s="456">
        <v>13.1</v>
      </c>
      <c r="CN333" s="456">
        <v>1.8</v>
      </c>
      <c r="CO333" s="453">
        <v>1598</v>
      </c>
      <c r="CP333" s="453">
        <v>15.99</v>
      </c>
      <c r="CQ333" s="453">
        <v>48</v>
      </c>
      <c r="CR333" s="456">
        <v>0</v>
      </c>
      <c r="CS333" s="456">
        <v>0</v>
      </c>
      <c r="CT333" s="456">
        <v>0</v>
      </c>
      <c r="CU333" s="456">
        <v>0</v>
      </c>
      <c r="CV333" s="481">
        <v>1309.1666666666667</v>
      </c>
      <c r="CW333" s="481">
        <v>1498.125</v>
      </c>
      <c r="CX333" s="481">
        <v>1342.8125</v>
      </c>
      <c r="CY333" s="481">
        <v>1079.07</v>
      </c>
      <c r="CZ333" s="456"/>
      <c r="DA333" s="456"/>
      <c r="DB333" s="456"/>
      <c r="DC333" s="456"/>
      <c r="DD333" s="456"/>
      <c r="DE333" s="456"/>
      <c r="DF333" s="456"/>
      <c r="DG333" s="425"/>
      <c r="DH333" s="456">
        <v>9</v>
      </c>
      <c r="DI333" s="456" t="s">
        <v>756</v>
      </c>
      <c r="DJ333" s="456">
        <v>0.86</v>
      </c>
      <c r="DK333" s="425"/>
      <c r="DL333" s="456"/>
      <c r="DM333" s="456"/>
      <c r="DN333" s="456"/>
      <c r="DO333" s="456"/>
      <c r="DP333" s="456"/>
      <c r="DQ333" s="456"/>
      <c r="DR333" s="456"/>
      <c r="DS333" s="456"/>
      <c r="DT333" s="456"/>
      <c r="DU333" s="456"/>
      <c r="DV333" s="456"/>
      <c r="DW333" s="456"/>
      <c r="DX333" s="456"/>
      <c r="DY333" s="456"/>
      <c r="DZ333" s="456"/>
      <c r="EA333" s="456"/>
      <c r="EB333" s="456"/>
      <c r="EC333" s="456"/>
      <c r="ED333" s="456"/>
      <c r="EE333" s="456">
        <v>0</v>
      </c>
      <c r="EF333" s="456">
        <v>2</v>
      </c>
      <c r="EG333" s="456">
        <v>6.5</v>
      </c>
      <c r="EH333" s="456"/>
      <c r="EI333" s="456"/>
      <c r="EJ333" s="456"/>
      <c r="EK333" s="456"/>
      <c r="EL333" s="456"/>
      <c r="EM333" s="456"/>
      <c r="EN333" s="456"/>
      <c r="EO333" s="425"/>
      <c r="EP333" s="425"/>
      <c r="EQ333" s="425" t="s">
        <v>743</v>
      </c>
      <c r="ER333" s="425">
        <v>1</v>
      </c>
      <c r="ES333" s="425">
        <v>6</v>
      </c>
      <c r="ET333" s="425">
        <v>3565</v>
      </c>
      <c r="EU333" s="457">
        <v>4000</v>
      </c>
      <c r="EV333" s="425">
        <v>135</v>
      </c>
      <c r="EW333" s="425">
        <v>7470203</v>
      </c>
      <c r="EX333" s="425">
        <v>1888</v>
      </c>
      <c r="EY333" s="666">
        <v>16.920000000000002</v>
      </c>
      <c r="EZ333" s="666">
        <v>16.920000000000002</v>
      </c>
      <c r="FA333" s="666">
        <v>0</v>
      </c>
      <c r="FB333" s="666">
        <v>1.42</v>
      </c>
      <c r="FC333" s="666">
        <v>1.36</v>
      </c>
      <c r="FD333" s="666">
        <v>0.95099999999999996</v>
      </c>
      <c r="FE333" s="666">
        <v>0.98</v>
      </c>
      <c r="FF333" s="666">
        <v>95</v>
      </c>
      <c r="FG333" s="666">
        <v>0.33</v>
      </c>
      <c r="FH333" s="666">
        <v>0.438</v>
      </c>
      <c r="FI333" s="666">
        <v>0.9</v>
      </c>
      <c r="FJ333" s="666">
        <v>8.07</v>
      </c>
      <c r="FK333" s="666">
        <v>7.9</v>
      </c>
      <c r="FL333" s="666">
        <v>7.95</v>
      </c>
      <c r="FM333" s="666">
        <v>7.8</v>
      </c>
      <c r="FN333" s="666">
        <v>0</v>
      </c>
    </row>
    <row r="334" spans="1:171" s="416" customFormat="1" ht="15">
      <c r="A334" s="425" t="s">
        <v>6</v>
      </c>
      <c r="B334" s="426">
        <v>40863</v>
      </c>
      <c r="C334" s="418">
        <v>0</v>
      </c>
      <c r="D334" s="518">
        <v>0.9</v>
      </c>
      <c r="E334" s="453">
        <v>0</v>
      </c>
      <c r="F334" s="453">
        <v>46</v>
      </c>
      <c r="G334" s="453">
        <v>1</v>
      </c>
      <c r="H334" s="519">
        <v>31.3</v>
      </c>
      <c r="I334" s="519">
        <v>0</v>
      </c>
      <c r="J334" s="453" t="s">
        <v>742</v>
      </c>
      <c r="K334" s="520">
        <v>0.28000000000000003</v>
      </c>
      <c r="L334" s="453">
        <v>35.780000000000655</v>
      </c>
      <c r="M334" s="453">
        <v>5.6</v>
      </c>
      <c r="N334" s="453">
        <v>0</v>
      </c>
      <c r="O334" s="453">
        <v>0</v>
      </c>
      <c r="P334" s="453">
        <v>1.6</v>
      </c>
      <c r="Q334" s="453">
        <v>1.8147673419917654</v>
      </c>
      <c r="R334" s="453">
        <v>550.31440422721255</v>
      </c>
      <c r="S334" s="453">
        <v>0</v>
      </c>
      <c r="T334" s="453">
        <v>8.1</v>
      </c>
      <c r="U334" s="453">
        <v>0</v>
      </c>
      <c r="V334" s="453">
        <v>0.85</v>
      </c>
      <c r="W334" s="453">
        <v>32</v>
      </c>
      <c r="X334" s="456">
        <v>44.78</v>
      </c>
      <c r="Y334" s="453">
        <v>26.18</v>
      </c>
      <c r="Z334" s="453">
        <v>9.18</v>
      </c>
      <c r="AA334" s="519">
        <v>26.779999999998836</v>
      </c>
      <c r="AB334" s="519">
        <v>9.2699999999967986</v>
      </c>
      <c r="AC334" s="732">
        <f t="shared" si="5"/>
        <v>36.049999999995634</v>
      </c>
      <c r="AD334" s="668"/>
      <c r="AE334" s="668"/>
      <c r="AF334" s="668"/>
      <c r="AG334" s="668"/>
      <c r="AH334" s="668"/>
      <c r="AI334" s="668"/>
      <c r="AJ334" s="425"/>
      <c r="AK334" s="425"/>
      <c r="AL334" s="425"/>
      <c r="AM334" s="425"/>
      <c r="AN334" s="425"/>
      <c r="AO334" s="456"/>
      <c r="AP334" s="425"/>
      <c r="AQ334" s="453"/>
      <c r="AR334" s="734">
        <v>0</v>
      </c>
      <c r="AS334" s="453">
        <v>10.8</v>
      </c>
      <c r="AT334" s="734">
        <v>0</v>
      </c>
      <c r="AU334" s="453">
        <v>27.7</v>
      </c>
      <c r="AV334" s="519">
        <v>363.7</v>
      </c>
      <c r="AW334" s="519">
        <v>385</v>
      </c>
      <c r="AX334" s="453">
        <v>0</v>
      </c>
      <c r="AY334" s="734">
        <v>0</v>
      </c>
      <c r="AZ334" s="734">
        <v>0</v>
      </c>
      <c r="BA334" s="734">
        <v>0</v>
      </c>
      <c r="BB334" s="453">
        <v>0</v>
      </c>
      <c r="BC334" s="453">
        <v>0</v>
      </c>
      <c r="BD334" s="453">
        <v>0</v>
      </c>
      <c r="BE334" s="734">
        <v>0</v>
      </c>
      <c r="BF334" s="453">
        <v>0</v>
      </c>
      <c r="BG334" s="453">
        <v>0</v>
      </c>
      <c r="BH334" s="734">
        <v>0</v>
      </c>
      <c r="BI334" s="453">
        <v>0</v>
      </c>
      <c r="BJ334" s="453">
        <v>9.1999999999999993</v>
      </c>
      <c r="BK334" s="453">
        <v>0</v>
      </c>
      <c r="BL334" s="453">
        <v>0</v>
      </c>
      <c r="BM334" s="453">
        <v>0</v>
      </c>
      <c r="BN334" s="453">
        <v>9.1</v>
      </c>
      <c r="BO334" s="453">
        <v>1071</v>
      </c>
      <c r="BP334" s="453">
        <v>0</v>
      </c>
      <c r="BQ334" s="453">
        <v>17</v>
      </c>
      <c r="BR334" s="453">
        <v>17</v>
      </c>
      <c r="BS334" s="453">
        <v>0</v>
      </c>
      <c r="BT334" s="453">
        <v>25.6</v>
      </c>
      <c r="BU334" s="453">
        <v>21.7</v>
      </c>
      <c r="BV334" s="456">
        <v>432.9</v>
      </c>
      <c r="BW334" s="453">
        <v>0.82</v>
      </c>
      <c r="BX334" s="453">
        <v>1.45</v>
      </c>
      <c r="BY334" s="456">
        <v>0.89</v>
      </c>
      <c r="BZ334" s="456">
        <v>15.3</v>
      </c>
      <c r="CA334" s="456">
        <v>32.299999999999997</v>
      </c>
      <c r="CB334" s="456">
        <v>13.2</v>
      </c>
      <c r="CC334" s="456">
        <v>8.5</v>
      </c>
      <c r="CD334" s="456">
        <v>12.7</v>
      </c>
      <c r="CE334" s="456">
        <v>17.100000000000001</v>
      </c>
      <c r="CF334" s="456">
        <v>13.7</v>
      </c>
      <c r="CG334" s="456">
        <v>241.1</v>
      </c>
      <c r="CH334" s="456">
        <v>2.2999999999999998</v>
      </c>
      <c r="CI334" s="456">
        <v>3</v>
      </c>
      <c r="CJ334" s="456">
        <v>423.2</v>
      </c>
      <c r="CK334" s="456">
        <v>363</v>
      </c>
      <c r="CL334" s="456">
        <v>560.6</v>
      </c>
      <c r="CM334" s="456">
        <v>13.5</v>
      </c>
      <c r="CN334" s="456">
        <v>1.9</v>
      </c>
      <c r="CO334" s="453">
        <v>6349</v>
      </c>
      <c r="CP334" s="453">
        <v>16</v>
      </c>
      <c r="CQ334" s="453">
        <v>49</v>
      </c>
      <c r="CR334" s="456">
        <v>0</v>
      </c>
      <c r="CS334" s="456">
        <v>0</v>
      </c>
      <c r="CT334" s="456">
        <v>0</v>
      </c>
      <c r="CU334" s="456">
        <v>0</v>
      </c>
      <c r="CV334" s="481">
        <v>978.70833333333337</v>
      </c>
      <c r="CW334" s="481">
        <v>1492.6041666666667</v>
      </c>
      <c r="CX334" s="481">
        <v>1036.4583333333333</v>
      </c>
      <c r="CY334" s="481">
        <v>1076.8</v>
      </c>
      <c r="CZ334" s="456"/>
      <c r="DA334" s="456"/>
      <c r="DB334" s="456"/>
      <c r="DC334" s="456"/>
      <c r="DD334" s="456"/>
      <c r="DE334" s="456"/>
      <c r="DF334" s="456"/>
      <c r="DG334" s="425"/>
      <c r="DH334" s="456">
        <v>78</v>
      </c>
      <c r="DI334" s="456">
        <v>0</v>
      </c>
      <c r="DJ334" s="456">
        <v>0.88</v>
      </c>
      <c r="DK334" s="425"/>
      <c r="DL334" s="456"/>
      <c r="DM334" s="456"/>
      <c r="DN334" s="456"/>
      <c r="DO334" s="456"/>
      <c r="DP334" s="456"/>
      <c r="DQ334" s="456"/>
      <c r="DR334" s="456"/>
      <c r="DS334" s="456"/>
      <c r="DT334" s="456"/>
      <c r="DU334" s="456"/>
      <c r="DV334" s="456"/>
      <c r="DW334" s="456"/>
      <c r="DX334" s="456"/>
      <c r="DY334" s="456"/>
      <c r="DZ334" s="456"/>
      <c r="EA334" s="456"/>
      <c r="EB334" s="456"/>
      <c r="EC334" s="456"/>
      <c r="ED334" s="456"/>
      <c r="EE334" s="456">
        <v>0</v>
      </c>
      <c r="EF334" s="456">
        <v>2</v>
      </c>
      <c r="EG334" s="456">
        <v>6.5</v>
      </c>
      <c r="EH334" s="456"/>
      <c r="EI334" s="456"/>
      <c r="EJ334" s="456"/>
      <c r="EK334" s="456"/>
      <c r="EL334" s="456"/>
      <c r="EM334" s="456"/>
      <c r="EN334" s="456"/>
      <c r="EO334" s="425"/>
      <c r="EP334" s="425"/>
      <c r="EQ334" s="425" t="s">
        <v>743</v>
      </c>
      <c r="ER334" s="425">
        <v>1</v>
      </c>
      <c r="ES334" s="425">
        <v>6</v>
      </c>
      <c r="ET334" s="425">
        <v>3440</v>
      </c>
      <c r="EU334" s="666">
        <v>4000</v>
      </c>
      <c r="EV334" s="425">
        <v>70</v>
      </c>
      <c r="EW334" s="425">
        <v>7472247</v>
      </c>
      <c r="EX334" s="425">
        <v>5311</v>
      </c>
      <c r="EY334" s="666">
        <v>17.29</v>
      </c>
      <c r="EZ334" s="666">
        <v>17.260000000000002</v>
      </c>
      <c r="FA334" s="666">
        <v>0</v>
      </c>
      <c r="FB334" s="666">
        <v>1.44</v>
      </c>
      <c r="FC334" s="666">
        <v>1.43</v>
      </c>
      <c r="FD334" s="666">
        <v>0.93500000000000005</v>
      </c>
      <c r="FE334" s="666">
        <v>0.99</v>
      </c>
      <c r="FF334" s="666">
        <v>125</v>
      </c>
      <c r="FG334" s="666">
        <v>0.49</v>
      </c>
      <c r="FH334" s="666">
        <v>0.36099999999999999</v>
      </c>
      <c r="FI334" s="666">
        <v>0.79</v>
      </c>
      <c r="FJ334" s="666">
        <v>8</v>
      </c>
      <c r="FK334" s="666">
        <v>8.3000000000000007</v>
      </c>
      <c r="FL334" s="666">
        <v>8.08</v>
      </c>
      <c r="FM334" s="666">
        <v>7.8</v>
      </c>
      <c r="FN334" s="666">
        <v>0</v>
      </c>
      <c r="FO334" s="413"/>
    </row>
    <row r="335" spans="1:171" s="416" customFormat="1" ht="15">
      <c r="A335" s="425" t="s">
        <v>7</v>
      </c>
      <c r="B335" s="426">
        <v>40864</v>
      </c>
      <c r="C335" s="418">
        <v>0</v>
      </c>
      <c r="D335" s="518">
        <v>0.52</v>
      </c>
      <c r="E335" s="453">
        <v>0</v>
      </c>
      <c r="F335" s="453">
        <v>33</v>
      </c>
      <c r="G335" s="453">
        <v>1.9</v>
      </c>
      <c r="H335" s="519">
        <v>80.8</v>
      </c>
      <c r="I335" s="519">
        <v>0</v>
      </c>
      <c r="J335" s="453" t="s">
        <v>742</v>
      </c>
      <c r="K335" s="520">
        <v>0.12</v>
      </c>
      <c r="L335" s="453">
        <v>34.850000000000364</v>
      </c>
      <c r="M335" s="453">
        <v>6.7</v>
      </c>
      <c r="N335" s="453">
        <v>0</v>
      </c>
      <c r="O335" s="453">
        <v>0</v>
      </c>
      <c r="P335" s="453">
        <v>1.59</v>
      </c>
      <c r="Q335" s="453">
        <v>1.8151710793160094</v>
      </c>
      <c r="R335" s="453">
        <v>526.66934742404226</v>
      </c>
      <c r="S335" s="453">
        <v>0</v>
      </c>
      <c r="T335" s="453">
        <v>8.1300000000000008</v>
      </c>
      <c r="U335" s="453">
        <v>0</v>
      </c>
      <c r="V335" s="453">
        <v>0.84</v>
      </c>
      <c r="W335" s="453">
        <v>32</v>
      </c>
      <c r="X335" s="456">
        <v>44.600000000000009</v>
      </c>
      <c r="Y335" s="453">
        <v>25.65</v>
      </c>
      <c r="Z335" s="453">
        <v>9.17</v>
      </c>
      <c r="AA335" s="519">
        <v>25.420000000012806</v>
      </c>
      <c r="AB335" s="519">
        <v>9.1000000000058208</v>
      </c>
      <c r="AC335" s="732">
        <f t="shared" si="5"/>
        <v>34.520000000018626</v>
      </c>
      <c r="AD335" s="668"/>
      <c r="AE335" s="668"/>
      <c r="AF335" s="668"/>
      <c r="AG335" s="668"/>
      <c r="AH335" s="668"/>
      <c r="AI335" s="668"/>
      <c r="AJ335" s="425"/>
      <c r="AK335" s="425"/>
      <c r="AL335" s="425"/>
      <c r="AM335" s="425"/>
      <c r="AN335" s="425"/>
      <c r="AO335" s="456"/>
      <c r="AP335" s="425"/>
      <c r="AQ335" s="453"/>
      <c r="AR335" s="734">
        <v>0</v>
      </c>
      <c r="AS335" s="453">
        <v>10.8</v>
      </c>
      <c r="AT335" s="734">
        <v>0</v>
      </c>
      <c r="AU335" s="453">
        <v>26.8</v>
      </c>
      <c r="AV335" s="519">
        <v>370.3</v>
      </c>
      <c r="AW335" s="519">
        <v>416.7</v>
      </c>
      <c r="AX335" s="453">
        <v>0</v>
      </c>
      <c r="AY335" s="734">
        <v>0</v>
      </c>
      <c r="AZ335" s="734">
        <v>0</v>
      </c>
      <c r="BA335" s="734">
        <v>0</v>
      </c>
      <c r="BB335" s="453">
        <v>0</v>
      </c>
      <c r="BC335" s="453">
        <v>0</v>
      </c>
      <c r="BD335" s="453">
        <v>0</v>
      </c>
      <c r="BE335" s="734">
        <v>0</v>
      </c>
      <c r="BF335" s="453">
        <v>0</v>
      </c>
      <c r="BG335" s="453">
        <v>0</v>
      </c>
      <c r="BH335" s="734">
        <v>0</v>
      </c>
      <c r="BI335" s="453">
        <v>0</v>
      </c>
      <c r="BJ335" s="453">
        <v>9.17</v>
      </c>
      <c r="BK335" s="453">
        <v>0</v>
      </c>
      <c r="BL335" s="453">
        <v>0</v>
      </c>
      <c r="BM335" s="453">
        <v>0</v>
      </c>
      <c r="BN335" s="453">
        <v>9.0299999999999994</v>
      </c>
      <c r="BO335" s="453">
        <v>1229.2</v>
      </c>
      <c r="BP335" s="453">
        <v>0</v>
      </c>
      <c r="BQ335" s="453">
        <v>17.600000000000001</v>
      </c>
      <c r="BR335" s="453">
        <v>17.5</v>
      </c>
      <c r="BS335" s="453">
        <v>0</v>
      </c>
      <c r="BT335" s="453">
        <v>24.7</v>
      </c>
      <c r="BU335" s="453">
        <v>18.8</v>
      </c>
      <c r="BV335" s="456">
        <v>416.1</v>
      </c>
      <c r="BW335" s="453">
        <v>0.64</v>
      </c>
      <c r="BX335" s="453">
        <v>1.45</v>
      </c>
      <c r="BY335" s="456">
        <v>0.9</v>
      </c>
      <c r="BZ335" s="456">
        <v>14.9</v>
      </c>
      <c r="CA335" s="456">
        <v>31.9</v>
      </c>
      <c r="CB335" s="456">
        <v>12.5</v>
      </c>
      <c r="CC335" s="456">
        <v>8.9</v>
      </c>
      <c r="CD335" s="456">
        <v>13.2</v>
      </c>
      <c r="CE335" s="456">
        <v>17.2</v>
      </c>
      <c r="CF335" s="456">
        <v>13.4</v>
      </c>
      <c r="CG335" s="456">
        <v>190.5</v>
      </c>
      <c r="CH335" s="456">
        <v>1.3</v>
      </c>
      <c r="CI335" s="456">
        <v>1.6</v>
      </c>
      <c r="CJ335" s="456">
        <v>372.6</v>
      </c>
      <c r="CK335" s="456">
        <v>381</v>
      </c>
      <c r="CL335" s="456">
        <v>549.29999999999995</v>
      </c>
      <c r="CM335" s="456">
        <v>14.2</v>
      </c>
      <c r="CN335" s="456">
        <v>2.1</v>
      </c>
      <c r="CO335" s="453">
        <v>7306.9</v>
      </c>
      <c r="CP335" s="453">
        <v>15.76</v>
      </c>
      <c r="CQ335" s="453">
        <v>49</v>
      </c>
      <c r="CR335" s="456">
        <v>0</v>
      </c>
      <c r="CS335" s="456">
        <v>0</v>
      </c>
      <c r="CT335" s="456">
        <v>0</v>
      </c>
      <c r="CU335" s="456">
        <v>0</v>
      </c>
      <c r="CV335" s="481">
        <v>1189.5833333333333</v>
      </c>
      <c r="CW335" s="481">
        <v>1252.6666666666667</v>
      </c>
      <c r="CX335" s="481">
        <v>1247.28125</v>
      </c>
      <c r="CY335" s="481">
        <v>1080.31</v>
      </c>
      <c r="CZ335" s="456"/>
      <c r="DA335" s="456"/>
      <c r="DB335" s="456"/>
      <c r="DC335" s="456"/>
      <c r="DD335" s="456"/>
      <c r="DE335" s="456"/>
      <c r="DF335" s="456"/>
      <c r="DG335" s="425"/>
      <c r="DH335" s="456">
        <v>65</v>
      </c>
      <c r="DI335" s="456" t="s">
        <v>756</v>
      </c>
      <c r="DJ335" s="456">
        <v>0.97</v>
      </c>
      <c r="DK335" s="425"/>
      <c r="DL335" s="456"/>
      <c r="DM335" s="456"/>
      <c r="DN335" s="456"/>
      <c r="DO335" s="456"/>
      <c r="DP335" s="456"/>
      <c r="DQ335" s="456"/>
      <c r="DR335" s="456"/>
      <c r="DS335" s="456"/>
      <c r="DT335" s="456"/>
      <c r="DU335" s="456"/>
      <c r="DV335" s="456"/>
      <c r="DW335" s="456"/>
      <c r="DX335" s="456"/>
      <c r="DY335" s="456"/>
      <c r="DZ335" s="456"/>
      <c r="EA335" s="456"/>
      <c r="EB335" s="456"/>
      <c r="EC335" s="456"/>
      <c r="ED335" s="456"/>
      <c r="EE335" s="456">
        <v>0</v>
      </c>
      <c r="EF335" s="456">
        <v>2</v>
      </c>
      <c r="EG335" s="456">
        <v>6.5</v>
      </c>
      <c r="EH335" s="456"/>
      <c r="EI335" s="456"/>
      <c r="EJ335" s="456"/>
      <c r="EK335" s="456"/>
      <c r="EL335" s="456"/>
      <c r="EM335" s="456"/>
      <c r="EN335" s="456"/>
      <c r="EO335" s="425"/>
      <c r="EP335" s="425"/>
      <c r="EQ335" s="425" t="s">
        <v>743</v>
      </c>
      <c r="ER335" s="425">
        <v>1</v>
      </c>
      <c r="ES335" s="425">
        <v>6</v>
      </c>
      <c r="ET335" s="425">
        <v>3245</v>
      </c>
      <c r="EU335" s="666">
        <v>4000</v>
      </c>
      <c r="EV335" s="425">
        <v>120</v>
      </c>
      <c r="EW335" s="425">
        <v>7474324</v>
      </c>
      <c r="EX335" s="425">
        <v>6577</v>
      </c>
      <c r="EY335" s="666">
        <v>17.510000000000002</v>
      </c>
      <c r="EZ335" s="666">
        <v>17.5</v>
      </c>
      <c r="FA335" s="666">
        <v>0</v>
      </c>
      <c r="FB335" s="666">
        <v>1.38</v>
      </c>
      <c r="FC335" s="666">
        <v>1.29</v>
      </c>
      <c r="FD335" s="666">
        <v>0.88500000000000001</v>
      </c>
      <c r="FE335" s="666">
        <v>0.85</v>
      </c>
      <c r="FF335" s="666">
        <v>185</v>
      </c>
      <c r="FG335" s="666">
        <v>0.56000000000000005</v>
      </c>
      <c r="FH335" s="666">
        <v>0.28799999999999998</v>
      </c>
      <c r="FI335" s="666">
        <v>0.49</v>
      </c>
      <c r="FJ335" s="666">
        <v>8.0500000000000007</v>
      </c>
      <c r="FK335" s="666">
        <v>8</v>
      </c>
      <c r="FL335" s="666">
        <v>7.89</v>
      </c>
      <c r="FM335" s="666">
        <v>8</v>
      </c>
      <c r="FN335" s="666">
        <v>0</v>
      </c>
      <c r="FO335" s="413"/>
    </row>
    <row r="336" spans="1:171" s="416" customFormat="1" ht="15">
      <c r="A336" s="425" t="s">
        <v>8</v>
      </c>
      <c r="B336" s="426">
        <v>40865</v>
      </c>
      <c r="C336" s="418">
        <v>0</v>
      </c>
      <c r="D336" s="518">
        <v>0.18</v>
      </c>
      <c r="E336" s="453">
        <v>0</v>
      </c>
      <c r="F336" s="453">
        <v>32</v>
      </c>
      <c r="G336" s="453">
        <v>1.4</v>
      </c>
      <c r="H336" s="519">
        <v>6</v>
      </c>
      <c r="I336" s="519">
        <v>0</v>
      </c>
      <c r="J336" s="453" t="s">
        <v>742</v>
      </c>
      <c r="K336" s="520">
        <v>2.9</v>
      </c>
      <c r="L336" s="453">
        <v>29.770000000000437</v>
      </c>
      <c r="M336" s="453">
        <v>9.1999999999999993</v>
      </c>
      <c r="N336" s="453">
        <v>0</v>
      </c>
      <c r="O336" s="453">
        <v>0</v>
      </c>
      <c r="P336" s="453">
        <v>1.6</v>
      </c>
      <c r="Q336" s="453">
        <v>1.8648562781133671</v>
      </c>
      <c r="R336" s="453">
        <v>552.90564332892995</v>
      </c>
      <c r="S336" s="453">
        <v>0</v>
      </c>
      <c r="T336" s="453">
        <v>8.1999999999999993</v>
      </c>
      <c r="U336" s="453">
        <v>0</v>
      </c>
      <c r="V336" s="453">
        <v>0.9</v>
      </c>
      <c r="W336" s="453">
        <v>32</v>
      </c>
      <c r="X336" s="456">
        <v>47.660000000000011</v>
      </c>
      <c r="Y336" s="453">
        <v>25.58</v>
      </c>
      <c r="Z336" s="453">
        <v>9.2799999999999994</v>
      </c>
      <c r="AA336" s="519">
        <v>26</v>
      </c>
      <c r="AB336" s="519">
        <v>9.0399999999999991</v>
      </c>
      <c r="AC336" s="732">
        <f t="shared" si="5"/>
        <v>35.04</v>
      </c>
      <c r="AD336" s="668"/>
      <c r="AE336" s="668"/>
      <c r="AF336" s="668"/>
      <c r="AG336" s="668"/>
      <c r="AH336" s="668"/>
      <c r="AI336" s="668"/>
      <c r="AJ336" s="425"/>
      <c r="AK336" s="425"/>
      <c r="AL336" s="425"/>
      <c r="AM336" s="425"/>
      <c r="AN336" s="425"/>
      <c r="AO336" s="456"/>
      <c r="AP336" s="425"/>
      <c r="AQ336" s="453"/>
      <c r="AR336" s="734">
        <v>0</v>
      </c>
      <c r="AS336" s="453">
        <v>10.8</v>
      </c>
      <c r="AT336" s="734">
        <v>0</v>
      </c>
      <c r="AU336" s="453">
        <v>26.6</v>
      </c>
      <c r="AV336" s="519">
        <v>330.5</v>
      </c>
      <c r="AW336" s="519">
        <v>411.1</v>
      </c>
      <c r="AX336" s="453">
        <v>0</v>
      </c>
      <c r="AY336" s="734">
        <v>0</v>
      </c>
      <c r="AZ336" s="734">
        <v>0</v>
      </c>
      <c r="BA336" s="734">
        <v>0</v>
      </c>
      <c r="BB336" s="453">
        <v>0</v>
      </c>
      <c r="BC336" s="453">
        <v>0</v>
      </c>
      <c r="BD336" s="453">
        <v>0.27</v>
      </c>
      <c r="BE336" s="734">
        <v>0</v>
      </c>
      <c r="BF336" s="453">
        <v>0</v>
      </c>
      <c r="BG336" s="453">
        <v>0</v>
      </c>
      <c r="BH336" s="734">
        <v>0</v>
      </c>
      <c r="BI336" s="453">
        <v>0</v>
      </c>
      <c r="BJ336" s="453">
        <v>8.6999999999999993</v>
      </c>
      <c r="BK336" s="453">
        <v>0</v>
      </c>
      <c r="BL336" s="453">
        <v>0</v>
      </c>
      <c r="BM336" s="453">
        <v>0</v>
      </c>
      <c r="BN336" s="453">
        <v>8.6</v>
      </c>
      <c r="BO336" s="453">
        <v>1179.2</v>
      </c>
      <c r="BP336" s="453">
        <v>0</v>
      </c>
      <c r="BQ336" s="453">
        <v>17.600000000000001</v>
      </c>
      <c r="BR336" s="453">
        <v>17.600000000000001</v>
      </c>
      <c r="BS336" s="453">
        <v>0</v>
      </c>
      <c r="BT336" s="453">
        <v>24.7</v>
      </c>
      <c r="BU336" s="453">
        <v>20.7</v>
      </c>
      <c r="BV336" s="456">
        <v>546.20000000000005</v>
      </c>
      <c r="BW336" s="453">
        <v>0.47</v>
      </c>
      <c r="BX336" s="453">
        <v>1.39</v>
      </c>
      <c r="BY336" s="456">
        <v>0.89</v>
      </c>
      <c r="BZ336" s="456">
        <v>13.4</v>
      </c>
      <c r="CA336" s="456">
        <v>32.200000000000003</v>
      </c>
      <c r="CB336" s="456">
        <v>14.9</v>
      </c>
      <c r="CC336" s="456">
        <v>8.8000000000000007</v>
      </c>
      <c r="CD336" s="456">
        <v>12.9</v>
      </c>
      <c r="CE336" s="456">
        <v>17.399999999999999</v>
      </c>
      <c r="CF336" s="456">
        <v>12.5</v>
      </c>
      <c r="CG336" s="456">
        <v>191</v>
      </c>
      <c r="CH336" s="456">
        <v>1.1000000000000001</v>
      </c>
      <c r="CI336" s="456">
        <v>2.6</v>
      </c>
      <c r="CJ336" s="456">
        <v>326</v>
      </c>
      <c r="CK336" s="456">
        <v>355</v>
      </c>
      <c r="CL336" s="456">
        <v>557.20000000000005</v>
      </c>
      <c r="CM336" s="456">
        <v>14.6</v>
      </c>
      <c r="CN336" s="456">
        <v>2.1</v>
      </c>
      <c r="CO336" s="453">
        <v>7292.6</v>
      </c>
      <c r="CP336" s="453">
        <v>16.829999999999998</v>
      </c>
      <c r="CQ336" s="453">
        <v>49</v>
      </c>
      <c r="CR336" s="456">
        <v>0</v>
      </c>
      <c r="CS336" s="456">
        <v>0</v>
      </c>
      <c r="CT336" s="456">
        <v>0</v>
      </c>
      <c r="CU336" s="456">
        <v>0</v>
      </c>
      <c r="CV336" s="481">
        <v>1245.8333333333333</v>
      </c>
      <c r="CW336" s="481">
        <v>1739.8958333333333</v>
      </c>
      <c r="CX336" s="481">
        <v>1319.7916666666667</v>
      </c>
      <c r="CY336" s="481">
        <v>1078.1199999999999</v>
      </c>
      <c r="CZ336" s="456"/>
      <c r="DA336" s="456"/>
      <c r="DB336" s="456"/>
      <c r="DC336" s="456"/>
      <c r="DD336" s="456"/>
      <c r="DE336" s="456"/>
      <c r="DF336" s="456"/>
      <c r="DG336" s="425"/>
      <c r="DH336" s="456">
        <v>68</v>
      </c>
      <c r="DI336" s="456" t="s">
        <v>756</v>
      </c>
      <c r="DJ336" s="456">
        <v>1.0900000000000001</v>
      </c>
      <c r="DK336" s="425"/>
      <c r="DL336" s="456"/>
      <c r="DM336" s="456"/>
      <c r="DN336" s="456"/>
      <c r="DO336" s="456"/>
      <c r="DP336" s="456"/>
      <c r="DQ336" s="456"/>
      <c r="DR336" s="456"/>
      <c r="DS336" s="456"/>
      <c r="DT336" s="456"/>
      <c r="DU336" s="456"/>
      <c r="DV336" s="456"/>
      <c r="DW336" s="456"/>
      <c r="DX336" s="456"/>
      <c r="DY336" s="456"/>
      <c r="DZ336" s="456"/>
      <c r="EA336" s="456"/>
      <c r="EB336" s="456"/>
      <c r="EC336" s="456"/>
      <c r="ED336" s="456"/>
      <c r="EE336" s="456">
        <v>0</v>
      </c>
      <c r="EF336" s="456">
        <v>2</v>
      </c>
      <c r="EG336" s="456">
        <v>6.5</v>
      </c>
      <c r="EH336" s="456"/>
      <c r="EI336" s="456"/>
      <c r="EJ336" s="872">
        <v>1</v>
      </c>
      <c r="EK336" s="456"/>
      <c r="EL336" s="456"/>
      <c r="EM336" s="456"/>
      <c r="EN336" s="456"/>
      <c r="EO336" s="425"/>
      <c r="EP336" s="425"/>
      <c r="EQ336" s="425" t="s">
        <v>743</v>
      </c>
      <c r="ER336" s="425">
        <v>1</v>
      </c>
      <c r="ES336" s="425">
        <v>6</v>
      </c>
      <c r="ET336" s="425">
        <v>3230</v>
      </c>
      <c r="EU336" s="666">
        <v>4000</v>
      </c>
      <c r="EV336" s="425">
        <v>150</v>
      </c>
      <c r="EW336" s="425">
        <v>7476370</v>
      </c>
      <c r="EX336" s="425">
        <v>7819</v>
      </c>
      <c r="EY336" s="666">
        <v>17.66</v>
      </c>
      <c r="EZ336" s="666">
        <v>17.63</v>
      </c>
      <c r="FA336" s="666">
        <v>0</v>
      </c>
      <c r="FB336" s="666">
        <v>1.36</v>
      </c>
      <c r="FC336" s="666">
        <v>1.22</v>
      </c>
      <c r="FD336" s="666">
        <v>0.92300000000000004</v>
      </c>
      <c r="FE336" s="666">
        <v>0.94</v>
      </c>
      <c r="FF336" s="666">
        <v>25</v>
      </c>
      <c r="FG336" s="666">
        <v>1.17</v>
      </c>
      <c r="FH336" s="666">
        <v>0.28499999999999998</v>
      </c>
      <c r="FI336" s="666">
        <v>0.53</v>
      </c>
      <c r="FJ336" s="666">
        <v>7.9</v>
      </c>
      <c r="FK336" s="666">
        <v>8</v>
      </c>
      <c r="FL336" s="666">
        <v>7.93</v>
      </c>
      <c r="FM336" s="666">
        <v>7.7</v>
      </c>
      <c r="FN336" s="666">
        <v>0</v>
      </c>
      <c r="FO336" s="413"/>
    </row>
    <row r="337" spans="1:171" s="416" customFormat="1" ht="15">
      <c r="A337" s="425" t="s">
        <v>9</v>
      </c>
      <c r="B337" s="426">
        <v>40866</v>
      </c>
      <c r="C337" s="418">
        <v>0</v>
      </c>
      <c r="D337" s="518">
        <v>0</v>
      </c>
      <c r="E337" s="453">
        <v>0</v>
      </c>
      <c r="F337" s="453">
        <v>30</v>
      </c>
      <c r="G337" s="453">
        <v>1.2</v>
      </c>
      <c r="H337" s="519">
        <v>4.5999999999999996</v>
      </c>
      <c r="I337" s="519">
        <v>92.52</v>
      </c>
      <c r="J337" s="453" t="s">
        <v>742</v>
      </c>
      <c r="K337" s="520">
        <v>2.2999999999999998</v>
      </c>
      <c r="L337" s="453">
        <v>12.389999999999418</v>
      </c>
      <c r="M337" s="453">
        <v>13.8</v>
      </c>
      <c r="N337" s="453">
        <v>0</v>
      </c>
      <c r="O337" s="453">
        <v>0</v>
      </c>
      <c r="P337" s="453">
        <v>1.7</v>
      </c>
      <c r="Q337" s="453">
        <v>2.0510711619091375</v>
      </c>
      <c r="R337" s="453">
        <v>590.15470541611614</v>
      </c>
      <c r="S337" s="453">
        <v>0</v>
      </c>
      <c r="T337" s="453">
        <v>8.1</v>
      </c>
      <c r="U337" s="453">
        <v>0</v>
      </c>
      <c r="V337" s="453">
        <v>0.9</v>
      </c>
      <c r="W337" s="453">
        <v>32</v>
      </c>
      <c r="X337" s="456">
        <v>45.14</v>
      </c>
      <c r="Y337" s="453">
        <v>25.2</v>
      </c>
      <c r="Z337" s="453">
        <v>8.9</v>
      </c>
      <c r="AA337" s="519">
        <v>25.299999999988358</v>
      </c>
      <c r="AB337" s="519">
        <v>8.8000000000000007</v>
      </c>
      <c r="AC337" s="732">
        <f t="shared" si="5"/>
        <v>34.099999999988356</v>
      </c>
      <c r="AD337" s="668"/>
      <c r="AE337" s="668"/>
      <c r="AF337" s="668"/>
      <c r="AG337" s="668"/>
      <c r="AH337" s="668"/>
      <c r="AI337" s="668"/>
      <c r="AJ337" s="425"/>
      <c r="AK337" s="425"/>
      <c r="AL337" s="425"/>
      <c r="AM337" s="425"/>
      <c r="AN337" s="425"/>
      <c r="AO337" s="456"/>
      <c r="AP337" s="425"/>
      <c r="AQ337" s="453"/>
      <c r="AR337" s="734">
        <v>0</v>
      </c>
      <c r="AS337" s="453">
        <v>11</v>
      </c>
      <c r="AT337" s="734">
        <v>0</v>
      </c>
      <c r="AU337" s="453">
        <v>26</v>
      </c>
      <c r="AV337" s="519">
        <v>496.5</v>
      </c>
      <c r="AW337" s="519">
        <v>511.6</v>
      </c>
      <c r="AX337" s="453">
        <v>0</v>
      </c>
      <c r="AY337" s="734">
        <v>0</v>
      </c>
      <c r="AZ337" s="734">
        <v>0</v>
      </c>
      <c r="BA337" s="734">
        <v>0</v>
      </c>
      <c r="BB337" s="453">
        <v>0</v>
      </c>
      <c r="BC337" s="453">
        <v>0</v>
      </c>
      <c r="BD337" s="453">
        <v>0</v>
      </c>
      <c r="BE337" s="734">
        <v>0</v>
      </c>
      <c r="BF337" s="453">
        <v>0</v>
      </c>
      <c r="BG337" s="453">
        <v>0</v>
      </c>
      <c r="BH337" s="734">
        <v>0</v>
      </c>
      <c r="BI337" s="453">
        <v>0</v>
      </c>
      <c r="BJ337" s="453">
        <v>8.8000000000000007</v>
      </c>
      <c r="BK337" s="453">
        <v>0</v>
      </c>
      <c r="BL337" s="453">
        <v>0</v>
      </c>
      <c r="BM337" s="453">
        <v>0</v>
      </c>
      <c r="BN337" s="453">
        <v>8.6999999999999993</v>
      </c>
      <c r="BO337" s="453">
        <v>1324.3</v>
      </c>
      <c r="BP337" s="453">
        <v>0</v>
      </c>
      <c r="BQ337" s="453">
        <v>17.5</v>
      </c>
      <c r="BR337" s="453">
        <v>17.5</v>
      </c>
      <c r="BS337" s="453">
        <v>0</v>
      </c>
      <c r="BT337" s="453">
        <v>24.1</v>
      </c>
      <c r="BU337" s="453">
        <v>20.8</v>
      </c>
      <c r="BV337" s="456">
        <v>473.4</v>
      </c>
      <c r="BW337" s="453">
        <v>0.64</v>
      </c>
      <c r="BX337" s="453">
        <v>1.34</v>
      </c>
      <c r="BY337" s="456">
        <v>0.89</v>
      </c>
      <c r="BZ337" s="456">
        <v>14.6</v>
      </c>
      <c r="CA337" s="456">
        <v>32.700000000000003</v>
      </c>
      <c r="CB337" s="456">
        <v>14.2</v>
      </c>
      <c r="CC337" s="456">
        <v>8.9</v>
      </c>
      <c r="CD337" s="456">
        <v>13.2</v>
      </c>
      <c r="CE337" s="456">
        <v>17.2</v>
      </c>
      <c r="CF337" s="456">
        <v>14.9</v>
      </c>
      <c r="CG337" s="456">
        <v>199.7</v>
      </c>
      <c r="CH337" s="456">
        <v>1.4</v>
      </c>
      <c r="CI337" s="456">
        <v>0.4</v>
      </c>
      <c r="CJ337" s="456">
        <v>358.7</v>
      </c>
      <c r="CK337" s="456">
        <v>389</v>
      </c>
      <c r="CL337" s="456">
        <v>531.9</v>
      </c>
      <c r="CM337" s="456">
        <v>15.9</v>
      </c>
      <c r="CN337" s="456">
        <v>2.2999999999999998</v>
      </c>
      <c r="CO337" s="453">
        <v>9962.9</v>
      </c>
      <c r="CP337" s="453">
        <v>16.78</v>
      </c>
      <c r="CQ337" s="453">
        <v>49</v>
      </c>
      <c r="CR337" s="456">
        <v>0</v>
      </c>
      <c r="CS337" s="456">
        <v>0</v>
      </c>
      <c r="CT337" s="456">
        <v>0</v>
      </c>
      <c r="CU337" s="456">
        <v>0</v>
      </c>
      <c r="CV337" s="481">
        <v>999.79166666666663</v>
      </c>
      <c r="CW337" s="481">
        <v>1369.7916666666667</v>
      </c>
      <c r="CX337" s="481">
        <v>1007.8125</v>
      </c>
      <c r="CY337" s="481">
        <v>1076.3699999999999</v>
      </c>
      <c r="CZ337" s="456"/>
      <c r="DA337" s="456"/>
      <c r="DB337" s="456"/>
      <c r="DC337" s="456"/>
      <c r="DD337" s="456"/>
      <c r="DE337" s="456"/>
      <c r="DF337" s="456"/>
      <c r="DG337" s="425"/>
      <c r="DH337" s="456">
        <v>107</v>
      </c>
      <c r="DI337" s="456" t="s">
        <v>756</v>
      </c>
      <c r="DJ337" s="456">
        <v>1.06</v>
      </c>
      <c r="DK337" s="425"/>
      <c r="DL337" s="456"/>
      <c r="DM337" s="456"/>
      <c r="DN337" s="456"/>
      <c r="DO337" s="456"/>
      <c r="DP337" s="456"/>
      <c r="DQ337" s="456"/>
      <c r="DR337" s="456"/>
      <c r="DS337" s="456"/>
      <c r="DT337" s="456"/>
      <c r="DU337" s="456"/>
      <c r="DV337" s="456"/>
      <c r="DW337" s="456"/>
      <c r="DX337" s="456"/>
      <c r="DY337" s="456"/>
      <c r="DZ337" s="456"/>
      <c r="EA337" s="456"/>
      <c r="EB337" s="456"/>
      <c r="EC337" s="456"/>
      <c r="ED337" s="456"/>
      <c r="EE337" s="456">
        <v>0</v>
      </c>
      <c r="EF337" s="456">
        <v>2</v>
      </c>
      <c r="EG337" s="456">
        <v>6.5</v>
      </c>
      <c r="EH337" s="456"/>
      <c r="EI337" s="456"/>
      <c r="EJ337" s="456"/>
      <c r="EK337" s="456"/>
      <c r="EL337" s="456"/>
      <c r="EM337" s="456"/>
      <c r="EN337" s="456"/>
      <c r="EO337" s="425"/>
      <c r="EP337" s="425"/>
      <c r="EQ337" s="425" t="s">
        <v>743</v>
      </c>
      <c r="ER337" s="425">
        <v>1</v>
      </c>
      <c r="ES337" s="425">
        <v>6</v>
      </c>
      <c r="ET337" s="425">
        <v>3090</v>
      </c>
      <c r="EU337" s="666">
        <v>4000</v>
      </c>
      <c r="EV337" s="425">
        <v>175</v>
      </c>
      <c r="EW337" s="425">
        <v>7478204</v>
      </c>
      <c r="EX337" s="425">
        <v>9034</v>
      </c>
      <c r="EY337" s="666">
        <v>18</v>
      </c>
      <c r="EZ337" s="666">
        <v>18</v>
      </c>
      <c r="FA337" s="666">
        <v>0</v>
      </c>
      <c r="FB337" s="666">
        <v>1.28</v>
      </c>
      <c r="FC337" s="666">
        <v>1.1399999999999999</v>
      </c>
      <c r="FD337" s="666">
        <v>0.96</v>
      </c>
      <c r="FE337" s="666">
        <v>1</v>
      </c>
      <c r="FF337" s="666">
        <v>140</v>
      </c>
      <c r="FG337" s="666">
        <v>2</v>
      </c>
      <c r="FH337" s="666">
        <v>0.44400000000000001</v>
      </c>
      <c r="FI337" s="666">
        <v>0.92</v>
      </c>
      <c r="FJ337" s="666">
        <v>7.75</v>
      </c>
      <c r="FK337" s="666">
        <v>7.7</v>
      </c>
      <c r="FL337" s="666">
        <v>7.85</v>
      </c>
      <c r="FM337" s="666">
        <v>7.8</v>
      </c>
      <c r="FN337" s="666">
        <v>0</v>
      </c>
      <c r="FO337" s="413"/>
    </row>
    <row r="338" spans="1:171" s="416" customFormat="1" ht="15">
      <c r="A338" s="425" t="s">
        <v>3</v>
      </c>
      <c r="B338" s="426">
        <v>40867</v>
      </c>
      <c r="C338" s="418">
        <v>0</v>
      </c>
      <c r="D338" s="518">
        <v>0</v>
      </c>
      <c r="E338" s="453">
        <v>0</v>
      </c>
      <c r="F338" s="453">
        <v>33</v>
      </c>
      <c r="G338" s="453">
        <v>0.8</v>
      </c>
      <c r="H338" s="519">
        <v>13.2</v>
      </c>
      <c r="I338" s="519">
        <v>95.3</v>
      </c>
      <c r="J338" s="453" t="s">
        <v>742</v>
      </c>
      <c r="K338" s="520">
        <v>2.9</v>
      </c>
      <c r="L338" s="453">
        <v>25.639999999999418</v>
      </c>
      <c r="M338" s="453">
        <v>12.5</v>
      </c>
      <c r="N338" s="453">
        <v>0</v>
      </c>
      <c r="O338" s="453">
        <v>0</v>
      </c>
      <c r="P338" s="453">
        <v>1.7</v>
      </c>
      <c r="Q338" s="453">
        <v>1.9587128992597551</v>
      </c>
      <c r="R338" s="453">
        <v>565.21402906208709</v>
      </c>
      <c r="S338" s="453">
        <v>0</v>
      </c>
      <c r="T338" s="453">
        <v>8</v>
      </c>
      <c r="U338" s="453">
        <v>0</v>
      </c>
      <c r="V338" s="453">
        <v>0.9</v>
      </c>
      <c r="W338" s="453">
        <v>32</v>
      </c>
      <c r="X338" s="456">
        <v>44.239999999999995</v>
      </c>
      <c r="Y338" s="453">
        <v>25.4</v>
      </c>
      <c r="Z338" s="453">
        <v>8.8000000000000007</v>
      </c>
      <c r="AA338" s="519">
        <v>25.350000000005821</v>
      </c>
      <c r="AB338" s="519">
        <v>8.82</v>
      </c>
      <c r="AC338" s="732">
        <f t="shared" si="5"/>
        <v>34.170000000005821</v>
      </c>
      <c r="AD338" s="668"/>
      <c r="AE338" s="668"/>
      <c r="AF338" s="668"/>
      <c r="AG338" s="668"/>
      <c r="AH338" s="668"/>
      <c r="AI338" s="668"/>
      <c r="AJ338" s="425"/>
      <c r="AK338" s="425"/>
      <c r="AL338" s="425"/>
      <c r="AM338" s="425"/>
      <c r="AN338" s="425"/>
      <c r="AO338" s="456"/>
      <c r="AP338" s="425"/>
      <c r="AQ338" s="453"/>
      <c r="AR338" s="734">
        <v>0</v>
      </c>
      <c r="AS338" s="453">
        <v>11.4</v>
      </c>
      <c r="AT338" s="734">
        <v>0</v>
      </c>
      <c r="AU338" s="453">
        <v>26.1</v>
      </c>
      <c r="AV338" s="519">
        <v>510.6</v>
      </c>
      <c r="AW338" s="519">
        <v>463.9</v>
      </c>
      <c r="AX338" s="453">
        <v>0</v>
      </c>
      <c r="AY338" s="734">
        <v>0</v>
      </c>
      <c r="AZ338" s="734">
        <v>0</v>
      </c>
      <c r="BA338" s="734">
        <v>0</v>
      </c>
      <c r="BB338" s="453">
        <v>0</v>
      </c>
      <c r="BC338" s="453">
        <v>0</v>
      </c>
      <c r="BD338" s="453">
        <v>0</v>
      </c>
      <c r="BE338" s="734">
        <v>0</v>
      </c>
      <c r="BF338" s="453">
        <v>0</v>
      </c>
      <c r="BG338" s="453">
        <v>0</v>
      </c>
      <c r="BH338" s="734">
        <v>0</v>
      </c>
      <c r="BI338" s="453">
        <v>0</v>
      </c>
      <c r="BJ338" s="453">
        <v>8.9</v>
      </c>
      <c r="BK338" s="453">
        <v>0</v>
      </c>
      <c r="BL338" s="453">
        <v>0</v>
      </c>
      <c r="BM338" s="453">
        <v>0</v>
      </c>
      <c r="BN338" s="453">
        <v>8.6999999999999993</v>
      </c>
      <c r="BO338" s="453">
        <v>1361.1</v>
      </c>
      <c r="BP338" s="453">
        <v>0</v>
      </c>
      <c r="BQ338" s="453">
        <v>17.8</v>
      </c>
      <c r="BR338" s="453">
        <v>17.8</v>
      </c>
      <c r="BS338" s="453">
        <v>0</v>
      </c>
      <c r="BT338" s="453">
        <v>24</v>
      </c>
      <c r="BU338" s="453">
        <v>20</v>
      </c>
      <c r="BV338" s="456">
        <v>448.2</v>
      </c>
      <c r="BW338" s="453">
        <v>0.86</v>
      </c>
      <c r="BX338" s="453">
        <v>1.34</v>
      </c>
      <c r="BY338" s="456">
        <v>0.89</v>
      </c>
      <c r="BZ338" s="456">
        <v>14.4</v>
      </c>
      <c r="CA338" s="456">
        <v>32.1</v>
      </c>
      <c r="CB338" s="456">
        <v>13.1</v>
      </c>
      <c r="CC338" s="456">
        <v>8.6</v>
      </c>
      <c r="CD338" s="456">
        <v>12.7</v>
      </c>
      <c r="CE338" s="456">
        <v>17.2</v>
      </c>
      <c r="CF338" s="456">
        <v>13.1</v>
      </c>
      <c r="CG338" s="456">
        <v>166.4</v>
      </c>
      <c r="CH338" s="456">
        <v>1.4</v>
      </c>
      <c r="CI338" s="456">
        <v>1.6</v>
      </c>
      <c r="CJ338" s="456">
        <v>431.8</v>
      </c>
      <c r="CK338" s="456">
        <v>403.5</v>
      </c>
      <c r="CL338" s="456">
        <v>522.29999999999995</v>
      </c>
      <c r="CM338" s="456">
        <v>15.2</v>
      </c>
      <c r="CN338" s="456">
        <v>2.2000000000000002</v>
      </c>
      <c r="CO338" s="453">
        <v>8136.7</v>
      </c>
      <c r="CP338" s="453">
        <v>17.760000000000002</v>
      </c>
      <c r="CQ338" s="453">
        <v>49</v>
      </c>
      <c r="CR338" s="456">
        <v>0</v>
      </c>
      <c r="CS338" s="456">
        <v>0</v>
      </c>
      <c r="CT338" s="456">
        <v>0</v>
      </c>
      <c r="CU338" s="456">
        <v>0</v>
      </c>
      <c r="CV338" s="481">
        <v>756.70833333333337</v>
      </c>
      <c r="CW338" s="481">
        <v>1155.625</v>
      </c>
      <c r="CX338" s="481">
        <v>795.1875</v>
      </c>
      <c r="CY338" s="481">
        <v>1076.51</v>
      </c>
      <c r="CZ338" s="456"/>
      <c r="DA338" s="456"/>
      <c r="DB338" s="456"/>
      <c r="DC338" s="456"/>
      <c r="DD338" s="456"/>
      <c r="DE338" s="456"/>
      <c r="DF338" s="456"/>
      <c r="DG338" s="425"/>
      <c r="DH338" s="456">
        <v>78</v>
      </c>
      <c r="DI338" s="456" t="s">
        <v>756</v>
      </c>
      <c r="DJ338" s="456">
        <v>1.05</v>
      </c>
      <c r="DK338" s="425"/>
      <c r="DL338" s="456"/>
      <c r="DM338" s="456"/>
      <c r="DN338" s="456"/>
      <c r="DO338" s="456"/>
      <c r="DP338" s="456"/>
      <c r="DQ338" s="456"/>
      <c r="DR338" s="456"/>
      <c r="DS338" s="456"/>
      <c r="DT338" s="456"/>
      <c r="DU338" s="456"/>
      <c r="DV338" s="456"/>
      <c r="DW338" s="456"/>
      <c r="DX338" s="456"/>
      <c r="DY338" s="456"/>
      <c r="DZ338" s="456"/>
      <c r="EA338" s="456"/>
      <c r="EB338" s="456"/>
      <c r="EC338" s="456"/>
      <c r="ED338" s="456"/>
      <c r="EE338" s="456">
        <v>0</v>
      </c>
      <c r="EF338" s="456">
        <v>2</v>
      </c>
      <c r="EG338" s="456">
        <v>6.5</v>
      </c>
      <c r="EH338" s="456"/>
      <c r="EI338" s="456"/>
      <c r="EJ338" s="456"/>
      <c r="EK338" s="456"/>
      <c r="EL338" s="456"/>
      <c r="EM338" s="456"/>
      <c r="EN338" s="456"/>
      <c r="EO338" s="425"/>
      <c r="EP338" s="425"/>
      <c r="EQ338" s="425" t="s">
        <v>743</v>
      </c>
      <c r="ER338" s="425">
        <v>1</v>
      </c>
      <c r="ES338" s="425">
        <v>6</v>
      </c>
      <c r="ET338" s="425">
        <v>2960</v>
      </c>
      <c r="EU338" s="666">
        <v>4000</v>
      </c>
      <c r="EV338" s="425">
        <v>210</v>
      </c>
      <c r="EW338" s="425">
        <v>7480386</v>
      </c>
      <c r="EX338" s="425">
        <v>10290</v>
      </c>
      <c r="EY338" s="666">
        <v>17.72</v>
      </c>
      <c r="EZ338" s="666">
        <v>17.73</v>
      </c>
      <c r="FA338" s="666">
        <v>0</v>
      </c>
      <c r="FB338" s="666">
        <v>1.46</v>
      </c>
      <c r="FC338" s="666">
        <v>1.42</v>
      </c>
      <c r="FD338" s="666">
        <v>0.95799999999999996</v>
      </c>
      <c r="FE338" s="666">
        <v>0.95</v>
      </c>
      <c r="FF338" s="666">
        <v>130</v>
      </c>
      <c r="FG338" s="666">
        <v>0.56000000000000005</v>
      </c>
      <c r="FH338" s="666">
        <v>0.46700000000000003</v>
      </c>
      <c r="FI338" s="666">
        <v>0.99</v>
      </c>
      <c r="FJ338" s="666">
        <v>7.93</v>
      </c>
      <c r="FK338" s="666">
        <v>8</v>
      </c>
      <c r="FL338" s="666">
        <v>7.96</v>
      </c>
      <c r="FM338" s="666">
        <v>7.6</v>
      </c>
      <c r="FN338" s="666">
        <v>0</v>
      </c>
      <c r="FO338" s="413"/>
    </row>
    <row r="339" spans="1:171" s="416" customFormat="1" ht="15">
      <c r="A339" s="425" t="s">
        <v>4</v>
      </c>
      <c r="B339" s="426">
        <v>40868</v>
      </c>
      <c r="C339" s="418">
        <v>0</v>
      </c>
      <c r="D339" s="518">
        <v>0.17</v>
      </c>
      <c r="E339" s="453">
        <v>0</v>
      </c>
      <c r="F339" s="453">
        <v>40</v>
      </c>
      <c r="G339" s="453">
        <v>1.05</v>
      </c>
      <c r="H339" s="519">
        <v>4.75</v>
      </c>
      <c r="I339" s="519">
        <v>91</v>
      </c>
      <c r="J339" s="453" t="s">
        <v>742</v>
      </c>
      <c r="K339" s="520">
        <v>3.03</v>
      </c>
      <c r="L339" s="453">
        <v>3.8600000000005821</v>
      </c>
      <c r="M339" s="453">
        <v>17.100000000000001</v>
      </c>
      <c r="N339" s="453">
        <v>0</v>
      </c>
      <c r="O339" s="453">
        <v>0</v>
      </c>
      <c r="P339" s="453">
        <v>1.66</v>
      </c>
      <c r="Q339" s="453">
        <v>2.2593927042753377</v>
      </c>
      <c r="R339" s="453">
        <v>815.91641215323625</v>
      </c>
      <c r="S339" s="453">
        <v>0</v>
      </c>
      <c r="T339" s="453">
        <v>8.01</v>
      </c>
      <c r="U339" s="453">
        <v>0</v>
      </c>
      <c r="V339" s="453">
        <v>0.82</v>
      </c>
      <c r="W339" s="453">
        <v>32</v>
      </c>
      <c r="X339" s="456">
        <v>38.660000000000011</v>
      </c>
      <c r="Y339" s="453">
        <v>25.6</v>
      </c>
      <c r="Z339" s="453">
        <v>8.8000000000000007</v>
      </c>
      <c r="AA339" s="519">
        <v>26.320000000006985</v>
      </c>
      <c r="AB339" s="519">
        <v>17.040000000000873</v>
      </c>
      <c r="AC339" s="732">
        <f t="shared" si="5"/>
        <v>43.360000000007858</v>
      </c>
      <c r="AD339" s="668"/>
      <c r="AE339" s="668"/>
      <c r="AF339" s="668"/>
      <c r="AG339" s="668"/>
      <c r="AH339" s="668"/>
      <c r="AI339" s="668"/>
      <c r="AJ339" s="425"/>
      <c r="AK339" s="425"/>
      <c r="AL339" s="425"/>
      <c r="AM339" s="425"/>
      <c r="AN339" s="425"/>
      <c r="AO339" s="456"/>
      <c r="AP339" s="425"/>
      <c r="AQ339" s="453"/>
      <c r="AR339" s="734">
        <v>0</v>
      </c>
      <c r="AS339" s="453">
        <v>10.5</v>
      </c>
      <c r="AT339" s="734">
        <v>0</v>
      </c>
      <c r="AU339" s="453">
        <v>27.5</v>
      </c>
      <c r="AV339" s="519">
        <v>309.7</v>
      </c>
      <c r="AW339" s="519">
        <v>324.7</v>
      </c>
      <c r="AX339" s="453">
        <v>0</v>
      </c>
      <c r="AY339" s="734">
        <v>0</v>
      </c>
      <c r="AZ339" s="734">
        <v>0</v>
      </c>
      <c r="BA339" s="734">
        <v>0</v>
      </c>
      <c r="BB339" s="453">
        <v>0</v>
      </c>
      <c r="BC339" s="453">
        <v>0</v>
      </c>
      <c r="BD339" s="453">
        <v>0.56000000000000005</v>
      </c>
      <c r="BE339" s="734">
        <v>0</v>
      </c>
      <c r="BF339" s="453">
        <v>0.19</v>
      </c>
      <c r="BG339" s="453">
        <v>0</v>
      </c>
      <c r="BH339" s="734">
        <v>0</v>
      </c>
      <c r="BI339" s="453">
        <v>0</v>
      </c>
      <c r="BJ339" s="453">
        <v>16.7</v>
      </c>
      <c r="BK339" s="453">
        <v>1.75</v>
      </c>
      <c r="BL339" s="453">
        <v>1.53</v>
      </c>
      <c r="BM339" s="453">
        <v>0</v>
      </c>
      <c r="BN339" s="453">
        <v>13</v>
      </c>
      <c r="BO339" s="453">
        <v>1184.4000000000001</v>
      </c>
      <c r="BP339" s="453">
        <v>0</v>
      </c>
      <c r="BQ339" s="453">
        <v>17.54</v>
      </c>
      <c r="BR339" s="453">
        <v>17.57</v>
      </c>
      <c r="BS339" s="453">
        <v>0</v>
      </c>
      <c r="BT339" s="453">
        <v>25.3</v>
      </c>
      <c r="BU339" s="453">
        <v>22</v>
      </c>
      <c r="BV339" s="456">
        <v>445.7</v>
      </c>
      <c r="BW339" s="756">
        <v>17.27</v>
      </c>
      <c r="BX339" s="453">
        <v>1.43</v>
      </c>
      <c r="BY339" s="456">
        <v>0.9</v>
      </c>
      <c r="BZ339" s="456">
        <v>14.88</v>
      </c>
      <c r="CA339" s="456">
        <v>32.299999999999997</v>
      </c>
      <c r="CB339" s="456">
        <v>13.12</v>
      </c>
      <c r="CC339" s="456">
        <v>9.3000000000000007</v>
      </c>
      <c r="CD339" s="456">
        <v>13.52</v>
      </c>
      <c r="CE339" s="456">
        <v>17.670000000000002</v>
      </c>
      <c r="CF339" s="456">
        <v>13.32</v>
      </c>
      <c r="CG339" s="456">
        <v>428.8</v>
      </c>
      <c r="CH339" s="456">
        <v>2.6</v>
      </c>
      <c r="CI339" s="456">
        <v>3.2</v>
      </c>
      <c r="CJ339" s="456">
        <v>417</v>
      </c>
      <c r="CK339" s="456">
        <v>369.1</v>
      </c>
      <c r="CL339" s="456">
        <v>362.3</v>
      </c>
      <c r="CM339" s="456">
        <v>14.4</v>
      </c>
      <c r="CN339" s="456">
        <v>2</v>
      </c>
      <c r="CO339" s="453">
        <v>4362</v>
      </c>
      <c r="CP339" s="453">
        <v>17.22</v>
      </c>
      <c r="CQ339" s="453">
        <v>48</v>
      </c>
      <c r="CR339" s="456">
        <v>0</v>
      </c>
      <c r="CS339" s="456">
        <v>0</v>
      </c>
      <c r="CT339" s="456">
        <v>0</v>
      </c>
      <c r="CU339" s="456">
        <v>0</v>
      </c>
      <c r="CV339" s="481">
        <v>715.125</v>
      </c>
      <c r="CW339" s="481">
        <v>903</v>
      </c>
      <c r="CX339" s="481">
        <v>675.59375</v>
      </c>
      <c r="CY339" s="481">
        <v>1076.1199999999999</v>
      </c>
      <c r="CZ339" s="456"/>
      <c r="DA339" s="456"/>
      <c r="DB339" s="456"/>
      <c r="DC339" s="456"/>
      <c r="DD339" s="456"/>
      <c r="DE339" s="456"/>
      <c r="DF339" s="456"/>
      <c r="DG339" s="425"/>
      <c r="DH339" s="456">
        <v>26</v>
      </c>
      <c r="DI339" s="456">
        <v>0</v>
      </c>
      <c r="DJ339" s="456">
        <v>1.08</v>
      </c>
      <c r="DK339" s="425"/>
      <c r="DL339" s="456"/>
      <c r="DM339" s="456"/>
      <c r="DN339" s="456"/>
      <c r="DO339" s="456"/>
      <c r="DP339" s="456"/>
      <c r="DQ339" s="456"/>
      <c r="DR339" s="456"/>
      <c r="DS339" s="456"/>
      <c r="DT339" s="456"/>
      <c r="DU339" s="456"/>
      <c r="DV339" s="456"/>
      <c r="DW339" s="456"/>
      <c r="DX339" s="456"/>
      <c r="DY339" s="456"/>
      <c r="DZ339" s="456"/>
      <c r="EA339" s="456"/>
      <c r="EB339" s="456"/>
      <c r="EC339" s="456"/>
      <c r="ED339" s="456"/>
      <c r="EE339" s="456">
        <v>0</v>
      </c>
      <c r="EF339" s="456">
        <v>2</v>
      </c>
      <c r="EG339" s="456">
        <v>6.5</v>
      </c>
      <c r="EH339" s="456"/>
      <c r="EI339" s="456"/>
      <c r="EJ339" s="456"/>
      <c r="EK339" s="456"/>
      <c r="EL339" s="456"/>
      <c r="EM339" s="456"/>
      <c r="EN339" s="456"/>
      <c r="EO339" s="425"/>
      <c r="EP339" s="425"/>
      <c r="EQ339" s="425" t="s">
        <v>743</v>
      </c>
      <c r="ER339" s="425">
        <v>1</v>
      </c>
      <c r="ES339" s="425">
        <v>6</v>
      </c>
      <c r="ET339" s="425">
        <v>2800</v>
      </c>
      <c r="EU339" s="666">
        <v>4000</v>
      </c>
      <c r="EV339" s="425">
        <v>185</v>
      </c>
      <c r="EW339" s="425">
        <v>7482757</v>
      </c>
      <c r="EX339" s="425">
        <v>11625</v>
      </c>
      <c r="EY339" s="666">
        <v>17.7</v>
      </c>
      <c r="EZ339" s="666">
        <v>17.68</v>
      </c>
      <c r="FA339" s="666">
        <v>0</v>
      </c>
      <c r="FB339" s="666">
        <v>1.4</v>
      </c>
      <c r="FC339" s="666">
        <v>1.42</v>
      </c>
      <c r="FD339" s="666">
        <v>0.97799999999999998</v>
      </c>
      <c r="FE339" s="666">
        <v>1.08</v>
      </c>
      <c r="FF339" s="666">
        <v>160</v>
      </c>
      <c r="FG339" s="666">
        <v>1.93</v>
      </c>
      <c r="FH339" s="666">
        <v>0.6</v>
      </c>
      <c r="FI339" s="666">
        <v>1.08</v>
      </c>
      <c r="FJ339" s="666">
        <v>7.98</v>
      </c>
      <c r="FK339" s="666">
        <v>7.7</v>
      </c>
      <c r="FL339" s="666">
        <v>8.08</v>
      </c>
      <c r="FM339" s="666">
        <v>7.8</v>
      </c>
      <c r="FN339" s="666">
        <v>0</v>
      </c>
      <c r="FO339" s="413"/>
    </row>
    <row r="340" spans="1:171" s="416" customFormat="1" ht="15">
      <c r="A340" s="425" t="s">
        <v>5</v>
      </c>
      <c r="B340" s="426">
        <v>40869</v>
      </c>
      <c r="C340" s="418">
        <v>0</v>
      </c>
      <c r="D340" s="518">
        <v>2.4</v>
      </c>
      <c r="E340" s="453">
        <v>0</v>
      </c>
      <c r="F340" s="453">
        <v>43</v>
      </c>
      <c r="G340" s="453">
        <v>1.7</v>
      </c>
      <c r="H340" s="519">
        <v>35.9</v>
      </c>
      <c r="I340" s="519">
        <v>92.5</v>
      </c>
      <c r="J340" s="453" t="s">
        <v>742</v>
      </c>
      <c r="K340" s="520">
        <v>2.4</v>
      </c>
      <c r="L340" s="453">
        <v>25.479999999999563</v>
      </c>
      <c r="M340" s="453">
        <v>13.3</v>
      </c>
      <c r="N340" s="453">
        <v>0</v>
      </c>
      <c r="O340" s="453">
        <v>0</v>
      </c>
      <c r="P340" s="453">
        <v>1.61</v>
      </c>
      <c r="Q340" s="453">
        <v>2.1488587140180631</v>
      </c>
      <c r="R340" s="453">
        <v>924.74845442536321</v>
      </c>
      <c r="S340" s="453">
        <v>0</v>
      </c>
      <c r="T340" s="453">
        <v>7.97</v>
      </c>
      <c r="U340" s="453">
        <v>0</v>
      </c>
      <c r="V340" s="453">
        <v>0.8</v>
      </c>
      <c r="W340" s="453">
        <v>32</v>
      </c>
      <c r="X340" s="456">
        <v>43.7</v>
      </c>
      <c r="Y340" s="453">
        <v>27.32</v>
      </c>
      <c r="Z340" s="453">
        <v>25.88</v>
      </c>
      <c r="AA340" s="519">
        <v>27.68</v>
      </c>
      <c r="AB340" s="519">
        <v>23.08</v>
      </c>
      <c r="AC340" s="732">
        <f t="shared" si="5"/>
        <v>50.76</v>
      </c>
      <c r="AD340" s="668"/>
      <c r="AE340" s="668"/>
      <c r="AF340" s="668"/>
      <c r="AG340" s="668"/>
      <c r="AH340" s="668"/>
      <c r="AI340" s="668"/>
      <c r="AJ340" s="425"/>
      <c r="AK340" s="425"/>
      <c r="AL340" s="425"/>
      <c r="AM340" s="425"/>
      <c r="AN340" s="425"/>
      <c r="AO340" s="456"/>
      <c r="AP340" s="425"/>
      <c r="AQ340" s="453"/>
      <c r="AR340" s="734">
        <v>0</v>
      </c>
      <c r="AS340" s="453">
        <v>10.7</v>
      </c>
      <c r="AT340" s="734">
        <v>0</v>
      </c>
      <c r="AU340" s="453">
        <v>28.8</v>
      </c>
      <c r="AV340" s="519">
        <v>310.2</v>
      </c>
      <c r="AW340" s="519">
        <v>309</v>
      </c>
      <c r="AX340" s="453">
        <v>0</v>
      </c>
      <c r="AY340" s="734">
        <v>0</v>
      </c>
      <c r="AZ340" s="734">
        <v>0</v>
      </c>
      <c r="BA340" s="734">
        <v>0</v>
      </c>
      <c r="BB340" s="453">
        <v>0</v>
      </c>
      <c r="BC340" s="453">
        <v>0</v>
      </c>
      <c r="BD340" s="453">
        <v>0.84</v>
      </c>
      <c r="BE340" s="734">
        <v>0</v>
      </c>
      <c r="BF340" s="453">
        <v>0.33</v>
      </c>
      <c r="BG340" s="453">
        <v>0</v>
      </c>
      <c r="BH340" s="734">
        <v>0</v>
      </c>
      <c r="BI340" s="453">
        <v>0</v>
      </c>
      <c r="BJ340" s="453">
        <v>22.1</v>
      </c>
      <c r="BK340" s="453">
        <v>1.72</v>
      </c>
      <c r="BL340" s="453">
        <v>1.82</v>
      </c>
      <c r="BM340" s="453">
        <v>0</v>
      </c>
      <c r="BN340" s="453">
        <v>18.3</v>
      </c>
      <c r="BO340" s="453">
        <v>1600.8</v>
      </c>
      <c r="BP340" s="453">
        <v>49.8</v>
      </c>
      <c r="BQ340" s="453">
        <v>17.649999999999999</v>
      </c>
      <c r="BR340" s="453">
        <v>17.649999999999999</v>
      </c>
      <c r="BS340" s="453">
        <v>0</v>
      </c>
      <c r="BT340" s="453">
        <v>26.4</v>
      </c>
      <c r="BU340" s="453">
        <v>22.9</v>
      </c>
      <c r="BV340" s="456">
        <v>437.5</v>
      </c>
      <c r="BW340" s="453">
        <v>1.1100000000000001</v>
      </c>
      <c r="BX340" s="453">
        <v>1.42</v>
      </c>
      <c r="BY340" s="456">
        <v>0.9</v>
      </c>
      <c r="BZ340" s="456">
        <v>14.2</v>
      </c>
      <c r="CA340" s="456">
        <v>31.8</v>
      </c>
      <c r="CB340" s="456">
        <v>14.8</v>
      </c>
      <c r="CC340" s="456">
        <v>10.27</v>
      </c>
      <c r="CD340" s="456">
        <v>14.35</v>
      </c>
      <c r="CE340" s="456">
        <v>18.97</v>
      </c>
      <c r="CF340" s="456">
        <v>13.2</v>
      </c>
      <c r="CG340" s="456">
        <v>590.4</v>
      </c>
      <c r="CH340" s="456">
        <v>1.9</v>
      </c>
      <c r="CI340" s="456">
        <v>3</v>
      </c>
      <c r="CJ340" s="456">
        <v>417.6</v>
      </c>
      <c r="CK340" s="456">
        <v>351.9</v>
      </c>
      <c r="CL340" s="456">
        <v>574.1</v>
      </c>
      <c r="CM340" s="456">
        <v>14.7</v>
      </c>
      <c r="CN340" s="456">
        <v>1.98</v>
      </c>
      <c r="CO340" s="453">
        <v>0</v>
      </c>
      <c r="CP340" s="453">
        <v>17.02</v>
      </c>
      <c r="CQ340" s="453">
        <v>47</v>
      </c>
      <c r="CR340" s="456">
        <v>0</v>
      </c>
      <c r="CS340" s="456">
        <v>0</v>
      </c>
      <c r="CT340" s="456">
        <v>0</v>
      </c>
      <c r="CU340" s="456">
        <v>0</v>
      </c>
      <c r="CV340" s="481">
        <v>941.125</v>
      </c>
      <c r="CW340" s="481">
        <v>1239.9791666666667</v>
      </c>
      <c r="CX340" s="481">
        <v>973.79166666666663</v>
      </c>
      <c r="CY340" s="481">
        <v>1077.07</v>
      </c>
      <c r="CZ340" s="456"/>
      <c r="DA340" s="456"/>
      <c r="DB340" s="456"/>
      <c r="DC340" s="456"/>
      <c r="DD340" s="456"/>
      <c r="DE340" s="456"/>
      <c r="DF340" s="456"/>
      <c r="DG340" s="425"/>
      <c r="DH340" s="456">
        <v>0</v>
      </c>
      <c r="DI340" s="456">
        <v>0</v>
      </c>
      <c r="DJ340" s="456">
        <v>1.33</v>
      </c>
      <c r="DK340" s="425"/>
      <c r="DL340" s="456"/>
      <c r="DM340" s="456"/>
      <c r="DN340" s="456"/>
      <c r="DO340" s="456"/>
      <c r="DP340" s="456"/>
      <c r="DQ340" s="456"/>
      <c r="DR340" s="456"/>
      <c r="DS340" s="456"/>
      <c r="DT340" s="456"/>
      <c r="DU340" s="456"/>
      <c r="DV340" s="456"/>
      <c r="DW340" s="456"/>
      <c r="DX340" s="456"/>
      <c r="DY340" s="456"/>
      <c r="DZ340" s="456"/>
      <c r="EA340" s="456"/>
      <c r="EB340" s="456"/>
      <c r="EC340" s="456"/>
      <c r="ED340" s="456"/>
      <c r="EE340" s="456">
        <v>0</v>
      </c>
      <c r="EF340" s="456">
        <v>2</v>
      </c>
      <c r="EG340" s="456">
        <v>6.5</v>
      </c>
      <c r="EH340" s="456"/>
      <c r="EI340" s="456"/>
      <c r="EJ340" s="456"/>
      <c r="EK340" s="456"/>
      <c r="EL340" s="456"/>
      <c r="EM340" s="456"/>
      <c r="EN340" s="456"/>
      <c r="EO340" s="425"/>
      <c r="EP340" s="425"/>
      <c r="EQ340" s="425" t="s">
        <v>743</v>
      </c>
      <c r="ER340" s="425">
        <v>1</v>
      </c>
      <c r="ES340" s="425">
        <v>6</v>
      </c>
      <c r="ET340" s="425">
        <v>2700</v>
      </c>
      <c r="EU340" s="666">
        <v>4000</v>
      </c>
      <c r="EV340" s="425">
        <v>130</v>
      </c>
      <c r="EW340" s="425">
        <v>7484843</v>
      </c>
      <c r="EX340" s="425">
        <v>12829</v>
      </c>
      <c r="EY340" s="666">
        <v>17.850000000000001</v>
      </c>
      <c r="EZ340" s="666">
        <v>17.850000000000001</v>
      </c>
      <c r="FA340" s="666">
        <v>0</v>
      </c>
      <c r="FB340" s="666">
        <v>1.52</v>
      </c>
      <c r="FC340" s="666">
        <v>1.5</v>
      </c>
      <c r="FD340" s="666">
        <v>0.94</v>
      </c>
      <c r="FE340" s="666">
        <v>1.04</v>
      </c>
      <c r="FF340" s="666">
        <v>100</v>
      </c>
      <c r="FG340" s="666">
        <v>1.08</v>
      </c>
      <c r="FH340" s="666">
        <v>0.57999999999999996</v>
      </c>
      <c r="FI340" s="666">
        <v>1.04</v>
      </c>
      <c r="FJ340" s="666">
        <v>7.78</v>
      </c>
      <c r="FK340" s="666">
        <v>7.9</v>
      </c>
      <c r="FL340" s="666">
        <v>8.16</v>
      </c>
      <c r="FM340" s="666">
        <v>7.6</v>
      </c>
      <c r="FN340" s="666">
        <v>0</v>
      </c>
      <c r="FO340" s="413"/>
    </row>
    <row r="341" spans="1:171" s="416" customFormat="1" ht="15">
      <c r="A341" s="425" t="s">
        <v>6</v>
      </c>
      <c r="B341" s="426">
        <v>40870</v>
      </c>
      <c r="C341" s="418">
        <v>0</v>
      </c>
      <c r="D341" s="518">
        <v>1.1200000000000001</v>
      </c>
      <c r="E341" s="453">
        <v>0</v>
      </c>
      <c r="F341" s="453">
        <v>38</v>
      </c>
      <c r="G341" s="453">
        <v>2.5</v>
      </c>
      <c r="H341" s="519">
        <v>0</v>
      </c>
      <c r="I341" s="519">
        <v>0</v>
      </c>
      <c r="J341" s="453" t="s">
        <v>742</v>
      </c>
      <c r="K341" s="520">
        <v>0.7</v>
      </c>
      <c r="L341" s="453">
        <v>45.409999999999854</v>
      </c>
      <c r="M341" s="453">
        <v>10.7</v>
      </c>
      <c r="N341" s="453">
        <v>0</v>
      </c>
      <c r="O341" s="453">
        <v>0</v>
      </c>
      <c r="P341" s="453">
        <v>1.5</v>
      </c>
      <c r="Q341" s="453">
        <v>1.9320705250808257</v>
      </c>
      <c r="R341" s="453">
        <v>733.96847556142666</v>
      </c>
      <c r="S341" s="453">
        <v>0</v>
      </c>
      <c r="T341" s="453">
        <v>7.8</v>
      </c>
      <c r="U341" s="453">
        <v>0</v>
      </c>
      <c r="V341" s="453">
        <v>0.8</v>
      </c>
      <c r="W341" s="763" t="s">
        <v>742</v>
      </c>
      <c r="X341" s="456">
        <v>44.239999999999995</v>
      </c>
      <c r="Y341" s="453">
        <v>27.09</v>
      </c>
      <c r="Z341" s="453">
        <v>18.8</v>
      </c>
      <c r="AA341" s="519">
        <v>26.99</v>
      </c>
      <c r="AB341" s="519">
        <v>18.819999999999709</v>
      </c>
      <c r="AC341" s="732">
        <f t="shared" si="5"/>
        <v>45.809999999999704</v>
      </c>
      <c r="AD341" s="668"/>
      <c r="AE341" s="668"/>
      <c r="AF341" s="668"/>
      <c r="AG341" s="668"/>
      <c r="AH341" s="668"/>
      <c r="AI341" s="668"/>
      <c r="AJ341" s="425"/>
      <c r="AK341" s="425"/>
      <c r="AL341" s="425"/>
      <c r="AM341" s="425"/>
      <c r="AN341" s="425"/>
      <c r="AO341" s="456"/>
      <c r="AP341" s="425"/>
      <c r="AQ341" s="453"/>
      <c r="AR341" s="734">
        <v>0</v>
      </c>
      <c r="AS341" s="453">
        <v>2.5</v>
      </c>
      <c r="AT341" s="734">
        <v>0</v>
      </c>
      <c r="AU341" s="453">
        <v>28</v>
      </c>
      <c r="AV341" s="519">
        <v>437</v>
      </c>
      <c r="AW341" s="519">
        <v>377.4</v>
      </c>
      <c r="AX341" s="453">
        <v>0</v>
      </c>
      <c r="AY341" s="734">
        <v>0</v>
      </c>
      <c r="AZ341" s="734">
        <v>0</v>
      </c>
      <c r="BA341" s="734">
        <v>0</v>
      </c>
      <c r="BB341" s="453">
        <v>0</v>
      </c>
      <c r="BC341" s="453">
        <v>0</v>
      </c>
      <c r="BD341" s="453">
        <v>0</v>
      </c>
      <c r="BE341" s="734">
        <v>0</v>
      </c>
      <c r="BF341" s="453">
        <v>0</v>
      </c>
      <c r="BG341" s="453">
        <v>0</v>
      </c>
      <c r="BH341" s="734">
        <v>0</v>
      </c>
      <c r="BI341" s="453">
        <v>0</v>
      </c>
      <c r="BJ341" s="453">
        <v>19</v>
      </c>
      <c r="BK341" s="453">
        <v>0</v>
      </c>
      <c r="BL341" s="453">
        <v>0</v>
      </c>
      <c r="BM341" s="453">
        <v>0</v>
      </c>
      <c r="BN341" s="453">
        <v>18.8</v>
      </c>
      <c r="BO341" s="453">
        <v>866.4</v>
      </c>
      <c r="BP341" s="453">
        <v>0</v>
      </c>
      <c r="BQ341" s="453">
        <v>17.5</v>
      </c>
      <c r="BR341" s="453">
        <v>17.5</v>
      </c>
      <c r="BS341" s="453">
        <v>0</v>
      </c>
      <c r="BT341" s="453">
        <v>25.7</v>
      </c>
      <c r="BU341" s="453">
        <v>23</v>
      </c>
      <c r="BV341" s="456">
        <v>432.4</v>
      </c>
      <c r="BW341" s="453">
        <v>1.1399999999999999</v>
      </c>
      <c r="BX341" s="453">
        <v>1.54</v>
      </c>
      <c r="BY341" s="456">
        <v>0.91</v>
      </c>
      <c r="BZ341" s="456">
        <v>15.17</v>
      </c>
      <c r="CA341" s="456">
        <v>32.1</v>
      </c>
      <c r="CB341" s="456">
        <v>14.1</v>
      </c>
      <c r="CC341" s="456">
        <v>8.1</v>
      </c>
      <c r="CD341" s="456">
        <v>12.33</v>
      </c>
      <c r="CE341" s="456">
        <v>16.399999999999999</v>
      </c>
      <c r="CF341" s="456">
        <v>13.14</v>
      </c>
      <c r="CG341" s="456">
        <v>576.67999999999995</v>
      </c>
      <c r="CH341" s="456">
        <v>3.1</v>
      </c>
      <c r="CI341" s="456">
        <v>3.7</v>
      </c>
      <c r="CJ341" s="456">
        <v>433.7</v>
      </c>
      <c r="CK341" s="456">
        <v>373.4</v>
      </c>
      <c r="CL341" s="456">
        <v>577.20000000000005</v>
      </c>
      <c r="CM341" s="456">
        <v>14.5</v>
      </c>
      <c r="CN341" s="456">
        <v>1.8</v>
      </c>
      <c r="CO341" s="453">
        <v>0</v>
      </c>
      <c r="CP341" s="453">
        <v>17.87</v>
      </c>
      <c r="CQ341" s="453">
        <v>47</v>
      </c>
      <c r="CR341" s="456">
        <v>0</v>
      </c>
      <c r="CS341" s="456">
        <v>0</v>
      </c>
      <c r="CT341" s="456">
        <v>0</v>
      </c>
      <c r="CU341" s="456">
        <v>0</v>
      </c>
      <c r="CV341" s="481">
        <v>1565</v>
      </c>
      <c r="CW341" s="481">
        <v>2279.2708333333335</v>
      </c>
      <c r="CX341" s="481">
        <v>1784.4791666666667</v>
      </c>
      <c r="CY341" s="481">
        <v>1079.8699999999999</v>
      </c>
      <c r="CZ341" s="456"/>
      <c r="DA341" s="456"/>
      <c r="DB341" s="456"/>
      <c r="DC341" s="456"/>
      <c r="DD341" s="456"/>
      <c r="DE341" s="456"/>
      <c r="DF341" s="456"/>
      <c r="DG341" s="425"/>
      <c r="DH341" s="456">
        <v>0</v>
      </c>
      <c r="DI341" s="456">
        <v>0</v>
      </c>
      <c r="DJ341" s="456">
        <v>1.24</v>
      </c>
      <c r="DK341" s="425"/>
      <c r="DL341" s="456"/>
      <c r="DM341" s="456"/>
      <c r="DN341" s="456"/>
      <c r="DO341" s="456"/>
      <c r="DP341" s="456"/>
      <c r="DQ341" s="456"/>
      <c r="DR341" s="456"/>
      <c r="DS341" s="456"/>
      <c r="DT341" s="456"/>
      <c r="DU341" s="456"/>
      <c r="DV341" s="456"/>
      <c r="DW341" s="456"/>
      <c r="DX341" s="456"/>
      <c r="DY341" s="456"/>
      <c r="DZ341" s="456"/>
      <c r="EA341" s="456"/>
      <c r="EB341" s="456"/>
      <c r="EC341" s="456"/>
      <c r="ED341" s="456"/>
      <c r="EE341" s="456">
        <v>0</v>
      </c>
      <c r="EF341" s="456">
        <v>2</v>
      </c>
      <c r="EG341" s="456">
        <v>6.5</v>
      </c>
      <c r="EH341" s="456"/>
      <c r="EI341" s="456"/>
      <c r="EJ341" s="456"/>
      <c r="EK341" s="456"/>
      <c r="EL341" s="456"/>
      <c r="EM341" s="456"/>
      <c r="EN341" s="456"/>
      <c r="EO341" s="425"/>
      <c r="EP341" s="425"/>
      <c r="EQ341" s="425" t="s">
        <v>743</v>
      </c>
      <c r="ER341" s="425">
        <v>1</v>
      </c>
      <c r="ES341" s="425">
        <v>6</v>
      </c>
      <c r="ET341" s="425">
        <v>2600</v>
      </c>
      <c r="EU341" s="666">
        <v>4000</v>
      </c>
      <c r="EV341" s="425">
        <v>60</v>
      </c>
      <c r="EW341" s="425">
        <v>7487123</v>
      </c>
      <c r="EX341" s="425">
        <v>14108</v>
      </c>
      <c r="EY341" s="666">
        <v>17.75</v>
      </c>
      <c r="EZ341" s="666">
        <v>17.75</v>
      </c>
      <c r="FA341" s="666">
        <v>0</v>
      </c>
      <c r="FB341" s="666">
        <v>1.52</v>
      </c>
      <c r="FC341" s="666">
        <v>1.49</v>
      </c>
      <c r="FD341" s="666">
        <v>0.93</v>
      </c>
      <c r="FE341" s="666">
        <v>0.9</v>
      </c>
      <c r="FF341" s="666">
        <v>100</v>
      </c>
      <c r="FG341" s="666">
        <v>0.37</v>
      </c>
      <c r="FH341" s="666">
        <v>0.42</v>
      </c>
      <c r="FI341" s="666">
        <v>0.75</v>
      </c>
      <c r="FJ341" s="666">
        <v>7.86</v>
      </c>
      <c r="FK341" s="666">
        <v>7.9</v>
      </c>
      <c r="FL341" s="666">
        <v>8.01</v>
      </c>
      <c r="FM341" s="666">
        <v>7.7</v>
      </c>
      <c r="FN341" s="666">
        <v>0</v>
      </c>
      <c r="FO341" s="413"/>
    </row>
    <row r="342" spans="1:171" s="416" customFormat="1" ht="15">
      <c r="A342" s="425" t="s">
        <v>7</v>
      </c>
      <c r="B342" s="426">
        <v>40871</v>
      </c>
      <c r="C342" s="418">
        <v>0</v>
      </c>
      <c r="D342" s="518">
        <v>0.67</v>
      </c>
      <c r="E342" s="453">
        <v>0</v>
      </c>
      <c r="F342" s="453">
        <v>38</v>
      </c>
      <c r="G342" s="453">
        <v>2.5</v>
      </c>
      <c r="H342" s="519">
        <v>17</v>
      </c>
      <c r="I342" s="519">
        <v>82.64</v>
      </c>
      <c r="J342" s="453" t="s">
        <v>742</v>
      </c>
      <c r="K342" s="520">
        <v>0.06</v>
      </c>
      <c r="L342" s="453">
        <v>45.079999999999927</v>
      </c>
      <c r="M342" s="453">
        <v>9.1</v>
      </c>
      <c r="N342" s="453">
        <v>0</v>
      </c>
      <c r="O342" s="453">
        <v>0</v>
      </c>
      <c r="P342" s="453">
        <v>1.4</v>
      </c>
      <c r="Q342" s="453">
        <v>1.8110056772918981</v>
      </c>
      <c r="R342" s="453">
        <v>692.50864993394964</v>
      </c>
      <c r="S342" s="453">
        <v>0</v>
      </c>
      <c r="T342" s="453">
        <v>7.9</v>
      </c>
      <c r="U342" s="453">
        <v>0</v>
      </c>
      <c r="V342" s="453">
        <v>0.8</v>
      </c>
      <c r="W342" s="763" t="s">
        <v>742</v>
      </c>
      <c r="X342" s="456">
        <v>44.06</v>
      </c>
      <c r="Y342" s="453">
        <v>27.2</v>
      </c>
      <c r="Z342" s="453">
        <v>18.899999999999999</v>
      </c>
      <c r="AA342" s="519">
        <v>26.830000000001746</v>
      </c>
      <c r="AB342" s="519">
        <v>19</v>
      </c>
      <c r="AC342" s="732">
        <f t="shared" si="5"/>
        <v>45.830000000001746</v>
      </c>
      <c r="AD342" s="668"/>
      <c r="AE342" s="668"/>
      <c r="AF342" s="668"/>
      <c r="AG342" s="668"/>
      <c r="AH342" s="668"/>
      <c r="AI342" s="668"/>
      <c r="AJ342" s="425"/>
      <c r="AK342" s="425"/>
      <c r="AL342" s="425"/>
      <c r="AM342" s="425"/>
      <c r="AN342" s="425"/>
      <c r="AO342" s="456"/>
      <c r="AP342" s="425"/>
      <c r="AQ342" s="453"/>
      <c r="AR342" s="734">
        <v>0</v>
      </c>
      <c r="AS342" s="453">
        <v>20.7</v>
      </c>
      <c r="AT342" s="734">
        <v>0</v>
      </c>
      <c r="AU342" s="453">
        <v>27.9</v>
      </c>
      <c r="AV342" s="519">
        <v>552.79999999999995</v>
      </c>
      <c r="AW342" s="519">
        <v>475.4</v>
      </c>
      <c r="AX342" s="453">
        <v>0</v>
      </c>
      <c r="AY342" s="734">
        <v>0</v>
      </c>
      <c r="AZ342" s="734">
        <v>0</v>
      </c>
      <c r="BA342" s="734">
        <v>0</v>
      </c>
      <c r="BB342" s="453">
        <v>0</v>
      </c>
      <c r="BC342" s="453">
        <v>0</v>
      </c>
      <c r="BD342" s="453">
        <v>0</v>
      </c>
      <c r="BE342" s="734">
        <v>0</v>
      </c>
      <c r="BF342" s="453">
        <v>0</v>
      </c>
      <c r="BG342" s="453">
        <v>0</v>
      </c>
      <c r="BH342" s="734">
        <v>0</v>
      </c>
      <c r="BI342" s="453">
        <v>0</v>
      </c>
      <c r="BJ342" s="453">
        <v>19.100000000000001</v>
      </c>
      <c r="BK342" s="453">
        <v>0</v>
      </c>
      <c r="BL342" s="453">
        <v>0</v>
      </c>
      <c r="BM342" s="453">
        <v>0</v>
      </c>
      <c r="BN342" s="453">
        <v>18.899999999999999</v>
      </c>
      <c r="BO342" s="453">
        <v>1550.2</v>
      </c>
      <c r="BP342" s="453">
        <v>0</v>
      </c>
      <c r="BQ342" s="453">
        <v>17.5</v>
      </c>
      <c r="BR342" s="453">
        <v>17.52</v>
      </c>
      <c r="BS342" s="453">
        <v>0</v>
      </c>
      <c r="BT342" s="453">
        <v>25.2</v>
      </c>
      <c r="BU342" s="453">
        <v>21.5</v>
      </c>
      <c r="BV342" s="456">
        <v>579.6</v>
      </c>
      <c r="BW342" s="453">
        <v>0.8</v>
      </c>
      <c r="BX342" s="453">
        <v>1.47</v>
      </c>
      <c r="BY342" s="456">
        <v>0.89</v>
      </c>
      <c r="BZ342" s="456">
        <v>15.2</v>
      </c>
      <c r="CA342" s="456">
        <v>32.6</v>
      </c>
      <c r="CB342" s="456">
        <v>13.5</v>
      </c>
      <c r="CC342" s="456">
        <v>8.6</v>
      </c>
      <c r="CD342" s="456">
        <v>12.9</v>
      </c>
      <c r="CE342" s="456">
        <v>16.899999999999999</v>
      </c>
      <c r="CF342" s="456">
        <v>13.17</v>
      </c>
      <c r="CG342" s="456">
        <v>389.69</v>
      </c>
      <c r="CH342" s="456">
        <v>2.6</v>
      </c>
      <c r="CI342" s="456">
        <v>3.8</v>
      </c>
      <c r="CJ342" s="456">
        <v>308.10000000000002</v>
      </c>
      <c r="CK342" s="456">
        <v>373.9</v>
      </c>
      <c r="CL342" s="456">
        <v>523.5</v>
      </c>
      <c r="CM342" s="456">
        <v>13.6</v>
      </c>
      <c r="CN342" s="456">
        <v>1.65</v>
      </c>
      <c r="CO342" s="453">
        <v>0</v>
      </c>
      <c r="CP342" s="453">
        <v>17.29</v>
      </c>
      <c r="CQ342" s="453">
        <v>47</v>
      </c>
      <c r="CR342" s="456">
        <v>0</v>
      </c>
      <c r="CS342" s="456">
        <v>0</v>
      </c>
      <c r="CT342" s="456">
        <v>0</v>
      </c>
      <c r="CU342" s="456">
        <v>0</v>
      </c>
      <c r="CV342" s="481">
        <v>1887.9166666666667</v>
      </c>
      <c r="CW342" s="481">
        <v>2838.6458333333335</v>
      </c>
      <c r="CX342" s="481">
        <v>2109.4791666666665</v>
      </c>
      <c r="CY342" s="481">
        <v>1077.6400000000001</v>
      </c>
      <c r="CZ342" s="456"/>
      <c r="DA342" s="456"/>
      <c r="DB342" s="456"/>
      <c r="DC342" s="456"/>
      <c r="DD342" s="456"/>
      <c r="DE342" s="456"/>
      <c r="DF342" s="456"/>
      <c r="DG342" s="425"/>
      <c r="DH342" s="456">
        <v>0</v>
      </c>
      <c r="DI342" s="456">
        <v>0</v>
      </c>
      <c r="DJ342" s="456">
        <v>1.23</v>
      </c>
      <c r="DK342" s="425"/>
      <c r="DL342" s="456"/>
      <c r="DM342" s="456"/>
      <c r="DN342" s="456"/>
      <c r="DO342" s="456"/>
      <c r="DP342" s="456"/>
      <c r="DQ342" s="456"/>
      <c r="DR342" s="456"/>
      <c r="DS342" s="456"/>
      <c r="DT342" s="456"/>
      <c r="DU342" s="456"/>
      <c r="DV342" s="456"/>
      <c r="DW342" s="456"/>
      <c r="DX342" s="456"/>
      <c r="DY342" s="456"/>
      <c r="DZ342" s="456"/>
      <c r="EA342" s="456"/>
      <c r="EB342" s="456"/>
      <c r="EC342" s="456"/>
      <c r="ED342" s="456"/>
      <c r="EE342" s="456">
        <v>0</v>
      </c>
      <c r="EF342" s="456">
        <v>2</v>
      </c>
      <c r="EG342" s="456">
        <v>6.5</v>
      </c>
      <c r="EH342" s="456"/>
      <c r="EI342" s="456"/>
      <c r="EJ342" s="456"/>
      <c r="EK342" s="456"/>
      <c r="EL342" s="456"/>
      <c r="EM342" s="456"/>
      <c r="EN342" s="456"/>
      <c r="EO342" s="425"/>
      <c r="EP342" s="425"/>
      <c r="EQ342" s="425" t="s">
        <v>743</v>
      </c>
      <c r="ER342" s="425">
        <v>1</v>
      </c>
      <c r="ES342" s="425">
        <v>6</v>
      </c>
      <c r="ET342" s="425">
        <v>2500</v>
      </c>
      <c r="EU342" s="666">
        <v>4000</v>
      </c>
      <c r="EV342" s="425">
        <v>100</v>
      </c>
      <c r="EW342" s="425">
        <v>7489220</v>
      </c>
      <c r="EX342" s="425">
        <v>15371</v>
      </c>
      <c r="EY342" s="666">
        <v>17.899999999999999</v>
      </c>
      <c r="EZ342" s="666">
        <v>17.93</v>
      </c>
      <c r="FA342" s="666">
        <v>0</v>
      </c>
      <c r="FB342" s="666">
        <v>1.43</v>
      </c>
      <c r="FC342" s="666">
        <v>1.4</v>
      </c>
      <c r="FD342" s="666">
        <v>0.96</v>
      </c>
      <c r="FE342" s="666">
        <v>0.85</v>
      </c>
      <c r="FF342" s="666">
        <v>100</v>
      </c>
      <c r="FG342" s="666">
        <v>0.23</v>
      </c>
      <c r="FH342" s="666">
        <v>0.33</v>
      </c>
      <c r="FI342" s="666">
        <v>0.55000000000000004</v>
      </c>
      <c r="FJ342" s="666">
        <v>7.86</v>
      </c>
      <c r="FK342" s="666">
        <v>7.9</v>
      </c>
      <c r="FL342" s="666">
        <v>7.85</v>
      </c>
      <c r="FM342" s="666">
        <v>7.5</v>
      </c>
      <c r="FN342" s="666">
        <v>0</v>
      </c>
      <c r="FO342" s="413"/>
    </row>
    <row r="343" spans="1:171" s="416" customFormat="1" ht="15">
      <c r="A343" s="425" t="s">
        <v>8</v>
      </c>
      <c r="B343" s="426">
        <v>40872</v>
      </c>
      <c r="C343" s="418">
        <v>0</v>
      </c>
      <c r="D343" s="518">
        <v>0</v>
      </c>
      <c r="E343" s="453">
        <v>0</v>
      </c>
      <c r="F343" s="453">
        <v>42</v>
      </c>
      <c r="G343" s="453">
        <v>1.55</v>
      </c>
      <c r="H343" s="519">
        <v>24.81</v>
      </c>
      <c r="I343" s="519">
        <v>85.16</v>
      </c>
      <c r="J343" s="453" t="s">
        <v>742</v>
      </c>
      <c r="K343" s="520">
        <v>0.06</v>
      </c>
      <c r="L343" s="453">
        <v>44.659999999999854</v>
      </c>
      <c r="M343" s="453">
        <v>8.1</v>
      </c>
      <c r="N343" s="453">
        <v>0</v>
      </c>
      <c r="O343" s="453">
        <v>0</v>
      </c>
      <c r="P343" s="453">
        <v>1.4</v>
      </c>
      <c r="Q343" s="453">
        <v>1.8042761214198986</v>
      </c>
      <c r="R343" s="453">
        <v>679.55245442536307</v>
      </c>
      <c r="S343" s="453">
        <v>0</v>
      </c>
      <c r="T343" s="453">
        <v>7.87</v>
      </c>
      <c r="U343" s="453">
        <v>0</v>
      </c>
      <c r="V343" s="453">
        <v>0.8</v>
      </c>
      <c r="W343" s="763" t="s">
        <v>742</v>
      </c>
      <c r="X343" s="456">
        <v>44.06</v>
      </c>
      <c r="Y343" s="453">
        <v>26.9</v>
      </c>
      <c r="Z343" s="453">
        <v>18.8</v>
      </c>
      <c r="AA343" s="519">
        <v>26.470000000001164</v>
      </c>
      <c r="AB343" s="519">
        <v>18.900000000001455</v>
      </c>
      <c r="AC343" s="732">
        <f t="shared" si="5"/>
        <v>45.370000000002619</v>
      </c>
      <c r="AD343" s="668"/>
      <c r="AE343" s="668"/>
      <c r="AF343" s="668"/>
      <c r="AG343" s="668"/>
      <c r="AH343" s="668"/>
      <c r="AI343" s="668"/>
      <c r="AJ343" s="425"/>
      <c r="AK343" s="425"/>
      <c r="AL343" s="425"/>
      <c r="AM343" s="425"/>
      <c r="AN343" s="425"/>
      <c r="AO343" s="456"/>
      <c r="AP343" s="425"/>
      <c r="AQ343" s="453"/>
      <c r="AR343" s="734">
        <v>0</v>
      </c>
      <c r="AS343" s="453">
        <v>11.7</v>
      </c>
      <c r="AT343" s="734">
        <v>0</v>
      </c>
      <c r="AU343" s="453">
        <v>27.6</v>
      </c>
      <c r="AV343" s="519">
        <v>285.7</v>
      </c>
      <c r="AW343" s="519">
        <v>363.1</v>
      </c>
      <c r="AX343" s="453">
        <v>0</v>
      </c>
      <c r="AY343" s="734">
        <v>0</v>
      </c>
      <c r="AZ343" s="734">
        <v>0</v>
      </c>
      <c r="BA343" s="734">
        <v>0</v>
      </c>
      <c r="BB343" s="453">
        <v>0</v>
      </c>
      <c r="BC343" s="453">
        <v>0</v>
      </c>
      <c r="BD343" s="453">
        <v>0</v>
      </c>
      <c r="BE343" s="734">
        <v>0</v>
      </c>
      <c r="BF343" s="453">
        <v>0</v>
      </c>
      <c r="BG343" s="453">
        <v>0</v>
      </c>
      <c r="BH343" s="734">
        <v>0</v>
      </c>
      <c r="BI343" s="453">
        <v>0</v>
      </c>
      <c r="BJ343" s="453">
        <v>19.100000000000001</v>
      </c>
      <c r="BK343" s="453">
        <v>0</v>
      </c>
      <c r="BL343" s="453">
        <v>0</v>
      </c>
      <c r="BM343" s="453">
        <v>0</v>
      </c>
      <c r="BN343" s="453">
        <v>18.899999999999999</v>
      </c>
      <c r="BO343" s="453">
        <v>1592.7</v>
      </c>
      <c r="BP343" s="453">
        <v>0</v>
      </c>
      <c r="BQ343" s="453">
        <v>17.899999999999999</v>
      </c>
      <c r="BR343" s="453">
        <v>17.899999999999999</v>
      </c>
      <c r="BS343" s="453">
        <v>0</v>
      </c>
      <c r="BT343" s="453">
        <v>25.4</v>
      </c>
      <c r="BU343" s="453">
        <v>19.8</v>
      </c>
      <c r="BV343" s="456">
        <v>473.3</v>
      </c>
      <c r="BW343" s="453">
        <v>0.57999999999999996</v>
      </c>
      <c r="BX343" s="453">
        <v>1.43</v>
      </c>
      <c r="BY343" s="456">
        <v>0.89</v>
      </c>
      <c r="BZ343" s="456">
        <v>14.5</v>
      </c>
      <c r="CA343" s="456">
        <v>31.8</v>
      </c>
      <c r="CB343" s="456">
        <v>13.45</v>
      </c>
      <c r="CC343" s="456">
        <v>10.199999999999999</v>
      </c>
      <c r="CD343" s="456">
        <v>14.5</v>
      </c>
      <c r="CE343" s="456">
        <v>18.600000000000001</v>
      </c>
      <c r="CF343" s="456">
        <v>12.54</v>
      </c>
      <c r="CG343" s="456">
        <v>529.30999999999995</v>
      </c>
      <c r="CH343" s="456">
        <v>2.2000000000000002</v>
      </c>
      <c r="CI343" s="456">
        <v>3.6</v>
      </c>
      <c r="CJ343" s="456">
        <v>318.89999999999998</v>
      </c>
      <c r="CK343" s="456">
        <v>369</v>
      </c>
      <c r="CL343" s="456">
        <v>520</v>
      </c>
      <c r="CM343" s="456">
        <v>13.8</v>
      </c>
      <c r="CN343" s="456">
        <v>1.7</v>
      </c>
      <c r="CO343" s="453">
        <v>0</v>
      </c>
      <c r="CP343" s="453">
        <v>17.38</v>
      </c>
      <c r="CQ343" s="453">
        <v>47</v>
      </c>
      <c r="CR343" s="456">
        <v>0</v>
      </c>
      <c r="CS343" s="456">
        <v>0</v>
      </c>
      <c r="CT343" s="456">
        <v>0</v>
      </c>
      <c r="CU343" s="456">
        <v>0</v>
      </c>
      <c r="CV343" s="481">
        <v>1415.8333333333333</v>
      </c>
      <c r="CW343" s="481">
        <v>2477.3958333333335</v>
      </c>
      <c r="CX343" s="481">
        <v>1607.7083333333333</v>
      </c>
      <c r="CY343" s="481">
        <v>1078.04</v>
      </c>
      <c r="CZ343" s="456"/>
      <c r="DA343" s="456"/>
      <c r="DB343" s="456"/>
      <c r="DC343" s="456"/>
      <c r="DD343" s="456"/>
      <c r="DE343" s="456"/>
      <c r="DF343" s="456"/>
      <c r="DG343" s="425"/>
      <c r="DH343" s="456">
        <v>0</v>
      </c>
      <c r="DI343" s="456">
        <v>0</v>
      </c>
      <c r="DJ343" s="456">
        <v>1.1200000000000001</v>
      </c>
      <c r="DK343" s="425"/>
      <c r="DL343" s="456"/>
      <c r="DM343" s="456"/>
      <c r="DN343" s="456"/>
      <c r="DO343" s="456"/>
      <c r="DP343" s="456"/>
      <c r="DQ343" s="456"/>
      <c r="DR343" s="456"/>
      <c r="DS343" s="456"/>
      <c r="DT343" s="456"/>
      <c r="DU343" s="456"/>
      <c r="DV343" s="456"/>
      <c r="DW343" s="456"/>
      <c r="DX343" s="456"/>
      <c r="DY343" s="456"/>
      <c r="DZ343" s="456"/>
      <c r="EA343" s="456"/>
      <c r="EB343" s="456"/>
      <c r="EC343" s="456"/>
      <c r="ED343" s="456"/>
      <c r="EE343" s="456">
        <v>0</v>
      </c>
      <c r="EF343" s="456">
        <v>2</v>
      </c>
      <c r="EG343" s="456">
        <v>6.5</v>
      </c>
      <c r="EH343" s="456"/>
      <c r="EI343" s="456"/>
      <c r="EJ343" s="456"/>
      <c r="EK343" s="456"/>
      <c r="EL343" s="456"/>
      <c r="EM343" s="456"/>
      <c r="EN343" s="456"/>
      <c r="EO343" s="425"/>
      <c r="EP343" s="425"/>
      <c r="EQ343" s="425" t="s">
        <v>743</v>
      </c>
      <c r="ER343" s="425">
        <v>1</v>
      </c>
      <c r="ES343" s="425">
        <v>6</v>
      </c>
      <c r="ET343" s="425">
        <v>2400</v>
      </c>
      <c r="EU343" s="666">
        <v>4000</v>
      </c>
      <c r="EV343" s="425">
        <v>90</v>
      </c>
      <c r="EW343" s="425">
        <v>7491216</v>
      </c>
      <c r="EX343" s="425">
        <v>16644</v>
      </c>
      <c r="EY343" s="666">
        <v>18.2</v>
      </c>
      <c r="EZ343" s="666">
        <v>18.2</v>
      </c>
      <c r="FA343" s="666">
        <v>0</v>
      </c>
      <c r="FB343" s="666">
        <v>1.41</v>
      </c>
      <c r="FC343" s="666">
        <v>1.43</v>
      </c>
      <c r="FD343" s="666">
        <v>0.95</v>
      </c>
      <c r="FE343" s="666">
        <v>1.04</v>
      </c>
      <c r="FF343" s="666">
        <v>100</v>
      </c>
      <c r="FG343" s="666">
        <v>0.31</v>
      </c>
      <c r="FH343" s="666">
        <v>0.27</v>
      </c>
      <c r="FI343" s="666">
        <v>0.46</v>
      </c>
      <c r="FJ343" s="666">
        <v>7.99</v>
      </c>
      <c r="FK343" s="666">
        <v>8</v>
      </c>
      <c r="FL343" s="666">
        <v>8</v>
      </c>
      <c r="FM343" s="666">
        <v>7.6</v>
      </c>
      <c r="FN343" s="666">
        <v>0</v>
      </c>
      <c r="FO343" s="413"/>
    </row>
    <row r="344" spans="1:171" s="416" customFormat="1" ht="15">
      <c r="A344" s="425" t="s">
        <v>9</v>
      </c>
      <c r="B344" s="426">
        <v>40873</v>
      </c>
      <c r="C344" s="418">
        <v>0</v>
      </c>
      <c r="D344" s="518">
        <v>7.0000000000000007E-2</v>
      </c>
      <c r="E344" s="453">
        <v>0</v>
      </c>
      <c r="F344" s="453">
        <v>46</v>
      </c>
      <c r="G344" s="453">
        <v>1.5</v>
      </c>
      <c r="H344" s="519">
        <v>5.0599999999999996</v>
      </c>
      <c r="I344" s="519">
        <v>90.3</v>
      </c>
      <c r="J344" s="453" t="s">
        <v>742</v>
      </c>
      <c r="K344" s="520">
        <v>2.2599999999999998</v>
      </c>
      <c r="L344" s="453">
        <v>23.150000000001455</v>
      </c>
      <c r="M344" s="453">
        <v>15.3</v>
      </c>
      <c r="N344" s="453">
        <v>0</v>
      </c>
      <c r="O344" s="453">
        <v>0</v>
      </c>
      <c r="P344" s="453">
        <v>1.47</v>
      </c>
      <c r="Q344" s="453">
        <v>2.1650233645252595</v>
      </c>
      <c r="R344" s="453">
        <v>854.78499867899586</v>
      </c>
      <c r="S344" s="453">
        <v>0</v>
      </c>
      <c r="T344" s="453">
        <v>7.97</v>
      </c>
      <c r="U344" s="453">
        <v>0</v>
      </c>
      <c r="V344" s="453">
        <v>0.79</v>
      </c>
      <c r="W344" s="763" t="s">
        <v>742</v>
      </c>
      <c r="X344" s="456">
        <v>41.360000000000014</v>
      </c>
      <c r="Y344" s="453">
        <v>26.38</v>
      </c>
      <c r="Z344" s="453">
        <v>19.23</v>
      </c>
      <c r="AA344" s="519">
        <v>26.30000000000291</v>
      </c>
      <c r="AB344" s="519">
        <v>21.19999999999709</v>
      </c>
      <c r="AC344" s="732">
        <f t="shared" si="5"/>
        <v>47.5</v>
      </c>
      <c r="AD344" s="668"/>
      <c r="AE344" s="668"/>
      <c r="AF344" s="668"/>
      <c r="AG344" s="668"/>
      <c r="AH344" s="668"/>
      <c r="AI344" s="668"/>
      <c r="AJ344" s="425"/>
      <c r="AK344" s="425"/>
      <c r="AL344" s="425"/>
      <c r="AM344" s="425"/>
      <c r="AN344" s="425"/>
      <c r="AO344" s="456"/>
      <c r="AP344" s="425"/>
      <c r="AQ344" s="453"/>
      <c r="AR344" s="734">
        <v>0</v>
      </c>
      <c r="AS344" s="453">
        <v>11.2</v>
      </c>
      <c r="AT344" s="734">
        <v>0</v>
      </c>
      <c r="AU344" s="453">
        <v>27.2</v>
      </c>
      <c r="AV344" s="519">
        <v>364.8</v>
      </c>
      <c r="AW344" s="519">
        <v>487.8</v>
      </c>
      <c r="AX344" s="453">
        <v>0</v>
      </c>
      <c r="AY344" s="734">
        <v>0</v>
      </c>
      <c r="AZ344" s="734">
        <v>0</v>
      </c>
      <c r="BA344" s="734">
        <v>0</v>
      </c>
      <c r="BB344" s="453">
        <v>0</v>
      </c>
      <c r="BC344" s="453">
        <v>0</v>
      </c>
      <c r="BD344" s="453">
        <v>0.51</v>
      </c>
      <c r="BE344" s="734">
        <v>0</v>
      </c>
      <c r="BF344" s="453">
        <v>0.17</v>
      </c>
      <c r="BG344" s="453">
        <v>0</v>
      </c>
      <c r="BH344" s="734">
        <v>0</v>
      </c>
      <c r="BI344" s="453">
        <v>0</v>
      </c>
      <c r="BJ344" s="453">
        <v>20.8</v>
      </c>
      <c r="BK344" s="453">
        <v>0.94</v>
      </c>
      <c r="BL344" s="453">
        <v>1.39</v>
      </c>
      <c r="BM344" s="453">
        <v>0</v>
      </c>
      <c r="BN344" s="453">
        <v>18.2</v>
      </c>
      <c r="BO344" s="453">
        <v>959.2</v>
      </c>
      <c r="BP344" s="453">
        <v>0</v>
      </c>
      <c r="BQ344" s="453">
        <v>17.8</v>
      </c>
      <c r="BR344" s="453">
        <v>17.8</v>
      </c>
      <c r="BS344" s="453">
        <v>0</v>
      </c>
      <c r="BT344" s="453">
        <v>25</v>
      </c>
      <c r="BU344" s="453">
        <v>21.4</v>
      </c>
      <c r="BV344" s="456">
        <v>441.7</v>
      </c>
      <c r="BW344" s="453">
        <v>0.42</v>
      </c>
      <c r="BX344" s="453">
        <v>1.45</v>
      </c>
      <c r="BY344" s="456">
        <v>0.89</v>
      </c>
      <c r="BZ344" s="456">
        <v>14.5</v>
      </c>
      <c r="CA344" s="456">
        <v>31.6</v>
      </c>
      <c r="CB344" s="456">
        <v>14.7</v>
      </c>
      <c r="CC344" s="456">
        <v>8.4</v>
      </c>
      <c r="CD344" s="456">
        <v>12.6</v>
      </c>
      <c r="CE344" s="456">
        <v>16.7</v>
      </c>
      <c r="CF344" s="456">
        <v>12.62</v>
      </c>
      <c r="CG344" s="456">
        <v>542.79</v>
      </c>
      <c r="CH344" s="456">
        <v>2.4</v>
      </c>
      <c r="CI344" s="456">
        <v>3.5</v>
      </c>
      <c r="CJ344" s="456">
        <v>351.5</v>
      </c>
      <c r="CK344" s="456">
        <v>375.6</v>
      </c>
      <c r="CL344" s="456">
        <v>548.4</v>
      </c>
      <c r="CM344" s="456">
        <v>13.6</v>
      </c>
      <c r="CN344" s="456">
        <v>1.69</v>
      </c>
      <c r="CO344" s="453">
        <v>0</v>
      </c>
      <c r="CP344" s="453">
        <v>17.23</v>
      </c>
      <c r="CQ344" s="453">
        <v>47</v>
      </c>
      <c r="CR344" s="456">
        <v>0</v>
      </c>
      <c r="CS344" s="456">
        <v>0</v>
      </c>
      <c r="CT344" s="456">
        <v>0</v>
      </c>
      <c r="CU344" s="456">
        <v>0</v>
      </c>
      <c r="CV344" s="481">
        <v>1096.6666666666667</v>
      </c>
      <c r="CW344" s="481">
        <v>1701.1458333333333</v>
      </c>
      <c r="CX344" s="481">
        <v>1123.5416666666667</v>
      </c>
      <c r="CY344" s="481">
        <v>1079.51</v>
      </c>
      <c r="CZ344" s="456"/>
      <c r="DA344" s="456"/>
      <c r="DB344" s="456"/>
      <c r="DC344" s="456"/>
      <c r="DD344" s="456"/>
      <c r="DE344" s="456"/>
      <c r="DF344" s="456"/>
      <c r="DG344" s="425"/>
      <c r="DH344" s="456">
        <v>0</v>
      </c>
      <c r="DI344" s="456">
        <v>0</v>
      </c>
      <c r="DJ344" s="456">
        <v>1.21</v>
      </c>
      <c r="DK344" s="425"/>
      <c r="DL344" s="456"/>
      <c r="DM344" s="456"/>
      <c r="DN344" s="456"/>
      <c r="DO344" s="456"/>
      <c r="DP344" s="456"/>
      <c r="DQ344" s="456"/>
      <c r="DR344" s="456"/>
      <c r="DS344" s="456"/>
      <c r="DT344" s="456"/>
      <c r="DU344" s="456"/>
      <c r="DV344" s="456"/>
      <c r="DW344" s="456"/>
      <c r="DX344" s="456"/>
      <c r="DY344" s="456"/>
      <c r="DZ344" s="456"/>
      <c r="EA344" s="456"/>
      <c r="EB344" s="456"/>
      <c r="EC344" s="456"/>
      <c r="ED344" s="456"/>
      <c r="EE344" s="456">
        <v>0</v>
      </c>
      <c r="EF344" s="456">
        <v>2</v>
      </c>
      <c r="EG344" s="456">
        <v>6.5</v>
      </c>
      <c r="EH344" s="456"/>
      <c r="EI344" s="456"/>
      <c r="EJ344" s="456"/>
      <c r="EK344" s="456"/>
      <c r="EL344" s="456"/>
      <c r="EM344" s="456"/>
      <c r="EN344" s="456"/>
      <c r="EO344" s="425"/>
      <c r="EP344" s="425"/>
      <c r="EQ344" s="425" t="s">
        <v>743</v>
      </c>
      <c r="ER344" s="425">
        <v>1</v>
      </c>
      <c r="ES344" s="425">
        <v>6</v>
      </c>
      <c r="ET344" s="425">
        <v>2280</v>
      </c>
      <c r="EU344" s="666">
        <v>4000</v>
      </c>
      <c r="EV344" s="425">
        <v>110</v>
      </c>
      <c r="EW344" s="425">
        <v>7493436</v>
      </c>
      <c r="EX344" s="425">
        <v>17940</v>
      </c>
      <c r="EY344" s="666">
        <v>18.149999999999999</v>
      </c>
      <c r="EZ344" s="666">
        <v>18.149999999999999</v>
      </c>
      <c r="FA344" s="666">
        <v>0</v>
      </c>
      <c r="FB344" s="666">
        <v>1.38</v>
      </c>
      <c r="FC344" s="666">
        <v>1.41</v>
      </c>
      <c r="FD344" s="666">
        <v>0.92</v>
      </c>
      <c r="FE344" s="666">
        <v>0.97</v>
      </c>
      <c r="FF344" s="666">
        <v>120</v>
      </c>
      <c r="FG344" s="666">
        <v>2.2000000000000002</v>
      </c>
      <c r="FH344" s="666">
        <v>0.32</v>
      </c>
      <c r="FI344" s="666">
        <v>0.54</v>
      </c>
      <c r="FJ344" s="666">
        <v>7.94</v>
      </c>
      <c r="FK344" s="666">
        <v>7.8</v>
      </c>
      <c r="FL344" s="666">
        <v>8.11</v>
      </c>
      <c r="FM344" s="666">
        <v>7.6</v>
      </c>
      <c r="FN344" s="666">
        <v>0</v>
      </c>
      <c r="FO344" s="413"/>
    </row>
    <row r="345" spans="1:171" s="416" customFormat="1" ht="15">
      <c r="A345" s="425" t="s">
        <v>3</v>
      </c>
      <c r="B345" s="426">
        <v>40874</v>
      </c>
      <c r="C345" s="418">
        <v>0</v>
      </c>
      <c r="D345" s="518">
        <v>0.89</v>
      </c>
      <c r="E345" s="453">
        <v>0</v>
      </c>
      <c r="F345" s="453">
        <v>42</v>
      </c>
      <c r="G345" s="453">
        <v>2</v>
      </c>
      <c r="H345" s="519">
        <v>52.37</v>
      </c>
      <c r="I345" s="519">
        <v>91</v>
      </c>
      <c r="J345" s="453" t="s">
        <v>742</v>
      </c>
      <c r="K345" s="520">
        <v>2.1800000000000002</v>
      </c>
      <c r="L345" s="453">
        <v>15.829999999999927</v>
      </c>
      <c r="M345" s="453">
        <v>17</v>
      </c>
      <c r="N345" s="453">
        <v>0</v>
      </c>
      <c r="O345" s="453">
        <v>0</v>
      </c>
      <c r="P345" s="453">
        <v>1.57</v>
      </c>
      <c r="Q345" s="453">
        <v>2.1850853223793165</v>
      </c>
      <c r="R345" s="453">
        <v>931.22655217965644</v>
      </c>
      <c r="S345" s="453">
        <v>0</v>
      </c>
      <c r="T345" s="453">
        <v>7.93</v>
      </c>
      <c r="U345" s="453">
        <v>0</v>
      </c>
      <c r="V345" s="453">
        <v>0.8</v>
      </c>
      <c r="W345" s="763" t="s">
        <v>742</v>
      </c>
      <c r="X345" s="456">
        <v>44.06</v>
      </c>
      <c r="Y345" s="453">
        <v>27.39</v>
      </c>
      <c r="Z345" s="453">
        <v>25.54</v>
      </c>
      <c r="AA345" s="519">
        <v>27.279999999998836</v>
      </c>
      <c r="AB345" s="519">
        <v>24.100000000005821</v>
      </c>
      <c r="AC345" s="732">
        <f t="shared" si="5"/>
        <v>51.380000000004657</v>
      </c>
      <c r="AD345" s="668"/>
      <c r="AE345" s="668"/>
      <c r="AF345" s="668"/>
      <c r="AG345" s="668"/>
      <c r="AH345" s="668"/>
      <c r="AI345" s="668"/>
      <c r="AJ345" s="425"/>
      <c r="AK345" s="425"/>
      <c r="AL345" s="425"/>
      <c r="AM345" s="425"/>
      <c r="AN345" s="425"/>
      <c r="AO345" s="456"/>
      <c r="AP345" s="425"/>
      <c r="AQ345" s="453"/>
      <c r="AR345" s="734">
        <v>0</v>
      </c>
      <c r="AS345" s="453">
        <v>11.4</v>
      </c>
      <c r="AT345" s="734">
        <v>0</v>
      </c>
      <c r="AU345" s="453">
        <v>28.1</v>
      </c>
      <c r="AV345" s="519">
        <v>505.5</v>
      </c>
      <c r="AW345" s="519">
        <v>575.70000000000005</v>
      </c>
      <c r="AX345" s="453">
        <v>0</v>
      </c>
      <c r="AY345" s="734">
        <v>0</v>
      </c>
      <c r="AZ345" s="734">
        <v>0</v>
      </c>
      <c r="BA345" s="734">
        <v>0</v>
      </c>
      <c r="BB345" s="453">
        <v>0</v>
      </c>
      <c r="BC345" s="453">
        <v>0</v>
      </c>
      <c r="BD345" s="453">
        <v>1.05</v>
      </c>
      <c r="BE345" s="734">
        <v>0</v>
      </c>
      <c r="BF345" s="453">
        <v>0.35</v>
      </c>
      <c r="BG345" s="453">
        <v>0</v>
      </c>
      <c r="BH345" s="734">
        <v>0</v>
      </c>
      <c r="BI345" s="453">
        <v>0</v>
      </c>
      <c r="BJ345" s="453">
        <v>22.7</v>
      </c>
      <c r="BK345" s="453">
        <v>2.21</v>
      </c>
      <c r="BL345" s="453">
        <v>2.34</v>
      </c>
      <c r="BM345" s="453">
        <v>0</v>
      </c>
      <c r="BN345" s="453">
        <v>18</v>
      </c>
      <c r="BO345" s="453">
        <v>1625.3</v>
      </c>
      <c r="BP345" s="453">
        <v>0</v>
      </c>
      <c r="BQ345" s="453">
        <v>17.75</v>
      </c>
      <c r="BR345" s="453">
        <v>17.7</v>
      </c>
      <c r="BS345" s="453">
        <v>0</v>
      </c>
      <c r="BT345" s="453">
        <v>25.6</v>
      </c>
      <c r="BU345" s="453">
        <v>22.7</v>
      </c>
      <c r="BV345" s="456">
        <v>447.1</v>
      </c>
      <c r="BW345" s="453">
        <v>0.69</v>
      </c>
      <c r="BX345" s="453">
        <v>1.41</v>
      </c>
      <c r="BY345" s="456">
        <v>0.92</v>
      </c>
      <c r="BZ345" s="456">
        <v>14.9</v>
      </c>
      <c r="CA345" s="456">
        <v>31.5</v>
      </c>
      <c r="CB345" s="456">
        <v>14.5</v>
      </c>
      <c r="CC345" s="456">
        <v>9.6999999999999993</v>
      </c>
      <c r="CD345" s="456">
        <v>13.9</v>
      </c>
      <c r="CE345" s="456">
        <v>18</v>
      </c>
      <c r="CF345" s="456">
        <v>12.86</v>
      </c>
      <c r="CG345" s="456">
        <v>541.95000000000005</v>
      </c>
      <c r="CH345" s="456">
        <v>2.4</v>
      </c>
      <c r="CI345" s="456">
        <v>3.1</v>
      </c>
      <c r="CJ345" s="456">
        <v>448.5</v>
      </c>
      <c r="CK345" s="456">
        <v>391.2</v>
      </c>
      <c r="CL345" s="456">
        <v>555.6</v>
      </c>
      <c r="CM345" s="456">
        <v>13.6</v>
      </c>
      <c r="CN345" s="456">
        <v>1.66</v>
      </c>
      <c r="CO345" s="453">
        <v>0</v>
      </c>
      <c r="CP345" s="453">
        <v>17.04</v>
      </c>
      <c r="CQ345" s="453">
        <v>47</v>
      </c>
      <c r="CR345" s="456">
        <v>0</v>
      </c>
      <c r="CS345" s="456">
        <v>0</v>
      </c>
      <c r="CT345" s="456">
        <v>0</v>
      </c>
      <c r="CU345" s="456">
        <v>0</v>
      </c>
      <c r="CV345" s="481">
        <v>1205.8333333333333</v>
      </c>
      <c r="CW345" s="481">
        <v>1695.2083333333333</v>
      </c>
      <c r="CX345" s="481">
        <v>1308.8541666666667</v>
      </c>
      <c r="CY345" s="481">
        <v>1082.3900000000001</v>
      </c>
      <c r="CZ345" s="456"/>
      <c r="DA345" s="456"/>
      <c r="DB345" s="456"/>
      <c r="DC345" s="456"/>
      <c r="DD345" s="456"/>
      <c r="DE345" s="456"/>
      <c r="DF345" s="456"/>
      <c r="DG345" s="425"/>
      <c r="DH345" s="456">
        <v>0</v>
      </c>
      <c r="DI345" s="456">
        <v>0</v>
      </c>
      <c r="DJ345" s="456">
        <v>1.1599999999999999</v>
      </c>
      <c r="DK345" s="425"/>
      <c r="DL345" s="456"/>
      <c r="DM345" s="456"/>
      <c r="DN345" s="456"/>
      <c r="DO345" s="456"/>
      <c r="DP345" s="456"/>
      <c r="DQ345" s="456"/>
      <c r="DR345" s="456"/>
      <c r="DS345" s="456"/>
      <c r="DT345" s="456"/>
      <c r="DU345" s="456"/>
      <c r="DV345" s="456"/>
      <c r="DW345" s="456"/>
      <c r="DX345" s="456"/>
      <c r="DY345" s="456"/>
      <c r="DZ345" s="456"/>
      <c r="EA345" s="456"/>
      <c r="EB345" s="456"/>
      <c r="EC345" s="456"/>
      <c r="ED345" s="456"/>
      <c r="EE345" s="456">
        <v>0</v>
      </c>
      <c r="EF345" s="456">
        <v>2</v>
      </c>
      <c r="EG345" s="456">
        <v>6.5</v>
      </c>
      <c r="EH345" s="456"/>
      <c r="EI345" s="456"/>
      <c r="EJ345" s="456"/>
      <c r="EK345" s="456"/>
      <c r="EL345" s="456"/>
      <c r="EM345" s="456"/>
      <c r="EN345" s="456"/>
      <c r="EO345" s="425"/>
      <c r="EP345" s="425"/>
      <c r="EQ345" s="425" t="s">
        <v>743</v>
      </c>
      <c r="ER345" s="425">
        <v>1</v>
      </c>
      <c r="ES345" s="425">
        <v>6</v>
      </c>
      <c r="ET345" s="425">
        <v>2160</v>
      </c>
      <c r="EU345" s="666">
        <v>4000</v>
      </c>
      <c r="EV345" s="425">
        <v>120</v>
      </c>
      <c r="EW345" s="425">
        <v>7495770</v>
      </c>
      <c r="EX345" s="425">
        <v>19254</v>
      </c>
      <c r="EY345" s="666">
        <v>18</v>
      </c>
      <c r="EZ345" s="666">
        <v>18</v>
      </c>
      <c r="FA345" s="666">
        <v>0</v>
      </c>
      <c r="FB345" s="666">
        <v>1.46</v>
      </c>
      <c r="FC345" s="666">
        <v>1.51</v>
      </c>
      <c r="FD345" s="666">
        <v>0.99</v>
      </c>
      <c r="FE345" s="666">
        <v>1.03</v>
      </c>
      <c r="FF345" s="666">
        <v>120</v>
      </c>
      <c r="FG345" s="666">
        <v>0.34</v>
      </c>
      <c r="FH345" s="666">
        <v>0.46</v>
      </c>
      <c r="FI345" s="666">
        <v>0.77</v>
      </c>
      <c r="FJ345" s="666">
        <v>8.07</v>
      </c>
      <c r="FK345" s="666">
        <v>8</v>
      </c>
      <c r="FL345" s="666">
        <v>8.01</v>
      </c>
      <c r="FM345" s="666">
        <v>7.6</v>
      </c>
      <c r="FN345" s="666">
        <v>0</v>
      </c>
      <c r="FO345" s="413"/>
    </row>
    <row r="346" spans="1:171" s="416" customFormat="1" ht="15">
      <c r="A346" s="425" t="s">
        <v>4</v>
      </c>
      <c r="B346" s="426">
        <v>40875</v>
      </c>
      <c r="C346" s="418">
        <v>0</v>
      </c>
      <c r="D346" s="518">
        <v>0.08</v>
      </c>
      <c r="E346" s="453">
        <v>0</v>
      </c>
      <c r="F346" s="453">
        <v>36</v>
      </c>
      <c r="G346" s="453">
        <v>2.2000000000000002</v>
      </c>
      <c r="H346" s="519">
        <v>19.100000000000001</v>
      </c>
      <c r="I346" s="519">
        <v>82.76</v>
      </c>
      <c r="J346" s="453" t="s">
        <v>742</v>
      </c>
      <c r="K346" s="520">
        <v>7.0000000000000007E-2</v>
      </c>
      <c r="L346" s="453">
        <v>44.889999999999418</v>
      </c>
      <c r="M346" s="453">
        <v>14.9</v>
      </c>
      <c r="N346" s="453" t="s">
        <v>742</v>
      </c>
      <c r="O346" s="453">
        <v>0</v>
      </c>
      <c r="P346" s="453">
        <v>1.46</v>
      </c>
      <c r="Q346" s="453">
        <v>1.8857522468519816</v>
      </c>
      <c r="R346" s="453">
        <v>707.40827476882419</v>
      </c>
      <c r="S346" s="453" t="s">
        <v>742</v>
      </c>
      <c r="T346" s="453">
        <v>7.87</v>
      </c>
      <c r="U346" s="453" t="s">
        <v>742</v>
      </c>
      <c r="V346" s="453">
        <v>0.82</v>
      </c>
      <c r="W346" s="763" t="s">
        <v>742</v>
      </c>
      <c r="X346" s="456">
        <v>47.660000000000011</v>
      </c>
      <c r="Y346" s="453">
        <v>25.88</v>
      </c>
      <c r="Z346" s="453">
        <v>18.559999999999999</v>
      </c>
      <c r="AA346" s="519">
        <v>25.919999999998254</v>
      </c>
      <c r="AB346" s="519">
        <v>18.379999999997381</v>
      </c>
      <c r="AC346" s="732">
        <f t="shared" si="5"/>
        <v>44.299999999995634</v>
      </c>
      <c r="AD346" s="668"/>
      <c r="AE346" s="668"/>
      <c r="AF346" s="668"/>
      <c r="AG346" s="668"/>
      <c r="AH346" s="668"/>
      <c r="AI346" s="668"/>
      <c r="AJ346" s="425"/>
      <c r="AK346" s="425"/>
      <c r="AL346" s="425"/>
      <c r="AM346" s="425"/>
      <c r="AN346" s="425"/>
      <c r="AO346" s="456"/>
      <c r="AP346" s="425"/>
      <c r="AQ346" s="453"/>
      <c r="AR346" s="734">
        <v>0</v>
      </c>
      <c r="AS346" s="453">
        <v>10.6</v>
      </c>
      <c r="AT346" s="734">
        <v>0</v>
      </c>
      <c r="AU346" s="453">
        <v>27</v>
      </c>
      <c r="AV346" s="519">
        <v>568.70000000000005</v>
      </c>
      <c r="AW346" s="519">
        <v>672.7</v>
      </c>
      <c r="AX346" s="453">
        <v>0</v>
      </c>
      <c r="AY346" s="734">
        <v>0</v>
      </c>
      <c r="AZ346" s="734">
        <v>0</v>
      </c>
      <c r="BA346" s="734">
        <v>0</v>
      </c>
      <c r="BB346" s="453">
        <v>0</v>
      </c>
      <c r="BC346" s="453">
        <v>0</v>
      </c>
      <c r="BD346" s="453">
        <v>0</v>
      </c>
      <c r="BE346" s="734">
        <v>0</v>
      </c>
      <c r="BF346" s="453">
        <v>0</v>
      </c>
      <c r="BG346" s="453">
        <v>0</v>
      </c>
      <c r="BH346" s="734">
        <v>0</v>
      </c>
      <c r="BI346" s="453">
        <v>0</v>
      </c>
      <c r="BJ346" s="453">
        <v>19</v>
      </c>
      <c r="BK346" s="453">
        <v>0</v>
      </c>
      <c r="BL346" s="453">
        <v>0</v>
      </c>
      <c r="BM346" s="453">
        <v>0</v>
      </c>
      <c r="BN346" s="453">
        <v>18.8</v>
      </c>
      <c r="BO346" s="453">
        <v>1205.2</v>
      </c>
      <c r="BP346" s="453">
        <v>20</v>
      </c>
      <c r="BQ346" s="453">
        <v>17.7</v>
      </c>
      <c r="BR346" s="453">
        <v>17.7</v>
      </c>
      <c r="BS346" s="453">
        <v>0</v>
      </c>
      <c r="BT346" s="453">
        <v>24.3</v>
      </c>
      <c r="BU346" s="453">
        <v>20.6</v>
      </c>
      <c r="BV346" s="456">
        <v>427.3</v>
      </c>
      <c r="BW346" s="453">
        <v>0.8</v>
      </c>
      <c r="BX346" s="453">
        <v>1.52</v>
      </c>
      <c r="BY346" s="456">
        <v>0.89</v>
      </c>
      <c r="BZ346" s="456">
        <v>14.9</v>
      </c>
      <c r="CA346" s="456">
        <v>31.5</v>
      </c>
      <c r="CB346" s="456">
        <v>14.5</v>
      </c>
      <c r="CC346" s="456">
        <v>9.6999999999999993</v>
      </c>
      <c r="CD346" s="456">
        <v>13.9</v>
      </c>
      <c r="CE346" s="456">
        <v>18</v>
      </c>
      <c r="CF346" s="456">
        <v>12.9</v>
      </c>
      <c r="CG346" s="456">
        <v>552</v>
      </c>
      <c r="CH346" s="456">
        <v>2.2999999999999998</v>
      </c>
      <c r="CI346" s="456">
        <v>3.1</v>
      </c>
      <c r="CJ346" s="456">
        <v>466.3</v>
      </c>
      <c r="CK346" s="456">
        <v>379.1</v>
      </c>
      <c r="CL346" s="456">
        <v>584.79999999999995</v>
      </c>
      <c r="CM346" s="456">
        <v>13.3</v>
      </c>
      <c r="CN346" s="456">
        <v>1.7</v>
      </c>
      <c r="CO346" s="453">
        <v>0</v>
      </c>
      <c r="CP346" s="453">
        <v>16.32</v>
      </c>
      <c r="CQ346" s="453">
        <v>46</v>
      </c>
      <c r="CR346" s="456">
        <v>0</v>
      </c>
      <c r="CS346" s="456">
        <v>0</v>
      </c>
      <c r="CT346" s="456">
        <v>0</v>
      </c>
      <c r="CU346" s="456">
        <v>0</v>
      </c>
      <c r="CV346" s="481">
        <v>1685.8333333333333</v>
      </c>
      <c r="CW346" s="481">
        <v>2206.5625</v>
      </c>
      <c r="CX346" s="481">
        <v>1807.6041666666667</v>
      </c>
      <c r="CY346" s="481">
        <v>1084.73</v>
      </c>
      <c r="CZ346" s="456"/>
      <c r="DA346" s="456"/>
      <c r="DB346" s="456"/>
      <c r="DC346" s="456"/>
      <c r="DD346" s="456"/>
      <c r="DE346" s="456"/>
      <c r="DF346" s="456"/>
      <c r="DG346" s="425"/>
      <c r="DH346" s="456">
        <v>0</v>
      </c>
      <c r="DI346" s="456" t="s">
        <v>755</v>
      </c>
      <c r="DJ346" s="456">
        <v>1.1499999999999999</v>
      </c>
      <c r="DK346" s="425"/>
      <c r="DL346" s="456"/>
      <c r="DM346" s="456"/>
      <c r="DN346" s="456"/>
      <c r="DO346" s="456"/>
      <c r="DP346" s="456"/>
      <c r="DQ346" s="456"/>
      <c r="DR346" s="456"/>
      <c r="DS346" s="456"/>
      <c r="DT346" s="456"/>
      <c r="DU346" s="456"/>
      <c r="DV346" s="456"/>
      <c r="DW346" s="456"/>
      <c r="DX346" s="456"/>
      <c r="DY346" s="456"/>
      <c r="DZ346" s="456"/>
      <c r="EA346" s="456"/>
      <c r="EB346" s="456"/>
      <c r="EC346" s="456"/>
      <c r="ED346" s="456"/>
      <c r="EE346" s="456">
        <v>0</v>
      </c>
      <c r="EF346" s="456">
        <v>2</v>
      </c>
      <c r="EG346" s="456">
        <v>6.5</v>
      </c>
      <c r="EH346" s="456"/>
      <c r="EI346" s="456"/>
      <c r="EJ346" s="456"/>
      <c r="EK346" s="456"/>
      <c r="EL346" s="456"/>
      <c r="EM346" s="456"/>
      <c r="EN346" s="456"/>
      <c r="EO346" s="425"/>
      <c r="EP346" s="425"/>
      <c r="EQ346" s="425" t="s">
        <v>743</v>
      </c>
      <c r="ER346" s="425">
        <v>1</v>
      </c>
      <c r="ES346" s="425">
        <v>6</v>
      </c>
      <c r="ET346" s="425">
        <v>2940</v>
      </c>
      <c r="EU346" s="666">
        <v>4000</v>
      </c>
      <c r="EV346" s="425">
        <v>150</v>
      </c>
      <c r="EW346" s="425">
        <v>7497855</v>
      </c>
      <c r="EX346" s="425">
        <v>20505</v>
      </c>
      <c r="EY346" s="666">
        <v>18</v>
      </c>
      <c r="EZ346" s="666">
        <v>18</v>
      </c>
      <c r="FA346" s="666">
        <v>0</v>
      </c>
      <c r="FB346" s="666">
        <v>1.53</v>
      </c>
      <c r="FC346" s="666">
        <v>1.49</v>
      </c>
      <c r="FD346" s="666">
        <v>1.02</v>
      </c>
      <c r="FE346" s="666">
        <v>1.05</v>
      </c>
      <c r="FF346" s="666">
        <v>120</v>
      </c>
      <c r="FG346" s="666">
        <v>0.33</v>
      </c>
      <c r="FH346" s="666">
        <v>0.33</v>
      </c>
      <c r="FI346" s="666">
        <v>0.61</v>
      </c>
      <c r="FJ346" s="666">
        <v>7.94</v>
      </c>
      <c r="FK346" s="666">
        <v>7.9</v>
      </c>
      <c r="FL346" s="666">
        <v>7.97</v>
      </c>
      <c r="FM346" s="666">
        <v>7.6</v>
      </c>
      <c r="FN346" s="666">
        <v>0</v>
      </c>
      <c r="FO346" s="413"/>
    </row>
    <row r="347" spans="1:171" s="416" customFormat="1" ht="15">
      <c r="A347" s="425" t="s">
        <v>5</v>
      </c>
      <c r="B347" s="426">
        <v>40876</v>
      </c>
      <c r="C347" s="418">
        <v>0</v>
      </c>
      <c r="D347" s="518">
        <v>0.5</v>
      </c>
      <c r="E347" s="453">
        <v>0</v>
      </c>
      <c r="F347" s="453">
        <v>41</v>
      </c>
      <c r="G347" s="453">
        <v>2.1</v>
      </c>
      <c r="H347" s="519">
        <v>5.28</v>
      </c>
      <c r="I347" s="519">
        <v>88.28</v>
      </c>
      <c r="J347" s="453" t="s">
        <v>742</v>
      </c>
      <c r="K347" s="520">
        <v>2.4300000000000002</v>
      </c>
      <c r="L347" s="453">
        <v>26</v>
      </c>
      <c r="M347" s="453">
        <v>18.8</v>
      </c>
      <c r="N347" s="453" t="s">
        <v>742</v>
      </c>
      <c r="O347" s="453" t="s">
        <v>742</v>
      </c>
      <c r="P347" s="453">
        <v>1.55</v>
      </c>
      <c r="Q347" s="453">
        <v>2.1110347864376924</v>
      </c>
      <c r="R347" s="453">
        <v>792.27135535006596</v>
      </c>
      <c r="S347" s="453" t="s">
        <v>742</v>
      </c>
      <c r="T347" s="453">
        <v>7.95</v>
      </c>
      <c r="U347" s="453" t="s">
        <v>742</v>
      </c>
      <c r="V347" s="453">
        <v>0.8</v>
      </c>
      <c r="W347" s="763" t="s">
        <v>742</v>
      </c>
      <c r="X347" s="456">
        <v>47.3</v>
      </c>
      <c r="Y347" s="453">
        <v>25.78</v>
      </c>
      <c r="Z347" s="453">
        <v>18.98</v>
      </c>
      <c r="AA347" s="519">
        <v>25.4</v>
      </c>
      <c r="AB347" s="519">
        <v>19.170000000000002</v>
      </c>
      <c r="AC347" s="732">
        <f t="shared" si="5"/>
        <v>44.57</v>
      </c>
      <c r="AD347" s="668"/>
      <c r="AE347" s="668"/>
      <c r="AF347" s="668"/>
      <c r="AG347" s="668"/>
      <c r="AH347" s="668"/>
      <c r="AI347" s="668"/>
      <c r="AJ347" s="425"/>
      <c r="AK347" s="425"/>
      <c r="AL347" s="425"/>
      <c r="AM347" s="425"/>
      <c r="AN347" s="425"/>
      <c r="AO347" s="456"/>
      <c r="AP347" s="425"/>
      <c r="AQ347" s="453"/>
      <c r="AR347" s="734">
        <v>0</v>
      </c>
      <c r="AS347" s="453">
        <v>10.8</v>
      </c>
      <c r="AT347" s="734">
        <v>0</v>
      </c>
      <c r="AU347" s="453">
        <v>26.5</v>
      </c>
      <c r="AV347" s="519">
        <v>308.89999999999998</v>
      </c>
      <c r="AW347" s="519">
        <v>347.2</v>
      </c>
      <c r="AX347" s="453">
        <v>0</v>
      </c>
      <c r="AY347" s="734">
        <v>0</v>
      </c>
      <c r="AZ347" s="734">
        <v>0</v>
      </c>
      <c r="BA347" s="734">
        <v>0</v>
      </c>
      <c r="BB347" s="453">
        <v>0</v>
      </c>
      <c r="BC347" s="453">
        <v>0</v>
      </c>
      <c r="BD347" s="453">
        <v>0</v>
      </c>
      <c r="BE347" s="734">
        <v>0</v>
      </c>
      <c r="BF347" s="453">
        <v>0</v>
      </c>
      <c r="BG347" s="453">
        <v>0</v>
      </c>
      <c r="BH347" s="734">
        <v>0</v>
      </c>
      <c r="BI347" s="453">
        <v>0</v>
      </c>
      <c r="BJ347" s="453">
        <v>19.2</v>
      </c>
      <c r="BK347" s="453">
        <v>0</v>
      </c>
      <c r="BL347" s="453">
        <v>0</v>
      </c>
      <c r="BM347" s="453">
        <v>0</v>
      </c>
      <c r="BN347" s="453">
        <v>18.899999999999999</v>
      </c>
      <c r="BO347" s="453">
        <v>893.5</v>
      </c>
      <c r="BP347" s="453">
        <v>58</v>
      </c>
      <c r="BQ347" s="453">
        <v>17.7</v>
      </c>
      <c r="BR347" s="453">
        <v>17.7</v>
      </c>
      <c r="BS347" s="453">
        <v>0</v>
      </c>
      <c r="BT347" s="453">
        <v>24.4</v>
      </c>
      <c r="BU347" s="453">
        <v>19.899999999999999</v>
      </c>
      <c r="BV347" s="456">
        <v>440.7</v>
      </c>
      <c r="BW347" s="453">
        <v>0.57999999999999996</v>
      </c>
      <c r="BX347" s="453">
        <v>1.54</v>
      </c>
      <c r="BY347" s="456">
        <v>0.9</v>
      </c>
      <c r="BZ347" s="456">
        <v>14.9</v>
      </c>
      <c r="CA347" s="456">
        <v>31.5</v>
      </c>
      <c r="CB347" s="456">
        <v>13.8</v>
      </c>
      <c r="CC347" s="456">
        <v>9.3000000000000007</v>
      </c>
      <c r="CD347" s="456">
        <v>13.3</v>
      </c>
      <c r="CE347" s="456">
        <v>18</v>
      </c>
      <c r="CF347" s="456">
        <v>12.9</v>
      </c>
      <c r="CG347" s="456">
        <v>527.1</v>
      </c>
      <c r="CH347" s="456">
        <v>2.1</v>
      </c>
      <c r="CI347" s="456">
        <v>2.7</v>
      </c>
      <c r="CJ347" s="456">
        <v>399.7</v>
      </c>
      <c r="CK347" s="456">
        <v>363.8</v>
      </c>
      <c r="CL347" s="456">
        <v>594.9</v>
      </c>
      <c r="CM347" s="456">
        <v>13.7</v>
      </c>
      <c r="CN347" s="456">
        <v>1.7</v>
      </c>
      <c r="CO347" s="453">
        <v>0</v>
      </c>
      <c r="CP347" s="453">
        <v>15.69</v>
      </c>
      <c r="CQ347" s="453">
        <v>47</v>
      </c>
      <c r="CR347" s="456">
        <v>0</v>
      </c>
      <c r="CS347" s="456">
        <v>0</v>
      </c>
      <c r="CT347" s="456">
        <v>0</v>
      </c>
      <c r="CU347" s="456">
        <v>0</v>
      </c>
      <c r="CV347" s="481">
        <v>1827.0833333333333</v>
      </c>
      <c r="CW347" s="481">
        <v>2436.9791666666665</v>
      </c>
      <c r="CX347" s="481">
        <v>1910.4166666666667</v>
      </c>
      <c r="CY347" s="481">
        <v>1080.28</v>
      </c>
      <c r="CZ347" s="456"/>
      <c r="DA347" s="456"/>
      <c r="DB347" s="456"/>
      <c r="DC347" s="456"/>
      <c r="DD347" s="456"/>
      <c r="DE347" s="456"/>
      <c r="DF347" s="456"/>
      <c r="DG347" s="425"/>
      <c r="DH347" s="456">
        <v>0</v>
      </c>
      <c r="DI347" s="456">
        <v>0</v>
      </c>
      <c r="DJ347" s="456">
        <v>1.21</v>
      </c>
      <c r="DK347" s="425"/>
      <c r="DL347" s="456"/>
      <c r="DM347" s="456"/>
      <c r="DN347" s="456"/>
      <c r="DO347" s="456"/>
      <c r="DP347" s="456"/>
      <c r="DQ347" s="456"/>
      <c r="DR347" s="456"/>
      <c r="DS347" s="456"/>
      <c r="DT347" s="456"/>
      <c r="DU347" s="456"/>
      <c r="DV347" s="456"/>
      <c r="DW347" s="456"/>
      <c r="DX347" s="456"/>
      <c r="DY347" s="456"/>
      <c r="DZ347" s="456"/>
      <c r="EA347" s="456"/>
      <c r="EB347" s="456"/>
      <c r="EC347" s="456"/>
      <c r="ED347" s="456"/>
      <c r="EE347" s="456">
        <v>0</v>
      </c>
      <c r="EF347" s="456">
        <v>2</v>
      </c>
      <c r="EG347" s="456">
        <v>6.5</v>
      </c>
      <c r="EH347" s="456"/>
      <c r="EI347" s="456"/>
      <c r="EJ347" s="456"/>
      <c r="EK347" s="456"/>
      <c r="EL347" s="456"/>
      <c r="EM347" s="456"/>
      <c r="EN347" s="456"/>
      <c r="EO347" s="425"/>
      <c r="EP347" s="425"/>
      <c r="EQ347" s="425" t="s">
        <v>743</v>
      </c>
      <c r="ER347" s="425">
        <v>1</v>
      </c>
      <c r="ES347" s="425">
        <v>6</v>
      </c>
      <c r="ET347" s="425">
        <v>1920</v>
      </c>
      <c r="EU347" s="666">
        <v>4000</v>
      </c>
      <c r="EV347" s="425">
        <v>110</v>
      </c>
      <c r="EW347" s="425">
        <v>7500060</v>
      </c>
      <c r="EX347" s="425">
        <v>21843</v>
      </c>
      <c r="EY347" s="666">
        <v>17.86</v>
      </c>
      <c r="EZ347" s="666">
        <v>17.82</v>
      </c>
      <c r="FA347" s="666">
        <v>0</v>
      </c>
      <c r="FB347" s="666">
        <v>1.37</v>
      </c>
      <c r="FC347" s="666">
        <v>1.41</v>
      </c>
      <c r="FD347" s="666">
        <v>0.96599999999999997</v>
      </c>
      <c r="FE347" s="666">
        <v>0.98</v>
      </c>
      <c r="FF347" s="666">
        <v>120</v>
      </c>
      <c r="FG347" s="666">
        <v>2.02</v>
      </c>
      <c r="FH347" s="666">
        <v>0.36699999999999999</v>
      </c>
      <c r="FI347" s="666">
        <v>0.76</v>
      </c>
      <c r="FJ347" s="666">
        <v>7.98</v>
      </c>
      <c r="FK347" s="666">
        <v>8</v>
      </c>
      <c r="FL347" s="666">
        <v>7.8</v>
      </c>
      <c r="FM347" s="666">
        <v>7.8</v>
      </c>
      <c r="FN347" s="666">
        <v>0</v>
      </c>
      <c r="FO347" s="413"/>
    </row>
    <row r="348" spans="1:171" s="416" customFormat="1" ht="15">
      <c r="A348" s="425" t="s">
        <v>6</v>
      </c>
      <c r="B348" s="426">
        <v>40877</v>
      </c>
      <c r="C348" s="418">
        <v>0</v>
      </c>
      <c r="D348" s="518">
        <v>0.11</v>
      </c>
      <c r="E348" s="453">
        <v>0</v>
      </c>
      <c r="F348" s="453">
        <v>32</v>
      </c>
      <c r="G348" s="453">
        <v>1.8</v>
      </c>
      <c r="H348" s="519">
        <v>7.09</v>
      </c>
      <c r="I348" s="519">
        <v>87.9</v>
      </c>
      <c r="J348" s="453" t="s">
        <v>742</v>
      </c>
      <c r="K348" s="520">
        <v>2.2799999999999998</v>
      </c>
      <c r="L348" s="453">
        <v>19.25</v>
      </c>
      <c r="M348" s="453">
        <v>19.399999999999999</v>
      </c>
      <c r="N348" s="453" t="s">
        <v>742</v>
      </c>
      <c r="O348" s="453">
        <v>0</v>
      </c>
      <c r="P348" s="453">
        <v>1.66</v>
      </c>
      <c r="Q348" s="453">
        <v>2.3094737185447194</v>
      </c>
      <c r="R348" s="453">
        <v>842.47661294583872</v>
      </c>
      <c r="S348" s="453" t="s">
        <v>742</v>
      </c>
      <c r="T348" s="453">
        <v>7.96</v>
      </c>
      <c r="U348" s="453" t="s">
        <v>742</v>
      </c>
      <c r="V348" s="453">
        <v>0.79</v>
      </c>
      <c r="W348" s="763" t="s">
        <v>742</v>
      </c>
      <c r="X348" s="456">
        <v>42.44</v>
      </c>
      <c r="Y348" s="453">
        <v>25.13</v>
      </c>
      <c r="Z348" s="453">
        <v>19.09</v>
      </c>
      <c r="AA348" s="519">
        <v>25.1</v>
      </c>
      <c r="AB348" s="519">
        <v>19.329999999999998</v>
      </c>
      <c r="AC348" s="732">
        <f t="shared" si="5"/>
        <v>44.43</v>
      </c>
      <c r="AD348" s="668"/>
      <c r="AE348" s="668"/>
      <c r="AF348" s="668"/>
      <c r="AG348" s="668"/>
      <c r="AH348" s="668"/>
      <c r="AI348" s="668"/>
      <c r="AJ348" s="425"/>
      <c r="AK348" s="425"/>
      <c r="AL348" s="425"/>
      <c r="AM348" s="425"/>
      <c r="AN348" s="425"/>
      <c r="AO348" s="456"/>
      <c r="AP348" s="425"/>
      <c r="AQ348" s="453"/>
      <c r="AR348" s="734">
        <v>0</v>
      </c>
      <c r="AS348" s="453">
        <v>10.6</v>
      </c>
      <c r="AT348" s="734">
        <v>0</v>
      </c>
      <c r="AU348" s="453">
        <v>26</v>
      </c>
      <c r="AV348" s="519">
        <v>384.5</v>
      </c>
      <c r="AW348" s="519">
        <v>447.4</v>
      </c>
      <c r="AX348" s="453">
        <v>0</v>
      </c>
      <c r="AY348" s="734">
        <v>0</v>
      </c>
      <c r="AZ348" s="734">
        <v>0</v>
      </c>
      <c r="BA348" s="734">
        <v>0</v>
      </c>
      <c r="BB348" s="453">
        <v>0</v>
      </c>
      <c r="BC348" s="453">
        <v>0</v>
      </c>
      <c r="BD348" s="453">
        <v>0</v>
      </c>
      <c r="BE348" s="734">
        <v>0</v>
      </c>
      <c r="BF348" s="453">
        <v>0</v>
      </c>
      <c r="BG348" s="453">
        <v>0</v>
      </c>
      <c r="BH348" s="734">
        <v>0</v>
      </c>
      <c r="BI348" s="453">
        <v>0</v>
      </c>
      <c r="BJ348" s="453">
        <v>19.399999999999999</v>
      </c>
      <c r="BK348" s="453">
        <v>0</v>
      </c>
      <c r="BL348" s="453">
        <v>0</v>
      </c>
      <c r="BM348" s="453">
        <v>0</v>
      </c>
      <c r="BN348" s="453">
        <v>19.100000000000001</v>
      </c>
      <c r="BO348" s="453">
        <v>1587.5</v>
      </c>
      <c r="BP348" s="453">
        <v>0</v>
      </c>
      <c r="BQ348" s="453">
        <v>17.899999999999999</v>
      </c>
      <c r="BR348" s="453">
        <v>17.899999999999999</v>
      </c>
      <c r="BS348" s="453">
        <v>0</v>
      </c>
      <c r="BT348" s="453">
        <v>23.7</v>
      </c>
      <c r="BU348" s="453">
        <v>20</v>
      </c>
      <c r="BV348" s="456">
        <v>437.2</v>
      </c>
      <c r="BW348" s="453">
        <v>0.75</v>
      </c>
      <c r="BX348" s="453">
        <v>1.37</v>
      </c>
      <c r="BY348" s="456">
        <v>0.89</v>
      </c>
      <c r="BZ348" s="456">
        <v>14.7</v>
      </c>
      <c r="CA348" s="456">
        <v>31.9</v>
      </c>
      <c r="CB348" s="456">
        <v>14.8</v>
      </c>
      <c r="CC348" s="456">
        <v>8.1</v>
      </c>
      <c r="CD348" s="456">
        <v>12.4</v>
      </c>
      <c r="CE348" s="456">
        <v>16.5</v>
      </c>
      <c r="CF348" s="456">
        <v>12.9</v>
      </c>
      <c r="CG348" s="456">
        <v>548.5</v>
      </c>
      <c r="CH348" s="456">
        <v>2.2999999999999998</v>
      </c>
      <c r="CI348" s="456">
        <v>3.3</v>
      </c>
      <c r="CJ348" s="456">
        <v>409.8</v>
      </c>
      <c r="CK348" s="456">
        <v>359.1</v>
      </c>
      <c r="CL348" s="456">
        <v>588.9</v>
      </c>
      <c r="CM348" s="456">
        <v>13.7</v>
      </c>
      <c r="CN348" s="456">
        <v>1.7</v>
      </c>
      <c r="CO348" s="453">
        <v>0</v>
      </c>
      <c r="CP348" s="453">
        <v>16.170000000000002</v>
      </c>
      <c r="CQ348" s="453">
        <v>46</v>
      </c>
      <c r="CR348" s="456">
        <v>0</v>
      </c>
      <c r="CS348" s="456">
        <v>0</v>
      </c>
      <c r="CT348" s="456">
        <v>0</v>
      </c>
      <c r="CU348" s="456">
        <v>0</v>
      </c>
      <c r="CV348" s="481">
        <v>1582.0833333333333</v>
      </c>
      <c r="CW348" s="481">
        <v>2224.7916666666665</v>
      </c>
      <c r="CX348" s="481">
        <v>1643.4375</v>
      </c>
      <c r="CY348" s="481">
        <v>1076.58</v>
      </c>
      <c r="CZ348" s="456"/>
      <c r="DA348" s="456"/>
      <c r="DB348" s="456"/>
      <c r="DC348" s="456"/>
      <c r="DD348" s="456"/>
      <c r="DE348" s="456"/>
      <c r="DF348" s="456"/>
      <c r="DG348" s="425"/>
      <c r="DH348" s="456">
        <v>0</v>
      </c>
      <c r="DI348" s="456" t="s">
        <v>756</v>
      </c>
      <c r="DJ348" s="456">
        <v>1.1399999999999999</v>
      </c>
      <c r="DK348" s="425"/>
      <c r="DL348" s="456"/>
      <c r="DM348" s="456"/>
      <c r="DN348" s="456"/>
      <c r="DO348" s="456"/>
      <c r="DP348" s="456"/>
      <c r="DQ348" s="456"/>
      <c r="DR348" s="456"/>
      <c r="DS348" s="456"/>
      <c r="DT348" s="456"/>
      <c r="DU348" s="456"/>
      <c r="DV348" s="456"/>
      <c r="DW348" s="456"/>
      <c r="DX348" s="456"/>
      <c r="DY348" s="456"/>
      <c r="DZ348" s="456"/>
      <c r="EA348" s="456"/>
      <c r="EB348" s="456"/>
      <c r="EC348" s="456"/>
      <c r="ED348" s="456"/>
      <c r="EE348" s="456">
        <v>0</v>
      </c>
      <c r="EF348" s="456">
        <v>2</v>
      </c>
      <c r="EG348" s="456">
        <v>6.5</v>
      </c>
      <c r="EH348" s="456"/>
      <c r="EI348" s="456"/>
      <c r="EJ348" s="456"/>
      <c r="EK348" s="456"/>
      <c r="EL348" s="456"/>
      <c r="EM348" s="456"/>
      <c r="EN348" s="456"/>
      <c r="EO348" s="425"/>
      <c r="EP348" s="425"/>
      <c r="EQ348" s="425" t="s">
        <v>743</v>
      </c>
      <c r="ER348" s="425">
        <v>1</v>
      </c>
      <c r="ES348" s="425">
        <v>6</v>
      </c>
      <c r="ET348" s="425">
        <v>1805</v>
      </c>
      <c r="EU348" s="666">
        <v>4000</v>
      </c>
      <c r="EV348" s="425">
        <v>115</v>
      </c>
      <c r="EW348" s="425">
        <v>7502007</v>
      </c>
      <c r="EX348" s="425">
        <v>23136</v>
      </c>
      <c r="EY348" s="666">
        <v>18.3</v>
      </c>
      <c r="EZ348" s="666">
        <v>18.29</v>
      </c>
      <c r="FA348" s="666">
        <v>0</v>
      </c>
      <c r="FB348" s="666">
        <v>1.41</v>
      </c>
      <c r="FC348" s="666">
        <v>1.47</v>
      </c>
      <c r="FD348" s="666">
        <v>0.93200000000000005</v>
      </c>
      <c r="FE348" s="666">
        <v>0.96</v>
      </c>
      <c r="FF348" s="666">
        <v>115</v>
      </c>
      <c r="FG348" s="666">
        <v>2.67</v>
      </c>
      <c r="FH348" s="666">
        <v>0.53</v>
      </c>
      <c r="FI348" s="666">
        <v>1.33</v>
      </c>
      <c r="FJ348" s="666">
        <v>8.02</v>
      </c>
      <c r="FK348" s="666">
        <v>7.8</v>
      </c>
      <c r="FL348" s="666">
        <v>7.91</v>
      </c>
      <c r="FM348" s="666">
        <v>7.8</v>
      </c>
      <c r="FN348" s="666">
        <v>0</v>
      </c>
      <c r="FO348" s="413"/>
    </row>
    <row r="349" spans="1:171" s="416" customFormat="1" ht="15">
      <c r="A349" s="425" t="s">
        <v>7</v>
      </c>
      <c r="B349" s="426">
        <v>40878</v>
      </c>
      <c r="C349" s="418">
        <v>0</v>
      </c>
      <c r="D349" s="518">
        <v>0</v>
      </c>
      <c r="E349" s="453">
        <v>0</v>
      </c>
      <c r="F349" s="453">
        <v>35</v>
      </c>
      <c r="G349" s="453">
        <v>1.35</v>
      </c>
      <c r="H349" s="519">
        <v>40.18</v>
      </c>
      <c r="I349" s="519">
        <v>89.3</v>
      </c>
      <c r="J349" s="453" t="s">
        <v>742</v>
      </c>
      <c r="K349" s="520">
        <v>1.69</v>
      </c>
      <c r="L349" s="453">
        <v>40.950000000000728</v>
      </c>
      <c r="M349" s="453">
        <v>16.2</v>
      </c>
      <c r="N349" s="453" t="s">
        <v>742</v>
      </c>
      <c r="O349" s="453">
        <v>0</v>
      </c>
      <c r="P349" s="453">
        <v>1.61</v>
      </c>
      <c r="Q349" s="453">
        <v>2.0288380908620982</v>
      </c>
      <c r="R349" s="453">
        <v>778.3434451783354</v>
      </c>
      <c r="S349" s="453" t="s">
        <v>742</v>
      </c>
      <c r="T349" s="453">
        <v>7.88</v>
      </c>
      <c r="U349" s="453" t="s">
        <v>742</v>
      </c>
      <c r="V349" s="453">
        <v>0.82</v>
      </c>
      <c r="W349" s="763" t="s">
        <v>742</v>
      </c>
      <c r="X349" s="456">
        <v>43.34</v>
      </c>
      <c r="Y349" s="453">
        <v>26.88</v>
      </c>
      <c r="Z349" s="453">
        <v>19.28</v>
      </c>
      <c r="AA349" s="519">
        <v>26.869999999995343</v>
      </c>
      <c r="AB349" s="519">
        <v>19.360000000000582</v>
      </c>
      <c r="AC349" s="732">
        <f t="shared" si="5"/>
        <v>46.229999999995925</v>
      </c>
      <c r="AD349" s="668"/>
      <c r="AE349" s="668"/>
      <c r="AF349" s="668"/>
      <c r="AG349" s="668"/>
      <c r="AH349" s="668"/>
      <c r="AI349" s="668"/>
      <c r="AJ349" s="425"/>
      <c r="AK349" s="425"/>
      <c r="AL349" s="425"/>
      <c r="AM349" s="425"/>
      <c r="AN349" s="425"/>
      <c r="AO349" s="456"/>
      <c r="AP349" s="425"/>
      <c r="AQ349" s="453"/>
      <c r="AR349" s="734">
        <v>0</v>
      </c>
      <c r="AS349" s="453">
        <v>20.9</v>
      </c>
      <c r="AT349" s="734">
        <v>0</v>
      </c>
      <c r="AU349" s="453">
        <v>28</v>
      </c>
      <c r="AV349" s="849">
        <v>336.3</v>
      </c>
      <c r="AW349" s="519">
        <v>434.5</v>
      </c>
      <c r="AX349" s="453">
        <v>0</v>
      </c>
      <c r="AY349" s="734">
        <v>0</v>
      </c>
      <c r="AZ349" s="734">
        <v>0</v>
      </c>
      <c r="BA349" s="734">
        <v>0</v>
      </c>
      <c r="BB349" s="453">
        <v>0</v>
      </c>
      <c r="BC349" s="453">
        <v>0</v>
      </c>
      <c r="BD349" s="453">
        <v>0</v>
      </c>
      <c r="BE349" s="734">
        <v>0</v>
      </c>
      <c r="BF349" s="453">
        <v>0</v>
      </c>
      <c r="BG349" s="453">
        <v>0</v>
      </c>
      <c r="BH349" s="734">
        <v>0</v>
      </c>
      <c r="BI349" s="453">
        <v>0</v>
      </c>
      <c r="BJ349" s="453">
        <v>19.600000000000001</v>
      </c>
      <c r="BK349" s="453">
        <v>0</v>
      </c>
      <c r="BL349" s="453">
        <v>0</v>
      </c>
      <c r="BM349" s="453">
        <v>0</v>
      </c>
      <c r="BN349" s="453">
        <v>19.3</v>
      </c>
      <c r="BO349" s="453">
        <v>745.1</v>
      </c>
      <c r="BP349" s="453">
        <v>0</v>
      </c>
      <c r="BQ349" s="453">
        <v>17.899999999999999</v>
      </c>
      <c r="BR349" s="453">
        <v>17.899999999999999</v>
      </c>
      <c r="BS349" s="453">
        <v>0</v>
      </c>
      <c r="BT349" s="453">
        <v>25.6</v>
      </c>
      <c r="BU349" s="453">
        <v>19.3</v>
      </c>
      <c r="BV349" s="456">
        <v>420.2</v>
      </c>
      <c r="BW349" s="453">
        <v>0.94</v>
      </c>
      <c r="BX349" s="453">
        <v>1.47</v>
      </c>
      <c r="BY349" s="456">
        <v>0.89</v>
      </c>
      <c r="BZ349" s="456">
        <v>14.3</v>
      </c>
      <c r="CA349" s="456">
        <v>31.8</v>
      </c>
      <c r="CB349" s="456">
        <v>14.2</v>
      </c>
      <c r="CC349" s="456">
        <v>10.1</v>
      </c>
      <c r="CD349" s="456">
        <v>14.4</v>
      </c>
      <c r="CE349" s="456">
        <v>18.5</v>
      </c>
      <c r="CF349" s="456">
        <v>12.4</v>
      </c>
      <c r="CG349" s="456">
        <v>546.70000000000005</v>
      </c>
      <c r="CH349" s="456">
        <v>2.2999999999999998</v>
      </c>
      <c r="CI349" s="456">
        <v>2.6</v>
      </c>
      <c r="CJ349" s="456">
        <v>387.5</v>
      </c>
      <c r="CK349" s="456">
        <v>371.4</v>
      </c>
      <c r="CL349" s="456">
        <v>575.20000000000005</v>
      </c>
      <c r="CM349" s="456">
        <v>13.9</v>
      </c>
      <c r="CN349" s="456">
        <v>1.8</v>
      </c>
      <c r="CO349" s="453">
        <v>0</v>
      </c>
      <c r="CP349" s="453">
        <v>15.98</v>
      </c>
      <c r="CQ349" s="453">
        <v>46</v>
      </c>
      <c r="CR349" s="456">
        <v>0</v>
      </c>
      <c r="CS349" s="456">
        <v>0</v>
      </c>
      <c r="CT349" s="456">
        <v>0</v>
      </c>
      <c r="CU349" s="456">
        <v>0</v>
      </c>
      <c r="CV349" s="481">
        <v>1183.3333333333333</v>
      </c>
      <c r="CW349" s="481">
        <v>1839.4791666666667</v>
      </c>
      <c r="CX349" s="481">
        <v>1301.875</v>
      </c>
      <c r="CY349" s="481">
        <v>1076.06</v>
      </c>
      <c r="CZ349" s="456"/>
      <c r="DA349" s="456"/>
      <c r="DB349" s="456"/>
      <c r="DC349" s="456"/>
      <c r="DD349" s="456"/>
      <c r="DE349" s="456"/>
      <c r="DF349" s="456"/>
      <c r="DG349" s="425"/>
      <c r="DH349" s="456">
        <v>0</v>
      </c>
      <c r="DI349" s="456" t="s">
        <v>756</v>
      </c>
      <c r="DJ349" s="456">
        <v>1.17</v>
      </c>
      <c r="DK349" s="425"/>
      <c r="DL349" s="456"/>
      <c r="DM349" s="456"/>
      <c r="DN349" s="456"/>
      <c r="DO349" s="456"/>
      <c r="DP349" s="456"/>
      <c r="DQ349" s="456"/>
      <c r="DR349" s="456"/>
      <c r="DS349" s="456"/>
      <c r="DT349" s="456"/>
      <c r="DU349" s="456"/>
      <c r="DV349" s="456"/>
      <c r="DW349" s="456"/>
      <c r="DX349" s="456"/>
      <c r="DY349" s="456"/>
      <c r="DZ349" s="456"/>
      <c r="EA349" s="456"/>
      <c r="EB349" s="456"/>
      <c r="EC349" s="456"/>
      <c r="ED349" s="456"/>
      <c r="EE349" s="456">
        <v>0</v>
      </c>
      <c r="EF349" s="456">
        <v>2</v>
      </c>
      <c r="EG349" s="456">
        <v>6.5</v>
      </c>
      <c r="EH349" s="456"/>
      <c r="EI349" s="456"/>
      <c r="EJ349" s="456"/>
      <c r="EK349" s="456"/>
      <c r="EL349" s="456"/>
      <c r="EM349" s="456"/>
      <c r="EN349" s="456"/>
      <c r="EO349" s="425"/>
      <c r="EP349" s="425"/>
      <c r="EQ349" s="425" t="s">
        <v>743</v>
      </c>
      <c r="ER349" s="425">
        <v>1</v>
      </c>
      <c r="ES349" s="425">
        <v>6</v>
      </c>
      <c r="ET349" s="425">
        <v>1700</v>
      </c>
      <c r="EU349" s="666">
        <v>4000</v>
      </c>
      <c r="EV349" s="425">
        <v>180</v>
      </c>
      <c r="EW349" s="425">
        <v>7504057</v>
      </c>
      <c r="EX349" s="425">
        <v>24458</v>
      </c>
      <c r="EY349" s="666">
        <v>18.55</v>
      </c>
      <c r="EZ349" s="666">
        <v>18.52</v>
      </c>
      <c r="FA349" s="666">
        <v>0</v>
      </c>
      <c r="FB349" s="666">
        <v>1.43</v>
      </c>
      <c r="FC349" s="666">
        <v>1.43</v>
      </c>
      <c r="FD349" s="666">
        <v>1.0629999999999999</v>
      </c>
      <c r="FE349" s="666">
        <v>1.08</v>
      </c>
      <c r="FF349" s="666">
        <v>105</v>
      </c>
      <c r="FG349" s="666">
        <v>1.54</v>
      </c>
      <c r="FH349" s="666">
        <v>0.47099999999999997</v>
      </c>
      <c r="FI349" s="666">
        <v>1.04</v>
      </c>
      <c r="FJ349" s="666">
        <v>7.81</v>
      </c>
      <c r="FK349" s="666">
        <v>8</v>
      </c>
      <c r="FL349" s="666">
        <v>7.92</v>
      </c>
      <c r="FM349" s="666">
        <v>8</v>
      </c>
      <c r="FN349" s="666">
        <v>0</v>
      </c>
      <c r="FO349" s="413"/>
    </row>
    <row r="350" spans="1:171" s="416" customFormat="1" ht="15">
      <c r="A350" s="425" t="s">
        <v>8</v>
      </c>
      <c r="B350" s="426">
        <v>40879</v>
      </c>
      <c r="C350" s="418">
        <v>0</v>
      </c>
      <c r="D350" s="518">
        <v>0.02</v>
      </c>
      <c r="E350" s="453">
        <v>0</v>
      </c>
      <c r="F350" s="453">
        <v>31</v>
      </c>
      <c r="G350" s="453">
        <v>1.3</v>
      </c>
      <c r="H350" s="519">
        <v>5.8</v>
      </c>
      <c r="I350" s="519">
        <v>92.1</v>
      </c>
      <c r="J350" s="453" t="s">
        <v>742</v>
      </c>
      <c r="K350" s="520">
        <v>2.44</v>
      </c>
      <c r="L350" s="453">
        <v>7.7999999999992724</v>
      </c>
      <c r="M350" s="453">
        <v>20.6</v>
      </c>
      <c r="N350" s="453" t="s">
        <v>742</v>
      </c>
      <c r="O350" s="453">
        <v>0</v>
      </c>
      <c r="P350" s="453">
        <v>1.72</v>
      </c>
      <c r="Q350" s="453">
        <v>2.4836391156704072</v>
      </c>
      <c r="R350" s="453">
        <v>1082.4901347424041</v>
      </c>
      <c r="S350" s="453" t="s">
        <v>742</v>
      </c>
      <c r="T350" s="453">
        <v>7.97</v>
      </c>
      <c r="U350" s="453" t="s">
        <v>742</v>
      </c>
      <c r="V350" s="453">
        <v>0.81</v>
      </c>
      <c r="W350" s="763" t="s">
        <v>742</v>
      </c>
      <c r="X350" s="456">
        <v>44.600000000000009</v>
      </c>
      <c r="Y350" s="453">
        <v>27.05</v>
      </c>
      <c r="Z350" s="453">
        <v>19.309999999999999</v>
      </c>
      <c r="AA350" s="519">
        <v>26.529999999998836</v>
      </c>
      <c r="AB350" s="519">
        <v>24.580000000001746</v>
      </c>
      <c r="AC350" s="732">
        <f t="shared" si="5"/>
        <v>51.110000000000582</v>
      </c>
      <c r="AD350" s="668"/>
      <c r="AE350" s="668"/>
      <c r="AF350" s="668"/>
      <c r="AG350" s="668"/>
      <c r="AH350" s="668"/>
      <c r="AI350" s="668"/>
      <c r="AJ350" s="425"/>
      <c r="AK350" s="425"/>
      <c r="AL350" s="425"/>
      <c r="AM350" s="425"/>
      <c r="AN350" s="425"/>
      <c r="AO350" s="456"/>
      <c r="AP350" s="425"/>
      <c r="AQ350" s="453"/>
      <c r="AR350" s="734">
        <v>0</v>
      </c>
      <c r="AS350" s="453">
        <v>10.5</v>
      </c>
      <c r="AT350" s="734">
        <v>0</v>
      </c>
      <c r="AU350" s="453">
        <v>27.7</v>
      </c>
      <c r="AV350" s="519">
        <v>315.10000000000002</v>
      </c>
      <c r="AW350" s="519">
        <v>440</v>
      </c>
      <c r="AX350" s="453">
        <v>0</v>
      </c>
      <c r="AY350" s="734">
        <v>0</v>
      </c>
      <c r="AZ350" s="734">
        <v>0</v>
      </c>
      <c r="BA350" s="734">
        <v>0</v>
      </c>
      <c r="BB350" s="453">
        <v>0</v>
      </c>
      <c r="BC350" s="453">
        <v>0.27</v>
      </c>
      <c r="BD350" s="453">
        <v>0.82</v>
      </c>
      <c r="BE350" s="734">
        <v>0</v>
      </c>
      <c r="BF350" s="453">
        <v>0</v>
      </c>
      <c r="BG350" s="453">
        <v>0</v>
      </c>
      <c r="BH350" s="734">
        <v>0</v>
      </c>
      <c r="BI350" s="453">
        <v>0</v>
      </c>
      <c r="BJ350" s="453">
        <v>23.4</v>
      </c>
      <c r="BK350" s="453">
        <v>1.1599999999999999</v>
      </c>
      <c r="BL350" s="453">
        <v>2.7</v>
      </c>
      <c r="BM350" s="453">
        <v>0</v>
      </c>
      <c r="BN350" s="453">
        <v>19.3</v>
      </c>
      <c r="BO350" s="453">
        <v>1330.7</v>
      </c>
      <c r="BP350" s="453">
        <v>0</v>
      </c>
      <c r="BQ350" s="453">
        <v>18.399999999999999</v>
      </c>
      <c r="BR350" s="453">
        <v>18.399999999999999</v>
      </c>
      <c r="BS350" s="453">
        <v>0</v>
      </c>
      <c r="BT350" s="453">
        <v>25.5</v>
      </c>
      <c r="BU350" s="453">
        <v>19.7</v>
      </c>
      <c r="BV350" s="456">
        <v>398.1</v>
      </c>
      <c r="BW350" s="453">
        <v>0.94</v>
      </c>
      <c r="BX350" s="453">
        <v>1.45</v>
      </c>
      <c r="BY350" s="456">
        <v>0.9</v>
      </c>
      <c r="BZ350" s="456">
        <v>14.6</v>
      </c>
      <c r="CA350" s="456">
        <v>31.4</v>
      </c>
      <c r="CB350" s="456">
        <v>13.5</v>
      </c>
      <c r="CC350" s="456">
        <v>7.8</v>
      </c>
      <c r="CD350" s="456">
        <v>12.1</v>
      </c>
      <c r="CE350" s="456">
        <v>16.100000000000001</v>
      </c>
      <c r="CF350" s="456">
        <v>12.8</v>
      </c>
      <c r="CG350" s="456">
        <v>585.6</v>
      </c>
      <c r="CH350" s="456">
        <v>2.1</v>
      </c>
      <c r="CI350" s="456">
        <v>2.6</v>
      </c>
      <c r="CJ350" s="456">
        <v>409.6</v>
      </c>
      <c r="CK350" s="456">
        <v>371.6</v>
      </c>
      <c r="CL350" s="456">
        <v>572.6</v>
      </c>
      <c r="CM350" s="456">
        <v>13.9</v>
      </c>
      <c r="CN350" s="456">
        <v>1.7</v>
      </c>
      <c r="CO350" s="453">
        <v>0</v>
      </c>
      <c r="CP350" s="453">
        <v>15.88</v>
      </c>
      <c r="CQ350" s="453">
        <v>46</v>
      </c>
      <c r="CR350" s="456">
        <v>0</v>
      </c>
      <c r="CS350" s="456">
        <v>0</v>
      </c>
      <c r="CT350" s="456">
        <v>0</v>
      </c>
      <c r="CU350" s="456">
        <v>0</v>
      </c>
      <c r="CV350" s="481">
        <v>1013.75</v>
      </c>
      <c r="CW350" s="481">
        <v>1465.625</v>
      </c>
      <c r="CX350" s="481">
        <v>1021.5208333333334</v>
      </c>
      <c r="CY350" s="481">
        <v>1076.6500000000001</v>
      </c>
      <c r="CZ350" s="456"/>
      <c r="DA350" s="456"/>
      <c r="DB350" s="456"/>
      <c r="DC350" s="456"/>
      <c r="DD350" s="456"/>
      <c r="DE350" s="456"/>
      <c r="DF350" s="456"/>
      <c r="DG350" s="425"/>
      <c r="DH350" s="456">
        <v>0</v>
      </c>
      <c r="DI350" s="456">
        <v>0</v>
      </c>
      <c r="DJ350" s="456">
        <v>1.24</v>
      </c>
      <c r="DK350" s="425"/>
      <c r="DL350" s="456"/>
      <c r="DM350" s="456"/>
      <c r="DN350" s="456"/>
      <c r="DO350" s="456"/>
      <c r="DP350" s="456"/>
      <c r="DQ350" s="456"/>
      <c r="DR350" s="456"/>
      <c r="DS350" s="456"/>
      <c r="DT350" s="456"/>
      <c r="DU350" s="456"/>
      <c r="DV350" s="456"/>
      <c r="DW350" s="456"/>
      <c r="DX350" s="456"/>
      <c r="DY350" s="456"/>
      <c r="DZ350" s="456"/>
      <c r="EA350" s="456"/>
      <c r="EB350" s="456"/>
      <c r="EC350" s="456"/>
      <c r="ED350" s="456"/>
      <c r="EE350" s="456">
        <v>0</v>
      </c>
      <c r="EF350" s="456">
        <v>2</v>
      </c>
      <c r="EG350" s="456">
        <v>6.5</v>
      </c>
      <c r="EH350" s="456"/>
      <c r="EI350" s="456"/>
      <c r="EJ350" s="456"/>
      <c r="EK350" s="456"/>
      <c r="EL350" s="456"/>
      <c r="EM350" s="456"/>
      <c r="EN350" s="456"/>
      <c r="EO350" s="425"/>
      <c r="EP350" s="425"/>
      <c r="EQ350" s="425" t="s">
        <v>743</v>
      </c>
      <c r="ER350" s="425">
        <v>1</v>
      </c>
      <c r="ES350" s="425">
        <v>6</v>
      </c>
      <c r="ET350" s="425">
        <v>1570</v>
      </c>
      <c r="EU350" s="666">
        <v>4000</v>
      </c>
      <c r="EV350" s="425">
        <v>185</v>
      </c>
      <c r="EW350" s="425">
        <v>7506068</v>
      </c>
      <c r="EX350" s="425">
        <v>25728</v>
      </c>
      <c r="EY350" s="666">
        <v>18.920000000000002</v>
      </c>
      <c r="EZ350" s="666">
        <v>18.91</v>
      </c>
      <c r="FA350" s="666">
        <v>0</v>
      </c>
      <c r="FB350" s="666">
        <v>1.5</v>
      </c>
      <c r="FC350" s="666">
        <v>1.49</v>
      </c>
      <c r="FD350" s="666">
        <v>0.94799999999999995</v>
      </c>
      <c r="FE350" s="666">
        <v>0.93</v>
      </c>
      <c r="FF350" s="666">
        <v>130</v>
      </c>
      <c r="FG350" s="666">
        <v>2.2999999999999998</v>
      </c>
      <c r="FH350" s="666">
        <v>0.58899999999999997</v>
      </c>
      <c r="FI350" s="666">
        <v>1.43</v>
      </c>
      <c r="FJ350" s="666">
        <v>7.97</v>
      </c>
      <c r="FK350" s="666">
        <v>8.1999999999999993</v>
      </c>
      <c r="FL350" s="666">
        <v>7.9</v>
      </c>
      <c r="FM350" s="666">
        <v>7.9</v>
      </c>
      <c r="FN350" s="666">
        <v>0</v>
      </c>
      <c r="FO350" s="413"/>
    </row>
    <row r="351" spans="1:171" s="416" customFormat="1" ht="15">
      <c r="A351" s="425" t="s">
        <v>9</v>
      </c>
      <c r="B351" s="426">
        <v>40880</v>
      </c>
      <c r="C351" s="418">
        <v>0</v>
      </c>
      <c r="D351" s="518">
        <v>0</v>
      </c>
      <c r="E351" s="453">
        <v>0</v>
      </c>
      <c r="F351" s="453">
        <v>32</v>
      </c>
      <c r="G351" s="453">
        <v>1.3</v>
      </c>
      <c r="H351" s="519">
        <v>2.2999999999999998</v>
      </c>
      <c r="I351" s="519">
        <v>93.05</v>
      </c>
      <c r="J351" s="453" t="s">
        <v>742</v>
      </c>
      <c r="K351" s="520">
        <v>2.5499999999999998</v>
      </c>
      <c r="L351" s="453">
        <v>0</v>
      </c>
      <c r="M351" s="453">
        <v>21.4</v>
      </c>
      <c r="N351" s="453" t="s">
        <v>742</v>
      </c>
      <c r="O351" s="453" t="s">
        <v>742</v>
      </c>
      <c r="P351" s="453">
        <v>1.8</v>
      </c>
      <c r="Q351" s="453">
        <v>2.5611184500220165</v>
      </c>
      <c r="R351" s="453">
        <v>1153.4253051519154</v>
      </c>
      <c r="S351" s="453" t="s">
        <v>742</v>
      </c>
      <c r="T351" s="453">
        <v>7.96</v>
      </c>
      <c r="U351" s="453" t="s">
        <v>742</v>
      </c>
      <c r="V351" s="453">
        <v>0.79</v>
      </c>
      <c r="W351" s="763" t="s">
        <v>742</v>
      </c>
      <c r="X351" s="456">
        <v>43.160000000000011</v>
      </c>
      <c r="Y351" s="453">
        <v>26.67</v>
      </c>
      <c r="Z351" s="453">
        <v>27.81</v>
      </c>
      <c r="AA351" s="519">
        <v>26.55</v>
      </c>
      <c r="AB351" s="519">
        <v>28.52</v>
      </c>
      <c r="AC351" s="732">
        <f t="shared" si="5"/>
        <v>55.07</v>
      </c>
      <c r="AD351" s="668"/>
      <c r="AE351" s="668"/>
      <c r="AF351" s="668"/>
      <c r="AG351" s="668"/>
      <c r="AH351" s="668"/>
      <c r="AI351" s="668"/>
      <c r="AJ351" s="425"/>
      <c r="AK351" s="425"/>
      <c r="AL351" s="425"/>
      <c r="AM351" s="425"/>
      <c r="AN351" s="425"/>
      <c r="AO351" s="456"/>
      <c r="AP351" s="425"/>
      <c r="AQ351" s="453"/>
      <c r="AR351" s="734">
        <v>0</v>
      </c>
      <c r="AS351" s="453">
        <v>10.8</v>
      </c>
      <c r="AT351" s="734">
        <v>0</v>
      </c>
      <c r="AU351" s="453">
        <v>27.5</v>
      </c>
      <c r="AV351" s="519">
        <v>482.4</v>
      </c>
      <c r="AW351" s="519">
        <v>559.70000000000005</v>
      </c>
      <c r="AX351" s="453">
        <v>0</v>
      </c>
      <c r="AY351" s="734">
        <v>0</v>
      </c>
      <c r="AZ351" s="734">
        <v>0</v>
      </c>
      <c r="BA351" s="734">
        <v>0</v>
      </c>
      <c r="BB351" s="453">
        <v>0</v>
      </c>
      <c r="BC351" s="453">
        <v>0.22</v>
      </c>
      <c r="BD351" s="453">
        <v>1.5</v>
      </c>
      <c r="BE351" s="734">
        <v>0</v>
      </c>
      <c r="BF351" s="453">
        <v>0.3</v>
      </c>
      <c r="BG351" s="453">
        <v>0</v>
      </c>
      <c r="BH351" s="734">
        <v>0</v>
      </c>
      <c r="BI351" s="453">
        <v>0</v>
      </c>
      <c r="BJ351" s="453">
        <v>26.5</v>
      </c>
      <c r="BK351" s="453">
        <v>2.9</v>
      </c>
      <c r="BL351" s="453">
        <v>3.5</v>
      </c>
      <c r="BM351" s="453">
        <v>0</v>
      </c>
      <c r="BN351" s="453">
        <v>19.8</v>
      </c>
      <c r="BO351" s="453">
        <v>1592.7</v>
      </c>
      <c r="BP351" s="453">
        <v>0</v>
      </c>
      <c r="BQ351" s="453">
        <v>18.8</v>
      </c>
      <c r="BR351" s="453">
        <v>18.7</v>
      </c>
      <c r="BS351" s="453">
        <v>0</v>
      </c>
      <c r="BT351" s="453">
        <v>25</v>
      </c>
      <c r="BU351" s="453">
        <v>20.399999999999999</v>
      </c>
      <c r="BV351" s="456">
        <v>575.29999999999995</v>
      </c>
      <c r="BW351" s="756">
        <v>20.5</v>
      </c>
      <c r="BX351" s="453">
        <v>1.52</v>
      </c>
      <c r="BY351" s="456">
        <v>0.9</v>
      </c>
      <c r="BZ351" s="456">
        <v>14.7</v>
      </c>
      <c r="CA351" s="456">
        <v>30.9</v>
      </c>
      <c r="CB351" s="456">
        <v>12.8</v>
      </c>
      <c r="CC351" s="456">
        <v>8.6999999999999993</v>
      </c>
      <c r="CD351" s="456">
        <v>12.9</v>
      </c>
      <c r="CE351" s="456">
        <v>17</v>
      </c>
      <c r="CF351" s="456">
        <v>13</v>
      </c>
      <c r="CG351" s="456">
        <v>551.79999999999995</v>
      </c>
      <c r="CH351" s="456">
        <v>2.5</v>
      </c>
      <c r="CI351" s="456">
        <v>2.9</v>
      </c>
      <c r="CJ351" s="456">
        <v>441.8</v>
      </c>
      <c r="CK351" s="456">
        <v>384.1</v>
      </c>
      <c r="CL351" s="456">
        <v>549.70000000000005</v>
      </c>
      <c r="CM351" s="456">
        <v>13.3</v>
      </c>
      <c r="CN351" s="456">
        <v>1.7</v>
      </c>
      <c r="CO351" s="453">
        <v>0</v>
      </c>
      <c r="CP351" s="453">
        <v>15.7</v>
      </c>
      <c r="CQ351" s="453">
        <v>45</v>
      </c>
      <c r="CR351" s="456">
        <v>0</v>
      </c>
      <c r="CS351" s="456">
        <v>0</v>
      </c>
      <c r="CT351" s="456">
        <v>0</v>
      </c>
      <c r="CU351" s="456">
        <v>0</v>
      </c>
      <c r="CV351" s="481">
        <v>969.16666666666663</v>
      </c>
      <c r="CW351" s="481">
        <v>1323.0208333333333</v>
      </c>
      <c r="CX351" s="481">
        <v>945.02083333333337</v>
      </c>
      <c r="CY351" s="481">
        <v>1076.3399999999999</v>
      </c>
      <c r="CZ351" s="456"/>
      <c r="DA351" s="456"/>
      <c r="DB351" s="456"/>
      <c r="DC351" s="456"/>
      <c r="DD351" s="456"/>
      <c r="DE351" s="456"/>
      <c r="DF351" s="456"/>
      <c r="DG351" s="425"/>
      <c r="DH351" s="456">
        <v>0</v>
      </c>
      <c r="DI351" s="456">
        <v>0</v>
      </c>
      <c r="DJ351" s="456">
        <v>1.23</v>
      </c>
      <c r="DK351" s="425"/>
      <c r="DL351" s="456"/>
      <c r="DM351" s="456"/>
      <c r="DN351" s="456"/>
      <c r="DO351" s="456"/>
      <c r="DP351" s="456"/>
      <c r="DQ351" s="456"/>
      <c r="DR351" s="456"/>
      <c r="DS351" s="456"/>
      <c r="DT351" s="456"/>
      <c r="DU351" s="456"/>
      <c r="DV351" s="456"/>
      <c r="DW351" s="456"/>
      <c r="DX351" s="456"/>
      <c r="DY351" s="456"/>
      <c r="DZ351" s="456"/>
      <c r="EA351" s="456"/>
      <c r="EB351" s="456"/>
      <c r="EC351" s="456"/>
      <c r="ED351" s="456"/>
      <c r="EE351" s="456">
        <v>0</v>
      </c>
      <c r="EF351" s="456">
        <v>2</v>
      </c>
      <c r="EG351" s="456">
        <v>6.5</v>
      </c>
      <c r="EH351" s="456"/>
      <c r="EI351" s="456"/>
      <c r="EJ351" s="456"/>
      <c r="EK351" s="456"/>
      <c r="EL351" s="456"/>
      <c r="EM351" s="456"/>
      <c r="EN351" s="456"/>
      <c r="EO351" s="425"/>
      <c r="EP351" s="425"/>
      <c r="EQ351" s="425" t="s">
        <v>743</v>
      </c>
      <c r="ER351" s="425">
        <v>1</v>
      </c>
      <c r="ES351" s="425">
        <v>6</v>
      </c>
      <c r="ET351" s="425">
        <v>1470</v>
      </c>
      <c r="EU351" s="666">
        <v>4000</v>
      </c>
      <c r="EV351" s="425">
        <v>140</v>
      </c>
      <c r="EW351" s="425">
        <v>7508078</v>
      </c>
      <c r="EX351" s="425">
        <v>27129</v>
      </c>
      <c r="EY351" s="666">
        <v>19.18</v>
      </c>
      <c r="EZ351" s="666">
        <v>19.149999999999999</v>
      </c>
      <c r="FA351" s="666">
        <v>0</v>
      </c>
      <c r="FB351" s="666">
        <v>1.52</v>
      </c>
      <c r="FC351" s="666">
        <v>1.55</v>
      </c>
      <c r="FD351" s="666">
        <v>0.91400000000000003</v>
      </c>
      <c r="FE351" s="666">
        <v>0.91</v>
      </c>
      <c r="FF351" s="666">
        <v>100</v>
      </c>
      <c r="FG351" s="666">
        <v>1.98</v>
      </c>
      <c r="FH351" s="666">
        <v>0.61</v>
      </c>
      <c r="FI351" s="666">
        <v>1.43</v>
      </c>
      <c r="FJ351" s="666">
        <v>7.98</v>
      </c>
      <c r="FK351" s="666">
        <v>8.1</v>
      </c>
      <c r="FL351" s="666">
        <v>8</v>
      </c>
      <c r="FM351" s="666">
        <v>7.7</v>
      </c>
      <c r="FN351" s="666">
        <v>0</v>
      </c>
      <c r="FO351" s="413"/>
    </row>
    <row r="352" spans="1:171" s="416" customFormat="1" ht="15">
      <c r="A352" s="425" t="s">
        <v>3</v>
      </c>
      <c r="B352" s="426">
        <v>40881</v>
      </c>
      <c r="C352" s="418">
        <v>0</v>
      </c>
      <c r="D352" s="518">
        <v>0</v>
      </c>
      <c r="E352" s="453">
        <v>0</v>
      </c>
      <c r="F352" s="453">
        <v>29</v>
      </c>
      <c r="G352" s="453">
        <v>1.1499999999999999</v>
      </c>
      <c r="H352" s="519">
        <v>2.6</v>
      </c>
      <c r="I352" s="519">
        <v>94.68</v>
      </c>
      <c r="J352" s="483" t="s">
        <v>742</v>
      </c>
      <c r="K352" s="520">
        <v>3.18</v>
      </c>
      <c r="L352" s="453">
        <v>0</v>
      </c>
      <c r="M352" s="453">
        <v>21.4</v>
      </c>
      <c r="N352" s="453" t="s">
        <v>742</v>
      </c>
      <c r="O352" s="453">
        <v>0</v>
      </c>
      <c r="P352" s="453">
        <v>1.74</v>
      </c>
      <c r="Q352" s="453">
        <v>2.4568325260531334</v>
      </c>
      <c r="R352" s="453">
        <v>1106.459096433289</v>
      </c>
      <c r="S352" s="453" t="s">
        <v>742</v>
      </c>
      <c r="T352" s="453">
        <v>7.99</v>
      </c>
      <c r="U352" s="453" t="s">
        <v>742</v>
      </c>
      <c r="V352" s="453">
        <v>0.78</v>
      </c>
      <c r="W352" s="763" t="s">
        <v>742</v>
      </c>
      <c r="X352" s="456">
        <v>43.160000000000011</v>
      </c>
      <c r="Y352" s="453">
        <v>26.68</v>
      </c>
      <c r="Z352" s="453">
        <v>28.4</v>
      </c>
      <c r="AA352" s="519">
        <v>26.54</v>
      </c>
      <c r="AB352" s="519">
        <v>28.43</v>
      </c>
      <c r="AC352" s="732">
        <f t="shared" si="5"/>
        <v>54.97</v>
      </c>
      <c r="AD352" s="664"/>
      <c r="AE352" s="664"/>
      <c r="AF352" s="664"/>
      <c r="AG352" s="664"/>
      <c r="AH352" s="664"/>
      <c r="AI352" s="664"/>
      <c r="AJ352" s="485"/>
      <c r="AK352" s="485"/>
      <c r="AL352" s="485"/>
      <c r="AM352" s="485"/>
      <c r="AN352" s="485"/>
      <c r="AO352" s="665"/>
      <c r="AP352" s="485"/>
      <c r="AQ352" s="483"/>
      <c r="AR352" s="755">
        <v>0</v>
      </c>
      <c r="AS352" s="483">
        <v>11.5</v>
      </c>
      <c r="AT352" s="755">
        <v>0</v>
      </c>
      <c r="AU352" s="483">
        <v>27.5</v>
      </c>
      <c r="AV352" s="484">
        <v>517.6</v>
      </c>
      <c r="AW352" s="484">
        <v>600.70000000000005</v>
      </c>
      <c r="AX352" s="453">
        <v>0</v>
      </c>
      <c r="AY352" s="734">
        <v>0</v>
      </c>
      <c r="AZ352" s="734">
        <v>0</v>
      </c>
      <c r="BA352" s="734">
        <v>0</v>
      </c>
      <c r="BB352" s="453">
        <v>0</v>
      </c>
      <c r="BC352" s="453">
        <v>0</v>
      </c>
      <c r="BD352" s="453">
        <v>1.5</v>
      </c>
      <c r="BE352" s="734">
        <v>0</v>
      </c>
      <c r="BF352" s="453">
        <v>0.53</v>
      </c>
      <c r="BG352" s="453">
        <v>0</v>
      </c>
      <c r="BH352" s="734">
        <v>0</v>
      </c>
      <c r="BI352" s="453">
        <v>0</v>
      </c>
      <c r="BJ352" s="453">
        <v>26.4</v>
      </c>
      <c r="BK352" s="453">
        <v>3.21</v>
      </c>
      <c r="BL352" s="453">
        <v>3.37</v>
      </c>
      <c r="BM352" s="453">
        <v>0</v>
      </c>
      <c r="BN352" s="453">
        <v>19.7</v>
      </c>
      <c r="BO352" s="453">
        <v>917.9</v>
      </c>
      <c r="BP352" s="453">
        <v>0</v>
      </c>
      <c r="BQ352" s="453">
        <v>18.899999999999999</v>
      </c>
      <c r="BR352" s="453">
        <v>18.899999999999999</v>
      </c>
      <c r="BS352" s="453">
        <v>0</v>
      </c>
      <c r="BT352" s="453">
        <v>24.9</v>
      </c>
      <c r="BU352" s="453">
        <v>20.7</v>
      </c>
      <c r="BV352" s="456">
        <v>458.1</v>
      </c>
      <c r="BW352" s="453">
        <v>1.1100000000000001</v>
      </c>
      <c r="BX352" s="453">
        <v>1.55</v>
      </c>
      <c r="BY352" s="456">
        <v>0.9</v>
      </c>
      <c r="BZ352" s="456">
        <v>15.2</v>
      </c>
      <c r="CA352" s="456">
        <v>32.200000000000003</v>
      </c>
      <c r="CB352" s="456">
        <v>12.1</v>
      </c>
      <c r="CC352" s="456">
        <v>10.1</v>
      </c>
      <c r="CD352" s="456">
        <v>14.2</v>
      </c>
      <c r="CE352" s="456">
        <v>18.8</v>
      </c>
      <c r="CF352" s="456">
        <v>13.2</v>
      </c>
      <c r="CG352" s="456">
        <v>512.70000000000005</v>
      </c>
      <c r="CH352" s="456">
        <v>2.4</v>
      </c>
      <c r="CI352" s="456">
        <v>2.9</v>
      </c>
      <c r="CJ352" s="456">
        <v>491.3</v>
      </c>
      <c r="CK352" s="456">
        <v>411.1</v>
      </c>
      <c r="CL352" s="456">
        <v>547.29999999999995</v>
      </c>
      <c r="CM352" s="456">
        <v>13.3</v>
      </c>
      <c r="CN352" s="456">
        <v>1.6</v>
      </c>
      <c r="CO352" s="453">
        <v>0</v>
      </c>
      <c r="CP352" s="453">
        <v>16.14</v>
      </c>
      <c r="CQ352" s="453">
        <v>45</v>
      </c>
      <c r="CR352" s="456">
        <v>0</v>
      </c>
      <c r="CS352" s="456">
        <v>0</v>
      </c>
      <c r="CT352" s="456">
        <v>0</v>
      </c>
      <c r="CU352" s="456">
        <v>0</v>
      </c>
      <c r="CV352" s="481">
        <v>903.29166666666663</v>
      </c>
      <c r="CW352" s="481">
        <v>1264.2708333333333</v>
      </c>
      <c r="CX352" s="481">
        <v>876.88541666666663</v>
      </c>
      <c r="CY352" s="481">
        <v>1075.6199999999999</v>
      </c>
      <c r="CZ352" s="456"/>
      <c r="DA352" s="456"/>
      <c r="DB352" s="456"/>
      <c r="DC352" s="456"/>
      <c r="DD352" s="456"/>
      <c r="DE352" s="456"/>
      <c r="DF352" s="456"/>
      <c r="DG352" s="425"/>
      <c r="DH352" s="456">
        <v>0</v>
      </c>
      <c r="DI352" s="456">
        <v>0</v>
      </c>
      <c r="DJ352" s="663">
        <v>1.23</v>
      </c>
      <c r="DK352" s="425"/>
      <c r="DL352" s="456"/>
      <c r="DM352" s="456"/>
      <c r="DN352" s="456"/>
      <c r="DO352" s="456"/>
      <c r="DP352" s="456"/>
      <c r="DQ352" s="456"/>
      <c r="DR352" s="456"/>
      <c r="DS352" s="456"/>
      <c r="DT352" s="456"/>
      <c r="DU352" s="456"/>
      <c r="DV352" s="456"/>
      <c r="DW352" s="456"/>
      <c r="DX352" s="456"/>
      <c r="DY352" s="456"/>
      <c r="DZ352" s="456"/>
      <c r="EA352" s="456"/>
      <c r="EB352" s="456"/>
      <c r="EC352" s="456"/>
      <c r="ED352" s="456"/>
      <c r="EE352" s="456">
        <v>0</v>
      </c>
      <c r="EF352" s="456">
        <v>2</v>
      </c>
      <c r="EG352" s="456">
        <v>6.5</v>
      </c>
      <c r="EH352" s="456"/>
      <c r="EI352" s="456"/>
      <c r="EJ352" s="456"/>
      <c r="EK352" s="456"/>
      <c r="EL352" s="456"/>
      <c r="EM352" s="456"/>
      <c r="EN352" s="456"/>
      <c r="EO352" s="425"/>
      <c r="EP352" s="425"/>
      <c r="EQ352" s="425" t="s">
        <v>743</v>
      </c>
      <c r="ER352" s="425">
        <v>1</v>
      </c>
      <c r="ES352" s="425">
        <v>6</v>
      </c>
      <c r="ET352" s="425">
        <v>1350</v>
      </c>
      <c r="EU352" s="457">
        <v>4000</v>
      </c>
      <c r="EV352" s="425">
        <v>135</v>
      </c>
      <c r="EW352" s="425">
        <v>7510089</v>
      </c>
      <c r="EX352" s="425">
        <v>28461</v>
      </c>
      <c r="EY352" s="666">
        <v>19.27</v>
      </c>
      <c r="EZ352" s="666">
        <v>19.27</v>
      </c>
      <c r="FA352" s="666">
        <v>0</v>
      </c>
      <c r="FB352" s="666">
        <v>1.52</v>
      </c>
      <c r="FC352" s="666">
        <v>1.57</v>
      </c>
      <c r="FD352" s="666">
        <v>1.004</v>
      </c>
      <c r="FE352" s="666">
        <v>1.03</v>
      </c>
      <c r="FF352" s="666">
        <v>120</v>
      </c>
      <c r="FG352" s="666">
        <v>2.77</v>
      </c>
      <c r="FH352" s="666">
        <v>0.63800000000000001</v>
      </c>
      <c r="FI352" s="666">
        <v>1.61</v>
      </c>
      <c r="FJ352" s="666">
        <v>8.01</v>
      </c>
      <c r="FK352" s="666">
        <v>8.1</v>
      </c>
      <c r="FL352" s="666">
        <v>7.7</v>
      </c>
      <c r="FM352" s="666">
        <v>7.91</v>
      </c>
      <c r="FN352" s="666">
        <v>0</v>
      </c>
    </row>
    <row r="353" spans="1:170" s="416" customFormat="1" ht="15">
      <c r="A353" s="425" t="s">
        <v>4</v>
      </c>
      <c r="B353" s="426">
        <v>40882</v>
      </c>
      <c r="C353" s="418">
        <v>0</v>
      </c>
      <c r="D353" s="518">
        <v>0</v>
      </c>
      <c r="E353" s="453">
        <v>0</v>
      </c>
      <c r="F353" s="453">
        <v>27.6</v>
      </c>
      <c r="G353" s="453">
        <v>1</v>
      </c>
      <c r="H353" s="519">
        <v>3.34</v>
      </c>
      <c r="I353" s="519">
        <v>92.4</v>
      </c>
      <c r="J353" s="483" t="s">
        <v>742</v>
      </c>
      <c r="K353" s="520">
        <v>2.69</v>
      </c>
      <c r="L353" s="453">
        <v>0</v>
      </c>
      <c r="M353" s="453">
        <v>21.3</v>
      </c>
      <c r="N353" s="453" t="s">
        <v>742</v>
      </c>
      <c r="O353" s="453">
        <v>0</v>
      </c>
      <c r="P353" s="453">
        <v>1.64</v>
      </c>
      <c r="Q353" s="453">
        <v>2.3895674952035968</v>
      </c>
      <c r="R353" s="453">
        <v>1098.6853791281374</v>
      </c>
      <c r="S353" s="453" t="s">
        <v>742</v>
      </c>
      <c r="T353" s="453">
        <v>8.15</v>
      </c>
      <c r="U353" s="453" t="s">
        <v>742</v>
      </c>
      <c r="V353" s="453">
        <v>0.79</v>
      </c>
      <c r="W353" s="763" t="s">
        <v>742</v>
      </c>
      <c r="X353" s="456">
        <v>38.660000000000011</v>
      </c>
      <c r="Y353" s="453">
        <v>26.76</v>
      </c>
      <c r="Z353" s="453">
        <v>28.5</v>
      </c>
      <c r="AA353" s="519">
        <v>26.8</v>
      </c>
      <c r="AB353" s="519">
        <v>28.599999999998545</v>
      </c>
      <c r="AC353" s="732">
        <f t="shared" si="5"/>
        <v>55.399999999998542</v>
      </c>
      <c r="AD353" s="664"/>
      <c r="AE353" s="664"/>
      <c r="AF353" s="664"/>
      <c r="AG353" s="664"/>
      <c r="AH353" s="664"/>
      <c r="AI353" s="664"/>
      <c r="AJ353" s="485"/>
      <c r="AK353" s="485"/>
      <c r="AL353" s="485"/>
      <c r="AM353" s="485"/>
      <c r="AN353" s="485"/>
      <c r="AO353" s="665"/>
      <c r="AP353" s="485"/>
      <c r="AQ353" s="483"/>
      <c r="AR353" s="755">
        <v>0</v>
      </c>
      <c r="AS353" s="483">
        <v>10.5</v>
      </c>
      <c r="AT353" s="755">
        <v>0</v>
      </c>
      <c r="AU353" s="483">
        <v>27.7</v>
      </c>
      <c r="AV353" s="484">
        <v>342.4</v>
      </c>
      <c r="AW353" s="484">
        <v>427.2</v>
      </c>
      <c r="AX353" s="453">
        <v>0</v>
      </c>
      <c r="AY353" s="734">
        <v>0</v>
      </c>
      <c r="AZ353" s="734">
        <v>0</v>
      </c>
      <c r="BA353" s="734">
        <v>0</v>
      </c>
      <c r="BB353" s="453">
        <v>0</v>
      </c>
      <c r="BC353" s="453">
        <v>0.28999999999999998</v>
      </c>
      <c r="BD353" s="453">
        <v>1.5</v>
      </c>
      <c r="BE353" s="734">
        <v>0</v>
      </c>
      <c r="BF353" s="453">
        <v>0.2</v>
      </c>
      <c r="BG353" s="453">
        <v>0</v>
      </c>
      <c r="BH353" s="734">
        <v>0</v>
      </c>
      <c r="BI353" s="453">
        <v>0</v>
      </c>
      <c r="BJ353" s="453">
        <v>26.6</v>
      </c>
      <c r="BK353" s="453">
        <v>3.15</v>
      </c>
      <c r="BL353" s="453">
        <v>3.37</v>
      </c>
      <c r="BM353" s="453">
        <v>0</v>
      </c>
      <c r="BN353" s="453">
        <v>19.8</v>
      </c>
      <c r="BO353" s="453">
        <v>1419.8</v>
      </c>
      <c r="BP353" s="453">
        <v>0</v>
      </c>
      <c r="BQ353" s="453">
        <v>19.600000000000001</v>
      </c>
      <c r="BR353" s="453">
        <v>19.5</v>
      </c>
      <c r="BS353" s="453">
        <v>0</v>
      </c>
      <c r="BT353" s="453">
        <v>25.4</v>
      </c>
      <c r="BU353" s="453">
        <v>18.5</v>
      </c>
      <c r="BV353" s="456">
        <v>428.8</v>
      </c>
      <c r="BW353" s="453">
        <v>1.1399999999999999</v>
      </c>
      <c r="BX353" s="453">
        <v>1.53</v>
      </c>
      <c r="BY353" s="456">
        <v>0.9</v>
      </c>
      <c r="BZ353" s="456">
        <v>14.8</v>
      </c>
      <c r="CA353" s="456">
        <v>32.4</v>
      </c>
      <c r="CB353" s="456">
        <v>13.9</v>
      </c>
      <c r="CC353" s="456">
        <v>9.1999999999999993</v>
      </c>
      <c r="CD353" s="456">
        <v>13.4</v>
      </c>
      <c r="CE353" s="456">
        <v>17.5</v>
      </c>
      <c r="CF353" s="456">
        <v>12.9</v>
      </c>
      <c r="CG353" s="456">
        <v>523</v>
      </c>
      <c r="CH353" s="456">
        <v>1.5</v>
      </c>
      <c r="CI353" s="456">
        <v>2.2999999999999998</v>
      </c>
      <c r="CJ353" s="456">
        <v>444.4</v>
      </c>
      <c r="CK353" s="456">
        <v>366.8</v>
      </c>
      <c r="CL353" s="456">
        <v>590</v>
      </c>
      <c r="CM353" s="456">
        <v>13.3</v>
      </c>
      <c r="CN353" s="456">
        <v>1.7</v>
      </c>
      <c r="CO353" s="453">
        <v>0</v>
      </c>
      <c r="CP353" s="453">
        <v>15.37</v>
      </c>
      <c r="CQ353" s="453">
        <v>44</v>
      </c>
      <c r="CR353" s="456">
        <v>0</v>
      </c>
      <c r="CS353" s="456">
        <v>0</v>
      </c>
      <c r="CT353" s="456">
        <v>0</v>
      </c>
      <c r="CU353" s="456">
        <v>0</v>
      </c>
      <c r="CV353" s="481">
        <v>796.41666666666663</v>
      </c>
      <c r="CW353" s="481">
        <v>1117.7083333333333</v>
      </c>
      <c r="CX353" s="481">
        <v>761.77083333333337</v>
      </c>
      <c r="CY353" s="481">
        <v>1075.72</v>
      </c>
      <c r="CZ353" s="456"/>
      <c r="DA353" s="456"/>
      <c r="DB353" s="456"/>
      <c r="DC353" s="456"/>
      <c r="DD353" s="456"/>
      <c r="DE353" s="456"/>
      <c r="DF353" s="456"/>
      <c r="DG353" s="425"/>
      <c r="DH353" s="456">
        <v>0</v>
      </c>
      <c r="DI353" s="456" t="s">
        <v>777</v>
      </c>
      <c r="DJ353" s="456">
        <v>1.23</v>
      </c>
      <c r="DK353" s="425"/>
      <c r="DL353" s="456"/>
      <c r="DM353" s="456"/>
      <c r="DN353" s="456"/>
      <c r="DO353" s="456"/>
      <c r="DP353" s="456"/>
      <c r="DQ353" s="456"/>
      <c r="DR353" s="456"/>
      <c r="DS353" s="456"/>
      <c r="DT353" s="456"/>
      <c r="DU353" s="456"/>
      <c r="DV353" s="456"/>
      <c r="DW353" s="456"/>
      <c r="DX353" s="456"/>
      <c r="DY353" s="456"/>
      <c r="DZ353" s="456"/>
      <c r="EA353" s="456"/>
      <c r="EB353" s="456"/>
      <c r="EC353" s="456"/>
      <c r="ED353" s="456"/>
      <c r="EE353" s="456">
        <v>0</v>
      </c>
      <c r="EF353" s="456">
        <v>2</v>
      </c>
      <c r="EG353" s="456">
        <v>6.5</v>
      </c>
      <c r="EH353" s="456"/>
      <c r="EI353" s="456"/>
      <c r="EJ353" s="456"/>
      <c r="EK353" s="456"/>
      <c r="EL353" s="456"/>
      <c r="EM353" s="456"/>
      <c r="EN353" s="456"/>
      <c r="EO353" s="425"/>
      <c r="EP353" s="425"/>
      <c r="EQ353" s="425" t="s">
        <v>743</v>
      </c>
      <c r="ER353" s="425">
        <v>1</v>
      </c>
      <c r="ES353" s="425">
        <v>6</v>
      </c>
      <c r="ET353" s="425">
        <v>1250</v>
      </c>
      <c r="EU353" s="457">
        <v>4000</v>
      </c>
      <c r="EV353" s="425">
        <v>150</v>
      </c>
      <c r="EW353" s="425">
        <v>7511954</v>
      </c>
      <c r="EX353" s="425">
        <v>29865</v>
      </c>
      <c r="EY353" s="666">
        <v>19.75</v>
      </c>
      <c r="EZ353" s="666">
        <v>19.760000000000002</v>
      </c>
      <c r="FA353" s="666">
        <v>0</v>
      </c>
      <c r="FB353" s="666">
        <v>1.61</v>
      </c>
      <c r="FC353" s="666">
        <v>1.64</v>
      </c>
      <c r="FD353" s="666">
        <v>0.99199999999999999</v>
      </c>
      <c r="FE353" s="666">
        <v>0.99</v>
      </c>
      <c r="FF353" s="666">
        <v>100</v>
      </c>
      <c r="FG353" s="666">
        <v>2.5499999999999998</v>
      </c>
      <c r="FH353" s="666">
        <v>0.69099999999999995</v>
      </c>
      <c r="FI353" s="666">
        <v>1.38</v>
      </c>
      <c r="FJ353" s="666">
        <v>7.9</v>
      </c>
      <c r="FK353" s="666">
        <v>8.1</v>
      </c>
      <c r="FL353" s="666">
        <v>7.92</v>
      </c>
      <c r="FM353" s="666">
        <v>7.7</v>
      </c>
      <c r="FN353" s="666">
        <v>0</v>
      </c>
    </row>
    <row r="354" spans="1:170" s="416" customFormat="1" ht="15">
      <c r="A354" s="425" t="s">
        <v>5</v>
      </c>
      <c r="B354" s="426">
        <v>40883</v>
      </c>
      <c r="C354" s="418">
        <v>0</v>
      </c>
      <c r="D354" s="518">
        <v>0</v>
      </c>
      <c r="E354" s="453">
        <v>0</v>
      </c>
      <c r="F354" s="453">
        <v>32.1</v>
      </c>
      <c r="G354" s="453">
        <v>0.9</v>
      </c>
      <c r="H354" s="519">
        <v>2.95</v>
      </c>
      <c r="I354" s="519">
        <v>94</v>
      </c>
      <c r="J354" s="483" t="s">
        <v>742</v>
      </c>
      <c r="K354" s="520">
        <v>2.23</v>
      </c>
      <c r="L354" s="453">
        <v>0</v>
      </c>
      <c r="M354" s="453">
        <v>21.2</v>
      </c>
      <c r="N354" s="453" t="s">
        <v>742</v>
      </c>
      <c r="O354" s="453">
        <v>0</v>
      </c>
      <c r="P354" s="453">
        <v>1.7</v>
      </c>
      <c r="Q354" s="453">
        <v>2.3409921868333128</v>
      </c>
      <c r="R354" s="453">
        <v>1030.665352708058</v>
      </c>
      <c r="S354" s="453" t="s">
        <v>742</v>
      </c>
      <c r="T354" s="453">
        <v>7.99</v>
      </c>
      <c r="U354" s="453" t="s">
        <v>742</v>
      </c>
      <c r="V354" s="453">
        <v>0.82</v>
      </c>
      <c r="W354" s="763" t="s">
        <v>742</v>
      </c>
      <c r="X354" s="456">
        <v>37.760000000000005</v>
      </c>
      <c r="Y354" s="453">
        <v>27.18</v>
      </c>
      <c r="Z354" s="453">
        <v>28.3</v>
      </c>
      <c r="AA354" s="519">
        <v>27.2</v>
      </c>
      <c r="AB354" s="519">
        <v>27.4</v>
      </c>
      <c r="AC354" s="732">
        <f t="shared" si="5"/>
        <v>54.599999999999994</v>
      </c>
      <c r="AD354" s="664"/>
      <c r="AE354" s="664"/>
      <c r="AF354" s="664"/>
      <c r="AG354" s="664"/>
      <c r="AH354" s="664"/>
      <c r="AI354" s="664"/>
      <c r="AJ354" s="485"/>
      <c r="AK354" s="485"/>
      <c r="AL354" s="485"/>
      <c r="AM354" s="485"/>
      <c r="AN354" s="485"/>
      <c r="AO354" s="665"/>
      <c r="AP354" s="485"/>
      <c r="AQ354" s="483"/>
      <c r="AR354" s="755">
        <v>0</v>
      </c>
      <c r="AS354" s="483">
        <v>21</v>
      </c>
      <c r="AT354" s="755">
        <v>0</v>
      </c>
      <c r="AU354" s="483">
        <v>28</v>
      </c>
      <c r="AV354" s="484">
        <v>358.1</v>
      </c>
      <c r="AW354" s="484">
        <v>419.3</v>
      </c>
      <c r="AX354" s="453">
        <v>0</v>
      </c>
      <c r="AY354" s="734">
        <v>0</v>
      </c>
      <c r="AZ354" s="734">
        <v>0</v>
      </c>
      <c r="BA354" s="734">
        <v>0</v>
      </c>
      <c r="BB354" s="453">
        <v>0</v>
      </c>
      <c r="BC354" s="453">
        <v>0.5</v>
      </c>
      <c r="BD354" s="453">
        <v>1.5</v>
      </c>
      <c r="BE354" s="734">
        <v>0</v>
      </c>
      <c r="BF354" s="453">
        <v>0</v>
      </c>
      <c r="BG354" s="453">
        <v>0</v>
      </c>
      <c r="BH354" s="734">
        <v>0</v>
      </c>
      <c r="BI354" s="453">
        <v>0</v>
      </c>
      <c r="BJ354" s="453">
        <v>25.4</v>
      </c>
      <c r="BK354" s="453">
        <v>3.16</v>
      </c>
      <c r="BL354" s="453">
        <v>3.37</v>
      </c>
      <c r="BM354" s="453">
        <v>0</v>
      </c>
      <c r="BN354" s="453">
        <v>19.5</v>
      </c>
      <c r="BO354" s="453">
        <v>1002.2</v>
      </c>
      <c r="BP354" s="453">
        <v>0</v>
      </c>
      <c r="BQ354" s="453">
        <v>20.100000000000001</v>
      </c>
      <c r="BR354" s="453">
        <v>20</v>
      </c>
      <c r="BS354" s="453">
        <v>0</v>
      </c>
      <c r="BT354" s="453">
        <v>25.8</v>
      </c>
      <c r="BU354" s="453">
        <v>19.100000000000001</v>
      </c>
      <c r="BV354" s="456">
        <v>423.1</v>
      </c>
      <c r="BW354" s="453">
        <v>1.24</v>
      </c>
      <c r="BX354" s="453">
        <v>1.61</v>
      </c>
      <c r="BY354" s="456">
        <v>0.9</v>
      </c>
      <c r="BZ354" s="456">
        <v>14.8</v>
      </c>
      <c r="CA354" s="456">
        <v>31.6</v>
      </c>
      <c r="CB354" s="456">
        <v>13.4</v>
      </c>
      <c r="CC354" s="456">
        <v>8.1999999999999993</v>
      </c>
      <c r="CD354" s="456">
        <v>12.5</v>
      </c>
      <c r="CE354" s="456">
        <v>16.600000000000001</v>
      </c>
      <c r="CF354" s="456">
        <v>12.6</v>
      </c>
      <c r="CG354" s="456">
        <v>515.9</v>
      </c>
      <c r="CH354" s="456">
        <v>1.8</v>
      </c>
      <c r="CI354" s="456">
        <v>1.9</v>
      </c>
      <c r="CJ354" s="456">
        <v>372.1</v>
      </c>
      <c r="CK354" s="456">
        <v>336.3</v>
      </c>
      <c r="CL354" s="456">
        <v>583.6</v>
      </c>
      <c r="CM354" s="456">
        <v>12.8</v>
      </c>
      <c r="CN354" s="456">
        <v>1.6</v>
      </c>
      <c r="CO354" s="453">
        <v>0</v>
      </c>
      <c r="CP354" s="453">
        <v>14.51</v>
      </c>
      <c r="CQ354" s="453">
        <v>44</v>
      </c>
      <c r="CR354" s="456">
        <v>0</v>
      </c>
      <c r="CS354" s="456">
        <v>0</v>
      </c>
      <c r="CT354" s="456">
        <v>0</v>
      </c>
      <c r="CU354" s="456">
        <v>0</v>
      </c>
      <c r="CV354" s="481">
        <v>740.66666666666663</v>
      </c>
      <c r="CW354" s="481">
        <v>1032.8125</v>
      </c>
      <c r="CX354" s="481">
        <v>702.54166666666663</v>
      </c>
      <c r="CY354" s="481">
        <v>1075.79</v>
      </c>
      <c r="CZ354" s="456"/>
      <c r="DA354" s="456"/>
      <c r="DB354" s="456"/>
      <c r="DC354" s="456"/>
      <c r="DD354" s="456"/>
      <c r="DE354" s="456"/>
      <c r="DF354" s="456"/>
      <c r="DG354" s="425"/>
      <c r="DH354" s="456">
        <v>0</v>
      </c>
      <c r="DI354" s="456" t="s">
        <v>778</v>
      </c>
      <c r="DJ354" s="456">
        <v>1.26</v>
      </c>
      <c r="DK354" s="425"/>
      <c r="DL354" s="456"/>
      <c r="DM354" s="456"/>
      <c r="DN354" s="456"/>
      <c r="DO354" s="456"/>
      <c r="DP354" s="456"/>
      <c r="DQ354" s="456"/>
      <c r="DR354" s="456"/>
      <c r="DS354" s="456"/>
      <c r="DT354" s="456"/>
      <c r="DU354" s="456"/>
      <c r="DV354" s="456"/>
      <c r="DW354" s="456"/>
      <c r="DX354" s="456"/>
      <c r="DY354" s="456"/>
      <c r="DZ354" s="456"/>
      <c r="EA354" s="456"/>
      <c r="EB354" s="456"/>
      <c r="EC354" s="456"/>
      <c r="ED354" s="456"/>
      <c r="EE354" s="456">
        <v>0</v>
      </c>
      <c r="EF354" s="456">
        <v>2</v>
      </c>
      <c r="EG354" s="456">
        <v>6.5</v>
      </c>
      <c r="EH354" s="456"/>
      <c r="EI354" s="456"/>
      <c r="EJ354" s="456"/>
      <c r="EK354" s="456"/>
      <c r="EL354" s="456"/>
      <c r="EM354" s="456"/>
      <c r="EN354" s="456"/>
      <c r="EO354" s="425"/>
      <c r="EP354" s="425"/>
      <c r="EQ354" s="425" t="s">
        <v>743</v>
      </c>
      <c r="ER354" s="425">
        <v>1</v>
      </c>
      <c r="ES354" s="425">
        <v>6</v>
      </c>
      <c r="ET354" s="425">
        <v>1170</v>
      </c>
      <c r="EU354" s="457">
        <v>4000</v>
      </c>
      <c r="EV354" s="425">
        <v>105</v>
      </c>
      <c r="EW354" s="425">
        <v>7513927</v>
      </c>
      <c r="EX354" s="425">
        <v>31349</v>
      </c>
      <c r="EY354" s="666">
        <v>20.079999999999998</v>
      </c>
      <c r="EZ354" s="666">
        <v>20.059999999999999</v>
      </c>
      <c r="FA354" s="666">
        <v>0</v>
      </c>
      <c r="FB354" s="666">
        <v>1.43</v>
      </c>
      <c r="FC354" s="666">
        <v>1.36</v>
      </c>
      <c r="FD354" s="666">
        <v>0.98099999999999998</v>
      </c>
      <c r="FE354" s="666">
        <v>0.97</v>
      </c>
      <c r="FF354" s="666">
        <v>80</v>
      </c>
      <c r="FG354" s="666">
        <v>2.38</v>
      </c>
      <c r="FH354" s="666">
        <v>0.68300000000000005</v>
      </c>
      <c r="FI354" s="666">
        <v>1.66</v>
      </c>
      <c r="FJ354" s="666">
        <v>8.07</v>
      </c>
      <c r="FK354" s="666">
        <v>8</v>
      </c>
      <c r="FL354" s="666">
        <v>8.09</v>
      </c>
      <c r="FM354" s="666">
        <v>7.8</v>
      </c>
      <c r="FN354" s="666">
        <v>0</v>
      </c>
    </row>
    <row r="355" spans="1:170" s="416" customFormat="1" ht="15">
      <c r="A355" s="425" t="s">
        <v>6</v>
      </c>
      <c r="B355" s="426">
        <v>40884</v>
      </c>
      <c r="C355" s="418">
        <v>0</v>
      </c>
      <c r="D355" s="518">
        <v>0</v>
      </c>
      <c r="E355" s="453">
        <v>0</v>
      </c>
      <c r="F355" s="453">
        <v>31</v>
      </c>
      <c r="G355" s="453">
        <v>0.9</v>
      </c>
      <c r="H355" s="519">
        <v>1.9</v>
      </c>
      <c r="I355" s="519">
        <v>94.06</v>
      </c>
      <c r="J355" s="483" t="s">
        <v>742</v>
      </c>
      <c r="K355" s="520">
        <v>1.58</v>
      </c>
      <c r="L355" s="453">
        <v>0</v>
      </c>
      <c r="M355" s="453">
        <v>21</v>
      </c>
      <c r="N355" s="453" t="s">
        <v>742</v>
      </c>
      <c r="O355" s="453" t="s">
        <v>742</v>
      </c>
      <c r="P355" s="453">
        <v>1.6</v>
      </c>
      <c r="Q355" s="453">
        <v>2.1454595815399626</v>
      </c>
      <c r="R355" s="453">
        <v>931.87436195508565</v>
      </c>
      <c r="S355" s="453" t="s">
        <v>742</v>
      </c>
      <c r="T355" s="453">
        <v>7.99</v>
      </c>
      <c r="U355" s="453" t="s">
        <v>742</v>
      </c>
      <c r="V355" s="453">
        <v>0.79</v>
      </c>
      <c r="W355" s="763" t="s">
        <v>742</v>
      </c>
      <c r="X355" s="456">
        <v>39.019999999999996</v>
      </c>
      <c r="Y355" s="453">
        <v>27.58</v>
      </c>
      <c r="Z355" s="453">
        <v>25.74</v>
      </c>
      <c r="AA355" s="519">
        <v>28</v>
      </c>
      <c r="AB355" s="519">
        <v>24.680000000000291</v>
      </c>
      <c r="AC355" s="732">
        <f t="shared" si="5"/>
        <v>52.680000000000291</v>
      </c>
      <c r="AD355" s="664"/>
      <c r="AE355" s="664"/>
      <c r="AF355" s="664"/>
      <c r="AG355" s="664"/>
      <c r="AH355" s="664"/>
      <c r="AI355" s="664"/>
      <c r="AJ355" s="485"/>
      <c r="AK355" s="485"/>
      <c r="AL355" s="485"/>
      <c r="AM355" s="485"/>
      <c r="AN355" s="485"/>
      <c r="AO355" s="665"/>
      <c r="AP355" s="485"/>
      <c r="AQ355" s="483"/>
      <c r="AR355" s="755">
        <v>0</v>
      </c>
      <c r="AS355" s="483">
        <v>10.9</v>
      </c>
      <c r="AT355" s="755">
        <v>0</v>
      </c>
      <c r="AU355" s="483">
        <v>28</v>
      </c>
      <c r="AV355" s="484">
        <v>399.2</v>
      </c>
      <c r="AW355" s="484">
        <v>478.8</v>
      </c>
      <c r="AX355" s="453">
        <v>0</v>
      </c>
      <c r="AY355" s="734">
        <v>0</v>
      </c>
      <c r="AZ355" s="734">
        <v>0</v>
      </c>
      <c r="BA355" s="734">
        <v>0</v>
      </c>
      <c r="BB355" s="453">
        <v>0</v>
      </c>
      <c r="BC355" s="453">
        <v>0.51</v>
      </c>
      <c r="BD355" s="453">
        <v>1.5</v>
      </c>
      <c r="BE355" s="734">
        <v>0</v>
      </c>
      <c r="BF355" s="453">
        <v>0</v>
      </c>
      <c r="BG355" s="453">
        <v>0</v>
      </c>
      <c r="BH355" s="734">
        <v>0</v>
      </c>
      <c r="BI355" s="453">
        <v>0</v>
      </c>
      <c r="BJ355" s="453">
        <v>22.7</v>
      </c>
      <c r="BK355" s="453">
        <v>2.54</v>
      </c>
      <c r="BL355" s="453">
        <v>3.98</v>
      </c>
      <c r="BM355" s="453">
        <v>0</v>
      </c>
      <c r="BN355" s="453">
        <v>18.3</v>
      </c>
      <c r="BO355" s="453">
        <v>1237</v>
      </c>
      <c r="BP355" s="453">
        <v>0</v>
      </c>
      <c r="BQ355" s="453">
        <v>20</v>
      </c>
      <c r="BR355" s="453">
        <v>19.899999999999999</v>
      </c>
      <c r="BS355" s="453">
        <v>0</v>
      </c>
      <c r="BT355" s="453">
        <v>25.8</v>
      </c>
      <c r="BU355" s="453">
        <v>21.9</v>
      </c>
      <c r="BV355" s="456">
        <v>420.9</v>
      </c>
      <c r="BW355" s="453">
        <v>1.23</v>
      </c>
      <c r="BX355" s="453">
        <v>1.47</v>
      </c>
      <c r="BY355" s="456">
        <v>0.9</v>
      </c>
      <c r="BZ355" s="456">
        <v>14.6</v>
      </c>
      <c r="CA355" s="456">
        <v>32.5</v>
      </c>
      <c r="CB355" s="456">
        <v>12.9</v>
      </c>
      <c r="CC355" s="456">
        <v>8.6</v>
      </c>
      <c r="CD355" s="456">
        <v>12.8</v>
      </c>
      <c r="CE355" s="456">
        <v>16.899999999999999</v>
      </c>
      <c r="CF355" s="456">
        <v>12.5</v>
      </c>
      <c r="CG355" s="456">
        <v>508.9</v>
      </c>
      <c r="CH355" s="456">
        <v>1.5</v>
      </c>
      <c r="CI355" s="456">
        <v>1.8</v>
      </c>
      <c r="CJ355" s="456">
        <v>257.39999999999998</v>
      </c>
      <c r="CK355" s="456">
        <v>330.8</v>
      </c>
      <c r="CL355" s="456">
        <v>624.5</v>
      </c>
      <c r="CM355" s="456">
        <v>12.5</v>
      </c>
      <c r="CN355" s="456">
        <v>1.6</v>
      </c>
      <c r="CO355" s="453">
        <v>0</v>
      </c>
      <c r="CP355" s="453">
        <v>13.99</v>
      </c>
      <c r="CQ355" s="453">
        <v>44</v>
      </c>
      <c r="CR355" s="456">
        <v>0</v>
      </c>
      <c r="CS355" s="456">
        <v>0</v>
      </c>
      <c r="CT355" s="456">
        <v>0</v>
      </c>
      <c r="CU355" s="456">
        <v>0</v>
      </c>
      <c r="CV355" s="481">
        <v>695.70833333333337</v>
      </c>
      <c r="CW355" s="481">
        <v>956.78125</v>
      </c>
      <c r="CX355" s="481">
        <v>659.30208333333337</v>
      </c>
      <c r="CY355" s="481">
        <v>1075.75</v>
      </c>
      <c r="CZ355" s="456"/>
      <c r="DA355" s="456"/>
      <c r="DB355" s="456"/>
      <c r="DC355" s="456"/>
      <c r="DD355" s="456"/>
      <c r="DE355" s="456"/>
      <c r="DF355" s="456"/>
      <c r="DG355" s="425"/>
      <c r="DH355" s="456">
        <v>0</v>
      </c>
      <c r="DI355" s="456" t="s">
        <v>779</v>
      </c>
      <c r="DJ355" s="456">
        <v>1.07</v>
      </c>
      <c r="DK355" s="425"/>
      <c r="DL355" s="456"/>
      <c r="DM355" s="456"/>
      <c r="DN355" s="456"/>
      <c r="DO355" s="456"/>
      <c r="DP355" s="456"/>
      <c r="DQ355" s="456"/>
      <c r="DR355" s="456"/>
      <c r="DS355" s="456"/>
      <c r="DT355" s="456"/>
      <c r="DU355" s="456"/>
      <c r="DV355" s="456"/>
      <c r="DW355" s="456"/>
      <c r="DX355" s="456"/>
      <c r="DY355" s="456"/>
      <c r="DZ355" s="456"/>
      <c r="EA355" s="456"/>
      <c r="EB355" s="456"/>
      <c r="EC355" s="456"/>
      <c r="ED355" s="456"/>
      <c r="EE355" s="456">
        <v>0</v>
      </c>
      <c r="EF355" s="456">
        <v>2</v>
      </c>
      <c r="EG355" s="456">
        <v>6.5</v>
      </c>
      <c r="EH355" s="456"/>
      <c r="EI355" s="456"/>
      <c r="EJ355" s="456"/>
      <c r="EK355" s="456"/>
      <c r="EL355" s="456"/>
      <c r="EM355" s="456"/>
      <c r="EN355" s="456"/>
      <c r="EO355" s="425"/>
      <c r="EP355" s="425"/>
      <c r="EQ355" s="425" t="s">
        <v>743</v>
      </c>
      <c r="ER355" s="425">
        <v>1</v>
      </c>
      <c r="ES355" s="425">
        <v>6</v>
      </c>
      <c r="ET355" s="425">
        <v>1080</v>
      </c>
      <c r="EU355" s="457">
        <v>4000</v>
      </c>
      <c r="EV355" s="425">
        <v>130</v>
      </c>
      <c r="EW355" s="425">
        <v>7516170</v>
      </c>
      <c r="EX355" s="425">
        <v>32852</v>
      </c>
      <c r="EY355" s="666">
        <v>19.899999999999999</v>
      </c>
      <c r="EZ355" s="666">
        <v>19.899999999999999</v>
      </c>
      <c r="FA355" s="666">
        <v>0</v>
      </c>
      <c r="FB355" s="666">
        <v>1.42</v>
      </c>
      <c r="FC355" s="666">
        <v>1.41</v>
      </c>
      <c r="FD355" s="666">
        <v>1</v>
      </c>
      <c r="FE355" s="666">
        <v>0.98</v>
      </c>
      <c r="FF355" s="666">
        <v>90</v>
      </c>
      <c r="FG355" s="666">
        <v>1.65</v>
      </c>
      <c r="FH355" s="666">
        <v>0.66</v>
      </c>
      <c r="FI355" s="666">
        <v>1.21</v>
      </c>
      <c r="FJ355" s="666">
        <v>8.1300000000000008</v>
      </c>
      <c r="FK355" s="666">
        <v>8</v>
      </c>
      <c r="FL355" s="666">
        <v>8.0399999999999991</v>
      </c>
      <c r="FM355" s="666">
        <v>7.6</v>
      </c>
      <c r="FN355" s="666">
        <v>0</v>
      </c>
    </row>
    <row r="356" spans="1:170" s="416" customFormat="1" ht="15">
      <c r="A356" s="425" t="s">
        <v>7</v>
      </c>
      <c r="B356" s="426">
        <v>40885</v>
      </c>
      <c r="C356" s="418">
        <v>0</v>
      </c>
      <c r="D356" s="518">
        <v>0</v>
      </c>
      <c r="E356" s="453">
        <v>0</v>
      </c>
      <c r="F356" s="453">
        <v>30</v>
      </c>
      <c r="G356" s="453">
        <v>0.8</v>
      </c>
      <c r="H356" s="519">
        <v>2.2400000000000002</v>
      </c>
      <c r="I356" s="519">
        <v>94.54</v>
      </c>
      <c r="J356" s="483" t="s">
        <v>742</v>
      </c>
      <c r="K356" s="520">
        <v>1.68</v>
      </c>
      <c r="L356" s="453">
        <v>0</v>
      </c>
      <c r="M356" s="453">
        <v>20.9</v>
      </c>
      <c r="N356" s="453" t="s">
        <v>742</v>
      </c>
      <c r="O356" s="453" t="s">
        <v>742</v>
      </c>
      <c r="P356" s="453">
        <v>1.63</v>
      </c>
      <c r="Q356" s="453">
        <v>2.1063641308570982</v>
      </c>
      <c r="R356" s="453">
        <v>895.9209194187581</v>
      </c>
      <c r="S356" s="453" t="s">
        <v>742</v>
      </c>
      <c r="T356" s="453">
        <v>7.99</v>
      </c>
      <c r="U356" s="453" t="s">
        <v>742</v>
      </c>
      <c r="V356" s="453">
        <v>0.79</v>
      </c>
      <c r="W356" s="763" t="s">
        <v>742</v>
      </c>
      <c r="X356" s="456">
        <v>43.88000000000001</v>
      </c>
      <c r="Y356" s="453">
        <v>26.97</v>
      </c>
      <c r="Z356" s="453">
        <v>23.79</v>
      </c>
      <c r="AA356" s="519">
        <v>27</v>
      </c>
      <c r="AB356" s="519">
        <v>24.06</v>
      </c>
      <c r="AC356" s="732">
        <f t="shared" si="5"/>
        <v>51.06</v>
      </c>
      <c r="AD356" s="664"/>
      <c r="AE356" s="664"/>
      <c r="AF356" s="664"/>
      <c r="AG356" s="664"/>
      <c r="AH356" s="664"/>
      <c r="AI356" s="664"/>
      <c r="AJ356" s="485"/>
      <c r="AK356" s="485"/>
      <c r="AL356" s="485"/>
      <c r="AM356" s="485"/>
      <c r="AN356" s="485"/>
      <c r="AO356" s="665"/>
      <c r="AP356" s="485"/>
      <c r="AQ356" s="483"/>
      <c r="AR356" s="755">
        <v>0</v>
      </c>
      <c r="AS356" s="483">
        <v>10.5</v>
      </c>
      <c r="AT356" s="755">
        <v>0</v>
      </c>
      <c r="AU356" s="483">
        <v>28</v>
      </c>
      <c r="AV356" s="484">
        <v>314.5</v>
      </c>
      <c r="AW356" s="484">
        <v>447.9</v>
      </c>
      <c r="AX356" s="453">
        <v>0</v>
      </c>
      <c r="AY356" s="734">
        <v>0</v>
      </c>
      <c r="AZ356" s="734">
        <v>0</v>
      </c>
      <c r="BA356" s="734">
        <v>0</v>
      </c>
      <c r="BB356" s="453">
        <v>0</v>
      </c>
      <c r="BC356" s="453">
        <v>0.28000000000000003</v>
      </c>
      <c r="BD356" s="453">
        <v>1.5</v>
      </c>
      <c r="BE356" s="734">
        <v>0</v>
      </c>
      <c r="BF356" s="453">
        <v>0.23</v>
      </c>
      <c r="BG356" s="453">
        <v>0</v>
      </c>
      <c r="BH356" s="734">
        <v>0</v>
      </c>
      <c r="BI356" s="453">
        <v>0</v>
      </c>
      <c r="BJ356" s="453">
        <v>22.1</v>
      </c>
      <c r="BK356" s="453">
        <v>3.18</v>
      </c>
      <c r="BL356" s="453">
        <v>3.37</v>
      </c>
      <c r="BM356" s="453">
        <v>0</v>
      </c>
      <c r="BN356" s="453">
        <v>16.3</v>
      </c>
      <c r="BO356" s="453">
        <v>1342.3</v>
      </c>
      <c r="BP356" s="453">
        <v>0</v>
      </c>
      <c r="BQ356" s="453">
        <v>19.8</v>
      </c>
      <c r="BR356" s="453">
        <v>19.8</v>
      </c>
      <c r="BS356" s="453">
        <v>0</v>
      </c>
      <c r="BT356" s="453">
        <v>25.8</v>
      </c>
      <c r="BU356" s="453">
        <v>22.6</v>
      </c>
      <c r="BV356" s="456">
        <v>416.4</v>
      </c>
      <c r="BW356" s="453">
        <v>1.18</v>
      </c>
      <c r="BX356" s="453">
        <v>1.45</v>
      </c>
      <c r="BY356" s="456">
        <v>0.9</v>
      </c>
      <c r="BZ356" s="456">
        <v>14.7</v>
      </c>
      <c r="CA356" s="456">
        <v>31.7</v>
      </c>
      <c r="CB356" s="456">
        <v>12.4</v>
      </c>
      <c r="CC356" s="456">
        <v>9.5</v>
      </c>
      <c r="CD356" s="456">
        <v>13.8</v>
      </c>
      <c r="CE356" s="456">
        <v>17.8</v>
      </c>
      <c r="CF356" s="456">
        <v>12.4</v>
      </c>
      <c r="CG356" s="456">
        <v>501.5</v>
      </c>
      <c r="CH356" s="456">
        <v>1.7</v>
      </c>
      <c r="CI356" s="456">
        <v>1.7</v>
      </c>
      <c r="CJ356" s="456">
        <v>108.7</v>
      </c>
      <c r="CK356" s="456">
        <v>347.1</v>
      </c>
      <c r="CL356" s="456">
        <v>699.2</v>
      </c>
      <c r="CM356" s="456">
        <v>12.2</v>
      </c>
      <c r="CN356" s="456">
        <v>1.2</v>
      </c>
      <c r="CO356" s="453">
        <v>0</v>
      </c>
      <c r="CP356" s="453">
        <v>13.81</v>
      </c>
      <c r="CQ356" s="453">
        <v>43</v>
      </c>
      <c r="CR356" s="456">
        <v>0</v>
      </c>
      <c r="CS356" s="456">
        <v>0</v>
      </c>
      <c r="CT356" s="456">
        <v>0</v>
      </c>
      <c r="CU356" s="456">
        <v>0</v>
      </c>
      <c r="CV356" s="481">
        <v>663.25</v>
      </c>
      <c r="CW356" s="481">
        <v>937.64583333333337</v>
      </c>
      <c r="CX356" s="481">
        <v>630.70833333333337</v>
      </c>
      <c r="CY356" s="481">
        <v>1075.4000000000001</v>
      </c>
      <c r="CZ356" s="456"/>
      <c r="DA356" s="456"/>
      <c r="DB356" s="456"/>
      <c r="DC356" s="456"/>
      <c r="DD356" s="456"/>
      <c r="DE356" s="456"/>
      <c r="DF356" s="456"/>
      <c r="DG356" s="425"/>
      <c r="DH356" s="456">
        <v>0</v>
      </c>
      <c r="DI356" s="456" t="s">
        <v>755</v>
      </c>
      <c r="DJ356" s="456">
        <v>1.1399999999999999</v>
      </c>
      <c r="DK356" s="425"/>
      <c r="DL356" s="456"/>
      <c r="DM356" s="456"/>
      <c r="DN356" s="456"/>
      <c r="DO356" s="456"/>
      <c r="DP356" s="456"/>
      <c r="DQ356" s="456"/>
      <c r="DR356" s="456"/>
      <c r="DS356" s="456"/>
      <c r="DT356" s="456"/>
      <c r="DU356" s="456"/>
      <c r="DV356" s="456"/>
      <c r="DW356" s="456"/>
      <c r="DX356" s="456"/>
      <c r="DY356" s="456"/>
      <c r="DZ356" s="456"/>
      <c r="EA356" s="456"/>
      <c r="EB356" s="456"/>
      <c r="EC356" s="456"/>
      <c r="ED356" s="456"/>
      <c r="EE356" s="456">
        <v>0</v>
      </c>
      <c r="EF356" s="456">
        <v>2</v>
      </c>
      <c r="EG356" s="456">
        <v>6.5</v>
      </c>
      <c r="EH356" s="456"/>
      <c r="EI356" s="456"/>
      <c r="EJ356" s="456"/>
      <c r="EK356" s="456"/>
      <c r="EL356" s="456"/>
      <c r="EM356" s="456"/>
      <c r="EN356" s="456"/>
      <c r="EO356" s="425"/>
      <c r="EP356" s="425"/>
      <c r="EQ356" s="425" t="s">
        <v>743</v>
      </c>
      <c r="ER356" s="425">
        <v>1</v>
      </c>
      <c r="ES356" s="425">
        <v>6</v>
      </c>
      <c r="ET356" s="425">
        <v>1000</v>
      </c>
      <c r="EU356" s="457">
        <v>4000</v>
      </c>
      <c r="EV356" s="425">
        <v>140</v>
      </c>
      <c r="EW356" s="425">
        <v>7518461</v>
      </c>
      <c r="EX356" s="425">
        <v>34374</v>
      </c>
      <c r="EY356" s="666">
        <v>19.7</v>
      </c>
      <c r="EZ356" s="666">
        <v>19.7</v>
      </c>
      <c r="FA356" s="666">
        <v>0</v>
      </c>
      <c r="FB356" s="666">
        <v>1.43</v>
      </c>
      <c r="FC356" s="666">
        <v>1.43</v>
      </c>
      <c r="FD356" s="666">
        <v>1.01</v>
      </c>
      <c r="FE356" s="666">
        <v>1.02</v>
      </c>
      <c r="FF356" s="666">
        <v>80</v>
      </c>
      <c r="FG356" s="666">
        <v>1.5</v>
      </c>
      <c r="FH356" s="666">
        <v>0.62</v>
      </c>
      <c r="FI356" s="666">
        <v>1.2</v>
      </c>
      <c r="FJ356" s="666">
        <v>8.26</v>
      </c>
      <c r="FK356" s="666">
        <v>8.1</v>
      </c>
      <c r="FL356" s="666">
        <v>8.01</v>
      </c>
      <c r="FM356" s="666">
        <v>7.6</v>
      </c>
      <c r="FN356" s="666">
        <v>0</v>
      </c>
    </row>
    <row r="357" spans="1:170" s="416" customFormat="1" ht="15">
      <c r="A357" s="425" t="s">
        <v>8</v>
      </c>
      <c r="B357" s="426">
        <v>40886</v>
      </c>
      <c r="C357" s="418">
        <v>0</v>
      </c>
      <c r="D357" s="518">
        <v>0</v>
      </c>
      <c r="E357" s="453">
        <v>0</v>
      </c>
      <c r="F357" s="453">
        <v>45</v>
      </c>
      <c r="G357" s="453">
        <v>0.9</v>
      </c>
      <c r="H357" s="519">
        <v>2.06</v>
      </c>
      <c r="I357" s="519">
        <v>94.5</v>
      </c>
      <c r="J357" s="483" t="s">
        <v>742</v>
      </c>
      <c r="K357" s="520">
        <v>1.5</v>
      </c>
      <c r="L357" s="453">
        <v>0</v>
      </c>
      <c r="M357" s="453">
        <v>20.7</v>
      </c>
      <c r="N357" s="453" t="s">
        <v>742</v>
      </c>
      <c r="O357" s="453">
        <v>0</v>
      </c>
      <c r="P357" s="453">
        <v>1.63</v>
      </c>
      <c r="Q357" s="453">
        <v>2.0527324261584434</v>
      </c>
      <c r="R357" s="453">
        <v>881.66910435931288</v>
      </c>
      <c r="S357" s="453" t="s">
        <v>742</v>
      </c>
      <c r="T357" s="453">
        <v>7.99</v>
      </c>
      <c r="U357" s="453" t="s">
        <v>742</v>
      </c>
      <c r="V357" s="453">
        <v>0.79</v>
      </c>
      <c r="W357" s="763" t="s">
        <v>742</v>
      </c>
      <c r="X357" s="456">
        <v>42.08</v>
      </c>
      <c r="Y357" s="453">
        <v>27.2</v>
      </c>
      <c r="Z357" s="453">
        <v>23.77</v>
      </c>
      <c r="AA357" s="519">
        <v>27.5</v>
      </c>
      <c r="AB357" s="519">
        <v>24.5</v>
      </c>
      <c r="AC357" s="732">
        <f t="shared" si="5"/>
        <v>52</v>
      </c>
      <c r="AD357" s="664"/>
      <c r="AE357" s="664"/>
      <c r="AF357" s="664"/>
      <c r="AG357" s="664"/>
      <c r="AH357" s="664"/>
      <c r="AI357" s="664"/>
      <c r="AJ357" s="485"/>
      <c r="AK357" s="485"/>
      <c r="AL357" s="485"/>
      <c r="AM357" s="485"/>
      <c r="AN357" s="485"/>
      <c r="AO357" s="665"/>
      <c r="AP357" s="485"/>
      <c r="AQ357" s="483"/>
      <c r="AR357" s="755">
        <v>0</v>
      </c>
      <c r="AS357" s="483">
        <v>20.7</v>
      </c>
      <c r="AT357" s="755">
        <v>0</v>
      </c>
      <c r="AU357" s="483">
        <v>28</v>
      </c>
      <c r="AV357" s="484">
        <v>345.1</v>
      </c>
      <c r="AW357" s="484">
        <v>418.9</v>
      </c>
      <c r="AX357" s="453">
        <v>0</v>
      </c>
      <c r="AY357" s="734">
        <v>0</v>
      </c>
      <c r="AZ357" s="734">
        <v>0</v>
      </c>
      <c r="BA357" s="734">
        <v>0</v>
      </c>
      <c r="BB357" s="453">
        <v>0</v>
      </c>
      <c r="BC357" s="453">
        <v>0</v>
      </c>
      <c r="BD357" s="453">
        <v>1.49</v>
      </c>
      <c r="BE357" s="734">
        <v>0</v>
      </c>
      <c r="BF357" s="453">
        <v>0.56000000000000005</v>
      </c>
      <c r="BG357" s="453">
        <v>0</v>
      </c>
      <c r="BH357" s="734">
        <v>0</v>
      </c>
      <c r="BI357" s="453">
        <v>0</v>
      </c>
      <c r="BJ357" s="453">
        <v>22.1</v>
      </c>
      <c r="BK357" s="453">
        <v>2.33</v>
      </c>
      <c r="BL357" s="453">
        <v>4.22</v>
      </c>
      <c r="BM357" s="453">
        <v>0</v>
      </c>
      <c r="BN357" s="453">
        <v>15.3</v>
      </c>
      <c r="BO357" s="453">
        <v>949</v>
      </c>
      <c r="BP357" s="453">
        <v>0</v>
      </c>
      <c r="BQ357" s="453">
        <v>19.399999999999999</v>
      </c>
      <c r="BR357" s="453">
        <v>19.399999999999999</v>
      </c>
      <c r="BS357" s="453">
        <v>0</v>
      </c>
      <c r="BT357" s="453">
        <v>25.9</v>
      </c>
      <c r="BU357" s="453">
        <v>23.8</v>
      </c>
      <c r="BV357" s="456">
        <v>413.4</v>
      </c>
      <c r="BW357" s="453">
        <v>1.17</v>
      </c>
      <c r="BX357" s="453">
        <v>1.47</v>
      </c>
      <c r="BY357" s="456">
        <v>0.89</v>
      </c>
      <c r="BZ357" s="456">
        <v>14.1</v>
      </c>
      <c r="CA357" s="456">
        <v>31.5</v>
      </c>
      <c r="CB357" s="456">
        <v>12.8</v>
      </c>
      <c r="CC357" s="456">
        <v>8.3000000000000007</v>
      </c>
      <c r="CD357" s="456">
        <v>12.6</v>
      </c>
      <c r="CE357" s="456">
        <v>16.600000000000001</v>
      </c>
      <c r="CF357" s="456">
        <v>12.5</v>
      </c>
      <c r="CG357" s="456">
        <v>538.6</v>
      </c>
      <c r="CH357" s="456">
        <v>2</v>
      </c>
      <c r="CI357" s="456">
        <v>3</v>
      </c>
      <c r="CJ357" s="456">
        <v>144.1</v>
      </c>
      <c r="CK357" s="456">
        <v>342.7</v>
      </c>
      <c r="CL357" s="456">
        <v>703.5</v>
      </c>
      <c r="CM357" s="456">
        <v>13.2</v>
      </c>
      <c r="CN357" s="456">
        <v>1.6</v>
      </c>
      <c r="CO357" s="453">
        <v>0</v>
      </c>
      <c r="CP357" s="453">
        <v>15.82</v>
      </c>
      <c r="CQ357" s="453">
        <v>43</v>
      </c>
      <c r="CR357" s="456">
        <v>0</v>
      </c>
      <c r="CS357" s="456">
        <v>0</v>
      </c>
      <c r="CT357" s="456">
        <v>0</v>
      </c>
      <c r="CU357" s="456">
        <v>0</v>
      </c>
      <c r="CV357" s="481">
        <v>568.125</v>
      </c>
      <c r="CW357" s="481">
        <v>859.38541666666663</v>
      </c>
      <c r="CX357" s="481">
        <v>544.16666666666663</v>
      </c>
      <c r="CY357" s="481">
        <v>1076.1400000000001</v>
      </c>
      <c r="CZ357" s="456"/>
      <c r="DA357" s="456"/>
      <c r="DB357" s="456"/>
      <c r="DC357" s="456"/>
      <c r="DD357" s="456"/>
      <c r="DE357" s="456"/>
      <c r="DF357" s="456"/>
      <c r="DG357" s="425"/>
      <c r="DH357" s="456">
        <v>0</v>
      </c>
      <c r="DI357" s="456" t="s">
        <v>755</v>
      </c>
      <c r="DJ357" s="456">
        <v>1.1000000000000001</v>
      </c>
      <c r="DK357" s="425"/>
      <c r="DL357" s="456"/>
      <c r="DM357" s="456"/>
      <c r="DN357" s="456"/>
      <c r="DO357" s="456"/>
      <c r="DP357" s="456"/>
      <c r="DQ357" s="456"/>
      <c r="DR357" s="456"/>
      <c r="DS357" s="456"/>
      <c r="DT357" s="456"/>
      <c r="DU357" s="456"/>
      <c r="DV357" s="456"/>
      <c r="DW357" s="456"/>
      <c r="DX357" s="456"/>
      <c r="DY357" s="456"/>
      <c r="DZ357" s="456"/>
      <c r="EA357" s="456"/>
      <c r="EB357" s="456"/>
      <c r="EC357" s="456"/>
      <c r="ED357" s="456"/>
      <c r="EE357" s="456">
        <v>0</v>
      </c>
      <c r="EF357" s="456">
        <v>2</v>
      </c>
      <c r="EG357" s="456">
        <v>6.5</v>
      </c>
      <c r="EH357" s="456"/>
      <c r="EI357" s="456"/>
      <c r="EJ357" s="456"/>
      <c r="EK357" s="456"/>
      <c r="EL357" s="456"/>
      <c r="EM357" s="456"/>
      <c r="EN357" s="456"/>
      <c r="EO357" s="425"/>
      <c r="EP357" s="425"/>
      <c r="EQ357" s="425" t="s">
        <v>743</v>
      </c>
      <c r="ER357" s="425">
        <v>1</v>
      </c>
      <c r="ES357" s="425">
        <v>6</v>
      </c>
      <c r="ET357" s="425">
        <v>880</v>
      </c>
      <c r="EU357" s="457">
        <v>4000</v>
      </c>
      <c r="EV357" s="425">
        <v>120</v>
      </c>
      <c r="EW357" s="425">
        <v>7520827</v>
      </c>
      <c r="EX357" s="425">
        <v>35863</v>
      </c>
      <c r="EY357" s="666">
        <v>19.3</v>
      </c>
      <c r="EZ357" s="666">
        <v>19.3</v>
      </c>
      <c r="FA357" s="666">
        <v>0</v>
      </c>
      <c r="FB357" s="666">
        <v>1.42</v>
      </c>
      <c r="FC357" s="666">
        <v>1.4</v>
      </c>
      <c r="FD357" s="666">
        <v>1.03</v>
      </c>
      <c r="FE357" s="666">
        <v>0.99</v>
      </c>
      <c r="FF357" s="666">
        <v>120</v>
      </c>
      <c r="FG357" s="666">
        <v>1.58</v>
      </c>
      <c r="FH357" s="666">
        <v>0.64</v>
      </c>
      <c r="FI357" s="666">
        <v>1.25</v>
      </c>
      <c r="FJ357" s="666">
        <v>8.0299999999999994</v>
      </c>
      <c r="FK357" s="666">
        <v>8</v>
      </c>
      <c r="FL357" s="666">
        <v>8.02</v>
      </c>
      <c r="FM357" s="666">
        <v>7.7</v>
      </c>
      <c r="FN357" s="666">
        <v>0</v>
      </c>
    </row>
    <row r="358" spans="1:170" s="416" customFormat="1" ht="15">
      <c r="A358" s="425" t="s">
        <v>9</v>
      </c>
      <c r="B358" s="426">
        <v>40887</v>
      </c>
      <c r="C358" s="418">
        <v>0</v>
      </c>
      <c r="D358" s="518">
        <v>0.08</v>
      </c>
      <c r="E358" s="453">
        <v>0</v>
      </c>
      <c r="F358" s="453">
        <v>35</v>
      </c>
      <c r="G358" s="453">
        <v>0.9</v>
      </c>
      <c r="H358" s="519">
        <v>1.6</v>
      </c>
      <c r="I358" s="519">
        <v>94.7</v>
      </c>
      <c r="J358" s="483" t="s">
        <v>742</v>
      </c>
      <c r="K358" s="520">
        <v>1.2</v>
      </c>
      <c r="L358" s="453">
        <v>0</v>
      </c>
      <c r="M358" s="453">
        <v>20.5</v>
      </c>
      <c r="N358" s="453" t="s">
        <v>742</v>
      </c>
      <c r="O358" s="453">
        <v>0</v>
      </c>
      <c r="P358" s="453">
        <v>1.61</v>
      </c>
      <c r="Q358" s="453">
        <v>2.0436799573308471</v>
      </c>
      <c r="R358" s="453">
        <v>871.30414795244371</v>
      </c>
      <c r="S358" s="453" t="s">
        <v>742</v>
      </c>
      <c r="T358" s="453">
        <v>7.87</v>
      </c>
      <c r="U358" s="453" t="s">
        <v>742</v>
      </c>
      <c r="V358" s="453">
        <v>0.77</v>
      </c>
      <c r="W358" s="763" t="s">
        <v>742</v>
      </c>
      <c r="X358" s="456">
        <v>42.260000000000005</v>
      </c>
      <c r="Y358" s="453">
        <v>27.58</v>
      </c>
      <c r="Z358" s="453">
        <v>24.15</v>
      </c>
      <c r="AA358" s="519">
        <v>27.399999999994179</v>
      </c>
      <c r="AB358" s="519">
        <v>23.5</v>
      </c>
      <c r="AC358" s="732">
        <f t="shared" si="5"/>
        <v>50.899999999994179</v>
      </c>
      <c r="AD358" s="664"/>
      <c r="AE358" s="664"/>
      <c r="AF358" s="664"/>
      <c r="AG358" s="664"/>
      <c r="AH358" s="664"/>
      <c r="AI358" s="664"/>
      <c r="AJ358" s="485"/>
      <c r="AK358" s="485"/>
      <c r="AL358" s="485"/>
      <c r="AM358" s="485"/>
      <c r="AN358" s="485"/>
      <c r="AO358" s="665"/>
      <c r="AP358" s="485"/>
      <c r="AQ358" s="483"/>
      <c r="AR358" s="755">
        <v>0</v>
      </c>
      <c r="AS358" s="483">
        <v>11.1</v>
      </c>
      <c r="AT358" s="755">
        <v>0</v>
      </c>
      <c r="AU358" s="483">
        <v>28</v>
      </c>
      <c r="AV358" s="484">
        <v>431.3</v>
      </c>
      <c r="AW358" s="484">
        <v>525.6</v>
      </c>
      <c r="AX358" s="453">
        <v>0</v>
      </c>
      <c r="AY358" s="734">
        <v>0</v>
      </c>
      <c r="AZ358" s="734">
        <v>0</v>
      </c>
      <c r="BA358" s="734">
        <v>0</v>
      </c>
      <c r="BB358" s="453">
        <v>0</v>
      </c>
      <c r="BC358" s="453">
        <v>0</v>
      </c>
      <c r="BD358" s="453">
        <v>1.5</v>
      </c>
      <c r="BE358" s="734">
        <v>0</v>
      </c>
      <c r="BF358" s="453">
        <v>0.5</v>
      </c>
      <c r="BG358" s="453">
        <v>0</v>
      </c>
      <c r="BH358" s="734">
        <v>0</v>
      </c>
      <c r="BI358" s="453">
        <v>0</v>
      </c>
      <c r="BJ358" s="453">
        <v>22.1</v>
      </c>
      <c r="BK358" s="453">
        <v>3.29</v>
      </c>
      <c r="BL358" s="453">
        <v>3.25</v>
      </c>
      <c r="BM358" s="453">
        <v>0</v>
      </c>
      <c r="BN358" s="453">
        <v>15.3</v>
      </c>
      <c r="BO358" s="453">
        <v>1368.1</v>
      </c>
      <c r="BP358" s="453">
        <v>0</v>
      </c>
      <c r="BQ358" s="453">
        <v>18.7</v>
      </c>
      <c r="BR358" s="453">
        <v>18.7</v>
      </c>
      <c r="BS358" s="453">
        <v>0</v>
      </c>
      <c r="BT358" s="453">
        <v>25.7</v>
      </c>
      <c r="BU358" s="453">
        <v>24.9</v>
      </c>
      <c r="BV358" s="456">
        <v>424</v>
      </c>
      <c r="BW358" s="453">
        <v>1.1399999999999999</v>
      </c>
      <c r="BX358" s="453">
        <v>1.46</v>
      </c>
      <c r="BY358" s="456">
        <v>0.9</v>
      </c>
      <c r="BZ358" s="456">
        <v>14.1</v>
      </c>
      <c r="CA358" s="456">
        <v>32.200000000000003</v>
      </c>
      <c r="CB358" s="456">
        <v>13.5</v>
      </c>
      <c r="CC358" s="456">
        <v>8.9</v>
      </c>
      <c r="CD358" s="456">
        <v>13.1</v>
      </c>
      <c r="CE358" s="456">
        <v>17.2</v>
      </c>
      <c r="CF358" s="456">
        <v>12.5</v>
      </c>
      <c r="CG358" s="456">
        <v>564.6</v>
      </c>
      <c r="CH358" s="456">
        <v>1.9</v>
      </c>
      <c r="CI358" s="456">
        <v>2.2999999999999998</v>
      </c>
      <c r="CJ358" s="456">
        <v>162.1</v>
      </c>
      <c r="CK358" s="456">
        <v>363</v>
      </c>
      <c r="CL358" s="456">
        <v>668.5</v>
      </c>
      <c r="CM358" s="456">
        <v>14</v>
      </c>
      <c r="CN358" s="456">
        <v>1.7</v>
      </c>
      <c r="CO358" s="453">
        <v>0</v>
      </c>
      <c r="CP358" s="453">
        <v>16.59</v>
      </c>
      <c r="CQ358" s="453">
        <v>43</v>
      </c>
      <c r="CR358" s="456">
        <v>0</v>
      </c>
      <c r="CS358" s="456">
        <v>0</v>
      </c>
      <c r="CT358" s="456">
        <v>0</v>
      </c>
      <c r="CU358" s="456">
        <v>0</v>
      </c>
      <c r="CV358" s="481">
        <v>529</v>
      </c>
      <c r="CW358" s="481">
        <v>765.9375</v>
      </c>
      <c r="CX358" s="481">
        <v>499.96875</v>
      </c>
      <c r="CY358" s="481">
        <v>1076.95</v>
      </c>
      <c r="CZ358" s="456"/>
      <c r="DA358" s="456"/>
      <c r="DB358" s="456"/>
      <c r="DC358" s="456"/>
      <c r="DD358" s="456"/>
      <c r="DE358" s="456"/>
      <c r="DF358" s="456"/>
      <c r="DG358" s="425"/>
      <c r="DH358" s="456">
        <v>0</v>
      </c>
      <c r="DI358" s="456" t="s">
        <v>755</v>
      </c>
      <c r="DJ358" s="456">
        <v>1.1599999999999999</v>
      </c>
      <c r="DK358" s="425"/>
      <c r="DL358" s="456"/>
      <c r="DM358" s="456"/>
      <c r="DN358" s="456"/>
      <c r="DO358" s="456"/>
      <c r="DP358" s="456"/>
      <c r="DQ358" s="456"/>
      <c r="DR358" s="456"/>
      <c r="DS358" s="456"/>
      <c r="DT358" s="456"/>
      <c r="DU358" s="456"/>
      <c r="DV358" s="456"/>
      <c r="DW358" s="456"/>
      <c r="DX358" s="456"/>
      <c r="DY358" s="456"/>
      <c r="DZ358" s="456"/>
      <c r="EA358" s="456"/>
      <c r="EB358" s="456"/>
      <c r="EC358" s="456"/>
      <c r="ED358" s="456"/>
      <c r="EE358" s="456">
        <v>0</v>
      </c>
      <c r="EF358" s="456">
        <v>2</v>
      </c>
      <c r="EG358" s="456">
        <v>6.5</v>
      </c>
      <c r="EH358" s="456"/>
      <c r="EI358" s="456"/>
      <c r="EJ358" s="456"/>
      <c r="EK358" s="456"/>
      <c r="EL358" s="456"/>
      <c r="EM358" s="456"/>
      <c r="EN358" s="456"/>
      <c r="EO358" s="425"/>
      <c r="EP358" s="425"/>
      <c r="EQ358" s="425" t="s">
        <v>743</v>
      </c>
      <c r="ER358" s="425">
        <v>2</v>
      </c>
      <c r="ES358" s="425">
        <v>6</v>
      </c>
      <c r="ET358" s="425">
        <v>780</v>
      </c>
      <c r="EU358" s="457">
        <v>4000</v>
      </c>
      <c r="EV358" s="425">
        <v>120</v>
      </c>
      <c r="EW358" s="425">
        <v>7523478</v>
      </c>
      <c r="EX358" s="425">
        <v>37335</v>
      </c>
      <c r="EY358" s="666">
        <v>18.55</v>
      </c>
      <c r="EZ358" s="666">
        <v>18.55</v>
      </c>
      <c r="FA358" s="666">
        <v>0</v>
      </c>
      <c r="FB358" s="666">
        <v>1.47</v>
      </c>
      <c r="FC358" s="666">
        <v>1.45</v>
      </c>
      <c r="FD358" s="666">
        <v>1</v>
      </c>
      <c r="FE358" s="666">
        <v>0.97</v>
      </c>
      <c r="FF358" s="666">
        <v>100</v>
      </c>
      <c r="FG358" s="666">
        <v>1.49</v>
      </c>
      <c r="FH358" s="666">
        <v>0.56999999999999995</v>
      </c>
      <c r="FI358" s="666">
        <v>1.23</v>
      </c>
      <c r="FJ358" s="666">
        <v>8.08</v>
      </c>
      <c r="FK358" s="666">
        <v>8</v>
      </c>
      <c r="FL358" s="666">
        <v>8.14</v>
      </c>
      <c r="FM358" s="666">
        <v>7.7</v>
      </c>
      <c r="FN358" s="666">
        <v>0</v>
      </c>
    </row>
    <row r="359" spans="1:170" s="416" customFormat="1" ht="15">
      <c r="A359" s="425" t="s">
        <v>3</v>
      </c>
      <c r="B359" s="426">
        <v>40888</v>
      </c>
      <c r="C359" s="418">
        <v>0</v>
      </c>
      <c r="D359" s="518">
        <v>0</v>
      </c>
      <c r="E359" s="453">
        <v>0</v>
      </c>
      <c r="F359" s="453">
        <v>32.299999999999997</v>
      </c>
      <c r="G359" s="453">
        <v>0.9</v>
      </c>
      <c r="H359" s="519">
        <v>2.06</v>
      </c>
      <c r="I359" s="519">
        <v>95.15</v>
      </c>
      <c r="J359" s="483" t="s">
        <v>742</v>
      </c>
      <c r="K359" s="520">
        <v>1.02</v>
      </c>
      <c r="L359" s="453">
        <v>0</v>
      </c>
      <c r="M359" s="453">
        <v>20.399999999999999</v>
      </c>
      <c r="N359" s="453" t="s">
        <v>742</v>
      </c>
      <c r="O359" s="453">
        <v>0</v>
      </c>
      <c r="P359" s="453">
        <v>1.59</v>
      </c>
      <c r="Q359" s="453">
        <v>2.0715885526833797</v>
      </c>
      <c r="R359" s="453">
        <v>879.40177014531025</v>
      </c>
      <c r="S359" s="453" t="s">
        <v>742</v>
      </c>
      <c r="T359" s="453">
        <v>8</v>
      </c>
      <c r="U359" s="453" t="s">
        <v>742</v>
      </c>
      <c r="V359" s="453">
        <v>0.76</v>
      </c>
      <c r="W359" s="763" t="s">
        <v>742</v>
      </c>
      <c r="X359" s="456">
        <v>42.980000000000004</v>
      </c>
      <c r="Y359" s="453">
        <v>27.08</v>
      </c>
      <c r="Z359" s="453">
        <v>24.13</v>
      </c>
      <c r="AA359" s="519">
        <v>27.200000000011642</v>
      </c>
      <c r="AB359" s="519">
        <v>24.1</v>
      </c>
      <c r="AC359" s="732">
        <f t="shared" si="5"/>
        <v>51.300000000011643</v>
      </c>
      <c r="AD359" s="664"/>
      <c r="AE359" s="664"/>
      <c r="AF359" s="664"/>
      <c r="AG359" s="664"/>
      <c r="AH359" s="664"/>
      <c r="AI359" s="664"/>
      <c r="AJ359" s="485"/>
      <c r="AK359" s="485"/>
      <c r="AL359" s="485"/>
      <c r="AM359" s="485"/>
      <c r="AN359" s="485"/>
      <c r="AO359" s="665"/>
      <c r="AP359" s="485"/>
      <c r="AQ359" s="483"/>
      <c r="AR359" s="755">
        <v>0</v>
      </c>
      <c r="AS359" s="483">
        <v>22.6</v>
      </c>
      <c r="AT359" s="755">
        <v>0</v>
      </c>
      <c r="AU359" s="483">
        <v>28</v>
      </c>
      <c r="AV359" s="484">
        <v>425.2</v>
      </c>
      <c r="AW359" s="484">
        <v>592</v>
      </c>
      <c r="AX359" s="453">
        <v>0</v>
      </c>
      <c r="AY359" s="734">
        <v>0</v>
      </c>
      <c r="AZ359" s="734">
        <v>0</v>
      </c>
      <c r="BA359" s="734">
        <v>0</v>
      </c>
      <c r="BB359" s="453">
        <v>0</v>
      </c>
      <c r="BC359" s="453">
        <v>0</v>
      </c>
      <c r="BD359" s="453">
        <v>1.5</v>
      </c>
      <c r="BE359" s="734">
        <v>0.56000000000000005</v>
      </c>
      <c r="BF359" s="453">
        <v>0</v>
      </c>
      <c r="BG359" s="453">
        <v>0</v>
      </c>
      <c r="BH359" s="734">
        <v>0</v>
      </c>
      <c r="BI359" s="453">
        <v>0</v>
      </c>
      <c r="BJ359" s="453">
        <v>22.1</v>
      </c>
      <c r="BK359" s="453">
        <v>3.18</v>
      </c>
      <c r="BL359" s="453">
        <v>3.37</v>
      </c>
      <c r="BM359" s="453">
        <v>0</v>
      </c>
      <c r="BN359" s="453">
        <v>15.4</v>
      </c>
      <c r="BO359" s="453">
        <v>1270.4000000000001</v>
      </c>
      <c r="BP359" s="453">
        <v>0</v>
      </c>
      <c r="BQ359" s="453">
        <v>17.7</v>
      </c>
      <c r="BR359" s="453">
        <v>17.7</v>
      </c>
      <c r="BS359" s="453">
        <v>0</v>
      </c>
      <c r="BT359" s="453">
        <v>25.5</v>
      </c>
      <c r="BU359" s="453">
        <v>26.4</v>
      </c>
      <c r="BV359" s="456">
        <v>410.5</v>
      </c>
      <c r="BW359" s="453">
        <v>1.1100000000000001</v>
      </c>
      <c r="BX359" s="453">
        <v>1.46</v>
      </c>
      <c r="BY359" s="456">
        <v>0.9</v>
      </c>
      <c r="BZ359" s="456">
        <v>14.8</v>
      </c>
      <c r="CA359" s="456">
        <v>31.4</v>
      </c>
      <c r="CB359" s="456">
        <v>14.6</v>
      </c>
      <c r="CC359" s="456">
        <v>8.3000000000000007</v>
      </c>
      <c r="CD359" s="456">
        <v>12.5</v>
      </c>
      <c r="CE359" s="456">
        <v>16.600000000000001</v>
      </c>
      <c r="CF359" s="456">
        <v>13</v>
      </c>
      <c r="CG359" s="456">
        <v>560.4</v>
      </c>
      <c r="CH359" s="456">
        <v>2.5</v>
      </c>
      <c r="CI359" s="456">
        <v>3</v>
      </c>
      <c r="CJ359" s="456">
        <v>304.39999999999998</v>
      </c>
      <c r="CK359" s="456">
        <v>392.1</v>
      </c>
      <c r="CL359" s="456">
        <v>676</v>
      </c>
      <c r="CM359" s="456">
        <v>13.7</v>
      </c>
      <c r="CN359" s="456">
        <v>1.5</v>
      </c>
      <c r="CO359" s="453">
        <v>0</v>
      </c>
      <c r="CP359" s="453">
        <v>16.989999999999998</v>
      </c>
      <c r="CQ359" s="453">
        <v>43</v>
      </c>
      <c r="CR359" s="456">
        <v>0</v>
      </c>
      <c r="CS359" s="456">
        <v>0</v>
      </c>
      <c r="CT359" s="456">
        <v>0</v>
      </c>
      <c r="CU359" s="456">
        <v>0</v>
      </c>
      <c r="CV359" s="481">
        <v>583.20833333333337</v>
      </c>
      <c r="CW359" s="481">
        <v>762.66666666666663</v>
      </c>
      <c r="CX359" s="481">
        <v>545.16666666666663</v>
      </c>
      <c r="CY359" s="481">
        <v>1076.3900000000001</v>
      </c>
      <c r="CZ359" s="456"/>
      <c r="DA359" s="456"/>
      <c r="DB359" s="456"/>
      <c r="DC359" s="456"/>
      <c r="DD359" s="456"/>
      <c r="DE359" s="456"/>
      <c r="DF359" s="456"/>
      <c r="DG359" s="425"/>
      <c r="DH359" s="456">
        <v>0</v>
      </c>
      <c r="DI359" s="456" t="s">
        <v>778</v>
      </c>
      <c r="DJ359" s="456">
        <v>1.18</v>
      </c>
      <c r="DK359" s="425"/>
      <c r="DL359" s="456"/>
      <c r="DM359" s="456"/>
      <c r="DN359" s="456"/>
      <c r="DO359" s="456"/>
      <c r="DP359" s="456"/>
      <c r="DQ359" s="456"/>
      <c r="DR359" s="456"/>
      <c r="DS359" s="456"/>
      <c r="DT359" s="456"/>
      <c r="DU359" s="456"/>
      <c r="DV359" s="456"/>
      <c r="DW359" s="456"/>
      <c r="DX359" s="456"/>
      <c r="DY359" s="456"/>
      <c r="DZ359" s="456"/>
      <c r="EA359" s="456"/>
      <c r="EB359" s="456"/>
      <c r="EC359" s="456"/>
      <c r="ED359" s="456"/>
      <c r="EE359" s="456">
        <v>0</v>
      </c>
      <c r="EF359" s="456">
        <v>2</v>
      </c>
      <c r="EG359" s="456">
        <v>6.5</v>
      </c>
      <c r="EH359" s="456"/>
      <c r="EI359" s="456"/>
      <c r="EJ359" s="456"/>
      <c r="EK359" s="456"/>
      <c r="EL359" s="456"/>
      <c r="EM359" s="456"/>
      <c r="EN359" s="456"/>
      <c r="EO359" s="425"/>
      <c r="EP359" s="425"/>
      <c r="EQ359" s="425" t="s">
        <v>743</v>
      </c>
      <c r="ER359" s="425">
        <v>1</v>
      </c>
      <c r="ES359" s="425">
        <v>6</v>
      </c>
      <c r="ET359" s="425">
        <v>690</v>
      </c>
      <c r="EU359" s="457">
        <v>4000</v>
      </c>
      <c r="EV359" s="425">
        <v>80</v>
      </c>
      <c r="EW359" s="425">
        <v>7526127</v>
      </c>
      <c r="EX359" s="425">
        <v>38752</v>
      </c>
      <c r="EY359" s="666">
        <v>18.600000000000001</v>
      </c>
      <c r="EZ359" s="666">
        <v>18.600000000000001</v>
      </c>
      <c r="FA359" s="666">
        <v>0</v>
      </c>
      <c r="FB359" s="666">
        <v>1.45</v>
      </c>
      <c r="FC359" s="666">
        <v>1.4</v>
      </c>
      <c r="FD359" s="666">
        <v>0.97</v>
      </c>
      <c r="FE359" s="666">
        <v>0.96</v>
      </c>
      <c r="FF359" s="666">
        <v>90</v>
      </c>
      <c r="FG359" s="666">
        <v>0.86</v>
      </c>
      <c r="FH359" s="666">
        <v>0.51</v>
      </c>
      <c r="FI359" s="666">
        <v>0.89</v>
      </c>
      <c r="FJ359" s="666">
        <v>8.07</v>
      </c>
      <c r="FK359" s="666">
        <v>8</v>
      </c>
      <c r="FL359" s="666">
        <v>8.06</v>
      </c>
      <c r="FM359" s="666">
        <v>7.6</v>
      </c>
      <c r="FN359" s="666">
        <v>0</v>
      </c>
    </row>
    <row r="360" spans="1:170" s="416" customFormat="1" ht="15">
      <c r="A360" s="425" t="s">
        <v>4</v>
      </c>
      <c r="B360" s="426">
        <v>40889</v>
      </c>
      <c r="C360" s="418">
        <v>0</v>
      </c>
      <c r="D360" s="518">
        <v>0</v>
      </c>
      <c r="E360" s="453">
        <v>0</v>
      </c>
      <c r="F360" s="453">
        <v>35</v>
      </c>
      <c r="G360" s="453">
        <v>0.7</v>
      </c>
      <c r="H360" s="519">
        <v>0.7</v>
      </c>
      <c r="I360" s="519">
        <v>95.1</v>
      </c>
      <c r="J360" s="483" t="s">
        <v>742</v>
      </c>
      <c r="K360" s="520">
        <v>0.96</v>
      </c>
      <c r="L360" s="453">
        <v>0</v>
      </c>
      <c r="M360" s="453">
        <v>20.2</v>
      </c>
      <c r="N360" s="453" t="s">
        <v>742</v>
      </c>
      <c r="O360" s="453">
        <v>0</v>
      </c>
      <c r="P360" s="453">
        <v>1.63</v>
      </c>
      <c r="Q360" s="453">
        <v>2.1600160615458548</v>
      </c>
      <c r="R360" s="453">
        <v>981.43180977542909</v>
      </c>
      <c r="S360" s="453" t="s">
        <v>742</v>
      </c>
      <c r="T360" s="453">
        <v>7.93</v>
      </c>
      <c r="U360" s="453" t="s">
        <v>742</v>
      </c>
      <c r="V360" s="453">
        <v>0.77</v>
      </c>
      <c r="W360" s="453" t="e">
        <v>#VALUE!</v>
      </c>
      <c r="X360" s="456">
        <v>42.8</v>
      </c>
      <c r="Y360" s="453">
        <v>27.38</v>
      </c>
      <c r="Z360" s="453">
        <v>24.12</v>
      </c>
      <c r="AA360" s="519">
        <v>26.899999999994179</v>
      </c>
      <c r="AB360" s="519">
        <v>27.38</v>
      </c>
      <c r="AC360" s="732">
        <f t="shared" si="5"/>
        <v>54.279999999994175</v>
      </c>
      <c r="AD360" s="664"/>
      <c r="AE360" s="664"/>
      <c r="AF360" s="664"/>
      <c r="AG360" s="664"/>
      <c r="AH360" s="664"/>
      <c r="AI360" s="664"/>
      <c r="AJ360" s="485"/>
      <c r="AK360" s="485"/>
      <c r="AL360" s="485"/>
      <c r="AM360" s="485"/>
      <c r="AN360" s="485"/>
      <c r="AO360" s="665"/>
      <c r="AP360" s="485"/>
      <c r="AQ360" s="483"/>
      <c r="AR360" s="755">
        <v>0</v>
      </c>
      <c r="AS360" s="483">
        <v>11</v>
      </c>
      <c r="AT360" s="755">
        <v>0</v>
      </c>
      <c r="AU360" s="483">
        <v>28</v>
      </c>
      <c r="AV360" s="484">
        <v>351.3</v>
      </c>
      <c r="AW360" s="484">
        <v>374.1</v>
      </c>
      <c r="AX360" s="453">
        <v>0</v>
      </c>
      <c r="AY360" s="734">
        <v>0</v>
      </c>
      <c r="AZ360" s="734">
        <v>0</v>
      </c>
      <c r="BA360" s="734">
        <v>0</v>
      </c>
      <c r="BB360" s="453">
        <v>0</v>
      </c>
      <c r="BC360" s="453">
        <v>0.33</v>
      </c>
      <c r="BD360" s="453">
        <v>1.5</v>
      </c>
      <c r="BE360" s="734">
        <v>0</v>
      </c>
      <c r="BF360" s="453">
        <v>0.18</v>
      </c>
      <c r="BG360" s="453">
        <v>0</v>
      </c>
      <c r="BH360" s="734">
        <v>0</v>
      </c>
      <c r="BI360" s="453">
        <v>0</v>
      </c>
      <c r="BJ360" s="453">
        <v>25.3</v>
      </c>
      <c r="BK360" s="453">
        <v>3.2</v>
      </c>
      <c r="BL360" s="453">
        <v>3.37</v>
      </c>
      <c r="BM360" s="453">
        <v>0</v>
      </c>
      <c r="BN360" s="453">
        <v>17.3</v>
      </c>
      <c r="BO360" s="453">
        <v>1377.2</v>
      </c>
      <c r="BP360" s="453">
        <v>43</v>
      </c>
      <c r="BQ360" s="453">
        <v>17.5</v>
      </c>
      <c r="BR360" s="453">
        <v>17.5</v>
      </c>
      <c r="BS360" s="453">
        <v>0</v>
      </c>
      <c r="BT360" s="453">
        <v>25.8</v>
      </c>
      <c r="BU360" s="453">
        <v>22.8</v>
      </c>
      <c r="BV360" s="456">
        <v>575.70000000000005</v>
      </c>
      <c r="BW360" s="453">
        <v>0.91</v>
      </c>
      <c r="BX360" s="453">
        <v>1.46</v>
      </c>
      <c r="BY360" s="456">
        <v>0.89</v>
      </c>
      <c r="BZ360" s="456">
        <v>14.6</v>
      </c>
      <c r="CA360" s="456">
        <v>31.2</v>
      </c>
      <c r="CB360" s="456">
        <v>14</v>
      </c>
      <c r="CC360" s="456">
        <v>9</v>
      </c>
      <c r="CD360" s="456">
        <v>13.3</v>
      </c>
      <c r="CE360" s="456">
        <v>17.399999999999999</v>
      </c>
      <c r="CF360" s="456">
        <v>12.8</v>
      </c>
      <c r="CG360" s="456">
        <v>553.1</v>
      </c>
      <c r="CH360" s="456">
        <v>2.4</v>
      </c>
      <c r="CI360" s="456">
        <v>3.4</v>
      </c>
      <c r="CJ360" s="456">
        <v>214</v>
      </c>
      <c r="CK360" s="456">
        <v>355.6</v>
      </c>
      <c r="CL360" s="456">
        <v>706.8</v>
      </c>
      <c r="CM360" s="456">
        <v>13.7</v>
      </c>
      <c r="CN360" s="456">
        <v>1.2</v>
      </c>
      <c r="CO360" s="453">
        <v>0</v>
      </c>
      <c r="CP360" s="453">
        <v>17.09</v>
      </c>
      <c r="CQ360" s="453">
        <v>42</v>
      </c>
      <c r="CR360" s="456">
        <v>0</v>
      </c>
      <c r="CS360" s="456">
        <v>0</v>
      </c>
      <c r="CT360" s="456">
        <v>0</v>
      </c>
      <c r="CU360" s="456">
        <v>0</v>
      </c>
      <c r="CV360" s="481">
        <v>567.25</v>
      </c>
      <c r="CW360" s="481">
        <v>822.02083333333337</v>
      </c>
      <c r="CX360" s="481">
        <v>533.16666666666663</v>
      </c>
      <c r="CY360" s="481">
        <v>1075.46</v>
      </c>
      <c r="CZ360" s="456"/>
      <c r="DA360" s="456"/>
      <c r="DB360" s="456"/>
      <c r="DC360" s="456"/>
      <c r="DD360" s="456"/>
      <c r="DE360" s="456"/>
      <c r="DF360" s="456"/>
      <c r="DG360" s="425"/>
      <c r="DH360" s="456">
        <v>0</v>
      </c>
      <c r="DI360" s="456" t="s">
        <v>756</v>
      </c>
      <c r="DJ360" s="456">
        <v>1.19</v>
      </c>
      <c r="DK360" s="425"/>
      <c r="DL360" s="456"/>
      <c r="DM360" s="456"/>
      <c r="DN360" s="456"/>
      <c r="DO360" s="456"/>
      <c r="DP360" s="456"/>
      <c r="DQ360" s="456"/>
      <c r="DR360" s="456"/>
      <c r="DS360" s="456"/>
      <c r="DT360" s="456"/>
      <c r="DU360" s="456"/>
      <c r="DV360" s="456"/>
      <c r="DW360" s="456"/>
      <c r="DX360" s="456"/>
      <c r="DY360" s="456"/>
      <c r="DZ360" s="456"/>
      <c r="EA360" s="456"/>
      <c r="EB360" s="456"/>
      <c r="EC360" s="456"/>
      <c r="ED360" s="456"/>
      <c r="EE360" s="456">
        <v>0</v>
      </c>
      <c r="EF360" s="456">
        <v>2</v>
      </c>
      <c r="EG360" s="456">
        <v>6.5</v>
      </c>
      <c r="EH360" s="456"/>
      <c r="EI360" s="456"/>
      <c r="EJ360" s="456"/>
      <c r="EK360" s="456"/>
      <c r="EL360" s="456"/>
      <c r="EM360" s="456"/>
      <c r="EN360" s="456"/>
      <c r="EO360" s="425"/>
      <c r="EP360" s="425"/>
      <c r="EQ360" s="425" t="s">
        <v>743</v>
      </c>
      <c r="ER360" s="425">
        <v>1</v>
      </c>
      <c r="ES360" s="425">
        <v>6</v>
      </c>
      <c r="ET360" s="425">
        <v>600</v>
      </c>
      <c r="EU360" s="457">
        <v>150</v>
      </c>
      <c r="EV360" s="425">
        <v>100</v>
      </c>
      <c r="EW360" s="425">
        <v>7528301</v>
      </c>
      <c r="EX360" s="425">
        <v>40136</v>
      </c>
      <c r="EY360" s="666">
        <v>17.45</v>
      </c>
      <c r="EZ360" s="666">
        <v>17.45</v>
      </c>
      <c r="FA360" s="666">
        <v>0</v>
      </c>
      <c r="FB360" s="666">
        <v>1.52</v>
      </c>
      <c r="FC360" s="666">
        <v>1.5</v>
      </c>
      <c r="FD360" s="666">
        <v>0.99</v>
      </c>
      <c r="FE360" s="666">
        <v>0.95</v>
      </c>
      <c r="FF360" s="666">
        <v>90</v>
      </c>
      <c r="FG360" s="666">
        <v>1</v>
      </c>
      <c r="FH360" s="666">
        <v>0.46</v>
      </c>
      <c r="FI360" s="666">
        <v>0.95</v>
      </c>
      <c r="FJ360" s="666">
        <v>8.1999999999999993</v>
      </c>
      <c r="FK360" s="666">
        <v>8.1</v>
      </c>
      <c r="FL360" s="666">
        <v>8.0500000000000007</v>
      </c>
      <c r="FM360" s="666">
        <v>7.5</v>
      </c>
      <c r="FN360" s="666">
        <v>0</v>
      </c>
    </row>
    <row r="361" spans="1:170" s="416" customFormat="1" ht="15">
      <c r="A361" s="425" t="s">
        <v>5</v>
      </c>
      <c r="B361" s="426">
        <v>40890</v>
      </c>
      <c r="C361" s="418">
        <v>0</v>
      </c>
      <c r="D361" s="518">
        <v>0.05</v>
      </c>
      <c r="E361" s="453">
        <v>0</v>
      </c>
      <c r="F361" s="453">
        <v>34</v>
      </c>
      <c r="G361" s="453">
        <v>0.7</v>
      </c>
      <c r="H361" s="519">
        <v>2</v>
      </c>
      <c r="I361" s="519">
        <v>95.15</v>
      </c>
      <c r="J361" s="483" t="s">
        <v>742</v>
      </c>
      <c r="K361" s="520">
        <v>2.35</v>
      </c>
      <c r="L361" s="453">
        <v>0</v>
      </c>
      <c r="M361" s="453">
        <v>20.100000000000001</v>
      </c>
      <c r="N361" s="453" t="s">
        <v>742</v>
      </c>
      <c r="O361" s="453" t="s">
        <v>742</v>
      </c>
      <c r="P361" s="453">
        <v>1.64</v>
      </c>
      <c r="Q361" s="453">
        <v>2.1060192916427805</v>
      </c>
      <c r="R361" s="453">
        <v>930.90264729194178</v>
      </c>
      <c r="S361" s="453" t="s">
        <v>742</v>
      </c>
      <c r="T361" s="453">
        <v>8.02</v>
      </c>
      <c r="U361" s="453" t="s">
        <v>742</v>
      </c>
      <c r="V361" s="453">
        <v>0.77</v>
      </c>
      <c r="W361" s="453" t="e">
        <v>#VALUE!</v>
      </c>
      <c r="X361" s="456">
        <v>41.360000000000014</v>
      </c>
      <c r="Y361" s="453">
        <v>27.11</v>
      </c>
      <c r="Z361" s="453">
        <v>26.41</v>
      </c>
      <c r="AA361" s="519">
        <v>27.3</v>
      </c>
      <c r="AB361" s="519">
        <v>25.9</v>
      </c>
      <c r="AC361" s="732">
        <f t="shared" si="5"/>
        <v>53.2</v>
      </c>
      <c r="AD361" s="664"/>
      <c r="AE361" s="664"/>
      <c r="AF361" s="664"/>
      <c r="AG361" s="664"/>
      <c r="AH361" s="664"/>
      <c r="AI361" s="664"/>
      <c r="AJ361" s="485"/>
      <c r="AK361" s="485"/>
      <c r="AL361" s="485"/>
      <c r="AM361" s="485"/>
      <c r="AN361" s="485"/>
      <c r="AO361" s="665"/>
      <c r="AP361" s="485"/>
      <c r="AQ361" s="483"/>
      <c r="AR361" s="755">
        <v>0</v>
      </c>
      <c r="AS361" s="483">
        <v>21.6</v>
      </c>
      <c r="AT361" s="755">
        <v>0</v>
      </c>
      <c r="AU361" s="483">
        <v>28</v>
      </c>
      <c r="AV361" s="484">
        <v>399.8</v>
      </c>
      <c r="AW361" s="484">
        <v>421.3</v>
      </c>
      <c r="AX361" s="453">
        <v>0</v>
      </c>
      <c r="AY361" s="734">
        <v>0</v>
      </c>
      <c r="AZ361" s="734">
        <v>0</v>
      </c>
      <c r="BA361" s="734">
        <v>0</v>
      </c>
      <c r="BB361" s="453">
        <v>0</v>
      </c>
      <c r="BC361" s="453">
        <v>0.5</v>
      </c>
      <c r="BD361" s="453">
        <v>1.5</v>
      </c>
      <c r="BE361" s="734">
        <v>0</v>
      </c>
      <c r="BF361" s="453">
        <v>0</v>
      </c>
      <c r="BG361" s="453">
        <v>0</v>
      </c>
      <c r="BH361" s="734">
        <v>0</v>
      </c>
      <c r="BI361" s="453">
        <v>0</v>
      </c>
      <c r="BJ361" s="453">
        <v>24</v>
      </c>
      <c r="BK361" s="453">
        <v>2.4300000000000002</v>
      </c>
      <c r="BL361" s="453">
        <v>4.1100000000000003</v>
      </c>
      <c r="BM361" s="453">
        <v>0</v>
      </c>
      <c r="BN361" s="453">
        <v>19.600000000000001</v>
      </c>
      <c r="BO361" s="453">
        <v>1298</v>
      </c>
      <c r="BP361" s="453">
        <v>0</v>
      </c>
      <c r="BQ361" s="453">
        <v>17.3</v>
      </c>
      <c r="BR361" s="453">
        <v>17.3</v>
      </c>
      <c r="BS361" s="453">
        <v>0</v>
      </c>
      <c r="BT361" s="453">
        <v>25.6</v>
      </c>
      <c r="BU361" s="453">
        <v>22.8</v>
      </c>
      <c r="BV361" s="456">
        <v>418.1</v>
      </c>
      <c r="BW361" s="453">
        <v>0.8</v>
      </c>
      <c r="BX361" s="453">
        <v>1.54</v>
      </c>
      <c r="BY361" s="456">
        <v>0.9</v>
      </c>
      <c r="BZ361" s="456">
        <v>14.8</v>
      </c>
      <c r="CA361" s="456">
        <v>31</v>
      </c>
      <c r="CB361" s="456">
        <v>13.4</v>
      </c>
      <c r="CC361" s="456">
        <v>7.9</v>
      </c>
      <c r="CD361" s="456">
        <v>12.2</v>
      </c>
      <c r="CE361" s="456">
        <v>16.3</v>
      </c>
      <c r="CF361" s="456">
        <v>12.7</v>
      </c>
      <c r="CG361" s="456">
        <v>530.79999999999995</v>
      </c>
      <c r="CH361" s="456">
        <v>2.5</v>
      </c>
      <c r="CI361" s="456">
        <v>3.3</v>
      </c>
      <c r="CJ361" s="456">
        <v>146.80000000000001</v>
      </c>
      <c r="CK361" s="456">
        <v>345.6</v>
      </c>
      <c r="CL361" s="456">
        <v>639</v>
      </c>
      <c r="CM361" s="456">
        <v>14</v>
      </c>
      <c r="CN361" s="456">
        <v>1.19</v>
      </c>
      <c r="CO361" s="453">
        <v>501.1</v>
      </c>
      <c r="CP361" s="453">
        <v>16.86</v>
      </c>
      <c r="CQ361" s="453">
        <v>43</v>
      </c>
      <c r="CR361" s="456">
        <v>0</v>
      </c>
      <c r="CS361" s="456">
        <v>0</v>
      </c>
      <c r="CT361" s="456">
        <v>0</v>
      </c>
      <c r="CU361" s="456">
        <v>0</v>
      </c>
      <c r="CV361" s="481">
        <v>507.125</v>
      </c>
      <c r="CW361" s="481">
        <v>730.70833333333337</v>
      </c>
      <c r="CX361" s="481">
        <v>472.05208333333331</v>
      </c>
      <c r="CY361" s="481">
        <v>1075.19</v>
      </c>
      <c r="CZ361" s="456"/>
      <c r="DA361" s="456"/>
      <c r="DB361" s="456"/>
      <c r="DC361" s="456"/>
      <c r="DD361" s="456"/>
      <c r="DE361" s="456"/>
      <c r="DF361" s="456"/>
      <c r="DG361" s="425"/>
      <c r="DH361" s="456">
        <v>4.5</v>
      </c>
      <c r="DI361" s="456" t="s">
        <v>756</v>
      </c>
      <c r="DJ361" s="456">
        <v>1.1599999999999999</v>
      </c>
      <c r="DK361" s="425"/>
      <c r="DL361" s="456"/>
      <c r="DM361" s="456"/>
      <c r="DN361" s="456"/>
      <c r="DO361" s="456"/>
      <c r="DP361" s="456"/>
      <c r="DQ361" s="456"/>
      <c r="DR361" s="456"/>
      <c r="DS361" s="456"/>
      <c r="DT361" s="456"/>
      <c r="DU361" s="456"/>
      <c r="DV361" s="456"/>
      <c r="DW361" s="456"/>
      <c r="DX361" s="456"/>
      <c r="DY361" s="456"/>
      <c r="DZ361" s="456"/>
      <c r="EA361" s="456"/>
      <c r="EB361" s="456"/>
      <c r="EC361" s="456"/>
      <c r="ED361" s="456"/>
      <c r="EE361" s="456">
        <v>0</v>
      </c>
      <c r="EF361" s="456">
        <v>2</v>
      </c>
      <c r="EG361" s="456">
        <v>6.5</v>
      </c>
      <c r="EH361" s="456"/>
      <c r="EI361" s="456"/>
      <c r="EJ361" s="456"/>
      <c r="EK361" s="456"/>
      <c r="EL361" s="456"/>
      <c r="EM361" s="456"/>
      <c r="EN361" s="456"/>
      <c r="EO361" s="425"/>
      <c r="EP361" s="425"/>
      <c r="EQ361" s="425" t="s">
        <v>743</v>
      </c>
      <c r="ER361" s="425">
        <v>1</v>
      </c>
      <c r="ES361" s="425">
        <v>6</v>
      </c>
      <c r="ET361" s="425">
        <v>520</v>
      </c>
      <c r="EU361" s="457">
        <v>4000</v>
      </c>
      <c r="EV361" s="425">
        <v>100</v>
      </c>
      <c r="EW361" s="425">
        <v>7530710</v>
      </c>
      <c r="EX361" s="425">
        <v>41529</v>
      </c>
      <c r="EY361" s="666">
        <v>17.18</v>
      </c>
      <c r="EZ361" s="666">
        <v>17.16</v>
      </c>
      <c r="FA361" s="666">
        <v>0</v>
      </c>
      <c r="FB361" s="666">
        <v>1.45</v>
      </c>
      <c r="FC361" s="666">
        <v>1.47</v>
      </c>
      <c r="FD361" s="666">
        <v>0.99</v>
      </c>
      <c r="FE361" s="666">
        <v>1.01</v>
      </c>
      <c r="FF361" s="666">
        <v>80</v>
      </c>
      <c r="FG361" s="666">
        <v>1.74</v>
      </c>
      <c r="FH361" s="666">
        <v>0.47</v>
      </c>
      <c r="FI361" s="666">
        <v>0.84</v>
      </c>
      <c r="FJ361" s="666">
        <v>8.0399999999999991</v>
      </c>
      <c r="FK361" s="666">
        <v>7.9</v>
      </c>
      <c r="FL361" s="666">
        <v>8.18</v>
      </c>
      <c r="FM361" s="666">
        <v>7.7</v>
      </c>
      <c r="FN361" s="666">
        <v>0</v>
      </c>
    </row>
    <row r="362" spans="1:170" s="416" customFormat="1" ht="15">
      <c r="A362" s="425" t="s">
        <v>6</v>
      </c>
      <c r="B362" s="426">
        <v>40891</v>
      </c>
      <c r="C362" s="418">
        <v>0</v>
      </c>
      <c r="D362" s="518">
        <v>0.01</v>
      </c>
      <c r="E362" s="453">
        <v>0</v>
      </c>
      <c r="F362" s="453">
        <v>34</v>
      </c>
      <c r="G362" s="453">
        <v>0.7</v>
      </c>
      <c r="H362" s="519">
        <v>3</v>
      </c>
      <c r="I362" s="519">
        <v>95.3</v>
      </c>
      <c r="J362" s="483" t="s">
        <v>742</v>
      </c>
      <c r="K362" s="520">
        <v>2.34</v>
      </c>
      <c r="L362" s="453">
        <v>0</v>
      </c>
      <c r="M362" s="453">
        <v>20</v>
      </c>
      <c r="N362" s="453" t="s">
        <v>742</v>
      </c>
      <c r="O362" s="453">
        <v>0</v>
      </c>
      <c r="P362" s="453">
        <v>1.65</v>
      </c>
      <c r="Q362" s="453">
        <v>2.0346310653724631</v>
      </c>
      <c r="R362" s="453">
        <v>881.02129458388356</v>
      </c>
      <c r="S362" s="453" t="s">
        <v>742</v>
      </c>
      <c r="T362" s="453">
        <v>8.02</v>
      </c>
      <c r="U362" s="453" t="s">
        <v>742</v>
      </c>
      <c r="V362" s="453">
        <v>0.78</v>
      </c>
      <c r="W362" s="453" t="e">
        <v>#VALUE!</v>
      </c>
      <c r="X362" s="456">
        <v>41.900000000000006</v>
      </c>
      <c r="Y362" s="453">
        <v>27.27</v>
      </c>
      <c r="Z362" s="453">
        <v>25.97</v>
      </c>
      <c r="AA362" s="519">
        <v>26.619999999995343</v>
      </c>
      <c r="AB362" s="519">
        <v>25.720000000001164</v>
      </c>
      <c r="AC362" s="732">
        <f t="shared" si="5"/>
        <v>52.339999999996508</v>
      </c>
      <c r="AD362" s="664"/>
      <c r="AE362" s="664"/>
      <c r="AF362" s="664"/>
      <c r="AG362" s="664"/>
      <c r="AH362" s="664"/>
      <c r="AI362" s="664"/>
      <c r="AJ362" s="485"/>
      <c r="AK362" s="485"/>
      <c r="AL362" s="485"/>
      <c r="AM362" s="485"/>
      <c r="AN362" s="485"/>
      <c r="AO362" s="665"/>
      <c r="AP362" s="485"/>
      <c r="AQ362" s="483"/>
      <c r="AR362" s="755">
        <v>0</v>
      </c>
      <c r="AS362" s="483">
        <v>11.1</v>
      </c>
      <c r="AT362" s="755">
        <v>0</v>
      </c>
      <c r="AU362" s="483">
        <v>28</v>
      </c>
      <c r="AV362" s="484">
        <v>315</v>
      </c>
      <c r="AW362" s="484">
        <v>379.5</v>
      </c>
      <c r="AX362" s="453">
        <v>0</v>
      </c>
      <c r="AY362" s="734">
        <v>0</v>
      </c>
      <c r="AZ362" s="734">
        <v>0</v>
      </c>
      <c r="BA362" s="734">
        <v>0</v>
      </c>
      <c r="BB362" s="453">
        <v>0</v>
      </c>
      <c r="BC362" s="453">
        <v>0.5</v>
      </c>
      <c r="BD362" s="453">
        <v>1.5</v>
      </c>
      <c r="BE362" s="734">
        <v>0</v>
      </c>
      <c r="BF362" s="453">
        <v>0</v>
      </c>
      <c r="BG362" s="453">
        <v>0</v>
      </c>
      <c r="BH362" s="734">
        <v>0</v>
      </c>
      <c r="BI362" s="453">
        <v>0</v>
      </c>
      <c r="BJ362" s="453">
        <v>24.2</v>
      </c>
      <c r="BK362" s="453">
        <v>3.18</v>
      </c>
      <c r="BL362" s="453">
        <v>3.37</v>
      </c>
      <c r="BM362" s="453">
        <v>0</v>
      </c>
      <c r="BN362" s="453">
        <v>19.8</v>
      </c>
      <c r="BO362" s="453">
        <v>1488</v>
      </c>
      <c r="BP362" s="453">
        <v>0</v>
      </c>
      <c r="BQ362" s="453">
        <v>16.5</v>
      </c>
      <c r="BR362" s="453">
        <v>16.55</v>
      </c>
      <c r="BS362" s="453">
        <v>0</v>
      </c>
      <c r="BT362" s="453">
        <v>25.7</v>
      </c>
      <c r="BU362" s="453">
        <v>25.7</v>
      </c>
      <c r="BV362" s="456">
        <v>416.7</v>
      </c>
      <c r="BW362" s="453">
        <v>0.91</v>
      </c>
      <c r="BX362" s="453">
        <v>1.48</v>
      </c>
      <c r="BY362" s="456">
        <v>0.9</v>
      </c>
      <c r="BZ362" s="456">
        <v>15.2</v>
      </c>
      <c r="CA362" s="456">
        <v>31.9</v>
      </c>
      <c r="CB362" s="456">
        <v>12.8</v>
      </c>
      <c r="CC362" s="456">
        <v>9.6</v>
      </c>
      <c r="CD362" s="456">
        <v>13.8</v>
      </c>
      <c r="CE362" s="456">
        <v>17.899999999999999</v>
      </c>
      <c r="CF362" s="456">
        <v>13.1</v>
      </c>
      <c r="CG362" s="456">
        <v>556</v>
      </c>
      <c r="CH362" s="456">
        <v>3.1</v>
      </c>
      <c r="CI362" s="456">
        <v>4.2</v>
      </c>
      <c r="CJ362" s="456">
        <v>195.4</v>
      </c>
      <c r="CK362" s="456">
        <v>356.1</v>
      </c>
      <c r="CL362" s="456">
        <v>522.6</v>
      </c>
      <c r="CM362" s="456">
        <v>13.7</v>
      </c>
      <c r="CN362" s="456">
        <v>1.74</v>
      </c>
      <c r="CO362" s="453">
        <v>0</v>
      </c>
      <c r="CP362" s="453">
        <v>17.64</v>
      </c>
      <c r="CQ362" s="453">
        <v>42</v>
      </c>
      <c r="CR362" s="456">
        <v>0</v>
      </c>
      <c r="CS362" s="456">
        <v>0</v>
      </c>
      <c r="CT362" s="456">
        <v>0</v>
      </c>
      <c r="CU362" s="456">
        <v>0</v>
      </c>
      <c r="CV362" s="481">
        <v>472.83333333333331</v>
      </c>
      <c r="CW362" s="481">
        <v>688.67708333333337</v>
      </c>
      <c r="CX362" s="481">
        <v>439.19791666666669</v>
      </c>
      <c r="CY362" s="481">
        <v>1075.21</v>
      </c>
      <c r="CZ362" s="456"/>
      <c r="DA362" s="456"/>
      <c r="DB362" s="456"/>
      <c r="DC362" s="456"/>
      <c r="DD362" s="456"/>
      <c r="DE362" s="456"/>
      <c r="DF362" s="456"/>
      <c r="DG362" s="425"/>
      <c r="DH362" s="456">
        <v>0</v>
      </c>
      <c r="DI362" s="456">
        <v>0</v>
      </c>
      <c r="DJ362" s="456">
        <v>1.1599999999999999</v>
      </c>
      <c r="DK362" s="425"/>
      <c r="DL362" s="456"/>
      <c r="DM362" s="456"/>
      <c r="DN362" s="456"/>
      <c r="DO362" s="456"/>
      <c r="DP362" s="456"/>
      <c r="DQ362" s="456"/>
      <c r="DR362" s="456"/>
      <c r="DS362" s="456"/>
      <c r="DT362" s="456"/>
      <c r="DU362" s="456"/>
      <c r="DV362" s="456"/>
      <c r="DW362" s="456"/>
      <c r="DX362" s="456"/>
      <c r="DY362" s="456"/>
      <c r="DZ362" s="456"/>
      <c r="EA362" s="456"/>
      <c r="EB362" s="456"/>
      <c r="EC362" s="456"/>
      <c r="ED362" s="456"/>
      <c r="EE362" s="456">
        <v>0</v>
      </c>
      <c r="EF362" s="456">
        <v>2</v>
      </c>
      <c r="EG362" s="456">
        <v>6.5</v>
      </c>
      <c r="EH362" s="456"/>
      <c r="EI362" s="456"/>
      <c r="EJ362" s="456"/>
      <c r="EK362" s="456"/>
      <c r="EL362" s="456"/>
      <c r="EM362" s="456"/>
      <c r="EN362" s="456"/>
      <c r="EO362" s="425"/>
      <c r="EP362" s="425"/>
      <c r="EQ362" s="425" t="s">
        <v>743</v>
      </c>
      <c r="ER362" s="425">
        <v>1</v>
      </c>
      <c r="ES362" s="425">
        <v>6</v>
      </c>
      <c r="ET362" s="425">
        <v>4000</v>
      </c>
      <c r="EU362" s="457">
        <v>440</v>
      </c>
      <c r="EV362" s="425">
        <v>110</v>
      </c>
      <c r="EW362" s="425">
        <v>7533305</v>
      </c>
      <c r="EX362" s="425">
        <v>42946</v>
      </c>
      <c r="EY362" s="666">
        <v>16.489999999999998</v>
      </c>
      <c r="EZ362" s="666">
        <v>16.5</v>
      </c>
      <c r="FA362" s="666">
        <v>0</v>
      </c>
      <c r="FB362" s="666">
        <v>1.51</v>
      </c>
      <c r="FC362" s="666">
        <v>1.27</v>
      </c>
      <c r="FD362" s="666">
        <v>0.996</v>
      </c>
      <c r="FE362" s="666">
        <v>1.01</v>
      </c>
      <c r="FF362" s="666">
        <v>80</v>
      </c>
      <c r="FG362" s="666">
        <v>2.09</v>
      </c>
      <c r="FH362" s="666">
        <v>0.56000000000000005</v>
      </c>
      <c r="FI362" s="666">
        <v>1.1100000000000001</v>
      </c>
      <c r="FJ362" s="666">
        <v>7.96</v>
      </c>
      <c r="FK362" s="666">
        <v>8.1</v>
      </c>
      <c r="FL362" s="666">
        <v>8.23</v>
      </c>
      <c r="FM362" s="666">
        <v>7.7</v>
      </c>
      <c r="FN362" s="666">
        <v>0</v>
      </c>
    </row>
    <row r="363" spans="1:170" s="416" customFormat="1" ht="15">
      <c r="A363" s="425" t="s">
        <v>7</v>
      </c>
      <c r="B363" s="426">
        <v>40892</v>
      </c>
      <c r="C363" s="418">
        <v>0</v>
      </c>
      <c r="D363" s="518">
        <v>0.33</v>
      </c>
      <c r="E363" s="453">
        <v>0</v>
      </c>
      <c r="F363" s="453">
        <v>38</v>
      </c>
      <c r="G363" s="453">
        <v>0.6</v>
      </c>
      <c r="H363" s="519">
        <v>2.5099999999999998</v>
      </c>
      <c r="I363" s="519">
        <v>94.8</v>
      </c>
      <c r="J363" s="483" t="s">
        <v>742</v>
      </c>
      <c r="K363" s="520">
        <v>1.48</v>
      </c>
      <c r="L363" s="453">
        <v>0</v>
      </c>
      <c r="M363" s="453">
        <v>19.899999999999999</v>
      </c>
      <c r="N363" s="453" t="s">
        <v>742</v>
      </c>
      <c r="O363" s="453">
        <v>0</v>
      </c>
      <c r="P363" s="453">
        <v>1.65</v>
      </c>
      <c r="Q363" s="453">
        <v>2.0607516551286786</v>
      </c>
      <c r="R363" s="453">
        <v>937.70464993394967</v>
      </c>
      <c r="S363" s="453" t="s">
        <v>742</v>
      </c>
      <c r="T363" s="453">
        <v>8.0299999999999994</v>
      </c>
      <c r="U363" s="453" t="s">
        <v>742</v>
      </c>
      <c r="V363" s="453">
        <v>0.76</v>
      </c>
      <c r="W363" s="453" t="e">
        <v>#VALUE!</v>
      </c>
      <c r="X363" s="456">
        <v>42.44</v>
      </c>
      <c r="Y363" s="453">
        <v>27.28</v>
      </c>
      <c r="Z363" s="453">
        <v>26.09</v>
      </c>
      <c r="AA363" s="519">
        <v>27.25</v>
      </c>
      <c r="AB363" s="519">
        <v>27.830000000001746</v>
      </c>
      <c r="AC363" s="732">
        <f t="shared" si="5"/>
        <v>55.080000000001746</v>
      </c>
      <c r="AD363" s="664"/>
      <c r="AE363" s="664"/>
      <c r="AF363" s="664"/>
      <c r="AG363" s="664"/>
      <c r="AH363" s="664"/>
      <c r="AI363" s="664"/>
      <c r="AJ363" s="485"/>
      <c r="AK363" s="485"/>
      <c r="AL363" s="485"/>
      <c r="AM363" s="485"/>
      <c r="AN363" s="485"/>
      <c r="AO363" s="665"/>
      <c r="AP363" s="485"/>
      <c r="AQ363" s="483"/>
      <c r="AR363" s="755">
        <v>0</v>
      </c>
      <c r="AS363" s="483">
        <v>10.7</v>
      </c>
      <c r="AT363" s="755">
        <v>0</v>
      </c>
      <c r="AU363" s="483">
        <v>28</v>
      </c>
      <c r="AV363" s="484">
        <v>342</v>
      </c>
      <c r="AW363" s="484">
        <v>344</v>
      </c>
      <c r="AX363" s="453">
        <v>0</v>
      </c>
      <c r="AY363" s="734">
        <v>0</v>
      </c>
      <c r="AZ363" s="734">
        <v>0</v>
      </c>
      <c r="BA363" s="734">
        <v>0</v>
      </c>
      <c r="BB363" s="453">
        <v>0</v>
      </c>
      <c r="BC363" s="453">
        <v>0.27</v>
      </c>
      <c r="BD363" s="453">
        <v>1.5</v>
      </c>
      <c r="BE363" s="734">
        <v>0</v>
      </c>
      <c r="BF363" s="453">
        <v>0.33</v>
      </c>
      <c r="BG363" s="453">
        <v>0</v>
      </c>
      <c r="BH363" s="734">
        <v>0</v>
      </c>
      <c r="BI363" s="453">
        <v>0</v>
      </c>
      <c r="BJ363" s="453">
        <v>25.8</v>
      </c>
      <c r="BK363" s="453">
        <v>3.18</v>
      </c>
      <c r="BL363" s="453">
        <v>3.37</v>
      </c>
      <c r="BM363" s="453">
        <v>0</v>
      </c>
      <c r="BN363" s="453">
        <v>19.7</v>
      </c>
      <c r="BO363" s="453">
        <v>1011.4</v>
      </c>
      <c r="BP363" s="453">
        <v>0</v>
      </c>
      <c r="BQ363" s="453">
        <v>16.7</v>
      </c>
      <c r="BR363" s="453">
        <v>16.7</v>
      </c>
      <c r="BS363" s="453">
        <v>0</v>
      </c>
      <c r="BT363" s="453">
        <v>26.4</v>
      </c>
      <c r="BU363" s="453">
        <v>21.2</v>
      </c>
      <c r="BV363" s="456">
        <v>420.3</v>
      </c>
      <c r="BW363" s="453">
        <v>1.2</v>
      </c>
      <c r="BX363" s="453">
        <v>1.53</v>
      </c>
      <c r="BY363" s="456">
        <v>0.9</v>
      </c>
      <c r="BZ363" s="456">
        <v>14.9</v>
      </c>
      <c r="CA363" s="456">
        <v>31.3</v>
      </c>
      <c r="CB363" s="456">
        <v>13.6</v>
      </c>
      <c r="CC363" s="456">
        <v>8.5</v>
      </c>
      <c r="CD363" s="456">
        <v>12.6</v>
      </c>
      <c r="CE363" s="456">
        <v>17.100000000000001</v>
      </c>
      <c r="CF363" s="456">
        <v>12.7</v>
      </c>
      <c r="CG363" s="456">
        <v>521.9</v>
      </c>
      <c r="CH363" s="456">
        <v>2.4</v>
      </c>
      <c r="CI363" s="456">
        <v>3.4</v>
      </c>
      <c r="CJ363" s="456">
        <v>152</v>
      </c>
      <c r="CK363" s="456">
        <v>362.6</v>
      </c>
      <c r="CL363" s="456">
        <v>514.29999999999995</v>
      </c>
      <c r="CM363" s="456">
        <v>13.1</v>
      </c>
      <c r="CN363" s="456">
        <v>1.76</v>
      </c>
      <c r="CO363" s="453">
        <v>0</v>
      </c>
      <c r="CP363" s="453">
        <v>16.350000000000001</v>
      </c>
      <c r="CQ363" s="453">
        <v>43</v>
      </c>
      <c r="CR363" s="456">
        <v>0</v>
      </c>
      <c r="CS363" s="456">
        <v>0</v>
      </c>
      <c r="CT363" s="456">
        <v>0</v>
      </c>
      <c r="CU363" s="456">
        <v>0</v>
      </c>
      <c r="CV363" s="481">
        <v>462.33333333333331</v>
      </c>
      <c r="CW363" s="481">
        <v>660.82291666666663</v>
      </c>
      <c r="CX363" s="481">
        <v>425.0625</v>
      </c>
      <c r="CY363" s="481">
        <v>1075.22</v>
      </c>
      <c r="CZ363" s="456"/>
      <c r="DA363" s="456"/>
      <c r="DB363" s="456"/>
      <c r="DC363" s="456"/>
      <c r="DD363" s="456"/>
      <c r="DE363" s="456"/>
      <c r="DF363" s="456"/>
      <c r="DG363" s="425"/>
      <c r="DH363" s="456">
        <v>0</v>
      </c>
      <c r="DI363" s="456" t="s">
        <v>756</v>
      </c>
      <c r="DJ363" s="456">
        <v>1.19</v>
      </c>
      <c r="DK363" s="425"/>
      <c r="DL363" s="456"/>
      <c r="DM363" s="456"/>
      <c r="DN363" s="456"/>
      <c r="DO363" s="456"/>
      <c r="DP363" s="456"/>
      <c r="DQ363" s="456"/>
      <c r="DR363" s="456"/>
      <c r="DS363" s="456"/>
      <c r="DT363" s="456"/>
      <c r="DU363" s="456"/>
      <c r="DV363" s="456"/>
      <c r="DW363" s="456"/>
      <c r="DX363" s="456"/>
      <c r="DY363" s="456"/>
      <c r="DZ363" s="456"/>
      <c r="EA363" s="456"/>
      <c r="EB363" s="456"/>
      <c r="EC363" s="456"/>
      <c r="ED363" s="456"/>
      <c r="EE363" s="456">
        <v>0</v>
      </c>
      <c r="EF363" s="456">
        <v>2</v>
      </c>
      <c r="EG363" s="456">
        <v>6.5</v>
      </c>
      <c r="EH363" s="456"/>
      <c r="EI363" s="456"/>
      <c r="EJ363" s="456"/>
      <c r="EK363" s="456"/>
      <c r="EL363" s="456"/>
      <c r="EM363" s="456"/>
      <c r="EN363" s="456"/>
      <c r="EO363" s="425"/>
      <c r="EP363" s="425"/>
      <c r="EQ363" s="425" t="s">
        <v>743</v>
      </c>
      <c r="ER363" s="425">
        <v>1</v>
      </c>
      <c r="ES363" s="425">
        <v>6</v>
      </c>
      <c r="ET363" s="425">
        <v>350</v>
      </c>
      <c r="EU363" s="457">
        <v>4000</v>
      </c>
      <c r="EV363" s="425">
        <v>65</v>
      </c>
      <c r="EW363" s="425">
        <v>7535338</v>
      </c>
      <c r="EX363" s="425">
        <v>44282</v>
      </c>
      <c r="EY363" s="666">
        <v>16.98</v>
      </c>
      <c r="EZ363" s="666">
        <v>16.96</v>
      </c>
      <c r="FA363" s="666">
        <v>0</v>
      </c>
      <c r="FB363" s="666">
        <v>1.5</v>
      </c>
      <c r="FC363" s="666">
        <v>1.46</v>
      </c>
      <c r="FD363" s="666">
        <v>1.0129999999999999</v>
      </c>
      <c r="FE363" s="666">
        <v>1</v>
      </c>
      <c r="FF363" s="666">
        <v>90</v>
      </c>
      <c r="FG363" s="666">
        <v>1.71</v>
      </c>
      <c r="FH363" s="666">
        <v>0.56299999999999994</v>
      </c>
      <c r="FI363" s="666">
        <v>1.2</v>
      </c>
      <c r="FJ363" s="666">
        <v>7.96</v>
      </c>
      <c r="FK363" s="666">
        <v>7.9</v>
      </c>
      <c r="FL363" s="666">
        <v>7.88</v>
      </c>
      <c r="FM363" s="666">
        <v>7.7</v>
      </c>
      <c r="FN363" s="666">
        <v>0</v>
      </c>
    </row>
    <row r="364" spans="1:170" s="416" customFormat="1" ht="15">
      <c r="A364" s="425" t="s">
        <v>8</v>
      </c>
      <c r="B364" s="426">
        <v>40893</v>
      </c>
      <c r="C364" s="418">
        <v>0</v>
      </c>
      <c r="D364" s="518">
        <v>0</v>
      </c>
      <c r="E364" s="453">
        <v>0</v>
      </c>
      <c r="F364" s="453">
        <v>36</v>
      </c>
      <c r="G364" s="453">
        <v>0.55000000000000004</v>
      </c>
      <c r="H364" s="519">
        <v>1.73</v>
      </c>
      <c r="I364" s="519">
        <v>94.96</v>
      </c>
      <c r="J364" s="483" t="s">
        <v>742</v>
      </c>
      <c r="K364" s="520">
        <v>1.58</v>
      </c>
      <c r="L364" s="453">
        <v>0</v>
      </c>
      <c r="M364" s="453">
        <v>19.7</v>
      </c>
      <c r="N364" s="453" t="s">
        <v>742</v>
      </c>
      <c r="O364" s="453" t="s">
        <v>742</v>
      </c>
      <c r="P364" s="453">
        <v>1.64</v>
      </c>
      <c r="Q364" s="453">
        <v>2.0877190726149135</v>
      </c>
      <c r="R364" s="453">
        <v>1001.5139128137383</v>
      </c>
      <c r="S364" s="453" t="s">
        <v>742</v>
      </c>
      <c r="T364" s="453">
        <v>8.0399999999999991</v>
      </c>
      <c r="U364" s="453" t="s">
        <v>742</v>
      </c>
      <c r="V364" s="453">
        <v>0.77</v>
      </c>
      <c r="W364" s="453" t="e">
        <v>#VALUE!</v>
      </c>
      <c r="X364" s="456">
        <v>43.519999999999996</v>
      </c>
      <c r="Y364" s="453">
        <v>26.84</v>
      </c>
      <c r="Z364" s="453">
        <v>30.4</v>
      </c>
      <c r="AA364" s="519">
        <v>27.130000000004657</v>
      </c>
      <c r="AB364" s="519">
        <v>29.96</v>
      </c>
      <c r="AC364" s="732">
        <f t="shared" si="5"/>
        <v>57.090000000004657</v>
      </c>
      <c r="AD364" s="664"/>
      <c r="AE364" s="664"/>
      <c r="AF364" s="664"/>
      <c r="AG364" s="664"/>
      <c r="AH364" s="664"/>
      <c r="AI364" s="664"/>
      <c r="AJ364" s="485"/>
      <c r="AK364" s="485"/>
      <c r="AL364" s="485"/>
      <c r="AM364" s="485"/>
      <c r="AN364" s="485"/>
      <c r="AO364" s="665"/>
      <c r="AP364" s="485"/>
      <c r="AQ364" s="483"/>
      <c r="AR364" s="755">
        <v>0</v>
      </c>
      <c r="AS364" s="483">
        <v>20.7</v>
      </c>
      <c r="AT364" s="755">
        <v>0</v>
      </c>
      <c r="AU364" s="483">
        <v>28</v>
      </c>
      <c r="AV364" s="484">
        <v>371.4</v>
      </c>
      <c r="AW364" s="484">
        <v>370</v>
      </c>
      <c r="AX364" s="453">
        <v>0</v>
      </c>
      <c r="AY364" s="734">
        <v>0</v>
      </c>
      <c r="AZ364" s="734">
        <v>0</v>
      </c>
      <c r="BA364" s="734">
        <v>0</v>
      </c>
      <c r="BB364" s="453">
        <v>0</v>
      </c>
      <c r="BC364" s="453">
        <v>0.15</v>
      </c>
      <c r="BD364" s="453">
        <v>1.5</v>
      </c>
      <c r="BE364" s="734">
        <v>0</v>
      </c>
      <c r="BF364" s="453">
        <v>0.56999999999999995</v>
      </c>
      <c r="BG364" s="453">
        <v>0</v>
      </c>
      <c r="BH364" s="734">
        <v>0</v>
      </c>
      <c r="BI364" s="453">
        <v>0</v>
      </c>
      <c r="BJ364" s="453">
        <v>27.8</v>
      </c>
      <c r="BK364" s="453">
        <v>2.4700000000000002</v>
      </c>
      <c r="BL364" s="453">
        <v>4.45</v>
      </c>
      <c r="BM364" s="453">
        <v>0</v>
      </c>
      <c r="BN364" s="453">
        <v>19.899999999999999</v>
      </c>
      <c r="BO364" s="453">
        <v>1164.9000000000001</v>
      </c>
      <c r="BP364" s="453">
        <v>0</v>
      </c>
      <c r="BQ364" s="453">
        <v>17.399999999999999</v>
      </c>
      <c r="BR364" s="453">
        <v>17.399999999999999</v>
      </c>
      <c r="BS364" s="453">
        <v>0</v>
      </c>
      <c r="BT364" s="453">
        <v>26.3</v>
      </c>
      <c r="BU364" s="453">
        <v>19</v>
      </c>
      <c r="BV364" s="456">
        <v>415</v>
      </c>
      <c r="BW364" s="453">
        <v>1</v>
      </c>
      <c r="BX364" s="453">
        <v>1.52</v>
      </c>
      <c r="BY364" s="456">
        <v>0.9</v>
      </c>
      <c r="BZ364" s="456">
        <v>14.5</v>
      </c>
      <c r="CA364" s="456">
        <v>30.9</v>
      </c>
      <c r="CB364" s="456">
        <v>14.2</v>
      </c>
      <c r="CC364" s="456">
        <v>8.6</v>
      </c>
      <c r="CD364" s="456">
        <v>12.9</v>
      </c>
      <c r="CE364" s="456">
        <v>16.899999999999999</v>
      </c>
      <c r="CF364" s="456">
        <v>12.4</v>
      </c>
      <c r="CG364" s="456">
        <v>532.20000000000005</v>
      </c>
      <c r="CH364" s="456">
        <v>2.2000000000000002</v>
      </c>
      <c r="CI364" s="456">
        <v>3.3</v>
      </c>
      <c r="CJ364" s="456">
        <v>139.30000000000001</v>
      </c>
      <c r="CK364" s="456">
        <v>360.7</v>
      </c>
      <c r="CL364" s="456">
        <v>527.20000000000005</v>
      </c>
      <c r="CM364" s="456">
        <v>13.3</v>
      </c>
      <c r="CN364" s="456">
        <v>1.78</v>
      </c>
      <c r="CO364" s="453">
        <v>0</v>
      </c>
      <c r="CP364" s="453">
        <v>16.38</v>
      </c>
      <c r="CQ364" s="453">
        <v>42</v>
      </c>
      <c r="CR364" s="456">
        <v>0</v>
      </c>
      <c r="CS364" s="456">
        <v>0</v>
      </c>
      <c r="CT364" s="456">
        <v>0</v>
      </c>
      <c r="CU364" s="456">
        <v>0</v>
      </c>
      <c r="CV364" s="481">
        <v>444.66666666666669</v>
      </c>
      <c r="CW364" s="481">
        <v>649.46875</v>
      </c>
      <c r="CX364" s="481">
        <v>403.98958333333331</v>
      </c>
      <c r="CY364" s="481">
        <v>1075.28</v>
      </c>
      <c r="CZ364" s="456"/>
      <c r="DA364" s="456"/>
      <c r="DB364" s="456"/>
      <c r="DC364" s="456"/>
      <c r="DD364" s="456"/>
      <c r="DE364" s="456"/>
      <c r="DF364" s="456"/>
      <c r="DG364" s="425"/>
      <c r="DH364" s="456">
        <v>0</v>
      </c>
      <c r="DI364" s="456" t="s">
        <v>755</v>
      </c>
      <c r="DJ364" s="456">
        <v>1.1499999999999999</v>
      </c>
      <c r="DK364" s="425"/>
      <c r="DL364" s="456"/>
      <c r="DM364" s="456"/>
      <c r="DN364" s="456"/>
      <c r="DO364" s="456"/>
      <c r="DP364" s="456"/>
      <c r="DQ364" s="456"/>
      <c r="DR364" s="456"/>
      <c r="DS364" s="456"/>
      <c r="DT364" s="456"/>
      <c r="DU364" s="456"/>
      <c r="DV364" s="456"/>
      <c r="DW364" s="456"/>
      <c r="DX364" s="456"/>
      <c r="DY364" s="456"/>
      <c r="DZ364" s="456"/>
      <c r="EA364" s="456"/>
      <c r="EB364" s="456"/>
      <c r="EC364" s="456"/>
      <c r="ED364" s="456"/>
      <c r="EE364" s="456">
        <v>0</v>
      </c>
      <c r="EF364" s="456">
        <v>2</v>
      </c>
      <c r="EG364" s="456">
        <v>6.5</v>
      </c>
      <c r="EH364" s="456"/>
      <c r="EI364" s="456"/>
      <c r="EJ364" s="456"/>
      <c r="EK364" s="456"/>
      <c r="EL364" s="456"/>
      <c r="EM364" s="456"/>
      <c r="EN364" s="456"/>
      <c r="EO364" s="425"/>
      <c r="EP364" s="425"/>
      <c r="EQ364" s="425" t="s">
        <v>743</v>
      </c>
      <c r="ER364" s="425">
        <v>1</v>
      </c>
      <c r="ES364" s="425">
        <v>6</v>
      </c>
      <c r="ET364" s="425">
        <v>240</v>
      </c>
      <c r="EU364" s="457">
        <v>4000</v>
      </c>
      <c r="EV364" s="425">
        <v>75</v>
      </c>
      <c r="EW364" s="425">
        <v>7537340</v>
      </c>
      <c r="EX364" s="425">
        <v>45677</v>
      </c>
      <c r="EY364" s="666">
        <v>17.5</v>
      </c>
      <c r="EZ364" s="666">
        <v>17.52</v>
      </c>
      <c r="FA364" s="666">
        <v>0</v>
      </c>
      <c r="FB364" s="666">
        <v>1.48</v>
      </c>
      <c r="FC364" s="666">
        <v>1.36</v>
      </c>
      <c r="FD364" s="666">
        <v>0.93500000000000005</v>
      </c>
      <c r="FE364" s="666">
        <v>0.94</v>
      </c>
      <c r="FF364" s="666">
        <v>110</v>
      </c>
      <c r="FG364" s="666">
        <v>1.92</v>
      </c>
      <c r="FH364" s="666">
        <v>0.58499999999999996</v>
      </c>
      <c r="FI364" s="666">
        <v>1.25</v>
      </c>
      <c r="FJ364" s="666">
        <v>8.0299999999999994</v>
      </c>
      <c r="FK364" s="666">
        <v>8.1</v>
      </c>
      <c r="FL364" s="666">
        <v>7.99</v>
      </c>
      <c r="FM364" s="666">
        <v>7.7</v>
      </c>
      <c r="FN364" s="666">
        <v>0</v>
      </c>
    </row>
    <row r="365" spans="1:170" s="416" customFormat="1" ht="15">
      <c r="A365" s="425" t="s">
        <v>9</v>
      </c>
      <c r="B365" s="426">
        <v>40894</v>
      </c>
      <c r="C365" s="418">
        <v>0</v>
      </c>
      <c r="D365" s="419">
        <v>0</v>
      </c>
      <c r="E365" s="199">
        <v>0</v>
      </c>
      <c r="F365" s="199">
        <v>38</v>
      </c>
      <c r="G365" s="199">
        <v>0.55000000000000004</v>
      </c>
      <c r="H365" s="420">
        <v>1.7</v>
      </c>
      <c r="I365" s="420">
        <v>95.08</v>
      </c>
      <c r="J365" s="421" t="s">
        <v>742</v>
      </c>
      <c r="K365" s="422">
        <v>1.58</v>
      </c>
      <c r="L365" s="199">
        <v>0</v>
      </c>
      <c r="M365" s="199">
        <v>19.600000000000001</v>
      </c>
      <c r="N365" s="199" t="s">
        <v>742</v>
      </c>
      <c r="O365" s="199" t="s">
        <v>742</v>
      </c>
      <c r="P365" s="199">
        <v>1.6</v>
      </c>
      <c r="Q365" s="199">
        <v>2.0438243064729189</v>
      </c>
      <c r="R365" s="199">
        <v>954.54770409511218</v>
      </c>
      <c r="S365" s="199" t="s">
        <v>742</v>
      </c>
      <c r="T365" s="199">
        <v>7.98</v>
      </c>
      <c r="U365" s="199" t="s">
        <v>742</v>
      </c>
      <c r="V365" s="199">
        <v>0.8</v>
      </c>
      <c r="W365" s="199" t="e">
        <v>#VALUE!</v>
      </c>
      <c r="X365" s="423">
        <v>42.8</v>
      </c>
      <c r="Y365" s="199">
        <v>26.97</v>
      </c>
      <c r="Z365" s="199">
        <v>29.77</v>
      </c>
      <c r="AA365" s="420">
        <v>28</v>
      </c>
      <c r="AB365" s="420">
        <v>28.82</v>
      </c>
      <c r="AC365" s="732">
        <f t="shared" si="5"/>
        <v>56.82</v>
      </c>
      <c r="AD365" s="424"/>
      <c r="AE365" s="424"/>
      <c r="AF365" s="424"/>
      <c r="AG365" s="424"/>
      <c r="AH365" s="424"/>
      <c r="AI365" s="424"/>
      <c r="AJ365" s="2"/>
      <c r="AK365" s="2"/>
      <c r="AL365" s="2"/>
      <c r="AM365" s="2"/>
      <c r="AN365" s="2"/>
      <c r="AO365" s="415"/>
      <c r="AP365" s="2"/>
      <c r="AQ365" s="421"/>
      <c r="AR365" s="755">
        <v>0</v>
      </c>
      <c r="AS365" s="483">
        <v>11.1</v>
      </c>
      <c r="AT365" s="755">
        <v>0</v>
      </c>
      <c r="AU365" s="483">
        <v>29.1</v>
      </c>
      <c r="AV365" s="484">
        <v>418</v>
      </c>
      <c r="AW365" s="484">
        <v>502.8</v>
      </c>
      <c r="AX365" s="453">
        <v>0</v>
      </c>
      <c r="AY365" s="734">
        <v>0</v>
      </c>
      <c r="AZ365" s="734">
        <v>0</v>
      </c>
      <c r="BA365" s="734">
        <v>0</v>
      </c>
      <c r="BB365" s="453">
        <v>0</v>
      </c>
      <c r="BC365" s="453">
        <v>0.21</v>
      </c>
      <c r="BD365" s="453">
        <v>1.5</v>
      </c>
      <c r="BE365" s="734">
        <v>0</v>
      </c>
      <c r="BF365" s="453">
        <v>0.51</v>
      </c>
      <c r="BG365" s="453">
        <v>0</v>
      </c>
      <c r="BH365" s="734">
        <v>0</v>
      </c>
      <c r="BI365" s="453">
        <v>0</v>
      </c>
      <c r="BJ365" s="453">
        <v>26.7</v>
      </c>
      <c r="BK365" s="453">
        <v>2.76</v>
      </c>
      <c r="BL365" s="453">
        <v>3.89</v>
      </c>
      <c r="BM365" s="453">
        <v>0</v>
      </c>
      <c r="BN365" s="453">
        <v>19.899999999999999</v>
      </c>
      <c r="BO365" s="453">
        <v>1673.9</v>
      </c>
      <c r="BP365" s="453">
        <v>0</v>
      </c>
      <c r="BQ365" s="453">
        <v>17.899999999999999</v>
      </c>
      <c r="BR365" s="453">
        <v>17.899999999999999</v>
      </c>
      <c r="BS365" s="453">
        <v>0</v>
      </c>
      <c r="BT365" s="453">
        <v>26.8</v>
      </c>
      <c r="BU365" s="453">
        <v>19.899999999999999</v>
      </c>
      <c r="BV365" s="456">
        <v>433.3</v>
      </c>
      <c r="BW365" s="453">
        <v>1.27</v>
      </c>
      <c r="BX365" s="453">
        <v>1.52</v>
      </c>
      <c r="BY365" s="456">
        <v>0.89</v>
      </c>
      <c r="BZ365" s="456">
        <v>14.3</v>
      </c>
      <c r="CA365" s="456">
        <v>31.8</v>
      </c>
      <c r="CB365" s="456">
        <v>14.1</v>
      </c>
      <c r="CC365" s="456">
        <v>10.4</v>
      </c>
      <c r="CD365" s="456">
        <v>14.6</v>
      </c>
      <c r="CE365" s="456">
        <v>18.8</v>
      </c>
      <c r="CF365" s="456">
        <v>12.4</v>
      </c>
      <c r="CG365" s="456">
        <v>535.6</v>
      </c>
      <c r="CH365" s="456">
        <v>1.9</v>
      </c>
      <c r="CI365" s="456">
        <v>2.5</v>
      </c>
      <c r="CJ365" s="456">
        <v>22.5</v>
      </c>
      <c r="CK365" s="456">
        <v>406.3</v>
      </c>
      <c r="CL365" s="456">
        <v>508.3</v>
      </c>
      <c r="CM365" s="456">
        <v>13.2</v>
      </c>
      <c r="CN365" s="456">
        <v>1.75</v>
      </c>
      <c r="CO365" s="453">
        <v>0</v>
      </c>
      <c r="CP365" s="453">
        <v>15.88</v>
      </c>
      <c r="CQ365" s="453">
        <v>43</v>
      </c>
      <c r="CR365" s="456">
        <v>0</v>
      </c>
      <c r="CS365" s="456">
        <v>0</v>
      </c>
      <c r="CT365" s="456">
        <v>0</v>
      </c>
      <c r="CU365" s="456">
        <v>0</v>
      </c>
      <c r="CV365" s="481">
        <v>435.875</v>
      </c>
      <c r="CW365" s="481">
        <v>617.61458333333337</v>
      </c>
      <c r="CX365" s="481">
        <v>391.95833333333331</v>
      </c>
      <c r="CY365" s="481">
        <v>1075.18</v>
      </c>
      <c r="CZ365" s="456"/>
      <c r="DA365" s="456"/>
      <c r="DB365" s="456"/>
      <c r="DC365" s="456"/>
      <c r="DD365" s="456"/>
      <c r="DE365" s="423"/>
      <c r="DF365" s="423"/>
      <c r="DG365" s="3"/>
      <c r="DH365" s="423">
        <v>0</v>
      </c>
      <c r="DI365" s="423" t="s">
        <v>755</v>
      </c>
      <c r="DJ365" s="423">
        <v>1.17</v>
      </c>
      <c r="DK365" s="3"/>
      <c r="DL365" s="423"/>
      <c r="DM365" s="423"/>
      <c r="DN365" s="423"/>
      <c r="DO365" s="423"/>
      <c r="DP365" s="423"/>
      <c r="DQ365" s="423"/>
      <c r="DR365" s="423"/>
      <c r="DS365" s="423"/>
      <c r="DT365" s="423"/>
      <c r="DU365" s="423"/>
      <c r="DV365" s="423"/>
      <c r="DW365" s="423"/>
      <c r="DX365" s="423"/>
      <c r="DY365" s="423"/>
      <c r="DZ365" s="423"/>
      <c r="EA365" s="423"/>
      <c r="EB365" s="423"/>
      <c r="EC365" s="423"/>
      <c r="ED365" s="423"/>
      <c r="EE365" s="456">
        <v>0</v>
      </c>
      <c r="EF365" s="456">
        <v>2</v>
      </c>
      <c r="EG365" s="456">
        <v>6.5</v>
      </c>
      <c r="EH365" s="423"/>
      <c r="EI365" s="423"/>
      <c r="EJ365" s="423"/>
      <c r="EK365" s="423"/>
      <c r="EL365" s="423"/>
      <c r="EM365" s="423"/>
      <c r="EN365" s="423"/>
      <c r="EO365" s="3"/>
      <c r="EP365" s="3"/>
      <c r="EQ365" s="3" t="s">
        <v>743</v>
      </c>
      <c r="ER365" s="3">
        <v>1</v>
      </c>
      <c r="ES365" s="3">
        <v>6</v>
      </c>
      <c r="ET365" s="3">
        <v>120</v>
      </c>
      <c r="EU365" s="416">
        <v>4000</v>
      </c>
      <c r="EV365" s="3">
        <v>65</v>
      </c>
      <c r="EW365" s="425">
        <v>7539289</v>
      </c>
      <c r="EX365" s="425">
        <v>47057</v>
      </c>
      <c r="EY365" s="666">
        <v>18.41</v>
      </c>
      <c r="EZ365" s="666">
        <v>18.39</v>
      </c>
      <c r="FA365" s="666">
        <v>0</v>
      </c>
      <c r="FB365" s="666">
        <v>1.5</v>
      </c>
      <c r="FC365" s="666">
        <v>1.47</v>
      </c>
      <c r="FD365" s="666">
        <v>0.97299999999999998</v>
      </c>
      <c r="FE365" s="666">
        <v>0.95</v>
      </c>
      <c r="FF365" s="666">
        <v>120</v>
      </c>
      <c r="FG365" s="666">
        <v>1.6</v>
      </c>
      <c r="FH365" s="666">
        <v>0.55200000000000005</v>
      </c>
      <c r="FI365" s="666">
        <v>1.02</v>
      </c>
      <c r="FJ365" s="666">
        <v>7.93</v>
      </c>
      <c r="FK365" s="666">
        <v>8.1</v>
      </c>
      <c r="FL365" s="413">
        <v>8.1</v>
      </c>
      <c r="FM365" s="413">
        <v>7.8</v>
      </c>
      <c r="FN365" s="413">
        <v>0</v>
      </c>
    </row>
    <row r="366" spans="1:170" s="416" customFormat="1" ht="15">
      <c r="A366" s="425" t="s">
        <v>3</v>
      </c>
      <c r="B366" s="426">
        <v>40895</v>
      </c>
      <c r="C366" s="418">
        <v>0</v>
      </c>
      <c r="D366" s="419">
        <v>0.55000000000000004</v>
      </c>
      <c r="E366" s="199">
        <v>0</v>
      </c>
      <c r="F366" s="199">
        <v>32</v>
      </c>
      <c r="G366" s="199">
        <v>0.55000000000000004</v>
      </c>
      <c r="H366" s="420">
        <v>1.64</v>
      </c>
      <c r="I366" s="420">
        <v>95.29</v>
      </c>
      <c r="J366" s="421" t="s">
        <v>742</v>
      </c>
      <c r="K366" s="422">
        <v>1.46</v>
      </c>
      <c r="L366" s="199">
        <v>0</v>
      </c>
      <c r="M366" s="199">
        <v>19.600000000000001</v>
      </c>
      <c r="N366" s="199" t="s">
        <v>742</v>
      </c>
      <c r="O366" s="199">
        <v>0</v>
      </c>
      <c r="P366" s="199">
        <v>1.61</v>
      </c>
      <c r="Q366" s="199">
        <v>2.0550403133968018</v>
      </c>
      <c r="R366" s="199">
        <v>994.06410039630089</v>
      </c>
      <c r="S366" s="199" t="s">
        <v>742</v>
      </c>
      <c r="T366" s="199">
        <v>8.0299999999999994</v>
      </c>
      <c r="U366" s="199" t="s">
        <v>742</v>
      </c>
      <c r="V366" s="199">
        <v>0.8</v>
      </c>
      <c r="W366" s="199" t="e">
        <v>#VALUE!</v>
      </c>
      <c r="X366" s="423">
        <v>42.980000000000004</v>
      </c>
      <c r="Y366" s="199">
        <v>28.88</v>
      </c>
      <c r="Z366" s="199">
        <v>28.08</v>
      </c>
      <c r="AA366" s="420">
        <v>28.8</v>
      </c>
      <c r="AB366" s="420">
        <v>27.92</v>
      </c>
      <c r="AC366" s="732">
        <f t="shared" si="5"/>
        <v>56.72</v>
      </c>
      <c r="AD366" s="424"/>
      <c r="AE366" s="424"/>
      <c r="AF366" s="424"/>
      <c r="AG366" s="424"/>
      <c r="AH366" s="424"/>
      <c r="AI366" s="424"/>
      <c r="AJ366" s="2"/>
      <c r="AK366" s="2"/>
      <c r="AL366" s="2"/>
      <c r="AM366" s="2"/>
      <c r="AN366" s="2"/>
      <c r="AO366" s="415"/>
      <c r="AP366" s="2"/>
      <c r="AQ366" s="421"/>
      <c r="AR366" s="755">
        <v>0</v>
      </c>
      <c r="AS366" s="483">
        <v>11</v>
      </c>
      <c r="AT366" s="755">
        <v>0</v>
      </c>
      <c r="AU366" s="483">
        <v>30</v>
      </c>
      <c r="AV366" s="484">
        <v>476.6</v>
      </c>
      <c r="AW366" s="484">
        <v>472</v>
      </c>
      <c r="AX366" s="453">
        <v>0</v>
      </c>
      <c r="AY366" s="734">
        <v>0</v>
      </c>
      <c r="AZ366" s="734">
        <v>0</v>
      </c>
      <c r="BA366" s="734">
        <v>0</v>
      </c>
      <c r="BB366" s="453">
        <v>0</v>
      </c>
      <c r="BC366" s="453">
        <v>0.16</v>
      </c>
      <c r="BD366" s="453">
        <v>1.5</v>
      </c>
      <c r="BE366" s="734">
        <v>0</v>
      </c>
      <c r="BF366" s="453">
        <v>0.53</v>
      </c>
      <c r="BG366" s="453">
        <v>0</v>
      </c>
      <c r="BH366" s="734">
        <v>0</v>
      </c>
      <c r="BI366" s="453">
        <v>0</v>
      </c>
      <c r="BJ366" s="453">
        <v>25.9</v>
      </c>
      <c r="BK366" s="453">
        <v>3.18</v>
      </c>
      <c r="BL366" s="453">
        <v>3.37</v>
      </c>
      <c r="BM366" s="453">
        <v>0</v>
      </c>
      <c r="BN366" s="453">
        <v>19.2</v>
      </c>
      <c r="BO366" s="453">
        <v>872.4</v>
      </c>
      <c r="BP366" s="453">
        <v>0</v>
      </c>
      <c r="BQ366" s="453">
        <v>18.899999999999999</v>
      </c>
      <c r="BR366" s="453">
        <v>18.8</v>
      </c>
      <c r="BS366" s="453">
        <v>0</v>
      </c>
      <c r="BT366" s="453">
        <v>27.5</v>
      </c>
      <c r="BU366" s="453">
        <v>18.5</v>
      </c>
      <c r="BV366" s="456">
        <v>431.8</v>
      </c>
      <c r="BW366" s="453">
        <v>1.25</v>
      </c>
      <c r="BX366" s="453">
        <v>1.52</v>
      </c>
      <c r="BY366" s="456">
        <v>0.9</v>
      </c>
      <c r="BZ366" s="456">
        <v>14.3</v>
      </c>
      <c r="CA366" s="456">
        <v>31.1</v>
      </c>
      <c r="CB366" s="456">
        <v>13.3</v>
      </c>
      <c r="CC366" s="456">
        <v>8.1</v>
      </c>
      <c r="CD366" s="456">
        <v>12.4</v>
      </c>
      <c r="CE366" s="456">
        <v>16.399999999999999</v>
      </c>
      <c r="CF366" s="456">
        <v>12.3</v>
      </c>
      <c r="CG366" s="456">
        <v>535.5</v>
      </c>
      <c r="CH366" s="456">
        <v>1.8</v>
      </c>
      <c r="CI366" s="456">
        <v>1.9</v>
      </c>
      <c r="CJ366" s="456">
        <v>240.5</v>
      </c>
      <c r="CK366" s="456">
        <v>404</v>
      </c>
      <c r="CL366" s="456">
        <v>513.4</v>
      </c>
      <c r="CM366" s="456">
        <v>13.3</v>
      </c>
      <c r="CN366" s="456">
        <v>1.75</v>
      </c>
      <c r="CO366" s="453">
        <v>0</v>
      </c>
      <c r="CP366" s="453">
        <v>15.54</v>
      </c>
      <c r="CQ366" s="453">
        <v>43</v>
      </c>
      <c r="CR366" s="456">
        <v>0</v>
      </c>
      <c r="CS366" s="456">
        <v>0</v>
      </c>
      <c r="CT366" s="456">
        <v>0</v>
      </c>
      <c r="CU366" s="456">
        <v>0</v>
      </c>
      <c r="CV366" s="481">
        <v>436</v>
      </c>
      <c r="CW366" s="481">
        <v>649.39583333333337</v>
      </c>
      <c r="CX366" s="481">
        <v>398.14583333333331</v>
      </c>
      <c r="CY366" s="481">
        <v>1075.49</v>
      </c>
      <c r="CZ366" s="456"/>
      <c r="DA366" s="456"/>
      <c r="DB366" s="456"/>
      <c r="DC366" s="456"/>
      <c r="DD366" s="456"/>
      <c r="DE366" s="423"/>
      <c r="DF366" s="423"/>
      <c r="DG366" s="3"/>
      <c r="DH366" s="423">
        <v>0</v>
      </c>
      <c r="DI366" s="423" t="s">
        <v>755</v>
      </c>
      <c r="DJ366" s="423">
        <v>1.0900000000000001</v>
      </c>
      <c r="DK366" s="3"/>
      <c r="DL366" s="423"/>
      <c r="DM366" s="423"/>
      <c r="DN366" s="423"/>
      <c r="DO366" s="423"/>
      <c r="DP366" s="423"/>
      <c r="DQ366" s="423"/>
      <c r="DR366" s="423"/>
      <c r="DS366" s="423"/>
      <c r="DT366" s="423"/>
      <c r="DU366" s="423"/>
      <c r="DV366" s="423"/>
      <c r="DW366" s="423"/>
      <c r="DX366" s="423"/>
      <c r="DY366" s="423"/>
      <c r="DZ366" s="423"/>
      <c r="EA366" s="423"/>
      <c r="EB366" s="423"/>
      <c r="EC366" s="423"/>
      <c r="ED366" s="423"/>
      <c r="EE366" s="456">
        <v>0</v>
      </c>
      <c r="EF366" s="456">
        <v>2</v>
      </c>
      <c r="EG366" s="456">
        <v>6.5</v>
      </c>
      <c r="EH366" s="423"/>
      <c r="EI366" s="423"/>
      <c r="EJ366" s="423"/>
      <c r="EK366" s="423"/>
      <c r="EL366" s="423"/>
      <c r="EM366" s="423"/>
      <c r="EN366" s="423"/>
      <c r="EO366" s="3"/>
      <c r="EP366" s="3"/>
      <c r="EQ366" s="3" t="s">
        <v>743</v>
      </c>
      <c r="ER366" s="3">
        <v>1</v>
      </c>
      <c r="ES366" s="3">
        <v>6</v>
      </c>
      <c r="ET366" s="3">
        <v>55</v>
      </c>
      <c r="EU366" s="416">
        <v>4000</v>
      </c>
      <c r="EV366" s="3">
        <v>45</v>
      </c>
      <c r="EW366" s="425">
        <v>7541201</v>
      </c>
      <c r="EX366" s="425">
        <v>48425</v>
      </c>
      <c r="EY366" s="666">
        <v>19.100000000000001</v>
      </c>
      <c r="EZ366" s="666">
        <v>19.100000000000001</v>
      </c>
      <c r="FA366" s="666">
        <v>0</v>
      </c>
      <c r="FB366" s="666">
        <v>1.47</v>
      </c>
      <c r="FC366" s="666">
        <v>1.41</v>
      </c>
      <c r="FD366" s="666">
        <v>1.002</v>
      </c>
      <c r="FE366" s="666">
        <v>0.97</v>
      </c>
      <c r="FF366" s="666">
        <v>75</v>
      </c>
      <c r="FG366" s="666">
        <v>1.41</v>
      </c>
      <c r="FH366" s="666">
        <v>0.54800000000000004</v>
      </c>
      <c r="FI366" s="666">
        <v>1.03</v>
      </c>
      <c r="FJ366" s="666">
        <v>7.95</v>
      </c>
      <c r="FK366" s="666">
        <v>8</v>
      </c>
      <c r="FL366" s="413">
        <v>8.0500000000000007</v>
      </c>
      <c r="FM366" s="413">
        <v>7.9</v>
      </c>
      <c r="FN366" s="413">
        <v>0</v>
      </c>
    </row>
    <row r="367" spans="1:170" s="416" customFormat="1" ht="15">
      <c r="A367" s="425" t="s">
        <v>4</v>
      </c>
      <c r="B367" s="426">
        <v>40896</v>
      </c>
      <c r="C367" s="418">
        <v>0</v>
      </c>
      <c r="D367" s="419">
        <v>0.02</v>
      </c>
      <c r="E367" s="199">
        <v>0</v>
      </c>
      <c r="F367" s="199">
        <v>35</v>
      </c>
      <c r="G367" s="199">
        <v>0.55000000000000004</v>
      </c>
      <c r="H367" s="420">
        <v>1.45</v>
      </c>
      <c r="I367" s="420">
        <v>94.7</v>
      </c>
      <c r="J367" s="421" t="s">
        <v>742</v>
      </c>
      <c r="K367" s="422">
        <v>1.35</v>
      </c>
      <c r="L367" s="199">
        <v>0</v>
      </c>
      <c r="M367" s="199">
        <v>19.5</v>
      </c>
      <c r="N367" s="199" t="s">
        <v>742</v>
      </c>
      <c r="O367" s="199">
        <v>0</v>
      </c>
      <c r="P367" s="199">
        <v>1.64</v>
      </c>
      <c r="Q367" s="199">
        <v>2.0124633000012411</v>
      </c>
      <c r="R367" s="199">
        <v>904.99025627476874</v>
      </c>
      <c r="S367" s="199" t="s">
        <v>742</v>
      </c>
      <c r="T367" s="199">
        <v>7.98</v>
      </c>
      <c r="U367" s="199" t="s">
        <v>742</v>
      </c>
      <c r="V367" s="199">
        <v>0.77</v>
      </c>
      <c r="W367" s="199" t="e">
        <v>#VALUE!</v>
      </c>
      <c r="X367" s="423">
        <v>44.06</v>
      </c>
      <c r="Y367" s="199">
        <v>28.66</v>
      </c>
      <c r="Z367" s="199">
        <v>28.08</v>
      </c>
      <c r="AA367" s="420">
        <v>28.89</v>
      </c>
      <c r="AB367" s="420">
        <v>27.28</v>
      </c>
      <c r="AC367" s="732">
        <f t="shared" si="5"/>
        <v>56.17</v>
      </c>
      <c r="AD367" s="424"/>
      <c r="AE367" s="424"/>
      <c r="AF367" s="424"/>
      <c r="AG367" s="424"/>
      <c r="AH367" s="424"/>
      <c r="AI367" s="424"/>
      <c r="AJ367" s="2"/>
      <c r="AK367" s="2"/>
      <c r="AL367" s="2"/>
      <c r="AM367" s="2"/>
      <c r="AN367" s="2"/>
      <c r="AO367" s="415"/>
      <c r="AP367" s="2"/>
      <c r="AQ367" s="421"/>
      <c r="AR367" s="755">
        <v>0</v>
      </c>
      <c r="AS367" s="483">
        <v>10.7</v>
      </c>
      <c r="AT367" s="755">
        <v>0</v>
      </c>
      <c r="AU367" s="483">
        <v>30</v>
      </c>
      <c r="AV367" s="484">
        <v>326.39999999999998</v>
      </c>
      <c r="AW367" s="484">
        <v>355.6</v>
      </c>
      <c r="AX367" s="453">
        <v>35.9</v>
      </c>
      <c r="AY367" s="734">
        <v>0</v>
      </c>
      <c r="AZ367" s="734">
        <v>0</v>
      </c>
      <c r="BA367" s="734">
        <v>0</v>
      </c>
      <c r="BB367" s="453">
        <v>0</v>
      </c>
      <c r="BC367" s="453">
        <v>0.37</v>
      </c>
      <c r="BD367" s="453">
        <v>1.5</v>
      </c>
      <c r="BE367" s="734">
        <v>0</v>
      </c>
      <c r="BF367" s="453">
        <v>0.17</v>
      </c>
      <c r="BG367" s="453">
        <v>0</v>
      </c>
      <c r="BH367" s="734">
        <v>0</v>
      </c>
      <c r="BI367" s="453">
        <v>0</v>
      </c>
      <c r="BJ367" s="453">
        <v>25.3</v>
      </c>
      <c r="BK367" s="453">
        <v>2.58</v>
      </c>
      <c r="BL367" s="453">
        <v>3.92</v>
      </c>
      <c r="BM367" s="453">
        <v>0</v>
      </c>
      <c r="BN367" s="453">
        <v>18.100000000000001</v>
      </c>
      <c r="BO367" s="453">
        <v>1486.1</v>
      </c>
      <c r="BP367" s="453">
        <v>0</v>
      </c>
      <c r="BQ367" s="453">
        <v>19.3</v>
      </c>
      <c r="BR367" s="453">
        <v>19.3</v>
      </c>
      <c r="BS367" s="453">
        <v>0</v>
      </c>
      <c r="BT367" s="453">
        <v>27.7</v>
      </c>
      <c r="BU367" s="453">
        <v>21</v>
      </c>
      <c r="BV367" s="456">
        <v>409.1</v>
      </c>
      <c r="BW367" s="453">
        <v>1.02</v>
      </c>
      <c r="BX367" s="453">
        <v>1.47</v>
      </c>
      <c r="BY367" s="456">
        <v>0.89</v>
      </c>
      <c r="BZ367" s="456">
        <v>14.5</v>
      </c>
      <c r="CA367" s="456">
        <v>30.8</v>
      </c>
      <c r="CB367" s="456">
        <v>13.08</v>
      </c>
      <c r="CC367" s="456">
        <v>9.07</v>
      </c>
      <c r="CD367" s="456">
        <v>13.28</v>
      </c>
      <c r="CE367" s="456">
        <v>17.47</v>
      </c>
      <c r="CF367" s="456">
        <v>12.53</v>
      </c>
      <c r="CG367" s="456">
        <v>528.29999999999995</v>
      </c>
      <c r="CH367" s="456">
        <v>2.2999999999999998</v>
      </c>
      <c r="CI367" s="456">
        <v>2.8</v>
      </c>
      <c r="CJ367" s="456">
        <v>179.6</v>
      </c>
      <c r="CK367" s="456">
        <v>374.6</v>
      </c>
      <c r="CL367" s="456">
        <v>534.29999999999995</v>
      </c>
      <c r="CM367" s="456">
        <v>13.1</v>
      </c>
      <c r="CN367" s="456">
        <v>1.76</v>
      </c>
      <c r="CO367" s="453">
        <v>0</v>
      </c>
      <c r="CP367" s="453">
        <v>15.91</v>
      </c>
      <c r="CQ367" s="453">
        <v>43</v>
      </c>
      <c r="CR367" s="456">
        <v>0</v>
      </c>
      <c r="CS367" s="456">
        <v>0</v>
      </c>
      <c r="CT367" s="456">
        <v>0</v>
      </c>
      <c r="CU367" s="456">
        <v>0</v>
      </c>
      <c r="CV367" s="481">
        <v>436.66666666666669</v>
      </c>
      <c r="CW367" s="481">
        <v>646.82291666666663</v>
      </c>
      <c r="CX367" s="481">
        <v>398.08333333333331</v>
      </c>
      <c r="CY367" s="481">
        <v>1075.75</v>
      </c>
      <c r="CZ367" s="456"/>
      <c r="DA367" s="456"/>
      <c r="DB367" s="456"/>
      <c r="DC367" s="456"/>
      <c r="DD367" s="456"/>
      <c r="DE367" s="423"/>
      <c r="DF367" s="423"/>
      <c r="DG367" s="3"/>
      <c r="DH367" s="423">
        <v>0</v>
      </c>
      <c r="DI367" s="423">
        <v>0</v>
      </c>
      <c r="DJ367" s="423">
        <v>1.08</v>
      </c>
      <c r="DK367" s="3"/>
      <c r="DL367" s="423"/>
      <c r="DM367" s="423"/>
      <c r="DN367" s="423"/>
      <c r="DO367" s="423"/>
      <c r="DP367" s="423"/>
      <c r="DQ367" s="423"/>
      <c r="DR367" s="423"/>
      <c r="DS367" s="423"/>
      <c r="DT367" s="423"/>
      <c r="DU367" s="423"/>
      <c r="DV367" s="423"/>
      <c r="DW367" s="423"/>
      <c r="DX367" s="423"/>
      <c r="DY367" s="423"/>
      <c r="DZ367" s="423"/>
      <c r="EA367" s="423"/>
      <c r="EB367" s="423"/>
      <c r="EC367" s="423"/>
      <c r="ED367" s="423"/>
      <c r="EE367" s="456">
        <v>0</v>
      </c>
      <c r="EF367" s="456">
        <v>2</v>
      </c>
      <c r="EG367" s="456">
        <v>6.5</v>
      </c>
      <c r="EH367" s="423"/>
      <c r="EI367" s="423"/>
      <c r="EJ367" s="423"/>
      <c r="EK367" s="423"/>
      <c r="EL367" s="423"/>
      <c r="EM367" s="423"/>
      <c r="EN367" s="423"/>
      <c r="EO367" s="3"/>
      <c r="EP367" s="3"/>
      <c r="EQ367" s="3" t="s">
        <v>743</v>
      </c>
      <c r="ER367" s="3">
        <v>1</v>
      </c>
      <c r="ES367" s="3">
        <v>4</v>
      </c>
      <c r="ET367" s="3">
        <v>40</v>
      </c>
      <c r="EU367" s="416">
        <v>3960</v>
      </c>
      <c r="EV367" s="3">
        <v>45</v>
      </c>
      <c r="EW367" s="425">
        <v>7543197</v>
      </c>
      <c r="EX367" s="425">
        <v>49802</v>
      </c>
      <c r="EY367" s="666">
        <v>19.489999999999998</v>
      </c>
      <c r="EZ367" s="666">
        <v>19.48</v>
      </c>
      <c r="FA367" s="666">
        <v>0</v>
      </c>
      <c r="FB367" s="666">
        <v>1.42</v>
      </c>
      <c r="FC367" s="666">
        <v>1.41</v>
      </c>
      <c r="FD367" s="666">
        <v>0.95499999999999996</v>
      </c>
      <c r="FE367" s="666">
        <v>0.98</v>
      </c>
      <c r="FF367" s="666">
        <v>55</v>
      </c>
      <c r="FG367" s="666">
        <v>1.1399999999999999</v>
      </c>
      <c r="FH367" s="666">
        <v>0.51200000000000001</v>
      </c>
      <c r="FI367" s="666">
        <v>1</v>
      </c>
      <c r="FJ367" s="666">
        <v>7.99</v>
      </c>
      <c r="FK367" s="666">
        <v>7.99</v>
      </c>
      <c r="FL367" s="413">
        <v>8.0500000000000007</v>
      </c>
      <c r="FM367" s="413">
        <v>7.8</v>
      </c>
      <c r="FN367" s="413">
        <v>0</v>
      </c>
    </row>
    <row r="368" spans="1:170" s="416" customFormat="1" ht="15">
      <c r="A368" s="425" t="s">
        <v>5</v>
      </c>
      <c r="B368" s="426">
        <v>40897</v>
      </c>
      <c r="C368" s="418">
        <v>0</v>
      </c>
      <c r="D368" s="419">
        <v>0.28999999999999998</v>
      </c>
      <c r="E368" s="199">
        <v>0</v>
      </c>
      <c r="F368" s="199">
        <v>38</v>
      </c>
      <c r="G368" s="199">
        <v>0.6</v>
      </c>
      <c r="H368" s="420">
        <v>1.1599999999999999</v>
      </c>
      <c r="I368" s="420">
        <v>94.88</v>
      </c>
      <c r="J368" s="421" t="s">
        <v>742</v>
      </c>
      <c r="K368" s="422">
        <v>0.79</v>
      </c>
      <c r="L368" s="199">
        <v>0</v>
      </c>
      <c r="M368" s="199">
        <v>19.399999999999999</v>
      </c>
      <c r="N368" s="199" t="s">
        <v>742</v>
      </c>
      <c r="O368" s="199">
        <v>0</v>
      </c>
      <c r="P368" s="199">
        <v>1.6</v>
      </c>
      <c r="Q368" s="199">
        <v>2.0263664344291241</v>
      </c>
      <c r="R368" s="199">
        <v>932.19826684280042</v>
      </c>
      <c r="S368" s="199" t="s">
        <v>742</v>
      </c>
      <c r="T368" s="199">
        <v>7.99</v>
      </c>
      <c r="U368" s="199" t="s">
        <v>742</v>
      </c>
      <c r="V368" s="199">
        <v>0.8</v>
      </c>
      <c r="W368" s="199" t="e">
        <v>#VALUE!</v>
      </c>
      <c r="X368" s="423">
        <v>43.88000000000001</v>
      </c>
      <c r="Y368" s="199">
        <v>28.69</v>
      </c>
      <c r="Z368" s="199">
        <v>25.82</v>
      </c>
      <c r="AA368" s="420">
        <v>28.81</v>
      </c>
      <c r="AB368" s="420">
        <v>26.1</v>
      </c>
      <c r="AC368" s="732">
        <f t="shared" si="5"/>
        <v>54.91</v>
      </c>
      <c r="AD368" s="424"/>
      <c r="AE368" s="424"/>
      <c r="AF368" s="424"/>
      <c r="AG368" s="424"/>
      <c r="AH368" s="424"/>
      <c r="AI368" s="424"/>
      <c r="AJ368" s="2"/>
      <c r="AK368" s="2"/>
      <c r="AL368" s="2"/>
      <c r="AM368" s="2"/>
      <c r="AN368" s="2"/>
      <c r="AO368" s="415"/>
      <c r="AP368" s="2"/>
      <c r="AQ368" s="421"/>
      <c r="AR368" s="755">
        <v>0</v>
      </c>
      <c r="AS368" s="483">
        <v>11.9</v>
      </c>
      <c r="AT368" s="755">
        <v>0</v>
      </c>
      <c r="AU368" s="483">
        <v>30</v>
      </c>
      <c r="AV368" s="484">
        <v>250.8</v>
      </c>
      <c r="AW368" s="484">
        <v>314.60000000000002</v>
      </c>
      <c r="AX368" s="453">
        <v>0</v>
      </c>
      <c r="AY368" s="734">
        <v>0</v>
      </c>
      <c r="AZ368" s="734">
        <v>0</v>
      </c>
      <c r="BA368" s="734">
        <v>0</v>
      </c>
      <c r="BB368" s="453">
        <v>0</v>
      </c>
      <c r="BC368" s="453">
        <v>0.5</v>
      </c>
      <c r="BD368" s="453">
        <v>1.5</v>
      </c>
      <c r="BE368" s="734">
        <v>0</v>
      </c>
      <c r="BF368" s="453">
        <v>0</v>
      </c>
      <c r="BG368" s="453">
        <v>0</v>
      </c>
      <c r="BH368" s="734">
        <v>0</v>
      </c>
      <c r="BI368" s="453">
        <v>0</v>
      </c>
      <c r="BJ368" s="453">
        <v>24.1</v>
      </c>
      <c r="BK368" s="453">
        <v>3.09</v>
      </c>
      <c r="BL368" s="453">
        <v>3.47</v>
      </c>
      <c r="BM368" s="453">
        <v>0</v>
      </c>
      <c r="BN368" s="453">
        <v>17.399999999999999</v>
      </c>
      <c r="BO368" s="453">
        <v>1133.0999999999999</v>
      </c>
      <c r="BP368" s="453">
        <v>3.8</v>
      </c>
      <c r="BQ368" s="453">
        <v>19.8</v>
      </c>
      <c r="BR368" s="453">
        <v>19.7</v>
      </c>
      <c r="BS368" s="453">
        <v>0</v>
      </c>
      <c r="BT368" s="453">
        <v>27.8</v>
      </c>
      <c r="BU368" s="453">
        <v>21.1</v>
      </c>
      <c r="BV368" s="456">
        <v>391</v>
      </c>
      <c r="BW368" s="453">
        <v>0.91</v>
      </c>
      <c r="BX368" s="453">
        <v>1.43</v>
      </c>
      <c r="BY368" s="456">
        <v>0.9</v>
      </c>
      <c r="BZ368" s="456">
        <v>14.72</v>
      </c>
      <c r="CA368" s="456">
        <v>31.5</v>
      </c>
      <c r="CB368" s="456">
        <v>12.44</v>
      </c>
      <c r="CC368" s="456">
        <v>8.9700000000000006</v>
      </c>
      <c r="CD368" s="456">
        <v>13.2</v>
      </c>
      <c r="CE368" s="456">
        <v>17.34</v>
      </c>
      <c r="CF368" s="456">
        <v>12.55</v>
      </c>
      <c r="CG368" s="456">
        <v>561.1</v>
      </c>
      <c r="CH368" s="456">
        <v>2.2999999999999998</v>
      </c>
      <c r="CI368" s="456">
        <v>2.7</v>
      </c>
      <c r="CJ368" s="456">
        <v>192.5</v>
      </c>
      <c r="CK368" s="456">
        <v>364.1</v>
      </c>
      <c r="CL368" s="456">
        <v>534.4</v>
      </c>
      <c r="CM368" s="456">
        <v>12.5</v>
      </c>
      <c r="CN368" s="456">
        <v>1.69</v>
      </c>
      <c r="CO368" s="453">
        <v>0</v>
      </c>
      <c r="CP368" s="453">
        <v>15.04</v>
      </c>
      <c r="CQ368" s="453">
        <v>43</v>
      </c>
      <c r="CR368" s="456">
        <v>0</v>
      </c>
      <c r="CS368" s="456">
        <v>0</v>
      </c>
      <c r="CT368" s="456">
        <v>0</v>
      </c>
      <c r="CU368" s="456">
        <v>0</v>
      </c>
      <c r="CV368" s="481">
        <v>457.16666666666669</v>
      </c>
      <c r="CW368" s="481">
        <v>641.95833333333337</v>
      </c>
      <c r="CX368" s="481">
        <v>419.08333333333331</v>
      </c>
      <c r="CY368" s="481">
        <v>1075.76</v>
      </c>
      <c r="CZ368" s="456"/>
      <c r="DA368" s="456"/>
      <c r="DB368" s="456"/>
      <c r="DC368" s="456"/>
      <c r="DD368" s="456"/>
      <c r="DE368" s="423"/>
      <c r="DF368" s="423"/>
      <c r="DG368" s="3"/>
      <c r="DH368" s="423">
        <v>0</v>
      </c>
      <c r="DI368" s="423">
        <v>0</v>
      </c>
      <c r="DJ368" s="423">
        <v>1.05</v>
      </c>
      <c r="DK368" s="3"/>
      <c r="DL368" s="423"/>
      <c r="DM368" s="423"/>
      <c r="DN368" s="423"/>
      <c r="DO368" s="423"/>
      <c r="DP368" s="423"/>
      <c r="DQ368" s="423"/>
      <c r="DR368" s="423"/>
      <c r="DS368" s="423"/>
      <c r="DT368" s="423"/>
      <c r="DU368" s="423"/>
      <c r="DV368" s="423"/>
      <c r="DW368" s="423"/>
      <c r="DX368" s="423"/>
      <c r="DY368" s="423"/>
      <c r="DZ368" s="423"/>
      <c r="EA368" s="423"/>
      <c r="EB368" s="423"/>
      <c r="EC368" s="423"/>
      <c r="ED368" s="423"/>
      <c r="EE368" s="456">
        <v>0</v>
      </c>
      <c r="EF368" s="456">
        <v>2</v>
      </c>
      <c r="EG368" s="456">
        <v>6.5</v>
      </c>
      <c r="EH368" s="423"/>
      <c r="EI368" s="423"/>
      <c r="EJ368" s="423"/>
      <c r="EK368" s="423"/>
      <c r="EL368" s="423"/>
      <c r="EM368" s="423"/>
      <c r="EN368" s="423"/>
      <c r="EO368" s="3"/>
      <c r="EP368" s="3"/>
      <c r="EQ368" s="3" t="s">
        <v>743</v>
      </c>
      <c r="ER368" s="3">
        <v>1</v>
      </c>
      <c r="ES368" s="3">
        <v>4</v>
      </c>
      <c r="ET368" s="3">
        <v>4000</v>
      </c>
      <c r="EU368" s="416">
        <v>3910</v>
      </c>
      <c r="EV368" s="3">
        <v>30</v>
      </c>
      <c r="EW368" s="425">
        <v>7545278</v>
      </c>
      <c r="EX368" s="425">
        <v>51214</v>
      </c>
      <c r="EY368" s="666">
        <v>19.850000000000001</v>
      </c>
      <c r="EZ368" s="666">
        <v>19.84</v>
      </c>
      <c r="FA368" s="666">
        <v>0</v>
      </c>
      <c r="FB368" s="666">
        <v>1.48</v>
      </c>
      <c r="FC368" s="666">
        <v>1.36</v>
      </c>
      <c r="FD368" s="666">
        <v>0.94899999999999995</v>
      </c>
      <c r="FE368" s="666">
        <v>0.89</v>
      </c>
      <c r="FF368" s="666">
        <v>50</v>
      </c>
      <c r="FG368" s="666">
        <v>1.31</v>
      </c>
      <c r="FH368" s="666">
        <v>0.47099999999999997</v>
      </c>
      <c r="FI368" s="666">
        <v>0.83</v>
      </c>
      <c r="FJ368" s="666">
        <v>8</v>
      </c>
      <c r="FK368" s="666">
        <v>8</v>
      </c>
      <c r="FL368" s="413">
        <v>7.97</v>
      </c>
      <c r="FM368" s="413">
        <v>7.8</v>
      </c>
      <c r="FN368" s="413">
        <v>0</v>
      </c>
    </row>
    <row r="369" spans="1:170" s="416" customFormat="1" ht="15">
      <c r="A369" s="425" t="s">
        <v>6</v>
      </c>
      <c r="B369" s="426">
        <v>40898</v>
      </c>
      <c r="C369" s="418">
        <v>0</v>
      </c>
      <c r="D369" s="419">
        <v>0</v>
      </c>
      <c r="E369" s="199">
        <v>0</v>
      </c>
      <c r="F369" s="199">
        <v>31</v>
      </c>
      <c r="G369" s="199">
        <v>0.6</v>
      </c>
      <c r="H369" s="420">
        <v>1.2</v>
      </c>
      <c r="I369" s="420">
        <v>94.5</v>
      </c>
      <c r="J369" s="421" t="s">
        <v>742</v>
      </c>
      <c r="K369" s="422">
        <v>1.1000000000000001</v>
      </c>
      <c r="L369" s="199">
        <v>0</v>
      </c>
      <c r="M369" s="199">
        <v>19.3</v>
      </c>
      <c r="N369" s="199" t="s">
        <v>742</v>
      </c>
      <c r="O369" s="199" t="s">
        <v>742</v>
      </c>
      <c r="P369" s="199">
        <v>1.64</v>
      </c>
      <c r="Q369" s="199">
        <v>1.996617132284696</v>
      </c>
      <c r="R369" s="199">
        <v>897.86434874504619</v>
      </c>
      <c r="S369" s="199" t="s">
        <v>742</v>
      </c>
      <c r="T369" s="199">
        <v>8.06</v>
      </c>
      <c r="U369" s="199" t="s">
        <v>742</v>
      </c>
      <c r="V369" s="199">
        <v>0.79</v>
      </c>
      <c r="W369" s="199" t="e">
        <v>#VALUE!</v>
      </c>
      <c r="X369" s="423">
        <v>39.739999999999995</v>
      </c>
      <c r="Y369" s="199">
        <v>29.09</v>
      </c>
      <c r="Z369" s="199">
        <v>26.4</v>
      </c>
      <c r="AA369" s="420">
        <v>28.899999999994179</v>
      </c>
      <c r="AB369" s="420">
        <v>24.99</v>
      </c>
      <c r="AC369" s="732">
        <f t="shared" si="5"/>
        <v>53.889999999994174</v>
      </c>
      <c r="AD369" s="424"/>
      <c r="AE369" s="424"/>
      <c r="AF369" s="424"/>
      <c r="AG369" s="424"/>
      <c r="AH369" s="424"/>
      <c r="AI369" s="424"/>
      <c r="AJ369" s="2"/>
      <c r="AK369" s="2"/>
      <c r="AL369" s="2"/>
      <c r="AM369" s="2"/>
      <c r="AN369" s="2"/>
      <c r="AO369" s="415"/>
      <c r="AP369" s="2"/>
      <c r="AQ369" s="421"/>
      <c r="AR369" s="755">
        <v>0</v>
      </c>
      <c r="AS369" s="483">
        <v>19.899999999999999</v>
      </c>
      <c r="AT369" s="755">
        <v>0</v>
      </c>
      <c r="AU369" s="483">
        <v>30</v>
      </c>
      <c r="AV369" s="484">
        <v>365.8</v>
      </c>
      <c r="AW369" s="484">
        <v>377.1</v>
      </c>
      <c r="AX369" s="453">
        <v>0</v>
      </c>
      <c r="AY369" s="734">
        <v>0</v>
      </c>
      <c r="AZ369" s="734">
        <v>0</v>
      </c>
      <c r="BA369" s="734">
        <v>0</v>
      </c>
      <c r="BB369" s="453">
        <v>0</v>
      </c>
      <c r="BC369" s="453">
        <v>0.5</v>
      </c>
      <c r="BD369" s="453">
        <v>1.5</v>
      </c>
      <c r="BE369" s="734">
        <v>0</v>
      </c>
      <c r="BF369" s="453">
        <v>0</v>
      </c>
      <c r="BG369" s="453">
        <v>0</v>
      </c>
      <c r="BH369" s="734">
        <v>0</v>
      </c>
      <c r="BI369" s="453">
        <v>0</v>
      </c>
      <c r="BJ369" s="453">
        <v>23.1</v>
      </c>
      <c r="BK369" s="453">
        <v>3.18</v>
      </c>
      <c r="BL369" s="453">
        <v>3.37</v>
      </c>
      <c r="BM369" s="453">
        <v>0</v>
      </c>
      <c r="BN369" s="453">
        <v>16.420000000000002</v>
      </c>
      <c r="BO369" s="453">
        <v>1131.8</v>
      </c>
      <c r="BP369" s="453">
        <v>0</v>
      </c>
      <c r="BQ369" s="453">
        <v>20</v>
      </c>
      <c r="BR369" s="453">
        <v>20</v>
      </c>
      <c r="BS369" s="453">
        <v>0</v>
      </c>
      <c r="BT369" s="453">
        <v>27.6</v>
      </c>
      <c r="BU369" s="453">
        <v>22</v>
      </c>
      <c r="BV369" s="456">
        <v>572.79999999999995</v>
      </c>
      <c r="BW369" s="453">
        <v>0.85</v>
      </c>
      <c r="BX369" s="453">
        <v>1.44</v>
      </c>
      <c r="BY369" s="456">
        <v>0.89</v>
      </c>
      <c r="BZ369" s="456">
        <v>15</v>
      </c>
      <c r="CA369" s="456">
        <v>31.6</v>
      </c>
      <c r="CB369" s="456">
        <v>12.93</v>
      </c>
      <c r="CC369" s="456">
        <v>9.39</v>
      </c>
      <c r="CD369" s="456">
        <v>13.62</v>
      </c>
      <c r="CE369" s="456">
        <v>17.78</v>
      </c>
      <c r="CF369" s="456">
        <v>12.57</v>
      </c>
      <c r="CG369" s="456">
        <v>490.9</v>
      </c>
      <c r="CH369" s="456">
        <v>2.1</v>
      </c>
      <c r="CI369" s="456">
        <v>3.1</v>
      </c>
      <c r="CJ369" s="456">
        <v>175.8</v>
      </c>
      <c r="CK369" s="456">
        <v>377.2</v>
      </c>
      <c r="CL369" s="456">
        <v>512.20000000000005</v>
      </c>
      <c r="CM369" s="456">
        <v>12</v>
      </c>
      <c r="CN369" s="456">
        <v>1.64</v>
      </c>
      <c r="CO369" s="453">
        <v>0</v>
      </c>
      <c r="CP369" s="453">
        <v>14.82</v>
      </c>
      <c r="CQ369" s="453">
        <v>43</v>
      </c>
      <c r="CR369" s="456">
        <v>0</v>
      </c>
      <c r="CS369" s="456">
        <v>0</v>
      </c>
      <c r="CT369" s="456">
        <v>0</v>
      </c>
      <c r="CU369" s="456">
        <v>0</v>
      </c>
      <c r="CV369" s="481">
        <v>465.66666666666669</v>
      </c>
      <c r="CW369" s="481">
        <v>660.1875</v>
      </c>
      <c r="CX369" s="481">
        <v>431.0625</v>
      </c>
      <c r="CY369" s="481">
        <v>1075.69</v>
      </c>
      <c r="CZ369" s="456"/>
      <c r="DA369" s="456"/>
      <c r="DB369" s="456"/>
      <c r="DC369" s="456"/>
      <c r="DD369" s="456"/>
      <c r="DE369" s="423"/>
      <c r="DF369" s="423"/>
      <c r="DG369" s="3"/>
      <c r="DH369" s="423">
        <v>0</v>
      </c>
      <c r="DI369" s="423">
        <v>0</v>
      </c>
      <c r="DJ369" s="423">
        <v>0.93</v>
      </c>
      <c r="DK369" s="3"/>
      <c r="DL369" s="423"/>
      <c r="DM369" s="423"/>
      <c r="DN369" s="423"/>
      <c r="DO369" s="423"/>
      <c r="DP369" s="423"/>
      <c r="DQ369" s="423"/>
      <c r="DR369" s="423"/>
      <c r="DS369" s="423"/>
      <c r="DT369" s="423"/>
      <c r="DU369" s="423"/>
      <c r="DV369" s="423"/>
      <c r="DW369" s="423"/>
      <c r="DX369" s="423"/>
      <c r="DY369" s="423"/>
      <c r="DZ369" s="423"/>
      <c r="EA369" s="423"/>
      <c r="EB369" s="423"/>
      <c r="EC369" s="423"/>
      <c r="ED369" s="423"/>
      <c r="EE369" s="456">
        <v>0</v>
      </c>
      <c r="EF369" s="456">
        <v>2</v>
      </c>
      <c r="EG369" s="456">
        <v>6.5</v>
      </c>
      <c r="EH369" s="423"/>
      <c r="EI369" s="423"/>
      <c r="EJ369" s="423"/>
      <c r="EK369" s="423"/>
      <c r="EL369" s="423"/>
      <c r="EM369" s="423"/>
      <c r="EN369" s="423"/>
      <c r="EO369" s="3"/>
      <c r="EP369" s="3"/>
      <c r="EQ369" s="3" t="s">
        <v>743</v>
      </c>
      <c r="ER369" s="3">
        <v>1</v>
      </c>
      <c r="ES369" s="3">
        <v>4</v>
      </c>
      <c r="ET369" s="3">
        <v>4000</v>
      </c>
      <c r="EU369" s="416">
        <v>3840</v>
      </c>
      <c r="EV369" s="3">
        <v>100</v>
      </c>
      <c r="EW369" s="425">
        <v>7547606</v>
      </c>
      <c r="EX369" s="425">
        <v>52770</v>
      </c>
      <c r="EY369" s="666">
        <v>20.100000000000001</v>
      </c>
      <c r="EZ369" s="666">
        <v>20.079999999999998</v>
      </c>
      <c r="FA369" s="666">
        <v>0</v>
      </c>
      <c r="FB369" s="666">
        <v>1.41</v>
      </c>
      <c r="FC369" s="666">
        <v>1.42</v>
      </c>
      <c r="FD369" s="666">
        <v>0.98</v>
      </c>
      <c r="FE369" s="666">
        <v>0.94</v>
      </c>
      <c r="FF369" s="666">
        <v>70</v>
      </c>
      <c r="FG369" s="666">
        <v>0.87</v>
      </c>
      <c r="FH369" s="666">
        <v>0.47</v>
      </c>
      <c r="FI369" s="666">
        <v>0.79</v>
      </c>
      <c r="FJ369" s="666">
        <v>8.07</v>
      </c>
      <c r="FK369" s="666">
        <v>8.1</v>
      </c>
      <c r="FL369" s="413">
        <v>7.86</v>
      </c>
      <c r="FM369" s="413">
        <v>7.5</v>
      </c>
      <c r="FN369" s="413">
        <v>0</v>
      </c>
    </row>
    <row r="370" spans="1:170" s="416" customFormat="1" ht="15">
      <c r="A370" s="425" t="s">
        <v>7</v>
      </c>
      <c r="B370" s="426">
        <v>40899</v>
      </c>
      <c r="C370" s="418">
        <v>0</v>
      </c>
      <c r="D370" s="419">
        <v>0</v>
      </c>
      <c r="E370" s="199">
        <v>0</v>
      </c>
      <c r="F370" s="199">
        <v>37</v>
      </c>
      <c r="G370" s="199">
        <v>0.6</v>
      </c>
      <c r="H370" s="420">
        <v>1.0900000000000001</v>
      </c>
      <c r="I370" s="420">
        <v>95</v>
      </c>
      <c r="J370" s="421" t="s">
        <v>742</v>
      </c>
      <c r="K370" s="422">
        <v>0.89</v>
      </c>
      <c r="L370" s="199">
        <v>0</v>
      </c>
      <c r="M370" s="199">
        <v>19.2</v>
      </c>
      <c r="N370" s="199" t="s">
        <v>742</v>
      </c>
      <c r="O370" s="199" t="s">
        <v>742</v>
      </c>
      <c r="P370" s="199">
        <v>1.6</v>
      </c>
      <c r="Q370" s="199">
        <v>2.0165633573823794</v>
      </c>
      <c r="R370" s="199">
        <v>874.54319682959033</v>
      </c>
      <c r="S370" s="199" t="s">
        <v>742</v>
      </c>
      <c r="T370" s="199">
        <v>8.1300000000000008</v>
      </c>
      <c r="U370" s="199" t="s">
        <v>742</v>
      </c>
      <c r="V370" s="199">
        <v>0.78</v>
      </c>
      <c r="W370" s="199" t="e">
        <v>#VALUE!</v>
      </c>
      <c r="X370" s="423">
        <v>42.8</v>
      </c>
      <c r="Y370" s="199">
        <v>28.9</v>
      </c>
      <c r="Z370" s="199">
        <v>23.63</v>
      </c>
      <c r="AA370" s="420">
        <v>29</v>
      </c>
      <c r="AB370" s="420">
        <v>24</v>
      </c>
      <c r="AC370" s="732">
        <f t="shared" si="5"/>
        <v>53</v>
      </c>
      <c r="AD370" s="424"/>
      <c r="AE370" s="424"/>
      <c r="AF370" s="424"/>
      <c r="AG370" s="424"/>
      <c r="AH370" s="424"/>
      <c r="AI370" s="424"/>
      <c r="AJ370" s="2"/>
      <c r="AK370" s="2"/>
      <c r="AL370" s="2"/>
      <c r="AM370" s="2"/>
      <c r="AN370" s="2"/>
      <c r="AO370" s="415"/>
      <c r="AP370" s="2"/>
      <c r="AQ370" s="421"/>
      <c r="AR370" s="755">
        <v>0</v>
      </c>
      <c r="AS370" s="483">
        <v>10.8</v>
      </c>
      <c r="AT370" s="755">
        <v>0</v>
      </c>
      <c r="AU370" s="483">
        <v>30</v>
      </c>
      <c r="AV370" s="484">
        <v>380.6</v>
      </c>
      <c r="AW370" s="484">
        <v>374.2</v>
      </c>
      <c r="AX370" s="453">
        <v>0</v>
      </c>
      <c r="AY370" s="734">
        <v>0</v>
      </c>
      <c r="AZ370" s="734">
        <v>0</v>
      </c>
      <c r="BA370" s="734">
        <v>0</v>
      </c>
      <c r="BB370" s="453">
        <v>0</v>
      </c>
      <c r="BC370" s="453">
        <v>0.4</v>
      </c>
      <c r="BD370" s="453">
        <v>1.5</v>
      </c>
      <c r="BE370" s="734">
        <v>0</v>
      </c>
      <c r="BF370" s="453">
        <v>0.15</v>
      </c>
      <c r="BG370" s="453">
        <v>0</v>
      </c>
      <c r="BH370" s="734">
        <v>0</v>
      </c>
      <c r="BI370" s="453">
        <v>0</v>
      </c>
      <c r="BJ370" s="453">
        <v>22.1</v>
      </c>
      <c r="BK370" s="453">
        <v>2.61</v>
      </c>
      <c r="BL370" s="453">
        <v>3.94</v>
      </c>
      <c r="BM370" s="453">
        <v>0</v>
      </c>
      <c r="BN370" s="453">
        <v>15.4</v>
      </c>
      <c r="BO370" s="453">
        <v>1489.9</v>
      </c>
      <c r="BP370" s="453">
        <v>0</v>
      </c>
      <c r="BQ370" s="453">
        <v>19.600000000000001</v>
      </c>
      <c r="BR370" s="453">
        <v>19.600000000000001</v>
      </c>
      <c r="BS370" s="453">
        <v>0</v>
      </c>
      <c r="BT370" s="453">
        <v>27.6</v>
      </c>
      <c r="BU370" s="453">
        <v>25.2</v>
      </c>
      <c r="BV370" s="456">
        <v>430.5</v>
      </c>
      <c r="BW370" s="453">
        <v>0.86</v>
      </c>
      <c r="BX370" s="453">
        <v>1.43</v>
      </c>
      <c r="BY370" s="456">
        <v>0.9</v>
      </c>
      <c r="BZ370" s="456">
        <v>15.5</v>
      </c>
      <c r="CA370" s="456">
        <v>31.2</v>
      </c>
      <c r="CB370" s="456">
        <v>12.1</v>
      </c>
      <c r="CC370" s="456">
        <v>9.6</v>
      </c>
      <c r="CD370" s="456">
        <v>13.7</v>
      </c>
      <c r="CE370" s="456">
        <v>18.3</v>
      </c>
      <c r="CF370" s="456">
        <v>13.1</v>
      </c>
      <c r="CG370" s="456">
        <v>527.5</v>
      </c>
      <c r="CH370" s="456">
        <v>2.9</v>
      </c>
      <c r="CI370" s="456">
        <v>3.6</v>
      </c>
      <c r="CJ370" s="456">
        <v>154.4</v>
      </c>
      <c r="CK370" s="456">
        <v>378.4</v>
      </c>
      <c r="CL370" s="456">
        <v>468.3</v>
      </c>
      <c r="CM370" s="456">
        <v>12.5</v>
      </c>
      <c r="CN370" s="456">
        <v>1.7</v>
      </c>
      <c r="CO370" s="453">
        <v>0</v>
      </c>
      <c r="CP370" s="453">
        <v>15.92</v>
      </c>
      <c r="CQ370" s="453">
        <v>42</v>
      </c>
      <c r="CR370" s="456">
        <v>0</v>
      </c>
      <c r="CS370" s="456">
        <v>0</v>
      </c>
      <c r="CT370" s="456">
        <v>0</v>
      </c>
      <c r="CU370" s="456">
        <v>0</v>
      </c>
      <c r="CV370" s="481">
        <v>449.25</v>
      </c>
      <c r="CW370" s="481">
        <v>646.91666666666663</v>
      </c>
      <c r="CX370" s="481">
        <v>416.90625</v>
      </c>
      <c r="CY370" s="481">
        <v>1075.47</v>
      </c>
      <c r="CZ370" s="456"/>
      <c r="DA370" s="456"/>
      <c r="DB370" s="456"/>
      <c r="DC370" s="456"/>
      <c r="DD370" s="456"/>
      <c r="DE370" s="423"/>
      <c r="DF370" s="423"/>
      <c r="DG370" s="3"/>
      <c r="DH370" s="423">
        <v>0</v>
      </c>
      <c r="DI370" s="423">
        <v>0</v>
      </c>
      <c r="DJ370" s="423">
        <v>0.95</v>
      </c>
      <c r="DK370" s="3"/>
      <c r="DL370" s="423"/>
      <c r="DM370" s="423"/>
      <c r="DN370" s="423"/>
      <c r="DO370" s="423"/>
      <c r="DP370" s="423"/>
      <c r="DQ370" s="423"/>
      <c r="DR370" s="423"/>
      <c r="DS370" s="423"/>
      <c r="DT370" s="423"/>
      <c r="DU370" s="423"/>
      <c r="DV370" s="423"/>
      <c r="DW370" s="423"/>
      <c r="DX370" s="423"/>
      <c r="DY370" s="423"/>
      <c r="DZ370" s="423"/>
      <c r="EA370" s="423"/>
      <c r="EB370" s="423"/>
      <c r="EC370" s="423"/>
      <c r="ED370" s="423"/>
      <c r="EE370" s="456">
        <v>0</v>
      </c>
      <c r="EF370" s="456">
        <v>2</v>
      </c>
      <c r="EG370" s="456">
        <v>6.5</v>
      </c>
      <c r="EH370" s="423"/>
      <c r="EI370" s="423"/>
      <c r="EJ370" s="423"/>
      <c r="EK370" s="423"/>
      <c r="EL370" s="423"/>
      <c r="EM370" s="423"/>
      <c r="EN370" s="423"/>
      <c r="EO370" s="3"/>
      <c r="EP370" s="3"/>
      <c r="EQ370" s="3" t="s">
        <v>743</v>
      </c>
      <c r="ER370" s="3">
        <v>1</v>
      </c>
      <c r="ES370" s="3">
        <v>4</v>
      </c>
      <c r="ET370" s="3">
        <v>4000</v>
      </c>
      <c r="EU370" s="416">
        <v>3750</v>
      </c>
      <c r="EV370" s="3">
        <v>50</v>
      </c>
      <c r="EW370" s="425">
        <v>7550139</v>
      </c>
      <c r="EX370" s="425">
        <v>54246</v>
      </c>
      <c r="EY370" s="666">
        <v>19.7</v>
      </c>
      <c r="EZ370" s="666">
        <v>19.7</v>
      </c>
      <c r="FA370" s="666">
        <v>0</v>
      </c>
      <c r="FB370" s="666">
        <v>1.5</v>
      </c>
      <c r="FC370" s="666">
        <v>1.47</v>
      </c>
      <c r="FD370" s="666">
        <v>0.91</v>
      </c>
      <c r="FE370" s="666">
        <v>0.89</v>
      </c>
      <c r="FF370" s="666">
        <v>90</v>
      </c>
      <c r="FG370" s="666">
        <v>0.85</v>
      </c>
      <c r="FH370" s="666">
        <v>0.42</v>
      </c>
      <c r="FI370" s="666">
        <v>0.75</v>
      </c>
      <c r="FJ370" s="666">
        <v>8.02</v>
      </c>
      <c r="FK370" s="666">
        <v>8</v>
      </c>
      <c r="FL370" s="413">
        <v>8</v>
      </c>
      <c r="FM370" s="413">
        <v>7.5</v>
      </c>
      <c r="FN370" s="413">
        <v>0</v>
      </c>
    </row>
    <row r="371" spans="1:170" s="416" customFormat="1" ht="15">
      <c r="A371" s="425" t="s">
        <v>8</v>
      </c>
      <c r="B371" s="426">
        <v>40900</v>
      </c>
      <c r="C371" s="418">
        <v>0</v>
      </c>
      <c r="D371" s="419">
        <v>0.04</v>
      </c>
      <c r="E371" s="199">
        <v>0</v>
      </c>
      <c r="F371" s="199">
        <v>39.700000000000003</v>
      </c>
      <c r="G371" s="199">
        <v>0.5</v>
      </c>
      <c r="H371" s="420">
        <v>1.44</v>
      </c>
      <c r="I371" s="420">
        <v>94.8</v>
      </c>
      <c r="J371" s="421" t="s">
        <v>742</v>
      </c>
      <c r="K371" s="422">
        <v>0.87</v>
      </c>
      <c r="L371" s="199">
        <v>0</v>
      </c>
      <c r="M371" s="199">
        <v>19.100000000000001</v>
      </c>
      <c r="N371" s="199" t="s">
        <v>742</v>
      </c>
      <c r="O371" s="199">
        <v>0</v>
      </c>
      <c r="P371" s="199">
        <v>1.61</v>
      </c>
      <c r="Q371" s="199">
        <v>1.9891837053700965</v>
      </c>
      <c r="R371" s="199">
        <v>858.02404755614248</v>
      </c>
      <c r="S371" s="199" t="s">
        <v>742</v>
      </c>
      <c r="T371" s="199">
        <v>8.08</v>
      </c>
      <c r="U371" s="199" t="s">
        <v>742</v>
      </c>
      <c r="V371" s="199">
        <v>0.79</v>
      </c>
      <c r="W371" s="199" t="e">
        <v>#VALUE!</v>
      </c>
      <c r="X371" s="423">
        <v>45.14</v>
      </c>
      <c r="Y371" s="199">
        <v>29.12</v>
      </c>
      <c r="Z371" s="199">
        <v>24.9</v>
      </c>
      <c r="AA371" s="420">
        <v>28.240000000005239</v>
      </c>
      <c r="AB371" s="420">
        <v>23.819999999999709</v>
      </c>
      <c r="AC371" s="732">
        <f t="shared" si="5"/>
        <v>52.060000000004948</v>
      </c>
      <c r="AD371" s="424"/>
      <c r="AE371" s="424"/>
      <c r="AF371" s="424"/>
      <c r="AG371" s="424"/>
      <c r="AH371" s="424"/>
      <c r="AI371" s="424"/>
      <c r="AJ371" s="2"/>
      <c r="AK371" s="2"/>
      <c r="AL371" s="2"/>
      <c r="AM371" s="2"/>
      <c r="AN371" s="2"/>
      <c r="AO371" s="415"/>
      <c r="AP371" s="2"/>
      <c r="AQ371" s="421"/>
      <c r="AR371" s="755">
        <v>0</v>
      </c>
      <c r="AS371" s="483">
        <v>10.8</v>
      </c>
      <c r="AT371" s="755">
        <v>0</v>
      </c>
      <c r="AU371" s="483">
        <v>30</v>
      </c>
      <c r="AV371" s="484">
        <v>343.9</v>
      </c>
      <c r="AW371" s="484">
        <v>436.1</v>
      </c>
      <c r="AX371" s="453">
        <v>0</v>
      </c>
      <c r="AY371" s="734">
        <v>0</v>
      </c>
      <c r="AZ371" s="734">
        <v>0</v>
      </c>
      <c r="BA371" s="734">
        <v>0</v>
      </c>
      <c r="BB371" s="453">
        <v>0</v>
      </c>
      <c r="BC371" s="453">
        <v>0.17</v>
      </c>
      <c r="BD371" s="453">
        <v>1.5</v>
      </c>
      <c r="BE371" s="734">
        <v>0</v>
      </c>
      <c r="BF371" s="453">
        <v>0.5</v>
      </c>
      <c r="BG371" s="453">
        <v>0</v>
      </c>
      <c r="BH371" s="734">
        <v>0</v>
      </c>
      <c r="BI371" s="453">
        <v>0</v>
      </c>
      <c r="BJ371" s="453">
        <v>22</v>
      </c>
      <c r="BK371" s="453">
        <v>3.18</v>
      </c>
      <c r="BL371" s="453">
        <v>3.15</v>
      </c>
      <c r="BM371" s="453">
        <v>0</v>
      </c>
      <c r="BN371" s="453">
        <v>15.4</v>
      </c>
      <c r="BO371" s="453">
        <v>1032</v>
      </c>
      <c r="BP371" s="453">
        <v>0</v>
      </c>
      <c r="BQ371" s="453">
        <v>19.600000000000001</v>
      </c>
      <c r="BR371" s="453">
        <v>19.5</v>
      </c>
      <c r="BS371" s="453">
        <v>0</v>
      </c>
      <c r="BT371" s="453">
        <v>27.3</v>
      </c>
      <c r="BU371" s="453">
        <v>22.5</v>
      </c>
      <c r="BV371" s="456">
        <v>421.3</v>
      </c>
      <c r="BW371" s="453">
        <v>0.72</v>
      </c>
      <c r="BX371" s="453">
        <v>1.46</v>
      </c>
      <c r="BY371" s="456">
        <v>0.89</v>
      </c>
      <c r="BZ371" s="456">
        <v>15.11</v>
      </c>
      <c r="CA371" s="456">
        <v>31.8</v>
      </c>
      <c r="CB371" s="456">
        <v>14.73</v>
      </c>
      <c r="CC371" s="456">
        <v>9.4600000000000009</v>
      </c>
      <c r="CD371" s="456">
        <v>13.68</v>
      </c>
      <c r="CE371" s="456">
        <v>17.82</v>
      </c>
      <c r="CF371" s="456">
        <v>12.72</v>
      </c>
      <c r="CG371" s="456">
        <v>495.5</v>
      </c>
      <c r="CH371" s="456">
        <v>2</v>
      </c>
      <c r="CI371" s="456">
        <v>3.6</v>
      </c>
      <c r="CJ371" s="456">
        <v>156.9</v>
      </c>
      <c r="CK371" s="456">
        <v>385.1</v>
      </c>
      <c r="CL371" s="456">
        <v>467</v>
      </c>
      <c r="CM371" s="456">
        <v>12.4</v>
      </c>
      <c r="CN371" s="456">
        <v>1.71</v>
      </c>
      <c r="CO371" s="453">
        <v>0</v>
      </c>
      <c r="CP371" s="453">
        <v>15.82</v>
      </c>
      <c r="CQ371" s="453">
        <v>43</v>
      </c>
      <c r="CR371" s="456">
        <v>0</v>
      </c>
      <c r="CS371" s="456">
        <v>0</v>
      </c>
      <c r="CT371" s="456">
        <v>0</v>
      </c>
      <c r="CU371" s="456">
        <v>0</v>
      </c>
      <c r="CV371" s="481">
        <v>418.83333333333331</v>
      </c>
      <c r="CW371" s="481">
        <v>619.08333333333337</v>
      </c>
      <c r="CX371" s="481">
        <v>388.0625</v>
      </c>
      <c r="CY371" s="481">
        <v>1075.7</v>
      </c>
      <c r="CZ371" s="456"/>
      <c r="DA371" s="456"/>
      <c r="DB371" s="456"/>
      <c r="DC371" s="456"/>
      <c r="DD371" s="456"/>
      <c r="DE371" s="423"/>
      <c r="DF371" s="423"/>
      <c r="DG371" s="3"/>
      <c r="DH371" s="423">
        <v>0</v>
      </c>
      <c r="DI371" s="423">
        <v>0</v>
      </c>
      <c r="DJ371" s="423">
        <v>1.07</v>
      </c>
      <c r="DK371" s="3"/>
      <c r="DL371" s="423"/>
      <c r="DM371" s="423"/>
      <c r="DN371" s="423"/>
      <c r="DO371" s="423"/>
      <c r="DP371" s="423"/>
      <c r="DQ371" s="423"/>
      <c r="DR371" s="423"/>
      <c r="DS371" s="423"/>
      <c r="DT371" s="423"/>
      <c r="DU371" s="423"/>
      <c r="DV371" s="423"/>
      <c r="DW371" s="423"/>
      <c r="DX371" s="423"/>
      <c r="DY371" s="423"/>
      <c r="DZ371" s="423"/>
      <c r="EA371" s="423"/>
      <c r="EB371" s="423"/>
      <c r="EC371" s="423"/>
      <c r="ED371" s="423"/>
      <c r="EE371" s="456">
        <v>0</v>
      </c>
      <c r="EF371" s="456">
        <v>2</v>
      </c>
      <c r="EG371" s="456">
        <v>6.5</v>
      </c>
      <c r="EH371" s="423"/>
      <c r="EI371" s="423"/>
      <c r="EJ371" s="423"/>
      <c r="EK371" s="423"/>
      <c r="EL371" s="423"/>
      <c r="EM371" s="423"/>
      <c r="EN371" s="423"/>
      <c r="EO371" s="3"/>
      <c r="EP371" s="3"/>
      <c r="EQ371" s="3" t="s">
        <v>743</v>
      </c>
      <c r="ER371" s="3">
        <v>1</v>
      </c>
      <c r="ES371" s="3">
        <v>4</v>
      </c>
      <c r="ET371" s="3">
        <v>4000</v>
      </c>
      <c r="EU371" s="416">
        <v>3680</v>
      </c>
      <c r="EV371" s="3">
        <v>90</v>
      </c>
      <c r="EW371" s="425">
        <v>7552320</v>
      </c>
      <c r="EX371" s="425">
        <v>55738</v>
      </c>
      <c r="EY371" s="666">
        <v>19.8</v>
      </c>
      <c r="EZ371" s="666">
        <v>19.8</v>
      </c>
      <c r="FA371" s="666">
        <v>0</v>
      </c>
      <c r="FB371" s="666">
        <v>1.46</v>
      </c>
      <c r="FC371" s="666">
        <v>1.45</v>
      </c>
      <c r="FD371" s="666">
        <v>0.97</v>
      </c>
      <c r="FE371" s="666">
        <v>0.98</v>
      </c>
      <c r="FF371" s="666">
        <v>0.8</v>
      </c>
      <c r="FG371" s="666">
        <v>0.89</v>
      </c>
      <c r="FH371" s="666">
        <v>0.42</v>
      </c>
      <c r="FI371" s="666">
        <v>0.75</v>
      </c>
      <c r="FJ371" s="666">
        <v>8.1199999999999992</v>
      </c>
      <c r="FK371" s="666">
        <v>8.1</v>
      </c>
      <c r="FL371" s="413">
        <v>8.14</v>
      </c>
      <c r="FM371" s="413">
        <v>7.7</v>
      </c>
      <c r="FN371" s="413">
        <v>0</v>
      </c>
    </row>
    <row r="372" spans="1:170" s="416" customFormat="1" ht="15">
      <c r="A372" s="425" t="s">
        <v>9</v>
      </c>
      <c r="B372" s="426">
        <v>40901</v>
      </c>
      <c r="C372" s="418">
        <v>0</v>
      </c>
      <c r="D372" s="419">
        <v>0.06</v>
      </c>
      <c r="E372" s="199">
        <v>0</v>
      </c>
      <c r="F372" s="199">
        <v>50.3</v>
      </c>
      <c r="G372" s="199">
        <v>0.5</v>
      </c>
      <c r="H372" s="420">
        <v>1.0900000000000001</v>
      </c>
      <c r="I372" s="420">
        <v>95.1</v>
      </c>
      <c r="J372" s="421" t="s">
        <v>742</v>
      </c>
      <c r="K372" s="422">
        <v>0.73</v>
      </c>
      <c r="L372" s="199">
        <v>0</v>
      </c>
      <c r="M372" s="199">
        <v>19</v>
      </c>
      <c r="N372" s="199" t="s">
        <v>742</v>
      </c>
      <c r="O372" s="199">
        <v>0</v>
      </c>
      <c r="P372" s="199">
        <v>1.66</v>
      </c>
      <c r="Q372" s="199">
        <v>2.0158658645568437</v>
      </c>
      <c r="R372" s="199">
        <v>900.13168295904882</v>
      </c>
      <c r="S372" s="199" t="s">
        <v>742</v>
      </c>
      <c r="T372" s="199">
        <v>8.0299999999999994</v>
      </c>
      <c r="U372" s="199" t="s">
        <v>742</v>
      </c>
      <c r="V372" s="199">
        <v>0.79</v>
      </c>
      <c r="W372" s="199" t="e">
        <v>#VALUE!</v>
      </c>
      <c r="X372" s="423">
        <v>46.58</v>
      </c>
      <c r="Y372" s="199">
        <v>28.56</v>
      </c>
      <c r="Z372" s="199">
        <v>23.93</v>
      </c>
      <c r="AA372" s="420">
        <v>29.459999999991851</v>
      </c>
      <c r="AB372" s="420">
        <v>23.99</v>
      </c>
      <c r="AC372" s="732">
        <f t="shared" si="5"/>
        <v>53.449999999991846</v>
      </c>
      <c r="AD372" s="424"/>
      <c r="AE372" s="424"/>
      <c r="AF372" s="424"/>
      <c r="AG372" s="424"/>
      <c r="AH372" s="424"/>
      <c r="AI372" s="424"/>
      <c r="AJ372" s="2"/>
      <c r="AK372" s="2"/>
      <c r="AL372" s="2"/>
      <c r="AM372" s="2"/>
      <c r="AN372" s="2"/>
      <c r="AO372" s="415"/>
      <c r="AP372" s="2"/>
      <c r="AQ372" s="421"/>
      <c r="AR372" s="755">
        <v>0</v>
      </c>
      <c r="AS372" s="483">
        <v>21.9</v>
      </c>
      <c r="AT372" s="755">
        <v>0</v>
      </c>
      <c r="AU372" s="483">
        <v>30</v>
      </c>
      <c r="AV372" s="484">
        <v>516</v>
      </c>
      <c r="AW372" s="484">
        <v>528.70000000000005</v>
      </c>
      <c r="AX372" s="453">
        <v>0</v>
      </c>
      <c r="AY372" s="734">
        <v>0</v>
      </c>
      <c r="AZ372" s="734">
        <v>0</v>
      </c>
      <c r="BA372" s="734">
        <v>0</v>
      </c>
      <c r="BB372" s="453">
        <v>0</v>
      </c>
      <c r="BC372" s="453">
        <v>0.04</v>
      </c>
      <c r="BD372" s="453">
        <v>1.5</v>
      </c>
      <c r="BE372" s="734">
        <v>0</v>
      </c>
      <c r="BF372" s="453">
        <v>0.5</v>
      </c>
      <c r="BG372" s="453">
        <v>0</v>
      </c>
      <c r="BH372" s="734">
        <v>0</v>
      </c>
      <c r="BI372" s="453">
        <v>0</v>
      </c>
      <c r="BJ372" s="453">
        <v>21.9</v>
      </c>
      <c r="BK372" s="453">
        <v>3.18</v>
      </c>
      <c r="BL372" s="453">
        <v>3.37</v>
      </c>
      <c r="BM372" s="453">
        <v>0</v>
      </c>
      <c r="BN372" s="453">
        <v>15.3</v>
      </c>
      <c r="BO372" s="453">
        <v>1765</v>
      </c>
      <c r="BP372" s="453">
        <v>0</v>
      </c>
      <c r="BQ372" s="453">
        <v>19.399999999999999</v>
      </c>
      <c r="BR372" s="453">
        <v>19.399999999999999</v>
      </c>
      <c r="BS372" s="453">
        <v>0</v>
      </c>
      <c r="BT372" s="453">
        <v>27.1</v>
      </c>
      <c r="BU372" s="453">
        <v>22.1</v>
      </c>
      <c r="BV372" s="456">
        <v>438</v>
      </c>
      <c r="BW372" s="453">
        <v>0.78</v>
      </c>
      <c r="BX372" s="453">
        <v>1.49</v>
      </c>
      <c r="BY372" s="456">
        <v>0.96</v>
      </c>
      <c r="BZ372" s="456">
        <v>14.96</v>
      </c>
      <c r="CA372" s="456">
        <v>31.7</v>
      </c>
      <c r="CB372" s="456">
        <v>14.41</v>
      </c>
      <c r="CC372" s="456">
        <v>8.8699999999999992</v>
      </c>
      <c r="CD372" s="456">
        <v>13.08</v>
      </c>
      <c r="CE372" s="456">
        <v>17.260000000000002</v>
      </c>
      <c r="CF372" s="456">
        <v>12.86</v>
      </c>
      <c r="CG372" s="456">
        <v>522.4</v>
      </c>
      <c r="CH372" s="456">
        <v>2</v>
      </c>
      <c r="CI372" s="456">
        <v>2.7</v>
      </c>
      <c r="CJ372" s="456">
        <v>237.5</v>
      </c>
      <c r="CK372" s="456">
        <v>389.7</v>
      </c>
      <c r="CL372" s="456">
        <v>444.1</v>
      </c>
      <c r="CM372" s="456">
        <v>12.6</v>
      </c>
      <c r="CN372" s="456">
        <v>1.7</v>
      </c>
      <c r="CO372" s="453">
        <v>0</v>
      </c>
      <c r="CP372" s="453">
        <v>16.2</v>
      </c>
      <c r="CQ372" s="453">
        <v>43</v>
      </c>
      <c r="CR372" s="456">
        <v>0</v>
      </c>
      <c r="CS372" s="456">
        <v>0</v>
      </c>
      <c r="CT372" s="456">
        <v>0</v>
      </c>
      <c r="CU372" s="456">
        <v>0</v>
      </c>
      <c r="CV372" s="481">
        <v>408.66666666666669</v>
      </c>
      <c r="CW372" s="481">
        <v>589.19791666666663</v>
      </c>
      <c r="CX372" s="481">
        <v>375.29166666666669</v>
      </c>
      <c r="CY372" s="481">
        <v>1076.0899999999999</v>
      </c>
      <c r="CZ372" s="456"/>
      <c r="DA372" s="456"/>
      <c r="DB372" s="456"/>
      <c r="DC372" s="456"/>
      <c r="DD372" s="456"/>
      <c r="DE372" s="423"/>
      <c r="DF372" s="423"/>
      <c r="DG372" s="3"/>
      <c r="DH372" s="423">
        <v>0</v>
      </c>
      <c r="DI372" s="423">
        <v>0</v>
      </c>
      <c r="DJ372" s="423">
        <v>1.1000000000000001</v>
      </c>
      <c r="DK372" s="3"/>
      <c r="DL372" s="423"/>
      <c r="DM372" s="423"/>
      <c r="DN372" s="423"/>
      <c r="DO372" s="423"/>
      <c r="DP372" s="423"/>
      <c r="DQ372" s="423"/>
      <c r="DR372" s="423"/>
      <c r="DS372" s="423"/>
      <c r="DT372" s="423"/>
      <c r="DU372" s="423"/>
      <c r="DV372" s="423"/>
      <c r="DW372" s="423"/>
      <c r="DX372" s="423"/>
      <c r="DY372" s="423"/>
      <c r="DZ372" s="423"/>
      <c r="EA372" s="423"/>
      <c r="EB372" s="423"/>
      <c r="EC372" s="423"/>
      <c r="ED372" s="423"/>
      <c r="EE372" s="456">
        <v>0</v>
      </c>
      <c r="EF372" s="456">
        <v>2</v>
      </c>
      <c r="EG372" s="456">
        <v>6.5</v>
      </c>
      <c r="EH372" s="423"/>
      <c r="EI372" s="423"/>
      <c r="EJ372" s="423"/>
      <c r="EK372" s="423"/>
      <c r="EL372" s="423"/>
      <c r="EM372" s="423"/>
      <c r="EN372" s="423"/>
      <c r="EO372" s="3"/>
      <c r="EP372" s="3"/>
      <c r="EQ372" s="3" t="s">
        <v>743</v>
      </c>
      <c r="ER372" s="3">
        <v>1</v>
      </c>
      <c r="ES372" s="3">
        <v>4</v>
      </c>
      <c r="ET372" s="3">
        <v>4000</v>
      </c>
      <c r="EU372" s="416">
        <v>3600</v>
      </c>
      <c r="EV372" s="3">
        <v>90</v>
      </c>
      <c r="EW372" s="425">
        <v>7554560</v>
      </c>
      <c r="EX372" s="425">
        <v>57259</v>
      </c>
      <c r="EY372" s="666">
        <v>19.8</v>
      </c>
      <c r="EZ372" s="666">
        <v>19.8</v>
      </c>
      <c r="FA372" s="666">
        <v>0</v>
      </c>
      <c r="FB372" s="666">
        <v>1.45</v>
      </c>
      <c r="FC372" s="666">
        <v>1.5</v>
      </c>
      <c r="FD372" s="666">
        <v>0.95</v>
      </c>
      <c r="FE372" s="666">
        <v>0.9</v>
      </c>
      <c r="FF372" s="666">
        <v>80</v>
      </c>
      <c r="FG372" s="666">
        <v>0.73</v>
      </c>
      <c r="FH372" s="666">
        <v>0.4</v>
      </c>
      <c r="FI372" s="666">
        <v>0.64</v>
      </c>
      <c r="FJ372" s="666">
        <v>8.07</v>
      </c>
      <c r="FK372" s="666">
        <v>8</v>
      </c>
      <c r="FL372" s="413">
        <v>8.11</v>
      </c>
      <c r="FM372" s="413">
        <v>7.5</v>
      </c>
      <c r="FN372" s="413">
        <v>0</v>
      </c>
    </row>
    <row r="373" spans="1:170" s="416" customFormat="1" ht="15">
      <c r="A373" s="425" t="s">
        <v>3</v>
      </c>
      <c r="B373" s="426">
        <v>40902</v>
      </c>
      <c r="C373" s="418">
        <v>0</v>
      </c>
      <c r="D373" s="419">
        <v>0.21</v>
      </c>
      <c r="E373" s="199">
        <v>0</v>
      </c>
      <c r="F373" s="199">
        <v>37</v>
      </c>
      <c r="G373" s="199">
        <v>0.5</v>
      </c>
      <c r="H373" s="420">
        <v>4.75</v>
      </c>
      <c r="I373" s="420">
        <v>94.3</v>
      </c>
      <c r="J373" s="421" t="s">
        <v>742</v>
      </c>
      <c r="K373" s="422">
        <v>2.06</v>
      </c>
      <c r="L373" s="199">
        <v>0</v>
      </c>
      <c r="M373" s="199">
        <v>19</v>
      </c>
      <c r="N373" s="199" t="s">
        <v>742</v>
      </c>
      <c r="O373" s="199">
        <v>0</v>
      </c>
      <c r="P373" s="199">
        <v>1.68</v>
      </c>
      <c r="Q373" s="199">
        <v>2.0059996121962245</v>
      </c>
      <c r="R373" s="199">
        <v>876.4866261558783</v>
      </c>
      <c r="S373" s="199" t="s">
        <v>742</v>
      </c>
      <c r="T373" s="199">
        <v>7.97</v>
      </c>
      <c r="U373" s="199" t="s">
        <v>742</v>
      </c>
      <c r="V373" s="199">
        <v>0.8</v>
      </c>
      <c r="W373" s="199" t="e">
        <v>#VALUE!</v>
      </c>
      <c r="X373" s="423">
        <v>48.38000000000001</v>
      </c>
      <c r="Y373" s="199">
        <v>28.88</v>
      </c>
      <c r="Z373" s="199">
        <v>23.67</v>
      </c>
      <c r="AA373" s="420">
        <v>28.900000000008731</v>
      </c>
      <c r="AB373" s="420">
        <v>23.80000000000291</v>
      </c>
      <c r="AC373" s="732">
        <f t="shared" si="5"/>
        <v>52.700000000011642</v>
      </c>
      <c r="AD373" s="424"/>
      <c r="AE373" s="424"/>
      <c r="AF373" s="424"/>
      <c r="AG373" s="424"/>
      <c r="AH373" s="424"/>
      <c r="AI373" s="424"/>
      <c r="AJ373" s="2"/>
      <c r="AK373" s="2"/>
      <c r="AL373" s="2"/>
      <c r="AM373" s="2"/>
      <c r="AN373" s="2"/>
      <c r="AO373" s="415"/>
      <c r="AP373" s="2"/>
      <c r="AQ373" s="421"/>
      <c r="AR373" s="755">
        <v>0</v>
      </c>
      <c r="AS373" s="483">
        <v>11.4</v>
      </c>
      <c r="AT373" s="755">
        <v>0</v>
      </c>
      <c r="AU373" s="483">
        <v>30</v>
      </c>
      <c r="AV373" s="484">
        <v>344.7</v>
      </c>
      <c r="AW373" s="484">
        <v>361.4</v>
      </c>
      <c r="AX373" s="453">
        <v>0</v>
      </c>
      <c r="AY373" s="734">
        <v>0</v>
      </c>
      <c r="AZ373" s="734">
        <v>0</v>
      </c>
      <c r="BA373" s="734">
        <v>0</v>
      </c>
      <c r="BB373" s="453">
        <v>0</v>
      </c>
      <c r="BC373" s="453">
        <v>0.11</v>
      </c>
      <c r="BD373" s="453">
        <v>1.5</v>
      </c>
      <c r="BE373" s="734">
        <v>0</v>
      </c>
      <c r="BF373" s="453">
        <v>0.49</v>
      </c>
      <c r="BG373" s="453">
        <v>0</v>
      </c>
      <c r="BH373" s="734">
        <v>0</v>
      </c>
      <c r="BI373" s="453">
        <v>0</v>
      </c>
      <c r="BJ373" s="453">
        <v>21.8</v>
      </c>
      <c r="BK373" s="453">
        <v>2.6</v>
      </c>
      <c r="BL373" s="453">
        <v>4.66</v>
      </c>
      <c r="BM373" s="453">
        <v>0</v>
      </c>
      <c r="BN373" s="453">
        <v>14.8</v>
      </c>
      <c r="BO373" s="453">
        <v>883.9</v>
      </c>
      <c r="BP373" s="453">
        <v>0</v>
      </c>
      <c r="BQ373" s="453">
        <v>20</v>
      </c>
      <c r="BR373" s="453">
        <v>19.899999999999999</v>
      </c>
      <c r="BS373" s="453">
        <v>0</v>
      </c>
      <c r="BT373" s="453">
        <v>27.5</v>
      </c>
      <c r="BU373" s="453">
        <v>19</v>
      </c>
      <c r="BV373" s="456">
        <v>417.2</v>
      </c>
      <c r="BW373" s="453">
        <v>1.44</v>
      </c>
      <c r="BX373" s="453">
        <v>1.32</v>
      </c>
      <c r="BY373" s="456">
        <v>0.9</v>
      </c>
      <c r="BZ373" s="456">
        <v>15.11</v>
      </c>
      <c r="CA373" s="456">
        <v>31.4</v>
      </c>
      <c r="CB373" s="456">
        <v>13.77</v>
      </c>
      <c r="CC373" s="456">
        <v>9.43</v>
      </c>
      <c r="CD373" s="456">
        <v>13.67</v>
      </c>
      <c r="CE373" s="456">
        <v>17.77</v>
      </c>
      <c r="CF373" s="456">
        <v>12.99</v>
      </c>
      <c r="CG373" s="456">
        <v>5.38</v>
      </c>
      <c r="CH373" s="456">
        <v>2</v>
      </c>
      <c r="CI373" s="456">
        <v>2.5</v>
      </c>
      <c r="CJ373" s="456">
        <v>146.80000000000001</v>
      </c>
      <c r="CK373" s="456">
        <v>350.5</v>
      </c>
      <c r="CL373" s="456">
        <v>405.3</v>
      </c>
      <c r="CM373" s="456">
        <v>12.4</v>
      </c>
      <c r="CN373" s="456">
        <v>1.66</v>
      </c>
      <c r="CO373" s="453">
        <v>0</v>
      </c>
      <c r="CP373" s="453">
        <v>16.190000000000001</v>
      </c>
      <c r="CQ373" s="453">
        <v>43</v>
      </c>
      <c r="CR373" s="456">
        <v>0</v>
      </c>
      <c r="CS373" s="456">
        <v>0</v>
      </c>
      <c r="CT373" s="456">
        <v>0</v>
      </c>
      <c r="CU373" s="456">
        <v>0</v>
      </c>
      <c r="CV373" s="481">
        <v>413.375</v>
      </c>
      <c r="CW373" s="481">
        <v>589.77083333333337</v>
      </c>
      <c r="CX373" s="481">
        <v>384.76041666666669</v>
      </c>
      <c r="CY373" s="481">
        <v>1077.04</v>
      </c>
      <c r="CZ373" s="456"/>
      <c r="DA373" s="456"/>
      <c r="DB373" s="456"/>
      <c r="DC373" s="456"/>
      <c r="DD373" s="456"/>
      <c r="DE373" s="423"/>
      <c r="DF373" s="423"/>
      <c r="DG373" s="3"/>
      <c r="DH373" s="423">
        <v>0</v>
      </c>
      <c r="DI373" s="423">
        <v>0</v>
      </c>
      <c r="DJ373" s="423">
        <v>1.05</v>
      </c>
      <c r="DK373" s="3"/>
      <c r="DL373" s="423"/>
      <c r="DM373" s="423"/>
      <c r="DN373" s="423"/>
      <c r="DO373" s="423"/>
      <c r="DP373" s="423"/>
      <c r="DQ373" s="423"/>
      <c r="DR373" s="423"/>
      <c r="DS373" s="423"/>
      <c r="DT373" s="423"/>
      <c r="DU373" s="423"/>
      <c r="DV373" s="423"/>
      <c r="DW373" s="423"/>
      <c r="DX373" s="423"/>
      <c r="DY373" s="423"/>
      <c r="DZ373" s="423"/>
      <c r="EA373" s="423"/>
      <c r="EB373" s="423"/>
      <c r="EC373" s="423"/>
      <c r="ED373" s="423"/>
      <c r="EE373" s="456">
        <v>0</v>
      </c>
      <c r="EF373" s="456">
        <v>2</v>
      </c>
      <c r="EG373" s="456">
        <v>6.5</v>
      </c>
      <c r="EH373" s="423"/>
      <c r="EI373" s="423"/>
      <c r="EJ373" s="423"/>
      <c r="EK373" s="423"/>
      <c r="EL373" s="423"/>
      <c r="EM373" s="423"/>
      <c r="EN373" s="423"/>
      <c r="EO373" s="3"/>
      <c r="EP373" s="3"/>
      <c r="EQ373" s="3" t="s">
        <v>743</v>
      </c>
      <c r="ER373" s="3">
        <v>1</v>
      </c>
      <c r="ES373" s="3">
        <v>4</v>
      </c>
      <c r="ET373" s="3">
        <v>4000</v>
      </c>
      <c r="EU373" s="416">
        <v>3520</v>
      </c>
      <c r="EV373" s="3">
        <v>80</v>
      </c>
      <c r="EW373" s="425">
        <v>7556486</v>
      </c>
      <c r="EX373" s="425">
        <v>58635</v>
      </c>
      <c r="EY373" s="666">
        <v>20.18</v>
      </c>
      <c r="EZ373" s="666">
        <v>20.18</v>
      </c>
      <c r="FA373" s="666">
        <v>0</v>
      </c>
      <c r="FB373" s="666">
        <v>1.34</v>
      </c>
      <c r="FC373" s="666">
        <v>1.35</v>
      </c>
      <c r="FD373" s="666">
        <v>0.98</v>
      </c>
      <c r="FE373" s="666">
        <v>0.99</v>
      </c>
      <c r="FF373" s="666">
        <v>80</v>
      </c>
      <c r="FG373" s="666">
        <v>1.32</v>
      </c>
      <c r="FH373" s="666">
        <v>0.41</v>
      </c>
      <c r="FI373" s="666">
        <v>0.74</v>
      </c>
      <c r="FJ373" s="666">
        <v>8.0500000000000007</v>
      </c>
      <c r="FK373" s="666">
        <v>8</v>
      </c>
      <c r="FL373" s="413">
        <v>8.1199999999999992</v>
      </c>
      <c r="FM373" s="413">
        <v>7.7</v>
      </c>
      <c r="FN373" s="413">
        <v>0</v>
      </c>
    </row>
    <row r="374" spans="1:170" s="416" customFormat="1" ht="15">
      <c r="A374" s="425" t="s">
        <v>4</v>
      </c>
      <c r="B374" s="426">
        <v>40903</v>
      </c>
      <c r="C374" s="418">
        <v>0</v>
      </c>
      <c r="D374" s="419">
        <v>0.08</v>
      </c>
      <c r="E374" s="199">
        <v>0</v>
      </c>
      <c r="F374" s="199">
        <v>36</v>
      </c>
      <c r="G374" s="199">
        <v>0.65</v>
      </c>
      <c r="H374" s="420">
        <v>11.29</v>
      </c>
      <c r="I374" s="420">
        <v>91.7</v>
      </c>
      <c r="J374" s="421" t="s">
        <v>742</v>
      </c>
      <c r="K374" s="422">
        <v>2.33</v>
      </c>
      <c r="L374" s="199">
        <v>17</v>
      </c>
      <c r="M374" s="199">
        <v>18.2</v>
      </c>
      <c r="N374" s="199" t="s">
        <v>742</v>
      </c>
      <c r="O374" s="199">
        <v>0</v>
      </c>
      <c r="P374" s="199">
        <v>1.66</v>
      </c>
      <c r="Q374" s="199">
        <v>2.1366093901468788</v>
      </c>
      <c r="R374" s="199">
        <v>950.66084544253624</v>
      </c>
      <c r="S374" s="199" t="s">
        <v>742</v>
      </c>
      <c r="T374" s="199">
        <v>8.0299999999999994</v>
      </c>
      <c r="U374" s="199" t="s">
        <v>742</v>
      </c>
      <c r="V374" s="199">
        <v>0.76</v>
      </c>
      <c r="W374" s="199" t="e">
        <v>#VALUE!</v>
      </c>
      <c r="X374" s="423">
        <v>46.400000000000006</v>
      </c>
      <c r="Y374" s="199">
        <v>28.97</v>
      </c>
      <c r="Z374" s="199">
        <v>24.05</v>
      </c>
      <c r="AA374" s="420">
        <v>29.399999999994179</v>
      </c>
      <c r="AB374" s="420">
        <v>23.879999999997381</v>
      </c>
      <c r="AC374" s="732">
        <f t="shared" si="5"/>
        <v>53.27999999999156</v>
      </c>
      <c r="AD374" s="424"/>
      <c r="AE374" s="424"/>
      <c r="AF374" s="424"/>
      <c r="AG374" s="424"/>
      <c r="AH374" s="424"/>
      <c r="AI374" s="424"/>
      <c r="AJ374" s="2"/>
      <c r="AK374" s="2"/>
      <c r="AL374" s="2"/>
      <c r="AM374" s="2"/>
      <c r="AN374" s="2"/>
      <c r="AO374" s="415"/>
      <c r="AP374" s="2"/>
      <c r="AQ374" s="421"/>
      <c r="AR374" s="755">
        <v>0</v>
      </c>
      <c r="AS374" s="483">
        <v>17.399999999999999</v>
      </c>
      <c r="AT374" s="755">
        <v>0</v>
      </c>
      <c r="AU374" s="483">
        <v>30</v>
      </c>
      <c r="AV374" s="484">
        <v>371.7</v>
      </c>
      <c r="AW374" s="484">
        <v>450.7</v>
      </c>
      <c r="AX374" s="453">
        <v>0</v>
      </c>
      <c r="AY374" s="734">
        <v>0</v>
      </c>
      <c r="AZ374" s="734">
        <v>0</v>
      </c>
      <c r="BA374" s="734">
        <v>0</v>
      </c>
      <c r="BB374" s="453">
        <v>0</v>
      </c>
      <c r="BC374" s="453">
        <v>0</v>
      </c>
      <c r="BD374" s="453">
        <v>1.5</v>
      </c>
      <c r="BE374" s="734">
        <v>0</v>
      </c>
      <c r="BF374" s="453">
        <v>0.5</v>
      </c>
      <c r="BG374" s="453">
        <v>0</v>
      </c>
      <c r="BH374" s="734">
        <v>0</v>
      </c>
      <c r="BI374" s="453">
        <v>0</v>
      </c>
      <c r="BJ374" s="453">
        <v>22</v>
      </c>
      <c r="BK374" s="453">
        <v>1.85</v>
      </c>
      <c r="BL374" s="453">
        <v>3.78</v>
      </c>
      <c r="BM374" s="453">
        <v>0</v>
      </c>
      <c r="BN374" s="453">
        <v>16.3</v>
      </c>
      <c r="BO374" s="453">
        <v>1507.2</v>
      </c>
      <c r="BP374" s="453">
        <v>0</v>
      </c>
      <c r="BQ374" s="453">
        <v>20.2</v>
      </c>
      <c r="BR374" s="453">
        <v>20.2</v>
      </c>
      <c r="BS374" s="453">
        <v>0</v>
      </c>
      <c r="BT374" s="453">
        <v>27.3</v>
      </c>
      <c r="BU374" s="453">
        <v>20</v>
      </c>
      <c r="BV374" s="456">
        <v>537.6</v>
      </c>
      <c r="BW374" s="453">
        <v>2.84</v>
      </c>
      <c r="BX374" s="453">
        <v>1.45</v>
      </c>
      <c r="BY374" s="456">
        <v>0.9</v>
      </c>
      <c r="BZ374" s="456">
        <v>15.3</v>
      </c>
      <c r="CA374" s="456">
        <v>30.9</v>
      </c>
      <c r="CB374" s="456">
        <v>12.7</v>
      </c>
      <c r="CC374" s="456">
        <v>9.6999999999999993</v>
      </c>
      <c r="CD374" s="456">
        <v>13.9</v>
      </c>
      <c r="CE374" s="456">
        <v>18</v>
      </c>
      <c r="CF374" s="456">
        <v>13.1</v>
      </c>
      <c r="CG374" s="456">
        <v>529.20000000000005</v>
      </c>
      <c r="CH374" s="456">
        <v>1.8</v>
      </c>
      <c r="CI374" s="456">
        <v>2.2000000000000002</v>
      </c>
      <c r="CJ374" s="456">
        <v>197.3</v>
      </c>
      <c r="CK374" s="456">
        <v>382</v>
      </c>
      <c r="CL374" s="456">
        <v>441.5</v>
      </c>
      <c r="CM374" s="456">
        <v>12.9</v>
      </c>
      <c r="CN374" s="456">
        <v>1.7</v>
      </c>
      <c r="CO374" s="453">
        <v>0</v>
      </c>
      <c r="CP374" s="453">
        <v>15.72</v>
      </c>
      <c r="CQ374" s="453">
        <v>43</v>
      </c>
      <c r="CR374" s="456">
        <v>0</v>
      </c>
      <c r="CS374" s="456">
        <v>0</v>
      </c>
      <c r="CT374" s="456">
        <v>0</v>
      </c>
      <c r="CU374" s="456">
        <v>0</v>
      </c>
      <c r="CV374" s="481">
        <v>447.16666666666669</v>
      </c>
      <c r="CW374" s="481">
        <v>629.45833333333337</v>
      </c>
      <c r="CX374" s="481">
        <v>449.39583333333331</v>
      </c>
      <c r="CY374" s="481">
        <v>1077.1199999999999</v>
      </c>
      <c r="CZ374" s="456"/>
      <c r="DA374" s="456"/>
      <c r="DB374" s="456"/>
      <c r="DC374" s="456"/>
      <c r="DD374" s="456"/>
      <c r="DE374" s="423"/>
      <c r="DF374" s="423"/>
      <c r="DG374" s="3"/>
      <c r="DH374" s="423">
        <v>0</v>
      </c>
      <c r="DI374" s="423" t="s">
        <v>780</v>
      </c>
      <c r="DJ374" s="423">
        <v>1.04</v>
      </c>
      <c r="DK374" s="3"/>
      <c r="DL374" s="423"/>
      <c r="DM374" s="423"/>
      <c r="DN374" s="423"/>
      <c r="DO374" s="423"/>
      <c r="DP374" s="423"/>
      <c r="DQ374" s="423"/>
      <c r="DR374" s="423"/>
      <c r="DS374" s="423"/>
      <c r="DT374" s="423"/>
      <c r="DU374" s="423"/>
      <c r="DV374" s="423"/>
      <c r="DW374" s="423"/>
      <c r="DX374" s="423"/>
      <c r="DY374" s="423"/>
      <c r="DZ374" s="423"/>
      <c r="EA374" s="423"/>
      <c r="EB374" s="423"/>
      <c r="EC374" s="423"/>
      <c r="ED374" s="423"/>
      <c r="EE374" s="456">
        <v>0</v>
      </c>
      <c r="EF374" s="456">
        <v>2</v>
      </c>
      <c r="EG374" s="456">
        <v>6.5</v>
      </c>
      <c r="EH374" s="423"/>
      <c r="EI374" s="423"/>
      <c r="EJ374" s="423"/>
      <c r="EK374" s="423"/>
      <c r="EL374" s="423"/>
      <c r="EM374" s="423"/>
      <c r="EN374" s="423"/>
      <c r="EO374" s="3"/>
      <c r="EP374" s="3"/>
      <c r="EQ374" s="3" t="s">
        <v>743</v>
      </c>
      <c r="ER374" s="3">
        <v>1</v>
      </c>
      <c r="ES374" s="3">
        <v>4</v>
      </c>
      <c r="ET374" s="3">
        <v>4000</v>
      </c>
      <c r="EU374" s="416">
        <v>3460</v>
      </c>
      <c r="EV374" s="3">
        <v>50</v>
      </c>
      <c r="EW374" s="425">
        <v>7558440</v>
      </c>
      <c r="EX374" s="425">
        <v>60080</v>
      </c>
      <c r="EY374" s="666">
        <v>20.55</v>
      </c>
      <c r="EZ374" s="666">
        <v>20.55</v>
      </c>
      <c r="FA374" s="666">
        <v>0</v>
      </c>
      <c r="FB374" s="666">
        <v>1.43</v>
      </c>
      <c r="FC374" s="666">
        <v>1.4</v>
      </c>
      <c r="FD374" s="666">
        <v>0.95</v>
      </c>
      <c r="FE374" s="666">
        <v>0.95</v>
      </c>
      <c r="FF374" s="666">
        <v>60</v>
      </c>
      <c r="FG374" s="666">
        <v>1.44</v>
      </c>
      <c r="FH374" s="666">
        <v>0.53</v>
      </c>
      <c r="FI374" s="666">
        <v>0.91</v>
      </c>
      <c r="FJ374" s="666">
        <v>7.88</v>
      </c>
      <c r="FK374" s="666">
        <v>7.9</v>
      </c>
      <c r="FL374" s="413">
        <v>8.19</v>
      </c>
      <c r="FM374" s="413">
        <v>7.7</v>
      </c>
      <c r="FN374" s="413">
        <v>0</v>
      </c>
    </row>
    <row r="375" spans="1:170" s="416" customFormat="1" ht="15">
      <c r="A375" s="425" t="s">
        <v>5</v>
      </c>
      <c r="B375" s="426">
        <v>40904</v>
      </c>
      <c r="C375" s="418">
        <v>0</v>
      </c>
      <c r="D375" s="419">
        <v>1.03</v>
      </c>
      <c r="E375" s="199">
        <v>0</v>
      </c>
      <c r="F375" s="199">
        <v>49</v>
      </c>
      <c r="G375" s="199">
        <v>1.1499999999999999</v>
      </c>
      <c r="H375" s="420">
        <v>13.76</v>
      </c>
      <c r="I375" s="420">
        <v>94</v>
      </c>
      <c r="J375" s="421" t="s">
        <v>742</v>
      </c>
      <c r="K375" s="422">
        <v>1.89</v>
      </c>
      <c r="L375" s="199">
        <v>3</v>
      </c>
      <c r="M375" s="199">
        <v>18.3</v>
      </c>
      <c r="N375" s="199" t="s">
        <v>742</v>
      </c>
      <c r="O375" s="199" t="s">
        <v>742</v>
      </c>
      <c r="P375" s="199">
        <v>1.66</v>
      </c>
      <c r="Q375" s="199">
        <v>2.1104306472919419</v>
      </c>
      <c r="R375" s="199">
        <v>880.04957992073969</v>
      </c>
      <c r="S375" s="199" t="s">
        <v>742</v>
      </c>
      <c r="T375" s="199">
        <v>7.98</v>
      </c>
      <c r="U375" s="199" t="s">
        <v>742</v>
      </c>
      <c r="V375" s="199">
        <v>0.78</v>
      </c>
      <c r="W375" s="199" t="e">
        <v>#VALUE!</v>
      </c>
      <c r="X375" s="423">
        <v>44.600000000000009</v>
      </c>
      <c r="Y375" s="199">
        <v>28.88</v>
      </c>
      <c r="Z375" s="199">
        <v>24.09</v>
      </c>
      <c r="AA375" s="420">
        <v>29</v>
      </c>
      <c r="AB375" s="420">
        <v>21.7</v>
      </c>
      <c r="AC375" s="732">
        <f t="shared" si="5"/>
        <v>50.7</v>
      </c>
      <c r="AD375" s="424"/>
      <c r="AE375" s="424"/>
      <c r="AF375" s="424"/>
      <c r="AG375" s="424"/>
      <c r="AH375" s="424"/>
      <c r="AI375" s="424"/>
      <c r="AJ375" s="2"/>
      <c r="AK375" s="2"/>
      <c r="AL375" s="2"/>
      <c r="AM375" s="2"/>
      <c r="AN375" s="2"/>
      <c r="AO375" s="415"/>
      <c r="AP375" s="2"/>
      <c r="AQ375" s="421"/>
      <c r="AR375" s="755">
        <v>0</v>
      </c>
      <c r="AS375" s="483">
        <v>14.3</v>
      </c>
      <c r="AT375" s="755">
        <v>0</v>
      </c>
      <c r="AU375" s="483">
        <v>30</v>
      </c>
      <c r="AV375" s="484">
        <v>369</v>
      </c>
      <c r="AW375" s="484">
        <v>368</v>
      </c>
      <c r="AX375" s="453">
        <v>0</v>
      </c>
      <c r="AY375" s="734">
        <v>0</v>
      </c>
      <c r="AZ375" s="734">
        <v>0</v>
      </c>
      <c r="BA375" s="734">
        <v>0</v>
      </c>
      <c r="BB375" s="453">
        <v>0</v>
      </c>
      <c r="BC375" s="453">
        <v>0.3</v>
      </c>
      <c r="BD375" s="453">
        <v>1.5</v>
      </c>
      <c r="BE375" s="734">
        <v>0</v>
      </c>
      <c r="BF375" s="453">
        <v>0.22</v>
      </c>
      <c r="BG375" s="453">
        <v>0</v>
      </c>
      <c r="BH375" s="734">
        <v>0</v>
      </c>
      <c r="BI375" s="453">
        <v>0</v>
      </c>
      <c r="BJ375" s="453">
        <v>19.7</v>
      </c>
      <c r="BK375" s="453">
        <v>2.33</v>
      </c>
      <c r="BL375" s="453">
        <v>4.1399999999999997</v>
      </c>
      <c r="BM375" s="453">
        <v>0</v>
      </c>
      <c r="BN375" s="453">
        <v>13.1</v>
      </c>
      <c r="BO375" s="453">
        <v>975.6</v>
      </c>
      <c r="BP375" s="453">
        <v>45</v>
      </c>
      <c r="BQ375" s="453">
        <v>19.98</v>
      </c>
      <c r="BR375" s="453">
        <v>19.93</v>
      </c>
      <c r="BS375" s="453">
        <v>0</v>
      </c>
      <c r="BT375" s="453">
        <v>27.5</v>
      </c>
      <c r="BU375" s="453">
        <v>22.9</v>
      </c>
      <c r="BV375" s="456">
        <v>476.9</v>
      </c>
      <c r="BW375" s="453">
        <v>0.97</v>
      </c>
      <c r="BX375" s="453">
        <v>1.41</v>
      </c>
      <c r="BY375" s="456">
        <v>0.9</v>
      </c>
      <c r="BZ375" s="456">
        <v>14.7</v>
      </c>
      <c r="CA375" s="456">
        <v>30.7</v>
      </c>
      <c r="CB375" s="456">
        <v>12.2</v>
      </c>
      <c r="CC375" s="456">
        <v>8.3000000000000007</v>
      </c>
      <c r="CD375" s="456">
        <v>12.5</v>
      </c>
      <c r="CE375" s="456">
        <v>16.600000000000001</v>
      </c>
      <c r="CF375" s="456">
        <v>12.6</v>
      </c>
      <c r="CG375" s="456">
        <v>519.29999999999995</v>
      </c>
      <c r="CH375" s="456">
        <v>2.1</v>
      </c>
      <c r="CI375" s="456">
        <v>3.6</v>
      </c>
      <c r="CJ375" s="456">
        <v>155.80000000000001</v>
      </c>
      <c r="CK375" s="456">
        <v>376.1</v>
      </c>
      <c r="CL375" s="456">
        <v>469.4</v>
      </c>
      <c r="CM375" s="456">
        <v>13.1</v>
      </c>
      <c r="CN375" s="456">
        <v>1.8</v>
      </c>
      <c r="CO375" s="453">
        <v>0</v>
      </c>
      <c r="CP375" s="453">
        <v>16.16</v>
      </c>
      <c r="CQ375" s="453">
        <v>43</v>
      </c>
      <c r="CR375" s="456">
        <v>0</v>
      </c>
      <c r="CS375" s="456">
        <v>0</v>
      </c>
      <c r="CT375" s="456">
        <v>0</v>
      </c>
      <c r="CU375" s="456">
        <v>0</v>
      </c>
      <c r="CV375" s="481">
        <v>510</v>
      </c>
      <c r="CW375" s="481">
        <v>734.76041666666663</v>
      </c>
      <c r="CX375" s="481">
        <v>624.30208333333337</v>
      </c>
      <c r="CY375" s="481">
        <v>1077.0999999999999</v>
      </c>
      <c r="CZ375" s="456"/>
      <c r="DA375" s="456"/>
      <c r="DB375" s="456"/>
      <c r="DC375" s="456"/>
      <c r="DD375" s="456"/>
      <c r="DE375" s="423"/>
      <c r="DF375" s="423"/>
      <c r="DG375" s="3"/>
      <c r="DH375" s="423">
        <v>0</v>
      </c>
      <c r="DI375" s="423" t="s">
        <v>778</v>
      </c>
      <c r="DJ375" s="423">
        <v>1.1000000000000001</v>
      </c>
      <c r="DK375" s="3"/>
      <c r="DL375" s="423"/>
      <c r="DM375" s="423"/>
      <c r="DN375" s="423"/>
      <c r="DO375" s="423"/>
      <c r="DP375" s="423"/>
      <c r="DQ375" s="423"/>
      <c r="DR375" s="423"/>
      <c r="DS375" s="423"/>
      <c r="DT375" s="423"/>
      <c r="DU375" s="423"/>
      <c r="DV375" s="423"/>
      <c r="DW375" s="423"/>
      <c r="DX375" s="423"/>
      <c r="DY375" s="423"/>
      <c r="DZ375" s="423"/>
      <c r="EA375" s="423"/>
      <c r="EB375" s="423"/>
      <c r="EC375" s="423"/>
      <c r="ED375" s="423"/>
      <c r="EE375" s="456">
        <v>0</v>
      </c>
      <c r="EF375" s="456">
        <v>2</v>
      </c>
      <c r="EG375" s="456">
        <v>6.5</v>
      </c>
      <c r="EH375" s="423"/>
      <c r="EI375" s="423"/>
      <c r="EJ375" s="423"/>
      <c r="EK375" s="423"/>
      <c r="EL375" s="423"/>
      <c r="EM375" s="423"/>
      <c r="EN375" s="423"/>
      <c r="EO375" s="3"/>
      <c r="EP375" s="3"/>
      <c r="EQ375" s="3" t="s">
        <v>743</v>
      </c>
      <c r="ER375" s="3">
        <v>1</v>
      </c>
      <c r="ES375" s="3">
        <v>4</v>
      </c>
      <c r="ET375" s="3">
        <v>4000</v>
      </c>
      <c r="EU375" s="416">
        <v>3380</v>
      </c>
      <c r="EV375" s="3">
        <v>60</v>
      </c>
      <c r="EW375" s="425">
        <v>7560928</v>
      </c>
      <c r="EX375" s="425">
        <v>61583</v>
      </c>
      <c r="EY375" s="666">
        <v>20</v>
      </c>
      <c r="EZ375" s="666">
        <v>20</v>
      </c>
      <c r="FA375" s="666">
        <v>0</v>
      </c>
      <c r="FB375" s="666">
        <v>1.28</v>
      </c>
      <c r="FC375" s="666">
        <v>1.3</v>
      </c>
      <c r="FD375" s="666">
        <v>1</v>
      </c>
      <c r="FE375" s="666">
        <v>0.95</v>
      </c>
      <c r="FF375" s="666">
        <v>80</v>
      </c>
      <c r="FG375" s="666">
        <v>2.17</v>
      </c>
      <c r="FH375" s="666">
        <v>0.55000000000000004</v>
      </c>
      <c r="FI375" s="666">
        <v>1.04</v>
      </c>
      <c r="FJ375" s="666">
        <v>8.01</v>
      </c>
      <c r="FK375" s="666">
        <v>8</v>
      </c>
      <c r="FL375" s="413">
        <v>8.18</v>
      </c>
      <c r="FM375" s="413">
        <v>7.7</v>
      </c>
      <c r="FN375" s="413">
        <v>0</v>
      </c>
    </row>
    <row r="376" spans="1:170" s="416" customFormat="1" ht="15">
      <c r="A376" s="425" t="s">
        <v>6</v>
      </c>
      <c r="B376" s="426">
        <v>40905</v>
      </c>
      <c r="C376" s="418">
        <v>0</v>
      </c>
      <c r="D376" s="419">
        <v>1.24</v>
      </c>
      <c r="E376" s="199">
        <v>0</v>
      </c>
      <c r="F376" s="199">
        <v>45</v>
      </c>
      <c r="G376" s="199">
        <v>4.0999999999999996</v>
      </c>
      <c r="H376" s="420">
        <v>70.73</v>
      </c>
      <c r="I376" s="420">
        <v>73.400000000000006</v>
      </c>
      <c r="J376" s="421" t="s">
        <v>742</v>
      </c>
      <c r="K376" s="422">
        <v>0.31</v>
      </c>
      <c r="L376" s="199">
        <v>45.110000000000582</v>
      </c>
      <c r="M376" s="199">
        <v>14.7</v>
      </c>
      <c r="N376" s="199" t="s">
        <v>742</v>
      </c>
      <c r="O376" s="199">
        <v>0</v>
      </c>
      <c r="P376" s="199">
        <v>1.58</v>
      </c>
      <c r="Q376" s="199">
        <v>1.8330468630838586</v>
      </c>
      <c r="R376" s="199">
        <v>679.22854953764852</v>
      </c>
      <c r="S376" s="199" t="s">
        <v>742</v>
      </c>
      <c r="T376" s="199">
        <v>7.98</v>
      </c>
      <c r="U376" s="199" t="s">
        <v>742</v>
      </c>
      <c r="V376" s="199">
        <v>0.8</v>
      </c>
      <c r="W376" s="199" t="e">
        <v>#VALUE!</v>
      </c>
      <c r="X376" s="423">
        <v>43.88000000000001</v>
      </c>
      <c r="Y376" s="199">
        <v>29.09</v>
      </c>
      <c r="Z376" s="199">
        <v>19.79</v>
      </c>
      <c r="AA376" s="420">
        <v>27.600000000005821</v>
      </c>
      <c r="AB376" s="420">
        <v>16.620000000002619</v>
      </c>
      <c r="AC376" s="732">
        <f t="shared" si="5"/>
        <v>44.22000000000844</v>
      </c>
      <c r="AD376" s="424"/>
      <c r="AE376" s="424"/>
      <c r="AF376" s="424"/>
      <c r="AG376" s="424"/>
      <c r="AH376" s="424"/>
      <c r="AI376" s="424"/>
      <c r="AJ376" s="2"/>
      <c r="AK376" s="2"/>
      <c r="AL376" s="2"/>
      <c r="AM376" s="2"/>
      <c r="AN376" s="2"/>
      <c r="AO376" s="415"/>
      <c r="AP376" s="2"/>
      <c r="AQ376" s="421"/>
      <c r="AR376" s="755">
        <v>0</v>
      </c>
      <c r="AS376" s="483">
        <v>10.9</v>
      </c>
      <c r="AT376" s="755">
        <v>0</v>
      </c>
      <c r="AU376" s="483">
        <v>29.5</v>
      </c>
      <c r="AV376" s="484">
        <v>552.79999999999995</v>
      </c>
      <c r="AW376" s="484">
        <v>618.6</v>
      </c>
      <c r="AX376" s="453">
        <v>0</v>
      </c>
      <c r="AY376" s="734">
        <v>0</v>
      </c>
      <c r="AZ376" s="734">
        <v>0</v>
      </c>
      <c r="BA376" s="734">
        <v>0</v>
      </c>
      <c r="BB376" s="453">
        <v>0</v>
      </c>
      <c r="BC376" s="453">
        <v>0.16</v>
      </c>
      <c r="BD376" s="453">
        <v>0.48</v>
      </c>
      <c r="BE376" s="734">
        <v>0</v>
      </c>
      <c r="BF376" s="453">
        <v>0</v>
      </c>
      <c r="BG376" s="453">
        <v>0</v>
      </c>
      <c r="BH376" s="734">
        <v>0</v>
      </c>
      <c r="BI376" s="453">
        <v>0</v>
      </c>
      <c r="BJ376" s="453">
        <v>16.399999999999999</v>
      </c>
      <c r="BK376" s="453">
        <v>0.97</v>
      </c>
      <c r="BL376" s="453">
        <v>1.03</v>
      </c>
      <c r="BM376" s="453">
        <v>0</v>
      </c>
      <c r="BN376" s="453">
        <v>14.4</v>
      </c>
      <c r="BO376" s="453">
        <v>1591.8</v>
      </c>
      <c r="BP376" s="453">
        <v>0</v>
      </c>
      <c r="BQ376" s="453">
        <v>19.7</v>
      </c>
      <c r="BR376" s="453">
        <v>19.600000000000001</v>
      </c>
      <c r="BS376" s="453">
        <v>0</v>
      </c>
      <c r="BT376" s="453">
        <v>26.7</v>
      </c>
      <c r="BU376" s="453">
        <v>22.7</v>
      </c>
      <c r="BV376" s="456">
        <v>421.1</v>
      </c>
      <c r="BW376" s="453">
        <v>0.97</v>
      </c>
      <c r="BX376" s="453">
        <v>1.44</v>
      </c>
      <c r="BY376" s="456">
        <v>0.9</v>
      </c>
      <c r="BZ376" s="456">
        <v>14.3</v>
      </c>
      <c r="CA376" s="456">
        <v>30.5</v>
      </c>
      <c r="CB376" s="456">
        <v>13</v>
      </c>
      <c r="CC376" s="456">
        <v>10.1</v>
      </c>
      <c r="CD376" s="456">
        <v>14.4</v>
      </c>
      <c r="CE376" s="456">
        <v>18.399999999999999</v>
      </c>
      <c r="CF376" s="456">
        <v>12.5</v>
      </c>
      <c r="CG376" s="456">
        <v>525.70000000000005</v>
      </c>
      <c r="CH376" s="456">
        <v>2</v>
      </c>
      <c r="CI376" s="456">
        <v>3</v>
      </c>
      <c r="CJ376" s="456">
        <v>144.30000000000001</v>
      </c>
      <c r="CK376" s="456">
        <v>360.3</v>
      </c>
      <c r="CL376" s="456">
        <v>466.2</v>
      </c>
      <c r="CM376" s="456">
        <v>12.9</v>
      </c>
      <c r="CN376" s="456">
        <v>1.8</v>
      </c>
      <c r="CO376" s="453">
        <v>0</v>
      </c>
      <c r="CP376" s="453">
        <v>15.63</v>
      </c>
      <c r="CQ376" s="453">
        <v>44</v>
      </c>
      <c r="CR376" s="456">
        <v>0</v>
      </c>
      <c r="CS376" s="456">
        <v>0</v>
      </c>
      <c r="CT376" s="456">
        <v>0</v>
      </c>
      <c r="CU376" s="456">
        <v>0</v>
      </c>
      <c r="CV376" s="481">
        <v>2695.7916666666665</v>
      </c>
      <c r="CW376" s="481">
        <v>1925.59375</v>
      </c>
      <c r="CX376" s="481">
        <v>2688.6041666666665</v>
      </c>
      <c r="CY376" s="481">
        <v>1093.8800000000001</v>
      </c>
      <c r="CZ376" s="456"/>
      <c r="DA376" s="456"/>
      <c r="DB376" s="456"/>
      <c r="DC376" s="456"/>
      <c r="DD376" s="456"/>
      <c r="DE376" s="423"/>
      <c r="DF376" s="423"/>
      <c r="DG376" s="3"/>
      <c r="DH376" s="423">
        <v>0</v>
      </c>
      <c r="DI376" s="423" t="s">
        <v>781</v>
      </c>
      <c r="DJ376" s="423">
        <v>1.1299999999999999</v>
      </c>
      <c r="DK376" s="3"/>
      <c r="DL376" s="423"/>
      <c r="DM376" s="423"/>
      <c r="DN376" s="423"/>
      <c r="DO376" s="423"/>
      <c r="DP376" s="423"/>
      <c r="DQ376" s="423"/>
      <c r="DR376" s="423"/>
      <c r="DS376" s="423"/>
      <c r="DT376" s="423"/>
      <c r="DU376" s="423"/>
      <c r="DV376" s="423"/>
      <c r="DW376" s="423"/>
      <c r="DX376" s="423"/>
      <c r="DY376" s="423"/>
      <c r="DZ376" s="423"/>
      <c r="EA376" s="423"/>
      <c r="EB376" s="423"/>
      <c r="EC376" s="423"/>
      <c r="ED376" s="423"/>
      <c r="EE376" s="456">
        <v>0</v>
      </c>
      <c r="EF376" s="456">
        <v>2</v>
      </c>
      <c r="EG376" s="456">
        <v>6.5</v>
      </c>
      <c r="EH376" s="423"/>
      <c r="EI376" s="423"/>
      <c r="EJ376" s="423"/>
      <c r="EK376" s="423"/>
      <c r="EL376" s="423"/>
      <c r="EM376" s="423"/>
      <c r="EN376" s="423"/>
      <c r="EO376" s="3"/>
      <c r="EP376" s="3"/>
      <c r="EQ376" s="3" t="s">
        <v>743</v>
      </c>
      <c r="ER376" s="3">
        <v>1</v>
      </c>
      <c r="ES376" s="3">
        <v>4</v>
      </c>
      <c r="ET376" s="3">
        <v>4000</v>
      </c>
      <c r="EU376" s="416">
        <v>3320</v>
      </c>
      <c r="EV376" s="3">
        <v>52</v>
      </c>
      <c r="EW376" s="425">
        <v>7563148</v>
      </c>
      <c r="EX376" s="425">
        <v>63042</v>
      </c>
      <c r="EY376" s="666">
        <v>19.75</v>
      </c>
      <c r="EZ376" s="666">
        <v>19.77</v>
      </c>
      <c r="FA376" s="666">
        <v>0</v>
      </c>
      <c r="FB376" s="666">
        <v>1.48</v>
      </c>
      <c r="FC376" s="666">
        <v>1.56</v>
      </c>
      <c r="FD376" s="666">
        <v>0.97799999999999998</v>
      </c>
      <c r="FE376" s="666">
        <v>0.97</v>
      </c>
      <c r="FF376" s="666">
        <v>60</v>
      </c>
      <c r="FG376" s="666">
        <v>0.27</v>
      </c>
      <c r="FH376" s="666">
        <v>0.44600000000000001</v>
      </c>
      <c r="FI376" s="666">
        <v>0.76</v>
      </c>
      <c r="FJ376" s="666">
        <v>8.27</v>
      </c>
      <c r="FK376" s="666">
        <v>7.8</v>
      </c>
      <c r="FL376" s="413">
        <v>8.1199999999999992</v>
      </c>
      <c r="FM376" s="413">
        <v>7.6</v>
      </c>
      <c r="FN376" s="413">
        <v>0</v>
      </c>
    </row>
    <row r="377" spans="1:170" s="416" customFormat="1" ht="15">
      <c r="A377" s="425" t="s">
        <v>7</v>
      </c>
      <c r="B377" s="426">
        <v>40906</v>
      </c>
      <c r="C377" s="418">
        <v>0</v>
      </c>
      <c r="D377" s="419">
        <v>0.9</v>
      </c>
      <c r="E377" s="199">
        <v>0</v>
      </c>
      <c r="F377" s="199">
        <v>46</v>
      </c>
      <c r="G377" s="199">
        <v>4.8499999999999996</v>
      </c>
      <c r="H377" s="420">
        <v>58.1</v>
      </c>
      <c r="I377" s="420">
        <v>44.6</v>
      </c>
      <c r="J377" s="421" t="s">
        <v>742</v>
      </c>
      <c r="K377" s="422">
        <v>0.18</v>
      </c>
      <c r="L377" s="199">
        <v>40.889999999999418</v>
      </c>
      <c r="M377" s="199">
        <v>12.7</v>
      </c>
      <c r="N377" s="199" t="s">
        <v>742</v>
      </c>
      <c r="O377" s="199">
        <v>0</v>
      </c>
      <c r="P377" s="199">
        <v>1.6</v>
      </c>
      <c r="Q377" s="199">
        <v>1.7680387679501786</v>
      </c>
      <c r="R377" s="199">
        <v>617.68662087186249</v>
      </c>
      <c r="S377" s="199" t="s">
        <v>742</v>
      </c>
      <c r="T377" s="199">
        <v>8.0500000000000007</v>
      </c>
      <c r="U377" s="199" t="s">
        <v>742</v>
      </c>
      <c r="V377" s="199">
        <v>0.81</v>
      </c>
      <c r="W377" s="199" t="e">
        <v>#VALUE!</v>
      </c>
      <c r="X377" s="423">
        <v>49.64</v>
      </c>
      <c r="Y377" s="199">
        <v>25.68</v>
      </c>
      <c r="Z377" s="199">
        <v>13.98</v>
      </c>
      <c r="AA377" s="420">
        <v>27.099999999991269</v>
      </c>
      <c r="AB377" s="420">
        <v>14.09</v>
      </c>
      <c r="AC377" s="732">
        <f t="shared" si="5"/>
        <v>41.189999999991272</v>
      </c>
      <c r="AD377" s="424"/>
      <c r="AE377" s="424"/>
      <c r="AF377" s="424"/>
      <c r="AG377" s="424"/>
      <c r="AH377" s="424"/>
      <c r="AI377" s="424"/>
      <c r="AJ377" s="2"/>
      <c r="AK377" s="2"/>
      <c r="AL377" s="2"/>
      <c r="AM377" s="2"/>
      <c r="AN377" s="2"/>
      <c r="AO377" s="415"/>
      <c r="AP377" s="2"/>
      <c r="AQ377" s="421"/>
      <c r="AR377" s="755">
        <v>0</v>
      </c>
      <c r="AS377" s="483">
        <v>11</v>
      </c>
      <c r="AT377" s="755">
        <v>0</v>
      </c>
      <c r="AU377" s="483">
        <v>26.9</v>
      </c>
      <c r="AV377" s="484">
        <v>223.4</v>
      </c>
      <c r="AW377" s="484">
        <v>258.8</v>
      </c>
      <c r="AX377" s="453">
        <v>0</v>
      </c>
      <c r="AY377" s="734">
        <v>0</v>
      </c>
      <c r="AZ377" s="734">
        <v>0</v>
      </c>
      <c r="BA377" s="734">
        <v>0</v>
      </c>
      <c r="BB377" s="453">
        <v>0</v>
      </c>
      <c r="BC377" s="453">
        <v>0</v>
      </c>
      <c r="BD377" s="453">
        <v>0</v>
      </c>
      <c r="BE377" s="734">
        <v>0</v>
      </c>
      <c r="BF377" s="453">
        <v>0</v>
      </c>
      <c r="BG377" s="453">
        <v>0</v>
      </c>
      <c r="BH377" s="734">
        <v>0</v>
      </c>
      <c r="BI377" s="453">
        <v>0</v>
      </c>
      <c r="BJ377" s="453">
        <v>14.1</v>
      </c>
      <c r="BK377" s="453">
        <v>0</v>
      </c>
      <c r="BL377" s="453">
        <v>0</v>
      </c>
      <c r="BM377" s="453">
        <v>0</v>
      </c>
      <c r="BN377" s="453">
        <v>14</v>
      </c>
      <c r="BO377" s="453">
        <v>884.5</v>
      </c>
      <c r="BP377" s="453">
        <v>0</v>
      </c>
      <c r="BQ377" s="453">
        <v>19.100000000000001</v>
      </c>
      <c r="BR377" s="453">
        <v>19.100000000000001</v>
      </c>
      <c r="BS377" s="453">
        <v>0</v>
      </c>
      <c r="BT377" s="453">
        <v>25.1</v>
      </c>
      <c r="BU377" s="453">
        <v>22.1</v>
      </c>
      <c r="BV377" s="456">
        <v>425.6</v>
      </c>
      <c r="BW377" s="453">
        <v>0.8</v>
      </c>
      <c r="BX377" s="453">
        <v>1.48</v>
      </c>
      <c r="BY377" s="456">
        <v>0.9</v>
      </c>
      <c r="BZ377" s="456">
        <v>14.7</v>
      </c>
      <c r="CA377" s="456">
        <v>30.6</v>
      </c>
      <c r="CB377" s="456">
        <v>12.5</v>
      </c>
      <c r="CC377" s="456">
        <v>8.3000000000000007</v>
      </c>
      <c r="CD377" s="456">
        <v>12.5</v>
      </c>
      <c r="CE377" s="456">
        <v>16.600000000000001</v>
      </c>
      <c r="CF377" s="456">
        <v>12.5</v>
      </c>
      <c r="CG377" s="456">
        <v>527.6</v>
      </c>
      <c r="CH377" s="456">
        <v>2.2999999999999998</v>
      </c>
      <c r="CI377" s="456">
        <v>2.8</v>
      </c>
      <c r="CJ377" s="456">
        <v>137.9</v>
      </c>
      <c r="CK377" s="456">
        <v>359.9</v>
      </c>
      <c r="CL377" s="456">
        <v>469.9</v>
      </c>
      <c r="CM377" s="456">
        <v>13</v>
      </c>
      <c r="CN377" s="456">
        <v>1.7</v>
      </c>
      <c r="CO377" s="453">
        <v>0</v>
      </c>
      <c r="CP377" s="453">
        <v>15.59</v>
      </c>
      <c r="CQ377" s="453">
        <v>44</v>
      </c>
      <c r="CR377" s="456">
        <v>0</v>
      </c>
      <c r="CS377" s="456">
        <v>0</v>
      </c>
      <c r="CT377" s="456">
        <v>0</v>
      </c>
      <c r="CU377" s="456">
        <v>0</v>
      </c>
      <c r="CV377" s="481">
        <v>5701.25</v>
      </c>
      <c r="CW377" s="481">
        <v>6053.541666666667</v>
      </c>
      <c r="CX377" s="481">
        <v>6001.5625</v>
      </c>
      <c r="CY377" s="481">
        <v>1096</v>
      </c>
      <c r="CZ377" s="456"/>
      <c r="DA377" s="456"/>
      <c r="DB377" s="456"/>
      <c r="DC377" s="456"/>
      <c r="DD377" s="456"/>
      <c r="DE377" s="423"/>
      <c r="DF377" s="423"/>
      <c r="DG377" s="3"/>
      <c r="DH377" s="423">
        <v>0</v>
      </c>
      <c r="DI377" s="423" t="s">
        <v>782</v>
      </c>
      <c r="DJ377" s="423">
        <v>0.96</v>
      </c>
      <c r="DK377" s="3"/>
      <c r="DL377" s="423"/>
      <c r="DM377" s="423"/>
      <c r="DN377" s="423"/>
      <c r="DO377" s="423"/>
      <c r="DP377" s="423"/>
      <c r="DQ377" s="423"/>
      <c r="DR377" s="423"/>
      <c r="DS377" s="423"/>
      <c r="DT377" s="423"/>
      <c r="DU377" s="423"/>
      <c r="DV377" s="423"/>
      <c r="DW377" s="423"/>
      <c r="DX377" s="423"/>
      <c r="DY377" s="423"/>
      <c r="DZ377" s="423"/>
      <c r="EA377" s="423"/>
      <c r="EB377" s="423"/>
      <c r="EC377" s="423"/>
      <c r="ED377" s="423"/>
      <c r="EE377" s="456">
        <v>0</v>
      </c>
      <c r="EF377" s="456">
        <v>2</v>
      </c>
      <c r="EG377" s="456">
        <v>6.5</v>
      </c>
      <c r="EH377" s="423"/>
      <c r="EI377" s="423"/>
      <c r="EJ377" s="423"/>
      <c r="EK377" s="423"/>
      <c r="EL377" s="423"/>
      <c r="EM377" s="423"/>
      <c r="EN377" s="423"/>
      <c r="EO377" s="3"/>
      <c r="EP377" s="3"/>
      <c r="EQ377" s="3" t="s">
        <v>743</v>
      </c>
      <c r="ER377" s="3">
        <v>1</v>
      </c>
      <c r="ES377" s="3">
        <v>4</v>
      </c>
      <c r="ET377" s="3">
        <v>4000</v>
      </c>
      <c r="EU377" s="416">
        <v>3250</v>
      </c>
      <c r="EV377" s="3">
        <v>37</v>
      </c>
      <c r="EW377" s="425">
        <v>7565373</v>
      </c>
      <c r="EX377" s="425">
        <v>64461</v>
      </c>
      <c r="EY377" s="666">
        <v>19.399999999999999</v>
      </c>
      <c r="EZ377" s="666">
        <v>19.3</v>
      </c>
      <c r="FA377" s="666">
        <v>0</v>
      </c>
      <c r="FB377" s="666">
        <v>1.41</v>
      </c>
      <c r="FC377" s="666">
        <v>1.35</v>
      </c>
      <c r="FD377" s="666">
        <v>0.95</v>
      </c>
      <c r="FE377" s="666">
        <v>0.88</v>
      </c>
      <c r="FF377" s="666">
        <v>70</v>
      </c>
      <c r="FG377" s="666">
        <v>0.39</v>
      </c>
      <c r="FH377" s="666">
        <v>0.35499999999999998</v>
      </c>
      <c r="FI377" s="666">
        <v>0.59</v>
      </c>
      <c r="FJ377" s="666">
        <v>8.16</v>
      </c>
      <c r="FK377" s="666">
        <v>7.2</v>
      </c>
      <c r="FL377" s="413">
        <v>8.1199999999999992</v>
      </c>
      <c r="FM377" s="413">
        <v>7.2</v>
      </c>
      <c r="FN377" s="413">
        <v>0</v>
      </c>
    </row>
    <row r="378" spans="1:170" s="416" customFormat="1" ht="15">
      <c r="A378" s="425" t="s">
        <v>8</v>
      </c>
      <c r="B378" s="426">
        <v>40907</v>
      </c>
      <c r="C378" s="418">
        <v>0</v>
      </c>
      <c r="D378" s="419">
        <v>0.55000000000000004</v>
      </c>
      <c r="E378" s="199">
        <v>0</v>
      </c>
      <c r="F378" s="199">
        <v>37</v>
      </c>
      <c r="G378" s="199">
        <v>4.6500000000000004</v>
      </c>
      <c r="H378" s="420">
        <v>68.94</v>
      </c>
      <c r="I378" s="420">
        <v>61.72</v>
      </c>
      <c r="J378" s="421" t="s">
        <v>742</v>
      </c>
      <c r="K378" s="422">
        <v>0.13</v>
      </c>
      <c r="L378" s="199">
        <v>41</v>
      </c>
      <c r="M378" s="199">
        <v>13.1</v>
      </c>
      <c r="N378" s="199" t="s">
        <v>742</v>
      </c>
      <c r="O378" s="199">
        <v>0</v>
      </c>
      <c r="P378" s="199">
        <v>1.56</v>
      </c>
      <c r="Q378" s="199">
        <v>1.7024026551925981</v>
      </c>
      <c r="R378" s="199">
        <v>591.77422985468945</v>
      </c>
      <c r="S378" s="199" t="s">
        <v>742</v>
      </c>
      <c r="T378" s="199">
        <v>8.0299999999999994</v>
      </c>
      <c r="U378" s="199" t="s">
        <v>742</v>
      </c>
      <c r="V378" s="199">
        <v>0.72</v>
      </c>
      <c r="W378" s="199" t="e">
        <v>#VALUE!</v>
      </c>
      <c r="X378" s="423">
        <v>50.539999999999992</v>
      </c>
      <c r="Y378" s="199">
        <v>26.57</v>
      </c>
      <c r="Z378" s="199">
        <v>13.77</v>
      </c>
      <c r="AA378" s="420">
        <v>24.30000000000291</v>
      </c>
      <c r="AB378" s="420">
        <v>16.680000000000291</v>
      </c>
      <c r="AC378" s="732">
        <f t="shared" si="5"/>
        <v>40.980000000003201</v>
      </c>
      <c r="AD378" s="424"/>
      <c r="AE378" s="424"/>
      <c r="AF378" s="424"/>
      <c r="AG378" s="424"/>
      <c r="AH378" s="424"/>
      <c r="AI378" s="424"/>
      <c r="AJ378" s="2"/>
      <c r="AK378" s="2"/>
      <c r="AL378" s="2"/>
      <c r="AM378" s="2"/>
      <c r="AN378" s="2"/>
      <c r="AO378" s="415"/>
      <c r="AP378" s="2"/>
      <c r="AQ378" s="421"/>
      <c r="AR378" s="755">
        <v>0</v>
      </c>
      <c r="AS378" s="483">
        <v>11.2</v>
      </c>
      <c r="AT378" s="755">
        <v>0</v>
      </c>
      <c r="AU378" s="483">
        <v>25.8</v>
      </c>
      <c r="AV378" s="484">
        <v>339.2</v>
      </c>
      <c r="AW378" s="484">
        <v>357.4</v>
      </c>
      <c r="AX378" s="453">
        <v>0</v>
      </c>
      <c r="AY378" s="734">
        <v>0</v>
      </c>
      <c r="AZ378" s="734">
        <v>0</v>
      </c>
      <c r="BA378" s="734">
        <v>0</v>
      </c>
      <c r="BB378" s="453">
        <v>0</v>
      </c>
      <c r="BC378" s="453">
        <v>0</v>
      </c>
      <c r="BD378" s="453">
        <v>0</v>
      </c>
      <c r="BE378" s="734">
        <v>0</v>
      </c>
      <c r="BF378" s="453">
        <v>0</v>
      </c>
      <c r="BG378" s="453">
        <v>0</v>
      </c>
      <c r="BH378" s="734">
        <v>0</v>
      </c>
      <c r="BI378" s="453">
        <v>0</v>
      </c>
      <c r="BJ378" s="453">
        <v>17</v>
      </c>
      <c r="BK378" s="453">
        <v>0</v>
      </c>
      <c r="BL378" s="453">
        <v>0</v>
      </c>
      <c r="BM378" s="453">
        <v>0</v>
      </c>
      <c r="BN378" s="453">
        <v>16.899999999999999</v>
      </c>
      <c r="BO378" s="453">
        <v>1545.3</v>
      </c>
      <c r="BP378" s="453">
        <v>0</v>
      </c>
      <c r="BQ378" s="453">
        <v>18.7</v>
      </c>
      <c r="BR378" s="453">
        <v>18.7</v>
      </c>
      <c r="BS378" s="453">
        <v>0</v>
      </c>
      <c r="BT378" s="453">
        <v>24</v>
      </c>
      <c r="BU378" s="453">
        <v>20.5</v>
      </c>
      <c r="BV378" s="456">
        <v>432.3</v>
      </c>
      <c r="BW378" s="453">
        <v>0.67</v>
      </c>
      <c r="BX378" s="453">
        <v>1.42</v>
      </c>
      <c r="BY378" s="456">
        <v>0.88</v>
      </c>
      <c r="BZ378" s="456">
        <v>14.6</v>
      </c>
      <c r="CA378" s="456">
        <v>30.8</v>
      </c>
      <c r="CB378" s="456">
        <v>13.6</v>
      </c>
      <c r="CC378" s="456">
        <v>9.8000000000000007</v>
      </c>
      <c r="CD378" s="456">
        <v>14.1</v>
      </c>
      <c r="CE378" s="456">
        <v>18.2</v>
      </c>
      <c r="CF378" s="456">
        <v>12.3</v>
      </c>
      <c r="CG378" s="456">
        <v>511</v>
      </c>
      <c r="CH378" s="456">
        <v>2.2000000000000002</v>
      </c>
      <c r="CI378" s="456">
        <v>3.1</v>
      </c>
      <c r="CJ378" s="456">
        <v>132.80000000000001</v>
      </c>
      <c r="CK378" s="456">
        <v>374</v>
      </c>
      <c r="CL378" s="456">
        <v>463.7</v>
      </c>
      <c r="CM378" s="456">
        <v>12.8</v>
      </c>
      <c r="CN378" s="456">
        <v>1.5</v>
      </c>
      <c r="CO378" s="453">
        <v>0</v>
      </c>
      <c r="CP378" s="453">
        <v>15.42</v>
      </c>
      <c r="CQ378" s="453">
        <v>44</v>
      </c>
      <c r="CR378" s="456">
        <v>0</v>
      </c>
      <c r="CS378" s="456">
        <v>0</v>
      </c>
      <c r="CT378" s="456">
        <v>0</v>
      </c>
      <c r="CU378" s="456">
        <v>0</v>
      </c>
      <c r="CV378" s="481">
        <v>5735.416666666667</v>
      </c>
      <c r="CW378" s="481">
        <v>7061.458333333333</v>
      </c>
      <c r="CX378" s="481">
        <v>6217.916666666667</v>
      </c>
      <c r="CY378" s="481">
        <v>1099.33</v>
      </c>
      <c r="CZ378" s="456"/>
      <c r="DA378" s="456"/>
      <c r="DB378" s="456"/>
      <c r="DC378" s="456"/>
      <c r="DD378" s="456"/>
      <c r="DE378" s="423"/>
      <c r="DF378" s="423"/>
      <c r="DG378" s="3"/>
      <c r="DH378" s="423">
        <v>0</v>
      </c>
      <c r="DI378" s="423" t="s">
        <v>755</v>
      </c>
      <c r="DJ378" s="423">
        <v>1.02</v>
      </c>
      <c r="DK378" s="3"/>
      <c r="DL378" s="423"/>
      <c r="DM378" s="423"/>
      <c r="DN378" s="423"/>
      <c r="DO378" s="423"/>
      <c r="DP378" s="423"/>
      <c r="DQ378" s="423"/>
      <c r="DR378" s="423"/>
      <c r="DS378" s="423"/>
      <c r="DT378" s="423"/>
      <c r="DU378" s="423"/>
      <c r="DV378" s="423"/>
      <c r="DW378" s="423"/>
      <c r="DX378" s="423"/>
      <c r="DY378" s="423"/>
      <c r="DZ378" s="423"/>
      <c r="EA378" s="423"/>
      <c r="EB378" s="423"/>
      <c r="EC378" s="423"/>
      <c r="ED378" s="423"/>
      <c r="EE378" s="456">
        <v>0</v>
      </c>
      <c r="EF378" s="456">
        <v>2</v>
      </c>
      <c r="EG378" s="456">
        <v>6.5</v>
      </c>
      <c r="EH378" s="423"/>
      <c r="EI378" s="423"/>
      <c r="EJ378" s="423"/>
      <c r="EK378" s="423"/>
      <c r="EL378" s="423"/>
      <c r="EM378" s="423"/>
      <c r="EN378" s="423"/>
      <c r="EO378" s="3"/>
      <c r="EP378" s="3"/>
      <c r="EQ378" s="3" t="s">
        <v>743</v>
      </c>
      <c r="ER378" s="3">
        <v>1</v>
      </c>
      <c r="ES378" s="3">
        <v>4</v>
      </c>
      <c r="ET378" s="3">
        <v>4000</v>
      </c>
      <c r="EU378" s="416">
        <v>3160</v>
      </c>
      <c r="EV378" s="3">
        <v>80</v>
      </c>
      <c r="EW378" s="425">
        <v>7567396</v>
      </c>
      <c r="EX378" s="425">
        <v>65863</v>
      </c>
      <c r="EY378" s="666">
        <v>18.75</v>
      </c>
      <c r="EZ378" s="666">
        <v>18.75</v>
      </c>
      <c r="FA378" s="666">
        <v>0</v>
      </c>
      <c r="FB378" s="666">
        <v>1.37</v>
      </c>
      <c r="FC378" s="666">
        <v>1.35</v>
      </c>
      <c r="FD378" s="666">
        <v>0.93</v>
      </c>
      <c r="FE378" s="666">
        <v>0.9</v>
      </c>
      <c r="FF378" s="666">
        <v>90</v>
      </c>
      <c r="FG378" s="666">
        <v>0.34</v>
      </c>
      <c r="FH378" s="666">
        <v>0.3</v>
      </c>
      <c r="FI378" s="666">
        <v>0.48</v>
      </c>
      <c r="FJ378" s="666">
        <v>8.0500000000000007</v>
      </c>
      <c r="FK378" s="666">
        <v>8</v>
      </c>
      <c r="FL378" s="413">
        <v>7.99</v>
      </c>
      <c r="FM378" s="413">
        <v>7.5</v>
      </c>
      <c r="FN378" s="413">
        <v>0</v>
      </c>
    </row>
    <row r="379" spans="1:170" s="416" customFormat="1" ht="15">
      <c r="A379" s="425" t="s">
        <v>9</v>
      </c>
      <c r="B379" s="426">
        <v>40908</v>
      </c>
      <c r="C379" s="418">
        <v>0</v>
      </c>
      <c r="D379" s="419">
        <v>0</v>
      </c>
      <c r="E379" s="199">
        <v>0</v>
      </c>
      <c r="F379" s="199">
        <v>38</v>
      </c>
      <c r="G379" s="199">
        <v>3.55</v>
      </c>
      <c r="H379" s="420">
        <v>39.619999999999997</v>
      </c>
      <c r="I379" s="420">
        <v>71.5</v>
      </c>
      <c r="J379" s="421" t="s">
        <v>742</v>
      </c>
      <c r="K379" s="422">
        <v>0.08</v>
      </c>
      <c r="L379" s="199">
        <v>39</v>
      </c>
      <c r="M379" s="199">
        <v>12.1</v>
      </c>
      <c r="N379" s="199" t="s">
        <v>742</v>
      </c>
      <c r="O379" s="199" t="s">
        <v>742</v>
      </c>
      <c r="P379" s="199">
        <v>1.58</v>
      </c>
      <c r="Q379" s="199">
        <v>1.723159285267329</v>
      </c>
      <c r="R379" s="199">
        <v>546.10364068692206</v>
      </c>
      <c r="S379" s="199" t="s">
        <v>742</v>
      </c>
      <c r="T379" s="199">
        <v>7.97</v>
      </c>
      <c r="U379" s="199" t="s">
        <v>742</v>
      </c>
      <c r="V379" s="199">
        <v>0.83</v>
      </c>
      <c r="W379" s="199" t="e">
        <v>#VALUE!</v>
      </c>
      <c r="X379" s="423">
        <v>50</v>
      </c>
      <c r="Y379" s="199">
        <v>24.85</v>
      </c>
      <c r="Z379" s="199">
        <v>12.97</v>
      </c>
      <c r="AA379" s="420">
        <v>25</v>
      </c>
      <c r="AB379" s="420">
        <v>13</v>
      </c>
      <c r="AC379" s="732">
        <f t="shared" si="5"/>
        <v>38</v>
      </c>
      <c r="AD379" s="424"/>
      <c r="AE379" s="424"/>
      <c r="AF379" s="424"/>
      <c r="AG379" s="424"/>
      <c r="AH379" s="424"/>
      <c r="AI379" s="424"/>
      <c r="AJ379" s="2"/>
      <c r="AK379" s="2"/>
      <c r="AL379" s="2"/>
      <c r="AM379" s="2"/>
      <c r="AN379" s="2"/>
      <c r="AO379" s="415"/>
      <c r="AP379" s="2"/>
      <c r="AQ379" s="421"/>
      <c r="AR379" s="755">
        <v>0</v>
      </c>
      <c r="AS379" s="483">
        <v>21.4</v>
      </c>
      <c r="AT379" s="755">
        <v>0</v>
      </c>
      <c r="AU379" s="483">
        <v>25.9</v>
      </c>
      <c r="AV379" s="484">
        <v>445.1</v>
      </c>
      <c r="AW379" s="484">
        <v>447.1</v>
      </c>
      <c r="AX379" s="453">
        <v>0</v>
      </c>
      <c r="AY379" s="734">
        <v>0</v>
      </c>
      <c r="AZ379" s="734">
        <v>0</v>
      </c>
      <c r="BA379" s="734">
        <v>0</v>
      </c>
      <c r="BB379" s="453">
        <v>0</v>
      </c>
      <c r="BC379" s="453">
        <v>0</v>
      </c>
      <c r="BD379" s="453">
        <v>0</v>
      </c>
      <c r="BE379" s="734">
        <v>0</v>
      </c>
      <c r="BF379" s="453">
        <v>0</v>
      </c>
      <c r="BG379" s="453">
        <v>0</v>
      </c>
      <c r="BH379" s="734">
        <v>0</v>
      </c>
      <c r="BI379" s="453">
        <v>0</v>
      </c>
      <c r="BJ379" s="453">
        <v>13.1</v>
      </c>
      <c r="BK379" s="453">
        <v>0</v>
      </c>
      <c r="BL379" s="453">
        <v>0</v>
      </c>
      <c r="BM379" s="453">
        <v>0</v>
      </c>
      <c r="BN379" s="453">
        <v>13</v>
      </c>
      <c r="BO379" s="453">
        <v>1131.3</v>
      </c>
      <c r="BP379" s="453">
        <v>0</v>
      </c>
      <c r="BQ379" s="453">
        <v>17.7</v>
      </c>
      <c r="BR379" s="453">
        <v>17.7</v>
      </c>
      <c r="BS379" s="453">
        <v>0</v>
      </c>
      <c r="BT379" s="453">
        <v>23.7</v>
      </c>
      <c r="BU379" s="453">
        <v>22.7</v>
      </c>
      <c r="BV379" s="456">
        <v>441.9</v>
      </c>
      <c r="BW379" s="453">
        <v>0.5</v>
      </c>
      <c r="BX379" s="453">
        <v>1.39</v>
      </c>
      <c r="BY379" s="456">
        <v>0.88</v>
      </c>
      <c r="BZ379" s="456">
        <v>14.8</v>
      </c>
      <c r="CA379" s="456">
        <v>30.7</v>
      </c>
      <c r="CB379" s="456">
        <v>12.9</v>
      </c>
      <c r="CC379" s="456">
        <v>8.8000000000000007</v>
      </c>
      <c r="CD379" s="456">
        <v>13.1</v>
      </c>
      <c r="CE379" s="456">
        <v>17.2</v>
      </c>
      <c r="CF379" s="456">
        <v>12.5</v>
      </c>
      <c r="CG379" s="456">
        <v>501.2</v>
      </c>
      <c r="CH379" s="456">
        <v>2.2000000000000002</v>
      </c>
      <c r="CI379" s="456">
        <v>2.8</v>
      </c>
      <c r="CJ379" s="456">
        <v>244.3</v>
      </c>
      <c r="CK379" s="456">
        <v>387</v>
      </c>
      <c r="CL379" s="456">
        <v>457.4</v>
      </c>
      <c r="CM379" s="456">
        <v>12.3</v>
      </c>
      <c r="CN379" s="456">
        <v>1.4</v>
      </c>
      <c r="CO379" s="453">
        <v>0</v>
      </c>
      <c r="CP379" s="453">
        <v>15.32</v>
      </c>
      <c r="CQ379" s="453">
        <v>44</v>
      </c>
      <c r="CR379" s="456">
        <v>0</v>
      </c>
      <c r="CS379" s="456">
        <v>0</v>
      </c>
      <c r="CT379" s="456">
        <v>0</v>
      </c>
      <c r="CU379" s="456">
        <v>0</v>
      </c>
      <c r="CV379" s="481">
        <v>4430.416666666667</v>
      </c>
      <c r="CW379" s="481">
        <v>5954.166666666667</v>
      </c>
      <c r="CX379" s="481">
        <v>5105.833333333333</v>
      </c>
      <c r="CY379" s="481">
        <v>1093</v>
      </c>
      <c r="CZ379" s="456"/>
      <c r="DA379" s="456"/>
      <c r="DB379" s="456"/>
      <c r="DC379" s="456"/>
      <c r="DD379" s="456"/>
      <c r="DE379" s="423"/>
      <c r="DF379" s="423"/>
      <c r="DG379" s="3"/>
      <c r="DH379" s="423">
        <v>0</v>
      </c>
      <c r="DI379" s="423" t="s">
        <v>755</v>
      </c>
      <c r="DJ379" s="423">
        <v>1</v>
      </c>
      <c r="DK379" s="3"/>
      <c r="DL379" s="423"/>
      <c r="DM379" s="423"/>
      <c r="DN379" s="423"/>
      <c r="DO379" s="423"/>
      <c r="DP379" s="423"/>
      <c r="DQ379" s="423"/>
      <c r="DR379" s="423"/>
      <c r="DS379" s="423"/>
      <c r="DT379" s="423"/>
      <c r="DU379" s="423"/>
      <c r="DV379" s="423"/>
      <c r="DW379" s="423"/>
      <c r="DX379" s="423"/>
      <c r="DY379" s="423"/>
      <c r="DZ379" s="423"/>
      <c r="EA379" s="423"/>
      <c r="EB379" s="423"/>
      <c r="EC379" s="423"/>
      <c r="ED379" s="423"/>
      <c r="EE379" s="456">
        <v>0</v>
      </c>
      <c r="EF379" s="456">
        <v>2</v>
      </c>
      <c r="EG379" s="456">
        <v>6.5</v>
      </c>
      <c r="EH379" s="423"/>
      <c r="EI379" s="423"/>
      <c r="EJ379" s="423"/>
      <c r="EK379" s="423"/>
      <c r="EL379" s="423"/>
      <c r="EM379" s="423"/>
      <c r="EN379" s="423"/>
      <c r="EO379" s="3"/>
      <c r="EP379" s="3"/>
      <c r="EQ379" s="3" t="s">
        <v>743</v>
      </c>
      <c r="ER379" s="3">
        <v>1</v>
      </c>
      <c r="ES379" s="3">
        <v>4</v>
      </c>
      <c r="ET379" s="3">
        <v>4000</v>
      </c>
      <c r="EU379" s="416">
        <v>3040</v>
      </c>
      <c r="EV379" s="3">
        <v>120</v>
      </c>
      <c r="EW379" s="425">
        <v>7569697</v>
      </c>
      <c r="EX379" s="425">
        <v>67185</v>
      </c>
      <c r="EY379" s="666">
        <v>17.8</v>
      </c>
      <c r="EZ379" s="666">
        <v>17.8</v>
      </c>
      <c r="FA379" s="666">
        <v>0</v>
      </c>
      <c r="FB379" s="666">
        <v>1.37</v>
      </c>
      <c r="FC379" s="666">
        <v>1.4</v>
      </c>
      <c r="FD379" s="666">
        <v>0.95</v>
      </c>
      <c r="FE379" s="666">
        <v>0.94</v>
      </c>
      <c r="FF379" s="666">
        <v>120</v>
      </c>
      <c r="FG379" s="666">
        <v>0.21</v>
      </c>
      <c r="FH379" s="666">
        <v>0.25</v>
      </c>
      <c r="FI379" s="666">
        <v>0.41</v>
      </c>
      <c r="FJ379" s="666">
        <v>7.99</v>
      </c>
      <c r="FK379" s="666">
        <v>8</v>
      </c>
      <c r="FL379" s="413">
        <v>8.01</v>
      </c>
      <c r="FM379" s="413">
        <v>7.5</v>
      </c>
      <c r="FN379" s="413">
        <v>0</v>
      </c>
    </row>
    <row r="380" spans="1:170" s="416" customFormat="1" ht="15">
      <c r="A380" s="425" t="s">
        <v>3</v>
      </c>
      <c r="B380" s="426">
        <v>40909</v>
      </c>
      <c r="C380" s="418">
        <v>0</v>
      </c>
      <c r="D380" s="419">
        <v>0</v>
      </c>
      <c r="E380" s="199">
        <v>0</v>
      </c>
      <c r="F380" s="199">
        <v>45</v>
      </c>
      <c r="G380" s="199">
        <v>2.5499999999999998</v>
      </c>
      <c r="H380" s="420">
        <v>23.64</v>
      </c>
      <c r="I380" s="420">
        <v>81.8</v>
      </c>
      <c r="J380" s="421" t="s">
        <v>742</v>
      </c>
      <c r="K380" s="422">
        <v>7.0000000000000007E-2</v>
      </c>
      <c r="L380" s="199">
        <v>37</v>
      </c>
      <c r="M380" s="199">
        <v>12</v>
      </c>
      <c r="N380" s="199" t="s">
        <v>742</v>
      </c>
      <c r="O380" s="199">
        <v>0</v>
      </c>
      <c r="P380" s="199">
        <v>1.52</v>
      </c>
      <c r="Q380" s="199">
        <v>1.6710352499478549</v>
      </c>
      <c r="R380" s="199">
        <v>529.58449141347421</v>
      </c>
      <c r="S380" s="199" t="s">
        <v>742</v>
      </c>
      <c r="T380" s="199">
        <v>7.98</v>
      </c>
      <c r="U380" s="199" t="s">
        <v>742</v>
      </c>
      <c r="V380" s="199">
        <v>0.83</v>
      </c>
      <c r="W380" s="199" t="e">
        <v>#VALUE!</v>
      </c>
      <c r="X380" s="423">
        <v>48.2</v>
      </c>
      <c r="Y380" s="199">
        <v>25.18</v>
      </c>
      <c r="Z380" s="199">
        <v>12.97</v>
      </c>
      <c r="AA380" s="420">
        <v>25</v>
      </c>
      <c r="AB380" s="420">
        <v>13</v>
      </c>
      <c r="AC380" s="732">
        <f t="shared" si="5"/>
        <v>38</v>
      </c>
      <c r="AD380" s="424"/>
      <c r="AE380" s="424"/>
      <c r="AF380" s="424"/>
      <c r="AG380" s="424"/>
      <c r="AH380" s="424"/>
      <c r="AI380" s="424"/>
      <c r="AJ380" s="2"/>
      <c r="AK380" s="2"/>
      <c r="AL380" s="2"/>
      <c r="AM380" s="2"/>
      <c r="AN380" s="2"/>
      <c r="AO380" s="415"/>
      <c r="AP380" s="2"/>
      <c r="AQ380" s="421"/>
      <c r="AR380" s="755">
        <v>0</v>
      </c>
      <c r="AS380" s="483">
        <v>16.3</v>
      </c>
      <c r="AT380" s="755">
        <v>0</v>
      </c>
      <c r="AU380" s="483">
        <v>25.9</v>
      </c>
      <c r="AV380" s="484">
        <v>334.6</v>
      </c>
      <c r="AW380" s="484">
        <v>401.2</v>
      </c>
      <c r="AX380" s="453">
        <v>0</v>
      </c>
      <c r="AY380" s="734">
        <v>0</v>
      </c>
      <c r="AZ380" s="734">
        <v>0</v>
      </c>
      <c r="BA380" s="734">
        <v>0</v>
      </c>
      <c r="BB380" s="453">
        <v>0</v>
      </c>
      <c r="BC380" s="453">
        <v>0</v>
      </c>
      <c r="BD380" s="453">
        <v>0</v>
      </c>
      <c r="BE380" s="734">
        <v>0</v>
      </c>
      <c r="BF380" s="453">
        <v>0</v>
      </c>
      <c r="BG380" s="453">
        <v>0</v>
      </c>
      <c r="BH380" s="734">
        <v>0</v>
      </c>
      <c r="BI380" s="453">
        <v>0</v>
      </c>
      <c r="BJ380" s="453">
        <v>13.2</v>
      </c>
      <c r="BK380" s="453">
        <v>0</v>
      </c>
      <c r="BL380" s="453">
        <v>0</v>
      </c>
      <c r="BM380" s="453">
        <v>0</v>
      </c>
      <c r="BN380" s="453">
        <v>13.1</v>
      </c>
      <c r="BO380" s="453">
        <v>1224.7</v>
      </c>
      <c r="BP380" s="453">
        <v>0</v>
      </c>
      <c r="BQ380" s="453">
        <v>17.5</v>
      </c>
      <c r="BR380" s="453">
        <v>17.5</v>
      </c>
      <c r="BS380" s="453">
        <v>0</v>
      </c>
      <c r="BT380" s="453">
        <v>23.8</v>
      </c>
      <c r="BU380" s="453">
        <v>19.600000000000001</v>
      </c>
      <c r="BV380" s="456">
        <v>427.5</v>
      </c>
      <c r="BW380" s="453">
        <v>0.39</v>
      </c>
      <c r="BX380" s="453">
        <v>1.4</v>
      </c>
      <c r="BY380" s="456">
        <v>0.88</v>
      </c>
      <c r="BZ380" s="456">
        <v>14.5</v>
      </c>
      <c r="CA380" s="456">
        <v>31.3</v>
      </c>
      <c r="CB380" s="456">
        <v>12.2</v>
      </c>
      <c r="CC380" s="456">
        <v>8.3000000000000007</v>
      </c>
      <c r="CD380" s="456">
        <v>12.5</v>
      </c>
      <c r="CE380" s="456">
        <v>17</v>
      </c>
      <c r="CF380" s="456">
        <v>12.2</v>
      </c>
      <c r="CG380" s="456">
        <v>424.8</v>
      </c>
      <c r="CH380" s="456">
        <v>1.8</v>
      </c>
      <c r="CI380" s="456">
        <v>2.6</v>
      </c>
      <c r="CJ380" s="456">
        <v>194.6</v>
      </c>
      <c r="CK380" s="456">
        <v>378.2</v>
      </c>
      <c r="CL380" s="456">
        <v>435.1</v>
      </c>
      <c r="CM380" s="456">
        <v>12.3</v>
      </c>
      <c r="CN380" s="456">
        <v>1.6</v>
      </c>
      <c r="CO380" s="453">
        <v>1514</v>
      </c>
      <c r="CP380" s="453">
        <v>15.19</v>
      </c>
      <c r="CQ380" s="453">
        <v>45</v>
      </c>
      <c r="CR380" s="456">
        <v>0</v>
      </c>
      <c r="CS380" s="456">
        <v>0</v>
      </c>
      <c r="CT380" s="456">
        <v>0</v>
      </c>
      <c r="CU380" s="456">
        <v>0</v>
      </c>
      <c r="CV380" s="481">
        <v>3400</v>
      </c>
      <c r="CW380" s="481">
        <v>3690</v>
      </c>
      <c r="CX380" s="481">
        <v>2790</v>
      </c>
      <c r="CY380" s="481">
        <v>1088.7</v>
      </c>
      <c r="CZ380" s="456"/>
      <c r="DA380" s="456"/>
      <c r="DB380" s="456"/>
      <c r="DC380" s="456"/>
      <c r="DD380" s="456"/>
      <c r="DE380" s="423"/>
      <c r="DF380" s="423"/>
      <c r="DG380" s="3"/>
      <c r="DH380" s="423">
        <v>12</v>
      </c>
      <c r="DI380" s="768" t="s">
        <v>755</v>
      </c>
      <c r="DJ380" s="423">
        <v>0.98</v>
      </c>
      <c r="DK380" s="3"/>
      <c r="DL380" s="423"/>
      <c r="DM380" s="423"/>
      <c r="DN380" s="423"/>
      <c r="DO380" s="423"/>
      <c r="DP380" s="423"/>
      <c r="DQ380" s="423"/>
      <c r="DR380" s="423"/>
      <c r="DS380" s="423"/>
      <c r="DT380" s="423"/>
      <c r="DU380" s="423"/>
      <c r="DV380" s="423"/>
      <c r="DW380" s="423"/>
      <c r="DX380" s="423"/>
      <c r="DY380" s="423"/>
      <c r="DZ380" s="423"/>
      <c r="EA380" s="423"/>
      <c r="EB380" s="423"/>
      <c r="EC380" s="423"/>
      <c r="ED380" s="423"/>
      <c r="EE380" s="456">
        <v>0</v>
      </c>
      <c r="EF380" s="456">
        <v>2</v>
      </c>
      <c r="EG380" s="456">
        <v>6.5</v>
      </c>
      <c r="EH380" s="423"/>
      <c r="EI380" s="423"/>
      <c r="EJ380" s="423"/>
      <c r="EK380" s="423"/>
      <c r="EL380" s="423"/>
      <c r="EM380" s="423"/>
      <c r="EN380" s="423"/>
      <c r="EO380" s="3"/>
      <c r="EP380" s="3"/>
      <c r="EQ380" s="3" t="s">
        <v>743</v>
      </c>
      <c r="ER380" s="3">
        <v>1</v>
      </c>
      <c r="ES380" s="3">
        <v>4</v>
      </c>
      <c r="ET380" s="3">
        <v>4000</v>
      </c>
      <c r="EU380" s="416">
        <v>2920</v>
      </c>
      <c r="EV380" s="3">
        <v>100</v>
      </c>
      <c r="EW380" s="425">
        <v>7571656</v>
      </c>
      <c r="EX380" s="425">
        <v>68486</v>
      </c>
      <c r="EY380" s="666">
        <v>17.600000000000001</v>
      </c>
      <c r="EZ380" s="666">
        <v>17.600000000000001</v>
      </c>
      <c r="FA380" s="666">
        <v>0</v>
      </c>
      <c r="FB380" s="666">
        <v>1.44</v>
      </c>
      <c r="FC380" s="666">
        <v>1.39</v>
      </c>
      <c r="FD380" s="666">
        <v>0.98</v>
      </c>
      <c r="FE380" s="666">
        <v>0.95</v>
      </c>
      <c r="FF380" s="666">
        <v>120</v>
      </c>
      <c r="FG380" s="666">
        <v>0.19</v>
      </c>
      <c r="FH380" s="666">
        <v>0.21</v>
      </c>
      <c r="FI380" s="666">
        <v>0.39</v>
      </c>
      <c r="FJ380" s="666">
        <v>8.01</v>
      </c>
      <c r="FK380" s="666">
        <v>8</v>
      </c>
      <c r="FL380" s="413">
        <v>7.95</v>
      </c>
      <c r="FM380" s="413">
        <v>7.6</v>
      </c>
      <c r="FN380" s="413">
        <v>0</v>
      </c>
    </row>
    <row r="381" spans="1:170" s="416" customFormat="1" ht="15">
      <c r="A381" s="425" t="s">
        <v>4</v>
      </c>
      <c r="B381" s="426">
        <v>40910</v>
      </c>
      <c r="C381" s="418">
        <v>0</v>
      </c>
      <c r="D381" s="419">
        <v>0.16</v>
      </c>
      <c r="E381" s="199">
        <v>0</v>
      </c>
      <c r="F381" s="199">
        <v>44</v>
      </c>
      <c r="G381" s="199">
        <v>2.2999999999999998</v>
      </c>
      <c r="H381" s="420">
        <v>19.87</v>
      </c>
      <c r="I381" s="420">
        <v>86.9</v>
      </c>
      <c r="J381" s="421" t="s">
        <v>742</v>
      </c>
      <c r="K381" s="422">
        <v>7.0000000000000007E-2</v>
      </c>
      <c r="L381" s="199">
        <v>38.299999999999997</v>
      </c>
      <c r="M381" s="199">
        <v>12</v>
      </c>
      <c r="N381" s="199" t="s">
        <v>742</v>
      </c>
      <c r="O381" s="199" t="s">
        <v>742</v>
      </c>
      <c r="P381" s="199">
        <v>1.58</v>
      </c>
      <c r="Q381" s="199" t="s">
        <v>742</v>
      </c>
      <c r="R381" s="199" t="e">
        <v>#N/A</v>
      </c>
      <c r="S381" s="199" t="s">
        <v>742</v>
      </c>
      <c r="T381" s="199">
        <v>7.97</v>
      </c>
      <c r="U381" s="199" t="s">
        <v>742</v>
      </c>
      <c r="V381" s="199">
        <v>0.82</v>
      </c>
      <c r="W381" s="199" t="e">
        <v>#VALUE!</v>
      </c>
      <c r="X381" s="423">
        <v>48.739999999999995</v>
      </c>
      <c r="Y381" s="199">
        <v>25.1</v>
      </c>
      <c r="Z381" s="199">
        <v>13.2</v>
      </c>
      <c r="AA381" s="420">
        <v>25.1</v>
      </c>
      <c r="AB381" s="420">
        <v>13.2</v>
      </c>
      <c r="AC381" s="732">
        <f t="shared" si="5"/>
        <v>38.299999999999997</v>
      </c>
      <c r="AD381" s="424"/>
      <c r="AE381" s="424"/>
      <c r="AF381" s="424"/>
      <c r="AG381" s="424"/>
      <c r="AH381" s="424"/>
      <c r="AI381" s="424"/>
      <c r="AJ381" s="2"/>
      <c r="AK381" s="2"/>
      <c r="AL381" s="2"/>
      <c r="AM381" s="2"/>
      <c r="AN381" s="2"/>
      <c r="AO381" s="415"/>
      <c r="AP381" s="2"/>
      <c r="AQ381" s="421"/>
      <c r="AR381" s="755">
        <v>0</v>
      </c>
      <c r="AS381" s="483">
        <v>11.7</v>
      </c>
      <c r="AT381" s="755">
        <v>0</v>
      </c>
      <c r="AU381" s="483">
        <v>26</v>
      </c>
      <c r="AV381" s="484">
        <v>492.3</v>
      </c>
      <c r="AW381" s="484">
        <v>497.2</v>
      </c>
      <c r="AX381" s="453">
        <v>0</v>
      </c>
      <c r="AY381" s="734">
        <v>0</v>
      </c>
      <c r="AZ381" s="734">
        <v>0</v>
      </c>
      <c r="BA381" s="734">
        <v>0</v>
      </c>
      <c r="BB381" s="453">
        <v>0</v>
      </c>
      <c r="BC381" s="453">
        <v>0</v>
      </c>
      <c r="BD381" s="453">
        <v>0</v>
      </c>
      <c r="BE381" s="734">
        <v>0</v>
      </c>
      <c r="BF381" s="453">
        <v>0</v>
      </c>
      <c r="BG381" s="453">
        <v>0</v>
      </c>
      <c r="BH381" s="734">
        <v>0</v>
      </c>
      <c r="BI381" s="453">
        <v>0</v>
      </c>
      <c r="BJ381" s="453">
        <v>13.3</v>
      </c>
      <c r="BK381" s="453">
        <v>0</v>
      </c>
      <c r="BL381" s="453">
        <v>0</v>
      </c>
      <c r="BM381" s="453">
        <v>0</v>
      </c>
      <c r="BN381" s="453">
        <v>13.1</v>
      </c>
      <c r="BO381" s="453">
        <v>1417.6</v>
      </c>
      <c r="BP381" s="453">
        <v>0</v>
      </c>
      <c r="BQ381" s="453">
        <v>17.21</v>
      </c>
      <c r="BR381" s="453">
        <v>17.23</v>
      </c>
      <c r="BS381" s="453">
        <v>0</v>
      </c>
      <c r="BT381" s="453">
        <v>23.6</v>
      </c>
      <c r="BU381" s="453">
        <v>19.600000000000001</v>
      </c>
      <c r="BV381" s="456">
        <v>552.9</v>
      </c>
      <c r="BW381" s="453">
        <v>0.31</v>
      </c>
      <c r="BX381" s="453">
        <v>1.4</v>
      </c>
      <c r="BY381" s="456">
        <v>0.91</v>
      </c>
      <c r="BZ381" s="456">
        <v>14.48</v>
      </c>
      <c r="CA381" s="456">
        <v>31.2</v>
      </c>
      <c r="CB381" s="456">
        <v>12.8</v>
      </c>
      <c r="CC381" s="456">
        <v>8.8000000000000007</v>
      </c>
      <c r="CD381" s="456">
        <v>13.1</v>
      </c>
      <c r="CE381" s="456">
        <v>17.100000000000001</v>
      </c>
      <c r="CF381" s="456">
        <v>12.4</v>
      </c>
      <c r="CG381" s="456">
        <v>340.3</v>
      </c>
      <c r="CH381" s="456">
        <v>2</v>
      </c>
      <c r="CI381" s="456">
        <v>2.7</v>
      </c>
      <c r="CJ381" s="456">
        <v>259.89999999999998</v>
      </c>
      <c r="CK381" s="456">
        <v>391.5</v>
      </c>
      <c r="CL381" s="456">
        <v>469.1</v>
      </c>
      <c r="CM381" s="456">
        <v>12.2</v>
      </c>
      <c r="CN381" s="456">
        <v>1.6</v>
      </c>
      <c r="CO381" s="453">
        <v>3313</v>
      </c>
      <c r="CP381" s="453">
        <v>15.44</v>
      </c>
      <c r="CQ381" s="453">
        <v>45</v>
      </c>
      <c r="CR381" s="456">
        <v>0</v>
      </c>
      <c r="CS381" s="456">
        <v>0</v>
      </c>
      <c r="CT381" s="456">
        <v>0</v>
      </c>
      <c r="CU381" s="456">
        <v>0</v>
      </c>
      <c r="CV381" s="481">
        <v>2114.5833333333335</v>
      </c>
      <c r="CW381" s="481">
        <v>2762.9166666666665</v>
      </c>
      <c r="CX381" s="481">
        <v>2326.4583333333335</v>
      </c>
      <c r="CY381" s="481">
        <v>1084.42</v>
      </c>
      <c r="CZ381" s="456"/>
      <c r="DA381" s="456"/>
      <c r="DB381" s="456"/>
      <c r="DC381" s="456"/>
      <c r="DD381" s="456"/>
      <c r="DE381" s="423"/>
      <c r="DF381" s="423"/>
      <c r="DG381" s="3"/>
      <c r="DH381" s="423">
        <v>26</v>
      </c>
      <c r="DI381" s="423">
        <v>0</v>
      </c>
      <c r="DJ381" s="423">
        <v>1.06</v>
      </c>
      <c r="DK381" s="3"/>
      <c r="DL381" s="423"/>
      <c r="DM381" s="423"/>
      <c r="DN381" s="423"/>
      <c r="DO381" s="423"/>
      <c r="DP381" s="423"/>
      <c r="DQ381" s="423"/>
      <c r="DR381" s="423"/>
      <c r="DS381" s="423"/>
      <c r="DT381" s="423"/>
      <c r="DU381" s="423"/>
      <c r="DV381" s="423"/>
      <c r="DW381" s="423"/>
      <c r="DX381" s="423"/>
      <c r="DY381" s="423"/>
      <c r="DZ381" s="423"/>
      <c r="EA381" s="423"/>
      <c r="EB381" s="423"/>
      <c r="EC381" s="423"/>
      <c r="ED381" s="423"/>
      <c r="EE381" s="456">
        <v>0</v>
      </c>
      <c r="EF381" s="456">
        <v>2</v>
      </c>
      <c r="EG381" s="456">
        <v>6.5</v>
      </c>
      <c r="EH381" s="423"/>
      <c r="EI381" s="423"/>
      <c r="EJ381" s="423"/>
      <c r="EK381" s="423"/>
      <c r="EL381" s="423"/>
      <c r="EM381" s="423"/>
      <c r="EN381" s="423"/>
      <c r="EO381" s="3"/>
      <c r="EP381" s="3"/>
      <c r="EQ381" s="3" t="s">
        <v>743</v>
      </c>
      <c r="ER381" s="3">
        <v>1</v>
      </c>
      <c r="ES381" s="3">
        <v>4</v>
      </c>
      <c r="ET381" s="3">
        <v>4000</v>
      </c>
      <c r="EU381" s="416">
        <v>2800</v>
      </c>
      <c r="EV381" s="3">
        <v>140</v>
      </c>
      <c r="EW381" s="425">
        <v>7573630</v>
      </c>
      <c r="EX381" s="425">
        <v>69749</v>
      </c>
      <c r="EY381" s="666">
        <v>17.600000000000001</v>
      </c>
      <c r="EZ381" s="666">
        <v>17.600000000000001</v>
      </c>
      <c r="FA381" s="666">
        <v>0</v>
      </c>
      <c r="FB381" s="666">
        <v>1.38</v>
      </c>
      <c r="FC381" s="666">
        <v>1.37</v>
      </c>
      <c r="FD381" s="666">
        <v>1</v>
      </c>
      <c r="FE381" s="666">
        <v>0.97</v>
      </c>
      <c r="FF381" s="666">
        <v>120</v>
      </c>
      <c r="FG381" s="666">
        <v>0.63</v>
      </c>
      <c r="FH381" s="666">
        <v>0.19</v>
      </c>
      <c r="FI381" s="666">
        <v>0.37</v>
      </c>
      <c r="FJ381" s="666">
        <v>8.01</v>
      </c>
      <c r="FK381" s="666">
        <v>8</v>
      </c>
      <c r="FL381" s="413">
        <v>8.0500000000000007</v>
      </c>
      <c r="FM381" s="413">
        <v>7.7</v>
      </c>
      <c r="FN381" s="413">
        <v>0</v>
      </c>
    </row>
    <row r="382" spans="1:170" s="416" customFormat="1" ht="15">
      <c r="A382" s="425" t="s">
        <v>5</v>
      </c>
      <c r="B382" s="426">
        <v>40911</v>
      </c>
      <c r="C382" s="418">
        <v>0</v>
      </c>
      <c r="D382" s="419"/>
      <c r="E382" s="199"/>
      <c r="F382" s="199"/>
      <c r="G382" s="199"/>
      <c r="H382" s="420"/>
      <c r="I382" s="420"/>
      <c r="J382" s="421"/>
      <c r="K382" s="422"/>
      <c r="L382" s="199"/>
      <c r="M382" s="199"/>
      <c r="N382" s="199"/>
      <c r="O382" s="199"/>
      <c r="P382" s="199"/>
      <c r="Q382" s="199"/>
      <c r="R382" s="199"/>
      <c r="S382" s="199"/>
      <c r="T382" s="199"/>
      <c r="U382" s="199"/>
      <c r="V382" s="199"/>
      <c r="W382" s="199"/>
      <c r="X382" s="423"/>
      <c r="Y382" s="199"/>
      <c r="Z382" s="199"/>
      <c r="AA382" s="420"/>
      <c r="AB382" s="420"/>
      <c r="AC382" s="424"/>
      <c r="AD382" s="424"/>
      <c r="AE382" s="424"/>
      <c r="AF382" s="424"/>
      <c r="AG382" s="424"/>
      <c r="AH382" s="424"/>
      <c r="AI382" s="424"/>
      <c r="AJ382" s="2"/>
      <c r="AK382" s="2"/>
      <c r="AL382" s="2"/>
      <c r="AM382" s="2"/>
      <c r="AN382" s="2"/>
      <c r="AO382" s="415"/>
      <c r="AP382" s="2"/>
      <c r="AQ382" s="421"/>
      <c r="AR382" s="755"/>
      <c r="AS382" s="483"/>
      <c r="AT382" s="755"/>
      <c r="AU382" s="483"/>
      <c r="AV382" s="484"/>
      <c r="AW382" s="484"/>
      <c r="AX382" s="453"/>
      <c r="AY382" s="734"/>
      <c r="AZ382" s="734"/>
      <c r="BA382" s="734"/>
      <c r="BB382" s="453"/>
      <c r="BC382" s="453"/>
      <c r="BD382" s="453"/>
      <c r="BE382" s="734"/>
      <c r="BF382" s="453"/>
      <c r="BG382" s="453"/>
      <c r="BH382" s="734"/>
      <c r="BI382" s="453"/>
      <c r="BJ382" s="453"/>
      <c r="BK382" s="453"/>
      <c r="BL382" s="453"/>
      <c r="BM382" s="453"/>
      <c r="BN382" s="453"/>
      <c r="BO382" s="453"/>
      <c r="BP382" s="453"/>
      <c r="BQ382" s="453"/>
      <c r="BR382" s="453"/>
      <c r="BS382" s="453"/>
      <c r="BT382" s="453"/>
      <c r="BU382" s="453"/>
      <c r="BV382" s="456"/>
      <c r="BW382" s="453"/>
      <c r="BX382" s="453"/>
      <c r="BY382" s="456"/>
      <c r="BZ382" s="456"/>
      <c r="CA382" s="456"/>
      <c r="CB382" s="456"/>
      <c r="CC382" s="456"/>
      <c r="CD382" s="456"/>
      <c r="CE382" s="456"/>
      <c r="CF382" s="456"/>
      <c r="CG382" s="456"/>
      <c r="CH382" s="456"/>
      <c r="CI382" s="456"/>
      <c r="CJ382" s="456"/>
      <c r="CK382" s="456"/>
      <c r="CL382" s="456"/>
      <c r="CM382" s="456"/>
      <c r="CN382" s="456"/>
      <c r="CO382" s="453"/>
      <c r="CP382" s="453"/>
      <c r="CQ382" s="453"/>
      <c r="CR382" s="456"/>
      <c r="CS382" s="456"/>
      <c r="CT382" s="456"/>
      <c r="CU382" s="456"/>
      <c r="CV382" s="481"/>
      <c r="CW382" s="481"/>
      <c r="CX382" s="481"/>
      <c r="CY382" s="481"/>
      <c r="CZ382" s="456"/>
      <c r="DA382" s="456"/>
      <c r="DB382" s="456"/>
      <c r="DC382" s="456"/>
      <c r="DD382" s="456"/>
      <c r="DE382" s="423"/>
      <c r="DF382" s="423"/>
      <c r="DG382" s="3"/>
      <c r="DH382" s="423"/>
      <c r="DI382" s="423"/>
      <c r="DJ382" s="423"/>
      <c r="DK382" s="3"/>
      <c r="DL382" s="423"/>
      <c r="DM382" s="423"/>
      <c r="DN382" s="423"/>
      <c r="DO382" s="423"/>
      <c r="DP382" s="423"/>
      <c r="DQ382" s="423"/>
      <c r="DR382" s="423"/>
      <c r="DS382" s="423"/>
      <c r="DT382" s="423"/>
      <c r="DU382" s="423"/>
      <c r="DV382" s="423"/>
      <c r="DW382" s="423"/>
      <c r="DX382" s="423"/>
      <c r="DY382" s="423"/>
      <c r="DZ382" s="423"/>
      <c r="EA382" s="423"/>
      <c r="EB382" s="423"/>
      <c r="EC382" s="423"/>
      <c r="ED382" s="423"/>
      <c r="EE382" s="456">
        <v>0</v>
      </c>
      <c r="EF382" s="456">
        <v>2</v>
      </c>
      <c r="EG382" s="456">
        <v>6.5</v>
      </c>
      <c r="EH382" s="423"/>
      <c r="EI382" s="423"/>
      <c r="EJ382" s="423"/>
      <c r="EK382" s="423"/>
      <c r="EL382" s="423"/>
      <c r="EM382" s="423"/>
      <c r="EN382" s="423"/>
      <c r="EO382" s="3"/>
      <c r="EP382" s="3"/>
      <c r="EQ382" s="3"/>
      <c r="ER382" s="3"/>
      <c r="ES382" s="3"/>
      <c r="ET382" s="3"/>
      <c r="EV382" s="3"/>
      <c r="EW382" s="425"/>
      <c r="EX382" s="425"/>
      <c r="EY382" s="666"/>
      <c r="EZ382" s="666"/>
      <c r="FA382" s="666"/>
      <c r="FB382" s="666"/>
      <c r="FC382" s="666"/>
      <c r="FD382" s="666"/>
      <c r="FE382" s="666"/>
      <c r="FF382" s="666"/>
      <c r="FG382" s="666"/>
      <c r="FH382" s="666"/>
      <c r="FI382" s="666"/>
      <c r="FJ382" s="666"/>
      <c r="FK382" s="666"/>
      <c r="FL382" s="413"/>
      <c r="FM382" s="413"/>
      <c r="FN382" s="413"/>
    </row>
    <row r="383" spans="1:170" s="416" customFormat="1" ht="15">
      <c r="A383" s="425" t="s">
        <v>6</v>
      </c>
      <c r="B383" s="426">
        <v>40912</v>
      </c>
      <c r="C383" s="418">
        <v>0</v>
      </c>
      <c r="D383" s="419"/>
      <c r="E383" s="199"/>
      <c r="F383" s="199"/>
      <c r="G383" s="199"/>
      <c r="H383" s="420"/>
      <c r="I383" s="420"/>
      <c r="J383" s="421"/>
      <c r="K383" s="422"/>
      <c r="L383" s="199"/>
      <c r="M383" s="199"/>
      <c r="N383" s="199"/>
      <c r="O383" s="199"/>
      <c r="P383" s="199"/>
      <c r="Q383" s="199"/>
      <c r="R383" s="199"/>
      <c r="S383" s="199"/>
      <c r="T383" s="199"/>
      <c r="U383" s="199"/>
      <c r="V383" s="199"/>
      <c r="W383" s="199"/>
      <c r="X383" s="423"/>
      <c r="Y383" s="199"/>
      <c r="Z383" s="199"/>
      <c r="AA383" s="420"/>
      <c r="AB383" s="420"/>
      <c r="AC383" s="424"/>
      <c r="AD383" s="424"/>
      <c r="AE383" s="424"/>
      <c r="AF383" s="424"/>
      <c r="AG383" s="424"/>
      <c r="AH383" s="424"/>
      <c r="AI383" s="424"/>
      <c r="AJ383" s="2"/>
      <c r="AK383" s="2"/>
      <c r="AL383" s="2"/>
      <c r="AM383" s="2"/>
      <c r="AN383" s="2"/>
      <c r="AO383" s="415"/>
      <c r="AP383" s="2"/>
      <c r="AQ383" s="421"/>
      <c r="AR383" s="755"/>
      <c r="AS383" s="483"/>
      <c r="AT383" s="755"/>
      <c r="AU383" s="483"/>
      <c r="AV383" s="484"/>
      <c r="AW383" s="484"/>
      <c r="AX383" s="453"/>
      <c r="AY383" s="734"/>
      <c r="AZ383" s="734"/>
      <c r="BA383" s="734"/>
      <c r="BB383" s="453"/>
      <c r="BC383" s="453"/>
      <c r="BD383" s="453"/>
      <c r="BE383" s="734"/>
      <c r="BF383" s="453"/>
      <c r="BG383" s="453"/>
      <c r="BH383" s="734"/>
      <c r="BI383" s="453"/>
      <c r="BJ383" s="453"/>
      <c r="BK383" s="453"/>
      <c r="BL383" s="453"/>
      <c r="BM383" s="453"/>
      <c r="BN383" s="453"/>
      <c r="BO383" s="453"/>
      <c r="BP383" s="453"/>
      <c r="BQ383" s="453"/>
      <c r="BR383" s="453"/>
      <c r="BS383" s="453"/>
      <c r="BT383" s="453"/>
      <c r="BU383" s="453"/>
      <c r="BV383" s="456"/>
      <c r="BW383" s="453"/>
      <c r="BX383" s="453"/>
      <c r="BY383" s="456"/>
      <c r="BZ383" s="456"/>
      <c r="CA383" s="456"/>
      <c r="CB383" s="456"/>
      <c r="CC383" s="456"/>
      <c r="CD383" s="456"/>
      <c r="CE383" s="456"/>
      <c r="CF383" s="456"/>
      <c r="CG383" s="456"/>
      <c r="CH383" s="456"/>
      <c r="CI383" s="456"/>
      <c r="CJ383" s="456"/>
      <c r="CK383" s="456"/>
      <c r="CL383" s="456"/>
      <c r="CM383" s="456"/>
      <c r="CN383" s="456"/>
      <c r="CO383" s="453"/>
      <c r="CP383" s="453"/>
      <c r="CQ383" s="453"/>
      <c r="CR383" s="456"/>
      <c r="CS383" s="456"/>
      <c r="CT383" s="456"/>
      <c r="CU383" s="456"/>
      <c r="CV383" s="481"/>
      <c r="CW383" s="481"/>
      <c r="CX383" s="481"/>
      <c r="CY383" s="481"/>
      <c r="CZ383" s="456"/>
      <c r="DA383" s="456"/>
      <c r="DB383" s="456"/>
      <c r="DC383" s="456"/>
      <c r="DD383" s="456"/>
      <c r="DE383" s="423"/>
      <c r="DF383" s="423"/>
      <c r="DG383" s="3"/>
      <c r="DH383" s="423"/>
      <c r="DI383" s="423"/>
      <c r="DJ383" s="423"/>
      <c r="DK383" s="3"/>
      <c r="DL383" s="423"/>
      <c r="DM383" s="423"/>
      <c r="DN383" s="423"/>
      <c r="DO383" s="423"/>
      <c r="DP383" s="423"/>
      <c r="DQ383" s="423"/>
      <c r="DR383" s="423"/>
      <c r="DS383" s="423"/>
      <c r="DT383" s="423"/>
      <c r="DU383" s="423"/>
      <c r="DV383" s="423"/>
      <c r="DW383" s="423"/>
      <c r="DX383" s="423"/>
      <c r="DY383" s="423"/>
      <c r="DZ383" s="423"/>
      <c r="EA383" s="423"/>
      <c r="EB383" s="423"/>
      <c r="EC383" s="423"/>
      <c r="ED383" s="423"/>
      <c r="EE383" s="456">
        <v>0</v>
      </c>
      <c r="EF383" s="456">
        <v>2</v>
      </c>
      <c r="EG383" s="456">
        <v>6.5</v>
      </c>
      <c r="EH383" s="423"/>
      <c r="EI383" s="423"/>
      <c r="EJ383" s="423"/>
      <c r="EK383" s="423"/>
      <c r="EL383" s="423"/>
      <c r="EM383" s="423"/>
      <c r="EN383" s="423"/>
      <c r="EO383" s="3"/>
      <c r="EP383" s="3"/>
      <c r="EQ383" s="3"/>
      <c r="ER383" s="3"/>
      <c r="ES383" s="3"/>
      <c r="ET383" s="3"/>
      <c r="EV383" s="3"/>
      <c r="EW383" s="425"/>
      <c r="EX383" s="425"/>
      <c r="EY383" s="666"/>
      <c r="EZ383" s="666"/>
      <c r="FA383" s="666"/>
      <c r="FB383" s="666"/>
      <c r="FC383" s="666"/>
      <c r="FD383" s="666"/>
      <c r="FE383" s="666"/>
      <c r="FF383" s="666"/>
      <c r="FG383" s="666"/>
      <c r="FH383" s="666"/>
      <c r="FI383" s="666"/>
      <c r="FJ383" s="666"/>
      <c r="FK383" s="666"/>
      <c r="FL383" s="413"/>
      <c r="FM383" s="413"/>
      <c r="FN383" s="413"/>
    </row>
    <row r="384" spans="1:170" s="416" customFormat="1" ht="15">
      <c r="A384" s="425" t="s">
        <v>7</v>
      </c>
      <c r="B384" s="426">
        <v>40913</v>
      </c>
      <c r="C384" s="418">
        <v>0</v>
      </c>
      <c r="D384" s="419"/>
      <c r="E384" s="199"/>
      <c r="F384" s="199"/>
      <c r="G384" s="199"/>
      <c r="H384" s="420"/>
      <c r="I384" s="420"/>
      <c r="J384" s="421"/>
      <c r="K384" s="422"/>
      <c r="L384" s="199"/>
      <c r="M384" s="199"/>
      <c r="N384" s="199"/>
      <c r="O384" s="199"/>
      <c r="P384" s="199"/>
      <c r="Q384" s="199"/>
      <c r="R384" s="199"/>
      <c r="S384" s="199"/>
      <c r="T384" s="199"/>
      <c r="U384" s="199"/>
      <c r="V384" s="199"/>
      <c r="W384" s="199"/>
      <c r="X384" s="423"/>
      <c r="Y384" s="199"/>
      <c r="Z384" s="199"/>
      <c r="AA384" s="420"/>
      <c r="AB384" s="420"/>
      <c r="AC384" s="424"/>
      <c r="AD384" s="424"/>
      <c r="AE384" s="424"/>
      <c r="AF384" s="424"/>
      <c r="AG384" s="424"/>
      <c r="AH384" s="424"/>
      <c r="AI384" s="424"/>
      <c r="AJ384" s="2"/>
      <c r="AK384" s="2"/>
      <c r="AL384" s="2"/>
      <c r="AM384" s="2"/>
      <c r="AN384" s="2"/>
      <c r="AO384" s="415"/>
      <c r="AP384" s="2"/>
      <c r="AQ384" s="421"/>
      <c r="AR384" s="755"/>
      <c r="AS384" s="483"/>
      <c r="AT384" s="755"/>
      <c r="AU384" s="483"/>
      <c r="AV384" s="484"/>
      <c r="AW384" s="484"/>
      <c r="AX384" s="453"/>
      <c r="AY384" s="734"/>
      <c r="AZ384" s="734"/>
      <c r="BA384" s="734"/>
      <c r="BB384" s="453"/>
      <c r="BC384" s="453"/>
      <c r="BD384" s="453"/>
      <c r="BE384" s="734"/>
      <c r="BF384" s="453"/>
      <c r="BG384" s="453"/>
      <c r="BH384" s="734"/>
      <c r="BI384" s="453"/>
      <c r="BJ384" s="453"/>
      <c r="BK384" s="453"/>
      <c r="BL384" s="453"/>
      <c r="BM384" s="453"/>
      <c r="BN384" s="453"/>
      <c r="BO384" s="453"/>
      <c r="BP384" s="453"/>
      <c r="BQ384" s="453"/>
      <c r="BR384" s="453"/>
      <c r="BS384" s="453"/>
      <c r="BT384" s="453"/>
      <c r="BU384" s="453"/>
      <c r="BV384" s="456"/>
      <c r="BW384" s="453"/>
      <c r="BX384" s="453"/>
      <c r="BY384" s="456"/>
      <c r="BZ384" s="456"/>
      <c r="CA384" s="456"/>
      <c r="CB384" s="456"/>
      <c r="CC384" s="456"/>
      <c r="CD384" s="456"/>
      <c r="CE384" s="456"/>
      <c r="CF384" s="456"/>
      <c r="CG384" s="456"/>
      <c r="CH384" s="456"/>
      <c r="CI384" s="456"/>
      <c r="CJ384" s="456"/>
      <c r="CK384" s="456"/>
      <c r="CL384" s="456"/>
      <c r="CM384" s="456"/>
      <c r="CN384" s="456"/>
      <c r="CO384" s="453"/>
      <c r="CP384" s="453"/>
      <c r="CQ384" s="453"/>
      <c r="CR384" s="456"/>
      <c r="CS384" s="456"/>
      <c r="CT384" s="456"/>
      <c r="CU384" s="456"/>
      <c r="CV384" s="481"/>
      <c r="CW384" s="481"/>
      <c r="CX384" s="481"/>
      <c r="CY384" s="481"/>
      <c r="CZ384" s="456"/>
      <c r="DA384" s="456"/>
      <c r="DB384" s="456"/>
      <c r="DC384" s="456"/>
      <c r="DD384" s="456"/>
      <c r="DE384" s="423"/>
      <c r="DF384" s="423"/>
      <c r="DG384" s="3"/>
      <c r="DH384" s="423"/>
      <c r="DI384" s="423"/>
      <c r="DJ384" s="423"/>
      <c r="DK384" s="3"/>
      <c r="DL384" s="423"/>
      <c r="DM384" s="423"/>
      <c r="DN384" s="423"/>
      <c r="DO384" s="423"/>
      <c r="DP384" s="423"/>
      <c r="DQ384" s="423"/>
      <c r="DR384" s="423"/>
      <c r="DS384" s="423"/>
      <c r="DT384" s="423"/>
      <c r="DU384" s="423"/>
      <c r="DV384" s="423"/>
      <c r="DW384" s="423"/>
      <c r="DX384" s="423"/>
      <c r="DY384" s="423"/>
      <c r="DZ384" s="423"/>
      <c r="EA384" s="423"/>
      <c r="EB384" s="423"/>
      <c r="EC384" s="423"/>
      <c r="ED384" s="423"/>
      <c r="EE384" s="456">
        <v>0</v>
      </c>
      <c r="EF384" s="456">
        <v>2</v>
      </c>
      <c r="EG384" s="456">
        <v>6.5</v>
      </c>
      <c r="EH384" s="423"/>
      <c r="EI384" s="423"/>
      <c r="EJ384" s="423"/>
      <c r="EK384" s="423"/>
      <c r="EL384" s="423"/>
      <c r="EM384" s="423"/>
      <c r="EN384" s="423"/>
      <c r="EO384" s="3"/>
      <c r="EP384" s="3"/>
      <c r="EQ384" s="3"/>
      <c r="ER384" s="3"/>
      <c r="ES384" s="3"/>
      <c r="ET384" s="3"/>
      <c r="EV384" s="3"/>
      <c r="EW384" s="425"/>
      <c r="EX384" s="425"/>
      <c r="EY384" s="666"/>
      <c r="EZ384" s="666"/>
      <c r="FA384" s="666"/>
      <c r="FB384" s="666"/>
      <c r="FC384" s="666"/>
      <c r="FD384" s="666"/>
      <c r="FE384" s="666"/>
      <c r="FF384" s="666"/>
      <c r="FG384" s="666"/>
      <c r="FH384" s="666"/>
      <c r="FI384" s="666"/>
      <c r="FJ384" s="666"/>
      <c r="FK384" s="666"/>
      <c r="FL384" s="413"/>
      <c r="FM384" s="413"/>
      <c r="FN384" s="413"/>
    </row>
    <row r="385" spans="1:170" s="416" customFormat="1" ht="15">
      <c r="A385" s="425" t="s">
        <v>7</v>
      </c>
      <c r="B385" s="426">
        <v>40914</v>
      </c>
      <c r="C385" s="418">
        <v>0</v>
      </c>
      <c r="D385" s="419"/>
      <c r="E385" s="199"/>
      <c r="F385" s="199"/>
      <c r="G385" s="199"/>
      <c r="H385" s="420"/>
      <c r="I385" s="420"/>
      <c r="J385" s="421"/>
      <c r="K385" s="422"/>
      <c r="L385" s="199"/>
      <c r="M385" s="199"/>
      <c r="N385" s="199"/>
      <c r="O385" s="199"/>
      <c r="P385" s="199"/>
      <c r="Q385" s="199"/>
      <c r="R385" s="199"/>
      <c r="S385" s="199"/>
      <c r="T385" s="199"/>
      <c r="U385" s="199"/>
      <c r="V385" s="199"/>
      <c r="W385" s="199"/>
      <c r="X385" s="423"/>
      <c r="Y385" s="199"/>
      <c r="Z385" s="199"/>
      <c r="AA385" s="420"/>
      <c r="AB385" s="420"/>
      <c r="AC385" s="424"/>
      <c r="AD385" s="424"/>
      <c r="AE385" s="424"/>
      <c r="AF385" s="424"/>
      <c r="AG385" s="424"/>
      <c r="AH385" s="424"/>
      <c r="AI385" s="424"/>
      <c r="AJ385" s="2"/>
      <c r="AK385" s="2"/>
      <c r="AL385" s="2"/>
      <c r="AM385" s="2"/>
      <c r="AN385" s="2"/>
      <c r="AO385" s="415"/>
      <c r="AP385" s="2"/>
      <c r="AQ385" s="421"/>
      <c r="AR385" s="755"/>
      <c r="AS385" s="483"/>
      <c r="AT385" s="755"/>
      <c r="AU385" s="483"/>
      <c r="AV385" s="484"/>
      <c r="AW385" s="484"/>
      <c r="AX385" s="453"/>
      <c r="AY385" s="734"/>
      <c r="AZ385" s="734"/>
      <c r="BA385" s="734"/>
      <c r="BB385" s="453"/>
      <c r="BC385" s="453"/>
      <c r="BD385" s="453"/>
      <c r="BE385" s="734"/>
      <c r="BF385" s="453"/>
      <c r="BG385" s="453"/>
      <c r="BH385" s="734"/>
      <c r="BI385" s="453"/>
      <c r="BJ385" s="453"/>
      <c r="BK385" s="453"/>
      <c r="BL385" s="453"/>
      <c r="BM385" s="453"/>
      <c r="BN385" s="453"/>
      <c r="BO385" s="763" t="s">
        <v>169</v>
      </c>
      <c r="BP385" s="763" t="s">
        <v>785</v>
      </c>
      <c r="BQ385" s="763" t="s">
        <v>786</v>
      </c>
      <c r="BR385" s="763" t="s">
        <v>267</v>
      </c>
      <c r="BS385" s="453"/>
      <c r="BT385" s="453"/>
      <c r="BU385" s="453"/>
      <c r="BV385" s="456"/>
      <c r="BW385" s="453"/>
      <c r="BX385" s="453"/>
      <c r="BY385" s="456"/>
      <c r="BZ385" s="456"/>
      <c r="CA385" s="456"/>
      <c r="CB385" s="456"/>
      <c r="CC385" s="456"/>
      <c r="CD385" s="456"/>
      <c r="CE385" s="456"/>
      <c r="CF385" s="456"/>
      <c r="CG385" s="456"/>
      <c r="CH385" s="456"/>
      <c r="CI385" s="456"/>
      <c r="CJ385" s="456"/>
      <c r="CK385" s="456"/>
      <c r="CL385" s="456"/>
      <c r="CM385" s="456"/>
      <c r="CN385" s="456"/>
      <c r="CO385" s="453"/>
      <c r="CP385" s="453"/>
      <c r="CQ385" s="453"/>
      <c r="CR385" s="456"/>
      <c r="CS385" s="456"/>
      <c r="CT385" s="456"/>
      <c r="CU385" s="456"/>
      <c r="CV385" s="481"/>
      <c r="CW385" s="481"/>
      <c r="CX385" s="481"/>
      <c r="CY385" s="481"/>
      <c r="CZ385" s="456"/>
      <c r="DA385" s="456"/>
      <c r="DB385" s="456"/>
      <c r="DC385" s="456"/>
      <c r="DD385" s="456"/>
      <c r="DE385" s="423"/>
      <c r="DF385" s="423"/>
      <c r="DG385" s="3"/>
      <c r="DH385" s="423"/>
      <c r="DI385" s="423"/>
      <c r="DJ385" s="423"/>
      <c r="DK385" s="3"/>
      <c r="DL385" s="423"/>
      <c r="DM385" s="423"/>
      <c r="DN385" s="423"/>
      <c r="DO385" s="423"/>
      <c r="DP385" s="423"/>
      <c r="DQ385" s="423"/>
      <c r="DR385" s="423"/>
      <c r="DS385" s="423"/>
      <c r="DT385" s="423"/>
      <c r="DU385" s="423"/>
      <c r="DV385" s="423"/>
      <c r="DW385" s="423"/>
      <c r="DX385" s="423"/>
      <c r="DY385" s="423"/>
      <c r="DZ385" s="423"/>
      <c r="EA385" s="423"/>
      <c r="EB385" s="423"/>
      <c r="EC385" s="423"/>
      <c r="ED385" s="423"/>
      <c r="EE385" s="456">
        <v>0</v>
      </c>
      <c r="EF385" s="456">
        <v>2</v>
      </c>
      <c r="EG385" s="456">
        <v>6.5</v>
      </c>
      <c r="EH385" s="423"/>
      <c r="EI385" s="423"/>
      <c r="EJ385" s="423"/>
      <c r="EK385" s="423"/>
      <c r="EL385" s="423"/>
      <c r="EM385" s="423"/>
      <c r="EN385" s="423"/>
      <c r="EO385" s="3"/>
      <c r="EP385" s="3"/>
      <c r="EQ385" s="3"/>
      <c r="ER385" s="3"/>
      <c r="ES385" s="3"/>
      <c r="ET385" s="3"/>
      <c r="EV385" s="3"/>
      <c r="EW385" s="425"/>
      <c r="EX385" s="425"/>
      <c r="EY385" s="666"/>
      <c r="EZ385" s="666"/>
      <c r="FA385" s="666"/>
      <c r="FB385" s="666"/>
      <c r="FC385" s="666"/>
      <c r="FD385" s="666"/>
      <c r="FE385" s="666"/>
      <c r="FF385" s="666"/>
      <c r="FG385" s="666"/>
      <c r="FH385" s="666"/>
      <c r="FI385" s="666"/>
      <c r="FJ385" s="666"/>
      <c r="FK385" s="666"/>
      <c r="FL385" s="413"/>
      <c r="FM385" s="413"/>
      <c r="FN385" s="413"/>
    </row>
    <row r="386" spans="1:170" s="416" customFormat="1" ht="15">
      <c r="A386" s="427"/>
      <c r="B386" s="417"/>
      <c r="C386" s="427"/>
      <c r="D386" s="427"/>
      <c r="E386" s="428"/>
      <c r="F386" s="429"/>
      <c r="G386" s="430"/>
      <c r="H386" s="427"/>
      <c r="I386" s="427"/>
      <c r="J386" s="427"/>
      <c r="K386" s="427"/>
      <c r="L386" s="427"/>
      <c r="M386" s="427"/>
      <c r="N386" s="427"/>
      <c r="O386" s="427"/>
      <c r="P386" s="427"/>
      <c r="Q386" s="427"/>
      <c r="R386" s="427"/>
      <c r="S386" s="427"/>
      <c r="T386" s="427"/>
      <c r="U386" s="427"/>
      <c r="V386" s="428"/>
      <c r="W386" s="431"/>
      <c r="X386" s="3"/>
      <c r="Y386" s="429"/>
      <c r="Z386" s="430"/>
      <c r="AA386" s="430"/>
      <c r="AB386" s="430"/>
      <c r="AC386" s="424"/>
      <c r="AD386" s="424"/>
      <c r="AE386" s="424"/>
      <c r="AF386" s="424"/>
      <c r="AG386" s="424"/>
      <c r="AH386" s="424"/>
      <c r="AI386" s="424"/>
      <c r="AJ386" s="2"/>
      <c r="AK386" s="2"/>
      <c r="AL386" s="2"/>
      <c r="AM386" s="2"/>
      <c r="AN386" s="2"/>
      <c r="AO386" s="2"/>
      <c r="AP386" s="2"/>
      <c r="AQ386" s="427"/>
      <c r="AR386" s="754"/>
      <c r="AS386" s="454"/>
      <c r="AT386" s="754"/>
      <c r="AU386" s="454"/>
      <c r="AV386" s="454"/>
      <c r="AW386" s="454"/>
      <c r="AX386" s="454"/>
      <c r="AY386" s="754"/>
      <c r="AZ386" s="754"/>
      <c r="BA386" s="754"/>
      <c r="BB386" s="877" t="s">
        <v>783</v>
      </c>
      <c r="BC386" s="454">
        <f>SUM(BC15:BC45)</f>
        <v>5.96</v>
      </c>
      <c r="BD386" s="454">
        <f t="shared" ref="BD386:BM386" si="6">SUM(BD15:BD45)</f>
        <v>8.25</v>
      </c>
      <c r="BE386" s="454">
        <f t="shared" si="6"/>
        <v>0</v>
      </c>
      <c r="BF386" s="454">
        <f t="shared" si="6"/>
        <v>0</v>
      </c>
      <c r="BG386" s="454">
        <f t="shared" si="6"/>
        <v>0</v>
      </c>
      <c r="BH386" s="454">
        <f t="shared" si="6"/>
        <v>0</v>
      </c>
      <c r="BI386" s="454">
        <f t="shared" si="6"/>
        <v>0</v>
      </c>
      <c r="BJ386" s="454">
        <f t="shared" si="6"/>
        <v>555.1</v>
      </c>
      <c r="BK386" s="454">
        <f t="shared" si="6"/>
        <v>0</v>
      </c>
      <c r="BL386" s="454">
        <f t="shared" si="6"/>
        <v>33.979999999999997</v>
      </c>
      <c r="BM386" s="454">
        <f t="shared" si="6"/>
        <v>0</v>
      </c>
      <c r="BN386" s="454"/>
      <c r="BO386" s="454"/>
      <c r="BP386" s="454">
        <f>SUM(BC386:BF386)</f>
        <v>14.21</v>
      </c>
      <c r="BQ386" s="454">
        <f>SUM(BK386:BM386)</f>
        <v>33.979999999999997</v>
      </c>
      <c r="BR386" s="454">
        <f>SUM(BG386:BI386)</f>
        <v>0</v>
      </c>
      <c r="BS386" s="460"/>
      <c r="BT386" s="454"/>
      <c r="BU386" s="454"/>
      <c r="BV386" s="457"/>
      <c r="BW386" s="460"/>
      <c r="BX386" s="460"/>
      <c r="BY386" s="460"/>
      <c r="BZ386" s="457"/>
      <c r="CA386" s="485"/>
      <c r="CB386" s="485"/>
      <c r="CC386" s="485"/>
      <c r="CD386" s="485"/>
      <c r="CE386" s="485"/>
      <c r="CF386" s="485"/>
      <c r="CG386" s="485"/>
      <c r="CH386" s="485"/>
      <c r="CI386" s="485"/>
      <c r="CJ386" s="485"/>
      <c r="CK386" s="485"/>
      <c r="CL386" s="485"/>
      <c r="CM386" s="485"/>
      <c r="CN386" s="485"/>
      <c r="CO386" s="454"/>
      <c r="CP386" s="454"/>
      <c r="CQ386" s="454"/>
      <c r="CR386" s="485"/>
      <c r="CS386" s="485"/>
      <c r="CT386" s="485"/>
      <c r="CU386" s="485"/>
      <c r="CV386" s="482"/>
      <c r="CW386" s="482"/>
      <c r="CX386" s="482"/>
      <c r="CY386" s="482"/>
      <c r="CZ386" s="485"/>
      <c r="DA386" s="485"/>
      <c r="DB386" s="485"/>
      <c r="DC386" s="485"/>
      <c r="DD386" s="485"/>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V386" s="2"/>
      <c r="EW386" s="485"/>
      <c r="EX386" s="485"/>
      <c r="EY386" s="457"/>
      <c r="EZ386" s="457"/>
      <c r="FA386" s="457"/>
      <c r="FB386" s="457"/>
      <c r="FC386" s="457"/>
      <c r="FD386" s="457"/>
      <c r="FE386" s="457"/>
      <c r="FF386" s="457"/>
      <c r="FG386" s="457"/>
      <c r="FH386" s="457"/>
      <c r="FI386" s="457"/>
      <c r="FJ386" s="457"/>
      <c r="FK386" s="457"/>
    </row>
    <row r="387" spans="1:170" s="416" customFormat="1" ht="15">
      <c r="A387" s="427"/>
      <c r="B387" s="417"/>
      <c r="C387" s="427"/>
      <c r="D387" s="427"/>
      <c r="E387" s="428"/>
      <c r="F387" s="429"/>
      <c r="G387" s="430"/>
      <c r="H387" s="427"/>
      <c r="I387" s="427"/>
      <c r="J387" s="427"/>
      <c r="K387" s="427"/>
      <c r="L387" s="427"/>
      <c r="M387" s="427"/>
      <c r="N387" s="427"/>
      <c r="O387" s="427"/>
      <c r="P387" s="427"/>
      <c r="Q387" s="427"/>
      <c r="R387" s="427"/>
      <c r="S387" s="427"/>
      <c r="T387" s="427"/>
      <c r="U387" s="427"/>
      <c r="V387" s="428"/>
      <c r="W387" s="431"/>
      <c r="X387" s="3"/>
      <c r="Y387" s="429"/>
      <c r="Z387" s="430"/>
      <c r="AA387" s="430"/>
      <c r="AB387" s="430"/>
      <c r="AC387" s="424"/>
      <c r="AD387" s="424"/>
      <c r="AE387" s="424"/>
      <c r="AF387" s="424"/>
      <c r="AG387" s="424"/>
      <c r="AH387" s="424"/>
      <c r="AI387" s="424"/>
      <c r="AJ387" s="2"/>
      <c r="AK387" s="2"/>
      <c r="AL387" s="2"/>
      <c r="AM387" s="2"/>
      <c r="AN387" s="2"/>
      <c r="AO387" s="2"/>
      <c r="AP387" s="2"/>
      <c r="AQ387" s="427"/>
      <c r="AR387" s="754"/>
      <c r="AS387" s="454"/>
      <c r="AT387" s="754"/>
      <c r="AU387" s="454"/>
      <c r="AV387" s="454"/>
      <c r="AW387" s="454"/>
      <c r="AX387" s="454"/>
      <c r="AY387" s="754"/>
      <c r="AZ387" s="754"/>
      <c r="BA387" s="754"/>
      <c r="BB387" s="877" t="s">
        <v>784</v>
      </c>
      <c r="BC387" s="454">
        <f>SUM(BC46:BC73)</f>
        <v>15.929999999999996</v>
      </c>
      <c r="BD387" s="454">
        <f t="shared" ref="BD387:BM387" si="7">SUM(BD46:BD73)</f>
        <v>19.18</v>
      </c>
      <c r="BE387" s="454">
        <f t="shared" si="7"/>
        <v>0</v>
      </c>
      <c r="BF387" s="454">
        <f t="shared" si="7"/>
        <v>0</v>
      </c>
      <c r="BG387" s="454">
        <f t="shared" si="7"/>
        <v>0</v>
      </c>
      <c r="BH387" s="454">
        <f t="shared" si="7"/>
        <v>0</v>
      </c>
      <c r="BI387" s="454">
        <f t="shared" si="7"/>
        <v>0</v>
      </c>
      <c r="BJ387" s="454">
        <f t="shared" si="7"/>
        <v>543</v>
      </c>
      <c r="BK387" s="454">
        <f t="shared" si="7"/>
        <v>31.499999999999996</v>
      </c>
      <c r="BL387" s="454">
        <f t="shared" si="7"/>
        <v>39.119999999999997</v>
      </c>
      <c r="BM387" s="454">
        <f t="shared" si="7"/>
        <v>0.09</v>
      </c>
      <c r="BN387" s="454"/>
      <c r="BO387" s="454"/>
      <c r="BP387" s="454">
        <f t="shared" ref="BP387:BP397" si="8">SUM(BC387:BF387)</f>
        <v>35.11</v>
      </c>
      <c r="BQ387" s="454">
        <f t="shared" ref="BQ387:BQ397" si="9">SUM(BK387:BM387)</f>
        <v>70.709999999999994</v>
      </c>
      <c r="BR387" s="454">
        <f t="shared" ref="BR387:BR397" si="10">SUM(BG387:BI387)</f>
        <v>0</v>
      </c>
      <c r="BS387" s="460"/>
      <c r="BT387" s="454"/>
      <c r="BU387" s="454"/>
      <c r="BV387" s="457"/>
      <c r="BW387" s="460"/>
      <c r="BX387" s="460"/>
      <c r="BY387" s="460"/>
      <c r="BZ387" s="457"/>
      <c r="CA387" s="485"/>
      <c r="CB387" s="485"/>
      <c r="CC387" s="485"/>
      <c r="CD387" s="485"/>
      <c r="CE387" s="485"/>
      <c r="CF387" s="485"/>
      <c r="CG387" s="485"/>
      <c r="CH387" s="485"/>
      <c r="CI387" s="485"/>
      <c r="CJ387" s="485"/>
      <c r="CK387" s="485"/>
      <c r="CL387" s="485"/>
      <c r="CM387" s="485"/>
      <c r="CN387" s="485"/>
      <c r="CO387" s="454"/>
      <c r="CP387" s="454"/>
      <c r="CQ387" s="454"/>
      <c r="CR387" s="485"/>
      <c r="CS387" s="485"/>
      <c r="CT387" s="485"/>
      <c r="CU387" s="485"/>
      <c r="CV387" s="482"/>
      <c r="CW387" s="482"/>
      <c r="CX387" s="482"/>
      <c r="CY387" s="482"/>
      <c r="CZ387" s="485"/>
      <c r="DA387" s="485"/>
      <c r="DB387" s="485"/>
      <c r="DC387" s="485"/>
      <c r="DD387" s="485"/>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V387" s="2"/>
      <c r="EW387" s="485"/>
      <c r="EX387" s="485"/>
      <c r="EY387" s="457"/>
      <c r="EZ387" s="457"/>
      <c r="FA387" s="457"/>
      <c r="FB387" s="457"/>
      <c r="FC387" s="457"/>
      <c r="FD387" s="457"/>
      <c r="FE387" s="457"/>
      <c r="FF387" s="457"/>
      <c r="FG387" s="457"/>
      <c r="FH387" s="457"/>
      <c r="FI387" s="457"/>
      <c r="FJ387" s="457"/>
      <c r="FK387" s="457"/>
    </row>
    <row r="388" spans="1:170" s="416" customFormat="1" ht="15">
      <c r="A388" s="427"/>
      <c r="B388" s="417"/>
      <c r="C388" s="427"/>
      <c r="D388" s="427"/>
      <c r="E388" s="428"/>
      <c r="F388" s="429"/>
      <c r="G388" s="430"/>
      <c r="H388" s="427"/>
      <c r="I388" s="427"/>
      <c r="J388" s="427"/>
      <c r="K388" s="427"/>
      <c r="L388" s="427"/>
      <c r="M388" s="427"/>
      <c r="N388" s="427"/>
      <c r="O388" s="427"/>
      <c r="P388" s="427"/>
      <c r="Q388" s="427"/>
      <c r="R388" s="427"/>
      <c r="S388" s="427"/>
      <c r="T388" s="427"/>
      <c r="U388" s="427"/>
      <c r="V388" s="428"/>
      <c r="W388" s="431"/>
      <c r="X388" s="3"/>
      <c r="Y388" s="429"/>
      <c r="Z388" s="430"/>
      <c r="AA388" s="430"/>
      <c r="AB388" s="430"/>
      <c r="AC388" s="424"/>
      <c r="AD388" s="424"/>
      <c r="AE388" s="424"/>
      <c r="AF388" s="424"/>
      <c r="AG388" s="424"/>
      <c r="AH388" s="424"/>
      <c r="AI388" s="424"/>
      <c r="AJ388" s="2"/>
      <c r="AK388" s="2"/>
      <c r="AL388" s="2"/>
      <c r="AM388" s="2"/>
      <c r="AN388" s="2"/>
      <c r="AO388" s="2"/>
      <c r="AP388" s="2"/>
      <c r="AQ388" s="427"/>
      <c r="AR388" s="754"/>
      <c r="AS388" s="454"/>
      <c r="AT388" s="754"/>
      <c r="AU388" s="454"/>
      <c r="AV388" s="454"/>
      <c r="AW388" s="454"/>
      <c r="AX388" s="454"/>
      <c r="AY388" s="754"/>
      <c r="AZ388" s="754"/>
      <c r="BA388" s="754"/>
      <c r="BB388" s="877" t="s">
        <v>216</v>
      </c>
      <c r="BC388" s="454">
        <f>SUM(BC74:BC104)</f>
        <v>31.180000000000017</v>
      </c>
      <c r="BD388" s="454">
        <f t="shared" ref="BD388:BM388" si="11">SUM(BD74:BD104)</f>
        <v>31.480000000000011</v>
      </c>
      <c r="BE388" s="454">
        <f t="shared" si="11"/>
        <v>0</v>
      </c>
      <c r="BF388" s="454">
        <f t="shared" si="11"/>
        <v>0</v>
      </c>
      <c r="BG388" s="454">
        <f t="shared" si="11"/>
        <v>0</v>
      </c>
      <c r="BH388" s="454">
        <f t="shared" si="11"/>
        <v>0</v>
      </c>
      <c r="BI388" s="454">
        <f t="shared" si="11"/>
        <v>0</v>
      </c>
      <c r="BJ388" s="454">
        <f t="shared" si="11"/>
        <v>676.30000000000018</v>
      </c>
      <c r="BK388" s="454">
        <f t="shared" si="11"/>
        <v>68.89</v>
      </c>
      <c r="BL388" s="454">
        <f t="shared" si="11"/>
        <v>83.80999999999996</v>
      </c>
      <c r="BM388" s="454">
        <f t="shared" si="11"/>
        <v>0</v>
      </c>
      <c r="BN388" s="454"/>
      <c r="BO388" s="454"/>
      <c r="BP388" s="454">
        <f t="shared" si="8"/>
        <v>62.660000000000025</v>
      </c>
      <c r="BQ388" s="454">
        <f t="shared" si="9"/>
        <v>152.69999999999996</v>
      </c>
      <c r="BR388" s="454">
        <f t="shared" si="10"/>
        <v>0</v>
      </c>
      <c r="BS388" s="460"/>
      <c r="BT388" s="454"/>
      <c r="BU388" s="454"/>
      <c r="BV388" s="457"/>
      <c r="BW388" s="460"/>
      <c r="BX388" s="460"/>
      <c r="BY388" s="460"/>
      <c r="BZ388" s="457"/>
      <c r="CA388" s="485"/>
      <c r="CB388" s="485"/>
      <c r="CC388" s="485"/>
      <c r="CD388" s="485"/>
      <c r="CE388" s="485"/>
      <c r="CF388" s="485"/>
      <c r="CG388" s="485"/>
      <c r="CH388" s="485"/>
      <c r="CI388" s="485"/>
      <c r="CJ388" s="485"/>
      <c r="CK388" s="485"/>
      <c r="CL388" s="485"/>
      <c r="CM388" s="485"/>
      <c r="CN388" s="485"/>
      <c r="CO388" s="454"/>
      <c r="CP388" s="454"/>
      <c r="CQ388" s="454"/>
      <c r="CR388" s="485"/>
      <c r="CS388" s="485"/>
      <c r="CT388" s="485"/>
      <c r="CU388" s="485"/>
      <c r="CV388" s="482"/>
      <c r="CW388" s="482"/>
      <c r="CX388" s="482"/>
      <c r="CY388" s="482"/>
      <c r="CZ388" s="485"/>
      <c r="DA388" s="485"/>
      <c r="DB388" s="485"/>
      <c r="DC388" s="485"/>
      <c r="DD388" s="485"/>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V388" s="2"/>
      <c r="EW388" s="485"/>
      <c r="EX388" s="485"/>
      <c r="EY388" s="457"/>
      <c r="EZ388" s="457"/>
      <c r="FA388" s="457"/>
      <c r="FB388" s="457"/>
      <c r="FC388" s="457"/>
      <c r="FD388" s="457"/>
      <c r="FE388" s="457"/>
      <c r="FF388" s="457"/>
      <c r="FG388" s="457"/>
      <c r="FH388" s="457"/>
      <c r="FI388" s="457"/>
      <c r="FJ388" s="457"/>
      <c r="FK388" s="457"/>
    </row>
    <row r="389" spans="1:170" s="416" customFormat="1" ht="15">
      <c r="A389" s="427"/>
      <c r="B389" s="417"/>
      <c r="C389" s="427"/>
      <c r="D389" s="427"/>
      <c r="E389" s="428"/>
      <c r="F389" s="429"/>
      <c r="G389" s="430"/>
      <c r="H389" s="427"/>
      <c r="I389" s="427"/>
      <c r="J389" s="427"/>
      <c r="K389" s="427"/>
      <c r="L389" s="427"/>
      <c r="M389" s="427"/>
      <c r="N389" s="427"/>
      <c r="O389" s="427"/>
      <c r="P389" s="427"/>
      <c r="Q389" s="427"/>
      <c r="R389" s="427"/>
      <c r="S389" s="427"/>
      <c r="T389" s="427"/>
      <c r="U389" s="427"/>
      <c r="V389" s="428"/>
      <c r="W389" s="431"/>
      <c r="X389" s="3"/>
      <c r="Y389" s="429"/>
      <c r="Z389" s="430"/>
      <c r="AA389" s="430"/>
      <c r="AB389" s="430"/>
      <c r="AC389" s="424"/>
      <c r="AD389" s="424"/>
      <c r="AE389" s="424"/>
      <c r="AF389" s="424"/>
      <c r="AG389" s="424"/>
      <c r="AH389" s="424"/>
      <c r="AI389" s="424"/>
      <c r="AJ389" s="2"/>
      <c r="AK389" s="2"/>
      <c r="AL389" s="2"/>
      <c r="AM389" s="2"/>
      <c r="AN389" s="2"/>
      <c r="AO389" s="2"/>
      <c r="AP389" s="2"/>
      <c r="AQ389" s="427"/>
      <c r="AR389" s="754"/>
      <c r="AS389" s="454"/>
      <c r="AT389" s="754"/>
      <c r="AU389" s="454"/>
      <c r="AV389" s="454"/>
      <c r="AW389" s="454"/>
      <c r="AX389" s="454"/>
      <c r="AY389" s="754"/>
      <c r="AZ389" s="754"/>
      <c r="BA389" s="754"/>
      <c r="BB389" s="877" t="s">
        <v>217</v>
      </c>
      <c r="BC389" s="454">
        <f>SUM(BC105:BC134)</f>
        <v>11.499999999999998</v>
      </c>
      <c r="BD389" s="454">
        <f t="shared" ref="BD389:BM389" si="12">SUM(BD105:BD134)</f>
        <v>25.789999999999996</v>
      </c>
      <c r="BE389" s="454">
        <f t="shared" si="12"/>
        <v>0</v>
      </c>
      <c r="BF389" s="454">
        <f t="shared" si="12"/>
        <v>4.51</v>
      </c>
      <c r="BG389" s="454">
        <f t="shared" si="12"/>
        <v>0</v>
      </c>
      <c r="BH389" s="454">
        <f t="shared" si="12"/>
        <v>0</v>
      </c>
      <c r="BI389" s="454">
        <f t="shared" si="12"/>
        <v>0</v>
      </c>
      <c r="BJ389" s="454">
        <f t="shared" si="12"/>
        <v>582.89999999999986</v>
      </c>
      <c r="BK389" s="454">
        <f t="shared" si="12"/>
        <v>47.309999999999988</v>
      </c>
      <c r="BL389" s="454">
        <f t="shared" si="12"/>
        <v>53.399999999999984</v>
      </c>
      <c r="BM389" s="454">
        <f t="shared" si="12"/>
        <v>0</v>
      </c>
      <c r="BN389" s="454"/>
      <c r="BO389" s="454"/>
      <c r="BP389" s="454">
        <f t="shared" si="8"/>
        <v>41.79999999999999</v>
      </c>
      <c r="BQ389" s="454">
        <f t="shared" si="9"/>
        <v>100.70999999999998</v>
      </c>
      <c r="BR389" s="454">
        <f t="shared" si="10"/>
        <v>0</v>
      </c>
      <c r="BS389" s="460"/>
      <c r="BT389" s="454"/>
      <c r="BU389" s="454"/>
      <c r="BV389" s="457"/>
      <c r="BW389" s="460"/>
      <c r="BX389" s="460"/>
      <c r="BY389" s="460"/>
      <c r="BZ389" s="457"/>
      <c r="CA389" s="485"/>
      <c r="CB389" s="485"/>
      <c r="CC389" s="485"/>
      <c r="CD389" s="485"/>
      <c r="CE389" s="485"/>
      <c r="CF389" s="485"/>
      <c r="CG389" s="485"/>
      <c r="CH389" s="485"/>
      <c r="CI389" s="485"/>
      <c r="CJ389" s="485"/>
      <c r="CK389" s="485"/>
      <c r="CL389" s="485"/>
      <c r="CM389" s="485"/>
      <c r="CN389" s="485"/>
      <c r="CO389" s="454"/>
      <c r="CP389" s="454"/>
      <c r="CQ389" s="454"/>
      <c r="CR389" s="485"/>
      <c r="CS389" s="485"/>
      <c r="CT389" s="485"/>
      <c r="CU389" s="485"/>
      <c r="CV389" s="482"/>
      <c r="CW389" s="482"/>
      <c r="CX389" s="482"/>
      <c r="CY389" s="482"/>
      <c r="CZ389" s="485"/>
      <c r="DA389" s="485"/>
      <c r="DB389" s="485"/>
      <c r="DC389" s="485"/>
      <c r="DD389" s="485"/>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V389" s="2"/>
      <c r="EW389" s="485"/>
      <c r="EX389" s="485"/>
      <c r="EY389" s="457"/>
      <c r="EZ389" s="457"/>
      <c r="FA389" s="457"/>
      <c r="FB389" s="457"/>
      <c r="FC389" s="457"/>
      <c r="FD389" s="457"/>
      <c r="FE389" s="457"/>
      <c r="FF389" s="457"/>
      <c r="FG389" s="457"/>
      <c r="FH389" s="457"/>
      <c r="FI389" s="457"/>
      <c r="FJ389" s="457"/>
      <c r="FK389" s="457"/>
    </row>
    <row r="390" spans="1:170" s="416" customFormat="1" ht="15">
      <c r="A390" s="427"/>
      <c r="B390" s="417"/>
      <c r="C390" s="427"/>
      <c r="D390" s="427"/>
      <c r="E390" s="428"/>
      <c r="F390" s="429"/>
      <c r="G390" s="430"/>
      <c r="H390" s="427"/>
      <c r="I390" s="427"/>
      <c r="J390" s="427"/>
      <c r="K390" s="427"/>
      <c r="L390" s="427"/>
      <c r="M390" s="427"/>
      <c r="N390" s="427"/>
      <c r="O390" s="427"/>
      <c r="P390" s="427"/>
      <c r="Q390" s="427"/>
      <c r="R390" s="427"/>
      <c r="S390" s="427"/>
      <c r="T390" s="427"/>
      <c r="U390" s="427"/>
      <c r="V390" s="428"/>
      <c r="W390" s="431"/>
      <c r="X390" s="3"/>
      <c r="Y390" s="429"/>
      <c r="Z390" s="430"/>
      <c r="AA390" s="430"/>
      <c r="AB390" s="430"/>
      <c r="AC390" s="424"/>
      <c r="AD390" s="424"/>
      <c r="AE390" s="424"/>
      <c r="AF390" s="424"/>
      <c r="AG390" s="424"/>
      <c r="AH390" s="424"/>
      <c r="AI390" s="424"/>
      <c r="AJ390" s="2"/>
      <c r="AK390" s="2"/>
      <c r="AL390" s="2"/>
      <c r="AM390" s="2"/>
      <c r="AN390" s="2"/>
      <c r="AO390" s="2"/>
      <c r="AP390" s="2"/>
      <c r="AQ390" s="427"/>
      <c r="AR390" s="754"/>
      <c r="AS390" s="454"/>
      <c r="AT390" s="754"/>
      <c r="AU390" s="454"/>
      <c r="AV390" s="454"/>
      <c r="AW390" s="454"/>
      <c r="AX390" s="454"/>
      <c r="AY390" s="754"/>
      <c r="AZ390" s="754"/>
      <c r="BA390" s="754"/>
      <c r="BB390" s="877" t="s">
        <v>218</v>
      </c>
      <c r="BC390" s="454">
        <f>SUM(BC135:BC165)</f>
        <v>12.479999999999999</v>
      </c>
      <c r="BD390" s="454">
        <f t="shared" ref="BD390:BM390" si="13">SUM(BD135:BD165)</f>
        <v>16.11</v>
      </c>
      <c r="BE390" s="454">
        <f t="shared" si="13"/>
        <v>0</v>
      </c>
      <c r="BF390" s="454">
        <f t="shared" si="13"/>
        <v>6.0200000000000005</v>
      </c>
      <c r="BG390" s="454">
        <f t="shared" si="13"/>
        <v>0</v>
      </c>
      <c r="BH390" s="454">
        <f t="shared" si="13"/>
        <v>0</v>
      </c>
      <c r="BI390" s="454">
        <f t="shared" si="13"/>
        <v>0</v>
      </c>
      <c r="BJ390" s="454">
        <f t="shared" si="13"/>
        <v>544.20000000000005</v>
      </c>
      <c r="BK390" s="454">
        <f t="shared" si="13"/>
        <v>40.129999999999995</v>
      </c>
      <c r="BL390" s="454">
        <f t="shared" si="13"/>
        <v>48.459999999999994</v>
      </c>
      <c r="BM390" s="454">
        <f t="shared" si="13"/>
        <v>0.06</v>
      </c>
      <c r="BN390" s="454"/>
      <c r="BO390" s="454"/>
      <c r="BP390" s="454">
        <f t="shared" si="8"/>
        <v>34.61</v>
      </c>
      <c r="BQ390" s="454">
        <f t="shared" si="9"/>
        <v>88.649999999999991</v>
      </c>
      <c r="BR390" s="454">
        <f t="shared" si="10"/>
        <v>0</v>
      </c>
      <c r="BS390" s="460"/>
      <c r="BT390" s="454"/>
      <c r="BU390" s="454"/>
      <c r="BV390" s="457"/>
      <c r="BW390" s="460"/>
      <c r="BX390" s="460"/>
      <c r="BY390" s="460"/>
      <c r="BZ390" s="457"/>
      <c r="CA390" s="485"/>
      <c r="CB390" s="485"/>
      <c r="CC390" s="485"/>
      <c r="CD390" s="485"/>
      <c r="CE390" s="485"/>
      <c r="CF390" s="485"/>
      <c r="CG390" s="485"/>
      <c r="CH390" s="485"/>
      <c r="CI390" s="485"/>
      <c r="CJ390" s="485"/>
      <c r="CK390" s="485"/>
      <c r="CL390" s="485"/>
      <c r="CM390" s="485"/>
      <c r="CN390" s="485"/>
      <c r="CO390" s="454"/>
      <c r="CP390" s="454"/>
      <c r="CQ390" s="454"/>
      <c r="CR390" s="485"/>
      <c r="CS390" s="485"/>
      <c r="CT390" s="485"/>
      <c r="CU390" s="485"/>
      <c r="CV390" s="482"/>
      <c r="CW390" s="482"/>
      <c r="CX390" s="482"/>
      <c r="CY390" s="482"/>
      <c r="CZ390" s="485"/>
      <c r="DA390" s="485"/>
      <c r="DB390" s="485"/>
      <c r="DC390" s="485"/>
      <c r="DD390" s="485"/>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V390" s="2"/>
      <c r="EW390" s="485"/>
      <c r="EX390" s="485"/>
      <c r="EY390" s="457"/>
      <c r="EZ390" s="457"/>
      <c r="FA390" s="457"/>
      <c r="FB390" s="457"/>
      <c r="FC390" s="457"/>
      <c r="FD390" s="457"/>
      <c r="FE390" s="457"/>
      <c r="FF390" s="457"/>
      <c r="FG390" s="457"/>
      <c r="FH390" s="457"/>
      <c r="FI390" s="457"/>
      <c r="FJ390" s="457"/>
      <c r="FK390" s="457"/>
    </row>
    <row r="391" spans="1:170" s="416" customFormat="1" ht="15">
      <c r="A391" s="427"/>
      <c r="B391" s="417"/>
      <c r="C391" s="427"/>
      <c r="D391" s="427"/>
      <c r="E391" s="428"/>
      <c r="F391" s="429"/>
      <c r="G391" s="430"/>
      <c r="H391" s="427"/>
      <c r="I391" s="427"/>
      <c r="J391" s="427"/>
      <c r="K391" s="427"/>
      <c r="L391" s="427"/>
      <c r="M391" s="427"/>
      <c r="N391" s="427"/>
      <c r="O391" s="427"/>
      <c r="P391" s="427"/>
      <c r="Q391" s="427"/>
      <c r="R391" s="427"/>
      <c r="S391" s="427"/>
      <c r="T391" s="427"/>
      <c r="U391" s="427"/>
      <c r="V391" s="428"/>
      <c r="W391" s="431"/>
      <c r="X391" s="3"/>
      <c r="Y391" s="429"/>
      <c r="Z391" s="430"/>
      <c r="AA391" s="430"/>
      <c r="AB391" s="430"/>
      <c r="AC391" s="424"/>
      <c r="AD391" s="424"/>
      <c r="AE391" s="424"/>
      <c r="AF391" s="424"/>
      <c r="AG391" s="424"/>
      <c r="AH391" s="424"/>
      <c r="AI391" s="424"/>
      <c r="AJ391" s="2"/>
      <c r="AK391" s="2"/>
      <c r="AL391" s="2"/>
      <c r="AM391" s="2"/>
      <c r="AN391" s="2"/>
      <c r="AO391" s="2"/>
      <c r="AP391" s="2"/>
      <c r="AQ391" s="427"/>
      <c r="AR391" s="754"/>
      <c r="AS391" s="454"/>
      <c r="AT391" s="754"/>
      <c r="AU391" s="454"/>
      <c r="AV391" s="454"/>
      <c r="AW391" s="454"/>
      <c r="AX391" s="454"/>
      <c r="AY391" s="754"/>
      <c r="AZ391" s="754"/>
      <c r="BA391" s="754"/>
      <c r="BB391" s="877" t="s">
        <v>219</v>
      </c>
      <c r="BC391" s="454">
        <f>SUM(BC166:BC195)</f>
        <v>9.4400000000000013</v>
      </c>
      <c r="BD391" s="454">
        <f t="shared" ref="BD391:BM391" si="14">SUM(BD166:BD195)</f>
        <v>50.010000000000019</v>
      </c>
      <c r="BE391" s="454">
        <f t="shared" si="14"/>
        <v>0</v>
      </c>
      <c r="BF391" s="454">
        <f t="shared" si="14"/>
        <v>14.250000000000004</v>
      </c>
      <c r="BG391" s="454">
        <f t="shared" si="14"/>
        <v>0</v>
      </c>
      <c r="BH391" s="454">
        <f t="shared" si="14"/>
        <v>0</v>
      </c>
      <c r="BI391" s="454">
        <f t="shared" si="14"/>
        <v>0</v>
      </c>
      <c r="BJ391" s="454">
        <f t="shared" si="14"/>
        <v>724.89999999999986</v>
      </c>
      <c r="BK391" s="454">
        <f t="shared" si="14"/>
        <v>93.859999999999985</v>
      </c>
      <c r="BL391" s="454">
        <f t="shared" si="14"/>
        <v>106.20999999999998</v>
      </c>
      <c r="BM391" s="454">
        <f t="shared" si="14"/>
        <v>0</v>
      </c>
      <c r="BN391" s="454"/>
      <c r="BO391" s="454"/>
      <c r="BP391" s="454">
        <f t="shared" si="8"/>
        <v>73.700000000000017</v>
      </c>
      <c r="BQ391" s="454">
        <f t="shared" si="9"/>
        <v>200.06999999999996</v>
      </c>
      <c r="BR391" s="454">
        <f t="shared" si="10"/>
        <v>0</v>
      </c>
      <c r="BS391" s="460"/>
      <c r="BT391" s="454"/>
      <c r="BU391" s="454"/>
      <c r="BV391" s="457"/>
      <c r="BW391" s="460"/>
      <c r="BX391" s="460"/>
      <c r="BY391" s="460"/>
      <c r="BZ391" s="457"/>
      <c r="CA391" s="485"/>
      <c r="CB391" s="485"/>
      <c r="CC391" s="485"/>
      <c r="CD391" s="485"/>
      <c r="CE391" s="485"/>
      <c r="CF391" s="485"/>
      <c r="CG391" s="485"/>
      <c r="CH391" s="485"/>
      <c r="CI391" s="485"/>
      <c r="CJ391" s="485"/>
      <c r="CK391" s="485"/>
      <c r="CL391" s="485"/>
      <c r="CM391" s="485"/>
      <c r="CN391" s="485"/>
      <c r="CO391" s="454"/>
      <c r="CP391" s="454"/>
      <c r="CQ391" s="454"/>
      <c r="CR391" s="485"/>
      <c r="CS391" s="485"/>
      <c r="CT391" s="485"/>
      <c r="CU391" s="485"/>
      <c r="CV391" s="482"/>
      <c r="CW391" s="482"/>
      <c r="CX391" s="482"/>
      <c r="CY391" s="482"/>
      <c r="CZ391" s="485"/>
      <c r="DA391" s="485"/>
      <c r="DB391" s="485"/>
      <c r="DC391" s="485"/>
      <c r="DD391" s="485"/>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V391" s="2"/>
      <c r="EW391" s="485"/>
      <c r="EX391" s="485"/>
      <c r="EY391" s="457"/>
      <c r="EZ391" s="457"/>
      <c r="FA391" s="457"/>
      <c r="FB391" s="457"/>
      <c r="FC391" s="457"/>
      <c r="FD391" s="457"/>
      <c r="FE391" s="457"/>
      <c r="FF391" s="457"/>
      <c r="FG391" s="457"/>
      <c r="FH391" s="457"/>
      <c r="FI391" s="457"/>
      <c r="FJ391" s="457"/>
      <c r="FK391" s="457"/>
    </row>
    <row r="392" spans="1:170" s="416" customFormat="1" ht="15">
      <c r="A392" s="427"/>
      <c r="B392" s="417"/>
      <c r="C392" s="427"/>
      <c r="D392" s="427"/>
      <c r="E392" s="428"/>
      <c r="F392" s="429"/>
      <c r="G392" s="430"/>
      <c r="H392" s="427"/>
      <c r="I392" s="427"/>
      <c r="J392" s="427"/>
      <c r="K392" s="427"/>
      <c r="L392" s="427"/>
      <c r="M392" s="427"/>
      <c r="N392" s="427"/>
      <c r="O392" s="427"/>
      <c r="P392" s="427"/>
      <c r="Q392" s="427"/>
      <c r="R392" s="427"/>
      <c r="S392" s="427"/>
      <c r="T392" s="427"/>
      <c r="U392" s="427"/>
      <c r="V392" s="428"/>
      <c r="W392" s="431"/>
      <c r="X392" s="3"/>
      <c r="Y392" s="429"/>
      <c r="Z392" s="430"/>
      <c r="AA392" s="430"/>
      <c r="AB392" s="430"/>
      <c r="AC392" s="424"/>
      <c r="AD392" s="424"/>
      <c r="AE392" s="424"/>
      <c r="AF392" s="424"/>
      <c r="AG392" s="424"/>
      <c r="AH392" s="424"/>
      <c r="AI392" s="424"/>
      <c r="AJ392" s="2"/>
      <c r="AK392" s="2"/>
      <c r="AL392" s="2"/>
      <c r="AM392" s="2"/>
      <c r="AN392" s="2"/>
      <c r="AO392" s="2"/>
      <c r="AP392" s="2"/>
      <c r="AQ392" s="427"/>
      <c r="AR392" s="754"/>
      <c r="AS392" s="454"/>
      <c r="AT392" s="754"/>
      <c r="AU392" s="454"/>
      <c r="AV392" s="454"/>
      <c r="AW392" s="454"/>
      <c r="AX392" s="454"/>
      <c r="AY392" s="754"/>
      <c r="AZ392" s="754"/>
      <c r="BA392" s="754"/>
      <c r="BB392" s="877" t="s">
        <v>220</v>
      </c>
      <c r="BC392" s="454">
        <f>SUM(BC196:BC226)</f>
        <v>17.64</v>
      </c>
      <c r="BD392" s="454">
        <f t="shared" ref="BD392:BM392" si="15">SUM(BD196:BD226)</f>
        <v>53.02000000000001</v>
      </c>
      <c r="BE392" s="454">
        <f t="shared" si="15"/>
        <v>0</v>
      </c>
      <c r="BF392" s="454">
        <f t="shared" si="15"/>
        <v>13.209</v>
      </c>
      <c r="BG392" s="454">
        <f t="shared" si="15"/>
        <v>0</v>
      </c>
      <c r="BH392" s="454">
        <f t="shared" si="15"/>
        <v>0</v>
      </c>
      <c r="BI392" s="454">
        <f t="shared" si="15"/>
        <v>39.83000000000002</v>
      </c>
      <c r="BJ392" s="454">
        <f t="shared" si="15"/>
        <v>580.70000000000005</v>
      </c>
      <c r="BK392" s="454">
        <f t="shared" si="15"/>
        <v>126.62000000000005</v>
      </c>
      <c r="BL392" s="454">
        <f t="shared" si="15"/>
        <v>166.47999999999993</v>
      </c>
      <c r="BM392" s="454">
        <f t="shared" si="15"/>
        <v>0</v>
      </c>
      <c r="BN392" s="454"/>
      <c r="BO392" s="454"/>
      <c r="BP392" s="454">
        <f t="shared" si="8"/>
        <v>83.869000000000014</v>
      </c>
      <c r="BQ392" s="454">
        <f t="shared" si="9"/>
        <v>293.09999999999997</v>
      </c>
      <c r="BR392" s="454">
        <f t="shared" si="10"/>
        <v>39.83000000000002</v>
      </c>
      <c r="BS392" s="460"/>
      <c r="BT392" s="454"/>
      <c r="BU392" s="454"/>
      <c r="BV392" s="457"/>
      <c r="BW392" s="460"/>
      <c r="BX392" s="460"/>
      <c r="BY392" s="460"/>
      <c r="BZ392" s="457"/>
      <c r="CA392" s="485"/>
      <c r="CB392" s="485"/>
      <c r="CC392" s="485"/>
      <c r="CD392" s="485"/>
      <c r="CE392" s="485"/>
      <c r="CF392" s="485"/>
      <c r="CG392" s="485"/>
      <c r="CH392" s="485"/>
      <c r="CI392" s="485"/>
      <c r="CJ392" s="485"/>
      <c r="CK392" s="485"/>
      <c r="CL392" s="485"/>
      <c r="CM392" s="485"/>
      <c r="CN392" s="485"/>
      <c r="CO392" s="454"/>
      <c r="CP392" s="454"/>
      <c r="CQ392" s="454"/>
      <c r="CR392" s="485"/>
      <c r="CS392" s="485"/>
      <c r="CT392" s="485"/>
      <c r="CU392" s="485"/>
      <c r="CV392" s="482"/>
      <c r="CW392" s="482"/>
      <c r="CX392" s="482"/>
      <c r="CY392" s="482"/>
      <c r="CZ392" s="485"/>
      <c r="DA392" s="485"/>
      <c r="DB392" s="485"/>
      <c r="DC392" s="485"/>
      <c r="DD392" s="485"/>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V392" s="2"/>
      <c r="EW392" s="485"/>
      <c r="EX392" s="485"/>
      <c r="EY392" s="457"/>
      <c r="EZ392" s="457"/>
      <c r="FA392" s="457"/>
      <c r="FB392" s="457"/>
      <c r="FC392" s="457"/>
      <c r="FD392" s="457"/>
      <c r="FE392" s="457"/>
      <c r="FF392" s="457"/>
      <c r="FG392" s="457"/>
      <c r="FH392" s="457"/>
      <c r="FI392" s="457"/>
      <c r="FJ392" s="457"/>
      <c r="FK392" s="457"/>
    </row>
    <row r="393" spans="1:170" s="416" customFormat="1" ht="15">
      <c r="A393" s="427"/>
      <c r="B393" s="417"/>
      <c r="C393" s="427"/>
      <c r="D393" s="427"/>
      <c r="E393" s="428"/>
      <c r="F393" s="429"/>
      <c r="G393" s="430"/>
      <c r="H393" s="427"/>
      <c r="I393" s="427"/>
      <c r="J393" s="427"/>
      <c r="K393" s="427"/>
      <c r="L393" s="427"/>
      <c r="M393" s="427"/>
      <c r="N393" s="427"/>
      <c r="O393" s="427"/>
      <c r="P393" s="427"/>
      <c r="Q393" s="427"/>
      <c r="R393" s="427"/>
      <c r="S393" s="427"/>
      <c r="T393" s="427"/>
      <c r="U393" s="427"/>
      <c r="V393" s="428"/>
      <c r="W393" s="431"/>
      <c r="X393" s="3"/>
      <c r="Y393" s="429"/>
      <c r="Z393" s="430"/>
      <c r="AA393" s="430"/>
      <c r="AB393" s="430"/>
      <c r="AC393" s="424"/>
      <c r="AD393" s="424"/>
      <c r="AE393" s="424"/>
      <c r="AF393" s="424"/>
      <c r="AG393" s="424"/>
      <c r="AH393" s="424"/>
      <c r="AI393" s="424"/>
      <c r="AJ393" s="2"/>
      <c r="AK393" s="2"/>
      <c r="AL393" s="2"/>
      <c r="AM393" s="2"/>
      <c r="AN393" s="2"/>
      <c r="AO393" s="2"/>
      <c r="AP393" s="2"/>
      <c r="AQ393" s="427"/>
      <c r="AR393" s="754"/>
      <c r="AS393" s="454"/>
      <c r="AT393" s="754"/>
      <c r="AU393" s="454"/>
      <c r="AV393" s="454"/>
      <c r="AW393" s="454"/>
      <c r="AX393" s="454"/>
      <c r="AY393" s="754"/>
      <c r="AZ393" s="754"/>
      <c r="BA393" s="754"/>
      <c r="BB393" s="877" t="s">
        <v>221</v>
      </c>
      <c r="BC393" s="454">
        <f>SUM(BC227:BC257)</f>
        <v>63.569999999999993</v>
      </c>
      <c r="BD393" s="454">
        <f t="shared" ref="BD393:BM393" si="16">SUM(BD227:BD257)</f>
        <v>65.91</v>
      </c>
      <c r="BE393" s="454">
        <f t="shared" si="16"/>
        <v>0</v>
      </c>
      <c r="BF393" s="454">
        <f t="shared" si="16"/>
        <v>13.55</v>
      </c>
      <c r="BG393" s="454">
        <f t="shared" si="16"/>
        <v>0</v>
      </c>
      <c r="BH393" s="454">
        <f t="shared" si="16"/>
        <v>0</v>
      </c>
      <c r="BI393" s="454">
        <f t="shared" si="16"/>
        <v>60.289999999999992</v>
      </c>
      <c r="BJ393" s="454">
        <f t="shared" si="16"/>
        <v>782.10000000000014</v>
      </c>
      <c r="BK393" s="454">
        <f t="shared" si="16"/>
        <v>146.43000000000006</v>
      </c>
      <c r="BL393" s="454">
        <f t="shared" si="16"/>
        <v>208.51</v>
      </c>
      <c r="BM393" s="454">
        <f t="shared" si="16"/>
        <v>0</v>
      </c>
      <c r="BN393" s="454"/>
      <c r="BO393" s="454"/>
      <c r="BP393" s="454">
        <f t="shared" si="8"/>
        <v>143.03</v>
      </c>
      <c r="BQ393" s="454">
        <f t="shared" si="9"/>
        <v>354.94000000000005</v>
      </c>
      <c r="BR393" s="454">
        <f t="shared" si="10"/>
        <v>60.289999999999992</v>
      </c>
      <c r="BS393" s="460"/>
      <c r="BT393" s="454"/>
      <c r="BU393" s="454"/>
      <c r="BV393" s="457"/>
      <c r="BW393" s="460"/>
      <c r="BX393" s="460"/>
      <c r="BY393" s="460"/>
      <c r="BZ393" s="457"/>
      <c r="CA393" s="485"/>
      <c r="CB393" s="485"/>
      <c r="CC393" s="485"/>
      <c r="CD393" s="485"/>
      <c r="CE393" s="485"/>
      <c r="CF393" s="485"/>
      <c r="CG393" s="485"/>
      <c r="CH393" s="485"/>
      <c r="CI393" s="485"/>
      <c r="CJ393" s="485"/>
      <c r="CK393" s="485"/>
      <c r="CL393" s="485"/>
      <c r="CM393" s="485"/>
      <c r="CN393" s="485"/>
      <c r="CO393" s="454"/>
      <c r="CP393" s="454"/>
      <c r="CQ393" s="454"/>
      <c r="CR393" s="485"/>
      <c r="CS393" s="485"/>
      <c r="CT393" s="485"/>
      <c r="CU393" s="485"/>
      <c r="CV393" s="482"/>
      <c r="CW393" s="482"/>
      <c r="CX393" s="482"/>
      <c r="CY393" s="482"/>
      <c r="CZ393" s="485"/>
      <c r="DA393" s="485"/>
      <c r="DB393" s="485"/>
      <c r="DC393" s="485"/>
      <c r="DD393" s="485"/>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V393" s="2"/>
      <c r="EW393" s="485"/>
      <c r="EX393" s="485"/>
      <c r="EY393" s="457"/>
      <c r="EZ393" s="457"/>
      <c r="FA393" s="457"/>
      <c r="FB393" s="457"/>
      <c r="FC393" s="457"/>
      <c r="FD393" s="457"/>
      <c r="FE393" s="457"/>
      <c r="FF393" s="457"/>
      <c r="FG393" s="457"/>
      <c r="FH393" s="457"/>
      <c r="FI393" s="457"/>
      <c r="FJ393" s="457"/>
      <c r="FK393" s="457"/>
    </row>
    <row r="394" spans="1:170" s="416" customFormat="1" ht="15">
      <c r="A394" s="427"/>
      <c r="B394" s="417"/>
      <c r="C394" s="427"/>
      <c r="D394" s="427"/>
      <c r="E394" s="428"/>
      <c r="F394" s="429"/>
      <c r="G394" s="430"/>
      <c r="H394" s="427"/>
      <c r="I394" s="427"/>
      <c r="J394" s="427"/>
      <c r="K394" s="427"/>
      <c r="L394" s="427"/>
      <c r="M394" s="427"/>
      <c r="N394" s="427"/>
      <c r="O394" s="427"/>
      <c r="P394" s="427"/>
      <c r="Q394" s="427"/>
      <c r="R394" s="427"/>
      <c r="S394" s="427"/>
      <c r="T394" s="427"/>
      <c r="U394" s="427"/>
      <c r="V394" s="428"/>
      <c r="W394" s="431"/>
      <c r="X394" s="3"/>
      <c r="Y394" s="429"/>
      <c r="Z394" s="430"/>
      <c r="AA394" s="430"/>
      <c r="AB394" s="430"/>
      <c r="AC394" s="424"/>
      <c r="AD394" s="424"/>
      <c r="AE394" s="424"/>
      <c r="AF394" s="424"/>
      <c r="AG394" s="424"/>
      <c r="AH394" s="424"/>
      <c r="AI394" s="424"/>
      <c r="AJ394" s="2"/>
      <c r="AK394" s="2"/>
      <c r="AL394" s="2"/>
      <c r="AM394" s="2"/>
      <c r="AN394" s="2"/>
      <c r="AO394" s="2"/>
      <c r="AP394" s="2"/>
      <c r="AQ394" s="427"/>
      <c r="AR394" s="754"/>
      <c r="AS394" s="454"/>
      <c r="AT394" s="754"/>
      <c r="AU394" s="454"/>
      <c r="AV394" s="454"/>
      <c r="AW394" s="454"/>
      <c r="AX394" s="454"/>
      <c r="AY394" s="754"/>
      <c r="AZ394" s="754"/>
      <c r="BA394" s="754"/>
      <c r="BB394" s="877" t="s">
        <v>222</v>
      </c>
      <c r="BC394" s="454">
        <f>SUM(BC258:BC287)</f>
        <v>33.450000000000003</v>
      </c>
      <c r="BD394" s="454">
        <f t="shared" ref="BD394:BM394" si="17">SUM(BD258:BD287)</f>
        <v>56.839999999999996</v>
      </c>
      <c r="BE394" s="454">
        <f t="shared" si="17"/>
        <v>0</v>
      </c>
      <c r="BF394" s="454">
        <f t="shared" si="17"/>
        <v>14.750000000000004</v>
      </c>
      <c r="BG394" s="454">
        <f t="shared" si="17"/>
        <v>0</v>
      </c>
      <c r="BH394" s="454">
        <f t="shared" si="17"/>
        <v>0</v>
      </c>
      <c r="BI394" s="454">
        <f t="shared" si="17"/>
        <v>48.45</v>
      </c>
      <c r="BJ394" s="454">
        <f t="shared" si="17"/>
        <v>786.80000000000018</v>
      </c>
      <c r="BK394" s="454">
        <f t="shared" si="17"/>
        <v>118.16999999999999</v>
      </c>
      <c r="BL394" s="454">
        <f t="shared" si="17"/>
        <v>158.65</v>
      </c>
      <c r="BM394" s="454">
        <f t="shared" si="17"/>
        <v>0</v>
      </c>
      <c r="BN394" s="454"/>
      <c r="BO394" s="454"/>
      <c r="BP394" s="454">
        <f t="shared" si="8"/>
        <v>105.03999999999999</v>
      </c>
      <c r="BQ394" s="454">
        <f t="shared" si="9"/>
        <v>276.82</v>
      </c>
      <c r="BR394" s="454">
        <f t="shared" si="10"/>
        <v>48.45</v>
      </c>
      <c r="BS394" s="460"/>
      <c r="BT394" s="454"/>
      <c r="BU394" s="454"/>
      <c r="BV394" s="457"/>
      <c r="BW394" s="460"/>
      <c r="BX394" s="460"/>
      <c r="BY394" s="460"/>
      <c r="BZ394" s="457"/>
      <c r="CA394" s="485"/>
      <c r="CB394" s="485"/>
      <c r="CC394" s="485"/>
      <c r="CD394" s="485"/>
      <c r="CE394" s="485"/>
      <c r="CF394" s="485"/>
      <c r="CG394" s="485"/>
      <c r="CH394" s="485"/>
      <c r="CI394" s="485"/>
      <c r="CJ394" s="485"/>
      <c r="CK394" s="485"/>
      <c r="CL394" s="485"/>
      <c r="CM394" s="485"/>
      <c r="CN394" s="485"/>
      <c r="CO394" s="454"/>
      <c r="CP394" s="454"/>
      <c r="CQ394" s="454"/>
      <c r="CR394" s="485"/>
      <c r="CS394" s="485"/>
      <c r="CT394" s="485"/>
      <c r="CU394" s="485"/>
      <c r="CV394" s="482"/>
      <c r="CW394" s="482"/>
      <c r="CX394" s="482"/>
      <c r="CY394" s="482"/>
      <c r="CZ394" s="485"/>
      <c r="DA394" s="485"/>
      <c r="DB394" s="485"/>
      <c r="DC394" s="485"/>
      <c r="DD394" s="485"/>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V394" s="2"/>
      <c r="EW394" s="485"/>
      <c r="EX394" s="485"/>
      <c r="EY394" s="457"/>
      <c r="EZ394" s="457"/>
      <c r="FA394" s="457"/>
      <c r="FB394" s="457"/>
      <c r="FC394" s="457"/>
      <c r="FD394" s="457"/>
      <c r="FE394" s="457"/>
      <c r="FF394" s="457"/>
      <c r="FG394" s="457"/>
      <c r="FH394" s="457"/>
      <c r="FI394" s="457"/>
      <c r="FJ394" s="457"/>
      <c r="FK394" s="457"/>
    </row>
    <row r="395" spans="1:170" s="416" customFormat="1" ht="15">
      <c r="A395" s="427"/>
      <c r="B395" s="417"/>
      <c r="C395" s="427"/>
      <c r="D395" s="427"/>
      <c r="E395" s="428"/>
      <c r="F395" s="429"/>
      <c r="G395" s="430"/>
      <c r="H395" s="427"/>
      <c r="I395" s="427"/>
      <c r="J395" s="427"/>
      <c r="K395" s="427"/>
      <c r="L395" s="427"/>
      <c r="M395" s="427"/>
      <c r="N395" s="427"/>
      <c r="O395" s="427"/>
      <c r="P395" s="427"/>
      <c r="Q395" s="427"/>
      <c r="R395" s="427"/>
      <c r="S395" s="427"/>
      <c r="T395" s="427"/>
      <c r="U395" s="427"/>
      <c r="V395" s="428"/>
      <c r="W395" s="431"/>
      <c r="X395" s="3"/>
      <c r="Y395" s="429"/>
      <c r="Z395" s="430"/>
      <c r="AA395" s="430"/>
      <c r="AB395" s="430"/>
      <c r="AC395" s="424"/>
      <c r="AD395" s="424"/>
      <c r="AE395" s="424"/>
      <c r="AF395" s="424"/>
      <c r="AG395" s="424"/>
      <c r="AH395" s="424"/>
      <c r="AI395" s="424"/>
      <c r="AJ395" s="2"/>
      <c r="AK395" s="2"/>
      <c r="AL395" s="2"/>
      <c r="AM395" s="2"/>
      <c r="AN395" s="2"/>
      <c r="AO395" s="2"/>
      <c r="AP395" s="2"/>
      <c r="AQ395" s="427"/>
      <c r="AR395" s="754"/>
      <c r="AS395" s="454"/>
      <c r="AT395" s="754"/>
      <c r="AU395" s="454"/>
      <c r="AV395" s="454"/>
      <c r="AW395" s="454"/>
      <c r="AX395" s="454"/>
      <c r="AY395" s="754"/>
      <c r="AZ395" s="754"/>
      <c r="BA395" s="754"/>
      <c r="BB395" s="877" t="s">
        <v>223</v>
      </c>
      <c r="BC395" s="454">
        <f>SUM(BC288:BC318)</f>
        <v>12.01</v>
      </c>
      <c r="BD395" s="454">
        <f t="shared" ref="BD395:BM395" si="18">SUM(BD288:BD318)</f>
        <v>36.04</v>
      </c>
      <c r="BE395" s="454">
        <f t="shared" si="18"/>
        <v>0</v>
      </c>
      <c r="BF395" s="454">
        <f t="shared" si="18"/>
        <v>10.039999999999999</v>
      </c>
      <c r="BG395" s="454">
        <f t="shared" si="18"/>
        <v>3.08</v>
      </c>
      <c r="BH395" s="454">
        <f t="shared" si="18"/>
        <v>0</v>
      </c>
      <c r="BI395" s="454">
        <f t="shared" si="18"/>
        <v>19.369999999999997</v>
      </c>
      <c r="BJ395" s="454">
        <f t="shared" si="18"/>
        <v>643.30000000000007</v>
      </c>
      <c r="BK395" s="454">
        <f t="shared" si="18"/>
        <v>73.339999999999989</v>
      </c>
      <c r="BL395" s="454">
        <f t="shared" si="18"/>
        <v>88.63</v>
      </c>
      <c r="BM395" s="454">
        <f t="shared" si="18"/>
        <v>0</v>
      </c>
      <c r="BN395" s="454"/>
      <c r="BO395" s="454"/>
      <c r="BP395" s="454">
        <f t="shared" si="8"/>
        <v>58.089999999999996</v>
      </c>
      <c r="BQ395" s="454">
        <f t="shared" si="9"/>
        <v>161.96999999999997</v>
      </c>
      <c r="BR395" s="454">
        <f t="shared" si="10"/>
        <v>22.449999999999996</v>
      </c>
      <c r="BS395" s="460"/>
      <c r="BT395" s="454"/>
      <c r="BU395" s="454"/>
      <c r="BV395" s="457"/>
      <c r="BW395" s="460"/>
      <c r="BX395" s="460"/>
      <c r="BY395" s="460"/>
      <c r="BZ395" s="457"/>
      <c r="CA395" s="485"/>
      <c r="CB395" s="485"/>
      <c r="CC395" s="485"/>
      <c r="CD395" s="485"/>
      <c r="CE395" s="485"/>
      <c r="CF395" s="485"/>
      <c r="CG395" s="485"/>
      <c r="CH395" s="485"/>
      <c r="CI395" s="485"/>
      <c r="CJ395" s="485"/>
      <c r="CK395" s="485"/>
      <c r="CL395" s="485"/>
      <c r="CM395" s="485"/>
      <c r="CN395" s="485"/>
      <c r="CO395" s="454"/>
      <c r="CP395" s="454"/>
      <c r="CQ395" s="454"/>
      <c r="CR395" s="485"/>
      <c r="CS395" s="485"/>
      <c r="CT395" s="485"/>
      <c r="CU395" s="485"/>
      <c r="CV395" s="482"/>
      <c r="CW395" s="482"/>
      <c r="CX395" s="482"/>
      <c r="CY395" s="482"/>
      <c r="CZ395" s="485"/>
      <c r="DA395" s="485"/>
      <c r="DB395" s="485"/>
      <c r="DC395" s="485"/>
      <c r="DD395" s="485"/>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V395" s="2"/>
      <c r="EW395" s="485"/>
      <c r="EX395" s="485"/>
      <c r="EY395" s="457"/>
      <c r="EZ395" s="457"/>
      <c r="FA395" s="457"/>
      <c r="FB395" s="457"/>
      <c r="FC395" s="457"/>
      <c r="FD395" s="457"/>
      <c r="FE395" s="457"/>
      <c r="FF395" s="457"/>
      <c r="FG395" s="457"/>
      <c r="FH395" s="457"/>
      <c r="FI395" s="457"/>
      <c r="FJ395" s="457"/>
      <c r="FK395" s="457"/>
    </row>
    <row r="396" spans="1:170" s="416" customFormat="1" ht="15">
      <c r="A396" s="427"/>
      <c r="B396" s="417"/>
      <c r="C396" s="427"/>
      <c r="D396" s="427"/>
      <c r="E396" s="428"/>
      <c r="F396" s="429"/>
      <c r="G396" s="430"/>
      <c r="H396" s="427"/>
      <c r="I396" s="427"/>
      <c r="J396" s="427"/>
      <c r="K396" s="427"/>
      <c r="L396" s="427"/>
      <c r="M396" s="427"/>
      <c r="N396" s="427"/>
      <c r="O396" s="427"/>
      <c r="P396" s="427"/>
      <c r="Q396" s="427"/>
      <c r="R396" s="427"/>
      <c r="S396" s="427"/>
      <c r="T396" s="427"/>
      <c r="U396" s="427"/>
      <c r="V396" s="428"/>
      <c r="W396" s="431"/>
      <c r="X396" s="3"/>
      <c r="Y396" s="429"/>
      <c r="Z396" s="430"/>
      <c r="AA396" s="430"/>
      <c r="AB396" s="430"/>
      <c r="AC396" s="424"/>
      <c r="AD396" s="424"/>
      <c r="AE396" s="424"/>
      <c r="AF396" s="424"/>
      <c r="AG396" s="424"/>
      <c r="AH396" s="424"/>
      <c r="AI396" s="424"/>
      <c r="AJ396" s="2"/>
      <c r="AK396" s="2"/>
      <c r="AL396" s="2"/>
      <c r="AM396" s="2"/>
      <c r="AN396" s="2"/>
      <c r="AO396" s="2"/>
      <c r="AP396" s="2"/>
      <c r="AQ396" s="427"/>
      <c r="AR396" s="754"/>
      <c r="AS396" s="454"/>
      <c r="AT396" s="754"/>
      <c r="AU396" s="454"/>
      <c r="AV396" s="454"/>
      <c r="AW396" s="454"/>
      <c r="AX396" s="454"/>
      <c r="AY396" s="754"/>
      <c r="AZ396" s="754"/>
      <c r="BA396" s="754"/>
      <c r="BB396" s="877" t="s">
        <v>224</v>
      </c>
      <c r="BC396" s="454">
        <f>SUM(BC319:BC348)</f>
        <v>3.0300000000000002</v>
      </c>
      <c r="BD396" s="454">
        <f t="shared" ref="BD396:BM396" si="19">SUM(BD319:BD348)</f>
        <v>5.9099999999999993</v>
      </c>
      <c r="BE396" s="454">
        <f t="shared" si="19"/>
        <v>0</v>
      </c>
      <c r="BF396" s="454">
        <f t="shared" si="19"/>
        <v>1.04</v>
      </c>
      <c r="BG396" s="454">
        <f t="shared" si="19"/>
        <v>0</v>
      </c>
      <c r="BH396" s="454">
        <f t="shared" si="19"/>
        <v>0</v>
      </c>
      <c r="BI396" s="454">
        <f t="shared" si="19"/>
        <v>0</v>
      </c>
      <c r="BJ396" s="454">
        <f t="shared" si="19"/>
        <v>492.35</v>
      </c>
      <c r="BK396" s="454">
        <f t="shared" si="19"/>
        <v>6.62</v>
      </c>
      <c r="BL396" s="454">
        <f t="shared" si="19"/>
        <v>7.08</v>
      </c>
      <c r="BM396" s="454">
        <f t="shared" si="19"/>
        <v>0</v>
      </c>
      <c r="BN396" s="454"/>
      <c r="BO396" s="454"/>
      <c r="BP396" s="454">
        <f t="shared" si="8"/>
        <v>9.98</v>
      </c>
      <c r="BQ396" s="454">
        <f t="shared" si="9"/>
        <v>13.7</v>
      </c>
      <c r="BR396" s="454">
        <f t="shared" si="10"/>
        <v>0</v>
      </c>
      <c r="BS396" s="460"/>
      <c r="BT396" s="454"/>
      <c r="BU396" s="454"/>
      <c r="BV396" s="457"/>
      <c r="BW396" s="460"/>
      <c r="BX396" s="460"/>
      <c r="BY396" s="460"/>
      <c r="BZ396" s="457"/>
      <c r="CA396" s="485"/>
      <c r="CB396" s="485"/>
      <c r="CC396" s="485"/>
      <c r="CD396" s="485"/>
      <c r="CE396" s="485"/>
      <c r="CF396" s="485"/>
      <c r="CG396" s="485"/>
      <c r="CH396" s="485"/>
      <c r="CI396" s="485"/>
      <c r="CJ396" s="485"/>
      <c r="CK396" s="485"/>
      <c r="CL396" s="485"/>
      <c r="CM396" s="485"/>
      <c r="CN396" s="485"/>
      <c r="CO396" s="454"/>
      <c r="CP396" s="454"/>
      <c r="CQ396" s="454"/>
      <c r="CR396" s="485"/>
      <c r="CS396" s="485"/>
      <c r="CT396" s="485"/>
      <c r="CU396" s="485"/>
      <c r="CV396" s="482"/>
      <c r="CW396" s="482"/>
      <c r="CX396" s="482"/>
      <c r="CY396" s="482"/>
      <c r="CZ396" s="485"/>
      <c r="DA396" s="485"/>
      <c r="DB396" s="485"/>
      <c r="DC396" s="485"/>
      <c r="DD396" s="485"/>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V396" s="2"/>
      <c r="EW396" s="485"/>
      <c r="EX396" s="485"/>
      <c r="EY396" s="457"/>
      <c r="EZ396" s="457"/>
      <c r="FA396" s="457"/>
      <c r="FB396" s="457"/>
      <c r="FC396" s="457"/>
      <c r="FD396" s="457"/>
      <c r="FE396" s="457"/>
      <c r="FF396" s="457"/>
      <c r="FG396" s="457"/>
      <c r="FH396" s="457"/>
      <c r="FI396" s="457"/>
      <c r="FJ396" s="457"/>
      <c r="FK396" s="457"/>
    </row>
    <row r="397" spans="1:170" s="416" customFormat="1" ht="15">
      <c r="A397" s="427"/>
      <c r="B397" s="417"/>
      <c r="C397" s="427"/>
      <c r="D397" s="427"/>
      <c r="E397" s="428"/>
      <c r="F397" s="429"/>
      <c r="G397" s="430"/>
      <c r="H397" s="427"/>
      <c r="I397" s="427"/>
      <c r="J397" s="427"/>
      <c r="K397" s="427"/>
      <c r="L397" s="427"/>
      <c r="M397" s="427"/>
      <c r="N397" s="427"/>
      <c r="O397" s="427"/>
      <c r="P397" s="427"/>
      <c r="Q397" s="427"/>
      <c r="R397" s="427"/>
      <c r="S397" s="427"/>
      <c r="T397" s="427"/>
      <c r="U397" s="427"/>
      <c r="V397" s="428"/>
      <c r="W397" s="431"/>
      <c r="X397" s="3"/>
      <c r="Y397" s="429"/>
      <c r="Z397" s="430"/>
      <c r="AA397" s="430"/>
      <c r="AB397" s="430"/>
      <c r="AC397" s="424"/>
      <c r="AD397" s="424"/>
      <c r="AE397" s="424"/>
      <c r="AF397" s="424"/>
      <c r="AG397" s="424"/>
      <c r="AH397" s="424"/>
      <c r="AI397" s="424"/>
      <c r="AJ397" s="2"/>
      <c r="AK397" s="2"/>
      <c r="AL397" s="2"/>
      <c r="AM397" s="2"/>
      <c r="AN397" s="2"/>
      <c r="AO397" s="2"/>
      <c r="AP397" s="2"/>
      <c r="AQ397" s="427"/>
      <c r="AR397" s="754"/>
      <c r="AS397" s="427"/>
      <c r="AT397" s="754"/>
      <c r="AU397" s="427"/>
      <c r="AV397" s="427"/>
      <c r="AW397" s="427"/>
      <c r="AX397" s="427"/>
      <c r="AY397" s="754"/>
      <c r="AZ397" s="754"/>
      <c r="BA397" s="754"/>
      <c r="BB397" s="878" t="s">
        <v>225</v>
      </c>
      <c r="BC397" s="427">
        <f>SUM(BC349:BC379)</f>
        <v>6.7400000000000011</v>
      </c>
      <c r="BD397" s="427">
        <f t="shared" ref="BD397:BM397" si="20">SUM(BD349:BD379)</f>
        <v>38.79</v>
      </c>
      <c r="BE397" s="427">
        <f t="shared" si="20"/>
        <v>0.56000000000000005</v>
      </c>
      <c r="BF397" s="427">
        <f t="shared" si="20"/>
        <v>6.9700000000000006</v>
      </c>
      <c r="BG397" s="427">
        <f t="shared" si="20"/>
        <v>0</v>
      </c>
      <c r="BH397" s="427">
        <f t="shared" si="20"/>
        <v>0</v>
      </c>
      <c r="BI397" s="427">
        <f t="shared" si="20"/>
        <v>0</v>
      </c>
      <c r="BJ397" s="427">
        <f t="shared" si="20"/>
        <v>701.30000000000007</v>
      </c>
      <c r="BK397" s="427">
        <f t="shared" si="20"/>
        <v>74.069999999999993</v>
      </c>
      <c r="BL397" s="427">
        <f t="shared" si="20"/>
        <v>95.26</v>
      </c>
      <c r="BM397" s="427">
        <f t="shared" si="20"/>
        <v>0</v>
      </c>
      <c r="BN397" s="427"/>
      <c r="BO397" s="427"/>
      <c r="BP397" s="454">
        <f t="shared" si="8"/>
        <v>53.06</v>
      </c>
      <c r="BQ397" s="454">
        <f t="shared" si="9"/>
        <v>169.32999999999998</v>
      </c>
      <c r="BR397" s="454">
        <f t="shared" si="10"/>
        <v>0</v>
      </c>
      <c r="BS397" s="460"/>
      <c r="BT397" s="454"/>
      <c r="BU397" s="454"/>
      <c r="BV397" s="457"/>
      <c r="BW397" s="460"/>
      <c r="BX397" s="460"/>
      <c r="BY397" s="460"/>
      <c r="CA397" s="2"/>
      <c r="CB397" s="2"/>
      <c r="CC397" s="2"/>
      <c r="CD397" s="2"/>
      <c r="CE397" s="2"/>
      <c r="CF397" s="2"/>
      <c r="CG397" s="2"/>
      <c r="CH397" s="2"/>
      <c r="CI397" s="2"/>
      <c r="CJ397" s="2"/>
      <c r="CK397" s="2"/>
      <c r="CL397" s="2"/>
      <c r="CM397" s="2"/>
      <c r="CN397" s="2"/>
      <c r="CO397" s="427"/>
      <c r="CP397" s="427"/>
      <c r="CQ397" s="427"/>
      <c r="CR397" s="485"/>
      <c r="CS397" s="485"/>
      <c r="CT397" s="485"/>
      <c r="CU397" s="485"/>
      <c r="CV397" s="482"/>
      <c r="CW397" s="482"/>
      <c r="CX397" s="482"/>
      <c r="CY397" s="482"/>
      <c r="CZ397" s="485"/>
      <c r="DA397" s="485"/>
      <c r="DB397" s="485"/>
      <c r="DC397" s="485"/>
      <c r="DD397" s="485"/>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V397" s="2"/>
      <c r="EW397" s="485"/>
      <c r="EX397" s="485"/>
      <c r="EY397" s="457"/>
      <c r="EZ397" s="457"/>
      <c r="FA397" s="457"/>
      <c r="FB397" s="457"/>
      <c r="FC397" s="457"/>
      <c r="FD397" s="457"/>
      <c r="FE397" s="457"/>
      <c r="FF397" s="457"/>
      <c r="FG397" s="457"/>
      <c r="FH397" s="457"/>
      <c r="FI397" s="457"/>
      <c r="FJ397" s="457"/>
      <c r="FK397" s="457"/>
    </row>
    <row r="398" spans="1:170" s="416" customFormat="1" ht="15">
      <c r="A398" s="427"/>
      <c r="B398" s="417"/>
      <c r="C398" s="427"/>
      <c r="D398" s="427"/>
      <c r="E398" s="428"/>
      <c r="F398" s="429"/>
      <c r="G398" s="430"/>
      <c r="H398" s="427"/>
      <c r="I398" s="427"/>
      <c r="J398" s="427"/>
      <c r="K398" s="427"/>
      <c r="L398" s="427"/>
      <c r="M398" s="427"/>
      <c r="N398" s="427"/>
      <c r="O398" s="427"/>
      <c r="P398" s="427"/>
      <c r="Q398" s="427"/>
      <c r="R398" s="427"/>
      <c r="S398" s="427"/>
      <c r="T398" s="427"/>
      <c r="U398" s="427"/>
      <c r="V398" s="428"/>
      <c r="W398" s="431"/>
      <c r="X398" s="3"/>
      <c r="Y398" s="429"/>
      <c r="Z398" s="430"/>
      <c r="AA398" s="430"/>
      <c r="AB398" s="430"/>
      <c r="AC398" s="424"/>
      <c r="AD398" s="424"/>
      <c r="AE398" s="424"/>
      <c r="AF398" s="424"/>
      <c r="AG398" s="424"/>
      <c r="AH398" s="424"/>
      <c r="AI398" s="424"/>
      <c r="AJ398" s="2"/>
      <c r="AK398" s="2"/>
      <c r="AL398" s="2"/>
      <c r="AM398" s="2"/>
      <c r="AN398" s="2"/>
      <c r="AO398" s="2"/>
      <c r="AP398" s="2"/>
      <c r="AQ398" s="427"/>
      <c r="AR398" s="754"/>
      <c r="AS398" s="427"/>
      <c r="AT398" s="754"/>
      <c r="AU398" s="427"/>
      <c r="AV398" s="427"/>
      <c r="AW398" s="427"/>
      <c r="AX398" s="427"/>
      <c r="AY398" s="754"/>
      <c r="AZ398" s="754"/>
      <c r="BA398" s="754"/>
      <c r="BB398" s="427"/>
      <c r="BC398" s="427"/>
      <c r="BD398" s="427"/>
      <c r="BE398" s="754"/>
      <c r="BF398" s="427"/>
      <c r="BG398" s="454"/>
      <c r="BH398" s="754"/>
      <c r="BI398" s="427"/>
      <c r="BJ398" s="427"/>
      <c r="BK398" s="427"/>
      <c r="BL398" s="427"/>
      <c r="BM398" s="454"/>
      <c r="BN398" s="427"/>
      <c r="BO398" s="427"/>
      <c r="BP398" s="427"/>
      <c r="BQ398" s="454"/>
      <c r="BR398" s="454"/>
      <c r="BS398" s="460"/>
      <c r="BT398" s="454"/>
      <c r="BU398" s="454"/>
      <c r="BV398" s="457"/>
      <c r="BW398" s="460"/>
      <c r="BX398" s="460"/>
      <c r="BY398" s="460"/>
      <c r="CA398" s="2"/>
      <c r="CB398" s="2"/>
      <c r="CC398" s="2"/>
      <c r="CD398" s="2"/>
      <c r="CE398" s="2"/>
      <c r="CF398" s="2"/>
      <c r="CG398" s="2"/>
      <c r="CH398" s="2"/>
      <c r="CI398" s="2"/>
      <c r="CJ398" s="2"/>
      <c r="CK398" s="2"/>
      <c r="CL398" s="2"/>
      <c r="CM398" s="2"/>
      <c r="CN398" s="2"/>
      <c r="CO398" s="427"/>
      <c r="CP398" s="427"/>
      <c r="CQ398" s="427"/>
      <c r="CR398" s="485"/>
      <c r="CS398" s="485"/>
      <c r="CT398" s="485"/>
      <c r="CU398" s="485"/>
      <c r="CV398" s="482"/>
      <c r="CW398" s="482"/>
      <c r="CX398" s="482"/>
      <c r="CY398" s="482"/>
      <c r="CZ398" s="485"/>
      <c r="DA398" s="485"/>
      <c r="DB398" s="485"/>
      <c r="DC398" s="485"/>
      <c r="DD398" s="485"/>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V398" s="2"/>
      <c r="EW398" s="485"/>
      <c r="EX398" s="485"/>
      <c r="EY398" s="457"/>
      <c r="EZ398" s="457"/>
      <c r="FA398" s="457"/>
      <c r="FB398" s="457"/>
      <c r="FC398" s="457"/>
      <c r="FD398" s="457"/>
      <c r="FE398" s="457"/>
      <c r="FF398" s="457"/>
      <c r="FG398" s="457"/>
      <c r="FH398" s="457"/>
      <c r="FI398" s="457"/>
      <c r="FJ398" s="457"/>
      <c r="FK398" s="457"/>
    </row>
    <row r="399" spans="1:170" s="416" customFormat="1" ht="15">
      <c r="A399" s="427"/>
      <c r="B399" s="417"/>
      <c r="C399" s="427"/>
      <c r="D399" s="427"/>
      <c r="E399" s="428"/>
      <c r="F399" s="429"/>
      <c r="G399" s="430"/>
      <c r="H399" s="427"/>
      <c r="I399" s="427"/>
      <c r="J399" s="427"/>
      <c r="K399" s="427"/>
      <c r="L399" s="427"/>
      <c r="M399" s="427"/>
      <c r="N399" s="427"/>
      <c r="O399" s="427"/>
      <c r="P399" s="427"/>
      <c r="Q399" s="427"/>
      <c r="R399" s="427"/>
      <c r="S399" s="427"/>
      <c r="T399" s="427"/>
      <c r="U399" s="427"/>
      <c r="V399" s="428"/>
      <c r="W399" s="431"/>
      <c r="X399" s="3"/>
      <c r="Y399" s="429"/>
      <c r="Z399" s="430"/>
      <c r="AA399" s="430"/>
      <c r="AB399" s="430"/>
      <c r="AC399" s="424"/>
      <c r="AD399" s="424"/>
      <c r="AE399" s="424"/>
      <c r="AF399" s="424"/>
      <c r="AG399" s="424"/>
      <c r="AH399" s="424"/>
      <c r="AI399" s="424"/>
      <c r="AJ399" s="2"/>
      <c r="AK399" s="2"/>
      <c r="AL399" s="2"/>
      <c r="AM399" s="2"/>
      <c r="AN399" s="2"/>
      <c r="AO399" s="2"/>
      <c r="AP399" s="2"/>
      <c r="AQ399" s="427"/>
      <c r="AR399" s="754"/>
      <c r="AS399" s="427"/>
      <c r="AT399" s="754"/>
      <c r="AU399" s="427"/>
      <c r="AV399" s="427"/>
      <c r="AW399" s="427"/>
      <c r="AX399" s="427"/>
      <c r="AY399" s="754"/>
      <c r="AZ399" s="754"/>
      <c r="BA399" s="754"/>
      <c r="BB399" s="427"/>
      <c r="BC399" s="427"/>
      <c r="BD399" s="427"/>
      <c r="BE399" s="754"/>
      <c r="BF399" s="427"/>
      <c r="BG399" s="454"/>
      <c r="BH399" s="754"/>
      <c r="BI399" s="427"/>
      <c r="BJ399" s="427"/>
      <c r="BK399" s="427"/>
      <c r="BL399" s="427"/>
      <c r="BM399" s="454"/>
      <c r="BN399" s="427"/>
      <c r="BO399" s="878" t="s">
        <v>787</v>
      </c>
      <c r="BP399" s="427">
        <f>SUM(BP386:BP397)</f>
        <v>715.15900000000011</v>
      </c>
      <c r="BQ399" s="454">
        <f>SUM(BQ386:BQ397)</f>
        <v>1916.6799999999998</v>
      </c>
      <c r="BR399" s="454">
        <f>SUM(BR386:BR397)</f>
        <v>171.01999999999998</v>
      </c>
      <c r="BS399" s="460"/>
      <c r="BT399" s="454"/>
      <c r="BU399" s="454"/>
      <c r="BV399" s="457"/>
      <c r="BW399" s="460"/>
      <c r="BX399" s="460"/>
      <c r="BY399" s="460"/>
      <c r="CA399" s="2"/>
      <c r="CB399" s="2"/>
      <c r="CC399" s="2"/>
      <c r="CD399" s="2"/>
      <c r="CE399" s="2"/>
      <c r="CF399" s="2"/>
      <c r="CG399" s="2"/>
      <c r="CH399" s="2"/>
      <c r="CI399" s="2"/>
      <c r="CJ399" s="2"/>
      <c r="CK399" s="2"/>
      <c r="CL399" s="2"/>
      <c r="CM399" s="2"/>
      <c r="CN399" s="2"/>
      <c r="CO399" s="427"/>
      <c r="CP399" s="427"/>
      <c r="CQ399" s="427"/>
      <c r="CR399" s="485"/>
      <c r="CS399" s="485"/>
      <c r="CT399" s="485"/>
      <c r="CU399" s="485"/>
      <c r="CV399" s="482"/>
      <c r="CW399" s="482"/>
      <c r="CX399" s="482"/>
      <c r="CY399" s="482"/>
      <c r="CZ399" s="485"/>
      <c r="DA399" s="485"/>
      <c r="DB399" s="485"/>
      <c r="DC399" s="485"/>
      <c r="DD399" s="485"/>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V399" s="2"/>
      <c r="EW399" s="485"/>
      <c r="EX399" s="485"/>
      <c r="EY399" s="457"/>
      <c r="EZ399" s="457"/>
      <c r="FA399" s="457"/>
      <c r="FB399" s="457"/>
      <c r="FC399" s="457"/>
      <c r="FD399" s="457"/>
      <c r="FE399" s="457"/>
      <c r="FF399" s="457"/>
      <c r="FG399" s="457"/>
      <c r="FH399" s="457"/>
      <c r="FI399" s="457"/>
      <c r="FJ399" s="457"/>
      <c r="FK399" s="457"/>
    </row>
    <row r="400" spans="1:170" s="416" customFormat="1" ht="15">
      <c r="A400" s="427"/>
      <c r="B400" s="417"/>
      <c r="C400" s="427"/>
      <c r="D400" s="427"/>
      <c r="E400" s="428"/>
      <c r="F400" s="429"/>
      <c r="G400" s="430"/>
      <c r="H400" s="427"/>
      <c r="I400" s="427"/>
      <c r="J400" s="427"/>
      <c r="K400" s="427"/>
      <c r="L400" s="427"/>
      <c r="M400" s="427"/>
      <c r="N400" s="427"/>
      <c r="O400" s="427"/>
      <c r="P400" s="427"/>
      <c r="Q400" s="427"/>
      <c r="R400" s="427"/>
      <c r="S400" s="427"/>
      <c r="T400" s="427"/>
      <c r="U400" s="427"/>
      <c r="V400" s="428"/>
      <c r="W400" s="431"/>
      <c r="X400" s="3"/>
      <c r="Y400" s="429"/>
      <c r="Z400" s="430"/>
      <c r="AA400" s="430"/>
      <c r="AB400" s="430"/>
      <c r="AC400" s="424"/>
      <c r="AD400" s="424"/>
      <c r="AE400" s="424"/>
      <c r="AF400" s="424"/>
      <c r="AG400" s="424"/>
      <c r="AH400" s="424"/>
      <c r="AI400" s="424"/>
      <c r="AJ400" s="2"/>
      <c r="AK400" s="2"/>
      <c r="AL400" s="2"/>
      <c r="AM400" s="2"/>
      <c r="AN400" s="2"/>
      <c r="AO400" s="2"/>
      <c r="AP400" s="2"/>
      <c r="AQ400" s="427"/>
      <c r="AR400" s="754"/>
      <c r="AS400" s="427"/>
      <c r="AT400" s="754"/>
      <c r="AU400" s="427"/>
      <c r="AV400" s="427"/>
      <c r="AW400" s="427"/>
      <c r="AX400" s="427"/>
      <c r="AY400" s="754"/>
      <c r="AZ400" s="754"/>
      <c r="BA400" s="754"/>
      <c r="BB400" s="427"/>
      <c r="BC400" s="427"/>
      <c r="BD400" s="427"/>
      <c r="BE400" s="754"/>
      <c r="BF400" s="427"/>
      <c r="BG400" s="454"/>
      <c r="BH400" s="754"/>
      <c r="BI400" s="427"/>
      <c r="BJ400" s="427"/>
      <c r="BK400" s="427"/>
      <c r="BL400" s="427"/>
      <c r="BM400" s="454"/>
      <c r="BN400" s="427"/>
      <c r="BO400" s="878" t="s">
        <v>788</v>
      </c>
      <c r="BP400" s="427"/>
      <c r="BQ400" s="454"/>
      <c r="BR400" s="454"/>
      <c r="BS400" s="460"/>
      <c r="BT400" s="454"/>
      <c r="BU400" s="454"/>
      <c r="BV400" s="457"/>
      <c r="BW400" s="460"/>
      <c r="BX400" s="460"/>
      <c r="BY400" s="460"/>
      <c r="CA400" s="2"/>
      <c r="CB400" s="2"/>
      <c r="CC400" s="2"/>
      <c r="CD400" s="2"/>
      <c r="CE400" s="2"/>
      <c r="CF400" s="2"/>
      <c r="CG400" s="2"/>
      <c r="CH400" s="2"/>
      <c r="CI400" s="2"/>
      <c r="CJ400" s="2"/>
      <c r="CK400" s="2"/>
      <c r="CL400" s="2"/>
      <c r="CM400" s="2"/>
      <c r="CN400" s="2"/>
      <c r="CO400" s="427"/>
      <c r="CP400" s="427"/>
      <c r="CQ400" s="427"/>
      <c r="CR400" s="485"/>
      <c r="CS400" s="485"/>
      <c r="CT400" s="485"/>
      <c r="CU400" s="485"/>
      <c r="CV400" s="482"/>
      <c r="CW400" s="482"/>
      <c r="CX400" s="482"/>
      <c r="CY400" s="482"/>
      <c r="CZ400" s="485"/>
      <c r="DA400" s="485"/>
      <c r="DB400" s="485"/>
      <c r="DC400" s="485"/>
      <c r="DD400" s="485"/>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V400" s="2"/>
      <c r="EW400" s="485"/>
      <c r="EX400" s="485"/>
      <c r="EY400" s="457"/>
      <c r="EZ400" s="457"/>
      <c r="FA400" s="457"/>
      <c r="FB400" s="457"/>
      <c r="FC400" s="457"/>
      <c r="FD400" s="457"/>
      <c r="FE400" s="457"/>
      <c r="FF400" s="457"/>
      <c r="FG400" s="457"/>
      <c r="FH400" s="457"/>
      <c r="FI400" s="457"/>
      <c r="FJ400" s="457"/>
      <c r="FK400" s="457"/>
    </row>
    <row r="401" spans="1:167" s="416" customFormat="1" ht="15">
      <c r="A401" s="427"/>
      <c r="B401" s="417"/>
      <c r="C401" s="427"/>
      <c r="D401" s="427"/>
      <c r="E401" s="428"/>
      <c r="F401" s="429"/>
      <c r="G401" s="430"/>
      <c r="H401" s="427"/>
      <c r="I401" s="427"/>
      <c r="J401" s="427"/>
      <c r="K401" s="427"/>
      <c r="L401" s="427"/>
      <c r="M401" s="427"/>
      <c r="N401" s="427"/>
      <c r="O401" s="427"/>
      <c r="P401" s="427"/>
      <c r="Q401" s="427"/>
      <c r="R401" s="427"/>
      <c r="S401" s="427"/>
      <c r="T401" s="427"/>
      <c r="U401" s="427"/>
      <c r="V401" s="428"/>
      <c r="W401" s="431"/>
      <c r="X401" s="3"/>
      <c r="Y401" s="429"/>
      <c r="Z401" s="430"/>
      <c r="AA401" s="430"/>
      <c r="AB401" s="430"/>
      <c r="AC401" s="424"/>
      <c r="AD401" s="424"/>
      <c r="AE401" s="424"/>
      <c r="AF401" s="424"/>
      <c r="AG401" s="424"/>
      <c r="AH401" s="424"/>
      <c r="AI401" s="424"/>
      <c r="AJ401" s="2"/>
      <c r="AK401" s="2"/>
      <c r="AL401" s="2"/>
      <c r="AM401" s="2"/>
      <c r="AN401" s="2"/>
      <c r="AO401" s="2"/>
      <c r="AP401" s="2"/>
      <c r="AQ401" s="427"/>
      <c r="AR401" s="754"/>
      <c r="AS401" s="427"/>
      <c r="AT401" s="754"/>
      <c r="AU401" s="427"/>
      <c r="AV401" s="427"/>
      <c r="AW401" s="427"/>
      <c r="AX401" s="427"/>
      <c r="AY401" s="754"/>
      <c r="AZ401" s="754"/>
      <c r="BA401" s="754"/>
      <c r="BB401" s="427"/>
      <c r="BC401" s="427"/>
      <c r="BD401" s="427"/>
      <c r="BE401" s="754"/>
      <c r="BF401" s="427"/>
      <c r="BG401" s="454"/>
      <c r="BH401" s="754"/>
      <c r="BI401" s="427"/>
      <c r="BJ401" s="427"/>
      <c r="BK401" s="427"/>
      <c r="BL401" s="427"/>
      <c r="BM401" s="454"/>
      <c r="BN401" s="427"/>
      <c r="BO401" s="427"/>
      <c r="BP401" s="427"/>
      <c r="BQ401" s="454"/>
      <c r="BR401" s="454"/>
      <c r="BS401" s="460"/>
      <c r="BT401" s="454"/>
      <c r="BU401" s="454"/>
      <c r="BV401" s="457"/>
      <c r="BW401" s="460"/>
      <c r="BX401" s="460"/>
      <c r="BY401" s="460"/>
      <c r="CA401" s="2"/>
      <c r="CB401" s="2"/>
      <c r="CC401" s="2"/>
      <c r="CD401" s="2"/>
      <c r="CE401" s="2"/>
      <c r="CF401" s="2"/>
      <c r="CG401" s="2"/>
      <c r="CH401" s="2"/>
      <c r="CI401" s="2"/>
      <c r="CJ401" s="2"/>
      <c r="CK401" s="2"/>
      <c r="CL401" s="2"/>
      <c r="CM401" s="2"/>
      <c r="CN401" s="2"/>
      <c r="CO401" s="427"/>
      <c r="CP401" s="427"/>
      <c r="CQ401" s="427"/>
      <c r="CR401" s="485"/>
      <c r="CS401" s="485"/>
      <c r="CT401" s="485"/>
      <c r="CU401" s="485"/>
      <c r="CV401" s="482"/>
      <c r="CW401" s="482"/>
      <c r="CX401" s="482"/>
      <c r="CY401" s="482"/>
      <c r="CZ401" s="485"/>
      <c r="DA401" s="485"/>
      <c r="DB401" s="485"/>
      <c r="DC401" s="485"/>
      <c r="DD401" s="485"/>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V401" s="2"/>
      <c r="EW401" s="485"/>
      <c r="EX401" s="485"/>
      <c r="EY401" s="457"/>
      <c r="EZ401" s="457"/>
      <c r="FA401" s="457"/>
      <c r="FB401" s="457"/>
      <c r="FC401" s="457"/>
      <c r="FD401" s="457"/>
      <c r="FE401" s="457"/>
      <c r="FF401" s="457"/>
      <c r="FG401" s="457"/>
      <c r="FH401" s="457"/>
      <c r="FI401" s="457"/>
      <c r="FJ401" s="457"/>
      <c r="FK401" s="457"/>
    </row>
    <row r="402" spans="1:167" s="416" customFormat="1" ht="15">
      <c r="A402" s="427"/>
      <c r="B402" s="417"/>
      <c r="C402" s="427"/>
      <c r="D402" s="427"/>
      <c r="E402" s="428"/>
      <c r="F402" s="429"/>
      <c r="G402" s="430"/>
      <c r="H402" s="427"/>
      <c r="I402" s="427"/>
      <c r="J402" s="427"/>
      <c r="K402" s="427"/>
      <c r="L402" s="427"/>
      <c r="M402" s="427"/>
      <c r="N402" s="427"/>
      <c r="O402" s="427"/>
      <c r="P402" s="427"/>
      <c r="Q402" s="427"/>
      <c r="R402" s="427"/>
      <c r="S402" s="427"/>
      <c r="T402" s="427"/>
      <c r="U402" s="427"/>
      <c r="V402" s="428"/>
      <c r="W402" s="431"/>
      <c r="X402" s="3"/>
      <c r="Y402" s="429"/>
      <c r="Z402" s="430"/>
      <c r="AA402" s="430"/>
      <c r="AB402" s="430"/>
      <c r="AC402" s="424"/>
      <c r="AD402" s="424"/>
      <c r="AE402" s="424"/>
      <c r="AF402" s="424"/>
      <c r="AG402" s="424"/>
      <c r="AH402" s="424"/>
      <c r="AI402" s="424"/>
      <c r="AJ402" s="2"/>
      <c r="AK402" s="2"/>
      <c r="AL402" s="2"/>
      <c r="AM402" s="2"/>
      <c r="AN402" s="2"/>
      <c r="AO402" s="2"/>
      <c r="AP402" s="2"/>
      <c r="AQ402" s="427"/>
      <c r="AR402" s="754"/>
      <c r="AS402" s="427"/>
      <c r="AT402" s="754"/>
      <c r="AU402" s="427"/>
      <c r="AV402" s="427"/>
      <c r="AW402" s="427"/>
      <c r="AX402" s="427"/>
      <c r="AY402" s="754"/>
      <c r="AZ402" s="754"/>
      <c r="BA402" s="754"/>
      <c r="BB402" s="427"/>
      <c r="BC402" s="427"/>
      <c r="BD402" s="427"/>
      <c r="BE402" s="754"/>
      <c r="BF402" s="427"/>
      <c r="BG402" s="454"/>
      <c r="BH402" s="754"/>
      <c r="BI402" s="427"/>
      <c r="BJ402" s="427"/>
      <c r="BK402" s="427"/>
      <c r="BL402" s="427"/>
      <c r="BM402" s="454"/>
      <c r="BN402" s="427"/>
      <c r="BO402" s="427"/>
      <c r="BP402" s="427"/>
      <c r="BQ402" s="454"/>
      <c r="BR402" s="454"/>
      <c r="BS402" s="460"/>
      <c r="BT402" s="454"/>
      <c r="BU402" s="454"/>
      <c r="BV402" s="457"/>
      <c r="BW402" s="460"/>
      <c r="BX402" s="460"/>
      <c r="BY402" s="460"/>
      <c r="CA402" s="2"/>
      <c r="CB402" s="2"/>
      <c r="CC402" s="2"/>
      <c r="CD402" s="2"/>
      <c r="CE402" s="2"/>
      <c r="CF402" s="2"/>
      <c r="CG402" s="2"/>
      <c r="CH402" s="2"/>
      <c r="CI402" s="2"/>
      <c r="CJ402" s="2"/>
      <c r="CK402" s="2"/>
      <c r="CL402" s="2"/>
      <c r="CM402" s="2"/>
      <c r="CN402" s="2"/>
      <c r="CO402" s="427"/>
      <c r="CP402" s="427"/>
      <c r="CQ402" s="427"/>
      <c r="CR402" s="485"/>
      <c r="CS402" s="485"/>
      <c r="CT402" s="485"/>
      <c r="CU402" s="485"/>
      <c r="CV402" s="482"/>
      <c r="CW402" s="482"/>
      <c r="CX402" s="482"/>
      <c r="CY402" s="482"/>
      <c r="CZ402" s="485"/>
      <c r="DA402" s="485"/>
      <c r="DB402" s="485"/>
      <c r="DC402" s="485"/>
      <c r="DD402" s="485"/>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V402" s="2"/>
      <c r="EW402" s="485"/>
      <c r="EX402" s="485"/>
      <c r="EY402" s="457"/>
      <c r="EZ402" s="457"/>
      <c r="FA402" s="457"/>
      <c r="FB402" s="457"/>
      <c r="FC402" s="457"/>
      <c r="FD402" s="457"/>
      <c r="FE402" s="457"/>
      <c r="FF402" s="457"/>
      <c r="FG402" s="457"/>
      <c r="FH402" s="457"/>
      <c r="FI402" s="457"/>
      <c r="FJ402" s="457"/>
      <c r="FK402" s="457"/>
    </row>
    <row r="403" spans="1:167" s="416" customFormat="1" ht="15">
      <c r="A403" s="427"/>
      <c r="B403" s="417"/>
      <c r="C403" s="427"/>
      <c r="D403" s="427"/>
      <c r="E403" s="428"/>
      <c r="F403" s="429"/>
      <c r="G403" s="430"/>
      <c r="H403" s="427"/>
      <c r="I403" s="427"/>
      <c r="J403" s="427"/>
      <c r="K403" s="427"/>
      <c r="L403" s="427"/>
      <c r="M403" s="427"/>
      <c r="N403" s="427"/>
      <c r="O403" s="427"/>
      <c r="P403" s="427"/>
      <c r="Q403" s="427"/>
      <c r="R403" s="427"/>
      <c r="S403" s="427"/>
      <c r="T403" s="427"/>
      <c r="U403" s="427"/>
      <c r="V403" s="428"/>
      <c r="W403" s="431"/>
      <c r="X403" s="3"/>
      <c r="Y403" s="429"/>
      <c r="Z403" s="430"/>
      <c r="AA403" s="430"/>
      <c r="AB403" s="430"/>
      <c r="AC403" s="424"/>
      <c r="AD403" s="424"/>
      <c r="AE403" s="424"/>
      <c r="AF403" s="424"/>
      <c r="AG403" s="424"/>
      <c r="AH403" s="424"/>
      <c r="AI403" s="424"/>
      <c r="AJ403" s="2"/>
      <c r="AK403" s="2"/>
      <c r="AL403" s="2"/>
      <c r="AM403" s="2"/>
      <c r="AN403" s="2"/>
      <c r="AO403" s="2"/>
      <c r="AP403" s="2"/>
      <c r="AQ403" s="427"/>
      <c r="AR403" s="754"/>
      <c r="AS403" s="427"/>
      <c r="AT403" s="754"/>
      <c r="AU403" s="427"/>
      <c r="AV403" s="427"/>
      <c r="AW403" s="427"/>
      <c r="AX403" s="427"/>
      <c r="AY403" s="754"/>
      <c r="AZ403" s="754"/>
      <c r="BA403" s="754"/>
      <c r="BB403" s="427"/>
      <c r="BC403" s="427"/>
      <c r="BD403" s="427"/>
      <c r="BE403" s="754"/>
      <c r="BF403" s="427"/>
      <c r="BG403" s="454"/>
      <c r="BH403" s="754"/>
      <c r="BI403" s="427"/>
      <c r="BJ403" s="427"/>
      <c r="BK403" s="427"/>
      <c r="BL403" s="427"/>
      <c r="BM403" s="454"/>
      <c r="BN403" s="427"/>
      <c r="BO403" s="427"/>
      <c r="BP403" s="427"/>
      <c r="BQ403" s="454"/>
      <c r="BR403" s="454"/>
      <c r="BS403" s="460"/>
      <c r="BT403" s="454"/>
      <c r="BU403" s="454"/>
      <c r="BV403" s="457"/>
      <c r="BW403" s="460"/>
      <c r="BX403" s="460"/>
      <c r="BY403" s="460"/>
      <c r="CA403" s="2"/>
      <c r="CB403" s="2"/>
      <c r="CC403" s="2"/>
      <c r="CD403" s="2"/>
      <c r="CE403" s="2"/>
      <c r="CF403" s="2"/>
      <c r="CG403" s="2"/>
      <c r="CH403" s="2"/>
      <c r="CI403" s="2"/>
      <c r="CJ403" s="2"/>
      <c r="CK403" s="2"/>
      <c r="CL403" s="2"/>
      <c r="CM403" s="2"/>
      <c r="CN403" s="2"/>
      <c r="CO403" s="427"/>
      <c r="CP403" s="427"/>
      <c r="CQ403" s="427"/>
      <c r="CR403" s="485"/>
      <c r="CS403" s="485"/>
      <c r="CT403" s="485"/>
      <c r="CU403" s="485"/>
      <c r="CV403" s="482"/>
      <c r="CW403" s="482"/>
      <c r="CX403" s="482"/>
      <c r="CY403" s="482"/>
      <c r="CZ403" s="485"/>
      <c r="DA403" s="485"/>
      <c r="DB403" s="485"/>
      <c r="DC403" s="485"/>
      <c r="DD403" s="485"/>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V403" s="2"/>
      <c r="EW403" s="485"/>
      <c r="EX403" s="485"/>
      <c r="EY403" s="457"/>
      <c r="EZ403" s="457"/>
      <c r="FA403" s="457"/>
      <c r="FB403" s="457"/>
      <c r="FC403" s="457"/>
      <c r="FD403" s="457"/>
      <c r="FE403" s="457"/>
      <c r="FF403" s="457"/>
      <c r="FG403" s="457"/>
      <c r="FH403" s="457"/>
      <c r="FI403" s="457"/>
      <c r="FJ403" s="457"/>
      <c r="FK403" s="457"/>
    </row>
    <row r="404" spans="1:167" s="416" customFormat="1" ht="15">
      <c r="A404" s="427"/>
      <c r="B404" s="417"/>
      <c r="C404" s="427"/>
      <c r="D404" s="427"/>
      <c r="E404" s="428"/>
      <c r="F404" s="429"/>
      <c r="G404" s="430"/>
      <c r="H404" s="427"/>
      <c r="I404" s="427"/>
      <c r="J404" s="427"/>
      <c r="K404" s="427"/>
      <c r="L404" s="427"/>
      <c r="M404" s="427"/>
      <c r="N404" s="427"/>
      <c r="O404" s="427"/>
      <c r="P404" s="427"/>
      <c r="Q404" s="427"/>
      <c r="R404" s="427"/>
      <c r="S404" s="427"/>
      <c r="T404" s="427"/>
      <c r="U404" s="427"/>
      <c r="V404" s="428"/>
      <c r="W404" s="431"/>
      <c r="X404" s="3"/>
      <c r="Y404" s="429"/>
      <c r="Z404" s="430"/>
      <c r="AA404" s="430"/>
      <c r="AB404" s="430"/>
      <c r="AC404" s="424"/>
      <c r="AD404" s="424"/>
      <c r="AE404" s="424"/>
      <c r="AF404" s="424"/>
      <c r="AG404" s="424"/>
      <c r="AH404" s="424"/>
      <c r="AI404" s="424"/>
      <c r="AJ404" s="2"/>
      <c r="AK404" s="2"/>
      <c r="AL404" s="2"/>
      <c r="AM404" s="2"/>
      <c r="AN404" s="2"/>
      <c r="AO404" s="2"/>
      <c r="AP404" s="2"/>
      <c r="AQ404" s="427"/>
      <c r="AR404" s="754"/>
      <c r="AS404" s="427"/>
      <c r="AT404" s="754"/>
      <c r="AU404" s="427"/>
      <c r="AV404" s="427"/>
      <c r="AW404" s="427"/>
      <c r="AX404" s="427"/>
      <c r="AY404" s="754"/>
      <c r="AZ404" s="754"/>
      <c r="BA404" s="754"/>
      <c r="BB404" s="427"/>
      <c r="BC404" s="427"/>
      <c r="BD404" s="427"/>
      <c r="BE404" s="754"/>
      <c r="BF404" s="427"/>
      <c r="BG404" s="454"/>
      <c r="BH404" s="754"/>
      <c r="BI404" s="427"/>
      <c r="BJ404" s="427"/>
      <c r="BK404" s="427"/>
      <c r="BL404" s="427"/>
      <c r="BM404" s="454"/>
      <c r="BN404" s="427"/>
      <c r="BO404" s="427"/>
      <c r="BP404" s="427"/>
      <c r="BQ404" s="454"/>
      <c r="BR404" s="454"/>
      <c r="BS404" s="460"/>
      <c r="BT404" s="454"/>
      <c r="BU404" s="454"/>
      <c r="BV404" s="457"/>
      <c r="BW404" s="460"/>
      <c r="BX404" s="460"/>
      <c r="BY404" s="460"/>
      <c r="CA404" s="2"/>
      <c r="CB404" s="2"/>
      <c r="CC404" s="2"/>
      <c r="CD404" s="2"/>
      <c r="CE404" s="2"/>
      <c r="CF404" s="2"/>
      <c r="CG404" s="2"/>
      <c r="CH404" s="2"/>
      <c r="CI404" s="2"/>
      <c r="CJ404" s="2"/>
      <c r="CK404" s="2"/>
      <c r="CL404" s="2"/>
      <c r="CM404" s="2"/>
      <c r="CN404" s="2"/>
      <c r="CO404" s="427"/>
      <c r="CP404" s="427"/>
      <c r="CQ404" s="427"/>
      <c r="CR404" s="485"/>
      <c r="CS404" s="485"/>
      <c r="CT404" s="485"/>
      <c r="CU404" s="485"/>
      <c r="CV404" s="482"/>
      <c r="CW404" s="482"/>
      <c r="CX404" s="482"/>
      <c r="CY404" s="482"/>
      <c r="CZ404" s="485"/>
      <c r="DA404" s="485"/>
      <c r="DB404" s="485"/>
      <c r="DC404" s="485"/>
      <c r="DD404" s="485"/>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V404" s="2"/>
      <c r="EW404" s="485"/>
      <c r="EX404" s="485"/>
      <c r="EY404" s="457"/>
      <c r="EZ404" s="457"/>
      <c r="FA404" s="457"/>
      <c r="FB404" s="457"/>
      <c r="FC404" s="457"/>
      <c r="FD404" s="457"/>
      <c r="FE404" s="457"/>
      <c r="FF404" s="457"/>
      <c r="FG404" s="457"/>
      <c r="FH404" s="457"/>
      <c r="FI404" s="457"/>
      <c r="FJ404" s="457"/>
      <c r="FK404" s="457"/>
    </row>
    <row r="405" spans="1:167" s="416" customFormat="1" ht="15">
      <c r="A405" s="427"/>
      <c r="B405" s="417"/>
      <c r="C405" s="427"/>
      <c r="D405" s="427"/>
      <c r="E405" s="428"/>
      <c r="F405" s="429"/>
      <c r="G405" s="430"/>
      <c r="H405" s="427"/>
      <c r="I405" s="427"/>
      <c r="J405" s="427"/>
      <c r="K405" s="427"/>
      <c r="L405" s="427"/>
      <c r="M405" s="427"/>
      <c r="N405" s="427"/>
      <c r="O405" s="427"/>
      <c r="P405" s="427"/>
      <c r="Q405" s="427"/>
      <c r="R405" s="427"/>
      <c r="S405" s="427"/>
      <c r="T405" s="427"/>
      <c r="U405" s="427"/>
      <c r="V405" s="428"/>
      <c r="W405" s="431"/>
      <c r="X405" s="3"/>
      <c r="Y405" s="429"/>
      <c r="Z405" s="430"/>
      <c r="AA405" s="430"/>
      <c r="AB405" s="430"/>
      <c r="AC405" s="424"/>
      <c r="AD405" s="424"/>
      <c r="AE405" s="424"/>
      <c r="AF405" s="424"/>
      <c r="AG405" s="424"/>
      <c r="AH405" s="424"/>
      <c r="AI405" s="424"/>
      <c r="AJ405" s="2"/>
      <c r="AK405" s="2"/>
      <c r="AL405" s="2"/>
      <c r="AM405" s="2"/>
      <c r="AN405" s="2"/>
      <c r="AO405" s="2"/>
      <c r="AP405" s="2"/>
      <c r="AQ405" s="427"/>
      <c r="AR405" s="754"/>
      <c r="AS405" s="427"/>
      <c r="AT405" s="754"/>
      <c r="AU405" s="427"/>
      <c r="AV405" s="427"/>
      <c r="AW405" s="427"/>
      <c r="AX405" s="427"/>
      <c r="AY405" s="754"/>
      <c r="AZ405" s="754"/>
      <c r="BA405" s="754"/>
      <c r="BB405" s="427"/>
      <c r="BC405" s="427"/>
      <c r="BD405" s="427"/>
      <c r="BE405" s="754"/>
      <c r="BF405" s="427"/>
      <c r="BG405" s="454"/>
      <c r="BH405" s="754"/>
      <c r="BI405" s="427"/>
      <c r="BJ405" s="427"/>
      <c r="BK405" s="427"/>
      <c r="BL405" s="427"/>
      <c r="BM405" s="454"/>
      <c r="BN405" s="427"/>
      <c r="BO405" s="427"/>
      <c r="BP405" s="427"/>
      <c r="BQ405" s="454"/>
      <c r="BR405" s="454"/>
      <c r="BS405" s="460"/>
      <c r="BT405" s="454"/>
      <c r="BU405" s="454"/>
      <c r="BV405" s="457"/>
      <c r="BW405" s="460"/>
      <c r="BX405" s="460"/>
      <c r="BY405" s="460"/>
      <c r="CA405" s="2"/>
      <c r="CB405" s="2"/>
      <c r="CC405" s="2"/>
      <c r="CD405" s="2"/>
      <c r="CE405" s="2"/>
      <c r="CF405" s="2"/>
      <c r="CG405" s="2"/>
      <c r="CH405" s="2"/>
      <c r="CI405" s="2"/>
      <c r="CJ405" s="2"/>
      <c r="CK405" s="2"/>
      <c r="CL405" s="2"/>
      <c r="CM405" s="2"/>
      <c r="CN405" s="2"/>
      <c r="CO405" s="427"/>
      <c r="CP405" s="427"/>
      <c r="CQ405" s="427"/>
      <c r="CR405" s="485"/>
      <c r="CS405" s="485"/>
      <c r="CT405" s="485"/>
      <c r="CU405" s="485"/>
      <c r="CV405" s="482"/>
      <c r="CW405" s="482"/>
      <c r="CX405" s="482"/>
      <c r="CY405" s="482"/>
      <c r="CZ405" s="485"/>
      <c r="DA405" s="485"/>
      <c r="DB405" s="485"/>
      <c r="DC405" s="485"/>
      <c r="DD405" s="485"/>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V405" s="2"/>
      <c r="EW405" s="485"/>
      <c r="EX405" s="485"/>
      <c r="EY405" s="457"/>
      <c r="EZ405" s="457"/>
      <c r="FA405" s="457"/>
      <c r="FB405" s="457"/>
      <c r="FC405" s="457"/>
      <c r="FD405" s="457"/>
      <c r="FE405" s="457"/>
      <c r="FF405" s="457"/>
      <c r="FG405" s="457"/>
      <c r="FH405" s="457"/>
      <c r="FI405" s="457"/>
      <c r="FJ405" s="457"/>
      <c r="FK405" s="457"/>
    </row>
    <row r="406" spans="1:167" s="416" customFormat="1" ht="15">
      <c r="A406" s="427"/>
      <c r="B406" s="417"/>
      <c r="C406" s="427"/>
      <c r="D406" s="427"/>
      <c r="E406" s="428"/>
      <c r="F406" s="429"/>
      <c r="G406" s="430"/>
      <c r="H406" s="427"/>
      <c r="I406" s="427"/>
      <c r="J406" s="427"/>
      <c r="K406" s="427"/>
      <c r="L406" s="427"/>
      <c r="M406" s="427"/>
      <c r="N406" s="427"/>
      <c r="O406" s="427"/>
      <c r="P406" s="427"/>
      <c r="Q406" s="427"/>
      <c r="R406" s="427"/>
      <c r="S406" s="427"/>
      <c r="T406" s="427"/>
      <c r="U406" s="427"/>
      <c r="V406" s="428"/>
      <c r="W406" s="431"/>
      <c r="X406" s="3"/>
      <c r="Y406" s="429"/>
      <c r="Z406" s="430"/>
      <c r="AA406" s="430"/>
      <c r="AB406" s="430"/>
      <c r="AC406" s="424"/>
      <c r="AD406" s="424"/>
      <c r="AE406" s="424"/>
      <c r="AF406" s="424"/>
      <c r="AG406" s="424"/>
      <c r="AH406" s="424"/>
      <c r="AI406" s="424"/>
      <c r="AJ406" s="2"/>
      <c r="AK406" s="2"/>
      <c r="AL406" s="2"/>
      <c r="AM406" s="2"/>
      <c r="AN406" s="2"/>
      <c r="AO406" s="2"/>
      <c r="AP406" s="2"/>
      <c r="AQ406" s="427"/>
      <c r="AR406" s="754"/>
      <c r="AS406" s="427"/>
      <c r="AT406" s="754"/>
      <c r="AU406" s="427"/>
      <c r="AV406" s="427"/>
      <c r="AW406" s="427"/>
      <c r="AX406" s="427"/>
      <c r="AY406" s="754"/>
      <c r="AZ406" s="754"/>
      <c r="BA406" s="754"/>
      <c r="BB406" s="427"/>
      <c r="BC406" s="427"/>
      <c r="BD406" s="427"/>
      <c r="BE406" s="754"/>
      <c r="BF406" s="427"/>
      <c r="BG406" s="454"/>
      <c r="BH406" s="754"/>
      <c r="BI406" s="427"/>
      <c r="BJ406" s="427"/>
      <c r="BK406" s="427"/>
      <c r="BL406" s="427"/>
      <c r="BM406" s="454"/>
      <c r="BN406" s="427"/>
      <c r="BO406" s="427"/>
      <c r="BP406" s="427"/>
      <c r="BQ406" s="454"/>
      <c r="BR406" s="454"/>
      <c r="BS406" s="460"/>
      <c r="BT406" s="454"/>
      <c r="BU406" s="454"/>
      <c r="BV406" s="457"/>
      <c r="BW406" s="460"/>
      <c r="BX406" s="460"/>
      <c r="BY406" s="460"/>
      <c r="CA406" s="2"/>
      <c r="CB406" s="2"/>
      <c r="CC406" s="2"/>
      <c r="CD406" s="2"/>
      <c r="CE406" s="2"/>
      <c r="CF406" s="2"/>
      <c r="CG406" s="2"/>
      <c r="CH406" s="2"/>
      <c r="CI406" s="2"/>
      <c r="CJ406" s="2"/>
      <c r="CK406" s="2"/>
      <c r="CL406" s="2"/>
      <c r="CM406" s="2"/>
      <c r="CN406" s="2"/>
      <c r="CO406" s="427"/>
      <c r="CP406" s="427"/>
      <c r="CQ406" s="427"/>
      <c r="CR406" s="485"/>
      <c r="CS406" s="485"/>
      <c r="CT406" s="485"/>
      <c r="CU406" s="485"/>
      <c r="CV406" s="482"/>
      <c r="CW406" s="482"/>
      <c r="CX406" s="482"/>
      <c r="CY406" s="482"/>
      <c r="CZ406" s="485"/>
      <c r="DA406" s="485"/>
      <c r="DB406" s="485"/>
      <c r="DC406" s="485"/>
      <c r="DD406" s="485"/>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V406" s="2"/>
      <c r="EW406" s="485"/>
      <c r="EX406" s="485"/>
      <c r="EY406" s="457"/>
      <c r="EZ406" s="457"/>
      <c r="FA406" s="457"/>
      <c r="FB406" s="457"/>
      <c r="FC406" s="457"/>
      <c r="FD406" s="457"/>
      <c r="FE406" s="457"/>
      <c r="FF406" s="457"/>
      <c r="FG406" s="457"/>
      <c r="FH406" s="457"/>
      <c r="FI406" s="457"/>
      <c r="FJ406" s="457"/>
      <c r="FK406" s="457"/>
    </row>
    <row r="407" spans="1:167" s="416" customFormat="1" ht="15">
      <c r="A407" s="427"/>
      <c r="B407" s="417"/>
      <c r="C407" s="427"/>
      <c r="D407" s="427"/>
      <c r="E407" s="428"/>
      <c r="F407" s="429"/>
      <c r="G407" s="430"/>
      <c r="H407" s="427"/>
      <c r="I407" s="427"/>
      <c r="J407" s="427"/>
      <c r="K407" s="427"/>
      <c r="L407" s="427"/>
      <c r="M407" s="427"/>
      <c r="N407" s="427"/>
      <c r="O407" s="427"/>
      <c r="P407" s="427"/>
      <c r="Q407" s="427"/>
      <c r="R407" s="427"/>
      <c r="S407" s="427"/>
      <c r="T407" s="427"/>
      <c r="U407" s="427"/>
      <c r="V407" s="428"/>
      <c r="W407" s="431"/>
      <c r="X407" s="3"/>
      <c r="Y407" s="429"/>
      <c r="Z407" s="430"/>
      <c r="AA407" s="430"/>
      <c r="AB407" s="430"/>
      <c r="AC407" s="424"/>
      <c r="AD407" s="424"/>
      <c r="AE407" s="424"/>
      <c r="AF407" s="424"/>
      <c r="AG407" s="424"/>
      <c r="AH407" s="424"/>
      <c r="AI407" s="424"/>
      <c r="AJ407" s="2"/>
      <c r="AK407" s="2"/>
      <c r="AL407" s="2"/>
      <c r="AM407" s="2"/>
      <c r="AN407" s="2"/>
      <c r="AO407" s="2"/>
      <c r="AP407" s="2"/>
      <c r="AQ407" s="427"/>
      <c r="AR407" s="754"/>
      <c r="AS407" s="427"/>
      <c r="AT407" s="754"/>
      <c r="AU407" s="427"/>
      <c r="AV407" s="427"/>
      <c r="AW407" s="427"/>
      <c r="AX407" s="427"/>
      <c r="AY407" s="754"/>
      <c r="AZ407" s="754"/>
      <c r="BA407" s="754"/>
      <c r="BB407" s="427"/>
      <c r="BC407" s="427"/>
      <c r="BD407" s="427"/>
      <c r="BE407" s="754"/>
      <c r="BF407" s="427"/>
      <c r="BG407" s="454"/>
      <c r="BH407" s="754"/>
      <c r="BI407" s="427"/>
      <c r="BJ407" s="427"/>
      <c r="BK407" s="427"/>
      <c r="BL407" s="427"/>
      <c r="BM407" s="454"/>
      <c r="BN407" s="427"/>
      <c r="BO407" s="427"/>
      <c r="BP407" s="427"/>
      <c r="BQ407" s="454"/>
      <c r="BR407" s="454"/>
      <c r="BS407" s="460"/>
      <c r="BT407" s="454"/>
      <c r="BU407" s="454"/>
      <c r="BV407" s="457"/>
      <c r="BW407" s="460"/>
      <c r="BX407" s="460"/>
      <c r="BY407" s="460"/>
      <c r="CA407" s="2"/>
      <c r="CB407" s="2"/>
      <c r="CC407" s="2"/>
      <c r="CD407" s="2"/>
      <c r="CE407" s="2"/>
      <c r="CF407" s="2"/>
      <c r="CG407" s="2"/>
      <c r="CH407" s="2"/>
      <c r="CI407" s="2"/>
      <c r="CJ407" s="2"/>
      <c r="CK407" s="2"/>
      <c r="CL407" s="2"/>
      <c r="CM407" s="2"/>
      <c r="CN407" s="2"/>
      <c r="CO407" s="427"/>
      <c r="CP407" s="427"/>
      <c r="CQ407" s="427"/>
      <c r="CR407" s="485"/>
      <c r="CS407" s="485"/>
      <c r="CT407" s="485"/>
      <c r="CU407" s="485"/>
      <c r="CV407" s="482"/>
      <c r="CW407" s="482"/>
      <c r="CX407" s="482"/>
      <c r="CY407" s="482"/>
      <c r="CZ407" s="485"/>
      <c r="DA407" s="485"/>
      <c r="DB407" s="485"/>
      <c r="DC407" s="485"/>
      <c r="DD407" s="485"/>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V407" s="2"/>
      <c r="EW407" s="485"/>
      <c r="EX407" s="485"/>
      <c r="EY407" s="457"/>
      <c r="EZ407" s="457"/>
      <c r="FA407" s="457"/>
      <c r="FB407" s="457"/>
      <c r="FC407" s="457"/>
      <c r="FD407" s="457"/>
      <c r="FE407" s="457"/>
      <c r="FF407" s="457"/>
      <c r="FG407" s="457"/>
      <c r="FH407" s="457"/>
      <c r="FI407" s="457"/>
      <c r="FJ407" s="457"/>
      <c r="FK407" s="457"/>
    </row>
    <row r="408" spans="1:167" s="416" customFormat="1" ht="15">
      <c r="A408" s="427"/>
      <c r="B408" s="417"/>
      <c r="C408" s="427"/>
      <c r="D408" s="427"/>
      <c r="E408" s="428"/>
      <c r="F408" s="429"/>
      <c r="G408" s="430"/>
      <c r="H408" s="427"/>
      <c r="I408" s="427"/>
      <c r="J408" s="427"/>
      <c r="K408" s="427"/>
      <c r="L408" s="427"/>
      <c r="M408" s="427"/>
      <c r="N408" s="427"/>
      <c r="O408" s="427"/>
      <c r="P408" s="427"/>
      <c r="Q408" s="427"/>
      <c r="R408" s="427"/>
      <c r="S408" s="427"/>
      <c r="T408" s="427"/>
      <c r="U408" s="427"/>
      <c r="V408" s="428"/>
      <c r="W408" s="431"/>
      <c r="X408" s="3"/>
      <c r="Y408" s="429"/>
      <c r="Z408" s="430"/>
      <c r="AA408" s="430"/>
      <c r="AB408" s="430"/>
      <c r="AC408" s="424"/>
      <c r="AD408" s="424"/>
      <c r="AE408" s="424"/>
      <c r="AF408" s="424"/>
      <c r="AG408" s="424"/>
      <c r="AH408" s="424"/>
      <c r="AI408" s="424"/>
      <c r="AJ408" s="2"/>
      <c r="AK408" s="2"/>
      <c r="AL408" s="2"/>
      <c r="AM408" s="2"/>
      <c r="AN408" s="2"/>
      <c r="AO408" s="2"/>
      <c r="AP408" s="2"/>
      <c r="AQ408" s="427"/>
      <c r="AR408" s="754"/>
      <c r="AS408" s="427"/>
      <c r="AT408" s="754"/>
      <c r="AU408" s="427"/>
      <c r="AV408" s="427"/>
      <c r="AW408" s="427"/>
      <c r="AX408" s="427"/>
      <c r="AY408" s="754"/>
      <c r="AZ408" s="754"/>
      <c r="BA408" s="754"/>
      <c r="BB408" s="427"/>
      <c r="BC408" s="427"/>
      <c r="BD408" s="427"/>
      <c r="BE408" s="754"/>
      <c r="BF408" s="427"/>
      <c r="BG408" s="454"/>
      <c r="BH408" s="754"/>
      <c r="BI408" s="427"/>
      <c r="BJ408" s="427"/>
      <c r="BK408" s="427"/>
      <c r="BL408" s="427"/>
      <c r="BM408" s="454"/>
      <c r="BN408" s="427"/>
      <c r="BO408" s="427"/>
      <c r="BP408" s="427"/>
      <c r="BQ408" s="454"/>
      <c r="BR408" s="454"/>
      <c r="BS408" s="460"/>
      <c r="BT408" s="454"/>
      <c r="BU408" s="454"/>
      <c r="BV408" s="457"/>
      <c r="BW408" s="460"/>
      <c r="BX408" s="460"/>
      <c r="BY408" s="460"/>
      <c r="CA408" s="2"/>
      <c r="CB408" s="2"/>
      <c r="CC408" s="2"/>
      <c r="CD408" s="2"/>
      <c r="CE408" s="2"/>
      <c r="CF408" s="2"/>
      <c r="CG408" s="2"/>
      <c r="CH408" s="2"/>
      <c r="CI408" s="2"/>
      <c r="CJ408" s="2"/>
      <c r="CK408" s="2"/>
      <c r="CL408" s="2"/>
      <c r="CM408" s="2"/>
      <c r="CN408" s="2"/>
      <c r="CO408" s="427"/>
      <c r="CP408" s="427"/>
      <c r="CQ408" s="427"/>
      <c r="CR408" s="485"/>
      <c r="CS408" s="485"/>
      <c r="CT408" s="485"/>
      <c r="CU408" s="485"/>
      <c r="CV408" s="482"/>
      <c r="CW408" s="482"/>
      <c r="CX408" s="482"/>
      <c r="CY408" s="482"/>
      <c r="CZ408" s="485"/>
      <c r="DA408" s="485"/>
      <c r="DB408" s="485"/>
      <c r="DC408" s="485"/>
      <c r="DD408" s="485"/>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V408" s="2"/>
      <c r="EW408" s="485"/>
      <c r="EX408" s="485"/>
      <c r="EY408" s="457"/>
      <c r="EZ408" s="457"/>
      <c r="FA408" s="457"/>
      <c r="FB408" s="457"/>
      <c r="FC408" s="457"/>
      <c r="FD408" s="457"/>
      <c r="FE408" s="457"/>
      <c r="FF408" s="457"/>
      <c r="FG408" s="457"/>
      <c r="FH408" s="457"/>
      <c r="FI408" s="457"/>
      <c r="FJ408" s="457"/>
      <c r="FK408" s="457"/>
    </row>
    <row r="409" spans="1:167" s="416" customFormat="1" ht="15">
      <c r="A409" s="427"/>
      <c r="B409" s="417"/>
      <c r="C409" s="427"/>
      <c r="D409" s="427"/>
      <c r="E409" s="428"/>
      <c r="F409" s="429"/>
      <c r="G409" s="430"/>
      <c r="H409" s="427"/>
      <c r="I409" s="427"/>
      <c r="J409" s="427"/>
      <c r="K409" s="427"/>
      <c r="L409" s="427"/>
      <c r="M409" s="427"/>
      <c r="N409" s="427"/>
      <c r="O409" s="427"/>
      <c r="P409" s="427"/>
      <c r="Q409" s="427"/>
      <c r="R409" s="427"/>
      <c r="S409" s="427"/>
      <c r="T409" s="427"/>
      <c r="U409" s="427"/>
      <c r="V409" s="428"/>
      <c r="W409" s="431"/>
      <c r="X409" s="3"/>
      <c r="Y409" s="429"/>
      <c r="Z409" s="430"/>
      <c r="AA409" s="430"/>
      <c r="AB409" s="430"/>
      <c r="AC409" s="424"/>
      <c r="AD409" s="424"/>
      <c r="AE409" s="424"/>
      <c r="AF409" s="424"/>
      <c r="AG409" s="424"/>
      <c r="AH409" s="424"/>
      <c r="AI409" s="424"/>
      <c r="AJ409" s="2"/>
      <c r="AK409" s="2"/>
      <c r="AL409" s="2"/>
      <c r="AM409" s="2"/>
      <c r="AN409" s="2"/>
      <c r="AO409" s="2"/>
      <c r="AP409" s="2"/>
      <c r="AQ409" s="427"/>
      <c r="AR409" s="754"/>
      <c r="AS409" s="427"/>
      <c r="AT409" s="754"/>
      <c r="AU409" s="427"/>
      <c r="AV409" s="427"/>
      <c r="AW409" s="427"/>
      <c r="AX409" s="427"/>
      <c r="AY409" s="754"/>
      <c r="AZ409" s="754"/>
      <c r="BA409" s="754"/>
      <c r="BB409" s="427"/>
      <c r="BC409" s="427"/>
      <c r="BD409" s="427"/>
      <c r="BE409" s="754"/>
      <c r="BF409" s="427"/>
      <c r="BG409" s="454"/>
      <c r="BH409" s="754"/>
      <c r="BI409" s="427"/>
      <c r="BJ409" s="427"/>
      <c r="BK409" s="427"/>
      <c r="BL409" s="427"/>
      <c r="BM409" s="454"/>
      <c r="BN409" s="427"/>
      <c r="BO409" s="427"/>
      <c r="BP409" s="427"/>
      <c r="BQ409" s="454"/>
      <c r="BR409" s="454"/>
      <c r="BS409" s="460"/>
      <c r="BT409" s="454"/>
      <c r="BU409" s="454"/>
      <c r="BV409" s="457"/>
      <c r="BW409" s="460"/>
      <c r="BX409" s="460"/>
      <c r="BY409" s="460"/>
      <c r="CA409" s="2"/>
      <c r="CB409" s="2"/>
      <c r="CC409" s="2"/>
      <c r="CD409" s="2"/>
      <c r="CE409" s="2"/>
      <c r="CF409" s="2"/>
      <c r="CG409" s="2"/>
      <c r="CH409" s="2"/>
      <c r="CI409" s="2"/>
      <c r="CJ409" s="2"/>
      <c r="CK409" s="2"/>
      <c r="CL409" s="2"/>
      <c r="CM409" s="2"/>
      <c r="CN409" s="2"/>
      <c r="CO409" s="427"/>
      <c r="CP409" s="427"/>
      <c r="CQ409" s="427"/>
      <c r="CR409" s="485"/>
      <c r="CS409" s="485"/>
      <c r="CT409" s="485"/>
      <c r="CU409" s="485"/>
      <c r="CV409" s="482"/>
      <c r="CW409" s="482"/>
      <c r="CX409" s="482"/>
      <c r="CY409" s="482"/>
      <c r="CZ409" s="485"/>
      <c r="DA409" s="485"/>
      <c r="DB409" s="485"/>
      <c r="DC409" s="485"/>
      <c r="DD409" s="485"/>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V409" s="2"/>
      <c r="EW409" s="485"/>
      <c r="EX409" s="485"/>
      <c r="EY409" s="457"/>
      <c r="EZ409" s="457"/>
      <c r="FA409" s="457"/>
      <c r="FB409" s="457"/>
      <c r="FC409" s="457"/>
      <c r="FD409" s="457"/>
      <c r="FE409" s="457"/>
      <c r="FF409" s="457"/>
      <c r="FG409" s="457"/>
      <c r="FH409" s="457"/>
      <c r="FI409" s="457"/>
      <c r="FJ409" s="457"/>
      <c r="FK409" s="457"/>
    </row>
    <row r="410" spans="1:167" s="416" customFormat="1" ht="15">
      <c r="A410" s="427"/>
      <c r="B410" s="417"/>
      <c r="C410" s="427"/>
      <c r="D410" s="427"/>
      <c r="E410" s="428"/>
      <c r="F410" s="429"/>
      <c r="G410" s="430"/>
      <c r="H410" s="427"/>
      <c r="I410" s="427"/>
      <c r="J410" s="427"/>
      <c r="K410" s="427"/>
      <c r="L410" s="427"/>
      <c r="M410" s="427"/>
      <c r="N410" s="427"/>
      <c r="O410" s="427"/>
      <c r="P410" s="427"/>
      <c r="Q410" s="427"/>
      <c r="R410" s="427"/>
      <c r="S410" s="427"/>
      <c r="T410" s="427"/>
      <c r="U410" s="427"/>
      <c r="V410" s="428"/>
      <c r="W410" s="431"/>
      <c r="X410" s="3"/>
      <c r="Y410" s="429"/>
      <c r="Z410" s="430"/>
      <c r="AA410" s="430"/>
      <c r="AB410" s="430"/>
      <c r="AC410" s="424"/>
      <c r="AD410" s="424"/>
      <c r="AE410" s="424"/>
      <c r="AF410" s="424"/>
      <c r="AG410" s="424"/>
      <c r="AH410" s="424"/>
      <c r="AI410" s="424"/>
      <c r="AJ410" s="2"/>
      <c r="AK410" s="2"/>
      <c r="AL410" s="2"/>
      <c r="AM410" s="2"/>
      <c r="AN410" s="2"/>
      <c r="AO410" s="2"/>
      <c r="AP410" s="2"/>
      <c r="AQ410" s="427"/>
      <c r="AR410" s="754"/>
      <c r="AS410" s="427"/>
      <c r="AT410" s="754"/>
      <c r="AU410" s="427"/>
      <c r="AV410" s="427"/>
      <c r="AW410" s="427"/>
      <c r="AX410" s="427"/>
      <c r="AY410" s="754"/>
      <c r="AZ410" s="754"/>
      <c r="BA410" s="754"/>
      <c r="BB410" s="427"/>
      <c r="BC410" s="427"/>
      <c r="BD410" s="427"/>
      <c r="BE410" s="754"/>
      <c r="BF410" s="427"/>
      <c r="BG410" s="454"/>
      <c r="BH410" s="754"/>
      <c r="BI410" s="427"/>
      <c r="BJ410" s="427"/>
      <c r="BK410" s="427"/>
      <c r="BL410" s="427"/>
      <c r="BM410" s="454"/>
      <c r="BN410" s="427"/>
      <c r="BO410" s="427"/>
      <c r="BP410" s="427"/>
      <c r="BQ410" s="454"/>
      <c r="BR410" s="454"/>
      <c r="BS410" s="460"/>
      <c r="BT410" s="454"/>
      <c r="BU410" s="454"/>
      <c r="BV410" s="457"/>
      <c r="BW410" s="460"/>
      <c r="BX410" s="460"/>
      <c r="BY410" s="460"/>
      <c r="CA410" s="2"/>
      <c r="CB410" s="2"/>
      <c r="CC410" s="2"/>
      <c r="CD410" s="2"/>
      <c r="CE410" s="2"/>
      <c r="CF410" s="2"/>
      <c r="CG410" s="2"/>
      <c r="CH410" s="2"/>
      <c r="CI410" s="2"/>
      <c r="CJ410" s="2"/>
      <c r="CK410" s="2"/>
      <c r="CL410" s="2"/>
      <c r="CM410" s="2"/>
      <c r="CN410" s="2"/>
      <c r="CO410" s="427"/>
      <c r="CP410" s="427"/>
      <c r="CQ410" s="427"/>
      <c r="CR410" s="485"/>
      <c r="CS410" s="485"/>
      <c r="CT410" s="485"/>
      <c r="CU410" s="485"/>
      <c r="CV410" s="482"/>
      <c r="CW410" s="482"/>
      <c r="CX410" s="482"/>
      <c r="CY410" s="482"/>
      <c r="CZ410" s="485"/>
      <c r="DA410" s="485"/>
      <c r="DB410" s="485"/>
      <c r="DC410" s="485"/>
      <c r="DD410" s="485"/>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V410" s="2"/>
      <c r="EW410" s="485"/>
      <c r="EX410" s="485"/>
      <c r="EY410" s="457"/>
      <c r="EZ410" s="457"/>
      <c r="FA410" s="457"/>
      <c r="FB410" s="457"/>
      <c r="FC410" s="457"/>
      <c r="FD410" s="457"/>
      <c r="FE410" s="457"/>
      <c r="FF410" s="457"/>
      <c r="FG410" s="457"/>
      <c r="FH410" s="457"/>
      <c r="FI410" s="457"/>
      <c r="FJ410" s="457"/>
      <c r="FK410" s="457"/>
    </row>
    <row r="411" spans="1:167" s="416" customFormat="1">
      <c r="A411" s="427"/>
      <c r="B411" s="427"/>
      <c r="C411" s="427"/>
      <c r="D411" s="427"/>
      <c r="E411" s="428"/>
      <c r="F411" s="429"/>
      <c r="G411" s="430"/>
      <c r="H411" s="427"/>
      <c r="I411" s="427"/>
      <c r="J411" s="427"/>
      <c r="K411" s="427"/>
      <c r="L411" s="427"/>
      <c r="M411" s="427"/>
      <c r="N411" s="427"/>
      <c r="O411" s="427"/>
      <c r="P411" s="427"/>
      <c r="Q411" s="427"/>
      <c r="R411" s="427"/>
      <c r="S411" s="427"/>
      <c r="T411" s="427"/>
      <c r="U411" s="427"/>
      <c r="V411" s="428"/>
      <c r="W411" s="431"/>
      <c r="X411" s="3"/>
      <c r="Y411" s="429"/>
      <c r="Z411" s="430"/>
      <c r="AA411" s="430"/>
      <c r="AB411" s="430"/>
      <c r="AC411" s="424"/>
      <c r="AD411" s="424"/>
      <c r="AE411" s="424"/>
      <c r="AF411" s="424"/>
      <c r="AG411" s="424"/>
      <c r="AH411" s="424"/>
      <c r="AI411" s="424"/>
      <c r="AJ411" s="2"/>
      <c r="AK411" s="2"/>
      <c r="AL411" s="2"/>
      <c r="AM411" s="2"/>
      <c r="AN411" s="2"/>
      <c r="AO411" s="2"/>
      <c r="AP411" s="2"/>
      <c r="AQ411" s="427"/>
      <c r="AR411" s="754"/>
      <c r="AS411" s="427"/>
      <c r="AT411" s="754"/>
      <c r="AU411" s="427"/>
      <c r="AV411" s="427"/>
      <c r="AW411" s="427"/>
      <c r="AX411" s="427"/>
      <c r="AY411" s="754"/>
      <c r="AZ411" s="754"/>
      <c r="BA411" s="754"/>
      <c r="BB411" s="427"/>
      <c r="BC411" s="427"/>
      <c r="BD411" s="427"/>
      <c r="BE411" s="754"/>
      <c r="BF411" s="427"/>
      <c r="BG411" s="454"/>
      <c r="BH411" s="754"/>
      <c r="BI411" s="427"/>
      <c r="BJ411" s="427"/>
      <c r="BK411" s="427"/>
      <c r="BL411" s="427"/>
      <c r="BM411" s="454"/>
      <c r="BN411" s="427"/>
      <c r="BO411" s="427"/>
      <c r="BP411" s="427"/>
      <c r="BQ411" s="454"/>
      <c r="BR411" s="454"/>
      <c r="BS411" s="460"/>
      <c r="BT411" s="454"/>
      <c r="BU411" s="454"/>
      <c r="BV411" s="457"/>
      <c r="BW411" s="460"/>
      <c r="BX411" s="460"/>
      <c r="BY411" s="460"/>
      <c r="CA411" s="2"/>
      <c r="CB411" s="2"/>
      <c r="CC411" s="2"/>
      <c r="CD411" s="2"/>
      <c r="CE411" s="2"/>
      <c r="CF411" s="2"/>
      <c r="CG411" s="2"/>
      <c r="CH411" s="2"/>
      <c r="CI411" s="2"/>
      <c r="CJ411" s="2"/>
      <c r="CK411" s="2"/>
      <c r="CL411" s="2"/>
      <c r="CM411" s="2"/>
      <c r="CN411" s="2"/>
      <c r="CO411" s="427"/>
      <c r="CP411" s="427"/>
      <c r="CQ411" s="427"/>
      <c r="CR411" s="485"/>
      <c r="CS411" s="485"/>
      <c r="CT411" s="485"/>
      <c r="CU411" s="485"/>
      <c r="CV411" s="482"/>
      <c r="CW411" s="482"/>
      <c r="CX411" s="482"/>
      <c r="CY411" s="482"/>
      <c r="CZ411" s="485"/>
      <c r="DA411" s="485"/>
      <c r="DB411" s="485"/>
      <c r="DC411" s="485"/>
      <c r="DD411" s="485"/>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V411" s="2"/>
      <c r="EW411" s="485"/>
      <c r="EX411" s="485"/>
      <c r="EY411" s="457"/>
      <c r="EZ411" s="457"/>
      <c r="FA411" s="457"/>
      <c r="FB411" s="457"/>
      <c r="FC411" s="457"/>
      <c r="FD411" s="457"/>
      <c r="FE411" s="457"/>
      <c r="FF411" s="457"/>
      <c r="FG411" s="457"/>
      <c r="FH411" s="457"/>
      <c r="FI411" s="457"/>
      <c r="FJ411" s="457"/>
      <c r="FK411" s="457"/>
    </row>
    <row r="412" spans="1:167" s="416" customFormat="1">
      <c r="A412" s="427"/>
      <c r="B412" s="427"/>
      <c r="C412" s="427"/>
      <c r="D412" s="427"/>
      <c r="E412" s="428"/>
      <c r="F412" s="429"/>
      <c r="G412" s="430"/>
      <c r="H412" s="427"/>
      <c r="I412" s="427"/>
      <c r="J412" s="427"/>
      <c r="K412" s="427"/>
      <c r="L412" s="427"/>
      <c r="M412" s="427"/>
      <c r="N412" s="427"/>
      <c r="O412" s="427"/>
      <c r="P412" s="427"/>
      <c r="Q412" s="427"/>
      <c r="R412" s="427"/>
      <c r="S412" s="427"/>
      <c r="T412" s="427"/>
      <c r="U412" s="427"/>
      <c r="V412" s="428"/>
      <c r="W412" s="431"/>
      <c r="X412" s="3"/>
      <c r="Y412" s="429"/>
      <c r="Z412" s="430"/>
      <c r="AA412" s="430"/>
      <c r="AB412" s="430"/>
      <c r="AC412" s="424"/>
      <c r="AD412" s="424"/>
      <c r="AE412" s="424"/>
      <c r="AF412" s="424"/>
      <c r="AG412" s="424"/>
      <c r="AH412" s="424"/>
      <c r="AI412" s="424"/>
      <c r="AJ412" s="2"/>
      <c r="AK412" s="2"/>
      <c r="AL412" s="2"/>
      <c r="AM412" s="2"/>
      <c r="AN412" s="2"/>
      <c r="AO412" s="2"/>
      <c r="AP412" s="2"/>
      <c r="AQ412" s="427"/>
      <c r="AR412" s="754"/>
      <c r="AS412" s="427"/>
      <c r="AT412" s="754"/>
      <c r="AU412" s="427"/>
      <c r="AV412" s="427"/>
      <c r="AW412" s="427"/>
      <c r="AX412" s="427"/>
      <c r="AY412" s="754"/>
      <c r="AZ412" s="754"/>
      <c r="BA412" s="754"/>
      <c r="BB412" s="427"/>
      <c r="BC412" s="427"/>
      <c r="BD412" s="427"/>
      <c r="BE412" s="754"/>
      <c r="BF412" s="427"/>
      <c r="BG412" s="454"/>
      <c r="BH412" s="754"/>
      <c r="BI412" s="427"/>
      <c r="BJ412" s="427"/>
      <c r="BK412" s="427"/>
      <c r="BL412" s="427"/>
      <c r="BM412" s="454"/>
      <c r="BN412" s="427"/>
      <c r="BO412" s="427"/>
      <c r="BP412" s="427"/>
      <c r="BQ412" s="454"/>
      <c r="BR412" s="454"/>
      <c r="BS412" s="460"/>
      <c r="BT412" s="454"/>
      <c r="BU412" s="454"/>
      <c r="BV412" s="457"/>
      <c r="BW412" s="460"/>
      <c r="BX412" s="460"/>
      <c r="BY412" s="460"/>
      <c r="CA412" s="2"/>
      <c r="CB412" s="2"/>
      <c r="CC412" s="2"/>
      <c r="CD412" s="2"/>
      <c r="CE412" s="2"/>
      <c r="CF412" s="2"/>
      <c r="CG412" s="2"/>
      <c r="CH412" s="2"/>
      <c r="CI412" s="2"/>
      <c r="CJ412" s="2"/>
      <c r="CK412" s="2"/>
      <c r="CL412" s="2"/>
      <c r="CM412" s="2"/>
      <c r="CN412" s="2"/>
      <c r="CO412" s="427"/>
      <c r="CP412" s="427"/>
      <c r="CQ412" s="427"/>
      <c r="CR412" s="485"/>
      <c r="CS412" s="485"/>
      <c r="CT412" s="485"/>
      <c r="CU412" s="485"/>
      <c r="CV412" s="482"/>
      <c r="CW412" s="482"/>
      <c r="CX412" s="482"/>
      <c r="CY412" s="482"/>
      <c r="CZ412" s="485"/>
      <c r="DA412" s="485"/>
      <c r="DB412" s="485"/>
      <c r="DC412" s="485"/>
      <c r="DD412" s="485"/>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V412" s="2"/>
      <c r="EW412" s="485"/>
      <c r="EX412" s="485"/>
      <c r="EY412" s="457"/>
      <c r="EZ412" s="457"/>
      <c r="FA412" s="457"/>
      <c r="FB412" s="457"/>
      <c r="FC412" s="457"/>
      <c r="FD412" s="457"/>
      <c r="FE412" s="457"/>
      <c r="FF412" s="457"/>
      <c r="FG412" s="457"/>
      <c r="FH412" s="457"/>
      <c r="FI412" s="457"/>
      <c r="FJ412" s="457"/>
      <c r="FK412" s="457"/>
    </row>
    <row r="413" spans="1:167" s="416" customFormat="1">
      <c r="A413" s="427"/>
      <c r="B413" s="427"/>
      <c r="C413" s="427"/>
      <c r="D413" s="427"/>
      <c r="E413" s="428"/>
      <c r="F413" s="429"/>
      <c r="G413" s="430"/>
      <c r="H413" s="427"/>
      <c r="I413" s="427"/>
      <c r="J413" s="427"/>
      <c r="K413" s="427"/>
      <c r="L413" s="427"/>
      <c r="M413" s="427"/>
      <c r="N413" s="427"/>
      <c r="O413" s="427"/>
      <c r="P413" s="427"/>
      <c r="Q413" s="427"/>
      <c r="R413" s="427"/>
      <c r="S413" s="427"/>
      <c r="T413" s="427"/>
      <c r="U413" s="427"/>
      <c r="V413" s="428"/>
      <c r="W413" s="431"/>
      <c r="X413" s="3"/>
      <c r="Y413" s="429"/>
      <c r="Z413" s="430"/>
      <c r="AA413" s="430"/>
      <c r="AB413" s="430"/>
      <c r="AC413" s="424"/>
      <c r="AD413" s="424"/>
      <c r="AE413" s="424"/>
      <c r="AF413" s="424"/>
      <c r="AG413" s="424"/>
      <c r="AH413" s="424"/>
      <c r="AI413" s="424"/>
      <c r="AJ413" s="2"/>
      <c r="AK413" s="2"/>
      <c r="AL413" s="2"/>
      <c r="AM413" s="2"/>
      <c r="AN413" s="2"/>
      <c r="AO413" s="2"/>
      <c r="AP413" s="2"/>
      <c r="AQ413" s="427"/>
      <c r="AR413" s="754"/>
      <c r="AS413" s="427"/>
      <c r="AT413" s="754"/>
      <c r="AU413" s="427"/>
      <c r="AV413" s="427"/>
      <c r="AW413" s="427"/>
      <c r="AX413" s="427"/>
      <c r="AY413" s="754"/>
      <c r="AZ413" s="754"/>
      <c r="BA413" s="754"/>
      <c r="BB413" s="427"/>
      <c r="BC413" s="427"/>
      <c r="BD413" s="427"/>
      <c r="BE413" s="754"/>
      <c r="BF413" s="427"/>
      <c r="BG413" s="454"/>
      <c r="BH413" s="754"/>
      <c r="BI413" s="427"/>
      <c r="BJ413" s="427"/>
      <c r="BK413" s="427"/>
      <c r="BL413" s="427"/>
      <c r="BM413" s="454"/>
      <c r="BN413" s="427"/>
      <c r="BO413" s="427"/>
      <c r="BP413" s="427"/>
      <c r="BQ413" s="454"/>
      <c r="BR413" s="454"/>
      <c r="BS413" s="460"/>
      <c r="BT413" s="454"/>
      <c r="BU413" s="454"/>
      <c r="BV413" s="457"/>
      <c r="BW413" s="460"/>
      <c r="BX413" s="460"/>
      <c r="BY413" s="460"/>
      <c r="CA413" s="2"/>
      <c r="CB413" s="2"/>
      <c r="CC413" s="2"/>
      <c r="CD413" s="2"/>
      <c r="CE413" s="2"/>
      <c r="CF413" s="2"/>
      <c r="CG413" s="2"/>
      <c r="CH413" s="2"/>
      <c r="CI413" s="2"/>
      <c r="CJ413" s="2"/>
      <c r="CK413" s="2"/>
      <c r="CL413" s="2"/>
      <c r="CM413" s="2"/>
      <c r="CN413" s="2"/>
      <c r="CO413" s="427"/>
      <c r="CP413" s="427"/>
      <c r="CQ413" s="427"/>
      <c r="CR413" s="485"/>
      <c r="CS413" s="485"/>
      <c r="CT413" s="485"/>
      <c r="CU413" s="485"/>
      <c r="CV413" s="482"/>
      <c r="CW413" s="482"/>
      <c r="CX413" s="482"/>
      <c r="CY413" s="482"/>
      <c r="CZ413" s="485"/>
      <c r="DA413" s="485"/>
      <c r="DB413" s="485"/>
      <c r="DC413" s="485"/>
      <c r="DD413" s="485"/>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V413" s="2"/>
      <c r="EW413" s="485"/>
      <c r="EX413" s="485"/>
      <c r="EY413" s="457"/>
      <c r="EZ413" s="457"/>
      <c r="FA413" s="457"/>
      <c r="FB413" s="457"/>
      <c r="FC413" s="457"/>
      <c r="FD413" s="457"/>
      <c r="FE413" s="457"/>
      <c r="FF413" s="457"/>
      <c r="FG413" s="457"/>
      <c r="FH413" s="457"/>
      <c r="FI413" s="457"/>
      <c r="FJ413" s="457"/>
      <c r="FK413" s="457"/>
    </row>
    <row r="414" spans="1:167" s="416" customFormat="1">
      <c r="A414" s="427"/>
      <c r="B414" s="427"/>
      <c r="C414" s="427"/>
      <c r="D414" s="427"/>
      <c r="E414" s="428"/>
      <c r="F414" s="429"/>
      <c r="G414" s="430"/>
      <c r="H414" s="427"/>
      <c r="I414" s="427"/>
      <c r="J414" s="427"/>
      <c r="K414" s="427"/>
      <c r="L414" s="427"/>
      <c r="M414" s="427"/>
      <c r="N414" s="427"/>
      <c r="O414" s="427"/>
      <c r="P414" s="427"/>
      <c r="Q414" s="427"/>
      <c r="R414" s="427"/>
      <c r="S414" s="427"/>
      <c r="T414" s="427"/>
      <c r="U414" s="427"/>
      <c r="V414" s="428"/>
      <c r="W414" s="431"/>
      <c r="X414" s="3"/>
      <c r="Y414" s="429"/>
      <c r="Z414" s="430"/>
      <c r="AA414" s="430"/>
      <c r="AB414" s="430"/>
      <c r="AC414" s="424"/>
      <c r="AD414" s="424"/>
      <c r="AE414" s="424"/>
      <c r="AF414" s="424"/>
      <c r="AG414" s="424"/>
      <c r="AH414" s="424"/>
      <c r="AI414" s="424"/>
      <c r="AJ414" s="2"/>
      <c r="AK414" s="2"/>
      <c r="AL414" s="2"/>
      <c r="AM414" s="2"/>
      <c r="AN414" s="2"/>
      <c r="AO414" s="2"/>
      <c r="AP414" s="2"/>
      <c r="AQ414" s="427"/>
      <c r="AR414" s="754"/>
      <c r="AS414" s="427"/>
      <c r="AT414" s="754"/>
      <c r="AU414" s="427"/>
      <c r="AV414" s="427"/>
      <c r="AW414" s="427"/>
      <c r="AX414" s="427"/>
      <c r="AY414" s="754"/>
      <c r="AZ414" s="754"/>
      <c r="BA414" s="754"/>
      <c r="BB414" s="427"/>
      <c r="BC414" s="427"/>
      <c r="BD414" s="427"/>
      <c r="BE414" s="754"/>
      <c r="BF414" s="427"/>
      <c r="BG414" s="454"/>
      <c r="BH414" s="754"/>
      <c r="BI414" s="427"/>
      <c r="BJ414" s="427"/>
      <c r="BK414" s="427"/>
      <c r="BL414" s="427"/>
      <c r="BM414" s="454"/>
      <c r="BN414" s="427"/>
      <c r="BO414" s="427"/>
      <c r="BP414" s="427"/>
      <c r="BQ414" s="454"/>
      <c r="BR414" s="454"/>
      <c r="BS414" s="460"/>
      <c r="BT414" s="454"/>
      <c r="BU414" s="454"/>
      <c r="BV414" s="457"/>
      <c r="BW414" s="460"/>
      <c r="BX414" s="460"/>
      <c r="BY414" s="460"/>
      <c r="CA414" s="2"/>
      <c r="CB414" s="2"/>
      <c r="CC414" s="2"/>
      <c r="CD414" s="2"/>
      <c r="CE414" s="2"/>
      <c r="CF414" s="2"/>
      <c r="CG414" s="2"/>
      <c r="CH414" s="2"/>
      <c r="CI414" s="2"/>
      <c r="CJ414" s="2"/>
      <c r="CK414" s="2"/>
      <c r="CL414" s="2"/>
      <c r="CM414" s="2"/>
      <c r="CN414" s="2"/>
      <c r="CO414" s="427"/>
      <c r="CP414" s="427"/>
      <c r="CQ414" s="427"/>
      <c r="CR414" s="485"/>
      <c r="CS414" s="485"/>
      <c r="CT414" s="485"/>
      <c r="CU414" s="485"/>
      <c r="CV414" s="482"/>
      <c r="CW414" s="482"/>
      <c r="CX414" s="482"/>
      <c r="CY414" s="482"/>
      <c r="CZ414" s="485"/>
      <c r="DA414" s="485"/>
      <c r="DB414" s="485"/>
      <c r="DC414" s="485"/>
      <c r="DD414" s="485"/>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V414" s="2"/>
      <c r="EW414" s="485"/>
      <c r="EX414" s="485"/>
      <c r="EY414" s="457"/>
      <c r="EZ414" s="457"/>
      <c r="FA414" s="457"/>
      <c r="FB414" s="457"/>
      <c r="FC414" s="457"/>
      <c r="FD414" s="457"/>
      <c r="FE414" s="457"/>
      <c r="FF414" s="457"/>
      <c r="FG414" s="457"/>
      <c r="FH414" s="457"/>
      <c r="FI414" s="457"/>
      <c r="FJ414" s="457"/>
      <c r="FK414" s="457"/>
    </row>
    <row r="415" spans="1:167" s="416" customFormat="1">
      <c r="A415" s="427"/>
      <c r="B415" s="427"/>
      <c r="C415" s="427"/>
      <c r="D415" s="427"/>
      <c r="E415" s="428"/>
      <c r="F415" s="429"/>
      <c r="G415" s="430"/>
      <c r="H415" s="427"/>
      <c r="I415" s="427"/>
      <c r="J415" s="427"/>
      <c r="K415" s="427"/>
      <c r="L415" s="427"/>
      <c r="M415" s="427"/>
      <c r="N415" s="427"/>
      <c r="O415" s="427"/>
      <c r="P415" s="427"/>
      <c r="Q415" s="427"/>
      <c r="R415" s="427"/>
      <c r="S415" s="427"/>
      <c r="T415" s="427"/>
      <c r="U415" s="427"/>
      <c r="V415" s="428"/>
      <c r="W415" s="431"/>
      <c r="X415" s="3"/>
      <c r="Y415" s="429"/>
      <c r="Z415" s="430"/>
      <c r="AA415" s="430"/>
      <c r="AB415" s="430"/>
      <c r="AC415" s="424"/>
      <c r="AD415" s="424"/>
      <c r="AE415" s="424"/>
      <c r="AF415" s="424"/>
      <c r="AG415" s="424"/>
      <c r="AH415" s="424"/>
      <c r="AI415" s="424"/>
      <c r="AJ415" s="2"/>
      <c r="AK415" s="2"/>
      <c r="AL415" s="2"/>
      <c r="AM415" s="2"/>
      <c r="AN415" s="2"/>
      <c r="AO415" s="2"/>
      <c r="AP415" s="2"/>
      <c r="AQ415" s="427"/>
      <c r="AR415" s="754"/>
      <c r="AS415" s="427"/>
      <c r="AT415" s="754"/>
      <c r="AU415" s="427"/>
      <c r="AV415" s="427"/>
      <c r="AW415" s="427"/>
      <c r="AX415" s="427"/>
      <c r="AY415" s="754"/>
      <c r="AZ415" s="754"/>
      <c r="BA415" s="754"/>
      <c r="BB415" s="427"/>
      <c r="BC415" s="427"/>
      <c r="BD415" s="427"/>
      <c r="BE415" s="754"/>
      <c r="BF415" s="427"/>
      <c r="BG415" s="454"/>
      <c r="BH415" s="754"/>
      <c r="BI415" s="427"/>
      <c r="BJ415" s="427"/>
      <c r="BK415" s="427"/>
      <c r="BL415" s="427"/>
      <c r="BM415" s="454"/>
      <c r="BN415" s="427"/>
      <c r="BO415" s="427"/>
      <c r="BP415" s="427"/>
      <c r="BQ415" s="454"/>
      <c r="BR415" s="454"/>
      <c r="BS415" s="460"/>
      <c r="BT415" s="454"/>
      <c r="BU415" s="454"/>
      <c r="BV415" s="457"/>
      <c r="BW415" s="460"/>
      <c r="BX415" s="460"/>
      <c r="BY415" s="460"/>
      <c r="CA415" s="2"/>
      <c r="CB415" s="2"/>
      <c r="CC415" s="2"/>
      <c r="CD415" s="2"/>
      <c r="CE415" s="2"/>
      <c r="CF415" s="2"/>
      <c r="CG415" s="2"/>
      <c r="CH415" s="2"/>
      <c r="CI415" s="2"/>
      <c r="CJ415" s="2"/>
      <c r="CK415" s="2"/>
      <c r="CL415" s="2"/>
      <c r="CM415" s="2"/>
      <c r="CN415" s="2"/>
      <c r="CO415" s="427"/>
      <c r="CP415" s="427"/>
      <c r="CQ415" s="427"/>
      <c r="CR415" s="485"/>
      <c r="CS415" s="485"/>
      <c r="CT415" s="485"/>
      <c r="CU415" s="485"/>
      <c r="CV415" s="482"/>
      <c r="CW415" s="482"/>
      <c r="CX415" s="482"/>
      <c r="CY415" s="482"/>
      <c r="CZ415" s="485"/>
      <c r="DA415" s="485"/>
      <c r="DB415" s="485"/>
      <c r="DC415" s="485"/>
      <c r="DD415" s="485"/>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V415" s="2"/>
      <c r="EW415" s="485"/>
      <c r="EX415" s="485"/>
      <c r="EY415" s="457"/>
      <c r="EZ415" s="457"/>
      <c r="FA415" s="457"/>
      <c r="FB415" s="457"/>
      <c r="FC415" s="457"/>
      <c r="FD415" s="457"/>
      <c r="FE415" s="457"/>
      <c r="FF415" s="457"/>
      <c r="FG415" s="457"/>
      <c r="FH415" s="457"/>
      <c r="FI415" s="457"/>
      <c r="FJ415" s="457"/>
      <c r="FK415" s="457"/>
    </row>
    <row r="416" spans="1:167" s="416" customFormat="1">
      <c r="A416" s="427"/>
      <c r="B416" s="427"/>
      <c r="C416" s="427"/>
      <c r="D416" s="427"/>
      <c r="E416" s="428"/>
      <c r="F416" s="429"/>
      <c r="G416" s="430"/>
      <c r="H416" s="427"/>
      <c r="I416" s="427"/>
      <c r="J416" s="427"/>
      <c r="K416" s="427"/>
      <c r="L416" s="427"/>
      <c r="M416" s="427"/>
      <c r="N416" s="427"/>
      <c r="O416" s="427"/>
      <c r="P416" s="427"/>
      <c r="Q416" s="427"/>
      <c r="R416" s="427"/>
      <c r="S416" s="427"/>
      <c r="T416" s="427"/>
      <c r="U416" s="427"/>
      <c r="V416" s="428"/>
      <c r="W416" s="431"/>
      <c r="X416" s="3"/>
      <c r="Y416" s="429"/>
      <c r="Z416" s="430"/>
      <c r="AA416" s="430"/>
      <c r="AB416" s="430"/>
      <c r="AC416" s="424"/>
      <c r="AD416" s="424"/>
      <c r="AE416" s="424"/>
      <c r="AF416" s="424"/>
      <c r="AG416" s="424"/>
      <c r="AH416" s="424"/>
      <c r="AI416" s="424"/>
      <c r="AJ416" s="2"/>
      <c r="AK416" s="2"/>
      <c r="AL416" s="2"/>
      <c r="AM416" s="2"/>
      <c r="AN416" s="2"/>
      <c r="AO416" s="2"/>
      <c r="AP416" s="2"/>
      <c r="AQ416" s="427"/>
      <c r="AR416" s="754"/>
      <c r="AS416" s="427"/>
      <c r="AT416" s="754"/>
      <c r="AU416" s="427"/>
      <c r="AV416" s="427"/>
      <c r="AW416" s="427"/>
      <c r="AX416" s="427"/>
      <c r="AY416" s="754"/>
      <c r="AZ416" s="754"/>
      <c r="BA416" s="754"/>
      <c r="BB416" s="427"/>
      <c r="BC416" s="427"/>
      <c r="BD416" s="427"/>
      <c r="BE416" s="754"/>
      <c r="BF416" s="427"/>
      <c r="BG416" s="454"/>
      <c r="BH416" s="754"/>
      <c r="BI416" s="427"/>
      <c r="BJ416" s="427"/>
      <c r="BK416" s="427"/>
      <c r="BL416" s="427"/>
      <c r="BM416" s="454"/>
      <c r="BN416" s="427"/>
      <c r="BO416" s="427"/>
      <c r="BP416" s="427"/>
      <c r="BQ416" s="454"/>
      <c r="BR416" s="454"/>
      <c r="BS416" s="460"/>
      <c r="BT416" s="454"/>
      <c r="BU416" s="454"/>
      <c r="BV416" s="457"/>
      <c r="BW416" s="460"/>
      <c r="BX416" s="460"/>
      <c r="BY416" s="460"/>
      <c r="CA416" s="2"/>
      <c r="CB416" s="2"/>
      <c r="CC416" s="2"/>
      <c r="CD416" s="2"/>
      <c r="CE416" s="2"/>
      <c r="CF416" s="2"/>
      <c r="CG416" s="2"/>
      <c r="CH416" s="2"/>
      <c r="CI416" s="2"/>
      <c r="CJ416" s="2"/>
      <c r="CK416" s="2"/>
      <c r="CL416" s="2"/>
      <c r="CM416" s="2"/>
      <c r="CN416" s="2"/>
      <c r="CO416" s="427"/>
      <c r="CP416" s="427"/>
      <c r="CQ416" s="427"/>
      <c r="CR416" s="485"/>
      <c r="CS416" s="485"/>
      <c r="CT416" s="485"/>
      <c r="CU416" s="485"/>
      <c r="CV416" s="482"/>
      <c r="CW416" s="482"/>
      <c r="CX416" s="482"/>
      <c r="CY416" s="482"/>
      <c r="CZ416" s="485"/>
      <c r="DA416" s="485"/>
      <c r="DB416" s="485"/>
      <c r="DC416" s="485"/>
      <c r="DD416" s="485"/>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V416" s="2"/>
      <c r="EW416" s="485"/>
      <c r="EX416" s="485"/>
      <c r="EY416" s="457"/>
      <c r="EZ416" s="457"/>
      <c r="FA416" s="457"/>
      <c r="FB416" s="457"/>
      <c r="FC416" s="457"/>
      <c r="FD416" s="457"/>
      <c r="FE416" s="457"/>
      <c r="FF416" s="457"/>
      <c r="FG416" s="457"/>
      <c r="FH416" s="457"/>
      <c r="FI416" s="457"/>
      <c r="FJ416" s="457"/>
      <c r="FK416" s="457"/>
    </row>
    <row r="417" spans="1:167" s="416" customFormat="1">
      <c r="A417" s="427"/>
      <c r="B417" s="427"/>
      <c r="C417" s="427"/>
      <c r="D417" s="427"/>
      <c r="E417" s="428"/>
      <c r="F417" s="429"/>
      <c r="G417" s="430"/>
      <c r="H417" s="427"/>
      <c r="I417" s="427"/>
      <c r="J417" s="427"/>
      <c r="K417" s="427"/>
      <c r="L417" s="427"/>
      <c r="M417" s="427"/>
      <c r="N417" s="427"/>
      <c r="O417" s="427"/>
      <c r="P417" s="427"/>
      <c r="Q417" s="427"/>
      <c r="R417" s="427"/>
      <c r="S417" s="427"/>
      <c r="T417" s="427"/>
      <c r="U417" s="427"/>
      <c r="V417" s="428"/>
      <c r="W417" s="431"/>
      <c r="X417" s="3"/>
      <c r="Y417" s="429"/>
      <c r="Z417" s="430"/>
      <c r="AA417" s="430"/>
      <c r="AB417" s="430"/>
      <c r="AC417" s="424"/>
      <c r="AD417" s="424"/>
      <c r="AE417" s="424"/>
      <c r="AF417" s="424"/>
      <c r="AG417" s="424"/>
      <c r="AH417" s="424"/>
      <c r="AI417" s="424"/>
      <c r="AJ417" s="2"/>
      <c r="AK417" s="2"/>
      <c r="AL417" s="2"/>
      <c r="AM417" s="2"/>
      <c r="AN417" s="2"/>
      <c r="AO417" s="2"/>
      <c r="AP417" s="2"/>
      <c r="AQ417" s="427"/>
      <c r="AR417" s="754"/>
      <c r="AS417" s="427"/>
      <c r="AT417" s="754"/>
      <c r="AU417" s="427"/>
      <c r="AV417" s="427"/>
      <c r="AW417" s="427"/>
      <c r="AX417" s="427"/>
      <c r="AY417" s="754"/>
      <c r="AZ417" s="754"/>
      <c r="BA417" s="754"/>
      <c r="BB417" s="427"/>
      <c r="BC417" s="427"/>
      <c r="BD417" s="427"/>
      <c r="BE417" s="754"/>
      <c r="BF417" s="427"/>
      <c r="BG417" s="454"/>
      <c r="BH417" s="754"/>
      <c r="BI417" s="427"/>
      <c r="BJ417" s="427"/>
      <c r="BK417" s="427"/>
      <c r="BL417" s="427"/>
      <c r="BM417" s="454"/>
      <c r="BN417" s="427"/>
      <c r="BO417" s="427"/>
      <c r="BP417" s="427"/>
      <c r="BQ417" s="454"/>
      <c r="BR417" s="454"/>
      <c r="BS417" s="460"/>
      <c r="BT417" s="454"/>
      <c r="BU417" s="454"/>
      <c r="BV417" s="457"/>
      <c r="BW417" s="460"/>
      <c r="BX417" s="460"/>
      <c r="BY417" s="460"/>
      <c r="CA417" s="2"/>
      <c r="CB417" s="2"/>
      <c r="CC417" s="2"/>
      <c r="CD417" s="2"/>
      <c r="CE417" s="2"/>
      <c r="CF417" s="2"/>
      <c r="CG417" s="2"/>
      <c r="CH417" s="2"/>
      <c r="CI417" s="2"/>
      <c r="CJ417" s="2"/>
      <c r="CK417" s="2"/>
      <c r="CL417" s="2"/>
      <c r="CM417" s="2"/>
      <c r="CN417" s="2"/>
      <c r="CO417" s="427"/>
      <c r="CP417" s="427"/>
      <c r="CQ417" s="427"/>
      <c r="CR417" s="485"/>
      <c r="CS417" s="485"/>
      <c r="CT417" s="485"/>
      <c r="CU417" s="485"/>
      <c r="CV417" s="482"/>
      <c r="CW417" s="482"/>
      <c r="CX417" s="482"/>
      <c r="CY417" s="482"/>
      <c r="CZ417" s="485"/>
      <c r="DA417" s="485"/>
      <c r="DB417" s="485"/>
      <c r="DC417" s="485"/>
      <c r="DD417" s="485"/>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V417" s="2"/>
      <c r="EW417" s="485"/>
      <c r="EX417" s="485"/>
      <c r="EY417" s="457"/>
      <c r="EZ417" s="457"/>
      <c r="FA417" s="457"/>
      <c r="FB417" s="457"/>
      <c r="FC417" s="457"/>
      <c r="FD417" s="457"/>
      <c r="FE417" s="457"/>
      <c r="FF417" s="457"/>
      <c r="FG417" s="457"/>
      <c r="FH417" s="457"/>
      <c r="FI417" s="457"/>
      <c r="FJ417" s="457"/>
      <c r="FK417" s="457"/>
    </row>
    <row r="418" spans="1:167" s="416" customFormat="1">
      <c r="A418" s="427"/>
      <c r="B418" s="427"/>
      <c r="C418" s="427"/>
      <c r="D418" s="427"/>
      <c r="E418" s="428"/>
      <c r="F418" s="429"/>
      <c r="G418" s="430"/>
      <c r="H418" s="427"/>
      <c r="I418" s="427"/>
      <c r="J418" s="427"/>
      <c r="K418" s="427"/>
      <c r="L418" s="427"/>
      <c r="M418" s="427"/>
      <c r="N418" s="427"/>
      <c r="O418" s="427"/>
      <c r="P418" s="427"/>
      <c r="Q418" s="427"/>
      <c r="R418" s="427"/>
      <c r="S418" s="427"/>
      <c r="T418" s="427"/>
      <c r="U418" s="427"/>
      <c r="V418" s="428"/>
      <c r="W418" s="431"/>
      <c r="X418" s="3"/>
      <c r="Y418" s="429"/>
      <c r="Z418" s="430"/>
      <c r="AA418" s="430"/>
      <c r="AB418" s="430"/>
      <c r="AC418" s="424"/>
      <c r="AD418" s="424"/>
      <c r="AE418" s="424"/>
      <c r="AF418" s="424"/>
      <c r="AG418" s="424"/>
      <c r="AH418" s="424"/>
      <c r="AI418" s="424"/>
      <c r="AJ418" s="2"/>
      <c r="AK418" s="2"/>
      <c r="AL418" s="2"/>
      <c r="AM418" s="2"/>
      <c r="AN418" s="2"/>
      <c r="AO418" s="2"/>
      <c r="AP418" s="2"/>
      <c r="AQ418" s="427"/>
      <c r="AR418" s="754"/>
      <c r="AS418" s="427"/>
      <c r="AT418" s="754"/>
      <c r="AU418" s="427"/>
      <c r="AV418" s="427"/>
      <c r="AW418" s="427"/>
      <c r="AX418" s="427"/>
      <c r="AY418" s="754"/>
      <c r="AZ418" s="754"/>
      <c r="BA418" s="754"/>
      <c r="BB418" s="427"/>
      <c r="BC418" s="427"/>
      <c r="BD418" s="427"/>
      <c r="BE418" s="754"/>
      <c r="BF418" s="427"/>
      <c r="BG418" s="454"/>
      <c r="BH418" s="754"/>
      <c r="BI418" s="427"/>
      <c r="BJ418" s="427"/>
      <c r="BK418" s="427"/>
      <c r="BL418" s="427"/>
      <c r="BM418" s="454"/>
      <c r="BN418" s="427"/>
      <c r="BO418" s="427"/>
      <c r="BP418" s="427"/>
      <c r="BQ418" s="454"/>
      <c r="BR418" s="454"/>
      <c r="BS418" s="460"/>
      <c r="BT418" s="454"/>
      <c r="BU418" s="454"/>
      <c r="BV418" s="457"/>
      <c r="BW418" s="460"/>
      <c r="BX418" s="460"/>
      <c r="BY418" s="460"/>
      <c r="CA418" s="2"/>
      <c r="CB418" s="2"/>
      <c r="CC418" s="2"/>
      <c r="CD418" s="2"/>
      <c r="CE418" s="2"/>
      <c r="CF418" s="2"/>
      <c r="CG418" s="2"/>
      <c r="CH418" s="2"/>
      <c r="CI418" s="2"/>
      <c r="CJ418" s="2"/>
      <c r="CK418" s="2"/>
      <c r="CL418" s="2"/>
      <c r="CM418" s="2"/>
      <c r="CN418" s="2"/>
      <c r="CO418" s="427"/>
      <c r="CP418" s="427"/>
      <c r="CQ418" s="427"/>
      <c r="CR418" s="485"/>
      <c r="CS418" s="485"/>
      <c r="CT418" s="485"/>
      <c r="CU418" s="485"/>
      <c r="CV418" s="482"/>
      <c r="CW418" s="482"/>
      <c r="CX418" s="482"/>
      <c r="CY418" s="482"/>
      <c r="CZ418" s="485"/>
      <c r="DA418" s="485"/>
      <c r="DB418" s="485"/>
      <c r="DC418" s="485"/>
      <c r="DD418" s="485"/>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V418" s="2"/>
      <c r="EW418" s="485"/>
      <c r="EX418" s="485"/>
      <c r="EY418" s="457"/>
      <c r="EZ418" s="457"/>
      <c r="FA418" s="457"/>
      <c r="FB418" s="457"/>
      <c r="FC418" s="457"/>
      <c r="FD418" s="457"/>
      <c r="FE418" s="457"/>
      <c r="FF418" s="457"/>
      <c r="FG418" s="457"/>
      <c r="FH418" s="457"/>
      <c r="FI418" s="457"/>
      <c r="FJ418" s="457"/>
      <c r="FK418" s="457"/>
    </row>
    <row r="419" spans="1:167" s="416" customFormat="1">
      <c r="A419" s="427"/>
      <c r="B419" s="427"/>
      <c r="C419" s="427"/>
      <c r="D419" s="427"/>
      <c r="E419" s="428"/>
      <c r="F419" s="429"/>
      <c r="G419" s="430"/>
      <c r="H419" s="427"/>
      <c r="I419" s="427"/>
      <c r="J419" s="427"/>
      <c r="K419" s="427"/>
      <c r="L419" s="427"/>
      <c r="M419" s="427"/>
      <c r="N419" s="427"/>
      <c r="O419" s="427"/>
      <c r="P419" s="427"/>
      <c r="Q419" s="427"/>
      <c r="R419" s="427"/>
      <c r="S419" s="427"/>
      <c r="T419" s="427"/>
      <c r="U419" s="427"/>
      <c r="V419" s="428"/>
      <c r="W419" s="431"/>
      <c r="X419" s="3"/>
      <c r="Y419" s="429"/>
      <c r="Z419" s="430"/>
      <c r="AA419" s="430"/>
      <c r="AB419" s="430"/>
      <c r="AC419" s="424"/>
      <c r="AD419" s="424"/>
      <c r="AE419" s="424"/>
      <c r="AF419" s="424"/>
      <c r="AG419" s="424"/>
      <c r="AH419" s="424"/>
      <c r="AI419" s="424"/>
      <c r="AJ419" s="2"/>
      <c r="AK419" s="2"/>
      <c r="AL419" s="2"/>
      <c r="AM419" s="2"/>
      <c r="AN419" s="2"/>
      <c r="AO419" s="2"/>
      <c r="AP419" s="2"/>
      <c r="AQ419" s="427"/>
      <c r="AR419" s="754"/>
      <c r="AS419" s="427"/>
      <c r="AT419" s="754"/>
      <c r="AU419" s="427"/>
      <c r="AV419" s="427"/>
      <c r="AW419" s="427"/>
      <c r="AX419" s="427"/>
      <c r="AY419" s="754"/>
      <c r="AZ419" s="754"/>
      <c r="BA419" s="754"/>
      <c r="BB419" s="427"/>
      <c r="BC419" s="427"/>
      <c r="BD419" s="427"/>
      <c r="BE419" s="754"/>
      <c r="BF419" s="427"/>
      <c r="BG419" s="454"/>
      <c r="BH419" s="754"/>
      <c r="BI419" s="427"/>
      <c r="BJ419" s="427"/>
      <c r="BK419" s="427"/>
      <c r="BL419" s="427"/>
      <c r="BM419" s="454"/>
      <c r="BN419" s="427"/>
      <c r="BO419" s="427"/>
      <c r="BP419" s="427"/>
      <c r="BQ419" s="454"/>
      <c r="BR419" s="454"/>
      <c r="BS419" s="460"/>
      <c r="BT419" s="454"/>
      <c r="BU419" s="454"/>
      <c r="BV419" s="457"/>
      <c r="BW419" s="460"/>
      <c r="BX419" s="460"/>
      <c r="BY419" s="460"/>
      <c r="CA419" s="2"/>
      <c r="CB419" s="2"/>
      <c r="CC419" s="2"/>
      <c r="CD419" s="2"/>
      <c r="CE419" s="2"/>
      <c r="CF419" s="2"/>
      <c r="CG419" s="2"/>
      <c r="CH419" s="2"/>
      <c r="CI419" s="2"/>
      <c r="CJ419" s="2"/>
      <c r="CK419" s="2"/>
      <c r="CL419" s="2"/>
      <c r="CM419" s="2"/>
      <c r="CN419" s="2"/>
      <c r="CO419" s="427"/>
      <c r="CP419" s="427"/>
      <c r="CQ419" s="427"/>
      <c r="CR419" s="485"/>
      <c r="CS419" s="485"/>
      <c r="CT419" s="485"/>
      <c r="CU419" s="485"/>
      <c r="CV419" s="482"/>
      <c r="CW419" s="482"/>
      <c r="CX419" s="482"/>
      <c r="CY419" s="482"/>
      <c r="CZ419" s="485"/>
      <c r="DA419" s="485"/>
      <c r="DB419" s="485"/>
      <c r="DC419" s="485"/>
      <c r="DD419" s="485"/>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V419" s="2"/>
      <c r="EW419" s="485"/>
      <c r="EX419" s="485"/>
      <c r="EY419" s="457"/>
      <c r="EZ419" s="457"/>
      <c r="FA419" s="457"/>
      <c r="FB419" s="457"/>
      <c r="FC419" s="457"/>
      <c r="FD419" s="457"/>
      <c r="FE419" s="457"/>
      <c r="FF419" s="457"/>
      <c r="FG419" s="457"/>
      <c r="FH419" s="457"/>
      <c r="FI419" s="457"/>
      <c r="FJ419" s="457"/>
      <c r="FK419" s="457"/>
    </row>
    <row r="420" spans="1:167" s="416" customFormat="1">
      <c r="A420" s="427"/>
      <c r="B420" s="427"/>
      <c r="C420" s="427"/>
      <c r="D420" s="427"/>
      <c r="E420" s="428"/>
      <c r="F420" s="429"/>
      <c r="G420" s="430"/>
      <c r="H420" s="427"/>
      <c r="I420" s="427"/>
      <c r="J420" s="427"/>
      <c r="K420" s="427"/>
      <c r="L420" s="427"/>
      <c r="M420" s="427"/>
      <c r="N420" s="427"/>
      <c r="O420" s="427"/>
      <c r="P420" s="427"/>
      <c r="Q420" s="427"/>
      <c r="R420" s="427"/>
      <c r="S420" s="427"/>
      <c r="T420" s="427"/>
      <c r="U420" s="427"/>
      <c r="V420" s="428"/>
      <c r="W420" s="431"/>
      <c r="X420" s="3"/>
      <c r="Y420" s="429"/>
      <c r="Z420" s="430"/>
      <c r="AA420" s="430"/>
      <c r="AB420" s="430"/>
      <c r="AC420" s="424"/>
      <c r="AD420" s="424"/>
      <c r="AE420" s="424"/>
      <c r="AF420" s="424"/>
      <c r="AG420" s="424"/>
      <c r="AH420" s="424"/>
      <c r="AI420" s="424"/>
      <c r="AJ420" s="2"/>
      <c r="AK420" s="2"/>
      <c r="AL420" s="2"/>
      <c r="AM420" s="2"/>
      <c r="AN420" s="2"/>
      <c r="AO420" s="2"/>
      <c r="AP420" s="2"/>
      <c r="AQ420" s="427"/>
      <c r="AR420" s="754"/>
      <c r="AS420" s="427"/>
      <c r="AT420" s="754"/>
      <c r="AU420" s="427"/>
      <c r="AV420" s="427"/>
      <c r="AW420" s="427"/>
      <c r="AX420" s="427"/>
      <c r="AY420" s="754"/>
      <c r="AZ420" s="754"/>
      <c r="BA420" s="754"/>
      <c r="BB420" s="427"/>
      <c r="BC420" s="427"/>
      <c r="BD420" s="427"/>
      <c r="BE420" s="754"/>
      <c r="BF420" s="427"/>
      <c r="BG420" s="454"/>
      <c r="BH420" s="754"/>
      <c r="BI420" s="427"/>
      <c r="BJ420" s="427"/>
      <c r="BK420" s="427"/>
      <c r="BL420" s="427"/>
      <c r="BM420" s="454"/>
      <c r="BN420" s="427"/>
      <c r="BO420" s="427"/>
      <c r="BP420" s="427"/>
      <c r="BQ420" s="454"/>
      <c r="BR420" s="454"/>
      <c r="BS420" s="460"/>
      <c r="BT420" s="454"/>
      <c r="BU420" s="454"/>
      <c r="BV420" s="457"/>
      <c r="BW420" s="460"/>
      <c r="BX420" s="460"/>
      <c r="BY420" s="460"/>
      <c r="CA420" s="2"/>
      <c r="CB420" s="2"/>
      <c r="CC420" s="2"/>
      <c r="CD420" s="2"/>
      <c r="CE420" s="2"/>
      <c r="CF420" s="2"/>
      <c r="CG420" s="2"/>
      <c r="CH420" s="2"/>
      <c r="CI420" s="2"/>
      <c r="CJ420" s="2"/>
      <c r="CK420" s="2"/>
      <c r="CL420" s="2"/>
      <c r="CM420" s="2"/>
      <c r="CN420" s="2"/>
      <c r="CO420" s="427"/>
      <c r="CP420" s="427"/>
      <c r="CQ420" s="427"/>
      <c r="CR420" s="485"/>
      <c r="CS420" s="485"/>
      <c r="CT420" s="485"/>
      <c r="CU420" s="485"/>
      <c r="CV420" s="482"/>
      <c r="CW420" s="482"/>
      <c r="CX420" s="482"/>
      <c r="CY420" s="482"/>
      <c r="CZ420" s="485"/>
      <c r="DA420" s="485"/>
      <c r="DB420" s="485"/>
      <c r="DC420" s="485"/>
      <c r="DD420" s="485"/>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V420" s="2"/>
      <c r="EW420" s="485"/>
      <c r="EX420" s="485"/>
      <c r="EY420" s="457"/>
      <c r="EZ420" s="457"/>
      <c r="FA420" s="457"/>
      <c r="FB420" s="457"/>
      <c r="FC420" s="457"/>
      <c r="FD420" s="457"/>
      <c r="FE420" s="457"/>
      <c r="FF420" s="457"/>
      <c r="FG420" s="457"/>
      <c r="FH420" s="457"/>
      <c r="FI420" s="457"/>
      <c r="FJ420" s="457"/>
      <c r="FK420" s="457"/>
    </row>
    <row r="421" spans="1:167" s="416" customFormat="1">
      <c r="A421" s="427"/>
      <c r="B421" s="427"/>
      <c r="C421" s="427"/>
      <c r="D421" s="427"/>
      <c r="E421" s="428"/>
      <c r="F421" s="429"/>
      <c r="G421" s="430"/>
      <c r="H421" s="427"/>
      <c r="I421" s="427"/>
      <c r="J421" s="427"/>
      <c r="K421" s="427"/>
      <c r="L421" s="427"/>
      <c r="M421" s="427"/>
      <c r="N421" s="427"/>
      <c r="O421" s="427"/>
      <c r="P421" s="427"/>
      <c r="Q421" s="427"/>
      <c r="R421" s="427"/>
      <c r="S421" s="427"/>
      <c r="T421" s="427"/>
      <c r="U421" s="427"/>
      <c r="V421" s="428"/>
      <c r="W421" s="431"/>
      <c r="X421" s="3"/>
      <c r="Y421" s="429"/>
      <c r="Z421" s="430"/>
      <c r="AA421" s="430"/>
      <c r="AB421" s="430"/>
      <c r="AC421" s="424"/>
      <c r="AD421" s="424"/>
      <c r="AE421" s="424"/>
      <c r="AF421" s="424"/>
      <c r="AG421" s="424"/>
      <c r="AH421" s="424"/>
      <c r="AI421" s="424"/>
      <c r="AJ421" s="2"/>
      <c r="AK421" s="2"/>
      <c r="AL421" s="2"/>
      <c r="AM421" s="2"/>
      <c r="AN421" s="2"/>
      <c r="AO421" s="2"/>
      <c r="AP421" s="2"/>
      <c r="AQ421" s="427"/>
      <c r="AR421" s="754"/>
      <c r="AS421" s="427"/>
      <c r="AT421" s="754"/>
      <c r="AU421" s="427"/>
      <c r="AV421" s="427"/>
      <c r="AW421" s="427"/>
      <c r="AX421" s="427"/>
      <c r="AY421" s="754"/>
      <c r="AZ421" s="754"/>
      <c r="BA421" s="754"/>
      <c r="BB421" s="427"/>
      <c r="BC421" s="427"/>
      <c r="BD421" s="427"/>
      <c r="BE421" s="754"/>
      <c r="BF421" s="427"/>
      <c r="BG421" s="454"/>
      <c r="BH421" s="754"/>
      <c r="BI421" s="427"/>
      <c r="BJ421" s="427"/>
      <c r="BK421" s="427"/>
      <c r="BL421" s="427"/>
      <c r="BM421" s="454"/>
      <c r="BN421" s="427"/>
      <c r="BO421" s="427"/>
      <c r="BP421" s="427"/>
      <c r="BQ421" s="454"/>
      <c r="BR421" s="454"/>
      <c r="BS421" s="460"/>
      <c r="BT421" s="454"/>
      <c r="BU421" s="454"/>
      <c r="BV421" s="457"/>
      <c r="BW421" s="460"/>
      <c r="BX421" s="460"/>
      <c r="BY421" s="460"/>
      <c r="CA421" s="2"/>
      <c r="CB421" s="2"/>
      <c r="CC421" s="2"/>
      <c r="CD421" s="2"/>
      <c r="CE421" s="2"/>
      <c r="CF421" s="2"/>
      <c r="CG421" s="2"/>
      <c r="CH421" s="2"/>
      <c r="CI421" s="2"/>
      <c r="CJ421" s="2"/>
      <c r="CK421" s="2"/>
      <c r="CL421" s="2"/>
      <c r="CM421" s="2"/>
      <c r="CN421" s="2"/>
      <c r="CO421" s="427"/>
      <c r="CP421" s="427"/>
      <c r="CQ421" s="427"/>
      <c r="CR421" s="485"/>
      <c r="CS421" s="485"/>
      <c r="CT421" s="485"/>
      <c r="CU421" s="485"/>
      <c r="CV421" s="482"/>
      <c r="CW421" s="482"/>
      <c r="CX421" s="482"/>
      <c r="CY421" s="482"/>
      <c r="CZ421" s="485"/>
      <c r="DA421" s="485"/>
      <c r="DB421" s="485"/>
      <c r="DC421" s="485"/>
      <c r="DD421" s="485"/>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V421" s="2"/>
      <c r="EW421" s="485"/>
      <c r="EX421" s="485"/>
      <c r="EY421" s="457"/>
      <c r="EZ421" s="457"/>
      <c r="FA421" s="457"/>
      <c r="FB421" s="457"/>
      <c r="FC421" s="457"/>
      <c r="FD421" s="457"/>
      <c r="FE421" s="457"/>
      <c r="FF421" s="457"/>
      <c r="FG421" s="457"/>
      <c r="FH421" s="457"/>
      <c r="FI421" s="457"/>
      <c r="FJ421" s="457"/>
      <c r="FK421" s="457"/>
    </row>
    <row r="422" spans="1:167" s="416" customFormat="1">
      <c r="A422" s="427"/>
      <c r="B422" s="427"/>
      <c r="C422" s="427"/>
      <c r="D422" s="427"/>
      <c r="E422" s="428"/>
      <c r="F422" s="429"/>
      <c r="G422" s="430"/>
      <c r="H422" s="427"/>
      <c r="I422" s="427"/>
      <c r="J422" s="427"/>
      <c r="K422" s="427"/>
      <c r="L422" s="427"/>
      <c r="M422" s="427"/>
      <c r="N422" s="427"/>
      <c r="O422" s="427"/>
      <c r="P422" s="427"/>
      <c r="Q422" s="427"/>
      <c r="R422" s="427"/>
      <c r="S422" s="427"/>
      <c r="T422" s="427"/>
      <c r="U422" s="427"/>
      <c r="V422" s="428"/>
      <c r="W422" s="431"/>
      <c r="X422" s="3"/>
      <c r="Y422" s="429"/>
      <c r="Z422" s="430"/>
      <c r="AA422" s="430"/>
      <c r="AB422" s="430"/>
      <c r="AC422" s="424"/>
      <c r="AD422" s="424"/>
      <c r="AE422" s="424"/>
      <c r="AF422" s="424"/>
      <c r="AG422" s="424"/>
      <c r="AH422" s="424"/>
      <c r="AI422" s="424"/>
      <c r="AJ422" s="2"/>
      <c r="AK422" s="2"/>
      <c r="AL422" s="2"/>
      <c r="AM422" s="2"/>
      <c r="AN422" s="2"/>
      <c r="AO422" s="2"/>
      <c r="AP422" s="2"/>
      <c r="AQ422" s="427"/>
      <c r="AR422" s="754"/>
      <c r="AS422" s="427"/>
      <c r="AT422" s="754"/>
      <c r="AU422" s="427"/>
      <c r="AV422" s="427"/>
      <c r="AW422" s="427"/>
      <c r="AX422" s="427"/>
      <c r="AY422" s="754"/>
      <c r="AZ422" s="754"/>
      <c r="BA422" s="754"/>
      <c r="BB422" s="427"/>
      <c r="BC422" s="427"/>
      <c r="BD422" s="427"/>
      <c r="BE422" s="754"/>
      <c r="BF422" s="427"/>
      <c r="BG422" s="454"/>
      <c r="BH422" s="754"/>
      <c r="BI422" s="427"/>
      <c r="BJ422" s="427"/>
      <c r="BK422" s="427"/>
      <c r="BL422" s="427"/>
      <c r="BM422" s="454"/>
      <c r="BN422" s="427"/>
      <c r="BO422" s="427"/>
      <c r="BP422" s="427"/>
      <c r="BQ422" s="454"/>
      <c r="BR422" s="454"/>
      <c r="BS422" s="460"/>
      <c r="BT422" s="454"/>
      <c r="BU422" s="454"/>
      <c r="BV422" s="457"/>
      <c r="BW422" s="460"/>
      <c r="BX422" s="460"/>
      <c r="BY422" s="460"/>
      <c r="CA422" s="2"/>
      <c r="CB422" s="2"/>
      <c r="CC422" s="2"/>
      <c r="CD422" s="2"/>
      <c r="CE422" s="2"/>
      <c r="CF422" s="2"/>
      <c r="CG422" s="2"/>
      <c r="CH422" s="2"/>
      <c r="CI422" s="2"/>
      <c r="CJ422" s="2"/>
      <c r="CK422" s="2"/>
      <c r="CL422" s="2"/>
      <c r="CM422" s="2"/>
      <c r="CN422" s="2"/>
      <c r="CO422" s="427"/>
      <c r="CP422" s="427"/>
      <c r="CQ422" s="427"/>
      <c r="CR422" s="485"/>
      <c r="CS422" s="485"/>
      <c r="CT422" s="485"/>
      <c r="CU422" s="485"/>
      <c r="CV422" s="482"/>
      <c r="CW422" s="482"/>
      <c r="CX422" s="482"/>
      <c r="CY422" s="482"/>
      <c r="CZ422" s="485"/>
      <c r="DA422" s="485"/>
      <c r="DB422" s="485"/>
      <c r="DC422" s="485"/>
      <c r="DD422" s="485"/>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V422" s="2"/>
      <c r="EW422" s="485"/>
      <c r="EX422" s="485"/>
      <c r="EY422" s="457"/>
      <c r="EZ422" s="457"/>
      <c r="FA422" s="457"/>
      <c r="FB422" s="457"/>
      <c r="FC422" s="457"/>
      <c r="FD422" s="457"/>
      <c r="FE422" s="457"/>
      <c r="FF422" s="457"/>
      <c r="FG422" s="457"/>
      <c r="FH422" s="457"/>
      <c r="FI422" s="457"/>
      <c r="FJ422" s="457"/>
      <c r="FK422" s="457"/>
    </row>
    <row r="423" spans="1:167" s="416" customFormat="1">
      <c r="A423" s="427"/>
      <c r="B423" s="427"/>
      <c r="C423" s="427"/>
      <c r="D423" s="427"/>
      <c r="E423" s="428"/>
      <c r="F423" s="429"/>
      <c r="G423" s="430"/>
      <c r="H423" s="427"/>
      <c r="I423" s="427"/>
      <c r="J423" s="427"/>
      <c r="K423" s="427"/>
      <c r="L423" s="427"/>
      <c r="M423" s="427"/>
      <c r="N423" s="427"/>
      <c r="O423" s="427"/>
      <c r="P423" s="427"/>
      <c r="Q423" s="427"/>
      <c r="R423" s="427"/>
      <c r="S423" s="427"/>
      <c r="T423" s="427"/>
      <c r="U423" s="427"/>
      <c r="V423" s="428"/>
      <c r="W423" s="431"/>
      <c r="X423" s="3"/>
      <c r="Y423" s="429"/>
      <c r="Z423" s="430"/>
      <c r="AA423" s="430"/>
      <c r="AB423" s="430"/>
      <c r="AC423" s="424"/>
      <c r="AD423" s="424"/>
      <c r="AE423" s="424"/>
      <c r="AF423" s="424"/>
      <c r="AG423" s="424"/>
      <c r="AH423" s="424"/>
      <c r="AI423" s="424"/>
      <c r="AJ423" s="2"/>
      <c r="AK423" s="2"/>
      <c r="AL423" s="2"/>
      <c r="AM423" s="2"/>
      <c r="AN423" s="2"/>
      <c r="AO423" s="2"/>
      <c r="AP423" s="2"/>
      <c r="AQ423" s="427"/>
      <c r="AR423" s="754"/>
      <c r="AS423" s="427"/>
      <c r="AT423" s="754"/>
      <c r="AU423" s="427"/>
      <c r="AV423" s="427"/>
      <c r="AW423" s="427"/>
      <c r="AX423" s="427"/>
      <c r="AY423" s="754"/>
      <c r="AZ423" s="754"/>
      <c r="BA423" s="754"/>
      <c r="BB423" s="427"/>
      <c r="BC423" s="427"/>
      <c r="BD423" s="427"/>
      <c r="BE423" s="754"/>
      <c r="BF423" s="427"/>
      <c r="BG423" s="454"/>
      <c r="BH423" s="754"/>
      <c r="BI423" s="427"/>
      <c r="BJ423" s="427"/>
      <c r="BK423" s="427"/>
      <c r="BL423" s="427"/>
      <c r="BM423" s="454"/>
      <c r="BN423" s="427"/>
      <c r="BO423" s="427"/>
      <c r="BP423" s="427"/>
      <c r="BQ423" s="454"/>
      <c r="BR423" s="454"/>
      <c r="BS423" s="460"/>
      <c r="BT423" s="454"/>
      <c r="BU423" s="454"/>
      <c r="BV423" s="457"/>
      <c r="BW423" s="460"/>
      <c r="BX423" s="460"/>
      <c r="BY423" s="460"/>
      <c r="CA423" s="2"/>
      <c r="CB423" s="2"/>
      <c r="CC423" s="2"/>
      <c r="CD423" s="2"/>
      <c r="CE423" s="2"/>
      <c r="CF423" s="2"/>
      <c r="CG423" s="2"/>
      <c r="CH423" s="2"/>
      <c r="CI423" s="2"/>
      <c r="CJ423" s="2"/>
      <c r="CK423" s="2"/>
      <c r="CL423" s="2"/>
      <c r="CM423" s="2"/>
      <c r="CN423" s="2"/>
      <c r="CO423" s="427"/>
      <c r="CP423" s="427"/>
      <c r="CQ423" s="427"/>
      <c r="CR423" s="485"/>
      <c r="CS423" s="485"/>
      <c r="CT423" s="485"/>
      <c r="CU423" s="485"/>
      <c r="CV423" s="482"/>
      <c r="CW423" s="482"/>
      <c r="CX423" s="482"/>
      <c r="CY423" s="482"/>
      <c r="CZ423" s="485"/>
      <c r="DA423" s="485"/>
      <c r="DB423" s="485"/>
      <c r="DC423" s="485"/>
      <c r="DD423" s="485"/>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V423" s="2"/>
      <c r="EW423" s="485"/>
      <c r="EX423" s="485"/>
      <c r="EY423" s="457"/>
      <c r="EZ423" s="457"/>
      <c r="FA423" s="457"/>
      <c r="FB423" s="457"/>
      <c r="FC423" s="457"/>
      <c r="FD423" s="457"/>
      <c r="FE423" s="457"/>
      <c r="FF423" s="457"/>
      <c r="FG423" s="457"/>
      <c r="FH423" s="457"/>
      <c r="FI423" s="457"/>
      <c r="FJ423" s="457"/>
      <c r="FK423" s="457"/>
    </row>
    <row r="424" spans="1:167" s="416" customFormat="1">
      <c r="A424" s="427"/>
      <c r="B424" s="427"/>
      <c r="C424" s="427"/>
      <c r="D424" s="427"/>
      <c r="E424" s="428"/>
      <c r="F424" s="429"/>
      <c r="G424" s="430"/>
      <c r="H424" s="427"/>
      <c r="I424" s="427"/>
      <c r="J424" s="427"/>
      <c r="K424" s="427"/>
      <c r="L424" s="427"/>
      <c r="M424" s="427"/>
      <c r="N424" s="427"/>
      <c r="O424" s="427"/>
      <c r="P424" s="427"/>
      <c r="Q424" s="427"/>
      <c r="R424" s="427"/>
      <c r="S424" s="427"/>
      <c r="T424" s="427"/>
      <c r="U424" s="427"/>
      <c r="V424" s="428"/>
      <c r="W424" s="431"/>
      <c r="X424" s="3"/>
      <c r="Y424" s="429"/>
      <c r="Z424" s="430"/>
      <c r="AA424" s="430"/>
      <c r="AB424" s="430"/>
      <c r="AC424" s="424"/>
      <c r="AD424" s="424"/>
      <c r="AE424" s="424"/>
      <c r="AF424" s="424"/>
      <c r="AG424" s="424"/>
      <c r="AH424" s="424"/>
      <c r="AI424" s="424"/>
      <c r="AJ424" s="2"/>
      <c r="AK424" s="2"/>
      <c r="AL424" s="2"/>
      <c r="AM424" s="2"/>
      <c r="AN424" s="2"/>
      <c r="AO424" s="2"/>
      <c r="AP424" s="2"/>
      <c r="AQ424" s="427"/>
      <c r="AR424" s="754"/>
      <c r="AS424" s="427"/>
      <c r="AT424" s="754"/>
      <c r="AU424" s="427"/>
      <c r="AV424" s="427"/>
      <c r="AW424" s="427"/>
      <c r="AX424" s="427"/>
      <c r="AY424" s="754"/>
      <c r="AZ424" s="754"/>
      <c r="BA424" s="754"/>
      <c r="BB424" s="427"/>
      <c r="BC424" s="427"/>
      <c r="BD424" s="427"/>
      <c r="BE424" s="754"/>
      <c r="BF424" s="427"/>
      <c r="BG424" s="454"/>
      <c r="BH424" s="754"/>
      <c r="BI424" s="427"/>
      <c r="BJ424" s="427"/>
      <c r="BK424" s="427"/>
      <c r="BL424" s="427"/>
      <c r="BM424" s="454"/>
      <c r="BN424" s="427"/>
      <c r="BO424" s="427"/>
      <c r="BP424" s="427"/>
      <c r="BQ424" s="454"/>
      <c r="BR424" s="454"/>
      <c r="BS424" s="460"/>
      <c r="BT424" s="454"/>
      <c r="BU424" s="454"/>
      <c r="BV424" s="457"/>
      <c r="BW424" s="460"/>
      <c r="BX424" s="460"/>
      <c r="BY424" s="460"/>
      <c r="CA424" s="2"/>
      <c r="CB424" s="2"/>
      <c r="CC424" s="2"/>
      <c r="CD424" s="2"/>
      <c r="CE424" s="2"/>
      <c r="CF424" s="2"/>
      <c r="CG424" s="2"/>
      <c r="CH424" s="2"/>
      <c r="CI424" s="2"/>
      <c r="CJ424" s="2"/>
      <c r="CK424" s="2"/>
      <c r="CL424" s="2"/>
      <c r="CM424" s="2"/>
      <c r="CN424" s="2"/>
      <c r="CO424" s="427"/>
      <c r="CP424" s="427"/>
      <c r="CQ424" s="427"/>
      <c r="CR424" s="485"/>
      <c r="CS424" s="485"/>
      <c r="CT424" s="485"/>
      <c r="CU424" s="485"/>
      <c r="CV424" s="482"/>
      <c r="CW424" s="482"/>
      <c r="CX424" s="482"/>
      <c r="CY424" s="482"/>
      <c r="CZ424" s="485"/>
      <c r="DA424" s="485"/>
      <c r="DB424" s="485"/>
      <c r="DC424" s="485"/>
      <c r="DD424" s="485"/>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V424" s="2"/>
      <c r="EW424" s="485"/>
      <c r="EX424" s="485"/>
      <c r="EY424" s="457"/>
      <c r="EZ424" s="457"/>
      <c r="FA424" s="457"/>
      <c r="FB424" s="457"/>
      <c r="FC424" s="457"/>
      <c r="FD424" s="457"/>
      <c r="FE424" s="457"/>
      <c r="FF424" s="457"/>
      <c r="FG424" s="457"/>
      <c r="FH424" s="457"/>
      <c r="FI424" s="457"/>
      <c r="FJ424" s="457"/>
      <c r="FK424" s="457"/>
    </row>
    <row r="425" spans="1:167" s="416" customFormat="1">
      <c r="A425" s="427"/>
      <c r="B425" s="427"/>
      <c r="C425" s="427"/>
      <c r="D425" s="427"/>
      <c r="E425" s="428"/>
      <c r="F425" s="429"/>
      <c r="G425" s="430"/>
      <c r="H425" s="427"/>
      <c r="I425" s="427"/>
      <c r="J425" s="427"/>
      <c r="K425" s="427"/>
      <c r="L425" s="427"/>
      <c r="M425" s="427"/>
      <c r="N425" s="427"/>
      <c r="O425" s="427"/>
      <c r="P425" s="427"/>
      <c r="Q425" s="427"/>
      <c r="R425" s="427"/>
      <c r="S425" s="427"/>
      <c r="T425" s="427"/>
      <c r="U425" s="427"/>
      <c r="V425" s="428"/>
      <c r="W425" s="431"/>
      <c r="X425" s="3"/>
      <c r="Y425" s="429"/>
      <c r="Z425" s="430"/>
      <c r="AA425" s="430"/>
      <c r="AB425" s="430"/>
      <c r="AC425" s="424"/>
      <c r="AD425" s="424"/>
      <c r="AE425" s="424"/>
      <c r="AF425" s="424"/>
      <c r="AG425" s="424"/>
      <c r="AH425" s="424"/>
      <c r="AI425" s="424"/>
      <c r="AJ425" s="2"/>
      <c r="AK425" s="2"/>
      <c r="AL425" s="2"/>
      <c r="AM425" s="2"/>
      <c r="AN425" s="2"/>
      <c r="AO425" s="2"/>
      <c r="AP425" s="2"/>
      <c r="AQ425" s="427"/>
      <c r="AR425" s="754"/>
      <c r="AS425" s="427"/>
      <c r="AT425" s="754"/>
      <c r="AU425" s="427"/>
      <c r="AV425" s="427"/>
      <c r="AW425" s="427"/>
      <c r="AX425" s="427"/>
      <c r="AY425" s="754"/>
      <c r="AZ425" s="754"/>
      <c r="BA425" s="754"/>
      <c r="BB425" s="427"/>
      <c r="BC425" s="427"/>
      <c r="BD425" s="427"/>
      <c r="BE425" s="754"/>
      <c r="BF425" s="427"/>
      <c r="BG425" s="454"/>
      <c r="BH425" s="754"/>
      <c r="BI425" s="427"/>
      <c r="BJ425" s="427"/>
      <c r="BK425" s="427"/>
      <c r="BL425" s="427"/>
      <c r="BM425" s="454"/>
      <c r="BN425" s="427"/>
      <c r="BO425" s="427"/>
      <c r="BP425" s="427"/>
      <c r="BQ425" s="454"/>
      <c r="BR425" s="454"/>
      <c r="BS425" s="460"/>
      <c r="BT425" s="454"/>
      <c r="BU425" s="454"/>
      <c r="BV425" s="457"/>
      <c r="BW425" s="460"/>
      <c r="BX425" s="460"/>
      <c r="BY425" s="460"/>
      <c r="CA425" s="2"/>
      <c r="CB425" s="2"/>
      <c r="CC425" s="2"/>
      <c r="CD425" s="2"/>
      <c r="CE425" s="2"/>
      <c r="CF425" s="2"/>
      <c r="CG425" s="2"/>
      <c r="CH425" s="2"/>
      <c r="CI425" s="2"/>
      <c r="CJ425" s="2"/>
      <c r="CK425" s="2"/>
      <c r="CL425" s="2"/>
      <c r="CM425" s="2"/>
      <c r="CN425" s="2"/>
      <c r="CO425" s="427"/>
      <c r="CP425" s="427"/>
      <c r="CQ425" s="427"/>
      <c r="CR425" s="485"/>
      <c r="CS425" s="485"/>
      <c r="CT425" s="485"/>
      <c r="CU425" s="485"/>
      <c r="CV425" s="482"/>
      <c r="CW425" s="482"/>
      <c r="CX425" s="482"/>
      <c r="CY425" s="482"/>
      <c r="CZ425" s="485"/>
      <c r="DA425" s="485"/>
      <c r="DB425" s="485"/>
      <c r="DC425" s="485"/>
      <c r="DD425" s="485"/>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V425" s="2"/>
      <c r="EW425" s="485"/>
      <c r="EX425" s="485"/>
      <c r="EY425" s="457"/>
      <c r="EZ425" s="457"/>
      <c r="FA425" s="457"/>
      <c r="FB425" s="457"/>
      <c r="FC425" s="457"/>
      <c r="FD425" s="457"/>
      <c r="FE425" s="457"/>
      <c r="FF425" s="457"/>
      <c r="FG425" s="457"/>
      <c r="FH425" s="457"/>
      <c r="FI425" s="457"/>
      <c r="FJ425" s="457"/>
      <c r="FK425" s="457"/>
    </row>
    <row r="426" spans="1:167" s="416" customFormat="1">
      <c r="A426" s="427"/>
      <c r="B426" s="427"/>
      <c r="C426" s="427"/>
      <c r="D426" s="427"/>
      <c r="E426" s="428"/>
      <c r="F426" s="429"/>
      <c r="G426" s="430"/>
      <c r="H426" s="427"/>
      <c r="I426" s="427"/>
      <c r="J426" s="427"/>
      <c r="K426" s="427"/>
      <c r="L426" s="427"/>
      <c r="M426" s="427"/>
      <c r="N426" s="427"/>
      <c r="O426" s="427"/>
      <c r="P426" s="427"/>
      <c r="Q426" s="427"/>
      <c r="R426" s="427"/>
      <c r="S426" s="427"/>
      <c r="T426" s="427"/>
      <c r="U426" s="427"/>
      <c r="V426" s="428"/>
      <c r="W426" s="431"/>
      <c r="X426" s="3"/>
      <c r="Y426" s="429"/>
      <c r="Z426" s="430"/>
      <c r="AA426" s="430"/>
      <c r="AB426" s="430"/>
      <c r="AC426" s="424"/>
      <c r="AD426" s="424"/>
      <c r="AE426" s="424"/>
      <c r="AF426" s="424"/>
      <c r="AG426" s="424"/>
      <c r="AH426" s="424"/>
      <c r="AI426" s="424"/>
      <c r="AJ426" s="2"/>
      <c r="AK426" s="2"/>
      <c r="AL426" s="2"/>
      <c r="AM426" s="2"/>
      <c r="AN426" s="2"/>
      <c r="AO426" s="2"/>
      <c r="AP426" s="2"/>
      <c r="AQ426" s="427"/>
      <c r="AR426" s="754"/>
      <c r="AS426" s="427"/>
      <c r="AT426" s="754"/>
      <c r="AU426" s="427"/>
      <c r="AV426" s="427"/>
      <c r="AW426" s="427"/>
      <c r="AX426" s="427"/>
      <c r="AY426" s="754"/>
      <c r="AZ426" s="754"/>
      <c r="BA426" s="754"/>
      <c r="BB426" s="427"/>
      <c r="BC426" s="427"/>
      <c r="BD426" s="427"/>
      <c r="BE426" s="754"/>
      <c r="BF426" s="427"/>
      <c r="BG426" s="454"/>
      <c r="BH426" s="754"/>
      <c r="BI426" s="427"/>
      <c r="BJ426" s="427"/>
      <c r="BK426" s="427"/>
      <c r="BL426" s="427"/>
      <c r="BM426" s="454"/>
      <c r="BN426" s="427"/>
      <c r="BO426" s="427"/>
      <c r="BP426" s="427"/>
      <c r="BQ426" s="454"/>
      <c r="BR426" s="454"/>
      <c r="BS426" s="460"/>
      <c r="BT426" s="454"/>
      <c r="BU426" s="454"/>
      <c r="BV426" s="457"/>
      <c r="BW426" s="460"/>
      <c r="BX426" s="460"/>
      <c r="BY426" s="460"/>
      <c r="CA426" s="2"/>
      <c r="CB426" s="2"/>
      <c r="CC426" s="2"/>
      <c r="CD426" s="2"/>
      <c r="CE426" s="2"/>
      <c r="CF426" s="2"/>
      <c r="CG426" s="2"/>
      <c r="CH426" s="2"/>
      <c r="CI426" s="2"/>
      <c r="CJ426" s="2"/>
      <c r="CK426" s="2"/>
      <c r="CL426" s="2"/>
      <c r="CM426" s="2"/>
      <c r="CN426" s="2"/>
      <c r="CO426" s="427"/>
      <c r="CP426" s="427"/>
      <c r="CQ426" s="427"/>
      <c r="CR426" s="485"/>
      <c r="CS426" s="485"/>
      <c r="CT426" s="485"/>
      <c r="CU426" s="485"/>
      <c r="CV426" s="482"/>
      <c r="CW426" s="482"/>
      <c r="CX426" s="482"/>
      <c r="CY426" s="482"/>
      <c r="CZ426" s="485"/>
      <c r="DA426" s="485"/>
      <c r="DB426" s="485"/>
      <c r="DC426" s="485"/>
      <c r="DD426" s="485"/>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V426" s="2"/>
      <c r="EW426" s="485"/>
      <c r="EX426" s="485"/>
      <c r="EY426" s="457"/>
      <c r="EZ426" s="457"/>
      <c r="FA426" s="457"/>
      <c r="FB426" s="457"/>
      <c r="FC426" s="457"/>
      <c r="FD426" s="457"/>
      <c r="FE426" s="457"/>
      <c r="FF426" s="457"/>
      <c r="FG426" s="457"/>
      <c r="FH426" s="457"/>
      <c r="FI426" s="457"/>
      <c r="FJ426" s="457"/>
      <c r="FK426" s="457"/>
    </row>
    <row r="427" spans="1:167" s="416" customFormat="1">
      <c r="A427" s="427"/>
      <c r="B427" s="427"/>
      <c r="C427" s="427"/>
      <c r="D427" s="427"/>
      <c r="E427" s="428"/>
      <c r="F427" s="429"/>
      <c r="G427" s="430"/>
      <c r="H427" s="427"/>
      <c r="I427" s="427"/>
      <c r="J427" s="427"/>
      <c r="K427" s="427"/>
      <c r="L427" s="427"/>
      <c r="M427" s="427"/>
      <c r="N427" s="427"/>
      <c r="O427" s="427"/>
      <c r="P427" s="427"/>
      <c r="Q427" s="427"/>
      <c r="R427" s="427"/>
      <c r="S427" s="427"/>
      <c r="T427" s="427"/>
      <c r="U427" s="427"/>
      <c r="V427" s="428"/>
      <c r="W427" s="431"/>
      <c r="X427" s="3"/>
      <c r="Y427" s="429"/>
      <c r="Z427" s="430"/>
      <c r="AA427" s="430"/>
      <c r="AB427" s="430"/>
      <c r="AC427" s="424"/>
      <c r="AD427" s="424"/>
      <c r="AE427" s="424"/>
      <c r="AF427" s="424"/>
      <c r="AG427" s="424"/>
      <c r="AH427" s="424"/>
      <c r="AI427" s="424"/>
      <c r="AJ427" s="2"/>
      <c r="AK427" s="2"/>
      <c r="AL427" s="2"/>
      <c r="AM427" s="2"/>
      <c r="AN427" s="2"/>
      <c r="AO427" s="2"/>
      <c r="AP427" s="2"/>
      <c r="AQ427" s="427"/>
      <c r="AR427" s="754"/>
      <c r="AS427" s="427"/>
      <c r="AT427" s="754"/>
      <c r="AU427" s="427"/>
      <c r="AV427" s="427"/>
      <c r="AW427" s="427"/>
      <c r="AX427" s="427"/>
      <c r="AY427" s="754"/>
      <c r="AZ427" s="754"/>
      <c r="BA427" s="754"/>
      <c r="BB427" s="427"/>
      <c r="BC427" s="427"/>
      <c r="BD427" s="427"/>
      <c r="BE427" s="754"/>
      <c r="BF427" s="427"/>
      <c r="BG427" s="454"/>
      <c r="BH427" s="754"/>
      <c r="BI427" s="427"/>
      <c r="BJ427" s="427"/>
      <c r="BK427" s="427"/>
      <c r="BL427" s="427"/>
      <c r="BM427" s="454"/>
      <c r="BN427" s="427"/>
      <c r="BO427" s="427"/>
      <c r="BP427" s="427"/>
      <c r="BQ427" s="454"/>
      <c r="BR427" s="454"/>
      <c r="BS427" s="460"/>
      <c r="BT427" s="454"/>
      <c r="BU427" s="454"/>
      <c r="BV427" s="457"/>
      <c r="BW427" s="460"/>
      <c r="BX427" s="460"/>
      <c r="BY427" s="460"/>
      <c r="CA427" s="2"/>
      <c r="CB427" s="2"/>
      <c r="CC427" s="2"/>
      <c r="CD427" s="2"/>
      <c r="CE427" s="2"/>
      <c r="CF427" s="2"/>
      <c r="CG427" s="2"/>
      <c r="CH427" s="2"/>
      <c r="CI427" s="2"/>
      <c r="CJ427" s="2"/>
      <c r="CK427" s="2"/>
      <c r="CL427" s="2"/>
      <c r="CM427" s="2"/>
      <c r="CN427" s="2"/>
      <c r="CO427" s="427"/>
      <c r="CP427" s="427"/>
      <c r="CQ427" s="427"/>
      <c r="CR427" s="485"/>
      <c r="CS427" s="485"/>
      <c r="CT427" s="485"/>
      <c r="CU427" s="485"/>
      <c r="CV427" s="482"/>
      <c r="CW427" s="482"/>
      <c r="CX427" s="482"/>
      <c r="CY427" s="482"/>
      <c r="CZ427" s="485"/>
      <c r="DA427" s="485"/>
      <c r="DB427" s="485"/>
      <c r="DC427" s="485"/>
      <c r="DD427" s="485"/>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V427" s="2"/>
      <c r="EW427" s="485"/>
      <c r="EX427" s="485"/>
      <c r="EY427" s="457"/>
      <c r="EZ427" s="457"/>
      <c r="FA427" s="457"/>
      <c r="FB427" s="457"/>
      <c r="FC427" s="457"/>
      <c r="FD427" s="457"/>
      <c r="FE427" s="457"/>
      <c r="FF427" s="457"/>
      <c r="FG427" s="457"/>
      <c r="FH427" s="457"/>
      <c r="FI427" s="457"/>
      <c r="FJ427" s="457"/>
      <c r="FK427" s="457"/>
    </row>
    <row r="428" spans="1:167" s="416" customFormat="1">
      <c r="A428" s="427"/>
      <c r="B428" s="427"/>
      <c r="C428" s="427"/>
      <c r="D428" s="427"/>
      <c r="E428" s="428"/>
      <c r="F428" s="429"/>
      <c r="G428" s="430"/>
      <c r="H428" s="427"/>
      <c r="I428" s="427"/>
      <c r="J428" s="427"/>
      <c r="K428" s="427"/>
      <c r="L428" s="427"/>
      <c r="M428" s="427"/>
      <c r="N428" s="427"/>
      <c r="O428" s="427"/>
      <c r="P428" s="427"/>
      <c r="Q428" s="427"/>
      <c r="R428" s="427"/>
      <c r="S428" s="427"/>
      <c r="T428" s="427"/>
      <c r="U428" s="427"/>
      <c r="V428" s="428"/>
      <c r="W428" s="431"/>
      <c r="X428" s="3"/>
      <c r="Y428" s="429"/>
      <c r="Z428" s="430"/>
      <c r="AA428" s="430"/>
      <c r="AB428" s="430"/>
      <c r="AC428" s="424"/>
      <c r="AD428" s="424"/>
      <c r="AE428" s="424"/>
      <c r="AF428" s="424"/>
      <c r="AG428" s="424"/>
      <c r="AH428" s="424"/>
      <c r="AI428" s="424"/>
      <c r="AJ428" s="2"/>
      <c r="AK428" s="2"/>
      <c r="AL428" s="2"/>
      <c r="AM428" s="2"/>
      <c r="AN428" s="2"/>
      <c r="AO428" s="2"/>
      <c r="AP428" s="2"/>
      <c r="AQ428" s="427"/>
      <c r="AR428" s="754"/>
      <c r="AS428" s="427"/>
      <c r="AT428" s="754"/>
      <c r="AU428" s="427"/>
      <c r="AV428" s="427"/>
      <c r="AW428" s="427"/>
      <c r="AX428" s="427"/>
      <c r="AY428" s="754"/>
      <c r="AZ428" s="754"/>
      <c r="BA428" s="754"/>
      <c r="BB428" s="427"/>
      <c r="BC428" s="427"/>
      <c r="BD428" s="427"/>
      <c r="BE428" s="754"/>
      <c r="BF428" s="427"/>
      <c r="BG428" s="454"/>
      <c r="BH428" s="754"/>
      <c r="BI428" s="427"/>
      <c r="BJ428" s="427"/>
      <c r="BK428" s="427"/>
      <c r="BL428" s="427"/>
      <c r="BM428" s="454"/>
      <c r="BN428" s="427"/>
      <c r="BO428" s="427"/>
      <c r="BP428" s="427"/>
      <c r="BQ428" s="454"/>
      <c r="BR428" s="454"/>
      <c r="BS428" s="460"/>
      <c r="BT428" s="454"/>
      <c r="BU428" s="454"/>
      <c r="BV428" s="457"/>
      <c r="BW428" s="460"/>
      <c r="BX428" s="460"/>
      <c r="BY428" s="460"/>
      <c r="CA428" s="2"/>
      <c r="CB428" s="2"/>
      <c r="CC428" s="2"/>
      <c r="CD428" s="2"/>
      <c r="CE428" s="2"/>
      <c r="CF428" s="2"/>
      <c r="CG428" s="2"/>
      <c r="CH428" s="2"/>
      <c r="CI428" s="2"/>
      <c r="CJ428" s="2"/>
      <c r="CK428" s="2"/>
      <c r="CL428" s="2"/>
      <c r="CM428" s="2"/>
      <c r="CN428" s="2"/>
      <c r="CO428" s="427"/>
      <c r="CP428" s="427"/>
      <c r="CQ428" s="427"/>
      <c r="CR428" s="485"/>
      <c r="CS428" s="485"/>
      <c r="CT428" s="485"/>
      <c r="CU428" s="485"/>
      <c r="CV428" s="482"/>
      <c r="CW428" s="482"/>
      <c r="CX428" s="482"/>
      <c r="CY428" s="482"/>
      <c r="CZ428" s="485"/>
      <c r="DA428" s="485"/>
      <c r="DB428" s="485"/>
      <c r="DC428" s="485"/>
      <c r="DD428" s="485"/>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V428" s="2"/>
      <c r="EW428" s="485"/>
      <c r="EX428" s="485"/>
      <c r="EY428" s="457"/>
      <c r="EZ428" s="457"/>
      <c r="FA428" s="457"/>
      <c r="FB428" s="457"/>
      <c r="FC428" s="457"/>
      <c r="FD428" s="457"/>
      <c r="FE428" s="457"/>
      <c r="FF428" s="457"/>
      <c r="FG428" s="457"/>
      <c r="FH428" s="457"/>
      <c r="FI428" s="457"/>
      <c r="FJ428" s="457"/>
      <c r="FK428" s="457"/>
    </row>
    <row r="429" spans="1:167" s="416" customFormat="1">
      <c r="A429" s="427"/>
      <c r="B429" s="427"/>
      <c r="C429" s="427"/>
      <c r="D429" s="427"/>
      <c r="E429" s="428"/>
      <c r="F429" s="429"/>
      <c r="G429" s="430"/>
      <c r="H429" s="427"/>
      <c r="I429" s="427"/>
      <c r="J429" s="427"/>
      <c r="K429" s="427"/>
      <c r="L429" s="427"/>
      <c r="M429" s="427"/>
      <c r="N429" s="427"/>
      <c r="O429" s="427"/>
      <c r="P429" s="427"/>
      <c r="Q429" s="427"/>
      <c r="R429" s="427"/>
      <c r="S429" s="427"/>
      <c r="T429" s="427"/>
      <c r="U429" s="427"/>
      <c r="V429" s="428"/>
      <c r="W429" s="431"/>
      <c r="X429" s="3"/>
      <c r="Y429" s="429"/>
      <c r="Z429" s="430"/>
      <c r="AA429" s="430"/>
      <c r="AB429" s="430"/>
      <c r="AC429" s="424"/>
      <c r="AD429" s="424"/>
      <c r="AE429" s="424"/>
      <c r="AF429" s="424"/>
      <c r="AG429" s="424"/>
      <c r="AH429" s="424"/>
      <c r="AI429" s="424"/>
      <c r="AJ429" s="2"/>
      <c r="AK429" s="2"/>
      <c r="AL429" s="2"/>
      <c r="AM429" s="2"/>
      <c r="AN429" s="2"/>
      <c r="AO429" s="2"/>
      <c r="AP429" s="2"/>
      <c r="AQ429" s="427"/>
      <c r="AR429" s="754"/>
      <c r="AS429" s="427"/>
      <c r="AT429" s="754"/>
      <c r="AU429" s="427"/>
      <c r="AV429" s="427"/>
      <c r="AW429" s="427"/>
      <c r="AX429" s="427"/>
      <c r="AY429" s="754"/>
      <c r="AZ429" s="754"/>
      <c r="BA429" s="754"/>
      <c r="BB429" s="427"/>
      <c r="BC429" s="427"/>
      <c r="BD429" s="427"/>
      <c r="BE429" s="754"/>
      <c r="BF429" s="427"/>
      <c r="BG429" s="454"/>
      <c r="BH429" s="754"/>
      <c r="BI429" s="427"/>
      <c r="BJ429" s="427"/>
      <c r="BK429" s="427"/>
      <c r="BL429" s="427"/>
      <c r="BM429" s="454"/>
      <c r="BN429" s="427"/>
      <c r="BO429" s="427"/>
      <c r="BP429" s="427"/>
      <c r="BQ429" s="454"/>
      <c r="BR429" s="454"/>
      <c r="BS429" s="460"/>
      <c r="BT429" s="454"/>
      <c r="BU429" s="454"/>
      <c r="BV429" s="457"/>
      <c r="BW429" s="460"/>
      <c r="BX429" s="460"/>
      <c r="BY429" s="460"/>
      <c r="CA429" s="2"/>
      <c r="CB429" s="2"/>
      <c r="CC429" s="2"/>
      <c r="CD429" s="2"/>
      <c r="CE429" s="2"/>
      <c r="CF429" s="2"/>
      <c r="CG429" s="2"/>
      <c r="CH429" s="2"/>
      <c r="CI429" s="2"/>
      <c r="CJ429" s="2"/>
      <c r="CK429" s="2"/>
      <c r="CL429" s="2"/>
      <c r="CM429" s="2"/>
      <c r="CN429" s="2"/>
      <c r="CO429" s="427"/>
      <c r="CP429" s="427"/>
      <c r="CQ429" s="427"/>
      <c r="CR429" s="485"/>
      <c r="CS429" s="485"/>
      <c r="CT429" s="485"/>
      <c r="CU429" s="485"/>
      <c r="CV429" s="482"/>
      <c r="CW429" s="482"/>
      <c r="CX429" s="482"/>
      <c r="CY429" s="482"/>
      <c r="CZ429" s="485"/>
      <c r="DA429" s="485"/>
      <c r="DB429" s="485"/>
      <c r="DC429" s="485"/>
      <c r="DD429" s="485"/>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V429" s="2"/>
      <c r="EW429" s="485"/>
      <c r="EX429" s="485"/>
      <c r="EY429" s="457"/>
      <c r="EZ429" s="457"/>
      <c r="FA429" s="457"/>
      <c r="FB429" s="457"/>
      <c r="FC429" s="457"/>
      <c r="FD429" s="457"/>
      <c r="FE429" s="457"/>
      <c r="FF429" s="457"/>
      <c r="FG429" s="457"/>
      <c r="FH429" s="457"/>
      <c r="FI429" s="457"/>
      <c r="FJ429" s="457"/>
      <c r="FK429" s="457"/>
    </row>
    <row r="430" spans="1:167" s="416" customFormat="1">
      <c r="A430" s="427"/>
      <c r="B430" s="427"/>
      <c r="C430" s="427"/>
      <c r="D430" s="427"/>
      <c r="E430" s="428"/>
      <c r="F430" s="429"/>
      <c r="G430" s="430"/>
      <c r="H430" s="427"/>
      <c r="I430" s="427"/>
      <c r="J430" s="427"/>
      <c r="K430" s="427"/>
      <c r="L430" s="427"/>
      <c r="M430" s="427"/>
      <c r="N430" s="427"/>
      <c r="O430" s="427"/>
      <c r="P430" s="427"/>
      <c r="Q430" s="427"/>
      <c r="R430" s="427"/>
      <c r="S430" s="427"/>
      <c r="T430" s="427"/>
      <c r="U430" s="427"/>
      <c r="V430" s="428"/>
      <c r="W430" s="431"/>
      <c r="X430" s="3"/>
      <c r="Y430" s="429"/>
      <c r="Z430" s="430"/>
      <c r="AA430" s="430"/>
      <c r="AB430" s="430"/>
      <c r="AC430" s="424"/>
      <c r="AD430" s="424"/>
      <c r="AE430" s="424"/>
      <c r="AF430" s="424"/>
      <c r="AG430" s="424"/>
      <c r="AH430" s="424"/>
      <c r="AI430" s="424"/>
      <c r="AJ430" s="2"/>
      <c r="AK430" s="2"/>
      <c r="AL430" s="2"/>
      <c r="AM430" s="2"/>
      <c r="AN430" s="2"/>
      <c r="AO430" s="2"/>
      <c r="AP430" s="2"/>
      <c r="AQ430" s="427"/>
      <c r="AR430" s="754"/>
      <c r="AS430" s="427"/>
      <c r="AT430" s="754"/>
      <c r="AU430" s="427"/>
      <c r="AV430" s="427"/>
      <c r="AW430" s="427"/>
      <c r="AX430" s="427"/>
      <c r="AY430" s="754"/>
      <c r="AZ430" s="754"/>
      <c r="BA430" s="754"/>
      <c r="BB430" s="427"/>
      <c r="BC430" s="427"/>
      <c r="BD430" s="427"/>
      <c r="BE430" s="754"/>
      <c r="BF430" s="427"/>
      <c r="BG430" s="454"/>
      <c r="BH430" s="754"/>
      <c r="BI430" s="427"/>
      <c r="BJ430" s="427"/>
      <c r="BK430" s="427"/>
      <c r="BL430" s="427"/>
      <c r="BM430" s="454"/>
      <c r="BN430" s="427"/>
      <c r="BO430" s="427"/>
      <c r="BP430" s="427"/>
      <c r="BQ430" s="454"/>
      <c r="BR430" s="454"/>
      <c r="BS430" s="460"/>
      <c r="BT430" s="454"/>
      <c r="BU430" s="454"/>
      <c r="BV430" s="457"/>
      <c r="BW430" s="460"/>
      <c r="BX430" s="460"/>
      <c r="BY430" s="460"/>
      <c r="CA430" s="2"/>
      <c r="CB430" s="2"/>
      <c r="CC430" s="2"/>
      <c r="CD430" s="2"/>
      <c r="CE430" s="2"/>
      <c r="CF430" s="2"/>
      <c r="CG430" s="2"/>
      <c r="CH430" s="2"/>
      <c r="CI430" s="2"/>
      <c r="CJ430" s="2"/>
      <c r="CK430" s="2"/>
      <c r="CL430" s="2"/>
      <c r="CM430" s="2"/>
      <c r="CN430" s="2"/>
      <c r="CO430" s="427"/>
      <c r="CP430" s="427"/>
      <c r="CQ430" s="427"/>
      <c r="CR430" s="485"/>
      <c r="CS430" s="485"/>
      <c r="CT430" s="485"/>
      <c r="CU430" s="485"/>
      <c r="CV430" s="482"/>
      <c r="CW430" s="482"/>
      <c r="CX430" s="482"/>
      <c r="CY430" s="482"/>
      <c r="CZ430" s="485"/>
      <c r="DA430" s="485"/>
      <c r="DB430" s="485"/>
      <c r="DC430" s="485"/>
      <c r="DD430" s="485"/>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V430" s="2"/>
      <c r="EW430" s="485"/>
      <c r="EX430" s="485"/>
      <c r="EY430" s="457"/>
      <c r="EZ430" s="457"/>
      <c r="FA430" s="457"/>
      <c r="FB430" s="457"/>
      <c r="FC430" s="457"/>
      <c r="FD430" s="457"/>
      <c r="FE430" s="457"/>
      <c r="FF430" s="457"/>
      <c r="FG430" s="457"/>
      <c r="FH430" s="457"/>
      <c r="FI430" s="457"/>
      <c r="FJ430" s="457"/>
      <c r="FK430" s="457"/>
    </row>
    <row r="431" spans="1:167" s="416" customFormat="1">
      <c r="A431" s="427"/>
      <c r="B431" s="427"/>
      <c r="C431" s="427"/>
      <c r="D431" s="427"/>
      <c r="E431" s="428"/>
      <c r="F431" s="429"/>
      <c r="G431" s="430"/>
      <c r="H431" s="427"/>
      <c r="I431" s="427"/>
      <c r="J431" s="427"/>
      <c r="K431" s="427"/>
      <c r="L431" s="427"/>
      <c r="M431" s="427"/>
      <c r="N431" s="427"/>
      <c r="O431" s="427"/>
      <c r="P431" s="427"/>
      <c r="Q431" s="427"/>
      <c r="R431" s="427"/>
      <c r="S431" s="427"/>
      <c r="T431" s="427"/>
      <c r="U431" s="427"/>
      <c r="V431" s="428"/>
      <c r="W431" s="431"/>
      <c r="X431" s="3"/>
      <c r="Y431" s="429"/>
      <c r="Z431" s="430"/>
      <c r="AA431" s="430"/>
      <c r="AB431" s="430"/>
      <c r="AC431" s="424"/>
      <c r="AD431" s="424"/>
      <c r="AE431" s="424"/>
      <c r="AF431" s="424"/>
      <c r="AG431" s="424"/>
      <c r="AH431" s="424"/>
      <c r="AI431" s="424"/>
      <c r="AJ431" s="2"/>
      <c r="AK431" s="2"/>
      <c r="AL431" s="2"/>
      <c r="AM431" s="2"/>
      <c r="AN431" s="2"/>
      <c r="AO431" s="2"/>
      <c r="AP431" s="2"/>
      <c r="AQ431" s="427"/>
      <c r="AR431" s="754"/>
      <c r="AS431" s="427"/>
      <c r="AT431" s="754"/>
      <c r="AU431" s="427"/>
      <c r="AV431" s="427"/>
      <c r="AW431" s="427"/>
      <c r="AX431" s="427"/>
      <c r="AY431" s="754"/>
      <c r="AZ431" s="754"/>
      <c r="BA431" s="754"/>
      <c r="BB431" s="427"/>
      <c r="BC431" s="427"/>
      <c r="BD431" s="427"/>
      <c r="BE431" s="754"/>
      <c r="BF431" s="427"/>
      <c r="BG431" s="454"/>
      <c r="BH431" s="754"/>
      <c r="BI431" s="427"/>
      <c r="BJ431" s="427"/>
      <c r="BK431" s="427"/>
      <c r="BL431" s="427"/>
      <c r="BM431" s="454"/>
      <c r="BN431" s="427"/>
      <c r="BO431" s="427"/>
      <c r="BP431" s="427"/>
      <c r="BQ431" s="454"/>
      <c r="BR431" s="454"/>
      <c r="BS431" s="460"/>
      <c r="BT431" s="454"/>
      <c r="BU431" s="454"/>
      <c r="BV431" s="457"/>
      <c r="BW431" s="460"/>
      <c r="BX431" s="460"/>
      <c r="BY431" s="460"/>
      <c r="CA431" s="2"/>
      <c r="CB431" s="2"/>
      <c r="CC431" s="2"/>
      <c r="CD431" s="2"/>
      <c r="CE431" s="2"/>
      <c r="CF431" s="2"/>
      <c r="CG431" s="2"/>
      <c r="CH431" s="2"/>
      <c r="CI431" s="2"/>
      <c r="CJ431" s="2"/>
      <c r="CK431" s="2"/>
      <c r="CL431" s="2"/>
      <c r="CM431" s="2"/>
      <c r="CN431" s="2"/>
      <c r="CO431" s="427"/>
      <c r="CP431" s="427"/>
      <c r="CQ431" s="427"/>
      <c r="CR431" s="485"/>
      <c r="CS431" s="485"/>
      <c r="CT431" s="485"/>
      <c r="CU431" s="485"/>
      <c r="CV431" s="482"/>
      <c r="CW431" s="482"/>
      <c r="CX431" s="482"/>
      <c r="CY431" s="482"/>
      <c r="CZ431" s="485"/>
      <c r="DA431" s="485"/>
      <c r="DB431" s="485"/>
      <c r="DC431" s="485"/>
      <c r="DD431" s="485"/>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V431" s="2"/>
      <c r="EW431" s="485"/>
      <c r="EX431" s="485"/>
      <c r="EY431" s="457"/>
      <c r="EZ431" s="457"/>
      <c r="FA431" s="457"/>
      <c r="FB431" s="457"/>
      <c r="FC431" s="457"/>
      <c r="FD431" s="457"/>
      <c r="FE431" s="457"/>
      <c r="FF431" s="457"/>
      <c r="FG431" s="457"/>
      <c r="FH431" s="457"/>
      <c r="FI431" s="457"/>
      <c r="FJ431" s="457"/>
      <c r="FK431" s="457"/>
    </row>
    <row r="432" spans="1:167" s="416" customFormat="1">
      <c r="A432" s="427"/>
      <c r="B432" s="427"/>
      <c r="C432" s="427"/>
      <c r="D432" s="427"/>
      <c r="E432" s="428"/>
      <c r="F432" s="429"/>
      <c r="G432" s="430"/>
      <c r="H432" s="427"/>
      <c r="I432" s="427"/>
      <c r="J432" s="427"/>
      <c r="K432" s="427"/>
      <c r="L432" s="427"/>
      <c r="M432" s="427"/>
      <c r="N432" s="427"/>
      <c r="O432" s="427"/>
      <c r="P432" s="427"/>
      <c r="Q432" s="427"/>
      <c r="R432" s="427"/>
      <c r="S432" s="427"/>
      <c r="T432" s="427"/>
      <c r="U432" s="427"/>
      <c r="V432" s="428"/>
      <c r="W432" s="431"/>
      <c r="X432" s="3"/>
      <c r="Y432" s="429"/>
      <c r="Z432" s="430"/>
      <c r="AA432" s="430"/>
      <c r="AB432" s="430"/>
      <c r="AC432" s="424"/>
      <c r="AD432" s="424"/>
      <c r="AE432" s="424"/>
      <c r="AF432" s="424"/>
      <c r="AG432" s="424"/>
      <c r="AH432" s="424"/>
      <c r="AI432" s="424"/>
      <c r="AJ432" s="2"/>
      <c r="AK432" s="2"/>
      <c r="AL432" s="2"/>
      <c r="AM432" s="2"/>
      <c r="AN432" s="2"/>
      <c r="AO432" s="2"/>
      <c r="AP432" s="2"/>
      <c r="AQ432" s="427"/>
      <c r="AR432" s="754"/>
      <c r="AS432" s="427"/>
      <c r="AT432" s="754"/>
      <c r="AU432" s="427"/>
      <c r="AV432" s="427"/>
      <c r="AW432" s="427"/>
      <c r="AX432" s="427"/>
      <c r="AY432" s="754"/>
      <c r="AZ432" s="754"/>
      <c r="BA432" s="754"/>
      <c r="BB432" s="427"/>
      <c r="BC432" s="427"/>
      <c r="BD432" s="427"/>
      <c r="BE432" s="754"/>
      <c r="BF432" s="427"/>
      <c r="BG432" s="454"/>
      <c r="BH432" s="754"/>
      <c r="BI432" s="427"/>
      <c r="BJ432" s="427"/>
      <c r="BK432" s="427"/>
      <c r="BL432" s="427"/>
      <c r="BM432" s="454"/>
      <c r="BN432" s="427"/>
      <c r="BO432" s="427"/>
      <c r="BP432" s="427"/>
      <c r="BQ432" s="454"/>
      <c r="BR432" s="454"/>
      <c r="BS432" s="460"/>
      <c r="BT432" s="454"/>
      <c r="BU432" s="454"/>
      <c r="BV432" s="457"/>
      <c r="BW432" s="460"/>
      <c r="BX432" s="460"/>
      <c r="BY432" s="460"/>
      <c r="CA432" s="2"/>
      <c r="CB432" s="2"/>
      <c r="CC432" s="2"/>
      <c r="CD432" s="2"/>
      <c r="CE432" s="2"/>
      <c r="CF432" s="2"/>
      <c r="CG432" s="2"/>
      <c r="CH432" s="2"/>
      <c r="CI432" s="2"/>
      <c r="CJ432" s="2"/>
      <c r="CK432" s="2"/>
      <c r="CL432" s="2"/>
      <c r="CM432" s="2"/>
      <c r="CN432" s="2"/>
      <c r="CO432" s="427"/>
      <c r="CP432" s="427"/>
      <c r="CQ432" s="427"/>
      <c r="CR432" s="485"/>
      <c r="CS432" s="485"/>
      <c r="CT432" s="485"/>
      <c r="CU432" s="485"/>
      <c r="CV432" s="482"/>
      <c r="CW432" s="482"/>
      <c r="CX432" s="482"/>
      <c r="CY432" s="482"/>
      <c r="CZ432" s="485"/>
      <c r="DA432" s="485"/>
      <c r="DB432" s="485"/>
      <c r="DC432" s="485"/>
      <c r="DD432" s="485"/>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V432" s="2"/>
      <c r="EW432" s="485"/>
      <c r="EX432" s="485"/>
      <c r="EY432" s="457"/>
      <c r="EZ432" s="457"/>
      <c r="FA432" s="457"/>
      <c r="FB432" s="457"/>
      <c r="FC432" s="457"/>
      <c r="FD432" s="457"/>
      <c r="FE432" s="457"/>
      <c r="FF432" s="457"/>
      <c r="FG432" s="457"/>
      <c r="FH432" s="457"/>
      <c r="FI432" s="457"/>
      <c r="FJ432" s="457"/>
      <c r="FK432" s="457"/>
    </row>
    <row r="433" spans="1:167" s="416" customFormat="1">
      <c r="A433" s="427"/>
      <c r="B433" s="427"/>
      <c r="C433" s="427"/>
      <c r="D433" s="427"/>
      <c r="E433" s="428"/>
      <c r="F433" s="429"/>
      <c r="G433" s="430"/>
      <c r="H433" s="427"/>
      <c r="I433" s="427"/>
      <c r="J433" s="427"/>
      <c r="K433" s="427"/>
      <c r="L433" s="427"/>
      <c r="M433" s="427"/>
      <c r="N433" s="427"/>
      <c r="O433" s="427"/>
      <c r="P433" s="427"/>
      <c r="Q433" s="427"/>
      <c r="R433" s="427"/>
      <c r="S433" s="427"/>
      <c r="T433" s="427"/>
      <c r="U433" s="427"/>
      <c r="V433" s="428"/>
      <c r="W433" s="431"/>
      <c r="X433" s="3"/>
      <c r="Y433" s="429"/>
      <c r="Z433" s="430"/>
      <c r="AA433" s="430"/>
      <c r="AB433" s="430"/>
      <c r="AC433" s="424"/>
      <c r="AD433" s="424"/>
      <c r="AE433" s="424"/>
      <c r="AF433" s="424"/>
      <c r="AG433" s="424"/>
      <c r="AH433" s="424"/>
      <c r="AI433" s="424"/>
      <c r="AJ433" s="2"/>
      <c r="AK433" s="2"/>
      <c r="AL433" s="2"/>
      <c r="AM433" s="2"/>
      <c r="AN433" s="2"/>
      <c r="AO433" s="2"/>
      <c r="AP433" s="2"/>
      <c r="AQ433" s="427"/>
      <c r="AR433" s="754"/>
      <c r="AS433" s="427"/>
      <c r="AT433" s="754"/>
      <c r="AU433" s="427"/>
      <c r="AV433" s="427"/>
      <c r="AW433" s="427"/>
      <c r="AX433" s="427"/>
      <c r="AY433" s="754"/>
      <c r="AZ433" s="754"/>
      <c r="BA433" s="754"/>
      <c r="BB433" s="427"/>
      <c r="BC433" s="427"/>
      <c r="BD433" s="427"/>
      <c r="BE433" s="754"/>
      <c r="BF433" s="427"/>
      <c r="BG433" s="454"/>
      <c r="BH433" s="754"/>
      <c r="BI433" s="427"/>
      <c r="BJ433" s="427"/>
      <c r="BK433" s="427"/>
      <c r="BL433" s="427"/>
      <c r="BM433" s="454"/>
      <c r="BN433" s="427"/>
      <c r="BO433" s="427"/>
      <c r="BP433" s="427"/>
      <c r="BQ433" s="454"/>
      <c r="BR433" s="454"/>
      <c r="BS433" s="460"/>
      <c r="BT433" s="454"/>
      <c r="BU433" s="454"/>
      <c r="BV433" s="457"/>
      <c r="BW433" s="460"/>
      <c r="BX433" s="460"/>
      <c r="BY433" s="460"/>
      <c r="CA433" s="2"/>
      <c r="CB433" s="2"/>
      <c r="CC433" s="2"/>
      <c r="CD433" s="2"/>
      <c r="CE433" s="2"/>
      <c r="CF433" s="2"/>
      <c r="CG433" s="2"/>
      <c r="CH433" s="2"/>
      <c r="CI433" s="2"/>
      <c r="CJ433" s="2"/>
      <c r="CK433" s="2"/>
      <c r="CL433" s="2"/>
      <c r="CM433" s="2"/>
      <c r="CN433" s="2"/>
      <c r="CO433" s="427"/>
      <c r="CP433" s="427"/>
      <c r="CQ433" s="427"/>
      <c r="CR433" s="485"/>
      <c r="CS433" s="485"/>
      <c r="CT433" s="485"/>
      <c r="CU433" s="485"/>
      <c r="CV433" s="482"/>
      <c r="CW433" s="482"/>
      <c r="CX433" s="482"/>
      <c r="CY433" s="482"/>
      <c r="CZ433" s="485"/>
      <c r="DA433" s="485"/>
      <c r="DB433" s="485"/>
      <c r="DC433" s="485"/>
      <c r="DD433" s="485"/>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V433" s="2"/>
      <c r="EW433" s="485"/>
      <c r="EX433" s="485"/>
      <c r="EY433" s="457"/>
      <c r="EZ433" s="457"/>
      <c r="FA433" s="457"/>
      <c r="FB433" s="457"/>
      <c r="FC433" s="457"/>
      <c r="FD433" s="457"/>
      <c r="FE433" s="457"/>
      <c r="FF433" s="457"/>
      <c r="FG433" s="457"/>
      <c r="FH433" s="457"/>
      <c r="FI433" s="457"/>
      <c r="FJ433" s="457"/>
      <c r="FK433" s="457"/>
    </row>
    <row r="434" spans="1:167" s="416" customFormat="1">
      <c r="A434" s="427"/>
      <c r="B434" s="427"/>
      <c r="C434" s="427"/>
      <c r="D434" s="427"/>
      <c r="E434" s="428"/>
      <c r="F434" s="429"/>
      <c r="G434" s="430"/>
      <c r="H434" s="427"/>
      <c r="I434" s="427"/>
      <c r="J434" s="427"/>
      <c r="K434" s="427"/>
      <c r="L434" s="427"/>
      <c r="M434" s="427"/>
      <c r="N434" s="427"/>
      <c r="O434" s="427"/>
      <c r="P434" s="427"/>
      <c r="Q434" s="427"/>
      <c r="R434" s="427"/>
      <c r="S434" s="427"/>
      <c r="T434" s="427"/>
      <c r="U434" s="427"/>
      <c r="V434" s="428"/>
      <c r="W434" s="431"/>
      <c r="X434" s="3"/>
      <c r="Y434" s="429"/>
      <c r="Z434" s="430"/>
      <c r="AA434" s="430"/>
      <c r="AB434" s="430"/>
      <c r="AC434" s="424"/>
      <c r="AD434" s="424"/>
      <c r="AE434" s="424"/>
      <c r="AF434" s="424"/>
      <c r="AG434" s="424"/>
      <c r="AH434" s="424"/>
      <c r="AI434" s="424"/>
      <c r="AJ434" s="2"/>
      <c r="AK434" s="2"/>
      <c r="AL434" s="2"/>
      <c r="AM434" s="2"/>
      <c r="AN434" s="2"/>
      <c r="AO434" s="2"/>
      <c r="AP434" s="2"/>
      <c r="AQ434" s="427"/>
      <c r="AR434" s="754"/>
      <c r="AS434" s="427"/>
      <c r="AT434" s="754"/>
      <c r="AU434" s="427"/>
      <c r="AV434" s="427"/>
      <c r="AW434" s="427"/>
      <c r="AX434" s="427"/>
      <c r="AY434" s="754"/>
      <c r="AZ434" s="754"/>
      <c r="BA434" s="754"/>
      <c r="BB434" s="427"/>
      <c r="BC434" s="427"/>
      <c r="BD434" s="427"/>
      <c r="BE434" s="754"/>
      <c r="BF434" s="427"/>
      <c r="BG434" s="454"/>
      <c r="BH434" s="754"/>
      <c r="BI434" s="427"/>
      <c r="BJ434" s="427"/>
      <c r="BK434" s="427"/>
      <c r="BL434" s="427"/>
      <c r="BM434" s="454"/>
      <c r="BN434" s="427"/>
      <c r="BO434" s="427"/>
      <c r="BP434" s="427"/>
      <c r="BQ434" s="454"/>
      <c r="BR434" s="454"/>
      <c r="BS434" s="460"/>
      <c r="BT434" s="454"/>
      <c r="BU434" s="454"/>
      <c r="BV434" s="457"/>
      <c r="BW434" s="460"/>
      <c r="BX434" s="460"/>
      <c r="BY434" s="460"/>
      <c r="CA434" s="2"/>
      <c r="CB434" s="2"/>
      <c r="CC434" s="2"/>
      <c r="CD434" s="2"/>
      <c r="CE434" s="2"/>
      <c r="CF434" s="2"/>
      <c r="CG434" s="2"/>
      <c r="CH434" s="2"/>
      <c r="CI434" s="2"/>
      <c r="CJ434" s="2"/>
      <c r="CK434" s="2"/>
      <c r="CL434" s="2"/>
      <c r="CM434" s="2"/>
      <c r="CN434" s="2"/>
      <c r="CO434" s="427"/>
      <c r="CP434" s="427"/>
      <c r="CQ434" s="427"/>
      <c r="CR434" s="485"/>
      <c r="CS434" s="485"/>
      <c r="CT434" s="485"/>
      <c r="CU434" s="485"/>
      <c r="CV434" s="482"/>
      <c r="CW434" s="482"/>
      <c r="CX434" s="482"/>
      <c r="CY434" s="482"/>
      <c r="CZ434" s="485"/>
      <c r="DA434" s="485"/>
      <c r="DB434" s="485"/>
      <c r="DC434" s="485"/>
      <c r="DD434" s="485"/>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V434" s="2"/>
      <c r="EW434" s="485"/>
      <c r="EX434" s="485"/>
      <c r="EY434" s="457"/>
      <c r="EZ434" s="457"/>
      <c r="FA434" s="457"/>
      <c r="FB434" s="457"/>
      <c r="FC434" s="457"/>
      <c r="FD434" s="457"/>
      <c r="FE434" s="457"/>
      <c r="FF434" s="457"/>
      <c r="FG434" s="457"/>
      <c r="FH434" s="457"/>
      <c r="FI434" s="457"/>
      <c r="FJ434" s="457"/>
      <c r="FK434" s="457"/>
    </row>
    <row r="435" spans="1:167" s="416" customFormat="1">
      <c r="A435" s="427"/>
      <c r="B435" s="427"/>
      <c r="C435" s="427"/>
      <c r="D435" s="427"/>
      <c r="E435" s="428"/>
      <c r="F435" s="429"/>
      <c r="G435" s="430"/>
      <c r="H435" s="427"/>
      <c r="I435" s="427"/>
      <c r="J435" s="427"/>
      <c r="K435" s="427"/>
      <c r="L435" s="427"/>
      <c r="M435" s="427"/>
      <c r="N435" s="427"/>
      <c r="O435" s="427"/>
      <c r="P435" s="427"/>
      <c r="Q435" s="427"/>
      <c r="R435" s="427"/>
      <c r="S435" s="427"/>
      <c r="T435" s="427"/>
      <c r="U435" s="427"/>
      <c r="V435" s="428"/>
      <c r="W435" s="431"/>
      <c r="X435" s="3"/>
      <c r="Y435" s="429"/>
      <c r="Z435" s="430"/>
      <c r="AA435" s="430"/>
      <c r="AB435" s="430"/>
      <c r="AC435" s="424"/>
      <c r="AD435" s="424"/>
      <c r="AE435" s="424"/>
      <c r="AF435" s="424"/>
      <c r="AG435" s="424"/>
      <c r="AH435" s="424"/>
      <c r="AI435" s="424"/>
      <c r="AJ435" s="2"/>
      <c r="AK435" s="2"/>
      <c r="AL435" s="2"/>
      <c r="AM435" s="2"/>
      <c r="AN435" s="2"/>
      <c r="AO435" s="2"/>
      <c r="AP435" s="2"/>
      <c r="AQ435" s="427"/>
      <c r="AR435" s="754"/>
      <c r="AS435" s="427"/>
      <c r="AT435" s="754"/>
      <c r="AU435" s="427"/>
      <c r="AV435" s="427"/>
      <c r="AW435" s="427"/>
      <c r="AX435" s="427"/>
      <c r="AY435" s="754"/>
      <c r="AZ435" s="754"/>
      <c r="BA435" s="754"/>
      <c r="BB435" s="427"/>
      <c r="BC435" s="427"/>
      <c r="BD435" s="427"/>
      <c r="BE435" s="754"/>
      <c r="BF435" s="427"/>
      <c r="BG435" s="454"/>
      <c r="BH435" s="754"/>
      <c r="BI435" s="427"/>
      <c r="BJ435" s="427"/>
      <c r="BK435" s="427"/>
      <c r="BL435" s="427"/>
      <c r="BM435" s="454"/>
      <c r="BN435" s="427"/>
      <c r="BO435" s="427"/>
      <c r="BP435" s="427"/>
      <c r="BQ435" s="454"/>
      <c r="BR435" s="454"/>
      <c r="BS435" s="460"/>
      <c r="BT435" s="454"/>
      <c r="BU435" s="454"/>
      <c r="BV435" s="457"/>
      <c r="BW435" s="460"/>
      <c r="BX435" s="460"/>
      <c r="BY435" s="460"/>
      <c r="CA435" s="2"/>
      <c r="CB435" s="2"/>
      <c r="CC435" s="2"/>
      <c r="CD435" s="2"/>
      <c r="CE435" s="2"/>
      <c r="CF435" s="2"/>
      <c r="CG435" s="2"/>
      <c r="CH435" s="2"/>
      <c r="CI435" s="2"/>
      <c r="CJ435" s="2"/>
      <c r="CK435" s="2"/>
      <c r="CL435" s="2"/>
      <c r="CM435" s="2"/>
      <c r="CN435" s="2"/>
      <c r="CO435" s="427"/>
      <c r="CP435" s="427"/>
      <c r="CQ435" s="427"/>
      <c r="CR435" s="485"/>
      <c r="CS435" s="485"/>
      <c r="CT435" s="485"/>
      <c r="CU435" s="485"/>
      <c r="CV435" s="482"/>
      <c r="CW435" s="482"/>
      <c r="CX435" s="482"/>
      <c r="CY435" s="482"/>
      <c r="CZ435" s="485"/>
      <c r="DA435" s="485"/>
      <c r="DB435" s="485"/>
      <c r="DC435" s="485"/>
      <c r="DD435" s="485"/>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V435" s="2"/>
      <c r="EW435" s="485"/>
      <c r="EX435" s="485"/>
      <c r="EY435" s="457"/>
      <c r="EZ435" s="457"/>
      <c r="FA435" s="457"/>
      <c r="FB435" s="457"/>
      <c r="FC435" s="457"/>
      <c r="FD435" s="457"/>
      <c r="FE435" s="457"/>
      <c r="FF435" s="457"/>
      <c r="FG435" s="457"/>
      <c r="FH435" s="457"/>
      <c r="FI435" s="457"/>
      <c r="FJ435" s="457"/>
      <c r="FK435" s="457"/>
    </row>
    <row r="436" spans="1:167" s="416" customFormat="1">
      <c r="A436" s="427"/>
      <c r="B436" s="427"/>
      <c r="C436" s="427"/>
      <c r="D436" s="427"/>
      <c r="E436" s="428"/>
      <c r="F436" s="429"/>
      <c r="G436" s="430"/>
      <c r="H436" s="427"/>
      <c r="I436" s="427"/>
      <c r="J436" s="427"/>
      <c r="K436" s="427"/>
      <c r="L436" s="427"/>
      <c r="M436" s="427"/>
      <c r="N436" s="427"/>
      <c r="O436" s="427"/>
      <c r="P436" s="427"/>
      <c r="Q436" s="427"/>
      <c r="R436" s="427"/>
      <c r="S436" s="427"/>
      <c r="T436" s="427"/>
      <c r="U436" s="427"/>
      <c r="V436" s="428"/>
      <c r="W436" s="431"/>
      <c r="X436" s="3"/>
      <c r="Y436" s="429"/>
      <c r="Z436" s="430"/>
      <c r="AA436" s="430"/>
      <c r="AB436" s="430"/>
      <c r="AC436" s="424"/>
      <c r="AD436" s="424"/>
      <c r="AE436" s="424"/>
      <c r="AF436" s="424"/>
      <c r="AG436" s="424"/>
      <c r="AH436" s="424"/>
      <c r="AI436" s="424"/>
      <c r="AJ436" s="2"/>
      <c r="AK436" s="2"/>
      <c r="AL436" s="2"/>
      <c r="AM436" s="2"/>
      <c r="AN436" s="2"/>
      <c r="AO436" s="2"/>
      <c r="AP436" s="2"/>
      <c r="AQ436" s="427"/>
      <c r="AR436" s="754"/>
      <c r="AS436" s="427"/>
      <c r="AT436" s="754"/>
      <c r="AU436" s="427"/>
      <c r="AV436" s="427"/>
      <c r="AW436" s="427"/>
      <c r="AX436" s="427"/>
      <c r="AY436" s="754"/>
      <c r="AZ436" s="754"/>
      <c r="BA436" s="754"/>
      <c r="BB436" s="427"/>
      <c r="BC436" s="427"/>
      <c r="BD436" s="427"/>
      <c r="BE436" s="754"/>
      <c r="BF436" s="427"/>
      <c r="BG436" s="454"/>
      <c r="BH436" s="754"/>
      <c r="BI436" s="427"/>
      <c r="BJ436" s="427"/>
      <c r="BK436" s="427"/>
      <c r="BL436" s="427"/>
      <c r="BM436" s="454"/>
      <c r="BN436" s="427"/>
      <c r="BO436" s="427"/>
      <c r="BP436" s="427"/>
      <c r="BQ436" s="454"/>
      <c r="BR436" s="454"/>
      <c r="BS436" s="460"/>
      <c r="BT436" s="454"/>
      <c r="BU436" s="454"/>
      <c r="BV436" s="457"/>
      <c r="BW436" s="460"/>
      <c r="BX436" s="460"/>
      <c r="BY436" s="460"/>
      <c r="CA436" s="2"/>
      <c r="CB436" s="2"/>
      <c r="CC436" s="2"/>
      <c r="CD436" s="2"/>
      <c r="CE436" s="2"/>
      <c r="CF436" s="2"/>
      <c r="CG436" s="2"/>
      <c r="CH436" s="2"/>
      <c r="CI436" s="2"/>
      <c r="CJ436" s="2"/>
      <c r="CK436" s="2"/>
      <c r="CL436" s="2"/>
      <c r="CM436" s="2"/>
      <c r="CN436" s="2"/>
      <c r="CO436" s="427"/>
      <c r="CP436" s="427"/>
      <c r="CQ436" s="427"/>
      <c r="CR436" s="485"/>
      <c r="CS436" s="485"/>
      <c r="CT436" s="485"/>
      <c r="CU436" s="485"/>
      <c r="CV436" s="482"/>
      <c r="CW436" s="482"/>
      <c r="CX436" s="482"/>
      <c r="CY436" s="482"/>
      <c r="CZ436" s="485"/>
      <c r="DA436" s="485"/>
      <c r="DB436" s="485"/>
      <c r="DC436" s="485"/>
      <c r="DD436" s="485"/>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V436" s="2"/>
      <c r="EW436" s="485"/>
      <c r="EX436" s="485"/>
      <c r="EY436" s="457"/>
      <c r="EZ436" s="457"/>
      <c r="FA436" s="457"/>
      <c r="FB436" s="457"/>
      <c r="FC436" s="457"/>
      <c r="FD436" s="457"/>
      <c r="FE436" s="457"/>
      <c r="FF436" s="457"/>
      <c r="FG436" s="457"/>
      <c r="FH436" s="457"/>
      <c r="FI436" s="457"/>
      <c r="FJ436" s="457"/>
      <c r="FK436" s="457"/>
    </row>
    <row r="437" spans="1:167" s="416" customFormat="1">
      <c r="A437" s="427"/>
      <c r="B437" s="427"/>
      <c r="C437" s="427"/>
      <c r="D437" s="427"/>
      <c r="E437" s="428"/>
      <c r="F437" s="429"/>
      <c r="G437" s="430"/>
      <c r="H437" s="427"/>
      <c r="I437" s="427"/>
      <c r="J437" s="427"/>
      <c r="K437" s="427"/>
      <c r="L437" s="427"/>
      <c r="M437" s="427"/>
      <c r="N437" s="427"/>
      <c r="O437" s="427"/>
      <c r="P437" s="427"/>
      <c r="Q437" s="427"/>
      <c r="R437" s="427"/>
      <c r="S437" s="427"/>
      <c r="T437" s="427"/>
      <c r="U437" s="427"/>
      <c r="V437" s="428"/>
      <c r="W437" s="431"/>
      <c r="X437" s="3"/>
      <c r="Y437" s="429"/>
      <c r="Z437" s="430"/>
      <c r="AA437" s="430"/>
      <c r="AB437" s="430"/>
      <c r="AC437" s="424"/>
      <c r="AD437" s="424"/>
      <c r="AE437" s="424"/>
      <c r="AF437" s="424"/>
      <c r="AG437" s="424"/>
      <c r="AH437" s="424"/>
      <c r="AI437" s="424"/>
      <c r="AJ437" s="2"/>
      <c r="AK437" s="2"/>
      <c r="AL437" s="2"/>
      <c r="AM437" s="2"/>
      <c r="AN437" s="2"/>
      <c r="AO437" s="2"/>
      <c r="AP437" s="2"/>
      <c r="AQ437" s="427"/>
      <c r="AR437" s="754"/>
      <c r="AS437" s="427"/>
      <c r="AT437" s="754"/>
      <c r="AU437" s="427"/>
      <c r="AV437" s="427"/>
      <c r="AW437" s="427"/>
      <c r="AX437" s="427"/>
      <c r="AY437" s="754"/>
      <c r="AZ437" s="754"/>
      <c r="BA437" s="754"/>
      <c r="BB437" s="427"/>
      <c r="BC437" s="427"/>
      <c r="BD437" s="427"/>
      <c r="BE437" s="754"/>
      <c r="BF437" s="427"/>
      <c r="BG437" s="454"/>
      <c r="BH437" s="754"/>
      <c r="BI437" s="427"/>
      <c r="BJ437" s="427"/>
      <c r="BK437" s="427"/>
      <c r="BL437" s="427"/>
      <c r="BM437" s="454"/>
      <c r="BN437" s="427"/>
      <c r="BO437" s="427"/>
      <c r="BP437" s="427"/>
      <c r="BQ437" s="454"/>
      <c r="BR437" s="454"/>
      <c r="BS437" s="460"/>
      <c r="BT437" s="454"/>
      <c r="BU437" s="454"/>
      <c r="BV437" s="457"/>
      <c r="BW437" s="460"/>
      <c r="BX437" s="460"/>
      <c r="BY437" s="460"/>
      <c r="CA437" s="2"/>
      <c r="CB437" s="2"/>
      <c r="CC437" s="2"/>
      <c r="CD437" s="2"/>
      <c r="CE437" s="2"/>
      <c r="CF437" s="2"/>
      <c r="CG437" s="2"/>
      <c r="CH437" s="2"/>
      <c r="CI437" s="2"/>
      <c r="CJ437" s="2"/>
      <c r="CK437" s="2"/>
      <c r="CL437" s="2"/>
      <c r="CM437" s="2"/>
      <c r="CN437" s="2"/>
      <c r="CO437" s="427"/>
      <c r="CP437" s="427"/>
      <c r="CQ437" s="427"/>
      <c r="CR437" s="485"/>
      <c r="CS437" s="485"/>
      <c r="CT437" s="485"/>
      <c r="CU437" s="485"/>
      <c r="CV437" s="482"/>
      <c r="CW437" s="482"/>
      <c r="CX437" s="482"/>
      <c r="CY437" s="482"/>
      <c r="CZ437" s="485"/>
      <c r="DA437" s="485"/>
      <c r="DB437" s="485"/>
      <c r="DC437" s="485"/>
      <c r="DD437" s="485"/>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V437" s="2"/>
      <c r="EW437" s="485"/>
      <c r="EX437" s="485"/>
      <c r="EY437" s="457"/>
      <c r="EZ437" s="457"/>
      <c r="FA437" s="457"/>
      <c r="FB437" s="457"/>
      <c r="FC437" s="457"/>
      <c r="FD437" s="457"/>
      <c r="FE437" s="457"/>
      <c r="FF437" s="457"/>
      <c r="FG437" s="457"/>
      <c r="FH437" s="457"/>
      <c r="FI437" s="457"/>
      <c r="FJ437" s="457"/>
      <c r="FK437" s="457"/>
    </row>
    <row r="438" spans="1:167" s="416" customFormat="1">
      <c r="A438" s="427"/>
      <c r="B438" s="427"/>
      <c r="C438" s="427"/>
      <c r="D438" s="427"/>
      <c r="E438" s="428"/>
      <c r="F438" s="429"/>
      <c r="G438" s="430"/>
      <c r="H438" s="427"/>
      <c r="I438" s="427"/>
      <c r="J438" s="427"/>
      <c r="K438" s="427"/>
      <c r="L438" s="427"/>
      <c r="M438" s="427"/>
      <c r="N438" s="427"/>
      <c r="O438" s="427"/>
      <c r="P438" s="427"/>
      <c r="Q438" s="427"/>
      <c r="R438" s="427"/>
      <c r="S438" s="427"/>
      <c r="T438" s="427"/>
      <c r="U438" s="427"/>
      <c r="V438" s="428"/>
      <c r="W438" s="431"/>
      <c r="X438" s="3"/>
      <c r="Y438" s="429"/>
      <c r="Z438" s="430"/>
      <c r="AA438" s="430"/>
      <c r="AB438" s="430"/>
      <c r="AC438" s="424"/>
      <c r="AD438" s="424"/>
      <c r="AE438" s="424"/>
      <c r="AF438" s="424"/>
      <c r="AG438" s="424"/>
      <c r="AH438" s="424"/>
      <c r="AI438" s="424"/>
      <c r="AJ438" s="2"/>
      <c r="AK438" s="2"/>
      <c r="AL438" s="2"/>
      <c r="AM438" s="2"/>
      <c r="AN438" s="2"/>
      <c r="AO438" s="2"/>
      <c r="AP438" s="2"/>
      <c r="AQ438" s="427"/>
      <c r="AR438" s="754"/>
      <c r="AS438" s="427"/>
      <c r="AT438" s="754"/>
      <c r="AU438" s="427"/>
      <c r="AV438" s="427"/>
      <c r="AW438" s="427"/>
      <c r="AX438" s="427"/>
      <c r="AY438" s="754"/>
      <c r="AZ438" s="754"/>
      <c r="BA438" s="754"/>
      <c r="BB438" s="427"/>
      <c r="BC438" s="427"/>
      <c r="BD438" s="427"/>
      <c r="BE438" s="754"/>
      <c r="BF438" s="427"/>
      <c r="BG438" s="454"/>
      <c r="BH438" s="754"/>
      <c r="BI438" s="427"/>
      <c r="BJ438" s="427"/>
      <c r="BK438" s="427"/>
      <c r="BL438" s="427"/>
      <c r="BM438" s="454"/>
      <c r="BN438" s="427"/>
      <c r="BO438" s="427"/>
      <c r="BP438" s="427"/>
      <c r="BQ438" s="454"/>
      <c r="BR438" s="454"/>
      <c r="BS438" s="460"/>
      <c r="BT438" s="454"/>
      <c r="BU438" s="454"/>
      <c r="BV438" s="457"/>
      <c r="BW438" s="460"/>
      <c r="BX438" s="460"/>
      <c r="BY438" s="460"/>
      <c r="CA438" s="2"/>
      <c r="CB438" s="2"/>
      <c r="CC438" s="2"/>
      <c r="CD438" s="2"/>
      <c r="CE438" s="2"/>
      <c r="CF438" s="2"/>
      <c r="CG438" s="2"/>
      <c r="CH438" s="2"/>
      <c r="CI438" s="2"/>
      <c r="CJ438" s="2"/>
      <c r="CK438" s="2"/>
      <c r="CL438" s="2"/>
      <c r="CM438" s="2"/>
      <c r="CN438" s="2"/>
      <c r="CO438" s="427"/>
      <c r="CP438" s="427"/>
      <c r="CQ438" s="427"/>
      <c r="CR438" s="485"/>
      <c r="CS438" s="485"/>
      <c r="CT438" s="485"/>
      <c r="CU438" s="485"/>
      <c r="CV438" s="482"/>
      <c r="CW438" s="482"/>
      <c r="CX438" s="482"/>
      <c r="CY438" s="482"/>
      <c r="CZ438" s="485"/>
      <c r="DA438" s="485"/>
      <c r="DB438" s="485"/>
      <c r="DC438" s="485"/>
      <c r="DD438" s="485"/>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V438" s="2"/>
      <c r="EW438" s="485"/>
      <c r="EX438" s="485"/>
      <c r="EY438" s="457"/>
      <c r="EZ438" s="457"/>
      <c r="FA438" s="457"/>
      <c r="FB438" s="457"/>
      <c r="FC438" s="457"/>
      <c r="FD438" s="457"/>
      <c r="FE438" s="457"/>
      <c r="FF438" s="457"/>
      <c r="FG438" s="457"/>
      <c r="FH438" s="457"/>
      <c r="FI438" s="457"/>
      <c r="FJ438" s="457"/>
      <c r="FK438" s="457"/>
    </row>
    <row r="439" spans="1:167" s="416" customFormat="1">
      <c r="A439" s="427"/>
      <c r="B439" s="427"/>
      <c r="C439" s="427"/>
      <c r="D439" s="427"/>
      <c r="E439" s="428"/>
      <c r="F439" s="429"/>
      <c r="G439" s="430"/>
      <c r="H439" s="427"/>
      <c r="I439" s="427"/>
      <c r="J439" s="427"/>
      <c r="K439" s="427"/>
      <c r="L439" s="427"/>
      <c r="M439" s="427"/>
      <c r="N439" s="427"/>
      <c r="O439" s="427"/>
      <c r="P439" s="427"/>
      <c r="Q439" s="427"/>
      <c r="R439" s="427"/>
      <c r="S439" s="427"/>
      <c r="T439" s="427"/>
      <c r="U439" s="427"/>
      <c r="V439" s="428"/>
      <c r="W439" s="431"/>
      <c r="X439" s="3"/>
      <c r="Y439" s="429"/>
      <c r="Z439" s="430"/>
      <c r="AA439" s="430"/>
      <c r="AB439" s="430"/>
      <c r="AC439" s="424"/>
      <c r="AD439" s="424"/>
      <c r="AE439" s="424"/>
      <c r="AF439" s="424"/>
      <c r="AG439" s="424"/>
      <c r="AH439" s="424"/>
      <c r="AI439" s="424"/>
      <c r="AJ439" s="2"/>
      <c r="AK439" s="2"/>
      <c r="AL439" s="2"/>
      <c r="AM439" s="2"/>
      <c r="AN439" s="2"/>
      <c r="AO439" s="2"/>
      <c r="AP439" s="2"/>
      <c r="AQ439" s="427"/>
      <c r="AR439" s="754"/>
      <c r="AS439" s="427"/>
      <c r="AT439" s="754"/>
      <c r="AU439" s="427"/>
      <c r="AV439" s="427"/>
      <c r="AW439" s="427"/>
      <c r="AX439" s="427"/>
      <c r="AY439" s="754"/>
      <c r="AZ439" s="754"/>
      <c r="BA439" s="754"/>
      <c r="BB439" s="427"/>
      <c r="BC439" s="427"/>
      <c r="BD439" s="427"/>
      <c r="BE439" s="754"/>
      <c r="BF439" s="427"/>
      <c r="BG439" s="454"/>
      <c r="BH439" s="754"/>
      <c r="BI439" s="427"/>
      <c r="BJ439" s="427"/>
      <c r="BK439" s="427"/>
      <c r="BL439" s="427"/>
      <c r="BM439" s="454"/>
      <c r="BN439" s="427"/>
      <c r="BO439" s="427"/>
      <c r="BP439" s="427"/>
      <c r="BQ439" s="454"/>
      <c r="BR439" s="454"/>
      <c r="BS439" s="460"/>
      <c r="BT439" s="454"/>
      <c r="BU439" s="454"/>
      <c r="BV439" s="457"/>
      <c r="BW439" s="460"/>
      <c r="BX439" s="460"/>
      <c r="BY439" s="460"/>
      <c r="CA439" s="2"/>
      <c r="CB439" s="2"/>
      <c r="CC439" s="2"/>
      <c r="CD439" s="2"/>
      <c r="CE439" s="2"/>
      <c r="CF439" s="2"/>
      <c r="CG439" s="2"/>
      <c r="CH439" s="2"/>
      <c r="CI439" s="2"/>
      <c r="CJ439" s="2"/>
      <c r="CK439" s="2"/>
      <c r="CL439" s="2"/>
      <c r="CM439" s="2"/>
      <c r="CN439" s="2"/>
      <c r="CO439" s="427"/>
      <c r="CP439" s="427"/>
      <c r="CQ439" s="427"/>
      <c r="CR439" s="485"/>
      <c r="CS439" s="485"/>
      <c r="CT439" s="485"/>
      <c r="CU439" s="485"/>
      <c r="CV439" s="482"/>
      <c r="CW439" s="482"/>
      <c r="CX439" s="482"/>
      <c r="CY439" s="482"/>
      <c r="CZ439" s="485"/>
      <c r="DA439" s="485"/>
      <c r="DB439" s="485"/>
      <c r="DC439" s="485"/>
      <c r="DD439" s="485"/>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V439" s="2"/>
      <c r="EW439" s="485"/>
      <c r="EX439" s="485"/>
      <c r="EY439" s="457"/>
      <c r="EZ439" s="457"/>
      <c r="FA439" s="457"/>
      <c r="FB439" s="457"/>
      <c r="FC439" s="457"/>
      <c r="FD439" s="457"/>
      <c r="FE439" s="457"/>
      <c r="FF439" s="457"/>
      <c r="FG439" s="457"/>
      <c r="FH439" s="457"/>
      <c r="FI439" s="457"/>
      <c r="FJ439" s="457"/>
      <c r="FK439" s="457"/>
    </row>
    <row r="440" spans="1:167" s="416" customFormat="1">
      <c r="A440" s="427"/>
      <c r="B440" s="427"/>
      <c r="C440" s="427"/>
      <c r="D440" s="427"/>
      <c r="E440" s="428"/>
      <c r="F440" s="429"/>
      <c r="G440" s="430"/>
      <c r="H440" s="427"/>
      <c r="I440" s="427"/>
      <c r="J440" s="427"/>
      <c r="K440" s="427"/>
      <c r="L440" s="427"/>
      <c r="M440" s="427"/>
      <c r="N440" s="427"/>
      <c r="O440" s="427"/>
      <c r="P440" s="427"/>
      <c r="Q440" s="427"/>
      <c r="R440" s="427"/>
      <c r="S440" s="427"/>
      <c r="T440" s="427"/>
      <c r="U440" s="427"/>
      <c r="V440" s="428"/>
      <c r="W440" s="431"/>
      <c r="X440" s="3"/>
      <c r="Y440" s="429"/>
      <c r="Z440" s="430"/>
      <c r="AA440" s="430"/>
      <c r="AB440" s="430"/>
      <c r="AC440" s="424"/>
      <c r="AD440" s="424"/>
      <c r="AE440" s="424"/>
      <c r="AF440" s="424"/>
      <c r="AG440" s="424"/>
      <c r="AH440" s="424"/>
      <c r="AI440" s="424"/>
      <c r="AJ440" s="2"/>
      <c r="AK440" s="2"/>
      <c r="AL440" s="2"/>
      <c r="AM440" s="2"/>
      <c r="AN440" s="2"/>
      <c r="AO440" s="2"/>
      <c r="AP440" s="2"/>
      <c r="AQ440" s="427"/>
      <c r="AR440" s="754"/>
      <c r="AS440" s="427"/>
      <c r="AT440" s="754"/>
      <c r="AU440" s="427"/>
      <c r="AV440" s="427"/>
      <c r="AW440" s="427"/>
      <c r="AX440" s="427"/>
      <c r="AY440" s="754"/>
      <c r="AZ440" s="754"/>
      <c r="BA440" s="754"/>
      <c r="BB440" s="427"/>
      <c r="BC440" s="427"/>
      <c r="BD440" s="427"/>
      <c r="BE440" s="754"/>
      <c r="BF440" s="427"/>
      <c r="BG440" s="454"/>
      <c r="BH440" s="754"/>
      <c r="BI440" s="427"/>
      <c r="BJ440" s="427"/>
      <c r="BK440" s="427"/>
      <c r="BL440" s="427"/>
      <c r="BM440" s="454"/>
      <c r="BN440" s="427"/>
      <c r="BO440" s="427"/>
      <c r="BP440" s="427"/>
      <c r="BQ440" s="454"/>
      <c r="BR440" s="454"/>
      <c r="BS440" s="460"/>
      <c r="BT440" s="454"/>
      <c r="BU440" s="454"/>
      <c r="BV440" s="457"/>
      <c r="BW440" s="460"/>
      <c r="BX440" s="460"/>
      <c r="BY440" s="460"/>
      <c r="CA440" s="2"/>
      <c r="CB440" s="2"/>
      <c r="CC440" s="2"/>
      <c r="CD440" s="2"/>
      <c r="CE440" s="2"/>
      <c r="CF440" s="2"/>
      <c r="CG440" s="2"/>
      <c r="CH440" s="2"/>
      <c r="CI440" s="2"/>
      <c r="CJ440" s="2"/>
      <c r="CK440" s="2"/>
      <c r="CL440" s="2"/>
      <c r="CM440" s="2"/>
      <c r="CN440" s="2"/>
      <c r="CO440" s="427"/>
      <c r="CP440" s="427"/>
      <c r="CQ440" s="427"/>
      <c r="CR440" s="485"/>
      <c r="CS440" s="485"/>
      <c r="CT440" s="485"/>
      <c r="CU440" s="485"/>
      <c r="CV440" s="482"/>
      <c r="CW440" s="482"/>
      <c r="CX440" s="482"/>
      <c r="CY440" s="482"/>
      <c r="CZ440" s="485"/>
      <c r="DA440" s="485"/>
      <c r="DB440" s="485"/>
      <c r="DC440" s="485"/>
      <c r="DD440" s="485"/>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V440" s="2"/>
      <c r="EW440" s="485"/>
      <c r="EX440" s="485"/>
      <c r="EY440" s="457"/>
      <c r="EZ440" s="457"/>
      <c r="FA440" s="457"/>
      <c r="FB440" s="457"/>
      <c r="FC440" s="457"/>
      <c r="FD440" s="457"/>
      <c r="FE440" s="457"/>
      <c r="FF440" s="457"/>
      <c r="FG440" s="457"/>
      <c r="FH440" s="457"/>
      <c r="FI440" s="457"/>
      <c r="FJ440" s="457"/>
      <c r="FK440" s="457"/>
    </row>
    <row r="441" spans="1:167" s="416" customFormat="1">
      <c r="A441" s="427"/>
      <c r="B441" s="427"/>
      <c r="C441" s="427"/>
      <c r="D441" s="427"/>
      <c r="E441" s="428"/>
      <c r="F441" s="429"/>
      <c r="G441" s="430"/>
      <c r="H441" s="427"/>
      <c r="I441" s="427"/>
      <c r="J441" s="427"/>
      <c r="K441" s="427"/>
      <c r="L441" s="427"/>
      <c r="M441" s="427"/>
      <c r="N441" s="427"/>
      <c r="O441" s="427"/>
      <c r="P441" s="427"/>
      <c r="Q441" s="427"/>
      <c r="R441" s="427"/>
      <c r="S441" s="427"/>
      <c r="T441" s="427"/>
      <c r="U441" s="427"/>
      <c r="V441" s="428"/>
      <c r="W441" s="431"/>
      <c r="X441" s="3"/>
      <c r="Y441" s="429"/>
      <c r="Z441" s="430"/>
      <c r="AA441" s="430"/>
      <c r="AB441" s="430"/>
      <c r="AC441" s="424"/>
      <c r="AD441" s="424"/>
      <c r="AE441" s="424"/>
      <c r="AF441" s="424"/>
      <c r="AG441" s="424"/>
      <c r="AH441" s="424"/>
      <c r="AI441" s="424"/>
      <c r="AJ441" s="2"/>
      <c r="AK441" s="2"/>
      <c r="AL441" s="2"/>
      <c r="AM441" s="2"/>
      <c r="AN441" s="2"/>
      <c r="AO441" s="2"/>
      <c r="AP441" s="2"/>
      <c r="AQ441" s="427"/>
      <c r="AR441" s="754"/>
      <c r="AS441" s="427"/>
      <c r="AT441" s="754"/>
      <c r="AU441" s="427"/>
      <c r="AV441" s="427"/>
      <c r="AW441" s="427"/>
      <c r="AX441" s="427"/>
      <c r="AY441" s="754"/>
      <c r="AZ441" s="754"/>
      <c r="BA441" s="754"/>
      <c r="BB441" s="427"/>
      <c r="BC441" s="427"/>
      <c r="BD441" s="427"/>
      <c r="BE441" s="754"/>
      <c r="BF441" s="427"/>
      <c r="BG441" s="454"/>
      <c r="BH441" s="754"/>
      <c r="BI441" s="427"/>
      <c r="BJ441" s="427"/>
      <c r="BK441" s="427"/>
      <c r="BL441" s="427"/>
      <c r="BM441" s="454"/>
      <c r="BN441" s="427"/>
      <c r="BO441" s="427"/>
      <c r="BP441" s="427"/>
      <c r="BQ441" s="454"/>
      <c r="BR441" s="454"/>
      <c r="BS441" s="460"/>
      <c r="BT441" s="454"/>
      <c r="BU441" s="454"/>
      <c r="BV441" s="457"/>
      <c r="BW441" s="460"/>
      <c r="BX441" s="460"/>
      <c r="BY441" s="460"/>
      <c r="CA441" s="2"/>
      <c r="CB441" s="2"/>
      <c r="CC441" s="2"/>
      <c r="CD441" s="2"/>
      <c r="CE441" s="2"/>
      <c r="CF441" s="2"/>
      <c r="CG441" s="2"/>
      <c r="CH441" s="2"/>
      <c r="CI441" s="2"/>
      <c r="CJ441" s="2"/>
      <c r="CK441" s="2"/>
      <c r="CL441" s="2"/>
      <c r="CM441" s="2"/>
      <c r="CN441" s="2"/>
      <c r="CO441" s="427"/>
      <c r="CP441" s="427"/>
      <c r="CQ441" s="427"/>
      <c r="CR441" s="485"/>
      <c r="CS441" s="485"/>
      <c r="CT441" s="485"/>
      <c r="CU441" s="485"/>
      <c r="CV441" s="482"/>
      <c r="CW441" s="482"/>
      <c r="CX441" s="482"/>
      <c r="CY441" s="482"/>
      <c r="CZ441" s="485"/>
      <c r="DA441" s="485"/>
      <c r="DB441" s="485"/>
      <c r="DC441" s="485"/>
      <c r="DD441" s="485"/>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V441" s="2"/>
      <c r="EW441" s="485"/>
      <c r="EX441" s="485"/>
      <c r="EY441" s="457"/>
      <c r="EZ441" s="457"/>
      <c r="FA441" s="457"/>
      <c r="FB441" s="457"/>
      <c r="FC441" s="457"/>
      <c r="FD441" s="457"/>
      <c r="FE441" s="457"/>
      <c r="FF441" s="457"/>
      <c r="FG441" s="457"/>
      <c r="FH441" s="457"/>
      <c r="FI441" s="457"/>
      <c r="FJ441" s="457"/>
      <c r="FK441" s="457"/>
    </row>
    <row r="442" spans="1:167" s="416" customFormat="1">
      <c r="A442" s="427"/>
      <c r="B442" s="427"/>
      <c r="C442" s="427"/>
      <c r="D442" s="427"/>
      <c r="E442" s="428"/>
      <c r="F442" s="429"/>
      <c r="G442" s="430"/>
      <c r="H442" s="427"/>
      <c r="I442" s="427"/>
      <c r="J442" s="427"/>
      <c r="K442" s="427"/>
      <c r="L442" s="427"/>
      <c r="M442" s="427"/>
      <c r="N442" s="427"/>
      <c r="O442" s="427"/>
      <c r="P442" s="427"/>
      <c r="Q442" s="427"/>
      <c r="R442" s="427"/>
      <c r="S442" s="427"/>
      <c r="T442" s="427"/>
      <c r="U442" s="427"/>
      <c r="V442" s="428"/>
      <c r="W442" s="431"/>
      <c r="X442" s="3"/>
      <c r="Y442" s="429"/>
      <c r="Z442" s="430"/>
      <c r="AA442" s="430"/>
      <c r="AB442" s="430"/>
      <c r="AC442" s="424"/>
      <c r="AD442" s="424"/>
      <c r="AE442" s="424"/>
      <c r="AF442" s="424"/>
      <c r="AG442" s="424"/>
      <c r="AH442" s="424"/>
      <c r="AI442" s="424"/>
      <c r="AJ442" s="2"/>
      <c r="AK442" s="2"/>
      <c r="AL442" s="2"/>
      <c r="AM442" s="2"/>
      <c r="AN442" s="2"/>
      <c r="AO442" s="2"/>
      <c r="AP442" s="2"/>
      <c r="AQ442" s="427"/>
      <c r="AR442" s="754"/>
      <c r="AS442" s="427"/>
      <c r="AT442" s="754"/>
      <c r="AU442" s="427"/>
      <c r="AV442" s="427"/>
      <c r="AW442" s="427"/>
      <c r="AX442" s="427"/>
      <c r="AY442" s="754"/>
      <c r="AZ442" s="754"/>
      <c r="BA442" s="754"/>
      <c r="BB442" s="427"/>
      <c r="BC442" s="427"/>
      <c r="BD442" s="427"/>
      <c r="BE442" s="754"/>
      <c r="BF442" s="427"/>
      <c r="BG442" s="454"/>
      <c r="BH442" s="754"/>
      <c r="BI442" s="427"/>
      <c r="BJ442" s="427"/>
      <c r="BK442" s="427"/>
      <c r="BL442" s="427"/>
      <c r="BM442" s="454"/>
      <c r="BN442" s="427"/>
      <c r="BO442" s="427"/>
      <c r="BP442" s="427"/>
      <c r="BQ442" s="454"/>
      <c r="BR442" s="454"/>
      <c r="BS442" s="460"/>
      <c r="BT442" s="454"/>
      <c r="BU442" s="454"/>
      <c r="BV442" s="457"/>
      <c r="BW442" s="460"/>
      <c r="BX442" s="460"/>
      <c r="BY442" s="460"/>
      <c r="CA442" s="2"/>
      <c r="CB442" s="2"/>
      <c r="CC442" s="2"/>
      <c r="CD442" s="2"/>
      <c r="CE442" s="2"/>
      <c r="CF442" s="2"/>
      <c r="CG442" s="2"/>
      <c r="CH442" s="2"/>
      <c r="CI442" s="2"/>
      <c r="CJ442" s="2"/>
      <c r="CK442" s="2"/>
      <c r="CL442" s="2"/>
      <c r="CM442" s="2"/>
      <c r="CN442" s="2"/>
      <c r="CO442" s="427"/>
      <c r="CP442" s="427"/>
      <c r="CQ442" s="427"/>
      <c r="CR442" s="485"/>
      <c r="CS442" s="485"/>
      <c r="CT442" s="485"/>
      <c r="CU442" s="485"/>
      <c r="CV442" s="482"/>
      <c r="CW442" s="482"/>
      <c r="CX442" s="482"/>
      <c r="CY442" s="482"/>
      <c r="CZ442" s="485"/>
      <c r="DA442" s="485"/>
      <c r="DB442" s="485"/>
      <c r="DC442" s="485"/>
      <c r="DD442" s="485"/>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V442" s="2"/>
      <c r="EW442" s="485"/>
      <c r="EX442" s="485"/>
      <c r="EY442" s="457"/>
      <c r="EZ442" s="457"/>
      <c r="FA442" s="457"/>
      <c r="FB442" s="457"/>
      <c r="FC442" s="457"/>
      <c r="FD442" s="457"/>
      <c r="FE442" s="457"/>
      <c r="FF442" s="457"/>
      <c r="FG442" s="457"/>
      <c r="FH442" s="457"/>
      <c r="FI442" s="457"/>
      <c r="FJ442" s="457"/>
      <c r="FK442" s="457"/>
    </row>
    <row r="443" spans="1:167" s="416" customFormat="1">
      <c r="A443" s="427"/>
      <c r="B443" s="427"/>
      <c r="C443" s="427"/>
      <c r="D443" s="427"/>
      <c r="E443" s="428"/>
      <c r="F443" s="429"/>
      <c r="G443" s="430"/>
      <c r="H443" s="427"/>
      <c r="I443" s="427"/>
      <c r="J443" s="427"/>
      <c r="K443" s="427"/>
      <c r="L443" s="427"/>
      <c r="M443" s="427"/>
      <c r="N443" s="427"/>
      <c r="O443" s="427"/>
      <c r="P443" s="427"/>
      <c r="Q443" s="427"/>
      <c r="R443" s="427"/>
      <c r="S443" s="427"/>
      <c r="T443" s="427"/>
      <c r="U443" s="427"/>
      <c r="V443" s="428"/>
      <c r="W443" s="431"/>
      <c r="X443" s="3"/>
      <c r="Y443" s="429"/>
      <c r="Z443" s="430"/>
      <c r="AA443" s="430"/>
      <c r="AB443" s="430"/>
      <c r="AC443" s="424"/>
      <c r="AD443" s="424"/>
      <c r="AE443" s="424"/>
      <c r="AF443" s="424"/>
      <c r="AG443" s="424"/>
      <c r="AH443" s="424"/>
      <c r="AI443" s="424"/>
      <c r="AJ443" s="2"/>
      <c r="AK443" s="2"/>
      <c r="AL443" s="2"/>
      <c r="AM443" s="2"/>
      <c r="AN443" s="2"/>
      <c r="AO443" s="2"/>
      <c r="AP443" s="2"/>
      <c r="AQ443" s="427"/>
      <c r="AR443" s="754"/>
      <c r="AS443" s="427"/>
      <c r="AT443" s="754"/>
      <c r="AU443" s="427"/>
      <c r="AV443" s="427"/>
      <c r="AW443" s="427"/>
      <c r="AX443" s="427"/>
      <c r="AY443" s="754"/>
      <c r="AZ443" s="754"/>
      <c r="BA443" s="754"/>
      <c r="BB443" s="427"/>
      <c r="BC443" s="427"/>
      <c r="BD443" s="427"/>
      <c r="BE443" s="754"/>
      <c r="BF443" s="427"/>
      <c r="BG443" s="454"/>
      <c r="BH443" s="754"/>
      <c r="BI443" s="427"/>
      <c r="BJ443" s="427"/>
      <c r="BK443" s="427"/>
      <c r="BL443" s="427"/>
      <c r="BM443" s="454"/>
      <c r="BN443" s="427"/>
      <c r="BO443" s="427"/>
      <c r="BP443" s="427"/>
      <c r="BQ443" s="454"/>
      <c r="BR443" s="454"/>
      <c r="BS443" s="460"/>
      <c r="BT443" s="454"/>
      <c r="BU443" s="454"/>
      <c r="BV443" s="457"/>
      <c r="BW443" s="460"/>
      <c r="BX443" s="460"/>
      <c r="BY443" s="460"/>
      <c r="CA443" s="2"/>
      <c r="CB443" s="2"/>
      <c r="CC443" s="2"/>
      <c r="CD443" s="2"/>
      <c r="CE443" s="2"/>
      <c r="CF443" s="2"/>
      <c r="CG443" s="2"/>
      <c r="CH443" s="2"/>
      <c r="CI443" s="2"/>
      <c r="CJ443" s="2"/>
      <c r="CK443" s="2"/>
      <c r="CL443" s="2"/>
      <c r="CM443" s="2"/>
      <c r="CN443" s="2"/>
      <c r="CO443" s="427"/>
      <c r="CP443" s="427"/>
      <c r="CQ443" s="427"/>
      <c r="CR443" s="485"/>
      <c r="CS443" s="485"/>
      <c r="CT443" s="485"/>
      <c r="CU443" s="485"/>
      <c r="CV443" s="482"/>
      <c r="CW443" s="482"/>
      <c r="CX443" s="482"/>
      <c r="CY443" s="482"/>
      <c r="CZ443" s="485"/>
      <c r="DA443" s="485"/>
      <c r="DB443" s="485"/>
      <c r="DC443" s="485"/>
      <c r="DD443" s="485"/>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V443" s="2"/>
      <c r="EW443" s="485"/>
      <c r="EX443" s="485"/>
      <c r="EY443" s="457"/>
      <c r="EZ443" s="457"/>
      <c r="FA443" s="457"/>
      <c r="FB443" s="457"/>
      <c r="FC443" s="457"/>
      <c r="FD443" s="457"/>
      <c r="FE443" s="457"/>
      <c r="FF443" s="457"/>
      <c r="FG443" s="457"/>
      <c r="FH443" s="457"/>
      <c r="FI443" s="457"/>
      <c r="FJ443" s="457"/>
      <c r="FK443" s="457"/>
    </row>
    <row r="444" spans="1:167" s="416" customFormat="1">
      <c r="A444" s="427"/>
      <c r="B444" s="427"/>
      <c r="C444" s="427"/>
      <c r="D444" s="427"/>
      <c r="E444" s="428"/>
      <c r="F444" s="429"/>
      <c r="G444" s="430"/>
      <c r="H444" s="427"/>
      <c r="I444" s="427"/>
      <c r="J444" s="427"/>
      <c r="K444" s="427"/>
      <c r="L444" s="427"/>
      <c r="M444" s="427"/>
      <c r="N444" s="427"/>
      <c r="O444" s="427"/>
      <c r="P444" s="427"/>
      <c r="Q444" s="427"/>
      <c r="R444" s="427"/>
      <c r="S444" s="427"/>
      <c r="T444" s="427"/>
      <c r="U444" s="427"/>
      <c r="V444" s="428"/>
      <c r="W444" s="431"/>
      <c r="X444" s="3"/>
      <c r="Y444" s="429"/>
      <c r="Z444" s="430"/>
      <c r="AA444" s="430"/>
      <c r="AB444" s="430"/>
      <c r="AC444" s="424"/>
      <c r="AD444" s="424"/>
      <c r="AE444" s="424"/>
      <c r="AF444" s="424"/>
      <c r="AG444" s="424"/>
      <c r="AH444" s="424"/>
      <c r="AI444" s="424"/>
      <c r="AJ444" s="2"/>
      <c r="AK444" s="2"/>
      <c r="AL444" s="2"/>
      <c r="AM444" s="2"/>
      <c r="AN444" s="2"/>
      <c r="AO444" s="2"/>
      <c r="AP444" s="2"/>
      <c r="AQ444" s="427"/>
      <c r="AR444" s="754"/>
      <c r="AS444" s="427"/>
      <c r="AT444" s="754"/>
      <c r="AU444" s="427"/>
      <c r="AV444" s="427"/>
      <c r="AW444" s="427"/>
      <c r="AX444" s="427"/>
      <c r="AY444" s="754"/>
      <c r="AZ444" s="754"/>
      <c r="BA444" s="754"/>
      <c r="BB444" s="427"/>
      <c r="BC444" s="427"/>
      <c r="BD444" s="427"/>
      <c r="BE444" s="754"/>
      <c r="BF444" s="427"/>
      <c r="BG444" s="454"/>
      <c r="BH444" s="754"/>
      <c r="BI444" s="427"/>
      <c r="BJ444" s="427"/>
      <c r="BK444" s="427"/>
      <c r="BL444" s="427"/>
      <c r="BM444" s="454"/>
      <c r="BN444" s="427"/>
      <c r="BO444" s="427"/>
      <c r="BP444" s="427"/>
      <c r="BQ444" s="454"/>
      <c r="BR444" s="454"/>
      <c r="BS444" s="460"/>
      <c r="BT444" s="454"/>
      <c r="BU444" s="454"/>
      <c r="BV444" s="457"/>
      <c r="BW444" s="460"/>
      <c r="BX444" s="460"/>
      <c r="BY444" s="460"/>
      <c r="CA444" s="2"/>
      <c r="CB444" s="2"/>
      <c r="CC444" s="2"/>
      <c r="CD444" s="2"/>
      <c r="CE444" s="2"/>
      <c r="CF444" s="2"/>
      <c r="CG444" s="2"/>
      <c r="CH444" s="2"/>
      <c r="CI444" s="2"/>
      <c r="CJ444" s="2"/>
      <c r="CK444" s="2"/>
      <c r="CL444" s="2"/>
      <c r="CM444" s="2"/>
      <c r="CN444" s="2"/>
      <c r="CO444" s="427"/>
      <c r="CP444" s="427"/>
      <c r="CQ444" s="427"/>
      <c r="CR444" s="485"/>
      <c r="CS444" s="485"/>
      <c r="CT444" s="485"/>
      <c r="CU444" s="485"/>
      <c r="CV444" s="482"/>
      <c r="CW444" s="482"/>
      <c r="CX444" s="482"/>
      <c r="CY444" s="482"/>
      <c r="CZ444" s="485"/>
      <c r="DA444" s="485"/>
      <c r="DB444" s="485"/>
      <c r="DC444" s="485"/>
      <c r="DD444" s="485"/>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V444" s="2"/>
      <c r="EW444" s="485"/>
      <c r="EX444" s="485"/>
      <c r="EY444" s="457"/>
      <c r="EZ444" s="457"/>
      <c r="FA444" s="457"/>
      <c r="FB444" s="457"/>
      <c r="FC444" s="457"/>
      <c r="FD444" s="457"/>
      <c r="FE444" s="457"/>
      <c r="FF444" s="457"/>
      <c r="FG444" s="457"/>
      <c r="FH444" s="457"/>
      <c r="FI444" s="457"/>
      <c r="FJ444" s="457"/>
      <c r="FK444" s="457"/>
    </row>
    <row r="445" spans="1:167" s="416" customFormat="1">
      <c r="A445" s="427"/>
      <c r="B445" s="427"/>
      <c r="C445" s="427"/>
      <c r="D445" s="427"/>
      <c r="E445" s="428"/>
      <c r="F445" s="429"/>
      <c r="G445" s="430"/>
      <c r="H445" s="427"/>
      <c r="I445" s="427"/>
      <c r="J445" s="427"/>
      <c r="K445" s="427"/>
      <c r="L445" s="427"/>
      <c r="M445" s="427"/>
      <c r="N445" s="427"/>
      <c r="O445" s="427"/>
      <c r="P445" s="427"/>
      <c r="Q445" s="427"/>
      <c r="R445" s="427"/>
      <c r="S445" s="427"/>
      <c r="T445" s="427"/>
      <c r="U445" s="427"/>
      <c r="V445" s="428"/>
      <c r="W445" s="431"/>
      <c r="X445" s="3"/>
      <c r="Y445" s="429"/>
      <c r="Z445" s="430"/>
      <c r="AA445" s="430"/>
      <c r="AB445" s="430"/>
      <c r="AC445" s="424"/>
      <c r="AD445" s="424"/>
      <c r="AE445" s="424"/>
      <c r="AF445" s="424"/>
      <c r="AG445" s="424"/>
      <c r="AH445" s="424"/>
      <c r="AI445" s="424"/>
      <c r="AJ445" s="2"/>
      <c r="AK445" s="2"/>
      <c r="AL445" s="2"/>
      <c r="AM445" s="2"/>
      <c r="AN445" s="2"/>
      <c r="AO445" s="2"/>
      <c r="AP445" s="2"/>
      <c r="AQ445" s="427"/>
      <c r="AR445" s="754"/>
      <c r="AS445" s="427"/>
      <c r="AT445" s="754"/>
      <c r="AU445" s="427"/>
      <c r="AV445" s="427"/>
      <c r="AW445" s="427"/>
      <c r="AX445" s="427"/>
      <c r="AY445" s="754"/>
      <c r="AZ445" s="754"/>
      <c r="BA445" s="754"/>
      <c r="BB445" s="427"/>
      <c r="BC445" s="427"/>
      <c r="BD445" s="427"/>
      <c r="BE445" s="754"/>
      <c r="BF445" s="427"/>
      <c r="BG445" s="454"/>
      <c r="BH445" s="754"/>
      <c r="BI445" s="427"/>
      <c r="BJ445" s="427"/>
      <c r="BK445" s="427"/>
      <c r="BL445" s="427"/>
      <c r="BM445" s="454"/>
      <c r="BN445" s="427"/>
      <c r="BO445" s="427"/>
      <c r="BP445" s="427"/>
      <c r="BQ445" s="454"/>
      <c r="BR445" s="454"/>
      <c r="BS445" s="460"/>
      <c r="BT445" s="454"/>
      <c r="BU445" s="454"/>
      <c r="BV445" s="457"/>
      <c r="BW445" s="460"/>
      <c r="BX445" s="460"/>
      <c r="BY445" s="460"/>
      <c r="CA445" s="2"/>
      <c r="CB445" s="2"/>
      <c r="CC445" s="2"/>
      <c r="CD445" s="2"/>
      <c r="CE445" s="2"/>
      <c r="CF445" s="2"/>
      <c r="CG445" s="2"/>
      <c r="CH445" s="2"/>
      <c r="CI445" s="2"/>
      <c r="CJ445" s="2"/>
      <c r="CK445" s="2"/>
      <c r="CL445" s="2"/>
      <c r="CM445" s="2"/>
      <c r="CN445" s="2"/>
      <c r="CO445" s="427"/>
      <c r="CP445" s="427"/>
      <c r="CQ445" s="427"/>
      <c r="CR445" s="485"/>
      <c r="CS445" s="485"/>
      <c r="CT445" s="485"/>
      <c r="CU445" s="485"/>
      <c r="CV445" s="482"/>
      <c r="CW445" s="482"/>
      <c r="CX445" s="482"/>
      <c r="CY445" s="482"/>
      <c r="CZ445" s="485"/>
      <c r="DA445" s="485"/>
      <c r="DB445" s="485"/>
      <c r="DC445" s="485"/>
      <c r="DD445" s="485"/>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V445" s="2"/>
      <c r="EW445" s="485"/>
      <c r="EX445" s="485"/>
      <c r="EY445" s="457"/>
      <c r="EZ445" s="457"/>
      <c r="FA445" s="457"/>
      <c r="FB445" s="457"/>
      <c r="FC445" s="457"/>
      <c r="FD445" s="457"/>
      <c r="FE445" s="457"/>
      <c r="FF445" s="457"/>
      <c r="FG445" s="457"/>
      <c r="FH445" s="457"/>
      <c r="FI445" s="457"/>
      <c r="FJ445" s="457"/>
      <c r="FK445" s="457"/>
    </row>
    <row r="446" spans="1:167" s="416" customFormat="1">
      <c r="A446" s="427"/>
      <c r="B446" s="427"/>
      <c r="C446" s="427"/>
      <c r="D446" s="427"/>
      <c r="E446" s="428"/>
      <c r="F446" s="429"/>
      <c r="G446" s="430"/>
      <c r="H446" s="427"/>
      <c r="I446" s="427"/>
      <c r="J446" s="427"/>
      <c r="K446" s="427"/>
      <c r="L446" s="427"/>
      <c r="M446" s="427"/>
      <c r="N446" s="427"/>
      <c r="O446" s="427"/>
      <c r="P446" s="427"/>
      <c r="Q446" s="427"/>
      <c r="R446" s="427"/>
      <c r="S446" s="427"/>
      <c r="T446" s="427"/>
      <c r="U446" s="427"/>
      <c r="V446" s="428"/>
      <c r="W446" s="431"/>
      <c r="X446" s="3"/>
      <c r="Y446" s="429"/>
      <c r="Z446" s="430"/>
      <c r="AA446" s="430"/>
      <c r="AB446" s="430"/>
      <c r="AC446" s="424"/>
      <c r="AD446" s="424"/>
      <c r="AE446" s="424"/>
      <c r="AF446" s="424"/>
      <c r="AG446" s="424"/>
      <c r="AH446" s="424"/>
      <c r="AI446" s="424"/>
      <c r="AJ446" s="2"/>
      <c r="AK446" s="2"/>
      <c r="AL446" s="2"/>
      <c r="AM446" s="2"/>
      <c r="AN446" s="2"/>
      <c r="AO446" s="2"/>
      <c r="AP446" s="2"/>
      <c r="AQ446" s="427"/>
      <c r="AR446" s="754"/>
      <c r="AS446" s="427"/>
      <c r="AT446" s="754"/>
      <c r="AU446" s="427"/>
      <c r="AV446" s="427"/>
      <c r="AW446" s="427"/>
      <c r="AX446" s="427"/>
      <c r="AY446" s="754"/>
      <c r="AZ446" s="754"/>
      <c r="BA446" s="754"/>
      <c r="BB446" s="427"/>
      <c r="BC446" s="427"/>
      <c r="BD446" s="427"/>
      <c r="BE446" s="754"/>
      <c r="BF446" s="427"/>
      <c r="BG446" s="454"/>
      <c r="BH446" s="754"/>
      <c r="BI446" s="427"/>
      <c r="BJ446" s="427"/>
      <c r="BK446" s="427"/>
      <c r="BL446" s="427"/>
      <c r="BM446" s="454"/>
      <c r="BN446" s="427"/>
      <c r="BO446" s="427"/>
      <c r="BP446" s="427"/>
      <c r="BQ446" s="454"/>
      <c r="BR446" s="454"/>
      <c r="BS446" s="460"/>
      <c r="BT446" s="454"/>
      <c r="BU446" s="454"/>
      <c r="BV446" s="457"/>
      <c r="BW446" s="460"/>
      <c r="BX446" s="460"/>
      <c r="BY446" s="460"/>
      <c r="CA446" s="2"/>
      <c r="CB446" s="2"/>
      <c r="CC446" s="2"/>
      <c r="CD446" s="2"/>
      <c r="CE446" s="2"/>
      <c r="CF446" s="2"/>
      <c r="CG446" s="2"/>
      <c r="CH446" s="2"/>
      <c r="CI446" s="2"/>
      <c r="CJ446" s="2"/>
      <c r="CK446" s="2"/>
      <c r="CL446" s="2"/>
      <c r="CM446" s="2"/>
      <c r="CN446" s="2"/>
      <c r="CO446" s="427"/>
      <c r="CP446" s="427"/>
      <c r="CQ446" s="427"/>
      <c r="CR446" s="485"/>
      <c r="CS446" s="485"/>
      <c r="CT446" s="485"/>
      <c r="CU446" s="485"/>
      <c r="CV446" s="482"/>
      <c r="CW446" s="482"/>
      <c r="CX446" s="482"/>
      <c r="CY446" s="482"/>
      <c r="CZ446" s="485"/>
      <c r="DA446" s="485"/>
      <c r="DB446" s="485"/>
      <c r="DC446" s="485"/>
      <c r="DD446" s="485"/>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V446" s="2"/>
      <c r="EW446" s="485"/>
      <c r="EX446" s="485"/>
      <c r="EY446" s="457"/>
      <c r="EZ446" s="457"/>
      <c r="FA446" s="457"/>
      <c r="FB446" s="457"/>
      <c r="FC446" s="457"/>
      <c r="FD446" s="457"/>
      <c r="FE446" s="457"/>
      <c r="FF446" s="457"/>
      <c r="FG446" s="457"/>
      <c r="FH446" s="457"/>
      <c r="FI446" s="457"/>
      <c r="FJ446" s="457"/>
      <c r="FK446" s="457"/>
    </row>
    <row r="447" spans="1:167" s="416" customFormat="1">
      <c r="A447" s="427"/>
      <c r="B447" s="427"/>
      <c r="C447" s="427"/>
      <c r="D447" s="427"/>
      <c r="E447" s="428"/>
      <c r="F447" s="429"/>
      <c r="G447" s="430"/>
      <c r="H447" s="427"/>
      <c r="I447" s="427"/>
      <c r="J447" s="427"/>
      <c r="K447" s="427"/>
      <c r="L447" s="427"/>
      <c r="M447" s="427"/>
      <c r="N447" s="427"/>
      <c r="O447" s="427"/>
      <c r="P447" s="427"/>
      <c r="Q447" s="427"/>
      <c r="R447" s="427"/>
      <c r="S447" s="427"/>
      <c r="T447" s="427"/>
      <c r="U447" s="427"/>
      <c r="V447" s="428"/>
      <c r="W447" s="431"/>
      <c r="X447" s="3"/>
      <c r="Y447" s="429"/>
      <c r="Z447" s="430"/>
      <c r="AA447" s="430"/>
      <c r="AB447" s="430"/>
      <c r="AC447" s="424"/>
      <c r="AD447" s="424"/>
      <c r="AE447" s="424"/>
      <c r="AF447" s="424"/>
      <c r="AG447" s="424"/>
      <c r="AH447" s="424"/>
      <c r="AI447" s="424"/>
      <c r="AJ447" s="2"/>
      <c r="AK447" s="2"/>
      <c r="AL447" s="2"/>
      <c r="AM447" s="2"/>
      <c r="AN447" s="2"/>
      <c r="AO447" s="2"/>
      <c r="AP447" s="2"/>
      <c r="AQ447" s="427"/>
      <c r="AR447" s="754"/>
      <c r="AS447" s="427"/>
      <c r="AT447" s="754"/>
      <c r="AU447" s="427"/>
      <c r="AV447" s="427"/>
      <c r="AW447" s="427"/>
      <c r="AX447" s="427"/>
      <c r="AY447" s="754"/>
      <c r="AZ447" s="754"/>
      <c r="BA447" s="754"/>
      <c r="BB447" s="427"/>
      <c r="BC447" s="427"/>
      <c r="BD447" s="427"/>
      <c r="BE447" s="754"/>
      <c r="BF447" s="427"/>
      <c r="BG447" s="454"/>
      <c r="BH447" s="754"/>
      <c r="BI447" s="427"/>
      <c r="BJ447" s="427"/>
      <c r="BK447" s="427"/>
      <c r="BL447" s="427"/>
      <c r="BM447" s="454"/>
      <c r="BN447" s="427"/>
      <c r="BO447" s="427"/>
      <c r="BP447" s="427"/>
      <c r="BQ447" s="454"/>
      <c r="BR447" s="454"/>
      <c r="BS447" s="460"/>
      <c r="BT447" s="454"/>
      <c r="BU447" s="454"/>
      <c r="BV447" s="457"/>
      <c r="BW447" s="460"/>
      <c r="BX447" s="460"/>
      <c r="BY447" s="460"/>
      <c r="CA447" s="2"/>
      <c r="CB447" s="2"/>
      <c r="CC447" s="2"/>
      <c r="CD447" s="2"/>
      <c r="CE447" s="2"/>
      <c r="CF447" s="2"/>
      <c r="CG447" s="2"/>
      <c r="CH447" s="2"/>
      <c r="CI447" s="2"/>
      <c r="CJ447" s="2"/>
      <c r="CK447" s="2"/>
      <c r="CL447" s="2"/>
      <c r="CM447" s="2"/>
      <c r="CN447" s="2"/>
      <c r="CO447" s="427"/>
      <c r="CP447" s="427"/>
      <c r="CQ447" s="427"/>
      <c r="CR447" s="485"/>
      <c r="CS447" s="485"/>
      <c r="CT447" s="485"/>
      <c r="CU447" s="485"/>
      <c r="CV447" s="482"/>
      <c r="CW447" s="482"/>
      <c r="CX447" s="482"/>
      <c r="CY447" s="482"/>
      <c r="CZ447" s="485"/>
      <c r="DA447" s="485"/>
      <c r="DB447" s="485"/>
      <c r="DC447" s="485"/>
      <c r="DD447" s="485"/>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V447" s="2"/>
      <c r="EW447" s="485"/>
      <c r="EX447" s="485"/>
      <c r="EY447" s="457"/>
      <c r="EZ447" s="457"/>
      <c r="FA447" s="457"/>
      <c r="FB447" s="457"/>
      <c r="FC447" s="457"/>
      <c r="FD447" s="457"/>
      <c r="FE447" s="457"/>
      <c r="FF447" s="457"/>
      <c r="FG447" s="457"/>
      <c r="FH447" s="457"/>
      <c r="FI447" s="457"/>
      <c r="FJ447" s="457"/>
      <c r="FK447" s="457"/>
    </row>
    <row r="448" spans="1:167" s="416" customFormat="1">
      <c r="A448" s="427"/>
      <c r="B448" s="427"/>
      <c r="C448" s="427"/>
      <c r="D448" s="427"/>
      <c r="E448" s="428"/>
      <c r="F448" s="429"/>
      <c r="G448" s="430"/>
      <c r="H448" s="427"/>
      <c r="I448" s="427"/>
      <c r="J448" s="427"/>
      <c r="K448" s="427"/>
      <c r="L448" s="427"/>
      <c r="M448" s="427"/>
      <c r="N448" s="427"/>
      <c r="O448" s="427"/>
      <c r="P448" s="427"/>
      <c r="Q448" s="427"/>
      <c r="R448" s="427"/>
      <c r="S448" s="427"/>
      <c r="T448" s="427"/>
      <c r="U448" s="427"/>
      <c r="V448" s="428"/>
      <c r="W448" s="431"/>
      <c r="X448" s="3"/>
      <c r="Y448" s="429"/>
      <c r="Z448" s="430"/>
      <c r="AA448" s="430"/>
      <c r="AB448" s="430"/>
      <c r="AC448" s="424"/>
      <c r="AD448" s="424"/>
      <c r="AE448" s="424"/>
      <c r="AF448" s="424"/>
      <c r="AG448" s="424"/>
      <c r="AH448" s="424"/>
      <c r="AI448" s="424"/>
      <c r="AJ448" s="2"/>
      <c r="AK448" s="2"/>
      <c r="AL448" s="2"/>
      <c r="AM448" s="2"/>
      <c r="AN448" s="2"/>
      <c r="AO448" s="2"/>
      <c r="AP448" s="2"/>
      <c r="AQ448" s="427"/>
      <c r="AR448" s="754"/>
      <c r="AS448" s="427"/>
      <c r="AT448" s="754"/>
      <c r="AU448" s="427"/>
      <c r="AV448" s="427"/>
      <c r="AW448" s="427"/>
      <c r="AX448" s="427"/>
      <c r="AY448" s="754"/>
      <c r="AZ448" s="754"/>
      <c r="BA448" s="754"/>
      <c r="BB448" s="427"/>
      <c r="BC448" s="427"/>
      <c r="BD448" s="427"/>
      <c r="BE448" s="754"/>
      <c r="BF448" s="427"/>
      <c r="BG448" s="454"/>
      <c r="BH448" s="754"/>
      <c r="BI448" s="427"/>
      <c r="BJ448" s="427"/>
      <c r="BK448" s="427"/>
      <c r="BL448" s="427"/>
      <c r="BM448" s="454"/>
      <c r="BN448" s="427"/>
      <c r="BO448" s="427"/>
      <c r="BP448" s="427"/>
      <c r="BQ448" s="454"/>
      <c r="BR448" s="454"/>
      <c r="BS448" s="460"/>
      <c r="BT448" s="454"/>
      <c r="BU448" s="454"/>
      <c r="BV448" s="457"/>
      <c r="BW448" s="460"/>
      <c r="BX448" s="460"/>
      <c r="BY448" s="460"/>
      <c r="CA448" s="2"/>
      <c r="CB448" s="2"/>
      <c r="CC448" s="2"/>
      <c r="CD448" s="2"/>
      <c r="CE448" s="2"/>
      <c r="CF448" s="2"/>
      <c r="CG448" s="2"/>
      <c r="CH448" s="2"/>
      <c r="CI448" s="2"/>
      <c r="CJ448" s="2"/>
      <c r="CK448" s="2"/>
      <c r="CL448" s="2"/>
      <c r="CM448" s="2"/>
      <c r="CN448" s="2"/>
      <c r="CO448" s="427"/>
      <c r="CP448" s="427"/>
      <c r="CQ448" s="427"/>
      <c r="CR448" s="485"/>
      <c r="CS448" s="485"/>
      <c r="CT448" s="485"/>
      <c r="CU448" s="485"/>
      <c r="CV448" s="482"/>
      <c r="CW448" s="482"/>
      <c r="CX448" s="482"/>
      <c r="CY448" s="482"/>
      <c r="CZ448" s="485"/>
      <c r="DA448" s="485"/>
      <c r="DB448" s="485"/>
      <c r="DC448" s="485"/>
      <c r="DD448" s="485"/>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V448" s="2"/>
      <c r="EW448" s="485"/>
      <c r="EX448" s="485"/>
      <c r="EY448" s="457"/>
      <c r="EZ448" s="457"/>
      <c r="FA448" s="457"/>
      <c r="FB448" s="457"/>
      <c r="FC448" s="457"/>
      <c r="FD448" s="457"/>
      <c r="FE448" s="457"/>
      <c r="FF448" s="457"/>
      <c r="FG448" s="457"/>
      <c r="FH448" s="457"/>
      <c r="FI448" s="457"/>
      <c r="FJ448" s="457"/>
      <c r="FK448" s="457"/>
    </row>
    <row r="449" spans="1:167" s="416" customFormat="1">
      <c r="A449" s="427"/>
      <c r="B449" s="427"/>
      <c r="C449" s="427"/>
      <c r="D449" s="427"/>
      <c r="E449" s="428"/>
      <c r="F449" s="429"/>
      <c r="G449" s="430"/>
      <c r="H449" s="427"/>
      <c r="I449" s="427"/>
      <c r="J449" s="427"/>
      <c r="K449" s="427"/>
      <c r="L449" s="427"/>
      <c r="M449" s="427"/>
      <c r="N449" s="427"/>
      <c r="O449" s="427"/>
      <c r="P449" s="427"/>
      <c r="Q449" s="427"/>
      <c r="R449" s="427"/>
      <c r="S449" s="427"/>
      <c r="T449" s="427"/>
      <c r="U449" s="427"/>
      <c r="V449" s="428"/>
      <c r="W449" s="431"/>
      <c r="X449" s="3"/>
      <c r="Y449" s="429"/>
      <c r="Z449" s="430"/>
      <c r="AA449" s="430"/>
      <c r="AB449" s="430"/>
      <c r="AC449" s="424"/>
      <c r="AD449" s="424"/>
      <c r="AE449" s="424"/>
      <c r="AF449" s="424"/>
      <c r="AG449" s="424"/>
      <c r="AH449" s="424"/>
      <c r="AI449" s="424"/>
      <c r="AJ449" s="2"/>
      <c r="AK449" s="2"/>
      <c r="AL449" s="2"/>
      <c r="AM449" s="2"/>
      <c r="AN449" s="2"/>
      <c r="AO449" s="2"/>
      <c r="AP449" s="2"/>
      <c r="AQ449" s="427"/>
      <c r="AR449" s="754"/>
      <c r="AS449" s="427"/>
      <c r="AT449" s="754"/>
      <c r="AU449" s="427"/>
      <c r="AV449" s="427"/>
      <c r="AW449" s="427"/>
      <c r="AX449" s="427"/>
      <c r="AY449" s="754"/>
      <c r="AZ449" s="754"/>
      <c r="BA449" s="754"/>
      <c r="BB449" s="427"/>
      <c r="BC449" s="427"/>
      <c r="BD449" s="427"/>
      <c r="BE449" s="754"/>
      <c r="BF449" s="427"/>
      <c r="BG449" s="454"/>
      <c r="BH449" s="754"/>
      <c r="BI449" s="427"/>
      <c r="BJ449" s="427"/>
      <c r="BK449" s="427"/>
      <c r="BL449" s="427"/>
      <c r="BM449" s="454"/>
      <c r="BN449" s="427"/>
      <c r="BO449" s="427"/>
      <c r="BP449" s="427"/>
      <c r="BQ449" s="454"/>
      <c r="BR449" s="454"/>
      <c r="BS449" s="460"/>
      <c r="BT449" s="454"/>
      <c r="BU449" s="454"/>
      <c r="BV449" s="457"/>
      <c r="BW449" s="460"/>
      <c r="BX449" s="460"/>
      <c r="BY449" s="460"/>
      <c r="CA449" s="2"/>
      <c r="CB449" s="2"/>
      <c r="CC449" s="2"/>
      <c r="CD449" s="2"/>
      <c r="CE449" s="2"/>
      <c r="CF449" s="2"/>
      <c r="CG449" s="2"/>
      <c r="CH449" s="2"/>
      <c r="CI449" s="2"/>
      <c r="CJ449" s="2"/>
      <c r="CK449" s="2"/>
      <c r="CL449" s="2"/>
      <c r="CM449" s="2"/>
      <c r="CN449" s="2"/>
      <c r="CO449" s="427"/>
      <c r="CP449" s="427"/>
      <c r="CQ449" s="427"/>
      <c r="CR449" s="485"/>
      <c r="CS449" s="485"/>
      <c r="CT449" s="485"/>
      <c r="CU449" s="485"/>
      <c r="CV449" s="482"/>
      <c r="CW449" s="482"/>
      <c r="CX449" s="482"/>
      <c r="CY449" s="482"/>
      <c r="CZ449" s="485"/>
      <c r="DA449" s="485"/>
      <c r="DB449" s="485"/>
      <c r="DC449" s="485"/>
      <c r="DD449" s="485"/>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V449" s="2"/>
      <c r="EW449" s="485"/>
      <c r="EX449" s="485"/>
      <c r="EY449" s="457"/>
      <c r="EZ449" s="457"/>
      <c r="FA449" s="457"/>
      <c r="FB449" s="457"/>
      <c r="FC449" s="457"/>
      <c r="FD449" s="457"/>
      <c r="FE449" s="457"/>
      <c r="FF449" s="457"/>
      <c r="FG449" s="457"/>
      <c r="FH449" s="457"/>
      <c r="FI449" s="457"/>
      <c r="FJ449" s="457"/>
      <c r="FK449" s="457"/>
    </row>
    <row r="450" spans="1:167" s="416" customFormat="1">
      <c r="A450" s="427"/>
      <c r="B450" s="427"/>
      <c r="C450" s="427"/>
      <c r="D450" s="427"/>
      <c r="E450" s="428"/>
      <c r="F450" s="429"/>
      <c r="G450" s="430"/>
      <c r="H450" s="427"/>
      <c r="I450" s="427"/>
      <c r="J450" s="427"/>
      <c r="K450" s="427"/>
      <c r="L450" s="427"/>
      <c r="M450" s="427"/>
      <c r="N450" s="427"/>
      <c r="O450" s="427"/>
      <c r="P450" s="427"/>
      <c r="Q450" s="427"/>
      <c r="R450" s="427"/>
      <c r="S450" s="427"/>
      <c r="T450" s="427"/>
      <c r="U450" s="427"/>
      <c r="V450" s="428"/>
      <c r="W450" s="431"/>
      <c r="X450" s="3"/>
      <c r="Y450" s="429"/>
      <c r="Z450" s="430"/>
      <c r="AA450" s="430"/>
      <c r="AB450" s="430"/>
      <c r="AC450" s="424"/>
      <c r="AD450" s="424"/>
      <c r="AE450" s="424"/>
      <c r="AF450" s="424"/>
      <c r="AG450" s="424"/>
      <c r="AH450" s="424"/>
      <c r="AI450" s="424"/>
      <c r="AJ450" s="2"/>
      <c r="AK450" s="2"/>
      <c r="AL450" s="2"/>
      <c r="AM450" s="2"/>
      <c r="AN450" s="2"/>
      <c r="AO450" s="2"/>
      <c r="AP450" s="2"/>
      <c r="AQ450" s="427"/>
      <c r="AR450" s="754"/>
      <c r="AS450" s="427"/>
      <c r="AT450" s="754"/>
      <c r="AU450" s="427"/>
      <c r="AV450" s="427"/>
      <c r="AW450" s="427"/>
      <c r="AX450" s="427"/>
      <c r="AY450" s="754"/>
      <c r="AZ450" s="754"/>
      <c r="BA450" s="754"/>
      <c r="BB450" s="427"/>
      <c r="BC450" s="427"/>
      <c r="BD450" s="427"/>
      <c r="BE450" s="754"/>
      <c r="BF450" s="427"/>
      <c r="BG450" s="454"/>
      <c r="BH450" s="754"/>
      <c r="BI450" s="427"/>
      <c r="BJ450" s="427"/>
      <c r="BK450" s="427"/>
      <c r="BL450" s="427"/>
      <c r="BM450" s="454"/>
      <c r="BN450" s="427"/>
      <c r="BO450" s="427"/>
      <c r="BP450" s="427"/>
      <c r="BQ450" s="454"/>
      <c r="BR450" s="454"/>
      <c r="BS450" s="460"/>
      <c r="BT450" s="454"/>
      <c r="BU450" s="454"/>
      <c r="BV450" s="457"/>
      <c r="BW450" s="460"/>
      <c r="BX450" s="460"/>
      <c r="BY450" s="460"/>
      <c r="CA450" s="2"/>
      <c r="CB450" s="2"/>
      <c r="CC450" s="2"/>
      <c r="CD450" s="2"/>
      <c r="CE450" s="2"/>
      <c r="CF450" s="2"/>
      <c r="CG450" s="2"/>
      <c r="CH450" s="2"/>
      <c r="CI450" s="2"/>
      <c r="CJ450" s="2"/>
      <c r="CK450" s="2"/>
      <c r="CL450" s="2"/>
      <c r="CM450" s="2"/>
      <c r="CN450" s="2"/>
      <c r="CO450" s="427"/>
      <c r="CP450" s="427"/>
      <c r="CQ450" s="427"/>
      <c r="CR450" s="485"/>
      <c r="CS450" s="485"/>
      <c r="CT450" s="485"/>
      <c r="CU450" s="485"/>
      <c r="CV450" s="482"/>
      <c r="CW450" s="482"/>
      <c r="CX450" s="482"/>
      <c r="CY450" s="482"/>
      <c r="CZ450" s="485"/>
      <c r="DA450" s="485"/>
      <c r="DB450" s="485"/>
      <c r="DC450" s="485"/>
      <c r="DD450" s="485"/>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V450" s="2"/>
      <c r="EW450" s="485"/>
      <c r="EX450" s="485"/>
      <c r="EY450" s="457"/>
      <c r="EZ450" s="457"/>
      <c r="FA450" s="457"/>
      <c r="FB450" s="457"/>
      <c r="FC450" s="457"/>
      <c r="FD450" s="457"/>
      <c r="FE450" s="457"/>
      <c r="FF450" s="457"/>
      <c r="FG450" s="457"/>
      <c r="FH450" s="457"/>
      <c r="FI450" s="457"/>
      <c r="FJ450" s="457"/>
      <c r="FK450" s="457"/>
    </row>
    <row r="451" spans="1:167" s="416" customFormat="1">
      <c r="A451" s="427"/>
      <c r="B451" s="427"/>
      <c r="C451" s="427"/>
      <c r="D451" s="427"/>
      <c r="E451" s="428"/>
      <c r="F451" s="429"/>
      <c r="G451" s="430"/>
      <c r="H451" s="427"/>
      <c r="I451" s="427"/>
      <c r="J451" s="427"/>
      <c r="K451" s="427"/>
      <c r="L451" s="427"/>
      <c r="M451" s="427"/>
      <c r="N451" s="427"/>
      <c r="O451" s="427"/>
      <c r="P451" s="427"/>
      <c r="Q451" s="427"/>
      <c r="R451" s="427"/>
      <c r="S451" s="427"/>
      <c r="T451" s="427"/>
      <c r="U451" s="427"/>
      <c r="V451" s="428"/>
      <c r="W451" s="431"/>
      <c r="X451" s="3"/>
      <c r="Y451" s="429"/>
      <c r="Z451" s="430"/>
      <c r="AA451" s="430"/>
      <c r="AB451" s="430"/>
      <c r="AC451" s="424"/>
      <c r="AD451" s="424"/>
      <c r="AE451" s="424"/>
      <c r="AF451" s="424"/>
      <c r="AG451" s="424"/>
      <c r="AH451" s="424"/>
      <c r="AI451" s="424"/>
      <c r="AJ451" s="2"/>
      <c r="AK451" s="2"/>
      <c r="AL451" s="2"/>
      <c r="AM451" s="2"/>
      <c r="AN451" s="2"/>
      <c r="AO451" s="2"/>
      <c r="AP451" s="2"/>
      <c r="AQ451" s="427"/>
      <c r="AR451" s="754"/>
      <c r="AS451" s="427"/>
      <c r="AT451" s="754"/>
      <c r="AU451" s="427"/>
      <c r="AV451" s="427"/>
      <c r="AW451" s="427"/>
      <c r="AX451" s="427"/>
      <c r="AY451" s="754"/>
      <c r="AZ451" s="754"/>
      <c r="BA451" s="754"/>
      <c r="BB451" s="427"/>
      <c r="BC451" s="427"/>
      <c r="BD451" s="427"/>
      <c r="BE451" s="754"/>
      <c r="BF451" s="427"/>
      <c r="BG451" s="454"/>
      <c r="BH451" s="754"/>
      <c r="BI451" s="427"/>
      <c r="BJ451" s="427"/>
      <c r="BK451" s="427"/>
      <c r="BL451" s="427"/>
      <c r="BM451" s="454"/>
      <c r="BN451" s="427"/>
      <c r="BO451" s="427"/>
      <c r="BP451" s="427"/>
      <c r="BQ451" s="454"/>
      <c r="BR451" s="454"/>
      <c r="BS451" s="460"/>
      <c r="BT451" s="454"/>
      <c r="BU451" s="454"/>
      <c r="BV451" s="457"/>
      <c r="BW451" s="460"/>
      <c r="BX451" s="460"/>
      <c r="BY451" s="460"/>
      <c r="CA451" s="2"/>
      <c r="CB451" s="2"/>
      <c r="CC451" s="2"/>
      <c r="CD451" s="2"/>
      <c r="CE451" s="2"/>
      <c r="CF451" s="2"/>
      <c r="CG451" s="2"/>
      <c r="CH451" s="2"/>
      <c r="CI451" s="2"/>
      <c r="CJ451" s="2"/>
      <c r="CK451" s="2"/>
      <c r="CL451" s="2"/>
      <c r="CM451" s="2"/>
      <c r="CN451" s="2"/>
      <c r="CO451" s="427"/>
      <c r="CP451" s="427"/>
      <c r="CQ451" s="427"/>
      <c r="CR451" s="485"/>
      <c r="CS451" s="485"/>
      <c r="CT451" s="485"/>
      <c r="CU451" s="485"/>
      <c r="CV451" s="482"/>
      <c r="CW451" s="482"/>
      <c r="CX451" s="482"/>
      <c r="CY451" s="482"/>
      <c r="CZ451" s="485"/>
      <c r="DA451" s="485"/>
      <c r="DB451" s="485"/>
      <c r="DC451" s="485"/>
      <c r="DD451" s="485"/>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V451" s="2"/>
      <c r="EW451" s="485"/>
      <c r="EX451" s="485"/>
      <c r="EY451" s="457"/>
      <c r="EZ451" s="457"/>
      <c r="FA451" s="457"/>
      <c r="FB451" s="457"/>
      <c r="FC451" s="457"/>
      <c r="FD451" s="457"/>
      <c r="FE451" s="457"/>
      <c r="FF451" s="457"/>
      <c r="FG451" s="457"/>
      <c r="FH451" s="457"/>
      <c r="FI451" s="457"/>
      <c r="FJ451" s="457"/>
      <c r="FK451" s="457"/>
    </row>
    <row r="452" spans="1:167" s="416" customFormat="1">
      <c r="A452" s="427"/>
      <c r="B452" s="427"/>
      <c r="C452" s="427"/>
      <c r="D452" s="427"/>
      <c r="E452" s="428"/>
      <c r="F452" s="429"/>
      <c r="G452" s="430"/>
      <c r="H452" s="427"/>
      <c r="I452" s="427"/>
      <c r="J452" s="427"/>
      <c r="K452" s="427"/>
      <c r="L452" s="427"/>
      <c r="M452" s="427"/>
      <c r="N452" s="427"/>
      <c r="O452" s="427"/>
      <c r="P452" s="427"/>
      <c r="Q452" s="427"/>
      <c r="R452" s="427"/>
      <c r="S452" s="427"/>
      <c r="T452" s="427"/>
      <c r="U452" s="427"/>
      <c r="V452" s="428"/>
      <c r="W452" s="431"/>
      <c r="X452" s="3"/>
      <c r="Y452" s="429"/>
      <c r="Z452" s="430"/>
      <c r="AA452" s="430"/>
      <c r="AB452" s="430"/>
      <c r="AC452" s="424"/>
      <c r="AD452" s="424"/>
      <c r="AE452" s="424"/>
      <c r="AF452" s="424"/>
      <c r="AG452" s="424"/>
      <c r="AH452" s="424"/>
      <c r="AI452" s="424"/>
      <c r="AJ452" s="2"/>
      <c r="AK452" s="2"/>
      <c r="AL452" s="2"/>
      <c r="AM452" s="2"/>
      <c r="AN452" s="2"/>
      <c r="AO452" s="2"/>
      <c r="AP452" s="2"/>
      <c r="AQ452" s="427"/>
      <c r="AR452" s="754"/>
      <c r="AS452" s="427"/>
      <c r="AT452" s="754"/>
      <c r="AU452" s="427"/>
      <c r="AV452" s="427"/>
      <c r="AW452" s="427"/>
      <c r="AX452" s="427"/>
      <c r="AY452" s="754"/>
      <c r="AZ452" s="754"/>
      <c r="BA452" s="754"/>
      <c r="BB452" s="427"/>
      <c r="BC452" s="427"/>
      <c r="BD452" s="427"/>
      <c r="BE452" s="754"/>
      <c r="BF452" s="427"/>
      <c r="BG452" s="454"/>
      <c r="BH452" s="754"/>
      <c r="BI452" s="427"/>
      <c r="BJ452" s="427"/>
      <c r="BK452" s="427"/>
      <c r="BL452" s="427"/>
      <c r="BM452" s="454"/>
      <c r="BN452" s="427"/>
      <c r="BO452" s="427"/>
      <c r="BP452" s="427"/>
      <c r="BQ452" s="454"/>
      <c r="BR452" s="454"/>
      <c r="BS452" s="460"/>
      <c r="BT452" s="454"/>
      <c r="BU452" s="454"/>
      <c r="BV452" s="457"/>
      <c r="BW452" s="460"/>
      <c r="BX452" s="460"/>
      <c r="BY452" s="460"/>
      <c r="CA452" s="2"/>
      <c r="CB452" s="2"/>
      <c r="CC452" s="2"/>
      <c r="CD452" s="2"/>
      <c r="CE452" s="2"/>
      <c r="CF452" s="2"/>
      <c r="CG452" s="2"/>
      <c r="CH452" s="2"/>
      <c r="CI452" s="2"/>
      <c r="CJ452" s="2"/>
      <c r="CK452" s="2"/>
      <c r="CL452" s="2"/>
      <c r="CM452" s="2"/>
      <c r="CN452" s="2"/>
      <c r="CO452" s="427"/>
      <c r="CP452" s="427"/>
      <c r="CQ452" s="427"/>
      <c r="CR452" s="485"/>
      <c r="CS452" s="485"/>
      <c r="CT452" s="485"/>
      <c r="CU452" s="485"/>
      <c r="CV452" s="482"/>
      <c r="CW452" s="482"/>
      <c r="CX452" s="482"/>
      <c r="CY452" s="482"/>
      <c r="CZ452" s="485"/>
      <c r="DA452" s="485"/>
      <c r="DB452" s="485"/>
      <c r="DC452" s="485"/>
      <c r="DD452" s="485"/>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V452" s="2"/>
      <c r="EW452" s="485"/>
      <c r="EX452" s="485"/>
      <c r="EY452" s="457"/>
      <c r="EZ452" s="457"/>
      <c r="FA452" s="457"/>
      <c r="FB452" s="457"/>
      <c r="FC452" s="457"/>
      <c r="FD452" s="457"/>
      <c r="FE452" s="457"/>
      <c r="FF452" s="457"/>
      <c r="FG452" s="457"/>
      <c r="FH452" s="457"/>
      <c r="FI452" s="457"/>
      <c r="FJ452" s="457"/>
      <c r="FK452" s="457"/>
    </row>
    <row r="453" spans="1:167" s="416" customFormat="1">
      <c r="A453" s="427"/>
      <c r="B453" s="427"/>
      <c r="C453" s="427"/>
      <c r="D453" s="427"/>
      <c r="E453" s="428"/>
      <c r="F453" s="429"/>
      <c r="G453" s="430"/>
      <c r="H453" s="427"/>
      <c r="I453" s="427"/>
      <c r="J453" s="427"/>
      <c r="K453" s="427"/>
      <c r="L453" s="427"/>
      <c r="M453" s="427"/>
      <c r="N453" s="427"/>
      <c r="O453" s="427"/>
      <c r="P453" s="427"/>
      <c r="Q453" s="427"/>
      <c r="R453" s="427"/>
      <c r="S453" s="427"/>
      <c r="T453" s="427"/>
      <c r="U453" s="427"/>
      <c r="V453" s="428"/>
      <c r="W453" s="431"/>
      <c r="X453" s="3"/>
      <c r="Y453" s="429"/>
      <c r="Z453" s="430"/>
      <c r="AA453" s="430"/>
      <c r="AB453" s="430"/>
      <c r="AC453" s="424"/>
      <c r="AD453" s="424"/>
      <c r="AE453" s="424"/>
      <c r="AF453" s="424"/>
      <c r="AG453" s="424"/>
      <c r="AH453" s="424"/>
      <c r="AI453" s="424"/>
      <c r="AJ453" s="2"/>
      <c r="AK453" s="2"/>
      <c r="AL453" s="2"/>
      <c r="AM453" s="2"/>
      <c r="AN453" s="2"/>
      <c r="AO453" s="2"/>
      <c r="AP453" s="2"/>
      <c r="AQ453" s="427"/>
      <c r="AR453" s="754"/>
      <c r="AS453" s="427"/>
      <c r="AT453" s="754"/>
      <c r="AU453" s="427"/>
      <c r="AV453" s="427"/>
      <c r="AW453" s="427"/>
      <c r="AX453" s="427"/>
      <c r="AY453" s="754"/>
      <c r="AZ453" s="754"/>
      <c r="BA453" s="754"/>
      <c r="BB453" s="427"/>
      <c r="BC453" s="427"/>
      <c r="BD453" s="427"/>
      <c r="BE453" s="754"/>
      <c r="BF453" s="427"/>
      <c r="BG453" s="454"/>
      <c r="BH453" s="754"/>
      <c r="BI453" s="427"/>
      <c r="BJ453" s="427"/>
      <c r="BK453" s="427"/>
      <c r="BL453" s="427"/>
      <c r="BM453" s="454"/>
      <c r="BN453" s="427"/>
      <c r="BO453" s="427"/>
      <c r="BP453" s="427"/>
      <c r="BQ453" s="454"/>
      <c r="BR453" s="454"/>
      <c r="BS453" s="460"/>
      <c r="BT453" s="454"/>
      <c r="BU453" s="454"/>
      <c r="BV453" s="457"/>
      <c r="BW453" s="460"/>
      <c r="BX453" s="460"/>
      <c r="BY453" s="460"/>
      <c r="CA453" s="2"/>
      <c r="CB453" s="2"/>
      <c r="CC453" s="2"/>
      <c r="CD453" s="2"/>
      <c r="CE453" s="2"/>
      <c r="CF453" s="2"/>
      <c r="CG453" s="2"/>
      <c r="CH453" s="2"/>
      <c r="CI453" s="2"/>
      <c r="CJ453" s="2"/>
      <c r="CK453" s="2"/>
      <c r="CL453" s="2"/>
      <c r="CM453" s="2"/>
      <c r="CN453" s="2"/>
      <c r="CO453" s="427"/>
      <c r="CP453" s="427"/>
      <c r="CQ453" s="427"/>
      <c r="CR453" s="485"/>
      <c r="CS453" s="485"/>
      <c r="CT453" s="485"/>
      <c r="CU453" s="485"/>
      <c r="CV453" s="482"/>
      <c r="CW453" s="482"/>
      <c r="CX453" s="482"/>
      <c r="CY453" s="482"/>
      <c r="CZ453" s="485"/>
      <c r="DA453" s="485"/>
      <c r="DB453" s="485"/>
      <c r="DC453" s="485"/>
      <c r="DD453" s="485"/>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V453" s="2"/>
      <c r="EW453" s="485"/>
      <c r="EX453" s="485"/>
      <c r="EY453" s="457"/>
      <c r="EZ453" s="457"/>
      <c r="FA453" s="457"/>
      <c r="FB453" s="457"/>
      <c r="FC453" s="457"/>
      <c r="FD453" s="457"/>
      <c r="FE453" s="457"/>
      <c r="FF453" s="457"/>
      <c r="FG453" s="457"/>
      <c r="FH453" s="457"/>
      <c r="FI453" s="457"/>
      <c r="FJ453" s="457"/>
      <c r="FK453" s="457"/>
    </row>
    <row r="454" spans="1:167" s="416" customFormat="1">
      <c r="A454" s="427"/>
      <c r="B454" s="427"/>
      <c r="C454" s="427"/>
      <c r="D454" s="427"/>
      <c r="E454" s="428"/>
      <c r="F454" s="429"/>
      <c r="G454" s="430"/>
      <c r="H454" s="427"/>
      <c r="I454" s="427"/>
      <c r="J454" s="427"/>
      <c r="K454" s="427"/>
      <c r="L454" s="427"/>
      <c r="M454" s="427"/>
      <c r="N454" s="427"/>
      <c r="O454" s="427"/>
      <c r="P454" s="427"/>
      <c r="Q454" s="427"/>
      <c r="R454" s="427"/>
      <c r="S454" s="427"/>
      <c r="T454" s="427"/>
      <c r="U454" s="427"/>
      <c r="V454" s="428"/>
      <c r="W454" s="431"/>
      <c r="X454" s="3"/>
      <c r="Y454" s="429"/>
      <c r="Z454" s="430"/>
      <c r="AA454" s="430"/>
      <c r="AB454" s="430"/>
      <c r="AC454" s="424"/>
      <c r="AD454" s="424"/>
      <c r="AE454" s="424"/>
      <c r="AF454" s="424"/>
      <c r="AG454" s="424"/>
      <c r="AH454" s="424"/>
      <c r="AI454" s="424"/>
      <c r="AJ454" s="2"/>
      <c r="AK454" s="2"/>
      <c r="AL454" s="2"/>
      <c r="AM454" s="2"/>
      <c r="AN454" s="2"/>
      <c r="AO454" s="2"/>
      <c r="AP454" s="2"/>
      <c r="AQ454" s="427"/>
      <c r="AR454" s="754"/>
      <c r="AS454" s="427"/>
      <c r="AT454" s="754"/>
      <c r="AU454" s="427"/>
      <c r="AV454" s="427"/>
      <c r="AW454" s="427"/>
      <c r="AX454" s="427"/>
      <c r="AY454" s="754"/>
      <c r="AZ454" s="754"/>
      <c r="BA454" s="754"/>
      <c r="BB454" s="427"/>
      <c r="BC454" s="427"/>
      <c r="BD454" s="427"/>
      <c r="BE454" s="754"/>
      <c r="BF454" s="427"/>
      <c r="BG454" s="454"/>
      <c r="BH454" s="754"/>
      <c r="BI454" s="427"/>
      <c r="BJ454" s="427"/>
      <c r="BK454" s="427"/>
      <c r="BL454" s="427"/>
      <c r="BM454" s="454"/>
      <c r="BN454" s="427"/>
      <c r="BO454" s="427"/>
      <c r="BP454" s="427"/>
      <c r="BQ454" s="454"/>
      <c r="BR454" s="454"/>
      <c r="BS454" s="460"/>
      <c r="BT454" s="454"/>
      <c r="BU454" s="454"/>
      <c r="BV454" s="457"/>
      <c r="BW454" s="460"/>
      <c r="BX454" s="460"/>
      <c r="BY454" s="460"/>
      <c r="CA454" s="2"/>
      <c r="CB454" s="2"/>
      <c r="CC454" s="2"/>
      <c r="CD454" s="2"/>
      <c r="CE454" s="2"/>
      <c r="CF454" s="2"/>
      <c r="CG454" s="2"/>
      <c r="CH454" s="2"/>
      <c r="CI454" s="2"/>
      <c r="CJ454" s="2"/>
      <c r="CK454" s="2"/>
      <c r="CL454" s="2"/>
      <c r="CM454" s="2"/>
      <c r="CN454" s="2"/>
      <c r="CO454" s="427"/>
      <c r="CP454" s="427"/>
      <c r="CQ454" s="427"/>
      <c r="CR454" s="485"/>
      <c r="CS454" s="485"/>
      <c r="CT454" s="485"/>
      <c r="CU454" s="485"/>
      <c r="CV454" s="482"/>
      <c r="CW454" s="482"/>
      <c r="CX454" s="482"/>
      <c r="CY454" s="482"/>
      <c r="CZ454" s="485"/>
      <c r="DA454" s="485"/>
      <c r="DB454" s="485"/>
      <c r="DC454" s="485"/>
      <c r="DD454" s="485"/>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V454" s="2"/>
      <c r="EW454" s="485"/>
      <c r="EX454" s="485"/>
      <c r="EY454" s="457"/>
      <c r="EZ454" s="457"/>
      <c r="FA454" s="457"/>
      <c r="FB454" s="457"/>
      <c r="FC454" s="457"/>
      <c r="FD454" s="457"/>
      <c r="FE454" s="457"/>
      <c r="FF454" s="457"/>
      <c r="FG454" s="457"/>
      <c r="FH454" s="457"/>
      <c r="FI454" s="457"/>
      <c r="FJ454" s="457"/>
      <c r="FK454" s="457"/>
    </row>
    <row r="455" spans="1:167" s="416" customFormat="1">
      <c r="A455" s="427"/>
      <c r="B455" s="427"/>
      <c r="C455" s="427"/>
      <c r="D455" s="427"/>
      <c r="E455" s="428"/>
      <c r="F455" s="429"/>
      <c r="G455" s="430"/>
      <c r="H455" s="427"/>
      <c r="I455" s="427"/>
      <c r="J455" s="427"/>
      <c r="K455" s="427"/>
      <c r="L455" s="427"/>
      <c r="M455" s="427"/>
      <c r="N455" s="427"/>
      <c r="O455" s="427"/>
      <c r="P455" s="427"/>
      <c r="Q455" s="427"/>
      <c r="R455" s="427"/>
      <c r="S455" s="427"/>
      <c r="T455" s="427"/>
      <c r="U455" s="427"/>
      <c r="V455" s="428"/>
      <c r="W455" s="431"/>
      <c r="X455" s="3"/>
      <c r="Y455" s="429"/>
      <c r="Z455" s="430"/>
      <c r="AA455" s="430"/>
      <c r="AB455" s="430"/>
      <c r="AC455" s="424"/>
      <c r="AD455" s="424"/>
      <c r="AE455" s="424"/>
      <c r="AF455" s="424"/>
      <c r="AG455" s="424"/>
      <c r="AH455" s="424"/>
      <c r="AI455" s="424"/>
      <c r="AJ455" s="2"/>
      <c r="AK455" s="2"/>
      <c r="AL455" s="2"/>
      <c r="AM455" s="2"/>
      <c r="AN455" s="2"/>
      <c r="AO455" s="2"/>
      <c r="AP455" s="2"/>
      <c r="AQ455" s="427"/>
      <c r="AR455" s="754"/>
      <c r="AS455" s="427"/>
      <c r="AT455" s="754"/>
      <c r="AU455" s="427"/>
      <c r="AV455" s="427"/>
      <c r="AW455" s="427"/>
      <c r="AX455" s="427"/>
      <c r="AY455" s="754"/>
      <c r="AZ455" s="754"/>
      <c r="BA455" s="754"/>
      <c r="BB455" s="427"/>
      <c r="BC455" s="427"/>
      <c r="BD455" s="427"/>
      <c r="BE455" s="754"/>
      <c r="BF455" s="427"/>
      <c r="BG455" s="454"/>
      <c r="BH455" s="754"/>
      <c r="BI455" s="427"/>
      <c r="BJ455" s="427"/>
      <c r="BK455" s="427"/>
      <c r="BL455" s="427"/>
      <c r="BM455" s="454"/>
      <c r="BN455" s="427"/>
      <c r="BO455" s="427"/>
      <c r="BP455" s="427"/>
      <c r="BQ455" s="454"/>
      <c r="BR455" s="454"/>
      <c r="BS455" s="460"/>
      <c r="BT455" s="454"/>
      <c r="BU455" s="454"/>
      <c r="BV455" s="457"/>
      <c r="BW455" s="460"/>
      <c r="BX455" s="460"/>
      <c r="BY455" s="460"/>
      <c r="CA455" s="2"/>
      <c r="CB455" s="2"/>
      <c r="CC455" s="2"/>
      <c r="CD455" s="2"/>
      <c r="CE455" s="2"/>
      <c r="CF455" s="2"/>
      <c r="CG455" s="2"/>
      <c r="CH455" s="2"/>
      <c r="CI455" s="2"/>
      <c r="CJ455" s="2"/>
      <c r="CK455" s="2"/>
      <c r="CL455" s="2"/>
      <c r="CM455" s="2"/>
      <c r="CN455" s="2"/>
      <c r="CO455" s="427"/>
      <c r="CP455" s="427"/>
      <c r="CQ455" s="427"/>
      <c r="CR455" s="485"/>
      <c r="CS455" s="485"/>
      <c r="CT455" s="485"/>
      <c r="CU455" s="485"/>
      <c r="CV455" s="482"/>
      <c r="CW455" s="482"/>
      <c r="CX455" s="482"/>
      <c r="CY455" s="482"/>
      <c r="CZ455" s="485"/>
      <c r="DA455" s="485"/>
      <c r="DB455" s="485"/>
      <c r="DC455" s="485"/>
      <c r="DD455" s="485"/>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V455" s="2"/>
      <c r="EW455" s="485"/>
      <c r="EX455" s="485"/>
      <c r="EY455" s="457"/>
      <c r="EZ455" s="457"/>
      <c r="FA455" s="457"/>
      <c r="FB455" s="457"/>
      <c r="FC455" s="457"/>
      <c r="FD455" s="457"/>
      <c r="FE455" s="457"/>
      <c r="FF455" s="457"/>
      <c r="FG455" s="457"/>
      <c r="FH455" s="457"/>
      <c r="FI455" s="457"/>
      <c r="FJ455" s="457"/>
      <c r="FK455" s="457"/>
    </row>
    <row r="456" spans="1:167" s="416" customFormat="1">
      <c r="A456" s="427"/>
      <c r="B456" s="427"/>
      <c r="C456" s="427"/>
      <c r="D456" s="427"/>
      <c r="E456" s="428"/>
      <c r="F456" s="429"/>
      <c r="G456" s="430"/>
      <c r="H456" s="427"/>
      <c r="I456" s="427"/>
      <c r="J456" s="427"/>
      <c r="K456" s="427"/>
      <c r="L456" s="427"/>
      <c r="M456" s="427"/>
      <c r="N456" s="427"/>
      <c r="O456" s="427"/>
      <c r="P456" s="427"/>
      <c r="Q456" s="427"/>
      <c r="R456" s="427"/>
      <c r="S456" s="427"/>
      <c r="T456" s="427"/>
      <c r="U456" s="427"/>
      <c r="V456" s="428"/>
      <c r="W456" s="431"/>
      <c r="X456" s="3"/>
      <c r="Y456" s="429"/>
      <c r="Z456" s="430"/>
      <c r="AA456" s="430"/>
      <c r="AB456" s="430"/>
      <c r="AC456" s="424"/>
      <c r="AD456" s="424"/>
      <c r="AE456" s="424"/>
      <c r="AF456" s="424"/>
      <c r="AG456" s="424"/>
      <c r="AH456" s="424"/>
      <c r="AI456" s="424"/>
      <c r="AJ456" s="2"/>
      <c r="AK456" s="2"/>
      <c r="AL456" s="2"/>
      <c r="AM456" s="2"/>
      <c r="AN456" s="2"/>
      <c r="AO456" s="2"/>
      <c r="AP456" s="2"/>
      <c r="AQ456" s="427"/>
      <c r="AR456" s="754"/>
      <c r="AS456" s="427"/>
      <c r="AT456" s="754"/>
      <c r="AU456" s="427"/>
      <c r="AV456" s="427"/>
      <c r="AW456" s="427"/>
      <c r="AX456" s="427"/>
      <c r="AY456" s="754"/>
      <c r="AZ456" s="754"/>
      <c r="BA456" s="754"/>
      <c r="BB456" s="427"/>
      <c r="BC456" s="427"/>
      <c r="BD456" s="427"/>
      <c r="BE456" s="754"/>
      <c r="BF456" s="427"/>
      <c r="BG456" s="454"/>
      <c r="BH456" s="754"/>
      <c r="BI456" s="427"/>
      <c r="BJ456" s="427"/>
      <c r="BK456" s="427"/>
      <c r="BL456" s="427"/>
      <c r="BM456" s="454"/>
      <c r="BN456" s="427"/>
      <c r="BO456" s="427"/>
      <c r="BP456" s="427"/>
      <c r="BQ456" s="454"/>
      <c r="BR456" s="454"/>
      <c r="BS456" s="460"/>
      <c r="BT456" s="454"/>
      <c r="BU456" s="454"/>
      <c r="BV456" s="457"/>
      <c r="BW456" s="460"/>
      <c r="BX456" s="460"/>
      <c r="BY456" s="460"/>
      <c r="CA456" s="2"/>
      <c r="CB456" s="2"/>
      <c r="CC456" s="2"/>
      <c r="CD456" s="2"/>
      <c r="CE456" s="2"/>
      <c r="CF456" s="2"/>
      <c r="CG456" s="2"/>
      <c r="CH456" s="2"/>
      <c r="CI456" s="2"/>
      <c r="CJ456" s="2"/>
      <c r="CK456" s="2"/>
      <c r="CL456" s="2"/>
      <c r="CM456" s="2"/>
      <c r="CN456" s="2"/>
      <c r="CO456" s="427"/>
      <c r="CP456" s="427"/>
      <c r="CQ456" s="427"/>
      <c r="CR456" s="485"/>
      <c r="CS456" s="485"/>
      <c r="CT456" s="485"/>
      <c r="CU456" s="485"/>
      <c r="CV456" s="482"/>
      <c r="CW456" s="482"/>
      <c r="CX456" s="482"/>
      <c r="CY456" s="482"/>
      <c r="CZ456" s="485"/>
      <c r="DA456" s="485"/>
      <c r="DB456" s="485"/>
      <c r="DC456" s="485"/>
      <c r="DD456" s="485"/>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V456" s="2"/>
      <c r="EW456" s="485"/>
      <c r="EX456" s="485"/>
      <c r="EY456" s="457"/>
      <c r="EZ456" s="457"/>
      <c r="FA456" s="457"/>
      <c r="FB456" s="457"/>
      <c r="FC456" s="457"/>
      <c r="FD456" s="457"/>
      <c r="FE456" s="457"/>
      <c r="FF456" s="457"/>
      <c r="FG456" s="457"/>
      <c r="FH456" s="457"/>
      <c r="FI456" s="457"/>
      <c r="FJ456" s="457"/>
      <c r="FK456" s="457"/>
    </row>
    <row r="457" spans="1:167" s="416" customFormat="1">
      <c r="A457" s="427"/>
      <c r="B457" s="427"/>
      <c r="C457" s="427"/>
      <c r="D457" s="427"/>
      <c r="E457" s="428"/>
      <c r="F457" s="429"/>
      <c r="G457" s="430"/>
      <c r="H457" s="427"/>
      <c r="I457" s="427"/>
      <c r="J457" s="427"/>
      <c r="K457" s="427"/>
      <c r="L457" s="427"/>
      <c r="M457" s="427"/>
      <c r="N457" s="427"/>
      <c r="O457" s="427"/>
      <c r="P457" s="427"/>
      <c r="Q457" s="427"/>
      <c r="R457" s="427"/>
      <c r="S457" s="427"/>
      <c r="T457" s="427"/>
      <c r="U457" s="427"/>
      <c r="V457" s="428"/>
      <c r="W457" s="431"/>
      <c r="X457" s="3"/>
      <c r="Y457" s="429"/>
      <c r="Z457" s="430"/>
      <c r="AA457" s="430"/>
      <c r="AB457" s="430"/>
      <c r="AC457" s="424"/>
      <c r="AD457" s="424"/>
      <c r="AE457" s="424"/>
      <c r="AF457" s="424"/>
      <c r="AG457" s="424"/>
      <c r="AH457" s="424"/>
      <c r="AI457" s="424"/>
      <c r="AJ457" s="2"/>
      <c r="AK457" s="2"/>
      <c r="AL457" s="2"/>
      <c r="AM457" s="2"/>
      <c r="AN457" s="2"/>
      <c r="AO457" s="2"/>
      <c r="AP457" s="2"/>
      <c r="AQ457" s="427"/>
      <c r="AR457" s="754"/>
      <c r="AS457" s="427"/>
      <c r="AT457" s="754"/>
      <c r="AU457" s="427"/>
      <c r="AV457" s="427"/>
      <c r="AW457" s="427"/>
      <c r="AX457" s="427"/>
      <c r="AY457" s="754"/>
      <c r="AZ457" s="754"/>
      <c r="BA457" s="754"/>
      <c r="BB457" s="427"/>
      <c r="BC457" s="427"/>
      <c r="BD457" s="427"/>
      <c r="BE457" s="754"/>
      <c r="BF457" s="427"/>
      <c r="BG457" s="454"/>
      <c r="BH457" s="754"/>
      <c r="BI457" s="427"/>
      <c r="BJ457" s="427"/>
      <c r="BK457" s="427"/>
      <c r="BL457" s="427"/>
      <c r="BM457" s="454"/>
      <c r="BN457" s="427"/>
      <c r="BO457" s="427"/>
      <c r="BP457" s="427"/>
      <c r="BQ457" s="454"/>
      <c r="BR457" s="454"/>
      <c r="BS457" s="460"/>
      <c r="BT457" s="454"/>
      <c r="BU457" s="454"/>
      <c r="BV457" s="457"/>
      <c r="BW457" s="460"/>
      <c r="BX457" s="460"/>
      <c r="BY457" s="460"/>
      <c r="CA457" s="2"/>
      <c r="CB457" s="2"/>
      <c r="CC457" s="2"/>
      <c r="CD457" s="2"/>
      <c r="CE457" s="2"/>
      <c r="CF457" s="2"/>
      <c r="CG457" s="2"/>
      <c r="CH457" s="2"/>
      <c r="CI457" s="2"/>
      <c r="CJ457" s="2"/>
      <c r="CK457" s="2"/>
      <c r="CL457" s="2"/>
      <c r="CM457" s="2"/>
      <c r="CN457" s="2"/>
      <c r="CO457" s="427"/>
      <c r="CP457" s="427"/>
      <c r="CQ457" s="427"/>
      <c r="CR457" s="485"/>
      <c r="CS457" s="485"/>
      <c r="CT457" s="485"/>
      <c r="CU457" s="485"/>
      <c r="CV457" s="482"/>
      <c r="CW457" s="482"/>
      <c r="CX457" s="482"/>
      <c r="CY457" s="482"/>
      <c r="CZ457" s="485"/>
      <c r="DA457" s="485"/>
      <c r="DB457" s="485"/>
      <c r="DC457" s="485"/>
      <c r="DD457" s="485"/>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V457" s="2"/>
      <c r="EW457" s="485"/>
      <c r="EX457" s="485"/>
      <c r="EY457" s="457"/>
      <c r="EZ457" s="457"/>
      <c r="FA457" s="457"/>
      <c r="FB457" s="457"/>
      <c r="FC457" s="457"/>
      <c r="FD457" s="457"/>
      <c r="FE457" s="457"/>
      <c r="FF457" s="457"/>
      <c r="FG457" s="457"/>
      <c r="FH457" s="457"/>
      <c r="FI457" s="457"/>
      <c r="FJ457" s="457"/>
      <c r="FK457" s="457"/>
    </row>
    <row r="458" spans="1:167" s="416" customFormat="1">
      <c r="A458" s="427"/>
      <c r="B458" s="427"/>
      <c r="C458" s="427"/>
      <c r="D458" s="427"/>
      <c r="E458" s="428"/>
      <c r="F458" s="429"/>
      <c r="G458" s="430"/>
      <c r="H458" s="427"/>
      <c r="I458" s="427"/>
      <c r="J458" s="427"/>
      <c r="K458" s="427"/>
      <c r="L458" s="427"/>
      <c r="M458" s="427"/>
      <c r="N458" s="427"/>
      <c r="O458" s="427"/>
      <c r="P458" s="427"/>
      <c r="Q458" s="427"/>
      <c r="R458" s="427"/>
      <c r="S458" s="427"/>
      <c r="T458" s="427"/>
      <c r="U458" s="427"/>
      <c r="V458" s="428"/>
      <c r="W458" s="431"/>
      <c r="X458" s="3"/>
      <c r="Y458" s="429"/>
      <c r="Z458" s="430"/>
      <c r="AA458" s="430"/>
      <c r="AB458" s="430"/>
      <c r="AC458" s="424"/>
      <c r="AD458" s="424"/>
      <c r="AE458" s="424"/>
      <c r="AF458" s="424"/>
      <c r="AG458" s="424"/>
      <c r="AH458" s="424"/>
      <c r="AI458" s="424"/>
      <c r="AJ458" s="2"/>
      <c r="AK458" s="2"/>
      <c r="AL458" s="2"/>
      <c r="AM458" s="2"/>
      <c r="AN458" s="2"/>
      <c r="AO458" s="2"/>
      <c r="AP458" s="2"/>
      <c r="AQ458" s="427"/>
      <c r="AR458" s="754"/>
      <c r="AS458" s="427"/>
      <c r="AT458" s="754"/>
      <c r="AU458" s="427"/>
      <c r="AV458" s="427"/>
      <c r="AW458" s="427"/>
      <c r="AX458" s="427"/>
      <c r="AY458" s="754"/>
      <c r="AZ458" s="754"/>
      <c r="BA458" s="754"/>
      <c r="BB458" s="427"/>
      <c r="BC458" s="427"/>
      <c r="BD458" s="427"/>
      <c r="BE458" s="754"/>
      <c r="BF458" s="427"/>
      <c r="BG458" s="454"/>
      <c r="BH458" s="754"/>
      <c r="BI458" s="427"/>
      <c r="BJ458" s="427"/>
      <c r="BK458" s="427"/>
      <c r="BL458" s="427"/>
      <c r="BM458" s="454"/>
      <c r="BN458" s="427"/>
      <c r="BO458" s="427"/>
      <c r="BP458" s="427"/>
      <c r="BQ458" s="454"/>
      <c r="BR458" s="454"/>
      <c r="BS458" s="460"/>
      <c r="BT458" s="454"/>
      <c r="BU458" s="454"/>
      <c r="BV458" s="457"/>
      <c r="BW458" s="460"/>
      <c r="BX458" s="460"/>
      <c r="BY458" s="460"/>
      <c r="CA458" s="2"/>
      <c r="CB458" s="2"/>
      <c r="CC458" s="2"/>
      <c r="CD458" s="2"/>
      <c r="CE458" s="2"/>
      <c r="CF458" s="2"/>
      <c r="CG458" s="2"/>
      <c r="CH458" s="2"/>
      <c r="CI458" s="2"/>
      <c r="CJ458" s="2"/>
      <c r="CK458" s="2"/>
      <c r="CL458" s="2"/>
      <c r="CM458" s="2"/>
      <c r="CN458" s="2"/>
      <c r="CO458" s="427"/>
      <c r="CP458" s="427"/>
      <c r="CQ458" s="427"/>
      <c r="CR458" s="485"/>
      <c r="CS458" s="485"/>
      <c r="CT458" s="485"/>
      <c r="CU458" s="485"/>
      <c r="CV458" s="482"/>
      <c r="CW458" s="482"/>
      <c r="CX458" s="482"/>
      <c r="CY458" s="482"/>
      <c r="CZ458" s="485"/>
      <c r="DA458" s="485"/>
      <c r="DB458" s="485"/>
      <c r="DC458" s="485"/>
      <c r="DD458" s="485"/>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V458" s="2"/>
      <c r="EW458" s="485"/>
      <c r="EX458" s="485"/>
      <c r="EY458" s="457"/>
      <c r="EZ458" s="457"/>
      <c r="FA458" s="457"/>
      <c r="FB458" s="457"/>
      <c r="FC458" s="457"/>
      <c r="FD458" s="457"/>
      <c r="FE458" s="457"/>
      <c r="FF458" s="457"/>
      <c r="FG458" s="457"/>
      <c r="FH458" s="457"/>
      <c r="FI458" s="457"/>
      <c r="FJ458" s="457"/>
      <c r="FK458" s="457"/>
    </row>
    <row r="459" spans="1:167" s="416" customFormat="1">
      <c r="A459" s="427"/>
      <c r="B459" s="427"/>
      <c r="C459" s="427"/>
      <c r="D459" s="427"/>
      <c r="E459" s="428"/>
      <c r="F459" s="429"/>
      <c r="G459" s="430"/>
      <c r="H459" s="427"/>
      <c r="I459" s="427"/>
      <c r="J459" s="427"/>
      <c r="K459" s="427"/>
      <c r="L459" s="427"/>
      <c r="M459" s="427"/>
      <c r="N459" s="427"/>
      <c r="O459" s="427"/>
      <c r="P459" s="427"/>
      <c r="Q459" s="427"/>
      <c r="R459" s="427"/>
      <c r="S459" s="427"/>
      <c r="T459" s="427"/>
      <c r="U459" s="427"/>
      <c r="V459" s="428"/>
      <c r="W459" s="431"/>
      <c r="X459" s="3"/>
      <c r="Y459" s="429"/>
      <c r="Z459" s="430"/>
      <c r="AA459" s="430"/>
      <c r="AB459" s="430"/>
      <c r="AC459" s="424"/>
      <c r="AD459" s="424"/>
      <c r="AE459" s="424"/>
      <c r="AF459" s="424"/>
      <c r="AG459" s="424"/>
      <c r="AH459" s="424"/>
      <c r="AI459" s="424"/>
      <c r="AJ459" s="2"/>
      <c r="AK459" s="2"/>
      <c r="AL459" s="2"/>
      <c r="AM459" s="2"/>
      <c r="AN459" s="2"/>
      <c r="AO459" s="2"/>
      <c r="AP459" s="2"/>
      <c r="AQ459" s="427"/>
      <c r="AR459" s="754"/>
      <c r="AS459" s="427"/>
      <c r="AT459" s="754"/>
      <c r="AU459" s="427"/>
      <c r="AV459" s="427"/>
      <c r="AW459" s="427"/>
      <c r="AX459" s="427"/>
      <c r="AY459" s="754"/>
      <c r="AZ459" s="754"/>
      <c r="BA459" s="754"/>
      <c r="BB459" s="427"/>
      <c r="BC459" s="427"/>
      <c r="BD459" s="427"/>
      <c r="BE459" s="754"/>
      <c r="BF459" s="427"/>
      <c r="BG459" s="454"/>
      <c r="BH459" s="754"/>
      <c r="BI459" s="427"/>
      <c r="BJ459" s="427"/>
      <c r="BK459" s="427"/>
      <c r="BL459" s="427"/>
      <c r="BM459" s="454"/>
      <c r="BN459" s="427"/>
      <c r="BO459" s="427"/>
      <c r="BP459" s="427"/>
      <c r="BQ459" s="454"/>
      <c r="BR459" s="454"/>
      <c r="BS459" s="460"/>
      <c r="BT459" s="454"/>
      <c r="BU459" s="454"/>
      <c r="BV459" s="457"/>
      <c r="BW459" s="460"/>
      <c r="BX459" s="460"/>
      <c r="BY459" s="460"/>
      <c r="CA459" s="2"/>
      <c r="CB459" s="2"/>
      <c r="CC459" s="2"/>
      <c r="CD459" s="2"/>
      <c r="CE459" s="2"/>
      <c r="CF459" s="2"/>
      <c r="CG459" s="2"/>
      <c r="CH459" s="2"/>
      <c r="CI459" s="2"/>
      <c r="CJ459" s="2"/>
      <c r="CK459" s="2"/>
      <c r="CL459" s="2"/>
      <c r="CM459" s="2"/>
      <c r="CN459" s="2"/>
      <c r="CO459" s="427"/>
      <c r="CP459" s="427"/>
      <c r="CQ459" s="427"/>
      <c r="CR459" s="485"/>
      <c r="CS459" s="485"/>
      <c r="CT459" s="485"/>
      <c r="CU459" s="485"/>
      <c r="CV459" s="482"/>
      <c r="CW459" s="482"/>
      <c r="CX459" s="482"/>
      <c r="CY459" s="482"/>
      <c r="CZ459" s="485"/>
      <c r="DA459" s="485"/>
      <c r="DB459" s="485"/>
      <c r="DC459" s="485"/>
      <c r="DD459" s="485"/>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V459" s="2"/>
      <c r="EW459" s="485"/>
      <c r="EX459" s="485"/>
      <c r="EY459" s="457"/>
      <c r="EZ459" s="457"/>
      <c r="FA459" s="457"/>
      <c r="FB459" s="457"/>
      <c r="FC459" s="457"/>
      <c r="FD459" s="457"/>
      <c r="FE459" s="457"/>
      <c r="FF459" s="457"/>
      <c r="FG459" s="457"/>
      <c r="FH459" s="457"/>
      <c r="FI459" s="457"/>
      <c r="FJ459" s="457"/>
      <c r="FK459" s="457"/>
    </row>
    <row r="460" spans="1:167" s="416" customFormat="1">
      <c r="A460" s="427"/>
      <c r="B460" s="427"/>
      <c r="C460" s="427"/>
      <c r="D460" s="427"/>
      <c r="E460" s="428"/>
      <c r="F460" s="429"/>
      <c r="G460" s="430"/>
      <c r="H460" s="427"/>
      <c r="I460" s="427"/>
      <c r="J460" s="427"/>
      <c r="K460" s="427"/>
      <c r="L460" s="427"/>
      <c r="M460" s="427"/>
      <c r="N460" s="427"/>
      <c r="O460" s="427"/>
      <c r="P460" s="427"/>
      <c r="Q460" s="427"/>
      <c r="R460" s="427"/>
      <c r="S460" s="427"/>
      <c r="T460" s="427"/>
      <c r="U460" s="427"/>
      <c r="V460" s="428"/>
      <c r="W460" s="431"/>
      <c r="X460" s="3"/>
      <c r="Y460" s="429"/>
      <c r="Z460" s="430"/>
      <c r="AA460" s="430"/>
      <c r="AB460" s="430"/>
      <c r="AC460" s="424"/>
      <c r="AD460" s="424"/>
      <c r="AE460" s="424"/>
      <c r="AF460" s="424"/>
      <c r="AG460" s="424"/>
      <c r="AH460" s="424"/>
      <c r="AI460" s="424"/>
      <c r="AJ460" s="2"/>
      <c r="AK460" s="2"/>
      <c r="AL460" s="2"/>
      <c r="AM460" s="2"/>
      <c r="AN460" s="2"/>
      <c r="AO460" s="2"/>
      <c r="AP460" s="2"/>
      <c r="AQ460" s="427"/>
      <c r="AR460" s="754"/>
      <c r="AS460" s="427"/>
      <c r="AT460" s="754"/>
      <c r="AU460" s="427"/>
      <c r="AV460" s="427"/>
      <c r="AW460" s="427"/>
      <c r="AX460" s="427"/>
      <c r="AY460" s="754"/>
      <c r="AZ460" s="754"/>
      <c r="BA460" s="754"/>
      <c r="BB460" s="427"/>
      <c r="BC460" s="427"/>
      <c r="BD460" s="427"/>
      <c r="BE460" s="754"/>
      <c r="BF460" s="427"/>
      <c r="BG460" s="454"/>
      <c r="BH460" s="754"/>
      <c r="BI460" s="427"/>
      <c r="BJ460" s="427"/>
      <c r="BK460" s="427"/>
      <c r="BL460" s="427"/>
      <c r="BM460" s="454"/>
      <c r="BN460" s="427"/>
      <c r="BO460" s="427"/>
      <c r="BP460" s="427"/>
      <c r="BQ460" s="454"/>
      <c r="BR460" s="454"/>
      <c r="BS460" s="460"/>
      <c r="BT460" s="454"/>
      <c r="BU460" s="454"/>
      <c r="BV460" s="457"/>
      <c r="BW460" s="460"/>
      <c r="BX460" s="460"/>
      <c r="BY460" s="460"/>
      <c r="CA460" s="2"/>
      <c r="CB460" s="2"/>
      <c r="CC460" s="2"/>
      <c r="CD460" s="2"/>
      <c r="CE460" s="2"/>
      <c r="CF460" s="2"/>
      <c r="CG460" s="2"/>
      <c r="CH460" s="2"/>
      <c r="CI460" s="2"/>
      <c r="CJ460" s="2"/>
      <c r="CK460" s="2"/>
      <c r="CL460" s="2"/>
      <c r="CM460" s="2"/>
      <c r="CN460" s="2"/>
      <c r="CO460" s="427"/>
      <c r="CP460" s="427"/>
      <c r="CQ460" s="427"/>
      <c r="CR460" s="485"/>
      <c r="CS460" s="485"/>
      <c r="CT460" s="485"/>
      <c r="CU460" s="485"/>
      <c r="CV460" s="482"/>
      <c r="CW460" s="482"/>
      <c r="CX460" s="482"/>
      <c r="CY460" s="482"/>
      <c r="CZ460" s="485"/>
      <c r="DA460" s="485"/>
      <c r="DB460" s="485"/>
      <c r="DC460" s="485"/>
      <c r="DD460" s="485"/>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V460" s="2"/>
      <c r="EW460" s="485"/>
      <c r="EX460" s="485"/>
      <c r="EY460" s="457"/>
      <c r="EZ460" s="457"/>
      <c r="FA460" s="457"/>
      <c r="FB460" s="457"/>
      <c r="FC460" s="457"/>
      <c r="FD460" s="457"/>
      <c r="FE460" s="457"/>
      <c r="FF460" s="457"/>
      <c r="FG460" s="457"/>
      <c r="FH460" s="457"/>
      <c r="FI460" s="457"/>
      <c r="FJ460" s="457"/>
      <c r="FK460" s="457"/>
    </row>
    <row r="461" spans="1:167" s="416" customFormat="1">
      <c r="A461" s="427"/>
      <c r="B461" s="427"/>
      <c r="C461" s="427"/>
      <c r="D461" s="427"/>
      <c r="E461" s="428"/>
      <c r="F461" s="429"/>
      <c r="G461" s="430"/>
      <c r="H461" s="427"/>
      <c r="I461" s="427"/>
      <c r="J461" s="427"/>
      <c r="K461" s="427"/>
      <c r="L461" s="427"/>
      <c r="M461" s="427"/>
      <c r="N461" s="427"/>
      <c r="O461" s="427"/>
      <c r="P461" s="427"/>
      <c r="Q461" s="427"/>
      <c r="R461" s="427"/>
      <c r="S461" s="427"/>
      <c r="T461" s="427"/>
      <c r="U461" s="427"/>
      <c r="V461" s="428"/>
      <c r="W461" s="431"/>
      <c r="X461" s="3"/>
      <c r="Y461" s="429"/>
      <c r="Z461" s="430"/>
      <c r="AA461" s="430"/>
      <c r="AB461" s="430"/>
      <c r="AC461" s="424"/>
      <c r="AD461" s="424"/>
      <c r="AE461" s="424"/>
      <c r="AF461" s="424"/>
      <c r="AG461" s="424"/>
      <c r="AH461" s="424"/>
      <c r="AI461" s="424"/>
      <c r="AJ461" s="2"/>
      <c r="AK461" s="2"/>
      <c r="AL461" s="2"/>
      <c r="AM461" s="2"/>
      <c r="AN461" s="2"/>
      <c r="AO461" s="2"/>
      <c r="AP461" s="2"/>
      <c r="AQ461" s="427"/>
      <c r="AR461" s="754"/>
      <c r="AS461" s="427"/>
      <c r="AT461" s="754"/>
      <c r="AU461" s="427"/>
      <c r="AV461" s="427"/>
      <c r="AW461" s="427"/>
      <c r="AX461" s="427"/>
      <c r="AY461" s="754"/>
      <c r="AZ461" s="754"/>
      <c r="BA461" s="754"/>
      <c r="BB461" s="427"/>
      <c r="BC461" s="427"/>
      <c r="BD461" s="427"/>
      <c r="BE461" s="754"/>
      <c r="BF461" s="427"/>
      <c r="BG461" s="454"/>
      <c r="BH461" s="754"/>
      <c r="BI461" s="427"/>
      <c r="BJ461" s="427"/>
      <c r="BK461" s="427"/>
      <c r="BL461" s="427"/>
      <c r="BM461" s="454"/>
      <c r="BN461" s="427"/>
      <c r="BO461" s="427"/>
      <c r="BP461" s="427"/>
      <c r="BQ461" s="454"/>
      <c r="BR461" s="454"/>
      <c r="BS461" s="460"/>
      <c r="BT461" s="454"/>
      <c r="BU461" s="454"/>
      <c r="BV461" s="457"/>
      <c r="BW461" s="460"/>
      <c r="BX461" s="460"/>
      <c r="BY461" s="460"/>
      <c r="CA461" s="2"/>
      <c r="CB461" s="2"/>
      <c r="CC461" s="2"/>
      <c r="CD461" s="2"/>
      <c r="CE461" s="2"/>
      <c r="CF461" s="2"/>
      <c r="CG461" s="2"/>
      <c r="CH461" s="2"/>
      <c r="CI461" s="2"/>
      <c r="CJ461" s="2"/>
      <c r="CK461" s="2"/>
      <c r="CL461" s="2"/>
      <c r="CM461" s="2"/>
      <c r="CN461" s="2"/>
      <c r="CO461" s="427"/>
      <c r="CP461" s="427"/>
      <c r="CQ461" s="427"/>
      <c r="CR461" s="485"/>
      <c r="CS461" s="485"/>
      <c r="CT461" s="485"/>
      <c r="CU461" s="485"/>
      <c r="CV461" s="482"/>
      <c r="CW461" s="482"/>
      <c r="CX461" s="482"/>
      <c r="CY461" s="482"/>
      <c r="CZ461" s="485"/>
      <c r="DA461" s="485"/>
      <c r="DB461" s="485"/>
      <c r="DC461" s="485"/>
      <c r="DD461" s="485"/>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V461" s="2"/>
      <c r="EW461" s="485"/>
      <c r="EX461" s="485"/>
      <c r="EY461" s="457"/>
      <c r="EZ461" s="457"/>
      <c r="FA461" s="457"/>
      <c r="FB461" s="457"/>
      <c r="FC461" s="457"/>
      <c r="FD461" s="457"/>
      <c r="FE461" s="457"/>
      <c r="FF461" s="457"/>
      <c r="FG461" s="457"/>
      <c r="FH461" s="457"/>
      <c r="FI461" s="457"/>
      <c r="FJ461" s="457"/>
      <c r="FK461" s="457"/>
    </row>
    <row r="462" spans="1:167" s="416" customFormat="1">
      <c r="A462" s="427"/>
      <c r="B462" s="427"/>
      <c r="C462" s="427"/>
      <c r="D462" s="427"/>
      <c r="E462" s="428"/>
      <c r="F462" s="429"/>
      <c r="G462" s="430"/>
      <c r="H462" s="427"/>
      <c r="I462" s="427"/>
      <c r="J462" s="427"/>
      <c r="K462" s="427"/>
      <c r="L462" s="427"/>
      <c r="M462" s="427"/>
      <c r="N462" s="427"/>
      <c r="O462" s="427"/>
      <c r="P462" s="427"/>
      <c r="Q462" s="427"/>
      <c r="R462" s="427"/>
      <c r="S462" s="427"/>
      <c r="T462" s="427"/>
      <c r="U462" s="427"/>
      <c r="V462" s="428"/>
      <c r="W462" s="431"/>
      <c r="X462" s="3"/>
      <c r="Y462" s="429"/>
      <c r="Z462" s="430"/>
      <c r="AA462" s="430"/>
      <c r="AB462" s="430"/>
      <c r="AC462" s="424"/>
      <c r="AD462" s="424"/>
      <c r="AE462" s="424"/>
      <c r="AF462" s="424"/>
      <c r="AG462" s="424"/>
      <c r="AH462" s="424"/>
      <c r="AI462" s="424"/>
      <c r="AJ462" s="2"/>
      <c r="AK462" s="2"/>
      <c r="AL462" s="2"/>
      <c r="AM462" s="2"/>
      <c r="AN462" s="2"/>
      <c r="AO462" s="2"/>
      <c r="AP462" s="2"/>
      <c r="AQ462" s="427"/>
      <c r="AR462" s="754"/>
      <c r="AS462" s="427"/>
      <c r="AT462" s="754"/>
      <c r="AU462" s="427"/>
      <c r="AV462" s="427"/>
      <c r="AW462" s="427"/>
      <c r="AX462" s="427"/>
      <c r="AY462" s="754"/>
      <c r="AZ462" s="754"/>
      <c r="BA462" s="754"/>
      <c r="BB462" s="427"/>
      <c r="BC462" s="427"/>
      <c r="BD462" s="427"/>
      <c r="BE462" s="754"/>
      <c r="BF462" s="427"/>
      <c r="BG462" s="454"/>
      <c r="BH462" s="754"/>
      <c r="BI462" s="427"/>
      <c r="BJ462" s="427"/>
      <c r="BK462" s="427"/>
      <c r="BL462" s="427"/>
      <c r="BM462" s="454"/>
      <c r="BN462" s="427"/>
      <c r="BO462" s="427"/>
      <c r="BP462" s="427"/>
      <c r="BQ462" s="454"/>
      <c r="BR462" s="454"/>
      <c r="BS462" s="460"/>
      <c r="BT462" s="454"/>
      <c r="BU462" s="454"/>
      <c r="BV462" s="457"/>
      <c r="BW462" s="460"/>
      <c r="BX462" s="460"/>
      <c r="BY462" s="460"/>
      <c r="CA462" s="2"/>
      <c r="CB462" s="2"/>
      <c r="CC462" s="2"/>
      <c r="CD462" s="2"/>
      <c r="CE462" s="2"/>
      <c r="CF462" s="2"/>
      <c r="CG462" s="2"/>
      <c r="CH462" s="2"/>
      <c r="CI462" s="2"/>
      <c r="CJ462" s="2"/>
      <c r="CK462" s="2"/>
      <c r="CL462" s="2"/>
      <c r="CM462" s="2"/>
      <c r="CN462" s="2"/>
      <c r="CO462" s="427"/>
      <c r="CP462" s="427"/>
      <c r="CQ462" s="427"/>
      <c r="CR462" s="485"/>
      <c r="CS462" s="485"/>
      <c r="CT462" s="485"/>
      <c r="CU462" s="485"/>
      <c r="CV462" s="482"/>
      <c r="CW462" s="482"/>
      <c r="CX462" s="482"/>
      <c r="CY462" s="482"/>
      <c r="CZ462" s="485"/>
      <c r="DA462" s="485"/>
      <c r="DB462" s="485"/>
      <c r="DC462" s="485"/>
      <c r="DD462" s="485"/>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V462" s="2"/>
      <c r="EW462" s="485"/>
      <c r="EX462" s="485"/>
      <c r="EY462" s="457"/>
      <c r="EZ462" s="457"/>
      <c r="FA462" s="457"/>
      <c r="FB462" s="457"/>
      <c r="FC462" s="457"/>
      <c r="FD462" s="457"/>
      <c r="FE462" s="457"/>
      <c r="FF462" s="457"/>
      <c r="FG462" s="457"/>
      <c r="FH462" s="457"/>
      <c r="FI462" s="457"/>
      <c r="FJ462" s="457"/>
      <c r="FK462" s="457"/>
    </row>
    <row r="463" spans="1:167" s="416" customFormat="1">
      <c r="A463" s="427"/>
      <c r="B463" s="427"/>
      <c r="C463" s="427"/>
      <c r="D463" s="427"/>
      <c r="E463" s="428"/>
      <c r="F463" s="429"/>
      <c r="G463" s="430"/>
      <c r="H463" s="427"/>
      <c r="I463" s="427"/>
      <c r="J463" s="427"/>
      <c r="K463" s="427"/>
      <c r="L463" s="427"/>
      <c r="M463" s="427"/>
      <c r="N463" s="427"/>
      <c r="O463" s="427"/>
      <c r="P463" s="427"/>
      <c r="Q463" s="427"/>
      <c r="R463" s="427"/>
      <c r="S463" s="427"/>
      <c r="T463" s="427"/>
      <c r="U463" s="427"/>
      <c r="V463" s="428"/>
      <c r="W463" s="431"/>
      <c r="X463" s="3"/>
      <c r="Y463" s="429"/>
      <c r="Z463" s="430"/>
      <c r="AA463" s="430"/>
      <c r="AB463" s="430"/>
      <c r="AC463" s="424"/>
      <c r="AD463" s="424"/>
      <c r="AE463" s="424"/>
      <c r="AF463" s="424"/>
      <c r="AG463" s="424"/>
      <c r="AH463" s="424"/>
      <c r="AI463" s="424"/>
      <c r="AJ463" s="2"/>
      <c r="AK463" s="2"/>
      <c r="AL463" s="2"/>
      <c r="AM463" s="2"/>
      <c r="AN463" s="2"/>
      <c r="AO463" s="2"/>
      <c r="AP463" s="2"/>
      <c r="AQ463" s="427"/>
      <c r="AR463" s="754"/>
      <c r="AS463" s="427"/>
      <c r="AT463" s="754"/>
      <c r="AU463" s="427"/>
      <c r="AV463" s="427"/>
      <c r="AW463" s="427"/>
      <c r="AX463" s="427"/>
      <c r="AY463" s="754"/>
      <c r="AZ463" s="754"/>
      <c r="BA463" s="754"/>
      <c r="BB463" s="427"/>
      <c r="BC463" s="427"/>
      <c r="BD463" s="427"/>
      <c r="BE463" s="754"/>
      <c r="BF463" s="427"/>
      <c r="BG463" s="454"/>
      <c r="BH463" s="754"/>
      <c r="BI463" s="427"/>
      <c r="BJ463" s="427"/>
      <c r="BK463" s="427"/>
      <c r="BL463" s="427"/>
      <c r="BM463" s="454"/>
      <c r="BN463" s="427"/>
      <c r="BO463" s="427"/>
      <c r="BP463" s="427"/>
      <c r="BQ463" s="454"/>
      <c r="BR463" s="454"/>
      <c r="BS463" s="460"/>
      <c r="BT463" s="454"/>
      <c r="BU463" s="454"/>
      <c r="BV463" s="457"/>
      <c r="BW463" s="460"/>
      <c r="BX463" s="460"/>
      <c r="BY463" s="460"/>
      <c r="CA463" s="2"/>
      <c r="CB463" s="2"/>
      <c r="CC463" s="2"/>
      <c r="CD463" s="2"/>
      <c r="CE463" s="2"/>
      <c r="CF463" s="2"/>
      <c r="CG463" s="2"/>
      <c r="CH463" s="2"/>
      <c r="CI463" s="2"/>
      <c r="CJ463" s="2"/>
      <c r="CK463" s="2"/>
      <c r="CL463" s="2"/>
      <c r="CM463" s="2"/>
      <c r="CN463" s="2"/>
      <c r="CO463" s="427"/>
      <c r="CP463" s="427"/>
      <c r="CQ463" s="427"/>
      <c r="CR463" s="485"/>
      <c r="CS463" s="485"/>
      <c r="CT463" s="485"/>
      <c r="CU463" s="485"/>
      <c r="CV463" s="482"/>
      <c r="CW463" s="482"/>
      <c r="CX463" s="482"/>
      <c r="CY463" s="482"/>
      <c r="CZ463" s="485"/>
      <c r="DA463" s="485"/>
      <c r="DB463" s="485"/>
      <c r="DC463" s="485"/>
      <c r="DD463" s="485"/>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V463" s="2"/>
      <c r="EW463" s="485"/>
      <c r="EX463" s="485"/>
      <c r="EY463" s="457"/>
      <c r="EZ463" s="457"/>
      <c r="FA463" s="457"/>
      <c r="FB463" s="457"/>
      <c r="FC463" s="457"/>
      <c r="FD463" s="457"/>
      <c r="FE463" s="457"/>
      <c r="FF463" s="457"/>
      <c r="FG463" s="457"/>
      <c r="FH463" s="457"/>
      <c r="FI463" s="457"/>
      <c r="FJ463" s="457"/>
      <c r="FK463" s="457"/>
    </row>
    <row r="464" spans="1:167" s="416" customFormat="1">
      <c r="A464" s="427"/>
      <c r="B464" s="427"/>
      <c r="C464" s="427"/>
      <c r="D464" s="427"/>
      <c r="E464" s="428"/>
      <c r="F464" s="429"/>
      <c r="G464" s="430"/>
      <c r="H464" s="427"/>
      <c r="I464" s="427"/>
      <c r="J464" s="427"/>
      <c r="K464" s="427"/>
      <c r="L464" s="427"/>
      <c r="M464" s="427"/>
      <c r="N464" s="427"/>
      <c r="O464" s="427"/>
      <c r="P464" s="427"/>
      <c r="Q464" s="427"/>
      <c r="R464" s="427"/>
      <c r="S464" s="427"/>
      <c r="T464" s="427"/>
      <c r="U464" s="427"/>
      <c r="V464" s="428"/>
      <c r="W464" s="431"/>
      <c r="X464" s="3"/>
      <c r="Y464" s="429"/>
      <c r="Z464" s="430"/>
      <c r="AA464" s="430"/>
      <c r="AB464" s="430"/>
      <c r="AC464" s="424"/>
      <c r="AD464" s="424"/>
      <c r="AE464" s="424"/>
      <c r="AF464" s="424"/>
      <c r="AG464" s="424"/>
      <c r="AH464" s="424"/>
      <c r="AI464" s="424"/>
      <c r="AJ464" s="2"/>
      <c r="AK464" s="2"/>
      <c r="AL464" s="2"/>
      <c r="AM464" s="2"/>
      <c r="AN464" s="2"/>
      <c r="AO464" s="2"/>
      <c r="AP464" s="2"/>
      <c r="AQ464" s="427"/>
      <c r="AR464" s="754"/>
      <c r="AS464" s="427"/>
      <c r="AT464" s="754"/>
      <c r="AU464" s="427"/>
      <c r="AV464" s="427"/>
      <c r="AW464" s="427"/>
      <c r="AX464" s="427"/>
      <c r="AY464" s="754"/>
      <c r="AZ464" s="754"/>
      <c r="BA464" s="754"/>
      <c r="BB464" s="427"/>
      <c r="BC464" s="427"/>
      <c r="BD464" s="427"/>
      <c r="BE464" s="754"/>
      <c r="BF464" s="427"/>
      <c r="BG464" s="454"/>
      <c r="BH464" s="754"/>
      <c r="BI464" s="427"/>
      <c r="BJ464" s="427"/>
      <c r="BK464" s="427"/>
      <c r="BL464" s="427"/>
      <c r="BM464" s="454"/>
      <c r="BN464" s="427"/>
      <c r="BO464" s="427"/>
      <c r="BP464" s="427"/>
      <c r="BQ464" s="454"/>
      <c r="BR464" s="454"/>
      <c r="BS464" s="460"/>
      <c r="BT464" s="454"/>
      <c r="BU464" s="454"/>
      <c r="BV464" s="457"/>
      <c r="BW464" s="460"/>
      <c r="BX464" s="460"/>
      <c r="BY464" s="460"/>
      <c r="CA464" s="2"/>
      <c r="CB464" s="2"/>
      <c r="CC464" s="2"/>
      <c r="CD464" s="2"/>
      <c r="CE464" s="2"/>
      <c r="CF464" s="2"/>
      <c r="CG464" s="2"/>
      <c r="CH464" s="2"/>
      <c r="CI464" s="2"/>
      <c r="CJ464" s="2"/>
      <c r="CK464" s="2"/>
      <c r="CL464" s="2"/>
      <c r="CM464" s="2"/>
      <c r="CN464" s="2"/>
      <c r="CO464" s="427"/>
      <c r="CP464" s="427"/>
      <c r="CQ464" s="427"/>
      <c r="CR464" s="485"/>
      <c r="CS464" s="485"/>
      <c r="CT464" s="485"/>
      <c r="CU464" s="485"/>
      <c r="CV464" s="482"/>
      <c r="CW464" s="482"/>
      <c r="CX464" s="482"/>
      <c r="CY464" s="482"/>
      <c r="CZ464" s="485"/>
      <c r="DA464" s="485"/>
      <c r="DB464" s="485"/>
      <c r="DC464" s="485"/>
      <c r="DD464" s="485"/>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V464" s="2"/>
      <c r="EW464" s="485"/>
      <c r="EX464" s="485"/>
      <c r="EY464" s="457"/>
      <c r="EZ464" s="457"/>
      <c r="FA464" s="457"/>
      <c r="FB464" s="457"/>
      <c r="FC464" s="457"/>
      <c r="FD464" s="457"/>
      <c r="FE464" s="457"/>
      <c r="FF464" s="457"/>
      <c r="FG464" s="457"/>
      <c r="FH464" s="457"/>
      <c r="FI464" s="457"/>
      <c r="FJ464" s="457"/>
      <c r="FK464" s="457"/>
    </row>
    <row r="465" spans="1:167" s="416" customFormat="1">
      <c r="A465" s="427"/>
      <c r="B465" s="427"/>
      <c r="C465" s="427"/>
      <c r="D465" s="427"/>
      <c r="E465" s="428"/>
      <c r="F465" s="429"/>
      <c r="G465" s="430"/>
      <c r="H465" s="427"/>
      <c r="I465" s="427"/>
      <c r="J465" s="427"/>
      <c r="K465" s="427"/>
      <c r="L465" s="427"/>
      <c r="M465" s="427"/>
      <c r="N465" s="427"/>
      <c r="O465" s="427"/>
      <c r="P465" s="427"/>
      <c r="Q465" s="427"/>
      <c r="R465" s="427"/>
      <c r="S465" s="427"/>
      <c r="T465" s="427"/>
      <c r="U465" s="427"/>
      <c r="V465" s="428"/>
      <c r="W465" s="431"/>
      <c r="X465" s="3"/>
      <c r="Y465" s="429"/>
      <c r="Z465" s="430"/>
      <c r="AA465" s="430"/>
      <c r="AB465" s="430"/>
      <c r="AC465" s="424"/>
      <c r="AD465" s="424"/>
      <c r="AE465" s="424"/>
      <c r="AF465" s="424"/>
      <c r="AG465" s="424"/>
      <c r="AH465" s="424"/>
      <c r="AI465" s="424"/>
      <c r="AJ465" s="2"/>
      <c r="AK465" s="2"/>
      <c r="AL465" s="2"/>
      <c r="AM465" s="2"/>
      <c r="AN465" s="2"/>
      <c r="AO465" s="2"/>
      <c r="AP465" s="2"/>
      <c r="AQ465" s="427"/>
      <c r="AR465" s="754"/>
      <c r="AS465" s="427"/>
      <c r="AT465" s="754"/>
      <c r="AU465" s="427"/>
      <c r="AV465" s="427"/>
      <c r="AW465" s="427"/>
      <c r="AX465" s="427"/>
      <c r="AY465" s="754"/>
      <c r="AZ465" s="754"/>
      <c r="BA465" s="754"/>
      <c r="BB465" s="427"/>
      <c r="BC465" s="427"/>
      <c r="BD465" s="427"/>
      <c r="BE465" s="754"/>
      <c r="BF465" s="427"/>
      <c r="BG465" s="454"/>
      <c r="BH465" s="754"/>
      <c r="BI465" s="427"/>
      <c r="BJ465" s="427"/>
      <c r="BK465" s="427"/>
      <c r="BL465" s="427"/>
      <c r="BM465" s="454"/>
      <c r="BN465" s="427"/>
      <c r="BO465" s="427"/>
      <c r="BP465" s="427"/>
      <c r="BQ465" s="454"/>
      <c r="BR465" s="454"/>
      <c r="BS465" s="460"/>
      <c r="BT465" s="454"/>
      <c r="BU465" s="454"/>
      <c r="BV465" s="457"/>
      <c r="BW465" s="460"/>
      <c r="BX465" s="460"/>
      <c r="BY465" s="460"/>
      <c r="CA465" s="2"/>
      <c r="CB465" s="2"/>
      <c r="CC465" s="2"/>
      <c r="CD465" s="2"/>
      <c r="CE465" s="2"/>
      <c r="CF465" s="2"/>
      <c r="CG465" s="2"/>
      <c r="CH465" s="2"/>
      <c r="CI465" s="2"/>
      <c r="CJ465" s="2"/>
      <c r="CK465" s="2"/>
      <c r="CL465" s="2"/>
      <c r="CM465" s="2"/>
      <c r="CN465" s="2"/>
      <c r="CO465" s="427"/>
      <c r="CP465" s="427"/>
      <c r="CQ465" s="427"/>
      <c r="CR465" s="485"/>
      <c r="CS465" s="485"/>
      <c r="CT465" s="485"/>
      <c r="CU465" s="485"/>
      <c r="CV465" s="482"/>
      <c r="CW465" s="482"/>
      <c r="CX465" s="482"/>
      <c r="CY465" s="482"/>
      <c r="CZ465" s="485"/>
      <c r="DA465" s="485"/>
      <c r="DB465" s="485"/>
      <c r="DC465" s="485"/>
      <c r="DD465" s="485"/>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V465" s="2"/>
      <c r="EW465" s="485"/>
      <c r="EX465" s="485"/>
      <c r="EY465" s="457"/>
      <c r="EZ465" s="457"/>
      <c r="FA465" s="457"/>
      <c r="FB465" s="457"/>
      <c r="FC465" s="457"/>
      <c r="FD465" s="457"/>
      <c r="FE465" s="457"/>
      <c r="FF465" s="457"/>
      <c r="FG465" s="457"/>
      <c r="FH465" s="457"/>
      <c r="FI465" s="457"/>
      <c r="FJ465" s="457"/>
      <c r="FK465" s="457"/>
    </row>
    <row r="466" spans="1:167" s="416" customFormat="1">
      <c r="A466" s="427"/>
      <c r="B466" s="427"/>
      <c r="C466" s="427"/>
      <c r="D466" s="427"/>
      <c r="E466" s="428"/>
      <c r="F466" s="429"/>
      <c r="G466" s="430"/>
      <c r="H466" s="427"/>
      <c r="I466" s="427"/>
      <c r="J466" s="427"/>
      <c r="K466" s="427"/>
      <c r="L466" s="427"/>
      <c r="M466" s="427"/>
      <c r="N466" s="427"/>
      <c r="O466" s="427"/>
      <c r="P466" s="427"/>
      <c r="Q466" s="427"/>
      <c r="R466" s="427"/>
      <c r="S466" s="427"/>
      <c r="T466" s="427"/>
      <c r="U466" s="427"/>
      <c r="V466" s="428"/>
      <c r="W466" s="431"/>
      <c r="X466" s="3"/>
      <c r="Y466" s="429"/>
      <c r="Z466" s="430"/>
      <c r="AA466" s="430"/>
      <c r="AB466" s="430"/>
      <c r="AC466" s="424"/>
      <c r="AD466" s="424"/>
      <c r="AE466" s="424"/>
      <c r="AF466" s="424"/>
      <c r="AG466" s="424"/>
      <c r="AH466" s="424"/>
      <c r="AI466" s="424"/>
      <c r="AJ466" s="2"/>
      <c r="AK466" s="2"/>
      <c r="AL466" s="2"/>
      <c r="AM466" s="2"/>
      <c r="AN466" s="2"/>
      <c r="AO466" s="2"/>
      <c r="AP466" s="2"/>
      <c r="AQ466" s="427"/>
      <c r="AR466" s="754"/>
      <c r="AS466" s="427"/>
      <c r="AT466" s="754"/>
      <c r="AU466" s="427"/>
      <c r="AV466" s="427"/>
      <c r="AW466" s="427"/>
      <c r="AX466" s="427"/>
      <c r="AY466" s="754"/>
      <c r="AZ466" s="754"/>
      <c r="BA466" s="754"/>
      <c r="BB466" s="427"/>
      <c r="BC466" s="427"/>
      <c r="BD466" s="427"/>
      <c r="BE466" s="754"/>
      <c r="BF466" s="427"/>
      <c r="BG466" s="454"/>
      <c r="BH466" s="754"/>
      <c r="BI466" s="427"/>
      <c r="BJ466" s="427"/>
      <c r="BK466" s="427"/>
      <c r="BL466" s="427"/>
      <c r="BM466" s="454"/>
      <c r="BN466" s="427"/>
      <c r="BO466" s="427"/>
      <c r="BP466" s="427"/>
      <c r="BQ466" s="454"/>
      <c r="BR466" s="454"/>
      <c r="BS466" s="460"/>
      <c r="BT466" s="454"/>
      <c r="BU466" s="454"/>
      <c r="BV466" s="457"/>
      <c r="BW466" s="460"/>
      <c r="BX466" s="460"/>
      <c r="BY466" s="460"/>
      <c r="CA466" s="2"/>
      <c r="CB466" s="2"/>
      <c r="CC466" s="2"/>
      <c r="CD466" s="2"/>
      <c r="CE466" s="2"/>
      <c r="CF466" s="2"/>
      <c r="CG466" s="2"/>
      <c r="CH466" s="2"/>
      <c r="CI466" s="2"/>
      <c r="CJ466" s="2"/>
      <c r="CK466" s="2"/>
      <c r="CL466" s="2"/>
      <c r="CM466" s="2"/>
      <c r="CN466" s="2"/>
      <c r="CO466" s="427"/>
      <c r="CP466" s="427"/>
      <c r="CQ466" s="427"/>
      <c r="CR466" s="485"/>
      <c r="CS466" s="485"/>
      <c r="CT466" s="485"/>
      <c r="CU466" s="485"/>
      <c r="CV466" s="482"/>
      <c r="CW466" s="482"/>
      <c r="CX466" s="482"/>
      <c r="CY466" s="482"/>
      <c r="CZ466" s="485"/>
      <c r="DA466" s="485"/>
      <c r="DB466" s="485"/>
      <c r="DC466" s="485"/>
      <c r="DD466" s="485"/>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V466" s="2"/>
      <c r="EW466" s="485"/>
      <c r="EX466" s="485"/>
      <c r="EY466" s="457"/>
      <c r="EZ466" s="457"/>
      <c r="FA466" s="457"/>
      <c r="FB466" s="457"/>
      <c r="FC466" s="457"/>
      <c r="FD466" s="457"/>
      <c r="FE466" s="457"/>
      <c r="FF466" s="457"/>
      <c r="FG466" s="457"/>
      <c r="FH466" s="457"/>
      <c r="FI466" s="457"/>
      <c r="FJ466" s="457"/>
      <c r="FK466" s="457"/>
    </row>
    <row r="467" spans="1:167" s="416" customFormat="1">
      <c r="A467" s="427"/>
      <c r="B467" s="427"/>
      <c r="C467" s="427"/>
      <c r="D467" s="427"/>
      <c r="E467" s="428"/>
      <c r="F467" s="429"/>
      <c r="G467" s="430"/>
      <c r="H467" s="427"/>
      <c r="I467" s="427"/>
      <c r="J467" s="427"/>
      <c r="K467" s="427"/>
      <c r="L467" s="427"/>
      <c r="M467" s="427"/>
      <c r="N467" s="427"/>
      <c r="O467" s="427"/>
      <c r="P467" s="427"/>
      <c r="Q467" s="427"/>
      <c r="R467" s="427"/>
      <c r="S467" s="427"/>
      <c r="T467" s="427"/>
      <c r="U467" s="427"/>
      <c r="V467" s="428"/>
      <c r="W467" s="431"/>
      <c r="X467" s="3"/>
      <c r="Y467" s="429"/>
      <c r="Z467" s="430"/>
      <c r="AA467" s="430"/>
      <c r="AB467" s="430"/>
      <c r="AC467" s="424"/>
      <c r="AD467" s="424"/>
      <c r="AE467" s="424"/>
      <c r="AF467" s="424"/>
      <c r="AG467" s="424"/>
      <c r="AH467" s="424"/>
      <c r="AI467" s="424"/>
      <c r="AJ467" s="2"/>
      <c r="AK467" s="2"/>
      <c r="AL467" s="2"/>
      <c r="AM467" s="2"/>
      <c r="AN467" s="2"/>
      <c r="AO467" s="2"/>
      <c r="AP467" s="2"/>
      <c r="AQ467" s="427"/>
      <c r="AR467" s="754"/>
      <c r="AS467" s="427"/>
      <c r="AT467" s="754"/>
      <c r="AU467" s="427"/>
      <c r="AV467" s="427"/>
      <c r="AW467" s="427"/>
      <c r="AX467" s="427"/>
      <c r="AY467" s="754"/>
      <c r="AZ467" s="754"/>
      <c r="BA467" s="754"/>
      <c r="BB467" s="427"/>
      <c r="BC467" s="427"/>
      <c r="BD467" s="427"/>
      <c r="BE467" s="754"/>
      <c r="BF467" s="427"/>
      <c r="BG467" s="454"/>
      <c r="BH467" s="754"/>
      <c r="BI467" s="427"/>
      <c r="BJ467" s="427"/>
      <c r="BK467" s="427"/>
      <c r="BL467" s="427"/>
      <c r="BM467" s="454"/>
      <c r="BN467" s="427"/>
      <c r="BO467" s="427"/>
      <c r="BP467" s="427"/>
      <c r="BQ467" s="454"/>
      <c r="BR467" s="454"/>
      <c r="BS467" s="460"/>
      <c r="BT467" s="454"/>
      <c r="BU467" s="454"/>
      <c r="BV467" s="457"/>
      <c r="BW467" s="460"/>
      <c r="BX467" s="460"/>
      <c r="BY467" s="460"/>
      <c r="CA467" s="2"/>
      <c r="CB467" s="2"/>
      <c r="CC467" s="2"/>
      <c r="CD467" s="2"/>
      <c r="CE467" s="2"/>
      <c r="CF467" s="2"/>
      <c r="CG467" s="2"/>
      <c r="CH467" s="2"/>
      <c r="CI467" s="2"/>
      <c r="CJ467" s="2"/>
      <c r="CK467" s="2"/>
      <c r="CL467" s="2"/>
      <c r="CM467" s="2"/>
      <c r="CN467" s="2"/>
      <c r="CO467" s="427"/>
      <c r="CP467" s="427"/>
      <c r="CQ467" s="427"/>
      <c r="CR467" s="485"/>
      <c r="CS467" s="485"/>
      <c r="CT467" s="485"/>
      <c r="CU467" s="485"/>
      <c r="CV467" s="482"/>
      <c r="CW467" s="482"/>
      <c r="CX467" s="482"/>
      <c r="CY467" s="482"/>
      <c r="CZ467" s="485"/>
      <c r="DA467" s="485"/>
      <c r="DB467" s="485"/>
      <c r="DC467" s="485"/>
      <c r="DD467" s="485"/>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V467" s="2"/>
      <c r="EW467" s="485"/>
      <c r="EX467" s="485"/>
      <c r="EY467" s="457"/>
      <c r="EZ467" s="457"/>
      <c r="FA467" s="457"/>
      <c r="FB467" s="457"/>
      <c r="FC467" s="457"/>
      <c r="FD467" s="457"/>
      <c r="FE467" s="457"/>
      <c r="FF467" s="457"/>
      <c r="FG467" s="457"/>
      <c r="FH467" s="457"/>
      <c r="FI467" s="457"/>
      <c r="FJ467" s="457"/>
      <c r="FK467" s="457"/>
    </row>
    <row r="468" spans="1:167" s="416" customFormat="1">
      <c r="A468" s="427"/>
      <c r="B468" s="427"/>
      <c r="C468" s="427"/>
      <c r="D468" s="427"/>
      <c r="E468" s="428"/>
      <c r="F468" s="429"/>
      <c r="G468" s="430"/>
      <c r="H468" s="427"/>
      <c r="I468" s="427"/>
      <c r="J468" s="427"/>
      <c r="K468" s="427"/>
      <c r="L468" s="427"/>
      <c r="M468" s="427"/>
      <c r="N468" s="427"/>
      <c r="O468" s="427"/>
      <c r="P468" s="427"/>
      <c r="Q468" s="427"/>
      <c r="R468" s="427"/>
      <c r="S468" s="427"/>
      <c r="T468" s="427"/>
      <c r="U468" s="427"/>
      <c r="V468" s="428"/>
      <c r="W468" s="431"/>
      <c r="X468" s="3"/>
      <c r="Y468" s="429"/>
      <c r="Z468" s="430"/>
      <c r="AA468" s="430"/>
      <c r="AB468" s="430"/>
      <c r="AC468" s="424"/>
      <c r="AD468" s="424"/>
      <c r="AE468" s="424"/>
      <c r="AF468" s="424"/>
      <c r="AG468" s="424"/>
      <c r="AH468" s="424"/>
      <c r="AI468" s="424"/>
      <c r="AJ468" s="2"/>
      <c r="AK468" s="2"/>
      <c r="AL468" s="2"/>
      <c r="AM468" s="2"/>
      <c r="AN468" s="2"/>
      <c r="AO468" s="2"/>
      <c r="AP468" s="2"/>
      <c r="AQ468" s="427"/>
      <c r="AR468" s="754"/>
      <c r="AS468" s="427"/>
      <c r="AT468" s="754"/>
      <c r="AU468" s="427"/>
      <c r="AV468" s="427"/>
      <c r="AW468" s="427"/>
      <c r="AX468" s="427"/>
      <c r="AY468" s="754"/>
      <c r="AZ468" s="754"/>
      <c r="BA468" s="754"/>
      <c r="BB468" s="427"/>
      <c r="BC468" s="427"/>
      <c r="BD468" s="427"/>
      <c r="BE468" s="754"/>
      <c r="BF468" s="427"/>
      <c r="BG468" s="454"/>
      <c r="BH468" s="754"/>
      <c r="BI468" s="427"/>
      <c r="BJ468" s="427"/>
      <c r="BK468" s="427"/>
      <c r="BL468" s="427"/>
      <c r="BM468" s="454"/>
      <c r="BN468" s="427"/>
      <c r="BO468" s="427"/>
      <c r="BP468" s="427"/>
      <c r="BQ468" s="454"/>
      <c r="BR468" s="454"/>
      <c r="BS468" s="460"/>
      <c r="BT468" s="454"/>
      <c r="BU468" s="454"/>
      <c r="BV468" s="457"/>
      <c r="BW468" s="460"/>
      <c r="BX468" s="460"/>
      <c r="BY468" s="460"/>
      <c r="CA468" s="2"/>
      <c r="CB468" s="2"/>
      <c r="CC468" s="2"/>
      <c r="CD468" s="2"/>
      <c r="CE468" s="2"/>
      <c r="CF468" s="2"/>
      <c r="CG468" s="2"/>
      <c r="CH468" s="2"/>
      <c r="CI468" s="2"/>
      <c r="CJ468" s="2"/>
      <c r="CK468" s="2"/>
      <c r="CL468" s="2"/>
      <c r="CM468" s="2"/>
      <c r="CN468" s="2"/>
      <c r="CO468" s="427"/>
      <c r="CP468" s="427"/>
      <c r="CQ468" s="427"/>
      <c r="CR468" s="485"/>
      <c r="CS468" s="485"/>
      <c r="CT468" s="485"/>
      <c r="CU468" s="485"/>
      <c r="CV468" s="482"/>
      <c r="CW468" s="482"/>
      <c r="CX468" s="482"/>
      <c r="CY468" s="482"/>
      <c r="CZ468" s="485"/>
      <c r="DA468" s="485"/>
      <c r="DB468" s="485"/>
      <c r="DC468" s="485"/>
      <c r="DD468" s="485"/>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V468" s="2"/>
      <c r="EW468" s="485"/>
      <c r="EX468" s="485"/>
      <c r="EY468" s="457"/>
      <c r="EZ468" s="457"/>
      <c r="FA468" s="457"/>
      <c r="FB468" s="457"/>
      <c r="FC468" s="457"/>
      <c r="FD468" s="457"/>
      <c r="FE468" s="457"/>
      <c r="FF468" s="457"/>
      <c r="FG468" s="457"/>
      <c r="FH468" s="457"/>
      <c r="FI468" s="457"/>
      <c r="FJ468" s="457"/>
      <c r="FK468" s="457"/>
    </row>
    <row r="469" spans="1:167" s="416" customFormat="1">
      <c r="A469" s="427"/>
      <c r="B469" s="427"/>
      <c r="C469" s="427"/>
      <c r="D469" s="427"/>
      <c r="E469" s="428"/>
      <c r="F469" s="429"/>
      <c r="G469" s="430"/>
      <c r="H469" s="427"/>
      <c r="I469" s="427"/>
      <c r="J469" s="427"/>
      <c r="K469" s="427"/>
      <c r="L469" s="427"/>
      <c r="M469" s="427"/>
      <c r="N469" s="427"/>
      <c r="O469" s="427"/>
      <c r="P469" s="427"/>
      <c r="Q469" s="427"/>
      <c r="R469" s="427"/>
      <c r="S469" s="427"/>
      <c r="T469" s="427"/>
      <c r="U469" s="427"/>
      <c r="V469" s="428"/>
      <c r="W469" s="431"/>
      <c r="X469" s="3"/>
      <c r="Y469" s="429"/>
      <c r="Z469" s="430"/>
      <c r="AA469" s="430"/>
      <c r="AB469" s="430"/>
      <c r="AC469" s="424"/>
      <c r="AD469" s="424"/>
      <c r="AE469" s="424"/>
      <c r="AF469" s="424"/>
      <c r="AG469" s="424"/>
      <c r="AH469" s="424"/>
      <c r="AI469" s="424"/>
      <c r="AJ469" s="2"/>
      <c r="AK469" s="2"/>
      <c r="AL469" s="2"/>
      <c r="AM469" s="2"/>
      <c r="AN469" s="2"/>
      <c r="AO469" s="2"/>
      <c r="AP469" s="2"/>
      <c r="AQ469" s="427"/>
      <c r="AR469" s="754"/>
      <c r="AS469" s="427"/>
      <c r="AT469" s="754"/>
      <c r="AU469" s="427"/>
      <c r="AV469" s="427"/>
      <c r="AW469" s="427"/>
      <c r="AX469" s="427"/>
      <c r="AY469" s="754"/>
      <c r="AZ469" s="754"/>
      <c r="BA469" s="754"/>
      <c r="BB469" s="427"/>
      <c r="BC469" s="427"/>
      <c r="BD469" s="427"/>
      <c r="BE469" s="754"/>
      <c r="BF469" s="427"/>
      <c r="BG469" s="454"/>
      <c r="BH469" s="754"/>
      <c r="BI469" s="427"/>
      <c r="BJ469" s="427"/>
      <c r="BK469" s="427"/>
      <c r="BL469" s="427"/>
      <c r="BM469" s="454"/>
      <c r="BN469" s="427"/>
      <c r="BO469" s="427"/>
      <c r="BP469" s="427"/>
      <c r="BQ469" s="454"/>
      <c r="BR469" s="454"/>
      <c r="BS469" s="460"/>
      <c r="BT469" s="454"/>
      <c r="BU469" s="454"/>
      <c r="BV469" s="457"/>
      <c r="BW469" s="460"/>
      <c r="BX469" s="460"/>
      <c r="BY469" s="460"/>
      <c r="CA469" s="2"/>
      <c r="CB469" s="2"/>
      <c r="CC469" s="2"/>
      <c r="CD469" s="2"/>
      <c r="CE469" s="2"/>
      <c r="CF469" s="2"/>
      <c r="CG469" s="2"/>
      <c r="CH469" s="2"/>
      <c r="CI469" s="2"/>
      <c r="CJ469" s="2"/>
      <c r="CK469" s="2"/>
      <c r="CL469" s="2"/>
      <c r="CM469" s="2"/>
      <c r="CN469" s="2"/>
      <c r="CO469" s="427"/>
      <c r="CP469" s="427"/>
      <c r="CQ469" s="427"/>
      <c r="CR469" s="485"/>
      <c r="CS469" s="485"/>
      <c r="CT469" s="485"/>
      <c r="CU469" s="485"/>
      <c r="CV469" s="482"/>
      <c r="CW469" s="482"/>
      <c r="CX469" s="482"/>
      <c r="CY469" s="482"/>
      <c r="CZ469" s="485"/>
      <c r="DA469" s="485"/>
      <c r="DB469" s="485"/>
      <c r="DC469" s="485"/>
      <c r="DD469" s="485"/>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V469" s="2"/>
      <c r="EW469" s="485"/>
      <c r="EX469" s="485"/>
      <c r="EY469" s="457"/>
      <c r="EZ469" s="457"/>
      <c r="FA469" s="457"/>
      <c r="FB469" s="457"/>
      <c r="FC469" s="457"/>
      <c r="FD469" s="457"/>
      <c r="FE469" s="457"/>
      <c r="FF469" s="457"/>
      <c r="FG469" s="457"/>
      <c r="FH469" s="457"/>
      <c r="FI469" s="457"/>
      <c r="FJ469" s="457"/>
      <c r="FK469" s="457"/>
    </row>
    <row r="470" spans="1:167" s="416" customFormat="1">
      <c r="A470" s="427"/>
      <c r="B470" s="427"/>
      <c r="C470" s="427"/>
      <c r="D470" s="427"/>
      <c r="E470" s="428"/>
      <c r="F470" s="429"/>
      <c r="G470" s="430"/>
      <c r="H470" s="427"/>
      <c r="I470" s="427"/>
      <c r="J470" s="427"/>
      <c r="K470" s="427"/>
      <c r="L470" s="427"/>
      <c r="M470" s="427"/>
      <c r="N470" s="427"/>
      <c r="O470" s="427"/>
      <c r="P470" s="427"/>
      <c r="Q470" s="427"/>
      <c r="R470" s="427"/>
      <c r="S470" s="427"/>
      <c r="T470" s="427"/>
      <c r="U470" s="427"/>
      <c r="V470" s="428"/>
      <c r="W470" s="431"/>
      <c r="X470" s="3"/>
      <c r="Y470" s="429"/>
      <c r="Z470" s="430"/>
      <c r="AA470" s="430"/>
      <c r="AB470" s="430"/>
      <c r="AC470" s="424"/>
      <c r="AD470" s="424"/>
      <c r="AE470" s="424"/>
      <c r="AF470" s="424"/>
      <c r="AG470" s="424"/>
      <c r="AH470" s="424"/>
      <c r="AI470" s="424"/>
      <c r="AJ470" s="2"/>
      <c r="AK470" s="2"/>
      <c r="AL470" s="2"/>
      <c r="AM470" s="2"/>
      <c r="AN470" s="2"/>
      <c r="AO470" s="2"/>
      <c r="AP470" s="2"/>
      <c r="AQ470" s="427"/>
      <c r="AR470" s="754"/>
      <c r="AS470" s="427"/>
      <c r="AT470" s="754"/>
      <c r="AU470" s="427"/>
      <c r="AV470" s="427"/>
      <c r="AW470" s="427"/>
      <c r="AX470" s="427"/>
      <c r="AY470" s="754"/>
      <c r="AZ470" s="754"/>
      <c r="BA470" s="754"/>
      <c r="BB470" s="427"/>
      <c r="BC470" s="427"/>
      <c r="BD470" s="427"/>
      <c r="BE470" s="754"/>
      <c r="BF470" s="427"/>
      <c r="BG470" s="454"/>
      <c r="BH470" s="754"/>
      <c r="BI470" s="427"/>
      <c r="BJ470" s="427"/>
      <c r="BK470" s="427"/>
      <c r="BL470" s="427"/>
      <c r="BM470" s="454"/>
      <c r="BN470" s="427"/>
      <c r="BO470" s="427"/>
      <c r="BP470" s="427"/>
      <c r="BQ470" s="454"/>
      <c r="BR470" s="454"/>
      <c r="BS470" s="460"/>
      <c r="BT470" s="454"/>
      <c r="BU470" s="454"/>
      <c r="BV470" s="457"/>
      <c r="BW470" s="460"/>
      <c r="BX470" s="460"/>
      <c r="BY470" s="460"/>
      <c r="CA470" s="2"/>
      <c r="CB470" s="2"/>
      <c r="CC470" s="2"/>
      <c r="CD470" s="2"/>
      <c r="CE470" s="2"/>
      <c r="CF470" s="2"/>
      <c r="CG470" s="2"/>
      <c r="CH470" s="2"/>
      <c r="CI470" s="2"/>
      <c r="CJ470" s="2"/>
      <c r="CK470" s="2"/>
      <c r="CL470" s="2"/>
      <c r="CM470" s="2"/>
      <c r="CN470" s="2"/>
      <c r="CO470" s="427"/>
      <c r="CP470" s="427"/>
      <c r="CQ470" s="427"/>
      <c r="CR470" s="485"/>
      <c r="CS470" s="485"/>
      <c r="CT470" s="485"/>
      <c r="CU470" s="485"/>
      <c r="CV470" s="482"/>
      <c r="CW470" s="482"/>
      <c r="CX470" s="482"/>
      <c r="CY470" s="482"/>
      <c r="CZ470" s="485"/>
      <c r="DA470" s="485"/>
      <c r="DB470" s="485"/>
      <c r="DC470" s="485"/>
      <c r="DD470" s="485"/>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V470" s="2"/>
      <c r="EW470" s="485"/>
      <c r="EX470" s="485"/>
      <c r="EY470" s="457"/>
      <c r="EZ470" s="457"/>
      <c r="FA470" s="457"/>
      <c r="FB470" s="457"/>
      <c r="FC470" s="457"/>
      <c r="FD470" s="457"/>
      <c r="FE470" s="457"/>
      <c r="FF470" s="457"/>
      <c r="FG470" s="457"/>
      <c r="FH470" s="457"/>
      <c r="FI470" s="457"/>
      <c r="FJ470" s="457"/>
      <c r="FK470" s="457"/>
    </row>
    <row r="471" spans="1:167" s="416" customFormat="1">
      <c r="A471" s="427"/>
      <c r="B471" s="427"/>
      <c r="C471" s="427"/>
      <c r="D471" s="427"/>
      <c r="E471" s="428"/>
      <c r="F471" s="429"/>
      <c r="G471" s="430"/>
      <c r="H471" s="427"/>
      <c r="I471" s="427"/>
      <c r="J471" s="427"/>
      <c r="K471" s="427"/>
      <c r="L471" s="427"/>
      <c r="M471" s="427"/>
      <c r="N471" s="427"/>
      <c r="O471" s="427"/>
      <c r="P471" s="427"/>
      <c r="Q471" s="427"/>
      <c r="R471" s="427"/>
      <c r="S471" s="427"/>
      <c r="T471" s="427"/>
      <c r="U471" s="427"/>
      <c r="V471" s="428"/>
      <c r="W471" s="431"/>
      <c r="X471" s="3"/>
      <c r="Y471" s="429"/>
      <c r="Z471" s="430"/>
      <c r="AA471" s="430"/>
      <c r="AB471" s="430"/>
      <c r="AC471" s="424"/>
      <c r="AD471" s="424"/>
      <c r="AE471" s="424"/>
      <c r="AF471" s="424"/>
      <c r="AG471" s="424"/>
      <c r="AH471" s="424"/>
      <c r="AI471" s="424"/>
      <c r="AJ471" s="2"/>
      <c r="AK471" s="2"/>
      <c r="AL471" s="2"/>
      <c r="AM471" s="2"/>
      <c r="AN471" s="2"/>
      <c r="AO471" s="2"/>
      <c r="AP471" s="2"/>
      <c r="AQ471" s="427"/>
      <c r="AR471" s="754"/>
      <c r="AS471" s="427"/>
      <c r="AT471" s="754"/>
      <c r="AU471" s="427"/>
      <c r="AV471" s="427"/>
      <c r="AW471" s="427"/>
      <c r="AX471" s="427"/>
      <c r="AY471" s="754"/>
      <c r="AZ471" s="754"/>
      <c r="BA471" s="754"/>
      <c r="BB471" s="427"/>
      <c r="BC471" s="427"/>
      <c r="BD471" s="427"/>
      <c r="BE471" s="754"/>
      <c r="BF471" s="427"/>
      <c r="BG471" s="454"/>
      <c r="BH471" s="754"/>
      <c r="BI471" s="427"/>
      <c r="BJ471" s="427"/>
      <c r="BK471" s="427"/>
      <c r="BL471" s="427"/>
      <c r="BM471" s="454"/>
      <c r="BN471" s="427"/>
      <c r="BO471" s="427"/>
      <c r="BP471" s="427"/>
      <c r="BQ471" s="454"/>
      <c r="BR471" s="454"/>
      <c r="BS471" s="460"/>
      <c r="BT471" s="454"/>
      <c r="BU471" s="454"/>
      <c r="BV471" s="457"/>
      <c r="BW471" s="460"/>
      <c r="BX471" s="460"/>
      <c r="BY471" s="460"/>
      <c r="CA471" s="2"/>
      <c r="CB471" s="2"/>
      <c r="CC471" s="2"/>
      <c r="CD471" s="2"/>
      <c r="CE471" s="2"/>
      <c r="CF471" s="2"/>
      <c r="CG471" s="2"/>
      <c r="CH471" s="2"/>
      <c r="CI471" s="2"/>
      <c r="CJ471" s="2"/>
      <c r="CK471" s="2"/>
      <c r="CL471" s="2"/>
      <c r="CM471" s="2"/>
      <c r="CN471" s="2"/>
      <c r="CO471" s="427"/>
      <c r="CP471" s="427"/>
      <c r="CQ471" s="427"/>
      <c r="CR471" s="485"/>
      <c r="CS471" s="485"/>
      <c r="CT471" s="485"/>
      <c r="CU471" s="485"/>
      <c r="CV471" s="482"/>
      <c r="CW471" s="482"/>
      <c r="CX471" s="482"/>
      <c r="CY471" s="482"/>
      <c r="CZ471" s="485"/>
      <c r="DA471" s="485"/>
      <c r="DB471" s="485"/>
      <c r="DC471" s="485"/>
      <c r="DD471" s="485"/>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V471" s="2"/>
      <c r="EW471" s="485"/>
      <c r="EX471" s="485"/>
      <c r="EY471" s="457"/>
      <c r="EZ471" s="457"/>
      <c r="FA471" s="457"/>
      <c r="FB471" s="457"/>
      <c r="FC471" s="457"/>
      <c r="FD471" s="457"/>
      <c r="FE471" s="457"/>
      <c r="FF471" s="457"/>
      <c r="FG471" s="457"/>
      <c r="FH471" s="457"/>
      <c r="FI471" s="457"/>
      <c r="FJ471" s="457"/>
      <c r="FK471" s="457"/>
    </row>
    <row r="472" spans="1:167" s="416" customFormat="1">
      <c r="A472" s="427"/>
      <c r="B472" s="427"/>
      <c r="C472" s="427"/>
      <c r="D472" s="427"/>
      <c r="E472" s="428"/>
      <c r="F472" s="429"/>
      <c r="G472" s="430"/>
      <c r="H472" s="427"/>
      <c r="I472" s="427"/>
      <c r="J472" s="427"/>
      <c r="K472" s="427"/>
      <c r="L472" s="427"/>
      <c r="M472" s="427"/>
      <c r="N472" s="427"/>
      <c r="O472" s="427"/>
      <c r="P472" s="427"/>
      <c r="Q472" s="427"/>
      <c r="R472" s="427"/>
      <c r="S472" s="427"/>
      <c r="T472" s="427"/>
      <c r="U472" s="427"/>
      <c r="V472" s="428"/>
      <c r="W472" s="431"/>
      <c r="X472" s="3"/>
      <c r="Y472" s="429"/>
      <c r="Z472" s="430"/>
      <c r="AA472" s="430"/>
      <c r="AB472" s="430"/>
      <c r="AC472" s="424"/>
      <c r="AD472" s="424"/>
      <c r="AE472" s="424"/>
      <c r="AF472" s="424"/>
      <c r="AG472" s="424"/>
      <c r="AH472" s="424"/>
      <c r="AI472" s="424"/>
      <c r="AJ472" s="2"/>
      <c r="AK472" s="2"/>
      <c r="AL472" s="2"/>
      <c r="AM472" s="2"/>
      <c r="AN472" s="2"/>
      <c r="AO472" s="2"/>
      <c r="AP472" s="2"/>
      <c r="AQ472" s="427"/>
      <c r="AR472" s="754"/>
      <c r="AS472" s="427"/>
      <c r="AT472" s="754"/>
      <c r="AU472" s="427"/>
      <c r="AV472" s="427"/>
      <c r="AW472" s="427"/>
      <c r="AX472" s="427"/>
      <c r="AY472" s="754"/>
      <c r="AZ472" s="754"/>
      <c r="BA472" s="754"/>
      <c r="BB472" s="427"/>
      <c r="BC472" s="427"/>
      <c r="BD472" s="427"/>
      <c r="BE472" s="754"/>
      <c r="BF472" s="427"/>
      <c r="BG472" s="454"/>
      <c r="BH472" s="754"/>
      <c r="BI472" s="427"/>
      <c r="BJ472" s="427"/>
      <c r="BK472" s="427"/>
      <c r="BL472" s="427"/>
      <c r="BM472" s="454"/>
      <c r="BN472" s="427"/>
      <c r="BO472" s="427"/>
      <c r="BP472" s="427"/>
      <c r="BQ472" s="454"/>
      <c r="BR472" s="454"/>
      <c r="BS472" s="460"/>
      <c r="BT472" s="454"/>
      <c r="BU472" s="454"/>
      <c r="BV472" s="457"/>
      <c r="BW472" s="460"/>
      <c r="BX472" s="460"/>
      <c r="BY472" s="460"/>
      <c r="CA472" s="2"/>
      <c r="CB472" s="2"/>
      <c r="CC472" s="2"/>
      <c r="CD472" s="2"/>
      <c r="CE472" s="2"/>
      <c r="CF472" s="2"/>
      <c r="CG472" s="2"/>
      <c r="CH472" s="2"/>
      <c r="CI472" s="2"/>
      <c r="CJ472" s="2"/>
      <c r="CK472" s="2"/>
      <c r="CL472" s="2"/>
      <c r="CM472" s="2"/>
      <c r="CN472" s="2"/>
      <c r="CO472" s="427"/>
      <c r="CP472" s="427"/>
      <c r="CQ472" s="427"/>
      <c r="CR472" s="485"/>
      <c r="CS472" s="485"/>
      <c r="CT472" s="485"/>
      <c r="CU472" s="485"/>
      <c r="CV472" s="482"/>
      <c r="CW472" s="482"/>
      <c r="CX472" s="482"/>
      <c r="CY472" s="482"/>
      <c r="CZ472" s="485"/>
      <c r="DA472" s="485"/>
      <c r="DB472" s="485"/>
      <c r="DC472" s="485"/>
      <c r="DD472" s="485"/>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V472" s="2"/>
      <c r="EW472" s="485"/>
      <c r="EX472" s="485"/>
      <c r="EY472" s="457"/>
      <c r="EZ472" s="457"/>
      <c r="FA472" s="457"/>
      <c r="FB472" s="457"/>
      <c r="FC472" s="457"/>
      <c r="FD472" s="457"/>
      <c r="FE472" s="457"/>
      <c r="FF472" s="457"/>
      <c r="FG472" s="457"/>
      <c r="FH472" s="457"/>
      <c r="FI472" s="457"/>
      <c r="FJ472" s="457"/>
      <c r="FK472" s="457"/>
    </row>
    <row r="473" spans="1:167" s="416" customFormat="1">
      <c r="A473" s="427"/>
      <c r="B473" s="427"/>
      <c r="C473" s="427"/>
      <c r="D473" s="427"/>
      <c r="E473" s="428"/>
      <c r="F473" s="429"/>
      <c r="G473" s="430"/>
      <c r="H473" s="427"/>
      <c r="I473" s="427"/>
      <c r="J473" s="427"/>
      <c r="K473" s="427"/>
      <c r="L473" s="427"/>
      <c r="M473" s="427"/>
      <c r="N473" s="427"/>
      <c r="O473" s="427"/>
      <c r="P473" s="427"/>
      <c r="Q473" s="427"/>
      <c r="R473" s="427"/>
      <c r="S473" s="427"/>
      <c r="T473" s="427"/>
      <c r="U473" s="427"/>
      <c r="V473" s="428"/>
      <c r="W473" s="431"/>
      <c r="X473" s="3"/>
      <c r="Y473" s="429"/>
      <c r="Z473" s="430"/>
      <c r="AA473" s="430"/>
      <c r="AB473" s="430"/>
      <c r="AC473" s="424"/>
      <c r="AD473" s="424"/>
      <c r="AE473" s="424"/>
      <c r="AF473" s="424"/>
      <c r="AG473" s="424"/>
      <c r="AH473" s="424"/>
      <c r="AI473" s="424"/>
      <c r="AJ473" s="2"/>
      <c r="AK473" s="2"/>
      <c r="AL473" s="2"/>
      <c r="AM473" s="2"/>
      <c r="AN473" s="2"/>
      <c r="AO473" s="2"/>
      <c r="AP473" s="2"/>
      <c r="AQ473" s="427"/>
      <c r="AR473" s="754"/>
      <c r="AS473" s="427"/>
      <c r="AT473" s="754"/>
      <c r="AU473" s="427"/>
      <c r="AV473" s="427"/>
      <c r="AW473" s="427"/>
      <c r="AX473" s="427"/>
      <c r="AY473" s="754"/>
      <c r="AZ473" s="754"/>
      <c r="BA473" s="754"/>
      <c r="BB473" s="427"/>
      <c r="BC473" s="427"/>
      <c r="BD473" s="427"/>
      <c r="BE473" s="754"/>
      <c r="BF473" s="427"/>
      <c r="BG473" s="454"/>
      <c r="BH473" s="754"/>
      <c r="BI473" s="427"/>
      <c r="BJ473" s="427"/>
      <c r="BK473" s="427"/>
      <c r="BL473" s="427"/>
      <c r="BM473" s="454"/>
      <c r="BN473" s="427"/>
      <c r="BO473" s="427"/>
      <c r="BP473" s="427"/>
      <c r="BQ473" s="454"/>
      <c r="BR473" s="454"/>
      <c r="BS473" s="460"/>
      <c r="BT473" s="454"/>
      <c r="BU473" s="454"/>
      <c r="BV473" s="457"/>
      <c r="BW473" s="460"/>
      <c r="BX473" s="460"/>
      <c r="BY473" s="460"/>
      <c r="CA473" s="2"/>
      <c r="CB473" s="2"/>
      <c r="CC473" s="2"/>
      <c r="CD473" s="2"/>
      <c r="CE473" s="2"/>
      <c r="CF473" s="2"/>
      <c r="CG473" s="2"/>
      <c r="CH473" s="2"/>
      <c r="CI473" s="2"/>
      <c r="CJ473" s="2"/>
      <c r="CK473" s="2"/>
      <c r="CL473" s="2"/>
      <c r="CM473" s="2"/>
      <c r="CN473" s="2"/>
      <c r="CO473" s="427"/>
      <c r="CP473" s="427"/>
      <c r="CQ473" s="427"/>
      <c r="CR473" s="485"/>
      <c r="CS473" s="485"/>
      <c r="CT473" s="485"/>
      <c r="CU473" s="485"/>
      <c r="CV473" s="482"/>
      <c r="CW473" s="482"/>
      <c r="CX473" s="482"/>
      <c r="CY473" s="482"/>
      <c r="CZ473" s="485"/>
      <c r="DA473" s="485"/>
      <c r="DB473" s="485"/>
      <c r="DC473" s="485"/>
      <c r="DD473" s="485"/>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485"/>
      <c r="EX473" s="457"/>
      <c r="EY473" s="457"/>
      <c r="EZ473" s="457"/>
      <c r="FA473" s="457"/>
      <c r="FB473" s="457"/>
      <c r="FC473" s="457"/>
      <c r="FD473" s="457"/>
      <c r="FE473" s="457"/>
      <c r="FF473" s="457"/>
      <c r="FG473" s="457"/>
      <c r="FH473" s="457"/>
      <c r="FI473" s="457"/>
      <c r="FJ473" s="457"/>
      <c r="FK473" s="457"/>
    </row>
    <row r="474" spans="1:167" s="416" customFormat="1">
      <c r="A474" s="427"/>
      <c r="B474" s="427"/>
      <c r="C474" s="427"/>
      <c r="D474" s="427"/>
      <c r="E474" s="428"/>
      <c r="F474" s="429"/>
      <c r="G474" s="430"/>
      <c r="H474" s="427"/>
      <c r="I474" s="427"/>
      <c r="J474" s="427"/>
      <c r="K474" s="427"/>
      <c r="L474" s="427"/>
      <c r="M474" s="427"/>
      <c r="N474" s="427"/>
      <c r="O474" s="427"/>
      <c r="P474" s="427"/>
      <c r="Q474" s="427"/>
      <c r="R474" s="427"/>
      <c r="S474" s="427"/>
      <c r="T474" s="427"/>
      <c r="U474" s="427"/>
      <c r="V474" s="428"/>
      <c r="W474" s="431"/>
      <c r="X474" s="3"/>
      <c r="Y474" s="429"/>
      <c r="Z474" s="430"/>
      <c r="AA474" s="430"/>
      <c r="AB474" s="430"/>
      <c r="AC474" s="424"/>
      <c r="AD474" s="424"/>
      <c r="AE474" s="424"/>
      <c r="AF474" s="424"/>
      <c r="AG474" s="424"/>
      <c r="AH474" s="424"/>
      <c r="AI474" s="424"/>
      <c r="AJ474" s="2"/>
      <c r="AK474" s="2"/>
      <c r="AL474" s="2"/>
      <c r="AM474" s="2"/>
      <c r="AN474" s="2"/>
      <c r="AO474" s="2"/>
      <c r="AP474" s="2"/>
      <c r="AQ474" s="427"/>
      <c r="AR474" s="754"/>
      <c r="AS474" s="427"/>
      <c r="AT474" s="754"/>
      <c r="AU474" s="427"/>
      <c r="AV474" s="427"/>
      <c r="AW474" s="427"/>
      <c r="AX474" s="427"/>
      <c r="AY474" s="754"/>
      <c r="AZ474" s="754"/>
      <c r="BA474" s="754"/>
      <c r="BB474" s="427"/>
      <c r="BC474" s="427"/>
      <c r="BD474" s="427"/>
      <c r="BE474" s="754"/>
      <c r="BF474" s="427"/>
      <c r="BG474" s="454"/>
      <c r="BH474" s="754"/>
      <c r="BI474" s="427"/>
      <c r="BJ474" s="427"/>
      <c r="BK474" s="427"/>
      <c r="BL474" s="427"/>
      <c r="BM474" s="454"/>
      <c r="BN474" s="427"/>
      <c r="BO474" s="427"/>
      <c r="BP474" s="427"/>
      <c r="BQ474" s="454"/>
      <c r="BR474" s="454"/>
      <c r="BS474" s="460"/>
      <c r="BT474" s="454"/>
      <c r="BU474" s="454"/>
      <c r="BV474" s="457"/>
      <c r="BW474" s="460"/>
      <c r="BX474" s="460"/>
      <c r="BY474" s="460"/>
      <c r="CA474" s="2"/>
      <c r="CB474" s="2"/>
      <c r="CC474" s="2"/>
      <c r="CD474" s="2"/>
      <c r="CE474" s="2"/>
      <c r="CF474" s="2"/>
      <c r="CG474" s="2"/>
      <c r="CH474" s="2"/>
      <c r="CI474" s="2"/>
      <c r="CJ474" s="2"/>
      <c r="CK474" s="2"/>
      <c r="CL474" s="2"/>
      <c r="CM474" s="2"/>
      <c r="CN474" s="2"/>
      <c r="CO474" s="427"/>
      <c r="CP474" s="427"/>
      <c r="CQ474" s="427"/>
      <c r="CR474" s="485"/>
      <c r="CS474" s="485"/>
      <c r="CT474" s="485"/>
      <c r="CU474" s="485"/>
      <c r="CV474" s="482"/>
      <c r="CW474" s="482"/>
      <c r="CX474" s="482"/>
      <c r="CY474" s="482"/>
      <c r="CZ474" s="485"/>
      <c r="DA474" s="485"/>
      <c r="DB474" s="485"/>
      <c r="DC474" s="485"/>
      <c r="DD474" s="485"/>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485"/>
      <c r="EX474" s="457"/>
      <c r="EY474" s="457"/>
      <c r="EZ474" s="457"/>
      <c r="FA474" s="457"/>
      <c r="FB474" s="457"/>
      <c r="FC474" s="457"/>
      <c r="FD474" s="457"/>
      <c r="FE474" s="457"/>
      <c r="FF474" s="457"/>
      <c r="FG474" s="457"/>
      <c r="FH474" s="457"/>
      <c r="FI474" s="457"/>
      <c r="FJ474" s="457"/>
      <c r="FK474" s="457"/>
    </row>
    <row r="475" spans="1:167" s="416" customFormat="1">
      <c r="A475" s="427"/>
      <c r="B475" s="427"/>
      <c r="C475" s="427"/>
      <c r="D475" s="427"/>
      <c r="E475" s="428"/>
      <c r="F475" s="429"/>
      <c r="G475" s="430"/>
      <c r="H475" s="427"/>
      <c r="I475" s="427"/>
      <c r="J475" s="427"/>
      <c r="K475" s="427"/>
      <c r="L475" s="427"/>
      <c r="M475" s="427"/>
      <c r="N475" s="427"/>
      <c r="O475" s="427"/>
      <c r="P475" s="427"/>
      <c r="Q475" s="427"/>
      <c r="R475" s="427"/>
      <c r="S475" s="427"/>
      <c r="T475" s="427"/>
      <c r="U475" s="427"/>
      <c r="V475" s="428"/>
      <c r="W475" s="431"/>
      <c r="X475" s="3"/>
      <c r="Y475" s="429"/>
      <c r="Z475" s="430"/>
      <c r="AA475" s="430"/>
      <c r="AB475" s="430"/>
      <c r="AC475" s="424"/>
      <c r="AD475" s="424"/>
      <c r="AE475" s="424"/>
      <c r="AF475" s="424"/>
      <c r="AG475" s="424"/>
      <c r="AH475" s="424"/>
      <c r="AI475" s="424"/>
      <c r="AJ475" s="2"/>
      <c r="AK475" s="2"/>
      <c r="AL475" s="2"/>
      <c r="AM475" s="2"/>
      <c r="AN475" s="2"/>
      <c r="AO475" s="2"/>
      <c r="AP475" s="2"/>
      <c r="AQ475" s="427"/>
      <c r="AR475" s="754"/>
      <c r="AS475" s="427"/>
      <c r="AT475" s="754"/>
      <c r="AU475" s="427"/>
      <c r="AV475" s="427"/>
      <c r="AW475" s="427"/>
      <c r="AX475" s="427"/>
      <c r="AY475" s="754"/>
      <c r="AZ475" s="754"/>
      <c r="BA475" s="754"/>
      <c r="BB475" s="427"/>
      <c r="BC475" s="427"/>
      <c r="BD475" s="427"/>
      <c r="BE475" s="754"/>
      <c r="BF475" s="427"/>
      <c r="BG475" s="454"/>
      <c r="BH475" s="754"/>
      <c r="BI475" s="427"/>
      <c r="BJ475" s="427"/>
      <c r="BK475" s="427"/>
      <c r="BL475" s="427"/>
      <c r="BM475" s="454"/>
      <c r="BN475" s="427"/>
      <c r="BO475" s="427"/>
      <c r="BP475" s="427"/>
      <c r="BQ475" s="454"/>
      <c r="BR475" s="454"/>
      <c r="BS475" s="460"/>
      <c r="BT475" s="454"/>
      <c r="BU475" s="454"/>
      <c r="BV475" s="457"/>
      <c r="BW475" s="460"/>
      <c r="BX475" s="460"/>
      <c r="BY475" s="460"/>
      <c r="CA475" s="2"/>
      <c r="CB475" s="2"/>
      <c r="CC475" s="2"/>
      <c r="CD475" s="2"/>
      <c r="CE475" s="2"/>
      <c r="CF475" s="2"/>
      <c r="CG475" s="2"/>
      <c r="CH475" s="2"/>
      <c r="CI475" s="2"/>
      <c r="CJ475" s="2"/>
      <c r="CK475" s="2"/>
      <c r="CL475" s="2"/>
      <c r="CM475" s="2"/>
      <c r="CN475" s="2"/>
      <c r="CO475" s="427"/>
      <c r="CP475" s="427"/>
      <c r="CQ475" s="427"/>
      <c r="CR475" s="485"/>
      <c r="CS475" s="485"/>
      <c r="CT475" s="485"/>
      <c r="CU475" s="485"/>
      <c r="CV475" s="482"/>
      <c r="CW475" s="482"/>
      <c r="CX475" s="482"/>
      <c r="CY475" s="482"/>
      <c r="CZ475" s="485"/>
      <c r="DA475" s="485"/>
      <c r="DB475" s="485"/>
      <c r="DC475" s="485"/>
      <c r="DD475" s="485"/>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485"/>
      <c r="EX475" s="457"/>
      <c r="EY475" s="457"/>
      <c r="EZ475" s="457"/>
      <c r="FA475" s="457"/>
      <c r="FB475" s="457"/>
      <c r="FC475" s="457"/>
      <c r="FD475" s="457"/>
      <c r="FE475" s="457"/>
      <c r="FF475" s="457"/>
      <c r="FG475" s="457"/>
      <c r="FH475" s="457"/>
      <c r="FI475" s="457"/>
      <c r="FJ475" s="457"/>
      <c r="FK475" s="457"/>
    </row>
    <row r="476" spans="1:167" s="416" customFormat="1">
      <c r="A476" s="427"/>
      <c r="B476" s="427"/>
      <c r="C476" s="427"/>
      <c r="D476" s="427"/>
      <c r="E476" s="428"/>
      <c r="F476" s="429"/>
      <c r="G476" s="430"/>
      <c r="H476" s="427"/>
      <c r="I476" s="427"/>
      <c r="J476" s="427"/>
      <c r="K476" s="427"/>
      <c r="L476" s="427"/>
      <c r="M476" s="427"/>
      <c r="N476" s="427"/>
      <c r="O476" s="427"/>
      <c r="P476" s="427"/>
      <c r="Q476" s="427"/>
      <c r="R476" s="427"/>
      <c r="S476" s="427"/>
      <c r="T476" s="427"/>
      <c r="U476" s="427"/>
      <c r="V476" s="428"/>
      <c r="W476" s="431"/>
      <c r="X476" s="3"/>
      <c r="Y476" s="429"/>
      <c r="Z476" s="430"/>
      <c r="AA476" s="430"/>
      <c r="AB476" s="430"/>
      <c r="AC476" s="424"/>
      <c r="AD476" s="424"/>
      <c r="AE476" s="424"/>
      <c r="AF476" s="424"/>
      <c r="AG476" s="424"/>
      <c r="AH476" s="424"/>
      <c r="AI476" s="424"/>
      <c r="AJ476" s="2"/>
      <c r="AK476" s="2"/>
      <c r="AL476" s="2"/>
      <c r="AM476" s="2"/>
      <c r="AN476" s="2"/>
      <c r="AO476" s="2"/>
      <c r="AP476" s="2"/>
      <c r="AQ476" s="427"/>
      <c r="AR476" s="754"/>
      <c r="AS476" s="427"/>
      <c r="AT476" s="754"/>
      <c r="AU476" s="427"/>
      <c r="AV476" s="427"/>
      <c r="AW476" s="427"/>
      <c r="AX476" s="427"/>
      <c r="AY476" s="754"/>
      <c r="AZ476" s="754"/>
      <c r="BA476" s="754"/>
      <c r="BB476" s="427"/>
      <c r="BC476" s="427"/>
      <c r="BD476" s="427"/>
      <c r="BE476" s="754"/>
      <c r="BF476" s="427"/>
      <c r="BG476" s="454"/>
      <c r="BH476" s="754"/>
      <c r="BI476" s="427"/>
      <c r="BJ476" s="427"/>
      <c r="BK476" s="427"/>
      <c r="BL476" s="427"/>
      <c r="BM476" s="454"/>
      <c r="BN476" s="427"/>
      <c r="BO476" s="427"/>
      <c r="BP476" s="427"/>
      <c r="BQ476" s="454"/>
      <c r="BR476" s="454"/>
      <c r="BS476" s="460"/>
      <c r="BT476" s="454"/>
      <c r="BU476" s="454"/>
      <c r="BV476" s="457"/>
      <c r="BW476" s="460"/>
      <c r="BX476" s="460"/>
      <c r="BY476" s="460"/>
      <c r="CA476" s="2"/>
      <c r="CB476" s="2"/>
      <c r="CC476" s="2"/>
      <c r="CD476" s="2"/>
      <c r="CE476" s="2"/>
      <c r="CF476" s="2"/>
      <c r="CG476" s="2"/>
      <c r="CH476" s="2"/>
      <c r="CI476" s="2"/>
      <c r="CJ476" s="2"/>
      <c r="CK476" s="2"/>
      <c r="CL476" s="2"/>
      <c r="CM476" s="2"/>
      <c r="CN476" s="2"/>
      <c r="CO476" s="427"/>
      <c r="CP476" s="427"/>
      <c r="CQ476" s="427"/>
      <c r="CR476" s="485"/>
      <c r="CS476" s="485"/>
      <c r="CT476" s="485"/>
      <c r="CU476" s="485"/>
      <c r="CV476" s="482"/>
      <c r="CW476" s="482"/>
      <c r="CX476" s="482"/>
      <c r="CY476" s="482"/>
      <c r="CZ476" s="485"/>
      <c r="DA476" s="485"/>
      <c r="DB476" s="485"/>
      <c r="DC476" s="485"/>
      <c r="DD476" s="485"/>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485"/>
      <c r="EX476" s="457"/>
      <c r="EY476" s="457"/>
      <c r="EZ476" s="457"/>
      <c r="FA476" s="457"/>
      <c r="FB476" s="457"/>
      <c r="FC476" s="457"/>
      <c r="FD476" s="457"/>
      <c r="FE476" s="457"/>
      <c r="FF476" s="457"/>
      <c r="FG476" s="457"/>
      <c r="FH476" s="457"/>
      <c r="FI476" s="457"/>
      <c r="FJ476" s="457"/>
      <c r="FK476" s="457"/>
    </row>
    <row r="477" spans="1:167" s="416" customFormat="1">
      <c r="A477" s="427"/>
      <c r="B477" s="427"/>
      <c r="C477" s="427"/>
      <c r="D477" s="427"/>
      <c r="E477" s="428"/>
      <c r="F477" s="429"/>
      <c r="G477" s="430"/>
      <c r="H477" s="427"/>
      <c r="I477" s="427"/>
      <c r="J477" s="427"/>
      <c r="K477" s="427"/>
      <c r="L477" s="427"/>
      <c r="M477" s="427"/>
      <c r="N477" s="427"/>
      <c r="O477" s="427"/>
      <c r="P477" s="427"/>
      <c r="Q477" s="427"/>
      <c r="R477" s="427"/>
      <c r="S477" s="427"/>
      <c r="T477" s="427"/>
      <c r="U477" s="427"/>
      <c r="V477" s="428"/>
      <c r="W477" s="431"/>
      <c r="X477" s="3"/>
      <c r="Y477" s="429"/>
      <c r="Z477" s="430"/>
      <c r="AA477" s="430"/>
      <c r="AB477" s="430"/>
      <c r="AC477" s="424"/>
      <c r="AD477" s="424"/>
      <c r="AE477" s="424"/>
      <c r="AF477" s="424"/>
      <c r="AG477" s="424"/>
      <c r="AH477" s="424"/>
      <c r="AI477" s="424"/>
      <c r="AJ477" s="2"/>
      <c r="AK477" s="2"/>
      <c r="AL477" s="2"/>
      <c r="AM477" s="2"/>
      <c r="AN477" s="2"/>
      <c r="AO477" s="2"/>
      <c r="AP477" s="2"/>
      <c r="AQ477" s="427"/>
      <c r="AR477" s="754"/>
      <c r="AS477" s="427"/>
      <c r="AT477" s="754"/>
      <c r="AU477" s="427"/>
      <c r="AV477" s="427"/>
      <c r="AW477" s="427"/>
      <c r="AX477" s="427"/>
      <c r="AY477" s="754"/>
      <c r="AZ477" s="754"/>
      <c r="BA477" s="754"/>
      <c r="BB477" s="427"/>
      <c r="BC477" s="427"/>
      <c r="BD477" s="427"/>
      <c r="BE477" s="754"/>
      <c r="BF477" s="427"/>
      <c r="BG477" s="454"/>
      <c r="BH477" s="754"/>
      <c r="BI477" s="427"/>
      <c r="BJ477" s="427"/>
      <c r="BK477" s="427"/>
      <c r="BL477" s="427"/>
      <c r="BM477" s="454"/>
      <c r="BN477" s="427"/>
      <c r="BO477" s="427"/>
      <c r="BP477" s="427"/>
      <c r="BQ477" s="454"/>
      <c r="BR477" s="454"/>
      <c r="BS477" s="460"/>
      <c r="BT477" s="454"/>
      <c r="BU477" s="454"/>
      <c r="BV477" s="457"/>
      <c r="BW477" s="460"/>
      <c r="BX477" s="460"/>
      <c r="BY477" s="460"/>
      <c r="CA477" s="2"/>
      <c r="CB477" s="2"/>
      <c r="CC477" s="2"/>
      <c r="CD477" s="2"/>
      <c r="CE477" s="2"/>
      <c r="CF477" s="2"/>
      <c r="CG477" s="2"/>
      <c r="CH477" s="2"/>
      <c r="CI477" s="2"/>
      <c r="CJ477" s="2"/>
      <c r="CK477" s="2"/>
      <c r="CL477" s="2"/>
      <c r="CM477" s="2"/>
      <c r="CN477" s="2"/>
      <c r="CO477" s="427"/>
      <c r="CP477" s="427"/>
      <c r="CQ477" s="427"/>
      <c r="CR477" s="485"/>
      <c r="CS477" s="485"/>
      <c r="CT477" s="485"/>
      <c r="CU477" s="485"/>
      <c r="CV477" s="482"/>
      <c r="CW477" s="482"/>
      <c r="CX477" s="482"/>
      <c r="CY477" s="482"/>
      <c r="CZ477" s="485"/>
      <c r="DA477" s="485"/>
      <c r="DB477" s="485"/>
      <c r="DC477" s="485"/>
      <c r="DD477" s="485"/>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485"/>
      <c r="EX477" s="457"/>
      <c r="EY477" s="457"/>
      <c r="EZ477" s="457"/>
      <c r="FA477" s="457"/>
      <c r="FB477" s="457"/>
      <c r="FC477" s="457"/>
      <c r="FD477" s="457"/>
      <c r="FE477" s="457"/>
      <c r="FF477" s="457"/>
      <c r="FG477" s="457"/>
      <c r="FH477" s="457"/>
      <c r="FI477" s="457"/>
      <c r="FJ477" s="457"/>
      <c r="FK477" s="457"/>
    </row>
    <row r="478" spans="1:167" s="416" customFormat="1">
      <c r="A478" s="427"/>
      <c r="B478" s="427"/>
      <c r="C478" s="427"/>
      <c r="D478" s="427"/>
      <c r="E478" s="428"/>
      <c r="F478" s="429"/>
      <c r="G478" s="430"/>
      <c r="H478" s="427"/>
      <c r="I478" s="427"/>
      <c r="J478" s="427"/>
      <c r="K478" s="427"/>
      <c r="L478" s="427"/>
      <c r="M478" s="427"/>
      <c r="N478" s="427"/>
      <c r="O478" s="427"/>
      <c r="P478" s="427"/>
      <c r="Q478" s="427"/>
      <c r="R478" s="427"/>
      <c r="S478" s="427"/>
      <c r="T478" s="427"/>
      <c r="U478" s="427"/>
      <c r="V478" s="428"/>
      <c r="W478" s="431"/>
      <c r="X478" s="3"/>
      <c r="Y478" s="429"/>
      <c r="Z478" s="430"/>
      <c r="AA478" s="430"/>
      <c r="AB478" s="430"/>
      <c r="AC478" s="424"/>
      <c r="AD478" s="424"/>
      <c r="AE478" s="424"/>
      <c r="AF478" s="424"/>
      <c r="AG478" s="424"/>
      <c r="AH478" s="424"/>
      <c r="AI478" s="424"/>
      <c r="AJ478" s="2"/>
      <c r="AK478" s="2"/>
      <c r="AL478" s="2"/>
      <c r="AM478" s="2"/>
      <c r="AN478" s="2"/>
      <c r="AO478" s="2"/>
      <c r="AP478" s="2"/>
      <c r="AQ478" s="427"/>
      <c r="AR478" s="754"/>
      <c r="AS478" s="427"/>
      <c r="AT478" s="754"/>
      <c r="AU478" s="427"/>
      <c r="AV478" s="427"/>
      <c r="AW478" s="427"/>
      <c r="AX478" s="427"/>
      <c r="AY478" s="754"/>
      <c r="AZ478" s="754"/>
      <c r="BA478" s="754"/>
      <c r="BB478" s="427"/>
      <c r="BC478" s="427"/>
      <c r="BD478" s="427"/>
      <c r="BE478" s="754"/>
      <c r="BF478" s="427"/>
      <c r="BG478" s="454"/>
      <c r="BH478" s="754"/>
      <c r="BI478" s="427"/>
      <c r="BJ478" s="427"/>
      <c r="BK478" s="427"/>
      <c r="BL478" s="427"/>
      <c r="BM478" s="454"/>
      <c r="BN478" s="427"/>
      <c r="BO478" s="427"/>
      <c r="BP478" s="427"/>
      <c r="BQ478" s="454"/>
      <c r="BR478" s="454"/>
      <c r="BS478" s="460"/>
      <c r="BT478" s="454"/>
      <c r="BU478" s="454"/>
      <c r="BV478" s="457"/>
      <c r="BW478" s="460"/>
      <c r="BX478" s="460"/>
      <c r="BY478" s="460"/>
      <c r="CA478" s="2"/>
      <c r="CB478" s="2"/>
      <c r="CC478" s="2"/>
      <c r="CD478" s="2"/>
      <c r="CE478" s="2"/>
      <c r="CF478" s="2"/>
      <c r="CG478" s="2"/>
      <c r="CH478" s="2"/>
      <c r="CI478" s="2"/>
      <c r="CJ478" s="2"/>
      <c r="CK478" s="2"/>
      <c r="CL478" s="2"/>
      <c r="CM478" s="2"/>
      <c r="CN478" s="2"/>
      <c r="CO478" s="427"/>
      <c r="CP478" s="427"/>
      <c r="CQ478" s="427"/>
      <c r="CR478" s="485"/>
      <c r="CS478" s="485"/>
      <c r="CT478" s="485"/>
      <c r="CU478" s="485"/>
      <c r="CV478" s="482"/>
      <c r="CW478" s="482"/>
      <c r="CX478" s="482"/>
      <c r="CY478" s="482"/>
      <c r="CZ478" s="485"/>
      <c r="DA478" s="485"/>
      <c r="DB478" s="485"/>
      <c r="DC478" s="485"/>
      <c r="DD478" s="485"/>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485"/>
      <c r="EX478" s="457"/>
      <c r="EY478" s="457"/>
      <c r="EZ478" s="457"/>
      <c r="FA478" s="457"/>
      <c r="FB478" s="457"/>
      <c r="FC478" s="457"/>
      <c r="FD478" s="457"/>
      <c r="FE478" s="457"/>
      <c r="FF478" s="457"/>
      <c r="FG478" s="457"/>
      <c r="FH478" s="457"/>
      <c r="FI478" s="457"/>
      <c r="FJ478" s="457"/>
      <c r="FK478" s="457"/>
    </row>
    <row r="479" spans="1:167" s="416" customFormat="1">
      <c r="A479" s="427"/>
      <c r="B479" s="427"/>
      <c r="C479" s="427"/>
      <c r="D479" s="427"/>
      <c r="E479" s="428"/>
      <c r="F479" s="429"/>
      <c r="G479" s="430"/>
      <c r="H479" s="427"/>
      <c r="I479" s="427"/>
      <c r="J479" s="427"/>
      <c r="K479" s="427"/>
      <c r="L479" s="427"/>
      <c r="M479" s="427"/>
      <c r="N479" s="427"/>
      <c r="O479" s="427"/>
      <c r="P479" s="427"/>
      <c r="Q479" s="427"/>
      <c r="R479" s="427"/>
      <c r="S479" s="427"/>
      <c r="T479" s="427"/>
      <c r="U479" s="427"/>
      <c r="V479" s="428"/>
      <c r="W479" s="431"/>
      <c r="X479" s="3"/>
      <c r="Y479" s="429"/>
      <c r="Z479" s="430"/>
      <c r="AA479" s="430"/>
      <c r="AB479" s="430"/>
      <c r="AC479" s="424"/>
      <c r="AD479" s="424"/>
      <c r="AE479" s="424"/>
      <c r="AF479" s="424"/>
      <c r="AG479" s="424"/>
      <c r="AH479" s="424"/>
      <c r="AI479" s="424"/>
      <c r="AJ479" s="2"/>
      <c r="AK479" s="2"/>
      <c r="AL479" s="2"/>
      <c r="AM479" s="2"/>
      <c r="AN479" s="2"/>
      <c r="AO479" s="2"/>
      <c r="AP479" s="2"/>
      <c r="AQ479" s="427"/>
      <c r="AR479" s="754"/>
      <c r="AS479" s="427"/>
      <c r="AT479" s="754"/>
      <c r="AU479" s="427"/>
      <c r="AV479" s="427"/>
      <c r="AW479" s="427"/>
      <c r="AX479" s="427"/>
      <c r="AY479" s="754"/>
      <c r="AZ479" s="754"/>
      <c r="BA479" s="754"/>
      <c r="BB479" s="427"/>
      <c r="BC479" s="427"/>
      <c r="BD479" s="427"/>
      <c r="BE479" s="754"/>
      <c r="BF479" s="427"/>
      <c r="BG479" s="454"/>
      <c r="BH479" s="754"/>
      <c r="BI479" s="427"/>
      <c r="BJ479" s="427"/>
      <c r="BK479" s="427"/>
      <c r="BL479" s="427"/>
      <c r="BM479" s="454"/>
      <c r="BN479" s="427"/>
      <c r="BO479" s="427"/>
      <c r="BP479" s="427"/>
      <c r="BQ479" s="454"/>
      <c r="BR479" s="454"/>
      <c r="BS479" s="460"/>
      <c r="BT479" s="454"/>
      <c r="BU479" s="454"/>
      <c r="BV479" s="457"/>
      <c r="BW479" s="460"/>
      <c r="BX479" s="460"/>
      <c r="BY479" s="460"/>
      <c r="CA479" s="2"/>
      <c r="CB479" s="2"/>
      <c r="CC479" s="2"/>
      <c r="CD479" s="2"/>
      <c r="CE479" s="2"/>
      <c r="CF479" s="2"/>
      <c r="CG479" s="2"/>
      <c r="CH479" s="2"/>
      <c r="CI479" s="2"/>
      <c r="CJ479" s="2"/>
      <c r="CK479" s="2"/>
      <c r="CL479" s="2"/>
      <c r="CM479" s="2"/>
      <c r="CN479" s="2"/>
      <c r="CO479" s="427"/>
      <c r="CP479" s="427"/>
      <c r="CQ479" s="427"/>
      <c r="CR479" s="485"/>
      <c r="CS479" s="485"/>
      <c r="CT479" s="485"/>
      <c r="CU479" s="485"/>
      <c r="CV479" s="482"/>
      <c r="CW479" s="482"/>
      <c r="CX479" s="482"/>
      <c r="CY479" s="482"/>
      <c r="CZ479" s="485"/>
      <c r="DA479" s="485"/>
      <c r="DB479" s="485"/>
      <c r="DC479" s="485"/>
      <c r="DD479" s="485"/>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485"/>
      <c r="EX479" s="457"/>
      <c r="EY479" s="457"/>
      <c r="EZ479" s="457"/>
      <c r="FA479" s="457"/>
      <c r="FB479" s="457"/>
      <c r="FC479" s="457"/>
      <c r="FD479" s="457"/>
      <c r="FE479" s="457"/>
      <c r="FF479" s="457"/>
      <c r="FG479" s="457"/>
      <c r="FH479" s="457"/>
      <c r="FI479" s="457"/>
      <c r="FJ479" s="457"/>
      <c r="FK479" s="457"/>
    </row>
    <row r="480" spans="1:167" s="416" customFormat="1">
      <c r="A480" s="427"/>
      <c r="B480" s="427"/>
      <c r="C480" s="427"/>
      <c r="D480" s="427"/>
      <c r="E480" s="428"/>
      <c r="F480" s="429"/>
      <c r="G480" s="430"/>
      <c r="H480" s="427"/>
      <c r="I480" s="427"/>
      <c r="J480" s="427"/>
      <c r="K480" s="427"/>
      <c r="L480" s="427"/>
      <c r="M480" s="427"/>
      <c r="N480" s="427"/>
      <c r="O480" s="427"/>
      <c r="P480" s="427"/>
      <c r="Q480" s="427"/>
      <c r="R480" s="427"/>
      <c r="S480" s="427"/>
      <c r="T480" s="427"/>
      <c r="U480" s="427"/>
      <c r="V480" s="428"/>
      <c r="W480" s="431"/>
      <c r="X480" s="3"/>
      <c r="Y480" s="429"/>
      <c r="Z480" s="430"/>
      <c r="AA480" s="430"/>
      <c r="AB480" s="430"/>
      <c r="AC480" s="424"/>
      <c r="AD480" s="424"/>
      <c r="AE480" s="424"/>
      <c r="AF480" s="424"/>
      <c r="AG480" s="424"/>
      <c r="AH480" s="424"/>
      <c r="AI480" s="424"/>
      <c r="AJ480" s="2"/>
      <c r="AK480" s="2"/>
      <c r="AL480" s="2"/>
      <c r="AM480" s="2"/>
      <c r="AN480" s="2"/>
      <c r="AO480" s="2"/>
      <c r="AP480" s="2"/>
      <c r="AQ480" s="427"/>
      <c r="AR480" s="754"/>
      <c r="AS480" s="427"/>
      <c r="AT480" s="754"/>
      <c r="AU480" s="427"/>
      <c r="AV480" s="427"/>
      <c r="AW480" s="427"/>
      <c r="AX480" s="427"/>
      <c r="AY480" s="754"/>
      <c r="AZ480" s="754"/>
      <c r="BA480" s="754"/>
      <c r="BB480" s="427"/>
      <c r="BC480" s="427"/>
      <c r="BD480" s="427"/>
      <c r="BE480" s="754"/>
      <c r="BF480" s="427"/>
      <c r="BG480" s="454"/>
      <c r="BH480" s="754"/>
      <c r="BI480" s="427"/>
      <c r="BJ480" s="427"/>
      <c r="BK480" s="427"/>
      <c r="BL480" s="427"/>
      <c r="BM480" s="454"/>
      <c r="BN480" s="427"/>
      <c r="BO480" s="427"/>
      <c r="BP480" s="427"/>
      <c r="BQ480" s="454"/>
      <c r="BR480" s="454"/>
      <c r="BS480" s="460"/>
      <c r="BT480" s="454"/>
      <c r="BU480" s="454"/>
      <c r="BV480" s="457"/>
      <c r="BW480" s="460"/>
      <c r="BX480" s="460"/>
      <c r="BY480" s="460"/>
      <c r="CA480" s="2"/>
      <c r="CB480" s="2"/>
      <c r="CC480" s="2"/>
      <c r="CD480" s="2"/>
      <c r="CE480" s="2"/>
      <c r="CF480" s="2"/>
      <c r="CG480" s="2"/>
      <c r="CH480" s="2"/>
      <c r="CI480" s="2"/>
      <c r="CJ480" s="2"/>
      <c r="CK480" s="2"/>
      <c r="CL480" s="2"/>
      <c r="CM480" s="2"/>
      <c r="CN480" s="2"/>
      <c r="CO480" s="427"/>
      <c r="CP480" s="427"/>
      <c r="CQ480" s="427"/>
      <c r="CR480" s="485"/>
      <c r="CS480" s="485"/>
      <c r="CT480" s="485"/>
      <c r="CU480" s="485"/>
      <c r="CV480" s="482"/>
      <c r="CW480" s="482"/>
      <c r="CX480" s="482"/>
      <c r="CY480" s="482"/>
      <c r="CZ480" s="485"/>
      <c r="DA480" s="485"/>
      <c r="DB480" s="485"/>
      <c r="DC480" s="485"/>
      <c r="DD480" s="485"/>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485"/>
      <c r="EX480" s="457"/>
      <c r="EY480" s="457"/>
      <c r="EZ480" s="457"/>
      <c r="FA480" s="457"/>
      <c r="FB480" s="457"/>
      <c r="FC480" s="457"/>
      <c r="FD480" s="457"/>
      <c r="FE480" s="457"/>
      <c r="FF480" s="457"/>
      <c r="FG480" s="457"/>
      <c r="FH480" s="457"/>
      <c r="FI480" s="457"/>
      <c r="FJ480" s="457"/>
      <c r="FK480" s="457"/>
    </row>
    <row r="481" spans="1:167" s="416" customFormat="1">
      <c r="A481" s="427"/>
      <c r="B481" s="427"/>
      <c r="C481" s="427"/>
      <c r="D481" s="427"/>
      <c r="E481" s="428"/>
      <c r="F481" s="429"/>
      <c r="G481" s="430"/>
      <c r="H481" s="427"/>
      <c r="I481" s="427"/>
      <c r="J481" s="427"/>
      <c r="K481" s="427"/>
      <c r="L481" s="427"/>
      <c r="M481" s="427"/>
      <c r="N481" s="427"/>
      <c r="O481" s="427"/>
      <c r="P481" s="427"/>
      <c r="Q481" s="427"/>
      <c r="R481" s="427"/>
      <c r="S481" s="427"/>
      <c r="T481" s="427"/>
      <c r="U481" s="427"/>
      <c r="V481" s="428"/>
      <c r="W481" s="431"/>
      <c r="X481" s="3"/>
      <c r="Y481" s="429"/>
      <c r="Z481" s="430"/>
      <c r="AA481" s="430"/>
      <c r="AB481" s="430"/>
      <c r="AC481" s="424"/>
      <c r="AD481" s="424"/>
      <c r="AE481" s="424"/>
      <c r="AF481" s="424"/>
      <c r="AG481" s="424"/>
      <c r="AH481" s="424"/>
      <c r="AI481" s="424"/>
      <c r="AJ481" s="2"/>
      <c r="AK481" s="2"/>
      <c r="AL481" s="2"/>
      <c r="AM481" s="2"/>
      <c r="AN481" s="2"/>
      <c r="AO481" s="2"/>
      <c r="AP481" s="2"/>
      <c r="AQ481" s="427"/>
      <c r="AR481" s="754"/>
      <c r="AS481" s="427"/>
      <c r="AT481" s="754"/>
      <c r="AU481" s="427"/>
      <c r="AV481" s="427"/>
      <c r="AW481" s="427"/>
      <c r="AX481" s="427"/>
      <c r="AY481" s="754"/>
      <c r="AZ481" s="754"/>
      <c r="BA481" s="754"/>
      <c r="BB481" s="427"/>
      <c r="BC481" s="427"/>
      <c r="BD481" s="427"/>
      <c r="BE481" s="754"/>
      <c r="BF481" s="427"/>
      <c r="BG481" s="454"/>
      <c r="BH481" s="754"/>
      <c r="BI481" s="427"/>
      <c r="BJ481" s="427"/>
      <c r="BK481" s="427"/>
      <c r="BL481" s="427"/>
      <c r="BM481" s="454"/>
      <c r="BN481" s="427"/>
      <c r="BO481" s="427"/>
      <c r="BP481" s="427"/>
      <c r="BQ481" s="454"/>
      <c r="BR481" s="454"/>
      <c r="BS481" s="460"/>
      <c r="BT481" s="454"/>
      <c r="BU481" s="454"/>
      <c r="BV481" s="457"/>
      <c r="BW481" s="460"/>
      <c r="BX481" s="460"/>
      <c r="BY481" s="460"/>
      <c r="CA481" s="2"/>
      <c r="CB481" s="2"/>
      <c r="CC481" s="2"/>
      <c r="CD481" s="2"/>
      <c r="CE481" s="2"/>
      <c r="CF481" s="2"/>
      <c r="CG481" s="2"/>
      <c r="CH481" s="2"/>
      <c r="CI481" s="2"/>
      <c r="CJ481" s="2"/>
      <c r="CK481" s="2"/>
      <c r="CL481" s="2"/>
      <c r="CM481" s="2"/>
      <c r="CN481" s="2"/>
      <c r="CO481" s="427"/>
      <c r="CP481" s="427"/>
      <c r="CQ481" s="427"/>
      <c r="CR481" s="485"/>
      <c r="CS481" s="485"/>
      <c r="CT481" s="485"/>
      <c r="CU481" s="485"/>
      <c r="CV481" s="482"/>
      <c r="CW481" s="482"/>
      <c r="CX481" s="482"/>
      <c r="CY481" s="482"/>
      <c r="CZ481" s="485"/>
      <c r="DA481" s="485"/>
      <c r="DB481" s="485"/>
      <c r="DC481" s="485"/>
      <c r="DD481" s="485"/>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485"/>
      <c r="EX481" s="457"/>
      <c r="EY481" s="457"/>
      <c r="EZ481" s="457"/>
      <c r="FA481" s="457"/>
      <c r="FB481" s="457"/>
      <c r="FC481" s="457"/>
      <c r="FD481" s="457"/>
      <c r="FE481" s="457"/>
      <c r="FF481" s="457"/>
      <c r="FG481" s="457"/>
      <c r="FH481" s="457"/>
      <c r="FI481" s="457"/>
      <c r="FJ481" s="457"/>
      <c r="FK481" s="457"/>
    </row>
    <row r="482" spans="1:167" s="416" customFormat="1">
      <c r="A482" s="427"/>
      <c r="B482" s="427"/>
      <c r="C482" s="427"/>
      <c r="D482" s="427"/>
      <c r="E482" s="428"/>
      <c r="F482" s="429"/>
      <c r="G482" s="430"/>
      <c r="H482" s="427"/>
      <c r="I482" s="427"/>
      <c r="J482" s="427"/>
      <c r="K482" s="427"/>
      <c r="L482" s="427"/>
      <c r="M482" s="427"/>
      <c r="N482" s="427"/>
      <c r="O482" s="427"/>
      <c r="P482" s="427"/>
      <c r="Q482" s="427"/>
      <c r="R482" s="427"/>
      <c r="S482" s="427"/>
      <c r="T482" s="427"/>
      <c r="U482" s="427"/>
      <c r="V482" s="428"/>
      <c r="W482" s="431"/>
      <c r="X482" s="3"/>
      <c r="Y482" s="429"/>
      <c r="Z482" s="430"/>
      <c r="AA482" s="430"/>
      <c r="AB482" s="430"/>
      <c r="AC482" s="424"/>
      <c r="AD482" s="424"/>
      <c r="AE482" s="424"/>
      <c r="AF482" s="424"/>
      <c r="AG482" s="424"/>
      <c r="AH482" s="424"/>
      <c r="AI482" s="424"/>
      <c r="AJ482" s="2"/>
      <c r="AK482" s="2"/>
      <c r="AL482" s="2"/>
      <c r="AM482" s="2"/>
      <c r="AN482" s="2"/>
      <c r="AO482" s="2"/>
      <c r="AP482" s="2"/>
      <c r="AQ482" s="427"/>
      <c r="AR482" s="754"/>
      <c r="AS482" s="427"/>
      <c r="AT482" s="754"/>
      <c r="AU482" s="427"/>
      <c r="AV482" s="427"/>
      <c r="AW482" s="427"/>
      <c r="AX482" s="427"/>
      <c r="AY482" s="754"/>
      <c r="AZ482" s="754"/>
      <c r="BA482" s="754"/>
      <c r="BB482" s="427"/>
      <c r="BC482" s="427"/>
      <c r="BD482" s="427"/>
      <c r="BE482" s="754"/>
      <c r="BF482" s="427"/>
      <c r="BG482" s="454"/>
      <c r="BH482" s="754"/>
      <c r="BI482" s="427"/>
      <c r="BJ482" s="427"/>
      <c r="BK482" s="427"/>
      <c r="BL482" s="427"/>
      <c r="BM482" s="454"/>
      <c r="BN482" s="427"/>
      <c r="BO482" s="427"/>
      <c r="BP482" s="427"/>
      <c r="BQ482" s="454"/>
      <c r="BR482" s="454"/>
      <c r="BS482" s="460"/>
      <c r="BT482" s="454"/>
      <c r="BU482" s="454"/>
      <c r="BV482" s="457"/>
      <c r="BW482" s="460"/>
      <c r="BX482" s="460"/>
      <c r="BY482" s="460"/>
      <c r="CA482" s="2"/>
      <c r="CB482" s="2"/>
      <c r="CC482" s="2"/>
      <c r="CD482" s="2"/>
      <c r="CE482" s="2"/>
      <c r="CF482" s="2"/>
      <c r="CG482" s="2"/>
      <c r="CH482" s="2"/>
      <c r="CI482" s="2"/>
      <c r="CJ482" s="2"/>
      <c r="CK482" s="2"/>
      <c r="CL482" s="2"/>
      <c r="CM482" s="2"/>
      <c r="CN482" s="2"/>
      <c r="CO482" s="427"/>
      <c r="CP482" s="427"/>
      <c r="CQ482" s="427"/>
      <c r="CR482" s="485"/>
      <c r="CS482" s="485"/>
      <c r="CT482" s="485"/>
      <c r="CU482" s="485"/>
      <c r="CV482" s="482"/>
      <c r="CW482" s="482"/>
      <c r="CX482" s="482"/>
      <c r="CY482" s="482"/>
      <c r="CZ482" s="485"/>
      <c r="DA482" s="485"/>
      <c r="DB482" s="485"/>
      <c r="DC482" s="485"/>
      <c r="DD482" s="485"/>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485"/>
      <c r="EX482" s="457"/>
      <c r="EY482" s="457"/>
      <c r="EZ482" s="457"/>
      <c r="FA482" s="457"/>
      <c r="FB482" s="457"/>
      <c r="FC482" s="457"/>
      <c r="FD482" s="457"/>
      <c r="FE482" s="457"/>
      <c r="FF482" s="457"/>
      <c r="FG482" s="457"/>
      <c r="FH482" s="457"/>
      <c r="FI482" s="457"/>
      <c r="FJ482" s="457"/>
      <c r="FK482" s="457"/>
    </row>
    <row r="483" spans="1:167" s="416" customFormat="1">
      <c r="A483" s="427"/>
      <c r="B483" s="427"/>
      <c r="C483" s="427"/>
      <c r="D483" s="427"/>
      <c r="E483" s="428"/>
      <c r="F483" s="429"/>
      <c r="G483" s="430"/>
      <c r="H483" s="427"/>
      <c r="I483" s="427"/>
      <c r="J483" s="427"/>
      <c r="K483" s="427"/>
      <c r="L483" s="427"/>
      <c r="M483" s="427"/>
      <c r="N483" s="427"/>
      <c r="O483" s="427"/>
      <c r="P483" s="427"/>
      <c r="Q483" s="427"/>
      <c r="R483" s="427"/>
      <c r="S483" s="427"/>
      <c r="T483" s="427"/>
      <c r="U483" s="427"/>
      <c r="V483" s="428"/>
      <c r="W483" s="431"/>
      <c r="X483" s="3"/>
      <c r="Y483" s="429"/>
      <c r="Z483" s="430"/>
      <c r="AA483" s="430"/>
      <c r="AB483" s="430"/>
      <c r="AC483" s="424"/>
      <c r="AD483" s="424"/>
      <c r="AE483" s="424"/>
      <c r="AF483" s="424"/>
      <c r="AG483" s="424"/>
      <c r="AH483" s="424"/>
      <c r="AI483" s="424"/>
      <c r="AJ483" s="2"/>
      <c r="AK483" s="2"/>
      <c r="AL483" s="2"/>
      <c r="AM483" s="2"/>
      <c r="AN483" s="2"/>
      <c r="AO483" s="2"/>
      <c r="AP483" s="2"/>
      <c r="AQ483" s="427"/>
      <c r="AR483" s="754"/>
      <c r="AS483" s="427"/>
      <c r="AT483" s="754"/>
      <c r="AU483" s="427"/>
      <c r="AV483" s="427"/>
      <c r="AW483" s="427"/>
      <c r="AX483" s="427"/>
      <c r="AY483" s="754"/>
      <c r="AZ483" s="754"/>
      <c r="BA483" s="754"/>
      <c r="BB483" s="427"/>
      <c r="BC483" s="427"/>
      <c r="BD483" s="427"/>
      <c r="BE483" s="754"/>
      <c r="BF483" s="427"/>
      <c r="BG483" s="454"/>
      <c r="BH483" s="754"/>
      <c r="BI483" s="427"/>
      <c r="BJ483" s="427"/>
      <c r="BK483" s="427"/>
      <c r="BL483" s="427"/>
      <c r="BM483" s="454"/>
      <c r="BN483" s="427"/>
      <c r="BO483" s="427"/>
      <c r="BP483" s="427"/>
      <c r="BQ483" s="454"/>
      <c r="BR483" s="454"/>
      <c r="BS483" s="460"/>
      <c r="BT483" s="454"/>
      <c r="BU483" s="454"/>
      <c r="BV483" s="457"/>
      <c r="BW483" s="460"/>
      <c r="BX483" s="460"/>
      <c r="BY483" s="460"/>
      <c r="CA483" s="2"/>
      <c r="CB483" s="2"/>
      <c r="CC483" s="2"/>
      <c r="CD483" s="2"/>
      <c r="CE483" s="2"/>
      <c r="CF483" s="2"/>
      <c r="CG483" s="2"/>
      <c r="CH483" s="2"/>
      <c r="CI483" s="2"/>
      <c r="CJ483" s="2"/>
      <c r="CK483" s="2"/>
      <c r="CL483" s="2"/>
      <c r="CM483" s="2"/>
      <c r="CN483" s="2"/>
      <c r="CO483" s="427"/>
      <c r="CP483" s="427"/>
      <c r="CQ483" s="427"/>
      <c r="CR483" s="485"/>
      <c r="CS483" s="485"/>
      <c r="CT483" s="485"/>
      <c r="CU483" s="485"/>
      <c r="CV483" s="482"/>
      <c r="CW483" s="482"/>
      <c r="CX483" s="482"/>
      <c r="CY483" s="482"/>
      <c r="CZ483" s="485"/>
      <c r="DA483" s="485"/>
      <c r="DB483" s="485"/>
      <c r="DC483" s="485"/>
      <c r="DD483" s="485"/>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485"/>
      <c r="EX483" s="457"/>
      <c r="EY483" s="457"/>
      <c r="EZ483" s="457"/>
      <c r="FA483" s="457"/>
      <c r="FB483" s="457"/>
      <c r="FC483" s="457"/>
      <c r="FD483" s="457"/>
      <c r="FE483" s="457"/>
      <c r="FF483" s="457"/>
      <c r="FG483" s="457"/>
      <c r="FH483" s="457"/>
      <c r="FI483" s="457"/>
      <c r="FJ483" s="457"/>
      <c r="FK483" s="457"/>
    </row>
    <row r="484" spans="1:167" s="416" customFormat="1">
      <c r="A484" s="427"/>
      <c r="B484" s="427"/>
      <c r="C484" s="427"/>
      <c r="D484" s="427"/>
      <c r="E484" s="428"/>
      <c r="F484" s="429"/>
      <c r="G484" s="430"/>
      <c r="H484" s="427"/>
      <c r="I484" s="427"/>
      <c r="J484" s="427"/>
      <c r="K484" s="427"/>
      <c r="L484" s="427"/>
      <c r="M484" s="427"/>
      <c r="N484" s="427"/>
      <c r="O484" s="427"/>
      <c r="P484" s="427"/>
      <c r="Q484" s="427"/>
      <c r="R484" s="427"/>
      <c r="S484" s="427"/>
      <c r="T484" s="427"/>
      <c r="U484" s="427"/>
      <c r="V484" s="428"/>
      <c r="W484" s="431"/>
      <c r="X484" s="3"/>
      <c r="Y484" s="429"/>
      <c r="Z484" s="430"/>
      <c r="AA484" s="430"/>
      <c r="AB484" s="430"/>
      <c r="AC484" s="424"/>
      <c r="AD484" s="424"/>
      <c r="AE484" s="424"/>
      <c r="AF484" s="424"/>
      <c r="AG484" s="424"/>
      <c r="AH484" s="424"/>
      <c r="AI484" s="424"/>
      <c r="AJ484" s="2"/>
      <c r="AK484" s="2"/>
      <c r="AL484" s="2"/>
      <c r="AM484" s="2"/>
      <c r="AN484" s="2"/>
      <c r="AO484" s="2"/>
      <c r="AP484" s="2"/>
      <c r="AQ484" s="427"/>
      <c r="AR484" s="754"/>
      <c r="AS484" s="427"/>
      <c r="AT484" s="754"/>
      <c r="AU484" s="427"/>
      <c r="AV484" s="427"/>
      <c r="AW484" s="427"/>
      <c r="AX484" s="427"/>
      <c r="AY484" s="754"/>
      <c r="AZ484" s="754"/>
      <c r="BA484" s="754"/>
      <c r="BB484" s="427"/>
      <c r="BC484" s="427"/>
      <c r="BD484" s="427"/>
      <c r="BE484" s="754"/>
      <c r="BF484" s="427"/>
      <c r="BG484" s="454"/>
      <c r="BH484" s="754"/>
      <c r="BI484" s="427"/>
      <c r="BJ484" s="427"/>
      <c r="BK484" s="427"/>
      <c r="BL484" s="427"/>
      <c r="BM484" s="454"/>
      <c r="BN484" s="427"/>
      <c r="BO484" s="427"/>
      <c r="BP484" s="427"/>
      <c r="BQ484" s="454"/>
      <c r="BR484" s="454"/>
      <c r="BS484" s="460"/>
      <c r="BT484" s="454"/>
      <c r="BU484" s="454"/>
      <c r="BV484" s="457"/>
      <c r="BW484" s="460"/>
      <c r="BX484" s="460"/>
      <c r="BY484" s="460"/>
      <c r="CA484" s="2"/>
      <c r="CB484" s="2"/>
      <c r="CC484" s="2"/>
      <c r="CD484" s="2"/>
      <c r="CE484" s="2"/>
      <c r="CF484" s="2"/>
      <c r="CG484" s="2"/>
      <c r="CH484" s="2"/>
      <c r="CI484" s="2"/>
      <c r="CJ484" s="2"/>
      <c r="CK484" s="2"/>
      <c r="CL484" s="2"/>
      <c r="CM484" s="2"/>
      <c r="CN484" s="2"/>
      <c r="CO484" s="427"/>
      <c r="CP484" s="427"/>
      <c r="CQ484" s="427"/>
      <c r="CR484" s="485"/>
      <c r="CS484" s="485"/>
      <c r="CT484" s="485"/>
      <c r="CU484" s="485"/>
      <c r="CV484" s="482"/>
      <c r="CW484" s="482"/>
      <c r="CX484" s="482"/>
      <c r="CY484" s="482"/>
      <c r="CZ484" s="485"/>
      <c r="DA484" s="485"/>
      <c r="DB484" s="485"/>
      <c r="DC484" s="485"/>
      <c r="DD484" s="485"/>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485"/>
      <c r="EX484" s="457"/>
      <c r="EY484" s="457"/>
      <c r="EZ484" s="457"/>
      <c r="FA484" s="457"/>
      <c r="FB484" s="457"/>
      <c r="FC484" s="457"/>
      <c r="FD484" s="457"/>
      <c r="FE484" s="457"/>
      <c r="FF484" s="457"/>
      <c r="FG484" s="457"/>
      <c r="FH484" s="457"/>
      <c r="FI484" s="457"/>
      <c r="FJ484" s="457"/>
      <c r="FK484" s="457"/>
    </row>
    <row r="485" spans="1:167" s="416" customFormat="1">
      <c r="A485" s="427"/>
      <c r="B485" s="427"/>
      <c r="C485" s="427"/>
      <c r="D485" s="427"/>
      <c r="E485" s="428"/>
      <c r="F485" s="429"/>
      <c r="G485" s="430"/>
      <c r="H485" s="427"/>
      <c r="I485" s="427"/>
      <c r="J485" s="427"/>
      <c r="K485" s="427"/>
      <c r="L485" s="427"/>
      <c r="M485" s="427"/>
      <c r="N485" s="427"/>
      <c r="O485" s="427"/>
      <c r="P485" s="427"/>
      <c r="Q485" s="427"/>
      <c r="R485" s="427"/>
      <c r="S485" s="427"/>
      <c r="T485" s="427"/>
      <c r="U485" s="427"/>
      <c r="V485" s="428"/>
      <c r="W485" s="431"/>
      <c r="X485" s="3"/>
      <c r="Y485" s="429"/>
      <c r="Z485" s="430"/>
      <c r="AA485" s="430"/>
      <c r="AB485" s="430"/>
      <c r="AC485" s="424"/>
      <c r="AD485" s="424"/>
      <c r="AE485" s="424"/>
      <c r="AF485" s="424"/>
      <c r="AG485" s="424"/>
      <c r="AH485" s="424"/>
      <c r="AI485" s="424"/>
      <c r="AJ485" s="2"/>
      <c r="AK485" s="2"/>
      <c r="AL485" s="2"/>
      <c r="AM485" s="2"/>
      <c r="AN485" s="2"/>
      <c r="AO485" s="2"/>
      <c r="AP485" s="2"/>
      <c r="AQ485" s="427"/>
      <c r="AR485" s="754"/>
      <c r="AS485" s="427"/>
      <c r="AT485" s="754"/>
      <c r="AU485" s="427"/>
      <c r="AV485" s="427"/>
      <c r="AW485" s="427"/>
      <c r="AX485" s="427"/>
      <c r="AY485" s="754"/>
      <c r="AZ485" s="754"/>
      <c r="BA485" s="754"/>
      <c r="BB485" s="427"/>
      <c r="BC485" s="427"/>
      <c r="BD485" s="427"/>
      <c r="BE485" s="754"/>
      <c r="BF485" s="427"/>
      <c r="BG485" s="454"/>
      <c r="BH485" s="754"/>
      <c r="BI485" s="427"/>
      <c r="BJ485" s="427"/>
      <c r="BK485" s="427"/>
      <c r="BL485" s="427"/>
      <c r="BM485" s="454"/>
      <c r="BN485" s="427"/>
      <c r="BO485" s="427"/>
      <c r="BP485" s="427"/>
      <c r="BQ485" s="454"/>
      <c r="BR485" s="454"/>
      <c r="BS485" s="460"/>
      <c r="BT485" s="454"/>
      <c r="BU485" s="454"/>
      <c r="BV485" s="457"/>
      <c r="BW485" s="460"/>
      <c r="BX485" s="460"/>
      <c r="BY485" s="460"/>
      <c r="CA485" s="2"/>
      <c r="CB485" s="2"/>
      <c r="CC485" s="2"/>
      <c r="CD485" s="2"/>
      <c r="CE485" s="2"/>
      <c r="CF485" s="2"/>
      <c r="CG485" s="2"/>
      <c r="CH485" s="2"/>
      <c r="CI485" s="2"/>
      <c r="CJ485" s="2"/>
      <c r="CK485" s="2"/>
      <c r="CL485" s="2"/>
      <c r="CM485" s="2"/>
      <c r="CN485" s="2"/>
      <c r="CO485" s="427"/>
      <c r="CP485" s="427"/>
      <c r="CQ485" s="427"/>
      <c r="CR485" s="485"/>
      <c r="CS485" s="485"/>
      <c r="CT485" s="485"/>
      <c r="CU485" s="485"/>
      <c r="CV485" s="482"/>
      <c r="CW485" s="482"/>
      <c r="CX485" s="482"/>
      <c r="CY485" s="482"/>
      <c r="CZ485" s="485"/>
      <c r="DA485" s="485"/>
      <c r="DB485" s="485"/>
      <c r="DC485" s="485"/>
      <c r="DD485" s="485"/>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485"/>
      <c r="EX485" s="457"/>
      <c r="EY485" s="457"/>
      <c r="EZ485" s="457"/>
      <c r="FA485" s="457"/>
      <c r="FB485" s="457"/>
      <c r="FC485" s="457"/>
      <c r="FD485" s="457"/>
      <c r="FE485" s="457"/>
      <c r="FF485" s="457"/>
      <c r="FG485" s="457"/>
      <c r="FH485" s="457"/>
      <c r="FI485" s="457"/>
      <c r="FJ485" s="457"/>
      <c r="FK485" s="457"/>
    </row>
    <row r="486" spans="1:167" s="416" customFormat="1">
      <c r="A486" s="427"/>
      <c r="B486" s="427"/>
      <c r="C486" s="427"/>
      <c r="D486" s="427"/>
      <c r="E486" s="428"/>
      <c r="F486" s="429"/>
      <c r="G486" s="430"/>
      <c r="H486" s="427"/>
      <c r="I486" s="427"/>
      <c r="J486" s="427"/>
      <c r="K486" s="427"/>
      <c r="L486" s="427"/>
      <c r="M486" s="427"/>
      <c r="N486" s="427"/>
      <c r="O486" s="427"/>
      <c r="P486" s="427"/>
      <c r="Q486" s="427"/>
      <c r="R486" s="427"/>
      <c r="S486" s="427"/>
      <c r="T486" s="427"/>
      <c r="U486" s="427"/>
      <c r="V486" s="428"/>
      <c r="W486" s="431"/>
      <c r="X486" s="3"/>
      <c r="Y486" s="429"/>
      <c r="Z486" s="430"/>
      <c r="AA486" s="430"/>
      <c r="AB486" s="430"/>
      <c r="AC486" s="424"/>
      <c r="AD486" s="424"/>
      <c r="AE486" s="424"/>
      <c r="AF486" s="424"/>
      <c r="AG486" s="424"/>
      <c r="AH486" s="424"/>
      <c r="AI486" s="424"/>
      <c r="AJ486" s="2"/>
      <c r="AK486" s="2"/>
      <c r="AL486" s="2"/>
      <c r="AM486" s="2"/>
      <c r="AN486" s="2"/>
      <c r="AO486" s="2"/>
      <c r="AP486" s="2"/>
      <c r="AQ486" s="427"/>
      <c r="AR486" s="754"/>
      <c r="AS486" s="427"/>
      <c r="AT486" s="754"/>
      <c r="AU486" s="427"/>
      <c r="AV486" s="427"/>
      <c r="AW486" s="427"/>
      <c r="AX486" s="427"/>
      <c r="AY486" s="754"/>
      <c r="AZ486" s="754"/>
      <c r="BA486" s="754"/>
      <c r="BB486" s="427"/>
      <c r="BC486" s="427"/>
      <c r="BD486" s="427"/>
      <c r="BE486" s="754"/>
      <c r="BF486" s="427"/>
      <c r="BG486" s="454"/>
      <c r="BH486" s="754"/>
      <c r="BI486" s="427"/>
      <c r="BJ486" s="427"/>
      <c r="BK486" s="427"/>
      <c r="BL486" s="427"/>
      <c r="BM486" s="454"/>
      <c r="BN486" s="427"/>
      <c r="BO486" s="427"/>
      <c r="BP486" s="427"/>
      <c r="BQ486" s="454"/>
      <c r="BR486" s="454"/>
      <c r="BS486" s="460"/>
      <c r="BT486" s="454"/>
      <c r="BU486" s="454"/>
      <c r="BV486" s="457"/>
      <c r="BW486" s="460"/>
      <c r="BX486" s="460"/>
      <c r="BY486" s="460"/>
      <c r="CA486" s="2"/>
      <c r="CB486" s="2"/>
      <c r="CC486" s="2"/>
      <c r="CD486" s="2"/>
      <c r="CE486" s="2"/>
      <c r="CF486" s="2"/>
      <c r="CG486" s="2"/>
      <c r="CH486" s="2"/>
      <c r="CI486" s="2"/>
      <c r="CJ486" s="2"/>
      <c r="CK486" s="2"/>
      <c r="CL486" s="2"/>
      <c r="CM486" s="2"/>
      <c r="CN486" s="2"/>
      <c r="CO486" s="427"/>
      <c r="CP486" s="427"/>
      <c r="CQ486" s="427"/>
      <c r="CR486" s="485"/>
      <c r="CS486" s="485"/>
      <c r="CT486" s="485"/>
      <c r="CU486" s="485"/>
      <c r="CV486" s="482"/>
      <c r="CW486" s="482"/>
      <c r="CX486" s="482"/>
      <c r="CY486" s="482"/>
      <c r="CZ486" s="485"/>
      <c r="DA486" s="485"/>
      <c r="DB486" s="485"/>
      <c r="DC486" s="485"/>
      <c r="DD486" s="485"/>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485"/>
      <c r="EX486" s="457"/>
      <c r="EY486" s="457"/>
      <c r="EZ486" s="457"/>
      <c r="FA486" s="457"/>
      <c r="FB486" s="457"/>
      <c r="FC486" s="457"/>
      <c r="FD486" s="457"/>
      <c r="FE486" s="457"/>
      <c r="FF486" s="457"/>
      <c r="FG486" s="457"/>
      <c r="FH486" s="457"/>
      <c r="FI486" s="457"/>
      <c r="FJ486" s="457"/>
      <c r="FK486" s="457"/>
    </row>
    <row r="487" spans="1:167" s="416" customFormat="1">
      <c r="A487" s="427"/>
      <c r="B487" s="427"/>
      <c r="C487" s="427"/>
      <c r="D487" s="427"/>
      <c r="E487" s="428"/>
      <c r="F487" s="429"/>
      <c r="G487" s="430"/>
      <c r="H487" s="427"/>
      <c r="I487" s="427"/>
      <c r="J487" s="427"/>
      <c r="K487" s="427"/>
      <c r="L487" s="427"/>
      <c r="M487" s="427"/>
      <c r="N487" s="427"/>
      <c r="O487" s="427"/>
      <c r="P487" s="427"/>
      <c r="Q487" s="427"/>
      <c r="R487" s="427"/>
      <c r="S487" s="427"/>
      <c r="T487" s="427"/>
      <c r="U487" s="427"/>
      <c r="V487" s="428"/>
      <c r="W487" s="431"/>
      <c r="X487" s="3"/>
      <c r="Y487" s="429"/>
      <c r="Z487" s="430"/>
      <c r="AA487" s="430"/>
      <c r="AB487" s="430"/>
      <c r="AC487" s="424"/>
      <c r="AD487" s="424"/>
      <c r="AE487" s="424"/>
      <c r="AF487" s="424"/>
      <c r="AG487" s="424"/>
      <c r="AH487" s="424"/>
      <c r="AI487" s="424"/>
      <c r="AJ487" s="2"/>
      <c r="AK487" s="2"/>
      <c r="AL487" s="2"/>
      <c r="AM487" s="2"/>
      <c r="AN487" s="2"/>
      <c r="AO487" s="2"/>
      <c r="AP487" s="2"/>
      <c r="AQ487" s="427"/>
      <c r="AR487" s="754"/>
      <c r="AS487" s="427"/>
      <c r="AT487" s="754"/>
      <c r="AU487" s="427"/>
      <c r="AV487" s="427"/>
      <c r="AW487" s="427"/>
      <c r="AX487" s="427"/>
      <c r="AY487" s="754"/>
      <c r="AZ487" s="754"/>
      <c r="BA487" s="754"/>
      <c r="BB487" s="427"/>
      <c r="BC487" s="427"/>
      <c r="BD487" s="427"/>
      <c r="BE487" s="754"/>
      <c r="BF487" s="427"/>
      <c r="BG487" s="454"/>
      <c r="BH487" s="754"/>
      <c r="BI487" s="427"/>
      <c r="BJ487" s="427"/>
      <c r="BK487" s="427"/>
      <c r="BL487" s="427"/>
      <c r="BM487" s="454"/>
      <c r="BN487" s="427"/>
      <c r="BO487" s="427"/>
      <c r="BP487" s="427"/>
      <c r="BQ487" s="454"/>
      <c r="BR487" s="454"/>
      <c r="BS487" s="460"/>
      <c r="BT487" s="454"/>
      <c r="BU487" s="454"/>
      <c r="BV487" s="457"/>
      <c r="BW487" s="460"/>
      <c r="BX487" s="460"/>
      <c r="BY487" s="460"/>
      <c r="CA487" s="2"/>
      <c r="CB487" s="2"/>
      <c r="CC487" s="2"/>
      <c r="CD487" s="2"/>
      <c r="CE487" s="2"/>
      <c r="CF487" s="2"/>
      <c r="CG487" s="2"/>
      <c r="CH487" s="2"/>
      <c r="CI487" s="2"/>
      <c r="CJ487" s="2"/>
      <c r="CK487" s="2"/>
      <c r="CL487" s="2"/>
      <c r="CM487" s="2"/>
      <c r="CN487" s="2"/>
      <c r="CO487" s="427"/>
      <c r="CP487" s="427"/>
      <c r="CQ487" s="427"/>
      <c r="CR487" s="485"/>
      <c r="CS487" s="485"/>
      <c r="CT487" s="485"/>
      <c r="CU487" s="485"/>
      <c r="CV487" s="482"/>
      <c r="CW487" s="482"/>
      <c r="CX487" s="482"/>
      <c r="CY487" s="482"/>
      <c r="CZ487" s="485"/>
      <c r="DA487" s="485"/>
      <c r="DB487" s="485"/>
      <c r="DC487" s="485"/>
      <c r="DD487" s="485"/>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485"/>
      <c r="EX487" s="457"/>
      <c r="EY487" s="457"/>
      <c r="EZ487" s="457"/>
      <c r="FA487" s="457"/>
      <c r="FB487" s="457"/>
      <c r="FC487" s="457"/>
      <c r="FD487" s="457"/>
      <c r="FE487" s="457"/>
      <c r="FF487" s="457"/>
      <c r="FG487" s="457"/>
      <c r="FH487" s="457"/>
      <c r="FI487" s="457"/>
      <c r="FJ487" s="457"/>
      <c r="FK487" s="457"/>
    </row>
    <row r="488" spans="1:167" s="416" customFormat="1">
      <c r="A488" s="427"/>
      <c r="B488" s="427"/>
      <c r="C488" s="427"/>
      <c r="D488" s="427"/>
      <c r="E488" s="428"/>
      <c r="F488" s="429"/>
      <c r="G488" s="430"/>
      <c r="H488" s="427"/>
      <c r="I488" s="427"/>
      <c r="J488" s="427"/>
      <c r="K488" s="427"/>
      <c r="L488" s="427"/>
      <c r="M488" s="427"/>
      <c r="N488" s="427"/>
      <c r="O488" s="427"/>
      <c r="P488" s="427"/>
      <c r="Q488" s="427"/>
      <c r="R488" s="427"/>
      <c r="S488" s="427"/>
      <c r="T488" s="427"/>
      <c r="U488" s="427"/>
      <c r="V488" s="428"/>
      <c r="W488" s="431"/>
      <c r="X488" s="3"/>
      <c r="Y488" s="429"/>
      <c r="Z488" s="430"/>
      <c r="AA488" s="430"/>
      <c r="AB488" s="430"/>
      <c r="AC488" s="424"/>
      <c r="AD488" s="424"/>
      <c r="AE488" s="424"/>
      <c r="AF488" s="424"/>
      <c r="AG488" s="424"/>
      <c r="AH488" s="424"/>
      <c r="AI488" s="424"/>
      <c r="AJ488" s="2"/>
      <c r="AK488" s="2"/>
      <c r="AL488" s="2"/>
      <c r="AM488" s="2"/>
      <c r="AN488" s="2"/>
      <c r="AO488" s="2"/>
      <c r="AP488" s="2"/>
      <c r="AQ488" s="427"/>
      <c r="AR488" s="754"/>
      <c r="AS488" s="427"/>
      <c r="AT488" s="754"/>
      <c r="AU488" s="427"/>
      <c r="AV488" s="427"/>
      <c r="AW488" s="427"/>
      <c r="AX488" s="427"/>
      <c r="AY488" s="754"/>
      <c r="AZ488" s="754"/>
      <c r="BA488" s="754"/>
      <c r="BB488" s="427"/>
      <c r="BC488" s="427"/>
      <c r="BD488" s="427"/>
      <c r="BE488" s="754"/>
      <c r="BF488" s="427"/>
      <c r="BG488" s="454"/>
      <c r="BH488" s="754"/>
      <c r="BI488" s="427"/>
      <c r="BJ488" s="427"/>
      <c r="BK488" s="427"/>
      <c r="BL488" s="427"/>
      <c r="BM488" s="454"/>
      <c r="BN488" s="427"/>
      <c r="BO488" s="427"/>
      <c r="BP488" s="427"/>
      <c r="BQ488" s="454"/>
      <c r="BR488" s="454"/>
      <c r="BS488" s="460"/>
      <c r="BT488" s="454"/>
      <c r="BU488" s="454"/>
      <c r="BV488" s="457"/>
      <c r="BW488" s="460"/>
      <c r="BX488" s="460"/>
      <c r="BY488" s="460"/>
      <c r="CA488" s="2"/>
      <c r="CB488" s="2"/>
      <c r="CC488" s="2"/>
      <c r="CD488" s="2"/>
      <c r="CE488" s="2"/>
      <c r="CF488" s="2"/>
      <c r="CG488" s="2"/>
      <c r="CH488" s="2"/>
      <c r="CI488" s="2"/>
      <c r="CJ488" s="2"/>
      <c r="CK488" s="2"/>
      <c r="CL488" s="2"/>
      <c r="CM488" s="2"/>
      <c r="CN488" s="2"/>
      <c r="CO488" s="427"/>
      <c r="CP488" s="427"/>
      <c r="CQ488" s="427"/>
      <c r="CR488" s="485"/>
      <c r="CS488" s="485"/>
      <c r="CT488" s="485"/>
      <c r="CU488" s="485"/>
      <c r="CV488" s="482"/>
      <c r="CW488" s="482"/>
      <c r="CX488" s="482"/>
      <c r="CY488" s="482"/>
      <c r="CZ488" s="485"/>
      <c r="DA488" s="485"/>
      <c r="DB488" s="485"/>
      <c r="DC488" s="485"/>
      <c r="DD488" s="485"/>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485"/>
      <c r="EX488" s="457"/>
      <c r="EY488" s="457"/>
      <c r="EZ488" s="457"/>
      <c r="FA488" s="457"/>
      <c r="FB488" s="457"/>
      <c r="FC488" s="457"/>
      <c r="FD488" s="457"/>
      <c r="FE488" s="457"/>
      <c r="FF488" s="457"/>
      <c r="FG488" s="457"/>
      <c r="FH488" s="457"/>
      <c r="FI488" s="457"/>
      <c r="FJ488" s="457"/>
      <c r="FK488" s="457"/>
    </row>
    <row r="489" spans="1:167" s="416" customFormat="1">
      <c r="A489" s="427"/>
      <c r="B489" s="427"/>
      <c r="C489" s="427"/>
      <c r="D489" s="427"/>
      <c r="E489" s="428"/>
      <c r="F489" s="429"/>
      <c r="G489" s="430"/>
      <c r="H489" s="427"/>
      <c r="I489" s="427"/>
      <c r="J489" s="427"/>
      <c r="K489" s="427"/>
      <c r="L489" s="427"/>
      <c r="M489" s="427"/>
      <c r="N489" s="427"/>
      <c r="O489" s="427"/>
      <c r="P489" s="427"/>
      <c r="Q489" s="427"/>
      <c r="R489" s="427"/>
      <c r="S489" s="427"/>
      <c r="T489" s="427"/>
      <c r="U489" s="427"/>
      <c r="V489" s="428"/>
      <c r="W489" s="431"/>
      <c r="X489" s="3"/>
      <c r="Y489" s="429"/>
      <c r="Z489" s="430"/>
      <c r="AA489" s="430"/>
      <c r="AB489" s="430"/>
      <c r="AC489" s="424"/>
      <c r="AD489" s="424"/>
      <c r="AE489" s="424"/>
      <c r="AF489" s="424"/>
      <c r="AG489" s="424"/>
      <c r="AH489" s="424"/>
      <c r="AI489" s="424"/>
      <c r="AJ489" s="2"/>
      <c r="AK489" s="2"/>
      <c r="AL489" s="2"/>
      <c r="AM489" s="2"/>
      <c r="AN489" s="2"/>
      <c r="AO489" s="2"/>
      <c r="AP489" s="2"/>
      <c r="AQ489" s="427"/>
      <c r="AR489" s="754"/>
      <c r="AS489" s="427"/>
      <c r="AT489" s="754"/>
      <c r="AU489" s="427"/>
      <c r="AV489" s="427"/>
      <c r="AW489" s="427"/>
      <c r="AX489" s="427"/>
      <c r="AY489" s="754"/>
      <c r="AZ489" s="754"/>
      <c r="BA489" s="754"/>
      <c r="BB489" s="427"/>
      <c r="BC489" s="427"/>
      <c r="BD489" s="427"/>
      <c r="BE489" s="754"/>
      <c r="BF489" s="427"/>
      <c r="BG489" s="454"/>
      <c r="BH489" s="754"/>
      <c r="BI489" s="427"/>
      <c r="BJ489" s="427"/>
      <c r="BK489" s="427"/>
      <c r="BL489" s="427"/>
      <c r="BM489" s="454"/>
      <c r="BN489" s="427"/>
      <c r="BO489" s="427"/>
      <c r="BP489" s="427"/>
      <c r="BQ489" s="454"/>
      <c r="BR489" s="454"/>
      <c r="BS489" s="460"/>
      <c r="BT489" s="454"/>
      <c r="BU489" s="454"/>
      <c r="BV489" s="457"/>
      <c r="BW489" s="460"/>
      <c r="BX489" s="460"/>
      <c r="BY489" s="460"/>
      <c r="CA489" s="2"/>
      <c r="CB489" s="2"/>
      <c r="CC489" s="2"/>
      <c r="CD489" s="2"/>
      <c r="CE489" s="2"/>
      <c r="CF489" s="2"/>
      <c r="CG489" s="2"/>
      <c r="CH489" s="2"/>
      <c r="CI489" s="2"/>
      <c r="CJ489" s="2"/>
      <c r="CK489" s="2"/>
      <c r="CL489" s="2"/>
      <c r="CM489" s="2"/>
      <c r="CN489" s="2"/>
      <c r="CO489" s="427"/>
      <c r="CP489" s="427"/>
      <c r="CQ489" s="427"/>
      <c r="CR489" s="485"/>
      <c r="CS489" s="485"/>
      <c r="CT489" s="485"/>
      <c r="CU489" s="485"/>
      <c r="CV489" s="482"/>
      <c r="CW489" s="482"/>
      <c r="CX489" s="482"/>
      <c r="CY489" s="482"/>
      <c r="CZ489" s="485"/>
      <c r="DA489" s="485"/>
      <c r="DB489" s="485"/>
      <c r="DC489" s="485"/>
      <c r="DD489" s="485"/>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485"/>
      <c r="EX489" s="457"/>
      <c r="EY489" s="457"/>
      <c r="EZ489" s="457"/>
      <c r="FA489" s="457"/>
      <c r="FB489" s="457"/>
      <c r="FC489" s="457"/>
      <c r="FD489" s="457"/>
      <c r="FE489" s="457"/>
      <c r="FF489" s="457"/>
      <c r="FG489" s="457"/>
      <c r="FH489" s="457"/>
      <c r="FI489" s="457"/>
      <c r="FJ489" s="457"/>
      <c r="FK489" s="457"/>
    </row>
    <row r="490" spans="1:167" s="416" customFormat="1">
      <c r="A490" s="427"/>
      <c r="B490" s="427"/>
      <c r="C490" s="427"/>
      <c r="D490" s="427"/>
      <c r="E490" s="428"/>
      <c r="F490" s="429"/>
      <c r="G490" s="430"/>
      <c r="H490" s="427"/>
      <c r="I490" s="427"/>
      <c r="J490" s="427"/>
      <c r="K490" s="427"/>
      <c r="L490" s="427"/>
      <c r="M490" s="427"/>
      <c r="N490" s="427"/>
      <c r="O490" s="427"/>
      <c r="P490" s="427"/>
      <c r="Q490" s="427"/>
      <c r="R490" s="427"/>
      <c r="S490" s="427"/>
      <c r="T490" s="427"/>
      <c r="U490" s="427"/>
      <c r="V490" s="428"/>
      <c r="W490" s="431"/>
      <c r="X490" s="3"/>
      <c r="Y490" s="429"/>
      <c r="Z490" s="430"/>
      <c r="AA490" s="430"/>
      <c r="AB490" s="430"/>
      <c r="AC490" s="424"/>
      <c r="AD490" s="424"/>
      <c r="AE490" s="424"/>
      <c r="AF490" s="424"/>
      <c r="AG490" s="424"/>
      <c r="AH490" s="424"/>
      <c r="AI490" s="424"/>
      <c r="AJ490" s="2"/>
      <c r="AK490" s="2"/>
      <c r="AL490" s="2"/>
      <c r="AM490" s="2"/>
      <c r="AN490" s="2"/>
      <c r="AO490" s="2"/>
      <c r="AP490" s="2"/>
      <c r="AQ490" s="427"/>
      <c r="AR490" s="754"/>
      <c r="AS490" s="427"/>
      <c r="AT490" s="754"/>
      <c r="AU490" s="427"/>
      <c r="AV490" s="427"/>
      <c r="AW490" s="427"/>
      <c r="AX490" s="427"/>
      <c r="AY490" s="754"/>
      <c r="AZ490" s="754"/>
      <c r="BA490" s="754"/>
      <c r="BB490" s="427"/>
      <c r="BC490" s="427"/>
      <c r="BD490" s="427"/>
      <c r="BE490" s="754"/>
      <c r="BF490" s="427"/>
      <c r="BG490" s="454"/>
      <c r="BH490" s="754"/>
      <c r="BI490" s="427"/>
      <c r="BJ490" s="427"/>
      <c r="BK490" s="427"/>
      <c r="BL490" s="427"/>
      <c r="BM490" s="454"/>
      <c r="BN490" s="427"/>
      <c r="BO490" s="427"/>
      <c r="BP490" s="427"/>
      <c r="BQ490" s="454"/>
      <c r="BR490" s="454"/>
      <c r="BS490" s="460"/>
      <c r="BT490" s="454"/>
      <c r="BU490" s="454"/>
      <c r="BV490" s="457"/>
      <c r="BW490" s="460"/>
      <c r="BX490" s="460"/>
      <c r="BY490" s="460"/>
      <c r="CA490" s="2"/>
      <c r="CB490" s="2"/>
      <c r="CC490" s="2"/>
      <c r="CD490" s="2"/>
      <c r="CE490" s="2"/>
      <c r="CF490" s="2"/>
      <c r="CG490" s="2"/>
      <c r="CH490" s="2"/>
      <c r="CI490" s="2"/>
      <c r="CJ490" s="2"/>
      <c r="CK490" s="2"/>
      <c r="CL490" s="2"/>
      <c r="CM490" s="2"/>
      <c r="CN490" s="2"/>
      <c r="CO490" s="427"/>
      <c r="CP490" s="427"/>
      <c r="CQ490" s="427"/>
      <c r="CR490" s="485"/>
      <c r="CS490" s="485"/>
      <c r="CT490" s="485"/>
      <c r="CU490" s="485"/>
      <c r="CV490" s="482"/>
      <c r="CW490" s="482"/>
      <c r="CX490" s="482"/>
      <c r="CY490" s="482"/>
      <c r="CZ490" s="485"/>
      <c r="DA490" s="485"/>
      <c r="DB490" s="485"/>
      <c r="DC490" s="485"/>
      <c r="DD490" s="485"/>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485"/>
      <c r="EX490" s="457"/>
      <c r="EY490" s="457"/>
      <c r="EZ490" s="457"/>
      <c r="FA490" s="457"/>
      <c r="FB490" s="457"/>
      <c r="FC490" s="457"/>
      <c r="FD490" s="457"/>
      <c r="FE490" s="457"/>
      <c r="FF490" s="457"/>
      <c r="FG490" s="457"/>
      <c r="FH490" s="457"/>
      <c r="FI490" s="457"/>
      <c r="FJ490" s="457"/>
      <c r="FK490" s="457"/>
    </row>
    <row r="491" spans="1:167" s="416" customFormat="1">
      <c r="A491" s="427"/>
      <c r="B491" s="427"/>
      <c r="C491" s="427"/>
      <c r="D491" s="427"/>
      <c r="E491" s="428"/>
      <c r="F491" s="429"/>
      <c r="G491" s="430"/>
      <c r="H491" s="427"/>
      <c r="I491" s="427"/>
      <c r="J491" s="427"/>
      <c r="K491" s="427"/>
      <c r="L491" s="427"/>
      <c r="M491" s="427"/>
      <c r="N491" s="427"/>
      <c r="O491" s="427"/>
      <c r="P491" s="427"/>
      <c r="Q491" s="427"/>
      <c r="R491" s="427"/>
      <c r="S491" s="427"/>
      <c r="T491" s="427"/>
      <c r="U491" s="427"/>
      <c r="V491" s="428"/>
      <c r="W491" s="431"/>
      <c r="X491" s="3"/>
      <c r="Y491" s="429"/>
      <c r="Z491" s="430"/>
      <c r="AA491" s="430"/>
      <c r="AB491" s="430"/>
      <c r="AC491" s="424"/>
      <c r="AD491" s="424"/>
      <c r="AE491" s="424"/>
      <c r="AF491" s="424"/>
      <c r="AG491" s="424"/>
      <c r="AH491" s="424"/>
      <c r="AI491" s="424"/>
      <c r="AJ491" s="2"/>
      <c r="AK491" s="2"/>
      <c r="AL491" s="2"/>
      <c r="AM491" s="2"/>
      <c r="AN491" s="2"/>
      <c r="AO491" s="2"/>
      <c r="AP491" s="2"/>
      <c r="AQ491" s="427"/>
      <c r="AR491" s="754"/>
      <c r="AS491" s="427"/>
      <c r="AT491" s="754"/>
      <c r="AU491" s="427"/>
      <c r="AV491" s="427"/>
      <c r="AW491" s="427"/>
      <c r="AX491" s="427"/>
      <c r="AY491" s="754"/>
      <c r="AZ491" s="754"/>
      <c r="BA491" s="754"/>
      <c r="BB491" s="427"/>
      <c r="BC491" s="427"/>
      <c r="BD491" s="427"/>
      <c r="BE491" s="754"/>
      <c r="BF491" s="427"/>
      <c r="BG491" s="454"/>
      <c r="BH491" s="754"/>
      <c r="BI491" s="427"/>
      <c r="BJ491" s="427"/>
      <c r="BK491" s="427"/>
      <c r="BL491" s="427"/>
      <c r="BM491" s="454"/>
      <c r="BN491" s="427"/>
      <c r="BO491" s="427"/>
      <c r="BP491" s="427"/>
      <c r="BQ491" s="454"/>
      <c r="BR491" s="454"/>
      <c r="BS491" s="460"/>
      <c r="BT491" s="454"/>
      <c r="BU491" s="454"/>
      <c r="BV491" s="457"/>
      <c r="BW491" s="460"/>
      <c r="BX491" s="460"/>
      <c r="BY491" s="460"/>
      <c r="CA491" s="2"/>
      <c r="CB491" s="2"/>
      <c r="CC491" s="2"/>
      <c r="CD491" s="2"/>
      <c r="CE491" s="2"/>
      <c r="CF491" s="2"/>
      <c r="CG491" s="2"/>
      <c r="CH491" s="2"/>
      <c r="CI491" s="2"/>
      <c r="CJ491" s="2"/>
      <c r="CK491" s="2"/>
      <c r="CL491" s="2"/>
      <c r="CM491" s="2"/>
      <c r="CN491" s="2"/>
      <c r="CO491" s="427"/>
      <c r="CP491" s="427"/>
      <c r="CQ491" s="427"/>
      <c r="CR491" s="485"/>
      <c r="CS491" s="485"/>
      <c r="CT491" s="485"/>
      <c r="CU491" s="485"/>
      <c r="CV491" s="482"/>
      <c r="CW491" s="482"/>
      <c r="CX491" s="482"/>
      <c r="CY491" s="482"/>
      <c r="CZ491" s="485"/>
      <c r="DA491" s="485"/>
      <c r="DB491" s="485"/>
      <c r="DC491" s="485"/>
      <c r="DD491" s="485"/>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485"/>
      <c r="EX491" s="457"/>
      <c r="EY491" s="457"/>
      <c r="EZ491" s="457"/>
      <c r="FA491" s="457"/>
      <c r="FB491" s="457"/>
      <c r="FC491" s="457"/>
      <c r="FD491" s="457"/>
      <c r="FE491" s="457"/>
      <c r="FF491" s="457"/>
      <c r="FG491" s="457"/>
      <c r="FH491" s="457"/>
      <c r="FI491" s="457"/>
      <c r="FJ491" s="457"/>
      <c r="FK491" s="457"/>
    </row>
    <row r="492" spans="1:167" s="416" customFormat="1">
      <c r="A492" s="427"/>
      <c r="B492" s="427"/>
      <c r="C492" s="427"/>
      <c r="D492" s="427"/>
      <c r="E492" s="428"/>
      <c r="F492" s="429"/>
      <c r="G492" s="430"/>
      <c r="H492" s="427"/>
      <c r="I492" s="427"/>
      <c r="J492" s="427"/>
      <c r="K492" s="427"/>
      <c r="L492" s="427"/>
      <c r="M492" s="427"/>
      <c r="N492" s="427"/>
      <c r="O492" s="427"/>
      <c r="P492" s="427"/>
      <c r="Q492" s="427"/>
      <c r="R492" s="427"/>
      <c r="S492" s="427"/>
      <c r="T492" s="427"/>
      <c r="U492" s="427"/>
      <c r="V492" s="428"/>
      <c r="W492" s="431"/>
      <c r="X492" s="3"/>
      <c r="Y492" s="429"/>
      <c r="Z492" s="430"/>
      <c r="AA492" s="430"/>
      <c r="AB492" s="430"/>
      <c r="AC492" s="424"/>
      <c r="AD492" s="424"/>
      <c r="AE492" s="424"/>
      <c r="AF492" s="424"/>
      <c r="AG492" s="424"/>
      <c r="AH492" s="424"/>
      <c r="AI492" s="424"/>
      <c r="AJ492" s="2"/>
      <c r="AK492" s="2"/>
      <c r="AL492" s="2"/>
      <c r="AM492" s="2"/>
      <c r="AN492" s="2"/>
      <c r="AO492" s="2"/>
      <c r="AP492" s="2"/>
      <c r="AQ492" s="427"/>
      <c r="AR492" s="754"/>
      <c r="AS492" s="427"/>
      <c r="AT492" s="754"/>
      <c r="AU492" s="427"/>
      <c r="AV492" s="427"/>
      <c r="AW492" s="427"/>
      <c r="AX492" s="427"/>
      <c r="AY492" s="754"/>
      <c r="AZ492" s="754"/>
      <c r="BA492" s="754"/>
      <c r="BB492" s="427"/>
      <c r="BC492" s="427"/>
      <c r="BD492" s="427"/>
      <c r="BE492" s="754"/>
      <c r="BF492" s="427"/>
      <c r="BG492" s="454"/>
      <c r="BH492" s="754"/>
      <c r="BI492" s="427"/>
      <c r="BJ492" s="427"/>
      <c r="BK492" s="427"/>
      <c r="BL492" s="427"/>
      <c r="BM492" s="454"/>
      <c r="BN492" s="427"/>
      <c r="BO492" s="427"/>
      <c r="BP492" s="427"/>
      <c r="BQ492" s="454"/>
      <c r="BR492" s="454"/>
      <c r="BS492" s="460"/>
      <c r="BT492" s="454"/>
      <c r="BU492" s="454"/>
      <c r="BV492" s="457"/>
      <c r="BW492" s="460"/>
      <c r="BX492" s="460"/>
      <c r="BY492" s="460"/>
      <c r="CA492" s="2"/>
      <c r="CB492" s="2"/>
      <c r="CC492" s="2"/>
      <c r="CD492" s="2"/>
      <c r="CE492" s="2"/>
      <c r="CF492" s="2"/>
      <c r="CG492" s="2"/>
      <c r="CH492" s="2"/>
      <c r="CI492" s="2"/>
      <c r="CJ492" s="2"/>
      <c r="CK492" s="2"/>
      <c r="CL492" s="2"/>
      <c r="CM492" s="2"/>
      <c r="CN492" s="2"/>
      <c r="CO492" s="427"/>
      <c r="CP492" s="427"/>
      <c r="CQ492" s="427"/>
      <c r="CR492" s="485"/>
      <c r="CS492" s="485"/>
      <c r="CT492" s="485"/>
      <c r="CU492" s="485"/>
      <c r="CV492" s="482"/>
      <c r="CW492" s="482"/>
      <c r="CX492" s="482"/>
      <c r="CY492" s="482"/>
      <c r="CZ492" s="485"/>
      <c r="DA492" s="485"/>
      <c r="DB492" s="485"/>
      <c r="DC492" s="485"/>
      <c r="DD492" s="485"/>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485"/>
      <c r="EX492" s="457"/>
      <c r="EY492" s="457"/>
      <c r="EZ492" s="457"/>
      <c r="FA492" s="457"/>
      <c r="FB492" s="457"/>
      <c r="FC492" s="457"/>
      <c r="FD492" s="457"/>
      <c r="FE492" s="457"/>
      <c r="FF492" s="457"/>
      <c r="FG492" s="457"/>
      <c r="FH492" s="457"/>
      <c r="FI492" s="457"/>
      <c r="FJ492" s="457"/>
      <c r="FK492" s="457"/>
    </row>
    <row r="493" spans="1:167" s="416" customFormat="1">
      <c r="A493" s="427"/>
      <c r="B493" s="427"/>
      <c r="C493" s="427"/>
      <c r="D493" s="427"/>
      <c r="E493" s="428"/>
      <c r="F493" s="429"/>
      <c r="G493" s="430"/>
      <c r="H493" s="427"/>
      <c r="I493" s="427"/>
      <c r="J493" s="427"/>
      <c r="K493" s="427"/>
      <c r="L493" s="427"/>
      <c r="M493" s="427"/>
      <c r="N493" s="427"/>
      <c r="O493" s="427"/>
      <c r="P493" s="427"/>
      <c r="Q493" s="427"/>
      <c r="R493" s="427"/>
      <c r="S493" s="427"/>
      <c r="T493" s="427"/>
      <c r="U493" s="427"/>
      <c r="V493" s="428"/>
      <c r="W493" s="431"/>
      <c r="X493" s="3"/>
      <c r="Y493" s="429"/>
      <c r="Z493" s="430"/>
      <c r="AA493" s="430"/>
      <c r="AB493" s="430"/>
      <c r="AC493" s="424"/>
      <c r="AD493" s="424"/>
      <c r="AE493" s="424"/>
      <c r="AF493" s="424"/>
      <c r="AG493" s="424"/>
      <c r="AH493" s="424"/>
      <c r="AI493" s="424"/>
      <c r="AJ493" s="2"/>
      <c r="AK493" s="2"/>
      <c r="AL493" s="2"/>
      <c r="AM493" s="2"/>
      <c r="AN493" s="2"/>
      <c r="AO493" s="2"/>
      <c r="AP493" s="2"/>
      <c r="AQ493" s="427"/>
      <c r="AR493" s="754"/>
      <c r="AS493" s="427"/>
      <c r="AT493" s="754"/>
      <c r="AU493" s="427"/>
      <c r="AV493" s="427"/>
      <c r="AW493" s="427"/>
      <c r="AX493" s="427"/>
      <c r="AY493" s="754"/>
      <c r="AZ493" s="754"/>
      <c r="BA493" s="754"/>
      <c r="BB493" s="427"/>
      <c r="BC493" s="427"/>
      <c r="BD493" s="427"/>
      <c r="BE493" s="754"/>
      <c r="BF493" s="427"/>
      <c r="BG493" s="454"/>
      <c r="BH493" s="754"/>
      <c r="BI493" s="427"/>
      <c r="BJ493" s="427"/>
      <c r="BK493" s="427"/>
      <c r="BL493" s="427"/>
      <c r="BM493" s="454"/>
      <c r="BN493" s="427"/>
      <c r="BO493" s="427"/>
      <c r="BP493" s="427"/>
      <c r="BQ493" s="454"/>
      <c r="BR493" s="454"/>
      <c r="BS493" s="460"/>
      <c r="BT493" s="454"/>
      <c r="BU493" s="454"/>
      <c r="BV493" s="457"/>
      <c r="BW493" s="460"/>
      <c r="BX493" s="460"/>
      <c r="BY493" s="460"/>
      <c r="CA493" s="2"/>
      <c r="CB493" s="2"/>
      <c r="CC493" s="2"/>
      <c r="CD493" s="2"/>
      <c r="CE493" s="2"/>
      <c r="CF493" s="2"/>
      <c r="CG493" s="2"/>
      <c r="CH493" s="2"/>
      <c r="CI493" s="2"/>
      <c r="CJ493" s="2"/>
      <c r="CK493" s="2"/>
      <c r="CL493" s="2"/>
      <c r="CM493" s="2"/>
      <c r="CN493" s="2"/>
      <c r="CO493" s="427"/>
      <c r="CP493" s="427"/>
      <c r="CQ493" s="427"/>
      <c r="CR493" s="485"/>
      <c r="CS493" s="485"/>
      <c r="CT493" s="485"/>
      <c r="CU493" s="485"/>
      <c r="CV493" s="482"/>
      <c r="CW493" s="482"/>
      <c r="CX493" s="482"/>
      <c r="CY493" s="482"/>
      <c r="CZ493" s="485"/>
      <c r="DA493" s="485"/>
      <c r="DB493" s="485"/>
      <c r="DC493" s="485"/>
      <c r="DD493" s="485"/>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485"/>
      <c r="EX493" s="457"/>
      <c r="EY493" s="457"/>
      <c r="EZ493" s="457"/>
      <c r="FA493" s="457"/>
      <c r="FB493" s="457"/>
      <c r="FC493" s="457"/>
      <c r="FD493" s="457"/>
      <c r="FE493" s="457"/>
      <c r="FF493" s="457"/>
      <c r="FG493" s="457"/>
      <c r="FH493" s="457"/>
      <c r="FI493" s="457"/>
      <c r="FJ493" s="457"/>
      <c r="FK493" s="457"/>
    </row>
    <row r="494" spans="1:167" s="416" customFormat="1">
      <c r="A494" s="427"/>
      <c r="B494" s="427"/>
      <c r="C494" s="427"/>
      <c r="D494" s="427"/>
      <c r="E494" s="428"/>
      <c r="F494" s="429"/>
      <c r="G494" s="430"/>
      <c r="H494" s="427"/>
      <c r="I494" s="427"/>
      <c r="J494" s="427"/>
      <c r="K494" s="427"/>
      <c r="L494" s="427"/>
      <c r="M494" s="427"/>
      <c r="N494" s="427"/>
      <c r="O494" s="427"/>
      <c r="P494" s="427"/>
      <c r="Q494" s="427"/>
      <c r="R494" s="427"/>
      <c r="S494" s="427"/>
      <c r="T494" s="427"/>
      <c r="U494" s="427"/>
      <c r="V494" s="428"/>
      <c r="W494" s="431"/>
      <c r="X494" s="3"/>
      <c r="Y494" s="429"/>
      <c r="Z494" s="430"/>
      <c r="AA494" s="430"/>
      <c r="AB494" s="430"/>
      <c r="AC494" s="424"/>
      <c r="AD494" s="424"/>
      <c r="AE494" s="424"/>
      <c r="AF494" s="424"/>
      <c r="AG494" s="424"/>
      <c r="AH494" s="424"/>
      <c r="AI494" s="424"/>
      <c r="AJ494" s="2"/>
      <c r="AK494" s="2"/>
      <c r="AL494" s="2"/>
      <c r="AM494" s="2"/>
      <c r="AN494" s="2"/>
      <c r="AO494" s="2"/>
      <c r="AP494" s="2"/>
      <c r="AQ494" s="427"/>
      <c r="AR494" s="754"/>
      <c r="AS494" s="427"/>
      <c r="AT494" s="754"/>
      <c r="AU494" s="427"/>
      <c r="AV494" s="427"/>
      <c r="AW494" s="427"/>
      <c r="AX494" s="427"/>
      <c r="AY494" s="754"/>
      <c r="AZ494" s="754"/>
      <c r="BA494" s="754"/>
      <c r="BB494" s="427"/>
      <c r="BC494" s="427"/>
      <c r="BD494" s="427"/>
      <c r="BE494" s="754"/>
      <c r="BF494" s="427"/>
      <c r="BG494" s="454"/>
      <c r="BH494" s="754"/>
      <c r="BI494" s="427"/>
      <c r="BJ494" s="427"/>
      <c r="BK494" s="427"/>
      <c r="BL494" s="427"/>
      <c r="BM494" s="454"/>
      <c r="BN494" s="427"/>
      <c r="BO494" s="427"/>
      <c r="BP494" s="427"/>
      <c r="BQ494" s="454"/>
      <c r="BR494" s="454"/>
      <c r="BS494" s="460"/>
      <c r="BT494" s="454"/>
      <c r="BU494" s="454"/>
      <c r="BV494" s="457"/>
      <c r="BW494" s="460"/>
      <c r="BX494" s="460"/>
      <c r="BY494" s="460"/>
      <c r="CA494" s="2"/>
      <c r="CB494" s="2"/>
      <c r="CC494" s="2"/>
      <c r="CD494" s="2"/>
      <c r="CE494" s="2"/>
      <c r="CF494" s="2"/>
      <c r="CG494" s="2"/>
      <c r="CH494" s="2"/>
      <c r="CI494" s="2"/>
      <c r="CJ494" s="2"/>
      <c r="CK494" s="2"/>
      <c r="CL494" s="2"/>
      <c r="CM494" s="2"/>
      <c r="CN494" s="2"/>
      <c r="CO494" s="427"/>
      <c r="CP494" s="427"/>
      <c r="CQ494" s="427"/>
      <c r="CR494" s="485"/>
      <c r="CS494" s="485"/>
      <c r="CT494" s="485"/>
      <c r="CU494" s="485"/>
      <c r="CV494" s="482"/>
      <c r="CW494" s="482"/>
      <c r="CX494" s="482"/>
      <c r="CY494" s="482"/>
      <c r="CZ494" s="485"/>
      <c r="DA494" s="485"/>
      <c r="DB494" s="485"/>
      <c r="DC494" s="485"/>
      <c r="DD494" s="485"/>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485"/>
      <c r="EX494" s="457"/>
      <c r="EY494" s="457"/>
      <c r="EZ494" s="457"/>
      <c r="FA494" s="457"/>
      <c r="FB494" s="457"/>
      <c r="FC494" s="457"/>
      <c r="FD494" s="457"/>
      <c r="FE494" s="457"/>
      <c r="FF494" s="457"/>
      <c r="FG494" s="457"/>
      <c r="FH494" s="457"/>
      <c r="FI494" s="457"/>
      <c r="FJ494" s="457"/>
      <c r="FK494" s="457"/>
    </row>
    <row r="495" spans="1:167" s="416" customFormat="1">
      <c r="A495" s="427"/>
      <c r="B495" s="427"/>
      <c r="C495" s="427"/>
      <c r="D495" s="427"/>
      <c r="E495" s="428"/>
      <c r="F495" s="429"/>
      <c r="G495" s="430"/>
      <c r="H495" s="427"/>
      <c r="I495" s="427"/>
      <c r="J495" s="427"/>
      <c r="K495" s="427"/>
      <c r="L495" s="427"/>
      <c r="M495" s="427"/>
      <c r="N495" s="427"/>
      <c r="O495" s="427"/>
      <c r="P495" s="427"/>
      <c r="Q495" s="427"/>
      <c r="R495" s="427"/>
      <c r="S495" s="427"/>
      <c r="T495" s="427"/>
      <c r="U495" s="427"/>
      <c r="V495" s="428"/>
      <c r="W495" s="431"/>
      <c r="X495" s="3"/>
      <c r="Y495" s="429"/>
      <c r="Z495" s="430"/>
      <c r="AA495" s="430"/>
      <c r="AB495" s="430"/>
      <c r="AC495" s="424"/>
      <c r="AD495" s="424"/>
      <c r="AE495" s="424"/>
      <c r="AF495" s="424"/>
      <c r="AG495" s="424"/>
      <c r="AH495" s="424"/>
      <c r="AI495" s="424"/>
      <c r="AJ495" s="2"/>
      <c r="AK495" s="2"/>
      <c r="AL495" s="2"/>
      <c r="AM495" s="2"/>
      <c r="AN495" s="2"/>
      <c r="AO495" s="2"/>
      <c r="AP495" s="2"/>
      <c r="AQ495" s="427"/>
      <c r="AR495" s="754"/>
      <c r="AS495" s="427"/>
      <c r="AT495" s="754"/>
      <c r="AU495" s="427"/>
      <c r="AV495" s="427"/>
      <c r="AW495" s="427"/>
      <c r="AX495" s="427"/>
      <c r="AY495" s="754"/>
      <c r="AZ495" s="754"/>
      <c r="BA495" s="754"/>
      <c r="BB495" s="427"/>
      <c r="BC495" s="427"/>
      <c r="BD495" s="427"/>
      <c r="BE495" s="754"/>
      <c r="BF495" s="427"/>
      <c r="BG495" s="454"/>
      <c r="BH495" s="754"/>
      <c r="BI495" s="427"/>
      <c r="BJ495" s="427"/>
      <c r="BK495" s="427"/>
      <c r="BL495" s="427"/>
      <c r="BM495" s="454"/>
      <c r="BN495" s="427"/>
      <c r="BO495" s="427"/>
      <c r="BP495" s="427"/>
      <c r="BQ495" s="454"/>
      <c r="BR495" s="454"/>
      <c r="BS495" s="460"/>
      <c r="BT495" s="454"/>
      <c r="BU495" s="454"/>
      <c r="BV495" s="457"/>
      <c r="BW495" s="460"/>
      <c r="BX495" s="460"/>
      <c r="BY495" s="460"/>
      <c r="CA495" s="2"/>
      <c r="CB495" s="2"/>
      <c r="CC495" s="2"/>
      <c r="CD495" s="2"/>
      <c r="CE495" s="2"/>
      <c r="CF495" s="2"/>
      <c r="CG495" s="2"/>
      <c r="CH495" s="2"/>
      <c r="CI495" s="2"/>
      <c r="CJ495" s="2"/>
      <c r="CK495" s="2"/>
      <c r="CL495" s="2"/>
      <c r="CM495" s="2"/>
      <c r="CN495" s="2"/>
      <c r="CO495" s="427"/>
      <c r="CP495" s="427"/>
      <c r="CQ495" s="427"/>
      <c r="CR495" s="485"/>
      <c r="CS495" s="485"/>
      <c r="CT495" s="485"/>
      <c r="CU495" s="485"/>
      <c r="CV495" s="482"/>
      <c r="CW495" s="482"/>
      <c r="CX495" s="482"/>
      <c r="CY495" s="482"/>
      <c r="CZ495" s="485"/>
      <c r="DA495" s="485"/>
      <c r="DB495" s="485"/>
      <c r="DC495" s="485"/>
      <c r="DD495" s="485"/>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485"/>
      <c r="EX495" s="457"/>
      <c r="EY495" s="457"/>
      <c r="EZ495" s="457"/>
      <c r="FA495" s="457"/>
      <c r="FB495" s="457"/>
      <c r="FC495" s="457"/>
      <c r="FD495" s="457"/>
      <c r="FE495" s="457"/>
      <c r="FF495" s="457"/>
      <c r="FG495" s="457"/>
      <c r="FH495" s="457"/>
      <c r="FI495" s="457"/>
      <c r="FJ495" s="457"/>
      <c r="FK495" s="457"/>
    </row>
    <row r="496" spans="1:167" s="416" customFormat="1">
      <c r="A496" s="427"/>
      <c r="B496" s="427"/>
      <c r="C496" s="427"/>
      <c r="D496" s="427"/>
      <c r="E496" s="428"/>
      <c r="F496" s="429"/>
      <c r="G496" s="430"/>
      <c r="H496" s="427"/>
      <c r="I496" s="427"/>
      <c r="J496" s="427"/>
      <c r="K496" s="427"/>
      <c r="L496" s="427"/>
      <c r="M496" s="427"/>
      <c r="N496" s="427"/>
      <c r="O496" s="427"/>
      <c r="P496" s="427"/>
      <c r="Q496" s="427"/>
      <c r="R496" s="427"/>
      <c r="S496" s="427"/>
      <c r="T496" s="427"/>
      <c r="U496" s="427"/>
      <c r="V496" s="428"/>
      <c r="W496" s="431"/>
      <c r="X496" s="3"/>
      <c r="Y496" s="429"/>
      <c r="Z496" s="430"/>
      <c r="AA496" s="430"/>
      <c r="AB496" s="430"/>
      <c r="AC496" s="424"/>
      <c r="AD496" s="424"/>
      <c r="AE496" s="424"/>
      <c r="AF496" s="424"/>
      <c r="AG496" s="424"/>
      <c r="AH496" s="424"/>
      <c r="AI496" s="424"/>
      <c r="AJ496" s="2"/>
      <c r="AK496" s="2"/>
      <c r="AL496" s="2"/>
      <c r="AM496" s="2"/>
      <c r="AN496" s="2"/>
      <c r="AO496" s="2"/>
      <c r="AP496" s="2"/>
      <c r="AQ496" s="427"/>
      <c r="AR496" s="754"/>
      <c r="AS496" s="427"/>
      <c r="AT496" s="754"/>
      <c r="AU496" s="427"/>
      <c r="AV496" s="427"/>
      <c r="AW496" s="427"/>
      <c r="AX496" s="427"/>
      <c r="AY496" s="754"/>
      <c r="AZ496" s="754"/>
      <c r="BA496" s="754"/>
      <c r="BB496" s="427"/>
      <c r="BC496" s="427"/>
      <c r="BD496" s="427"/>
      <c r="BE496" s="754"/>
      <c r="BF496" s="427"/>
      <c r="BG496" s="454"/>
      <c r="BH496" s="754"/>
      <c r="BI496" s="427"/>
      <c r="BJ496" s="427"/>
      <c r="BK496" s="427"/>
      <c r="BL496" s="427"/>
      <c r="BM496" s="454"/>
      <c r="BN496" s="427"/>
      <c r="BO496" s="427"/>
      <c r="BP496" s="427"/>
      <c r="BQ496" s="454"/>
      <c r="BR496" s="454"/>
      <c r="BS496" s="460"/>
      <c r="BT496" s="454"/>
      <c r="BU496" s="454"/>
      <c r="BV496" s="457"/>
      <c r="BW496" s="460"/>
      <c r="BX496" s="460"/>
      <c r="BY496" s="460"/>
      <c r="CA496" s="2"/>
      <c r="CB496" s="2"/>
      <c r="CC496" s="2"/>
      <c r="CD496" s="2"/>
      <c r="CE496" s="2"/>
      <c r="CF496" s="2"/>
      <c r="CG496" s="2"/>
      <c r="CH496" s="2"/>
      <c r="CI496" s="2"/>
      <c r="CJ496" s="2"/>
      <c r="CK496" s="2"/>
      <c r="CL496" s="2"/>
      <c r="CM496" s="2"/>
      <c r="CN496" s="2"/>
      <c r="CO496" s="427"/>
      <c r="CP496" s="427"/>
      <c r="CQ496" s="427"/>
      <c r="CR496" s="485"/>
      <c r="CS496" s="485"/>
      <c r="CT496" s="485"/>
      <c r="CU496" s="485"/>
      <c r="CV496" s="482"/>
      <c r="CW496" s="482"/>
      <c r="CX496" s="482"/>
      <c r="CY496" s="482"/>
      <c r="CZ496" s="485"/>
      <c r="DA496" s="485"/>
      <c r="DB496" s="485"/>
      <c r="DC496" s="485"/>
      <c r="DD496" s="485"/>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485"/>
      <c r="EX496" s="457"/>
      <c r="EY496" s="457"/>
      <c r="EZ496" s="457"/>
      <c r="FA496" s="457"/>
      <c r="FB496" s="457"/>
      <c r="FC496" s="457"/>
      <c r="FD496" s="457"/>
      <c r="FE496" s="457"/>
      <c r="FF496" s="457"/>
      <c r="FG496" s="457"/>
      <c r="FH496" s="457"/>
      <c r="FI496" s="457"/>
      <c r="FJ496" s="457"/>
      <c r="FK496" s="457"/>
    </row>
    <row r="497" spans="1:167" s="416" customFormat="1">
      <c r="A497" s="427"/>
      <c r="B497" s="427"/>
      <c r="C497" s="427"/>
      <c r="D497" s="427"/>
      <c r="E497" s="428"/>
      <c r="F497" s="429"/>
      <c r="G497" s="430"/>
      <c r="H497" s="427"/>
      <c r="I497" s="427"/>
      <c r="J497" s="427"/>
      <c r="K497" s="427"/>
      <c r="L497" s="427"/>
      <c r="M497" s="427"/>
      <c r="N497" s="427"/>
      <c r="O497" s="427"/>
      <c r="P497" s="427"/>
      <c r="Q497" s="427"/>
      <c r="R497" s="427"/>
      <c r="S497" s="427"/>
      <c r="T497" s="427"/>
      <c r="U497" s="427"/>
      <c r="V497" s="428"/>
      <c r="W497" s="431"/>
      <c r="X497" s="3"/>
      <c r="Y497" s="429"/>
      <c r="Z497" s="430"/>
      <c r="AA497" s="430"/>
      <c r="AB497" s="430"/>
      <c r="AC497" s="424"/>
      <c r="AD497" s="424"/>
      <c r="AE497" s="424"/>
      <c r="AF497" s="424"/>
      <c r="AG497" s="424"/>
      <c r="AH497" s="424"/>
      <c r="AI497" s="424"/>
      <c r="AJ497" s="2"/>
      <c r="AK497" s="2"/>
      <c r="AL497" s="2"/>
      <c r="AM497" s="2"/>
      <c r="AN497" s="2"/>
      <c r="AO497" s="2"/>
      <c r="AP497" s="2"/>
      <c r="AQ497" s="427"/>
      <c r="AR497" s="754"/>
      <c r="AS497" s="427"/>
      <c r="AT497" s="754"/>
      <c r="AU497" s="427"/>
      <c r="AV497" s="427"/>
      <c r="AW497" s="427"/>
      <c r="AX497" s="427"/>
      <c r="AY497" s="754"/>
      <c r="AZ497" s="754"/>
      <c r="BA497" s="754"/>
      <c r="BB497" s="427"/>
      <c r="BC497" s="427"/>
      <c r="BD497" s="427"/>
      <c r="BE497" s="754"/>
      <c r="BF497" s="427"/>
      <c r="BG497" s="454"/>
      <c r="BH497" s="754"/>
      <c r="BI497" s="427"/>
      <c r="BJ497" s="427"/>
      <c r="BK497" s="427"/>
      <c r="BL497" s="427"/>
      <c r="BM497" s="454"/>
      <c r="BN497" s="427"/>
      <c r="BO497" s="427"/>
      <c r="BP497" s="427"/>
      <c r="BQ497" s="454"/>
      <c r="BR497" s="454"/>
      <c r="BS497" s="460"/>
      <c r="BT497" s="454"/>
      <c r="BU497" s="454"/>
      <c r="BV497" s="457"/>
      <c r="BW497" s="460"/>
      <c r="BX497" s="460"/>
      <c r="BY497" s="460"/>
      <c r="CA497" s="2"/>
      <c r="CB497" s="2"/>
      <c r="CC497" s="2"/>
      <c r="CD497" s="2"/>
      <c r="CE497" s="2"/>
      <c r="CF497" s="2"/>
      <c r="CG497" s="2"/>
      <c r="CH497" s="2"/>
      <c r="CI497" s="2"/>
      <c r="CJ497" s="2"/>
      <c r="CK497" s="2"/>
      <c r="CL497" s="2"/>
      <c r="CM497" s="2"/>
      <c r="CN497" s="2"/>
      <c r="CO497" s="427"/>
      <c r="CP497" s="427"/>
      <c r="CQ497" s="427"/>
      <c r="CR497" s="485"/>
      <c r="CS497" s="485"/>
      <c r="CT497" s="485"/>
      <c r="CU497" s="485"/>
      <c r="CV497" s="482"/>
      <c r="CW497" s="482"/>
      <c r="CX497" s="482"/>
      <c r="CY497" s="482"/>
      <c r="CZ497" s="485"/>
      <c r="DA497" s="485"/>
      <c r="DB497" s="485"/>
      <c r="DC497" s="485"/>
      <c r="DD497" s="485"/>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485"/>
      <c r="EX497" s="457"/>
      <c r="EY497" s="457"/>
      <c r="EZ497" s="457"/>
      <c r="FA497" s="457"/>
      <c r="FB497" s="457"/>
      <c r="FC497" s="457"/>
      <c r="FD497" s="457"/>
      <c r="FE497" s="457"/>
      <c r="FF497" s="457"/>
      <c r="FG497" s="457"/>
      <c r="FH497" s="457"/>
      <c r="FI497" s="457"/>
      <c r="FJ497" s="457"/>
      <c r="FK497" s="457"/>
    </row>
    <row r="498" spans="1:167" s="416" customFormat="1">
      <c r="A498" s="427"/>
      <c r="B498" s="427"/>
      <c r="C498" s="427"/>
      <c r="D498" s="427"/>
      <c r="E498" s="428"/>
      <c r="F498" s="429"/>
      <c r="G498" s="430"/>
      <c r="H498" s="427"/>
      <c r="I498" s="427"/>
      <c r="J498" s="427"/>
      <c r="K498" s="427"/>
      <c r="L498" s="427"/>
      <c r="M498" s="427"/>
      <c r="N498" s="427"/>
      <c r="O498" s="427"/>
      <c r="P498" s="427"/>
      <c r="Q498" s="427"/>
      <c r="R498" s="427"/>
      <c r="S498" s="427"/>
      <c r="T498" s="427"/>
      <c r="U498" s="427"/>
      <c r="V498" s="428"/>
      <c r="W498" s="431"/>
      <c r="X498" s="3"/>
      <c r="Y498" s="429"/>
      <c r="Z498" s="430"/>
      <c r="AA498" s="430"/>
      <c r="AB498" s="430"/>
      <c r="AC498" s="424"/>
      <c r="AD498" s="424"/>
      <c r="AE498" s="424"/>
      <c r="AF498" s="424"/>
      <c r="AG498" s="424"/>
      <c r="AH498" s="424"/>
      <c r="AI498" s="424"/>
      <c r="AJ498" s="2"/>
      <c r="AK498" s="2"/>
      <c r="AL498" s="2"/>
      <c r="AM498" s="2"/>
      <c r="AN498" s="2"/>
      <c r="AO498" s="2"/>
      <c r="AP498" s="2"/>
      <c r="AQ498" s="427"/>
      <c r="AR498" s="754"/>
      <c r="AS498" s="427"/>
      <c r="AT498" s="754"/>
      <c r="AU498" s="427"/>
      <c r="AV498" s="427"/>
      <c r="AW498" s="427"/>
      <c r="AX498" s="427"/>
      <c r="AY498" s="754"/>
      <c r="AZ498" s="754"/>
      <c r="BA498" s="754"/>
      <c r="BB498" s="427"/>
      <c r="BC498" s="427"/>
      <c r="BD498" s="427"/>
      <c r="BE498" s="754"/>
      <c r="BF498" s="427"/>
      <c r="BG498" s="454"/>
      <c r="BH498" s="754"/>
      <c r="BI498" s="427"/>
      <c r="BJ498" s="427"/>
      <c r="BK498" s="427"/>
      <c r="BL498" s="427"/>
      <c r="BM498" s="454"/>
      <c r="BN498" s="427"/>
      <c r="BO498" s="427"/>
      <c r="BP498" s="427"/>
      <c r="BQ498" s="454"/>
      <c r="BR498" s="454"/>
      <c r="BS498" s="460"/>
      <c r="BT498" s="454"/>
      <c r="BU498" s="454"/>
      <c r="BV498" s="457"/>
      <c r="BW498" s="460"/>
      <c r="BX498" s="460"/>
      <c r="BY498" s="460"/>
      <c r="CA498" s="2"/>
      <c r="CB498" s="2"/>
      <c r="CC498" s="2"/>
      <c r="CD498" s="2"/>
      <c r="CE498" s="2"/>
      <c r="CF498" s="2"/>
      <c r="CG498" s="2"/>
      <c r="CH498" s="2"/>
      <c r="CI498" s="2"/>
      <c r="CJ498" s="2"/>
      <c r="CK498" s="2"/>
      <c r="CL498" s="2"/>
      <c r="CM498" s="2"/>
      <c r="CN498" s="2"/>
      <c r="CO498" s="427"/>
      <c r="CP498" s="427"/>
      <c r="CQ498" s="427"/>
      <c r="CR498" s="485"/>
      <c r="CS498" s="485"/>
      <c r="CT498" s="485"/>
      <c r="CU498" s="485"/>
      <c r="CV498" s="482"/>
      <c r="CW498" s="482"/>
      <c r="CX498" s="482"/>
      <c r="CY498" s="482"/>
      <c r="CZ498" s="485"/>
      <c r="DA498" s="485"/>
      <c r="DB498" s="485"/>
      <c r="DC498" s="485"/>
      <c r="DD498" s="485"/>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485"/>
      <c r="EX498" s="457"/>
      <c r="EY498" s="457"/>
      <c r="EZ498" s="457"/>
      <c r="FA498" s="457"/>
      <c r="FB498" s="457"/>
      <c r="FC498" s="457"/>
      <c r="FD498" s="457"/>
      <c r="FE498" s="457"/>
      <c r="FF498" s="457"/>
      <c r="FG498" s="457"/>
      <c r="FH498" s="457"/>
      <c r="FI498" s="457"/>
      <c r="FJ498" s="457"/>
      <c r="FK498" s="457"/>
    </row>
    <row r="499" spans="1:167" s="416" customFormat="1">
      <c r="A499" s="427"/>
      <c r="B499" s="427"/>
      <c r="C499" s="427"/>
      <c r="D499" s="427"/>
      <c r="E499" s="428"/>
      <c r="F499" s="429"/>
      <c r="G499" s="430"/>
      <c r="H499" s="427"/>
      <c r="I499" s="427"/>
      <c r="J499" s="427"/>
      <c r="K499" s="427"/>
      <c r="L499" s="427"/>
      <c r="M499" s="427"/>
      <c r="N499" s="427"/>
      <c r="O499" s="427"/>
      <c r="P499" s="427"/>
      <c r="Q499" s="427"/>
      <c r="R499" s="427"/>
      <c r="S499" s="427"/>
      <c r="T499" s="427"/>
      <c r="U499" s="427"/>
      <c r="V499" s="428"/>
      <c r="W499" s="431"/>
      <c r="X499" s="3"/>
      <c r="Y499" s="429"/>
      <c r="Z499" s="430"/>
      <c r="AA499" s="430"/>
      <c r="AB499" s="430"/>
      <c r="AC499" s="424"/>
      <c r="AD499" s="424"/>
      <c r="AE499" s="424"/>
      <c r="AF499" s="424"/>
      <c r="AG499" s="424"/>
      <c r="AH499" s="424"/>
      <c r="AI499" s="424"/>
      <c r="AJ499" s="2"/>
      <c r="AK499" s="2"/>
      <c r="AL499" s="2"/>
      <c r="AM499" s="2"/>
      <c r="AN499" s="2"/>
      <c r="AO499" s="2"/>
      <c r="AP499" s="2"/>
      <c r="AQ499" s="427"/>
      <c r="AR499" s="754"/>
      <c r="AS499" s="427"/>
      <c r="AT499" s="754"/>
      <c r="AU499" s="427"/>
      <c r="AV499" s="427"/>
      <c r="AW499" s="427"/>
      <c r="AX499" s="427"/>
      <c r="AY499" s="754"/>
      <c r="AZ499" s="754"/>
      <c r="BA499" s="754"/>
      <c r="BB499" s="427"/>
      <c r="BC499" s="427"/>
      <c r="BD499" s="427"/>
      <c r="BE499" s="754"/>
      <c r="BF499" s="427"/>
      <c r="BG499" s="454"/>
      <c r="BH499" s="754"/>
      <c r="BI499" s="427"/>
      <c r="BJ499" s="427"/>
      <c r="BK499" s="427"/>
      <c r="BL499" s="427"/>
      <c r="BM499" s="454"/>
      <c r="BN499" s="427"/>
      <c r="BO499" s="427"/>
      <c r="BP499" s="427"/>
      <c r="BQ499" s="454"/>
      <c r="BR499" s="454"/>
      <c r="BS499" s="460"/>
      <c r="BT499" s="454"/>
      <c r="BU499" s="454"/>
      <c r="BV499" s="457"/>
      <c r="BW499" s="460"/>
      <c r="BX499" s="460"/>
      <c r="BY499" s="460"/>
      <c r="CA499" s="2"/>
      <c r="CB499" s="2"/>
      <c r="CC499" s="2"/>
      <c r="CD499" s="2"/>
      <c r="CE499" s="2"/>
      <c r="CF499" s="2"/>
      <c r="CG499" s="2"/>
      <c r="CH499" s="2"/>
      <c r="CI499" s="2"/>
      <c r="CJ499" s="2"/>
      <c r="CK499" s="2"/>
      <c r="CL499" s="2"/>
      <c r="CM499" s="2"/>
      <c r="CN499" s="2"/>
      <c r="CO499" s="427"/>
      <c r="CP499" s="427"/>
      <c r="CQ499" s="427"/>
      <c r="CR499" s="485"/>
      <c r="CS499" s="485"/>
      <c r="CT499" s="485"/>
      <c r="CU499" s="485"/>
      <c r="CV499" s="482"/>
      <c r="CW499" s="482"/>
      <c r="CX499" s="482"/>
      <c r="CY499" s="482"/>
      <c r="CZ499" s="485"/>
      <c r="DA499" s="485"/>
      <c r="DB499" s="485"/>
      <c r="DC499" s="485"/>
      <c r="DD499" s="485"/>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485"/>
      <c r="EX499" s="457"/>
      <c r="EY499" s="457"/>
      <c r="EZ499" s="457"/>
      <c r="FA499" s="457"/>
      <c r="FB499" s="457"/>
      <c r="FC499" s="457"/>
      <c r="FD499" s="457"/>
      <c r="FE499" s="457"/>
      <c r="FF499" s="457"/>
      <c r="FG499" s="457"/>
      <c r="FH499" s="457"/>
      <c r="FI499" s="457"/>
      <c r="FJ499" s="457"/>
      <c r="FK499" s="457"/>
    </row>
    <row r="500" spans="1:167" s="416" customFormat="1">
      <c r="A500" s="427"/>
      <c r="B500" s="427"/>
      <c r="C500" s="427"/>
      <c r="D500" s="427"/>
      <c r="E500" s="428"/>
      <c r="F500" s="429"/>
      <c r="G500" s="430"/>
      <c r="H500" s="427"/>
      <c r="I500" s="427"/>
      <c r="J500" s="427"/>
      <c r="K500" s="427"/>
      <c r="L500" s="427"/>
      <c r="M500" s="427"/>
      <c r="N500" s="427"/>
      <c r="O500" s="427"/>
      <c r="P500" s="427"/>
      <c r="Q500" s="427"/>
      <c r="R500" s="427"/>
      <c r="S500" s="427"/>
      <c r="T500" s="427"/>
      <c r="U500" s="427"/>
      <c r="V500" s="428"/>
      <c r="W500" s="431"/>
      <c r="X500" s="3"/>
      <c r="Y500" s="429"/>
      <c r="Z500" s="430"/>
      <c r="AA500" s="430"/>
      <c r="AB500" s="430"/>
      <c r="AC500" s="424"/>
      <c r="AD500" s="424"/>
      <c r="AE500" s="424"/>
      <c r="AF500" s="424"/>
      <c r="AG500" s="424"/>
      <c r="AH500" s="424"/>
      <c r="AI500" s="424"/>
      <c r="AJ500" s="2"/>
      <c r="AK500" s="2"/>
      <c r="AL500" s="2"/>
      <c r="AM500" s="2"/>
      <c r="AN500" s="2"/>
      <c r="AO500" s="2"/>
      <c r="AP500" s="2"/>
      <c r="AQ500" s="427"/>
      <c r="AR500" s="754"/>
      <c r="AS500" s="427"/>
      <c r="AT500" s="754"/>
      <c r="AU500" s="427"/>
      <c r="AV500" s="427"/>
      <c r="AW500" s="427"/>
      <c r="AX500" s="427"/>
      <c r="AY500" s="754"/>
      <c r="AZ500" s="754"/>
      <c r="BA500" s="754"/>
      <c r="BB500" s="427"/>
      <c r="BC500" s="427"/>
      <c r="BD500" s="427"/>
      <c r="BE500" s="754"/>
      <c r="BF500" s="427"/>
      <c r="BG500" s="454"/>
      <c r="BH500" s="754"/>
      <c r="BI500" s="427"/>
      <c r="BJ500" s="427"/>
      <c r="BK500" s="427"/>
      <c r="BL500" s="427"/>
      <c r="BM500" s="454"/>
      <c r="BN500" s="427"/>
      <c r="BO500" s="427"/>
      <c r="BP500" s="427"/>
      <c r="BQ500" s="454"/>
      <c r="BR500" s="454"/>
      <c r="BS500" s="460"/>
      <c r="BT500" s="454"/>
      <c r="BU500" s="454"/>
      <c r="BV500" s="457"/>
      <c r="BW500" s="460"/>
      <c r="BX500" s="460"/>
      <c r="BY500" s="460"/>
      <c r="CA500" s="2"/>
      <c r="CB500" s="2"/>
      <c r="CC500" s="2"/>
      <c r="CD500" s="2"/>
      <c r="CE500" s="2"/>
      <c r="CF500" s="2"/>
      <c r="CG500" s="2"/>
      <c r="CH500" s="2"/>
      <c r="CI500" s="2"/>
      <c r="CJ500" s="2"/>
      <c r="CK500" s="2"/>
      <c r="CL500" s="2"/>
      <c r="CM500" s="2"/>
      <c r="CN500" s="2"/>
      <c r="CO500" s="427"/>
      <c r="CP500" s="427"/>
      <c r="CQ500" s="427"/>
      <c r="CR500" s="485"/>
      <c r="CS500" s="485"/>
      <c r="CT500" s="485"/>
      <c r="CU500" s="485"/>
      <c r="CV500" s="482"/>
      <c r="CW500" s="482"/>
      <c r="CX500" s="482"/>
      <c r="CY500" s="482"/>
      <c r="CZ500" s="485"/>
      <c r="DA500" s="485"/>
      <c r="DB500" s="485"/>
      <c r="DC500" s="485"/>
      <c r="DD500" s="485"/>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485"/>
      <c r="EX500" s="457"/>
      <c r="EY500" s="457"/>
      <c r="EZ500" s="457"/>
      <c r="FA500" s="457"/>
      <c r="FB500" s="457"/>
      <c r="FC500" s="457"/>
      <c r="FD500" s="457"/>
      <c r="FE500" s="457"/>
      <c r="FF500" s="457"/>
      <c r="FG500" s="457"/>
      <c r="FH500" s="457"/>
      <c r="FI500" s="457"/>
      <c r="FJ500" s="457"/>
      <c r="FK500" s="457"/>
    </row>
    <row r="501" spans="1:167" s="416" customFormat="1">
      <c r="A501" s="427"/>
      <c r="B501" s="427"/>
      <c r="C501" s="427"/>
      <c r="D501" s="427"/>
      <c r="E501" s="428"/>
      <c r="F501" s="429"/>
      <c r="G501" s="430"/>
      <c r="H501" s="427"/>
      <c r="I501" s="427"/>
      <c r="J501" s="427"/>
      <c r="K501" s="427"/>
      <c r="L501" s="427"/>
      <c r="M501" s="427"/>
      <c r="N501" s="427"/>
      <c r="O501" s="427"/>
      <c r="P501" s="427"/>
      <c r="Q501" s="427"/>
      <c r="R501" s="427"/>
      <c r="S501" s="427"/>
      <c r="T501" s="427"/>
      <c r="U501" s="427"/>
      <c r="V501" s="428"/>
      <c r="W501" s="431"/>
      <c r="X501" s="3"/>
      <c r="Y501" s="429"/>
      <c r="Z501" s="430"/>
      <c r="AA501" s="430"/>
      <c r="AB501" s="430"/>
      <c r="AC501" s="424"/>
      <c r="AD501" s="424"/>
      <c r="AE501" s="424"/>
      <c r="AF501" s="424"/>
      <c r="AG501" s="424"/>
      <c r="AH501" s="424"/>
      <c r="AI501" s="424"/>
      <c r="AJ501" s="2"/>
      <c r="AK501" s="2"/>
      <c r="AL501" s="2"/>
      <c r="AM501" s="2"/>
      <c r="AN501" s="2"/>
      <c r="AO501" s="2"/>
      <c r="AP501" s="2"/>
      <c r="AQ501" s="427"/>
      <c r="AR501" s="754"/>
      <c r="AS501" s="427"/>
      <c r="AT501" s="754"/>
      <c r="AU501" s="427"/>
      <c r="AV501" s="427"/>
      <c r="AW501" s="427"/>
      <c r="AX501" s="427"/>
      <c r="AY501" s="754"/>
      <c r="AZ501" s="754"/>
      <c r="BA501" s="754"/>
      <c r="BB501" s="427"/>
      <c r="BC501" s="427"/>
      <c r="BD501" s="427"/>
      <c r="BE501" s="754"/>
      <c r="BF501" s="427"/>
      <c r="BG501" s="454"/>
      <c r="BH501" s="754"/>
      <c r="BI501" s="427"/>
      <c r="BJ501" s="427"/>
      <c r="BK501" s="427"/>
      <c r="BL501" s="427"/>
      <c r="BM501" s="454"/>
      <c r="BN501" s="427"/>
      <c r="BO501" s="427"/>
      <c r="BP501" s="427"/>
      <c r="BQ501" s="454"/>
      <c r="BR501" s="454"/>
      <c r="BS501" s="460"/>
      <c r="BT501" s="454"/>
      <c r="BU501" s="454"/>
      <c r="BV501" s="457"/>
      <c r="BW501" s="460"/>
      <c r="BX501" s="460"/>
      <c r="BY501" s="460"/>
      <c r="CA501" s="2"/>
      <c r="CB501" s="2"/>
      <c r="CC501" s="2"/>
      <c r="CD501" s="2"/>
      <c r="CE501" s="2"/>
      <c r="CF501" s="2"/>
      <c r="CG501" s="2"/>
      <c r="CH501" s="2"/>
      <c r="CI501" s="2"/>
      <c r="CJ501" s="2"/>
      <c r="CK501" s="2"/>
      <c r="CL501" s="2"/>
      <c r="CM501" s="2"/>
      <c r="CN501" s="2"/>
      <c r="CO501" s="427"/>
      <c r="CP501" s="427"/>
      <c r="CQ501" s="427"/>
      <c r="CR501" s="485"/>
      <c r="CS501" s="485"/>
      <c r="CT501" s="485"/>
      <c r="CU501" s="485"/>
      <c r="CV501" s="482"/>
      <c r="CW501" s="482"/>
      <c r="CX501" s="482"/>
      <c r="CY501" s="482"/>
      <c r="CZ501" s="485"/>
      <c r="DA501" s="485"/>
      <c r="DB501" s="485"/>
      <c r="DC501" s="485"/>
      <c r="DD501" s="485"/>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485"/>
      <c r="EX501" s="457"/>
      <c r="EY501" s="457"/>
      <c r="EZ501" s="457"/>
      <c r="FA501" s="457"/>
      <c r="FB501" s="457"/>
      <c r="FC501" s="457"/>
      <c r="FD501" s="457"/>
      <c r="FE501" s="457"/>
      <c r="FF501" s="457"/>
      <c r="FG501" s="457"/>
      <c r="FH501" s="457"/>
      <c r="FI501" s="457"/>
      <c r="FJ501" s="457"/>
      <c r="FK501" s="457"/>
    </row>
    <row r="502" spans="1:167" s="416" customFormat="1">
      <c r="A502" s="427"/>
      <c r="B502" s="427"/>
      <c r="C502" s="427"/>
      <c r="D502" s="427"/>
      <c r="E502" s="428"/>
      <c r="F502" s="429"/>
      <c r="G502" s="430"/>
      <c r="H502" s="427"/>
      <c r="I502" s="427"/>
      <c r="J502" s="427"/>
      <c r="K502" s="427"/>
      <c r="L502" s="427"/>
      <c r="M502" s="427"/>
      <c r="N502" s="427"/>
      <c r="O502" s="427"/>
      <c r="P502" s="427"/>
      <c r="Q502" s="427"/>
      <c r="R502" s="427"/>
      <c r="S502" s="427"/>
      <c r="T502" s="427"/>
      <c r="U502" s="427"/>
      <c r="V502" s="428"/>
      <c r="W502" s="431"/>
      <c r="X502" s="3"/>
      <c r="Y502" s="429"/>
      <c r="Z502" s="430"/>
      <c r="AA502" s="430"/>
      <c r="AB502" s="430"/>
      <c r="AC502" s="424"/>
      <c r="AD502" s="424"/>
      <c r="AE502" s="424"/>
      <c r="AF502" s="424"/>
      <c r="AG502" s="424"/>
      <c r="AH502" s="424"/>
      <c r="AI502" s="424"/>
      <c r="AJ502" s="2"/>
      <c r="AK502" s="2"/>
      <c r="AL502" s="2"/>
      <c r="AM502" s="2"/>
      <c r="AN502" s="2"/>
      <c r="AO502" s="2"/>
      <c r="AP502" s="2"/>
      <c r="AQ502" s="427"/>
      <c r="AR502" s="754"/>
      <c r="AS502" s="427"/>
      <c r="AT502" s="754"/>
      <c r="AU502" s="427"/>
      <c r="AV502" s="427"/>
      <c r="AW502" s="427"/>
      <c r="AX502" s="427"/>
      <c r="AY502" s="754"/>
      <c r="AZ502" s="754"/>
      <c r="BA502" s="754"/>
      <c r="BB502" s="427"/>
      <c r="BC502" s="427"/>
      <c r="BD502" s="427"/>
      <c r="BE502" s="754"/>
      <c r="BF502" s="427"/>
      <c r="BG502" s="454"/>
      <c r="BH502" s="754"/>
      <c r="BI502" s="427"/>
      <c r="BJ502" s="427"/>
      <c r="BK502" s="427"/>
      <c r="BL502" s="427"/>
      <c r="BM502" s="454"/>
      <c r="BN502" s="427"/>
      <c r="BO502" s="427"/>
      <c r="BP502" s="427"/>
      <c r="BQ502" s="454"/>
      <c r="BR502" s="454"/>
      <c r="BS502" s="460"/>
      <c r="BT502" s="454"/>
      <c r="BU502" s="454"/>
      <c r="BV502" s="457"/>
      <c r="BW502" s="460"/>
      <c r="BX502" s="460"/>
      <c r="BY502" s="460"/>
      <c r="CA502" s="2"/>
      <c r="CB502" s="2"/>
      <c r="CC502" s="2"/>
      <c r="CD502" s="2"/>
      <c r="CE502" s="2"/>
      <c r="CF502" s="2"/>
      <c r="CG502" s="2"/>
      <c r="CH502" s="2"/>
      <c r="CI502" s="2"/>
      <c r="CJ502" s="2"/>
      <c r="CK502" s="2"/>
      <c r="CL502" s="2"/>
      <c r="CM502" s="2"/>
      <c r="CN502" s="2"/>
      <c r="CO502" s="427"/>
      <c r="CP502" s="427"/>
      <c r="CQ502" s="427"/>
      <c r="CR502" s="485"/>
      <c r="CS502" s="485"/>
      <c r="CT502" s="485"/>
      <c r="CU502" s="485"/>
      <c r="CV502" s="482"/>
      <c r="CW502" s="482"/>
      <c r="CX502" s="482"/>
      <c r="CY502" s="482"/>
      <c r="CZ502" s="485"/>
      <c r="DA502" s="485"/>
      <c r="DB502" s="485"/>
      <c r="DC502" s="485"/>
      <c r="DD502" s="485"/>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485"/>
      <c r="EX502" s="457"/>
      <c r="EY502" s="457"/>
      <c r="EZ502" s="457"/>
      <c r="FA502" s="457"/>
      <c r="FB502" s="457"/>
      <c r="FC502" s="457"/>
      <c r="FD502" s="457"/>
      <c r="FE502" s="457"/>
      <c r="FF502" s="457"/>
      <c r="FG502" s="457"/>
      <c r="FH502" s="457"/>
      <c r="FI502" s="457"/>
      <c r="FJ502" s="457"/>
      <c r="FK502" s="457"/>
    </row>
    <row r="503" spans="1:167" s="416" customFormat="1">
      <c r="A503" s="427"/>
      <c r="B503" s="427"/>
      <c r="C503" s="427"/>
      <c r="D503" s="427"/>
      <c r="E503" s="428"/>
      <c r="F503" s="429"/>
      <c r="G503" s="430"/>
      <c r="H503" s="427"/>
      <c r="I503" s="427"/>
      <c r="J503" s="427"/>
      <c r="K503" s="427"/>
      <c r="L503" s="427"/>
      <c r="M503" s="427"/>
      <c r="N503" s="427"/>
      <c r="O503" s="427"/>
      <c r="P503" s="427"/>
      <c r="Q503" s="427"/>
      <c r="R503" s="427"/>
      <c r="S503" s="427"/>
      <c r="T503" s="427"/>
      <c r="U503" s="427"/>
      <c r="V503" s="428"/>
      <c r="W503" s="431"/>
      <c r="X503" s="3"/>
      <c r="Y503" s="429"/>
      <c r="Z503" s="430"/>
      <c r="AA503" s="430"/>
      <c r="AB503" s="430"/>
      <c r="AC503" s="424"/>
      <c r="AD503" s="424"/>
      <c r="AE503" s="424"/>
      <c r="AF503" s="424"/>
      <c r="AG503" s="424"/>
      <c r="AH503" s="424"/>
      <c r="AI503" s="424"/>
      <c r="AJ503" s="2"/>
      <c r="AK503" s="2"/>
      <c r="AL503" s="2"/>
      <c r="AM503" s="2"/>
      <c r="AN503" s="2"/>
      <c r="AO503" s="2"/>
      <c r="AP503" s="2"/>
      <c r="AQ503" s="427"/>
      <c r="AR503" s="754"/>
      <c r="AS503" s="427"/>
      <c r="AT503" s="754"/>
      <c r="AU503" s="427"/>
      <c r="AV503" s="427"/>
      <c r="AW503" s="427"/>
      <c r="AX503" s="427"/>
      <c r="AY503" s="754"/>
      <c r="AZ503" s="754"/>
      <c r="BA503" s="754"/>
      <c r="BB503" s="427"/>
      <c r="BC503" s="427"/>
      <c r="BD503" s="427"/>
      <c r="BE503" s="754"/>
      <c r="BF503" s="427"/>
      <c r="BG503" s="454"/>
      <c r="BH503" s="754"/>
      <c r="BI503" s="427"/>
      <c r="BJ503" s="427"/>
      <c r="BK503" s="427"/>
      <c r="BL503" s="427"/>
      <c r="BM503" s="454"/>
      <c r="BN503" s="427"/>
      <c r="BO503" s="427"/>
      <c r="BP503" s="427"/>
      <c r="BQ503" s="454"/>
      <c r="BR503" s="454"/>
      <c r="BS503" s="460"/>
      <c r="BT503" s="454"/>
      <c r="BU503" s="454"/>
      <c r="BV503" s="457"/>
      <c r="BW503" s="460"/>
      <c r="BX503" s="460"/>
      <c r="BY503" s="460"/>
      <c r="CA503" s="2"/>
      <c r="CB503" s="2"/>
      <c r="CC503" s="2"/>
      <c r="CD503" s="2"/>
      <c r="CE503" s="2"/>
      <c r="CF503" s="2"/>
      <c r="CG503" s="2"/>
      <c r="CH503" s="2"/>
      <c r="CI503" s="2"/>
      <c r="CJ503" s="2"/>
      <c r="CK503" s="2"/>
      <c r="CL503" s="2"/>
      <c r="CM503" s="2"/>
      <c r="CN503" s="2"/>
      <c r="CO503" s="427"/>
      <c r="CP503" s="427"/>
      <c r="CQ503" s="427"/>
      <c r="CR503" s="485"/>
      <c r="CS503" s="485"/>
      <c r="CT503" s="485"/>
      <c r="CU503" s="485"/>
      <c r="CV503" s="482"/>
      <c r="CW503" s="482"/>
      <c r="CX503" s="482"/>
      <c r="CY503" s="482"/>
      <c r="CZ503" s="485"/>
      <c r="DA503" s="485"/>
      <c r="DB503" s="485"/>
      <c r="DC503" s="485"/>
      <c r="DD503" s="485"/>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485"/>
      <c r="EX503" s="457"/>
      <c r="EY503" s="457"/>
      <c r="EZ503" s="457"/>
      <c r="FA503" s="457"/>
      <c r="FB503" s="457"/>
      <c r="FC503" s="457"/>
      <c r="FD503" s="457"/>
      <c r="FE503" s="457"/>
      <c r="FF503" s="457"/>
      <c r="FG503" s="457"/>
      <c r="FH503" s="457"/>
      <c r="FI503" s="457"/>
      <c r="FJ503" s="457"/>
      <c r="FK503" s="457"/>
    </row>
    <row r="504" spans="1:167" s="416" customFormat="1">
      <c r="A504" s="427"/>
      <c r="B504" s="427"/>
      <c r="C504" s="427"/>
      <c r="D504" s="427"/>
      <c r="E504" s="428"/>
      <c r="F504" s="429"/>
      <c r="G504" s="430"/>
      <c r="H504" s="427"/>
      <c r="I504" s="427"/>
      <c r="J504" s="427"/>
      <c r="K504" s="427"/>
      <c r="L504" s="427"/>
      <c r="M504" s="427"/>
      <c r="N504" s="427"/>
      <c r="O504" s="427"/>
      <c r="P504" s="427"/>
      <c r="Q504" s="427"/>
      <c r="R504" s="427"/>
      <c r="S504" s="427"/>
      <c r="T504" s="427"/>
      <c r="U504" s="427"/>
      <c r="V504" s="428"/>
      <c r="W504" s="431"/>
      <c r="X504" s="3"/>
      <c r="Y504" s="429"/>
      <c r="Z504" s="430"/>
      <c r="AA504" s="430"/>
      <c r="AB504" s="430"/>
      <c r="AC504" s="424"/>
      <c r="AD504" s="424"/>
      <c r="AE504" s="424"/>
      <c r="AF504" s="424"/>
      <c r="AG504" s="424"/>
      <c r="AH504" s="424"/>
      <c r="AI504" s="424"/>
      <c r="AJ504" s="2"/>
      <c r="AK504" s="2"/>
      <c r="AL504" s="2"/>
      <c r="AM504" s="2"/>
      <c r="AN504" s="2"/>
      <c r="AO504" s="2"/>
      <c r="AP504" s="2"/>
      <c r="AQ504" s="427"/>
      <c r="AR504" s="754"/>
      <c r="AS504" s="427"/>
      <c r="AT504" s="754"/>
      <c r="AU504" s="427"/>
      <c r="AV504" s="427"/>
      <c r="AW504" s="427"/>
      <c r="AX504" s="427"/>
      <c r="AY504" s="754"/>
      <c r="AZ504" s="754"/>
      <c r="BA504" s="754"/>
      <c r="BB504" s="427"/>
      <c r="BC504" s="427"/>
      <c r="BD504" s="427"/>
      <c r="BE504" s="754"/>
      <c r="BF504" s="427"/>
      <c r="BG504" s="454"/>
      <c r="BH504" s="754"/>
      <c r="BI504" s="427"/>
      <c r="BJ504" s="427"/>
      <c r="BK504" s="427"/>
      <c r="BL504" s="427"/>
      <c r="BM504" s="454"/>
      <c r="BN504" s="427"/>
      <c r="BO504" s="427"/>
      <c r="BP504" s="427"/>
      <c r="BQ504" s="454"/>
      <c r="BR504" s="454"/>
      <c r="BS504" s="460"/>
      <c r="BT504" s="454"/>
      <c r="BU504" s="454"/>
      <c r="BV504" s="457"/>
      <c r="BW504" s="460"/>
      <c r="BX504" s="460"/>
      <c r="BY504" s="460"/>
      <c r="CA504" s="2"/>
      <c r="CB504" s="2"/>
      <c r="CC504" s="2"/>
      <c r="CD504" s="2"/>
      <c r="CE504" s="2"/>
      <c r="CF504" s="2"/>
      <c r="CG504" s="2"/>
      <c r="CH504" s="2"/>
      <c r="CI504" s="2"/>
      <c r="CJ504" s="2"/>
      <c r="CK504" s="2"/>
      <c r="CL504" s="2"/>
      <c r="CM504" s="2"/>
      <c r="CN504" s="2"/>
      <c r="CO504" s="427"/>
      <c r="CP504" s="427"/>
      <c r="CQ504" s="427"/>
      <c r="CR504" s="485"/>
      <c r="CS504" s="485"/>
      <c r="CT504" s="485"/>
      <c r="CU504" s="485"/>
      <c r="CV504" s="482"/>
      <c r="CW504" s="482"/>
      <c r="CX504" s="482"/>
      <c r="CY504" s="482"/>
      <c r="CZ504" s="485"/>
      <c r="DA504" s="485"/>
      <c r="DB504" s="485"/>
      <c r="DC504" s="485"/>
      <c r="DD504" s="485"/>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485"/>
      <c r="EX504" s="457"/>
      <c r="EY504" s="457"/>
      <c r="EZ504" s="457"/>
      <c r="FA504" s="457"/>
      <c r="FB504" s="457"/>
      <c r="FC504" s="457"/>
      <c r="FD504" s="457"/>
      <c r="FE504" s="457"/>
      <c r="FF504" s="457"/>
      <c r="FG504" s="457"/>
      <c r="FH504" s="457"/>
      <c r="FI504" s="457"/>
      <c r="FJ504" s="457"/>
      <c r="FK504" s="457"/>
    </row>
    <row r="505" spans="1:167" s="416" customFormat="1">
      <c r="A505" s="427"/>
      <c r="B505" s="427"/>
      <c r="C505" s="427"/>
      <c r="D505" s="427"/>
      <c r="E505" s="428"/>
      <c r="F505" s="429"/>
      <c r="G505" s="430"/>
      <c r="H505" s="427"/>
      <c r="I505" s="427"/>
      <c r="J505" s="427"/>
      <c r="K505" s="427"/>
      <c r="L505" s="427"/>
      <c r="M505" s="427"/>
      <c r="N505" s="427"/>
      <c r="O505" s="427"/>
      <c r="P505" s="427"/>
      <c r="Q505" s="427"/>
      <c r="R505" s="427"/>
      <c r="S505" s="427"/>
      <c r="T505" s="427"/>
      <c r="U505" s="427"/>
      <c r="V505" s="428"/>
      <c r="W505" s="431"/>
      <c r="X505" s="3"/>
      <c r="Y505" s="429"/>
      <c r="Z505" s="430"/>
      <c r="AA505" s="430"/>
      <c r="AB505" s="430"/>
      <c r="AC505" s="424"/>
      <c r="AD505" s="424"/>
      <c r="AE505" s="424"/>
      <c r="AF505" s="424"/>
      <c r="AG505" s="424"/>
      <c r="AH505" s="424"/>
      <c r="AI505" s="424"/>
      <c r="AJ505" s="2"/>
      <c r="AK505" s="2"/>
      <c r="AL505" s="2"/>
      <c r="AM505" s="2"/>
      <c r="AN505" s="2"/>
      <c r="AO505" s="2"/>
      <c r="AP505" s="2"/>
      <c r="AQ505" s="427"/>
      <c r="AR505" s="754"/>
      <c r="AS505" s="427"/>
      <c r="AT505" s="754"/>
      <c r="AU505" s="427"/>
      <c r="AV505" s="427"/>
      <c r="AW505" s="427"/>
      <c r="AX505" s="427"/>
      <c r="AY505" s="754"/>
      <c r="AZ505" s="754"/>
      <c r="BA505" s="754"/>
      <c r="BB505" s="427"/>
      <c r="BC505" s="427"/>
      <c r="BD505" s="427"/>
      <c r="BE505" s="754"/>
      <c r="BF505" s="427"/>
      <c r="BG505" s="454"/>
      <c r="BH505" s="754"/>
      <c r="BI505" s="427"/>
      <c r="BJ505" s="427"/>
      <c r="BK505" s="427"/>
      <c r="BL505" s="427"/>
      <c r="BM505" s="454"/>
      <c r="BN505" s="427"/>
      <c r="BO505" s="427"/>
      <c r="BP505" s="427"/>
      <c r="BQ505" s="454"/>
      <c r="BR505" s="454"/>
      <c r="BS505" s="460"/>
      <c r="BT505" s="454"/>
      <c r="BU505" s="454"/>
      <c r="BV505" s="457"/>
      <c r="BW505" s="460"/>
      <c r="BX505" s="460"/>
      <c r="BY505" s="460"/>
      <c r="CA505" s="2"/>
      <c r="CB505" s="2"/>
      <c r="CC505" s="2"/>
      <c r="CD505" s="2"/>
      <c r="CE505" s="2"/>
      <c r="CF505" s="2"/>
      <c r="CG505" s="2"/>
      <c r="CH505" s="2"/>
      <c r="CI505" s="2"/>
      <c r="CJ505" s="2"/>
      <c r="CK505" s="2"/>
      <c r="CL505" s="2"/>
      <c r="CM505" s="2"/>
      <c r="CN505" s="2"/>
      <c r="CO505" s="427"/>
      <c r="CP505" s="427"/>
      <c r="CQ505" s="427"/>
      <c r="CR505" s="485"/>
      <c r="CS505" s="485"/>
      <c r="CT505" s="485"/>
      <c r="CU505" s="485"/>
      <c r="CV505" s="482"/>
      <c r="CW505" s="482"/>
      <c r="CX505" s="482"/>
      <c r="CY505" s="482"/>
      <c r="CZ505" s="485"/>
      <c r="DA505" s="485"/>
      <c r="DB505" s="485"/>
      <c r="DC505" s="485"/>
      <c r="DD505" s="485"/>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485"/>
      <c r="EX505" s="457"/>
      <c r="EY505" s="457"/>
      <c r="EZ505" s="457"/>
      <c r="FA505" s="457"/>
      <c r="FB505" s="457"/>
      <c r="FC505" s="457"/>
      <c r="FD505" s="457"/>
      <c r="FE505" s="457"/>
      <c r="FF505" s="457"/>
      <c r="FG505" s="457"/>
      <c r="FH505" s="457"/>
      <c r="FI505" s="457"/>
      <c r="FJ505" s="457"/>
      <c r="FK505" s="457"/>
    </row>
    <row r="506" spans="1:167" s="416" customFormat="1">
      <c r="A506" s="427"/>
      <c r="B506" s="427"/>
      <c r="C506" s="427"/>
      <c r="D506" s="427"/>
      <c r="E506" s="428"/>
      <c r="F506" s="429"/>
      <c r="G506" s="430"/>
      <c r="H506" s="427"/>
      <c r="I506" s="427"/>
      <c r="J506" s="427"/>
      <c r="K506" s="427"/>
      <c r="L506" s="427"/>
      <c r="M506" s="427"/>
      <c r="N506" s="427"/>
      <c r="O506" s="427"/>
      <c r="P506" s="427"/>
      <c r="Q506" s="427"/>
      <c r="R506" s="427"/>
      <c r="S506" s="427"/>
      <c r="T506" s="427"/>
      <c r="U506" s="427"/>
      <c r="V506" s="428"/>
      <c r="W506" s="431"/>
      <c r="X506" s="3"/>
      <c r="Y506" s="429"/>
      <c r="Z506" s="430"/>
      <c r="AA506" s="430"/>
      <c r="AB506" s="430"/>
      <c r="AC506" s="424"/>
      <c r="AD506" s="424"/>
      <c r="AE506" s="424"/>
      <c r="AF506" s="424"/>
      <c r="AG506" s="424"/>
      <c r="AH506" s="424"/>
      <c r="AI506" s="424"/>
      <c r="AJ506" s="2"/>
      <c r="AK506" s="2"/>
      <c r="AL506" s="2"/>
      <c r="AM506" s="2"/>
      <c r="AN506" s="2"/>
      <c r="AO506" s="2"/>
      <c r="AP506" s="2"/>
      <c r="AQ506" s="427"/>
      <c r="AR506" s="754"/>
      <c r="AS506" s="427"/>
      <c r="AT506" s="754"/>
      <c r="AU506" s="427"/>
      <c r="AV506" s="427"/>
      <c r="AW506" s="427"/>
      <c r="AX506" s="427"/>
      <c r="AY506" s="754"/>
      <c r="AZ506" s="754"/>
      <c r="BA506" s="754"/>
      <c r="BB506" s="427"/>
      <c r="BC506" s="427"/>
      <c r="BD506" s="427"/>
      <c r="BE506" s="754"/>
      <c r="BF506" s="427"/>
      <c r="BG506" s="454"/>
      <c r="BH506" s="754"/>
      <c r="BI506" s="427"/>
      <c r="BJ506" s="427"/>
      <c r="BK506" s="427"/>
      <c r="BL506" s="427"/>
      <c r="BM506" s="454"/>
      <c r="BN506" s="427"/>
      <c r="BO506" s="427"/>
      <c r="BP506" s="427"/>
      <c r="BQ506" s="454"/>
      <c r="BR506" s="454"/>
      <c r="BS506" s="460"/>
      <c r="BT506" s="454"/>
      <c r="BU506" s="454"/>
      <c r="BV506" s="457"/>
      <c r="BW506" s="460"/>
      <c r="BX506" s="460"/>
      <c r="BY506" s="460"/>
      <c r="CA506" s="2"/>
      <c r="CB506" s="2"/>
      <c r="CC506" s="2"/>
      <c r="CD506" s="2"/>
      <c r="CE506" s="2"/>
      <c r="CF506" s="2"/>
      <c r="CG506" s="2"/>
      <c r="CH506" s="2"/>
      <c r="CI506" s="2"/>
      <c r="CJ506" s="2"/>
      <c r="CK506" s="2"/>
      <c r="CL506" s="2"/>
      <c r="CM506" s="2"/>
      <c r="CN506" s="2"/>
      <c r="CO506" s="427"/>
      <c r="CP506" s="427"/>
      <c r="CQ506" s="427"/>
      <c r="CR506" s="485"/>
      <c r="CS506" s="485"/>
      <c r="CT506" s="485"/>
      <c r="CU506" s="485"/>
      <c r="CV506" s="482"/>
      <c r="CW506" s="482"/>
      <c r="CX506" s="482"/>
      <c r="CY506" s="482"/>
      <c r="CZ506" s="485"/>
      <c r="DA506" s="485"/>
      <c r="DB506" s="485"/>
      <c r="DC506" s="485"/>
      <c r="DD506" s="485"/>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485"/>
      <c r="EX506" s="457"/>
      <c r="EY506" s="457"/>
      <c r="EZ506" s="457"/>
      <c r="FA506" s="457"/>
      <c r="FB506" s="457"/>
      <c r="FC506" s="457"/>
      <c r="FD506" s="457"/>
      <c r="FE506" s="457"/>
      <c r="FF506" s="457"/>
      <c r="FG506" s="457"/>
      <c r="FH506" s="457"/>
      <c r="FI506" s="457"/>
      <c r="FJ506" s="457"/>
      <c r="FK506" s="457"/>
    </row>
    <row r="507" spans="1:167" s="416" customFormat="1">
      <c r="A507" s="427"/>
      <c r="B507" s="427"/>
      <c r="C507" s="427"/>
      <c r="D507" s="427"/>
      <c r="E507" s="428"/>
      <c r="F507" s="429"/>
      <c r="G507" s="430"/>
      <c r="H507" s="427"/>
      <c r="I507" s="427"/>
      <c r="J507" s="427"/>
      <c r="K507" s="427"/>
      <c r="L507" s="427"/>
      <c r="M507" s="427"/>
      <c r="N507" s="427"/>
      <c r="O507" s="427"/>
      <c r="P507" s="427"/>
      <c r="Q507" s="427"/>
      <c r="R507" s="427"/>
      <c r="S507" s="427"/>
      <c r="T507" s="427"/>
      <c r="U507" s="427"/>
      <c r="V507" s="428"/>
      <c r="W507" s="431"/>
      <c r="X507" s="3"/>
      <c r="Y507" s="429"/>
      <c r="Z507" s="430"/>
      <c r="AA507" s="430"/>
      <c r="AB507" s="430"/>
      <c r="AC507" s="424"/>
      <c r="AD507" s="424"/>
      <c r="AE507" s="424"/>
      <c r="AF507" s="424"/>
      <c r="AG507" s="424"/>
      <c r="AH507" s="424"/>
      <c r="AI507" s="424"/>
      <c r="AJ507" s="2"/>
      <c r="AK507" s="2"/>
      <c r="AL507" s="2"/>
      <c r="AM507" s="2"/>
      <c r="AN507" s="2"/>
      <c r="AO507" s="2"/>
      <c r="AP507" s="2"/>
      <c r="AQ507" s="427"/>
      <c r="AR507" s="754"/>
      <c r="AS507" s="427"/>
      <c r="AT507" s="754"/>
      <c r="AU507" s="427"/>
      <c r="AV507" s="427"/>
      <c r="AW507" s="427"/>
      <c r="AX507" s="427"/>
      <c r="AY507" s="754"/>
      <c r="AZ507" s="754"/>
      <c r="BA507" s="754"/>
      <c r="BB507" s="427"/>
      <c r="BC507" s="427"/>
      <c r="BD507" s="427"/>
      <c r="BE507" s="754"/>
      <c r="BF507" s="427"/>
      <c r="BG507" s="454"/>
      <c r="BH507" s="754"/>
      <c r="BI507" s="427"/>
      <c r="BJ507" s="427"/>
      <c r="BK507" s="427"/>
      <c r="BL507" s="427"/>
      <c r="BM507" s="454"/>
      <c r="BN507" s="427"/>
      <c r="BO507" s="427"/>
      <c r="BP507" s="427"/>
      <c r="BQ507" s="454"/>
      <c r="BR507" s="454"/>
      <c r="BS507" s="460"/>
      <c r="BT507" s="454"/>
      <c r="BU507" s="454"/>
      <c r="BV507" s="457"/>
      <c r="BW507" s="460"/>
      <c r="BX507" s="460"/>
      <c r="BY507" s="460"/>
      <c r="CA507" s="2"/>
      <c r="CB507" s="2"/>
      <c r="CC507" s="2"/>
      <c r="CD507" s="2"/>
      <c r="CE507" s="2"/>
      <c r="CF507" s="2"/>
      <c r="CG507" s="2"/>
      <c r="CH507" s="2"/>
      <c r="CI507" s="2"/>
      <c r="CJ507" s="2"/>
      <c r="CK507" s="2"/>
      <c r="CL507" s="2"/>
      <c r="CM507" s="2"/>
      <c r="CN507" s="2"/>
      <c r="CO507" s="427"/>
      <c r="CP507" s="427"/>
      <c r="CQ507" s="427"/>
      <c r="CR507" s="485"/>
      <c r="CS507" s="485"/>
      <c r="CT507" s="485"/>
      <c r="CU507" s="485"/>
      <c r="CV507" s="482"/>
      <c r="CW507" s="482"/>
      <c r="CX507" s="482"/>
      <c r="CY507" s="482"/>
      <c r="CZ507" s="485"/>
      <c r="DA507" s="485"/>
      <c r="DB507" s="485"/>
      <c r="DC507" s="485"/>
      <c r="DD507" s="485"/>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485"/>
      <c r="EX507" s="457"/>
      <c r="EY507" s="457"/>
      <c r="EZ507" s="457"/>
      <c r="FA507" s="457"/>
      <c r="FB507" s="457"/>
      <c r="FC507" s="457"/>
      <c r="FD507" s="457"/>
      <c r="FE507" s="457"/>
      <c r="FF507" s="457"/>
      <c r="FG507" s="457"/>
      <c r="FH507" s="457"/>
      <c r="FI507" s="457"/>
      <c r="FJ507" s="457"/>
      <c r="FK507" s="457"/>
    </row>
    <row r="508" spans="1:167" s="416" customFormat="1">
      <c r="A508" s="427"/>
      <c r="B508" s="427"/>
      <c r="C508" s="427"/>
      <c r="D508" s="427"/>
      <c r="E508" s="428"/>
      <c r="F508" s="429"/>
      <c r="G508" s="430"/>
      <c r="H508" s="427"/>
      <c r="I508" s="427"/>
      <c r="J508" s="427"/>
      <c r="K508" s="427"/>
      <c r="L508" s="427"/>
      <c r="M508" s="427"/>
      <c r="N508" s="427"/>
      <c r="O508" s="427"/>
      <c r="P508" s="427"/>
      <c r="Q508" s="427"/>
      <c r="R508" s="427"/>
      <c r="S508" s="427"/>
      <c r="T508" s="427"/>
      <c r="U508" s="427"/>
      <c r="V508" s="428"/>
      <c r="W508" s="431"/>
      <c r="X508" s="3"/>
      <c r="Y508" s="429"/>
      <c r="Z508" s="430"/>
      <c r="AA508" s="430"/>
      <c r="AB508" s="430"/>
      <c r="AC508" s="424"/>
      <c r="AD508" s="424"/>
      <c r="AE508" s="424"/>
      <c r="AF508" s="424"/>
      <c r="AG508" s="424"/>
      <c r="AH508" s="424"/>
      <c r="AI508" s="424"/>
      <c r="AJ508" s="2"/>
      <c r="AK508" s="2"/>
      <c r="AL508" s="2"/>
      <c r="AM508" s="2"/>
      <c r="AN508" s="2"/>
      <c r="AO508" s="2"/>
      <c r="AP508" s="2"/>
      <c r="AQ508" s="427"/>
      <c r="AR508" s="754"/>
      <c r="AS508" s="427"/>
      <c r="AT508" s="754"/>
      <c r="AU508" s="427"/>
      <c r="AV508" s="427"/>
      <c r="AW508" s="427"/>
      <c r="AX508" s="427"/>
      <c r="AY508" s="754"/>
      <c r="AZ508" s="754"/>
      <c r="BA508" s="754"/>
      <c r="BB508" s="427"/>
      <c r="BC508" s="427"/>
      <c r="BD508" s="427"/>
      <c r="BE508" s="754"/>
      <c r="BF508" s="427"/>
      <c r="BG508" s="454"/>
      <c r="BH508" s="754"/>
      <c r="BI508" s="427"/>
      <c r="BJ508" s="427"/>
      <c r="BK508" s="427"/>
      <c r="BL508" s="427"/>
      <c r="BM508" s="454"/>
      <c r="BN508" s="427"/>
      <c r="BO508" s="427"/>
      <c r="BP508" s="427"/>
      <c r="BQ508" s="454"/>
      <c r="BR508" s="454"/>
      <c r="BS508" s="460"/>
      <c r="BT508" s="454"/>
      <c r="BU508" s="454"/>
      <c r="BV508" s="457"/>
      <c r="BW508" s="460"/>
      <c r="BX508" s="460"/>
      <c r="BY508" s="460"/>
      <c r="CA508" s="2"/>
      <c r="CB508" s="2"/>
      <c r="CC508" s="2"/>
      <c r="CD508" s="2"/>
      <c r="CE508" s="2"/>
      <c r="CF508" s="2"/>
      <c r="CG508" s="2"/>
      <c r="CH508" s="2"/>
      <c r="CI508" s="2"/>
      <c r="CJ508" s="2"/>
      <c r="CK508" s="2"/>
      <c r="CL508" s="2"/>
      <c r="CM508" s="2"/>
      <c r="CN508" s="2"/>
      <c r="CO508" s="427"/>
      <c r="CP508" s="427"/>
      <c r="CQ508" s="427"/>
      <c r="CR508" s="485"/>
      <c r="CS508" s="485"/>
      <c r="CT508" s="485"/>
      <c r="CU508" s="485"/>
      <c r="CV508" s="482"/>
      <c r="CW508" s="482"/>
      <c r="CX508" s="482"/>
      <c r="CY508" s="482"/>
      <c r="CZ508" s="485"/>
      <c r="DA508" s="485"/>
      <c r="DB508" s="485"/>
      <c r="DC508" s="485"/>
      <c r="DD508" s="485"/>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485"/>
      <c r="EX508" s="457"/>
      <c r="EY508" s="457"/>
      <c r="EZ508" s="457"/>
      <c r="FA508" s="457"/>
      <c r="FB508" s="457"/>
      <c r="FC508" s="457"/>
      <c r="FD508" s="457"/>
      <c r="FE508" s="457"/>
      <c r="FF508" s="457"/>
      <c r="FG508" s="457"/>
      <c r="FH508" s="457"/>
      <c r="FI508" s="457"/>
      <c r="FJ508" s="457"/>
      <c r="FK508" s="457"/>
    </row>
    <row r="509" spans="1:167" s="416" customFormat="1">
      <c r="A509" s="427"/>
      <c r="B509" s="427"/>
      <c r="C509" s="427"/>
      <c r="D509" s="427"/>
      <c r="E509" s="428"/>
      <c r="F509" s="429"/>
      <c r="G509" s="430"/>
      <c r="H509" s="427"/>
      <c r="I509" s="427"/>
      <c r="J509" s="427"/>
      <c r="K509" s="427"/>
      <c r="L509" s="427"/>
      <c r="M509" s="427"/>
      <c r="N509" s="427"/>
      <c r="O509" s="427"/>
      <c r="P509" s="427"/>
      <c r="Q509" s="427"/>
      <c r="R509" s="427"/>
      <c r="S509" s="427"/>
      <c r="T509" s="427"/>
      <c r="U509" s="427"/>
      <c r="V509" s="428"/>
      <c r="W509" s="431"/>
      <c r="X509" s="3"/>
      <c r="Y509" s="429"/>
      <c r="Z509" s="430"/>
      <c r="AA509" s="430"/>
      <c r="AB509" s="430"/>
      <c r="AC509" s="424"/>
      <c r="AD509" s="424"/>
      <c r="AE509" s="424"/>
      <c r="AF509" s="424"/>
      <c r="AG509" s="424"/>
      <c r="AH509" s="424"/>
      <c r="AI509" s="424"/>
      <c r="AJ509" s="2"/>
      <c r="AK509" s="2"/>
      <c r="AL509" s="2"/>
      <c r="AM509" s="2"/>
      <c r="AN509" s="2"/>
      <c r="AO509" s="2"/>
      <c r="AP509" s="2"/>
      <c r="AQ509" s="427"/>
      <c r="AR509" s="754"/>
      <c r="AS509" s="427"/>
      <c r="AT509" s="754"/>
      <c r="AU509" s="427"/>
      <c r="AV509" s="427"/>
      <c r="AW509" s="427"/>
      <c r="AX509" s="427"/>
      <c r="AY509" s="754"/>
      <c r="AZ509" s="754"/>
      <c r="BA509" s="754"/>
      <c r="BB509" s="427"/>
      <c r="BC509" s="427"/>
      <c r="BD509" s="427"/>
      <c r="BE509" s="754"/>
      <c r="BF509" s="427"/>
      <c r="BG509" s="454"/>
      <c r="BH509" s="754"/>
      <c r="BI509" s="427"/>
      <c r="BJ509" s="427"/>
      <c r="BK509" s="427"/>
      <c r="BL509" s="427"/>
      <c r="BM509" s="454"/>
      <c r="BN509" s="427"/>
      <c r="BO509" s="427"/>
      <c r="BP509" s="427"/>
      <c r="BQ509" s="454"/>
      <c r="BR509" s="454"/>
      <c r="BS509" s="460"/>
      <c r="BT509" s="454"/>
      <c r="BU509" s="454"/>
      <c r="BV509" s="457"/>
      <c r="BW509" s="460"/>
      <c r="BX509" s="460"/>
      <c r="BY509" s="460"/>
      <c r="CA509" s="2"/>
      <c r="CB509" s="2"/>
      <c r="CC509" s="2"/>
      <c r="CD509" s="2"/>
      <c r="CE509" s="2"/>
      <c r="CF509" s="2"/>
      <c r="CG509" s="2"/>
      <c r="CH509" s="2"/>
      <c r="CI509" s="2"/>
      <c r="CJ509" s="2"/>
      <c r="CK509" s="2"/>
      <c r="CL509" s="2"/>
      <c r="CM509" s="2"/>
      <c r="CN509" s="2"/>
      <c r="CO509" s="427"/>
      <c r="CP509" s="427"/>
      <c r="CQ509" s="427"/>
      <c r="CR509" s="485"/>
      <c r="CS509" s="485"/>
      <c r="CT509" s="485"/>
      <c r="CU509" s="485"/>
      <c r="CV509" s="482"/>
      <c r="CW509" s="482"/>
      <c r="CX509" s="482"/>
      <c r="CY509" s="482"/>
      <c r="CZ509" s="485"/>
      <c r="DA509" s="485"/>
      <c r="DB509" s="485"/>
      <c r="DC509" s="485"/>
      <c r="DD509" s="485"/>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485"/>
      <c r="EX509" s="457"/>
      <c r="EY509" s="457"/>
      <c r="EZ509" s="457"/>
      <c r="FA509" s="457"/>
      <c r="FB509" s="457"/>
      <c r="FC509" s="457"/>
      <c r="FD509" s="457"/>
      <c r="FE509" s="457"/>
      <c r="FF509" s="457"/>
      <c r="FG509" s="457"/>
      <c r="FH509" s="457"/>
      <c r="FI509" s="457"/>
      <c r="FJ509" s="457"/>
      <c r="FK509" s="457"/>
    </row>
    <row r="510" spans="1:167" s="416" customFormat="1">
      <c r="A510" s="427"/>
      <c r="B510" s="427"/>
      <c r="C510" s="427"/>
      <c r="D510" s="427"/>
      <c r="E510" s="428"/>
      <c r="F510" s="429"/>
      <c r="G510" s="430"/>
      <c r="H510" s="427"/>
      <c r="I510" s="427"/>
      <c r="J510" s="427"/>
      <c r="K510" s="427"/>
      <c r="L510" s="427"/>
      <c r="M510" s="427"/>
      <c r="N510" s="427"/>
      <c r="O510" s="427"/>
      <c r="P510" s="427"/>
      <c r="Q510" s="427"/>
      <c r="R510" s="427"/>
      <c r="S510" s="427"/>
      <c r="T510" s="427"/>
      <c r="U510" s="427"/>
      <c r="V510" s="428"/>
      <c r="W510" s="431"/>
      <c r="X510" s="3"/>
      <c r="Y510" s="429"/>
      <c r="Z510" s="430"/>
      <c r="AA510" s="430"/>
      <c r="AB510" s="430"/>
      <c r="AC510" s="424"/>
      <c r="AD510" s="424"/>
      <c r="AE510" s="424"/>
      <c r="AF510" s="424"/>
      <c r="AG510" s="424"/>
      <c r="AH510" s="424"/>
      <c r="AI510" s="424"/>
      <c r="AJ510" s="2"/>
      <c r="AK510" s="2"/>
      <c r="AL510" s="2"/>
      <c r="AM510" s="2"/>
      <c r="AN510" s="2"/>
      <c r="AO510" s="2"/>
      <c r="AP510" s="2"/>
      <c r="AQ510" s="427"/>
      <c r="AR510" s="754"/>
      <c r="AS510" s="427"/>
      <c r="AT510" s="754"/>
      <c r="AU510" s="427"/>
      <c r="AV510" s="427"/>
      <c r="AW510" s="427"/>
      <c r="AX510" s="427"/>
      <c r="AY510" s="754"/>
      <c r="AZ510" s="754"/>
      <c r="BA510" s="754"/>
      <c r="BB510" s="427"/>
      <c r="BC510" s="427"/>
      <c r="BD510" s="427"/>
      <c r="BE510" s="754"/>
      <c r="BF510" s="427"/>
      <c r="BG510" s="454"/>
      <c r="BH510" s="754"/>
      <c r="BI510" s="427"/>
      <c r="BJ510" s="427"/>
      <c r="BK510" s="427"/>
      <c r="BL510" s="427"/>
      <c r="BM510" s="454"/>
      <c r="BN510" s="427"/>
      <c r="BO510" s="427"/>
      <c r="BP510" s="427"/>
      <c r="BQ510" s="454"/>
      <c r="BR510" s="454"/>
      <c r="BS510" s="460"/>
      <c r="BT510" s="454"/>
      <c r="BU510" s="454"/>
      <c r="BV510" s="457"/>
      <c r="BW510" s="460"/>
      <c r="BX510" s="460"/>
      <c r="BY510" s="460"/>
      <c r="CA510" s="2"/>
      <c r="CB510" s="2"/>
      <c r="CC510" s="2"/>
      <c r="CD510" s="2"/>
      <c r="CE510" s="2"/>
      <c r="CF510" s="2"/>
      <c r="CG510" s="2"/>
      <c r="CH510" s="2"/>
      <c r="CI510" s="2"/>
      <c r="CJ510" s="2"/>
      <c r="CK510" s="2"/>
      <c r="CL510" s="2"/>
      <c r="CM510" s="2"/>
      <c r="CN510" s="2"/>
      <c r="CO510" s="427"/>
      <c r="CP510" s="427"/>
      <c r="CQ510" s="427"/>
      <c r="CR510" s="485"/>
      <c r="CS510" s="485"/>
      <c r="CT510" s="485"/>
      <c r="CU510" s="485"/>
      <c r="CV510" s="482"/>
      <c r="CW510" s="482"/>
      <c r="CX510" s="482"/>
      <c r="CY510" s="482"/>
      <c r="CZ510" s="485"/>
      <c r="DA510" s="485"/>
      <c r="DB510" s="485"/>
      <c r="DC510" s="485"/>
      <c r="DD510" s="485"/>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485"/>
      <c r="EX510" s="457"/>
      <c r="EY510" s="457"/>
      <c r="EZ510" s="457"/>
      <c r="FA510" s="457"/>
      <c r="FB510" s="457"/>
      <c r="FC510" s="457"/>
      <c r="FD510" s="457"/>
      <c r="FE510" s="457"/>
      <c r="FF510" s="457"/>
      <c r="FG510" s="457"/>
      <c r="FH510" s="457"/>
      <c r="FI510" s="457"/>
      <c r="FJ510" s="457"/>
      <c r="FK510" s="457"/>
    </row>
    <row r="511" spans="1:167" s="416" customFormat="1">
      <c r="A511" s="427"/>
      <c r="B511" s="427"/>
      <c r="C511" s="427"/>
      <c r="D511" s="427"/>
      <c r="E511" s="428"/>
      <c r="F511" s="429"/>
      <c r="G511" s="430"/>
      <c r="H511" s="427"/>
      <c r="I511" s="427"/>
      <c r="J511" s="427"/>
      <c r="K511" s="427"/>
      <c r="L511" s="427"/>
      <c r="M511" s="427"/>
      <c r="N511" s="427"/>
      <c r="O511" s="427"/>
      <c r="P511" s="427"/>
      <c r="Q511" s="427"/>
      <c r="R511" s="427"/>
      <c r="S511" s="427"/>
      <c r="T511" s="427"/>
      <c r="U511" s="427"/>
      <c r="V511" s="428"/>
      <c r="W511" s="431"/>
      <c r="X511" s="3"/>
      <c r="Y511" s="429"/>
      <c r="Z511" s="430"/>
      <c r="AA511" s="430"/>
      <c r="AB511" s="430"/>
      <c r="AC511" s="424"/>
      <c r="AD511" s="424"/>
      <c r="AE511" s="424"/>
      <c r="AF511" s="424"/>
      <c r="AG511" s="424"/>
      <c r="AH511" s="424"/>
      <c r="AI511" s="424"/>
      <c r="AJ511" s="2"/>
      <c r="AK511" s="2"/>
      <c r="AL511" s="2"/>
      <c r="AM511" s="2"/>
      <c r="AN511" s="2"/>
      <c r="AO511" s="2"/>
      <c r="AP511" s="2"/>
      <c r="AQ511" s="427"/>
      <c r="AR511" s="754"/>
      <c r="AS511" s="427"/>
      <c r="AT511" s="754"/>
      <c r="AU511" s="427"/>
      <c r="AV511" s="427"/>
      <c r="AW511" s="427"/>
      <c r="AX511" s="427"/>
      <c r="AY511" s="754"/>
      <c r="AZ511" s="754"/>
      <c r="BA511" s="754"/>
      <c r="BB511" s="427"/>
      <c r="BC511" s="427"/>
      <c r="BD511" s="427"/>
      <c r="BE511" s="754"/>
      <c r="BF511" s="427"/>
      <c r="BG511" s="454"/>
      <c r="BH511" s="754"/>
      <c r="BI511" s="427"/>
      <c r="BJ511" s="427"/>
      <c r="BK511" s="427"/>
      <c r="BL511" s="427"/>
      <c r="BM511" s="454"/>
      <c r="BN511" s="427"/>
      <c r="BO511" s="427"/>
      <c r="BP511" s="427"/>
      <c r="BQ511" s="454"/>
      <c r="BR511" s="454"/>
      <c r="BS511" s="460"/>
      <c r="BT511" s="454"/>
      <c r="BU511" s="454"/>
      <c r="BV511" s="457"/>
      <c r="BW511" s="460"/>
      <c r="BX511" s="460"/>
      <c r="BY511" s="460"/>
      <c r="CA511" s="2"/>
      <c r="CB511" s="2"/>
      <c r="CC511" s="2"/>
      <c r="CD511" s="2"/>
      <c r="CE511" s="2"/>
      <c r="CF511" s="2"/>
      <c r="CG511" s="2"/>
      <c r="CH511" s="2"/>
      <c r="CI511" s="2"/>
      <c r="CJ511" s="2"/>
      <c r="CK511" s="2"/>
      <c r="CL511" s="2"/>
      <c r="CM511" s="2"/>
      <c r="CN511" s="2"/>
      <c r="CO511" s="427"/>
      <c r="CP511" s="427"/>
      <c r="CQ511" s="427"/>
      <c r="CR511" s="485"/>
      <c r="CS511" s="485"/>
      <c r="CT511" s="485"/>
      <c r="CU511" s="485"/>
      <c r="CV511" s="482"/>
      <c r="CW511" s="482"/>
      <c r="CX511" s="482"/>
      <c r="CY511" s="482"/>
      <c r="CZ511" s="485"/>
      <c r="DA511" s="485"/>
      <c r="DB511" s="485"/>
      <c r="DC511" s="485"/>
      <c r="DD511" s="485"/>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485"/>
      <c r="EX511" s="457"/>
      <c r="EY511" s="457"/>
      <c r="EZ511" s="457"/>
      <c r="FA511" s="457"/>
      <c r="FB511" s="457"/>
      <c r="FC511" s="457"/>
      <c r="FD511" s="457"/>
      <c r="FE511" s="457"/>
      <c r="FF511" s="457"/>
      <c r="FG511" s="457"/>
      <c r="FH511" s="457"/>
      <c r="FI511" s="457"/>
      <c r="FJ511" s="457"/>
      <c r="FK511" s="457"/>
    </row>
    <row r="512" spans="1:167" s="416" customFormat="1">
      <c r="A512" s="427"/>
      <c r="B512" s="427"/>
      <c r="C512" s="427"/>
      <c r="D512" s="427"/>
      <c r="E512" s="428"/>
      <c r="F512" s="429"/>
      <c r="G512" s="430"/>
      <c r="H512" s="427"/>
      <c r="I512" s="427"/>
      <c r="J512" s="427"/>
      <c r="K512" s="427"/>
      <c r="L512" s="427"/>
      <c r="M512" s="427"/>
      <c r="N512" s="427"/>
      <c r="O512" s="427"/>
      <c r="P512" s="427"/>
      <c r="Q512" s="427"/>
      <c r="R512" s="427"/>
      <c r="S512" s="427"/>
      <c r="T512" s="427"/>
      <c r="U512" s="427"/>
      <c r="V512" s="428"/>
      <c r="W512" s="431"/>
      <c r="X512" s="3"/>
      <c r="Y512" s="429"/>
      <c r="Z512" s="430"/>
      <c r="AA512" s="430"/>
      <c r="AB512" s="430"/>
      <c r="AC512" s="424"/>
      <c r="AD512" s="424"/>
      <c r="AE512" s="424"/>
      <c r="AF512" s="424"/>
      <c r="AG512" s="424"/>
      <c r="AH512" s="424"/>
      <c r="AI512" s="424"/>
      <c r="AJ512" s="2"/>
      <c r="AK512" s="2"/>
      <c r="AL512" s="2"/>
      <c r="AM512" s="2"/>
      <c r="AN512" s="2"/>
      <c r="AO512" s="2"/>
      <c r="AP512" s="2"/>
      <c r="AQ512" s="427"/>
      <c r="AR512" s="754"/>
      <c r="AS512" s="427"/>
      <c r="AT512" s="754"/>
      <c r="AU512" s="427"/>
      <c r="AV512" s="427"/>
      <c r="AW512" s="427"/>
      <c r="AX512" s="427"/>
      <c r="AY512" s="754"/>
      <c r="AZ512" s="754"/>
      <c r="BA512" s="754"/>
      <c r="BB512" s="427"/>
      <c r="BC512" s="427"/>
      <c r="BD512" s="427"/>
      <c r="BE512" s="754"/>
      <c r="BF512" s="427"/>
      <c r="BG512" s="454"/>
      <c r="BH512" s="754"/>
      <c r="BI512" s="427"/>
      <c r="BJ512" s="427"/>
      <c r="BK512" s="427"/>
      <c r="BL512" s="427"/>
      <c r="BM512" s="454"/>
      <c r="BN512" s="427"/>
      <c r="BO512" s="427"/>
      <c r="BP512" s="427"/>
      <c r="BQ512" s="454"/>
      <c r="BR512" s="454"/>
      <c r="BS512" s="460"/>
      <c r="BT512" s="454"/>
      <c r="BU512" s="454"/>
      <c r="BV512" s="457"/>
      <c r="BW512" s="460"/>
      <c r="BX512" s="460"/>
      <c r="BY512" s="460"/>
      <c r="CA512" s="2"/>
      <c r="CB512" s="2"/>
      <c r="CC512" s="2"/>
      <c r="CD512" s="2"/>
      <c r="CE512" s="2"/>
      <c r="CF512" s="2"/>
      <c r="CG512" s="2"/>
      <c r="CH512" s="2"/>
      <c r="CI512" s="2"/>
      <c r="CJ512" s="2"/>
      <c r="CK512" s="2"/>
      <c r="CL512" s="2"/>
      <c r="CM512" s="2"/>
      <c r="CN512" s="2"/>
      <c r="CO512" s="427"/>
      <c r="CP512" s="427"/>
      <c r="CQ512" s="427"/>
      <c r="CR512" s="485"/>
      <c r="CS512" s="485"/>
      <c r="CT512" s="485"/>
      <c r="CU512" s="485"/>
      <c r="CV512" s="482"/>
      <c r="CW512" s="482"/>
      <c r="CX512" s="482"/>
      <c r="CY512" s="482"/>
      <c r="CZ512" s="485"/>
      <c r="DA512" s="485"/>
      <c r="DB512" s="485"/>
      <c r="DC512" s="485"/>
      <c r="DD512" s="485"/>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485"/>
      <c r="EX512" s="457"/>
      <c r="EY512" s="457"/>
      <c r="EZ512" s="457"/>
      <c r="FA512" s="457"/>
      <c r="FB512" s="457"/>
      <c r="FC512" s="457"/>
      <c r="FD512" s="457"/>
      <c r="FE512" s="457"/>
      <c r="FF512" s="457"/>
      <c r="FG512" s="457"/>
      <c r="FH512" s="457"/>
      <c r="FI512" s="457"/>
      <c r="FJ512" s="457"/>
      <c r="FK512" s="457"/>
    </row>
    <row r="513" spans="1:167" s="416" customFormat="1">
      <c r="A513" s="427"/>
      <c r="B513" s="427"/>
      <c r="C513" s="427"/>
      <c r="D513" s="427"/>
      <c r="E513" s="428"/>
      <c r="F513" s="429"/>
      <c r="G513" s="430"/>
      <c r="H513" s="427"/>
      <c r="I513" s="427"/>
      <c r="J513" s="427"/>
      <c r="K513" s="427"/>
      <c r="L513" s="427"/>
      <c r="M513" s="427"/>
      <c r="N513" s="427"/>
      <c r="O513" s="427"/>
      <c r="P513" s="427"/>
      <c r="Q513" s="427"/>
      <c r="R513" s="427"/>
      <c r="S513" s="427"/>
      <c r="T513" s="427"/>
      <c r="U513" s="427"/>
      <c r="V513" s="428"/>
      <c r="W513" s="431"/>
      <c r="X513" s="3"/>
      <c r="Y513" s="429"/>
      <c r="Z513" s="430"/>
      <c r="AA513" s="430"/>
      <c r="AB513" s="430"/>
      <c r="AC513" s="424"/>
      <c r="AD513" s="424"/>
      <c r="AE513" s="424"/>
      <c r="AF513" s="424"/>
      <c r="AG513" s="424"/>
      <c r="AH513" s="424"/>
      <c r="AI513" s="424"/>
      <c r="AJ513" s="2"/>
      <c r="AK513" s="2"/>
      <c r="AL513" s="2"/>
      <c r="AM513" s="2"/>
      <c r="AN513" s="2"/>
      <c r="AO513" s="2"/>
      <c r="AP513" s="2"/>
      <c r="AQ513" s="427"/>
      <c r="AR513" s="754"/>
      <c r="AS513" s="427"/>
      <c r="AT513" s="754"/>
      <c r="AU513" s="427"/>
      <c r="AV513" s="427"/>
      <c r="AW513" s="427"/>
      <c r="AX513" s="427"/>
      <c r="AY513" s="754"/>
      <c r="AZ513" s="754"/>
      <c r="BA513" s="754"/>
      <c r="BB513" s="427"/>
      <c r="BC513" s="427"/>
      <c r="BD513" s="427"/>
      <c r="BE513" s="754"/>
      <c r="BF513" s="427"/>
      <c r="BG513" s="454"/>
      <c r="BH513" s="754"/>
      <c r="BI513" s="427"/>
      <c r="BJ513" s="427"/>
      <c r="BK513" s="427"/>
      <c r="BL513" s="427"/>
      <c r="BM513" s="454"/>
      <c r="BN513" s="427"/>
      <c r="BO513" s="427"/>
      <c r="BP513" s="427"/>
      <c r="BQ513" s="454"/>
      <c r="BR513" s="454"/>
      <c r="BS513" s="460"/>
      <c r="BT513" s="454"/>
      <c r="BU513" s="454"/>
      <c r="BV513" s="457"/>
      <c r="BW513" s="460"/>
      <c r="BX513" s="460"/>
      <c r="BY513" s="460"/>
      <c r="CA513" s="2"/>
      <c r="CB513" s="2"/>
      <c r="CC513" s="2"/>
      <c r="CD513" s="2"/>
      <c r="CE513" s="2"/>
      <c r="CF513" s="2"/>
      <c r="CG513" s="2"/>
      <c r="CH513" s="2"/>
      <c r="CI513" s="2"/>
      <c r="CJ513" s="2"/>
      <c r="CK513" s="2"/>
      <c r="CL513" s="2"/>
      <c r="CM513" s="2"/>
      <c r="CN513" s="2"/>
      <c r="CO513" s="427"/>
      <c r="CP513" s="427"/>
      <c r="CQ513" s="427"/>
      <c r="CR513" s="485"/>
      <c r="CS513" s="485"/>
      <c r="CT513" s="485"/>
      <c r="CU513" s="485"/>
      <c r="CV513" s="482"/>
      <c r="CW513" s="482"/>
      <c r="CX513" s="482"/>
      <c r="CY513" s="482"/>
      <c r="CZ513" s="485"/>
      <c r="DA513" s="485"/>
      <c r="DB513" s="485"/>
      <c r="DC513" s="485"/>
      <c r="DD513" s="485"/>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485"/>
      <c r="EX513" s="457"/>
      <c r="EY513" s="457"/>
      <c r="EZ513" s="457"/>
      <c r="FA513" s="457"/>
      <c r="FB513" s="457"/>
      <c r="FC513" s="457"/>
      <c r="FD513" s="457"/>
      <c r="FE513" s="457"/>
      <c r="FF513" s="457"/>
      <c r="FG513" s="457"/>
      <c r="FH513" s="457"/>
      <c r="FI513" s="457"/>
      <c r="FJ513" s="457"/>
      <c r="FK513" s="457"/>
    </row>
    <row r="514" spans="1:167" s="416" customFormat="1">
      <c r="A514" s="427"/>
      <c r="B514" s="427"/>
      <c r="C514" s="427"/>
      <c r="D514" s="427"/>
      <c r="E514" s="428"/>
      <c r="F514" s="429"/>
      <c r="G514" s="430"/>
      <c r="H514" s="427"/>
      <c r="I514" s="427"/>
      <c r="J514" s="427"/>
      <c r="K514" s="427"/>
      <c r="L514" s="427"/>
      <c r="M514" s="427"/>
      <c r="N514" s="427"/>
      <c r="O514" s="427"/>
      <c r="P514" s="427"/>
      <c r="Q514" s="427"/>
      <c r="R514" s="427"/>
      <c r="S514" s="427"/>
      <c r="T514" s="427"/>
      <c r="U514" s="427"/>
      <c r="V514" s="428"/>
      <c r="W514" s="431"/>
      <c r="X514" s="3"/>
      <c r="Y514" s="429"/>
      <c r="Z514" s="430"/>
      <c r="AA514" s="430"/>
      <c r="AB514" s="430"/>
      <c r="AC514" s="424"/>
      <c r="AD514" s="424"/>
      <c r="AE514" s="424"/>
      <c r="AF514" s="424"/>
      <c r="AG514" s="424"/>
      <c r="AH514" s="424"/>
      <c r="AI514" s="424"/>
      <c r="AJ514" s="2"/>
      <c r="AK514" s="2"/>
      <c r="AL514" s="2"/>
      <c r="AM514" s="2"/>
      <c r="AN514" s="2"/>
      <c r="AO514" s="2"/>
      <c r="AP514" s="2"/>
      <c r="AQ514" s="427"/>
      <c r="AR514" s="754"/>
      <c r="AS514" s="427"/>
      <c r="AT514" s="754"/>
      <c r="AU514" s="427"/>
      <c r="AV514" s="427"/>
      <c r="AW514" s="427"/>
      <c r="AX514" s="427"/>
      <c r="AY514" s="754"/>
      <c r="AZ514" s="754"/>
      <c r="BA514" s="754"/>
      <c r="BB514" s="427"/>
      <c r="BC514" s="427"/>
      <c r="BD514" s="427"/>
      <c r="BE514" s="754"/>
      <c r="BF514" s="427"/>
      <c r="BG514" s="454"/>
      <c r="BH514" s="754"/>
      <c r="BI514" s="427"/>
      <c r="BJ514" s="427"/>
      <c r="BK514" s="427"/>
      <c r="BL514" s="427"/>
      <c r="BM514" s="454"/>
      <c r="BN514" s="427"/>
      <c r="BO514" s="427"/>
      <c r="BP514" s="427"/>
      <c r="BQ514" s="454"/>
      <c r="BR514" s="454"/>
      <c r="BS514" s="460"/>
      <c r="BT514" s="454"/>
      <c r="BU514" s="454"/>
      <c r="BV514" s="457"/>
      <c r="BW514" s="460"/>
      <c r="BX514" s="460"/>
      <c r="BY514" s="460"/>
      <c r="CA514" s="2"/>
      <c r="CB514" s="2"/>
      <c r="CC514" s="2"/>
      <c r="CD514" s="2"/>
      <c r="CE514" s="2"/>
      <c r="CF514" s="2"/>
      <c r="CG514" s="2"/>
      <c r="CH514" s="2"/>
      <c r="CI514" s="2"/>
      <c r="CJ514" s="2"/>
      <c r="CK514" s="2"/>
      <c r="CL514" s="2"/>
      <c r="CM514" s="2"/>
      <c r="CN514" s="2"/>
      <c r="CO514" s="427"/>
      <c r="CP514" s="427"/>
      <c r="CQ514" s="427"/>
      <c r="CR514" s="485"/>
      <c r="CS514" s="485"/>
      <c r="CT514" s="485"/>
      <c r="CU514" s="485"/>
      <c r="CV514" s="482"/>
      <c r="CW514" s="482"/>
      <c r="CX514" s="482"/>
      <c r="CY514" s="482"/>
      <c r="CZ514" s="485"/>
      <c r="DA514" s="485"/>
      <c r="DB514" s="485"/>
      <c r="DC514" s="485"/>
      <c r="DD514" s="485"/>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485"/>
      <c r="EX514" s="457"/>
      <c r="EY514" s="457"/>
      <c r="EZ514" s="457"/>
      <c r="FA514" s="457"/>
      <c r="FB514" s="457"/>
      <c r="FC514" s="457"/>
      <c r="FD514" s="457"/>
      <c r="FE514" s="457"/>
      <c r="FF514" s="457"/>
      <c r="FG514" s="457"/>
      <c r="FH514" s="457"/>
      <c r="FI514" s="457"/>
      <c r="FJ514" s="457"/>
      <c r="FK514" s="457"/>
    </row>
    <row r="515" spans="1:167" s="416" customFormat="1">
      <c r="A515" s="427"/>
      <c r="B515" s="427"/>
      <c r="C515" s="427"/>
      <c r="D515" s="427"/>
      <c r="E515" s="428"/>
      <c r="F515" s="429"/>
      <c r="G515" s="430"/>
      <c r="H515" s="427"/>
      <c r="I515" s="427"/>
      <c r="J515" s="427"/>
      <c r="K515" s="427"/>
      <c r="L515" s="427"/>
      <c r="M515" s="427"/>
      <c r="N515" s="427"/>
      <c r="O515" s="427"/>
      <c r="P515" s="427"/>
      <c r="Q515" s="427"/>
      <c r="R515" s="427"/>
      <c r="S515" s="427"/>
      <c r="T515" s="427"/>
      <c r="U515" s="427"/>
      <c r="V515" s="428"/>
      <c r="W515" s="431"/>
      <c r="X515" s="3"/>
      <c r="Y515" s="429"/>
      <c r="Z515" s="430"/>
      <c r="AA515" s="430"/>
      <c r="AB515" s="430"/>
      <c r="AC515" s="424"/>
      <c r="AD515" s="424"/>
      <c r="AE515" s="424"/>
      <c r="AF515" s="424"/>
      <c r="AG515" s="424"/>
      <c r="AH515" s="424"/>
      <c r="AI515" s="424"/>
      <c r="AJ515" s="2"/>
      <c r="AK515" s="2"/>
      <c r="AL515" s="2"/>
      <c r="AM515" s="2"/>
      <c r="AN515" s="2"/>
      <c r="AO515" s="2"/>
      <c r="AP515" s="2"/>
      <c r="AQ515" s="427"/>
      <c r="AR515" s="754"/>
      <c r="AS515" s="427"/>
      <c r="AT515" s="754"/>
      <c r="AU515" s="427"/>
      <c r="AV515" s="427"/>
      <c r="AW515" s="427"/>
      <c r="AX515" s="427"/>
      <c r="AY515" s="754"/>
      <c r="AZ515" s="754"/>
      <c r="BA515" s="754"/>
      <c r="BB515" s="427"/>
      <c r="BC515" s="427"/>
      <c r="BD515" s="427"/>
      <c r="BE515" s="754"/>
      <c r="BF515" s="427"/>
      <c r="BG515" s="454"/>
      <c r="BH515" s="754"/>
      <c r="BI515" s="427"/>
      <c r="BJ515" s="427"/>
      <c r="BK515" s="427"/>
      <c r="BL515" s="427"/>
      <c r="BM515" s="454"/>
      <c r="BN515" s="427"/>
      <c r="BO515" s="427"/>
      <c r="BP515" s="427"/>
      <c r="BQ515" s="454"/>
      <c r="BR515" s="454"/>
      <c r="BS515" s="460"/>
      <c r="BT515" s="454"/>
      <c r="BU515" s="454"/>
      <c r="BV515" s="457"/>
      <c r="BW515" s="460"/>
      <c r="BX515" s="460"/>
      <c r="BY515" s="460"/>
      <c r="CA515" s="2"/>
      <c r="CB515" s="2"/>
      <c r="CC515" s="2"/>
      <c r="CD515" s="2"/>
      <c r="CE515" s="2"/>
      <c r="CF515" s="2"/>
      <c r="CG515" s="2"/>
      <c r="CH515" s="2"/>
      <c r="CI515" s="2"/>
      <c r="CJ515" s="2"/>
      <c r="CK515" s="2"/>
      <c r="CL515" s="2"/>
      <c r="CM515" s="2"/>
      <c r="CN515" s="2"/>
      <c r="CO515" s="427"/>
      <c r="CP515" s="427"/>
      <c r="CQ515" s="427"/>
      <c r="CR515" s="485"/>
      <c r="CS515" s="485"/>
      <c r="CT515" s="485"/>
      <c r="CU515" s="485"/>
      <c r="CV515" s="482"/>
      <c r="CW515" s="482"/>
      <c r="CX515" s="482"/>
      <c r="CY515" s="482"/>
      <c r="CZ515" s="485"/>
      <c r="DA515" s="485"/>
      <c r="DB515" s="485"/>
      <c r="DC515" s="485"/>
      <c r="DD515" s="485"/>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485"/>
      <c r="EX515" s="457"/>
      <c r="EY515" s="457"/>
      <c r="EZ515" s="457"/>
      <c r="FA515" s="457"/>
      <c r="FB515" s="457"/>
      <c r="FC515" s="457"/>
      <c r="FD515" s="457"/>
      <c r="FE515" s="457"/>
      <c r="FF515" s="457"/>
      <c r="FG515" s="457"/>
      <c r="FH515" s="457"/>
      <c r="FI515" s="457"/>
      <c r="FJ515" s="457"/>
      <c r="FK515" s="457"/>
    </row>
    <row r="516" spans="1:167" s="416" customFormat="1">
      <c r="A516" s="427"/>
      <c r="B516" s="427"/>
      <c r="C516" s="427"/>
      <c r="D516" s="427"/>
      <c r="E516" s="428"/>
      <c r="F516" s="429"/>
      <c r="G516" s="430"/>
      <c r="H516" s="427"/>
      <c r="I516" s="427"/>
      <c r="J516" s="427"/>
      <c r="K516" s="427"/>
      <c r="L516" s="427"/>
      <c r="M516" s="427"/>
      <c r="N516" s="427"/>
      <c r="O516" s="427"/>
      <c r="P516" s="427"/>
      <c r="Q516" s="427"/>
      <c r="R516" s="427"/>
      <c r="S516" s="427"/>
      <c r="T516" s="427"/>
      <c r="U516" s="427"/>
      <c r="V516" s="428"/>
      <c r="W516" s="431"/>
      <c r="X516" s="3"/>
      <c r="Y516" s="429"/>
      <c r="Z516" s="430"/>
      <c r="AA516" s="430"/>
      <c r="AB516" s="430"/>
      <c r="AC516" s="424"/>
      <c r="AD516" s="424"/>
      <c r="AE516" s="424"/>
      <c r="AF516" s="424"/>
      <c r="AG516" s="424"/>
      <c r="AH516" s="424"/>
      <c r="AI516" s="424"/>
      <c r="AJ516" s="2"/>
      <c r="AK516" s="2"/>
      <c r="AL516" s="2"/>
      <c r="AM516" s="2"/>
      <c r="AN516" s="2"/>
      <c r="AO516" s="2"/>
      <c r="AP516" s="2"/>
      <c r="AQ516" s="427"/>
      <c r="AR516" s="754"/>
      <c r="AS516" s="427"/>
      <c r="AT516" s="754"/>
      <c r="AU516" s="427"/>
      <c r="AV516" s="427"/>
      <c r="AW516" s="427"/>
      <c r="AX516" s="427"/>
      <c r="AY516" s="754"/>
      <c r="AZ516" s="754"/>
      <c r="BA516" s="754"/>
      <c r="BB516" s="427"/>
      <c r="BC516" s="427"/>
      <c r="BD516" s="427"/>
      <c r="BE516" s="754"/>
      <c r="BF516" s="427"/>
      <c r="BG516" s="454"/>
      <c r="BH516" s="754"/>
      <c r="BI516" s="427"/>
      <c r="BJ516" s="427"/>
      <c r="BK516" s="427"/>
      <c r="BL516" s="427"/>
      <c r="BM516" s="454"/>
      <c r="BN516" s="427"/>
      <c r="BO516" s="427"/>
      <c r="BP516" s="427"/>
      <c r="BQ516" s="454"/>
      <c r="BR516" s="454"/>
      <c r="BS516" s="460"/>
      <c r="BT516" s="454"/>
      <c r="BU516" s="454"/>
      <c r="BV516" s="457"/>
      <c r="BW516" s="460"/>
      <c r="BX516" s="460"/>
      <c r="BY516" s="460"/>
      <c r="CA516" s="2"/>
      <c r="CB516" s="2"/>
      <c r="CC516" s="2"/>
      <c r="CD516" s="2"/>
      <c r="CE516" s="2"/>
      <c r="CF516" s="2"/>
      <c r="CG516" s="2"/>
      <c r="CH516" s="2"/>
      <c r="CI516" s="2"/>
      <c r="CJ516" s="2"/>
      <c r="CK516" s="2"/>
      <c r="CL516" s="2"/>
      <c r="CM516" s="2"/>
      <c r="CN516" s="2"/>
      <c r="CO516" s="427"/>
      <c r="CP516" s="427"/>
      <c r="CQ516" s="427"/>
      <c r="CR516" s="485"/>
      <c r="CS516" s="485"/>
      <c r="CT516" s="485"/>
      <c r="CU516" s="485"/>
      <c r="CV516" s="482"/>
      <c r="CW516" s="482"/>
      <c r="CX516" s="482"/>
      <c r="CY516" s="482"/>
      <c r="CZ516" s="485"/>
      <c r="DA516" s="485"/>
      <c r="DB516" s="485"/>
      <c r="DC516" s="485"/>
      <c r="DD516" s="485"/>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485"/>
      <c r="EX516" s="457"/>
      <c r="EY516" s="457"/>
      <c r="EZ516" s="457"/>
      <c r="FA516" s="457"/>
      <c r="FB516" s="457"/>
      <c r="FC516" s="457"/>
      <c r="FD516" s="457"/>
      <c r="FE516" s="457"/>
      <c r="FF516" s="457"/>
      <c r="FG516" s="457"/>
      <c r="FH516" s="457"/>
      <c r="FI516" s="457"/>
      <c r="FJ516" s="457"/>
      <c r="FK516" s="457"/>
    </row>
    <row r="517" spans="1:167" s="416" customFormat="1">
      <c r="A517" s="427"/>
      <c r="B517" s="427"/>
      <c r="C517" s="427"/>
      <c r="D517" s="427"/>
      <c r="E517" s="428"/>
      <c r="F517" s="429"/>
      <c r="G517" s="430"/>
      <c r="H517" s="427"/>
      <c r="I517" s="427"/>
      <c r="J517" s="427"/>
      <c r="K517" s="427"/>
      <c r="L517" s="427"/>
      <c r="M517" s="427"/>
      <c r="N517" s="427"/>
      <c r="O517" s="427"/>
      <c r="P517" s="427"/>
      <c r="Q517" s="427"/>
      <c r="R517" s="427"/>
      <c r="S517" s="427"/>
      <c r="T517" s="427"/>
      <c r="U517" s="427"/>
      <c r="V517" s="428"/>
      <c r="W517" s="431"/>
      <c r="X517" s="3"/>
      <c r="Y517" s="429"/>
      <c r="Z517" s="430"/>
      <c r="AA517" s="430"/>
      <c r="AB517" s="430"/>
      <c r="AC517" s="424"/>
      <c r="AD517" s="424"/>
      <c r="AE517" s="424"/>
      <c r="AF517" s="424"/>
      <c r="AG517" s="424"/>
      <c r="AH517" s="424"/>
      <c r="AI517" s="424"/>
      <c r="AJ517" s="2"/>
      <c r="AK517" s="2"/>
      <c r="AL517" s="2"/>
      <c r="AM517" s="2"/>
      <c r="AN517" s="2"/>
      <c r="AO517" s="2"/>
      <c r="AP517" s="2"/>
      <c r="AQ517" s="427"/>
      <c r="AR517" s="754"/>
      <c r="AS517" s="427"/>
      <c r="AT517" s="754"/>
      <c r="AU517" s="427"/>
      <c r="AV517" s="427"/>
      <c r="AW517" s="427"/>
      <c r="AX517" s="427"/>
      <c r="AY517" s="754"/>
      <c r="AZ517" s="754"/>
      <c r="BA517" s="754"/>
      <c r="BB517" s="427"/>
      <c r="BC517" s="427"/>
      <c r="BD517" s="427"/>
      <c r="BE517" s="754"/>
      <c r="BF517" s="427"/>
      <c r="BG517" s="454"/>
      <c r="BH517" s="754"/>
      <c r="BI517" s="427"/>
      <c r="BJ517" s="427"/>
      <c r="BK517" s="427"/>
      <c r="BL517" s="427"/>
      <c r="BM517" s="454"/>
      <c r="BN517" s="427"/>
      <c r="BO517" s="427"/>
      <c r="BP517" s="427"/>
      <c r="BQ517" s="454"/>
      <c r="BR517" s="454"/>
      <c r="BS517" s="460"/>
      <c r="BT517" s="454"/>
      <c r="BU517" s="454"/>
      <c r="BV517" s="457"/>
      <c r="BW517" s="460"/>
      <c r="BX517" s="460"/>
      <c r="BY517" s="460"/>
      <c r="CA517" s="2"/>
      <c r="CB517" s="2"/>
      <c r="CC517" s="2"/>
      <c r="CD517" s="2"/>
      <c r="CE517" s="2"/>
      <c r="CF517" s="2"/>
      <c r="CG517" s="2"/>
      <c r="CH517" s="2"/>
      <c r="CI517" s="2"/>
      <c r="CJ517" s="2"/>
      <c r="CK517" s="2"/>
      <c r="CL517" s="2"/>
      <c r="CM517" s="2"/>
      <c r="CN517" s="2"/>
      <c r="CO517" s="427"/>
      <c r="CP517" s="427"/>
      <c r="CQ517" s="427"/>
      <c r="CR517" s="485"/>
      <c r="CS517" s="485"/>
      <c r="CT517" s="485"/>
      <c r="CU517" s="485"/>
      <c r="CV517" s="482"/>
      <c r="CW517" s="482"/>
      <c r="CX517" s="482"/>
      <c r="CY517" s="482"/>
      <c r="CZ517" s="485"/>
      <c r="DA517" s="485"/>
      <c r="DB517" s="485"/>
      <c r="DC517" s="485"/>
      <c r="DD517" s="485"/>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485"/>
      <c r="EX517" s="457"/>
      <c r="EY517" s="457"/>
      <c r="EZ517" s="457"/>
      <c r="FA517" s="457"/>
      <c r="FB517" s="457"/>
      <c r="FC517" s="457"/>
      <c r="FD517" s="457"/>
      <c r="FE517" s="457"/>
      <c r="FF517" s="457"/>
      <c r="FG517" s="457"/>
      <c r="FH517" s="457"/>
      <c r="FI517" s="457"/>
      <c r="FJ517" s="457"/>
      <c r="FK517" s="457"/>
    </row>
    <row r="518" spans="1:167" s="416" customFormat="1">
      <c r="A518" s="427"/>
      <c r="B518" s="427"/>
      <c r="C518" s="427"/>
      <c r="D518" s="427"/>
      <c r="E518" s="428"/>
      <c r="F518" s="429"/>
      <c r="G518" s="430"/>
      <c r="H518" s="427"/>
      <c r="I518" s="427"/>
      <c r="J518" s="427"/>
      <c r="K518" s="427"/>
      <c r="L518" s="427"/>
      <c r="M518" s="427"/>
      <c r="N518" s="427"/>
      <c r="O518" s="427"/>
      <c r="P518" s="427"/>
      <c r="Q518" s="427"/>
      <c r="R518" s="427"/>
      <c r="S518" s="427"/>
      <c r="T518" s="427"/>
      <c r="U518" s="427"/>
      <c r="V518" s="428"/>
      <c r="W518" s="431"/>
      <c r="X518" s="3"/>
      <c r="Y518" s="429"/>
      <c r="Z518" s="430"/>
      <c r="AA518" s="430"/>
      <c r="AB518" s="430"/>
      <c r="AC518" s="424"/>
      <c r="AD518" s="424"/>
      <c r="AE518" s="424"/>
      <c r="AF518" s="424"/>
      <c r="AG518" s="424"/>
      <c r="AH518" s="424"/>
      <c r="AI518" s="424"/>
      <c r="AJ518" s="2"/>
      <c r="AK518" s="2"/>
      <c r="AL518" s="2"/>
      <c r="AM518" s="2"/>
      <c r="AN518" s="2"/>
      <c r="AO518" s="2"/>
      <c r="AP518" s="2"/>
      <c r="AQ518" s="427"/>
      <c r="AR518" s="754"/>
      <c r="AS518" s="427"/>
      <c r="AT518" s="754"/>
      <c r="AU518" s="427"/>
      <c r="AV518" s="427"/>
      <c r="AW518" s="427"/>
      <c r="AX518" s="427"/>
      <c r="AY518" s="754"/>
      <c r="AZ518" s="754"/>
      <c r="BA518" s="754"/>
      <c r="BB518" s="427"/>
      <c r="BC518" s="427"/>
      <c r="BD518" s="427"/>
      <c r="BE518" s="754"/>
      <c r="BF518" s="427"/>
      <c r="BG518" s="454"/>
      <c r="BH518" s="754"/>
      <c r="BI518" s="427"/>
      <c r="BJ518" s="427"/>
      <c r="BK518" s="427"/>
      <c r="BL518" s="427"/>
      <c r="BM518" s="454"/>
      <c r="BN518" s="427"/>
      <c r="BO518" s="427"/>
      <c r="BP518" s="427"/>
      <c r="BQ518" s="454"/>
      <c r="BR518" s="454"/>
      <c r="BS518" s="460"/>
      <c r="BT518" s="454"/>
      <c r="BU518" s="454"/>
      <c r="BV518" s="457"/>
      <c r="BW518" s="460"/>
      <c r="BX518" s="460"/>
      <c r="BY518" s="460"/>
      <c r="CA518" s="2"/>
      <c r="CB518" s="2"/>
      <c r="CC518" s="2"/>
      <c r="CD518" s="2"/>
      <c r="CE518" s="2"/>
      <c r="CF518" s="2"/>
      <c r="CG518" s="2"/>
      <c r="CH518" s="2"/>
      <c r="CI518" s="2"/>
      <c r="CJ518" s="2"/>
      <c r="CK518" s="2"/>
      <c r="CL518" s="2"/>
      <c r="CM518" s="2"/>
      <c r="CN518" s="2"/>
      <c r="CO518" s="427"/>
      <c r="CP518" s="427"/>
      <c r="CQ518" s="427"/>
      <c r="CR518" s="485"/>
      <c r="CS518" s="485"/>
      <c r="CT518" s="485"/>
      <c r="CU518" s="485"/>
      <c r="CV518" s="482"/>
      <c r="CW518" s="482"/>
      <c r="CX518" s="482"/>
      <c r="CY518" s="482"/>
      <c r="CZ518" s="485"/>
      <c r="DA518" s="485"/>
      <c r="DB518" s="485"/>
      <c r="DC518" s="485"/>
      <c r="DD518" s="485"/>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485"/>
      <c r="EX518" s="457"/>
      <c r="EY518" s="457"/>
      <c r="EZ518" s="457"/>
      <c r="FA518" s="457"/>
      <c r="FB518" s="457"/>
      <c r="FC518" s="457"/>
      <c r="FD518" s="457"/>
      <c r="FE518" s="457"/>
      <c r="FF518" s="457"/>
      <c r="FG518" s="457"/>
      <c r="FH518" s="457"/>
      <c r="FI518" s="457"/>
      <c r="FJ518" s="457"/>
      <c r="FK518" s="457"/>
    </row>
    <row r="519" spans="1:167" s="416" customFormat="1">
      <c r="A519" s="427"/>
      <c r="B519" s="427"/>
      <c r="C519" s="427"/>
      <c r="D519" s="427"/>
      <c r="E519" s="428"/>
      <c r="F519" s="429"/>
      <c r="G519" s="430"/>
      <c r="H519" s="427"/>
      <c r="I519" s="427"/>
      <c r="J519" s="427"/>
      <c r="K519" s="427"/>
      <c r="L519" s="427"/>
      <c r="M519" s="427"/>
      <c r="N519" s="427"/>
      <c r="O519" s="427"/>
      <c r="P519" s="427"/>
      <c r="Q519" s="427"/>
      <c r="R519" s="427"/>
      <c r="S519" s="427"/>
      <c r="T519" s="427"/>
      <c r="U519" s="427"/>
      <c r="V519" s="428"/>
      <c r="W519" s="431"/>
      <c r="X519" s="3"/>
      <c r="Y519" s="429"/>
      <c r="Z519" s="430"/>
      <c r="AA519" s="430"/>
      <c r="AB519" s="430"/>
      <c r="AC519" s="424"/>
      <c r="AD519" s="424"/>
      <c r="AE519" s="424"/>
      <c r="AF519" s="424"/>
      <c r="AG519" s="424"/>
      <c r="AH519" s="424"/>
      <c r="AI519" s="424"/>
      <c r="AJ519" s="2"/>
      <c r="AK519" s="2"/>
      <c r="AL519" s="2"/>
      <c r="AM519" s="2"/>
      <c r="AN519" s="2"/>
      <c r="AO519" s="2"/>
      <c r="AP519" s="2"/>
      <c r="AQ519" s="427"/>
      <c r="AR519" s="754"/>
      <c r="AS519" s="427"/>
      <c r="AT519" s="754"/>
      <c r="AU519" s="427"/>
      <c r="AV519" s="427"/>
      <c r="AW519" s="427"/>
      <c r="AX519" s="427"/>
      <c r="AY519" s="754"/>
      <c r="AZ519" s="754"/>
      <c r="BA519" s="754"/>
      <c r="BB519" s="427"/>
      <c r="BC519" s="427"/>
      <c r="BD519" s="427"/>
      <c r="BE519" s="754"/>
      <c r="BF519" s="427"/>
      <c r="BG519" s="454"/>
      <c r="BH519" s="754"/>
      <c r="BI519" s="427"/>
      <c r="BJ519" s="427"/>
      <c r="BK519" s="427"/>
      <c r="BL519" s="427"/>
      <c r="BM519" s="454"/>
      <c r="BN519" s="427"/>
      <c r="BO519" s="427"/>
      <c r="BP519" s="427"/>
      <c r="BQ519" s="454"/>
      <c r="BR519" s="454"/>
      <c r="BS519" s="460"/>
      <c r="BT519" s="454"/>
      <c r="BU519" s="454"/>
      <c r="BV519" s="457"/>
      <c r="BW519" s="460"/>
      <c r="BX519" s="460"/>
      <c r="BY519" s="460"/>
      <c r="CA519" s="2"/>
      <c r="CB519" s="2"/>
      <c r="CC519" s="2"/>
      <c r="CD519" s="2"/>
      <c r="CE519" s="2"/>
      <c r="CF519" s="2"/>
      <c r="CG519" s="2"/>
      <c r="CH519" s="2"/>
      <c r="CI519" s="2"/>
      <c r="CJ519" s="2"/>
      <c r="CK519" s="2"/>
      <c r="CL519" s="2"/>
      <c r="CM519" s="2"/>
      <c r="CN519" s="2"/>
      <c r="CO519" s="427"/>
      <c r="CP519" s="427"/>
      <c r="CQ519" s="427"/>
      <c r="CR519" s="485"/>
      <c r="CS519" s="485"/>
      <c r="CT519" s="485"/>
      <c r="CU519" s="485"/>
      <c r="CV519" s="482"/>
      <c r="CW519" s="482"/>
      <c r="CX519" s="482"/>
      <c r="CY519" s="482"/>
      <c r="CZ519" s="485"/>
      <c r="DA519" s="485"/>
      <c r="DB519" s="485"/>
      <c r="DC519" s="485"/>
      <c r="DD519" s="485"/>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485"/>
      <c r="EX519" s="457"/>
      <c r="EY519" s="457"/>
      <c r="EZ519" s="457"/>
      <c r="FA519" s="457"/>
      <c r="FB519" s="457"/>
      <c r="FC519" s="457"/>
      <c r="FD519" s="457"/>
      <c r="FE519" s="457"/>
      <c r="FF519" s="457"/>
      <c r="FG519" s="457"/>
      <c r="FH519" s="457"/>
      <c r="FI519" s="457"/>
      <c r="FJ519" s="457"/>
      <c r="FK519" s="457"/>
    </row>
    <row r="520" spans="1:167" s="416" customFormat="1">
      <c r="A520" s="427"/>
      <c r="B520" s="427"/>
      <c r="C520" s="427"/>
      <c r="D520" s="427"/>
      <c r="E520" s="428"/>
      <c r="F520" s="429"/>
      <c r="G520" s="430"/>
      <c r="H520" s="427"/>
      <c r="I520" s="427"/>
      <c r="J520" s="427"/>
      <c r="K520" s="427"/>
      <c r="L520" s="427"/>
      <c r="M520" s="427"/>
      <c r="N520" s="427"/>
      <c r="O520" s="427"/>
      <c r="P520" s="427"/>
      <c r="Q520" s="427"/>
      <c r="R520" s="427"/>
      <c r="S520" s="427"/>
      <c r="T520" s="427"/>
      <c r="U520" s="427"/>
      <c r="V520" s="428"/>
      <c r="W520" s="431"/>
      <c r="X520" s="3"/>
      <c r="Y520" s="429"/>
      <c r="Z520" s="430"/>
      <c r="AA520" s="430"/>
      <c r="AB520" s="430"/>
      <c r="AC520" s="424"/>
      <c r="AD520" s="424"/>
      <c r="AE520" s="424"/>
      <c r="AF520" s="424"/>
      <c r="AG520" s="424"/>
      <c r="AH520" s="424"/>
      <c r="AI520" s="424"/>
      <c r="AJ520" s="2"/>
      <c r="AK520" s="2"/>
      <c r="AL520" s="2"/>
      <c r="AM520" s="2"/>
      <c r="AN520" s="2"/>
      <c r="AO520" s="2"/>
      <c r="AP520" s="2"/>
      <c r="AQ520" s="427"/>
      <c r="AR520" s="754"/>
      <c r="AS520" s="427"/>
      <c r="AT520" s="754"/>
      <c r="AU520" s="427"/>
      <c r="AV520" s="427"/>
      <c r="AW520" s="427"/>
      <c r="AX520" s="427"/>
      <c r="AY520" s="754"/>
      <c r="AZ520" s="754"/>
      <c r="BA520" s="754"/>
      <c r="BB520" s="427"/>
      <c r="BC520" s="427"/>
      <c r="BD520" s="427"/>
      <c r="BE520" s="754"/>
      <c r="BF520" s="427"/>
      <c r="BG520" s="454"/>
      <c r="BH520" s="754"/>
      <c r="BI520" s="427"/>
      <c r="BJ520" s="427"/>
      <c r="BK520" s="427"/>
      <c r="BL520" s="427"/>
      <c r="BM520" s="454"/>
      <c r="BN520" s="427"/>
      <c r="BO520" s="427"/>
      <c r="BP520" s="427"/>
      <c r="BQ520" s="454"/>
      <c r="BR520" s="454"/>
      <c r="BS520" s="460"/>
      <c r="BT520" s="454"/>
      <c r="BU520" s="454"/>
      <c r="BV520" s="457"/>
      <c r="BW520" s="460"/>
      <c r="BX520" s="460"/>
      <c r="BY520" s="460"/>
      <c r="CA520" s="2"/>
      <c r="CB520" s="2"/>
      <c r="CC520" s="2"/>
      <c r="CD520" s="2"/>
      <c r="CE520" s="2"/>
      <c r="CF520" s="2"/>
      <c r="CG520" s="2"/>
      <c r="CH520" s="2"/>
      <c r="CI520" s="2"/>
      <c r="CJ520" s="2"/>
      <c r="CK520" s="2"/>
      <c r="CL520" s="2"/>
      <c r="CM520" s="2"/>
      <c r="CN520" s="2"/>
      <c r="CO520" s="427"/>
      <c r="CP520" s="427"/>
      <c r="CQ520" s="427"/>
      <c r="CR520" s="485"/>
      <c r="CS520" s="485"/>
      <c r="CT520" s="485"/>
      <c r="CU520" s="485"/>
      <c r="CV520" s="482"/>
      <c r="CW520" s="482"/>
      <c r="CX520" s="482"/>
      <c r="CY520" s="482"/>
      <c r="CZ520" s="485"/>
      <c r="DA520" s="485"/>
      <c r="DB520" s="485"/>
      <c r="DC520" s="485"/>
      <c r="DD520" s="485"/>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485"/>
      <c r="EX520" s="457"/>
      <c r="EY520" s="457"/>
      <c r="EZ520" s="457"/>
      <c r="FA520" s="457"/>
      <c r="FB520" s="457"/>
      <c r="FC520" s="457"/>
      <c r="FD520" s="457"/>
      <c r="FE520" s="457"/>
      <c r="FF520" s="457"/>
      <c r="FG520" s="457"/>
      <c r="FH520" s="457"/>
      <c r="FI520" s="457"/>
      <c r="FJ520" s="457"/>
      <c r="FK520" s="457"/>
    </row>
    <row r="521" spans="1:167" s="416" customFormat="1">
      <c r="A521" s="427"/>
      <c r="B521" s="427"/>
      <c r="C521" s="427"/>
      <c r="D521" s="427"/>
      <c r="E521" s="428"/>
      <c r="F521" s="429"/>
      <c r="G521" s="430"/>
      <c r="H521" s="427"/>
      <c r="I521" s="427"/>
      <c r="J521" s="427"/>
      <c r="K521" s="427"/>
      <c r="L521" s="427"/>
      <c r="M521" s="427"/>
      <c r="N521" s="427"/>
      <c r="O521" s="427"/>
      <c r="P521" s="427"/>
      <c r="Q521" s="427"/>
      <c r="R521" s="427"/>
      <c r="S521" s="427"/>
      <c r="T521" s="427"/>
      <c r="U521" s="427"/>
      <c r="V521" s="428"/>
      <c r="W521" s="431"/>
      <c r="X521" s="3"/>
      <c r="Y521" s="429"/>
      <c r="Z521" s="430"/>
      <c r="AA521" s="430"/>
      <c r="AB521" s="430"/>
      <c r="AC521" s="424"/>
      <c r="AD521" s="424"/>
      <c r="AE521" s="424"/>
      <c r="AF521" s="424"/>
      <c r="AG521" s="424"/>
      <c r="AH521" s="424"/>
      <c r="AI521" s="424"/>
      <c r="AJ521" s="2"/>
      <c r="AK521" s="2"/>
      <c r="AL521" s="2"/>
      <c r="AM521" s="2"/>
      <c r="AN521" s="2"/>
      <c r="AO521" s="2"/>
      <c r="AP521" s="2"/>
      <c r="AQ521" s="427"/>
      <c r="AR521" s="754"/>
      <c r="AS521" s="427"/>
      <c r="AT521" s="754"/>
      <c r="AU521" s="427"/>
      <c r="AV521" s="427"/>
      <c r="AW521" s="427"/>
      <c r="AX521" s="427"/>
      <c r="AY521" s="754"/>
      <c r="AZ521" s="754"/>
      <c r="BA521" s="754"/>
      <c r="BB521" s="427"/>
      <c r="BC521" s="427"/>
      <c r="BD521" s="427"/>
      <c r="BE521" s="754"/>
      <c r="BF521" s="427"/>
      <c r="BG521" s="454"/>
      <c r="BH521" s="754"/>
      <c r="BI521" s="427"/>
      <c r="BJ521" s="427"/>
      <c r="BK521" s="427"/>
      <c r="BL521" s="427"/>
      <c r="BM521" s="454"/>
      <c r="BN521" s="427"/>
      <c r="BO521" s="427"/>
      <c r="BP521" s="427"/>
      <c r="BQ521" s="454"/>
      <c r="BR521" s="454"/>
      <c r="BS521" s="460"/>
      <c r="BT521" s="454"/>
      <c r="BU521" s="454"/>
      <c r="BV521" s="457"/>
      <c r="BW521" s="460"/>
      <c r="BX521" s="460"/>
      <c r="BY521" s="460"/>
      <c r="CA521" s="2"/>
      <c r="CB521" s="2"/>
      <c r="CC521" s="2"/>
      <c r="CD521" s="2"/>
      <c r="CE521" s="2"/>
      <c r="CF521" s="2"/>
      <c r="CG521" s="2"/>
      <c r="CH521" s="2"/>
      <c r="CI521" s="2"/>
      <c r="CJ521" s="2"/>
      <c r="CK521" s="2"/>
      <c r="CL521" s="2"/>
      <c r="CM521" s="2"/>
      <c r="CN521" s="2"/>
      <c r="CO521" s="427"/>
      <c r="CP521" s="427"/>
      <c r="CQ521" s="427"/>
      <c r="CR521" s="485"/>
      <c r="CS521" s="485"/>
      <c r="CT521" s="485"/>
      <c r="CU521" s="485"/>
      <c r="CV521" s="482"/>
      <c r="CW521" s="482"/>
      <c r="CX521" s="482"/>
      <c r="CY521" s="482"/>
      <c r="CZ521" s="485"/>
      <c r="DA521" s="485"/>
      <c r="DB521" s="485"/>
      <c r="DC521" s="485"/>
      <c r="DD521" s="485"/>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485"/>
      <c r="EX521" s="457"/>
      <c r="EY521" s="457"/>
      <c r="EZ521" s="457"/>
      <c r="FA521" s="457"/>
      <c r="FB521" s="457"/>
      <c r="FC521" s="457"/>
      <c r="FD521" s="457"/>
      <c r="FE521" s="457"/>
      <c r="FF521" s="457"/>
      <c r="FG521" s="457"/>
      <c r="FH521" s="457"/>
      <c r="FI521" s="457"/>
      <c r="FJ521" s="457"/>
      <c r="FK521" s="457"/>
    </row>
    <row r="522" spans="1:167" s="416" customFormat="1">
      <c r="A522" s="427"/>
      <c r="B522" s="427"/>
      <c r="C522" s="427"/>
      <c r="D522" s="427"/>
      <c r="E522" s="428"/>
      <c r="F522" s="429"/>
      <c r="G522" s="430"/>
      <c r="H522" s="427"/>
      <c r="I522" s="427"/>
      <c r="J522" s="427"/>
      <c r="K522" s="427"/>
      <c r="L522" s="427"/>
      <c r="M522" s="427"/>
      <c r="N522" s="427"/>
      <c r="O522" s="427"/>
      <c r="P522" s="427"/>
      <c r="Q522" s="427"/>
      <c r="R522" s="427"/>
      <c r="S522" s="427"/>
      <c r="T522" s="427"/>
      <c r="U522" s="427"/>
      <c r="V522" s="428"/>
      <c r="W522" s="431"/>
      <c r="X522" s="3"/>
      <c r="Y522" s="429"/>
      <c r="Z522" s="430"/>
      <c r="AA522" s="430"/>
      <c r="AB522" s="430"/>
      <c r="AC522" s="424"/>
      <c r="AD522" s="424"/>
      <c r="AE522" s="424"/>
      <c r="AF522" s="424"/>
      <c r="AG522" s="424"/>
      <c r="AH522" s="424"/>
      <c r="AI522" s="424"/>
      <c r="AJ522" s="2"/>
      <c r="AK522" s="2"/>
      <c r="AL522" s="2"/>
      <c r="AM522" s="2"/>
      <c r="AN522" s="2"/>
      <c r="AO522" s="2"/>
      <c r="AP522" s="2"/>
      <c r="AQ522" s="427"/>
      <c r="AR522" s="754"/>
      <c r="AS522" s="427"/>
      <c r="AT522" s="754"/>
      <c r="AU522" s="427"/>
      <c r="AV522" s="427"/>
      <c r="AW522" s="427"/>
      <c r="AX522" s="427"/>
      <c r="AY522" s="754"/>
      <c r="AZ522" s="754"/>
      <c r="BA522" s="754"/>
      <c r="BB522" s="427"/>
      <c r="BC522" s="427"/>
      <c r="BD522" s="427"/>
      <c r="BE522" s="754"/>
      <c r="BF522" s="427"/>
      <c r="BG522" s="454"/>
      <c r="BH522" s="754"/>
      <c r="BI522" s="427"/>
      <c r="BJ522" s="427"/>
      <c r="BK522" s="427"/>
      <c r="BL522" s="427"/>
      <c r="BM522" s="454"/>
      <c r="BN522" s="427"/>
      <c r="BO522" s="427"/>
      <c r="BP522" s="427"/>
      <c r="BQ522" s="454"/>
      <c r="BR522" s="454"/>
      <c r="BS522" s="460"/>
      <c r="BT522" s="454"/>
      <c r="BU522" s="454"/>
      <c r="BV522" s="457"/>
      <c r="BW522" s="460"/>
      <c r="BX522" s="460"/>
      <c r="BY522" s="460"/>
      <c r="CA522" s="2"/>
      <c r="CB522" s="2"/>
      <c r="CC522" s="2"/>
      <c r="CD522" s="2"/>
      <c r="CE522" s="2"/>
      <c r="CF522" s="2"/>
      <c r="CG522" s="2"/>
      <c r="CH522" s="2"/>
      <c r="CI522" s="2"/>
      <c r="CJ522" s="2"/>
      <c r="CK522" s="2"/>
      <c r="CL522" s="2"/>
      <c r="CM522" s="2"/>
      <c r="CN522" s="2"/>
      <c r="CO522" s="427"/>
      <c r="CP522" s="427"/>
      <c r="CQ522" s="427"/>
      <c r="CR522" s="485"/>
      <c r="CS522" s="485"/>
      <c r="CT522" s="485"/>
      <c r="CU522" s="485"/>
      <c r="CV522" s="482"/>
      <c r="CW522" s="482"/>
      <c r="CX522" s="482"/>
      <c r="CY522" s="482"/>
      <c r="CZ522" s="485"/>
      <c r="DA522" s="485"/>
      <c r="DB522" s="485"/>
      <c r="DC522" s="485"/>
      <c r="DD522" s="485"/>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485"/>
      <c r="EX522" s="457"/>
      <c r="EY522" s="457"/>
      <c r="EZ522" s="457"/>
      <c r="FA522" s="457"/>
      <c r="FB522" s="457"/>
      <c r="FC522" s="457"/>
      <c r="FD522" s="457"/>
      <c r="FE522" s="457"/>
      <c r="FF522" s="457"/>
      <c r="FG522" s="457"/>
      <c r="FH522" s="457"/>
      <c r="FI522" s="457"/>
      <c r="FJ522" s="457"/>
      <c r="FK522" s="457"/>
    </row>
    <row r="523" spans="1:167" s="416" customFormat="1">
      <c r="A523" s="427"/>
      <c r="B523" s="427"/>
      <c r="C523" s="427"/>
      <c r="D523" s="427"/>
      <c r="E523" s="428"/>
      <c r="F523" s="429"/>
      <c r="G523" s="430"/>
      <c r="H523" s="427"/>
      <c r="I523" s="427"/>
      <c r="J523" s="427"/>
      <c r="K523" s="427"/>
      <c r="L523" s="427"/>
      <c r="M523" s="427"/>
      <c r="N523" s="427"/>
      <c r="O523" s="427"/>
      <c r="P523" s="427"/>
      <c r="Q523" s="427"/>
      <c r="R523" s="427"/>
      <c r="S523" s="427"/>
      <c r="T523" s="427"/>
      <c r="U523" s="427"/>
      <c r="V523" s="428"/>
      <c r="W523" s="431"/>
      <c r="X523" s="3"/>
      <c r="Y523" s="429"/>
      <c r="Z523" s="430"/>
      <c r="AA523" s="430"/>
      <c r="AB523" s="430"/>
      <c r="AC523" s="424"/>
      <c r="AD523" s="424"/>
      <c r="AE523" s="424"/>
      <c r="AF523" s="424"/>
      <c r="AG523" s="424"/>
      <c r="AH523" s="424"/>
      <c r="AI523" s="424"/>
      <c r="AJ523" s="2"/>
      <c r="AK523" s="2"/>
      <c r="AL523" s="2"/>
      <c r="AM523" s="2"/>
      <c r="AN523" s="2"/>
      <c r="AO523" s="2"/>
      <c r="AP523" s="2"/>
      <c r="AQ523" s="427"/>
      <c r="AR523" s="754"/>
      <c r="AS523" s="427"/>
      <c r="AT523" s="754"/>
      <c r="AU523" s="427"/>
      <c r="AV523" s="427"/>
      <c r="AW523" s="427"/>
      <c r="AX523" s="427"/>
      <c r="AY523" s="754"/>
      <c r="AZ523" s="754"/>
      <c r="BA523" s="754"/>
      <c r="BB523" s="427"/>
      <c r="BC523" s="427"/>
      <c r="BD523" s="427"/>
      <c r="BE523" s="754"/>
      <c r="BF523" s="427"/>
      <c r="BG523" s="454"/>
      <c r="BH523" s="754"/>
      <c r="BI523" s="427"/>
      <c r="BJ523" s="427"/>
      <c r="BK523" s="427"/>
      <c r="BL523" s="427"/>
      <c r="BM523" s="454"/>
      <c r="BN523" s="427"/>
      <c r="BO523" s="427"/>
      <c r="BP523" s="427"/>
      <c r="BQ523" s="454"/>
      <c r="BR523" s="454"/>
      <c r="BS523" s="460"/>
      <c r="BT523" s="454"/>
      <c r="BU523" s="454"/>
      <c r="BV523" s="457"/>
      <c r="BW523" s="460"/>
      <c r="BX523" s="460"/>
      <c r="BY523" s="460"/>
      <c r="CA523" s="2"/>
      <c r="CB523" s="2"/>
      <c r="CC523" s="2"/>
      <c r="CD523" s="2"/>
      <c r="CE523" s="2"/>
      <c r="CF523" s="2"/>
      <c r="CG523" s="2"/>
      <c r="CH523" s="2"/>
      <c r="CI523" s="2"/>
      <c r="CJ523" s="2"/>
      <c r="CK523" s="2"/>
      <c r="CL523" s="2"/>
      <c r="CM523" s="2"/>
      <c r="CN523" s="2"/>
      <c r="CO523" s="427"/>
      <c r="CP523" s="427"/>
      <c r="CQ523" s="427"/>
      <c r="CR523" s="485"/>
      <c r="CS523" s="485"/>
      <c r="CT523" s="485"/>
      <c r="CU523" s="485"/>
      <c r="CV523" s="482"/>
      <c r="CW523" s="482"/>
      <c r="CX523" s="482"/>
      <c r="CY523" s="482"/>
      <c r="CZ523" s="485"/>
      <c r="DA523" s="485"/>
      <c r="DB523" s="485"/>
      <c r="DC523" s="485"/>
      <c r="DD523" s="485"/>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485"/>
      <c r="EX523" s="457"/>
      <c r="EY523" s="457"/>
      <c r="EZ523" s="457"/>
      <c r="FA523" s="457"/>
      <c r="FB523" s="457"/>
      <c r="FC523" s="457"/>
      <c r="FD523" s="457"/>
      <c r="FE523" s="457"/>
      <c r="FF523" s="457"/>
      <c r="FG523" s="457"/>
      <c r="FH523" s="457"/>
      <c r="FI523" s="457"/>
      <c r="FJ523" s="457"/>
      <c r="FK523" s="457"/>
    </row>
    <row r="524" spans="1:167" s="416" customFormat="1">
      <c r="A524" s="427"/>
      <c r="B524" s="427"/>
      <c r="C524" s="427"/>
      <c r="D524" s="427"/>
      <c r="E524" s="428"/>
      <c r="F524" s="429"/>
      <c r="G524" s="430"/>
      <c r="H524" s="427"/>
      <c r="I524" s="427"/>
      <c r="J524" s="427"/>
      <c r="K524" s="427"/>
      <c r="L524" s="427"/>
      <c r="M524" s="427"/>
      <c r="N524" s="427"/>
      <c r="O524" s="427"/>
      <c r="P524" s="427"/>
      <c r="Q524" s="427"/>
      <c r="R524" s="427"/>
      <c r="S524" s="427"/>
      <c r="T524" s="427"/>
      <c r="U524" s="427"/>
      <c r="V524" s="428"/>
      <c r="W524" s="431"/>
      <c r="X524" s="3"/>
      <c r="Y524" s="429"/>
      <c r="Z524" s="430"/>
      <c r="AA524" s="430"/>
      <c r="AB524" s="430"/>
      <c r="AC524" s="424"/>
      <c r="AD524" s="424"/>
      <c r="AE524" s="424"/>
      <c r="AF524" s="424"/>
      <c r="AG524" s="424"/>
      <c r="AH524" s="424"/>
      <c r="AI524" s="424"/>
      <c r="AJ524" s="2"/>
      <c r="AK524" s="2"/>
      <c r="AL524" s="2"/>
      <c r="AM524" s="2"/>
      <c r="AN524" s="2"/>
      <c r="AO524" s="2"/>
      <c r="AP524" s="2"/>
      <c r="AQ524" s="427"/>
      <c r="AR524" s="754"/>
      <c r="AS524" s="427"/>
      <c r="AT524" s="754"/>
      <c r="AU524" s="427"/>
      <c r="AV524" s="427"/>
      <c r="AW524" s="427"/>
      <c r="AX524" s="427"/>
      <c r="AY524" s="754"/>
      <c r="AZ524" s="754"/>
      <c r="BA524" s="754"/>
      <c r="BB524" s="427"/>
      <c r="BC524" s="427"/>
      <c r="BD524" s="427"/>
      <c r="BE524" s="754"/>
      <c r="BF524" s="427"/>
      <c r="BG524" s="454"/>
      <c r="BH524" s="754"/>
      <c r="BI524" s="427"/>
      <c r="BJ524" s="427"/>
      <c r="BK524" s="427"/>
      <c r="BL524" s="427"/>
      <c r="BM524" s="454"/>
      <c r="BN524" s="427"/>
      <c r="BO524" s="427"/>
      <c r="BP524" s="427"/>
      <c r="BQ524" s="454"/>
      <c r="BR524" s="454"/>
      <c r="BS524" s="460"/>
      <c r="BT524" s="454"/>
      <c r="BU524" s="454"/>
      <c r="BV524" s="457"/>
      <c r="BW524" s="460"/>
      <c r="BX524" s="460"/>
      <c r="BY524" s="460"/>
      <c r="CA524" s="2"/>
      <c r="CB524" s="2"/>
      <c r="CC524" s="2"/>
      <c r="CD524" s="2"/>
      <c r="CE524" s="2"/>
      <c r="CF524" s="2"/>
      <c r="CG524" s="2"/>
      <c r="CH524" s="2"/>
      <c r="CI524" s="2"/>
      <c r="CJ524" s="2"/>
      <c r="CK524" s="2"/>
      <c r="CL524" s="2"/>
      <c r="CM524" s="2"/>
      <c r="CN524" s="2"/>
      <c r="CO524" s="427"/>
      <c r="CP524" s="427"/>
      <c r="CQ524" s="427"/>
      <c r="CR524" s="485"/>
      <c r="CS524" s="485"/>
      <c r="CT524" s="485"/>
      <c r="CU524" s="485"/>
      <c r="CV524" s="482"/>
      <c r="CW524" s="482"/>
      <c r="CX524" s="482"/>
      <c r="CY524" s="482"/>
      <c r="CZ524" s="485"/>
      <c r="DA524" s="485"/>
      <c r="DB524" s="485"/>
      <c r="DC524" s="485"/>
      <c r="DD524" s="485"/>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485"/>
      <c r="EX524" s="457"/>
      <c r="EY524" s="457"/>
      <c r="EZ524" s="457"/>
      <c r="FA524" s="457"/>
      <c r="FB524" s="457"/>
      <c r="FC524" s="457"/>
      <c r="FD524" s="457"/>
      <c r="FE524" s="457"/>
      <c r="FF524" s="457"/>
      <c r="FG524" s="457"/>
      <c r="FH524" s="457"/>
      <c r="FI524" s="457"/>
      <c r="FJ524" s="457"/>
      <c r="FK524" s="457"/>
    </row>
    <row r="525" spans="1:167" s="416" customFormat="1">
      <c r="A525" s="427"/>
      <c r="B525" s="427"/>
      <c r="C525" s="427"/>
      <c r="D525" s="427"/>
      <c r="E525" s="428"/>
      <c r="F525" s="429"/>
      <c r="G525" s="430"/>
      <c r="H525" s="427"/>
      <c r="I525" s="427"/>
      <c r="J525" s="427"/>
      <c r="K525" s="427"/>
      <c r="L525" s="427"/>
      <c r="M525" s="427"/>
      <c r="N525" s="427"/>
      <c r="O525" s="427"/>
      <c r="P525" s="427"/>
      <c r="Q525" s="427"/>
      <c r="R525" s="427"/>
      <c r="S525" s="427"/>
      <c r="T525" s="427"/>
      <c r="U525" s="427"/>
      <c r="V525" s="428"/>
      <c r="W525" s="431"/>
      <c r="X525" s="3"/>
      <c r="Y525" s="429"/>
      <c r="Z525" s="430"/>
      <c r="AA525" s="430"/>
      <c r="AB525" s="430"/>
      <c r="AC525" s="424"/>
      <c r="AD525" s="424"/>
      <c r="AE525" s="424"/>
      <c r="AF525" s="424"/>
      <c r="AG525" s="424"/>
      <c r="AH525" s="424"/>
      <c r="AI525" s="424"/>
      <c r="AJ525" s="2"/>
      <c r="AK525" s="2"/>
      <c r="AL525" s="2"/>
      <c r="AM525" s="2"/>
      <c r="AN525" s="2"/>
      <c r="AO525" s="2"/>
      <c r="AP525" s="2"/>
      <c r="AQ525" s="427"/>
      <c r="AR525" s="754"/>
      <c r="AS525" s="427"/>
      <c r="AT525" s="754"/>
      <c r="AU525" s="427"/>
      <c r="AV525" s="427"/>
      <c r="AW525" s="427"/>
      <c r="AX525" s="427"/>
      <c r="AY525" s="754"/>
      <c r="AZ525" s="754"/>
      <c r="BA525" s="754"/>
      <c r="BB525" s="427"/>
      <c r="BC525" s="427"/>
      <c r="BD525" s="427"/>
      <c r="BE525" s="754"/>
      <c r="BF525" s="427"/>
      <c r="BG525" s="454"/>
      <c r="BH525" s="754"/>
      <c r="BI525" s="427"/>
      <c r="BJ525" s="427"/>
      <c r="BK525" s="427"/>
      <c r="BL525" s="427"/>
      <c r="BM525" s="454"/>
      <c r="BN525" s="427"/>
      <c r="BO525" s="427"/>
      <c r="BP525" s="427"/>
      <c r="BQ525" s="454"/>
      <c r="BR525" s="454"/>
      <c r="BS525" s="460"/>
      <c r="BT525" s="454"/>
      <c r="BU525" s="454"/>
      <c r="BV525" s="457"/>
      <c r="BW525" s="460"/>
      <c r="BX525" s="460"/>
      <c r="BY525" s="460"/>
      <c r="CA525" s="2"/>
      <c r="CB525" s="2"/>
      <c r="CC525" s="2"/>
      <c r="CD525" s="2"/>
      <c r="CE525" s="2"/>
      <c r="CF525" s="2"/>
      <c r="CG525" s="2"/>
      <c r="CH525" s="2"/>
      <c r="CI525" s="2"/>
      <c r="CJ525" s="2"/>
      <c r="CK525" s="2"/>
      <c r="CL525" s="2"/>
      <c r="CM525" s="2"/>
      <c r="CN525" s="2"/>
      <c r="CO525" s="427"/>
      <c r="CP525" s="427"/>
      <c r="CQ525" s="427"/>
      <c r="CR525" s="485"/>
      <c r="CS525" s="485"/>
      <c r="CT525" s="485"/>
      <c r="CU525" s="485"/>
      <c r="CV525" s="482"/>
      <c r="CW525" s="482"/>
      <c r="CX525" s="482"/>
      <c r="CY525" s="482"/>
      <c r="CZ525" s="485"/>
      <c r="DA525" s="485"/>
      <c r="DB525" s="485"/>
      <c r="DC525" s="485"/>
      <c r="DD525" s="485"/>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485"/>
      <c r="EX525" s="457"/>
      <c r="EY525" s="457"/>
      <c r="EZ525" s="457"/>
      <c r="FA525" s="457"/>
      <c r="FB525" s="457"/>
      <c r="FC525" s="457"/>
      <c r="FD525" s="457"/>
      <c r="FE525" s="457"/>
      <c r="FF525" s="457"/>
      <c r="FG525" s="457"/>
      <c r="FH525" s="457"/>
      <c r="FI525" s="457"/>
      <c r="FJ525" s="457"/>
      <c r="FK525" s="457"/>
    </row>
    <row r="526" spans="1:167" s="416" customFormat="1">
      <c r="A526" s="427"/>
      <c r="B526" s="427"/>
      <c r="C526" s="427"/>
      <c r="D526" s="427"/>
      <c r="E526" s="428"/>
      <c r="F526" s="429"/>
      <c r="G526" s="430"/>
      <c r="H526" s="427"/>
      <c r="I526" s="427"/>
      <c r="J526" s="427"/>
      <c r="K526" s="427"/>
      <c r="L526" s="427"/>
      <c r="M526" s="427"/>
      <c r="N526" s="427"/>
      <c r="O526" s="427"/>
      <c r="P526" s="427"/>
      <c r="Q526" s="427"/>
      <c r="R526" s="427"/>
      <c r="S526" s="427"/>
      <c r="T526" s="427"/>
      <c r="U526" s="427"/>
      <c r="V526" s="428"/>
      <c r="W526" s="431"/>
      <c r="X526" s="3"/>
      <c r="Y526" s="429"/>
      <c r="Z526" s="430"/>
      <c r="AA526" s="430"/>
      <c r="AB526" s="430"/>
      <c r="AC526" s="424"/>
      <c r="AD526" s="424"/>
      <c r="AE526" s="424"/>
      <c r="AF526" s="424"/>
      <c r="AG526" s="424"/>
      <c r="AH526" s="424"/>
      <c r="AI526" s="424"/>
      <c r="AJ526" s="2"/>
      <c r="AK526" s="2"/>
      <c r="AL526" s="2"/>
      <c r="AM526" s="2"/>
      <c r="AN526" s="2"/>
      <c r="AO526" s="2"/>
      <c r="AP526" s="2"/>
      <c r="AQ526" s="427"/>
      <c r="AR526" s="754"/>
      <c r="AS526" s="427"/>
      <c r="AT526" s="754"/>
      <c r="AU526" s="427"/>
      <c r="AV526" s="427"/>
      <c r="AW526" s="427"/>
      <c r="AX526" s="427"/>
      <c r="AY526" s="754"/>
      <c r="AZ526" s="754"/>
      <c r="BA526" s="754"/>
      <c r="BB526" s="427"/>
      <c r="BC526" s="427"/>
      <c r="BD526" s="427"/>
      <c r="BE526" s="754"/>
      <c r="BF526" s="427"/>
      <c r="BG526" s="454"/>
      <c r="BH526" s="754"/>
      <c r="BI526" s="427"/>
      <c r="BJ526" s="427"/>
      <c r="BK526" s="427"/>
      <c r="BL526" s="427"/>
      <c r="BM526" s="454"/>
      <c r="BN526" s="427"/>
      <c r="BO526" s="427"/>
      <c r="BP526" s="427"/>
      <c r="BQ526" s="454"/>
      <c r="BR526" s="454"/>
      <c r="BS526" s="460"/>
      <c r="BT526" s="454"/>
      <c r="BU526" s="454"/>
      <c r="BV526" s="457"/>
      <c r="BW526" s="460"/>
      <c r="BX526" s="460"/>
      <c r="BY526" s="460"/>
      <c r="CA526" s="2"/>
      <c r="CB526" s="2"/>
      <c r="CC526" s="2"/>
      <c r="CD526" s="2"/>
      <c r="CE526" s="2"/>
      <c r="CF526" s="2"/>
      <c r="CG526" s="2"/>
      <c r="CH526" s="2"/>
      <c r="CI526" s="2"/>
      <c r="CJ526" s="2"/>
      <c r="CK526" s="2"/>
      <c r="CL526" s="2"/>
      <c r="CM526" s="2"/>
      <c r="CN526" s="2"/>
      <c r="CO526" s="427"/>
      <c r="CP526" s="427"/>
      <c r="CQ526" s="427"/>
      <c r="CR526" s="485"/>
      <c r="CS526" s="485"/>
      <c r="CT526" s="485"/>
      <c r="CU526" s="485"/>
      <c r="CV526" s="482"/>
      <c r="CW526" s="482"/>
      <c r="CX526" s="482"/>
      <c r="CY526" s="482"/>
      <c r="CZ526" s="485"/>
      <c r="DA526" s="485"/>
      <c r="DB526" s="485"/>
      <c r="DC526" s="485"/>
      <c r="DD526" s="485"/>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485"/>
      <c r="EX526" s="457"/>
      <c r="EY526" s="457"/>
      <c r="EZ526" s="457"/>
      <c r="FA526" s="457"/>
      <c r="FB526" s="457"/>
      <c r="FC526" s="457"/>
      <c r="FD526" s="457"/>
      <c r="FE526" s="457"/>
      <c r="FF526" s="457"/>
      <c r="FG526" s="457"/>
      <c r="FH526" s="457"/>
      <c r="FI526" s="457"/>
      <c r="FJ526" s="457"/>
      <c r="FK526" s="457"/>
    </row>
    <row r="527" spans="1:167" s="416" customFormat="1">
      <c r="A527" s="427"/>
      <c r="B527" s="427"/>
      <c r="C527" s="427"/>
      <c r="D527" s="427"/>
      <c r="E527" s="428"/>
      <c r="F527" s="429"/>
      <c r="G527" s="430"/>
      <c r="H527" s="427"/>
      <c r="I527" s="427"/>
      <c r="J527" s="427"/>
      <c r="K527" s="427"/>
      <c r="L527" s="427"/>
      <c r="M527" s="427"/>
      <c r="N527" s="427"/>
      <c r="O527" s="427"/>
      <c r="P527" s="427"/>
      <c r="Q527" s="427"/>
      <c r="R527" s="427"/>
      <c r="S527" s="427"/>
      <c r="T527" s="427"/>
      <c r="U527" s="427"/>
      <c r="V527" s="428"/>
      <c r="W527" s="431"/>
      <c r="X527" s="3"/>
      <c r="Y527" s="429"/>
      <c r="Z527" s="430"/>
      <c r="AA527" s="430"/>
      <c r="AB527" s="430"/>
      <c r="AC527" s="424"/>
      <c r="AD527" s="424"/>
      <c r="AE527" s="424"/>
      <c r="AF527" s="424"/>
      <c r="AG527" s="424"/>
      <c r="AH527" s="424"/>
      <c r="AI527" s="424"/>
      <c r="AJ527" s="2"/>
      <c r="AK527" s="2"/>
      <c r="AL527" s="2"/>
      <c r="AM527" s="2"/>
      <c r="AN527" s="2"/>
      <c r="AO527" s="2"/>
      <c r="AP527" s="2"/>
      <c r="AQ527" s="427"/>
      <c r="AR527" s="754"/>
      <c r="AS527" s="427"/>
      <c r="AT527" s="754"/>
      <c r="AU527" s="427"/>
      <c r="AV527" s="427"/>
      <c r="AW527" s="427"/>
      <c r="AX527" s="427"/>
      <c r="AY527" s="754"/>
      <c r="AZ527" s="754"/>
      <c r="BA527" s="754"/>
      <c r="BB527" s="427"/>
      <c r="BC527" s="427"/>
      <c r="BD527" s="427"/>
      <c r="BE527" s="754"/>
      <c r="BF527" s="427"/>
      <c r="BG527" s="454"/>
      <c r="BH527" s="754"/>
      <c r="BI527" s="427"/>
      <c r="BJ527" s="427"/>
      <c r="BK527" s="427"/>
      <c r="BL527" s="427"/>
      <c r="BM527" s="454"/>
      <c r="BN527" s="427"/>
      <c r="BO527" s="427"/>
      <c r="BP527" s="427"/>
      <c r="BQ527" s="454"/>
      <c r="BR527" s="454"/>
      <c r="BS527" s="460"/>
      <c r="BT527" s="454"/>
      <c r="BU527" s="454"/>
      <c r="BV527" s="457"/>
      <c r="BW527" s="460"/>
      <c r="BX527" s="460"/>
      <c r="BY527" s="460"/>
      <c r="CA527" s="2"/>
      <c r="CB527" s="2"/>
      <c r="CC527" s="2"/>
      <c r="CD527" s="2"/>
      <c r="CE527" s="2"/>
      <c r="CF527" s="2"/>
      <c r="CG527" s="2"/>
      <c r="CH527" s="2"/>
      <c r="CI527" s="2"/>
      <c r="CJ527" s="2"/>
      <c r="CK527" s="2"/>
      <c r="CL527" s="2"/>
      <c r="CM527" s="2"/>
      <c r="CN527" s="2"/>
      <c r="CO527" s="427"/>
      <c r="CP527" s="427"/>
      <c r="CQ527" s="427"/>
      <c r="CR527" s="485"/>
      <c r="CS527" s="485"/>
      <c r="CT527" s="485"/>
      <c r="CU527" s="485"/>
      <c r="CV527" s="482"/>
      <c r="CW527" s="482"/>
      <c r="CX527" s="482"/>
      <c r="CY527" s="482"/>
      <c r="CZ527" s="485"/>
      <c r="DA527" s="485"/>
      <c r="DB527" s="485"/>
      <c r="DC527" s="485"/>
      <c r="DD527" s="485"/>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485"/>
      <c r="EX527" s="457"/>
      <c r="EY527" s="457"/>
      <c r="EZ527" s="457"/>
      <c r="FA527" s="457"/>
      <c r="FB527" s="457"/>
      <c r="FC527" s="457"/>
      <c r="FD527" s="457"/>
      <c r="FE527" s="457"/>
      <c r="FF527" s="457"/>
      <c r="FG527" s="457"/>
      <c r="FH527" s="457"/>
      <c r="FI527" s="457"/>
      <c r="FJ527" s="457"/>
      <c r="FK527" s="457"/>
    </row>
    <row r="528" spans="1:167" s="416" customFormat="1">
      <c r="A528" s="427"/>
      <c r="B528" s="427"/>
      <c r="C528" s="427"/>
      <c r="D528" s="427"/>
      <c r="E528" s="428"/>
      <c r="F528" s="429"/>
      <c r="G528" s="430"/>
      <c r="H528" s="427"/>
      <c r="I528" s="427"/>
      <c r="J528" s="427"/>
      <c r="K528" s="427"/>
      <c r="L528" s="427"/>
      <c r="M528" s="427"/>
      <c r="N528" s="427"/>
      <c r="O528" s="427"/>
      <c r="P528" s="427"/>
      <c r="Q528" s="427"/>
      <c r="R528" s="427"/>
      <c r="S528" s="427"/>
      <c r="T528" s="427"/>
      <c r="U528" s="427"/>
      <c r="V528" s="428"/>
      <c r="W528" s="431"/>
      <c r="X528" s="3"/>
      <c r="Y528" s="429"/>
      <c r="Z528" s="430"/>
      <c r="AA528" s="430"/>
      <c r="AB528" s="430"/>
      <c r="AC528" s="424"/>
      <c r="AD528" s="424"/>
      <c r="AE528" s="424"/>
      <c r="AF528" s="424"/>
      <c r="AG528" s="424"/>
      <c r="AH528" s="424"/>
      <c r="AI528" s="424"/>
      <c r="AJ528" s="2"/>
      <c r="AK528" s="2"/>
      <c r="AL528" s="2"/>
      <c r="AM528" s="2"/>
      <c r="AN528" s="2"/>
      <c r="AO528" s="2"/>
      <c r="AP528" s="2"/>
      <c r="AQ528" s="427"/>
      <c r="AR528" s="754"/>
      <c r="AS528" s="427"/>
      <c r="AT528" s="754"/>
      <c r="AU528" s="427"/>
      <c r="AV528" s="427"/>
      <c r="AW528" s="427"/>
      <c r="AX528" s="427"/>
      <c r="AY528" s="754"/>
      <c r="AZ528" s="754"/>
      <c r="BA528" s="754"/>
      <c r="BB528" s="427"/>
      <c r="BC528" s="427"/>
      <c r="BD528" s="427"/>
      <c r="BE528" s="754"/>
      <c r="BF528" s="427"/>
      <c r="BG528" s="454"/>
      <c r="BH528" s="754"/>
      <c r="BI528" s="427"/>
      <c r="BJ528" s="427"/>
      <c r="BK528" s="427"/>
      <c r="BL528" s="427"/>
      <c r="BM528" s="454"/>
      <c r="BN528" s="427"/>
      <c r="BO528" s="427"/>
      <c r="BP528" s="427"/>
      <c r="BQ528" s="454"/>
      <c r="BR528" s="454"/>
      <c r="BS528" s="460"/>
      <c r="BT528" s="454"/>
      <c r="BU528" s="454"/>
      <c r="BV528" s="457"/>
      <c r="BW528" s="460"/>
      <c r="BX528" s="460"/>
      <c r="BY528" s="460"/>
      <c r="CA528" s="2"/>
      <c r="CB528" s="2"/>
      <c r="CC528" s="2"/>
      <c r="CD528" s="2"/>
      <c r="CE528" s="2"/>
      <c r="CF528" s="2"/>
      <c r="CG528" s="2"/>
      <c r="CH528" s="2"/>
      <c r="CI528" s="2"/>
      <c r="CJ528" s="2"/>
      <c r="CK528" s="2"/>
      <c r="CL528" s="2"/>
      <c r="CM528" s="2"/>
      <c r="CN528" s="2"/>
      <c r="CO528" s="427"/>
      <c r="CP528" s="427"/>
      <c r="CQ528" s="427"/>
      <c r="CR528" s="485"/>
      <c r="CS528" s="485"/>
      <c r="CT528" s="485"/>
      <c r="CU528" s="485"/>
      <c r="CV528" s="482"/>
      <c r="CW528" s="482"/>
      <c r="CX528" s="482"/>
      <c r="CY528" s="482"/>
      <c r="CZ528" s="485"/>
      <c r="DA528" s="485"/>
      <c r="DB528" s="485"/>
      <c r="DC528" s="485"/>
      <c r="DD528" s="485"/>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485"/>
      <c r="EX528" s="457"/>
      <c r="EY528" s="457"/>
      <c r="EZ528" s="457"/>
      <c r="FA528" s="457"/>
      <c r="FB528" s="457"/>
      <c r="FC528" s="457"/>
      <c r="FD528" s="457"/>
      <c r="FE528" s="457"/>
      <c r="FF528" s="457"/>
      <c r="FG528" s="457"/>
      <c r="FH528" s="457"/>
      <c r="FI528" s="457"/>
      <c r="FJ528" s="457"/>
      <c r="FK528" s="457"/>
    </row>
    <row r="529" spans="1:167" s="416" customFormat="1">
      <c r="A529" s="427"/>
      <c r="B529" s="427"/>
      <c r="C529" s="427"/>
      <c r="D529" s="427"/>
      <c r="E529" s="428"/>
      <c r="F529" s="429"/>
      <c r="G529" s="430"/>
      <c r="H529" s="427"/>
      <c r="I529" s="427"/>
      <c r="J529" s="427"/>
      <c r="K529" s="427"/>
      <c r="L529" s="427"/>
      <c r="M529" s="427"/>
      <c r="N529" s="427"/>
      <c r="O529" s="427"/>
      <c r="P529" s="427"/>
      <c r="Q529" s="427"/>
      <c r="R529" s="427"/>
      <c r="S529" s="427"/>
      <c r="T529" s="427"/>
      <c r="U529" s="427"/>
      <c r="V529" s="428"/>
      <c r="W529" s="431"/>
      <c r="X529" s="3"/>
      <c r="Y529" s="429"/>
      <c r="Z529" s="430"/>
      <c r="AA529" s="430"/>
      <c r="AB529" s="430"/>
      <c r="AC529" s="424"/>
      <c r="AD529" s="424"/>
      <c r="AE529" s="424"/>
      <c r="AF529" s="424"/>
      <c r="AG529" s="424"/>
      <c r="AH529" s="424"/>
      <c r="AI529" s="424"/>
      <c r="AJ529" s="2"/>
      <c r="AK529" s="2"/>
      <c r="AL529" s="2"/>
      <c r="AM529" s="2"/>
      <c r="AN529" s="2"/>
      <c r="AO529" s="2"/>
      <c r="AP529" s="2"/>
      <c r="AQ529" s="427"/>
      <c r="AR529" s="754"/>
      <c r="AS529" s="427"/>
      <c r="AT529" s="754"/>
      <c r="AU529" s="427"/>
      <c r="AV529" s="427"/>
      <c r="AW529" s="427"/>
      <c r="AX529" s="427"/>
      <c r="AY529" s="754"/>
      <c r="AZ529" s="754"/>
      <c r="BA529" s="754"/>
      <c r="BB529" s="427"/>
      <c r="BC529" s="427"/>
      <c r="BD529" s="427"/>
      <c r="BE529" s="754"/>
      <c r="BF529" s="427"/>
      <c r="BG529" s="454"/>
      <c r="BH529" s="754"/>
      <c r="BI529" s="427"/>
      <c r="BJ529" s="427"/>
      <c r="BK529" s="427"/>
      <c r="BL529" s="427"/>
      <c r="BM529" s="454"/>
      <c r="BN529" s="427"/>
      <c r="BO529" s="427"/>
      <c r="BP529" s="427"/>
      <c r="BQ529" s="454"/>
      <c r="BR529" s="454"/>
      <c r="BS529" s="460"/>
      <c r="BT529" s="454"/>
      <c r="BU529" s="454"/>
      <c r="BV529" s="457"/>
      <c r="BW529" s="460"/>
      <c r="BX529" s="460"/>
      <c r="BY529" s="460"/>
      <c r="CA529" s="2"/>
      <c r="CB529" s="2"/>
      <c r="CC529" s="2"/>
      <c r="CD529" s="2"/>
      <c r="CE529" s="2"/>
      <c r="CF529" s="2"/>
      <c r="CG529" s="2"/>
      <c r="CH529" s="2"/>
      <c r="CI529" s="2"/>
      <c r="CJ529" s="2"/>
      <c r="CK529" s="2"/>
      <c r="CL529" s="2"/>
      <c r="CM529" s="2"/>
      <c r="CN529" s="2"/>
      <c r="CO529" s="427"/>
      <c r="CP529" s="427"/>
      <c r="CQ529" s="427"/>
      <c r="CR529" s="485"/>
      <c r="CS529" s="485"/>
      <c r="CT529" s="485"/>
      <c r="CU529" s="485"/>
      <c r="CV529" s="482"/>
      <c r="CW529" s="482"/>
      <c r="CX529" s="482"/>
      <c r="CY529" s="482"/>
      <c r="CZ529" s="485"/>
      <c r="DA529" s="485"/>
      <c r="DB529" s="485"/>
      <c r="DC529" s="485"/>
      <c r="DD529" s="485"/>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485"/>
      <c r="EX529" s="457"/>
      <c r="EY529" s="457"/>
      <c r="EZ529" s="457"/>
      <c r="FA529" s="457"/>
      <c r="FB529" s="457"/>
      <c r="FC529" s="457"/>
      <c r="FD529" s="457"/>
      <c r="FE529" s="457"/>
      <c r="FF529" s="457"/>
      <c r="FG529" s="457"/>
      <c r="FH529" s="457"/>
      <c r="FI529" s="457"/>
      <c r="FJ529" s="457"/>
      <c r="FK529" s="457"/>
    </row>
    <row r="530" spans="1:167" s="416" customFormat="1">
      <c r="A530" s="427"/>
      <c r="B530" s="427"/>
      <c r="C530" s="427"/>
      <c r="D530" s="427"/>
      <c r="E530" s="428"/>
      <c r="F530" s="429"/>
      <c r="G530" s="430"/>
      <c r="H530" s="427"/>
      <c r="I530" s="427"/>
      <c r="J530" s="427"/>
      <c r="K530" s="427"/>
      <c r="L530" s="427"/>
      <c r="M530" s="427"/>
      <c r="N530" s="427"/>
      <c r="O530" s="427"/>
      <c r="P530" s="427"/>
      <c r="Q530" s="427"/>
      <c r="R530" s="427"/>
      <c r="S530" s="427"/>
      <c r="T530" s="427"/>
      <c r="U530" s="427"/>
      <c r="V530" s="428"/>
      <c r="W530" s="431"/>
      <c r="X530" s="3"/>
      <c r="Y530" s="429"/>
      <c r="Z530" s="430"/>
      <c r="AA530" s="430"/>
      <c r="AB530" s="430"/>
      <c r="AC530" s="424"/>
      <c r="AD530" s="424"/>
      <c r="AE530" s="424"/>
      <c r="AF530" s="424"/>
      <c r="AG530" s="424"/>
      <c r="AH530" s="424"/>
      <c r="AI530" s="424"/>
      <c r="AJ530" s="2"/>
      <c r="AK530" s="2"/>
      <c r="AL530" s="2"/>
      <c r="AM530" s="2"/>
      <c r="AN530" s="2"/>
      <c r="AO530" s="2"/>
      <c r="AP530" s="2"/>
      <c r="AQ530" s="427"/>
      <c r="AR530" s="754"/>
      <c r="AS530" s="427"/>
      <c r="AT530" s="754"/>
      <c r="AU530" s="427"/>
      <c r="AV530" s="427"/>
      <c r="AW530" s="427"/>
      <c r="AX530" s="427"/>
      <c r="AY530" s="754"/>
      <c r="AZ530" s="754"/>
      <c r="BA530" s="754"/>
      <c r="BB530" s="427"/>
      <c r="BC530" s="427"/>
      <c r="BD530" s="427"/>
      <c r="BE530" s="754"/>
      <c r="BF530" s="427"/>
      <c r="BG530" s="454"/>
      <c r="BH530" s="754"/>
      <c r="BI530" s="427"/>
      <c r="BJ530" s="427"/>
      <c r="BK530" s="427"/>
      <c r="BL530" s="427"/>
      <c r="BM530" s="454"/>
      <c r="BN530" s="427"/>
      <c r="BO530" s="427"/>
      <c r="BP530" s="427"/>
      <c r="BQ530" s="454"/>
      <c r="BR530" s="454"/>
      <c r="BS530" s="460"/>
      <c r="BT530" s="454"/>
      <c r="BU530" s="454"/>
      <c r="BV530" s="457"/>
      <c r="BW530" s="460"/>
      <c r="BX530" s="460"/>
      <c r="BY530" s="460"/>
      <c r="CA530" s="2"/>
      <c r="CB530" s="2"/>
      <c r="CC530" s="2"/>
      <c r="CD530" s="2"/>
      <c r="CE530" s="2"/>
      <c r="CF530" s="2"/>
      <c r="CG530" s="2"/>
      <c r="CH530" s="2"/>
      <c r="CI530" s="2"/>
      <c r="CJ530" s="2"/>
      <c r="CK530" s="2"/>
      <c r="CL530" s="2"/>
      <c r="CM530" s="2"/>
      <c r="CN530" s="2"/>
      <c r="CO530" s="427"/>
      <c r="CP530" s="427"/>
      <c r="CQ530" s="427"/>
      <c r="CR530" s="485"/>
      <c r="CS530" s="485"/>
      <c r="CT530" s="485"/>
      <c r="CU530" s="485"/>
      <c r="CV530" s="482"/>
      <c r="CW530" s="482"/>
      <c r="CX530" s="482"/>
      <c r="CY530" s="482"/>
      <c r="CZ530" s="485"/>
      <c r="DA530" s="485"/>
      <c r="DB530" s="485"/>
      <c r="DC530" s="485"/>
      <c r="DD530" s="485"/>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485"/>
      <c r="EX530" s="457"/>
      <c r="EY530" s="457"/>
      <c r="EZ530" s="457"/>
      <c r="FA530" s="457"/>
      <c r="FB530" s="457"/>
      <c r="FC530" s="457"/>
      <c r="FD530" s="457"/>
      <c r="FE530" s="457"/>
      <c r="FF530" s="457"/>
      <c r="FG530" s="457"/>
      <c r="FH530" s="457"/>
      <c r="FI530" s="457"/>
      <c r="FJ530" s="457"/>
      <c r="FK530" s="457"/>
    </row>
    <row r="531" spans="1:167" s="416" customFormat="1">
      <c r="A531" s="427"/>
      <c r="B531" s="427"/>
      <c r="C531" s="427"/>
      <c r="D531" s="427"/>
      <c r="E531" s="428"/>
      <c r="F531" s="429"/>
      <c r="G531" s="430"/>
      <c r="H531" s="427"/>
      <c r="I531" s="427"/>
      <c r="J531" s="427"/>
      <c r="K531" s="427"/>
      <c r="L531" s="427"/>
      <c r="M531" s="427"/>
      <c r="N531" s="427"/>
      <c r="O531" s="427"/>
      <c r="P531" s="427"/>
      <c r="Q531" s="427"/>
      <c r="R531" s="427"/>
      <c r="S531" s="427"/>
      <c r="T531" s="427"/>
      <c r="U531" s="427"/>
      <c r="V531" s="428"/>
      <c r="W531" s="431"/>
      <c r="X531" s="3"/>
      <c r="Y531" s="429"/>
      <c r="Z531" s="430"/>
      <c r="AA531" s="430"/>
      <c r="AB531" s="430"/>
      <c r="AC531" s="424"/>
      <c r="AD531" s="424"/>
      <c r="AE531" s="424"/>
      <c r="AF531" s="424"/>
      <c r="AG531" s="424"/>
      <c r="AH531" s="424"/>
      <c r="AI531" s="424"/>
      <c r="AJ531" s="2"/>
      <c r="AK531" s="2"/>
      <c r="AL531" s="2"/>
      <c r="AM531" s="2"/>
      <c r="AN531" s="2"/>
      <c r="AO531" s="2"/>
      <c r="AP531" s="2"/>
      <c r="AQ531" s="427"/>
      <c r="AR531" s="754"/>
      <c r="AS531" s="427"/>
      <c r="AT531" s="754"/>
      <c r="AU531" s="427"/>
      <c r="AV531" s="427"/>
      <c r="AW531" s="427"/>
      <c r="AX531" s="427"/>
      <c r="AY531" s="754"/>
      <c r="AZ531" s="754"/>
      <c r="BA531" s="754"/>
      <c r="BB531" s="427"/>
      <c r="BC531" s="427"/>
      <c r="BD531" s="427"/>
      <c r="BE531" s="754"/>
      <c r="BF531" s="427"/>
      <c r="BG531" s="454"/>
      <c r="BH531" s="754"/>
      <c r="BI531" s="427"/>
      <c r="BJ531" s="427"/>
      <c r="BK531" s="427"/>
      <c r="BL531" s="427"/>
      <c r="BM531" s="454"/>
      <c r="BN531" s="427"/>
      <c r="BO531" s="427"/>
      <c r="BP531" s="427"/>
      <c r="BQ531" s="454"/>
      <c r="BR531" s="454"/>
      <c r="BS531" s="460"/>
      <c r="BT531" s="454"/>
      <c r="BU531" s="454"/>
      <c r="BV531" s="457"/>
      <c r="BW531" s="460"/>
      <c r="BX531" s="460"/>
      <c r="BY531" s="460"/>
      <c r="CA531" s="2"/>
      <c r="CB531" s="2"/>
      <c r="CC531" s="2"/>
      <c r="CD531" s="2"/>
      <c r="CE531" s="2"/>
      <c r="CF531" s="2"/>
      <c r="CG531" s="2"/>
      <c r="CH531" s="2"/>
      <c r="CI531" s="2"/>
      <c r="CJ531" s="2"/>
      <c r="CK531" s="2"/>
      <c r="CL531" s="2"/>
      <c r="CM531" s="2"/>
      <c r="CN531" s="2"/>
      <c r="CO531" s="427"/>
      <c r="CP531" s="427"/>
      <c r="CQ531" s="427"/>
      <c r="CR531" s="485"/>
      <c r="CS531" s="485"/>
      <c r="CT531" s="485"/>
      <c r="CU531" s="485"/>
      <c r="CV531" s="482"/>
      <c r="CW531" s="482"/>
      <c r="CX531" s="482"/>
      <c r="CY531" s="482"/>
      <c r="CZ531" s="485"/>
      <c r="DA531" s="485"/>
      <c r="DB531" s="485"/>
      <c r="DC531" s="485"/>
      <c r="DD531" s="485"/>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485"/>
      <c r="EX531" s="457"/>
      <c r="EY531" s="457"/>
      <c r="EZ531" s="457"/>
      <c r="FA531" s="457"/>
      <c r="FB531" s="457"/>
      <c r="FC531" s="457"/>
      <c r="FD531" s="457"/>
      <c r="FE531" s="457"/>
      <c r="FF531" s="457"/>
      <c r="FG531" s="457"/>
      <c r="FH531" s="457"/>
      <c r="FI531" s="457"/>
      <c r="FJ531" s="457"/>
      <c r="FK531" s="457"/>
    </row>
    <row r="532" spans="1:167" s="416" customFormat="1">
      <c r="A532" s="427"/>
      <c r="B532" s="427"/>
      <c r="C532" s="427"/>
      <c r="D532" s="427"/>
      <c r="E532" s="428"/>
      <c r="F532" s="429"/>
      <c r="G532" s="430"/>
      <c r="H532" s="427"/>
      <c r="I532" s="427"/>
      <c r="J532" s="427"/>
      <c r="K532" s="427"/>
      <c r="L532" s="427"/>
      <c r="M532" s="427"/>
      <c r="N532" s="427"/>
      <c r="O532" s="427"/>
      <c r="P532" s="427"/>
      <c r="Q532" s="427"/>
      <c r="R532" s="427"/>
      <c r="S532" s="427"/>
      <c r="T532" s="427"/>
      <c r="U532" s="427"/>
      <c r="V532" s="428"/>
      <c r="W532" s="431"/>
      <c r="X532" s="3"/>
      <c r="Y532" s="429"/>
      <c r="Z532" s="430"/>
      <c r="AA532" s="430"/>
      <c r="AB532" s="430"/>
      <c r="AC532" s="424"/>
      <c r="AD532" s="424"/>
      <c r="AE532" s="424"/>
      <c r="AF532" s="424"/>
      <c r="AG532" s="424"/>
      <c r="AH532" s="424"/>
      <c r="AI532" s="424"/>
      <c r="AJ532" s="2"/>
      <c r="AK532" s="2"/>
      <c r="AL532" s="2"/>
      <c r="AM532" s="2"/>
      <c r="AN532" s="2"/>
      <c r="AO532" s="2"/>
      <c r="AP532" s="2"/>
      <c r="AQ532" s="427"/>
      <c r="AR532" s="754"/>
      <c r="AS532" s="427"/>
      <c r="AT532" s="754"/>
      <c r="AU532" s="427"/>
      <c r="AV532" s="427"/>
      <c r="AW532" s="427"/>
      <c r="AX532" s="427"/>
      <c r="AY532" s="754"/>
      <c r="AZ532" s="754"/>
      <c r="BA532" s="754"/>
      <c r="BB532" s="427"/>
      <c r="BC532" s="427"/>
      <c r="BD532" s="427"/>
      <c r="BE532" s="754"/>
      <c r="BF532" s="427"/>
      <c r="BG532" s="454"/>
      <c r="BH532" s="754"/>
      <c r="BI532" s="427"/>
      <c r="BJ532" s="427"/>
      <c r="BK532" s="427"/>
      <c r="BL532" s="427"/>
      <c r="BM532" s="454"/>
      <c r="BN532" s="427"/>
      <c r="BO532" s="427"/>
      <c r="BP532" s="427"/>
      <c r="BQ532" s="454"/>
      <c r="BR532" s="454"/>
      <c r="BS532" s="460"/>
      <c r="BT532" s="454"/>
      <c r="BU532" s="454"/>
      <c r="BV532" s="457"/>
      <c r="BW532" s="460"/>
      <c r="BX532" s="460"/>
      <c r="BY532" s="460"/>
      <c r="CA532" s="2"/>
      <c r="CB532" s="2"/>
      <c r="CC532" s="2"/>
      <c r="CD532" s="2"/>
      <c r="CE532" s="2"/>
      <c r="CF532" s="2"/>
      <c r="CG532" s="2"/>
      <c r="CH532" s="2"/>
      <c r="CI532" s="2"/>
      <c r="CJ532" s="2"/>
      <c r="CK532" s="2"/>
      <c r="CL532" s="2"/>
      <c r="CM532" s="2"/>
      <c r="CN532" s="2"/>
      <c r="CO532" s="427"/>
      <c r="CP532" s="427"/>
      <c r="CQ532" s="427"/>
      <c r="CR532" s="485"/>
      <c r="CS532" s="485"/>
      <c r="CT532" s="485"/>
      <c r="CU532" s="485"/>
      <c r="CV532" s="482"/>
      <c r="CW532" s="482"/>
      <c r="CX532" s="482"/>
      <c r="CY532" s="482"/>
      <c r="CZ532" s="485"/>
      <c r="DA532" s="485"/>
      <c r="DB532" s="485"/>
      <c r="DC532" s="485"/>
      <c r="DD532" s="485"/>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485"/>
      <c r="EX532" s="457"/>
      <c r="EY532" s="457"/>
      <c r="EZ532" s="457"/>
      <c r="FA532" s="457"/>
      <c r="FB532" s="457"/>
      <c r="FC532" s="457"/>
      <c r="FD532" s="457"/>
      <c r="FE532" s="457"/>
      <c r="FF532" s="457"/>
      <c r="FG532" s="457"/>
      <c r="FH532" s="457"/>
      <c r="FI532" s="457"/>
      <c r="FJ532" s="457"/>
      <c r="FK532" s="457"/>
    </row>
    <row r="533" spans="1:167" s="416" customFormat="1">
      <c r="A533" s="427"/>
      <c r="B533" s="427"/>
      <c r="C533" s="427"/>
      <c r="D533" s="427"/>
      <c r="E533" s="428"/>
      <c r="F533" s="429"/>
      <c r="G533" s="430"/>
      <c r="H533" s="427"/>
      <c r="I533" s="427"/>
      <c r="J533" s="427"/>
      <c r="K533" s="427"/>
      <c r="L533" s="427"/>
      <c r="M533" s="427"/>
      <c r="N533" s="427"/>
      <c r="O533" s="427"/>
      <c r="P533" s="427"/>
      <c r="Q533" s="427"/>
      <c r="R533" s="427"/>
      <c r="S533" s="427"/>
      <c r="T533" s="427"/>
      <c r="U533" s="427"/>
      <c r="V533" s="428"/>
      <c r="W533" s="431"/>
      <c r="X533" s="3"/>
      <c r="Y533" s="429"/>
      <c r="Z533" s="430"/>
      <c r="AA533" s="430"/>
      <c r="AB533" s="430"/>
      <c r="AC533" s="424"/>
      <c r="AD533" s="424"/>
      <c r="AE533" s="424"/>
      <c r="AF533" s="424"/>
      <c r="AG533" s="424"/>
      <c r="AH533" s="424"/>
      <c r="AI533" s="424"/>
      <c r="AJ533" s="2"/>
      <c r="AK533" s="2"/>
      <c r="AL533" s="2"/>
      <c r="AM533" s="2"/>
      <c r="AN533" s="2"/>
      <c r="AO533" s="2"/>
      <c r="AP533" s="2"/>
      <c r="AQ533" s="427"/>
      <c r="AR533" s="754"/>
      <c r="AS533" s="427"/>
      <c r="AT533" s="754"/>
      <c r="AU533" s="427"/>
      <c r="AV533" s="427"/>
      <c r="AW533" s="427"/>
      <c r="AX533" s="427"/>
      <c r="AY533" s="754"/>
      <c r="AZ533" s="754"/>
      <c r="BA533" s="754"/>
      <c r="BB533" s="427"/>
      <c r="BC533" s="427"/>
      <c r="BD533" s="427"/>
      <c r="BE533" s="754"/>
      <c r="BF533" s="427"/>
      <c r="BG533" s="454"/>
      <c r="BH533" s="754"/>
      <c r="BI533" s="427"/>
      <c r="BJ533" s="427"/>
      <c r="BK533" s="427"/>
      <c r="BL533" s="427"/>
      <c r="BM533" s="454"/>
      <c r="BN533" s="427"/>
      <c r="BO533" s="427"/>
      <c r="BP533" s="427"/>
      <c r="BQ533" s="454"/>
      <c r="BR533" s="454"/>
      <c r="BS533" s="460"/>
      <c r="BT533" s="454"/>
      <c r="BU533" s="454"/>
      <c r="BV533" s="457"/>
      <c r="BW533" s="460"/>
      <c r="BX533" s="460"/>
      <c r="BY533" s="460"/>
      <c r="CA533" s="2"/>
      <c r="CB533" s="2"/>
      <c r="CC533" s="2"/>
      <c r="CD533" s="2"/>
      <c r="CE533" s="2"/>
      <c r="CF533" s="2"/>
      <c r="CG533" s="2"/>
      <c r="CH533" s="2"/>
      <c r="CI533" s="2"/>
      <c r="CJ533" s="2"/>
      <c r="CK533" s="2"/>
      <c r="CL533" s="2"/>
      <c r="CM533" s="2"/>
      <c r="CN533" s="2"/>
      <c r="CO533" s="427"/>
      <c r="CP533" s="427"/>
      <c r="CQ533" s="427"/>
      <c r="CR533" s="485"/>
      <c r="CS533" s="485"/>
      <c r="CT533" s="485"/>
      <c r="CU533" s="485"/>
      <c r="CV533" s="482"/>
      <c r="CW533" s="482"/>
      <c r="CX533" s="482"/>
      <c r="CY533" s="482"/>
      <c r="CZ533" s="485"/>
      <c r="DA533" s="485"/>
      <c r="DB533" s="485"/>
      <c r="DC533" s="485"/>
      <c r="DD533" s="485"/>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485"/>
      <c r="EX533" s="457"/>
      <c r="EY533" s="457"/>
      <c r="EZ533" s="457"/>
      <c r="FA533" s="457"/>
      <c r="FB533" s="457"/>
      <c r="FC533" s="457"/>
      <c r="FD533" s="457"/>
      <c r="FE533" s="457"/>
      <c r="FF533" s="457"/>
      <c r="FG533" s="457"/>
      <c r="FH533" s="457"/>
      <c r="FI533" s="457"/>
      <c r="FJ533" s="457"/>
      <c r="FK533" s="457"/>
    </row>
    <row r="534" spans="1:167" s="416" customFormat="1">
      <c r="A534" s="427"/>
      <c r="B534" s="427"/>
      <c r="C534" s="427"/>
      <c r="D534" s="427"/>
      <c r="E534" s="428"/>
      <c r="F534" s="429"/>
      <c r="G534" s="430"/>
      <c r="H534" s="427"/>
      <c r="I534" s="427"/>
      <c r="J534" s="427"/>
      <c r="K534" s="427"/>
      <c r="L534" s="427"/>
      <c r="M534" s="427"/>
      <c r="N534" s="427"/>
      <c r="O534" s="427"/>
      <c r="P534" s="427"/>
      <c r="Q534" s="427"/>
      <c r="R534" s="427"/>
      <c r="S534" s="427"/>
      <c r="T534" s="427"/>
      <c r="U534" s="427"/>
      <c r="V534" s="428"/>
      <c r="W534" s="431"/>
      <c r="X534" s="3"/>
      <c r="Y534" s="429"/>
      <c r="Z534" s="430"/>
      <c r="AA534" s="430"/>
      <c r="AB534" s="430"/>
      <c r="AC534" s="424"/>
      <c r="AD534" s="424"/>
      <c r="AE534" s="424"/>
      <c r="AF534" s="424"/>
      <c r="AG534" s="424"/>
      <c r="AH534" s="424"/>
      <c r="AI534" s="424"/>
      <c r="AJ534" s="2"/>
      <c r="AK534" s="2"/>
      <c r="AL534" s="2"/>
      <c r="AM534" s="2"/>
      <c r="AN534" s="2"/>
      <c r="AO534" s="2"/>
      <c r="AP534" s="2"/>
      <c r="AQ534" s="427"/>
      <c r="AR534" s="754"/>
      <c r="AS534" s="427"/>
      <c r="AT534" s="754"/>
      <c r="AU534" s="427"/>
      <c r="AV534" s="427"/>
      <c r="AW534" s="427"/>
      <c r="AX534" s="427"/>
      <c r="AY534" s="754"/>
      <c r="AZ534" s="754"/>
      <c r="BA534" s="754"/>
      <c r="BB534" s="427"/>
      <c r="BC534" s="427"/>
      <c r="BD534" s="427"/>
      <c r="BE534" s="754"/>
      <c r="BF534" s="427"/>
      <c r="BG534" s="454"/>
      <c r="BH534" s="754"/>
      <c r="BI534" s="427"/>
      <c r="BJ534" s="427"/>
      <c r="BK534" s="427"/>
      <c r="BL534" s="427"/>
      <c r="BM534" s="454"/>
      <c r="BN534" s="427"/>
      <c r="BO534" s="427"/>
      <c r="BP534" s="427"/>
      <c r="BQ534" s="454"/>
      <c r="BR534" s="454"/>
      <c r="BS534" s="460"/>
      <c r="BT534" s="454"/>
      <c r="BU534" s="454"/>
      <c r="BV534" s="457"/>
      <c r="BW534" s="460"/>
      <c r="BX534" s="460"/>
      <c r="BY534" s="460"/>
      <c r="CA534" s="2"/>
      <c r="CB534" s="2"/>
      <c r="CC534" s="2"/>
      <c r="CD534" s="2"/>
      <c r="CE534" s="2"/>
      <c r="CF534" s="2"/>
      <c r="CG534" s="2"/>
      <c r="CH534" s="2"/>
      <c r="CI534" s="2"/>
      <c r="CJ534" s="2"/>
      <c r="CK534" s="2"/>
      <c r="CL534" s="2"/>
      <c r="CM534" s="2"/>
      <c r="CN534" s="2"/>
      <c r="CO534" s="427"/>
      <c r="CP534" s="427"/>
      <c r="CQ534" s="427"/>
      <c r="CR534" s="485"/>
      <c r="CS534" s="485"/>
      <c r="CT534" s="485"/>
      <c r="CU534" s="485"/>
      <c r="CV534" s="482"/>
      <c r="CW534" s="482"/>
      <c r="CX534" s="482"/>
      <c r="CY534" s="482"/>
      <c r="CZ534" s="485"/>
      <c r="DA534" s="485"/>
      <c r="DB534" s="485"/>
      <c r="DC534" s="485"/>
      <c r="DD534" s="485"/>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485"/>
      <c r="EX534" s="457"/>
      <c r="EY534" s="457"/>
      <c r="EZ534" s="457"/>
      <c r="FA534" s="457"/>
      <c r="FB534" s="457"/>
      <c r="FC534" s="457"/>
      <c r="FD534" s="457"/>
      <c r="FE534" s="457"/>
      <c r="FF534" s="457"/>
      <c r="FG534" s="457"/>
      <c r="FH534" s="457"/>
      <c r="FI534" s="457"/>
      <c r="FJ534" s="457"/>
      <c r="FK534" s="457"/>
    </row>
    <row r="535" spans="1:167" s="416" customFormat="1">
      <c r="A535" s="427"/>
      <c r="B535" s="427"/>
      <c r="C535" s="427"/>
      <c r="D535" s="427"/>
      <c r="E535" s="428"/>
      <c r="F535" s="429"/>
      <c r="G535" s="430"/>
      <c r="H535" s="427"/>
      <c r="I535" s="427"/>
      <c r="J535" s="427"/>
      <c r="K535" s="427"/>
      <c r="L535" s="427"/>
      <c r="M535" s="427"/>
      <c r="N535" s="427"/>
      <c r="O535" s="427"/>
      <c r="P535" s="427"/>
      <c r="Q535" s="427"/>
      <c r="R535" s="427"/>
      <c r="S535" s="427"/>
      <c r="T535" s="427"/>
      <c r="U535" s="427"/>
      <c r="V535" s="428"/>
      <c r="W535" s="431"/>
      <c r="X535" s="3"/>
      <c r="Y535" s="429"/>
      <c r="Z535" s="430"/>
      <c r="AA535" s="430"/>
      <c r="AB535" s="430"/>
      <c r="AC535" s="424"/>
      <c r="AD535" s="424"/>
      <c r="AE535" s="424"/>
      <c r="AF535" s="424"/>
      <c r="AG535" s="424"/>
      <c r="AH535" s="424"/>
      <c r="AI535" s="424"/>
      <c r="AJ535" s="2"/>
      <c r="AK535" s="2"/>
      <c r="AL535" s="2"/>
      <c r="AM535" s="2"/>
      <c r="AN535" s="2"/>
      <c r="AO535" s="2"/>
      <c r="AP535" s="2"/>
      <c r="AQ535" s="427"/>
      <c r="AR535" s="754"/>
      <c r="AS535" s="427"/>
      <c r="AT535" s="754"/>
      <c r="AU535" s="427"/>
      <c r="AV535" s="427"/>
      <c r="AW535" s="427"/>
      <c r="AX535" s="427"/>
      <c r="AY535" s="754"/>
      <c r="AZ535" s="754"/>
      <c r="BA535" s="754"/>
      <c r="BB535" s="427"/>
      <c r="BC535" s="427"/>
      <c r="BD535" s="427"/>
      <c r="BE535" s="754"/>
      <c r="BF535" s="427"/>
      <c r="BG535" s="454"/>
      <c r="BH535" s="754"/>
      <c r="BI535" s="427"/>
      <c r="BJ535" s="427"/>
      <c r="BK535" s="427"/>
      <c r="BL535" s="427"/>
      <c r="BM535" s="454"/>
      <c r="BN535" s="427"/>
      <c r="BO535" s="427"/>
      <c r="BP535" s="427"/>
      <c r="BQ535" s="454"/>
      <c r="BR535" s="454"/>
      <c r="BS535" s="460"/>
      <c r="BT535" s="454"/>
      <c r="BU535" s="454"/>
      <c r="BV535" s="457"/>
      <c r="BW535" s="460"/>
      <c r="BX535" s="460"/>
      <c r="BY535" s="460"/>
      <c r="CA535" s="2"/>
      <c r="CB535" s="2"/>
      <c r="CC535" s="2"/>
      <c r="CD535" s="2"/>
      <c r="CE535" s="2"/>
      <c r="CF535" s="2"/>
      <c r="CG535" s="2"/>
      <c r="CH535" s="2"/>
      <c r="CI535" s="2"/>
      <c r="CJ535" s="2"/>
      <c r="CK535" s="2"/>
      <c r="CL535" s="2"/>
      <c r="CM535" s="2"/>
      <c r="CN535" s="2"/>
      <c r="CO535" s="427"/>
      <c r="CP535" s="427"/>
      <c r="CQ535" s="427"/>
      <c r="CR535" s="485"/>
      <c r="CS535" s="485"/>
      <c r="CT535" s="485"/>
      <c r="CU535" s="485"/>
      <c r="CV535" s="482"/>
      <c r="CW535" s="482"/>
      <c r="CX535" s="482"/>
      <c r="CY535" s="482"/>
      <c r="CZ535" s="485"/>
      <c r="DA535" s="485"/>
      <c r="DB535" s="485"/>
      <c r="DC535" s="485"/>
      <c r="DD535" s="485"/>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485"/>
      <c r="EX535" s="457"/>
      <c r="EY535" s="457"/>
      <c r="EZ535" s="457"/>
      <c r="FA535" s="457"/>
      <c r="FB535" s="457"/>
      <c r="FC535" s="457"/>
      <c r="FD535" s="457"/>
      <c r="FE535" s="457"/>
      <c r="FF535" s="457"/>
      <c r="FG535" s="457"/>
      <c r="FH535" s="457"/>
      <c r="FI535" s="457"/>
      <c r="FJ535" s="457"/>
      <c r="FK535" s="457"/>
    </row>
    <row r="536" spans="1:167" s="416" customFormat="1">
      <c r="A536" s="427"/>
      <c r="B536" s="427"/>
      <c r="C536" s="427"/>
      <c r="D536" s="427"/>
      <c r="E536" s="428"/>
      <c r="F536" s="429"/>
      <c r="G536" s="430"/>
      <c r="H536" s="427"/>
      <c r="I536" s="427"/>
      <c r="J536" s="427"/>
      <c r="K536" s="427"/>
      <c r="L536" s="427"/>
      <c r="M536" s="427"/>
      <c r="N536" s="427"/>
      <c r="O536" s="427"/>
      <c r="P536" s="427"/>
      <c r="Q536" s="427"/>
      <c r="R536" s="427"/>
      <c r="S536" s="427"/>
      <c r="T536" s="427"/>
      <c r="U536" s="427"/>
      <c r="V536" s="428"/>
      <c r="W536" s="431"/>
      <c r="X536" s="3"/>
      <c r="Y536" s="429"/>
      <c r="Z536" s="430"/>
      <c r="AA536" s="430"/>
      <c r="AB536" s="430"/>
      <c r="AC536" s="424"/>
      <c r="AD536" s="424"/>
      <c r="AE536" s="424"/>
      <c r="AF536" s="424"/>
      <c r="AG536" s="424"/>
      <c r="AH536" s="424"/>
      <c r="AI536" s="424"/>
      <c r="AJ536" s="2"/>
      <c r="AK536" s="2"/>
      <c r="AL536" s="2"/>
      <c r="AM536" s="2"/>
      <c r="AN536" s="2"/>
      <c r="AO536" s="2"/>
      <c r="AP536" s="2"/>
      <c r="AQ536" s="427"/>
      <c r="AR536" s="754"/>
      <c r="AS536" s="427"/>
      <c r="AT536" s="754"/>
      <c r="AU536" s="427"/>
      <c r="AV536" s="427"/>
      <c r="AW536" s="427"/>
      <c r="AX536" s="427"/>
      <c r="AY536" s="754"/>
      <c r="AZ536" s="754"/>
      <c r="BA536" s="754"/>
      <c r="BB536" s="427"/>
      <c r="BC536" s="427"/>
      <c r="BD536" s="427"/>
      <c r="BE536" s="754"/>
      <c r="BF536" s="427"/>
      <c r="BG536" s="454"/>
      <c r="BH536" s="754"/>
      <c r="BI536" s="427"/>
      <c r="BJ536" s="427"/>
      <c r="BK536" s="427"/>
      <c r="BL536" s="427"/>
      <c r="BM536" s="454"/>
      <c r="BN536" s="427"/>
      <c r="BO536" s="427"/>
      <c r="BP536" s="427"/>
      <c r="BQ536" s="454"/>
      <c r="BR536" s="454"/>
      <c r="BS536" s="460"/>
      <c r="BT536" s="454"/>
      <c r="BU536" s="454"/>
      <c r="BV536" s="457"/>
      <c r="BW536" s="460"/>
      <c r="BX536" s="460"/>
      <c r="BY536" s="460"/>
      <c r="CA536" s="2"/>
      <c r="CB536" s="2"/>
      <c r="CC536" s="2"/>
      <c r="CD536" s="2"/>
      <c r="CE536" s="2"/>
      <c r="CF536" s="2"/>
      <c r="CG536" s="2"/>
      <c r="CH536" s="2"/>
      <c r="CI536" s="2"/>
      <c r="CJ536" s="2"/>
      <c r="CK536" s="2"/>
      <c r="CL536" s="2"/>
      <c r="CM536" s="2"/>
      <c r="CN536" s="2"/>
      <c r="CO536" s="427"/>
      <c r="CP536" s="427"/>
      <c r="CQ536" s="427"/>
      <c r="CR536" s="485"/>
      <c r="CS536" s="485"/>
      <c r="CT536" s="485"/>
      <c r="CU536" s="485"/>
      <c r="CV536" s="482"/>
      <c r="CW536" s="482"/>
      <c r="CX536" s="482"/>
      <c r="CY536" s="482"/>
      <c r="CZ536" s="485"/>
      <c r="DA536" s="485"/>
      <c r="DB536" s="485"/>
      <c r="DC536" s="485"/>
      <c r="DD536" s="485"/>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485"/>
      <c r="EX536" s="457"/>
      <c r="EY536" s="457"/>
      <c r="EZ536" s="457"/>
      <c r="FA536" s="457"/>
      <c r="FB536" s="457"/>
      <c r="FC536" s="457"/>
      <c r="FD536" s="457"/>
      <c r="FE536" s="457"/>
      <c r="FF536" s="457"/>
      <c r="FG536" s="457"/>
      <c r="FH536" s="457"/>
      <c r="FI536" s="457"/>
      <c r="FJ536" s="457"/>
      <c r="FK536" s="457"/>
    </row>
    <row r="537" spans="1:167" s="416" customFormat="1">
      <c r="A537" s="427"/>
      <c r="B537" s="427"/>
      <c r="C537" s="427"/>
      <c r="D537" s="427"/>
      <c r="E537" s="428"/>
      <c r="F537" s="429"/>
      <c r="G537" s="430"/>
      <c r="H537" s="427"/>
      <c r="I537" s="427"/>
      <c r="J537" s="427"/>
      <c r="K537" s="427"/>
      <c r="L537" s="427"/>
      <c r="M537" s="427"/>
      <c r="N537" s="427"/>
      <c r="O537" s="427"/>
      <c r="P537" s="427"/>
      <c r="Q537" s="427"/>
      <c r="R537" s="427"/>
      <c r="S537" s="427"/>
      <c r="T537" s="427"/>
      <c r="U537" s="427"/>
      <c r="V537" s="428"/>
      <c r="W537" s="431"/>
      <c r="X537" s="3"/>
      <c r="Y537" s="429"/>
      <c r="Z537" s="430"/>
      <c r="AA537" s="430"/>
      <c r="AB537" s="430"/>
      <c r="AC537" s="424"/>
      <c r="AD537" s="424"/>
      <c r="AE537" s="424"/>
      <c r="AF537" s="424"/>
      <c r="AG537" s="424"/>
      <c r="AH537" s="424"/>
      <c r="AI537" s="424"/>
      <c r="AJ537" s="2"/>
      <c r="AK537" s="2"/>
      <c r="AL537" s="2"/>
      <c r="AM537" s="2"/>
      <c r="AN537" s="2"/>
      <c r="AO537" s="2"/>
      <c r="AP537" s="2"/>
      <c r="AQ537" s="427"/>
      <c r="AR537" s="754"/>
      <c r="AS537" s="427"/>
      <c r="AT537" s="754"/>
      <c r="AU537" s="427"/>
      <c r="AV537" s="427"/>
      <c r="AW537" s="427"/>
      <c r="AX537" s="427"/>
      <c r="AY537" s="754"/>
      <c r="AZ537" s="754"/>
      <c r="BA537" s="754"/>
      <c r="BB537" s="427"/>
      <c r="BC537" s="427"/>
      <c r="BD537" s="427"/>
      <c r="BE537" s="754"/>
      <c r="BF537" s="427"/>
      <c r="BG537" s="454"/>
      <c r="BH537" s="754"/>
      <c r="BI537" s="427"/>
      <c r="BJ537" s="427"/>
      <c r="BK537" s="427"/>
      <c r="BL537" s="427"/>
      <c r="BM537" s="454"/>
      <c r="BN537" s="427"/>
      <c r="BO537" s="427"/>
      <c r="BP537" s="427"/>
      <c r="BQ537" s="454"/>
      <c r="BR537" s="454"/>
      <c r="BS537" s="460"/>
      <c r="BT537" s="454"/>
      <c r="BU537" s="454"/>
      <c r="BV537" s="457"/>
      <c r="BW537" s="460"/>
      <c r="BX537" s="460"/>
      <c r="BY537" s="460"/>
      <c r="CA537" s="2"/>
      <c r="CB537" s="2"/>
      <c r="CC537" s="2"/>
      <c r="CD537" s="2"/>
      <c r="CE537" s="2"/>
      <c r="CF537" s="2"/>
      <c r="CG537" s="2"/>
      <c r="CH537" s="2"/>
      <c r="CI537" s="2"/>
      <c r="CJ537" s="2"/>
      <c r="CK537" s="2"/>
      <c r="CL537" s="2"/>
      <c r="CM537" s="2"/>
      <c r="CN537" s="2"/>
      <c r="CO537" s="427"/>
      <c r="CP537" s="427"/>
      <c r="CQ537" s="427"/>
      <c r="CR537" s="485"/>
      <c r="CS537" s="485"/>
      <c r="CT537" s="485"/>
      <c r="CU537" s="485"/>
      <c r="CV537" s="482"/>
      <c r="CW537" s="482"/>
      <c r="CX537" s="482"/>
      <c r="CY537" s="482"/>
      <c r="CZ537" s="485"/>
      <c r="DA537" s="485"/>
      <c r="DB537" s="485"/>
      <c r="DC537" s="485"/>
      <c r="DD537" s="485"/>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485"/>
      <c r="EX537" s="457"/>
      <c r="EY537" s="457"/>
      <c r="EZ537" s="457"/>
      <c r="FA537" s="457"/>
      <c r="FB537" s="457"/>
      <c r="FC537" s="457"/>
      <c r="FD537" s="457"/>
      <c r="FE537" s="457"/>
      <c r="FF537" s="457"/>
      <c r="FG537" s="457"/>
      <c r="FH537" s="457"/>
      <c r="FI537" s="457"/>
      <c r="FJ537" s="457"/>
      <c r="FK537" s="457"/>
    </row>
    <row r="538" spans="1:167" s="416" customFormat="1">
      <c r="A538" s="427"/>
      <c r="B538" s="427"/>
      <c r="C538" s="427"/>
      <c r="D538" s="427"/>
      <c r="E538" s="428"/>
      <c r="F538" s="429"/>
      <c r="G538" s="430"/>
      <c r="H538" s="427"/>
      <c r="I538" s="427"/>
      <c r="J538" s="427"/>
      <c r="K538" s="427"/>
      <c r="L538" s="427"/>
      <c r="M538" s="427"/>
      <c r="N538" s="427"/>
      <c r="O538" s="427"/>
      <c r="P538" s="427"/>
      <c r="Q538" s="427"/>
      <c r="R538" s="427"/>
      <c r="S538" s="427"/>
      <c r="T538" s="427"/>
      <c r="U538" s="427"/>
      <c r="V538" s="428"/>
      <c r="W538" s="431"/>
      <c r="X538" s="3"/>
      <c r="Y538" s="429"/>
      <c r="Z538" s="430"/>
      <c r="AA538" s="430"/>
      <c r="AB538" s="430"/>
      <c r="AC538" s="424"/>
      <c r="AD538" s="424"/>
      <c r="AE538" s="424"/>
      <c r="AF538" s="424"/>
      <c r="AG538" s="424"/>
      <c r="AH538" s="424"/>
      <c r="AI538" s="424"/>
      <c r="AJ538" s="2"/>
      <c r="AK538" s="2"/>
      <c r="AL538" s="2"/>
      <c r="AM538" s="2"/>
      <c r="AN538" s="2"/>
      <c r="AO538" s="2"/>
      <c r="AP538" s="2"/>
      <c r="AQ538" s="427"/>
      <c r="AR538" s="754"/>
      <c r="AS538" s="427"/>
      <c r="AT538" s="754"/>
      <c r="AU538" s="427"/>
      <c r="AV538" s="427"/>
      <c r="AW538" s="427"/>
      <c r="AX538" s="427"/>
      <c r="AY538" s="754"/>
      <c r="AZ538" s="754"/>
      <c r="BA538" s="754"/>
      <c r="BB538" s="427"/>
      <c r="BC538" s="427"/>
      <c r="BD538" s="427"/>
      <c r="BE538" s="754"/>
      <c r="BF538" s="427"/>
      <c r="BG538" s="454"/>
      <c r="BH538" s="754"/>
      <c r="BI538" s="427"/>
      <c r="BJ538" s="427"/>
      <c r="BK538" s="427"/>
      <c r="BL538" s="427"/>
      <c r="BM538" s="454"/>
      <c r="BN538" s="427"/>
      <c r="BO538" s="427"/>
      <c r="BP538" s="427"/>
      <c r="BQ538" s="454"/>
      <c r="BR538" s="454"/>
      <c r="BS538" s="460"/>
      <c r="BT538" s="454"/>
      <c r="BU538" s="454"/>
      <c r="BV538" s="457"/>
      <c r="BW538" s="460"/>
      <c r="BX538" s="460"/>
      <c r="BY538" s="460"/>
      <c r="CA538" s="2"/>
      <c r="CB538" s="2"/>
      <c r="CC538" s="2"/>
      <c r="CD538" s="2"/>
      <c r="CE538" s="2"/>
      <c r="CF538" s="2"/>
      <c r="CG538" s="2"/>
      <c r="CH538" s="2"/>
      <c r="CI538" s="2"/>
      <c r="CJ538" s="2"/>
      <c r="CK538" s="2"/>
      <c r="CL538" s="2"/>
      <c r="CM538" s="2"/>
      <c r="CN538" s="2"/>
      <c r="CO538" s="427"/>
      <c r="CP538" s="427"/>
      <c r="CQ538" s="427"/>
      <c r="CR538" s="485"/>
      <c r="CS538" s="485"/>
      <c r="CT538" s="485"/>
      <c r="CU538" s="485"/>
      <c r="CV538" s="482"/>
      <c r="CW538" s="482"/>
      <c r="CX538" s="482"/>
      <c r="CY538" s="482"/>
      <c r="CZ538" s="485"/>
      <c r="DA538" s="485"/>
      <c r="DB538" s="485"/>
      <c r="DC538" s="485"/>
      <c r="DD538" s="485"/>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485"/>
      <c r="EX538" s="457"/>
      <c r="EY538" s="457"/>
      <c r="EZ538" s="457"/>
      <c r="FA538" s="457"/>
      <c r="FB538" s="457"/>
      <c r="FC538" s="457"/>
      <c r="FD538" s="457"/>
      <c r="FE538" s="457"/>
      <c r="FF538" s="457"/>
      <c r="FG538" s="457"/>
      <c r="FH538" s="457"/>
      <c r="FI538" s="457"/>
      <c r="FJ538" s="457"/>
      <c r="FK538" s="457"/>
    </row>
    <row r="539" spans="1:167" s="416" customFormat="1">
      <c r="A539" s="427"/>
      <c r="B539" s="427"/>
      <c r="C539" s="427"/>
      <c r="D539" s="427"/>
      <c r="E539" s="428"/>
      <c r="F539" s="429"/>
      <c r="G539" s="430"/>
      <c r="H539" s="427"/>
      <c r="I539" s="427"/>
      <c r="J539" s="427"/>
      <c r="K539" s="427"/>
      <c r="L539" s="427"/>
      <c r="M539" s="427"/>
      <c r="N539" s="427"/>
      <c r="O539" s="427"/>
      <c r="P539" s="427"/>
      <c r="Q539" s="427"/>
      <c r="R539" s="427"/>
      <c r="S539" s="427"/>
      <c r="T539" s="427"/>
      <c r="U539" s="427"/>
      <c r="V539" s="428"/>
      <c r="W539" s="431"/>
      <c r="X539" s="3"/>
      <c r="Y539" s="429"/>
      <c r="Z539" s="430"/>
      <c r="AA539" s="430"/>
      <c r="AB539" s="430"/>
      <c r="AC539" s="424"/>
      <c r="AD539" s="424"/>
      <c r="AE539" s="424"/>
      <c r="AF539" s="424"/>
      <c r="AG539" s="424"/>
      <c r="AH539" s="424"/>
      <c r="AI539" s="424"/>
      <c r="AJ539" s="2"/>
      <c r="AK539" s="2"/>
      <c r="AL539" s="2"/>
      <c r="AM539" s="2"/>
      <c r="AN539" s="2"/>
      <c r="AO539" s="2"/>
      <c r="AP539" s="2"/>
      <c r="AQ539" s="427"/>
      <c r="AR539" s="754"/>
      <c r="AS539" s="427"/>
      <c r="AT539" s="754"/>
      <c r="AU539" s="427"/>
      <c r="AV539" s="427"/>
      <c r="AW539" s="427"/>
      <c r="AX539" s="427"/>
      <c r="AY539" s="754"/>
      <c r="AZ539" s="754"/>
      <c r="BA539" s="754"/>
      <c r="BB539" s="427"/>
      <c r="BC539" s="427"/>
      <c r="BD539" s="427"/>
      <c r="BE539" s="754"/>
      <c r="BF539" s="427"/>
      <c r="BG539" s="454"/>
      <c r="BH539" s="754"/>
      <c r="BI539" s="427"/>
      <c r="BJ539" s="427"/>
      <c r="BK539" s="427"/>
      <c r="BL539" s="427"/>
      <c r="BM539" s="454"/>
      <c r="BN539" s="427"/>
      <c r="BO539" s="427"/>
      <c r="BP539" s="427"/>
      <c r="BQ539" s="454"/>
      <c r="BR539" s="454"/>
      <c r="BS539" s="460"/>
      <c r="BT539" s="454"/>
      <c r="BU539" s="454"/>
      <c r="BV539" s="457"/>
      <c r="BW539" s="460"/>
      <c r="BX539" s="460"/>
      <c r="BY539" s="460"/>
      <c r="CA539" s="2"/>
      <c r="CB539" s="2"/>
      <c r="CC539" s="2"/>
      <c r="CD539" s="2"/>
      <c r="CE539" s="2"/>
      <c r="CF539" s="2"/>
      <c r="CG539" s="2"/>
      <c r="CH539" s="2"/>
      <c r="CI539" s="2"/>
      <c r="CJ539" s="2"/>
      <c r="CK539" s="2"/>
      <c r="CL539" s="2"/>
      <c r="CM539" s="2"/>
      <c r="CN539" s="2"/>
      <c r="CO539" s="427"/>
      <c r="CP539" s="427"/>
      <c r="CQ539" s="427"/>
      <c r="CR539" s="485"/>
      <c r="CS539" s="485"/>
      <c r="CT539" s="485"/>
      <c r="CU539" s="485"/>
      <c r="CV539" s="482"/>
      <c r="CW539" s="482"/>
      <c r="CX539" s="482"/>
      <c r="CY539" s="482"/>
      <c r="CZ539" s="485"/>
      <c r="DA539" s="485"/>
      <c r="DB539" s="485"/>
      <c r="DC539" s="485"/>
      <c r="DD539" s="485"/>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485"/>
      <c r="EX539" s="457"/>
      <c r="EY539" s="457"/>
      <c r="EZ539" s="457"/>
      <c r="FA539" s="457"/>
      <c r="FB539" s="457"/>
      <c r="FC539" s="457"/>
      <c r="FD539" s="457"/>
      <c r="FE539" s="457"/>
      <c r="FF539" s="457"/>
      <c r="FG539" s="457"/>
      <c r="FH539" s="457"/>
      <c r="FI539" s="457"/>
      <c r="FJ539" s="457"/>
      <c r="FK539" s="457"/>
    </row>
    <row r="540" spans="1:167" s="416" customFormat="1">
      <c r="A540" s="427"/>
      <c r="B540" s="427"/>
      <c r="C540" s="427"/>
      <c r="D540" s="427"/>
      <c r="E540" s="428"/>
      <c r="F540" s="429"/>
      <c r="G540" s="430"/>
      <c r="H540" s="427"/>
      <c r="I540" s="427"/>
      <c r="J540" s="427"/>
      <c r="K540" s="427"/>
      <c r="L540" s="427"/>
      <c r="M540" s="427"/>
      <c r="N540" s="427"/>
      <c r="O540" s="427"/>
      <c r="P540" s="427"/>
      <c r="Q540" s="427"/>
      <c r="R540" s="427"/>
      <c r="S540" s="427"/>
      <c r="T540" s="427"/>
      <c r="U540" s="427"/>
      <c r="V540" s="428"/>
      <c r="W540" s="431"/>
      <c r="X540" s="3"/>
      <c r="Y540" s="429"/>
      <c r="Z540" s="430"/>
      <c r="AA540" s="430"/>
      <c r="AB540" s="430"/>
      <c r="AC540" s="424"/>
      <c r="AD540" s="424"/>
      <c r="AE540" s="424"/>
      <c r="AF540" s="424"/>
      <c r="AG540" s="424"/>
      <c r="AH540" s="424"/>
      <c r="AI540" s="424"/>
      <c r="AJ540" s="2"/>
      <c r="AK540" s="2"/>
      <c r="AL540" s="2"/>
      <c r="AM540" s="2"/>
      <c r="AN540" s="2"/>
      <c r="AO540" s="2"/>
      <c r="AP540" s="2"/>
      <c r="AQ540" s="427"/>
      <c r="AR540" s="754"/>
      <c r="AS540" s="427"/>
      <c r="AT540" s="754"/>
      <c r="AU540" s="427"/>
      <c r="AV540" s="427"/>
      <c r="AW540" s="427"/>
      <c r="AX540" s="427"/>
      <c r="AY540" s="754"/>
      <c r="AZ540" s="754"/>
      <c r="BA540" s="754"/>
      <c r="BB540" s="427"/>
      <c r="BC540" s="427"/>
      <c r="BD540" s="427"/>
      <c r="BE540" s="754"/>
      <c r="BF540" s="427"/>
      <c r="BG540" s="454"/>
      <c r="BH540" s="754"/>
      <c r="BI540" s="427"/>
      <c r="BJ540" s="427"/>
      <c r="BK540" s="427"/>
      <c r="BL540" s="427"/>
      <c r="BM540" s="454"/>
      <c r="BN540" s="427"/>
      <c r="BO540" s="427"/>
      <c r="BP540" s="427"/>
      <c r="BQ540" s="454"/>
      <c r="BR540" s="454"/>
      <c r="BS540" s="460"/>
      <c r="BT540" s="454"/>
      <c r="BU540" s="454"/>
      <c r="BV540" s="457"/>
      <c r="BW540" s="460"/>
      <c r="BX540" s="460"/>
      <c r="BY540" s="460"/>
      <c r="CA540" s="2"/>
      <c r="CB540" s="2"/>
      <c r="CC540" s="2"/>
      <c r="CD540" s="2"/>
      <c r="CE540" s="2"/>
      <c r="CF540" s="2"/>
      <c r="CG540" s="2"/>
      <c r="CH540" s="2"/>
      <c r="CI540" s="2"/>
      <c r="CJ540" s="2"/>
      <c r="CK540" s="2"/>
      <c r="CL540" s="2"/>
      <c r="CM540" s="2"/>
      <c r="CN540" s="2"/>
      <c r="CO540" s="427"/>
      <c r="CP540" s="427"/>
      <c r="CQ540" s="427"/>
      <c r="CR540" s="485"/>
      <c r="CS540" s="485"/>
      <c r="CT540" s="485"/>
      <c r="CU540" s="485"/>
      <c r="CV540" s="482"/>
      <c r="CW540" s="482"/>
      <c r="CX540" s="482"/>
      <c r="CY540" s="482"/>
      <c r="CZ540" s="485"/>
      <c r="DA540" s="485"/>
      <c r="DB540" s="485"/>
      <c r="DC540" s="485"/>
      <c r="DD540" s="485"/>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485"/>
      <c r="EX540" s="457"/>
      <c r="EY540" s="457"/>
      <c r="EZ540" s="457"/>
      <c r="FA540" s="457"/>
      <c r="FB540" s="457"/>
      <c r="FC540" s="457"/>
      <c r="FD540" s="457"/>
      <c r="FE540" s="457"/>
      <c r="FF540" s="457"/>
      <c r="FG540" s="457"/>
      <c r="FH540" s="457"/>
      <c r="FI540" s="457"/>
      <c r="FJ540" s="457"/>
      <c r="FK540" s="457"/>
    </row>
    <row r="541" spans="1:167" s="416" customFormat="1">
      <c r="A541" s="427"/>
      <c r="B541" s="427"/>
      <c r="C541" s="427"/>
      <c r="D541" s="427"/>
      <c r="E541" s="428"/>
      <c r="F541" s="429"/>
      <c r="G541" s="430"/>
      <c r="H541" s="427"/>
      <c r="I541" s="427"/>
      <c r="J541" s="427"/>
      <c r="K541" s="427"/>
      <c r="L541" s="427"/>
      <c r="M541" s="427"/>
      <c r="N541" s="427"/>
      <c r="O541" s="427"/>
      <c r="P541" s="427"/>
      <c r="Q541" s="427"/>
      <c r="R541" s="427"/>
      <c r="S541" s="427"/>
      <c r="T541" s="427"/>
      <c r="U541" s="427"/>
      <c r="V541" s="428"/>
      <c r="W541" s="431"/>
      <c r="X541" s="3"/>
      <c r="Y541" s="429"/>
      <c r="Z541" s="430"/>
      <c r="AA541" s="430"/>
      <c r="AB541" s="430"/>
      <c r="AC541" s="424"/>
      <c r="AD541" s="424"/>
      <c r="AE541" s="424"/>
      <c r="AF541" s="424"/>
      <c r="AG541" s="424"/>
      <c r="AH541" s="424"/>
      <c r="AI541" s="424"/>
      <c r="AJ541" s="2"/>
      <c r="AK541" s="2"/>
      <c r="AL541" s="2"/>
      <c r="AM541" s="2"/>
      <c r="AN541" s="2"/>
      <c r="AO541" s="2"/>
      <c r="AP541" s="2"/>
      <c r="AQ541" s="427"/>
      <c r="AR541" s="754"/>
      <c r="AS541" s="427"/>
      <c r="AT541" s="754"/>
      <c r="AU541" s="427"/>
      <c r="AV541" s="427"/>
      <c r="AW541" s="427"/>
      <c r="AX541" s="427"/>
      <c r="AY541" s="754"/>
      <c r="AZ541" s="754"/>
      <c r="BA541" s="754"/>
      <c r="BB541" s="427"/>
      <c r="BC541" s="427"/>
      <c r="BD541" s="427"/>
      <c r="BE541" s="754"/>
      <c r="BF541" s="427"/>
      <c r="BG541" s="454"/>
      <c r="BH541" s="754"/>
      <c r="BI541" s="427"/>
      <c r="BJ541" s="427"/>
      <c r="BK541" s="427"/>
      <c r="BL541" s="427"/>
      <c r="BM541" s="454"/>
      <c r="BN541" s="427"/>
      <c r="BO541" s="427"/>
      <c r="BP541" s="427"/>
      <c r="BQ541" s="454"/>
      <c r="BR541" s="454"/>
      <c r="BS541" s="460"/>
      <c r="BT541" s="454"/>
      <c r="BU541" s="454"/>
      <c r="BV541" s="457"/>
      <c r="BW541" s="460"/>
      <c r="BX541" s="460"/>
      <c r="BY541" s="460"/>
      <c r="CA541" s="2"/>
      <c r="CB541" s="2"/>
      <c r="CC541" s="2"/>
      <c r="CD541" s="2"/>
      <c r="CE541" s="2"/>
      <c r="CF541" s="2"/>
      <c r="CG541" s="2"/>
      <c r="CH541" s="2"/>
      <c r="CI541" s="2"/>
      <c r="CJ541" s="2"/>
      <c r="CK541" s="2"/>
      <c r="CL541" s="2"/>
      <c r="CM541" s="2"/>
      <c r="CN541" s="2"/>
      <c r="CO541" s="427"/>
      <c r="CP541" s="427"/>
      <c r="CQ541" s="427"/>
      <c r="CR541" s="485"/>
      <c r="CS541" s="485"/>
      <c r="CT541" s="485"/>
      <c r="CU541" s="485"/>
      <c r="CV541" s="482"/>
      <c r="CW541" s="482"/>
      <c r="CX541" s="482"/>
      <c r="CY541" s="482"/>
      <c r="CZ541" s="485"/>
      <c r="DA541" s="485"/>
      <c r="DB541" s="485"/>
      <c r="DC541" s="485"/>
      <c r="DD541" s="485"/>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485"/>
      <c r="EX541" s="457"/>
      <c r="EY541" s="457"/>
      <c r="EZ541" s="457"/>
      <c r="FA541" s="457"/>
      <c r="FB541" s="457"/>
      <c r="FC541" s="457"/>
      <c r="FD541" s="457"/>
      <c r="FE541" s="457"/>
      <c r="FF541" s="457"/>
      <c r="FG541" s="457"/>
      <c r="FH541" s="457"/>
      <c r="FI541" s="457"/>
      <c r="FJ541" s="457"/>
      <c r="FK541" s="457"/>
    </row>
    <row r="542" spans="1:167" s="416" customFormat="1">
      <c r="A542" s="427"/>
      <c r="B542" s="427"/>
      <c r="C542" s="427"/>
      <c r="D542" s="427"/>
      <c r="E542" s="428"/>
      <c r="F542" s="429"/>
      <c r="G542" s="430"/>
      <c r="H542" s="427"/>
      <c r="I542" s="427"/>
      <c r="J542" s="427"/>
      <c r="K542" s="427"/>
      <c r="L542" s="427"/>
      <c r="M542" s="427"/>
      <c r="N542" s="427"/>
      <c r="O542" s="427"/>
      <c r="P542" s="427"/>
      <c r="Q542" s="427"/>
      <c r="R542" s="427"/>
      <c r="S542" s="427"/>
      <c r="T542" s="427"/>
      <c r="U542" s="427"/>
      <c r="V542" s="428"/>
      <c r="W542" s="431"/>
      <c r="X542" s="3"/>
      <c r="Y542" s="429"/>
      <c r="Z542" s="430"/>
      <c r="AA542" s="430"/>
      <c r="AB542" s="430"/>
      <c r="AC542" s="424"/>
      <c r="AD542" s="424"/>
      <c r="AE542" s="424"/>
      <c r="AF542" s="424"/>
      <c r="AG542" s="424"/>
      <c r="AH542" s="424"/>
      <c r="AI542" s="424"/>
      <c r="AJ542" s="2"/>
      <c r="AK542" s="2"/>
      <c r="AL542" s="2"/>
      <c r="AM542" s="2"/>
      <c r="AN542" s="2"/>
      <c r="AO542" s="2"/>
      <c r="AP542" s="2"/>
      <c r="AQ542" s="427"/>
      <c r="AR542" s="754"/>
      <c r="AS542" s="427"/>
      <c r="AT542" s="754"/>
      <c r="AU542" s="427"/>
      <c r="AV542" s="427"/>
      <c r="AW542" s="427"/>
      <c r="AX542" s="427"/>
      <c r="AY542" s="754"/>
      <c r="AZ542" s="754"/>
      <c r="BA542" s="754"/>
      <c r="BB542" s="427"/>
      <c r="BC542" s="427"/>
      <c r="BD542" s="427"/>
      <c r="BE542" s="754"/>
      <c r="BF542" s="427"/>
      <c r="BG542" s="454"/>
      <c r="BH542" s="754"/>
      <c r="BI542" s="427"/>
      <c r="BJ542" s="427"/>
      <c r="BK542" s="427"/>
      <c r="BL542" s="427"/>
      <c r="BM542" s="454"/>
      <c r="BN542" s="427"/>
      <c r="BO542" s="427"/>
      <c r="BP542" s="427"/>
      <c r="BQ542" s="454"/>
      <c r="BR542" s="454"/>
      <c r="BS542" s="460"/>
      <c r="BT542" s="454"/>
      <c r="BU542" s="454"/>
      <c r="BV542" s="457"/>
      <c r="BW542" s="460"/>
      <c r="BX542" s="460"/>
      <c r="BY542" s="460"/>
      <c r="CA542" s="2"/>
      <c r="CB542" s="2"/>
      <c r="CC542" s="2"/>
      <c r="CD542" s="2"/>
      <c r="CE542" s="2"/>
      <c r="CF542" s="2"/>
      <c r="CG542" s="2"/>
      <c r="CH542" s="2"/>
      <c r="CI542" s="2"/>
      <c r="CJ542" s="2"/>
      <c r="CK542" s="2"/>
      <c r="CL542" s="2"/>
      <c r="CM542" s="2"/>
      <c r="CN542" s="2"/>
      <c r="CO542" s="427"/>
      <c r="CP542" s="427"/>
      <c r="CQ542" s="427"/>
      <c r="CR542" s="485"/>
      <c r="CS542" s="485"/>
      <c r="CT542" s="485"/>
      <c r="CU542" s="485"/>
      <c r="CV542" s="482"/>
      <c r="CW542" s="482"/>
      <c r="CX542" s="482"/>
      <c r="CY542" s="482"/>
      <c r="CZ542" s="485"/>
      <c r="DA542" s="485"/>
      <c r="DB542" s="485"/>
      <c r="DC542" s="485"/>
      <c r="DD542" s="485"/>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485"/>
      <c r="EX542" s="457"/>
      <c r="EY542" s="457"/>
      <c r="EZ542" s="457"/>
      <c r="FA542" s="457"/>
      <c r="FB542" s="457"/>
      <c r="FC542" s="457"/>
      <c r="FD542" s="457"/>
      <c r="FE542" s="457"/>
      <c r="FF542" s="457"/>
      <c r="FG542" s="457"/>
      <c r="FH542" s="457"/>
      <c r="FI542" s="457"/>
      <c r="FJ542" s="457"/>
      <c r="FK542" s="457"/>
    </row>
    <row r="543" spans="1:167" s="416" customFormat="1">
      <c r="A543" s="427"/>
      <c r="B543" s="427"/>
      <c r="C543" s="427"/>
      <c r="D543" s="427"/>
      <c r="E543" s="428"/>
      <c r="F543" s="429"/>
      <c r="G543" s="430"/>
      <c r="H543" s="427"/>
      <c r="I543" s="427"/>
      <c r="J543" s="427"/>
      <c r="K543" s="427"/>
      <c r="L543" s="427"/>
      <c r="M543" s="427"/>
      <c r="N543" s="427"/>
      <c r="O543" s="427"/>
      <c r="P543" s="427"/>
      <c r="Q543" s="427"/>
      <c r="R543" s="427"/>
      <c r="S543" s="427"/>
      <c r="T543" s="427"/>
      <c r="U543" s="427"/>
      <c r="V543" s="428"/>
      <c r="W543" s="431"/>
      <c r="X543" s="3"/>
      <c r="Y543" s="429"/>
      <c r="Z543" s="430"/>
      <c r="AA543" s="430"/>
      <c r="AB543" s="430"/>
      <c r="AC543" s="424"/>
      <c r="AD543" s="424"/>
      <c r="AE543" s="424"/>
      <c r="AF543" s="424"/>
      <c r="AG543" s="424"/>
      <c r="AH543" s="424"/>
      <c r="AI543" s="424"/>
      <c r="AJ543" s="2"/>
      <c r="AK543" s="2"/>
      <c r="AL543" s="2"/>
      <c r="AM543" s="2"/>
      <c r="AN543" s="2"/>
      <c r="AO543" s="2"/>
      <c r="AP543" s="2"/>
      <c r="AQ543" s="427"/>
      <c r="AR543" s="754"/>
      <c r="AS543" s="427"/>
      <c r="AT543" s="754"/>
      <c r="AU543" s="427"/>
      <c r="AV543" s="427"/>
      <c r="AW543" s="427"/>
      <c r="AX543" s="427"/>
      <c r="AY543" s="754"/>
      <c r="AZ543" s="754"/>
      <c r="BA543" s="754"/>
      <c r="BB543" s="427"/>
      <c r="BC543" s="427"/>
      <c r="BD543" s="427"/>
      <c r="BE543" s="754"/>
      <c r="BF543" s="427"/>
      <c r="BG543" s="454"/>
      <c r="BH543" s="754"/>
      <c r="BI543" s="427"/>
      <c r="BJ543" s="427"/>
      <c r="BK543" s="427"/>
      <c r="BL543" s="427"/>
      <c r="BM543" s="454"/>
      <c r="BN543" s="427"/>
      <c r="BO543" s="427"/>
      <c r="BP543" s="427"/>
      <c r="BQ543" s="454"/>
      <c r="BR543" s="454"/>
      <c r="BS543" s="460"/>
      <c r="BT543" s="454"/>
      <c r="BU543" s="454"/>
      <c r="BV543" s="457"/>
      <c r="BW543" s="460"/>
      <c r="BX543" s="460"/>
      <c r="BY543" s="460"/>
      <c r="CA543" s="2"/>
      <c r="CB543" s="2"/>
      <c r="CC543" s="2"/>
      <c r="CD543" s="2"/>
      <c r="CE543" s="2"/>
      <c r="CF543" s="2"/>
      <c r="CG543" s="2"/>
      <c r="CH543" s="2"/>
      <c r="CI543" s="2"/>
      <c r="CJ543" s="2"/>
      <c r="CK543" s="2"/>
      <c r="CL543" s="2"/>
      <c r="CM543" s="2"/>
      <c r="CN543" s="2"/>
      <c r="CO543" s="427"/>
      <c r="CP543" s="427"/>
      <c r="CQ543" s="427"/>
      <c r="CR543" s="485"/>
      <c r="CS543" s="485"/>
      <c r="CT543" s="485"/>
      <c r="CU543" s="485"/>
      <c r="CV543" s="482"/>
      <c r="CW543" s="482"/>
      <c r="CX543" s="482"/>
      <c r="CY543" s="482"/>
      <c r="CZ543" s="485"/>
      <c r="DA543" s="485"/>
      <c r="DB543" s="485"/>
      <c r="DC543" s="485"/>
      <c r="DD543" s="485"/>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485"/>
      <c r="EX543" s="457"/>
      <c r="EY543" s="457"/>
      <c r="EZ543" s="457"/>
      <c r="FA543" s="457"/>
      <c r="FB543" s="457"/>
      <c r="FC543" s="457"/>
      <c r="FD543" s="457"/>
      <c r="FE543" s="457"/>
      <c r="FF543" s="457"/>
      <c r="FG543" s="457"/>
      <c r="FH543" s="457"/>
      <c r="FI543" s="457"/>
      <c r="FJ543" s="457"/>
      <c r="FK543" s="457"/>
    </row>
    <row r="544" spans="1:167" s="416" customFormat="1">
      <c r="A544" s="427"/>
      <c r="B544" s="427"/>
      <c r="C544" s="427"/>
      <c r="D544" s="427"/>
      <c r="E544" s="428"/>
      <c r="F544" s="429"/>
      <c r="G544" s="430"/>
      <c r="H544" s="427"/>
      <c r="I544" s="427"/>
      <c r="J544" s="427"/>
      <c r="K544" s="427"/>
      <c r="L544" s="427"/>
      <c r="M544" s="427"/>
      <c r="N544" s="427"/>
      <c r="O544" s="427"/>
      <c r="P544" s="427"/>
      <c r="Q544" s="427"/>
      <c r="R544" s="427"/>
      <c r="S544" s="427"/>
      <c r="T544" s="427"/>
      <c r="U544" s="427"/>
      <c r="V544" s="428"/>
      <c r="W544" s="431"/>
      <c r="X544" s="3"/>
      <c r="Y544" s="429"/>
      <c r="Z544" s="430"/>
      <c r="AA544" s="430"/>
      <c r="AB544" s="430"/>
      <c r="AC544" s="424"/>
      <c r="AD544" s="424"/>
      <c r="AE544" s="424"/>
      <c r="AF544" s="424"/>
      <c r="AG544" s="424"/>
      <c r="AH544" s="424"/>
      <c r="AI544" s="424"/>
      <c r="AJ544" s="2"/>
      <c r="AK544" s="2"/>
      <c r="AL544" s="2"/>
      <c r="AM544" s="2"/>
      <c r="AN544" s="2"/>
      <c r="AO544" s="2"/>
      <c r="AP544" s="2"/>
      <c r="AQ544" s="427"/>
      <c r="AR544" s="754"/>
      <c r="AS544" s="427"/>
      <c r="AT544" s="754"/>
      <c r="AU544" s="427"/>
      <c r="AV544" s="427"/>
      <c r="AW544" s="427"/>
      <c r="AX544" s="427"/>
      <c r="AY544" s="754"/>
      <c r="AZ544" s="754"/>
      <c r="BA544" s="754"/>
      <c r="BB544" s="427"/>
      <c r="BC544" s="427"/>
      <c r="BD544" s="427"/>
      <c r="BE544" s="754"/>
      <c r="BF544" s="427"/>
      <c r="BG544" s="454"/>
      <c r="BH544" s="754"/>
      <c r="BI544" s="427"/>
      <c r="BJ544" s="427"/>
      <c r="BK544" s="427"/>
      <c r="BL544" s="427"/>
      <c r="BM544" s="454"/>
      <c r="BN544" s="427"/>
      <c r="BO544" s="427"/>
      <c r="BP544" s="427"/>
      <c r="BQ544" s="454"/>
      <c r="BR544" s="454"/>
      <c r="BS544" s="460"/>
      <c r="BT544" s="454"/>
      <c r="BU544" s="454"/>
      <c r="BV544" s="457"/>
      <c r="BW544" s="460"/>
      <c r="BX544" s="460"/>
      <c r="BY544" s="460"/>
      <c r="CA544" s="2"/>
      <c r="CB544" s="2"/>
      <c r="CC544" s="2"/>
      <c r="CD544" s="2"/>
      <c r="CE544" s="2"/>
      <c r="CF544" s="2"/>
      <c r="CG544" s="2"/>
      <c r="CH544" s="2"/>
      <c r="CI544" s="2"/>
      <c r="CJ544" s="2"/>
      <c r="CK544" s="2"/>
      <c r="CL544" s="2"/>
      <c r="CM544" s="2"/>
      <c r="CN544" s="2"/>
      <c r="CO544" s="427"/>
      <c r="CP544" s="427"/>
      <c r="CQ544" s="427"/>
      <c r="CR544" s="485"/>
      <c r="CS544" s="485"/>
      <c r="CT544" s="485"/>
      <c r="CU544" s="485"/>
      <c r="CV544" s="482"/>
      <c r="CW544" s="482"/>
      <c r="CX544" s="482"/>
      <c r="CY544" s="482"/>
      <c r="CZ544" s="485"/>
      <c r="DA544" s="485"/>
      <c r="DB544" s="485"/>
      <c r="DC544" s="485"/>
      <c r="DD544" s="485"/>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485"/>
      <c r="EX544" s="457"/>
      <c r="EY544" s="457"/>
      <c r="EZ544" s="457"/>
      <c r="FA544" s="457"/>
      <c r="FB544" s="457"/>
      <c r="FC544" s="457"/>
      <c r="FD544" s="457"/>
      <c r="FE544" s="457"/>
      <c r="FF544" s="457"/>
      <c r="FG544" s="457"/>
      <c r="FH544" s="457"/>
      <c r="FI544" s="457"/>
      <c r="FJ544" s="457"/>
      <c r="FK544" s="457"/>
    </row>
    <row r="545" spans="1:167" s="416" customFormat="1">
      <c r="A545" s="427"/>
      <c r="B545" s="427"/>
      <c r="C545" s="427"/>
      <c r="D545" s="427"/>
      <c r="E545" s="428"/>
      <c r="F545" s="429"/>
      <c r="G545" s="430"/>
      <c r="H545" s="427"/>
      <c r="I545" s="427"/>
      <c r="J545" s="427"/>
      <c r="K545" s="427"/>
      <c r="L545" s="427"/>
      <c r="M545" s="427"/>
      <c r="N545" s="427"/>
      <c r="O545" s="427"/>
      <c r="P545" s="427"/>
      <c r="Q545" s="427"/>
      <c r="R545" s="427"/>
      <c r="S545" s="427"/>
      <c r="T545" s="427"/>
      <c r="U545" s="427"/>
      <c r="V545" s="428"/>
      <c r="W545" s="431"/>
      <c r="X545" s="3"/>
      <c r="Y545" s="429"/>
      <c r="Z545" s="430"/>
      <c r="AA545" s="430"/>
      <c r="AB545" s="430"/>
      <c r="AC545" s="424"/>
      <c r="AD545" s="424"/>
      <c r="AE545" s="424"/>
      <c r="AF545" s="424"/>
      <c r="AG545" s="424"/>
      <c r="AH545" s="424"/>
      <c r="AI545" s="424"/>
      <c r="AJ545" s="2"/>
      <c r="AK545" s="2"/>
      <c r="AL545" s="2"/>
      <c r="AM545" s="2"/>
      <c r="AN545" s="2"/>
      <c r="AO545" s="2"/>
      <c r="AP545" s="2"/>
      <c r="AQ545" s="427"/>
      <c r="AR545" s="754"/>
      <c r="AS545" s="427"/>
      <c r="AT545" s="754"/>
      <c r="AU545" s="427"/>
      <c r="AV545" s="427"/>
      <c r="AW545" s="427"/>
      <c r="AX545" s="427"/>
      <c r="AY545" s="754"/>
      <c r="AZ545" s="754"/>
      <c r="BA545" s="754"/>
      <c r="BB545" s="427"/>
      <c r="BC545" s="427"/>
      <c r="BD545" s="427"/>
      <c r="BE545" s="754"/>
      <c r="BF545" s="427"/>
      <c r="BG545" s="454"/>
      <c r="BH545" s="754"/>
      <c r="BI545" s="427"/>
      <c r="BJ545" s="427"/>
      <c r="BK545" s="427"/>
      <c r="BL545" s="427"/>
      <c r="BM545" s="454"/>
      <c r="BN545" s="427"/>
      <c r="BO545" s="427"/>
      <c r="BP545" s="427"/>
      <c r="BQ545" s="454"/>
      <c r="BR545" s="454"/>
      <c r="BS545" s="460"/>
      <c r="BT545" s="454"/>
      <c r="BU545" s="454"/>
      <c r="BV545" s="457"/>
      <c r="BW545" s="460"/>
      <c r="BX545" s="460"/>
      <c r="BY545" s="460"/>
      <c r="CA545" s="2"/>
      <c r="CB545" s="2"/>
      <c r="CC545" s="2"/>
      <c r="CD545" s="2"/>
      <c r="CE545" s="2"/>
      <c r="CF545" s="2"/>
      <c r="CG545" s="2"/>
      <c r="CH545" s="2"/>
      <c r="CI545" s="2"/>
      <c r="CJ545" s="2"/>
      <c r="CK545" s="2"/>
      <c r="CL545" s="2"/>
      <c r="CM545" s="2"/>
      <c r="CN545" s="2"/>
      <c r="CO545" s="427"/>
      <c r="CP545" s="427"/>
      <c r="CQ545" s="427"/>
      <c r="CR545" s="485"/>
      <c r="CS545" s="485"/>
      <c r="CT545" s="485"/>
      <c r="CU545" s="485"/>
      <c r="CV545" s="482"/>
      <c r="CW545" s="482"/>
      <c r="CX545" s="482"/>
      <c r="CY545" s="482"/>
      <c r="CZ545" s="485"/>
      <c r="DA545" s="485"/>
      <c r="DB545" s="485"/>
      <c r="DC545" s="485"/>
      <c r="DD545" s="485"/>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485"/>
      <c r="EX545" s="457"/>
      <c r="EY545" s="457"/>
      <c r="EZ545" s="457"/>
      <c r="FA545" s="457"/>
      <c r="FB545" s="457"/>
      <c r="FC545" s="457"/>
      <c r="FD545" s="457"/>
      <c r="FE545" s="457"/>
      <c r="FF545" s="457"/>
      <c r="FG545" s="457"/>
      <c r="FH545" s="457"/>
      <c r="FI545" s="457"/>
      <c r="FJ545" s="457"/>
      <c r="FK545" s="457"/>
    </row>
    <row r="546" spans="1:167" s="416" customFormat="1">
      <c r="A546" s="427"/>
      <c r="B546" s="427"/>
      <c r="C546" s="427"/>
      <c r="D546" s="427"/>
      <c r="E546" s="428"/>
      <c r="F546" s="429"/>
      <c r="G546" s="430"/>
      <c r="H546" s="427"/>
      <c r="I546" s="427"/>
      <c r="J546" s="427"/>
      <c r="K546" s="427"/>
      <c r="L546" s="427"/>
      <c r="M546" s="427"/>
      <c r="N546" s="427"/>
      <c r="O546" s="427"/>
      <c r="P546" s="427"/>
      <c r="Q546" s="427"/>
      <c r="R546" s="427"/>
      <c r="S546" s="427"/>
      <c r="T546" s="427"/>
      <c r="U546" s="427"/>
      <c r="V546" s="428"/>
      <c r="W546" s="431"/>
      <c r="X546" s="3"/>
      <c r="Y546" s="429"/>
      <c r="Z546" s="430"/>
      <c r="AA546" s="430"/>
      <c r="AB546" s="430"/>
      <c r="AC546" s="424"/>
      <c r="AD546" s="424"/>
      <c r="AE546" s="424"/>
      <c r="AF546" s="424"/>
      <c r="AG546" s="424"/>
      <c r="AH546" s="424"/>
      <c r="AI546" s="424"/>
      <c r="AJ546" s="2"/>
      <c r="AK546" s="2"/>
      <c r="AL546" s="2"/>
      <c r="AM546" s="2"/>
      <c r="AN546" s="2"/>
      <c r="AO546" s="2"/>
      <c r="AP546" s="2"/>
      <c r="AQ546" s="427"/>
      <c r="AR546" s="754"/>
      <c r="AS546" s="427"/>
      <c r="AT546" s="754"/>
      <c r="AU546" s="427"/>
      <c r="AV546" s="427"/>
      <c r="AW546" s="427"/>
      <c r="AX546" s="427"/>
      <c r="AY546" s="754"/>
      <c r="AZ546" s="754"/>
      <c r="BA546" s="754"/>
      <c r="BB546" s="427"/>
      <c r="BC546" s="427"/>
      <c r="BD546" s="427"/>
      <c r="BE546" s="754"/>
      <c r="BF546" s="427"/>
      <c r="BG546" s="454"/>
      <c r="BH546" s="754"/>
      <c r="BI546" s="427"/>
      <c r="BJ546" s="427"/>
      <c r="BK546" s="427"/>
      <c r="BL546" s="427"/>
      <c r="BM546" s="454"/>
      <c r="BN546" s="427"/>
      <c r="BO546" s="427"/>
      <c r="BP546" s="427"/>
      <c r="BQ546" s="454"/>
      <c r="BR546" s="454"/>
      <c r="BS546" s="460"/>
      <c r="BT546" s="454"/>
      <c r="BU546" s="454"/>
      <c r="BV546" s="457"/>
      <c r="BW546" s="460"/>
      <c r="BX546" s="460"/>
      <c r="BY546" s="460"/>
      <c r="CA546" s="2"/>
      <c r="CB546" s="2"/>
      <c r="CC546" s="2"/>
      <c r="CD546" s="2"/>
      <c r="CE546" s="2"/>
      <c r="CF546" s="2"/>
      <c r="CG546" s="2"/>
      <c r="CH546" s="2"/>
      <c r="CI546" s="2"/>
      <c r="CJ546" s="2"/>
      <c r="CK546" s="2"/>
      <c r="CL546" s="2"/>
      <c r="CM546" s="2"/>
      <c r="CN546" s="2"/>
      <c r="CO546" s="427"/>
      <c r="CP546" s="427"/>
      <c r="CQ546" s="427"/>
      <c r="CR546" s="485"/>
      <c r="CS546" s="485"/>
      <c r="CT546" s="485"/>
      <c r="CU546" s="485"/>
      <c r="CV546" s="482"/>
      <c r="CW546" s="482"/>
      <c r="CX546" s="482"/>
      <c r="CY546" s="482"/>
      <c r="CZ546" s="485"/>
      <c r="DA546" s="485"/>
      <c r="DB546" s="485"/>
      <c r="DC546" s="485"/>
      <c r="DD546" s="485"/>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485"/>
      <c r="EX546" s="457"/>
      <c r="EY546" s="457"/>
      <c r="EZ546" s="457"/>
      <c r="FA546" s="457"/>
      <c r="FB546" s="457"/>
      <c r="FC546" s="457"/>
      <c r="FD546" s="457"/>
      <c r="FE546" s="457"/>
      <c r="FF546" s="457"/>
      <c r="FG546" s="457"/>
      <c r="FH546" s="457"/>
      <c r="FI546" s="457"/>
      <c r="FJ546" s="457"/>
      <c r="FK546" s="457"/>
    </row>
    <row r="547" spans="1:167" s="416" customFormat="1">
      <c r="A547" s="427"/>
      <c r="B547" s="427"/>
      <c r="C547" s="427"/>
      <c r="D547" s="427"/>
      <c r="E547" s="428"/>
      <c r="F547" s="429"/>
      <c r="G547" s="430"/>
      <c r="H547" s="427"/>
      <c r="I547" s="427"/>
      <c r="J547" s="427"/>
      <c r="K547" s="427"/>
      <c r="L547" s="427"/>
      <c r="M547" s="427"/>
      <c r="N547" s="427"/>
      <c r="O547" s="427"/>
      <c r="P547" s="427"/>
      <c r="Q547" s="427"/>
      <c r="R547" s="427"/>
      <c r="S547" s="427"/>
      <c r="T547" s="427"/>
      <c r="U547" s="427"/>
      <c r="V547" s="428"/>
      <c r="W547" s="431"/>
      <c r="X547" s="3"/>
      <c r="Y547" s="429"/>
      <c r="Z547" s="430"/>
      <c r="AA547" s="430"/>
      <c r="AB547" s="430"/>
      <c r="AC547" s="424"/>
      <c r="AD547" s="424"/>
      <c r="AE547" s="424"/>
      <c r="AF547" s="424"/>
      <c r="AG547" s="424"/>
      <c r="AH547" s="424"/>
      <c r="AI547" s="424"/>
      <c r="AJ547" s="2"/>
      <c r="AK547" s="2"/>
      <c r="AL547" s="2"/>
      <c r="AM547" s="2"/>
      <c r="AN547" s="2"/>
      <c r="AO547" s="2"/>
      <c r="AP547" s="2"/>
      <c r="AQ547" s="427"/>
      <c r="AR547" s="754"/>
      <c r="AS547" s="427"/>
      <c r="AT547" s="754"/>
      <c r="AU547" s="427"/>
      <c r="AV547" s="427"/>
      <c r="AW547" s="427"/>
      <c r="AX547" s="427"/>
      <c r="AY547" s="754"/>
      <c r="AZ547" s="754"/>
      <c r="BA547" s="754"/>
      <c r="BB547" s="427"/>
      <c r="BC547" s="427"/>
      <c r="BD547" s="427"/>
      <c r="BE547" s="754"/>
      <c r="BF547" s="427"/>
      <c r="BG547" s="454"/>
      <c r="BH547" s="754"/>
      <c r="BI547" s="427"/>
      <c r="BJ547" s="427"/>
      <c r="BK547" s="427"/>
      <c r="BL547" s="427"/>
      <c r="BM547" s="454"/>
      <c r="BN547" s="427"/>
      <c r="BO547" s="427"/>
      <c r="BP547" s="427"/>
      <c r="BQ547" s="454"/>
      <c r="BR547" s="454"/>
      <c r="BS547" s="460"/>
      <c r="BT547" s="454"/>
      <c r="BU547" s="454"/>
      <c r="BV547" s="457"/>
      <c r="BW547" s="460"/>
      <c r="BX547" s="460"/>
      <c r="BY547" s="460"/>
      <c r="CA547" s="2"/>
      <c r="CB547" s="2"/>
      <c r="CC547" s="2"/>
      <c r="CD547" s="2"/>
      <c r="CE547" s="2"/>
      <c r="CF547" s="2"/>
      <c r="CG547" s="2"/>
      <c r="CH547" s="2"/>
      <c r="CI547" s="2"/>
      <c r="CJ547" s="2"/>
      <c r="CK547" s="2"/>
      <c r="CL547" s="2"/>
      <c r="CM547" s="2"/>
      <c r="CN547" s="2"/>
      <c r="CO547" s="427"/>
      <c r="CP547" s="427"/>
      <c r="CQ547" s="427"/>
      <c r="CR547" s="485"/>
      <c r="CS547" s="485"/>
      <c r="CT547" s="485"/>
      <c r="CU547" s="485"/>
      <c r="CV547" s="482"/>
      <c r="CW547" s="482"/>
      <c r="CX547" s="482"/>
      <c r="CY547" s="482"/>
      <c r="CZ547" s="485"/>
      <c r="DA547" s="485"/>
      <c r="DB547" s="485"/>
      <c r="DC547" s="485"/>
      <c r="DD547" s="485"/>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485"/>
      <c r="EX547" s="457"/>
      <c r="EY547" s="457"/>
      <c r="EZ547" s="457"/>
      <c r="FA547" s="457"/>
      <c r="FB547" s="457"/>
      <c r="FC547" s="457"/>
      <c r="FD547" s="457"/>
      <c r="FE547" s="457"/>
      <c r="FF547" s="457"/>
      <c r="FG547" s="457"/>
      <c r="FH547" s="457"/>
      <c r="FI547" s="457"/>
      <c r="FJ547" s="457"/>
      <c r="FK547" s="457"/>
    </row>
    <row r="548" spans="1:167" s="416" customFormat="1">
      <c r="A548" s="427"/>
      <c r="B548" s="427"/>
      <c r="C548" s="427"/>
      <c r="D548" s="427"/>
      <c r="E548" s="428"/>
      <c r="F548" s="429"/>
      <c r="G548" s="430"/>
      <c r="H548" s="427"/>
      <c r="I548" s="427"/>
      <c r="J548" s="427"/>
      <c r="K548" s="427"/>
      <c r="L548" s="427"/>
      <c r="M548" s="427"/>
      <c r="N548" s="427"/>
      <c r="O548" s="427"/>
      <c r="P548" s="427"/>
      <c r="Q548" s="427"/>
      <c r="R548" s="427"/>
      <c r="S548" s="427"/>
      <c r="T548" s="427"/>
      <c r="U548" s="427"/>
      <c r="V548" s="428"/>
      <c r="W548" s="431"/>
      <c r="X548" s="3"/>
      <c r="Y548" s="429"/>
      <c r="Z548" s="430"/>
      <c r="AA548" s="430"/>
      <c r="AB548" s="430"/>
      <c r="AC548" s="424"/>
      <c r="AD548" s="424"/>
      <c r="AE548" s="424"/>
      <c r="AF548" s="424"/>
      <c r="AG548" s="424"/>
      <c r="AH548" s="424"/>
      <c r="AI548" s="424"/>
      <c r="AJ548" s="2"/>
      <c r="AK548" s="2"/>
      <c r="AL548" s="2"/>
      <c r="AM548" s="2"/>
      <c r="AN548" s="2"/>
      <c r="AO548" s="2"/>
      <c r="AP548" s="2"/>
      <c r="AQ548" s="427"/>
      <c r="AR548" s="754"/>
      <c r="AS548" s="427"/>
      <c r="AT548" s="754"/>
      <c r="AU548" s="427"/>
      <c r="AV548" s="427"/>
      <c r="AW548" s="427"/>
      <c r="AX548" s="427"/>
      <c r="AY548" s="754"/>
      <c r="AZ548" s="754"/>
      <c r="BA548" s="754"/>
      <c r="BB548" s="427"/>
      <c r="BC548" s="427"/>
      <c r="BD548" s="427"/>
      <c r="BE548" s="754"/>
      <c r="BF548" s="427"/>
      <c r="BG548" s="454"/>
      <c r="BH548" s="754"/>
      <c r="BI548" s="427"/>
      <c r="BJ548" s="427"/>
      <c r="BK548" s="427"/>
      <c r="BL548" s="427"/>
      <c r="BM548" s="454"/>
      <c r="BN548" s="427"/>
      <c r="BO548" s="427"/>
      <c r="BP548" s="427"/>
      <c r="BQ548" s="454"/>
      <c r="BR548" s="454"/>
      <c r="BS548" s="460"/>
      <c r="BT548" s="454"/>
      <c r="BU548" s="454"/>
      <c r="BV548" s="457"/>
      <c r="BW548" s="460"/>
      <c r="BX548" s="460"/>
      <c r="BY548" s="460"/>
      <c r="CA548" s="2"/>
      <c r="CB548" s="2"/>
      <c r="CC548" s="2"/>
      <c r="CD548" s="2"/>
      <c r="CE548" s="2"/>
      <c r="CF548" s="2"/>
      <c r="CG548" s="2"/>
      <c r="CH548" s="2"/>
      <c r="CI548" s="2"/>
      <c r="CJ548" s="2"/>
      <c r="CK548" s="2"/>
      <c r="CL548" s="2"/>
      <c r="CM548" s="2"/>
      <c r="CN548" s="2"/>
      <c r="CO548" s="427"/>
      <c r="CP548" s="427"/>
      <c r="CQ548" s="427"/>
      <c r="CR548" s="485"/>
      <c r="CS548" s="485"/>
      <c r="CT548" s="485"/>
      <c r="CU548" s="485"/>
      <c r="CV548" s="482"/>
      <c r="CW548" s="482"/>
      <c r="CX548" s="482"/>
      <c r="CY548" s="482"/>
      <c r="CZ548" s="485"/>
      <c r="DA548" s="485"/>
      <c r="DB548" s="485"/>
      <c r="DC548" s="485"/>
      <c r="DD548" s="485"/>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485"/>
      <c r="EX548" s="457"/>
      <c r="EY548" s="457"/>
      <c r="EZ548" s="457"/>
      <c r="FA548" s="457"/>
      <c r="FB548" s="457"/>
      <c r="FC548" s="457"/>
      <c r="FD548" s="457"/>
      <c r="FE548" s="457"/>
      <c r="FF548" s="457"/>
      <c r="FG548" s="457"/>
      <c r="FH548" s="457"/>
      <c r="FI548" s="457"/>
      <c r="FJ548" s="457"/>
      <c r="FK548" s="457"/>
    </row>
    <row r="549" spans="1:167" s="416" customFormat="1">
      <c r="A549" s="427"/>
      <c r="B549" s="427"/>
      <c r="C549" s="427"/>
      <c r="D549" s="427"/>
      <c r="E549" s="428"/>
      <c r="F549" s="429"/>
      <c r="G549" s="430"/>
      <c r="H549" s="427"/>
      <c r="I549" s="427"/>
      <c r="J549" s="427"/>
      <c r="K549" s="427"/>
      <c r="L549" s="427"/>
      <c r="M549" s="427"/>
      <c r="N549" s="427"/>
      <c r="O549" s="427"/>
      <c r="P549" s="427"/>
      <c r="Q549" s="427"/>
      <c r="R549" s="427"/>
      <c r="S549" s="427"/>
      <c r="T549" s="427"/>
      <c r="U549" s="427"/>
      <c r="V549" s="428"/>
      <c r="W549" s="431"/>
      <c r="X549" s="3"/>
      <c r="Y549" s="429"/>
      <c r="Z549" s="430"/>
      <c r="AA549" s="430"/>
      <c r="AB549" s="430"/>
      <c r="AC549" s="424"/>
      <c r="AD549" s="424"/>
      <c r="AE549" s="424"/>
      <c r="AF549" s="424"/>
      <c r="AG549" s="424"/>
      <c r="AH549" s="424"/>
      <c r="AI549" s="424"/>
      <c r="AJ549" s="2"/>
      <c r="AK549" s="2"/>
      <c r="AL549" s="2"/>
      <c r="AM549" s="2"/>
      <c r="AN549" s="2"/>
      <c r="AO549" s="2"/>
      <c r="AP549" s="2"/>
      <c r="AQ549" s="427"/>
      <c r="AR549" s="754"/>
      <c r="AS549" s="427"/>
      <c r="AT549" s="754"/>
      <c r="AU549" s="427"/>
      <c r="AV549" s="427"/>
      <c r="AW549" s="427"/>
      <c r="AX549" s="427"/>
      <c r="AY549" s="754"/>
      <c r="AZ549" s="754"/>
      <c r="BA549" s="754"/>
      <c r="BB549" s="427"/>
      <c r="BC549" s="427"/>
      <c r="BD549" s="427"/>
      <c r="BE549" s="754"/>
      <c r="BF549" s="427"/>
      <c r="BG549" s="454"/>
      <c r="BH549" s="754"/>
      <c r="BI549" s="427"/>
      <c r="BJ549" s="427"/>
      <c r="BK549" s="427"/>
      <c r="BL549" s="427"/>
      <c r="BM549" s="454"/>
      <c r="BN549" s="427"/>
      <c r="BO549" s="427"/>
      <c r="BP549" s="427"/>
      <c r="BQ549" s="454"/>
      <c r="BR549" s="454"/>
      <c r="BS549" s="460"/>
      <c r="BT549" s="454"/>
      <c r="BU549" s="454"/>
      <c r="BV549" s="457"/>
      <c r="BW549" s="460"/>
      <c r="BX549" s="460"/>
      <c r="BY549" s="460"/>
      <c r="CA549" s="2"/>
      <c r="CB549" s="2"/>
      <c r="CC549" s="2"/>
      <c r="CD549" s="2"/>
      <c r="CE549" s="2"/>
      <c r="CF549" s="2"/>
      <c r="CG549" s="2"/>
      <c r="CH549" s="2"/>
      <c r="CI549" s="2"/>
      <c r="CJ549" s="2"/>
      <c r="CK549" s="2"/>
      <c r="CL549" s="2"/>
      <c r="CM549" s="2"/>
      <c r="CN549" s="2"/>
      <c r="CO549" s="427"/>
      <c r="CP549" s="427"/>
      <c r="CQ549" s="427"/>
      <c r="CR549" s="485"/>
      <c r="CS549" s="485"/>
      <c r="CT549" s="485"/>
      <c r="CU549" s="485"/>
      <c r="CV549" s="482"/>
      <c r="CW549" s="482"/>
      <c r="CX549" s="482"/>
      <c r="CY549" s="482"/>
      <c r="CZ549" s="485"/>
      <c r="DA549" s="485"/>
      <c r="DB549" s="485"/>
      <c r="DC549" s="485"/>
      <c r="DD549" s="485"/>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485"/>
      <c r="EX549" s="457"/>
      <c r="EY549" s="457"/>
      <c r="EZ549" s="457"/>
      <c r="FA549" s="457"/>
      <c r="FB549" s="457"/>
      <c r="FC549" s="457"/>
      <c r="FD549" s="457"/>
      <c r="FE549" s="457"/>
      <c r="FF549" s="457"/>
      <c r="FG549" s="457"/>
      <c r="FH549" s="457"/>
      <c r="FI549" s="457"/>
      <c r="FJ549" s="457"/>
      <c r="FK549" s="457"/>
    </row>
    <row r="550" spans="1:167" s="416" customFormat="1">
      <c r="A550" s="427"/>
      <c r="B550" s="427"/>
      <c r="C550" s="427"/>
      <c r="D550" s="427"/>
      <c r="E550" s="428"/>
      <c r="F550" s="429"/>
      <c r="G550" s="430"/>
      <c r="H550" s="427"/>
      <c r="I550" s="427"/>
      <c r="J550" s="427"/>
      <c r="K550" s="427"/>
      <c r="L550" s="427"/>
      <c r="M550" s="427"/>
      <c r="N550" s="427"/>
      <c r="O550" s="427"/>
      <c r="P550" s="427"/>
      <c r="Q550" s="427"/>
      <c r="R550" s="427"/>
      <c r="S550" s="427"/>
      <c r="T550" s="427"/>
      <c r="U550" s="427"/>
      <c r="V550" s="428"/>
      <c r="W550" s="431"/>
      <c r="X550" s="3"/>
      <c r="Y550" s="429"/>
      <c r="Z550" s="430"/>
      <c r="AA550" s="430"/>
      <c r="AB550" s="430"/>
      <c r="AC550" s="424"/>
      <c r="AD550" s="424"/>
      <c r="AE550" s="424"/>
      <c r="AF550" s="424"/>
      <c r="AG550" s="424"/>
      <c r="AH550" s="424"/>
      <c r="AI550" s="424"/>
      <c r="AJ550" s="2"/>
      <c r="AK550" s="2"/>
      <c r="AL550" s="2"/>
      <c r="AM550" s="2"/>
      <c r="AN550" s="2"/>
      <c r="AO550" s="2"/>
      <c r="AP550" s="2"/>
      <c r="AQ550" s="427"/>
      <c r="AR550" s="754"/>
      <c r="AS550" s="427"/>
      <c r="AT550" s="754"/>
      <c r="AU550" s="427"/>
      <c r="AV550" s="427"/>
      <c r="AW550" s="427"/>
      <c r="AX550" s="427"/>
      <c r="AY550" s="754"/>
      <c r="AZ550" s="754"/>
      <c r="BA550" s="754"/>
      <c r="BB550" s="427"/>
      <c r="BC550" s="427"/>
      <c r="BD550" s="427"/>
      <c r="BE550" s="754"/>
      <c r="BF550" s="427"/>
      <c r="BG550" s="454"/>
      <c r="BH550" s="754"/>
      <c r="BI550" s="427"/>
      <c r="BJ550" s="427"/>
      <c r="BK550" s="427"/>
      <c r="BL550" s="427"/>
      <c r="BM550" s="454"/>
      <c r="BN550" s="427"/>
      <c r="BO550" s="427"/>
      <c r="BP550" s="427"/>
      <c r="BQ550" s="454"/>
      <c r="BR550" s="454"/>
      <c r="BS550" s="460"/>
      <c r="BT550" s="454"/>
      <c r="BU550" s="454"/>
      <c r="BV550" s="457"/>
      <c r="BW550" s="460"/>
      <c r="BX550" s="460"/>
      <c r="BY550" s="460"/>
      <c r="CA550" s="2"/>
      <c r="CB550" s="2"/>
      <c r="CC550" s="2"/>
      <c r="CD550" s="2"/>
      <c r="CE550" s="2"/>
      <c r="CF550" s="2"/>
      <c r="CG550" s="2"/>
      <c r="CH550" s="2"/>
      <c r="CI550" s="2"/>
      <c r="CJ550" s="2"/>
      <c r="CK550" s="2"/>
      <c r="CL550" s="2"/>
      <c r="CM550" s="2"/>
      <c r="CN550" s="2"/>
      <c r="CO550" s="427"/>
      <c r="CP550" s="427"/>
      <c r="CQ550" s="427"/>
      <c r="CR550" s="485"/>
      <c r="CS550" s="485"/>
      <c r="CT550" s="485"/>
      <c r="CU550" s="485"/>
      <c r="CV550" s="482"/>
      <c r="CW550" s="482"/>
      <c r="CX550" s="482"/>
      <c r="CY550" s="482"/>
      <c r="CZ550" s="485"/>
      <c r="DA550" s="485"/>
      <c r="DB550" s="485"/>
      <c r="DC550" s="485"/>
      <c r="DD550" s="485"/>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485"/>
      <c r="EX550" s="457"/>
      <c r="EY550" s="457"/>
      <c r="EZ550" s="457"/>
      <c r="FA550" s="457"/>
      <c r="FB550" s="457"/>
      <c r="FC550" s="457"/>
      <c r="FD550" s="457"/>
      <c r="FE550" s="457"/>
      <c r="FF550" s="457"/>
      <c r="FG550" s="457"/>
      <c r="FH550" s="457"/>
      <c r="FI550" s="457"/>
      <c r="FJ550" s="457"/>
      <c r="FK550" s="457"/>
    </row>
    <row r="551" spans="1:167" s="416" customFormat="1">
      <c r="A551" s="427"/>
      <c r="B551" s="427"/>
      <c r="C551" s="427"/>
      <c r="D551" s="427"/>
      <c r="E551" s="428"/>
      <c r="F551" s="429"/>
      <c r="G551" s="430"/>
      <c r="H551" s="427"/>
      <c r="I551" s="427"/>
      <c r="J551" s="427"/>
      <c r="K551" s="427"/>
      <c r="L551" s="427"/>
      <c r="M551" s="427"/>
      <c r="N551" s="427"/>
      <c r="O551" s="427"/>
      <c r="P551" s="427"/>
      <c r="Q551" s="427"/>
      <c r="R551" s="427"/>
      <c r="S551" s="427"/>
      <c r="T551" s="427"/>
      <c r="U551" s="427"/>
      <c r="V551" s="428"/>
      <c r="W551" s="431"/>
      <c r="X551" s="3"/>
      <c r="Y551" s="429"/>
      <c r="Z551" s="430"/>
      <c r="AA551" s="430"/>
      <c r="AB551" s="430"/>
      <c r="AC551" s="424"/>
      <c r="AD551" s="424"/>
      <c r="AE551" s="424"/>
      <c r="AF551" s="424"/>
      <c r="AG551" s="424"/>
      <c r="AH551" s="424"/>
      <c r="AI551" s="424"/>
      <c r="AJ551" s="2"/>
      <c r="AK551" s="2"/>
      <c r="AL551" s="2"/>
      <c r="AM551" s="2"/>
      <c r="AN551" s="2"/>
      <c r="AO551" s="2"/>
      <c r="AP551" s="2"/>
      <c r="AQ551" s="427"/>
      <c r="AR551" s="754"/>
      <c r="AS551" s="427"/>
      <c r="AT551" s="754"/>
      <c r="AU551" s="427"/>
      <c r="AV551" s="427"/>
      <c r="AW551" s="427"/>
      <c r="AX551" s="427"/>
      <c r="AY551" s="754"/>
      <c r="AZ551" s="754"/>
      <c r="BA551" s="754"/>
      <c r="BB551" s="427"/>
      <c r="BC551" s="427"/>
      <c r="BD551" s="427"/>
      <c r="BE551" s="754"/>
      <c r="BF551" s="427"/>
      <c r="BG551" s="454"/>
      <c r="BH551" s="754"/>
      <c r="BI551" s="427"/>
      <c r="BJ551" s="427"/>
      <c r="BK551" s="427"/>
      <c r="BL551" s="427"/>
      <c r="BM551" s="454"/>
      <c r="BN551" s="427"/>
      <c r="BO551" s="427"/>
      <c r="BP551" s="427"/>
      <c r="BQ551" s="454"/>
      <c r="BR551" s="454"/>
      <c r="BS551" s="460"/>
      <c r="BT551" s="454"/>
      <c r="BU551" s="454"/>
      <c r="BV551" s="457"/>
      <c r="BW551" s="460"/>
      <c r="BX551" s="460"/>
      <c r="BY551" s="460"/>
      <c r="CA551" s="2"/>
      <c r="CB551" s="2"/>
      <c r="CC551" s="2"/>
      <c r="CD551" s="2"/>
      <c r="CE551" s="2"/>
      <c r="CF551" s="2"/>
      <c r="CG551" s="2"/>
      <c r="CH551" s="2"/>
      <c r="CI551" s="2"/>
      <c r="CJ551" s="2"/>
      <c r="CK551" s="2"/>
      <c r="CL551" s="2"/>
      <c r="CM551" s="2"/>
      <c r="CN551" s="2"/>
      <c r="CO551" s="427"/>
      <c r="CP551" s="427"/>
      <c r="CQ551" s="427"/>
      <c r="CR551" s="485"/>
      <c r="CS551" s="485"/>
      <c r="CT551" s="485"/>
      <c r="CU551" s="485"/>
      <c r="CV551" s="482"/>
      <c r="CW551" s="482"/>
      <c r="CX551" s="482"/>
      <c r="CY551" s="482"/>
      <c r="CZ551" s="485"/>
      <c r="DA551" s="485"/>
      <c r="DB551" s="485"/>
      <c r="DC551" s="485"/>
      <c r="DD551" s="485"/>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485"/>
      <c r="EX551" s="457"/>
      <c r="EY551" s="457"/>
      <c r="EZ551" s="457"/>
      <c r="FA551" s="457"/>
      <c r="FB551" s="457"/>
      <c r="FC551" s="457"/>
      <c r="FD551" s="457"/>
      <c r="FE551" s="457"/>
      <c r="FF551" s="457"/>
      <c r="FG551" s="457"/>
      <c r="FH551" s="457"/>
      <c r="FI551" s="457"/>
      <c r="FJ551" s="457"/>
      <c r="FK551" s="457"/>
    </row>
    <row r="552" spans="1:167" s="416" customFormat="1">
      <c r="A552" s="427"/>
      <c r="B552" s="427"/>
      <c r="C552" s="427"/>
      <c r="D552" s="427"/>
      <c r="E552" s="428"/>
      <c r="F552" s="429"/>
      <c r="G552" s="430"/>
      <c r="H552" s="427"/>
      <c r="I552" s="427"/>
      <c r="J552" s="427"/>
      <c r="K552" s="427"/>
      <c r="L552" s="427"/>
      <c r="M552" s="427"/>
      <c r="N552" s="427"/>
      <c r="O552" s="427"/>
      <c r="P552" s="427"/>
      <c r="Q552" s="427"/>
      <c r="R552" s="427"/>
      <c r="S552" s="427"/>
      <c r="T552" s="427"/>
      <c r="U552" s="427"/>
      <c r="V552" s="428"/>
      <c r="W552" s="431"/>
      <c r="X552" s="3"/>
      <c r="Y552" s="429"/>
      <c r="Z552" s="430"/>
      <c r="AA552" s="430"/>
      <c r="AB552" s="430"/>
      <c r="AC552" s="424"/>
      <c r="AD552" s="424"/>
      <c r="AE552" s="424"/>
      <c r="AF552" s="424"/>
      <c r="AG552" s="424"/>
      <c r="AH552" s="424"/>
      <c r="AI552" s="424"/>
      <c r="AJ552" s="2"/>
      <c r="AK552" s="2"/>
      <c r="AL552" s="2"/>
      <c r="AM552" s="2"/>
      <c r="AN552" s="2"/>
      <c r="AO552" s="2"/>
      <c r="AP552" s="2"/>
      <c r="AQ552" s="427"/>
      <c r="AR552" s="754"/>
      <c r="AS552" s="427"/>
      <c r="AT552" s="754"/>
      <c r="AU552" s="427"/>
      <c r="AV552" s="427"/>
      <c r="AW552" s="427"/>
      <c r="AX552" s="427"/>
      <c r="AY552" s="754"/>
      <c r="AZ552" s="754"/>
      <c r="BA552" s="754"/>
      <c r="BB552" s="427"/>
      <c r="BC552" s="427"/>
      <c r="BD552" s="427"/>
      <c r="BE552" s="754"/>
      <c r="BF552" s="427"/>
      <c r="BG552" s="454"/>
      <c r="BH552" s="754"/>
      <c r="BI552" s="427"/>
      <c r="BJ552" s="427"/>
      <c r="BK552" s="427"/>
      <c r="BL552" s="427"/>
      <c r="BM552" s="454"/>
      <c r="BN552" s="427"/>
      <c r="BO552" s="427"/>
      <c r="BP552" s="427"/>
      <c r="BQ552" s="454"/>
      <c r="BR552" s="454"/>
      <c r="BS552" s="460"/>
      <c r="BT552" s="454"/>
      <c r="BU552" s="454"/>
      <c r="BV552" s="457"/>
      <c r="BW552" s="460"/>
      <c r="BX552" s="460"/>
      <c r="BY552" s="460"/>
      <c r="CA552" s="2"/>
      <c r="CB552" s="2"/>
      <c r="CC552" s="2"/>
      <c r="CD552" s="2"/>
      <c r="CE552" s="2"/>
      <c r="CF552" s="2"/>
      <c r="CG552" s="2"/>
      <c r="CH552" s="2"/>
      <c r="CI552" s="2"/>
      <c r="CJ552" s="2"/>
      <c r="CK552" s="2"/>
      <c r="CL552" s="2"/>
      <c r="CM552" s="2"/>
      <c r="CN552" s="2"/>
      <c r="CO552" s="427"/>
      <c r="CP552" s="427"/>
      <c r="CQ552" s="427"/>
      <c r="CR552" s="485"/>
      <c r="CS552" s="485"/>
      <c r="CT552" s="485"/>
      <c r="CU552" s="485"/>
      <c r="CV552" s="482"/>
      <c r="CW552" s="482"/>
      <c r="CX552" s="482"/>
      <c r="CY552" s="482"/>
      <c r="CZ552" s="485"/>
      <c r="DA552" s="485"/>
      <c r="DB552" s="485"/>
      <c r="DC552" s="485"/>
      <c r="DD552" s="485"/>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485"/>
      <c r="EX552" s="457"/>
      <c r="EY552" s="457"/>
      <c r="EZ552" s="457"/>
      <c r="FA552" s="457"/>
      <c r="FB552" s="457"/>
      <c r="FC552" s="457"/>
      <c r="FD552" s="457"/>
      <c r="FE552" s="457"/>
      <c r="FF552" s="457"/>
      <c r="FG552" s="457"/>
      <c r="FH552" s="457"/>
      <c r="FI552" s="457"/>
      <c r="FJ552" s="457"/>
      <c r="FK552" s="457"/>
    </row>
    <row r="553" spans="1:167" s="416" customFormat="1">
      <c r="A553" s="427"/>
      <c r="B553" s="427"/>
      <c r="C553" s="427"/>
      <c r="D553" s="427"/>
      <c r="E553" s="428"/>
      <c r="F553" s="429"/>
      <c r="G553" s="430"/>
      <c r="H553" s="427"/>
      <c r="I553" s="427"/>
      <c r="J553" s="427"/>
      <c r="K553" s="427"/>
      <c r="L553" s="427"/>
      <c r="M553" s="427"/>
      <c r="N553" s="427"/>
      <c r="O553" s="427"/>
      <c r="P553" s="427"/>
      <c r="Q553" s="427"/>
      <c r="R553" s="427"/>
      <c r="S553" s="427"/>
      <c r="T553" s="427"/>
      <c r="U553" s="427"/>
      <c r="V553" s="428"/>
      <c r="W553" s="431"/>
      <c r="X553" s="3"/>
      <c r="Y553" s="429"/>
      <c r="Z553" s="430"/>
      <c r="AA553" s="430"/>
      <c r="AB553" s="430"/>
      <c r="AC553" s="424"/>
      <c r="AD553" s="424"/>
      <c r="AE553" s="424"/>
      <c r="AF553" s="424"/>
      <c r="AG553" s="424"/>
      <c r="AH553" s="424"/>
      <c r="AI553" s="424"/>
      <c r="AJ553" s="2"/>
      <c r="AK553" s="2"/>
      <c r="AL553" s="2"/>
      <c r="AM553" s="2"/>
      <c r="AN553" s="2"/>
      <c r="AO553" s="2"/>
      <c r="AP553" s="2"/>
      <c r="AQ553" s="427"/>
      <c r="AR553" s="754"/>
      <c r="AS553" s="427"/>
      <c r="AT553" s="754"/>
      <c r="AU553" s="427"/>
      <c r="AV553" s="427"/>
      <c r="AW553" s="427"/>
      <c r="AX553" s="427"/>
      <c r="AY553" s="754"/>
      <c r="AZ553" s="754"/>
      <c r="BA553" s="754"/>
      <c r="BB553" s="427"/>
      <c r="BC553" s="427"/>
      <c r="BD553" s="427"/>
      <c r="BE553" s="754"/>
      <c r="BF553" s="427"/>
      <c r="BG553" s="454"/>
      <c r="BH553" s="754"/>
      <c r="BI553" s="427"/>
      <c r="BJ553" s="427"/>
      <c r="BK553" s="427"/>
      <c r="BL553" s="427"/>
      <c r="BM553" s="454"/>
      <c r="BN553" s="427"/>
      <c r="BO553" s="427"/>
      <c r="BP553" s="427"/>
      <c r="BQ553" s="454"/>
      <c r="BR553" s="454"/>
      <c r="BS553" s="460"/>
      <c r="BT553" s="454"/>
      <c r="BU553" s="454"/>
      <c r="BV553" s="457"/>
      <c r="BW553" s="460"/>
      <c r="BX553" s="460"/>
      <c r="BY553" s="460"/>
      <c r="CA553" s="2"/>
      <c r="CB553" s="2"/>
      <c r="CC553" s="2"/>
      <c r="CD553" s="2"/>
      <c r="CE553" s="2"/>
      <c r="CF553" s="2"/>
      <c r="CG553" s="2"/>
      <c r="CH553" s="2"/>
      <c r="CI553" s="2"/>
      <c r="CJ553" s="2"/>
      <c r="CK553" s="2"/>
      <c r="CL553" s="2"/>
      <c r="CM553" s="2"/>
      <c r="CN553" s="2"/>
      <c r="CO553" s="427"/>
      <c r="CP553" s="427"/>
      <c r="CQ553" s="427"/>
      <c r="CR553" s="485"/>
      <c r="CS553" s="485"/>
      <c r="CT553" s="485"/>
      <c r="CU553" s="485"/>
      <c r="CV553" s="482"/>
      <c r="CW553" s="482"/>
      <c r="CX553" s="482"/>
      <c r="CY553" s="482"/>
      <c r="CZ553" s="485"/>
      <c r="DA553" s="485"/>
      <c r="DB553" s="485"/>
      <c r="DC553" s="485"/>
      <c r="DD553" s="485"/>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485"/>
      <c r="EX553" s="457"/>
      <c r="EY553" s="457"/>
      <c r="EZ553" s="457"/>
      <c r="FA553" s="457"/>
      <c r="FB553" s="457"/>
      <c r="FC553" s="457"/>
      <c r="FD553" s="457"/>
      <c r="FE553" s="457"/>
      <c r="FF553" s="457"/>
      <c r="FG553" s="457"/>
      <c r="FH553" s="457"/>
      <c r="FI553" s="457"/>
      <c r="FJ553" s="457"/>
      <c r="FK553" s="457"/>
    </row>
    <row r="554" spans="1:167" s="416" customFormat="1">
      <c r="A554" s="427"/>
      <c r="B554" s="427"/>
      <c r="C554" s="427"/>
      <c r="D554" s="427"/>
      <c r="E554" s="428"/>
      <c r="F554" s="429"/>
      <c r="G554" s="430"/>
      <c r="H554" s="427"/>
      <c r="I554" s="427"/>
      <c r="J554" s="427"/>
      <c r="K554" s="427"/>
      <c r="L554" s="427"/>
      <c r="M554" s="427"/>
      <c r="N554" s="427"/>
      <c r="O554" s="427"/>
      <c r="P554" s="427"/>
      <c r="Q554" s="427"/>
      <c r="R554" s="427"/>
      <c r="S554" s="427"/>
      <c r="T554" s="427"/>
      <c r="U554" s="427"/>
      <c r="V554" s="428"/>
      <c r="W554" s="431"/>
      <c r="X554" s="3"/>
      <c r="Y554" s="429"/>
      <c r="Z554" s="430"/>
      <c r="AA554" s="430"/>
      <c r="AB554" s="430"/>
      <c r="AC554" s="424"/>
      <c r="AD554" s="424"/>
      <c r="AE554" s="424"/>
      <c r="AF554" s="424"/>
      <c r="AG554" s="424"/>
      <c r="AH554" s="424"/>
      <c r="AI554" s="424"/>
      <c r="AJ554" s="2"/>
      <c r="AK554" s="2"/>
      <c r="AL554" s="2"/>
      <c r="AM554" s="2"/>
      <c r="AN554" s="2"/>
      <c r="AO554" s="2"/>
      <c r="AP554" s="2"/>
      <c r="AQ554" s="427"/>
      <c r="AR554" s="754"/>
      <c r="AS554" s="427"/>
      <c r="AT554" s="754"/>
      <c r="AU554" s="427"/>
      <c r="AV554" s="427"/>
      <c r="AW554" s="427"/>
      <c r="AX554" s="427"/>
      <c r="AY554" s="754"/>
      <c r="AZ554" s="754"/>
      <c r="BA554" s="754"/>
      <c r="BB554" s="427"/>
      <c r="BC554" s="427"/>
      <c r="BD554" s="427"/>
      <c r="BE554" s="754"/>
      <c r="BF554" s="427"/>
      <c r="BG554" s="454"/>
      <c r="BH554" s="754"/>
      <c r="BI554" s="427"/>
      <c r="BJ554" s="427"/>
      <c r="BK554" s="427"/>
      <c r="BL554" s="427"/>
      <c r="BM554" s="454"/>
      <c r="BN554" s="427"/>
      <c r="BO554" s="427"/>
      <c r="BP554" s="427"/>
      <c r="BQ554" s="454"/>
      <c r="BR554" s="454"/>
      <c r="BS554" s="460"/>
      <c r="BT554" s="454"/>
      <c r="BU554" s="454"/>
      <c r="BV554" s="457"/>
      <c r="BW554" s="460"/>
      <c r="BX554" s="460"/>
      <c r="BY554" s="460"/>
      <c r="CA554" s="2"/>
      <c r="CB554" s="2"/>
      <c r="CC554" s="2"/>
      <c r="CD554" s="2"/>
      <c r="CE554" s="2"/>
      <c r="CF554" s="2"/>
      <c r="CG554" s="2"/>
      <c r="CH554" s="2"/>
      <c r="CI554" s="2"/>
      <c r="CJ554" s="2"/>
      <c r="CK554" s="2"/>
      <c r="CL554" s="2"/>
      <c r="CM554" s="2"/>
      <c r="CN554" s="2"/>
      <c r="CO554" s="427"/>
      <c r="CP554" s="427"/>
      <c r="CQ554" s="427"/>
      <c r="CR554" s="485"/>
      <c r="CS554" s="485"/>
      <c r="CT554" s="485"/>
      <c r="CU554" s="485"/>
      <c r="CV554" s="482"/>
      <c r="CW554" s="482"/>
      <c r="CX554" s="482"/>
      <c r="CY554" s="482"/>
      <c r="CZ554" s="485"/>
      <c r="DA554" s="485"/>
      <c r="DB554" s="485"/>
      <c r="DC554" s="485"/>
      <c r="DD554" s="485"/>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485"/>
      <c r="EX554" s="457"/>
      <c r="EY554" s="457"/>
      <c r="EZ554" s="457"/>
      <c r="FA554" s="457"/>
      <c r="FB554" s="457"/>
      <c r="FC554" s="457"/>
      <c r="FD554" s="457"/>
      <c r="FE554" s="457"/>
      <c r="FF554" s="457"/>
      <c r="FG554" s="457"/>
      <c r="FH554" s="457"/>
      <c r="FI554" s="457"/>
      <c r="FJ554" s="457"/>
      <c r="FK554" s="457"/>
    </row>
    <row r="555" spans="1:167" s="416" customFormat="1">
      <c r="A555" s="427"/>
      <c r="B555" s="427"/>
      <c r="C555" s="427"/>
      <c r="D555" s="427"/>
      <c r="E555" s="428"/>
      <c r="F555" s="429"/>
      <c r="G555" s="430"/>
      <c r="H555" s="427"/>
      <c r="I555" s="427"/>
      <c r="J555" s="427"/>
      <c r="K555" s="427"/>
      <c r="L555" s="427"/>
      <c r="M555" s="427"/>
      <c r="N555" s="427"/>
      <c r="O555" s="427"/>
      <c r="P555" s="427"/>
      <c r="Q555" s="427"/>
      <c r="R555" s="427"/>
      <c r="S555" s="427"/>
      <c r="T555" s="427"/>
      <c r="U555" s="427"/>
      <c r="V555" s="428"/>
      <c r="W555" s="431"/>
      <c r="X555" s="3"/>
      <c r="Y555" s="429"/>
      <c r="Z555" s="430"/>
      <c r="AA555" s="430"/>
      <c r="AB555" s="430"/>
      <c r="AC555" s="424"/>
      <c r="AD555" s="424"/>
      <c r="AE555" s="424"/>
      <c r="AF555" s="424"/>
      <c r="AG555" s="424"/>
      <c r="AH555" s="424"/>
      <c r="AI555" s="424"/>
      <c r="AJ555" s="2"/>
      <c r="AK555" s="2"/>
      <c r="AL555" s="2"/>
      <c r="AM555" s="2"/>
      <c r="AN555" s="2"/>
      <c r="AO555" s="2"/>
      <c r="AP555" s="2"/>
      <c r="AQ555" s="427"/>
      <c r="AR555" s="754"/>
      <c r="AS555" s="427"/>
      <c r="AT555" s="754"/>
      <c r="AU555" s="427"/>
      <c r="AV555" s="427"/>
      <c r="AW555" s="427"/>
      <c r="AX555" s="427"/>
      <c r="AY555" s="754"/>
      <c r="AZ555" s="754"/>
      <c r="BA555" s="754"/>
      <c r="BB555" s="427"/>
      <c r="BC555" s="427"/>
      <c r="BD555" s="427"/>
      <c r="BE555" s="754"/>
      <c r="BF555" s="427"/>
      <c r="BG555" s="454"/>
      <c r="BH555" s="754"/>
      <c r="BI555" s="427"/>
      <c r="BJ555" s="427"/>
      <c r="BK555" s="427"/>
      <c r="BL555" s="427"/>
      <c r="BM555" s="454"/>
      <c r="BN555" s="427"/>
      <c r="BO555" s="427"/>
      <c r="BP555" s="427"/>
      <c r="BQ555" s="454"/>
      <c r="BR555" s="454"/>
      <c r="BS555" s="460"/>
      <c r="BT555" s="454"/>
      <c r="BU555" s="454"/>
      <c r="BV555" s="457"/>
      <c r="BW555" s="460"/>
      <c r="BX555" s="460"/>
      <c r="BY555" s="460"/>
      <c r="CA555" s="2"/>
      <c r="CB555" s="2"/>
      <c r="CC555" s="2"/>
      <c r="CD555" s="2"/>
      <c r="CE555" s="2"/>
      <c r="CF555" s="2"/>
      <c r="CG555" s="2"/>
      <c r="CH555" s="2"/>
      <c r="CI555" s="2"/>
      <c r="CJ555" s="2"/>
      <c r="CK555" s="2"/>
      <c r="CL555" s="2"/>
      <c r="CM555" s="2"/>
      <c r="CN555" s="2"/>
      <c r="CO555" s="427"/>
      <c r="CP555" s="427"/>
      <c r="CQ555" s="427"/>
      <c r="CR555" s="485"/>
      <c r="CS555" s="485"/>
      <c r="CT555" s="485"/>
      <c r="CU555" s="485"/>
      <c r="CV555" s="482"/>
      <c r="CW555" s="482"/>
      <c r="CX555" s="482"/>
      <c r="CY555" s="482"/>
      <c r="CZ555" s="485"/>
      <c r="DA555" s="485"/>
      <c r="DB555" s="485"/>
      <c r="DC555" s="485"/>
      <c r="DD555" s="485"/>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485"/>
      <c r="EX555" s="457"/>
      <c r="EY555" s="457"/>
      <c r="EZ555" s="457"/>
      <c r="FA555" s="457"/>
      <c r="FB555" s="457"/>
      <c r="FC555" s="457"/>
      <c r="FD555" s="457"/>
      <c r="FE555" s="457"/>
      <c r="FF555" s="457"/>
      <c r="FG555" s="457"/>
      <c r="FH555" s="457"/>
      <c r="FI555" s="457"/>
      <c r="FJ555" s="457"/>
      <c r="FK555" s="457"/>
    </row>
    <row r="556" spans="1:167" s="416" customFormat="1">
      <c r="A556" s="427"/>
      <c r="B556" s="427"/>
      <c r="C556" s="427"/>
      <c r="D556" s="427"/>
      <c r="E556" s="428"/>
      <c r="F556" s="429"/>
      <c r="G556" s="430"/>
      <c r="H556" s="427"/>
      <c r="I556" s="427"/>
      <c r="J556" s="427"/>
      <c r="K556" s="427"/>
      <c r="L556" s="427"/>
      <c r="M556" s="427"/>
      <c r="N556" s="427"/>
      <c r="O556" s="427"/>
      <c r="P556" s="427"/>
      <c r="Q556" s="427"/>
      <c r="R556" s="427"/>
      <c r="S556" s="427"/>
      <c r="T556" s="427"/>
      <c r="U556" s="427"/>
      <c r="V556" s="428"/>
      <c r="W556" s="431"/>
      <c r="X556" s="3"/>
      <c r="Y556" s="429"/>
      <c r="Z556" s="430"/>
      <c r="AA556" s="430"/>
      <c r="AB556" s="430"/>
      <c r="AC556" s="424"/>
      <c r="AD556" s="424"/>
      <c r="AE556" s="424"/>
      <c r="AF556" s="424"/>
      <c r="AG556" s="424"/>
      <c r="AH556" s="424"/>
      <c r="AI556" s="424"/>
      <c r="AJ556" s="2"/>
      <c r="AK556" s="2"/>
      <c r="AL556" s="2"/>
      <c r="AM556" s="2"/>
      <c r="AN556" s="2"/>
      <c r="AO556" s="2"/>
      <c r="AP556" s="2"/>
      <c r="AQ556" s="427"/>
      <c r="AR556" s="754"/>
      <c r="AS556" s="427"/>
      <c r="AT556" s="754"/>
      <c r="AU556" s="427"/>
      <c r="AV556" s="427"/>
      <c r="AW556" s="427"/>
      <c r="AX556" s="427"/>
      <c r="AY556" s="754"/>
      <c r="AZ556" s="754"/>
      <c r="BA556" s="754"/>
      <c r="BB556" s="427"/>
      <c r="BC556" s="427"/>
      <c r="BD556" s="427"/>
      <c r="BE556" s="754"/>
      <c r="BF556" s="427"/>
      <c r="BG556" s="454"/>
      <c r="BH556" s="754"/>
      <c r="BI556" s="427"/>
      <c r="BJ556" s="427"/>
      <c r="BK556" s="427"/>
      <c r="BL556" s="427"/>
      <c r="BM556" s="454"/>
      <c r="BN556" s="427"/>
      <c r="BO556" s="427"/>
      <c r="BP556" s="427"/>
      <c r="BQ556" s="454"/>
      <c r="BR556" s="454"/>
      <c r="BS556" s="460"/>
      <c r="BT556" s="454"/>
      <c r="BU556" s="454"/>
      <c r="BV556" s="457"/>
      <c r="BW556" s="460"/>
      <c r="BX556" s="460"/>
      <c r="BY556" s="460"/>
      <c r="CA556" s="2"/>
      <c r="CB556" s="2"/>
      <c r="CC556" s="2"/>
      <c r="CD556" s="2"/>
      <c r="CE556" s="2"/>
      <c r="CF556" s="2"/>
      <c r="CG556" s="2"/>
      <c r="CH556" s="2"/>
      <c r="CI556" s="2"/>
      <c r="CJ556" s="2"/>
      <c r="CK556" s="2"/>
      <c r="CL556" s="2"/>
      <c r="CM556" s="2"/>
      <c r="CN556" s="2"/>
      <c r="CO556" s="427"/>
      <c r="CP556" s="427"/>
      <c r="CQ556" s="427"/>
      <c r="CR556" s="485"/>
      <c r="CS556" s="485"/>
      <c r="CT556" s="485"/>
      <c r="CU556" s="485"/>
      <c r="CV556" s="482"/>
      <c r="CW556" s="482"/>
      <c r="CX556" s="482"/>
      <c r="CY556" s="482"/>
      <c r="CZ556" s="485"/>
      <c r="DA556" s="485"/>
      <c r="DB556" s="485"/>
      <c r="DC556" s="485"/>
      <c r="DD556" s="485"/>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485"/>
      <c r="EX556" s="457"/>
      <c r="EY556" s="457"/>
      <c r="EZ556" s="457"/>
      <c r="FA556" s="457"/>
      <c r="FB556" s="457"/>
      <c r="FC556" s="457"/>
      <c r="FD556" s="457"/>
      <c r="FE556" s="457"/>
      <c r="FF556" s="457"/>
      <c r="FG556" s="457"/>
      <c r="FH556" s="457"/>
      <c r="FI556" s="457"/>
      <c r="FJ556" s="457"/>
      <c r="FK556" s="457"/>
    </row>
    <row r="557" spans="1:167" s="416" customFormat="1">
      <c r="A557" s="427"/>
      <c r="B557" s="427"/>
      <c r="C557" s="427"/>
      <c r="D557" s="427"/>
      <c r="E557" s="428"/>
      <c r="F557" s="429"/>
      <c r="G557" s="430"/>
      <c r="H557" s="427"/>
      <c r="I557" s="427"/>
      <c r="J557" s="427"/>
      <c r="K557" s="427"/>
      <c r="L557" s="427"/>
      <c r="M557" s="427"/>
      <c r="N557" s="427"/>
      <c r="O557" s="427"/>
      <c r="P557" s="427"/>
      <c r="Q557" s="427"/>
      <c r="R557" s="427"/>
      <c r="S557" s="427"/>
      <c r="T557" s="427"/>
      <c r="U557" s="427"/>
      <c r="V557" s="428"/>
      <c r="W557" s="431"/>
      <c r="X557" s="3"/>
      <c r="Y557" s="429"/>
      <c r="Z557" s="430"/>
      <c r="AA557" s="430"/>
      <c r="AB557" s="430"/>
      <c r="AC557" s="424"/>
      <c r="AD557" s="424"/>
      <c r="AE557" s="424"/>
      <c r="AF557" s="424"/>
      <c r="AG557" s="424"/>
      <c r="AH557" s="424"/>
      <c r="AI557" s="424"/>
      <c r="AJ557" s="2"/>
      <c r="AK557" s="2"/>
      <c r="AL557" s="2"/>
      <c r="AM557" s="2"/>
      <c r="AN557" s="2"/>
      <c r="AO557" s="2"/>
      <c r="AP557" s="2"/>
      <c r="AQ557" s="427"/>
      <c r="AR557" s="754"/>
      <c r="AS557" s="427"/>
      <c r="AT557" s="754"/>
      <c r="AU557" s="427"/>
      <c r="AV557" s="427"/>
      <c r="AW557" s="427"/>
      <c r="AX557" s="427"/>
      <c r="AY557" s="754"/>
      <c r="AZ557" s="754"/>
      <c r="BA557" s="754"/>
      <c r="BB557" s="427"/>
      <c r="BC557" s="427"/>
      <c r="BD557" s="427"/>
      <c r="BE557" s="754"/>
      <c r="BF557" s="427"/>
      <c r="BG557" s="454"/>
      <c r="BH557" s="754"/>
      <c r="BI557" s="427"/>
      <c r="BJ557" s="427"/>
      <c r="BK557" s="427"/>
      <c r="BL557" s="427"/>
      <c r="BM557" s="454"/>
      <c r="BN557" s="427"/>
      <c r="BO557" s="427"/>
      <c r="BP557" s="427"/>
      <c r="BQ557" s="454"/>
      <c r="BR557" s="454"/>
      <c r="BS557" s="460"/>
      <c r="BT557" s="454"/>
      <c r="BU557" s="454"/>
      <c r="BV557" s="457"/>
      <c r="BW557" s="460"/>
      <c r="BX557" s="460"/>
      <c r="BY557" s="460"/>
      <c r="CA557" s="2"/>
      <c r="CB557" s="2"/>
      <c r="CC557" s="2"/>
      <c r="CD557" s="2"/>
      <c r="CE557" s="2"/>
      <c r="CF557" s="2"/>
      <c r="CG557" s="2"/>
      <c r="CH557" s="2"/>
      <c r="CI557" s="2"/>
      <c r="CJ557" s="2"/>
      <c r="CK557" s="2"/>
      <c r="CL557" s="2"/>
      <c r="CM557" s="2"/>
      <c r="CN557" s="2"/>
      <c r="CO557" s="427"/>
      <c r="CP557" s="427"/>
      <c r="CQ557" s="427"/>
      <c r="CR557" s="485"/>
      <c r="CS557" s="485"/>
      <c r="CT557" s="485"/>
      <c r="CU557" s="485"/>
      <c r="CV557" s="482"/>
      <c r="CW557" s="482"/>
      <c r="CX557" s="482"/>
      <c r="CY557" s="482"/>
      <c r="CZ557" s="485"/>
      <c r="DA557" s="485"/>
      <c r="DB557" s="485"/>
      <c r="DC557" s="485"/>
      <c r="DD557" s="485"/>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485"/>
      <c r="EX557" s="457"/>
      <c r="EY557" s="457"/>
      <c r="EZ557" s="457"/>
      <c r="FA557" s="457"/>
      <c r="FB557" s="457"/>
      <c r="FC557" s="457"/>
      <c r="FD557" s="457"/>
      <c r="FE557" s="457"/>
      <c r="FF557" s="457"/>
      <c r="FG557" s="457"/>
      <c r="FH557" s="457"/>
      <c r="FI557" s="457"/>
      <c r="FJ557" s="457"/>
      <c r="FK557" s="457"/>
    </row>
    <row r="558" spans="1:167" s="416" customFormat="1">
      <c r="A558" s="427"/>
      <c r="B558" s="427"/>
      <c r="C558" s="427"/>
      <c r="D558" s="427"/>
      <c r="E558" s="428"/>
      <c r="F558" s="429"/>
      <c r="G558" s="430"/>
      <c r="H558" s="427"/>
      <c r="I558" s="427"/>
      <c r="J558" s="427"/>
      <c r="K558" s="427"/>
      <c r="L558" s="427"/>
      <c r="M558" s="427"/>
      <c r="N558" s="427"/>
      <c r="O558" s="427"/>
      <c r="P558" s="427"/>
      <c r="Q558" s="427"/>
      <c r="R558" s="427"/>
      <c r="S558" s="427"/>
      <c r="T558" s="427"/>
      <c r="U558" s="427"/>
      <c r="V558" s="428"/>
      <c r="W558" s="431"/>
      <c r="X558" s="3"/>
      <c r="Y558" s="429"/>
      <c r="Z558" s="430"/>
      <c r="AA558" s="430"/>
      <c r="AB558" s="430"/>
      <c r="AC558" s="424"/>
      <c r="AD558" s="424"/>
      <c r="AE558" s="424"/>
      <c r="AF558" s="424"/>
      <c r="AG558" s="424"/>
      <c r="AH558" s="424"/>
      <c r="AI558" s="424"/>
      <c r="AJ558" s="2"/>
      <c r="AK558" s="2"/>
      <c r="AL558" s="2"/>
      <c r="AM558" s="2"/>
      <c r="AN558" s="2"/>
      <c r="AO558" s="2"/>
      <c r="AP558" s="2"/>
      <c r="AQ558" s="427"/>
      <c r="AR558" s="754"/>
      <c r="AS558" s="427"/>
      <c r="AT558" s="754"/>
      <c r="AU558" s="427"/>
      <c r="AV558" s="427"/>
      <c r="AW558" s="427"/>
      <c r="AX558" s="427"/>
      <c r="AY558" s="754"/>
      <c r="AZ558" s="754"/>
      <c r="BA558" s="754"/>
      <c r="BB558" s="427"/>
      <c r="BC558" s="427"/>
      <c r="BD558" s="427"/>
      <c r="BE558" s="754"/>
      <c r="BF558" s="427"/>
      <c r="BG558" s="454"/>
      <c r="BH558" s="754"/>
      <c r="BI558" s="427"/>
      <c r="BJ558" s="427"/>
      <c r="BK558" s="427"/>
      <c r="BL558" s="427"/>
      <c r="BM558" s="454"/>
      <c r="BN558" s="427"/>
      <c r="BO558" s="427"/>
      <c r="BP558" s="427"/>
      <c r="BQ558" s="454"/>
      <c r="BR558" s="454"/>
      <c r="BS558" s="460"/>
      <c r="BT558" s="454"/>
      <c r="BU558" s="454"/>
      <c r="BV558" s="457"/>
      <c r="BW558" s="460"/>
      <c r="BX558" s="460"/>
      <c r="BY558" s="460"/>
      <c r="CA558" s="2"/>
      <c r="CB558" s="2"/>
      <c r="CC558" s="2"/>
      <c r="CD558" s="2"/>
      <c r="CE558" s="2"/>
      <c r="CF558" s="2"/>
      <c r="CG558" s="2"/>
      <c r="CH558" s="2"/>
      <c r="CI558" s="2"/>
      <c r="CJ558" s="2"/>
      <c r="CK558" s="2"/>
      <c r="CL558" s="2"/>
      <c r="CM558" s="2"/>
      <c r="CN558" s="2"/>
      <c r="CO558" s="427"/>
      <c r="CP558" s="427"/>
      <c r="CQ558" s="427"/>
      <c r="CR558" s="485"/>
      <c r="CS558" s="485"/>
      <c r="CT558" s="485"/>
      <c r="CU558" s="485"/>
      <c r="CV558" s="482"/>
      <c r="CW558" s="482"/>
      <c r="CX558" s="482"/>
      <c r="CY558" s="482"/>
      <c r="CZ558" s="485"/>
      <c r="DA558" s="485"/>
      <c r="DB558" s="485"/>
      <c r="DC558" s="485"/>
      <c r="DD558" s="485"/>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485"/>
      <c r="EX558" s="457"/>
      <c r="EY558" s="457"/>
      <c r="EZ558" s="457"/>
      <c r="FA558" s="457"/>
      <c r="FB558" s="457"/>
      <c r="FC558" s="457"/>
      <c r="FD558" s="457"/>
      <c r="FE558" s="457"/>
      <c r="FF558" s="457"/>
      <c r="FG558" s="457"/>
      <c r="FH558" s="457"/>
      <c r="FI558" s="457"/>
      <c r="FJ558" s="457"/>
      <c r="FK558" s="457"/>
    </row>
    <row r="559" spans="1:167" s="416" customFormat="1">
      <c r="A559" s="427"/>
      <c r="B559" s="427"/>
      <c r="C559" s="427"/>
      <c r="D559" s="427"/>
      <c r="E559" s="428"/>
      <c r="F559" s="429"/>
      <c r="G559" s="430"/>
      <c r="H559" s="427"/>
      <c r="I559" s="427"/>
      <c r="J559" s="427"/>
      <c r="K559" s="427"/>
      <c r="L559" s="427"/>
      <c r="M559" s="427"/>
      <c r="N559" s="427"/>
      <c r="O559" s="427"/>
      <c r="P559" s="427"/>
      <c r="Q559" s="427"/>
      <c r="R559" s="427"/>
      <c r="S559" s="427"/>
      <c r="T559" s="427"/>
      <c r="U559" s="427"/>
      <c r="V559" s="428"/>
      <c r="W559" s="431"/>
      <c r="X559" s="3"/>
      <c r="Y559" s="429"/>
      <c r="Z559" s="430"/>
      <c r="AA559" s="430"/>
      <c r="AB559" s="430"/>
      <c r="AC559" s="424"/>
      <c r="AD559" s="424"/>
      <c r="AE559" s="424"/>
      <c r="AF559" s="424"/>
      <c r="AG559" s="424"/>
      <c r="AH559" s="424"/>
      <c r="AI559" s="424"/>
      <c r="AJ559" s="2"/>
      <c r="AK559" s="2"/>
      <c r="AL559" s="2"/>
      <c r="AM559" s="2"/>
      <c r="AN559" s="2"/>
      <c r="AO559" s="2"/>
      <c r="AP559" s="2"/>
      <c r="AQ559" s="427"/>
      <c r="AR559" s="754"/>
      <c r="AS559" s="427"/>
      <c r="AT559" s="754"/>
      <c r="AU559" s="427"/>
      <c r="AV559" s="427"/>
      <c r="AW559" s="427"/>
      <c r="AX559" s="427"/>
      <c r="AY559" s="754"/>
      <c r="AZ559" s="754"/>
      <c r="BA559" s="754"/>
      <c r="BB559" s="427"/>
      <c r="BC559" s="427"/>
      <c r="BD559" s="427"/>
      <c r="BE559" s="754"/>
      <c r="BF559" s="427"/>
      <c r="BG559" s="454"/>
      <c r="BH559" s="754"/>
      <c r="BI559" s="427"/>
      <c r="BJ559" s="427"/>
      <c r="BK559" s="427"/>
      <c r="BL559" s="427"/>
      <c r="BM559" s="454"/>
      <c r="BN559" s="427"/>
      <c r="BO559" s="427"/>
      <c r="BP559" s="427"/>
      <c r="BQ559" s="454"/>
      <c r="BR559" s="454"/>
      <c r="BS559" s="460"/>
      <c r="BT559" s="454"/>
      <c r="BU559" s="454"/>
      <c r="BV559" s="457"/>
      <c r="BW559" s="460"/>
      <c r="BX559" s="460"/>
      <c r="BY559" s="460"/>
      <c r="CA559" s="2"/>
      <c r="CB559" s="2"/>
      <c r="CC559" s="2"/>
      <c r="CD559" s="2"/>
      <c r="CE559" s="2"/>
      <c r="CF559" s="2"/>
      <c r="CG559" s="2"/>
      <c r="CH559" s="2"/>
      <c r="CI559" s="2"/>
      <c r="CJ559" s="2"/>
      <c r="CK559" s="2"/>
      <c r="CL559" s="2"/>
      <c r="CM559" s="2"/>
      <c r="CN559" s="2"/>
      <c r="CO559" s="427"/>
      <c r="CP559" s="427"/>
      <c r="CQ559" s="427"/>
      <c r="CR559" s="485"/>
      <c r="CS559" s="485"/>
      <c r="CT559" s="485"/>
      <c r="CU559" s="485"/>
      <c r="CV559" s="482"/>
      <c r="CW559" s="482"/>
      <c r="CX559" s="482"/>
      <c r="CY559" s="482"/>
      <c r="CZ559" s="485"/>
      <c r="DA559" s="485"/>
      <c r="DB559" s="485"/>
      <c r="DC559" s="485"/>
      <c r="DD559" s="485"/>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485"/>
      <c r="EX559" s="457"/>
      <c r="EY559" s="457"/>
      <c r="EZ559" s="457"/>
      <c r="FA559" s="457"/>
      <c r="FB559" s="457"/>
      <c r="FC559" s="457"/>
      <c r="FD559" s="457"/>
      <c r="FE559" s="457"/>
      <c r="FF559" s="457"/>
      <c r="FG559" s="457"/>
      <c r="FH559" s="457"/>
      <c r="FI559" s="457"/>
      <c r="FJ559" s="457"/>
      <c r="FK559" s="457"/>
    </row>
    <row r="560" spans="1:167" s="416" customFormat="1">
      <c r="A560" s="427"/>
      <c r="B560" s="427"/>
      <c r="C560" s="427"/>
      <c r="D560" s="427"/>
      <c r="E560" s="428"/>
      <c r="F560" s="429"/>
      <c r="G560" s="430"/>
      <c r="H560" s="427"/>
      <c r="I560" s="427"/>
      <c r="J560" s="427"/>
      <c r="K560" s="427"/>
      <c r="L560" s="427"/>
      <c r="M560" s="427"/>
      <c r="N560" s="427"/>
      <c r="O560" s="427"/>
      <c r="P560" s="427"/>
      <c r="Q560" s="427"/>
      <c r="R560" s="427"/>
      <c r="S560" s="427"/>
      <c r="T560" s="427"/>
      <c r="U560" s="427"/>
      <c r="V560" s="428"/>
      <c r="W560" s="431"/>
      <c r="X560" s="3"/>
      <c r="Y560" s="429"/>
      <c r="Z560" s="430"/>
      <c r="AA560" s="430"/>
      <c r="AB560" s="430"/>
      <c r="AC560" s="424"/>
      <c r="AD560" s="424"/>
      <c r="AE560" s="424"/>
      <c r="AF560" s="424"/>
      <c r="AG560" s="424"/>
      <c r="AH560" s="424"/>
      <c r="AI560" s="424"/>
      <c r="AJ560" s="2"/>
      <c r="AK560" s="2"/>
      <c r="AL560" s="2"/>
      <c r="AM560" s="2"/>
      <c r="AN560" s="2"/>
      <c r="AO560" s="2"/>
      <c r="AP560" s="2"/>
      <c r="AQ560" s="427"/>
      <c r="AR560" s="754"/>
      <c r="AS560" s="427"/>
      <c r="AT560" s="754"/>
      <c r="AU560" s="427"/>
      <c r="AV560" s="427"/>
      <c r="AW560" s="427"/>
      <c r="AX560" s="427"/>
      <c r="AY560" s="754"/>
      <c r="AZ560" s="754"/>
      <c r="BA560" s="754"/>
      <c r="BB560" s="427"/>
      <c r="BC560" s="427"/>
      <c r="BD560" s="427"/>
      <c r="BE560" s="754"/>
      <c r="BF560" s="427"/>
      <c r="BG560" s="454"/>
      <c r="BH560" s="754"/>
      <c r="BI560" s="427"/>
      <c r="BJ560" s="427"/>
      <c r="BK560" s="427"/>
      <c r="BL560" s="427"/>
      <c r="BM560" s="454"/>
      <c r="BN560" s="427"/>
      <c r="BO560" s="427"/>
      <c r="BP560" s="427"/>
      <c r="BQ560" s="454"/>
      <c r="BR560" s="454"/>
      <c r="BS560" s="460"/>
      <c r="BT560" s="454"/>
      <c r="BU560" s="454"/>
      <c r="BV560" s="457"/>
      <c r="BW560" s="460"/>
      <c r="BX560" s="460"/>
      <c r="BY560" s="460"/>
      <c r="CA560" s="2"/>
      <c r="CB560" s="2"/>
      <c r="CC560" s="2"/>
      <c r="CD560" s="2"/>
      <c r="CE560" s="2"/>
      <c r="CF560" s="2"/>
      <c r="CG560" s="2"/>
      <c r="CH560" s="2"/>
      <c r="CI560" s="2"/>
      <c r="CJ560" s="2"/>
      <c r="CK560" s="2"/>
      <c r="CL560" s="2"/>
      <c r="CM560" s="2"/>
      <c r="CN560" s="2"/>
      <c r="CO560" s="427"/>
      <c r="CP560" s="427"/>
      <c r="CQ560" s="427"/>
      <c r="CR560" s="485"/>
      <c r="CS560" s="485"/>
      <c r="CT560" s="485"/>
      <c r="CU560" s="485"/>
      <c r="CV560" s="482"/>
      <c r="CW560" s="482"/>
      <c r="CX560" s="482"/>
      <c r="CY560" s="482"/>
      <c r="CZ560" s="485"/>
      <c r="DA560" s="485"/>
      <c r="DB560" s="485"/>
      <c r="DC560" s="485"/>
      <c r="DD560" s="485"/>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485"/>
      <c r="EX560" s="457"/>
      <c r="EY560" s="457"/>
      <c r="EZ560" s="457"/>
      <c r="FA560" s="457"/>
      <c r="FB560" s="457"/>
      <c r="FC560" s="457"/>
      <c r="FD560" s="457"/>
      <c r="FE560" s="457"/>
      <c r="FF560" s="457"/>
      <c r="FG560" s="457"/>
      <c r="FH560" s="457"/>
      <c r="FI560" s="457"/>
      <c r="FJ560" s="457"/>
      <c r="FK560" s="457"/>
    </row>
    <row r="561" spans="1:167" s="416" customFormat="1">
      <c r="A561" s="427"/>
      <c r="B561" s="427"/>
      <c r="C561" s="427"/>
      <c r="D561" s="427"/>
      <c r="E561" s="428"/>
      <c r="F561" s="429"/>
      <c r="G561" s="430"/>
      <c r="H561" s="427"/>
      <c r="I561" s="427"/>
      <c r="J561" s="427"/>
      <c r="K561" s="427"/>
      <c r="L561" s="427"/>
      <c r="M561" s="427"/>
      <c r="N561" s="427"/>
      <c r="O561" s="427"/>
      <c r="P561" s="427"/>
      <c r="Q561" s="427"/>
      <c r="R561" s="427"/>
      <c r="S561" s="427"/>
      <c r="T561" s="427"/>
      <c r="U561" s="427"/>
      <c r="V561" s="428"/>
      <c r="W561" s="431"/>
      <c r="X561" s="3"/>
      <c r="Y561" s="429"/>
      <c r="Z561" s="430"/>
      <c r="AA561" s="430"/>
      <c r="AB561" s="430"/>
      <c r="AC561" s="424"/>
      <c r="AD561" s="424"/>
      <c r="AE561" s="424"/>
      <c r="AF561" s="424"/>
      <c r="AG561" s="424"/>
      <c r="AH561" s="424"/>
      <c r="AI561" s="424"/>
      <c r="AJ561" s="2"/>
      <c r="AK561" s="2"/>
      <c r="AL561" s="2"/>
      <c r="AM561" s="2"/>
      <c r="AN561" s="2"/>
      <c r="AO561" s="2"/>
      <c r="AP561" s="2"/>
      <c r="AQ561" s="427"/>
      <c r="AR561" s="754"/>
      <c r="AS561" s="427"/>
      <c r="AT561" s="754"/>
      <c r="AU561" s="427"/>
      <c r="AV561" s="427"/>
      <c r="AW561" s="427"/>
      <c r="AX561" s="427"/>
      <c r="AY561" s="754"/>
      <c r="AZ561" s="754"/>
      <c r="BA561" s="754"/>
      <c r="BB561" s="427"/>
      <c r="BC561" s="427"/>
      <c r="BD561" s="427"/>
      <c r="BE561" s="754"/>
      <c r="BF561" s="427"/>
      <c r="BG561" s="454"/>
      <c r="BH561" s="754"/>
      <c r="BI561" s="427"/>
      <c r="BJ561" s="427"/>
      <c r="BK561" s="427"/>
      <c r="BL561" s="427"/>
      <c r="BM561" s="454"/>
      <c r="BN561" s="427"/>
      <c r="BO561" s="427"/>
      <c r="BP561" s="427"/>
      <c r="BQ561" s="454"/>
      <c r="BR561" s="454"/>
      <c r="BS561" s="460"/>
      <c r="BT561" s="454"/>
      <c r="BU561" s="454"/>
      <c r="BV561" s="457"/>
      <c r="BW561" s="460"/>
      <c r="BX561" s="460"/>
      <c r="BY561" s="460"/>
      <c r="CA561" s="2"/>
      <c r="CB561" s="2"/>
      <c r="CC561" s="2"/>
      <c r="CD561" s="2"/>
      <c r="CE561" s="2"/>
      <c r="CF561" s="2"/>
      <c r="CG561" s="2"/>
      <c r="CH561" s="2"/>
      <c r="CI561" s="2"/>
      <c r="CJ561" s="2"/>
      <c r="CK561" s="2"/>
      <c r="CL561" s="2"/>
      <c r="CM561" s="2"/>
      <c r="CN561" s="2"/>
      <c r="CO561" s="427"/>
      <c r="CP561" s="427"/>
      <c r="CQ561" s="427"/>
      <c r="CR561" s="485"/>
      <c r="CS561" s="485"/>
      <c r="CT561" s="485"/>
      <c r="CU561" s="485"/>
      <c r="CV561" s="482"/>
      <c r="CW561" s="482"/>
      <c r="CX561" s="482"/>
      <c r="CY561" s="482"/>
      <c r="CZ561" s="485"/>
      <c r="DA561" s="485"/>
      <c r="DB561" s="485"/>
      <c r="DC561" s="485"/>
      <c r="DD561" s="485"/>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485"/>
      <c r="EX561" s="457"/>
      <c r="EY561" s="457"/>
      <c r="EZ561" s="457"/>
      <c r="FA561" s="457"/>
      <c r="FB561" s="457"/>
      <c r="FC561" s="457"/>
      <c r="FD561" s="457"/>
      <c r="FE561" s="457"/>
      <c r="FF561" s="457"/>
      <c r="FG561" s="457"/>
      <c r="FH561" s="457"/>
      <c r="FI561" s="457"/>
      <c r="FJ561" s="457"/>
      <c r="FK561" s="457"/>
    </row>
    <row r="562" spans="1:167" s="416" customFormat="1">
      <c r="A562" s="427"/>
      <c r="B562" s="427"/>
      <c r="C562" s="427"/>
      <c r="D562" s="427"/>
      <c r="E562" s="428"/>
      <c r="F562" s="429"/>
      <c r="G562" s="430"/>
      <c r="H562" s="427"/>
      <c r="I562" s="427"/>
      <c r="J562" s="427"/>
      <c r="K562" s="427"/>
      <c r="L562" s="427"/>
      <c r="M562" s="427"/>
      <c r="N562" s="427"/>
      <c r="O562" s="427"/>
      <c r="P562" s="427"/>
      <c r="Q562" s="427"/>
      <c r="R562" s="427"/>
      <c r="S562" s="427"/>
      <c r="T562" s="427"/>
      <c r="U562" s="427"/>
      <c r="V562" s="428"/>
      <c r="W562" s="431"/>
      <c r="X562" s="3"/>
      <c r="Y562" s="429"/>
      <c r="Z562" s="430"/>
      <c r="AA562" s="430"/>
      <c r="AB562" s="430"/>
      <c r="AC562" s="424"/>
      <c r="AD562" s="424"/>
      <c r="AE562" s="424"/>
      <c r="AF562" s="424"/>
      <c r="AG562" s="424"/>
      <c r="AH562" s="424"/>
      <c r="AI562" s="424"/>
      <c r="AJ562" s="2"/>
      <c r="AK562" s="2"/>
      <c r="AL562" s="2"/>
      <c r="AM562" s="2"/>
      <c r="AN562" s="2"/>
      <c r="AO562" s="2"/>
      <c r="AP562" s="2"/>
      <c r="AQ562" s="427"/>
      <c r="AR562" s="754"/>
      <c r="AS562" s="427"/>
      <c r="AT562" s="754"/>
      <c r="AU562" s="427"/>
      <c r="AV562" s="427"/>
      <c r="AW562" s="427"/>
      <c r="AX562" s="427"/>
      <c r="AY562" s="754"/>
      <c r="AZ562" s="754"/>
      <c r="BA562" s="754"/>
      <c r="BB562" s="427"/>
      <c r="BC562" s="427"/>
      <c r="BD562" s="427"/>
      <c r="BE562" s="754"/>
      <c r="BF562" s="427"/>
      <c r="BG562" s="454"/>
      <c r="BH562" s="754"/>
      <c r="BI562" s="427"/>
      <c r="BJ562" s="427"/>
      <c r="BK562" s="427"/>
      <c r="BL562" s="427"/>
      <c r="BM562" s="454"/>
      <c r="BN562" s="427"/>
      <c r="BO562" s="427"/>
      <c r="BP562" s="427"/>
      <c r="BQ562" s="454"/>
      <c r="BR562" s="454"/>
      <c r="BS562" s="460"/>
      <c r="BT562" s="454"/>
      <c r="BU562" s="454"/>
      <c r="BV562" s="457"/>
      <c r="BW562" s="460"/>
      <c r="BX562" s="460"/>
      <c r="BY562" s="460"/>
      <c r="CA562" s="2"/>
      <c r="CB562" s="2"/>
      <c r="CC562" s="2"/>
      <c r="CD562" s="2"/>
      <c r="CE562" s="2"/>
      <c r="CF562" s="2"/>
      <c r="CG562" s="2"/>
      <c r="CH562" s="2"/>
      <c r="CI562" s="2"/>
      <c r="CJ562" s="2"/>
      <c r="CK562" s="2"/>
      <c r="CL562" s="2"/>
      <c r="CM562" s="2"/>
      <c r="CN562" s="2"/>
      <c r="CO562" s="427"/>
      <c r="CP562" s="427"/>
      <c r="CQ562" s="427"/>
      <c r="CR562" s="485"/>
      <c r="CS562" s="485"/>
      <c r="CT562" s="485"/>
      <c r="CU562" s="485"/>
      <c r="CV562" s="482"/>
      <c r="CW562" s="482"/>
      <c r="CX562" s="482"/>
      <c r="CY562" s="482"/>
      <c r="CZ562" s="485"/>
      <c r="DA562" s="485"/>
      <c r="DB562" s="485"/>
      <c r="DC562" s="485"/>
      <c r="DD562" s="485"/>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485"/>
      <c r="EX562" s="457"/>
      <c r="EY562" s="457"/>
      <c r="EZ562" s="457"/>
      <c r="FA562" s="457"/>
      <c r="FB562" s="457"/>
      <c r="FC562" s="457"/>
      <c r="FD562" s="457"/>
      <c r="FE562" s="457"/>
      <c r="FF562" s="457"/>
      <c r="FG562" s="457"/>
      <c r="FH562" s="457"/>
      <c r="FI562" s="457"/>
      <c r="FJ562" s="457"/>
      <c r="FK562" s="457"/>
    </row>
    <row r="563" spans="1:167" s="416" customFormat="1">
      <c r="A563" s="427"/>
      <c r="B563" s="427"/>
      <c r="C563" s="427"/>
      <c r="D563" s="427"/>
      <c r="E563" s="428"/>
      <c r="F563" s="429"/>
      <c r="G563" s="430"/>
      <c r="H563" s="427"/>
      <c r="I563" s="427"/>
      <c r="J563" s="427"/>
      <c r="K563" s="427"/>
      <c r="L563" s="427"/>
      <c r="M563" s="427"/>
      <c r="N563" s="427"/>
      <c r="O563" s="427"/>
      <c r="P563" s="427"/>
      <c r="Q563" s="427"/>
      <c r="R563" s="427"/>
      <c r="S563" s="427"/>
      <c r="T563" s="427"/>
      <c r="U563" s="427"/>
      <c r="V563" s="428"/>
      <c r="W563" s="431"/>
      <c r="X563" s="3"/>
      <c r="Y563" s="429"/>
      <c r="Z563" s="430"/>
      <c r="AA563" s="430"/>
      <c r="AB563" s="430"/>
      <c r="AC563" s="424"/>
      <c r="AD563" s="424"/>
      <c r="AE563" s="424"/>
      <c r="AF563" s="424"/>
      <c r="AG563" s="424"/>
      <c r="AH563" s="424"/>
      <c r="AI563" s="424"/>
      <c r="AJ563" s="2"/>
      <c r="AK563" s="2"/>
      <c r="AL563" s="2"/>
      <c r="AM563" s="2"/>
      <c r="AN563" s="2"/>
      <c r="AO563" s="2"/>
      <c r="AP563" s="2"/>
      <c r="AQ563" s="427"/>
      <c r="AR563" s="754"/>
      <c r="AS563" s="427"/>
      <c r="AT563" s="754"/>
      <c r="AU563" s="427"/>
      <c r="AV563" s="427"/>
      <c r="AW563" s="427"/>
      <c r="AX563" s="427"/>
      <c r="AY563" s="754"/>
      <c r="AZ563" s="754"/>
      <c r="BA563" s="754"/>
      <c r="BB563" s="427"/>
      <c r="BC563" s="427"/>
      <c r="BD563" s="427"/>
      <c r="BE563" s="754"/>
      <c r="BF563" s="427"/>
      <c r="BG563" s="454"/>
      <c r="BH563" s="754"/>
      <c r="BI563" s="427"/>
      <c r="BJ563" s="427"/>
      <c r="BK563" s="427"/>
      <c r="BL563" s="427"/>
      <c r="BM563" s="454"/>
      <c r="BN563" s="427"/>
      <c r="BO563" s="427"/>
      <c r="BP563" s="427"/>
      <c r="BQ563" s="454"/>
      <c r="BR563" s="454"/>
      <c r="BS563" s="460"/>
      <c r="BT563" s="454"/>
      <c r="BU563" s="454"/>
      <c r="BV563" s="457"/>
      <c r="BW563" s="460"/>
      <c r="BX563" s="460"/>
      <c r="BY563" s="460"/>
      <c r="CA563" s="2"/>
      <c r="CB563" s="2"/>
      <c r="CC563" s="2"/>
      <c r="CD563" s="2"/>
      <c r="CE563" s="2"/>
      <c r="CF563" s="2"/>
      <c r="CG563" s="2"/>
      <c r="CH563" s="2"/>
      <c r="CI563" s="2"/>
      <c r="CJ563" s="2"/>
      <c r="CK563" s="2"/>
      <c r="CL563" s="2"/>
      <c r="CM563" s="2"/>
      <c r="CN563" s="2"/>
      <c r="CO563" s="427"/>
      <c r="CP563" s="427"/>
      <c r="CQ563" s="427"/>
      <c r="CR563" s="485"/>
      <c r="CS563" s="485"/>
      <c r="CT563" s="485"/>
      <c r="CU563" s="485"/>
      <c r="CV563" s="482"/>
      <c r="CW563" s="482"/>
      <c r="CX563" s="482"/>
      <c r="CY563" s="482"/>
      <c r="CZ563" s="485"/>
      <c r="DA563" s="485"/>
      <c r="DB563" s="485"/>
      <c r="DC563" s="485"/>
      <c r="DD563" s="485"/>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485"/>
      <c r="EX563" s="457"/>
      <c r="EY563" s="457"/>
      <c r="EZ563" s="457"/>
      <c r="FA563" s="457"/>
      <c r="FB563" s="457"/>
      <c r="FC563" s="457"/>
      <c r="FD563" s="457"/>
      <c r="FE563" s="457"/>
      <c r="FF563" s="457"/>
      <c r="FG563" s="457"/>
      <c r="FH563" s="457"/>
      <c r="FI563" s="457"/>
      <c r="FJ563" s="457"/>
      <c r="FK563" s="457"/>
    </row>
    <row r="564" spans="1:167" s="416" customFormat="1">
      <c r="A564" s="427"/>
      <c r="B564" s="427"/>
      <c r="C564" s="427"/>
      <c r="D564" s="427"/>
      <c r="E564" s="428"/>
      <c r="F564" s="429"/>
      <c r="G564" s="430"/>
      <c r="H564" s="427"/>
      <c r="I564" s="427"/>
      <c r="J564" s="427"/>
      <c r="K564" s="427"/>
      <c r="L564" s="427"/>
      <c r="M564" s="427"/>
      <c r="N564" s="427"/>
      <c r="O564" s="427"/>
      <c r="P564" s="427"/>
      <c r="Q564" s="427"/>
      <c r="R564" s="427"/>
      <c r="S564" s="427"/>
      <c r="T564" s="427"/>
      <c r="U564" s="427"/>
      <c r="V564" s="428"/>
      <c r="W564" s="431"/>
      <c r="X564" s="3"/>
      <c r="Y564" s="429"/>
      <c r="Z564" s="430"/>
      <c r="AA564" s="430"/>
      <c r="AB564" s="430"/>
      <c r="AC564" s="424"/>
      <c r="AD564" s="424"/>
      <c r="AE564" s="424"/>
      <c r="AF564" s="424"/>
      <c r="AG564" s="424"/>
      <c r="AH564" s="424"/>
      <c r="AI564" s="424"/>
      <c r="AJ564" s="2"/>
      <c r="AK564" s="2"/>
      <c r="AL564" s="2"/>
      <c r="AM564" s="2"/>
      <c r="AN564" s="2"/>
      <c r="AO564" s="2"/>
      <c r="AP564" s="2"/>
      <c r="AQ564" s="427"/>
      <c r="AR564" s="754"/>
      <c r="AS564" s="427"/>
      <c r="AT564" s="754"/>
      <c r="AU564" s="427"/>
      <c r="AV564" s="427"/>
      <c r="AW564" s="427"/>
      <c r="AX564" s="427"/>
      <c r="AY564" s="754"/>
      <c r="AZ564" s="754"/>
      <c r="BA564" s="754"/>
      <c r="BB564" s="427"/>
      <c r="BC564" s="427"/>
      <c r="BD564" s="427"/>
      <c r="BE564" s="754"/>
      <c r="BF564" s="427"/>
      <c r="BG564" s="454"/>
      <c r="BH564" s="754"/>
      <c r="BI564" s="427"/>
      <c r="BJ564" s="427"/>
      <c r="BK564" s="427"/>
      <c r="BL564" s="427"/>
      <c r="BM564" s="454"/>
      <c r="BN564" s="427"/>
      <c r="BO564" s="427"/>
      <c r="BP564" s="427"/>
      <c r="BQ564" s="454"/>
      <c r="BR564" s="454"/>
      <c r="BS564" s="460"/>
      <c r="BT564" s="454"/>
      <c r="BU564" s="454"/>
      <c r="BV564" s="457"/>
      <c r="BW564" s="460"/>
      <c r="BX564" s="460"/>
      <c r="BY564" s="460"/>
      <c r="CA564" s="2"/>
      <c r="CB564" s="2"/>
      <c r="CC564" s="2"/>
      <c r="CD564" s="2"/>
      <c r="CE564" s="2"/>
      <c r="CF564" s="2"/>
      <c r="CG564" s="2"/>
      <c r="CH564" s="2"/>
      <c r="CI564" s="2"/>
      <c r="CJ564" s="2"/>
      <c r="CK564" s="2"/>
      <c r="CL564" s="2"/>
      <c r="CM564" s="2"/>
      <c r="CN564" s="2"/>
      <c r="CO564" s="427"/>
      <c r="CP564" s="427"/>
      <c r="CQ564" s="427"/>
      <c r="CR564" s="485"/>
      <c r="CS564" s="485"/>
      <c r="CT564" s="485"/>
      <c r="CU564" s="485"/>
      <c r="CV564" s="482"/>
      <c r="CW564" s="482"/>
      <c r="CX564" s="482"/>
      <c r="CY564" s="482"/>
      <c r="CZ564" s="485"/>
      <c r="DA564" s="485"/>
      <c r="DB564" s="485"/>
      <c r="DC564" s="485"/>
      <c r="DD564" s="485"/>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485"/>
      <c r="EX564" s="457"/>
      <c r="EY564" s="457"/>
      <c r="EZ564" s="457"/>
      <c r="FA564" s="457"/>
      <c r="FB564" s="457"/>
      <c r="FC564" s="457"/>
      <c r="FD564" s="457"/>
      <c r="FE564" s="457"/>
      <c r="FF564" s="457"/>
      <c r="FG564" s="457"/>
      <c r="FH564" s="457"/>
      <c r="FI564" s="457"/>
      <c r="FJ564" s="457"/>
      <c r="FK564" s="457"/>
    </row>
    <row r="565" spans="1:167" s="416" customFormat="1">
      <c r="A565" s="427"/>
      <c r="B565" s="427"/>
      <c r="C565" s="427"/>
      <c r="D565" s="427"/>
      <c r="E565" s="428"/>
      <c r="F565" s="429"/>
      <c r="G565" s="430"/>
      <c r="H565" s="427"/>
      <c r="I565" s="427"/>
      <c r="J565" s="427"/>
      <c r="K565" s="427"/>
      <c r="L565" s="427"/>
      <c r="M565" s="427"/>
      <c r="N565" s="427"/>
      <c r="O565" s="427"/>
      <c r="P565" s="427"/>
      <c r="Q565" s="427"/>
      <c r="R565" s="427"/>
      <c r="S565" s="427"/>
      <c r="T565" s="427"/>
      <c r="U565" s="427"/>
      <c r="V565" s="428"/>
      <c r="W565" s="431"/>
      <c r="X565" s="3"/>
      <c r="Y565" s="429"/>
      <c r="Z565" s="430"/>
      <c r="AA565" s="430"/>
      <c r="AB565" s="430"/>
      <c r="AC565" s="424"/>
      <c r="AD565" s="424"/>
      <c r="AE565" s="424"/>
      <c r="AF565" s="424"/>
      <c r="AG565" s="424"/>
      <c r="AH565" s="424"/>
      <c r="AI565" s="424"/>
      <c r="AJ565" s="2"/>
      <c r="AK565" s="2"/>
      <c r="AL565" s="2"/>
      <c r="AM565" s="2"/>
      <c r="AN565" s="2"/>
      <c r="AO565" s="2"/>
      <c r="AP565" s="2"/>
      <c r="AQ565" s="427"/>
      <c r="AR565" s="754"/>
      <c r="AS565" s="427"/>
      <c r="AT565" s="754"/>
      <c r="AU565" s="427"/>
      <c r="AV565" s="427"/>
      <c r="AW565" s="427"/>
      <c r="AX565" s="427"/>
      <c r="AY565" s="754"/>
      <c r="AZ565" s="754"/>
      <c r="BA565" s="754"/>
      <c r="BB565" s="427"/>
      <c r="BC565" s="427"/>
      <c r="BD565" s="427"/>
      <c r="BE565" s="754"/>
      <c r="BF565" s="427"/>
      <c r="BG565" s="454"/>
      <c r="BH565" s="754"/>
      <c r="BI565" s="427"/>
      <c r="BJ565" s="427"/>
      <c r="BK565" s="427"/>
      <c r="BL565" s="427"/>
      <c r="BM565" s="454"/>
      <c r="BN565" s="427"/>
      <c r="BO565" s="427"/>
      <c r="BP565" s="427"/>
      <c r="BQ565" s="454"/>
      <c r="BR565" s="454"/>
      <c r="BS565" s="460"/>
      <c r="BT565" s="454"/>
      <c r="BU565" s="454"/>
      <c r="BV565" s="457"/>
      <c r="BW565" s="460"/>
      <c r="BX565" s="460"/>
      <c r="BY565" s="460"/>
      <c r="CA565" s="2"/>
      <c r="CB565" s="2"/>
      <c r="CC565" s="2"/>
      <c r="CD565" s="2"/>
      <c r="CE565" s="2"/>
      <c r="CF565" s="2"/>
      <c r="CG565" s="2"/>
      <c r="CH565" s="2"/>
      <c r="CI565" s="2"/>
      <c r="CJ565" s="2"/>
      <c r="CK565" s="2"/>
      <c r="CL565" s="2"/>
      <c r="CM565" s="2"/>
      <c r="CN565" s="2"/>
      <c r="CO565" s="427"/>
      <c r="CP565" s="427"/>
      <c r="CQ565" s="427"/>
      <c r="CR565" s="485"/>
      <c r="CS565" s="485"/>
      <c r="CT565" s="485"/>
      <c r="CU565" s="485"/>
      <c r="CV565" s="482"/>
      <c r="CW565" s="482"/>
      <c r="CX565" s="482"/>
      <c r="CY565" s="482"/>
      <c r="CZ565" s="485"/>
      <c r="DA565" s="485"/>
      <c r="DB565" s="485"/>
      <c r="DC565" s="485"/>
      <c r="DD565" s="485"/>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485"/>
      <c r="EX565" s="457"/>
      <c r="EY565" s="457"/>
      <c r="EZ565" s="457"/>
      <c r="FA565" s="457"/>
      <c r="FB565" s="457"/>
      <c r="FC565" s="457"/>
      <c r="FD565" s="457"/>
      <c r="FE565" s="457"/>
      <c r="FF565" s="457"/>
      <c r="FG565" s="457"/>
      <c r="FH565" s="457"/>
      <c r="FI565" s="457"/>
      <c r="FJ565" s="457"/>
      <c r="FK565" s="457"/>
    </row>
    <row r="566" spans="1:167" s="416" customFormat="1">
      <c r="A566" s="427"/>
      <c r="B566" s="427"/>
      <c r="C566" s="427"/>
      <c r="D566" s="427"/>
      <c r="E566" s="428"/>
      <c r="F566" s="429"/>
      <c r="G566" s="430"/>
      <c r="H566" s="427"/>
      <c r="I566" s="427"/>
      <c r="J566" s="427"/>
      <c r="K566" s="427"/>
      <c r="L566" s="427"/>
      <c r="M566" s="427"/>
      <c r="N566" s="427"/>
      <c r="O566" s="427"/>
      <c r="P566" s="427"/>
      <c r="Q566" s="427"/>
      <c r="R566" s="427"/>
      <c r="S566" s="427"/>
      <c r="T566" s="427"/>
      <c r="U566" s="427"/>
      <c r="V566" s="428"/>
      <c r="W566" s="431"/>
      <c r="X566" s="3"/>
      <c r="Y566" s="429"/>
      <c r="Z566" s="430"/>
      <c r="AA566" s="430"/>
      <c r="AB566" s="430"/>
      <c r="AC566" s="424"/>
      <c r="AD566" s="424"/>
      <c r="AE566" s="424"/>
      <c r="AF566" s="424"/>
      <c r="AG566" s="424"/>
      <c r="AH566" s="424"/>
      <c r="AI566" s="424"/>
      <c r="AJ566" s="2"/>
      <c r="AK566" s="2"/>
      <c r="AL566" s="2"/>
      <c r="AM566" s="2"/>
      <c r="AN566" s="2"/>
      <c r="AO566" s="2"/>
      <c r="AP566" s="2"/>
      <c r="AQ566" s="427"/>
      <c r="AR566" s="754"/>
      <c r="AS566" s="427"/>
      <c r="AT566" s="754"/>
      <c r="AU566" s="427"/>
      <c r="AV566" s="427"/>
      <c r="AW566" s="427"/>
      <c r="AX566" s="427"/>
      <c r="AY566" s="754"/>
      <c r="AZ566" s="754"/>
      <c r="BA566" s="754"/>
      <c r="BB566" s="427"/>
      <c r="BC566" s="427"/>
      <c r="BD566" s="427"/>
      <c r="BE566" s="754"/>
      <c r="BF566" s="427"/>
      <c r="BG566" s="454"/>
      <c r="BH566" s="754"/>
      <c r="BI566" s="427"/>
      <c r="BJ566" s="427"/>
      <c r="BK566" s="427"/>
      <c r="BL566" s="427"/>
      <c r="BM566" s="454"/>
      <c r="BN566" s="427"/>
      <c r="BO566" s="427"/>
      <c r="BP566" s="427"/>
      <c r="BQ566" s="454"/>
      <c r="BR566" s="454"/>
      <c r="BS566" s="460"/>
      <c r="BT566" s="454"/>
      <c r="BU566" s="454"/>
      <c r="BV566" s="457"/>
      <c r="BW566" s="460"/>
      <c r="BX566" s="460"/>
      <c r="BY566" s="460"/>
      <c r="CA566" s="2"/>
      <c r="CB566" s="2"/>
      <c r="CC566" s="2"/>
      <c r="CD566" s="2"/>
      <c r="CE566" s="2"/>
      <c r="CF566" s="2"/>
      <c r="CG566" s="2"/>
      <c r="CH566" s="2"/>
      <c r="CI566" s="2"/>
      <c r="CJ566" s="2"/>
      <c r="CK566" s="2"/>
      <c r="CL566" s="2"/>
      <c r="CM566" s="2"/>
      <c r="CN566" s="2"/>
      <c r="CO566" s="427"/>
      <c r="CP566" s="427"/>
      <c r="CQ566" s="427"/>
      <c r="CR566" s="485"/>
      <c r="CS566" s="485"/>
      <c r="CT566" s="485"/>
      <c r="CU566" s="485"/>
      <c r="CV566" s="482"/>
      <c r="CW566" s="482"/>
      <c r="CX566" s="482"/>
      <c r="CY566" s="482"/>
      <c r="CZ566" s="485"/>
      <c r="DA566" s="485"/>
      <c r="DB566" s="485"/>
      <c r="DC566" s="485"/>
      <c r="DD566" s="485"/>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485"/>
      <c r="EX566" s="457"/>
      <c r="EY566" s="457"/>
      <c r="EZ566" s="457"/>
      <c r="FA566" s="457"/>
      <c r="FB566" s="457"/>
      <c r="FC566" s="457"/>
      <c r="FD566" s="457"/>
      <c r="FE566" s="457"/>
      <c r="FF566" s="457"/>
      <c r="FG566" s="457"/>
      <c r="FH566" s="457"/>
      <c r="FI566" s="457"/>
      <c r="FJ566" s="457"/>
      <c r="FK566" s="457"/>
    </row>
    <row r="567" spans="1:167" s="416" customFormat="1">
      <c r="A567" s="427"/>
      <c r="B567" s="427"/>
      <c r="C567" s="427"/>
      <c r="D567" s="427"/>
      <c r="E567" s="428"/>
      <c r="F567" s="429"/>
      <c r="G567" s="430"/>
      <c r="H567" s="427"/>
      <c r="I567" s="427"/>
      <c r="J567" s="427"/>
      <c r="K567" s="427"/>
      <c r="L567" s="427"/>
      <c r="M567" s="427"/>
      <c r="N567" s="427"/>
      <c r="O567" s="427"/>
      <c r="P567" s="427"/>
      <c r="Q567" s="427"/>
      <c r="R567" s="427"/>
      <c r="S567" s="427"/>
      <c r="T567" s="427"/>
      <c r="U567" s="427"/>
      <c r="V567" s="428"/>
      <c r="W567" s="431"/>
      <c r="X567" s="3"/>
      <c r="Y567" s="429"/>
      <c r="Z567" s="430"/>
      <c r="AA567" s="430"/>
      <c r="AB567" s="430"/>
      <c r="AC567" s="424"/>
      <c r="AD567" s="424"/>
      <c r="AE567" s="424"/>
      <c r="AF567" s="424"/>
      <c r="AG567" s="424"/>
      <c r="AH567" s="424"/>
      <c r="AI567" s="424"/>
      <c r="AJ567" s="2"/>
      <c r="AK567" s="2"/>
      <c r="AL567" s="2"/>
      <c r="AM567" s="2"/>
      <c r="AN567" s="2"/>
      <c r="AO567" s="2"/>
      <c r="AP567" s="2"/>
      <c r="AQ567" s="427"/>
      <c r="AR567" s="754"/>
      <c r="AS567" s="427"/>
      <c r="AT567" s="754"/>
      <c r="AU567" s="427"/>
      <c r="AV567" s="427"/>
      <c r="AW567" s="427"/>
      <c r="AX567" s="427"/>
      <c r="AY567" s="754"/>
      <c r="AZ567" s="754"/>
      <c r="BA567" s="754"/>
      <c r="BB567" s="427"/>
      <c r="BC567" s="427"/>
      <c r="BD567" s="427"/>
      <c r="BE567" s="754"/>
      <c r="BF567" s="427"/>
      <c r="BG567" s="454"/>
      <c r="BH567" s="754"/>
      <c r="BI567" s="427"/>
      <c r="BJ567" s="427"/>
      <c r="BK567" s="427"/>
      <c r="BL567" s="427"/>
      <c r="BM567" s="454"/>
      <c r="BN567" s="427"/>
      <c r="BO567" s="427"/>
      <c r="BP567" s="427"/>
      <c r="BQ567" s="454"/>
      <c r="BR567" s="454"/>
      <c r="BS567" s="460"/>
      <c r="BT567" s="454"/>
      <c r="BU567" s="454"/>
      <c r="BV567" s="457"/>
      <c r="BW567" s="460"/>
      <c r="BX567" s="460"/>
      <c r="BY567" s="460"/>
      <c r="CA567" s="2"/>
      <c r="CB567" s="2"/>
      <c r="CC567" s="2"/>
      <c r="CD567" s="2"/>
      <c r="CE567" s="2"/>
      <c r="CF567" s="2"/>
      <c r="CG567" s="2"/>
      <c r="CH567" s="2"/>
      <c r="CI567" s="2"/>
      <c r="CJ567" s="2"/>
      <c r="CK567" s="2"/>
      <c r="CL567" s="2"/>
      <c r="CM567" s="2"/>
      <c r="CN567" s="2"/>
      <c r="CO567" s="427"/>
      <c r="CP567" s="427"/>
      <c r="CQ567" s="427"/>
      <c r="CR567" s="485"/>
      <c r="CS567" s="485"/>
      <c r="CT567" s="485"/>
      <c r="CU567" s="485"/>
      <c r="CV567" s="482"/>
      <c r="CW567" s="482"/>
      <c r="CX567" s="482"/>
      <c r="CY567" s="482"/>
      <c r="CZ567" s="485"/>
      <c r="DA567" s="485"/>
      <c r="DB567" s="485"/>
      <c r="DC567" s="485"/>
      <c r="DD567" s="485"/>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485"/>
      <c r="EX567" s="457"/>
      <c r="EY567" s="457"/>
      <c r="EZ567" s="457"/>
      <c r="FA567" s="457"/>
      <c r="FB567" s="457"/>
      <c r="FC567" s="457"/>
      <c r="FD567" s="457"/>
      <c r="FE567" s="457"/>
      <c r="FF567" s="457"/>
      <c r="FG567" s="457"/>
      <c r="FH567" s="457"/>
      <c r="FI567" s="457"/>
      <c r="FJ567" s="457"/>
      <c r="FK567" s="457"/>
    </row>
    <row r="568" spans="1:167" s="416" customFormat="1">
      <c r="A568" s="427"/>
      <c r="B568" s="427"/>
      <c r="C568" s="427"/>
      <c r="D568" s="427"/>
      <c r="E568" s="428"/>
      <c r="F568" s="429"/>
      <c r="G568" s="430"/>
      <c r="H568" s="427"/>
      <c r="I568" s="427"/>
      <c r="J568" s="427"/>
      <c r="K568" s="427"/>
      <c r="L568" s="427"/>
      <c r="M568" s="427"/>
      <c r="N568" s="427"/>
      <c r="O568" s="427"/>
      <c r="P568" s="427"/>
      <c r="Q568" s="427"/>
      <c r="R568" s="427"/>
      <c r="S568" s="427"/>
      <c r="T568" s="427"/>
      <c r="U568" s="427"/>
      <c r="V568" s="428"/>
      <c r="W568" s="431"/>
      <c r="X568" s="3"/>
      <c r="Y568" s="429"/>
      <c r="Z568" s="430"/>
      <c r="AA568" s="430"/>
      <c r="AB568" s="430"/>
      <c r="AC568" s="424"/>
      <c r="AD568" s="424"/>
      <c r="AE568" s="424"/>
      <c r="AF568" s="424"/>
      <c r="AG568" s="424"/>
      <c r="AH568" s="424"/>
      <c r="AI568" s="424"/>
      <c r="AJ568" s="2"/>
      <c r="AK568" s="2"/>
      <c r="AL568" s="2"/>
      <c r="AM568" s="2"/>
      <c r="AN568" s="2"/>
      <c r="AO568" s="2"/>
      <c r="AP568" s="2"/>
      <c r="AQ568" s="427"/>
      <c r="AR568" s="754"/>
      <c r="AS568" s="427"/>
      <c r="AT568" s="754"/>
      <c r="AU568" s="427"/>
      <c r="AV568" s="427"/>
      <c r="AW568" s="427"/>
      <c r="AX568" s="427"/>
      <c r="AY568" s="754"/>
      <c r="AZ568" s="754"/>
      <c r="BA568" s="754"/>
      <c r="BB568" s="427"/>
      <c r="BC568" s="427"/>
      <c r="BD568" s="427"/>
      <c r="BE568" s="754"/>
      <c r="BF568" s="427"/>
      <c r="BG568" s="454"/>
      <c r="BH568" s="754"/>
      <c r="BI568" s="427"/>
      <c r="BJ568" s="427"/>
      <c r="BK568" s="427"/>
      <c r="BL568" s="427"/>
      <c r="BM568" s="454"/>
      <c r="BN568" s="427"/>
      <c r="BO568" s="427"/>
      <c r="BP568" s="427"/>
      <c r="BQ568" s="454"/>
      <c r="BR568" s="454"/>
      <c r="BS568" s="460"/>
      <c r="BT568" s="454"/>
      <c r="BU568" s="454"/>
      <c r="BV568" s="457"/>
      <c r="BW568" s="460"/>
      <c r="BX568" s="460"/>
      <c r="BY568" s="460"/>
      <c r="CA568" s="2"/>
      <c r="CB568" s="2"/>
      <c r="CC568" s="2"/>
      <c r="CD568" s="2"/>
      <c r="CE568" s="2"/>
      <c r="CF568" s="2"/>
      <c r="CG568" s="2"/>
      <c r="CH568" s="2"/>
      <c r="CI568" s="2"/>
      <c r="CJ568" s="2"/>
      <c r="CK568" s="2"/>
      <c r="CL568" s="2"/>
      <c r="CM568" s="2"/>
      <c r="CN568" s="2"/>
      <c r="CO568" s="427"/>
      <c r="CP568" s="427"/>
      <c r="CQ568" s="427"/>
      <c r="CR568" s="485"/>
      <c r="CS568" s="485"/>
      <c r="CT568" s="485"/>
      <c r="CU568" s="485"/>
      <c r="CV568" s="482"/>
      <c r="CW568" s="482"/>
      <c r="CX568" s="482"/>
      <c r="CY568" s="482"/>
      <c r="CZ568" s="485"/>
      <c r="DA568" s="485"/>
      <c r="DB568" s="485"/>
      <c r="DC568" s="485"/>
      <c r="DD568" s="485"/>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485"/>
      <c r="EX568" s="457"/>
      <c r="EY568" s="457"/>
      <c r="EZ568" s="457"/>
      <c r="FA568" s="457"/>
      <c r="FB568" s="457"/>
      <c r="FC568" s="457"/>
      <c r="FD568" s="457"/>
      <c r="FE568" s="457"/>
      <c r="FF568" s="457"/>
      <c r="FG568" s="457"/>
      <c r="FH568" s="457"/>
      <c r="FI568" s="457"/>
      <c r="FJ568" s="457"/>
      <c r="FK568" s="457"/>
    </row>
    <row r="569" spans="1:167" s="416" customFormat="1">
      <c r="A569" s="427"/>
      <c r="B569" s="427"/>
      <c r="C569" s="427"/>
      <c r="D569" s="427"/>
      <c r="E569" s="428"/>
      <c r="F569" s="429"/>
      <c r="G569" s="430"/>
      <c r="H569" s="427"/>
      <c r="I569" s="427"/>
      <c r="J569" s="427"/>
      <c r="K569" s="427"/>
      <c r="L569" s="427"/>
      <c r="M569" s="427"/>
      <c r="N569" s="427"/>
      <c r="O569" s="427"/>
      <c r="P569" s="427"/>
      <c r="Q569" s="427"/>
      <c r="R569" s="427"/>
      <c r="S569" s="427"/>
      <c r="T569" s="427"/>
      <c r="U569" s="427"/>
      <c r="V569" s="428"/>
      <c r="W569" s="431"/>
      <c r="X569" s="3"/>
      <c r="Y569" s="429"/>
      <c r="Z569" s="430"/>
      <c r="AA569" s="430"/>
      <c r="AB569" s="430"/>
      <c r="AC569" s="424"/>
      <c r="AD569" s="424"/>
      <c r="AE569" s="424"/>
      <c r="AF569" s="424"/>
      <c r="AG569" s="424"/>
      <c r="AH569" s="424"/>
      <c r="AI569" s="424"/>
      <c r="AJ569" s="2"/>
      <c r="AK569" s="2"/>
      <c r="AL569" s="2"/>
      <c r="AM569" s="2"/>
      <c r="AN569" s="2"/>
      <c r="AO569" s="2"/>
      <c r="AP569" s="2"/>
      <c r="AQ569" s="427"/>
      <c r="AR569" s="754"/>
      <c r="AS569" s="427"/>
      <c r="AT569" s="754"/>
      <c r="AU569" s="427"/>
      <c r="AV569" s="427"/>
      <c r="AW569" s="427"/>
      <c r="AX569" s="427"/>
      <c r="AY569" s="754"/>
      <c r="AZ569" s="754"/>
      <c r="BA569" s="754"/>
      <c r="BB569" s="427"/>
      <c r="BC569" s="427"/>
      <c r="BD569" s="427"/>
      <c r="BE569" s="754"/>
      <c r="BF569" s="427"/>
      <c r="BG569" s="454"/>
      <c r="BH569" s="754"/>
      <c r="BI569" s="427"/>
      <c r="BJ569" s="427"/>
      <c r="BK569" s="427"/>
      <c r="BL569" s="427"/>
      <c r="BM569" s="454"/>
      <c r="BN569" s="427"/>
      <c r="BO569" s="427"/>
      <c r="BP569" s="427"/>
      <c r="BQ569" s="454"/>
      <c r="BR569" s="454"/>
      <c r="BS569" s="460"/>
      <c r="BT569" s="454"/>
      <c r="BU569" s="454"/>
      <c r="BV569" s="457"/>
      <c r="BW569" s="460"/>
      <c r="BX569" s="460"/>
      <c r="BY569" s="460"/>
      <c r="CA569" s="2"/>
      <c r="CB569" s="2"/>
      <c r="CC569" s="2"/>
      <c r="CD569" s="2"/>
      <c r="CE569" s="2"/>
      <c r="CF569" s="2"/>
      <c r="CG569" s="2"/>
      <c r="CH569" s="2"/>
      <c r="CI569" s="2"/>
      <c r="CJ569" s="2"/>
      <c r="CK569" s="2"/>
      <c r="CL569" s="2"/>
      <c r="CM569" s="2"/>
      <c r="CN569" s="2"/>
      <c r="CO569" s="427"/>
      <c r="CP569" s="427"/>
      <c r="CQ569" s="427"/>
      <c r="CR569" s="485"/>
      <c r="CS569" s="485"/>
      <c r="CT569" s="485"/>
      <c r="CU569" s="485"/>
      <c r="CV569" s="482"/>
      <c r="CW569" s="482"/>
      <c r="CX569" s="482"/>
      <c r="CY569" s="482"/>
      <c r="CZ569" s="485"/>
      <c r="DA569" s="485"/>
      <c r="DB569" s="485"/>
      <c r="DC569" s="485"/>
      <c r="DD569" s="485"/>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485"/>
      <c r="EX569" s="457"/>
      <c r="EY569" s="457"/>
      <c r="EZ569" s="457"/>
      <c r="FA569" s="457"/>
      <c r="FB569" s="457"/>
      <c r="FC569" s="457"/>
      <c r="FD569" s="457"/>
      <c r="FE569" s="457"/>
      <c r="FF569" s="457"/>
      <c r="FG569" s="457"/>
      <c r="FH569" s="457"/>
      <c r="FI569" s="457"/>
      <c r="FJ569" s="457"/>
      <c r="FK569" s="457"/>
    </row>
    <row r="570" spans="1:167" s="416" customFormat="1">
      <c r="A570" s="427"/>
      <c r="B570" s="427"/>
      <c r="C570" s="427"/>
      <c r="D570" s="427"/>
      <c r="E570" s="428"/>
      <c r="F570" s="429"/>
      <c r="G570" s="430"/>
      <c r="H570" s="427"/>
      <c r="I570" s="427"/>
      <c r="J570" s="427"/>
      <c r="K570" s="427"/>
      <c r="L570" s="427"/>
      <c r="M570" s="427"/>
      <c r="N570" s="427"/>
      <c r="O570" s="427"/>
      <c r="P570" s="427"/>
      <c r="Q570" s="427"/>
      <c r="R570" s="427"/>
      <c r="S570" s="427"/>
      <c r="T570" s="427"/>
      <c r="U570" s="427"/>
      <c r="V570" s="428"/>
      <c r="W570" s="431"/>
      <c r="X570" s="3"/>
      <c r="Y570" s="429"/>
      <c r="Z570" s="430"/>
      <c r="AA570" s="430"/>
      <c r="AB570" s="430"/>
      <c r="AC570" s="424"/>
      <c r="AD570" s="424"/>
      <c r="AE570" s="424"/>
      <c r="AF570" s="424"/>
      <c r="AG570" s="424"/>
      <c r="AH570" s="424"/>
      <c r="AI570" s="424"/>
      <c r="AJ570" s="2"/>
      <c r="AK570" s="2"/>
      <c r="AL570" s="2"/>
      <c r="AM570" s="2"/>
      <c r="AN570" s="2"/>
      <c r="AO570" s="2"/>
      <c r="AP570" s="2"/>
      <c r="AQ570" s="427"/>
      <c r="AR570" s="754"/>
      <c r="AS570" s="427"/>
      <c r="AT570" s="754"/>
      <c r="AU570" s="427"/>
      <c r="AV570" s="427"/>
      <c r="AW570" s="427"/>
      <c r="AX570" s="427"/>
      <c r="AY570" s="754"/>
      <c r="AZ570" s="754"/>
      <c r="BA570" s="754"/>
      <c r="BB570" s="427"/>
      <c r="BC570" s="427"/>
      <c r="BD570" s="427"/>
      <c r="BE570" s="754"/>
      <c r="BF570" s="427"/>
      <c r="BG570" s="454"/>
      <c r="BH570" s="754"/>
      <c r="BI570" s="427"/>
      <c r="BJ570" s="427"/>
      <c r="BK570" s="427"/>
      <c r="BL570" s="427"/>
      <c r="BM570" s="454"/>
      <c r="BN570" s="427"/>
      <c r="BO570" s="427"/>
      <c r="BP570" s="427"/>
      <c r="BQ570" s="454"/>
      <c r="BR570" s="454"/>
      <c r="BS570" s="460"/>
      <c r="BT570" s="454"/>
      <c r="BU570" s="454"/>
      <c r="BV570" s="457"/>
      <c r="BW570" s="460"/>
      <c r="BX570" s="460"/>
      <c r="BY570" s="460"/>
      <c r="CA570" s="2"/>
      <c r="CB570" s="2"/>
      <c r="CC570" s="2"/>
      <c r="CD570" s="2"/>
      <c r="CE570" s="2"/>
      <c r="CF570" s="2"/>
      <c r="CG570" s="2"/>
      <c r="CH570" s="2"/>
      <c r="CI570" s="2"/>
      <c r="CJ570" s="2"/>
      <c r="CK570" s="2"/>
      <c r="CL570" s="2"/>
      <c r="CM570" s="2"/>
      <c r="CN570" s="2"/>
      <c r="CO570" s="427"/>
      <c r="CP570" s="427"/>
      <c r="CQ570" s="427"/>
      <c r="CR570" s="485"/>
      <c r="CS570" s="485"/>
      <c r="CT570" s="485"/>
      <c r="CU570" s="485"/>
      <c r="CV570" s="482"/>
      <c r="CW570" s="482"/>
      <c r="CX570" s="482"/>
      <c r="CY570" s="482"/>
      <c r="CZ570" s="485"/>
      <c r="DA570" s="485"/>
      <c r="DB570" s="485"/>
      <c r="DC570" s="485"/>
      <c r="DD570" s="485"/>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485"/>
      <c r="EX570" s="457"/>
      <c r="EY570" s="457"/>
      <c r="EZ570" s="457"/>
      <c r="FA570" s="457"/>
      <c r="FB570" s="457"/>
      <c r="FC570" s="457"/>
      <c r="FD570" s="457"/>
      <c r="FE570" s="457"/>
      <c r="FF570" s="457"/>
      <c r="FG570" s="457"/>
      <c r="FH570" s="457"/>
      <c r="FI570" s="457"/>
      <c r="FJ570" s="457"/>
      <c r="FK570" s="457"/>
    </row>
    <row r="571" spans="1:167" s="416" customFormat="1">
      <c r="A571" s="427"/>
      <c r="B571" s="427"/>
      <c r="C571" s="427"/>
      <c r="D571" s="427"/>
      <c r="E571" s="428"/>
      <c r="F571" s="429"/>
      <c r="G571" s="430"/>
      <c r="H571" s="427"/>
      <c r="I571" s="427"/>
      <c r="J571" s="427"/>
      <c r="K571" s="427"/>
      <c r="L571" s="427"/>
      <c r="M571" s="427"/>
      <c r="N571" s="427"/>
      <c r="O571" s="427"/>
      <c r="P571" s="427"/>
      <c r="Q571" s="427"/>
      <c r="R571" s="427"/>
      <c r="S571" s="427"/>
      <c r="T571" s="427"/>
      <c r="U571" s="427"/>
      <c r="V571" s="428"/>
      <c r="W571" s="431"/>
      <c r="X571" s="3"/>
      <c r="Y571" s="429"/>
      <c r="Z571" s="430"/>
      <c r="AA571" s="430"/>
      <c r="AB571" s="430"/>
      <c r="AC571" s="424"/>
      <c r="AD571" s="424"/>
      <c r="AE571" s="424"/>
      <c r="AF571" s="424"/>
      <c r="AG571" s="424"/>
      <c r="AH571" s="424"/>
      <c r="AI571" s="424"/>
      <c r="AJ571" s="2"/>
      <c r="AK571" s="2"/>
      <c r="AL571" s="2"/>
      <c r="AM571" s="2"/>
      <c r="AN571" s="2"/>
      <c r="AO571" s="2"/>
      <c r="AP571" s="2"/>
      <c r="AQ571" s="427"/>
      <c r="AR571" s="754"/>
      <c r="AS571" s="427"/>
      <c r="AT571" s="754"/>
      <c r="AU571" s="427"/>
      <c r="AV571" s="427"/>
      <c r="AW571" s="427"/>
      <c r="AX571" s="427"/>
      <c r="AY571" s="754"/>
      <c r="AZ571" s="754"/>
      <c r="BA571" s="754"/>
      <c r="BB571" s="427"/>
      <c r="BC571" s="427"/>
      <c r="BD571" s="427"/>
      <c r="BE571" s="754"/>
      <c r="BF571" s="427"/>
      <c r="BG571" s="454"/>
      <c r="BH571" s="754"/>
      <c r="BI571" s="427"/>
      <c r="BJ571" s="427"/>
      <c r="BK571" s="427"/>
      <c r="BL571" s="427"/>
      <c r="BM571" s="454"/>
      <c r="BN571" s="427"/>
      <c r="BO571" s="427"/>
      <c r="BP571" s="427"/>
      <c r="BQ571" s="454"/>
      <c r="BR571" s="454"/>
      <c r="BS571" s="460"/>
      <c r="BT571" s="454"/>
      <c r="BU571" s="454"/>
      <c r="BV571" s="457"/>
      <c r="BW571" s="460"/>
      <c r="BX571" s="460"/>
      <c r="BY571" s="460"/>
      <c r="CA571" s="2"/>
      <c r="CB571" s="2"/>
      <c r="CC571" s="2"/>
      <c r="CD571" s="2"/>
      <c r="CE571" s="2"/>
      <c r="CF571" s="2"/>
      <c r="CG571" s="2"/>
      <c r="CH571" s="2"/>
      <c r="CI571" s="2"/>
      <c r="CJ571" s="2"/>
      <c r="CK571" s="2"/>
      <c r="CL571" s="2"/>
      <c r="CM571" s="2"/>
      <c r="CN571" s="2"/>
      <c r="CO571" s="427"/>
      <c r="CP571" s="427"/>
      <c r="CQ571" s="427"/>
      <c r="CR571" s="485"/>
      <c r="CS571" s="485"/>
      <c r="CT571" s="485"/>
      <c r="CU571" s="485"/>
      <c r="CV571" s="482"/>
      <c r="CW571" s="482"/>
      <c r="CX571" s="482"/>
      <c r="CY571" s="482"/>
      <c r="CZ571" s="485"/>
      <c r="DA571" s="485"/>
      <c r="DB571" s="485"/>
      <c r="DC571" s="485"/>
      <c r="DD571" s="485"/>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485"/>
      <c r="EX571" s="457"/>
      <c r="EY571" s="457"/>
      <c r="EZ571" s="457"/>
      <c r="FA571" s="457"/>
      <c r="FB571" s="457"/>
      <c r="FC571" s="457"/>
      <c r="FD571" s="457"/>
      <c r="FE571" s="457"/>
      <c r="FF571" s="457"/>
      <c r="FG571" s="457"/>
      <c r="FH571" s="457"/>
      <c r="FI571" s="457"/>
      <c r="FJ571" s="457"/>
      <c r="FK571" s="457"/>
    </row>
    <row r="572" spans="1:167" s="416" customFormat="1">
      <c r="A572" s="427"/>
      <c r="B572" s="427"/>
      <c r="C572" s="427"/>
      <c r="D572" s="427"/>
      <c r="E572" s="428"/>
      <c r="F572" s="429"/>
      <c r="G572" s="430"/>
      <c r="H572" s="427"/>
      <c r="I572" s="427"/>
      <c r="J572" s="427"/>
      <c r="K572" s="427"/>
      <c r="L572" s="427"/>
      <c r="M572" s="427"/>
      <c r="N572" s="427"/>
      <c r="O572" s="427"/>
      <c r="P572" s="427"/>
      <c r="Q572" s="427"/>
      <c r="R572" s="427"/>
      <c r="S572" s="427"/>
      <c r="T572" s="427"/>
      <c r="U572" s="427"/>
      <c r="V572" s="428"/>
      <c r="W572" s="431"/>
      <c r="X572" s="3"/>
      <c r="Y572" s="429"/>
      <c r="Z572" s="430"/>
      <c r="AA572" s="430"/>
      <c r="AB572" s="430"/>
      <c r="AC572" s="424"/>
      <c r="AD572" s="424"/>
      <c r="AE572" s="424"/>
      <c r="AF572" s="424"/>
      <c r="AG572" s="424"/>
      <c r="AH572" s="424"/>
      <c r="AI572" s="424"/>
      <c r="AJ572" s="2"/>
      <c r="AK572" s="2"/>
      <c r="AL572" s="2"/>
      <c r="AM572" s="2"/>
      <c r="AN572" s="2"/>
      <c r="AO572" s="2"/>
      <c r="AP572" s="2"/>
      <c r="AQ572" s="427"/>
      <c r="AR572" s="754"/>
      <c r="AS572" s="427"/>
      <c r="AT572" s="754"/>
      <c r="AU572" s="427"/>
      <c r="AV572" s="427"/>
      <c r="AW572" s="427"/>
      <c r="AX572" s="427"/>
      <c r="AY572" s="754"/>
      <c r="AZ572" s="754"/>
      <c r="BA572" s="754"/>
      <c r="BB572" s="427"/>
      <c r="BC572" s="427"/>
      <c r="BD572" s="427"/>
      <c r="BE572" s="754"/>
      <c r="BF572" s="427"/>
      <c r="BG572" s="454"/>
      <c r="BH572" s="754"/>
      <c r="BI572" s="427"/>
      <c r="BJ572" s="427"/>
      <c r="BK572" s="427"/>
      <c r="BL572" s="427"/>
      <c r="BM572" s="454"/>
      <c r="BN572" s="427"/>
      <c r="BO572" s="427"/>
      <c r="BP572" s="427"/>
      <c r="BQ572" s="454"/>
      <c r="BR572" s="454"/>
      <c r="BS572" s="460"/>
      <c r="BT572" s="454"/>
      <c r="BU572" s="454"/>
      <c r="BV572" s="457"/>
      <c r="BW572" s="460"/>
      <c r="BX572" s="460"/>
      <c r="BY572" s="460"/>
      <c r="CA572" s="2"/>
      <c r="CB572" s="2"/>
      <c r="CC572" s="2"/>
      <c r="CD572" s="2"/>
      <c r="CE572" s="2"/>
      <c r="CF572" s="2"/>
      <c r="CG572" s="2"/>
      <c r="CH572" s="2"/>
      <c r="CI572" s="2"/>
      <c r="CJ572" s="2"/>
      <c r="CK572" s="2"/>
      <c r="CL572" s="2"/>
      <c r="CM572" s="2"/>
      <c r="CN572" s="2"/>
      <c r="CO572" s="427"/>
      <c r="CP572" s="427"/>
      <c r="CQ572" s="427"/>
      <c r="CR572" s="485"/>
      <c r="CS572" s="485"/>
      <c r="CT572" s="485"/>
      <c r="CU572" s="485"/>
      <c r="CV572" s="482"/>
      <c r="CW572" s="482"/>
      <c r="CX572" s="482"/>
      <c r="CY572" s="482"/>
      <c r="CZ572" s="485"/>
      <c r="DA572" s="485"/>
      <c r="DB572" s="485"/>
      <c r="DC572" s="485"/>
      <c r="DD572" s="485"/>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485"/>
      <c r="EX572" s="457"/>
      <c r="EY572" s="457"/>
      <c r="EZ572" s="457"/>
      <c r="FA572" s="457"/>
      <c r="FB572" s="457"/>
      <c r="FC572" s="457"/>
      <c r="FD572" s="457"/>
      <c r="FE572" s="457"/>
      <c r="FF572" s="457"/>
      <c r="FG572" s="457"/>
      <c r="FH572" s="457"/>
      <c r="FI572" s="457"/>
      <c r="FJ572" s="457"/>
      <c r="FK572" s="457"/>
    </row>
    <row r="573" spans="1:167" s="416" customFormat="1">
      <c r="A573" s="427"/>
      <c r="B573" s="427"/>
      <c r="C573" s="427"/>
      <c r="D573" s="427"/>
      <c r="E573" s="428"/>
      <c r="F573" s="429"/>
      <c r="G573" s="430"/>
      <c r="H573" s="427"/>
      <c r="I573" s="427"/>
      <c r="J573" s="427"/>
      <c r="K573" s="427"/>
      <c r="L573" s="427"/>
      <c r="M573" s="427"/>
      <c r="N573" s="427"/>
      <c r="O573" s="427"/>
      <c r="P573" s="427"/>
      <c r="Q573" s="427"/>
      <c r="R573" s="427"/>
      <c r="S573" s="427"/>
      <c r="T573" s="427"/>
      <c r="U573" s="427"/>
      <c r="V573" s="428"/>
      <c r="W573" s="431"/>
      <c r="X573" s="3"/>
      <c r="Y573" s="429"/>
      <c r="Z573" s="430"/>
      <c r="AA573" s="430"/>
      <c r="AB573" s="430"/>
      <c r="AC573" s="424"/>
      <c r="AD573" s="424"/>
      <c r="AE573" s="424"/>
      <c r="AF573" s="424"/>
      <c r="AG573" s="424"/>
      <c r="AH573" s="424"/>
      <c r="AI573" s="424"/>
      <c r="AJ573" s="2"/>
      <c r="AK573" s="2"/>
      <c r="AL573" s="2"/>
      <c r="AM573" s="2"/>
      <c r="AN573" s="2"/>
      <c r="AO573" s="2"/>
      <c r="AP573" s="2"/>
      <c r="AQ573" s="427"/>
      <c r="AR573" s="754"/>
      <c r="AS573" s="427"/>
      <c r="AT573" s="754"/>
      <c r="AU573" s="427"/>
      <c r="AV573" s="427"/>
      <c r="AW573" s="427"/>
      <c r="AX573" s="427"/>
      <c r="AY573" s="754"/>
      <c r="AZ573" s="754"/>
      <c r="BA573" s="754"/>
      <c r="BB573" s="427"/>
      <c r="BC573" s="427"/>
      <c r="BD573" s="427"/>
      <c r="BE573" s="754"/>
      <c r="BF573" s="427"/>
      <c r="BG573" s="454"/>
      <c r="BH573" s="754"/>
      <c r="BI573" s="427"/>
      <c r="BJ573" s="427"/>
      <c r="BK573" s="427"/>
      <c r="BL573" s="427"/>
      <c r="BM573" s="454"/>
      <c r="BN573" s="427"/>
      <c r="BO573" s="427"/>
      <c r="BP573" s="427"/>
      <c r="BQ573" s="454"/>
      <c r="BR573" s="454"/>
      <c r="BS573" s="460"/>
      <c r="BT573" s="454"/>
      <c r="BU573" s="454"/>
      <c r="BV573" s="457"/>
      <c r="BW573" s="460"/>
      <c r="BX573" s="460"/>
      <c r="BY573" s="460"/>
      <c r="CA573" s="2"/>
      <c r="CB573" s="2"/>
      <c r="CC573" s="2"/>
      <c r="CD573" s="2"/>
      <c r="CE573" s="2"/>
      <c r="CF573" s="2"/>
      <c r="CG573" s="2"/>
      <c r="CH573" s="2"/>
      <c r="CI573" s="2"/>
      <c r="CJ573" s="2"/>
      <c r="CK573" s="2"/>
      <c r="CL573" s="2"/>
      <c r="CM573" s="2"/>
      <c r="CN573" s="2"/>
      <c r="CO573" s="427"/>
      <c r="CP573" s="427"/>
      <c r="CQ573" s="427"/>
      <c r="CR573" s="485"/>
      <c r="CS573" s="485"/>
      <c r="CT573" s="485"/>
      <c r="CU573" s="485"/>
      <c r="CV573" s="482"/>
      <c r="CW573" s="482"/>
      <c r="CX573" s="482"/>
      <c r="CY573" s="482"/>
      <c r="CZ573" s="485"/>
      <c r="DA573" s="485"/>
      <c r="DB573" s="485"/>
      <c r="DC573" s="485"/>
      <c r="DD573" s="485"/>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485"/>
      <c r="EX573" s="457"/>
      <c r="EY573" s="457"/>
      <c r="EZ573" s="457"/>
      <c r="FA573" s="457"/>
      <c r="FB573" s="457"/>
      <c r="FC573" s="457"/>
      <c r="FD573" s="457"/>
      <c r="FE573" s="457"/>
      <c r="FF573" s="457"/>
      <c r="FG573" s="457"/>
      <c r="FH573" s="457"/>
      <c r="FI573" s="457"/>
      <c r="FJ573" s="457"/>
      <c r="FK573" s="457"/>
    </row>
    <row r="574" spans="1:167" s="416" customFormat="1">
      <c r="A574" s="427"/>
      <c r="B574" s="427"/>
      <c r="C574" s="427"/>
      <c r="D574" s="427"/>
      <c r="E574" s="428"/>
      <c r="F574" s="429"/>
      <c r="G574" s="430"/>
      <c r="H574" s="427"/>
      <c r="I574" s="427"/>
      <c r="J574" s="427"/>
      <c r="K574" s="427"/>
      <c r="L574" s="427"/>
      <c r="M574" s="427"/>
      <c r="N574" s="427"/>
      <c r="O574" s="427"/>
      <c r="P574" s="427"/>
      <c r="Q574" s="427"/>
      <c r="R574" s="427"/>
      <c r="S574" s="427"/>
      <c r="T574" s="427"/>
      <c r="U574" s="427"/>
      <c r="V574" s="428"/>
      <c r="W574" s="431"/>
      <c r="X574" s="3"/>
      <c r="Y574" s="429"/>
      <c r="Z574" s="430"/>
      <c r="AA574" s="430"/>
      <c r="AB574" s="430"/>
      <c r="AC574" s="424"/>
      <c r="AD574" s="424"/>
      <c r="AE574" s="424"/>
      <c r="AF574" s="424"/>
      <c r="AG574" s="424"/>
      <c r="AH574" s="424"/>
      <c r="AI574" s="424"/>
      <c r="AJ574" s="2"/>
      <c r="AK574" s="2"/>
      <c r="AL574" s="2"/>
      <c r="AM574" s="2"/>
      <c r="AN574" s="2"/>
      <c r="AO574" s="2"/>
      <c r="AP574" s="2"/>
      <c r="AQ574" s="427"/>
      <c r="AR574" s="754"/>
      <c r="AS574" s="427"/>
      <c r="AT574" s="754"/>
      <c r="AU574" s="427"/>
      <c r="AV574" s="427"/>
      <c r="AW574" s="427"/>
      <c r="AX574" s="427"/>
      <c r="AY574" s="754"/>
      <c r="AZ574" s="754"/>
      <c r="BA574" s="754"/>
      <c r="BB574" s="427"/>
      <c r="BC574" s="427"/>
      <c r="BD574" s="427"/>
      <c r="BE574" s="754"/>
      <c r="BF574" s="427"/>
      <c r="BG574" s="454"/>
      <c r="BH574" s="754"/>
      <c r="BI574" s="427"/>
      <c r="BJ574" s="427"/>
      <c r="BK574" s="427"/>
      <c r="BL574" s="427"/>
      <c r="BM574" s="454"/>
      <c r="BN574" s="427"/>
      <c r="BO574" s="427"/>
      <c r="BP574" s="427"/>
      <c r="BQ574" s="454"/>
      <c r="BR574" s="454"/>
      <c r="BS574" s="460"/>
      <c r="BT574" s="454"/>
      <c r="BU574" s="454"/>
      <c r="BV574" s="457"/>
      <c r="BW574" s="460"/>
      <c r="BX574" s="460"/>
      <c r="BY574" s="460"/>
      <c r="CA574" s="2"/>
      <c r="CB574" s="2"/>
      <c r="CC574" s="2"/>
      <c r="CD574" s="2"/>
      <c r="CE574" s="2"/>
      <c r="CF574" s="2"/>
      <c r="CG574" s="2"/>
      <c r="CH574" s="2"/>
      <c r="CI574" s="2"/>
      <c r="CJ574" s="2"/>
      <c r="CK574" s="2"/>
      <c r="CL574" s="2"/>
      <c r="CM574" s="2"/>
      <c r="CN574" s="2"/>
      <c r="CO574" s="427"/>
      <c r="CP574" s="427"/>
      <c r="CQ574" s="427"/>
      <c r="CR574" s="485"/>
      <c r="CS574" s="485"/>
      <c r="CT574" s="485"/>
      <c r="CU574" s="485"/>
      <c r="CV574" s="482"/>
      <c r="CW574" s="482"/>
      <c r="CX574" s="482"/>
      <c r="CY574" s="482"/>
      <c r="CZ574" s="485"/>
      <c r="DA574" s="485"/>
      <c r="DB574" s="485"/>
      <c r="DC574" s="485"/>
      <c r="DD574" s="485"/>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485"/>
      <c r="EX574" s="457"/>
      <c r="EY574" s="457"/>
      <c r="EZ574" s="457"/>
      <c r="FA574" s="457"/>
      <c r="FB574" s="457"/>
      <c r="FC574" s="457"/>
      <c r="FD574" s="457"/>
      <c r="FE574" s="457"/>
      <c r="FF574" s="457"/>
      <c r="FG574" s="457"/>
      <c r="FH574" s="457"/>
      <c r="FI574" s="457"/>
      <c r="FJ574" s="457"/>
      <c r="FK574" s="457"/>
    </row>
    <row r="575" spans="1:167" s="416" customFormat="1">
      <c r="A575" s="427"/>
      <c r="B575" s="427"/>
      <c r="C575" s="427"/>
      <c r="D575" s="427"/>
      <c r="E575" s="428"/>
      <c r="F575" s="429"/>
      <c r="G575" s="430"/>
      <c r="H575" s="427"/>
      <c r="I575" s="427"/>
      <c r="J575" s="427"/>
      <c r="K575" s="427"/>
      <c r="L575" s="427"/>
      <c r="M575" s="427"/>
      <c r="N575" s="427"/>
      <c r="O575" s="427"/>
      <c r="P575" s="427"/>
      <c r="Q575" s="427"/>
      <c r="R575" s="427"/>
      <c r="S575" s="427"/>
      <c r="T575" s="427"/>
      <c r="U575" s="427"/>
      <c r="V575" s="428"/>
      <c r="W575" s="431"/>
      <c r="X575" s="3"/>
      <c r="Y575" s="429"/>
      <c r="Z575" s="430"/>
      <c r="AA575" s="430"/>
      <c r="AB575" s="430"/>
      <c r="AC575" s="424"/>
      <c r="AD575" s="424"/>
      <c r="AE575" s="424"/>
      <c r="AF575" s="424"/>
      <c r="AG575" s="424"/>
      <c r="AH575" s="424"/>
      <c r="AI575" s="424"/>
      <c r="AJ575" s="2"/>
      <c r="AK575" s="2"/>
      <c r="AL575" s="2"/>
      <c r="AM575" s="2"/>
      <c r="AN575" s="2"/>
      <c r="AO575" s="2"/>
      <c r="AP575" s="2"/>
      <c r="AQ575" s="427"/>
      <c r="AR575" s="754"/>
      <c r="AS575" s="427"/>
      <c r="AT575" s="754"/>
      <c r="AU575" s="427"/>
      <c r="AV575" s="427"/>
      <c r="AW575" s="427"/>
      <c r="AX575" s="427"/>
      <c r="AY575" s="754"/>
      <c r="AZ575" s="754"/>
      <c r="BA575" s="754"/>
      <c r="BB575" s="427"/>
      <c r="BC575" s="427"/>
      <c r="BD575" s="427"/>
      <c r="BE575" s="754"/>
      <c r="BF575" s="427"/>
      <c r="BG575" s="454"/>
      <c r="BH575" s="754"/>
      <c r="BI575" s="427"/>
      <c r="BJ575" s="427"/>
      <c r="BK575" s="427"/>
      <c r="BL575" s="427"/>
      <c r="BM575" s="454"/>
      <c r="BN575" s="427"/>
      <c r="BO575" s="427"/>
      <c r="BP575" s="427"/>
      <c r="BQ575" s="454"/>
      <c r="BR575" s="454"/>
      <c r="BS575" s="460"/>
      <c r="BT575" s="454"/>
      <c r="BU575" s="454"/>
      <c r="BV575" s="457"/>
      <c r="BW575" s="460"/>
      <c r="BX575" s="460"/>
      <c r="BY575" s="460"/>
      <c r="CA575" s="2"/>
      <c r="CB575" s="2"/>
      <c r="CC575" s="2"/>
      <c r="CD575" s="2"/>
      <c r="CE575" s="2"/>
      <c r="CF575" s="2"/>
      <c r="CG575" s="2"/>
      <c r="CH575" s="2"/>
      <c r="CI575" s="2"/>
      <c r="CJ575" s="2"/>
      <c r="CK575" s="2"/>
      <c r="CL575" s="2"/>
      <c r="CM575" s="2"/>
      <c r="CN575" s="2"/>
      <c r="CO575" s="427"/>
      <c r="CP575" s="427"/>
      <c r="CQ575" s="427"/>
      <c r="CR575" s="485"/>
      <c r="CS575" s="485"/>
      <c r="CT575" s="485"/>
      <c r="CU575" s="485"/>
      <c r="CV575" s="482"/>
      <c r="CW575" s="482"/>
      <c r="CX575" s="482"/>
      <c r="CY575" s="482"/>
      <c r="CZ575" s="485"/>
      <c r="DA575" s="485"/>
      <c r="DB575" s="485"/>
      <c r="DC575" s="485"/>
      <c r="DD575" s="485"/>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485"/>
      <c r="EX575" s="457"/>
      <c r="EY575" s="457"/>
      <c r="EZ575" s="457"/>
      <c r="FA575" s="457"/>
      <c r="FB575" s="457"/>
      <c r="FC575" s="457"/>
      <c r="FD575" s="457"/>
      <c r="FE575" s="457"/>
      <c r="FF575" s="457"/>
      <c r="FG575" s="457"/>
      <c r="FH575" s="457"/>
      <c r="FI575" s="457"/>
      <c r="FJ575" s="457"/>
      <c r="FK575" s="457"/>
    </row>
    <row r="576" spans="1:167" s="416" customFormat="1">
      <c r="A576" s="427"/>
      <c r="B576" s="427"/>
      <c r="C576" s="427"/>
      <c r="D576" s="427"/>
      <c r="E576" s="428"/>
      <c r="F576" s="429"/>
      <c r="G576" s="430"/>
      <c r="H576" s="427"/>
      <c r="I576" s="427"/>
      <c r="J576" s="427"/>
      <c r="K576" s="427"/>
      <c r="L576" s="427"/>
      <c r="M576" s="427"/>
      <c r="N576" s="427"/>
      <c r="O576" s="427"/>
      <c r="P576" s="427"/>
      <c r="Q576" s="427"/>
      <c r="R576" s="427"/>
      <c r="S576" s="427"/>
      <c r="T576" s="427"/>
      <c r="U576" s="427"/>
      <c r="V576" s="428"/>
      <c r="W576" s="431"/>
      <c r="X576" s="3"/>
      <c r="Y576" s="429"/>
      <c r="Z576" s="430"/>
      <c r="AA576" s="430"/>
      <c r="AB576" s="430"/>
      <c r="AC576" s="424"/>
      <c r="AD576" s="424"/>
      <c r="AE576" s="424"/>
      <c r="AF576" s="424"/>
      <c r="AG576" s="424"/>
      <c r="AH576" s="424"/>
      <c r="AI576" s="424"/>
      <c r="AJ576" s="2"/>
      <c r="AK576" s="2"/>
      <c r="AL576" s="2"/>
      <c r="AM576" s="2"/>
      <c r="AN576" s="2"/>
      <c r="AO576" s="2"/>
      <c r="AP576" s="2"/>
      <c r="AQ576" s="427"/>
      <c r="AR576" s="754"/>
      <c r="AS576" s="427"/>
      <c r="AT576" s="754"/>
      <c r="AU576" s="427"/>
      <c r="AV576" s="427"/>
      <c r="AW576" s="427"/>
      <c r="AX576" s="427"/>
      <c r="AY576" s="754"/>
      <c r="AZ576" s="754"/>
      <c r="BA576" s="754"/>
      <c r="BB576" s="427"/>
      <c r="BC576" s="427"/>
      <c r="BD576" s="427"/>
      <c r="BE576" s="754"/>
      <c r="BF576" s="427"/>
      <c r="BG576" s="454"/>
      <c r="BH576" s="754"/>
      <c r="BI576" s="427"/>
      <c r="BJ576" s="427"/>
      <c r="BK576" s="427"/>
      <c r="BL576" s="427"/>
      <c r="BM576" s="454"/>
      <c r="BN576" s="427"/>
      <c r="BO576" s="427"/>
      <c r="BP576" s="427"/>
      <c r="BQ576" s="454"/>
      <c r="BR576" s="454"/>
      <c r="BS576" s="460"/>
      <c r="BT576" s="454"/>
      <c r="BU576" s="454"/>
      <c r="BV576" s="457"/>
      <c r="BW576" s="460"/>
      <c r="BX576" s="460"/>
      <c r="BY576" s="460"/>
      <c r="CA576" s="2"/>
      <c r="CB576" s="2"/>
      <c r="CC576" s="2"/>
      <c r="CD576" s="2"/>
      <c r="CE576" s="2"/>
      <c r="CF576" s="2"/>
      <c r="CG576" s="2"/>
      <c r="CH576" s="2"/>
      <c r="CI576" s="2"/>
      <c r="CJ576" s="2"/>
      <c r="CK576" s="2"/>
      <c r="CL576" s="2"/>
      <c r="CM576" s="2"/>
      <c r="CN576" s="2"/>
      <c r="CO576" s="427"/>
      <c r="CP576" s="427"/>
      <c r="CQ576" s="427"/>
      <c r="CR576" s="485"/>
      <c r="CS576" s="485"/>
      <c r="CT576" s="485"/>
      <c r="CU576" s="485"/>
      <c r="CV576" s="482"/>
      <c r="CW576" s="482"/>
      <c r="CX576" s="482"/>
      <c r="CY576" s="482"/>
      <c r="CZ576" s="485"/>
      <c r="DA576" s="485"/>
      <c r="DB576" s="485"/>
      <c r="DC576" s="485"/>
      <c r="DD576" s="485"/>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485"/>
      <c r="EX576" s="457"/>
      <c r="EY576" s="457"/>
      <c r="EZ576" s="457"/>
      <c r="FA576" s="457"/>
      <c r="FB576" s="457"/>
      <c r="FC576" s="457"/>
      <c r="FD576" s="457"/>
      <c r="FE576" s="457"/>
      <c r="FF576" s="457"/>
      <c r="FG576" s="457"/>
      <c r="FH576" s="457"/>
      <c r="FI576" s="457"/>
      <c r="FJ576" s="457"/>
      <c r="FK576" s="457"/>
    </row>
    <row r="577" spans="1:167" s="416" customFormat="1">
      <c r="A577" s="427"/>
      <c r="B577" s="427"/>
      <c r="C577" s="427"/>
      <c r="D577" s="427"/>
      <c r="E577" s="428"/>
      <c r="F577" s="429"/>
      <c r="G577" s="430"/>
      <c r="H577" s="427"/>
      <c r="I577" s="427"/>
      <c r="J577" s="427"/>
      <c r="K577" s="427"/>
      <c r="L577" s="427"/>
      <c r="M577" s="427"/>
      <c r="N577" s="427"/>
      <c r="O577" s="427"/>
      <c r="P577" s="427"/>
      <c r="Q577" s="427"/>
      <c r="R577" s="427"/>
      <c r="S577" s="427"/>
      <c r="T577" s="427"/>
      <c r="U577" s="427"/>
      <c r="V577" s="428"/>
      <c r="W577" s="431"/>
      <c r="X577" s="3"/>
      <c r="Y577" s="429"/>
      <c r="Z577" s="430"/>
      <c r="AA577" s="430"/>
      <c r="AB577" s="430"/>
      <c r="AC577" s="424"/>
      <c r="AD577" s="424"/>
      <c r="AE577" s="424"/>
      <c r="AF577" s="424"/>
      <c r="AG577" s="424"/>
      <c r="AH577" s="424"/>
      <c r="AI577" s="424"/>
      <c r="AJ577" s="2"/>
      <c r="AK577" s="2"/>
      <c r="AL577" s="2"/>
      <c r="AM577" s="2"/>
      <c r="AN577" s="2"/>
      <c r="AO577" s="2"/>
      <c r="AP577" s="2"/>
      <c r="AQ577" s="427"/>
      <c r="AR577" s="754"/>
      <c r="AS577" s="427"/>
      <c r="AT577" s="754"/>
      <c r="AU577" s="427"/>
      <c r="AV577" s="427"/>
      <c r="AW577" s="427"/>
      <c r="AX577" s="427"/>
      <c r="AY577" s="754"/>
      <c r="AZ577" s="754"/>
      <c r="BA577" s="754"/>
      <c r="BB577" s="427"/>
      <c r="BC577" s="427"/>
      <c r="BD577" s="427"/>
      <c r="BE577" s="754"/>
      <c r="BF577" s="427"/>
      <c r="BG577" s="454"/>
      <c r="BH577" s="754"/>
      <c r="BI577" s="427"/>
      <c r="BJ577" s="427"/>
      <c r="BK577" s="427"/>
      <c r="BL577" s="427"/>
      <c r="BM577" s="454"/>
      <c r="BN577" s="427"/>
      <c r="BO577" s="427"/>
      <c r="BP577" s="427"/>
      <c r="BQ577" s="454"/>
      <c r="BR577" s="454"/>
      <c r="BS577" s="460"/>
      <c r="BT577" s="454"/>
      <c r="BU577" s="454"/>
      <c r="BV577" s="457"/>
      <c r="BW577" s="460"/>
      <c r="BX577" s="460"/>
      <c r="BY577" s="460"/>
      <c r="CA577" s="2"/>
      <c r="CB577" s="2"/>
      <c r="CC577" s="2"/>
      <c r="CD577" s="2"/>
      <c r="CE577" s="2"/>
      <c r="CF577" s="2"/>
      <c r="CG577" s="2"/>
      <c r="CH577" s="2"/>
      <c r="CI577" s="2"/>
      <c r="CJ577" s="2"/>
      <c r="CK577" s="2"/>
      <c r="CL577" s="2"/>
      <c r="CM577" s="2"/>
      <c r="CN577" s="2"/>
      <c r="CO577" s="427"/>
      <c r="CP577" s="427"/>
      <c r="CQ577" s="427"/>
      <c r="CR577" s="485"/>
      <c r="CS577" s="485"/>
      <c r="CT577" s="485"/>
      <c r="CU577" s="485"/>
      <c r="CV577" s="482"/>
      <c r="CW577" s="482"/>
      <c r="CX577" s="482"/>
      <c r="CY577" s="482"/>
      <c r="CZ577" s="485"/>
      <c r="DA577" s="485"/>
      <c r="DB577" s="485"/>
      <c r="DC577" s="485"/>
      <c r="DD577" s="485"/>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485"/>
      <c r="EX577" s="457"/>
      <c r="EY577" s="457"/>
      <c r="EZ577" s="457"/>
      <c r="FA577" s="457"/>
      <c r="FB577" s="457"/>
      <c r="FC577" s="457"/>
      <c r="FD577" s="457"/>
      <c r="FE577" s="457"/>
      <c r="FF577" s="457"/>
      <c r="FG577" s="457"/>
      <c r="FH577" s="457"/>
      <c r="FI577" s="457"/>
      <c r="FJ577" s="457"/>
      <c r="FK577" s="457"/>
    </row>
    <row r="578" spans="1:167" s="416" customFormat="1">
      <c r="A578" s="427"/>
      <c r="B578" s="427"/>
      <c r="C578" s="427"/>
      <c r="D578" s="427"/>
      <c r="E578" s="428"/>
      <c r="F578" s="429"/>
      <c r="G578" s="430"/>
      <c r="H578" s="427"/>
      <c r="I578" s="427"/>
      <c r="J578" s="427"/>
      <c r="K578" s="427"/>
      <c r="L578" s="427"/>
      <c r="M578" s="427"/>
      <c r="N578" s="427"/>
      <c r="O578" s="427"/>
      <c r="P578" s="427"/>
      <c r="Q578" s="427"/>
      <c r="R578" s="427"/>
      <c r="S578" s="427"/>
      <c r="T578" s="427"/>
      <c r="U578" s="427"/>
      <c r="V578" s="428"/>
      <c r="W578" s="431"/>
      <c r="X578" s="3"/>
      <c r="Y578" s="429"/>
      <c r="Z578" s="430"/>
      <c r="AA578" s="430"/>
      <c r="AB578" s="430"/>
      <c r="AC578" s="424"/>
      <c r="AD578" s="424"/>
      <c r="AE578" s="424"/>
      <c r="AF578" s="424"/>
      <c r="AG578" s="424"/>
      <c r="AH578" s="424"/>
      <c r="AI578" s="424"/>
      <c r="AJ578" s="2"/>
      <c r="AK578" s="2"/>
      <c r="AL578" s="2"/>
      <c r="AM578" s="2"/>
      <c r="AN578" s="2"/>
      <c r="AO578" s="2"/>
      <c r="AP578" s="2"/>
      <c r="AQ578" s="427"/>
      <c r="AR578" s="754"/>
      <c r="AS578" s="427"/>
      <c r="AT578" s="754"/>
      <c r="AU578" s="427"/>
      <c r="AV578" s="427"/>
      <c r="AW578" s="427"/>
      <c r="AX578" s="427"/>
      <c r="AY578" s="754"/>
      <c r="AZ578" s="754"/>
      <c r="BA578" s="754"/>
      <c r="BB578" s="427"/>
      <c r="BC578" s="427"/>
      <c r="BD578" s="427"/>
      <c r="BE578" s="754"/>
      <c r="BF578" s="427"/>
      <c r="BG578" s="454"/>
      <c r="BH578" s="754"/>
      <c r="BI578" s="427"/>
      <c r="BJ578" s="427"/>
      <c r="BK578" s="427"/>
      <c r="BL578" s="427"/>
      <c r="BM578" s="454"/>
      <c r="BN578" s="427"/>
      <c r="BO578" s="427"/>
      <c r="BP578" s="427"/>
      <c r="BQ578" s="454"/>
      <c r="BR578" s="454"/>
      <c r="BS578" s="460"/>
      <c r="BT578" s="454"/>
      <c r="BU578" s="454"/>
      <c r="BV578" s="457"/>
      <c r="BW578" s="460"/>
      <c r="BX578" s="460"/>
      <c r="BY578" s="460"/>
      <c r="CA578" s="2"/>
      <c r="CB578" s="2"/>
      <c r="CC578" s="2"/>
      <c r="CD578" s="2"/>
      <c r="CE578" s="2"/>
      <c r="CF578" s="2"/>
      <c r="CG578" s="2"/>
      <c r="CH578" s="2"/>
      <c r="CI578" s="2"/>
      <c r="CJ578" s="2"/>
      <c r="CK578" s="2"/>
      <c r="CL578" s="2"/>
      <c r="CM578" s="2"/>
      <c r="CN578" s="2"/>
      <c r="CO578" s="427"/>
      <c r="CP578" s="427"/>
      <c r="CQ578" s="427"/>
      <c r="CR578" s="485"/>
      <c r="CS578" s="485"/>
      <c r="CT578" s="485"/>
      <c r="CU578" s="485"/>
      <c r="CV578" s="482"/>
      <c r="CW578" s="482"/>
      <c r="CX578" s="482"/>
      <c r="CY578" s="482"/>
      <c r="CZ578" s="485"/>
      <c r="DA578" s="485"/>
      <c r="DB578" s="485"/>
      <c r="DC578" s="485"/>
      <c r="DD578" s="485"/>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485"/>
      <c r="EX578" s="457"/>
      <c r="EY578" s="457"/>
      <c r="EZ578" s="457"/>
      <c r="FA578" s="457"/>
      <c r="FB578" s="457"/>
      <c r="FC578" s="457"/>
      <c r="FD578" s="457"/>
      <c r="FE578" s="457"/>
      <c r="FF578" s="457"/>
      <c r="FG578" s="457"/>
      <c r="FH578" s="457"/>
      <c r="FI578" s="457"/>
      <c r="FJ578" s="457"/>
      <c r="FK578" s="457"/>
    </row>
    <row r="579" spans="1:167" s="416" customFormat="1">
      <c r="A579" s="427"/>
      <c r="B579" s="427"/>
      <c r="C579" s="427"/>
      <c r="D579" s="427"/>
      <c r="E579" s="428"/>
      <c r="F579" s="429"/>
      <c r="G579" s="430"/>
      <c r="H579" s="427"/>
      <c r="I579" s="427"/>
      <c r="J579" s="427"/>
      <c r="K579" s="427"/>
      <c r="L579" s="427"/>
      <c r="M579" s="427"/>
      <c r="N579" s="427"/>
      <c r="O579" s="427"/>
      <c r="P579" s="427"/>
      <c r="Q579" s="427"/>
      <c r="R579" s="427"/>
      <c r="S579" s="427"/>
      <c r="T579" s="427"/>
      <c r="U579" s="427"/>
      <c r="V579" s="428"/>
      <c r="W579" s="431"/>
      <c r="X579" s="3"/>
      <c r="Y579" s="429"/>
      <c r="Z579" s="430"/>
      <c r="AA579" s="430"/>
      <c r="AB579" s="430"/>
      <c r="AC579" s="424"/>
      <c r="AD579" s="424"/>
      <c r="AE579" s="424"/>
      <c r="AF579" s="424"/>
      <c r="AG579" s="424"/>
      <c r="AH579" s="424"/>
      <c r="AI579" s="424"/>
      <c r="AJ579" s="2"/>
      <c r="AK579" s="2"/>
      <c r="AL579" s="2"/>
      <c r="AM579" s="2"/>
      <c r="AN579" s="2"/>
      <c r="AO579" s="2"/>
      <c r="AP579" s="2"/>
      <c r="AQ579" s="427"/>
      <c r="AR579" s="754"/>
      <c r="AS579" s="427"/>
      <c r="AT579" s="754"/>
      <c r="AU579" s="427"/>
      <c r="AV579" s="427"/>
      <c r="AW579" s="427"/>
      <c r="AX579" s="427"/>
      <c r="AY579" s="754"/>
      <c r="AZ579" s="754"/>
      <c r="BA579" s="754"/>
      <c r="BB579" s="427"/>
      <c r="BC579" s="427"/>
      <c r="BD579" s="427"/>
      <c r="BE579" s="754"/>
      <c r="BF579" s="427"/>
      <c r="BG579" s="454"/>
      <c r="BH579" s="754"/>
      <c r="BI579" s="427"/>
      <c r="BJ579" s="427"/>
      <c r="BK579" s="427"/>
      <c r="BL579" s="427"/>
      <c r="BM579" s="454"/>
      <c r="BN579" s="427"/>
      <c r="BO579" s="427"/>
      <c r="BP579" s="427"/>
      <c r="BQ579" s="454"/>
      <c r="BR579" s="454"/>
      <c r="BS579" s="460"/>
      <c r="BT579" s="454"/>
      <c r="BU579" s="454"/>
      <c r="BV579" s="457"/>
      <c r="BW579" s="460"/>
      <c r="BX579" s="460"/>
      <c r="BY579" s="460"/>
      <c r="CA579" s="2"/>
      <c r="CB579" s="2"/>
      <c r="CC579" s="2"/>
      <c r="CD579" s="2"/>
      <c r="CE579" s="2"/>
      <c r="CF579" s="2"/>
      <c r="CG579" s="2"/>
      <c r="CH579" s="2"/>
      <c r="CI579" s="2"/>
      <c r="CJ579" s="2"/>
      <c r="CK579" s="2"/>
      <c r="CL579" s="2"/>
      <c r="CM579" s="2"/>
      <c r="CN579" s="2"/>
      <c r="CO579" s="427"/>
      <c r="CP579" s="427"/>
      <c r="CQ579" s="427"/>
      <c r="CR579" s="485"/>
      <c r="CS579" s="485"/>
      <c r="CT579" s="485"/>
      <c r="CU579" s="485"/>
      <c r="CV579" s="482"/>
      <c r="CW579" s="482"/>
      <c r="CX579" s="482"/>
      <c r="CY579" s="482"/>
      <c r="CZ579" s="485"/>
      <c r="DA579" s="485"/>
      <c r="DB579" s="485"/>
      <c r="DC579" s="485"/>
      <c r="DD579" s="485"/>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485"/>
      <c r="EX579" s="457"/>
      <c r="EY579" s="457"/>
      <c r="EZ579" s="457"/>
      <c r="FA579" s="457"/>
      <c r="FB579" s="457"/>
      <c r="FC579" s="457"/>
      <c r="FD579" s="457"/>
      <c r="FE579" s="457"/>
      <c r="FF579" s="457"/>
      <c r="FG579" s="457"/>
      <c r="FH579" s="457"/>
      <c r="FI579" s="457"/>
      <c r="FJ579" s="457"/>
      <c r="FK579" s="457"/>
    </row>
    <row r="580" spans="1:167" s="416" customFormat="1">
      <c r="A580" s="427"/>
      <c r="B580" s="427"/>
      <c r="C580" s="427"/>
      <c r="D580" s="427"/>
      <c r="E580" s="428"/>
      <c r="F580" s="429"/>
      <c r="G580" s="430"/>
      <c r="H580" s="427"/>
      <c r="I580" s="427"/>
      <c r="J580" s="427"/>
      <c r="K580" s="427"/>
      <c r="L580" s="427"/>
      <c r="M580" s="427"/>
      <c r="N580" s="427"/>
      <c r="O580" s="427"/>
      <c r="P580" s="427"/>
      <c r="Q580" s="427"/>
      <c r="R580" s="427"/>
      <c r="S580" s="427"/>
      <c r="T580" s="427"/>
      <c r="U580" s="427"/>
      <c r="V580" s="428"/>
      <c r="W580" s="431"/>
      <c r="X580" s="3"/>
      <c r="Y580" s="429"/>
      <c r="Z580" s="430"/>
      <c r="AA580" s="430"/>
      <c r="AB580" s="430"/>
      <c r="AC580" s="424"/>
      <c r="AD580" s="424"/>
      <c r="AE580" s="424"/>
      <c r="AF580" s="424"/>
      <c r="AG580" s="424"/>
      <c r="AH580" s="424"/>
      <c r="AI580" s="424"/>
      <c r="AJ580" s="2"/>
      <c r="AK580" s="2"/>
      <c r="AL580" s="2"/>
      <c r="AM580" s="2"/>
      <c r="AN580" s="2"/>
      <c r="AO580" s="2"/>
      <c r="AP580" s="2"/>
      <c r="AQ580" s="427"/>
      <c r="AR580" s="754"/>
      <c r="AS580" s="427"/>
      <c r="AT580" s="754"/>
      <c r="AU580" s="427"/>
      <c r="AV580" s="427"/>
      <c r="AW580" s="427"/>
      <c r="AX580" s="427"/>
      <c r="AY580" s="754"/>
      <c r="AZ580" s="754"/>
      <c r="BA580" s="754"/>
      <c r="BB580" s="427"/>
      <c r="BC580" s="427"/>
      <c r="BD580" s="427"/>
      <c r="BE580" s="754"/>
      <c r="BF580" s="427"/>
      <c r="BG580" s="454"/>
      <c r="BH580" s="754"/>
      <c r="BI580" s="427"/>
      <c r="BJ580" s="427"/>
      <c r="BK580" s="427"/>
      <c r="BL580" s="427"/>
      <c r="BM580" s="454"/>
      <c r="BN580" s="427"/>
      <c r="BO580" s="427"/>
      <c r="BP580" s="427"/>
      <c r="BQ580" s="454"/>
      <c r="BR580" s="454"/>
      <c r="BS580" s="460"/>
      <c r="BT580" s="454"/>
      <c r="BU580" s="454"/>
      <c r="BV580" s="457"/>
      <c r="BW580" s="460"/>
      <c r="BX580" s="460"/>
      <c r="BY580" s="460"/>
      <c r="CA580" s="2"/>
      <c r="CB580" s="2"/>
      <c r="CC580" s="2"/>
      <c r="CD580" s="2"/>
      <c r="CE580" s="2"/>
      <c r="CF580" s="2"/>
      <c r="CG580" s="2"/>
      <c r="CH580" s="2"/>
      <c r="CI580" s="2"/>
      <c r="CJ580" s="2"/>
      <c r="CK580" s="2"/>
      <c r="CL580" s="2"/>
      <c r="CM580" s="2"/>
      <c r="CN580" s="2"/>
      <c r="CO580" s="427"/>
      <c r="CP580" s="427"/>
      <c r="CQ580" s="427"/>
      <c r="CR580" s="485"/>
      <c r="CS580" s="485"/>
      <c r="CT580" s="485"/>
      <c r="CU580" s="485"/>
      <c r="CV580" s="482"/>
      <c r="CW580" s="482"/>
      <c r="CX580" s="482"/>
      <c r="CY580" s="482"/>
      <c r="CZ580" s="485"/>
      <c r="DA580" s="485"/>
      <c r="DB580" s="485"/>
      <c r="DC580" s="485"/>
      <c r="DD580" s="485"/>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485"/>
      <c r="EX580" s="457"/>
      <c r="EY580" s="457"/>
      <c r="EZ580" s="457"/>
      <c r="FA580" s="457"/>
      <c r="FB580" s="457"/>
      <c r="FC580" s="457"/>
      <c r="FD580" s="457"/>
      <c r="FE580" s="457"/>
      <c r="FF580" s="457"/>
      <c r="FG580" s="457"/>
      <c r="FH580" s="457"/>
      <c r="FI580" s="457"/>
      <c r="FJ580" s="457"/>
      <c r="FK580" s="457"/>
    </row>
    <row r="581" spans="1:167" s="416" customFormat="1">
      <c r="A581" s="427"/>
      <c r="B581" s="427"/>
      <c r="C581" s="427"/>
      <c r="D581" s="427"/>
      <c r="E581" s="428"/>
      <c r="F581" s="429"/>
      <c r="G581" s="430"/>
      <c r="H581" s="427"/>
      <c r="I581" s="427"/>
      <c r="J581" s="427"/>
      <c r="K581" s="427"/>
      <c r="L581" s="427"/>
      <c r="M581" s="427"/>
      <c r="N581" s="427"/>
      <c r="O581" s="427"/>
      <c r="P581" s="427"/>
      <c r="Q581" s="427"/>
      <c r="R581" s="427"/>
      <c r="S581" s="427"/>
      <c r="T581" s="427"/>
      <c r="U581" s="427"/>
      <c r="V581" s="428"/>
      <c r="W581" s="431"/>
      <c r="X581" s="3"/>
      <c r="Y581" s="429"/>
      <c r="Z581" s="430"/>
      <c r="AA581" s="430"/>
      <c r="AB581" s="430"/>
      <c r="AC581" s="424"/>
      <c r="AD581" s="424"/>
      <c r="AE581" s="424"/>
      <c r="AF581" s="424"/>
      <c r="AG581" s="424"/>
      <c r="AH581" s="424"/>
      <c r="AI581" s="424"/>
      <c r="AJ581" s="2"/>
      <c r="AK581" s="2"/>
      <c r="AL581" s="2"/>
      <c r="AM581" s="2"/>
      <c r="AN581" s="2"/>
      <c r="AO581" s="2"/>
      <c r="AP581" s="2"/>
      <c r="AQ581" s="427"/>
      <c r="AR581" s="754"/>
      <c r="AS581" s="427"/>
      <c r="AT581" s="754"/>
      <c r="AU581" s="427"/>
      <c r="AV581" s="427"/>
      <c r="AW581" s="427"/>
      <c r="AX581" s="427"/>
      <c r="AY581" s="754"/>
      <c r="AZ581" s="754"/>
      <c r="BA581" s="754"/>
      <c r="BB581" s="427"/>
      <c r="BC581" s="427"/>
      <c r="BD581" s="427"/>
      <c r="BE581" s="754"/>
      <c r="BF581" s="427"/>
      <c r="BG581" s="454"/>
      <c r="BH581" s="754"/>
      <c r="BI581" s="427"/>
      <c r="BJ581" s="427"/>
      <c r="BK581" s="427"/>
      <c r="BL581" s="427"/>
      <c r="BM581" s="454"/>
      <c r="BN581" s="427"/>
      <c r="BO581" s="427"/>
      <c r="BP581" s="427"/>
      <c r="BQ581" s="454"/>
      <c r="BR581" s="454"/>
      <c r="BS581" s="460"/>
      <c r="BT581" s="454"/>
      <c r="BU581" s="454"/>
      <c r="BV581" s="457"/>
      <c r="BW581" s="460"/>
      <c r="BX581" s="460"/>
      <c r="BY581" s="460"/>
      <c r="CA581" s="2"/>
      <c r="CB581" s="2"/>
      <c r="CC581" s="2"/>
      <c r="CD581" s="2"/>
      <c r="CE581" s="2"/>
      <c r="CF581" s="2"/>
      <c r="CG581" s="2"/>
      <c r="CH581" s="2"/>
      <c r="CI581" s="2"/>
      <c r="CJ581" s="2"/>
      <c r="CK581" s="2"/>
      <c r="CL581" s="2"/>
      <c r="CM581" s="2"/>
      <c r="CN581" s="2"/>
      <c r="CO581" s="427"/>
      <c r="CP581" s="427"/>
      <c r="CQ581" s="427"/>
      <c r="CR581" s="485"/>
      <c r="CS581" s="485"/>
      <c r="CT581" s="485"/>
      <c r="CU581" s="485"/>
      <c r="CV581" s="482"/>
      <c r="CW581" s="482"/>
      <c r="CX581" s="482"/>
      <c r="CY581" s="482"/>
      <c r="CZ581" s="485"/>
      <c r="DA581" s="485"/>
      <c r="DB581" s="485"/>
      <c r="DC581" s="485"/>
      <c r="DD581" s="485"/>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485"/>
      <c r="EX581" s="457"/>
      <c r="EY581" s="457"/>
      <c r="EZ581" s="457"/>
      <c r="FA581" s="457"/>
      <c r="FB581" s="457"/>
      <c r="FC581" s="457"/>
      <c r="FD581" s="457"/>
      <c r="FE581" s="457"/>
      <c r="FF581" s="457"/>
      <c r="FG581" s="457"/>
      <c r="FH581" s="457"/>
      <c r="FI581" s="457"/>
      <c r="FJ581" s="457"/>
      <c r="FK581" s="457"/>
    </row>
    <row r="582" spans="1:167" s="416" customFormat="1">
      <c r="A582" s="427"/>
      <c r="B582" s="427"/>
      <c r="C582" s="427"/>
      <c r="D582" s="427"/>
      <c r="E582" s="428"/>
      <c r="F582" s="429"/>
      <c r="G582" s="430"/>
      <c r="H582" s="427"/>
      <c r="I582" s="427"/>
      <c r="J582" s="427"/>
      <c r="K582" s="427"/>
      <c r="L582" s="427"/>
      <c r="M582" s="427"/>
      <c r="N582" s="427"/>
      <c r="O582" s="427"/>
      <c r="P582" s="427"/>
      <c r="Q582" s="427"/>
      <c r="R582" s="427"/>
      <c r="S582" s="427"/>
      <c r="T582" s="427"/>
      <c r="U582" s="427"/>
      <c r="V582" s="428"/>
      <c r="W582" s="431"/>
      <c r="X582" s="3"/>
      <c r="Y582" s="429"/>
      <c r="Z582" s="430"/>
      <c r="AA582" s="430"/>
      <c r="AB582" s="430"/>
      <c r="AC582" s="424"/>
      <c r="AD582" s="424"/>
      <c r="AE582" s="424"/>
      <c r="AF582" s="424"/>
      <c r="AG582" s="424"/>
      <c r="AH582" s="424"/>
      <c r="AI582" s="424"/>
      <c r="AJ582" s="2"/>
      <c r="AK582" s="2"/>
      <c r="AL582" s="2"/>
      <c r="AM582" s="2"/>
      <c r="AN582" s="2"/>
      <c r="AO582" s="2"/>
      <c r="AP582" s="2"/>
      <c r="AQ582" s="427"/>
      <c r="AR582" s="754"/>
      <c r="AS582" s="427"/>
      <c r="AT582" s="754"/>
      <c r="AU582" s="427"/>
      <c r="AV582" s="427"/>
      <c r="AW582" s="427"/>
      <c r="AX582" s="427"/>
      <c r="AY582" s="754"/>
      <c r="AZ582" s="754"/>
      <c r="BA582" s="754"/>
      <c r="BB582" s="427"/>
      <c r="BC582" s="427"/>
      <c r="BD582" s="427"/>
      <c r="BE582" s="754"/>
      <c r="BF582" s="427"/>
      <c r="BG582" s="454"/>
      <c r="BH582" s="754"/>
      <c r="BI582" s="427"/>
      <c r="BJ582" s="427"/>
      <c r="BK582" s="427"/>
      <c r="BL582" s="427"/>
      <c r="BM582" s="454"/>
      <c r="BN582" s="427"/>
      <c r="BO582" s="427"/>
      <c r="BP582" s="427"/>
      <c r="BQ582" s="454"/>
      <c r="BR582" s="454"/>
      <c r="BS582" s="460"/>
      <c r="BT582" s="454"/>
      <c r="BU582" s="454"/>
      <c r="BV582" s="457"/>
      <c r="BW582" s="460"/>
      <c r="BX582" s="460"/>
      <c r="BY582" s="460"/>
      <c r="CA582" s="2"/>
      <c r="CB582" s="2"/>
      <c r="CC582" s="2"/>
      <c r="CD582" s="2"/>
      <c r="CE582" s="2"/>
      <c r="CF582" s="2"/>
      <c r="CG582" s="2"/>
      <c r="CH582" s="2"/>
      <c r="CI582" s="2"/>
      <c r="CJ582" s="2"/>
      <c r="CK582" s="2"/>
      <c r="CL582" s="2"/>
      <c r="CM582" s="2"/>
      <c r="CN582" s="2"/>
      <c r="CO582" s="427"/>
      <c r="CP582" s="427"/>
      <c r="CQ582" s="427"/>
      <c r="CR582" s="485"/>
      <c r="CS582" s="485"/>
      <c r="CT582" s="485"/>
      <c r="CU582" s="485"/>
      <c r="CV582" s="482"/>
      <c r="CW582" s="482"/>
      <c r="CX582" s="482"/>
      <c r="CY582" s="482"/>
      <c r="CZ582" s="485"/>
      <c r="DA582" s="485"/>
      <c r="DB582" s="485"/>
      <c r="DC582" s="485"/>
      <c r="DD582" s="485"/>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485"/>
      <c r="EX582" s="457"/>
      <c r="EY582" s="457"/>
      <c r="EZ582" s="457"/>
      <c r="FA582" s="457"/>
      <c r="FB582" s="457"/>
      <c r="FC582" s="457"/>
      <c r="FD582" s="457"/>
      <c r="FE582" s="457"/>
      <c r="FF582" s="457"/>
      <c r="FG582" s="457"/>
      <c r="FH582" s="457"/>
      <c r="FI582" s="457"/>
      <c r="FJ582" s="457"/>
      <c r="FK582" s="457"/>
    </row>
    <row r="583" spans="1:167" s="416" customFormat="1">
      <c r="A583" s="427"/>
      <c r="B583" s="427"/>
      <c r="C583" s="427"/>
      <c r="D583" s="427"/>
      <c r="E583" s="428"/>
      <c r="F583" s="429"/>
      <c r="G583" s="430"/>
      <c r="H583" s="427"/>
      <c r="I583" s="427"/>
      <c r="J583" s="427"/>
      <c r="K583" s="427"/>
      <c r="L583" s="427"/>
      <c r="M583" s="427"/>
      <c r="N583" s="427"/>
      <c r="O583" s="427"/>
      <c r="P583" s="427"/>
      <c r="Q583" s="427"/>
      <c r="R583" s="427"/>
      <c r="S583" s="427"/>
      <c r="T583" s="427"/>
      <c r="U583" s="427"/>
      <c r="V583" s="428"/>
      <c r="W583" s="431"/>
      <c r="X583" s="3"/>
      <c r="Y583" s="429"/>
      <c r="Z583" s="430"/>
      <c r="AA583" s="430"/>
      <c r="AB583" s="430"/>
      <c r="AC583" s="424"/>
      <c r="AD583" s="424"/>
      <c r="AE583" s="424"/>
      <c r="AF583" s="424"/>
      <c r="AG583" s="424"/>
      <c r="AH583" s="424"/>
      <c r="AI583" s="424"/>
      <c r="AJ583" s="2"/>
      <c r="AK583" s="2"/>
      <c r="AL583" s="2"/>
      <c r="AM583" s="2"/>
      <c r="AN583" s="2"/>
      <c r="AO583" s="2"/>
      <c r="AP583" s="2"/>
      <c r="AQ583" s="427"/>
      <c r="AR583" s="754"/>
      <c r="AS583" s="427"/>
      <c r="AT583" s="754"/>
      <c r="AU583" s="427"/>
      <c r="AV583" s="427"/>
      <c r="AW583" s="427"/>
      <c r="AX583" s="427"/>
      <c r="AY583" s="754"/>
      <c r="AZ583" s="754"/>
      <c r="BA583" s="754"/>
      <c r="BB583" s="427"/>
      <c r="BC583" s="427"/>
      <c r="BD583" s="427"/>
      <c r="BE583" s="754"/>
      <c r="BF583" s="427"/>
      <c r="BG583" s="454"/>
      <c r="BH583" s="754"/>
      <c r="BI583" s="427"/>
      <c r="BJ583" s="427"/>
      <c r="BK583" s="427"/>
      <c r="BL583" s="427"/>
      <c r="BM583" s="454"/>
      <c r="BN583" s="427"/>
      <c r="BO583" s="427"/>
      <c r="BP583" s="427"/>
      <c r="BQ583" s="454"/>
      <c r="BR583" s="454"/>
      <c r="BS583" s="460"/>
      <c r="BT583" s="454"/>
      <c r="BU583" s="454"/>
      <c r="BV583" s="457"/>
      <c r="BW583" s="460"/>
      <c r="BX583" s="460"/>
      <c r="BY583" s="460"/>
      <c r="CA583" s="2"/>
      <c r="CB583" s="2"/>
      <c r="CC583" s="2"/>
      <c r="CD583" s="2"/>
      <c r="CE583" s="2"/>
      <c r="CF583" s="2"/>
      <c r="CG583" s="2"/>
      <c r="CH583" s="2"/>
      <c r="CI583" s="2"/>
      <c r="CJ583" s="2"/>
      <c r="CK583" s="2"/>
      <c r="CL583" s="2"/>
      <c r="CM583" s="2"/>
      <c r="CN583" s="2"/>
      <c r="CO583" s="427"/>
      <c r="CP583" s="427"/>
      <c r="CQ583" s="427"/>
      <c r="CR583" s="485"/>
      <c r="CS583" s="485"/>
      <c r="CT583" s="485"/>
      <c r="CU583" s="485"/>
      <c r="CV583" s="482"/>
      <c r="CW583" s="482"/>
      <c r="CX583" s="482"/>
      <c r="CY583" s="482"/>
      <c r="CZ583" s="485"/>
      <c r="DA583" s="485"/>
      <c r="DB583" s="485"/>
      <c r="DC583" s="485"/>
      <c r="DD583" s="485"/>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485"/>
      <c r="EX583" s="457"/>
      <c r="EY583" s="457"/>
      <c r="EZ583" s="457"/>
      <c r="FA583" s="457"/>
      <c r="FB583" s="457"/>
      <c r="FC583" s="457"/>
      <c r="FD583" s="457"/>
      <c r="FE583" s="457"/>
      <c r="FF583" s="457"/>
      <c r="FG583" s="457"/>
      <c r="FH583" s="457"/>
      <c r="FI583" s="457"/>
      <c r="FJ583" s="457"/>
      <c r="FK583" s="457"/>
    </row>
    <row r="584" spans="1:167" s="416" customFormat="1">
      <c r="A584" s="427"/>
      <c r="B584" s="427"/>
      <c r="C584" s="427"/>
      <c r="D584" s="427"/>
      <c r="E584" s="428"/>
      <c r="F584" s="429"/>
      <c r="G584" s="430"/>
      <c r="H584" s="427"/>
      <c r="I584" s="427"/>
      <c r="J584" s="427"/>
      <c r="K584" s="427"/>
      <c r="L584" s="427"/>
      <c r="M584" s="427"/>
      <c r="N584" s="427"/>
      <c r="O584" s="427"/>
      <c r="P584" s="427"/>
      <c r="Q584" s="427"/>
      <c r="R584" s="427"/>
      <c r="S584" s="427"/>
      <c r="T584" s="427"/>
      <c r="U584" s="427"/>
      <c r="V584" s="428"/>
      <c r="W584" s="431"/>
      <c r="X584" s="3"/>
      <c r="Y584" s="429"/>
      <c r="Z584" s="430"/>
      <c r="AA584" s="430"/>
      <c r="AB584" s="430"/>
      <c r="AC584" s="424"/>
      <c r="AD584" s="424"/>
      <c r="AE584" s="424"/>
      <c r="AF584" s="424"/>
      <c r="AG584" s="424"/>
      <c r="AH584" s="424"/>
      <c r="AI584" s="424"/>
      <c r="AJ584" s="2"/>
      <c r="AK584" s="2"/>
      <c r="AL584" s="2"/>
      <c r="AM584" s="2"/>
      <c r="AN584" s="2"/>
      <c r="AO584" s="2"/>
      <c r="AP584" s="2"/>
      <c r="AQ584" s="427"/>
      <c r="AR584" s="754"/>
      <c r="AS584" s="427"/>
      <c r="AT584" s="754"/>
      <c r="AU584" s="427"/>
      <c r="AV584" s="427"/>
      <c r="AW584" s="427"/>
      <c r="AX584" s="427"/>
      <c r="AY584" s="754"/>
      <c r="AZ584" s="754"/>
      <c r="BA584" s="754"/>
      <c r="BB584" s="427"/>
      <c r="BC584" s="427"/>
      <c r="BD584" s="427"/>
      <c r="BE584" s="754"/>
      <c r="BF584" s="427"/>
      <c r="BG584" s="454"/>
      <c r="BH584" s="754"/>
      <c r="BI584" s="427"/>
      <c r="BJ584" s="427"/>
      <c r="BK584" s="427"/>
      <c r="BL584" s="427"/>
      <c r="BM584" s="454"/>
      <c r="BN584" s="427"/>
      <c r="BO584" s="427"/>
      <c r="BP584" s="427"/>
      <c r="BQ584" s="454"/>
      <c r="BR584" s="454"/>
      <c r="BS584" s="460"/>
      <c r="BT584" s="454"/>
      <c r="BU584" s="454"/>
      <c r="BV584" s="457"/>
      <c r="BW584" s="460"/>
      <c r="BX584" s="460"/>
      <c r="BY584" s="460"/>
      <c r="CA584" s="2"/>
      <c r="CB584" s="2"/>
      <c r="CC584" s="2"/>
      <c r="CD584" s="2"/>
      <c r="CE584" s="2"/>
      <c r="CF584" s="2"/>
      <c r="CG584" s="2"/>
      <c r="CH584" s="2"/>
      <c r="CI584" s="2"/>
      <c r="CJ584" s="2"/>
      <c r="CK584" s="2"/>
      <c r="CL584" s="2"/>
      <c r="CM584" s="2"/>
      <c r="CN584" s="2"/>
      <c r="CO584" s="427"/>
      <c r="CP584" s="427"/>
      <c r="CQ584" s="427"/>
      <c r="CR584" s="485"/>
      <c r="CS584" s="485"/>
      <c r="CT584" s="485"/>
      <c r="CU584" s="485"/>
      <c r="CV584" s="482"/>
      <c r="CW584" s="482"/>
      <c r="CX584" s="482"/>
      <c r="CY584" s="482"/>
      <c r="CZ584" s="485"/>
      <c r="DA584" s="485"/>
      <c r="DB584" s="485"/>
      <c r="DC584" s="485"/>
      <c r="DD584" s="485"/>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485"/>
      <c r="EX584" s="457"/>
      <c r="EY584" s="457"/>
      <c r="EZ584" s="457"/>
      <c r="FA584" s="457"/>
      <c r="FB584" s="457"/>
      <c r="FC584" s="457"/>
      <c r="FD584" s="457"/>
      <c r="FE584" s="457"/>
      <c r="FF584" s="457"/>
      <c r="FG584" s="457"/>
      <c r="FH584" s="457"/>
      <c r="FI584" s="457"/>
      <c r="FJ584" s="457"/>
      <c r="FK584" s="457"/>
    </row>
    <row r="585" spans="1:167" s="416" customFormat="1">
      <c r="A585" s="427"/>
      <c r="B585" s="427"/>
      <c r="C585" s="427"/>
      <c r="D585" s="427"/>
      <c r="E585" s="428"/>
      <c r="F585" s="429"/>
      <c r="G585" s="430"/>
      <c r="H585" s="427"/>
      <c r="I585" s="427"/>
      <c r="J585" s="427"/>
      <c r="K585" s="427"/>
      <c r="L585" s="427"/>
      <c r="M585" s="427"/>
      <c r="N585" s="427"/>
      <c r="O585" s="427"/>
      <c r="P585" s="427"/>
      <c r="Q585" s="427"/>
      <c r="R585" s="427"/>
      <c r="S585" s="427"/>
      <c r="T585" s="427"/>
      <c r="U585" s="427"/>
      <c r="V585" s="428"/>
      <c r="W585" s="431"/>
      <c r="X585" s="3"/>
      <c r="Y585" s="429"/>
      <c r="Z585" s="430"/>
      <c r="AA585" s="430"/>
      <c r="AB585" s="430"/>
      <c r="AC585" s="424"/>
      <c r="AD585" s="424"/>
      <c r="AE585" s="424"/>
      <c r="AF585" s="424"/>
      <c r="AG585" s="424"/>
      <c r="AH585" s="424"/>
      <c r="AI585" s="424"/>
      <c r="AJ585" s="2"/>
      <c r="AK585" s="2"/>
      <c r="AL585" s="2"/>
      <c r="AM585" s="2"/>
      <c r="AN585" s="2"/>
      <c r="AO585" s="2"/>
      <c r="AP585" s="2"/>
      <c r="AQ585" s="427"/>
      <c r="AR585" s="754"/>
      <c r="AS585" s="427"/>
      <c r="AT585" s="754"/>
      <c r="AU585" s="427"/>
      <c r="AV585" s="427"/>
      <c r="AW585" s="427"/>
      <c r="AX585" s="427"/>
      <c r="AY585" s="754"/>
      <c r="AZ585" s="754"/>
      <c r="BA585" s="754"/>
      <c r="BB585" s="427"/>
      <c r="BC585" s="427"/>
      <c r="BD585" s="427"/>
      <c r="BE585" s="754"/>
      <c r="BF585" s="427"/>
      <c r="BG585" s="454"/>
      <c r="BH585" s="754"/>
      <c r="BI585" s="427"/>
      <c r="BJ585" s="427"/>
      <c r="BK585" s="427"/>
      <c r="BL585" s="427"/>
      <c r="BM585" s="454"/>
      <c r="BN585" s="427"/>
      <c r="BO585" s="427"/>
      <c r="BP585" s="427"/>
      <c r="BQ585" s="454"/>
      <c r="BR585" s="454"/>
      <c r="BS585" s="460"/>
      <c r="BT585" s="454"/>
      <c r="BU585" s="454"/>
      <c r="BV585" s="457"/>
      <c r="BW585" s="460"/>
      <c r="BX585" s="460"/>
      <c r="BY585" s="460"/>
      <c r="CA585" s="2"/>
      <c r="CB585" s="2"/>
      <c r="CC585" s="2"/>
      <c r="CD585" s="2"/>
      <c r="CE585" s="2"/>
      <c r="CF585" s="2"/>
      <c r="CG585" s="2"/>
      <c r="CH585" s="2"/>
      <c r="CI585" s="2"/>
      <c r="CJ585" s="2"/>
      <c r="CK585" s="2"/>
      <c r="CL585" s="2"/>
      <c r="CM585" s="2"/>
      <c r="CN585" s="2"/>
      <c r="CO585" s="427"/>
      <c r="CP585" s="427"/>
      <c r="CQ585" s="427"/>
      <c r="CR585" s="485"/>
      <c r="CS585" s="485"/>
      <c r="CT585" s="485"/>
      <c r="CU585" s="485"/>
      <c r="CV585" s="482"/>
      <c r="CW585" s="482"/>
      <c r="CX585" s="482"/>
      <c r="CY585" s="482"/>
      <c r="CZ585" s="485"/>
      <c r="DA585" s="485"/>
      <c r="DB585" s="485"/>
      <c r="DC585" s="485"/>
      <c r="DD585" s="485"/>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485"/>
      <c r="EX585" s="457"/>
      <c r="EY585" s="457"/>
      <c r="EZ585" s="457"/>
      <c r="FA585" s="457"/>
      <c r="FB585" s="457"/>
      <c r="FC585" s="457"/>
      <c r="FD585" s="457"/>
      <c r="FE585" s="457"/>
      <c r="FF585" s="457"/>
      <c r="FG585" s="457"/>
      <c r="FH585" s="457"/>
      <c r="FI585" s="457"/>
      <c r="FJ585" s="457"/>
      <c r="FK585" s="457"/>
    </row>
    <row r="586" spans="1:167" s="416" customFormat="1">
      <c r="A586" s="427"/>
      <c r="B586" s="427"/>
      <c r="C586" s="427"/>
      <c r="D586" s="427"/>
      <c r="E586" s="428"/>
      <c r="F586" s="429"/>
      <c r="G586" s="430"/>
      <c r="H586" s="427"/>
      <c r="I586" s="427"/>
      <c r="J586" s="427"/>
      <c r="K586" s="427"/>
      <c r="L586" s="427"/>
      <c r="M586" s="427"/>
      <c r="N586" s="427"/>
      <c r="O586" s="427"/>
      <c r="P586" s="427"/>
      <c r="Q586" s="427"/>
      <c r="R586" s="427"/>
      <c r="S586" s="427"/>
      <c r="T586" s="427"/>
      <c r="U586" s="427"/>
      <c r="V586" s="428"/>
      <c r="W586" s="431"/>
      <c r="X586" s="3"/>
      <c r="Y586" s="429"/>
      <c r="Z586" s="430"/>
      <c r="AA586" s="430"/>
      <c r="AB586" s="430"/>
      <c r="AC586" s="424"/>
      <c r="AD586" s="424"/>
      <c r="AE586" s="424"/>
      <c r="AF586" s="424"/>
      <c r="AG586" s="424"/>
      <c r="AH586" s="424"/>
      <c r="AI586" s="424"/>
      <c r="AJ586" s="2"/>
      <c r="AK586" s="2"/>
      <c r="AL586" s="2"/>
      <c r="AM586" s="2"/>
      <c r="AN586" s="2"/>
      <c r="AO586" s="2"/>
      <c r="AP586" s="2"/>
      <c r="AQ586" s="427"/>
      <c r="AR586" s="754"/>
      <c r="AS586" s="427"/>
      <c r="AT586" s="754"/>
      <c r="AU586" s="427"/>
      <c r="AV586" s="427"/>
      <c r="AW586" s="427"/>
      <c r="AX586" s="427"/>
      <c r="AY586" s="754"/>
      <c r="AZ586" s="754"/>
      <c r="BA586" s="754"/>
      <c r="BB586" s="427"/>
      <c r="BC586" s="427"/>
      <c r="BD586" s="427"/>
      <c r="BE586" s="754"/>
      <c r="BF586" s="427"/>
      <c r="BG586" s="454"/>
      <c r="BH586" s="754"/>
      <c r="BI586" s="427"/>
      <c r="BJ586" s="427"/>
      <c r="BK586" s="427"/>
      <c r="BL586" s="427"/>
      <c r="BM586" s="454"/>
      <c r="BN586" s="427"/>
      <c r="BO586" s="427"/>
      <c r="BP586" s="427"/>
      <c r="BQ586" s="454"/>
      <c r="BR586" s="454"/>
      <c r="BS586" s="460"/>
      <c r="BT586" s="454"/>
      <c r="BU586" s="454"/>
      <c r="BV586" s="457"/>
      <c r="BW586" s="460"/>
      <c r="BX586" s="460"/>
      <c r="BY586" s="460"/>
      <c r="CA586" s="2"/>
      <c r="CB586" s="2"/>
      <c r="CC586" s="2"/>
      <c r="CD586" s="2"/>
      <c r="CE586" s="2"/>
      <c r="CF586" s="2"/>
      <c r="CG586" s="2"/>
      <c r="CH586" s="2"/>
      <c r="CI586" s="2"/>
      <c r="CJ586" s="2"/>
      <c r="CK586" s="2"/>
      <c r="CL586" s="2"/>
      <c r="CM586" s="2"/>
      <c r="CN586" s="2"/>
      <c r="CO586" s="427"/>
      <c r="CP586" s="427"/>
      <c r="CQ586" s="427"/>
      <c r="CR586" s="485"/>
      <c r="CS586" s="485"/>
      <c r="CT586" s="485"/>
      <c r="CU586" s="485"/>
      <c r="CV586" s="482"/>
      <c r="CW586" s="482"/>
      <c r="CX586" s="482"/>
      <c r="CY586" s="482"/>
      <c r="CZ586" s="485"/>
      <c r="DA586" s="485"/>
      <c r="DB586" s="485"/>
      <c r="DC586" s="485"/>
      <c r="DD586" s="485"/>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485"/>
      <c r="EX586" s="457"/>
      <c r="EY586" s="457"/>
      <c r="EZ586" s="457"/>
      <c r="FA586" s="457"/>
      <c r="FB586" s="457"/>
      <c r="FC586" s="457"/>
      <c r="FD586" s="457"/>
      <c r="FE586" s="457"/>
      <c r="FF586" s="457"/>
      <c r="FG586" s="457"/>
      <c r="FH586" s="457"/>
      <c r="FI586" s="457"/>
      <c r="FJ586" s="457"/>
      <c r="FK586" s="457"/>
    </row>
    <row r="587" spans="1:167" s="416" customFormat="1">
      <c r="A587" s="427"/>
      <c r="B587" s="427"/>
      <c r="C587" s="427"/>
      <c r="D587" s="427"/>
      <c r="E587" s="428"/>
      <c r="F587" s="429"/>
      <c r="G587" s="430"/>
      <c r="H587" s="427"/>
      <c r="I587" s="427"/>
      <c r="J587" s="427"/>
      <c r="K587" s="427"/>
      <c r="L587" s="427"/>
      <c r="M587" s="427"/>
      <c r="N587" s="427"/>
      <c r="O587" s="427"/>
      <c r="P587" s="427"/>
      <c r="Q587" s="427"/>
      <c r="R587" s="427"/>
      <c r="S587" s="427"/>
      <c r="T587" s="427"/>
      <c r="U587" s="427"/>
      <c r="V587" s="428"/>
      <c r="W587" s="431"/>
      <c r="X587" s="3"/>
      <c r="Y587" s="429"/>
      <c r="Z587" s="430"/>
      <c r="AA587" s="430"/>
      <c r="AB587" s="430"/>
      <c r="AC587" s="424"/>
      <c r="AD587" s="424"/>
      <c r="AE587" s="424"/>
      <c r="AF587" s="424"/>
      <c r="AG587" s="424"/>
      <c r="AH587" s="424"/>
      <c r="AI587" s="424"/>
      <c r="AJ587" s="2"/>
      <c r="AK587" s="2"/>
      <c r="AL587" s="2"/>
      <c r="AM587" s="2"/>
      <c r="AN587" s="2"/>
      <c r="AO587" s="2"/>
      <c r="AP587" s="2"/>
      <c r="AQ587" s="427"/>
      <c r="AR587" s="754"/>
      <c r="AS587" s="427"/>
      <c r="AT587" s="754"/>
      <c r="AU587" s="427"/>
      <c r="AV587" s="427"/>
      <c r="AW587" s="427"/>
      <c r="AX587" s="427"/>
      <c r="AY587" s="754"/>
      <c r="AZ587" s="754"/>
      <c r="BA587" s="754"/>
      <c r="BB587" s="427"/>
      <c r="BC587" s="427"/>
      <c r="BD587" s="427"/>
      <c r="BE587" s="754"/>
      <c r="BF587" s="427"/>
      <c r="BG587" s="454"/>
      <c r="BH587" s="754"/>
      <c r="BI587" s="427"/>
      <c r="BJ587" s="427"/>
      <c r="BK587" s="427"/>
      <c r="BL587" s="427"/>
      <c r="BM587" s="454"/>
      <c r="BN587" s="427"/>
      <c r="BO587" s="427"/>
      <c r="BP587" s="427"/>
      <c r="BQ587" s="454"/>
      <c r="BR587" s="454"/>
      <c r="BS587" s="460"/>
      <c r="BT587" s="454"/>
      <c r="BU587" s="454"/>
      <c r="BV587" s="457"/>
      <c r="BW587" s="460"/>
      <c r="BX587" s="460"/>
      <c r="BY587" s="460"/>
      <c r="CA587" s="2"/>
      <c r="CB587" s="2"/>
      <c r="CC587" s="2"/>
      <c r="CD587" s="2"/>
      <c r="CE587" s="2"/>
      <c r="CF587" s="2"/>
      <c r="CG587" s="2"/>
      <c r="CH587" s="2"/>
      <c r="CI587" s="2"/>
      <c r="CJ587" s="2"/>
      <c r="CK587" s="2"/>
      <c r="CL587" s="2"/>
      <c r="CM587" s="2"/>
      <c r="CN587" s="2"/>
      <c r="CO587" s="427"/>
      <c r="CP587" s="427"/>
      <c r="CQ587" s="427"/>
      <c r="CR587" s="485"/>
      <c r="CS587" s="485"/>
      <c r="CT587" s="485"/>
      <c r="CU587" s="485"/>
      <c r="CV587" s="482"/>
      <c r="CW587" s="482"/>
      <c r="CX587" s="482"/>
      <c r="CY587" s="482"/>
      <c r="CZ587" s="485"/>
      <c r="DA587" s="485"/>
      <c r="DB587" s="485"/>
      <c r="DC587" s="485"/>
      <c r="DD587" s="485"/>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485"/>
      <c r="EX587" s="457"/>
      <c r="EY587" s="457"/>
      <c r="EZ587" s="457"/>
      <c r="FA587" s="457"/>
      <c r="FB587" s="457"/>
      <c r="FC587" s="457"/>
      <c r="FD587" s="457"/>
      <c r="FE587" s="457"/>
      <c r="FF587" s="457"/>
      <c r="FG587" s="457"/>
      <c r="FH587" s="457"/>
      <c r="FI587" s="457"/>
      <c r="FJ587" s="457"/>
      <c r="FK587" s="457"/>
    </row>
    <row r="588" spans="1:167" s="416" customFormat="1">
      <c r="A588" s="427"/>
      <c r="B588" s="427"/>
      <c r="C588" s="427"/>
      <c r="D588" s="427"/>
      <c r="E588" s="428"/>
      <c r="F588" s="429"/>
      <c r="G588" s="430"/>
      <c r="H588" s="427"/>
      <c r="I588" s="427"/>
      <c r="J588" s="427"/>
      <c r="K588" s="427"/>
      <c r="L588" s="427"/>
      <c r="M588" s="427"/>
      <c r="N588" s="427"/>
      <c r="O588" s="427"/>
      <c r="P588" s="427"/>
      <c r="Q588" s="427"/>
      <c r="R588" s="427"/>
      <c r="S588" s="427"/>
      <c r="T588" s="427"/>
      <c r="U588" s="427"/>
      <c r="V588" s="428"/>
      <c r="W588" s="431"/>
      <c r="X588" s="3"/>
      <c r="Y588" s="429"/>
      <c r="Z588" s="430"/>
      <c r="AA588" s="430"/>
      <c r="AB588" s="430"/>
      <c r="AC588" s="424"/>
      <c r="AD588" s="424"/>
      <c r="AE588" s="424"/>
      <c r="AF588" s="424"/>
      <c r="AG588" s="424"/>
      <c r="AH588" s="424"/>
      <c r="AI588" s="424"/>
      <c r="AJ588" s="2"/>
      <c r="AK588" s="2"/>
      <c r="AL588" s="2"/>
      <c r="AM588" s="2"/>
      <c r="AN588" s="2"/>
      <c r="AO588" s="2"/>
      <c r="AP588" s="2"/>
      <c r="AQ588" s="427"/>
      <c r="AR588" s="754"/>
      <c r="AS588" s="427"/>
      <c r="AT588" s="754"/>
      <c r="AU588" s="427"/>
      <c r="AV588" s="427"/>
      <c r="AW588" s="427"/>
      <c r="AX588" s="427"/>
      <c r="AY588" s="754"/>
      <c r="AZ588" s="754"/>
      <c r="BA588" s="754"/>
      <c r="BB588" s="427"/>
      <c r="BC588" s="427"/>
      <c r="BD588" s="427"/>
      <c r="BE588" s="754"/>
      <c r="BF588" s="427"/>
      <c r="BG588" s="454"/>
      <c r="BH588" s="754"/>
      <c r="BI588" s="427"/>
      <c r="BJ588" s="427"/>
      <c r="BK588" s="427"/>
      <c r="BL588" s="427"/>
      <c r="BM588" s="454"/>
      <c r="BN588" s="427"/>
      <c r="BO588" s="427"/>
      <c r="BP588" s="427"/>
      <c r="BQ588" s="454"/>
      <c r="BR588" s="454"/>
      <c r="BS588" s="460"/>
      <c r="BT588" s="454"/>
      <c r="BU588" s="454"/>
      <c r="BV588" s="457"/>
      <c r="BW588" s="460"/>
      <c r="BX588" s="460"/>
      <c r="BY588" s="460"/>
      <c r="CA588" s="2"/>
      <c r="CB588" s="2"/>
      <c r="CC588" s="2"/>
      <c r="CD588" s="2"/>
      <c r="CE588" s="2"/>
      <c r="CF588" s="2"/>
      <c r="CG588" s="2"/>
      <c r="CH588" s="2"/>
      <c r="CI588" s="2"/>
      <c r="CJ588" s="2"/>
      <c r="CK588" s="2"/>
      <c r="CL588" s="2"/>
      <c r="CM588" s="2"/>
      <c r="CN588" s="2"/>
      <c r="CO588" s="427"/>
      <c r="CP588" s="427"/>
      <c r="CQ588" s="427"/>
      <c r="CR588" s="485"/>
      <c r="CS588" s="485"/>
      <c r="CT588" s="485"/>
      <c r="CU588" s="485"/>
      <c r="CV588" s="482"/>
      <c r="CW588" s="482"/>
      <c r="CX588" s="482"/>
      <c r="CY588" s="482"/>
      <c r="CZ588" s="485"/>
      <c r="DA588" s="485"/>
      <c r="DB588" s="485"/>
      <c r="DC588" s="485"/>
      <c r="DD588" s="485"/>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485"/>
      <c r="EX588" s="457"/>
      <c r="EY588" s="457"/>
      <c r="EZ588" s="457"/>
      <c r="FA588" s="457"/>
      <c r="FB588" s="457"/>
      <c r="FC588" s="457"/>
      <c r="FD588" s="457"/>
      <c r="FE588" s="457"/>
      <c r="FF588" s="457"/>
      <c r="FG588" s="457"/>
      <c r="FH588" s="457"/>
      <c r="FI588" s="457"/>
      <c r="FJ588" s="457"/>
      <c r="FK588" s="457"/>
    </row>
    <row r="589" spans="1:167" s="416" customFormat="1">
      <c r="A589" s="427"/>
      <c r="B589" s="427"/>
      <c r="C589" s="427"/>
      <c r="D589" s="427"/>
      <c r="E589" s="428"/>
      <c r="F589" s="429"/>
      <c r="G589" s="430"/>
      <c r="H589" s="427"/>
      <c r="I589" s="427"/>
      <c r="J589" s="427"/>
      <c r="K589" s="427"/>
      <c r="L589" s="427"/>
      <c r="M589" s="427"/>
      <c r="N589" s="427"/>
      <c r="O589" s="427"/>
      <c r="P589" s="427"/>
      <c r="Q589" s="427"/>
      <c r="R589" s="427"/>
      <c r="S589" s="427"/>
      <c r="T589" s="427"/>
      <c r="U589" s="427"/>
      <c r="V589" s="428"/>
      <c r="W589" s="431"/>
      <c r="X589" s="3"/>
      <c r="Y589" s="429"/>
      <c r="Z589" s="430"/>
      <c r="AA589" s="430"/>
      <c r="AB589" s="430"/>
      <c r="AC589" s="424"/>
      <c r="AD589" s="424"/>
      <c r="AE589" s="424"/>
      <c r="AF589" s="424"/>
      <c r="AG589" s="424"/>
      <c r="AH589" s="424"/>
      <c r="AI589" s="424"/>
      <c r="AJ589" s="2"/>
      <c r="AK589" s="2"/>
      <c r="AL589" s="2"/>
      <c r="AM589" s="2"/>
      <c r="AN589" s="2"/>
      <c r="AO589" s="2"/>
      <c r="AP589" s="2"/>
      <c r="AQ589" s="427"/>
      <c r="AR589" s="754"/>
      <c r="AS589" s="427"/>
      <c r="AT589" s="754"/>
      <c r="AU589" s="427"/>
      <c r="AV589" s="427"/>
      <c r="AW589" s="427"/>
      <c r="AX589" s="427"/>
      <c r="AY589" s="754"/>
      <c r="AZ589" s="754"/>
      <c r="BA589" s="754"/>
      <c r="BB589" s="427"/>
      <c r="BC589" s="427"/>
      <c r="BD589" s="427"/>
      <c r="BE589" s="754"/>
      <c r="BF589" s="427"/>
      <c r="BG589" s="454"/>
      <c r="BH589" s="754"/>
      <c r="BI589" s="427"/>
      <c r="BJ589" s="427"/>
      <c r="BK589" s="427"/>
      <c r="BL589" s="427"/>
      <c r="BM589" s="454"/>
      <c r="BN589" s="427"/>
      <c r="BO589" s="427"/>
      <c r="BP589" s="427"/>
      <c r="BQ589" s="454"/>
      <c r="BR589" s="454"/>
      <c r="BS589" s="460"/>
      <c r="BT589" s="454"/>
      <c r="BU589" s="454"/>
      <c r="BV589" s="457"/>
      <c r="BW589" s="460"/>
      <c r="BX589" s="460"/>
      <c r="BY589" s="460"/>
      <c r="CA589" s="2"/>
      <c r="CB589" s="2"/>
      <c r="CC589" s="2"/>
      <c r="CD589" s="2"/>
      <c r="CE589" s="2"/>
      <c r="CF589" s="2"/>
      <c r="CG589" s="2"/>
      <c r="CH589" s="2"/>
      <c r="CI589" s="2"/>
      <c r="CJ589" s="2"/>
      <c r="CK589" s="2"/>
      <c r="CL589" s="2"/>
      <c r="CM589" s="2"/>
      <c r="CN589" s="2"/>
      <c r="CO589" s="427"/>
      <c r="CP589" s="427"/>
      <c r="CQ589" s="427"/>
      <c r="CR589" s="485"/>
      <c r="CS589" s="485"/>
      <c r="CT589" s="485"/>
      <c r="CU589" s="485"/>
      <c r="CV589" s="482"/>
      <c r="CW589" s="482"/>
      <c r="CX589" s="482"/>
      <c r="CY589" s="482"/>
      <c r="CZ589" s="485"/>
      <c r="DA589" s="485"/>
      <c r="DB589" s="485"/>
      <c r="DC589" s="485"/>
      <c r="DD589" s="485"/>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485"/>
      <c r="EX589" s="457"/>
      <c r="EY589" s="457"/>
      <c r="EZ589" s="457"/>
      <c r="FA589" s="457"/>
      <c r="FB589" s="457"/>
      <c r="FC589" s="457"/>
      <c r="FD589" s="457"/>
      <c r="FE589" s="457"/>
      <c r="FF589" s="457"/>
      <c r="FG589" s="457"/>
      <c r="FH589" s="457"/>
      <c r="FI589" s="457"/>
      <c r="FJ589" s="457"/>
      <c r="FK589" s="457"/>
    </row>
    <row r="590" spans="1:167" s="416" customFormat="1">
      <c r="A590" s="427"/>
      <c r="B590" s="427"/>
      <c r="C590" s="427"/>
      <c r="D590" s="427"/>
      <c r="E590" s="428"/>
      <c r="F590" s="429"/>
      <c r="G590" s="430"/>
      <c r="H590" s="427"/>
      <c r="I590" s="427"/>
      <c r="J590" s="427"/>
      <c r="K590" s="427"/>
      <c r="L590" s="427"/>
      <c r="M590" s="427"/>
      <c r="N590" s="427"/>
      <c r="O590" s="427"/>
      <c r="P590" s="427"/>
      <c r="Q590" s="427"/>
      <c r="R590" s="427"/>
      <c r="S590" s="427"/>
      <c r="T590" s="427"/>
      <c r="U590" s="427"/>
      <c r="V590" s="428"/>
      <c r="W590" s="431"/>
      <c r="X590" s="3"/>
      <c r="Y590" s="429"/>
      <c r="Z590" s="430"/>
      <c r="AA590" s="430"/>
      <c r="AB590" s="430"/>
      <c r="AC590" s="424"/>
      <c r="AD590" s="424"/>
      <c r="AE590" s="424"/>
      <c r="AF590" s="424"/>
      <c r="AG590" s="424"/>
      <c r="AH590" s="424"/>
      <c r="AI590" s="424"/>
      <c r="AJ590" s="2"/>
      <c r="AK590" s="2"/>
      <c r="AL590" s="2"/>
      <c r="AM590" s="2"/>
      <c r="AN590" s="2"/>
      <c r="AO590" s="2"/>
      <c r="AP590" s="2"/>
      <c r="AQ590" s="427"/>
      <c r="AR590" s="754"/>
      <c r="AS590" s="427"/>
      <c r="AT590" s="754"/>
      <c r="AU590" s="427"/>
      <c r="AV590" s="427"/>
      <c r="AW590" s="427"/>
      <c r="AX590" s="427"/>
      <c r="AY590" s="754"/>
      <c r="AZ590" s="754"/>
      <c r="BA590" s="754"/>
      <c r="BB590" s="427"/>
      <c r="BC590" s="427"/>
      <c r="BD590" s="427"/>
      <c r="BE590" s="754"/>
      <c r="BF590" s="427"/>
      <c r="BG590" s="454"/>
      <c r="BH590" s="754"/>
      <c r="BI590" s="427"/>
      <c r="BJ590" s="427"/>
      <c r="BK590" s="427"/>
      <c r="BL590" s="427"/>
      <c r="BM590" s="454"/>
      <c r="BN590" s="427"/>
      <c r="BO590" s="427"/>
      <c r="BP590" s="427"/>
      <c r="BQ590" s="454"/>
      <c r="BR590" s="454"/>
      <c r="BS590" s="460"/>
      <c r="BT590" s="454"/>
      <c r="BU590" s="454"/>
      <c r="BV590" s="457"/>
      <c r="BW590" s="460"/>
      <c r="BX590" s="460"/>
      <c r="BY590" s="460"/>
      <c r="CA590" s="2"/>
      <c r="CB590" s="2"/>
      <c r="CC590" s="2"/>
      <c r="CD590" s="2"/>
      <c r="CE590" s="2"/>
      <c r="CF590" s="2"/>
      <c r="CG590" s="2"/>
      <c r="CH590" s="2"/>
      <c r="CI590" s="2"/>
      <c r="CJ590" s="2"/>
      <c r="CK590" s="2"/>
      <c r="CL590" s="2"/>
      <c r="CM590" s="2"/>
      <c r="CN590" s="2"/>
      <c r="CO590" s="427"/>
      <c r="CP590" s="427"/>
      <c r="CQ590" s="427"/>
      <c r="CR590" s="485"/>
      <c r="CS590" s="485"/>
      <c r="CT590" s="485"/>
      <c r="CU590" s="485"/>
      <c r="CV590" s="482"/>
      <c r="CW590" s="482"/>
      <c r="CX590" s="482"/>
      <c r="CY590" s="482"/>
      <c r="CZ590" s="485"/>
      <c r="DA590" s="485"/>
      <c r="DB590" s="485"/>
      <c r="DC590" s="485"/>
      <c r="DD590" s="485"/>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485"/>
      <c r="EX590" s="457"/>
      <c r="EY590" s="457"/>
      <c r="EZ590" s="457"/>
      <c r="FA590" s="457"/>
      <c r="FB590" s="457"/>
      <c r="FC590" s="457"/>
      <c r="FD590" s="457"/>
      <c r="FE590" s="457"/>
      <c r="FF590" s="457"/>
      <c r="FG590" s="457"/>
      <c r="FH590" s="457"/>
      <c r="FI590" s="457"/>
      <c r="FJ590" s="457"/>
      <c r="FK590" s="457"/>
    </row>
    <row r="591" spans="1:167" s="416" customFormat="1">
      <c r="A591" s="427"/>
      <c r="B591" s="427"/>
      <c r="C591" s="427"/>
      <c r="D591" s="427"/>
      <c r="E591" s="428"/>
      <c r="F591" s="429"/>
      <c r="G591" s="430"/>
      <c r="H591" s="427"/>
      <c r="I591" s="427"/>
      <c r="J591" s="427"/>
      <c r="K591" s="427"/>
      <c r="L591" s="427"/>
      <c r="M591" s="427"/>
      <c r="N591" s="427"/>
      <c r="O591" s="427"/>
      <c r="P591" s="427"/>
      <c r="Q591" s="427"/>
      <c r="R591" s="427"/>
      <c r="S591" s="427"/>
      <c r="T591" s="427"/>
      <c r="U591" s="427"/>
      <c r="V591" s="428"/>
      <c r="W591" s="431"/>
      <c r="X591" s="3"/>
      <c r="Y591" s="429"/>
      <c r="Z591" s="430"/>
      <c r="AA591" s="430"/>
      <c r="AB591" s="430"/>
      <c r="AC591" s="424"/>
      <c r="AD591" s="424"/>
      <c r="AE591" s="424"/>
      <c r="AF591" s="424"/>
      <c r="AG591" s="424"/>
      <c r="AH591" s="424"/>
      <c r="AI591" s="424"/>
      <c r="AJ591" s="2"/>
      <c r="AK591" s="2"/>
      <c r="AL591" s="2"/>
      <c r="AM591" s="2"/>
      <c r="AN591" s="2"/>
      <c r="AO591" s="2"/>
      <c r="AP591" s="2"/>
      <c r="AQ591" s="427"/>
      <c r="AR591" s="754"/>
      <c r="AS591" s="427"/>
      <c r="AT591" s="754"/>
      <c r="AU591" s="427"/>
      <c r="AV591" s="427"/>
      <c r="AW591" s="427"/>
      <c r="AX591" s="427"/>
      <c r="AY591" s="754"/>
      <c r="AZ591" s="754"/>
      <c r="BA591" s="754"/>
      <c r="BB591" s="427"/>
      <c r="BC591" s="427"/>
      <c r="BD591" s="427"/>
      <c r="BE591" s="754"/>
      <c r="BF591" s="427"/>
      <c r="BG591" s="454"/>
      <c r="BH591" s="754"/>
      <c r="BI591" s="427"/>
      <c r="BJ591" s="427"/>
      <c r="BK591" s="427"/>
      <c r="BL591" s="427"/>
      <c r="BM591" s="454"/>
      <c r="BN591" s="427"/>
      <c r="BO591" s="427"/>
      <c r="BP591" s="427"/>
      <c r="BQ591" s="454"/>
      <c r="BR591" s="454"/>
      <c r="BS591" s="460"/>
      <c r="BT591" s="454"/>
      <c r="BU591" s="454"/>
      <c r="BV591" s="457"/>
      <c r="BW591" s="460"/>
      <c r="BX591" s="460"/>
      <c r="BY591" s="460"/>
      <c r="CA591" s="2"/>
      <c r="CB591" s="2"/>
      <c r="CC591" s="2"/>
      <c r="CD591" s="2"/>
      <c r="CE591" s="2"/>
      <c r="CF591" s="2"/>
      <c r="CG591" s="2"/>
      <c r="CH591" s="2"/>
      <c r="CI591" s="2"/>
      <c r="CJ591" s="2"/>
      <c r="CK591" s="2"/>
      <c r="CL591" s="2"/>
      <c r="CM591" s="2"/>
      <c r="CN591" s="2"/>
      <c r="CO591" s="427"/>
      <c r="CP591" s="427"/>
      <c r="CQ591" s="427"/>
      <c r="CR591" s="485"/>
      <c r="CS591" s="485"/>
      <c r="CT591" s="485"/>
      <c r="CU591" s="485"/>
      <c r="CV591" s="482"/>
      <c r="CW591" s="482"/>
      <c r="CX591" s="482"/>
      <c r="CY591" s="482"/>
      <c r="CZ591" s="485"/>
      <c r="DA591" s="485"/>
      <c r="DB591" s="485"/>
      <c r="DC591" s="485"/>
      <c r="DD591" s="485"/>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485"/>
      <c r="EX591" s="457"/>
      <c r="EY591" s="457"/>
      <c r="EZ591" s="457"/>
      <c r="FA591" s="457"/>
      <c r="FB591" s="457"/>
      <c r="FC591" s="457"/>
      <c r="FD591" s="457"/>
      <c r="FE591" s="457"/>
      <c r="FF591" s="457"/>
      <c r="FG591" s="457"/>
      <c r="FH591" s="457"/>
      <c r="FI591" s="457"/>
      <c r="FJ591" s="457"/>
      <c r="FK591" s="457"/>
    </row>
    <row r="592" spans="1:167" s="416" customFormat="1">
      <c r="A592" s="427"/>
      <c r="B592" s="427"/>
      <c r="C592" s="427"/>
      <c r="D592" s="427"/>
      <c r="E592" s="428"/>
      <c r="F592" s="429"/>
      <c r="G592" s="430"/>
      <c r="H592" s="427"/>
      <c r="I592" s="427"/>
      <c r="J592" s="427"/>
      <c r="K592" s="427"/>
      <c r="L592" s="427"/>
      <c r="M592" s="427"/>
      <c r="N592" s="427"/>
      <c r="O592" s="427"/>
      <c r="P592" s="427"/>
      <c r="Q592" s="427"/>
      <c r="R592" s="427"/>
      <c r="S592" s="427"/>
      <c r="T592" s="427"/>
      <c r="U592" s="427"/>
      <c r="V592" s="428"/>
      <c r="W592" s="431"/>
      <c r="X592" s="3"/>
      <c r="Y592" s="429"/>
      <c r="Z592" s="430"/>
      <c r="AA592" s="430"/>
      <c r="AB592" s="430"/>
      <c r="AC592" s="424"/>
      <c r="AD592" s="424"/>
      <c r="AE592" s="424"/>
      <c r="AF592" s="424"/>
      <c r="AG592" s="424"/>
      <c r="AH592" s="424"/>
      <c r="AI592" s="424"/>
      <c r="AJ592" s="2"/>
      <c r="AK592" s="2"/>
      <c r="AL592" s="2"/>
      <c r="AM592" s="2"/>
      <c r="AN592" s="2"/>
      <c r="AO592" s="2"/>
      <c r="AP592" s="2"/>
      <c r="AQ592" s="427"/>
      <c r="AR592" s="754"/>
      <c r="AS592" s="427"/>
      <c r="AT592" s="754"/>
      <c r="AU592" s="427"/>
      <c r="AV592" s="427"/>
      <c r="AW592" s="427"/>
      <c r="AX592" s="427"/>
      <c r="AY592" s="754"/>
      <c r="AZ592" s="754"/>
      <c r="BA592" s="754"/>
      <c r="BB592" s="427"/>
      <c r="BC592" s="427"/>
      <c r="BD592" s="427"/>
      <c r="BE592" s="754"/>
      <c r="BF592" s="427"/>
      <c r="BG592" s="454"/>
      <c r="BH592" s="754"/>
      <c r="BI592" s="427"/>
      <c r="BJ592" s="427"/>
      <c r="BK592" s="427"/>
      <c r="BL592" s="427"/>
      <c r="BM592" s="454"/>
      <c r="BN592" s="427"/>
      <c r="BO592" s="427"/>
      <c r="BP592" s="427"/>
      <c r="BQ592" s="454"/>
      <c r="BR592" s="454"/>
      <c r="BS592" s="460"/>
      <c r="BT592" s="454"/>
      <c r="BU592" s="454"/>
      <c r="BV592" s="457"/>
      <c r="BW592" s="460"/>
      <c r="BX592" s="460"/>
      <c r="BY592" s="460"/>
      <c r="CA592" s="2"/>
      <c r="CB592" s="2"/>
      <c r="CC592" s="2"/>
      <c r="CD592" s="2"/>
      <c r="CE592" s="2"/>
      <c r="CF592" s="2"/>
      <c r="CG592" s="2"/>
      <c r="CH592" s="2"/>
      <c r="CI592" s="2"/>
      <c r="CJ592" s="2"/>
      <c r="CK592" s="2"/>
      <c r="CL592" s="2"/>
      <c r="CM592" s="2"/>
      <c r="CN592" s="2"/>
      <c r="CO592" s="427"/>
      <c r="CP592" s="427"/>
      <c r="CQ592" s="427"/>
      <c r="CR592" s="485"/>
      <c r="CS592" s="485"/>
      <c r="CT592" s="485"/>
      <c r="CU592" s="485"/>
      <c r="CV592" s="482"/>
      <c r="CW592" s="482"/>
      <c r="CX592" s="482"/>
      <c r="CY592" s="482"/>
      <c r="CZ592" s="485"/>
      <c r="DA592" s="485"/>
      <c r="DB592" s="485"/>
      <c r="DC592" s="485"/>
      <c r="DD592" s="485"/>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485"/>
      <c r="EX592" s="457"/>
      <c r="EY592" s="457"/>
      <c r="EZ592" s="457"/>
      <c r="FA592" s="457"/>
      <c r="FB592" s="457"/>
      <c r="FC592" s="457"/>
      <c r="FD592" s="457"/>
      <c r="FE592" s="457"/>
      <c r="FF592" s="457"/>
      <c r="FG592" s="457"/>
      <c r="FH592" s="457"/>
      <c r="FI592" s="457"/>
      <c r="FJ592" s="457"/>
      <c r="FK592" s="457"/>
    </row>
    <row r="593" spans="1:167" s="416" customFormat="1">
      <c r="A593" s="427"/>
      <c r="B593" s="427"/>
      <c r="C593" s="427"/>
      <c r="D593" s="427"/>
      <c r="E593" s="428"/>
      <c r="F593" s="429"/>
      <c r="G593" s="430"/>
      <c r="H593" s="427"/>
      <c r="I593" s="427"/>
      <c r="J593" s="427"/>
      <c r="K593" s="427"/>
      <c r="L593" s="427"/>
      <c r="M593" s="427"/>
      <c r="N593" s="427"/>
      <c r="O593" s="427"/>
      <c r="P593" s="427"/>
      <c r="Q593" s="427"/>
      <c r="R593" s="427"/>
      <c r="S593" s="427"/>
      <c r="T593" s="427"/>
      <c r="U593" s="427"/>
      <c r="V593" s="428"/>
      <c r="W593" s="431"/>
      <c r="X593" s="3"/>
      <c r="Y593" s="429"/>
      <c r="Z593" s="430"/>
      <c r="AA593" s="430"/>
      <c r="AB593" s="430"/>
      <c r="AC593" s="424"/>
      <c r="AD593" s="424"/>
      <c r="AE593" s="424"/>
      <c r="AF593" s="424"/>
      <c r="AG593" s="424"/>
      <c r="AH593" s="424"/>
      <c r="AI593" s="424"/>
      <c r="AJ593" s="2"/>
      <c r="AK593" s="2"/>
      <c r="AL593" s="2"/>
      <c r="AM593" s="2"/>
      <c r="AN593" s="2"/>
      <c r="AO593" s="2"/>
      <c r="AP593" s="2"/>
      <c r="AQ593" s="427"/>
      <c r="AR593" s="754"/>
      <c r="AS593" s="427"/>
      <c r="AT593" s="754"/>
      <c r="AU593" s="427"/>
      <c r="AV593" s="427"/>
      <c r="AW593" s="427"/>
      <c r="AX593" s="427"/>
      <c r="AY593" s="754"/>
      <c r="AZ593" s="754"/>
      <c r="BA593" s="754"/>
      <c r="BB593" s="427"/>
      <c r="BC593" s="427"/>
      <c r="BD593" s="427"/>
      <c r="BE593" s="754"/>
      <c r="BF593" s="427"/>
      <c r="BG593" s="454"/>
      <c r="BH593" s="754"/>
      <c r="BI593" s="427"/>
      <c r="BJ593" s="427"/>
      <c r="BK593" s="427"/>
      <c r="BL593" s="427"/>
      <c r="BM593" s="454"/>
      <c r="BN593" s="427"/>
      <c r="BO593" s="427"/>
      <c r="BP593" s="427"/>
      <c r="BQ593" s="454"/>
      <c r="BR593" s="454"/>
      <c r="BS593" s="460"/>
      <c r="BT593" s="454"/>
      <c r="BU593" s="454"/>
      <c r="BV593" s="457"/>
      <c r="BW593" s="460"/>
      <c r="BX593" s="460"/>
      <c r="BY593" s="460"/>
      <c r="CA593" s="2"/>
      <c r="CB593" s="2"/>
      <c r="CC593" s="2"/>
      <c r="CD593" s="2"/>
      <c r="CE593" s="2"/>
      <c r="CF593" s="2"/>
      <c r="CG593" s="2"/>
      <c r="CH593" s="2"/>
      <c r="CI593" s="2"/>
      <c r="CJ593" s="2"/>
      <c r="CK593" s="2"/>
      <c r="CL593" s="2"/>
      <c r="CM593" s="2"/>
      <c r="CN593" s="2"/>
      <c r="CO593" s="427"/>
      <c r="CP593" s="427"/>
      <c r="CQ593" s="427"/>
      <c r="CR593" s="485"/>
      <c r="CS593" s="485"/>
      <c r="CT593" s="485"/>
      <c r="CU593" s="485"/>
      <c r="CV593" s="482"/>
      <c r="CW593" s="482"/>
      <c r="CX593" s="482"/>
      <c r="CY593" s="482"/>
      <c r="CZ593" s="485"/>
      <c r="DA593" s="485"/>
      <c r="DB593" s="485"/>
      <c r="DC593" s="485"/>
      <c r="DD593" s="485"/>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485"/>
      <c r="EX593" s="457"/>
      <c r="EY593" s="457"/>
      <c r="EZ593" s="457"/>
      <c r="FA593" s="457"/>
      <c r="FB593" s="457"/>
      <c r="FC593" s="457"/>
      <c r="FD593" s="457"/>
      <c r="FE593" s="457"/>
      <c r="FF593" s="457"/>
      <c r="FG593" s="457"/>
      <c r="FH593" s="457"/>
      <c r="FI593" s="457"/>
      <c r="FJ593" s="457"/>
      <c r="FK593" s="457"/>
    </row>
    <row r="594" spans="1:167" s="416" customFormat="1">
      <c r="A594" s="427"/>
      <c r="B594" s="427"/>
      <c r="C594" s="427"/>
      <c r="D594" s="427"/>
      <c r="E594" s="428"/>
      <c r="F594" s="429"/>
      <c r="G594" s="430"/>
      <c r="H594" s="427"/>
      <c r="I594" s="427"/>
      <c r="J594" s="427"/>
      <c r="K594" s="427"/>
      <c r="L594" s="427"/>
      <c r="M594" s="427"/>
      <c r="N594" s="427"/>
      <c r="O594" s="427"/>
      <c r="P594" s="427"/>
      <c r="Q594" s="427"/>
      <c r="R594" s="427"/>
      <c r="S594" s="427"/>
      <c r="T594" s="427"/>
      <c r="U594" s="427"/>
      <c r="V594" s="428"/>
      <c r="W594" s="431"/>
      <c r="X594" s="3"/>
      <c r="Y594" s="429"/>
      <c r="Z594" s="430"/>
      <c r="AA594" s="430"/>
      <c r="AB594" s="430"/>
      <c r="AC594" s="424"/>
      <c r="AD594" s="424"/>
      <c r="AE594" s="424"/>
      <c r="AF594" s="424"/>
      <c r="AG594" s="424"/>
      <c r="AH594" s="424"/>
      <c r="AI594" s="424"/>
      <c r="AJ594" s="2"/>
      <c r="AK594" s="2"/>
      <c r="AL594" s="2"/>
      <c r="AM594" s="2"/>
      <c r="AN594" s="2"/>
      <c r="AO594" s="2"/>
      <c r="AP594" s="2"/>
      <c r="AQ594" s="427"/>
      <c r="AR594" s="754"/>
      <c r="AS594" s="427"/>
      <c r="AT594" s="754"/>
      <c r="AU594" s="427"/>
      <c r="AV594" s="427"/>
      <c r="AW594" s="427"/>
      <c r="AX594" s="427"/>
      <c r="AY594" s="754"/>
      <c r="AZ594" s="754"/>
      <c r="BA594" s="754"/>
      <c r="BB594" s="427"/>
      <c r="BC594" s="427"/>
      <c r="BD594" s="427"/>
      <c r="BE594" s="754"/>
      <c r="BF594" s="427"/>
      <c r="BG594" s="454"/>
      <c r="BH594" s="754"/>
      <c r="BI594" s="427"/>
      <c r="BJ594" s="427"/>
      <c r="BK594" s="427"/>
      <c r="BL594" s="427"/>
      <c r="BM594" s="454"/>
      <c r="BN594" s="427"/>
      <c r="BO594" s="427"/>
      <c r="BP594" s="427"/>
      <c r="BQ594" s="454"/>
      <c r="BR594" s="454"/>
      <c r="BS594" s="460"/>
      <c r="BT594" s="454"/>
      <c r="BU594" s="454"/>
      <c r="BV594" s="457"/>
      <c r="BW594" s="460"/>
      <c r="BX594" s="460"/>
      <c r="BY594" s="460"/>
      <c r="CA594" s="2"/>
      <c r="CB594" s="2"/>
      <c r="CC594" s="2"/>
      <c r="CD594" s="2"/>
      <c r="CE594" s="2"/>
      <c r="CF594" s="2"/>
      <c r="CG594" s="2"/>
      <c r="CH594" s="2"/>
      <c r="CI594" s="2"/>
      <c r="CJ594" s="2"/>
      <c r="CK594" s="2"/>
      <c r="CL594" s="2"/>
      <c r="CM594" s="2"/>
      <c r="CN594" s="2"/>
      <c r="CO594" s="427"/>
      <c r="CP594" s="427"/>
      <c r="CQ594" s="427"/>
      <c r="CR594" s="485"/>
      <c r="CS594" s="485"/>
      <c r="CT594" s="485"/>
      <c r="CU594" s="485"/>
      <c r="CV594" s="482"/>
      <c r="CW594" s="482"/>
      <c r="CX594" s="482"/>
      <c r="CY594" s="482"/>
      <c r="CZ594" s="485"/>
      <c r="DA594" s="485"/>
      <c r="DB594" s="485"/>
      <c r="DC594" s="485"/>
      <c r="DD594" s="485"/>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485"/>
      <c r="EX594" s="457"/>
      <c r="EY594" s="457"/>
      <c r="EZ594" s="457"/>
      <c r="FA594" s="457"/>
      <c r="FB594" s="457"/>
      <c r="FC594" s="457"/>
      <c r="FD594" s="457"/>
      <c r="FE594" s="457"/>
      <c r="FF594" s="457"/>
      <c r="FG594" s="457"/>
      <c r="FH594" s="457"/>
      <c r="FI594" s="457"/>
      <c r="FJ594" s="457"/>
      <c r="FK594" s="457"/>
    </row>
    <row r="595" spans="1:167" s="416" customFormat="1">
      <c r="A595" s="427"/>
      <c r="B595" s="427"/>
      <c r="C595" s="427"/>
      <c r="D595" s="427"/>
      <c r="E595" s="428"/>
      <c r="F595" s="429"/>
      <c r="G595" s="430"/>
      <c r="H595" s="427"/>
      <c r="I595" s="427"/>
      <c r="J595" s="427"/>
      <c r="K595" s="427"/>
      <c r="L595" s="427"/>
      <c r="M595" s="427"/>
      <c r="N595" s="427"/>
      <c r="O595" s="427"/>
      <c r="P595" s="427"/>
      <c r="Q595" s="427"/>
      <c r="R595" s="427"/>
      <c r="S595" s="427"/>
      <c r="T595" s="427"/>
      <c r="U595" s="427"/>
      <c r="V595" s="428"/>
      <c r="W595" s="431"/>
      <c r="X595" s="3"/>
      <c r="Y595" s="429"/>
      <c r="Z595" s="430"/>
      <c r="AA595" s="430"/>
      <c r="AB595" s="430"/>
      <c r="AC595" s="424"/>
      <c r="AD595" s="424"/>
      <c r="AE595" s="424"/>
      <c r="AF595" s="424"/>
      <c r="AG595" s="424"/>
      <c r="AH595" s="424"/>
      <c r="AI595" s="424"/>
      <c r="AJ595" s="2"/>
      <c r="AK595" s="2"/>
      <c r="AL595" s="2"/>
      <c r="AM595" s="2"/>
      <c r="AN595" s="2"/>
      <c r="AO595" s="2"/>
      <c r="AP595" s="2"/>
      <c r="AQ595" s="427"/>
      <c r="AR595" s="754"/>
      <c r="AS595" s="427"/>
      <c r="AT595" s="754"/>
      <c r="AU595" s="427"/>
      <c r="AV595" s="427"/>
      <c r="AW595" s="427"/>
      <c r="AX595" s="427"/>
      <c r="AY595" s="754"/>
      <c r="AZ595" s="754"/>
      <c r="BA595" s="754"/>
      <c r="BB595" s="427"/>
      <c r="BC595" s="427"/>
      <c r="BD595" s="427"/>
      <c r="BE595" s="754"/>
      <c r="BF595" s="427"/>
      <c r="BG595" s="454"/>
      <c r="BH595" s="754"/>
      <c r="BI595" s="427"/>
      <c r="BJ595" s="427"/>
      <c r="BK595" s="427"/>
      <c r="BL595" s="427"/>
      <c r="BM595" s="454"/>
      <c r="BN595" s="427"/>
      <c r="BO595" s="427"/>
      <c r="BP595" s="427"/>
      <c r="BQ595" s="454"/>
      <c r="BR595" s="454"/>
      <c r="BS595" s="460"/>
      <c r="BT595" s="454"/>
      <c r="BU595" s="454"/>
      <c r="BV595" s="457"/>
      <c r="BW595" s="460"/>
      <c r="BX595" s="460"/>
      <c r="BY595" s="460"/>
      <c r="CA595" s="2"/>
      <c r="CB595" s="2"/>
      <c r="CC595" s="2"/>
      <c r="CD595" s="2"/>
      <c r="CE595" s="2"/>
      <c r="CF595" s="2"/>
      <c r="CG595" s="2"/>
      <c r="CH595" s="2"/>
      <c r="CI595" s="2"/>
      <c r="CJ595" s="2"/>
      <c r="CK595" s="2"/>
      <c r="CL595" s="2"/>
      <c r="CM595" s="2"/>
      <c r="CN595" s="2"/>
      <c r="CO595" s="427"/>
      <c r="CP595" s="427"/>
      <c r="CQ595" s="427"/>
      <c r="CR595" s="485"/>
      <c r="CS595" s="485"/>
      <c r="CT595" s="485"/>
      <c r="CU595" s="485"/>
      <c r="CV595" s="482"/>
      <c r="CW595" s="482"/>
      <c r="CX595" s="482"/>
      <c r="CY595" s="482"/>
      <c r="CZ595" s="485"/>
      <c r="DA595" s="485"/>
      <c r="DB595" s="485"/>
      <c r="DC595" s="485"/>
      <c r="DD595" s="485"/>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485"/>
      <c r="EX595" s="457"/>
      <c r="EY595" s="457"/>
      <c r="EZ595" s="457"/>
      <c r="FA595" s="457"/>
      <c r="FB595" s="457"/>
      <c r="FC595" s="457"/>
      <c r="FD595" s="457"/>
      <c r="FE595" s="457"/>
      <c r="FF595" s="457"/>
      <c r="FG595" s="457"/>
      <c r="FH595" s="457"/>
      <c r="FI595" s="457"/>
      <c r="FJ595" s="457"/>
      <c r="FK595" s="457"/>
    </row>
    <row r="596" spans="1:167" s="416" customFormat="1">
      <c r="A596" s="427"/>
      <c r="B596" s="427"/>
      <c r="C596" s="427"/>
      <c r="D596" s="427"/>
      <c r="E596" s="428"/>
      <c r="F596" s="429"/>
      <c r="G596" s="430"/>
      <c r="H596" s="427"/>
      <c r="I596" s="427"/>
      <c r="J596" s="427"/>
      <c r="K596" s="427"/>
      <c r="L596" s="427"/>
      <c r="M596" s="427"/>
      <c r="N596" s="427"/>
      <c r="O596" s="427"/>
      <c r="P596" s="427"/>
      <c r="Q596" s="427"/>
      <c r="R596" s="427"/>
      <c r="S596" s="427"/>
      <c r="T596" s="427"/>
      <c r="U596" s="427"/>
      <c r="V596" s="428"/>
      <c r="W596" s="431"/>
      <c r="X596" s="3"/>
      <c r="Y596" s="429"/>
      <c r="Z596" s="430"/>
      <c r="AA596" s="430"/>
      <c r="AB596" s="430"/>
      <c r="AC596" s="424"/>
      <c r="AD596" s="424"/>
      <c r="AE596" s="424"/>
      <c r="AF596" s="424"/>
      <c r="AG596" s="424"/>
      <c r="AH596" s="424"/>
      <c r="AI596" s="424"/>
      <c r="AJ596" s="2"/>
      <c r="AK596" s="2"/>
      <c r="AL596" s="2"/>
      <c r="AM596" s="2"/>
      <c r="AN596" s="2"/>
      <c r="AO596" s="2"/>
      <c r="AP596" s="2"/>
      <c r="AQ596" s="427"/>
      <c r="AR596" s="754"/>
      <c r="AS596" s="427"/>
      <c r="AT596" s="754"/>
      <c r="AU596" s="427"/>
      <c r="AV596" s="427"/>
      <c r="AW596" s="427"/>
      <c r="AX596" s="427"/>
      <c r="AY596" s="754"/>
      <c r="AZ596" s="754"/>
      <c r="BA596" s="754"/>
      <c r="BB596" s="427"/>
      <c r="BC596" s="427"/>
      <c r="BD596" s="427"/>
      <c r="BE596" s="754"/>
      <c r="BF596" s="427"/>
      <c r="BG596" s="454"/>
      <c r="BH596" s="754"/>
      <c r="BI596" s="427"/>
      <c r="BJ596" s="427"/>
      <c r="BK596" s="427"/>
      <c r="BL596" s="427"/>
      <c r="BM596" s="454"/>
      <c r="BN596" s="427"/>
      <c r="BO596" s="427"/>
      <c r="BP596" s="427"/>
      <c r="BQ596" s="454"/>
      <c r="BR596" s="454"/>
      <c r="BS596" s="460"/>
      <c r="BT596" s="454"/>
      <c r="BU596" s="454"/>
      <c r="BV596" s="457"/>
      <c r="BW596" s="460"/>
      <c r="BX596" s="460"/>
      <c r="BY596" s="460"/>
      <c r="CA596" s="2"/>
      <c r="CB596" s="2"/>
      <c r="CC596" s="2"/>
      <c r="CD596" s="2"/>
      <c r="CE596" s="2"/>
      <c r="CF596" s="2"/>
      <c r="CG596" s="2"/>
      <c r="CH596" s="2"/>
      <c r="CI596" s="2"/>
      <c r="CJ596" s="2"/>
      <c r="CK596" s="2"/>
      <c r="CL596" s="2"/>
      <c r="CM596" s="2"/>
      <c r="CN596" s="2"/>
      <c r="CO596" s="427"/>
      <c r="CP596" s="427"/>
      <c r="CQ596" s="427"/>
      <c r="CR596" s="485"/>
      <c r="CS596" s="485"/>
      <c r="CT596" s="485"/>
      <c r="CU596" s="485"/>
      <c r="CV596" s="482"/>
      <c r="CW596" s="482"/>
      <c r="CX596" s="482"/>
      <c r="CY596" s="482"/>
      <c r="CZ596" s="485"/>
      <c r="DA596" s="485"/>
      <c r="DB596" s="485"/>
      <c r="DC596" s="485"/>
      <c r="DD596" s="485"/>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485"/>
      <c r="EX596" s="457"/>
      <c r="EY596" s="457"/>
      <c r="EZ596" s="457"/>
      <c r="FA596" s="457"/>
      <c r="FB596" s="457"/>
      <c r="FC596" s="457"/>
      <c r="FD596" s="457"/>
      <c r="FE596" s="457"/>
      <c r="FF596" s="457"/>
      <c r="FG596" s="457"/>
      <c r="FH596" s="457"/>
      <c r="FI596" s="457"/>
      <c r="FJ596" s="457"/>
      <c r="FK596" s="457"/>
    </row>
    <row r="597" spans="1:167" s="416" customFormat="1">
      <c r="A597" s="427"/>
      <c r="B597" s="427"/>
      <c r="C597" s="427"/>
      <c r="D597" s="427"/>
      <c r="E597" s="428"/>
      <c r="F597" s="429"/>
      <c r="G597" s="430"/>
      <c r="H597" s="427"/>
      <c r="I597" s="427"/>
      <c r="J597" s="427"/>
      <c r="K597" s="427"/>
      <c r="L597" s="427"/>
      <c r="M597" s="427"/>
      <c r="N597" s="427"/>
      <c r="O597" s="427"/>
      <c r="P597" s="427"/>
      <c r="Q597" s="427"/>
      <c r="R597" s="427"/>
      <c r="S597" s="427"/>
      <c r="T597" s="427"/>
      <c r="U597" s="427"/>
      <c r="V597" s="428"/>
      <c r="W597" s="431"/>
      <c r="X597" s="3"/>
      <c r="Y597" s="429"/>
      <c r="Z597" s="430"/>
      <c r="AA597" s="430"/>
      <c r="AB597" s="430"/>
      <c r="AC597" s="424"/>
      <c r="AD597" s="424"/>
      <c r="AE597" s="424"/>
      <c r="AF597" s="424"/>
      <c r="AG597" s="424"/>
      <c r="AH597" s="424"/>
      <c r="AI597" s="424"/>
      <c r="AJ597" s="2"/>
      <c r="AK597" s="2"/>
      <c r="AL597" s="2"/>
      <c r="AM597" s="2"/>
      <c r="AN597" s="2"/>
      <c r="AO597" s="2"/>
      <c r="AP597" s="2"/>
      <c r="AQ597" s="427"/>
      <c r="AR597" s="754"/>
      <c r="AS597" s="427"/>
      <c r="AT597" s="754"/>
      <c r="AU597" s="427"/>
      <c r="AV597" s="427"/>
      <c r="AW597" s="427"/>
      <c r="AX597" s="427"/>
      <c r="AY597" s="754"/>
      <c r="AZ597" s="754"/>
      <c r="BA597" s="754"/>
      <c r="BB597" s="427"/>
      <c r="BC597" s="427"/>
      <c r="BD597" s="427"/>
      <c r="BE597" s="754"/>
      <c r="BF597" s="427"/>
      <c r="BG597" s="454"/>
      <c r="BH597" s="754"/>
      <c r="BI597" s="427"/>
      <c r="BJ597" s="427"/>
      <c r="BK597" s="427"/>
      <c r="BL597" s="427"/>
      <c r="BM597" s="454"/>
      <c r="BN597" s="427"/>
      <c r="BO597" s="427"/>
      <c r="BP597" s="427"/>
      <c r="BQ597" s="454"/>
      <c r="BR597" s="454"/>
      <c r="BS597" s="460"/>
      <c r="BT597" s="454"/>
      <c r="BU597" s="454"/>
      <c r="BV597" s="457"/>
      <c r="BW597" s="460"/>
      <c r="BX597" s="460"/>
      <c r="BY597" s="460"/>
      <c r="CA597" s="2"/>
      <c r="CB597" s="2"/>
      <c r="CC597" s="2"/>
      <c r="CD597" s="2"/>
      <c r="CE597" s="2"/>
      <c r="CF597" s="2"/>
      <c r="CG597" s="2"/>
      <c r="CH597" s="2"/>
      <c r="CI597" s="2"/>
      <c r="CJ597" s="2"/>
      <c r="CK597" s="2"/>
      <c r="CL597" s="2"/>
      <c r="CM597" s="2"/>
      <c r="CN597" s="2"/>
      <c r="CO597" s="427"/>
      <c r="CP597" s="427"/>
      <c r="CQ597" s="427"/>
      <c r="CR597" s="485"/>
      <c r="CS597" s="485"/>
      <c r="CT597" s="485"/>
      <c r="CU597" s="485"/>
      <c r="CV597" s="482"/>
      <c r="CW597" s="482"/>
      <c r="CX597" s="482"/>
      <c r="CY597" s="482"/>
      <c r="CZ597" s="485"/>
      <c r="DA597" s="485"/>
      <c r="DB597" s="485"/>
      <c r="DC597" s="485"/>
      <c r="DD597" s="485"/>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485"/>
      <c r="EX597" s="457"/>
      <c r="EY597" s="457"/>
      <c r="EZ597" s="457"/>
      <c r="FA597" s="457"/>
      <c r="FB597" s="457"/>
      <c r="FC597" s="457"/>
      <c r="FD597" s="457"/>
      <c r="FE597" s="457"/>
      <c r="FF597" s="457"/>
      <c r="FG597" s="457"/>
      <c r="FH597" s="457"/>
      <c r="FI597" s="457"/>
      <c r="FJ597" s="457"/>
      <c r="FK597" s="457"/>
    </row>
    <row r="598" spans="1:167" s="416" customFormat="1">
      <c r="A598" s="427"/>
      <c r="B598" s="427"/>
      <c r="C598" s="427"/>
      <c r="D598" s="427"/>
      <c r="E598" s="428"/>
      <c r="F598" s="429"/>
      <c r="G598" s="430"/>
      <c r="H598" s="427"/>
      <c r="I598" s="427"/>
      <c r="J598" s="427"/>
      <c r="K598" s="427"/>
      <c r="L598" s="427"/>
      <c r="M598" s="427"/>
      <c r="N598" s="427"/>
      <c r="O598" s="427"/>
      <c r="P598" s="427"/>
      <c r="Q598" s="427"/>
      <c r="R598" s="427"/>
      <c r="S598" s="427"/>
      <c r="T598" s="427"/>
      <c r="U598" s="427"/>
      <c r="V598" s="428"/>
      <c r="W598" s="431"/>
      <c r="X598" s="3"/>
      <c r="Y598" s="429"/>
      <c r="Z598" s="430"/>
      <c r="AA598" s="430"/>
      <c r="AB598" s="430"/>
      <c r="AC598" s="424"/>
      <c r="AD598" s="424"/>
      <c r="AE598" s="424"/>
      <c r="AF598" s="424"/>
      <c r="AG598" s="424"/>
      <c r="AH598" s="424"/>
      <c r="AI598" s="424"/>
      <c r="AJ598" s="2"/>
      <c r="AK598" s="2"/>
      <c r="AL598" s="2"/>
      <c r="AM598" s="2"/>
      <c r="AN598" s="2"/>
      <c r="AO598" s="2"/>
      <c r="AP598" s="2"/>
      <c r="AQ598" s="427"/>
      <c r="AR598" s="754"/>
      <c r="AS598" s="427"/>
      <c r="AT598" s="754"/>
      <c r="AU598" s="427"/>
      <c r="AV598" s="427"/>
      <c r="AW598" s="427"/>
      <c r="AX598" s="427"/>
      <c r="AY598" s="754"/>
      <c r="AZ598" s="754"/>
      <c r="BA598" s="754"/>
      <c r="BB598" s="427"/>
      <c r="BC598" s="427"/>
      <c r="BD598" s="427"/>
      <c r="BE598" s="754"/>
      <c r="BF598" s="427"/>
      <c r="BG598" s="454"/>
      <c r="BH598" s="754"/>
      <c r="BI598" s="427"/>
      <c r="BJ598" s="427"/>
      <c r="BK598" s="427"/>
      <c r="BL598" s="427"/>
      <c r="BM598" s="454"/>
      <c r="BN598" s="427"/>
      <c r="BO598" s="427"/>
      <c r="BP598" s="427"/>
      <c r="BQ598" s="454"/>
      <c r="BR598" s="454"/>
      <c r="BS598" s="460"/>
      <c r="BT598" s="454"/>
      <c r="BU598" s="454"/>
      <c r="BV598" s="457"/>
      <c r="BW598" s="460"/>
      <c r="BX598" s="460"/>
      <c r="BY598" s="460"/>
      <c r="CA598" s="2"/>
      <c r="CB598" s="2"/>
      <c r="CC598" s="2"/>
      <c r="CD598" s="2"/>
      <c r="CE598" s="2"/>
      <c r="CF598" s="2"/>
      <c r="CG598" s="2"/>
      <c r="CH598" s="2"/>
      <c r="CI598" s="2"/>
      <c r="CJ598" s="2"/>
      <c r="CK598" s="2"/>
      <c r="CL598" s="2"/>
      <c r="CM598" s="2"/>
      <c r="CN598" s="2"/>
      <c r="CO598" s="427"/>
      <c r="CP598" s="427"/>
      <c r="CQ598" s="427"/>
      <c r="CR598" s="485"/>
      <c r="CS598" s="485"/>
      <c r="CT598" s="485"/>
      <c r="CU598" s="485"/>
      <c r="CV598" s="482"/>
      <c r="CW598" s="482"/>
      <c r="CX598" s="482"/>
      <c r="CY598" s="482"/>
      <c r="CZ598" s="485"/>
      <c r="DA598" s="485"/>
      <c r="DB598" s="485"/>
      <c r="DC598" s="485"/>
      <c r="DD598" s="485"/>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485"/>
      <c r="EX598" s="457"/>
      <c r="EY598" s="457"/>
      <c r="EZ598" s="457"/>
      <c r="FA598" s="457"/>
      <c r="FB598" s="457"/>
      <c r="FC598" s="457"/>
      <c r="FD598" s="457"/>
      <c r="FE598" s="457"/>
      <c r="FF598" s="457"/>
      <c r="FG598" s="457"/>
      <c r="FH598" s="457"/>
      <c r="FI598" s="457"/>
      <c r="FJ598" s="457"/>
      <c r="FK598" s="457"/>
    </row>
    <row r="599" spans="1:167" s="416" customFormat="1">
      <c r="A599" s="427"/>
      <c r="B599" s="427"/>
      <c r="C599" s="427"/>
      <c r="D599" s="427"/>
      <c r="E599" s="428"/>
      <c r="F599" s="429"/>
      <c r="G599" s="430"/>
      <c r="H599" s="427"/>
      <c r="I599" s="427"/>
      <c r="J599" s="427"/>
      <c r="K599" s="427"/>
      <c r="L599" s="427"/>
      <c r="M599" s="427"/>
      <c r="N599" s="427"/>
      <c r="O599" s="427"/>
      <c r="P599" s="427"/>
      <c r="Q599" s="427"/>
      <c r="R599" s="427"/>
      <c r="S599" s="427"/>
      <c r="T599" s="427"/>
      <c r="U599" s="427"/>
      <c r="V599" s="428"/>
      <c r="W599" s="431"/>
      <c r="X599" s="3"/>
      <c r="Y599" s="429"/>
      <c r="Z599" s="430"/>
      <c r="AA599" s="430"/>
      <c r="AB599" s="430"/>
      <c r="AC599" s="424"/>
      <c r="AD599" s="424"/>
      <c r="AE599" s="424"/>
      <c r="AF599" s="424"/>
      <c r="AG599" s="424"/>
      <c r="AH599" s="424"/>
      <c r="AI599" s="424"/>
      <c r="AJ599" s="2"/>
      <c r="AK599" s="2"/>
      <c r="AL599" s="2"/>
      <c r="AM599" s="2"/>
      <c r="AN599" s="2"/>
      <c r="AO599" s="2"/>
      <c r="AP599" s="2"/>
      <c r="AQ599" s="427"/>
      <c r="AR599" s="754"/>
      <c r="AS599" s="427"/>
      <c r="AT599" s="754"/>
      <c r="AU599" s="427"/>
      <c r="AV599" s="427"/>
      <c r="AW599" s="427"/>
      <c r="AX599" s="427"/>
      <c r="AY599" s="754"/>
      <c r="AZ599" s="754"/>
      <c r="BA599" s="754"/>
      <c r="BB599" s="427"/>
      <c r="BC599" s="427"/>
      <c r="BD599" s="427"/>
      <c r="BE599" s="754"/>
      <c r="BF599" s="427"/>
      <c r="BG599" s="454"/>
      <c r="BH599" s="754"/>
      <c r="BI599" s="427"/>
      <c r="BJ599" s="427"/>
      <c r="BK599" s="427"/>
      <c r="BL599" s="427"/>
      <c r="BM599" s="454"/>
      <c r="BN599" s="427"/>
      <c r="BO599" s="427"/>
      <c r="BP599" s="427"/>
      <c r="BQ599" s="454"/>
      <c r="BR599" s="454"/>
      <c r="BS599" s="460"/>
      <c r="BT599" s="454"/>
      <c r="BU599" s="454"/>
      <c r="BV599" s="457"/>
      <c r="BW599" s="460"/>
      <c r="BX599" s="460"/>
      <c r="BY599" s="460"/>
      <c r="CA599" s="2"/>
      <c r="CB599" s="2"/>
      <c r="CC599" s="2"/>
      <c r="CD599" s="2"/>
      <c r="CE599" s="2"/>
      <c r="CF599" s="2"/>
      <c r="CG599" s="2"/>
      <c r="CH599" s="2"/>
      <c r="CI599" s="2"/>
      <c r="CJ599" s="2"/>
      <c r="CK599" s="2"/>
      <c r="CL599" s="2"/>
      <c r="CM599" s="2"/>
      <c r="CN599" s="2"/>
      <c r="CO599" s="427"/>
      <c r="CP599" s="427"/>
      <c r="CQ599" s="427"/>
      <c r="CR599" s="485"/>
      <c r="CS599" s="485"/>
      <c r="CT599" s="485"/>
      <c r="CU599" s="485"/>
      <c r="CV599" s="482"/>
      <c r="CW599" s="482"/>
      <c r="CX599" s="482"/>
      <c r="CY599" s="482"/>
      <c r="CZ599" s="485"/>
      <c r="DA599" s="485"/>
      <c r="DB599" s="485"/>
      <c r="DC599" s="485"/>
      <c r="DD599" s="485"/>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485"/>
      <c r="EX599" s="457"/>
      <c r="EY599" s="457"/>
      <c r="EZ599" s="457"/>
      <c r="FA599" s="457"/>
      <c r="FB599" s="457"/>
      <c r="FC599" s="457"/>
      <c r="FD599" s="457"/>
      <c r="FE599" s="457"/>
      <c r="FF599" s="457"/>
      <c r="FG599" s="457"/>
      <c r="FH599" s="457"/>
      <c r="FI599" s="457"/>
      <c r="FJ599" s="457"/>
      <c r="FK599" s="457"/>
    </row>
    <row r="600" spans="1:167" s="416" customFormat="1">
      <c r="A600" s="427"/>
      <c r="B600" s="427"/>
      <c r="C600" s="427"/>
      <c r="D600" s="427"/>
      <c r="E600" s="428"/>
      <c r="F600" s="429"/>
      <c r="G600" s="430"/>
      <c r="H600" s="427"/>
      <c r="I600" s="427"/>
      <c r="J600" s="427"/>
      <c r="K600" s="427"/>
      <c r="L600" s="427"/>
      <c r="M600" s="427"/>
      <c r="N600" s="427"/>
      <c r="O600" s="427"/>
      <c r="P600" s="427"/>
      <c r="Q600" s="427"/>
      <c r="R600" s="427"/>
      <c r="S600" s="427"/>
      <c r="T600" s="427"/>
      <c r="U600" s="427"/>
      <c r="V600" s="428"/>
      <c r="W600" s="431"/>
      <c r="X600" s="3"/>
      <c r="Y600" s="429"/>
      <c r="Z600" s="430"/>
      <c r="AA600" s="430"/>
      <c r="AB600" s="430"/>
      <c r="AC600" s="424"/>
      <c r="AD600" s="424"/>
      <c r="AE600" s="424"/>
      <c r="AF600" s="424"/>
      <c r="AG600" s="424"/>
      <c r="AH600" s="424"/>
      <c r="AI600" s="424"/>
      <c r="AJ600" s="2"/>
      <c r="AK600" s="2"/>
      <c r="AL600" s="2"/>
      <c r="AM600" s="2"/>
      <c r="AN600" s="2"/>
      <c r="AO600" s="2"/>
      <c r="AP600" s="2"/>
      <c r="AQ600" s="427"/>
      <c r="AR600" s="754"/>
      <c r="AS600" s="427"/>
      <c r="AT600" s="754"/>
      <c r="AU600" s="427"/>
      <c r="AV600" s="427"/>
      <c r="AW600" s="427"/>
      <c r="AX600" s="427"/>
      <c r="AY600" s="754"/>
      <c r="AZ600" s="754"/>
      <c r="BA600" s="754"/>
      <c r="BB600" s="427"/>
      <c r="BC600" s="427"/>
      <c r="BD600" s="427"/>
      <c r="BE600" s="754"/>
      <c r="BF600" s="427"/>
      <c r="BG600" s="454"/>
      <c r="BH600" s="754"/>
      <c r="BI600" s="427"/>
      <c r="BJ600" s="427"/>
      <c r="BK600" s="427"/>
      <c r="BL600" s="427"/>
      <c r="BM600" s="454"/>
      <c r="BN600" s="427"/>
      <c r="BO600" s="427"/>
      <c r="BP600" s="427"/>
      <c r="BQ600" s="454"/>
      <c r="BR600" s="454"/>
      <c r="BS600" s="460"/>
      <c r="BT600" s="454"/>
      <c r="BU600" s="454"/>
      <c r="BV600" s="457"/>
      <c r="BW600" s="460"/>
      <c r="BX600" s="460"/>
      <c r="BY600" s="460"/>
      <c r="CA600" s="2"/>
      <c r="CB600" s="2"/>
      <c r="CC600" s="2"/>
      <c r="CD600" s="2"/>
      <c r="CE600" s="2"/>
      <c r="CF600" s="2"/>
      <c r="CG600" s="2"/>
      <c r="CH600" s="2"/>
      <c r="CI600" s="2"/>
      <c r="CJ600" s="2"/>
      <c r="CK600" s="2"/>
      <c r="CL600" s="2"/>
      <c r="CM600" s="2"/>
      <c r="CN600" s="2"/>
      <c r="CO600" s="427"/>
      <c r="CP600" s="427"/>
      <c r="CQ600" s="427"/>
      <c r="CR600" s="485"/>
      <c r="CS600" s="485"/>
      <c r="CT600" s="485"/>
      <c r="CU600" s="485"/>
      <c r="CV600" s="482"/>
      <c r="CW600" s="482"/>
      <c r="CX600" s="482"/>
      <c r="CY600" s="482"/>
      <c r="CZ600" s="485"/>
      <c r="DA600" s="485"/>
      <c r="DB600" s="485"/>
      <c r="DC600" s="485"/>
      <c r="DD600" s="485"/>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485"/>
      <c r="EX600" s="457"/>
      <c r="EY600" s="457"/>
      <c r="EZ600" s="457"/>
      <c r="FA600" s="457"/>
      <c r="FB600" s="457"/>
      <c r="FC600" s="457"/>
      <c r="FD600" s="457"/>
      <c r="FE600" s="457"/>
      <c r="FF600" s="457"/>
      <c r="FG600" s="457"/>
      <c r="FH600" s="457"/>
      <c r="FI600" s="457"/>
      <c r="FJ600" s="457"/>
      <c r="FK600" s="457"/>
    </row>
    <row r="601" spans="1:167" s="416" customFormat="1">
      <c r="A601" s="427"/>
      <c r="B601" s="427"/>
      <c r="C601" s="427"/>
      <c r="D601" s="427"/>
      <c r="E601" s="428"/>
      <c r="F601" s="429"/>
      <c r="G601" s="430"/>
      <c r="H601" s="427"/>
      <c r="I601" s="427"/>
      <c r="J601" s="427"/>
      <c r="K601" s="427"/>
      <c r="L601" s="427"/>
      <c r="M601" s="427"/>
      <c r="N601" s="427"/>
      <c r="O601" s="427"/>
      <c r="P601" s="427"/>
      <c r="Q601" s="427"/>
      <c r="R601" s="427"/>
      <c r="S601" s="427"/>
      <c r="T601" s="427"/>
      <c r="U601" s="427"/>
      <c r="V601" s="428"/>
      <c r="W601" s="431"/>
      <c r="X601" s="3"/>
      <c r="Y601" s="429"/>
      <c r="Z601" s="430"/>
      <c r="AA601" s="430"/>
      <c r="AB601" s="430"/>
      <c r="AC601" s="424"/>
      <c r="AD601" s="424"/>
      <c r="AE601" s="424"/>
      <c r="AF601" s="424"/>
      <c r="AG601" s="424"/>
      <c r="AH601" s="424"/>
      <c r="AI601" s="424"/>
      <c r="AJ601" s="2"/>
      <c r="AK601" s="2"/>
      <c r="AL601" s="2"/>
      <c r="AM601" s="2"/>
      <c r="AN601" s="2"/>
      <c r="AO601" s="2"/>
      <c r="AP601" s="2"/>
      <c r="AQ601" s="427"/>
      <c r="AR601" s="754"/>
      <c r="AS601" s="427"/>
      <c r="AT601" s="754"/>
      <c r="AU601" s="427"/>
      <c r="AV601" s="427"/>
      <c r="AW601" s="427"/>
      <c r="AX601" s="427"/>
      <c r="AY601" s="754"/>
      <c r="AZ601" s="754"/>
      <c r="BA601" s="754"/>
      <c r="BB601" s="427"/>
      <c r="BC601" s="427"/>
      <c r="BD601" s="427"/>
      <c r="BE601" s="754"/>
      <c r="BF601" s="427"/>
      <c r="BG601" s="454"/>
      <c r="BH601" s="754"/>
      <c r="BI601" s="427"/>
      <c r="BJ601" s="427"/>
      <c r="BK601" s="427"/>
      <c r="BL601" s="427"/>
      <c r="BM601" s="454"/>
      <c r="BN601" s="427"/>
      <c r="BO601" s="427"/>
      <c r="BP601" s="427"/>
      <c r="BQ601" s="454"/>
      <c r="BR601" s="454"/>
      <c r="BS601" s="460"/>
      <c r="BT601" s="454"/>
      <c r="BU601" s="454"/>
      <c r="BV601" s="457"/>
      <c r="BW601" s="460"/>
      <c r="BX601" s="460"/>
      <c r="BY601" s="460"/>
      <c r="CA601" s="2"/>
      <c r="CB601" s="2"/>
      <c r="CC601" s="2"/>
      <c r="CD601" s="2"/>
      <c r="CE601" s="2"/>
      <c r="CF601" s="2"/>
      <c r="CG601" s="2"/>
      <c r="CH601" s="2"/>
      <c r="CI601" s="2"/>
      <c r="CJ601" s="2"/>
      <c r="CK601" s="2"/>
      <c r="CL601" s="2"/>
      <c r="CM601" s="2"/>
      <c r="CN601" s="2"/>
      <c r="CO601" s="427"/>
      <c r="CP601" s="427"/>
      <c r="CQ601" s="427"/>
      <c r="CR601" s="485"/>
      <c r="CS601" s="485"/>
      <c r="CT601" s="485"/>
      <c r="CU601" s="485"/>
      <c r="CV601" s="482"/>
      <c r="CW601" s="482"/>
      <c r="CX601" s="482"/>
      <c r="CY601" s="482"/>
      <c r="CZ601" s="485"/>
      <c r="DA601" s="485"/>
      <c r="DB601" s="485"/>
      <c r="DC601" s="485"/>
      <c r="DD601" s="485"/>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485"/>
      <c r="EX601" s="457"/>
      <c r="EY601" s="457"/>
      <c r="EZ601" s="457"/>
      <c r="FA601" s="457"/>
      <c r="FB601" s="457"/>
      <c r="FC601" s="457"/>
      <c r="FD601" s="457"/>
      <c r="FE601" s="457"/>
      <c r="FF601" s="457"/>
      <c r="FG601" s="457"/>
      <c r="FH601" s="457"/>
      <c r="FI601" s="457"/>
      <c r="FJ601" s="457"/>
      <c r="FK601" s="457"/>
    </row>
    <row r="602" spans="1:167" s="416" customFormat="1">
      <c r="A602" s="427"/>
      <c r="B602" s="427"/>
      <c r="C602" s="427"/>
      <c r="D602" s="427"/>
      <c r="E602" s="428"/>
      <c r="F602" s="429"/>
      <c r="G602" s="430"/>
      <c r="H602" s="427"/>
      <c r="I602" s="427"/>
      <c r="J602" s="427"/>
      <c r="K602" s="427"/>
      <c r="L602" s="427"/>
      <c r="M602" s="427"/>
      <c r="N602" s="427"/>
      <c r="O602" s="427"/>
      <c r="P602" s="427"/>
      <c r="Q602" s="427"/>
      <c r="R602" s="427"/>
      <c r="S602" s="427"/>
      <c r="T602" s="427"/>
      <c r="U602" s="427"/>
      <c r="V602" s="428"/>
      <c r="W602" s="431"/>
      <c r="X602" s="3"/>
      <c r="Y602" s="429"/>
      <c r="Z602" s="430"/>
      <c r="AA602" s="430"/>
      <c r="AB602" s="430"/>
      <c r="AC602" s="424"/>
      <c r="AD602" s="424"/>
      <c r="AE602" s="424"/>
      <c r="AF602" s="424"/>
      <c r="AG602" s="424"/>
      <c r="AH602" s="424"/>
      <c r="AI602" s="424"/>
      <c r="AJ602" s="2"/>
      <c r="AK602" s="2"/>
      <c r="AL602" s="2"/>
      <c r="AM602" s="2"/>
      <c r="AN602" s="2"/>
      <c r="AO602" s="2"/>
      <c r="AP602" s="2"/>
      <c r="AQ602" s="427"/>
      <c r="AR602" s="754"/>
      <c r="AS602" s="427"/>
      <c r="AT602" s="754"/>
      <c r="AU602" s="427"/>
      <c r="AV602" s="427"/>
      <c r="AW602" s="427"/>
      <c r="AX602" s="427"/>
      <c r="AY602" s="754"/>
      <c r="AZ602" s="754"/>
      <c r="BA602" s="754"/>
      <c r="BB602" s="427"/>
      <c r="BC602" s="427"/>
      <c r="BD602" s="427"/>
      <c r="BE602" s="754"/>
      <c r="BF602" s="427"/>
      <c r="BG602" s="454"/>
      <c r="BH602" s="754"/>
      <c r="BI602" s="427"/>
      <c r="BJ602" s="427"/>
      <c r="BK602" s="427"/>
      <c r="BL602" s="427"/>
      <c r="BM602" s="454"/>
      <c r="BN602" s="427"/>
      <c r="BO602" s="427"/>
      <c r="BP602" s="427"/>
      <c r="BQ602" s="454"/>
      <c r="BR602" s="454"/>
      <c r="BS602" s="460"/>
      <c r="BT602" s="454"/>
      <c r="BU602" s="454"/>
      <c r="BV602" s="457"/>
      <c r="BW602" s="460"/>
      <c r="BX602" s="460"/>
      <c r="BY602" s="460"/>
      <c r="CA602" s="2"/>
      <c r="CB602" s="2"/>
      <c r="CC602" s="2"/>
      <c r="CD602" s="2"/>
      <c r="CE602" s="2"/>
      <c r="CF602" s="2"/>
      <c r="CG602" s="2"/>
      <c r="CH602" s="2"/>
      <c r="CI602" s="2"/>
      <c r="CJ602" s="2"/>
      <c r="CK602" s="2"/>
      <c r="CL602" s="2"/>
      <c r="CM602" s="2"/>
      <c r="CN602" s="2"/>
      <c r="CO602" s="427"/>
      <c r="CP602" s="427"/>
      <c r="CQ602" s="427"/>
      <c r="CR602" s="485"/>
      <c r="CS602" s="485"/>
      <c r="CT602" s="485"/>
      <c r="CU602" s="485"/>
      <c r="CV602" s="482"/>
      <c r="CW602" s="482"/>
      <c r="CX602" s="482"/>
      <c r="CY602" s="482"/>
      <c r="CZ602" s="485"/>
      <c r="DA602" s="485"/>
      <c r="DB602" s="485"/>
      <c r="DC602" s="485"/>
      <c r="DD602" s="485"/>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485"/>
      <c r="EX602" s="457"/>
      <c r="EY602" s="457"/>
      <c r="EZ602" s="457"/>
      <c r="FA602" s="457"/>
      <c r="FB602" s="457"/>
      <c r="FC602" s="457"/>
      <c r="FD602" s="457"/>
      <c r="FE602" s="457"/>
      <c r="FF602" s="457"/>
      <c r="FG602" s="457"/>
      <c r="FH602" s="457"/>
      <c r="FI602" s="457"/>
      <c r="FJ602" s="457"/>
      <c r="FK602" s="457"/>
    </row>
    <row r="603" spans="1:167" s="416" customFormat="1">
      <c r="A603" s="427"/>
      <c r="B603" s="427"/>
      <c r="C603" s="427"/>
      <c r="D603" s="427"/>
      <c r="E603" s="428"/>
      <c r="F603" s="429"/>
      <c r="G603" s="430"/>
      <c r="H603" s="427"/>
      <c r="I603" s="427"/>
      <c r="J603" s="427"/>
      <c r="K603" s="427"/>
      <c r="L603" s="427"/>
      <c r="M603" s="427"/>
      <c r="N603" s="427"/>
      <c r="O603" s="427"/>
      <c r="P603" s="427"/>
      <c r="Q603" s="427"/>
      <c r="R603" s="427"/>
      <c r="S603" s="427"/>
      <c r="T603" s="427"/>
      <c r="U603" s="427"/>
      <c r="V603" s="428"/>
      <c r="W603" s="431"/>
      <c r="X603" s="3"/>
      <c r="Y603" s="429"/>
      <c r="Z603" s="430"/>
      <c r="AA603" s="430"/>
      <c r="AB603" s="430"/>
      <c r="AC603" s="424"/>
      <c r="AD603" s="424"/>
      <c r="AE603" s="424"/>
      <c r="AF603" s="424"/>
      <c r="AG603" s="424"/>
      <c r="AH603" s="424"/>
      <c r="AI603" s="424"/>
      <c r="AJ603" s="2"/>
      <c r="AK603" s="2"/>
      <c r="AL603" s="2"/>
      <c r="AM603" s="2"/>
      <c r="AN603" s="2"/>
      <c r="AO603" s="2"/>
      <c r="AP603" s="2"/>
      <c r="AQ603" s="427"/>
      <c r="AR603" s="754"/>
      <c r="AS603" s="427"/>
      <c r="AT603" s="754"/>
      <c r="AU603" s="427"/>
      <c r="AV603" s="427"/>
      <c r="AW603" s="427"/>
      <c r="AX603" s="427"/>
      <c r="AY603" s="754"/>
      <c r="AZ603" s="754"/>
      <c r="BA603" s="754"/>
      <c r="BB603" s="427"/>
      <c r="BC603" s="427"/>
      <c r="BD603" s="427"/>
      <c r="BE603" s="754"/>
      <c r="BF603" s="427"/>
      <c r="BG603" s="454"/>
      <c r="BH603" s="754"/>
      <c r="BI603" s="427"/>
      <c r="BJ603" s="427"/>
      <c r="BK603" s="427"/>
      <c r="BL603" s="427"/>
      <c r="BM603" s="454"/>
      <c r="BN603" s="427"/>
      <c r="BO603" s="427"/>
      <c r="BP603" s="427"/>
      <c r="BQ603" s="454"/>
      <c r="BR603" s="454"/>
      <c r="BS603" s="460"/>
      <c r="BT603" s="454"/>
      <c r="BU603" s="454"/>
      <c r="BV603" s="457"/>
      <c r="BW603" s="460"/>
      <c r="BX603" s="460"/>
      <c r="BY603" s="460"/>
      <c r="CA603" s="2"/>
      <c r="CB603" s="2"/>
      <c r="CC603" s="2"/>
      <c r="CD603" s="2"/>
      <c r="CE603" s="2"/>
      <c r="CF603" s="2"/>
      <c r="CG603" s="2"/>
      <c r="CH603" s="2"/>
      <c r="CI603" s="2"/>
      <c r="CJ603" s="2"/>
      <c r="CK603" s="2"/>
      <c r="CL603" s="2"/>
      <c r="CM603" s="2"/>
      <c r="CN603" s="2"/>
      <c r="CO603" s="427"/>
      <c r="CP603" s="427"/>
      <c r="CQ603" s="427"/>
      <c r="CR603" s="485"/>
      <c r="CS603" s="485"/>
      <c r="CT603" s="485"/>
      <c r="CU603" s="485"/>
      <c r="CV603" s="482"/>
      <c r="CW603" s="482"/>
      <c r="CX603" s="482"/>
      <c r="CY603" s="482"/>
      <c r="CZ603" s="485"/>
      <c r="DA603" s="485"/>
      <c r="DB603" s="485"/>
      <c r="DC603" s="485"/>
      <c r="DD603" s="485"/>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485"/>
      <c r="EX603" s="457"/>
      <c r="EY603" s="457"/>
      <c r="EZ603" s="457"/>
      <c r="FA603" s="457"/>
      <c r="FB603" s="457"/>
      <c r="FC603" s="457"/>
      <c r="FD603" s="457"/>
      <c r="FE603" s="457"/>
      <c r="FF603" s="457"/>
      <c r="FG603" s="457"/>
      <c r="FH603" s="457"/>
      <c r="FI603" s="457"/>
      <c r="FJ603" s="457"/>
      <c r="FK603" s="457"/>
    </row>
    <row r="604" spans="1:167" s="416" customFormat="1">
      <c r="A604" s="427"/>
      <c r="B604" s="427"/>
      <c r="C604" s="427"/>
      <c r="D604" s="427"/>
      <c r="E604" s="428"/>
      <c r="F604" s="429"/>
      <c r="G604" s="430"/>
      <c r="H604" s="427"/>
      <c r="I604" s="427"/>
      <c r="J604" s="427"/>
      <c r="K604" s="427"/>
      <c r="L604" s="427"/>
      <c r="M604" s="427"/>
      <c r="N604" s="427"/>
      <c r="O604" s="427"/>
      <c r="P604" s="427"/>
      <c r="Q604" s="427"/>
      <c r="R604" s="427"/>
      <c r="S604" s="427"/>
      <c r="T604" s="427"/>
      <c r="U604" s="427"/>
      <c r="V604" s="428"/>
      <c r="W604" s="431"/>
      <c r="X604" s="3"/>
      <c r="Y604" s="429"/>
      <c r="Z604" s="430"/>
      <c r="AA604" s="430"/>
      <c r="AB604" s="430"/>
      <c r="AC604" s="424"/>
      <c r="AD604" s="424"/>
      <c r="AE604" s="424"/>
      <c r="AF604" s="424"/>
      <c r="AG604" s="424"/>
      <c r="AH604" s="424"/>
      <c r="AI604" s="424"/>
      <c r="AJ604" s="2"/>
      <c r="AK604" s="2"/>
      <c r="AL604" s="2"/>
      <c r="AM604" s="2"/>
      <c r="AN604" s="2"/>
      <c r="AO604" s="2"/>
      <c r="AP604" s="2"/>
      <c r="AQ604" s="427"/>
      <c r="AR604" s="754"/>
      <c r="AS604" s="427"/>
      <c r="AT604" s="754"/>
      <c r="AU604" s="427"/>
      <c r="AV604" s="427"/>
      <c r="AW604" s="427"/>
      <c r="AX604" s="427"/>
      <c r="AY604" s="754"/>
      <c r="AZ604" s="754"/>
      <c r="BA604" s="754"/>
      <c r="BB604" s="427"/>
      <c r="BC604" s="427"/>
      <c r="BD604" s="427"/>
      <c r="BE604" s="754"/>
      <c r="BF604" s="427"/>
      <c r="BG604" s="454"/>
      <c r="BH604" s="754"/>
      <c r="BI604" s="427"/>
      <c r="BJ604" s="427"/>
      <c r="BK604" s="427"/>
      <c r="BL604" s="427"/>
      <c r="BM604" s="454"/>
      <c r="BN604" s="427"/>
      <c r="BO604" s="427"/>
      <c r="BP604" s="427"/>
      <c r="BQ604" s="454"/>
      <c r="BR604" s="454"/>
      <c r="BS604" s="460"/>
      <c r="BT604" s="454"/>
      <c r="BU604" s="454"/>
      <c r="BV604" s="457"/>
      <c r="BW604" s="460"/>
      <c r="BX604" s="460"/>
      <c r="BY604" s="460"/>
      <c r="CA604" s="2"/>
      <c r="CB604" s="2"/>
      <c r="CC604" s="2"/>
      <c r="CD604" s="2"/>
      <c r="CE604" s="2"/>
      <c r="CF604" s="2"/>
      <c r="CG604" s="2"/>
      <c r="CH604" s="2"/>
      <c r="CI604" s="2"/>
      <c r="CJ604" s="2"/>
      <c r="CK604" s="2"/>
      <c r="CL604" s="2"/>
      <c r="CM604" s="2"/>
      <c r="CN604" s="2"/>
      <c r="CO604" s="427"/>
      <c r="CP604" s="427"/>
      <c r="CQ604" s="427"/>
      <c r="CR604" s="485"/>
      <c r="CS604" s="485"/>
      <c r="CT604" s="485"/>
      <c r="CU604" s="485"/>
      <c r="CV604" s="482"/>
      <c r="CW604" s="482"/>
      <c r="CX604" s="482"/>
      <c r="CY604" s="482"/>
      <c r="CZ604" s="485"/>
      <c r="DA604" s="485"/>
      <c r="DB604" s="485"/>
      <c r="DC604" s="485"/>
      <c r="DD604" s="485"/>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485"/>
      <c r="EX604" s="457"/>
      <c r="EY604" s="457"/>
      <c r="EZ604" s="457"/>
      <c r="FA604" s="457"/>
      <c r="FB604" s="457"/>
      <c r="FC604" s="457"/>
      <c r="FD604" s="457"/>
      <c r="FE604" s="457"/>
      <c r="FF604" s="457"/>
      <c r="FG604" s="457"/>
      <c r="FH604" s="457"/>
      <c r="FI604" s="457"/>
      <c r="FJ604" s="457"/>
      <c r="FK604" s="457"/>
    </row>
    <row r="605" spans="1:167" s="416" customFormat="1">
      <c r="A605" s="427"/>
      <c r="B605" s="427"/>
      <c r="C605" s="427"/>
      <c r="D605" s="427"/>
      <c r="E605" s="428"/>
      <c r="F605" s="429"/>
      <c r="G605" s="430"/>
      <c r="H605" s="427"/>
      <c r="I605" s="427"/>
      <c r="J605" s="427"/>
      <c r="K605" s="427"/>
      <c r="L605" s="427"/>
      <c r="M605" s="427"/>
      <c r="N605" s="427"/>
      <c r="O605" s="427"/>
      <c r="P605" s="427"/>
      <c r="Q605" s="427"/>
      <c r="R605" s="427"/>
      <c r="S605" s="427"/>
      <c r="T605" s="427"/>
      <c r="U605" s="427"/>
      <c r="V605" s="428"/>
      <c r="W605" s="431"/>
      <c r="X605" s="3"/>
      <c r="Y605" s="429"/>
      <c r="Z605" s="430"/>
      <c r="AA605" s="430"/>
      <c r="AB605" s="430"/>
      <c r="AC605" s="424"/>
      <c r="AD605" s="424"/>
      <c r="AE605" s="424"/>
      <c r="AF605" s="424"/>
      <c r="AG605" s="424"/>
      <c r="AH605" s="424"/>
      <c r="AI605" s="424"/>
      <c r="AJ605" s="2"/>
      <c r="AK605" s="2"/>
      <c r="AL605" s="2"/>
      <c r="AM605" s="2"/>
      <c r="AN605" s="2"/>
      <c r="AO605" s="2"/>
      <c r="AP605" s="2"/>
      <c r="AQ605" s="427"/>
      <c r="AR605" s="754"/>
      <c r="AS605" s="427"/>
      <c r="AT605" s="754"/>
      <c r="AU605" s="427"/>
      <c r="AV605" s="427"/>
      <c r="AW605" s="427"/>
      <c r="AX605" s="427"/>
      <c r="AY605" s="754"/>
      <c r="AZ605" s="754"/>
      <c r="BA605" s="754"/>
      <c r="BB605" s="427"/>
      <c r="BC605" s="427"/>
      <c r="BD605" s="427"/>
      <c r="BE605" s="754"/>
      <c r="BF605" s="427"/>
      <c r="BG605" s="454"/>
      <c r="BH605" s="754"/>
      <c r="BI605" s="427"/>
      <c r="BJ605" s="427"/>
      <c r="BK605" s="427"/>
      <c r="BL605" s="427"/>
      <c r="BM605" s="454"/>
      <c r="BN605" s="427"/>
      <c r="BO605" s="427"/>
      <c r="BP605" s="427"/>
      <c r="BQ605" s="454"/>
      <c r="BR605" s="454"/>
      <c r="BS605" s="460"/>
      <c r="BT605" s="454"/>
      <c r="BU605" s="454"/>
      <c r="BV605" s="457"/>
      <c r="BW605" s="460"/>
      <c r="BX605" s="460"/>
      <c r="BY605" s="460"/>
      <c r="CA605" s="2"/>
      <c r="CB605" s="2"/>
      <c r="CC605" s="2"/>
      <c r="CD605" s="2"/>
      <c r="CE605" s="2"/>
      <c r="CF605" s="2"/>
      <c r="CG605" s="2"/>
      <c r="CH605" s="2"/>
      <c r="CI605" s="2"/>
      <c r="CJ605" s="2"/>
      <c r="CK605" s="2"/>
      <c r="CL605" s="2"/>
      <c r="CM605" s="2"/>
      <c r="CN605" s="2"/>
      <c r="CO605" s="427"/>
      <c r="CP605" s="427"/>
      <c r="CQ605" s="427"/>
      <c r="CR605" s="485"/>
      <c r="CS605" s="485"/>
      <c r="CT605" s="485"/>
      <c r="CU605" s="485"/>
      <c r="CV605" s="482"/>
      <c r="CW605" s="482"/>
      <c r="CX605" s="482"/>
      <c r="CY605" s="482"/>
      <c r="CZ605" s="485"/>
      <c r="DA605" s="485"/>
      <c r="DB605" s="485"/>
      <c r="DC605" s="485"/>
      <c r="DD605" s="485"/>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485"/>
      <c r="EX605" s="457"/>
      <c r="EY605" s="457"/>
      <c r="EZ605" s="457"/>
      <c r="FA605" s="457"/>
      <c r="FB605" s="457"/>
      <c r="FC605" s="457"/>
      <c r="FD605" s="457"/>
      <c r="FE605" s="457"/>
      <c r="FF605" s="457"/>
      <c r="FG605" s="457"/>
      <c r="FH605" s="457"/>
      <c r="FI605" s="457"/>
      <c r="FJ605" s="457"/>
      <c r="FK605" s="457"/>
    </row>
    <row r="606" spans="1:167" s="416" customFormat="1">
      <c r="A606" s="427"/>
      <c r="B606" s="427"/>
      <c r="C606" s="427"/>
      <c r="D606" s="427"/>
      <c r="E606" s="428"/>
      <c r="F606" s="429"/>
      <c r="G606" s="430"/>
      <c r="H606" s="427"/>
      <c r="I606" s="427"/>
      <c r="J606" s="427"/>
      <c r="K606" s="427"/>
      <c r="L606" s="427"/>
      <c r="M606" s="427"/>
      <c r="N606" s="427"/>
      <c r="O606" s="427"/>
      <c r="P606" s="427"/>
      <c r="Q606" s="427"/>
      <c r="R606" s="427"/>
      <c r="S606" s="427"/>
      <c r="T606" s="427"/>
      <c r="U606" s="427"/>
      <c r="V606" s="428"/>
      <c r="W606" s="431"/>
      <c r="X606" s="3"/>
      <c r="Y606" s="429"/>
      <c r="Z606" s="430"/>
      <c r="AA606" s="430"/>
      <c r="AB606" s="430"/>
      <c r="AC606" s="424"/>
      <c r="AD606" s="424"/>
      <c r="AE606" s="424"/>
      <c r="AF606" s="424"/>
      <c r="AG606" s="424"/>
      <c r="AH606" s="424"/>
      <c r="AI606" s="424"/>
      <c r="AJ606" s="2"/>
      <c r="AK606" s="2"/>
      <c r="AL606" s="2"/>
      <c r="AM606" s="2"/>
      <c r="AN606" s="2"/>
      <c r="AO606" s="2"/>
      <c r="AP606" s="2"/>
      <c r="AQ606" s="427"/>
      <c r="AR606" s="754"/>
      <c r="AS606" s="427"/>
      <c r="AT606" s="754"/>
      <c r="AU606" s="427"/>
      <c r="AV606" s="427"/>
      <c r="AW606" s="427"/>
      <c r="AX606" s="427"/>
      <c r="AY606" s="754"/>
      <c r="AZ606" s="754"/>
      <c r="BA606" s="754"/>
      <c r="BB606" s="427"/>
      <c r="BC606" s="427"/>
      <c r="BD606" s="427"/>
      <c r="BE606" s="754"/>
      <c r="BF606" s="427"/>
      <c r="BG606" s="454"/>
      <c r="BH606" s="754"/>
      <c r="BI606" s="427"/>
      <c r="BJ606" s="427"/>
      <c r="BK606" s="427"/>
      <c r="BL606" s="427"/>
      <c r="BM606" s="454"/>
      <c r="BN606" s="427"/>
      <c r="BO606" s="427"/>
      <c r="BP606" s="427"/>
      <c r="BQ606" s="454"/>
      <c r="BR606" s="454"/>
      <c r="BS606" s="460"/>
      <c r="BT606" s="454"/>
      <c r="BU606" s="454"/>
      <c r="BV606" s="457"/>
      <c r="BW606" s="460"/>
      <c r="BX606" s="460"/>
      <c r="BY606" s="460"/>
      <c r="CA606" s="2"/>
      <c r="CB606" s="2"/>
      <c r="CC606" s="2"/>
      <c r="CD606" s="2"/>
      <c r="CE606" s="2"/>
      <c r="CF606" s="2"/>
      <c r="CG606" s="2"/>
      <c r="CH606" s="2"/>
      <c r="CI606" s="2"/>
      <c r="CJ606" s="2"/>
      <c r="CK606" s="2"/>
      <c r="CL606" s="2"/>
      <c r="CM606" s="2"/>
      <c r="CN606" s="2"/>
      <c r="CO606" s="427"/>
      <c r="CP606" s="427"/>
      <c r="CQ606" s="427"/>
      <c r="CR606" s="485"/>
      <c r="CS606" s="485"/>
      <c r="CT606" s="485"/>
      <c r="CU606" s="485"/>
      <c r="CV606" s="482"/>
      <c r="CW606" s="482"/>
      <c r="CX606" s="482"/>
      <c r="CY606" s="482"/>
      <c r="CZ606" s="485"/>
      <c r="DA606" s="485"/>
      <c r="DB606" s="485"/>
      <c r="DC606" s="485"/>
      <c r="DD606" s="485"/>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485"/>
      <c r="EX606" s="457"/>
      <c r="EY606" s="457"/>
      <c r="EZ606" s="457"/>
      <c r="FA606" s="457"/>
      <c r="FB606" s="457"/>
      <c r="FC606" s="457"/>
      <c r="FD606" s="457"/>
      <c r="FE606" s="457"/>
      <c r="FF606" s="457"/>
      <c r="FG606" s="457"/>
      <c r="FH606" s="457"/>
      <c r="FI606" s="457"/>
      <c r="FJ606" s="457"/>
      <c r="FK606" s="457"/>
    </row>
    <row r="607" spans="1:167" s="416" customFormat="1">
      <c r="A607" s="427"/>
      <c r="B607" s="427"/>
      <c r="C607" s="427"/>
      <c r="D607" s="427"/>
      <c r="E607" s="428"/>
      <c r="F607" s="429"/>
      <c r="G607" s="430"/>
      <c r="H607" s="427"/>
      <c r="I607" s="427"/>
      <c r="J607" s="427"/>
      <c r="K607" s="427"/>
      <c r="L607" s="427"/>
      <c r="M607" s="427"/>
      <c r="N607" s="427"/>
      <c r="O607" s="427"/>
      <c r="P607" s="427"/>
      <c r="Q607" s="427"/>
      <c r="R607" s="427"/>
      <c r="S607" s="427"/>
      <c r="T607" s="427"/>
      <c r="U607" s="427"/>
      <c r="V607" s="428"/>
      <c r="W607" s="431"/>
      <c r="X607" s="3"/>
      <c r="Y607" s="429"/>
      <c r="Z607" s="430"/>
      <c r="AA607" s="430"/>
      <c r="AB607" s="430"/>
      <c r="AC607" s="424"/>
      <c r="AD607" s="424"/>
      <c r="AE607" s="424"/>
      <c r="AF607" s="424"/>
      <c r="AG607" s="424"/>
      <c r="AH607" s="424"/>
      <c r="AI607" s="424"/>
      <c r="AJ607" s="2"/>
      <c r="AK607" s="2"/>
      <c r="AL607" s="2"/>
      <c r="AM607" s="2"/>
      <c r="AN607" s="2"/>
      <c r="AO607" s="2"/>
      <c r="AP607" s="2"/>
      <c r="AQ607" s="427"/>
      <c r="AR607" s="754"/>
      <c r="AS607" s="427"/>
      <c r="AT607" s="754"/>
      <c r="AU607" s="427"/>
      <c r="AV607" s="427"/>
      <c r="AW607" s="427"/>
      <c r="AX607" s="427"/>
      <c r="AY607" s="754"/>
      <c r="AZ607" s="754"/>
      <c r="BA607" s="754"/>
      <c r="BB607" s="427"/>
      <c r="BC607" s="427"/>
      <c r="BD607" s="427"/>
      <c r="BE607" s="754"/>
      <c r="BF607" s="427"/>
      <c r="BG607" s="454"/>
      <c r="BH607" s="754"/>
      <c r="BI607" s="427"/>
      <c r="BJ607" s="427"/>
      <c r="BK607" s="427"/>
      <c r="BL607" s="427"/>
      <c r="BM607" s="454"/>
      <c r="BN607" s="427"/>
      <c r="BO607" s="427"/>
      <c r="BP607" s="427"/>
      <c r="BQ607" s="454"/>
      <c r="BR607" s="454"/>
      <c r="BS607" s="460"/>
      <c r="BT607" s="454"/>
      <c r="BU607" s="454"/>
      <c r="BV607" s="457"/>
      <c r="BW607" s="460"/>
      <c r="BX607" s="460"/>
      <c r="BY607" s="460"/>
      <c r="CA607" s="2"/>
      <c r="CB607" s="2"/>
      <c r="CC607" s="2"/>
      <c r="CD607" s="2"/>
      <c r="CE607" s="2"/>
      <c r="CF607" s="2"/>
      <c r="CG607" s="2"/>
      <c r="CH607" s="2"/>
      <c r="CI607" s="2"/>
      <c r="CJ607" s="2"/>
      <c r="CK607" s="2"/>
      <c r="CL607" s="2"/>
      <c r="CM607" s="2"/>
      <c r="CN607" s="2"/>
      <c r="CO607" s="427"/>
      <c r="CP607" s="427"/>
      <c r="CQ607" s="427"/>
      <c r="CR607" s="485"/>
      <c r="CS607" s="485"/>
      <c r="CT607" s="485"/>
      <c r="CU607" s="485"/>
      <c r="CV607" s="482"/>
      <c r="CW607" s="482"/>
      <c r="CX607" s="482"/>
      <c r="CY607" s="482"/>
      <c r="CZ607" s="485"/>
      <c r="DA607" s="485"/>
      <c r="DB607" s="485"/>
      <c r="DC607" s="485"/>
      <c r="DD607" s="485"/>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485"/>
      <c r="EX607" s="457"/>
      <c r="EY607" s="457"/>
      <c r="EZ607" s="457"/>
      <c r="FA607" s="457"/>
      <c r="FB607" s="457"/>
      <c r="FC607" s="457"/>
      <c r="FD607" s="457"/>
      <c r="FE607" s="457"/>
      <c r="FF607" s="457"/>
      <c r="FG607" s="457"/>
      <c r="FH607" s="457"/>
      <c r="FI607" s="457"/>
      <c r="FJ607" s="457"/>
      <c r="FK607" s="457"/>
    </row>
    <row r="608" spans="1:167" s="416" customFormat="1">
      <c r="A608" s="427"/>
      <c r="B608" s="427"/>
      <c r="C608" s="427"/>
      <c r="D608" s="427"/>
      <c r="E608" s="428"/>
      <c r="F608" s="429"/>
      <c r="G608" s="430"/>
      <c r="H608" s="427"/>
      <c r="I608" s="427"/>
      <c r="J608" s="427"/>
      <c r="K608" s="427"/>
      <c r="L608" s="427"/>
      <c r="M608" s="427"/>
      <c r="N608" s="427"/>
      <c r="O608" s="427"/>
      <c r="P608" s="427"/>
      <c r="Q608" s="427"/>
      <c r="R608" s="427"/>
      <c r="S608" s="427"/>
      <c r="T608" s="427"/>
      <c r="U608" s="427"/>
      <c r="V608" s="428"/>
      <c r="W608" s="431"/>
      <c r="X608" s="3"/>
      <c r="Y608" s="429"/>
      <c r="Z608" s="430"/>
      <c r="AA608" s="430"/>
      <c r="AB608" s="430"/>
      <c r="AC608" s="424"/>
      <c r="AD608" s="424"/>
      <c r="AE608" s="424"/>
      <c r="AF608" s="424"/>
      <c r="AG608" s="424"/>
      <c r="AH608" s="424"/>
      <c r="AI608" s="424"/>
      <c r="AJ608" s="2"/>
      <c r="AK608" s="2"/>
      <c r="AL608" s="2"/>
      <c r="AM608" s="2"/>
      <c r="AN608" s="2"/>
      <c r="AO608" s="2"/>
      <c r="AP608" s="2"/>
      <c r="AQ608" s="427"/>
      <c r="AR608" s="754"/>
      <c r="AS608" s="427"/>
      <c r="AT608" s="754"/>
      <c r="AU608" s="427"/>
      <c r="AV608" s="427"/>
      <c r="AW608" s="427"/>
      <c r="AX608" s="427"/>
      <c r="AY608" s="754"/>
      <c r="AZ608" s="754"/>
      <c r="BA608" s="754"/>
      <c r="BB608" s="427"/>
      <c r="BC608" s="427"/>
      <c r="BD608" s="427"/>
      <c r="BE608" s="754"/>
      <c r="BF608" s="427"/>
      <c r="BG608" s="454"/>
      <c r="BH608" s="754"/>
      <c r="BI608" s="427"/>
      <c r="BJ608" s="427"/>
      <c r="BK608" s="427"/>
      <c r="BL608" s="427"/>
      <c r="BM608" s="454"/>
      <c r="BN608" s="427"/>
      <c r="BO608" s="427"/>
      <c r="BP608" s="427"/>
      <c r="BQ608" s="454"/>
      <c r="BR608" s="454"/>
      <c r="BS608" s="460"/>
      <c r="BT608" s="454"/>
      <c r="BU608" s="454"/>
      <c r="BV608" s="457"/>
      <c r="BW608" s="460"/>
      <c r="BX608" s="460"/>
      <c r="BY608" s="460"/>
      <c r="CA608" s="2"/>
      <c r="CB608" s="2"/>
      <c r="CC608" s="2"/>
      <c r="CD608" s="2"/>
      <c r="CE608" s="2"/>
      <c r="CF608" s="2"/>
      <c r="CG608" s="2"/>
      <c r="CH608" s="2"/>
      <c r="CI608" s="2"/>
      <c r="CJ608" s="2"/>
      <c r="CK608" s="2"/>
      <c r="CL608" s="2"/>
      <c r="CM608" s="2"/>
      <c r="CN608" s="2"/>
      <c r="CO608" s="427"/>
      <c r="CP608" s="427"/>
      <c r="CQ608" s="427"/>
      <c r="CR608" s="485"/>
      <c r="CS608" s="485"/>
      <c r="CT608" s="485"/>
      <c r="CU608" s="485"/>
      <c r="CV608" s="482"/>
      <c r="CW608" s="482"/>
      <c r="CX608" s="482"/>
      <c r="CY608" s="482"/>
      <c r="CZ608" s="485"/>
      <c r="DA608" s="485"/>
      <c r="DB608" s="485"/>
      <c r="DC608" s="485"/>
      <c r="DD608" s="485"/>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485"/>
      <c r="EX608" s="457"/>
      <c r="EY608" s="457"/>
      <c r="EZ608" s="457"/>
      <c r="FA608" s="457"/>
      <c r="FB608" s="457"/>
      <c r="FC608" s="457"/>
      <c r="FD608" s="457"/>
      <c r="FE608" s="457"/>
      <c r="FF608" s="457"/>
      <c r="FG608" s="457"/>
      <c r="FH608" s="457"/>
      <c r="FI608" s="457"/>
      <c r="FJ608" s="457"/>
      <c r="FK608" s="457"/>
    </row>
    <row r="609" spans="1:167" s="416" customFormat="1">
      <c r="A609" s="427"/>
      <c r="B609" s="427"/>
      <c r="C609" s="427"/>
      <c r="D609" s="427"/>
      <c r="E609" s="428"/>
      <c r="F609" s="429"/>
      <c r="G609" s="430"/>
      <c r="H609" s="427"/>
      <c r="I609" s="427"/>
      <c r="J609" s="427"/>
      <c r="K609" s="427"/>
      <c r="L609" s="427"/>
      <c r="M609" s="427"/>
      <c r="N609" s="427"/>
      <c r="O609" s="427"/>
      <c r="P609" s="427"/>
      <c r="Q609" s="427"/>
      <c r="R609" s="427"/>
      <c r="S609" s="427"/>
      <c r="T609" s="427"/>
      <c r="U609" s="427"/>
      <c r="V609" s="428"/>
      <c r="W609" s="431"/>
      <c r="X609" s="3"/>
      <c r="Y609" s="429"/>
      <c r="Z609" s="430"/>
      <c r="AA609" s="430"/>
      <c r="AB609" s="430"/>
      <c r="AC609" s="424"/>
      <c r="AD609" s="424"/>
      <c r="AE609" s="424"/>
      <c r="AF609" s="424"/>
      <c r="AG609" s="424"/>
      <c r="AH609" s="424"/>
      <c r="AI609" s="424"/>
      <c r="AJ609" s="2"/>
      <c r="AK609" s="2"/>
      <c r="AL609" s="2"/>
      <c r="AM609" s="2"/>
      <c r="AN609" s="2"/>
      <c r="AO609" s="2"/>
      <c r="AP609" s="2"/>
      <c r="AQ609" s="427"/>
      <c r="AR609" s="754"/>
      <c r="AS609" s="427"/>
      <c r="AT609" s="754"/>
      <c r="AU609" s="427"/>
      <c r="AV609" s="427"/>
      <c r="AW609" s="427"/>
      <c r="AX609" s="427"/>
      <c r="AY609" s="754"/>
      <c r="AZ609" s="754"/>
      <c r="BA609" s="754"/>
      <c r="BB609" s="427"/>
      <c r="BC609" s="427"/>
      <c r="BD609" s="427"/>
      <c r="BE609" s="754"/>
      <c r="BF609" s="427"/>
      <c r="BG609" s="454"/>
      <c r="BH609" s="754"/>
      <c r="BI609" s="427"/>
      <c r="BJ609" s="427"/>
      <c r="BK609" s="427"/>
      <c r="BL609" s="427"/>
      <c r="BM609" s="454"/>
      <c r="BN609" s="427"/>
      <c r="BO609" s="427"/>
      <c r="BP609" s="427"/>
      <c r="BQ609" s="454"/>
      <c r="BR609" s="454"/>
      <c r="BS609" s="460"/>
      <c r="BT609" s="454"/>
      <c r="BU609" s="454"/>
      <c r="BV609" s="457"/>
      <c r="BW609" s="460"/>
      <c r="BX609" s="460"/>
      <c r="BY609" s="460"/>
      <c r="CA609" s="2"/>
      <c r="CB609" s="2"/>
      <c r="CC609" s="2"/>
      <c r="CD609" s="2"/>
      <c r="CE609" s="2"/>
      <c r="CF609" s="2"/>
      <c r="CG609" s="2"/>
      <c r="CH609" s="2"/>
      <c r="CI609" s="2"/>
      <c r="CJ609" s="2"/>
      <c r="CK609" s="2"/>
      <c r="CL609" s="2"/>
      <c r="CM609" s="2"/>
      <c r="CN609" s="2"/>
      <c r="CO609" s="427"/>
      <c r="CP609" s="427"/>
      <c r="CQ609" s="427"/>
      <c r="CR609" s="485"/>
      <c r="CS609" s="485"/>
      <c r="CT609" s="485"/>
      <c r="CU609" s="485"/>
      <c r="CV609" s="482"/>
      <c r="CW609" s="482"/>
      <c r="CX609" s="482"/>
      <c r="CY609" s="482"/>
      <c r="CZ609" s="485"/>
      <c r="DA609" s="485"/>
      <c r="DB609" s="485"/>
      <c r="DC609" s="485"/>
      <c r="DD609" s="485"/>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485"/>
      <c r="EX609" s="457"/>
      <c r="EY609" s="457"/>
      <c r="EZ609" s="457"/>
      <c r="FA609" s="457"/>
      <c r="FB609" s="457"/>
      <c r="FC609" s="457"/>
      <c r="FD609" s="457"/>
      <c r="FE609" s="457"/>
      <c r="FF609" s="457"/>
      <c r="FG609" s="457"/>
      <c r="FH609" s="457"/>
      <c r="FI609" s="457"/>
      <c r="FJ609" s="457"/>
      <c r="FK609" s="457"/>
    </row>
    <row r="610" spans="1:167" s="416" customFormat="1">
      <c r="A610" s="427"/>
      <c r="B610" s="427"/>
      <c r="C610" s="427"/>
      <c r="D610" s="427"/>
      <c r="E610" s="428"/>
      <c r="F610" s="429"/>
      <c r="G610" s="430"/>
      <c r="H610" s="427"/>
      <c r="I610" s="427"/>
      <c r="J610" s="427"/>
      <c r="K610" s="427"/>
      <c r="L610" s="427"/>
      <c r="M610" s="427"/>
      <c r="N610" s="427"/>
      <c r="O610" s="427"/>
      <c r="P610" s="427"/>
      <c r="Q610" s="427"/>
      <c r="R610" s="427"/>
      <c r="S610" s="427"/>
      <c r="T610" s="427"/>
      <c r="U610" s="427"/>
      <c r="V610" s="428"/>
      <c r="W610" s="431"/>
      <c r="X610" s="3"/>
      <c r="Y610" s="429"/>
      <c r="Z610" s="430"/>
      <c r="AA610" s="430"/>
      <c r="AB610" s="430"/>
      <c r="AC610" s="424"/>
      <c r="AD610" s="424"/>
      <c r="AE610" s="424"/>
      <c r="AF610" s="424"/>
      <c r="AG610" s="424"/>
      <c r="AH610" s="424"/>
      <c r="AI610" s="424"/>
      <c r="AJ610" s="2"/>
      <c r="AK610" s="2"/>
      <c r="AL610" s="2"/>
      <c r="AM610" s="2"/>
      <c r="AN610" s="2"/>
      <c r="AO610" s="2"/>
      <c r="AP610" s="2"/>
      <c r="AQ610" s="427"/>
      <c r="AR610" s="754"/>
      <c r="AS610" s="427"/>
      <c r="AT610" s="754"/>
      <c r="AU610" s="427"/>
      <c r="AV610" s="427"/>
      <c r="AW610" s="427"/>
      <c r="AX610" s="427"/>
      <c r="AY610" s="754"/>
      <c r="AZ610" s="754"/>
      <c r="BA610" s="754"/>
      <c r="BB610" s="427"/>
      <c r="BC610" s="427"/>
      <c r="BD610" s="427"/>
      <c r="BE610" s="754"/>
      <c r="BF610" s="427"/>
      <c r="BG610" s="454"/>
      <c r="BH610" s="754"/>
      <c r="BI610" s="427"/>
      <c r="BJ610" s="427"/>
      <c r="BK610" s="427"/>
      <c r="BL610" s="427"/>
      <c r="BM610" s="454"/>
      <c r="BN610" s="427"/>
      <c r="BO610" s="427"/>
      <c r="BP610" s="427"/>
      <c r="BQ610" s="454"/>
      <c r="BR610" s="454"/>
      <c r="BS610" s="460"/>
      <c r="BT610" s="454"/>
      <c r="BU610" s="454"/>
      <c r="BV610" s="457"/>
      <c r="BW610" s="460"/>
      <c r="BX610" s="460"/>
      <c r="BY610" s="460"/>
      <c r="CA610" s="2"/>
      <c r="CB610" s="2"/>
      <c r="CC610" s="2"/>
      <c r="CD610" s="2"/>
      <c r="CE610" s="2"/>
      <c r="CF610" s="2"/>
      <c r="CG610" s="2"/>
      <c r="CH610" s="2"/>
      <c r="CI610" s="2"/>
      <c r="CJ610" s="2"/>
      <c r="CK610" s="2"/>
      <c r="CL610" s="2"/>
      <c r="CM610" s="2"/>
      <c r="CN610" s="2"/>
      <c r="CO610" s="427"/>
      <c r="CP610" s="427"/>
      <c r="CQ610" s="427"/>
      <c r="CR610" s="485"/>
      <c r="CS610" s="485"/>
      <c r="CT610" s="485"/>
      <c r="CU610" s="485"/>
      <c r="CV610" s="482"/>
      <c r="CW610" s="482"/>
      <c r="CX610" s="482"/>
      <c r="CY610" s="482"/>
      <c r="CZ610" s="485"/>
      <c r="DA610" s="485"/>
      <c r="DB610" s="485"/>
      <c r="DC610" s="485"/>
      <c r="DD610" s="485"/>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485"/>
      <c r="EX610" s="457"/>
      <c r="EY610" s="457"/>
      <c r="EZ610" s="457"/>
      <c r="FA610" s="457"/>
      <c r="FB610" s="457"/>
      <c r="FC610" s="457"/>
      <c r="FD610" s="457"/>
      <c r="FE610" s="457"/>
      <c r="FF610" s="457"/>
      <c r="FG610" s="457"/>
      <c r="FH610" s="457"/>
      <c r="FI610" s="457"/>
      <c r="FJ610" s="457"/>
      <c r="FK610" s="457"/>
    </row>
    <row r="611" spans="1:167" s="416" customFormat="1">
      <c r="A611" s="427"/>
      <c r="B611" s="427"/>
      <c r="C611" s="427"/>
      <c r="D611" s="427"/>
      <c r="E611" s="428"/>
      <c r="F611" s="429"/>
      <c r="G611" s="430"/>
      <c r="H611" s="427"/>
      <c r="I611" s="427"/>
      <c r="J611" s="427"/>
      <c r="K611" s="427"/>
      <c r="L611" s="427"/>
      <c r="M611" s="427"/>
      <c r="N611" s="427"/>
      <c r="O611" s="427"/>
      <c r="P611" s="427"/>
      <c r="Q611" s="427"/>
      <c r="R611" s="427"/>
      <c r="S611" s="427"/>
      <c r="T611" s="427"/>
      <c r="U611" s="427"/>
      <c r="V611" s="428"/>
      <c r="W611" s="431"/>
      <c r="X611" s="3"/>
      <c r="Y611" s="429"/>
      <c r="Z611" s="430"/>
      <c r="AA611" s="430"/>
      <c r="AB611" s="430"/>
      <c r="AC611" s="424"/>
      <c r="AD611" s="424"/>
      <c r="AE611" s="424"/>
      <c r="AF611" s="424"/>
      <c r="AG611" s="424"/>
      <c r="AH611" s="424"/>
      <c r="AI611" s="424"/>
      <c r="AJ611" s="2"/>
      <c r="AK611" s="2"/>
      <c r="AL611" s="2"/>
      <c r="AM611" s="2"/>
      <c r="AN611" s="2"/>
      <c r="AO611" s="2"/>
      <c r="AP611" s="2"/>
      <c r="AQ611" s="427"/>
      <c r="AR611" s="754"/>
      <c r="AS611" s="427"/>
      <c r="AT611" s="754"/>
      <c r="AU611" s="427"/>
      <c r="AV611" s="427"/>
      <c r="AW611" s="427"/>
      <c r="AX611" s="427"/>
      <c r="AY611" s="754"/>
      <c r="AZ611" s="754"/>
      <c r="BA611" s="754"/>
      <c r="BB611" s="427"/>
      <c r="BC611" s="427"/>
      <c r="BD611" s="427"/>
      <c r="BE611" s="754"/>
      <c r="BF611" s="427"/>
      <c r="BG611" s="454"/>
      <c r="BH611" s="754"/>
      <c r="BI611" s="427"/>
      <c r="BJ611" s="427"/>
      <c r="BK611" s="427"/>
      <c r="BL611" s="427"/>
      <c r="BM611" s="454"/>
      <c r="BN611" s="427"/>
      <c r="BO611" s="427"/>
      <c r="BP611" s="427"/>
      <c r="BQ611" s="454"/>
      <c r="BR611" s="454"/>
      <c r="BS611" s="460"/>
      <c r="BT611" s="454"/>
      <c r="BU611" s="454"/>
      <c r="BV611" s="457"/>
      <c r="BW611" s="460"/>
      <c r="BX611" s="460"/>
      <c r="BY611" s="460"/>
      <c r="CA611" s="2"/>
      <c r="CB611" s="2"/>
      <c r="CC611" s="2"/>
      <c r="CD611" s="2"/>
      <c r="CE611" s="2"/>
      <c r="CF611" s="2"/>
      <c r="CG611" s="2"/>
      <c r="CH611" s="2"/>
      <c r="CI611" s="2"/>
      <c r="CJ611" s="2"/>
      <c r="CK611" s="2"/>
      <c r="CL611" s="2"/>
      <c r="CM611" s="2"/>
      <c r="CN611" s="2"/>
      <c r="CO611" s="427"/>
      <c r="CP611" s="427"/>
      <c r="CQ611" s="427"/>
      <c r="CR611" s="485"/>
      <c r="CS611" s="485"/>
      <c r="CT611" s="485"/>
      <c r="CU611" s="485"/>
      <c r="CV611" s="482"/>
      <c r="CW611" s="482"/>
      <c r="CX611" s="482"/>
      <c r="CY611" s="482"/>
      <c r="CZ611" s="485"/>
      <c r="DA611" s="485"/>
      <c r="DB611" s="485"/>
      <c r="DC611" s="485"/>
      <c r="DD611" s="485"/>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485"/>
      <c r="EX611" s="457"/>
      <c r="EY611" s="457"/>
      <c r="EZ611" s="457"/>
      <c r="FA611" s="457"/>
      <c r="FB611" s="457"/>
      <c r="FC611" s="457"/>
      <c r="FD611" s="457"/>
      <c r="FE611" s="457"/>
      <c r="FF611" s="457"/>
      <c r="FG611" s="457"/>
      <c r="FH611" s="457"/>
      <c r="FI611" s="457"/>
      <c r="FJ611" s="457"/>
      <c r="FK611" s="457"/>
    </row>
    <row r="612" spans="1:167" s="416" customFormat="1">
      <c r="A612" s="427"/>
      <c r="B612" s="427"/>
      <c r="C612" s="427"/>
      <c r="D612" s="427"/>
      <c r="E612" s="428"/>
      <c r="F612" s="429"/>
      <c r="G612" s="430"/>
      <c r="H612" s="427"/>
      <c r="I612" s="427"/>
      <c r="J612" s="427"/>
      <c r="K612" s="427"/>
      <c r="L612" s="427"/>
      <c r="M612" s="427"/>
      <c r="N612" s="427"/>
      <c r="O612" s="427"/>
      <c r="P612" s="427"/>
      <c r="Q612" s="427"/>
      <c r="R612" s="427"/>
      <c r="S612" s="427"/>
      <c r="T612" s="427"/>
      <c r="U612" s="427"/>
      <c r="V612" s="428"/>
      <c r="W612" s="431"/>
      <c r="X612" s="3"/>
      <c r="Y612" s="429"/>
      <c r="Z612" s="430"/>
      <c r="AA612" s="430"/>
      <c r="AB612" s="430"/>
      <c r="AC612" s="424"/>
      <c r="AD612" s="424"/>
      <c r="AE612" s="424"/>
      <c r="AF612" s="424"/>
      <c r="AG612" s="424"/>
      <c r="AH612" s="424"/>
      <c r="AI612" s="424"/>
      <c r="AJ612" s="2"/>
      <c r="AK612" s="2"/>
      <c r="AL612" s="2"/>
      <c r="AM612" s="2"/>
      <c r="AN612" s="2"/>
      <c r="AO612" s="2"/>
      <c r="AP612" s="2"/>
      <c r="AQ612" s="427"/>
      <c r="AR612" s="754"/>
      <c r="AS612" s="427"/>
      <c r="AT612" s="754"/>
      <c r="AU612" s="427"/>
      <c r="AV612" s="427"/>
      <c r="AW612" s="427"/>
      <c r="AX612" s="427"/>
      <c r="AY612" s="754"/>
      <c r="AZ612" s="754"/>
      <c r="BA612" s="754"/>
      <c r="BB612" s="427"/>
      <c r="BC612" s="427"/>
      <c r="BD612" s="427"/>
      <c r="BE612" s="754"/>
      <c r="BF612" s="427"/>
      <c r="BG612" s="454"/>
      <c r="BH612" s="754"/>
      <c r="BI612" s="427"/>
      <c r="BJ612" s="427"/>
      <c r="BK612" s="427"/>
      <c r="BL612" s="427"/>
      <c r="BM612" s="454"/>
      <c r="BN612" s="427"/>
      <c r="BO612" s="427"/>
      <c r="BP612" s="427"/>
      <c r="BQ612" s="454"/>
      <c r="BR612" s="454"/>
      <c r="BS612" s="460"/>
      <c r="BT612" s="454"/>
      <c r="BU612" s="454"/>
      <c r="BV612" s="457"/>
      <c r="BW612" s="460"/>
      <c r="BX612" s="460"/>
      <c r="BY612" s="460"/>
      <c r="CA612" s="2"/>
      <c r="CB612" s="2"/>
      <c r="CC612" s="2"/>
      <c r="CD612" s="2"/>
      <c r="CE612" s="2"/>
      <c r="CF612" s="2"/>
      <c r="CG612" s="2"/>
      <c r="CH612" s="2"/>
      <c r="CI612" s="2"/>
      <c r="CJ612" s="2"/>
      <c r="CK612" s="2"/>
      <c r="CL612" s="2"/>
      <c r="CM612" s="2"/>
      <c r="CN612" s="2"/>
      <c r="CO612" s="427"/>
      <c r="CP612" s="427"/>
      <c r="CQ612" s="427"/>
      <c r="CR612" s="485"/>
      <c r="CS612" s="485"/>
      <c r="CT612" s="485"/>
      <c r="CU612" s="485"/>
      <c r="CV612" s="482"/>
      <c r="CW612" s="482"/>
      <c r="CX612" s="482"/>
      <c r="CY612" s="482"/>
      <c r="CZ612" s="485"/>
      <c r="DA612" s="485"/>
      <c r="DB612" s="485"/>
      <c r="DC612" s="485"/>
      <c r="DD612" s="485"/>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485"/>
      <c r="EX612" s="457"/>
      <c r="EY612" s="457"/>
      <c r="EZ612" s="457"/>
      <c r="FA612" s="457"/>
      <c r="FB612" s="457"/>
      <c r="FC612" s="457"/>
      <c r="FD612" s="457"/>
      <c r="FE612" s="457"/>
      <c r="FF612" s="457"/>
      <c r="FG612" s="457"/>
      <c r="FH612" s="457"/>
      <c r="FI612" s="457"/>
      <c r="FJ612" s="457"/>
      <c r="FK612" s="457"/>
    </row>
    <row r="613" spans="1:167" s="416" customFormat="1">
      <c r="A613" s="427"/>
      <c r="B613" s="427"/>
      <c r="C613" s="427"/>
      <c r="D613" s="427"/>
      <c r="E613" s="428"/>
      <c r="F613" s="429"/>
      <c r="G613" s="430"/>
      <c r="H613" s="427"/>
      <c r="I613" s="427"/>
      <c r="J613" s="427"/>
      <c r="K613" s="427"/>
      <c r="L613" s="427"/>
      <c r="M613" s="427"/>
      <c r="N613" s="427"/>
      <c r="O613" s="427"/>
      <c r="P613" s="427"/>
      <c r="Q613" s="427"/>
      <c r="R613" s="427"/>
      <c r="S613" s="427"/>
      <c r="T613" s="427"/>
      <c r="U613" s="427"/>
      <c r="V613" s="428"/>
      <c r="W613" s="431"/>
      <c r="X613" s="3"/>
      <c r="Y613" s="429"/>
      <c r="Z613" s="430"/>
      <c r="AA613" s="430"/>
      <c r="AB613" s="430"/>
      <c r="AC613" s="424"/>
      <c r="AD613" s="424"/>
      <c r="AE613" s="424"/>
      <c r="AF613" s="424"/>
      <c r="AG613" s="424"/>
      <c r="AH613" s="424"/>
      <c r="AI613" s="424"/>
      <c r="AJ613" s="2"/>
      <c r="AK613" s="2"/>
      <c r="AL613" s="2"/>
      <c r="AM613" s="2"/>
      <c r="AN613" s="2"/>
      <c r="AO613" s="2"/>
      <c r="AP613" s="2"/>
      <c r="AQ613" s="427"/>
      <c r="AR613" s="754"/>
      <c r="AS613" s="427"/>
      <c r="AT613" s="754"/>
      <c r="AU613" s="427"/>
      <c r="AV613" s="427"/>
      <c r="AW613" s="427"/>
      <c r="AX613" s="427"/>
      <c r="AY613" s="754"/>
      <c r="AZ613" s="754"/>
      <c r="BA613" s="754"/>
      <c r="BB613" s="427"/>
      <c r="BC613" s="427"/>
      <c r="BD613" s="427"/>
      <c r="BE613" s="754"/>
      <c r="BF613" s="427"/>
      <c r="BG613" s="454"/>
      <c r="BH613" s="754"/>
      <c r="BI613" s="427"/>
      <c r="BJ613" s="427"/>
      <c r="BK613" s="427"/>
      <c r="BL613" s="427"/>
      <c r="BM613" s="454"/>
      <c r="BN613" s="427"/>
      <c r="BO613" s="427"/>
      <c r="BP613" s="427"/>
      <c r="BQ613" s="454"/>
      <c r="BR613" s="454"/>
      <c r="BS613" s="460"/>
      <c r="BT613" s="454"/>
      <c r="BU613" s="454"/>
      <c r="BV613" s="457"/>
      <c r="BW613" s="460"/>
      <c r="BX613" s="460"/>
      <c r="BY613" s="460"/>
      <c r="CA613" s="2"/>
      <c r="CB613" s="2"/>
      <c r="CC613" s="2"/>
      <c r="CD613" s="2"/>
      <c r="CE613" s="2"/>
      <c r="CF613" s="2"/>
      <c r="CG613" s="2"/>
      <c r="CH613" s="2"/>
      <c r="CI613" s="2"/>
      <c r="CJ613" s="2"/>
      <c r="CK613" s="2"/>
      <c r="CL613" s="2"/>
      <c r="CM613" s="2"/>
      <c r="CN613" s="2"/>
      <c r="CO613" s="427"/>
      <c r="CP613" s="427"/>
      <c r="CQ613" s="427"/>
      <c r="CR613" s="485"/>
      <c r="CS613" s="485"/>
      <c r="CT613" s="485"/>
      <c r="CU613" s="485"/>
      <c r="CV613" s="482"/>
      <c r="CW613" s="482"/>
      <c r="CX613" s="482"/>
      <c r="CY613" s="482"/>
      <c r="CZ613" s="485"/>
      <c r="DA613" s="485"/>
      <c r="DB613" s="485"/>
      <c r="DC613" s="485"/>
      <c r="DD613" s="485"/>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485"/>
      <c r="EX613" s="457"/>
      <c r="EY613" s="457"/>
      <c r="EZ613" s="457"/>
      <c r="FA613" s="457"/>
      <c r="FB613" s="457"/>
      <c r="FC613" s="457"/>
      <c r="FD613" s="457"/>
      <c r="FE613" s="457"/>
      <c r="FF613" s="457"/>
      <c r="FG613" s="457"/>
      <c r="FH613" s="457"/>
      <c r="FI613" s="457"/>
      <c r="FJ613" s="457"/>
      <c r="FK613" s="457"/>
    </row>
    <row r="614" spans="1:167" s="416" customFormat="1">
      <c r="A614" s="427"/>
      <c r="B614" s="427"/>
      <c r="C614" s="427"/>
      <c r="D614" s="427"/>
      <c r="E614" s="428"/>
      <c r="F614" s="429"/>
      <c r="G614" s="430"/>
      <c r="H614" s="427"/>
      <c r="I614" s="427"/>
      <c r="J614" s="427"/>
      <c r="K614" s="427"/>
      <c r="L614" s="427"/>
      <c r="M614" s="427"/>
      <c r="N614" s="427"/>
      <c r="O614" s="427"/>
      <c r="P614" s="427"/>
      <c r="Q614" s="427"/>
      <c r="R614" s="427"/>
      <c r="S614" s="427"/>
      <c r="T614" s="427"/>
      <c r="U614" s="427"/>
      <c r="V614" s="428"/>
      <c r="W614" s="431"/>
      <c r="X614" s="3"/>
      <c r="Y614" s="429"/>
      <c r="Z614" s="430"/>
      <c r="AA614" s="430"/>
      <c r="AB614" s="430"/>
      <c r="AC614" s="424"/>
      <c r="AD614" s="424"/>
      <c r="AE614" s="424"/>
      <c r="AF614" s="424"/>
      <c r="AG614" s="424"/>
      <c r="AH614" s="424"/>
      <c r="AI614" s="424"/>
      <c r="AJ614" s="2"/>
      <c r="AK614" s="2"/>
      <c r="AL614" s="2"/>
      <c r="AM614" s="2"/>
      <c r="AN614" s="2"/>
      <c r="AO614" s="2"/>
      <c r="AP614" s="2"/>
      <c r="AQ614" s="427"/>
      <c r="AR614" s="754"/>
      <c r="AS614" s="427"/>
      <c r="AT614" s="754"/>
      <c r="AU614" s="427"/>
      <c r="AV614" s="427"/>
      <c r="AW614" s="427"/>
      <c r="AX614" s="427"/>
      <c r="AY614" s="754"/>
      <c r="AZ614" s="754"/>
      <c r="BA614" s="754"/>
      <c r="BB614" s="427"/>
      <c r="BC614" s="427"/>
      <c r="BD614" s="427"/>
      <c r="BE614" s="754"/>
      <c r="BF614" s="427"/>
      <c r="BG614" s="454"/>
      <c r="BH614" s="754"/>
      <c r="BI614" s="427"/>
      <c r="BJ614" s="427"/>
      <c r="BK614" s="427"/>
      <c r="BL614" s="427"/>
      <c r="BM614" s="454"/>
      <c r="BN614" s="427"/>
      <c r="BO614" s="427"/>
      <c r="BP614" s="427"/>
      <c r="BQ614" s="454"/>
      <c r="BR614" s="454"/>
      <c r="BS614" s="460"/>
      <c r="BT614" s="454"/>
      <c r="BU614" s="454"/>
      <c r="BV614" s="457"/>
      <c r="BW614" s="460"/>
      <c r="BX614" s="460"/>
      <c r="BY614" s="460"/>
      <c r="CA614" s="2"/>
      <c r="CB614" s="2"/>
      <c r="CC614" s="2"/>
      <c r="CD614" s="2"/>
      <c r="CE614" s="2"/>
      <c r="CF614" s="2"/>
      <c r="CG614" s="2"/>
      <c r="CH614" s="2"/>
      <c r="CI614" s="2"/>
      <c r="CJ614" s="2"/>
      <c r="CK614" s="2"/>
      <c r="CL614" s="2"/>
      <c r="CM614" s="2"/>
      <c r="CN614" s="2"/>
      <c r="CO614" s="427"/>
      <c r="CP614" s="427"/>
      <c r="CQ614" s="427"/>
      <c r="CR614" s="485"/>
      <c r="CS614" s="485"/>
      <c r="CT614" s="485"/>
      <c r="CU614" s="485"/>
      <c r="CV614" s="482"/>
      <c r="CW614" s="482"/>
      <c r="CX614" s="482"/>
      <c r="CY614" s="482"/>
      <c r="CZ614" s="485"/>
      <c r="DA614" s="485"/>
      <c r="DB614" s="485"/>
      <c r="DC614" s="485"/>
      <c r="DD614" s="485"/>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485"/>
      <c r="EX614" s="457"/>
      <c r="EY614" s="457"/>
      <c r="EZ614" s="457"/>
      <c r="FA614" s="457"/>
      <c r="FB614" s="457"/>
      <c r="FC614" s="457"/>
      <c r="FD614" s="457"/>
      <c r="FE614" s="457"/>
      <c r="FF614" s="457"/>
      <c r="FG614" s="457"/>
      <c r="FH614" s="457"/>
      <c r="FI614" s="457"/>
      <c r="FJ614" s="457"/>
      <c r="FK614" s="457"/>
    </row>
    <row r="615" spans="1:167" s="416" customFormat="1">
      <c r="A615" s="427"/>
      <c r="B615" s="427"/>
      <c r="C615" s="427"/>
      <c r="D615" s="427"/>
      <c r="E615" s="428"/>
      <c r="F615" s="429"/>
      <c r="G615" s="430"/>
      <c r="H615" s="427"/>
      <c r="I615" s="427"/>
      <c r="J615" s="427"/>
      <c r="K615" s="427"/>
      <c r="L615" s="427"/>
      <c r="M615" s="427"/>
      <c r="N615" s="427"/>
      <c r="O615" s="427"/>
      <c r="P615" s="427"/>
      <c r="Q615" s="427"/>
      <c r="R615" s="427"/>
      <c r="S615" s="427"/>
      <c r="T615" s="427"/>
      <c r="U615" s="427"/>
      <c r="V615" s="428"/>
      <c r="W615" s="431"/>
      <c r="X615" s="3"/>
      <c r="Y615" s="429"/>
      <c r="Z615" s="430"/>
      <c r="AA615" s="430"/>
      <c r="AB615" s="430"/>
      <c r="AC615" s="424"/>
      <c r="AD615" s="424"/>
      <c r="AE615" s="424"/>
      <c r="AF615" s="424"/>
      <c r="AG615" s="424"/>
      <c r="AH615" s="424"/>
      <c r="AI615" s="424"/>
      <c r="AJ615" s="2"/>
      <c r="AK615" s="2"/>
      <c r="AL615" s="2"/>
      <c r="AM615" s="2"/>
      <c r="AN615" s="2"/>
      <c r="AO615" s="2"/>
      <c r="AP615" s="2"/>
      <c r="AQ615" s="427"/>
      <c r="AR615" s="754"/>
      <c r="AS615" s="427"/>
      <c r="AT615" s="754"/>
      <c r="AU615" s="427"/>
      <c r="AV615" s="427"/>
      <c r="AW615" s="427"/>
      <c r="AX615" s="427"/>
      <c r="AY615" s="754"/>
      <c r="AZ615" s="754"/>
      <c r="BA615" s="754"/>
      <c r="BB615" s="427"/>
      <c r="BC615" s="427"/>
      <c r="BD615" s="427"/>
      <c r="BE615" s="754"/>
      <c r="BF615" s="427"/>
      <c r="BG615" s="454"/>
      <c r="BH615" s="754"/>
      <c r="BI615" s="427"/>
      <c r="BJ615" s="427"/>
      <c r="BK615" s="427"/>
      <c r="BL615" s="427"/>
      <c r="BM615" s="454"/>
      <c r="BN615" s="427"/>
      <c r="BO615" s="427"/>
      <c r="BP615" s="427"/>
      <c r="BQ615" s="454"/>
      <c r="BR615" s="454"/>
      <c r="BS615" s="460"/>
      <c r="BT615" s="454"/>
      <c r="BU615" s="454"/>
      <c r="BV615" s="457"/>
      <c r="BW615" s="460"/>
      <c r="BX615" s="460"/>
      <c r="BY615" s="460"/>
      <c r="CA615" s="2"/>
      <c r="CB615" s="2"/>
      <c r="CC615" s="2"/>
      <c r="CD615" s="2"/>
      <c r="CE615" s="2"/>
      <c r="CF615" s="2"/>
      <c r="CG615" s="2"/>
      <c r="CH615" s="2"/>
      <c r="CI615" s="2"/>
      <c r="CJ615" s="2"/>
      <c r="CK615" s="2"/>
      <c r="CL615" s="2"/>
      <c r="CM615" s="2"/>
      <c r="CN615" s="2"/>
      <c r="CO615" s="427"/>
      <c r="CP615" s="427"/>
      <c r="CQ615" s="427"/>
      <c r="CR615" s="485"/>
      <c r="CS615" s="485"/>
      <c r="CT615" s="485"/>
      <c r="CU615" s="485"/>
      <c r="CV615" s="482"/>
      <c r="CW615" s="482"/>
      <c r="CX615" s="482"/>
      <c r="CY615" s="482"/>
      <c r="CZ615" s="485"/>
      <c r="DA615" s="485"/>
      <c r="DB615" s="485"/>
      <c r="DC615" s="485"/>
      <c r="DD615" s="485"/>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485"/>
      <c r="EX615" s="457"/>
      <c r="EY615" s="457"/>
      <c r="EZ615" s="457"/>
      <c r="FA615" s="457"/>
      <c r="FB615" s="457"/>
      <c r="FC615" s="457"/>
      <c r="FD615" s="457"/>
      <c r="FE615" s="457"/>
      <c r="FF615" s="457"/>
      <c r="FG615" s="457"/>
      <c r="FH615" s="457"/>
      <c r="FI615" s="457"/>
      <c r="FJ615" s="457"/>
      <c r="FK615" s="457"/>
    </row>
    <row r="616" spans="1:167" s="416" customFormat="1">
      <c r="A616" s="427"/>
      <c r="B616" s="427"/>
      <c r="C616" s="427"/>
      <c r="D616" s="427"/>
      <c r="E616" s="428"/>
      <c r="F616" s="429"/>
      <c r="G616" s="430"/>
      <c r="H616" s="427"/>
      <c r="I616" s="427"/>
      <c r="J616" s="427"/>
      <c r="K616" s="427"/>
      <c r="L616" s="427"/>
      <c r="M616" s="427"/>
      <c r="N616" s="427"/>
      <c r="O616" s="427"/>
      <c r="P616" s="427"/>
      <c r="Q616" s="427"/>
      <c r="R616" s="427"/>
      <c r="S616" s="427"/>
      <c r="T616" s="427"/>
      <c r="U616" s="427"/>
      <c r="V616" s="428"/>
      <c r="W616" s="431"/>
      <c r="X616" s="3"/>
      <c r="Y616" s="429"/>
      <c r="Z616" s="430"/>
      <c r="AA616" s="430"/>
      <c r="AB616" s="430"/>
      <c r="AC616" s="424"/>
      <c r="AD616" s="424"/>
      <c r="AE616" s="424"/>
      <c r="AF616" s="424"/>
      <c r="AG616" s="424"/>
      <c r="AH616" s="424"/>
      <c r="AI616" s="424"/>
      <c r="AJ616" s="2"/>
      <c r="AK616" s="2"/>
      <c r="AL616" s="2"/>
      <c r="AM616" s="2"/>
      <c r="AN616" s="2"/>
      <c r="AO616" s="2"/>
      <c r="AP616" s="2"/>
      <c r="AQ616" s="427"/>
      <c r="AR616" s="754"/>
      <c r="AS616" s="427"/>
      <c r="AT616" s="754"/>
      <c r="AU616" s="427"/>
      <c r="AV616" s="427"/>
      <c r="AW616" s="427"/>
      <c r="AX616" s="427"/>
      <c r="AY616" s="754"/>
      <c r="AZ616" s="754"/>
      <c r="BA616" s="754"/>
      <c r="BB616" s="427"/>
      <c r="BC616" s="427"/>
      <c r="BD616" s="427"/>
      <c r="BE616" s="754"/>
      <c r="BF616" s="427"/>
      <c r="BG616" s="454"/>
      <c r="BH616" s="754"/>
      <c r="BI616" s="427"/>
      <c r="BJ616" s="427"/>
      <c r="BK616" s="427"/>
      <c r="BL616" s="427"/>
      <c r="BM616" s="454"/>
      <c r="BN616" s="427"/>
      <c r="BO616" s="427"/>
      <c r="BP616" s="427"/>
      <c r="BQ616" s="454"/>
      <c r="BR616" s="454"/>
      <c r="BS616" s="460"/>
      <c r="BT616" s="454"/>
      <c r="BU616" s="454"/>
      <c r="BV616" s="457"/>
      <c r="BW616" s="460"/>
      <c r="BX616" s="460"/>
      <c r="BY616" s="460"/>
      <c r="CA616" s="2"/>
      <c r="CB616" s="2"/>
      <c r="CC616" s="2"/>
      <c r="CD616" s="2"/>
      <c r="CE616" s="2"/>
      <c r="CF616" s="2"/>
      <c r="CG616" s="2"/>
      <c r="CH616" s="2"/>
      <c r="CI616" s="2"/>
      <c r="CJ616" s="2"/>
      <c r="CK616" s="2"/>
      <c r="CL616" s="2"/>
      <c r="CM616" s="2"/>
      <c r="CN616" s="2"/>
      <c r="CO616" s="427"/>
      <c r="CP616" s="427"/>
      <c r="CQ616" s="427"/>
      <c r="CR616" s="485"/>
      <c r="CS616" s="485"/>
      <c r="CT616" s="485"/>
      <c r="CU616" s="485"/>
      <c r="CV616" s="482"/>
      <c r="CW616" s="482"/>
      <c r="CX616" s="482"/>
      <c r="CY616" s="482"/>
      <c r="CZ616" s="485"/>
      <c r="DA616" s="485"/>
      <c r="DB616" s="485"/>
      <c r="DC616" s="485"/>
      <c r="DD616" s="485"/>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485"/>
      <c r="EX616" s="457"/>
      <c r="EY616" s="457"/>
      <c r="EZ616" s="457"/>
      <c r="FA616" s="457"/>
      <c r="FB616" s="457"/>
      <c r="FC616" s="457"/>
      <c r="FD616" s="457"/>
      <c r="FE616" s="457"/>
      <c r="FF616" s="457"/>
      <c r="FG616" s="457"/>
      <c r="FH616" s="457"/>
      <c r="FI616" s="457"/>
      <c r="FJ616" s="457"/>
      <c r="FK616" s="457"/>
    </row>
    <row r="617" spans="1:167" s="416" customFormat="1">
      <c r="A617" s="427"/>
      <c r="B617" s="427"/>
      <c r="C617" s="427"/>
      <c r="D617" s="427"/>
      <c r="E617" s="428"/>
      <c r="F617" s="429"/>
      <c r="G617" s="430"/>
      <c r="H617" s="427"/>
      <c r="I617" s="427"/>
      <c r="J617" s="427"/>
      <c r="K617" s="427"/>
      <c r="L617" s="427"/>
      <c r="M617" s="427"/>
      <c r="N617" s="427"/>
      <c r="O617" s="427"/>
      <c r="P617" s="427"/>
      <c r="Q617" s="427"/>
      <c r="R617" s="427"/>
      <c r="S617" s="427"/>
      <c r="T617" s="427"/>
      <c r="U617" s="427"/>
      <c r="V617" s="428"/>
      <c r="W617" s="431"/>
      <c r="X617" s="3"/>
      <c r="Y617" s="429"/>
      <c r="Z617" s="430"/>
      <c r="AA617" s="430"/>
      <c r="AB617" s="430"/>
      <c r="AC617" s="424"/>
      <c r="AD617" s="424"/>
      <c r="AE617" s="424"/>
      <c r="AF617" s="424"/>
      <c r="AG617" s="424"/>
      <c r="AH617" s="424"/>
      <c r="AI617" s="424"/>
      <c r="AJ617" s="2"/>
      <c r="AK617" s="2"/>
      <c r="AL617" s="2"/>
      <c r="AM617" s="2"/>
      <c r="AN617" s="2"/>
      <c r="AO617" s="2"/>
      <c r="AP617" s="2"/>
      <c r="AQ617" s="427"/>
      <c r="AR617" s="754"/>
      <c r="AS617" s="427"/>
      <c r="AT617" s="754"/>
      <c r="AU617" s="427"/>
      <c r="AV617" s="427"/>
      <c r="AW617" s="427"/>
      <c r="AX617" s="427"/>
      <c r="AY617" s="754"/>
      <c r="AZ617" s="754"/>
      <c r="BA617" s="754"/>
      <c r="BB617" s="427"/>
      <c r="BC617" s="427"/>
      <c r="BD617" s="427"/>
      <c r="BE617" s="754"/>
      <c r="BF617" s="427"/>
      <c r="BG617" s="454"/>
      <c r="BH617" s="754"/>
      <c r="BI617" s="427"/>
      <c r="BJ617" s="427"/>
      <c r="BK617" s="427"/>
      <c r="BL617" s="427"/>
      <c r="BM617" s="454"/>
      <c r="BN617" s="427"/>
      <c r="BO617" s="427"/>
      <c r="BP617" s="427"/>
      <c r="BQ617" s="454"/>
      <c r="BR617" s="454"/>
      <c r="BS617" s="460"/>
      <c r="BT617" s="454"/>
      <c r="BU617" s="454"/>
      <c r="BV617" s="457"/>
      <c r="BW617" s="460"/>
      <c r="BX617" s="460"/>
      <c r="BY617" s="460"/>
      <c r="CA617" s="2"/>
      <c r="CB617" s="2"/>
      <c r="CC617" s="2"/>
      <c r="CD617" s="2"/>
      <c r="CE617" s="2"/>
      <c r="CF617" s="2"/>
      <c r="CG617" s="2"/>
      <c r="CH617" s="2"/>
      <c r="CI617" s="2"/>
      <c r="CJ617" s="2"/>
      <c r="CK617" s="2"/>
      <c r="CL617" s="2"/>
      <c r="CM617" s="2"/>
      <c r="CN617" s="2"/>
      <c r="CO617" s="427"/>
      <c r="CP617" s="427"/>
      <c r="CQ617" s="427"/>
      <c r="CR617" s="485"/>
      <c r="CS617" s="485"/>
      <c r="CT617" s="485"/>
      <c r="CU617" s="485"/>
      <c r="CV617" s="482"/>
      <c r="CW617" s="482"/>
      <c r="CX617" s="482"/>
      <c r="CY617" s="482"/>
      <c r="CZ617" s="485"/>
      <c r="DA617" s="485"/>
      <c r="DB617" s="485"/>
      <c r="DC617" s="485"/>
      <c r="DD617" s="485"/>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485"/>
      <c r="EX617" s="457"/>
      <c r="EY617" s="457"/>
      <c r="EZ617" s="457"/>
      <c r="FA617" s="457"/>
      <c r="FB617" s="457"/>
      <c r="FC617" s="457"/>
      <c r="FD617" s="457"/>
      <c r="FE617" s="457"/>
      <c r="FF617" s="457"/>
      <c r="FG617" s="457"/>
      <c r="FH617" s="457"/>
      <c r="FI617" s="457"/>
      <c r="FJ617" s="457"/>
      <c r="FK617" s="457"/>
    </row>
    <row r="618" spans="1:167" s="416" customFormat="1">
      <c r="A618" s="427"/>
      <c r="B618" s="427"/>
      <c r="C618" s="427"/>
      <c r="D618" s="427"/>
      <c r="E618" s="428"/>
      <c r="F618" s="429"/>
      <c r="G618" s="430"/>
      <c r="H618" s="427"/>
      <c r="I618" s="427"/>
      <c r="J618" s="427"/>
      <c r="K618" s="427"/>
      <c r="L618" s="427"/>
      <c r="M618" s="427"/>
      <c r="N618" s="427"/>
      <c r="O618" s="427"/>
      <c r="P618" s="427"/>
      <c r="Q618" s="427"/>
      <c r="R618" s="427"/>
      <c r="S618" s="427"/>
      <c r="T618" s="427"/>
      <c r="U618" s="427"/>
      <c r="V618" s="428"/>
      <c r="W618" s="431"/>
      <c r="X618" s="3"/>
      <c r="Y618" s="429"/>
      <c r="Z618" s="430"/>
      <c r="AA618" s="430"/>
      <c r="AB618" s="430"/>
      <c r="AC618" s="424"/>
      <c r="AD618" s="424"/>
      <c r="AE618" s="424"/>
      <c r="AF618" s="424"/>
      <c r="AG618" s="424"/>
      <c r="AH618" s="424"/>
      <c r="AI618" s="424"/>
      <c r="AJ618" s="2"/>
      <c r="AK618" s="2"/>
      <c r="AL618" s="2"/>
      <c r="AM618" s="2"/>
      <c r="AN618" s="2"/>
      <c r="AO618" s="2"/>
      <c r="AP618" s="2"/>
      <c r="AQ618" s="427"/>
      <c r="AR618" s="754"/>
      <c r="AS618" s="427"/>
      <c r="AT618" s="754"/>
      <c r="AU618" s="427"/>
      <c r="AV618" s="427"/>
      <c r="AW618" s="427"/>
      <c r="AX618" s="427"/>
      <c r="AY618" s="754"/>
      <c r="AZ618" s="754"/>
      <c r="BA618" s="754"/>
      <c r="BB618" s="427"/>
      <c r="BC618" s="427"/>
      <c r="BD618" s="427"/>
      <c r="BE618" s="754"/>
      <c r="BF618" s="427"/>
      <c r="BG618" s="454"/>
      <c r="BH618" s="754"/>
      <c r="BI618" s="427"/>
      <c r="BJ618" s="427"/>
      <c r="BK618" s="427"/>
      <c r="BL618" s="427"/>
      <c r="BM618" s="454"/>
      <c r="BN618" s="427"/>
      <c r="BO618" s="427"/>
      <c r="BP618" s="427"/>
      <c r="BQ618" s="454"/>
      <c r="BR618" s="454"/>
      <c r="BS618" s="460"/>
      <c r="BT618" s="454"/>
      <c r="BU618" s="454"/>
      <c r="BV618" s="457"/>
      <c r="BW618" s="460"/>
      <c r="BX618" s="460"/>
      <c r="BY618" s="460"/>
      <c r="CA618" s="2"/>
      <c r="CB618" s="2"/>
      <c r="CC618" s="2"/>
      <c r="CD618" s="2"/>
      <c r="CE618" s="2"/>
      <c r="CF618" s="2"/>
      <c r="CG618" s="2"/>
      <c r="CH618" s="2"/>
      <c r="CI618" s="2"/>
      <c r="CJ618" s="2"/>
      <c r="CK618" s="2"/>
      <c r="CL618" s="2"/>
      <c r="CM618" s="2"/>
      <c r="CN618" s="2"/>
      <c r="CO618" s="427"/>
      <c r="CP618" s="427"/>
      <c r="CQ618" s="427"/>
      <c r="CR618" s="485"/>
      <c r="CS618" s="485"/>
      <c r="CT618" s="485"/>
      <c r="CU618" s="485"/>
      <c r="CV618" s="482"/>
      <c r="CW618" s="482"/>
      <c r="CX618" s="482"/>
      <c r="CY618" s="482"/>
      <c r="CZ618" s="485"/>
      <c r="DA618" s="485"/>
      <c r="DB618" s="485"/>
      <c r="DC618" s="485"/>
      <c r="DD618" s="485"/>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485"/>
      <c r="EX618" s="457"/>
      <c r="EY618" s="457"/>
      <c r="EZ618" s="457"/>
      <c r="FA618" s="457"/>
      <c r="FB618" s="457"/>
      <c r="FC618" s="457"/>
      <c r="FD618" s="457"/>
      <c r="FE618" s="457"/>
      <c r="FF618" s="457"/>
      <c r="FG618" s="457"/>
      <c r="FH618" s="457"/>
      <c r="FI618" s="457"/>
      <c r="FJ618" s="457"/>
      <c r="FK618" s="457"/>
    </row>
    <row r="619" spans="1:167" s="416" customFormat="1">
      <c r="A619" s="427"/>
      <c r="B619" s="427"/>
      <c r="C619" s="427"/>
      <c r="D619" s="427"/>
      <c r="E619" s="428"/>
      <c r="F619" s="429"/>
      <c r="G619" s="430"/>
      <c r="H619" s="427"/>
      <c r="I619" s="427"/>
      <c r="J619" s="427"/>
      <c r="K619" s="427"/>
      <c r="L619" s="427"/>
      <c r="M619" s="427"/>
      <c r="N619" s="427"/>
      <c r="O619" s="427"/>
      <c r="P619" s="427"/>
      <c r="Q619" s="427"/>
      <c r="R619" s="427"/>
      <c r="S619" s="427"/>
      <c r="T619" s="427"/>
      <c r="U619" s="427"/>
      <c r="V619" s="428"/>
      <c r="W619" s="431"/>
      <c r="X619" s="3"/>
      <c r="Y619" s="429"/>
      <c r="Z619" s="430"/>
      <c r="AA619" s="430"/>
      <c r="AB619" s="430"/>
      <c r="AC619" s="424"/>
      <c r="AD619" s="424"/>
      <c r="AE619" s="424"/>
      <c r="AF619" s="424"/>
      <c r="AG619" s="424"/>
      <c r="AH619" s="424"/>
      <c r="AI619" s="424"/>
      <c r="AJ619" s="2"/>
      <c r="AK619" s="2"/>
      <c r="AL619" s="2"/>
      <c r="AM619" s="2"/>
      <c r="AN619" s="2"/>
      <c r="AO619" s="2"/>
      <c r="AP619" s="2"/>
      <c r="AQ619" s="427"/>
      <c r="AR619" s="754"/>
      <c r="AS619" s="427"/>
      <c r="AT619" s="754"/>
      <c r="AU619" s="427"/>
      <c r="AV619" s="427"/>
      <c r="AW619" s="427"/>
      <c r="AX619" s="427"/>
      <c r="AY619" s="754"/>
      <c r="AZ619" s="754"/>
      <c r="BA619" s="754"/>
      <c r="BB619" s="427"/>
      <c r="BC619" s="427"/>
      <c r="BD619" s="427"/>
      <c r="BE619" s="754"/>
      <c r="BF619" s="427"/>
      <c r="BG619" s="454"/>
      <c r="BH619" s="754"/>
      <c r="BI619" s="427"/>
      <c r="BJ619" s="427"/>
      <c r="BK619" s="427"/>
      <c r="BL619" s="427"/>
      <c r="BM619" s="454"/>
      <c r="BN619" s="427"/>
      <c r="BO619" s="427"/>
      <c r="BP619" s="427"/>
      <c r="BQ619" s="454"/>
      <c r="BR619" s="454"/>
      <c r="BS619" s="460"/>
      <c r="BT619" s="454"/>
      <c r="BU619" s="454"/>
      <c r="BV619" s="457"/>
      <c r="BW619" s="460"/>
      <c r="BX619" s="460"/>
      <c r="BY619" s="460"/>
      <c r="CA619" s="2"/>
      <c r="CB619" s="2"/>
      <c r="CC619" s="2"/>
      <c r="CD619" s="2"/>
      <c r="CE619" s="2"/>
      <c r="CF619" s="2"/>
      <c r="CG619" s="2"/>
      <c r="CH619" s="2"/>
      <c r="CI619" s="2"/>
      <c r="CJ619" s="2"/>
      <c r="CK619" s="2"/>
      <c r="CL619" s="2"/>
      <c r="CM619" s="2"/>
      <c r="CN619" s="2"/>
      <c r="CO619" s="427"/>
      <c r="CP619" s="427"/>
      <c r="CQ619" s="427"/>
      <c r="CR619" s="485"/>
      <c r="CS619" s="485"/>
      <c r="CT619" s="485"/>
      <c r="CU619" s="485"/>
      <c r="CV619" s="482"/>
      <c r="CW619" s="482"/>
      <c r="CX619" s="482"/>
      <c r="CY619" s="482"/>
      <c r="CZ619" s="485"/>
      <c r="DA619" s="485"/>
      <c r="DB619" s="485"/>
      <c r="DC619" s="485"/>
      <c r="DD619" s="485"/>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485"/>
      <c r="EX619" s="457"/>
      <c r="EY619" s="457"/>
      <c r="EZ619" s="457"/>
      <c r="FA619" s="457"/>
      <c r="FB619" s="457"/>
      <c r="FC619" s="457"/>
      <c r="FD619" s="457"/>
      <c r="FE619" s="457"/>
      <c r="FF619" s="457"/>
      <c r="FG619" s="457"/>
      <c r="FH619" s="457"/>
      <c r="FI619" s="457"/>
      <c r="FJ619" s="457"/>
      <c r="FK619" s="457"/>
    </row>
    <row r="620" spans="1:167" s="416" customFormat="1">
      <c r="A620" s="427"/>
      <c r="B620" s="427"/>
      <c r="C620" s="427"/>
      <c r="D620" s="427"/>
      <c r="E620" s="428"/>
      <c r="F620" s="429"/>
      <c r="G620" s="430"/>
      <c r="H620" s="427"/>
      <c r="I620" s="427"/>
      <c r="J620" s="427"/>
      <c r="K620" s="427"/>
      <c r="L620" s="427"/>
      <c r="M620" s="427"/>
      <c r="N620" s="427"/>
      <c r="O620" s="427"/>
      <c r="P620" s="427"/>
      <c r="Q620" s="427"/>
      <c r="R620" s="427"/>
      <c r="S620" s="427"/>
      <c r="T620" s="427"/>
      <c r="U620" s="427"/>
      <c r="V620" s="428"/>
      <c r="W620" s="431"/>
      <c r="X620" s="3"/>
      <c r="Y620" s="429"/>
      <c r="Z620" s="430"/>
      <c r="AA620" s="430"/>
      <c r="AB620" s="430"/>
      <c r="AC620" s="424"/>
      <c r="AD620" s="424"/>
      <c r="AE620" s="424"/>
      <c r="AF620" s="424"/>
      <c r="AG620" s="424"/>
      <c r="AH620" s="424"/>
      <c r="AI620" s="424"/>
      <c r="AJ620" s="2"/>
      <c r="AK620" s="2"/>
      <c r="AL620" s="2"/>
      <c r="AM620" s="2"/>
      <c r="AN620" s="2"/>
      <c r="AO620" s="2"/>
      <c r="AP620" s="2"/>
      <c r="AQ620" s="427"/>
      <c r="AR620" s="754"/>
      <c r="AS620" s="427"/>
      <c r="AT620" s="754"/>
      <c r="AU620" s="427"/>
      <c r="AV620" s="427"/>
      <c r="AW620" s="427"/>
      <c r="AX620" s="427"/>
      <c r="AY620" s="754"/>
      <c r="AZ620" s="754"/>
      <c r="BA620" s="754"/>
      <c r="BB620" s="427"/>
      <c r="BC620" s="427"/>
      <c r="BD620" s="427"/>
      <c r="BE620" s="754"/>
      <c r="BF620" s="427"/>
      <c r="BG620" s="454"/>
      <c r="BH620" s="754"/>
      <c r="BI620" s="427"/>
      <c r="BJ620" s="427"/>
      <c r="BK620" s="427"/>
      <c r="BL620" s="427"/>
      <c r="BM620" s="454"/>
      <c r="BN620" s="427"/>
      <c r="BO620" s="427"/>
      <c r="BP620" s="427"/>
      <c r="BQ620" s="454"/>
      <c r="BR620" s="454"/>
      <c r="BS620" s="460"/>
      <c r="BT620" s="454"/>
      <c r="BU620" s="454"/>
      <c r="BV620" s="457"/>
      <c r="BW620" s="460"/>
      <c r="BX620" s="460"/>
      <c r="BY620" s="460"/>
      <c r="CA620" s="2"/>
      <c r="CB620" s="2"/>
      <c r="CC620" s="2"/>
      <c r="CD620" s="2"/>
      <c r="CE620" s="2"/>
      <c r="CF620" s="2"/>
      <c r="CG620" s="2"/>
      <c r="CH620" s="2"/>
      <c r="CI620" s="2"/>
      <c r="CJ620" s="2"/>
      <c r="CK620" s="2"/>
      <c r="CL620" s="2"/>
      <c r="CM620" s="2"/>
      <c r="CN620" s="2"/>
      <c r="CO620" s="427"/>
      <c r="CP620" s="427"/>
      <c r="CQ620" s="427"/>
      <c r="CR620" s="485"/>
      <c r="CS620" s="485"/>
      <c r="CT620" s="485"/>
      <c r="CU620" s="485"/>
      <c r="CV620" s="482"/>
      <c r="CW620" s="482"/>
      <c r="CX620" s="482"/>
      <c r="CY620" s="482"/>
      <c r="CZ620" s="485"/>
      <c r="DA620" s="485"/>
      <c r="DB620" s="485"/>
      <c r="DC620" s="485"/>
      <c r="DD620" s="485"/>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485"/>
      <c r="EX620" s="457"/>
      <c r="EY620" s="457"/>
      <c r="EZ620" s="457"/>
      <c r="FA620" s="457"/>
      <c r="FB620" s="457"/>
      <c r="FC620" s="457"/>
      <c r="FD620" s="457"/>
      <c r="FE620" s="457"/>
      <c r="FF620" s="457"/>
      <c r="FG620" s="457"/>
      <c r="FH620" s="457"/>
      <c r="FI620" s="457"/>
      <c r="FJ620" s="457"/>
      <c r="FK620" s="457"/>
    </row>
    <row r="621" spans="1:167" s="416" customFormat="1">
      <c r="A621" s="427"/>
      <c r="B621" s="427"/>
      <c r="C621" s="427"/>
      <c r="D621" s="427"/>
      <c r="E621" s="428"/>
      <c r="F621" s="429"/>
      <c r="G621" s="430"/>
      <c r="H621" s="427"/>
      <c r="I621" s="427"/>
      <c r="J621" s="427"/>
      <c r="K621" s="427"/>
      <c r="L621" s="427"/>
      <c r="M621" s="427"/>
      <c r="N621" s="427"/>
      <c r="O621" s="427"/>
      <c r="P621" s="427"/>
      <c r="Q621" s="427"/>
      <c r="R621" s="427"/>
      <c r="S621" s="427"/>
      <c r="T621" s="427"/>
      <c r="U621" s="427"/>
      <c r="V621" s="428"/>
      <c r="W621" s="431"/>
      <c r="X621" s="3"/>
      <c r="Y621" s="429"/>
      <c r="Z621" s="430"/>
      <c r="AA621" s="430"/>
      <c r="AB621" s="430"/>
      <c r="AC621" s="424"/>
      <c r="AD621" s="424"/>
      <c r="AE621" s="424"/>
      <c r="AF621" s="424"/>
      <c r="AG621" s="424"/>
      <c r="AH621" s="424"/>
      <c r="AI621" s="424"/>
      <c r="AJ621" s="2"/>
      <c r="AK621" s="2"/>
      <c r="AL621" s="2"/>
      <c r="AM621" s="2"/>
      <c r="AN621" s="2"/>
      <c r="AO621" s="2"/>
      <c r="AP621" s="2"/>
      <c r="AQ621" s="427"/>
      <c r="AR621" s="754"/>
      <c r="AS621" s="427"/>
      <c r="AT621" s="754"/>
      <c r="AU621" s="427"/>
      <c r="AV621" s="427"/>
      <c r="AW621" s="427"/>
      <c r="AX621" s="427"/>
      <c r="AY621" s="754"/>
      <c r="AZ621" s="754"/>
      <c r="BA621" s="754"/>
      <c r="BB621" s="427"/>
      <c r="BC621" s="427"/>
      <c r="BD621" s="427"/>
      <c r="BE621" s="754"/>
      <c r="BF621" s="427"/>
      <c r="BG621" s="454"/>
      <c r="BH621" s="754"/>
      <c r="BI621" s="427"/>
      <c r="BJ621" s="427"/>
      <c r="BK621" s="427"/>
      <c r="BL621" s="427"/>
      <c r="BM621" s="454"/>
      <c r="BN621" s="427"/>
      <c r="BO621" s="427"/>
      <c r="BP621" s="427"/>
      <c r="BQ621" s="454"/>
      <c r="BR621" s="454"/>
      <c r="BS621" s="460"/>
      <c r="BT621" s="454"/>
      <c r="BU621" s="454"/>
      <c r="BV621" s="457"/>
      <c r="BW621" s="460"/>
      <c r="BX621" s="460"/>
      <c r="BY621" s="460"/>
      <c r="CA621" s="2"/>
      <c r="CB621" s="2"/>
      <c r="CC621" s="2"/>
      <c r="CD621" s="2"/>
      <c r="CE621" s="2"/>
      <c r="CF621" s="2"/>
      <c r="CG621" s="2"/>
      <c r="CH621" s="2"/>
      <c r="CI621" s="2"/>
      <c r="CJ621" s="2"/>
      <c r="CK621" s="2"/>
      <c r="CL621" s="2"/>
      <c r="CM621" s="2"/>
      <c r="CN621" s="2"/>
      <c r="CO621" s="427"/>
      <c r="CP621" s="427"/>
      <c r="CQ621" s="427"/>
      <c r="CR621" s="485"/>
      <c r="CS621" s="485"/>
      <c r="CT621" s="485"/>
      <c r="CU621" s="485"/>
      <c r="CV621" s="482"/>
      <c r="CW621" s="482"/>
      <c r="CX621" s="482"/>
      <c r="CY621" s="482"/>
      <c r="CZ621" s="485"/>
      <c r="DA621" s="485"/>
      <c r="DB621" s="485"/>
      <c r="DC621" s="485"/>
      <c r="DD621" s="485"/>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485"/>
      <c r="EX621" s="457"/>
      <c r="EY621" s="457"/>
      <c r="EZ621" s="457"/>
      <c r="FA621" s="457"/>
      <c r="FB621" s="457"/>
      <c r="FC621" s="457"/>
      <c r="FD621" s="457"/>
      <c r="FE621" s="457"/>
      <c r="FF621" s="457"/>
      <c r="FG621" s="457"/>
      <c r="FH621" s="457"/>
      <c r="FI621" s="457"/>
      <c r="FJ621" s="457"/>
      <c r="FK621" s="457"/>
    </row>
    <row r="622" spans="1:167" s="416" customFormat="1">
      <c r="A622" s="427"/>
      <c r="B622" s="427"/>
      <c r="C622" s="427"/>
      <c r="D622" s="427"/>
      <c r="E622" s="428"/>
      <c r="F622" s="429"/>
      <c r="G622" s="430"/>
      <c r="H622" s="427"/>
      <c r="I622" s="427"/>
      <c r="J622" s="427"/>
      <c r="K622" s="427"/>
      <c r="L622" s="427"/>
      <c r="M622" s="427"/>
      <c r="N622" s="427"/>
      <c r="O622" s="427"/>
      <c r="P622" s="427"/>
      <c r="Q622" s="427"/>
      <c r="R622" s="427"/>
      <c r="S622" s="427"/>
      <c r="T622" s="427"/>
      <c r="U622" s="427"/>
      <c r="V622" s="428"/>
      <c r="W622" s="431"/>
      <c r="X622" s="3"/>
      <c r="Y622" s="429"/>
      <c r="Z622" s="430"/>
      <c r="AA622" s="430"/>
      <c r="AB622" s="430"/>
      <c r="AC622" s="424"/>
      <c r="AD622" s="424"/>
      <c r="AE622" s="424"/>
      <c r="AF622" s="424"/>
      <c r="AG622" s="424"/>
      <c r="AH622" s="424"/>
      <c r="AI622" s="424"/>
      <c r="AJ622" s="2"/>
      <c r="AK622" s="2"/>
      <c r="AL622" s="2"/>
      <c r="AM622" s="2"/>
      <c r="AN622" s="2"/>
      <c r="AO622" s="2"/>
      <c r="AP622" s="2"/>
      <c r="AQ622" s="427"/>
      <c r="AR622" s="754"/>
      <c r="AS622" s="427"/>
      <c r="AT622" s="754"/>
      <c r="AU622" s="427"/>
      <c r="AV622" s="427"/>
      <c r="AW622" s="427"/>
      <c r="AX622" s="427"/>
      <c r="AY622" s="754"/>
      <c r="AZ622" s="754"/>
      <c r="BA622" s="754"/>
      <c r="BB622" s="427"/>
      <c r="BC622" s="427"/>
      <c r="BD622" s="427"/>
      <c r="BE622" s="754"/>
      <c r="BF622" s="427"/>
      <c r="BG622" s="454"/>
      <c r="BH622" s="754"/>
      <c r="BI622" s="427"/>
      <c r="BJ622" s="427"/>
      <c r="BK622" s="427"/>
      <c r="BL622" s="427"/>
      <c r="BM622" s="454"/>
      <c r="BN622" s="427"/>
      <c r="BO622" s="427"/>
      <c r="BP622" s="427"/>
      <c r="BQ622" s="454"/>
      <c r="BR622" s="454"/>
      <c r="BS622" s="460"/>
      <c r="BT622" s="454"/>
      <c r="BU622" s="454"/>
      <c r="BV622" s="457"/>
      <c r="BW622" s="460"/>
      <c r="BX622" s="460"/>
      <c r="BY622" s="460"/>
      <c r="CA622" s="2"/>
      <c r="CB622" s="2"/>
      <c r="CC622" s="2"/>
      <c r="CD622" s="2"/>
      <c r="CE622" s="2"/>
      <c r="CF622" s="2"/>
      <c r="CG622" s="2"/>
      <c r="CH622" s="2"/>
      <c r="CI622" s="2"/>
      <c r="CJ622" s="2"/>
      <c r="CK622" s="2"/>
      <c r="CL622" s="2"/>
      <c r="CM622" s="2"/>
      <c r="CN622" s="2"/>
      <c r="CO622" s="427"/>
      <c r="CP622" s="427"/>
      <c r="CQ622" s="427"/>
      <c r="CR622" s="485"/>
      <c r="CS622" s="485"/>
      <c r="CT622" s="485"/>
      <c r="CU622" s="485"/>
      <c r="CV622" s="482"/>
      <c r="CW622" s="482"/>
      <c r="CX622" s="482"/>
      <c r="CY622" s="482"/>
      <c r="CZ622" s="485"/>
      <c r="DA622" s="485"/>
      <c r="DB622" s="485"/>
      <c r="DC622" s="485"/>
      <c r="DD622" s="485"/>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485"/>
      <c r="EX622" s="457"/>
      <c r="EY622" s="457"/>
      <c r="EZ622" s="457"/>
      <c r="FA622" s="457"/>
      <c r="FB622" s="457"/>
      <c r="FC622" s="457"/>
      <c r="FD622" s="457"/>
      <c r="FE622" s="457"/>
      <c r="FF622" s="457"/>
      <c r="FG622" s="457"/>
      <c r="FH622" s="457"/>
      <c r="FI622" s="457"/>
      <c r="FJ622" s="457"/>
      <c r="FK622" s="457"/>
    </row>
    <row r="623" spans="1:167" s="416" customFormat="1">
      <c r="A623" s="427"/>
      <c r="B623" s="427"/>
      <c r="C623" s="427"/>
      <c r="D623" s="427"/>
      <c r="E623" s="428"/>
      <c r="F623" s="429"/>
      <c r="G623" s="430"/>
      <c r="H623" s="427"/>
      <c r="I623" s="427"/>
      <c r="J623" s="427"/>
      <c r="K623" s="427"/>
      <c r="L623" s="427"/>
      <c r="M623" s="427"/>
      <c r="N623" s="427"/>
      <c r="O623" s="427"/>
      <c r="P623" s="427"/>
      <c r="Q623" s="427"/>
      <c r="R623" s="427"/>
      <c r="S623" s="427"/>
      <c r="T623" s="427"/>
      <c r="U623" s="427"/>
      <c r="V623" s="428"/>
      <c r="W623" s="431"/>
      <c r="X623" s="3"/>
      <c r="Y623" s="429"/>
      <c r="Z623" s="430"/>
      <c r="AA623" s="430"/>
      <c r="AB623" s="430"/>
      <c r="AC623" s="424"/>
      <c r="AD623" s="424"/>
      <c r="AE623" s="424"/>
      <c r="AF623" s="424"/>
      <c r="AG623" s="424"/>
      <c r="AH623" s="424"/>
      <c r="AI623" s="424"/>
      <c r="AJ623" s="2"/>
      <c r="AK623" s="2"/>
      <c r="AL623" s="2"/>
      <c r="AM623" s="2"/>
      <c r="AN623" s="2"/>
      <c r="AO623" s="2"/>
      <c r="AP623" s="2"/>
      <c r="AQ623" s="427"/>
      <c r="AR623" s="754"/>
      <c r="AS623" s="427"/>
      <c r="AT623" s="754"/>
      <c r="AU623" s="427"/>
      <c r="AV623" s="427"/>
      <c r="AW623" s="427"/>
      <c r="AX623" s="427"/>
      <c r="AY623" s="754"/>
      <c r="AZ623" s="754"/>
      <c r="BA623" s="754"/>
      <c r="BB623" s="427"/>
      <c r="BC623" s="427"/>
      <c r="BD623" s="427"/>
      <c r="BE623" s="754"/>
      <c r="BF623" s="427"/>
      <c r="BG623" s="454"/>
      <c r="BH623" s="754"/>
      <c r="BI623" s="427"/>
      <c r="BJ623" s="427"/>
      <c r="BK623" s="427"/>
      <c r="BL623" s="427"/>
      <c r="BM623" s="454"/>
      <c r="BN623" s="427"/>
      <c r="BO623" s="427"/>
      <c r="BP623" s="427"/>
      <c r="BQ623" s="454"/>
      <c r="BR623" s="454"/>
      <c r="BS623" s="460"/>
      <c r="BT623" s="454"/>
      <c r="BU623" s="454"/>
      <c r="BV623" s="457"/>
      <c r="BW623" s="460"/>
      <c r="BX623" s="460"/>
      <c r="BY623" s="460"/>
      <c r="CA623" s="2"/>
      <c r="CB623" s="2"/>
      <c r="CC623" s="2"/>
      <c r="CD623" s="2"/>
      <c r="CE623" s="2"/>
      <c r="CF623" s="2"/>
      <c r="CG623" s="2"/>
      <c r="CH623" s="2"/>
      <c r="CI623" s="2"/>
      <c r="CJ623" s="2"/>
      <c r="CK623" s="2"/>
      <c r="CL623" s="2"/>
      <c r="CM623" s="2"/>
      <c r="CN623" s="2"/>
      <c r="CO623" s="427"/>
      <c r="CP623" s="427"/>
      <c r="CQ623" s="427"/>
      <c r="CR623" s="485"/>
      <c r="CS623" s="485"/>
      <c r="CT623" s="485"/>
      <c r="CU623" s="485"/>
      <c r="CV623" s="482"/>
      <c r="CW623" s="482"/>
      <c r="CX623" s="482"/>
      <c r="CY623" s="482"/>
      <c r="CZ623" s="485"/>
      <c r="DA623" s="485"/>
      <c r="DB623" s="485"/>
      <c r="DC623" s="485"/>
      <c r="DD623" s="485"/>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485"/>
      <c r="EX623" s="457"/>
      <c r="EY623" s="457"/>
      <c r="EZ623" s="457"/>
      <c r="FA623" s="457"/>
      <c r="FB623" s="457"/>
      <c r="FC623" s="457"/>
      <c r="FD623" s="457"/>
      <c r="FE623" s="457"/>
      <c r="FF623" s="457"/>
      <c r="FG623" s="457"/>
      <c r="FH623" s="457"/>
      <c r="FI623" s="457"/>
      <c r="FJ623" s="457"/>
      <c r="FK623" s="457"/>
    </row>
    <row r="624" spans="1:167" s="416" customFormat="1">
      <c r="A624" s="427"/>
      <c r="B624" s="427"/>
      <c r="C624" s="427"/>
      <c r="D624" s="427"/>
      <c r="E624" s="428"/>
      <c r="F624" s="429"/>
      <c r="G624" s="430"/>
      <c r="H624" s="427"/>
      <c r="I624" s="427"/>
      <c r="J624" s="427"/>
      <c r="K624" s="427"/>
      <c r="L624" s="427"/>
      <c r="M624" s="427"/>
      <c r="N624" s="427"/>
      <c r="O624" s="427"/>
      <c r="P624" s="427"/>
      <c r="Q624" s="427"/>
      <c r="R624" s="427"/>
      <c r="S624" s="427"/>
      <c r="T624" s="427"/>
      <c r="U624" s="427"/>
      <c r="V624" s="428"/>
      <c r="W624" s="431"/>
      <c r="X624" s="3"/>
      <c r="Y624" s="429"/>
      <c r="Z624" s="430"/>
      <c r="AA624" s="430"/>
      <c r="AB624" s="430"/>
      <c r="AC624" s="424"/>
      <c r="AD624" s="424"/>
      <c r="AE624" s="424"/>
      <c r="AF624" s="424"/>
      <c r="AG624" s="424"/>
      <c r="AH624" s="424"/>
      <c r="AI624" s="424"/>
      <c r="AJ624" s="2"/>
      <c r="AK624" s="2"/>
      <c r="AL624" s="2"/>
      <c r="AM624" s="2"/>
      <c r="AN624" s="2"/>
      <c r="AO624" s="2"/>
      <c r="AP624" s="2"/>
      <c r="AQ624" s="427"/>
      <c r="AR624" s="754"/>
      <c r="AS624" s="427"/>
      <c r="AT624" s="754"/>
      <c r="AU624" s="427"/>
      <c r="AV624" s="427"/>
      <c r="AW624" s="427"/>
      <c r="AX624" s="427"/>
      <c r="AY624" s="754"/>
      <c r="AZ624" s="754"/>
      <c r="BA624" s="754"/>
      <c r="BB624" s="427"/>
      <c r="BC624" s="427"/>
      <c r="BD624" s="427"/>
      <c r="BE624" s="754"/>
      <c r="BF624" s="427"/>
      <c r="BG624" s="454"/>
      <c r="BH624" s="754"/>
      <c r="BI624" s="427"/>
      <c r="BJ624" s="427"/>
      <c r="BK624" s="427"/>
      <c r="BL624" s="427"/>
      <c r="BM624" s="454"/>
      <c r="BN624" s="427"/>
      <c r="BO624" s="427"/>
      <c r="BP624" s="427"/>
      <c r="BQ624" s="454"/>
      <c r="BR624" s="454"/>
      <c r="BS624" s="460"/>
      <c r="BT624" s="454"/>
      <c r="BU624" s="454"/>
      <c r="BV624" s="457"/>
      <c r="BW624" s="460"/>
      <c r="BX624" s="460"/>
      <c r="BY624" s="460"/>
      <c r="CA624" s="2"/>
      <c r="CB624" s="2"/>
      <c r="CC624" s="2"/>
      <c r="CD624" s="2"/>
      <c r="CE624" s="2"/>
      <c r="CF624" s="2"/>
      <c r="CG624" s="2"/>
      <c r="CH624" s="2"/>
      <c r="CI624" s="2"/>
      <c r="CJ624" s="2"/>
      <c r="CK624" s="2"/>
      <c r="CL624" s="2"/>
      <c r="CM624" s="2"/>
      <c r="CN624" s="2"/>
      <c r="CO624" s="427"/>
      <c r="CP624" s="427"/>
      <c r="CQ624" s="427"/>
      <c r="CR624" s="485"/>
      <c r="CS624" s="485"/>
      <c r="CT624" s="485"/>
      <c r="CU624" s="485"/>
      <c r="CV624" s="482"/>
      <c r="CW624" s="482"/>
      <c r="CX624" s="482"/>
      <c r="CY624" s="482"/>
      <c r="CZ624" s="485"/>
      <c r="DA624" s="485"/>
      <c r="DB624" s="485"/>
      <c r="DC624" s="485"/>
      <c r="DD624" s="485"/>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485"/>
      <c r="EX624" s="457"/>
      <c r="EY624" s="457"/>
      <c r="EZ624" s="457"/>
      <c r="FA624" s="457"/>
      <c r="FB624" s="457"/>
      <c r="FC624" s="457"/>
      <c r="FD624" s="457"/>
      <c r="FE624" s="457"/>
      <c r="FF624" s="457"/>
      <c r="FG624" s="457"/>
      <c r="FH624" s="457"/>
      <c r="FI624" s="457"/>
      <c r="FJ624" s="457"/>
      <c r="FK624" s="457"/>
    </row>
    <row r="625" spans="1:167" s="416" customFormat="1">
      <c r="A625" s="427"/>
      <c r="B625" s="427"/>
      <c r="C625" s="427"/>
      <c r="D625" s="427"/>
      <c r="E625" s="428"/>
      <c r="F625" s="429"/>
      <c r="G625" s="430"/>
      <c r="H625" s="427"/>
      <c r="I625" s="427"/>
      <c r="J625" s="427"/>
      <c r="K625" s="427"/>
      <c r="L625" s="427"/>
      <c r="M625" s="427"/>
      <c r="N625" s="427"/>
      <c r="O625" s="427"/>
      <c r="P625" s="427"/>
      <c r="Q625" s="427"/>
      <c r="R625" s="427"/>
      <c r="S625" s="427"/>
      <c r="T625" s="427"/>
      <c r="U625" s="427"/>
      <c r="V625" s="428"/>
      <c r="W625" s="431"/>
      <c r="X625" s="3"/>
      <c r="Y625" s="429"/>
      <c r="Z625" s="430"/>
      <c r="AA625" s="430"/>
      <c r="AB625" s="430"/>
      <c r="AC625" s="424"/>
      <c r="AD625" s="424"/>
      <c r="AE625" s="424"/>
      <c r="AF625" s="424"/>
      <c r="AG625" s="424"/>
      <c r="AH625" s="424"/>
      <c r="AI625" s="424"/>
      <c r="AJ625" s="2"/>
      <c r="AK625" s="2"/>
      <c r="AL625" s="2"/>
      <c r="AM625" s="2"/>
      <c r="AN625" s="2"/>
      <c r="AO625" s="2"/>
      <c r="AP625" s="2"/>
      <c r="AQ625" s="427"/>
      <c r="AR625" s="754"/>
      <c r="AS625" s="427"/>
      <c r="AT625" s="754"/>
      <c r="AU625" s="427"/>
      <c r="AV625" s="427"/>
      <c r="AW625" s="427"/>
      <c r="AX625" s="427"/>
      <c r="AY625" s="754"/>
      <c r="AZ625" s="754"/>
      <c r="BA625" s="754"/>
      <c r="BB625" s="427"/>
      <c r="BC625" s="427"/>
      <c r="BD625" s="427"/>
      <c r="BE625" s="754"/>
      <c r="BF625" s="427"/>
      <c r="BG625" s="454"/>
      <c r="BH625" s="754"/>
      <c r="BI625" s="427"/>
      <c r="BJ625" s="427"/>
      <c r="BK625" s="427"/>
      <c r="BL625" s="427"/>
      <c r="BM625" s="454"/>
      <c r="BN625" s="427"/>
      <c r="BO625" s="427"/>
      <c r="BP625" s="427"/>
      <c r="BQ625" s="454"/>
      <c r="BR625" s="454"/>
      <c r="BS625" s="460"/>
      <c r="BT625" s="454"/>
      <c r="BU625" s="454"/>
      <c r="BV625" s="457"/>
      <c r="BW625" s="460"/>
      <c r="BX625" s="460"/>
      <c r="BY625" s="460"/>
      <c r="CA625" s="2"/>
      <c r="CB625" s="2"/>
      <c r="CC625" s="2"/>
      <c r="CD625" s="2"/>
      <c r="CE625" s="2"/>
      <c r="CF625" s="2"/>
      <c r="CG625" s="2"/>
      <c r="CH625" s="2"/>
      <c r="CI625" s="2"/>
      <c r="CJ625" s="2"/>
      <c r="CK625" s="2"/>
      <c r="CL625" s="2"/>
      <c r="CM625" s="2"/>
      <c r="CN625" s="2"/>
      <c r="CO625" s="427"/>
      <c r="CP625" s="427"/>
      <c r="CQ625" s="427"/>
      <c r="CR625" s="485"/>
      <c r="CS625" s="485"/>
      <c r="CT625" s="485"/>
      <c r="CU625" s="485"/>
      <c r="CV625" s="482"/>
      <c r="CW625" s="482"/>
      <c r="CX625" s="482"/>
      <c r="CY625" s="482"/>
      <c r="CZ625" s="485"/>
      <c r="DA625" s="485"/>
      <c r="DB625" s="485"/>
      <c r="DC625" s="485"/>
      <c r="DD625" s="485"/>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485"/>
      <c r="EX625" s="457"/>
      <c r="EY625" s="457"/>
      <c r="EZ625" s="457"/>
      <c r="FA625" s="457"/>
      <c r="FB625" s="457"/>
      <c r="FC625" s="457"/>
      <c r="FD625" s="457"/>
      <c r="FE625" s="457"/>
      <c r="FF625" s="457"/>
      <c r="FG625" s="457"/>
      <c r="FH625" s="457"/>
      <c r="FI625" s="457"/>
      <c r="FJ625" s="457"/>
      <c r="FK625" s="457"/>
    </row>
    <row r="626" spans="1:167" s="416" customFormat="1">
      <c r="A626" s="427"/>
      <c r="B626" s="427"/>
      <c r="C626" s="427"/>
      <c r="D626" s="427"/>
      <c r="E626" s="428"/>
      <c r="F626" s="429"/>
      <c r="G626" s="430"/>
      <c r="H626" s="427"/>
      <c r="I626" s="427"/>
      <c r="J626" s="427"/>
      <c r="K626" s="427"/>
      <c r="L626" s="427"/>
      <c r="M626" s="427"/>
      <c r="N626" s="427"/>
      <c r="O626" s="427"/>
      <c r="P626" s="427"/>
      <c r="Q626" s="427"/>
      <c r="R626" s="427"/>
      <c r="S626" s="427"/>
      <c r="T626" s="427"/>
      <c r="U626" s="427"/>
      <c r="V626" s="428"/>
      <c r="W626" s="431"/>
      <c r="X626" s="3"/>
      <c r="Y626" s="429"/>
      <c r="Z626" s="430"/>
      <c r="AA626" s="430"/>
      <c r="AB626" s="430"/>
      <c r="AC626" s="424"/>
      <c r="AD626" s="424"/>
      <c r="AE626" s="424"/>
      <c r="AF626" s="424"/>
      <c r="AG626" s="424"/>
      <c r="AH626" s="424"/>
      <c r="AI626" s="424"/>
      <c r="AJ626" s="2"/>
      <c r="AK626" s="2"/>
      <c r="AL626" s="2"/>
      <c r="AM626" s="2"/>
      <c r="AN626" s="2"/>
      <c r="AO626" s="2"/>
      <c r="AP626" s="2"/>
      <c r="AQ626" s="427"/>
      <c r="AR626" s="754"/>
      <c r="AS626" s="427"/>
      <c r="AT626" s="754"/>
      <c r="AU626" s="427"/>
      <c r="AV626" s="427"/>
      <c r="AW626" s="427"/>
      <c r="AX626" s="427"/>
      <c r="AY626" s="754"/>
      <c r="AZ626" s="754"/>
      <c r="BA626" s="754"/>
      <c r="BB626" s="427"/>
      <c r="BC626" s="427"/>
      <c r="BD626" s="427"/>
      <c r="BE626" s="754"/>
      <c r="BF626" s="427"/>
      <c r="BG626" s="454"/>
      <c r="BH626" s="754"/>
      <c r="BI626" s="427"/>
      <c r="BJ626" s="427"/>
      <c r="BK626" s="427"/>
      <c r="BL626" s="427"/>
      <c r="BM626" s="454"/>
      <c r="BN626" s="427"/>
      <c r="BO626" s="427"/>
      <c r="BP626" s="427"/>
      <c r="BQ626" s="454"/>
      <c r="BR626" s="454"/>
      <c r="BS626" s="460"/>
      <c r="BT626" s="454"/>
      <c r="BU626" s="454"/>
      <c r="BV626" s="457"/>
      <c r="BW626" s="460"/>
      <c r="BX626" s="460"/>
      <c r="BY626" s="460"/>
      <c r="CA626" s="2"/>
      <c r="CB626" s="2"/>
      <c r="CC626" s="2"/>
      <c r="CD626" s="2"/>
      <c r="CE626" s="2"/>
      <c r="CF626" s="2"/>
      <c r="CG626" s="2"/>
      <c r="CH626" s="2"/>
      <c r="CI626" s="2"/>
      <c r="CJ626" s="2"/>
      <c r="CK626" s="2"/>
      <c r="CL626" s="2"/>
      <c r="CM626" s="2"/>
      <c r="CN626" s="2"/>
      <c r="CO626" s="427"/>
      <c r="CP626" s="427"/>
      <c r="CQ626" s="427"/>
      <c r="CR626" s="485"/>
      <c r="CS626" s="485"/>
      <c r="CT626" s="485"/>
      <c r="CU626" s="485"/>
      <c r="CV626" s="482"/>
      <c r="CW626" s="482"/>
      <c r="CX626" s="482"/>
      <c r="CY626" s="482"/>
      <c r="CZ626" s="485"/>
      <c r="DA626" s="485"/>
      <c r="DB626" s="485"/>
      <c r="DC626" s="485"/>
      <c r="DD626" s="485"/>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485"/>
      <c r="EX626" s="457"/>
      <c r="EY626" s="457"/>
      <c r="EZ626" s="457"/>
      <c r="FA626" s="457"/>
      <c r="FB626" s="457"/>
      <c r="FC626" s="457"/>
      <c r="FD626" s="457"/>
      <c r="FE626" s="457"/>
      <c r="FF626" s="457"/>
      <c r="FG626" s="457"/>
      <c r="FH626" s="457"/>
      <c r="FI626" s="457"/>
      <c r="FJ626" s="457"/>
      <c r="FK626" s="457"/>
    </row>
    <row r="627" spans="1:167" s="416" customFormat="1">
      <c r="A627" s="427"/>
      <c r="B627" s="427"/>
      <c r="C627" s="427"/>
      <c r="D627" s="427"/>
      <c r="E627" s="428"/>
      <c r="F627" s="429"/>
      <c r="G627" s="430"/>
      <c r="H627" s="427"/>
      <c r="I627" s="427"/>
      <c r="J627" s="427"/>
      <c r="K627" s="427"/>
      <c r="L627" s="427"/>
      <c r="M627" s="427"/>
      <c r="N627" s="427"/>
      <c r="O627" s="427"/>
      <c r="P627" s="427"/>
      <c r="Q627" s="427"/>
      <c r="R627" s="427"/>
      <c r="S627" s="427"/>
      <c r="T627" s="427"/>
      <c r="U627" s="427"/>
      <c r="V627" s="428"/>
      <c r="W627" s="431"/>
      <c r="X627" s="3"/>
      <c r="Y627" s="429"/>
      <c r="Z627" s="430"/>
      <c r="AA627" s="430"/>
      <c r="AB627" s="430"/>
      <c r="AC627" s="424"/>
      <c r="AD627" s="424"/>
      <c r="AE627" s="424"/>
      <c r="AF627" s="424"/>
      <c r="AG627" s="424"/>
      <c r="AH627" s="424"/>
      <c r="AI627" s="424"/>
      <c r="AJ627" s="2"/>
      <c r="AK627" s="2"/>
      <c r="AL627" s="2"/>
      <c r="AM627" s="2"/>
      <c r="AN627" s="2"/>
      <c r="AO627" s="2"/>
      <c r="AP627" s="2"/>
      <c r="AQ627" s="427"/>
      <c r="AR627" s="754"/>
      <c r="AS627" s="427"/>
      <c r="AT627" s="754"/>
      <c r="AU627" s="427"/>
      <c r="AV627" s="427"/>
      <c r="AW627" s="427"/>
      <c r="AX627" s="427"/>
      <c r="AY627" s="754"/>
      <c r="AZ627" s="754"/>
      <c r="BA627" s="754"/>
      <c r="BB627" s="427"/>
      <c r="BC627" s="427"/>
      <c r="BD627" s="427"/>
      <c r="BE627" s="754"/>
      <c r="BF627" s="427"/>
      <c r="BG627" s="454"/>
      <c r="BH627" s="754"/>
      <c r="BI627" s="427"/>
      <c r="BJ627" s="427"/>
      <c r="BK627" s="427"/>
      <c r="BL627" s="427"/>
      <c r="BM627" s="454"/>
      <c r="BN627" s="427"/>
      <c r="BO627" s="427"/>
      <c r="BP627" s="427"/>
      <c r="BQ627" s="454"/>
      <c r="BR627" s="454"/>
      <c r="BS627" s="460"/>
      <c r="BT627" s="454"/>
      <c r="BU627" s="454"/>
      <c r="BV627" s="457"/>
      <c r="BW627" s="460"/>
      <c r="BX627" s="460"/>
      <c r="BY627" s="460"/>
      <c r="CA627" s="2"/>
      <c r="CB627" s="2"/>
      <c r="CC627" s="2"/>
      <c r="CD627" s="2"/>
      <c r="CE627" s="2"/>
      <c r="CF627" s="2"/>
      <c r="CG627" s="2"/>
      <c r="CH627" s="2"/>
      <c r="CI627" s="2"/>
      <c r="CJ627" s="2"/>
      <c r="CK627" s="2"/>
      <c r="CL627" s="2"/>
      <c r="CM627" s="2"/>
      <c r="CN627" s="2"/>
      <c r="CO627" s="427"/>
      <c r="CP627" s="427"/>
      <c r="CQ627" s="427"/>
      <c r="CR627" s="485"/>
      <c r="CS627" s="485"/>
      <c r="CT627" s="485"/>
      <c r="CU627" s="485"/>
      <c r="CV627" s="482"/>
      <c r="CW627" s="482"/>
      <c r="CX627" s="482"/>
      <c r="CY627" s="482"/>
      <c r="CZ627" s="485"/>
      <c r="DA627" s="485"/>
      <c r="DB627" s="485"/>
      <c r="DC627" s="485"/>
      <c r="DD627" s="485"/>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485"/>
      <c r="EX627" s="457"/>
      <c r="EY627" s="457"/>
      <c r="EZ627" s="457"/>
      <c r="FA627" s="457"/>
      <c r="FB627" s="457"/>
      <c r="FC627" s="457"/>
      <c r="FD627" s="457"/>
      <c r="FE627" s="457"/>
      <c r="FF627" s="457"/>
      <c r="FG627" s="457"/>
      <c r="FH627" s="457"/>
      <c r="FI627" s="457"/>
      <c r="FJ627" s="457"/>
      <c r="FK627" s="457"/>
    </row>
    <row r="628" spans="1:167" s="416" customFormat="1">
      <c r="A628" s="427"/>
      <c r="B628" s="427"/>
      <c r="C628" s="427"/>
      <c r="D628" s="427"/>
      <c r="E628" s="428"/>
      <c r="F628" s="429"/>
      <c r="G628" s="430"/>
      <c r="H628" s="427"/>
      <c r="I628" s="427"/>
      <c r="J628" s="427"/>
      <c r="K628" s="427"/>
      <c r="L628" s="427"/>
      <c r="M628" s="427"/>
      <c r="N628" s="427"/>
      <c r="O628" s="427"/>
      <c r="P628" s="427"/>
      <c r="Q628" s="427"/>
      <c r="R628" s="427"/>
      <c r="S628" s="427"/>
      <c r="T628" s="427"/>
      <c r="U628" s="427"/>
      <c r="V628" s="428"/>
      <c r="W628" s="431"/>
      <c r="X628" s="3"/>
      <c r="Y628" s="429"/>
      <c r="Z628" s="430"/>
      <c r="AA628" s="430"/>
      <c r="AB628" s="430"/>
      <c r="AC628" s="424"/>
      <c r="AD628" s="424"/>
      <c r="AE628" s="424"/>
      <c r="AF628" s="424"/>
      <c r="AG628" s="424"/>
      <c r="AH628" s="424"/>
      <c r="AI628" s="424"/>
      <c r="AJ628" s="2"/>
      <c r="AK628" s="2"/>
      <c r="AL628" s="2"/>
      <c r="AM628" s="2"/>
      <c r="AN628" s="2"/>
      <c r="AO628" s="2"/>
      <c r="AP628" s="2"/>
      <c r="AQ628" s="427"/>
      <c r="AR628" s="754"/>
      <c r="AS628" s="427"/>
      <c r="AT628" s="754"/>
      <c r="AU628" s="427"/>
      <c r="AV628" s="427"/>
      <c r="AW628" s="427"/>
      <c r="AX628" s="427"/>
      <c r="AY628" s="754"/>
      <c r="AZ628" s="754"/>
      <c r="BA628" s="754"/>
      <c r="BB628" s="427"/>
      <c r="BC628" s="427"/>
      <c r="BD628" s="427"/>
      <c r="BE628" s="754"/>
      <c r="BF628" s="427"/>
      <c r="BG628" s="454"/>
      <c r="BH628" s="754"/>
      <c r="BI628" s="427"/>
      <c r="BJ628" s="427"/>
      <c r="BK628" s="427"/>
      <c r="BL628" s="427"/>
      <c r="BM628" s="454"/>
      <c r="BN628" s="427"/>
      <c r="BO628" s="427"/>
      <c r="BP628" s="427"/>
      <c r="BQ628" s="454"/>
      <c r="BR628" s="454"/>
      <c r="BS628" s="460"/>
      <c r="BT628" s="454"/>
      <c r="BU628" s="454"/>
      <c r="BV628" s="457"/>
      <c r="BW628" s="460"/>
      <c r="BX628" s="460"/>
      <c r="BY628" s="460"/>
      <c r="CA628" s="2"/>
      <c r="CB628" s="2"/>
      <c r="CC628" s="2"/>
      <c r="CD628" s="2"/>
      <c r="CE628" s="2"/>
      <c r="CF628" s="2"/>
      <c r="CG628" s="2"/>
      <c r="CH628" s="2"/>
      <c r="CI628" s="2"/>
      <c r="CJ628" s="2"/>
      <c r="CK628" s="2"/>
      <c r="CL628" s="2"/>
      <c r="CM628" s="2"/>
      <c r="CN628" s="2"/>
      <c r="CO628" s="427"/>
      <c r="CP628" s="427"/>
      <c r="CQ628" s="427"/>
      <c r="CR628" s="485"/>
      <c r="CS628" s="485"/>
      <c r="CT628" s="485"/>
      <c r="CU628" s="485"/>
      <c r="CV628" s="482"/>
      <c r="CW628" s="482"/>
      <c r="CX628" s="482"/>
      <c r="CY628" s="482"/>
      <c r="CZ628" s="485"/>
      <c r="DA628" s="485"/>
      <c r="DB628" s="485"/>
      <c r="DC628" s="485"/>
      <c r="DD628" s="485"/>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485"/>
      <c r="EX628" s="457"/>
      <c r="EY628" s="457"/>
      <c r="EZ628" s="457"/>
      <c r="FA628" s="457"/>
      <c r="FB628" s="457"/>
      <c r="FC628" s="457"/>
      <c r="FD628" s="457"/>
      <c r="FE628" s="457"/>
      <c r="FF628" s="457"/>
      <c r="FG628" s="457"/>
      <c r="FH628" s="457"/>
      <c r="FI628" s="457"/>
      <c r="FJ628" s="457"/>
      <c r="FK628" s="457"/>
    </row>
    <row r="629" spans="1:167" s="416" customFormat="1">
      <c r="A629" s="427"/>
      <c r="B629" s="427"/>
      <c r="C629" s="427"/>
      <c r="D629" s="427"/>
      <c r="E629" s="428"/>
      <c r="F629" s="429"/>
      <c r="G629" s="430"/>
      <c r="H629" s="427"/>
      <c r="I629" s="427"/>
      <c r="J629" s="427"/>
      <c r="K629" s="427"/>
      <c r="L629" s="427"/>
      <c r="M629" s="427"/>
      <c r="N629" s="427"/>
      <c r="O629" s="427"/>
      <c r="P629" s="427"/>
      <c r="Q629" s="427"/>
      <c r="R629" s="427"/>
      <c r="S629" s="427"/>
      <c r="T629" s="427"/>
      <c r="U629" s="427"/>
      <c r="V629" s="428"/>
      <c r="W629" s="431"/>
      <c r="X629" s="3"/>
      <c r="Y629" s="429"/>
      <c r="Z629" s="430"/>
      <c r="AA629" s="430"/>
      <c r="AB629" s="430"/>
      <c r="AC629" s="424"/>
      <c r="AD629" s="424"/>
      <c r="AE629" s="424"/>
      <c r="AF629" s="424"/>
      <c r="AG629" s="424"/>
      <c r="AH629" s="424"/>
      <c r="AI629" s="424"/>
      <c r="AJ629" s="2"/>
      <c r="AK629" s="2"/>
      <c r="AL629" s="2"/>
      <c r="AM629" s="2"/>
      <c r="AN629" s="2"/>
      <c r="AO629" s="2"/>
      <c r="AP629" s="2"/>
      <c r="AQ629" s="427"/>
      <c r="AR629" s="754"/>
      <c r="AS629" s="427"/>
      <c r="AT629" s="754"/>
      <c r="AU629" s="427"/>
      <c r="AV629" s="427"/>
      <c r="AW629" s="427"/>
      <c r="AX629" s="427"/>
      <c r="AY629" s="754"/>
      <c r="AZ629" s="754"/>
      <c r="BA629" s="754"/>
      <c r="BB629" s="427"/>
      <c r="BC629" s="427"/>
      <c r="BD629" s="427"/>
      <c r="BE629" s="754"/>
      <c r="BF629" s="427"/>
      <c r="BG629" s="454"/>
      <c r="BH629" s="754"/>
      <c r="BI629" s="427"/>
      <c r="BJ629" s="427"/>
      <c r="BK629" s="427"/>
      <c r="BL629" s="427"/>
      <c r="BM629" s="454"/>
      <c r="BN629" s="427"/>
      <c r="BO629" s="427"/>
      <c r="BP629" s="427"/>
      <c r="BQ629" s="454"/>
      <c r="BR629" s="454"/>
      <c r="BS629" s="460"/>
      <c r="BT629" s="454"/>
      <c r="BU629" s="454"/>
      <c r="BV629" s="457"/>
      <c r="BW629" s="460"/>
      <c r="BX629" s="460"/>
      <c r="BY629" s="460"/>
      <c r="CA629" s="2"/>
      <c r="CB629" s="2"/>
      <c r="CC629" s="2"/>
      <c r="CD629" s="2"/>
      <c r="CE629" s="2"/>
      <c r="CF629" s="2"/>
      <c r="CG629" s="2"/>
      <c r="CH629" s="2"/>
      <c r="CI629" s="2"/>
      <c r="CJ629" s="2"/>
      <c r="CK629" s="2"/>
      <c r="CL629" s="2"/>
      <c r="CM629" s="2"/>
      <c r="CN629" s="2"/>
      <c r="CO629" s="427"/>
      <c r="CP629" s="427"/>
      <c r="CQ629" s="427"/>
      <c r="CR629" s="485"/>
      <c r="CS629" s="485"/>
      <c r="CT629" s="485"/>
      <c r="CU629" s="485"/>
      <c r="CV629" s="482"/>
      <c r="CW629" s="482"/>
      <c r="CX629" s="482"/>
      <c r="CY629" s="482"/>
      <c r="CZ629" s="485"/>
      <c r="DA629" s="485"/>
      <c r="DB629" s="485"/>
      <c r="DC629" s="485"/>
      <c r="DD629" s="485"/>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485"/>
      <c r="EX629" s="457"/>
      <c r="EY629" s="457"/>
      <c r="EZ629" s="457"/>
      <c r="FA629" s="457"/>
      <c r="FB629" s="457"/>
      <c r="FC629" s="457"/>
      <c r="FD629" s="457"/>
      <c r="FE629" s="457"/>
      <c r="FF629" s="457"/>
      <c r="FG629" s="457"/>
      <c r="FH629" s="457"/>
      <c r="FI629" s="457"/>
      <c r="FJ629" s="457"/>
      <c r="FK629" s="457"/>
    </row>
    <row r="630" spans="1:167" s="416" customFormat="1">
      <c r="A630" s="427"/>
      <c r="B630" s="427"/>
      <c r="C630" s="427"/>
      <c r="D630" s="427"/>
      <c r="E630" s="428"/>
      <c r="F630" s="429"/>
      <c r="G630" s="430"/>
      <c r="H630" s="427"/>
      <c r="I630" s="427"/>
      <c r="J630" s="427"/>
      <c r="K630" s="427"/>
      <c r="L630" s="427"/>
      <c r="M630" s="427"/>
      <c r="N630" s="427"/>
      <c r="O630" s="427"/>
      <c r="P630" s="427"/>
      <c r="Q630" s="427"/>
      <c r="R630" s="427"/>
      <c r="S630" s="427"/>
      <c r="T630" s="427"/>
      <c r="U630" s="427"/>
      <c r="V630" s="428"/>
      <c r="W630" s="431"/>
      <c r="X630" s="3"/>
      <c r="Y630" s="429"/>
      <c r="Z630" s="430"/>
      <c r="AA630" s="430"/>
      <c r="AB630" s="430"/>
      <c r="AC630" s="424"/>
      <c r="AD630" s="424"/>
      <c r="AE630" s="424"/>
      <c r="AF630" s="424"/>
      <c r="AG630" s="424"/>
      <c r="AH630" s="424"/>
      <c r="AI630" s="424"/>
      <c r="AJ630" s="2"/>
      <c r="AK630" s="2"/>
      <c r="AL630" s="2"/>
      <c r="AM630" s="2"/>
      <c r="AN630" s="2"/>
      <c r="AO630" s="2"/>
      <c r="AP630" s="2"/>
      <c r="AQ630" s="427"/>
      <c r="AR630" s="754"/>
      <c r="AS630" s="427"/>
      <c r="AT630" s="754"/>
      <c r="AU630" s="427"/>
      <c r="AV630" s="427"/>
      <c r="AW630" s="427"/>
      <c r="AX630" s="427"/>
      <c r="AY630" s="754"/>
      <c r="AZ630" s="754"/>
      <c r="BA630" s="754"/>
      <c r="BB630" s="427"/>
      <c r="BC630" s="427"/>
      <c r="BD630" s="427"/>
      <c r="BE630" s="754"/>
      <c r="BF630" s="427"/>
      <c r="BG630" s="454"/>
      <c r="BH630" s="754"/>
      <c r="BI630" s="427"/>
      <c r="BJ630" s="427"/>
      <c r="BK630" s="427"/>
      <c r="BL630" s="427"/>
      <c r="BM630" s="454"/>
      <c r="BN630" s="427"/>
      <c r="BO630" s="427"/>
      <c r="BP630" s="427"/>
      <c r="BQ630" s="454"/>
      <c r="BR630" s="454"/>
      <c r="BS630" s="460"/>
      <c r="BT630" s="454"/>
      <c r="BU630" s="454"/>
      <c r="BV630" s="457"/>
      <c r="BW630" s="460"/>
      <c r="BX630" s="460"/>
      <c r="BY630" s="460"/>
      <c r="CA630" s="2"/>
      <c r="CB630" s="2"/>
      <c r="CC630" s="2"/>
      <c r="CD630" s="2"/>
      <c r="CE630" s="2"/>
      <c r="CF630" s="2"/>
      <c r="CG630" s="2"/>
      <c r="CH630" s="2"/>
      <c r="CI630" s="2"/>
      <c r="CJ630" s="2"/>
      <c r="CK630" s="2"/>
      <c r="CL630" s="2"/>
      <c r="CM630" s="2"/>
      <c r="CN630" s="2"/>
      <c r="CO630" s="427"/>
      <c r="CP630" s="427"/>
      <c r="CQ630" s="427"/>
      <c r="CR630" s="485"/>
      <c r="CS630" s="485"/>
      <c r="CT630" s="485"/>
      <c r="CU630" s="485"/>
      <c r="CV630" s="482"/>
      <c r="CW630" s="482"/>
      <c r="CX630" s="482"/>
      <c r="CY630" s="482"/>
      <c r="CZ630" s="485"/>
      <c r="DA630" s="485"/>
      <c r="DB630" s="485"/>
      <c r="DC630" s="485"/>
      <c r="DD630" s="485"/>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485"/>
      <c r="EX630" s="457"/>
      <c r="EY630" s="457"/>
      <c r="EZ630" s="457"/>
      <c r="FA630" s="457"/>
      <c r="FB630" s="457"/>
      <c r="FC630" s="457"/>
      <c r="FD630" s="457"/>
      <c r="FE630" s="457"/>
      <c r="FF630" s="457"/>
      <c r="FG630" s="457"/>
      <c r="FH630" s="457"/>
      <c r="FI630" s="457"/>
      <c r="FJ630" s="457"/>
      <c r="FK630" s="457"/>
    </row>
    <row r="631" spans="1:167" s="416" customFormat="1">
      <c r="A631" s="427"/>
      <c r="B631" s="427"/>
      <c r="C631" s="427"/>
      <c r="D631" s="427"/>
      <c r="E631" s="428"/>
      <c r="F631" s="429"/>
      <c r="G631" s="430"/>
      <c r="H631" s="427"/>
      <c r="I631" s="427"/>
      <c r="J631" s="427"/>
      <c r="K631" s="427"/>
      <c r="L631" s="427"/>
      <c r="M631" s="427"/>
      <c r="N631" s="427"/>
      <c r="O631" s="427"/>
      <c r="P631" s="427"/>
      <c r="Q631" s="427"/>
      <c r="R631" s="427"/>
      <c r="S631" s="427"/>
      <c r="T631" s="427"/>
      <c r="U631" s="427"/>
      <c r="V631" s="428"/>
      <c r="W631" s="431"/>
      <c r="X631" s="3"/>
      <c r="Y631" s="429"/>
      <c r="Z631" s="430"/>
      <c r="AA631" s="430"/>
      <c r="AB631" s="430"/>
      <c r="AC631" s="424"/>
      <c r="AD631" s="424"/>
      <c r="AE631" s="424"/>
      <c r="AF631" s="424"/>
      <c r="AG631" s="424"/>
      <c r="AH631" s="424"/>
      <c r="AI631" s="424"/>
      <c r="AJ631" s="2"/>
      <c r="AK631" s="2"/>
      <c r="AL631" s="2"/>
      <c r="AM631" s="2"/>
      <c r="AN631" s="2"/>
      <c r="AO631" s="2"/>
      <c r="AP631" s="2"/>
      <c r="AQ631" s="427"/>
      <c r="AR631" s="754"/>
      <c r="AS631" s="427"/>
      <c r="AT631" s="754"/>
      <c r="AU631" s="427"/>
      <c r="AV631" s="427"/>
      <c r="AW631" s="427"/>
      <c r="AX631" s="427"/>
      <c r="AY631" s="754"/>
      <c r="AZ631" s="754"/>
      <c r="BA631" s="754"/>
      <c r="BB631" s="427"/>
      <c r="BC631" s="427"/>
      <c r="BD631" s="427"/>
      <c r="BE631" s="754"/>
      <c r="BF631" s="427"/>
      <c r="BG631" s="454"/>
      <c r="BH631" s="754"/>
      <c r="BI631" s="427"/>
      <c r="BJ631" s="427"/>
      <c r="BK631" s="427"/>
      <c r="BL631" s="427"/>
      <c r="BM631" s="454"/>
      <c r="BN631" s="427"/>
      <c r="BO631" s="427"/>
      <c r="BP631" s="427"/>
      <c r="BQ631" s="454"/>
      <c r="BR631" s="454"/>
      <c r="BS631" s="460"/>
      <c r="BT631" s="454"/>
      <c r="BU631" s="454"/>
      <c r="BV631" s="457"/>
      <c r="BW631" s="460"/>
      <c r="BX631" s="460"/>
      <c r="BY631" s="460"/>
      <c r="CA631" s="2"/>
      <c r="CB631" s="2"/>
      <c r="CC631" s="2"/>
      <c r="CD631" s="2"/>
      <c r="CE631" s="2"/>
      <c r="CF631" s="2"/>
      <c r="CG631" s="2"/>
      <c r="CH631" s="2"/>
      <c r="CI631" s="2"/>
      <c r="CJ631" s="2"/>
      <c r="CK631" s="2"/>
      <c r="CL631" s="2"/>
      <c r="CM631" s="2"/>
      <c r="CN631" s="2"/>
      <c r="CO631" s="427"/>
      <c r="CP631" s="427"/>
      <c r="CQ631" s="427"/>
      <c r="CR631" s="485"/>
      <c r="CS631" s="485"/>
      <c r="CT631" s="485"/>
      <c r="CU631" s="485"/>
      <c r="CV631" s="482"/>
      <c r="CW631" s="482"/>
      <c r="CX631" s="482"/>
      <c r="CY631" s="482"/>
      <c r="CZ631" s="485"/>
      <c r="DA631" s="485"/>
      <c r="DB631" s="485"/>
      <c r="DC631" s="485"/>
      <c r="DD631" s="485"/>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485"/>
      <c r="EX631" s="457"/>
      <c r="EY631" s="457"/>
      <c r="EZ631" s="457"/>
      <c r="FA631" s="457"/>
      <c r="FB631" s="457"/>
      <c r="FC631" s="457"/>
      <c r="FD631" s="457"/>
      <c r="FE631" s="457"/>
      <c r="FF631" s="457"/>
      <c r="FG631" s="457"/>
      <c r="FH631" s="457"/>
      <c r="FI631" s="457"/>
      <c r="FJ631" s="457"/>
      <c r="FK631" s="457"/>
    </row>
    <row r="632" spans="1:167" s="416" customFormat="1">
      <c r="A632" s="427"/>
      <c r="B632" s="427"/>
      <c r="C632" s="427"/>
      <c r="D632" s="427"/>
      <c r="E632" s="428"/>
      <c r="F632" s="429"/>
      <c r="G632" s="430"/>
      <c r="H632" s="427"/>
      <c r="I632" s="427"/>
      <c r="J632" s="427"/>
      <c r="K632" s="427"/>
      <c r="L632" s="427"/>
      <c r="M632" s="427"/>
      <c r="N632" s="427"/>
      <c r="O632" s="427"/>
      <c r="P632" s="427"/>
      <c r="Q632" s="427"/>
      <c r="R632" s="427"/>
      <c r="S632" s="427"/>
      <c r="T632" s="427"/>
      <c r="U632" s="427"/>
      <c r="V632" s="428"/>
      <c r="W632" s="431"/>
      <c r="X632" s="3"/>
      <c r="Y632" s="429"/>
      <c r="Z632" s="430"/>
      <c r="AA632" s="430"/>
      <c r="AB632" s="430"/>
      <c r="AC632" s="424"/>
      <c r="AD632" s="424"/>
      <c r="AE632" s="424"/>
      <c r="AF632" s="424"/>
      <c r="AG632" s="424"/>
      <c r="AH632" s="424"/>
      <c r="AI632" s="424"/>
      <c r="AJ632" s="2"/>
      <c r="AK632" s="2"/>
      <c r="AL632" s="2"/>
      <c r="AM632" s="2"/>
      <c r="AN632" s="2"/>
      <c r="AO632" s="2"/>
      <c r="AP632" s="2"/>
      <c r="AQ632" s="427"/>
      <c r="AR632" s="754"/>
      <c r="AS632" s="427"/>
      <c r="AT632" s="754"/>
      <c r="AU632" s="427"/>
      <c r="AV632" s="427"/>
      <c r="AW632" s="427"/>
      <c r="AX632" s="427"/>
      <c r="AY632" s="754"/>
      <c r="AZ632" s="754"/>
      <c r="BA632" s="754"/>
      <c r="BB632" s="427"/>
      <c r="BC632" s="427"/>
      <c r="BD632" s="427"/>
      <c r="BE632" s="754"/>
      <c r="BF632" s="427"/>
      <c r="BG632" s="454"/>
      <c r="BH632" s="754"/>
      <c r="BI632" s="427"/>
      <c r="BJ632" s="427"/>
      <c r="BK632" s="427"/>
      <c r="BL632" s="427"/>
      <c r="BM632" s="454"/>
      <c r="BN632" s="427"/>
      <c r="BO632" s="427"/>
      <c r="BP632" s="427"/>
      <c r="BQ632" s="454"/>
      <c r="BR632" s="454"/>
      <c r="BS632" s="460"/>
      <c r="BT632" s="454"/>
      <c r="BU632" s="454"/>
      <c r="BV632" s="457"/>
      <c r="BW632" s="460"/>
      <c r="BX632" s="460"/>
      <c r="BY632" s="460"/>
      <c r="CA632" s="2"/>
      <c r="CB632" s="2"/>
      <c r="CC632" s="2"/>
      <c r="CD632" s="2"/>
      <c r="CE632" s="2"/>
      <c r="CF632" s="2"/>
      <c r="CG632" s="2"/>
      <c r="CH632" s="2"/>
      <c r="CI632" s="2"/>
      <c r="CJ632" s="2"/>
      <c r="CK632" s="2"/>
      <c r="CL632" s="2"/>
      <c r="CM632" s="2"/>
      <c r="CN632" s="2"/>
      <c r="CO632" s="427"/>
      <c r="CP632" s="427"/>
      <c r="CQ632" s="427"/>
      <c r="CR632" s="485"/>
      <c r="CS632" s="485"/>
      <c r="CT632" s="485"/>
      <c r="CU632" s="485"/>
      <c r="CV632" s="482"/>
      <c r="CW632" s="482"/>
      <c r="CX632" s="482"/>
      <c r="CY632" s="482"/>
      <c r="CZ632" s="485"/>
      <c r="DA632" s="485"/>
      <c r="DB632" s="485"/>
      <c r="DC632" s="485"/>
      <c r="DD632" s="485"/>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485"/>
      <c r="EX632" s="457"/>
      <c r="EY632" s="457"/>
      <c r="EZ632" s="457"/>
      <c r="FA632" s="457"/>
      <c r="FB632" s="457"/>
      <c r="FC632" s="457"/>
      <c r="FD632" s="457"/>
      <c r="FE632" s="457"/>
      <c r="FF632" s="457"/>
      <c r="FG632" s="457"/>
      <c r="FH632" s="457"/>
      <c r="FI632" s="457"/>
      <c r="FJ632" s="457"/>
      <c r="FK632" s="457"/>
    </row>
    <row r="633" spans="1:167" s="416" customFormat="1">
      <c r="A633" s="427"/>
      <c r="B633" s="427"/>
      <c r="C633" s="427"/>
      <c r="D633" s="427"/>
      <c r="E633" s="428"/>
      <c r="F633" s="429"/>
      <c r="G633" s="430"/>
      <c r="H633" s="427"/>
      <c r="I633" s="427"/>
      <c r="J633" s="427"/>
      <c r="K633" s="427"/>
      <c r="L633" s="427"/>
      <c r="M633" s="427"/>
      <c r="N633" s="427"/>
      <c r="O633" s="427"/>
      <c r="P633" s="427"/>
      <c r="Q633" s="427"/>
      <c r="R633" s="427"/>
      <c r="S633" s="427"/>
      <c r="T633" s="427"/>
      <c r="U633" s="427"/>
      <c r="V633" s="428"/>
      <c r="W633" s="431"/>
      <c r="X633" s="3"/>
      <c r="Y633" s="429"/>
      <c r="Z633" s="430"/>
      <c r="AA633" s="430"/>
      <c r="AB633" s="430"/>
      <c r="AC633" s="424"/>
      <c r="AD633" s="424"/>
      <c r="AE633" s="424"/>
      <c r="AF633" s="424"/>
      <c r="AG633" s="424"/>
      <c r="AH633" s="424"/>
      <c r="AI633" s="424"/>
      <c r="AJ633" s="2"/>
      <c r="AK633" s="2"/>
      <c r="AL633" s="2"/>
      <c r="AM633" s="2"/>
      <c r="AN633" s="2"/>
      <c r="AO633" s="2"/>
      <c r="AP633" s="2"/>
      <c r="AQ633" s="427"/>
      <c r="AR633" s="754"/>
      <c r="AS633" s="427"/>
      <c r="AT633" s="754"/>
      <c r="AU633" s="427"/>
      <c r="AV633" s="427"/>
      <c r="AW633" s="427"/>
      <c r="AX633" s="427"/>
      <c r="AY633" s="754"/>
      <c r="AZ633" s="754"/>
      <c r="BA633" s="754"/>
      <c r="BB633" s="427"/>
      <c r="BC633" s="427"/>
      <c r="BD633" s="427"/>
      <c r="BE633" s="754"/>
      <c r="BF633" s="427"/>
      <c r="BG633" s="454"/>
      <c r="BH633" s="754"/>
      <c r="BI633" s="427"/>
      <c r="BJ633" s="427"/>
      <c r="BK633" s="427"/>
      <c r="BL633" s="427"/>
      <c r="BM633" s="454"/>
      <c r="BN633" s="427"/>
      <c r="BO633" s="427"/>
      <c r="BP633" s="427"/>
      <c r="BQ633" s="454"/>
      <c r="BR633" s="454"/>
      <c r="BS633" s="460"/>
      <c r="BT633" s="454"/>
      <c r="BU633" s="454"/>
      <c r="BV633" s="457"/>
      <c r="BW633" s="460"/>
      <c r="BX633" s="460"/>
      <c r="BY633" s="460"/>
      <c r="CA633" s="2"/>
      <c r="CB633" s="2"/>
      <c r="CC633" s="2"/>
      <c r="CD633" s="2"/>
      <c r="CE633" s="2"/>
      <c r="CF633" s="2"/>
      <c r="CG633" s="2"/>
      <c r="CH633" s="2"/>
      <c r="CI633" s="2"/>
      <c r="CJ633" s="2"/>
      <c r="CK633" s="2"/>
      <c r="CL633" s="2"/>
      <c r="CM633" s="2"/>
      <c r="CN633" s="2"/>
      <c r="CO633" s="427"/>
      <c r="CP633" s="427"/>
      <c r="CQ633" s="427"/>
      <c r="CR633" s="485"/>
      <c r="CS633" s="485"/>
      <c r="CT633" s="485"/>
      <c r="CU633" s="485"/>
      <c r="CV633" s="482"/>
      <c r="CW633" s="482"/>
      <c r="CX633" s="482"/>
      <c r="CY633" s="482"/>
      <c r="CZ633" s="485"/>
      <c r="DA633" s="485"/>
      <c r="DB633" s="485"/>
      <c r="DC633" s="485"/>
      <c r="DD633" s="485"/>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485"/>
      <c r="EX633" s="457"/>
      <c r="EY633" s="457"/>
      <c r="EZ633" s="457"/>
      <c r="FA633" s="457"/>
      <c r="FB633" s="457"/>
      <c r="FC633" s="457"/>
      <c r="FD633" s="457"/>
      <c r="FE633" s="457"/>
      <c r="FF633" s="457"/>
      <c r="FG633" s="457"/>
      <c r="FH633" s="457"/>
      <c r="FI633" s="457"/>
      <c r="FJ633" s="457"/>
      <c r="FK633" s="457"/>
    </row>
    <row r="634" spans="1:167" s="416" customFormat="1">
      <c r="A634" s="427"/>
      <c r="B634" s="427"/>
      <c r="C634" s="427"/>
      <c r="D634" s="427"/>
      <c r="E634" s="428"/>
      <c r="F634" s="429"/>
      <c r="G634" s="430"/>
      <c r="H634" s="427"/>
      <c r="I634" s="427"/>
      <c r="J634" s="427"/>
      <c r="K634" s="427"/>
      <c r="L634" s="427"/>
      <c r="M634" s="427"/>
      <c r="N634" s="427"/>
      <c r="O634" s="427"/>
      <c r="P634" s="427"/>
      <c r="Q634" s="427"/>
      <c r="R634" s="427"/>
      <c r="S634" s="427"/>
      <c r="T634" s="427"/>
      <c r="U634" s="427"/>
      <c r="V634" s="428"/>
      <c r="W634" s="431"/>
      <c r="X634" s="3"/>
      <c r="Y634" s="429"/>
      <c r="Z634" s="430"/>
      <c r="AA634" s="430"/>
      <c r="AB634" s="430"/>
      <c r="AC634" s="424"/>
      <c r="AD634" s="424"/>
      <c r="AE634" s="424"/>
      <c r="AF634" s="424"/>
      <c r="AG634" s="424"/>
      <c r="AH634" s="424"/>
      <c r="AI634" s="424"/>
      <c r="AJ634" s="2"/>
      <c r="AK634" s="2"/>
      <c r="AL634" s="2"/>
      <c r="AM634" s="2"/>
      <c r="AN634" s="2"/>
      <c r="AO634" s="2"/>
      <c r="AP634" s="2"/>
      <c r="AQ634" s="427"/>
      <c r="AR634" s="754"/>
      <c r="AS634" s="427"/>
      <c r="AT634" s="754"/>
      <c r="AU634" s="427"/>
      <c r="AV634" s="427"/>
      <c r="AW634" s="427"/>
      <c r="AX634" s="427"/>
      <c r="AY634" s="754"/>
      <c r="AZ634" s="754"/>
      <c r="BA634" s="754"/>
      <c r="BB634" s="427"/>
      <c r="BC634" s="427"/>
      <c r="BD634" s="427"/>
      <c r="BE634" s="754"/>
      <c r="BF634" s="427"/>
      <c r="BG634" s="454"/>
      <c r="BH634" s="754"/>
      <c r="BI634" s="427"/>
      <c r="BJ634" s="427"/>
      <c r="BK634" s="427"/>
      <c r="BL634" s="427"/>
      <c r="BM634" s="454"/>
      <c r="BN634" s="427"/>
      <c r="BO634" s="427"/>
      <c r="BP634" s="427"/>
      <c r="BQ634" s="454"/>
      <c r="BR634" s="454"/>
      <c r="BS634" s="460"/>
      <c r="BT634" s="454"/>
      <c r="BU634" s="454"/>
      <c r="BV634" s="457"/>
      <c r="BW634" s="460"/>
      <c r="BX634" s="460"/>
      <c r="BY634" s="460"/>
      <c r="CA634" s="2"/>
      <c r="CB634" s="2"/>
      <c r="CC634" s="2"/>
      <c r="CD634" s="2"/>
      <c r="CE634" s="2"/>
      <c r="CF634" s="2"/>
      <c r="CG634" s="2"/>
      <c r="CH634" s="2"/>
      <c r="CI634" s="2"/>
      <c r="CJ634" s="2"/>
      <c r="CK634" s="2"/>
      <c r="CL634" s="2"/>
      <c r="CM634" s="2"/>
      <c r="CN634" s="2"/>
      <c r="CO634" s="427"/>
      <c r="CP634" s="427"/>
      <c r="CQ634" s="427"/>
      <c r="CR634" s="485"/>
      <c r="CS634" s="485"/>
      <c r="CT634" s="485"/>
      <c r="CU634" s="485"/>
      <c r="CV634" s="482"/>
      <c r="CW634" s="482"/>
      <c r="CX634" s="482"/>
      <c r="CY634" s="482"/>
      <c r="CZ634" s="485"/>
      <c r="DA634" s="485"/>
      <c r="DB634" s="485"/>
      <c r="DC634" s="485"/>
      <c r="DD634" s="485"/>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485"/>
      <c r="EX634" s="457"/>
      <c r="EY634" s="457"/>
      <c r="EZ634" s="457"/>
      <c r="FA634" s="457"/>
      <c r="FB634" s="457"/>
      <c r="FC634" s="457"/>
      <c r="FD634" s="457"/>
      <c r="FE634" s="457"/>
      <c r="FF634" s="457"/>
      <c r="FG634" s="457"/>
      <c r="FH634" s="457"/>
      <c r="FI634" s="457"/>
      <c r="FJ634" s="457"/>
      <c r="FK634" s="457"/>
    </row>
    <row r="635" spans="1:167" s="416" customFormat="1">
      <c r="A635" s="427"/>
      <c r="B635" s="427"/>
      <c r="C635" s="427"/>
      <c r="D635" s="427"/>
      <c r="E635" s="428"/>
      <c r="F635" s="429"/>
      <c r="G635" s="430"/>
      <c r="H635" s="427"/>
      <c r="I635" s="427"/>
      <c r="J635" s="427"/>
      <c r="K635" s="427"/>
      <c r="L635" s="427"/>
      <c r="M635" s="427"/>
      <c r="N635" s="427"/>
      <c r="O635" s="427"/>
      <c r="P635" s="427"/>
      <c r="Q635" s="427"/>
      <c r="R635" s="427"/>
      <c r="S635" s="427"/>
      <c r="T635" s="427"/>
      <c r="U635" s="427"/>
      <c r="V635" s="428"/>
      <c r="W635" s="431"/>
      <c r="X635" s="3"/>
      <c r="Y635" s="429"/>
      <c r="Z635" s="430"/>
      <c r="AA635" s="430"/>
      <c r="AB635" s="430"/>
      <c r="AC635" s="424"/>
      <c r="AD635" s="424"/>
      <c r="AE635" s="424"/>
      <c r="AF635" s="424"/>
      <c r="AG635" s="424"/>
      <c r="AH635" s="424"/>
      <c r="AI635" s="424"/>
      <c r="AJ635" s="2"/>
      <c r="AK635" s="2"/>
      <c r="AL635" s="2"/>
      <c r="AM635" s="2"/>
      <c r="AN635" s="2"/>
      <c r="AO635" s="2"/>
      <c r="AP635" s="2"/>
      <c r="AQ635" s="427"/>
      <c r="AR635" s="754"/>
      <c r="AS635" s="427"/>
      <c r="AT635" s="754"/>
      <c r="AU635" s="427"/>
      <c r="AV635" s="427"/>
      <c r="AW635" s="427"/>
      <c r="AX635" s="427"/>
      <c r="AY635" s="754"/>
      <c r="AZ635" s="754"/>
      <c r="BA635" s="754"/>
      <c r="BB635" s="427"/>
      <c r="BC635" s="427"/>
      <c r="BD635" s="427"/>
      <c r="BE635" s="754"/>
      <c r="BF635" s="427"/>
      <c r="BG635" s="454"/>
      <c r="BH635" s="754"/>
      <c r="BI635" s="427"/>
      <c r="BJ635" s="427"/>
      <c r="BK635" s="427"/>
      <c r="BL635" s="427"/>
      <c r="BM635" s="454"/>
      <c r="BN635" s="427"/>
      <c r="BO635" s="427"/>
      <c r="BP635" s="427"/>
      <c r="BQ635" s="454"/>
      <c r="BR635" s="454"/>
      <c r="BS635" s="460"/>
      <c r="BT635" s="454"/>
      <c r="BU635" s="454"/>
      <c r="BV635" s="457"/>
      <c r="BW635" s="460"/>
      <c r="BX635" s="460"/>
      <c r="BY635" s="460"/>
      <c r="CA635" s="2"/>
      <c r="CB635" s="2"/>
      <c r="CC635" s="2"/>
      <c r="CD635" s="2"/>
      <c r="CE635" s="2"/>
      <c r="CF635" s="2"/>
      <c r="CG635" s="2"/>
      <c r="CH635" s="2"/>
      <c r="CI635" s="2"/>
      <c r="CJ635" s="2"/>
      <c r="CK635" s="2"/>
      <c r="CL635" s="2"/>
      <c r="CM635" s="2"/>
      <c r="CN635" s="2"/>
      <c r="CO635" s="427"/>
      <c r="CP635" s="427"/>
      <c r="CQ635" s="427"/>
      <c r="CR635" s="485"/>
      <c r="CS635" s="485"/>
      <c r="CT635" s="485"/>
      <c r="CU635" s="485"/>
      <c r="CV635" s="482"/>
      <c r="CW635" s="482"/>
      <c r="CX635" s="482"/>
      <c r="CY635" s="482"/>
      <c r="CZ635" s="485"/>
      <c r="DA635" s="485"/>
      <c r="DB635" s="485"/>
      <c r="DC635" s="485"/>
      <c r="DD635" s="485"/>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485"/>
      <c r="EX635" s="457"/>
      <c r="EY635" s="457"/>
      <c r="EZ635" s="457"/>
      <c r="FA635" s="457"/>
      <c r="FB635" s="457"/>
      <c r="FC635" s="457"/>
      <c r="FD635" s="457"/>
      <c r="FE635" s="457"/>
      <c r="FF635" s="457"/>
      <c r="FG635" s="457"/>
      <c r="FH635" s="457"/>
      <c r="FI635" s="457"/>
      <c r="FJ635" s="457"/>
      <c r="FK635" s="457"/>
    </row>
    <row r="636" spans="1:167" s="416" customFormat="1">
      <c r="A636" s="427"/>
      <c r="B636" s="427"/>
      <c r="C636" s="427"/>
      <c r="D636" s="427"/>
      <c r="E636" s="428"/>
      <c r="F636" s="429"/>
      <c r="G636" s="430"/>
      <c r="H636" s="427"/>
      <c r="I636" s="427"/>
      <c r="J636" s="427"/>
      <c r="K636" s="427"/>
      <c r="L636" s="427"/>
      <c r="M636" s="427"/>
      <c r="N636" s="427"/>
      <c r="O636" s="427"/>
      <c r="P636" s="427"/>
      <c r="Q636" s="427"/>
      <c r="R636" s="427"/>
      <c r="S636" s="427"/>
      <c r="T636" s="427"/>
      <c r="U636" s="427"/>
      <c r="V636" s="428"/>
      <c r="W636" s="431"/>
      <c r="X636" s="3"/>
      <c r="Y636" s="429"/>
      <c r="Z636" s="430"/>
      <c r="AA636" s="430"/>
      <c r="AB636" s="430"/>
      <c r="AC636" s="424"/>
      <c r="AD636" s="424"/>
      <c r="AE636" s="424"/>
      <c r="AF636" s="424"/>
      <c r="AG636" s="424"/>
      <c r="AH636" s="424"/>
      <c r="AI636" s="424"/>
      <c r="AJ636" s="2"/>
      <c r="AK636" s="2"/>
      <c r="AL636" s="2"/>
      <c r="AM636" s="2"/>
      <c r="AN636" s="2"/>
      <c r="AO636" s="2"/>
      <c r="AP636" s="2"/>
      <c r="AQ636" s="427"/>
      <c r="AR636" s="754"/>
      <c r="AS636" s="427"/>
      <c r="AT636" s="754"/>
      <c r="AU636" s="427"/>
      <c r="AV636" s="427"/>
      <c r="AW636" s="427"/>
      <c r="AX636" s="427"/>
      <c r="AY636" s="754"/>
      <c r="AZ636" s="754"/>
      <c r="BA636" s="754"/>
      <c r="BB636" s="427"/>
      <c r="BC636" s="427"/>
      <c r="BD636" s="427"/>
      <c r="BE636" s="754"/>
      <c r="BF636" s="427"/>
      <c r="BG636" s="454"/>
      <c r="BH636" s="754"/>
      <c r="BI636" s="427"/>
      <c r="BJ636" s="427"/>
      <c r="BK636" s="427"/>
      <c r="BL636" s="427"/>
      <c r="BM636" s="454"/>
      <c r="BN636" s="427"/>
      <c r="BO636" s="427"/>
      <c r="BP636" s="427"/>
      <c r="BQ636" s="454"/>
      <c r="BR636" s="454"/>
      <c r="BS636" s="460"/>
      <c r="BT636" s="454"/>
      <c r="BU636" s="454"/>
      <c r="BV636" s="457"/>
      <c r="BW636" s="460"/>
      <c r="BX636" s="460"/>
      <c r="BY636" s="460"/>
      <c r="CA636" s="2"/>
      <c r="CB636" s="2"/>
      <c r="CC636" s="2"/>
      <c r="CD636" s="2"/>
      <c r="CE636" s="2"/>
      <c r="CF636" s="2"/>
      <c r="CG636" s="2"/>
      <c r="CH636" s="2"/>
      <c r="CI636" s="2"/>
      <c r="CJ636" s="2"/>
      <c r="CK636" s="2"/>
      <c r="CL636" s="2"/>
      <c r="CM636" s="2"/>
      <c r="CN636" s="2"/>
      <c r="CO636" s="427"/>
      <c r="CP636" s="427"/>
      <c r="CQ636" s="427"/>
      <c r="CR636" s="485"/>
      <c r="CS636" s="485"/>
      <c r="CT636" s="485"/>
      <c r="CU636" s="485"/>
      <c r="CV636" s="482"/>
      <c r="CW636" s="482"/>
      <c r="CX636" s="482"/>
      <c r="CY636" s="482"/>
      <c r="CZ636" s="485"/>
      <c r="DA636" s="485"/>
      <c r="DB636" s="485"/>
      <c r="DC636" s="485"/>
      <c r="DD636" s="485"/>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485"/>
      <c r="EX636" s="457"/>
      <c r="EY636" s="457"/>
      <c r="EZ636" s="457"/>
      <c r="FA636" s="457"/>
      <c r="FB636" s="457"/>
      <c r="FC636" s="457"/>
      <c r="FD636" s="457"/>
      <c r="FE636" s="457"/>
      <c r="FF636" s="457"/>
      <c r="FG636" s="457"/>
      <c r="FH636" s="457"/>
      <c r="FI636" s="457"/>
      <c r="FJ636" s="457"/>
      <c r="FK636" s="457"/>
    </row>
    <row r="637" spans="1:167" s="416" customFormat="1">
      <c r="A637" s="427"/>
      <c r="B637" s="427"/>
      <c r="C637" s="427"/>
      <c r="D637" s="427"/>
      <c r="E637" s="428"/>
      <c r="F637" s="429"/>
      <c r="G637" s="430"/>
      <c r="H637" s="427"/>
      <c r="I637" s="427"/>
      <c r="J637" s="427"/>
      <c r="K637" s="427"/>
      <c r="L637" s="427"/>
      <c r="M637" s="427"/>
      <c r="N637" s="427"/>
      <c r="O637" s="427"/>
      <c r="P637" s="427"/>
      <c r="Q637" s="427"/>
      <c r="R637" s="427"/>
      <c r="S637" s="427"/>
      <c r="T637" s="427"/>
      <c r="U637" s="427"/>
      <c r="V637" s="428"/>
      <c r="W637" s="431"/>
      <c r="X637" s="3"/>
      <c r="Y637" s="429"/>
      <c r="Z637" s="430"/>
      <c r="AA637" s="430"/>
      <c r="AB637" s="430"/>
      <c r="AC637" s="424"/>
      <c r="AD637" s="424"/>
      <c r="AE637" s="424"/>
      <c r="AF637" s="424"/>
      <c r="AG637" s="424"/>
      <c r="AH637" s="424"/>
      <c r="AI637" s="424"/>
      <c r="AJ637" s="2"/>
      <c r="AK637" s="2"/>
      <c r="AL637" s="2"/>
      <c r="AM637" s="2"/>
      <c r="AN637" s="2"/>
      <c r="AO637" s="2"/>
      <c r="AP637" s="2"/>
      <c r="AQ637" s="427"/>
      <c r="AR637" s="754"/>
      <c r="AS637" s="427"/>
      <c r="AT637" s="754"/>
      <c r="AU637" s="427"/>
      <c r="AV637" s="427"/>
      <c r="AW637" s="427"/>
      <c r="AX637" s="427"/>
      <c r="AY637" s="754"/>
      <c r="AZ637" s="754"/>
      <c r="BA637" s="754"/>
      <c r="BB637" s="427"/>
      <c r="BC637" s="427"/>
      <c r="BD637" s="427"/>
      <c r="BE637" s="754"/>
      <c r="BF637" s="427"/>
      <c r="BG637" s="454"/>
      <c r="BH637" s="754"/>
      <c r="BI637" s="427"/>
      <c r="BJ637" s="427"/>
      <c r="BK637" s="427"/>
      <c r="BL637" s="427"/>
      <c r="BM637" s="454"/>
      <c r="BN637" s="427"/>
      <c r="BO637" s="427"/>
      <c r="BP637" s="427"/>
      <c r="BQ637" s="454"/>
      <c r="BR637" s="454"/>
      <c r="BS637" s="460"/>
      <c r="BT637" s="454"/>
      <c r="BU637" s="454"/>
      <c r="BV637" s="457"/>
      <c r="BW637" s="460"/>
      <c r="BX637" s="460"/>
      <c r="BY637" s="460"/>
      <c r="CA637" s="2"/>
      <c r="CB637" s="2"/>
      <c r="CC637" s="2"/>
      <c r="CD637" s="2"/>
      <c r="CE637" s="2"/>
      <c r="CF637" s="2"/>
      <c r="CG637" s="2"/>
      <c r="CH637" s="2"/>
      <c r="CI637" s="2"/>
      <c r="CJ637" s="2"/>
      <c r="CK637" s="2"/>
      <c r="CL637" s="2"/>
      <c r="CM637" s="2"/>
      <c r="CN637" s="2"/>
      <c r="CO637" s="427"/>
      <c r="CP637" s="427"/>
      <c r="CQ637" s="427"/>
      <c r="CR637" s="485"/>
      <c r="CS637" s="485"/>
      <c r="CT637" s="485"/>
      <c r="CU637" s="485"/>
      <c r="CV637" s="482"/>
      <c r="CW637" s="482"/>
      <c r="CX637" s="482"/>
      <c r="CY637" s="482"/>
      <c r="CZ637" s="485"/>
      <c r="DA637" s="485"/>
      <c r="DB637" s="485"/>
      <c r="DC637" s="485"/>
      <c r="DD637" s="485"/>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485"/>
      <c r="EX637" s="457"/>
      <c r="EY637" s="457"/>
      <c r="EZ637" s="457"/>
      <c r="FA637" s="457"/>
      <c r="FB637" s="457"/>
      <c r="FC637" s="457"/>
      <c r="FD637" s="457"/>
      <c r="FE637" s="457"/>
      <c r="FF637" s="457"/>
      <c r="FG637" s="457"/>
      <c r="FH637" s="457"/>
      <c r="FI637" s="457"/>
      <c r="FJ637" s="457"/>
      <c r="FK637" s="457"/>
    </row>
    <row r="638" spans="1:167" s="416" customFormat="1">
      <c r="A638" s="427"/>
      <c r="B638" s="427"/>
      <c r="C638" s="427"/>
      <c r="D638" s="427"/>
      <c r="E638" s="428"/>
      <c r="F638" s="429"/>
      <c r="G638" s="430"/>
      <c r="H638" s="427"/>
      <c r="I638" s="427"/>
      <c r="J638" s="427"/>
      <c r="K638" s="427"/>
      <c r="L638" s="427"/>
      <c r="M638" s="427"/>
      <c r="N638" s="427"/>
      <c r="O638" s="427"/>
      <c r="P638" s="427"/>
      <c r="Q638" s="427"/>
      <c r="R638" s="427"/>
      <c r="S638" s="427"/>
      <c r="T638" s="427"/>
      <c r="U638" s="427"/>
      <c r="V638" s="428"/>
      <c r="W638" s="431"/>
      <c r="X638" s="3"/>
      <c r="Y638" s="429"/>
      <c r="Z638" s="430"/>
      <c r="AA638" s="430"/>
      <c r="AB638" s="430"/>
      <c r="AC638" s="424"/>
      <c r="AD638" s="424"/>
      <c r="AE638" s="424"/>
      <c r="AF638" s="424"/>
      <c r="AG638" s="424"/>
      <c r="AH638" s="424"/>
      <c r="AI638" s="424"/>
      <c r="AJ638" s="2"/>
      <c r="AK638" s="2"/>
      <c r="AL638" s="2"/>
      <c r="AM638" s="2"/>
      <c r="AN638" s="2"/>
      <c r="AO638" s="2"/>
      <c r="AP638" s="2"/>
      <c r="AQ638" s="427"/>
      <c r="AR638" s="754"/>
      <c r="AS638" s="427"/>
      <c r="AT638" s="754"/>
      <c r="AU638" s="427"/>
      <c r="AV638" s="427"/>
      <c r="AW638" s="427"/>
      <c r="AX638" s="427"/>
      <c r="AY638" s="754"/>
      <c r="AZ638" s="754"/>
      <c r="BA638" s="754"/>
      <c r="BB638" s="427"/>
      <c r="BC638" s="427"/>
      <c r="BD638" s="427"/>
      <c r="BE638" s="754"/>
      <c r="BF638" s="427"/>
      <c r="BG638" s="454"/>
      <c r="BH638" s="754"/>
      <c r="BI638" s="427"/>
      <c r="BJ638" s="427"/>
      <c r="BK638" s="427"/>
      <c r="BL638" s="427"/>
      <c r="BM638" s="454"/>
      <c r="BN638" s="427"/>
      <c r="BO638" s="427"/>
      <c r="BP638" s="427"/>
      <c r="BQ638" s="454"/>
      <c r="BR638" s="454"/>
      <c r="BS638" s="460"/>
      <c r="BT638" s="454"/>
      <c r="BU638" s="454"/>
      <c r="BV638" s="457"/>
      <c r="BW638" s="460"/>
      <c r="BX638" s="460"/>
      <c r="BY638" s="460"/>
      <c r="CA638" s="2"/>
      <c r="CB638" s="2"/>
      <c r="CC638" s="2"/>
      <c r="CD638" s="2"/>
      <c r="CE638" s="2"/>
      <c r="CF638" s="2"/>
      <c r="CG638" s="2"/>
      <c r="CH638" s="2"/>
      <c r="CI638" s="2"/>
      <c r="CJ638" s="2"/>
      <c r="CK638" s="2"/>
      <c r="CL638" s="2"/>
      <c r="CM638" s="2"/>
      <c r="CN638" s="2"/>
      <c r="CO638" s="427"/>
      <c r="CP638" s="427"/>
      <c r="CQ638" s="427"/>
      <c r="CR638" s="485"/>
      <c r="CS638" s="485"/>
      <c r="CT638" s="485"/>
      <c r="CU638" s="485"/>
      <c r="CV638" s="482"/>
      <c r="CW638" s="482"/>
      <c r="CX638" s="482"/>
      <c r="CY638" s="482"/>
      <c r="CZ638" s="485"/>
      <c r="DA638" s="485"/>
      <c r="DB638" s="485"/>
      <c r="DC638" s="485"/>
      <c r="DD638" s="485"/>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485"/>
      <c r="EX638" s="457"/>
      <c r="EY638" s="457"/>
      <c r="EZ638" s="457"/>
      <c r="FA638" s="457"/>
      <c r="FB638" s="457"/>
      <c r="FC638" s="457"/>
      <c r="FD638" s="457"/>
      <c r="FE638" s="457"/>
      <c r="FF638" s="457"/>
      <c r="FG638" s="457"/>
      <c r="FH638" s="457"/>
      <c r="FI638" s="457"/>
      <c r="FJ638" s="457"/>
      <c r="FK638" s="457"/>
    </row>
    <row r="639" spans="1:167" s="416" customFormat="1">
      <c r="A639" s="427"/>
      <c r="B639" s="427"/>
      <c r="C639" s="427"/>
      <c r="D639" s="427"/>
      <c r="E639" s="428"/>
      <c r="F639" s="429"/>
      <c r="G639" s="430"/>
      <c r="H639" s="427"/>
      <c r="I639" s="427"/>
      <c r="J639" s="427"/>
      <c r="K639" s="427"/>
      <c r="L639" s="427"/>
      <c r="M639" s="427"/>
      <c r="N639" s="427"/>
      <c r="O639" s="427"/>
      <c r="P639" s="427"/>
      <c r="Q639" s="427"/>
      <c r="R639" s="427"/>
      <c r="S639" s="427"/>
      <c r="T639" s="427"/>
      <c r="U639" s="427"/>
      <c r="V639" s="428"/>
      <c r="W639" s="431"/>
      <c r="X639" s="3"/>
      <c r="Y639" s="429"/>
      <c r="Z639" s="430"/>
      <c r="AA639" s="430"/>
      <c r="AB639" s="430"/>
      <c r="AC639" s="424"/>
      <c r="AD639" s="424"/>
      <c r="AE639" s="424"/>
      <c r="AF639" s="424"/>
      <c r="AG639" s="424"/>
      <c r="AH639" s="424"/>
      <c r="AI639" s="424"/>
      <c r="AJ639" s="2"/>
      <c r="AK639" s="2"/>
      <c r="AL639" s="2"/>
      <c r="AM639" s="2"/>
      <c r="AN639" s="2"/>
      <c r="AO639" s="2"/>
      <c r="AP639" s="2"/>
      <c r="AQ639" s="427"/>
      <c r="AR639" s="754"/>
      <c r="AS639" s="427"/>
      <c r="AT639" s="754"/>
      <c r="AU639" s="427"/>
      <c r="AV639" s="427"/>
      <c r="AW639" s="427"/>
      <c r="AX639" s="427"/>
      <c r="AY639" s="754"/>
      <c r="AZ639" s="754"/>
      <c r="BA639" s="754"/>
      <c r="BB639" s="427"/>
      <c r="BC639" s="427"/>
      <c r="BD639" s="427"/>
      <c r="BE639" s="754"/>
      <c r="BF639" s="427"/>
      <c r="BG639" s="454"/>
      <c r="BH639" s="754"/>
      <c r="BI639" s="427"/>
      <c r="BJ639" s="427"/>
      <c r="BK639" s="427"/>
      <c r="BL639" s="427"/>
      <c r="BM639" s="454"/>
      <c r="BN639" s="427"/>
      <c r="BO639" s="427"/>
      <c r="BP639" s="427"/>
      <c r="BQ639" s="454"/>
      <c r="BR639" s="454"/>
      <c r="BS639" s="460"/>
      <c r="BT639" s="454"/>
      <c r="BU639" s="454"/>
      <c r="BV639" s="457"/>
      <c r="BW639" s="460"/>
      <c r="BX639" s="460"/>
      <c r="BY639" s="460"/>
      <c r="CA639" s="2"/>
      <c r="CB639" s="2"/>
      <c r="CC639" s="2"/>
      <c r="CD639" s="2"/>
      <c r="CE639" s="2"/>
      <c r="CF639" s="2"/>
      <c r="CG639" s="2"/>
      <c r="CH639" s="2"/>
      <c r="CI639" s="2"/>
      <c r="CJ639" s="2"/>
      <c r="CK639" s="2"/>
      <c r="CL639" s="2"/>
      <c r="CM639" s="2"/>
      <c r="CN639" s="2"/>
      <c r="CO639" s="427"/>
      <c r="CP639" s="427"/>
      <c r="CQ639" s="427"/>
      <c r="CR639" s="485"/>
      <c r="CS639" s="485"/>
      <c r="CT639" s="485"/>
      <c r="CU639" s="485"/>
      <c r="CV639" s="482"/>
      <c r="CW639" s="482"/>
      <c r="CX639" s="482"/>
      <c r="CY639" s="482"/>
      <c r="CZ639" s="485"/>
      <c r="DA639" s="485"/>
      <c r="DB639" s="485"/>
      <c r="DC639" s="485"/>
      <c r="DD639" s="485"/>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485"/>
      <c r="EX639" s="457"/>
      <c r="EY639" s="457"/>
      <c r="EZ639" s="457"/>
      <c r="FA639" s="457"/>
      <c r="FB639" s="457"/>
      <c r="FC639" s="457"/>
      <c r="FD639" s="457"/>
      <c r="FE639" s="457"/>
      <c r="FF639" s="457"/>
      <c r="FG639" s="457"/>
      <c r="FH639" s="457"/>
      <c r="FI639" s="457"/>
      <c r="FJ639" s="457"/>
      <c r="FK639" s="457"/>
    </row>
    <row r="640" spans="1:167" s="416" customFormat="1">
      <c r="A640" s="427"/>
      <c r="B640" s="427"/>
      <c r="C640" s="427"/>
      <c r="D640" s="427"/>
      <c r="E640" s="428"/>
      <c r="F640" s="429"/>
      <c r="G640" s="430"/>
      <c r="H640" s="427"/>
      <c r="I640" s="427"/>
      <c r="J640" s="427"/>
      <c r="K640" s="427"/>
      <c r="L640" s="427"/>
      <c r="M640" s="427"/>
      <c r="N640" s="427"/>
      <c r="O640" s="427"/>
      <c r="P640" s="427"/>
      <c r="Q640" s="427"/>
      <c r="R640" s="427"/>
      <c r="S640" s="427"/>
      <c r="T640" s="427"/>
      <c r="U640" s="427"/>
      <c r="V640" s="428"/>
      <c r="W640" s="431"/>
      <c r="X640" s="3"/>
      <c r="Y640" s="429"/>
      <c r="Z640" s="430"/>
      <c r="AA640" s="430"/>
      <c r="AB640" s="430"/>
      <c r="AC640" s="424"/>
      <c r="AD640" s="424"/>
      <c r="AE640" s="424"/>
      <c r="AF640" s="424"/>
      <c r="AG640" s="424"/>
      <c r="AH640" s="424"/>
      <c r="AI640" s="424"/>
      <c r="AJ640" s="2"/>
      <c r="AK640" s="2"/>
      <c r="AL640" s="2"/>
      <c r="AM640" s="2"/>
      <c r="AN640" s="2"/>
      <c r="AO640" s="2"/>
      <c r="AP640" s="2"/>
      <c r="AQ640" s="427"/>
      <c r="AR640" s="754"/>
      <c r="AS640" s="427"/>
      <c r="AT640" s="754"/>
      <c r="AU640" s="427"/>
      <c r="AV640" s="427"/>
      <c r="AW640" s="427"/>
      <c r="AX640" s="427"/>
      <c r="AY640" s="754"/>
      <c r="AZ640" s="754"/>
      <c r="BA640" s="754"/>
      <c r="BB640" s="427"/>
      <c r="BC640" s="427"/>
      <c r="BD640" s="427"/>
      <c r="BE640" s="754"/>
      <c r="BF640" s="427"/>
      <c r="BG640" s="454"/>
      <c r="BH640" s="754"/>
      <c r="BI640" s="427"/>
      <c r="BJ640" s="427"/>
      <c r="BK640" s="427"/>
      <c r="BL640" s="427"/>
      <c r="BM640" s="454"/>
      <c r="BN640" s="427"/>
      <c r="BO640" s="427"/>
      <c r="BP640" s="427"/>
      <c r="BQ640" s="454"/>
      <c r="BR640" s="454"/>
      <c r="BS640" s="460"/>
      <c r="BT640" s="454"/>
      <c r="BU640" s="454"/>
      <c r="BV640" s="457"/>
      <c r="BW640" s="460"/>
      <c r="BX640" s="460"/>
      <c r="BY640" s="460"/>
      <c r="CA640" s="2"/>
      <c r="CB640" s="2"/>
      <c r="CC640" s="2"/>
      <c r="CD640" s="2"/>
      <c r="CE640" s="2"/>
      <c r="CF640" s="2"/>
      <c r="CG640" s="2"/>
      <c r="CH640" s="2"/>
      <c r="CI640" s="2"/>
      <c r="CJ640" s="2"/>
      <c r="CK640" s="2"/>
      <c r="CL640" s="2"/>
      <c r="CM640" s="2"/>
      <c r="CN640" s="2"/>
      <c r="CO640" s="427"/>
      <c r="CP640" s="427"/>
      <c r="CQ640" s="427"/>
      <c r="CR640" s="485"/>
      <c r="CS640" s="485"/>
      <c r="CT640" s="485"/>
      <c r="CU640" s="485"/>
      <c r="CV640" s="482"/>
      <c r="CW640" s="482"/>
      <c r="CX640" s="482"/>
      <c r="CY640" s="482"/>
      <c r="CZ640" s="485"/>
      <c r="DA640" s="485"/>
      <c r="DB640" s="485"/>
      <c r="DC640" s="485"/>
      <c r="DD640" s="485"/>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485"/>
      <c r="EX640" s="457"/>
      <c r="EY640" s="457"/>
      <c r="EZ640" s="457"/>
      <c r="FA640" s="457"/>
      <c r="FB640" s="457"/>
      <c r="FC640" s="457"/>
      <c r="FD640" s="457"/>
      <c r="FE640" s="457"/>
      <c r="FF640" s="457"/>
      <c r="FG640" s="457"/>
      <c r="FH640" s="457"/>
      <c r="FI640" s="457"/>
      <c r="FJ640" s="457"/>
      <c r="FK640" s="457"/>
    </row>
    <row r="641" spans="1:167" s="416" customFormat="1">
      <c r="A641" s="427"/>
      <c r="B641" s="427"/>
      <c r="C641" s="427"/>
      <c r="D641" s="427"/>
      <c r="E641" s="428"/>
      <c r="F641" s="429"/>
      <c r="G641" s="430"/>
      <c r="H641" s="427"/>
      <c r="I641" s="427"/>
      <c r="J641" s="427"/>
      <c r="K641" s="427"/>
      <c r="L641" s="427"/>
      <c r="M641" s="427"/>
      <c r="N641" s="427"/>
      <c r="O641" s="427"/>
      <c r="P641" s="427"/>
      <c r="Q641" s="427"/>
      <c r="R641" s="427"/>
      <c r="S641" s="427"/>
      <c r="T641" s="427"/>
      <c r="U641" s="427"/>
      <c r="V641" s="428"/>
      <c r="W641" s="431"/>
      <c r="X641" s="3"/>
      <c r="Y641" s="429"/>
      <c r="Z641" s="430"/>
      <c r="AA641" s="430"/>
      <c r="AB641" s="430"/>
      <c r="AC641" s="424"/>
      <c r="AD641" s="424"/>
      <c r="AE641" s="424"/>
      <c r="AF641" s="424"/>
      <c r="AG641" s="424"/>
      <c r="AH641" s="424"/>
      <c r="AI641" s="424"/>
      <c r="AJ641" s="2"/>
      <c r="AK641" s="2"/>
      <c r="AL641" s="2"/>
      <c r="AM641" s="2"/>
      <c r="AN641" s="2"/>
      <c r="AO641" s="2"/>
      <c r="AP641" s="2"/>
      <c r="AQ641" s="427"/>
      <c r="AR641" s="754"/>
      <c r="AS641" s="427"/>
      <c r="AT641" s="754"/>
      <c r="AU641" s="427"/>
      <c r="AV641" s="427"/>
      <c r="AW641" s="427"/>
      <c r="AX641" s="427"/>
      <c r="AY641" s="754"/>
      <c r="AZ641" s="754"/>
      <c r="BA641" s="754"/>
      <c r="BB641" s="427"/>
      <c r="BC641" s="427"/>
      <c r="BD641" s="427"/>
      <c r="BE641" s="754"/>
      <c r="BF641" s="427"/>
      <c r="BG641" s="454"/>
      <c r="BH641" s="754"/>
      <c r="BI641" s="427"/>
      <c r="BJ641" s="427"/>
      <c r="BK641" s="427"/>
      <c r="BL641" s="427"/>
      <c r="BM641" s="454"/>
      <c r="BN641" s="427"/>
      <c r="BO641" s="427"/>
      <c r="BP641" s="427"/>
      <c r="BQ641" s="454"/>
      <c r="BR641" s="454"/>
      <c r="BS641" s="460"/>
      <c r="BT641" s="454"/>
      <c r="BU641" s="454"/>
      <c r="BV641" s="457"/>
      <c r="BW641" s="460"/>
      <c r="BX641" s="460"/>
      <c r="BY641" s="460"/>
      <c r="CA641" s="2"/>
      <c r="CB641" s="2"/>
      <c r="CC641" s="2"/>
      <c r="CD641" s="2"/>
      <c r="CE641" s="2"/>
      <c r="CF641" s="2"/>
      <c r="CG641" s="2"/>
      <c r="CH641" s="2"/>
      <c r="CI641" s="2"/>
      <c r="CJ641" s="2"/>
      <c r="CK641" s="2"/>
      <c r="CL641" s="2"/>
      <c r="CM641" s="2"/>
      <c r="CN641" s="2"/>
      <c r="CO641" s="427"/>
      <c r="CP641" s="427"/>
      <c r="CQ641" s="427"/>
      <c r="CR641" s="485"/>
      <c r="CS641" s="485"/>
      <c r="CT641" s="485"/>
      <c r="CU641" s="485"/>
      <c r="CV641" s="482"/>
      <c r="CW641" s="482"/>
      <c r="CX641" s="482"/>
      <c r="CY641" s="482"/>
      <c r="CZ641" s="485"/>
      <c r="DA641" s="485"/>
      <c r="DB641" s="485"/>
      <c r="DC641" s="485"/>
      <c r="DD641" s="485"/>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485"/>
      <c r="EX641" s="457"/>
      <c r="EY641" s="457"/>
      <c r="EZ641" s="457"/>
      <c r="FA641" s="457"/>
      <c r="FB641" s="457"/>
      <c r="FC641" s="457"/>
      <c r="FD641" s="457"/>
      <c r="FE641" s="457"/>
      <c r="FF641" s="457"/>
      <c r="FG641" s="457"/>
      <c r="FH641" s="457"/>
      <c r="FI641" s="457"/>
      <c r="FJ641" s="457"/>
      <c r="FK641" s="457"/>
    </row>
    <row r="642" spans="1:167" s="416" customFormat="1">
      <c r="A642" s="427"/>
      <c r="B642" s="427"/>
      <c r="C642" s="427"/>
      <c r="D642" s="427"/>
      <c r="E642" s="428"/>
      <c r="F642" s="429"/>
      <c r="G642" s="430"/>
      <c r="H642" s="427"/>
      <c r="I642" s="427"/>
      <c r="J642" s="427"/>
      <c r="K642" s="427"/>
      <c r="L642" s="427"/>
      <c r="M642" s="427"/>
      <c r="N642" s="427"/>
      <c r="O642" s="427"/>
      <c r="P642" s="427"/>
      <c r="Q642" s="427"/>
      <c r="R642" s="427"/>
      <c r="S642" s="427"/>
      <c r="T642" s="427"/>
      <c r="U642" s="427"/>
      <c r="V642" s="428"/>
      <c r="W642" s="431"/>
      <c r="X642" s="3"/>
      <c r="Y642" s="429"/>
      <c r="Z642" s="430"/>
      <c r="AA642" s="430"/>
      <c r="AB642" s="430"/>
      <c r="AC642" s="424"/>
      <c r="AD642" s="424"/>
      <c r="AE642" s="424"/>
      <c r="AF642" s="424"/>
      <c r="AG642" s="424"/>
      <c r="AH642" s="424"/>
      <c r="AI642" s="424"/>
      <c r="AJ642" s="2"/>
      <c r="AK642" s="2"/>
      <c r="AL642" s="2"/>
      <c r="AM642" s="2"/>
      <c r="AN642" s="2"/>
      <c r="AO642" s="2"/>
      <c r="AP642" s="2"/>
      <c r="AQ642" s="427"/>
      <c r="AR642" s="754"/>
      <c r="AS642" s="427"/>
      <c r="AT642" s="754"/>
      <c r="AU642" s="427"/>
      <c r="AV642" s="427"/>
      <c r="AW642" s="427"/>
      <c r="AX642" s="427"/>
      <c r="AY642" s="754"/>
      <c r="AZ642" s="754"/>
      <c r="BA642" s="754"/>
      <c r="BB642" s="427"/>
      <c r="BC642" s="427"/>
      <c r="BD642" s="427"/>
      <c r="BE642" s="754"/>
      <c r="BF642" s="427"/>
      <c r="BG642" s="454"/>
      <c r="BH642" s="754"/>
      <c r="BI642" s="427"/>
      <c r="BJ642" s="427"/>
      <c r="BK642" s="427"/>
      <c r="BL642" s="427"/>
      <c r="BM642" s="454"/>
      <c r="BN642" s="427"/>
      <c r="BO642" s="427"/>
      <c r="BP642" s="427"/>
      <c r="BQ642" s="454"/>
      <c r="BR642" s="454"/>
      <c r="BS642" s="460"/>
      <c r="BT642" s="454"/>
      <c r="BU642" s="454"/>
      <c r="BV642" s="457"/>
      <c r="BW642" s="460"/>
      <c r="BX642" s="460"/>
      <c r="BY642" s="460"/>
      <c r="CA642" s="2"/>
      <c r="CB642" s="2"/>
      <c r="CC642" s="2"/>
      <c r="CD642" s="2"/>
      <c r="CE642" s="2"/>
      <c r="CF642" s="2"/>
      <c r="CG642" s="2"/>
      <c r="CH642" s="2"/>
      <c r="CI642" s="2"/>
      <c r="CJ642" s="2"/>
      <c r="CK642" s="2"/>
      <c r="CL642" s="2"/>
      <c r="CM642" s="2"/>
      <c r="CN642" s="2"/>
      <c r="CO642" s="427"/>
      <c r="CP642" s="427"/>
      <c r="CQ642" s="427"/>
      <c r="CR642" s="485"/>
      <c r="CS642" s="485"/>
      <c r="CT642" s="485"/>
      <c r="CU642" s="485"/>
      <c r="CV642" s="482"/>
      <c r="CW642" s="482"/>
      <c r="CX642" s="482"/>
      <c r="CY642" s="482"/>
      <c r="CZ642" s="485"/>
      <c r="DA642" s="485"/>
      <c r="DB642" s="485"/>
      <c r="DC642" s="485"/>
      <c r="DD642" s="485"/>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485"/>
      <c r="EX642" s="457"/>
      <c r="EY642" s="457"/>
      <c r="EZ642" s="457"/>
      <c r="FA642" s="457"/>
      <c r="FB642" s="457"/>
      <c r="FC642" s="457"/>
      <c r="FD642" s="457"/>
      <c r="FE642" s="457"/>
      <c r="FF642" s="457"/>
      <c r="FG642" s="457"/>
      <c r="FH642" s="457"/>
      <c r="FI642" s="457"/>
      <c r="FJ642" s="457"/>
      <c r="FK642" s="457"/>
    </row>
    <row r="643" spans="1:167" s="416" customFormat="1">
      <c r="A643" s="427"/>
      <c r="B643" s="427"/>
      <c r="C643" s="427"/>
      <c r="D643" s="427"/>
      <c r="E643" s="428"/>
      <c r="F643" s="429"/>
      <c r="G643" s="430"/>
      <c r="H643" s="427"/>
      <c r="I643" s="427"/>
      <c r="J643" s="427"/>
      <c r="K643" s="427"/>
      <c r="L643" s="427"/>
      <c r="M643" s="427"/>
      <c r="N643" s="427"/>
      <c r="O643" s="427"/>
      <c r="P643" s="427"/>
      <c r="Q643" s="427"/>
      <c r="R643" s="427"/>
      <c r="S643" s="427"/>
      <c r="T643" s="427"/>
      <c r="U643" s="427"/>
      <c r="V643" s="428"/>
      <c r="W643" s="431"/>
      <c r="X643" s="3"/>
      <c r="Y643" s="429"/>
      <c r="Z643" s="430"/>
      <c r="AA643" s="430"/>
      <c r="AB643" s="430"/>
      <c r="AC643" s="424"/>
      <c r="AD643" s="424"/>
      <c r="AE643" s="424"/>
      <c r="AF643" s="424"/>
      <c r="AG643" s="424"/>
      <c r="AH643" s="424"/>
      <c r="AI643" s="424"/>
      <c r="AJ643" s="2"/>
      <c r="AK643" s="2"/>
      <c r="AL643" s="2"/>
      <c r="AM643" s="2"/>
      <c r="AN643" s="2"/>
      <c r="AO643" s="2"/>
      <c r="AP643" s="2"/>
      <c r="AQ643" s="427"/>
      <c r="AR643" s="754"/>
      <c r="AS643" s="427"/>
      <c r="AT643" s="754"/>
      <c r="AU643" s="427"/>
      <c r="AV643" s="427"/>
      <c r="AW643" s="427"/>
      <c r="AX643" s="427"/>
      <c r="AY643" s="754"/>
      <c r="AZ643" s="754"/>
      <c r="BA643" s="754"/>
      <c r="BB643" s="427"/>
      <c r="BC643" s="427"/>
      <c r="BD643" s="427"/>
      <c r="BE643" s="754"/>
      <c r="BF643" s="427"/>
      <c r="BG643" s="454"/>
      <c r="BH643" s="754"/>
      <c r="BI643" s="427"/>
      <c r="BJ643" s="427"/>
      <c r="BK643" s="427"/>
      <c r="BL643" s="427"/>
      <c r="BM643" s="454"/>
      <c r="BN643" s="427"/>
      <c r="BO643" s="427"/>
      <c r="BP643" s="427"/>
      <c r="BQ643" s="454"/>
      <c r="BR643" s="454"/>
      <c r="BS643" s="460"/>
      <c r="BT643" s="454"/>
      <c r="BU643" s="454"/>
      <c r="BV643" s="457"/>
      <c r="BW643" s="460"/>
      <c r="BX643" s="460"/>
      <c r="BY643" s="460"/>
      <c r="CA643" s="2"/>
      <c r="CB643" s="2"/>
      <c r="CC643" s="2"/>
      <c r="CD643" s="2"/>
      <c r="CE643" s="2"/>
      <c r="CF643" s="2"/>
      <c r="CG643" s="2"/>
      <c r="CH643" s="2"/>
      <c r="CI643" s="2"/>
      <c r="CJ643" s="2"/>
      <c r="CK643" s="2"/>
      <c r="CL643" s="2"/>
      <c r="CM643" s="2"/>
      <c r="CN643" s="2"/>
      <c r="CO643" s="427"/>
      <c r="CP643" s="427"/>
      <c r="CQ643" s="427"/>
      <c r="CR643" s="485"/>
      <c r="CS643" s="485"/>
      <c r="CT643" s="485"/>
      <c r="CU643" s="485"/>
      <c r="CV643" s="482"/>
      <c r="CW643" s="482"/>
      <c r="CX643" s="482"/>
      <c r="CY643" s="482"/>
      <c r="CZ643" s="485"/>
      <c r="DA643" s="485"/>
      <c r="DB643" s="485"/>
      <c r="DC643" s="485"/>
      <c r="DD643" s="485"/>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485"/>
      <c r="EX643" s="457"/>
      <c r="EY643" s="457"/>
      <c r="EZ643" s="457"/>
      <c r="FA643" s="457"/>
      <c r="FB643" s="457"/>
      <c r="FC643" s="457"/>
      <c r="FD643" s="457"/>
      <c r="FE643" s="457"/>
      <c r="FF643" s="457"/>
      <c r="FG643" s="457"/>
      <c r="FH643" s="457"/>
      <c r="FI643" s="457"/>
      <c r="FJ643" s="457"/>
      <c r="FK643" s="457"/>
    </row>
    <row r="644" spans="1:167" s="416" customFormat="1">
      <c r="A644" s="427"/>
      <c r="B644" s="427"/>
      <c r="C644" s="427"/>
      <c r="D644" s="427"/>
      <c r="E644" s="428"/>
      <c r="F644" s="429"/>
      <c r="G644" s="430"/>
      <c r="H644" s="427"/>
      <c r="I644" s="427"/>
      <c r="J644" s="427"/>
      <c r="K644" s="427"/>
      <c r="L644" s="427"/>
      <c r="M644" s="427"/>
      <c r="N644" s="427"/>
      <c r="O644" s="427"/>
      <c r="P644" s="427"/>
      <c r="Q644" s="427"/>
      <c r="R644" s="427"/>
      <c r="S644" s="427"/>
      <c r="T644" s="427"/>
      <c r="U644" s="427"/>
      <c r="V644" s="428"/>
      <c r="W644" s="431"/>
      <c r="X644" s="3"/>
      <c r="Y644" s="429"/>
      <c r="Z644" s="430"/>
      <c r="AA644" s="430"/>
      <c r="AB644" s="430"/>
      <c r="AC644" s="424"/>
      <c r="AD644" s="424"/>
      <c r="AE644" s="424"/>
      <c r="AF644" s="424"/>
      <c r="AG644" s="424"/>
      <c r="AH644" s="424"/>
      <c r="AI644" s="424"/>
      <c r="AJ644" s="2"/>
      <c r="AK644" s="2"/>
      <c r="AL644" s="2"/>
      <c r="AM644" s="2"/>
      <c r="AN644" s="2"/>
      <c r="AO644" s="2"/>
      <c r="AP644" s="2"/>
      <c r="AQ644" s="427"/>
      <c r="AR644" s="754"/>
      <c r="AS644" s="427"/>
      <c r="AT644" s="754"/>
      <c r="AU644" s="427"/>
      <c r="AV644" s="427"/>
      <c r="AW644" s="427"/>
      <c r="AX644" s="427"/>
      <c r="AY644" s="754"/>
      <c r="AZ644" s="754"/>
      <c r="BA644" s="754"/>
      <c r="BB644" s="427"/>
      <c r="BC644" s="427"/>
      <c r="BD644" s="427"/>
      <c r="BE644" s="754"/>
      <c r="BF644" s="427"/>
      <c r="BG644" s="454"/>
      <c r="BH644" s="754"/>
      <c r="BI644" s="427"/>
      <c r="BJ644" s="427"/>
      <c r="BK644" s="427"/>
      <c r="BL644" s="427"/>
      <c r="BM644" s="454"/>
      <c r="BN644" s="427"/>
      <c r="BO644" s="427"/>
      <c r="BP644" s="427"/>
      <c r="BQ644" s="454"/>
      <c r="BR644" s="454"/>
      <c r="BS644" s="460"/>
      <c r="BT644" s="454"/>
      <c r="BU644" s="454"/>
      <c r="BV644" s="457"/>
      <c r="BW644" s="460"/>
      <c r="BX644" s="460"/>
      <c r="BY644" s="460"/>
      <c r="CA644" s="2"/>
      <c r="CB644" s="2"/>
      <c r="CC644" s="2"/>
      <c r="CD644" s="2"/>
      <c r="CE644" s="2"/>
      <c r="CF644" s="2"/>
      <c r="CG644" s="2"/>
      <c r="CH644" s="2"/>
      <c r="CI644" s="2"/>
      <c r="CJ644" s="2"/>
      <c r="CK644" s="2"/>
      <c r="CL644" s="2"/>
      <c r="CM644" s="2"/>
      <c r="CN644" s="2"/>
      <c r="CO644" s="427"/>
      <c r="CP644" s="427"/>
      <c r="CQ644" s="427"/>
      <c r="CR644" s="485"/>
      <c r="CS644" s="485"/>
      <c r="CT644" s="485"/>
      <c r="CU644" s="485"/>
      <c r="CV644" s="482"/>
      <c r="CW644" s="482"/>
      <c r="CX644" s="482"/>
      <c r="CY644" s="482"/>
      <c r="CZ644" s="485"/>
      <c r="DA644" s="485"/>
      <c r="DB644" s="485"/>
      <c r="DC644" s="485"/>
      <c r="DD644" s="485"/>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485"/>
      <c r="EX644" s="457"/>
      <c r="EY644" s="457"/>
      <c r="EZ644" s="457"/>
      <c r="FA644" s="457"/>
      <c r="FB644" s="457"/>
      <c r="FC644" s="457"/>
      <c r="FD644" s="457"/>
      <c r="FE644" s="457"/>
      <c r="FF644" s="457"/>
      <c r="FG644" s="457"/>
      <c r="FH644" s="457"/>
      <c r="FI644" s="457"/>
      <c r="FJ644" s="457"/>
      <c r="FK644" s="457"/>
    </row>
    <row r="645" spans="1:167" s="416" customFormat="1">
      <c r="A645" s="427"/>
      <c r="B645" s="427"/>
      <c r="C645" s="427"/>
      <c r="D645" s="427"/>
      <c r="E645" s="428"/>
      <c r="F645" s="429"/>
      <c r="G645" s="430"/>
      <c r="H645" s="427"/>
      <c r="I645" s="427"/>
      <c r="J645" s="427"/>
      <c r="K645" s="427"/>
      <c r="L645" s="427"/>
      <c r="M645" s="427"/>
      <c r="N645" s="427"/>
      <c r="O645" s="427"/>
      <c r="P645" s="427"/>
      <c r="Q645" s="427"/>
      <c r="R645" s="427"/>
      <c r="S645" s="427"/>
      <c r="T645" s="427"/>
      <c r="U645" s="427"/>
      <c r="V645" s="428"/>
      <c r="W645" s="431"/>
      <c r="X645" s="3"/>
      <c r="Y645" s="429"/>
      <c r="Z645" s="430"/>
      <c r="AA645" s="430"/>
      <c r="AB645" s="430"/>
      <c r="AC645" s="424"/>
      <c r="AD645" s="424"/>
      <c r="AE645" s="424"/>
      <c r="AF645" s="424"/>
      <c r="AG645" s="424"/>
      <c r="AH645" s="424"/>
      <c r="AI645" s="424"/>
      <c r="AJ645" s="2"/>
      <c r="AK645" s="2"/>
      <c r="AL645" s="2"/>
      <c r="AM645" s="2"/>
      <c r="AN645" s="2"/>
      <c r="AO645" s="2"/>
      <c r="AP645" s="2"/>
      <c r="AQ645" s="427"/>
      <c r="AR645" s="754"/>
      <c r="AS645" s="427"/>
      <c r="AT645" s="754"/>
      <c r="AU645" s="427"/>
      <c r="AV645" s="427"/>
      <c r="AW645" s="427"/>
      <c r="AX645" s="427"/>
      <c r="AY645" s="754"/>
      <c r="AZ645" s="754"/>
      <c r="BA645" s="754"/>
      <c r="BB645" s="427"/>
      <c r="BC645" s="427"/>
      <c r="BD645" s="427"/>
      <c r="BE645" s="754"/>
      <c r="BF645" s="427"/>
      <c r="BG645" s="454"/>
      <c r="BH645" s="754"/>
      <c r="BI645" s="427"/>
      <c r="BJ645" s="427"/>
      <c r="BK645" s="427"/>
      <c r="BL645" s="427"/>
      <c r="BM645" s="454"/>
      <c r="BN645" s="427"/>
      <c r="BO645" s="427"/>
      <c r="BP645" s="427"/>
      <c r="BQ645" s="454"/>
      <c r="BR645" s="454"/>
      <c r="BS645" s="460"/>
      <c r="BT645" s="454"/>
      <c r="BU645" s="454"/>
      <c r="BV645" s="457"/>
      <c r="BW645" s="460"/>
      <c r="BX645" s="460"/>
      <c r="BY645" s="460"/>
      <c r="CA645" s="2"/>
      <c r="CB645" s="2"/>
      <c r="CC645" s="2"/>
      <c r="CD645" s="2"/>
      <c r="CE645" s="2"/>
      <c r="CF645" s="2"/>
      <c r="CG645" s="2"/>
      <c r="CH645" s="2"/>
      <c r="CI645" s="2"/>
      <c r="CJ645" s="2"/>
      <c r="CK645" s="2"/>
      <c r="CL645" s="2"/>
      <c r="CM645" s="2"/>
      <c r="CN645" s="2"/>
      <c r="CO645" s="427"/>
      <c r="CP645" s="427"/>
      <c r="CQ645" s="427"/>
      <c r="CR645" s="485"/>
      <c r="CS645" s="485"/>
      <c r="CT645" s="485"/>
      <c r="CU645" s="485"/>
      <c r="CV645" s="482"/>
      <c r="CW645" s="482"/>
      <c r="CX645" s="482"/>
      <c r="CY645" s="482"/>
      <c r="CZ645" s="485"/>
      <c r="DA645" s="485"/>
      <c r="DB645" s="485"/>
      <c r="DC645" s="485"/>
      <c r="DD645" s="485"/>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485"/>
      <c r="EX645" s="457"/>
      <c r="EY645" s="457"/>
      <c r="EZ645" s="457"/>
      <c r="FA645" s="457"/>
      <c r="FB645" s="457"/>
      <c r="FC645" s="457"/>
      <c r="FD645" s="457"/>
      <c r="FE645" s="457"/>
      <c r="FF645" s="457"/>
      <c r="FG645" s="457"/>
      <c r="FH645" s="457"/>
      <c r="FI645" s="457"/>
      <c r="FJ645" s="457"/>
      <c r="FK645" s="457"/>
    </row>
    <row r="646" spans="1:167" s="416" customFormat="1">
      <c r="A646" s="427"/>
      <c r="B646" s="427"/>
      <c r="C646" s="427"/>
      <c r="D646" s="427"/>
      <c r="E646" s="428"/>
      <c r="F646" s="429"/>
      <c r="G646" s="430"/>
      <c r="H646" s="427"/>
      <c r="I646" s="427"/>
      <c r="J646" s="427"/>
      <c r="K646" s="427"/>
      <c r="L646" s="427"/>
      <c r="M646" s="427"/>
      <c r="N646" s="427"/>
      <c r="O646" s="427"/>
      <c r="P646" s="427"/>
      <c r="Q646" s="427"/>
      <c r="R646" s="427"/>
      <c r="S646" s="427"/>
      <c r="T646" s="427"/>
      <c r="U646" s="427"/>
      <c r="V646" s="428"/>
      <c r="W646" s="431"/>
      <c r="X646" s="3"/>
      <c r="Y646" s="429"/>
      <c r="Z646" s="430"/>
      <c r="AA646" s="430"/>
      <c r="AB646" s="430"/>
      <c r="AC646" s="424"/>
      <c r="AD646" s="424"/>
      <c r="AE646" s="424"/>
      <c r="AF646" s="424"/>
      <c r="AG646" s="424"/>
      <c r="AH646" s="424"/>
      <c r="AI646" s="424"/>
      <c r="AJ646" s="2"/>
      <c r="AK646" s="2"/>
      <c r="AL646" s="2"/>
      <c r="AM646" s="2"/>
      <c r="AN646" s="2"/>
      <c r="AO646" s="2"/>
      <c r="AP646" s="2"/>
      <c r="AQ646" s="427"/>
      <c r="AR646" s="754"/>
      <c r="AS646" s="427"/>
      <c r="AT646" s="754"/>
      <c r="AU646" s="427"/>
      <c r="AV646" s="427"/>
      <c r="AW646" s="427"/>
      <c r="AX646" s="427"/>
      <c r="AY646" s="754"/>
      <c r="AZ646" s="754"/>
      <c r="BA646" s="754"/>
      <c r="BB646" s="427"/>
      <c r="BC646" s="427"/>
      <c r="BD646" s="427"/>
      <c r="BE646" s="754"/>
      <c r="BF646" s="427"/>
      <c r="BG646" s="454"/>
      <c r="BH646" s="754"/>
      <c r="BI646" s="427"/>
      <c r="BJ646" s="427"/>
      <c r="BK646" s="427"/>
      <c r="BL646" s="427"/>
      <c r="BM646" s="454"/>
      <c r="BN646" s="427"/>
      <c r="BO646" s="427"/>
      <c r="BP646" s="427"/>
      <c r="BQ646" s="454"/>
      <c r="BR646" s="454"/>
      <c r="BS646" s="460"/>
      <c r="BT646" s="454"/>
      <c r="BU646" s="454"/>
      <c r="BV646" s="457"/>
      <c r="BW646" s="460"/>
      <c r="BX646" s="460"/>
      <c r="BY646" s="460"/>
      <c r="CA646" s="2"/>
      <c r="CB646" s="2"/>
      <c r="CC646" s="2"/>
      <c r="CD646" s="2"/>
      <c r="CE646" s="2"/>
      <c r="CF646" s="2"/>
      <c r="CG646" s="2"/>
      <c r="CH646" s="2"/>
      <c r="CI646" s="2"/>
      <c r="CJ646" s="2"/>
      <c r="CK646" s="2"/>
      <c r="CL646" s="2"/>
      <c r="CM646" s="2"/>
      <c r="CN646" s="2"/>
      <c r="CO646" s="427"/>
      <c r="CP646" s="427"/>
      <c r="CQ646" s="427"/>
      <c r="CR646" s="485"/>
      <c r="CS646" s="485"/>
      <c r="CT646" s="485"/>
      <c r="CU646" s="485"/>
      <c r="CV646" s="482"/>
      <c r="CW646" s="482"/>
      <c r="CX646" s="482"/>
      <c r="CY646" s="482"/>
      <c r="CZ646" s="485"/>
      <c r="DA646" s="485"/>
      <c r="DB646" s="485"/>
      <c r="DC646" s="485"/>
      <c r="DD646" s="485"/>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485"/>
      <c r="EX646" s="457"/>
      <c r="EY646" s="457"/>
      <c r="EZ646" s="457"/>
      <c r="FA646" s="457"/>
      <c r="FB646" s="457"/>
      <c r="FC646" s="457"/>
      <c r="FD646" s="457"/>
      <c r="FE646" s="457"/>
      <c r="FF646" s="457"/>
      <c r="FG646" s="457"/>
      <c r="FH646" s="457"/>
      <c r="FI646" s="457"/>
      <c r="FJ646" s="457"/>
      <c r="FK646" s="457"/>
    </row>
    <row r="647" spans="1:167" s="416" customFormat="1">
      <c r="A647" s="427"/>
      <c r="B647" s="427"/>
      <c r="C647" s="427"/>
      <c r="D647" s="427"/>
      <c r="E647" s="428"/>
      <c r="F647" s="429"/>
      <c r="G647" s="430"/>
      <c r="H647" s="427"/>
      <c r="I647" s="427"/>
      <c r="J647" s="427"/>
      <c r="K647" s="427"/>
      <c r="L647" s="427"/>
      <c r="M647" s="427"/>
      <c r="N647" s="427"/>
      <c r="O647" s="427"/>
      <c r="P647" s="427"/>
      <c r="Q647" s="427"/>
      <c r="R647" s="427"/>
      <c r="S647" s="427"/>
      <c r="T647" s="427"/>
      <c r="U647" s="427"/>
      <c r="V647" s="428"/>
      <c r="W647" s="431"/>
      <c r="X647" s="3"/>
      <c r="Y647" s="429"/>
      <c r="Z647" s="430"/>
      <c r="AA647" s="430"/>
      <c r="AB647" s="430"/>
      <c r="AC647" s="424"/>
      <c r="AD647" s="424"/>
      <c r="AE647" s="424"/>
      <c r="AF647" s="424"/>
      <c r="AG647" s="424"/>
      <c r="AH647" s="424"/>
      <c r="AI647" s="424"/>
      <c r="AJ647" s="2"/>
      <c r="AK647" s="2"/>
      <c r="AL647" s="2"/>
      <c r="AM647" s="2"/>
      <c r="AN647" s="2"/>
      <c r="AO647" s="2"/>
      <c r="AP647" s="2"/>
      <c r="AQ647" s="427"/>
      <c r="AR647" s="754"/>
      <c r="AS647" s="427"/>
      <c r="AT647" s="754"/>
      <c r="AU647" s="427"/>
      <c r="AV647" s="427"/>
      <c r="AW647" s="427"/>
      <c r="AX647" s="427"/>
      <c r="AY647" s="754"/>
      <c r="AZ647" s="754"/>
      <c r="BA647" s="754"/>
      <c r="BB647" s="427"/>
      <c r="BC647" s="427"/>
      <c r="BD647" s="427"/>
      <c r="BE647" s="754"/>
      <c r="BF647" s="427"/>
      <c r="BG647" s="454"/>
      <c r="BH647" s="754"/>
      <c r="BI647" s="427"/>
      <c r="BJ647" s="427"/>
      <c r="BK647" s="427"/>
      <c r="BL647" s="427"/>
      <c r="BM647" s="454"/>
      <c r="BN647" s="427"/>
      <c r="BO647" s="427"/>
      <c r="BP647" s="427"/>
      <c r="BQ647" s="454"/>
      <c r="BR647" s="454"/>
      <c r="BS647" s="460"/>
      <c r="BT647" s="454"/>
      <c r="BU647" s="454"/>
      <c r="BV647" s="457"/>
      <c r="BW647" s="460"/>
      <c r="BX647" s="460"/>
      <c r="BY647" s="460"/>
      <c r="CA647" s="2"/>
      <c r="CB647" s="2"/>
      <c r="CC647" s="2"/>
      <c r="CD647" s="2"/>
      <c r="CE647" s="2"/>
      <c r="CF647" s="2"/>
      <c r="CG647" s="2"/>
      <c r="CH647" s="2"/>
      <c r="CI647" s="2"/>
      <c r="CJ647" s="2"/>
      <c r="CK647" s="2"/>
      <c r="CL647" s="2"/>
      <c r="CM647" s="2"/>
      <c r="CN647" s="2"/>
      <c r="CO647" s="427"/>
      <c r="CP647" s="427"/>
      <c r="CQ647" s="427"/>
      <c r="CR647" s="485"/>
      <c r="CS647" s="485"/>
      <c r="CT647" s="485"/>
      <c r="CU647" s="485"/>
      <c r="CV647" s="482"/>
      <c r="CW647" s="482"/>
      <c r="CX647" s="482"/>
      <c r="CY647" s="482"/>
      <c r="CZ647" s="485"/>
      <c r="DA647" s="485"/>
      <c r="DB647" s="485"/>
      <c r="DC647" s="485"/>
      <c r="DD647" s="485"/>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485"/>
      <c r="EX647" s="457"/>
      <c r="EY647" s="457"/>
      <c r="EZ647" s="457"/>
      <c r="FA647" s="457"/>
      <c r="FB647" s="457"/>
      <c r="FC647" s="457"/>
      <c r="FD647" s="457"/>
      <c r="FE647" s="457"/>
      <c r="FF647" s="457"/>
      <c r="FG647" s="457"/>
      <c r="FH647" s="457"/>
      <c r="FI647" s="457"/>
      <c r="FJ647" s="457"/>
      <c r="FK647" s="457"/>
    </row>
    <row r="648" spans="1:167" s="416" customFormat="1">
      <c r="A648" s="427"/>
      <c r="B648" s="427"/>
      <c r="C648" s="427"/>
      <c r="D648" s="427"/>
      <c r="E648" s="428"/>
      <c r="F648" s="429"/>
      <c r="G648" s="430"/>
      <c r="H648" s="427"/>
      <c r="I648" s="427"/>
      <c r="J648" s="427"/>
      <c r="K648" s="427"/>
      <c r="L648" s="427"/>
      <c r="M648" s="427"/>
      <c r="N648" s="427"/>
      <c r="O648" s="427"/>
      <c r="P648" s="427"/>
      <c r="Q648" s="427"/>
      <c r="R648" s="427"/>
      <c r="S648" s="427"/>
      <c r="T648" s="427"/>
      <c r="U648" s="427"/>
      <c r="V648" s="428"/>
      <c r="W648" s="431"/>
      <c r="X648" s="3"/>
      <c r="Y648" s="429"/>
      <c r="Z648" s="430"/>
      <c r="AA648" s="430"/>
      <c r="AB648" s="430"/>
      <c r="AC648" s="424"/>
      <c r="AD648" s="424"/>
      <c r="AE648" s="424"/>
      <c r="AF648" s="424"/>
      <c r="AG648" s="424"/>
      <c r="AH648" s="424"/>
      <c r="AI648" s="424"/>
      <c r="AJ648" s="2"/>
      <c r="AK648" s="2"/>
      <c r="AL648" s="2"/>
      <c r="AM648" s="2"/>
      <c r="AN648" s="2"/>
      <c r="AO648" s="2"/>
      <c r="AP648" s="2"/>
      <c r="AQ648" s="427"/>
      <c r="AR648" s="754"/>
      <c r="AS648" s="427"/>
      <c r="AT648" s="754"/>
      <c r="AU648" s="427"/>
      <c r="AV648" s="427"/>
      <c r="AW648" s="427"/>
      <c r="AX648" s="427"/>
      <c r="AY648" s="754"/>
      <c r="AZ648" s="754"/>
      <c r="BA648" s="754"/>
      <c r="BB648" s="427"/>
      <c r="BC648" s="427"/>
      <c r="BD648" s="427"/>
      <c r="BE648" s="754"/>
      <c r="BF648" s="427"/>
      <c r="BG648" s="454"/>
      <c r="BH648" s="754"/>
      <c r="BI648" s="427"/>
      <c r="BJ648" s="427"/>
      <c r="BK648" s="427"/>
      <c r="BL648" s="427"/>
      <c r="BM648" s="454"/>
      <c r="BN648" s="427"/>
      <c r="BO648" s="427"/>
      <c r="BP648" s="427"/>
      <c r="BQ648" s="454"/>
      <c r="BR648" s="454"/>
      <c r="BS648" s="460"/>
      <c r="BT648" s="454"/>
      <c r="BU648" s="454"/>
      <c r="BV648" s="457"/>
      <c r="BW648" s="460"/>
      <c r="BX648" s="460"/>
      <c r="BY648" s="460"/>
      <c r="CA648" s="2"/>
      <c r="CB648" s="2"/>
      <c r="CC648" s="2"/>
      <c r="CD648" s="2"/>
      <c r="CE648" s="2"/>
      <c r="CF648" s="2"/>
      <c r="CG648" s="2"/>
      <c r="CH648" s="2"/>
      <c r="CI648" s="2"/>
      <c r="CJ648" s="2"/>
      <c r="CK648" s="2"/>
      <c r="CL648" s="2"/>
      <c r="CM648" s="2"/>
      <c r="CN648" s="2"/>
      <c r="CO648" s="427"/>
      <c r="CP648" s="427"/>
      <c r="CQ648" s="427"/>
      <c r="CR648" s="485"/>
      <c r="CS648" s="485"/>
      <c r="CT648" s="485"/>
      <c r="CU648" s="485"/>
      <c r="CV648" s="482"/>
      <c r="CW648" s="482"/>
      <c r="CX648" s="482"/>
      <c r="CY648" s="482"/>
      <c r="CZ648" s="485"/>
      <c r="DA648" s="485"/>
      <c r="DB648" s="485"/>
      <c r="DC648" s="485"/>
      <c r="DD648" s="485"/>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485"/>
      <c r="EX648" s="457"/>
      <c r="EY648" s="457"/>
      <c r="EZ648" s="457"/>
      <c r="FA648" s="457"/>
      <c r="FB648" s="457"/>
      <c r="FC648" s="457"/>
      <c r="FD648" s="457"/>
      <c r="FE648" s="457"/>
      <c r="FF648" s="457"/>
      <c r="FG648" s="457"/>
      <c r="FH648" s="457"/>
      <c r="FI648" s="457"/>
      <c r="FJ648" s="457"/>
      <c r="FK648" s="457"/>
    </row>
    <row r="649" spans="1:167" s="416" customFormat="1">
      <c r="A649" s="427"/>
      <c r="B649" s="427"/>
      <c r="C649" s="427"/>
      <c r="D649" s="427"/>
      <c r="E649" s="428"/>
      <c r="F649" s="429"/>
      <c r="G649" s="430"/>
      <c r="H649" s="427"/>
      <c r="I649" s="427"/>
      <c r="J649" s="427"/>
      <c r="K649" s="427"/>
      <c r="L649" s="427"/>
      <c r="M649" s="427"/>
      <c r="N649" s="427"/>
      <c r="O649" s="427"/>
      <c r="P649" s="427"/>
      <c r="Q649" s="427"/>
      <c r="R649" s="427"/>
      <c r="S649" s="427"/>
      <c r="T649" s="427"/>
      <c r="U649" s="427"/>
      <c r="V649" s="428"/>
      <c r="W649" s="431"/>
      <c r="X649" s="3"/>
      <c r="Y649" s="429"/>
      <c r="Z649" s="430"/>
      <c r="AA649" s="430"/>
      <c r="AB649" s="430"/>
      <c r="AC649" s="424"/>
      <c r="AD649" s="424"/>
      <c r="AE649" s="424"/>
      <c r="AF649" s="424"/>
      <c r="AG649" s="424"/>
      <c r="AH649" s="424"/>
      <c r="AI649" s="424"/>
      <c r="AJ649" s="2"/>
      <c r="AK649" s="2"/>
      <c r="AL649" s="2"/>
      <c r="AM649" s="2"/>
      <c r="AN649" s="2"/>
      <c r="AO649" s="2"/>
      <c r="AP649" s="2"/>
      <c r="AQ649" s="427"/>
      <c r="AR649" s="754"/>
      <c r="AS649" s="427"/>
      <c r="AT649" s="754"/>
      <c r="AU649" s="427"/>
      <c r="AV649" s="427"/>
      <c r="AW649" s="427"/>
      <c r="AX649" s="427"/>
      <c r="AY649" s="754"/>
      <c r="AZ649" s="754"/>
      <c r="BA649" s="754"/>
      <c r="BB649" s="427"/>
      <c r="BC649" s="427"/>
      <c r="BD649" s="427"/>
      <c r="BE649" s="754"/>
      <c r="BF649" s="427"/>
      <c r="BG649" s="454"/>
      <c r="BH649" s="754"/>
      <c r="BI649" s="427"/>
      <c r="BJ649" s="427"/>
      <c r="BK649" s="427"/>
      <c r="BL649" s="427"/>
      <c r="BM649" s="454"/>
      <c r="BN649" s="427"/>
      <c r="BO649" s="427"/>
      <c r="BP649" s="427"/>
      <c r="BQ649" s="454"/>
      <c r="BR649" s="454"/>
      <c r="BS649" s="460"/>
      <c r="BT649" s="454"/>
      <c r="BU649" s="454"/>
      <c r="BV649" s="457"/>
      <c r="BW649" s="460"/>
      <c r="BX649" s="460"/>
      <c r="BY649" s="460"/>
      <c r="CA649" s="2"/>
      <c r="CB649" s="2"/>
      <c r="CC649" s="2"/>
      <c r="CD649" s="2"/>
      <c r="CE649" s="2"/>
      <c r="CF649" s="2"/>
      <c r="CG649" s="2"/>
      <c r="CH649" s="2"/>
      <c r="CI649" s="2"/>
      <c r="CJ649" s="2"/>
      <c r="CK649" s="2"/>
      <c r="CL649" s="2"/>
      <c r="CM649" s="2"/>
      <c r="CN649" s="2"/>
      <c r="CO649" s="427"/>
      <c r="CP649" s="427"/>
      <c r="CQ649" s="427"/>
      <c r="CR649" s="485"/>
      <c r="CS649" s="485"/>
      <c r="CT649" s="485"/>
      <c r="CU649" s="485"/>
      <c r="CV649" s="482"/>
      <c r="CW649" s="482"/>
      <c r="CX649" s="482"/>
      <c r="CY649" s="482"/>
      <c r="CZ649" s="485"/>
      <c r="DA649" s="485"/>
      <c r="DB649" s="485"/>
      <c r="DC649" s="485"/>
      <c r="DD649" s="485"/>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485"/>
      <c r="EX649" s="457"/>
      <c r="EY649" s="457"/>
      <c r="EZ649" s="457"/>
      <c r="FA649" s="457"/>
      <c r="FB649" s="457"/>
      <c r="FC649" s="457"/>
      <c r="FD649" s="457"/>
      <c r="FE649" s="457"/>
      <c r="FF649" s="457"/>
      <c r="FG649" s="457"/>
      <c r="FH649" s="457"/>
      <c r="FI649" s="457"/>
      <c r="FJ649" s="457"/>
      <c r="FK649" s="457"/>
    </row>
    <row r="650" spans="1:167" s="416" customFormat="1">
      <c r="A650" s="427"/>
      <c r="B650" s="427"/>
      <c r="C650" s="427"/>
      <c r="D650" s="427"/>
      <c r="E650" s="428"/>
      <c r="F650" s="429"/>
      <c r="G650" s="430"/>
      <c r="H650" s="427"/>
      <c r="I650" s="427"/>
      <c r="J650" s="427"/>
      <c r="K650" s="427"/>
      <c r="L650" s="427"/>
      <c r="M650" s="427"/>
      <c r="N650" s="427"/>
      <c r="O650" s="427"/>
      <c r="P650" s="427"/>
      <c r="Q650" s="427"/>
      <c r="R650" s="427"/>
      <c r="S650" s="427"/>
      <c r="T650" s="427"/>
      <c r="U650" s="427"/>
      <c r="V650" s="428"/>
      <c r="W650" s="431"/>
      <c r="X650" s="3"/>
      <c r="Y650" s="429"/>
      <c r="Z650" s="430"/>
      <c r="AA650" s="430"/>
      <c r="AB650" s="430"/>
      <c r="AC650" s="424"/>
      <c r="AD650" s="424"/>
      <c r="AE650" s="424"/>
      <c r="AF650" s="424"/>
      <c r="AG650" s="424"/>
      <c r="AH650" s="424"/>
      <c r="AI650" s="424"/>
      <c r="AJ650" s="2"/>
      <c r="AK650" s="2"/>
      <c r="AL650" s="2"/>
      <c r="AM650" s="2"/>
      <c r="AN650" s="2"/>
      <c r="AO650" s="2"/>
      <c r="AP650" s="2"/>
      <c r="AQ650" s="427"/>
      <c r="AR650" s="754"/>
      <c r="AS650" s="427"/>
      <c r="AT650" s="754"/>
      <c r="AU650" s="427"/>
      <c r="AV650" s="427"/>
      <c r="AW650" s="427"/>
      <c r="AX650" s="427"/>
      <c r="AY650" s="754"/>
      <c r="AZ650" s="754"/>
      <c r="BA650" s="754"/>
      <c r="BB650" s="427"/>
      <c r="BC650" s="427"/>
      <c r="BD650" s="427"/>
      <c r="BE650" s="754"/>
      <c r="BF650" s="427"/>
      <c r="BG650" s="454"/>
      <c r="BH650" s="754"/>
      <c r="BI650" s="427"/>
      <c r="BJ650" s="427"/>
      <c r="BK650" s="427"/>
      <c r="BL650" s="427"/>
      <c r="BM650" s="454"/>
      <c r="BN650" s="427"/>
      <c r="BO650" s="427"/>
      <c r="BP650" s="427"/>
      <c r="BQ650" s="454"/>
      <c r="BR650" s="454"/>
      <c r="BS650" s="460"/>
      <c r="BT650" s="454"/>
      <c r="BU650" s="454"/>
      <c r="BV650" s="457"/>
      <c r="BW650" s="460"/>
      <c r="BX650" s="460"/>
      <c r="BY650" s="460"/>
      <c r="CA650" s="2"/>
      <c r="CB650" s="2"/>
      <c r="CC650" s="2"/>
      <c r="CD650" s="2"/>
      <c r="CE650" s="2"/>
      <c r="CF650" s="2"/>
      <c r="CG650" s="2"/>
      <c r="CH650" s="2"/>
      <c r="CI650" s="2"/>
      <c r="CJ650" s="2"/>
      <c r="CK650" s="2"/>
      <c r="CL650" s="2"/>
      <c r="CM650" s="2"/>
      <c r="CN650" s="2"/>
      <c r="CO650" s="427"/>
      <c r="CP650" s="427"/>
      <c r="CQ650" s="427"/>
      <c r="CR650" s="485"/>
      <c r="CS650" s="485"/>
      <c r="CT650" s="485"/>
      <c r="CU650" s="485"/>
      <c r="CV650" s="482"/>
      <c r="CW650" s="482"/>
      <c r="CX650" s="482"/>
      <c r="CY650" s="482"/>
      <c r="CZ650" s="485"/>
      <c r="DA650" s="485"/>
      <c r="DB650" s="485"/>
      <c r="DC650" s="485"/>
      <c r="DD650" s="485"/>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485"/>
      <c r="EX650" s="457"/>
      <c r="EY650" s="457"/>
      <c r="EZ650" s="457"/>
      <c r="FA650" s="457"/>
      <c r="FB650" s="457"/>
      <c r="FC650" s="457"/>
      <c r="FD650" s="457"/>
      <c r="FE650" s="457"/>
      <c r="FF650" s="457"/>
      <c r="FG650" s="457"/>
      <c r="FH650" s="457"/>
      <c r="FI650" s="457"/>
      <c r="FJ650" s="457"/>
      <c r="FK650" s="457"/>
    </row>
    <row r="651" spans="1:167" s="416" customFormat="1">
      <c r="A651" s="427"/>
      <c r="B651" s="427"/>
      <c r="C651" s="427"/>
      <c r="D651" s="427"/>
      <c r="E651" s="428"/>
      <c r="F651" s="429"/>
      <c r="G651" s="430"/>
      <c r="H651" s="427"/>
      <c r="I651" s="427"/>
      <c r="J651" s="427"/>
      <c r="K651" s="427"/>
      <c r="L651" s="427"/>
      <c r="M651" s="427"/>
      <c r="N651" s="427"/>
      <c r="O651" s="427"/>
      <c r="P651" s="427"/>
      <c r="Q651" s="427"/>
      <c r="R651" s="427"/>
      <c r="S651" s="427"/>
      <c r="T651" s="427"/>
      <c r="U651" s="427"/>
      <c r="V651" s="428"/>
      <c r="W651" s="431"/>
      <c r="X651" s="3"/>
      <c r="Y651" s="429"/>
      <c r="Z651" s="430"/>
      <c r="AA651" s="430"/>
      <c r="AB651" s="430"/>
      <c r="AC651" s="424"/>
      <c r="AD651" s="424"/>
      <c r="AE651" s="424"/>
      <c r="AF651" s="424"/>
      <c r="AG651" s="424"/>
      <c r="AH651" s="424"/>
      <c r="AI651" s="424"/>
      <c r="AJ651" s="2"/>
      <c r="AK651" s="2"/>
      <c r="AL651" s="2"/>
      <c r="AM651" s="2"/>
      <c r="AN651" s="2"/>
      <c r="AO651" s="2"/>
      <c r="AP651" s="2"/>
      <c r="AQ651" s="427"/>
      <c r="AR651" s="754"/>
      <c r="AS651" s="427"/>
      <c r="AT651" s="754"/>
      <c r="AU651" s="427"/>
      <c r="AV651" s="427"/>
      <c r="AW651" s="427"/>
      <c r="AX651" s="427"/>
      <c r="AY651" s="754"/>
      <c r="AZ651" s="754"/>
      <c r="BA651" s="754"/>
      <c r="BB651" s="427"/>
      <c r="BC651" s="427"/>
      <c r="BD651" s="427"/>
      <c r="BE651" s="754"/>
      <c r="BF651" s="427"/>
      <c r="BG651" s="454"/>
      <c r="BH651" s="754"/>
      <c r="BI651" s="427"/>
      <c r="BJ651" s="427"/>
      <c r="BK651" s="427"/>
      <c r="BL651" s="427"/>
      <c r="BM651" s="454"/>
      <c r="BN651" s="427"/>
      <c r="BO651" s="427"/>
      <c r="BP651" s="427"/>
      <c r="BQ651" s="454"/>
      <c r="BR651" s="454"/>
      <c r="BS651" s="460"/>
      <c r="BT651" s="454"/>
      <c r="BU651" s="454"/>
      <c r="BV651" s="457"/>
      <c r="BW651" s="460"/>
      <c r="BX651" s="460"/>
      <c r="BY651" s="460"/>
      <c r="CA651" s="2"/>
      <c r="CB651" s="2"/>
      <c r="CC651" s="2"/>
      <c r="CD651" s="2"/>
      <c r="CE651" s="2"/>
      <c r="CF651" s="2"/>
      <c r="CG651" s="2"/>
      <c r="CH651" s="2"/>
      <c r="CI651" s="2"/>
      <c r="CJ651" s="2"/>
      <c r="CK651" s="2"/>
      <c r="CL651" s="2"/>
      <c r="CM651" s="2"/>
      <c r="CN651" s="2"/>
      <c r="CO651" s="427"/>
      <c r="CP651" s="427"/>
      <c r="CQ651" s="427"/>
      <c r="CR651" s="485"/>
      <c r="CS651" s="485"/>
      <c r="CT651" s="485"/>
      <c r="CU651" s="485"/>
      <c r="CV651" s="482"/>
      <c r="CW651" s="482"/>
      <c r="CX651" s="482"/>
      <c r="CY651" s="482"/>
      <c r="CZ651" s="485"/>
      <c r="DA651" s="485"/>
      <c r="DB651" s="485"/>
      <c r="DC651" s="485"/>
      <c r="DD651" s="485"/>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485"/>
      <c r="EX651" s="457"/>
      <c r="EY651" s="457"/>
      <c r="EZ651" s="457"/>
      <c r="FA651" s="457"/>
      <c r="FB651" s="457"/>
      <c r="FC651" s="457"/>
      <c r="FD651" s="457"/>
      <c r="FE651" s="457"/>
      <c r="FF651" s="457"/>
      <c r="FG651" s="457"/>
      <c r="FH651" s="457"/>
      <c r="FI651" s="457"/>
      <c r="FJ651" s="457"/>
      <c r="FK651" s="457"/>
    </row>
    <row r="652" spans="1:167" s="416" customFormat="1">
      <c r="A652" s="427"/>
      <c r="B652" s="427"/>
      <c r="C652" s="427"/>
      <c r="D652" s="427"/>
      <c r="E652" s="428"/>
      <c r="F652" s="429"/>
      <c r="G652" s="430"/>
      <c r="H652" s="427"/>
      <c r="I652" s="427"/>
      <c r="J652" s="427"/>
      <c r="K652" s="427"/>
      <c r="L652" s="427"/>
      <c r="M652" s="427"/>
      <c r="N652" s="427"/>
      <c r="O652" s="427"/>
      <c r="P652" s="427"/>
      <c r="Q652" s="427"/>
      <c r="R652" s="427"/>
      <c r="S652" s="427"/>
      <c r="T652" s="427"/>
      <c r="U652" s="427"/>
      <c r="V652" s="428"/>
      <c r="W652" s="431"/>
      <c r="X652" s="3"/>
      <c r="Y652" s="429"/>
      <c r="Z652" s="430"/>
      <c r="AA652" s="430"/>
      <c r="AB652" s="430"/>
      <c r="AC652" s="424"/>
      <c r="AD652" s="424"/>
      <c r="AE652" s="424"/>
      <c r="AF652" s="424"/>
      <c r="AG652" s="424"/>
      <c r="AH652" s="424"/>
      <c r="AI652" s="424"/>
      <c r="AJ652" s="2"/>
      <c r="AK652" s="2"/>
      <c r="AL652" s="2"/>
      <c r="AM652" s="2"/>
      <c r="AN652" s="2"/>
      <c r="AO652" s="2"/>
      <c r="AP652" s="2"/>
      <c r="AQ652" s="427"/>
      <c r="AR652" s="754"/>
      <c r="AS652" s="427"/>
      <c r="AT652" s="754"/>
      <c r="AU652" s="427"/>
      <c r="AV652" s="427"/>
      <c r="AW652" s="427"/>
      <c r="AX652" s="427"/>
      <c r="AY652" s="754"/>
      <c r="AZ652" s="754"/>
      <c r="BA652" s="754"/>
      <c r="BB652" s="427"/>
      <c r="BC652" s="427"/>
      <c r="BD652" s="427"/>
      <c r="BE652" s="754"/>
      <c r="BF652" s="427"/>
      <c r="BG652" s="454"/>
      <c r="BH652" s="754"/>
      <c r="BI652" s="427"/>
      <c r="BJ652" s="427"/>
      <c r="BK652" s="427"/>
      <c r="BL652" s="427"/>
      <c r="BM652" s="454"/>
      <c r="BN652" s="427"/>
      <c r="BO652" s="427"/>
      <c r="BP652" s="427"/>
      <c r="BQ652" s="454"/>
      <c r="BR652" s="454"/>
      <c r="BS652" s="460"/>
      <c r="BT652" s="454"/>
      <c r="BU652" s="454"/>
      <c r="BV652" s="457"/>
      <c r="BW652" s="460"/>
      <c r="BX652" s="460"/>
      <c r="BY652" s="460"/>
      <c r="CA652" s="2"/>
      <c r="CB652" s="2"/>
      <c r="CC652" s="2"/>
      <c r="CD652" s="2"/>
      <c r="CE652" s="2"/>
      <c r="CF652" s="2"/>
      <c r="CG652" s="2"/>
      <c r="CH652" s="2"/>
      <c r="CI652" s="2"/>
      <c r="CJ652" s="2"/>
      <c r="CK652" s="2"/>
      <c r="CL652" s="2"/>
      <c r="CM652" s="2"/>
      <c r="CN652" s="2"/>
      <c r="CO652" s="427"/>
      <c r="CP652" s="427"/>
      <c r="CQ652" s="427"/>
      <c r="CR652" s="485"/>
      <c r="CS652" s="485"/>
      <c r="CT652" s="485"/>
      <c r="CU652" s="485"/>
      <c r="CV652" s="482"/>
      <c r="CW652" s="482"/>
      <c r="CX652" s="482"/>
      <c r="CY652" s="482"/>
      <c r="CZ652" s="485"/>
      <c r="DA652" s="485"/>
      <c r="DB652" s="485"/>
      <c r="DC652" s="485"/>
      <c r="DD652" s="485"/>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485"/>
      <c r="EX652" s="457"/>
      <c r="EY652" s="457"/>
      <c r="EZ652" s="457"/>
      <c r="FA652" s="457"/>
      <c r="FB652" s="457"/>
      <c r="FC652" s="457"/>
      <c r="FD652" s="457"/>
      <c r="FE652" s="457"/>
      <c r="FF652" s="457"/>
      <c r="FG652" s="457"/>
      <c r="FH652" s="457"/>
      <c r="FI652" s="457"/>
      <c r="FJ652" s="457"/>
      <c r="FK652" s="457"/>
    </row>
    <row r="653" spans="1:167" s="416" customFormat="1">
      <c r="A653" s="427"/>
      <c r="B653" s="427"/>
      <c r="C653" s="427"/>
      <c r="D653" s="427"/>
      <c r="E653" s="428"/>
      <c r="F653" s="429"/>
      <c r="G653" s="430"/>
      <c r="H653" s="427"/>
      <c r="I653" s="427"/>
      <c r="J653" s="427"/>
      <c r="K653" s="427"/>
      <c r="L653" s="427"/>
      <c r="M653" s="427"/>
      <c r="N653" s="427"/>
      <c r="O653" s="427"/>
      <c r="P653" s="427"/>
      <c r="Q653" s="427"/>
      <c r="R653" s="427"/>
      <c r="S653" s="427"/>
      <c r="T653" s="427"/>
      <c r="U653" s="427"/>
      <c r="V653" s="428"/>
      <c r="W653" s="431"/>
      <c r="X653" s="3"/>
      <c r="Y653" s="429"/>
      <c r="Z653" s="430"/>
      <c r="AA653" s="430"/>
      <c r="AB653" s="430"/>
      <c r="AC653" s="424"/>
      <c r="AD653" s="424"/>
      <c r="AE653" s="424"/>
      <c r="AF653" s="424"/>
      <c r="AG653" s="424"/>
      <c r="AH653" s="424"/>
      <c r="AI653" s="424"/>
      <c r="AJ653" s="2"/>
      <c r="AK653" s="2"/>
      <c r="AL653" s="2"/>
      <c r="AM653" s="2"/>
      <c r="AN653" s="2"/>
      <c r="AO653" s="2"/>
      <c r="AP653" s="2"/>
      <c r="AQ653" s="427"/>
      <c r="AR653" s="754"/>
      <c r="AS653" s="427"/>
      <c r="AT653" s="754"/>
      <c r="AU653" s="427"/>
      <c r="AV653" s="427"/>
      <c r="AW653" s="427"/>
      <c r="AX653" s="427"/>
      <c r="AY653" s="754"/>
      <c r="AZ653" s="754"/>
      <c r="BA653" s="754"/>
      <c r="BB653" s="427"/>
      <c r="BC653" s="427"/>
      <c r="BD653" s="427"/>
      <c r="BE653" s="754"/>
      <c r="BF653" s="427"/>
      <c r="BG653" s="454"/>
      <c r="BH653" s="754"/>
      <c r="BI653" s="427"/>
      <c r="BJ653" s="427"/>
      <c r="BK653" s="427"/>
      <c r="BL653" s="427"/>
      <c r="BM653" s="454"/>
      <c r="BN653" s="427"/>
      <c r="BO653" s="427"/>
      <c r="BP653" s="427"/>
      <c r="BQ653" s="454"/>
      <c r="BR653" s="454"/>
      <c r="BS653" s="460"/>
      <c r="BT653" s="454"/>
      <c r="BU653" s="454"/>
      <c r="BV653" s="457"/>
      <c r="BW653" s="460"/>
      <c r="BX653" s="460"/>
      <c r="BY653" s="460"/>
      <c r="CA653" s="2"/>
      <c r="CB653" s="2"/>
      <c r="CC653" s="2"/>
      <c r="CD653" s="2"/>
      <c r="CE653" s="2"/>
      <c r="CF653" s="2"/>
      <c r="CG653" s="2"/>
      <c r="CH653" s="2"/>
      <c r="CI653" s="2"/>
      <c r="CJ653" s="2"/>
      <c r="CK653" s="2"/>
      <c r="CL653" s="2"/>
      <c r="CM653" s="2"/>
      <c r="CN653" s="2"/>
      <c r="CO653" s="427"/>
      <c r="CP653" s="427"/>
      <c r="CQ653" s="427"/>
      <c r="CR653" s="485"/>
      <c r="CS653" s="485"/>
      <c r="CT653" s="485"/>
      <c r="CU653" s="485"/>
      <c r="CV653" s="482"/>
      <c r="CW653" s="482"/>
      <c r="CX653" s="482"/>
      <c r="CY653" s="482"/>
      <c r="CZ653" s="485"/>
      <c r="DA653" s="485"/>
      <c r="DB653" s="485"/>
      <c r="DC653" s="485"/>
      <c r="DD653" s="485"/>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485"/>
      <c r="EX653" s="457"/>
      <c r="EY653" s="457"/>
      <c r="EZ653" s="457"/>
      <c r="FA653" s="457"/>
      <c r="FB653" s="457"/>
      <c r="FC653" s="457"/>
      <c r="FD653" s="457"/>
      <c r="FE653" s="457"/>
      <c r="FF653" s="457"/>
      <c r="FG653" s="457"/>
      <c r="FH653" s="457"/>
      <c r="FI653" s="457"/>
      <c r="FJ653" s="457"/>
      <c r="FK653" s="457"/>
    </row>
    <row r="654" spans="1:167" s="416" customFormat="1">
      <c r="A654" s="427"/>
      <c r="B654" s="427"/>
      <c r="C654" s="427"/>
      <c r="D654" s="427"/>
      <c r="E654" s="428"/>
      <c r="F654" s="429"/>
      <c r="G654" s="430"/>
      <c r="H654" s="427"/>
      <c r="I654" s="427"/>
      <c r="J654" s="427"/>
      <c r="K654" s="427"/>
      <c r="L654" s="427"/>
      <c r="M654" s="427"/>
      <c r="N654" s="427"/>
      <c r="O654" s="427"/>
      <c r="P654" s="427"/>
      <c r="Q654" s="427"/>
      <c r="R654" s="427"/>
      <c r="S654" s="427"/>
      <c r="T654" s="427"/>
      <c r="U654" s="427"/>
      <c r="V654" s="428"/>
      <c r="W654" s="431"/>
      <c r="X654" s="3"/>
      <c r="Y654" s="429"/>
      <c r="Z654" s="430"/>
      <c r="AA654" s="430"/>
      <c r="AB654" s="430"/>
      <c r="AC654" s="424"/>
      <c r="AD654" s="424"/>
      <c r="AE654" s="424"/>
      <c r="AF654" s="424"/>
      <c r="AG654" s="424"/>
      <c r="AH654" s="424"/>
      <c r="AI654" s="424"/>
      <c r="AJ654" s="2"/>
      <c r="AK654" s="2"/>
      <c r="AL654" s="2"/>
      <c r="AM654" s="2"/>
      <c r="AN654" s="2"/>
      <c r="AO654" s="2"/>
      <c r="AP654" s="2"/>
      <c r="AQ654" s="427"/>
      <c r="AR654" s="754"/>
      <c r="AS654" s="427"/>
      <c r="AT654" s="754"/>
      <c r="AU654" s="427"/>
      <c r="AV654" s="427"/>
      <c r="AW654" s="427"/>
      <c r="AX654" s="427"/>
      <c r="AY654" s="754"/>
      <c r="AZ654" s="754"/>
      <c r="BA654" s="754"/>
      <c r="BB654" s="427"/>
      <c r="BC654" s="427"/>
      <c r="BD654" s="427"/>
      <c r="BE654" s="754"/>
      <c r="BF654" s="427"/>
      <c r="BG654" s="454"/>
      <c r="BH654" s="754"/>
      <c r="BI654" s="427"/>
      <c r="BJ654" s="427"/>
      <c r="BK654" s="427"/>
      <c r="BL654" s="427"/>
      <c r="BM654" s="454"/>
      <c r="BN654" s="427"/>
      <c r="BO654" s="427"/>
      <c r="BP654" s="427"/>
      <c r="BQ654" s="454"/>
      <c r="BR654" s="454"/>
      <c r="BS654" s="460"/>
      <c r="BT654" s="454"/>
      <c r="BU654" s="454"/>
      <c r="BV654" s="457"/>
      <c r="BW654" s="460"/>
      <c r="BX654" s="460"/>
      <c r="BY654" s="460"/>
      <c r="CA654" s="2"/>
      <c r="CB654" s="2"/>
      <c r="CC654" s="2"/>
      <c r="CD654" s="2"/>
      <c r="CE654" s="2"/>
      <c r="CF654" s="2"/>
      <c r="CG654" s="2"/>
      <c r="CH654" s="2"/>
      <c r="CI654" s="2"/>
      <c r="CJ654" s="2"/>
      <c r="CK654" s="2"/>
      <c r="CL654" s="2"/>
      <c r="CM654" s="2"/>
      <c r="CN654" s="2"/>
      <c r="CO654" s="427"/>
      <c r="CP654" s="427"/>
      <c r="CQ654" s="427"/>
      <c r="CR654" s="485"/>
      <c r="CS654" s="485"/>
      <c r="CT654" s="485"/>
      <c r="CU654" s="485"/>
      <c r="CV654" s="482"/>
      <c r="CW654" s="482"/>
      <c r="CX654" s="482"/>
      <c r="CY654" s="482"/>
      <c r="CZ654" s="485"/>
      <c r="DA654" s="485"/>
      <c r="DB654" s="485"/>
      <c r="DC654" s="485"/>
      <c r="DD654" s="485"/>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485"/>
      <c r="EX654" s="457"/>
      <c r="EY654" s="457"/>
      <c r="EZ654" s="457"/>
      <c r="FA654" s="457"/>
      <c r="FB654" s="457"/>
      <c r="FC654" s="457"/>
      <c r="FD654" s="457"/>
      <c r="FE654" s="457"/>
      <c r="FF654" s="457"/>
      <c r="FG654" s="457"/>
      <c r="FH654" s="457"/>
      <c r="FI654" s="457"/>
      <c r="FJ654" s="457"/>
      <c r="FK654" s="457"/>
    </row>
    <row r="655" spans="1:167" s="416" customFormat="1">
      <c r="A655" s="427"/>
      <c r="B655" s="427"/>
      <c r="C655" s="427"/>
      <c r="D655" s="427"/>
      <c r="E655" s="428"/>
      <c r="F655" s="429"/>
      <c r="G655" s="430"/>
      <c r="H655" s="427"/>
      <c r="I655" s="427"/>
      <c r="J655" s="427"/>
      <c r="K655" s="427"/>
      <c r="L655" s="427"/>
      <c r="M655" s="427"/>
      <c r="N655" s="427"/>
      <c r="O655" s="427"/>
      <c r="P655" s="427"/>
      <c r="Q655" s="427"/>
      <c r="R655" s="427"/>
      <c r="S655" s="427"/>
      <c r="T655" s="427"/>
      <c r="U655" s="427"/>
      <c r="V655" s="428"/>
      <c r="W655" s="431"/>
      <c r="X655" s="3"/>
      <c r="Y655" s="429"/>
      <c r="Z655" s="430"/>
      <c r="AA655" s="430"/>
      <c r="AB655" s="430"/>
      <c r="AC655" s="424"/>
      <c r="AD655" s="424"/>
      <c r="AE655" s="424"/>
      <c r="AF655" s="424"/>
      <c r="AG655" s="424"/>
      <c r="AH655" s="424"/>
      <c r="AI655" s="424"/>
      <c r="AJ655" s="2"/>
      <c r="AK655" s="2"/>
      <c r="AL655" s="2"/>
      <c r="AM655" s="2"/>
      <c r="AN655" s="2"/>
      <c r="AO655" s="2"/>
      <c r="AP655" s="2"/>
      <c r="AQ655" s="427"/>
      <c r="AR655" s="754"/>
      <c r="AS655" s="427"/>
      <c r="AT655" s="754"/>
      <c r="AU655" s="427"/>
      <c r="AV655" s="427"/>
      <c r="AW655" s="427"/>
      <c r="AX655" s="427"/>
      <c r="AY655" s="754"/>
      <c r="AZ655" s="754"/>
      <c r="BA655" s="754"/>
      <c r="BB655" s="427"/>
      <c r="BC655" s="427"/>
      <c r="BD655" s="427"/>
      <c r="BE655" s="754"/>
      <c r="BF655" s="427"/>
      <c r="BG655" s="454"/>
      <c r="BH655" s="754"/>
      <c r="BI655" s="427"/>
      <c r="BJ655" s="427"/>
      <c r="BK655" s="427"/>
      <c r="BL655" s="427"/>
      <c r="BM655" s="454"/>
      <c r="BN655" s="427"/>
      <c r="BO655" s="427"/>
      <c r="BP655" s="427"/>
      <c r="BQ655" s="454"/>
      <c r="BR655" s="454"/>
      <c r="BS655" s="460"/>
      <c r="BT655" s="454"/>
      <c r="BU655" s="454"/>
      <c r="BV655" s="457"/>
      <c r="BW655" s="460"/>
      <c r="BX655" s="460"/>
      <c r="BY655" s="460"/>
      <c r="CA655" s="2"/>
      <c r="CB655" s="2"/>
      <c r="CC655" s="2"/>
      <c r="CD655" s="2"/>
      <c r="CE655" s="2"/>
      <c r="CF655" s="2"/>
      <c r="CG655" s="2"/>
      <c r="CH655" s="2"/>
      <c r="CI655" s="2"/>
      <c r="CJ655" s="2"/>
      <c r="CK655" s="2"/>
      <c r="CL655" s="2"/>
      <c r="CM655" s="2"/>
      <c r="CN655" s="2"/>
      <c r="CO655" s="427"/>
      <c r="CP655" s="427"/>
      <c r="CQ655" s="427"/>
      <c r="CR655" s="485"/>
      <c r="CS655" s="485"/>
      <c r="CT655" s="485"/>
      <c r="CU655" s="485"/>
      <c r="CV655" s="482"/>
      <c r="CW655" s="482"/>
      <c r="CX655" s="482"/>
      <c r="CY655" s="482"/>
      <c r="CZ655" s="485"/>
      <c r="DA655" s="485"/>
      <c r="DB655" s="485"/>
      <c r="DC655" s="485"/>
      <c r="DD655" s="485"/>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485"/>
      <c r="EX655" s="457"/>
      <c r="EY655" s="457"/>
      <c r="EZ655" s="457"/>
      <c r="FA655" s="457"/>
      <c r="FB655" s="457"/>
      <c r="FC655" s="457"/>
      <c r="FD655" s="457"/>
      <c r="FE655" s="457"/>
      <c r="FF655" s="457"/>
      <c r="FG655" s="457"/>
      <c r="FH655" s="457"/>
      <c r="FI655" s="457"/>
      <c r="FJ655" s="457"/>
      <c r="FK655" s="457"/>
    </row>
    <row r="656" spans="1:167" s="416" customFormat="1">
      <c r="A656" s="427"/>
      <c r="B656" s="427"/>
      <c r="C656" s="427"/>
      <c r="D656" s="427"/>
      <c r="E656" s="428"/>
      <c r="F656" s="429"/>
      <c r="G656" s="430"/>
      <c r="H656" s="427"/>
      <c r="I656" s="427"/>
      <c r="J656" s="427"/>
      <c r="K656" s="427"/>
      <c r="L656" s="427"/>
      <c r="M656" s="427"/>
      <c r="N656" s="427"/>
      <c r="O656" s="427"/>
      <c r="P656" s="427"/>
      <c r="Q656" s="427"/>
      <c r="R656" s="427"/>
      <c r="S656" s="427"/>
      <c r="T656" s="427"/>
      <c r="U656" s="427"/>
      <c r="V656" s="428"/>
      <c r="W656" s="431"/>
      <c r="X656" s="3"/>
      <c r="Y656" s="429"/>
      <c r="Z656" s="430"/>
      <c r="AA656" s="430"/>
      <c r="AB656" s="430"/>
      <c r="AC656" s="424"/>
      <c r="AD656" s="424"/>
      <c r="AE656" s="424"/>
      <c r="AF656" s="424"/>
      <c r="AG656" s="424"/>
      <c r="AH656" s="424"/>
      <c r="AI656" s="424"/>
      <c r="AJ656" s="2"/>
      <c r="AK656" s="2"/>
      <c r="AL656" s="2"/>
      <c r="AM656" s="2"/>
      <c r="AN656" s="2"/>
      <c r="AO656" s="2"/>
      <c r="AP656" s="2"/>
      <c r="AQ656" s="427"/>
      <c r="AR656" s="754"/>
      <c r="AS656" s="427"/>
      <c r="AT656" s="754"/>
      <c r="AU656" s="427"/>
      <c r="AV656" s="427"/>
      <c r="AW656" s="427"/>
      <c r="AX656" s="427"/>
      <c r="AY656" s="754"/>
      <c r="AZ656" s="754"/>
      <c r="BA656" s="754"/>
      <c r="BB656" s="427"/>
      <c r="BC656" s="427"/>
      <c r="BD656" s="427"/>
      <c r="BE656" s="754"/>
      <c r="BF656" s="427"/>
      <c r="BG656" s="454"/>
      <c r="BH656" s="754"/>
      <c r="BI656" s="427"/>
      <c r="BJ656" s="427"/>
      <c r="BK656" s="427"/>
      <c r="BL656" s="427"/>
      <c r="BM656" s="454"/>
      <c r="BN656" s="427"/>
      <c r="BO656" s="427"/>
      <c r="BP656" s="427"/>
      <c r="BQ656" s="454"/>
      <c r="BR656" s="454"/>
      <c r="BS656" s="460"/>
      <c r="BT656" s="454"/>
      <c r="BU656" s="454"/>
      <c r="BV656" s="457"/>
      <c r="BW656" s="460"/>
      <c r="BX656" s="460"/>
      <c r="BY656" s="460"/>
      <c r="CA656" s="2"/>
      <c r="CB656" s="2"/>
      <c r="CC656" s="2"/>
      <c r="CD656" s="2"/>
      <c r="CE656" s="2"/>
      <c r="CF656" s="2"/>
      <c r="CG656" s="2"/>
      <c r="CH656" s="2"/>
      <c r="CI656" s="2"/>
      <c r="CJ656" s="2"/>
      <c r="CK656" s="2"/>
      <c r="CL656" s="2"/>
      <c r="CM656" s="2"/>
      <c r="CN656" s="2"/>
      <c r="CO656" s="427"/>
      <c r="CP656" s="427"/>
      <c r="CQ656" s="427"/>
      <c r="CR656" s="485"/>
      <c r="CS656" s="485"/>
      <c r="CT656" s="485"/>
      <c r="CU656" s="485"/>
      <c r="CV656" s="482"/>
      <c r="CW656" s="482"/>
      <c r="CX656" s="482"/>
      <c r="CY656" s="482"/>
      <c r="CZ656" s="485"/>
      <c r="DA656" s="485"/>
      <c r="DB656" s="485"/>
      <c r="DC656" s="485"/>
      <c r="DD656" s="485"/>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485"/>
      <c r="EX656" s="457"/>
      <c r="EY656" s="457"/>
      <c r="EZ656" s="457"/>
      <c r="FA656" s="457"/>
      <c r="FB656" s="457"/>
      <c r="FC656" s="457"/>
      <c r="FD656" s="457"/>
      <c r="FE656" s="457"/>
      <c r="FF656" s="457"/>
      <c r="FG656" s="457"/>
      <c r="FH656" s="457"/>
      <c r="FI656" s="457"/>
      <c r="FJ656" s="457"/>
      <c r="FK656" s="457"/>
    </row>
    <row r="657" spans="1:167" s="416" customFormat="1">
      <c r="A657" s="427"/>
      <c r="B657" s="427"/>
      <c r="C657" s="427"/>
      <c r="D657" s="427"/>
      <c r="E657" s="428"/>
      <c r="F657" s="429"/>
      <c r="G657" s="430"/>
      <c r="H657" s="427"/>
      <c r="I657" s="427"/>
      <c r="J657" s="427"/>
      <c r="K657" s="427"/>
      <c r="L657" s="427"/>
      <c r="M657" s="427"/>
      <c r="N657" s="427"/>
      <c r="O657" s="427"/>
      <c r="P657" s="427"/>
      <c r="Q657" s="427"/>
      <c r="R657" s="427"/>
      <c r="S657" s="427"/>
      <c r="T657" s="427"/>
      <c r="U657" s="427"/>
      <c r="V657" s="428"/>
      <c r="W657" s="431"/>
      <c r="X657" s="3"/>
      <c r="Y657" s="429"/>
      <c r="Z657" s="430"/>
      <c r="AA657" s="430"/>
      <c r="AB657" s="430"/>
      <c r="AC657" s="424"/>
      <c r="AD657" s="424"/>
      <c r="AE657" s="424"/>
      <c r="AF657" s="424"/>
      <c r="AG657" s="424"/>
      <c r="AH657" s="424"/>
      <c r="AI657" s="424"/>
      <c r="AJ657" s="2"/>
      <c r="AK657" s="2"/>
      <c r="AL657" s="2"/>
      <c r="AM657" s="2"/>
      <c r="AN657" s="2"/>
      <c r="AO657" s="2"/>
      <c r="AP657" s="2"/>
      <c r="AQ657" s="427"/>
      <c r="AR657" s="754"/>
      <c r="AS657" s="427"/>
      <c r="AT657" s="754"/>
      <c r="AU657" s="427"/>
      <c r="AV657" s="427"/>
      <c r="AW657" s="427"/>
      <c r="AX657" s="427"/>
      <c r="AY657" s="754"/>
      <c r="AZ657" s="754"/>
      <c r="BA657" s="754"/>
      <c r="BB657" s="427"/>
      <c r="BC657" s="427"/>
      <c r="BD657" s="427"/>
      <c r="BE657" s="754"/>
      <c r="BF657" s="427"/>
      <c r="BG657" s="454"/>
      <c r="BH657" s="754"/>
      <c r="BI657" s="427"/>
      <c r="BJ657" s="427"/>
      <c r="BK657" s="427"/>
      <c r="BL657" s="427"/>
      <c r="BM657" s="454"/>
      <c r="BN657" s="427"/>
      <c r="BO657" s="427"/>
      <c r="BP657" s="427"/>
      <c r="BQ657" s="454"/>
      <c r="BR657" s="454"/>
      <c r="BS657" s="460"/>
      <c r="BT657" s="454"/>
      <c r="BU657" s="454"/>
      <c r="BV657" s="457"/>
      <c r="BW657" s="460"/>
      <c r="BX657" s="460"/>
      <c r="BY657" s="460"/>
      <c r="CA657" s="2"/>
      <c r="CB657" s="2"/>
      <c r="CC657" s="2"/>
      <c r="CD657" s="2"/>
      <c r="CE657" s="2"/>
      <c r="CF657" s="2"/>
      <c r="CG657" s="2"/>
      <c r="CH657" s="2"/>
      <c r="CI657" s="2"/>
      <c r="CJ657" s="2"/>
      <c r="CK657" s="2"/>
      <c r="CL657" s="2"/>
      <c r="CM657" s="2"/>
      <c r="CN657" s="2"/>
      <c r="CO657" s="427"/>
      <c r="CP657" s="427"/>
      <c r="CQ657" s="427"/>
      <c r="CR657" s="485"/>
      <c r="CS657" s="485"/>
      <c r="CT657" s="485"/>
      <c r="CU657" s="485"/>
      <c r="CV657" s="482"/>
      <c r="CW657" s="482"/>
      <c r="CX657" s="482"/>
      <c r="CY657" s="482"/>
      <c r="CZ657" s="485"/>
      <c r="DA657" s="485"/>
      <c r="DB657" s="485"/>
      <c r="DC657" s="485"/>
      <c r="DD657" s="485"/>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485"/>
      <c r="EX657" s="457"/>
      <c r="EY657" s="457"/>
      <c r="EZ657" s="457"/>
      <c r="FA657" s="457"/>
      <c r="FB657" s="457"/>
      <c r="FC657" s="457"/>
      <c r="FD657" s="457"/>
      <c r="FE657" s="457"/>
      <c r="FF657" s="457"/>
      <c r="FG657" s="457"/>
      <c r="FH657" s="457"/>
      <c r="FI657" s="457"/>
      <c r="FJ657" s="457"/>
      <c r="FK657" s="457"/>
    </row>
    <row r="658" spans="1:167" s="416" customFormat="1">
      <c r="A658" s="427"/>
      <c r="B658" s="427"/>
      <c r="C658" s="427"/>
      <c r="D658" s="427"/>
      <c r="E658" s="428"/>
      <c r="F658" s="429"/>
      <c r="G658" s="430"/>
      <c r="H658" s="427"/>
      <c r="I658" s="427"/>
      <c r="J658" s="427"/>
      <c r="K658" s="427"/>
      <c r="L658" s="427"/>
      <c r="M658" s="427"/>
      <c r="N658" s="427"/>
      <c r="O658" s="427"/>
      <c r="P658" s="427"/>
      <c r="Q658" s="427"/>
      <c r="R658" s="427"/>
      <c r="S658" s="427"/>
      <c r="T658" s="427"/>
      <c r="U658" s="427"/>
      <c r="V658" s="428"/>
      <c r="W658" s="431"/>
      <c r="X658" s="3"/>
      <c r="Y658" s="429"/>
      <c r="Z658" s="430"/>
      <c r="AA658" s="430"/>
      <c r="AB658" s="430"/>
      <c r="AC658" s="424"/>
      <c r="AD658" s="424"/>
      <c r="AE658" s="424"/>
      <c r="AF658" s="424"/>
      <c r="AG658" s="424"/>
      <c r="AH658" s="424"/>
      <c r="AI658" s="424"/>
      <c r="AJ658" s="2"/>
      <c r="AK658" s="2"/>
      <c r="AL658" s="2"/>
      <c r="AM658" s="2"/>
      <c r="AN658" s="2"/>
      <c r="AO658" s="2"/>
      <c r="AP658" s="2"/>
      <c r="AQ658" s="427"/>
      <c r="AR658" s="754"/>
      <c r="AS658" s="427"/>
      <c r="AT658" s="754"/>
      <c r="AU658" s="427"/>
      <c r="AV658" s="427"/>
      <c r="AW658" s="427"/>
      <c r="AX658" s="427"/>
      <c r="AY658" s="754"/>
      <c r="AZ658" s="754"/>
      <c r="BA658" s="754"/>
      <c r="BB658" s="427"/>
      <c r="BC658" s="427"/>
      <c r="BD658" s="427"/>
      <c r="BE658" s="754"/>
      <c r="BF658" s="427"/>
      <c r="BG658" s="454"/>
      <c r="BH658" s="754"/>
      <c r="BI658" s="427"/>
      <c r="BJ658" s="427"/>
      <c r="BK658" s="427"/>
      <c r="BL658" s="427"/>
      <c r="BM658" s="454"/>
      <c r="BN658" s="427"/>
      <c r="BO658" s="427"/>
      <c r="BP658" s="427"/>
      <c r="BQ658" s="454"/>
      <c r="BR658" s="454"/>
      <c r="BS658" s="460"/>
      <c r="BT658" s="454"/>
      <c r="BU658" s="454"/>
      <c r="BV658" s="457"/>
      <c r="BW658" s="460"/>
      <c r="BX658" s="460"/>
      <c r="BY658" s="460"/>
      <c r="CA658" s="2"/>
      <c r="CB658" s="2"/>
      <c r="CC658" s="2"/>
      <c r="CD658" s="2"/>
      <c r="CE658" s="2"/>
      <c r="CF658" s="2"/>
      <c r="CG658" s="2"/>
      <c r="CH658" s="2"/>
      <c r="CI658" s="2"/>
      <c r="CJ658" s="2"/>
      <c r="CK658" s="2"/>
      <c r="CL658" s="2"/>
      <c r="CM658" s="2"/>
      <c r="CN658" s="2"/>
      <c r="CO658" s="427"/>
      <c r="CP658" s="427"/>
      <c r="CQ658" s="427"/>
      <c r="CR658" s="485"/>
      <c r="CS658" s="485"/>
      <c r="CT658" s="485"/>
      <c r="CU658" s="485"/>
      <c r="CV658" s="482"/>
      <c r="CW658" s="482"/>
      <c r="CX658" s="482"/>
      <c r="CY658" s="482"/>
      <c r="CZ658" s="485"/>
      <c r="DA658" s="485"/>
      <c r="DB658" s="485"/>
      <c r="DC658" s="485"/>
      <c r="DD658" s="485"/>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485"/>
      <c r="EX658" s="457"/>
      <c r="EY658" s="457"/>
      <c r="EZ658" s="457"/>
      <c r="FA658" s="457"/>
      <c r="FB658" s="457"/>
      <c r="FC658" s="457"/>
      <c r="FD658" s="457"/>
      <c r="FE658" s="457"/>
      <c r="FF658" s="457"/>
      <c r="FG658" s="457"/>
      <c r="FH658" s="457"/>
      <c r="FI658" s="457"/>
      <c r="FJ658" s="457"/>
      <c r="FK658" s="457"/>
    </row>
    <row r="659" spans="1:167" s="416" customFormat="1">
      <c r="A659" s="427"/>
      <c r="B659" s="427"/>
      <c r="C659" s="427"/>
      <c r="D659" s="427"/>
      <c r="E659" s="428"/>
      <c r="F659" s="429"/>
      <c r="G659" s="430"/>
      <c r="H659" s="427"/>
      <c r="I659" s="427"/>
      <c r="J659" s="427"/>
      <c r="K659" s="427"/>
      <c r="L659" s="427"/>
      <c r="M659" s="427"/>
      <c r="N659" s="427"/>
      <c r="O659" s="427"/>
      <c r="P659" s="427"/>
      <c r="Q659" s="427"/>
      <c r="R659" s="427"/>
      <c r="S659" s="427"/>
      <c r="T659" s="427"/>
      <c r="U659" s="427"/>
      <c r="V659" s="428"/>
      <c r="W659" s="431"/>
      <c r="X659" s="3"/>
      <c r="Y659" s="429"/>
      <c r="Z659" s="430"/>
      <c r="AA659" s="430"/>
      <c r="AB659" s="430"/>
      <c r="AC659" s="424"/>
      <c r="AD659" s="424"/>
      <c r="AE659" s="424"/>
      <c r="AF659" s="424"/>
      <c r="AG659" s="424"/>
      <c r="AH659" s="424"/>
      <c r="AI659" s="424"/>
      <c r="AJ659" s="2"/>
      <c r="AK659" s="2"/>
      <c r="AL659" s="2"/>
      <c r="AM659" s="2"/>
      <c r="AN659" s="2"/>
      <c r="AO659" s="2"/>
      <c r="AP659" s="2"/>
      <c r="AQ659" s="427"/>
      <c r="AR659" s="754"/>
      <c r="AS659" s="427"/>
      <c r="AT659" s="754"/>
      <c r="AU659" s="427"/>
      <c r="AV659" s="427"/>
      <c r="AW659" s="427"/>
      <c r="AX659" s="427"/>
      <c r="AY659" s="754"/>
      <c r="AZ659" s="754"/>
      <c r="BA659" s="754"/>
      <c r="BB659" s="427"/>
      <c r="BC659" s="427"/>
      <c r="BD659" s="427"/>
      <c r="BE659" s="754"/>
      <c r="BF659" s="427"/>
      <c r="BG659" s="454"/>
      <c r="BH659" s="754"/>
      <c r="BI659" s="427"/>
      <c r="BJ659" s="427"/>
      <c r="BK659" s="427"/>
      <c r="BL659" s="427"/>
      <c r="BM659" s="454"/>
      <c r="BN659" s="427"/>
      <c r="BO659" s="427"/>
      <c r="BP659" s="427"/>
      <c r="BQ659" s="454"/>
      <c r="BR659" s="454"/>
      <c r="BS659" s="460"/>
      <c r="BT659" s="454"/>
      <c r="BU659" s="454"/>
      <c r="BV659" s="457"/>
      <c r="BW659" s="460"/>
      <c r="BX659" s="460"/>
      <c r="BY659" s="460"/>
      <c r="CA659" s="2"/>
      <c r="CB659" s="2"/>
      <c r="CC659" s="2"/>
      <c r="CD659" s="2"/>
      <c r="CE659" s="2"/>
      <c r="CF659" s="2"/>
      <c r="CG659" s="2"/>
      <c r="CH659" s="2"/>
      <c r="CI659" s="2"/>
      <c r="CJ659" s="2"/>
      <c r="CK659" s="2"/>
      <c r="CL659" s="2"/>
      <c r="CM659" s="2"/>
      <c r="CN659" s="2"/>
      <c r="CO659" s="427"/>
      <c r="CP659" s="427"/>
      <c r="CQ659" s="427"/>
      <c r="CR659" s="485"/>
      <c r="CS659" s="485"/>
      <c r="CT659" s="485"/>
      <c r="CU659" s="485"/>
      <c r="CV659" s="482"/>
      <c r="CW659" s="482"/>
      <c r="CX659" s="482"/>
      <c r="CY659" s="482"/>
      <c r="CZ659" s="485"/>
      <c r="DA659" s="485"/>
      <c r="DB659" s="485"/>
      <c r="DC659" s="485"/>
      <c r="DD659" s="485"/>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485"/>
      <c r="EX659" s="457"/>
      <c r="EY659" s="457"/>
      <c r="EZ659" s="457"/>
      <c r="FA659" s="457"/>
      <c r="FB659" s="457"/>
      <c r="FC659" s="457"/>
      <c r="FD659" s="457"/>
      <c r="FE659" s="457"/>
      <c r="FF659" s="457"/>
      <c r="FG659" s="457"/>
      <c r="FH659" s="457"/>
      <c r="FI659" s="457"/>
      <c r="FJ659" s="457"/>
      <c r="FK659" s="457"/>
    </row>
    <row r="660" spans="1:167" s="416" customFormat="1">
      <c r="A660" s="427"/>
      <c r="B660" s="427"/>
      <c r="C660" s="427"/>
      <c r="D660" s="427"/>
      <c r="E660" s="428"/>
      <c r="F660" s="429"/>
      <c r="G660" s="430"/>
      <c r="H660" s="427"/>
      <c r="I660" s="427"/>
      <c r="J660" s="427"/>
      <c r="K660" s="427"/>
      <c r="L660" s="427"/>
      <c r="M660" s="427"/>
      <c r="N660" s="427"/>
      <c r="O660" s="427"/>
      <c r="P660" s="427"/>
      <c r="Q660" s="427"/>
      <c r="R660" s="427"/>
      <c r="S660" s="427"/>
      <c r="T660" s="427"/>
      <c r="U660" s="427"/>
      <c r="V660" s="428"/>
      <c r="W660" s="431"/>
      <c r="X660" s="3"/>
      <c r="Y660" s="429"/>
      <c r="Z660" s="430"/>
      <c r="AA660" s="430"/>
      <c r="AB660" s="430"/>
      <c r="AC660" s="424"/>
      <c r="AD660" s="424"/>
      <c r="AE660" s="424"/>
      <c r="AF660" s="424"/>
      <c r="AG660" s="424"/>
      <c r="AH660" s="424"/>
      <c r="AI660" s="424"/>
      <c r="AJ660" s="2"/>
      <c r="AK660" s="2"/>
      <c r="AL660" s="2"/>
      <c r="AM660" s="2"/>
      <c r="AN660" s="2"/>
      <c r="AO660" s="2"/>
      <c r="AP660" s="2"/>
      <c r="AQ660" s="427"/>
      <c r="AR660" s="754"/>
      <c r="AS660" s="427"/>
      <c r="AT660" s="754"/>
      <c r="AU660" s="427"/>
      <c r="AV660" s="427"/>
      <c r="AW660" s="427"/>
      <c r="AX660" s="427"/>
      <c r="AY660" s="754"/>
      <c r="AZ660" s="754"/>
      <c r="BA660" s="754"/>
      <c r="BB660" s="427"/>
      <c r="BC660" s="427"/>
      <c r="BD660" s="427"/>
      <c r="BE660" s="754"/>
      <c r="BF660" s="427"/>
      <c r="BG660" s="454"/>
      <c r="BH660" s="754"/>
      <c r="BI660" s="427"/>
      <c r="BJ660" s="427"/>
      <c r="BK660" s="427"/>
      <c r="BL660" s="427"/>
      <c r="BM660" s="454"/>
      <c r="BN660" s="427"/>
      <c r="BO660" s="427"/>
      <c r="BP660" s="427"/>
      <c r="BQ660" s="454"/>
      <c r="BR660" s="454"/>
      <c r="BS660" s="460"/>
      <c r="BT660" s="454"/>
      <c r="BU660" s="454"/>
      <c r="BV660" s="457"/>
      <c r="BW660" s="460"/>
      <c r="BX660" s="460"/>
      <c r="BY660" s="460"/>
      <c r="CA660" s="2"/>
      <c r="CB660" s="2"/>
      <c r="CC660" s="2"/>
      <c r="CD660" s="2"/>
      <c r="CE660" s="2"/>
      <c r="CF660" s="2"/>
      <c r="CG660" s="2"/>
      <c r="CH660" s="2"/>
      <c r="CI660" s="2"/>
      <c r="CJ660" s="2"/>
      <c r="CK660" s="2"/>
      <c r="CL660" s="2"/>
      <c r="CM660" s="2"/>
      <c r="CN660" s="2"/>
      <c r="CO660" s="427"/>
      <c r="CP660" s="427"/>
      <c r="CQ660" s="427"/>
      <c r="CR660" s="485"/>
      <c r="CS660" s="485"/>
      <c r="CT660" s="485"/>
      <c r="CU660" s="485"/>
      <c r="CV660" s="482"/>
      <c r="CW660" s="482"/>
      <c r="CX660" s="482"/>
      <c r="CY660" s="482"/>
      <c r="CZ660" s="485"/>
      <c r="DA660" s="485"/>
      <c r="DB660" s="485"/>
      <c r="DC660" s="485"/>
      <c r="DD660" s="485"/>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485"/>
      <c r="EX660" s="457"/>
      <c r="EY660" s="457"/>
      <c r="EZ660" s="457"/>
      <c r="FA660" s="457"/>
      <c r="FB660" s="457"/>
      <c r="FC660" s="457"/>
      <c r="FD660" s="457"/>
      <c r="FE660" s="457"/>
      <c r="FF660" s="457"/>
      <c r="FG660" s="457"/>
      <c r="FH660" s="457"/>
      <c r="FI660" s="457"/>
      <c r="FJ660" s="457"/>
      <c r="FK660" s="457"/>
    </row>
    <row r="661" spans="1:167" s="416" customFormat="1">
      <c r="A661" s="427"/>
      <c r="B661" s="427"/>
      <c r="C661" s="427"/>
      <c r="D661" s="427"/>
      <c r="E661" s="428"/>
      <c r="F661" s="429"/>
      <c r="G661" s="430"/>
      <c r="H661" s="427"/>
      <c r="I661" s="427"/>
      <c r="J661" s="427"/>
      <c r="K661" s="427"/>
      <c r="L661" s="427"/>
      <c r="M661" s="427"/>
      <c r="N661" s="427"/>
      <c r="O661" s="427"/>
      <c r="P661" s="427"/>
      <c r="Q661" s="427"/>
      <c r="R661" s="427"/>
      <c r="S661" s="427"/>
      <c r="T661" s="427"/>
      <c r="U661" s="427"/>
      <c r="V661" s="428"/>
      <c r="W661" s="431"/>
      <c r="X661" s="3"/>
      <c r="Y661" s="429"/>
      <c r="Z661" s="430"/>
      <c r="AA661" s="430"/>
      <c r="AB661" s="430"/>
      <c r="AC661" s="424"/>
      <c r="AD661" s="424"/>
      <c r="AE661" s="424"/>
      <c r="AF661" s="424"/>
      <c r="AG661" s="424"/>
      <c r="AH661" s="424"/>
      <c r="AI661" s="424"/>
      <c r="AJ661" s="2"/>
      <c r="AK661" s="2"/>
      <c r="AL661" s="2"/>
      <c r="AM661" s="2"/>
      <c r="AN661" s="2"/>
      <c r="AO661" s="2"/>
      <c r="AP661" s="2"/>
      <c r="AQ661" s="427"/>
      <c r="AR661" s="754"/>
      <c r="AS661" s="427"/>
      <c r="AT661" s="754"/>
      <c r="AU661" s="427"/>
      <c r="AV661" s="427"/>
      <c r="AW661" s="427"/>
      <c r="AX661" s="427"/>
      <c r="AY661" s="754"/>
      <c r="AZ661" s="754"/>
      <c r="BA661" s="754"/>
      <c r="BB661" s="427"/>
      <c r="BC661" s="427"/>
      <c r="BD661" s="427"/>
      <c r="BE661" s="754"/>
      <c r="BF661" s="427"/>
      <c r="BG661" s="454"/>
      <c r="BH661" s="754"/>
      <c r="BI661" s="427"/>
      <c r="BJ661" s="427"/>
      <c r="BK661" s="427"/>
      <c r="BL661" s="427"/>
      <c r="BM661" s="454"/>
      <c r="BN661" s="427"/>
      <c r="BO661" s="427"/>
      <c r="BP661" s="427"/>
      <c r="BQ661" s="454"/>
      <c r="BR661" s="454"/>
      <c r="BS661" s="460"/>
      <c r="BT661" s="454"/>
      <c r="BU661" s="454"/>
      <c r="BV661" s="457"/>
      <c r="BW661" s="460"/>
      <c r="BX661" s="460"/>
      <c r="BY661" s="460"/>
      <c r="CA661" s="2"/>
      <c r="CB661" s="2"/>
      <c r="CC661" s="2"/>
      <c r="CD661" s="2"/>
      <c r="CE661" s="2"/>
      <c r="CF661" s="2"/>
      <c r="CG661" s="2"/>
      <c r="CH661" s="2"/>
      <c r="CI661" s="2"/>
      <c r="CJ661" s="2"/>
      <c r="CK661" s="2"/>
      <c r="CL661" s="2"/>
      <c r="CM661" s="2"/>
      <c r="CN661" s="2"/>
      <c r="CO661" s="427"/>
      <c r="CP661" s="427"/>
      <c r="CQ661" s="427"/>
      <c r="CR661" s="485"/>
      <c r="CS661" s="485"/>
      <c r="CT661" s="485"/>
      <c r="CU661" s="485"/>
      <c r="CV661" s="482"/>
      <c r="CW661" s="482"/>
      <c r="CX661" s="482"/>
      <c r="CY661" s="482"/>
      <c r="CZ661" s="485"/>
      <c r="DA661" s="485"/>
      <c r="DB661" s="485"/>
      <c r="DC661" s="485"/>
      <c r="DD661" s="485"/>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485"/>
      <c r="EX661" s="457"/>
      <c r="EY661" s="457"/>
      <c r="EZ661" s="457"/>
      <c r="FA661" s="457"/>
      <c r="FB661" s="457"/>
      <c r="FC661" s="457"/>
      <c r="FD661" s="457"/>
      <c r="FE661" s="457"/>
      <c r="FF661" s="457"/>
      <c r="FG661" s="457"/>
      <c r="FH661" s="457"/>
      <c r="FI661" s="457"/>
      <c r="FJ661" s="457"/>
      <c r="FK661" s="457"/>
    </row>
    <row r="662" spans="1:167" s="416" customFormat="1">
      <c r="A662" s="427"/>
      <c r="B662" s="427"/>
      <c r="C662" s="427"/>
      <c r="D662" s="427"/>
      <c r="E662" s="428"/>
      <c r="F662" s="429"/>
      <c r="G662" s="430"/>
      <c r="H662" s="427"/>
      <c r="I662" s="427"/>
      <c r="J662" s="427"/>
      <c r="K662" s="427"/>
      <c r="L662" s="427"/>
      <c r="M662" s="427"/>
      <c r="N662" s="427"/>
      <c r="O662" s="427"/>
      <c r="P662" s="427"/>
      <c r="Q662" s="427"/>
      <c r="R662" s="427"/>
      <c r="S662" s="427"/>
      <c r="T662" s="427"/>
      <c r="U662" s="427"/>
      <c r="V662" s="428"/>
      <c r="W662" s="431"/>
      <c r="X662" s="3"/>
      <c r="Y662" s="429"/>
      <c r="Z662" s="430"/>
      <c r="AA662" s="430"/>
      <c r="AB662" s="430"/>
      <c r="AC662" s="424"/>
      <c r="AD662" s="424"/>
      <c r="AE662" s="424"/>
      <c r="AF662" s="424"/>
      <c r="AG662" s="424"/>
      <c r="AH662" s="424"/>
      <c r="AI662" s="424"/>
      <c r="AJ662" s="2"/>
      <c r="AK662" s="2"/>
      <c r="AL662" s="2"/>
      <c r="AM662" s="2"/>
      <c r="AN662" s="2"/>
      <c r="AO662" s="2"/>
      <c r="AP662" s="2"/>
      <c r="AQ662" s="427"/>
      <c r="AR662" s="754"/>
      <c r="AS662" s="427"/>
      <c r="AT662" s="754"/>
      <c r="AU662" s="427"/>
      <c r="AV662" s="427"/>
      <c r="AW662" s="427"/>
      <c r="AX662" s="427"/>
      <c r="AY662" s="754"/>
      <c r="AZ662" s="754"/>
      <c r="BA662" s="754"/>
      <c r="BB662" s="427"/>
      <c r="BC662" s="427"/>
      <c r="BD662" s="427"/>
      <c r="BE662" s="754"/>
      <c r="BF662" s="427"/>
      <c r="BG662" s="454"/>
      <c r="BH662" s="754"/>
      <c r="BI662" s="427"/>
      <c r="BJ662" s="427"/>
      <c r="BK662" s="427"/>
      <c r="BL662" s="427"/>
      <c r="BM662" s="454"/>
      <c r="BN662" s="427"/>
      <c r="BO662" s="427"/>
      <c r="BP662" s="427"/>
      <c r="BQ662" s="454"/>
      <c r="BR662" s="454"/>
      <c r="BS662" s="460"/>
      <c r="BT662" s="454"/>
      <c r="BU662" s="454"/>
      <c r="BV662" s="457"/>
      <c r="BW662" s="460"/>
      <c r="BX662" s="460"/>
      <c r="BY662" s="460"/>
      <c r="CA662" s="2"/>
      <c r="CB662" s="2"/>
      <c r="CC662" s="2"/>
      <c r="CD662" s="2"/>
      <c r="CE662" s="2"/>
      <c r="CF662" s="2"/>
      <c r="CG662" s="2"/>
      <c r="CH662" s="2"/>
      <c r="CI662" s="2"/>
      <c r="CJ662" s="2"/>
      <c r="CK662" s="2"/>
      <c r="CL662" s="2"/>
      <c r="CM662" s="2"/>
      <c r="CN662" s="2"/>
      <c r="CO662" s="427"/>
      <c r="CP662" s="427"/>
      <c r="CQ662" s="427"/>
      <c r="CR662" s="485"/>
      <c r="CS662" s="485"/>
      <c r="CT662" s="485"/>
      <c r="CU662" s="485"/>
      <c r="CV662" s="482"/>
      <c r="CW662" s="482"/>
      <c r="CX662" s="482"/>
      <c r="CY662" s="482"/>
      <c r="CZ662" s="485"/>
      <c r="DA662" s="485"/>
      <c r="DB662" s="485"/>
      <c r="DC662" s="485"/>
      <c r="DD662" s="485"/>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485"/>
      <c r="EX662" s="457"/>
      <c r="EY662" s="457"/>
      <c r="EZ662" s="457"/>
      <c r="FA662" s="457"/>
      <c r="FB662" s="457"/>
      <c r="FC662" s="457"/>
      <c r="FD662" s="457"/>
      <c r="FE662" s="457"/>
      <c r="FF662" s="457"/>
      <c r="FG662" s="457"/>
      <c r="FH662" s="457"/>
      <c r="FI662" s="457"/>
      <c r="FJ662" s="457"/>
      <c r="FK662" s="457"/>
    </row>
    <row r="663" spans="1:167" s="416" customFormat="1">
      <c r="A663" s="427"/>
      <c r="B663" s="427"/>
      <c r="C663" s="427"/>
      <c r="D663" s="427"/>
      <c r="E663" s="428"/>
      <c r="F663" s="429"/>
      <c r="G663" s="430"/>
      <c r="H663" s="427"/>
      <c r="I663" s="427"/>
      <c r="J663" s="427"/>
      <c r="K663" s="427"/>
      <c r="L663" s="427"/>
      <c r="M663" s="427"/>
      <c r="N663" s="427"/>
      <c r="O663" s="427"/>
      <c r="P663" s="427"/>
      <c r="Q663" s="427"/>
      <c r="R663" s="427"/>
      <c r="S663" s="427"/>
      <c r="T663" s="427"/>
      <c r="U663" s="427"/>
      <c r="V663" s="428"/>
      <c r="W663" s="431"/>
      <c r="X663" s="3"/>
      <c r="Y663" s="429"/>
      <c r="Z663" s="430"/>
      <c r="AA663" s="430"/>
      <c r="AB663" s="430"/>
      <c r="AC663" s="424"/>
      <c r="AD663" s="424"/>
      <c r="AE663" s="424"/>
      <c r="AF663" s="424"/>
      <c r="AG663" s="424"/>
      <c r="AH663" s="424"/>
      <c r="AI663" s="424"/>
      <c r="AJ663" s="2"/>
      <c r="AK663" s="2"/>
      <c r="AL663" s="2"/>
      <c r="AM663" s="2"/>
      <c r="AN663" s="2"/>
      <c r="AO663" s="2"/>
      <c r="AP663" s="2"/>
      <c r="AQ663" s="427"/>
      <c r="AR663" s="754"/>
      <c r="AS663" s="427"/>
      <c r="AT663" s="754"/>
      <c r="AU663" s="427"/>
      <c r="AV663" s="427"/>
      <c r="AW663" s="427"/>
      <c r="AX663" s="427"/>
      <c r="AY663" s="754"/>
      <c r="AZ663" s="754"/>
      <c r="BA663" s="754"/>
      <c r="BB663" s="427"/>
      <c r="BC663" s="427"/>
      <c r="BD663" s="427"/>
      <c r="BE663" s="754"/>
      <c r="BF663" s="427"/>
      <c r="BG663" s="454"/>
      <c r="BH663" s="754"/>
      <c r="BI663" s="427"/>
      <c r="BJ663" s="427"/>
      <c r="BK663" s="427"/>
      <c r="BL663" s="427"/>
      <c r="BM663" s="454"/>
      <c r="BN663" s="427"/>
      <c r="BO663" s="427"/>
      <c r="BP663" s="427"/>
      <c r="BQ663" s="454"/>
      <c r="BR663" s="454"/>
      <c r="BS663" s="460"/>
      <c r="BT663" s="454"/>
      <c r="BU663" s="454"/>
      <c r="BV663" s="457"/>
      <c r="BW663" s="460"/>
      <c r="BX663" s="460"/>
      <c r="BY663" s="460"/>
      <c r="CA663" s="2"/>
      <c r="CB663" s="2"/>
      <c r="CC663" s="2"/>
      <c r="CD663" s="2"/>
      <c r="CE663" s="2"/>
      <c r="CF663" s="2"/>
      <c r="CG663" s="2"/>
      <c r="CH663" s="2"/>
      <c r="CI663" s="2"/>
      <c r="CJ663" s="2"/>
      <c r="CK663" s="2"/>
      <c r="CL663" s="2"/>
      <c r="CM663" s="2"/>
      <c r="CN663" s="2"/>
      <c r="CO663" s="427"/>
      <c r="CP663" s="427"/>
      <c r="CQ663" s="427"/>
      <c r="CR663" s="485"/>
      <c r="CS663" s="485"/>
      <c r="CT663" s="485"/>
      <c r="CU663" s="485"/>
      <c r="CV663" s="482"/>
      <c r="CW663" s="482"/>
      <c r="CX663" s="482"/>
      <c r="CY663" s="482"/>
      <c r="CZ663" s="485"/>
      <c r="DA663" s="485"/>
      <c r="DB663" s="485"/>
      <c r="DC663" s="485"/>
      <c r="DD663" s="485"/>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485"/>
      <c r="EX663" s="457"/>
      <c r="EY663" s="457"/>
      <c r="EZ663" s="457"/>
      <c r="FA663" s="457"/>
      <c r="FB663" s="457"/>
      <c r="FC663" s="457"/>
      <c r="FD663" s="457"/>
      <c r="FE663" s="457"/>
      <c r="FF663" s="457"/>
      <c r="FG663" s="457"/>
      <c r="FH663" s="457"/>
      <c r="FI663" s="457"/>
      <c r="FJ663" s="457"/>
      <c r="FK663" s="457"/>
    </row>
    <row r="664" spans="1:167" s="416" customFormat="1">
      <c r="A664" s="427"/>
      <c r="B664" s="427"/>
      <c r="C664" s="427"/>
      <c r="D664" s="427"/>
      <c r="E664" s="428"/>
      <c r="F664" s="429"/>
      <c r="G664" s="430"/>
      <c r="H664" s="427"/>
      <c r="I664" s="427"/>
      <c r="J664" s="427"/>
      <c r="K664" s="427"/>
      <c r="L664" s="427"/>
      <c r="M664" s="427"/>
      <c r="N664" s="427"/>
      <c r="O664" s="427"/>
      <c r="P664" s="427"/>
      <c r="Q664" s="427"/>
      <c r="R664" s="427"/>
      <c r="S664" s="427"/>
      <c r="T664" s="427"/>
      <c r="U664" s="427"/>
      <c r="V664" s="428"/>
      <c r="W664" s="431"/>
      <c r="X664" s="3"/>
      <c r="Y664" s="429"/>
      <c r="Z664" s="430"/>
      <c r="AA664" s="430"/>
      <c r="AB664" s="430"/>
      <c r="AC664" s="424"/>
      <c r="AD664" s="424"/>
      <c r="AE664" s="424"/>
      <c r="AF664" s="424"/>
      <c r="AG664" s="424"/>
      <c r="AH664" s="424"/>
      <c r="AI664" s="424"/>
      <c r="AJ664" s="2"/>
      <c r="AK664" s="2"/>
      <c r="AL664" s="2"/>
      <c r="AM664" s="2"/>
      <c r="AN664" s="2"/>
      <c r="AO664" s="2"/>
      <c r="AP664" s="2"/>
      <c r="AQ664" s="427"/>
      <c r="AR664" s="754"/>
      <c r="AS664" s="427"/>
      <c r="AT664" s="754"/>
      <c r="AU664" s="427"/>
      <c r="AV664" s="427"/>
      <c r="AW664" s="427"/>
      <c r="AX664" s="427"/>
      <c r="AY664" s="754"/>
      <c r="AZ664" s="754"/>
      <c r="BA664" s="754"/>
      <c r="BB664" s="427"/>
      <c r="BC664" s="427"/>
      <c r="BD664" s="427"/>
      <c r="BE664" s="754"/>
      <c r="BF664" s="427"/>
      <c r="BG664" s="454"/>
      <c r="BH664" s="754"/>
      <c r="BI664" s="427"/>
      <c r="BJ664" s="427"/>
      <c r="BK664" s="427"/>
      <c r="BL664" s="427"/>
      <c r="BM664" s="454"/>
      <c r="BN664" s="427"/>
      <c r="BO664" s="427"/>
      <c r="BP664" s="427"/>
      <c r="BQ664" s="454"/>
      <c r="BR664" s="454"/>
      <c r="BS664" s="460"/>
      <c r="BT664" s="454"/>
      <c r="BU664" s="454"/>
      <c r="BV664" s="457"/>
      <c r="BW664" s="460"/>
      <c r="BX664" s="460"/>
      <c r="BY664" s="460"/>
      <c r="CA664" s="2"/>
      <c r="CB664" s="2"/>
      <c r="CC664" s="2"/>
      <c r="CD664" s="2"/>
      <c r="CE664" s="2"/>
      <c r="CF664" s="2"/>
      <c r="CG664" s="2"/>
      <c r="CH664" s="2"/>
      <c r="CI664" s="2"/>
      <c r="CJ664" s="2"/>
      <c r="CK664" s="2"/>
      <c r="CL664" s="2"/>
      <c r="CM664" s="2"/>
      <c r="CN664" s="2"/>
      <c r="CO664" s="427"/>
      <c r="CP664" s="427"/>
      <c r="CQ664" s="427"/>
      <c r="CR664" s="485"/>
      <c r="CS664" s="485"/>
      <c r="CT664" s="485"/>
      <c r="CU664" s="485"/>
      <c r="CV664" s="482"/>
      <c r="CW664" s="482"/>
      <c r="CX664" s="482"/>
      <c r="CY664" s="482"/>
      <c r="CZ664" s="485"/>
      <c r="DA664" s="485"/>
      <c r="DB664" s="485"/>
      <c r="DC664" s="485"/>
      <c r="DD664" s="485"/>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485"/>
      <c r="EX664" s="457"/>
      <c r="EY664" s="457"/>
      <c r="EZ664" s="457"/>
      <c r="FA664" s="457"/>
      <c r="FB664" s="457"/>
      <c r="FC664" s="457"/>
      <c r="FD664" s="457"/>
      <c r="FE664" s="457"/>
      <c r="FF664" s="457"/>
      <c r="FG664" s="457"/>
      <c r="FH664" s="457"/>
      <c r="FI664" s="457"/>
      <c r="FJ664" s="457"/>
      <c r="FK664" s="457"/>
    </row>
    <row r="665" spans="1:167" s="416" customFormat="1">
      <c r="A665" s="427"/>
      <c r="B665" s="427"/>
      <c r="C665" s="427"/>
      <c r="D665" s="427"/>
      <c r="E665" s="428"/>
      <c r="F665" s="429"/>
      <c r="G665" s="430"/>
      <c r="H665" s="427"/>
      <c r="I665" s="427"/>
      <c r="J665" s="427"/>
      <c r="K665" s="427"/>
      <c r="L665" s="427"/>
      <c r="M665" s="427"/>
      <c r="N665" s="427"/>
      <c r="O665" s="427"/>
      <c r="P665" s="427"/>
      <c r="Q665" s="427"/>
      <c r="R665" s="427"/>
      <c r="S665" s="427"/>
      <c r="T665" s="427"/>
      <c r="U665" s="427"/>
      <c r="V665" s="428"/>
      <c r="W665" s="431"/>
      <c r="X665" s="3"/>
      <c r="Y665" s="429"/>
      <c r="Z665" s="430"/>
      <c r="AA665" s="430"/>
      <c r="AB665" s="430"/>
      <c r="AC665" s="424"/>
      <c r="AD665" s="424"/>
      <c r="AE665" s="424"/>
      <c r="AF665" s="424"/>
      <c r="AG665" s="424"/>
      <c r="AH665" s="424"/>
      <c r="AI665" s="424"/>
      <c r="AJ665" s="2"/>
      <c r="AK665" s="2"/>
      <c r="AL665" s="2"/>
      <c r="AM665" s="2"/>
      <c r="AN665" s="2"/>
      <c r="AO665" s="2"/>
      <c r="AP665" s="2"/>
      <c r="AQ665" s="427"/>
      <c r="AR665" s="754"/>
      <c r="AS665" s="427"/>
      <c r="AT665" s="754"/>
      <c r="AU665" s="427"/>
      <c r="AV665" s="427"/>
      <c r="AW665" s="427"/>
      <c r="AX665" s="427"/>
      <c r="AY665" s="754"/>
      <c r="AZ665" s="754"/>
      <c r="BA665" s="754"/>
      <c r="BB665" s="427"/>
      <c r="BC665" s="427"/>
      <c r="BD665" s="427"/>
      <c r="BE665" s="754"/>
      <c r="BF665" s="427"/>
      <c r="BG665" s="454"/>
      <c r="BH665" s="754"/>
      <c r="BI665" s="427"/>
      <c r="BJ665" s="427"/>
      <c r="BK665" s="427"/>
      <c r="BL665" s="427"/>
      <c r="BM665" s="454"/>
      <c r="BN665" s="427"/>
      <c r="BO665" s="427"/>
      <c r="BP665" s="427"/>
      <c r="BQ665" s="454"/>
      <c r="BR665" s="454"/>
      <c r="BS665" s="460"/>
      <c r="BT665" s="454"/>
      <c r="BU665" s="454"/>
      <c r="BV665" s="457"/>
      <c r="BW665" s="460"/>
      <c r="BX665" s="460"/>
      <c r="BY665" s="460"/>
      <c r="CA665" s="2"/>
      <c r="CB665" s="2"/>
      <c r="CC665" s="2"/>
      <c r="CD665" s="2"/>
      <c r="CE665" s="2"/>
      <c r="CF665" s="2"/>
      <c r="CG665" s="2"/>
      <c r="CH665" s="2"/>
      <c r="CI665" s="2"/>
      <c r="CJ665" s="2"/>
      <c r="CK665" s="2"/>
      <c r="CL665" s="2"/>
      <c r="CM665" s="2"/>
      <c r="CN665" s="2"/>
      <c r="CO665" s="427"/>
      <c r="CP665" s="427"/>
      <c r="CQ665" s="427"/>
      <c r="CR665" s="485"/>
      <c r="CS665" s="485"/>
      <c r="CT665" s="485"/>
      <c r="CU665" s="485"/>
      <c r="CV665" s="482"/>
      <c r="CW665" s="482"/>
      <c r="CX665" s="482"/>
      <c r="CY665" s="482"/>
      <c r="CZ665" s="485"/>
      <c r="DA665" s="485"/>
      <c r="DB665" s="485"/>
      <c r="DC665" s="485"/>
      <c r="DD665" s="485"/>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485"/>
      <c r="EX665" s="457"/>
      <c r="EY665" s="457"/>
      <c r="EZ665" s="457"/>
      <c r="FA665" s="457"/>
      <c r="FB665" s="457"/>
      <c r="FC665" s="457"/>
      <c r="FD665" s="457"/>
      <c r="FE665" s="457"/>
      <c r="FF665" s="457"/>
      <c r="FG665" s="457"/>
      <c r="FH665" s="457"/>
      <c r="FI665" s="457"/>
      <c r="FJ665" s="457"/>
      <c r="FK665" s="457"/>
    </row>
    <row r="666" spans="1:167" s="416" customFormat="1">
      <c r="A666" s="427"/>
      <c r="B666" s="427"/>
      <c r="C666" s="427"/>
      <c r="D666" s="427"/>
      <c r="E666" s="428"/>
      <c r="F666" s="429"/>
      <c r="G666" s="430"/>
      <c r="H666" s="427"/>
      <c r="I666" s="427"/>
      <c r="J666" s="427"/>
      <c r="K666" s="427"/>
      <c r="L666" s="427"/>
      <c r="M666" s="427"/>
      <c r="N666" s="427"/>
      <c r="O666" s="427"/>
      <c r="P666" s="427"/>
      <c r="Q666" s="427"/>
      <c r="R666" s="427"/>
      <c r="S666" s="427"/>
      <c r="T666" s="427"/>
      <c r="U666" s="427"/>
      <c r="V666" s="428"/>
      <c r="W666" s="431"/>
      <c r="X666" s="3"/>
      <c r="Y666" s="429"/>
      <c r="Z666" s="430"/>
      <c r="AA666" s="430"/>
      <c r="AB666" s="430"/>
      <c r="AC666" s="424"/>
      <c r="AD666" s="424"/>
      <c r="AE666" s="424"/>
      <c r="AF666" s="424"/>
      <c r="AG666" s="424"/>
      <c r="AH666" s="424"/>
      <c r="AI666" s="424"/>
      <c r="AJ666" s="2"/>
      <c r="AK666" s="2"/>
      <c r="AL666" s="2"/>
      <c r="AM666" s="2"/>
      <c r="AN666" s="2"/>
      <c r="AO666" s="2"/>
      <c r="AP666" s="2"/>
      <c r="AQ666" s="427"/>
      <c r="AR666" s="754"/>
      <c r="AS666" s="427"/>
      <c r="AT666" s="754"/>
      <c r="AU666" s="427"/>
      <c r="AV666" s="427"/>
      <c r="AW666" s="427"/>
      <c r="AX666" s="427"/>
      <c r="AY666" s="754"/>
      <c r="AZ666" s="754"/>
      <c r="BA666" s="754"/>
      <c r="BB666" s="427"/>
      <c r="BC666" s="427"/>
      <c r="BD666" s="427"/>
      <c r="BE666" s="754"/>
      <c r="BF666" s="427"/>
      <c r="BG666" s="454"/>
      <c r="BH666" s="754"/>
      <c r="BI666" s="427"/>
      <c r="BJ666" s="427"/>
      <c r="BK666" s="427"/>
      <c r="BL666" s="427"/>
      <c r="BM666" s="454"/>
      <c r="BN666" s="427"/>
      <c r="BO666" s="427"/>
      <c r="BP666" s="427"/>
      <c r="BQ666" s="454"/>
      <c r="BR666" s="454"/>
      <c r="BS666" s="460"/>
      <c r="BT666" s="454"/>
      <c r="BU666" s="454"/>
      <c r="BV666" s="457"/>
      <c r="BW666" s="460"/>
      <c r="BX666" s="460"/>
      <c r="BY666" s="460"/>
      <c r="CA666" s="2"/>
      <c r="CB666" s="2"/>
      <c r="CC666" s="2"/>
      <c r="CD666" s="2"/>
      <c r="CE666" s="2"/>
      <c r="CF666" s="2"/>
      <c r="CG666" s="2"/>
      <c r="CH666" s="2"/>
      <c r="CI666" s="2"/>
      <c r="CJ666" s="2"/>
      <c r="CK666" s="2"/>
      <c r="CL666" s="2"/>
      <c r="CM666" s="2"/>
      <c r="CN666" s="2"/>
      <c r="CO666" s="427"/>
      <c r="CP666" s="427"/>
      <c r="CQ666" s="427"/>
      <c r="CR666" s="485"/>
      <c r="CS666" s="485"/>
      <c r="CT666" s="485"/>
      <c r="CU666" s="485"/>
      <c r="CV666" s="482"/>
      <c r="CW666" s="482"/>
      <c r="CX666" s="482"/>
      <c r="CY666" s="482"/>
      <c r="CZ666" s="485"/>
      <c r="DA666" s="485"/>
      <c r="DB666" s="485"/>
      <c r="DC666" s="485"/>
      <c r="DD666" s="485"/>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485"/>
      <c r="EX666" s="457"/>
      <c r="EY666" s="457"/>
      <c r="EZ666" s="457"/>
      <c r="FA666" s="457"/>
      <c r="FB666" s="457"/>
      <c r="FC666" s="457"/>
      <c r="FD666" s="457"/>
      <c r="FE666" s="457"/>
      <c r="FF666" s="457"/>
      <c r="FG666" s="457"/>
      <c r="FH666" s="457"/>
      <c r="FI666" s="457"/>
      <c r="FJ666" s="457"/>
      <c r="FK666" s="457"/>
    </row>
    <row r="667" spans="1:167" s="416" customFormat="1">
      <c r="A667" s="427"/>
      <c r="B667" s="427"/>
      <c r="C667" s="427"/>
      <c r="D667" s="427"/>
      <c r="E667" s="428"/>
      <c r="F667" s="429"/>
      <c r="G667" s="430"/>
      <c r="H667" s="427"/>
      <c r="I667" s="427"/>
      <c r="J667" s="427"/>
      <c r="K667" s="427"/>
      <c r="L667" s="427"/>
      <c r="M667" s="427"/>
      <c r="N667" s="427"/>
      <c r="O667" s="427"/>
      <c r="P667" s="427"/>
      <c r="Q667" s="427"/>
      <c r="R667" s="427"/>
      <c r="S667" s="427"/>
      <c r="T667" s="427"/>
      <c r="U667" s="427"/>
      <c r="V667" s="428"/>
      <c r="W667" s="431"/>
      <c r="X667" s="3"/>
      <c r="Y667" s="429"/>
      <c r="Z667" s="430"/>
      <c r="AA667" s="430"/>
      <c r="AB667" s="430"/>
      <c r="AC667" s="424"/>
      <c r="AD667" s="424"/>
      <c r="AE667" s="424"/>
      <c r="AF667" s="424"/>
      <c r="AG667" s="424"/>
      <c r="AH667" s="424"/>
      <c r="AI667" s="424"/>
      <c r="AJ667" s="2"/>
      <c r="AK667" s="2"/>
      <c r="AL667" s="2"/>
      <c r="AM667" s="2"/>
      <c r="AN667" s="2"/>
      <c r="AO667" s="2"/>
      <c r="AP667" s="2"/>
      <c r="AQ667" s="427"/>
      <c r="AR667" s="754"/>
      <c r="AS667" s="427"/>
      <c r="AT667" s="754"/>
      <c r="AU667" s="427"/>
      <c r="AV667" s="427"/>
      <c r="AW667" s="427"/>
      <c r="AX667" s="427"/>
      <c r="AY667" s="754"/>
      <c r="AZ667" s="754"/>
      <c r="BA667" s="754"/>
      <c r="BB667" s="427"/>
      <c r="BC667" s="427"/>
      <c r="BD667" s="427"/>
      <c r="BE667" s="754"/>
      <c r="BF667" s="427"/>
      <c r="BG667" s="454"/>
      <c r="BH667" s="754"/>
      <c r="BI667" s="427"/>
      <c r="BJ667" s="427"/>
      <c r="BK667" s="427"/>
      <c r="BL667" s="427"/>
      <c r="BM667" s="454"/>
      <c r="BN667" s="427"/>
      <c r="BO667" s="427"/>
      <c r="BP667" s="427"/>
      <c r="BQ667" s="454"/>
      <c r="BR667" s="454"/>
      <c r="BS667" s="460"/>
      <c r="BT667" s="454"/>
      <c r="BU667" s="454"/>
      <c r="BV667" s="457"/>
      <c r="BW667" s="460"/>
      <c r="BX667" s="460"/>
      <c r="BY667" s="460"/>
      <c r="CA667" s="2"/>
      <c r="CB667" s="2"/>
      <c r="CC667" s="2"/>
      <c r="CD667" s="2"/>
      <c r="CE667" s="2"/>
      <c r="CF667" s="2"/>
      <c r="CG667" s="2"/>
      <c r="CH667" s="2"/>
      <c r="CI667" s="2"/>
      <c r="CJ667" s="2"/>
      <c r="CK667" s="2"/>
      <c r="CL667" s="2"/>
      <c r="CM667" s="2"/>
      <c r="CN667" s="2"/>
      <c r="CO667" s="427"/>
      <c r="CP667" s="427"/>
      <c r="CQ667" s="427"/>
      <c r="CR667" s="485"/>
      <c r="CS667" s="485"/>
      <c r="CT667" s="485"/>
      <c r="CU667" s="485"/>
      <c r="CV667" s="482"/>
      <c r="CW667" s="482"/>
      <c r="CX667" s="482"/>
      <c r="CY667" s="482"/>
      <c r="CZ667" s="485"/>
      <c r="DA667" s="485"/>
      <c r="DB667" s="485"/>
      <c r="DC667" s="485"/>
      <c r="DD667" s="485"/>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485"/>
      <c r="EX667" s="457"/>
      <c r="EY667" s="457"/>
      <c r="EZ667" s="457"/>
      <c r="FA667" s="457"/>
      <c r="FB667" s="457"/>
      <c r="FC667" s="457"/>
      <c r="FD667" s="457"/>
      <c r="FE667" s="457"/>
      <c r="FF667" s="457"/>
      <c r="FG667" s="457"/>
      <c r="FH667" s="457"/>
      <c r="FI667" s="457"/>
      <c r="FJ667" s="457"/>
      <c r="FK667" s="457"/>
    </row>
    <row r="668" spans="1:167" s="416" customFormat="1">
      <c r="A668" s="427"/>
      <c r="B668" s="427"/>
      <c r="C668" s="427"/>
      <c r="D668" s="427"/>
      <c r="E668" s="428"/>
      <c r="F668" s="429"/>
      <c r="G668" s="430"/>
      <c r="H668" s="427"/>
      <c r="I668" s="427"/>
      <c r="J668" s="427"/>
      <c r="K668" s="427"/>
      <c r="L668" s="427"/>
      <c r="M668" s="427"/>
      <c r="N668" s="427"/>
      <c r="O668" s="427"/>
      <c r="P668" s="427"/>
      <c r="Q668" s="427"/>
      <c r="R668" s="427"/>
      <c r="S668" s="427"/>
      <c r="T668" s="427"/>
      <c r="U668" s="427"/>
      <c r="V668" s="428"/>
      <c r="W668" s="431"/>
      <c r="X668" s="3"/>
      <c r="Y668" s="429"/>
      <c r="Z668" s="430"/>
      <c r="AA668" s="430"/>
      <c r="AB668" s="430"/>
      <c r="AC668" s="424"/>
      <c r="AD668" s="424"/>
      <c r="AE668" s="424"/>
      <c r="AF668" s="424"/>
      <c r="AG668" s="424"/>
      <c r="AH668" s="424"/>
      <c r="AI668" s="424"/>
      <c r="AJ668" s="2"/>
      <c r="AK668" s="2"/>
      <c r="AL668" s="2"/>
      <c r="AM668" s="2"/>
      <c r="AN668" s="2"/>
      <c r="AO668" s="2"/>
      <c r="AP668" s="2"/>
      <c r="AQ668" s="427"/>
      <c r="AR668" s="754"/>
      <c r="AS668" s="427"/>
      <c r="AT668" s="754"/>
      <c r="AU668" s="427"/>
      <c r="AV668" s="427"/>
      <c r="AW668" s="427"/>
      <c r="AX668" s="427"/>
      <c r="AY668" s="754"/>
      <c r="AZ668" s="754"/>
      <c r="BA668" s="754"/>
      <c r="BB668" s="427"/>
      <c r="BC668" s="427"/>
      <c r="BD668" s="427"/>
      <c r="BE668" s="754"/>
      <c r="BF668" s="427"/>
      <c r="BG668" s="454"/>
      <c r="BH668" s="754"/>
      <c r="BI668" s="427"/>
      <c r="BJ668" s="427"/>
      <c r="BK668" s="427"/>
      <c r="BL668" s="427"/>
      <c r="BM668" s="454"/>
      <c r="BN668" s="427"/>
      <c r="BO668" s="427"/>
      <c r="BP668" s="427"/>
      <c r="BQ668" s="454"/>
      <c r="BR668" s="454"/>
      <c r="BS668" s="460"/>
      <c r="BT668" s="454"/>
      <c r="BU668" s="454"/>
      <c r="BV668" s="457"/>
      <c r="BW668" s="460"/>
      <c r="BX668" s="460"/>
      <c r="BY668" s="460"/>
      <c r="CA668" s="2"/>
      <c r="CB668" s="2"/>
      <c r="CC668" s="2"/>
      <c r="CD668" s="2"/>
      <c r="CE668" s="2"/>
      <c r="CF668" s="2"/>
      <c r="CG668" s="2"/>
      <c r="CH668" s="2"/>
      <c r="CI668" s="2"/>
      <c r="CJ668" s="2"/>
      <c r="CK668" s="2"/>
      <c r="CL668" s="2"/>
      <c r="CM668" s="2"/>
      <c r="CN668" s="2"/>
      <c r="CO668" s="427"/>
      <c r="CP668" s="427"/>
      <c r="CQ668" s="427"/>
      <c r="CR668" s="485"/>
      <c r="CS668" s="485"/>
      <c r="CT668" s="485"/>
      <c r="CU668" s="485"/>
      <c r="CV668" s="482"/>
      <c r="CW668" s="482"/>
      <c r="CX668" s="482"/>
      <c r="CY668" s="482"/>
      <c r="CZ668" s="485"/>
      <c r="DA668" s="485"/>
      <c r="DB668" s="485"/>
      <c r="DC668" s="485"/>
      <c r="DD668" s="485"/>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485"/>
      <c r="EX668" s="457"/>
      <c r="EY668" s="457"/>
      <c r="EZ668" s="457"/>
      <c r="FA668" s="457"/>
      <c r="FB668" s="457"/>
      <c r="FC668" s="457"/>
      <c r="FD668" s="457"/>
      <c r="FE668" s="457"/>
      <c r="FF668" s="457"/>
      <c r="FG668" s="457"/>
      <c r="FH668" s="457"/>
      <c r="FI668" s="457"/>
      <c r="FJ668" s="457"/>
      <c r="FK668" s="457"/>
    </row>
    <row r="669" spans="1:167" s="416" customFormat="1">
      <c r="A669" s="427"/>
      <c r="B669" s="427"/>
      <c r="C669" s="427"/>
      <c r="D669" s="427"/>
      <c r="E669" s="428"/>
      <c r="F669" s="429"/>
      <c r="G669" s="430"/>
      <c r="H669" s="427"/>
      <c r="I669" s="427"/>
      <c r="J669" s="427"/>
      <c r="K669" s="427"/>
      <c r="L669" s="427"/>
      <c r="M669" s="427"/>
      <c r="N669" s="427"/>
      <c r="O669" s="427"/>
      <c r="P669" s="427"/>
      <c r="Q669" s="427"/>
      <c r="R669" s="427"/>
      <c r="S669" s="427"/>
      <c r="T669" s="427"/>
      <c r="U669" s="427"/>
      <c r="V669" s="428"/>
      <c r="W669" s="431"/>
      <c r="X669" s="3"/>
      <c r="Y669" s="429"/>
      <c r="Z669" s="430"/>
      <c r="AA669" s="430"/>
      <c r="AB669" s="430"/>
      <c r="AC669" s="424"/>
      <c r="AD669" s="424"/>
      <c r="AE669" s="424"/>
      <c r="AF669" s="424"/>
      <c r="AG669" s="424"/>
      <c r="AH669" s="424"/>
      <c r="AI669" s="424"/>
      <c r="AJ669" s="2"/>
      <c r="AK669" s="2"/>
      <c r="AL669" s="2"/>
      <c r="AM669" s="2"/>
      <c r="AN669" s="2"/>
      <c r="AO669" s="2"/>
      <c r="AP669" s="2"/>
      <c r="AQ669" s="427"/>
      <c r="AR669" s="754"/>
      <c r="AS669" s="427"/>
      <c r="AT669" s="754"/>
      <c r="AU669" s="427"/>
      <c r="AV669" s="427"/>
      <c r="AW669" s="427"/>
      <c r="AX669" s="427"/>
      <c r="AY669" s="754"/>
      <c r="AZ669" s="754"/>
      <c r="BA669" s="754"/>
      <c r="BB669" s="427"/>
      <c r="BC669" s="427"/>
      <c r="BD669" s="427"/>
      <c r="BE669" s="754"/>
      <c r="BF669" s="427"/>
      <c r="BG669" s="454"/>
      <c r="BH669" s="754"/>
      <c r="BI669" s="427"/>
      <c r="BJ669" s="427"/>
      <c r="BK669" s="427"/>
      <c r="BL669" s="427"/>
      <c r="BM669" s="454"/>
      <c r="BN669" s="427"/>
      <c r="BO669" s="427"/>
      <c r="BP669" s="427"/>
      <c r="BQ669" s="454"/>
      <c r="BR669" s="454"/>
      <c r="BS669" s="460"/>
      <c r="BT669" s="454"/>
      <c r="BU669" s="454"/>
      <c r="BV669" s="457"/>
      <c r="BW669" s="460"/>
      <c r="BX669" s="460"/>
      <c r="BY669" s="460"/>
      <c r="CA669" s="2"/>
      <c r="CB669" s="2"/>
      <c r="CC669" s="2"/>
      <c r="CD669" s="2"/>
      <c r="CE669" s="2"/>
      <c r="CF669" s="2"/>
      <c r="CG669" s="2"/>
      <c r="CH669" s="2"/>
      <c r="CI669" s="2"/>
      <c r="CJ669" s="2"/>
      <c r="CK669" s="2"/>
      <c r="CL669" s="2"/>
      <c r="CM669" s="2"/>
      <c r="CN669" s="2"/>
      <c r="CO669" s="427"/>
      <c r="CP669" s="427"/>
      <c r="CQ669" s="427"/>
      <c r="CR669" s="485"/>
      <c r="CS669" s="485"/>
      <c r="CT669" s="485"/>
      <c r="CU669" s="485"/>
      <c r="CV669" s="482"/>
      <c r="CW669" s="482"/>
      <c r="CX669" s="482"/>
      <c r="CY669" s="482"/>
      <c r="CZ669" s="485"/>
      <c r="DA669" s="485"/>
      <c r="DB669" s="485"/>
      <c r="DC669" s="485"/>
      <c r="DD669" s="485"/>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485"/>
      <c r="EX669" s="457"/>
      <c r="EY669" s="457"/>
      <c r="EZ669" s="457"/>
      <c r="FA669" s="457"/>
      <c r="FB669" s="457"/>
      <c r="FC669" s="457"/>
      <c r="FD669" s="457"/>
      <c r="FE669" s="457"/>
      <c r="FF669" s="457"/>
      <c r="FG669" s="457"/>
      <c r="FH669" s="457"/>
      <c r="FI669" s="457"/>
      <c r="FJ669" s="457"/>
      <c r="FK669" s="457"/>
    </row>
    <row r="670" spans="1:167" s="416" customFormat="1">
      <c r="A670" s="427"/>
      <c r="B670" s="427"/>
      <c r="C670" s="427"/>
      <c r="D670" s="427"/>
      <c r="E670" s="428"/>
      <c r="F670" s="429"/>
      <c r="G670" s="430"/>
      <c r="H670" s="427"/>
      <c r="I670" s="427"/>
      <c r="J670" s="427"/>
      <c r="K670" s="427"/>
      <c r="L670" s="427"/>
      <c r="M670" s="427"/>
      <c r="N670" s="427"/>
      <c r="O670" s="427"/>
      <c r="P670" s="427"/>
      <c r="Q670" s="427"/>
      <c r="R670" s="427"/>
      <c r="S670" s="427"/>
      <c r="T670" s="427"/>
      <c r="U670" s="427"/>
      <c r="V670" s="428"/>
      <c r="W670" s="431"/>
      <c r="X670" s="3"/>
      <c r="Y670" s="429"/>
      <c r="Z670" s="430"/>
      <c r="AA670" s="430"/>
      <c r="AB670" s="430"/>
      <c r="AC670" s="424"/>
      <c r="AD670" s="424"/>
      <c r="AE670" s="424"/>
      <c r="AF670" s="424"/>
      <c r="AG670" s="424"/>
      <c r="AH670" s="424"/>
      <c r="AI670" s="424"/>
      <c r="AJ670" s="2"/>
      <c r="AK670" s="2"/>
      <c r="AL670" s="2"/>
      <c r="AM670" s="2"/>
      <c r="AN670" s="2"/>
      <c r="AO670" s="2"/>
      <c r="AP670" s="2"/>
      <c r="AQ670" s="427"/>
      <c r="AR670" s="754"/>
      <c r="AS670" s="427"/>
      <c r="AT670" s="754"/>
      <c r="AU670" s="427"/>
      <c r="AV670" s="427"/>
      <c r="AW670" s="427"/>
      <c r="AX670" s="427"/>
      <c r="AY670" s="754"/>
      <c r="AZ670" s="754"/>
      <c r="BA670" s="754"/>
      <c r="BB670" s="427"/>
      <c r="BC670" s="427"/>
      <c r="BD670" s="427"/>
      <c r="BE670" s="754"/>
      <c r="BF670" s="427"/>
      <c r="BG670" s="454"/>
      <c r="BH670" s="754"/>
      <c r="BI670" s="427"/>
      <c r="BJ670" s="427"/>
      <c r="BK670" s="427"/>
      <c r="BL670" s="427"/>
      <c r="BM670" s="454"/>
      <c r="BN670" s="427"/>
      <c r="BO670" s="427"/>
      <c r="BP670" s="427"/>
      <c r="BQ670" s="454"/>
      <c r="BR670" s="454"/>
      <c r="BS670" s="460"/>
      <c r="BT670" s="454"/>
      <c r="BU670" s="454"/>
      <c r="BV670" s="457"/>
      <c r="BW670" s="460"/>
      <c r="BX670" s="460"/>
      <c r="BY670" s="460"/>
      <c r="CA670" s="2"/>
      <c r="CB670" s="2"/>
      <c r="CC670" s="2"/>
      <c r="CD670" s="2"/>
      <c r="CE670" s="2"/>
      <c r="CF670" s="2"/>
      <c r="CG670" s="2"/>
      <c r="CH670" s="2"/>
      <c r="CI670" s="2"/>
      <c r="CJ670" s="2"/>
      <c r="CK670" s="2"/>
      <c r="CL670" s="2"/>
      <c r="CM670" s="2"/>
      <c r="CN670" s="2"/>
      <c r="CO670" s="427"/>
      <c r="CP670" s="427"/>
      <c r="CQ670" s="427"/>
      <c r="CR670" s="485"/>
      <c r="CS670" s="485"/>
      <c r="CT670" s="485"/>
      <c r="CU670" s="485"/>
      <c r="CV670" s="482"/>
      <c r="CW670" s="482"/>
      <c r="CX670" s="482"/>
      <c r="CY670" s="482"/>
      <c r="CZ670" s="485"/>
      <c r="DA670" s="485"/>
      <c r="DB670" s="485"/>
      <c r="DC670" s="485"/>
      <c r="DD670" s="485"/>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485"/>
      <c r="EX670" s="457"/>
      <c r="EY670" s="457"/>
      <c r="EZ670" s="457"/>
      <c r="FA670" s="457"/>
      <c r="FB670" s="457"/>
      <c r="FC670" s="457"/>
      <c r="FD670" s="457"/>
      <c r="FE670" s="457"/>
      <c r="FF670" s="457"/>
      <c r="FG670" s="457"/>
      <c r="FH670" s="457"/>
      <c r="FI670" s="457"/>
      <c r="FJ670" s="457"/>
      <c r="FK670" s="457"/>
    </row>
    <row r="671" spans="1:167" s="416" customFormat="1">
      <c r="A671" s="427"/>
      <c r="B671" s="427"/>
      <c r="C671" s="427"/>
      <c r="D671" s="427"/>
      <c r="E671" s="428"/>
      <c r="F671" s="429"/>
      <c r="G671" s="430"/>
      <c r="H671" s="427"/>
      <c r="I671" s="427"/>
      <c r="J671" s="427"/>
      <c r="K671" s="427"/>
      <c r="L671" s="427"/>
      <c r="M671" s="427"/>
      <c r="N671" s="427"/>
      <c r="O671" s="427"/>
      <c r="P671" s="427"/>
      <c r="Q671" s="427"/>
      <c r="R671" s="427"/>
      <c r="S671" s="427"/>
      <c r="T671" s="427"/>
      <c r="U671" s="427"/>
      <c r="V671" s="428"/>
      <c r="W671" s="431"/>
      <c r="X671" s="3"/>
      <c r="Y671" s="429"/>
      <c r="Z671" s="430"/>
      <c r="AA671" s="430"/>
      <c r="AB671" s="430"/>
      <c r="AC671" s="424"/>
      <c r="AD671" s="424"/>
      <c r="AE671" s="424"/>
      <c r="AF671" s="424"/>
      <c r="AG671" s="424"/>
      <c r="AH671" s="424"/>
      <c r="AI671" s="424"/>
      <c r="AJ671" s="2"/>
      <c r="AK671" s="2"/>
      <c r="AL671" s="2"/>
      <c r="AM671" s="2"/>
      <c r="AN671" s="2"/>
      <c r="AO671" s="2"/>
      <c r="AP671" s="2"/>
      <c r="AQ671" s="427"/>
      <c r="AR671" s="754"/>
      <c r="AS671" s="427"/>
      <c r="AT671" s="754"/>
      <c r="AU671" s="427"/>
      <c r="AV671" s="427"/>
      <c r="AW671" s="427"/>
      <c r="AX671" s="427"/>
      <c r="AY671" s="754"/>
      <c r="AZ671" s="754"/>
      <c r="BA671" s="754"/>
      <c r="BB671" s="427"/>
      <c r="BC671" s="427"/>
      <c r="BD671" s="427"/>
      <c r="BE671" s="754"/>
      <c r="BF671" s="427"/>
      <c r="BG671" s="454"/>
      <c r="BH671" s="754"/>
      <c r="BI671" s="427"/>
      <c r="BJ671" s="427"/>
      <c r="BK671" s="427"/>
      <c r="BL671" s="427"/>
      <c r="BM671" s="454"/>
      <c r="BN671" s="427"/>
      <c r="BO671" s="427"/>
      <c r="BP671" s="427"/>
      <c r="BQ671" s="454"/>
      <c r="BR671" s="454"/>
      <c r="BS671" s="460"/>
      <c r="BT671" s="454"/>
      <c r="BU671" s="454"/>
      <c r="BV671" s="457"/>
      <c r="BW671" s="460"/>
      <c r="BX671" s="460"/>
      <c r="BY671" s="460"/>
      <c r="CA671" s="2"/>
      <c r="CB671" s="2"/>
      <c r="CC671" s="2"/>
      <c r="CD671" s="2"/>
      <c r="CE671" s="2"/>
      <c r="CF671" s="2"/>
      <c r="CG671" s="2"/>
      <c r="CH671" s="2"/>
      <c r="CI671" s="2"/>
      <c r="CJ671" s="2"/>
      <c r="CK671" s="2"/>
      <c r="CL671" s="2"/>
      <c r="CM671" s="2"/>
      <c r="CN671" s="2"/>
      <c r="CO671" s="427"/>
      <c r="CP671" s="427"/>
      <c r="CQ671" s="427"/>
      <c r="CR671" s="485"/>
      <c r="CS671" s="485"/>
      <c r="CT671" s="485"/>
      <c r="CU671" s="485"/>
      <c r="CV671" s="482"/>
      <c r="CW671" s="482"/>
      <c r="CX671" s="482"/>
      <c r="CY671" s="482"/>
      <c r="CZ671" s="485"/>
      <c r="DA671" s="485"/>
      <c r="DB671" s="485"/>
      <c r="DC671" s="485"/>
      <c r="DD671" s="485"/>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485"/>
      <c r="EX671" s="457"/>
      <c r="EY671" s="457"/>
      <c r="EZ671" s="457"/>
      <c r="FA671" s="457"/>
      <c r="FB671" s="457"/>
      <c r="FC671" s="457"/>
      <c r="FD671" s="457"/>
      <c r="FE671" s="457"/>
      <c r="FF671" s="457"/>
      <c r="FG671" s="457"/>
      <c r="FH671" s="457"/>
      <c r="FI671" s="457"/>
      <c r="FJ671" s="457"/>
      <c r="FK671" s="457"/>
    </row>
    <row r="672" spans="1:167" s="416" customFormat="1">
      <c r="A672" s="427"/>
      <c r="B672" s="427"/>
      <c r="C672" s="427"/>
      <c r="D672" s="427"/>
      <c r="E672" s="428"/>
      <c r="F672" s="429"/>
      <c r="G672" s="430"/>
      <c r="H672" s="427"/>
      <c r="I672" s="427"/>
      <c r="J672" s="427"/>
      <c r="K672" s="427"/>
      <c r="L672" s="427"/>
      <c r="M672" s="427"/>
      <c r="N672" s="427"/>
      <c r="O672" s="427"/>
      <c r="P672" s="427"/>
      <c r="Q672" s="427"/>
      <c r="R672" s="427"/>
      <c r="S672" s="427"/>
      <c r="T672" s="427"/>
      <c r="U672" s="427"/>
      <c r="V672" s="428"/>
      <c r="W672" s="431"/>
      <c r="X672" s="3"/>
      <c r="Y672" s="429"/>
      <c r="Z672" s="430"/>
      <c r="AA672" s="430"/>
      <c r="AB672" s="430"/>
      <c r="AC672" s="424"/>
      <c r="AD672" s="424"/>
      <c r="AE672" s="424"/>
      <c r="AF672" s="424"/>
      <c r="AG672" s="424"/>
      <c r="AH672" s="424"/>
      <c r="AI672" s="424"/>
      <c r="AJ672" s="2"/>
      <c r="AK672" s="2"/>
      <c r="AL672" s="2"/>
      <c r="AM672" s="2"/>
      <c r="AN672" s="2"/>
      <c r="AO672" s="2"/>
      <c r="AP672" s="2"/>
      <c r="AQ672" s="427"/>
      <c r="AR672" s="754"/>
      <c r="AS672" s="427"/>
      <c r="AT672" s="754"/>
      <c r="AU672" s="427"/>
      <c r="AV672" s="427"/>
      <c r="AW672" s="427"/>
      <c r="AX672" s="427"/>
      <c r="AY672" s="754"/>
      <c r="AZ672" s="754"/>
      <c r="BA672" s="754"/>
      <c r="BB672" s="427"/>
      <c r="BC672" s="427"/>
      <c r="BD672" s="427"/>
      <c r="BE672" s="754"/>
      <c r="BF672" s="427"/>
      <c r="BG672" s="454"/>
      <c r="BH672" s="754"/>
      <c r="BI672" s="427"/>
      <c r="BJ672" s="427"/>
      <c r="BK672" s="427"/>
      <c r="BL672" s="427"/>
      <c r="BM672" s="454"/>
      <c r="BN672" s="427"/>
      <c r="BO672" s="427"/>
      <c r="BP672" s="427"/>
      <c r="BQ672" s="454"/>
      <c r="BR672" s="454"/>
      <c r="BS672" s="460"/>
      <c r="BT672" s="454"/>
      <c r="BU672" s="454"/>
      <c r="BV672" s="457"/>
      <c r="BW672" s="460"/>
      <c r="BX672" s="460"/>
      <c r="BY672" s="460"/>
      <c r="CA672" s="2"/>
      <c r="CB672" s="2"/>
      <c r="CC672" s="2"/>
      <c r="CD672" s="2"/>
      <c r="CE672" s="2"/>
      <c r="CF672" s="2"/>
      <c r="CG672" s="2"/>
      <c r="CH672" s="2"/>
      <c r="CI672" s="2"/>
      <c r="CJ672" s="2"/>
      <c r="CK672" s="2"/>
      <c r="CL672" s="2"/>
      <c r="CM672" s="2"/>
      <c r="CN672" s="2"/>
      <c r="CO672" s="427"/>
      <c r="CP672" s="427"/>
      <c r="CQ672" s="427"/>
      <c r="CR672" s="485"/>
      <c r="CS672" s="485"/>
      <c r="CT672" s="485"/>
      <c r="CU672" s="485"/>
      <c r="CV672" s="482"/>
      <c r="CW672" s="482"/>
      <c r="CX672" s="482"/>
      <c r="CY672" s="482"/>
      <c r="CZ672" s="485"/>
      <c r="DA672" s="485"/>
      <c r="DB672" s="485"/>
      <c r="DC672" s="485"/>
      <c r="DD672" s="485"/>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485"/>
      <c r="EX672" s="457"/>
      <c r="EY672" s="457"/>
      <c r="EZ672" s="457"/>
      <c r="FA672" s="457"/>
      <c r="FB672" s="457"/>
      <c r="FC672" s="457"/>
      <c r="FD672" s="457"/>
      <c r="FE672" s="457"/>
      <c r="FF672" s="457"/>
      <c r="FG672" s="457"/>
      <c r="FH672" s="457"/>
      <c r="FI672" s="457"/>
      <c r="FJ672" s="457"/>
      <c r="FK672" s="457"/>
    </row>
    <row r="673" spans="1:167" s="416" customFormat="1">
      <c r="A673" s="427"/>
      <c r="B673" s="427"/>
      <c r="C673" s="427"/>
      <c r="D673" s="427"/>
      <c r="E673" s="428"/>
      <c r="F673" s="429"/>
      <c r="G673" s="430"/>
      <c r="H673" s="427"/>
      <c r="I673" s="427"/>
      <c r="J673" s="427"/>
      <c r="K673" s="427"/>
      <c r="L673" s="427"/>
      <c r="M673" s="427"/>
      <c r="N673" s="427"/>
      <c r="O673" s="427"/>
      <c r="P673" s="427"/>
      <c r="Q673" s="427"/>
      <c r="R673" s="427"/>
      <c r="S673" s="427"/>
      <c r="T673" s="427"/>
      <c r="U673" s="427"/>
      <c r="V673" s="428"/>
      <c r="W673" s="431"/>
      <c r="X673" s="3"/>
      <c r="Y673" s="429"/>
      <c r="Z673" s="430"/>
      <c r="AA673" s="430"/>
      <c r="AB673" s="430"/>
      <c r="AC673" s="424"/>
      <c r="AD673" s="424"/>
      <c r="AE673" s="424"/>
      <c r="AF673" s="424"/>
      <c r="AG673" s="424"/>
      <c r="AH673" s="424"/>
      <c r="AI673" s="424"/>
      <c r="AJ673" s="2"/>
      <c r="AK673" s="2"/>
      <c r="AL673" s="2"/>
      <c r="AM673" s="2"/>
      <c r="AN673" s="2"/>
      <c r="AO673" s="2"/>
      <c r="AP673" s="2"/>
      <c r="AQ673" s="427"/>
      <c r="AR673" s="754"/>
      <c r="AS673" s="427"/>
      <c r="AT673" s="754"/>
      <c r="AU673" s="427"/>
      <c r="AV673" s="427"/>
      <c r="AW673" s="427"/>
      <c r="AX673" s="427"/>
      <c r="AY673" s="754"/>
      <c r="AZ673" s="754"/>
      <c r="BA673" s="754"/>
      <c r="BB673" s="427"/>
      <c r="BC673" s="427"/>
      <c r="BD673" s="427"/>
      <c r="BE673" s="754"/>
      <c r="BF673" s="427"/>
      <c r="BG673" s="454"/>
      <c r="BH673" s="754"/>
      <c r="BI673" s="427"/>
      <c r="BJ673" s="427"/>
      <c r="BK673" s="427"/>
      <c r="BL673" s="427"/>
      <c r="BM673" s="454"/>
      <c r="BN673" s="427"/>
      <c r="BO673" s="427"/>
      <c r="BP673" s="427"/>
      <c r="BQ673" s="454"/>
      <c r="BR673" s="454"/>
      <c r="BS673" s="460"/>
      <c r="BT673" s="454"/>
      <c r="BU673" s="454"/>
      <c r="BV673" s="457"/>
      <c r="BW673" s="460"/>
      <c r="BX673" s="460"/>
      <c r="BY673" s="460"/>
      <c r="CA673" s="2"/>
      <c r="CB673" s="2"/>
      <c r="CC673" s="2"/>
      <c r="CD673" s="2"/>
      <c r="CE673" s="2"/>
      <c r="CF673" s="2"/>
      <c r="CG673" s="2"/>
      <c r="CH673" s="2"/>
      <c r="CI673" s="2"/>
      <c r="CJ673" s="2"/>
      <c r="CK673" s="2"/>
      <c r="CL673" s="2"/>
      <c r="CM673" s="2"/>
      <c r="CN673" s="2"/>
      <c r="CO673" s="427"/>
      <c r="CP673" s="427"/>
      <c r="CQ673" s="427"/>
      <c r="CR673" s="485"/>
      <c r="CS673" s="485"/>
      <c r="CT673" s="485"/>
      <c r="CU673" s="485"/>
      <c r="CV673" s="482"/>
      <c r="CW673" s="482"/>
      <c r="CX673" s="482"/>
      <c r="CY673" s="482"/>
      <c r="CZ673" s="485"/>
      <c r="DA673" s="485"/>
      <c r="DB673" s="485"/>
      <c r="DC673" s="485"/>
      <c r="DD673" s="485"/>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485"/>
      <c r="EX673" s="457"/>
      <c r="EY673" s="457"/>
      <c r="EZ673" s="457"/>
      <c r="FA673" s="457"/>
      <c r="FB673" s="457"/>
      <c r="FC673" s="457"/>
      <c r="FD673" s="457"/>
      <c r="FE673" s="457"/>
      <c r="FF673" s="457"/>
      <c r="FG673" s="457"/>
      <c r="FH673" s="457"/>
      <c r="FI673" s="457"/>
      <c r="FJ673" s="457"/>
      <c r="FK673" s="457"/>
    </row>
    <row r="674" spans="1:167" s="416" customFormat="1">
      <c r="A674" s="427"/>
      <c r="B674" s="427"/>
      <c r="C674" s="427"/>
      <c r="D674" s="427"/>
      <c r="E674" s="428"/>
      <c r="F674" s="429"/>
      <c r="G674" s="430"/>
      <c r="H674" s="427"/>
      <c r="I674" s="427"/>
      <c r="J674" s="427"/>
      <c r="K674" s="427"/>
      <c r="L674" s="427"/>
      <c r="M674" s="427"/>
      <c r="N674" s="427"/>
      <c r="O674" s="427"/>
      <c r="P674" s="427"/>
      <c r="Q674" s="427"/>
      <c r="R674" s="427"/>
      <c r="S674" s="427"/>
      <c r="T674" s="427"/>
      <c r="U674" s="427"/>
      <c r="V674" s="428"/>
      <c r="W674" s="431"/>
      <c r="X674" s="3"/>
      <c r="Y674" s="429"/>
      <c r="Z674" s="430"/>
      <c r="AA674" s="430"/>
      <c r="AB674" s="430"/>
      <c r="AC674" s="424"/>
      <c r="AD674" s="424"/>
      <c r="AE674" s="424"/>
      <c r="AF674" s="424"/>
      <c r="AG674" s="424"/>
      <c r="AH674" s="424"/>
      <c r="AI674" s="424"/>
      <c r="AJ674" s="2"/>
      <c r="AK674" s="2"/>
      <c r="AL674" s="2"/>
      <c r="AM674" s="2"/>
      <c r="AN674" s="2"/>
      <c r="AO674" s="2"/>
      <c r="AP674" s="2"/>
      <c r="AQ674" s="427"/>
      <c r="AR674" s="754"/>
      <c r="AS674" s="427"/>
      <c r="AT674" s="754"/>
      <c r="AU674" s="427"/>
      <c r="AV674" s="427"/>
      <c r="AW674" s="427"/>
      <c r="AX674" s="427"/>
      <c r="AY674" s="754"/>
      <c r="AZ674" s="754"/>
      <c r="BA674" s="754"/>
      <c r="BB674" s="427"/>
      <c r="BC674" s="427"/>
      <c r="BD674" s="427"/>
      <c r="BE674" s="754"/>
      <c r="BF674" s="427"/>
      <c r="BG674" s="454"/>
      <c r="BH674" s="754"/>
      <c r="BI674" s="427"/>
      <c r="BJ674" s="427"/>
      <c r="BK674" s="427"/>
      <c r="BL674" s="427"/>
      <c r="BM674" s="454"/>
      <c r="BN674" s="427"/>
      <c r="BO674" s="427"/>
      <c r="BP674" s="427"/>
      <c r="BQ674" s="454"/>
      <c r="BR674" s="454"/>
      <c r="BS674" s="460"/>
      <c r="BT674" s="454"/>
      <c r="BU674" s="454"/>
      <c r="BV674" s="457"/>
      <c r="BW674" s="460"/>
      <c r="BX674" s="460"/>
      <c r="BY674" s="460"/>
      <c r="CA674" s="2"/>
      <c r="CB674" s="2"/>
      <c r="CC674" s="2"/>
      <c r="CD674" s="2"/>
      <c r="CE674" s="2"/>
      <c r="CF674" s="2"/>
      <c r="CG674" s="2"/>
      <c r="CH674" s="2"/>
      <c r="CI674" s="2"/>
      <c r="CJ674" s="2"/>
      <c r="CK674" s="2"/>
      <c r="CL674" s="2"/>
      <c r="CM674" s="2"/>
      <c r="CN674" s="2"/>
      <c r="CO674" s="427"/>
      <c r="CP674" s="427"/>
      <c r="CQ674" s="427"/>
      <c r="CR674" s="485"/>
      <c r="CS674" s="485"/>
      <c r="CT674" s="485"/>
      <c r="CU674" s="485"/>
      <c r="CV674" s="482"/>
      <c r="CW674" s="482"/>
      <c r="CX674" s="482"/>
      <c r="CY674" s="482"/>
      <c r="CZ674" s="485"/>
      <c r="DA674" s="485"/>
      <c r="DB674" s="485"/>
      <c r="DC674" s="485"/>
      <c r="DD674" s="485"/>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485"/>
      <c r="EX674" s="457"/>
      <c r="EY674" s="457"/>
      <c r="EZ674" s="457"/>
      <c r="FA674" s="457"/>
      <c r="FB674" s="457"/>
      <c r="FC674" s="457"/>
      <c r="FD674" s="457"/>
      <c r="FE674" s="457"/>
      <c r="FF674" s="457"/>
      <c r="FG674" s="457"/>
      <c r="FH674" s="457"/>
      <c r="FI674" s="457"/>
      <c r="FJ674" s="457"/>
      <c r="FK674" s="457"/>
    </row>
    <row r="675" spans="1:167" s="416" customFormat="1">
      <c r="A675" s="427"/>
      <c r="B675" s="427"/>
      <c r="C675" s="427"/>
      <c r="D675" s="427"/>
      <c r="E675" s="428"/>
      <c r="F675" s="429"/>
      <c r="G675" s="430"/>
      <c r="H675" s="427"/>
      <c r="I675" s="427"/>
      <c r="J675" s="427"/>
      <c r="K675" s="427"/>
      <c r="L675" s="427"/>
      <c r="M675" s="427"/>
      <c r="N675" s="427"/>
      <c r="O675" s="427"/>
      <c r="P675" s="427"/>
      <c r="Q675" s="427"/>
      <c r="R675" s="427"/>
      <c r="S675" s="427"/>
      <c r="T675" s="427"/>
      <c r="U675" s="427"/>
      <c r="V675" s="428"/>
      <c r="W675" s="431"/>
      <c r="X675" s="3"/>
      <c r="Y675" s="429"/>
      <c r="Z675" s="430"/>
      <c r="AA675" s="430"/>
      <c r="AB675" s="430"/>
      <c r="AC675" s="424"/>
      <c r="AD675" s="424"/>
      <c r="AE675" s="424"/>
      <c r="AF675" s="424"/>
      <c r="AG675" s="424"/>
      <c r="AH675" s="424"/>
      <c r="AI675" s="424"/>
      <c r="AJ675" s="2"/>
      <c r="AK675" s="2"/>
      <c r="AL675" s="2"/>
      <c r="AM675" s="2"/>
      <c r="AN675" s="2"/>
      <c r="AO675" s="2"/>
      <c r="AP675" s="2"/>
      <c r="AQ675" s="427"/>
      <c r="AR675" s="754"/>
      <c r="AS675" s="427"/>
      <c r="AT675" s="754"/>
      <c r="AU675" s="427"/>
      <c r="AV675" s="427"/>
      <c r="AW675" s="427"/>
      <c r="AX675" s="427"/>
      <c r="AY675" s="754"/>
      <c r="AZ675" s="754"/>
      <c r="BA675" s="754"/>
      <c r="BB675" s="427"/>
      <c r="BC675" s="427"/>
      <c r="BD675" s="427"/>
      <c r="BE675" s="754"/>
      <c r="BF675" s="427"/>
      <c r="BG675" s="454"/>
      <c r="BH675" s="754"/>
      <c r="BI675" s="427"/>
      <c r="BJ675" s="427"/>
      <c r="BK675" s="427"/>
      <c r="BL675" s="427"/>
      <c r="BM675" s="454"/>
      <c r="BN675" s="427"/>
      <c r="BO675" s="427"/>
      <c r="BP675" s="427"/>
      <c r="BQ675" s="454"/>
      <c r="BR675" s="454"/>
      <c r="BS675" s="460"/>
      <c r="BT675" s="454"/>
      <c r="BU675" s="454"/>
      <c r="BV675" s="457"/>
      <c r="BW675" s="460"/>
      <c r="BX675" s="460"/>
      <c r="BY675" s="460"/>
      <c r="CA675" s="2"/>
      <c r="CB675" s="2"/>
      <c r="CC675" s="2"/>
      <c r="CD675" s="2"/>
      <c r="CE675" s="2"/>
      <c r="CF675" s="2"/>
      <c r="CG675" s="2"/>
      <c r="CH675" s="2"/>
      <c r="CI675" s="2"/>
      <c r="CJ675" s="2"/>
      <c r="CK675" s="2"/>
      <c r="CL675" s="2"/>
      <c r="CM675" s="2"/>
      <c r="CN675" s="2"/>
      <c r="CO675" s="427"/>
      <c r="CP675" s="427"/>
      <c r="CQ675" s="427"/>
      <c r="CR675" s="485"/>
      <c r="CS675" s="485"/>
      <c r="CT675" s="485"/>
      <c r="CU675" s="485"/>
      <c r="CV675" s="482"/>
      <c r="CW675" s="482"/>
      <c r="CX675" s="482"/>
      <c r="CY675" s="482"/>
      <c r="CZ675" s="485"/>
      <c r="DA675" s="485"/>
      <c r="DB675" s="485"/>
      <c r="DC675" s="485"/>
      <c r="DD675" s="485"/>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485"/>
      <c r="EX675" s="457"/>
      <c r="EY675" s="457"/>
      <c r="EZ675" s="457"/>
      <c r="FA675" s="457"/>
      <c r="FB675" s="457"/>
      <c r="FC675" s="457"/>
      <c r="FD675" s="457"/>
      <c r="FE675" s="457"/>
      <c r="FF675" s="457"/>
      <c r="FG675" s="457"/>
      <c r="FH675" s="457"/>
      <c r="FI675" s="457"/>
      <c r="FJ675" s="457"/>
      <c r="FK675" s="457"/>
    </row>
    <row r="676" spans="1:167" s="416" customFormat="1">
      <c r="A676" s="427"/>
      <c r="B676" s="427"/>
      <c r="C676" s="427"/>
      <c r="D676" s="427"/>
      <c r="E676" s="428"/>
      <c r="F676" s="429"/>
      <c r="G676" s="430"/>
      <c r="H676" s="427"/>
      <c r="I676" s="427"/>
      <c r="J676" s="427"/>
      <c r="K676" s="427"/>
      <c r="L676" s="427"/>
      <c r="M676" s="427"/>
      <c r="N676" s="427"/>
      <c r="O676" s="427"/>
      <c r="P676" s="427"/>
      <c r="Q676" s="427"/>
      <c r="R676" s="427"/>
      <c r="S676" s="427"/>
      <c r="T676" s="427"/>
      <c r="U676" s="427"/>
      <c r="V676" s="428"/>
      <c r="W676" s="431"/>
      <c r="X676" s="3"/>
      <c r="Y676" s="429"/>
      <c r="Z676" s="430"/>
      <c r="AA676" s="430"/>
      <c r="AB676" s="430"/>
      <c r="AC676" s="424"/>
      <c r="AD676" s="424"/>
      <c r="AE676" s="424"/>
      <c r="AF676" s="424"/>
      <c r="AG676" s="424"/>
      <c r="AH676" s="424"/>
      <c r="AI676" s="424"/>
      <c r="AJ676" s="2"/>
      <c r="AK676" s="2"/>
      <c r="AL676" s="2"/>
      <c r="AM676" s="2"/>
      <c r="AN676" s="2"/>
      <c r="AO676" s="2"/>
      <c r="AP676" s="2"/>
      <c r="AQ676" s="427"/>
      <c r="AR676" s="754"/>
      <c r="AS676" s="427"/>
      <c r="AT676" s="754"/>
      <c r="AU676" s="427"/>
      <c r="AV676" s="427"/>
      <c r="AW676" s="427"/>
      <c r="AX676" s="427"/>
      <c r="AY676" s="754"/>
      <c r="AZ676" s="754"/>
      <c r="BA676" s="754"/>
      <c r="BB676" s="427"/>
      <c r="BC676" s="427"/>
      <c r="BD676" s="427"/>
      <c r="BE676" s="754"/>
      <c r="BF676" s="427"/>
      <c r="BG676" s="454"/>
      <c r="BH676" s="754"/>
      <c r="BI676" s="427"/>
      <c r="BJ676" s="427"/>
      <c r="BK676" s="427"/>
      <c r="BL676" s="427"/>
      <c r="BM676" s="454"/>
      <c r="BN676" s="427"/>
      <c r="BO676" s="427"/>
      <c r="BP676" s="427"/>
      <c r="BQ676" s="454"/>
      <c r="BR676" s="454"/>
      <c r="BS676" s="460"/>
      <c r="BT676" s="454"/>
      <c r="BU676" s="454"/>
      <c r="BV676" s="457"/>
      <c r="BW676" s="460"/>
      <c r="BX676" s="460"/>
      <c r="BY676" s="460"/>
      <c r="CA676" s="2"/>
      <c r="CB676" s="2"/>
      <c r="CC676" s="2"/>
      <c r="CD676" s="2"/>
      <c r="CE676" s="2"/>
      <c r="CF676" s="2"/>
      <c r="CG676" s="2"/>
      <c r="CH676" s="2"/>
      <c r="CI676" s="2"/>
      <c r="CJ676" s="2"/>
      <c r="CK676" s="2"/>
      <c r="CL676" s="2"/>
      <c r="CM676" s="2"/>
      <c r="CN676" s="2"/>
      <c r="CO676" s="427"/>
      <c r="CP676" s="427"/>
      <c r="CQ676" s="427"/>
      <c r="CR676" s="485"/>
      <c r="CS676" s="485"/>
      <c r="CT676" s="485"/>
      <c r="CU676" s="485"/>
      <c r="CV676" s="482"/>
      <c r="CW676" s="482"/>
      <c r="CX676" s="482"/>
      <c r="CY676" s="482"/>
      <c r="CZ676" s="485"/>
      <c r="DA676" s="485"/>
      <c r="DB676" s="485"/>
      <c r="DC676" s="485"/>
      <c r="DD676" s="485"/>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485"/>
      <c r="EX676" s="457"/>
      <c r="EY676" s="457"/>
      <c r="EZ676" s="457"/>
      <c r="FA676" s="457"/>
      <c r="FB676" s="457"/>
      <c r="FC676" s="457"/>
      <c r="FD676" s="457"/>
      <c r="FE676" s="457"/>
      <c r="FF676" s="457"/>
      <c r="FG676" s="457"/>
      <c r="FH676" s="457"/>
      <c r="FI676" s="457"/>
      <c r="FJ676" s="457"/>
      <c r="FK676" s="457"/>
    </row>
    <row r="677" spans="1:167" s="416" customFormat="1">
      <c r="A677" s="427"/>
      <c r="B677" s="427"/>
      <c r="C677" s="427"/>
      <c r="D677" s="427"/>
      <c r="E677" s="428"/>
      <c r="F677" s="429"/>
      <c r="G677" s="430"/>
      <c r="H677" s="427"/>
      <c r="I677" s="427"/>
      <c r="J677" s="427"/>
      <c r="K677" s="427"/>
      <c r="L677" s="427"/>
      <c r="M677" s="427"/>
      <c r="N677" s="427"/>
      <c r="O677" s="427"/>
      <c r="P677" s="427"/>
      <c r="Q677" s="427"/>
      <c r="R677" s="427"/>
      <c r="S677" s="427"/>
      <c r="T677" s="427"/>
      <c r="U677" s="427"/>
      <c r="V677" s="428"/>
      <c r="W677" s="431"/>
      <c r="X677" s="3"/>
      <c r="Y677" s="429"/>
      <c r="Z677" s="430"/>
      <c r="AA677" s="430"/>
      <c r="AB677" s="430"/>
      <c r="AC677" s="424"/>
      <c r="AD677" s="424"/>
      <c r="AE677" s="424"/>
      <c r="AF677" s="424"/>
      <c r="AG677" s="424"/>
      <c r="AH677" s="424"/>
      <c r="AI677" s="424"/>
      <c r="AJ677" s="2"/>
      <c r="AK677" s="2"/>
      <c r="AL677" s="2"/>
      <c r="AM677" s="2"/>
      <c r="AN677" s="2"/>
      <c r="AO677" s="2"/>
      <c r="AP677" s="2"/>
      <c r="AQ677" s="427"/>
      <c r="AR677" s="754"/>
      <c r="AS677" s="427"/>
      <c r="AT677" s="754"/>
      <c r="AU677" s="427"/>
      <c r="AV677" s="427"/>
      <c r="AW677" s="427"/>
      <c r="AX677" s="427"/>
      <c r="AY677" s="754"/>
      <c r="AZ677" s="754"/>
      <c r="BA677" s="754"/>
      <c r="BB677" s="427"/>
      <c r="BC677" s="427"/>
      <c r="BD677" s="427"/>
      <c r="BE677" s="754"/>
      <c r="BF677" s="427"/>
      <c r="BG677" s="454"/>
      <c r="BH677" s="754"/>
      <c r="BI677" s="427"/>
      <c r="BJ677" s="427"/>
      <c r="BK677" s="427"/>
      <c r="BL677" s="427"/>
      <c r="BM677" s="454"/>
      <c r="BN677" s="427"/>
      <c r="BO677" s="427"/>
      <c r="BP677" s="427"/>
      <c r="BQ677" s="454"/>
      <c r="BR677" s="454"/>
      <c r="BS677" s="460"/>
      <c r="BT677" s="454"/>
      <c r="BU677" s="454"/>
      <c r="BV677" s="457"/>
      <c r="BW677" s="460"/>
      <c r="BX677" s="460"/>
      <c r="BY677" s="460"/>
      <c r="CA677" s="2"/>
      <c r="CB677" s="2"/>
      <c r="CC677" s="2"/>
      <c r="CD677" s="2"/>
      <c r="CE677" s="2"/>
      <c r="CF677" s="2"/>
      <c r="CG677" s="2"/>
      <c r="CH677" s="2"/>
      <c r="CI677" s="2"/>
      <c r="CJ677" s="2"/>
      <c r="CK677" s="2"/>
      <c r="CL677" s="2"/>
      <c r="CM677" s="2"/>
      <c r="CN677" s="2"/>
      <c r="CO677" s="427"/>
      <c r="CP677" s="427"/>
      <c r="CQ677" s="427"/>
      <c r="CR677" s="485"/>
      <c r="CS677" s="485"/>
      <c r="CT677" s="485"/>
      <c r="CU677" s="485"/>
      <c r="CV677" s="482"/>
      <c r="CW677" s="482"/>
      <c r="CX677" s="482"/>
      <c r="CY677" s="482"/>
      <c r="CZ677" s="485"/>
      <c r="DA677" s="485"/>
      <c r="DB677" s="485"/>
      <c r="DC677" s="485"/>
      <c r="DD677" s="485"/>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485"/>
      <c r="EX677" s="457"/>
      <c r="EY677" s="457"/>
      <c r="EZ677" s="457"/>
      <c r="FA677" s="457"/>
      <c r="FB677" s="457"/>
      <c r="FC677" s="457"/>
      <c r="FD677" s="457"/>
      <c r="FE677" s="457"/>
      <c r="FF677" s="457"/>
      <c r="FG677" s="457"/>
      <c r="FH677" s="457"/>
      <c r="FI677" s="457"/>
      <c r="FJ677" s="457"/>
      <c r="FK677" s="457"/>
    </row>
    <row r="678" spans="1:167" s="416" customFormat="1">
      <c r="A678" s="427"/>
      <c r="B678" s="427"/>
      <c r="C678" s="427"/>
      <c r="D678" s="427"/>
      <c r="E678" s="428"/>
      <c r="F678" s="429"/>
      <c r="G678" s="430"/>
      <c r="H678" s="427"/>
      <c r="I678" s="427"/>
      <c r="J678" s="427"/>
      <c r="K678" s="427"/>
      <c r="L678" s="427"/>
      <c r="M678" s="427"/>
      <c r="N678" s="427"/>
      <c r="O678" s="427"/>
      <c r="P678" s="427"/>
      <c r="Q678" s="427"/>
      <c r="R678" s="427"/>
      <c r="S678" s="427"/>
      <c r="T678" s="427"/>
      <c r="U678" s="427"/>
      <c r="V678" s="428"/>
      <c r="W678" s="431"/>
      <c r="X678" s="3"/>
      <c r="Y678" s="429"/>
      <c r="Z678" s="430"/>
      <c r="AA678" s="430"/>
      <c r="AB678" s="430"/>
      <c r="AC678" s="424"/>
      <c r="AD678" s="424"/>
      <c r="AE678" s="424"/>
      <c r="AF678" s="424"/>
      <c r="AG678" s="424"/>
      <c r="AH678" s="424"/>
      <c r="AI678" s="424"/>
      <c r="AJ678" s="2"/>
      <c r="AK678" s="2"/>
      <c r="AL678" s="2"/>
      <c r="AM678" s="2"/>
      <c r="AN678" s="2"/>
      <c r="AO678" s="2"/>
      <c r="AP678" s="2"/>
      <c r="AQ678" s="427"/>
      <c r="AR678" s="754"/>
      <c r="AS678" s="427"/>
      <c r="AT678" s="754"/>
      <c r="AU678" s="427"/>
      <c r="AV678" s="427"/>
      <c r="AW678" s="427"/>
      <c r="AX678" s="427"/>
      <c r="AY678" s="754"/>
      <c r="AZ678" s="754"/>
      <c r="BA678" s="754"/>
      <c r="BB678" s="427"/>
      <c r="BC678" s="427"/>
      <c r="BD678" s="427"/>
      <c r="BE678" s="754"/>
      <c r="BF678" s="427"/>
      <c r="BG678" s="454"/>
      <c r="BH678" s="754"/>
      <c r="BI678" s="427"/>
      <c r="BJ678" s="427"/>
      <c r="BK678" s="427"/>
      <c r="BL678" s="427"/>
      <c r="BM678" s="454"/>
      <c r="BN678" s="427"/>
      <c r="BO678" s="427"/>
      <c r="BP678" s="427"/>
      <c r="BQ678" s="454"/>
      <c r="BR678" s="454"/>
      <c r="BS678" s="460"/>
      <c r="BT678" s="454"/>
      <c r="BU678" s="454"/>
      <c r="BV678" s="457"/>
      <c r="BW678" s="460"/>
      <c r="BX678" s="460"/>
      <c r="BY678" s="460"/>
      <c r="CA678" s="2"/>
      <c r="CB678" s="2"/>
      <c r="CC678" s="2"/>
      <c r="CD678" s="2"/>
      <c r="CE678" s="2"/>
      <c r="CF678" s="2"/>
      <c r="CG678" s="2"/>
      <c r="CH678" s="2"/>
      <c r="CI678" s="2"/>
      <c r="CJ678" s="2"/>
      <c r="CK678" s="2"/>
      <c r="CL678" s="2"/>
      <c r="CM678" s="2"/>
      <c r="CN678" s="2"/>
      <c r="CO678" s="427"/>
      <c r="CP678" s="427"/>
      <c r="CQ678" s="427"/>
      <c r="CR678" s="485"/>
      <c r="CS678" s="485"/>
      <c r="CT678" s="485"/>
      <c r="CU678" s="485"/>
      <c r="CV678" s="482"/>
      <c r="CW678" s="482"/>
      <c r="CX678" s="482"/>
      <c r="CY678" s="482"/>
      <c r="CZ678" s="485"/>
      <c r="DA678" s="485"/>
      <c r="DB678" s="485"/>
      <c r="DC678" s="485"/>
      <c r="DD678" s="485"/>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485"/>
      <c r="EX678" s="457"/>
      <c r="EY678" s="457"/>
      <c r="EZ678" s="457"/>
      <c r="FA678" s="457"/>
      <c r="FB678" s="457"/>
      <c r="FC678" s="457"/>
      <c r="FD678" s="457"/>
      <c r="FE678" s="457"/>
      <c r="FF678" s="457"/>
      <c r="FG678" s="457"/>
      <c r="FH678" s="457"/>
      <c r="FI678" s="457"/>
      <c r="FJ678" s="457"/>
      <c r="FK678" s="457"/>
    </row>
    <row r="679" spans="1:167" s="416" customFormat="1">
      <c r="A679" s="427"/>
      <c r="B679" s="427"/>
      <c r="C679" s="427"/>
      <c r="D679" s="427"/>
      <c r="E679" s="428"/>
      <c r="F679" s="429"/>
      <c r="G679" s="430"/>
      <c r="H679" s="427"/>
      <c r="I679" s="427"/>
      <c r="J679" s="427"/>
      <c r="K679" s="427"/>
      <c r="L679" s="427"/>
      <c r="M679" s="427"/>
      <c r="N679" s="427"/>
      <c r="O679" s="427"/>
      <c r="P679" s="427"/>
      <c r="Q679" s="427"/>
      <c r="R679" s="427"/>
      <c r="S679" s="427"/>
      <c r="T679" s="427"/>
      <c r="U679" s="427"/>
      <c r="V679" s="428"/>
      <c r="W679" s="431"/>
      <c r="X679" s="3"/>
      <c r="Y679" s="429"/>
      <c r="Z679" s="430"/>
      <c r="AA679" s="430"/>
      <c r="AB679" s="430"/>
      <c r="AC679" s="424"/>
      <c r="AD679" s="424"/>
      <c r="AE679" s="424"/>
      <c r="AF679" s="424"/>
      <c r="AG679" s="424"/>
      <c r="AH679" s="424"/>
      <c r="AI679" s="424"/>
      <c r="AJ679" s="2"/>
      <c r="AK679" s="2"/>
      <c r="AL679" s="2"/>
      <c r="AM679" s="2"/>
      <c r="AN679" s="2"/>
      <c r="AO679" s="2"/>
      <c r="AP679" s="2"/>
      <c r="AQ679" s="427"/>
      <c r="AR679" s="754"/>
      <c r="AS679" s="427"/>
      <c r="AT679" s="754"/>
      <c r="AU679" s="427"/>
      <c r="AV679" s="427"/>
      <c r="AW679" s="427"/>
      <c r="AX679" s="427"/>
      <c r="AY679" s="754"/>
      <c r="AZ679" s="754"/>
      <c r="BA679" s="754"/>
      <c r="BB679" s="427"/>
      <c r="BC679" s="427"/>
      <c r="BD679" s="427"/>
      <c r="BE679" s="754"/>
      <c r="BF679" s="427"/>
      <c r="BG679" s="454"/>
      <c r="BH679" s="754"/>
      <c r="BI679" s="427"/>
      <c r="BJ679" s="427"/>
      <c r="BK679" s="427"/>
      <c r="BL679" s="427"/>
      <c r="BM679" s="454"/>
      <c r="BN679" s="427"/>
      <c r="BO679" s="427"/>
      <c r="BP679" s="427"/>
      <c r="BQ679" s="454"/>
      <c r="BR679" s="454"/>
      <c r="BS679" s="460"/>
      <c r="BT679" s="454"/>
      <c r="BU679" s="454"/>
      <c r="BV679" s="457"/>
      <c r="BW679" s="460"/>
      <c r="BX679" s="460"/>
      <c r="BY679" s="460"/>
      <c r="CA679" s="2"/>
      <c r="CB679" s="2"/>
      <c r="CC679" s="2"/>
      <c r="CD679" s="2"/>
      <c r="CE679" s="2"/>
      <c r="CF679" s="2"/>
      <c r="CG679" s="2"/>
      <c r="CH679" s="2"/>
      <c r="CI679" s="2"/>
      <c r="CJ679" s="2"/>
      <c r="CK679" s="2"/>
      <c r="CL679" s="2"/>
      <c r="CM679" s="2"/>
      <c r="CN679" s="2"/>
      <c r="CO679" s="427"/>
      <c r="CP679" s="427"/>
      <c r="CQ679" s="427"/>
      <c r="CR679" s="485"/>
      <c r="CS679" s="485"/>
      <c r="CT679" s="485"/>
      <c r="CU679" s="485"/>
      <c r="CV679" s="482"/>
      <c r="CW679" s="482"/>
      <c r="CX679" s="482"/>
      <c r="CY679" s="482"/>
      <c r="CZ679" s="485"/>
      <c r="DA679" s="485"/>
      <c r="DB679" s="485"/>
      <c r="DC679" s="485"/>
      <c r="DD679" s="485"/>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485"/>
      <c r="EX679" s="457"/>
      <c r="EY679" s="457"/>
      <c r="EZ679" s="457"/>
      <c r="FA679" s="457"/>
      <c r="FB679" s="457"/>
      <c r="FC679" s="457"/>
      <c r="FD679" s="457"/>
      <c r="FE679" s="457"/>
      <c r="FF679" s="457"/>
      <c r="FG679" s="457"/>
      <c r="FH679" s="457"/>
      <c r="FI679" s="457"/>
      <c r="FJ679" s="457"/>
      <c r="FK679" s="457"/>
    </row>
    <row r="680" spans="1:167" s="416" customFormat="1">
      <c r="A680" s="427"/>
      <c r="B680" s="427"/>
      <c r="C680" s="427"/>
      <c r="D680" s="427"/>
      <c r="E680" s="428"/>
      <c r="F680" s="429"/>
      <c r="G680" s="430"/>
      <c r="H680" s="427"/>
      <c r="I680" s="427"/>
      <c r="J680" s="427"/>
      <c r="K680" s="427"/>
      <c r="L680" s="427"/>
      <c r="M680" s="427"/>
      <c r="N680" s="427"/>
      <c r="O680" s="427"/>
      <c r="P680" s="427"/>
      <c r="Q680" s="427"/>
      <c r="R680" s="427"/>
      <c r="S680" s="427"/>
      <c r="T680" s="427"/>
      <c r="U680" s="427"/>
      <c r="V680" s="428"/>
      <c r="W680" s="431"/>
      <c r="X680" s="3"/>
      <c r="Y680" s="429"/>
      <c r="Z680" s="430"/>
      <c r="AA680" s="430"/>
      <c r="AB680" s="430"/>
      <c r="AC680" s="424"/>
      <c r="AD680" s="424"/>
      <c r="AE680" s="424"/>
      <c r="AF680" s="424"/>
      <c r="AG680" s="424"/>
      <c r="AH680" s="424"/>
      <c r="AI680" s="424"/>
      <c r="AJ680" s="2"/>
      <c r="AK680" s="2"/>
      <c r="AL680" s="2"/>
      <c r="AM680" s="2"/>
      <c r="AN680" s="2"/>
      <c r="AO680" s="2"/>
      <c r="AP680" s="2"/>
      <c r="AQ680" s="427"/>
      <c r="AR680" s="754"/>
      <c r="AS680" s="427"/>
      <c r="AT680" s="754"/>
      <c r="AU680" s="427"/>
      <c r="AV680" s="427"/>
      <c r="AW680" s="427"/>
      <c r="AX680" s="427"/>
      <c r="AY680" s="754"/>
      <c r="AZ680" s="754"/>
      <c r="BA680" s="754"/>
      <c r="BB680" s="427"/>
      <c r="BC680" s="427"/>
      <c r="BD680" s="427"/>
      <c r="BE680" s="754"/>
      <c r="BF680" s="427"/>
      <c r="BG680" s="454"/>
      <c r="BH680" s="754"/>
      <c r="BI680" s="427"/>
      <c r="BJ680" s="427"/>
      <c r="BK680" s="427"/>
      <c r="BL680" s="427"/>
      <c r="BM680" s="454"/>
      <c r="BN680" s="427"/>
      <c r="BO680" s="427"/>
      <c r="BP680" s="427"/>
      <c r="BQ680" s="454"/>
      <c r="BR680" s="454"/>
      <c r="BS680" s="460"/>
      <c r="BT680" s="454"/>
      <c r="BU680" s="454"/>
      <c r="BV680" s="457"/>
      <c r="BW680" s="460"/>
      <c r="BX680" s="460"/>
      <c r="BY680" s="460"/>
      <c r="CA680" s="2"/>
      <c r="CB680" s="2"/>
      <c r="CC680" s="2"/>
      <c r="CD680" s="2"/>
      <c r="CE680" s="2"/>
      <c r="CF680" s="2"/>
      <c r="CG680" s="2"/>
      <c r="CH680" s="2"/>
      <c r="CI680" s="2"/>
      <c r="CJ680" s="2"/>
      <c r="CK680" s="2"/>
      <c r="CL680" s="2"/>
      <c r="CM680" s="2"/>
      <c r="CN680" s="2"/>
      <c r="CO680" s="427"/>
      <c r="CP680" s="427"/>
      <c r="CQ680" s="427"/>
      <c r="CR680" s="485"/>
      <c r="CS680" s="485"/>
      <c r="CT680" s="485"/>
      <c r="CU680" s="485"/>
      <c r="CV680" s="482"/>
      <c r="CW680" s="482"/>
      <c r="CX680" s="482"/>
      <c r="CY680" s="482"/>
      <c r="CZ680" s="485"/>
      <c r="DA680" s="485"/>
      <c r="DB680" s="485"/>
      <c r="DC680" s="485"/>
      <c r="DD680" s="485"/>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485"/>
      <c r="EX680" s="457"/>
      <c r="EY680" s="457"/>
      <c r="EZ680" s="457"/>
      <c r="FA680" s="457"/>
      <c r="FB680" s="457"/>
      <c r="FC680" s="457"/>
      <c r="FD680" s="457"/>
      <c r="FE680" s="457"/>
      <c r="FF680" s="457"/>
      <c r="FG680" s="457"/>
      <c r="FH680" s="457"/>
      <c r="FI680" s="457"/>
      <c r="FJ680" s="457"/>
      <c r="FK680" s="457"/>
    </row>
    <row r="681" spans="1:167" s="416" customFormat="1">
      <c r="A681" s="427"/>
      <c r="B681" s="427"/>
      <c r="C681" s="427"/>
      <c r="D681" s="427"/>
      <c r="E681" s="428"/>
      <c r="F681" s="429"/>
      <c r="G681" s="430"/>
      <c r="H681" s="427"/>
      <c r="I681" s="427"/>
      <c r="J681" s="427"/>
      <c r="K681" s="427"/>
      <c r="L681" s="427"/>
      <c r="M681" s="427"/>
      <c r="N681" s="427"/>
      <c r="O681" s="427"/>
      <c r="P681" s="427"/>
      <c r="Q681" s="427"/>
      <c r="R681" s="427"/>
      <c r="S681" s="427"/>
      <c r="T681" s="427"/>
      <c r="U681" s="427"/>
      <c r="V681" s="428"/>
      <c r="W681" s="431"/>
      <c r="X681" s="3"/>
      <c r="Y681" s="429"/>
      <c r="Z681" s="430"/>
      <c r="AA681" s="430"/>
      <c r="AB681" s="430"/>
      <c r="AC681" s="424"/>
      <c r="AD681" s="424"/>
      <c r="AE681" s="424"/>
      <c r="AF681" s="424"/>
      <c r="AG681" s="424"/>
      <c r="AH681" s="424"/>
      <c r="AI681" s="424"/>
      <c r="AJ681" s="2"/>
      <c r="AK681" s="2"/>
      <c r="AL681" s="2"/>
      <c r="AM681" s="2"/>
      <c r="AN681" s="2"/>
      <c r="AO681" s="2"/>
      <c r="AP681" s="2"/>
      <c r="AQ681" s="427"/>
      <c r="AR681" s="754"/>
      <c r="AS681" s="427"/>
      <c r="AT681" s="754"/>
      <c r="AU681" s="427"/>
      <c r="AV681" s="427"/>
      <c r="AW681" s="427"/>
      <c r="AX681" s="427"/>
      <c r="AY681" s="754"/>
      <c r="AZ681" s="754"/>
      <c r="BA681" s="754"/>
      <c r="BB681" s="427"/>
      <c r="BC681" s="427"/>
      <c r="BD681" s="427"/>
      <c r="BE681" s="754"/>
      <c r="BF681" s="427"/>
      <c r="BG681" s="454"/>
      <c r="BH681" s="754"/>
      <c r="BI681" s="427"/>
      <c r="BJ681" s="427"/>
      <c r="BK681" s="427"/>
      <c r="BL681" s="427"/>
      <c r="BM681" s="454"/>
      <c r="BN681" s="427"/>
      <c r="BO681" s="427"/>
      <c r="BP681" s="427"/>
      <c r="BQ681" s="454"/>
      <c r="BR681" s="454"/>
      <c r="BS681" s="460"/>
      <c r="BT681" s="454"/>
      <c r="BU681" s="454"/>
      <c r="BV681" s="457"/>
      <c r="BW681" s="460"/>
      <c r="BX681" s="460"/>
      <c r="BY681" s="460"/>
      <c r="CA681" s="2"/>
      <c r="CB681" s="2"/>
      <c r="CC681" s="2"/>
      <c r="CD681" s="2"/>
      <c r="CE681" s="2"/>
      <c r="CF681" s="2"/>
      <c r="CG681" s="2"/>
      <c r="CH681" s="2"/>
      <c r="CI681" s="2"/>
      <c r="CJ681" s="2"/>
      <c r="CK681" s="2"/>
      <c r="CL681" s="2"/>
      <c r="CM681" s="2"/>
      <c r="CN681" s="2"/>
      <c r="CO681" s="427"/>
      <c r="CP681" s="427"/>
      <c r="CQ681" s="427"/>
      <c r="CR681" s="485"/>
      <c r="CS681" s="485"/>
      <c r="CT681" s="485"/>
      <c r="CU681" s="485"/>
      <c r="CV681" s="482"/>
      <c r="CW681" s="482"/>
      <c r="CX681" s="482"/>
      <c r="CY681" s="482"/>
      <c r="CZ681" s="485"/>
      <c r="DA681" s="485"/>
      <c r="DB681" s="485"/>
      <c r="DC681" s="485"/>
      <c r="DD681" s="485"/>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485"/>
      <c r="EX681" s="457"/>
      <c r="EY681" s="457"/>
      <c r="EZ681" s="457"/>
      <c r="FA681" s="457"/>
      <c r="FB681" s="457"/>
      <c r="FC681" s="457"/>
      <c r="FD681" s="457"/>
      <c r="FE681" s="457"/>
      <c r="FF681" s="457"/>
      <c r="FG681" s="457"/>
      <c r="FH681" s="457"/>
      <c r="FI681" s="457"/>
      <c r="FJ681" s="457"/>
      <c r="FK681" s="457"/>
    </row>
    <row r="682" spans="1:167" s="416" customFormat="1">
      <c r="A682" s="427"/>
      <c r="B682" s="427"/>
      <c r="C682" s="427"/>
      <c r="D682" s="427"/>
      <c r="E682" s="428"/>
      <c r="F682" s="429"/>
      <c r="G682" s="430"/>
      <c r="H682" s="427"/>
      <c r="I682" s="427"/>
      <c r="J682" s="427"/>
      <c r="K682" s="427"/>
      <c r="L682" s="427"/>
      <c r="M682" s="427"/>
      <c r="N682" s="427"/>
      <c r="O682" s="427"/>
      <c r="P682" s="427"/>
      <c r="Q682" s="427"/>
      <c r="R682" s="427"/>
      <c r="S682" s="427"/>
      <c r="T682" s="427"/>
      <c r="U682" s="427"/>
      <c r="V682" s="428"/>
      <c r="W682" s="431"/>
      <c r="X682" s="3"/>
      <c r="Y682" s="429"/>
      <c r="Z682" s="430"/>
      <c r="AA682" s="430"/>
      <c r="AB682" s="430"/>
      <c r="AC682" s="424"/>
      <c r="AD682" s="424"/>
      <c r="AE682" s="424"/>
      <c r="AF682" s="424"/>
      <c r="AG682" s="424"/>
      <c r="AH682" s="424"/>
      <c r="AI682" s="424"/>
      <c r="AJ682" s="2"/>
      <c r="AK682" s="2"/>
      <c r="AL682" s="2"/>
      <c r="AM682" s="2"/>
      <c r="AN682" s="2"/>
      <c r="AO682" s="2"/>
      <c r="AP682" s="2"/>
      <c r="AQ682" s="427"/>
      <c r="AR682" s="754"/>
      <c r="AS682" s="427"/>
      <c r="AT682" s="754"/>
      <c r="AU682" s="427"/>
      <c r="AV682" s="427"/>
      <c r="AW682" s="427"/>
      <c r="AX682" s="427"/>
      <c r="AY682" s="754"/>
      <c r="AZ682" s="754"/>
      <c r="BA682" s="754"/>
      <c r="BB682" s="427"/>
      <c r="BC682" s="427"/>
      <c r="BD682" s="427"/>
      <c r="BE682" s="754"/>
      <c r="BF682" s="427"/>
      <c r="BG682" s="454"/>
      <c r="BH682" s="754"/>
      <c r="BI682" s="427"/>
      <c r="BJ682" s="427"/>
      <c r="BK682" s="427"/>
      <c r="BL682" s="427"/>
      <c r="BM682" s="454"/>
      <c r="BN682" s="427"/>
      <c r="BO682" s="427"/>
      <c r="BP682" s="427"/>
      <c r="BQ682" s="454"/>
      <c r="BR682" s="454"/>
      <c r="BS682" s="460"/>
      <c r="BT682" s="454"/>
      <c r="BU682" s="454"/>
      <c r="BV682" s="457"/>
      <c r="BW682" s="460"/>
      <c r="BX682" s="460"/>
      <c r="BY682" s="460"/>
      <c r="CA682" s="2"/>
      <c r="CB682" s="2"/>
      <c r="CC682" s="2"/>
      <c r="CD682" s="2"/>
      <c r="CE682" s="2"/>
      <c r="CF682" s="2"/>
      <c r="CG682" s="2"/>
      <c r="CH682" s="2"/>
      <c r="CI682" s="2"/>
      <c r="CJ682" s="2"/>
      <c r="CK682" s="2"/>
      <c r="CL682" s="2"/>
      <c r="CM682" s="2"/>
      <c r="CN682" s="2"/>
      <c r="CO682" s="427"/>
      <c r="CP682" s="427"/>
      <c r="CQ682" s="427"/>
      <c r="CR682" s="485"/>
      <c r="CS682" s="485"/>
      <c r="CT682" s="485"/>
      <c r="CU682" s="485"/>
      <c r="CV682" s="482"/>
      <c r="CW682" s="482"/>
      <c r="CX682" s="482"/>
      <c r="CY682" s="482"/>
      <c r="CZ682" s="485"/>
      <c r="DA682" s="485"/>
      <c r="DB682" s="485"/>
      <c r="DC682" s="485"/>
      <c r="DD682" s="485"/>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485"/>
      <c r="EX682" s="457"/>
      <c r="EY682" s="457"/>
      <c r="EZ682" s="457"/>
      <c r="FA682" s="457"/>
      <c r="FB682" s="457"/>
      <c r="FC682" s="457"/>
      <c r="FD682" s="457"/>
      <c r="FE682" s="457"/>
      <c r="FF682" s="457"/>
      <c r="FG682" s="457"/>
      <c r="FH682" s="457"/>
      <c r="FI682" s="457"/>
      <c r="FJ682" s="457"/>
      <c r="FK682" s="457"/>
    </row>
    <row r="683" spans="1:167" s="416" customFormat="1">
      <c r="A683" s="427"/>
      <c r="B683" s="427"/>
      <c r="C683" s="427"/>
      <c r="D683" s="427"/>
      <c r="E683" s="428"/>
      <c r="F683" s="429"/>
      <c r="G683" s="430"/>
      <c r="H683" s="427"/>
      <c r="I683" s="427"/>
      <c r="J683" s="427"/>
      <c r="K683" s="427"/>
      <c r="L683" s="427"/>
      <c r="M683" s="427"/>
      <c r="N683" s="427"/>
      <c r="O683" s="427"/>
      <c r="P683" s="427"/>
      <c r="Q683" s="427"/>
      <c r="R683" s="427"/>
      <c r="S683" s="427"/>
      <c r="T683" s="427"/>
      <c r="U683" s="427"/>
      <c r="V683" s="428"/>
      <c r="W683" s="431"/>
      <c r="X683" s="3"/>
      <c r="Y683" s="429"/>
      <c r="Z683" s="430"/>
      <c r="AA683" s="430"/>
      <c r="AB683" s="430"/>
      <c r="AC683" s="424"/>
      <c r="AD683" s="424"/>
      <c r="AE683" s="424"/>
      <c r="AF683" s="424"/>
      <c r="AG683" s="424"/>
      <c r="AH683" s="424"/>
      <c r="AI683" s="424"/>
      <c r="AJ683" s="2"/>
      <c r="AK683" s="2"/>
      <c r="AL683" s="2"/>
      <c r="AM683" s="2"/>
      <c r="AN683" s="2"/>
      <c r="AO683" s="2"/>
      <c r="AP683" s="2"/>
      <c r="AQ683" s="427"/>
      <c r="AR683" s="754"/>
      <c r="AS683" s="427"/>
      <c r="AT683" s="754"/>
      <c r="AU683" s="427"/>
      <c r="AV683" s="427"/>
      <c r="AW683" s="427"/>
      <c r="AX683" s="427"/>
      <c r="AY683" s="754"/>
      <c r="AZ683" s="754"/>
      <c r="BA683" s="754"/>
      <c r="BB683" s="427"/>
      <c r="BC683" s="427"/>
      <c r="BD683" s="427"/>
      <c r="BE683" s="754"/>
      <c r="BF683" s="427"/>
      <c r="BG683" s="454"/>
      <c r="BH683" s="754"/>
      <c r="BI683" s="427"/>
      <c r="BJ683" s="427"/>
      <c r="BK683" s="427"/>
      <c r="BL683" s="427"/>
      <c r="BM683" s="454"/>
      <c r="BN683" s="427"/>
      <c r="BO683" s="427"/>
      <c r="BP683" s="427"/>
      <c r="BQ683" s="454"/>
      <c r="BR683" s="454"/>
      <c r="BS683" s="460"/>
      <c r="BT683" s="454"/>
      <c r="BU683" s="454"/>
      <c r="BV683" s="457"/>
      <c r="BW683" s="460"/>
      <c r="BX683" s="460"/>
      <c r="BY683" s="460"/>
      <c r="CA683" s="2"/>
      <c r="CB683" s="2"/>
      <c r="CC683" s="2"/>
      <c r="CD683" s="2"/>
      <c r="CE683" s="2"/>
      <c r="CF683" s="2"/>
      <c r="CG683" s="2"/>
      <c r="CH683" s="2"/>
      <c r="CI683" s="2"/>
      <c r="CJ683" s="2"/>
      <c r="CK683" s="2"/>
      <c r="CL683" s="2"/>
      <c r="CM683" s="2"/>
      <c r="CN683" s="2"/>
      <c r="CO683" s="427"/>
      <c r="CP683" s="427"/>
      <c r="CQ683" s="427"/>
      <c r="CR683" s="485"/>
      <c r="CS683" s="485"/>
      <c r="CT683" s="485"/>
      <c r="CU683" s="485"/>
      <c r="CV683" s="482"/>
      <c r="CW683" s="482"/>
      <c r="CX683" s="482"/>
      <c r="CY683" s="482"/>
      <c r="CZ683" s="485"/>
      <c r="DA683" s="485"/>
      <c r="DB683" s="485"/>
      <c r="DC683" s="485"/>
      <c r="DD683" s="485"/>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485"/>
      <c r="EX683" s="457"/>
      <c r="EY683" s="457"/>
      <c r="EZ683" s="457"/>
      <c r="FA683" s="457"/>
      <c r="FB683" s="457"/>
      <c r="FC683" s="457"/>
      <c r="FD683" s="457"/>
      <c r="FE683" s="457"/>
      <c r="FF683" s="457"/>
      <c r="FG683" s="457"/>
      <c r="FH683" s="457"/>
      <c r="FI683" s="457"/>
      <c r="FJ683" s="457"/>
      <c r="FK683" s="457"/>
    </row>
    <row r="684" spans="1:167" s="416" customFormat="1">
      <c r="A684" s="427"/>
      <c r="B684" s="427"/>
      <c r="C684" s="427"/>
      <c r="D684" s="427"/>
      <c r="E684" s="428"/>
      <c r="F684" s="429"/>
      <c r="G684" s="430"/>
      <c r="H684" s="427"/>
      <c r="I684" s="427"/>
      <c r="J684" s="427"/>
      <c r="K684" s="427"/>
      <c r="L684" s="427"/>
      <c r="M684" s="427"/>
      <c r="N684" s="427"/>
      <c r="O684" s="427"/>
      <c r="P684" s="427"/>
      <c r="Q684" s="427"/>
      <c r="R684" s="427"/>
      <c r="S684" s="427"/>
      <c r="T684" s="427"/>
      <c r="U684" s="427"/>
      <c r="V684" s="428"/>
      <c r="W684" s="431"/>
      <c r="X684" s="3"/>
      <c r="Y684" s="429"/>
      <c r="Z684" s="430"/>
      <c r="AA684" s="430"/>
      <c r="AB684" s="430"/>
      <c r="AC684" s="424"/>
      <c r="AD684" s="424"/>
      <c r="AE684" s="424"/>
      <c r="AF684" s="424"/>
      <c r="AG684" s="424"/>
      <c r="AH684" s="424"/>
      <c r="AI684" s="424"/>
      <c r="AJ684" s="2"/>
      <c r="AK684" s="2"/>
      <c r="AL684" s="2"/>
      <c r="AM684" s="2"/>
      <c r="AN684" s="2"/>
      <c r="AO684" s="2"/>
      <c r="AP684" s="2"/>
      <c r="AQ684" s="427"/>
      <c r="AR684" s="754"/>
      <c r="AS684" s="427"/>
      <c r="AT684" s="754"/>
      <c r="AU684" s="427"/>
      <c r="AV684" s="427"/>
      <c r="AW684" s="427"/>
      <c r="AX684" s="427"/>
      <c r="AY684" s="754"/>
      <c r="AZ684" s="754"/>
      <c r="BA684" s="754"/>
      <c r="BB684" s="427"/>
      <c r="BC684" s="427"/>
      <c r="BD684" s="427"/>
      <c r="BE684" s="754"/>
      <c r="BF684" s="427"/>
      <c r="BG684" s="454"/>
      <c r="BH684" s="754"/>
      <c r="BI684" s="427"/>
      <c r="BJ684" s="427"/>
      <c r="BK684" s="427"/>
      <c r="BL684" s="427"/>
      <c r="BM684" s="454"/>
      <c r="BN684" s="427"/>
      <c r="BO684" s="427"/>
      <c r="BP684" s="427"/>
      <c r="BQ684" s="454"/>
      <c r="BR684" s="454"/>
      <c r="BS684" s="460"/>
      <c r="BT684" s="454"/>
      <c r="BU684" s="454"/>
      <c r="BV684" s="457"/>
      <c r="BW684" s="460"/>
      <c r="BX684" s="460"/>
      <c r="BY684" s="460"/>
      <c r="CA684" s="2"/>
      <c r="CB684" s="2"/>
      <c r="CC684" s="2"/>
      <c r="CD684" s="2"/>
      <c r="CE684" s="2"/>
      <c r="CF684" s="2"/>
      <c r="CG684" s="2"/>
      <c r="CH684" s="2"/>
      <c r="CI684" s="2"/>
      <c r="CJ684" s="2"/>
      <c r="CK684" s="2"/>
      <c r="CL684" s="2"/>
      <c r="CM684" s="2"/>
      <c r="CN684" s="2"/>
      <c r="CO684" s="427"/>
      <c r="CP684" s="427"/>
      <c r="CQ684" s="427"/>
      <c r="CR684" s="485"/>
      <c r="CS684" s="485"/>
      <c r="CT684" s="485"/>
      <c r="CU684" s="485"/>
      <c r="CV684" s="482"/>
      <c r="CW684" s="482"/>
      <c r="CX684" s="482"/>
      <c r="CY684" s="482"/>
      <c r="CZ684" s="485"/>
      <c r="DA684" s="485"/>
      <c r="DB684" s="485"/>
      <c r="DC684" s="485"/>
      <c r="DD684" s="485"/>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485"/>
      <c r="EX684" s="457"/>
      <c r="EY684" s="457"/>
      <c r="EZ684" s="457"/>
      <c r="FA684" s="457"/>
      <c r="FB684" s="457"/>
      <c r="FC684" s="457"/>
      <c r="FD684" s="457"/>
      <c r="FE684" s="457"/>
      <c r="FF684" s="457"/>
      <c r="FG684" s="457"/>
      <c r="FH684" s="457"/>
      <c r="FI684" s="457"/>
      <c r="FJ684" s="457"/>
      <c r="FK684" s="457"/>
    </row>
    <row r="685" spans="1:167" s="416" customFormat="1">
      <c r="A685" s="427"/>
      <c r="B685" s="427"/>
      <c r="C685" s="427"/>
      <c r="D685" s="427"/>
      <c r="E685" s="428"/>
      <c r="F685" s="429"/>
      <c r="G685" s="430"/>
      <c r="H685" s="427"/>
      <c r="I685" s="427"/>
      <c r="J685" s="427"/>
      <c r="K685" s="427"/>
      <c r="L685" s="427"/>
      <c r="M685" s="427"/>
      <c r="N685" s="427"/>
      <c r="O685" s="427"/>
      <c r="P685" s="427"/>
      <c r="Q685" s="427"/>
      <c r="R685" s="427"/>
      <c r="S685" s="427"/>
      <c r="T685" s="427"/>
      <c r="U685" s="427"/>
      <c r="V685" s="428"/>
      <c r="W685" s="431"/>
      <c r="X685" s="3"/>
      <c r="Y685" s="429"/>
      <c r="Z685" s="430"/>
      <c r="AA685" s="430"/>
      <c r="AB685" s="430"/>
      <c r="AC685" s="424"/>
      <c r="AD685" s="424"/>
      <c r="AE685" s="424"/>
      <c r="AF685" s="424"/>
      <c r="AG685" s="424"/>
      <c r="AH685" s="424"/>
      <c r="AI685" s="424"/>
      <c r="AJ685" s="2"/>
      <c r="AK685" s="2"/>
      <c r="AL685" s="2"/>
      <c r="AM685" s="2"/>
      <c r="AN685" s="2"/>
      <c r="AO685" s="2"/>
      <c r="AP685" s="2"/>
      <c r="AQ685" s="427"/>
      <c r="AR685" s="754"/>
      <c r="AS685" s="427"/>
      <c r="AT685" s="754"/>
      <c r="AU685" s="427"/>
      <c r="AV685" s="427"/>
      <c r="AW685" s="427"/>
      <c r="AX685" s="427"/>
      <c r="AY685" s="754"/>
      <c r="AZ685" s="754"/>
      <c r="BA685" s="754"/>
      <c r="BB685" s="427"/>
      <c r="BC685" s="427"/>
      <c r="BD685" s="427"/>
      <c r="BE685" s="754"/>
      <c r="BF685" s="427"/>
      <c r="BG685" s="454"/>
      <c r="BH685" s="754"/>
      <c r="BI685" s="427"/>
      <c r="BJ685" s="427"/>
      <c r="BK685" s="427"/>
      <c r="BL685" s="427"/>
      <c r="BM685" s="454"/>
      <c r="BN685" s="427"/>
      <c r="BO685" s="427"/>
      <c r="BP685" s="427"/>
      <c r="BQ685" s="454"/>
      <c r="BR685" s="454"/>
      <c r="BS685" s="460"/>
      <c r="BT685" s="454"/>
      <c r="BU685" s="454"/>
      <c r="BV685" s="457"/>
      <c r="BW685" s="460"/>
      <c r="BX685" s="460"/>
      <c r="BY685" s="460"/>
      <c r="CA685" s="2"/>
      <c r="CB685" s="2"/>
      <c r="CC685" s="2"/>
      <c r="CD685" s="2"/>
      <c r="CE685" s="2"/>
      <c r="CF685" s="2"/>
      <c r="CG685" s="2"/>
      <c r="CH685" s="2"/>
      <c r="CI685" s="2"/>
      <c r="CJ685" s="2"/>
      <c r="CK685" s="2"/>
      <c r="CL685" s="2"/>
      <c r="CM685" s="2"/>
      <c r="CN685" s="2"/>
      <c r="CO685" s="427"/>
      <c r="CP685" s="427"/>
      <c r="CQ685" s="427"/>
      <c r="CR685" s="485"/>
      <c r="CS685" s="485"/>
      <c r="CT685" s="485"/>
      <c r="CU685" s="485"/>
      <c r="CV685" s="482"/>
      <c r="CW685" s="482"/>
      <c r="CX685" s="482"/>
      <c r="CY685" s="482"/>
      <c r="CZ685" s="485"/>
      <c r="DA685" s="485"/>
      <c r="DB685" s="485"/>
      <c r="DC685" s="485"/>
      <c r="DD685" s="485"/>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485"/>
      <c r="EX685" s="457"/>
      <c r="EY685" s="457"/>
      <c r="EZ685" s="457"/>
      <c r="FA685" s="457"/>
      <c r="FB685" s="457"/>
      <c r="FC685" s="457"/>
      <c r="FD685" s="457"/>
      <c r="FE685" s="457"/>
      <c r="FF685" s="457"/>
      <c r="FG685" s="457"/>
      <c r="FH685" s="457"/>
      <c r="FI685" s="457"/>
      <c r="FJ685" s="457"/>
      <c r="FK685" s="457"/>
    </row>
    <row r="686" spans="1:167" s="416" customFormat="1">
      <c r="A686" s="427"/>
      <c r="B686" s="427"/>
      <c r="C686" s="427"/>
      <c r="D686" s="427"/>
      <c r="E686" s="428"/>
      <c r="F686" s="429"/>
      <c r="G686" s="430"/>
      <c r="H686" s="427"/>
      <c r="I686" s="427"/>
      <c r="J686" s="427"/>
      <c r="K686" s="427"/>
      <c r="L686" s="427"/>
      <c r="M686" s="427"/>
      <c r="N686" s="427"/>
      <c r="O686" s="427"/>
      <c r="P686" s="427"/>
      <c r="Q686" s="427"/>
      <c r="R686" s="427"/>
      <c r="S686" s="427"/>
      <c r="T686" s="427"/>
      <c r="U686" s="427"/>
      <c r="V686" s="428"/>
      <c r="W686" s="431"/>
      <c r="X686" s="3"/>
      <c r="Y686" s="429"/>
      <c r="Z686" s="430"/>
      <c r="AA686" s="430"/>
      <c r="AB686" s="430"/>
      <c r="AC686" s="424"/>
      <c r="AD686" s="424"/>
      <c r="AE686" s="424"/>
      <c r="AF686" s="424"/>
      <c r="AG686" s="424"/>
      <c r="AH686" s="424"/>
      <c r="AI686" s="424"/>
      <c r="AJ686" s="2"/>
      <c r="AK686" s="2"/>
      <c r="AL686" s="2"/>
      <c r="AM686" s="2"/>
      <c r="AN686" s="2"/>
      <c r="AO686" s="2"/>
      <c r="AP686" s="2"/>
      <c r="AQ686" s="427"/>
      <c r="AR686" s="754"/>
      <c r="AS686" s="427"/>
      <c r="AT686" s="754"/>
      <c r="AU686" s="427"/>
      <c r="AV686" s="427"/>
      <c r="AW686" s="427"/>
      <c r="AX686" s="427"/>
      <c r="AY686" s="754"/>
      <c r="AZ686" s="754"/>
      <c r="BA686" s="754"/>
      <c r="BB686" s="427"/>
      <c r="BC686" s="427"/>
      <c r="BD686" s="427"/>
      <c r="BE686" s="754"/>
      <c r="BF686" s="427"/>
      <c r="BG686" s="454"/>
      <c r="BH686" s="754"/>
      <c r="BI686" s="427"/>
      <c r="BJ686" s="427"/>
      <c r="BK686" s="427"/>
      <c r="BL686" s="427"/>
      <c r="BM686" s="454"/>
      <c r="BN686" s="427"/>
      <c r="BO686" s="427"/>
      <c r="BP686" s="427"/>
      <c r="BQ686" s="454"/>
      <c r="BR686" s="454"/>
      <c r="BS686" s="460"/>
      <c r="BT686" s="454"/>
      <c r="BU686" s="454"/>
      <c r="BV686" s="457"/>
      <c r="BW686" s="460"/>
      <c r="BX686" s="460"/>
      <c r="BY686" s="460"/>
      <c r="CA686" s="2"/>
      <c r="CB686" s="2"/>
      <c r="CC686" s="2"/>
      <c r="CD686" s="2"/>
      <c r="CE686" s="2"/>
      <c r="CF686" s="2"/>
      <c r="CG686" s="2"/>
      <c r="CH686" s="2"/>
      <c r="CI686" s="2"/>
      <c r="CJ686" s="2"/>
      <c r="CK686" s="2"/>
      <c r="CL686" s="2"/>
      <c r="CM686" s="2"/>
      <c r="CN686" s="2"/>
      <c r="CO686" s="427"/>
      <c r="CP686" s="427"/>
      <c r="CQ686" s="427"/>
      <c r="CR686" s="485"/>
      <c r="CS686" s="485"/>
      <c r="CT686" s="485"/>
      <c r="CU686" s="485"/>
      <c r="CV686" s="482"/>
      <c r="CW686" s="482"/>
      <c r="CX686" s="482"/>
      <c r="CY686" s="482"/>
      <c r="CZ686" s="485"/>
      <c r="DA686" s="485"/>
      <c r="DB686" s="485"/>
      <c r="DC686" s="485"/>
      <c r="DD686" s="485"/>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485"/>
      <c r="EX686" s="457"/>
      <c r="EY686" s="457"/>
      <c r="EZ686" s="457"/>
      <c r="FA686" s="457"/>
      <c r="FB686" s="457"/>
      <c r="FC686" s="457"/>
      <c r="FD686" s="457"/>
      <c r="FE686" s="457"/>
      <c r="FF686" s="457"/>
      <c r="FG686" s="457"/>
      <c r="FH686" s="457"/>
      <c r="FI686" s="457"/>
      <c r="FJ686" s="457"/>
      <c r="FK686" s="457"/>
    </row>
    <row r="687" spans="1:167" s="416" customFormat="1">
      <c r="A687" s="427"/>
      <c r="B687" s="427"/>
      <c r="C687" s="427"/>
      <c r="D687" s="427"/>
      <c r="E687" s="428"/>
      <c r="F687" s="429"/>
      <c r="G687" s="430"/>
      <c r="H687" s="427"/>
      <c r="I687" s="427"/>
      <c r="J687" s="427"/>
      <c r="K687" s="427"/>
      <c r="L687" s="427"/>
      <c r="M687" s="427"/>
      <c r="N687" s="427"/>
      <c r="O687" s="427"/>
      <c r="P687" s="427"/>
      <c r="Q687" s="427"/>
      <c r="R687" s="427"/>
      <c r="S687" s="427"/>
      <c r="T687" s="427"/>
      <c r="U687" s="427"/>
      <c r="V687" s="428"/>
      <c r="W687" s="431"/>
      <c r="X687" s="3"/>
      <c r="Y687" s="429"/>
      <c r="Z687" s="430"/>
      <c r="AA687" s="430"/>
      <c r="AB687" s="430"/>
      <c r="AC687" s="424"/>
      <c r="AD687" s="424"/>
      <c r="AE687" s="424"/>
      <c r="AF687" s="424"/>
      <c r="AG687" s="424"/>
      <c r="AH687" s="424"/>
      <c r="AI687" s="424"/>
      <c r="AJ687" s="2"/>
      <c r="AK687" s="2"/>
      <c r="AL687" s="2"/>
      <c r="AM687" s="2"/>
      <c r="AN687" s="2"/>
      <c r="AO687" s="2"/>
      <c r="AP687" s="2"/>
      <c r="AQ687" s="427"/>
      <c r="AR687" s="754"/>
      <c r="AS687" s="427"/>
      <c r="AT687" s="754"/>
      <c r="AU687" s="427"/>
      <c r="AV687" s="427"/>
      <c r="AW687" s="427"/>
      <c r="AX687" s="427"/>
      <c r="AY687" s="754"/>
      <c r="AZ687" s="754"/>
      <c r="BA687" s="754"/>
      <c r="BB687" s="427"/>
      <c r="BC687" s="427"/>
      <c r="BD687" s="427"/>
      <c r="BE687" s="754"/>
      <c r="BF687" s="427"/>
      <c r="BG687" s="454"/>
      <c r="BH687" s="754"/>
      <c r="BI687" s="427"/>
      <c r="BJ687" s="427"/>
      <c r="BK687" s="427"/>
      <c r="BL687" s="427"/>
      <c r="BM687" s="454"/>
      <c r="BN687" s="427"/>
      <c r="BO687" s="427"/>
      <c r="BP687" s="427"/>
      <c r="BQ687" s="454"/>
      <c r="BR687" s="454"/>
      <c r="BS687" s="460"/>
      <c r="BT687" s="454"/>
      <c r="BU687" s="454"/>
      <c r="BV687" s="457"/>
      <c r="BW687" s="460"/>
      <c r="BX687" s="460"/>
      <c r="BY687" s="460"/>
      <c r="CA687" s="2"/>
      <c r="CB687" s="2"/>
      <c r="CC687" s="2"/>
      <c r="CD687" s="2"/>
      <c r="CE687" s="2"/>
      <c r="CF687" s="2"/>
      <c r="CG687" s="2"/>
      <c r="CH687" s="2"/>
      <c r="CI687" s="2"/>
      <c r="CJ687" s="2"/>
      <c r="CK687" s="2"/>
      <c r="CL687" s="2"/>
      <c r="CM687" s="2"/>
      <c r="CN687" s="2"/>
      <c r="CO687" s="427"/>
      <c r="CP687" s="427"/>
      <c r="CQ687" s="427"/>
      <c r="CR687" s="485"/>
      <c r="CS687" s="485"/>
      <c r="CT687" s="485"/>
      <c r="CU687" s="485"/>
      <c r="CV687" s="482"/>
      <c r="CW687" s="482"/>
      <c r="CX687" s="482"/>
      <c r="CY687" s="482"/>
      <c r="CZ687" s="485"/>
      <c r="DA687" s="485"/>
      <c r="DB687" s="485"/>
      <c r="DC687" s="485"/>
      <c r="DD687" s="485"/>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485"/>
      <c r="EX687" s="457"/>
      <c r="EY687" s="457"/>
      <c r="EZ687" s="457"/>
      <c r="FA687" s="457"/>
      <c r="FB687" s="457"/>
      <c r="FC687" s="457"/>
      <c r="FD687" s="457"/>
      <c r="FE687" s="457"/>
      <c r="FF687" s="457"/>
      <c r="FG687" s="457"/>
      <c r="FH687" s="457"/>
      <c r="FI687" s="457"/>
      <c r="FJ687" s="457"/>
      <c r="FK687" s="457"/>
    </row>
    <row r="688" spans="1:167" s="416" customFormat="1">
      <c r="A688" s="427"/>
      <c r="B688" s="427"/>
      <c r="C688" s="427"/>
      <c r="D688" s="427"/>
      <c r="E688" s="428"/>
      <c r="F688" s="429"/>
      <c r="G688" s="430"/>
      <c r="H688" s="427"/>
      <c r="I688" s="427"/>
      <c r="J688" s="427"/>
      <c r="K688" s="427"/>
      <c r="L688" s="427"/>
      <c r="M688" s="427"/>
      <c r="N688" s="427"/>
      <c r="O688" s="427"/>
      <c r="P688" s="427"/>
      <c r="Q688" s="427"/>
      <c r="R688" s="427"/>
      <c r="S688" s="427"/>
      <c r="T688" s="427"/>
      <c r="U688" s="427"/>
      <c r="V688" s="428"/>
      <c r="W688" s="431"/>
      <c r="X688" s="3"/>
      <c r="Y688" s="429"/>
      <c r="Z688" s="430"/>
      <c r="AA688" s="430"/>
      <c r="AB688" s="430"/>
      <c r="AC688" s="424"/>
      <c r="AD688" s="424"/>
      <c r="AE688" s="424"/>
      <c r="AF688" s="424"/>
      <c r="AG688" s="424"/>
      <c r="AH688" s="424"/>
      <c r="AI688" s="424"/>
      <c r="AJ688" s="2"/>
      <c r="AK688" s="2"/>
      <c r="AL688" s="2"/>
      <c r="AM688" s="2"/>
      <c r="AN688" s="2"/>
      <c r="AO688" s="2"/>
      <c r="AP688" s="2"/>
      <c r="AQ688" s="427"/>
      <c r="AR688" s="754"/>
      <c r="AS688" s="427"/>
      <c r="AT688" s="754"/>
      <c r="AU688" s="427"/>
      <c r="AV688" s="427"/>
      <c r="AW688" s="427"/>
      <c r="AX688" s="427"/>
      <c r="AY688" s="754"/>
      <c r="AZ688" s="754"/>
      <c r="BA688" s="754"/>
      <c r="BB688" s="427"/>
      <c r="BC688" s="427"/>
      <c r="BD688" s="427"/>
      <c r="BE688" s="754"/>
      <c r="BF688" s="427"/>
      <c r="BG688" s="454"/>
      <c r="BH688" s="754"/>
      <c r="BI688" s="427"/>
      <c r="BJ688" s="427"/>
      <c r="BK688" s="427"/>
      <c r="BL688" s="427"/>
      <c r="BM688" s="454"/>
      <c r="BN688" s="427"/>
      <c r="BO688" s="427"/>
      <c r="BP688" s="427"/>
      <c r="BQ688" s="454"/>
      <c r="BR688" s="454"/>
      <c r="BS688" s="460"/>
      <c r="BT688" s="454"/>
      <c r="BU688" s="454"/>
      <c r="BV688" s="457"/>
      <c r="BW688" s="460"/>
      <c r="BX688" s="460"/>
      <c r="BY688" s="460"/>
      <c r="CA688" s="2"/>
      <c r="CB688" s="2"/>
      <c r="CC688" s="2"/>
      <c r="CD688" s="2"/>
      <c r="CE688" s="2"/>
      <c r="CF688" s="2"/>
      <c r="CG688" s="2"/>
      <c r="CH688" s="2"/>
      <c r="CI688" s="2"/>
      <c r="CJ688" s="2"/>
      <c r="CK688" s="2"/>
      <c r="CL688" s="2"/>
      <c r="CM688" s="2"/>
      <c r="CN688" s="2"/>
      <c r="CO688" s="427"/>
      <c r="CP688" s="427"/>
      <c r="CQ688" s="427"/>
      <c r="CR688" s="485"/>
      <c r="CS688" s="485"/>
      <c r="CT688" s="485"/>
      <c r="CU688" s="485"/>
      <c r="CV688" s="482"/>
      <c r="CW688" s="482"/>
      <c r="CX688" s="482"/>
      <c r="CY688" s="482"/>
      <c r="CZ688" s="485"/>
      <c r="DA688" s="485"/>
      <c r="DB688" s="485"/>
      <c r="DC688" s="485"/>
      <c r="DD688" s="485"/>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485"/>
      <c r="EX688" s="457"/>
      <c r="EY688" s="457"/>
      <c r="EZ688" s="457"/>
      <c r="FA688" s="457"/>
      <c r="FB688" s="457"/>
      <c r="FC688" s="457"/>
      <c r="FD688" s="457"/>
      <c r="FE688" s="457"/>
      <c r="FF688" s="457"/>
      <c r="FG688" s="457"/>
      <c r="FH688" s="457"/>
      <c r="FI688" s="457"/>
      <c r="FJ688" s="457"/>
      <c r="FK688" s="457"/>
    </row>
    <row r="689" spans="1:167" s="416" customFormat="1">
      <c r="A689" s="427"/>
      <c r="B689" s="427"/>
      <c r="C689" s="427"/>
      <c r="D689" s="427"/>
      <c r="E689" s="428"/>
      <c r="F689" s="429"/>
      <c r="G689" s="430"/>
      <c r="H689" s="427"/>
      <c r="I689" s="427"/>
      <c r="J689" s="427"/>
      <c r="K689" s="427"/>
      <c r="L689" s="427"/>
      <c r="M689" s="427"/>
      <c r="N689" s="427"/>
      <c r="O689" s="427"/>
      <c r="P689" s="427"/>
      <c r="Q689" s="427"/>
      <c r="R689" s="427"/>
      <c r="S689" s="427"/>
      <c r="T689" s="427"/>
      <c r="U689" s="427"/>
      <c r="V689" s="428"/>
      <c r="W689" s="431"/>
      <c r="X689" s="3"/>
      <c r="Y689" s="429"/>
      <c r="Z689" s="430"/>
      <c r="AA689" s="430"/>
      <c r="AB689" s="430"/>
      <c r="AC689" s="424"/>
      <c r="AD689" s="424"/>
      <c r="AE689" s="424"/>
      <c r="AF689" s="424"/>
      <c r="AG689" s="424"/>
      <c r="AH689" s="424"/>
      <c r="AI689" s="424"/>
      <c r="AJ689" s="2"/>
      <c r="AK689" s="2"/>
      <c r="AL689" s="2"/>
      <c r="AM689" s="2"/>
      <c r="AN689" s="2"/>
      <c r="AO689" s="2"/>
      <c r="AP689" s="2"/>
      <c r="AQ689" s="427"/>
      <c r="AR689" s="754"/>
      <c r="AS689" s="427"/>
      <c r="AT689" s="754"/>
      <c r="AU689" s="427"/>
      <c r="AV689" s="427"/>
      <c r="AW689" s="427"/>
      <c r="AX689" s="427"/>
      <c r="AY689" s="754"/>
      <c r="AZ689" s="754"/>
      <c r="BA689" s="754"/>
      <c r="BB689" s="427"/>
      <c r="BC689" s="427"/>
      <c r="BD689" s="427"/>
      <c r="BE689" s="754"/>
      <c r="BF689" s="427"/>
      <c r="BG689" s="454"/>
      <c r="BH689" s="754"/>
      <c r="BI689" s="427"/>
      <c r="BJ689" s="427"/>
      <c r="BK689" s="427"/>
      <c r="BL689" s="427"/>
      <c r="BM689" s="454"/>
      <c r="BN689" s="427"/>
      <c r="BO689" s="427"/>
      <c r="BP689" s="427"/>
      <c r="BQ689" s="454"/>
      <c r="BR689" s="454"/>
      <c r="BS689" s="460"/>
      <c r="BT689" s="454"/>
      <c r="BU689" s="454"/>
      <c r="BV689" s="457"/>
      <c r="BW689" s="460"/>
      <c r="BX689" s="460"/>
      <c r="BY689" s="460"/>
      <c r="CA689" s="2"/>
      <c r="CB689" s="2"/>
      <c r="CC689" s="2"/>
      <c r="CD689" s="2"/>
      <c r="CE689" s="2"/>
      <c r="CF689" s="2"/>
      <c r="CG689" s="2"/>
      <c r="CH689" s="2"/>
      <c r="CI689" s="2"/>
      <c r="CJ689" s="2"/>
      <c r="CK689" s="2"/>
      <c r="CL689" s="2"/>
      <c r="CM689" s="2"/>
      <c r="CN689" s="2"/>
      <c r="CO689" s="427"/>
      <c r="CP689" s="427"/>
      <c r="CQ689" s="427"/>
      <c r="CR689" s="485"/>
      <c r="CS689" s="485"/>
      <c r="CT689" s="485"/>
      <c r="CU689" s="485"/>
      <c r="CV689" s="482"/>
      <c r="CW689" s="482"/>
      <c r="CX689" s="482"/>
      <c r="CY689" s="482"/>
      <c r="CZ689" s="485"/>
      <c r="DA689" s="485"/>
      <c r="DB689" s="485"/>
      <c r="DC689" s="485"/>
      <c r="DD689" s="485"/>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485"/>
      <c r="EX689" s="457"/>
      <c r="EY689" s="457"/>
      <c r="EZ689" s="457"/>
      <c r="FA689" s="457"/>
      <c r="FB689" s="457"/>
      <c r="FC689" s="457"/>
      <c r="FD689" s="457"/>
      <c r="FE689" s="457"/>
      <c r="FF689" s="457"/>
      <c r="FG689" s="457"/>
      <c r="FH689" s="457"/>
      <c r="FI689" s="457"/>
      <c r="FJ689" s="457"/>
      <c r="FK689" s="457"/>
    </row>
    <row r="690" spans="1:167" s="416" customFormat="1">
      <c r="A690" s="427"/>
      <c r="B690" s="427"/>
      <c r="C690" s="427"/>
      <c r="D690" s="427"/>
      <c r="E690" s="428"/>
      <c r="F690" s="429"/>
      <c r="G690" s="430"/>
      <c r="H690" s="427"/>
      <c r="I690" s="427"/>
      <c r="J690" s="427"/>
      <c r="K690" s="427"/>
      <c r="L690" s="427"/>
      <c r="M690" s="427"/>
      <c r="N690" s="427"/>
      <c r="O690" s="427"/>
      <c r="P690" s="427"/>
      <c r="Q690" s="427"/>
      <c r="R690" s="427"/>
      <c r="S690" s="427"/>
      <c r="T690" s="427"/>
      <c r="U690" s="427"/>
      <c r="V690" s="428"/>
      <c r="W690" s="431"/>
      <c r="X690" s="3"/>
      <c r="Y690" s="429"/>
      <c r="Z690" s="430"/>
      <c r="AA690" s="430"/>
      <c r="AB690" s="430"/>
      <c r="AC690" s="424"/>
      <c r="AD690" s="424"/>
      <c r="AE690" s="424"/>
      <c r="AF690" s="424"/>
      <c r="AG690" s="424"/>
      <c r="AH690" s="424"/>
      <c r="AI690" s="424"/>
      <c r="AJ690" s="2"/>
      <c r="AK690" s="2"/>
      <c r="AL690" s="2"/>
      <c r="AM690" s="2"/>
      <c r="AN690" s="2"/>
      <c r="AO690" s="2"/>
      <c r="AP690" s="2"/>
      <c r="AQ690" s="427"/>
      <c r="AR690" s="754"/>
      <c r="AS690" s="427"/>
      <c r="AT690" s="754"/>
      <c r="AU690" s="427"/>
      <c r="AV690" s="427"/>
      <c r="AW690" s="427"/>
      <c r="AX690" s="427"/>
      <c r="AY690" s="754"/>
      <c r="AZ690" s="754"/>
      <c r="BA690" s="754"/>
      <c r="BB690" s="427"/>
      <c r="BC690" s="427"/>
      <c r="BD690" s="427"/>
      <c r="BE690" s="754"/>
      <c r="BF690" s="427"/>
      <c r="BG690" s="454"/>
      <c r="BH690" s="754"/>
      <c r="BI690" s="427"/>
      <c r="BJ690" s="427"/>
      <c r="BK690" s="427"/>
      <c r="BL690" s="427"/>
      <c r="BM690" s="454"/>
      <c r="BN690" s="427"/>
      <c r="BO690" s="427"/>
      <c r="BP690" s="427"/>
      <c r="BQ690" s="454"/>
      <c r="BR690" s="454"/>
      <c r="BS690" s="460"/>
      <c r="BT690" s="454"/>
      <c r="BU690" s="454"/>
      <c r="BV690" s="457"/>
      <c r="BW690" s="460"/>
      <c r="BX690" s="460"/>
      <c r="BY690" s="460"/>
      <c r="CA690" s="2"/>
      <c r="CB690" s="2"/>
      <c r="CC690" s="2"/>
      <c r="CD690" s="2"/>
      <c r="CE690" s="2"/>
      <c r="CF690" s="2"/>
      <c r="CG690" s="2"/>
      <c r="CH690" s="2"/>
      <c r="CI690" s="2"/>
      <c r="CJ690" s="2"/>
      <c r="CK690" s="2"/>
      <c r="CL690" s="2"/>
      <c r="CM690" s="2"/>
      <c r="CN690" s="2"/>
      <c r="CO690" s="427"/>
      <c r="CP690" s="427"/>
      <c r="CQ690" s="427"/>
      <c r="CR690" s="485"/>
      <c r="CS690" s="485"/>
      <c r="CT690" s="485"/>
      <c r="CU690" s="485"/>
      <c r="CV690" s="482"/>
      <c r="CW690" s="482"/>
      <c r="CX690" s="482"/>
      <c r="CY690" s="482"/>
      <c r="CZ690" s="485"/>
      <c r="DA690" s="485"/>
      <c r="DB690" s="485"/>
      <c r="DC690" s="485"/>
      <c r="DD690" s="485"/>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485"/>
      <c r="EX690" s="457"/>
      <c r="EY690" s="457"/>
      <c r="EZ690" s="457"/>
      <c r="FA690" s="457"/>
      <c r="FB690" s="457"/>
      <c r="FC690" s="457"/>
      <c r="FD690" s="457"/>
      <c r="FE690" s="457"/>
      <c r="FF690" s="457"/>
      <c r="FG690" s="457"/>
      <c r="FH690" s="457"/>
      <c r="FI690" s="457"/>
      <c r="FJ690" s="457"/>
      <c r="FK690" s="457"/>
    </row>
    <row r="691" spans="1:167" s="416" customFormat="1">
      <c r="A691" s="427"/>
      <c r="B691" s="427"/>
      <c r="C691" s="427"/>
      <c r="D691" s="427"/>
      <c r="E691" s="428"/>
      <c r="F691" s="429"/>
      <c r="G691" s="430"/>
      <c r="H691" s="427"/>
      <c r="I691" s="427"/>
      <c r="J691" s="427"/>
      <c r="K691" s="427"/>
      <c r="L691" s="427"/>
      <c r="M691" s="427"/>
      <c r="N691" s="427"/>
      <c r="O691" s="427"/>
      <c r="P691" s="427"/>
      <c r="Q691" s="427"/>
      <c r="R691" s="427"/>
      <c r="S691" s="427"/>
      <c r="T691" s="427"/>
      <c r="U691" s="427"/>
      <c r="V691" s="428"/>
      <c r="W691" s="431"/>
      <c r="X691" s="3"/>
      <c r="Y691" s="429"/>
      <c r="Z691" s="430"/>
      <c r="AA691" s="430"/>
      <c r="AB691" s="430"/>
      <c r="AC691" s="424"/>
      <c r="AD691" s="424"/>
      <c r="AE691" s="424"/>
      <c r="AF691" s="424"/>
      <c r="AG691" s="424"/>
      <c r="AH691" s="424"/>
      <c r="AI691" s="424"/>
      <c r="AJ691" s="2"/>
      <c r="AK691" s="2"/>
      <c r="AL691" s="2"/>
      <c r="AM691" s="2"/>
      <c r="AN691" s="2"/>
      <c r="AO691" s="2"/>
      <c r="AP691" s="2"/>
      <c r="AQ691" s="427"/>
      <c r="AR691" s="754"/>
      <c r="AS691" s="427"/>
      <c r="AT691" s="754"/>
      <c r="AU691" s="427"/>
      <c r="AV691" s="427"/>
      <c r="AW691" s="427"/>
      <c r="AX691" s="427"/>
      <c r="AY691" s="754"/>
      <c r="AZ691" s="754"/>
      <c r="BA691" s="754"/>
      <c r="BB691" s="427"/>
      <c r="BC691" s="427"/>
      <c r="BD691" s="427"/>
      <c r="BE691" s="754"/>
      <c r="BF691" s="427"/>
      <c r="BG691" s="454"/>
      <c r="BH691" s="754"/>
      <c r="BI691" s="427"/>
      <c r="BJ691" s="427"/>
      <c r="BK691" s="427"/>
      <c r="BL691" s="427"/>
      <c r="BM691" s="454"/>
      <c r="BN691" s="427"/>
      <c r="BO691" s="427"/>
      <c r="BP691" s="427"/>
      <c r="BQ691" s="454"/>
      <c r="BR691" s="454"/>
      <c r="BS691" s="460"/>
      <c r="BT691" s="454"/>
      <c r="BU691" s="454"/>
      <c r="BV691" s="457"/>
      <c r="BW691" s="460"/>
      <c r="BX691" s="460"/>
      <c r="BY691" s="460"/>
      <c r="CA691" s="2"/>
      <c r="CB691" s="2"/>
      <c r="CC691" s="2"/>
      <c r="CD691" s="2"/>
      <c r="CE691" s="2"/>
      <c r="CF691" s="2"/>
      <c r="CG691" s="2"/>
      <c r="CH691" s="2"/>
      <c r="CI691" s="2"/>
      <c r="CJ691" s="2"/>
      <c r="CK691" s="2"/>
      <c r="CL691" s="2"/>
      <c r="CM691" s="2"/>
      <c r="CN691" s="2"/>
      <c r="CO691" s="427"/>
      <c r="CP691" s="427"/>
      <c r="CQ691" s="427"/>
      <c r="CR691" s="485"/>
      <c r="CS691" s="485"/>
      <c r="CT691" s="485"/>
      <c r="CU691" s="485"/>
      <c r="CV691" s="482"/>
      <c r="CW691" s="482"/>
      <c r="CX691" s="482"/>
      <c r="CY691" s="482"/>
      <c r="CZ691" s="485"/>
      <c r="DA691" s="485"/>
      <c r="DB691" s="485"/>
      <c r="DC691" s="485"/>
      <c r="DD691" s="485"/>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485"/>
      <c r="EX691" s="457"/>
      <c r="EY691" s="457"/>
      <c r="EZ691" s="457"/>
      <c r="FA691" s="457"/>
      <c r="FB691" s="457"/>
      <c r="FC691" s="457"/>
      <c r="FD691" s="457"/>
      <c r="FE691" s="457"/>
      <c r="FF691" s="457"/>
      <c r="FG691" s="457"/>
      <c r="FH691" s="457"/>
      <c r="FI691" s="457"/>
      <c r="FJ691" s="457"/>
      <c r="FK691" s="457"/>
    </row>
    <row r="692" spans="1:167" s="416" customFormat="1">
      <c r="A692" s="427"/>
      <c r="B692" s="427"/>
      <c r="C692" s="427"/>
      <c r="D692" s="427"/>
      <c r="E692" s="428"/>
      <c r="F692" s="429"/>
      <c r="G692" s="430"/>
      <c r="H692" s="427"/>
      <c r="I692" s="427"/>
      <c r="J692" s="427"/>
      <c r="K692" s="427"/>
      <c r="L692" s="427"/>
      <c r="M692" s="427"/>
      <c r="N692" s="427"/>
      <c r="O692" s="427"/>
      <c r="P692" s="427"/>
      <c r="Q692" s="427"/>
      <c r="R692" s="427"/>
      <c r="S692" s="427"/>
      <c r="T692" s="427"/>
      <c r="U692" s="427"/>
      <c r="V692" s="428"/>
      <c r="W692" s="431"/>
      <c r="X692" s="3"/>
      <c r="Y692" s="429"/>
      <c r="Z692" s="430"/>
      <c r="AA692" s="430"/>
      <c r="AB692" s="430"/>
      <c r="AC692" s="424"/>
      <c r="AD692" s="424"/>
      <c r="AE692" s="424"/>
      <c r="AF692" s="424"/>
      <c r="AG692" s="424"/>
      <c r="AH692" s="424"/>
      <c r="AI692" s="424"/>
      <c r="AJ692" s="2"/>
      <c r="AK692" s="2"/>
      <c r="AL692" s="2"/>
      <c r="AM692" s="2"/>
      <c r="AN692" s="2"/>
      <c r="AO692" s="2"/>
      <c r="AP692" s="2"/>
      <c r="AQ692" s="427"/>
      <c r="AR692" s="754"/>
      <c r="AS692" s="427"/>
      <c r="AT692" s="754"/>
      <c r="AU692" s="427"/>
      <c r="AV692" s="427"/>
      <c r="AW692" s="427"/>
      <c r="AX692" s="427"/>
      <c r="AY692" s="754"/>
      <c r="AZ692" s="754"/>
      <c r="BA692" s="754"/>
      <c r="BB692" s="427"/>
      <c r="BC692" s="427"/>
      <c r="BD692" s="427"/>
      <c r="BE692" s="754"/>
      <c r="BF692" s="427"/>
      <c r="BG692" s="454"/>
      <c r="BH692" s="754"/>
      <c r="BI692" s="427"/>
      <c r="BJ692" s="427"/>
      <c r="BK692" s="427"/>
      <c r="BL692" s="427"/>
      <c r="BM692" s="454"/>
      <c r="BN692" s="427"/>
      <c r="BO692" s="427"/>
      <c r="BP692" s="427"/>
      <c r="BQ692" s="454"/>
      <c r="BR692" s="454"/>
      <c r="BS692" s="460"/>
      <c r="BT692" s="454"/>
      <c r="BU692" s="454"/>
      <c r="BV692" s="457"/>
      <c r="BW692" s="460"/>
      <c r="BX692" s="460"/>
      <c r="BY692" s="460"/>
      <c r="CA692" s="2"/>
      <c r="CB692" s="2"/>
      <c r="CC692" s="2"/>
      <c r="CD692" s="2"/>
      <c r="CE692" s="2"/>
      <c r="CF692" s="2"/>
      <c r="CG692" s="2"/>
      <c r="CH692" s="2"/>
      <c r="CI692" s="2"/>
      <c r="CJ692" s="2"/>
      <c r="CK692" s="2"/>
      <c r="CL692" s="2"/>
      <c r="CM692" s="2"/>
      <c r="CN692" s="2"/>
      <c r="CO692" s="427"/>
      <c r="CP692" s="427"/>
      <c r="CQ692" s="427"/>
      <c r="CR692" s="485"/>
      <c r="CS692" s="485"/>
      <c r="CT692" s="485"/>
      <c r="CU692" s="485"/>
      <c r="CV692" s="482"/>
      <c r="CW692" s="482"/>
      <c r="CX692" s="482"/>
      <c r="CY692" s="482"/>
      <c r="CZ692" s="485"/>
      <c r="DA692" s="485"/>
      <c r="DB692" s="485"/>
      <c r="DC692" s="485"/>
      <c r="DD692" s="485"/>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485"/>
      <c r="EX692" s="457"/>
      <c r="EY692" s="457"/>
      <c r="EZ692" s="457"/>
      <c r="FA692" s="457"/>
      <c r="FB692" s="457"/>
      <c r="FC692" s="457"/>
      <c r="FD692" s="457"/>
      <c r="FE692" s="457"/>
      <c r="FF692" s="457"/>
      <c r="FG692" s="457"/>
      <c r="FH692" s="457"/>
      <c r="FI692" s="457"/>
      <c r="FJ692" s="457"/>
      <c r="FK692" s="457"/>
    </row>
    <row r="693" spans="1:167" s="416" customFormat="1">
      <c r="A693" s="427"/>
      <c r="B693" s="427"/>
      <c r="C693" s="427"/>
      <c r="D693" s="427"/>
      <c r="E693" s="428"/>
      <c r="F693" s="429"/>
      <c r="G693" s="430"/>
      <c r="H693" s="427"/>
      <c r="I693" s="427"/>
      <c r="J693" s="427"/>
      <c r="K693" s="427"/>
      <c r="L693" s="427"/>
      <c r="M693" s="427"/>
      <c r="N693" s="427"/>
      <c r="O693" s="427"/>
      <c r="P693" s="427"/>
      <c r="Q693" s="427"/>
      <c r="R693" s="427"/>
      <c r="S693" s="427"/>
      <c r="T693" s="427"/>
      <c r="U693" s="427"/>
      <c r="V693" s="428"/>
      <c r="W693" s="431"/>
      <c r="X693" s="3"/>
      <c r="Y693" s="429"/>
      <c r="Z693" s="430"/>
      <c r="AA693" s="430"/>
      <c r="AB693" s="430"/>
      <c r="AC693" s="424"/>
      <c r="AD693" s="424"/>
      <c r="AE693" s="424"/>
      <c r="AF693" s="424"/>
      <c r="AG693" s="424"/>
      <c r="AH693" s="424"/>
      <c r="AI693" s="424"/>
      <c r="AJ693" s="2"/>
      <c r="AK693" s="2"/>
      <c r="AL693" s="2"/>
      <c r="AM693" s="2"/>
      <c r="AN693" s="2"/>
      <c r="AO693" s="2"/>
      <c r="AP693" s="2"/>
      <c r="AQ693" s="427"/>
      <c r="AR693" s="754"/>
      <c r="AS693" s="427"/>
      <c r="AT693" s="754"/>
      <c r="AU693" s="427"/>
      <c r="AV693" s="427"/>
      <c r="AW693" s="427"/>
      <c r="AX693" s="427"/>
      <c r="AY693" s="754"/>
      <c r="AZ693" s="754"/>
      <c r="BA693" s="754"/>
      <c r="BB693" s="427"/>
      <c r="BC693" s="427"/>
      <c r="BD693" s="427"/>
      <c r="BE693" s="754"/>
      <c r="BF693" s="427"/>
      <c r="BG693" s="454"/>
      <c r="BH693" s="754"/>
      <c r="BI693" s="427"/>
      <c r="BJ693" s="427"/>
      <c r="BK693" s="427"/>
      <c r="BL693" s="427"/>
      <c r="BM693" s="454"/>
      <c r="BN693" s="427"/>
      <c r="BO693" s="427"/>
      <c r="BP693" s="427"/>
      <c r="BQ693" s="454"/>
      <c r="BR693" s="454"/>
      <c r="BS693" s="460"/>
      <c r="BT693" s="454"/>
      <c r="BU693" s="454"/>
      <c r="BV693" s="457"/>
      <c r="BW693" s="460"/>
      <c r="BX693" s="460"/>
      <c r="BY693" s="460"/>
      <c r="CA693" s="2"/>
      <c r="CB693" s="2"/>
      <c r="CC693" s="2"/>
      <c r="CD693" s="2"/>
      <c r="CE693" s="2"/>
      <c r="CF693" s="2"/>
      <c r="CG693" s="2"/>
      <c r="CH693" s="2"/>
      <c r="CI693" s="2"/>
      <c r="CJ693" s="2"/>
      <c r="CK693" s="2"/>
      <c r="CL693" s="2"/>
      <c r="CM693" s="2"/>
      <c r="CN693" s="2"/>
      <c r="CO693" s="427"/>
      <c r="CP693" s="427"/>
      <c r="CQ693" s="427"/>
      <c r="CR693" s="485"/>
      <c r="CS693" s="485"/>
      <c r="CT693" s="485"/>
      <c r="CU693" s="485"/>
      <c r="CV693" s="482"/>
      <c r="CW693" s="482"/>
      <c r="CX693" s="482"/>
      <c r="CY693" s="482"/>
      <c r="CZ693" s="485"/>
      <c r="DA693" s="485"/>
      <c r="DB693" s="485"/>
      <c r="DC693" s="485"/>
      <c r="DD693" s="485"/>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485"/>
      <c r="EX693" s="457"/>
      <c r="EY693" s="457"/>
      <c r="EZ693" s="457"/>
      <c r="FA693" s="457"/>
      <c r="FB693" s="457"/>
      <c r="FC693" s="457"/>
      <c r="FD693" s="457"/>
      <c r="FE693" s="457"/>
      <c r="FF693" s="457"/>
      <c r="FG693" s="457"/>
      <c r="FH693" s="457"/>
      <c r="FI693" s="457"/>
      <c r="FJ693" s="457"/>
      <c r="FK693" s="457"/>
    </row>
    <row r="694" spans="1:167" s="416" customFormat="1">
      <c r="A694" s="427"/>
      <c r="B694" s="427"/>
      <c r="C694" s="427"/>
      <c r="D694" s="427"/>
      <c r="E694" s="428"/>
      <c r="F694" s="429"/>
      <c r="G694" s="430"/>
      <c r="H694" s="427"/>
      <c r="I694" s="427"/>
      <c r="J694" s="427"/>
      <c r="K694" s="427"/>
      <c r="L694" s="427"/>
      <c r="M694" s="427"/>
      <c r="N694" s="427"/>
      <c r="O694" s="427"/>
      <c r="P694" s="427"/>
      <c r="Q694" s="427"/>
      <c r="R694" s="427"/>
      <c r="S694" s="427"/>
      <c r="T694" s="427"/>
      <c r="U694" s="427"/>
      <c r="V694" s="428"/>
      <c r="W694" s="431"/>
      <c r="X694" s="3"/>
      <c r="Y694" s="429"/>
      <c r="Z694" s="430"/>
      <c r="AA694" s="430"/>
      <c r="AB694" s="430"/>
      <c r="AC694" s="424"/>
      <c r="AD694" s="424"/>
      <c r="AE694" s="424"/>
      <c r="AF694" s="424"/>
      <c r="AG694" s="424"/>
      <c r="AH694" s="424"/>
      <c r="AI694" s="424"/>
      <c r="AJ694" s="2"/>
      <c r="AK694" s="2"/>
      <c r="AL694" s="2"/>
      <c r="AM694" s="2"/>
      <c r="AN694" s="2"/>
      <c r="AO694" s="2"/>
      <c r="AP694" s="2"/>
      <c r="AQ694" s="427"/>
      <c r="AR694" s="754"/>
      <c r="AS694" s="427"/>
      <c r="AT694" s="754"/>
      <c r="AU694" s="427"/>
      <c r="AV694" s="427"/>
      <c r="AW694" s="427"/>
      <c r="AX694" s="427"/>
      <c r="AY694" s="754"/>
      <c r="AZ694" s="754"/>
      <c r="BA694" s="754"/>
      <c r="BB694" s="427"/>
      <c r="BC694" s="427"/>
      <c r="BD694" s="427"/>
      <c r="BE694" s="754"/>
      <c r="BF694" s="427"/>
      <c r="BG694" s="454"/>
      <c r="BH694" s="754"/>
      <c r="BI694" s="427"/>
      <c r="BJ694" s="427"/>
      <c r="BK694" s="427"/>
      <c r="BL694" s="427"/>
      <c r="BM694" s="454"/>
      <c r="BN694" s="427"/>
      <c r="BO694" s="427"/>
      <c r="BP694" s="427"/>
      <c r="BQ694" s="454"/>
      <c r="BR694" s="454"/>
      <c r="BS694" s="460"/>
      <c r="BT694" s="454"/>
      <c r="BU694" s="454"/>
      <c r="BV694" s="457"/>
      <c r="BW694" s="460"/>
      <c r="BX694" s="460"/>
      <c r="BY694" s="460"/>
      <c r="CA694" s="2"/>
      <c r="CB694" s="2"/>
      <c r="CC694" s="2"/>
      <c r="CD694" s="2"/>
      <c r="CE694" s="2"/>
      <c r="CF694" s="2"/>
      <c r="CG694" s="2"/>
      <c r="CH694" s="2"/>
      <c r="CI694" s="2"/>
      <c r="CJ694" s="2"/>
      <c r="CK694" s="2"/>
      <c r="CL694" s="2"/>
      <c r="CM694" s="2"/>
      <c r="CN694" s="2"/>
      <c r="CO694" s="427"/>
      <c r="CP694" s="427"/>
      <c r="CQ694" s="427"/>
      <c r="CR694" s="485"/>
      <c r="CS694" s="485"/>
      <c r="CT694" s="485"/>
      <c r="CU694" s="485"/>
      <c r="CV694" s="482"/>
      <c r="CW694" s="482"/>
      <c r="CX694" s="482"/>
      <c r="CY694" s="482"/>
      <c r="CZ694" s="485"/>
      <c r="DA694" s="485"/>
      <c r="DB694" s="485"/>
      <c r="DC694" s="485"/>
      <c r="DD694" s="485"/>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485"/>
      <c r="EX694" s="457"/>
      <c r="EY694" s="457"/>
      <c r="EZ694" s="457"/>
      <c r="FA694" s="457"/>
      <c r="FB694" s="457"/>
      <c r="FC694" s="457"/>
      <c r="FD694" s="457"/>
      <c r="FE694" s="457"/>
      <c r="FF694" s="457"/>
      <c r="FG694" s="457"/>
      <c r="FH694" s="457"/>
      <c r="FI694" s="457"/>
      <c r="FJ694" s="457"/>
      <c r="FK694" s="457"/>
    </row>
    <row r="695" spans="1:167" s="416" customFormat="1">
      <c r="A695" s="427"/>
      <c r="B695" s="427"/>
      <c r="C695" s="427"/>
      <c r="D695" s="427"/>
      <c r="E695" s="428"/>
      <c r="F695" s="429"/>
      <c r="G695" s="430"/>
      <c r="H695" s="427"/>
      <c r="I695" s="427"/>
      <c r="J695" s="427"/>
      <c r="K695" s="427"/>
      <c r="L695" s="427"/>
      <c r="M695" s="427"/>
      <c r="N695" s="427"/>
      <c r="O695" s="427"/>
      <c r="P695" s="427"/>
      <c r="Q695" s="427"/>
      <c r="R695" s="427"/>
      <c r="S695" s="427"/>
      <c r="T695" s="427"/>
      <c r="U695" s="427"/>
      <c r="V695" s="428"/>
      <c r="W695" s="431"/>
      <c r="X695" s="3"/>
      <c r="Y695" s="429"/>
      <c r="Z695" s="430"/>
      <c r="AA695" s="430"/>
      <c r="AB695" s="430"/>
      <c r="AC695" s="424"/>
      <c r="AD695" s="424"/>
      <c r="AE695" s="424"/>
      <c r="AF695" s="424"/>
      <c r="AG695" s="424"/>
      <c r="AH695" s="424"/>
      <c r="AI695" s="424"/>
      <c r="AJ695" s="2"/>
      <c r="AK695" s="2"/>
      <c r="AL695" s="2"/>
      <c r="AM695" s="2"/>
      <c r="AN695" s="2"/>
      <c r="AO695" s="2"/>
      <c r="AP695" s="2"/>
      <c r="AQ695" s="427"/>
      <c r="AR695" s="754"/>
      <c r="AS695" s="427"/>
      <c r="AT695" s="754"/>
      <c r="AU695" s="427"/>
      <c r="AV695" s="427"/>
      <c r="AW695" s="427"/>
      <c r="AX695" s="427"/>
      <c r="AY695" s="754"/>
      <c r="AZ695" s="754"/>
      <c r="BA695" s="754"/>
      <c r="BB695" s="427"/>
      <c r="BC695" s="427"/>
      <c r="BD695" s="427"/>
      <c r="BE695" s="754"/>
      <c r="BF695" s="427"/>
      <c r="BG695" s="454"/>
      <c r="BH695" s="754"/>
      <c r="BI695" s="427"/>
      <c r="BJ695" s="427"/>
      <c r="BK695" s="427"/>
      <c r="BL695" s="427"/>
      <c r="BM695" s="454"/>
      <c r="BN695" s="427"/>
      <c r="BO695" s="427"/>
      <c r="BP695" s="427"/>
      <c r="BQ695" s="454"/>
      <c r="BR695" s="454"/>
      <c r="BS695" s="460"/>
      <c r="BT695" s="454"/>
      <c r="BU695" s="454"/>
      <c r="BV695" s="457"/>
      <c r="BW695" s="460"/>
      <c r="BX695" s="460"/>
      <c r="BY695" s="460"/>
      <c r="CA695" s="2"/>
      <c r="CB695" s="2"/>
      <c r="CC695" s="2"/>
      <c r="CD695" s="2"/>
      <c r="CE695" s="2"/>
      <c r="CF695" s="2"/>
      <c r="CG695" s="2"/>
      <c r="CH695" s="2"/>
      <c r="CI695" s="2"/>
      <c r="CJ695" s="2"/>
      <c r="CK695" s="2"/>
      <c r="CL695" s="2"/>
      <c r="CM695" s="2"/>
      <c r="CN695" s="2"/>
      <c r="CO695" s="427"/>
      <c r="CP695" s="427"/>
      <c r="CQ695" s="427"/>
      <c r="CR695" s="485"/>
      <c r="CS695" s="485"/>
      <c r="CT695" s="485"/>
      <c r="CU695" s="485"/>
      <c r="CV695" s="482"/>
      <c r="CW695" s="482"/>
      <c r="CX695" s="482"/>
      <c r="CY695" s="482"/>
      <c r="CZ695" s="485"/>
      <c r="DA695" s="485"/>
      <c r="DB695" s="485"/>
      <c r="DC695" s="485"/>
      <c r="DD695" s="485"/>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485"/>
      <c r="EX695" s="457"/>
      <c r="EY695" s="457"/>
      <c r="EZ695" s="457"/>
      <c r="FA695" s="457"/>
      <c r="FB695" s="457"/>
      <c r="FC695" s="457"/>
      <c r="FD695" s="457"/>
      <c r="FE695" s="457"/>
      <c r="FF695" s="457"/>
      <c r="FG695" s="457"/>
      <c r="FH695" s="457"/>
      <c r="FI695" s="457"/>
      <c r="FJ695" s="457"/>
      <c r="FK695" s="457"/>
    </row>
    <row r="696" spans="1:167" s="416" customFormat="1">
      <c r="A696" s="427"/>
      <c r="B696" s="427"/>
      <c r="C696" s="427"/>
      <c r="D696" s="427"/>
      <c r="E696" s="428"/>
      <c r="F696" s="429"/>
      <c r="G696" s="430"/>
      <c r="H696" s="427"/>
      <c r="I696" s="427"/>
      <c r="J696" s="427"/>
      <c r="K696" s="427"/>
      <c r="L696" s="427"/>
      <c r="M696" s="427"/>
      <c r="N696" s="427"/>
      <c r="O696" s="427"/>
      <c r="P696" s="427"/>
      <c r="Q696" s="427"/>
      <c r="R696" s="427"/>
      <c r="S696" s="427"/>
      <c r="T696" s="427"/>
      <c r="U696" s="427"/>
      <c r="V696" s="428"/>
      <c r="W696" s="431"/>
      <c r="X696" s="3"/>
      <c r="Y696" s="429"/>
      <c r="Z696" s="430"/>
      <c r="AA696" s="430"/>
      <c r="AB696" s="430"/>
      <c r="AC696" s="424"/>
      <c r="AD696" s="424"/>
      <c r="AE696" s="424"/>
      <c r="AF696" s="424"/>
      <c r="AG696" s="424"/>
      <c r="AH696" s="424"/>
      <c r="AI696" s="424"/>
      <c r="AJ696" s="2"/>
      <c r="AK696" s="2"/>
      <c r="AL696" s="2"/>
      <c r="AM696" s="2"/>
      <c r="AN696" s="2"/>
      <c r="AO696" s="2"/>
      <c r="AP696" s="2"/>
      <c r="AQ696" s="427"/>
      <c r="AR696" s="754"/>
      <c r="AS696" s="427"/>
      <c r="AT696" s="754"/>
      <c r="AU696" s="427"/>
      <c r="AV696" s="427"/>
      <c r="AW696" s="427"/>
      <c r="AX696" s="427"/>
      <c r="AY696" s="754"/>
      <c r="AZ696" s="754"/>
      <c r="BA696" s="754"/>
      <c r="BB696" s="427"/>
      <c r="BC696" s="427"/>
      <c r="BD696" s="427"/>
      <c r="BE696" s="754"/>
      <c r="BF696" s="427"/>
      <c r="BG696" s="454"/>
      <c r="BH696" s="754"/>
      <c r="BI696" s="427"/>
      <c r="BJ696" s="427"/>
      <c r="BK696" s="427"/>
      <c r="BL696" s="427"/>
      <c r="BM696" s="454"/>
      <c r="BN696" s="427"/>
      <c r="BO696" s="427"/>
      <c r="BP696" s="427"/>
      <c r="BQ696" s="454"/>
      <c r="BR696" s="454"/>
      <c r="BS696" s="460"/>
      <c r="BT696" s="454"/>
      <c r="BU696" s="454"/>
      <c r="BV696" s="457"/>
      <c r="BW696" s="460"/>
      <c r="BX696" s="460"/>
      <c r="BY696" s="460"/>
      <c r="CA696" s="2"/>
      <c r="CB696" s="2"/>
      <c r="CC696" s="2"/>
      <c r="CD696" s="2"/>
      <c r="CE696" s="2"/>
      <c r="CF696" s="2"/>
      <c r="CG696" s="2"/>
      <c r="CH696" s="2"/>
      <c r="CI696" s="2"/>
      <c r="CJ696" s="2"/>
      <c r="CK696" s="2"/>
      <c r="CL696" s="2"/>
      <c r="CM696" s="2"/>
      <c r="CN696" s="2"/>
      <c r="CO696" s="427"/>
      <c r="CP696" s="427"/>
      <c r="CQ696" s="427"/>
      <c r="CR696" s="485"/>
      <c r="CS696" s="485"/>
      <c r="CT696" s="485"/>
      <c r="CU696" s="485"/>
      <c r="CV696" s="482"/>
      <c r="CW696" s="482"/>
      <c r="CX696" s="482"/>
      <c r="CY696" s="482"/>
      <c r="CZ696" s="485"/>
      <c r="DA696" s="485"/>
      <c r="DB696" s="485"/>
      <c r="DC696" s="485"/>
      <c r="DD696" s="485"/>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485"/>
      <c r="EX696" s="457"/>
      <c r="EY696" s="457"/>
      <c r="EZ696" s="457"/>
      <c r="FA696" s="457"/>
      <c r="FB696" s="457"/>
      <c r="FC696" s="457"/>
      <c r="FD696" s="457"/>
      <c r="FE696" s="457"/>
      <c r="FF696" s="457"/>
      <c r="FG696" s="457"/>
      <c r="FH696" s="457"/>
      <c r="FI696" s="457"/>
      <c r="FJ696" s="457"/>
      <c r="FK696" s="457"/>
    </row>
    <row r="697" spans="1:167" s="416" customFormat="1">
      <c r="A697" s="427"/>
      <c r="B697" s="427"/>
      <c r="C697" s="427"/>
      <c r="D697" s="427"/>
      <c r="E697" s="428"/>
      <c r="F697" s="429"/>
      <c r="G697" s="430"/>
      <c r="H697" s="427"/>
      <c r="I697" s="427"/>
      <c r="J697" s="427"/>
      <c r="K697" s="427"/>
      <c r="L697" s="427"/>
      <c r="M697" s="427"/>
      <c r="N697" s="427"/>
      <c r="O697" s="427"/>
      <c r="P697" s="427"/>
      <c r="Q697" s="427"/>
      <c r="R697" s="427"/>
      <c r="S697" s="427"/>
      <c r="T697" s="427"/>
      <c r="U697" s="427"/>
      <c r="V697" s="428"/>
      <c r="W697" s="431"/>
      <c r="X697" s="3"/>
      <c r="Y697" s="429"/>
      <c r="Z697" s="430"/>
      <c r="AA697" s="430"/>
      <c r="AB697" s="430"/>
      <c r="AC697" s="424"/>
      <c r="AD697" s="424"/>
      <c r="AE697" s="424"/>
      <c r="AF697" s="424"/>
      <c r="AG697" s="424"/>
      <c r="AH697" s="424"/>
      <c r="AI697" s="424"/>
      <c r="AJ697" s="2"/>
      <c r="AK697" s="2"/>
      <c r="AL697" s="2"/>
      <c r="AM697" s="2"/>
      <c r="AN697" s="2"/>
      <c r="AO697" s="2"/>
      <c r="AP697" s="2"/>
      <c r="AQ697" s="427"/>
      <c r="AR697" s="754"/>
      <c r="AS697" s="427"/>
      <c r="AT697" s="754"/>
      <c r="AU697" s="427"/>
      <c r="AV697" s="427"/>
      <c r="AW697" s="427"/>
      <c r="AX697" s="427"/>
      <c r="AY697" s="754"/>
      <c r="AZ697" s="754"/>
      <c r="BA697" s="754"/>
      <c r="BB697" s="427"/>
      <c r="BC697" s="427"/>
      <c r="BD697" s="427"/>
      <c r="BE697" s="754"/>
      <c r="BF697" s="427"/>
      <c r="BG697" s="454"/>
      <c r="BH697" s="754"/>
      <c r="BI697" s="427"/>
      <c r="BJ697" s="427"/>
      <c r="BK697" s="427"/>
      <c r="BL697" s="427"/>
      <c r="BM697" s="454"/>
      <c r="BN697" s="427"/>
      <c r="BO697" s="427"/>
      <c r="BP697" s="427"/>
      <c r="BQ697" s="454"/>
      <c r="BR697" s="454"/>
      <c r="BS697" s="460"/>
      <c r="BT697" s="454"/>
      <c r="BU697" s="454"/>
      <c r="BV697" s="457"/>
      <c r="BW697" s="460"/>
      <c r="BX697" s="460"/>
      <c r="BY697" s="460"/>
      <c r="CA697" s="2"/>
      <c r="CB697" s="2"/>
      <c r="CC697" s="2"/>
      <c r="CD697" s="2"/>
      <c r="CE697" s="2"/>
      <c r="CF697" s="2"/>
      <c r="CG697" s="2"/>
      <c r="CH697" s="2"/>
      <c r="CI697" s="2"/>
      <c r="CJ697" s="2"/>
      <c r="CK697" s="2"/>
      <c r="CL697" s="2"/>
      <c r="CM697" s="2"/>
      <c r="CN697" s="2"/>
      <c r="CO697" s="427"/>
      <c r="CP697" s="427"/>
      <c r="CQ697" s="427"/>
      <c r="CR697" s="485"/>
      <c r="CS697" s="485"/>
      <c r="CT697" s="485"/>
      <c r="CU697" s="485"/>
      <c r="CV697" s="482"/>
      <c r="CW697" s="482"/>
      <c r="CX697" s="482"/>
      <c r="CY697" s="482"/>
      <c r="CZ697" s="485"/>
      <c r="DA697" s="485"/>
      <c r="DB697" s="485"/>
      <c r="DC697" s="485"/>
      <c r="DD697" s="485"/>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485"/>
      <c r="EX697" s="457"/>
      <c r="EY697" s="457"/>
      <c r="EZ697" s="457"/>
      <c r="FA697" s="457"/>
      <c r="FB697" s="457"/>
      <c r="FC697" s="457"/>
      <c r="FD697" s="457"/>
      <c r="FE697" s="457"/>
      <c r="FF697" s="457"/>
      <c r="FG697" s="457"/>
      <c r="FH697" s="457"/>
      <c r="FI697" s="457"/>
      <c r="FJ697" s="457"/>
      <c r="FK697" s="457"/>
    </row>
    <row r="698" spans="1:167" s="416" customFormat="1">
      <c r="A698" s="427"/>
      <c r="B698" s="427"/>
      <c r="C698" s="427"/>
      <c r="D698" s="427"/>
      <c r="E698" s="428"/>
      <c r="F698" s="429"/>
      <c r="G698" s="430"/>
      <c r="H698" s="427"/>
      <c r="I698" s="427"/>
      <c r="J698" s="427"/>
      <c r="K698" s="427"/>
      <c r="L698" s="427"/>
      <c r="M698" s="427"/>
      <c r="N698" s="427"/>
      <c r="O698" s="427"/>
      <c r="P698" s="427"/>
      <c r="Q698" s="427"/>
      <c r="R698" s="427"/>
      <c r="S698" s="427"/>
      <c r="T698" s="427"/>
      <c r="U698" s="427"/>
      <c r="V698" s="428"/>
      <c r="W698" s="431"/>
      <c r="X698" s="3"/>
      <c r="Y698" s="429"/>
      <c r="Z698" s="430"/>
      <c r="AA698" s="430"/>
      <c r="AB698" s="430"/>
      <c r="AC698" s="424"/>
      <c r="AD698" s="424"/>
      <c r="AE698" s="424"/>
      <c r="AF698" s="424"/>
      <c r="AG698" s="424"/>
      <c r="AH698" s="424"/>
      <c r="AI698" s="424"/>
      <c r="AJ698" s="2"/>
      <c r="AK698" s="2"/>
      <c r="AL698" s="2"/>
      <c r="AM698" s="2"/>
      <c r="AN698" s="2"/>
      <c r="AO698" s="2"/>
      <c r="AP698" s="2"/>
      <c r="AQ698" s="427"/>
      <c r="AR698" s="754"/>
      <c r="AS698" s="427"/>
      <c r="AT698" s="754"/>
      <c r="AU698" s="427"/>
      <c r="AV698" s="427"/>
      <c r="AW698" s="427"/>
      <c r="AX698" s="427"/>
      <c r="AY698" s="754"/>
      <c r="AZ698" s="754"/>
      <c r="BA698" s="754"/>
      <c r="BB698" s="427"/>
      <c r="BC698" s="427"/>
      <c r="BD698" s="427"/>
      <c r="BE698" s="754"/>
      <c r="BF698" s="427"/>
      <c r="BG698" s="454"/>
      <c r="BH698" s="754"/>
      <c r="BI698" s="427"/>
      <c r="BJ698" s="427"/>
      <c r="BK698" s="427"/>
      <c r="BL698" s="427"/>
      <c r="BM698" s="454"/>
      <c r="BN698" s="427"/>
      <c r="BO698" s="427"/>
      <c r="BP698" s="427"/>
      <c r="BQ698" s="454"/>
      <c r="BR698" s="454"/>
      <c r="BS698" s="460"/>
      <c r="BT698" s="454"/>
      <c r="BU698" s="454"/>
      <c r="BV698" s="457"/>
      <c r="BW698" s="460"/>
      <c r="BX698" s="460"/>
      <c r="BY698" s="460"/>
      <c r="CA698" s="2"/>
      <c r="CB698" s="2"/>
      <c r="CC698" s="2"/>
      <c r="CD698" s="2"/>
      <c r="CE698" s="2"/>
      <c r="CF698" s="2"/>
      <c r="CG698" s="2"/>
      <c r="CH698" s="2"/>
      <c r="CI698" s="2"/>
      <c r="CJ698" s="2"/>
      <c r="CK698" s="2"/>
      <c r="CL698" s="2"/>
      <c r="CM698" s="2"/>
      <c r="CN698" s="2"/>
      <c r="CO698" s="427"/>
      <c r="CP698" s="427"/>
      <c r="CQ698" s="427"/>
      <c r="CR698" s="485"/>
      <c r="CS698" s="485"/>
      <c r="CT698" s="485"/>
      <c r="CU698" s="485"/>
      <c r="CV698" s="482"/>
      <c r="CW698" s="482"/>
      <c r="CX698" s="482"/>
      <c r="CY698" s="482"/>
      <c r="CZ698" s="485"/>
      <c r="DA698" s="485"/>
      <c r="DB698" s="485"/>
      <c r="DC698" s="485"/>
      <c r="DD698" s="485"/>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485"/>
      <c r="EX698" s="457"/>
      <c r="EY698" s="457"/>
      <c r="EZ698" s="457"/>
      <c r="FA698" s="457"/>
      <c r="FB698" s="457"/>
      <c r="FC698" s="457"/>
      <c r="FD698" s="457"/>
      <c r="FE698" s="457"/>
      <c r="FF698" s="457"/>
      <c r="FG698" s="457"/>
      <c r="FH698" s="457"/>
      <c r="FI698" s="457"/>
      <c r="FJ698" s="457"/>
      <c r="FK698" s="457"/>
    </row>
    <row r="699" spans="1:167" s="416" customFormat="1">
      <c r="A699" s="427"/>
      <c r="B699" s="427"/>
      <c r="C699" s="427"/>
      <c r="D699" s="427"/>
      <c r="E699" s="428"/>
      <c r="F699" s="429"/>
      <c r="G699" s="430"/>
      <c r="H699" s="427"/>
      <c r="I699" s="427"/>
      <c r="J699" s="427"/>
      <c r="K699" s="427"/>
      <c r="L699" s="427"/>
      <c r="M699" s="427"/>
      <c r="N699" s="427"/>
      <c r="O699" s="427"/>
      <c r="P699" s="427"/>
      <c r="Q699" s="427"/>
      <c r="R699" s="427"/>
      <c r="S699" s="427"/>
      <c r="T699" s="427"/>
      <c r="U699" s="427"/>
      <c r="V699" s="428"/>
      <c r="W699" s="431"/>
      <c r="X699" s="3"/>
      <c r="Y699" s="429"/>
      <c r="Z699" s="430"/>
      <c r="AA699" s="430"/>
      <c r="AB699" s="430"/>
      <c r="AC699" s="424"/>
      <c r="AD699" s="424"/>
      <c r="AE699" s="424"/>
      <c r="AF699" s="424"/>
      <c r="AG699" s="424"/>
      <c r="AH699" s="424"/>
      <c r="AI699" s="424"/>
      <c r="AJ699" s="2"/>
      <c r="AK699" s="2"/>
      <c r="AL699" s="2"/>
      <c r="AM699" s="2"/>
      <c r="AN699" s="2"/>
      <c r="AO699" s="2"/>
      <c r="AP699" s="2"/>
      <c r="AQ699" s="427"/>
      <c r="AR699" s="754"/>
      <c r="AS699" s="427"/>
      <c r="AT699" s="754"/>
      <c r="AU699" s="427"/>
      <c r="AV699" s="427"/>
      <c r="AW699" s="427"/>
      <c r="AX699" s="427"/>
      <c r="AY699" s="754"/>
      <c r="AZ699" s="754"/>
      <c r="BA699" s="754"/>
      <c r="BB699" s="427"/>
      <c r="BC699" s="427"/>
      <c r="BD699" s="427"/>
      <c r="BE699" s="754"/>
      <c r="BF699" s="427"/>
      <c r="BG699" s="454"/>
      <c r="BH699" s="754"/>
      <c r="BI699" s="427"/>
      <c r="BJ699" s="427"/>
      <c r="BK699" s="427"/>
      <c r="BL699" s="427"/>
      <c r="BM699" s="454"/>
      <c r="BN699" s="427"/>
      <c r="BO699" s="427"/>
      <c r="BP699" s="427"/>
      <c r="BQ699" s="454"/>
      <c r="BR699" s="454"/>
      <c r="BS699" s="460"/>
      <c r="BT699" s="454"/>
      <c r="BU699" s="454"/>
      <c r="BV699" s="457"/>
      <c r="BW699" s="460"/>
      <c r="BX699" s="460"/>
      <c r="BY699" s="460"/>
      <c r="CA699" s="2"/>
      <c r="CB699" s="2"/>
      <c r="CC699" s="2"/>
      <c r="CD699" s="2"/>
      <c r="CE699" s="2"/>
      <c r="CF699" s="2"/>
      <c r="CG699" s="2"/>
      <c r="CH699" s="2"/>
      <c r="CI699" s="2"/>
      <c r="CJ699" s="2"/>
      <c r="CK699" s="2"/>
      <c r="CL699" s="2"/>
      <c r="CM699" s="2"/>
      <c r="CN699" s="2"/>
      <c r="CO699" s="427"/>
      <c r="CP699" s="427"/>
      <c r="CQ699" s="427"/>
      <c r="CR699" s="485"/>
      <c r="CS699" s="485"/>
      <c r="CT699" s="485"/>
      <c r="CU699" s="485"/>
      <c r="CV699" s="482"/>
      <c r="CW699" s="482"/>
      <c r="CX699" s="482"/>
      <c r="CY699" s="482"/>
      <c r="CZ699" s="485"/>
      <c r="DA699" s="485"/>
      <c r="DB699" s="485"/>
      <c r="DC699" s="485"/>
      <c r="DD699" s="485"/>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485"/>
      <c r="EX699" s="457"/>
      <c r="EY699" s="457"/>
      <c r="EZ699" s="457"/>
      <c r="FA699" s="457"/>
      <c r="FB699" s="457"/>
      <c r="FC699" s="457"/>
      <c r="FD699" s="457"/>
      <c r="FE699" s="457"/>
      <c r="FF699" s="457"/>
      <c r="FG699" s="457"/>
      <c r="FH699" s="457"/>
      <c r="FI699" s="457"/>
      <c r="FJ699" s="457"/>
      <c r="FK699" s="457"/>
    </row>
    <row r="700" spans="1:167" s="416" customFormat="1">
      <c r="A700" s="427"/>
      <c r="B700" s="427"/>
      <c r="C700" s="427"/>
      <c r="D700" s="427"/>
      <c r="E700" s="428"/>
      <c r="F700" s="429"/>
      <c r="G700" s="430"/>
      <c r="H700" s="427"/>
      <c r="I700" s="427"/>
      <c r="J700" s="427"/>
      <c r="K700" s="427"/>
      <c r="L700" s="427"/>
      <c r="M700" s="427"/>
      <c r="N700" s="427"/>
      <c r="O700" s="427"/>
      <c r="P700" s="427"/>
      <c r="Q700" s="427"/>
      <c r="R700" s="427"/>
      <c r="S700" s="427"/>
      <c r="T700" s="427"/>
      <c r="U700" s="427"/>
      <c r="V700" s="428"/>
      <c r="W700" s="431"/>
      <c r="X700" s="3"/>
      <c r="Y700" s="429"/>
      <c r="Z700" s="430"/>
      <c r="AA700" s="430"/>
      <c r="AB700" s="430"/>
      <c r="AC700" s="424"/>
      <c r="AD700" s="424"/>
      <c r="AE700" s="424"/>
      <c r="AF700" s="424"/>
      <c r="AG700" s="424"/>
      <c r="AH700" s="424"/>
      <c r="AI700" s="424"/>
      <c r="AJ700" s="2"/>
      <c r="AK700" s="2"/>
      <c r="AL700" s="2"/>
      <c r="AM700" s="2"/>
      <c r="AN700" s="2"/>
      <c r="AO700" s="2"/>
      <c r="AP700" s="2"/>
      <c r="AQ700" s="427"/>
      <c r="AR700" s="754"/>
      <c r="AS700" s="427"/>
      <c r="AT700" s="754"/>
      <c r="AU700" s="427"/>
      <c r="AV700" s="427"/>
      <c r="AW700" s="427"/>
      <c r="AX700" s="427"/>
      <c r="AY700" s="754"/>
      <c r="AZ700" s="754"/>
      <c r="BA700" s="754"/>
      <c r="BB700" s="427"/>
      <c r="BC700" s="427"/>
      <c r="BD700" s="427"/>
      <c r="BE700" s="754"/>
      <c r="BF700" s="427"/>
      <c r="BG700" s="454"/>
      <c r="BH700" s="754"/>
      <c r="BI700" s="427"/>
      <c r="BJ700" s="427"/>
      <c r="BK700" s="427"/>
      <c r="BL700" s="427"/>
      <c r="BM700" s="454"/>
      <c r="BN700" s="427"/>
      <c r="BO700" s="427"/>
      <c r="BP700" s="427"/>
      <c r="BQ700" s="454"/>
      <c r="BR700" s="454"/>
      <c r="BS700" s="460"/>
      <c r="BT700" s="454"/>
      <c r="BU700" s="454"/>
      <c r="BV700" s="457"/>
      <c r="BW700" s="460"/>
      <c r="BX700" s="460"/>
      <c r="BY700" s="460"/>
      <c r="CA700" s="2"/>
      <c r="CB700" s="2"/>
      <c r="CC700" s="2"/>
      <c r="CD700" s="2"/>
      <c r="CE700" s="2"/>
      <c r="CF700" s="2"/>
      <c r="CG700" s="2"/>
      <c r="CH700" s="2"/>
      <c r="CI700" s="2"/>
      <c r="CJ700" s="2"/>
      <c r="CK700" s="2"/>
      <c r="CL700" s="2"/>
      <c r="CM700" s="2"/>
      <c r="CN700" s="2"/>
      <c r="CO700" s="427"/>
      <c r="CP700" s="427"/>
      <c r="CQ700" s="427"/>
      <c r="CR700" s="485"/>
      <c r="CS700" s="485"/>
      <c r="CT700" s="485"/>
      <c r="CU700" s="485"/>
      <c r="CV700" s="482"/>
      <c r="CW700" s="482"/>
      <c r="CX700" s="482"/>
      <c r="CY700" s="482"/>
      <c r="CZ700" s="485"/>
      <c r="DA700" s="485"/>
      <c r="DB700" s="485"/>
      <c r="DC700" s="485"/>
      <c r="DD700" s="485"/>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485"/>
      <c r="EX700" s="457"/>
      <c r="EY700" s="457"/>
      <c r="EZ700" s="457"/>
      <c r="FA700" s="457"/>
      <c r="FB700" s="457"/>
      <c r="FC700" s="457"/>
      <c r="FD700" s="457"/>
      <c r="FE700" s="457"/>
      <c r="FF700" s="457"/>
      <c r="FG700" s="457"/>
      <c r="FH700" s="457"/>
      <c r="FI700" s="457"/>
      <c r="FJ700" s="457"/>
      <c r="FK700" s="457"/>
    </row>
    <row r="701" spans="1:167" s="416" customFormat="1">
      <c r="A701" s="427"/>
      <c r="B701" s="427"/>
      <c r="C701" s="427"/>
      <c r="D701" s="427"/>
      <c r="E701" s="428"/>
      <c r="F701" s="429"/>
      <c r="G701" s="430"/>
      <c r="H701" s="427"/>
      <c r="I701" s="427"/>
      <c r="J701" s="427"/>
      <c r="K701" s="427"/>
      <c r="L701" s="427"/>
      <c r="M701" s="427"/>
      <c r="N701" s="427"/>
      <c r="O701" s="427"/>
      <c r="P701" s="427"/>
      <c r="Q701" s="427"/>
      <c r="R701" s="427"/>
      <c r="S701" s="427"/>
      <c r="T701" s="427"/>
      <c r="U701" s="427"/>
      <c r="V701" s="428"/>
      <c r="W701" s="431"/>
      <c r="X701" s="3"/>
      <c r="Y701" s="429"/>
      <c r="Z701" s="430"/>
      <c r="AA701" s="430"/>
      <c r="AB701" s="430"/>
      <c r="AC701" s="424"/>
      <c r="AD701" s="424"/>
      <c r="AE701" s="424"/>
      <c r="AF701" s="424"/>
      <c r="AG701" s="424"/>
      <c r="AH701" s="424"/>
      <c r="AI701" s="424"/>
      <c r="AJ701" s="2"/>
      <c r="AK701" s="2"/>
      <c r="AL701" s="2"/>
      <c r="AM701" s="2"/>
      <c r="AN701" s="2"/>
      <c r="AO701" s="2"/>
      <c r="AP701" s="2"/>
      <c r="AQ701" s="427"/>
      <c r="AR701" s="754"/>
      <c r="AS701" s="427"/>
      <c r="AT701" s="754"/>
      <c r="AU701" s="427"/>
      <c r="AV701" s="427"/>
      <c r="AW701" s="427"/>
      <c r="AX701" s="427"/>
      <c r="AY701" s="754"/>
      <c r="AZ701" s="754"/>
      <c r="BA701" s="754"/>
      <c r="BB701" s="427"/>
      <c r="BC701" s="427"/>
      <c r="BD701" s="427"/>
      <c r="BE701" s="754"/>
      <c r="BF701" s="427"/>
      <c r="BG701" s="454"/>
      <c r="BH701" s="754"/>
      <c r="BI701" s="427"/>
      <c r="BJ701" s="427"/>
      <c r="BK701" s="427"/>
      <c r="BL701" s="427"/>
      <c r="BM701" s="454"/>
      <c r="BN701" s="427"/>
      <c r="BO701" s="427"/>
      <c r="BP701" s="427"/>
      <c r="BQ701" s="454"/>
      <c r="BR701" s="454"/>
      <c r="BS701" s="460"/>
      <c r="BT701" s="454"/>
      <c r="BU701" s="454"/>
      <c r="BV701" s="457"/>
      <c r="BW701" s="460"/>
      <c r="BX701" s="460"/>
      <c r="BY701" s="460"/>
      <c r="CA701" s="2"/>
      <c r="CB701" s="2"/>
      <c r="CC701" s="2"/>
      <c r="CD701" s="2"/>
      <c r="CE701" s="2"/>
      <c r="CF701" s="2"/>
      <c r="CG701" s="2"/>
      <c r="CH701" s="2"/>
      <c r="CI701" s="2"/>
      <c r="CJ701" s="2"/>
      <c r="CK701" s="2"/>
      <c r="CL701" s="2"/>
      <c r="CM701" s="2"/>
      <c r="CN701" s="2"/>
      <c r="CO701" s="427"/>
      <c r="CP701" s="427"/>
      <c r="CQ701" s="427"/>
      <c r="CR701" s="485"/>
      <c r="CS701" s="485"/>
      <c r="CT701" s="485"/>
      <c r="CU701" s="485"/>
      <c r="CV701" s="482"/>
      <c r="CW701" s="482"/>
      <c r="CX701" s="482"/>
      <c r="CY701" s="482"/>
      <c r="CZ701" s="485"/>
      <c r="DA701" s="485"/>
      <c r="DB701" s="485"/>
      <c r="DC701" s="485"/>
      <c r="DD701" s="485"/>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485"/>
      <c r="EX701" s="457"/>
      <c r="EY701" s="457"/>
      <c r="EZ701" s="457"/>
      <c r="FA701" s="457"/>
      <c r="FB701" s="457"/>
      <c r="FC701" s="457"/>
      <c r="FD701" s="457"/>
      <c r="FE701" s="457"/>
      <c r="FF701" s="457"/>
      <c r="FG701" s="457"/>
      <c r="FH701" s="457"/>
      <c r="FI701" s="457"/>
      <c r="FJ701" s="457"/>
      <c r="FK701" s="457"/>
    </row>
    <row r="702" spans="1:167" s="416" customFormat="1">
      <c r="A702" s="427"/>
      <c r="B702" s="427"/>
      <c r="C702" s="427"/>
      <c r="D702" s="427"/>
      <c r="E702" s="428"/>
      <c r="F702" s="429"/>
      <c r="G702" s="430"/>
      <c r="H702" s="427"/>
      <c r="I702" s="427"/>
      <c r="J702" s="427"/>
      <c r="K702" s="427"/>
      <c r="L702" s="427"/>
      <c r="M702" s="427"/>
      <c r="N702" s="427"/>
      <c r="O702" s="427"/>
      <c r="P702" s="427"/>
      <c r="Q702" s="427"/>
      <c r="R702" s="427"/>
      <c r="S702" s="427"/>
      <c r="T702" s="427"/>
      <c r="U702" s="427"/>
      <c r="V702" s="428"/>
      <c r="W702" s="431"/>
      <c r="X702" s="3"/>
      <c r="Y702" s="429"/>
      <c r="Z702" s="430"/>
      <c r="AA702" s="430"/>
      <c r="AB702" s="430"/>
      <c r="AC702" s="424"/>
      <c r="AD702" s="424"/>
      <c r="AE702" s="424"/>
      <c r="AF702" s="424"/>
      <c r="AG702" s="424"/>
      <c r="AH702" s="424"/>
      <c r="AI702" s="424"/>
      <c r="AJ702" s="2"/>
      <c r="AK702" s="2"/>
      <c r="AL702" s="2"/>
      <c r="AM702" s="2"/>
      <c r="AN702" s="2"/>
      <c r="AO702" s="2"/>
      <c r="AP702" s="2"/>
      <c r="AQ702" s="427"/>
      <c r="AR702" s="754"/>
      <c r="AS702" s="427"/>
      <c r="AT702" s="754"/>
      <c r="AU702" s="427"/>
      <c r="AV702" s="427"/>
      <c r="AW702" s="427"/>
      <c r="AX702" s="427"/>
      <c r="AY702" s="754"/>
      <c r="AZ702" s="754"/>
      <c r="BA702" s="754"/>
      <c r="BB702" s="427"/>
      <c r="BC702" s="427"/>
      <c r="BD702" s="427"/>
      <c r="BE702" s="754"/>
      <c r="BF702" s="427"/>
      <c r="BG702" s="454"/>
      <c r="BH702" s="754"/>
      <c r="BI702" s="427"/>
      <c r="BJ702" s="427"/>
      <c r="BK702" s="427"/>
      <c r="BL702" s="427"/>
      <c r="BM702" s="454"/>
      <c r="BN702" s="427"/>
      <c r="BO702" s="427"/>
      <c r="BP702" s="427"/>
      <c r="BQ702" s="454"/>
      <c r="BR702" s="454"/>
      <c r="BS702" s="460"/>
      <c r="BT702" s="454"/>
      <c r="BU702" s="454"/>
      <c r="BV702" s="457"/>
      <c r="BW702" s="460"/>
      <c r="BX702" s="460"/>
      <c r="BY702" s="460"/>
      <c r="CA702" s="2"/>
      <c r="CB702" s="2"/>
      <c r="CC702" s="2"/>
      <c r="CD702" s="2"/>
      <c r="CE702" s="2"/>
      <c r="CF702" s="2"/>
      <c r="CG702" s="2"/>
      <c r="CH702" s="2"/>
      <c r="CI702" s="2"/>
      <c r="CJ702" s="2"/>
      <c r="CK702" s="2"/>
      <c r="CL702" s="2"/>
      <c r="CM702" s="2"/>
      <c r="CN702" s="2"/>
      <c r="CO702" s="427"/>
      <c r="CP702" s="427"/>
      <c r="CQ702" s="427"/>
      <c r="CR702" s="485"/>
      <c r="CS702" s="485"/>
      <c r="CT702" s="485"/>
      <c r="CU702" s="485"/>
      <c r="CV702" s="482"/>
      <c r="CW702" s="482"/>
      <c r="CX702" s="482"/>
      <c r="CY702" s="482"/>
      <c r="CZ702" s="485"/>
      <c r="DA702" s="485"/>
      <c r="DB702" s="485"/>
      <c r="DC702" s="485"/>
      <c r="DD702" s="485"/>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485"/>
      <c r="EX702" s="457"/>
      <c r="EY702" s="457"/>
      <c r="EZ702" s="457"/>
      <c r="FA702" s="457"/>
      <c r="FB702" s="457"/>
      <c r="FC702" s="457"/>
      <c r="FD702" s="457"/>
      <c r="FE702" s="457"/>
      <c r="FF702" s="457"/>
      <c r="FG702" s="457"/>
      <c r="FH702" s="457"/>
      <c r="FI702" s="457"/>
      <c r="FJ702" s="457"/>
      <c r="FK702" s="457"/>
    </row>
    <row r="703" spans="1:167" s="416" customFormat="1">
      <c r="A703" s="427"/>
      <c r="B703" s="427"/>
      <c r="C703" s="427"/>
      <c r="D703" s="427"/>
      <c r="E703" s="428"/>
      <c r="F703" s="429"/>
      <c r="G703" s="430"/>
      <c r="H703" s="427"/>
      <c r="I703" s="427"/>
      <c r="J703" s="427"/>
      <c r="K703" s="427"/>
      <c r="L703" s="427"/>
      <c r="M703" s="427"/>
      <c r="N703" s="427"/>
      <c r="O703" s="427"/>
      <c r="P703" s="427"/>
      <c r="Q703" s="427"/>
      <c r="R703" s="427"/>
      <c r="S703" s="427"/>
      <c r="T703" s="427"/>
      <c r="U703" s="427"/>
      <c r="V703" s="428"/>
      <c r="W703" s="431"/>
      <c r="X703" s="3"/>
      <c r="Y703" s="429"/>
      <c r="Z703" s="430"/>
      <c r="AA703" s="430"/>
      <c r="AB703" s="430"/>
      <c r="AC703" s="424"/>
      <c r="AD703" s="424"/>
      <c r="AE703" s="424"/>
      <c r="AF703" s="424"/>
      <c r="AG703" s="424"/>
      <c r="AH703" s="424"/>
      <c r="AI703" s="424"/>
      <c r="AJ703" s="2"/>
      <c r="AK703" s="2"/>
      <c r="AL703" s="2"/>
      <c r="AM703" s="2"/>
      <c r="AN703" s="2"/>
      <c r="AO703" s="2"/>
      <c r="AP703" s="2"/>
      <c r="AQ703" s="427"/>
      <c r="AR703" s="754"/>
      <c r="AS703" s="427"/>
      <c r="AT703" s="754"/>
      <c r="AU703" s="427"/>
      <c r="AV703" s="427"/>
      <c r="AW703" s="427"/>
      <c r="AX703" s="427"/>
      <c r="AY703" s="754"/>
      <c r="AZ703" s="754"/>
      <c r="BA703" s="754"/>
      <c r="BB703" s="427"/>
      <c r="BC703" s="427"/>
      <c r="BD703" s="427"/>
      <c r="BE703" s="754"/>
      <c r="BF703" s="427"/>
      <c r="BG703" s="454"/>
      <c r="BH703" s="754"/>
      <c r="BI703" s="427"/>
      <c r="BJ703" s="427"/>
      <c r="BK703" s="427"/>
      <c r="BL703" s="427"/>
      <c r="BM703" s="454"/>
      <c r="BN703" s="427"/>
      <c r="BO703" s="427"/>
      <c r="BP703" s="427"/>
      <c r="BQ703" s="454"/>
      <c r="BR703" s="454"/>
      <c r="BS703" s="460"/>
      <c r="BT703" s="454"/>
      <c r="BU703" s="454"/>
      <c r="BV703" s="457"/>
      <c r="BW703" s="460"/>
      <c r="BX703" s="460"/>
      <c r="BY703" s="460"/>
      <c r="CA703" s="2"/>
      <c r="CB703" s="2"/>
      <c r="CC703" s="2"/>
      <c r="CD703" s="2"/>
      <c r="CE703" s="2"/>
      <c r="CF703" s="2"/>
      <c r="CG703" s="2"/>
      <c r="CH703" s="2"/>
      <c r="CI703" s="2"/>
      <c r="CJ703" s="2"/>
      <c r="CK703" s="2"/>
      <c r="CL703" s="2"/>
      <c r="CM703" s="2"/>
      <c r="CN703" s="2"/>
      <c r="CO703" s="427"/>
      <c r="CP703" s="427"/>
      <c r="CQ703" s="427"/>
      <c r="CR703" s="485"/>
      <c r="CS703" s="485"/>
      <c r="CT703" s="485"/>
      <c r="CU703" s="485"/>
      <c r="CV703" s="482"/>
      <c r="CW703" s="482"/>
      <c r="CX703" s="482"/>
      <c r="CY703" s="482"/>
      <c r="CZ703" s="485"/>
      <c r="DA703" s="485"/>
      <c r="DB703" s="485"/>
      <c r="DC703" s="485"/>
      <c r="DD703" s="485"/>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485"/>
      <c r="EX703" s="457"/>
      <c r="EY703" s="457"/>
      <c r="EZ703" s="457"/>
      <c r="FA703" s="457"/>
      <c r="FB703" s="457"/>
      <c r="FC703" s="457"/>
      <c r="FD703" s="457"/>
      <c r="FE703" s="457"/>
      <c r="FF703" s="457"/>
      <c r="FG703" s="457"/>
      <c r="FH703" s="457"/>
      <c r="FI703" s="457"/>
      <c r="FJ703" s="457"/>
      <c r="FK703" s="457"/>
    </row>
    <row r="704" spans="1:167" s="416" customFormat="1">
      <c r="A704" s="427"/>
      <c r="B704" s="427"/>
      <c r="C704" s="427"/>
      <c r="D704" s="427"/>
      <c r="E704" s="428"/>
      <c r="F704" s="429"/>
      <c r="G704" s="430"/>
      <c r="H704" s="427"/>
      <c r="I704" s="427"/>
      <c r="J704" s="427"/>
      <c r="K704" s="427"/>
      <c r="L704" s="427"/>
      <c r="M704" s="427"/>
      <c r="N704" s="427"/>
      <c r="O704" s="427"/>
      <c r="P704" s="427"/>
      <c r="Q704" s="427"/>
      <c r="R704" s="427"/>
      <c r="S704" s="427"/>
      <c r="T704" s="427"/>
      <c r="U704" s="427"/>
      <c r="V704" s="428"/>
      <c r="W704" s="431"/>
      <c r="X704" s="3"/>
      <c r="Y704" s="429"/>
      <c r="Z704" s="430"/>
      <c r="AA704" s="430"/>
      <c r="AB704" s="430"/>
      <c r="AC704" s="424"/>
      <c r="AD704" s="424"/>
      <c r="AE704" s="424"/>
      <c r="AF704" s="424"/>
      <c r="AG704" s="424"/>
      <c r="AH704" s="424"/>
      <c r="AI704" s="424"/>
      <c r="AJ704" s="2"/>
      <c r="AK704" s="2"/>
      <c r="AL704" s="2"/>
      <c r="AM704" s="2"/>
      <c r="AN704" s="2"/>
      <c r="AO704" s="2"/>
      <c r="AP704" s="2"/>
      <c r="AQ704" s="427"/>
      <c r="AR704" s="754"/>
      <c r="AS704" s="427"/>
      <c r="AT704" s="754"/>
      <c r="AU704" s="427"/>
      <c r="AV704" s="427"/>
      <c r="AW704" s="427"/>
      <c r="AX704" s="427"/>
      <c r="AY704" s="754"/>
      <c r="AZ704" s="754"/>
      <c r="BA704" s="754"/>
      <c r="BB704" s="427"/>
      <c r="BC704" s="427"/>
      <c r="BD704" s="427"/>
      <c r="BE704" s="754"/>
      <c r="BF704" s="427"/>
      <c r="BG704" s="454"/>
      <c r="BH704" s="754"/>
      <c r="BI704" s="427"/>
      <c r="BJ704" s="427"/>
      <c r="BK704" s="427"/>
      <c r="BL704" s="427"/>
      <c r="BM704" s="454"/>
      <c r="BN704" s="427"/>
      <c r="BO704" s="427"/>
      <c r="BP704" s="427"/>
      <c r="BQ704" s="454"/>
      <c r="BR704" s="454"/>
      <c r="BS704" s="460"/>
      <c r="BT704" s="454"/>
      <c r="BU704" s="454"/>
      <c r="BV704" s="457"/>
      <c r="BW704" s="460"/>
      <c r="BX704" s="460"/>
      <c r="BY704" s="460"/>
      <c r="CA704" s="2"/>
      <c r="CB704" s="2"/>
      <c r="CC704" s="2"/>
      <c r="CD704" s="2"/>
      <c r="CE704" s="2"/>
      <c r="CF704" s="2"/>
      <c r="CG704" s="2"/>
      <c r="CH704" s="2"/>
      <c r="CI704" s="2"/>
      <c r="CJ704" s="2"/>
      <c r="CK704" s="2"/>
      <c r="CL704" s="2"/>
      <c r="CM704" s="2"/>
      <c r="CN704" s="2"/>
      <c r="CO704" s="427"/>
      <c r="CP704" s="427"/>
      <c r="CQ704" s="427"/>
      <c r="CR704" s="485"/>
      <c r="CS704" s="485"/>
      <c r="CT704" s="485"/>
      <c r="CU704" s="485"/>
      <c r="CV704" s="482"/>
      <c r="CW704" s="482"/>
      <c r="CX704" s="482"/>
      <c r="CY704" s="482"/>
      <c r="CZ704" s="485"/>
      <c r="DA704" s="485"/>
      <c r="DB704" s="485"/>
      <c r="DC704" s="485"/>
      <c r="DD704" s="485"/>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485"/>
      <c r="EX704" s="457"/>
      <c r="EY704" s="457"/>
      <c r="EZ704" s="457"/>
      <c r="FA704" s="457"/>
      <c r="FB704" s="457"/>
      <c r="FC704" s="457"/>
      <c r="FD704" s="457"/>
      <c r="FE704" s="457"/>
      <c r="FF704" s="457"/>
      <c r="FG704" s="457"/>
      <c r="FH704" s="457"/>
      <c r="FI704" s="457"/>
      <c r="FJ704" s="457"/>
      <c r="FK704" s="457"/>
    </row>
    <row r="705" spans="1:167" s="416" customFormat="1">
      <c r="A705" s="427"/>
      <c r="B705" s="427"/>
      <c r="C705" s="427"/>
      <c r="D705" s="427"/>
      <c r="E705" s="428"/>
      <c r="F705" s="429"/>
      <c r="G705" s="430"/>
      <c r="H705" s="427"/>
      <c r="I705" s="427"/>
      <c r="J705" s="427"/>
      <c r="K705" s="427"/>
      <c r="L705" s="427"/>
      <c r="M705" s="427"/>
      <c r="N705" s="427"/>
      <c r="O705" s="427"/>
      <c r="P705" s="427"/>
      <c r="Q705" s="427"/>
      <c r="R705" s="427"/>
      <c r="S705" s="427"/>
      <c r="T705" s="427"/>
      <c r="U705" s="427"/>
      <c r="V705" s="428"/>
      <c r="W705" s="431"/>
      <c r="X705" s="3"/>
      <c r="Y705" s="429"/>
      <c r="Z705" s="430"/>
      <c r="AA705" s="430"/>
      <c r="AB705" s="430"/>
      <c r="AC705" s="424"/>
      <c r="AD705" s="424"/>
      <c r="AE705" s="424"/>
      <c r="AF705" s="424"/>
      <c r="AG705" s="424"/>
      <c r="AH705" s="424"/>
      <c r="AI705" s="424"/>
      <c r="AJ705" s="2"/>
      <c r="AK705" s="2"/>
      <c r="AL705" s="2"/>
      <c r="AM705" s="2"/>
      <c r="AN705" s="2"/>
      <c r="AO705" s="2"/>
      <c r="AP705" s="2"/>
      <c r="AQ705" s="427"/>
      <c r="AR705" s="754"/>
      <c r="AS705" s="427"/>
      <c r="AT705" s="754"/>
      <c r="AU705" s="427"/>
      <c r="AV705" s="427"/>
      <c r="AW705" s="427"/>
      <c r="AX705" s="427"/>
      <c r="AY705" s="754"/>
      <c r="AZ705" s="754"/>
      <c r="BA705" s="754"/>
      <c r="BB705" s="427"/>
      <c r="BC705" s="427"/>
      <c r="BD705" s="427"/>
      <c r="BE705" s="754"/>
      <c r="BF705" s="427"/>
      <c r="BG705" s="454"/>
      <c r="BH705" s="754"/>
      <c r="BI705" s="427"/>
      <c r="BJ705" s="427"/>
      <c r="BK705" s="427"/>
      <c r="BL705" s="427"/>
      <c r="BM705" s="454"/>
      <c r="BN705" s="427"/>
      <c r="BO705" s="427"/>
      <c r="BP705" s="427"/>
      <c r="BQ705" s="454"/>
      <c r="BR705" s="454"/>
      <c r="BS705" s="460"/>
      <c r="BT705" s="454"/>
      <c r="BU705" s="454"/>
      <c r="BV705" s="457"/>
      <c r="BW705" s="460"/>
      <c r="BX705" s="460"/>
      <c r="BY705" s="460"/>
      <c r="CA705" s="2"/>
      <c r="CB705" s="2"/>
      <c r="CC705" s="2"/>
      <c r="CD705" s="2"/>
      <c r="CE705" s="2"/>
      <c r="CF705" s="2"/>
      <c r="CG705" s="2"/>
      <c r="CH705" s="2"/>
      <c r="CI705" s="2"/>
      <c r="CJ705" s="2"/>
      <c r="CK705" s="2"/>
      <c r="CL705" s="2"/>
      <c r="CM705" s="2"/>
      <c r="CN705" s="2"/>
      <c r="CO705" s="427"/>
      <c r="CP705" s="427"/>
      <c r="CQ705" s="427"/>
      <c r="CR705" s="485"/>
      <c r="CS705" s="485"/>
      <c r="CT705" s="485"/>
      <c r="CU705" s="485"/>
      <c r="CV705" s="482"/>
      <c r="CW705" s="482"/>
      <c r="CX705" s="482"/>
      <c r="CY705" s="482"/>
      <c r="CZ705" s="485"/>
      <c r="DA705" s="485"/>
      <c r="DB705" s="485"/>
      <c r="DC705" s="485"/>
      <c r="DD705" s="485"/>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485"/>
      <c r="EX705" s="457"/>
      <c r="EY705" s="457"/>
      <c r="EZ705" s="457"/>
      <c r="FA705" s="457"/>
      <c r="FB705" s="457"/>
      <c r="FC705" s="457"/>
      <c r="FD705" s="457"/>
      <c r="FE705" s="457"/>
      <c r="FF705" s="457"/>
      <c r="FG705" s="457"/>
      <c r="FH705" s="457"/>
      <c r="FI705" s="457"/>
      <c r="FJ705" s="457"/>
      <c r="FK705" s="457"/>
    </row>
    <row r="706" spans="1:167" s="416" customFormat="1">
      <c r="A706" s="427"/>
      <c r="B706" s="427"/>
      <c r="C706" s="427"/>
      <c r="D706" s="427"/>
      <c r="E706" s="428"/>
      <c r="F706" s="429"/>
      <c r="G706" s="430"/>
      <c r="H706" s="427"/>
      <c r="I706" s="427"/>
      <c r="J706" s="427"/>
      <c r="K706" s="427"/>
      <c r="L706" s="427"/>
      <c r="M706" s="427"/>
      <c r="N706" s="427"/>
      <c r="O706" s="427"/>
      <c r="P706" s="427"/>
      <c r="Q706" s="427"/>
      <c r="R706" s="427"/>
      <c r="S706" s="427"/>
      <c r="T706" s="427"/>
      <c r="U706" s="427"/>
      <c r="V706" s="428"/>
      <c r="W706" s="431"/>
      <c r="X706" s="3"/>
      <c r="Y706" s="429"/>
      <c r="Z706" s="430"/>
      <c r="AA706" s="430"/>
      <c r="AB706" s="430"/>
      <c r="AC706" s="424"/>
      <c r="AD706" s="424"/>
      <c r="AE706" s="424"/>
      <c r="AF706" s="424"/>
      <c r="AG706" s="424"/>
      <c r="AH706" s="424"/>
      <c r="AI706" s="424"/>
      <c r="AJ706" s="2"/>
      <c r="AK706" s="2"/>
      <c r="AL706" s="2"/>
      <c r="AM706" s="2"/>
      <c r="AN706" s="2"/>
      <c r="AO706" s="2"/>
      <c r="AP706" s="2"/>
      <c r="AQ706" s="427"/>
      <c r="AR706" s="754"/>
      <c r="AS706" s="427"/>
      <c r="AT706" s="754"/>
      <c r="AU706" s="427"/>
      <c r="AV706" s="427"/>
      <c r="AW706" s="427"/>
      <c r="AX706" s="427"/>
      <c r="AY706" s="754"/>
      <c r="AZ706" s="754"/>
      <c r="BA706" s="754"/>
      <c r="BB706" s="427"/>
      <c r="BC706" s="427"/>
      <c r="BD706" s="427"/>
      <c r="BE706" s="754"/>
      <c r="BF706" s="427"/>
      <c r="BG706" s="454"/>
      <c r="BH706" s="754"/>
      <c r="BI706" s="427"/>
      <c r="BJ706" s="427"/>
      <c r="BK706" s="427"/>
      <c r="BL706" s="427"/>
      <c r="BM706" s="454"/>
      <c r="BN706" s="427"/>
      <c r="BO706" s="427"/>
      <c r="BP706" s="427"/>
      <c r="BQ706" s="454"/>
      <c r="BR706" s="454"/>
      <c r="BS706" s="460"/>
      <c r="BT706" s="454"/>
      <c r="BU706" s="454"/>
      <c r="BV706" s="457"/>
      <c r="BW706" s="460"/>
      <c r="BX706" s="460"/>
      <c r="BY706" s="460"/>
      <c r="CA706" s="2"/>
      <c r="CB706" s="2"/>
      <c r="CC706" s="2"/>
      <c r="CD706" s="2"/>
      <c r="CE706" s="2"/>
      <c r="CF706" s="2"/>
      <c r="CG706" s="2"/>
      <c r="CH706" s="2"/>
      <c r="CI706" s="2"/>
      <c r="CJ706" s="2"/>
      <c r="CK706" s="2"/>
      <c r="CL706" s="2"/>
      <c r="CM706" s="2"/>
      <c r="CN706" s="2"/>
      <c r="CO706" s="427"/>
      <c r="CP706" s="427"/>
      <c r="CQ706" s="427"/>
      <c r="CR706" s="485"/>
      <c r="CS706" s="485"/>
      <c r="CT706" s="485"/>
      <c r="CU706" s="485"/>
      <c r="CV706" s="482"/>
      <c r="CW706" s="482"/>
      <c r="CX706" s="482"/>
      <c r="CY706" s="482"/>
      <c r="CZ706" s="485"/>
      <c r="DA706" s="485"/>
      <c r="DB706" s="485"/>
      <c r="DC706" s="485"/>
      <c r="DD706" s="485"/>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485"/>
      <c r="EX706" s="457"/>
      <c r="EY706" s="457"/>
      <c r="EZ706" s="457"/>
      <c r="FA706" s="457"/>
      <c r="FB706" s="457"/>
      <c r="FC706" s="457"/>
      <c r="FD706" s="457"/>
      <c r="FE706" s="457"/>
      <c r="FF706" s="457"/>
      <c r="FG706" s="457"/>
      <c r="FH706" s="457"/>
      <c r="FI706" s="457"/>
      <c r="FJ706" s="457"/>
      <c r="FK706" s="457"/>
    </row>
    <row r="707" spans="1:167" s="416" customFormat="1">
      <c r="A707" s="427"/>
      <c r="B707" s="427"/>
      <c r="C707" s="427"/>
      <c r="D707" s="427"/>
      <c r="E707" s="428"/>
      <c r="F707" s="429"/>
      <c r="G707" s="430"/>
      <c r="H707" s="427"/>
      <c r="I707" s="427"/>
      <c r="J707" s="427"/>
      <c r="K707" s="427"/>
      <c r="L707" s="427"/>
      <c r="M707" s="427"/>
      <c r="N707" s="427"/>
      <c r="O707" s="427"/>
      <c r="P707" s="427"/>
      <c r="Q707" s="427"/>
      <c r="R707" s="427"/>
      <c r="S707" s="427"/>
      <c r="T707" s="427"/>
      <c r="U707" s="427"/>
      <c r="V707" s="428"/>
      <c r="W707" s="431"/>
      <c r="X707" s="3"/>
      <c r="Y707" s="429"/>
      <c r="Z707" s="430"/>
      <c r="AA707" s="430"/>
      <c r="AB707" s="430"/>
      <c r="AC707" s="424"/>
      <c r="AD707" s="424"/>
      <c r="AE707" s="424"/>
      <c r="AF707" s="424"/>
      <c r="AG707" s="424"/>
      <c r="AH707" s="424"/>
      <c r="AI707" s="424"/>
      <c r="AJ707" s="2"/>
      <c r="AK707" s="2"/>
      <c r="AL707" s="2"/>
      <c r="AM707" s="2"/>
      <c r="AN707" s="2"/>
      <c r="AO707" s="2"/>
      <c r="AP707" s="2"/>
      <c r="AQ707" s="427"/>
      <c r="AR707" s="754"/>
      <c r="AS707" s="427"/>
      <c r="AT707" s="754"/>
      <c r="AU707" s="427"/>
      <c r="AV707" s="427"/>
      <c r="AW707" s="427"/>
      <c r="AX707" s="427"/>
      <c r="AY707" s="754"/>
      <c r="AZ707" s="754"/>
      <c r="BA707" s="754"/>
      <c r="BB707" s="427"/>
      <c r="BC707" s="427"/>
      <c r="BD707" s="427"/>
      <c r="BE707" s="754"/>
      <c r="BF707" s="427"/>
      <c r="BG707" s="454"/>
      <c r="BH707" s="754"/>
      <c r="BI707" s="427"/>
      <c r="BJ707" s="427"/>
      <c r="BK707" s="427"/>
      <c r="BL707" s="427"/>
      <c r="BM707" s="454"/>
      <c r="BN707" s="427"/>
      <c r="BO707" s="427"/>
      <c r="BP707" s="427"/>
      <c r="BQ707" s="454"/>
      <c r="BR707" s="454"/>
      <c r="BS707" s="460"/>
      <c r="BT707" s="454"/>
      <c r="BU707" s="454"/>
      <c r="BV707" s="457"/>
      <c r="BW707" s="460"/>
      <c r="BX707" s="460"/>
      <c r="BY707" s="460"/>
      <c r="CA707" s="2"/>
      <c r="CB707" s="2"/>
      <c r="CC707" s="2"/>
      <c r="CD707" s="2"/>
      <c r="CE707" s="2"/>
      <c r="CF707" s="2"/>
      <c r="CG707" s="2"/>
      <c r="CH707" s="2"/>
      <c r="CI707" s="2"/>
      <c r="CJ707" s="2"/>
      <c r="CK707" s="2"/>
      <c r="CL707" s="2"/>
      <c r="CM707" s="2"/>
      <c r="CN707" s="2"/>
      <c r="CO707" s="427"/>
      <c r="CP707" s="427"/>
      <c r="CQ707" s="427"/>
      <c r="CR707" s="485"/>
      <c r="CS707" s="485"/>
      <c r="CT707" s="485"/>
      <c r="CU707" s="485"/>
      <c r="CV707" s="482"/>
      <c r="CW707" s="482"/>
      <c r="CX707" s="482"/>
      <c r="CY707" s="482"/>
      <c r="CZ707" s="485"/>
      <c r="DA707" s="485"/>
      <c r="DB707" s="485"/>
      <c r="DC707" s="485"/>
      <c r="DD707" s="485"/>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485"/>
      <c r="EX707" s="457"/>
      <c r="EY707" s="457"/>
      <c r="EZ707" s="457"/>
      <c r="FA707" s="457"/>
      <c r="FB707" s="457"/>
      <c r="FC707" s="457"/>
      <c r="FD707" s="457"/>
      <c r="FE707" s="457"/>
      <c r="FF707" s="457"/>
      <c r="FG707" s="457"/>
      <c r="FH707" s="457"/>
      <c r="FI707" s="457"/>
      <c r="FJ707" s="457"/>
      <c r="FK707" s="457"/>
    </row>
    <row r="708" spans="1:167" s="416" customFormat="1">
      <c r="A708" s="427"/>
      <c r="B708" s="427"/>
      <c r="C708" s="427"/>
      <c r="D708" s="427"/>
      <c r="E708" s="428"/>
      <c r="F708" s="429"/>
      <c r="G708" s="430"/>
      <c r="H708" s="427"/>
      <c r="I708" s="427"/>
      <c r="J708" s="427"/>
      <c r="K708" s="427"/>
      <c r="L708" s="427"/>
      <c r="M708" s="427"/>
      <c r="N708" s="427"/>
      <c r="O708" s="427"/>
      <c r="P708" s="427"/>
      <c r="Q708" s="427"/>
      <c r="R708" s="427"/>
      <c r="S708" s="427"/>
      <c r="T708" s="427"/>
      <c r="U708" s="427"/>
      <c r="V708" s="428"/>
      <c r="W708" s="431"/>
      <c r="X708" s="3"/>
      <c r="Y708" s="429"/>
      <c r="Z708" s="430"/>
      <c r="AA708" s="430"/>
      <c r="AB708" s="430"/>
      <c r="AC708" s="424"/>
      <c r="AD708" s="424"/>
      <c r="AE708" s="424"/>
      <c r="AF708" s="424"/>
      <c r="AG708" s="424"/>
      <c r="AH708" s="424"/>
      <c r="AI708" s="424"/>
      <c r="AJ708" s="2"/>
      <c r="AK708" s="2"/>
      <c r="AL708" s="2"/>
      <c r="AM708" s="2"/>
      <c r="AN708" s="2"/>
      <c r="AO708" s="2"/>
      <c r="AP708" s="2"/>
      <c r="AQ708" s="427"/>
      <c r="AR708" s="754"/>
      <c r="AS708" s="427"/>
      <c r="AT708" s="754"/>
      <c r="AU708" s="427"/>
      <c r="AV708" s="427"/>
      <c r="AW708" s="427"/>
      <c r="AX708" s="427"/>
      <c r="AY708" s="754"/>
      <c r="AZ708" s="754"/>
      <c r="BA708" s="754"/>
      <c r="BB708" s="427"/>
      <c r="BC708" s="427"/>
      <c r="BD708" s="427"/>
      <c r="BE708" s="754"/>
      <c r="BF708" s="427"/>
      <c r="BG708" s="454"/>
      <c r="BH708" s="754"/>
      <c r="BI708" s="427"/>
      <c r="BJ708" s="427"/>
      <c r="BK708" s="427"/>
      <c r="BL708" s="427"/>
      <c r="BM708" s="454"/>
      <c r="BN708" s="427"/>
      <c r="BO708" s="427"/>
      <c r="BP708" s="427"/>
      <c r="BQ708" s="454"/>
      <c r="BR708" s="454"/>
      <c r="BS708" s="460"/>
      <c r="BT708" s="454"/>
      <c r="BU708" s="454"/>
      <c r="BV708" s="457"/>
      <c r="BW708" s="460"/>
      <c r="BX708" s="460"/>
      <c r="BY708" s="460"/>
      <c r="CA708" s="2"/>
      <c r="CB708" s="2"/>
      <c r="CC708" s="2"/>
      <c r="CD708" s="2"/>
      <c r="CE708" s="2"/>
      <c r="CF708" s="2"/>
      <c r="CG708" s="2"/>
      <c r="CH708" s="2"/>
      <c r="CI708" s="2"/>
      <c r="CJ708" s="2"/>
      <c r="CK708" s="2"/>
      <c r="CL708" s="2"/>
      <c r="CM708" s="2"/>
      <c r="CN708" s="2"/>
      <c r="CO708" s="427"/>
      <c r="CP708" s="427"/>
      <c r="CQ708" s="427"/>
      <c r="CR708" s="485"/>
      <c r="CS708" s="485"/>
      <c r="CT708" s="485"/>
      <c r="CU708" s="485"/>
      <c r="CV708" s="482"/>
      <c r="CW708" s="482"/>
      <c r="CX708" s="482"/>
      <c r="CY708" s="482"/>
      <c r="CZ708" s="485"/>
      <c r="DA708" s="485"/>
      <c r="DB708" s="485"/>
      <c r="DC708" s="485"/>
      <c r="DD708" s="485"/>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485"/>
      <c r="EX708" s="457"/>
      <c r="EY708" s="457"/>
      <c r="EZ708" s="457"/>
      <c r="FA708" s="457"/>
      <c r="FB708" s="457"/>
      <c r="FC708" s="457"/>
      <c r="FD708" s="457"/>
      <c r="FE708" s="457"/>
      <c r="FF708" s="457"/>
      <c r="FG708" s="457"/>
      <c r="FH708" s="457"/>
      <c r="FI708" s="457"/>
      <c r="FJ708" s="457"/>
      <c r="FK708" s="457"/>
    </row>
    <row r="709" spans="1:167" s="416" customFormat="1">
      <c r="A709" s="427"/>
      <c r="B709" s="427"/>
      <c r="C709" s="427"/>
      <c r="D709" s="427"/>
      <c r="E709" s="428"/>
      <c r="F709" s="429"/>
      <c r="G709" s="430"/>
      <c r="H709" s="427"/>
      <c r="I709" s="427"/>
      <c r="J709" s="427"/>
      <c r="K709" s="427"/>
      <c r="L709" s="427"/>
      <c r="M709" s="427"/>
      <c r="N709" s="427"/>
      <c r="O709" s="427"/>
      <c r="P709" s="427"/>
      <c r="Q709" s="427"/>
      <c r="R709" s="427"/>
      <c r="S709" s="427"/>
      <c r="T709" s="427"/>
      <c r="U709" s="427"/>
      <c r="V709" s="428"/>
      <c r="W709" s="431"/>
      <c r="X709" s="3"/>
      <c r="Y709" s="429"/>
      <c r="Z709" s="430"/>
      <c r="AA709" s="430"/>
      <c r="AB709" s="430"/>
      <c r="AC709" s="424"/>
      <c r="AD709" s="424"/>
      <c r="AE709" s="424"/>
      <c r="AF709" s="424"/>
      <c r="AG709" s="424"/>
      <c r="AH709" s="424"/>
      <c r="AI709" s="424"/>
      <c r="AJ709" s="2"/>
      <c r="AK709" s="2"/>
      <c r="AL709" s="2"/>
      <c r="AM709" s="2"/>
      <c r="AN709" s="2"/>
      <c r="AO709" s="2"/>
      <c r="AP709" s="2"/>
      <c r="AQ709" s="427"/>
      <c r="AR709" s="754"/>
      <c r="AS709" s="427"/>
      <c r="AT709" s="754"/>
      <c r="AU709" s="427"/>
      <c r="AV709" s="427"/>
      <c r="AW709" s="427"/>
      <c r="AX709" s="427"/>
      <c r="AY709" s="754"/>
      <c r="AZ709" s="754"/>
      <c r="BA709" s="754"/>
      <c r="BB709" s="427"/>
      <c r="BC709" s="427"/>
      <c r="BD709" s="427"/>
      <c r="BE709" s="754"/>
      <c r="BF709" s="427"/>
      <c r="BG709" s="454"/>
      <c r="BH709" s="754"/>
      <c r="BI709" s="427"/>
      <c r="BJ709" s="427"/>
      <c r="BK709" s="427"/>
      <c r="BL709" s="427"/>
      <c r="BM709" s="454"/>
      <c r="BN709" s="427"/>
      <c r="BO709" s="427"/>
      <c r="BP709" s="427"/>
      <c r="BQ709" s="454"/>
      <c r="BR709" s="454"/>
      <c r="BS709" s="460"/>
      <c r="BT709" s="454"/>
      <c r="BU709" s="454"/>
      <c r="BV709" s="457"/>
      <c r="BW709" s="460"/>
      <c r="BX709" s="460"/>
      <c r="BY709" s="460"/>
      <c r="CA709" s="2"/>
      <c r="CB709" s="2"/>
      <c r="CC709" s="2"/>
      <c r="CD709" s="2"/>
      <c r="CE709" s="2"/>
      <c r="CF709" s="2"/>
      <c r="CG709" s="2"/>
      <c r="CH709" s="2"/>
      <c r="CI709" s="2"/>
      <c r="CJ709" s="2"/>
      <c r="CK709" s="2"/>
      <c r="CL709" s="2"/>
      <c r="CM709" s="2"/>
      <c r="CN709" s="2"/>
      <c r="CO709" s="427"/>
      <c r="CP709" s="427"/>
      <c r="CQ709" s="427"/>
      <c r="CR709" s="485"/>
      <c r="CS709" s="485"/>
      <c r="CT709" s="485"/>
      <c r="CU709" s="485"/>
      <c r="CV709" s="482"/>
      <c r="CW709" s="482"/>
      <c r="CX709" s="482"/>
      <c r="CY709" s="482"/>
      <c r="CZ709" s="485"/>
      <c r="DA709" s="485"/>
      <c r="DB709" s="485"/>
      <c r="DC709" s="485"/>
      <c r="DD709" s="485"/>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485"/>
      <c r="EX709" s="457"/>
      <c r="EY709" s="457"/>
      <c r="EZ709" s="457"/>
      <c r="FA709" s="457"/>
      <c r="FB709" s="457"/>
      <c r="FC709" s="457"/>
      <c r="FD709" s="457"/>
      <c r="FE709" s="457"/>
      <c r="FF709" s="457"/>
      <c r="FG709" s="457"/>
      <c r="FH709" s="457"/>
      <c r="FI709" s="457"/>
      <c r="FJ709" s="457"/>
      <c r="FK709" s="457"/>
    </row>
    <row r="710" spans="1:167" s="416" customFormat="1">
      <c r="A710" s="427"/>
      <c r="B710" s="427"/>
      <c r="C710" s="427"/>
      <c r="D710" s="427"/>
      <c r="E710" s="428"/>
      <c r="F710" s="429"/>
      <c r="G710" s="430"/>
      <c r="H710" s="427"/>
      <c r="I710" s="427"/>
      <c r="J710" s="427"/>
      <c r="K710" s="427"/>
      <c r="L710" s="427"/>
      <c r="M710" s="427"/>
      <c r="N710" s="427"/>
      <c r="O710" s="427"/>
      <c r="P710" s="427"/>
      <c r="Q710" s="427"/>
      <c r="R710" s="427"/>
      <c r="S710" s="427"/>
      <c r="T710" s="427"/>
      <c r="U710" s="427"/>
      <c r="V710" s="428"/>
      <c r="W710" s="431"/>
      <c r="X710" s="3"/>
      <c r="Y710" s="429"/>
      <c r="Z710" s="430"/>
      <c r="AA710" s="430"/>
      <c r="AB710" s="430"/>
      <c r="AC710" s="424"/>
      <c r="AD710" s="424"/>
      <c r="AE710" s="424"/>
      <c r="AF710" s="424"/>
      <c r="AG710" s="424"/>
      <c r="AH710" s="424"/>
      <c r="AI710" s="424"/>
      <c r="AJ710" s="2"/>
      <c r="AK710" s="2"/>
      <c r="AL710" s="2"/>
      <c r="AM710" s="2"/>
      <c r="AN710" s="2"/>
      <c r="AO710" s="2"/>
      <c r="AP710" s="2"/>
      <c r="AQ710" s="427"/>
      <c r="AR710" s="754"/>
      <c r="AS710" s="427"/>
      <c r="AT710" s="754"/>
      <c r="AU710" s="427"/>
      <c r="AV710" s="427"/>
      <c r="AW710" s="427"/>
      <c r="AX710" s="427"/>
      <c r="AY710" s="754"/>
      <c r="AZ710" s="754"/>
      <c r="BA710" s="754"/>
      <c r="BB710" s="427"/>
      <c r="BC710" s="427"/>
      <c r="BD710" s="427"/>
      <c r="BE710" s="754"/>
      <c r="BF710" s="427"/>
      <c r="BG710" s="454"/>
      <c r="BH710" s="754"/>
      <c r="BI710" s="427"/>
      <c r="BJ710" s="427"/>
      <c r="BK710" s="427"/>
      <c r="BL710" s="427"/>
      <c r="BM710" s="454"/>
      <c r="BN710" s="427"/>
      <c r="BO710" s="427"/>
      <c r="BP710" s="427"/>
      <c r="BQ710" s="454"/>
      <c r="BR710" s="454"/>
      <c r="BS710" s="460"/>
      <c r="BT710" s="454"/>
      <c r="BU710" s="454"/>
      <c r="BV710" s="457"/>
      <c r="BW710" s="460"/>
      <c r="BX710" s="460"/>
      <c r="BY710" s="460"/>
      <c r="CA710" s="2"/>
      <c r="CB710" s="2"/>
      <c r="CC710" s="2"/>
      <c r="CD710" s="2"/>
      <c r="CE710" s="2"/>
      <c r="CF710" s="2"/>
      <c r="CG710" s="2"/>
      <c r="CH710" s="2"/>
      <c r="CI710" s="2"/>
      <c r="CJ710" s="2"/>
      <c r="CK710" s="2"/>
      <c r="CL710" s="2"/>
      <c r="CM710" s="2"/>
      <c r="CN710" s="2"/>
      <c r="CO710" s="427"/>
      <c r="CP710" s="427"/>
      <c r="CQ710" s="427"/>
      <c r="CR710" s="485"/>
      <c r="CS710" s="485"/>
      <c r="CT710" s="485"/>
      <c r="CU710" s="485"/>
      <c r="CV710" s="482"/>
      <c r="CW710" s="482"/>
      <c r="CX710" s="482"/>
      <c r="CY710" s="482"/>
      <c r="CZ710" s="485"/>
      <c r="DA710" s="485"/>
      <c r="DB710" s="485"/>
      <c r="DC710" s="485"/>
      <c r="DD710" s="485"/>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485"/>
      <c r="EX710" s="457"/>
      <c r="EY710" s="457"/>
      <c r="EZ710" s="457"/>
      <c r="FA710" s="457"/>
      <c r="FB710" s="457"/>
      <c r="FC710" s="457"/>
      <c r="FD710" s="457"/>
      <c r="FE710" s="457"/>
      <c r="FF710" s="457"/>
      <c r="FG710" s="457"/>
      <c r="FH710" s="457"/>
      <c r="FI710" s="457"/>
      <c r="FJ710" s="457"/>
      <c r="FK710" s="457"/>
    </row>
    <row r="711" spans="1:167" s="416" customFormat="1">
      <c r="A711" s="427"/>
      <c r="B711" s="427"/>
      <c r="C711" s="427"/>
      <c r="D711" s="427"/>
      <c r="E711" s="428"/>
      <c r="F711" s="429"/>
      <c r="G711" s="430"/>
      <c r="H711" s="427"/>
      <c r="I711" s="427"/>
      <c r="J711" s="427"/>
      <c r="K711" s="427"/>
      <c r="L711" s="427"/>
      <c r="M711" s="427"/>
      <c r="N711" s="427"/>
      <c r="O711" s="427"/>
      <c r="P711" s="427"/>
      <c r="Q711" s="427"/>
      <c r="R711" s="427"/>
      <c r="S711" s="427"/>
      <c r="T711" s="427"/>
      <c r="U711" s="427"/>
      <c r="V711" s="428"/>
      <c r="W711" s="431"/>
      <c r="X711" s="3"/>
      <c r="Y711" s="429"/>
      <c r="Z711" s="430"/>
      <c r="AA711" s="430"/>
      <c r="AB711" s="430"/>
      <c r="AC711" s="424"/>
      <c r="AD711" s="424"/>
      <c r="AE711" s="424"/>
      <c r="AF711" s="424"/>
      <c r="AG711" s="424"/>
      <c r="AH711" s="424"/>
      <c r="AI711" s="424"/>
      <c r="AJ711" s="2"/>
      <c r="AK711" s="2"/>
      <c r="AL711" s="2"/>
      <c r="AM711" s="2"/>
      <c r="AN711" s="2"/>
      <c r="AO711" s="2"/>
      <c r="AP711" s="2"/>
      <c r="AQ711" s="427"/>
      <c r="AR711" s="754"/>
      <c r="AS711" s="427"/>
      <c r="AT711" s="754"/>
      <c r="AU711" s="427"/>
      <c r="AV711" s="427"/>
      <c r="AW711" s="427"/>
      <c r="AX711" s="427"/>
      <c r="AY711" s="754"/>
      <c r="AZ711" s="754"/>
      <c r="BA711" s="754"/>
      <c r="BB711" s="427"/>
      <c r="BC711" s="427"/>
      <c r="BD711" s="427"/>
      <c r="BE711" s="754"/>
      <c r="BF711" s="427"/>
      <c r="BG711" s="454"/>
      <c r="BH711" s="754"/>
      <c r="BI711" s="427"/>
      <c r="BJ711" s="427"/>
      <c r="BK711" s="427"/>
      <c r="BL711" s="427"/>
      <c r="BM711" s="454"/>
      <c r="BN711" s="427"/>
      <c r="BO711" s="427"/>
      <c r="BP711" s="427"/>
      <c r="BQ711" s="454"/>
      <c r="BR711" s="454"/>
      <c r="BS711" s="460"/>
      <c r="BT711" s="454"/>
      <c r="BU711" s="454"/>
      <c r="BV711" s="457"/>
      <c r="BW711" s="460"/>
      <c r="BX711" s="460"/>
      <c r="BY711" s="460"/>
      <c r="CA711" s="2"/>
      <c r="CB711" s="2"/>
      <c r="CC711" s="2"/>
      <c r="CD711" s="2"/>
      <c r="CE711" s="2"/>
      <c r="CF711" s="2"/>
      <c r="CG711" s="2"/>
      <c r="CH711" s="2"/>
      <c r="CI711" s="2"/>
      <c r="CJ711" s="2"/>
      <c r="CK711" s="2"/>
      <c r="CL711" s="2"/>
      <c r="CM711" s="2"/>
      <c r="CN711" s="2"/>
      <c r="CO711" s="427"/>
      <c r="CP711" s="427"/>
      <c r="CQ711" s="427"/>
      <c r="CR711" s="485"/>
      <c r="CS711" s="485"/>
      <c r="CT711" s="485"/>
      <c r="CU711" s="485"/>
      <c r="CV711" s="482"/>
      <c r="CW711" s="482"/>
      <c r="CX711" s="482"/>
      <c r="CY711" s="482"/>
      <c r="CZ711" s="485"/>
      <c r="DA711" s="485"/>
      <c r="DB711" s="485"/>
      <c r="DC711" s="485"/>
      <c r="DD711" s="485"/>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485"/>
      <c r="EX711" s="457"/>
      <c r="EY711" s="457"/>
      <c r="EZ711" s="457"/>
      <c r="FA711" s="457"/>
      <c r="FB711" s="457"/>
      <c r="FC711" s="457"/>
      <c r="FD711" s="457"/>
      <c r="FE711" s="457"/>
      <c r="FF711" s="457"/>
      <c r="FG711" s="457"/>
      <c r="FH711" s="457"/>
      <c r="FI711" s="457"/>
      <c r="FJ711" s="457"/>
      <c r="FK711" s="457"/>
    </row>
    <row r="712" spans="1:167" s="416" customFormat="1">
      <c r="A712" s="427"/>
      <c r="B712" s="427"/>
      <c r="C712" s="427"/>
      <c r="D712" s="427"/>
      <c r="E712" s="428"/>
      <c r="F712" s="429"/>
      <c r="G712" s="430"/>
      <c r="H712" s="427"/>
      <c r="I712" s="427"/>
      <c r="J712" s="427"/>
      <c r="K712" s="427"/>
      <c r="L712" s="427"/>
      <c r="M712" s="427"/>
      <c r="N712" s="427"/>
      <c r="O712" s="427"/>
      <c r="P712" s="427"/>
      <c r="Q712" s="427"/>
      <c r="R712" s="427"/>
      <c r="S712" s="427"/>
      <c r="T712" s="427"/>
      <c r="U712" s="427"/>
      <c r="V712" s="428"/>
      <c r="W712" s="431"/>
      <c r="X712" s="3"/>
      <c r="Y712" s="429"/>
      <c r="Z712" s="430"/>
      <c r="AA712" s="430"/>
      <c r="AB712" s="430"/>
      <c r="AC712" s="424"/>
      <c r="AD712" s="424"/>
      <c r="AE712" s="424"/>
      <c r="AF712" s="424"/>
      <c r="AG712" s="424"/>
      <c r="AH712" s="424"/>
      <c r="AI712" s="424"/>
      <c r="AJ712" s="2"/>
      <c r="AK712" s="2"/>
      <c r="AL712" s="2"/>
      <c r="AM712" s="2"/>
      <c r="AN712" s="2"/>
      <c r="AO712" s="2"/>
      <c r="AP712" s="2"/>
      <c r="AQ712" s="427"/>
      <c r="AR712" s="754"/>
      <c r="AS712" s="427"/>
      <c r="AT712" s="754"/>
      <c r="AU712" s="427"/>
      <c r="AV712" s="427"/>
      <c r="AW712" s="427"/>
      <c r="AX712" s="427"/>
      <c r="AY712" s="754"/>
      <c r="AZ712" s="754"/>
      <c r="BA712" s="754"/>
      <c r="BB712" s="427"/>
      <c r="BC712" s="427"/>
      <c r="BD712" s="427"/>
      <c r="BE712" s="754"/>
      <c r="BF712" s="427"/>
      <c r="BG712" s="454"/>
      <c r="BH712" s="754"/>
      <c r="BI712" s="427"/>
      <c r="BJ712" s="427"/>
      <c r="BK712" s="427"/>
      <c r="BL712" s="427"/>
      <c r="BM712" s="454"/>
      <c r="BN712" s="427"/>
      <c r="BO712" s="427"/>
      <c r="BP712" s="427"/>
      <c r="BQ712" s="454"/>
      <c r="BR712" s="454"/>
      <c r="BS712" s="460"/>
      <c r="BT712" s="454"/>
      <c r="BU712" s="454"/>
      <c r="BV712" s="457"/>
      <c r="BW712" s="460"/>
      <c r="BX712" s="460"/>
      <c r="BY712" s="460"/>
      <c r="CA712" s="2"/>
      <c r="CB712" s="2"/>
      <c r="CC712" s="2"/>
      <c r="CD712" s="2"/>
      <c r="CE712" s="2"/>
      <c r="CF712" s="2"/>
      <c r="CG712" s="2"/>
      <c r="CH712" s="2"/>
      <c r="CI712" s="2"/>
      <c r="CJ712" s="2"/>
      <c r="CK712" s="2"/>
      <c r="CL712" s="2"/>
      <c r="CM712" s="2"/>
      <c r="CN712" s="2"/>
      <c r="CO712" s="427"/>
      <c r="CP712" s="427"/>
      <c r="CQ712" s="427"/>
      <c r="CR712" s="485"/>
      <c r="CS712" s="485"/>
      <c r="CT712" s="485"/>
      <c r="CU712" s="485"/>
      <c r="CV712" s="482"/>
      <c r="CW712" s="482"/>
      <c r="CX712" s="482"/>
      <c r="CY712" s="482"/>
      <c r="CZ712" s="485"/>
      <c r="DA712" s="485"/>
      <c r="DB712" s="485"/>
      <c r="DC712" s="485"/>
      <c r="DD712" s="485"/>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485"/>
      <c r="EX712" s="457"/>
      <c r="EY712" s="457"/>
      <c r="EZ712" s="457"/>
      <c r="FA712" s="457"/>
      <c r="FB712" s="457"/>
      <c r="FC712" s="457"/>
      <c r="FD712" s="457"/>
      <c r="FE712" s="457"/>
      <c r="FF712" s="457"/>
      <c r="FG712" s="457"/>
      <c r="FH712" s="457"/>
      <c r="FI712" s="457"/>
      <c r="FJ712" s="457"/>
      <c r="FK712" s="457"/>
    </row>
    <row r="713" spans="1:167" s="416" customFormat="1">
      <c r="A713" s="427"/>
      <c r="B713" s="427"/>
      <c r="C713" s="427"/>
      <c r="D713" s="427"/>
      <c r="E713" s="428"/>
      <c r="F713" s="429"/>
      <c r="G713" s="430"/>
      <c r="H713" s="427"/>
      <c r="I713" s="427"/>
      <c r="J713" s="427"/>
      <c r="K713" s="427"/>
      <c r="L713" s="427"/>
      <c r="M713" s="427"/>
      <c r="N713" s="427"/>
      <c r="O713" s="427"/>
      <c r="P713" s="427"/>
      <c r="Q713" s="427"/>
      <c r="R713" s="427"/>
      <c r="S713" s="427"/>
      <c r="T713" s="427"/>
      <c r="U713" s="427"/>
      <c r="V713" s="428"/>
      <c r="W713" s="431"/>
      <c r="X713" s="3"/>
      <c r="Y713" s="429"/>
      <c r="Z713" s="430"/>
      <c r="AA713" s="430"/>
      <c r="AB713" s="430"/>
      <c r="AC713" s="424"/>
      <c r="AD713" s="424"/>
      <c r="AE713" s="424"/>
      <c r="AF713" s="424"/>
      <c r="AG713" s="424"/>
      <c r="AH713" s="424"/>
      <c r="AI713" s="424"/>
      <c r="AJ713" s="2"/>
      <c r="AK713" s="2"/>
      <c r="AL713" s="2"/>
      <c r="AM713" s="2"/>
      <c r="AN713" s="2"/>
      <c r="AO713" s="2"/>
      <c r="AP713" s="2"/>
      <c r="AQ713" s="427"/>
      <c r="AR713" s="754"/>
      <c r="AS713" s="427"/>
      <c r="AT713" s="754"/>
      <c r="AU713" s="427"/>
      <c r="AV713" s="427"/>
      <c r="AW713" s="427"/>
      <c r="AX713" s="427"/>
      <c r="AY713" s="754"/>
      <c r="AZ713" s="754"/>
      <c r="BA713" s="754"/>
      <c r="BB713" s="427"/>
      <c r="BC713" s="427"/>
      <c r="BD713" s="427"/>
      <c r="BE713" s="754"/>
      <c r="BF713" s="427"/>
      <c r="BG713" s="454"/>
      <c r="BH713" s="754"/>
      <c r="BI713" s="427"/>
      <c r="BJ713" s="427"/>
      <c r="BK713" s="427"/>
      <c r="BL713" s="427"/>
      <c r="BM713" s="454"/>
      <c r="BN713" s="427"/>
      <c r="BO713" s="427"/>
      <c r="BP713" s="427"/>
      <c r="BQ713" s="454"/>
      <c r="BR713" s="454"/>
      <c r="BS713" s="460"/>
      <c r="BT713" s="454"/>
      <c r="BU713" s="454"/>
      <c r="BV713" s="457"/>
      <c r="BW713" s="460"/>
      <c r="BX713" s="460"/>
      <c r="BY713" s="460"/>
      <c r="CA713" s="2"/>
      <c r="CB713" s="2"/>
      <c r="CC713" s="2"/>
      <c r="CD713" s="2"/>
      <c r="CE713" s="2"/>
      <c r="CF713" s="2"/>
      <c r="CG713" s="2"/>
      <c r="CH713" s="2"/>
      <c r="CI713" s="2"/>
      <c r="CJ713" s="2"/>
      <c r="CK713" s="2"/>
      <c r="CL713" s="2"/>
      <c r="CM713" s="2"/>
      <c r="CN713" s="2"/>
      <c r="CO713" s="427"/>
      <c r="CP713" s="427"/>
      <c r="CQ713" s="427"/>
      <c r="CR713" s="485"/>
      <c r="CS713" s="485"/>
      <c r="CT713" s="485"/>
      <c r="CU713" s="485"/>
      <c r="CV713" s="482"/>
      <c r="CW713" s="482"/>
      <c r="CX713" s="482"/>
      <c r="CY713" s="482"/>
      <c r="CZ713" s="485"/>
      <c r="DA713" s="485"/>
      <c r="DB713" s="485"/>
      <c r="DC713" s="485"/>
      <c r="DD713" s="485"/>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485"/>
      <c r="EX713" s="457"/>
      <c r="EY713" s="457"/>
      <c r="EZ713" s="457"/>
      <c r="FA713" s="457"/>
      <c r="FB713" s="457"/>
      <c r="FC713" s="457"/>
      <c r="FD713" s="457"/>
      <c r="FE713" s="457"/>
      <c r="FF713" s="457"/>
      <c r="FG713" s="457"/>
      <c r="FH713" s="457"/>
      <c r="FI713" s="457"/>
      <c r="FJ713" s="457"/>
      <c r="FK713" s="457"/>
    </row>
    <row r="714" spans="1:167" s="416" customFormat="1">
      <c r="A714" s="427"/>
      <c r="B714" s="427"/>
      <c r="C714" s="427"/>
      <c r="D714" s="427"/>
      <c r="E714" s="428"/>
      <c r="F714" s="429"/>
      <c r="G714" s="430"/>
      <c r="H714" s="427"/>
      <c r="I714" s="427"/>
      <c r="J714" s="427"/>
      <c r="K714" s="427"/>
      <c r="L714" s="427"/>
      <c r="M714" s="427"/>
      <c r="N714" s="427"/>
      <c r="O714" s="427"/>
      <c r="P714" s="427"/>
      <c r="Q714" s="427"/>
      <c r="R714" s="427"/>
      <c r="S714" s="427"/>
      <c r="T714" s="427"/>
      <c r="U714" s="427"/>
      <c r="V714" s="428"/>
      <c r="W714" s="431"/>
      <c r="X714" s="3"/>
      <c r="Y714" s="429"/>
      <c r="Z714" s="430"/>
      <c r="AA714" s="430"/>
      <c r="AB714" s="430"/>
      <c r="AC714" s="424"/>
      <c r="AD714" s="424"/>
      <c r="AE714" s="424"/>
      <c r="AF714" s="424"/>
      <c r="AG714" s="424"/>
      <c r="AH714" s="424"/>
      <c r="AI714" s="424"/>
      <c r="AJ714" s="2"/>
      <c r="AK714" s="2"/>
      <c r="AL714" s="2"/>
      <c r="AM714" s="2"/>
      <c r="AN714" s="2"/>
      <c r="AO714" s="2"/>
      <c r="AP714" s="2"/>
      <c r="AQ714" s="427"/>
      <c r="AR714" s="754"/>
      <c r="AS714" s="427"/>
      <c r="AT714" s="754"/>
      <c r="AU714" s="427"/>
      <c r="AV714" s="427"/>
      <c r="AW714" s="427"/>
      <c r="AX714" s="427"/>
      <c r="AY714" s="754"/>
      <c r="AZ714" s="754"/>
      <c r="BA714" s="754"/>
      <c r="BB714" s="427"/>
      <c r="BC714" s="427"/>
      <c r="BD714" s="427"/>
      <c r="BE714" s="754"/>
      <c r="BF714" s="427"/>
      <c r="BG714" s="454"/>
      <c r="BH714" s="754"/>
      <c r="BI714" s="427"/>
      <c r="BJ714" s="427"/>
      <c r="BK714" s="427"/>
      <c r="BL714" s="427"/>
      <c r="BM714" s="454"/>
      <c r="BN714" s="427"/>
      <c r="BO714" s="427"/>
      <c r="BP714" s="427"/>
      <c r="BQ714" s="454"/>
      <c r="BR714" s="454"/>
      <c r="BS714" s="460"/>
      <c r="BT714" s="454"/>
      <c r="BU714" s="454"/>
      <c r="BV714" s="457"/>
      <c r="BW714" s="460"/>
      <c r="BX714" s="460"/>
      <c r="BY714" s="460"/>
      <c r="CA714" s="2"/>
      <c r="CB714" s="2"/>
      <c r="CC714" s="2"/>
      <c r="CD714" s="2"/>
      <c r="CE714" s="2"/>
      <c r="CF714" s="2"/>
      <c r="CG714" s="2"/>
      <c r="CH714" s="2"/>
      <c r="CI714" s="2"/>
      <c r="CJ714" s="2"/>
      <c r="CK714" s="2"/>
      <c r="CL714" s="2"/>
      <c r="CM714" s="2"/>
      <c r="CN714" s="2"/>
      <c r="CO714" s="427"/>
      <c r="CP714" s="427"/>
      <c r="CQ714" s="427"/>
      <c r="CR714" s="485"/>
      <c r="CS714" s="485"/>
      <c r="CT714" s="485"/>
      <c r="CU714" s="485"/>
      <c r="CV714" s="482"/>
      <c r="CW714" s="482"/>
      <c r="CX714" s="482"/>
      <c r="CY714" s="482"/>
      <c r="CZ714" s="485"/>
      <c r="DA714" s="485"/>
      <c r="DB714" s="485"/>
      <c r="DC714" s="485"/>
      <c r="DD714" s="485"/>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485"/>
      <c r="EX714" s="457"/>
      <c r="EY714" s="457"/>
      <c r="EZ714" s="457"/>
      <c r="FA714" s="457"/>
      <c r="FB714" s="457"/>
      <c r="FC714" s="457"/>
      <c r="FD714" s="457"/>
      <c r="FE714" s="457"/>
      <c r="FF714" s="457"/>
      <c r="FG714" s="457"/>
      <c r="FH714" s="457"/>
      <c r="FI714" s="457"/>
      <c r="FJ714" s="457"/>
      <c r="FK714" s="457"/>
    </row>
    <row r="715" spans="1:167" s="416" customFormat="1">
      <c r="A715" s="427"/>
      <c r="B715" s="427"/>
      <c r="C715" s="427"/>
      <c r="D715" s="427"/>
      <c r="E715" s="428"/>
      <c r="F715" s="429"/>
      <c r="G715" s="430"/>
      <c r="H715" s="427"/>
      <c r="I715" s="427"/>
      <c r="J715" s="427"/>
      <c r="K715" s="427"/>
      <c r="L715" s="427"/>
      <c r="M715" s="427"/>
      <c r="N715" s="427"/>
      <c r="O715" s="427"/>
      <c r="P715" s="427"/>
      <c r="Q715" s="427"/>
      <c r="R715" s="427"/>
      <c r="S715" s="427"/>
      <c r="T715" s="427"/>
      <c r="U715" s="427"/>
      <c r="V715" s="428"/>
      <c r="W715" s="431"/>
      <c r="X715" s="3"/>
      <c r="Y715" s="429"/>
      <c r="Z715" s="430"/>
      <c r="AA715" s="430"/>
      <c r="AB715" s="430"/>
      <c r="AC715" s="424"/>
      <c r="AD715" s="424"/>
      <c r="AE715" s="424"/>
      <c r="AF715" s="424"/>
      <c r="AG715" s="424"/>
      <c r="AH715" s="424"/>
      <c r="AI715" s="424"/>
      <c r="AJ715" s="2"/>
      <c r="AK715" s="2"/>
      <c r="AL715" s="2"/>
      <c r="AM715" s="2"/>
      <c r="AN715" s="2"/>
      <c r="AO715" s="2"/>
      <c r="AP715" s="2"/>
      <c r="AQ715" s="427"/>
      <c r="AR715" s="754"/>
      <c r="AS715" s="427"/>
      <c r="AT715" s="754"/>
      <c r="AU715" s="427"/>
      <c r="AV715" s="427"/>
      <c r="AW715" s="427"/>
      <c r="AX715" s="427"/>
      <c r="AY715" s="754"/>
      <c r="AZ715" s="754"/>
      <c r="BA715" s="754"/>
      <c r="BB715" s="427"/>
      <c r="BC715" s="427"/>
      <c r="BD715" s="427"/>
      <c r="BE715" s="754"/>
      <c r="BF715" s="427"/>
      <c r="BG715" s="454"/>
      <c r="BH715" s="754"/>
      <c r="BI715" s="427"/>
      <c r="BJ715" s="427"/>
      <c r="BK715" s="427"/>
      <c r="BL715" s="427"/>
      <c r="BM715" s="454"/>
      <c r="BN715" s="427"/>
      <c r="BO715" s="427"/>
      <c r="BP715" s="427"/>
      <c r="BQ715" s="454"/>
      <c r="BR715" s="454"/>
      <c r="BS715" s="460"/>
      <c r="BT715" s="454"/>
      <c r="BU715" s="454"/>
      <c r="BV715" s="457"/>
      <c r="BW715" s="460"/>
      <c r="BX715" s="460"/>
      <c r="BY715" s="460"/>
      <c r="CA715" s="2"/>
      <c r="CB715" s="2"/>
      <c r="CC715" s="2"/>
      <c r="CD715" s="2"/>
      <c r="CE715" s="2"/>
      <c r="CF715" s="2"/>
      <c r="CG715" s="2"/>
      <c r="CH715" s="2"/>
      <c r="CI715" s="2"/>
      <c r="CJ715" s="2"/>
      <c r="CK715" s="2"/>
      <c r="CL715" s="2"/>
      <c r="CM715" s="2"/>
      <c r="CN715" s="2"/>
      <c r="CO715" s="427"/>
      <c r="CP715" s="427"/>
      <c r="CQ715" s="427"/>
      <c r="CR715" s="485"/>
      <c r="CS715" s="485"/>
      <c r="CT715" s="485"/>
      <c r="CU715" s="485"/>
      <c r="CV715" s="482"/>
      <c r="CW715" s="482"/>
      <c r="CX715" s="482"/>
      <c r="CY715" s="482"/>
      <c r="CZ715" s="485"/>
      <c r="DA715" s="485"/>
      <c r="DB715" s="485"/>
      <c r="DC715" s="485"/>
      <c r="DD715" s="485"/>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485"/>
      <c r="EX715" s="457"/>
      <c r="EY715" s="457"/>
      <c r="EZ715" s="457"/>
      <c r="FA715" s="457"/>
      <c r="FB715" s="457"/>
      <c r="FC715" s="457"/>
      <c r="FD715" s="457"/>
      <c r="FE715" s="457"/>
      <c r="FF715" s="457"/>
      <c r="FG715" s="457"/>
      <c r="FH715" s="457"/>
      <c r="FI715" s="457"/>
      <c r="FJ715" s="457"/>
      <c r="FK715" s="457"/>
    </row>
    <row r="716" spans="1:167" s="416" customFormat="1">
      <c r="A716" s="427"/>
      <c r="B716" s="427"/>
      <c r="C716" s="427"/>
      <c r="D716" s="427"/>
      <c r="E716" s="428"/>
      <c r="F716" s="429"/>
      <c r="G716" s="430"/>
      <c r="H716" s="427"/>
      <c r="I716" s="427"/>
      <c r="J716" s="427"/>
      <c r="K716" s="427"/>
      <c r="L716" s="427"/>
      <c r="M716" s="427"/>
      <c r="N716" s="427"/>
      <c r="O716" s="427"/>
      <c r="P716" s="427"/>
      <c r="Q716" s="427"/>
      <c r="R716" s="427"/>
      <c r="S716" s="427"/>
      <c r="T716" s="427"/>
      <c r="U716" s="427"/>
      <c r="V716" s="428"/>
      <c r="W716" s="431"/>
      <c r="X716" s="3"/>
      <c r="Y716" s="429"/>
      <c r="Z716" s="430"/>
      <c r="AA716" s="430"/>
      <c r="AB716" s="430"/>
      <c r="AC716" s="424"/>
      <c r="AD716" s="424"/>
      <c r="AE716" s="424"/>
      <c r="AF716" s="424"/>
      <c r="AG716" s="424"/>
      <c r="AH716" s="424"/>
      <c r="AI716" s="424"/>
      <c r="AJ716" s="2"/>
      <c r="AK716" s="2"/>
      <c r="AL716" s="2"/>
      <c r="AM716" s="2"/>
      <c r="AN716" s="2"/>
      <c r="AO716" s="2"/>
      <c r="AP716" s="2"/>
      <c r="AQ716" s="427"/>
      <c r="AR716" s="754"/>
      <c r="AS716" s="427"/>
      <c r="AT716" s="754"/>
      <c r="AU716" s="427"/>
      <c r="AV716" s="427"/>
      <c r="AW716" s="427"/>
      <c r="AX716" s="427"/>
      <c r="AY716" s="754"/>
      <c r="AZ716" s="754"/>
      <c r="BA716" s="754"/>
      <c r="BB716" s="427"/>
      <c r="BC716" s="427"/>
      <c r="BD716" s="427"/>
      <c r="BE716" s="754"/>
      <c r="BF716" s="427"/>
      <c r="BG716" s="454"/>
      <c r="BH716" s="754"/>
      <c r="BI716" s="427"/>
      <c r="BJ716" s="427"/>
      <c r="BK716" s="427"/>
      <c r="BL716" s="427"/>
      <c r="BM716" s="454"/>
      <c r="BN716" s="427"/>
      <c r="BO716" s="427"/>
      <c r="BP716" s="427"/>
      <c r="BQ716" s="454"/>
      <c r="BR716" s="454"/>
      <c r="BS716" s="460"/>
      <c r="BT716" s="454"/>
      <c r="BU716" s="454"/>
      <c r="BV716" s="457"/>
      <c r="BW716" s="460"/>
      <c r="BX716" s="460"/>
      <c r="BY716" s="460"/>
      <c r="CA716" s="2"/>
      <c r="CB716" s="2"/>
      <c r="CC716" s="2"/>
      <c r="CD716" s="2"/>
      <c r="CE716" s="2"/>
      <c r="CF716" s="2"/>
      <c r="CG716" s="2"/>
      <c r="CH716" s="2"/>
      <c r="CI716" s="2"/>
      <c r="CJ716" s="2"/>
      <c r="CK716" s="2"/>
      <c r="CL716" s="2"/>
      <c r="CM716" s="2"/>
      <c r="CN716" s="2"/>
      <c r="CO716" s="427"/>
      <c r="CP716" s="427"/>
      <c r="CQ716" s="427"/>
      <c r="CR716" s="485"/>
      <c r="CS716" s="485"/>
      <c r="CT716" s="485"/>
      <c r="CU716" s="485"/>
      <c r="CV716" s="482"/>
      <c r="CW716" s="482"/>
      <c r="CX716" s="482"/>
      <c r="CY716" s="482"/>
      <c r="CZ716" s="485"/>
      <c r="DA716" s="485"/>
      <c r="DB716" s="485"/>
      <c r="DC716" s="485"/>
      <c r="DD716" s="485"/>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485"/>
      <c r="EX716" s="457"/>
      <c r="EY716" s="457"/>
      <c r="EZ716" s="457"/>
      <c r="FA716" s="457"/>
      <c r="FB716" s="457"/>
      <c r="FC716" s="457"/>
      <c r="FD716" s="457"/>
      <c r="FE716" s="457"/>
      <c r="FF716" s="457"/>
      <c r="FG716" s="457"/>
      <c r="FH716" s="457"/>
      <c r="FI716" s="457"/>
      <c r="FJ716" s="457"/>
      <c r="FK716" s="457"/>
    </row>
    <row r="717" spans="1:167" s="416" customFormat="1">
      <c r="A717" s="427"/>
      <c r="B717" s="427"/>
      <c r="C717" s="427"/>
      <c r="D717" s="427"/>
      <c r="E717" s="428"/>
      <c r="F717" s="429"/>
      <c r="G717" s="430"/>
      <c r="H717" s="427"/>
      <c r="I717" s="427"/>
      <c r="J717" s="427"/>
      <c r="K717" s="427"/>
      <c r="L717" s="427"/>
      <c r="M717" s="427"/>
      <c r="N717" s="427"/>
      <c r="O717" s="427"/>
      <c r="P717" s="427"/>
      <c r="Q717" s="427"/>
      <c r="R717" s="427"/>
      <c r="S717" s="427"/>
      <c r="T717" s="427"/>
      <c r="U717" s="427"/>
      <c r="V717" s="428"/>
      <c r="W717" s="431"/>
      <c r="X717" s="3"/>
      <c r="Y717" s="429"/>
      <c r="Z717" s="430"/>
      <c r="AA717" s="430"/>
      <c r="AB717" s="430"/>
      <c r="AC717" s="424"/>
      <c r="AD717" s="424"/>
      <c r="AE717" s="424"/>
      <c r="AF717" s="424"/>
      <c r="AG717" s="424"/>
      <c r="AH717" s="424"/>
      <c r="AI717" s="424"/>
      <c r="AJ717" s="2"/>
      <c r="AK717" s="2"/>
      <c r="AL717" s="2"/>
      <c r="AM717" s="2"/>
      <c r="AN717" s="2"/>
      <c r="AO717" s="2"/>
      <c r="AP717" s="2"/>
      <c r="AQ717" s="427"/>
      <c r="AR717" s="754"/>
      <c r="AS717" s="427"/>
      <c r="AT717" s="754"/>
      <c r="AU717" s="427"/>
      <c r="AV717" s="427"/>
      <c r="AW717" s="427"/>
      <c r="AX717" s="427"/>
      <c r="AY717" s="754"/>
      <c r="AZ717" s="754"/>
      <c r="BA717" s="754"/>
      <c r="BB717" s="427"/>
      <c r="BC717" s="427"/>
      <c r="BD717" s="427"/>
      <c r="BE717" s="754"/>
      <c r="BF717" s="427"/>
      <c r="BG717" s="454"/>
      <c r="BH717" s="754"/>
      <c r="BI717" s="427"/>
      <c r="BJ717" s="427"/>
      <c r="BK717" s="427"/>
      <c r="BL717" s="427"/>
      <c r="BM717" s="454"/>
      <c r="BN717" s="427"/>
      <c r="BO717" s="427"/>
      <c r="BP717" s="427"/>
      <c r="BQ717" s="454"/>
      <c r="BR717" s="454"/>
      <c r="BS717" s="460"/>
      <c r="BT717" s="454"/>
      <c r="BU717" s="454"/>
      <c r="BV717" s="457"/>
      <c r="BW717" s="460"/>
      <c r="BX717" s="460"/>
      <c r="BY717" s="460"/>
      <c r="CA717" s="2"/>
      <c r="CB717" s="2"/>
      <c r="CC717" s="2"/>
      <c r="CD717" s="2"/>
      <c r="CE717" s="2"/>
      <c r="CF717" s="2"/>
      <c r="CG717" s="2"/>
      <c r="CH717" s="2"/>
      <c r="CI717" s="2"/>
      <c r="CJ717" s="2"/>
      <c r="CK717" s="2"/>
      <c r="CL717" s="2"/>
      <c r="CM717" s="2"/>
      <c r="CN717" s="2"/>
      <c r="CO717" s="427"/>
      <c r="CP717" s="427"/>
      <c r="CQ717" s="427"/>
      <c r="CR717" s="485"/>
      <c r="CS717" s="485"/>
      <c r="CT717" s="485"/>
      <c r="CU717" s="485"/>
      <c r="CV717" s="482"/>
      <c r="CW717" s="482"/>
      <c r="CX717" s="482"/>
      <c r="CY717" s="482"/>
      <c r="CZ717" s="485"/>
      <c r="DA717" s="485"/>
      <c r="DB717" s="485"/>
      <c r="DC717" s="485"/>
      <c r="DD717" s="485"/>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485"/>
      <c r="EX717" s="457"/>
      <c r="EY717" s="457"/>
      <c r="EZ717" s="457"/>
      <c r="FA717" s="457"/>
      <c r="FB717" s="457"/>
      <c r="FC717" s="457"/>
      <c r="FD717" s="457"/>
      <c r="FE717" s="457"/>
      <c r="FF717" s="457"/>
      <c r="FG717" s="457"/>
      <c r="FH717" s="457"/>
      <c r="FI717" s="457"/>
      <c r="FJ717" s="457"/>
      <c r="FK717" s="457"/>
    </row>
    <row r="718" spans="1:167" s="416" customFormat="1">
      <c r="A718" s="427"/>
      <c r="B718" s="427"/>
      <c r="C718" s="427"/>
      <c r="D718" s="427"/>
      <c r="E718" s="428"/>
      <c r="F718" s="429"/>
      <c r="G718" s="430"/>
      <c r="H718" s="427"/>
      <c r="I718" s="427"/>
      <c r="J718" s="427"/>
      <c r="K718" s="427"/>
      <c r="L718" s="427"/>
      <c r="M718" s="427"/>
      <c r="N718" s="427"/>
      <c r="O718" s="427"/>
      <c r="P718" s="427"/>
      <c r="Q718" s="427"/>
      <c r="R718" s="427"/>
      <c r="S718" s="427"/>
      <c r="T718" s="427"/>
      <c r="U718" s="427"/>
      <c r="V718" s="428"/>
      <c r="W718" s="431"/>
      <c r="X718" s="3"/>
      <c r="Y718" s="429"/>
      <c r="Z718" s="430"/>
      <c r="AA718" s="430"/>
      <c r="AB718" s="430"/>
      <c r="AC718" s="424"/>
      <c r="AD718" s="424"/>
      <c r="AE718" s="424"/>
      <c r="AF718" s="424"/>
      <c r="AG718" s="424"/>
      <c r="AH718" s="424"/>
      <c r="AI718" s="424"/>
      <c r="AJ718" s="2"/>
      <c r="AK718" s="2"/>
      <c r="AL718" s="2"/>
      <c r="AM718" s="2"/>
      <c r="AN718" s="2"/>
      <c r="AO718" s="2"/>
      <c r="AP718" s="2"/>
      <c r="AQ718" s="427"/>
      <c r="AR718" s="754"/>
      <c r="AS718" s="427"/>
      <c r="AT718" s="754"/>
      <c r="AU718" s="427"/>
      <c r="AV718" s="427"/>
      <c r="AW718" s="427"/>
      <c r="AX718" s="427"/>
      <c r="AY718" s="754"/>
      <c r="AZ718" s="754"/>
      <c r="BA718" s="754"/>
      <c r="BB718" s="427"/>
      <c r="BC718" s="427"/>
      <c r="BD718" s="427"/>
      <c r="BE718" s="754"/>
      <c r="BF718" s="427"/>
      <c r="BG718" s="454"/>
      <c r="BH718" s="754"/>
      <c r="BI718" s="427"/>
      <c r="BJ718" s="427"/>
      <c r="BK718" s="427"/>
      <c r="BL718" s="427"/>
      <c r="BM718" s="454"/>
      <c r="BN718" s="427"/>
      <c r="BO718" s="427"/>
      <c r="BP718" s="427"/>
      <c r="BQ718" s="454"/>
      <c r="BR718" s="454"/>
      <c r="BS718" s="460"/>
      <c r="BT718" s="454"/>
      <c r="BU718" s="454"/>
      <c r="BV718" s="457"/>
      <c r="BW718" s="460"/>
      <c r="BX718" s="460"/>
      <c r="BY718" s="460"/>
      <c r="CA718" s="2"/>
      <c r="CB718" s="2"/>
      <c r="CC718" s="2"/>
      <c r="CD718" s="2"/>
      <c r="CE718" s="2"/>
      <c r="CF718" s="2"/>
      <c r="CG718" s="2"/>
      <c r="CH718" s="2"/>
      <c r="CI718" s="2"/>
      <c r="CJ718" s="2"/>
      <c r="CK718" s="2"/>
      <c r="CL718" s="2"/>
      <c r="CM718" s="2"/>
      <c r="CN718" s="2"/>
      <c r="CO718" s="427"/>
      <c r="CP718" s="427"/>
      <c r="CQ718" s="427"/>
      <c r="CR718" s="485"/>
      <c r="CS718" s="485"/>
      <c r="CT718" s="485"/>
      <c r="CU718" s="485"/>
      <c r="CV718" s="482"/>
      <c r="CW718" s="482"/>
      <c r="CX718" s="482"/>
      <c r="CY718" s="482"/>
      <c r="CZ718" s="485"/>
      <c r="DA718" s="485"/>
      <c r="DB718" s="485"/>
      <c r="DC718" s="485"/>
      <c r="DD718" s="485"/>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485"/>
      <c r="EX718" s="457"/>
      <c r="EY718" s="457"/>
      <c r="EZ718" s="457"/>
      <c r="FA718" s="457"/>
      <c r="FB718" s="457"/>
      <c r="FC718" s="457"/>
      <c r="FD718" s="457"/>
      <c r="FE718" s="457"/>
      <c r="FF718" s="457"/>
      <c r="FG718" s="457"/>
      <c r="FH718" s="457"/>
      <c r="FI718" s="457"/>
      <c r="FJ718" s="457"/>
      <c r="FK718" s="457"/>
    </row>
    <row r="719" spans="1:167" s="416" customFormat="1">
      <c r="A719" s="427"/>
      <c r="B719" s="427"/>
      <c r="C719" s="427"/>
      <c r="D719" s="427"/>
      <c r="E719" s="428"/>
      <c r="F719" s="429"/>
      <c r="G719" s="430"/>
      <c r="H719" s="427"/>
      <c r="I719" s="427"/>
      <c r="J719" s="427"/>
      <c r="K719" s="427"/>
      <c r="L719" s="427"/>
      <c r="M719" s="427"/>
      <c r="N719" s="427"/>
      <c r="O719" s="427"/>
      <c r="P719" s="427"/>
      <c r="Q719" s="427"/>
      <c r="R719" s="427"/>
      <c r="S719" s="427"/>
      <c r="T719" s="427"/>
      <c r="U719" s="427"/>
      <c r="V719" s="428"/>
      <c r="W719" s="431"/>
      <c r="X719" s="3"/>
      <c r="Y719" s="429"/>
      <c r="Z719" s="430"/>
      <c r="AA719" s="430"/>
      <c r="AB719" s="430"/>
      <c r="AC719" s="424"/>
      <c r="AD719" s="424"/>
      <c r="AE719" s="424"/>
      <c r="AF719" s="424"/>
      <c r="AG719" s="424"/>
      <c r="AH719" s="424"/>
      <c r="AI719" s="424"/>
      <c r="AJ719" s="2"/>
      <c r="AK719" s="2"/>
      <c r="AL719" s="2"/>
      <c r="AM719" s="2"/>
      <c r="AN719" s="2"/>
      <c r="AO719" s="2"/>
      <c r="AP719" s="2"/>
      <c r="AQ719" s="427"/>
      <c r="AR719" s="754"/>
      <c r="AS719" s="427"/>
      <c r="AT719" s="754"/>
      <c r="AU719" s="427"/>
      <c r="AV719" s="427"/>
      <c r="AW719" s="427"/>
      <c r="AX719" s="427"/>
      <c r="AY719" s="754"/>
      <c r="AZ719" s="754"/>
      <c r="BA719" s="754"/>
      <c r="BB719" s="427"/>
      <c r="BC719" s="427"/>
      <c r="BD719" s="427"/>
      <c r="BE719" s="754"/>
      <c r="BF719" s="427"/>
      <c r="BG719" s="454"/>
      <c r="BH719" s="754"/>
      <c r="BI719" s="427"/>
      <c r="BJ719" s="427"/>
      <c r="BK719" s="427"/>
      <c r="BL719" s="427"/>
      <c r="BM719" s="454"/>
      <c r="BN719" s="427"/>
      <c r="BO719" s="427"/>
      <c r="BP719" s="427"/>
      <c r="BQ719" s="454"/>
      <c r="BR719" s="454"/>
      <c r="BS719" s="460"/>
      <c r="BT719" s="454"/>
      <c r="BU719" s="454"/>
      <c r="BV719" s="457"/>
      <c r="BW719" s="460"/>
      <c r="BX719" s="460"/>
      <c r="BY719" s="460"/>
      <c r="CA719" s="2"/>
      <c r="CB719" s="2"/>
      <c r="CC719" s="2"/>
      <c r="CD719" s="2"/>
      <c r="CE719" s="2"/>
      <c r="CF719" s="2"/>
      <c r="CG719" s="2"/>
      <c r="CH719" s="2"/>
      <c r="CI719" s="2"/>
      <c r="CJ719" s="2"/>
      <c r="CK719" s="2"/>
      <c r="CL719" s="2"/>
      <c r="CM719" s="2"/>
      <c r="CN719" s="2"/>
      <c r="CO719" s="427"/>
      <c r="CP719" s="427"/>
      <c r="CQ719" s="427"/>
      <c r="CR719" s="485"/>
      <c r="CS719" s="485"/>
      <c r="CT719" s="485"/>
      <c r="CU719" s="485"/>
      <c r="CV719" s="482"/>
      <c r="CW719" s="482"/>
      <c r="CX719" s="482"/>
      <c r="CY719" s="482"/>
      <c r="CZ719" s="485"/>
      <c r="DA719" s="485"/>
      <c r="DB719" s="485"/>
      <c r="DC719" s="485"/>
      <c r="DD719" s="485"/>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485"/>
      <c r="EX719" s="457"/>
      <c r="EY719" s="457"/>
      <c r="EZ719" s="457"/>
      <c r="FA719" s="457"/>
      <c r="FB719" s="457"/>
      <c r="FC719" s="457"/>
      <c r="FD719" s="457"/>
      <c r="FE719" s="457"/>
      <c r="FF719" s="457"/>
      <c r="FG719" s="457"/>
      <c r="FH719" s="457"/>
      <c r="FI719" s="457"/>
      <c r="FJ719" s="457"/>
      <c r="FK719" s="457"/>
    </row>
    <row r="720" spans="1:167" s="416" customFormat="1">
      <c r="A720" s="427"/>
      <c r="B720" s="427"/>
      <c r="C720" s="427"/>
      <c r="D720" s="427"/>
      <c r="E720" s="428"/>
      <c r="F720" s="429"/>
      <c r="G720" s="430"/>
      <c r="H720" s="427"/>
      <c r="I720" s="427"/>
      <c r="J720" s="427"/>
      <c r="K720" s="427"/>
      <c r="L720" s="427"/>
      <c r="M720" s="427"/>
      <c r="N720" s="427"/>
      <c r="O720" s="427"/>
      <c r="P720" s="427"/>
      <c r="Q720" s="427"/>
      <c r="R720" s="427"/>
      <c r="S720" s="427"/>
      <c r="T720" s="427"/>
      <c r="U720" s="427"/>
      <c r="V720" s="428"/>
      <c r="W720" s="431"/>
      <c r="X720" s="3"/>
      <c r="Y720" s="429"/>
      <c r="Z720" s="430"/>
      <c r="AA720" s="430"/>
      <c r="AB720" s="430"/>
      <c r="AC720" s="424"/>
      <c r="AD720" s="424"/>
      <c r="AE720" s="424"/>
      <c r="AF720" s="424"/>
      <c r="AG720" s="424"/>
      <c r="AH720" s="424"/>
      <c r="AI720" s="424"/>
      <c r="AJ720" s="2"/>
      <c r="AK720" s="2"/>
      <c r="AL720" s="2"/>
      <c r="AM720" s="2"/>
      <c r="AN720" s="2"/>
      <c r="AO720" s="2"/>
      <c r="AP720" s="2"/>
      <c r="AQ720" s="427"/>
      <c r="AR720" s="754"/>
      <c r="AS720" s="427"/>
      <c r="AT720" s="754"/>
      <c r="AU720" s="427"/>
      <c r="AV720" s="427"/>
      <c r="AW720" s="427"/>
      <c r="AX720" s="427"/>
      <c r="AY720" s="754"/>
      <c r="AZ720" s="754"/>
      <c r="BA720" s="754"/>
      <c r="BB720" s="427"/>
      <c r="BC720" s="427"/>
      <c r="BD720" s="427"/>
      <c r="BE720" s="754"/>
      <c r="BF720" s="427"/>
      <c r="BG720" s="454"/>
      <c r="BH720" s="754"/>
      <c r="BI720" s="427"/>
      <c r="BJ720" s="427"/>
      <c r="BK720" s="427"/>
      <c r="BL720" s="427"/>
      <c r="BM720" s="454"/>
      <c r="BN720" s="427"/>
      <c r="BO720" s="427"/>
      <c r="BP720" s="427"/>
      <c r="BQ720" s="454"/>
      <c r="BR720" s="454"/>
      <c r="BS720" s="460"/>
      <c r="BT720" s="454"/>
      <c r="BU720" s="454"/>
      <c r="BV720" s="457"/>
      <c r="BW720" s="460"/>
      <c r="BX720" s="460"/>
      <c r="BY720" s="460"/>
      <c r="CA720" s="2"/>
      <c r="CB720" s="2"/>
      <c r="CC720" s="2"/>
      <c r="CD720" s="2"/>
      <c r="CE720" s="2"/>
      <c r="CF720" s="2"/>
      <c r="CG720" s="2"/>
      <c r="CH720" s="2"/>
      <c r="CI720" s="2"/>
      <c r="CJ720" s="2"/>
      <c r="CK720" s="2"/>
      <c r="CL720" s="2"/>
      <c r="CM720" s="2"/>
      <c r="CN720" s="2"/>
      <c r="CO720" s="427"/>
      <c r="CP720" s="427"/>
      <c r="CQ720" s="427"/>
      <c r="CR720" s="485"/>
      <c r="CS720" s="485"/>
      <c r="CT720" s="485"/>
      <c r="CU720" s="485"/>
      <c r="CV720" s="482"/>
      <c r="CW720" s="482"/>
      <c r="CX720" s="482"/>
      <c r="CY720" s="482"/>
      <c r="CZ720" s="485"/>
      <c r="DA720" s="485"/>
      <c r="DB720" s="485"/>
      <c r="DC720" s="485"/>
      <c r="DD720" s="485"/>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485"/>
      <c r="EX720" s="457"/>
      <c r="EY720" s="457"/>
      <c r="EZ720" s="457"/>
      <c r="FA720" s="457"/>
      <c r="FB720" s="457"/>
      <c r="FC720" s="457"/>
      <c r="FD720" s="457"/>
      <c r="FE720" s="457"/>
      <c r="FF720" s="457"/>
      <c r="FG720" s="457"/>
      <c r="FH720" s="457"/>
      <c r="FI720" s="457"/>
      <c r="FJ720" s="457"/>
      <c r="FK720" s="457"/>
    </row>
    <row r="721" spans="1:167" s="416" customFormat="1">
      <c r="A721" s="427"/>
      <c r="B721" s="427"/>
      <c r="C721" s="427"/>
      <c r="D721" s="427"/>
      <c r="E721" s="428"/>
      <c r="F721" s="429"/>
      <c r="G721" s="430"/>
      <c r="H721" s="427"/>
      <c r="I721" s="427"/>
      <c r="J721" s="427"/>
      <c r="K721" s="427"/>
      <c r="L721" s="427"/>
      <c r="M721" s="427"/>
      <c r="N721" s="427"/>
      <c r="O721" s="427"/>
      <c r="P721" s="427"/>
      <c r="Q721" s="427"/>
      <c r="R721" s="427"/>
      <c r="S721" s="427"/>
      <c r="T721" s="427"/>
      <c r="U721" s="427"/>
      <c r="V721" s="428"/>
      <c r="W721" s="431"/>
      <c r="X721" s="3"/>
      <c r="Y721" s="429"/>
      <c r="Z721" s="430"/>
      <c r="AA721" s="430"/>
      <c r="AB721" s="430"/>
      <c r="AC721" s="424"/>
      <c r="AD721" s="424"/>
      <c r="AE721" s="424"/>
      <c r="AF721" s="424"/>
      <c r="AG721" s="424"/>
      <c r="AH721" s="424"/>
      <c r="AI721" s="424"/>
      <c r="AJ721" s="2"/>
      <c r="AK721" s="2"/>
      <c r="AL721" s="2"/>
      <c r="AM721" s="2"/>
      <c r="AN721" s="2"/>
      <c r="AO721" s="2"/>
      <c r="AP721" s="2"/>
      <c r="AQ721" s="427"/>
      <c r="AR721" s="754"/>
      <c r="AS721" s="427"/>
      <c r="AT721" s="754"/>
      <c r="AU721" s="427"/>
      <c r="AV721" s="427"/>
      <c r="AW721" s="427"/>
      <c r="AX721" s="427"/>
      <c r="AY721" s="754"/>
      <c r="AZ721" s="754"/>
      <c r="BA721" s="754"/>
      <c r="BB721" s="427"/>
      <c r="BC721" s="427"/>
      <c r="BD721" s="427"/>
      <c r="BE721" s="754"/>
      <c r="BF721" s="427"/>
      <c r="BG721" s="454"/>
      <c r="BH721" s="754"/>
      <c r="BI721" s="427"/>
      <c r="BJ721" s="427"/>
      <c r="BK721" s="427"/>
      <c r="BL721" s="427"/>
      <c r="BM721" s="454"/>
      <c r="BN721" s="427"/>
      <c r="BO721" s="427"/>
      <c r="BP721" s="427"/>
      <c r="BQ721" s="454"/>
      <c r="BR721" s="454"/>
      <c r="BS721" s="460"/>
      <c r="BT721" s="454"/>
      <c r="BU721" s="454"/>
      <c r="BV721" s="457"/>
      <c r="BW721" s="460"/>
      <c r="BX721" s="460"/>
      <c r="BY721" s="460"/>
      <c r="CA721" s="2"/>
      <c r="CB721" s="2"/>
      <c r="CC721" s="2"/>
      <c r="CD721" s="2"/>
      <c r="CE721" s="2"/>
      <c r="CF721" s="2"/>
      <c r="CG721" s="2"/>
      <c r="CH721" s="2"/>
      <c r="CI721" s="2"/>
      <c r="CJ721" s="2"/>
      <c r="CK721" s="2"/>
      <c r="CL721" s="2"/>
      <c r="CM721" s="2"/>
      <c r="CN721" s="2"/>
      <c r="CO721" s="427"/>
      <c r="CP721" s="427"/>
      <c r="CQ721" s="427"/>
      <c r="CR721" s="485"/>
      <c r="CS721" s="485"/>
      <c r="CT721" s="485"/>
      <c r="CU721" s="485"/>
      <c r="CV721" s="482"/>
      <c r="CW721" s="482"/>
      <c r="CX721" s="482"/>
      <c r="CY721" s="482"/>
      <c r="CZ721" s="485"/>
      <c r="DA721" s="485"/>
      <c r="DB721" s="485"/>
      <c r="DC721" s="485"/>
      <c r="DD721" s="485"/>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485"/>
      <c r="EX721" s="457"/>
      <c r="EY721" s="457"/>
      <c r="EZ721" s="457"/>
      <c r="FA721" s="457"/>
      <c r="FB721" s="457"/>
      <c r="FC721" s="457"/>
      <c r="FD721" s="457"/>
      <c r="FE721" s="457"/>
      <c r="FF721" s="457"/>
      <c r="FG721" s="457"/>
      <c r="FH721" s="457"/>
      <c r="FI721" s="457"/>
      <c r="FJ721" s="457"/>
      <c r="FK721" s="457"/>
    </row>
    <row r="722" spans="1:167" s="416" customFormat="1">
      <c r="A722" s="427"/>
      <c r="B722" s="427"/>
      <c r="C722" s="427"/>
      <c r="D722" s="427"/>
      <c r="E722" s="428"/>
      <c r="F722" s="429"/>
      <c r="G722" s="430"/>
      <c r="H722" s="427"/>
      <c r="I722" s="427"/>
      <c r="J722" s="427"/>
      <c r="K722" s="427"/>
      <c r="L722" s="427"/>
      <c r="M722" s="427"/>
      <c r="N722" s="427"/>
      <c r="O722" s="427"/>
      <c r="P722" s="427"/>
      <c r="Q722" s="427"/>
      <c r="R722" s="427"/>
      <c r="S722" s="427"/>
      <c r="T722" s="427"/>
      <c r="U722" s="427"/>
      <c r="V722" s="428"/>
      <c r="W722" s="431"/>
      <c r="X722" s="3"/>
      <c r="Y722" s="429"/>
      <c r="Z722" s="430"/>
      <c r="AA722" s="430"/>
      <c r="AB722" s="430"/>
      <c r="AC722" s="424"/>
      <c r="AD722" s="424"/>
      <c r="AE722" s="424"/>
      <c r="AF722" s="424"/>
      <c r="AG722" s="424"/>
      <c r="AH722" s="424"/>
      <c r="AI722" s="424"/>
      <c r="AJ722" s="2"/>
      <c r="AK722" s="2"/>
      <c r="AL722" s="2"/>
      <c r="AM722" s="2"/>
      <c r="AN722" s="2"/>
      <c r="AO722" s="2"/>
      <c r="AP722" s="2"/>
      <c r="AQ722" s="427"/>
      <c r="AR722" s="754"/>
      <c r="AS722" s="427"/>
      <c r="AT722" s="754"/>
      <c r="AU722" s="427"/>
      <c r="AV722" s="427"/>
      <c r="AW722" s="427"/>
      <c r="AX722" s="427"/>
      <c r="AY722" s="754"/>
      <c r="AZ722" s="754"/>
      <c r="BA722" s="754"/>
      <c r="BB722" s="427"/>
      <c r="BC722" s="427"/>
      <c r="BD722" s="427"/>
      <c r="BE722" s="754"/>
      <c r="BF722" s="427"/>
      <c r="BG722" s="454"/>
      <c r="BH722" s="754"/>
      <c r="BI722" s="427"/>
      <c r="BJ722" s="427"/>
      <c r="BK722" s="427"/>
      <c r="BL722" s="427"/>
      <c r="BM722" s="454"/>
      <c r="BN722" s="427"/>
      <c r="BO722" s="427"/>
      <c r="BP722" s="427"/>
      <c r="BQ722" s="454"/>
      <c r="BR722" s="454"/>
      <c r="BS722" s="460"/>
      <c r="BT722" s="454"/>
      <c r="BU722" s="454"/>
      <c r="BV722" s="457"/>
      <c r="BW722" s="460"/>
      <c r="BX722" s="460"/>
      <c r="BY722" s="460"/>
      <c r="CA722" s="2"/>
      <c r="CB722" s="2"/>
      <c r="CC722" s="2"/>
      <c r="CD722" s="2"/>
      <c r="CE722" s="2"/>
      <c r="CF722" s="2"/>
      <c r="CG722" s="2"/>
      <c r="CH722" s="2"/>
      <c r="CI722" s="2"/>
      <c r="CJ722" s="2"/>
      <c r="CK722" s="2"/>
      <c r="CL722" s="2"/>
      <c r="CM722" s="2"/>
      <c r="CN722" s="2"/>
      <c r="CO722" s="427"/>
      <c r="CP722" s="427"/>
      <c r="CQ722" s="427"/>
      <c r="CR722" s="485"/>
      <c r="CS722" s="485"/>
      <c r="CT722" s="485"/>
      <c r="CU722" s="485"/>
      <c r="CV722" s="482"/>
      <c r="CW722" s="482"/>
      <c r="CX722" s="482"/>
      <c r="CY722" s="482"/>
      <c r="CZ722" s="485"/>
      <c r="DA722" s="485"/>
      <c r="DB722" s="485"/>
      <c r="DC722" s="485"/>
      <c r="DD722" s="485"/>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485"/>
      <c r="EX722" s="457"/>
      <c r="EY722" s="457"/>
      <c r="EZ722" s="457"/>
      <c r="FA722" s="457"/>
      <c r="FB722" s="457"/>
      <c r="FC722" s="457"/>
      <c r="FD722" s="457"/>
      <c r="FE722" s="457"/>
      <c r="FF722" s="457"/>
      <c r="FG722" s="457"/>
      <c r="FH722" s="457"/>
      <c r="FI722" s="457"/>
      <c r="FJ722" s="457"/>
      <c r="FK722" s="457"/>
    </row>
    <row r="723" spans="1:167" s="416" customFormat="1">
      <c r="A723" s="427"/>
      <c r="B723" s="427"/>
      <c r="C723" s="427"/>
      <c r="D723" s="427"/>
      <c r="E723" s="428"/>
      <c r="F723" s="429"/>
      <c r="G723" s="430"/>
      <c r="H723" s="427"/>
      <c r="I723" s="427"/>
      <c r="J723" s="427"/>
      <c r="K723" s="427"/>
      <c r="L723" s="427"/>
      <c r="M723" s="427"/>
      <c r="N723" s="427"/>
      <c r="O723" s="427"/>
      <c r="P723" s="427"/>
      <c r="Q723" s="427"/>
      <c r="R723" s="427"/>
      <c r="S723" s="427"/>
      <c r="T723" s="427"/>
      <c r="U723" s="427"/>
      <c r="V723" s="428"/>
      <c r="W723" s="431"/>
      <c r="X723" s="3"/>
      <c r="Y723" s="429"/>
      <c r="Z723" s="430"/>
      <c r="AA723" s="430"/>
      <c r="AB723" s="430"/>
      <c r="AC723" s="424"/>
      <c r="AD723" s="424"/>
      <c r="AE723" s="424"/>
      <c r="AF723" s="424"/>
      <c r="AG723" s="424"/>
      <c r="AH723" s="424"/>
      <c r="AI723" s="424"/>
      <c r="AJ723" s="2"/>
      <c r="AK723" s="2"/>
      <c r="AL723" s="2"/>
      <c r="AM723" s="2"/>
      <c r="AN723" s="2"/>
      <c r="AO723" s="2"/>
      <c r="AP723" s="2"/>
      <c r="AQ723" s="427"/>
      <c r="AR723" s="754"/>
      <c r="AS723" s="427"/>
      <c r="AT723" s="754"/>
      <c r="AU723" s="427"/>
      <c r="AV723" s="427"/>
      <c r="AW723" s="427"/>
      <c r="AX723" s="427"/>
      <c r="AY723" s="754"/>
      <c r="AZ723" s="754"/>
      <c r="BA723" s="754"/>
      <c r="BB723" s="427"/>
      <c r="BC723" s="427"/>
      <c r="BD723" s="427"/>
      <c r="BE723" s="754"/>
      <c r="BF723" s="427"/>
      <c r="BG723" s="454"/>
      <c r="BH723" s="754"/>
      <c r="BI723" s="427"/>
      <c r="BJ723" s="427"/>
      <c r="BK723" s="427"/>
      <c r="BL723" s="427"/>
      <c r="BM723" s="454"/>
      <c r="BN723" s="427"/>
      <c r="BO723" s="427"/>
      <c r="BP723" s="427"/>
      <c r="BQ723" s="454"/>
      <c r="BR723" s="454"/>
      <c r="BS723" s="460"/>
      <c r="BT723" s="454"/>
      <c r="BU723" s="454"/>
      <c r="BV723" s="457"/>
      <c r="BW723" s="460"/>
      <c r="BX723" s="460"/>
      <c r="BY723" s="460"/>
      <c r="CA723" s="2"/>
      <c r="CB723" s="2"/>
      <c r="CC723" s="2"/>
      <c r="CD723" s="2"/>
      <c r="CE723" s="2"/>
      <c r="CF723" s="2"/>
      <c r="CG723" s="2"/>
      <c r="CH723" s="2"/>
      <c r="CI723" s="2"/>
      <c r="CJ723" s="2"/>
      <c r="CK723" s="2"/>
      <c r="CL723" s="2"/>
      <c r="CM723" s="2"/>
      <c r="CN723" s="2"/>
      <c r="CO723" s="427"/>
      <c r="CP723" s="427"/>
      <c r="CQ723" s="427"/>
      <c r="CR723" s="485"/>
      <c r="CS723" s="485"/>
      <c r="CT723" s="485"/>
      <c r="CU723" s="485"/>
      <c r="CV723" s="482"/>
      <c r="CW723" s="482"/>
      <c r="CX723" s="482"/>
      <c r="CY723" s="482"/>
      <c r="CZ723" s="485"/>
      <c r="DA723" s="485"/>
      <c r="DB723" s="485"/>
      <c r="DC723" s="485"/>
      <c r="DD723" s="485"/>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485"/>
      <c r="EX723" s="457"/>
      <c r="EY723" s="457"/>
      <c r="EZ723" s="457"/>
      <c r="FA723" s="457"/>
      <c r="FB723" s="457"/>
      <c r="FC723" s="457"/>
      <c r="FD723" s="457"/>
      <c r="FE723" s="457"/>
      <c r="FF723" s="457"/>
      <c r="FG723" s="457"/>
      <c r="FH723" s="457"/>
      <c r="FI723" s="457"/>
      <c r="FJ723" s="457"/>
      <c r="FK723" s="457"/>
    </row>
    <row r="724" spans="1:167" s="416" customFormat="1">
      <c r="A724" s="427"/>
      <c r="B724" s="427"/>
      <c r="C724" s="427"/>
      <c r="D724" s="427"/>
      <c r="E724" s="428"/>
      <c r="F724" s="429"/>
      <c r="G724" s="430"/>
      <c r="H724" s="427"/>
      <c r="I724" s="427"/>
      <c r="J724" s="427"/>
      <c r="K724" s="427"/>
      <c r="L724" s="427"/>
      <c r="M724" s="427"/>
      <c r="N724" s="427"/>
      <c r="O724" s="427"/>
      <c r="P724" s="427"/>
      <c r="Q724" s="427"/>
      <c r="R724" s="427"/>
      <c r="S724" s="427"/>
      <c r="T724" s="427"/>
      <c r="U724" s="427"/>
      <c r="V724" s="428"/>
      <c r="W724" s="431"/>
      <c r="X724" s="3"/>
      <c r="Y724" s="429"/>
      <c r="Z724" s="430"/>
      <c r="AA724" s="430"/>
      <c r="AB724" s="430"/>
      <c r="AC724" s="424"/>
      <c r="AD724" s="424"/>
      <c r="AE724" s="424"/>
      <c r="AF724" s="424"/>
      <c r="AG724" s="424"/>
      <c r="AH724" s="424"/>
      <c r="AI724" s="424"/>
      <c r="AJ724" s="2"/>
      <c r="AK724" s="2"/>
      <c r="AL724" s="2"/>
      <c r="AM724" s="2"/>
      <c r="AN724" s="2"/>
      <c r="AO724" s="2"/>
      <c r="AP724" s="2"/>
      <c r="AQ724" s="427"/>
      <c r="AR724" s="754"/>
      <c r="AS724" s="427"/>
      <c r="AT724" s="754"/>
      <c r="AU724" s="427"/>
      <c r="AV724" s="427"/>
      <c r="AW724" s="427"/>
      <c r="AX724" s="427"/>
      <c r="AY724" s="754"/>
      <c r="AZ724" s="754"/>
      <c r="BA724" s="754"/>
      <c r="BB724" s="427"/>
      <c r="BC724" s="427"/>
      <c r="BD724" s="427"/>
      <c r="BE724" s="754"/>
      <c r="BF724" s="427"/>
      <c r="BG724" s="454"/>
      <c r="BH724" s="754"/>
      <c r="BI724" s="427"/>
      <c r="BJ724" s="427"/>
      <c r="BK724" s="427"/>
      <c r="BL724" s="427"/>
      <c r="BM724" s="454"/>
      <c r="BN724" s="427"/>
      <c r="BO724" s="427"/>
      <c r="BP724" s="427"/>
      <c r="BQ724" s="454"/>
      <c r="BR724" s="454"/>
      <c r="BS724" s="460"/>
      <c r="BT724" s="454"/>
      <c r="BU724" s="454"/>
      <c r="BV724" s="457"/>
      <c r="BW724" s="460"/>
      <c r="BX724" s="460"/>
      <c r="BY724" s="460"/>
      <c r="CA724" s="2"/>
      <c r="CB724" s="2"/>
      <c r="CC724" s="2"/>
      <c r="CD724" s="2"/>
      <c r="CE724" s="2"/>
      <c r="CF724" s="2"/>
      <c r="CG724" s="2"/>
      <c r="CH724" s="2"/>
      <c r="CI724" s="2"/>
      <c r="CJ724" s="2"/>
      <c r="CK724" s="2"/>
      <c r="CL724" s="2"/>
      <c r="CM724" s="2"/>
      <c r="CN724" s="2"/>
      <c r="CO724" s="427"/>
      <c r="CP724" s="427"/>
      <c r="CQ724" s="427"/>
      <c r="CR724" s="485"/>
      <c r="CS724" s="485"/>
      <c r="CT724" s="485"/>
      <c r="CU724" s="485"/>
      <c r="CV724" s="482"/>
      <c r="CW724" s="482"/>
      <c r="CX724" s="482"/>
      <c r="CY724" s="482"/>
      <c r="CZ724" s="485"/>
      <c r="DA724" s="485"/>
      <c r="DB724" s="485"/>
      <c r="DC724" s="485"/>
      <c r="DD724" s="485"/>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485"/>
      <c r="EX724" s="457"/>
      <c r="EY724" s="457"/>
      <c r="EZ724" s="457"/>
      <c r="FA724" s="457"/>
      <c r="FB724" s="457"/>
      <c r="FC724" s="457"/>
      <c r="FD724" s="457"/>
      <c r="FE724" s="457"/>
      <c r="FF724" s="457"/>
      <c r="FG724" s="457"/>
      <c r="FH724" s="457"/>
      <c r="FI724" s="457"/>
      <c r="FJ724" s="457"/>
      <c r="FK724" s="457"/>
    </row>
    <row r="725" spans="1:167" s="416" customFormat="1">
      <c r="A725" s="427"/>
      <c r="B725" s="427"/>
      <c r="C725" s="427"/>
      <c r="D725" s="427"/>
      <c r="E725" s="428"/>
      <c r="F725" s="429"/>
      <c r="G725" s="430"/>
      <c r="H725" s="427"/>
      <c r="I725" s="427"/>
      <c r="J725" s="427"/>
      <c r="K725" s="427"/>
      <c r="L725" s="427"/>
      <c r="M725" s="427"/>
      <c r="N725" s="427"/>
      <c r="O725" s="427"/>
      <c r="P725" s="427"/>
      <c r="Q725" s="427"/>
      <c r="R725" s="427"/>
      <c r="S725" s="427"/>
      <c r="T725" s="427"/>
      <c r="U725" s="427"/>
      <c r="V725" s="428"/>
      <c r="W725" s="431"/>
      <c r="X725" s="3"/>
      <c r="Y725" s="429"/>
      <c r="Z725" s="430"/>
      <c r="AA725" s="430"/>
      <c r="AB725" s="430"/>
      <c r="AC725" s="424"/>
      <c r="AD725" s="424"/>
      <c r="AE725" s="424"/>
      <c r="AF725" s="424"/>
      <c r="AG725" s="424"/>
      <c r="AH725" s="424"/>
      <c r="AI725" s="424"/>
      <c r="AJ725" s="2"/>
      <c r="AK725" s="2"/>
      <c r="AL725" s="2"/>
      <c r="AM725" s="2"/>
      <c r="AN725" s="2"/>
      <c r="AO725" s="2"/>
      <c r="AP725" s="2"/>
      <c r="AQ725" s="427"/>
      <c r="AR725" s="754"/>
      <c r="AS725" s="427"/>
      <c r="AT725" s="754"/>
      <c r="AU725" s="427"/>
      <c r="AV725" s="427"/>
      <c r="AW725" s="427"/>
      <c r="AX725" s="427"/>
      <c r="AY725" s="754"/>
      <c r="AZ725" s="754"/>
      <c r="BA725" s="754"/>
      <c r="BB725" s="427"/>
      <c r="BC725" s="427"/>
      <c r="BD725" s="427"/>
      <c r="BE725" s="754"/>
      <c r="BF725" s="427"/>
      <c r="BG725" s="454"/>
      <c r="BH725" s="754"/>
      <c r="BI725" s="427"/>
      <c r="BJ725" s="427"/>
      <c r="BK725" s="427"/>
      <c r="BL725" s="427"/>
      <c r="BM725" s="454"/>
      <c r="BN725" s="427"/>
      <c r="BO725" s="427"/>
      <c r="BP725" s="427"/>
      <c r="BQ725" s="454"/>
      <c r="BR725" s="454"/>
      <c r="BS725" s="460"/>
      <c r="BT725" s="454"/>
      <c r="BU725" s="454"/>
      <c r="BV725" s="457"/>
      <c r="BW725" s="460"/>
      <c r="BX725" s="460"/>
      <c r="BY725" s="460"/>
      <c r="CA725" s="2"/>
      <c r="CB725" s="2"/>
      <c r="CC725" s="2"/>
      <c r="CD725" s="2"/>
      <c r="CE725" s="2"/>
      <c r="CF725" s="2"/>
      <c r="CG725" s="2"/>
      <c r="CH725" s="2"/>
      <c r="CI725" s="2"/>
      <c r="CJ725" s="2"/>
      <c r="CK725" s="2"/>
      <c r="CL725" s="2"/>
      <c r="CM725" s="2"/>
      <c r="CN725" s="2"/>
      <c r="CO725" s="427"/>
      <c r="CP725" s="427"/>
      <c r="CQ725" s="427"/>
      <c r="CR725" s="485"/>
      <c r="CS725" s="485"/>
      <c r="CT725" s="485"/>
      <c r="CU725" s="485"/>
      <c r="CV725" s="482"/>
      <c r="CW725" s="482"/>
      <c r="CX725" s="482"/>
      <c r="CY725" s="482"/>
      <c r="CZ725" s="485"/>
      <c r="DA725" s="485"/>
      <c r="DB725" s="485"/>
      <c r="DC725" s="485"/>
      <c r="DD725" s="485"/>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485"/>
      <c r="EX725" s="457"/>
      <c r="EY725" s="457"/>
      <c r="EZ725" s="457"/>
      <c r="FA725" s="457"/>
      <c r="FB725" s="457"/>
      <c r="FC725" s="457"/>
      <c r="FD725" s="457"/>
      <c r="FE725" s="457"/>
      <c r="FF725" s="457"/>
      <c r="FG725" s="457"/>
      <c r="FH725" s="457"/>
      <c r="FI725" s="457"/>
      <c r="FJ725" s="457"/>
      <c r="FK725" s="457"/>
    </row>
    <row r="726" spans="1:167" s="416" customFormat="1">
      <c r="A726" s="427"/>
      <c r="B726" s="427"/>
      <c r="C726" s="427"/>
      <c r="D726" s="427"/>
      <c r="E726" s="428"/>
      <c r="F726" s="429"/>
      <c r="G726" s="430"/>
      <c r="H726" s="427"/>
      <c r="I726" s="427"/>
      <c r="J726" s="427"/>
      <c r="K726" s="427"/>
      <c r="L726" s="427"/>
      <c r="M726" s="427"/>
      <c r="N726" s="427"/>
      <c r="O726" s="427"/>
      <c r="P726" s="427"/>
      <c r="Q726" s="427"/>
      <c r="R726" s="427"/>
      <c r="S726" s="427"/>
      <c r="T726" s="427"/>
      <c r="U726" s="427"/>
      <c r="V726" s="428"/>
      <c r="W726" s="431"/>
      <c r="X726" s="3"/>
      <c r="Y726" s="429"/>
      <c r="Z726" s="430"/>
      <c r="AA726" s="430"/>
      <c r="AB726" s="430"/>
      <c r="AC726" s="424"/>
      <c r="AD726" s="424"/>
      <c r="AE726" s="424"/>
      <c r="AF726" s="424"/>
      <c r="AG726" s="424"/>
      <c r="AH726" s="424"/>
      <c r="AI726" s="424"/>
      <c r="AJ726" s="2"/>
      <c r="AK726" s="2"/>
      <c r="AL726" s="2"/>
      <c r="AM726" s="2"/>
      <c r="AN726" s="2"/>
      <c r="AO726" s="2"/>
      <c r="AP726" s="2"/>
      <c r="AQ726" s="427"/>
      <c r="AR726" s="754"/>
      <c r="AS726" s="427"/>
      <c r="AT726" s="754"/>
      <c r="AU726" s="427"/>
      <c r="AV726" s="427"/>
      <c r="AW726" s="427"/>
      <c r="AX726" s="427"/>
      <c r="AY726" s="754"/>
      <c r="AZ726" s="754"/>
      <c r="BA726" s="754"/>
      <c r="BB726" s="427"/>
      <c r="BC726" s="427"/>
      <c r="BD726" s="427"/>
      <c r="BE726" s="754"/>
      <c r="BF726" s="427"/>
      <c r="BG726" s="454"/>
      <c r="BH726" s="754"/>
      <c r="BI726" s="427"/>
      <c r="BJ726" s="427"/>
      <c r="BK726" s="427"/>
      <c r="BL726" s="427"/>
      <c r="BM726" s="454"/>
      <c r="BN726" s="427"/>
      <c r="BO726" s="427"/>
      <c r="BP726" s="427"/>
      <c r="BQ726" s="454"/>
      <c r="BR726" s="454"/>
      <c r="BS726" s="460"/>
      <c r="BT726" s="454"/>
      <c r="BU726" s="454"/>
      <c r="BV726" s="457"/>
      <c r="BW726" s="460"/>
      <c r="BX726" s="460"/>
      <c r="BY726" s="460"/>
      <c r="CA726" s="2"/>
      <c r="CB726" s="2"/>
      <c r="CC726" s="2"/>
      <c r="CD726" s="2"/>
      <c r="CE726" s="2"/>
      <c r="CF726" s="2"/>
      <c r="CG726" s="2"/>
      <c r="CH726" s="2"/>
      <c r="CI726" s="2"/>
      <c r="CJ726" s="2"/>
      <c r="CK726" s="2"/>
      <c r="CL726" s="2"/>
      <c r="CM726" s="2"/>
      <c r="CN726" s="2"/>
      <c r="CO726" s="427"/>
      <c r="CP726" s="427"/>
      <c r="CQ726" s="427"/>
      <c r="CR726" s="485"/>
      <c r="CS726" s="485"/>
      <c r="CT726" s="485"/>
      <c r="CU726" s="485"/>
      <c r="CV726" s="482"/>
      <c r="CW726" s="482"/>
      <c r="CX726" s="482"/>
      <c r="CY726" s="482"/>
      <c r="CZ726" s="485"/>
      <c r="DA726" s="485"/>
      <c r="DB726" s="485"/>
      <c r="DC726" s="485"/>
      <c r="DD726" s="485"/>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485"/>
      <c r="EX726" s="457"/>
      <c r="EY726" s="457"/>
      <c r="EZ726" s="457"/>
      <c r="FA726" s="457"/>
      <c r="FB726" s="457"/>
      <c r="FC726" s="457"/>
      <c r="FD726" s="457"/>
      <c r="FE726" s="457"/>
      <c r="FF726" s="457"/>
      <c r="FG726" s="457"/>
      <c r="FH726" s="457"/>
      <c r="FI726" s="457"/>
      <c r="FJ726" s="457"/>
      <c r="FK726" s="457"/>
    </row>
    <row r="727" spans="1:167" s="416" customFormat="1">
      <c r="A727" s="427"/>
      <c r="B727" s="427"/>
      <c r="C727" s="427"/>
      <c r="D727" s="427"/>
      <c r="E727" s="428"/>
      <c r="F727" s="429"/>
      <c r="G727" s="430"/>
      <c r="H727" s="427"/>
      <c r="I727" s="427"/>
      <c r="J727" s="427"/>
      <c r="K727" s="427"/>
      <c r="L727" s="427"/>
      <c r="M727" s="427"/>
      <c r="N727" s="427"/>
      <c r="O727" s="427"/>
      <c r="P727" s="427"/>
      <c r="Q727" s="427"/>
      <c r="R727" s="427"/>
      <c r="S727" s="427"/>
      <c r="T727" s="427"/>
      <c r="U727" s="427"/>
      <c r="V727" s="428"/>
      <c r="W727" s="431"/>
      <c r="X727" s="3"/>
      <c r="Y727" s="429"/>
      <c r="Z727" s="430"/>
      <c r="AA727" s="430"/>
      <c r="AB727" s="430"/>
      <c r="AC727" s="424"/>
      <c r="AD727" s="424"/>
      <c r="AE727" s="424"/>
      <c r="AF727" s="424"/>
      <c r="AG727" s="424"/>
      <c r="AH727" s="424"/>
      <c r="AI727" s="424"/>
      <c r="AJ727" s="2"/>
      <c r="AK727" s="2"/>
      <c r="AL727" s="2"/>
      <c r="AM727" s="2"/>
      <c r="AN727" s="2"/>
      <c r="AO727" s="2"/>
      <c r="AP727" s="2"/>
      <c r="AQ727" s="427"/>
      <c r="AR727" s="754"/>
      <c r="AS727" s="427"/>
      <c r="AT727" s="754"/>
      <c r="AU727" s="427"/>
      <c r="AV727" s="427"/>
      <c r="AW727" s="427"/>
      <c r="AX727" s="427"/>
      <c r="AY727" s="754"/>
      <c r="AZ727" s="754"/>
      <c r="BA727" s="754"/>
      <c r="BB727" s="427"/>
      <c r="BC727" s="427"/>
      <c r="BD727" s="427"/>
      <c r="BE727" s="754"/>
      <c r="BF727" s="427"/>
      <c r="BG727" s="454"/>
      <c r="BH727" s="754"/>
      <c r="BI727" s="427"/>
      <c r="BJ727" s="427"/>
      <c r="BK727" s="427"/>
      <c r="BL727" s="427"/>
      <c r="BM727" s="454"/>
      <c r="BN727" s="427"/>
      <c r="BO727" s="427"/>
      <c r="BP727" s="427"/>
      <c r="BQ727" s="454"/>
      <c r="BR727" s="454"/>
      <c r="BS727" s="460"/>
      <c r="BT727" s="454"/>
      <c r="BU727" s="454"/>
      <c r="BV727" s="457"/>
      <c r="BW727" s="460"/>
      <c r="BX727" s="460"/>
      <c r="BY727" s="460"/>
      <c r="CA727" s="2"/>
      <c r="CB727" s="2"/>
      <c r="CC727" s="2"/>
      <c r="CD727" s="2"/>
      <c r="CE727" s="2"/>
      <c r="CF727" s="2"/>
      <c r="CG727" s="2"/>
      <c r="CH727" s="2"/>
      <c r="CI727" s="2"/>
      <c r="CJ727" s="2"/>
      <c r="CK727" s="2"/>
      <c r="CL727" s="2"/>
      <c r="CM727" s="2"/>
      <c r="CN727" s="2"/>
      <c r="CO727" s="427"/>
      <c r="CP727" s="427"/>
      <c r="CQ727" s="427"/>
      <c r="CR727" s="485"/>
      <c r="CS727" s="485"/>
      <c r="CT727" s="485"/>
      <c r="CU727" s="485"/>
      <c r="CV727" s="482"/>
      <c r="CW727" s="482"/>
      <c r="CX727" s="482"/>
      <c r="CY727" s="482"/>
      <c r="CZ727" s="485"/>
      <c r="DA727" s="485"/>
      <c r="DB727" s="485"/>
      <c r="DC727" s="485"/>
      <c r="DD727" s="485"/>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485"/>
      <c r="EX727" s="457"/>
      <c r="EY727" s="457"/>
      <c r="EZ727" s="457"/>
      <c r="FA727" s="457"/>
      <c r="FB727" s="457"/>
      <c r="FC727" s="457"/>
      <c r="FD727" s="457"/>
      <c r="FE727" s="457"/>
      <c r="FF727" s="457"/>
      <c r="FG727" s="457"/>
      <c r="FH727" s="457"/>
      <c r="FI727" s="457"/>
      <c r="FJ727" s="457"/>
      <c r="FK727" s="457"/>
    </row>
    <row r="728" spans="1:167" s="416" customFormat="1">
      <c r="A728" s="427"/>
      <c r="B728" s="427"/>
      <c r="C728" s="427"/>
      <c r="D728" s="427"/>
      <c r="E728" s="428"/>
      <c r="F728" s="429"/>
      <c r="G728" s="430"/>
      <c r="H728" s="427"/>
      <c r="I728" s="427"/>
      <c r="J728" s="427"/>
      <c r="K728" s="427"/>
      <c r="L728" s="427"/>
      <c r="M728" s="427"/>
      <c r="N728" s="427"/>
      <c r="O728" s="427"/>
      <c r="P728" s="427"/>
      <c r="Q728" s="427"/>
      <c r="R728" s="427"/>
      <c r="S728" s="427"/>
      <c r="T728" s="427"/>
      <c r="U728" s="427"/>
      <c r="V728" s="428"/>
      <c r="W728" s="431"/>
      <c r="X728" s="3"/>
      <c r="Y728" s="429"/>
      <c r="Z728" s="430"/>
      <c r="AA728" s="430"/>
      <c r="AB728" s="430"/>
      <c r="AC728" s="424"/>
      <c r="AD728" s="424"/>
      <c r="AE728" s="424"/>
      <c r="AF728" s="424"/>
      <c r="AG728" s="424"/>
      <c r="AH728" s="424"/>
      <c r="AI728" s="424"/>
      <c r="AJ728" s="2"/>
      <c r="AK728" s="2"/>
      <c r="AL728" s="2"/>
      <c r="AM728" s="2"/>
      <c r="AN728" s="2"/>
      <c r="AO728" s="2"/>
      <c r="AP728" s="2"/>
      <c r="AQ728" s="427"/>
      <c r="AR728" s="754"/>
      <c r="AS728" s="427"/>
      <c r="AT728" s="754"/>
      <c r="AU728" s="427"/>
      <c r="AV728" s="427"/>
      <c r="AW728" s="427"/>
      <c r="AX728" s="427"/>
      <c r="AY728" s="754"/>
      <c r="AZ728" s="754"/>
      <c r="BA728" s="754"/>
      <c r="BB728" s="427"/>
      <c r="BC728" s="427"/>
      <c r="BD728" s="427"/>
      <c r="BE728" s="754"/>
      <c r="BF728" s="427"/>
      <c r="BG728" s="454"/>
      <c r="BH728" s="754"/>
      <c r="BI728" s="427"/>
      <c r="BJ728" s="427"/>
      <c r="BK728" s="427"/>
      <c r="BL728" s="427"/>
      <c r="BM728" s="454"/>
      <c r="BN728" s="427"/>
      <c r="BO728" s="427"/>
      <c r="BP728" s="427"/>
      <c r="BQ728" s="454"/>
      <c r="BR728" s="454"/>
      <c r="BS728" s="460"/>
      <c r="BT728" s="454"/>
      <c r="BU728" s="454"/>
      <c r="BV728" s="457"/>
      <c r="BW728" s="460"/>
      <c r="BX728" s="460"/>
      <c r="BY728" s="460"/>
      <c r="CA728" s="2"/>
      <c r="CB728" s="2"/>
      <c r="CC728" s="2"/>
      <c r="CD728" s="2"/>
      <c r="CE728" s="2"/>
      <c r="CF728" s="2"/>
      <c r="CG728" s="2"/>
      <c r="CH728" s="2"/>
      <c r="CI728" s="2"/>
      <c r="CJ728" s="2"/>
      <c r="CK728" s="2"/>
      <c r="CL728" s="2"/>
      <c r="CM728" s="2"/>
      <c r="CN728" s="2"/>
      <c r="CO728" s="427"/>
      <c r="CP728" s="427"/>
      <c r="CQ728" s="427"/>
      <c r="CR728" s="485"/>
      <c r="CS728" s="485"/>
      <c r="CT728" s="485"/>
      <c r="CU728" s="485"/>
      <c r="CV728" s="482"/>
      <c r="CW728" s="482"/>
      <c r="CX728" s="482"/>
      <c r="CY728" s="482"/>
      <c r="CZ728" s="485"/>
      <c r="DA728" s="485"/>
      <c r="DB728" s="485"/>
      <c r="DC728" s="485"/>
      <c r="DD728" s="485"/>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485"/>
      <c r="EX728" s="457"/>
      <c r="EY728" s="457"/>
      <c r="EZ728" s="457"/>
      <c r="FA728" s="457"/>
      <c r="FB728" s="457"/>
      <c r="FC728" s="457"/>
      <c r="FD728" s="457"/>
      <c r="FE728" s="457"/>
      <c r="FF728" s="457"/>
      <c r="FG728" s="457"/>
      <c r="FH728" s="457"/>
      <c r="FI728" s="457"/>
      <c r="FJ728" s="457"/>
      <c r="FK728" s="457"/>
    </row>
    <row r="729" spans="1:167" s="416" customFormat="1">
      <c r="A729" s="427"/>
      <c r="B729" s="427"/>
      <c r="C729" s="427"/>
      <c r="D729" s="427"/>
      <c r="E729" s="428"/>
      <c r="F729" s="429"/>
      <c r="G729" s="430"/>
      <c r="H729" s="427"/>
      <c r="I729" s="427"/>
      <c r="J729" s="427"/>
      <c r="K729" s="427"/>
      <c r="L729" s="427"/>
      <c r="M729" s="427"/>
      <c r="N729" s="427"/>
      <c r="O729" s="427"/>
      <c r="P729" s="427"/>
      <c r="Q729" s="427"/>
      <c r="R729" s="427"/>
      <c r="S729" s="427"/>
      <c r="T729" s="427"/>
      <c r="U729" s="427"/>
      <c r="V729" s="428"/>
      <c r="W729" s="431"/>
      <c r="X729" s="3"/>
      <c r="Y729" s="429"/>
      <c r="Z729" s="430"/>
      <c r="AA729" s="430"/>
      <c r="AB729" s="430"/>
      <c r="AC729" s="424"/>
      <c r="AD729" s="424"/>
      <c r="AE729" s="424"/>
      <c r="AF729" s="424"/>
      <c r="AG729" s="424"/>
      <c r="AH729" s="424"/>
      <c r="AI729" s="424"/>
      <c r="AJ729" s="2"/>
      <c r="AK729" s="2"/>
      <c r="AL729" s="2"/>
      <c r="AM729" s="2"/>
      <c r="AN729" s="2"/>
      <c r="AO729" s="2"/>
      <c r="AP729" s="2"/>
      <c r="AQ729" s="427"/>
      <c r="AR729" s="754"/>
      <c r="AS729" s="427"/>
      <c r="AT729" s="754"/>
      <c r="AU729" s="427"/>
      <c r="AV729" s="427"/>
      <c r="AW729" s="427"/>
      <c r="AX729" s="427"/>
      <c r="AY729" s="754"/>
      <c r="AZ729" s="754"/>
      <c r="BA729" s="754"/>
      <c r="BB729" s="427"/>
      <c r="BC729" s="427"/>
      <c r="BD729" s="427"/>
      <c r="BE729" s="754"/>
      <c r="BF729" s="427"/>
      <c r="BG729" s="454"/>
      <c r="BH729" s="754"/>
      <c r="BI729" s="427"/>
      <c r="BJ729" s="427"/>
      <c r="BK729" s="427"/>
      <c r="BL729" s="427"/>
      <c r="BM729" s="454"/>
      <c r="BN729" s="427"/>
      <c r="BO729" s="427"/>
      <c r="BP729" s="427"/>
      <c r="BQ729" s="454"/>
      <c r="BR729" s="454"/>
      <c r="BS729" s="460"/>
      <c r="BT729" s="454"/>
      <c r="BU729" s="454"/>
      <c r="BV729" s="457"/>
      <c r="BW729" s="460"/>
      <c r="BX729" s="460"/>
      <c r="BY729" s="460"/>
      <c r="CA729" s="2"/>
      <c r="CB729" s="2"/>
      <c r="CC729" s="2"/>
      <c r="CD729" s="2"/>
      <c r="CE729" s="2"/>
      <c r="CF729" s="2"/>
      <c r="CG729" s="2"/>
      <c r="CH729" s="2"/>
      <c r="CI729" s="2"/>
      <c r="CJ729" s="2"/>
      <c r="CK729" s="2"/>
      <c r="CL729" s="2"/>
      <c r="CM729" s="2"/>
      <c r="CN729" s="2"/>
      <c r="CO729" s="427"/>
      <c r="CP729" s="427"/>
      <c r="CQ729" s="427"/>
      <c r="CR729" s="485"/>
      <c r="CS729" s="485"/>
      <c r="CT729" s="485"/>
      <c r="CU729" s="485"/>
      <c r="CV729" s="482"/>
      <c r="CW729" s="482"/>
      <c r="CX729" s="482"/>
      <c r="CY729" s="482"/>
      <c r="CZ729" s="485"/>
      <c r="DA729" s="485"/>
      <c r="DB729" s="485"/>
      <c r="DC729" s="485"/>
      <c r="DD729" s="485"/>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485"/>
      <c r="EX729" s="457"/>
      <c r="EY729" s="457"/>
      <c r="EZ729" s="457"/>
      <c r="FA729" s="457"/>
      <c r="FB729" s="457"/>
      <c r="FC729" s="457"/>
      <c r="FD729" s="457"/>
      <c r="FE729" s="457"/>
      <c r="FF729" s="457"/>
      <c r="FG729" s="457"/>
      <c r="FH729" s="457"/>
      <c r="FI729" s="457"/>
      <c r="FJ729" s="457"/>
      <c r="FK729" s="457"/>
    </row>
    <row r="730" spans="1:167" s="416" customFormat="1">
      <c r="A730" s="427"/>
      <c r="B730" s="427"/>
      <c r="C730" s="427"/>
      <c r="D730" s="427"/>
      <c r="E730" s="428"/>
      <c r="F730" s="429"/>
      <c r="G730" s="430"/>
      <c r="H730" s="427"/>
      <c r="I730" s="427"/>
      <c r="J730" s="427"/>
      <c r="K730" s="427"/>
      <c r="L730" s="427"/>
      <c r="M730" s="427"/>
      <c r="N730" s="427"/>
      <c r="O730" s="427"/>
      <c r="P730" s="427"/>
      <c r="Q730" s="427"/>
      <c r="R730" s="427"/>
      <c r="S730" s="427"/>
      <c r="T730" s="427"/>
      <c r="U730" s="427"/>
      <c r="V730" s="428"/>
      <c r="W730" s="431"/>
      <c r="X730" s="3"/>
      <c r="Y730" s="429"/>
      <c r="Z730" s="430"/>
      <c r="AA730" s="430"/>
      <c r="AB730" s="430"/>
      <c r="AC730" s="424"/>
      <c r="AD730" s="424"/>
      <c r="AE730" s="424"/>
      <c r="AF730" s="424"/>
      <c r="AG730" s="424"/>
      <c r="AH730" s="424"/>
      <c r="AI730" s="424"/>
      <c r="AJ730" s="2"/>
      <c r="AK730" s="2"/>
      <c r="AL730" s="2"/>
      <c r="AM730" s="2"/>
      <c r="AN730" s="2"/>
      <c r="AO730" s="2"/>
      <c r="AP730" s="2"/>
      <c r="AQ730" s="427"/>
      <c r="AR730" s="754"/>
      <c r="AS730" s="427"/>
      <c r="AT730" s="754"/>
      <c r="AU730" s="427"/>
      <c r="AV730" s="427"/>
      <c r="AW730" s="427"/>
      <c r="AX730" s="427"/>
      <c r="AY730" s="754"/>
      <c r="AZ730" s="754"/>
      <c r="BA730" s="754"/>
      <c r="BB730" s="427"/>
      <c r="BC730" s="427"/>
      <c r="BD730" s="427"/>
      <c r="BE730" s="754"/>
      <c r="BF730" s="427"/>
      <c r="BG730" s="454"/>
      <c r="BH730" s="754"/>
      <c r="BI730" s="427"/>
      <c r="BJ730" s="427"/>
      <c r="BK730" s="427"/>
      <c r="BL730" s="427"/>
      <c r="BM730" s="454"/>
      <c r="BN730" s="427"/>
      <c r="BO730" s="427"/>
      <c r="BP730" s="427"/>
      <c r="BQ730" s="454"/>
      <c r="BR730" s="454"/>
      <c r="BS730" s="460"/>
      <c r="BT730" s="454"/>
      <c r="BU730" s="454"/>
      <c r="BV730" s="457"/>
      <c r="BW730" s="460"/>
      <c r="BX730" s="460"/>
      <c r="BY730" s="460"/>
      <c r="CA730" s="2"/>
      <c r="CB730" s="2"/>
      <c r="CC730" s="2"/>
      <c r="CD730" s="2"/>
      <c r="CE730" s="2"/>
      <c r="CF730" s="2"/>
      <c r="CG730" s="2"/>
      <c r="CH730" s="2"/>
      <c r="CI730" s="2"/>
      <c r="CJ730" s="2"/>
      <c r="CK730" s="2"/>
      <c r="CL730" s="2"/>
      <c r="CM730" s="2"/>
      <c r="CN730" s="2"/>
      <c r="CO730" s="427"/>
      <c r="CP730" s="427"/>
      <c r="CQ730" s="427"/>
      <c r="CR730" s="485"/>
      <c r="CS730" s="485"/>
      <c r="CT730" s="485"/>
      <c r="CU730" s="485"/>
      <c r="CV730" s="482"/>
      <c r="CW730" s="482"/>
      <c r="CX730" s="482"/>
      <c r="CY730" s="482"/>
      <c r="CZ730" s="485"/>
      <c r="DA730" s="485"/>
      <c r="DB730" s="485"/>
      <c r="DC730" s="485"/>
      <c r="DD730" s="485"/>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485"/>
      <c r="EX730" s="457"/>
      <c r="EY730" s="457"/>
      <c r="EZ730" s="457"/>
      <c r="FA730" s="457"/>
      <c r="FB730" s="457"/>
      <c r="FC730" s="457"/>
      <c r="FD730" s="457"/>
      <c r="FE730" s="457"/>
      <c r="FF730" s="457"/>
      <c r="FG730" s="457"/>
      <c r="FH730" s="457"/>
      <c r="FI730" s="457"/>
      <c r="FJ730" s="457"/>
      <c r="FK730" s="457"/>
    </row>
    <row r="731" spans="1:167" s="416" customFormat="1">
      <c r="A731" s="427"/>
      <c r="B731" s="427"/>
      <c r="C731" s="427"/>
      <c r="D731" s="427"/>
      <c r="E731" s="428"/>
      <c r="F731" s="429"/>
      <c r="G731" s="430"/>
      <c r="H731" s="427"/>
      <c r="I731" s="427"/>
      <c r="J731" s="427"/>
      <c r="K731" s="427"/>
      <c r="L731" s="427"/>
      <c r="M731" s="427"/>
      <c r="N731" s="427"/>
      <c r="O731" s="427"/>
      <c r="P731" s="427"/>
      <c r="Q731" s="427"/>
      <c r="R731" s="427"/>
      <c r="S731" s="427"/>
      <c r="T731" s="427"/>
      <c r="U731" s="427"/>
      <c r="V731" s="428"/>
      <c r="W731" s="431"/>
      <c r="X731" s="3"/>
      <c r="Y731" s="429"/>
      <c r="Z731" s="430"/>
      <c r="AA731" s="430"/>
      <c r="AB731" s="430"/>
      <c r="AC731" s="424"/>
      <c r="AD731" s="424"/>
      <c r="AE731" s="424"/>
      <c r="AF731" s="424"/>
      <c r="AG731" s="424"/>
      <c r="AH731" s="424"/>
      <c r="AI731" s="424"/>
      <c r="AJ731" s="2"/>
      <c r="AK731" s="2"/>
      <c r="AL731" s="2"/>
      <c r="AM731" s="2"/>
      <c r="AN731" s="2"/>
      <c r="AO731" s="2"/>
      <c r="AP731" s="2"/>
      <c r="AQ731" s="427"/>
      <c r="AR731" s="754"/>
      <c r="AS731" s="427"/>
      <c r="AT731" s="754"/>
      <c r="AU731" s="427"/>
      <c r="AV731" s="427"/>
      <c r="AW731" s="427"/>
      <c r="AX731" s="427"/>
      <c r="AY731" s="754"/>
      <c r="AZ731" s="754"/>
      <c r="BA731" s="754"/>
      <c r="BB731" s="427"/>
      <c r="BC731" s="427"/>
      <c r="BD731" s="427"/>
      <c r="BE731" s="754"/>
      <c r="BF731" s="427"/>
      <c r="BG731" s="454"/>
      <c r="BH731" s="754"/>
      <c r="BI731" s="427"/>
      <c r="BJ731" s="427"/>
      <c r="BK731" s="427"/>
      <c r="BL731" s="427"/>
      <c r="BM731" s="454"/>
      <c r="BN731" s="427"/>
      <c r="BO731" s="427"/>
      <c r="BP731" s="427"/>
      <c r="BQ731" s="454"/>
      <c r="BR731" s="454"/>
      <c r="BS731" s="460"/>
      <c r="BT731" s="454"/>
      <c r="BU731" s="454"/>
      <c r="BV731" s="457"/>
      <c r="BW731" s="460"/>
      <c r="BX731" s="460"/>
      <c r="BY731" s="460"/>
      <c r="CA731" s="2"/>
      <c r="CB731" s="2"/>
      <c r="CC731" s="2"/>
      <c r="CD731" s="2"/>
      <c r="CE731" s="2"/>
      <c r="CF731" s="2"/>
      <c r="CG731" s="2"/>
      <c r="CH731" s="2"/>
      <c r="CI731" s="2"/>
      <c r="CJ731" s="2"/>
      <c r="CK731" s="2"/>
      <c r="CL731" s="2"/>
      <c r="CM731" s="2"/>
      <c r="CN731" s="2"/>
      <c r="CO731" s="427"/>
      <c r="CP731" s="427"/>
      <c r="CQ731" s="427"/>
      <c r="CR731" s="485"/>
      <c r="CS731" s="485"/>
      <c r="CT731" s="485"/>
      <c r="CU731" s="485"/>
      <c r="CV731" s="482"/>
      <c r="CW731" s="482"/>
      <c r="CX731" s="482"/>
      <c r="CY731" s="482"/>
      <c r="CZ731" s="485"/>
      <c r="DA731" s="485"/>
      <c r="DB731" s="485"/>
      <c r="DC731" s="485"/>
      <c r="DD731" s="485"/>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485"/>
      <c r="EX731" s="457"/>
      <c r="EY731" s="457"/>
      <c r="EZ731" s="457"/>
      <c r="FA731" s="457"/>
      <c r="FB731" s="457"/>
      <c r="FC731" s="457"/>
      <c r="FD731" s="457"/>
      <c r="FE731" s="457"/>
      <c r="FF731" s="457"/>
      <c r="FG731" s="457"/>
      <c r="FH731" s="457"/>
      <c r="FI731" s="457"/>
      <c r="FJ731" s="457"/>
      <c r="FK731" s="457"/>
    </row>
    <row r="732" spans="1:167" s="416" customFormat="1">
      <c r="A732" s="427"/>
      <c r="B732" s="427"/>
      <c r="C732" s="427"/>
      <c r="D732" s="427"/>
      <c r="E732" s="428"/>
      <c r="F732" s="429"/>
      <c r="G732" s="430"/>
      <c r="H732" s="427"/>
      <c r="I732" s="427"/>
      <c r="J732" s="427"/>
      <c r="K732" s="427"/>
      <c r="L732" s="427"/>
      <c r="M732" s="427"/>
      <c r="N732" s="427"/>
      <c r="O732" s="427"/>
      <c r="P732" s="427"/>
      <c r="Q732" s="427"/>
      <c r="R732" s="427"/>
      <c r="S732" s="427"/>
      <c r="T732" s="427"/>
      <c r="U732" s="427"/>
      <c r="V732" s="428"/>
      <c r="W732" s="431"/>
      <c r="X732" s="3"/>
      <c r="Y732" s="429"/>
      <c r="Z732" s="430"/>
      <c r="AA732" s="430"/>
      <c r="AB732" s="430"/>
      <c r="AC732" s="424"/>
      <c r="AD732" s="424"/>
      <c r="AE732" s="424"/>
      <c r="AF732" s="424"/>
      <c r="AG732" s="424"/>
      <c r="AH732" s="424"/>
      <c r="AI732" s="424"/>
      <c r="AJ732" s="2"/>
      <c r="AK732" s="2"/>
      <c r="AL732" s="2"/>
      <c r="AM732" s="2"/>
      <c r="AN732" s="2"/>
      <c r="AO732" s="2"/>
      <c r="AP732" s="2"/>
      <c r="AQ732" s="427"/>
      <c r="AR732" s="754"/>
      <c r="AS732" s="427"/>
      <c r="AT732" s="754"/>
      <c r="AU732" s="427"/>
      <c r="AV732" s="427"/>
      <c r="AW732" s="427"/>
      <c r="AX732" s="427"/>
      <c r="AY732" s="754"/>
      <c r="AZ732" s="754"/>
      <c r="BA732" s="754"/>
      <c r="BB732" s="427"/>
      <c r="BC732" s="427"/>
      <c r="BD732" s="427"/>
      <c r="BE732" s="754"/>
      <c r="BF732" s="427"/>
      <c r="BG732" s="454"/>
      <c r="BH732" s="754"/>
      <c r="BI732" s="427"/>
      <c r="BJ732" s="427"/>
      <c r="BK732" s="427"/>
      <c r="BL732" s="427"/>
      <c r="BM732" s="454"/>
      <c r="BN732" s="427"/>
      <c r="BO732" s="427"/>
      <c r="BP732" s="427"/>
      <c r="BQ732" s="454"/>
      <c r="BR732" s="454"/>
      <c r="BS732" s="460"/>
      <c r="BT732" s="454"/>
      <c r="BU732" s="454"/>
      <c r="BV732" s="457"/>
      <c r="BW732" s="460"/>
      <c r="BX732" s="460"/>
      <c r="BY732" s="460"/>
      <c r="CA732" s="2"/>
      <c r="CB732" s="2"/>
      <c r="CC732" s="2"/>
      <c r="CD732" s="2"/>
      <c r="CE732" s="2"/>
      <c r="CF732" s="2"/>
      <c r="CG732" s="2"/>
      <c r="CH732" s="2"/>
      <c r="CI732" s="2"/>
      <c r="CJ732" s="2"/>
      <c r="CK732" s="2"/>
      <c r="CL732" s="2"/>
      <c r="CM732" s="2"/>
      <c r="CN732" s="2"/>
      <c r="CO732" s="427"/>
      <c r="CP732" s="427"/>
      <c r="CQ732" s="427"/>
      <c r="CR732" s="485"/>
      <c r="CS732" s="485"/>
      <c r="CT732" s="485"/>
      <c r="CU732" s="485"/>
      <c r="CV732" s="482"/>
      <c r="CW732" s="482"/>
      <c r="CX732" s="482"/>
      <c r="CY732" s="482"/>
      <c r="CZ732" s="485"/>
      <c r="DA732" s="485"/>
      <c r="DB732" s="485"/>
      <c r="DC732" s="485"/>
      <c r="DD732" s="485"/>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485"/>
      <c r="EX732" s="457"/>
      <c r="EY732" s="457"/>
      <c r="EZ732" s="457"/>
      <c r="FA732" s="457"/>
      <c r="FB732" s="457"/>
      <c r="FC732" s="457"/>
      <c r="FD732" s="457"/>
      <c r="FE732" s="457"/>
      <c r="FF732" s="457"/>
      <c r="FG732" s="457"/>
      <c r="FH732" s="457"/>
      <c r="FI732" s="457"/>
      <c r="FJ732" s="457"/>
      <c r="FK732" s="457"/>
    </row>
    <row r="733" spans="1:167" s="416" customFormat="1">
      <c r="A733" s="427"/>
      <c r="B733" s="427"/>
      <c r="C733" s="427"/>
      <c r="D733" s="427"/>
      <c r="E733" s="428"/>
      <c r="F733" s="429"/>
      <c r="G733" s="430"/>
      <c r="H733" s="427"/>
      <c r="I733" s="427"/>
      <c r="J733" s="427"/>
      <c r="K733" s="427"/>
      <c r="L733" s="427"/>
      <c r="M733" s="427"/>
      <c r="N733" s="427"/>
      <c r="O733" s="427"/>
      <c r="P733" s="427"/>
      <c r="Q733" s="427"/>
      <c r="R733" s="427"/>
      <c r="S733" s="427"/>
      <c r="T733" s="427"/>
      <c r="U733" s="427"/>
      <c r="V733" s="428"/>
      <c r="W733" s="431"/>
      <c r="X733" s="3"/>
      <c r="Y733" s="429"/>
      <c r="Z733" s="430"/>
      <c r="AA733" s="430"/>
      <c r="AB733" s="430"/>
      <c r="AC733" s="424"/>
      <c r="AD733" s="424"/>
      <c r="AE733" s="424"/>
      <c r="AF733" s="424"/>
      <c r="AG733" s="424"/>
      <c r="AH733" s="424"/>
      <c r="AI733" s="424"/>
      <c r="AJ733" s="2"/>
      <c r="AK733" s="2"/>
      <c r="AL733" s="2"/>
      <c r="AM733" s="2"/>
      <c r="AN733" s="2"/>
      <c r="AO733" s="2"/>
      <c r="AP733" s="2"/>
      <c r="AQ733" s="427"/>
      <c r="AR733" s="754"/>
      <c r="AS733" s="427"/>
      <c r="AT733" s="754"/>
      <c r="AU733" s="427"/>
      <c r="AV733" s="427"/>
      <c r="AW733" s="427"/>
      <c r="AX733" s="427"/>
      <c r="AY733" s="754"/>
      <c r="AZ733" s="754"/>
      <c r="BA733" s="754"/>
      <c r="BB733" s="427"/>
      <c r="BC733" s="427"/>
      <c r="BD733" s="427"/>
      <c r="BE733" s="754"/>
      <c r="BF733" s="427"/>
      <c r="BG733" s="454"/>
      <c r="BH733" s="754"/>
      <c r="BI733" s="427"/>
      <c r="BJ733" s="427"/>
      <c r="BK733" s="427"/>
      <c r="BL733" s="427"/>
      <c r="BM733" s="454"/>
      <c r="BN733" s="427"/>
      <c r="BO733" s="427"/>
      <c r="BP733" s="427"/>
      <c r="BQ733" s="454"/>
      <c r="BR733" s="454"/>
      <c r="BS733" s="460"/>
      <c r="BT733" s="454"/>
      <c r="BU733" s="454"/>
      <c r="BV733" s="457"/>
      <c r="BW733" s="460"/>
      <c r="BX733" s="460"/>
      <c r="BY733" s="460"/>
      <c r="CA733" s="2"/>
      <c r="CB733" s="2"/>
      <c r="CC733" s="2"/>
      <c r="CD733" s="2"/>
      <c r="CE733" s="2"/>
      <c r="CF733" s="2"/>
      <c r="CG733" s="2"/>
      <c r="CH733" s="2"/>
      <c r="CI733" s="2"/>
      <c r="CJ733" s="2"/>
      <c r="CK733" s="2"/>
      <c r="CL733" s="2"/>
      <c r="CM733" s="2"/>
      <c r="CN733" s="2"/>
      <c r="CO733" s="427"/>
      <c r="CP733" s="427"/>
      <c r="CQ733" s="427"/>
      <c r="CR733" s="485"/>
      <c r="CS733" s="485"/>
      <c r="CT733" s="485"/>
      <c r="CU733" s="485"/>
      <c r="CV733" s="482"/>
      <c r="CW733" s="482"/>
      <c r="CX733" s="482"/>
      <c r="CY733" s="482"/>
      <c r="CZ733" s="485"/>
      <c r="DA733" s="485"/>
      <c r="DB733" s="485"/>
      <c r="DC733" s="485"/>
      <c r="DD733" s="485"/>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485"/>
      <c r="EX733" s="457"/>
      <c r="EY733" s="457"/>
      <c r="EZ733" s="457"/>
      <c r="FA733" s="457"/>
      <c r="FB733" s="457"/>
      <c r="FC733" s="457"/>
      <c r="FD733" s="457"/>
      <c r="FE733" s="457"/>
      <c r="FF733" s="457"/>
      <c r="FG733" s="457"/>
      <c r="FH733" s="457"/>
      <c r="FI733" s="457"/>
      <c r="FJ733" s="457"/>
      <c r="FK733" s="457"/>
    </row>
    <row r="734" spans="1:167" s="416" customFormat="1">
      <c r="A734" s="427"/>
      <c r="B734" s="427"/>
      <c r="C734" s="427"/>
      <c r="D734" s="427"/>
      <c r="E734" s="428"/>
      <c r="F734" s="429"/>
      <c r="G734" s="430"/>
      <c r="H734" s="427"/>
      <c r="I734" s="427"/>
      <c r="J734" s="427"/>
      <c r="K734" s="427"/>
      <c r="L734" s="427"/>
      <c r="M734" s="427"/>
      <c r="N734" s="427"/>
      <c r="O734" s="427"/>
      <c r="P734" s="427"/>
      <c r="Q734" s="427"/>
      <c r="R734" s="427"/>
      <c r="S734" s="427"/>
      <c r="T734" s="427"/>
      <c r="U734" s="427"/>
      <c r="V734" s="428"/>
      <c r="W734" s="431"/>
      <c r="X734" s="3"/>
      <c r="Y734" s="429"/>
      <c r="Z734" s="430"/>
      <c r="AA734" s="430"/>
      <c r="AB734" s="430"/>
      <c r="AC734" s="424"/>
      <c r="AD734" s="424"/>
      <c r="AE734" s="424"/>
      <c r="AF734" s="424"/>
      <c r="AG734" s="424"/>
      <c r="AH734" s="424"/>
      <c r="AI734" s="424"/>
      <c r="AJ734" s="2"/>
      <c r="AK734" s="2"/>
      <c r="AL734" s="2"/>
      <c r="AM734" s="2"/>
      <c r="AN734" s="2"/>
      <c r="AO734" s="2"/>
      <c r="AP734" s="2"/>
      <c r="AQ734" s="427"/>
      <c r="AR734" s="754"/>
      <c r="AS734" s="427"/>
      <c r="AT734" s="754"/>
      <c r="AU734" s="427"/>
      <c r="AV734" s="427"/>
      <c r="AW734" s="427"/>
      <c r="AX734" s="427"/>
      <c r="AY734" s="754"/>
      <c r="AZ734" s="754"/>
      <c r="BA734" s="754"/>
      <c r="BB734" s="427"/>
      <c r="BC734" s="427"/>
      <c r="BD734" s="427"/>
      <c r="BE734" s="754"/>
      <c r="BF734" s="427"/>
      <c r="BG734" s="454"/>
      <c r="BH734" s="754"/>
      <c r="BI734" s="427"/>
      <c r="BJ734" s="427"/>
      <c r="BK734" s="427"/>
      <c r="BL734" s="427"/>
      <c r="BM734" s="454"/>
      <c r="BN734" s="427"/>
      <c r="BO734" s="427"/>
      <c r="BP734" s="427"/>
      <c r="BQ734" s="454"/>
      <c r="BR734" s="454"/>
      <c r="BS734" s="460"/>
      <c r="BT734" s="454"/>
      <c r="BU734" s="454"/>
      <c r="BV734" s="457"/>
      <c r="BW734" s="460"/>
      <c r="BX734" s="460"/>
      <c r="BY734" s="460"/>
      <c r="CA734" s="2"/>
      <c r="CB734" s="2"/>
      <c r="CC734" s="2"/>
      <c r="CD734" s="2"/>
      <c r="CE734" s="2"/>
      <c r="CF734" s="2"/>
      <c r="CG734" s="2"/>
      <c r="CH734" s="2"/>
      <c r="CI734" s="2"/>
      <c r="CJ734" s="2"/>
      <c r="CK734" s="2"/>
      <c r="CL734" s="2"/>
      <c r="CM734" s="2"/>
      <c r="CN734" s="2"/>
      <c r="CO734" s="427"/>
      <c r="CP734" s="427"/>
      <c r="CQ734" s="427"/>
      <c r="CR734" s="485"/>
      <c r="CS734" s="485"/>
      <c r="CT734" s="485"/>
      <c r="CU734" s="485"/>
      <c r="CV734" s="482"/>
      <c r="CW734" s="482"/>
      <c r="CX734" s="482"/>
      <c r="CY734" s="482"/>
      <c r="CZ734" s="485"/>
      <c r="DA734" s="485"/>
      <c r="DB734" s="485"/>
      <c r="DC734" s="485"/>
      <c r="DD734" s="485"/>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485"/>
      <c r="EX734" s="457"/>
      <c r="EY734" s="457"/>
      <c r="EZ734" s="457"/>
      <c r="FA734" s="457"/>
      <c r="FB734" s="457"/>
      <c r="FC734" s="457"/>
      <c r="FD734" s="457"/>
      <c r="FE734" s="457"/>
      <c r="FF734" s="457"/>
      <c r="FG734" s="457"/>
      <c r="FH734" s="457"/>
      <c r="FI734" s="457"/>
      <c r="FJ734" s="457"/>
      <c r="FK734" s="457"/>
    </row>
    <row r="735" spans="1:167" s="416" customFormat="1">
      <c r="A735" s="427"/>
      <c r="B735" s="427"/>
      <c r="C735" s="427"/>
      <c r="D735" s="427"/>
      <c r="E735" s="428"/>
      <c r="F735" s="429"/>
      <c r="G735" s="430"/>
      <c r="H735" s="427"/>
      <c r="I735" s="427"/>
      <c r="J735" s="427"/>
      <c r="K735" s="427"/>
      <c r="L735" s="427"/>
      <c r="M735" s="427"/>
      <c r="N735" s="427"/>
      <c r="O735" s="427"/>
      <c r="P735" s="427"/>
      <c r="Q735" s="427"/>
      <c r="R735" s="427"/>
      <c r="S735" s="427"/>
      <c r="T735" s="427"/>
      <c r="U735" s="427"/>
      <c r="V735" s="428"/>
      <c r="W735" s="431"/>
      <c r="X735" s="3"/>
      <c r="Y735" s="429"/>
      <c r="Z735" s="430"/>
      <c r="AA735" s="430"/>
      <c r="AB735" s="430"/>
      <c r="AC735" s="424"/>
      <c r="AD735" s="424"/>
      <c r="AE735" s="424"/>
      <c r="AF735" s="424"/>
      <c r="AG735" s="424"/>
      <c r="AH735" s="424"/>
      <c r="AI735" s="424"/>
      <c r="AJ735" s="2"/>
      <c r="AK735" s="2"/>
      <c r="AL735" s="2"/>
      <c r="AM735" s="2"/>
      <c r="AN735" s="2"/>
      <c r="AO735" s="2"/>
      <c r="AP735" s="2"/>
      <c r="AQ735" s="427"/>
      <c r="AR735" s="754"/>
      <c r="AS735" s="427"/>
      <c r="AT735" s="754"/>
      <c r="AU735" s="427"/>
      <c r="AV735" s="427"/>
      <c r="AW735" s="427"/>
      <c r="AX735" s="427"/>
      <c r="AY735" s="754"/>
      <c r="AZ735" s="754"/>
      <c r="BA735" s="754"/>
      <c r="BB735" s="427"/>
      <c r="BC735" s="427"/>
      <c r="BD735" s="427"/>
      <c r="BE735" s="754"/>
      <c r="BF735" s="427"/>
      <c r="BG735" s="454"/>
      <c r="BH735" s="754"/>
      <c r="BI735" s="427"/>
      <c r="BJ735" s="427"/>
      <c r="BK735" s="427"/>
      <c r="BL735" s="427"/>
      <c r="BM735" s="454"/>
      <c r="BN735" s="427"/>
      <c r="BO735" s="427"/>
      <c r="BP735" s="427"/>
      <c r="BQ735" s="454"/>
      <c r="BR735" s="454"/>
      <c r="BS735" s="460"/>
      <c r="BT735" s="454"/>
      <c r="BU735" s="454"/>
      <c r="BV735" s="457"/>
      <c r="BW735" s="460"/>
      <c r="BX735" s="460"/>
      <c r="BY735" s="460"/>
      <c r="CA735" s="2"/>
      <c r="CB735" s="2"/>
      <c r="CC735" s="2"/>
      <c r="CD735" s="2"/>
      <c r="CE735" s="2"/>
      <c r="CF735" s="2"/>
      <c r="CG735" s="2"/>
      <c r="CH735" s="2"/>
      <c r="CI735" s="2"/>
      <c r="CJ735" s="2"/>
      <c r="CK735" s="2"/>
      <c r="CL735" s="2"/>
      <c r="CM735" s="2"/>
      <c r="CN735" s="2"/>
      <c r="CO735" s="427"/>
      <c r="CP735" s="427"/>
      <c r="CQ735" s="427"/>
      <c r="CR735" s="485"/>
      <c r="CS735" s="485"/>
      <c r="CT735" s="485"/>
      <c r="CU735" s="485"/>
      <c r="CV735" s="482"/>
      <c r="CW735" s="482"/>
      <c r="CX735" s="482"/>
      <c r="CY735" s="482"/>
      <c r="CZ735" s="485"/>
      <c r="DA735" s="485"/>
      <c r="DB735" s="485"/>
      <c r="DC735" s="485"/>
      <c r="DD735" s="485"/>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485"/>
      <c r="EX735" s="457"/>
      <c r="EY735" s="457"/>
      <c r="EZ735" s="457"/>
      <c r="FA735" s="457"/>
      <c r="FB735" s="457"/>
      <c r="FC735" s="457"/>
      <c r="FD735" s="457"/>
      <c r="FE735" s="457"/>
      <c r="FF735" s="457"/>
      <c r="FG735" s="457"/>
      <c r="FH735" s="457"/>
      <c r="FI735" s="457"/>
      <c r="FJ735" s="457"/>
      <c r="FK735" s="457"/>
    </row>
    <row r="736" spans="1:167" s="416" customFormat="1">
      <c r="A736" s="427"/>
      <c r="B736" s="427"/>
      <c r="C736" s="427"/>
      <c r="D736" s="427"/>
      <c r="E736" s="428"/>
      <c r="F736" s="429"/>
      <c r="G736" s="430"/>
      <c r="H736" s="427"/>
      <c r="I736" s="427"/>
      <c r="J736" s="427"/>
      <c r="K736" s="427"/>
      <c r="L736" s="427"/>
      <c r="M736" s="427"/>
      <c r="N736" s="427"/>
      <c r="O736" s="427"/>
      <c r="P736" s="427"/>
      <c r="Q736" s="427"/>
      <c r="R736" s="427"/>
      <c r="S736" s="427"/>
      <c r="T736" s="427"/>
      <c r="U736" s="427"/>
      <c r="V736" s="428"/>
      <c r="W736" s="431"/>
      <c r="X736" s="3"/>
      <c r="Y736" s="429"/>
      <c r="Z736" s="430"/>
      <c r="AA736" s="430"/>
      <c r="AB736" s="430"/>
      <c r="AC736" s="424"/>
      <c r="AD736" s="424"/>
      <c r="AE736" s="424"/>
      <c r="AF736" s="424"/>
      <c r="AG736" s="424"/>
      <c r="AH736" s="424"/>
      <c r="AI736" s="424"/>
      <c r="AJ736" s="2"/>
      <c r="AK736" s="2"/>
      <c r="AL736" s="2"/>
      <c r="AM736" s="2"/>
      <c r="AN736" s="2"/>
      <c r="AO736" s="2"/>
      <c r="AP736" s="2"/>
      <c r="AQ736" s="427"/>
      <c r="AR736" s="754"/>
      <c r="AS736" s="427"/>
      <c r="AT736" s="754"/>
      <c r="AU736" s="427"/>
      <c r="AV736" s="427"/>
      <c r="AW736" s="427"/>
      <c r="AX736" s="427"/>
      <c r="AY736" s="754"/>
      <c r="AZ736" s="754"/>
      <c r="BA736" s="754"/>
      <c r="BB736" s="427"/>
      <c r="BC736" s="427"/>
      <c r="BD736" s="427"/>
      <c r="BE736" s="754"/>
      <c r="BF736" s="427"/>
      <c r="BG736" s="454"/>
      <c r="BH736" s="754"/>
      <c r="BI736" s="427"/>
      <c r="BJ736" s="427"/>
      <c r="BK736" s="427"/>
      <c r="BL736" s="427"/>
      <c r="BM736" s="454"/>
      <c r="BN736" s="427"/>
      <c r="BO736" s="427"/>
      <c r="BP736" s="427"/>
      <c r="BQ736" s="454"/>
      <c r="BR736" s="454"/>
      <c r="BS736" s="460"/>
      <c r="BT736" s="454"/>
      <c r="BU736" s="454"/>
      <c r="BV736" s="457"/>
      <c r="BW736" s="460"/>
      <c r="BX736" s="460"/>
      <c r="BY736" s="460"/>
      <c r="CA736" s="2"/>
      <c r="CB736" s="2"/>
      <c r="CC736" s="2"/>
      <c r="CD736" s="2"/>
      <c r="CE736" s="2"/>
      <c r="CF736" s="2"/>
      <c r="CG736" s="2"/>
      <c r="CH736" s="2"/>
      <c r="CI736" s="2"/>
      <c r="CJ736" s="2"/>
      <c r="CK736" s="2"/>
      <c r="CL736" s="2"/>
      <c r="CM736" s="2"/>
      <c r="CN736" s="2"/>
      <c r="CO736" s="427"/>
      <c r="CP736" s="427"/>
      <c r="CQ736" s="427"/>
      <c r="CR736" s="485"/>
      <c r="CS736" s="485"/>
      <c r="CT736" s="485"/>
      <c r="CU736" s="485"/>
      <c r="CV736" s="482"/>
      <c r="CW736" s="482"/>
      <c r="CX736" s="482"/>
      <c r="CY736" s="482"/>
      <c r="CZ736" s="485"/>
      <c r="DA736" s="485"/>
      <c r="DB736" s="485"/>
      <c r="DC736" s="485"/>
      <c r="DD736" s="485"/>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485"/>
      <c r="EX736" s="457"/>
      <c r="EY736" s="457"/>
      <c r="EZ736" s="457"/>
      <c r="FA736" s="457"/>
      <c r="FB736" s="457"/>
      <c r="FC736" s="457"/>
      <c r="FD736" s="457"/>
      <c r="FE736" s="457"/>
      <c r="FF736" s="457"/>
      <c r="FG736" s="457"/>
      <c r="FH736" s="457"/>
      <c r="FI736" s="457"/>
      <c r="FJ736" s="457"/>
      <c r="FK736" s="457"/>
    </row>
    <row r="737" spans="1:167" s="416" customFormat="1">
      <c r="A737" s="427"/>
      <c r="B737" s="427"/>
      <c r="C737" s="427"/>
      <c r="D737" s="427"/>
      <c r="E737" s="428"/>
      <c r="F737" s="429"/>
      <c r="G737" s="430"/>
      <c r="H737" s="427"/>
      <c r="I737" s="427"/>
      <c r="J737" s="427"/>
      <c r="K737" s="427"/>
      <c r="L737" s="427"/>
      <c r="M737" s="427"/>
      <c r="N737" s="427"/>
      <c r="O737" s="427"/>
      <c r="P737" s="427"/>
      <c r="Q737" s="427"/>
      <c r="R737" s="427"/>
      <c r="S737" s="427"/>
      <c r="T737" s="427"/>
      <c r="U737" s="427"/>
      <c r="V737" s="428"/>
      <c r="W737" s="431"/>
      <c r="X737" s="3"/>
      <c r="Y737" s="429"/>
      <c r="Z737" s="430"/>
      <c r="AA737" s="430"/>
      <c r="AB737" s="430"/>
      <c r="AC737" s="424"/>
      <c r="AD737" s="424"/>
      <c r="AE737" s="424"/>
      <c r="AF737" s="424"/>
      <c r="AG737" s="424"/>
      <c r="AH737" s="424"/>
      <c r="AI737" s="424"/>
      <c r="AJ737" s="2"/>
      <c r="AK737" s="2"/>
      <c r="AL737" s="2"/>
      <c r="AM737" s="2"/>
      <c r="AN737" s="2"/>
      <c r="AO737" s="2"/>
      <c r="AP737" s="2"/>
      <c r="AQ737" s="427"/>
      <c r="AR737" s="754"/>
      <c r="AS737" s="427"/>
      <c r="AT737" s="754"/>
      <c r="AU737" s="427"/>
      <c r="AV737" s="427"/>
      <c r="AW737" s="427"/>
      <c r="AX737" s="427"/>
      <c r="AY737" s="754"/>
      <c r="AZ737" s="754"/>
      <c r="BA737" s="754"/>
      <c r="BB737" s="427"/>
      <c r="BC737" s="427"/>
      <c r="BD737" s="427"/>
      <c r="BE737" s="754"/>
      <c r="BF737" s="427"/>
      <c r="BG737" s="454"/>
      <c r="BH737" s="754"/>
      <c r="BI737" s="427"/>
      <c r="BJ737" s="427"/>
      <c r="BK737" s="427"/>
      <c r="BL737" s="427"/>
      <c r="BM737" s="454"/>
      <c r="BN737" s="427"/>
      <c r="BO737" s="427"/>
      <c r="BP737" s="427"/>
      <c r="BQ737" s="454"/>
      <c r="BR737" s="454"/>
      <c r="BS737" s="460"/>
      <c r="BT737" s="454"/>
      <c r="BU737" s="454"/>
      <c r="BV737" s="457"/>
      <c r="BW737" s="460"/>
      <c r="BX737" s="460"/>
      <c r="BY737" s="460"/>
      <c r="CA737" s="2"/>
      <c r="CB737" s="2"/>
      <c r="CC737" s="2"/>
      <c r="CD737" s="2"/>
      <c r="CE737" s="2"/>
      <c r="CF737" s="2"/>
      <c r="CG737" s="2"/>
      <c r="CH737" s="2"/>
      <c r="CI737" s="2"/>
      <c r="CJ737" s="2"/>
      <c r="CK737" s="2"/>
      <c r="CL737" s="2"/>
      <c r="CM737" s="2"/>
      <c r="CN737" s="2"/>
      <c r="CO737" s="427"/>
      <c r="CP737" s="427"/>
      <c r="CQ737" s="427"/>
      <c r="CR737" s="485"/>
      <c r="CS737" s="485"/>
      <c r="CT737" s="485"/>
      <c r="CU737" s="485"/>
      <c r="CV737" s="482"/>
      <c r="CW737" s="482"/>
      <c r="CX737" s="482"/>
      <c r="CY737" s="482"/>
      <c r="CZ737" s="485"/>
      <c r="DA737" s="485"/>
      <c r="DB737" s="485"/>
      <c r="DC737" s="485"/>
      <c r="DD737" s="485"/>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485"/>
      <c r="EX737" s="457"/>
      <c r="EY737" s="457"/>
      <c r="EZ737" s="457"/>
      <c r="FA737" s="457"/>
      <c r="FB737" s="457"/>
      <c r="FC737" s="457"/>
      <c r="FD737" s="457"/>
      <c r="FE737" s="457"/>
      <c r="FF737" s="457"/>
      <c r="FG737" s="457"/>
      <c r="FH737" s="457"/>
      <c r="FI737" s="457"/>
      <c r="FJ737" s="457"/>
      <c r="FK737" s="457"/>
    </row>
    <row r="738" spans="1:167" s="416" customFormat="1">
      <c r="A738" s="427"/>
      <c r="B738" s="427"/>
      <c r="C738" s="427"/>
      <c r="D738" s="427"/>
      <c r="E738" s="428"/>
      <c r="F738" s="429"/>
      <c r="G738" s="430"/>
      <c r="H738" s="427"/>
      <c r="I738" s="427"/>
      <c r="J738" s="427"/>
      <c r="K738" s="427"/>
      <c r="L738" s="427"/>
      <c r="M738" s="427"/>
      <c r="N738" s="427"/>
      <c r="O738" s="427"/>
      <c r="P738" s="427"/>
      <c r="Q738" s="427"/>
      <c r="R738" s="427"/>
      <c r="S738" s="427"/>
      <c r="T738" s="427"/>
      <c r="U738" s="427"/>
      <c r="V738" s="428"/>
      <c r="W738" s="431"/>
      <c r="X738" s="3"/>
      <c r="Y738" s="429"/>
      <c r="Z738" s="430"/>
      <c r="AA738" s="430"/>
      <c r="AB738" s="430"/>
      <c r="AC738" s="424"/>
      <c r="AD738" s="424"/>
      <c r="AE738" s="424"/>
      <c r="AF738" s="424"/>
      <c r="AG738" s="424"/>
      <c r="AH738" s="424"/>
      <c r="AI738" s="424"/>
      <c r="AJ738" s="2"/>
      <c r="AK738" s="2"/>
      <c r="AL738" s="2"/>
      <c r="AM738" s="2"/>
      <c r="AN738" s="2"/>
      <c r="AO738" s="2"/>
      <c r="AP738" s="2"/>
      <c r="AQ738" s="427"/>
      <c r="AR738" s="754"/>
      <c r="AS738" s="427"/>
      <c r="AT738" s="754"/>
      <c r="AU738" s="427"/>
      <c r="AV738" s="427"/>
      <c r="AW738" s="427"/>
      <c r="AX738" s="427"/>
      <c r="AY738" s="754"/>
      <c r="AZ738" s="754"/>
      <c r="BA738" s="754"/>
      <c r="BB738" s="427"/>
      <c r="BC738" s="427"/>
      <c r="BD738" s="427"/>
      <c r="BE738" s="754"/>
      <c r="BF738" s="427"/>
      <c r="BG738" s="454"/>
      <c r="BH738" s="754"/>
      <c r="BI738" s="427"/>
      <c r="BJ738" s="427"/>
      <c r="BK738" s="427"/>
      <c r="BL738" s="427"/>
      <c r="BM738" s="454"/>
      <c r="BN738" s="427"/>
      <c r="BO738" s="427"/>
      <c r="BP738" s="427"/>
      <c r="BQ738" s="454"/>
      <c r="BR738" s="454"/>
      <c r="BS738" s="460"/>
      <c r="BT738" s="454"/>
      <c r="BU738" s="454"/>
      <c r="BV738" s="457"/>
      <c r="BW738" s="460"/>
      <c r="BX738" s="460"/>
      <c r="BY738" s="460"/>
      <c r="CA738" s="2"/>
      <c r="CB738" s="2"/>
      <c r="CC738" s="2"/>
      <c r="CD738" s="2"/>
      <c r="CE738" s="2"/>
      <c r="CF738" s="2"/>
      <c r="CG738" s="2"/>
      <c r="CH738" s="2"/>
      <c r="CI738" s="2"/>
      <c r="CJ738" s="2"/>
      <c r="CK738" s="2"/>
      <c r="CL738" s="2"/>
      <c r="CM738" s="2"/>
      <c r="CN738" s="2"/>
      <c r="CO738" s="427"/>
      <c r="CP738" s="427"/>
      <c r="CQ738" s="427"/>
      <c r="CR738" s="485"/>
      <c r="CS738" s="485"/>
      <c r="CT738" s="485"/>
      <c r="CU738" s="485"/>
      <c r="CV738" s="482"/>
      <c r="CW738" s="482"/>
      <c r="CX738" s="482"/>
      <c r="CY738" s="482"/>
      <c r="CZ738" s="485"/>
      <c r="DA738" s="485"/>
      <c r="DB738" s="485"/>
      <c r="DC738" s="485"/>
      <c r="DD738" s="485"/>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485"/>
      <c r="EX738" s="457"/>
      <c r="EY738" s="457"/>
      <c r="EZ738" s="457"/>
      <c r="FA738" s="457"/>
      <c r="FB738" s="457"/>
      <c r="FC738" s="457"/>
      <c r="FD738" s="457"/>
      <c r="FE738" s="457"/>
      <c r="FF738" s="457"/>
      <c r="FG738" s="457"/>
      <c r="FH738" s="457"/>
      <c r="FI738" s="457"/>
      <c r="FJ738" s="457"/>
      <c r="FK738" s="457"/>
    </row>
    <row r="739" spans="1:167" s="416" customFormat="1">
      <c r="A739" s="427"/>
      <c r="B739" s="427"/>
      <c r="C739" s="427"/>
      <c r="D739" s="427"/>
      <c r="E739" s="428"/>
      <c r="F739" s="429"/>
      <c r="G739" s="430"/>
      <c r="H739" s="427"/>
      <c r="I739" s="427"/>
      <c r="J739" s="427"/>
      <c r="K739" s="427"/>
      <c r="L739" s="427"/>
      <c r="M739" s="427"/>
      <c r="N739" s="427"/>
      <c r="O739" s="427"/>
      <c r="P739" s="427"/>
      <c r="Q739" s="427"/>
      <c r="R739" s="427"/>
      <c r="S739" s="427"/>
      <c r="T739" s="427"/>
      <c r="U739" s="427"/>
      <c r="V739" s="428"/>
      <c r="W739" s="431"/>
      <c r="X739" s="3"/>
      <c r="Y739" s="429"/>
      <c r="Z739" s="430"/>
      <c r="AA739" s="430"/>
      <c r="AB739" s="430"/>
      <c r="AC739" s="424"/>
      <c r="AD739" s="424"/>
      <c r="AE739" s="424"/>
      <c r="AF739" s="424"/>
      <c r="AG739" s="424"/>
      <c r="AH739" s="424"/>
      <c r="AI739" s="424"/>
      <c r="AJ739" s="2"/>
      <c r="AK739" s="2"/>
      <c r="AL739" s="2"/>
      <c r="AM739" s="2"/>
      <c r="AN739" s="2"/>
      <c r="AO739" s="2"/>
      <c r="AP739" s="2"/>
      <c r="AQ739" s="427"/>
      <c r="AR739" s="754"/>
      <c r="AS739" s="427"/>
      <c r="AT739" s="754"/>
      <c r="AU739" s="427"/>
      <c r="AV739" s="427"/>
      <c r="AW739" s="427"/>
      <c r="AX739" s="427"/>
      <c r="AY739" s="754"/>
      <c r="AZ739" s="754"/>
      <c r="BA739" s="754"/>
      <c r="BB739" s="427"/>
      <c r="BC739" s="427"/>
      <c r="BD739" s="427"/>
      <c r="BE739" s="754"/>
      <c r="BF739" s="427"/>
      <c r="BG739" s="454"/>
      <c r="BH739" s="754"/>
      <c r="BI739" s="427"/>
      <c r="BJ739" s="427"/>
      <c r="BK739" s="427"/>
      <c r="BL739" s="427"/>
      <c r="BM739" s="454"/>
      <c r="BN739" s="427"/>
      <c r="BO739" s="427"/>
      <c r="BP739" s="427"/>
      <c r="BQ739" s="454"/>
      <c r="BR739" s="454"/>
      <c r="BS739" s="460"/>
      <c r="BT739" s="454"/>
      <c r="BU739" s="454"/>
      <c r="BV739" s="457"/>
      <c r="BW739" s="460"/>
      <c r="BX739" s="460"/>
      <c r="BY739" s="460"/>
      <c r="CA739" s="2"/>
      <c r="CB739" s="2"/>
      <c r="CC739" s="2"/>
      <c r="CD739" s="2"/>
      <c r="CE739" s="2"/>
      <c r="CF739" s="2"/>
      <c r="CG739" s="2"/>
      <c r="CH739" s="2"/>
      <c r="CI739" s="2"/>
      <c r="CJ739" s="2"/>
      <c r="CK739" s="2"/>
      <c r="CL739" s="2"/>
      <c r="CM739" s="2"/>
      <c r="CN739" s="2"/>
      <c r="CO739" s="427"/>
      <c r="CP739" s="427"/>
      <c r="CQ739" s="427"/>
      <c r="CR739" s="485"/>
      <c r="CS739" s="485"/>
      <c r="CT739" s="485"/>
      <c r="CU739" s="485"/>
      <c r="CV739" s="482"/>
      <c r="CW739" s="482"/>
      <c r="CX739" s="482"/>
      <c r="CY739" s="482"/>
      <c r="CZ739" s="485"/>
      <c r="DA739" s="485"/>
      <c r="DB739" s="485"/>
      <c r="DC739" s="485"/>
      <c r="DD739" s="485"/>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485"/>
      <c r="EX739" s="457"/>
      <c r="EY739" s="457"/>
      <c r="EZ739" s="457"/>
      <c r="FA739" s="457"/>
      <c r="FB739" s="457"/>
      <c r="FC739" s="457"/>
      <c r="FD739" s="457"/>
      <c r="FE739" s="457"/>
      <c r="FF739" s="457"/>
      <c r="FG739" s="457"/>
      <c r="FH739" s="457"/>
      <c r="FI739" s="457"/>
      <c r="FJ739" s="457"/>
      <c r="FK739" s="457"/>
    </row>
    <row r="740" spans="1:167" s="416" customFormat="1">
      <c r="A740" s="427"/>
      <c r="B740" s="427"/>
      <c r="C740" s="427"/>
      <c r="D740" s="427"/>
      <c r="E740" s="428"/>
      <c r="F740" s="429"/>
      <c r="G740" s="430"/>
      <c r="H740" s="427"/>
      <c r="I740" s="427"/>
      <c r="J740" s="427"/>
      <c r="K740" s="427"/>
      <c r="L740" s="427"/>
      <c r="M740" s="427"/>
      <c r="N740" s="427"/>
      <c r="O740" s="427"/>
      <c r="P740" s="427"/>
      <c r="Q740" s="427"/>
      <c r="R740" s="427"/>
      <c r="S740" s="427"/>
      <c r="T740" s="427"/>
      <c r="U740" s="427"/>
      <c r="V740" s="428"/>
      <c r="W740" s="431"/>
      <c r="X740" s="3"/>
      <c r="Y740" s="429"/>
      <c r="Z740" s="430"/>
      <c r="AA740" s="430"/>
      <c r="AB740" s="430"/>
      <c r="AC740" s="424"/>
      <c r="AD740" s="424"/>
      <c r="AE740" s="424"/>
      <c r="AF740" s="424"/>
      <c r="AG740" s="424"/>
      <c r="AH740" s="424"/>
      <c r="AI740" s="424"/>
      <c r="AJ740" s="2"/>
      <c r="AK740" s="2"/>
      <c r="AL740" s="2"/>
      <c r="AM740" s="2"/>
      <c r="AN740" s="2"/>
      <c r="AO740" s="2"/>
      <c r="AP740" s="2"/>
      <c r="AQ740" s="427"/>
      <c r="AR740" s="754"/>
      <c r="AS740" s="427"/>
      <c r="AT740" s="754"/>
      <c r="AU740" s="427"/>
      <c r="AV740" s="427"/>
      <c r="AW740" s="427"/>
      <c r="AX740" s="427"/>
      <c r="AY740" s="754"/>
      <c r="AZ740" s="754"/>
      <c r="BA740" s="754"/>
      <c r="BB740" s="427"/>
      <c r="BC740" s="427"/>
      <c r="BD740" s="427"/>
      <c r="BE740" s="754"/>
      <c r="BF740" s="427"/>
      <c r="BG740" s="454"/>
      <c r="BH740" s="754"/>
      <c r="BI740" s="427"/>
      <c r="BJ740" s="427"/>
      <c r="BK740" s="427"/>
      <c r="BL740" s="427"/>
      <c r="BM740" s="454"/>
      <c r="BN740" s="427"/>
      <c r="BO740" s="427"/>
      <c r="BP740" s="427"/>
      <c r="BQ740" s="454"/>
      <c r="BR740" s="454"/>
      <c r="BS740" s="460"/>
      <c r="BT740" s="454"/>
      <c r="BU740" s="454"/>
      <c r="BV740" s="457"/>
      <c r="BW740" s="460"/>
      <c r="BX740" s="460"/>
      <c r="BY740" s="460"/>
      <c r="CA740" s="2"/>
      <c r="CB740" s="2"/>
      <c r="CC740" s="2"/>
      <c r="CD740" s="2"/>
      <c r="CE740" s="2"/>
      <c r="CF740" s="2"/>
      <c r="CG740" s="2"/>
      <c r="CH740" s="2"/>
      <c r="CI740" s="2"/>
      <c r="CJ740" s="2"/>
      <c r="CK740" s="2"/>
      <c r="CL740" s="2"/>
      <c r="CM740" s="2"/>
      <c r="CN740" s="2"/>
      <c r="CO740" s="427"/>
      <c r="CP740" s="427"/>
      <c r="CQ740" s="427"/>
      <c r="CR740" s="485"/>
      <c r="CS740" s="485"/>
      <c r="CT740" s="485"/>
      <c r="CU740" s="485"/>
      <c r="CV740" s="482"/>
      <c r="CW740" s="482"/>
      <c r="CX740" s="482"/>
      <c r="CY740" s="482"/>
      <c r="CZ740" s="485"/>
      <c r="DA740" s="485"/>
      <c r="DB740" s="485"/>
      <c r="DC740" s="485"/>
      <c r="DD740" s="485"/>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485"/>
      <c r="EX740" s="457"/>
      <c r="EY740" s="457"/>
      <c r="EZ740" s="457"/>
      <c r="FA740" s="457"/>
      <c r="FB740" s="457"/>
      <c r="FC740" s="457"/>
      <c r="FD740" s="457"/>
      <c r="FE740" s="457"/>
      <c r="FF740" s="457"/>
      <c r="FG740" s="457"/>
      <c r="FH740" s="457"/>
      <c r="FI740" s="457"/>
      <c r="FJ740" s="457"/>
      <c r="FK740" s="457"/>
    </row>
    <row r="741" spans="1:167" s="416" customFormat="1">
      <c r="A741" s="427"/>
      <c r="B741" s="427"/>
      <c r="C741" s="427"/>
      <c r="D741" s="427"/>
      <c r="E741" s="428"/>
      <c r="F741" s="429"/>
      <c r="G741" s="430"/>
      <c r="H741" s="427"/>
      <c r="I741" s="427"/>
      <c r="J741" s="427"/>
      <c r="K741" s="427"/>
      <c r="L741" s="427"/>
      <c r="M741" s="427"/>
      <c r="N741" s="427"/>
      <c r="O741" s="427"/>
      <c r="P741" s="427"/>
      <c r="Q741" s="427"/>
      <c r="R741" s="427"/>
      <c r="S741" s="427"/>
      <c r="T741" s="427"/>
      <c r="U741" s="427"/>
      <c r="V741" s="428"/>
      <c r="W741" s="431"/>
      <c r="X741" s="3"/>
      <c r="Y741" s="429"/>
      <c r="Z741" s="430"/>
      <c r="AA741" s="430"/>
      <c r="AB741" s="430"/>
      <c r="AC741" s="424"/>
      <c r="AD741" s="424"/>
      <c r="AE741" s="424"/>
      <c r="AF741" s="424"/>
      <c r="AG741" s="424"/>
      <c r="AH741" s="424"/>
      <c r="AI741" s="424"/>
      <c r="AJ741" s="2"/>
      <c r="AK741" s="2"/>
      <c r="AL741" s="2"/>
      <c r="AM741" s="2"/>
      <c r="AN741" s="2"/>
      <c r="AO741" s="2"/>
      <c r="AP741" s="2"/>
      <c r="AQ741" s="427"/>
      <c r="AR741" s="754"/>
      <c r="AS741" s="427"/>
      <c r="AT741" s="754"/>
      <c r="AU741" s="427"/>
      <c r="AV741" s="427"/>
      <c r="AW741" s="427"/>
      <c r="AX741" s="427"/>
      <c r="AY741" s="754"/>
      <c r="AZ741" s="754"/>
      <c r="BA741" s="754"/>
      <c r="BB741" s="427"/>
      <c r="BC741" s="427"/>
      <c r="BD741" s="427"/>
      <c r="BE741" s="754"/>
      <c r="BF741" s="427"/>
      <c r="BG741" s="454"/>
      <c r="BH741" s="754"/>
      <c r="BI741" s="427"/>
      <c r="BJ741" s="427"/>
      <c r="BK741" s="427"/>
      <c r="BL741" s="427"/>
      <c r="BM741" s="454"/>
      <c r="BN741" s="427"/>
      <c r="BO741" s="427"/>
      <c r="BP741" s="427"/>
      <c r="BQ741" s="454"/>
      <c r="BR741" s="454"/>
      <c r="BS741" s="460"/>
      <c r="BT741" s="454"/>
      <c r="BU741" s="454"/>
      <c r="BV741" s="457"/>
      <c r="BW741" s="460"/>
      <c r="BX741" s="460"/>
      <c r="BY741" s="460"/>
      <c r="CA741" s="2"/>
      <c r="CB741" s="2"/>
      <c r="CC741" s="2"/>
      <c r="CD741" s="2"/>
      <c r="CE741" s="2"/>
      <c r="CF741" s="2"/>
      <c r="CG741" s="2"/>
      <c r="CH741" s="2"/>
      <c r="CI741" s="2"/>
      <c r="CJ741" s="2"/>
      <c r="CK741" s="2"/>
      <c r="CL741" s="2"/>
      <c r="CM741" s="2"/>
      <c r="CN741" s="2"/>
      <c r="CO741" s="427"/>
      <c r="CP741" s="427"/>
      <c r="CQ741" s="427"/>
      <c r="CR741" s="485"/>
      <c r="CS741" s="485"/>
      <c r="CT741" s="485"/>
      <c r="CU741" s="485"/>
      <c r="CV741" s="482"/>
      <c r="CW741" s="482"/>
      <c r="CX741" s="482"/>
      <c r="CY741" s="482"/>
      <c r="CZ741" s="485"/>
      <c r="DA741" s="485"/>
      <c r="DB741" s="485"/>
      <c r="DC741" s="485"/>
      <c r="DD741" s="485"/>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485"/>
      <c r="EX741" s="457"/>
      <c r="EY741" s="457"/>
      <c r="EZ741" s="457"/>
      <c r="FA741" s="457"/>
      <c r="FB741" s="457"/>
      <c r="FC741" s="457"/>
      <c r="FD741" s="457"/>
      <c r="FE741" s="457"/>
      <c r="FF741" s="457"/>
      <c r="FG741" s="457"/>
      <c r="FH741" s="457"/>
      <c r="FI741" s="457"/>
      <c r="FJ741" s="457"/>
      <c r="FK741" s="457"/>
    </row>
    <row r="742" spans="1:167" s="416" customFormat="1">
      <c r="A742" s="427"/>
      <c r="B742" s="427"/>
      <c r="C742" s="427"/>
      <c r="D742" s="427"/>
      <c r="E742" s="428"/>
      <c r="F742" s="429"/>
      <c r="G742" s="430"/>
      <c r="H742" s="427"/>
      <c r="I742" s="427"/>
      <c r="J742" s="427"/>
      <c r="K742" s="427"/>
      <c r="L742" s="427"/>
      <c r="M742" s="427"/>
      <c r="N742" s="427"/>
      <c r="O742" s="427"/>
      <c r="P742" s="427"/>
      <c r="Q742" s="427"/>
      <c r="R742" s="427"/>
      <c r="S742" s="427"/>
      <c r="T742" s="427"/>
      <c r="U742" s="427"/>
      <c r="V742" s="428"/>
      <c r="W742" s="431"/>
      <c r="X742" s="3"/>
      <c r="Y742" s="429"/>
      <c r="Z742" s="430"/>
      <c r="AA742" s="430"/>
      <c r="AB742" s="430"/>
      <c r="AC742" s="424"/>
      <c r="AD742" s="424"/>
      <c r="AE742" s="424"/>
      <c r="AF742" s="424"/>
      <c r="AG742" s="424"/>
      <c r="AH742" s="424"/>
      <c r="AI742" s="424"/>
      <c r="AJ742" s="2"/>
      <c r="AK742" s="2"/>
      <c r="AL742" s="2"/>
      <c r="AM742" s="2"/>
      <c r="AN742" s="2"/>
      <c r="AO742" s="2"/>
      <c r="AP742" s="2"/>
      <c r="AQ742" s="427"/>
      <c r="AR742" s="754"/>
      <c r="AS742" s="427"/>
      <c r="AT742" s="754"/>
      <c r="AU742" s="427"/>
      <c r="AV742" s="427"/>
      <c r="AW742" s="427"/>
      <c r="AX742" s="427"/>
      <c r="AY742" s="754"/>
      <c r="AZ742" s="754"/>
      <c r="BA742" s="754"/>
      <c r="BB742" s="427"/>
      <c r="BC742" s="427"/>
      <c r="BD742" s="427"/>
      <c r="BE742" s="754"/>
      <c r="BF742" s="427"/>
      <c r="BG742" s="454"/>
      <c r="BH742" s="754"/>
      <c r="BI742" s="427"/>
      <c r="BJ742" s="427"/>
      <c r="BK742" s="427"/>
      <c r="BL742" s="427"/>
      <c r="BM742" s="454"/>
      <c r="BN742" s="427"/>
      <c r="BO742" s="427"/>
      <c r="BP742" s="427"/>
      <c r="BQ742" s="454"/>
      <c r="BR742" s="454"/>
      <c r="BS742" s="460"/>
      <c r="BT742" s="454"/>
      <c r="BU742" s="454"/>
      <c r="BV742" s="457"/>
      <c r="BW742" s="460"/>
      <c r="BX742" s="460"/>
      <c r="BY742" s="460"/>
      <c r="CA742" s="2"/>
      <c r="CB742" s="2"/>
      <c r="CC742" s="2"/>
      <c r="CD742" s="2"/>
      <c r="CE742" s="2"/>
      <c r="CF742" s="2"/>
      <c r="CG742" s="2"/>
      <c r="CH742" s="2"/>
      <c r="CI742" s="2"/>
      <c r="CJ742" s="2"/>
      <c r="CK742" s="2"/>
      <c r="CL742" s="2"/>
      <c r="CM742" s="2"/>
      <c r="CN742" s="2"/>
      <c r="CO742" s="427"/>
      <c r="CP742" s="427"/>
      <c r="CQ742" s="427"/>
      <c r="CR742" s="485"/>
      <c r="CS742" s="485"/>
      <c r="CT742" s="485"/>
      <c r="CU742" s="485"/>
      <c r="CV742" s="482"/>
      <c r="CW742" s="482"/>
      <c r="CX742" s="482"/>
      <c r="CY742" s="482"/>
      <c r="CZ742" s="485"/>
      <c r="DA742" s="485"/>
      <c r="DB742" s="485"/>
      <c r="DC742" s="485"/>
      <c r="DD742" s="485"/>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485"/>
      <c r="EX742" s="457"/>
      <c r="EY742" s="457"/>
      <c r="EZ742" s="457"/>
      <c r="FA742" s="457"/>
      <c r="FB742" s="457"/>
      <c r="FC742" s="457"/>
      <c r="FD742" s="457"/>
      <c r="FE742" s="457"/>
      <c r="FF742" s="457"/>
      <c r="FG742" s="457"/>
      <c r="FH742" s="457"/>
      <c r="FI742" s="457"/>
      <c r="FJ742" s="457"/>
      <c r="FK742" s="457"/>
    </row>
    <row r="743" spans="1:167" s="416" customFormat="1">
      <c r="A743" s="427"/>
      <c r="B743" s="427"/>
      <c r="C743" s="427"/>
      <c r="D743" s="427"/>
      <c r="E743" s="428"/>
      <c r="F743" s="429"/>
      <c r="G743" s="430"/>
      <c r="H743" s="427"/>
      <c r="I743" s="427"/>
      <c r="J743" s="427"/>
      <c r="K743" s="427"/>
      <c r="L743" s="427"/>
      <c r="M743" s="427"/>
      <c r="N743" s="427"/>
      <c r="O743" s="427"/>
      <c r="P743" s="427"/>
      <c r="Q743" s="427"/>
      <c r="R743" s="427"/>
      <c r="S743" s="427"/>
      <c r="T743" s="427"/>
      <c r="U743" s="427"/>
      <c r="V743" s="428"/>
      <c r="W743" s="431"/>
      <c r="X743" s="3"/>
      <c r="Y743" s="429"/>
      <c r="Z743" s="430"/>
      <c r="AA743" s="430"/>
      <c r="AB743" s="430"/>
      <c r="AC743" s="424"/>
      <c r="AD743" s="424"/>
      <c r="AE743" s="424"/>
      <c r="AF743" s="424"/>
      <c r="AG743" s="424"/>
      <c r="AH743" s="424"/>
      <c r="AI743" s="424"/>
      <c r="AJ743" s="2"/>
      <c r="AK743" s="2"/>
      <c r="AL743" s="2"/>
      <c r="AM743" s="2"/>
      <c r="AN743" s="2"/>
      <c r="AO743" s="2"/>
      <c r="AP743" s="2"/>
      <c r="AQ743" s="427"/>
      <c r="AR743" s="754"/>
      <c r="AS743" s="427"/>
      <c r="AT743" s="754"/>
      <c r="AU743" s="427"/>
      <c r="AV743" s="427"/>
      <c r="AW743" s="427"/>
      <c r="AX743" s="427"/>
      <c r="AY743" s="754"/>
      <c r="AZ743" s="754"/>
      <c r="BA743" s="754"/>
      <c r="BB743" s="427"/>
      <c r="BC743" s="427"/>
      <c r="BD743" s="427"/>
      <c r="BE743" s="754"/>
      <c r="BF743" s="427"/>
      <c r="BG743" s="454"/>
      <c r="BH743" s="754"/>
      <c r="BI743" s="427"/>
      <c r="BJ743" s="427"/>
      <c r="BK743" s="427"/>
      <c r="BL743" s="427"/>
      <c r="BM743" s="454"/>
      <c r="BN743" s="427"/>
      <c r="BO743" s="427"/>
      <c r="BP743" s="427"/>
      <c r="BQ743" s="454"/>
      <c r="BR743" s="454"/>
      <c r="BS743" s="460"/>
      <c r="BT743" s="454"/>
      <c r="BU743" s="454"/>
      <c r="BV743" s="457"/>
      <c r="BW743" s="460"/>
      <c r="BX743" s="460"/>
      <c r="BY743" s="460"/>
      <c r="CA743" s="2"/>
      <c r="CB743" s="2"/>
      <c r="CC743" s="2"/>
      <c r="CD743" s="2"/>
      <c r="CE743" s="2"/>
      <c r="CF743" s="2"/>
      <c r="CG743" s="2"/>
      <c r="CH743" s="2"/>
      <c r="CI743" s="2"/>
      <c r="CJ743" s="2"/>
      <c r="CK743" s="2"/>
      <c r="CL743" s="2"/>
      <c r="CM743" s="2"/>
      <c r="CN743" s="2"/>
      <c r="CO743" s="427"/>
      <c r="CP743" s="427"/>
      <c r="CQ743" s="427"/>
      <c r="CR743" s="485"/>
      <c r="CS743" s="485"/>
      <c r="CT743" s="485"/>
      <c r="CU743" s="485"/>
      <c r="CV743" s="482"/>
      <c r="CW743" s="482"/>
      <c r="CX743" s="482"/>
      <c r="CY743" s="482"/>
      <c r="CZ743" s="485"/>
      <c r="DA743" s="485"/>
      <c r="DB743" s="485"/>
      <c r="DC743" s="485"/>
      <c r="DD743" s="485"/>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485"/>
      <c r="EX743" s="457"/>
      <c r="EY743" s="457"/>
      <c r="EZ743" s="457"/>
      <c r="FA743" s="457"/>
      <c r="FB743" s="457"/>
      <c r="FC743" s="457"/>
      <c r="FD743" s="457"/>
      <c r="FE743" s="457"/>
      <c r="FF743" s="457"/>
      <c r="FG743" s="457"/>
      <c r="FH743" s="457"/>
      <c r="FI743" s="457"/>
      <c r="FJ743" s="457"/>
      <c r="FK743" s="457"/>
    </row>
    <row r="744" spans="1:167" s="416" customFormat="1">
      <c r="A744" s="427"/>
      <c r="B744" s="427"/>
      <c r="C744" s="427"/>
      <c r="D744" s="427"/>
      <c r="E744" s="428"/>
      <c r="F744" s="429"/>
      <c r="G744" s="430"/>
      <c r="H744" s="427"/>
      <c r="I744" s="427"/>
      <c r="J744" s="427"/>
      <c r="K744" s="427"/>
      <c r="L744" s="427"/>
      <c r="M744" s="427"/>
      <c r="N744" s="427"/>
      <c r="O744" s="427"/>
      <c r="P744" s="427"/>
      <c r="Q744" s="427"/>
      <c r="R744" s="427"/>
      <c r="S744" s="427"/>
      <c r="T744" s="427"/>
      <c r="U744" s="427"/>
      <c r="V744" s="428"/>
      <c r="W744" s="431"/>
      <c r="X744" s="3"/>
      <c r="Y744" s="429"/>
      <c r="Z744" s="430"/>
      <c r="AA744" s="430"/>
      <c r="AB744" s="430"/>
      <c r="AC744" s="424"/>
      <c r="AD744" s="424"/>
      <c r="AE744" s="424"/>
      <c r="AF744" s="424"/>
      <c r="AG744" s="424"/>
      <c r="AH744" s="424"/>
      <c r="AI744" s="424"/>
      <c r="AJ744" s="2"/>
      <c r="AK744" s="2"/>
      <c r="AL744" s="2"/>
      <c r="AM744" s="2"/>
      <c r="AN744" s="2"/>
      <c r="AO744" s="2"/>
      <c r="AP744" s="2"/>
      <c r="AQ744" s="427"/>
      <c r="AR744" s="754"/>
      <c r="AS744" s="427"/>
      <c r="AT744" s="754"/>
      <c r="AU744" s="427"/>
      <c r="AV744" s="427"/>
      <c r="AW744" s="427"/>
      <c r="AX744" s="427"/>
      <c r="AY744" s="754"/>
      <c r="AZ744" s="754"/>
      <c r="BA744" s="754"/>
      <c r="BB744" s="427"/>
      <c r="BC744" s="427"/>
      <c r="BD744" s="427"/>
      <c r="BE744" s="754"/>
      <c r="BF744" s="427"/>
      <c r="BG744" s="454"/>
      <c r="BH744" s="754"/>
      <c r="BI744" s="427"/>
      <c r="BJ744" s="427"/>
      <c r="BK744" s="427"/>
      <c r="BL744" s="427"/>
      <c r="BM744" s="454"/>
      <c r="BN744" s="427"/>
      <c r="BO744" s="427"/>
      <c r="BP744" s="427"/>
      <c r="BQ744" s="454"/>
      <c r="BR744" s="454"/>
      <c r="BS744" s="460"/>
      <c r="BT744" s="454"/>
      <c r="BU744" s="454"/>
      <c r="BV744" s="457"/>
      <c r="BW744" s="460"/>
      <c r="BX744" s="460"/>
      <c r="BY744" s="460"/>
      <c r="CA744" s="2"/>
      <c r="CB744" s="2"/>
      <c r="CC744" s="2"/>
      <c r="CD744" s="2"/>
      <c r="CE744" s="2"/>
      <c r="CF744" s="2"/>
      <c r="CG744" s="2"/>
      <c r="CH744" s="2"/>
      <c r="CI744" s="2"/>
      <c r="CJ744" s="2"/>
      <c r="CK744" s="2"/>
      <c r="CL744" s="2"/>
      <c r="CM744" s="2"/>
      <c r="CN744" s="2"/>
      <c r="CO744" s="427"/>
      <c r="CP744" s="427"/>
      <c r="CQ744" s="427"/>
      <c r="CR744" s="485"/>
      <c r="CS744" s="485"/>
      <c r="CT744" s="485"/>
      <c r="CU744" s="485"/>
      <c r="CV744" s="482"/>
      <c r="CW744" s="482"/>
      <c r="CX744" s="482"/>
      <c r="CY744" s="482"/>
      <c r="CZ744" s="485"/>
      <c r="DA744" s="485"/>
      <c r="DB744" s="485"/>
      <c r="DC744" s="485"/>
      <c r="DD744" s="485"/>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485"/>
      <c r="EX744" s="457"/>
      <c r="EY744" s="457"/>
      <c r="EZ744" s="457"/>
      <c r="FA744" s="457"/>
      <c r="FB744" s="457"/>
      <c r="FC744" s="457"/>
      <c r="FD744" s="457"/>
      <c r="FE744" s="457"/>
      <c r="FF744" s="457"/>
      <c r="FG744" s="457"/>
      <c r="FH744" s="457"/>
      <c r="FI744" s="457"/>
      <c r="FJ744" s="457"/>
      <c r="FK744" s="457"/>
    </row>
    <row r="745" spans="1:167" s="416" customFormat="1">
      <c r="A745" s="427"/>
      <c r="B745" s="427"/>
      <c r="C745" s="427"/>
      <c r="D745" s="427"/>
      <c r="E745" s="428"/>
      <c r="F745" s="429"/>
      <c r="G745" s="430"/>
      <c r="H745" s="427"/>
      <c r="I745" s="427"/>
      <c r="J745" s="427"/>
      <c r="K745" s="427"/>
      <c r="L745" s="427"/>
      <c r="M745" s="427"/>
      <c r="N745" s="427"/>
      <c r="O745" s="427"/>
      <c r="P745" s="427"/>
      <c r="Q745" s="427"/>
      <c r="R745" s="427"/>
      <c r="S745" s="427"/>
      <c r="T745" s="427"/>
      <c r="U745" s="427"/>
      <c r="V745" s="428"/>
      <c r="W745" s="431"/>
      <c r="X745" s="3"/>
      <c r="Y745" s="429"/>
      <c r="Z745" s="430"/>
      <c r="AA745" s="430"/>
      <c r="AB745" s="430"/>
      <c r="AC745" s="424"/>
      <c r="AD745" s="424"/>
      <c r="AE745" s="424"/>
      <c r="AF745" s="424"/>
      <c r="AG745" s="424"/>
      <c r="AH745" s="424"/>
      <c r="AI745" s="424"/>
      <c r="AJ745" s="2"/>
      <c r="AK745" s="2"/>
      <c r="AL745" s="2"/>
      <c r="AM745" s="2"/>
      <c r="AN745" s="2"/>
      <c r="AO745" s="2"/>
      <c r="AP745" s="2"/>
      <c r="AQ745" s="427"/>
      <c r="AR745" s="754"/>
      <c r="AS745" s="427"/>
      <c r="AT745" s="754"/>
      <c r="AU745" s="427"/>
      <c r="AV745" s="427"/>
      <c r="AW745" s="427"/>
      <c r="AX745" s="427"/>
      <c r="AY745" s="754"/>
      <c r="AZ745" s="754"/>
      <c r="BA745" s="754"/>
      <c r="BB745" s="427"/>
      <c r="BC745" s="427"/>
      <c r="BD745" s="427"/>
      <c r="BE745" s="754"/>
      <c r="BF745" s="427"/>
      <c r="BG745" s="454"/>
      <c r="BH745" s="754"/>
      <c r="BI745" s="427"/>
      <c r="BJ745" s="427"/>
      <c r="BK745" s="427"/>
      <c r="BL745" s="427"/>
      <c r="BM745" s="454"/>
      <c r="BN745" s="427"/>
      <c r="BO745" s="427"/>
      <c r="BP745" s="427"/>
      <c r="BQ745" s="454"/>
      <c r="BR745" s="454"/>
      <c r="BS745" s="460"/>
      <c r="BT745" s="454"/>
      <c r="BU745" s="454"/>
      <c r="BV745" s="457"/>
      <c r="BW745" s="460"/>
      <c r="BX745" s="460"/>
      <c r="BY745" s="460"/>
      <c r="CA745" s="2"/>
      <c r="CB745" s="2"/>
      <c r="CC745" s="2"/>
      <c r="CD745" s="2"/>
      <c r="CE745" s="2"/>
      <c r="CF745" s="2"/>
      <c r="CG745" s="2"/>
      <c r="CH745" s="2"/>
      <c r="CI745" s="2"/>
      <c r="CJ745" s="2"/>
      <c r="CK745" s="2"/>
      <c r="CL745" s="2"/>
      <c r="CM745" s="2"/>
      <c r="CN745" s="2"/>
      <c r="CO745" s="427"/>
      <c r="CP745" s="427"/>
      <c r="CQ745" s="427"/>
      <c r="CR745" s="485"/>
      <c r="CS745" s="485"/>
      <c r="CT745" s="485"/>
      <c r="CU745" s="485"/>
      <c r="CV745" s="482"/>
      <c r="CW745" s="482"/>
      <c r="CX745" s="482"/>
      <c r="CY745" s="482"/>
      <c r="CZ745" s="485"/>
      <c r="DA745" s="485"/>
      <c r="DB745" s="485"/>
      <c r="DC745" s="485"/>
      <c r="DD745" s="485"/>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485"/>
      <c r="EX745" s="457"/>
      <c r="EY745" s="457"/>
      <c r="EZ745" s="457"/>
      <c r="FA745" s="457"/>
      <c r="FB745" s="457"/>
      <c r="FC745" s="457"/>
      <c r="FD745" s="457"/>
      <c r="FE745" s="457"/>
      <c r="FF745" s="457"/>
      <c r="FG745" s="457"/>
      <c r="FH745" s="457"/>
      <c r="FI745" s="457"/>
      <c r="FJ745" s="457"/>
      <c r="FK745" s="457"/>
    </row>
    <row r="746" spans="1:167" s="416" customFormat="1">
      <c r="A746" s="427"/>
      <c r="B746" s="427"/>
      <c r="C746" s="427"/>
      <c r="D746" s="427"/>
      <c r="E746" s="428"/>
      <c r="F746" s="429"/>
      <c r="G746" s="430"/>
      <c r="H746" s="427"/>
      <c r="I746" s="427"/>
      <c r="J746" s="427"/>
      <c r="K746" s="427"/>
      <c r="L746" s="427"/>
      <c r="M746" s="427"/>
      <c r="N746" s="427"/>
      <c r="O746" s="427"/>
      <c r="P746" s="427"/>
      <c r="Q746" s="427"/>
      <c r="R746" s="427"/>
      <c r="S746" s="427"/>
      <c r="T746" s="427"/>
      <c r="U746" s="427"/>
      <c r="V746" s="428"/>
      <c r="W746" s="431"/>
      <c r="X746" s="3"/>
      <c r="Y746" s="429"/>
      <c r="Z746" s="430"/>
      <c r="AA746" s="430"/>
      <c r="AB746" s="430"/>
      <c r="AC746" s="424"/>
      <c r="AD746" s="424"/>
      <c r="AE746" s="424"/>
      <c r="AF746" s="424"/>
      <c r="AG746" s="424"/>
      <c r="AH746" s="424"/>
      <c r="AI746" s="424"/>
      <c r="AJ746" s="2"/>
      <c r="AK746" s="2"/>
      <c r="AL746" s="2"/>
      <c r="AM746" s="2"/>
      <c r="AN746" s="2"/>
      <c r="AO746" s="2"/>
      <c r="AP746" s="2"/>
      <c r="AQ746" s="427"/>
      <c r="AR746" s="754"/>
      <c r="AS746" s="427"/>
      <c r="AT746" s="754"/>
      <c r="AU746" s="427"/>
      <c r="AV746" s="427"/>
      <c r="AW746" s="427"/>
      <c r="AX746" s="427"/>
      <c r="AY746" s="754"/>
      <c r="AZ746" s="754"/>
      <c r="BA746" s="754"/>
      <c r="BB746" s="427"/>
      <c r="BC746" s="427"/>
      <c r="BD746" s="427"/>
      <c r="BE746" s="754"/>
      <c r="BF746" s="427"/>
      <c r="BG746" s="454"/>
      <c r="BH746" s="754"/>
      <c r="BI746" s="427"/>
      <c r="BJ746" s="427"/>
      <c r="BK746" s="427"/>
      <c r="BL746" s="427"/>
      <c r="BM746" s="454"/>
      <c r="BN746" s="427"/>
      <c r="BO746" s="427"/>
      <c r="BP746" s="427"/>
      <c r="BQ746" s="454"/>
      <c r="BR746" s="454"/>
      <c r="BS746" s="460"/>
      <c r="BT746" s="454"/>
      <c r="BU746" s="454"/>
      <c r="BV746" s="457"/>
      <c r="BW746" s="460"/>
      <c r="BX746" s="460"/>
      <c r="BY746" s="460"/>
      <c r="CA746" s="2"/>
      <c r="CB746" s="2"/>
      <c r="CC746" s="2"/>
      <c r="CD746" s="2"/>
      <c r="CE746" s="2"/>
      <c r="CF746" s="2"/>
      <c r="CG746" s="2"/>
      <c r="CH746" s="2"/>
      <c r="CI746" s="2"/>
      <c r="CJ746" s="2"/>
      <c r="CK746" s="2"/>
      <c r="CL746" s="2"/>
      <c r="CM746" s="2"/>
      <c r="CN746" s="2"/>
      <c r="CO746" s="427"/>
      <c r="CP746" s="427"/>
      <c r="CQ746" s="427"/>
      <c r="CR746" s="485"/>
      <c r="CS746" s="485"/>
      <c r="CT746" s="485"/>
      <c r="CU746" s="485"/>
      <c r="CV746" s="482"/>
      <c r="CW746" s="482"/>
      <c r="CX746" s="482"/>
      <c r="CY746" s="482"/>
      <c r="CZ746" s="485"/>
      <c r="DA746" s="485"/>
      <c r="DB746" s="485"/>
      <c r="DC746" s="485"/>
      <c r="DD746" s="485"/>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485"/>
      <c r="EX746" s="457"/>
      <c r="EY746" s="457"/>
      <c r="EZ746" s="457"/>
      <c r="FA746" s="457"/>
      <c r="FB746" s="457"/>
      <c r="FC746" s="457"/>
      <c r="FD746" s="457"/>
      <c r="FE746" s="457"/>
      <c r="FF746" s="457"/>
      <c r="FG746" s="457"/>
      <c r="FH746" s="457"/>
      <c r="FI746" s="457"/>
      <c r="FJ746" s="457"/>
      <c r="FK746" s="457"/>
    </row>
    <row r="747" spans="1:167" s="416" customFormat="1">
      <c r="A747" s="427"/>
      <c r="B747" s="427"/>
      <c r="C747" s="427"/>
      <c r="D747" s="427"/>
      <c r="E747" s="428"/>
      <c r="F747" s="429"/>
      <c r="G747" s="430"/>
      <c r="H747" s="427"/>
      <c r="I747" s="427"/>
      <c r="J747" s="427"/>
      <c r="K747" s="427"/>
      <c r="L747" s="427"/>
      <c r="M747" s="427"/>
      <c r="N747" s="427"/>
      <c r="O747" s="427"/>
      <c r="P747" s="427"/>
      <c r="Q747" s="427"/>
      <c r="R747" s="427"/>
      <c r="S747" s="427"/>
      <c r="T747" s="427"/>
      <c r="U747" s="427"/>
      <c r="V747" s="428"/>
      <c r="W747" s="431"/>
      <c r="X747" s="3"/>
      <c r="Y747" s="429"/>
      <c r="Z747" s="430"/>
      <c r="AA747" s="430"/>
      <c r="AB747" s="430"/>
      <c r="AC747" s="424"/>
      <c r="AD747" s="424"/>
      <c r="AE747" s="424"/>
      <c r="AF747" s="424"/>
      <c r="AG747" s="424"/>
      <c r="AH747" s="424"/>
      <c r="AI747" s="424"/>
      <c r="AJ747" s="2"/>
      <c r="AK747" s="2"/>
      <c r="AL747" s="2"/>
      <c r="AM747" s="2"/>
      <c r="AN747" s="2"/>
      <c r="AO747" s="2"/>
      <c r="AP747" s="2"/>
      <c r="AQ747" s="427"/>
      <c r="AR747" s="754"/>
      <c r="AS747" s="427"/>
      <c r="AT747" s="754"/>
      <c r="AU747" s="427"/>
      <c r="AV747" s="427"/>
      <c r="AW747" s="427"/>
      <c r="AX747" s="427"/>
      <c r="AY747" s="754"/>
      <c r="AZ747" s="754"/>
      <c r="BA747" s="754"/>
      <c r="BB747" s="427"/>
      <c r="BC747" s="427"/>
      <c r="BD747" s="427"/>
      <c r="BE747" s="754"/>
      <c r="BF747" s="427"/>
      <c r="BG747" s="454"/>
      <c r="BH747" s="754"/>
      <c r="BI747" s="427"/>
      <c r="BJ747" s="427"/>
      <c r="BK747" s="427"/>
      <c r="BL747" s="427"/>
      <c r="BM747" s="454"/>
      <c r="BN747" s="427"/>
      <c r="BO747" s="427"/>
      <c r="BP747" s="427"/>
      <c r="BQ747" s="454"/>
      <c r="BR747" s="454"/>
      <c r="BS747" s="460"/>
      <c r="BT747" s="454"/>
      <c r="BU747" s="454"/>
      <c r="BV747" s="457"/>
      <c r="BW747" s="460"/>
      <c r="BX747" s="460"/>
      <c r="BY747" s="460"/>
      <c r="CA747" s="2"/>
      <c r="CB747" s="2"/>
      <c r="CC747" s="2"/>
      <c r="CD747" s="2"/>
      <c r="CE747" s="2"/>
      <c r="CF747" s="2"/>
      <c r="CG747" s="2"/>
      <c r="CH747" s="2"/>
      <c r="CI747" s="2"/>
      <c r="CJ747" s="2"/>
      <c r="CK747" s="2"/>
      <c r="CL747" s="2"/>
      <c r="CM747" s="2"/>
      <c r="CN747" s="2"/>
      <c r="CO747" s="427"/>
      <c r="CP747" s="427"/>
      <c r="CQ747" s="427"/>
      <c r="CR747" s="485"/>
      <c r="CS747" s="485"/>
      <c r="CT747" s="485"/>
      <c r="CU747" s="485"/>
      <c r="CV747" s="482"/>
      <c r="CW747" s="482"/>
      <c r="CX747" s="482"/>
      <c r="CY747" s="482"/>
      <c r="CZ747" s="485"/>
      <c r="DA747" s="485"/>
      <c r="DB747" s="485"/>
      <c r="DC747" s="485"/>
      <c r="DD747" s="485"/>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485"/>
      <c r="EX747" s="457"/>
      <c r="EY747" s="457"/>
      <c r="EZ747" s="457"/>
      <c r="FA747" s="457"/>
      <c r="FB747" s="457"/>
      <c r="FC747" s="457"/>
      <c r="FD747" s="457"/>
      <c r="FE747" s="457"/>
      <c r="FF747" s="457"/>
      <c r="FG747" s="457"/>
      <c r="FH747" s="457"/>
      <c r="FI747" s="457"/>
      <c r="FJ747" s="457"/>
      <c r="FK747" s="457"/>
    </row>
    <row r="748" spans="1:167" s="416" customFormat="1">
      <c r="A748" s="427"/>
      <c r="B748" s="427"/>
      <c r="C748" s="427"/>
      <c r="D748" s="427"/>
      <c r="E748" s="428"/>
      <c r="F748" s="429"/>
      <c r="G748" s="430"/>
      <c r="H748" s="427"/>
      <c r="I748" s="427"/>
      <c r="J748" s="427"/>
      <c r="K748" s="427"/>
      <c r="L748" s="427"/>
      <c r="M748" s="427"/>
      <c r="N748" s="427"/>
      <c r="O748" s="427"/>
      <c r="P748" s="427"/>
      <c r="Q748" s="427"/>
      <c r="R748" s="427"/>
      <c r="S748" s="427"/>
      <c r="T748" s="427"/>
      <c r="U748" s="427"/>
      <c r="V748" s="428"/>
      <c r="W748" s="431"/>
      <c r="X748" s="3"/>
      <c r="Y748" s="429"/>
      <c r="Z748" s="430"/>
      <c r="AA748" s="430"/>
      <c r="AB748" s="430"/>
      <c r="AC748" s="424"/>
      <c r="AD748" s="424"/>
      <c r="AE748" s="424"/>
      <c r="AF748" s="424"/>
      <c r="AG748" s="424"/>
      <c r="AH748" s="424"/>
      <c r="AI748" s="424"/>
      <c r="AJ748" s="2"/>
      <c r="AK748" s="2"/>
      <c r="AL748" s="2"/>
      <c r="AM748" s="2"/>
      <c r="AN748" s="2"/>
      <c r="AO748" s="2"/>
      <c r="AP748" s="2"/>
      <c r="AQ748" s="427"/>
      <c r="AR748" s="754"/>
      <c r="AS748" s="427"/>
      <c r="AT748" s="754"/>
      <c r="AU748" s="427"/>
      <c r="AV748" s="427"/>
      <c r="AW748" s="427"/>
      <c r="AX748" s="427"/>
      <c r="AY748" s="754"/>
      <c r="AZ748" s="754"/>
      <c r="BA748" s="754"/>
      <c r="BB748" s="427"/>
      <c r="BC748" s="427"/>
      <c r="BD748" s="427"/>
      <c r="BE748" s="754"/>
      <c r="BF748" s="427"/>
      <c r="BG748" s="454"/>
      <c r="BH748" s="754"/>
      <c r="BI748" s="427"/>
      <c r="BJ748" s="427"/>
      <c r="BK748" s="427"/>
      <c r="BL748" s="427"/>
      <c r="BM748" s="454"/>
      <c r="BN748" s="427"/>
      <c r="BO748" s="427"/>
      <c r="BP748" s="427"/>
      <c r="BQ748" s="454"/>
      <c r="BR748" s="454"/>
      <c r="BS748" s="460"/>
      <c r="BT748" s="454"/>
      <c r="BU748" s="454"/>
      <c r="BV748" s="457"/>
      <c r="BW748" s="460"/>
      <c r="BX748" s="460"/>
      <c r="BY748" s="460"/>
      <c r="CA748" s="2"/>
      <c r="CB748" s="2"/>
      <c r="CC748" s="2"/>
      <c r="CD748" s="2"/>
      <c r="CE748" s="2"/>
      <c r="CF748" s="2"/>
      <c r="CG748" s="2"/>
      <c r="CH748" s="2"/>
      <c r="CI748" s="2"/>
      <c r="CJ748" s="2"/>
      <c r="CK748" s="2"/>
      <c r="CL748" s="2"/>
      <c r="CM748" s="2"/>
      <c r="CN748" s="2"/>
      <c r="CO748" s="427"/>
      <c r="CP748" s="427"/>
      <c r="CQ748" s="427"/>
      <c r="CR748" s="485"/>
      <c r="CS748" s="485"/>
      <c r="CT748" s="485"/>
      <c r="CU748" s="485"/>
      <c r="CV748" s="482"/>
      <c r="CW748" s="482"/>
      <c r="CX748" s="482"/>
      <c r="CY748" s="482"/>
      <c r="CZ748" s="485"/>
      <c r="DA748" s="485"/>
      <c r="DB748" s="485"/>
      <c r="DC748" s="485"/>
      <c r="DD748" s="485"/>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485"/>
      <c r="EX748" s="457"/>
      <c r="EY748" s="457"/>
      <c r="EZ748" s="457"/>
      <c r="FA748" s="457"/>
      <c r="FB748" s="457"/>
      <c r="FC748" s="457"/>
      <c r="FD748" s="457"/>
      <c r="FE748" s="457"/>
      <c r="FF748" s="457"/>
      <c r="FG748" s="457"/>
      <c r="FH748" s="457"/>
      <c r="FI748" s="457"/>
      <c r="FJ748" s="457"/>
      <c r="FK748" s="457"/>
    </row>
    <row r="749" spans="1:167" s="416" customFormat="1">
      <c r="A749" s="427"/>
      <c r="B749" s="427"/>
      <c r="C749" s="427"/>
      <c r="D749" s="427"/>
      <c r="E749" s="428"/>
      <c r="F749" s="429"/>
      <c r="G749" s="430"/>
      <c r="H749" s="427"/>
      <c r="I749" s="427"/>
      <c r="J749" s="427"/>
      <c r="K749" s="427"/>
      <c r="L749" s="427"/>
      <c r="M749" s="427"/>
      <c r="N749" s="427"/>
      <c r="O749" s="427"/>
      <c r="P749" s="427"/>
      <c r="Q749" s="427"/>
      <c r="R749" s="427"/>
      <c r="S749" s="427"/>
      <c r="T749" s="427"/>
      <c r="U749" s="427"/>
      <c r="V749" s="428"/>
      <c r="W749" s="431"/>
      <c r="X749" s="3"/>
      <c r="Y749" s="429"/>
      <c r="Z749" s="430"/>
      <c r="AA749" s="430"/>
      <c r="AB749" s="430"/>
      <c r="AC749" s="424"/>
      <c r="AD749" s="424"/>
      <c r="AE749" s="424"/>
      <c r="AF749" s="424"/>
      <c r="AG749" s="424"/>
      <c r="AH749" s="424"/>
      <c r="AI749" s="424"/>
      <c r="AJ749" s="2"/>
      <c r="AK749" s="2"/>
      <c r="AL749" s="2"/>
      <c r="AM749" s="2"/>
      <c r="AN749" s="2"/>
      <c r="AO749" s="2"/>
      <c r="AP749" s="2"/>
      <c r="AQ749" s="427"/>
      <c r="AR749" s="754"/>
      <c r="AS749" s="427"/>
      <c r="AT749" s="754"/>
      <c r="AU749" s="427"/>
      <c r="AV749" s="427"/>
      <c r="AW749" s="427"/>
      <c r="AX749" s="427"/>
      <c r="AY749" s="754"/>
      <c r="AZ749" s="754"/>
      <c r="BA749" s="754"/>
      <c r="BB749" s="427"/>
      <c r="BC749" s="427"/>
      <c r="BD749" s="427"/>
      <c r="BE749" s="754"/>
      <c r="BF749" s="427"/>
      <c r="BG749" s="454"/>
      <c r="BH749" s="754"/>
      <c r="BI749" s="427"/>
      <c r="BJ749" s="427"/>
      <c r="BK749" s="427"/>
      <c r="BL749" s="427"/>
      <c r="BM749" s="454"/>
      <c r="BN749" s="427"/>
      <c r="BO749" s="427"/>
      <c r="BP749" s="427"/>
      <c r="BQ749" s="454"/>
      <c r="BR749" s="454"/>
      <c r="BS749" s="460"/>
      <c r="BT749" s="454"/>
      <c r="BU749" s="454"/>
      <c r="BV749" s="457"/>
      <c r="BW749" s="460"/>
      <c r="BX749" s="460"/>
      <c r="BY749" s="460"/>
      <c r="CA749" s="2"/>
      <c r="CB749" s="2"/>
      <c r="CC749" s="2"/>
      <c r="CD749" s="2"/>
      <c r="CE749" s="2"/>
      <c r="CF749" s="2"/>
      <c r="CG749" s="2"/>
      <c r="CH749" s="2"/>
      <c r="CI749" s="2"/>
      <c r="CJ749" s="2"/>
      <c r="CK749" s="2"/>
      <c r="CL749" s="2"/>
      <c r="CM749" s="2"/>
      <c r="CN749" s="2"/>
      <c r="CO749" s="427"/>
      <c r="CP749" s="427"/>
      <c r="CQ749" s="427"/>
      <c r="CR749" s="485"/>
      <c r="CS749" s="485"/>
      <c r="CT749" s="485"/>
      <c r="CU749" s="485"/>
      <c r="CV749" s="482"/>
      <c r="CW749" s="482"/>
      <c r="CX749" s="482"/>
      <c r="CY749" s="482"/>
      <c r="CZ749" s="485"/>
      <c r="DA749" s="485"/>
      <c r="DB749" s="485"/>
      <c r="DC749" s="485"/>
      <c r="DD749" s="485"/>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485"/>
      <c r="EX749" s="457"/>
      <c r="EY749" s="457"/>
      <c r="EZ749" s="457"/>
      <c r="FA749" s="457"/>
      <c r="FB749" s="457"/>
      <c r="FC749" s="457"/>
      <c r="FD749" s="457"/>
      <c r="FE749" s="457"/>
      <c r="FF749" s="457"/>
      <c r="FG749" s="457"/>
      <c r="FH749" s="457"/>
      <c r="FI749" s="457"/>
      <c r="FJ749" s="457"/>
      <c r="FK749" s="457"/>
    </row>
    <row r="750" spans="1:167" s="416" customFormat="1">
      <c r="A750" s="427"/>
      <c r="B750" s="427"/>
      <c r="C750" s="427"/>
      <c r="D750" s="427"/>
      <c r="E750" s="428"/>
      <c r="F750" s="429"/>
      <c r="G750" s="430"/>
      <c r="H750" s="427"/>
      <c r="I750" s="427"/>
      <c r="J750" s="427"/>
      <c r="K750" s="427"/>
      <c r="L750" s="427"/>
      <c r="M750" s="427"/>
      <c r="N750" s="427"/>
      <c r="O750" s="427"/>
      <c r="P750" s="427"/>
      <c r="Q750" s="427"/>
      <c r="R750" s="427"/>
      <c r="S750" s="427"/>
      <c r="T750" s="427"/>
      <c r="U750" s="427"/>
      <c r="V750" s="428"/>
      <c r="W750" s="431"/>
      <c r="X750" s="3"/>
      <c r="Y750" s="429"/>
      <c r="Z750" s="430"/>
      <c r="AA750" s="430"/>
      <c r="AB750" s="430"/>
      <c r="AC750" s="424"/>
      <c r="AD750" s="424"/>
      <c r="AE750" s="424"/>
      <c r="AF750" s="424"/>
      <c r="AG750" s="424"/>
      <c r="AH750" s="424"/>
      <c r="AI750" s="424"/>
      <c r="AJ750" s="2"/>
      <c r="AK750" s="2"/>
      <c r="AL750" s="2"/>
      <c r="AM750" s="2"/>
      <c r="AN750" s="2"/>
      <c r="AO750" s="2"/>
      <c r="AP750" s="2"/>
      <c r="AQ750" s="427"/>
      <c r="AR750" s="754"/>
      <c r="AS750" s="427"/>
      <c r="AT750" s="754"/>
      <c r="AU750" s="427"/>
      <c r="AV750" s="427"/>
      <c r="AW750" s="427"/>
      <c r="AX750" s="427"/>
      <c r="AY750" s="754"/>
      <c r="AZ750" s="754"/>
      <c r="BA750" s="754"/>
      <c r="BB750" s="427"/>
      <c r="BC750" s="427"/>
      <c r="BD750" s="427"/>
      <c r="BE750" s="754"/>
      <c r="BF750" s="427"/>
      <c r="BG750" s="454"/>
      <c r="BH750" s="754"/>
      <c r="BI750" s="427"/>
      <c r="BJ750" s="427"/>
      <c r="BK750" s="427"/>
      <c r="BL750" s="427"/>
      <c r="BM750" s="454"/>
      <c r="BN750" s="427"/>
      <c r="BO750" s="427"/>
      <c r="BP750" s="427"/>
      <c r="BQ750" s="454"/>
      <c r="BR750" s="454"/>
      <c r="BS750" s="460"/>
      <c r="BT750" s="454"/>
      <c r="BU750" s="454"/>
      <c r="BV750" s="457"/>
      <c r="BW750" s="460"/>
      <c r="BX750" s="460"/>
      <c r="BY750" s="460"/>
      <c r="CA750" s="2"/>
      <c r="CB750" s="2"/>
      <c r="CC750" s="2"/>
      <c r="CD750" s="2"/>
      <c r="CE750" s="2"/>
      <c r="CF750" s="2"/>
      <c r="CG750" s="2"/>
      <c r="CH750" s="2"/>
      <c r="CI750" s="2"/>
      <c r="CJ750" s="2"/>
      <c r="CK750" s="2"/>
      <c r="CL750" s="2"/>
      <c r="CM750" s="2"/>
      <c r="CN750" s="2"/>
      <c r="CO750" s="427"/>
      <c r="CP750" s="427"/>
      <c r="CQ750" s="427"/>
      <c r="CR750" s="485"/>
      <c r="CS750" s="485"/>
      <c r="CT750" s="485"/>
      <c r="CU750" s="485"/>
      <c r="CV750" s="482"/>
      <c r="CW750" s="482"/>
      <c r="CX750" s="482"/>
      <c r="CY750" s="482"/>
      <c r="CZ750" s="485"/>
      <c r="DA750" s="485"/>
      <c r="DB750" s="485"/>
      <c r="DC750" s="485"/>
      <c r="DD750" s="485"/>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485"/>
      <c r="EX750" s="457"/>
      <c r="EY750" s="457"/>
      <c r="EZ750" s="457"/>
      <c r="FA750" s="457"/>
      <c r="FB750" s="457"/>
      <c r="FC750" s="457"/>
      <c r="FD750" s="457"/>
      <c r="FE750" s="457"/>
      <c r="FF750" s="457"/>
      <c r="FG750" s="457"/>
      <c r="FH750" s="457"/>
      <c r="FI750" s="457"/>
      <c r="FJ750" s="457"/>
      <c r="FK750" s="457"/>
    </row>
    <row r="751" spans="1:167" s="416" customFormat="1">
      <c r="A751" s="427"/>
      <c r="B751" s="427"/>
      <c r="C751" s="427"/>
      <c r="D751" s="427"/>
      <c r="E751" s="428"/>
      <c r="F751" s="429"/>
      <c r="G751" s="430"/>
      <c r="H751" s="427"/>
      <c r="I751" s="427"/>
      <c r="J751" s="427"/>
      <c r="K751" s="427"/>
      <c r="L751" s="427"/>
      <c r="M751" s="427"/>
      <c r="N751" s="427"/>
      <c r="O751" s="427"/>
      <c r="P751" s="427"/>
      <c r="Q751" s="427"/>
      <c r="R751" s="427"/>
      <c r="S751" s="427"/>
      <c r="T751" s="427"/>
      <c r="U751" s="427"/>
      <c r="V751" s="428"/>
      <c r="W751" s="431"/>
      <c r="X751" s="3"/>
      <c r="Y751" s="429"/>
      <c r="Z751" s="430"/>
      <c r="AA751" s="430"/>
      <c r="AB751" s="430"/>
      <c r="AC751" s="424"/>
      <c r="AD751" s="424"/>
      <c r="AE751" s="424"/>
      <c r="AF751" s="424"/>
      <c r="AG751" s="424"/>
      <c r="AH751" s="424"/>
      <c r="AI751" s="424"/>
      <c r="AJ751" s="2"/>
      <c r="AK751" s="2"/>
      <c r="AL751" s="2"/>
      <c r="AM751" s="2"/>
      <c r="AN751" s="2"/>
      <c r="AO751" s="2"/>
      <c r="AP751" s="2"/>
      <c r="AQ751" s="427"/>
      <c r="AR751" s="754"/>
      <c r="AS751" s="427"/>
      <c r="AT751" s="754"/>
      <c r="AU751" s="427"/>
      <c r="AV751" s="427"/>
      <c r="AW751" s="427"/>
      <c r="AX751" s="427"/>
      <c r="AY751" s="754"/>
      <c r="AZ751" s="754"/>
      <c r="BA751" s="754"/>
      <c r="BB751" s="427"/>
      <c r="BC751" s="427"/>
      <c r="BD751" s="427"/>
      <c r="BE751" s="754"/>
      <c r="BF751" s="427"/>
      <c r="BG751" s="454"/>
      <c r="BH751" s="754"/>
      <c r="BI751" s="427"/>
      <c r="BJ751" s="427"/>
      <c r="BK751" s="427"/>
      <c r="BL751" s="427"/>
      <c r="BM751" s="454"/>
      <c r="BN751" s="427"/>
      <c r="BO751" s="427"/>
      <c r="BP751" s="427"/>
      <c r="BQ751" s="454"/>
      <c r="BR751" s="454"/>
      <c r="BS751" s="460"/>
      <c r="BT751" s="454"/>
      <c r="BU751" s="454"/>
      <c r="BV751" s="457"/>
      <c r="BW751" s="460"/>
      <c r="BX751" s="460"/>
      <c r="BY751" s="460"/>
      <c r="CA751" s="2"/>
      <c r="CB751" s="2"/>
      <c r="CC751" s="2"/>
      <c r="CD751" s="2"/>
      <c r="CE751" s="2"/>
      <c r="CF751" s="2"/>
      <c r="CG751" s="2"/>
      <c r="CH751" s="2"/>
      <c r="CI751" s="2"/>
      <c r="CJ751" s="2"/>
      <c r="CK751" s="2"/>
      <c r="CL751" s="2"/>
      <c r="CM751" s="2"/>
      <c r="CN751" s="2"/>
      <c r="CO751" s="427"/>
      <c r="CP751" s="427"/>
      <c r="CQ751" s="427"/>
      <c r="CR751" s="485"/>
      <c r="CS751" s="485"/>
      <c r="CT751" s="485"/>
      <c r="CU751" s="485"/>
      <c r="CV751" s="482"/>
      <c r="CW751" s="482"/>
      <c r="CX751" s="482"/>
      <c r="CY751" s="482"/>
      <c r="CZ751" s="485"/>
      <c r="DA751" s="485"/>
      <c r="DB751" s="485"/>
      <c r="DC751" s="485"/>
      <c r="DD751" s="485"/>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485"/>
      <c r="EX751" s="457"/>
      <c r="EY751" s="457"/>
      <c r="EZ751" s="457"/>
      <c r="FA751" s="457"/>
      <c r="FB751" s="457"/>
      <c r="FC751" s="457"/>
      <c r="FD751" s="457"/>
      <c r="FE751" s="457"/>
      <c r="FF751" s="457"/>
      <c r="FG751" s="457"/>
      <c r="FH751" s="457"/>
      <c r="FI751" s="457"/>
      <c r="FJ751" s="457"/>
      <c r="FK751" s="457"/>
    </row>
    <row r="752" spans="1:167" s="416" customFormat="1">
      <c r="A752" s="427"/>
      <c r="B752" s="427"/>
      <c r="C752" s="427"/>
      <c r="D752" s="427"/>
      <c r="E752" s="428"/>
      <c r="F752" s="429"/>
      <c r="G752" s="430"/>
      <c r="H752" s="427"/>
      <c r="I752" s="427"/>
      <c r="J752" s="427"/>
      <c r="K752" s="427"/>
      <c r="L752" s="427"/>
      <c r="M752" s="427"/>
      <c r="N752" s="427"/>
      <c r="O752" s="427"/>
      <c r="P752" s="427"/>
      <c r="Q752" s="427"/>
      <c r="R752" s="427"/>
      <c r="S752" s="427"/>
      <c r="T752" s="427"/>
      <c r="U752" s="427"/>
      <c r="V752" s="428"/>
      <c r="W752" s="431"/>
      <c r="X752" s="3"/>
      <c r="Y752" s="429"/>
      <c r="Z752" s="430"/>
      <c r="AA752" s="430"/>
      <c r="AB752" s="430"/>
      <c r="AC752" s="424"/>
      <c r="AD752" s="424"/>
      <c r="AE752" s="424"/>
      <c r="AF752" s="424"/>
      <c r="AG752" s="424"/>
      <c r="AH752" s="424"/>
      <c r="AI752" s="424"/>
      <c r="AJ752" s="2"/>
      <c r="AK752" s="2"/>
      <c r="AL752" s="2"/>
      <c r="AM752" s="2"/>
      <c r="AN752" s="2"/>
      <c r="AO752" s="2"/>
      <c r="AP752" s="2"/>
      <c r="AQ752" s="427"/>
      <c r="AR752" s="754"/>
      <c r="AS752" s="427"/>
      <c r="AT752" s="754"/>
      <c r="AU752" s="427"/>
      <c r="AV752" s="427"/>
      <c r="AW752" s="427"/>
      <c r="AX752" s="427"/>
      <c r="AY752" s="754"/>
      <c r="AZ752" s="754"/>
      <c r="BA752" s="754"/>
      <c r="BB752" s="427"/>
      <c r="BC752" s="427"/>
      <c r="BD752" s="427"/>
      <c r="BE752" s="754"/>
      <c r="BF752" s="427"/>
      <c r="BG752" s="454"/>
      <c r="BH752" s="754"/>
      <c r="BI752" s="427"/>
      <c r="BJ752" s="427"/>
      <c r="BK752" s="427"/>
      <c r="BL752" s="427"/>
      <c r="BM752" s="454"/>
      <c r="BN752" s="427"/>
      <c r="BO752" s="427"/>
      <c r="BP752" s="427"/>
      <c r="BQ752" s="454"/>
      <c r="BR752" s="454"/>
      <c r="BS752" s="460"/>
      <c r="BT752" s="454"/>
      <c r="BU752" s="454"/>
      <c r="BV752" s="457"/>
      <c r="BW752" s="460"/>
      <c r="BX752" s="460"/>
      <c r="BY752" s="460"/>
      <c r="CA752" s="2"/>
      <c r="CB752" s="2"/>
      <c r="CC752" s="2"/>
      <c r="CD752" s="2"/>
      <c r="CE752" s="2"/>
      <c r="CF752" s="2"/>
      <c r="CG752" s="2"/>
      <c r="CH752" s="2"/>
      <c r="CI752" s="2"/>
      <c r="CJ752" s="2"/>
      <c r="CK752" s="2"/>
      <c r="CL752" s="2"/>
      <c r="CM752" s="2"/>
      <c r="CN752" s="2"/>
      <c r="CO752" s="427"/>
      <c r="CP752" s="427"/>
      <c r="CQ752" s="427"/>
      <c r="CR752" s="485"/>
      <c r="CS752" s="485"/>
      <c r="CT752" s="485"/>
      <c r="CU752" s="485"/>
      <c r="CV752" s="482"/>
      <c r="CW752" s="482"/>
      <c r="CX752" s="482"/>
      <c r="CY752" s="482"/>
      <c r="CZ752" s="485"/>
      <c r="DA752" s="485"/>
      <c r="DB752" s="485"/>
      <c r="DC752" s="485"/>
      <c r="DD752" s="485"/>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485"/>
      <c r="EX752" s="457"/>
      <c r="EY752" s="457"/>
      <c r="EZ752" s="457"/>
      <c r="FA752" s="457"/>
      <c r="FB752" s="457"/>
      <c r="FC752" s="457"/>
      <c r="FD752" s="457"/>
      <c r="FE752" s="457"/>
      <c r="FF752" s="457"/>
      <c r="FG752" s="457"/>
      <c r="FH752" s="457"/>
      <c r="FI752" s="457"/>
      <c r="FJ752" s="457"/>
      <c r="FK752" s="457"/>
    </row>
    <row r="753" spans="1:167" s="416" customFormat="1">
      <c r="A753" s="427"/>
      <c r="B753" s="427"/>
      <c r="C753" s="427"/>
      <c r="D753" s="427"/>
      <c r="E753" s="428"/>
      <c r="F753" s="429"/>
      <c r="G753" s="430"/>
      <c r="H753" s="427"/>
      <c r="I753" s="427"/>
      <c r="J753" s="427"/>
      <c r="K753" s="427"/>
      <c r="L753" s="427"/>
      <c r="M753" s="427"/>
      <c r="N753" s="427"/>
      <c r="O753" s="427"/>
      <c r="P753" s="427"/>
      <c r="Q753" s="427"/>
      <c r="R753" s="427"/>
      <c r="S753" s="427"/>
      <c r="T753" s="427"/>
      <c r="U753" s="427"/>
      <c r="V753" s="428"/>
      <c r="W753" s="431"/>
      <c r="X753" s="3"/>
      <c r="Y753" s="429"/>
      <c r="Z753" s="430"/>
      <c r="AA753" s="430"/>
      <c r="AB753" s="430"/>
      <c r="AC753" s="424"/>
      <c r="AD753" s="424"/>
      <c r="AE753" s="424"/>
      <c r="AF753" s="424"/>
      <c r="AG753" s="424"/>
      <c r="AH753" s="424"/>
      <c r="AI753" s="424"/>
      <c r="AJ753" s="2"/>
      <c r="AK753" s="2"/>
      <c r="AL753" s="2"/>
      <c r="AM753" s="2"/>
      <c r="AN753" s="2"/>
      <c r="AO753" s="2"/>
      <c r="AP753" s="2"/>
      <c r="AQ753" s="427"/>
      <c r="AR753" s="754"/>
      <c r="AS753" s="427"/>
      <c r="AT753" s="754"/>
      <c r="AU753" s="427"/>
      <c r="AV753" s="427"/>
      <c r="AW753" s="427"/>
      <c r="AX753" s="427"/>
      <c r="AY753" s="754"/>
      <c r="AZ753" s="754"/>
      <c r="BA753" s="754"/>
      <c r="BB753" s="427"/>
      <c r="BC753" s="427"/>
      <c r="BD753" s="427"/>
      <c r="BE753" s="754"/>
      <c r="BF753" s="427"/>
      <c r="BG753" s="454"/>
      <c r="BH753" s="754"/>
      <c r="BI753" s="427"/>
      <c r="BJ753" s="427"/>
      <c r="BK753" s="427"/>
      <c r="BL753" s="427"/>
      <c r="BM753" s="454"/>
      <c r="BN753" s="427"/>
      <c r="BO753" s="427"/>
      <c r="BP753" s="427"/>
      <c r="BQ753" s="454"/>
      <c r="BR753" s="454"/>
      <c r="BS753" s="460"/>
      <c r="BT753" s="454"/>
      <c r="BU753" s="454"/>
      <c r="BV753" s="457"/>
      <c r="BW753" s="460"/>
      <c r="BX753" s="460"/>
      <c r="BY753" s="460"/>
      <c r="CA753" s="2"/>
      <c r="CB753" s="2"/>
      <c r="CC753" s="2"/>
      <c r="CD753" s="2"/>
      <c r="CE753" s="2"/>
      <c r="CF753" s="2"/>
      <c r="CG753" s="2"/>
      <c r="CH753" s="2"/>
      <c r="CI753" s="2"/>
      <c r="CJ753" s="2"/>
      <c r="CK753" s="2"/>
      <c r="CL753" s="2"/>
      <c r="CM753" s="2"/>
      <c r="CN753" s="2"/>
      <c r="CO753" s="427"/>
      <c r="CP753" s="427"/>
      <c r="CQ753" s="427"/>
      <c r="CR753" s="485"/>
      <c r="CS753" s="485"/>
      <c r="CT753" s="485"/>
      <c r="CU753" s="485"/>
      <c r="CV753" s="482"/>
      <c r="CW753" s="482"/>
      <c r="CX753" s="482"/>
      <c r="CY753" s="482"/>
      <c r="CZ753" s="485"/>
      <c r="DA753" s="485"/>
      <c r="DB753" s="485"/>
      <c r="DC753" s="485"/>
      <c r="DD753" s="485"/>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485"/>
      <c r="EX753" s="457"/>
      <c r="EY753" s="457"/>
      <c r="EZ753" s="457"/>
      <c r="FA753" s="457"/>
      <c r="FB753" s="457"/>
      <c r="FC753" s="457"/>
      <c r="FD753" s="457"/>
      <c r="FE753" s="457"/>
      <c r="FF753" s="457"/>
      <c r="FG753" s="457"/>
      <c r="FH753" s="457"/>
      <c r="FI753" s="457"/>
      <c r="FJ753" s="457"/>
      <c r="FK753" s="457"/>
    </row>
    <row r="754" spans="1:167" s="416" customFormat="1">
      <c r="A754" s="427"/>
      <c r="B754" s="427"/>
      <c r="C754" s="427"/>
      <c r="D754" s="427"/>
      <c r="E754" s="428"/>
      <c r="F754" s="429"/>
      <c r="G754" s="430"/>
      <c r="H754" s="427"/>
      <c r="I754" s="427"/>
      <c r="J754" s="427"/>
      <c r="K754" s="427"/>
      <c r="L754" s="427"/>
      <c r="M754" s="427"/>
      <c r="N754" s="427"/>
      <c r="O754" s="427"/>
      <c r="P754" s="427"/>
      <c r="Q754" s="427"/>
      <c r="R754" s="427"/>
      <c r="S754" s="427"/>
      <c r="T754" s="427"/>
      <c r="U754" s="427"/>
      <c r="V754" s="428"/>
      <c r="W754" s="431"/>
      <c r="X754" s="3"/>
      <c r="Y754" s="429"/>
      <c r="Z754" s="430"/>
      <c r="AA754" s="430"/>
      <c r="AB754" s="430"/>
      <c r="AC754" s="424"/>
      <c r="AD754" s="424"/>
      <c r="AE754" s="424"/>
      <c r="AF754" s="424"/>
      <c r="AG754" s="424"/>
      <c r="AH754" s="424"/>
      <c r="AI754" s="424"/>
      <c r="AJ754" s="2"/>
      <c r="AK754" s="2"/>
      <c r="AL754" s="2"/>
      <c r="AM754" s="2"/>
      <c r="AN754" s="2"/>
      <c r="AO754" s="2"/>
      <c r="AP754" s="2"/>
      <c r="AQ754" s="427"/>
      <c r="AR754" s="754"/>
      <c r="AS754" s="427"/>
      <c r="AT754" s="754"/>
      <c r="AU754" s="427"/>
      <c r="AV754" s="427"/>
      <c r="AW754" s="427"/>
      <c r="AX754" s="427"/>
      <c r="AY754" s="754"/>
      <c r="AZ754" s="754"/>
      <c r="BA754" s="754"/>
      <c r="BB754" s="427"/>
      <c r="BC754" s="427"/>
      <c r="BD754" s="427"/>
      <c r="BE754" s="754"/>
      <c r="BF754" s="427"/>
      <c r="BG754" s="454"/>
      <c r="BH754" s="754"/>
      <c r="BI754" s="427"/>
      <c r="BJ754" s="427"/>
      <c r="BK754" s="427"/>
      <c r="BL754" s="427"/>
      <c r="BM754" s="454"/>
      <c r="BN754" s="427"/>
      <c r="BO754" s="427"/>
      <c r="BP754" s="427"/>
      <c r="BQ754" s="454"/>
      <c r="BR754" s="454"/>
      <c r="BS754" s="460"/>
      <c r="BT754" s="454"/>
      <c r="BU754" s="454"/>
      <c r="BV754" s="457"/>
      <c r="BW754" s="460"/>
      <c r="BX754" s="460"/>
      <c r="BY754" s="460"/>
      <c r="CA754" s="2"/>
      <c r="CB754" s="2"/>
      <c r="CC754" s="2"/>
      <c r="CD754" s="2"/>
      <c r="CE754" s="2"/>
      <c r="CF754" s="2"/>
      <c r="CG754" s="2"/>
      <c r="CH754" s="2"/>
      <c r="CI754" s="2"/>
      <c r="CJ754" s="2"/>
      <c r="CK754" s="2"/>
      <c r="CL754" s="2"/>
      <c r="CM754" s="2"/>
      <c r="CN754" s="2"/>
      <c r="CO754" s="427"/>
      <c r="CP754" s="427"/>
      <c r="CQ754" s="427"/>
      <c r="CR754" s="485"/>
      <c r="CS754" s="485"/>
      <c r="CT754" s="485"/>
      <c r="CU754" s="485"/>
      <c r="CV754" s="482"/>
      <c r="CW754" s="482"/>
      <c r="CX754" s="482"/>
      <c r="CY754" s="482"/>
      <c r="CZ754" s="485"/>
      <c r="DA754" s="485"/>
      <c r="DB754" s="485"/>
      <c r="DC754" s="485"/>
      <c r="DD754" s="485"/>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485"/>
      <c r="EX754" s="457"/>
      <c r="EY754" s="457"/>
      <c r="EZ754" s="457"/>
      <c r="FA754" s="457"/>
      <c r="FB754" s="457"/>
      <c r="FC754" s="457"/>
      <c r="FD754" s="457"/>
      <c r="FE754" s="457"/>
      <c r="FF754" s="457"/>
      <c r="FG754" s="457"/>
      <c r="FH754" s="457"/>
      <c r="FI754" s="457"/>
      <c r="FJ754" s="457"/>
      <c r="FK754" s="457"/>
    </row>
    <row r="755" spans="1:167" s="416" customFormat="1">
      <c r="A755" s="427"/>
      <c r="B755" s="427"/>
      <c r="C755" s="427"/>
      <c r="D755" s="427"/>
      <c r="E755" s="428"/>
      <c r="F755" s="429"/>
      <c r="G755" s="430"/>
      <c r="H755" s="427"/>
      <c r="I755" s="427"/>
      <c r="J755" s="427"/>
      <c r="K755" s="427"/>
      <c r="L755" s="427"/>
      <c r="M755" s="427"/>
      <c r="N755" s="427"/>
      <c r="O755" s="427"/>
      <c r="P755" s="427"/>
      <c r="Q755" s="427"/>
      <c r="R755" s="427"/>
      <c r="S755" s="427"/>
      <c r="T755" s="427"/>
      <c r="U755" s="427"/>
      <c r="V755" s="428"/>
      <c r="W755" s="431"/>
      <c r="X755" s="3"/>
      <c r="Y755" s="429"/>
      <c r="Z755" s="430"/>
      <c r="AA755" s="430"/>
      <c r="AB755" s="430"/>
      <c r="AC755" s="424"/>
      <c r="AD755" s="424"/>
      <c r="AE755" s="424"/>
      <c r="AF755" s="424"/>
      <c r="AG755" s="424"/>
      <c r="AH755" s="424"/>
      <c r="AI755" s="424"/>
      <c r="AJ755" s="2"/>
      <c r="AK755" s="2"/>
      <c r="AL755" s="2"/>
      <c r="AM755" s="2"/>
      <c r="AN755" s="2"/>
      <c r="AO755" s="2"/>
      <c r="AP755" s="2"/>
      <c r="AQ755" s="427"/>
      <c r="AR755" s="754"/>
      <c r="AS755" s="427"/>
      <c r="AT755" s="754"/>
      <c r="AU755" s="427"/>
      <c r="AV755" s="427"/>
      <c r="AW755" s="427"/>
      <c r="AX755" s="427"/>
      <c r="AY755" s="754"/>
      <c r="AZ755" s="754"/>
      <c r="BA755" s="754"/>
      <c r="BB755" s="427"/>
      <c r="BC755" s="427"/>
      <c r="BD755" s="427"/>
      <c r="BE755" s="754"/>
      <c r="BF755" s="427"/>
      <c r="BG755" s="454"/>
      <c r="BH755" s="754"/>
      <c r="BI755" s="427"/>
      <c r="BJ755" s="427"/>
      <c r="BK755" s="427"/>
      <c r="BL755" s="427"/>
      <c r="BM755" s="454"/>
      <c r="BN755" s="427"/>
      <c r="BO755" s="427"/>
      <c r="BP755" s="427"/>
      <c r="BQ755" s="454"/>
      <c r="BR755" s="454"/>
      <c r="BS755" s="460"/>
      <c r="BT755" s="454"/>
      <c r="BU755" s="454"/>
      <c r="BV755" s="457"/>
      <c r="BW755" s="460"/>
      <c r="BX755" s="460"/>
      <c r="BY755" s="460"/>
      <c r="CA755" s="2"/>
      <c r="CB755" s="2"/>
      <c r="CC755" s="2"/>
      <c r="CD755" s="2"/>
      <c r="CE755" s="2"/>
      <c r="CF755" s="2"/>
      <c r="CG755" s="2"/>
      <c r="CH755" s="2"/>
      <c r="CI755" s="2"/>
      <c r="CJ755" s="2"/>
      <c r="CK755" s="2"/>
      <c r="CL755" s="2"/>
      <c r="CM755" s="2"/>
      <c r="CN755" s="2"/>
      <c r="CO755" s="427"/>
      <c r="CP755" s="427"/>
      <c r="CQ755" s="427"/>
      <c r="CR755" s="485"/>
      <c r="CS755" s="485"/>
      <c r="CT755" s="485"/>
      <c r="CU755" s="485"/>
      <c r="CV755" s="482"/>
      <c r="CW755" s="482"/>
      <c r="CX755" s="482"/>
      <c r="CY755" s="482"/>
      <c r="CZ755" s="485"/>
      <c r="DA755" s="485"/>
      <c r="DB755" s="485"/>
      <c r="DC755" s="485"/>
      <c r="DD755" s="485"/>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485"/>
      <c r="EX755" s="457"/>
      <c r="EY755" s="457"/>
      <c r="EZ755" s="457"/>
      <c r="FA755" s="457"/>
      <c r="FB755" s="457"/>
      <c r="FC755" s="457"/>
      <c r="FD755" s="457"/>
      <c r="FE755" s="457"/>
      <c r="FF755" s="457"/>
      <c r="FG755" s="457"/>
      <c r="FH755" s="457"/>
      <c r="FI755" s="457"/>
      <c r="FJ755" s="457"/>
      <c r="FK755" s="457"/>
    </row>
    <row r="756" spans="1:167" s="416" customFormat="1">
      <c r="A756" s="427"/>
      <c r="B756" s="427"/>
      <c r="C756" s="427"/>
      <c r="D756" s="427"/>
      <c r="E756" s="428"/>
      <c r="F756" s="429"/>
      <c r="G756" s="430"/>
      <c r="H756" s="427"/>
      <c r="I756" s="427"/>
      <c r="J756" s="427"/>
      <c r="K756" s="427"/>
      <c r="L756" s="427"/>
      <c r="M756" s="427"/>
      <c r="N756" s="427"/>
      <c r="O756" s="427"/>
      <c r="P756" s="427"/>
      <c r="Q756" s="427"/>
      <c r="R756" s="427"/>
      <c r="S756" s="427"/>
      <c r="T756" s="427"/>
      <c r="U756" s="427"/>
      <c r="V756" s="428"/>
      <c r="W756" s="431"/>
      <c r="X756" s="3"/>
      <c r="Y756" s="429"/>
      <c r="Z756" s="430"/>
      <c r="AA756" s="430"/>
      <c r="AB756" s="430"/>
      <c r="AC756" s="424"/>
      <c r="AD756" s="424"/>
      <c r="AE756" s="424"/>
      <c r="AF756" s="424"/>
      <c r="AG756" s="424"/>
      <c r="AH756" s="424"/>
      <c r="AI756" s="424"/>
      <c r="AJ756" s="2"/>
      <c r="AK756" s="2"/>
      <c r="AL756" s="2"/>
      <c r="AM756" s="2"/>
      <c r="AN756" s="2"/>
      <c r="AO756" s="2"/>
      <c r="AP756" s="2"/>
      <c r="AQ756" s="427"/>
      <c r="AR756" s="754"/>
      <c r="AS756" s="427"/>
      <c r="AT756" s="754"/>
      <c r="AU756" s="427"/>
      <c r="AV756" s="427"/>
      <c r="AW756" s="427"/>
      <c r="AX756" s="427"/>
      <c r="AY756" s="754"/>
      <c r="AZ756" s="754"/>
      <c r="BA756" s="754"/>
      <c r="BB756" s="427"/>
      <c r="BC756" s="427"/>
      <c r="BD756" s="427"/>
      <c r="BE756" s="754"/>
      <c r="BF756" s="427"/>
      <c r="BG756" s="454"/>
      <c r="BH756" s="754"/>
      <c r="BI756" s="427"/>
      <c r="BJ756" s="427"/>
      <c r="BK756" s="427"/>
      <c r="BL756" s="427"/>
      <c r="BM756" s="454"/>
      <c r="BN756" s="427"/>
      <c r="BO756" s="427"/>
      <c r="BP756" s="427"/>
      <c r="BQ756" s="454"/>
      <c r="BR756" s="454"/>
      <c r="BS756" s="460"/>
      <c r="BT756" s="454"/>
      <c r="BU756" s="454"/>
      <c r="BV756" s="457"/>
      <c r="BW756" s="460"/>
      <c r="BX756" s="460"/>
      <c r="BY756" s="460"/>
      <c r="CA756" s="2"/>
      <c r="CB756" s="2"/>
      <c r="CC756" s="2"/>
      <c r="CD756" s="2"/>
      <c r="CE756" s="2"/>
      <c r="CF756" s="2"/>
      <c r="CG756" s="2"/>
      <c r="CH756" s="2"/>
      <c r="CI756" s="2"/>
      <c r="CJ756" s="2"/>
      <c r="CK756" s="2"/>
      <c r="CL756" s="2"/>
      <c r="CM756" s="2"/>
      <c r="CN756" s="2"/>
      <c r="CO756" s="427"/>
      <c r="CP756" s="427"/>
      <c r="CQ756" s="427"/>
      <c r="CR756" s="485"/>
      <c r="CS756" s="485"/>
      <c r="CT756" s="485"/>
      <c r="CU756" s="485"/>
      <c r="CV756" s="482"/>
      <c r="CW756" s="482"/>
      <c r="CX756" s="482"/>
      <c r="CY756" s="482"/>
      <c r="CZ756" s="485"/>
      <c r="DA756" s="485"/>
      <c r="DB756" s="485"/>
      <c r="DC756" s="485"/>
      <c r="DD756" s="485"/>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485"/>
      <c r="EX756" s="457"/>
      <c r="EY756" s="457"/>
      <c r="EZ756" s="457"/>
      <c r="FA756" s="457"/>
      <c r="FB756" s="457"/>
      <c r="FC756" s="457"/>
      <c r="FD756" s="457"/>
      <c r="FE756" s="457"/>
      <c r="FF756" s="457"/>
      <c r="FG756" s="457"/>
      <c r="FH756" s="457"/>
      <c r="FI756" s="457"/>
      <c r="FJ756" s="457"/>
      <c r="FK756" s="457"/>
    </row>
    <row r="757" spans="1:167" s="416" customFormat="1">
      <c r="A757" s="427"/>
      <c r="B757" s="427"/>
      <c r="C757" s="427"/>
      <c r="D757" s="427"/>
      <c r="E757" s="428"/>
      <c r="F757" s="429"/>
      <c r="G757" s="430"/>
      <c r="H757" s="427"/>
      <c r="I757" s="427"/>
      <c r="J757" s="427"/>
      <c r="K757" s="427"/>
      <c r="L757" s="427"/>
      <c r="M757" s="427"/>
      <c r="N757" s="427"/>
      <c r="O757" s="427"/>
      <c r="P757" s="427"/>
      <c r="Q757" s="427"/>
      <c r="R757" s="427"/>
      <c r="S757" s="427"/>
      <c r="T757" s="427"/>
      <c r="U757" s="427"/>
      <c r="V757" s="428"/>
      <c r="W757" s="431"/>
      <c r="X757" s="3"/>
      <c r="Y757" s="429"/>
      <c r="Z757" s="430"/>
      <c r="AA757" s="430"/>
      <c r="AB757" s="430"/>
      <c r="AC757" s="424"/>
      <c r="AD757" s="424"/>
      <c r="AE757" s="424"/>
      <c r="AF757" s="424"/>
      <c r="AG757" s="424"/>
      <c r="AH757" s="424"/>
      <c r="AI757" s="424"/>
      <c r="AJ757" s="2"/>
      <c r="AK757" s="2"/>
      <c r="AL757" s="2"/>
      <c r="AM757" s="2"/>
      <c r="AN757" s="2"/>
      <c r="AO757" s="2"/>
      <c r="AP757" s="2"/>
      <c r="AQ757" s="427"/>
      <c r="AR757" s="754"/>
      <c r="AS757" s="427"/>
      <c r="AT757" s="754"/>
      <c r="AU757" s="427"/>
      <c r="AV757" s="427"/>
      <c r="AW757" s="427"/>
      <c r="AX757" s="427"/>
      <c r="AY757" s="754"/>
      <c r="AZ757" s="754"/>
      <c r="BA757" s="754"/>
      <c r="BB757" s="427"/>
      <c r="BC757" s="427"/>
      <c r="BD757" s="427"/>
      <c r="BE757" s="754"/>
      <c r="BF757" s="427"/>
      <c r="BG757" s="454"/>
      <c r="BH757" s="754"/>
      <c r="BI757" s="427"/>
      <c r="BJ757" s="427"/>
      <c r="BK757" s="427"/>
      <c r="BL757" s="427"/>
      <c r="BM757" s="454"/>
      <c r="BN757" s="427"/>
      <c r="BO757" s="427"/>
      <c r="BP757" s="427"/>
      <c r="BQ757" s="454"/>
      <c r="BR757" s="454"/>
      <c r="BS757" s="460"/>
      <c r="BT757" s="454"/>
      <c r="BU757" s="454"/>
      <c r="BV757" s="457"/>
      <c r="BW757" s="460"/>
      <c r="BX757" s="460"/>
      <c r="BY757" s="460"/>
      <c r="CA757" s="2"/>
      <c r="CB757" s="2"/>
      <c r="CC757" s="2"/>
      <c r="CD757" s="2"/>
      <c r="CE757" s="2"/>
      <c r="CF757" s="2"/>
      <c r="CG757" s="2"/>
      <c r="CH757" s="2"/>
      <c r="CI757" s="2"/>
      <c r="CJ757" s="2"/>
      <c r="CK757" s="2"/>
      <c r="CL757" s="2"/>
      <c r="CM757" s="2"/>
      <c r="CN757" s="2"/>
      <c r="CO757" s="427"/>
      <c r="CP757" s="427"/>
      <c r="CQ757" s="427"/>
      <c r="CR757" s="485"/>
      <c r="CS757" s="485"/>
      <c r="CT757" s="485"/>
      <c r="CU757" s="485"/>
      <c r="CV757" s="482"/>
      <c r="CW757" s="482"/>
      <c r="CX757" s="482"/>
      <c r="CY757" s="482"/>
      <c r="CZ757" s="485"/>
      <c r="DA757" s="485"/>
      <c r="DB757" s="485"/>
      <c r="DC757" s="485"/>
      <c r="DD757" s="485"/>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485"/>
      <c r="EX757" s="457"/>
      <c r="EY757" s="457"/>
      <c r="EZ757" s="457"/>
      <c r="FA757" s="457"/>
      <c r="FB757" s="457"/>
      <c r="FC757" s="457"/>
      <c r="FD757" s="457"/>
      <c r="FE757" s="457"/>
      <c r="FF757" s="457"/>
      <c r="FG757" s="457"/>
      <c r="FH757" s="457"/>
      <c r="FI757" s="457"/>
      <c r="FJ757" s="457"/>
      <c r="FK757" s="457"/>
    </row>
    <row r="758" spans="1:167" s="416" customFormat="1">
      <c r="A758" s="427"/>
      <c r="B758" s="427"/>
      <c r="C758" s="427"/>
      <c r="D758" s="427"/>
      <c r="E758" s="428"/>
      <c r="F758" s="429"/>
      <c r="G758" s="430"/>
      <c r="H758" s="427"/>
      <c r="I758" s="427"/>
      <c r="J758" s="427"/>
      <c r="K758" s="427"/>
      <c r="L758" s="427"/>
      <c r="M758" s="427"/>
      <c r="N758" s="427"/>
      <c r="O758" s="427"/>
      <c r="P758" s="427"/>
      <c r="Q758" s="427"/>
      <c r="R758" s="427"/>
      <c r="S758" s="427"/>
      <c r="T758" s="427"/>
      <c r="U758" s="427"/>
      <c r="V758" s="428"/>
      <c r="W758" s="431"/>
      <c r="X758" s="3"/>
      <c r="Y758" s="429"/>
      <c r="Z758" s="430"/>
      <c r="AA758" s="430"/>
      <c r="AB758" s="430"/>
      <c r="AC758" s="424"/>
      <c r="AD758" s="424"/>
      <c r="AE758" s="424"/>
      <c r="AF758" s="424"/>
      <c r="AG758" s="424"/>
      <c r="AH758" s="424"/>
      <c r="AI758" s="424"/>
      <c r="AJ758" s="2"/>
      <c r="AK758" s="2"/>
      <c r="AL758" s="2"/>
      <c r="AM758" s="2"/>
      <c r="AN758" s="2"/>
      <c r="AO758" s="2"/>
      <c r="AP758" s="2"/>
      <c r="AQ758" s="427"/>
      <c r="AR758" s="754"/>
      <c r="AS758" s="427"/>
      <c r="AT758" s="754"/>
      <c r="AU758" s="427"/>
      <c r="AV758" s="427"/>
      <c r="AW758" s="427"/>
      <c r="AX758" s="427"/>
      <c r="AY758" s="754"/>
      <c r="AZ758" s="754"/>
      <c r="BA758" s="754"/>
      <c r="BB758" s="427"/>
      <c r="BC758" s="427"/>
      <c r="BD758" s="427"/>
      <c r="BE758" s="754"/>
      <c r="BF758" s="427"/>
      <c r="BG758" s="454"/>
      <c r="BH758" s="754"/>
      <c r="BI758" s="427"/>
      <c r="BJ758" s="427"/>
      <c r="BK758" s="427"/>
      <c r="BL758" s="427"/>
      <c r="BM758" s="454"/>
      <c r="BN758" s="427"/>
      <c r="BO758" s="427"/>
      <c r="BP758" s="427"/>
      <c r="BQ758" s="454"/>
      <c r="BR758" s="454"/>
      <c r="BS758" s="460"/>
      <c r="BT758" s="454"/>
      <c r="BU758" s="454"/>
      <c r="BV758" s="457"/>
      <c r="BW758" s="460"/>
      <c r="BX758" s="460"/>
      <c r="BY758" s="460"/>
      <c r="CA758" s="2"/>
      <c r="CB758" s="2"/>
      <c r="CC758" s="2"/>
      <c r="CD758" s="2"/>
      <c r="CE758" s="2"/>
      <c r="CF758" s="2"/>
      <c r="CG758" s="2"/>
      <c r="CH758" s="2"/>
      <c r="CI758" s="2"/>
      <c r="CJ758" s="2"/>
      <c r="CK758" s="2"/>
      <c r="CL758" s="2"/>
      <c r="CM758" s="2"/>
      <c r="CN758" s="2"/>
      <c r="CO758" s="427"/>
      <c r="CP758" s="427"/>
      <c r="CQ758" s="427"/>
      <c r="CR758" s="485"/>
      <c r="CS758" s="485"/>
      <c r="CT758" s="485"/>
      <c r="CU758" s="485"/>
      <c r="CV758" s="482"/>
      <c r="CW758" s="482"/>
      <c r="CX758" s="482"/>
      <c r="CY758" s="482"/>
      <c r="CZ758" s="485"/>
      <c r="DA758" s="485"/>
      <c r="DB758" s="485"/>
      <c r="DC758" s="485"/>
      <c r="DD758" s="485"/>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485"/>
      <c r="EX758" s="457"/>
      <c r="EY758" s="457"/>
      <c r="EZ758" s="457"/>
      <c r="FA758" s="457"/>
      <c r="FB758" s="457"/>
      <c r="FC758" s="457"/>
      <c r="FD758" s="457"/>
      <c r="FE758" s="457"/>
      <c r="FF758" s="457"/>
      <c r="FG758" s="457"/>
      <c r="FH758" s="457"/>
      <c r="FI758" s="457"/>
      <c r="FJ758" s="457"/>
      <c r="FK758" s="457"/>
    </row>
    <row r="759" spans="1:167" s="416" customFormat="1">
      <c r="A759" s="427"/>
      <c r="B759" s="427"/>
      <c r="C759" s="427"/>
      <c r="D759" s="427"/>
      <c r="E759" s="428"/>
      <c r="F759" s="429"/>
      <c r="G759" s="430"/>
      <c r="H759" s="427"/>
      <c r="I759" s="427"/>
      <c r="J759" s="427"/>
      <c r="K759" s="427"/>
      <c r="L759" s="427"/>
      <c r="M759" s="427"/>
      <c r="N759" s="427"/>
      <c r="O759" s="427"/>
      <c r="P759" s="427"/>
      <c r="Q759" s="427"/>
      <c r="R759" s="427"/>
      <c r="S759" s="427"/>
      <c r="T759" s="427"/>
      <c r="U759" s="427"/>
      <c r="V759" s="428"/>
      <c r="W759" s="431"/>
      <c r="X759" s="3"/>
      <c r="Y759" s="429"/>
      <c r="Z759" s="430"/>
      <c r="AA759" s="430"/>
      <c r="AB759" s="430"/>
      <c r="AC759" s="424"/>
      <c r="AD759" s="424"/>
      <c r="AE759" s="424"/>
      <c r="AF759" s="424"/>
      <c r="AG759" s="424"/>
      <c r="AH759" s="424"/>
      <c r="AI759" s="424"/>
      <c r="AJ759" s="2"/>
      <c r="AK759" s="2"/>
      <c r="AL759" s="2"/>
      <c r="AM759" s="2"/>
      <c r="AN759" s="2"/>
      <c r="AO759" s="2"/>
      <c r="AP759" s="2"/>
      <c r="AQ759" s="427"/>
      <c r="AR759" s="754"/>
      <c r="AS759" s="427"/>
      <c r="AT759" s="754"/>
      <c r="AU759" s="427"/>
      <c r="AV759" s="427"/>
      <c r="AW759" s="427"/>
      <c r="AX759" s="427"/>
      <c r="AY759" s="754"/>
      <c r="AZ759" s="754"/>
      <c r="BA759" s="754"/>
      <c r="BB759" s="427"/>
      <c r="BC759" s="427"/>
      <c r="BD759" s="427"/>
      <c r="BE759" s="754"/>
      <c r="BF759" s="427"/>
      <c r="BG759" s="454"/>
      <c r="BH759" s="754"/>
      <c r="BI759" s="427"/>
      <c r="BJ759" s="427"/>
      <c r="BK759" s="427"/>
      <c r="BL759" s="427"/>
      <c r="BM759" s="454"/>
      <c r="BN759" s="427"/>
      <c r="BO759" s="427"/>
      <c r="BP759" s="427"/>
      <c r="BQ759" s="454"/>
      <c r="BR759" s="454"/>
      <c r="BS759" s="460"/>
      <c r="BT759" s="454"/>
      <c r="BU759" s="454"/>
      <c r="BV759" s="457"/>
      <c r="BW759" s="460"/>
      <c r="BX759" s="460"/>
      <c r="BY759" s="460"/>
      <c r="CA759" s="2"/>
      <c r="CB759" s="2"/>
      <c r="CC759" s="2"/>
      <c r="CD759" s="2"/>
      <c r="CE759" s="2"/>
      <c r="CF759" s="2"/>
      <c r="CG759" s="2"/>
      <c r="CH759" s="2"/>
      <c r="CI759" s="2"/>
      <c r="CJ759" s="2"/>
      <c r="CK759" s="2"/>
      <c r="CL759" s="2"/>
      <c r="CM759" s="2"/>
      <c r="CN759" s="2"/>
      <c r="CO759" s="427"/>
      <c r="CP759" s="427"/>
      <c r="CQ759" s="427"/>
      <c r="CR759" s="485"/>
      <c r="CS759" s="485"/>
      <c r="CT759" s="485"/>
      <c r="CU759" s="485"/>
      <c r="CV759" s="482"/>
      <c r="CW759" s="482"/>
      <c r="CX759" s="482"/>
      <c r="CY759" s="482"/>
      <c r="CZ759" s="485"/>
      <c r="DA759" s="485"/>
      <c r="DB759" s="485"/>
      <c r="DC759" s="485"/>
      <c r="DD759" s="485"/>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485"/>
      <c r="EX759" s="457"/>
      <c r="EY759" s="457"/>
      <c r="EZ759" s="457"/>
      <c r="FA759" s="457"/>
      <c r="FB759" s="457"/>
      <c r="FC759" s="457"/>
      <c r="FD759" s="457"/>
      <c r="FE759" s="457"/>
      <c r="FF759" s="457"/>
      <c r="FG759" s="457"/>
      <c r="FH759" s="457"/>
      <c r="FI759" s="457"/>
      <c r="FJ759" s="457"/>
      <c r="FK759" s="457"/>
    </row>
    <row r="760" spans="1:167" s="416" customFormat="1">
      <c r="A760" s="427"/>
      <c r="B760" s="427"/>
      <c r="C760" s="427"/>
      <c r="D760" s="427"/>
      <c r="E760" s="428"/>
      <c r="F760" s="429"/>
      <c r="G760" s="430"/>
      <c r="H760" s="427"/>
      <c r="I760" s="427"/>
      <c r="J760" s="427"/>
      <c r="K760" s="427"/>
      <c r="L760" s="427"/>
      <c r="M760" s="427"/>
      <c r="N760" s="427"/>
      <c r="O760" s="427"/>
      <c r="P760" s="427"/>
      <c r="Q760" s="427"/>
      <c r="R760" s="427"/>
      <c r="S760" s="427"/>
      <c r="T760" s="427"/>
      <c r="U760" s="427"/>
      <c r="V760" s="428"/>
      <c r="W760" s="431"/>
      <c r="X760" s="3"/>
      <c r="Y760" s="429"/>
      <c r="Z760" s="430"/>
      <c r="AA760" s="430"/>
      <c r="AB760" s="430"/>
      <c r="AC760" s="424"/>
      <c r="AD760" s="424"/>
      <c r="AE760" s="424"/>
      <c r="AF760" s="424"/>
      <c r="AG760" s="424"/>
      <c r="AH760" s="424"/>
      <c r="AI760" s="424"/>
      <c r="AJ760" s="2"/>
      <c r="AK760" s="2"/>
      <c r="AL760" s="2"/>
      <c r="AM760" s="2"/>
      <c r="AN760" s="2"/>
      <c r="AO760" s="2"/>
      <c r="AP760" s="2"/>
      <c r="AQ760" s="427"/>
      <c r="AR760" s="754"/>
      <c r="AS760" s="427"/>
      <c r="AT760" s="754"/>
      <c r="AU760" s="427"/>
      <c r="AV760" s="427"/>
      <c r="AW760" s="427"/>
      <c r="AX760" s="427"/>
      <c r="AY760" s="754"/>
      <c r="AZ760" s="754"/>
      <c r="BA760" s="754"/>
      <c r="BB760" s="427"/>
      <c r="BC760" s="427"/>
      <c r="BD760" s="427"/>
      <c r="BE760" s="754"/>
      <c r="BF760" s="427"/>
      <c r="BG760" s="454"/>
      <c r="BH760" s="754"/>
      <c r="BI760" s="427"/>
      <c r="BJ760" s="427"/>
      <c r="BK760" s="427"/>
      <c r="BL760" s="427"/>
      <c r="BM760" s="454"/>
      <c r="BN760" s="427"/>
      <c r="BO760" s="427"/>
      <c r="BP760" s="427"/>
      <c r="BQ760" s="454"/>
      <c r="BR760" s="454"/>
      <c r="BS760" s="460"/>
      <c r="BT760" s="454"/>
      <c r="BU760" s="454"/>
      <c r="BV760" s="457"/>
      <c r="BW760" s="460"/>
      <c r="BX760" s="460"/>
      <c r="BY760" s="460"/>
      <c r="CA760" s="2"/>
      <c r="CB760" s="2"/>
      <c r="CC760" s="2"/>
      <c r="CD760" s="2"/>
      <c r="CE760" s="2"/>
      <c r="CF760" s="2"/>
      <c r="CG760" s="2"/>
      <c r="CH760" s="2"/>
      <c r="CI760" s="2"/>
      <c r="CJ760" s="2"/>
      <c r="CK760" s="2"/>
      <c r="CL760" s="2"/>
      <c r="CM760" s="2"/>
      <c r="CN760" s="2"/>
      <c r="CO760" s="427"/>
      <c r="CP760" s="427"/>
      <c r="CQ760" s="427"/>
      <c r="CR760" s="485"/>
      <c r="CS760" s="485"/>
      <c r="CT760" s="485"/>
      <c r="CU760" s="485"/>
      <c r="CV760" s="482"/>
      <c r="CW760" s="482"/>
      <c r="CX760" s="482"/>
      <c r="CY760" s="482"/>
      <c r="CZ760" s="485"/>
      <c r="DA760" s="485"/>
      <c r="DB760" s="485"/>
      <c r="DC760" s="485"/>
      <c r="DD760" s="485"/>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485"/>
      <c r="EX760" s="457"/>
      <c r="EY760" s="457"/>
      <c r="EZ760" s="457"/>
      <c r="FA760" s="457"/>
      <c r="FB760" s="457"/>
      <c r="FC760" s="457"/>
      <c r="FD760" s="457"/>
      <c r="FE760" s="457"/>
      <c r="FF760" s="457"/>
      <c r="FG760" s="457"/>
      <c r="FH760" s="457"/>
      <c r="FI760" s="457"/>
      <c r="FJ760" s="457"/>
      <c r="FK760" s="457"/>
    </row>
    <row r="761" spans="1:167" s="416" customFormat="1">
      <c r="A761" s="427"/>
      <c r="B761" s="427"/>
      <c r="C761" s="427"/>
      <c r="D761" s="427"/>
      <c r="E761" s="428"/>
      <c r="F761" s="429"/>
      <c r="G761" s="430"/>
      <c r="H761" s="427"/>
      <c r="I761" s="427"/>
      <c r="J761" s="427"/>
      <c r="K761" s="427"/>
      <c r="L761" s="427"/>
      <c r="M761" s="427"/>
      <c r="N761" s="427"/>
      <c r="O761" s="427"/>
      <c r="P761" s="427"/>
      <c r="Q761" s="427"/>
      <c r="R761" s="427"/>
      <c r="S761" s="427"/>
      <c r="T761" s="427"/>
      <c r="U761" s="427"/>
      <c r="V761" s="428"/>
      <c r="W761" s="431"/>
      <c r="X761" s="3"/>
      <c r="Y761" s="429"/>
      <c r="Z761" s="430"/>
      <c r="AA761" s="430"/>
      <c r="AB761" s="430"/>
      <c r="AC761" s="424"/>
      <c r="AD761" s="424"/>
      <c r="AE761" s="424"/>
      <c r="AF761" s="424"/>
      <c r="AG761" s="424"/>
      <c r="AH761" s="424"/>
      <c r="AI761" s="424"/>
      <c r="AJ761" s="2"/>
      <c r="AK761" s="2"/>
      <c r="AL761" s="2"/>
      <c r="AM761" s="2"/>
      <c r="AN761" s="2"/>
      <c r="AO761" s="2"/>
      <c r="AP761" s="2"/>
      <c r="AQ761" s="427"/>
      <c r="AR761" s="754"/>
      <c r="AS761" s="427"/>
      <c r="AT761" s="754"/>
      <c r="AU761" s="427"/>
      <c r="AV761" s="427"/>
      <c r="AW761" s="427"/>
      <c r="AX761" s="427"/>
      <c r="AY761" s="754"/>
      <c r="AZ761" s="754"/>
      <c r="BA761" s="754"/>
      <c r="BB761" s="427"/>
      <c r="BC761" s="427"/>
      <c r="BD761" s="427"/>
      <c r="BE761" s="754"/>
      <c r="BF761" s="427"/>
      <c r="BG761" s="454"/>
      <c r="BH761" s="754"/>
      <c r="BI761" s="427"/>
      <c r="BJ761" s="427"/>
      <c r="BK761" s="427"/>
      <c r="BL761" s="427"/>
      <c r="BM761" s="454"/>
      <c r="BN761" s="427"/>
      <c r="BO761" s="427"/>
      <c r="BP761" s="427"/>
      <c r="BQ761" s="454"/>
      <c r="BR761" s="454"/>
      <c r="BS761" s="460"/>
      <c r="BT761" s="454"/>
      <c r="BU761" s="454"/>
      <c r="BV761" s="457"/>
      <c r="BW761" s="460"/>
      <c r="BX761" s="460"/>
      <c r="BY761" s="460"/>
      <c r="CA761" s="2"/>
      <c r="CB761" s="2"/>
      <c r="CC761" s="2"/>
      <c r="CD761" s="2"/>
      <c r="CE761" s="2"/>
      <c r="CF761" s="2"/>
      <c r="CG761" s="2"/>
      <c r="CH761" s="2"/>
      <c r="CI761" s="2"/>
      <c r="CJ761" s="2"/>
      <c r="CK761" s="2"/>
      <c r="CL761" s="2"/>
      <c r="CM761" s="2"/>
      <c r="CN761" s="2"/>
      <c r="CO761" s="427"/>
      <c r="CP761" s="427"/>
      <c r="CQ761" s="427"/>
      <c r="CR761" s="485"/>
      <c r="CS761" s="485"/>
      <c r="CT761" s="485"/>
      <c r="CU761" s="485"/>
      <c r="CV761" s="482"/>
      <c r="CW761" s="482"/>
      <c r="CX761" s="482"/>
      <c r="CY761" s="482"/>
      <c r="CZ761" s="485"/>
      <c r="DA761" s="485"/>
      <c r="DB761" s="485"/>
      <c r="DC761" s="485"/>
      <c r="DD761" s="485"/>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485"/>
      <c r="EX761" s="457"/>
      <c r="EY761" s="457"/>
      <c r="EZ761" s="457"/>
      <c r="FA761" s="457"/>
      <c r="FB761" s="457"/>
      <c r="FC761" s="457"/>
      <c r="FD761" s="457"/>
      <c r="FE761" s="457"/>
      <c r="FF761" s="457"/>
      <c r="FG761" s="457"/>
      <c r="FH761" s="457"/>
      <c r="FI761" s="457"/>
      <c r="FJ761" s="457"/>
      <c r="FK761" s="457"/>
    </row>
    <row r="762" spans="1:167" s="416" customFormat="1">
      <c r="A762" s="427"/>
      <c r="B762" s="427"/>
      <c r="C762" s="427"/>
      <c r="D762" s="427"/>
      <c r="E762" s="428"/>
      <c r="F762" s="429"/>
      <c r="G762" s="430"/>
      <c r="H762" s="427"/>
      <c r="I762" s="427"/>
      <c r="J762" s="427"/>
      <c r="K762" s="427"/>
      <c r="L762" s="427"/>
      <c r="M762" s="427"/>
      <c r="N762" s="427"/>
      <c r="O762" s="427"/>
      <c r="P762" s="427"/>
      <c r="Q762" s="427"/>
      <c r="R762" s="427"/>
      <c r="S762" s="427"/>
      <c r="T762" s="427"/>
      <c r="U762" s="427"/>
      <c r="V762" s="428"/>
      <c r="W762" s="431"/>
      <c r="X762" s="3"/>
      <c r="Y762" s="429"/>
      <c r="Z762" s="430"/>
      <c r="AA762" s="430"/>
      <c r="AB762" s="430"/>
      <c r="AC762" s="424"/>
      <c r="AD762" s="424"/>
      <c r="AE762" s="424"/>
      <c r="AF762" s="424"/>
      <c r="AG762" s="424"/>
      <c r="AH762" s="424"/>
      <c r="AI762" s="424"/>
      <c r="AJ762" s="2"/>
      <c r="AK762" s="2"/>
      <c r="AL762" s="2"/>
      <c r="AM762" s="2"/>
      <c r="AN762" s="2"/>
      <c r="AO762" s="2"/>
      <c r="AP762" s="2"/>
      <c r="AQ762" s="427"/>
      <c r="AR762" s="754"/>
      <c r="AS762" s="427"/>
      <c r="AT762" s="754"/>
      <c r="AU762" s="427"/>
      <c r="AV762" s="427"/>
      <c r="AW762" s="427"/>
      <c r="AX762" s="427"/>
      <c r="AY762" s="754"/>
      <c r="AZ762" s="754"/>
      <c r="BA762" s="754"/>
      <c r="BB762" s="427"/>
      <c r="BC762" s="427"/>
      <c r="BD762" s="427"/>
      <c r="BE762" s="754"/>
      <c r="BF762" s="427"/>
      <c r="BG762" s="454"/>
      <c r="BH762" s="754"/>
      <c r="BI762" s="427"/>
      <c r="BJ762" s="427"/>
      <c r="BK762" s="427"/>
      <c r="BL762" s="427"/>
      <c r="BM762" s="454"/>
      <c r="BN762" s="427"/>
      <c r="BO762" s="427"/>
      <c r="BP762" s="427"/>
      <c r="BQ762" s="454"/>
      <c r="BR762" s="454"/>
      <c r="BS762" s="460"/>
      <c r="BT762" s="454"/>
      <c r="BU762" s="454"/>
      <c r="BV762" s="457"/>
      <c r="BW762" s="460"/>
      <c r="BX762" s="460"/>
      <c r="BY762" s="460"/>
      <c r="CA762" s="2"/>
      <c r="CB762" s="2"/>
      <c r="CC762" s="2"/>
      <c r="CD762" s="2"/>
      <c r="CE762" s="2"/>
      <c r="CF762" s="2"/>
      <c r="CG762" s="2"/>
      <c r="CH762" s="2"/>
      <c r="CI762" s="2"/>
      <c r="CJ762" s="2"/>
      <c r="CK762" s="2"/>
      <c r="CL762" s="2"/>
      <c r="CM762" s="2"/>
      <c r="CN762" s="2"/>
      <c r="CO762" s="427"/>
      <c r="CP762" s="427"/>
      <c r="CQ762" s="427"/>
      <c r="CR762" s="485"/>
      <c r="CS762" s="485"/>
      <c r="CT762" s="485"/>
      <c r="CU762" s="485"/>
      <c r="CV762" s="482"/>
      <c r="CW762" s="482"/>
      <c r="CX762" s="482"/>
      <c r="CY762" s="482"/>
      <c r="CZ762" s="485"/>
      <c r="DA762" s="485"/>
      <c r="DB762" s="485"/>
      <c r="DC762" s="485"/>
      <c r="DD762" s="485"/>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485"/>
      <c r="EX762" s="457"/>
      <c r="EY762" s="457"/>
      <c r="EZ762" s="457"/>
      <c r="FA762" s="457"/>
      <c r="FB762" s="457"/>
      <c r="FC762" s="457"/>
      <c r="FD762" s="457"/>
      <c r="FE762" s="457"/>
      <c r="FF762" s="457"/>
      <c r="FG762" s="457"/>
      <c r="FH762" s="457"/>
      <c r="FI762" s="457"/>
      <c r="FJ762" s="457"/>
      <c r="FK762" s="457"/>
    </row>
    <row r="763" spans="1:167" s="416" customFormat="1">
      <c r="A763" s="427"/>
      <c r="B763" s="427"/>
      <c r="C763" s="427"/>
      <c r="D763" s="427"/>
      <c r="E763" s="428"/>
      <c r="F763" s="429"/>
      <c r="G763" s="430"/>
      <c r="H763" s="427"/>
      <c r="I763" s="427"/>
      <c r="J763" s="427"/>
      <c r="K763" s="427"/>
      <c r="L763" s="427"/>
      <c r="M763" s="427"/>
      <c r="N763" s="427"/>
      <c r="O763" s="427"/>
      <c r="P763" s="427"/>
      <c r="Q763" s="427"/>
      <c r="R763" s="427"/>
      <c r="S763" s="427"/>
      <c r="T763" s="427"/>
      <c r="U763" s="427"/>
      <c r="V763" s="428"/>
      <c r="W763" s="431"/>
      <c r="X763" s="3"/>
      <c r="Y763" s="429"/>
      <c r="Z763" s="430"/>
      <c r="AA763" s="430"/>
      <c r="AB763" s="430"/>
      <c r="AC763" s="424"/>
      <c r="AD763" s="424"/>
      <c r="AE763" s="424"/>
      <c r="AF763" s="424"/>
      <c r="AG763" s="424"/>
      <c r="AH763" s="424"/>
      <c r="AI763" s="424"/>
      <c r="AJ763" s="2"/>
      <c r="AK763" s="2"/>
      <c r="AL763" s="2"/>
      <c r="AM763" s="2"/>
      <c r="AN763" s="2"/>
      <c r="AO763" s="2"/>
      <c r="AP763" s="2"/>
      <c r="AQ763" s="427"/>
      <c r="AR763" s="754"/>
      <c r="AS763" s="427"/>
      <c r="AT763" s="754"/>
      <c r="AU763" s="427"/>
      <c r="AV763" s="427"/>
      <c r="AW763" s="427"/>
      <c r="AX763" s="427"/>
      <c r="AY763" s="754"/>
      <c r="AZ763" s="754"/>
      <c r="BA763" s="754"/>
      <c r="BB763" s="427"/>
      <c r="BC763" s="427"/>
      <c r="BD763" s="427"/>
      <c r="BE763" s="754"/>
      <c r="BF763" s="427"/>
      <c r="BG763" s="454"/>
      <c r="BH763" s="754"/>
      <c r="BI763" s="427"/>
      <c r="BJ763" s="427"/>
      <c r="BK763" s="427"/>
      <c r="BL763" s="427"/>
      <c r="BM763" s="454"/>
      <c r="BN763" s="427"/>
      <c r="BO763" s="427"/>
      <c r="BP763" s="427"/>
      <c r="BQ763" s="454"/>
      <c r="BR763" s="454"/>
      <c r="BS763" s="460"/>
      <c r="BT763" s="454"/>
      <c r="BU763" s="454"/>
      <c r="BV763" s="457"/>
      <c r="BW763" s="460"/>
      <c r="BX763" s="460"/>
      <c r="BY763" s="460"/>
      <c r="CA763" s="2"/>
      <c r="CB763" s="2"/>
      <c r="CC763" s="2"/>
      <c r="CD763" s="2"/>
      <c r="CE763" s="2"/>
      <c r="CF763" s="2"/>
      <c r="CG763" s="2"/>
      <c r="CH763" s="2"/>
      <c r="CI763" s="2"/>
      <c r="CJ763" s="2"/>
      <c r="CK763" s="2"/>
      <c r="CL763" s="2"/>
      <c r="CM763" s="2"/>
      <c r="CN763" s="2"/>
      <c r="CO763" s="427"/>
      <c r="CP763" s="427"/>
      <c r="CQ763" s="427"/>
      <c r="CR763" s="485"/>
      <c r="CS763" s="485"/>
      <c r="CT763" s="485"/>
      <c r="CU763" s="485"/>
      <c r="CV763" s="482"/>
      <c r="CW763" s="482"/>
      <c r="CX763" s="482"/>
      <c r="CY763" s="482"/>
      <c r="CZ763" s="485"/>
      <c r="DA763" s="485"/>
      <c r="DB763" s="485"/>
      <c r="DC763" s="485"/>
      <c r="DD763" s="485"/>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485"/>
      <c r="EX763" s="457"/>
      <c r="EY763" s="457"/>
      <c r="EZ763" s="457"/>
      <c r="FA763" s="457"/>
      <c r="FB763" s="457"/>
      <c r="FC763" s="457"/>
      <c r="FD763" s="457"/>
      <c r="FE763" s="457"/>
      <c r="FF763" s="457"/>
      <c r="FG763" s="457"/>
      <c r="FH763" s="457"/>
      <c r="FI763" s="457"/>
      <c r="FJ763" s="457"/>
      <c r="FK763" s="457"/>
    </row>
    <row r="764" spans="1:167" s="416" customFormat="1">
      <c r="A764" s="427"/>
      <c r="B764" s="427"/>
      <c r="C764" s="427"/>
      <c r="D764" s="427"/>
      <c r="E764" s="428"/>
      <c r="F764" s="429"/>
      <c r="G764" s="430"/>
      <c r="H764" s="427"/>
      <c r="I764" s="427"/>
      <c r="J764" s="427"/>
      <c r="K764" s="427"/>
      <c r="L764" s="427"/>
      <c r="M764" s="427"/>
      <c r="N764" s="427"/>
      <c r="O764" s="427"/>
      <c r="P764" s="427"/>
      <c r="Q764" s="427"/>
      <c r="R764" s="427"/>
      <c r="S764" s="427"/>
      <c r="T764" s="427"/>
      <c r="U764" s="427"/>
      <c r="V764" s="428"/>
      <c r="W764" s="431"/>
      <c r="X764" s="3"/>
      <c r="Y764" s="429"/>
      <c r="Z764" s="430"/>
      <c r="AA764" s="430"/>
      <c r="AB764" s="430"/>
      <c r="AC764" s="424"/>
      <c r="AD764" s="424"/>
      <c r="AE764" s="424"/>
      <c r="AF764" s="424"/>
      <c r="AG764" s="424"/>
      <c r="AH764" s="424"/>
      <c r="AI764" s="424"/>
      <c r="AJ764" s="2"/>
      <c r="AK764" s="2"/>
      <c r="AL764" s="2"/>
      <c r="AM764" s="2"/>
      <c r="AN764" s="2"/>
      <c r="AO764" s="2"/>
      <c r="AP764" s="2"/>
      <c r="AQ764" s="427"/>
      <c r="AR764" s="754"/>
      <c r="AS764" s="427"/>
      <c r="AT764" s="754"/>
      <c r="AU764" s="427"/>
      <c r="AV764" s="427"/>
      <c r="AW764" s="427"/>
      <c r="AX764" s="427"/>
      <c r="AY764" s="754"/>
      <c r="AZ764" s="754"/>
      <c r="BA764" s="754"/>
      <c r="BB764" s="427"/>
      <c r="BC764" s="427"/>
      <c r="BD764" s="427"/>
      <c r="BE764" s="754"/>
      <c r="BF764" s="427"/>
      <c r="BG764" s="454"/>
      <c r="BH764" s="754"/>
      <c r="BI764" s="427"/>
      <c r="BJ764" s="427"/>
      <c r="BK764" s="427"/>
      <c r="BL764" s="427"/>
      <c r="BM764" s="454"/>
      <c r="BN764" s="427"/>
      <c r="BO764" s="427"/>
      <c r="BP764" s="427"/>
      <c r="BQ764" s="454"/>
      <c r="BR764" s="454"/>
      <c r="BS764" s="460"/>
      <c r="BT764" s="454"/>
      <c r="BU764" s="454"/>
      <c r="BV764" s="457"/>
      <c r="BW764" s="460"/>
      <c r="BX764" s="460"/>
      <c r="BY764" s="460"/>
      <c r="CA764" s="2"/>
      <c r="CB764" s="2"/>
      <c r="CC764" s="2"/>
      <c r="CD764" s="2"/>
      <c r="CE764" s="2"/>
      <c r="CF764" s="2"/>
      <c r="CG764" s="2"/>
      <c r="CH764" s="2"/>
      <c r="CI764" s="2"/>
      <c r="CJ764" s="2"/>
      <c r="CK764" s="2"/>
      <c r="CL764" s="2"/>
      <c r="CM764" s="2"/>
      <c r="CN764" s="2"/>
      <c r="CO764" s="427"/>
      <c r="CP764" s="427"/>
      <c r="CQ764" s="427"/>
      <c r="CR764" s="485"/>
      <c r="CS764" s="485"/>
      <c r="CT764" s="485"/>
      <c r="CU764" s="485"/>
      <c r="CV764" s="482"/>
      <c r="CW764" s="482"/>
      <c r="CX764" s="482"/>
      <c r="CY764" s="482"/>
      <c r="CZ764" s="485"/>
      <c r="DA764" s="485"/>
      <c r="DB764" s="485"/>
      <c r="DC764" s="485"/>
      <c r="DD764" s="485"/>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485"/>
      <c r="EX764" s="457"/>
      <c r="EY764" s="457"/>
      <c r="EZ764" s="457"/>
      <c r="FA764" s="457"/>
      <c r="FB764" s="457"/>
      <c r="FC764" s="457"/>
      <c r="FD764" s="457"/>
      <c r="FE764" s="457"/>
      <c r="FF764" s="457"/>
      <c r="FG764" s="457"/>
      <c r="FH764" s="457"/>
      <c r="FI764" s="457"/>
      <c r="FJ764" s="457"/>
      <c r="FK764" s="457"/>
    </row>
    <row r="765" spans="1:167" s="416" customFormat="1">
      <c r="A765" s="427"/>
      <c r="B765" s="427"/>
      <c r="C765" s="427"/>
      <c r="D765" s="427"/>
      <c r="E765" s="428"/>
      <c r="F765" s="429"/>
      <c r="G765" s="430"/>
      <c r="H765" s="427"/>
      <c r="I765" s="427"/>
      <c r="J765" s="427"/>
      <c r="K765" s="427"/>
      <c r="L765" s="427"/>
      <c r="M765" s="427"/>
      <c r="N765" s="427"/>
      <c r="O765" s="427"/>
      <c r="P765" s="427"/>
      <c r="Q765" s="427"/>
      <c r="R765" s="427"/>
      <c r="S765" s="427"/>
      <c r="T765" s="427"/>
      <c r="U765" s="427"/>
      <c r="V765" s="428"/>
      <c r="W765" s="431"/>
      <c r="X765" s="3"/>
      <c r="Y765" s="429"/>
      <c r="Z765" s="430"/>
      <c r="AA765" s="430"/>
      <c r="AB765" s="430"/>
      <c r="AC765" s="424"/>
      <c r="AD765" s="424"/>
      <c r="AE765" s="424"/>
      <c r="AF765" s="424"/>
      <c r="AG765" s="424"/>
      <c r="AH765" s="424"/>
      <c r="AI765" s="424"/>
      <c r="AJ765" s="2"/>
      <c r="AK765" s="2"/>
      <c r="AL765" s="2"/>
      <c r="AM765" s="2"/>
      <c r="AN765" s="2"/>
      <c r="AO765" s="2"/>
      <c r="AP765" s="2"/>
      <c r="AQ765" s="427"/>
      <c r="AR765" s="754"/>
      <c r="AS765" s="427"/>
      <c r="AT765" s="754"/>
      <c r="AU765" s="427"/>
      <c r="AV765" s="427"/>
      <c r="AW765" s="427"/>
      <c r="AX765" s="427"/>
      <c r="AY765" s="754"/>
      <c r="AZ765" s="754"/>
      <c r="BA765" s="754"/>
      <c r="BB765" s="427"/>
      <c r="BC765" s="427"/>
      <c r="BD765" s="427"/>
      <c r="BE765" s="754"/>
      <c r="BF765" s="427"/>
      <c r="BG765" s="454"/>
      <c r="BH765" s="754"/>
      <c r="BI765" s="427"/>
      <c r="BJ765" s="427"/>
      <c r="BK765" s="427"/>
      <c r="BL765" s="427"/>
      <c r="BM765" s="454"/>
      <c r="BN765" s="427"/>
      <c r="BO765" s="427"/>
      <c r="BP765" s="427"/>
      <c r="BQ765" s="454"/>
      <c r="BR765" s="454"/>
      <c r="BS765" s="460"/>
      <c r="BT765" s="454"/>
      <c r="BU765" s="454"/>
      <c r="BV765" s="457"/>
      <c r="BW765" s="460"/>
      <c r="BX765" s="460"/>
      <c r="BY765" s="460"/>
      <c r="CA765" s="2"/>
      <c r="CB765" s="2"/>
      <c r="CC765" s="2"/>
      <c r="CD765" s="2"/>
      <c r="CE765" s="2"/>
      <c r="CF765" s="2"/>
      <c r="CG765" s="2"/>
      <c r="CH765" s="2"/>
      <c r="CI765" s="2"/>
      <c r="CJ765" s="2"/>
      <c r="CK765" s="2"/>
      <c r="CL765" s="2"/>
      <c r="CM765" s="2"/>
      <c r="CN765" s="2"/>
      <c r="CO765" s="427"/>
      <c r="CP765" s="427"/>
      <c r="CQ765" s="427"/>
      <c r="CR765" s="485"/>
      <c r="CS765" s="485"/>
      <c r="CT765" s="485"/>
      <c r="CU765" s="485"/>
      <c r="CV765" s="482"/>
      <c r="CW765" s="482"/>
      <c r="CX765" s="482"/>
      <c r="CY765" s="482"/>
      <c r="CZ765" s="485"/>
      <c r="DA765" s="485"/>
      <c r="DB765" s="485"/>
      <c r="DC765" s="485"/>
      <c r="DD765" s="485"/>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485"/>
      <c r="EX765" s="457"/>
      <c r="EY765" s="457"/>
      <c r="EZ765" s="457"/>
      <c r="FA765" s="457"/>
      <c r="FB765" s="457"/>
      <c r="FC765" s="457"/>
      <c r="FD765" s="457"/>
      <c r="FE765" s="457"/>
      <c r="FF765" s="457"/>
      <c r="FG765" s="457"/>
      <c r="FH765" s="457"/>
      <c r="FI765" s="457"/>
      <c r="FJ765" s="457"/>
      <c r="FK765" s="457"/>
    </row>
    <row r="766" spans="1:167" s="416" customFormat="1">
      <c r="A766" s="427"/>
      <c r="B766" s="427"/>
      <c r="C766" s="427"/>
      <c r="D766" s="427"/>
      <c r="E766" s="428"/>
      <c r="F766" s="429"/>
      <c r="G766" s="430"/>
      <c r="H766" s="427"/>
      <c r="I766" s="427"/>
      <c r="J766" s="427"/>
      <c r="K766" s="427"/>
      <c r="L766" s="427"/>
      <c r="M766" s="427"/>
      <c r="N766" s="427"/>
      <c r="O766" s="427"/>
      <c r="P766" s="427"/>
      <c r="Q766" s="427"/>
      <c r="R766" s="427"/>
      <c r="S766" s="427"/>
      <c r="T766" s="427"/>
      <c r="U766" s="427"/>
      <c r="V766" s="428"/>
      <c r="W766" s="431"/>
      <c r="X766" s="3"/>
      <c r="Y766" s="429"/>
      <c r="Z766" s="430"/>
      <c r="AA766" s="430"/>
      <c r="AB766" s="430"/>
      <c r="AC766" s="424"/>
      <c r="AD766" s="424"/>
      <c r="AE766" s="424"/>
      <c r="AF766" s="424"/>
      <c r="AG766" s="424"/>
      <c r="AH766" s="424"/>
      <c r="AI766" s="424"/>
      <c r="AJ766" s="2"/>
      <c r="AK766" s="2"/>
      <c r="AL766" s="2"/>
      <c r="AM766" s="2"/>
      <c r="AN766" s="2"/>
      <c r="AO766" s="2"/>
      <c r="AP766" s="2"/>
      <c r="AQ766" s="427"/>
      <c r="AR766" s="754"/>
      <c r="AS766" s="427"/>
      <c r="AT766" s="754"/>
      <c r="AU766" s="427"/>
      <c r="AV766" s="427"/>
      <c r="AW766" s="427"/>
      <c r="AX766" s="427"/>
      <c r="AY766" s="754"/>
      <c r="AZ766" s="754"/>
      <c r="BA766" s="754"/>
      <c r="BB766" s="427"/>
      <c r="BC766" s="427"/>
      <c r="BD766" s="427"/>
      <c r="BE766" s="754"/>
      <c r="BF766" s="427"/>
      <c r="BG766" s="454"/>
      <c r="BH766" s="754"/>
      <c r="BI766" s="427"/>
      <c r="BJ766" s="427"/>
      <c r="BK766" s="427"/>
      <c r="BL766" s="427"/>
      <c r="BM766" s="454"/>
      <c r="BN766" s="427"/>
      <c r="BO766" s="427"/>
      <c r="BP766" s="427"/>
      <c r="BQ766" s="454"/>
      <c r="BR766" s="454"/>
      <c r="BS766" s="460"/>
      <c r="BT766" s="454"/>
      <c r="BU766" s="454"/>
      <c r="BV766" s="457"/>
      <c r="BW766" s="460"/>
      <c r="BX766" s="460"/>
      <c r="BY766" s="460"/>
      <c r="CA766" s="2"/>
      <c r="CB766" s="2"/>
      <c r="CC766" s="2"/>
      <c r="CD766" s="2"/>
      <c r="CE766" s="2"/>
      <c r="CF766" s="2"/>
      <c r="CG766" s="2"/>
      <c r="CH766" s="2"/>
      <c r="CI766" s="2"/>
      <c r="CJ766" s="2"/>
      <c r="CK766" s="2"/>
      <c r="CL766" s="2"/>
      <c r="CM766" s="2"/>
      <c r="CN766" s="2"/>
      <c r="CO766" s="427"/>
      <c r="CP766" s="427"/>
      <c r="CQ766" s="427"/>
      <c r="CR766" s="485"/>
      <c r="CS766" s="485"/>
      <c r="CT766" s="485"/>
      <c r="CU766" s="485"/>
      <c r="CV766" s="482"/>
      <c r="CW766" s="482"/>
      <c r="CX766" s="482"/>
      <c r="CY766" s="482"/>
      <c r="CZ766" s="485"/>
      <c r="DA766" s="485"/>
      <c r="DB766" s="485"/>
      <c r="DC766" s="485"/>
      <c r="DD766" s="485"/>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485"/>
      <c r="EX766" s="457"/>
      <c r="EY766" s="457"/>
      <c r="EZ766" s="457"/>
      <c r="FA766" s="457"/>
      <c r="FB766" s="457"/>
      <c r="FC766" s="457"/>
      <c r="FD766" s="457"/>
      <c r="FE766" s="457"/>
      <c r="FF766" s="457"/>
      <c r="FG766" s="457"/>
      <c r="FH766" s="457"/>
      <c r="FI766" s="457"/>
      <c r="FJ766" s="457"/>
      <c r="FK766" s="457"/>
    </row>
    <row r="767" spans="1:167" s="416" customFormat="1">
      <c r="A767" s="427"/>
      <c r="B767" s="427"/>
      <c r="C767" s="427"/>
      <c r="D767" s="427"/>
      <c r="E767" s="428"/>
      <c r="F767" s="429"/>
      <c r="G767" s="430"/>
      <c r="H767" s="427"/>
      <c r="I767" s="427"/>
      <c r="J767" s="427"/>
      <c r="K767" s="427"/>
      <c r="L767" s="427"/>
      <c r="M767" s="427"/>
      <c r="N767" s="427"/>
      <c r="O767" s="427"/>
      <c r="P767" s="427"/>
      <c r="Q767" s="427"/>
      <c r="R767" s="427"/>
      <c r="S767" s="427"/>
      <c r="T767" s="427"/>
      <c r="U767" s="427"/>
      <c r="V767" s="428"/>
      <c r="W767" s="431"/>
      <c r="X767" s="3"/>
      <c r="Y767" s="429"/>
      <c r="Z767" s="430"/>
      <c r="AA767" s="430"/>
      <c r="AB767" s="430"/>
      <c r="AC767" s="424"/>
      <c r="AD767" s="424"/>
      <c r="AE767" s="424"/>
      <c r="AF767" s="424"/>
      <c r="AG767" s="424"/>
      <c r="AH767" s="424"/>
      <c r="AI767" s="424"/>
      <c r="AJ767" s="2"/>
      <c r="AK767" s="2"/>
      <c r="AL767" s="2"/>
      <c r="AM767" s="2"/>
      <c r="AN767" s="2"/>
      <c r="AO767" s="2"/>
      <c r="AP767" s="2"/>
      <c r="AQ767" s="427"/>
      <c r="AR767" s="754"/>
      <c r="AS767" s="427"/>
      <c r="AT767" s="754"/>
      <c r="AU767" s="427"/>
      <c r="AV767" s="427"/>
      <c r="AW767" s="427"/>
      <c r="AX767" s="427"/>
      <c r="AY767" s="754"/>
      <c r="AZ767" s="754"/>
      <c r="BA767" s="754"/>
      <c r="BB767" s="427"/>
      <c r="BC767" s="427"/>
      <c r="BD767" s="427"/>
      <c r="BE767" s="754"/>
      <c r="BF767" s="427"/>
      <c r="BG767" s="454"/>
      <c r="BH767" s="754"/>
      <c r="BI767" s="427"/>
      <c r="BJ767" s="427"/>
      <c r="BK767" s="427"/>
      <c r="BL767" s="427"/>
      <c r="BM767" s="454"/>
      <c r="BN767" s="427"/>
      <c r="BO767" s="427"/>
      <c r="BP767" s="427"/>
      <c r="BQ767" s="454"/>
      <c r="BR767" s="454"/>
      <c r="BS767" s="460"/>
      <c r="BT767" s="454"/>
      <c r="BU767" s="454"/>
      <c r="BV767" s="457"/>
      <c r="BW767" s="460"/>
      <c r="BX767" s="460"/>
      <c r="BY767" s="460"/>
      <c r="CA767" s="2"/>
      <c r="CB767" s="2"/>
      <c r="CC767" s="2"/>
      <c r="CD767" s="2"/>
      <c r="CE767" s="2"/>
      <c r="CF767" s="2"/>
      <c r="CG767" s="2"/>
      <c r="CH767" s="2"/>
      <c r="CI767" s="2"/>
      <c r="CJ767" s="2"/>
      <c r="CK767" s="2"/>
      <c r="CL767" s="2"/>
      <c r="CM767" s="2"/>
      <c r="CN767" s="2"/>
      <c r="CO767" s="427"/>
      <c r="CP767" s="427"/>
      <c r="CQ767" s="427"/>
      <c r="CR767" s="485"/>
      <c r="CS767" s="485"/>
      <c r="CT767" s="485"/>
      <c r="CU767" s="485"/>
      <c r="CV767" s="482"/>
      <c r="CW767" s="482"/>
      <c r="CX767" s="482"/>
      <c r="CY767" s="482"/>
      <c r="CZ767" s="485"/>
      <c r="DA767" s="485"/>
      <c r="DB767" s="485"/>
      <c r="DC767" s="485"/>
      <c r="DD767" s="485"/>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485"/>
      <c r="EX767" s="457"/>
      <c r="EY767" s="457"/>
      <c r="EZ767" s="457"/>
      <c r="FA767" s="457"/>
      <c r="FB767" s="457"/>
      <c r="FC767" s="457"/>
      <c r="FD767" s="457"/>
      <c r="FE767" s="457"/>
      <c r="FF767" s="457"/>
      <c r="FG767" s="457"/>
      <c r="FH767" s="457"/>
      <c r="FI767" s="457"/>
      <c r="FJ767" s="457"/>
      <c r="FK767" s="457"/>
    </row>
    <row r="768" spans="1:167" s="416" customFormat="1">
      <c r="A768" s="427"/>
      <c r="B768" s="427"/>
      <c r="C768" s="427"/>
      <c r="D768" s="427"/>
      <c r="E768" s="428"/>
      <c r="F768" s="429"/>
      <c r="G768" s="430"/>
      <c r="H768" s="427"/>
      <c r="I768" s="427"/>
      <c r="J768" s="427"/>
      <c r="K768" s="427"/>
      <c r="L768" s="427"/>
      <c r="M768" s="427"/>
      <c r="N768" s="427"/>
      <c r="O768" s="427"/>
      <c r="P768" s="427"/>
      <c r="Q768" s="427"/>
      <c r="R768" s="427"/>
      <c r="S768" s="427"/>
      <c r="T768" s="427"/>
      <c r="U768" s="427"/>
      <c r="V768" s="428"/>
      <c r="W768" s="431"/>
      <c r="X768" s="3"/>
      <c r="Y768" s="429"/>
      <c r="Z768" s="430"/>
      <c r="AA768" s="430"/>
      <c r="AB768" s="430"/>
      <c r="AC768" s="424"/>
      <c r="AD768" s="424"/>
      <c r="AE768" s="424"/>
      <c r="AF768" s="424"/>
      <c r="AG768" s="424"/>
      <c r="AH768" s="424"/>
      <c r="AI768" s="424"/>
      <c r="AJ768" s="2"/>
      <c r="AK768" s="2"/>
      <c r="AL768" s="2"/>
      <c r="AM768" s="2"/>
      <c r="AN768" s="2"/>
      <c r="AO768" s="2"/>
      <c r="AP768" s="2"/>
      <c r="AQ768" s="427"/>
      <c r="AR768" s="754"/>
      <c r="AS768" s="427"/>
      <c r="AT768" s="754"/>
      <c r="AU768" s="427"/>
      <c r="AV768" s="427"/>
      <c r="AW768" s="427"/>
      <c r="AX768" s="427"/>
      <c r="AY768" s="754"/>
      <c r="AZ768" s="754"/>
      <c r="BA768" s="754"/>
      <c r="BB768" s="427"/>
      <c r="BC768" s="427"/>
      <c r="BD768" s="427"/>
      <c r="BE768" s="754"/>
      <c r="BF768" s="427"/>
      <c r="BG768" s="454"/>
      <c r="BH768" s="754"/>
      <c r="BI768" s="427"/>
      <c r="BJ768" s="427"/>
      <c r="BK768" s="427"/>
      <c r="BL768" s="427"/>
      <c r="BM768" s="454"/>
      <c r="BN768" s="427"/>
      <c r="BO768" s="427"/>
      <c r="BP768" s="427"/>
      <c r="BQ768" s="454"/>
      <c r="BR768" s="454"/>
      <c r="BS768" s="460"/>
      <c r="BT768" s="454"/>
      <c r="BU768" s="454"/>
      <c r="BV768" s="457"/>
      <c r="BW768" s="460"/>
      <c r="BX768" s="460"/>
      <c r="BY768" s="460"/>
      <c r="CA768" s="2"/>
      <c r="CB768" s="2"/>
      <c r="CC768" s="2"/>
      <c r="CD768" s="2"/>
      <c r="CE768" s="2"/>
      <c r="CF768" s="2"/>
      <c r="CG768" s="2"/>
      <c r="CH768" s="2"/>
      <c r="CI768" s="2"/>
      <c r="CJ768" s="2"/>
      <c r="CK768" s="2"/>
      <c r="CL768" s="2"/>
      <c r="CM768" s="2"/>
      <c r="CN768" s="2"/>
      <c r="CO768" s="427"/>
      <c r="CP768" s="427"/>
      <c r="CQ768" s="427"/>
      <c r="CR768" s="485"/>
      <c r="CS768" s="485"/>
      <c r="CT768" s="485"/>
      <c r="CU768" s="485"/>
      <c r="CV768" s="482"/>
      <c r="CW768" s="482"/>
      <c r="CX768" s="482"/>
      <c r="CY768" s="482"/>
      <c r="CZ768" s="485"/>
      <c r="DA768" s="485"/>
      <c r="DB768" s="485"/>
      <c r="DC768" s="485"/>
      <c r="DD768" s="485"/>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485"/>
      <c r="EX768" s="457"/>
      <c r="EY768" s="457"/>
      <c r="EZ768" s="457"/>
      <c r="FA768" s="457"/>
      <c r="FB768" s="457"/>
      <c r="FC768" s="457"/>
      <c r="FD768" s="457"/>
      <c r="FE768" s="457"/>
      <c r="FF768" s="457"/>
      <c r="FG768" s="457"/>
      <c r="FH768" s="457"/>
      <c r="FI768" s="457"/>
      <c r="FJ768" s="457"/>
      <c r="FK768" s="457"/>
    </row>
    <row r="769" spans="1:167" s="416" customFormat="1">
      <c r="A769" s="427"/>
      <c r="B769" s="427"/>
      <c r="C769" s="427"/>
      <c r="D769" s="427"/>
      <c r="E769" s="428"/>
      <c r="F769" s="429"/>
      <c r="G769" s="430"/>
      <c r="H769" s="427"/>
      <c r="I769" s="427"/>
      <c r="J769" s="427"/>
      <c r="K769" s="427"/>
      <c r="L769" s="427"/>
      <c r="M769" s="427"/>
      <c r="N769" s="427"/>
      <c r="O769" s="427"/>
      <c r="P769" s="427"/>
      <c r="Q769" s="427"/>
      <c r="R769" s="427"/>
      <c r="S769" s="427"/>
      <c r="T769" s="427"/>
      <c r="U769" s="427"/>
      <c r="V769" s="428"/>
      <c r="W769" s="431"/>
      <c r="X769" s="3"/>
      <c r="Y769" s="429"/>
      <c r="Z769" s="430"/>
      <c r="AA769" s="430"/>
      <c r="AB769" s="430"/>
      <c r="AC769" s="424"/>
      <c r="AD769" s="424"/>
      <c r="AE769" s="424"/>
      <c r="AF769" s="424"/>
      <c r="AG769" s="424"/>
      <c r="AH769" s="424"/>
      <c r="AI769" s="424"/>
      <c r="AJ769" s="2"/>
      <c r="AK769" s="2"/>
      <c r="AL769" s="2"/>
      <c r="AM769" s="2"/>
      <c r="AN769" s="2"/>
      <c r="AO769" s="2"/>
      <c r="AP769" s="2"/>
      <c r="AQ769" s="427"/>
      <c r="AR769" s="754"/>
      <c r="AS769" s="427"/>
      <c r="AT769" s="754"/>
      <c r="AU769" s="427"/>
      <c r="AV769" s="427"/>
      <c r="AW769" s="427"/>
      <c r="AX769" s="427"/>
      <c r="AY769" s="754"/>
      <c r="AZ769" s="754"/>
      <c r="BA769" s="754"/>
      <c r="BB769" s="427"/>
      <c r="BC769" s="427"/>
      <c r="BD769" s="427"/>
      <c r="BE769" s="754"/>
      <c r="BF769" s="427"/>
      <c r="BG769" s="454"/>
      <c r="BH769" s="754"/>
      <c r="BI769" s="427"/>
      <c r="BJ769" s="427"/>
      <c r="BK769" s="427"/>
      <c r="BL769" s="427"/>
      <c r="BM769" s="454"/>
      <c r="BN769" s="427"/>
      <c r="BO769" s="427"/>
      <c r="BP769" s="427"/>
      <c r="BQ769" s="454"/>
      <c r="BR769" s="454"/>
      <c r="BS769" s="460"/>
      <c r="BT769" s="454"/>
      <c r="BU769" s="454"/>
      <c r="BV769" s="457"/>
      <c r="BW769" s="460"/>
      <c r="BX769" s="460"/>
      <c r="BY769" s="460"/>
      <c r="CA769" s="2"/>
      <c r="CB769" s="2"/>
      <c r="CC769" s="2"/>
      <c r="CD769" s="2"/>
      <c r="CE769" s="2"/>
      <c r="CF769" s="2"/>
      <c r="CG769" s="2"/>
      <c r="CH769" s="2"/>
      <c r="CI769" s="2"/>
      <c r="CJ769" s="2"/>
      <c r="CK769" s="2"/>
      <c r="CL769" s="2"/>
      <c r="CM769" s="2"/>
      <c r="CN769" s="2"/>
      <c r="CO769" s="427"/>
      <c r="CP769" s="427"/>
      <c r="CQ769" s="427"/>
      <c r="CR769" s="485"/>
      <c r="CS769" s="485"/>
      <c r="CT769" s="485"/>
      <c r="CU769" s="485"/>
      <c r="CV769" s="482"/>
      <c r="CW769" s="482"/>
      <c r="CX769" s="482"/>
      <c r="CY769" s="482"/>
      <c r="CZ769" s="485"/>
      <c r="DA769" s="485"/>
      <c r="DB769" s="485"/>
      <c r="DC769" s="485"/>
      <c r="DD769" s="485"/>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485"/>
      <c r="EX769" s="457"/>
      <c r="EY769" s="457"/>
      <c r="EZ769" s="457"/>
      <c r="FA769" s="457"/>
      <c r="FB769" s="457"/>
      <c r="FC769" s="457"/>
      <c r="FD769" s="457"/>
      <c r="FE769" s="457"/>
      <c r="FF769" s="457"/>
      <c r="FG769" s="457"/>
      <c r="FH769" s="457"/>
      <c r="FI769" s="457"/>
      <c r="FJ769" s="457"/>
      <c r="FK769" s="457"/>
    </row>
    <row r="770" spans="1:167" s="416" customFormat="1">
      <c r="A770" s="427"/>
      <c r="B770" s="427"/>
      <c r="C770" s="427"/>
      <c r="D770" s="427"/>
      <c r="E770" s="428"/>
      <c r="F770" s="429"/>
      <c r="G770" s="430"/>
      <c r="H770" s="427"/>
      <c r="I770" s="427"/>
      <c r="J770" s="427"/>
      <c r="K770" s="427"/>
      <c r="L770" s="427"/>
      <c r="M770" s="427"/>
      <c r="N770" s="427"/>
      <c r="O770" s="427"/>
      <c r="P770" s="427"/>
      <c r="Q770" s="427"/>
      <c r="R770" s="427"/>
      <c r="S770" s="427"/>
      <c r="T770" s="427"/>
      <c r="U770" s="427"/>
      <c r="V770" s="428"/>
      <c r="W770" s="431"/>
      <c r="X770" s="3"/>
      <c r="Y770" s="429"/>
      <c r="Z770" s="430"/>
      <c r="AA770" s="430"/>
      <c r="AB770" s="430"/>
      <c r="AC770" s="424"/>
      <c r="AD770" s="424"/>
      <c r="AE770" s="424"/>
      <c r="AF770" s="424"/>
      <c r="AG770" s="424"/>
      <c r="AH770" s="424"/>
      <c r="AI770" s="424"/>
      <c r="AJ770" s="2"/>
      <c r="AK770" s="2"/>
      <c r="AL770" s="2"/>
      <c r="AM770" s="2"/>
      <c r="AN770" s="2"/>
      <c r="AO770" s="2"/>
      <c r="AP770" s="2"/>
      <c r="AQ770" s="427"/>
      <c r="AR770" s="754"/>
      <c r="AS770" s="427"/>
      <c r="AT770" s="754"/>
      <c r="AU770" s="427"/>
      <c r="AV770" s="427"/>
      <c r="AW770" s="427"/>
      <c r="AX770" s="427"/>
      <c r="AY770" s="754"/>
      <c r="AZ770" s="754"/>
      <c r="BA770" s="754"/>
      <c r="BB770" s="427"/>
      <c r="BC770" s="427"/>
      <c r="BD770" s="427"/>
      <c r="BE770" s="754"/>
      <c r="BF770" s="427"/>
      <c r="BG770" s="454"/>
      <c r="BH770" s="754"/>
      <c r="BI770" s="427"/>
      <c r="BJ770" s="427"/>
      <c r="BK770" s="427"/>
      <c r="BL770" s="427"/>
      <c r="BM770" s="454"/>
      <c r="BN770" s="427"/>
      <c r="BO770" s="427"/>
      <c r="BP770" s="427"/>
      <c r="BQ770" s="454"/>
      <c r="BR770" s="454"/>
      <c r="BS770" s="460"/>
      <c r="BT770" s="454"/>
      <c r="BU770" s="454"/>
      <c r="BV770" s="457"/>
      <c r="BW770" s="460"/>
      <c r="BX770" s="460"/>
      <c r="BY770" s="460"/>
      <c r="CA770" s="2"/>
      <c r="CB770" s="2"/>
      <c r="CC770" s="2"/>
      <c r="CD770" s="2"/>
      <c r="CE770" s="2"/>
      <c r="CF770" s="2"/>
      <c r="CG770" s="2"/>
      <c r="CH770" s="2"/>
      <c r="CI770" s="2"/>
      <c r="CJ770" s="2"/>
      <c r="CK770" s="2"/>
      <c r="CL770" s="2"/>
      <c r="CM770" s="2"/>
      <c r="CN770" s="2"/>
      <c r="CO770" s="427"/>
      <c r="CP770" s="427"/>
      <c r="CQ770" s="427"/>
      <c r="CR770" s="485"/>
      <c r="CS770" s="485"/>
      <c r="CT770" s="485"/>
      <c r="CU770" s="485"/>
      <c r="CV770" s="482"/>
      <c r="CW770" s="482"/>
      <c r="CX770" s="482"/>
      <c r="CY770" s="482"/>
      <c r="CZ770" s="485"/>
      <c r="DA770" s="485"/>
      <c r="DB770" s="485"/>
      <c r="DC770" s="485"/>
      <c r="DD770" s="485"/>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485"/>
      <c r="EX770" s="457"/>
      <c r="EY770" s="457"/>
      <c r="EZ770" s="457"/>
      <c r="FA770" s="457"/>
      <c r="FB770" s="457"/>
      <c r="FC770" s="457"/>
      <c r="FD770" s="457"/>
      <c r="FE770" s="457"/>
      <c r="FF770" s="457"/>
      <c r="FG770" s="457"/>
      <c r="FH770" s="457"/>
      <c r="FI770" s="457"/>
      <c r="FJ770" s="457"/>
      <c r="FK770" s="457"/>
    </row>
    <row r="771" spans="1:167" s="416" customFormat="1">
      <c r="A771" s="427"/>
      <c r="B771" s="427"/>
      <c r="C771" s="427"/>
      <c r="D771" s="427"/>
      <c r="E771" s="428"/>
      <c r="F771" s="429"/>
      <c r="G771" s="430"/>
      <c r="H771" s="427"/>
      <c r="I771" s="427"/>
      <c r="J771" s="427"/>
      <c r="K771" s="427"/>
      <c r="L771" s="427"/>
      <c r="M771" s="427"/>
      <c r="N771" s="427"/>
      <c r="O771" s="427"/>
      <c r="P771" s="427"/>
      <c r="Q771" s="427"/>
      <c r="R771" s="427"/>
      <c r="S771" s="427"/>
      <c r="T771" s="427"/>
      <c r="U771" s="427"/>
      <c r="V771" s="428"/>
      <c r="W771" s="431"/>
      <c r="X771" s="3"/>
      <c r="Y771" s="429"/>
      <c r="Z771" s="430"/>
      <c r="AA771" s="430"/>
      <c r="AB771" s="430"/>
      <c r="AC771" s="424"/>
      <c r="AD771" s="424"/>
      <c r="AE771" s="424"/>
      <c r="AF771" s="424"/>
      <c r="AG771" s="424"/>
      <c r="AH771" s="424"/>
      <c r="AI771" s="424"/>
      <c r="AJ771" s="2"/>
      <c r="AK771" s="2"/>
      <c r="AL771" s="2"/>
      <c r="AM771" s="2"/>
      <c r="AN771" s="2"/>
      <c r="AO771" s="2"/>
      <c r="AP771" s="2"/>
      <c r="AQ771" s="427"/>
      <c r="AR771" s="754"/>
      <c r="AS771" s="427"/>
      <c r="AT771" s="754"/>
      <c r="AU771" s="427"/>
      <c r="AV771" s="427"/>
      <c r="AW771" s="427"/>
      <c r="AX771" s="427"/>
      <c r="AY771" s="754"/>
      <c r="AZ771" s="754"/>
      <c r="BA771" s="754"/>
      <c r="BB771" s="427"/>
      <c r="BC771" s="427"/>
      <c r="BD771" s="427"/>
      <c r="BE771" s="754"/>
      <c r="BF771" s="427"/>
      <c r="BG771" s="454"/>
      <c r="BH771" s="754"/>
      <c r="BI771" s="427"/>
      <c r="BJ771" s="427"/>
      <c r="BK771" s="427"/>
      <c r="BL771" s="427"/>
      <c r="BM771" s="454"/>
      <c r="BN771" s="427"/>
      <c r="BO771" s="427"/>
      <c r="BP771" s="427"/>
      <c r="BQ771" s="454"/>
      <c r="BR771" s="454"/>
      <c r="BS771" s="460"/>
      <c r="BT771" s="454"/>
      <c r="BU771" s="454"/>
      <c r="BV771" s="457"/>
      <c r="BW771" s="460"/>
      <c r="BX771" s="460"/>
      <c r="BY771" s="460"/>
      <c r="CA771" s="2"/>
      <c r="CB771" s="2"/>
      <c r="CC771" s="2"/>
      <c r="CD771" s="2"/>
      <c r="CE771" s="2"/>
      <c r="CF771" s="2"/>
      <c r="CG771" s="2"/>
      <c r="CH771" s="2"/>
      <c r="CI771" s="2"/>
      <c r="CJ771" s="2"/>
      <c r="CK771" s="2"/>
      <c r="CL771" s="2"/>
      <c r="CM771" s="2"/>
      <c r="CN771" s="2"/>
      <c r="CO771" s="427"/>
      <c r="CP771" s="427"/>
      <c r="CQ771" s="427"/>
      <c r="CR771" s="485"/>
      <c r="CS771" s="485"/>
      <c r="CT771" s="485"/>
      <c r="CU771" s="485"/>
      <c r="CV771" s="482"/>
      <c r="CW771" s="482"/>
      <c r="CX771" s="482"/>
      <c r="CY771" s="482"/>
      <c r="CZ771" s="485"/>
      <c r="DA771" s="485"/>
      <c r="DB771" s="485"/>
      <c r="DC771" s="485"/>
      <c r="DD771" s="485"/>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485"/>
      <c r="EX771" s="457"/>
      <c r="EY771" s="457"/>
      <c r="EZ771" s="457"/>
      <c r="FA771" s="457"/>
      <c r="FB771" s="457"/>
      <c r="FC771" s="457"/>
      <c r="FD771" s="457"/>
      <c r="FE771" s="457"/>
      <c r="FF771" s="457"/>
      <c r="FG771" s="457"/>
      <c r="FH771" s="457"/>
      <c r="FI771" s="457"/>
      <c r="FJ771" s="457"/>
      <c r="FK771" s="457"/>
    </row>
    <row r="772" spans="1:167" s="416" customFormat="1">
      <c r="A772" s="427"/>
      <c r="B772" s="427"/>
      <c r="C772" s="427"/>
      <c r="D772" s="427"/>
      <c r="E772" s="428"/>
      <c r="F772" s="429"/>
      <c r="G772" s="430"/>
      <c r="H772" s="427"/>
      <c r="I772" s="427"/>
      <c r="J772" s="427"/>
      <c r="K772" s="427"/>
      <c r="L772" s="427"/>
      <c r="M772" s="427"/>
      <c r="N772" s="427"/>
      <c r="O772" s="427"/>
      <c r="P772" s="427"/>
      <c r="Q772" s="427"/>
      <c r="R772" s="427"/>
      <c r="S772" s="427"/>
      <c r="T772" s="427"/>
      <c r="U772" s="427"/>
      <c r="V772" s="428"/>
      <c r="W772" s="431"/>
      <c r="X772" s="3"/>
      <c r="Y772" s="429"/>
      <c r="Z772" s="430"/>
      <c r="AA772" s="430"/>
      <c r="AB772" s="430"/>
      <c r="AC772" s="424"/>
      <c r="AD772" s="424"/>
      <c r="AE772" s="424"/>
      <c r="AF772" s="424"/>
      <c r="AG772" s="424"/>
      <c r="AH772" s="424"/>
      <c r="AI772" s="424"/>
      <c r="AJ772" s="2"/>
      <c r="AK772" s="2"/>
      <c r="AL772" s="2"/>
      <c r="AM772" s="2"/>
      <c r="AN772" s="2"/>
      <c r="AO772" s="2"/>
      <c r="AP772" s="2"/>
      <c r="AQ772" s="427"/>
      <c r="AR772" s="754"/>
      <c r="AS772" s="427"/>
      <c r="AT772" s="754"/>
      <c r="AU772" s="427"/>
      <c r="AV772" s="427"/>
      <c r="AW772" s="427"/>
      <c r="AX772" s="427"/>
      <c r="AY772" s="754"/>
      <c r="AZ772" s="754"/>
      <c r="BA772" s="754"/>
      <c r="BB772" s="427"/>
      <c r="BC772" s="427"/>
      <c r="BD772" s="427"/>
      <c r="BE772" s="754"/>
      <c r="BF772" s="427"/>
      <c r="BG772" s="454"/>
      <c r="BH772" s="754"/>
      <c r="BI772" s="427"/>
      <c r="BJ772" s="427"/>
      <c r="BK772" s="427"/>
      <c r="BL772" s="427"/>
      <c r="BM772" s="454"/>
      <c r="BN772" s="427"/>
      <c r="BO772" s="427"/>
      <c r="BP772" s="427"/>
      <c r="BQ772" s="454"/>
      <c r="BR772" s="454"/>
      <c r="BS772" s="460"/>
      <c r="BT772" s="454"/>
      <c r="BU772" s="454"/>
      <c r="BV772" s="457"/>
      <c r="BW772" s="460"/>
      <c r="BX772" s="460"/>
      <c r="BY772" s="460"/>
      <c r="CA772" s="2"/>
      <c r="CB772" s="2"/>
      <c r="CC772" s="2"/>
      <c r="CD772" s="2"/>
      <c r="CE772" s="2"/>
      <c r="CF772" s="2"/>
      <c r="CG772" s="2"/>
      <c r="CH772" s="2"/>
      <c r="CI772" s="2"/>
      <c r="CJ772" s="2"/>
      <c r="CK772" s="2"/>
      <c r="CL772" s="2"/>
      <c r="CM772" s="2"/>
      <c r="CN772" s="2"/>
      <c r="CO772" s="427"/>
      <c r="CP772" s="427"/>
      <c r="CQ772" s="427"/>
      <c r="CR772" s="485"/>
      <c r="CS772" s="485"/>
      <c r="CT772" s="485"/>
      <c r="CU772" s="485"/>
      <c r="CV772" s="482"/>
      <c r="CW772" s="482"/>
      <c r="CX772" s="482"/>
      <c r="CY772" s="482"/>
      <c r="CZ772" s="485"/>
      <c r="DA772" s="485"/>
      <c r="DB772" s="485"/>
      <c r="DC772" s="485"/>
      <c r="DD772" s="485"/>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485"/>
      <c r="EX772" s="457"/>
      <c r="EY772" s="457"/>
      <c r="EZ772" s="457"/>
      <c r="FA772" s="457"/>
      <c r="FB772" s="457"/>
      <c r="FC772" s="457"/>
      <c r="FD772" s="457"/>
      <c r="FE772" s="457"/>
      <c r="FF772" s="457"/>
      <c r="FG772" s="457"/>
      <c r="FH772" s="457"/>
      <c r="FI772" s="457"/>
      <c r="FJ772" s="457"/>
      <c r="FK772" s="457"/>
    </row>
    <row r="773" spans="1:167" s="416" customFormat="1">
      <c r="A773" s="427"/>
      <c r="B773" s="427"/>
      <c r="C773" s="427"/>
      <c r="D773" s="427"/>
      <c r="E773" s="428"/>
      <c r="F773" s="429"/>
      <c r="G773" s="430"/>
      <c r="H773" s="427"/>
      <c r="I773" s="427"/>
      <c r="J773" s="427"/>
      <c r="K773" s="427"/>
      <c r="L773" s="427"/>
      <c r="M773" s="427"/>
      <c r="N773" s="427"/>
      <c r="O773" s="427"/>
      <c r="P773" s="427"/>
      <c r="Q773" s="427"/>
      <c r="R773" s="427"/>
      <c r="S773" s="427"/>
      <c r="T773" s="427"/>
      <c r="U773" s="427"/>
      <c r="V773" s="428"/>
      <c r="W773" s="431"/>
      <c r="X773" s="3"/>
      <c r="Y773" s="429"/>
      <c r="Z773" s="430"/>
      <c r="AA773" s="430"/>
      <c r="AB773" s="430"/>
      <c r="AC773" s="424"/>
      <c r="AD773" s="424"/>
      <c r="AE773" s="424"/>
      <c r="AF773" s="424"/>
      <c r="AG773" s="424"/>
      <c r="AH773" s="424"/>
      <c r="AI773" s="424"/>
      <c r="AJ773" s="2"/>
      <c r="AK773" s="2"/>
      <c r="AL773" s="2"/>
      <c r="AM773" s="2"/>
      <c r="AN773" s="2"/>
      <c r="AO773" s="2"/>
      <c r="AP773" s="2"/>
      <c r="AQ773" s="427"/>
      <c r="AR773" s="754"/>
      <c r="AS773" s="427"/>
      <c r="AT773" s="754"/>
      <c r="AU773" s="427"/>
      <c r="AV773" s="427"/>
      <c r="AW773" s="427"/>
      <c r="AX773" s="427"/>
      <c r="AY773" s="754"/>
      <c r="AZ773" s="754"/>
      <c r="BA773" s="754"/>
      <c r="BB773" s="427"/>
      <c r="BC773" s="427"/>
      <c r="BD773" s="427"/>
      <c r="BE773" s="754"/>
      <c r="BF773" s="427"/>
      <c r="BG773" s="454"/>
      <c r="BH773" s="754"/>
      <c r="BI773" s="427"/>
      <c r="BJ773" s="427"/>
      <c r="BK773" s="427"/>
      <c r="BL773" s="427"/>
      <c r="BM773" s="454"/>
      <c r="BN773" s="427"/>
      <c r="BO773" s="427"/>
      <c r="BP773" s="427"/>
      <c r="BQ773" s="454"/>
      <c r="BR773" s="454"/>
      <c r="BS773" s="460"/>
      <c r="BT773" s="454"/>
      <c r="BU773" s="454"/>
      <c r="BV773" s="457"/>
      <c r="BW773" s="460"/>
      <c r="BX773" s="460"/>
      <c r="BY773" s="460"/>
      <c r="CA773" s="2"/>
      <c r="CB773" s="2"/>
      <c r="CC773" s="2"/>
      <c r="CD773" s="2"/>
      <c r="CE773" s="2"/>
      <c r="CF773" s="2"/>
      <c r="CG773" s="2"/>
      <c r="CH773" s="2"/>
      <c r="CI773" s="2"/>
      <c r="CJ773" s="2"/>
      <c r="CK773" s="2"/>
      <c r="CL773" s="2"/>
      <c r="CM773" s="2"/>
      <c r="CN773" s="2"/>
      <c r="CO773" s="427"/>
      <c r="CP773" s="427"/>
      <c r="CQ773" s="427"/>
      <c r="CR773" s="485"/>
      <c r="CS773" s="485"/>
      <c r="CT773" s="485"/>
      <c r="CU773" s="485"/>
      <c r="CV773" s="482"/>
      <c r="CW773" s="482"/>
      <c r="CX773" s="482"/>
      <c r="CY773" s="482"/>
      <c r="CZ773" s="485"/>
      <c r="DA773" s="485"/>
      <c r="DB773" s="485"/>
      <c r="DC773" s="485"/>
      <c r="DD773" s="485"/>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485"/>
      <c r="EX773" s="457"/>
      <c r="EY773" s="457"/>
      <c r="EZ773" s="457"/>
      <c r="FA773" s="457"/>
      <c r="FB773" s="457"/>
      <c r="FC773" s="457"/>
      <c r="FD773" s="457"/>
      <c r="FE773" s="457"/>
      <c r="FF773" s="457"/>
      <c r="FG773" s="457"/>
      <c r="FH773" s="457"/>
      <c r="FI773" s="457"/>
      <c r="FJ773" s="457"/>
      <c r="FK773" s="457"/>
    </row>
    <row r="774" spans="1:167" s="416" customFormat="1">
      <c r="A774" s="427"/>
      <c r="B774" s="427"/>
      <c r="C774" s="427"/>
      <c r="D774" s="427"/>
      <c r="E774" s="428"/>
      <c r="F774" s="429"/>
      <c r="G774" s="430"/>
      <c r="H774" s="427"/>
      <c r="I774" s="427"/>
      <c r="J774" s="427"/>
      <c r="K774" s="427"/>
      <c r="L774" s="427"/>
      <c r="M774" s="427"/>
      <c r="N774" s="427"/>
      <c r="O774" s="427"/>
      <c r="P774" s="427"/>
      <c r="Q774" s="427"/>
      <c r="R774" s="427"/>
      <c r="S774" s="427"/>
      <c r="T774" s="427"/>
      <c r="U774" s="427"/>
      <c r="V774" s="428"/>
      <c r="W774" s="431"/>
      <c r="X774" s="3"/>
      <c r="Y774" s="429"/>
      <c r="Z774" s="430"/>
      <c r="AA774" s="430"/>
      <c r="AB774" s="430"/>
      <c r="AC774" s="424"/>
      <c r="AD774" s="424"/>
      <c r="AE774" s="424"/>
      <c r="AF774" s="424"/>
      <c r="AG774" s="424"/>
      <c r="AH774" s="424"/>
      <c r="AI774" s="424"/>
      <c r="AJ774" s="2"/>
      <c r="AK774" s="2"/>
      <c r="AL774" s="2"/>
      <c r="AM774" s="2"/>
      <c r="AN774" s="2"/>
      <c r="AO774" s="2"/>
      <c r="AP774" s="2"/>
      <c r="AQ774" s="427"/>
      <c r="AR774" s="754"/>
      <c r="AS774" s="427"/>
      <c r="AT774" s="754"/>
      <c r="AU774" s="427"/>
      <c r="AV774" s="427"/>
      <c r="AW774" s="427"/>
      <c r="AX774" s="427"/>
      <c r="AY774" s="754"/>
      <c r="AZ774" s="754"/>
      <c r="BA774" s="754"/>
      <c r="BB774" s="427"/>
      <c r="BC774" s="427"/>
      <c r="BD774" s="427"/>
      <c r="BE774" s="754"/>
      <c r="BF774" s="427"/>
      <c r="BG774" s="454"/>
      <c r="BH774" s="754"/>
      <c r="BI774" s="427"/>
      <c r="BJ774" s="427"/>
      <c r="BK774" s="427"/>
      <c r="BL774" s="427"/>
      <c r="BM774" s="454"/>
      <c r="BN774" s="427"/>
      <c r="BO774" s="427"/>
      <c r="BP774" s="427"/>
      <c r="BQ774" s="454"/>
      <c r="BR774" s="454"/>
      <c r="BS774" s="460"/>
      <c r="BT774" s="454"/>
      <c r="BU774" s="454"/>
      <c r="BV774" s="457"/>
      <c r="BW774" s="460"/>
      <c r="BX774" s="460"/>
      <c r="BY774" s="460"/>
      <c r="CA774" s="2"/>
      <c r="CB774" s="2"/>
      <c r="CC774" s="2"/>
      <c r="CD774" s="2"/>
      <c r="CE774" s="2"/>
      <c r="CF774" s="2"/>
      <c r="CG774" s="2"/>
      <c r="CH774" s="2"/>
      <c r="CI774" s="2"/>
      <c r="CJ774" s="2"/>
      <c r="CK774" s="2"/>
      <c r="CL774" s="2"/>
      <c r="CM774" s="2"/>
      <c r="CN774" s="2"/>
      <c r="CO774" s="427"/>
      <c r="CP774" s="427"/>
      <c r="CQ774" s="427"/>
      <c r="CR774" s="485"/>
      <c r="CS774" s="485"/>
      <c r="CT774" s="485"/>
      <c r="CU774" s="485"/>
      <c r="CV774" s="482"/>
      <c r="CW774" s="482"/>
      <c r="CX774" s="482"/>
      <c r="CY774" s="482"/>
      <c r="CZ774" s="485"/>
      <c r="DA774" s="485"/>
      <c r="DB774" s="485"/>
      <c r="DC774" s="485"/>
      <c r="DD774" s="485"/>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485"/>
      <c r="EX774" s="457"/>
      <c r="EY774" s="457"/>
      <c r="EZ774" s="457"/>
      <c r="FA774" s="457"/>
      <c r="FB774" s="457"/>
      <c r="FC774" s="457"/>
      <c r="FD774" s="457"/>
      <c r="FE774" s="457"/>
      <c r="FF774" s="457"/>
      <c r="FG774" s="457"/>
      <c r="FH774" s="457"/>
      <c r="FI774" s="457"/>
      <c r="FJ774" s="457"/>
      <c r="FK774" s="457"/>
    </row>
    <row r="775" spans="1:167" s="416" customFormat="1">
      <c r="A775" s="427"/>
      <c r="B775" s="427"/>
      <c r="C775" s="427"/>
      <c r="D775" s="427"/>
      <c r="E775" s="428"/>
      <c r="F775" s="429"/>
      <c r="G775" s="430"/>
      <c r="H775" s="427"/>
      <c r="I775" s="427"/>
      <c r="J775" s="427"/>
      <c r="K775" s="427"/>
      <c r="L775" s="427"/>
      <c r="M775" s="427"/>
      <c r="N775" s="427"/>
      <c r="O775" s="427"/>
      <c r="P775" s="427"/>
      <c r="Q775" s="427"/>
      <c r="R775" s="427"/>
      <c r="S775" s="427"/>
      <c r="T775" s="427"/>
      <c r="U775" s="427"/>
      <c r="V775" s="428"/>
      <c r="W775" s="431"/>
      <c r="X775" s="3"/>
      <c r="Y775" s="429"/>
      <c r="Z775" s="430"/>
      <c r="AA775" s="430"/>
      <c r="AB775" s="430"/>
      <c r="AC775" s="424"/>
      <c r="AD775" s="424"/>
      <c r="AE775" s="424"/>
      <c r="AF775" s="424"/>
      <c r="AG775" s="424"/>
      <c r="AH775" s="424"/>
      <c r="AI775" s="424"/>
      <c r="AJ775" s="2"/>
      <c r="AK775" s="2"/>
      <c r="AL775" s="2"/>
      <c r="AM775" s="2"/>
      <c r="AN775" s="2"/>
      <c r="AO775" s="2"/>
      <c r="AP775" s="2"/>
      <c r="AQ775" s="427"/>
      <c r="AR775" s="754"/>
      <c r="AS775" s="427"/>
      <c r="AT775" s="754"/>
      <c r="AU775" s="427"/>
      <c r="AV775" s="427"/>
      <c r="AW775" s="427"/>
      <c r="AX775" s="427"/>
      <c r="AY775" s="754"/>
      <c r="AZ775" s="754"/>
      <c r="BA775" s="754"/>
      <c r="BB775" s="427"/>
      <c r="BC775" s="427"/>
      <c r="BD775" s="427"/>
      <c r="BE775" s="754"/>
      <c r="BF775" s="427"/>
      <c r="BG775" s="454"/>
      <c r="BH775" s="754"/>
      <c r="BI775" s="427"/>
      <c r="BJ775" s="427"/>
      <c r="BK775" s="427"/>
      <c r="BL775" s="427"/>
      <c r="BM775" s="454"/>
      <c r="BN775" s="427"/>
      <c r="BO775" s="427"/>
      <c r="BP775" s="427"/>
      <c r="BQ775" s="454"/>
      <c r="BR775" s="454"/>
      <c r="BS775" s="460"/>
      <c r="BT775" s="454"/>
      <c r="BU775" s="454"/>
      <c r="BV775" s="457"/>
      <c r="BW775" s="460"/>
      <c r="BX775" s="460"/>
      <c r="BY775" s="460"/>
      <c r="CA775" s="2"/>
      <c r="CB775" s="2"/>
      <c r="CC775" s="2"/>
      <c r="CD775" s="2"/>
      <c r="CE775" s="2"/>
      <c r="CF775" s="2"/>
      <c r="CG775" s="2"/>
      <c r="CH775" s="2"/>
      <c r="CI775" s="2"/>
      <c r="CJ775" s="2"/>
      <c r="CK775" s="2"/>
      <c r="CL775" s="2"/>
      <c r="CM775" s="2"/>
      <c r="CN775" s="2"/>
      <c r="CO775" s="427"/>
      <c r="CP775" s="427"/>
      <c r="CQ775" s="427"/>
      <c r="CR775" s="485"/>
      <c r="CS775" s="485"/>
      <c r="CT775" s="485"/>
      <c r="CU775" s="485"/>
      <c r="CV775" s="482"/>
      <c r="CW775" s="482"/>
      <c r="CX775" s="482"/>
      <c r="CY775" s="482"/>
      <c r="CZ775" s="485"/>
      <c r="DA775" s="485"/>
      <c r="DB775" s="485"/>
      <c r="DC775" s="485"/>
      <c r="DD775" s="485"/>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485"/>
      <c r="EX775" s="457"/>
      <c r="EY775" s="457"/>
      <c r="EZ775" s="457"/>
      <c r="FA775" s="457"/>
      <c r="FB775" s="457"/>
      <c r="FC775" s="457"/>
      <c r="FD775" s="457"/>
      <c r="FE775" s="457"/>
      <c r="FF775" s="457"/>
      <c r="FG775" s="457"/>
      <c r="FH775" s="457"/>
      <c r="FI775" s="457"/>
      <c r="FJ775" s="457"/>
      <c r="FK775" s="457"/>
    </row>
    <row r="776" spans="1:167" s="416" customFormat="1">
      <c r="A776" s="427"/>
      <c r="B776" s="427"/>
      <c r="C776" s="427"/>
      <c r="D776" s="427"/>
      <c r="E776" s="428"/>
      <c r="F776" s="429"/>
      <c r="G776" s="430"/>
      <c r="H776" s="427"/>
      <c r="I776" s="427"/>
      <c r="J776" s="427"/>
      <c r="K776" s="427"/>
      <c r="L776" s="427"/>
      <c r="M776" s="427"/>
      <c r="N776" s="427"/>
      <c r="O776" s="427"/>
      <c r="P776" s="427"/>
      <c r="Q776" s="427"/>
      <c r="R776" s="427"/>
      <c r="S776" s="427"/>
      <c r="T776" s="427"/>
      <c r="U776" s="427"/>
      <c r="V776" s="428"/>
      <c r="W776" s="431"/>
      <c r="X776" s="3"/>
      <c r="Y776" s="429"/>
      <c r="Z776" s="430"/>
      <c r="AA776" s="430"/>
      <c r="AB776" s="430"/>
      <c r="AC776" s="424"/>
      <c r="AD776" s="424"/>
      <c r="AE776" s="424"/>
      <c r="AF776" s="424"/>
      <c r="AG776" s="424"/>
      <c r="AH776" s="424"/>
      <c r="AI776" s="424"/>
      <c r="AJ776" s="2"/>
      <c r="AK776" s="2"/>
      <c r="AL776" s="2"/>
      <c r="AM776" s="2"/>
      <c r="AN776" s="2"/>
      <c r="AO776" s="2"/>
      <c r="AP776" s="2"/>
      <c r="AQ776" s="427"/>
      <c r="AR776" s="754"/>
      <c r="AS776" s="427"/>
      <c r="AT776" s="754"/>
      <c r="AU776" s="427"/>
      <c r="AV776" s="427"/>
      <c r="AW776" s="427"/>
      <c r="AX776" s="427"/>
      <c r="AY776" s="754"/>
      <c r="AZ776" s="754"/>
      <c r="BA776" s="754"/>
      <c r="BB776" s="427"/>
      <c r="BC776" s="427"/>
      <c r="BD776" s="427"/>
      <c r="BE776" s="754"/>
      <c r="BF776" s="427"/>
      <c r="BG776" s="454"/>
      <c r="BH776" s="754"/>
      <c r="BI776" s="427"/>
      <c r="BJ776" s="427"/>
      <c r="BK776" s="427"/>
      <c r="BL776" s="427"/>
      <c r="BM776" s="454"/>
      <c r="BN776" s="427"/>
      <c r="BO776" s="427"/>
      <c r="BP776" s="427"/>
      <c r="BQ776" s="454"/>
      <c r="BR776" s="454"/>
      <c r="BS776" s="460"/>
      <c r="BT776" s="454"/>
      <c r="BU776" s="454"/>
      <c r="BV776" s="457"/>
      <c r="BW776" s="460"/>
      <c r="BX776" s="460"/>
      <c r="BY776" s="460"/>
      <c r="CA776" s="2"/>
      <c r="CB776" s="2"/>
      <c r="CC776" s="2"/>
      <c r="CD776" s="2"/>
      <c r="CE776" s="2"/>
      <c r="CF776" s="2"/>
      <c r="CG776" s="2"/>
      <c r="CH776" s="2"/>
      <c r="CI776" s="2"/>
      <c r="CJ776" s="2"/>
      <c r="CK776" s="2"/>
      <c r="CL776" s="2"/>
      <c r="CM776" s="2"/>
      <c r="CN776" s="2"/>
      <c r="CO776" s="427"/>
      <c r="CP776" s="427"/>
      <c r="CQ776" s="427"/>
      <c r="CR776" s="485"/>
      <c r="CS776" s="485"/>
      <c r="CT776" s="485"/>
      <c r="CU776" s="485"/>
      <c r="CV776" s="482"/>
      <c r="CW776" s="482"/>
      <c r="CX776" s="482"/>
      <c r="CY776" s="482"/>
      <c r="CZ776" s="485"/>
      <c r="DA776" s="485"/>
      <c r="DB776" s="485"/>
      <c r="DC776" s="485"/>
      <c r="DD776" s="485"/>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485"/>
      <c r="EX776" s="457"/>
      <c r="EY776" s="457"/>
      <c r="EZ776" s="457"/>
      <c r="FA776" s="457"/>
      <c r="FB776" s="457"/>
      <c r="FC776" s="457"/>
      <c r="FD776" s="457"/>
      <c r="FE776" s="457"/>
      <c r="FF776" s="457"/>
      <c r="FG776" s="457"/>
      <c r="FH776" s="457"/>
      <c r="FI776" s="457"/>
      <c r="FJ776" s="457"/>
      <c r="FK776" s="457"/>
    </row>
    <row r="777" spans="1:167" s="416" customFormat="1">
      <c r="A777" s="427"/>
      <c r="B777" s="427"/>
      <c r="C777" s="427"/>
      <c r="D777" s="427"/>
      <c r="E777" s="428"/>
      <c r="F777" s="429"/>
      <c r="G777" s="430"/>
      <c r="H777" s="427"/>
      <c r="I777" s="427"/>
      <c r="J777" s="427"/>
      <c r="K777" s="427"/>
      <c r="L777" s="427"/>
      <c r="M777" s="427"/>
      <c r="N777" s="427"/>
      <c r="O777" s="427"/>
      <c r="P777" s="427"/>
      <c r="Q777" s="427"/>
      <c r="R777" s="427"/>
      <c r="S777" s="427"/>
      <c r="T777" s="427"/>
      <c r="U777" s="427"/>
      <c r="V777" s="428"/>
      <c r="W777" s="431"/>
      <c r="X777" s="3"/>
      <c r="Y777" s="429"/>
      <c r="Z777" s="430"/>
      <c r="AA777" s="430"/>
      <c r="AB777" s="430"/>
      <c r="AC777" s="424"/>
      <c r="AD777" s="424"/>
      <c r="AE777" s="424"/>
      <c r="AF777" s="424"/>
      <c r="AG777" s="424"/>
      <c r="AH777" s="424"/>
      <c r="AI777" s="424"/>
      <c r="AJ777" s="2"/>
      <c r="AK777" s="2"/>
      <c r="AL777" s="2"/>
      <c r="AM777" s="2"/>
      <c r="AN777" s="2"/>
      <c r="AO777" s="2"/>
      <c r="AP777" s="2"/>
      <c r="AQ777" s="427"/>
      <c r="AR777" s="754"/>
      <c r="AS777" s="427"/>
      <c r="AT777" s="754"/>
      <c r="AU777" s="427"/>
      <c r="AV777" s="427"/>
      <c r="AW777" s="427"/>
      <c r="AX777" s="427"/>
      <c r="AY777" s="754"/>
      <c r="AZ777" s="754"/>
      <c r="BA777" s="754"/>
      <c r="BB777" s="427"/>
      <c r="BC777" s="427"/>
      <c r="BD777" s="427"/>
      <c r="BE777" s="754"/>
      <c r="BF777" s="427"/>
      <c r="BG777" s="454"/>
      <c r="BH777" s="754"/>
      <c r="BI777" s="427"/>
      <c r="BJ777" s="427"/>
      <c r="BK777" s="427"/>
      <c r="BL777" s="427"/>
      <c r="BM777" s="454"/>
      <c r="BN777" s="427"/>
      <c r="BO777" s="427"/>
      <c r="BP777" s="427"/>
      <c r="BQ777" s="454"/>
      <c r="BR777" s="454"/>
      <c r="BS777" s="460"/>
      <c r="BT777" s="454"/>
      <c r="BU777" s="454"/>
      <c r="BV777" s="457"/>
      <c r="BW777" s="460"/>
      <c r="BX777" s="460"/>
      <c r="BY777" s="460"/>
      <c r="CA777" s="2"/>
      <c r="CB777" s="2"/>
      <c r="CC777" s="2"/>
      <c r="CD777" s="2"/>
      <c r="CE777" s="2"/>
      <c r="CF777" s="2"/>
      <c r="CG777" s="2"/>
      <c r="CH777" s="2"/>
      <c r="CI777" s="2"/>
      <c r="CJ777" s="2"/>
      <c r="CK777" s="2"/>
      <c r="CL777" s="2"/>
      <c r="CM777" s="2"/>
      <c r="CN777" s="2"/>
      <c r="CO777" s="427"/>
      <c r="CP777" s="427"/>
      <c r="CQ777" s="427"/>
      <c r="CR777" s="485"/>
      <c r="CS777" s="485"/>
      <c r="CT777" s="485"/>
      <c r="CU777" s="485"/>
      <c r="CV777" s="482"/>
      <c r="CW777" s="482"/>
      <c r="CX777" s="482"/>
      <c r="CY777" s="482"/>
      <c r="CZ777" s="485"/>
      <c r="DA777" s="485"/>
      <c r="DB777" s="485"/>
      <c r="DC777" s="485"/>
      <c r="DD777" s="485"/>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485"/>
      <c r="EX777" s="457"/>
      <c r="EY777" s="457"/>
      <c r="EZ777" s="457"/>
      <c r="FA777" s="457"/>
      <c r="FB777" s="457"/>
      <c r="FC777" s="457"/>
      <c r="FD777" s="457"/>
      <c r="FE777" s="457"/>
      <c r="FF777" s="457"/>
      <c r="FG777" s="457"/>
      <c r="FH777" s="457"/>
      <c r="FI777" s="457"/>
      <c r="FJ777" s="457"/>
      <c r="FK777" s="457"/>
    </row>
    <row r="778" spans="1:167" s="416" customFormat="1">
      <c r="A778" s="427"/>
      <c r="B778" s="427"/>
      <c r="C778" s="427"/>
      <c r="D778" s="427"/>
      <c r="E778" s="428"/>
      <c r="F778" s="429"/>
      <c r="G778" s="430"/>
      <c r="H778" s="427"/>
      <c r="I778" s="427"/>
      <c r="J778" s="427"/>
      <c r="K778" s="427"/>
      <c r="L778" s="427"/>
      <c r="M778" s="427"/>
      <c r="N778" s="427"/>
      <c r="O778" s="427"/>
      <c r="P778" s="427"/>
      <c r="Q778" s="427"/>
      <c r="R778" s="427"/>
      <c r="S778" s="427"/>
      <c r="T778" s="427"/>
      <c r="U778" s="427"/>
      <c r="V778" s="428"/>
      <c r="W778" s="431"/>
      <c r="X778" s="3"/>
      <c r="Y778" s="429"/>
      <c r="Z778" s="430"/>
      <c r="AA778" s="430"/>
      <c r="AB778" s="430"/>
      <c r="AC778" s="424"/>
      <c r="AD778" s="424"/>
      <c r="AE778" s="424"/>
      <c r="AF778" s="424"/>
      <c r="AG778" s="424"/>
      <c r="AH778" s="424"/>
      <c r="AI778" s="424"/>
      <c r="AJ778" s="2"/>
      <c r="AK778" s="2"/>
      <c r="AL778" s="2"/>
      <c r="AM778" s="2"/>
      <c r="AN778" s="2"/>
      <c r="AO778" s="2"/>
      <c r="AP778" s="2"/>
      <c r="AQ778" s="427"/>
      <c r="AR778" s="754"/>
      <c r="AS778" s="427"/>
      <c r="AT778" s="754"/>
      <c r="AU778" s="427"/>
      <c r="AV778" s="427"/>
      <c r="AW778" s="427"/>
      <c r="AX778" s="427"/>
      <c r="AY778" s="754"/>
      <c r="AZ778" s="754"/>
      <c r="BA778" s="754"/>
      <c r="BB778" s="427"/>
      <c r="BC778" s="427"/>
      <c r="BD778" s="427"/>
      <c r="BE778" s="754"/>
      <c r="BF778" s="427"/>
      <c r="BG778" s="454"/>
      <c r="BH778" s="754"/>
      <c r="BI778" s="427"/>
      <c r="BJ778" s="427"/>
      <c r="BK778" s="427"/>
      <c r="BL778" s="427"/>
      <c r="BM778" s="454"/>
      <c r="BN778" s="427"/>
      <c r="BO778" s="427"/>
      <c r="BP778" s="427"/>
      <c r="BQ778" s="454"/>
      <c r="BR778" s="454"/>
      <c r="BS778" s="460"/>
      <c r="BT778" s="454"/>
      <c r="BU778" s="454"/>
      <c r="BV778" s="457"/>
      <c r="BW778" s="460"/>
      <c r="BX778" s="460"/>
      <c r="BY778" s="460"/>
      <c r="CA778" s="2"/>
      <c r="CB778" s="2"/>
      <c r="CC778" s="2"/>
      <c r="CD778" s="2"/>
      <c r="CE778" s="2"/>
      <c r="CF778" s="2"/>
      <c r="CG778" s="2"/>
      <c r="CH778" s="2"/>
      <c r="CI778" s="2"/>
      <c r="CJ778" s="2"/>
      <c r="CK778" s="2"/>
      <c r="CL778" s="2"/>
      <c r="CM778" s="2"/>
      <c r="CN778" s="2"/>
      <c r="CO778" s="427"/>
      <c r="CP778" s="427"/>
      <c r="CQ778" s="427"/>
      <c r="CR778" s="485"/>
      <c r="CS778" s="485"/>
      <c r="CT778" s="485"/>
      <c r="CU778" s="485"/>
      <c r="CV778" s="482"/>
      <c r="CW778" s="482"/>
      <c r="CX778" s="482"/>
      <c r="CY778" s="482"/>
      <c r="CZ778" s="485"/>
      <c r="DA778" s="485"/>
      <c r="DB778" s="485"/>
      <c r="DC778" s="485"/>
      <c r="DD778" s="485"/>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485"/>
      <c r="EX778" s="457"/>
      <c r="EY778" s="457"/>
      <c r="EZ778" s="457"/>
      <c r="FA778" s="457"/>
      <c r="FB778" s="457"/>
      <c r="FC778" s="457"/>
      <c r="FD778" s="457"/>
      <c r="FE778" s="457"/>
      <c r="FF778" s="457"/>
      <c r="FG778" s="457"/>
      <c r="FH778" s="457"/>
      <c r="FI778" s="457"/>
      <c r="FJ778" s="457"/>
      <c r="FK778" s="457"/>
    </row>
    <row r="779" spans="1:167" s="416" customFormat="1">
      <c r="A779" s="427"/>
      <c r="B779" s="427"/>
      <c r="C779" s="427"/>
      <c r="D779" s="427"/>
      <c r="E779" s="428"/>
      <c r="F779" s="429"/>
      <c r="G779" s="430"/>
      <c r="H779" s="427"/>
      <c r="I779" s="427"/>
      <c r="J779" s="427"/>
      <c r="K779" s="427"/>
      <c r="L779" s="427"/>
      <c r="M779" s="427"/>
      <c r="N779" s="427"/>
      <c r="O779" s="427"/>
      <c r="P779" s="427"/>
      <c r="Q779" s="427"/>
      <c r="R779" s="427"/>
      <c r="S779" s="427"/>
      <c r="T779" s="427"/>
      <c r="U779" s="427"/>
      <c r="V779" s="428"/>
      <c r="W779" s="431"/>
      <c r="X779" s="3"/>
      <c r="Y779" s="429"/>
      <c r="Z779" s="430"/>
      <c r="AA779" s="430"/>
      <c r="AB779" s="430"/>
      <c r="AC779" s="424"/>
      <c r="AD779" s="424"/>
      <c r="AE779" s="424"/>
      <c r="AF779" s="424"/>
      <c r="AG779" s="424"/>
      <c r="AH779" s="424"/>
      <c r="AI779" s="424"/>
      <c r="AJ779" s="2"/>
      <c r="AK779" s="2"/>
      <c r="AL779" s="2"/>
      <c r="AM779" s="2"/>
      <c r="AN779" s="2"/>
      <c r="AO779" s="2"/>
      <c r="AP779" s="2"/>
      <c r="AQ779" s="427"/>
      <c r="AR779" s="754"/>
      <c r="AS779" s="427"/>
      <c r="AT779" s="754"/>
      <c r="AU779" s="427"/>
      <c r="AV779" s="427"/>
      <c r="AW779" s="427"/>
      <c r="AX779" s="427"/>
      <c r="AY779" s="754"/>
      <c r="AZ779" s="754"/>
      <c r="BA779" s="754"/>
      <c r="BB779" s="427"/>
      <c r="BC779" s="427"/>
      <c r="BD779" s="427"/>
      <c r="BE779" s="754"/>
      <c r="BF779" s="427"/>
      <c r="BG779" s="454"/>
      <c r="BH779" s="754"/>
      <c r="BI779" s="427"/>
      <c r="BJ779" s="427"/>
      <c r="BK779" s="427"/>
      <c r="BL779" s="427"/>
      <c r="BM779" s="454"/>
      <c r="BN779" s="427"/>
      <c r="BO779" s="427"/>
      <c r="BP779" s="427"/>
      <c r="BQ779" s="454"/>
      <c r="BR779" s="454"/>
      <c r="BS779" s="460"/>
      <c r="BT779" s="454"/>
      <c r="BU779" s="454"/>
      <c r="BV779" s="457"/>
      <c r="BW779" s="460"/>
      <c r="BX779" s="460"/>
      <c r="BY779" s="460"/>
      <c r="CA779" s="2"/>
      <c r="CB779" s="2"/>
      <c r="CC779" s="2"/>
      <c r="CD779" s="2"/>
      <c r="CE779" s="2"/>
      <c r="CF779" s="2"/>
      <c r="CG779" s="2"/>
      <c r="CH779" s="2"/>
      <c r="CI779" s="2"/>
      <c r="CJ779" s="2"/>
      <c r="CK779" s="2"/>
      <c r="CL779" s="2"/>
      <c r="CM779" s="2"/>
      <c r="CN779" s="2"/>
      <c r="CO779" s="427"/>
      <c r="CP779" s="427"/>
      <c r="CQ779" s="427"/>
      <c r="CR779" s="485"/>
      <c r="CS779" s="485"/>
      <c r="CT779" s="485"/>
      <c r="CU779" s="485"/>
      <c r="CV779" s="482"/>
      <c r="CW779" s="482"/>
      <c r="CX779" s="482"/>
      <c r="CY779" s="482"/>
      <c r="CZ779" s="485"/>
      <c r="DA779" s="485"/>
      <c r="DB779" s="485"/>
      <c r="DC779" s="485"/>
      <c r="DD779" s="485"/>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485"/>
      <c r="EX779" s="457"/>
      <c r="EY779" s="457"/>
      <c r="EZ779" s="457"/>
      <c r="FA779" s="457"/>
      <c r="FB779" s="457"/>
      <c r="FC779" s="457"/>
      <c r="FD779" s="457"/>
      <c r="FE779" s="457"/>
      <c r="FF779" s="457"/>
      <c r="FG779" s="457"/>
      <c r="FH779" s="457"/>
      <c r="FI779" s="457"/>
      <c r="FJ779" s="457"/>
      <c r="FK779" s="457"/>
    </row>
    <row r="780" spans="1:167" s="416" customFormat="1">
      <c r="A780" s="427"/>
      <c r="B780" s="427"/>
      <c r="C780" s="427"/>
      <c r="D780" s="427"/>
      <c r="E780" s="428"/>
      <c r="F780" s="429"/>
      <c r="G780" s="430"/>
      <c r="H780" s="427"/>
      <c r="I780" s="427"/>
      <c r="J780" s="427"/>
      <c r="K780" s="427"/>
      <c r="L780" s="427"/>
      <c r="M780" s="427"/>
      <c r="N780" s="427"/>
      <c r="O780" s="427"/>
      <c r="P780" s="427"/>
      <c r="Q780" s="427"/>
      <c r="R780" s="427"/>
      <c r="S780" s="427"/>
      <c r="T780" s="427"/>
      <c r="U780" s="427"/>
      <c r="V780" s="428"/>
      <c r="W780" s="431"/>
      <c r="X780" s="3"/>
      <c r="Y780" s="429"/>
      <c r="Z780" s="430"/>
      <c r="AA780" s="430"/>
      <c r="AB780" s="430"/>
      <c r="AC780" s="424"/>
      <c r="AD780" s="424"/>
      <c r="AE780" s="424"/>
      <c r="AF780" s="424"/>
      <c r="AG780" s="424"/>
      <c r="AH780" s="424"/>
      <c r="AI780" s="424"/>
      <c r="AJ780" s="2"/>
      <c r="AK780" s="2"/>
      <c r="AL780" s="2"/>
      <c r="AM780" s="2"/>
      <c r="AN780" s="2"/>
      <c r="AO780" s="2"/>
      <c r="AP780" s="2"/>
      <c r="AQ780" s="427"/>
      <c r="AR780" s="754"/>
      <c r="AS780" s="427"/>
      <c r="AT780" s="754"/>
      <c r="AU780" s="427"/>
      <c r="AV780" s="427"/>
      <c r="AW780" s="427"/>
      <c r="AX780" s="427"/>
      <c r="AY780" s="754"/>
      <c r="AZ780" s="754"/>
      <c r="BA780" s="754"/>
      <c r="BB780" s="427"/>
      <c r="BC780" s="427"/>
      <c r="BD780" s="427"/>
      <c r="BE780" s="754"/>
      <c r="BF780" s="427"/>
      <c r="BG780" s="454"/>
      <c r="BH780" s="754"/>
      <c r="BI780" s="427"/>
      <c r="BJ780" s="427"/>
      <c r="BK780" s="427"/>
      <c r="BL780" s="427"/>
      <c r="BM780" s="454"/>
      <c r="BN780" s="427"/>
      <c r="BO780" s="427"/>
      <c r="BP780" s="427"/>
      <c r="BQ780" s="454"/>
      <c r="BR780" s="454"/>
      <c r="BS780" s="460"/>
      <c r="BT780" s="454"/>
      <c r="BU780" s="454"/>
      <c r="BV780" s="457"/>
      <c r="BW780" s="460"/>
      <c r="BX780" s="460"/>
      <c r="BY780" s="460"/>
      <c r="CA780" s="2"/>
      <c r="CB780" s="2"/>
      <c r="CC780" s="2"/>
      <c r="CD780" s="2"/>
      <c r="CE780" s="2"/>
      <c r="CF780" s="2"/>
      <c r="CG780" s="2"/>
      <c r="CH780" s="2"/>
      <c r="CI780" s="2"/>
      <c r="CJ780" s="2"/>
      <c r="CK780" s="2"/>
      <c r="CL780" s="2"/>
      <c r="CM780" s="2"/>
      <c r="CN780" s="2"/>
      <c r="CO780" s="427"/>
      <c r="CP780" s="427"/>
      <c r="CQ780" s="427"/>
      <c r="CR780" s="485"/>
      <c r="CS780" s="485"/>
      <c r="CT780" s="485"/>
      <c r="CU780" s="485"/>
      <c r="CV780" s="482"/>
      <c r="CW780" s="482"/>
      <c r="CX780" s="482"/>
      <c r="CY780" s="482"/>
      <c r="CZ780" s="485"/>
      <c r="DA780" s="485"/>
      <c r="DB780" s="485"/>
      <c r="DC780" s="485"/>
      <c r="DD780" s="485"/>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485"/>
      <c r="EX780" s="457"/>
      <c r="EY780" s="457"/>
      <c r="EZ780" s="457"/>
      <c r="FA780" s="457"/>
      <c r="FB780" s="457"/>
      <c r="FC780" s="457"/>
      <c r="FD780" s="457"/>
      <c r="FE780" s="457"/>
      <c r="FF780" s="457"/>
      <c r="FG780" s="457"/>
      <c r="FH780" s="457"/>
      <c r="FI780" s="457"/>
      <c r="FJ780" s="457"/>
      <c r="FK780" s="457"/>
    </row>
    <row r="781" spans="1:167" s="416" customFormat="1">
      <c r="A781" s="427"/>
      <c r="B781" s="427"/>
      <c r="C781" s="427"/>
      <c r="D781" s="427"/>
      <c r="E781" s="428"/>
      <c r="F781" s="429"/>
      <c r="G781" s="430"/>
      <c r="H781" s="427"/>
      <c r="I781" s="427"/>
      <c r="J781" s="427"/>
      <c r="K781" s="427"/>
      <c r="L781" s="427"/>
      <c r="M781" s="427"/>
      <c r="N781" s="427"/>
      <c r="O781" s="427"/>
      <c r="P781" s="427"/>
      <c r="Q781" s="427"/>
      <c r="R781" s="427"/>
      <c r="S781" s="427"/>
      <c r="T781" s="427"/>
      <c r="U781" s="427"/>
      <c r="V781" s="428"/>
      <c r="W781" s="431"/>
      <c r="X781" s="3"/>
      <c r="Y781" s="429"/>
      <c r="Z781" s="430"/>
      <c r="AA781" s="430"/>
      <c r="AB781" s="430"/>
      <c r="AC781" s="424"/>
      <c r="AD781" s="424"/>
      <c r="AE781" s="424"/>
      <c r="AF781" s="424"/>
      <c r="AG781" s="424"/>
      <c r="AH781" s="424"/>
      <c r="AI781" s="424"/>
      <c r="AJ781" s="2"/>
      <c r="AK781" s="2"/>
      <c r="AL781" s="2"/>
      <c r="AM781" s="2"/>
      <c r="AN781" s="2"/>
      <c r="AO781" s="2"/>
      <c r="AP781" s="2"/>
      <c r="AQ781" s="427"/>
      <c r="AR781" s="754"/>
      <c r="AS781" s="427"/>
      <c r="AT781" s="754"/>
      <c r="AU781" s="427"/>
      <c r="AV781" s="427"/>
      <c r="AW781" s="427"/>
      <c r="AX781" s="427"/>
      <c r="AY781" s="754"/>
      <c r="AZ781" s="754"/>
      <c r="BA781" s="754"/>
      <c r="BB781" s="427"/>
      <c r="BC781" s="427"/>
      <c r="BD781" s="427"/>
      <c r="BE781" s="754"/>
      <c r="BF781" s="427"/>
      <c r="BG781" s="454"/>
      <c r="BH781" s="754"/>
      <c r="BI781" s="427"/>
      <c r="BJ781" s="427"/>
      <c r="BK781" s="427"/>
      <c r="BL781" s="427"/>
      <c r="BM781" s="454"/>
      <c r="BN781" s="427"/>
      <c r="BO781" s="427"/>
      <c r="BP781" s="427"/>
      <c r="BQ781" s="454"/>
      <c r="BR781" s="454"/>
      <c r="BS781" s="460"/>
      <c r="BT781" s="454"/>
      <c r="BU781" s="454"/>
      <c r="BV781" s="457"/>
      <c r="BW781" s="460"/>
      <c r="BX781" s="460"/>
      <c r="BY781" s="460"/>
      <c r="CA781" s="2"/>
      <c r="CB781" s="2"/>
      <c r="CC781" s="2"/>
      <c r="CD781" s="2"/>
      <c r="CE781" s="2"/>
      <c r="CF781" s="2"/>
      <c r="CG781" s="2"/>
      <c r="CH781" s="2"/>
      <c r="CI781" s="2"/>
      <c r="CJ781" s="2"/>
      <c r="CK781" s="2"/>
      <c r="CL781" s="2"/>
      <c r="CM781" s="2"/>
      <c r="CN781" s="2"/>
      <c r="CO781" s="427"/>
      <c r="CP781" s="427"/>
      <c r="CQ781" s="427"/>
      <c r="CR781" s="485"/>
      <c r="CS781" s="485"/>
      <c r="CT781" s="485"/>
      <c r="CU781" s="485"/>
      <c r="CV781" s="482"/>
      <c r="CW781" s="482"/>
      <c r="CX781" s="482"/>
      <c r="CY781" s="482"/>
      <c r="CZ781" s="485"/>
      <c r="DA781" s="485"/>
      <c r="DB781" s="485"/>
      <c r="DC781" s="485"/>
      <c r="DD781" s="485"/>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485"/>
      <c r="EX781" s="457"/>
      <c r="EY781" s="457"/>
      <c r="EZ781" s="457"/>
      <c r="FA781" s="457"/>
      <c r="FB781" s="457"/>
      <c r="FC781" s="457"/>
      <c r="FD781" s="457"/>
      <c r="FE781" s="457"/>
      <c r="FF781" s="457"/>
      <c r="FG781" s="457"/>
      <c r="FH781" s="457"/>
      <c r="FI781" s="457"/>
      <c r="FJ781" s="457"/>
      <c r="FK781" s="457"/>
    </row>
    <row r="782" spans="1:167" s="416" customFormat="1">
      <c r="A782" s="427"/>
      <c r="B782" s="427"/>
      <c r="C782" s="427"/>
      <c r="D782" s="427"/>
      <c r="E782" s="428"/>
      <c r="F782" s="429"/>
      <c r="G782" s="430"/>
      <c r="H782" s="427"/>
      <c r="I782" s="427"/>
      <c r="J782" s="427"/>
      <c r="K782" s="427"/>
      <c r="L782" s="427"/>
      <c r="M782" s="427"/>
      <c r="N782" s="427"/>
      <c r="O782" s="427"/>
      <c r="P782" s="427"/>
      <c r="Q782" s="427"/>
      <c r="R782" s="427"/>
      <c r="S782" s="427"/>
      <c r="T782" s="427"/>
      <c r="U782" s="427"/>
      <c r="V782" s="428"/>
      <c r="W782" s="431"/>
      <c r="X782" s="3"/>
      <c r="Y782" s="429"/>
      <c r="Z782" s="430"/>
      <c r="AA782" s="430"/>
      <c r="AB782" s="430"/>
      <c r="AC782" s="424"/>
      <c r="AD782" s="424"/>
      <c r="AE782" s="424"/>
      <c r="AF782" s="424"/>
      <c r="AG782" s="424"/>
      <c r="AH782" s="424"/>
      <c r="AI782" s="424"/>
      <c r="AJ782" s="2"/>
      <c r="AK782" s="2"/>
      <c r="AL782" s="2"/>
      <c r="AM782" s="2"/>
      <c r="AN782" s="2"/>
      <c r="AO782" s="2"/>
      <c r="AP782" s="2"/>
      <c r="AQ782" s="427"/>
      <c r="AR782" s="754"/>
      <c r="AS782" s="427"/>
      <c r="AT782" s="754"/>
      <c r="AU782" s="427"/>
      <c r="AV782" s="427"/>
      <c r="AW782" s="427"/>
      <c r="AX782" s="427"/>
      <c r="AY782" s="754"/>
      <c r="AZ782" s="754"/>
      <c r="BA782" s="754"/>
      <c r="BB782" s="427"/>
      <c r="BC782" s="427"/>
      <c r="BD782" s="427"/>
      <c r="BE782" s="754"/>
      <c r="BF782" s="427"/>
      <c r="BG782" s="454"/>
      <c r="BH782" s="754"/>
      <c r="BI782" s="427"/>
      <c r="BJ782" s="427"/>
      <c r="BK782" s="427"/>
      <c r="BL782" s="427"/>
      <c r="BM782" s="454"/>
      <c r="BN782" s="427"/>
      <c r="BO782" s="427"/>
      <c r="BP782" s="427"/>
      <c r="BQ782" s="454"/>
      <c r="BR782" s="454"/>
      <c r="BS782" s="460"/>
      <c r="BT782" s="454"/>
      <c r="BU782" s="454"/>
      <c r="BV782" s="457"/>
      <c r="BW782" s="460"/>
      <c r="BX782" s="460"/>
      <c r="BY782" s="460"/>
      <c r="CA782" s="2"/>
      <c r="CB782" s="2"/>
      <c r="CC782" s="2"/>
      <c r="CD782" s="2"/>
      <c r="CE782" s="2"/>
      <c r="CF782" s="2"/>
      <c r="CG782" s="2"/>
      <c r="CH782" s="2"/>
      <c r="CI782" s="2"/>
      <c r="CJ782" s="2"/>
      <c r="CK782" s="2"/>
      <c r="CL782" s="2"/>
      <c r="CM782" s="2"/>
      <c r="CN782" s="2"/>
      <c r="CO782" s="427"/>
      <c r="CP782" s="427"/>
      <c r="CQ782" s="427"/>
      <c r="CR782" s="485"/>
      <c r="CS782" s="485"/>
      <c r="CT782" s="485"/>
      <c r="CU782" s="485"/>
      <c r="CV782" s="482"/>
      <c r="CW782" s="482"/>
      <c r="CX782" s="482"/>
      <c r="CY782" s="482"/>
      <c r="CZ782" s="485"/>
      <c r="DA782" s="485"/>
      <c r="DB782" s="485"/>
      <c r="DC782" s="485"/>
      <c r="DD782" s="485"/>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485"/>
      <c r="EX782" s="457"/>
      <c r="EY782" s="457"/>
      <c r="EZ782" s="457"/>
      <c r="FA782" s="457"/>
      <c r="FB782" s="457"/>
      <c r="FC782" s="457"/>
      <c r="FD782" s="457"/>
      <c r="FE782" s="457"/>
      <c r="FF782" s="457"/>
      <c r="FG782" s="457"/>
      <c r="FH782" s="457"/>
      <c r="FI782" s="457"/>
      <c r="FJ782" s="457"/>
      <c r="FK782" s="457"/>
    </row>
    <row r="783" spans="1:167" s="416" customFormat="1">
      <c r="A783" s="427"/>
      <c r="B783" s="427"/>
      <c r="C783" s="427"/>
      <c r="D783" s="427"/>
      <c r="E783" s="428"/>
      <c r="F783" s="429"/>
      <c r="G783" s="430"/>
      <c r="H783" s="427"/>
      <c r="I783" s="427"/>
      <c r="J783" s="427"/>
      <c r="K783" s="427"/>
      <c r="L783" s="427"/>
      <c r="M783" s="427"/>
      <c r="N783" s="427"/>
      <c r="O783" s="427"/>
      <c r="P783" s="427"/>
      <c r="Q783" s="427"/>
      <c r="R783" s="427"/>
      <c r="S783" s="427"/>
      <c r="T783" s="427"/>
      <c r="U783" s="427"/>
      <c r="V783" s="428"/>
      <c r="W783" s="431"/>
      <c r="X783" s="3"/>
      <c r="Y783" s="429"/>
      <c r="Z783" s="430"/>
      <c r="AA783" s="430"/>
      <c r="AB783" s="430"/>
      <c r="AC783" s="424"/>
      <c r="AD783" s="424"/>
      <c r="AE783" s="424"/>
      <c r="AF783" s="424"/>
      <c r="AG783" s="424"/>
      <c r="AH783" s="424"/>
      <c r="AI783" s="424"/>
      <c r="AJ783" s="2"/>
      <c r="AK783" s="2"/>
      <c r="AL783" s="2"/>
      <c r="AM783" s="2"/>
      <c r="AN783" s="2"/>
      <c r="AO783" s="2"/>
      <c r="AP783" s="2"/>
      <c r="AQ783" s="427"/>
      <c r="AR783" s="754"/>
      <c r="AS783" s="427"/>
      <c r="AT783" s="754"/>
      <c r="AU783" s="427"/>
      <c r="AV783" s="427"/>
      <c r="AW783" s="427"/>
      <c r="AX783" s="427"/>
      <c r="AY783" s="754"/>
      <c r="AZ783" s="754"/>
      <c r="BA783" s="754"/>
      <c r="BB783" s="427"/>
      <c r="BC783" s="427"/>
      <c r="BD783" s="427"/>
      <c r="BE783" s="754"/>
      <c r="BF783" s="427"/>
      <c r="BG783" s="454"/>
      <c r="BH783" s="754"/>
      <c r="BI783" s="427"/>
      <c r="BJ783" s="427"/>
      <c r="BK783" s="427"/>
      <c r="BL783" s="427"/>
      <c r="BM783" s="454"/>
      <c r="BN783" s="427"/>
      <c r="BO783" s="427"/>
      <c r="BP783" s="427"/>
      <c r="BQ783" s="454"/>
      <c r="BR783" s="454"/>
      <c r="BS783" s="460"/>
      <c r="BT783" s="454"/>
      <c r="BU783" s="454"/>
      <c r="BV783" s="457"/>
      <c r="BW783" s="460"/>
      <c r="BX783" s="460"/>
      <c r="BY783" s="460"/>
      <c r="CA783" s="2"/>
      <c r="CB783" s="2"/>
      <c r="CC783" s="2"/>
      <c r="CD783" s="2"/>
      <c r="CE783" s="2"/>
      <c r="CF783" s="2"/>
      <c r="CG783" s="2"/>
      <c r="CH783" s="2"/>
      <c r="CI783" s="2"/>
      <c r="CJ783" s="2"/>
      <c r="CK783" s="2"/>
      <c r="CL783" s="2"/>
      <c r="CM783" s="2"/>
      <c r="CN783" s="2"/>
      <c r="CO783" s="427"/>
      <c r="CP783" s="427"/>
      <c r="CQ783" s="427"/>
      <c r="CR783" s="485"/>
      <c r="CS783" s="485"/>
      <c r="CT783" s="485"/>
      <c r="CU783" s="485"/>
      <c r="CV783" s="482"/>
      <c r="CW783" s="482"/>
      <c r="CX783" s="482"/>
      <c r="CY783" s="482"/>
      <c r="CZ783" s="485"/>
      <c r="DA783" s="485"/>
      <c r="DB783" s="485"/>
      <c r="DC783" s="485"/>
      <c r="DD783" s="485"/>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485"/>
      <c r="EX783" s="457"/>
      <c r="EY783" s="457"/>
      <c r="EZ783" s="457"/>
      <c r="FA783" s="457"/>
      <c r="FB783" s="457"/>
      <c r="FC783" s="457"/>
      <c r="FD783" s="457"/>
      <c r="FE783" s="457"/>
      <c r="FF783" s="457"/>
      <c r="FG783" s="457"/>
      <c r="FH783" s="457"/>
      <c r="FI783" s="457"/>
      <c r="FJ783" s="457"/>
      <c r="FK783" s="457"/>
    </row>
    <row r="784" spans="1:167" s="416" customFormat="1">
      <c r="A784" s="427"/>
      <c r="B784" s="427"/>
      <c r="C784" s="427"/>
      <c r="D784" s="427"/>
      <c r="E784" s="428"/>
      <c r="F784" s="429"/>
      <c r="G784" s="430"/>
      <c r="H784" s="427"/>
      <c r="I784" s="427"/>
      <c r="J784" s="427"/>
      <c r="K784" s="427"/>
      <c r="L784" s="427"/>
      <c r="M784" s="427"/>
      <c r="N784" s="427"/>
      <c r="O784" s="427"/>
      <c r="P784" s="427"/>
      <c r="Q784" s="427"/>
      <c r="R784" s="427"/>
      <c r="S784" s="427"/>
      <c r="T784" s="427"/>
      <c r="U784" s="427"/>
      <c r="V784" s="428"/>
      <c r="W784" s="431"/>
      <c r="X784" s="3"/>
      <c r="Y784" s="429"/>
      <c r="Z784" s="430"/>
      <c r="AA784" s="430"/>
      <c r="AB784" s="430"/>
      <c r="AC784" s="424"/>
      <c r="AD784" s="424"/>
      <c r="AE784" s="424"/>
      <c r="AF784" s="424"/>
      <c r="AG784" s="424"/>
      <c r="AH784" s="424"/>
      <c r="AI784" s="424"/>
      <c r="AJ784" s="2"/>
      <c r="AK784" s="2"/>
      <c r="AL784" s="2"/>
      <c r="AM784" s="2"/>
      <c r="AN784" s="2"/>
      <c r="AO784" s="2"/>
      <c r="AP784" s="2"/>
      <c r="AQ784" s="427"/>
      <c r="AR784" s="754"/>
      <c r="AS784" s="427"/>
      <c r="AT784" s="754"/>
      <c r="AU784" s="427"/>
      <c r="AV784" s="427"/>
      <c r="AW784" s="427"/>
      <c r="AX784" s="427"/>
      <c r="AY784" s="754"/>
      <c r="AZ784" s="754"/>
      <c r="BA784" s="754"/>
      <c r="BB784" s="427"/>
      <c r="BC784" s="427"/>
      <c r="BD784" s="427"/>
      <c r="BE784" s="754"/>
      <c r="BF784" s="427"/>
      <c r="BG784" s="454"/>
      <c r="BH784" s="754"/>
      <c r="BI784" s="427"/>
      <c r="BJ784" s="427"/>
      <c r="BK784" s="427"/>
      <c r="BL784" s="427"/>
      <c r="BM784" s="454"/>
      <c r="BN784" s="427"/>
      <c r="BO784" s="427"/>
      <c r="BP784" s="427"/>
      <c r="BQ784" s="454"/>
      <c r="BR784" s="454"/>
      <c r="BS784" s="460"/>
      <c r="BT784" s="454"/>
      <c r="BU784" s="454"/>
      <c r="BV784" s="457"/>
      <c r="BW784" s="460"/>
      <c r="BX784" s="460"/>
      <c r="BY784" s="460"/>
      <c r="CA784" s="2"/>
      <c r="CB784" s="2"/>
      <c r="CC784" s="2"/>
      <c r="CD784" s="2"/>
      <c r="CE784" s="2"/>
      <c r="CF784" s="2"/>
      <c r="CG784" s="2"/>
      <c r="CH784" s="2"/>
      <c r="CI784" s="2"/>
      <c r="CJ784" s="2"/>
      <c r="CK784" s="2"/>
      <c r="CL784" s="2"/>
      <c r="CM784" s="2"/>
      <c r="CN784" s="2"/>
      <c r="CO784" s="427"/>
      <c r="CP784" s="427"/>
      <c r="CQ784" s="427"/>
      <c r="CR784" s="485"/>
      <c r="CS784" s="485"/>
      <c r="CT784" s="485"/>
      <c r="CU784" s="485"/>
      <c r="CV784" s="482"/>
      <c r="CW784" s="482"/>
      <c r="CX784" s="482"/>
      <c r="CY784" s="482"/>
      <c r="CZ784" s="485"/>
      <c r="DA784" s="485"/>
      <c r="DB784" s="485"/>
      <c r="DC784" s="485"/>
      <c r="DD784" s="485"/>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485"/>
      <c r="EX784" s="457"/>
      <c r="EY784" s="457"/>
      <c r="EZ784" s="457"/>
      <c r="FA784" s="457"/>
      <c r="FB784" s="457"/>
      <c r="FC784" s="457"/>
      <c r="FD784" s="457"/>
      <c r="FE784" s="457"/>
      <c r="FF784" s="457"/>
      <c r="FG784" s="457"/>
      <c r="FH784" s="457"/>
      <c r="FI784" s="457"/>
      <c r="FJ784" s="457"/>
      <c r="FK784" s="457"/>
    </row>
    <row r="785" spans="1:167" s="416" customFormat="1">
      <c r="A785" s="427"/>
      <c r="B785" s="427"/>
      <c r="C785" s="427"/>
      <c r="D785" s="427"/>
      <c r="E785" s="428"/>
      <c r="F785" s="429"/>
      <c r="G785" s="430"/>
      <c r="H785" s="427"/>
      <c r="I785" s="427"/>
      <c r="J785" s="427"/>
      <c r="K785" s="427"/>
      <c r="L785" s="427"/>
      <c r="M785" s="427"/>
      <c r="N785" s="427"/>
      <c r="O785" s="427"/>
      <c r="P785" s="427"/>
      <c r="Q785" s="427"/>
      <c r="R785" s="427"/>
      <c r="S785" s="427"/>
      <c r="T785" s="427"/>
      <c r="U785" s="427"/>
      <c r="V785" s="428"/>
      <c r="W785" s="431"/>
      <c r="X785" s="3"/>
      <c r="Y785" s="429"/>
      <c r="Z785" s="430"/>
      <c r="AA785" s="430"/>
      <c r="AB785" s="430"/>
      <c r="AC785" s="424"/>
      <c r="AD785" s="424"/>
      <c r="AE785" s="424"/>
      <c r="AF785" s="424"/>
      <c r="AG785" s="424"/>
      <c r="AH785" s="424"/>
      <c r="AI785" s="424"/>
      <c r="AJ785" s="2"/>
      <c r="AK785" s="2"/>
      <c r="AL785" s="2"/>
      <c r="AM785" s="2"/>
      <c r="AN785" s="2"/>
      <c r="AO785" s="2"/>
      <c r="AP785" s="2"/>
      <c r="AQ785" s="427"/>
      <c r="AR785" s="754"/>
      <c r="AS785" s="427"/>
      <c r="AT785" s="754"/>
      <c r="AU785" s="427"/>
      <c r="AV785" s="427"/>
      <c r="AW785" s="427"/>
      <c r="AX785" s="427"/>
      <c r="AY785" s="754"/>
      <c r="AZ785" s="754"/>
      <c r="BA785" s="754"/>
      <c r="BB785" s="427"/>
      <c r="BC785" s="427"/>
      <c r="BD785" s="427"/>
      <c r="BE785" s="754"/>
      <c r="BF785" s="427"/>
      <c r="BG785" s="454"/>
      <c r="BH785" s="754"/>
      <c r="BI785" s="427"/>
      <c r="BJ785" s="427"/>
      <c r="BK785" s="427"/>
      <c r="BL785" s="427"/>
      <c r="BM785" s="454"/>
      <c r="BN785" s="427"/>
      <c r="BO785" s="427"/>
      <c r="BP785" s="427"/>
      <c r="BQ785" s="454"/>
      <c r="BR785" s="454"/>
      <c r="BS785" s="460"/>
      <c r="BT785" s="454"/>
      <c r="BU785" s="454"/>
      <c r="BV785" s="457"/>
      <c r="BW785" s="460"/>
      <c r="BX785" s="460"/>
      <c r="BY785" s="460"/>
      <c r="CA785" s="2"/>
      <c r="CB785" s="2"/>
      <c r="CC785" s="2"/>
      <c r="CD785" s="2"/>
      <c r="CE785" s="2"/>
      <c r="CF785" s="2"/>
      <c r="CG785" s="2"/>
      <c r="CH785" s="2"/>
      <c r="CI785" s="2"/>
      <c r="CJ785" s="2"/>
      <c r="CK785" s="2"/>
      <c r="CL785" s="2"/>
      <c r="CM785" s="2"/>
      <c r="CN785" s="2"/>
      <c r="CO785" s="427"/>
      <c r="CP785" s="427"/>
      <c r="CQ785" s="427"/>
      <c r="CR785" s="485"/>
      <c r="CS785" s="485"/>
      <c r="CT785" s="485"/>
      <c r="CU785" s="485"/>
      <c r="CV785" s="482"/>
      <c r="CW785" s="482"/>
      <c r="CX785" s="482"/>
      <c r="CY785" s="482"/>
      <c r="CZ785" s="485"/>
      <c r="DA785" s="485"/>
      <c r="DB785" s="485"/>
      <c r="DC785" s="485"/>
      <c r="DD785" s="485"/>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485"/>
      <c r="EX785" s="457"/>
      <c r="EY785" s="457"/>
      <c r="EZ785" s="457"/>
      <c r="FA785" s="457"/>
      <c r="FB785" s="457"/>
      <c r="FC785" s="457"/>
      <c r="FD785" s="457"/>
      <c r="FE785" s="457"/>
      <c r="FF785" s="457"/>
      <c r="FG785" s="457"/>
      <c r="FH785" s="457"/>
      <c r="FI785" s="457"/>
      <c r="FJ785" s="457"/>
      <c r="FK785" s="457"/>
    </row>
    <row r="786" spans="1:167" s="416" customFormat="1">
      <c r="A786" s="427"/>
      <c r="B786" s="427"/>
      <c r="C786" s="427"/>
      <c r="D786" s="427"/>
      <c r="E786" s="428"/>
      <c r="F786" s="429"/>
      <c r="G786" s="430"/>
      <c r="H786" s="427"/>
      <c r="I786" s="427"/>
      <c r="J786" s="427"/>
      <c r="K786" s="427"/>
      <c r="L786" s="427"/>
      <c r="M786" s="427"/>
      <c r="N786" s="427"/>
      <c r="O786" s="427"/>
      <c r="P786" s="427"/>
      <c r="Q786" s="427"/>
      <c r="R786" s="427"/>
      <c r="S786" s="427"/>
      <c r="T786" s="427"/>
      <c r="U786" s="427"/>
      <c r="V786" s="428"/>
      <c r="W786" s="431"/>
      <c r="X786" s="3"/>
      <c r="Y786" s="429"/>
      <c r="Z786" s="430"/>
      <c r="AA786" s="430"/>
      <c r="AB786" s="430"/>
      <c r="AC786" s="424"/>
      <c r="AD786" s="424"/>
      <c r="AE786" s="424"/>
      <c r="AF786" s="424"/>
      <c r="AG786" s="424"/>
      <c r="AH786" s="424"/>
      <c r="AI786" s="424"/>
      <c r="AJ786" s="2"/>
      <c r="AK786" s="2"/>
      <c r="AL786" s="2"/>
      <c r="AM786" s="2"/>
      <c r="AN786" s="2"/>
      <c r="AO786" s="2"/>
      <c r="AP786" s="2"/>
      <c r="AQ786" s="427"/>
      <c r="AR786" s="754"/>
      <c r="AS786" s="427"/>
      <c r="AT786" s="754"/>
      <c r="AU786" s="427"/>
      <c r="AV786" s="427"/>
      <c r="AW786" s="427"/>
      <c r="AX786" s="427"/>
      <c r="AY786" s="754"/>
      <c r="AZ786" s="754"/>
      <c r="BA786" s="754"/>
      <c r="BB786" s="427"/>
      <c r="BC786" s="427"/>
      <c r="BD786" s="427"/>
      <c r="BE786" s="754"/>
      <c r="BF786" s="427"/>
      <c r="BG786" s="454"/>
      <c r="BH786" s="754"/>
      <c r="BI786" s="427"/>
      <c r="BJ786" s="427"/>
      <c r="BK786" s="427"/>
      <c r="BL786" s="427"/>
      <c r="BM786" s="454"/>
      <c r="BN786" s="427"/>
      <c r="BO786" s="427"/>
      <c r="BP786" s="427"/>
      <c r="BQ786" s="454"/>
      <c r="BR786" s="454"/>
      <c r="BS786" s="460"/>
      <c r="BT786" s="454"/>
      <c r="BU786" s="454"/>
      <c r="BV786" s="457"/>
      <c r="BW786" s="460"/>
      <c r="BX786" s="460"/>
      <c r="BY786" s="460"/>
      <c r="CA786" s="2"/>
      <c r="CB786" s="2"/>
      <c r="CC786" s="2"/>
      <c r="CD786" s="2"/>
      <c r="CE786" s="2"/>
      <c r="CF786" s="2"/>
      <c r="CG786" s="2"/>
      <c r="CH786" s="2"/>
      <c r="CI786" s="2"/>
      <c r="CJ786" s="2"/>
      <c r="CK786" s="2"/>
      <c r="CL786" s="2"/>
      <c r="CM786" s="2"/>
      <c r="CN786" s="2"/>
      <c r="CO786" s="427"/>
      <c r="CP786" s="427"/>
      <c r="CQ786" s="427"/>
      <c r="CR786" s="485"/>
      <c r="CS786" s="485"/>
      <c r="CT786" s="485"/>
      <c r="CU786" s="485"/>
      <c r="CV786" s="482"/>
      <c r="CW786" s="482"/>
      <c r="CX786" s="482"/>
      <c r="CY786" s="482"/>
      <c r="CZ786" s="485"/>
      <c r="DA786" s="485"/>
      <c r="DB786" s="485"/>
      <c r="DC786" s="485"/>
      <c r="DD786" s="485"/>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485"/>
      <c r="EX786" s="457"/>
      <c r="EY786" s="457"/>
      <c r="EZ786" s="457"/>
      <c r="FA786" s="457"/>
      <c r="FB786" s="457"/>
      <c r="FC786" s="457"/>
      <c r="FD786" s="457"/>
      <c r="FE786" s="457"/>
      <c r="FF786" s="457"/>
      <c r="FG786" s="457"/>
      <c r="FH786" s="457"/>
      <c r="FI786" s="457"/>
      <c r="FJ786" s="457"/>
      <c r="FK786" s="457"/>
    </row>
    <row r="787" spans="1:167" s="416" customFormat="1">
      <c r="A787" s="427"/>
      <c r="B787" s="427"/>
      <c r="C787" s="427"/>
      <c r="D787" s="427"/>
      <c r="E787" s="428"/>
      <c r="F787" s="429"/>
      <c r="G787" s="430"/>
      <c r="H787" s="427"/>
      <c r="I787" s="427"/>
      <c r="J787" s="427"/>
      <c r="K787" s="427"/>
      <c r="L787" s="427"/>
      <c r="M787" s="427"/>
      <c r="N787" s="427"/>
      <c r="O787" s="427"/>
      <c r="P787" s="427"/>
      <c r="Q787" s="427"/>
      <c r="R787" s="427"/>
      <c r="S787" s="427"/>
      <c r="T787" s="427"/>
      <c r="U787" s="427"/>
      <c r="V787" s="428"/>
      <c r="W787" s="431"/>
      <c r="X787" s="3"/>
      <c r="Y787" s="429"/>
      <c r="Z787" s="430"/>
      <c r="AA787" s="430"/>
      <c r="AB787" s="430"/>
      <c r="AC787" s="424"/>
      <c r="AD787" s="424"/>
      <c r="AE787" s="424"/>
      <c r="AF787" s="424"/>
      <c r="AG787" s="424"/>
      <c r="AH787" s="424"/>
      <c r="AI787" s="424"/>
      <c r="AJ787" s="2"/>
      <c r="AK787" s="2"/>
      <c r="AL787" s="2"/>
      <c r="AM787" s="2"/>
      <c r="AN787" s="2"/>
      <c r="AO787" s="2"/>
      <c r="AP787" s="2"/>
      <c r="AQ787" s="427"/>
      <c r="AR787" s="754"/>
      <c r="AS787" s="427"/>
      <c r="AT787" s="754"/>
      <c r="AU787" s="427"/>
      <c r="AV787" s="427"/>
      <c r="AW787" s="427"/>
      <c r="AX787" s="427"/>
      <c r="AY787" s="754"/>
      <c r="AZ787" s="754"/>
      <c r="BA787" s="754"/>
      <c r="BB787" s="427"/>
      <c r="BC787" s="427"/>
      <c r="BD787" s="427"/>
      <c r="BE787" s="754"/>
      <c r="BF787" s="427"/>
      <c r="BG787" s="454"/>
      <c r="BH787" s="754"/>
      <c r="BI787" s="427"/>
      <c r="BJ787" s="427"/>
      <c r="BK787" s="427"/>
      <c r="BL787" s="427"/>
      <c r="BM787" s="454"/>
      <c r="BN787" s="427"/>
      <c r="BO787" s="427"/>
      <c r="BP787" s="427"/>
      <c r="BQ787" s="454"/>
      <c r="BR787" s="454"/>
      <c r="BS787" s="460"/>
      <c r="BT787" s="454"/>
      <c r="BU787" s="454"/>
      <c r="BV787" s="457"/>
      <c r="BW787" s="460"/>
      <c r="BX787" s="460"/>
      <c r="BY787" s="460"/>
      <c r="CA787" s="2"/>
      <c r="CB787" s="2"/>
      <c r="CC787" s="2"/>
      <c r="CD787" s="2"/>
      <c r="CE787" s="2"/>
      <c r="CF787" s="2"/>
      <c r="CG787" s="2"/>
      <c r="CH787" s="2"/>
      <c r="CI787" s="2"/>
      <c r="CJ787" s="2"/>
      <c r="CK787" s="2"/>
      <c r="CL787" s="2"/>
      <c r="CM787" s="2"/>
      <c r="CN787" s="2"/>
      <c r="CO787" s="427"/>
      <c r="CP787" s="427"/>
      <c r="CQ787" s="427"/>
      <c r="CR787" s="485"/>
      <c r="CS787" s="485"/>
      <c r="CT787" s="485"/>
      <c r="CU787" s="485"/>
      <c r="CV787" s="482"/>
      <c r="CW787" s="482"/>
      <c r="CX787" s="482"/>
      <c r="CY787" s="482"/>
      <c r="CZ787" s="485"/>
      <c r="DA787" s="485"/>
      <c r="DB787" s="485"/>
      <c r="DC787" s="485"/>
      <c r="DD787" s="485"/>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485"/>
      <c r="EX787" s="457"/>
      <c r="EY787" s="457"/>
      <c r="EZ787" s="457"/>
      <c r="FA787" s="457"/>
      <c r="FB787" s="457"/>
      <c r="FC787" s="457"/>
      <c r="FD787" s="457"/>
      <c r="FE787" s="457"/>
      <c r="FF787" s="457"/>
      <c r="FG787" s="457"/>
      <c r="FH787" s="457"/>
      <c r="FI787" s="457"/>
      <c r="FJ787" s="457"/>
      <c r="FK787" s="457"/>
    </row>
    <row r="788" spans="1:167" s="416" customFormat="1">
      <c r="A788" s="427"/>
      <c r="B788" s="427"/>
      <c r="C788" s="427"/>
      <c r="D788" s="427"/>
      <c r="E788" s="428"/>
      <c r="F788" s="429"/>
      <c r="G788" s="430"/>
      <c r="H788" s="427"/>
      <c r="I788" s="427"/>
      <c r="J788" s="427"/>
      <c r="K788" s="427"/>
      <c r="L788" s="427"/>
      <c r="M788" s="427"/>
      <c r="N788" s="427"/>
      <c r="O788" s="427"/>
      <c r="P788" s="427"/>
      <c r="Q788" s="427"/>
      <c r="R788" s="427"/>
      <c r="S788" s="427"/>
      <c r="T788" s="427"/>
      <c r="U788" s="427"/>
      <c r="V788" s="428"/>
      <c r="W788" s="431"/>
      <c r="X788" s="3"/>
      <c r="Y788" s="429"/>
      <c r="Z788" s="430"/>
      <c r="AA788" s="430"/>
      <c r="AB788" s="430"/>
      <c r="AC788" s="424"/>
      <c r="AD788" s="424"/>
      <c r="AE788" s="424"/>
      <c r="AF788" s="424"/>
      <c r="AG788" s="424"/>
      <c r="AH788" s="424"/>
      <c r="AI788" s="424"/>
      <c r="AJ788" s="2"/>
      <c r="AK788" s="2"/>
      <c r="AL788" s="2"/>
      <c r="AM788" s="2"/>
      <c r="AN788" s="2"/>
      <c r="AO788" s="2"/>
      <c r="AP788" s="2"/>
      <c r="AQ788" s="427"/>
      <c r="AR788" s="754"/>
      <c r="AS788" s="427"/>
      <c r="AT788" s="754"/>
      <c r="AU788" s="427"/>
      <c r="AV788" s="427"/>
      <c r="AW788" s="427"/>
      <c r="AX788" s="427"/>
      <c r="AY788" s="754"/>
      <c r="AZ788" s="754"/>
      <c r="BA788" s="754"/>
      <c r="BB788" s="427"/>
      <c r="BC788" s="427"/>
      <c r="BD788" s="427"/>
      <c r="BE788" s="754"/>
      <c r="BF788" s="427"/>
      <c r="BG788" s="454"/>
      <c r="BH788" s="754"/>
      <c r="BI788" s="427"/>
      <c r="BJ788" s="427"/>
      <c r="BK788" s="427"/>
      <c r="BL788" s="427"/>
      <c r="BM788" s="454"/>
      <c r="BN788" s="427"/>
      <c r="BO788" s="427"/>
      <c r="BP788" s="427"/>
      <c r="BQ788" s="454"/>
      <c r="BR788" s="454"/>
      <c r="BS788" s="460"/>
      <c r="BT788" s="454"/>
      <c r="BU788" s="454"/>
      <c r="BV788" s="457"/>
      <c r="BW788" s="460"/>
      <c r="BX788" s="460"/>
      <c r="BY788" s="460"/>
      <c r="CA788" s="2"/>
      <c r="CB788" s="2"/>
      <c r="CC788" s="2"/>
      <c r="CD788" s="2"/>
      <c r="CE788" s="2"/>
      <c r="CF788" s="2"/>
      <c r="CG788" s="2"/>
      <c r="CH788" s="2"/>
      <c r="CI788" s="2"/>
      <c r="CJ788" s="2"/>
      <c r="CK788" s="2"/>
      <c r="CL788" s="2"/>
      <c r="CM788" s="2"/>
      <c r="CN788" s="2"/>
      <c r="CO788" s="427"/>
      <c r="CP788" s="427"/>
      <c r="CQ788" s="427"/>
      <c r="CR788" s="485"/>
      <c r="CS788" s="485"/>
      <c r="CT788" s="485"/>
      <c r="CU788" s="485"/>
      <c r="CV788" s="482"/>
      <c r="CW788" s="482"/>
      <c r="CX788" s="482"/>
      <c r="CY788" s="482"/>
      <c r="CZ788" s="485"/>
      <c r="DA788" s="485"/>
      <c r="DB788" s="485"/>
      <c r="DC788" s="485"/>
      <c r="DD788" s="485"/>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485"/>
      <c r="EX788" s="457"/>
      <c r="EY788" s="457"/>
      <c r="EZ788" s="457"/>
      <c r="FA788" s="457"/>
      <c r="FB788" s="457"/>
      <c r="FC788" s="457"/>
      <c r="FD788" s="457"/>
      <c r="FE788" s="457"/>
      <c r="FF788" s="457"/>
      <c r="FG788" s="457"/>
      <c r="FH788" s="457"/>
      <c r="FI788" s="457"/>
      <c r="FJ788" s="457"/>
      <c r="FK788" s="457"/>
    </row>
    <row r="789" spans="1:167" s="416" customFormat="1">
      <c r="A789" s="427"/>
      <c r="B789" s="427"/>
      <c r="C789" s="427"/>
      <c r="D789" s="427"/>
      <c r="E789" s="428"/>
      <c r="F789" s="429"/>
      <c r="G789" s="430"/>
      <c r="H789" s="427"/>
      <c r="I789" s="427"/>
      <c r="J789" s="427"/>
      <c r="K789" s="427"/>
      <c r="L789" s="427"/>
      <c r="M789" s="427"/>
      <c r="N789" s="427"/>
      <c r="O789" s="427"/>
      <c r="P789" s="427"/>
      <c r="Q789" s="427"/>
      <c r="R789" s="427"/>
      <c r="S789" s="427"/>
      <c r="T789" s="427"/>
      <c r="U789" s="427"/>
      <c r="V789" s="428"/>
      <c r="W789" s="431"/>
      <c r="X789" s="3"/>
      <c r="Y789" s="429"/>
      <c r="Z789" s="430"/>
      <c r="AA789" s="430"/>
      <c r="AB789" s="430"/>
      <c r="AC789" s="424"/>
      <c r="AD789" s="424"/>
      <c r="AE789" s="424"/>
      <c r="AF789" s="424"/>
      <c r="AG789" s="424"/>
      <c r="AH789" s="424"/>
      <c r="AI789" s="424"/>
      <c r="AJ789" s="2"/>
      <c r="AK789" s="2"/>
      <c r="AL789" s="2"/>
      <c r="AM789" s="2"/>
      <c r="AN789" s="2"/>
      <c r="AO789" s="2"/>
      <c r="AP789" s="2"/>
      <c r="AQ789" s="427"/>
      <c r="AR789" s="754"/>
      <c r="AS789" s="427"/>
      <c r="AT789" s="754"/>
      <c r="AU789" s="427"/>
      <c r="AV789" s="427"/>
      <c r="AW789" s="427"/>
      <c r="AX789" s="427"/>
      <c r="AY789" s="754"/>
      <c r="AZ789" s="754"/>
      <c r="BA789" s="754"/>
      <c r="BB789" s="427"/>
      <c r="BC789" s="427"/>
      <c r="BD789" s="427"/>
      <c r="BE789" s="754"/>
      <c r="BF789" s="427"/>
      <c r="BG789" s="454"/>
      <c r="BH789" s="754"/>
      <c r="BI789" s="427"/>
      <c r="BJ789" s="427"/>
      <c r="BK789" s="427"/>
      <c r="BL789" s="427"/>
      <c r="BM789" s="454"/>
      <c r="BN789" s="427"/>
      <c r="BO789" s="427"/>
      <c r="BP789" s="427"/>
      <c r="BQ789" s="454"/>
      <c r="BR789" s="454"/>
      <c r="BS789" s="460"/>
      <c r="BT789" s="454"/>
      <c r="BU789" s="454"/>
      <c r="BV789" s="457"/>
      <c r="BW789" s="460"/>
      <c r="BX789" s="460"/>
      <c r="BY789" s="460"/>
      <c r="CA789" s="2"/>
      <c r="CB789" s="2"/>
      <c r="CC789" s="2"/>
      <c r="CD789" s="2"/>
      <c r="CE789" s="2"/>
      <c r="CF789" s="2"/>
      <c r="CG789" s="2"/>
      <c r="CH789" s="2"/>
      <c r="CI789" s="2"/>
      <c r="CJ789" s="2"/>
      <c r="CK789" s="2"/>
      <c r="CL789" s="2"/>
      <c r="CM789" s="2"/>
      <c r="CN789" s="2"/>
      <c r="CO789" s="427"/>
      <c r="CP789" s="427"/>
      <c r="CQ789" s="427"/>
      <c r="CR789" s="485"/>
      <c r="CS789" s="485"/>
      <c r="CT789" s="485"/>
      <c r="CU789" s="485"/>
      <c r="CV789" s="482"/>
      <c r="CW789" s="482"/>
      <c r="CX789" s="482"/>
      <c r="CY789" s="482"/>
      <c r="CZ789" s="485"/>
      <c r="DA789" s="485"/>
      <c r="DB789" s="485"/>
      <c r="DC789" s="485"/>
      <c r="DD789" s="485"/>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485"/>
      <c r="EX789" s="457"/>
      <c r="EY789" s="457"/>
      <c r="EZ789" s="457"/>
      <c r="FA789" s="457"/>
      <c r="FB789" s="457"/>
      <c r="FC789" s="457"/>
      <c r="FD789" s="457"/>
      <c r="FE789" s="457"/>
      <c r="FF789" s="457"/>
      <c r="FG789" s="457"/>
      <c r="FH789" s="457"/>
      <c r="FI789" s="457"/>
      <c r="FJ789" s="457"/>
      <c r="FK789" s="457"/>
    </row>
    <row r="790" spans="1:167" s="416" customFormat="1">
      <c r="A790" s="427"/>
      <c r="B790" s="427"/>
      <c r="C790" s="427"/>
      <c r="D790" s="427"/>
      <c r="E790" s="428"/>
      <c r="F790" s="429"/>
      <c r="G790" s="430"/>
      <c r="H790" s="427"/>
      <c r="I790" s="427"/>
      <c r="J790" s="427"/>
      <c r="K790" s="427"/>
      <c r="L790" s="427"/>
      <c r="M790" s="427"/>
      <c r="N790" s="427"/>
      <c r="O790" s="427"/>
      <c r="P790" s="427"/>
      <c r="Q790" s="427"/>
      <c r="R790" s="427"/>
      <c r="S790" s="427"/>
      <c r="T790" s="427"/>
      <c r="U790" s="427"/>
      <c r="V790" s="428"/>
      <c r="W790" s="431"/>
      <c r="X790" s="3"/>
      <c r="Y790" s="429"/>
      <c r="Z790" s="430"/>
      <c r="AA790" s="430"/>
      <c r="AB790" s="430"/>
      <c r="AC790" s="424"/>
      <c r="AD790" s="424"/>
      <c r="AE790" s="424"/>
      <c r="AF790" s="424"/>
      <c r="AG790" s="424"/>
      <c r="AH790" s="424"/>
      <c r="AI790" s="424"/>
      <c r="AJ790" s="2"/>
      <c r="AK790" s="2"/>
      <c r="AL790" s="2"/>
      <c r="AM790" s="2"/>
      <c r="AN790" s="2"/>
      <c r="AO790" s="2"/>
      <c r="AP790" s="2"/>
      <c r="AQ790" s="427"/>
      <c r="AR790" s="754"/>
      <c r="AS790" s="427"/>
      <c r="AT790" s="754"/>
      <c r="AU790" s="427"/>
      <c r="AV790" s="427"/>
      <c r="AW790" s="427"/>
      <c r="AX790" s="427"/>
      <c r="AY790" s="754"/>
      <c r="AZ790" s="754"/>
      <c r="BA790" s="754"/>
      <c r="BB790" s="427"/>
      <c r="BC790" s="427"/>
      <c r="BD790" s="427"/>
      <c r="BE790" s="754"/>
      <c r="BF790" s="427"/>
      <c r="BG790" s="454"/>
      <c r="BH790" s="754"/>
      <c r="BI790" s="427"/>
      <c r="BJ790" s="427"/>
      <c r="BK790" s="427"/>
      <c r="BL790" s="427"/>
      <c r="BM790" s="454"/>
      <c r="BN790" s="427"/>
      <c r="BO790" s="427"/>
      <c r="BP790" s="427"/>
      <c r="BQ790" s="454"/>
      <c r="BR790" s="454"/>
      <c r="BS790" s="460"/>
      <c r="BT790" s="454"/>
      <c r="BU790" s="454"/>
      <c r="BV790" s="457"/>
      <c r="BW790" s="460"/>
      <c r="BX790" s="460"/>
      <c r="BY790" s="460"/>
      <c r="CA790" s="2"/>
      <c r="CB790" s="2"/>
      <c r="CC790" s="2"/>
      <c r="CD790" s="2"/>
      <c r="CE790" s="2"/>
      <c r="CF790" s="2"/>
      <c r="CG790" s="2"/>
      <c r="CH790" s="2"/>
      <c r="CI790" s="2"/>
      <c r="CJ790" s="2"/>
      <c r="CK790" s="2"/>
      <c r="CL790" s="2"/>
      <c r="CM790" s="2"/>
      <c r="CN790" s="2"/>
      <c r="CO790" s="427"/>
      <c r="CP790" s="427"/>
      <c r="CQ790" s="427"/>
      <c r="CR790" s="485"/>
      <c r="CS790" s="485"/>
      <c r="CT790" s="485"/>
      <c r="CU790" s="485"/>
      <c r="CV790" s="482"/>
      <c r="CW790" s="482"/>
      <c r="CX790" s="482"/>
      <c r="CY790" s="482"/>
      <c r="CZ790" s="485"/>
      <c r="DA790" s="485"/>
      <c r="DB790" s="485"/>
      <c r="DC790" s="485"/>
      <c r="DD790" s="485"/>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485"/>
      <c r="EX790" s="457"/>
      <c r="EY790" s="457"/>
      <c r="EZ790" s="457"/>
      <c r="FA790" s="457"/>
      <c r="FB790" s="457"/>
      <c r="FC790" s="457"/>
      <c r="FD790" s="457"/>
      <c r="FE790" s="457"/>
      <c r="FF790" s="457"/>
      <c r="FG790" s="457"/>
      <c r="FH790" s="457"/>
      <c r="FI790" s="457"/>
      <c r="FJ790" s="457"/>
      <c r="FK790" s="457"/>
    </row>
    <row r="791" spans="1:167" s="416" customFormat="1">
      <c r="A791" s="427"/>
      <c r="B791" s="427"/>
      <c r="C791" s="427"/>
      <c r="D791" s="427"/>
      <c r="E791" s="428"/>
      <c r="F791" s="429"/>
      <c r="G791" s="430"/>
      <c r="H791" s="427"/>
      <c r="I791" s="427"/>
      <c r="J791" s="427"/>
      <c r="K791" s="427"/>
      <c r="L791" s="427"/>
      <c r="M791" s="427"/>
      <c r="N791" s="427"/>
      <c r="O791" s="427"/>
      <c r="P791" s="427"/>
      <c r="Q791" s="427"/>
      <c r="R791" s="427"/>
      <c r="S791" s="427"/>
      <c r="T791" s="427"/>
      <c r="U791" s="427"/>
      <c r="V791" s="428"/>
      <c r="W791" s="431"/>
      <c r="X791" s="3"/>
      <c r="Y791" s="429"/>
      <c r="Z791" s="430"/>
      <c r="AA791" s="430"/>
      <c r="AB791" s="430"/>
      <c r="AC791" s="424"/>
      <c r="AD791" s="424"/>
      <c r="AE791" s="424"/>
      <c r="AF791" s="424"/>
      <c r="AG791" s="424"/>
      <c r="AH791" s="424"/>
      <c r="AI791" s="424"/>
      <c r="AJ791" s="2"/>
      <c r="AK791" s="2"/>
      <c r="AL791" s="2"/>
      <c r="AM791" s="2"/>
      <c r="AN791" s="2"/>
      <c r="AO791" s="2"/>
      <c r="AP791" s="2"/>
      <c r="AQ791" s="427"/>
      <c r="AR791" s="754"/>
      <c r="AS791" s="427"/>
      <c r="AT791" s="754"/>
      <c r="AU791" s="427"/>
      <c r="AV791" s="427"/>
      <c r="AW791" s="427"/>
      <c r="AX791" s="427"/>
      <c r="AY791" s="754"/>
      <c r="AZ791" s="754"/>
      <c r="BA791" s="754"/>
      <c r="BB791" s="427"/>
      <c r="BC791" s="427"/>
      <c r="BD791" s="427"/>
      <c r="BE791" s="754"/>
      <c r="BF791" s="427"/>
      <c r="BG791" s="454"/>
      <c r="BH791" s="754"/>
      <c r="BI791" s="427"/>
      <c r="BJ791" s="427"/>
      <c r="BK791" s="427"/>
      <c r="BL791" s="427"/>
      <c r="BM791" s="454"/>
      <c r="BN791" s="427"/>
      <c r="BO791" s="427"/>
      <c r="BP791" s="427"/>
      <c r="BQ791" s="454"/>
      <c r="BR791" s="454"/>
      <c r="BS791" s="460"/>
      <c r="BT791" s="454"/>
      <c r="BU791" s="454"/>
      <c r="BV791" s="457"/>
      <c r="BW791" s="460"/>
      <c r="BX791" s="460"/>
      <c r="BY791" s="460"/>
      <c r="CA791" s="2"/>
      <c r="CB791" s="2"/>
      <c r="CC791" s="2"/>
      <c r="CD791" s="2"/>
      <c r="CE791" s="2"/>
      <c r="CF791" s="2"/>
      <c r="CG791" s="2"/>
      <c r="CH791" s="2"/>
      <c r="CI791" s="2"/>
      <c r="CJ791" s="2"/>
      <c r="CK791" s="2"/>
      <c r="CL791" s="2"/>
      <c r="CM791" s="2"/>
      <c r="CN791" s="2"/>
      <c r="CO791" s="427"/>
      <c r="CP791" s="427"/>
      <c r="CQ791" s="427"/>
      <c r="CR791" s="485"/>
      <c r="CS791" s="485"/>
      <c r="CT791" s="485"/>
      <c r="CU791" s="485"/>
      <c r="CV791" s="482"/>
      <c r="CW791" s="482"/>
      <c r="CX791" s="482"/>
      <c r="CY791" s="482"/>
      <c r="CZ791" s="485"/>
      <c r="DA791" s="485"/>
      <c r="DB791" s="485"/>
      <c r="DC791" s="485"/>
      <c r="DD791" s="485"/>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485"/>
      <c r="EX791" s="457"/>
      <c r="EY791" s="457"/>
      <c r="EZ791" s="457"/>
      <c r="FA791" s="457"/>
      <c r="FB791" s="457"/>
      <c r="FC791" s="457"/>
      <c r="FD791" s="457"/>
      <c r="FE791" s="457"/>
      <c r="FF791" s="457"/>
      <c r="FG791" s="457"/>
      <c r="FH791" s="457"/>
      <c r="FI791" s="457"/>
      <c r="FJ791" s="457"/>
      <c r="FK791" s="457"/>
    </row>
    <row r="792" spans="1:167" s="416" customFormat="1">
      <c r="A792" s="427"/>
      <c r="B792" s="427"/>
      <c r="C792" s="427"/>
      <c r="D792" s="427"/>
      <c r="E792" s="428"/>
      <c r="F792" s="429"/>
      <c r="G792" s="430"/>
      <c r="H792" s="427"/>
      <c r="I792" s="427"/>
      <c r="J792" s="427"/>
      <c r="K792" s="427"/>
      <c r="L792" s="427"/>
      <c r="M792" s="427"/>
      <c r="N792" s="427"/>
      <c r="O792" s="427"/>
      <c r="P792" s="427"/>
      <c r="Q792" s="427"/>
      <c r="R792" s="427"/>
      <c r="S792" s="427"/>
      <c r="T792" s="427"/>
      <c r="U792" s="427"/>
      <c r="V792" s="428"/>
      <c r="W792" s="431"/>
      <c r="X792" s="3"/>
      <c r="Y792" s="429"/>
      <c r="Z792" s="430"/>
      <c r="AA792" s="430"/>
      <c r="AB792" s="430"/>
      <c r="AC792" s="424"/>
      <c r="AD792" s="424"/>
      <c r="AE792" s="424"/>
      <c r="AF792" s="424"/>
      <c r="AG792" s="424"/>
      <c r="AH792" s="424"/>
      <c r="AI792" s="424"/>
      <c r="AJ792" s="2"/>
      <c r="AK792" s="2"/>
      <c r="AL792" s="2"/>
      <c r="AM792" s="2"/>
      <c r="AN792" s="2"/>
      <c r="AO792" s="2"/>
      <c r="AP792" s="2"/>
      <c r="AQ792" s="427"/>
      <c r="AR792" s="754"/>
      <c r="AS792" s="427"/>
      <c r="AT792" s="754"/>
      <c r="AU792" s="427"/>
      <c r="AV792" s="427"/>
      <c r="AW792" s="427"/>
      <c r="AX792" s="427"/>
      <c r="AY792" s="754"/>
      <c r="AZ792" s="754"/>
      <c r="BA792" s="754"/>
      <c r="BB792" s="427"/>
      <c r="BC792" s="427"/>
      <c r="BD792" s="427"/>
      <c r="BE792" s="754"/>
      <c r="BF792" s="427"/>
      <c r="BG792" s="454"/>
      <c r="BH792" s="754"/>
      <c r="BI792" s="427"/>
      <c r="BJ792" s="427"/>
      <c r="BK792" s="427"/>
      <c r="BL792" s="427"/>
      <c r="BM792" s="454"/>
      <c r="BN792" s="427"/>
      <c r="BO792" s="427"/>
      <c r="BP792" s="427"/>
      <c r="BQ792" s="454"/>
      <c r="BR792" s="454"/>
      <c r="BS792" s="460"/>
      <c r="BT792" s="454"/>
      <c r="BU792" s="454"/>
      <c r="BV792" s="457"/>
      <c r="BW792" s="460"/>
      <c r="BX792" s="460"/>
      <c r="BY792" s="460"/>
      <c r="CA792" s="2"/>
      <c r="CB792" s="2"/>
      <c r="CC792" s="2"/>
      <c r="CD792" s="2"/>
      <c r="CE792" s="2"/>
      <c r="CF792" s="2"/>
      <c r="CG792" s="2"/>
      <c r="CH792" s="2"/>
      <c r="CI792" s="2"/>
      <c r="CJ792" s="2"/>
      <c r="CK792" s="2"/>
      <c r="CL792" s="2"/>
      <c r="CM792" s="2"/>
      <c r="CN792" s="2"/>
      <c r="CO792" s="427"/>
      <c r="CP792" s="427"/>
      <c r="CQ792" s="427"/>
      <c r="CR792" s="485"/>
      <c r="CS792" s="485"/>
      <c r="CT792" s="485"/>
      <c r="CU792" s="485"/>
      <c r="CV792" s="482"/>
      <c r="CW792" s="482"/>
      <c r="CX792" s="482"/>
      <c r="CY792" s="482"/>
      <c r="CZ792" s="485"/>
      <c r="DA792" s="485"/>
      <c r="DB792" s="485"/>
      <c r="DC792" s="485"/>
      <c r="DD792" s="485"/>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485"/>
      <c r="EX792" s="457"/>
      <c r="EY792" s="457"/>
      <c r="EZ792" s="457"/>
      <c r="FA792" s="457"/>
      <c r="FB792" s="457"/>
      <c r="FC792" s="457"/>
      <c r="FD792" s="457"/>
      <c r="FE792" s="457"/>
      <c r="FF792" s="457"/>
      <c r="FG792" s="457"/>
      <c r="FH792" s="457"/>
      <c r="FI792" s="457"/>
      <c r="FJ792" s="457"/>
      <c r="FK792" s="457"/>
    </row>
    <row r="793" spans="1:167" s="416" customFormat="1">
      <c r="A793" s="427"/>
      <c r="B793" s="427"/>
      <c r="C793" s="427"/>
      <c r="D793" s="427"/>
      <c r="E793" s="428"/>
      <c r="F793" s="429"/>
      <c r="G793" s="430"/>
      <c r="H793" s="427"/>
      <c r="I793" s="427"/>
      <c r="J793" s="427"/>
      <c r="K793" s="427"/>
      <c r="L793" s="427"/>
      <c r="M793" s="427"/>
      <c r="N793" s="427"/>
      <c r="O793" s="427"/>
      <c r="P793" s="427"/>
      <c r="Q793" s="427"/>
      <c r="R793" s="427"/>
      <c r="S793" s="427"/>
      <c r="T793" s="427"/>
      <c r="U793" s="427"/>
      <c r="V793" s="428"/>
      <c r="W793" s="431"/>
      <c r="X793" s="3"/>
      <c r="Y793" s="429"/>
      <c r="Z793" s="430"/>
      <c r="AA793" s="430"/>
      <c r="AB793" s="430"/>
      <c r="AC793" s="424"/>
      <c r="AD793" s="424"/>
      <c r="AE793" s="424"/>
      <c r="AF793" s="424"/>
      <c r="AG793" s="424"/>
      <c r="AH793" s="424"/>
      <c r="AI793" s="424"/>
      <c r="AJ793" s="2"/>
      <c r="AK793" s="2"/>
      <c r="AL793" s="2"/>
      <c r="AM793" s="2"/>
      <c r="AN793" s="2"/>
      <c r="AO793" s="2"/>
      <c r="AP793" s="2"/>
      <c r="AQ793" s="427"/>
      <c r="AR793" s="754"/>
      <c r="AS793" s="427"/>
      <c r="AT793" s="754"/>
      <c r="AU793" s="427"/>
      <c r="AV793" s="427"/>
      <c r="AW793" s="427"/>
      <c r="AX793" s="427"/>
      <c r="AY793" s="754"/>
      <c r="AZ793" s="754"/>
      <c r="BA793" s="754"/>
      <c r="BB793" s="427"/>
      <c r="BC793" s="427"/>
      <c r="BD793" s="427"/>
      <c r="BE793" s="754"/>
      <c r="BF793" s="427"/>
      <c r="BG793" s="454"/>
      <c r="BH793" s="754"/>
      <c r="BI793" s="427"/>
      <c r="BJ793" s="427"/>
      <c r="BK793" s="427"/>
      <c r="BL793" s="427"/>
      <c r="BM793" s="454"/>
      <c r="BN793" s="427"/>
      <c r="BO793" s="427"/>
      <c r="BP793" s="427"/>
      <c r="BQ793" s="454"/>
      <c r="BR793" s="454"/>
      <c r="BS793" s="460"/>
      <c r="BT793" s="454"/>
      <c r="BU793" s="454"/>
      <c r="BV793" s="457"/>
      <c r="BW793" s="460"/>
      <c r="BX793" s="460"/>
      <c r="BY793" s="460"/>
      <c r="CA793" s="2"/>
      <c r="CB793" s="2"/>
      <c r="CC793" s="2"/>
      <c r="CD793" s="2"/>
      <c r="CE793" s="2"/>
      <c r="CF793" s="2"/>
      <c r="CG793" s="2"/>
      <c r="CH793" s="2"/>
      <c r="CI793" s="2"/>
      <c r="CJ793" s="2"/>
      <c r="CK793" s="2"/>
      <c r="CL793" s="2"/>
      <c r="CM793" s="2"/>
      <c r="CN793" s="2"/>
      <c r="CO793" s="427"/>
      <c r="CP793" s="427"/>
      <c r="CQ793" s="427"/>
      <c r="CR793" s="485"/>
      <c r="CS793" s="485"/>
      <c r="CT793" s="485"/>
      <c r="CU793" s="485"/>
      <c r="CV793" s="482"/>
      <c r="CW793" s="482"/>
      <c r="CX793" s="482"/>
      <c r="CY793" s="482"/>
      <c r="CZ793" s="485"/>
      <c r="DA793" s="485"/>
      <c r="DB793" s="485"/>
      <c r="DC793" s="485"/>
      <c r="DD793" s="485"/>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485"/>
      <c r="EX793" s="457"/>
      <c r="EY793" s="457"/>
      <c r="EZ793" s="457"/>
      <c r="FA793" s="457"/>
      <c r="FB793" s="457"/>
      <c r="FC793" s="457"/>
      <c r="FD793" s="457"/>
      <c r="FE793" s="457"/>
      <c r="FF793" s="457"/>
      <c r="FG793" s="457"/>
      <c r="FH793" s="457"/>
      <c r="FI793" s="457"/>
      <c r="FJ793" s="457"/>
      <c r="FK793" s="457"/>
    </row>
    <row r="794" spans="1:167" s="416" customFormat="1">
      <c r="A794" s="427"/>
      <c r="B794" s="427"/>
      <c r="C794" s="427"/>
      <c r="D794" s="427"/>
      <c r="E794" s="428"/>
      <c r="F794" s="429"/>
      <c r="G794" s="430"/>
      <c r="H794" s="427"/>
      <c r="I794" s="427"/>
      <c r="J794" s="427"/>
      <c r="K794" s="427"/>
      <c r="L794" s="427"/>
      <c r="M794" s="427"/>
      <c r="N794" s="427"/>
      <c r="O794" s="427"/>
      <c r="P794" s="427"/>
      <c r="Q794" s="427"/>
      <c r="R794" s="427"/>
      <c r="S794" s="427"/>
      <c r="T794" s="427"/>
      <c r="U794" s="427"/>
      <c r="V794" s="428"/>
      <c r="W794" s="431"/>
      <c r="X794" s="3"/>
      <c r="Y794" s="429"/>
      <c r="Z794" s="430"/>
      <c r="AA794" s="430"/>
      <c r="AB794" s="430"/>
      <c r="AC794" s="424"/>
      <c r="AD794" s="424"/>
      <c r="AE794" s="424"/>
      <c r="AF794" s="424"/>
      <c r="AG794" s="424"/>
      <c r="AH794" s="424"/>
      <c r="AI794" s="424"/>
      <c r="AJ794" s="2"/>
      <c r="AK794" s="2"/>
      <c r="AL794" s="2"/>
      <c r="AM794" s="2"/>
      <c r="AN794" s="2"/>
      <c r="AO794" s="2"/>
      <c r="AP794" s="2"/>
      <c r="AQ794" s="427"/>
      <c r="AR794" s="754"/>
      <c r="AS794" s="427"/>
      <c r="AT794" s="754"/>
      <c r="AU794" s="427"/>
      <c r="AV794" s="427"/>
      <c r="AW794" s="427"/>
      <c r="AX794" s="427"/>
      <c r="AY794" s="754"/>
      <c r="AZ794" s="754"/>
      <c r="BA794" s="754"/>
      <c r="BB794" s="427"/>
      <c r="BC794" s="427"/>
      <c r="BD794" s="427"/>
      <c r="BE794" s="754"/>
      <c r="BF794" s="427"/>
      <c r="BG794" s="454"/>
      <c r="BH794" s="754"/>
      <c r="BI794" s="427"/>
      <c r="BJ794" s="427"/>
      <c r="BK794" s="427"/>
      <c r="BL794" s="427"/>
      <c r="BM794" s="454"/>
      <c r="BN794" s="427"/>
      <c r="BO794" s="427"/>
      <c r="BP794" s="427"/>
      <c r="BQ794" s="454"/>
      <c r="BR794" s="454"/>
      <c r="BS794" s="460"/>
      <c r="BT794" s="454"/>
      <c r="BU794" s="454"/>
      <c r="BV794" s="457"/>
      <c r="BW794" s="460"/>
      <c r="BX794" s="460"/>
      <c r="BY794" s="460"/>
      <c r="CA794" s="2"/>
      <c r="CB794" s="2"/>
      <c r="CC794" s="2"/>
      <c r="CD794" s="2"/>
      <c r="CE794" s="2"/>
      <c r="CF794" s="2"/>
      <c r="CG794" s="2"/>
      <c r="CH794" s="2"/>
      <c r="CI794" s="2"/>
      <c r="CJ794" s="2"/>
      <c r="CK794" s="2"/>
      <c r="CL794" s="2"/>
      <c r="CM794" s="2"/>
      <c r="CN794" s="2"/>
      <c r="CO794" s="427"/>
      <c r="CP794" s="427"/>
      <c r="CQ794" s="427"/>
      <c r="CR794" s="485"/>
      <c r="CS794" s="485"/>
      <c r="CT794" s="485"/>
      <c r="CU794" s="485"/>
      <c r="CV794" s="482"/>
      <c r="CW794" s="482"/>
      <c r="CX794" s="482"/>
      <c r="CY794" s="482"/>
      <c r="CZ794" s="485"/>
      <c r="DA794" s="485"/>
      <c r="DB794" s="485"/>
      <c r="DC794" s="485"/>
      <c r="DD794" s="485"/>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485"/>
      <c r="EX794" s="457"/>
      <c r="EY794" s="457"/>
      <c r="EZ794" s="457"/>
      <c r="FA794" s="457"/>
      <c r="FB794" s="457"/>
      <c r="FC794" s="457"/>
      <c r="FD794" s="457"/>
      <c r="FE794" s="457"/>
      <c r="FF794" s="457"/>
      <c r="FG794" s="457"/>
      <c r="FH794" s="457"/>
      <c r="FI794" s="457"/>
      <c r="FJ794" s="457"/>
      <c r="FK794" s="457"/>
    </row>
    <row r="795" spans="1:167" s="416" customFormat="1">
      <c r="A795" s="427"/>
      <c r="B795" s="427"/>
      <c r="C795" s="427"/>
      <c r="D795" s="427"/>
      <c r="E795" s="428"/>
      <c r="F795" s="429"/>
      <c r="G795" s="430"/>
      <c r="H795" s="427"/>
      <c r="I795" s="427"/>
      <c r="J795" s="427"/>
      <c r="K795" s="427"/>
      <c r="L795" s="427"/>
      <c r="M795" s="427"/>
      <c r="N795" s="427"/>
      <c r="O795" s="427"/>
      <c r="P795" s="427"/>
      <c r="Q795" s="427"/>
      <c r="R795" s="427"/>
      <c r="S795" s="427"/>
      <c r="T795" s="427"/>
      <c r="U795" s="427"/>
      <c r="V795" s="428"/>
      <c r="W795" s="431"/>
      <c r="X795" s="3"/>
      <c r="Y795" s="429"/>
      <c r="Z795" s="430"/>
      <c r="AA795" s="430"/>
      <c r="AB795" s="430"/>
      <c r="AC795" s="424"/>
      <c r="AD795" s="424"/>
      <c r="AE795" s="424"/>
      <c r="AF795" s="424"/>
      <c r="AG795" s="424"/>
      <c r="AH795" s="424"/>
      <c r="AI795" s="424"/>
      <c r="AJ795" s="2"/>
      <c r="AK795" s="2"/>
      <c r="AL795" s="2"/>
      <c r="AM795" s="2"/>
      <c r="AN795" s="2"/>
      <c r="AO795" s="2"/>
      <c r="AP795" s="2"/>
      <c r="AQ795" s="427"/>
      <c r="AR795" s="754"/>
      <c r="AS795" s="427"/>
      <c r="AT795" s="754"/>
      <c r="AU795" s="427"/>
      <c r="AV795" s="427"/>
      <c r="AW795" s="427"/>
      <c r="AX795" s="427"/>
      <c r="AY795" s="754"/>
      <c r="AZ795" s="754"/>
      <c r="BA795" s="754"/>
      <c r="BB795" s="427"/>
      <c r="BC795" s="427"/>
      <c r="BD795" s="427"/>
      <c r="BE795" s="754"/>
      <c r="BF795" s="427"/>
      <c r="BG795" s="454"/>
      <c r="BH795" s="754"/>
      <c r="BI795" s="427"/>
      <c r="BJ795" s="427"/>
      <c r="BK795" s="427"/>
      <c r="BL795" s="427"/>
      <c r="BM795" s="454"/>
      <c r="BN795" s="427"/>
      <c r="BO795" s="427"/>
      <c r="BP795" s="427"/>
      <c r="BQ795" s="454"/>
      <c r="BR795" s="454"/>
      <c r="BS795" s="460"/>
      <c r="BT795" s="454"/>
      <c r="BU795" s="454"/>
      <c r="BV795" s="457"/>
      <c r="BW795" s="460"/>
      <c r="BX795" s="460"/>
      <c r="BY795" s="460"/>
      <c r="CA795" s="2"/>
      <c r="CB795" s="2"/>
      <c r="CC795" s="2"/>
      <c r="CD795" s="2"/>
      <c r="CE795" s="2"/>
      <c r="CF795" s="2"/>
      <c r="CG795" s="2"/>
      <c r="CH795" s="2"/>
      <c r="CI795" s="2"/>
      <c r="CJ795" s="2"/>
      <c r="CK795" s="2"/>
      <c r="CL795" s="2"/>
      <c r="CM795" s="2"/>
      <c r="CN795" s="2"/>
      <c r="CO795" s="427"/>
      <c r="CP795" s="427"/>
      <c r="CQ795" s="427"/>
      <c r="CR795" s="485"/>
      <c r="CS795" s="485"/>
      <c r="CT795" s="485"/>
      <c r="CU795" s="485"/>
      <c r="CV795" s="482"/>
      <c r="CW795" s="482"/>
      <c r="CX795" s="482"/>
      <c r="CY795" s="482"/>
      <c r="CZ795" s="485"/>
      <c r="DA795" s="485"/>
      <c r="DB795" s="485"/>
      <c r="DC795" s="485"/>
      <c r="DD795" s="485"/>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485"/>
      <c r="EX795" s="457"/>
      <c r="EY795" s="457"/>
      <c r="EZ795" s="457"/>
      <c r="FA795" s="457"/>
      <c r="FB795" s="457"/>
      <c r="FC795" s="457"/>
      <c r="FD795" s="457"/>
      <c r="FE795" s="457"/>
      <c r="FF795" s="457"/>
      <c r="FG795" s="457"/>
      <c r="FH795" s="457"/>
      <c r="FI795" s="457"/>
      <c r="FJ795" s="457"/>
      <c r="FK795" s="457"/>
    </row>
    <row r="796" spans="1:167" s="416" customFormat="1">
      <c r="A796" s="427"/>
      <c r="B796" s="427"/>
      <c r="C796" s="427"/>
      <c r="D796" s="427"/>
      <c r="E796" s="428"/>
      <c r="F796" s="429"/>
      <c r="G796" s="430"/>
      <c r="H796" s="427"/>
      <c r="I796" s="427"/>
      <c r="J796" s="427"/>
      <c r="K796" s="427"/>
      <c r="L796" s="427"/>
      <c r="M796" s="427"/>
      <c r="N796" s="427"/>
      <c r="O796" s="427"/>
      <c r="P796" s="427"/>
      <c r="Q796" s="427"/>
      <c r="R796" s="427"/>
      <c r="S796" s="427"/>
      <c r="T796" s="427"/>
      <c r="U796" s="427"/>
      <c r="V796" s="428"/>
      <c r="W796" s="431"/>
      <c r="X796" s="3"/>
      <c r="Y796" s="429"/>
      <c r="Z796" s="430"/>
      <c r="AA796" s="430"/>
      <c r="AB796" s="430"/>
      <c r="AC796" s="424"/>
      <c r="AD796" s="424"/>
      <c r="AE796" s="424"/>
      <c r="AF796" s="424"/>
      <c r="AG796" s="424"/>
      <c r="AH796" s="424"/>
      <c r="AI796" s="424"/>
      <c r="AJ796" s="2"/>
      <c r="AK796" s="2"/>
      <c r="AL796" s="2"/>
      <c r="AM796" s="2"/>
      <c r="AN796" s="2"/>
      <c r="AO796" s="2"/>
      <c r="AP796" s="2"/>
      <c r="AQ796" s="427"/>
      <c r="AR796" s="754"/>
      <c r="AS796" s="427"/>
      <c r="AT796" s="754"/>
      <c r="AU796" s="427"/>
      <c r="AV796" s="427"/>
      <c r="AW796" s="427"/>
      <c r="AX796" s="427"/>
      <c r="AY796" s="754"/>
      <c r="AZ796" s="754"/>
      <c r="BA796" s="754"/>
      <c r="BB796" s="427"/>
      <c r="BC796" s="427"/>
      <c r="BD796" s="427"/>
      <c r="BE796" s="754"/>
      <c r="BF796" s="427"/>
      <c r="BG796" s="454"/>
      <c r="BH796" s="754"/>
      <c r="BI796" s="427"/>
      <c r="BJ796" s="427"/>
      <c r="BK796" s="427"/>
      <c r="BL796" s="427"/>
      <c r="BM796" s="454"/>
      <c r="BN796" s="427"/>
      <c r="BO796" s="427"/>
      <c r="BP796" s="427"/>
      <c r="BQ796" s="454"/>
      <c r="BR796" s="454"/>
      <c r="BS796" s="460"/>
      <c r="BT796" s="454"/>
      <c r="BU796" s="454"/>
      <c r="BV796" s="457"/>
      <c r="BW796" s="460"/>
      <c r="BX796" s="460"/>
      <c r="BY796" s="460"/>
      <c r="CA796" s="2"/>
      <c r="CB796" s="2"/>
      <c r="CC796" s="2"/>
      <c r="CD796" s="2"/>
      <c r="CE796" s="2"/>
      <c r="CF796" s="2"/>
      <c r="CG796" s="2"/>
      <c r="CH796" s="2"/>
      <c r="CI796" s="2"/>
      <c r="CJ796" s="2"/>
      <c r="CK796" s="2"/>
      <c r="CL796" s="2"/>
      <c r="CM796" s="2"/>
      <c r="CN796" s="2"/>
      <c r="CO796" s="427"/>
      <c r="CP796" s="427"/>
      <c r="CQ796" s="427"/>
      <c r="CR796" s="485"/>
      <c r="CS796" s="485"/>
      <c r="CT796" s="485"/>
      <c r="CU796" s="485"/>
      <c r="CV796" s="482"/>
      <c r="CW796" s="482"/>
      <c r="CX796" s="482"/>
      <c r="CY796" s="482"/>
      <c r="CZ796" s="485"/>
      <c r="DA796" s="485"/>
      <c r="DB796" s="485"/>
      <c r="DC796" s="485"/>
      <c r="DD796" s="485"/>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485"/>
      <c r="EX796" s="457"/>
      <c r="EY796" s="457"/>
      <c r="EZ796" s="457"/>
      <c r="FA796" s="457"/>
      <c r="FB796" s="457"/>
      <c r="FC796" s="457"/>
      <c r="FD796" s="457"/>
      <c r="FE796" s="457"/>
      <c r="FF796" s="457"/>
      <c r="FG796" s="457"/>
      <c r="FH796" s="457"/>
      <c r="FI796" s="457"/>
      <c r="FJ796" s="457"/>
      <c r="FK796" s="457"/>
    </row>
    <row r="797" spans="1:167" s="416" customFormat="1">
      <c r="A797" s="427"/>
      <c r="B797" s="427"/>
      <c r="C797" s="427"/>
      <c r="D797" s="427"/>
      <c r="E797" s="428"/>
      <c r="F797" s="429"/>
      <c r="G797" s="430"/>
      <c r="H797" s="427"/>
      <c r="I797" s="427"/>
      <c r="J797" s="427"/>
      <c r="K797" s="427"/>
      <c r="L797" s="427"/>
      <c r="M797" s="427"/>
      <c r="N797" s="427"/>
      <c r="O797" s="427"/>
      <c r="P797" s="427"/>
      <c r="Q797" s="427"/>
      <c r="R797" s="427"/>
      <c r="S797" s="427"/>
      <c r="T797" s="427"/>
      <c r="U797" s="427"/>
      <c r="V797" s="428"/>
      <c r="W797" s="431"/>
      <c r="X797" s="3"/>
      <c r="Y797" s="429"/>
      <c r="Z797" s="430"/>
      <c r="AA797" s="430"/>
      <c r="AB797" s="430"/>
      <c r="AC797" s="424"/>
      <c r="AD797" s="424"/>
      <c r="AE797" s="424"/>
      <c r="AF797" s="424"/>
      <c r="AG797" s="424"/>
      <c r="AH797" s="424"/>
      <c r="AI797" s="424"/>
      <c r="AJ797" s="2"/>
      <c r="AK797" s="2"/>
      <c r="AL797" s="2"/>
      <c r="AM797" s="2"/>
      <c r="AN797" s="2"/>
      <c r="AO797" s="2"/>
      <c r="AP797" s="2"/>
      <c r="AQ797" s="427"/>
      <c r="AR797" s="754"/>
      <c r="AS797" s="427"/>
      <c r="AT797" s="754"/>
      <c r="AU797" s="427"/>
      <c r="AV797" s="427"/>
      <c r="AW797" s="427"/>
      <c r="AX797" s="427"/>
      <c r="AY797" s="754"/>
      <c r="AZ797" s="754"/>
      <c r="BA797" s="754"/>
      <c r="BB797" s="427"/>
      <c r="BC797" s="427"/>
      <c r="BD797" s="427"/>
      <c r="BE797" s="754"/>
      <c r="BF797" s="427"/>
      <c r="BG797" s="454"/>
      <c r="BH797" s="754"/>
      <c r="BI797" s="427"/>
      <c r="BJ797" s="427"/>
      <c r="BK797" s="427"/>
      <c r="BL797" s="427"/>
      <c r="BM797" s="454"/>
      <c r="BN797" s="427"/>
      <c r="BO797" s="427"/>
      <c r="BP797" s="427"/>
      <c r="BQ797" s="454"/>
      <c r="BR797" s="454"/>
      <c r="BS797" s="460"/>
      <c r="BT797" s="454"/>
      <c r="BU797" s="454"/>
      <c r="BV797" s="457"/>
      <c r="BW797" s="460"/>
      <c r="BX797" s="460"/>
      <c r="BY797" s="460"/>
      <c r="CA797" s="2"/>
      <c r="CB797" s="2"/>
      <c r="CC797" s="2"/>
      <c r="CD797" s="2"/>
      <c r="CE797" s="2"/>
      <c r="CF797" s="2"/>
      <c r="CG797" s="2"/>
      <c r="CH797" s="2"/>
      <c r="CI797" s="2"/>
      <c r="CJ797" s="2"/>
      <c r="CK797" s="2"/>
      <c r="CL797" s="2"/>
      <c r="CM797" s="2"/>
      <c r="CN797" s="2"/>
      <c r="CO797" s="427"/>
      <c r="CP797" s="427"/>
      <c r="CQ797" s="427"/>
      <c r="CR797" s="485"/>
      <c r="CS797" s="485"/>
      <c r="CT797" s="485"/>
      <c r="CU797" s="485"/>
      <c r="CV797" s="482"/>
      <c r="CW797" s="482"/>
      <c r="CX797" s="482"/>
      <c r="CY797" s="482"/>
      <c r="CZ797" s="485"/>
      <c r="DA797" s="485"/>
      <c r="DB797" s="485"/>
      <c r="DC797" s="485"/>
      <c r="DD797" s="485"/>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485"/>
      <c r="EX797" s="457"/>
      <c r="EY797" s="457"/>
      <c r="EZ797" s="457"/>
      <c r="FA797" s="457"/>
      <c r="FB797" s="457"/>
      <c r="FC797" s="457"/>
      <c r="FD797" s="457"/>
      <c r="FE797" s="457"/>
      <c r="FF797" s="457"/>
      <c r="FG797" s="457"/>
      <c r="FH797" s="457"/>
      <c r="FI797" s="457"/>
      <c r="FJ797" s="457"/>
      <c r="FK797" s="457"/>
    </row>
    <row r="798" spans="1:167" s="416" customFormat="1">
      <c r="A798" s="427"/>
      <c r="B798" s="427"/>
      <c r="C798" s="427"/>
      <c r="D798" s="427"/>
      <c r="E798" s="428"/>
      <c r="F798" s="429"/>
      <c r="G798" s="430"/>
      <c r="H798" s="427"/>
      <c r="I798" s="427"/>
      <c r="J798" s="427"/>
      <c r="K798" s="427"/>
      <c r="L798" s="427"/>
      <c r="M798" s="427"/>
      <c r="N798" s="427"/>
      <c r="O798" s="427"/>
      <c r="P798" s="427"/>
      <c r="Q798" s="427"/>
      <c r="R798" s="427"/>
      <c r="S798" s="427"/>
      <c r="T798" s="427"/>
      <c r="U798" s="427"/>
      <c r="V798" s="428"/>
      <c r="W798" s="431"/>
      <c r="X798" s="3"/>
      <c r="Y798" s="429"/>
      <c r="Z798" s="430"/>
      <c r="AA798" s="430"/>
      <c r="AB798" s="430"/>
      <c r="AC798" s="424"/>
      <c r="AD798" s="424"/>
      <c r="AE798" s="424"/>
      <c r="AF798" s="424"/>
      <c r="AG798" s="424"/>
      <c r="AH798" s="424"/>
      <c r="AI798" s="424"/>
      <c r="AJ798" s="2"/>
      <c r="AK798" s="2"/>
      <c r="AL798" s="2"/>
      <c r="AM798" s="2"/>
      <c r="AN798" s="2"/>
      <c r="AO798" s="2"/>
      <c r="AP798" s="2"/>
      <c r="AQ798" s="427"/>
      <c r="AR798" s="754"/>
      <c r="AS798" s="427"/>
      <c r="AT798" s="754"/>
      <c r="AU798" s="427"/>
      <c r="AV798" s="427"/>
      <c r="AW798" s="427"/>
      <c r="AX798" s="427"/>
      <c r="AY798" s="754"/>
      <c r="AZ798" s="754"/>
      <c r="BA798" s="754"/>
      <c r="BB798" s="427"/>
      <c r="BC798" s="427"/>
      <c r="BD798" s="427"/>
      <c r="BE798" s="754"/>
      <c r="BF798" s="427"/>
      <c r="BG798" s="454"/>
      <c r="BH798" s="754"/>
      <c r="BI798" s="427"/>
      <c r="BJ798" s="427"/>
      <c r="BK798" s="427"/>
      <c r="BL798" s="427"/>
      <c r="BM798" s="454"/>
      <c r="BN798" s="427"/>
      <c r="BO798" s="427"/>
      <c r="BP798" s="427"/>
      <c r="BQ798" s="454"/>
      <c r="BR798" s="454"/>
      <c r="BS798" s="460"/>
      <c r="BT798" s="454"/>
      <c r="BU798" s="454"/>
      <c r="BV798" s="457"/>
      <c r="BW798" s="460"/>
      <c r="BX798" s="460"/>
      <c r="BY798" s="460"/>
      <c r="CA798" s="2"/>
      <c r="CB798" s="2"/>
      <c r="CC798" s="2"/>
      <c r="CD798" s="2"/>
      <c r="CE798" s="2"/>
      <c r="CF798" s="2"/>
      <c r="CG798" s="2"/>
      <c r="CH798" s="2"/>
      <c r="CI798" s="2"/>
      <c r="CJ798" s="2"/>
      <c r="CK798" s="2"/>
      <c r="CL798" s="2"/>
      <c r="CM798" s="2"/>
      <c r="CN798" s="2"/>
      <c r="CO798" s="427"/>
      <c r="CP798" s="427"/>
      <c r="CQ798" s="427"/>
      <c r="CR798" s="485"/>
      <c r="CS798" s="485"/>
      <c r="CT798" s="485"/>
      <c r="CU798" s="485"/>
      <c r="CV798" s="482"/>
      <c r="CW798" s="482"/>
      <c r="CX798" s="482"/>
      <c r="CY798" s="482"/>
      <c r="CZ798" s="485"/>
      <c r="DA798" s="485"/>
      <c r="DB798" s="485"/>
      <c r="DC798" s="485"/>
      <c r="DD798" s="485"/>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485"/>
      <c r="EX798" s="457"/>
      <c r="EY798" s="457"/>
      <c r="EZ798" s="457"/>
      <c r="FA798" s="457"/>
      <c r="FB798" s="457"/>
      <c r="FC798" s="457"/>
      <c r="FD798" s="457"/>
      <c r="FE798" s="457"/>
      <c r="FF798" s="457"/>
      <c r="FG798" s="457"/>
      <c r="FH798" s="457"/>
      <c r="FI798" s="457"/>
      <c r="FJ798" s="457"/>
      <c r="FK798" s="457"/>
    </row>
    <row r="799" spans="1:167" s="416" customFormat="1">
      <c r="A799" s="427"/>
      <c r="B799" s="427"/>
      <c r="C799" s="427"/>
      <c r="D799" s="427"/>
      <c r="E799" s="428"/>
      <c r="F799" s="429"/>
      <c r="G799" s="430"/>
      <c r="H799" s="427"/>
      <c r="I799" s="427"/>
      <c r="J799" s="427"/>
      <c r="K799" s="427"/>
      <c r="L799" s="427"/>
      <c r="M799" s="427"/>
      <c r="N799" s="427"/>
      <c r="O799" s="427"/>
      <c r="P799" s="427"/>
      <c r="Q799" s="427"/>
      <c r="R799" s="427"/>
      <c r="S799" s="427"/>
      <c r="T799" s="427"/>
      <c r="U799" s="427"/>
      <c r="V799" s="428"/>
      <c r="W799" s="431"/>
      <c r="X799" s="3"/>
      <c r="Y799" s="429"/>
      <c r="Z799" s="430"/>
      <c r="AA799" s="430"/>
      <c r="AB799" s="430"/>
      <c r="AC799" s="424"/>
      <c r="AD799" s="424"/>
      <c r="AE799" s="424"/>
      <c r="AF799" s="424"/>
      <c r="AG799" s="424"/>
      <c r="AH799" s="424"/>
      <c r="AI799" s="424"/>
      <c r="AJ799" s="2"/>
      <c r="AK799" s="2"/>
      <c r="AL799" s="2"/>
      <c r="AM799" s="2"/>
      <c r="AN799" s="2"/>
      <c r="AO799" s="2"/>
      <c r="AP799" s="2"/>
      <c r="AQ799" s="427"/>
      <c r="AR799" s="754"/>
      <c r="AS799" s="427"/>
      <c r="AT799" s="754"/>
      <c r="AU799" s="427"/>
      <c r="AV799" s="427"/>
      <c r="AW799" s="427"/>
      <c r="AX799" s="427"/>
      <c r="AY799" s="754"/>
      <c r="AZ799" s="754"/>
      <c r="BA799" s="754"/>
      <c r="BB799" s="427"/>
      <c r="BC799" s="427"/>
      <c r="BD799" s="427"/>
      <c r="BE799" s="754"/>
      <c r="BF799" s="427"/>
      <c r="BG799" s="454"/>
      <c r="BH799" s="754"/>
      <c r="BI799" s="427"/>
      <c r="BJ799" s="427"/>
      <c r="BK799" s="427"/>
      <c r="BL799" s="427"/>
      <c r="BM799" s="454"/>
      <c r="BN799" s="427"/>
      <c r="BO799" s="427"/>
      <c r="BP799" s="427"/>
      <c r="BQ799" s="454"/>
      <c r="BR799" s="454"/>
      <c r="BS799" s="460"/>
      <c r="BT799" s="454"/>
      <c r="BU799" s="454"/>
      <c r="BV799" s="457"/>
      <c r="BW799" s="460"/>
      <c r="BX799" s="460"/>
      <c r="BY799" s="460"/>
      <c r="CA799" s="2"/>
      <c r="CB799" s="2"/>
      <c r="CC799" s="2"/>
      <c r="CD799" s="2"/>
      <c r="CE799" s="2"/>
      <c r="CF799" s="2"/>
      <c r="CG799" s="2"/>
      <c r="CH799" s="2"/>
      <c r="CI799" s="2"/>
      <c r="CJ799" s="2"/>
      <c r="CK799" s="2"/>
      <c r="CL799" s="2"/>
      <c r="CM799" s="2"/>
      <c r="CN799" s="2"/>
      <c r="CO799" s="427"/>
      <c r="CP799" s="427"/>
      <c r="CQ799" s="427"/>
      <c r="CR799" s="485"/>
      <c r="CS799" s="485"/>
      <c r="CT799" s="485"/>
      <c r="CU799" s="485"/>
      <c r="CV799" s="482"/>
      <c r="CW799" s="482"/>
      <c r="CX799" s="482"/>
      <c r="CY799" s="482"/>
      <c r="CZ799" s="485"/>
      <c r="DA799" s="485"/>
      <c r="DB799" s="485"/>
      <c r="DC799" s="485"/>
      <c r="DD799" s="485"/>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485"/>
      <c r="EX799" s="457"/>
      <c r="EY799" s="457"/>
      <c r="EZ799" s="457"/>
      <c r="FA799" s="457"/>
      <c r="FB799" s="457"/>
      <c r="FC799" s="457"/>
      <c r="FD799" s="457"/>
      <c r="FE799" s="457"/>
      <c r="FF799" s="457"/>
      <c r="FG799" s="457"/>
      <c r="FH799" s="457"/>
      <c r="FI799" s="457"/>
      <c r="FJ799" s="457"/>
      <c r="FK799" s="457"/>
    </row>
    <row r="800" spans="1:167" s="416" customFormat="1">
      <c r="A800" s="427"/>
      <c r="B800" s="427"/>
      <c r="C800" s="427"/>
      <c r="D800" s="427"/>
      <c r="E800" s="428"/>
      <c r="F800" s="429"/>
      <c r="G800" s="430"/>
      <c r="H800" s="427"/>
      <c r="I800" s="427"/>
      <c r="J800" s="427"/>
      <c r="K800" s="427"/>
      <c r="L800" s="427"/>
      <c r="M800" s="427"/>
      <c r="N800" s="427"/>
      <c r="O800" s="427"/>
      <c r="P800" s="427"/>
      <c r="Q800" s="427"/>
      <c r="R800" s="427"/>
      <c r="S800" s="427"/>
      <c r="T800" s="427"/>
      <c r="U800" s="427"/>
      <c r="V800" s="428"/>
      <c r="W800" s="431"/>
      <c r="X800" s="3"/>
      <c r="Y800" s="429"/>
      <c r="Z800" s="430"/>
      <c r="AA800" s="430"/>
      <c r="AB800" s="430"/>
      <c r="AC800" s="424"/>
      <c r="AD800" s="424"/>
      <c r="AE800" s="424"/>
      <c r="AF800" s="424"/>
      <c r="AG800" s="424"/>
      <c r="AH800" s="424"/>
      <c r="AI800" s="424"/>
      <c r="AJ800" s="2"/>
      <c r="AK800" s="2"/>
      <c r="AL800" s="2"/>
      <c r="AM800" s="2"/>
      <c r="AN800" s="2"/>
      <c r="AO800" s="2"/>
      <c r="AP800" s="2"/>
      <c r="AQ800" s="427"/>
      <c r="AR800" s="754"/>
      <c r="AS800" s="427"/>
      <c r="AT800" s="754"/>
      <c r="AU800" s="427"/>
      <c r="AV800" s="427"/>
      <c r="AW800" s="427"/>
      <c r="AX800" s="427"/>
      <c r="AY800" s="754"/>
      <c r="AZ800" s="754"/>
      <c r="BA800" s="754"/>
      <c r="BB800" s="427"/>
      <c r="BC800" s="427"/>
      <c r="BD800" s="427"/>
      <c r="BE800" s="754"/>
      <c r="BF800" s="427"/>
      <c r="BG800" s="454"/>
      <c r="BH800" s="754"/>
      <c r="BI800" s="427"/>
      <c r="BJ800" s="427"/>
      <c r="BK800" s="427"/>
      <c r="BL800" s="427"/>
      <c r="BM800" s="454"/>
      <c r="BN800" s="427"/>
      <c r="BO800" s="427"/>
      <c r="BP800" s="427"/>
      <c r="BQ800" s="454"/>
      <c r="BR800" s="454"/>
      <c r="BS800" s="460"/>
      <c r="BT800" s="454"/>
      <c r="BU800" s="454"/>
      <c r="BV800" s="457"/>
      <c r="BW800" s="460"/>
      <c r="BX800" s="460"/>
      <c r="BY800" s="460"/>
      <c r="CA800" s="2"/>
      <c r="CB800" s="2"/>
      <c r="CC800" s="2"/>
      <c r="CD800" s="2"/>
      <c r="CE800" s="2"/>
      <c r="CF800" s="2"/>
      <c r="CG800" s="2"/>
      <c r="CH800" s="2"/>
      <c r="CI800" s="2"/>
      <c r="CJ800" s="2"/>
      <c r="CK800" s="2"/>
      <c r="CL800" s="2"/>
      <c r="CM800" s="2"/>
      <c r="CN800" s="2"/>
      <c r="CO800" s="427"/>
      <c r="CP800" s="427"/>
      <c r="CQ800" s="427"/>
      <c r="CR800" s="485"/>
      <c r="CS800" s="485"/>
      <c r="CT800" s="485"/>
      <c r="CU800" s="485"/>
      <c r="CV800" s="482"/>
      <c r="CW800" s="482"/>
      <c r="CX800" s="482"/>
      <c r="CY800" s="482"/>
      <c r="CZ800" s="485"/>
      <c r="DA800" s="485"/>
      <c r="DB800" s="485"/>
      <c r="DC800" s="485"/>
      <c r="DD800" s="485"/>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485"/>
      <c r="EX800" s="457"/>
      <c r="EY800" s="457"/>
      <c r="EZ800" s="457"/>
      <c r="FA800" s="457"/>
      <c r="FB800" s="457"/>
      <c r="FC800" s="457"/>
      <c r="FD800" s="457"/>
      <c r="FE800" s="457"/>
      <c r="FF800" s="457"/>
      <c r="FG800" s="457"/>
      <c r="FH800" s="457"/>
      <c r="FI800" s="457"/>
      <c r="FJ800" s="457"/>
      <c r="FK800" s="457"/>
    </row>
    <row r="801" spans="1:167" s="416" customFormat="1">
      <c r="A801" s="427"/>
      <c r="B801" s="427"/>
      <c r="C801" s="427"/>
      <c r="D801" s="427"/>
      <c r="E801" s="428"/>
      <c r="F801" s="429"/>
      <c r="G801" s="430"/>
      <c r="H801" s="427"/>
      <c r="I801" s="427"/>
      <c r="J801" s="427"/>
      <c r="K801" s="427"/>
      <c r="L801" s="427"/>
      <c r="M801" s="427"/>
      <c r="N801" s="427"/>
      <c r="O801" s="427"/>
      <c r="P801" s="427"/>
      <c r="Q801" s="427"/>
      <c r="R801" s="427"/>
      <c r="S801" s="427"/>
      <c r="T801" s="427"/>
      <c r="U801" s="427"/>
      <c r="V801" s="428"/>
      <c r="W801" s="431"/>
      <c r="X801" s="3"/>
      <c r="Y801" s="429"/>
      <c r="Z801" s="430"/>
      <c r="AA801" s="430"/>
      <c r="AB801" s="430"/>
      <c r="AC801" s="424"/>
      <c r="AD801" s="424"/>
      <c r="AE801" s="424"/>
      <c r="AF801" s="424"/>
      <c r="AG801" s="424"/>
      <c r="AH801" s="424"/>
      <c r="AI801" s="424"/>
      <c r="AJ801" s="2"/>
      <c r="AK801" s="2"/>
      <c r="AL801" s="2"/>
      <c r="AM801" s="2"/>
      <c r="AN801" s="2"/>
      <c r="AO801" s="2"/>
      <c r="AP801" s="2"/>
      <c r="AQ801" s="427"/>
      <c r="AR801" s="754"/>
      <c r="AS801" s="427"/>
      <c r="AT801" s="754"/>
      <c r="AU801" s="427"/>
      <c r="AV801" s="427"/>
      <c r="AW801" s="427"/>
      <c r="AX801" s="427"/>
      <c r="AY801" s="754"/>
      <c r="AZ801" s="754"/>
      <c r="BA801" s="754"/>
      <c r="BB801" s="427"/>
      <c r="BC801" s="427"/>
      <c r="BD801" s="427"/>
      <c r="BE801" s="754"/>
      <c r="BF801" s="427"/>
      <c r="BG801" s="454"/>
      <c r="BH801" s="754"/>
      <c r="BI801" s="427"/>
      <c r="BJ801" s="427"/>
      <c r="BK801" s="427"/>
      <c r="BL801" s="427"/>
      <c r="BM801" s="454"/>
      <c r="BN801" s="427"/>
      <c r="BO801" s="427"/>
      <c r="BP801" s="427"/>
      <c r="BQ801" s="454"/>
      <c r="BR801" s="454"/>
      <c r="BS801" s="460"/>
      <c r="BT801" s="454"/>
      <c r="BU801" s="454"/>
      <c r="BV801" s="457"/>
      <c r="BW801" s="460"/>
      <c r="BX801" s="460"/>
      <c r="BY801" s="460"/>
      <c r="CA801" s="2"/>
      <c r="CB801" s="2"/>
      <c r="CC801" s="2"/>
      <c r="CD801" s="2"/>
      <c r="CE801" s="2"/>
      <c r="CF801" s="2"/>
      <c r="CG801" s="2"/>
      <c r="CH801" s="2"/>
      <c r="CI801" s="2"/>
      <c r="CJ801" s="2"/>
      <c r="CK801" s="2"/>
      <c r="CL801" s="2"/>
      <c r="CM801" s="2"/>
      <c r="CN801" s="2"/>
      <c r="CO801" s="427"/>
      <c r="CP801" s="427"/>
      <c r="CQ801" s="427"/>
      <c r="CR801" s="485"/>
      <c r="CS801" s="485"/>
      <c r="CT801" s="485"/>
      <c r="CU801" s="485"/>
      <c r="CV801" s="482"/>
      <c r="CW801" s="482"/>
      <c r="CX801" s="482"/>
      <c r="CY801" s="482"/>
      <c r="CZ801" s="485"/>
      <c r="DA801" s="485"/>
      <c r="DB801" s="485"/>
      <c r="DC801" s="485"/>
      <c r="DD801" s="485"/>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485"/>
      <c r="EX801" s="457"/>
      <c r="EY801" s="457"/>
      <c r="EZ801" s="457"/>
      <c r="FA801" s="457"/>
      <c r="FB801" s="457"/>
      <c r="FC801" s="457"/>
      <c r="FD801" s="457"/>
      <c r="FE801" s="457"/>
      <c r="FF801" s="457"/>
      <c r="FG801" s="457"/>
      <c r="FH801" s="457"/>
      <c r="FI801" s="457"/>
      <c r="FJ801" s="457"/>
      <c r="FK801" s="457"/>
    </row>
    <row r="802" spans="1:167" s="416" customFormat="1">
      <c r="A802" s="427"/>
      <c r="B802" s="427"/>
      <c r="C802" s="427"/>
      <c r="D802" s="427"/>
      <c r="E802" s="428"/>
      <c r="F802" s="429"/>
      <c r="G802" s="430"/>
      <c r="H802" s="427"/>
      <c r="I802" s="427"/>
      <c r="J802" s="427"/>
      <c r="K802" s="427"/>
      <c r="L802" s="427"/>
      <c r="M802" s="427"/>
      <c r="N802" s="427"/>
      <c r="O802" s="427"/>
      <c r="P802" s="427"/>
      <c r="Q802" s="427"/>
      <c r="R802" s="427"/>
      <c r="S802" s="427"/>
      <c r="T802" s="427"/>
      <c r="U802" s="427"/>
      <c r="V802" s="428"/>
      <c r="W802" s="431"/>
      <c r="X802" s="3"/>
      <c r="Y802" s="429"/>
      <c r="Z802" s="430"/>
      <c r="AA802" s="430"/>
      <c r="AB802" s="430"/>
      <c r="AC802" s="424"/>
      <c r="AD802" s="424"/>
      <c r="AE802" s="424"/>
      <c r="AF802" s="424"/>
      <c r="AG802" s="424"/>
      <c r="AH802" s="424"/>
      <c r="AI802" s="424"/>
      <c r="AJ802" s="2"/>
      <c r="AK802" s="2"/>
      <c r="AL802" s="2"/>
      <c r="AM802" s="2"/>
      <c r="AN802" s="2"/>
      <c r="AO802" s="2"/>
      <c r="AP802" s="2"/>
      <c r="AQ802" s="427"/>
      <c r="AR802" s="754"/>
      <c r="AS802" s="427"/>
      <c r="AT802" s="754"/>
      <c r="AU802" s="427"/>
      <c r="AV802" s="427"/>
      <c r="AW802" s="427"/>
      <c r="AX802" s="427"/>
      <c r="AY802" s="754"/>
      <c r="AZ802" s="754"/>
      <c r="BA802" s="754"/>
      <c r="BB802" s="427"/>
      <c r="BC802" s="427"/>
      <c r="BD802" s="427"/>
      <c r="BE802" s="754"/>
      <c r="BF802" s="427"/>
      <c r="BG802" s="454"/>
      <c r="BH802" s="754"/>
      <c r="BI802" s="427"/>
      <c r="BJ802" s="427"/>
      <c r="BK802" s="427"/>
      <c r="BL802" s="427"/>
      <c r="BM802" s="454"/>
      <c r="BN802" s="427"/>
      <c r="BO802" s="427"/>
      <c r="BP802" s="427"/>
      <c r="BQ802" s="454"/>
      <c r="BR802" s="454"/>
      <c r="BS802" s="460"/>
      <c r="BT802" s="454"/>
      <c r="BU802" s="454"/>
      <c r="BV802" s="457"/>
      <c r="BW802" s="460"/>
      <c r="BX802" s="460"/>
      <c r="BY802" s="460"/>
      <c r="CA802" s="2"/>
      <c r="CB802" s="2"/>
      <c r="CC802" s="2"/>
      <c r="CD802" s="2"/>
      <c r="CE802" s="2"/>
      <c r="CF802" s="2"/>
      <c r="CG802" s="2"/>
      <c r="CH802" s="2"/>
      <c r="CI802" s="2"/>
      <c r="CJ802" s="2"/>
      <c r="CK802" s="2"/>
      <c r="CL802" s="2"/>
      <c r="CM802" s="2"/>
      <c r="CN802" s="2"/>
      <c r="CO802" s="427"/>
      <c r="CP802" s="427"/>
      <c r="CQ802" s="427"/>
      <c r="CR802" s="485"/>
      <c r="CS802" s="485"/>
      <c r="CT802" s="485"/>
      <c r="CU802" s="485"/>
      <c r="CV802" s="482"/>
      <c r="CW802" s="482"/>
      <c r="CX802" s="482"/>
      <c r="CY802" s="482"/>
      <c r="CZ802" s="485"/>
      <c r="DA802" s="485"/>
      <c r="DB802" s="485"/>
      <c r="DC802" s="485"/>
      <c r="DD802" s="485"/>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485"/>
      <c r="EX802" s="457"/>
      <c r="EY802" s="457"/>
      <c r="EZ802" s="457"/>
      <c r="FA802" s="457"/>
      <c r="FB802" s="457"/>
      <c r="FC802" s="457"/>
      <c r="FD802" s="457"/>
      <c r="FE802" s="457"/>
      <c r="FF802" s="457"/>
      <c r="FG802" s="457"/>
      <c r="FH802" s="457"/>
      <c r="FI802" s="457"/>
      <c r="FJ802" s="457"/>
      <c r="FK802" s="457"/>
    </row>
    <row r="803" spans="1:167" s="416" customFormat="1">
      <c r="A803" s="427"/>
      <c r="B803" s="427"/>
      <c r="C803" s="427"/>
      <c r="D803" s="427"/>
      <c r="E803" s="428"/>
      <c r="F803" s="429"/>
      <c r="G803" s="430"/>
      <c r="H803" s="427"/>
      <c r="I803" s="427"/>
      <c r="J803" s="427"/>
      <c r="K803" s="427"/>
      <c r="L803" s="427"/>
      <c r="M803" s="427"/>
      <c r="N803" s="427"/>
      <c r="O803" s="427"/>
      <c r="P803" s="427"/>
      <c r="Q803" s="427"/>
      <c r="R803" s="427"/>
      <c r="S803" s="427"/>
      <c r="T803" s="427"/>
      <c r="U803" s="427"/>
      <c r="V803" s="428"/>
      <c r="W803" s="431"/>
      <c r="X803" s="3"/>
      <c r="Y803" s="429"/>
      <c r="Z803" s="430"/>
      <c r="AA803" s="430"/>
      <c r="AB803" s="430"/>
      <c r="AC803" s="424"/>
      <c r="AD803" s="424"/>
      <c r="AE803" s="424"/>
      <c r="AF803" s="424"/>
      <c r="AG803" s="424"/>
      <c r="AH803" s="424"/>
      <c r="AI803" s="424"/>
      <c r="AJ803" s="2"/>
      <c r="AK803" s="2"/>
      <c r="AL803" s="2"/>
      <c r="AM803" s="2"/>
      <c r="AN803" s="2"/>
      <c r="AO803" s="2"/>
      <c r="AP803" s="2"/>
      <c r="AQ803" s="427"/>
      <c r="AR803" s="754"/>
      <c r="AS803" s="427"/>
      <c r="AT803" s="754"/>
      <c r="AU803" s="427"/>
      <c r="AV803" s="427"/>
      <c r="AW803" s="427"/>
      <c r="AX803" s="427"/>
      <c r="AY803" s="754"/>
      <c r="AZ803" s="754"/>
      <c r="BA803" s="754"/>
      <c r="BB803" s="427"/>
      <c r="BC803" s="427"/>
      <c r="BD803" s="427"/>
      <c r="BE803" s="754"/>
      <c r="BF803" s="427"/>
      <c r="BG803" s="454"/>
      <c r="BH803" s="754"/>
      <c r="BI803" s="427"/>
      <c r="BJ803" s="427"/>
      <c r="BK803" s="427"/>
      <c r="BL803" s="427"/>
      <c r="BM803" s="454"/>
      <c r="BN803" s="427"/>
      <c r="BO803" s="427"/>
      <c r="BP803" s="427"/>
      <c r="BQ803" s="454"/>
      <c r="BR803" s="454"/>
      <c r="BS803" s="460"/>
      <c r="BT803" s="454"/>
      <c r="BU803" s="454"/>
      <c r="BV803" s="457"/>
      <c r="BW803" s="460"/>
      <c r="BX803" s="460"/>
      <c r="BY803" s="460"/>
      <c r="CA803" s="2"/>
      <c r="CB803" s="2"/>
      <c r="CC803" s="2"/>
      <c r="CD803" s="2"/>
      <c r="CE803" s="2"/>
      <c r="CF803" s="2"/>
      <c r="CG803" s="2"/>
      <c r="CH803" s="2"/>
      <c r="CI803" s="2"/>
      <c r="CJ803" s="2"/>
      <c r="CK803" s="2"/>
      <c r="CL803" s="2"/>
      <c r="CM803" s="2"/>
      <c r="CN803" s="2"/>
      <c r="CO803" s="427"/>
      <c r="CP803" s="427"/>
      <c r="CQ803" s="427"/>
      <c r="CR803" s="485"/>
      <c r="CS803" s="485"/>
      <c r="CT803" s="485"/>
      <c r="CU803" s="485"/>
      <c r="CV803" s="482"/>
      <c r="CW803" s="482"/>
      <c r="CX803" s="482"/>
      <c r="CY803" s="482"/>
      <c r="CZ803" s="485"/>
      <c r="DA803" s="485"/>
      <c r="DB803" s="485"/>
      <c r="DC803" s="485"/>
      <c r="DD803" s="485"/>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485"/>
      <c r="EX803" s="457"/>
      <c r="EY803" s="457"/>
      <c r="EZ803" s="457"/>
      <c r="FA803" s="457"/>
      <c r="FB803" s="457"/>
      <c r="FC803" s="457"/>
      <c r="FD803" s="457"/>
      <c r="FE803" s="457"/>
      <c r="FF803" s="457"/>
      <c r="FG803" s="457"/>
      <c r="FH803" s="457"/>
      <c r="FI803" s="457"/>
      <c r="FJ803" s="457"/>
      <c r="FK803" s="457"/>
    </row>
    <row r="804" spans="1:167" s="416" customFormat="1">
      <c r="A804" s="427"/>
      <c r="B804" s="427"/>
      <c r="C804" s="427"/>
      <c r="D804" s="427"/>
      <c r="E804" s="428"/>
      <c r="F804" s="429"/>
      <c r="G804" s="430"/>
      <c r="H804" s="427"/>
      <c r="I804" s="427"/>
      <c r="J804" s="427"/>
      <c r="K804" s="427"/>
      <c r="L804" s="427"/>
      <c r="M804" s="427"/>
      <c r="N804" s="427"/>
      <c r="O804" s="427"/>
      <c r="P804" s="427"/>
      <c r="Q804" s="427"/>
      <c r="R804" s="427"/>
      <c r="S804" s="427"/>
      <c r="T804" s="427"/>
      <c r="U804" s="427"/>
      <c r="V804" s="428"/>
      <c r="W804" s="431"/>
      <c r="X804" s="3"/>
      <c r="Y804" s="429"/>
      <c r="Z804" s="430"/>
      <c r="AA804" s="430"/>
      <c r="AB804" s="430"/>
      <c r="AC804" s="424"/>
      <c r="AD804" s="424"/>
      <c r="AE804" s="424"/>
      <c r="AF804" s="424"/>
      <c r="AG804" s="424"/>
      <c r="AH804" s="424"/>
      <c r="AI804" s="424"/>
      <c r="AJ804" s="2"/>
      <c r="AK804" s="2"/>
      <c r="AL804" s="2"/>
      <c r="AM804" s="2"/>
      <c r="AN804" s="2"/>
      <c r="AO804" s="2"/>
      <c r="AP804" s="2"/>
      <c r="AQ804" s="427"/>
      <c r="AR804" s="754"/>
      <c r="AS804" s="427"/>
      <c r="AT804" s="754"/>
      <c r="AU804" s="427"/>
      <c r="AV804" s="427"/>
      <c r="AW804" s="427"/>
      <c r="AX804" s="427"/>
      <c r="AY804" s="754"/>
      <c r="AZ804" s="754"/>
      <c r="BA804" s="754"/>
      <c r="BB804" s="427"/>
      <c r="BC804" s="427"/>
      <c r="BD804" s="427"/>
      <c r="BE804" s="754"/>
      <c r="BF804" s="427"/>
      <c r="BG804" s="454"/>
      <c r="BH804" s="754"/>
      <c r="BI804" s="427"/>
      <c r="BJ804" s="427"/>
      <c r="BK804" s="427"/>
      <c r="BL804" s="427"/>
      <c r="BM804" s="454"/>
      <c r="BN804" s="427"/>
      <c r="BO804" s="427"/>
      <c r="BP804" s="427"/>
      <c r="BQ804" s="454"/>
      <c r="BR804" s="454"/>
      <c r="BS804" s="460"/>
      <c r="BT804" s="454"/>
      <c r="BU804" s="454"/>
      <c r="BV804" s="457"/>
      <c r="BW804" s="460"/>
      <c r="BX804" s="460"/>
      <c r="BY804" s="460"/>
      <c r="CA804" s="2"/>
      <c r="CB804" s="2"/>
      <c r="CC804" s="2"/>
      <c r="CD804" s="2"/>
      <c r="CE804" s="2"/>
      <c r="CF804" s="2"/>
      <c r="CG804" s="2"/>
      <c r="CH804" s="2"/>
      <c r="CI804" s="2"/>
      <c r="CJ804" s="2"/>
      <c r="CK804" s="2"/>
      <c r="CL804" s="2"/>
      <c r="CM804" s="2"/>
      <c r="CN804" s="2"/>
      <c r="CO804" s="427"/>
      <c r="CP804" s="427"/>
      <c r="CQ804" s="427"/>
      <c r="CR804" s="485"/>
      <c r="CS804" s="485"/>
      <c r="CT804" s="485"/>
      <c r="CU804" s="485"/>
      <c r="CV804" s="482"/>
      <c r="CW804" s="482"/>
      <c r="CX804" s="482"/>
      <c r="CY804" s="482"/>
      <c r="CZ804" s="485"/>
      <c r="DA804" s="485"/>
      <c r="DB804" s="485"/>
      <c r="DC804" s="485"/>
      <c r="DD804" s="485"/>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485"/>
      <c r="EX804" s="457"/>
      <c r="EY804" s="457"/>
      <c r="EZ804" s="457"/>
      <c r="FA804" s="457"/>
      <c r="FB804" s="457"/>
      <c r="FC804" s="457"/>
      <c r="FD804" s="457"/>
      <c r="FE804" s="457"/>
      <c r="FF804" s="457"/>
      <c r="FG804" s="457"/>
      <c r="FH804" s="457"/>
      <c r="FI804" s="457"/>
      <c r="FJ804" s="457"/>
      <c r="FK804" s="457"/>
    </row>
    <row r="805" spans="1:167" s="416" customFormat="1">
      <c r="A805" s="427"/>
      <c r="B805" s="427"/>
      <c r="C805" s="427"/>
      <c r="D805" s="427"/>
      <c r="E805" s="428"/>
      <c r="F805" s="429"/>
      <c r="G805" s="430"/>
      <c r="H805" s="427"/>
      <c r="I805" s="427"/>
      <c r="J805" s="427"/>
      <c r="K805" s="427"/>
      <c r="L805" s="427"/>
      <c r="M805" s="427"/>
      <c r="N805" s="427"/>
      <c r="O805" s="427"/>
      <c r="P805" s="427"/>
      <c r="Q805" s="427"/>
      <c r="R805" s="427"/>
      <c r="S805" s="427"/>
      <c r="T805" s="427"/>
      <c r="U805" s="427"/>
      <c r="V805" s="428"/>
      <c r="W805" s="431"/>
      <c r="X805" s="3"/>
      <c r="Y805" s="429"/>
      <c r="Z805" s="430"/>
      <c r="AA805" s="430"/>
      <c r="AB805" s="430"/>
      <c r="AC805" s="424"/>
      <c r="AD805" s="424"/>
      <c r="AE805" s="424"/>
      <c r="AF805" s="424"/>
      <c r="AG805" s="424"/>
      <c r="AH805" s="424"/>
      <c r="AI805" s="424"/>
      <c r="AJ805" s="2"/>
      <c r="AK805" s="2"/>
      <c r="AL805" s="2"/>
      <c r="AM805" s="2"/>
      <c r="AN805" s="2"/>
      <c r="AO805" s="2"/>
      <c r="AP805" s="2"/>
      <c r="AQ805" s="427"/>
      <c r="AR805" s="754"/>
      <c r="AS805" s="427"/>
      <c r="AT805" s="754"/>
      <c r="AU805" s="427"/>
      <c r="AV805" s="427"/>
      <c r="AW805" s="427"/>
      <c r="AX805" s="427"/>
      <c r="AY805" s="754"/>
      <c r="AZ805" s="754"/>
      <c r="BA805" s="754"/>
      <c r="BB805" s="427"/>
      <c r="BC805" s="427"/>
      <c r="BD805" s="427"/>
      <c r="BE805" s="754"/>
      <c r="BF805" s="427"/>
      <c r="BG805" s="454"/>
      <c r="BH805" s="754"/>
      <c r="BI805" s="427"/>
      <c r="BJ805" s="427"/>
      <c r="BK805" s="427"/>
      <c r="BL805" s="427"/>
      <c r="BM805" s="454"/>
      <c r="BN805" s="427"/>
      <c r="BO805" s="427"/>
      <c r="BP805" s="427"/>
      <c r="BQ805" s="454"/>
      <c r="BR805" s="454"/>
      <c r="BS805" s="460"/>
      <c r="BT805" s="454"/>
      <c r="BU805" s="454"/>
      <c r="BV805" s="457"/>
      <c r="BW805" s="460"/>
      <c r="BX805" s="460"/>
      <c r="BY805" s="460"/>
      <c r="CA805" s="2"/>
      <c r="CB805" s="2"/>
      <c r="CC805" s="2"/>
      <c r="CD805" s="2"/>
      <c r="CE805" s="2"/>
      <c r="CF805" s="2"/>
      <c r="CG805" s="2"/>
      <c r="CH805" s="2"/>
      <c r="CI805" s="2"/>
      <c r="CJ805" s="2"/>
      <c r="CK805" s="2"/>
      <c r="CL805" s="2"/>
      <c r="CM805" s="2"/>
      <c r="CN805" s="2"/>
      <c r="CO805" s="427"/>
      <c r="CP805" s="427"/>
      <c r="CQ805" s="427"/>
      <c r="CR805" s="485"/>
      <c r="CS805" s="485"/>
      <c r="CT805" s="485"/>
      <c r="CU805" s="485"/>
      <c r="CV805" s="482"/>
      <c r="CW805" s="482"/>
      <c r="CX805" s="482"/>
      <c r="CY805" s="482"/>
      <c r="CZ805" s="485"/>
      <c r="DA805" s="485"/>
      <c r="DB805" s="485"/>
      <c r="DC805" s="485"/>
      <c r="DD805" s="485"/>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485"/>
      <c r="EX805" s="457"/>
      <c r="EY805" s="457"/>
      <c r="EZ805" s="457"/>
      <c r="FA805" s="457"/>
      <c r="FB805" s="457"/>
      <c r="FC805" s="457"/>
      <c r="FD805" s="457"/>
      <c r="FE805" s="457"/>
      <c r="FF805" s="457"/>
      <c r="FG805" s="457"/>
      <c r="FH805" s="457"/>
      <c r="FI805" s="457"/>
      <c r="FJ805" s="457"/>
      <c r="FK805" s="457"/>
    </row>
    <row r="806" spans="1:167" s="416" customFormat="1">
      <c r="A806" s="427"/>
      <c r="B806" s="427"/>
      <c r="C806" s="427"/>
      <c r="D806" s="427"/>
      <c r="E806" s="428"/>
      <c r="F806" s="429"/>
      <c r="G806" s="430"/>
      <c r="H806" s="427"/>
      <c r="I806" s="427"/>
      <c r="J806" s="427"/>
      <c r="K806" s="427"/>
      <c r="L806" s="427"/>
      <c r="M806" s="427"/>
      <c r="N806" s="427"/>
      <c r="O806" s="427"/>
      <c r="P806" s="427"/>
      <c r="Q806" s="427"/>
      <c r="R806" s="427"/>
      <c r="S806" s="427"/>
      <c r="T806" s="427"/>
      <c r="U806" s="427"/>
      <c r="V806" s="428"/>
      <c r="W806" s="431"/>
      <c r="X806" s="3"/>
      <c r="Y806" s="429"/>
      <c r="Z806" s="430"/>
      <c r="AA806" s="430"/>
      <c r="AB806" s="430"/>
      <c r="AC806" s="424"/>
      <c r="AD806" s="424"/>
      <c r="AE806" s="424"/>
      <c r="AF806" s="424"/>
      <c r="AG806" s="424"/>
      <c r="AH806" s="424"/>
      <c r="AI806" s="424"/>
      <c r="AJ806" s="2"/>
      <c r="AK806" s="2"/>
      <c r="AL806" s="2"/>
      <c r="AM806" s="2"/>
      <c r="AN806" s="2"/>
      <c r="AO806" s="2"/>
      <c r="AP806" s="2"/>
      <c r="AQ806" s="427"/>
      <c r="AR806" s="754"/>
      <c r="AS806" s="427"/>
      <c r="AT806" s="754"/>
      <c r="AU806" s="427"/>
      <c r="AV806" s="427"/>
      <c r="AW806" s="427"/>
      <c r="AX806" s="427"/>
      <c r="AY806" s="754"/>
      <c r="AZ806" s="754"/>
      <c r="BA806" s="754"/>
      <c r="BB806" s="427"/>
      <c r="BC806" s="427"/>
      <c r="BD806" s="427"/>
      <c r="BE806" s="754"/>
      <c r="BF806" s="427"/>
      <c r="BG806" s="454"/>
      <c r="BH806" s="754"/>
      <c r="BI806" s="427"/>
      <c r="BJ806" s="427"/>
      <c r="BK806" s="427"/>
      <c r="BL806" s="427"/>
      <c r="BM806" s="454"/>
      <c r="BN806" s="427"/>
      <c r="BO806" s="427"/>
      <c r="BP806" s="427"/>
      <c r="BQ806" s="454"/>
      <c r="BR806" s="454"/>
      <c r="BS806" s="460"/>
      <c r="BT806" s="454"/>
      <c r="BU806" s="454"/>
      <c r="BV806" s="457"/>
      <c r="BW806" s="460"/>
      <c r="BX806" s="460"/>
      <c r="BY806" s="460"/>
      <c r="CA806" s="2"/>
      <c r="CB806" s="2"/>
      <c r="CC806" s="2"/>
      <c r="CD806" s="2"/>
      <c r="CE806" s="2"/>
      <c r="CF806" s="2"/>
      <c r="CG806" s="2"/>
      <c r="CH806" s="2"/>
      <c r="CI806" s="2"/>
      <c r="CJ806" s="2"/>
      <c r="CK806" s="2"/>
      <c r="CL806" s="2"/>
      <c r="CM806" s="2"/>
      <c r="CN806" s="2"/>
      <c r="CO806" s="427"/>
      <c r="CP806" s="427"/>
      <c r="CQ806" s="427"/>
      <c r="CR806" s="485"/>
      <c r="CS806" s="485"/>
      <c r="CT806" s="485"/>
      <c r="CU806" s="485"/>
      <c r="CV806" s="482"/>
      <c r="CW806" s="482"/>
      <c r="CX806" s="482"/>
      <c r="CY806" s="482"/>
      <c r="CZ806" s="485"/>
      <c r="DA806" s="485"/>
      <c r="DB806" s="485"/>
      <c r="DC806" s="485"/>
      <c r="DD806" s="485"/>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485"/>
      <c r="EX806" s="457"/>
      <c r="EY806" s="457"/>
      <c r="EZ806" s="457"/>
      <c r="FA806" s="457"/>
      <c r="FB806" s="457"/>
      <c r="FC806" s="457"/>
      <c r="FD806" s="457"/>
      <c r="FE806" s="457"/>
      <c r="FF806" s="457"/>
      <c r="FG806" s="457"/>
      <c r="FH806" s="457"/>
      <c r="FI806" s="457"/>
      <c r="FJ806" s="457"/>
      <c r="FK806" s="457"/>
    </row>
    <row r="807" spans="1:167" s="416" customFormat="1">
      <c r="A807" s="427"/>
      <c r="B807" s="427"/>
      <c r="C807" s="427"/>
      <c r="D807" s="427"/>
      <c r="E807" s="428"/>
      <c r="F807" s="429"/>
      <c r="G807" s="430"/>
      <c r="H807" s="427"/>
      <c r="I807" s="427"/>
      <c r="J807" s="427"/>
      <c r="K807" s="427"/>
      <c r="L807" s="427"/>
      <c r="M807" s="427"/>
      <c r="N807" s="427"/>
      <c r="O807" s="427"/>
      <c r="P807" s="427"/>
      <c r="Q807" s="427"/>
      <c r="R807" s="427"/>
      <c r="S807" s="427"/>
      <c r="T807" s="427"/>
      <c r="U807" s="427"/>
      <c r="V807" s="428"/>
      <c r="W807" s="431"/>
      <c r="X807" s="3"/>
      <c r="Y807" s="429"/>
      <c r="Z807" s="430"/>
      <c r="AA807" s="430"/>
      <c r="AB807" s="430"/>
      <c r="AC807" s="424"/>
      <c r="AD807" s="424"/>
      <c r="AE807" s="424"/>
      <c r="AF807" s="424"/>
      <c r="AG807" s="424"/>
      <c r="AH807" s="424"/>
      <c r="AI807" s="424"/>
      <c r="AJ807" s="2"/>
      <c r="AK807" s="2"/>
      <c r="AL807" s="2"/>
      <c r="AM807" s="2"/>
      <c r="AN807" s="2"/>
      <c r="AO807" s="2"/>
      <c r="AP807" s="2"/>
      <c r="AQ807" s="427"/>
      <c r="AR807" s="754"/>
      <c r="AS807" s="427"/>
      <c r="AT807" s="754"/>
      <c r="AU807" s="427"/>
      <c r="AV807" s="427"/>
      <c r="AW807" s="427"/>
      <c r="AX807" s="427"/>
      <c r="AY807" s="754"/>
      <c r="AZ807" s="754"/>
      <c r="BA807" s="754"/>
      <c r="BB807" s="427"/>
      <c r="BC807" s="427"/>
      <c r="BD807" s="427"/>
      <c r="BE807" s="754"/>
      <c r="BF807" s="427"/>
      <c r="BG807" s="454"/>
      <c r="BH807" s="754"/>
      <c r="BI807" s="427"/>
      <c r="BJ807" s="427"/>
      <c r="BK807" s="427"/>
      <c r="BL807" s="427"/>
      <c r="BM807" s="454"/>
      <c r="BN807" s="427"/>
      <c r="BO807" s="427"/>
      <c r="BP807" s="427"/>
      <c r="BQ807" s="454"/>
      <c r="BR807" s="454"/>
      <c r="BS807" s="460"/>
      <c r="BT807" s="454"/>
      <c r="BU807" s="454"/>
      <c r="BV807" s="457"/>
      <c r="BW807" s="460"/>
      <c r="BX807" s="460"/>
      <c r="BY807" s="460"/>
      <c r="CA807" s="2"/>
      <c r="CB807" s="2"/>
      <c r="CC807" s="2"/>
      <c r="CD807" s="2"/>
      <c r="CE807" s="2"/>
      <c r="CF807" s="2"/>
      <c r="CG807" s="2"/>
      <c r="CH807" s="2"/>
      <c r="CI807" s="2"/>
      <c r="CJ807" s="2"/>
      <c r="CK807" s="2"/>
      <c r="CL807" s="2"/>
      <c r="CM807" s="2"/>
      <c r="CN807" s="2"/>
      <c r="CO807" s="427"/>
      <c r="CP807" s="427"/>
      <c r="CQ807" s="427"/>
      <c r="CR807" s="485"/>
      <c r="CS807" s="485"/>
      <c r="CT807" s="485"/>
      <c r="CU807" s="485"/>
      <c r="CV807" s="482"/>
      <c r="CW807" s="482"/>
      <c r="CX807" s="482"/>
      <c r="CY807" s="482"/>
      <c r="CZ807" s="485"/>
      <c r="DA807" s="485"/>
      <c r="DB807" s="485"/>
      <c r="DC807" s="485"/>
      <c r="DD807" s="485"/>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485"/>
      <c r="EX807" s="457"/>
      <c r="EY807" s="457"/>
      <c r="EZ807" s="457"/>
      <c r="FA807" s="457"/>
      <c r="FB807" s="457"/>
      <c r="FC807" s="457"/>
      <c r="FD807" s="457"/>
      <c r="FE807" s="457"/>
      <c r="FF807" s="457"/>
      <c r="FG807" s="457"/>
      <c r="FH807" s="457"/>
      <c r="FI807" s="457"/>
      <c r="FJ807" s="457"/>
      <c r="FK807" s="457"/>
    </row>
    <row r="808" spans="1:167" s="416" customFormat="1">
      <c r="A808" s="427"/>
      <c r="B808" s="427"/>
      <c r="C808" s="427"/>
      <c r="D808" s="427"/>
      <c r="E808" s="428"/>
      <c r="F808" s="429"/>
      <c r="G808" s="430"/>
      <c r="H808" s="427"/>
      <c r="I808" s="427"/>
      <c r="J808" s="427"/>
      <c r="K808" s="427"/>
      <c r="L808" s="427"/>
      <c r="M808" s="427"/>
      <c r="N808" s="427"/>
      <c r="O808" s="427"/>
      <c r="P808" s="427"/>
      <c r="Q808" s="427"/>
      <c r="R808" s="427"/>
      <c r="S808" s="427"/>
      <c r="T808" s="427"/>
      <c r="U808" s="427"/>
      <c r="V808" s="428"/>
      <c r="W808" s="431"/>
      <c r="X808" s="3"/>
      <c r="Y808" s="429"/>
      <c r="Z808" s="430"/>
      <c r="AA808" s="430"/>
      <c r="AB808" s="430"/>
      <c r="AC808" s="424"/>
      <c r="AD808" s="424"/>
      <c r="AE808" s="424"/>
      <c r="AF808" s="424"/>
      <c r="AG808" s="424"/>
      <c r="AH808" s="424"/>
      <c r="AI808" s="424"/>
      <c r="AJ808" s="2"/>
      <c r="AK808" s="2"/>
      <c r="AL808" s="2"/>
      <c r="AM808" s="2"/>
      <c r="AN808" s="2"/>
      <c r="AO808" s="2"/>
      <c r="AP808" s="2"/>
      <c r="AQ808" s="427"/>
      <c r="AR808" s="754"/>
      <c r="AS808" s="427"/>
      <c r="AT808" s="754"/>
      <c r="AU808" s="427"/>
      <c r="AV808" s="427"/>
      <c r="AW808" s="427"/>
      <c r="AX808" s="427"/>
      <c r="AY808" s="754"/>
      <c r="AZ808" s="754"/>
      <c r="BA808" s="754"/>
      <c r="BB808" s="427"/>
      <c r="BC808" s="427"/>
      <c r="BD808" s="427"/>
      <c r="BE808" s="754"/>
      <c r="BF808" s="427"/>
      <c r="BG808" s="454"/>
      <c r="BH808" s="754"/>
      <c r="BI808" s="427"/>
      <c r="BJ808" s="427"/>
      <c r="BK808" s="427"/>
      <c r="BL808" s="427"/>
      <c r="BM808" s="454"/>
      <c r="BN808" s="427"/>
      <c r="BO808" s="427"/>
      <c r="BP808" s="427"/>
      <c r="BQ808" s="454"/>
      <c r="BR808" s="454"/>
      <c r="BS808" s="460"/>
      <c r="BT808" s="454"/>
      <c r="BU808" s="454"/>
      <c r="BV808" s="457"/>
      <c r="BW808" s="460"/>
      <c r="BX808" s="460"/>
      <c r="BY808" s="460"/>
      <c r="CA808" s="2"/>
      <c r="CB808" s="2"/>
      <c r="CC808" s="2"/>
      <c r="CD808" s="2"/>
      <c r="CE808" s="2"/>
      <c r="CF808" s="2"/>
      <c r="CG808" s="2"/>
      <c r="CH808" s="2"/>
      <c r="CI808" s="2"/>
      <c r="CJ808" s="2"/>
      <c r="CK808" s="2"/>
      <c r="CL808" s="2"/>
      <c r="CM808" s="2"/>
      <c r="CN808" s="2"/>
      <c r="CO808" s="427"/>
      <c r="CP808" s="427"/>
      <c r="CQ808" s="427"/>
      <c r="CR808" s="485"/>
      <c r="CS808" s="485"/>
      <c r="CT808" s="485"/>
      <c r="CU808" s="485"/>
      <c r="CV808" s="482"/>
      <c r="CW808" s="482"/>
      <c r="CX808" s="482"/>
      <c r="CY808" s="482"/>
      <c r="CZ808" s="485"/>
      <c r="DA808" s="485"/>
      <c r="DB808" s="485"/>
      <c r="DC808" s="485"/>
      <c r="DD808" s="485"/>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485"/>
      <c r="EX808" s="457"/>
      <c r="EY808" s="457"/>
      <c r="EZ808" s="457"/>
      <c r="FA808" s="457"/>
      <c r="FB808" s="457"/>
      <c r="FC808" s="457"/>
      <c r="FD808" s="457"/>
      <c r="FE808" s="457"/>
      <c r="FF808" s="457"/>
      <c r="FG808" s="457"/>
      <c r="FH808" s="457"/>
      <c r="FI808" s="457"/>
      <c r="FJ808" s="457"/>
      <c r="FK808" s="457"/>
    </row>
    <row r="809" spans="1:167" s="416" customFormat="1">
      <c r="A809" s="427"/>
      <c r="B809" s="427"/>
      <c r="C809" s="427"/>
      <c r="D809" s="427"/>
      <c r="E809" s="428"/>
      <c r="F809" s="429"/>
      <c r="G809" s="430"/>
      <c r="H809" s="427"/>
      <c r="I809" s="427"/>
      <c r="J809" s="427"/>
      <c r="K809" s="427"/>
      <c r="L809" s="427"/>
      <c r="M809" s="427"/>
      <c r="N809" s="427"/>
      <c r="O809" s="427"/>
      <c r="P809" s="427"/>
      <c r="Q809" s="427"/>
      <c r="R809" s="427"/>
      <c r="S809" s="427"/>
      <c r="T809" s="427"/>
      <c r="U809" s="427"/>
      <c r="V809" s="428"/>
      <c r="W809" s="431"/>
      <c r="X809" s="3"/>
      <c r="Y809" s="429"/>
      <c r="Z809" s="430"/>
      <c r="AA809" s="430"/>
      <c r="AB809" s="430"/>
      <c r="AC809" s="424"/>
      <c r="AD809" s="424"/>
      <c r="AE809" s="424"/>
      <c r="AF809" s="424"/>
      <c r="AG809" s="424"/>
      <c r="AH809" s="424"/>
      <c r="AI809" s="424"/>
      <c r="AJ809" s="2"/>
      <c r="AK809" s="2"/>
      <c r="AL809" s="2"/>
      <c r="AM809" s="2"/>
      <c r="AN809" s="2"/>
      <c r="AO809" s="2"/>
      <c r="AP809" s="2"/>
      <c r="AQ809" s="427"/>
      <c r="AR809" s="754"/>
      <c r="AS809" s="427"/>
      <c r="AT809" s="754"/>
      <c r="AU809" s="427"/>
      <c r="AV809" s="427"/>
      <c r="AW809" s="427"/>
      <c r="AX809" s="427"/>
      <c r="AY809" s="754"/>
      <c r="AZ809" s="754"/>
      <c r="BA809" s="754"/>
      <c r="BB809" s="427"/>
      <c r="BC809" s="427"/>
      <c r="BD809" s="427"/>
      <c r="BE809" s="754"/>
      <c r="BF809" s="427"/>
      <c r="BG809" s="454"/>
      <c r="BH809" s="754"/>
      <c r="BI809" s="427"/>
      <c r="BJ809" s="427"/>
      <c r="BK809" s="427"/>
      <c r="BL809" s="427"/>
      <c r="BM809" s="454"/>
      <c r="BN809" s="427"/>
      <c r="BO809" s="427"/>
      <c r="BP809" s="427"/>
      <c r="BQ809" s="454"/>
      <c r="BR809" s="454"/>
      <c r="BS809" s="460"/>
      <c r="BT809" s="454"/>
      <c r="BU809" s="454"/>
      <c r="BV809" s="457"/>
      <c r="BW809" s="460"/>
      <c r="BX809" s="460"/>
      <c r="BY809" s="460"/>
      <c r="CA809" s="2"/>
      <c r="CB809" s="2"/>
      <c r="CC809" s="2"/>
      <c r="CD809" s="2"/>
      <c r="CE809" s="2"/>
      <c r="CF809" s="2"/>
      <c r="CG809" s="2"/>
      <c r="CH809" s="2"/>
      <c r="CI809" s="2"/>
      <c r="CJ809" s="2"/>
      <c r="CK809" s="2"/>
      <c r="CL809" s="2"/>
      <c r="CM809" s="2"/>
      <c r="CN809" s="2"/>
      <c r="CO809" s="427"/>
      <c r="CP809" s="427"/>
      <c r="CQ809" s="427"/>
      <c r="CR809" s="485"/>
      <c r="CS809" s="485"/>
      <c r="CT809" s="485"/>
      <c r="CU809" s="485"/>
      <c r="CV809" s="482"/>
      <c r="CW809" s="482"/>
      <c r="CX809" s="482"/>
      <c r="CY809" s="482"/>
      <c r="CZ809" s="485"/>
      <c r="DA809" s="485"/>
      <c r="DB809" s="485"/>
      <c r="DC809" s="485"/>
      <c r="DD809" s="485"/>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485"/>
      <c r="EX809" s="457"/>
      <c r="EY809" s="457"/>
      <c r="EZ809" s="457"/>
      <c r="FA809" s="457"/>
      <c r="FB809" s="457"/>
      <c r="FC809" s="457"/>
      <c r="FD809" s="457"/>
      <c r="FE809" s="457"/>
      <c r="FF809" s="457"/>
      <c r="FG809" s="457"/>
      <c r="FH809" s="457"/>
      <c r="FI809" s="457"/>
      <c r="FJ809" s="457"/>
      <c r="FK809" s="457"/>
    </row>
    <row r="810" spans="1:167" s="416" customFormat="1">
      <c r="A810" s="427"/>
      <c r="B810" s="427"/>
      <c r="C810" s="427"/>
      <c r="D810" s="427"/>
      <c r="E810" s="428"/>
      <c r="F810" s="429"/>
      <c r="G810" s="430"/>
      <c r="H810" s="427"/>
      <c r="I810" s="427"/>
      <c r="J810" s="427"/>
      <c r="K810" s="427"/>
      <c r="L810" s="427"/>
      <c r="M810" s="427"/>
      <c r="N810" s="427"/>
      <c r="O810" s="427"/>
      <c r="P810" s="427"/>
      <c r="Q810" s="427"/>
      <c r="R810" s="427"/>
      <c r="S810" s="427"/>
      <c r="T810" s="427"/>
      <c r="U810" s="427"/>
      <c r="V810" s="428"/>
      <c r="W810" s="431"/>
      <c r="X810" s="3"/>
      <c r="Y810" s="429"/>
      <c r="Z810" s="430"/>
      <c r="AA810" s="430"/>
      <c r="AB810" s="430"/>
      <c r="AC810" s="424"/>
      <c r="AD810" s="424"/>
      <c r="AE810" s="424"/>
      <c r="AF810" s="424"/>
      <c r="AG810" s="424"/>
      <c r="AH810" s="424"/>
      <c r="AI810" s="424"/>
      <c r="AJ810" s="2"/>
      <c r="AK810" s="2"/>
      <c r="AL810" s="2"/>
      <c r="AM810" s="2"/>
      <c r="AN810" s="2"/>
      <c r="AO810" s="2"/>
      <c r="AP810" s="2"/>
      <c r="AQ810" s="427"/>
      <c r="AR810" s="754"/>
      <c r="AS810" s="427"/>
      <c r="AT810" s="754"/>
      <c r="AU810" s="427"/>
      <c r="AV810" s="427"/>
      <c r="AW810" s="427"/>
      <c r="AX810" s="427"/>
      <c r="AY810" s="754"/>
      <c r="AZ810" s="754"/>
      <c r="BA810" s="754"/>
      <c r="BB810" s="427"/>
      <c r="BC810" s="427"/>
      <c r="BD810" s="427"/>
      <c r="BE810" s="754"/>
      <c r="BF810" s="427"/>
      <c r="BG810" s="454"/>
      <c r="BH810" s="754"/>
      <c r="BI810" s="427"/>
      <c r="BJ810" s="427"/>
      <c r="BK810" s="427"/>
      <c r="BL810" s="427"/>
      <c r="BM810" s="454"/>
      <c r="BN810" s="427"/>
      <c r="BO810" s="427"/>
      <c r="BP810" s="427"/>
      <c r="BQ810" s="454"/>
      <c r="BR810" s="454"/>
      <c r="BS810" s="460"/>
      <c r="BT810" s="454"/>
      <c r="BU810" s="454"/>
      <c r="BV810" s="457"/>
      <c r="BW810" s="460"/>
      <c r="BX810" s="460"/>
      <c r="BY810" s="460"/>
      <c r="CA810" s="2"/>
      <c r="CB810" s="2"/>
      <c r="CC810" s="2"/>
      <c r="CD810" s="2"/>
      <c r="CE810" s="2"/>
      <c r="CF810" s="2"/>
      <c r="CG810" s="2"/>
      <c r="CH810" s="2"/>
      <c r="CI810" s="2"/>
      <c r="CJ810" s="2"/>
      <c r="CK810" s="2"/>
      <c r="CL810" s="2"/>
      <c r="CM810" s="2"/>
      <c r="CN810" s="2"/>
      <c r="CO810" s="427"/>
      <c r="CP810" s="427"/>
      <c r="CQ810" s="427"/>
      <c r="CR810" s="485"/>
      <c r="CS810" s="485"/>
      <c r="CT810" s="485"/>
      <c r="CU810" s="485"/>
      <c r="CV810" s="482"/>
      <c r="CW810" s="482"/>
      <c r="CX810" s="482"/>
      <c r="CY810" s="482"/>
      <c r="CZ810" s="485"/>
      <c r="DA810" s="485"/>
      <c r="DB810" s="485"/>
      <c r="DC810" s="485"/>
      <c r="DD810" s="485"/>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485"/>
      <c r="EX810" s="457"/>
      <c r="EY810" s="457"/>
      <c r="EZ810" s="457"/>
      <c r="FA810" s="457"/>
      <c r="FB810" s="457"/>
      <c r="FC810" s="457"/>
      <c r="FD810" s="457"/>
      <c r="FE810" s="457"/>
      <c r="FF810" s="457"/>
      <c r="FG810" s="457"/>
      <c r="FH810" s="457"/>
      <c r="FI810" s="457"/>
      <c r="FJ810" s="457"/>
      <c r="FK810" s="457"/>
    </row>
    <row r="811" spans="1:167" s="416" customFormat="1">
      <c r="A811" s="427"/>
      <c r="B811" s="427"/>
      <c r="C811" s="427"/>
      <c r="D811" s="427"/>
      <c r="E811" s="428"/>
      <c r="F811" s="429"/>
      <c r="G811" s="430"/>
      <c r="H811" s="427"/>
      <c r="I811" s="427"/>
      <c r="J811" s="427"/>
      <c r="K811" s="427"/>
      <c r="L811" s="427"/>
      <c r="M811" s="427"/>
      <c r="N811" s="427"/>
      <c r="O811" s="427"/>
      <c r="P811" s="427"/>
      <c r="Q811" s="427"/>
      <c r="R811" s="427"/>
      <c r="S811" s="427"/>
      <c r="T811" s="427"/>
      <c r="U811" s="427"/>
      <c r="V811" s="428"/>
      <c r="W811" s="431"/>
      <c r="X811" s="3"/>
      <c r="Y811" s="429"/>
      <c r="Z811" s="430"/>
      <c r="AA811" s="430"/>
      <c r="AB811" s="430"/>
      <c r="AC811" s="424"/>
      <c r="AD811" s="424"/>
      <c r="AE811" s="424"/>
      <c r="AF811" s="424"/>
      <c r="AG811" s="424"/>
      <c r="AH811" s="424"/>
      <c r="AI811" s="424"/>
      <c r="AJ811" s="2"/>
      <c r="AK811" s="2"/>
      <c r="AL811" s="2"/>
      <c r="AM811" s="2"/>
      <c r="AN811" s="2"/>
      <c r="AO811" s="2"/>
      <c r="AP811" s="2"/>
      <c r="AQ811" s="427"/>
      <c r="AR811" s="754"/>
      <c r="AS811" s="427"/>
      <c r="AT811" s="754"/>
      <c r="AU811" s="427"/>
      <c r="AV811" s="427"/>
      <c r="AW811" s="427"/>
      <c r="AX811" s="427"/>
      <c r="AY811" s="754"/>
      <c r="AZ811" s="754"/>
      <c r="BA811" s="754"/>
      <c r="BB811" s="427"/>
      <c r="BC811" s="427"/>
      <c r="BD811" s="427"/>
      <c r="BE811" s="754"/>
      <c r="BF811" s="427"/>
      <c r="BG811" s="454"/>
      <c r="BH811" s="754"/>
      <c r="BI811" s="427"/>
      <c r="BJ811" s="427"/>
      <c r="BK811" s="427"/>
      <c r="BL811" s="427"/>
      <c r="BM811" s="454"/>
      <c r="BN811" s="427"/>
      <c r="BO811" s="427"/>
      <c r="BP811" s="427"/>
      <c r="BQ811" s="454"/>
      <c r="BR811" s="454"/>
      <c r="BS811" s="460"/>
      <c r="BT811" s="454"/>
      <c r="BU811" s="454"/>
      <c r="BV811" s="457"/>
      <c r="BW811" s="460"/>
      <c r="BX811" s="460"/>
      <c r="BY811" s="460"/>
      <c r="CA811" s="2"/>
      <c r="CB811" s="2"/>
      <c r="CC811" s="2"/>
      <c r="CD811" s="2"/>
      <c r="CE811" s="2"/>
      <c r="CF811" s="2"/>
      <c r="CG811" s="2"/>
      <c r="CH811" s="2"/>
      <c r="CI811" s="2"/>
      <c r="CJ811" s="2"/>
      <c r="CK811" s="2"/>
      <c r="CL811" s="2"/>
      <c r="CM811" s="2"/>
      <c r="CN811" s="2"/>
      <c r="CO811" s="427"/>
      <c r="CP811" s="427"/>
      <c r="CQ811" s="427"/>
      <c r="CR811" s="485"/>
      <c r="CS811" s="485"/>
      <c r="CT811" s="485"/>
      <c r="CU811" s="485"/>
      <c r="CV811" s="482"/>
      <c r="CW811" s="482"/>
      <c r="CX811" s="482"/>
      <c r="CY811" s="482"/>
      <c r="CZ811" s="485"/>
      <c r="DA811" s="485"/>
      <c r="DB811" s="485"/>
      <c r="DC811" s="485"/>
      <c r="DD811" s="485"/>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485"/>
      <c r="EX811" s="457"/>
      <c r="EY811" s="457"/>
      <c r="EZ811" s="457"/>
      <c r="FA811" s="457"/>
      <c r="FB811" s="457"/>
      <c r="FC811" s="457"/>
      <c r="FD811" s="457"/>
      <c r="FE811" s="457"/>
      <c r="FF811" s="457"/>
      <c r="FG811" s="457"/>
      <c r="FH811" s="457"/>
      <c r="FI811" s="457"/>
      <c r="FJ811" s="457"/>
      <c r="FK811" s="457"/>
    </row>
    <row r="812" spans="1:167" s="416" customFormat="1">
      <c r="A812" s="427"/>
      <c r="B812" s="427"/>
      <c r="C812" s="427"/>
      <c r="D812" s="427"/>
      <c r="E812" s="428"/>
      <c r="F812" s="429"/>
      <c r="G812" s="430"/>
      <c r="H812" s="427"/>
      <c r="I812" s="427"/>
      <c r="J812" s="427"/>
      <c r="K812" s="427"/>
      <c r="L812" s="427"/>
      <c r="M812" s="427"/>
      <c r="N812" s="427"/>
      <c r="O812" s="427"/>
      <c r="P812" s="427"/>
      <c r="Q812" s="427"/>
      <c r="R812" s="427"/>
      <c r="S812" s="427"/>
      <c r="T812" s="427"/>
      <c r="U812" s="427"/>
      <c r="V812" s="428"/>
      <c r="W812" s="431"/>
      <c r="X812" s="3"/>
      <c r="Y812" s="429"/>
      <c r="Z812" s="430"/>
      <c r="AA812" s="430"/>
      <c r="AB812" s="430"/>
      <c r="AC812" s="424"/>
      <c r="AD812" s="424"/>
      <c r="AE812" s="424"/>
      <c r="AF812" s="424"/>
      <c r="AG812" s="424"/>
      <c r="AH812" s="424"/>
      <c r="AI812" s="424"/>
      <c r="AJ812" s="2"/>
      <c r="AK812" s="2"/>
      <c r="AL812" s="2"/>
      <c r="AM812" s="2"/>
      <c r="AN812" s="2"/>
      <c r="AO812" s="2"/>
      <c r="AP812" s="2"/>
      <c r="AQ812" s="427"/>
      <c r="AR812" s="754"/>
      <c r="AS812" s="427"/>
      <c r="AT812" s="754"/>
      <c r="AU812" s="427"/>
      <c r="AV812" s="427"/>
      <c r="AW812" s="427"/>
      <c r="AX812" s="427"/>
      <c r="AY812" s="754"/>
      <c r="AZ812" s="754"/>
      <c r="BA812" s="754"/>
      <c r="BB812" s="427"/>
      <c r="BC812" s="427"/>
      <c r="BD812" s="427"/>
      <c r="BE812" s="754"/>
      <c r="BF812" s="427"/>
      <c r="BG812" s="454"/>
      <c r="BH812" s="754"/>
      <c r="BI812" s="427"/>
      <c r="BJ812" s="427"/>
      <c r="BK812" s="427"/>
      <c r="BL812" s="427"/>
      <c r="BM812" s="454"/>
      <c r="BN812" s="427"/>
      <c r="BO812" s="427"/>
      <c r="BP812" s="427"/>
      <c r="BQ812" s="454"/>
      <c r="BR812" s="454"/>
      <c r="BS812" s="460"/>
      <c r="BT812" s="454"/>
      <c r="BU812" s="454"/>
      <c r="BV812" s="457"/>
      <c r="BW812" s="460"/>
      <c r="BX812" s="460"/>
      <c r="BY812" s="460"/>
      <c r="CA812" s="2"/>
      <c r="CB812" s="2"/>
      <c r="CC812" s="2"/>
      <c r="CD812" s="2"/>
      <c r="CE812" s="2"/>
      <c r="CF812" s="2"/>
      <c r="CG812" s="2"/>
      <c r="CH812" s="2"/>
      <c r="CI812" s="2"/>
      <c r="CJ812" s="2"/>
      <c r="CK812" s="2"/>
      <c r="CL812" s="2"/>
      <c r="CM812" s="2"/>
      <c r="CN812" s="2"/>
      <c r="CO812" s="427"/>
      <c r="CP812" s="427"/>
      <c r="CQ812" s="427"/>
      <c r="CR812" s="485"/>
      <c r="CS812" s="485"/>
      <c r="CT812" s="485"/>
      <c r="CU812" s="485"/>
      <c r="CV812" s="482"/>
      <c r="CW812" s="482"/>
      <c r="CX812" s="482"/>
      <c r="CY812" s="482"/>
      <c r="CZ812" s="485"/>
      <c r="DA812" s="485"/>
      <c r="DB812" s="485"/>
      <c r="DC812" s="485"/>
      <c r="DD812" s="485"/>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485"/>
      <c r="EX812" s="457"/>
      <c r="EY812" s="457"/>
      <c r="EZ812" s="457"/>
      <c r="FA812" s="457"/>
      <c r="FB812" s="457"/>
      <c r="FC812" s="457"/>
      <c r="FD812" s="457"/>
      <c r="FE812" s="457"/>
      <c r="FF812" s="457"/>
      <c r="FG812" s="457"/>
      <c r="FH812" s="457"/>
      <c r="FI812" s="457"/>
      <c r="FJ812" s="457"/>
      <c r="FK812" s="457"/>
    </row>
    <row r="813" spans="1:167" s="416" customFormat="1">
      <c r="A813" s="427"/>
      <c r="B813" s="427"/>
      <c r="C813" s="427"/>
      <c r="D813" s="427"/>
      <c r="E813" s="428"/>
      <c r="F813" s="429"/>
      <c r="G813" s="430"/>
      <c r="H813" s="427"/>
      <c r="I813" s="427"/>
      <c r="J813" s="427"/>
      <c r="K813" s="427"/>
      <c r="L813" s="427"/>
      <c r="M813" s="427"/>
      <c r="N813" s="427"/>
      <c r="O813" s="427"/>
      <c r="P813" s="427"/>
      <c r="Q813" s="427"/>
      <c r="R813" s="427"/>
      <c r="S813" s="427"/>
      <c r="T813" s="427"/>
      <c r="U813" s="427"/>
      <c r="V813" s="428"/>
      <c r="W813" s="431"/>
      <c r="X813" s="3"/>
      <c r="Y813" s="429"/>
      <c r="Z813" s="430"/>
      <c r="AA813" s="430"/>
      <c r="AB813" s="430"/>
      <c r="AC813" s="424"/>
      <c r="AD813" s="424"/>
      <c r="AE813" s="424"/>
      <c r="AF813" s="424"/>
      <c r="AG813" s="424"/>
      <c r="AH813" s="424"/>
      <c r="AI813" s="424"/>
      <c r="AJ813" s="2"/>
      <c r="AK813" s="2"/>
      <c r="AL813" s="2"/>
      <c r="AM813" s="2"/>
      <c r="AN813" s="2"/>
      <c r="AO813" s="2"/>
      <c r="AP813" s="2"/>
      <c r="AQ813" s="427"/>
      <c r="AR813" s="754"/>
      <c r="AS813" s="427"/>
      <c r="AT813" s="754"/>
      <c r="AU813" s="427"/>
      <c r="AV813" s="427"/>
      <c r="AW813" s="427"/>
      <c r="AX813" s="427"/>
      <c r="AY813" s="754"/>
      <c r="AZ813" s="754"/>
      <c r="BA813" s="754"/>
      <c r="BB813" s="427"/>
      <c r="BC813" s="427"/>
      <c r="BD813" s="427"/>
      <c r="BE813" s="754"/>
      <c r="BF813" s="427"/>
      <c r="BG813" s="454"/>
      <c r="BH813" s="754"/>
      <c r="BI813" s="427"/>
      <c r="BJ813" s="427"/>
      <c r="BK813" s="427"/>
      <c r="BL813" s="427"/>
      <c r="BM813" s="454"/>
      <c r="BN813" s="427"/>
      <c r="BO813" s="427"/>
      <c r="BP813" s="427"/>
      <c r="BQ813" s="454"/>
      <c r="BR813" s="454"/>
      <c r="BS813" s="460"/>
      <c r="BT813" s="454"/>
      <c r="BU813" s="454"/>
      <c r="BV813" s="457"/>
      <c r="BW813" s="460"/>
      <c r="BX813" s="460"/>
      <c r="BY813" s="460"/>
      <c r="CA813" s="2"/>
      <c r="CB813" s="2"/>
      <c r="CC813" s="2"/>
      <c r="CD813" s="2"/>
      <c r="CE813" s="2"/>
      <c r="CF813" s="2"/>
      <c r="CG813" s="2"/>
      <c r="CH813" s="2"/>
      <c r="CI813" s="2"/>
      <c r="CJ813" s="2"/>
      <c r="CK813" s="2"/>
      <c r="CL813" s="2"/>
      <c r="CM813" s="2"/>
      <c r="CN813" s="2"/>
      <c r="CO813" s="427"/>
      <c r="CP813" s="427"/>
      <c r="CQ813" s="427"/>
      <c r="CR813" s="485"/>
      <c r="CS813" s="485"/>
      <c r="CT813" s="485"/>
      <c r="CU813" s="485"/>
      <c r="CV813" s="482"/>
      <c r="CW813" s="482"/>
      <c r="CX813" s="482"/>
      <c r="CY813" s="482"/>
      <c r="CZ813" s="485"/>
      <c r="DA813" s="485"/>
      <c r="DB813" s="485"/>
      <c r="DC813" s="485"/>
      <c r="DD813" s="485"/>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485"/>
      <c r="EX813" s="457"/>
      <c r="EY813" s="457"/>
      <c r="EZ813" s="457"/>
      <c r="FA813" s="457"/>
      <c r="FB813" s="457"/>
      <c r="FC813" s="457"/>
      <c r="FD813" s="457"/>
      <c r="FE813" s="457"/>
      <c r="FF813" s="457"/>
      <c r="FG813" s="457"/>
      <c r="FH813" s="457"/>
      <c r="FI813" s="457"/>
      <c r="FJ813" s="457"/>
      <c r="FK813" s="457"/>
    </row>
    <row r="814" spans="1:167" s="416" customFormat="1">
      <c r="A814" s="427"/>
      <c r="B814" s="427"/>
      <c r="C814" s="427"/>
      <c r="D814" s="427"/>
      <c r="E814" s="428"/>
      <c r="F814" s="429"/>
      <c r="G814" s="430"/>
      <c r="H814" s="427"/>
      <c r="I814" s="427"/>
      <c r="J814" s="427"/>
      <c r="K814" s="427"/>
      <c r="L814" s="427"/>
      <c r="M814" s="427"/>
      <c r="N814" s="427"/>
      <c r="O814" s="427"/>
      <c r="P814" s="427"/>
      <c r="Q814" s="427"/>
      <c r="R814" s="427"/>
      <c r="S814" s="427"/>
      <c r="T814" s="427"/>
      <c r="U814" s="427"/>
      <c r="V814" s="428"/>
      <c r="W814" s="431"/>
      <c r="X814" s="3"/>
      <c r="Y814" s="429"/>
      <c r="Z814" s="430"/>
      <c r="AA814" s="430"/>
      <c r="AB814" s="430"/>
      <c r="AC814" s="424"/>
      <c r="AD814" s="424"/>
      <c r="AE814" s="424"/>
      <c r="AF814" s="424"/>
      <c r="AG814" s="424"/>
      <c r="AH814" s="424"/>
      <c r="AI814" s="424"/>
      <c r="AJ814" s="2"/>
      <c r="AK814" s="2"/>
      <c r="AL814" s="2"/>
      <c r="AM814" s="2"/>
      <c r="AN814" s="2"/>
      <c r="AO814" s="2"/>
      <c r="AP814" s="2"/>
      <c r="AQ814" s="427"/>
      <c r="AR814" s="754"/>
      <c r="AS814" s="427"/>
      <c r="AT814" s="754"/>
      <c r="AU814" s="427"/>
      <c r="AV814" s="427"/>
      <c r="AW814" s="427"/>
      <c r="AX814" s="427"/>
      <c r="AY814" s="754"/>
      <c r="AZ814" s="754"/>
      <c r="BA814" s="754"/>
      <c r="BB814" s="427"/>
      <c r="BC814" s="427"/>
      <c r="BD814" s="427"/>
      <c r="BE814" s="754"/>
      <c r="BF814" s="427"/>
      <c r="BG814" s="454"/>
      <c r="BH814" s="754"/>
      <c r="BI814" s="427"/>
      <c r="BJ814" s="427"/>
      <c r="BK814" s="427"/>
      <c r="BL814" s="427"/>
      <c r="BM814" s="454"/>
      <c r="BN814" s="427"/>
      <c r="BO814" s="427"/>
      <c r="BP814" s="427"/>
      <c r="BQ814" s="454"/>
      <c r="BR814" s="454"/>
      <c r="BS814" s="460"/>
      <c r="BT814" s="454"/>
      <c r="BU814" s="454"/>
      <c r="BV814" s="457"/>
      <c r="BW814" s="460"/>
      <c r="BX814" s="460"/>
      <c r="BY814" s="460"/>
      <c r="CA814" s="2"/>
      <c r="CB814" s="2"/>
      <c r="CC814" s="2"/>
      <c r="CD814" s="2"/>
      <c r="CE814" s="2"/>
      <c r="CF814" s="2"/>
      <c r="CG814" s="2"/>
      <c r="CH814" s="2"/>
      <c r="CI814" s="2"/>
      <c r="CJ814" s="2"/>
      <c r="CK814" s="2"/>
      <c r="CL814" s="2"/>
      <c r="CM814" s="2"/>
      <c r="CN814" s="2"/>
      <c r="CO814" s="427"/>
      <c r="CP814" s="427"/>
      <c r="CQ814" s="427"/>
      <c r="CR814" s="485"/>
      <c r="CS814" s="485"/>
      <c r="CT814" s="485"/>
      <c r="CU814" s="485"/>
      <c r="CV814" s="482"/>
      <c r="CW814" s="482"/>
      <c r="CX814" s="482"/>
      <c r="CY814" s="482"/>
      <c r="CZ814" s="485"/>
      <c r="DA814" s="485"/>
      <c r="DB814" s="485"/>
      <c r="DC814" s="485"/>
      <c r="DD814" s="485"/>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485"/>
      <c r="EX814" s="457"/>
      <c r="EY814" s="457"/>
      <c r="EZ814" s="457"/>
      <c r="FA814" s="457"/>
      <c r="FB814" s="457"/>
      <c r="FC814" s="457"/>
      <c r="FD814" s="457"/>
      <c r="FE814" s="457"/>
      <c r="FF814" s="457"/>
      <c r="FG814" s="457"/>
      <c r="FH814" s="457"/>
      <c r="FI814" s="457"/>
      <c r="FJ814" s="457"/>
      <c r="FK814" s="457"/>
    </row>
    <row r="815" spans="1:167" s="416" customFormat="1">
      <c r="A815" s="427"/>
      <c r="B815" s="427"/>
      <c r="C815" s="427"/>
      <c r="D815" s="427"/>
      <c r="E815" s="428"/>
      <c r="F815" s="429"/>
      <c r="G815" s="430"/>
      <c r="H815" s="427"/>
      <c r="I815" s="427"/>
      <c r="J815" s="427"/>
      <c r="K815" s="427"/>
      <c r="L815" s="427"/>
      <c r="M815" s="427"/>
      <c r="N815" s="427"/>
      <c r="O815" s="427"/>
      <c r="P815" s="427"/>
      <c r="Q815" s="427"/>
      <c r="R815" s="427"/>
      <c r="S815" s="427"/>
      <c r="T815" s="427"/>
      <c r="U815" s="427"/>
      <c r="V815" s="428"/>
      <c r="W815" s="431"/>
      <c r="X815" s="3"/>
      <c r="Y815" s="429"/>
      <c r="Z815" s="430"/>
      <c r="AA815" s="430"/>
      <c r="AB815" s="430"/>
      <c r="AC815" s="424"/>
      <c r="AD815" s="424"/>
      <c r="AE815" s="424"/>
      <c r="AF815" s="424"/>
      <c r="AG815" s="424"/>
      <c r="AH815" s="424"/>
      <c r="AI815" s="424"/>
      <c r="AJ815" s="2"/>
      <c r="AK815" s="2"/>
      <c r="AL815" s="2"/>
      <c r="AM815" s="2"/>
      <c r="AN815" s="2"/>
      <c r="AO815" s="2"/>
      <c r="AP815" s="2"/>
      <c r="AQ815" s="427"/>
      <c r="AR815" s="754"/>
      <c r="AS815" s="427"/>
      <c r="AT815" s="754"/>
      <c r="AU815" s="427"/>
      <c r="AV815" s="427"/>
      <c r="AW815" s="427"/>
      <c r="AX815" s="427"/>
      <c r="AY815" s="754"/>
      <c r="AZ815" s="754"/>
      <c r="BA815" s="754"/>
      <c r="BB815" s="427"/>
      <c r="BC815" s="427"/>
      <c r="BD815" s="427"/>
      <c r="BE815" s="754"/>
      <c r="BF815" s="427"/>
      <c r="BG815" s="454"/>
      <c r="BH815" s="754"/>
      <c r="BI815" s="427"/>
      <c r="BJ815" s="427"/>
      <c r="BK815" s="427"/>
      <c r="BL815" s="427"/>
      <c r="BM815" s="454"/>
      <c r="BN815" s="427"/>
      <c r="BO815" s="427"/>
      <c r="BP815" s="427"/>
      <c r="BQ815" s="454"/>
      <c r="BR815" s="454"/>
      <c r="BS815" s="460"/>
      <c r="BT815" s="454"/>
      <c r="BU815" s="454"/>
      <c r="BV815" s="457"/>
      <c r="BW815" s="460"/>
      <c r="BX815" s="460"/>
      <c r="BY815" s="460"/>
      <c r="CA815" s="2"/>
      <c r="CB815" s="2"/>
      <c r="CC815" s="2"/>
      <c r="CD815" s="2"/>
      <c r="CE815" s="2"/>
      <c r="CF815" s="2"/>
      <c r="CG815" s="2"/>
      <c r="CH815" s="2"/>
      <c r="CI815" s="2"/>
      <c r="CJ815" s="2"/>
      <c r="CK815" s="2"/>
      <c r="CL815" s="2"/>
      <c r="CM815" s="2"/>
      <c r="CN815" s="2"/>
      <c r="CO815" s="427"/>
      <c r="CP815" s="427"/>
      <c r="CQ815" s="427"/>
      <c r="CR815" s="485"/>
      <c r="CS815" s="485"/>
      <c r="CT815" s="485"/>
      <c r="CU815" s="485"/>
      <c r="CV815" s="482"/>
      <c r="CW815" s="482"/>
      <c r="CX815" s="482"/>
      <c r="CY815" s="482"/>
      <c r="CZ815" s="485"/>
      <c r="DA815" s="485"/>
      <c r="DB815" s="485"/>
      <c r="DC815" s="485"/>
      <c r="DD815" s="485"/>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485"/>
      <c r="EX815" s="457"/>
      <c r="EY815" s="457"/>
      <c r="EZ815" s="457"/>
      <c r="FA815" s="457"/>
      <c r="FB815" s="457"/>
      <c r="FC815" s="457"/>
      <c r="FD815" s="457"/>
      <c r="FE815" s="457"/>
      <c r="FF815" s="457"/>
      <c r="FG815" s="457"/>
      <c r="FH815" s="457"/>
      <c r="FI815" s="457"/>
      <c r="FJ815" s="457"/>
      <c r="FK815" s="457"/>
    </row>
    <row r="816" spans="1:167" s="416" customFormat="1">
      <c r="A816" s="427"/>
      <c r="B816" s="427"/>
      <c r="C816" s="427"/>
      <c r="D816" s="427"/>
      <c r="E816" s="428"/>
      <c r="F816" s="429"/>
      <c r="G816" s="430"/>
      <c r="H816" s="427"/>
      <c r="I816" s="427"/>
      <c r="J816" s="427"/>
      <c r="K816" s="427"/>
      <c r="L816" s="427"/>
      <c r="M816" s="427"/>
      <c r="N816" s="427"/>
      <c r="O816" s="427"/>
      <c r="P816" s="427"/>
      <c r="Q816" s="427"/>
      <c r="R816" s="427"/>
      <c r="S816" s="427"/>
      <c r="T816" s="427"/>
      <c r="U816" s="427"/>
      <c r="V816" s="428"/>
      <c r="W816" s="431"/>
      <c r="X816" s="3"/>
      <c r="Y816" s="429"/>
      <c r="Z816" s="430"/>
      <c r="AA816" s="430"/>
      <c r="AB816" s="430"/>
      <c r="AC816" s="424"/>
      <c r="AD816" s="424"/>
      <c r="AE816" s="424"/>
      <c r="AF816" s="424"/>
      <c r="AG816" s="424"/>
      <c r="AH816" s="424"/>
      <c r="AI816" s="424"/>
      <c r="AJ816" s="2"/>
      <c r="AK816" s="2"/>
      <c r="AL816" s="2"/>
      <c r="AM816" s="2"/>
      <c r="AN816" s="2"/>
      <c r="AO816" s="2"/>
      <c r="AP816" s="2"/>
      <c r="AQ816" s="427"/>
      <c r="AR816" s="754"/>
      <c r="AS816" s="427"/>
      <c r="AT816" s="754"/>
      <c r="AU816" s="427"/>
      <c r="AV816" s="427"/>
      <c r="AW816" s="427"/>
      <c r="AX816" s="427"/>
      <c r="AY816" s="754"/>
      <c r="AZ816" s="754"/>
      <c r="BA816" s="754"/>
      <c r="BB816" s="427"/>
      <c r="BC816" s="427"/>
      <c r="BD816" s="427"/>
      <c r="BE816" s="754"/>
      <c r="BF816" s="427"/>
      <c r="BG816" s="454"/>
      <c r="BH816" s="754"/>
      <c r="BI816" s="427"/>
      <c r="BJ816" s="427"/>
      <c r="BK816" s="427"/>
      <c r="BL816" s="427"/>
      <c r="BM816" s="454"/>
      <c r="BN816" s="427"/>
      <c r="BO816" s="427"/>
      <c r="BP816" s="427"/>
      <c r="BQ816" s="454"/>
      <c r="BR816" s="454"/>
      <c r="BS816" s="460"/>
      <c r="BT816" s="454"/>
      <c r="BU816" s="454"/>
      <c r="BV816" s="457"/>
      <c r="BW816" s="460"/>
      <c r="BX816" s="460"/>
      <c r="BY816" s="460"/>
      <c r="CA816" s="2"/>
      <c r="CB816" s="2"/>
      <c r="CC816" s="2"/>
      <c r="CD816" s="2"/>
      <c r="CE816" s="2"/>
      <c r="CF816" s="2"/>
      <c r="CG816" s="2"/>
      <c r="CH816" s="2"/>
      <c r="CI816" s="2"/>
      <c r="CJ816" s="2"/>
      <c r="CK816" s="2"/>
      <c r="CL816" s="2"/>
      <c r="CM816" s="2"/>
      <c r="CN816" s="2"/>
      <c r="CO816" s="427"/>
      <c r="CP816" s="427"/>
      <c r="CQ816" s="427"/>
      <c r="CR816" s="485"/>
      <c r="CS816" s="485"/>
      <c r="CT816" s="485"/>
      <c r="CU816" s="485"/>
      <c r="CV816" s="482"/>
      <c r="CW816" s="482"/>
      <c r="CX816" s="482"/>
      <c r="CY816" s="482"/>
      <c r="CZ816" s="485"/>
      <c r="DA816" s="485"/>
      <c r="DB816" s="485"/>
      <c r="DC816" s="485"/>
      <c r="DD816" s="485"/>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485"/>
      <c r="EX816" s="457"/>
      <c r="EY816" s="457"/>
      <c r="EZ816" s="457"/>
      <c r="FA816" s="457"/>
      <c r="FB816" s="457"/>
      <c r="FC816" s="457"/>
      <c r="FD816" s="457"/>
      <c r="FE816" s="457"/>
      <c r="FF816" s="457"/>
      <c r="FG816" s="457"/>
      <c r="FH816" s="457"/>
      <c r="FI816" s="457"/>
      <c r="FJ816" s="457"/>
      <c r="FK816" s="457"/>
    </row>
    <row r="817" spans="1:167" s="416" customFormat="1">
      <c r="A817" s="427"/>
      <c r="B817" s="427"/>
      <c r="C817" s="427"/>
      <c r="D817" s="427"/>
      <c r="E817" s="428"/>
      <c r="F817" s="429"/>
      <c r="G817" s="430"/>
      <c r="H817" s="427"/>
      <c r="I817" s="427"/>
      <c r="J817" s="427"/>
      <c r="K817" s="427"/>
      <c r="L817" s="427"/>
      <c r="M817" s="427"/>
      <c r="N817" s="427"/>
      <c r="O817" s="427"/>
      <c r="P817" s="427"/>
      <c r="Q817" s="427"/>
      <c r="R817" s="427"/>
      <c r="S817" s="427"/>
      <c r="T817" s="427"/>
      <c r="U817" s="427"/>
      <c r="V817" s="428"/>
      <c r="W817" s="431"/>
      <c r="X817" s="3"/>
      <c r="Y817" s="429"/>
      <c r="Z817" s="430"/>
      <c r="AA817" s="430"/>
      <c r="AB817" s="430"/>
      <c r="AC817" s="424"/>
      <c r="AD817" s="424"/>
      <c r="AE817" s="424"/>
      <c r="AF817" s="424"/>
      <c r="AG817" s="424"/>
      <c r="AH817" s="424"/>
      <c r="AI817" s="424"/>
      <c r="AJ817" s="2"/>
      <c r="AK817" s="2"/>
      <c r="AL817" s="2"/>
      <c r="AM817" s="2"/>
      <c r="AN817" s="2"/>
      <c r="AO817" s="2"/>
      <c r="AP817" s="2"/>
      <c r="AQ817" s="427"/>
      <c r="AR817" s="754"/>
      <c r="AS817" s="427"/>
      <c r="AT817" s="754"/>
      <c r="AU817" s="427"/>
      <c r="AV817" s="427"/>
      <c r="AW817" s="427"/>
      <c r="AX817" s="427"/>
      <c r="AY817" s="754"/>
      <c r="AZ817" s="754"/>
      <c r="BA817" s="754"/>
      <c r="BB817" s="427"/>
      <c r="BC817" s="427"/>
      <c r="BD817" s="427"/>
      <c r="BE817" s="754"/>
      <c r="BF817" s="427"/>
      <c r="BG817" s="454"/>
      <c r="BH817" s="754"/>
      <c r="BI817" s="427"/>
      <c r="BJ817" s="427"/>
      <c r="BK817" s="427"/>
      <c r="BL817" s="427"/>
      <c r="BM817" s="454"/>
      <c r="BN817" s="427"/>
      <c r="BO817" s="427"/>
      <c r="BP817" s="427"/>
      <c r="BQ817" s="454"/>
      <c r="BR817" s="454"/>
      <c r="BS817" s="460"/>
      <c r="BT817" s="454"/>
      <c r="BU817" s="454"/>
      <c r="BV817" s="457"/>
      <c r="BW817" s="460"/>
      <c r="BX817" s="460"/>
      <c r="BY817" s="460"/>
      <c r="CA817" s="2"/>
      <c r="CB817" s="2"/>
      <c r="CC817" s="2"/>
      <c r="CD817" s="2"/>
      <c r="CE817" s="2"/>
      <c r="CF817" s="2"/>
      <c r="CG817" s="2"/>
      <c r="CH817" s="2"/>
      <c r="CI817" s="2"/>
      <c r="CJ817" s="2"/>
      <c r="CK817" s="2"/>
      <c r="CL817" s="2"/>
      <c r="CM817" s="2"/>
      <c r="CN817" s="2"/>
      <c r="CO817" s="427"/>
      <c r="CP817" s="427"/>
      <c r="CQ817" s="427"/>
      <c r="CR817" s="485"/>
      <c r="CS817" s="485"/>
      <c r="CT817" s="485"/>
      <c r="CU817" s="485"/>
      <c r="CV817" s="482"/>
      <c r="CW817" s="482"/>
      <c r="CX817" s="482"/>
      <c r="CY817" s="482"/>
      <c r="CZ817" s="485"/>
      <c r="DA817" s="485"/>
      <c r="DB817" s="485"/>
      <c r="DC817" s="485"/>
      <c r="DD817" s="485"/>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485"/>
      <c r="EX817" s="457"/>
      <c r="EY817" s="457"/>
      <c r="EZ817" s="457"/>
      <c r="FA817" s="457"/>
      <c r="FB817" s="457"/>
      <c r="FC817" s="457"/>
      <c r="FD817" s="457"/>
      <c r="FE817" s="457"/>
      <c r="FF817" s="457"/>
      <c r="FG817" s="457"/>
      <c r="FH817" s="457"/>
      <c r="FI817" s="457"/>
      <c r="FJ817" s="457"/>
      <c r="FK817" s="457"/>
    </row>
    <row r="818" spans="1:167" s="416" customFormat="1">
      <c r="A818" s="427"/>
      <c r="B818" s="427"/>
      <c r="C818" s="427"/>
      <c r="D818" s="427"/>
      <c r="E818" s="428"/>
      <c r="F818" s="429"/>
      <c r="G818" s="430"/>
      <c r="H818" s="427"/>
      <c r="I818" s="427"/>
      <c r="J818" s="427"/>
      <c r="K818" s="427"/>
      <c r="L818" s="427"/>
      <c r="M818" s="427"/>
      <c r="N818" s="427"/>
      <c r="O818" s="427"/>
      <c r="P818" s="427"/>
      <c r="Q818" s="427"/>
      <c r="R818" s="427"/>
      <c r="S818" s="427"/>
      <c r="T818" s="427"/>
      <c r="U818" s="427"/>
      <c r="V818" s="428"/>
      <c r="W818" s="431"/>
      <c r="X818" s="3"/>
      <c r="Y818" s="429"/>
      <c r="Z818" s="430"/>
      <c r="AA818" s="430"/>
      <c r="AB818" s="430"/>
      <c r="AC818" s="424"/>
      <c r="AD818" s="424"/>
      <c r="AE818" s="424"/>
      <c r="AF818" s="424"/>
      <c r="AG818" s="424"/>
      <c r="AH818" s="424"/>
      <c r="AI818" s="424"/>
      <c r="AJ818" s="2"/>
      <c r="AK818" s="2"/>
      <c r="AL818" s="2"/>
      <c r="AM818" s="2"/>
      <c r="AN818" s="2"/>
      <c r="AO818" s="2"/>
      <c r="AP818" s="2"/>
      <c r="AQ818" s="427"/>
      <c r="AR818" s="754"/>
      <c r="AS818" s="427"/>
      <c r="AT818" s="754"/>
      <c r="AU818" s="427"/>
      <c r="AV818" s="427"/>
      <c r="AW818" s="427"/>
      <c r="AX818" s="427"/>
      <c r="AY818" s="754"/>
      <c r="AZ818" s="754"/>
      <c r="BA818" s="754"/>
      <c r="BB818" s="427"/>
      <c r="BC818" s="427"/>
      <c r="BD818" s="427"/>
      <c r="BE818" s="754"/>
      <c r="BF818" s="427"/>
      <c r="BG818" s="454"/>
      <c r="BH818" s="754"/>
      <c r="BI818" s="427"/>
      <c r="BJ818" s="427"/>
      <c r="BK818" s="427"/>
      <c r="BL818" s="427"/>
      <c r="BM818" s="454"/>
      <c r="BN818" s="427"/>
      <c r="BO818" s="427"/>
      <c r="BP818" s="427"/>
      <c r="BQ818" s="454"/>
      <c r="BR818" s="454"/>
      <c r="BS818" s="460"/>
      <c r="BT818" s="454"/>
      <c r="BU818" s="454"/>
      <c r="BV818" s="457"/>
      <c r="BW818" s="460"/>
      <c r="BX818" s="460"/>
      <c r="BY818" s="460"/>
      <c r="CA818" s="2"/>
      <c r="CB818" s="2"/>
      <c r="CC818" s="2"/>
      <c r="CD818" s="2"/>
      <c r="CE818" s="2"/>
      <c r="CF818" s="2"/>
      <c r="CG818" s="2"/>
      <c r="CH818" s="2"/>
      <c r="CI818" s="2"/>
      <c r="CJ818" s="2"/>
      <c r="CK818" s="2"/>
      <c r="CL818" s="2"/>
      <c r="CM818" s="2"/>
      <c r="CN818" s="2"/>
      <c r="CO818" s="427"/>
      <c r="CP818" s="427"/>
      <c r="CQ818" s="427"/>
      <c r="CR818" s="485"/>
      <c r="CS818" s="485"/>
      <c r="CT818" s="485"/>
      <c r="CU818" s="485"/>
      <c r="CV818" s="482"/>
      <c r="CW818" s="482"/>
      <c r="CX818" s="482"/>
      <c r="CY818" s="482"/>
      <c r="CZ818" s="485"/>
      <c r="DA818" s="485"/>
      <c r="DB818" s="485"/>
      <c r="DC818" s="485"/>
      <c r="DD818" s="485"/>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485"/>
      <c r="EX818" s="457"/>
      <c r="EY818" s="457"/>
      <c r="EZ818" s="457"/>
      <c r="FA818" s="457"/>
      <c r="FB818" s="457"/>
      <c r="FC818" s="457"/>
      <c r="FD818" s="457"/>
      <c r="FE818" s="457"/>
      <c r="FF818" s="457"/>
      <c r="FG818" s="457"/>
      <c r="FH818" s="457"/>
      <c r="FI818" s="457"/>
      <c r="FJ818" s="457"/>
      <c r="FK818" s="457"/>
    </row>
    <row r="819" spans="1:167" s="416" customFormat="1">
      <c r="A819" s="427"/>
      <c r="B819" s="427"/>
      <c r="C819" s="427"/>
      <c r="D819" s="427"/>
      <c r="E819" s="428"/>
      <c r="F819" s="429"/>
      <c r="G819" s="430"/>
      <c r="H819" s="427"/>
      <c r="I819" s="427"/>
      <c r="J819" s="427"/>
      <c r="K819" s="427"/>
      <c r="L819" s="427"/>
      <c r="M819" s="427"/>
      <c r="N819" s="427"/>
      <c r="O819" s="427"/>
      <c r="P819" s="427"/>
      <c r="Q819" s="427"/>
      <c r="R819" s="427"/>
      <c r="S819" s="427"/>
      <c r="T819" s="427"/>
      <c r="U819" s="427"/>
      <c r="V819" s="428"/>
      <c r="W819" s="431"/>
      <c r="X819" s="3"/>
      <c r="Y819" s="429"/>
      <c r="Z819" s="430"/>
      <c r="AA819" s="430"/>
      <c r="AB819" s="430"/>
      <c r="AC819" s="424"/>
      <c r="AD819" s="424"/>
      <c r="AE819" s="424"/>
      <c r="AF819" s="424"/>
      <c r="AG819" s="424"/>
      <c r="AH819" s="424"/>
      <c r="AI819" s="424"/>
      <c r="AJ819" s="2"/>
      <c r="AK819" s="2"/>
      <c r="AL819" s="2"/>
      <c r="AM819" s="2"/>
      <c r="AN819" s="2"/>
      <c r="AO819" s="2"/>
      <c r="AP819" s="2"/>
      <c r="AQ819" s="427"/>
      <c r="AR819" s="754"/>
      <c r="AS819" s="427"/>
      <c r="AT819" s="754"/>
      <c r="AU819" s="427"/>
      <c r="AV819" s="427"/>
      <c r="AW819" s="427"/>
      <c r="AX819" s="427"/>
      <c r="AY819" s="754"/>
      <c r="AZ819" s="754"/>
      <c r="BA819" s="754"/>
      <c r="BB819" s="427"/>
      <c r="BC819" s="427"/>
      <c r="BD819" s="427"/>
      <c r="BE819" s="754"/>
      <c r="BF819" s="427"/>
      <c r="BG819" s="454"/>
      <c r="BH819" s="754"/>
      <c r="BI819" s="427"/>
      <c r="BJ819" s="427"/>
      <c r="BK819" s="427"/>
      <c r="BL819" s="427"/>
      <c r="BM819" s="454"/>
      <c r="BN819" s="427"/>
      <c r="BO819" s="427"/>
      <c r="BP819" s="427"/>
      <c r="BQ819" s="454"/>
      <c r="BR819" s="454"/>
      <c r="BS819" s="460"/>
      <c r="BT819" s="454"/>
      <c r="BU819" s="454"/>
      <c r="BV819" s="457"/>
      <c r="BW819" s="460"/>
      <c r="BX819" s="460"/>
      <c r="BY819" s="460"/>
      <c r="CA819" s="2"/>
      <c r="CB819" s="2"/>
      <c r="CC819" s="2"/>
      <c r="CD819" s="2"/>
      <c r="CE819" s="2"/>
      <c r="CF819" s="2"/>
      <c r="CG819" s="2"/>
      <c r="CH819" s="2"/>
      <c r="CI819" s="2"/>
      <c r="CJ819" s="2"/>
      <c r="CK819" s="2"/>
      <c r="CL819" s="2"/>
      <c r="CM819" s="2"/>
      <c r="CN819" s="2"/>
      <c r="CO819" s="427"/>
      <c r="CP819" s="427"/>
      <c r="CQ819" s="427"/>
      <c r="CR819" s="485"/>
      <c r="CS819" s="485"/>
      <c r="CT819" s="485"/>
      <c r="CU819" s="485"/>
      <c r="CV819" s="482"/>
      <c r="CW819" s="482"/>
      <c r="CX819" s="482"/>
      <c r="CY819" s="482"/>
      <c r="CZ819" s="485"/>
      <c r="DA819" s="485"/>
      <c r="DB819" s="485"/>
      <c r="DC819" s="485"/>
      <c r="DD819" s="485"/>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485"/>
      <c r="EX819" s="457"/>
      <c r="EY819" s="457"/>
      <c r="EZ819" s="457"/>
      <c r="FA819" s="457"/>
      <c r="FB819" s="457"/>
      <c r="FC819" s="457"/>
      <c r="FD819" s="457"/>
      <c r="FE819" s="457"/>
      <c r="FF819" s="457"/>
      <c r="FG819" s="457"/>
      <c r="FH819" s="457"/>
      <c r="FI819" s="457"/>
      <c r="FJ819" s="457"/>
      <c r="FK819" s="457"/>
    </row>
    <row r="820" spans="1:167" s="416" customFormat="1">
      <c r="A820" s="427"/>
      <c r="B820" s="427"/>
      <c r="C820" s="427"/>
      <c r="D820" s="427"/>
      <c r="E820" s="428"/>
      <c r="F820" s="429"/>
      <c r="G820" s="430"/>
      <c r="H820" s="427"/>
      <c r="I820" s="427"/>
      <c r="J820" s="427"/>
      <c r="K820" s="427"/>
      <c r="L820" s="427"/>
      <c r="M820" s="427"/>
      <c r="N820" s="427"/>
      <c r="O820" s="427"/>
      <c r="P820" s="427"/>
      <c r="Q820" s="427"/>
      <c r="R820" s="427"/>
      <c r="S820" s="427"/>
      <c r="T820" s="427"/>
      <c r="U820" s="427"/>
      <c r="V820" s="428"/>
      <c r="W820" s="431"/>
      <c r="X820" s="3"/>
      <c r="Y820" s="429"/>
      <c r="Z820" s="430"/>
      <c r="AA820" s="430"/>
      <c r="AB820" s="430"/>
      <c r="AC820" s="424"/>
      <c r="AD820" s="424"/>
      <c r="AE820" s="424"/>
      <c r="AF820" s="424"/>
      <c r="AG820" s="424"/>
      <c r="AH820" s="424"/>
      <c r="AI820" s="424"/>
      <c r="AJ820" s="2"/>
      <c r="AK820" s="2"/>
      <c r="AL820" s="2"/>
      <c r="AM820" s="2"/>
      <c r="AN820" s="2"/>
      <c r="AO820" s="2"/>
      <c r="AP820" s="2"/>
      <c r="AQ820" s="427"/>
      <c r="AR820" s="754"/>
      <c r="AS820" s="427"/>
      <c r="AT820" s="754"/>
      <c r="AU820" s="427"/>
      <c r="AV820" s="427"/>
      <c r="AW820" s="427"/>
      <c r="AX820" s="427"/>
      <c r="AY820" s="754"/>
      <c r="AZ820" s="754"/>
      <c r="BA820" s="754"/>
      <c r="BB820" s="427"/>
      <c r="BC820" s="427"/>
      <c r="BD820" s="427"/>
      <c r="BE820" s="754"/>
      <c r="BF820" s="427"/>
      <c r="BG820" s="454"/>
      <c r="BH820" s="754"/>
      <c r="BI820" s="427"/>
      <c r="BJ820" s="427"/>
      <c r="BK820" s="427"/>
      <c r="BL820" s="427"/>
      <c r="BM820" s="454"/>
      <c r="BN820" s="427"/>
      <c r="BO820" s="427"/>
      <c r="BP820" s="427"/>
      <c r="BQ820" s="454"/>
      <c r="BR820" s="454"/>
      <c r="BS820" s="460"/>
      <c r="BT820" s="454"/>
      <c r="BU820" s="454"/>
      <c r="BV820" s="457"/>
      <c r="BW820" s="460"/>
      <c r="BX820" s="460"/>
      <c r="BY820" s="460"/>
      <c r="CA820" s="2"/>
      <c r="CB820" s="2"/>
      <c r="CC820" s="2"/>
      <c r="CD820" s="2"/>
      <c r="CE820" s="2"/>
      <c r="CF820" s="2"/>
      <c r="CG820" s="2"/>
      <c r="CH820" s="2"/>
      <c r="CI820" s="2"/>
      <c r="CJ820" s="2"/>
      <c r="CK820" s="2"/>
      <c r="CL820" s="2"/>
      <c r="CM820" s="2"/>
      <c r="CN820" s="2"/>
      <c r="CO820" s="427"/>
      <c r="CP820" s="427"/>
      <c r="CQ820" s="427"/>
      <c r="CR820" s="485"/>
      <c r="CS820" s="485"/>
      <c r="CT820" s="485"/>
      <c r="CU820" s="485"/>
      <c r="CV820" s="482"/>
      <c r="CW820" s="482"/>
      <c r="CX820" s="482"/>
      <c r="CY820" s="482"/>
      <c r="CZ820" s="485"/>
      <c r="DA820" s="485"/>
      <c r="DB820" s="485"/>
      <c r="DC820" s="485"/>
      <c r="DD820" s="485"/>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485"/>
      <c r="EX820" s="457"/>
      <c r="EY820" s="457"/>
      <c r="EZ820" s="457"/>
      <c r="FA820" s="457"/>
      <c r="FB820" s="457"/>
      <c r="FC820" s="457"/>
      <c r="FD820" s="457"/>
      <c r="FE820" s="457"/>
      <c r="FF820" s="457"/>
      <c r="FG820" s="457"/>
      <c r="FH820" s="457"/>
      <c r="FI820" s="457"/>
      <c r="FJ820" s="457"/>
      <c r="FK820" s="457"/>
    </row>
    <row r="821" spans="1:167" s="416" customFormat="1">
      <c r="A821" s="427"/>
      <c r="B821" s="427"/>
      <c r="C821" s="427"/>
      <c r="D821" s="427"/>
      <c r="E821" s="428"/>
      <c r="F821" s="429"/>
      <c r="G821" s="430"/>
      <c r="H821" s="427"/>
      <c r="I821" s="427"/>
      <c r="J821" s="427"/>
      <c r="K821" s="427"/>
      <c r="L821" s="427"/>
      <c r="M821" s="427"/>
      <c r="N821" s="427"/>
      <c r="O821" s="427"/>
      <c r="P821" s="427"/>
      <c r="Q821" s="427"/>
      <c r="R821" s="427"/>
      <c r="S821" s="427"/>
      <c r="T821" s="427"/>
      <c r="U821" s="427"/>
      <c r="V821" s="428"/>
      <c r="W821" s="431"/>
      <c r="X821" s="3"/>
      <c r="Y821" s="429"/>
      <c r="Z821" s="430"/>
      <c r="AA821" s="430"/>
      <c r="AB821" s="430"/>
      <c r="AC821" s="424"/>
      <c r="AD821" s="424"/>
      <c r="AE821" s="424"/>
      <c r="AF821" s="424"/>
      <c r="AG821" s="424"/>
      <c r="AH821" s="424"/>
      <c r="AI821" s="424"/>
      <c r="AJ821" s="2"/>
      <c r="AK821" s="2"/>
      <c r="AL821" s="2"/>
      <c r="AM821" s="2"/>
      <c r="AN821" s="2"/>
      <c r="AO821" s="2"/>
      <c r="AP821" s="2"/>
      <c r="AQ821" s="427"/>
      <c r="AR821" s="754"/>
      <c r="AS821" s="427"/>
      <c r="AT821" s="754"/>
      <c r="AU821" s="427"/>
      <c r="AV821" s="427"/>
      <c r="AW821" s="427"/>
      <c r="AX821" s="427"/>
      <c r="AY821" s="754"/>
      <c r="AZ821" s="754"/>
      <c r="BA821" s="754"/>
      <c r="BB821" s="427"/>
      <c r="BC821" s="427"/>
      <c r="BD821" s="427"/>
      <c r="BE821" s="754"/>
      <c r="BF821" s="427"/>
      <c r="BG821" s="454"/>
      <c r="BH821" s="754"/>
      <c r="BI821" s="427"/>
      <c r="BJ821" s="427"/>
      <c r="BK821" s="427"/>
      <c r="BL821" s="427"/>
      <c r="BM821" s="454"/>
      <c r="BN821" s="427"/>
      <c r="BO821" s="427"/>
      <c r="BP821" s="427"/>
      <c r="BQ821" s="454"/>
      <c r="BR821" s="454"/>
      <c r="BS821" s="460"/>
      <c r="BT821" s="454"/>
      <c r="BU821" s="454"/>
      <c r="BV821" s="457"/>
      <c r="BW821" s="460"/>
      <c r="BX821" s="460"/>
      <c r="BY821" s="460"/>
      <c r="CA821" s="2"/>
      <c r="CB821" s="2"/>
      <c r="CC821" s="2"/>
      <c r="CD821" s="2"/>
      <c r="CE821" s="2"/>
      <c r="CF821" s="2"/>
      <c r="CG821" s="2"/>
      <c r="CH821" s="2"/>
      <c r="CI821" s="2"/>
      <c r="CJ821" s="2"/>
      <c r="CK821" s="2"/>
      <c r="CL821" s="2"/>
      <c r="CM821" s="2"/>
      <c r="CN821" s="2"/>
      <c r="CO821" s="427"/>
      <c r="CP821" s="427"/>
      <c r="CQ821" s="427"/>
      <c r="CR821" s="485"/>
      <c r="CS821" s="485"/>
      <c r="CT821" s="485"/>
      <c r="CU821" s="485"/>
      <c r="CV821" s="482"/>
      <c r="CW821" s="482"/>
      <c r="CX821" s="482"/>
      <c r="CY821" s="482"/>
      <c r="CZ821" s="485"/>
      <c r="DA821" s="485"/>
      <c r="DB821" s="485"/>
      <c r="DC821" s="485"/>
      <c r="DD821" s="485"/>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485"/>
      <c r="EX821" s="457"/>
      <c r="EY821" s="457"/>
      <c r="EZ821" s="457"/>
      <c r="FA821" s="457"/>
      <c r="FB821" s="457"/>
      <c r="FC821" s="457"/>
      <c r="FD821" s="457"/>
      <c r="FE821" s="457"/>
      <c r="FF821" s="457"/>
      <c r="FG821" s="457"/>
      <c r="FH821" s="457"/>
      <c r="FI821" s="457"/>
      <c r="FJ821" s="457"/>
      <c r="FK821" s="457"/>
    </row>
    <row r="822" spans="1:167" s="416" customFormat="1">
      <c r="A822" s="427"/>
      <c r="B822" s="427"/>
      <c r="C822" s="427"/>
      <c r="D822" s="427"/>
      <c r="E822" s="428"/>
      <c r="F822" s="429"/>
      <c r="G822" s="430"/>
      <c r="H822" s="427"/>
      <c r="I822" s="427"/>
      <c r="J822" s="427"/>
      <c r="K822" s="427"/>
      <c r="L822" s="427"/>
      <c r="M822" s="427"/>
      <c r="N822" s="427"/>
      <c r="O822" s="427"/>
      <c r="P822" s="427"/>
      <c r="Q822" s="427"/>
      <c r="R822" s="427"/>
      <c r="S822" s="427"/>
      <c r="T822" s="427"/>
      <c r="U822" s="427"/>
      <c r="V822" s="428"/>
      <c r="W822" s="431"/>
      <c r="X822" s="3"/>
      <c r="Y822" s="429"/>
      <c r="Z822" s="430"/>
      <c r="AA822" s="430"/>
      <c r="AB822" s="430"/>
      <c r="AC822" s="424"/>
      <c r="AD822" s="424"/>
      <c r="AE822" s="424"/>
      <c r="AF822" s="424"/>
      <c r="AG822" s="424"/>
      <c r="AH822" s="424"/>
      <c r="AI822" s="424"/>
      <c r="AJ822" s="2"/>
      <c r="AK822" s="2"/>
      <c r="AL822" s="2"/>
      <c r="AM822" s="2"/>
      <c r="AN822" s="2"/>
      <c r="AO822" s="2"/>
      <c r="AP822" s="2"/>
      <c r="AQ822" s="427"/>
      <c r="AR822" s="754"/>
      <c r="AS822" s="427"/>
      <c r="AT822" s="754"/>
      <c r="AU822" s="427"/>
      <c r="AV822" s="427"/>
      <c r="AW822" s="427"/>
      <c r="AX822" s="427"/>
      <c r="AY822" s="754"/>
      <c r="AZ822" s="754"/>
      <c r="BA822" s="754"/>
      <c r="BB822" s="427"/>
      <c r="BC822" s="427"/>
      <c r="BD822" s="427"/>
      <c r="BE822" s="754"/>
      <c r="BF822" s="427"/>
      <c r="BG822" s="454"/>
      <c r="BH822" s="754"/>
      <c r="BI822" s="427"/>
      <c r="BJ822" s="427"/>
      <c r="BK822" s="427"/>
      <c r="BL822" s="427"/>
      <c r="BM822" s="454"/>
      <c r="BN822" s="427"/>
      <c r="BO822" s="427"/>
      <c r="BP822" s="427"/>
      <c r="BQ822" s="454"/>
      <c r="BR822" s="454"/>
      <c r="BS822" s="460"/>
      <c r="BT822" s="454"/>
      <c r="BU822" s="454"/>
      <c r="BV822" s="457"/>
      <c r="BW822" s="460"/>
      <c r="BX822" s="460"/>
      <c r="BY822" s="460"/>
      <c r="CA822" s="2"/>
      <c r="CB822" s="2"/>
      <c r="CC822" s="2"/>
      <c r="CD822" s="2"/>
      <c r="CE822" s="2"/>
      <c r="CF822" s="2"/>
      <c r="CG822" s="2"/>
      <c r="CH822" s="2"/>
      <c r="CI822" s="2"/>
      <c r="CJ822" s="2"/>
      <c r="CK822" s="2"/>
      <c r="CL822" s="2"/>
      <c r="CM822" s="2"/>
      <c r="CN822" s="2"/>
      <c r="CO822" s="427"/>
      <c r="CP822" s="427"/>
      <c r="CQ822" s="427"/>
      <c r="CR822" s="485"/>
      <c r="CS822" s="485"/>
      <c r="CT822" s="485"/>
      <c r="CU822" s="485"/>
      <c r="CV822" s="482"/>
      <c r="CW822" s="482"/>
      <c r="CX822" s="482"/>
      <c r="CY822" s="482"/>
      <c r="CZ822" s="485"/>
      <c r="DA822" s="485"/>
      <c r="DB822" s="485"/>
      <c r="DC822" s="485"/>
      <c r="DD822" s="485"/>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485"/>
      <c r="EX822" s="457"/>
      <c r="EY822" s="457"/>
      <c r="EZ822" s="457"/>
      <c r="FA822" s="457"/>
      <c r="FB822" s="457"/>
      <c r="FC822" s="457"/>
      <c r="FD822" s="457"/>
      <c r="FE822" s="457"/>
      <c r="FF822" s="457"/>
      <c r="FG822" s="457"/>
      <c r="FH822" s="457"/>
      <c r="FI822" s="457"/>
      <c r="FJ822" s="457"/>
      <c r="FK822" s="457"/>
    </row>
    <row r="823" spans="1:167" s="416" customFormat="1">
      <c r="A823" s="427"/>
      <c r="B823" s="427"/>
      <c r="C823" s="427"/>
      <c r="D823" s="427"/>
      <c r="E823" s="428"/>
      <c r="F823" s="429"/>
      <c r="G823" s="430"/>
      <c r="H823" s="427"/>
      <c r="I823" s="427"/>
      <c r="J823" s="427"/>
      <c r="K823" s="427"/>
      <c r="L823" s="427"/>
      <c r="M823" s="427"/>
      <c r="N823" s="427"/>
      <c r="O823" s="427"/>
      <c r="P823" s="427"/>
      <c r="Q823" s="427"/>
      <c r="R823" s="427"/>
      <c r="S823" s="427"/>
      <c r="T823" s="427"/>
      <c r="U823" s="427"/>
      <c r="V823" s="428"/>
      <c r="W823" s="431"/>
      <c r="X823" s="3"/>
      <c r="Y823" s="429"/>
      <c r="Z823" s="430"/>
      <c r="AA823" s="430"/>
      <c r="AB823" s="430"/>
      <c r="AC823" s="424"/>
      <c r="AD823" s="424"/>
      <c r="AE823" s="424"/>
      <c r="AF823" s="424"/>
      <c r="AG823" s="424"/>
      <c r="AH823" s="424"/>
      <c r="AI823" s="424"/>
      <c r="AJ823" s="2"/>
      <c r="AK823" s="2"/>
      <c r="AL823" s="2"/>
      <c r="AM823" s="2"/>
      <c r="AN823" s="2"/>
      <c r="AO823" s="2"/>
      <c r="AP823" s="2"/>
      <c r="AQ823" s="427"/>
      <c r="AR823" s="754"/>
      <c r="AS823" s="427"/>
      <c r="AT823" s="754"/>
      <c r="AU823" s="427"/>
      <c r="AV823" s="427"/>
      <c r="AW823" s="427"/>
      <c r="AX823" s="427"/>
      <c r="AY823" s="754"/>
      <c r="AZ823" s="754"/>
      <c r="BA823" s="754"/>
      <c r="BB823" s="427"/>
      <c r="BC823" s="427"/>
      <c r="BD823" s="427"/>
      <c r="BE823" s="754"/>
      <c r="BF823" s="427"/>
      <c r="BG823" s="454"/>
      <c r="BH823" s="754"/>
      <c r="BI823" s="427"/>
      <c r="BJ823" s="427"/>
      <c r="BK823" s="427"/>
      <c r="BL823" s="427"/>
      <c r="BM823" s="454"/>
      <c r="BN823" s="427"/>
      <c r="BO823" s="427"/>
      <c r="BP823" s="427"/>
      <c r="BQ823" s="454"/>
      <c r="BR823" s="454"/>
      <c r="BS823" s="460"/>
      <c r="BT823" s="454"/>
      <c r="BU823" s="454"/>
      <c r="BV823" s="457"/>
      <c r="BW823" s="460"/>
      <c r="BX823" s="460"/>
      <c r="BY823" s="460"/>
      <c r="CA823" s="2"/>
      <c r="CB823" s="2"/>
      <c r="CC823" s="2"/>
      <c r="CD823" s="2"/>
      <c r="CE823" s="2"/>
      <c r="CF823" s="2"/>
      <c r="CG823" s="2"/>
      <c r="CH823" s="2"/>
      <c r="CI823" s="2"/>
      <c r="CJ823" s="2"/>
      <c r="CK823" s="2"/>
      <c r="CL823" s="2"/>
      <c r="CM823" s="2"/>
      <c r="CN823" s="2"/>
      <c r="CO823" s="427"/>
      <c r="CP823" s="427"/>
      <c r="CQ823" s="427"/>
      <c r="CR823" s="485"/>
      <c r="CS823" s="485"/>
      <c r="CT823" s="485"/>
      <c r="CU823" s="485"/>
      <c r="CV823" s="482"/>
      <c r="CW823" s="482"/>
      <c r="CX823" s="482"/>
      <c r="CY823" s="482"/>
      <c r="CZ823" s="485"/>
      <c r="DA823" s="485"/>
      <c r="DB823" s="485"/>
      <c r="DC823" s="485"/>
      <c r="DD823" s="485"/>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485"/>
      <c r="EX823" s="457"/>
      <c r="EY823" s="457"/>
      <c r="EZ823" s="457"/>
      <c r="FA823" s="457"/>
      <c r="FB823" s="457"/>
      <c r="FC823" s="457"/>
      <c r="FD823" s="457"/>
      <c r="FE823" s="457"/>
      <c r="FF823" s="457"/>
      <c r="FG823" s="457"/>
      <c r="FH823" s="457"/>
      <c r="FI823" s="457"/>
      <c r="FJ823" s="457"/>
      <c r="FK823" s="457"/>
    </row>
    <row r="824" spans="1:167" s="416" customFormat="1">
      <c r="A824" s="427"/>
      <c r="B824" s="427"/>
      <c r="C824" s="427"/>
      <c r="D824" s="427"/>
      <c r="E824" s="428"/>
      <c r="F824" s="429"/>
      <c r="G824" s="430"/>
      <c r="H824" s="427"/>
      <c r="I824" s="427"/>
      <c r="J824" s="427"/>
      <c r="K824" s="427"/>
      <c r="L824" s="427"/>
      <c r="M824" s="427"/>
      <c r="N824" s="427"/>
      <c r="O824" s="427"/>
      <c r="P824" s="427"/>
      <c r="Q824" s="427"/>
      <c r="R824" s="427"/>
      <c r="S824" s="427"/>
      <c r="T824" s="427"/>
      <c r="U824" s="427"/>
      <c r="V824" s="428"/>
      <c r="W824" s="431"/>
      <c r="X824" s="3"/>
      <c r="Y824" s="429"/>
      <c r="Z824" s="430"/>
      <c r="AA824" s="430"/>
      <c r="AB824" s="430"/>
      <c r="AC824" s="424"/>
      <c r="AD824" s="424"/>
      <c r="AE824" s="424"/>
      <c r="AF824" s="424"/>
      <c r="AG824" s="424"/>
      <c r="AH824" s="424"/>
      <c r="AI824" s="424"/>
      <c r="AJ824" s="2"/>
      <c r="AK824" s="2"/>
      <c r="AL824" s="2"/>
      <c r="AM824" s="2"/>
      <c r="AN824" s="2"/>
      <c r="AO824" s="2"/>
      <c r="AP824" s="2"/>
      <c r="AQ824" s="427"/>
      <c r="AR824" s="754"/>
      <c r="AS824" s="427"/>
      <c r="AT824" s="754"/>
      <c r="AU824" s="427"/>
      <c r="AV824" s="427"/>
      <c r="AW824" s="427"/>
      <c r="AX824" s="427"/>
      <c r="AY824" s="754"/>
      <c r="AZ824" s="754"/>
      <c r="BA824" s="754"/>
      <c r="BB824" s="427"/>
      <c r="BC824" s="427"/>
      <c r="BD824" s="427"/>
      <c r="BE824" s="754"/>
      <c r="BF824" s="427"/>
      <c r="BG824" s="454"/>
      <c r="BH824" s="754"/>
      <c r="BI824" s="427"/>
      <c r="BJ824" s="427"/>
      <c r="BK824" s="427"/>
      <c r="BL824" s="427"/>
      <c r="BM824" s="454"/>
      <c r="BN824" s="427"/>
      <c r="BO824" s="427"/>
      <c r="BP824" s="427"/>
      <c r="BQ824" s="454"/>
      <c r="BR824" s="454"/>
      <c r="BS824" s="460"/>
      <c r="BT824" s="454"/>
      <c r="BU824" s="454"/>
      <c r="BV824" s="457"/>
      <c r="BW824" s="460"/>
      <c r="BX824" s="460"/>
      <c r="BY824" s="460"/>
      <c r="CA824" s="2"/>
      <c r="CB824" s="2"/>
      <c r="CC824" s="2"/>
      <c r="CD824" s="2"/>
      <c r="CE824" s="2"/>
      <c r="CF824" s="2"/>
      <c r="CG824" s="2"/>
      <c r="CH824" s="2"/>
      <c r="CI824" s="2"/>
      <c r="CJ824" s="2"/>
      <c r="CK824" s="2"/>
      <c r="CL824" s="2"/>
      <c r="CM824" s="2"/>
      <c r="CN824" s="2"/>
      <c r="CO824" s="427"/>
      <c r="CP824" s="427"/>
      <c r="CQ824" s="427"/>
      <c r="CR824" s="485"/>
      <c r="CS824" s="485"/>
      <c r="CT824" s="485"/>
      <c r="CU824" s="485"/>
      <c r="CV824" s="482"/>
      <c r="CW824" s="482"/>
      <c r="CX824" s="482"/>
      <c r="CY824" s="482"/>
      <c r="CZ824" s="485"/>
      <c r="DA824" s="485"/>
      <c r="DB824" s="485"/>
      <c r="DC824" s="485"/>
      <c r="DD824" s="485"/>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485"/>
      <c r="EX824" s="457"/>
      <c r="EY824" s="457"/>
      <c r="EZ824" s="457"/>
      <c r="FA824" s="457"/>
      <c r="FB824" s="457"/>
      <c r="FC824" s="457"/>
      <c r="FD824" s="457"/>
      <c r="FE824" s="457"/>
      <c r="FF824" s="457"/>
      <c r="FG824" s="457"/>
      <c r="FH824" s="457"/>
      <c r="FI824" s="457"/>
      <c r="FJ824" s="457"/>
      <c r="FK824" s="457"/>
    </row>
    <row r="825" spans="1:167" s="416" customFormat="1">
      <c r="A825" s="427"/>
      <c r="B825" s="427"/>
      <c r="C825" s="427"/>
      <c r="D825" s="427"/>
      <c r="E825" s="428"/>
      <c r="F825" s="429"/>
      <c r="G825" s="430"/>
      <c r="H825" s="427"/>
      <c r="I825" s="427"/>
      <c r="J825" s="427"/>
      <c r="K825" s="427"/>
      <c r="L825" s="427"/>
      <c r="M825" s="427"/>
      <c r="N825" s="427"/>
      <c r="O825" s="427"/>
      <c r="P825" s="427"/>
      <c r="Q825" s="427"/>
      <c r="R825" s="427"/>
      <c r="S825" s="427"/>
      <c r="T825" s="427"/>
      <c r="U825" s="427"/>
      <c r="V825" s="428"/>
      <c r="W825" s="431"/>
      <c r="X825" s="3"/>
      <c r="Y825" s="429"/>
      <c r="Z825" s="430"/>
      <c r="AA825" s="430"/>
      <c r="AB825" s="430"/>
      <c r="AC825" s="424"/>
      <c r="AD825" s="424"/>
      <c r="AE825" s="424"/>
      <c r="AF825" s="424"/>
      <c r="AG825" s="424"/>
      <c r="AH825" s="424"/>
      <c r="AI825" s="424"/>
      <c r="AJ825" s="2"/>
      <c r="AK825" s="2"/>
      <c r="AL825" s="2"/>
      <c r="AM825" s="2"/>
      <c r="AN825" s="2"/>
      <c r="AO825" s="2"/>
      <c r="AP825" s="2"/>
      <c r="AQ825" s="427"/>
      <c r="AR825" s="754"/>
      <c r="AS825" s="427"/>
      <c r="AT825" s="754"/>
      <c r="AU825" s="427"/>
      <c r="AV825" s="427"/>
      <c r="AW825" s="427"/>
      <c r="AX825" s="427"/>
      <c r="AY825" s="754"/>
      <c r="AZ825" s="754"/>
      <c r="BA825" s="754"/>
      <c r="BB825" s="427"/>
      <c r="BC825" s="427"/>
      <c r="BD825" s="427"/>
      <c r="BE825" s="754"/>
      <c r="BF825" s="427"/>
      <c r="BG825" s="454"/>
      <c r="BH825" s="754"/>
      <c r="BI825" s="427"/>
      <c r="BJ825" s="427"/>
      <c r="BK825" s="427"/>
      <c r="BL825" s="427"/>
      <c r="BM825" s="454"/>
      <c r="BN825" s="427"/>
      <c r="BO825" s="427"/>
      <c r="BP825" s="427"/>
      <c r="BQ825" s="454"/>
      <c r="BR825" s="454"/>
      <c r="BS825" s="460"/>
      <c r="BT825" s="454"/>
      <c r="BU825" s="454"/>
      <c r="BV825" s="457"/>
      <c r="BW825" s="460"/>
      <c r="BX825" s="460"/>
      <c r="BY825" s="460"/>
      <c r="CA825" s="2"/>
      <c r="CB825" s="2"/>
      <c r="CC825" s="2"/>
      <c r="CD825" s="2"/>
      <c r="CE825" s="2"/>
      <c r="CF825" s="2"/>
      <c r="CG825" s="2"/>
      <c r="CH825" s="2"/>
      <c r="CI825" s="2"/>
      <c r="CJ825" s="2"/>
      <c r="CK825" s="2"/>
      <c r="CL825" s="2"/>
      <c r="CM825" s="2"/>
      <c r="CN825" s="2"/>
      <c r="CO825" s="427"/>
      <c r="CP825" s="427"/>
      <c r="CQ825" s="427"/>
      <c r="CR825" s="485"/>
      <c r="CS825" s="485"/>
      <c r="CT825" s="485"/>
      <c r="CU825" s="485"/>
      <c r="CV825" s="482"/>
      <c r="CW825" s="482"/>
      <c r="CX825" s="482"/>
      <c r="CY825" s="482"/>
      <c r="CZ825" s="485"/>
      <c r="DA825" s="485"/>
      <c r="DB825" s="485"/>
      <c r="DC825" s="485"/>
      <c r="DD825" s="485"/>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485"/>
      <c r="EX825" s="457"/>
      <c r="EY825" s="457"/>
      <c r="EZ825" s="457"/>
      <c r="FA825" s="457"/>
      <c r="FB825" s="457"/>
      <c r="FC825" s="457"/>
      <c r="FD825" s="457"/>
      <c r="FE825" s="457"/>
      <c r="FF825" s="457"/>
      <c r="FG825" s="457"/>
      <c r="FH825" s="457"/>
      <c r="FI825" s="457"/>
      <c r="FJ825" s="457"/>
      <c r="FK825" s="457"/>
    </row>
    <row r="826" spans="1:167" s="416" customFormat="1">
      <c r="A826" s="427"/>
      <c r="B826" s="427"/>
      <c r="C826" s="427"/>
      <c r="D826" s="427"/>
      <c r="E826" s="428"/>
      <c r="F826" s="429"/>
      <c r="G826" s="430"/>
      <c r="H826" s="427"/>
      <c r="I826" s="427"/>
      <c r="J826" s="427"/>
      <c r="K826" s="427"/>
      <c r="L826" s="427"/>
      <c r="M826" s="427"/>
      <c r="N826" s="427"/>
      <c r="O826" s="427"/>
      <c r="P826" s="427"/>
      <c r="Q826" s="427"/>
      <c r="R826" s="427"/>
      <c r="S826" s="427"/>
      <c r="T826" s="427"/>
      <c r="U826" s="427"/>
      <c r="V826" s="428"/>
      <c r="W826" s="431"/>
      <c r="X826" s="3"/>
      <c r="Y826" s="429"/>
      <c r="Z826" s="430"/>
      <c r="AA826" s="430"/>
      <c r="AB826" s="430"/>
      <c r="AC826" s="424"/>
      <c r="AD826" s="424"/>
      <c r="AE826" s="424"/>
      <c r="AF826" s="424"/>
      <c r="AG826" s="424"/>
      <c r="AH826" s="424"/>
      <c r="AI826" s="424"/>
      <c r="AJ826" s="2"/>
      <c r="AK826" s="2"/>
      <c r="AL826" s="2"/>
      <c r="AM826" s="2"/>
      <c r="AN826" s="2"/>
      <c r="AO826" s="2"/>
      <c r="AP826" s="2"/>
      <c r="AQ826" s="427"/>
      <c r="AR826" s="754"/>
      <c r="AS826" s="427"/>
      <c r="AT826" s="754"/>
      <c r="AU826" s="427"/>
      <c r="AV826" s="427"/>
      <c r="AW826" s="427"/>
      <c r="AX826" s="427"/>
      <c r="AY826" s="754"/>
      <c r="AZ826" s="754"/>
      <c r="BA826" s="754"/>
      <c r="BB826" s="427"/>
      <c r="BC826" s="427"/>
      <c r="BD826" s="427"/>
      <c r="BE826" s="754"/>
      <c r="BF826" s="427"/>
      <c r="BG826" s="454"/>
      <c r="BH826" s="754"/>
      <c r="BI826" s="427"/>
      <c r="BJ826" s="427"/>
      <c r="BK826" s="427"/>
      <c r="BL826" s="427"/>
      <c r="BM826" s="454"/>
      <c r="BN826" s="427"/>
      <c r="BO826" s="427"/>
      <c r="BP826" s="427"/>
      <c r="BQ826" s="454"/>
      <c r="BR826" s="454"/>
      <c r="BS826" s="460"/>
      <c r="BT826" s="454"/>
      <c r="BU826" s="454"/>
      <c r="BV826" s="457"/>
      <c r="BW826" s="460"/>
      <c r="BX826" s="460"/>
      <c r="BY826" s="460"/>
      <c r="CA826" s="2"/>
      <c r="CB826" s="2"/>
      <c r="CC826" s="2"/>
      <c r="CD826" s="2"/>
      <c r="CE826" s="2"/>
      <c r="CF826" s="2"/>
      <c r="CG826" s="2"/>
      <c r="CH826" s="2"/>
      <c r="CI826" s="2"/>
      <c r="CJ826" s="2"/>
      <c r="CK826" s="2"/>
      <c r="CL826" s="2"/>
      <c r="CM826" s="2"/>
      <c r="CN826" s="2"/>
      <c r="CO826" s="427"/>
      <c r="CP826" s="427"/>
      <c r="CQ826" s="427"/>
      <c r="CR826" s="485"/>
      <c r="CS826" s="485"/>
      <c r="CT826" s="485"/>
      <c r="CU826" s="485"/>
      <c r="CV826" s="482"/>
      <c r="CW826" s="482"/>
      <c r="CX826" s="482"/>
      <c r="CY826" s="482"/>
      <c r="CZ826" s="485"/>
      <c r="DA826" s="485"/>
      <c r="DB826" s="485"/>
      <c r="DC826" s="485"/>
      <c r="DD826" s="485"/>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485"/>
      <c r="EX826" s="457"/>
      <c r="EY826" s="457"/>
      <c r="EZ826" s="457"/>
      <c r="FA826" s="457"/>
      <c r="FB826" s="457"/>
      <c r="FC826" s="457"/>
      <c r="FD826" s="457"/>
      <c r="FE826" s="457"/>
      <c r="FF826" s="457"/>
      <c r="FG826" s="457"/>
      <c r="FH826" s="457"/>
      <c r="FI826" s="457"/>
      <c r="FJ826" s="457"/>
      <c r="FK826" s="457"/>
    </row>
    <row r="827" spans="1:167" s="416" customFormat="1">
      <c r="A827" s="427"/>
      <c r="B827" s="427"/>
      <c r="C827" s="427"/>
      <c r="D827" s="427"/>
      <c r="E827" s="428"/>
      <c r="F827" s="429"/>
      <c r="G827" s="430"/>
      <c r="H827" s="427"/>
      <c r="I827" s="427"/>
      <c r="J827" s="427"/>
      <c r="K827" s="427"/>
      <c r="L827" s="427"/>
      <c r="M827" s="427"/>
      <c r="N827" s="427"/>
      <c r="O827" s="427"/>
      <c r="P827" s="427"/>
      <c r="Q827" s="427"/>
      <c r="R827" s="427"/>
      <c r="S827" s="427"/>
      <c r="T827" s="427"/>
      <c r="U827" s="427"/>
      <c r="V827" s="428"/>
      <c r="W827" s="431"/>
      <c r="X827" s="3"/>
      <c r="Y827" s="429"/>
      <c r="Z827" s="430"/>
      <c r="AA827" s="430"/>
      <c r="AB827" s="430"/>
      <c r="AC827" s="424"/>
      <c r="AD827" s="424"/>
      <c r="AE827" s="424"/>
      <c r="AF827" s="424"/>
      <c r="AG827" s="424"/>
      <c r="AH827" s="424"/>
      <c r="AI827" s="424"/>
      <c r="AJ827" s="2"/>
      <c r="AK827" s="2"/>
      <c r="AL827" s="2"/>
      <c r="AM827" s="2"/>
      <c r="AN827" s="2"/>
      <c r="AO827" s="2"/>
      <c r="AP827" s="2"/>
      <c r="AQ827" s="427"/>
      <c r="AR827" s="754"/>
      <c r="AS827" s="427"/>
      <c r="AT827" s="754"/>
      <c r="AU827" s="427"/>
      <c r="AV827" s="427"/>
      <c r="AW827" s="427"/>
      <c r="AX827" s="427"/>
      <c r="AY827" s="754"/>
      <c r="AZ827" s="754"/>
      <c r="BA827" s="754"/>
      <c r="BB827" s="427"/>
      <c r="BC827" s="427"/>
      <c r="BD827" s="427"/>
      <c r="BE827" s="754"/>
      <c r="BF827" s="427"/>
      <c r="BG827" s="454"/>
      <c r="BH827" s="754"/>
      <c r="BI827" s="427"/>
      <c r="BJ827" s="427"/>
      <c r="BK827" s="427"/>
      <c r="BL827" s="427"/>
      <c r="BM827" s="454"/>
      <c r="BN827" s="427"/>
      <c r="BO827" s="427"/>
      <c r="BP827" s="427"/>
      <c r="BQ827" s="454"/>
      <c r="BR827" s="454"/>
      <c r="BS827" s="460"/>
      <c r="BT827" s="454"/>
      <c r="BU827" s="454"/>
      <c r="BV827" s="457"/>
      <c r="BW827" s="460"/>
      <c r="BX827" s="460"/>
      <c r="BY827" s="460"/>
      <c r="CA827" s="2"/>
      <c r="CB827" s="2"/>
      <c r="CC827" s="2"/>
      <c r="CD827" s="2"/>
      <c r="CE827" s="2"/>
      <c r="CF827" s="2"/>
      <c r="CG827" s="2"/>
      <c r="CH827" s="2"/>
      <c r="CI827" s="2"/>
      <c r="CJ827" s="2"/>
      <c r="CK827" s="2"/>
      <c r="CL827" s="2"/>
      <c r="CM827" s="2"/>
      <c r="CN827" s="2"/>
      <c r="CO827" s="427"/>
      <c r="CP827" s="427"/>
      <c r="CQ827" s="427"/>
      <c r="CR827" s="485"/>
      <c r="CS827" s="485"/>
      <c r="CT827" s="485"/>
      <c r="CU827" s="485"/>
      <c r="CV827" s="482"/>
      <c r="CW827" s="482"/>
      <c r="CX827" s="482"/>
      <c r="CY827" s="482"/>
      <c r="CZ827" s="485"/>
      <c r="DA827" s="485"/>
      <c r="DB827" s="485"/>
      <c r="DC827" s="485"/>
      <c r="DD827" s="485"/>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485"/>
      <c r="EX827" s="457"/>
      <c r="EY827" s="457"/>
      <c r="EZ827" s="457"/>
      <c r="FA827" s="457"/>
      <c r="FB827" s="457"/>
      <c r="FC827" s="457"/>
      <c r="FD827" s="457"/>
      <c r="FE827" s="457"/>
      <c r="FF827" s="457"/>
      <c r="FG827" s="457"/>
      <c r="FH827" s="457"/>
      <c r="FI827" s="457"/>
      <c r="FJ827" s="457"/>
      <c r="FK827" s="457"/>
    </row>
    <row r="828" spans="1:167" s="416" customFormat="1">
      <c r="A828" s="427"/>
      <c r="B828" s="427"/>
      <c r="C828" s="427"/>
      <c r="D828" s="427"/>
      <c r="E828" s="428"/>
      <c r="F828" s="429"/>
      <c r="G828" s="430"/>
      <c r="H828" s="427"/>
      <c r="I828" s="427"/>
      <c r="J828" s="427"/>
      <c r="K828" s="427"/>
      <c r="L828" s="427"/>
      <c r="M828" s="427"/>
      <c r="N828" s="427"/>
      <c r="O828" s="427"/>
      <c r="P828" s="427"/>
      <c r="Q828" s="427"/>
      <c r="R828" s="427"/>
      <c r="S828" s="427"/>
      <c r="T828" s="427"/>
      <c r="U828" s="427"/>
      <c r="V828" s="428"/>
      <c r="W828" s="431"/>
      <c r="X828" s="3"/>
      <c r="Y828" s="429"/>
      <c r="Z828" s="430"/>
      <c r="AA828" s="430"/>
      <c r="AB828" s="430"/>
      <c r="AC828" s="424"/>
      <c r="AD828" s="424"/>
      <c r="AE828" s="424"/>
      <c r="AF828" s="424"/>
      <c r="AG828" s="424"/>
      <c r="AH828" s="424"/>
      <c r="AI828" s="424"/>
      <c r="AJ828" s="2"/>
      <c r="AK828" s="2"/>
      <c r="AL828" s="2"/>
      <c r="AM828" s="2"/>
      <c r="AN828" s="2"/>
      <c r="AO828" s="2"/>
      <c r="AP828" s="2"/>
      <c r="AQ828" s="427"/>
      <c r="AR828" s="754"/>
      <c r="AS828" s="427"/>
      <c r="AT828" s="754"/>
      <c r="AU828" s="427"/>
      <c r="AV828" s="427"/>
      <c r="AW828" s="427"/>
      <c r="AX828" s="427"/>
      <c r="AY828" s="754"/>
      <c r="AZ828" s="754"/>
      <c r="BA828" s="754"/>
      <c r="BB828" s="427"/>
      <c r="BC828" s="427"/>
      <c r="BD828" s="427"/>
      <c r="BE828" s="754"/>
      <c r="BF828" s="427"/>
      <c r="BG828" s="454"/>
      <c r="BH828" s="754"/>
      <c r="BI828" s="427"/>
      <c r="BJ828" s="427"/>
      <c r="BK828" s="427"/>
      <c r="BL828" s="427"/>
      <c r="BM828" s="454"/>
      <c r="BN828" s="427"/>
      <c r="BO828" s="427"/>
      <c r="BP828" s="427"/>
      <c r="BQ828" s="454"/>
      <c r="BR828" s="454"/>
      <c r="BS828" s="460"/>
      <c r="BT828" s="454"/>
      <c r="BU828" s="454"/>
      <c r="BV828" s="457"/>
      <c r="BW828" s="460"/>
      <c r="BX828" s="460"/>
      <c r="BY828" s="460"/>
      <c r="CA828" s="2"/>
      <c r="CB828" s="2"/>
      <c r="CC828" s="2"/>
      <c r="CD828" s="2"/>
      <c r="CE828" s="2"/>
      <c r="CF828" s="2"/>
      <c r="CG828" s="2"/>
      <c r="CH828" s="2"/>
      <c r="CI828" s="2"/>
      <c r="CJ828" s="2"/>
      <c r="CK828" s="2"/>
      <c r="CL828" s="2"/>
      <c r="CM828" s="2"/>
      <c r="CN828" s="2"/>
      <c r="CO828" s="427"/>
      <c r="CP828" s="427"/>
      <c r="CQ828" s="427"/>
      <c r="CR828" s="485"/>
      <c r="CS828" s="485"/>
      <c r="CT828" s="485"/>
      <c r="CU828" s="485"/>
      <c r="CV828" s="482"/>
      <c r="CW828" s="482"/>
      <c r="CX828" s="482"/>
      <c r="CY828" s="482"/>
      <c r="CZ828" s="485"/>
      <c r="DA828" s="485"/>
      <c r="DB828" s="485"/>
      <c r="DC828" s="485"/>
      <c r="DD828" s="485"/>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485"/>
      <c r="EX828" s="457"/>
      <c r="EY828" s="457"/>
      <c r="EZ828" s="457"/>
      <c r="FA828" s="457"/>
      <c r="FB828" s="457"/>
      <c r="FC828" s="457"/>
      <c r="FD828" s="457"/>
      <c r="FE828" s="457"/>
      <c r="FF828" s="457"/>
      <c r="FG828" s="457"/>
      <c r="FH828" s="457"/>
      <c r="FI828" s="457"/>
      <c r="FJ828" s="457"/>
      <c r="FK828" s="457"/>
    </row>
    <row r="829" spans="1:167" s="416" customFormat="1">
      <c r="A829" s="427"/>
      <c r="B829" s="427"/>
      <c r="C829" s="427"/>
      <c r="D829" s="427"/>
      <c r="E829" s="428"/>
      <c r="F829" s="429"/>
      <c r="G829" s="430"/>
      <c r="H829" s="427"/>
      <c r="I829" s="427"/>
      <c r="J829" s="427"/>
      <c r="K829" s="427"/>
      <c r="L829" s="427"/>
      <c r="M829" s="427"/>
      <c r="N829" s="427"/>
      <c r="O829" s="427"/>
      <c r="P829" s="427"/>
      <c r="Q829" s="427"/>
      <c r="R829" s="427"/>
      <c r="S829" s="427"/>
      <c r="T829" s="427"/>
      <c r="U829" s="427"/>
      <c r="V829" s="428"/>
      <c r="W829" s="431"/>
      <c r="X829" s="3"/>
      <c r="Y829" s="429"/>
      <c r="Z829" s="430"/>
      <c r="AA829" s="430"/>
      <c r="AB829" s="430"/>
      <c r="AC829" s="424"/>
      <c r="AD829" s="424"/>
      <c r="AE829" s="424"/>
      <c r="AF829" s="424"/>
      <c r="AG829" s="424"/>
      <c r="AH829" s="424"/>
      <c r="AI829" s="424"/>
      <c r="AJ829" s="2"/>
      <c r="AK829" s="2"/>
      <c r="AL829" s="2"/>
      <c r="AM829" s="2"/>
      <c r="AN829" s="2"/>
      <c r="AO829" s="2"/>
      <c r="AP829" s="2"/>
      <c r="AQ829" s="427"/>
      <c r="AR829" s="754"/>
      <c r="AS829" s="427"/>
      <c r="AT829" s="754"/>
      <c r="AU829" s="427"/>
      <c r="AV829" s="427"/>
      <c r="AW829" s="427"/>
      <c r="AX829" s="427"/>
      <c r="AY829" s="754"/>
      <c r="AZ829" s="754"/>
      <c r="BA829" s="754"/>
      <c r="BB829" s="427"/>
      <c r="BC829" s="427"/>
      <c r="BD829" s="427"/>
      <c r="BE829" s="754"/>
      <c r="BF829" s="427"/>
      <c r="BG829" s="454"/>
      <c r="BH829" s="754"/>
      <c r="BI829" s="427"/>
      <c r="BJ829" s="427"/>
      <c r="BK829" s="427"/>
      <c r="BL829" s="427"/>
      <c r="BM829" s="454"/>
      <c r="BN829" s="427"/>
      <c r="BO829" s="427"/>
      <c r="BP829" s="427"/>
      <c r="BQ829" s="454"/>
      <c r="BR829" s="454"/>
      <c r="BS829" s="460"/>
      <c r="BT829" s="454"/>
      <c r="BU829" s="454"/>
      <c r="BV829" s="457"/>
      <c r="BW829" s="460"/>
      <c r="BX829" s="460"/>
      <c r="BY829" s="460"/>
      <c r="CA829" s="2"/>
      <c r="CB829" s="2"/>
      <c r="CC829" s="2"/>
      <c r="CD829" s="2"/>
      <c r="CE829" s="2"/>
      <c r="CF829" s="2"/>
      <c r="CG829" s="2"/>
      <c r="CH829" s="2"/>
      <c r="CI829" s="2"/>
      <c r="CJ829" s="2"/>
      <c r="CK829" s="2"/>
      <c r="CL829" s="2"/>
      <c r="CM829" s="2"/>
      <c r="CN829" s="2"/>
      <c r="CO829" s="427"/>
      <c r="CP829" s="427"/>
      <c r="CQ829" s="427"/>
      <c r="CR829" s="485"/>
      <c r="CS829" s="485"/>
      <c r="CT829" s="485"/>
      <c r="CU829" s="485"/>
      <c r="CV829" s="482"/>
      <c r="CW829" s="482"/>
      <c r="CX829" s="482"/>
      <c r="CY829" s="482"/>
      <c r="CZ829" s="485"/>
      <c r="DA829" s="485"/>
      <c r="DB829" s="485"/>
      <c r="DC829" s="485"/>
      <c r="DD829" s="485"/>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485"/>
      <c r="EX829" s="457"/>
      <c r="EY829" s="457"/>
      <c r="EZ829" s="457"/>
      <c r="FA829" s="457"/>
      <c r="FB829" s="457"/>
      <c r="FC829" s="457"/>
      <c r="FD829" s="457"/>
      <c r="FE829" s="457"/>
      <c r="FF829" s="457"/>
      <c r="FG829" s="457"/>
      <c r="FH829" s="457"/>
      <c r="FI829" s="457"/>
      <c r="FJ829" s="457"/>
      <c r="FK829" s="457"/>
    </row>
    <row r="830" spans="1:167" s="416" customFormat="1">
      <c r="A830" s="427"/>
      <c r="B830" s="427"/>
      <c r="C830" s="427"/>
      <c r="D830" s="427"/>
      <c r="E830" s="428"/>
      <c r="F830" s="429"/>
      <c r="G830" s="430"/>
      <c r="H830" s="427"/>
      <c r="I830" s="427"/>
      <c r="J830" s="427"/>
      <c r="K830" s="427"/>
      <c r="L830" s="427"/>
      <c r="M830" s="427"/>
      <c r="N830" s="427"/>
      <c r="O830" s="427"/>
      <c r="P830" s="427"/>
      <c r="Q830" s="427"/>
      <c r="R830" s="427"/>
      <c r="S830" s="427"/>
      <c r="T830" s="427"/>
      <c r="U830" s="427"/>
      <c r="V830" s="428"/>
      <c r="W830" s="431"/>
      <c r="X830" s="3"/>
      <c r="Y830" s="429"/>
      <c r="Z830" s="430"/>
      <c r="AA830" s="430"/>
      <c r="AB830" s="430"/>
      <c r="AC830" s="424"/>
      <c r="AD830" s="424"/>
      <c r="AE830" s="424"/>
      <c r="AF830" s="424"/>
      <c r="AG830" s="424"/>
      <c r="AH830" s="424"/>
      <c r="AI830" s="424"/>
      <c r="AJ830" s="2"/>
      <c r="AK830" s="2"/>
      <c r="AL830" s="2"/>
      <c r="AM830" s="2"/>
      <c r="AN830" s="2"/>
      <c r="AO830" s="2"/>
      <c r="AP830" s="2"/>
      <c r="AQ830" s="427"/>
      <c r="AR830" s="754"/>
      <c r="AS830" s="427"/>
      <c r="AT830" s="754"/>
      <c r="AU830" s="427"/>
      <c r="AV830" s="427"/>
      <c r="AW830" s="427"/>
      <c r="AX830" s="427"/>
      <c r="AY830" s="754"/>
      <c r="AZ830" s="754"/>
      <c r="BA830" s="754"/>
      <c r="BB830" s="427"/>
      <c r="BC830" s="427"/>
      <c r="BD830" s="427"/>
      <c r="BE830" s="754"/>
      <c r="BF830" s="427"/>
      <c r="BG830" s="454"/>
      <c r="BH830" s="754"/>
      <c r="BI830" s="427"/>
      <c r="BJ830" s="427"/>
      <c r="BK830" s="427"/>
      <c r="BL830" s="427"/>
      <c r="BM830" s="454"/>
      <c r="BN830" s="427"/>
      <c r="BO830" s="427"/>
      <c r="BP830" s="427"/>
      <c r="BQ830" s="454"/>
      <c r="BR830" s="454"/>
      <c r="BS830" s="460"/>
      <c r="BT830" s="454"/>
      <c r="BU830" s="454"/>
      <c r="BV830" s="457"/>
      <c r="BW830" s="460"/>
      <c r="BX830" s="460"/>
      <c r="BY830" s="460"/>
      <c r="CA830" s="2"/>
      <c r="CB830" s="2"/>
      <c r="CC830" s="2"/>
      <c r="CD830" s="2"/>
      <c r="CE830" s="2"/>
      <c r="CF830" s="2"/>
      <c r="CG830" s="2"/>
      <c r="CH830" s="2"/>
      <c r="CI830" s="2"/>
      <c r="CJ830" s="2"/>
      <c r="CK830" s="2"/>
      <c r="CL830" s="2"/>
      <c r="CM830" s="2"/>
      <c r="CN830" s="2"/>
      <c r="CO830" s="427"/>
      <c r="CP830" s="427"/>
      <c r="CQ830" s="427"/>
      <c r="CR830" s="485"/>
      <c r="CS830" s="485"/>
      <c r="CT830" s="485"/>
      <c r="CU830" s="485"/>
      <c r="CV830" s="482"/>
      <c r="CW830" s="482"/>
      <c r="CX830" s="482"/>
      <c r="CY830" s="482"/>
      <c r="CZ830" s="485"/>
      <c r="DA830" s="485"/>
      <c r="DB830" s="485"/>
      <c r="DC830" s="485"/>
      <c r="DD830" s="485"/>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485"/>
      <c r="EX830" s="457"/>
      <c r="EY830" s="457"/>
      <c r="EZ830" s="457"/>
      <c r="FA830" s="457"/>
      <c r="FB830" s="457"/>
      <c r="FC830" s="457"/>
      <c r="FD830" s="457"/>
      <c r="FE830" s="457"/>
      <c r="FF830" s="457"/>
      <c r="FG830" s="457"/>
      <c r="FH830" s="457"/>
      <c r="FI830" s="457"/>
      <c r="FJ830" s="457"/>
      <c r="FK830" s="457"/>
    </row>
    <row r="831" spans="1:167" s="416" customFormat="1">
      <c r="A831" s="427"/>
      <c r="B831" s="427"/>
      <c r="C831" s="427"/>
      <c r="D831" s="427"/>
      <c r="E831" s="428"/>
      <c r="F831" s="429"/>
      <c r="G831" s="430"/>
      <c r="H831" s="427"/>
      <c r="I831" s="427"/>
      <c r="J831" s="427"/>
      <c r="K831" s="427"/>
      <c r="L831" s="427"/>
      <c r="M831" s="427"/>
      <c r="N831" s="427"/>
      <c r="O831" s="427"/>
      <c r="P831" s="427"/>
      <c r="Q831" s="427"/>
      <c r="R831" s="427"/>
      <c r="S831" s="427"/>
      <c r="T831" s="427"/>
      <c r="U831" s="427"/>
      <c r="V831" s="428"/>
      <c r="W831" s="431"/>
      <c r="X831" s="3"/>
      <c r="Y831" s="429"/>
      <c r="Z831" s="430"/>
      <c r="AA831" s="430"/>
      <c r="AB831" s="430"/>
      <c r="AC831" s="424"/>
      <c r="AD831" s="424"/>
      <c r="AE831" s="424"/>
      <c r="AF831" s="424"/>
      <c r="AG831" s="424"/>
      <c r="AH831" s="424"/>
      <c r="AI831" s="424"/>
      <c r="AJ831" s="2"/>
      <c r="AK831" s="2"/>
      <c r="AL831" s="2"/>
      <c r="AM831" s="2"/>
      <c r="AN831" s="2"/>
      <c r="AO831" s="2"/>
      <c r="AP831" s="2"/>
      <c r="AQ831" s="427"/>
      <c r="AR831" s="754"/>
      <c r="AS831" s="427"/>
      <c r="AT831" s="754"/>
      <c r="AU831" s="427"/>
      <c r="AV831" s="427"/>
      <c r="AW831" s="427"/>
      <c r="AX831" s="427"/>
      <c r="AY831" s="754"/>
      <c r="AZ831" s="754"/>
      <c r="BA831" s="754"/>
      <c r="BB831" s="427"/>
      <c r="BC831" s="427"/>
      <c r="BD831" s="427"/>
      <c r="BE831" s="754"/>
      <c r="BF831" s="427"/>
      <c r="BG831" s="454"/>
      <c r="BH831" s="754"/>
      <c r="BI831" s="427"/>
      <c r="BJ831" s="427"/>
      <c r="BK831" s="427"/>
      <c r="BL831" s="427"/>
      <c r="BM831" s="454"/>
      <c r="BN831" s="427"/>
      <c r="BO831" s="427"/>
      <c r="BP831" s="427"/>
      <c r="BQ831" s="454"/>
      <c r="BR831" s="454"/>
      <c r="BS831" s="460"/>
      <c r="BT831" s="454"/>
      <c r="BU831" s="454"/>
      <c r="BV831" s="457"/>
      <c r="BW831" s="460"/>
      <c r="BX831" s="460"/>
      <c r="BY831" s="460"/>
      <c r="CA831" s="2"/>
      <c r="CB831" s="2"/>
      <c r="CC831" s="2"/>
      <c r="CD831" s="2"/>
      <c r="CE831" s="2"/>
      <c r="CF831" s="2"/>
      <c r="CG831" s="2"/>
      <c r="CH831" s="2"/>
      <c r="CI831" s="2"/>
      <c r="CJ831" s="2"/>
      <c r="CK831" s="2"/>
      <c r="CL831" s="2"/>
      <c r="CM831" s="2"/>
      <c r="CN831" s="2"/>
      <c r="CO831" s="427"/>
      <c r="CP831" s="427"/>
      <c r="CQ831" s="427"/>
      <c r="CR831" s="485"/>
      <c r="CS831" s="485"/>
      <c r="CT831" s="485"/>
      <c r="CU831" s="485"/>
      <c r="CV831" s="482"/>
      <c r="CW831" s="482"/>
      <c r="CX831" s="482"/>
      <c r="CY831" s="482"/>
      <c r="CZ831" s="485"/>
      <c r="DA831" s="485"/>
      <c r="DB831" s="485"/>
      <c r="DC831" s="485"/>
      <c r="DD831" s="485"/>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485"/>
      <c r="EX831" s="457"/>
      <c r="EY831" s="457"/>
      <c r="EZ831" s="457"/>
      <c r="FA831" s="457"/>
      <c r="FB831" s="457"/>
      <c r="FC831" s="457"/>
      <c r="FD831" s="457"/>
      <c r="FE831" s="457"/>
      <c r="FF831" s="457"/>
      <c r="FG831" s="457"/>
      <c r="FH831" s="457"/>
      <c r="FI831" s="457"/>
      <c r="FJ831" s="457"/>
      <c r="FK831" s="457"/>
    </row>
    <row r="832" spans="1:167" s="416" customFormat="1">
      <c r="A832" s="427"/>
      <c r="B832" s="427"/>
      <c r="C832" s="427"/>
      <c r="D832" s="427"/>
      <c r="E832" s="428"/>
      <c r="F832" s="429"/>
      <c r="G832" s="430"/>
      <c r="H832" s="427"/>
      <c r="I832" s="427"/>
      <c r="J832" s="427"/>
      <c r="K832" s="427"/>
      <c r="L832" s="427"/>
      <c r="M832" s="427"/>
      <c r="N832" s="427"/>
      <c r="O832" s="427"/>
      <c r="P832" s="427"/>
      <c r="Q832" s="427"/>
      <c r="R832" s="427"/>
      <c r="S832" s="427"/>
      <c r="T832" s="427"/>
      <c r="U832" s="427"/>
      <c r="V832" s="428"/>
      <c r="W832" s="431"/>
      <c r="X832" s="3"/>
      <c r="Y832" s="429"/>
      <c r="Z832" s="430"/>
      <c r="AA832" s="430"/>
      <c r="AB832" s="430"/>
      <c r="AC832" s="424"/>
      <c r="AD832" s="424"/>
      <c r="AE832" s="424"/>
      <c r="AF832" s="424"/>
      <c r="AG832" s="424"/>
      <c r="AH832" s="424"/>
      <c r="AI832" s="424"/>
      <c r="AJ832" s="2"/>
      <c r="AK832" s="2"/>
      <c r="AL832" s="2"/>
      <c r="AM832" s="2"/>
      <c r="AN832" s="2"/>
      <c r="AO832" s="2"/>
      <c r="AP832" s="2"/>
      <c r="AQ832" s="427"/>
      <c r="AR832" s="754"/>
      <c r="AS832" s="427"/>
      <c r="AT832" s="754"/>
      <c r="AU832" s="427"/>
      <c r="AV832" s="427"/>
      <c r="AW832" s="427"/>
      <c r="AX832" s="427"/>
      <c r="AY832" s="754"/>
      <c r="AZ832" s="754"/>
      <c r="BA832" s="754"/>
      <c r="BB832" s="427"/>
      <c r="BC832" s="427"/>
      <c r="BD832" s="427"/>
      <c r="BE832" s="754"/>
      <c r="BF832" s="427"/>
      <c r="BG832" s="454"/>
      <c r="BH832" s="754"/>
      <c r="BI832" s="427"/>
      <c r="BJ832" s="427"/>
      <c r="BK832" s="427"/>
      <c r="BL832" s="427"/>
      <c r="BM832" s="454"/>
      <c r="BN832" s="427"/>
      <c r="BO832" s="427"/>
      <c r="BP832" s="427"/>
      <c r="BQ832" s="454"/>
      <c r="BR832" s="454"/>
      <c r="BS832" s="460"/>
      <c r="BT832" s="454"/>
      <c r="BU832" s="454"/>
      <c r="BV832" s="457"/>
      <c r="BW832" s="460"/>
      <c r="BX832" s="460"/>
      <c r="BY832" s="460"/>
      <c r="CA832" s="2"/>
      <c r="CB832" s="2"/>
      <c r="CC832" s="2"/>
      <c r="CD832" s="2"/>
      <c r="CE832" s="2"/>
      <c r="CF832" s="2"/>
      <c r="CG832" s="2"/>
      <c r="CH832" s="2"/>
      <c r="CI832" s="2"/>
      <c r="CJ832" s="2"/>
      <c r="CK832" s="2"/>
      <c r="CL832" s="2"/>
      <c r="CM832" s="2"/>
      <c r="CN832" s="2"/>
      <c r="CO832" s="427"/>
      <c r="CP832" s="427"/>
      <c r="CQ832" s="427"/>
      <c r="CR832" s="485"/>
      <c r="CS832" s="485"/>
      <c r="CT832" s="485"/>
      <c r="CU832" s="485"/>
      <c r="CV832" s="482"/>
      <c r="CW832" s="482"/>
      <c r="CX832" s="482"/>
      <c r="CY832" s="482"/>
      <c r="CZ832" s="485"/>
      <c r="DA832" s="485"/>
      <c r="DB832" s="485"/>
      <c r="DC832" s="485"/>
      <c r="DD832" s="485"/>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485"/>
      <c r="EX832" s="457"/>
      <c r="EY832" s="457"/>
      <c r="EZ832" s="457"/>
      <c r="FA832" s="457"/>
      <c r="FB832" s="457"/>
      <c r="FC832" s="457"/>
      <c r="FD832" s="457"/>
      <c r="FE832" s="457"/>
      <c r="FF832" s="457"/>
      <c r="FG832" s="457"/>
      <c r="FH832" s="457"/>
      <c r="FI832" s="457"/>
      <c r="FJ832" s="457"/>
      <c r="FK832" s="457"/>
    </row>
    <row r="833" spans="1:167" s="416" customFormat="1">
      <c r="A833" s="427"/>
      <c r="B833" s="427"/>
      <c r="C833" s="427"/>
      <c r="D833" s="427"/>
      <c r="E833" s="428"/>
      <c r="F833" s="429"/>
      <c r="G833" s="430"/>
      <c r="H833" s="427"/>
      <c r="I833" s="427"/>
      <c r="J833" s="427"/>
      <c r="K833" s="427"/>
      <c r="L833" s="427"/>
      <c r="M833" s="427"/>
      <c r="N833" s="427"/>
      <c r="O833" s="427"/>
      <c r="P833" s="427"/>
      <c r="Q833" s="427"/>
      <c r="R833" s="427"/>
      <c r="S833" s="427"/>
      <c r="T833" s="427"/>
      <c r="U833" s="427"/>
      <c r="V833" s="428"/>
      <c r="W833" s="431"/>
      <c r="X833" s="3"/>
      <c r="Y833" s="429"/>
      <c r="Z833" s="430"/>
      <c r="AA833" s="430"/>
      <c r="AB833" s="430"/>
      <c r="AC833" s="424"/>
      <c r="AD833" s="424"/>
      <c r="AE833" s="424"/>
      <c r="AF833" s="424"/>
      <c r="AG833" s="424"/>
      <c r="AH833" s="424"/>
      <c r="AI833" s="424"/>
      <c r="AJ833" s="2"/>
      <c r="AK833" s="2"/>
      <c r="AL833" s="2"/>
      <c r="AM833" s="2"/>
      <c r="AN833" s="2"/>
      <c r="AO833" s="2"/>
      <c r="AP833" s="2"/>
      <c r="AQ833" s="427"/>
      <c r="AR833" s="754"/>
      <c r="AS833" s="427"/>
      <c r="AT833" s="754"/>
      <c r="AU833" s="427"/>
      <c r="AV833" s="427"/>
      <c r="AW833" s="427"/>
      <c r="AX833" s="427"/>
      <c r="AY833" s="754"/>
      <c r="AZ833" s="754"/>
      <c r="BA833" s="754"/>
      <c r="BB833" s="427"/>
      <c r="BC833" s="427"/>
      <c r="BD833" s="427"/>
      <c r="BE833" s="754"/>
      <c r="BF833" s="427"/>
      <c r="BG833" s="454"/>
      <c r="BH833" s="754"/>
      <c r="BI833" s="427"/>
      <c r="BJ833" s="427"/>
      <c r="BK833" s="427"/>
      <c r="BL833" s="427"/>
      <c r="BM833" s="454"/>
      <c r="BN833" s="427"/>
      <c r="BO833" s="427"/>
      <c r="BP833" s="427"/>
      <c r="BQ833" s="454"/>
      <c r="BR833" s="454"/>
      <c r="BS833" s="460"/>
      <c r="BT833" s="454"/>
      <c r="BU833" s="454"/>
      <c r="BV833" s="457"/>
      <c r="BW833" s="460"/>
      <c r="BX833" s="460"/>
      <c r="BY833" s="460"/>
      <c r="CA833" s="2"/>
      <c r="CB833" s="2"/>
      <c r="CC833" s="2"/>
      <c r="CD833" s="2"/>
      <c r="CE833" s="2"/>
      <c r="CF833" s="2"/>
      <c r="CG833" s="2"/>
      <c r="CH833" s="2"/>
      <c r="CI833" s="2"/>
      <c r="CJ833" s="2"/>
      <c r="CK833" s="2"/>
      <c r="CL833" s="2"/>
      <c r="CM833" s="2"/>
      <c r="CN833" s="2"/>
      <c r="CO833" s="427"/>
      <c r="CP833" s="427"/>
      <c r="CQ833" s="427"/>
      <c r="CR833" s="485"/>
      <c r="CS833" s="485"/>
      <c r="CT833" s="485"/>
      <c r="CU833" s="485"/>
      <c r="CV833" s="482"/>
      <c r="CW833" s="482"/>
      <c r="CX833" s="482"/>
      <c r="CY833" s="482"/>
      <c r="CZ833" s="485"/>
      <c r="DA833" s="485"/>
      <c r="DB833" s="485"/>
      <c r="DC833" s="485"/>
      <c r="DD833" s="485"/>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485"/>
      <c r="EX833" s="457"/>
      <c r="EY833" s="457"/>
      <c r="EZ833" s="457"/>
      <c r="FA833" s="457"/>
      <c r="FB833" s="457"/>
      <c r="FC833" s="457"/>
      <c r="FD833" s="457"/>
      <c r="FE833" s="457"/>
      <c r="FF833" s="457"/>
      <c r="FG833" s="457"/>
      <c r="FH833" s="457"/>
      <c r="FI833" s="457"/>
      <c r="FJ833" s="457"/>
      <c r="FK833" s="457"/>
    </row>
    <row r="834" spans="1:167" s="416" customFormat="1">
      <c r="A834" s="427"/>
      <c r="B834" s="427"/>
      <c r="C834" s="427"/>
      <c r="D834" s="427"/>
      <c r="E834" s="428"/>
      <c r="F834" s="429"/>
      <c r="G834" s="430"/>
      <c r="H834" s="427"/>
      <c r="I834" s="427"/>
      <c r="J834" s="427"/>
      <c r="K834" s="427"/>
      <c r="L834" s="427"/>
      <c r="M834" s="427"/>
      <c r="N834" s="427"/>
      <c r="O834" s="427"/>
      <c r="P834" s="427"/>
      <c r="Q834" s="427"/>
      <c r="R834" s="427"/>
      <c r="S834" s="427"/>
      <c r="T834" s="427"/>
      <c r="U834" s="427"/>
      <c r="V834" s="428"/>
      <c r="W834" s="431"/>
      <c r="X834" s="3"/>
      <c r="Y834" s="429"/>
      <c r="Z834" s="430"/>
      <c r="AA834" s="430"/>
      <c r="AB834" s="430"/>
      <c r="AC834" s="424"/>
      <c r="AD834" s="424"/>
      <c r="AE834" s="424"/>
      <c r="AF834" s="424"/>
      <c r="AG834" s="424"/>
      <c r="AH834" s="424"/>
      <c r="AI834" s="424"/>
      <c r="AJ834" s="2"/>
      <c r="AK834" s="2"/>
      <c r="AL834" s="2"/>
      <c r="AM834" s="2"/>
      <c r="AN834" s="2"/>
      <c r="AO834" s="2"/>
      <c r="AP834" s="2"/>
      <c r="AQ834" s="427"/>
      <c r="AR834" s="754"/>
      <c r="AS834" s="427"/>
      <c r="AT834" s="754"/>
      <c r="AU834" s="427"/>
      <c r="AV834" s="427"/>
      <c r="AW834" s="427"/>
      <c r="AX834" s="427"/>
      <c r="AY834" s="754"/>
      <c r="AZ834" s="754"/>
      <c r="BA834" s="754"/>
      <c r="BB834" s="427"/>
      <c r="BC834" s="427"/>
      <c r="BD834" s="427"/>
      <c r="BE834" s="754"/>
      <c r="BF834" s="427"/>
      <c r="BG834" s="454"/>
      <c r="BH834" s="754"/>
      <c r="BI834" s="427"/>
      <c r="BJ834" s="427"/>
      <c r="BK834" s="427"/>
      <c r="BL834" s="427"/>
      <c r="BM834" s="454"/>
      <c r="BN834" s="427"/>
      <c r="BO834" s="427"/>
      <c r="BP834" s="427"/>
      <c r="BQ834" s="454"/>
      <c r="BR834" s="454"/>
      <c r="BS834" s="460"/>
      <c r="BT834" s="454"/>
      <c r="BU834" s="454"/>
      <c r="BV834" s="457"/>
      <c r="BW834" s="460"/>
      <c r="BX834" s="460"/>
      <c r="BY834" s="460"/>
      <c r="CA834" s="2"/>
      <c r="CB834" s="2"/>
      <c r="CC834" s="2"/>
      <c r="CD834" s="2"/>
      <c r="CE834" s="2"/>
      <c r="CF834" s="2"/>
      <c r="CG834" s="2"/>
      <c r="CH834" s="2"/>
      <c r="CI834" s="2"/>
      <c r="CJ834" s="2"/>
      <c r="CK834" s="2"/>
      <c r="CL834" s="2"/>
      <c r="CM834" s="2"/>
      <c r="CN834" s="2"/>
      <c r="CO834" s="427"/>
      <c r="CP834" s="427"/>
      <c r="CQ834" s="427"/>
      <c r="CR834" s="485"/>
      <c r="CS834" s="485"/>
      <c r="CT834" s="485"/>
      <c r="CU834" s="485"/>
      <c r="CV834" s="482"/>
      <c r="CW834" s="482"/>
      <c r="CX834" s="482"/>
      <c r="CY834" s="482"/>
      <c r="CZ834" s="485"/>
      <c r="DA834" s="485"/>
      <c r="DB834" s="485"/>
      <c r="DC834" s="485"/>
      <c r="DD834" s="485"/>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485"/>
      <c r="EX834" s="457"/>
      <c r="EY834" s="457"/>
      <c r="EZ834" s="457"/>
      <c r="FA834" s="457"/>
      <c r="FB834" s="457"/>
      <c r="FC834" s="457"/>
      <c r="FD834" s="457"/>
      <c r="FE834" s="457"/>
      <c r="FF834" s="457"/>
      <c r="FG834" s="457"/>
      <c r="FH834" s="457"/>
      <c r="FI834" s="457"/>
      <c r="FJ834" s="457"/>
      <c r="FK834" s="457"/>
    </row>
    <row r="835" spans="1:167" s="416" customFormat="1">
      <c r="A835" s="427"/>
      <c r="B835" s="427"/>
      <c r="C835" s="427"/>
      <c r="D835" s="427"/>
      <c r="E835" s="428"/>
      <c r="F835" s="429"/>
      <c r="G835" s="430"/>
      <c r="H835" s="427"/>
      <c r="I835" s="427"/>
      <c r="J835" s="427"/>
      <c r="K835" s="427"/>
      <c r="L835" s="427"/>
      <c r="M835" s="427"/>
      <c r="N835" s="427"/>
      <c r="O835" s="427"/>
      <c r="P835" s="427"/>
      <c r="Q835" s="427"/>
      <c r="R835" s="427"/>
      <c r="S835" s="427"/>
      <c r="T835" s="427"/>
      <c r="U835" s="427"/>
      <c r="V835" s="428"/>
      <c r="W835" s="431"/>
      <c r="X835" s="3"/>
      <c r="Y835" s="429"/>
      <c r="Z835" s="430"/>
      <c r="AA835" s="430"/>
      <c r="AB835" s="430"/>
      <c r="AC835" s="424"/>
      <c r="AD835" s="424"/>
      <c r="AE835" s="424"/>
      <c r="AF835" s="424"/>
      <c r="AG835" s="424"/>
      <c r="AH835" s="424"/>
      <c r="AI835" s="424"/>
      <c r="AJ835" s="2"/>
      <c r="AK835" s="2"/>
      <c r="AL835" s="2"/>
      <c r="AM835" s="2"/>
      <c r="AN835" s="2"/>
      <c r="AO835" s="2"/>
      <c r="AP835" s="2"/>
      <c r="AQ835" s="427"/>
      <c r="AR835" s="754"/>
      <c r="AS835" s="427"/>
      <c r="AT835" s="754"/>
      <c r="AU835" s="427"/>
      <c r="AV835" s="427"/>
      <c r="AW835" s="427"/>
      <c r="AX835" s="427"/>
      <c r="AY835" s="754"/>
      <c r="AZ835" s="754"/>
      <c r="BA835" s="754"/>
      <c r="BB835" s="427"/>
      <c r="BC835" s="427"/>
      <c r="BD835" s="427"/>
      <c r="BE835" s="754"/>
      <c r="BF835" s="427"/>
      <c r="BG835" s="454"/>
      <c r="BH835" s="754"/>
      <c r="BI835" s="427"/>
      <c r="BJ835" s="427"/>
      <c r="BK835" s="427"/>
      <c r="BL835" s="427"/>
      <c r="BM835" s="454"/>
      <c r="BN835" s="427"/>
      <c r="BO835" s="427"/>
      <c r="BP835" s="427"/>
      <c r="BQ835" s="454"/>
      <c r="BR835" s="454"/>
      <c r="BS835" s="460"/>
      <c r="BT835" s="454"/>
      <c r="BU835" s="454"/>
      <c r="BV835" s="457"/>
      <c r="BW835" s="460"/>
      <c r="BX835" s="460"/>
      <c r="BY835" s="460"/>
      <c r="CA835" s="2"/>
      <c r="CB835" s="2"/>
      <c r="CC835" s="2"/>
      <c r="CD835" s="2"/>
      <c r="CE835" s="2"/>
      <c r="CF835" s="2"/>
      <c r="CG835" s="2"/>
      <c r="CH835" s="2"/>
      <c r="CI835" s="2"/>
      <c r="CJ835" s="2"/>
      <c r="CK835" s="2"/>
      <c r="CL835" s="2"/>
      <c r="CM835" s="2"/>
      <c r="CN835" s="2"/>
      <c r="CO835" s="427"/>
      <c r="CP835" s="427"/>
      <c r="CQ835" s="427"/>
      <c r="CR835" s="485"/>
      <c r="CS835" s="485"/>
      <c r="CT835" s="485"/>
      <c r="CU835" s="485"/>
      <c r="CV835" s="482"/>
      <c r="CW835" s="482"/>
      <c r="CX835" s="482"/>
      <c r="CY835" s="482"/>
      <c r="CZ835" s="485"/>
      <c r="DA835" s="485"/>
      <c r="DB835" s="485"/>
      <c r="DC835" s="485"/>
      <c r="DD835" s="485"/>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485"/>
      <c r="EX835" s="457"/>
      <c r="EY835" s="457"/>
      <c r="EZ835" s="457"/>
      <c r="FA835" s="457"/>
      <c r="FB835" s="457"/>
      <c r="FC835" s="457"/>
      <c r="FD835" s="457"/>
      <c r="FE835" s="457"/>
      <c r="FF835" s="457"/>
      <c r="FG835" s="457"/>
      <c r="FH835" s="457"/>
      <c r="FI835" s="457"/>
      <c r="FJ835" s="457"/>
      <c r="FK835" s="457"/>
    </row>
    <row r="836" spans="1:167" s="416" customFormat="1">
      <c r="A836" s="427"/>
      <c r="B836" s="427"/>
      <c r="C836" s="427"/>
      <c r="D836" s="427"/>
      <c r="E836" s="428"/>
      <c r="F836" s="429"/>
      <c r="G836" s="430"/>
      <c r="H836" s="427"/>
      <c r="I836" s="427"/>
      <c r="J836" s="427"/>
      <c r="K836" s="427"/>
      <c r="L836" s="427"/>
      <c r="M836" s="427"/>
      <c r="N836" s="427"/>
      <c r="O836" s="427"/>
      <c r="P836" s="427"/>
      <c r="Q836" s="427"/>
      <c r="R836" s="427"/>
      <c r="S836" s="427"/>
      <c r="T836" s="427"/>
      <c r="U836" s="427"/>
      <c r="V836" s="428"/>
      <c r="W836" s="431"/>
      <c r="X836" s="3"/>
      <c r="Y836" s="429"/>
      <c r="Z836" s="430"/>
      <c r="AA836" s="430"/>
      <c r="AB836" s="430"/>
      <c r="AC836" s="424"/>
      <c r="AD836" s="424"/>
      <c r="AE836" s="424"/>
      <c r="AF836" s="424"/>
      <c r="AG836" s="424"/>
      <c r="AH836" s="424"/>
      <c r="AI836" s="424"/>
      <c r="AJ836" s="2"/>
      <c r="AK836" s="2"/>
      <c r="AL836" s="2"/>
      <c r="AM836" s="2"/>
      <c r="AN836" s="2"/>
      <c r="AO836" s="2"/>
      <c r="AP836" s="2"/>
      <c r="AQ836" s="427"/>
      <c r="AR836" s="754"/>
      <c r="AS836" s="427"/>
      <c r="AT836" s="754"/>
      <c r="AU836" s="427"/>
      <c r="AV836" s="427"/>
      <c r="AW836" s="427"/>
      <c r="AX836" s="427"/>
      <c r="AY836" s="754"/>
      <c r="AZ836" s="754"/>
      <c r="BA836" s="754"/>
      <c r="BB836" s="427"/>
      <c r="BC836" s="427"/>
      <c r="BD836" s="427"/>
      <c r="BE836" s="754"/>
      <c r="BF836" s="427"/>
      <c r="BG836" s="454"/>
      <c r="BH836" s="754"/>
      <c r="BI836" s="427"/>
      <c r="BJ836" s="427"/>
      <c r="BK836" s="427"/>
      <c r="BL836" s="427"/>
      <c r="BM836" s="454"/>
      <c r="BN836" s="427"/>
      <c r="BO836" s="427"/>
      <c r="BP836" s="427"/>
      <c r="BQ836" s="454"/>
      <c r="BR836" s="454"/>
      <c r="BS836" s="460"/>
      <c r="BT836" s="454"/>
      <c r="BU836" s="454"/>
      <c r="BV836" s="457"/>
      <c r="BW836" s="460"/>
      <c r="BX836" s="460"/>
      <c r="BY836" s="460"/>
      <c r="CA836" s="2"/>
      <c r="CB836" s="2"/>
      <c r="CC836" s="2"/>
      <c r="CD836" s="2"/>
      <c r="CE836" s="2"/>
      <c r="CF836" s="2"/>
      <c r="CG836" s="2"/>
      <c r="CH836" s="2"/>
      <c r="CI836" s="2"/>
      <c r="CJ836" s="2"/>
      <c r="CK836" s="2"/>
      <c r="CL836" s="2"/>
      <c r="CM836" s="2"/>
      <c r="CN836" s="2"/>
      <c r="CO836" s="427"/>
      <c r="CP836" s="427"/>
      <c r="CQ836" s="427"/>
      <c r="CR836" s="485"/>
      <c r="CS836" s="485"/>
      <c r="CT836" s="485"/>
      <c r="CU836" s="485"/>
      <c r="CV836" s="482"/>
      <c r="CW836" s="482"/>
      <c r="CX836" s="482"/>
      <c r="CY836" s="482"/>
      <c r="CZ836" s="485"/>
      <c r="DA836" s="485"/>
      <c r="DB836" s="485"/>
      <c r="DC836" s="485"/>
      <c r="DD836" s="485"/>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485"/>
      <c r="EX836" s="457"/>
      <c r="EY836" s="457"/>
      <c r="EZ836" s="457"/>
      <c r="FA836" s="457"/>
      <c r="FB836" s="457"/>
      <c r="FC836" s="457"/>
      <c r="FD836" s="457"/>
      <c r="FE836" s="457"/>
      <c r="FF836" s="457"/>
      <c r="FG836" s="457"/>
      <c r="FH836" s="457"/>
      <c r="FI836" s="457"/>
      <c r="FJ836" s="457"/>
      <c r="FK836" s="457"/>
    </row>
    <row r="837" spans="1:167" s="416" customFormat="1">
      <c r="A837" s="427"/>
      <c r="B837" s="427"/>
      <c r="C837" s="427"/>
      <c r="D837" s="427"/>
      <c r="E837" s="428"/>
      <c r="F837" s="429"/>
      <c r="G837" s="430"/>
      <c r="H837" s="427"/>
      <c r="I837" s="427"/>
      <c r="J837" s="427"/>
      <c r="K837" s="427"/>
      <c r="L837" s="427"/>
      <c r="M837" s="427"/>
      <c r="N837" s="427"/>
      <c r="O837" s="427"/>
      <c r="P837" s="427"/>
      <c r="Q837" s="427"/>
      <c r="R837" s="427"/>
      <c r="S837" s="427"/>
      <c r="T837" s="427"/>
      <c r="U837" s="427"/>
      <c r="V837" s="428"/>
      <c r="W837" s="431"/>
      <c r="X837" s="3"/>
      <c r="Y837" s="429"/>
      <c r="Z837" s="430"/>
      <c r="AA837" s="430"/>
      <c r="AB837" s="430"/>
      <c r="AC837" s="424"/>
      <c r="AD837" s="424"/>
      <c r="AE837" s="424"/>
      <c r="AF837" s="424"/>
      <c r="AG837" s="424"/>
      <c r="AH837" s="424"/>
      <c r="AI837" s="424"/>
      <c r="AJ837" s="2"/>
      <c r="AK837" s="2"/>
      <c r="AL837" s="2"/>
      <c r="AM837" s="2"/>
      <c r="AN837" s="2"/>
      <c r="AO837" s="2"/>
      <c r="AP837" s="2"/>
      <c r="AQ837" s="427"/>
      <c r="AR837" s="754"/>
      <c r="AS837" s="427"/>
      <c r="AT837" s="754"/>
      <c r="AU837" s="427"/>
      <c r="AV837" s="427"/>
      <c r="AW837" s="427"/>
      <c r="AX837" s="427"/>
      <c r="AY837" s="754"/>
      <c r="AZ837" s="754"/>
      <c r="BA837" s="754"/>
      <c r="BB837" s="427"/>
      <c r="BC837" s="427"/>
      <c r="BD837" s="427"/>
      <c r="BE837" s="754"/>
      <c r="BF837" s="427"/>
      <c r="BG837" s="454"/>
      <c r="BH837" s="754"/>
      <c r="BI837" s="427"/>
      <c r="BJ837" s="427"/>
      <c r="BK837" s="427"/>
      <c r="BL837" s="427"/>
      <c r="BM837" s="454"/>
      <c r="BN837" s="427"/>
      <c r="BO837" s="427"/>
      <c r="BP837" s="427"/>
      <c r="BQ837" s="454"/>
      <c r="BR837" s="454"/>
      <c r="BS837" s="460"/>
      <c r="BT837" s="454"/>
      <c r="BU837" s="454"/>
      <c r="BV837" s="457"/>
      <c r="BW837" s="460"/>
      <c r="BX837" s="460"/>
      <c r="BY837" s="460"/>
      <c r="CA837" s="2"/>
      <c r="CB837" s="2"/>
      <c r="CC837" s="2"/>
      <c r="CD837" s="2"/>
      <c r="CE837" s="2"/>
      <c r="CF837" s="2"/>
      <c r="CG837" s="2"/>
      <c r="CH837" s="2"/>
      <c r="CI837" s="2"/>
      <c r="CJ837" s="2"/>
      <c r="CK837" s="2"/>
      <c r="CL837" s="2"/>
      <c r="CM837" s="2"/>
      <c r="CN837" s="2"/>
      <c r="CO837" s="427"/>
      <c r="CP837" s="427"/>
      <c r="CQ837" s="427"/>
      <c r="CR837" s="485"/>
      <c r="CS837" s="485"/>
      <c r="CT837" s="485"/>
      <c r="CU837" s="485"/>
      <c r="CV837" s="482"/>
      <c r="CW837" s="482"/>
      <c r="CX837" s="482"/>
      <c r="CY837" s="482"/>
      <c r="CZ837" s="485"/>
      <c r="DA837" s="485"/>
      <c r="DB837" s="485"/>
      <c r="DC837" s="485"/>
      <c r="DD837" s="485"/>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485"/>
      <c r="EX837" s="457"/>
      <c r="EY837" s="457"/>
      <c r="EZ837" s="457"/>
      <c r="FA837" s="457"/>
      <c r="FB837" s="457"/>
      <c r="FC837" s="457"/>
      <c r="FD837" s="457"/>
      <c r="FE837" s="457"/>
      <c r="FF837" s="457"/>
      <c r="FG837" s="457"/>
      <c r="FH837" s="457"/>
      <c r="FI837" s="457"/>
      <c r="FJ837" s="457"/>
      <c r="FK837" s="457"/>
    </row>
    <row r="838" spans="1:167" s="416" customFormat="1">
      <c r="A838" s="427"/>
      <c r="B838" s="427"/>
      <c r="C838" s="427"/>
      <c r="D838" s="427"/>
      <c r="E838" s="428"/>
      <c r="F838" s="429"/>
      <c r="G838" s="430"/>
      <c r="H838" s="427"/>
      <c r="I838" s="427"/>
      <c r="J838" s="427"/>
      <c r="K838" s="427"/>
      <c r="L838" s="427"/>
      <c r="M838" s="427"/>
      <c r="N838" s="427"/>
      <c r="O838" s="427"/>
      <c r="P838" s="427"/>
      <c r="Q838" s="427"/>
      <c r="R838" s="427"/>
      <c r="S838" s="427"/>
      <c r="T838" s="427"/>
      <c r="U838" s="427"/>
      <c r="V838" s="428"/>
      <c r="W838" s="431"/>
      <c r="X838" s="3"/>
      <c r="Y838" s="429"/>
      <c r="Z838" s="430"/>
      <c r="AA838" s="430"/>
      <c r="AB838" s="430"/>
      <c r="AC838" s="424"/>
      <c r="AD838" s="424"/>
      <c r="AE838" s="424"/>
      <c r="AF838" s="424"/>
      <c r="AG838" s="424"/>
      <c r="AH838" s="424"/>
      <c r="AI838" s="424"/>
      <c r="AJ838" s="2"/>
      <c r="AK838" s="2"/>
      <c r="AL838" s="2"/>
      <c r="AM838" s="2"/>
      <c r="AN838" s="2"/>
      <c r="AO838" s="2"/>
      <c r="AP838" s="2"/>
      <c r="AQ838" s="427"/>
      <c r="AR838" s="754"/>
      <c r="AS838" s="427"/>
      <c r="AT838" s="754"/>
      <c r="AU838" s="427"/>
      <c r="AV838" s="427"/>
      <c r="AW838" s="427"/>
      <c r="AX838" s="427"/>
      <c r="AY838" s="754"/>
      <c r="AZ838" s="754"/>
      <c r="BA838" s="754"/>
      <c r="BB838" s="427"/>
      <c r="BC838" s="427"/>
      <c r="BD838" s="427"/>
      <c r="BE838" s="754"/>
      <c r="BF838" s="427"/>
      <c r="BG838" s="454"/>
      <c r="BH838" s="754"/>
      <c r="BI838" s="427"/>
      <c r="BJ838" s="427"/>
      <c r="BK838" s="427"/>
      <c r="BL838" s="427"/>
      <c r="BM838" s="454"/>
      <c r="BN838" s="427"/>
      <c r="BO838" s="427"/>
      <c r="BP838" s="427"/>
      <c r="BQ838" s="454"/>
      <c r="BR838" s="454"/>
      <c r="BS838" s="460"/>
      <c r="BT838" s="454"/>
      <c r="BU838" s="454"/>
      <c r="BV838" s="457"/>
      <c r="BW838" s="460"/>
      <c r="BX838" s="460"/>
      <c r="BY838" s="460"/>
      <c r="CA838" s="2"/>
      <c r="CB838" s="2"/>
      <c r="CC838" s="2"/>
      <c r="CD838" s="2"/>
      <c r="CE838" s="2"/>
      <c r="CF838" s="2"/>
      <c r="CG838" s="2"/>
      <c r="CH838" s="2"/>
      <c r="CI838" s="2"/>
      <c r="CJ838" s="2"/>
      <c r="CK838" s="2"/>
      <c r="CL838" s="2"/>
      <c r="CM838" s="2"/>
      <c r="CN838" s="2"/>
      <c r="CO838" s="427"/>
      <c r="CP838" s="427"/>
      <c r="CQ838" s="427"/>
      <c r="CR838" s="485"/>
      <c r="CS838" s="485"/>
      <c r="CT838" s="485"/>
      <c r="CU838" s="485"/>
      <c r="CV838" s="482"/>
      <c r="CW838" s="482"/>
      <c r="CX838" s="482"/>
      <c r="CY838" s="482"/>
      <c r="CZ838" s="485"/>
      <c r="DA838" s="485"/>
      <c r="DB838" s="485"/>
      <c r="DC838" s="485"/>
      <c r="DD838" s="485"/>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485"/>
      <c r="EX838" s="457"/>
      <c r="EY838" s="457"/>
      <c r="EZ838" s="457"/>
      <c r="FA838" s="457"/>
      <c r="FB838" s="457"/>
      <c r="FC838" s="457"/>
      <c r="FD838" s="457"/>
      <c r="FE838" s="457"/>
      <c r="FF838" s="457"/>
      <c r="FG838" s="457"/>
      <c r="FH838" s="457"/>
      <c r="FI838" s="457"/>
      <c r="FJ838" s="457"/>
      <c r="FK838" s="457"/>
    </row>
    <row r="839" spans="1:167" s="416" customFormat="1">
      <c r="A839" s="427"/>
      <c r="B839" s="427"/>
      <c r="C839" s="427"/>
      <c r="D839" s="427"/>
      <c r="E839" s="428"/>
      <c r="F839" s="429"/>
      <c r="G839" s="430"/>
      <c r="H839" s="427"/>
      <c r="I839" s="427"/>
      <c r="J839" s="427"/>
      <c r="K839" s="427"/>
      <c r="L839" s="427"/>
      <c r="M839" s="427"/>
      <c r="N839" s="427"/>
      <c r="O839" s="427"/>
      <c r="P839" s="427"/>
      <c r="Q839" s="427"/>
      <c r="R839" s="427"/>
      <c r="S839" s="427"/>
      <c r="T839" s="427"/>
      <c r="U839" s="427"/>
      <c r="V839" s="428"/>
      <c r="W839" s="431"/>
      <c r="X839" s="3"/>
      <c r="Y839" s="429"/>
      <c r="Z839" s="430"/>
      <c r="AA839" s="430"/>
      <c r="AB839" s="430"/>
      <c r="AC839" s="424"/>
      <c r="AD839" s="424"/>
      <c r="AE839" s="424"/>
      <c r="AF839" s="424"/>
      <c r="AG839" s="424"/>
      <c r="AH839" s="424"/>
      <c r="AI839" s="424"/>
      <c r="AJ839" s="2"/>
      <c r="AK839" s="2"/>
      <c r="AL839" s="2"/>
      <c r="AM839" s="2"/>
      <c r="AN839" s="2"/>
      <c r="AO839" s="2"/>
      <c r="AP839" s="2"/>
      <c r="AQ839" s="427"/>
      <c r="AR839" s="754"/>
      <c r="AS839" s="427"/>
      <c r="AT839" s="754"/>
      <c r="AU839" s="427"/>
      <c r="AV839" s="427"/>
      <c r="AW839" s="427"/>
      <c r="AX839" s="427"/>
      <c r="AY839" s="754"/>
      <c r="AZ839" s="754"/>
      <c r="BA839" s="754"/>
      <c r="BB839" s="427"/>
      <c r="BC839" s="427"/>
      <c r="BD839" s="427"/>
      <c r="BE839" s="754"/>
      <c r="BF839" s="427"/>
      <c r="BG839" s="454"/>
      <c r="BH839" s="754"/>
      <c r="BI839" s="427"/>
      <c r="BJ839" s="427"/>
      <c r="BK839" s="427"/>
      <c r="BL839" s="427"/>
      <c r="BM839" s="454"/>
      <c r="BN839" s="427"/>
      <c r="BO839" s="427"/>
      <c r="BP839" s="427"/>
      <c r="BQ839" s="454"/>
      <c r="BR839" s="454"/>
      <c r="BS839" s="460"/>
      <c r="BT839" s="454"/>
      <c r="BU839" s="454"/>
      <c r="BV839" s="457"/>
      <c r="BW839" s="460"/>
      <c r="BX839" s="460"/>
      <c r="BY839" s="460"/>
      <c r="CA839" s="2"/>
      <c r="CB839" s="2"/>
      <c r="CC839" s="2"/>
      <c r="CD839" s="2"/>
      <c r="CE839" s="2"/>
      <c r="CF839" s="2"/>
      <c r="CG839" s="2"/>
      <c r="CH839" s="2"/>
      <c r="CI839" s="2"/>
      <c r="CJ839" s="2"/>
      <c r="CK839" s="2"/>
      <c r="CL839" s="2"/>
      <c r="CM839" s="2"/>
      <c r="CN839" s="2"/>
      <c r="CO839" s="427"/>
      <c r="CP839" s="427"/>
      <c r="CQ839" s="427"/>
      <c r="CR839" s="485"/>
      <c r="CS839" s="485"/>
      <c r="CT839" s="485"/>
      <c r="CU839" s="485"/>
      <c r="CV839" s="482"/>
      <c r="CW839" s="482"/>
      <c r="CX839" s="482"/>
      <c r="CY839" s="482"/>
      <c r="CZ839" s="485"/>
      <c r="DA839" s="485"/>
      <c r="DB839" s="485"/>
      <c r="DC839" s="485"/>
      <c r="DD839" s="485"/>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485"/>
      <c r="EX839" s="457"/>
      <c r="EY839" s="457"/>
      <c r="EZ839" s="457"/>
      <c r="FA839" s="457"/>
      <c r="FB839" s="457"/>
      <c r="FC839" s="457"/>
      <c r="FD839" s="457"/>
      <c r="FE839" s="457"/>
      <c r="FF839" s="457"/>
      <c r="FG839" s="457"/>
      <c r="FH839" s="457"/>
      <c r="FI839" s="457"/>
      <c r="FJ839" s="457"/>
      <c r="FK839" s="457"/>
    </row>
    <row r="840" spans="1:167" s="416" customFormat="1">
      <c r="A840" s="427"/>
      <c r="B840" s="427"/>
      <c r="C840" s="427"/>
      <c r="D840" s="427"/>
      <c r="E840" s="428"/>
      <c r="F840" s="429"/>
      <c r="G840" s="430"/>
      <c r="H840" s="427"/>
      <c r="I840" s="427"/>
      <c r="J840" s="427"/>
      <c r="K840" s="427"/>
      <c r="L840" s="427"/>
      <c r="M840" s="427"/>
      <c r="N840" s="427"/>
      <c r="O840" s="427"/>
      <c r="P840" s="427"/>
      <c r="Q840" s="427"/>
      <c r="R840" s="427"/>
      <c r="S840" s="427"/>
      <c r="T840" s="427"/>
      <c r="U840" s="427"/>
      <c r="V840" s="428"/>
      <c r="W840" s="431"/>
      <c r="X840" s="3"/>
      <c r="Y840" s="429"/>
      <c r="Z840" s="430"/>
      <c r="AA840" s="430"/>
      <c r="AB840" s="430"/>
      <c r="AC840" s="424"/>
      <c r="AD840" s="424"/>
      <c r="AE840" s="424"/>
      <c r="AF840" s="424"/>
      <c r="AG840" s="424"/>
      <c r="AH840" s="424"/>
      <c r="AI840" s="424"/>
      <c r="AJ840" s="2"/>
      <c r="AK840" s="2"/>
      <c r="AL840" s="2"/>
      <c r="AM840" s="2"/>
      <c r="AN840" s="2"/>
      <c r="AO840" s="2"/>
      <c r="AP840" s="2"/>
      <c r="AQ840" s="427"/>
      <c r="AR840" s="754"/>
      <c r="AS840" s="427"/>
      <c r="AT840" s="754"/>
      <c r="AU840" s="427"/>
      <c r="AV840" s="427"/>
      <c r="AW840" s="427"/>
      <c r="AX840" s="427"/>
      <c r="AY840" s="754"/>
      <c r="AZ840" s="754"/>
      <c r="BA840" s="754"/>
      <c r="BB840" s="427"/>
      <c r="BC840" s="427"/>
      <c r="BD840" s="427"/>
      <c r="BE840" s="754"/>
      <c r="BF840" s="427"/>
      <c r="BG840" s="454"/>
      <c r="BH840" s="754"/>
      <c r="BI840" s="427"/>
      <c r="BJ840" s="427"/>
      <c r="BK840" s="427"/>
      <c r="BL840" s="427"/>
      <c r="BM840" s="454"/>
      <c r="BN840" s="427"/>
      <c r="BO840" s="427"/>
      <c r="BP840" s="427"/>
      <c r="BQ840" s="454"/>
      <c r="BR840" s="454"/>
      <c r="BS840" s="460"/>
      <c r="BT840" s="454"/>
      <c r="BU840" s="454"/>
      <c r="BV840" s="457"/>
      <c r="BW840" s="460"/>
      <c r="BX840" s="460"/>
      <c r="BY840" s="460"/>
      <c r="CA840" s="2"/>
      <c r="CB840" s="2"/>
      <c r="CC840" s="2"/>
      <c r="CD840" s="2"/>
      <c r="CE840" s="2"/>
      <c r="CF840" s="2"/>
      <c r="CG840" s="2"/>
      <c r="CH840" s="2"/>
      <c r="CI840" s="2"/>
      <c r="CJ840" s="2"/>
      <c r="CK840" s="2"/>
      <c r="CL840" s="2"/>
      <c r="CM840" s="2"/>
      <c r="CN840" s="2"/>
      <c r="CO840" s="427"/>
      <c r="CP840" s="427"/>
      <c r="CQ840" s="427"/>
      <c r="CR840" s="485"/>
      <c r="CS840" s="485"/>
      <c r="CT840" s="485"/>
      <c r="CU840" s="485"/>
      <c r="CV840" s="482"/>
      <c r="CW840" s="482"/>
      <c r="CX840" s="482"/>
      <c r="CY840" s="482"/>
      <c r="CZ840" s="485"/>
      <c r="DA840" s="485"/>
      <c r="DB840" s="485"/>
      <c r="DC840" s="485"/>
      <c r="DD840" s="485"/>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485"/>
      <c r="EX840" s="457"/>
      <c r="EY840" s="457"/>
      <c r="EZ840" s="457"/>
      <c r="FA840" s="457"/>
      <c r="FB840" s="457"/>
      <c r="FC840" s="457"/>
      <c r="FD840" s="457"/>
      <c r="FE840" s="457"/>
      <c r="FF840" s="457"/>
      <c r="FG840" s="457"/>
      <c r="FH840" s="457"/>
      <c r="FI840" s="457"/>
      <c r="FJ840" s="457"/>
      <c r="FK840" s="457"/>
    </row>
    <row r="841" spans="1:167" s="416" customFormat="1">
      <c r="A841" s="427"/>
      <c r="B841" s="427"/>
      <c r="C841" s="427"/>
      <c r="D841" s="427"/>
      <c r="E841" s="428"/>
      <c r="F841" s="429"/>
      <c r="G841" s="430"/>
      <c r="H841" s="427"/>
      <c r="I841" s="427"/>
      <c r="J841" s="427"/>
      <c r="K841" s="427"/>
      <c r="L841" s="427"/>
      <c r="M841" s="427"/>
      <c r="N841" s="427"/>
      <c r="O841" s="427"/>
      <c r="P841" s="427"/>
      <c r="Q841" s="427"/>
      <c r="R841" s="427"/>
      <c r="S841" s="427"/>
      <c r="T841" s="427"/>
      <c r="U841" s="427"/>
      <c r="V841" s="428"/>
      <c r="W841" s="431"/>
      <c r="X841" s="3"/>
      <c r="Y841" s="429"/>
      <c r="Z841" s="430"/>
      <c r="AA841" s="430"/>
      <c r="AB841" s="430"/>
      <c r="AC841" s="424"/>
      <c r="AD841" s="424"/>
      <c r="AE841" s="424"/>
      <c r="AF841" s="424"/>
      <c r="AG841" s="424"/>
      <c r="AH841" s="424"/>
      <c r="AI841" s="424"/>
      <c r="AJ841" s="2"/>
      <c r="AK841" s="2"/>
      <c r="AL841" s="2"/>
      <c r="AM841" s="2"/>
      <c r="AN841" s="2"/>
      <c r="AO841" s="2"/>
      <c r="AP841" s="2"/>
      <c r="AQ841" s="427"/>
      <c r="AR841" s="754"/>
      <c r="AS841" s="427"/>
      <c r="AT841" s="754"/>
      <c r="AU841" s="427"/>
      <c r="AV841" s="427"/>
      <c r="AW841" s="427"/>
      <c r="AX841" s="427"/>
      <c r="AY841" s="754"/>
      <c r="AZ841" s="754"/>
      <c r="BA841" s="754"/>
      <c r="BB841" s="427"/>
      <c r="BC841" s="427"/>
      <c r="BD841" s="427"/>
      <c r="BE841" s="754"/>
      <c r="BF841" s="427"/>
      <c r="BG841" s="454"/>
      <c r="BH841" s="754"/>
      <c r="BI841" s="427"/>
      <c r="BJ841" s="427"/>
      <c r="BK841" s="427"/>
      <c r="BL841" s="427"/>
      <c r="BM841" s="454"/>
      <c r="BN841" s="427"/>
      <c r="BO841" s="427"/>
      <c r="BP841" s="427"/>
      <c r="BQ841" s="454"/>
      <c r="BR841" s="454"/>
      <c r="BS841" s="460"/>
      <c r="BT841" s="454"/>
      <c r="BU841" s="454"/>
      <c r="BV841" s="457"/>
      <c r="BW841" s="460"/>
      <c r="BX841" s="460"/>
      <c r="BY841" s="460"/>
      <c r="CA841" s="2"/>
      <c r="CB841" s="2"/>
      <c r="CC841" s="2"/>
      <c r="CD841" s="2"/>
      <c r="CE841" s="2"/>
      <c r="CF841" s="2"/>
      <c r="CG841" s="2"/>
      <c r="CH841" s="2"/>
      <c r="CI841" s="2"/>
      <c r="CJ841" s="2"/>
      <c r="CK841" s="2"/>
      <c r="CL841" s="2"/>
      <c r="CM841" s="2"/>
      <c r="CN841" s="2"/>
      <c r="CO841" s="427"/>
      <c r="CP841" s="427"/>
      <c r="CQ841" s="427"/>
      <c r="CR841" s="485"/>
      <c r="CS841" s="485"/>
      <c r="CT841" s="485"/>
      <c r="CU841" s="485"/>
      <c r="CV841" s="482"/>
      <c r="CW841" s="482"/>
      <c r="CX841" s="482"/>
      <c r="CY841" s="482"/>
      <c r="CZ841" s="485"/>
      <c r="DA841" s="485"/>
      <c r="DB841" s="485"/>
      <c r="DC841" s="485"/>
      <c r="DD841" s="485"/>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485"/>
      <c r="EX841" s="457"/>
      <c r="EY841" s="457"/>
      <c r="EZ841" s="457"/>
      <c r="FA841" s="457"/>
      <c r="FB841" s="457"/>
      <c r="FC841" s="457"/>
      <c r="FD841" s="457"/>
      <c r="FE841" s="457"/>
      <c r="FF841" s="457"/>
      <c r="FG841" s="457"/>
      <c r="FH841" s="457"/>
      <c r="FI841" s="457"/>
      <c r="FJ841" s="457"/>
      <c r="FK841" s="457"/>
    </row>
    <row r="842" spans="1:167" s="416" customFormat="1">
      <c r="A842" s="427"/>
      <c r="B842" s="427"/>
      <c r="C842" s="427"/>
      <c r="D842" s="427"/>
      <c r="E842" s="428"/>
      <c r="F842" s="429"/>
      <c r="G842" s="430"/>
      <c r="H842" s="427"/>
      <c r="I842" s="427"/>
      <c r="J842" s="427"/>
      <c r="K842" s="427"/>
      <c r="L842" s="427"/>
      <c r="M842" s="427"/>
      <c r="N842" s="427"/>
      <c r="O842" s="427"/>
      <c r="P842" s="427"/>
      <c r="Q842" s="427"/>
      <c r="R842" s="427"/>
      <c r="S842" s="427"/>
      <c r="T842" s="427"/>
      <c r="U842" s="427"/>
      <c r="V842" s="428"/>
      <c r="W842" s="431"/>
      <c r="X842" s="3"/>
      <c r="Y842" s="429"/>
      <c r="Z842" s="430"/>
      <c r="AA842" s="430"/>
      <c r="AB842" s="430"/>
      <c r="AC842" s="424"/>
      <c r="AD842" s="424"/>
      <c r="AE842" s="424"/>
      <c r="AF842" s="424"/>
      <c r="AG842" s="424"/>
      <c r="AH842" s="424"/>
      <c r="AI842" s="424"/>
      <c r="AJ842" s="2"/>
      <c r="AK842" s="2"/>
      <c r="AL842" s="2"/>
      <c r="AM842" s="2"/>
      <c r="AN842" s="2"/>
      <c r="AO842" s="2"/>
      <c r="AP842" s="2"/>
      <c r="AQ842" s="427"/>
      <c r="AR842" s="754"/>
      <c r="AS842" s="427"/>
      <c r="AT842" s="754"/>
      <c r="AU842" s="427"/>
      <c r="AV842" s="427"/>
      <c r="AW842" s="427"/>
      <c r="AX842" s="427"/>
      <c r="AY842" s="754"/>
      <c r="AZ842" s="754"/>
      <c r="BA842" s="754"/>
      <c r="BB842" s="427"/>
      <c r="BC842" s="427"/>
      <c r="BD842" s="427"/>
      <c r="BE842" s="754"/>
      <c r="BF842" s="427"/>
      <c r="BG842" s="454"/>
      <c r="BH842" s="754"/>
      <c r="BI842" s="427"/>
      <c r="BJ842" s="427"/>
      <c r="BK842" s="427"/>
      <c r="BL842" s="427"/>
      <c r="BM842" s="454"/>
      <c r="BN842" s="427"/>
      <c r="BO842" s="427"/>
      <c r="BP842" s="427"/>
      <c r="BQ842" s="454"/>
      <c r="BR842" s="454"/>
      <c r="BS842" s="460"/>
      <c r="BT842" s="454"/>
      <c r="BU842" s="454"/>
      <c r="BV842" s="457"/>
      <c r="BW842" s="460"/>
      <c r="BX842" s="460"/>
      <c r="BY842" s="460"/>
      <c r="CA842" s="2"/>
      <c r="CB842" s="2"/>
      <c r="CC842" s="2"/>
      <c r="CD842" s="2"/>
      <c r="CE842" s="2"/>
      <c r="CF842" s="2"/>
      <c r="CG842" s="2"/>
      <c r="CH842" s="2"/>
      <c r="CI842" s="2"/>
      <c r="CJ842" s="2"/>
      <c r="CK842" s="2"/>
      <c r="CL842" s="2"/>
      <c r="CM842" s="2"/>
      <c r="CN842" s="2"/>
      <c r="CO842" s="427"/>
      <c r="CP842" s="427"/>
      <c r="CQ842" s="427"/>
      <c r="CR842" s="485"/>
      <c r="CS842" s="485"/>
      <c r="CT842" s="485"/>
      <c r="CU842" s="485"/>
      <c r="CV842" s="482"/>
      <c r="CW842" s="482"/>
      <c r="CX842" s="482"/>
      <c r="CY842" s="482"/>
      <c r="CZ842" s="485"/>
      <c r="DA842" s="485"/>
      <c r="DB842" s="485"/>
      <c r="DC842" s="485"/>
      <c r="DD842" s="485"/>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485"/>
      <c r="EX842" s="457"/>
      <c r="EY842" s="457"/>
      <c r="EZ842" s="457"/>
      <c r="FA842" s="457"/>
      <c r="FB842" s="457"/>
      <c r="FC842" s="457"/>
      <c r="FD842" s="457"/>
      <c r="FE842" s="457"/>
      <c r="FF842" s="457"/>
      <c r="FG842" s="457"/>
      <c r="FH842" s="457"/>
      <c r="FI842" s="457"/>
      <c r="FJ842" s="457"/>
      <c r="FK842" s="457"/>
    </row>
    <row r="843" spans="1:167" s="416" customFormat="1">
      <c r="A843" s="427"/>
      <c r="B843" s="427"/>
      <c r="C843" s="427"/>
      <c r="D843" s="427"/>
      <c r="E843" s="428"/>
      <c r="F843" s="429"/>
      <c r="G843" s="430"/>
      <c r="H843" s="427"/>
      <c r="I843" s="427"/>
      <c r="J843" s="427"/>
      <c r="K843" s="427"/>
      <c r="L843" s="427"/>
      <c r="M843" s="427"/>
      <c r="N843" s="427"/>
      <c r="O843" s="427"/>
      <c r="P843" s="427"/>
      <c r="Q843" s="427"/>
      <c r="R843" s="427"/>
      <c r="S843" s="427"/>
      <c r="T843" s="427"/>
      <c r="U843" s="427"/>
      <c r="V843" s="428"/>
      <c r="W843" s="431"/>
      <c r="X843" s="3"/>
      <c r="Y843" s="429"/>
      <c r="Z843" s="430"/>
      <c r="AA843" s="430"/>
      <c r="AB843" s="430"/>
      <c r="AC843" s="424"/>
      <c r="AD843" s="424"/>
      <c r="AE843" s="424"/>
      <c r="AF843" s="424"/>
      <c r="AG843" s="424"/>
      <c r="AH843" s="424"/>
      <c r="AI843" s="424"/>
      <c r="AJ843" s="2"/>
      <c r="AK843" s="2"/>
      <c r="AL843" s="2"/>
      <c r="AM843" s="2"/>
      <c r="AN843" s="2"/>
      <c r="AO843" s="2"/>
      <c r="AP843" s="2"/>
      <c r="AQ843" s="427"/>
      <c r="AR843" s="754"/>
      <c r="AS843" s="427"/>
      <c r="AT843" s="754"/>
      <c r="AU843" s="427"/>
      <c r="AV843" s="427"/>
      <c r="AW843" s="427"/>
      <c r="AX843" s="427"/>
      <c r="AY843" s="754"/>
      <c r="AZ843" s="754"/>
      <c r="BA843" s="754"/>
      <c r="BB843" s="427"/>
      <c r="BC843" s="427"/>
      <c r="BD843" s="427"/>
      <c r="BE843" s="754"/>
      <c r="BF843" s="427"/>
      <c r="BG843" s="454"/>
      <c r="BH843" s="754"/>
      <c r="BI843" s="427"/>
      <c r="BJ843" s="427"/>
      <c r="BK843" s="427"/>
      <c r="BL843" s="427"/>
      <c r="BM843" s="454"/>
      <c r="BN843" s="427"/>
      <c r="BO843" s="427"/>
      <c r="BP843" s="427"/>
      <c r="BQ843" s="454"/>
      <c r="BR843" s="454"/>
      <c r="BS843" s="460"/>
      <c r="BT843" s="454"/>
      <c r="BU843" s="454"/>
      <c r="BV843" s="457"/>
      <c r="BW843" s="460"/>
      <c r="BX843" s="460"/>
      <c r="BY843" s="460"/>
      <c r="CA843" s="2"/>
      <c r="CB843" s="2"/>
      <c r="CC843" s="2"/>
      <c r="CD843" s="2"/>
      <c r="CE843" s="2"/>
      <c r="CF843" s="2"/>
      <c r="CG843" s="2"/>
      <c r="CH843" s="2"/>
      <c r="CI843" s="2"/>
      <c r="CJ843" s="2"/>
      <c r="CK843" s="2"/>
      <c r="CL843" s="2"/>
      <c r="CM843" s="2"/>
      <c r="CN843" s="2"/>
      <c r="CO843" s="427"/>
      <c r="CP843" s="427"/>
      <c r="CQ843" s="427"/>
      <c r="CR843" s="485"/>
      <c r="CS843" s="485"/>
      <c r="CT843" s="485"/>
      <c r="CU843" s="485"/>
      <c r="CV843" s="482"/>
      <c r="CW843" s="482"/>
      <c r="CX843" s="482"/>
      <c r="CY843" s="482"/>
      <c r="CZ843" s="485"/>
      <c r="DA843" s="485"/>
      <c r="DB843" s="485"/>
      <c r="DC843" s="485"/>
      <c r="DD843" s="485"/>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485"/>
      <c r="EX843" s="457"/>
      <c r="EY843" s="457"/>
      <c r="EZ843" s="457"/>
      <c r="FA843" s="457"/>
      <c r="FB843" s="457"/>
      <c r="FC843" s="457"/>
      <c r="FD843" s="457"/>
      <c r="FE843" s="457"/>
      <c r="FF843" s="457"/>
      <c r="FG843" s="457"/>
      <c r="FH843" s="457"/>
      <c r="FI843" s="457"/>
      <c r="FJ843" s="457"/>
      <c r="FK843" s="457"/>
    </row>
    <row r="844" spans="1:167" s="416" customFormat="1">
      <c r="A844" s="427"/>
      <c r="B844" s="427"/>
      <c r="C844" s="427"/>
      <c r="D844" s="427"/>
      <c r="E844" s="428"/>
      <c r="F844" s="429"/>
      <c r="G844" s="430"/>
      <c r="H844" s="427"/>
      <c r="I844" s="427"/>
      <c r="J844" s="427"/>
      <c r="K844" s="427"/>
      <c r="L844" s="427"/>
      <c r="M844" s="427"/>
      <c r="N844" s="427"/>
      <c r="O844" s="427"/>
      <c r="P844" s="427"/>
      <c r="Q844" s="427"/>
      <c r="R844" s="427"/>
      <c r="S844" s="427"/>
      <c r="T844" s="427"/>
      <c r="U844" s="427"/>
      <c r="V844" s="428"/>
      <c r="W844" s="431"/>
      <c r="X844" s="3"/>
      <c r="Y844" s="429"/>
      <c r="Z844" s="430"/>
      <c r="AA844" s="430"/>
      <c r="AB844" s="430"/>
      <c r="AC844" s="424"/>
      <c r="AD844" s="424"/>
      <c r="AE844" s="424"/>
      <c r="AF844" s="424"/>
      <c r="AG844" s="424"/>
      <c r="AH844" s="424"/>
      <c r="AI844" s="424"/>
      <c r="AJ844" s="2"/>
      <c r="AK844" s="2"/>
      <c r="AL844" s="2"/>
      <c r="AM844" s="2"/>
      <c r="AN844" s="2"/>
      <c r="AO844" s="2"/>
      <c r="AP844" s="2"/>
      <c r="AQ844" s="427"/>
      <c r="AR844" s="754"/>
      <c r="AS844" s="427"/>
      <c r="AT844" s="754"/>
      <c r="AU844" s="427"/>
      <c r="AV844" s="427"/>
      <c r="AW844" s="427"/>
      <c r="AX844" s="427"/>
      <c r="AY844" s="754"/>
      <c r="AZ844" s="754"/>
      <c r="BA844" s="754"/>
      <c r="BB844" s="427"/>
      <c r="BC844" s="427"/>
      <c r="BD844" s="427"/>
      <c r="BE844" s="754"/>
      <c r="BF844" s="427"/>
      <c r="BG844" s="454"/>
      <c r="BH844" s="754"/>
      <c r="BI844" s="427"/>
      <c r="BJ844" s="427"/>
      <c r="BK844" s="427"/>
      <c r="BL844" s="427"/>
      <c r="BM844" s="454"/>
      <c r="BN844" s="427"/>
      <c r="BO844" s="427"/>
      <c r="BP844" s="427"/>
      <c r="BQ844" s="454"/>
      <c r="BR844" s="454"/>
      <c r="BS844" s="460"/>
      <c r="BT844" s="454"/>
      <c r="BU844" s="454"/>
      <c r="BV844" s="457"/>
      <c r="BW844" s="460"/>
      <c r="BX844" s="460"/>
      <c r="BY844" s="460"/>
      <c r="CA844" s="2"/>
      <c r="CB844" s="2"/>
      <c r="CC844" s="2"/>
      <c r="CD844" s="2"/>
      <c r="CE844" s="2"/>
      <c r="CF844" s="2"/>
      <c r="CG844" s="2"/>
      <c r="CH844" s="2"/>
      <c r="CI844" s="2"/>
      <c r="CJ844" s="2"/>
      <c r="CK844" s="2"/>
      <c r="CL844" s="2"/>
      <c r="CM844" s="2"/>
      <c r="CN844" s="2"/>
      <c r="CO844" s="427"/>
      <c r="CP844" s="427"/>
      <c r="CQ844" s="427"/>
      <c r="CR844" s="485"/>
      <c r="CS844" s="485"/>
      <c r="CT844" s="485"/>
      <c r="CU844" s="485"/>
      <c r="CV844" s="482"/>
      <c r="CW844" s="482"/>
      <c r="CX844" s="482"/>
      <c r="CY844" s="482"/>
      <c r="CZ844" s="485"/>
      <c r="DA844" s="485"/>
      <c r="DB844" s="485"/>
      <c r="DC844" s="485"/>
      <c r="DD844" s="485"/>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485"/>
      <c r="EX844" s="457"/>
      <c r="EY844" s="457"/>
      <c r="EZ844" s="457"/>
      <c r="FA844" s="457"/>
      <c r="FB844" s="457"/>
      <c r="FC844" s="457"/>
      <c r="FD844" s="457"/>
      <c r="FE844" s="457"/>
      <c r="FF844" s="457"/>
      <c r="FG844" s="457"/>
      <c r="FH844" s="457"/>
      <c r="FI844" s="457"/>
      <c r="FJ844" s="457"/>
      <c r="FK844" s="457"/>
    </row>
    <row r="845" spans="1:167" s="416" customFormat="1">
      <c r="A845" s="427"/>
      <c r="B845" s="427"/>
      <c r="C845" s="427"/>
      <c r="D845" s="427"/>
      <c r="E845" s="428"/>
      <c r="F845" s="429"/>
      <c r="G845" s="430"/>
      <c r="H845" s="427"/>
      <c r="I845" s="427"/>
      <c r="J845" s="427"/>
      <c r="K845" s="427"/>
      <c r="L845" s="427"/>
      <c r="M845" s="427"/>
      <c r="N845" s="427"/>
      <c r="O845" s="427"/>
      <c r="P845" s="427"/>
      <c r="Q845" s="427"/>
      <c r="R845" s="427"/>
      <c r="S845" s="427"/>
      <c r="T845" s="427"/>
      <c r="U845" s="427"/>
      <c r="V845" s="428"/>
      <c r="W845" s="431"/>
      <c r="X845" s="3"/>
      <c r="Y845" s="429"/>
      <c r="Z845" s="430"/>
      <c r="AA845" s="430"/>
      <c r="AB845" s="430"/>
      <c r="AC845" s="424"/>
      <c r="AD845" s="424"/>
      <c r="AE845" s="424"/>
      <c r="AF845" s="424"/>
      <c r="AG845" s="424"/>
      <c r="AH845" s="424"/>
      <c r="AI845" s="424"/>
      <c r="AJ845" s="2"/>
      <c r="AK845" s="2"/>
      <c r="AL845" s="2"/>
      <c r="AM845" s="2"/>
      <c r="AN845" s="2"/>
      <c r="AO845" s="2"/>
      <c r="AP845" s="2"/>
      <c r="AQ845" s="427"/>
      <c r="AR845" s="754"/>
      <c r="AS845" s="427"/>
      <c r="AT845" s="754"/>
      <c r="AU845" s="427"/>
      <c r="AV845" s="427"/>
      <c r="AW845" s="427"/>
      <c r="AX845" s="427"/>
      <c r="AY845" s="754"/>
      <c r="AZ845" s="754"/>
      <c r="BA845" s="754"/>
      <c r="BB845" s="427"/>
      <c r="BC845" s="427"/>
      <c r="BD845" s="427"/>
      <c r="BE845" s="754"/>
      <c r="BF845" s="427"/>
      <c r="BG845" s="454"/>
      <c r="BH845" s="754"/>
      <c r="BI845" s="427"/>
      <c r="BJ845" s="427"/>
      <c r="BK845" s="427"/>
      <c r="BL845" s="427"/>
      <c r="BM845" s="454"/>
      <c r="BN845" s="427"/>
      <c r="BO845" s="427"/>
      <c r="BP845" s="427"/>
      <c r="BQ845" s="454"/>
      <c r="BR845" s="454"/>
      <c r="BS845" s="460"/>
      <c r="BT845" s="454"/>
      <c r="BU845" s="454"/>
      <c r="BV845" s="457"/>
      <c r="BW845" s="460"/>
      <c r="BX845" s="460"/>
      <c r="BY845" s="460"/>
      <c r="CA845" s="2"/>
      <c r="CB845" s="2"/>
      <c r="CC845" s="2"/>
      <c r="CD845" s="2"/>
      <c r="CE845" s="2"/>
      <c r="CF845" s="2"/>
      <c r="CG845" s="2"/>
      <c r="CH845" s="2"/>
      <c r="CI845" s="2"/>
      <c r="CJ845" s="2"/>
      <c r="CK845" s="2"/>
      <c r="CL845" s="2"/>
      <c r="CM845" s="2"/>
      <c r="CN845" s="2"/>
      <c r="CO845" s="427"/>
      <c r="CP845" s="427"/>
      <c r="CQ845" s="427"/>
      <c r="CR845" s="485"/>
      <c r="CS845" s="485"/>
      <c r="CT845" s="485"/>
      <c r="CU845" s="485"/>
      <c r="CV845" s="482"/>
      <c r="CW845" s="482"/>
      <c r="CX845" s="482"/>
      <c r="CY845" s="482"/>
      <c r="CZ845" s="485"/>
      <c r="DA845" s="485"/>
      <c r="DB845" s="485"/>
      <c r="DC845" s="485"/>
      <c r="DD845" s="485"/>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485"/>
      <c r="EX845" s="457"/>
      <c r="EY845" s="457"/>
      <c r="EZ845" s="457"/>
      <c r="FA845" s="457"/>
      <c r="FB845" s="457"/>
      <c r="FC845" s="457"/>
      <c r="FD845" s="457"/>
      <c r="FE845" s="457"/>
      <c r="FF845" s="457"/>
      <c r="FG845" s="457"/>
      <c r="FH845" s="457"/>
      <c r="FI845" s="457"/>
      <c r="FJ845" s="457"/>
      <c r="FK845" s="457"/>
    </row>
    <row r="846" spans="1:167" s="416" customFormat="1">
      <c r="A846" s="427"/>
      <c r="B846" s="427"/>
      <c r="C846" s="427"/>
      <c r="D846" s="427"/>
      <c r="E846" s="428"/>
      <c r="F846" s="429"/>
      <c r="G846" s="430"/>
      <c r="H846" s="427"/>
      <c r="I846" s="427"/>
      <c r="J846" s="427"/>
      <c r="K846" s="427"/>
      <c r="L846" s="427"/>
      <c r="M846" s="427"/>
      <c r="N846" s="427"/>
      <c r="O846" s="427"/>
      <c r="P846" s="427"/>
      <c r="Q846" s="427"/>
      <c r="R846" s="427"/>
      <c r="S846" s="427"/>
      <c r="T846" s="427"/>
      <c r="U846" s="427"/>
      <c r="V846" s="428"/>
      <c r="W846" s="431"/>
      <c r="X846" s="3"/>
      <c r="Y846" s="429"/>
      <c r="Z846" s="430"/>
      <c r="AA846" s="430"/>
      <c r="AB846" s="430"/>
      <c r="AC846" s="424"/>
      <c r="AD846" s="424"/>
      <c r="AE846" s="424"/>
      <c r="AF846" s="424"/>
      <c r="AG846" s="424"/>
      <c r="AH846" s="424"/>
      <c r="AI846" s="424"/>
      <c r="AJ846" s="2"/>
      <c r="AK846" s="2"/>
      <c r="AL846" s="2"/>
      <c r="AM846" s="2"/>
      <c r="AN846" s="2"/>
      <c r="AO846" s="2"/>
      <c r="AP846" s="2"/>
      <c r="AQ846" s="427"/>
      <c r="AR846" s="754"/>
      <c r="AS846" s="427"/>
      <c r="AT846" s="754"/>
      <c r="AU846" s="427"/>
      <c r="AV846" s="427"/>
      <c r="AW846" s="427"/>
      <c r="AX846" s="427"/>
      <c r="AY846" s="754"/>
      <c r="AZ846" s="754"/>
      <c r="BA846" s="754"/>
      <c r="BB846" s="427"/>
      <c r="BC846" s="427"/>
      <c r="BD846" s="427"/>
      <c r="BE846" s="754"/>
      <c r="BF846" s="427"/>
      <c r="BG846" s="454"/>
      <c r="BH846" s="754"/>
      <c r="BI846" s="427"/>
      <c r="BJ846" s="427"/>
      <c r="BK846" s="427"/>
      <c r="BL846" s="427"/>
      <c r="BM846" s="454"/>
      <c r="BN846" s="427"/>
      <c r="BO846" s="427"/>
      <c r="BP846" s="427"/>
      <c r="BQ846" s="454"/>
      <c r="BR846" s="454"/>
      <c r="BS846" s="460"/>
      <c r="BT846" s="454"/>
      <c r="BU846" s="454"/>
      <c r="BV846" s="457"/>
      <c r="BW846" s="460"/>
      <c r="BX846" s="460"/>
      <c r="BY846" s="460"/>
      <c r="CA846" s="2"/>
      <c r="CB846" s="2"/>
      <c r="CC846" s="2"/>
      <c r="CD846" s="2"/>
      <c r="CE846" s="2"/>
      <c r="CF846" s="2"/>
      <c r="CG846" s="2"/>
      <c r="CH846" s="2"/>
      <c r="CI846" s="2"/>
      <c r="CJ846" s="2"/>
      <c r="CK846" s="2"/>
      <c r="CL846" s="2"/>
      <c r="CM846" s="2"/>
      <c r="CN846" s="2"/>
      <c r="CO846" s="427"/>
      <c r="CP846" s="427"/>
      <c r="CQ846" s="427"/>
      <c r="CR846" s="485"/>
      <c r="CS846" s="485"/>
      <c r="CT846" s="485"/>
      <c r="CU846" s="485"/>
      <c r="CV846" s="482"/>
      <c r="CW846" s="482"/>
      <c r="CX846" s="482"/>
      <c r="CY846" s="482"/>
      <c r="CZ846" s="485"/>
      <c r="DA846" s="485"/>
      <c r="DB846" s="485"/>
      <c r="DC846" s="485"/>
      <c r="DD846" s="485"/>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485"/>
      <c r="EX846" s="457"/>
      <c r="EY846" s="457"/>
      <c r="EZ846" s="457"/>
      <c r="FA846" s="457"/>
      <c r="FB846" s="457"/>
      <c r="FC846" s="457"/>
      <c r="FD846" s="457"/>
      <c r="FE846" s="457"/>
      <c r="FF846" s="457"/>
      <c r="FG846" s="457"/>
      <c r="FH846" s="457"/>
      <c r="FI846" s="457"/>
      <c r="FJ846" s="457"/>
      <c r="FK846" s="457"/>
    </row>
    <row r="847" spans="1:167" s="416" customFormat="1">
      <c r="A847" s="427"/>
      <c r="B847" s="427"/>
      <c r="C847" s="427"/>
      <c r="D847" s="427"/>
      <c r="E847" s="428"/>
      <c r="F847" s="429"/>
      <c r="G847" s="430"/>
      <c r="H847" s="427"/>
      <c r="I847" s="427"/>
      <c r="J847" s="427"/>
      <c r="K847" s="427"/>
      <c r="L847" s="427"/>
      <c r="M847" s="427"/>
      <c r="N847" s="427"/>
      <c r="O847" s="427"/>
      <c r="P847" s="427"/>
      <c r="Q847" s="427"/>
      <c r="R847" s="427"/>
      <c r="S847" s="427"/>
      <c r="T847" s="427"/>
      <c r="U847" s="427"/>
      <c r="V847" s="428"/>
      <c r="W847" s="431"/>
      <c r="X847" s="3"/>
      <c r="Y847" s="429"/>
      <c r="Z847" s="430"/>
      <c r="AA847" s="430"/>
      <c r="AB847" s="430"/>
      <c r="AC847" s="424"/>
      <c r="AD847" s="424"/>
      <c r="AE847" s="424"/>
      <c r="AF847" s="424"/>
      <c r="AG847" s="424"/>
      <c r="AH847" s="424"/>
      <c r="AI847" s="424"/>
      <c r="AJ847" s="2"/>
      <c r="AK847" s="2"/>
      <c r="AL847" s="2"/>
      <c r="AM847" s="2"/>
      <c r="AN847" s="2"/>
      <c r="AO847" s="2"/>
      <c r="AP847" s="2"/>
      <c r="AQ847" s="427"/>
      <c r="AR847" s="754"/>
      <c r="AS847" s="427"/>
      <c r="AT847" s="754"/>
      <c r="AU847" s="427"/>
      <c r="AV847" s="427"/>
      <c r="AW847" s="427"/>
      <c r="AX847" s="427"/>
      <c r="AY847" s="754"/>
      <c r="AZ847" s="754"/>
      <c r="BA847" s="754"/>
      <c r="BB847" s="427"/>
      <c r="BC847" s="427"/>
      <c r="BD847" s="427"/>
      <c r="BE847" s="754"/>
      <c r="BF847" s="427"/>
      <c r="BG847" s="454"/>
      <c r="BH847" s="754"/>
      <c r="BI847" s="427"/>
      <c r="BJ847" s="427"/>
      <c r="BK847" s="427"/>
      <c r="BL847" s="427"/>
      <c r="BM847" s="454"/>
      <c r="BN847" s="427"/>
      <c r="BO847" s="427"/>
      <c r="BP847" s="427"/>
      <c r="BQ847" s="454"/>
      <c r="BR847" s="454"/>
      <c r="BS847" s="460"/>
      <c r="BT847" s="454"/>
      <c r="BU847" s="454"/>
      <c r="BV847" s="457"/>
      <c r="BW847" s="460"/>
      <c r="BX847" s="460"/>
      <c r="BY847" s="460"/>
      <c r="CA847" s="2"/>
      <c r="CB847" s="2"/>
      <c r="CC847" s="2"/>
      <c r="CD847" s="2"/>
      <c r="CE847" s="2"/>
      <c r="CF847" s="2"/>
      <c r="CG847" s="2"/>
      <c r="CH847" s="2"/>
      <c r="CI847" s="2"/>
      <c r="CJ847" s="2"/>
      <c r="CK847" s="2"/>
      <c r="CL847" s="2"/>
      <c r="CM847" s="2"/>
      <c r="CN847" s="2"/>
      <c r="CO847" s="427"/>
      <c r="CP847" s="427"/>
      <c r="CQ847" s="427"/>
      <c r="CR847" s="485"/>
      <c r="CS847" s="485"/>
      <c r="CT847" s="485"/>
      <c r="CU847" s="485"/>
      <c r="CV847" s="482"/>
      <c r="CW847" s="482"/>
      <c r="CX847" s="482"/>
      <c r="CY847" s="482"/>
      <c r="CZ847" s="485"/>
      <c r="DA847" s="485"/>
      <c r="DB847" s="485"/>
      <c r="DC847" s="485"/>
      <c r="DD847" s="485"/>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485"/>
      <c r="EX847" s="457"/>
      <c r="EY847" s="457"/>
      <c r="EZ847" s="457"/>
      <c r="FA847" s="457"/>
      <c r="FB847" s="457"/>
      <c r="FC847" s="457"/>
      <c r="FD847" s="457"/>
      <c r="FE847" s="457"/>
      <c r="FF847" s="457"/>
      <c r="FG847" s="457"/>
      <c r="FH847" s="457"/>
      <c r="FI847" s="457"/>
      <c r="FJ847" s="457"/>
      <c r="FK847" s="457"/>
    </row>
    <row r="848" spans="1:167" s="416" customFormat="1">
      <c r="A848" s="427"/>
      <c r="B848" s="427"/>
      <c r="C848" s="427"/>
      <c r="D848" s="427"/>
      <c r="E848" s="428"/>
      <c r="F848" s="429"/>
      <c r="G848" s="430"/>
      <c r="H848" s="427"/>
      <c r="I848" s="427"/>
      <c r="J848" s="427"/>
      <c r="K848" s="427"/>
      <c r="L848" s="427"/>
      <c r="M848" s="427"/>
      <c r="N848" s="427"/>
      <c r="O848" s="427"/>
      <c r="P848" s="427"/>
      <c r="Q848" s="427"/>
      <c r="R848" s="427"/>
      <c r="S848" s="427"/>
      <c r="T848" s="427"/>
      <c r="U848" s="427"/>
      <c r="V848" s="428"/>
      <c r="W848" s="431"/>
      <c r="X848" s="3"/>
      <c r="Y848" s="429"/>
      <c r="Z848" s="430"/>
      <c r="AA848" s="430"/>
      <c r="AB848" s="430"/>
      <c r="AC848" s="424"/>
      <c r="AD848" s="424"/>
      <c r="AE848" s="424"/>
      <c r="AF848" s="424"/>
      <c r="AG848" s="424"/>
      <c r="AH848" s="424"/>
      <c r="AI848" s="424"/>
      <c r="AJ848" s="2"/>
      <c r="AK848" s="2"/>
      <c r="AL848" s="2"/>
      <c r="AM848" s="2"/>
      <c r="AN848" s="2"/>
      <c r="AO848" s="2"/>
      <c r="AP848" s="2"/>
      <c r="AQ848" s="427"/>
      <c r="AR848" s="754"/>
      <c r="AS848" s="427"/>
      <c r="AT848" s="754"/>
      <c r="AU848" s="427"/>
      <c r="AV848" s="427"/>
      <c r="AW848" s="427"/>
      <c r="AX848" s="427"/>
      <c r="AY848" s="754"/>
      <c r="AZ848" s="754"/>
      <c r="BA848" s="754"/>
      <c r="BB848" s="427"/>
      <c r="BC848" s="427"/>
      <c r="BD848" s="427"/>
      <c r="BE848" s="754"/>
      <c r="BF848" s="427"/>
      <c r="BG848" s="454"/>
      <c r="BH848" s="754"/>
      <c r="BI848" s="427"/>
      <c r="BJ848" s="427"/>
      <c r="BK848" s="427"/>
      <c r="BL848" s="427"/>
      <c r="BM848" s="454"/>
      <c r="BN848" s="427"/>
      <c r="BO848" s="427"/>
      <c r="BP848" s="427"/>
      <c r="BQ848" s="454"/>
      <c r="BR848" s="454"/>
      <c r="BS848" s="460"/>
      <c r="BT848" s="454"/>
      <c r="BU848" s="454"/>
      <c r="BV848" s="457"/>
      <c r="BW848" s="460"/>
      <c r="BX848" s="460"/>
      <c r="BY848" s="460"/>
      <c r="CA848" s="2"/>
      <c r="CB848" s="2"/>
      <c r="CC848" s="2"/>
      <c r="CD848" s="2"/>
      <c r="CE848" s="2"/>
      <c r="CF848" s="2"/>
      <c r="CG848" s="2"/>
      <c r="CH848" s="2"/>
      <c r="CI848" s="2"/>
      <c r="CJ848" s="2"/>
      <c r="CK848" s="2"/>
      <c r="CL848" s="2"/>
      <c r="CM848" s="2"/>
      <c r="CN848" s="2"/>
      <c r="CO848" s="427"/>
      <c r="CP848" s="427"/>
      <c r="CQ848" s="427"/>
      <c r="CR848" s="485"/>
      <c r="CS848" s="485"/>
      <c r="CT848" s="485"/>
      <c r="CU848" s="485"/>
      <c r="CV848" s="482"/>
      <c r="CW848" s="482"/>
      <c r="CX848" s="482"/>
      <c r="CY848" s="482"/>
      <c r="CZ848" s="485"/>
      <c r="DA848" s="485"/>
      <c r="DB848" s="485"/>
      <c r="DC848" s="485"/>
      <c r="DD848" s="485"/>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485"/>
      <c r="EX848" s="457"/>
      <c r="EY848" s="457"/>
      <c r="EZ848" s="457"/>
      <c r="FA848" s="457"/>
      <c r="FB848" s="457"/>
      <c r="FC848" s="457"/>
      <c r="FD848" s="457"/>
      <c r="FE848" s="457"/>
      <c r="FF848" s="457"/>
      <c r="FG848" s="457"/>
      <c r="FH848" s="457"/>
      <c r="FI848" s="457"/>
      <c r="FJ848" s="457"/>
      <c r="FK848" s="457"/>
    </row>
    <row r="849" spans="1:167" s="416" customFormat="1">
      <c r="A849" s="427"/>
      <c r="B849" s="427"/>
      <c r="C849" s="427"/>
      <c r="D849" s="427"/>
      <c r="E849" s="428"/>
      <c r="F849" s="429"/>
      <c r="G849" s="430"/>
      <c r="H849" s="427"/>
      <c r="I849" s="427"/>
      <c r="J849" s="427"/>
      <c r="K849" s="427"/>
      <c r="L849" s="427"/>
      <c r="M849" s="427"/>
      <c r="N849" s="427"/>
      <c r="O849" s="427"/>
      <c r="P849" s="427"/>
      <c r="Q849" s="427"/>
      <c r="R849" s="427"/>
      <c r="S849" s="427"/>
      <c r="T849" s="427"/>
      <c r="U849" s="427"/>
      <c r="V849" s="428"/>
      <c r="W849" s="431"/>
      <c r="X849" s="3"/>
      <c r="Y849" s="429"/>
      <c r="Z849" s="430"/>
      <c r="AA849" s="430"/>
      <c r="AB849" s="430"/>
      <c r="AC849" s="424"/>
      <c r="AD849" s="424"/>
      <c r="AE849" s="424"/>
      <c r="AF849" s="424"/>
      <c r="AG849" s="424"/>
      <c r="AH849" s="424"/>
      <c r="AI849" s="424"/>
      <c r="AJ849" s="2"/>
      <c r="AK849" s="2"/>
      <c r="AL849" s="2"/>
      <c r="AM849" s="2"/>
      <c r="AN849" s="2"/>
      <c r="AO849" s="2"/>
      <c r="AP849" s="2"/>
      <c r="AQ849" s="427"/>
      <c r="AR849" s="754"/>
      <c r="AS849" s="427"/>
      <c r="AT849" s="754"/>
      <c r="AU849" s="427"/>
      <c r="AV849" s="427"/>
      <c r="AW849" s="427"/>
      <c r="AX849" s="427"/>
      <c r="AY849" s="754"/>
      <c r="AZ849" s="754"/>
      <c r="BA849" s="754"/>
      <c r="BB849" s="427"/>
      <c r="BC849" s="427"/>
      <c r="BD849" s="427"/>
      <c r="BE849" s="754"/>
      <c r="BF849" s="427"/>
      <c r="BG849" s="454"/>
      <c r="BH849" s="754"/>
      <c r="BI849" s="427"/>
      <c r="BJ849" s="427"/>
      <c r="BK849" s="427"/>
      <c r="BL849" s="427"/>
      <c r="BM849" s="454"/>
      <c r="BN849" s="427"/>
      <c r="BO849" s="427"/>
      <c r="BP849" s="427"/>
      <c r="BQ849" s="454"/>
      <c r="BR849" s="454"/>
      <c r="BS849" s="460"/>
      <c r="BT849" s="454"/>
      <c r="BU849" s="454"/>
      <c r="BV849" s="457"/>
      <c r="BW849" s="460"/>
      <c r="BX849" s="460"/>
      <c r="BY849" s="460"/>
      <c r="CA849" s="2"/>
      <c r="CB849" s="2"/>
      <c r="CC849" s="2"/>
      <c r="CD849" s="2"/>
      <c r="CE849" s="2"/>
      <c r="CF849" s="2"/>
      <c r="CG849" s="2"/>
      <c r="CH849" s="2"/>
      <c r="CI849" s="2"/>
      <c r="CJ849" s="2"/>
      <c r="CK849" s="2"/>
      <c r="CL849" s="2"/>
      <c r="CM849" s="2"/>
      <c r="CN849" s="2"/>
      <c r="CO849" s="427"/>
      <c r="CP849" s="427"/>
      <c r="CQ849" s="427"/>
      <c r="CR849" s="485"/>
      <c r="CS849" s="485"/>
      <c r="CT849" s="485"/>
      <c r="CU849" s="485"/>
      <c r="CV849" s="482"/>
      <c r="CW849" s="482"/>
      <c r="CX849" s="482"/>
      <c r="CY849" s="482"/>
      <c r="CZ849" s="485"/>
      <c r="DA849" s="485"/>
      <c r="DB849" s="485"/>
      <c r="DC849" s="485"/>
      <c r="DD849" s="485"/>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485"/>
      <c r="EX849" s="457"/>
      <c r="EY849" s="457"/>
      <c r="EZ849" s="457"/>
      <c r="FA849" s="457"/>
      <c r="FB849" s="457"/>
      <c r="FC849" s="457"/>
      <c r="FD849" s="457"/>
      <c r="FE849" s="457"/>
      <c r="FF849" s="457"/>
      <c r="FG849" s="457"/>
      <c r="FH849" s="457"/>
      <c r="FI849" s="457"/>
      <c r="FJ849" s="457"/>
      <c r="FK849" s="457"/>
    </row>
    <row r="850" spans="1:167" s="416" customFormat="1">
      <c r="A850" s="427"/>
      <c r="B850" s="427"/>
      <c r="C850" s="427"/>
      <c r="D850" s="427"/>
      <c r="E850" s="428"/>
      <c r="F850" s="429"/>
      <c r="G850" s="430"/>
      <c r="H850" s="427"/>
      <c r="I850" s="427"/>
      <c r="J850" s="427"/>
      <c r="K850" s="427"/>
      <c r="L850" s="427"/>
      <c r="M850" s="427"/>
      <c r="N850" s="427"/>
      <c r="O850" s="427"/>
      <c r="P850" s="427"/>
      <c r="Q850" s="427"/>
      <c r="R850" s="427"/>
      <c r="S850" s="427"/>
      <c r="T850" s="427"/>
      <c r="U850" s="427"/>
      <c r="V850" s="428"/>
      <c r="W850" s="431"/>
      <c r="X850" s="3"/>
      <c r="Y850" s="429"/>
      <c r="Z850" s="430"/>
      <c r="AA850" s="430"/>
      <c r="AB850" s="430"/>
      <c r="AC850" s="424"/>
      <c r="AD850" s="424"/>
      <c r="AE850" s="424"/>
      <c r="AF850" s="424"/>
      <c r="AG850" s="424"/>
      <c r="AH850" s="424"/>
      <c r="AI850" s="424"/>
      <c r="AJ850" s="2"/>
      <c r="AK850" s="2"/>
      <c r="AL850" s="2"/>
      <c r="AM850" s="2"/>
      <c r="AN850" s="2"/>
      <c r="AO850" s="2"/>
      <c r="AP850" s="2"/>
      <c r="AQ850" s="427"/>
      <c r="AR850" s="754"/>
      <c r="AS850" s="427"/>
      <c r="AT850" s="754"/>
      <c r="AU850" s="427"/>
      <c r="AV850" s="427"/>
      <c r="AW850" s="427"/>
      <c r="AX850" s="427"/>
      <c r="AY850" s="754"/>
      <c r="AZ850" s="754"/>
      <c r="BA850" s="754"/>
      <c r="BB850" s="427"/>
      <c r="BC850" s="427"/>
      <c r="BD850" s="427"/>
      <c r="BE850" s="754"/>
      <c r="BF850" s="427"/>
      <c r="BG850" s="454"/>
      <c r="BH850" s="754"/>
      <c r="BI850" s="427"/>
      <c r="BJ850" s="427"/>
      <c r="BK850" s="427"/>
      <c r="BL850" s="427"/>
      <c r="BM850" s="454"/>
      <c r="BN850" s="427"/>
      <c r="BO850" s="427"/>
      <c r="BP850" s="427"/>
      <c r="BQ850" s="454"/>
      <c r="BR850" s="454"/>
      <c r="BS850" s="460"/>
      <c r="BT850" s="454"/>
      <c r="BU850" s="454"/>
      <c r="BV850" s="457"/>
      <c r="BW850" s="460"/>
      <c r="BX850" s="460"/>
      <c r="BY850" s="460"/>
      <c r="CA850" s="2"/>
      <c r="CB850" s="2"/>
      <c r="CC850" s="2"/>
      <c r="CD850" s="2"/>
      <c r="CE850" s="2"/>
      <c r="CF850" s="2"/>
      <c r="CG850" s="2"/>
      <c r="CH850" s="2"/>
      <c r="CI850" s="2"/>
      <c r="CJ850" s="2"/>
      <c r="CK850" s="2"/>
      <c r="CL850" s="2"/>
      <c r="CM850" s="2"/>
      <c r="CN850" s="2"/>
      <c r="CO850" s="427"/>
      <c r="CP850" s="427"/>
      <c r="CQ850" s="427"/>
      <c r="CR850" s="485"/>
      <c r="CS850" s="485"/>
      <c r="CT850" s="485"/>
      <c r="CU850" s="485"/>
      <c r="CV850" s="482"/>
      <c r="CW850" s="482"/>
      <c r="CX850" s="482"/>
      <c r="CY850" s="482"/>
      <c r="CZ850" s="485"/>
      <c r="DA850" s="485"/>
      <c r="DB850" s="485"/>
      <c r="DC850" s="485"/>
      <c r="DD850" s="485"/>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485"/>
      <c r="EX850" s="457"/>
      <c r="EY850" s="457"/>
      <c r="EZ850" s="457"/>
      <c r="FA850" s="457"/>
      <c r="FB850" s="457"/>
      <c r="FC850" s="457"/>
      <c r="FD850" s="457"/>
      <c r="FE850" s="457"/>
      <c r="FF850" s="457"/>
      <c r="FG850" s="457"/>
      <c r="FH850" s="457"/>
      <c r="FI850" s="457"/>
      <c r="FJ850" s="457"/>
      <c r="FK850" s="457"/>
    </row>
    <row r="851" spans="1:167" s="416" customFormat="1">
      <c r="A851" s="427"/>
      <c r="B851" s="427"/>
      <c r="C851" s="427"/>
      <c r="D851" s="427"/>
      <c r="E851" s="428"/>
      <c r="F851" s="429"/>
      <c r="G851" s="430"/>
      <c r="H851" s="427"/>
      <c r="I851" s="427"/>
      <c r="J851" s="427"/>
      <c r="K851" s="427"/>
      <c r="L851" s="427"/>
      <c r="M851" s="427"/>
      <c r="N851" s="427"/>
      <c r="O851" s="427"/>
      <c r="P851" s="427"/>
      <c r="Q851" s="427"/>
      <c r="R851" s="427"/>
      <c r="S851" s="427"/>
      <c r="T851" s="427"/>
      <c r="U851" s="427"/>
      <c r="V851" s="428"/>
      <c r="W851" s="431"/>
      <c r="X851" s="3"/>
      <c r="Y851" s="429"/>
      <c r="Z851" s="430"/>
      <c r="AA851" s="430"/>
      <c r="AB851" s="430"/>
      <c r="AC851" s="424"/>
      <c r="AD851" s="424"/>
      <c r="AE851" s="424"/>
      <c r="AF851" s="424"/>
      <c r="AG851" s="424"/>
      <c r="AH851" s="424"/>
      <c r="AI851" s="424"/>
      <c r="AJ851" s="2"/>
      <c r="AK851" s="2"/>
      <c r="AL851" s="2"/>
      <c r="AM851" s="2"/>
      <c r="AN851" s="2"/>
      <c r="AO851" s="2"/>
      <c r="AP851" s="2"/>
      <c r="AQ851" s="427"/>
      <c r="AR851" s="754"/>
      <c r="AS851" s="427"/>
      <c r="AT851" s="754"/>
      <c r="AU851" s="427"/>
      <c r="AV851" s="427"/>
      <c r="AW851" s="427"/>
      <c r="AX851" s="427"/>
      <c r="AY851" s="754"/>
      <c r="AZ851" s="754"/>
      <c r="BA851" s="754"/>
      <c r="BB851" s="427"/>
      <c r="BC851" s="427"/>
      <c r="BD851" s="427"/>
      <c r="BE851" s="754"/>
      <c r="BF851" s="427"/>
      <c r="BG851" s="454"/>
      <c r="BH851" s="754"/>
      <c r="BI851" s="427"/>
      <c r="BJ851" s="427"/>
      <c r="BK851" s="427"/>
      <c r="BL851" s="427"/>
      <c r="BM851" s="454"/>
      <c r="BN851" s="427"/>
      <c r="BO851" s="427"/>
      <c r="BP851" s="427"/>
      <c r="BQ851" s="454"/>
      <c r="BR851" s="454"/>
      <c r="BS851" s="460"/>
      <c r="BT851" s="454"/>
      <c r="BU851" s="454"/>
      <c r="BV851" s="457"/>
      <c r="BW851" s="460"/>
      <c r="BX851" s="460"/>
      <c r="BY851" s="460"/>
      <c r="CA851" s="2"/>
      <c r="CB851" s="2"/>
      <c r="CC851" s="2"/>
      <c r="CD851" s="2"/>
      <c r="CE851" s="2"/>
      <c r="CF851" s="2"/>
      <c r="CG851" s="2"/>
      <c r="CH851" s="2"/>
      <c r="CI851" s="2"/>
      <c r="CJ851" s="2"/>
      <c r="CK851" s="2"/>
      <c r="CL851" s="2"/>
      <c r="CM851" s="2"/>
      <c r="CN851" s="2"/>
      <c r="CO851" s="427"/>
      <c r="CP851" s="427"/>
      <c r="CQ851" s="427"/>
      <c r="CR851" s="485"/>
      <c r="CS851" s="485"/>
      <c r="CT851" s="485"/>
      <c r="CU851" s="485"/>
      <c r="CV851" s="482"/>
      <c r="CW851" s="482"/>
      <c r="CX851" s="482"/>
      <c r="CY851" s="482"/>
      <c r="CZ851" s="485"/>
      <c r="DA851" s="485"/>
      <c r="DB851" s="485"/>
      <c r="DC851" s="485"/>
      <c r="DD851" s="485"/>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485"/>
      <c r="EX851" s="457"/>
      <c r="EY851" s="457"/>
      <c r="EZ851" s="457"/>
      <c r="FA851" s="457"/>
      <c r="FB851" s="457"/>
      <c r="FC851" s="457"/>
      <c r="FD851" s="457"/>
      <c r="FE851" s="457"/>
      <c r="FF851" s="457"/>
      <c r="FG851" s="457"/>
      <c r="FH851" s="457"/>
      <c r="FI851" s="457"/>
      <c r="FJ851" s="457"/>
      <c r="FK851" s="457"/>
    </row>
    <row r="852" spans="1:167" s="416" customFormat="1">
      <c r="A852" s="427"/>
      <c r="B852" s="427"/>
      <c r="C852" s="427"/>
      <c r="D852" s="427"/>
      <c r="E852" s="428"/>
      <c r="F852" s="429"/>
      <c r="G852" s="430"/>
      <c r="H852" s="427"/>
      <c r="I852" s="427"/>
      <c r="J852" s="427"/>
      <c r="K852" s="427"/>
      <c r="L852" s="427"/>
      <c r="M852" s="427"/>
      <c r="N852" s="427"/>
      <c r="O852" s="427"/>
      <c r="P852" s="427"/>
      <c r="Q852" s="427"/>
      <c r="R852" s="427"/>
      <c r="S852" s="427"/>
      <c r="T852" s="427"/>
      <c r="U852" s="427"/>
      <c r="V852" s="428"/>
      <c r="W852" s="431"/>
      <c r="X852" s="3"/>
      <c r="Y852" s="429"/>
      <c r="Z852" s="430"/>
      <c r="AA852" s="430"/>
      <c r="AB852" s="430"/>
      <c r="AC852" s="424"/>
      <c r="AD852" s="424"/>
      <c r="AE852" s="424"/>
      <c r="AF852" s="424"/>
      <c r="AG852" s="424"/>
      <c r="AH852" s="424"/>
      <c r="AI852" s="424"/>
      <c r="AJ852" s="2"/>
      <c r="AK852" s="2"/>
      <c r="AL852" s="2"/>
      <c r="AM852" s="2"/>
      <c r="AN852" s="2"/>
      <c r="AO852" s="2"/>
      <c r="AP852" s="2"/>
      <c r="AQ852" s="427"/>
      <c r="AR852" s="754"/>
      <c r="AS852" s="427"/>
      <c r="AT852" s="754"/>
      <c r="AU852" s="427"/>
      <c r="AV852" s="427"/>
      <c r="AW852" s="427"/>
      <c r="AX852" s="427"/>
      <c r="AY852" s="754"/>
      <c r="AZ852" s="754"/>
      <c r="BA852" s="754"/>
      <c r="BB852" s="427"/>
      <c r="BC852" s="427"/>
      <c r="BD852" s="427"/>
      <c r="BE852" s="754"/>
      <c r="BF852" s="427"/>
      <c r="BG852" s="454"/>
      <c r="BH852" s="754"/>
      <c r="BI852" s="427"/>
      <c r="BJ852" s="427"/>
      <c r="BK852" s="427"/>
      <c r="BL852" s="427"/>
      <c r="BM852" s="454"/>
      <c r="BN852" s="427"/>
      <c r="BO852" s="427"/>
      <c r="BP852" s="427"/>
      <c r="BQ852" s="454"/>
      <c r="BR852" s="454"/>
      <c r="BS852" s="460"/>
      <c r="BT852" s="454"/>
      <c r="BU852" s="454"/>
      <c r="BV852" s="457"/>
      <c r="BW852" s="460"/>
      <c r="BX852" s="460"/>
      <c r="BY852" s="460"/>
      <c r="CA852" s="2"/>
      <c r="CB852" s="2"/>
      <c r="CC852" s="2"/>
      <c r="CD852" s="2"/>
      <c r="CE852" s="2"/>
      <c r="CF852" s="2"/>
      <c r="CG852" s="2"/>
      <c r="CH852" s="2"/>
      <c r="CI852" s="2"/>
      <c r="CJ852" s="2"/>
      <c r="CK852" s="2"/>
      <c r="CL852" s="2"/>
      <c r="CM852" s="2"/>
      <c r="CN852" s="2"/>
      <c r="CO852" s="427"/>
      <c r="CP852" s="427"/>
      <c r="CQ852" s="427"/>
      <c r="CR852" s="485"/>
      <c r="CS852" s="485"/>
      <c r="CT852" s="485"/>
      <c r="CU852" s="485"/>
      <c r="CV852" s="482"/>
      <c r="CW852" s="482"/>
      <c r="CX852" s="482"/>
      <c r="CY852" s="482"/>
      <c r="CZ852" s="485"/>
      <c r="DA852" s="485"/>
      <c r="DB852" s="485"/>
      <c r="DC852" s="485"/>
      <c r="DD852" s="485"/>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485"/>
      <c r="EX852" s="457"/>
      <c r="EY852" s="457"/>
      <c r="EZ852" s="457"/>
      <c r="FA852" s="457"/>
      <c r="FB852" s="457"/>
      <c r="FC852" s="457"/>
      <c r="FD852" s="457"/>
      <c r="FE852" s="457"/>
      <c r="FF852" s="457"/>
      <c r="FG852" s="457"/>
      <c r="FH852" s="457"/>
      <c r="FI852" s="457"/>
      <c r="FJ852" s="457"/>
      <c r="FK852" s="457"/>
    </row>
    <row r="853" spans="1:167" s="416" customFormat="1">
      <c r="A853" s="427"/>
      <c r="B853" s="427"/>
      <c r="C853" s="427"/>
      <c r="D853" s="427"/>
      <c r="E853" s="428"/>
      <c r="F853" s="429"/>
      <c r="G853" s="430"/>
      <c r="H853" s="427"/>
      <c r="I853" s="427"/>
      <c r="J853" s="427"/>
      <c r="K853" s="427"/>
      <c r="L853" s="427"/>
      <c r="M853" s="427"/>
      <c r="N853" s="427"/>
      <c r="O853" s="427"/>
      <c r="P853" s="427"/>
      <c r="Q853" s="427"/>
      <c r="R853" s="427"/>
      <c r="S853" s="427"/>
      <c r="T853" s="427"/>
      <c r="U853" s="427"/>
      <c r="V853" s="428"/>
      <c r="W853" s="431"/>
      <c r="X853" s="3"/>
      <c r="Y853" s="429"/>
      <c r="Z853" s="430"/>
      <c r="AA853" s="430"/>
      <c r="AB853" s="430"/>
      <c r="AC853" s="424"/>
      <c r="AD853" s="424"/>
      <c r="AE853" s="424"/>
      <c r="AF853" s="424"/>
      <c r="AG853" s="424"/>
      <c r="AH853" s="424"/>
      <c r="AI853" s="424"/>
      <c r="AJ853" s="2"/>
      <c r="AK853" s="2"/>
      <c r="AL853" s="2"/>
      <c r="AM853" s="2"/>
      <c r="AN853" s="2"/>
      <c r="AO853" s="2"/>
      <c r="AP853" s="2"/>
      <c r="AQ853" s="427"/>
      <c r="AR853" s="754"/>
      <c r="AS853" s="427"/>
      <c r="AT853" s="754"/>
      <c r="AU853" s="427"/>
      <c r="AV853" s="427"/>
      <c r="AW853" s="427"/>
      <c r="AX853" s="427"/>
      <c r="AY853" s="754"/>
      <c r="AZ853" s="754"/>
      <c r="BA853" s="754"/>
      <c r="BB853" s="427"/>
      <c r="BC853" s="427"/>
      <c r="BD853" s="427"/>
      <c r="BE853" s="754"/>
      <c r="BF853" s="427"/>
      <c r="BG853" s="454"/>
      <c r="BH853" s="754"/>
      <c r="BI853" s="427"/>
      <c r="BJ853" s="427"/>
      <c r="BK853" s="427"/>
      <c r="BL853" s="427"/>
      <c r="BM853" s="454"/>
      <c r="BN853" s="427"/>
      <c r="BO853" s="427"/>
      <c r="BP853" s="427"/>
      <c r="BQ853" s="454"/>
      <c r="BR853" s="454"/>
      <c r="BS853" s="460"/>
      <c r="BT853" s="454"/>
      <c r="BU853" s="454"/>
      <c r="BV853" s="457"/>
      <c r="BW853" s="460"/>
      <c r="BX853" s="460"/>
      <c r="BY853" s="460"/>
      <c r="CA853" s="2"/>
      <c r="CB853" s="2"/>
      <c r="CC853" s="2"/>
      <c r="CD853" s="2"/>
      <c r="CE853" s="2"/>
      <c r="CF853" s="2"/>
      <c r="CG853" s="2"/>
      <c r="CH853" s="2"/>
      <c r="CI853" s="2"/>
      <c r="CJ853" s="2"/>
      <c r="CK853" s="2"/>
      <c r="CL853" s="2"/>
      <c r="CM853" s="2"/>
      <c r="CN853" s="2"/>
      <c r="CO853" s="427"/>
      <c r="CP853" s="427"/>
      <c r="CQ853" s="427"/>
      <c r="CR853" s="485"/>
      <c r="CS853" s="485"/>
      <c r="CT853" s="485"/>
      <c r="CU853" s="485"/>
      <c r="CV853" s="482"/>
      <c r="CW853" s="482"/>
      <c r="CX853" s="482"/>
      <c r="CY853" s="482"/>
      <c r="CZ853" s="485"/>
      <c r="DA853" s="485"/>
      <c r="DB853" s="485"/>
      <c r="DC853" s="485"/>
      <c r="DD853" s="485"/>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485"/>
      <c r="EX853" s="457"/>
      <c r="EY853" s="457"/>
      <c r="EZ853" s="457"/>
      <c r="FA853" s="457"/>
      <c r="FB853" s="457"/>
      <c r="FC853" s="457"/>
      <c r="FD853" s="457"/>
      <c r="FE853" s="457"/>
      <c r="FF853" s="457"/>
      <c r="FG853" s="457"/>
      <c r="FH853" s="457"/>
      <c r="FI853" s="457"/>
      <c r="FJ853" s="457"/>
      <c r="FK853" s="457"/>
    </row>
    <row r="854" spans="1:167" s="416" customFormat="1">
      <c r="A854" s="427"/>
      <c r="B854" s="427"/>
      <c r="C854" s="427"/>
      <c r="D854" s="427"/>
      <c r="E854" s="428"/>
      <c r="F854" s="429"/>
      <c r="G854" s="430"/>
      <c r="H854" s="427"/>
      <c r="I854" s="427"/>
      <c r="J854" s="427"/>
      <c r="K854" s="427"/>
      <c r="L854" s="427"/>
      <c r="M854" s="427"/>
      <c r="N854" s="427"/>
      <c r="O854" s="427"/>
      <c r="P854" s="427"/>
      <c r="Q854" s="427"/>
      <c r="R854" s="427"/>
      <c r="S854" s="427"/>
      <c r="T854" s="427"/>
      <c r="U854" s="427"/>
      <c r="V854" s="428"/>
      <c r="W854" s="431"/>
      <c r="X854" s="3"/>
      <c r="Y854" s="429"/>
      <c r="Z854" s="430"/>
      <c r="AA854" s="430"/>
      <c r="AB854" s="430"/>
      <c r="AC854" s="424"/>
      <c r="AD854" s="424"/>
      <c r="AE854" s="424"/>
      <c r="AF854" s="424"/>
      <c r="AG854" s="424"/>
      <c r="AH854" s="424"/>
      <c r="AI854" s="424"/>
      <c r="AJ854" s="2"/>
      <c r="AK854" s="2"/>
      <c r="AL854" s="2"/>
      <c r="AM854" s="2"/>
      <c r="AN854" s="2"/>
      <c r="AO854" s="2"/>
      <c r="AP854" s="2"/>
      <c r="AQ854" s="427"/>
      <c r="AR854" s="754"/>
      <c r="AS854" s="427"/>
      <c r="AT854" s="754"/>
      <c r="AU854" s="427"/>
      <c r="AV854" s="427"/>
      <c r="AW854" s="427"/>
      <c r="AX854" s="427"/>
      <c r="AY854" s="754"/>
      <c r="AZ854" s="754"/>
      <c r="BA854" s="754"/>
      <c r="BB854" s="427"/>
      <c r="BC854" s="427"/>
      <c r="BD854" s="427"/>
      <c r="BE854" s="754"/>
      <c r="BF854" s="427"/>
      <c r="BG854" s="454"/>
      <c r="BH854" s="754"/>
      <c r="BI854" s="427"/>
      <c r="BJ854" s="427"/>
      <c r="BK854" s="427"/>
      <c r="BL854" s="427"/>
      <c r="BM854" s="454"/>
      <c r="BN854" s="427"/>
      <c r="BO854" s="427"/>
      <c r="BP854" s="427"/>
      <c r="BQ854" s="454"/>
      <c r="BR854" s="454"/>
      <c r="BS854" s="460"/>
      <c r="BT854" s="454"/>
      <c r="BU854" s="454"/>
      <c r="BV854" s="457"/>
      <c r="BW854" s="460"/>
      <c r="BX854" s="460"/>
      <c r="BY854" s="460"/>
      <c r="CA854" s="2"/>
      <c r="CB854" s="2"/>
      <c r="CC854" s="2"/>
      <c r="CD854" s="2"/>
      <c r="CE854" s="2"/>
      <c r="CF854" s="2"/>
      <c r="CG854" s="2"/>
      <c r="CH854" s="2"/>
      <c r="CI854" s="2"/>
      <c r="CJ854" s="2"/>
      <c r="CK854" s="2"/>
      <c r="CL854" s="2"/>
      <c r="CM854" s="2"/>
      <c r="CN854" s="2"/>
      <c r="CO854" s="427"/>
      <c r="CP854" s="427"/>
      <c r="CQ854" s="427"/>
      <c r="CR854" s="485"/>
      <c r="CS854" s="485"/>
      <c r="CT854" s="485"/>
      <c r="CU854" s="485"/>
      <c r="CV854" s="482"/>
      <c r="CW854" s="482"/>
      <c r="CX854" s="482"/>
      <c r="CY854" s="482"/>
      <c r="CZ854" s="485"/>
      <c r="DA854" s="485"/>
      <c r="DB854" s="485"/>
      <c r="DC854" s="485"/>
      <c r="DD854" s="485"/>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485"/>
      <c r="EX854" s="457"/>
      <c r="EY854" s="457"/>
      <c r="EZ854" s="457"/>
      <c r="FA854" s="457"/>
      <c r="FB854" s="457"/>
      <c r="FC854" s="457"/>
      <c r="FD854" s="457"/>
      <c r="FE854" s="457"/>
      <c r="FF854" s="457"/>
      <c r="FG854" s="457"/>
      <c r="FH854" s="457"/>
      <c r="FI854" s="457"/>
      <c r="FJ854" s="457"/>
      <c r="FK854" s="457"/>
    </row>
    <row r="855" spans="1:167" s="416" customFormat="1">
      <c r="A855" s="427"/>
      <c r="B855" s="427"/>
      <c r="C855" s="427"/>
      <c r="D855" s="427"/>
      <c r="E855" s="428"/>
      <c r="F855" s="429"/>
      <c r="G855" s="430"/>
      <c r="H855" s="427"/>
      <c r="I855" s="427"/>
      <c r="J855" s="427"/>
      <c r="K855" s="427"/>
      <c r="L855" s="427"/>
      <c r="M855" s="427"/>
      <c r="N855" s="427"/>
      <c r="O855" s="427"/>
      <c r="P855" s="427"/>
      <c r="Q855" s="427"/>
      <c r="R855" s="427"/>
      <c r="S855" s="427"/>
      <c r="T855" s="427"/>
      <c r="U855" s="427"/>
      <c r="V855" s="428"/>
      <c r="W855" s="431"/>
      <c r="X855" s="3"/>
      <c r="Y855" s="429"/>
      <c r="Z855" s="430"/>
      <c r="AA855" s="430"/>
      <c r="AB855" s="430"/>
      <c r="AC855" s="424"/>
      <c r="AD855" s="424"/>
      <c r="AE855" s="424"/>
      <c r="AF855" s="424"/>
      <c r="AG855" s="424"/>
      <c r="AH855" s="424"/>
      <c r="AI855" s="424"/>
      <c r="AJ855" s="2"/>
      <c r="AK855" s="2"/>
      <c r="AL855" s="2"/>
      <c r="AM855" s="2"/>
      <c r="AN855" s="2"/>
      <c r="AO855" s="2"/>
      <c r="AP855" s="2"/>
      <c r="AQ855" s="427"/>
      <c r="AR855" s="754"/>
      <c r="AS855" s="427"/>
      <c r="AT855" s="754"/>
      <c r="AU855" s="427"/>
      <c r="AV855" s="427"/>
      <c r="AW855" s="427"/>
      <c r="AX855" s="427"/>
      <c r="AY855" s="754"/>
      <c r="AZ855" s="754"/>
      <c r="BA855" s="754"/>
      <c r="BB855" s="427"/>
      <c r="BC855" s="427"/>
      <c r="BD855" s="427"/>
      <c r="BE855" s="754"/>
      <c r="BF855" s="427"/>
      <c r="BG855" s="454"/>
      <c r="BH855" s="754"/>
      <c r="BI855" s="427"/>
      <c r="BJ855" s="427"/>
      <c r="BK855" s="427"/>
      <c r="BL855" s="427"/>
      <c r="BM855" s="454"/>
      <c r="BN855" s="427"/>
      <c r="BO855" s="427"/>
      <c r="BP855" s="427"/>
      <c r="BQ855" s="454"/>
      <c r="BR855" s="454"/>
      <c r="BS855" s="460"/>
      <c r="BT855" s="454"/>
      <c r="BU855" s="454"/>
      <c r="BV855" s="457"/>
      <c r="BW855" s="460"/>
      <c r="BX855" s="460"/>
      <c r="BY855" s="460"/>
      <c r="CA855" s="2"/>
      <c r="CB855" s="2"/>
      <c r="CC855" s="2"/>
      <c r="CD855" s="2"/>
      <c r="CE855" s="2"/>
      <c r="CF855" s="2"/>
      <c r="CG855" s="2"/>
      <c r="CH855" s="2"/>
      <c r="CI855" s="2"/>
      <c r="CJ855" s="2"/>
      <c r="CK855" s="2"/>
      <c r="CL855" s="2"/>
      <c r="CM855" s="2"/>
      <c r="CN855" s="2"/>
      <c r="CO855" s="427"/>
      <c r="CP855" s="427"/>
      <c r="CQ855" s="427"/>
      <c r="CR855" s="485"/>
      <c r="CS855" s="485"/>
      <c r="CT855" s="485"/>
      <c r="CU855" s="485"/>
      <c r="CV855" s="482"/>
      <c r="CW855" s="482"/>
      <c r="CX855" s="482"/>
      <c r="CY855" s="482"/>
      <c r="CZ855" s="485"/>
      <c r="DA855" s="485"/>
      <c r="DB855" s="485"/>
      <c r="DC855" s="485"/>
      <c r="DD855" s="485"/>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485"/>
      <c r="EX855" s="457"/>
      <c r="EY855" s="457"/>
      <c r="EZ855" s="457"/>
      <c r="FA855" s="457"/>
      <c r="FB855" s="457"/>
      <c r="FC855" s="457"/>
      <c r="FD855" s="457"/>
      <c r="FE855" s="457"/>
      <c r="FF855" s="457"/>
      <c r="FG855" s="457"/>
      <c r="FH855" s="457"/>
      <c r="FI855" s="457"/>
      <c r="FJ855" s="457"/>
      <c r="FK855" s="457"/>
    </row>
    <row r="856" spans="1:167" s="416" customFormat="1">
      <c r="A856" s="427"/>
      <c r="B856" s="427"/>
      <c r="C856" s="427"/>
      <c r="D856" s="427"/>
      <c r="E856" s="428"/>
      <c r="F856" s="429"/>
      <c r="G856" s="430"/>
      <c r="H856" s="427"/>
      <c r="I856" s="427"/>
      <c r="J856" s="427"/>
      <c r="K856" s="427"/>
      <c r="L856" s="427"/>
      <c r="M856" s="427"/>
      <c r="N856" s="427"/>
      <c r="O856" s="427"/>
      <c r="P856" s="427"/>
      <c r="Q856" s="427"/>
      <c r="R856" s="427"/>
      <c r="S856" s="427"/>
      <c r="T856" s="427"/>
      <c r="U856" s="427"/>
      <c r="V856" s="428"/>
      <c r="W856" s="431"/>
      <c r="X856" s="3"/>
      <c r="Y856" s="429"/>
      <c r="Z856" s="430"/>
      <c r="AA856" s="430"/>
      <c r="AB856" s="430"/>
      <c r="AC856" s="424"/>
      <c r="AD856" s="424"/>
      <c r="AE856" s="424"/>
      <c r="AF856" s="424"/>
      <c r="AG856" s="424"/>
      <c r="AH856" s="424"/>
      <c r="AI856" s="424"/>
      <c r="AJ856" s="2"/>
      <c r="AK856" s="2"/>
      <c r="AL856" s="2"/>
      <c r="AM856" s="2"/>
      <c r="AN856" s="2"/>
      <c r="AO856" s="2"/>
      <c r="AP856" s="2"/>
      <c r="AQ856" s="427"/>
      <c r="AR856" s="754"/>
      <c r="AS856" s="427"/>
      <c r="AT856" s="754"/>
      <c r="AU856" s="427"/>
      <c r="AV856" s="427"/>
      <c r="AW856" s="427"/>
      <c r="AX856" s="427"/>
      <c r="AY856" s="754"/>
      <c r="AZ856" s="754"/>
      <c r="BA856" s="754"/>
      <c r="BB856" s="427"/>
      <c r="BC856" s="427"/>
      <c r="BD856" s="427"/>
      <c r="BE856" s="754"/>
      <c r="BF856" s="427"/>
      <c r="BG856" s="454"/>
      <c r="BH856" s="754"/>
      <c r="BI856" s="427"/>
      <c r="BJ856" s="427"/>
      <c r="BK856" s="427"/>
      <c r="BL856" s="427"/>
      <c r="BM856" s="454"/>
      <c r="BN856" s="427"/>
      <c r="BO856" s="427"/>
      <c r="BP856" s="427"/>
      <c r="BQ856" s="454"/>
      <c r="BR856" s="454"/>
      <c r="BS856" s="460"/>
      <c r="BT856" s="454"/>
      <c r="BU856" s="454"/>
      <c r="BV856" s="457"/>
      <c r="BW856" s="460"/>
      <c r="BX856" s="460"/>
      <c r="BY856" s="460"/>
      <c r="CA856" s="2"/>
      <c r="CB856" s="2"/>
      <c r="CC856" s="2"/>
      <c r="CD856" s="2"/>
      <c r="CE856" s="2"/>
      <c r="CF856" s="2"/>
      <c r="CG856" s="2"/>
      <c r="CH856" s="2"/>
      <c r="CI856" s="2"/>
      <c r="CJ856" s="2"/>
      <c r="CK856" s="2"/>
      <c r="CL856" s="2"/>
      <c r="CM856" s="2"/>
      <c r="CN856" s="2"/>
      <c r="CO856" s="427"/>
      <c r="CP856" s="427"/>
      <c r="CQ856" s="427"/>
      <c r="CR856" s="485"/>
      <c r="CS856" s="485"/>
      <c r="CT856" s="485"/>
      <c r="CU856" s="485"/>
      <c r="CV856" s="482"/>
      <c r="CW856" s="482"/>
      <c r="CX856" s="482"/>
      <c r="CY856" s="482"/>
      <c r="CZ856" s="485"/>
      <c r="DA856" s="485"/>
      <c r="DB856" s="485"/>
      <c r="DC856" s="485"/>
      <c r="DD856" s="485"/>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485"/>
      <c r="EX856" s="457"/>
      <c r="EY856" s="457"/>
      <c r="EZ856" s="457"/>
      <c r="FA856" s="457"/>
      <c r="FB856" s="457"/>
      <c r="FC856" s="457"/>
      <c r="FD856" s="457"/>
      <c r="FE856" s="457"/>
      <c r="FF856" s="457"/>
      <c r="FG856" s="457"/>
      <c r="FH856" s="457"/>
      <c r="FI856" s="457"/>
      <c r="FJ856" s="457"/>
      <c r="FK856" s="457"/>
    </row>
    <row r="857" spans="1:167" s="416" customFormat="1">
      <c r="A857" s="427"/>
      <c r="B857" s="427"/>
      <c r="C857" s="427"/>
      <c r="D857" s="427"/>
      <c r="E857" s="428"/>
      <c r="F857" s="429"/>
      <c r="G857" s="430"/>
      <c r="H857" s="427"/>
      <c r="I857" s="427"/>
      <c r="J857" s="427"/>
      <c r="K857" s="427"/>
      <c r="L857" s="427"/>
      <c r="M857" s="427"/>
      <c r="N857" s="427"/>
      <c r="O857" s="427"/>
      <c r="P857" s="427"/>
      <c r="Q857" s="427"/>
      <c r="R857" s="427"/>
      <c r="S857" s="427"/>
      <c r="T857" s="427"/>
      <c r="U857" s="427"/>
      <c r="V857" s="428"/>
      <c r="W857" s="431"/>
      <c r="X857" s="3"/>
      <c r="Y857" s="429"/>
      <c r="Z857" s="430"/>
      <c r="AA857" s="430"/>
      <c r="AB857" s="430"/>
      <c r="AC857" s="424"/>
      <c r="AD857" s="424"/>
      <c r="AE857" s="424"/>
      <c r="AF857" s="424"/>
      <c r="AG857" s="424"/>
      <c r="AH857" s="424"/>
      <c r="AI857" s="424"/>
      <c r="AJ857" s="2"/>
      <c r="AK857" s="2"/>
      <c r="AL857" s="2"/>
      <c r="AM857" s="2"/>
      <c r="AN857" s="2"/>
      <c r="AO857" s="2"/>
      <c r="AP857" s="2"/>
      <c r="AQ857" s="427"/>
      <c r="AR857" s="754"/>
      <c r="AS857" s="427"/>
      <c r="AT857" s="754"/>
      <c r="AU857" s="427"/>
      <c r="AV857" s="427"/>
      <c r="AW857" s="427"/>
      <c r="AX857" s="427"/>
      <c r="AY857" s="754"/>
      <c r="AZ857" s="754"/>
      <c r="BA857" s="754"/>
      <c r="BB857" s="427"/>
      <c r="BC857" s="427"/>
      <c r="BD857" s="427"/>
      <c r="BE857" s="754"/>
      <c r="BF857" s="427"/>
      <c r="BG857" s="454"/>
      <c r="BH857" s="754"/>
      <c r="BI857" s="427"/>
      <c r="BJ857" s="427"/>
      <c r="BK857" s="427"/>
      <c r="BL857" s="427"/>
      <c r="BM857" s="454"/>
      <c r="BN857" s="427"/>
      <c r="BO857" s="427"/>
      <c r="BP857" s="427"/>
      <c r="BQ857" s="454"/>
      <c r="BR857" s="454"/>
      <c r="BS857" s="460"/>
      <c r="BT857" s="454"/>
      <c r="BU857" s="454"/>
      <c r="BV857" s="457"/>
      <c r="BW857" s="460"/>
      <c r="BX857" s="460"/>
      <c r="BY857" s="460"/>
      <c r="CA857" s="2"/>
      <c r="CB857" s="2"/>
      <c r="CC857" s="2"/>
      <c r="CD857" s="2"/>
      <c r="CE857" s="2"/>
      <c r="CF857" s="2"/>
      <c r="CG857" s="2"/>
      <c r="CH857" s="2"/>
      <c r="CI857" s="2"/>
      <c r="CJ857" s="2"/>
      <c r="CK857" s="2"/>
      <c r="CL857" s="2"/>
      <c r="CM857" s="2"/>
      <c r="CN857" s="2"/>
      <c r="CO857" s="427"/>
      <c r="CP857" s="427"/>
      <c r="CQ857" s="427"/>
      <c r="CR857" s="485"/>
      <c r="CS857" s="485"/>
      <c r="CT857" s="485"/>
      <c r="CU857" s="485"/>
      <c r="CV857" s="482"/>
      <c r="CW857" s="482"/>
      <c r="CX857" s="482"/>
      <c r="CY857" s="482"/>
      <c r="CZ857" s="485"/>
      <c r="DA857" s="485"/>
      <c r="DB857" s="485"/>
      <c r="DC857" s="485"/>
      <c r="DD857" s="485"/>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485"/>
      <c r="EX857" s="457"/>
      <c r="EY857" s="457"/>
      <c r="EZ857" s="457"/>
      <c r="FA857" s="457"/>
      <c r="FB857" s="457"/>
      <c r="FC857" s="457"/>
      <c r="FD857" s="457"/>
      <c r="FE857" s="457"/>
      <c r="FF857" s="457"/>
      <c r="FG857" s="457"/>
      <c r="FH857" s="457"/>
      <c r="FI857" s="457"/>
      <c r="FJ857" s="457"/>
      <c r="FK857" s="457"/>
    </row>
    <row r="858" spans="1:167" s="416" customFormat="1">
      <c r="A858" s="427"/>
      <c r="B858" s="427"/>
      <c r="C858" s="427"/>
      <c r="D858" s="427"/>
      <c r="E858" s="428"/>
      <c r="F858" s="429"/>
      <c r="G858" s="430"/>
      <c r="H858" s="427"/>
      <c r="I858" s="427"/>
      <c r="J858" s="427"/>
      <c r="K858" s="427"/>
      <c r="L858" s="427"/>
      <c r="M858" s="427"/>
      <c r="N858" s="427"/>
      <c r="O858" s="427"/>
      <c r="P858" s="427"/>
      <c r="Q858" s="427"/>
      <c r="R858" s="427"/>
      <c r="S858" s="427"/>
      <c r="T858" s="427"/>
      <c r="U858" s="427"/>
      <c r="V858" s="428"/>
      <c r="W858" s="431"/>
      <c r="X858" s="3"/>
      <c r="Y858" s="429"/>
      <c r="Z858" s="430"/>
      <c r="AA858" s="430"/>
      <c r="AB858" s="430"/>
      <c r="AC858" s="424"/>
      <c r="AD858" s="424"/>
      <c r="AE858" s="424"/>
      <c r="AF858" s="424"/>
      <c r="AG858" s="424"/>
      <c r="AH858" s="424"/>
      <c r="AI858" s="424"/>
      <c r="AJ858" s="2"/>
      <c r="AK858" s="2"/>
      <c r="AL858" s="2"/>
      <c r="AM858" s="2"/>
      <c r="AN858" s="2"/>
      <c r="AO858" s="2"/>
      <c r="AP858" s="2"/>
      <c r="AQ858" s="427"/>
      <c r="AR858" s="754"/>
      <c r="AS858" s="427"/>
      <c r="AT858" s="754"/>
      <c r="AU858" s="427"/>
      <c r="AV858" s="427"/>
      <c r="AW858" s="427"/>
      <c r="AX858" s="427"/>
      <c r="AY858" s="754"/>
      <c r="AZ858" s="754"/>
      <c r="BA858" s="754"/>
      <c r="BB858" s="427"/>
      <c r="BC858" s="427"/>
      <c r="BD858" s="427"/>
      <c r="BE858" s="754"/>
      <c r="BF858" s="427"/>
      <c r="BG858" s="454"/>
      <c r="BH858" s="754"/>
      <c r="BI858" s="427"/>
      <c r="BJ858" s="427"/>
      <c r="BK858" s="427"/>
      <c r="BL858" s="427"/>
      <c r="BM858" s="454"/>
      <c r="BN858" s="427"/>
      <c r="BO858" s="427"/>
      <c r="BP858" s="427"/>
      <c r="BQ858" s="454"/>
      <c r="BR858" s="454"/>
      <c r="BS858" s="460"/>
      <c r="BT858" s="454"/>
      <c r="BU858" s="454"/>
      <c r="BV858" s="457"/>
      <c r="BW858" s="460"/>
      <c r="BX858" s="460"/>
      <c r="BY858" s="460"/>
      <c r="CA858" s="2"/>
      <c r="CB858" s="2"/>
      <c r="CC858" s="2"/>
      <c r="CD858" s="2"/>
      <c r="CE858" s="2"/>
      <c r="CF858" s="2"/>
      <c r="CG858" s="2"/>
      <c r="CH858" s="2"/>
      <c r="CI858" s="2"/>
      <c r="CJ858" s="2"/>
      <c r="CK858" s="2"/>
      <c r="CL858" s="2"/>
      <c r="CM858" s="2"/>
      <c r="CN858" s="2"/>
      <c r="CO858" s="427"/>
      <c r="CP858" s="427"/>
      <c r="CQ858" s="427"/>
      <c r="CR858" s="485"/>
      <c r="CS858" s="485"/>
      <c r="CT858" s="485"/>
      <c r="CU858" s="485"/>
      <c r="CV858" s="482"/>
      <c r="CW858" s="482"/>
      <c r="CX858" s="482"/>
      <c r="CY858" s="482"/>
      <c r="CZ858" s="485"/>
      <c r="DA858" s="485"/>
      <c r="DB858" s="485"/>
      <c r="DC858" s="485"/>
      <c r="DD858" s="485"/>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485"/>
      <c r="EX858" s="457"/>
      <c r="EY858" s="457"/>
      <c r="EZ858" s="457"/>
      <c r="FA858" s="457"/>
      <c r="FB858" s="457"/>
      <c r="FC858" s="457"/>
      <c r="FD858" s="457"/>
      <c r="FE858" s="457"/>
      <c r="FF858" s="457"/>
      <c r="FG858" s="457"/>
      <c r="FH858" s="457"/>
      <c r="FI858" s="457"/>
      <c r="FJ858" s="457"/>
      <c r="FK858" s="457"/>
    </row>
    <row r="859" spans="1:167" s="416" customFormat="1">
      <c r="A859" s="427"/>
      <c r="B859" s="427"/>
      <c r="C859" s="427"/>
      <c r="D859" s="427"/>
      <c r="E859" s="428"/>
      <c r="F859" s="429"/>
      <c r="G859" s="430"/>
      <c r="H859" s="427"/>
      <c r="I859" s="427"/>
      <c r="J859" s="427"/>
      <c r="K859" s="427"/>
      <c r="L859" s="427"/>
      <c r="M859" s="427"/>
      <c r="N859" s="427"/>
      <c r="O859" s="427"/>
      <c r="P859" s="427"/>
      <c r="Q859" s="427"/>
      <c r="R859" s="427"/>
      <c r="S859" s="427"/>
      <c r="T859" s="427"/>
      <c r="U859" s="427"/>
      <c r="V859" s="428"/>
      <c r="W859" s="431"/>
      <c r="X859" s="3"/>
      <c r="Y859" s="429"/>
      <c r="Z859" s="430"/>
      <c r="AA859" s="430"/>
      <c r="AB859" s="430"/>
      <c r="AC859" s="424"/>
      <c r="AD859" s="424"/>
      <c r="AE859" s="424"/>
      <c r="AF859" s="424"/>
      <c r="AG859" s="424"/>
      <c r="AH859" s="424"/>
      <c r="AI859" s="424"/>
      <c r="AJ859" s="2"/>
      <c r="AK859" s="2"/>
      <c r="AL859" s="2"/>
      <c r="AM859" s="2"/>
      <c r="AN859" s="2"/>
      <c r="AO859" s="2"/>
      <c r="AP859" s="2"/>
      <c r="AQ859" s="427"/>
      <c r="AR859" s="754"/>
      <c r="AS859" s="427"/>
      <c r="AT859" s="754"/>
      <c r="AU859" s="427"/>
      <c r="AV859" s="427"/>
      <c r="AW859" s="427"/>
      <c r="AX859" s="427"/>
      <c r="AY859" s="754"/>
      <c r="AZ859" s="754"/>
      <c r="BA859" s="754"/>
      <c r="BB859" s="427"/>
      <c r="BC859" s="427"/>
      <c r="BD859" s="427"/>
      <c r="BE859" s="754"/>
      <c r="BF859" s="427"/>
      <c r="BG859" s="454"/>
      <c r="BH859" s="754"/>
      <c r="BI859" s="427"/>
      <c r="BJ859" s="427"/>
      <c r="BK859" s="427"/>
      <c r="BL859" s="427"/>
      <c r="BM859" s="454"/>
      <c r="BN859" s="427"/>
      <c r="BO859" s="427"/>
      <c r="BP859" s="427"/>
      <c r="BQ859" s="454"/>
      <c r="BR859" s="454"/>
      <c r="BS859" s="460"/>
      <c r="BT859" s="454"/>
      <c r="BU859" s="454"/>
      <c r="BV859" s="457"/>
      <c r="BW859" s="460"/>
      <c r="BX859" s="460"/>
      <c r="BY859" s="460"/>
      <c r="CA859" s="2"/>
      <c r="CB859" s="2"/>
      <c r="CC859" s="2"/>
      <c r="CD859" s="2"/>
      <c r="CE859" s="2"/>
      <c r="CF859" s="2"/>
      <c r="CG859" s="2"/>
      <c r="CH859" s="2"/>
      <c r="CI859" s="2"/>
      <c r="CJ859" s="2"/>
      <c r="CK859" s="2"/>
      <c r="CL859" s="2"/>
      <c r="CM859" s="2"/>
      <c r="CN859" s="2"/>
      <c r="CO859" s="427"/>
      <c r="CP859" s="427"/>
      <c r="CQ859" s="427"/>
      <c r="CR859" s="485"/>
      <c r="CS859" s="485"/>
      <c r="CT859" s="485"/>
      <c r="CU859" s="485"/>
      <c r="CV859" s="482"/>
      <c r="CW859" s="482"/>
      <c r="CX859" s="482"/>
      <c r="CY859" s="482"/>
      <c r="CZ859" s="485"/>
      <c r="DA859" s="485"/>
      <c r="DB859" s="485"/>
      <c r="DC859" s="485"/>
      <c r="DD859" s="485"/>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485"/>
      <c r="EX859" s="457"/>
      <c r="EY859" s="457"/>
      <c r="EZ859" s="457"/>
      <c r="FA859" s="457"/>
      <c r="FB859" s="457"/>
      <c r="FC859" s="457"/>
      <c r="FD859" s="457"/>
      <c r="FE859" s="457"/>
      <c r="FF859" s="457"/>
      <c r="FG859" s="457"/>
      <c r="FH859" s="457"/>
      <c r="FI859" s="457"/>
      <c r="FJ859" s="457"/>
      <c r="FK859" s="457"/>
    </row>
    <row r="860" spans="1:167" s="416" customFormat="1">
      <c r="A860" s="427"/>
      <c r="B860" s="427"/>
      <c r="C860" s="427"/>
      <c r="D860" s="427"/>
      <c r="E860" s="428"/>
      <c r="F860" s="429"/>
      <c r="G860" s="430"/>
      <c r="H860" s="427"/>
      <c r="I860" s="427"/>
      <c r="J860" s="427"/>
      <c r="K860" s="427"/>
      <c r="L860" s="427"/>
      <c r="M860" s="427"/>
      <c r="N860" s="427"/>
      <c r="O860" s="427"/>
      <c r="P860" s="427"/>
      <c r="Q860" s="427"/>
      <c r="R860" s="427"/>
      <c r="S860" s="427"/>
      <c r="T860" s="427"/>
      <c r="U860" s="427"/>
      <c r="V860" s="428"/>
      <c r="W860" s="431"/>
      <c r="X860" s="3"/>
      <c r="Y860" s="429"/>
      <c r="Z860" s="430"/>
      <c r="AA860" s="430"/>
      <c r="AB860" s="430"/>
      <c r="AC860" s="424"/>
      <c r="AD860" s="424"/>
      <c r="AE860" s="424"/>
      <c r="AF860" s="424"/>
      <c r="AG860" s="424"/>
      <c r="AH860" s="424"/>
      <c r="AI860" s="424"/>
      <c r="AJ860" s="2"/>
      <c r="AK860" s="2"/>
      <c r="AL860" s="2"/>
      <c r="AM860" s="2"/>
      <c r="AN860" s="2"/>
      <c r="AO860" s="2"/>
      <c r="AP860" s="2"/>
      <c r="AQ860" s="427"/>
      <c r="AR860" s="754"/>
      <c r="AS860" s="427"/>
      <c r="AT860" s="754"/>
      <c r="AU860" s="427"/>
      <c r="AV860" s="427"/>
      <c r="AW860" s="427"/>
      <c r="AX860" s="427"/>
      <c r="AY860" s="754"/>
      <c r="AZ860" s="754"/>
      <c r="BA860" s="754"/>
      <c r="BB860" s="427"/>
      <c r="BC860" s="427"/>
      <c r="BD860" s="427"/>
      <c r="BE860" s="754"/>
      <c r="BF860" s="427"/>
      <c r="BG860" s="454"/>
      <c r="BH860" s="754"/>
      <c r="BI860" s="427"/>
      <c r="BJ860" s="427"/>
      <c r="BK860" s="427"/>
      <c r="BL860" s="427"/>
      <c r="BM860" s="454"/>
      <c r="BN860" s="427"/>
      <c r="BO860" s="427"/>
      <c r="BP860" s="427"/>
      <c r="BQ860" s="454"/>
      <c r="BR860" s="454"/>
      <c r="BS860" s="460"/>
      <c r="BT860" s="454"/>
      <c r="BU860" s="454"/>
      <c r="BV860" s="457"/>
      <c r="BW860" s="460"/>
      <c r="BX860" s="460"/>
      <c r="BY860" s="460"/>
      <c r="CA860" s="2"/>
      <c r="CB860" s="2"/>
      <c r="CC860" s="2"/>
      <c r="CD860" s="2"/>
      <c r="CE860" s="2"/>
      <c r="CF860" s="2"/>
      <c r="CG860" s="2"/>
      <c r="CH860" s="2"/>
      <c r="CI860" s="2"/>
      <c r="CJ860" s="2"/>
      <c r="CK860" s="2"/>
      <c r="CL860" s="2"/>
      <c r="CM860" s="2"/>
      <c r="CN860" s="2"/>
      <c r="CO860" s="427"/>
      <c r="CP860" s="427"/>
      <c r="CQ860" s="427"/>
      <c r="CR860" s="485"/>
      <c r="CS860" s="485"/>
      <c r="CT860" s="485"/>
      <c r="CU860" s="485"/>
      <c r="CV860" s="482"/>
      <c r="CW860" s="482"/>
      <c r="CX860" s="482"/>
      <c r="CY860" s="482"/>
      <c r="CZ860" s="485"/>
      <c r="DA860" s="485"/>
      <c r="DB860" s="485"/>
      <c r="DC860" s="485"/>
      <c r="DD860" s="485"/>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485"/>
      <c r="EX860" s="457"/>
      <c r="EY860" s="457"/>
      <c r="EZ860" s="457"/>
      <c r="FA860" s="457"/>
      <c r="FB860" s="457"/>
      <c r="FC860" s="457"/>
      <c r="FD860" s="457"/>
      <c r="FE860" s="457"/>
      <c r="FF860" s="457"/>
      <c r="FG860" s="457"/>
      <c r="FH860" s="457"/>
      <c r="FI860" s="457"/>
      <c r="FJ860" s="457"/>
      <c r="FK860" s="457"/>
    </row>
    <row r="861" spans="1:167" s="416" customFormat="1">
      <c r="A861" s="427"/>
      <c r="B861" s="427"/>
      <c r="C861" s="427"/>
      <c r="D861" s="427"/>
      <c r="E861" s="428"/>
      <c r="F861" s="429"/>
      <c r="G861" s="430"/>
      <c r="H861" s="427"/>
      <c r="I861" s="427"/>
      <c r="J861" s="427"/>
      <c r="K861" s="427"/>
      <c r="L861" s="427"/>
      <c r="M861" s="427"/>
      <c r="N861" s="427"/>
      <c r="O861" s="427"/>
      <c r="P861" s="427"/>
      <c r="Q861" s="427"/>
      <c r="R861" s="427"/>
      <c r="S861" s="427"/>
      <c r="T861" s="427"/>
      <c r="U861" s="427"/>
      <c r="V861" s="428"/>
      <c r="W861" s="431"/>
      <c r="X861" s="3"/>
      <c r="Y861" s="429"/>
      <c r="Z861" s="430"/>
      <c r="AA861" s="430"/>
      <c r="AB861" s="430"/>
      <c r="AC861" s="424"/>
      <c r="AD861" s="424"/>
      <c r="AE861" s="424"/>
      <c r="AF861" s="424"/>
      <c r="AG861" s="424"/>
      <c r="AH861" s="424"/>
      <c r="AI861" s="424"/>
      <c r="AJ861" s="2"/>
      <c r="AK861" s="2"/>
      <c r="AL861" s="2"/>
      <c r="AM861" s="2"/>
      <c r="AN861" s="2"/>
      <c r="AO861" s="2"/>
      <c r="AP861" s="2"/>
      <c r="AQ861" s="427"/>
      <c r="AR861" s="754"/>
      <c r="AS861" s="427"/>
      <c r="AT861" s="754"/>
      <c r="AU861" s="427"/>
      <c r="AV861" s="427"/>
      <c r="AW861" s="427"/>
      <c r="AX861" s="427"/>
      <c r="AY861" s="754"/>
      <c r="AZ861" s="754"/>
      <c r="BA861" s="754"/>
      <c r="BB861" s="427"/>
      <c r="BC861" s="427"/>
      <c r="BD861" s="427"/>
      <c r="BE861" s="754"/>
      <c r="BF861" s="427"/>
      <c r="BG861" s="454"/>
      <c r="BH861" s="754"/>
      <c r="BI861" s="427"/>
      <c r="BJ861" s="427"/>
      <c r="BK861" s="427"/>
      <c r="BL861" s="427"/>
      <c r="BM861" s="454"/>
      <c r="BN861" s="427"/>
      <c r="BO861" s="427"/>
      <c r="BP861" s="427"/>
      <c r="BQ861" s="454"/>
      <c r="BR861" s="454"/>
      <c r="BS861" s="460"/>
      <c r="BT861" s="454"/>
      <c r="BU861" s="454"/>
      <c r="BV861" s="457"/>
      <c r="BW861" s="460"/>
      <c r="BX861" s="460"/>
      <c r="BY861" s="460"/>
      <c r="CA861" s="2"/>
      <c r="CB861" s="2"/>
      <c r="CC861" s="2"/>
      <c r="CD861" s="2"/>
      <c r="CE861" s="2"/>
      <c r="CF861" s="2"/>
      <c r="CG861" s="2"/>
      <c r="CH861" s="2"/>
      <c r="CI861" s="2"/>
      <c r="CJ861" s="2"/>
      <c r="CK861" s="2"/>
      <c r="CL861" s="2"/>
      <c r="CM861" s="2"/>
      <c r="CN861" s="2"/>
      <c r="CO861" s="427"/>
      <c r="CP861" s="427"/>
      <c r="CQ861" s="427"/>
      <c r="CR861" s="485"/>
      <c r="CS861" s="485"/>
      <c r="CT861" s="485"/>
      <c r="CU861" s="485"/>
      <c r="CV861" s="482"/>
      <c r="CW861" s="482"/>
      <c r="CX861" s="482"/>
      <c r="CY861" s="482"/>
      <c r="CZ861" s="485"/>
      <c r="DA861" s="485"/>
      <c r="DB861" s="485"/>
      <c r="DC861" s="485"/>
      <c r="DD861" s="485"/>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485"/>
      <c r="EX861" s="457"/>
      <c r="EY861" s="457"/>
      <c r="EZ861" s="457"/>
      <c r="FA861" s="457"/>
      <c r="FB861" s="457"/>
      <c r="FC861" s="457"/>
      <c r="FD861" s="457"/>
      <c r="FE861" s="457"/>
      <c r="FF861" s="457"/>
      <c r="FG861" s="457"/>
      <c r="FH861" s="457"/>
      <c r="FI861" s="457"/>
      <c r="FJ861" s="457"/>
      <c r="FK861" s="457"/>
    </row>
    <row r="862" spans="1:167" s="416" customFormat="1">
      <c r="A862" s="427"/>
      <c r="B862" s="427"/>
      <c r="C862" s="427"/>
      <c r="D862" s="427"/>
      <c r="E862" s="428"/>
      <c r="F862" s="429"/>
      <c r="G862" s="430"/>
      <c r="H862" s="427"/>
      <c r="I862" s="427"/>
      <c r="J862" s="427"/>
      <c r="K862" s="427"/>
      <c r="L862" s="427"/>
      <c r="M862" s="427"/>
      <c r="N862" s="427"/>
      <c r="O862" s="427"/>
      <c r="P862" s="427"/>
      <c r="Q862" s="427"/>
      <c r="R862" s="427"/>
      <c r="S862" s="427"/>
      <c r="T862" s="427"/>
      <c r="U862" s="427"/>
      <c r="V862" s="428"/>
      <c r="W862" s="431"/>
      <c r="X862" s="3"/>
      <c r="Y862" s="429"/>
      <c r="Z862" s="430"/>
      <c r="AA862" s="430"/>
      <c r="AB862" s="430"/>
      <c r="AC862" s="424"/>
      <c r="AD862" s="424"/>
      <c r="AE862" s="424"/>
      <c r="AF862" s="424"/>
      <c r="AG862" s="424"/>
      <c r="AH862" s="424"/>
      <c r="AI862" s="424"/>
      <c r="AJ862" s="2"/>
      <c r="AK862" s="2"/>
      <c r="AL862" s="2"/>
      <c r="AM862" s="2"/>
      <c r="AN862" s="2"/>
      <c r="AO862" s="2"/>
      <c r="AP862" s="2"/>
      <c r="AQ862" s="427"/>
      <c r="AR862" s="754"/>
      <c r="AS862" s="427"/>
      <c r="AT862" s="754"/>
      <c r="AU862" s="427"/>
      <c r="AV862" s="427"/>
      <c r="AW862" s="427"/>
      <c r="AX862" s="427"/>
      <c r="AY862" s="754"/>
      <c r="AZ862" s="754"/>
      <c r="BA862" s="754"/>
      <c r="BB862" s="427"/>
      <c r="BC862" s="427"/>
      <c r="BD862" s="427"/>
      <c r="BE862" s="754"/>
      <c r="BF862" s="427"/>
      <c r="BG862" s="454"/>
      <c r="BH862" s="754"/>
      <c r="BI862" s="427"/>
      <c r="BJ862" s="427"/>
      <c r="BK862" s="427"/>
      <c r="BL862" s="427"/>
      <c r="BM862" s="454"/>
      <c r="BN862" s="427"/>
      <c r="BO862" s="427"/>
      <c r="BP862" s="427"/>
      <c r="BQ862" s="454"/>
      <c r="BR862" s="454"/>
      <c r="BS862" s="460"/>
      <c r="BT862" s="454"/>
      <c r="BU862" s="454"/>
      <c r="BV862" s="457"/>
      <c r="BW862" s="460"/>
      <c r="BX862" s="460"/>
      <c r="BY862" s="460"/>
      <c r="CA862" s="2"/>
      <c r="CB862" s="2"/>
      <c r="CC862" s="2"/>
      <c r="CD862" s="2"/>
      <c r="CE862" s="2"/>
      <c r="CF862" s="2"/>
      <c r="CG862" s="2"/>
      <c r="CH862" s="2"/>
      <c r="CI862" s="2"/>
      <c r="CJ862" s="2"/>
      <c r="CK862" s="2"/>
      <c r="CL862" s="2"/>
      <c r="CM862" s="2"/>
      <c r="CN862" s="2"/>
      <c r="CO862" s="427"/>
      <c r="CP862" s="427"/>
      <c r="CQ862" s="427"/>
      <c r="CR862" s="485"/>
      <c r="CS862" s="485"/>
      <c r="CT862" s="485"/>
      <c r="CU862" s="485"/>
      <c r="CV862" s="482"/>
      <c r="CW862" s="482"/>
      <c r="CX862" s="482"/>
      <c r="CY862" s="482"/>
      <c r="CZ862" s="485"/>
      <c r="DA862" s="485"/>
      <c r="DB862" s="485"/>
      <c r="DC862" s="485"/>
      <c r="DD862" s="485"/>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485"/>
      <c r="EX862" s="457"/>
      <c r="EY862" s="457"/>
      <c r="EZ862" s="457"/>
      <c r="FA862" s="457"/>
      <c r="FB862" s="457"/>
      <c r="FC862" s="457"/>
      <c r="FD862" s="457"/>
      <c r="FE862" s="457"/>
      <c r="FF862" s="457"/>
      <c r="FG862" s="457"/>
      <c r="FH862" s="457"/>
      <c r="FI862" s="457"/>
      <c r="FJ862" s="457"/>
      <c r="FK862" s="457"/>
    </row>
    <row r="863" spans="1:167" s="416" customFormat="1">
      <c r="A863" s="427"/>
      <c r="B863" s="427"/>
      <c r="C863" s="427"/>
      <c r="D863" s="427"/>
      <c r="E863" s="428"/>
      <c r="F863" s="429"/>
      <c r="G863" s="430"/>
      <c r="H863" s="427"/>
      <c r="I863" s="427"/>
      <c r="J863" s="427"/>
      <c r="K863" s="427"/>
      <c r="L863" s="427"/>
      <c r="M863" s="427"/>
      <c r="N863" s="427"/>
      <c r="O863" s="427"/>
      <c r="P863" s="427"/>
      <c r="Q863" s="427"/>
      <c r="R863" s="427"/>
      <c r="S863" s="427"/>
      <c r="T863" s="427"/>
      <c r="U863" s="427"/>
      <c r="V863" s="428"/>
      <c r="W863" s="431"/>
      <c r="X863" s="3"/>
      <c r="Y863" s="429"/>
      <c r="Z863" s="430"/>
      <c r="AA863" s="430"/>
      <c r="AB863" s="430"/>
      <c r="AC863" s="424"/>
      <c r="AD863" s="424"/>
      <c r="AE863" s="424"/>
      <c r="AF863" s="424"/>
      <c r="AG863" s="424"/>
      <c r="AH863" s="424"/>
      <c r="AI863" s="424"/>
      <c r="AJ863" s="2"/>
      <c r="AK863" s="2"/>
      <c r="AL863" s="2"/>
      <c r="AM863" s="2"/>
      <c r="AN863" s="2"/>
      <c r="AO863" s="2"/>
      <c r="AP863" s="2"/>
      <c r="AQ863" s="427"/>
      <c r="AR863" s="754"/>
      <c r="AS863" s="427"/>
      <c r="AT863" s="754"/>
      <c r="AU863" s="427"/>
      <c r="AV863" s="427"/>
      <c r="AW863" s="427"/>
      <c r="AX863" s="427"/>
      <c r="AY863" s="754"/>
      <c r="AZ863" s="754"/>
      <c r="BA863" s="754"/>
      <c r="BB863" s="427"/>
      <c r="BC863" s="427"/>
      <c r="BD863" s="427"/>
      <c r="BE863" s="754"/>
      <c r="BF863" s="427"/>
      <c r="BG863" s="454"/>
      <c r="BH863" s="754"/>
      <c r="BI863" s="427"/>
      <c r="BJ863" s="427"/>
      <c r="BK863" s="427"/>
      <c r="BL863" s="427"/>
      <c r="BM863" s="454"/>
      <c r="BN863" s="427"/>
      <c r="BO863" s="427"/>
      <c r="BP863" s="427"/>
      <c r="BQ863" s="454"/>
      <c r="BR863" s="454"/>
      <c r="BS863" s="460"/>
      <c r="BT863" s="454"/>
      <c r="BU863" s="454"/>
      <c r="BV863" s="457"/>
      <c r="BW863" s="460"/>
      <c r="BX863" s="460"/>
      <c r="BY863" s="460"/>
      <c r="CA863" s="2"/>
      <c r="CB863" s="2"/>
      <c r="CC863" s="2"/>
      <c r="CD863" s="2"/>
      <c r="CE863" s="2"/>
      <c r="CF863" s="2"/>
      <c r="CG863" s="2"/>
      <c r="CH863" s="2"/>
      <c r="CI863" s="2"/>
      <c r="CJ863" s="2"/>
      <c r="CK863" s="2"/>
      <c r="CL863" s="2"/>
      <c r="CM863" s="2"/>
      <c r="CN863" s="2"/>
      <c r="CO863" s="427"/>
      <c r="CP863" s="427"/>
      <c r="CQ863" s="427"/>
      <c r="CR863" s="485"/>
      <c r="CS863" s="485"/>
      <c r="CT863" s="485"/>
      <c r="CU863" s="485"/>
      <c r="CV863" s="482"/>
      <c r="CW863" s="482"/>
      <c r="CX863" s="482"/>
      <c r="CY863" s="482"/>
      <c r="CZ863" s="485"/>
      <c r="DA863" s="485"/>
      <c r="DB863" s="485"/>
      <c r="DC863" s="485"/>
      <c r="DD863" s="485"/>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485"/>
      <c r="EX863" s="457"/>
      <c r="EY863" s="457"/>
      <c r="EZ863" s="457"/>
      <c r="FA863" s="457"/>
      <c r="FB863" s="457"/>
      <c r="FC863" s="457"/>
      <c r="FD863" s="457"/>
      <c r="FE863" s="457"/>
      <c r="FF863" s="457"/>
      <c r="FG863" s="457"/>
      <c r="FH863" s="457"/>
      <c r="FI863" s="457"/>
      <c r="FJ863" s="457"/>
      <c r="FK863" s="457"/>
    </row>
    <row r="864" spans="1:167" s="416" customFormat="1">
      <c r="A864" s="427"/>
      <c r="B864" s="427"/>
      <c r="C864" s="427"/>
      <c r="D864" s="427"/>
      <c r="E864" s="428"/>
      <c r="F864" s="429"/>
      <c r="G864" s="430"/>
      <c r="H864" s="427"/>
      <c r="I864" s="427"/>
      <c r="J864" s="427"/>
      <c r="K864" s="427"/>
      <c r="L864" s="427"/>
      <c r="M864" s="427"/>
      <c r="N864" s="427"/>
      <c r="O864" s="427"/>
      <c r="P864" s="427"/>
      <c r="Q864" s="427"/>
      <c r="R864" s="427"/>
      <c r="S864" s="427"/>
      <c r="T864" s="427"/>
      <c r="U864" s="427"/>
      <c r="V864" s="428"/>
      <c r="W864" s="431"/>
      <c r="X864" s="3"/>
      <c r="Y864" s="429"/>
      <c r="Z864" s="430"/>
      <c r="AA864" s="430"/>
      <c r="AB864" s="430"/>
      <c r="AC864" s="424"/>
      <c r="AD864" s="424"/>
      <c r="AE864" s="424"/>
      <c r="AF864" s="424"/>
      <c r="AG864" s="424"/>
      <c r="AH864" s="424"/>
      <c r="AI864" s="424"/>
      <c r="AJ864" s="2"/>
      <c r="AK864" s="2"/>
      <c r="AL864" s="2"/>
      <c r="AM864" s="2"/>
      <c r="AN864" s="2"/>
      <c r="AO864" s="2"/>
      <c r="AP864" s="2"/>
      <c r="AQ864" s="427"/>
      <c r="AR864" s="754"/>
      <c r="AS864" s="427"/>
      <c r="AT864" s="754"/>
      <c r="AU864" s="427"/>
      <c r="AV864" s="427"/>
      <c r="AW864" s="427"/>
      <c r="AX864" s="427"/>
      <c r="AY864" s="754"/>
      <c r="AZ864" s="754"/>
      <c r="BA864" s="754"/>
      <c r="BB864" s="427"/>
      <c r="BC864" s="427"/>
      <c r="BD864" s="427"/>
      <c r="BE864" s="754"/>
      <c r="BF864" s="427"/>
      <c r="BG864" s="454"/>
      <c r="BH864" s="754"/>
      <c r="BI864" s="427"/>
      <c r="BJ864" s="427"/>
      <c r="BK864" s="427"/>
      <c r="BL864" s="427"/>
      <c r="BM864" s="454"/>
      <c r="BN864" s="427"/>
      <c r="BO864" s="427"/>
      <c r="BP864" s="427"/>
      <c r="BQ864" s="454"/>
      <c r="BR864" s="454"/>
      <c r="BS864" s="460"/>
      <c r="BT864" s="454"/>
      <c r="BU864" s="454"/>
      <c r="BV864" s="457"/>
      <c r="BW864" s="460"/>
      <c r="BX864" s="460"/>
      <c r="BY864" s="460"/>
      <c r="CA864" s="2"/>
      <c r="CB864" s="2"/>
      <c r="CC864" s="2"/>
      <c r="CD864" s="2"/>
      <c r="CE864" s="2"/>
      <c r="CF864" s="2"/>
      <c r="CG864" s="2"/>
      <c r="CH864" s="2"/>
      <c r="CI864" s="2"/>
      <c r="CJ864" s="2"/>
      <c r="CK864" s="2"/>
      <c r="CL864" s="2"/>
      <c r="CM864" s="2"/>
      <c r="CN864" s="2"/>
      <c r="CO864" s="427"/>
      <c r="CP864" s="427"/>
      <c r="CQ864" s="427"/>
      <c r="CR864" s="485"/>
      <c r="CS864" s="485"/>
      <c r="CT864" s="485"/>
      <c r="CU864" s="485"/>
      <c r="CV864" s="482"/>
      <c r="CW864" s="482"/>
      <c r="CX864" s="482"/>
      <c r="CY864" s="482"/>
      <c r="CZ864" s="485"/>
      <c r="DA864" s="485"/>
      <c r="DB864" s="485"/>
      <c r="DC864" s="485"/>
      <c r="DD864" s="485"/>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485"/>
      <c r="EX864" s="457"/>
      <c r="EY864" s="457"/>
      <c r="EZ864" s="457"/>
      <c r="FA864" s="457"/>
      <c r="FB864" s="457"/>
      <c r="FC864" s="457"/>
      <c r="FD864" s="457"/>
      <c r="FE864" s="457"/>
      <c r="FF864" s="457"/>
      <c r="FG864" s="457"/>
      <c r="FH864" s="457"/>
      <c r="FI864" s="457"/>
      <c r="FJ864" s="457"/>
      <c r="FK864" s="457"/>
    </row>
    <row r="865" spans="1:167" s="416" customFormat="1">
      <c r="A865" s="427"/>
      <c r="B865" s="427"/>
      <c r="C865" s="427"/>
      <c r="D865" s="427"/>
      <c r="E865" s="428"/>
      <c r="F865" s="429"/>
      <c r="G865" s="430"/>
      <c r="H865" s="427"/>
      <c r="I865" s="427"/>
      <c r="J865" s="427"/>
      <c r="K865" s="427"/>
      <c r="L865" s="427"/>
      <c r="M865" s="427"/>
      <c r="N865" s="427"/>
      <c r="O865" s="427"/>
      <c r="P865" s="427"/>
      <c r="Q865" s="427"/>
      <c r="R865" s="427"/>
      <c r="S865" s="427"/>
      <c r="T865" s="427"/>
      <c r="U865" s="427"/>
      <c r="V865" s="428"/>
      <c r="W865" s="431"/>
      <c r="X865" s="3"/>
      <c r="Y865" s="429"/>
      <c r="Z865" s="430"/>
      <c r="AA865" s="430"/>
      <c r="AB865" s="430"/>
      <c r="AC865" s="424"/>
      <c r="AD865" s="424"/>
      <c r="AE865" s="424"/>
      <c r="AF865" s="424"/>
      <c r="AG865" s="424"/>
      <c r="AH865" s="424"/>
      <c r="AI865" s="424"/>
      <c r="AJ865" s="2"/>
      <c r="AK865" s="2"/>
      <c r="AL865" s="2"/>
      <c r="AM865" s="2"/>
      <c r="AN865" s="2"/>
      <c r="AO865" s="2"/>
      <c r="AP865" s="2"/>
      <c r="AQ865" s="427"/>
      <c r="AR865" s="754"/>
      <c r="AS865" s="427"/>
      <c r="AT865" s="754"/>
      <c r="AU865" s="427"/>
      <c r="AV865" s="427"/>
      <c r="AW865" s="427"/>
      <c r="AX865" s="427"/>
      <c r="AY865" s="754"/>
      <c r="AZ865" s="754"/>
      <c r="BA865" s="754"/>
      <c r="BB865" s="427"/>
      <c r="BC865" s="427"/>
      <c r="BD865" s="427"/>
      <c r="BE865" s="754"/>
      <c r="BF865" s="427"/>
      <c r="BG865" s="454"/>
      <c r="BH865" s="754"/>
      <c r="BI865" s="427"/>
      <c r="BJ865" s="427"/>
      <c r="BK865" s="427"/>
      <c r="BL865" s="427"/>
      <c r="BM865" s="454"/>
      <c r="BN865" s="427"/>
      <c r="BO865" s="427"/>
      <c r="BP865" s="427"/>
      <c r="BQ865" s="454"/>
      <c r="BR865" s="454"/>
      <c r="BS865" s="460"/>
      <c r="BT865" s="454"/>
      <c r="BU865" s="454"/>
      <c r="BV865" s="457"/>
      <c r="BW865" s="460"/>
      <c r="BX865" s="460"/>
      <c r="BY865" s="460"/>
      <c r="CA865" s="2"/>
      <c r="CB865" s="2"/>
      <c r="CC865" s="2"/>
      <c r="CD865" s="2"/>
      <c r="CE865" s="2"/>
      <c r="CF865" s="2"/>
      <c r="CG865" s="2"/>
      <c r="CH865" s="2"/>
      <c r="CI865" s="2"/>
      <c r="CJ865" s="2"/>
      <c r="CK865" s="2"/>
      <c r="CL865" s="2"/>
      <c r="CM865" s="2"/>
      <c r="CN865" s="2"/>
      <c r="CO865" s="427"/>
      <c r="CP865" s="427"/>
      <c r="CQ865" s="427"/>
      <c r="CR865" s="485"/>
      <c r="CS865" s="485"/>
      <c r="CT865" s="485"/>
      <c r="CU865" s="485"/>
      <c r="CV865" s="482"/>
      <c r="CW865" s="482"/>
      <c r="CX865" s="482"/>
      <c r="CY865" s="482"/>
      <c r="CZ865" s="485"/>
      <c r="DA865" s="485"/>
      <c r="DB865" s="485"/>
      <c r="DC865" s="485"/>
      <c r="DD865" s="485"/>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485"/>
      <c r="EX865" s="457"/>
      <c r="EY865" s="457"/>
      <c r="EZ865" s="457"/>
      <c r="FA865" s="457"/>
      <c r="FB865" s="457"/>
      <c r="FC865" s="457"/>
      <c r="FD865" s="457"/>
      <c r="FE865" s="457"/>
      <c r="FF865" s="457"/>
      <c r="FG865" s="457"/>
      <c r="FH865" s="457"/>
      <c r="FI865" s="457"/>
      <c r="FJ865" s="457"/>
      <c r="FK865" s="457"/>
    </row>
    <row r="866" spans="1:167" s="416" customFormat="1">
      <c r="A866" s="427"/>
      <c r="B866" s="427"/>
      <c r="C866" s="427"/>
      <c r="D866" s="427"/>
      <c r="E866" s="428"/>
      <c r="F866" s="429"/>
      <c r="G866" s="430"/>
      <c r="H866" s="427"/>
      <c r="I866" s="427"/>
      <c r="J866" s="427"/>
      <c r="K866" s="427"/>
      <c r="L866" s="427"/>
      <c r="M866" s="427"/>
      <c r="N866" s="427"/>
      <c r="O866" s="427"/>
      <c r="P866" s="427"/>
      <c r="Q866" s="427"/>
      <c r="R866" s="427"/>
      <c r="S866" s="427"/>
      <c r="T866" s="427"/>
      <c r="U866" s="427"/>
      <c r="V866" s="428"/>
      <c r="W866" s="431"/>
      <c r="X866" s="3"/>
      <c r="Y866" s="429"/>
      <c r="Z866" s="430"/>
      <c r="AA866" s="430"/>
      <c r="AB866" s="430"/>
      <c r="AC866" s="424"/>
      <c r="AD866" s="424"/>
      <c r="AE866" s="424"/>
      <c r="AF866" s="424"/>
      <c r="AG866" s="424"/>
      <c r="AH866" s="424"/>
      <c r="AI866" s="424"/>
      <c r="AJ866" s="2"/>
      <c r="AK866" s="2"/>
      <c r="AL866" s="2"/>
      <c r="AM866" s="2"/>
      <c r="AN866" s="2"/>
      <c r="AO866" s="2"/>
      <c r="AP866" s="2"/>
      <c r="AQ866" s="427"/>
      <c r="AR866" s="754"/>
      <c r="AS866" s="427"/>
      <c r="AT866" s="754"/>
      <c r="AU866" s="427"/>
      <c r="AV866" s="427"/>
      <c r="AW866" s="427"/>
      <c r="AX866" s="427"/>
      <c r="AY866" s="754"/>
      <c r="AZ866" s="754"/>
      <c r="BA866" s="754"/>
      <c r="BB866" s="427"/>
      <c r="BC866" s="427"/>
      <c r="BD866" s="427"/>
      <c r="BE866" s="754"/>
      <c r="BF866" s="427"/>
      <c r="BG866" s="454"/>
      <c r="BH866" s="754"/>
      <c r="BI866" s="427"/>
      <c r="BJ866" s="427"/>
      <c r="BK866" s="427"/>
      <c r="BL866" s="427"/>
      <c r="BM866" s="454"/>
      <c r="BN866" s="427"/>
      <c r="BO866" s="427"/>
      <c r="BP866" s="427"/>
      <c r="BQ866" s="454"/>
      <c r="BR866" s="454"/>
      <c r="BS866" s="460"/>
      <c r="BT866" s="454"/>
      <c r="BU866" s="454"/>
      <c r="BV866" s="457"/>
      <c r="BW866" s="460"/>
      <c r="BX866" s="460"/>
      <c r="BY866" s="460"/>
      <c r="CA866" s="2"/>
      <c r="CB866" s="2"/>
      <c r="CC866" s="2"/>
      <c r="CD866" s="2"/>
      <c r="CE866" s="2"/>
      <c r="CF866" s="2"/>
      <c r="CG866" s="2"/>
      <c r="CH866" s="2"/>
      <c r="CI866" s="2"/>
      <c r="CJ866" s="2"/>
      <c r="CK866" s="2"/>
      <c r="CL866" s="2"/>
      <c r="CM866" s="2"/>
      <c r="CN866" s="2"/>
      <c r="CO866" s="427"/>
      <c r="CP866" s="427"/>
      <c r="CQ866" s="427"/>
      <c r="CR866" s="485"/>
      <c r="CS866" s="485"/>
      <c r="CT866" s="485"/>
      <c r="CU866" s="485"/>
      <c r="CV866" s="482"/>
      <c r="CW866" s="482"/>
      <c r="CX866" s="482"/>
      <c r="CY866" s="482"/>
      <c r="CZ866" s="485"/>
      <c r="DA866" s="485"/>
      <c r="DB866" s="485"/>
      <c r="DC866" s="485"/>
      <c r="DD866" s="485"/>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485"/>
      <c r="EX866" s="457"/>
      <c r="EY866" s="457"/>
      <c r="EZ866" s="457"/>
      <c r="FA866" s="457"/>
      <c r="FB866" s="457"/>
      <c r="FC866" s="457"/>
      <c r="FD866" s="457"/>
      <c r="FE866" s="457"/>
      <c r="FF866" s="457"/>
      <c r="FG866" s="457"/>
      <c r="FH866" s="457"/>
      <c r="FI866" s="457"/>
      <c r="FJ866" s="457"/>
      <c r="FK866" s="457"/>
    </row>
    <row r="867" spans="1:167" s="416" customFormat="1">
      <c r="A867" s="427"/>
      <c r="B867" s="427"/>
      <c r="C867" s="427"/>
      <c r="D867" s="427"/>
      <c r="E867" s="428"/>
      <c r="F867" s="429"/>
      <c r="G867" s="430"/>
      <c r="H867" s="427"/>
      <c r="I867" s="427"/>
      <c r="J867" s="427"/>
      <c r="K867" s="427"/>
      <c r="L867" s="427"/>
      <c r="M867" s="427"/>
      <c r="N867" s="427"/>
      <c r="O867" s="427"/>
      <c r="P867" s="427"/>
      <c r="Q867" s="427"/>
      <c r="R867" s="427"/>
      <c r="S867" s="427"/>
      <c r="T867" s="427"/>
      <c r="U867" s="427"/>
      <c r="V867" s="428"/>
      <c r="W867" s="431"/>
      <c r="X867" s="3"/>
      <c r="Y867" s="429"/>
      <c r="Z867" s="430"/>
      <c r="AA867" s="430"/>
      <c r="AB867" s="430"/>
      <c r="AC867" s="424"/>
      <c r="AD867" s="424"/>
      <c r="AE867" s="424"/>
      <c r="AF867" s="424"/>
      <c r="AG867" s="424"/>
      <c r="AH867" s="424"/>
      <c r="AI867" s="424"/>
      <c r="AJ867" s="2"/>
      <c r="AK867" s="2"/>
      <c r="AL867" s="2"/>
      <c r="AM867" s="2"/>
      <c r="AN867" s="2"/>
      <c r="AO867" s="2"/>
      <c r="AP867" s="2"/>
      <c r="AQ867" s="427"/>
      <c r="AR867" s="754"/>
      <c r="AS867" s="427"/>
      <c r="AT867" s="754"/>
      <c r="AU867" s="427"/>
      <c r="AV867" s="427"/>
      <c r="AW867" s="427"/>
      <c r="AX867" s="427"/>
      <c r="AY867" s="754"/>
      <c r="AZ867" s="754"/>
      <c r="BA867" s="754"/>
      <c r="BB867" s="427"/>
      <c r="BC867" s="427"/>
      <c r="BD867" s="427"/>
      <c r="BE867" s="754"/>
      <c r="BF867" s="427"/>
      <c r="BG867" s="454"/>
      <c r="BH867" s="754"/>
      <c r="BI867" s="427"/>
      <c r="BJ867" s="427"/>
      <c r="BK867" s="427"/>
      <c r="BL867" s="427"/>
      <c r="BM867" s="454"/>
      <c r="BN867" s="427"/>
      <c r="BO867" s="427"/>
      <c r="BP867" s="427"/>
      <c r="BQ867" s="454"/>
      <c r="BR867" s="454"/>
      <c r="BS867" s="460"/>
      <c r="BT867" s="454"/>
      <c r="BU867" s="454"/>
      <c r="BV867" s="457"/>
      <c r="BW867" s="460"/>
      <c r="BX867" s="460"/>
      <c r="BY867" s="460"/>
      <c r="CA867" s="2"/>
      <c r="CB867" s="2"/>
      <c r="CC867" s="2"/>
      <c r="CD867" s="2"/>
      <c r="CE867" s="2"/>
      <c r="CF867" s="2"/>
      <c r="CG867" s="2"/>
      <c r="CH867" s="2"/>
      <c r="CI867" s="2"/>
      <c r="CJ867" s="2"/>
      <c r="CK867" s="2"/>
      <c r="CL867" s="2"/>
      <c r="CM867" s="2"/>
      <c r="CN867" s="2"/>
      <c r="CO867" s="427"/>
      <c r="CP867" s="427"/>
      <c r="CQ867" s="427"/>
      <c r="CR867" s="485"/>
      <c r="CS867" s="485"/>
      <c r="CT867" s="485"/>
      <c r="CU867" s="485"/>
      <c r="CV867" s="482"/>
      <c r="CW867" s="482"/>
      <c r="CX867" s="482"/>
      <c r="CY867" s="482"/>
      <c r="CZ867" s="485"/>
      <c r="DA867" s="485"/>
      <c r="DB867" s="485"/>
      <c r="DC867" s="485"/>
      <c r="DD867" s="485"/>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485"/>
      <c r="EX867" s="457"/>
      <c r="EY867" s="457"/>
      <c r="EZ867" s="457"/>
      <c r="FA867" s="457"/>
      <c r="FB867" s="457"/>
      <c r="FC867" s="457"/>
      <c r="FD867" s="457"/>
      <c r="FE867" s="457"/>
      <c r="FF867" s="457"/>
      <c r="FG867" s="457"/>
      <c r="FH867" s="457"/>
      <c r="FI867" s="457"/>
      <c r="FJ867" s="457"/>
      <c r="FK867" s="457"/>
    </row>
    <row r="868" spans="1:167" s="416" customFormat="1">
      <c r="A868" s="427"/>
      <c r="B868" s="427"/>
      <c r="C868" s="427"/>
      <c r="D868" s="427"/>
      <c r="E868" s="428"/>
      <c r="F868" s="429"/>
      <c r="G868" s="430"/>
      <c r="H868" s="427"/>
      <c r="I868" s="427"/>
      <c r="J868" s="427"/>
      <c r="K868" s="427"/>
      <c r="L868" s="427"/>
      <c r="M868" s="427"/>
      <c r="N868" s="427"/>
      <c r="O868" s="427"/>
      <c r="P868" s="427"/>
      <c r="Q868" s="427"/>
      <c r="R868" s="427"/>
      <c r="S868" s="427"/>
      <c r="T868" s="427"/>
      <c r="U868" s="427"/>
      <c r="V868" s="428"/>
      <c r="W868" s="431"/>
      <c r="X868" s="3"/>
      <c r="Y868" s="429"/>
      <c r="Z868" s="430"/>
      <c r="AA868" s="430"/>
      <c r="AB868" s="430"/>
      <c r="AC868" s="424"/>
      <c r="AD868" s="424"/>
      <c r="AE868" s="424"/>
      <c r="AF868" s="424"/>
      <c r="AG868" s="424"/>
      <c r="AH868" s="424"/>
      <c r="AI868" s="424"/>
      <c r="AJ868" s="2"/>
      <c r="AK868" s="2"/>
      <c r="AL868" s="2"/>
      <c r="AM868" s="2"/>
      <c r="AN868" s="2"/>
      <c r="AO868" s="2"/>
      <c r="AP868" s="2"/>
      <c r="AQ868" s="427"/>
      <c r="AR868" s="754"/>
      <c r="AS868" s="427"/>
      <c r="AT868" s="754"/>
      <c r="AU868" s="427"/>
      <c r="AV868" s="427"/>
      <c r="AW868" s="427"/>
      <c r="AX868" s="427"/>
      <c r="AY868" s="754"/>
      <c r="AZ868" s="754"/>
      <c r="BA868" s="754"/>
      <c r="BB868" s="427"/>
      <c r="BC868" s="427"/>
      <c r="BD868" s="427"/>
      <c r="BE868" s="754"/>
      <c r="BF868" s="427"/>
      <c r="BG868" s="454"/>
      <c r="BH868" s="754"/>
      <c r="BI868" s="427"/>
      <c r="BJ868" s="427"/>
      <c r="BK868" s="427"/>
      <c r="BL868" s="427"/>
      <c r="BM868" s="454"/>
      <c r="BN868" s="427"/>
      <c r="BO868" s="427"/>
      <c r="BP868" s="427"/>
      <c r="BQ868" s="454"/>
      <c r="BR868" s="454"/>
      <c r="BS868" s="460"/>
      <c r="BT868" s="454"/>
      <c r="BU868" s="454"/>
      <c r="BV868" s="457"/>
      <c r="BW868" s="460"/>
      <c r="BX868" s="460"/>
      <c r="BY868" s="460"/>
      <c r="CA868" s="2"/>
      <c r="CB868" s="2"/>
      <c r="CC868" s="2"/>
      <c r="CD868" s="2"/>
      <c r="CE868" s="2"/>
      <c r="CF868" s="2"/>
      <c r="CG868" s="2"/>
      <c r="CH868" s="2"/>
      <c r="CI868" s="2"/>
      <c r="CJ868" s="2"/>
      <c r="CK868" s="2"/>
      <c r="CL868" s="2"/>
      <c r="CM868" s="2"/>
      <c r="CN868" s="2"/>
      <c r="CO868" s="427"/>
      <c r="CP868" s="427"/>
      <c r="CQ868" s="427"/>
      <c r="CR868" s="485"/>
      <c r="CS868" s="485"/>
      <c r="CT868" s="485"/>
      <c r="CU868" s="485"/>
      <c r="CV868" s="482"/>
      <c r="CW868" s="482"/>
      <c r="CX868" s="482"/>
      <c r="CY868" s="482"/>
      <c r="CZ868" s="485"/>
      <c r="DA868" s="485"/>
      <c r="DB868" s="485"/>
      <c r="DC868" s="485"/>
      <c r="DD868" s="485"/>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485"/>
      <c r="EX868" s="457"/>
      <c r="EY868" s="457"/>
      <c r="EZ868" s="457"/>
      <c r="FA868" s="457"/>
      <c r="FB868" s="457"/>
      <c r="FC868" s="457"/>
      <c r="FD868" s="457"/>
      <c r="FE868" s="457"/>
      <c r="FF868" s="457"/>
      <c r="FG868" s="457"/>
      <c r="FH868" s="457"/>
      <c r="FI868" s="457"/>
      <c r="FJ868" s="457"/>
      <c r="FK868" s="457"/>
    </row>
    <row r="869" spans="1:167" s="416" customFormat="1">
      <c r="A869" s="427"/>
      <c r="B869" s="427"/>
      <c r="C869" s="427"/>
      <c r="D869" s="427"/>
      <c r="E869" s="428"/>
      <c r="F869" s="429"/>
      <c r="G869" s="430"/>
      <c r="H869" s="427"/>
      <c r="I869" s="427"/>
      <c r="J869" s="427"/>
      <c r="K869" s="427"/>
      <c r="L869" s="427"/>
      <c r="M869" s="427"/>
      <c r="N869" s="427"/>
      <c r="O869" s="427"/>
      <c r="P869" s="427"/>
      <c r="Q869" s="427"/>
      <c r="R869" s="427"/>
      <c r="S869" s="427"/>
      <c r="T869" s="427"/>
      <c r="U869" s="427"/>
      <c r="V869" s="428"/>
      <c r="W869" s="431"/>
      <c r="X869" s="3"/>
      <c r="Y869" s="429"/>
      <c r="Z869" s="430"/>
      <c r="AA869" s="430"/>
      <c r="AB869" s="430"/>
      <c r="AC869" s="424"/>
      <c r="AD869" s="424"/>
      <c r="AE869" s="424"/>
      <c r="AF869" s="424"/>
      <c r="AG869" s="424"/>
      <c r="AH869" s="424"/>
      <c r="AI869" s="424"/>
      <c r="AJ869" s="2"/>
      <c r="AK869" s="2"/>
      <c r="AL869" s="2"/>
      <c r="AM869" s="2"/>
      <c r="AN869" s="2"/>
      <c r="AO869" s="2"/>
      <c r="AP869" s="2"/>
      <c r="AQ869" s="427"/>
      <c r="AR869" s="754"/>
      <c r="AS869" s="427"/>
      <c r="AT869" s="754"/>
      <c r="AU869" s="427"/>
      <c r="AV869" s="427"/>
      <c r="AW869" s="427"/>
      <c r="AX869" s="427"/>
      <c r="AY869" s="754"/>
      <c r="AZ869" s="754"/>
      <c r="BA869" s="754"/>
      <c r="BB869" s="427"/>
      <c r="BC869" s="427"/>
      <c r="BD869" s="427"/>
      <c r="BE869" s="754"/>
      <c r="BF869" s="427"/>
      <c r="BG869" s="454"/>
      <c r="BH869" s="754"/>
      <c r="BI869" s="427"/>
      <c r="BJ869" s="427"/>
      <c r="BK869" s="427"/>
      <c r="BL869" s="427"/>
      <c r="BM869" s="454"/>
      <c r="BN869" s="427"/>
      <c r="BO869" s="427"/>
      <c r="BP869" s="427"/>
      <c r="BQ869" s="454"/>
      <c r="BR869" s="454"/>
      <c r="BS869" s="460"/>
      <c r="BT869" s="454"/>
      <c r="BU869" s="454"/>
      <c r="BV869" s="457"/>
      <c r="BW869" s="460"/>
      <c r="BX869" s="460"/>
      <c r="BY869" s="460"/>
      <c r="CA869" s="2"/>
      <c r="CB869" s="2"/>
      <c r="CC869" s="2"/>
      <c r="CD869" s="2"/>
      <c r="CE869" s="2"/>
      <c r="CF869" s="2"/>
      <c r="CG869" s="2"/>
      <c r="CH869" s="2"/>
      <c r="CI869" s="2"/>
      <c r="CJ869" s="2"/>
      <c r="CK869" s="2"/>
      <c r="CL869" s="2"/>
      <c r="CM869" s="2"/>
      <c r="CN869" s="2"/>
      <c r="CO869" s="427"/>
      <c r="CP869" s="427"/>
      <c r="CQ869" s="427"/>
      <c r="CR869" s="485"/>
      <c r="CS869" s="485"/>
      <c r="CT869" s="485"/>
      <c r="CU869" s="485"/>
      <c r="CV869" s="482"/>
      <c r="CW869" s="482"/>
      <c r="CX869" s="482"/>
      <c r="CY869" s="482"/>
      <c r="CZ869" s="485"/>
      <c r="DA869" s="485"/>
      <c r="DB869" s="485"/>
      <c r="DC869" s="485"/>
      <c r="DD869" s="485"/>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485"/>
      <c r="EX869" s="457"/>
      <c r="EY869" s="457"/>
      <c r="EZ869" s="457"/>
      <c r="FA869" s="457"/>
      <c r="FB869" s="457"/>
      <c r="FC869" s="457"/>
      <c r="FD869" s="457"/>
      <c r="FE869" s="457"/>
      <c r="FF869" s="457"/>
      <c r="FG869" s="457"/>
      <c r="FH869" s="457"/>
      <c r="FI869" s="457"/>
      <c r="FJ869" s="457"/>
      <c r="FK869" s="457"/>
    </row>
    <row r="870" spans="1:167" s="416" customFormat="1">
      <c r="A870" s="427"/>
      <c r="B870" s="427"/>
      <c r="C870" s="427"/>
      <c r="D870" s="427"/>
      <c r="E870" s="428"/>
      <c r="F870" s="429"/>
      <c r="G870" s="430"/>
      <c r="H870" s="427"/>
      <c r="I870" s="427"/>
      <c r="J870" s="427"/>
      <c r="K870" s="427"/>
      <c r="L870" s="427"/>
      <c r="M870" s="427"/>
      <c r="N870" s="427"/>
      <c r="O870" s="427"/>
      <c r="P870" s="427"/>
      <c r="Q870" s="427"/>
      <c r="R870" s="427"/>
      <c r="S870" s="427"/>
      <c r="T870" s="427"/>
      <c r="U870" s="427"/>
      <c r="V870" s="428"/>
      <c r="W870" s="431"/>
      <c r="X870" s="3"/>
      <c r="Y870" s="429"/>
      <c r="Z870" s="430"/>
      <c r="AA870" s="430"/>
      <c r="AB870" s="430"/>
      <c r="AC870" s="424"/>
      <c r="AD870" s="424"/>
      <c r="AE870" s="424"/>
      <c r="AF870" s="424"/>
      <c r="AG870" s="424"/>
      <c r="AH870" s="424"/>
      <c r="AI870" s="424"/>
      <c r="AJ870" s="2"/>
      <c r="AK870" s="2"/>
      <c r="AL870" s="2"/>
      <c r="AM870" s="2"/>
      <c r="AN870" s="2"/>
      <c r="AO870" s="2"/>
      <c r="AP870" s="2"/>
      <c r="AQ870" s="427"/>
      <c r="AR870" s="754"/>
      <c r="AS870" s="427"/>
      <c r="AT870" s="754"/>
      <c r="AU870" s="427"/>
      <c r="AV870" s="427"/>
      <c r="AW870" s="427"/>
      <c r="AX870" s="427"/>
      <c r="AY870" s="754"/>
      <c r="AZ870" s="754"/>
      <c r="BA870" s="754"/>
      <c r="BB870" s="427"/>
      <c r="BC870" s="427"/>
      <c r="BD870" s="427"/>
      <c r="BE870" s="754"/>
      <c r="BF870" s="427"/>
      <c r="BG870" s="454"/>
      <c r="BH870" s="754"/>
      <c r="BI870" s="427"/>
      <c r="BJ870" s="427"/>
      <c r="BK870" s="427"/>
      <c r="BL870" s="427"/>
      <c r="BM870" s="454"/>
      <c r="BN870" s="427"/>
      <c r="BO870" s="427"/>
      <c r="BP870" s="427"/>
      <c r="BQ870" s="454"/>
      <c r="BR870" s="454"/>
      <c r="BS870" s="460"/>
      <c r="BT870" s="454"/>
      <c r="BU870" s="454"/>
      <c r="BV870" s="457"/>
      <c r="BW870" s="460"/>
      <c r="BX870" s="460"/>
      <c r="BY870" s="460"/>
      <c r="CA870" s="2"/>
      <c r="CB870" s="2"/>
      <c r="CC870" s="2"/>
      <c r="CD870" s="2"/>
      <c r="CE870" s="2"/>
      <c r="CF870" s="2"/>
      <c r="CG870" s="2"/>
      <c r="CH870" s="2"/>
      <c r="CI870" s="2"/>
      <c r="CJ870" s="2"/>
      <c r="CK870" s="2"/>
      <c r="CL870" s="2"/>
      <c r="CM870" s="2"/>
      <c r="CN870" s="2"/>
      <c r="CO870" s="427"/>
      <c r="CP870" s="427"/>
      <c r="CQ870" s="427"/>
      <c r="CR870" s="485"/>
      <c r="CS870" s="485"/>
      <c r="CT870" s="485"/>
      <c r="CU870" s="485"/>
      <c r="CV870" s="482"/>
      <c r="CW870" s="482"/>
      <c r="CX870" s="482"/>
      <c r="CY870" s="482"/>
      <c r="CZ870" s="485"/>
      <c r="DA870" s="485"/>
      <c r="DB870" s="485"/>
      <c r="DC870" s="485"/>
      <c r="DD870" s="485"/>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485"/>
      <c r="EX870" s="457"/>
      <c r="EY870" s="457"/>
      <c r="EZ870" s="457"/>
      <c r="FA870" s="457"/>
      <c r="FB870" s="457"/>
      <c r="FC870" s="457"/>
      <c r="FD870" s="457"/>
      <c r="FE870" s="457"/>
      <c r="FF870" s="457"/>
      <c r="FG870" s="457"/>
      <c r="FH870" s="457"/>
      <c r="FI870" s="457"/>
      <c r="FJ870" s="457"/>
      <c r="FK870" s="457"/>
    </row>
    <row r="871" spans="1:167" s="416" customFormat="1">
      <c r="A871" s="427"/>
      <c r="B871" s="427"/>
      <c r="C871" s="427"/>
      <c r="D871" s="427"/>
      <c r="E871" s="428"/>
      <c r="F871" s="429"/>
      <c r="G871" s="430"/>
      <c r="H871" s="427"/>
      <c r="I871" s="427"/>
      <c r="J871" s="427"/>
      <c r="K871" s="427"/>
      <c r="L871" s="427"/>
      <c r="M871" s="427"/>
      <c r="N871" s="427"/>
      <c r="O871" s="427"/>
      <c r="P871" s="427"/>
      <c r="Q871" s="427"/>
      <c r="R871" s="427"/>
      <c r="S871" s="427"/>
      <c r="T871" s="427"/>
      <c r="U871" s="427"/>
      <c r="V871" s="428"/>
      <c r="W871" s="431"/>
      <c r="X871" s="3"/>
      <c r="Y871" s="429"/>
      <c r="Z871" s="430"/>
      <c r="AA871" s="430"/>
      <c r="AB871" s="430"/>
      <c r="AC871" s="424"/>
      <c r="AD871" s="424"/>
      <c r="AE871" s="424"/>
      <c r="AF871" s="424"/>
      <c r="AG871" s="424"/>
      <c r="AH871" s="424"/>
      <c r="AI871" s="424"/>
      <c r="AJ871" s="2"/>
      <c r="AK871" s="2"/>
      <c r="AL871" s="2"/>
      <c r="AM871" s="2"/>
      <c r="AN871" s="2"/>
      <c r="AO871" s="2"/>
      <c r="AP871" s="2"/>
      <c r="AQ871" s="427"/>
      <c r="AR871" s="754"/>
      <c r="AS871" s="427"/>
      <c r="AT871" s="754"/>
      <c r="AU871" s="427"/>
      <c r="AV871" s="427"/>
      <c r="AW871" s="427"/>
      <c r="AX871" s="427"/>
      <c r="AY871" s="754"/>
      <c r="AZ871" s="754"/>
      <c r="BA871" s="754"/>
      <c r="BB871" s="427"/>
      <c r="BC871" s="427"/>
      <c r="BD871" s="427"/>
      <c r="BE871" s="754"/>
      <c r="BF871" s="427"/>
      <c r="BG871" s="454"/>
      <c r="BH871" s="754"/>
      <c r="BI871" s="427"/>
      <c r="BJ871" s="427"/>
      <c r="BK871" s="427"/>
      <c r="BL871" s="427"/>
      <c r="BM871" s="454"/>
      <c r="BN871" s="427"/>
      <c r="BO871" s="427"/>
      <c r="BP871" s="427"/>
      <c r="BQ871" s="454"/>
      <c r="BR871" s="454"/>
      <c r="BS871" s="460"/>
      <c r="BT871" s="454"/>
      <c r="BU871" s="454"/>
      <c r="BV871" s="457"/>
      <c r="BW871" s="460"/>
      <c r="BX871" s="460"/>
      <c r="BY871" s="460"/>
      <c r="CA871" s="2"/>
      <c r="CB871" s="2"/>
      <c r="CC871" s="2"/>
      <c r="CD871" s="2"/>
      <c r="CE871" s="2"/>
      <c r="CF871" s="2"/>
      <c r="CG871" s="2"/>
      <c r="CH871" s="2"/>
      <c r="CI871" s="2"/>
      <c r="CJ871" s="2"/>
      <c r="CK871" s="2"/>
      <c r="CL871" s="2"/>
      <c r="CM871" s="2"/>
      <c r="CN871" s="2"/>
      <c r="CO871" s="427"/>
      <c r="CP871" s="427"/>
      <c r="CQ871" s="427"/>
      <c r="CR871" s="485"/>
      <c r="CS871" s="485"/>
      <c r="CT871" s="485"/>
      <c r="CU871" s="485"/>
      <c r="CV871" s="482"/>
      <c r="CW871" s="482"/>
      <c r="CX871" s="482"/>
      <c r="CY871" s="482"/>
      <c r="CZ871" s="485"/>
      <c r="DA871" s="485"/>
      <c r="DB871" s="485"/>
      <c r="DC871" s="485"/>
      <c r="DD871" s="485"/>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485"/>
      <c r="EX871" s="457"/>
      <c r="EY871" s="457"/>
      <c r="EZ871" s="457"/>
      <c r="FA871" s="457"/>
      <c r="FB871" s="457"/>
      <c r="FC871" s="457"/>
      <c r="FD871" s="457"/>
      <c r="FE871" s="457"/>
      <c r="FF871" s="457"/>
      <c r="FG871" s="457"/>
      <c r="FH871" s="457"/>
      <c r="FI871" s="457"/>
      <c r="FJ871" s="457"/>
      <c r="FK871" s="457"/>
    </row>
    <row r="872" spans="1:167" s="416" customFormat="1">
      <c r="A872" s="427"/>
      <c r="B872" s="427"/>
      <c r="C872" s="427"/>
      <c r="D872" s="427"/>
      <c r="E872" s="428"/>
      <c r="F872" s="429"/>
      <c r="G872" s="430"/>
      <c r="H872" s="427"/>
      <c r="I872" s="427"/>
      <c r="J872" s="427"/>
      <c r="K872" s="427"/>
      <c r="L872" s="427"/>
      <c r="M872" s="427"/>
      <c r="N872" s="427"/>
      <c r="O872" s="427"/>
      <c r="P872" s="427"/>
      <c r="Q872" s="427"/>
      <c r="R872" s="427"/>
      <c r="S872" s="427"/>
      <c r="T872" s="427"/>
      <c r="U872" s="427"/>
      <c r="V872" s="428"/>
      <c r="W872" s="431"/>
      <c r="X872" s="3"/>
      <c r="Y872" s="429"/>
      <c r="Z872" s="430"/>
      <c r="AA872" s="430"/>
      <c r="AB872" s="430"/>
      <c r="AC872" s="424"/>
      <c r="AD872" s="424"/>
      <c r="AE872" s="424"/>
      <c r="AF872" s="424"/>
      <c r="AG872" s="424"/>
      <c r="AH872" s="424"/>
      <c r="AI872" s="424"/>
      <c r="AJ872" s="2"/>
      <c r="AK872" s="2"/>
      <c r="AL872" s="2"/>
      <c r="AM872" s="2"/>
      <c r="AN872" s="2"/>
      <c r="AO872" s="2"/>
      <c r="AP872" s="2"/>
      <c r="AQ872" s="427"/>
      <c r="AR872" s="754"/>
      <c r="AS872" s="427"/>
      <c r="AT872" s="754"/>
      <c r="AU872" s="427"/>
      <c r="AV872" s="427"/>
      <c r="AW872" s="427"/>
      <c r="AX872" s="427"/>
      <c r="AY872" s="754"/>
      <c r="AZ872" s="754"/>
      <c r="BA872" s="754"/>
      <c r="BB872" s="427"/>
      <c r="BC872" s="427"/>
      <c r="BD872" s="427"/>
      <c r="BE872" s="754"/>
      <c r="BF872" s="427"/>
      <c r="BG872" s="454"/>
      <c r="BH872" s="754"/>
      <c r="BI872" s="427"/>
      <c r="BJ872" s="427"/>
      <c r="BK872" s="427"/>
      <c r="BL872" s="427"/>
      <c r="BM872" s="454"/>
      <c r="BN872" s="427"/>
      <c r="BO872" s="427"/>
      <c r="BP872" s="427"/>
      <c r="BQ872" s="454"/>
      <c r="BR872" s="454"/>
      <c r="BS872" s="460"/>
      <c r="BT872" s="454"/>
      <c r="BU872" s="454"/>
      <c r="BV872" s="457"/>
      <c r="BW872" s="460"/>
      <c r="BX872" s="460"/>
      <c r="BY872" s="460"/>
      <c r="CA872" s="2"/>
      <c r="CB872" s="2"/>
      <c r="CC872" s="2"/>
      <c r="CD872" s="2"/>
      <c r="CE872" s="2"/>
      <c r="CF872" s="2"/>
      <c r="CG872" s="2"/>
      <c r="CH872" s="2"/>
      <c r="CI872" s="2"/>
      <c r="CJ872" s="2"/>
      <c r="CK872" s="2"/>
      <c r="CL872" s="2"/>
      <c r="CM872" s="2"/>
      <c r="CN872" s="2"/>
      <c r="CO872" s="427"/>
      <c r="CP872" s="427"/>
      <c r="CQ872" s="427"/>
      <c r="CR872" s="485"/>
      <c r="CS872" s="485"/>
      <c r="CT872" s="485"/>
      <c r="CU872" s="485"/>
      <c r="CV872" s="482"/>
      <c r="CW872" s="482"/>
      <c r="CX872" s="482"/>
      <c r="CY872" s="482"/>
      <c r="CZ872" s="485"/>
      <c r="DA872" s="485"/>
      <c r="DB872" s="485"/>
      <c r="DC872" s="485"/>
      <c r="DD872" s="485"/>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485"/>
      <c r="EX872" s="457"/>
      <c r="EY872" s="457"/>
      <c r="EZ872" s="457"/>
      <c r="FA872" s="457"/>
      <c r="FB872" s="457"/>
      <c r="FC872" s="457"/>
      <c r="FD872" s="457"/>
      <c r="FE872" s="457"/>
      <c r="FF872" s="457"/>
      <c r="FG872" s="457"/>
      <c r="FH872" s="457"/>
      <c r="FI872" s="457"/>
      <c r="FJ872" s="457"/>
      <c r="FK872" s="457"/>
    </row>
    <row r="873" spans="1:167" s="416" customFormat="1">
      <c r="A873" s="427"/>
      <c r="B873" s="427"/>
      <c r="C873" s="427"/>
      <c r="D873" s="427"/>
      <c r="E873" s="428"/>
      <c r="F873" s="429"/>
      <c r="G873" s="430"/>
      <c r="H873" s="427"/>
      <c r="I873" s="427"/>
      <c r="J873" s="427"/>
      <c r="K873" s="427"/>
      <c r="L873" s="427"/>
      <c r="M873" s="427"/>
      <c r="N873" s="427"/>
      <c r="O873" s="427"/>
      <c r="P873" s="427"/>
      <c r="Q873" s="427"/>
      <c r="R873" s="427"/>
      <c r="S873" s="427"/>
      <c r="T873" s="427"/>
      <c r="U873" s="427"/>
      <c r="V873" s="428"/>
      <c r="W873" s="431"/>
      <c r="X873" s="3"/>
      <c r="Y873" s="429"/>
      <c r="Z873" s="430"/>
      <c r="AA873" s="430"/>
      <c r="AB873" s="430"/>
      <c r="AC873" s="424"/>
      <c r="AD873" s="424"/>
      <c r="AE873" s="424"/>
      <c r="AF873" s="424"/>
      <c r="AG873" s="424"/>
      <c r="AH873" s="424"/>
      <c r="AI873" s="424"/>
      <c r="AJ873" s="2"/>
      <c r="AK873" s="2"/>
      <c r="AL873" s="2"/>
      <c r="AM873" s="2"/>
      <c r="AN873" s="2"/>
      <c r="AO873" s="2"/>
      <c r="AP873" s="2"/>
      <c r="AQ873" s="427"/>
      <c r="AR873" s="754"/>
      <c r="AS873" s="427"/>
      <c r="AT873" s="754"/>
      <c r="AU873" s="427"/>
      <c r="AV873" s="427"/>
      <c r="AW873" s="427"/>
      <c r="AX873" s="427"/>
      <c r="AY873" s="754"/>
      <c r="AZ873" s="754"/>
      <c r="BA873" s="754"/>
      <c r="BB873" s="427"/>
      <c r="BC873" s="427"/>
      <c r="BD873" s="427"/>
      <c r="BE873" s="754"/>
      <c r="BF873" s="427"/>
      <c r="BG873" s="454"/>
      <c r="BH873" s="754"/>
      <c r="BI873" s="427"/>
      <c r="BJ873" s="427"/>
      <c r="BK873" s="427"/>
      <c r="BL873" s="427"/>
      <c r="BM873" s="454"/>
      <c r="BN873" s="427"/>
      <c r="BO873" s="427"/>
      <c r="BP873" s="427"/>
      <c r="BQ873" s="454"/>
      <c r="BR873" s="454"/>
      <c r="BS873" s="460"/>
      <c r="BT873" s="454"/>
      <c r="BU873" s="454"/>
      <c r="BV873" s="457"/>
      <c r="BW873" s="460"/>
      <c r="BX873" s="460"/>
      <c r="BY873" s="460"/>
      <c r="CA873" s="2"/>
      <c r="CB873" s="2"/>
      <c r="CC873" s="2"/>
      <c r="CD873" s="2"/>
      <c r="CE873" s="2"/>
      <c r="CF873" s="2"/>
      <c r="CG873" s="2"/>
      <c r="CH873" s="2"/>
      <c r="CI873" s="2"/>
      <c r="CJ873" s="2"/>
      <c r="CK873" s="2"/>
      <c r="CL873" s="2"/>
      <c r="CM873" s="2"/>
      <c r="CN873" s="2"/>
      <c r="CO873" s="427"/>
      <c r="CP873" s="427"/>
      <c r="CQ873" s="427"/>
      <c r="CR873" s="485"/>
      <c r="CS873" s="485"/>
      <c r="CT873" s="485"/>
      <c r="CU873" s="485"/>
      <c r="CV873" s="482"/>
      <c r="CW873" s="482"/>
      <c r="CX873" s="482"/>
      <c r="CY873" s="482"/>
      <c r="CZ873" s="485"/>
      <c r="DA873" s="485"/>
      <c r="DB873" s="485"/>
      <c r="DC873" s="485"/>
      <c r="DD873" s="485"/>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485"/>
      <c r="EX873" s="457"/>
      <c r="EY873" s="457"/>
      <c r="EZ873" s="457"/>
      <c r="FA873" s="457"/>
      <c r="FB873" s="457"/>
      <c r="FC873" s="457"/>
      <c r="FD873" s="457"/>
      <c r="FE873" s="457"/>
      <c r="FF873" s="457"/>
      <c r="FG873" s="457"/>
      <c r="FH873" s="457"/>
      <c r="FI873" s="457"/>
      <c r="FJ873" s="457"/>
      <c r="FK873" s="457"/>
    </row>
    <row r="874" spans="1:167" s="416" customFormat="1">
      <c r="A874" s="427"/>
      <c r="B874" s="427"/>
      <c r="C874" s="427"/>
      <c r="D874" s="427"/>
      <c r="E874" s="428"/>
      <c r="F874" s="429"/>
      <c r="G874" s="430"/>
      <c r="H874" s="427"/>
      <c r="I874" s="427"/>
      <c r="J874" s="427"/>
      <c r="K874" s="427"/>
      <c r="L874" s="427"/>
      <c r="M874" s="427"/>
      <c r="N874" s="427"/>
      <c r="O874" s="427"/>
      <c r="P874" s="427"/>
      <c r="Q874" s="427"/>
      <c r="R874" s="427"/>
      <c r="S874" s="427"/>
      <c r="T874" s="427"/>
      <c r="U874" s="427"/>
      <c r="V874" s="428"/>
      <c r="W874" s="431"/>
      <c r="X874" s="3"/>
      <c r="Y874" s="429"/>
      <c r="Z874" s="430"/>
      <c r="AA874" s="430"/>
      <c r="AB874" s="430"/>
      <c r="AC874" s="424"/>
      <c r="AD874" s="424"/>
      <c r="AE874" s="424"/>
      <c r="AF874" s="424"/>
      <c r="AG874" s="424"/>
      <c r="AH874" s="424"/>
      <c r="AI874" s="424"/>
      <c r="AJ874" s="2"/>
      <c r="AK874" s="2"/>
      <c r="AL874" s="2"/>
      <c r="AM874" s="2"/>
      <c r="AN874" s="2"/>
      <c r="AO874" s="2"/>
      <c r="AP874" s="2"/>
      <c r="AQ874" s="427"/>
      <c r="AR874" s="754"/>
      <c r="AS874" s="427"/>
      <c r="AT874" s="754"/>
      <c r="AU874" s="427"/>
      <c r="AV874" s="427"/>
      <c r="AW874" s="427"/>
      <c r="AX874" s="427"/>
      <c r="AY874" s="754"/>
      <c r="AZ874" s="754"/>
      <c r="BA874" s="754"/>
      <c r="BB874" s="427"/>
      <c r="BC874" s="427"/>
      <c r="BD874" s="427"/>
      <c r="BE874" s="754"/>
      <c r="BF874" s="427"/>
      <c r="BG874" s="454"/>
      <c r="BH874" s="754"/>
      <c r="BI874" s="427"/>
      <c r="BJ874" s="427"/>
      <c r="BK874" s="427"/>
      <c r="BL874" s="427"/>
      <c r="BM874" s="454"/>
      <c r="BN874" s="427"/>
      <c r="BO874" s="427"/>
      <c r="BP874" s="427"/>
      <c r="BQ874" s="454"/>
      <c r="BR874" s="454"/>
      <c r="BS874" s="460"/>
      <c r="BT874" s="454"/>
      <c r="BU874" s="454"/>
      <c r="BV874" s="457"/>
      <c r="BW874" s="460"/>
      <c r="BX874" s="460"/>
      <c r="BY874" s="460"/>
      <c r="CA874" s="2"/>
      <c r="CB874" s="2"/>
      <c r="CC874" s="2"/>
      <c r="CD874" s="2"/>
      <c r="CE874" s="2"/>
      <c r="CF874" s="2"/>
      <c r="CG874" s="2"/>
      <c r="CH874" s="2"/>
      <c r="CI874" s="2"/>
      <c r="CJ874" s="2"/>
      <c r="CK874" s="2"/>
      <c r="CL874" s="2"/>
      <c r="CM874" s="2"/>
      <c r="CN874" s="2"/>
      <c r="CO874" s="427"/>
      <c r="CP874" s="427"/>
      <c r="CQ874" s="427"/>
      <c r="CR874" s="485"/>
      <c r="CS874" s="485"/>
      <c r="CT874" s="485"/>
      <c r="CU874" s="485"/>
      <c r="CV874" s="482"/>
      <c r="CW874" s="482"/>
      <c r="CX874" s="482"/>
      <c r="CY874" s="482"/>
      <c r="CZ874" s="485"/>
      <c r="DA874" s="485"/>
      <c r="DB874" s="485"/>
      <c r="DC874" s="485"/>
      <c r="DD874" s="485"/>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485"/>
      <c r="EX874" s="457"/>
      <c r="EY874" s="457"/>
      <c r="EZ874" s="457"/>
      <c r="FA874" s="457"/>
      <c r="FB874" s="457"/>
      <c r="FC874" s="457"/>
      <c r="FD874" s="457"/>
      <c r="FE874" s="457"/>
      <c r="FF874" s="457"/>
      <c r="FG874" s="457"/>
      <c r="FH874" s="457"/>
      <c r="FI874" s="457"/>
      <c r="FJ874" s="457"/>
      <c r="FK874" s="457"/>
    </row>
    <row r="875" spans="1:167" s="416" customFormat="1">
      <c r="A875" s="427"/>
      <c r="B875" s="427"/>
      <c r="C875" s="427"/>
      <c r="D875" s="427"/>
      <c r="E875" s="428"/>
      <c r="F875" s="429"/>
      <c r="G875" s="430"/>
      <c r="H875" s="427"/>
      <c r="I875" s="427"/>
      <c r="J875" s="427"/>
      <c r="K875" s="427"/>
      <c r="L875" s="427"/>
      <c r="M875" s="427"/>
      <c r="N875" s="427"/>
      <c r="O875" s="427"/>
      <c r="P875" s="427"/>
      <c r="Q875" s="427"/>
      <c r="R875" s="427"/>
      <c r="S875" s="427"/>
      <c r="T875" s="427"/>
      <c r="U875" s="427"/>
      <c r="V875" s="428"/>
      <c r="W875" s="431"/>
      <c r="X875" s="3"/>
      <c r="Y875" s="429"/>
      <c r="Z875" s="430"/>
      <c r="AA875" s="430"/>
      <c r="AB875" s="430"/>
      <c r="AC875" s="424"/>
      <c r="AD875" s="424"/>
      <c r="AE875" s="424"/>
      <c r="AF875" s="424"/>
      <c r="AG875" s="424"/>
      <c r="AH875" s="424"/>
      <c r="AI875" s="424"/>
      <c r="AJ875" s="2"/>
      <c r="AK875" s="2"/>
      <c r="AL875" s="2"/>
      <c r="AM875" s="2"/>
      <c r="AN875" s="2"/>
      <c r="AO875" s="2"/>
      <c r="AP875" s="2"/>
      <c r="AQ875" s="427"/>
      <c r="AR875" s="754"/>
      <c r="AS875" s="427"/>
      <c r="AT875" s="754"/>
      <c r="AU875" s="427"/>
      <c r="AV875" s="427"/>
      <c r="AW875" s="427"/>
      <c r="AX875" s="427"/>
      <c r="AY875" s="754"/>
      <c r="AZ875" s="754"/>
      <c r="BA875" s="754"/>
      <c r="BB875" s="427"/>
      <c r="BC875" s="427"/>
      <c r="BD875" s="427"/>
      <c r="BE875" s="754"/>
      <c r="BF875" s="427"/>
      <c r="BG875" s="454"/>
      <c r="BH875" s="754"/>
      <c r="BI875" s="427"/>
      <c r="BJ875" s="427"/>
      <c r="BK875" s="427"/>
      <c r="BL875" s="427"/>
      <c r="BM875" s="454"/>
      <c r="BN875" s="427"/>
      <c r="BO875" s="427"/>
      <c r="BP875" s="427"/>
      <c r="BQ875" s="454"/>
      <c r="BR875" s="454"/>
      <c r="BS875" s="460"/>
      <c r="BT875" s="454"/>
      <c r="BU875" s="454"/>
      <c r="BV875" s="457"/>
      <c r="BW875" s="460"/>
      <c r="BX875" s="460"/>
      <c r="BY875" s="460"/>
      <c r="CA875" s="2"/>
      <c r="CB875" s="2"/>
      <c r="CC875" s="2"/>
      <c r="CD875" s="2"/>
      <c r="CE875" s="2"/>
      <c r="CF875" s="2"/>
      <c r="CG875" s="2"/>
      <c r="CH875" s="2"/>
      <c r="CI875" s="2"/>
      <c r="CJ875" s="2"/>
      <c r="CK875" s="2"/>
      <c r="CL875" s="2"/>
      <c r="CM875" s="2"/>
      <c r="CN875" s="2"/>
      <c r="CO875" s="427"/>
      <c r="CP875" s="427"/>
      <c r="CQ875" s="427"/>
      <c r="CR875" s="485"/>
      <c r="CS875" s="485"/>
      <c r="CT875" s="485"/>
      <c r="CU875" s="485"/>
      <c r="CV875" s="482"/>
      <c r="CW875" s="482"/>
      <c r="CX875" s="482"/>
      <c r="CY875" s="482"/>
      <c r="CZ875" s="485"/>
      <c r="DA875" s="485"/>
      <c r="DB875" s="485"/>
      <c r="DC875" s="485"/>
      <c r="DD875" s="485"/>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485"/>
      <c r="EX875" s="457"/>
      <c r="EY875" s="457"/>
      <c r="EZ875" s="457"/>
      <c r="FA875" s="457"/>
      <c r="FB875" s="457"/>
      <c r="FC875" s="457"/>
      <c r="FD875" s="457"/>
      <c r="FE875" s="457"/>
      <c r="FF875" s="457"/>
      <c r="FG875" s="457"/>
      <c r="FH875" s="457"/>
      <c r="FI875" s="457"/>
      <c r="FJ875" s="457"/>
      <c r="FK875" s="457"/>
    </row>
    <row r="876" spans="1:167" s="416" customFormat="1">
      <c r="A876" s="427"/>
      <c r="B876" s="427"/>
      <c r="C876" s="427"/>
      <c r="D876" s="427"/>
      <c r="E876" s="428"/>
      <c r="F876" s="429"/>
      <c r="G876" s="430"/>
      <c r="H876" s="427"/>
      <c r="I876" s="427"/>
      <c r="J876" s="427"/>
      <c r="K876" s="427"/>
      <c r="L876" s="427"/>
      <c r="M876" s="427"/>
      <c r="N876" s="427"/>
      <c r="O876" s="427"/>
      <c r="P876" s="427"/>
      <c r="Q876" s="427"/>
      <c r="R876" s="427"/>
      <c r="S876" s="427"/>
      <c r="T876" s="427"/>
      <c r="U876" s="427"/>
      <c r="V876" s="428"/>
      <c r="W876" s="431"/>
      <c r="X876" s="3"/>
      <c r="Y876" s="429"/>
      <c r="Z876" s="430"/>
      <c r="AA876" s="430"/>
      <c r="AB876" s="430"/>
      <c r="AC876" s="424"/>
      <c r="AD876" s="424"/>
      <c r="AE876" s="424"/>
      <c r="AF876" s="424"/>
      <c r="AG876" s="424"/>
      <c r="AH876" s="424"/>
      <c r="AI876" s="424"/>
      <c r="AJ876" s="2"/>
      <c r="AK876" s="2"/>
      <c r="AL876" s="2"/>
      <c r="AM876" s="2"/>
      <c r="AN876" s="2"/>
      <c r="AO876" s="2"/>
      <c r="AP876" s="2"/>
      <c r="AQ876" s="427"/>
      <c r="AR876" s="754"/>
      <c r="AS876" s="427"/>
      <c r="AT876" s="754"/>
      <c r="AU876" s="427"/>
      <c r="AV876" s="427"/>
      <c r="AW876" s="427"/>
      <c r="AX876" s="427"/>
      <c r="AY876" s="754"/>
      <c r="AZ876" s="754"/>
      <c r="BA876" s="754"/>
      <c r="BB876" s="427"/>
      <c r="BC876" s="427"/>
      <c r="BD876" s="427"/>
      <c r="BE876" s="754"/>
      <c r="BF876" s="427"/>
      <c r="BG876" s="454"/>
      <c r="BH876" s="754"/>
      <c r="BI876" s="427"/>
      <c r="BJ876" s="427"/>
      <c r="BK876" s="427"/>
      <c r="BL876" s="427"/>
      <c r="BM876" s="454"/>
      <c r="BN876" s="427"/>
      <c r="BO876" s="427"/>
      <c r="BP876" s="427"/>
      <c r="BQ876" s="454"/>
      <c r="BR876" s="454"/>
      <c r="BS876" s="460"/>
      <c r="BT876" s="454"/>
      <c r="BU876" s="454"/>
      <c r="BV876" s="457"/>
      <c r="BW876" s="460"/>
      <c r="BX876" s="460"/>
      <c r="BY876" s="460"/>
      <c r="CA876" s="2"/>
      <c r="CB876" s="2"/>
      <c r="CC876" s="2"/>
      <c r="CD876" s="2"/>
      <c r="CE876" s="2"/>
      <c r="CF876" s="2"/>
      <c r="CG876" s="2"/>
      <c r="CH876" s="2"/>
      <c r="CI876" s="2"/>
      <c r="CJ876" s="2"/>
      <c r="CK876" s="2"/>
      <c r="CL876" s="2"/>
      <c r="CM876" s="2"/>
      <c r="CN876" s="2"/>
      <c r="CO876" s="427"/>
      <c r="CP876" s="427"/>
      <c r="CQ876" s="427"/>
      <c r="CR876" s="485"/>
      <c r="CS876" s="485"/>
      <c r="CT876" s="485"/>
      <c r="CU876" s="485"/>
      <c r="CV876" s="482"/>
      <c r="CW876" s="482"/>
      <c r="CX876" s="482"/>
      <c r="CY876" s="482"/>
      <c r="CZ876" s="485"/>
      <c r="DA876" s="485"/>
      <c r="DB876" s="485"/>
      <c r="DC876" s="485"/>
      <c r="DD876" s="485"/>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485"/>
      <c r="EX876" s="457"/>
      <c r="EY876" s="457"/>
      <c r="EZ876" s="457"/>
      <c r="FA876" s="457"/>
      <c r="FB876" s="457"/>
      <c r="FC876" s="457"/>
      <c r="FD876" s="457"/>
      <c r="FE876" s="457"/>
      <c r="FF876" s="457"/>
      <c r="FG876" s="457"/>
      <c r="FH876" s="457"/>
      <c r="FI876" s="457"/>
      <c r="FJ876" s="457"/>
      <c r="FK876" s="457"/>
    </row>
    <row r="877" spans="1:167" s="416" customFormat="1">
      <c r="A877" s="427"/>
      <c r="B877" s="427"/>
      <c r="C877" s="427"/>
      <c r="D877" s="427"/>
      <c r="E877" s="428"/>
      <c r="F877" s="429"/>
      <c r="G877" s="430"/>
      <c r="H877" s="427"/>
      <c r="I877" s="427"/>
      <c r="J877" s="427"/>
      <c r="K877" s="427"/>
      <c r="L877" s="427"/>
      <c r="M877" s="427"/>
      <c r="N877" s="427"/>
      <c r="O877" s="427"/>
      <c r="P877" s="427"/>
      <c r="Q877" s="427"/>
      <c r="R877" s="427"/>
      <c r="S877" s="427"/>
      <c r="T877" s="427"/>
      <c r="U877" s="427"/>
      <c r="V877" s="428"/>
      <c r="W877" s="431"/>
      <c r="X877" s="3"/>
      <c r="Y877" s="429"/>
      <c r="Z877" s="430"/>
      <c r="AA877" s="430"/>
      <c r="AB877" s="430"/>
      <c r="AC877" s="424"/>
      <c r="AD877" s="424"/>
      <c r="AE877" s="424"/>
      <c r="AF877" s="424"/>
      <c r="AG877" s="424"/>
      <c r="AH877" s="424"/>
      <c r="AI877" s="424"/>
      <c r="AJ877" s="2"/>
      <c r="AK877" s="2"/>
      <c r="AL877" s="2"/>
      <c r="AM877" s="2"/>
      <c r="AN877" s="2"/>
      <c r="AO877" s="2"/>
      <c r="AP877" s="2"/>
      <c r="AQ877" s="427"/>
      <c r="AR877" s="754"/>
      <c r="AS877" s="427"/>
      <c r="AT877" s="754"/>
      <c r="AU877" s="427"/>
      <c r="AV877" s="427"/>
      <c r="AW877" s="427"/>
      <c r="AX877" s="427"/>
      <c r="AY877" s="754"/>
      <c r="AZ877" s="754"/>
      <c r="BA877" s="754"/>
      <c r="BB877" s="427"/>
      <c r="BC877" s="427"/>
      <c r="BD877" s="427"/>
      <c r="BE877" s="754"/>
      <c r="BF877" s="427"/>
      <c r="BG877" s="454"/>
      <c r="BH877" s="754"/>
      <c r="BI877" s="427"/>
      <c r="BJ877" s="427"/>
      <c r="BK877" s="427"/>
      <c r="BL877" s="427"/>
      <c r="BM877" s="454"/>
      <c r="BN877" s="427"/>
      <c r="BO877" s="427"/>
      <c r="BP877" s="427"/>
      <c r="BQ877" s="454"/>
      <c r="BR877" s="454"/>
      <c r="BS877" s="460"/>
      <c r="BT877" s="454"/>
      <c r="BU877" s="454"/>
      <c r="BV877" s="457"/>
      <c r="BW877" s="460"/>
      <c r="BX877" s="460"/>
      <c r="BY877" s="460"/>
      <c r="CA877" s="2"/>
      <c r="CB877" s="2"/>
      <c r="CC877" s="2"/>
      <c r="CD877" s="2"/>
      <c r="CE877" s="2"/>
      <c r="CF877" s="2"/>
      <c r="CG877" s="2"/>
      <c r="CH877" s="2"/>
      <c r="CI877" s="2"/>
      <c r="CJ877" s="2"/>
      <c r="CK877" s="2"/>
      <c r="CL877" s="2"/>
      <c r="CM877" s="2"/>
      <c r="CN877" s="2"/>
      <c r="CO877" s="427"/>
      <c r="CP877" s="427"/>
      <c r="CQ877" s="427"/>
      <c r="CR877" s="485"/>
      <c r="CS877" s="485"/>
      <c r="CT877" s="485"/>
      <c r="CU877" s="485"/>
      <c r="CV877" s="482"/>
      <c r="CW877" s="482"/>
      <c r="CX877" s="482"/>
      <c r="CY877" s="482"/>
      <c r="CZ877" s="485"/>
      <c r="DA877" s="485"/>
      <c r="DB877" s="485"/>
      <c r="DC877" s="485"/>
      <c r="DD877" s="485"/>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485"/>
      <c r="EX877" s="457"/>
      <c r="EY877" s="457"/>
      <c r="EZ877" s="457"/>
      <c r="FA877" s="457"/>
      <c r="FB877" s="457"/>
      <c r="FC877" s="457"/>
      <c r="FD877" s="457"/>
      <c r="FE877" s="457"/>
      <c r="FF877" s="457"/>
      <c r="FG877" s="457"/>
      <c r="FH877" s="457"/>
      <c r="FI877" s="457"/>
      <c r="FJ877" s="457"/>
      <c r="FK877" s="457"/>
    </row>
    <row r="878" spans="1:167" s="416" customFormat="1">
      <c r="A878" s="427"/>
      <c r="B878" s="427"/>
      <c r="C878" s="427"/>
      <c r="D878" s="427"/>
      <c r="E878" s="428"/>
      <c r="F878" s="429"/>
      <c r="G878" s="430"/>
      <c r="H878" s="427"/>
      <c r="I878" s="427"/>
      <c r="J878" s="427"/>
      <c r="K878" s="427"/>
      <c r="L878" s="427"/>
      <c r="M878" s="427"/>
      <c r="N878" s="427"/>
      <c r="O878" s="427"/>
      <c r="P878" s="427"/>
      <c r="Q878" s="427"/>
      <c r="R878" s="427"/>
      <c r="S878" s="427"/>
      <c r="T878" s="427"/>
      <c r="U878" s="427"/>
      <c r="V878" s="428"/>
      <c r="W878" s="431"/>
      <c r="X878" s="3"/>
      <c r="Y878" s="429"/>
      <c r="Z878" s="430"/>
      <c r="AA878" s="430"/>
      <c r="AB878" s="430"/>
      <c r="AC878" s="424"/>
      <c r="AD878" s="424"/>
      <c r="AE878" s="424"/>
      <c r="AF878" s="424"/>
      <c r="AG878" s="424"/>
      <c r="AH878" s="424"/>
      <c r="AI878" s="424"/>
      <c r="AJ878" s="2"/>
      <c r="AK878" s="2"/>
      <c r="AL878" s="2"/>
      <c r="AM878" s="2"/>
      <c r="AN878" s="2"/>
      <c r="AO878" s="2"/>
      <c r="AP878" s="2"/>
      <c r="AQ878" s="427"/>
      <c r="AR878" s="754"/>
      <c r="AS878" s="427"/>
      <c r="AT878" s="754"/>
      <c r="AU878" s="427"/>
      <c r="AV878" s="427"/>
      <c r="AW878" s="427"/>
      <c r="AX878" s="427"/>
      <c r="AY878" s="754"/>
      <c r="AZ878" s="754"/>
      <c r="BA878" s="754"/>
      <c r="BB878" s="427"/>
      <c r="BC878" s="427"/>
      <c r="BD878" s="427"/>
      <c r="BE878" s="754"/>
      <c r="BF878" s="427"/>
      <c r="BG878" s="454"/>
      <c r="BH878" s="754"/>
      <c r="BI878" s="427"/>
      <c r="BJ878" s="427"/>
      <c r="BK878" s="427"/>
      <c r="BL878" s="427"/>
      <c r="BM878" s="454"/>
      <c r="BN878" s="427"/>
      <c r="BO878" s="427"/>
      <c r="BP878" s="427"/>
      <c r="BQ878" s="454"/>
      <c r="BR878" s="454"/>
      <c r="BS878" s="460"/>
      <c r="BT878" s="454"/>
      <c r="BU878" s="454"/>
      <c r="BV878" s="457"/>
      <c r="BW878" s="460"/>
      <c r="BX878" s="460"/>
      <c r="BY878" s="460"/>
      <c r="CA878" s="2"/>
      <c r="CB878" s="2"/>
      <c r="CC878" s="2"/>
      <c r="CD878" s="2"/>
      <c r="CE878" s="2"/>
      <c r="CF878" s="2"/>
      <c r="CG878" s="2"/>
      <c r="CH878" s="2"/>
      <c r="CI878" s="2"/>
      <c r="CJ878" s="2"/>
      <c r="CK878" s="2"/>
      <c r="CL878" s="2"/>
      <c r="CM878" s="2"/>
      <c r="CN878" s="2"/>
      <c r="CO878" s="427"/>
      <c r="CP878" s="427"/>
      <c r="CQ878" s="427"/>
      <c r="CR878" s="485"/>
      <c r="CS878" s="485"/>
      <c r="CT878" s="485"/>
      <c r="CU878" s="485"/>
      <c r="CV878" s="482"/>
      <c r="CW878" s="482"/>
      <c r="CX878" s="482"/>
      <c r="CY878" s="482"/>
      <c r="CZ878" s="485"/>
      <c r="DA878" s="485"/>
      <c r="DB878" s="485"/>
      <c r="DC878" s="485"/>
      <c r="DD878" s="485"/>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485"/>
      <c r="EX878" s="457"/>
      <c r="EY878" s="457"/>
      <c r="EZ878" s="457"/>
      <c r="FA878" s="457"/>
      <c r="FB878" s="457"/>
      <c r="FC878" s="457"/>
      <c r="FD878" s="457"/>
      <c r="FE878" s="457"/>
      <c r="FF878" s="457"/>
      <c r="FG878" s="457"/>
      <c r="FH878" s="457"/>
      <c r="FI878" s="457"/>
      <c r="FJ878" s="457"/>
      <c r="FK878" s="457"/>
    </row>
    <row r="879" spans="1:167" s="416" customFormat="1">
      <c r="A879" s="427"/>
      <c r="B879" s="427"/>
      <c r="C879" s="427"/>
      <c r="D879" s="427"/>
      <c r="E879" s="428"/>
      <c r="F879" s="429"/>
      <c r="G879" s="430"/>
      <c r="H879" s="427"/>
      <c r="I879" s="427"/>
      <c r="J879" s="427"/>
      <c r="K879" s="427"/>
      <c r="L879" s="427"/>
      <c r="M879" s="427"/>
      <c r="N879" s="427"/>
      <c r="O879" s="427"/>
      <c r="P879" s="427"/>
      <c r="Q879" s="427"/>
      <c r="R879" s="427"/>
      <c r="S879" s="427"/>
      <c r="T879" s="427"/>
      <c r="U879" s="427"/>
      <c r="V879" s="428"/>
      <c r="W879" s="431"/>
      <c r="X879" s="3"/>
      <c r="Y879" s="429"/>
      <c r="Z879" s="430"/>
      <c r="AA879" s="430"/>
      <c r="AB879" s="430"/>
      <c r="AC879" s="424"/>
      <c r="AD879" s="424"/>
      <c r="AE879" s="424"/>
      <c r="AF879" s="424"/>
      <c r="AG879" s="424"/>
      <c r="AH879" s="424"/>
      <c r="AI879" s="424"/>
      <c r="AJ879" s="2"/>
      <c r="AK879" s="2"/>
      <c r="AL879" s="2"/>
      <c r="AM879" s="2"/>
      <c r="AN879" s="2"/>
      <c r="AO879" s="2"/>
      <c r="AP879" s="2"/>
      <c r="AQ879" s="427"/>
      <c r="AR879" s="754"/>
      <c r="AS879" s="427"/>
      <c r="AT879" s="754"/>
      <c r="AU879" s="427"/>
      <c r="AV879" s="427"/>
      <c r="AW879" s="427"/>
      <c r="AX879" s="427"/>
      <c r="AY879" s="754"/>
      <c r="AZ879" s="754"/>
      <c r="BA879" s="754"/>
      <c r="BB879" s="427"/>
      <c r="BC879" s="427"/>
      <c r="BD879" s="427"/>
      <c r="BE879" s="754"/>
      <c r="BF879" s="427"/>
      <c r="BG879" s="454"/>
      <c r="BH879" s="754"/>
      <c r="BI879" s="427"/>
      <c r="BJ879" s="427"/>
      <c r="BK879" s="427"/>
      <c r="BL879" s="427"/>
      <c r="BM879" s="454"/>
      <c r="BN879" s="427"/>
      <c r="BO879" s="427"/>
      <c r="BP879" s="427"/>
      <c r="BQ879" s="454"/>
      <c r="BR879" s="454"/>
      <c r="BS879" s="460"/>
      <c r="BT879" s="454"/>
      <c r="BU879" s="454"/>
      <c r="BV879" s="457"/>
      <c r="BW879" s="460"/>
      <c r="BX879" s="460"/>
      <c r="BY879" s="460"/>
      <c r="CA879" s="2"/>
      <c r="CB879" s="2"/>
      <c r="CC879" s="2"/>
      <c r="CD879" s="2"/>
      <c r="CE879" s="2"/>
      <c r="CF879" s="2"/>
      <c r="CG879" s="2"/>
      <c r="CH879" s="2"/>
      <c r="CI879" s="2"/>
      <c r="CJ879" s="2"/>
      <c r="CK879" s="2"/>
      <c r="CL879" s="2"/>
      <c r="CM879" s="2"/>
      <c r="CN879" s="2"/>
      <c r="CO879" s="427"/>
      <c r="CP879" s="427"/>
      <c r="CQ879" s="427"/>
      <c r="CR879" s="485"/>
      <c r="CS879" s="485"/>
      <c r="CT879" s="485"/>
      <c r="CU879" s="485"/>
      <c r="CV879" s="482"/>
      <c r="CW879" s="482"/>
      <c r="CX879" s="482"/>
      <c r="CY879" s="482"/>
      <c r="CZ879" s="485"/>
      <c r="DA879" s="485"/>
      <c r="DB879" s="485"/>
      <c r="DC879" s="485"/>
      <c r="DD879" s="485"/>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485"/>
      <c r="EX879" s="457"/>
      <c r="EY879" s="457"/>
      <c r="EZ879" s="457"/>
      <c r="FA879" s="457"/>
      <c r="FB879" s="457"/>
      <c r="FC879" s="457"/>
      <c r="FD879" s="457"/>
      <c r="FE879" s="457"/>
      <c r="FF879" s="457"/>
      <c r="FG879" s="457"/>
      <c r="FH879" s="457"/>
      <c r="FI879" s="457"/>
      <c r="FJ879" s="457"/>
      <c r="FK879" s="457"/>
    </row>
    <row r="880" spans="1:167" s="416" customFormat="1">
      <c r="A880" s="427"/>
      <c r="B880" s="427"/>
      <c r="C880" s="427"/>
      <c r="D880" s="427"/>
      <c r="E880" s="428"/>
      <c r="F880" s="429"/>
      <c r="G880" s="430"/>
      <c r="H880" s="427"/>
      <c r="I880" s="427"/>
      <c r="J880" s="427"/>
      <c r="K880" s="427"/>
      <c r="L880" s="427"/>
      <c r="M880" s="427"/>
      <c r="N880" s="427"/>
      <c r="O880" s="427"/>
      <c r="P880" s="427"/>
      <c r="Q880" s="427"/>
      <c r="R880" s="427"/>
      <c r="S880" s="427"/>
      <c r="T880" s="427"/>
      <c r="U880" s="427"/>
      <c r="V880" s="428"/>
      <c r="W880" s="431"/>
      <c r="X880" s="3"/>
      <c r="Y880" s="429"/>
      <c r="Z880" s="430"/>
      <c r="AA880" s="430"/>
      <c r="AB880" s="430"/>
      <c r="AC880" s="424"/>
      <c r="AD880" s="424"/>
      <c r="AE880" s="424"/>
      <c r="AF880" s="424"/>
      <c r="AG880" s="424"/>
      <c r="AH880" s="424"/>
      <c r="AI880" s="424"/>
      <c r="AJ880" s="2"/>
      <c r="AK880" s="2"/>
      <c r="AL880" s="2"/>
      <c r="AM880" s="2"/>
      <c r="AN880" s="2"/>
      <c r="AO880" s="2"/>
      <c r="AP880" s="2"/>
      <c r="AQ880" s="427"/>
      <c r="AR880" s="754"/>
      <c r="AS880" s="427"/>
      <c r="AT880" s="754"/>
      <c r="AU880" s="427"/>
      <c r="AV880" s="427"/>
      <c r="AW880" s="427"/>
      <c r="AX880" s="427"/>
      <c r="AY880" s="754"/>
      <c r="AZ880" s="754"/>
      <c r="BA880" s="754"/>
      <c r="BB880" s="427"/>
      <c r="BC880" s="427"/>
      <c r="BD880" s="427"/>
      <c r="BE880" s="754"/>
      <c r="BF880" s="427"/>
      <c r="BG880" s="454"/>
      <c r="BH880" s="754"/>
      <c r="BI880" s="427"/>
      <c r="BJ880" s="427"/>
      <c r="BK880" s="427"/>
      <c r="BL880" s="427"/>
      <c r="BM880" s="454"/>
      <c r="BN880" s="427"/>
      <c r="BO880" s="427"/>
      <c r="BP880" s="427"/>
      <c r="BQ880" s="454"/>
      <c r="BR880" s="454"/>
      <c r="BS880" s="460"/>
      <c r="BT880" s="454"/>
      <c r="BU880" s="454"/>
      <c r="BV880" s="457"/>
      <c r="BW880" s="460"/>
      <c r="BX880" s="460"/>
      <c r="BY880" s="460"/>
      <c r="CA880" s="2"/>
      <c r="CB880" s="2"/>
      <c r="CC880" s="2"/>
      <c r="CD880" s="2"/>
      <c r="CE880" s="2"/>
      <c r="CF880" s="2"/>
      <c r="CG880" s="2"/>
      <c r="CH880" s="2"/>
      <c r="CI880" s="2"/>
      <c r="CJ880" s="2"/>
      <c r="CK880" s="2"/>
      <c r="CL880" s="2"/>
      <c r="CM880" s="2"/>
      <c r="CN880" s="2"/>
      <c r="CO880" s="427"/>
      <c r="CP880" s="427"/>
      <c r="CQ880" s="427"/>
      <c r="CR880" s="485"/>
      <c r="CS880" s="485"/>
      <c r="CT880" s="485"/>
      <c r="CU880" s="485"/>
      <c r="CV880" s="482"/>
      <c r="CW880" s="482"/>
      <c r="CX880" s="482"/>
      <c r="CY880" s="482"/>
      <c r="CZ880" s="485"/>
      <c r="DA880" s="485"/>
      <c r="DB880" s="485"/>
      <c r="DC880" s="485"/>
      <c r="DD880" s="485"/>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485"/>
      <c r="EX880" s="457"/>
      <c r="EY880" s="457"/>
      <c r="EZ880" s="457"/>
      <c r="FA880" s="457"/>
      <c r="FB880" s="457"/>
      <c r="FC880" s="457"/>
      <c r="FD880" s="457"/>
      <c r="FE880" s="457"/>
      <c r="FF880" s="457"/>
      <c r="FG880" s="457"/>
      <c r="FH880" s="457"/>
      <c r="FI880" s="457"/>
      <c r="FJ880" s="457"/>
      <c r="FK880" s="457"/>
    </row>
    <row r="881" spans="1:167" s="416" customFormat="1">
      <c r="A881" s="427"/>
      <c r="B881" s="427"/>
      <c r="C881" s="427"/>
      <c r="D881" s="427"/>
      <c r="E881" s="428"/>
      <c r="F881" s="429"/>
      <c r="G881" s="430"/>
      <c r="H881" s="427"/>
      <c r="I881" s="427"/>
      <c r="J881" s="427"/>
      <c r="K881" s="427"/>
      <c r="L881" s="427"/>
      <c r="M881" s="427"/>
      <c r="N881" s="427"/>
      <c r="O881" s="427"/>
      <c r="P881" s="427"/>
      <c r="Q881" s="427"/>
      <c r="R881" s="427"/>
      <c r="S881" s="427"/>
      <c r="T881" s="427"/>
      <c r="U881" s="427"/>
      <c r="V881" s="428"/>
      <c r="W881" s="431"/>
      <c r="X881" s="3"/>
      <c r="Y881" s="429"/>
      <c r="Z881" s="430"/>
      <c r="AA881" s="430"/>
      <c r="AB881" s="430"/>
      <c r="AC881" s="424"/>
      <c r="AD881" s="424"/>
      <c r="AE881" s="424"/>
      <c r="AF881" s="424"/>
      <c r="AG881" s="424"/>
      <c r="AH881" s="424"/>
      <c r="AI881" s="424"/>
      <c r="AJ881" s="2"/>
      <c r="AK881" s="2"/>
      <c r="AL881" s="2"/>
      <c r="AM881" s="2"/>
      <c r="AN881" s="2"/>
      <c r="AO881" s="2"/>
      <c r="AP881" s="2"/>
      <c r="AQ881" s="427"/>
      <c r="AR881" s="754"/>
      <c r="AS881" s="427"/>
      <c r="AT881" s="754"/>
      <c r="AU881" s="427"/>
      <c r="AV881" s="427"/>
      <c r="AW881" s="427"/>
      <c r="AX881" s="427"/>
      <c r="AY881" s="754"/>
      <c r="AZ881" s="754"/>
      <c r="BA881" s="754"/>
      <c r="BB881" s="427"/>
      <c r="BC881" s="427"/>
      <c r="BD881" s="427"/>
      <c r="BE881" s="754"/>
      <c r="BF881" s="427"/>
      <c r="BG881" s="454"/>
      <c r="BH881" s="754"/>
      <c r="BI881" s="427"/>
      <c r="BJ881" s="427"/>
      <c r="BK881" s="427"/>
      <c r="BL881" s="427"/>
      <c r="BM881" s="454"/>
      <c r="BN881" s="427"/>
      <c r="BO881" s="427"/>
      <c r="BP881" s="427"/>
      <c r="BQ881" s="454"/>
      <c r="BR881" s="454"/>
      <c r="BS881" s="460"/>
      <c r="BT881" s="454"/>
      <c r="BU881" s="454"/>
      <c r="BV881" s="457"/>
      <c r="BW881" s="460"/>
      <c r="BX881" s="460"/>
      <c r="BY881" s="460"/>
      <c r="CA881" s="2"/>
      <c r="CB881" s="2"/>
      <c r="CC881" s="2"/>
      <c r="CD881" s="2"/>
      <c r="CE881" s="2"/>
      <c r="CF881" s="2"/>
      <c r="CG881" s="2"/>
      <c r="CH881" s="2"/>
      <c r="CI881" s="2"/>
      <c r="CJ881" s="2"/>
      <c r="CK881" s="2"/>
      <c r="CL881" s="2"/>
      <c r="CM881" s="2"/>
      <c r="CN881" s="2"/>
      <c r="CO881" s="427"/>
      <c r="CP881" s="427"/>
      <c r="CQ881" s="427"/>
      <c r="CR881" s="485"/>
      <c r="CS881" s="485"/>
      <c r="CT881" s="485"/>
      <c r="CU881" s="485"/>
      <c r="CV881" s="482"/>
      <c r="CW881" s="482"/>
      <c r="CX881" s="482"/>
      <c r="CY881" s="482"/>
      <c r="CZ881" s="485"/>
      <c r="DA881" s="485"/>
      <c r="DB881" s="485"/>
      <c r="DC881" s="485"/>
      <c r="DD881" s="485"/>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485"/>
      <c r="EX881" s="457"/>
      <c r="EY881" s="457"/>
      <c r="EZ881" s="457"/>
      <c r="FA881" s="457"/>
      <c r="FB881" s="457"/>
      <c r="FC881" s="457"/>
      <c r="FD881" s="457"/>
      <c r="FE881" s="457"/>
      <c r="FF881" s="457"/>
      <c r="FG881" s="457"/>
      <c r="FH881" s="457"/>
      <c r="FI881" s="457"/>
      <c r="FJ881" s="457"/>
      <c r="FK881" s="457"/>
    </row>
    <row r="882" spans="1:167" s="416" customFormat="1">
      <c r="A882" s="427"/>
      <c r="B882" s="427"/>
      <c r="C882" s="427"/>
      <c r="D882" s="427"/>
      <c r="E882" s="428"/>
      <c r="F882" s="429"/>
      <c r="G882" s="430"/>
      <c r="H882" s="427"/>
      <c r="I882" s="427"/>
      <c r="J882" s="427"/>
      <c r="K882" s="427"/>
      <c r="L882" s="427"/>
      <c r="M882" s="427"/>
      <c r="N882" s="427"/>
      <c r="O882" s="427"/>
      <c r="P882" s="427"/>
      <c r="Q882" s="427"/>
      <c r="R882" s="427"/>
      <c r="S882" s="427"/>
      <c r="T882" s="427"/>
      <c r="U882" s="427"/>
      <c r="V882" s="428"/>
      <c r="W882" s="431"/>
      <c r="X882" s="3"/>
      <c r="Y882" s="429"/>
      <c r="Z882" s="430"/>
      <c r="AA882" s="430"/>
      <c r="AB882" s="430"/>
      <c r="AC882" s="424"/>
      <c r="AD882" s="424"/>
      <c r="AE882" s="424"/>
      <c r="AF882" s="424"/>
      <c r="AG882" s="424"/>
      <c r="AH882" s="424"/>
      <c r="AI882" s="424"/>
      <c r="AJ882" s="2"/>
      <c r="AK882" s="2"/>
      <c r="AL882" s="2"/>
      <c r="AM882" s="2"/>
      <c r="AN882" s="2"/>
      <c r="AO882" s="2"/>
      <c r="AP882" s="2"/>
      <c r="AQ882" s="427"/>
      <c r="AR882" s="754"/>
      <c r="AS882" s="427"/>
      <c r="AT882" s="754"/>
      <c r="AU882" s="427"/>
      <c r="AV882" s="427"/>
      <c r="AW882" s="427"/>
      <c r="AX882" s="427"/>
      <c r="AY882" s="754"/>
      <c r="AZ882" s="754"/>
      <c r="BA882" s="754"/>
      <c r="BB882" s="427"/>
      <c r="BC882" s="427"/>
      <c r="BD882" s="427"/>
      <c r="BE882" s="754"/>
      <c r="BF882" s="427"/>
      <c r="BG882" s="454"/>
      <c r="BH882" s="754"/>
      <c r="BI882" s="427"/>
      <c r="BJ882" s="427"/>
      <c r="BK882" s="427"/>
      <c r="BL882" s="427"/>
      <c r="BM882" s="454"/>
      <c r="BN882" s="427"/>
      <c r="BO882" s="427"/>
      <c r="BP882" s="427"/>
      <c r="BQ882" s="454"/>
      <c r="BR882" s="454"/>
      <c r="BS882" s="460"/>
      <c r="BT882" s="454"/>
      <c r="BU882" s="454"/>
      <c r="BV882" s="457"/>
      <c r="BW882" s="460"/>
      <c r="BX882" s="460"/>
      <c r="BY882" s="460"/>
      <c r="CA882" s="2"/>
      <c r="CB882" s="2"/>
      <c r="CC882" s="2"/>
      <c r="CD882" s="2"/>
      <c r="CE882" s="2"/>
      <c r="CF882" s="2"/>
      <c r="CG882" s="2"/>
      <c r="CH882" s="2"/>
      <c r="CI882" s="2"/>
      <c r="CJ882" s="2"/>
      <c r="CK882" s="2"/>
      <c r="CL882" s="2"/>
      <c r="CM882" s="2"/>
      <c r="CN882" s="2"/>
      <c r="CO882" s="427"/>
      <c r="CP882" s="427"/>
      <c r="CQ882" s="427"/>
      <c r="CR882" s="485"/>
      <c r="CS882" s="485"/>
      <c r="CT882" s="485"/>
      <c r="CU882" s="485"/>
      <c r="CV882" s="482"/>
      <c r="CW882" s="482"/>
      <c r="CX882" s="482"/>
      <c r="CY882" s="482"/>
      <c r="CZ882" s="485"/>
      <c r="DA882" s="485"/>
      <c r="DB882" s="485"/>
      <c r="DC882" s="485"/>
      <c r="DD882" s="485"/>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485"/>
      <c r="EX882" s="457"/>
      <c r="EY882" s="457"/>
      <c r="EZ882" s="457"/>
      <c r="FA882" s="457"/>
      <c r="FB882" s="457"/>
      <c r="FC882" s="457"/>
      <c r="FD882" s="457"/>
      <c r="FE882" s="457"/>
      <c r="FF882" s="457"/>
      <c r="FG882" s="457"/>
      <c r="FH882" s="457"/>
      <c r="FI882" s="457"/>
      <c r="FJ882" s="457"/>
      <c r="FK882" s="457"/>
    </row>
    <row r="883" spans="1:167" s="416" customFormat="1">
      <c r="A883" s="427"/>
      <c r="B883" s="427"/>
      <c r="C883" s="427"/>
      <c r="D883" s="427"/>
      <c r="E883" s="428"/>
      <c r="F883" s="429"/>
      <c r="G883" s="430"/>
      <c r="H883" s="427"/>
      <c r="I883" s="427"/>
      <c r="J883" s="427"/>
      <c r="K883" s="427"/>
      <c r="L883" s="427"/>
      <c r="M883" s="427"/>
      <c r="N883" s="427"/>
      <c r="O883" s="427"/>
      <c r="P883" s="427"/>
      <c r="Q883" s="427"/>
      <c r="R883" s="427"/>
      <c r="S883" s="427"/>
      <c r="T883" s="427"/>
      <c r="U883" s="427"/>
      <c r="V883" s="428"/>
      <c r="W883" s="431"/>
      <c r="X883" s="3"/>
      <c r="Y883" s="429"/>
      <c r="Z883" s="430"/>
      <c r="AA883" s="430"/>
      <c r="AB883" s="430"/>
      <c r="AC883" s="424"/>
      <c r="AD883" s="424"/>
      <c r="AE883" s="424"/>
      <c r="AF883" s="424"/>
      <c r="AG883" s="424"/>
      <c r="AH883" s="424"/>
      <c r="AI883" s="424"/>
      <c r="AJ883" s="2"/>
      <c r="AK883" s="2"/>
      <c r="AL883" s="2"/>
      <c r="AM883" s="2"/>
      <c r="AN883" s="2"/>
      <c r="AO883" s="2"/>
      <c r="AP883" s="2"/>
      <c r="AQ883" s="427"/>
      <c r="AR883" s="754"/>
      <c r="AS883" s="427"/>
      <c r="AT883" s="754"/>
      <c r="AU883" s="427"/>
      <c r="AV883" s="427"/>
      <c r="AW883" s="427"/>
      <c r="AX883" s="427"/>
      <c r="AY883" s="754"/>
      <c r="AZ883" s="754"/>
      <c r="BA883" s="754"/>
      <c r="BB883" s="427"/>
      <c r="BC883" s="427"/>
      <c r="BD883" s="427"/>
      <c r="BE883" s="754"/>
      <c r="BF883" s="427"/>
      <c r="BG883" s="454"/>
      <c r="BH883" s="754"/>
      <c r="BI883" s="427"/>
      <c r="BJ883" s="427"/>
      <c r="BK883" s="427"/>
      <c r="BL883" s="427"/>
      <c r="BM883" s="454"/>
      <c r="BN883" s="427"/>
      <c r="BO883" s="427"/>
      <c r="BP883" s="427"/>
      <c r="BQ883" s="454"/>
      <c r="BR883" s="454"/>
      <c r="BS883" s="460"/>
      <c r="BT883" s="454"/>
      <c r="BU883" s="454"/>
      <c r="BV883" s="457"/>
      <c r="BW883" s="460"/>
      <c r="BX883" s="460"/>
      <c r="BY883" s="460"/>
      <c r="CA883" s="2"/>
      <c r="CB883" s="2"/>
      <c r="CC883" s="2"/>
      <c r="CD883" s="2"/>
      <c r="CE883" s="2"/>
      <c r="CF883" s="2"/>
      <c r="CG883" s="2"/>
      <c r="CH883" s="2"/>
      <c r="CI883" s="2"/>
      <c r="CJ883" s="2"/>
      <c r="CK883" s="2"/>
      <c r="CL883" s="2"/>
      <c r="CM883" s="2"/>
      <c r="CN883" s="2"/>
      <c r="CO883" s="427"/>
      <c r="CP883" s="427"/>
      <c r="CQ883" s="427"/>
      <c r="CR883" s="485"/>
      <c r="CS883" s="485"/>
      <c r="CT883" s="485"/>
      <c r="CU883" s="485"/>
      <c r="CV883" s="482"/>
      <c r="CW883" s="482"/>
      <c r="CX883" s="482"/>
      <c r="CY883" s="482"/>
      <c r="CZ883" s="485"/>
      <c r="DA883" s="485"/>
      <c r="DB883" s="485"/>
      <c r="DC883" s="485"/>
      <c r="DD883" s="485"/>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485"/>
      <c r="EX883" s="457"/>
      <c r="EY883" s="457"/>
      <c r="EZ883" s="457"/>
      <c r="FA883" s="457"/>
      <c r="FB883" s="457"/>
      <c r="FC883" s="457"/>
      <c r="FD883" s="457"/>
      <c r="FE883" s="457"/>
      <c r="FF883" s="457"/>
      <c r="FG883" s="457"/>
      <c r="FH883" s="457"/>
      <c r="FI883" s="457"/>
      <c r="FJ883" s="457"/>
      <c r="FK883" s="457"/>
    </row>
    <row r="884" spans="1:167" s="416" customFormat="1">
      <c r="A884" s="427"/>
      <c r="B884" s="427"/>
      <c r="C884" s="427"/>
      <c r="D884" s="427"/>
      <c r="E884" s="428"/>
      <c r="F884" s="429"/>
      <c r="G884" s="430"/>
      <c r="H884" s="427"/>
      <c r="I884" s="427"/>
      <c r="J884" s="427"/>
      <c r="K884" s="427"/>
      <c r="L884" s="427"/>
      <c r="M884" s="427"/>
      <c r="N884" s="427"/>
      <c r="O884" s="427"/>
      <c r="P884" s="427"/>
      <c r="Q884" s="427"/>
      <c r="R884" s="427"/>
      <c r="S884" s="427"/>
      <c r="T884" s="427"/>
      <c r="U884" s="427"/>
      <c r="V884" s="428"/>
      <c r="W884" s="431"/>
      <c r="X884" s="3"/>
      <c r="Y884" s="429"/>
      <c r="Z884" s="430"/>
      <c r="AA884" s="430"/>
      <c r="AB884" s="430"/>
      <c r="AC884" s="424"/>
      <c r="AD884" s="424"/>
      <c r="AE884" s="424"/>
      <c r="AF884" s="424"/>
      <c r="AG884" s="424"/>
      <c r="AH884" s="424"/>
      <c r="AI884" s="424"/>
      <c r="AJ884" s="2"/>
      <c r="AK884" s="2"/>
      <c r="AL884" s="2"/>
      <c r="AM884" s="2"/>
      <c r="AN884" s="2"/>
      <c r="AO884" s="2"/>
      <c r="AP884" s="2"/>
      <c r="AQ884" s="427"/>
      <c r="AR884" s="754"/>
      <c r="AS884" s="427"/>
      <c r="AT884" s="754"/>
      <c r="AU884" s="427"/>
      <c r="AV884" s="427"/>
      <c r="AW884" s="427"/>
      <c r="AX884" s="427"/>
      <c r="AY884" s="754"/>
      <c r="AZ884" s="754"/>
      <c r="BA884" s="754"/>
      <c r="BB884" s="427"/>
      <c r="BC884" s="427"/>
      <c r="BD884" s="427"/>
      <c r="BE884" s="754"/>
      <c r="BF884" s="427"/>
      <c r="BG884" s="454"/>
      <c r="BH884" s="754"/>
      <c r="BI884" s="427"/>
      <c r="BJ884" s="427"/>
      <c r="BK884" s="427"/>
      <c r="BL884" s="427"/>
      <c r="BM884" s="454"/>
      <c r="BN884" s="427"/>
      <c r="BO884" s="427"/>
      <c r="BP884" s="427"/>
      <c r="BQ884" s="454"/>
      <c r="BR884" s="454"/>
      <c r="BS884" s="460"/>
      <c r="BT884" s="454"/>
      <c r="BU884" s="454"/>
      <c r="BV884" s="457"/>
      <c r="BW884" s="460"/>
      <c r="BX884" s="460"/>
      <c r="BY884" s="460"/>
      <c r="CA884" s="2"/>
      <c r="CB884" s="2"/>
      <c r="CC884" s="2"/>
      <c r="CD884" s="2"/>
      <c r="CE884" s="2"/>
      <c r="CF884" s="2"/>
      <c r="CG884" s="2"/>
      <c r="CH884" s="2"/>
      <c r="CI884" s="2"/>
      <c r="CJ884" s="2"/>
      <c r="CK884" s="2"/>
      <c r="CL884" s="2"/>
      <c r="CM884" s="2"/>
      <c r="CN884" s="2"/>
      <c r="CO884" s="427"/>
      <c r="CP884" s="427"/>
      <c r="CQ884" s="427"/>
      <c r="CR884" s="485"/>
      <c r="CS884" s="485"/>
      <c r="CT884" s="485"/>
      <c r="CU884" s="485"/>
      <c r="CV884" s="482"/>
      <c r="CW884" s="482"/>
      <c r="CX884" s="482"/>
      <c r="CY884" s="482"/>
      <c r="CZ884" s="485"/>
      <c r="DA884" s="485"/>
      <c r="DB884" s="485"/>
      <c r="DC884" s="485"/>
      <c r="DD884" s="485"/>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485"/>
      <c r="EX884" s="457"/>
      <c r="EY884" s="457"/>
      <c r="EZ884" s="457"/>
      <c r="FA884" s="457"/>
      <c r="FB884" s="457"/>
      <c r="FC884" s="457"/>
      <c r="FD884" s="457"/>
      <c r="FE884" s="457"/>
      <c r="FF884" s="457"/>
      <c r="FG884" s="457"/>
      <c r="FH884" s="457"/>
      <c r="FI884" s="457"/>
      <c r="FJ884" s="457"/>
      <c r="FK884" s="457"/>
    </row>
    <row r="885" spans="1:167" s="416" customFormat="1">
      <c r="A885" s="427"/>
      <c r="B885" s="427"/>
      <c r="C885" s="427"/>
      <c r="D885" s="427"/>
      <c r="E885" s="428"/>
      <c r="F885" s="429"/>
      <c r="G885" s="430"/>
      <c r="H885" s="427"/>
      <c r="I885" s="427"/>
      <c r="J885" s="427"/>
      <c r="K885" s="427"/>
      <c r="L885" s="427"/>
      <c r="M885" s="427"/>
      <c r="N885" s="427"/>
      <c r="O885" s="427"/>
      <c r="P885" s="427"/>
      <c r="Q885" s="427"/>
      <c r="R885" s="427"/>
      <c r="S885" s="427"/>
      <c r="T885" s="427"/>
      <c r="U885" s="427"/>
      <c r="V885" s="428"/>
      <c r="W885" s="431"/>
      <c r="X885" s="3"/>
      <c r="Y885" s="429"/>
      <c r="Z885" s="430"/>
      <c r="AA885" s="430"/>
      <c r="AB885" s="430"/>
      <c r="AC885" s="424"/>
      <c r="AD885" s="424"/>
      <c r="AE885" s="424"/>
      <c r="AF885" s="424"/>
      <c r="AG885" s="424"/>
      <c r="AH885" s="424"/>
      <c r="AI885" s="424"/>
      <c r="AJ885" s="2"/>
      <c r="AK885" s="2"/>
      <c r="AL885" s="2"/>
      <c r="AM885" s="2"/>
      <c r="AN885" s="2"/>
      <c r="AO885" s="2"/>
      <c r="AP885" s="2"/>
      <c r="AQ885" s="427"/>
      <c r="AR885" s="754"/>
      <c r="AS885" s="427"/>
      <c r="AT885" s="754"/>
      <c r="AU885" s="427"/>
      <c r="AV885" s="427"/>
      <c r="AW885" s="427"/>
      <c r="AX885" s="427"/>
      <c r="AY885" s="754"/>
      <c r="AZ885" s="754"/>
      <c r="BA885" s="754"/>
      <c r="BB885" s="427"/>
      <c r="BC885" s="427"/>
      <c r="BD885" s="427"/>
      <c r="BE885" s="754"/>
      <c r="BF885" s="427"/>
      <c r="BG885" s="454"/>
      <c r="BH885" s="754"/>
      <c r="BI885" s="427"/>
      <c r="BJ885" s="427"/>
      <c r="BK885" s="427"/>
      <c r="BL885" s="427"/>
      <c r="BM885" s="454"/>
      <c r="BN885" s="427"/>
      <c r="BO885" s="427"/>
      <c r="BP885" s="427"/>
      <c r="BQ885" s="454"/>
      <c r="BR885" s="454"/>
      <c r="BS885" s="460"/>
      <c r="BT885" s="454"/>
      <c r="BU885" s="454"/>
      <c r="BV885" s="457"/>
      <c r="BW885" s="460"/>
      <c r="BX885" s="460"/>
      <c r="BY885" s="460"/>
      <c r="CA885" s="2"/>
      <c r="CB885" s="2"/>
      <c r="CC885" s="2"/>
      <c r="CD885" s="2"/>
      <c r="CE885" s="2"/>
      <c r="CF885" s="2"/>
      <c r="CG885" s="2"/>
      <c r="CH885" s="2"/>
      <c r="CI885" s="2"/>
      <c r="CJ885" s="2"/>
      <c r="CK885" s="2"/>
      <c r="CL885" s="2"/>
      <c r="CM885" s="2"/>
      <c r="CN885" s="2"/>
      <c r="CO885" s="427"/>
      <c r="CP885" s="427"/>
      <c r="CQ885" s="427"/>
      <c r="CR885" s="485"/>
      <c r="CS885" s="485"/>
      <c r="CT885" s="485"/>
      <c r="CU885" s="485"/>
      <c r="CV885" s="482"/>
      <c r="CW885" s="482"/>
      <c r="CX885" s="482"/>
      <c r="CY885" s="482"/>
      <c r="CZ885" s="485"/>
      <c r="DA885" s="485"/>
      <c r="DB885" s="485"/>
      <c r="DC885" s="485"/>
      <c r="DD885" s="485"/>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485"/>
      <c r="EX885" s="457"/>
      <c r="EY885" s="457"/>
      <c r="EZ885" s="457"/>
      <c r="FA885" s="457"/>
      <c r="FB885" s="457"/>
      <c r="FC885" s="457"/>
      <c r="FD885" s="457"/>
      <c r="FE885" s="457"/>
      <c r="FF885" s="457"/>
      <c r="FG885" s="457"/>
      <c r="FH885" s="457"/>
      <c r="FI885" s="457"/>
      <c r="FJ885" s="457"/>
      <c r="FK885" s="457"/>
    </row>
    <row r="886" spans="1:167" s="416" customFormat="1">
      <c r="A886" s="427"/>
      <c r="B886" s="427"/>
      <c r="C886" s="427"/>
      <c r="D886" s="427"/>
      <c r="E886" s="428"/>
      <c r="F886" s="429"/>
      <c r="G886" s="430"/>
      <c r="H886" s="427"/>
      <c r="I886" s="427"/>
      <c r="J886" s="427"/>
      <c r="K886" s="427"/>
      <c r="L886" s="427"/>
      <c r="M886" s="427"/>
      <c r="N886" s="427"/>
      <c r="O886" s="427"/>
      <c r="P886" s="427"/>
      <c r="Q886" s="427"/>
      <c r="R886" s="427"/>
      <c r="S886" s="427"/>
      <c r="T886" s="427"/>
      <c r="U886" s="427"/>
      <c r="V886" s="428"/>
      <c r="W886" s="431"/>
      <c r="X886" s="3"/>
      <c r="Y886" s="429"/>
      <c r="Z886" s="430"/>
      <c r="AA886" s="430"/>
      <c r="AB886" s="430"/>
      <c r="AC886" s="424"/>
      <c r="AD886" s="424"/>
      <c r="AE886" s="424"/>
      <c r="AF886" s="424"/>
      <c r="AG886" s="424"/>
      <c r="AH886" s="424"/>
      <c r="AI886" s="424"/>
      <c r="AJ886" s="2"/>
      <c r="AK886" s="2"/>
      <c r="AL886" s="2"/>
      <c r="AM886" s="2"/>
      <c r="AN886" s="2"/>
      <c r="AO886" s="2"/>
      <c r="AP886" s="2"/>
      <c r="AQ886" s="427"/>
      <c r="AR886" s="754"/>
      <c r="AS886" s="427"/>
      <c r="AT886" s="754"/>
      <c r="AU886" s="427"/>
      <c r="AV886" s="427"/>
      <c r="AW886" s="427"/>
      <c r="AX886" s="427"/>
      <c r="AY886" s="754"/>
      <c r="AZ886" s="754"/>
      <c r="BA886" s="754"/>
      <c r="BB886" s="427"/>
      <c r="BC886" s="427"/>
      <c r="BD886" s="427"/>
      <c r="BE886" s="754"/>
      <c r="BF886" s="427"/>
      <c r="BG886" s="454"/>
      <c r="BH886" s="754"/>
      <c r="BI886" s="427"/>
      <c r="BJ886" s="427"/>
      <c r="BK886" s="427"/>
      <c r="BL886" s="427"/>
      <c r="BM886" s="454"/>
      <c r="BN886" s="427"/>
      <c r="BO886" s="427"/>
      <c r="BP886" s="427"/>
      <c r="BQ886" s="454"/>
      <c r="BR886" s="454"/>
      <c r="BS886" s="460"/>
      <c r="BT886" s="454"/>
      <c r="BU886" s="454"/>
      <c r="BV886" s="457"/>
      <c r="BW886" s="460"/>
      <c r="BX886" s="460"/>
      <c r="BY886" s="460"/>
      <c r="CA886" s="2"/>
      <c r="CB886" s="2"/>
      <c r="CC886" s="2"/>
      <c r="CD886" s="2"/>
      <c r="CE886" s="2"/>
      <c r="CF886" s="2"/>
      <c r="CG886" s="2"/>
      <c r="CH886" s="2"/>
      <c r="CI886" s="2"/>
      <c r="CJ886" s="2"/>
      <c r="CK886" s="2"/>
      <c r="CL886" s="2"/>
      <c r="CM886" s="2"/>
      <c r="CN886" s="2"/>
      <c r="CO886" s="427"/>
      <c r="CP886" s="427"/>
      <c r="CQ886" s="427"/>
      <c r="CR886" s="485"/>
      <c r="CS886" s="485"/>
      <c r="CT886" s="485"/>
      <c r="CU886" s="485"/>
      <c r="CV886" s="482"/>
      <c r="CW886" s="482"/>
      <c r="CX886" s="482"/>
      <c r="CY886" s="482"/>
      <c r="CZ886" s="485"/>
      <c r="DA886" s="485"/>
      <c r="DB886" s="485"/>
      <c r="DC886" s="485"/>
      <c r="DD886" s="485"/>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485"/>
      <c r="EX886" s="457"/>
      <c r="EY886" s="457"/>
      <c r="EZ886" s="457"/>
      <c r="FA886" s="457"/>
      <c r="FB886" s="457"/>
      <c r="FC886" s="457"/>
      <c r="FD886" s="457"/>
      <c r="FE886" s="457"/>
      <c r="FF886" s="457"/>
      <c r="FG886" s="457"/>
      <c r="FH886" s="457"/>
      <c r="FI886" s="457"/>
      <c r="FJ886" s="457"/>
      <c r="FK886" s="457"/>
    </row>
    <row r="887" spans="1:167" s="416" customFormat="1">
      <c r="A887" s="427"/>
      <c r="B887" s="427"/>
      <c r="C887" s="427"/>
      <c r="D887" s="427"/>
      <c r="E887" s="428"/>
      <c r="F887" s="429"/>
      <c r="G887" s="430"/>
      <c r="H887" s="427"/>
      <c r="I887" s="427"/>
      <c r="J887" s="427"/>
      <c r="K887" s="427"/>
      <c r="L887" s="427"/>
      <c r="M887" s="427"/>
      <c r="N887" s="427"/>
      <c r="O887" s="427"/>
      <c r="P887" s="427"/>
      <c r="Q887" s="427"/>
      <c r="R887" s="427"/>
      <c r="S887" s="427"/>
      <c r="T887" s="427"/>
      <c r="U887" s="427"/>
      <c r="V887" s="428"/>
      <c r="W887" s="431"/>
      <c r="X887" s="3"/>
      <c r="Y887" s="429"/>
      <c r="Z887" s="430"/>
      <c r="AA887" s="430"/>
      <c r="AB887" s="430"/>
      <c r="AC887" s="424"/>
      <c r="AD887" s="424"/>
      <c r="AE887" s="424"/>
      <c r="AF887" s="424"/>
      <c r="AG887" s="424"/>
      <c r="AH887" s="424"/>
      <c r="AI887" s="424"/>
      <c r="AJ887" s="2"/>
      <c r="AK887" s="2"/>
      <c r="AL887" s="2"/>
      <c r="AM887" s="2"/>
      <c r="AN887" s="2"/>
      <c r="AO887" s="2"/>
      <c r="AP887" s="2"/>
      <c r="AQ887" s="427"/>
      <c r="AR887" s="754"/>
      <c r="AS887" s="427"/>
      <c r="AT887" s="754"/>
      <c r="AU887" s="427"/>
      <c r="AV887" s="427"/>
      <c r="AW887" s="427"/>
      <c r="AX887" s="427"/>
      <c r="AY887" s="754"/>
      <c r="AZ887" s="754"/>
      <c r="BA887" s="754"/>
      <c r="BB887" s="427"/>
      <c r="BC887" s="427"/>
      <c r="BD887" s="427"/>
      <c r="BE887" s="754"/>
      <c r="BF887" s="427"/>
      <c r="BG887" s="454"/>
      <c r="BH887" s="754"/>
      <c r="BI887" s="427"/>
      <c r="BJ887" s="427"/>
      <c r="BK887" s="427"/>
      <c r="BL887" s="427"/>
      <c r="BM887" s="454"/>
      <c r="BN887" s="427"/>
      <c r="BO887" s="427"/>
      <c r="BP887" s="427"/>
      <c r="BQ887" s="454"/>
      <c r="BR887" s="454"/>
      <c r="BS887" s="460"/>
      <c r="BT887" s="454"/>
      <c r="BU887" s="454"/>
      <c r="BV887" s="457"/>
      <c r="BW887" s="460"/>
      <c r="BX887" s="460"/>
      <c r="BY887" s="460"/>
      <c r="CA887" s="2"/>
      <c r="CB887" s="2"/>
      <c r="CC887" s="2"/>
      <c r="CD887" s="2"/>
      <c r="CE887" s="2"/>
      <c r="CF887" s="2"/>
      <c r="CG887" s="2"/>
      <c r="CH887" s="2"/>
      <c r="CI887" s="2"/>
      <c r="CJ887" s="2"/>
      <c r="CK887" s="2"/>
      <c r="CL887" s="2"/>
      <c r="CM887" s="2"/>
      <c r="CN887" s="2"/>
      <c r="CO887" s="427"/>
      <c r="CP887" s="427"/>
      <c r="CQ887" s="427"/>
      <c r="CR887" s="485"/>
      <c r="CS887" s="485"/>
      <c r="CT887" s="485"/>
      <c r="CU887" s="485"/>
      <c r="CV887" s="482"/>
      <c r="CW887" s="482"/>
      <c r="CX887" s="482"/>
      <c r="CY887" s="482"/>
      <c r="CZ887" s="485"/>
      <c r="DA887" s="485"/>
      <c r="DB887" s="485"/>
      <c r="DC887" s="485"/>
      <c r="DD887" s="485"/>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485"/>
      <c r="EX887" s="457"/>
      <c r="EY887" s="457"/>
      <c r="EZ887" s="457"/>
      <c r="FA887" s="457"/>
      <c r="FB887" s="457"/>
      <c r="FC887" s="457"/>
      <c r="FD887" s="457"/>
      <c r="FE887" s="457"/>
      <c r="FF887" s="457"/>
      <c r="FG887" s="457"/>
      <c r="FH887" s="457"/>
      <c r="FI887" s="457"/>
      <c r="FJ887" s="457"/>
      <c r="FK887" s="457"/>
    </row>
    <row r="888" spans="1:167" s="416" customFormat="1">
      <c r="A888" s="427"/>
      <c r="B888" s="427"/>
      <c r="C888" s="427"/>
      <c r="D888" s="427"/>
      <c r="E888" s="428"/>
      <c r="F888" s="429"/>
      <c r="G888" s="430"/>
      <c r="H888" s="427"/>
      <c r="I888" s="427"/>
      <c r="J888" s="427"/>
      <c r="K888" s="427"/>
      <c r="L888" s="427"/>
      <c r="M888" s="427"/>
      <c r="N888" s="427"/>
      <c r="O888" s="427"/>
      <c r="P888" s="427"/>
      <c r="Q888" s="427"/>
      <c r="R888" s="427"/>
      <c r="S888" s="427"/>
      <c r="T888" s="427"/>
      <c r="U888" s="427"/>
      <c r="V888" s="428"/>
      <c r="W888" s="431"/>
      <c r="X888" s="3"/>
      <c r="Y888" s="429"/>
      <c r="Z888" s="430"/>
      <c r="AA888" s="430"/>
      <c r="AB888" s="430"/>
      <c r="AC888" s="424"/>
      <c r="AD888" s="424"/>
      <c r="AE888" s="424"/>
      <c r="AF888" s="424"/>
      <c r="AG888" s="424"/>
      <c r="AH888" s="424"/>
      <c r="AI888" s="424"/>
      <c r="AJ888" s="2"/>
      <c r="AK888" s="2"/>
      <c r="AL888" s="2"/>
      <c r="AM888" s="2"/>
      <c r="AN888" s="2"/>
      <c r="AO888" s="2"/>
      <c r="AP888" s="2"/>
      <c r="AQ888" s="427"/>
      <c r="AR888" s="754"/>
      <c r="AS888" s="427"/>
      <c r="AT888" s="754"/>
      <c r="AU888" s="427"/>
      <c r="AV888" s="427"/>
      <c r="AW888" s="427"/>
      <c r="AX888" s="427"/>
      <c r="AY888" s="754"/>
      <c r="AZ888" s="754"/>
      <c r="BA888" s="754"/>
      <c r="BB888" s="427"/>
      <c r="BC888" s="427"/>
      <c r="BD888" s="427"/>
      <c r="BE888" s="754"/>
      <c r="BF888" s="427"/>
      <c r="BG888" s="454"/>
      <c r="BH888" s="754"/>
      <c r="BI888" s="427"/>
      <c r="BJ888" s="427"/>
      <c r="BK888" s="427"/>
      <c r="BL888" s="427"/>
      <c r="BM888" s="454"/>
      <c r="BN888" s="427"/>
      <c r="BO888" s="427"/>
      <c r="BP888" s="427"/>
      <c r="BQ888" s="454"/>
      <c r="BR888" s="454"/>
      <c r="BS888" s="460"/>
      <c r="BT888" s="454"/>
      <c r="BU888" s="454"/>
      <c r="BV888" s="457"/>
      <c r="BW888" s="460"/>
      <c r="BX888" s="460"/>
      <c r="BY888" s="460"/>
      <c r="CA888" s="2"/>
      <c r="CB888" s="2"/>
      <c r="CC888" s="2"/>
      <c r="CD888" s="2"/>
      <c r="CE888" s="2"/>
      <c r="CF888" s="2"/>
      <c r="CG888" s="2"/>
      <c r="CH888" s="2"/>
      <c r="CI888" s="2"/>
      <c r="CJ888" s="2"/>
      <c r="CK888" s="2"/>
      <c r="CL888" s="2"/>
      <c r="CM888" s="2"/>
      <c r="CN888" s="2"/>
      <c r="CO888" s="427"/>
      <c r="CP888" s="427"/>
      <c r="CQ888" s="427"/>
      <c r="CR888" s="485"/>
      <c r="CS888" s="485"/>
      <c r="CT888" s="485"/>
      <c r="CU888" s="485"/>
      <c r="CV888" s="482"/>
      <c r="CW888" s="482"/>
      <c r="CX888" s="482"/>
      <c r="CY888" s="482"/>
      <c r="CZ888" s="485"/>
      <c r="DA888" s="485"/>
      <c r="DB888" s="485"/>
      <c r="DC888" s="485"/>
      <c r="DD888" s="485"/>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485"/>
      <c r="EX888" s="457"/>
      <c r="EY888" s="457"/>
      <c r="EZ888" s="457"/>
      <c r="FA888" s="457"/>
      <c r="FB888" s="457"/>
      <c r="FC888" s="457"/>
      <c r="FD888" s="457"/>
      <c r="FE888" s="457"/>
      <c r="FF888" s="457"/>
      <c r="FG888" s="457"/>
      <c r="FH888" s="457"/>
      <c r="FI888" s="457"/>
      <c r="FJ888" s="457"/>
      <c r="FK888" s="457"/>
    </row>
    <row r="889" spans="1:167" s="416" customFormat="1">
      <c r="A889" s="427"/>
      <c r="B889" s="427"/>
      <c r="C889" s="427"/>
      <c r="D889" s="427"/>
      <c r="E889" s="428"/>
      <c r="F889" s="429"/>
      <c r="G889" s="430"/>
      <c r="H889" s="427"/>
      <c r="I889" s="427"/>
      <c r="J889" s="427"/>
      <c r="K889" s="427"/>
      <c r="L889" s="427"/>
      <c r="M889" s="427"/>
      <c r="N889" s="427"/>
      <c r="O889" s="427"/>
      <c r="P889" s="427"/>
      <c r="Q889" s="427"/>
      <c r="R889" s="427"/>
      <c r="S889" s="427"/>
      <c r="T889" s="427"/>
      <c r="U889" s="427"/>
      <c r="V889" s="428"/>
      <c r="W889" s="431"/>
      <c r="X889" s="3"/>
      <c r="Y889" s="429"/>
      <c r="Z889" s="430"/>
      <c r="AA889" s="430"/>
      <c r="AB889" s="430"/>
      <c r="AC889" s="424"/>
      <c r="AD889" s="424"/>
      <c r="AE889" s="424"/>
      <c r="AF889" s="424"/>
      <c r="AG889" s="424"/>
      <c r="AH889" s="424"/>
      <c r="AI889" s="424"/>
      <c r="AJ889" s="2"/>
      <c r="AK889" s="2"/>
      <c r="AL889" s="2"/>
      <c r="AM889" s="2"/>
      <c r="AN889" s="2"/>
      <c r="AO889" s="2"/>
      <c r="AP889" s="2"/>
      <c r="AQ889" s="427"/>
      <c r="AR889" s="754"/>
      <c r="AS889" s="427"/>
      <c r="AT889" s="754"/>
      <c r="AU889" s="427"/>
      <c r="AV889" s="427"/>
      <c r="AW889" s="427"/>
      <c r="AX889" s="427"/>
      <c r="AY889" s="754"/>
      <c r="AZ889" s="754"/>
      <c r="BA889" s="754"/>
      <c r="BB889" s="427"/>
      <c r="BC889" s="427"/>
      <c r="BD889" s="427"/>
      <c r="BE889" s="754"/>
      <c r="BF889" s="427"/>
      <c r="BG889" s="454"/>
      <c r="BH889" s="754"/>
      <c r="BI889" s="427"/>
      <c r="BJ889" s="427"/>
      <c r="BK889" s="427"/>
      <c r="BL889" s="427"/>
      <c r="BM889" s="454"/>
      <c r="BN889" s="427"/>
      <c r="BO889" s="427"/>
      <c r="BP889" s="427"/>
      <c r="BQ889" s="454"/>
      <c r="BR889" s="454"/>
      <c r="BS889" s="460"/>
      <c r="BT889" s="454"/>
      <c r="BU889" s="454"/>
      <c r="BV889" s="457"/>
      <c r="BW889" s="460"/>
      <c r="BX889" s="460"/>
      <c r="BY889" s="460"/>
      <c r="CA889" s="2"/>
      <c r="CB889" s="2"/>
      <c r="CC889" s="2"/>
      <c r="CD889" s="2"/>
      <c r="CE889" s="2"/>
      <c r="CF889" s="2"/>
      <c r="CG889" s="2"/>
      <c r="CH889" s="2"/>
      <c r="CI889" s="2"/>
      <c r="CJ889" s="2"/>
      <c r="CK889" s="2"/>
      <c r="CL889" s="2"/>
      <c r="CM889" s="2"/>
      <c r="CN889" s="2"/>
      <c r="CO889" s="427"/>
      <c r="CP889" s="427"/>
      <c r="CQ889" s="427"/>
      <c r="CR889" s="485"/>
      <c r="CS889" s="485"/>
      <c r="CT889" s="485"/>
      <c r="CU889" s="485"/>
      <c r="CV889" s="482"/>
      <c r="CW889" s="482"/>
      <c r="CX889" s="482"/>
      <c r="CY889" s="482"/>
      <c r="CZ889" s="485"/>
      <c r="DA889" s="485"/>
      <c r="DB889" s="485"/>
      <c r="DC889" s="485"/>
      <c r="DD889" s="485"/>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485"/>
      <c r="EX889" s="457"/>
      <c r="EY889" s="457"/>
      <c r="EZ889" s="457"/>
      <c r="FA889" s="457"/>
      <c r="FB889" s="457"/>
      <c r="FC889" s="457"/>
      <c r="FD889" s="457"/>
      <c r="FE889" s="457"/>
      <c r="FF889" s="457"/>
      <c r="FG889" s="457"/>
      <c r="FH889" s="457"/>
      <c r="FI889" s="457"/>
      <c r="FJ889" s="457"/>
      <c r="FK889" s="457"/>
    </row>
    <row r="890" spans="1:167" s="416" customFormat="1">
      <c r="A890" s="427"/>
      <c r="B890" s="427"/>
      <c r="C890" s="427"/>
      <c r="D890" s="427"/>
      <c r="E890" s="428"/>
      <c r="F890" s="429"/>
      <c r="G890" s="430"/>
      <c r="H890" s="427"/>
      <c r="I890" s="427"/>
      <c r="J890" s="427"/>
      <c r="K890" s="427"/>
      <c r="L890" s="427"/>
      <c r="M890" s="427"/>
      <c r="N890" s="427"/>
      <c r="O890" s="427"/>
      <c r="P890" s="427"/>
      <c r="Q890" s="427"/>
      <c r="R890" s="427"/>
      <c r="S890" s="427"/>
      <c r="T890" s="427"/>
      <c r="U890" s="427"/>
      <c r="V890" s="428"/>
      <c r="W890" s="431"/>
      <c r="X890" s="3"/>
      <c r="Y890" s="429"/>
      <c r="Z890" s="430"/>
      <c r="AA890" s="430"/>
      <c r="AB890" s="430"/>
      <c r="AC890" s="424"/>
      <c r="AD890" s="424"/>
      <c r="AE890" s="424"/>
      <c r="AF890" s="424"/>
      <c r="AG890" s="424"/>
      <c r="AH890" s="424"/>
      <c r="AI890" s="424"/>
      <c r="AJ890" s="2"/>
      <c r="AK890" s="2"/>
      <c r="AL890" s="2"/>
      <c r="AM890" s="2"/>
      <c r="AN890" s="2"/>
      <c r="AO890" s="2"/>
      <c r="AP890" s="2"/>
      <c r="AQ890" s="427"/>
      <c r="AR890" s="754"/>
      <c r="AS890" s="427"/>
      <c r="AT890" s="754"/>
      <c r="AU890" s="427"/>
      <c r="AV890" s="427"/>
      <c r="AW890" s="427"/>
      <c r="AX890" s="427"/>
      <c r="AY890" s="754"/>
      <c r="AZ890" s="754"/>
      <c r="BA890" s="754"/>
      <c r="BB890" s="427"/>
      <c r="BC890" s="427"/>
      <c r="BD890" s="427"/>
      <c r="BE890" s="754"/>
      <c r="BF890" s="427"/>
      <c r="BG890" s="454"/>
      <c r="BH890" s="754"/>
      <c r="BI890" s="427"/>
      <c r="BJ890" s="427"/>
      <c r="BK890" s="427"/>
      <c r="BL890" s="427"/>
      <c r="BM890" s="454"/>
      <c r="BN890" s="427"/>
      <c r="BO890" s="427"/>
      <c r="BP890" s="427"/>
      <c r="BQ890" s="454"/>
      <c r="BR890" s="454"/>
      <c r="BS890" s="460"/>
      <c r="BT890" s="454"/>
      <c r="BU890" s="454"/>
      <c r="BV890" s="457"/>
      <c r="BW890" s="460"/>
      <c r="BX890" s="460"/>
      <c r="BY890" s="460"/>
      <c r="CA890" s="2"/>
      <c r="CB890" s="2"/>
      <c r="CC890" s="2"/>
      <c r="CD890" s="2"/>
      <c r="CE890" s="2"/>
      <c r="CF890" s="2"/>
      <c r="CG890" s="2"/>
      <c r="CH890" s="2"/>
      <c r="CI890" s="2"/>
      <c r="CJ890" s="2"/>
      <c r="CK890" s="2"/>
      <c r="CL890" s="2"/>
      <c r="CM890" s="2"/>
      <c r="CN890" s="2"/>
      <c r="CO890" s="427"/>
      <c r="CP890" s="427"/>
      <c r="CQ890" s="427"/>
      <c r="CR890" s="485"/>
      <c r="CS890" s="485"/>
      <c r="CT890" s="485"/>
      <c r="CU890" s="485"/>
      <c r="CV890" s="482"/>
      <c r="CW890" s="482"/>
      <c r="CX890" s="482"/>
      <c r="CY890" s="482"/>
      <c r="CZ890" s="485"/>
      <c r="DA890" s="485"/>
      <c r="DB890" s="485"/>
      <c r="DC890" s="485"/>
      <c r="DD890" s="485"/>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485"/>
      <c r="EX890" s="457"/>
      <c r="EY890" s="457"/>
      <c r="EZ890" s="457"/>
      <c r="FA890" s="457"/>
      <c r="FB890" s="457"/>
      <c r="FC890" s="457"/>
      <c r="FD890" s="457"/>
      <c r="FE890" s="457"/>
      <c r="FF890" s="457"/>
      <c r="FG890" s="457"/>
      <c r="FH890" s="457"/>
      <c r="FI890" s="457"/>
      <c r="FJ890" s="457"/>
      <c r="FK890" s="457"/>
    </row>
    <row r="891" spans="1:167" s="416" customFormat="1">
      <c r="A891" s="427"/>
      <c r="B891" s="427"/>
      <c r="C891" s="427"/>
      <c r="D891" s="427"/>
      <c r="E891" s="428"/>
      <c r="F891" s="429"/>
      <c r="G891" s="430"/>
      <c r="H891" s="427"/>
      <c r="I891" s="427"/>
      <c r="J891" s="427"/>
      <c r="K891" s="427"/>
      <c r="L891" s="427"/>
      <c r="M891" s="427"/>
      <c r="N891" s="427"/>
      <c r="O891" s="427"/>
      <c r="P891" s="427"/>
      <c r="Q891" s="427"/>
      <c r="R891" s="427"/>
      <c r="S891" s="427"/>
      <c r="T891" s="427"/>
      <c r="U891" s="427"/>
      <c r="V891" s="428"/>
      <c r="W891" s="431"/>
      <c r="X891" s="3"/>
      <c r="Y891" s="429"/>
      <c r="Z891" s="430"/>
      <c r="AA891" s="430"/>
      <c r="AB891" s="430"/>
      <c r="AC891" s="424"/>
      <c r="AD891" s="424"/>
      <c r="AE891" s="424"/>
      <c r="AF891" s="424"/>
      <c r="AG891" s="424"/>
      <c r="AH891" s="424"/>
      <c r="AI891" s="424"/>
      <c r="AJ891" s="2"/>
      <c r="AK891" s="2"/>
      <c r="AL891" s="2"/>
      <c r="AM891" s="2"/>
      <c r="AN891" s="2"/>
      <c r="AO891" s="2"/>
      <c r="AP891" s="2"/>
      <c r="AQ891" s="427"/>
      <c r="AR891" s="754"/>
      <c r="AS891" s="427"/>
      <c r="AT891" s="754"/>
      <c r="AU891" s="427"/>
      <c r="AV891" s="427"/>
      <c r="AW891" s="427"/>
      <c r="AX891" s="427"/>
      <c r="AY891" s="754"/>
      <c r="AZ891" s="754"/>
      <c r="BA891" s="754"/>
      <c r="BB891" s="427"/>
      <c r="BC891" s="427"/>
      <c r="BD891" s="427"/>
      <c r="BE891" s="754"/>
      <c r="BF891" s="427"/>
      <c r="BG891" s="454"/>
      <c r="BH891" s="754"/>
      <c r="BI891" s="427"/>
      <c r="BJ891" s="427"/>
      <c r="BK891" s="427"/>
      <c r="BL891" s="427"/>
      <c r="BM891" s="454"/>
      <c r="BN891" s="427"/>
      <c r="BO891" s="427"/>
      <c r="BP891" s="427"/>
      <c r="BQ891" s="454"/>
      <c r="BR891" s="454"/>
      <c r="BS891" s="460"/>
      <c r="BT891" s="454"/>
      <c r="BU891" s="454"/>
      <c r="BV891" s="457"/>
      <c r="BW891" s="460"/>
      <c r="BX891" s="460"/>
      <c r="BY891" s="460"/>
      <c r="CA891" s="2"/>
      <c r="CB891" s="2"/>
      <c r="CC891" s="2"/>
      <c r="CD891" s="2"/>
      <c r="CE891" s="2"/>
      <c r="CF891" s="2"/>
      <c r="CG891" s="2"/>
      <c r="CH891" s="2"/>
      <c r="CI891" s="2"/>
      <c r="CJ891" s="2"/>
      <c r="CK891" s="2"/>
      <c r="CL891" s="2"/>
      <c r="CM891" s="2"/>
      <c r="CN891" s="2"/>
      <c r="CO891" s="427"/>
      <c r="CP891" s="427"/>
      <c r="CQ891" s="427"/>
      <c r="CR891" s="485"/>
      <c r="CS891" s="485"/>
      <c r="CT891" s="485"/>
      <c r="CU891" s="485"/>
      <c r="CV891" s="482"/>
      <c r="CW891" s="482"/>
      <c r="CX891" s="482"/>
      <c r="CY891" s="482"/>
      <c r="CZ891" s="485"/>
      <c r="DA891" s="485"/>
      <c r="DB891" s="485"/>
      <c r="DC891" s="485"/>
      <c r="DD891" s="485"/>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485"/>
      <c r="EX891" s="457"/>
      <c r="EY891" s="457"/>
      <c r="EZ891" s="457"/>
      <c r="FA891" s="457"/>
      <c r="FB891" s="457"/>
      <c r="FC891" s="457"/>
      <c r="FD891" s="457"/>
      <c r="FE891" s="457"/>
      <c r="FF891" s="457"/>
      <c r="FG891" s="457"/>
      <c r="FH891" s="457"/>
      <c r="FI891" s="457"/>
      <c r="FJ891" s="457"/>
      <c r="FK891" s="457"/>
    </row>
    <row r="892" spans="1:167" s="416" customFormat="1">
      <c r="A892" s="427"/>
      <c r="B892" s="427"/>
      <c r="C892" s="427"/>
      <c r="D892" s="427"/>
      <c r="E892" s="428"/>
      <c r="F892" s="429"/>
      <c r="G892" s="430"/>
      <c r="H892" s="427"/>
      <c r="I892" s="427"/>
      <c r="J892" s="427"/>
      <c r="K892" s="427"/>
      <c r="L892" s="427"/>
      <c r="M892" s="427"/>
      <c r="N892" s="427"/>
      <c r="O892" s="427"/>
      <c r="P892" s="427"/>
      <c r="Q892" s="427"/>
      <c r="R892" s="427"/>
      <c r="S892" s="427"/>
      <c r="T892" s="427"/>
      <c r="U892" s="427"/>
      <c r="V892" s="428"/>
      <c r="W892" s="431"/>
      <c r="X892" s="3"/>
      <c r="Y892" s="429"/>
      <c r="Z892" s="430"/>
      <c r="AA892" s="430"/>
      <c r="AB892" s="430"/>
      <c r="AC892" s="424"/>
      <c r="AD892" s="424"/>
      <c r="AE892" s="424"/>
      <c r="AF892" s="424"/>
      <c r="AG892" s="424"/>
      <c r="AH892" s="424"/>
      <c r="AI892" s="424"/>
      <c r="AJ892" s="2"/>
      <c r="AK892" s="2"/>
      <c r="AL892" s="2"/>
      <c r="AM892" s="2"/>
      <c r="AN892" s="2"/>
      <c r="AO892" s="2"/>
      <c r="AP892" s="2"/>
      <c r="AQ892" s="427"/>
      <c r="AR892" s="754"/>
      <c r="AS892" s="427"/>
      <c r="AT892" s="754"/>
      <c r="AU892" s="427"/>
      <c r="AV892" s="427"/>
      <c r="AW892" s="427"/>
      <c r="AX892" s="427"/>
      <c r="AY892" s="754"/>
      <c r="AZ892" s="754"/>
      <c r="BA892" s="754"/>
      <c r="BB892" s="427"/>
      <c r="BC892" s="427"/>
      <c r="BD892" s="427"/>
      <c r="BE892" s="754"/>
      <c r="BF892" s="427"/>
      <c r="BG892" s="454"/>
      <c r="BH892" s="754"/>
      <c r="BI892" s="427"/>
      <c r="BJ892" s="427"/>
      <c r="BK892" s="427"/>
      <c r="BL892" s="427"/>
      <c r="BM892" s="454"/>
      <c r="BN892" s="427"/>
      <c r="BO892" s="427"/>
      <c r="BP892" s="427"/>
      <c r="BQ892" s="454"/>
      <c r="BR892" s="454"/>
      <c r="BS892" s="460"/>
      <c r="BT892" s="454"/>
      <c r="BU892" s="454"/>
      <c r="BV892" s="457"/>
      <c r="BW892" s="460"/>
      <c r="BX892" s="460"/>
      <c r="BY892" s="460"/>
      <c r="CA892" s="2"/>
      <c r="CB892" s="2"/>
      <c r="CC892" s="2"/>
      <c r="CD892" s="2"/>
      <c r="CE892" s="2"/>
      <c r="CF892" s="2"/>
      <c r="CG892" s="2"/>
      <c r="CH892" s="2"/>
      <c r="CI892" s="2"/>
      <c r="CJ892" s="2"/>
      <c r="CK892" s="2"/>
      <c r="CL892" s="2"/>
      <c r="CM892" s="2"/>
      <c r="CN892" s="2"/>
      <c r="CO892" s="427"/>
      <c r="CP892" s="427"/>
      <c r="CQ892" s="427"/>
      <c r="CR892" s="485"/>
      <c r="CS892" s="485"/>
      <c r="CT892" s="485"/>
      <c r="CU892" s="485"/>
      <c r="CV892" s="482"/>
      <c r="CW892" s="482"/>
      <c r="CX892" s="482"/>
      <c r="CY892" s="482"/>
      <c r="CZ892" s="485"/>
      <c r="DA892" s="485"/>
      <c r="DB892" s="485"/>
      <c r="DC892" s="485"/>
      <c r="DD892" s="485"/>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485"/>
      <c r="EX892" s="457"/>
      <c r="EY892" s="457"/>
      <c r="EZ892" s="457"/>
      <c r="FA892" s="457"/>
      <c r="FB892" s="457"/>
      <c r="FC892" s="457"/>
      <c r="FD892" s="457"/>
      <c r="FE892" s="457"/>
      <c r="FF892" s="457"/>
      <c r="FG892" s="457"/>
      <c r="FH892" s="457"/>
      <c r="FI892" s="457"/>
      <c r="FJ892" s="457"/>
      <c r="FK892" s="457"/>
    </row>
    <row r="893" spans="1:167" s="416" customFormat="1">
      <c r="A893" s="427"/>
      <c r="B893" s="427"/>
      <c r="C893" s="427"/>
      <c r="D893" s="427"/>
      <c r="E893" s="428"/>
      <c r="F893" s="429"/>
      <c r="G893" s="430"/>
      <c r="H893" s="427"/>
      <c r="I893" s="427"/>
      <c r="J893" s="427"/>
      <c r="K893" s="427"/>
      <c r="L893" s="427"/>
      <c r="M893" s="427"/>
      <c r="N893" s="427"/>
      <c r="O893" s="427"/>
      <c r="P893" s="427"/>
      <c r="Q893" s="427"/>
      <c r="R893" s="427"/>
      <c r="S893" s="427"/>
      <c r="T893" s="427"/>
      <c r="U893" s="427"/>
      <c r="V893" s="428"/>
      <c r="W893" s="431"/>
      <c r="X893" s="3"/>
      <c r="Y893" s="429"/>
      <c r="Z893" s="430"/>
      <c r="AA893" s="430"/>
      <c r="AB893" s="430"/>
      <c r="AC893" s="424"/>
      <c r="AD893" s="424"/>
      <c r="AE893" s="424"/>
      <c r="AF893" s="424"/>
      <c r="AG893" s="424"/>
      <c r="AH893" s="424"/>
      <c r="AI893" s="424"/>
      <c r="AJ893" s="2"/>
      <c r="AK893" s="2"/>
      <c r="AL893" s="2"/>
      <c r="AM893" s="2"/>
      <c r="AN893" s="2"/>
      <c r="AO893" s="2"/>
      <c r="AP893" s="2"/>
      <c r="AQ893" s="427"/>
      <c r="AR893" s="754"/>
      <c r="AS893" s="427"/>
      <c r="AT893" s="754"/>
      <c r="AU893" s="427"/>
      <c r="AV893" s="427"/>
      <c r="AW893" s="427"/>
      <c r="AX893" s="427"/>
      <c r="AY893" s="754"/>
      <c r="AZ893" s="754"/>
      <c r="BA893" s="754"/>
      <c r="BB893" s="427"/>
      <c r="BC893" s="427"/>
      <c r="BD893" s="427"/>
      <c r="BE893" s="754"/>
      <c r="BF893" s="427"/>
      <c r="BG893" s="454"/>
      <c r="BH893" s="754"/>
      <c r="BI893" s="427"/>
      <c r="BJ893" s="427"/>
      <c r="BK893" s="427"/>
      <c r="BL893" s="427"/>
      <c r="BM893" s="454"/>
      <c r="BN893" s="427"/>
      <c r="BO893" s="427"/>
      <c r="BP893" s="427"/>
      <c r="BQ893" s="454"/>
      <c r="BR893" s="454"/>
      <c r="BS893" s="460"/>
      <c r="BT893" s="454"/>
      <c r="BU893" s="454"/>
      <c r="BV893" s="457"/>
      <c r="BW893" s="460"/>
      <c r="BX893" s="460"/>
      <c r="BY893" s="460"/>
      <c r="CA893" s="2"/>
      <c r="CB893" s="2"/>
      <c r="CC893" s="2"/>
      <c r="CD893" s="2"/>
      <c r="CE893" s="2"/>
      <c r="CF893" s="2"/>
      <c r="CG893" s="2"/>
      <c r="CH893" s="2"/>
      <c r="CI893" s="2"/>
      <c r="CJ893" s="2"/>
      <c r="CK893" s="2"/>
      <c r="CL893" s="2"/>
      <c r="CM893" s="2"/>
      <c r="CN893" s="2"/>
      <c r="CO893" s="427"/>
      <c r="CP893" s="427"/>
      <c r="CQ893" s="427"/>
      <c r="CR893" s="485"/>
      <c r="CS893" s="485"/>
      <c r="CT893" s="485"/>
      <c r="CU893" s="485"/>
      <c r="CV893" s="482"/>
      <c r="CW893" s="482"/>
      <c r="CX893" s="482"/>
      <c r="CY893" s="482"/>
      <c r="CZ893" s="485"/>
      <c r="DA893" s="485"/>
      <c r="DB893" s="485"/>
      <c r="DC893" s="485"/>
      <c r="DD893" s="485"/>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485"/>
      <c r="EX893" s="457"/>
      <c r="EY893" s="457"/>
      <c r="EZ893" s="457"/>
      <c r="FA893" s="457"/>
      <c r="FB893" s="457"/>
      <c r="FC893" s="457"/>
      <c r="FD893" s="457"/>
      <c r="FE893" s="457"/>
      <c r="FF893" s="457"/>
      <c r="FG893" s="457"/>
      <c r="FH893" s="457"/>
      <c r="FI893" s="457"/>
      <c r="FJ893" s="457"/>
      <c r="FK893" s="457"/>
    </row>
    <row r="894" spans="1:167" s="416" customFormat="1">
      <c r="A894" s="427"/>
      <c r="B894" s="427"/>
      <c r="C894" s="427"/>
      <c r="D894" s="427"/>
      <c r="E894" s="428"/>
      <c r="F894" s="429"/>
      <c r="G894" s="430"/>
      <c r="H894" s="427"/>
      <c r="I894" s="427"/>
      <c r="J894" s="427"/>
      <c r="K894" s="427"/>
      <c r="L894" s="427"/>
      <c r="M894" s="427"/>
      <c r="N894" s="427"/>
      <c r="O894" s="427"/>
      <c r="P894" s="427"/>
      <c r="Q894" s="427"/>
      <c r="R894" s="427"/>
      <c r="S894" s="427"/>
      <c r="T894" s="427"/>
      <c r="U894" s="427"/>
      <c r="V894" s="428"/>
      <c r="W894" s="431"/>
      <c r="X894" s="3"/>
      <c r="Y894" s="429"/>
      <c r="Z894" s="430"/>
      <c r="AA894" s="430"/>
      <c r="AB894" s="430"/>
      <c r="AC894" s="424"/>
      <c r="AD894" s="424"/>
      <c r="AE894" s="424"/>
      <c r="AF894" s="424"/>
      <c r="AG894" s="424"/>
      <c r="AH894" s="424"/>
      <c r="AI894" s="424"/>
      <c r="AJ894" s="2"/>
      <c r="AK894" s="2"/>
      <c r="AL894" s="2"/>
      <c r="AM894" s="2"/>
      <c r="AN894" s="2"/>
      <c r="AO894" s="2"/>
      <c r="AP894" s="2"/>
      <c r="AQ894" s="427"/>
      <c r="AR894" s="754"/>
      <c r="AS894" s="427"/>
      <c r="AT894" s="754"/>
      <c r="AU894" s="427"/>
      <c r="AV894" s="427"/>
      <c r="AW894" s="427"/>
      <c r="AX894" s="427"/>
      <c r="AY894" s="754"/>
      <c r="AZ894" s="754"/>
      <c r="BA894" s="754"/>
      <c r="BB894" s="427"/>
      <c r="BC894" s="427"/>
      <c r="BD894" s="427"/>
      <c r="BE894" s="754"/>
      <c r="BF894" s="427"/>
      <c r="BG894" s="454"/>
      <c r="BH894" s="754"/>
      <c r="BI894" s="427"/>
      <c r="BJ894" s="427"/>
      <c r="BK894" s="427"/>
      <c r="BL894" s="427"/>
      <c r="BM894" s="454"/>
      <c r="BN894" s="427"/>
      <c r="BO894" s="427"/>
      <c r="BP894" s="427"/>
      <c r="BQ894" s="454"/>
      <c r="BR894" s="454"/>
      <c r="BS894" s="460"/>
      <c r="BT894" s="454"/>
      <c r="BU894" s="454"/>
      <c r="BV894" s="457"/>
      <c r="BW894" s="460"/>
      <c r="BX894" s="460"/>
      <c r="BY894" s="460"/>
      <c r="CA894" s="2"/>
      <c r="CB894" s="2"/>
      <c r="CC894" s="2"/>
      <c r="CD894" s="2"/>
      <c r="CE894" s="2"/>
      <c r="CF894" s="2"/>
      <c r="CG894" s="2"/>
      <c r="CH894" s="2"/>
      <c r="CI894" s="2"/>
      <c r="CJ894" s="2"/>
      <c r="CK894" s="2"/>
      <c r="CL894" s="2"/>
      <c r="CM894" s="2"/>
      <c r="CN894" s="2"/>
      <c r="CO894" s="427"/>
      <c r="CP894" s="427"/>
      <c r="CQ894" s="427"/>
      <c r="CR894" s="485"/>
      <c r="CS894" s="485"/>
      <c r="CT894" s="485"/>
      <c r="CU894" s="485"/>
      <c r="CV894" s="482"/>
      <c r="CW894" s="482"/>
      <c r="CX894" s="482"/>
      <c r="CY894" s="482"/>
      <c r="CZ894" s="485"/>
      <c r="DA894" s="485"/>
      <c r="DB894" s="485"/>
      <c r="DC894" s="485"/>
      <c r="DD894" s="485"/>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485"/>
      <c r="EX894" s="457"/>
      <c r="EY894" s="457"/>
      <c r="EZ894" s="457"/>
      <c r="FA894" s="457"/>
      <c r="FB894" s="457"/>
      <c r="FC894" s="457"/>
      <c r="FD894" s="457"/>
      <c r="FE894" s="457"/>
      <c r="FF894" s="457"/>
      <c r="FG894" s="457"/>
      <c r="FH894" s="457"/>
      <c r="FI894" s="457"/>
      <c r="FJ894" s="457"/>
      <c r="FK894" s="457"/>
    </row>
    <row r="895" spans="1:167" s="416" customFormat="1">
      <c r="A895" s="427"/>
      <c r="B895" s="427"/>
      <c r="C895" s="427"/>
      <c r="D895" s="427"/>
      <c r="E895" s="428"/>
      <c r="F895" s="429"/>
      <c r="G895" s="430"/>
      <c r="H895" s="427"/>
      <c r="I895" s="427"/>
      <c r="J895" s="427"/>
      <c r="K895" s="427"/>
      <c r="L895" s="427"/>
      <c r="M895" s="427"/>
      <c r="N895" s="427"/>
      <c r="O895" s="427"/>
      <c r="P895" s="427"/>
      <c r="Q895" s="427"/>
      <c r="R895" s="427"/>
      <c r="S895" s="427"/>
      <c r="T895" s="427"/>
      <c r="U895" s="427"/>
      <c r="V895" s="428"/>
      <c r="W895" s="431"/>
      <c r="X895" s="3"/>
      <c r="Y895" s="429"/>
      <c r="Z895" s="430"/>
      <c r="AA895" s="430"/>
      <c r="AB895" s="430"/>
      <c r="AC895" s="424"/>
      <c r="AD895" s="424"/>
      <c r="AE895" s="424"/>
      <c r="AF895" s="424"/>
      <c r="AG895" s="424"/>
      <c r="AH895" s="424"/>
      <c r="AI895" s="424"/>
      <c r="AJ895" s="2"/>
      <c r="AK895" s="2"/>
      <c r="AL895" s="2"/>
      <c r="AM895" s="2"/>
      <c r="AN895" s="2"/>
      <c r="AO895" s="2"/>
      <c r="AP895" s="2"/>
      <c r="AQ895" s="427"/>
      <c r="AR895" s="754"/>
      <c r="AS895" s="427"/>
      <c r="AT895" s="754"/>
      <c r="AU895" s="427"/>
      <c r="AV895" s="427"/>
      <c r="AW895" s="427"/>
      <c r="AX895" s="427"/>
      <c r="AY895" s="754"/>
      <c r="AZ895" s="754"/>
      <c r="BA895" s="754"/>
      <c r="BB895" s="427"/>
      <c r="BC895" s="427"/>
      <c r="BD895" s="427"/>
      <c r="BE895" s="754"/>
      <c r="BF895" s="427"/>
      <c r="BG895" s="454"/>
      <c r="BH895" s="754"/>
      <c r="BI895" s="427"/>
      <c r="BJ895" s="427"/>
      <c r="BK895" s="427"/>
      <c r="BL895" s="427"/>
      <c r="BM895" s="454"/>
      <c r="BN895" s="427"/>
      <c r="BO895" s="427"/>
      <c r="BP895" s="427"/>
      <c r="BQ895" s="454"/>
      <c r="BR895" s="454"/>
      <c r="BS895" s="460"/>
      <c r="BT895" s="454"/>
      <c r="BU895" s="454"/>
      <c r="BV895" s="457"/>
      <c r="BW895" s="460"/>
      <c r="BX895" s="460"/>
      <c r="BY895" s="460"/>
      <c r="CA895" s="2"/>
      <c r="CB895" s="2"/>
      <c r="CC895" s="2"/>
      <c r="CD895" s="2"/>
      <c r="CE895" s="2"/>
      <c r="CF895" s="2"/>
      <c r="CG895" s="2"/>
      <c r="CH895" s="2"/>
      <c r="CI895" s="2"/>
      <c r="CJ895" s="2"/>
      <c r="CK895" s="2"/>
      <c r="CL895" s="2"/>
      <c r="CM895" s="2"/>
      <c r="CN895" s="2"/>
      <c r="CO895" s="427"/>
      <c r="CP895" s="427"/>
      <c r="CQ895" s="427"/>
      <c r="CR895" s="485"/>
      <c r="CS895" s="485"/>
      <c r="CT895" s="485"/>
      <c r="CU895" s="485"/>
      <c r="CV895" s="482"/>
      <c r="CW895" s="482"/>
      <c r="CX895" s="482"/>
      <c r="CY895" s="482"/>
      <c r="CZ895" s="485"/>
      <c r="DA895" s="485"/>
      <c r="DB895" s="485"/>
      <c r="DC895" s="485"/>
      <c r="DD895" s="485"/>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485"/>
      <c r="EX895" s="457"/>
      <c r="EY895" s="457"/>
      <c r="EZ895" s="457"/>
      <c r="FA895" s="457"/>
      <c r="FB895" s="457"/>
      <c r="FC895" s="457"/>
      <c r="FD895" s="457"/>
      <c r="FE895" s="457"/>
      <c r="FF895" s="457"/>
      <c r="FG895" s="457"/>
      <c r="FH895" s="457"/>
      <c r="FI895" s="457"/>
      <c r="FJ895" s="457"/>
      <c r="FK895" s="457"/>
    </row>
  </sheetData>
  <mergeCells count="2">
    <mergeCell ref="B5:C5"/>
    <mergeCell ref="B6:C6"/>
  </mergeCells>
  <phoneticPr fontId="3" type="noConversion"/>
  <pageMargins left="0.75" right="0.75" top="1" bottom="1" header="0.5" footer="0.5"/>
  <pageSetup paperSize="3" fitToWidth="13" orientation="landscape" r:id="rId1"/>
  <headerFooter alignWithMargins="0"/>
  <colBreaks count="3" manualBreakCount="3">
    <brk id="49" max="38" man="1"/>
    <brk id="56" max="38" man="1"/>
    <brk id="65" max="38" man="1"/>
  </colBreaks>
  <legacyDrawing r:id="rId2"/>
</worksheet>
</file>

<file path=xl/worksheets/sheet7.xml><?xml version="1.0" encoding="utf-8"?>
<worksheet xmlns="http://schemas.openxmlformats.org/spreadsheetml/2006/main" xmlns:r="http://schemas.openxmlformats.org/officeDocument/2006/relationships">
  <sheetPr codeName="Sheet11"/>
  <dimension ref="A1:HC885"/>
  <sheetViews>
    <sheetView zoomScale="80" zoomScaleNormal="80" workbookViewId="0">
      <pane xSplit="2" ySplit="7" topLeftCell="K351" activePane="bottomRight" state="frozen"/>
      <selection activeCell="C24" sqref="C24"/>
      <selection pane="topRight" activeCell="C24" sqref="C24"/>
      <selection pane="bottomLeft" activeCell="C24" sqref="C24"/>
      <selection pane="bottomRight" activeCell="N381" sqref="N381"/>
    </sheetView>
  </sheetViews>
  <sheetFormatPr defaultColWidth="9.140625" defaultRowHeight="12.75"/>
  <cols>
    <col min="1" max="1" width="10.42578125" style="710" customWidth="1"/>
    <col min="2" max="3" width="11.7109375" style="710" customWidth="1"/>
    <col min="4" max="6" width="9.140625" style="710"/>
    <col min="7" max="7" width="10" style="710" customWidth="1"/>
    <col min="8" max="8" width="11.140625" style="710" customWidth="1"/>
    <col min="9" max="9" width="10.5703125" style="710" customWidth="1"/>
    <col min="10" max="10" width="10.7109375" style="710" customWidth="1"/>
    <col min="11" max="11" width="13.28515625" style="710" customWidth="1"/>
    <col min="12" max="12" width="11" style="710" customWidth="1"/>
    <col min="13" max="13" width="9.5703125" style="710" bestFit="1" customWidth="1"/>
    <col min="14" max="14" width="9.28515625" style="710" bestFit="1" customWidth="1"/>
    <col min="15" max="15" width="11.7109375" style="710" customWidth="1"/>
    <col min="16" max="16" width="10.42578125" style="710" customWidth="1"/>
    <col min="17" max="17" width="10.28515625" style="710" customWidth="1"/>
    <col min="18" max="18" width="9.28515625" style="710" bestFit="1" customWidth="1"/>
    <col min="19" max="23" width="11.7109375" style="710" customWidth="1"/>
    <col min="24" max="25" width="9.28515625" style="710" bestFit="1" customWidth="1"/>
    <col min="26" max="26" width="11.140625" style="710" customWidth="1"/>
    <col min="27" max="27" width="12.28515625" style="710" customWidth="1"/>
    <col min="28" max="28" width="9.5703125" style="710" bestFit="1" customWidth="1"/>
    <col min="29" max="29" width="10.140625" style="710" bestFit="1" customWidth="1"/>
    <col min="30" max="30" width="9.28515625" style="710" bestFit="1" customWidth="1"/>
    <col min="31" max="31" width="9.5703125" style="710" bestFit="1" customWidth="1"/>
    <col min="32" max="32" width="11" style="710" customWidth="1"/>
    <col min="33" max="33" width="10.7109375" style="710" customWidth="1"/>
    <col min="34" max="34" width="12" style="710" customWidth="1"/>
    <col min="35" max="35" width="9.85546875" style="710" customWidth="1"/>
    <col min="36" max="36" width="12.140625" style="710" customWidth="1"/>
    <col min="37" max="37" width="10.85546875" style="710" customWidth="1"/>
    <col min="38" max="38" width="12.7109375" style="710" customWidth="1"/>
    <col min="39" max="43" width="9.140625" style="710"/>
    <col min="44" max="44" width="9.28515625" style="710" bestFit="1" customWidth="1"/>
    <col min="45" max="45" width="9.140625" style="710"/>
    <col min="46" max="57" width="9.28515625" style="710" bestFit="1" customWidth="1"/>
    <col min="58" max="62" width="9.140625" style="710"/>
    <col min="63" max="63" width="9.28515625" style="710" bestFit="1" customWidth="1"/>
    <col min="64" max="64" width="9.140625" style="710"/>
    <col min="65" max="71" width="9.28515625" style="710" bestFit="1" customWidth="1"/>
    <col min="72" max="72" width="10" style="710" customWidth="1"/>
    <col min="73" max="75" width="9.28515625" style="710" bestFit="1" customWidth="1"/>
    <col min="76" max="76" width="10.28515625" style="710" customWidth="1"/>
    <col min="77" max="78" width="9.28515625" style="710" bestFit="1" customWidth="1"/>
    <col min="79" max="83" width="9.140625" style="710"/>
    <col min="84" max="84" width="9.28515625" style="710" bestFit="1" customWidth="1"/>
    <col min="85" max="85" width="9.140625" style="710"/>
    <col min="86" max="86" width="9.28515625" style="710" bestFit="1" customWidth="1"/>
    <col min="87" max="87" width="10.28515625" style="710" customWidth="1"/>
    <col min="88" max="88" width="9.85546875" style="710" customWidth="1"/>
    <col min="89" max="89" width="10" style="710" customWidth="1"/>
    <col min="90" max="90" width="10.42578125" style="710" customWidth="1"/>
    <col min="91" max="91" width="10.28515625" style="710" customWidth="1"/>
    <col min="92" max="92" width="11.140625" style="710" customWidth="1"/>
    <col min="93" max="93" width="10.140625" style="710" customWidth="1"/>
    <col min="94" max="94" width="10.42578125" style="710" customWidth="1"/>
    <col min="95" max="95" width="9.85546875" style="710" hidden="1" customWidth="1"/>
    <col min="96" max="96" width="12.7109375" style="710" hidden="1" customWidth="1"/>
    <col min="97" max="97" width="12" style="710" hidden="1" customWidth="1"/>
    <col min="98" max="99" width="9.7109375" style="710" hidden="1" customWidth="1"/>
    <col min="100" max="100" width="9.42578125" style="710" customWidth="1"/>
    <col min="101" max="101" width="9.140625" style="710"/>
    <col min="102" max="102" width="10.5703125" style="710" customWidth="1"/>
    <col min="103" max="103" width="10.140625" style="710" customWidth="1"/>
    <col min="104" max="104" width="9.85546875" style="710" customWidth="1"/>
    <col min="105" max="105" width="10.28515625" style="710" customWidth="1"/>
    <col min="106" max="107" width="10.5703125" style="710" customWidth="1"/>
    <col min="108" max="109" width="9.28515625" style="710" bestFit="1" customWidth="1"/>
    <col min="110" max="110" width="9.5703125" style="731" bestFit="1" customWidth="1"/>
    <col min="111" max="111" width="10.140625" style="731" bestFit="1" customWidth="1"/>
    <col min="112" max="112" width="9.5703125" style="731" bestFit="1" customWidth="1"/>
    <col min="113" max="113" width="10.42578125" style="710" customWidth="1"/>
    <col min="114" max="114" width="10.85546875" style="710" customWidth="1"/>
    <col min="115" max="115" width="10.42578125" style="710" customWidth="1"/>
    <col min="116" max="118" width="10.85546875" style="710" customWidth="1"/>
    <col min="119" max="119" width="9.28515625" style="710" bestFit="1" customWidth="1"/>
    <col min="120" max="120" width="9.5703125" style="710" bestFit="1" customWidth="1"/>
    <col min="121" max="121" width="9.140625" style="710"/>
    <col min="122" max="122" width="9.28515625" style="710" bestFit="1" customWidth="1"/>
    <col min="123" max="123" width="9.140625" style="710"/>
    <col min="124" max="124" width="11.7109375" style="710" bestFit="1" customWidth="1"/>
    <col min="125" max="125" width="9.140625" style="710"/>
    <col min="126" max="126" width="10.42578125" style="710" customWidth="1"/>
    <col min="127" max="128" width="9.140625" style="710"/>
    <col min="129" max="129" width="12.7109375" style="710" customWidth="1"/>
    <col min="130" max="130" width="11.7109375" style="710" customWidth="1"/>
    <col min="131" max="132" width="9.140625" style="710"/>
    <col min="133" max="133" width="10.28515625" style="710" bestFit="1" customWidth="1"/>
    <col min="134" max="139" width="9.28515625" style="710" bestFit="1" customWidth="1"/>
    <col min="140" max="149" width="9.140625" style="710"/>
    <col min="150" max="152" width="9.28515625" style="790" bestFit="1" customWidth="1"/>
    <col min="153" max="154" width="9.140625" style="790"/>
    <col min="155" max="155" width="9.28515625" style="790" bestFit="1" customWidth="1"/>
    <col min="156" max="156" width="9.5703125" style="790" bestFit="1" customWidth="1"/>
    <col min="157" max="160" width="9.140625" style="710"/>
    <col min="161" max="161" width="9" style="710" customWidth="1"/>
    <col min="162" max="163" width="9.28515625" style="710" bestFit="1" customWidth="1"/>
    <col min="164" max="174" width="9.140625" style="710"/>
    <col min="175" max="175" width="10.28515625" style="710" bestFit="1" customWidth="1"/>
    <col min="176" max="176" width="9.5703125" style="710" bestFit="1" customWidth="1"/>
    <col min="177" max="177" width="9.28515625" style="710" bestFit="1" customWidth="1"/>
    <col min="178" max="178" width="9.5703125" style="710" bestFit="1" customWidth="1"/>
    <col min="179" max="179" width="9.28515625" style="710" bestFit="1" customWidth="1"/>
    <col min="180" max="180" width="9.5703125" style="710" bestFit="1" customWidth="1"/>
    <col min="181" max="181" width="9.140625" style="726"/>
    <col min="182" max="182" width="9.28515625" style="710" bestFit="1" customWidth="1"/>
    <col min="183" max="183" width="10" style="710" customWidth="1"/>
    <col min="184" max="189" width="9.28515625" style="710" bestFit="1" customWidth="1"/>
    <col min="190" max="190" width="11.28515625" style="710" customWidth="1"/>
    <col min="191" max="196" width="9.28515625" style="710" bestFit="1" customWidth="1"/>
    <col min="197" max="197" width="9.140625" style="710"/>
    <col min="198" max="203" width="9.28515625" style="710" bestFit="1" customWidth="1"/>
    <col min="204" max="204" width="9.140625" style="710"/>
    <col min="205" max="210" width="9.28515625" style="710" bestFit="1" customWidth="1"/>
    <col min="211" max="16384" width="9.140625" style="710"/>
  </cols>
  <sheetData>
    <row r="1" spans="1:211" s="675" customFormat="1">
      <c r="A1" s="675">
        <v>2011</v>
      </c>
      <c r="AU1" s="675" t="s">
        <v>267</v>
      </c>
      <c r="AV1" s="675" t="s">
        <v>267</v>
      </c>
      <c r="AW1" s="675" t="s">
        <v>267</v>
      </c>
      <c r="AX1" s="675" t="s">
        <v>267</v>
      </c>
      <c r="AY1" s="675" t="s">
        <v>267</v>
      </c>
      <c r="AZ1" s="675" t="s">
        <v>267</v>
      </c>
      <c r="BA1" s="675" t="s">
        <v>267</v>
      </c>
      <c r="BB1" s="675" t="s">
        <v>267</v>
      </c>
      <c r="BC1" s="675" t="s">
        <v>267</v>
      </c>
      <c r="BD1" s="675" t="s">
        <v>267</v>
      </c>
      <c r="BE1" s="675" t="s">
        <v>267</v>
      </c>
      <c r="BF1" s="675" t="s">
        <v>267</v>
      </c>
      <c r="BG1" s="675" t="s">
        <v>267</v>
      </c>
      <c r="BH1" s="675" t="s">
        <v>267</v>
      </c>
      <c r="BK1" s="675" t="s">
        <v>267</v>
      </c>
      <c r="BM1" s="675" t="s">
        <v>267</v>
      </c>
      <c r="BN1" s="675" t="s">
        <v>268</v>
      </c>
      <c r="BO1" s="675" t="s">
        <v>268</v>
      </c>
      <c r="BP1" s="675" t="s">
        <v>268</v>
      </c>
      <c r="BQ1" s="675" t="s">
        <v>268</v>
      </c>
      <c r="BR1" s="675" t="s">
        <v>268</v>
      </c>
      <c r="BS1" s="675" t="s">
        <v>268</v>
      </c>
      <c r="BT1" s="675" t="s">
        <v>268</v>
      </c>
      <c r="BU1" s="675" t="s">
        <v>268</v>
      </c>
      <c r="BV1" s="675" t="s">
        <v>268</v>
      </c>
      <c r="BW1" s="675" t="s">
        <v>268</v>
      </c>
      <c r="BX1" s="675" t="s">
        <v>268</v>
      </c>
      <c r="BY1" s="675" t="s">
        <v>268</v>
      </c>
      <c r="BZ1" s="675" t="s">
        <v>268</v>
      </c>
      <c r="CA1" s="675" t="s">
        <v>268</v>
      </c>
      <c r="CB1" s="675" t="s">
        <v>268</v>
      </c>
      <c r="CC1" s="675" t="s">
        <v>268</v>
      </c>
      <c r="CF1" s="675" t="s">
        <v>268</v>
      </c>
      <c r="CH1" s="675" t="s">
        <v>268</v>
      </c>
      <c r="CI1" s="675" t="s">
        <v>269</v>
      </c>
      <c r="CJ1" s="675" t="s">
        <v>269</v>
      </c>
      <c r="CK1" s="675" t="s">
        <v>269</v>
      </c>
      <c r="CL1" s="675" t="s">
        <v>269</v>
      </c>
      <c r="CM1" s="675" t="s">
        <v>269</v>
      </c>
      <c r="CN1" s="675" t="s">
        <v>269</v>
      </c>
      <c r="CO1" s="675" t="s">
        <v>269</v>
      </c>
      <c r="CP1" s="675" t="s">
        <v>269</v>
      </c>
      <c r="CQ1" s="675" t="s">
        <v>269</v>
      </c>
      <c r="CR1" s="675" t="s">
        <v>269</v>
      </c>
      <c r="CS1" s="675" t="s">
        <v>269</v>
      </c>
      <c r="CT1" s="675" t="s">
        <v>269</v>
      </c>
      <c r="CU1" s="675" t="s">
        <v>269</v>
      </c>
      <c r="CV1" s="675" t="s">
        <v>269</v>
      </c>
      <c r="CX1" s="675" t="s">
        <v>269</v>
      </c>
      <c r="CY1" s="675" t="s">
        <v>269</v>
      </c>
      <c r="CZ1" s="675" t="s">
        <v>269</v>
      </c>
      <c r="DA1" s="675" t="s">
        <v>269</v>
      </c>
      <c r="DF1" s="696"/>
      <c r="DG1" s="696"/>
      <c r="DH1" s="696"/>
      <c r="DX1" s="675" t="s">
        <v>167</v>
      </c>
      <c r="DY1" s="675" t="s">
        <v>167</v>
      </c>
      <c r="DZ1" s="675" t="s">
        <v>167</v>
      </c>
      <c r="ED1" s="675" t="s">
        <v>726</v>
      </c>
      <c r="EE1" s="675" t="s">
        <v>726</v>
      </c>
      <c r="EF1" s="675" t="s">
        <v>167</v>
      </c>
      <c r="EG1" s="675" t="s">
        <v>167</v>
      </c>
      <c r="EH1" s="675" t="s">
        <v>167</v>
      </c>
      <c r="EI1" s="675" t="s">
        <v>167</v>
      </c>
      <c r="ET1" s="790"/>
      <c r="EU1" s="790"/>
      <c r="EV1" s="790"/>
      <c r="EW1" s="790"/>
      <c r="EX1" s="790"/>
      <c r="EY1" s="790"/>
      <c r="EZ1" s="790"/>
      <c r="FE1" s="675" t="s">
        <v>167</v>
      </c>
      <c r="FF1" s="675" t="s">
        <v>167</v>
      </c>
      <c r="FG1" s="675" t="s">
        <v>167</v>
      </c>
      <c r="FL1" s="675" t="s">
        <v>727</v>
      </c>
      <c r="FS1" s="675" t="s">
        <v>727</v>
      </c>
      <c r="FT1" s="675" t="s">
        <v>727</v>
      </c>
      <c r="FU1" s="675" t="s">
        <v>727</v>
      </c>
      <c r="FV1" s="675" t="s">
        <v>727</v>
      </c>
      <c r="FW1" s="675" t="s">
        <v>727</v>
      </c>
      <c r="FX1" s="675" t="s">
        <v>727</v>
      </c>
      <c r="FZ1" s="675" t="s">
        <v>725</v>
      </c>
    </row>
    <row r="2" spans="1:211" s="675" customFormat="1">
      <c r="B2" s="675">
        <v>1</v>
      </c>
      <c r="C2" s="675">
        <v>2</v>
      </c>
      <c r="D2" s="675">
        <v>3</v>
      </c>
      <c r="E2" s="675">
        <v>4</v>
      </c>
      <c r="F2" s="675">
        <v>5</v>
      </c>
      <c r="G2" s="675">
        <v>6</v>
      </c>
      <c r="H2" s="675">
        <v>7</v>
      </c>
      <c r="I2" s="675">
        <v>8</v>
      </c>
      <c r="J2" s="675">
        <v>9</v>
      </c>
      <c r="K2" s="675">
        <v>10</v>
      </c>
      <c r="L2" s="675">
        <v>11</v>
      </c>
      <c r="M2" s="675">
        <v>12</v>
      </c>
      <c r="N2" s="675">
        <v>13</v>
      </c>
      <c r="O2" s="675">
        <v>14</v>
      </c>
      <c r="P2" s="675">
        <v>15</v>
      </c>
      <c r="Q2" s="675">
        <v>16</v>
      </c>
      <c r="R2" s="675">
        <v>17</v>
      </c>
      <c r="S2" s="675">
        <v>18</v>
      </c>
      <c r="T2" s="675">
        <v>19</v>
      </c>
      <c r="U2" s="675">
        <v>20</v>
      </c>
      <c r="V2" s="675">
        <v>21</v>
      </c>
      <c r="W2" s="675">
        <v>22</v>
      </c>
      <c r="X2" s="675">
        <v>23</v>
      </c>
      <c r="Y2" s="675">
        <v>24</v>
      </c>
      <c r="Z2" s="675">
        <v>25</v>
      </c>
      <c r="AA2" s="675">
        <v>26</v>
      </c>
      <c r="AB2" s="675">
        <v>27</v>
      </c>
      <c r="AC2" s="675">
        <v>28</v>
      </c>
      <c r="AD2" s="675">
        <v>29</v>
      </c>
      <c r="AE2" s="675">
        <v>30</v>
      </c>
      <c r="AF2" s="675">
        <v>31</v>
      </c>
      <c r="AG2" s="675">
        <v>32</v>
      </c>
      <c r="AH2" s="675">
        <v>33</v>
      </c>
      <c r="AI2" s="675">
        <v>34</v>
      </c>
      <c r="AJ2" s="675">
        <v>35</v>
      </c>
      <c r="AK2" s="675">
        <v>36</v>
      </c>
      <c r="AL2" s="675">
        <v>37</v>
      </c>
      <c r="AM2" s="675">
        <v>38</v>
      </c>
      <c r="AN2" s="675">
        <v>39</v>
      </c>
      <c r="AO2" s="675">
        <v>40</v>
      </c>
      <c r="AP2" s="675">
        <v>41</v>
      </c>
      <c r="AQ2" s="675">
        <v>42</v>
      </c>
      <c r="AR2" s="675">
        <v>43</v>
      </c>
      <c r="AS2" s="675">
        <v>44</v>
      </c>
      <c r="AT2" s="675">
        <v>45</v>
      </c>
      <c r="AU2" s="675">
        <v>46</v>
      </c>
      <c r="AV2" s="675">
        <v>47</v>
      </c>
      <c r="AW2" s="675">
        <v>48</v>
      </c>
      <c r="AX2" s="675">
        <v>49</v>
      </c>
      <c r="AY2" s="675">
        <v>50</v>
      </c>
      <c r="AZ2" s="675">
        <v>51</v>
      </c>
      <c r="BA2" s="675">
        <v>52</v>
      </c>
      <c r="BB2" s="675">
        <v>53</v>
      </c>
      <c r="BC2" s="675">
        <v>54</v>
      </c>
      <c r="BD2" s="675">
        <v>55</v>
      </c>
      <c r="BE2" s="675">
        <v>56</v>
      </c>
      <c r="BF2" s="675">
        <v>57</v>
      </c>
      <c r="BG2" s="675">
        <v>58</v>
      </c>
      <c r="BH2" s="675">
        <v>59</v>
      </c>
      <c r="BI2" s="675">
        <v>60</v>
      </c>
      <c r="BJ2" s="675">
        <v>61</v>
      </c>
      <c r="BK2" s="675">
        <v>62</v>
      </c>
      <c r="BL2" s="675">
        <v>63</v>
      </c>
      <c r="BM2" s="675">
        <v>64</v>
      </c>
      <c r="BN2" s="675">
        <v>65</v>
      </c>
      <c r="BO2" s="675">
        <v>66</v>
      </c>
      <c r="BP2" s="675">
        <v>67</v>
      </c>
      <c r="BQ2" s="675">
        <v>68</v>
      </c>
      <c r="BR2" s="675">
        <v>69</v>
      </c>
      <c r="BS2" s="675">
        <v>70</v>
      </c>
      <c r="BT2" s="675">
        <v>71</v>
      </c>
      <c r="BU2" s="675">
        <v>72</v>
      </c>
      <c r="BV2" s="675">
        <v>73</v>
      </c>
      <c r="BW2" s="675">
        <v>74</v>
      </c>
      <c r="BX2" s="675">
        <v>75</v>
      </c>
      <c r="BY2" s="675">
        <v>76</v>
      </c>
      <c r="BZ2" s="675">
        <v>77</v>
      </c>
      <c r="CA2" s="675">
        <v>78</v>
      </c>
      <c r="CB2" s="675">
        <v>79</v>
      </c>
      <c r="CC2" s="675">
        <v>80</v>
      </c>
      <c r="CD2" s="675">
        <v>81</v>
      </c>
      <c r="CE2" s="675">
        <v>82</v>
      </c>
      <c r="CF2" s="675">
        <v>83</v>
      </c>
      <c r="CG2" s="675">
        <v>84</v>
      </c>
      <c r="CH2" s="675">
        <v>85</v>
      </c>
      <c r="CI2" s="675">
        <v>86</v>
      </c>
      <c r="CJ2" s="675">
        <v>87</v>
      </c>
      <c r="CK2" s="675">
        <v>88</v>
      </c>
      <c r="CL2" s="675">
        <v>89</v>
      </c>
      <c r="CM2" s="675">
        <v>90</v>
      </c>
      <c r="CN2" s="675">
        <v>91</v>
      </c>
      <c r="CO2" s="675">
        <v>92</v>
      </c>
      <c r="CP2" s="675">
        <v>93</v>
      </c>
      <c r="CQ2" s="675">
        <v>94</v>
      </c>
      <c r="CR2" s="675">
        <v>95</v>
      </c>
      <c r="CS2" s="675">
        <v>96</v>
      </c>
      <c r="CT2" s="675">
        <v>97</v>
      </c>
      <c r="CU2" s="675">
        <v>98</v>
      </c>
      <c r="CV2" s="675">
        <v>99</v>
      </c>
      <c r="CW2" s="675">
        <v>100</v>
      </c>
      <c r="CX2" s="675">
        <v>101</v>
      </c>
      <c r="CY2" s="675">
        <v>102</v>
      </c>
      <c r="CZ2" s="675">
        <v>103</v>
      </c>
      <c r="DA2" s="675">
        <v>104</v>
      </c>
      <c r="DB2" s="675">
        <v>105</v>
      </c>
      <c r="DC2" s="675">
        <v>106</v>
      </c>
      <c r="DD2" s="675">
        <v>107</v>
      </c>
      <c r="DE2" s="675">
        <v>108</v>
      </c>
      <c r="DF2" s="675">
        <v>109</v>
      </c>
      <c r="DG2" s="675">
        <v>110</v>
      </c>
      <c r="DH2" s="675">
        <v>111</v>
      </c>
      <c r="DI2" s="675">
        <v>112</v>
      </c>
      <c r="DJ2" s="675">
        <v>113</v>
      </c>
      <c r="DK2" s="675">
        <v>114</v>
      </c>
      <c r="DL2" s="675">
        <v>115</v>
      </c>
      <c r="DM2" s="675">
        <v>116</v>
      </c>
      <c r="DN2" s="675">
        <v>117</v>
      </c>
      <c r="DO2" s="675">
        <v>118</v>
      </c>
      <c r="DP2" s="675">
        <v>119</v>
      </c>
      <c r="DQ2" s="675">
        <v>120</v>
      </c>
      <c r="DR2" s="675">
        <v>121</v>
      </c>
      <c r="DS2" s="675">
        <v>122</v>
      </c>
      <c r="DT2" s="675">
        <v>123</v>
      </c>
      <c r="DU2" s="675">
        <v>124</v>
      </c>
      <c r="DV2" s="675">
        <v>125</v>
      </c>
      <c r="DW2" s="675">
        <v>126</v>
      </c>
      <c r="DX2" s="675">
        <v>127</v>
      </c>
      <c r="DY2" s="675">
        <v>128</v>
      </c>
      <c r="DZ2" s="675">
        <v>129</v>
      </c>
      <c r="EA2" s="675">
        <v>130</v>
      </c>
      <c r="EB2" s="675">
        <v>131</v>
      </c>
      <c r="EC2" s="675">
        <v>132</v>
      </c>
      <c r="ED2" s="675">
        <v>133</v>
      </c>
      <c r="EE2" s="675">
        <v>134</v>
      </c>
      <c r="EF2" s="675">
        <v>135</v>
      </c>
      <c r="EG2" s="675">
        <v>136</v>
      </c>
      <c r="EH2" s="675">
        <v>137</v>
      </c>
      <c r="EI2" s="675">
        <v>138</v>
      </c>
      <c r="EJ2" s="675">
        <v>139</v>
      </c>
      <c r="EK2" s="675">
        <v>140</v>
      </c>
      <c r="EL2" s="675">
        <v>141</v>
      </c>
      <c r="EM2" s="675">
        <v>142</v>
      </c>
      <c r="EN2" s="675">
        <v>143</v>
      </c>
      <c r="EO2" s="675">
        <v>144</v>
      </c>
      <c r="EP2" s="675">
        <v>145</v>
      </c>
      <c r="EQ2" s="675">
        <v>146</v>
      </c>
      <c r="ER2" s="675">
        <v>147</v>
      </c>
      <c r="ES2" s="675">
        <v>148</v>
      </c>
      <c r="ET2" s="790">
        <v>149</v>
      </c>
      <c r="EU2" s="790">
        <v>150</v>
      </c>
      <c r="EV2" s="790">
        <v>151</v>
      </c>
      <c r="EW2" s="790">
        <v>152</v>
      </c>
      <c r="EX2" s="790">
        <v>153</v>
      </c>
      <c r="EY2" s="790">
        <v>154</v>
      </c>
      <c r="EZ2" s="790">
        <v>155</v>
      </c>
      <c r="FA2" s="675">
        <v>156</v>
      </c>
      <c r="FB2" s="675">
        <v>157</v>
      </c>
      <c r="FC2" s="675">
        <v>158</v>
      </c>
      <c r="FD2" s="675">
        <v>159</v>
      </c>
      <c r="FE2" s="675">
        <v>160</v>
      </c>
      <c r="FF2" s="675">
        <v>161</v>
      </c>
      <c r="FG2" s="675">
        <v>162</v>
      </c>
      <c r="FH2" s="675">
        <v>163</v>
      </c>
      <c r="FI2" s="675">
        <v>164</v>
      </c>
      <c r="FJ2" s="675">
        <v>165</v>
      </c>
      <c r="FK2" s="675">
        <v>166</v>
      </c>
      <c r="FL2" s="675">
        <v>180</v>
      </c>
      <c r="FM2" s="675">
        <v>168</v>
      </c>
      <c r="FN2" s="675">
        <v>169</v>
      </c>
      <c r="FO2" s="675">
        <v>170</v>
      </c>
      <c r="FP2" s="675">
        <v>171</v>
      </c>
      <c r="FQ2" s="675">
        <v>172</v>
      </c>
      <c r="FR2" s="675">
        <v>173</v>
      </c>
      <c r="FS2" s="675">
        <v>174</v>
      </c>
      <c r="FT2" s="675">
        <v>175</v>
      </c>
      <c r="FU2" s="675">
        <v>176</v>
      </c>
      <c r="FV2" s="675">
        <v>177</v>
      </c>
      <c r="FW2" s="675">
        <v>178</v>
      </c>
      <c r="FX2" s="675">
        <v>179</v>
      </c>
      <c r="FZ2" s="675">
        <v>181</v>
      </c>
      <c r="GA2" s="675">
        <v>182</v>
      </c>
      <c r="GB2" s="675">
        <v>183</v>
      </c>
      <c r="GC2" s="675">
        <v>184</v>
      </c>
      <c r="GD2" s="675">
        <v>185</v>
      </c>
      <c r="GE2" s="675">
        <v>186</v>
      </c>
      <c r="GF2" s="675">
        <v>187</v>
      </c>
      <c r="GG2" s="675">
        <v>188</v>
      </c>
      <c r="GH2" s="675">
        <v>189</v>
      </c>
      <c r="GI2" s="675">
        <v>190</v>
      </c>
      <c r="GJ2" s="675">
        <v>191</v>
      </c>
      <c r="GK2" s="675">
        <v>192</v>
      </c>
      <c r="GL2" s="675">
        <v>193</v>
      </c>
      <c r="GM2" s="675">
        <v>194</v>
      </c>
      <c r="GN2" s="675">
        <v>195</v>
      </c>
      <c r="GO2" s="675">
        <v>196</v>
      </c>
      <c r="GP2" s="675">
        <v>197</v>
      </c>
      <c r="GQ2" s="675">
        <v>198</v>
      </c>
      <c r="GR2" s="675">
        <v>199</v>
      </c>
      <c r="GS2" s="675">
        <v>200</v>
      </c>
      <c r="GT2" s="675">
        <v>201</v>
      </c>
      <c r="GU2" s="675">
        <v>202</v>
      </c>
      <c r="GV2" s="675">
        <v>203</v>
      </c>
      <c r="GW2" s="675">
        <v>204</v>
      </c>
      <c r="GX2" s="675">
        <v>205</v>
      </c>
      <c r="GY2" s="675">
        <v>206</v>
      </c>
      <c r="GZ2" s="675">
        <v>207</v>
      </c>
      <c r="HA2" s="675">
        <v>208</v>
      </c>
      <c r="HB2" s="675">
        <v>209</v>
      </c>
      <c r="HC2" s="675">
        <v>210</v>
      </c>
    </row>
    <row r="3" spans="1:211" s="675" customFormat="1">
      <c r="BE3" s="697"/>
      <c r="DF3" s="696"/>
      <c r="DG3" s="696"/>
      <c r="DH3" s="696"/>
      <c r="ET3" s="790"/>
      <c r="EU3" s="790"/>
      <c r="EV3" s="790"/>
      <c r="EW3" s="790"/>
      <c r="EX3" s="790"/>
      <c r="EY3" s="790"/>
      <c r="EZ3" s="790"/>
      <c r="GG3" s="697"/>
    </row>
    <row r="4" spans="1:211" s="675" customFormat="1">
      <c r="A4" s="698" t="s">
        <v>560</v>
      </c>
      <c r="X4" s="675">
        <v>42</v>
      </c>
      <c r="Y4" s="675">
        <v>43</v>
      </c>
      <c r="Z4" s="675">
        <v>44</v>
      </c>
      <c r="AA4" s="675">
        <v>45</v>
      </c>
      <c r="AD4" s="675">
        <v>50</v>
      </c>
      <c r="AE4" s="675">
        <v>48</v>
      </c>
      <c r="AK4" s="675">
        <v>68</v>
      </c>
      <c r="AL4" s="675">
        <v>70</v>
      </c>
      <c r="AM4" s="675">
        <v>14</v>
      </c>
      <c r="AN4" s="675">
        <v>15</v>
      </c>
      <c r="AO4" s="675">
        <v>16</v>
      </c>
      <c r="AP4" s="675">
        <v>17</v>
      </c>
      <c r="AQ4" s="675">
        <v>18</v>
      </c>
      <c r="AR4" s="675">
        <v>75</v>
      </c>
      <c r="AT4" s="675">
        <v>81</v>
      </c>
      <c r="DF4" s="696"/>
      <c r="DG4" s="696"/>
      <c r="DH4" s="696"/>
      <c r="DN4" s="675">
        <v>49</v>
      </c>
      <c r="ET4" s="790"/>
      <c r="EU4" s="790"/>
      <c r="EV4" s="790"/>
      <c r="EW4" s="790"/>
      <c r="EX4" s="790"/>
      <c r="EY4" s="790"/>
      <c r="EZ4" s="790"/>
      <c r="FZ4" s="675">
        <v>46</v>
      </c>
      <c r="GA4" s="675">
        <v>47</v>
      </c>
      <c r="GB4" s="675">
        <v>71</v>
      </c>
      <c r="GC4" s="675">
        <v>72</v>
      </c>
      <c r="GD4" s="675">
        <v>73</v>
      </c>
      <c r="GE4" s="675">
        <v>74</v>
      </c>
      <c r="GF4" s="675">
        <v>76</v>
      </c>
      <c r="GG4" s="675">
        <v>80</v>
      </c>
      <c r="GH4" s="675">
        <v>78</v>
      </c>
    </row>
    <row r="5" spans="1:211" s="675" customFormat="1">
      <c r="B5" s="927"/>
      <c r="C5" s="927"/>
      <c r="D5" s="699"/>
      <c r="E5" s="699"/>
      <c r="F5" s="699"/>
      <c r="G5" s="699"/>
      <c r="H5" s="699"/>
      <c r="I5" s="699"/>
      <c r="J5" s="699"/>
      <c r="K5" s="699"/>
      <c r="L5" s="699"/>
      <c r="M5" s="699"/>
      <c r="N5" s="699"/>
      <c r="O5" s="699"/>
      <c r="P5" s="699"/>
      <c r="Q5" s="929" t="s">
        <v>523</v>
      </c>
      <c r="R5" s="699"/>
      <c r="S5" s="699"/>
      <c r="T5" s="699"/>
      <c r="U5" s="699"/>
      <c r="V5" s="699"/>
      <c r="W5" s="699"/>
      <c r="X5" s="699"/>
      <c r="Y5" s="699"/>
      <c r="Z5" s="699"/>
      <c r="AA5" s="699"/>
      <c r="AB5" s="699"/>
      <c r="AC5" s="699"/>
      <c r="AD5" s="699"/>
      <c r="AE5" s="699"/>
      <c r="AF5" s="929" t="s">
        <v>508</v>
      </c>
      <c r="AG5" s="929" t="s">
        <v>563</v>
      </c>
      <c r="AH5" s="929" t="s">
        <v>509</v>
      </c>
      <c r="AI5" s="699"/>
      <c r="AJ5" s="929" t="s">
        <v>117</v>
      </c>
      <c r="AK5" s="699"/>
      <c r="AL5" s="699"/>
      <c r="AM5" s="699"/>
      <c r="AN5" s="699"/>
      <c r="AO5" s="699"/>
      <c r="AP5" s="699"/>
      <c r="AQ5" s="699"/>
      <c r="AR5" s="699"/>
      <c r="AS5" s="699"/>
      <c r="AT5" s="699"/>
      <c r="AU5" s="699"/>
      <c r="AV5" s="699"/>
      <c r="AW5" s="699"/>
      <c r="AX5" s="699"/>
      <c r="AY5" s="699"/>
      <c r="AZ5" s="699"/>
      <c r="BA5" s="699"/>
      <c r="BB5" s="699"/>
      <c r="BC5" s="699"/>
      <c r="BD5" s="699"/>
      <c r="BE5" s="699"/>
      <c r="BF5" s="699"/>
      <c r="BG5" s="699"/>
      <c r="BH5" s="699"/>
      <c r="BI5" s="699"/>
      <c r="BJ5" s="699"/>
      <c r="BK5" s="699"/>
      <c r="BL5" s="699"/>
      <c r="BM5" s="699"/>
      <c r="BN5" s="699"/>
      <c r="BO5" s="699"/>
      <c r="BP5" s="699"/>
      <c r="BQ5" s="699"/>
      <c r="BR5" s="699"/>
      <c r="BS5" s="699"/>
      <c r="BT5" s="699"/>
      <c r="BU5" s="699"/>
      <c r="BV5" s="699"/>
      <c r="BW5" s="699"/>
      <c r="BX5" s="699"/>
      <c r="BY5" s="699"/>
      <c r="BZ5" s="699"/>
      <c r="CA5" s="699"/>
      <c r="CB5" s="699"/>
      <c r="CC5" s="699"/>
      <c r="CD5" s="699"/>
      <c r="CE5" s="699"/>
      <c r="CF5" s="699"/>
      <c r="CG5" s="699"/>
      <c r="CH5" s="699"/>
      <c r="CI5" s="699"/>
      <c r="CJ5" s="699"/>
      <c r="CK5" s="699"/>
      <c r="CL5" s="699"/>
      <c r="CM5" s="699"/>
      <c r="CN5" s="699"/>
      <c r="CO5" s="699"/>
      <c r="CP5" s="699"/>
      <c r="CQ5" s="699"/>
      <c r="CR5" s="699"/>
      <c r="CS5" s="699"/>
      <c r="CT5" s="699"/>
      <c r="CU5" s="699"/>
      <c r="CV5" s="699"/>
      <c r="CW5" s="699"/>
      <c r="CX5" s="699"/>
      <c r="CY5" s="699"/>
      <c r="CZ5" s="699"/>
      <c r="DA5" s="699"/>
      <c r="DB5" s="699"/>
      <c r="DC5" s="699"/>
      <c r="DD5" s="699"/>
      <c r="DE5" s="699"/>
      <c r="DF5" s="700"/>
      <c r="DG5" s="700"/>
      <c r="DH5" s="700"/>
      <c r="DI5" s="699"/>
      <c r="DJ5" s="699"/>
      <c r="DK5" s="699"/>
      <c r="DL5" s="699"/>
      <c r="DM5" s="699"/>
      <c r="DN5" s="699"/>
      <c r="DO5" s="699"/>
      <c r="DP5" s="699"/>
      <c r="DQ5" s="699"/>
      <c r="DR5" s="699"/>
      <c r="DS5" s="699"/>
      <c r="DT5" s="699"/>
      <c r="DU5" s="699"/>
      <c r="DV5" s="699"/>
      <c r="DW5" s="699"/>
      <c r="DX5" s="699"/>
      <c r="DY5" s="699"/>
      <c r="DZ5" s="699"/>
      <c r="EA5" s="699"/>
      <c r="EB5" s="699"/>
      <c r="EC5" s="699"/>
      <c r="ED5" s="699"/>
      <c r="EE5" s="699"/>
      <c r="EF5" s="699"/>
      <c r="EG5" s="699"/>
      <c r="EH5" s="699"/>
      <c r="EI5" s="699"/>
      <c r="EJ5" s="699"/>
      <c r="EK5" s="699"/>
      <c r="EL5" s="699"/>
      <c r="EM5" s="699"/>
      <c r="EN5" s="699"/>
      <c r="EO5" s="699"/>
      <c r="EP5" s="699"/>
      <c r="EQ5" s="699"/>
      <c r="ER5" s="791"/>
      <c r="ES5" s="699"/>
      <c r="ET5" s="791"/>
      <c r="EU5" s="791"/>
      <c r="EV5" s="791"/>
      <c r="EW5" s="791"/>
      <c r="EX5" s="791"/>
      <c r="EY5" s="791"/>
      <c r="EZ5" s="791"/>
      <c r="FA5" s="699"/>
      <c r="FB5" s="699"/>
      <c r="FC5" s="699"/>
      <c r="FD5" s="699"/>
      <c r="FE5" s="699"/>
      <c r="FF5" s="699"/>
      <c r="FG5" s="699"/>
      <c r="FH5" s="699"/>
      <c r="FI5" s="699"/>
      <c r="FJ5" s="699"/>
      <c r="FK5" s="699"/>
      <c r="FL5" s="699"/>
      <c r="FM5" s="699"/>
      <c r="FN5" s="699"/>
      <c r="FO5" s="699"/>
      <c r="FP5" s="699"/>
      <c r="FQ5" s="699"/>
      <c r="FR5" s="699"/>
      <c r="FS5" s="699"/>
      <c r="FT5" s="699"/>
      <c r="FU5" s="699"/>
      <c r="FV5" s="699"/>
      <c r="FW5" s="699"/>
      <c r="FX5" s="699"/>
      <c r="FZ5" s="699"/>
      <c r="GA5" s="699"/>
      <c r="GB5" s="699"/>
      <c r="GC5" s="699"/>
      <c r="GD5" s="699"/>
      <c r="GE5" s="699"/>
      <c r="GF5" s="929" t="s">
        <v>329</v>
      </c>
      <c r="GG5" s="929" t="s">
        <v>315</v>
      </c>
      <c r="GH5" s="929" t="s">
        <v>565</v>
      </c>
      <c r="GI5" s="699"/>
      <c r="GJ5" s="699"/>
      <c r="GK5" s="699"/>
      <c r="GL5" s="699"/>
      <c r="GM5" s="699"/>
      <c r="GN5" s="699"/>
      <c r="GO5" s="699"/>
      <c r="GP5" s="699"/>
      <c r="GQ5" s="699"/>
      <c r="GR5" s="699"/>
      <c r="GS5" s="699"/>
      <c r="GT5" s="699"/>
      <c r="GU5" s="699"/>
      <c r="GV5" s="699"/>
      <c r="GW5" s="699"/>
      <c r="GX5" s="699"/>
      <c r="GY5" s="699"/>
      <c r="GZ5" s="699"/>
      <c r="HA5" s="699"/>
      <c r="HB5" s="699"/>
      <c r="HC5" s="699"/>
    </row>
    <row r="6" spans="1:211" s="675" customFormat="1">
      <c r="B6" s="928" t="s">
        <v>0</v>
      </c>
      <c r="C6" s="928"/>
      <c r="D6" s="701"/>
      <c r="E6" s="701"/>
      <c r="F6" s="701"/>
      <c r="G6" s="701"/>
      <c r="H6" s="701"/>
      <c r="I6" s="701"/>
      <c r="J6" s="701"/>
      <c r="K6" s="701"/>
      <c r="L6" s="701"/>
      <c r="M6" s="701"/>
      <c r="N6" s="701"/>
      <c r="O6" s="701"/>
      <c r="P6" s="701"/>
      <c r="Q6" s="930"/>
      <c r="R6" s="701"/>
      <c r="S6" s="701"/>
      <c r="T6" s="701"/>
      <c r="U6" s="701"/>
      <c r="V6" s="701"/>
      <c r="W6" s="701"/>
      <c r="X6" s="701"/>
      <c r="Y6" s="701"/>
      <c r="Z6" s="701"/>
      <c r="AA6" s="701"/>
      <c r="AB6" s="701"/>
      <c r="AC6" s="701"/>
      <c r="AD6" s="701"/>
      <c r="AE6" s="701"/>
      <c r="AF6" s="930"/>
      <c r="AG6" s="930"/>
      <c r="AH6" s="930"/>
      <c r="AI6" s="701"/>
      <c r="AJ6" s="930"/>
      <c r="AK6" s="701"/>
      <c r="AL6" s="701"/>
      <c r="AM6" s="701"/>
      <c r="AN6" s="701"/>
      <c r="AO6" s="701"/>
      <c r="AP6" s="701"/>
      <c r="AQ6" s="701"/>
      <c r="AR6" s="701"/>
      <c r="AS6" s="701"/>
      <c r="AT6" s="701"/>
      <c r="AU6" s="701"/>
      <c r="AV6" s="701"/>
      <c r="AW6" s="701"/>
      <c r="AX6" s="701"/>
      <c r="AY6" s="701"/>
      <c r="AZ6" s="701"/>
      <c r="BA6" s="701"/>
      <c r="BB6" s="701"/>
      <c r="BC6" s="701"/>
      <c r="BD6" s="701"/>
      <c r="BE6" s="701"/>
      <c r="BF6" s="701"/>
      <c r="BG6" s="701"/>
      <c r="BH6" s="701"/>
      <c r="BI6" s="701"/>
      <c r="BJ6" s="701"/>
      <c r="BK6" s="701"/>
      <c r="BL6" s="701"/>
      <c r="BM6" s="701"/>
      <c r="BN6" s="701"/>
      <c r="BO6" s="701"/>
      <c r="BP6" s="701"/>
      <c r="BQ6" s="701"/>
      <c r="BR6" s="701"/>
      <c r="BS6" s="701"/>
      <c r="BT6" s="701"/>
      <c r="BU6" s="701"/>
      <c r="BV6" s="701"/>
      <c r="BW6" s="701"/>
      <c r="BX6" s="701"/>
      <c r="BY6" s="701"/>
      <c r="BZ6" s="701"/>
      <c r="CA6" s="701"/>
      <c r="CB6" s="701"/>
      <c r="CC6" s="701"/>
      <c r="CD6" s="701"/>
      <c r="CE6" s="701"/>
      <c r="CF6" s="701"/>
      <c r="CG6" s="701"/>
      <c r="CH6" s="701"/>
      <c r="CI6" s="701"/>
      <c r="CJ6" s="701"/>
      <c r="CK6" s="701"/>
      <c r="CL6" s="701"/>
      <c r="CM6" s="701"/>
      <c r="CN6" s="701"/>
      <c r="CO6" s="701"/>
      <c r="CP6" s="701"/>
      <c r="CQ6" s="701"/>
      <c r="CR6" s="701"/>
      <c r="CS6" s="701"/>
      <c r="CT6" s="701"/>
      <c r="CU6" s="701"/>
      <c r="CV6" s="701"/>
      <c r="CW6" s="701"/>
      <c r="CX6" s="701"/>
      <c r="CY6" s="701"/>
      <c r="CZ6" s="701"/>
      <c r="DA6" s="701"/>
      <c r="DB6" s="701"/>
      <c r="DC6" s="701"/>
      <c r="DD6" s="701"/>
      <c r="DE6" s="701"/>
      <c r="DF6" s="702"/>
      <c r="DG6" s="702"/>
      <c r="DH6" s="702"/>
      <c r="DI6" s="701"/>
      <c r="DJ6" s="701"/>
      <c r="DK6" s="701"/>
      <c r="DL6" s="701"/>
      <c r="DM6" s="701"/>
      <c r="DN6" s="701"/>
      <c r="DO6" s="701"/>
      <c r="DP6" s="701"/>
      <c r="DQ6" s="701"/>
      <c r="DR6" s="701"/>
      <c r="DS6" s="701"/>
      <c r="DT6" s="701"/>
      <c r="DU6" s="701"/>
      <c r="DV6" s="701"/>
      <c r="DW6" s="701"/>
      <c r="DX6" s="701"/>
      <c r="DY6" s="701"/>
      <c r="DZ6" s="701"/>
      <c r="EA6" s="701"/>
      <c r="EB6" s="701"/>
      <c r="EC6" s="701"/>
      <c r="ED6" s="701"/>
      <c r="EE6" s="701"/>
      <c r="EF6" s="701"/>
      <c r="EG6" s="701"/>
      <c r="EH6" s="701"/>
      <c r="EI6" s="701"/>
      <c r="EJ6" s="701"/>
      <c r="EK6" s="701"/>
      <c r="EL6" s="701"/>
      <c r="EM6" s="701"/>
      <c r="EN6" s="701"/>
      <c r="EO6" s="701"/>
      <c r="EP6" s="701"/>
      <c r="EQ6" s="701"/>
      <c r="ER6" s="792"/>
      <c r="ES6" s="701"/>
      <c r="ET6" s="792"/>
      <c r="EU6" s="792"/>
      <c r="EV6" s="792"/>
      <c r="EW6" s="792"/>
      <c r="EX6" s="792"/>
      <c r="EY6" s="792"/>
      <c r="EZ6" s="792"/>
      <c r="FA6" s="701"/>
      <c r="FB6" s="701"/>
      <c r="FC6" s="701"/>
      <c r="FD6" s="701"/>
      <c r="FE6" s="701"/>
      <c r="FF6" s="701"/>
      <c r="FG6" s="701"/>
      <c r="FH6" s="701"/>
      <c r="FI6" s="701"/>
      <c r="FJ6" s="701"/>
      <c r="FK6" s="701"/>
      <c r="FL6" s="701"/>
      <c r="FM6" s="701"/>
      <c r="FN6" s="701"/>
      <c r="FO6" s="701"/>
      <c r="FP6" s="701"/>
      <c r="FQ6" s="701"/>
      <c r="FR6" s="701"/>
      <c r="FS6" s="701"/>
      <c r="FT6" s="701"/>
      <c r="FU6" s="701"/>
      <c r="FV6" s="701"/>
      <c r="FW6" s="701"/>
      <c r="FX6" s="701"/>
      <c r="FZ6" s="701"/>
      <c r="GA6" s="701"/>
      <c r="GB6" s="701"/>
      <c r="GC6" s="701"/>
      <c r="GD6" s="701"/>
      <c r="GE6" s="701"/>
      <c r="GF6" s="932"/>
      <c r="GG6" s="932"/>
      <c r="GH6" s="932"/>
      <c r="GI6" s="701"/>
      <c r="GJ6" s="701"/>
      <c r="GK6" s="701"/>
      <c r="GL6" s="701"/>
      <c r="GM6" s="701"/>
      <c r="GN6" s="701"/>
      <c r="GO6" s="701"/>
      <c r="GP6" s="701"/>
      <c r="GQ6" s="701"/>
      <c r="GR6" s="701"/>
      <c r="GS6" s="701"/>
      <c r="GT6" s="701"/>
      <c r="GU6" s="701"/>
      <c r="GV6" s="701"/>
      <c r="GW6" s="701"/>
      <c r="GX6" s="701"/>
      <c r="GY6" s="701"/>
      <c r="GZ6" s="701"/>
      <c r="HA6" s="701"/>
      <c r="HB6" s="701"/>
      <c r="HC6" s="701"/>
    </row>
    <row r="7" spans="1:211" s="675" customFormat="1" ht="140.25">
      <c r="A7" s="703"/>
      <c r="B7" s="445" t="s">
        <v>1</v>
      </c>
      <c r="C7" s="445" t="s">
        <v>2</v>
      </c>
      <c r="D7" s="445" t="s">
        <v>492</v>
      </c>
      <c r="E7" s="445" t="s">
        <v>493</v>
      </c>
      <c r="F7" s="445" t="s">
        <v>494</v>
      </c>
      <c r="G7" s="869" t="s">
        <v>774</v>
      </c>
      <c r="H7" s="445" t="s">
        <v>515</v>
      </c>
      <c r="I7" s="445" t="s">
        <v>516</v>
      </c>
      <c r="J7" s="445" t="s">
        <v>517</v>
      </c>
      <c r="K7" s="445" t="s">
        <v>495</v>
      </c>
      <c r="L7" s="445" t="s">
        <v>518</v>
      </c>
      <c r="M7" s="445" t="s">
        <v>521</v>
      </c>
      <c r="N7" s="445" t="s">
        <v>496</v>
      </c>
      <c r="O7" s="445" t="s">
        <v>522</v>
      </c>
      <c r="P7" s="445" t="s">
        <v>514</v>
      </c>
      <c r="Q7" s="931"/>
      <c r="R7" s="445" t="s">
        <v>723</v>
      </c>
      <c r="S7" s="445" t="s">
        <v>497</v>
      </c>
      <c r="T7" s="445" t="s">
        <v>498</v>
      </c>
      <c r="U7" s="445" t="s">
        <v>499</v>
      </c>
      <c r="V7" s="445" t="s">
        <v>500</v>
      </c>
      <c r="W7" s="445" t="s">
        <v>501</v>
      </c>
      <c r="X7" s="445" t="s">
        <v>502</v>
      </c>
      <c r="Y7" s="445" t="s">
        <v>504</v>
      </c>
      <c r="Z7" s="445" t="s">
        <v>116</v>
      </c>
      <c r="AA7" s="445" t="s">
        <v>503</v>
      </c>
      <c r="AB7" s="445" t="s">
        <v>562</v>
      </c>
      <c r="AC7" s="445" t="s">
        <v>505</v>
      </c>
      <c r="AD7" s="445" t="s">
        <v>506</v>
      </c>
      <c r="AE7" s="445" t="s">
        <v>507</v>
      </c>
      <c r="AF7" s="931"/>
      <c r="AG7" s="931"/>
      <c r="AH7" s="931"/>
      <c r="AI7" s="445" t="s">
        <v>510</v>
      </c>
      <c r="AJ7" s="931"/>
      <c r="AK7" s="445" t="s">
        <v>512</v>
      </c>
      <c r="AL7" s="445" t="s">
        <v>511</v>
      </c>
      <c r="AM7" s="445" t="s">
        <v>561</v>
      </c>
      <c r="AN7" s="445" t="s">
        <v>697</v>
      </c>
      <c r="AO7" s="445" t="s">
        <v>696</v>
      </c>
      <c r="AP7" s="445" t="s">
        <v>698</v>
      </c>
      <c r="AQ7" s="445" t="s">
        <v>735</v>
      </c>
      <c r="AR7" s="445" t="s">
        <v>308</v>
      </c>
      <c r="AT7" s="445" t="s">
        <v>330</v>
      </c>
      <c r="AU7" s="445" t="s">
        <v>397</v>
      </c>
      <c r="AV7" s="445" t="s">
        <v>398</v>
      </c>
      <c r="AW7" s="445" t="s">
        <v>399</v>
      </c>
      <c r="AX7" s="445" t="s">
        <v>400</v>
      </c>
      <c r="AY7" s="445" t="s">
        <v>426</v>
      </c>
      <c r="AZ7" s="445" t="s">
        <v>427</v>
      </c>
      <c r="BA7" s="445" t="s">
        <v>401</v>
      </c>
      <c r="BB7" s="445" t="s">
        <v>402</v>
      </c>
      <c r="BC7" s="869" t="s">
        <v>775</v>
      </c>
      <c r="BD7" s="445" t="s">
        <v>249</v>
      </c>
      <c r="BE7" s="445" t="s">
        <v>250</v>
      </c>
      <c r="BF7" s="445" t="s">
        <v>579</v>
      </c>
      <c r="BG7" s="445" t="s">
        <v>593</v>
      </c>
      <c r="BH7" s="445" t="s">
        <v>598</v>
      </c>
      <c r="BI7" s="704"/>
      <c r="BJ7" s="704"/>
      <c r="BK7" s="445" t="s">
        <v>319</v>
      </c>
      <c r="BL7" s="704"/>
      <c r="BM7" s="445" t="s">
        <v>336</v>
      </c>
      <c r="BN7" s="445" t="s">
        <v>403</v>
      </c>
      <c r="BO7" s="445" t="s">
        <v>404</v>
      </c>
      <c r="BP7" s="445" t="s">
        <v>405</v>
      </c>
      <c r="BQ7" s="445" t="s">
        <v>406</v>
      </c>
      <c r="BR7" s="445" t="s">
        <v>428</v>
      </c>
      <c r="BS7" s="445" t="s">
        <v>429</v>
      </c>
      <c r="BT7" s="445" t="s">
        <v>407</v>
      </c>
      <c r="BU7" s="445" t="s">
        <v>413</v>
      </c>
      <c r="BV7" s="445" t="s">
        <v>416</v>
      </c>
      <c r="BW7" s="445" t="s">
        <v>408</v>
      </c>
      <c r="BX7" s="445" t="s">
        <v>526</v>
      </c>
      <c r="BY7" s="445" t="s">
        <v>251</v>
      </c>
      <c r="BZ7" s="445" t="s">
        <v>252</v>
      </c>
      <c r="CA7" s="445" t="s">
        <v>580</v>
      </c>
      <c r="CB7" s="445" t="s">
        <v>594</v>
      </c>
      <c r="CC7" s="445" t="s">
        <v>596</v>
      </c>
      <c r="CD7" s="704"/>
      <c r="CE7" s="704"/>
      <c r="CF7" s="445" t="s">
        <v>313</v>
      </c>
      <c r="CG7" s="704"/>
      <c r="CH7" s="445" t="s">
        <v>332</v>
      </c>
      <c r="CI7" s="445" t="s">
        <v>409</v>
      </c>
      <c r="CJ7" s="445" t="s">
        <v>410</v>
      </c>
      <c r="CK7" s="445" t="s">
        <v>411</v>
      </c>
      <c r="CL7" s="445" t="s">
        <v>412</v>
      </c>
      <c r="CM7" s="445" t="s">
        <v>430</v>
      </c>
      <c r="CN7" s="445" t="s">
        <v>431</v>
      </c>
      <c r="CO7" s="445" t="s">
        <v>414</v>
      </c>
      <c r="CP7" s="445" t="s">
        <v>415</v>
      </c>
      <c r="CQ7" s="869" t="s">
        <v>776</v>
      </c>
      <c r="CR7" s="445" t="s">
        <v>524</v>
      </c>
      <c r="CS7" s="445" t="s">
        <v>253</v>
      </c>
      <c r="CT7" s="445" t="s">
        <v>581</v>
      </c>
      <c r="CU7" s="445" t="s">
        <v>595</v>
      </c>
      <c r="CV7" s="445" t="s">
        <v>597</v>
      </c>
      <c r="CW7" s="704"/>
      <c r="CX7" s="445" t="s">
        <v>724</v>
      </c>
      <c r="CY7" s="445" t="s">
        <v>323</v>
      </c>
      <c r="CZ7" s="445" t="s">
        <v>440</v>
      </c>
      <c r="DA7" s="445" t="s">
        <v>335</v>
      </c>
      <c r="DB7" s="445" t="s">
        <v>296</v>
      </c>
      <c r="DC7" s="445" t="s">
        <v>295</v>
      </c>
      <c r="DD7" s="445" t="s">
        <v>304</v>
      </c>
      <c r="DE7" s="445" t="s">
        <v>74</v>
      </c>
      <c r="DF7" s="705" t="s">
        <v>520</v>
      </c>
      <c r="DG7" s="705" t="s">
        <v>519</v>
      </c>
      <c r="DH7" s="705" t="s">
        <v>162</v>
      </c>
      <c r="DI7" s="445" t="s">
        <v>254</v>
      </c>
      <c r="DJ7" s="445" t="s">
        <v>255</v>
      </c>
      <c r="DK7" s="445" t="s">
        <v>256</v>
      </c>
      <c r="DL7" s="445" t="s">
        <v>257</v>
      </c>
      <c r="DM7" s="445" t="s">
        <v>258</v>
      </c>
      <c r="DN7" s="445" t="s">
        <v>243</v>
      </c>
      <c r="DO7" s="445" t="s">
        <v>278</v>
      </c>
      <c r="DP7" s="445" t="s">
        <v>279</v>
      </c>
      <c r="DQ7" s="704"/>
      <c r="DR7" s="445" t="s">
        <v>527</v>
      </c>
      <c r="DS7" s="704"/>
      <c r="DT7" s="445" t="s">
        <v>75</v>
      </c>
      <c r="DU7" s="704"/>
      <c r="DV7" s="445" t="s">
        <v>343</v>
      </c>
      <c r="DW7" s="704"/>
      <c r="DX7" s="445" t="s">
        <v>585</v>
      </c>
      <c r="DY7" s="445" t="s">
        <v>94</v>
      </c>
      <c r="DZ7" s="445" t="s">
        <v>439</v>
      </c>
      <c r="EA7" s="704"/>
      <c r="EB7" s="704"/>
      <c r="EC7" s="704"/>
      <c r="ED7" s="445" t="s">
        <v>163</v>
      </c>
      <c r="EE7" s="445" t="s">
        <v>164</v>
      </c>
      <c r="EF7" s="445" t="s">
        <v>198</v>
      </c>
      <c r="EG7" s="445" t="s">
        <v>199</v>
      </c>
      <c r="EH7" s="445" t="s">
        <v>200</v>
      </c>
      <c r="EI7" s="445" t="s">
        <v>201</v>
      </c>
      <c r="EJ7" s="445"/>
      <c r="EK7" s="704"/>
      <c r="EL7" s="704"/>
      <c r="EM7" s="704"/>
      <c r="EN7" s="704"/>
      <c r="EO7" s="704"/>
      <c r="EP7" s="704"/>
      <c r="EQ7" s="704"/>
      <c r="ER7" s="793" t="s">
        <v>771</v>
      </c>
      <c r="ES7" s="861" t="s">
        <v>770</v>
      </c>
      <c r="ET7" s="793" t="s">
        <v>458</v>
      </c>
      <c r="EU7" s="793" t="s">
        <v>155</v>
      </c>
      <c r="EV7" s="793" t="s">
        <v>305</v>
      </c>
      <c r="EW7" s="793" t="s">
        <v>156</v>
      </c>
      <c r="EX7" s="793" t="s">
        <v>157</v>
      </c>
      <c r="EY7" s="793" t="s">
        <v>306</v>
      </c>
      <c r="EZ7" s="793" t="s">
        <v>459</v>
      </c>
      <c r="FA7" s="704"/>
      <c r="FB7" s="445"/>
      <c r="FC7" s="445"/>
      <c r="FD7" s="445"/>
      <c r="FE7" s="445" t="s">
        <v>298</v>
      </c>
      <c r="FF7" s="445" t="s">
        <v>342</v>
      </c>
      <c r="FG7" s="445" t="s">
        <v>344</v>
      </c>
      <c r="FH7" s="704"/>
      <c r="FI7" s="704"/>
      <c r="FJ7" s="704"/>
      <c r="FK7" s="704"/>
      <c r="FL7" s="706" t="s">
        <v>728</v>
      </c>
      <c r="FM7" s="706" t="s">
        <v>729</v>
      </c>
      <c r="FN7" s="704"/>
      <c r="FO7" s="704"/>
      <c r="FP7" s="704"/>
      <c r="FQ7" s="704"/>
      <c r="FR7" s="704"/>
      <c r="FS7" s="706" t="s">
        <v>130</v>
      </c>
      <c r="FT7" s="706" t="s">
        <v>131</v>
      </c>
      <c r="FU7" s="706" t="s">
        <v>132</v>
      </c>
      <c r="FV7" s="706" t="s">
        <v>133</v>
      </c>
      <c r="FW7" s="706" t="s">
        <v>134</v>
      </c>
      <c r="FX7" s="706" t="s">
        <v>135</v>
      </c>
      <c r="FZ7" s="445" t="s">
        <v>324</v>
      </c>
      <c r="GA7" s="445" t="s">
        <v>325</v>
      </c>
      <c r="GB7" s="445" t="s">
        <v>380</v>
      </c>
      <c r="GC7" s="445" t="s">
        <v>307</v>
      </c>
      <c r="GD7" s="445" t="s">
        <v>310</v>
      </c>
      <c r="GE7" s="445" t="s">
        <v>309</v>
      </c>
      <c r="GF7" s="933"/>
      <c r="GG7" s="933"/>
      <c r="GH7" s="933"/>
      <c r="GI7" s="445" t="s">
        <v>327</v>
      </c>
      <c r="GJ7" s="445" t="s">
        <v>316</v>
      </c>
      <c r="GK7" s="445" t="s">
        <v>317</v>
      </c>
      <c r="GL7" s="445" t="s">
        <v>309</v>
      </c>
      <c r="GM7" s="445" t="s">
        <v>333</v>
      </c>
      <c r="GN7" s="445" t="s">
        <v>318</v>
      </c>
      <c r="GO7" s="704"/>
      <c r="GP7" s="445" t="s">
        <v>326</v>
      </c>
      <c r="GQ7" s="445" t="s">
        <v>311</v>
      </c>
      <c r="GR7" s="445" t="s">
        <v>312</v>
      </c>
      <c r="GS7" s="445" t="s">
        <v>309</v>
      </c>
      <c r="GT7" s="445" t="s">
        <v>331</v>
      </c>
      <c r="GU7" s="445" t="s">
        <v>314</v>
      </c>
      <c r="GV7" s="704"/>
      <c r="GW7" s="445" t="s">
        <v>328</v>
      </c>
      <c r="GX7" s="445" t="s">
        <v>320</v>
      </c>
      <c r="GY7" s="445" t="s">
        <v>321</v>
      </c>
      <c r="GZ7" s="445" t="s">
        <v>309</v>
      </c>
      <c r="HA7" s="445" t="s">
        <v>334</v>
      </c>
      <c r="HB7" s="445" t="s">
        <v>322</v>
      </c>
      <c r="HC7" s="704"/>
    </row>
    <row r="8" spans="1:211" s="675" customFormat="1">
      <c r="A8" s="773" t="s">
        <v>9</v>
      </c>
      <c r="B8" s="708">
        <v>40537</v>
      </c>
      <c r="C8" s="709">
        <v>0.5</v>
      </c>
      <c r="D8" s="675">
        <f>IF(AND(B8&gt;=DATE($A$1,7,15),B8&lt;=DATE($A$1,9,15)),200,300)</f>
        <v>300</v>
      </c>
      <c r="E8" s="675">
        <f>IF(AND(B8&gt;=DATE($A$1,7,15),B8&lt;=DATE($A$1,9,15)),400,250)</f>
        <v>250</v>
      </c>
      <c r="F8" s="710">
        <v>250</v>
      </c>
      <c r="G8" s="697" t="e">
        <f>DH8+Sheet1!CV8</f>
        <v>#REF!</v>
      </c>
      <c r="H8" s="697" t="e">
        <f t="shared" ref="H8:H17" si="0">MAX((G8-113-D8)*CFStoMGD,0)</f>
        <v>#REF!</v>
      </c>
      <c r="I8" s="711" t="e">
        <f>MAX(Sheet1!Z8-AJ8+(Sheet1!CW8-E8)*CFStoMGD,0)</f>
        <v>#REF!</v>
      </c>
      <c r="J8" s="720" t="e">
        <f>IF(AND(B8&gt;=Calculation!FS8,B8&lt;=Calculation!FT8),IF(Sheet1!CX8&gt;=Calculation!D8,64.64,0),MAX(Sheet1!Z8-AJ8+(Sheet1!CX8-D8)*CFStoMGD,0))</f>
        <v>#REF!</v>
      </c>
      <c r="K8" s="697" t="e">
        <f>MAX(MIN(H8:J8,64.64),0)</f>
        <v>#REF!</v>
      </c>
      <c r="L8" s="712">
        <f>Sheet1!AA8+Sheet1!AB8-Sheet1!L8+(Sheet1!CW8-F8)*CFStoMGD</f>
        <v>976.09866666666642</v>
      </c>
      <c r="M8" s="697" t="e">
        <f t="shared" ref="M8:M17" si="1">1.02*CFStoMGD*G8</f>
        <v>#REF!</v>
      </c>
      <c r="N8" s="697" t="e">
        <f>IF(Sheet1!CW8&gt;=F8,MIN(73,MIN(MAX(L8,0),MAX(M8,0))),0)</f>
        <v>#REF!</v>
      </c>
      <c r="O8" s="713">
        <f>Sheet1!AA8+Sheet1!AB8</f>
        <v>48</v>
      </c>
      <c r="P8" s="713">
        <f t="shared" ref="P8:P17" si="2">U8+V8</f>
        <v>74.256</v>
      </c>
      <c r="Q8" s="697" t="e">
        <f>MIN(N8,Sheet1!AA8+AG8)</f>
        <v>#REF!</v>
      </c>
      <c r="R8" s="697" t="e">
        <f t="shared" ref="R8:R17" si="3">IF(AND(B8&gt;=FV8,B8&lt;=FX8),MAX(DR8,DV8),DR8)</f>
        <v>#REF!</v>
      </c>
      <c r="S8" s="713">
        <f>Sheet1!Y8*MGDtoCFS</f>
        <v>45.203339999999997</v>
      </c>
      <c r="T8" s="713">
        <f>Sheet1!Z8*MGDtoCFS</f>
        <v>33.817419999999998</v>
      </c>
      <c r="U8" s="713">
        <f>Sheet1!AA8*MGDtoCFS</f>
        <v>46.41</v>
      </c>
      <c r="V8" s="713">
        <f>Sheet1!AB8*MGDtoCFS</f>
        <v>27.846</v>
      </c>
      <c r="W8" s="713">
        <f>Sheet1!L8*MGDtoCFS</f>
        <v>21.286720000000336</v>
      </c>
      <c r="X8" s="697" t="e">
        <f>AK8+BD8+BY8+CR8</f>
        <v>#REF!</v>
      </c>
      <c r="Y8" s="697" t="e">
        <f t="shared" ref="Y8:Y26" si="4">X8*MGDtoCFS</f>
        <v>#REF!</v>
      </c>
      <c r="Z8" s="697">
        <f t="shared" ref="Z8:Z17" si="5">IF(B8&gt;=FS8,IF(B8&lt;=FT8,K8-DR8,0),0)</f>
        <v>0</v>
      </c>
      <c r="AA8" s="697">
        <f t="shared" ref="AA8:AA26" si="6">Z8*MGDtoCFS</f>
        <v>0</v>
      </c>
      <c r="AB8" s="697">
        <f>(VLOOKUP(Sheet1!CY8,hhdcap_wcm,4)-(((VLOOKUP(Sheet1!CY8,hhdcap_wcm,3)-Sheet1!CY8)/(VLOOKUP(Sheet1!CY8,hhdcap_wcm,3)-VLOOKUP(Sheet1!CY8,hhdcap_wcm,1)))*(VLOOKUP(Sheet1!CY8,hhdcap_wcm,4)-VLOOKUP(Sheet1!CY8,hhdcap_wcm,2))))</f>
        <v>2136.600000003074</v>
      </c>
      <c r="AC8" s="697" t="e">
        <f>AB8-#REF!</f>
        <v>#REF!</v>
      </c>
      <c r="AD8" s="712">
        <f>(IF(AND(B8&gt;=FS8,B8&lt;FV8),MIN(AR8+BK8+CF8+CY8,FU8),IF(B8=FV8,FW8,IF(AND(B8&gt;FV8,B8&lt;FX8),AR8+BK8+CF8+CY8,IF(B8&gt;=FX8,0,0)))))</f>
        <v>0</v>
      </c>
      <c r="AE8" s="697">
        <f t="shared" ref="AE8:AE26" si="7">AD8*MGtoAF</f>
        <v>0</v>
      </c>
      <c r="AF8" s="697">
        <f>Sheet1!BA8+Sheet1!BB8+Sheet1!BN8+BT8</f>
        <v>14.8</v>
      </c>
      <c r="AG8" s="697">
        <f t="shared" ref="AG8:AG17" si="8">AF8+(DE8*AF8)</f>
        <v>15.050847457627118</v>
      </c>
      <c r="AH8" s="697">
        <f>Sheet1!BA8+BT8</f>
        <v>0</v>
      </c>
      <c r="AI8" s="697">
        <f>Sheet1!BA8+Sheet1!BB8+BT8</f>
        <v>0</v>
      </c>
      <c r="AJ8" s="697" t="e">
        <f>IF((Sheet1!AA8+AG8+AX8+AZ8+BQ8+BS8+CL8+CN8)&lt;=N8,AG8+AX8+AZ8+BQ8+BS8+CL8+CN8,N8-Sheet1!AA8)</f>
        <v>#REF!</v>
      </c>
      <c r="AK8" s="712" t="e">
        <f>IF(DR8&lt;K8,0,MAX(Sheet1!AA8+AG8-15/36*K8-N8,Sheet1!ED8,0))</f>
        <v>#REF!</v>
      </c>
      <c r="AL8" s="697">
        <f>IF(OR(B8&gt;=FT8,B8&lt;FS8),0,15/36*K8-MAX(0,64.6-(137.6-(Sheet1!AA8+Sheet1!AB8))))</f>
        <v>0</v>
      </c>
      <c r="AM8" s="712">
        <f>Sheet1!CX8-110</f>
        <v>784.69791666666663</v>
      </c>
      <c r="AN8" s="712">
        <f>Sheet1!CW8-265</f>
        <v>1442.0833333333333</v>
      </c>
      <c r="AO8" s="712" t="e">
        <f t="shared" ref="AO8" si="9">73-N8</f>
        <v>#REF!</v>
      </c>
      <c r="AP8" s="712" t="e">
        <f>IF(AM8-AN8-AO8&lt;0,0,AM8-AN8-AO8)</f>
        <v>#REF!</v>
      </c>
      <c r="AQ8" s="712" t="e">
        <f t="shared" ref="AQ8:AQ26" si="10">IF(AP8&lt;=0,0,AP8/1.547)</f>
        <v>#REF!</v>
      </c>
      <c r="AR8" s="697">
        <f t="shared" ref="AR8:AR17" si="11">GE8+GG8</f>
        <v>0</v>
      </c>
      <c r="AS8" s="697"/>
      <c r="AT8" s="712">
        <f ca="1">IF(B8&gt;Summary!$A$1,#N/A,AR8*MGtoAF)</f>
        <v>0</v>
      </c>
      <c r="AU8" s="697">
        <f>Sheet1!BG8+Sheet1!BH8+Sheet1!BI8-BC8</f>
        <v>0</v>
      </c>
      <c r="AV8" s="697">
        <f t="shared" ref="AV8:AV17" si="12">AU8+(DE8*AU8)</f>
        <v>0</v>
      </c>
      <c r="AW8" s="697">
        <f>IF(Sheet1!EL8="FM",BC8,0)</f>
        <v>0</v>
      </c>
      <c r="AX8" s="697">
        <f t="shared" ref="AX8:AX17" si="13">AW8+(DE8*AW8)</f>
        <v>0</v>
      </c>
      <c r="AY8" s="697">
        <f>IF(Sheet1!EL8="OTHER",BC8,0)</f>
        <v>0</v>
      </c>
      <c r="AZ8" s="697">
        <f t="shared" ref="AZ8:AZ17" si="14">AY8+(DE8*AY8)</f>
        <v>0</v>
      </c>
      <c r="BA8" s="697">
        <f t="shared" ref="BA8:BA17" si="15">MAX(AU8,AW8,AY8)</f>
        <v>0</v>
      </c>
      <c r="BB8" s="697">
        <f t="shared" ref="BB8:BB17" si="16">MAX(AV8,AX8,AZ8)</f>
        <v>0</v>
      </c>
      <c r="BC8" s="697">
        <f>IF(OR(Sheet1!EL8="FM", Sheet1!EL8="OTHER"),SUM(Sheet1!BG8:'Sheet1'!BI8),0)</f>
        <v>0</v>
      </c>
      <c r="BD8" s="697" t="e">
        <f>IF(AND($B8&gt;=$FL8,$B8&lt;=$FM8),MAX(AV8,Sheet1!EE8,0),MAX(AV8-(7/36)*$K8,0))</f>
        <v>#REF!</v>
      </c>
      <c r="BE8" s="697">
        <f t="shared" ref="BE8:BE17" si="17">IF(B8&gt;=FS8,IF(B8&lt;=FT8,(7/36)*K8-AV8,0),0)</f>
        <v>0</v>
      </c>
      <c r="BF8" s="697" t="e">
        <f>MAX(BB8-BD8,0)</f>
        <v>#REF!</v>
      </c>
      <c r="BG8" s="697">
        <f>IF(AND($O8&gt;0,Sheet1!EI8=1),(1-($O8-Sheet1!$L8)/$O8)*BB8,0)</f>
        <v>0</v>
      </c>
      <c r="BH8" s="697">
        <f>IF(AND(Sheet1!$L8=0,Sheet1!$L7=0, Calculation!BA8&lt;Sheet1!$EE8-0.1,Sheet1!$EE8=Sheet1!$EE7,Sheet1!$EE8=Sheet1!$EE9),Sheet1!$EE8,BB8-BG8)</f>
        <v>0</v>
      </c>
      <c r="BI8" s="697"/>
      <c r="BJ8" s="697"/>
      <c r="BK8" s="697">
        <f t="shared" ref="BK8:BK17" si="18">GL8+GN8</f>
        <v>0</v>
      </c>
      <c r="BL8" s="697"/>
      <c r="BM8" s="712">
        <f ca="1">IF(B8&gt;Summary!$A$1,#N/A,BK8*MGtoAF)</f>
        <v>0</v>
      </c>
      <c r="BN8" s="697">
        <f>Sheet1!BC8+Sheet1!BD8+Sheet1!BE8+Sheet1!BF8-BW8-BX8</f>
        <v>0.8600000000000001</v>
      </c>
      <c r="BO8" s="697">
        <f t="shared" ref="BO8:BO17" si="19">BN8+(DE8*BN8)</f>
        <v>0.87457627118644066</v>
      </c>
      <c r="BP8" s="697">
        <f>IF(Sheet1!EM8="FM",BX8,0)</f>
        <v>0</v>
      </c>
      <c r="BQ8" s="697">
        <f t="shared" ref="BQ8:BQ17" si="20">BP8+(DE8*BP8)</f>
        <v>0</v>
      </c>
      <c r="BR8" s="697">
        <f>IF(Sheet1!EM8="OTHER",BX8,0)</f>
        <v>0</v>
      </c>
      <c r="BS8" s="697">
        <f t="shared" ref="BS8:BS17" si="21">BR8+(DE8*BR8)</f>
        <v>0</v>
      </c>
      <c r="BT8" s="697">
        <f t="shared" ref="BT8:BT17" si="22">BW8</f>
        <v>0</v>
      </c>
      <c r="BU8" s="697">
        <f t="shared" ref="BU8:BU17" si="23">MAX(BN8,BP8,BR8)</f>
        <v>0.8600000000000001</v>
      </c>
      <c r="BV8" s="697">
        <f t="shared" ref="BV8:BV17" si="24">MAX(BO8,BQ8, BS8)</f>
        <v>0.87457627118644066</v>
      </c>
      <c r="BW8" s="697">
        <f>IF(Sheet1!EM8="CWA",SUM(Sheet1!BC8:'Sheet1'!BF8),0)</f>
        <v>0</v>
      </c>
      <c r="BX8" s="697">
        <f>IF(OR(Sheet1!EM8="FM", Sheet1!EM8="OTHER"),SUM(Sheet1!BC8:'Sheet1'!BF8),0)</f>
        <v>0</v>
      </c>
      <c r="BY8" s="697" t="e">
        <f>IF(AND($B8&gt;=$FL8,$B8&lt;=$FM8),MAX(BV8,Sheet1!EF8,0),MAX(BV8-(7/36)*$K8,0))</f>
        <v>#REF!</v>
      </c>
      <c r="BZ8" s="697">
        <f t="shared" ref="BZ8:BZ17" si="25">IF(B8&gt;=FS8,IF(B8&lt;=FT8,(7/36)*K8-BO8,0),0)</f>
        <v>0</v>
      </c>
      <c r="CA8" s="697" t="e">
        <f>MAX(BV8-BY8,0)</f>
        <v>#REF!</v>
      </c>
      <c r="CB8" s="697">
        <f>IF(AND($O8&gt;0,Sheet1!EJ8=1),(1-($O8-Sheet1!$L8)/$O8)*BV8,0)</f>
        <v>0</v>
      </c>
      <c r="CC8" s="697">
        <f>IF(AND(Sheet1!$L8=0,Sheet1!$L7=0, Calculation!BU8&lt;Sheet1!$EF8-0.1,Sheet1!$EF8=Sheet1!$EF7,Sheet1!$EF8=Sheet1!$EF9),Sheet1!$EF8,BV8-CB8)</f>
        <v>0.87457627118644066</v>
      </c>
      <c r="CD8" s="697"/>
      <c r="CE8" s="697"/>
      <c r="CF8" s="697">
        <f t="shared" ref="CF8:CF17" si="26">GS8+GU8</f>
        <v>0</v>
      </c>
      <c r="CG8" s="697"/>
      <c r="CH8" s="712">
        <f ca="1">IF(B8&gt;Summary!$A$1,#N/A,CF8*MGtoAF)</f>
        <v>0</v>
      </c>
      <c r="CI8" s="697">
        <f>Sheet1!BK8+Sheet1!BL8+Sheet1!BM8-Sheet1!EN8-CQ8</f>
        <v>2.04</v>
      </c>
      <c r="CJ8" s="697">
        <f t="shared" ref="CJ8:CJ17" si="27">CI8+(DE8*CI8)</f>
        <v>2.0745762711864404</v>
      </c>
      <c r="CK8" s="697">
        <f>IF(Sheet1!EN8="FM",CQ8,0)</f>
        <v>0</v>
      </c>
      <c r="CL8" s="697">
        <f t="shared" ref="CL8:CL17" si="28">CK8+(DE8*CK8)</f>
        <v>0</v>
      </c>
      <c r="CM8" s="697">
        <f>IF(Sheet1!EN8="OTHER",CQ8,0)</f>
        <v>0</v>
      </c>
      <c r="CN8" s="697">
        <f t="shared" ref="CN8:CN17" si="29">CM8+(DE8*CM8)</f>
        <v>0</v>
      </c>
      <c r="CO8" s="697">
        <f t="shared" ref="CO8:CO17" si="30">MAX(CI8,CK8)</f>
        <v>2.04</v>
      </c>
      <c r="CP8" s="697">
        <f t="shared" ref="CP8:CP17" si="31">MAX(CJ8,CL8)</f>
        <v>2.0745762711864404</v>
      </c>
      <c r="CQ8" s="697">
        <f>IF(OR(Sheet1!EN8="FM", Sheet1!EN8="OTHER"),SUM(Sheet1!BK8:'Sheet1'!BM8),0)</f>
        <v>0</v>
      </c>
      <c r="CR8" s="697" t="e">
        <f>IF(AND($B8&gt;=$FL8,$B8&lt;=$FM8),MAX($CJ8,Sheet1!EG8,0),MAX($CJ8-(7/36)*$K8,0))</f>
        <v>#REF!</v>
      </c>
      <c r="CS8" s="697">
        <f t="shared" ref="CS8:CS17" si="32">IF(B8&gt;=FS8,IF(B8&lt;=FT8,(7/36)*K8-CJ8,0),0)</f>
        <v>0</v>
      </c>
      <c r="CT8" s="697" t="e">
        <f>MAX(CP8-CR8,0)</f>
        <v>#REF!</v>
      </c>
      <c r="CU8" s="697">
        <f>IF(AND($O8&gt;0,Sheet1!EK8=1),(1-($O8-Sheet1!$L8)/$O8)*CP8,0)</f>
        <v>0</v>
      </c>
      <c r="CV8" s="697">
        <f>IF(AND(Sheet1!$L8=0,Sheet1!$L7=0, Calculation!CO8&lt;Sheet1!$EG8-0.1,Sheet1!$EG8=Sheet1!$EG7,Sheet1!$EG8=Sheet1!$EG9),Sheet1!$EG8,CP8-CU8)</f>
        <v>2.0745762711864404</v>
      </c>
      <c r="CW8" s="697">
        <f t="shared" ref="CW8:CW71" si="33">CP8-CV8</f>
        <v>0</v>
      </c>
      <c r="CX8" s="697"/>
      <c r="CY8" s="697">
        <f t="shared" ref="CY8:CY17" si="34">GZ8+HB8</f>
        <v>0</v>
      </c>
      <c r="CZ8" s="697">
        <f t="shared" ref="CZ8:CZ17" si="35">BB8+BV8+CP8</f>
        <v>2.949152542372881</v>
      </c>
      <c r="DA8" s="712">
        <f ca="1">IF(B8&gt;Summary!$A$1,#N/A,CY8*MGtoAF)</f>
        <v>0</v>
      </c>
      <c r="DB8" s="697">
        <f t="shared" ref="DB8:DB17" si="36">CO8+BU8+BA8</f>
        <v>2.9000000000000004</v>
      </c>
      <c r="DC8" s="697">
        <f t="shared" ref="DC8:DC17" si="37">DB8+AF8</f>
        <v>17.700000000000003</v>
      </c>
      <c r="DD8" s="697">
        <f>Sheet1!AB8-DC8</f>
        <v>0.29999999999999716</v>
      </c>
      <c r="DE8" s="697">
        <f t="shared" ref="DE8:DE17" si="38">IF(DC8=0,0,DD8/DC8)</f>
        <v>1.6949152542372718E-2</v>
      </c>
      <c r="DF8" s="697">
        <f>(VLOOKUP(Sheet1!CY8,hhdcap_wcm,4)-(((VLOOKUP(Sheet1!CY8,hhdcap_wcm,3)-Sheet1!CY8)/(VLOOKUP(Sheet1!CY8,hhdcap_wcm,3)-VLOOKUP(Sheet1!CY8,hhdcap_wcm,1)))*(VLOOKUP(Sheet1!CY8,hhdcap_wcm,4)-VLOOKUP(Sheet1!CY8,hhdcap_wcm,2))))</f>
        <v>2136.600000003074</v>
      </c>
      <c r="DG8" s="697" t="e">
        <f>DF8-#REF!</f>
        <v>#REF!</v>
      </c>
      <c r="DH8" s="697" t="e">
        <f t="shared" ref="DH8:DH26" si="39">DG8*AFtoCFS</f>
        <v>#REF!</v>
      </c>
      <c r="DI8" s="697">
        <f>IF(B8=FU8,15/36*FU8-GG8,IF(B8=FV8,,0))+Sheet1!DW8*AFtoMG</f>
        <v>0</v>
      </c>
      <c r="DJ8" s="697">
        <f>Sheet1!DX8*AFtoMG</f>
        <v>0</v>
      </c>
      <c r="DK8" s="697">
        <f>Sheet1!DY8*AFtoMG</f>
        <v>0</v>
      </c>
      <c r="DL8" s="697">
        <f>Sheet1!DZ8*AFtoMG</f>
        <v>0</v>
      </c>
      <c r="DM8" s="697">
        <f t="shared" ref="DM8:DM17" si="40">SUM(DI8:DL8)</f>
        <v>0</v>
      </c>
      <c r="DN8" s="697">
        <f t="shared" ref="DN8:DN26" si="41">DM8*MGtoAF</f>
        <v>0</v>
      </c>
      <c r="DO8" s="697">
        <f t="shared" ref="DO8:DO17" si="42">AD8</f>
        <v>0</v>
      </c>
      <c r="DP8" s="697">
        <f t="shared" ref="DP8:DP26" si="43">DO8*MGtoAF</f>
        <v>0</v>
      </c>
      <c r="DQ8" s="697"/>
      <c r="DR8" s="697" t="e">
        <f>IF(OR(B8&lt;FL8,B8&gt;FM8),(MIN(AV8+BO8+CJ8+MAX(Sheet1!AA8+AG8-73,0),K8)),0)</f>
        <v>#REF!</v>
      </c>
      <c r="DS8" s="697"/>
      <c r="DT8" s="697">
        <f t="shared" ref="DT8:DT17" si="44">CJ8+AV8+BO8</f>
        <v>2.949152542372881</v>
      </c>
      <c r="DU8" s="697"/>
      <c r="DV8" s="697">
        <f>Sheet1!ED8+Sheet1!EE8+Sheet1!EF8+Sheet1!EG8</f>
        <v>9.5</v>
      </c>
      <c r="DW8" s="697"/>
      <c r="DX8" s="697" t="e">
        <f>DR8-BF8-CA8-CT8</f>
        <v>#REF!</v>
      </c>
      <c r="DY8" s="697">
        <f>IF(Sheet1!FN8=1,SUM('Calculations II'!AT8:BA8)+'Calculations II'!BC8+Sheet1!BU8+'Calculations II'!BE8+AF8,SUM('Calculations II'!AT8:BA8)+'Calculations II'!BC8+Sheet1!BU8+'Calculations II'!BE8+AF8)</f>
        <v>39.091008000000002</v>
      </c>
      <c r="DZ8" s="697">
        <f>Sheet1!AA8+Sheet1!AB8+'Calculations II'!BC8</f>
        <v>48</v>
      </c>
      <c r="EA8" s="697"/>
      <c r="EB8" s="697"/>
      <c r="EC8" s="697">
        <f t="shared" ref="EC8:EC17" si="45">B8</f>
        <v>40537</v>
      </c>
      <c r="ED8" s="697" t="e">
        <f t="shared" ref="ED8:ED17" si="46">Z8-X8</f>
        <v>#REF!</v>
      </c>
      <c r="EE8" s="697" t="e">
        <f t="shared" ref="EE8:EE17" si="47">AA8-Y8</f>
        <v>#REF!</v>
      </c>
      <c r="EF8" s="697" t="e">
        <f>-(VLOOKUP(Sheet1!BQ8,Lookup!$B$4:$J$236,2)-VLOOKUP(Sheet1!#REF!,Lookup!$B$4:$J$236,2))/1000000</f>
        <v>#REF!</v>
      </c>
      <c r="EG8" s="697" t="e">
        <f>-(VLOOKUP(Sheet1!BR8,Lookup!$B$4:$J$236,3)-VLOOKUP(Sheet1!#REF!,Lookup!$B$4:$J$236,3))/1000000</f>
        <v>#REF!</v>
      </c>
      <c r="EH8" s="697" t="e">
        <f>-(VLOOKUP(Sheet1!BS8,Lookup!$B$4:$J$236,4)-VLOOKUP(Sheet1!#REF!,Lookup!$B$4:$J$236,4))/1000000</f>
        <v>#REF!</v>
      </c>
      <c r="EI8" s="697" t="e">
        <f ca="1">IF(B8&lt;Summary!$A$1,EH8+EG8+EF8,"N/A")</f>
        <v>#REF!</v>
      </c>
      <c r="EJ8" s="697"/>
      <c r="EK8" s="697"/>
      <c r="EL8" s="697"/>
      <c r="EM8" s="697"/>
      <c r="EN8" s="697"/>
      <c r="EO8" s="697"/>
      <c r="EP8" s="697"/>
      <c r="EQ8" s="697"/>
      <c r="ER8" s="697">
        <v>0</v>
      </c>
      <c r="ES8" s="697"/>
      <c r="ET8" s="794" t="e">
        <f>VLOOKUP(#REF!,hhdelev_wcm,4) -(((VLOOKUP(#REF!,hhdelev_wcm,3)-#REF!)/(VLOOKUP(#REF!,hhdelev_wcm,3)-VLOOKUP(#REF!,hhdelev_wcm,1)))*(VLOOKUP(#REF!,hhdelev_wcm,4)-VLOOKUP(#REF!,hhdelev_wcm,2)))</f>
        <v>#REF!</v>
      </c>
      <c r="EU8" s="794" t="e">
        <f>MAX((EU7-EY8*1.983),0)</f>
        <v>#VALUE!</v>
      </c>
      <c r="EV8" s="795" t="e">
        <f t="shared" ref="EV8:EV71" si="48">IF(DF8-AE8-EU8-1220&lt;0,0,DF8-AE8-EU8-1220)</f>
        <v>#VALUE!</v>
      </c>
      <c r="EW8" s="796" t="s">
        <v>757</v>
      </c>
      <c r="EX8" s="796" t="s">
        <v>757</v>
      </c>
      <c r="EY8" s="794">
        <v>0</v>
      </c>
      <c r="EZ8" s="794" t="e">
        <v>#N/A</v>
      </c>
      <c r="FA8" s="697"/>
      <c r="FB8" s="697"/>
      <c r="FC8" s="697"/>
      <c r="FD8" s="697"/>
      <c r="FE8" s="697">
        <f>O8+Sheet1!CO8</f>
        <v>48</v>
      </c>
      <c r="FF8" s="697" t="e">
        <f>IF(Sheet1!AA8+AG8&lt;=Calculation!N8,AG8,Calculation!N8-Sheet1!AA8)</f>
        <v>#REF!</v>
      </c>
      <c r="FG8" s="712">
        <f>(Sheet1!BP8+Sheet1!BO8)/694.4</f>
        <v>2.6015264976958528</v>
      </c>
      <c r="FH8" s="697"/>
      <c r="FI8" s="697"/>
      <c r="FJ8" s="697"/>
      <c r="FK8" s="697"/>
      <c r="FL8" s="714">
        <v>40753</v>
      </c>
      <c r="FM8" s="714">
        <v>40851</v>
      </c>
      <c r="FN8" s="697"/>
      <c r="FO8" s="715"/>
      <c r="FP8" s="716"/>
      <c r="FQ8" s="717" t="s">
        <v>699</v>
      </c>
      <c r="FR8" s="718">
        <f>YEARFRAC(FS8,FT8)*365</f>
        <v>105.44444444444443</v>
      </c>
      <c r="FS8" s="714">
        <v>40603</v>
      </c>
      <c r="FT8" s="714">
        <v>40709</v>
      </c>
      <c r="FU8" s="697">
        <f>20000/3.068</f>
        <v>6518.9048239895692</v>
      </c>
      <c r="FV8" s="714">
        <v>40722</v>
      </c>
      <c r="FW8" s="697">
        <f>FU8/2</f>
        <v>3259.4524119947846</v>
      </c>
      <c r="FX8" s="714">
        <v>40851</v>
      </c>
      <c r="FZ8" s="697">
        <f t="shared" ref="FZ8:FZ71" si="49">IF(B8=FT8,AFtoMG*(20000-AE7),GB8+GP8+GI8+GW8)</f>
        <v>0</v>
      </c>
      <c r="GA8" s="697" t="str">
        <f t="shared" ref="GA8:GA17" si="50">CONCATENATE(GC8,GQ8,GJ8,GX8)</f>
        <v/>
      </c>
      <c r="GB8" s="697">
        <f t="shared" ref="GB8:GB17" si="51">IF(GF8&gt;=8333.33,AL8,0)</f>
        <v>0</v>
      </c>
      <c r="GC8" s="697" t="str">
        <f t="shared" ref="GC8:GC17" si="52">IF(AND(GF8&lt;8333.33,FZ8&gt;0),"T","")</f>
        <v/>
      </c>
      <c r="GD8" s="697">
        <f>IF(GA8="P",Lookup!$M$12,IF(GA8="PP",Lookup!$M$13,IF(GA8="PPP",Lookup!$M$14,IF(GA8="T",Lookup!$M$15,IF(GA8="TP",Lookup!$M$16,IF(GA8="TPP",Lookup!$M$17,IF(GA8="TPPP",Lookup!$M$18,0)))))))*FZ8</f>
        <v>0</v>
      </c>
      <c r="GE8" s="697">
        <f t="shared" ref="GE8:GE17" si="53">IF(GC8="T",GD8,0)</f>
        <v>0</v>
      </c>
      <c r="GF8" s="697">
        <f t="shared" ref="GF8:GF17" si="54">GG8*MGtoAF</f>
        <v>0</v>
      </c>
      <c r="GG8" s="697">
        <f>(IF(AND(B8&lt;FV8,B8&gt;=FS8),MIN(#REF!+AL8-AK8,15/36*FU8),IF(B8=FV8,15/36*FW8,IF(AND(B8&gt;FV8,B8&lt;FX8),MIN(#REF!+AL8-AK8,15/36*FW8),IF(B8&gt;=FX8,0,0)))))+DI8</f>
        <v>0</v>
      </c>
      <c r="GH8" s="697"/>
      <c r="GI8" s="697">
        <f t="shared" ref="GI8:GI17" si="55">IF(GM8&gt;=3888.88,BE8,0)</f>
        <v>0</v>
      </c>
      <c r="GJ8" s="697" t="str">
        <f t="shared" ref="GJ8:GJ17" si="56">IF(AND(GM8&lt;3888.88,FZ8&gt;0),"P","")</f>
        <v/>
      </c>
      <c r="GK8" s="697">
        <f>IF(GA8="P",Lookup!$N$12,IF(GA8="PP",Lookup!$N$13,IF(GA8="PPP",Lookup!$N$14,IF(GA8="T",Lookup!$N$15,IF(GA8="TP",Lookup!$N$16,IF(GA8="TPP",Lookup!$N$17,IF(GA8="TPPP",Lookup!$N$18,0)))))))*FZ8</f>
        <v>0</v>
      </c>
      <c r="GL8" s="697">
        <f t="shared" ref="GL8:GL17" si="57">IF(GJ8="P",GK8,0)</f>
        <v>0</v>
      </c>
      <c r="GM8" s="697">
        <f t="shared" ref="GM8:GM17" si="58">GN8*MGtoAF</f>
        <v>0</v>
      </c>
      <c r="GN8" s="697">
        <f>(IF(AND(B8&lt;FV8,B8&gt;=FS8),MIN(#REF!+BE8-BD8,7/36*FU8),IF(B8=FV8,7/36*FW8,IF(AND(B8&gt;FV8,B8&lt;FX8),MIN(#REF!+BE8-BD8,7/36*FW8),IF(B8&gt;=FX8,0,0)))))+DJ8</f>
        <v>0</v>
      </c>
      <c r="GO8" s="697"/>
      <c r="GP8" s="697">
        <f t="shared" ref="GP8:GP17" si="59">IF(GT8&gt;=8333.33,BZ8,0)</f>
        <v>0</v>
      </c>
      <c r="GQ8" s="697" t="str">
        <f t="shared" ref="GQ8:GQ17" si="60">IF(AND(GT8&lt;3888.88,FZ8&gt;0),"P","")</f>
        <v/>
      </c>
      <c r="GR8" s="697">
        <f>IF(GA8="P",Lookup!$N$12,IF(GA8="PP",Lookup!$N$13,IF(GA8="PPP",Lookup!$N$14,IF(GA8="T",Lookup!$N$15,IF(GA8="TP",Lookup!$N$16,IF(GA8="TPP",Lookup!$N$17,IF(GA8="TPPP",Lookup!$N$18,0)))))))*FZ8</f>
        <v>0</v>
      </c>
      <c r="GS8" s="697">
        <f>IF(GQ8="P",MIN(GR8,7/36*FU8-GU8),0)</f>
        <v>0</v>
      </c>
      <c r="GT8" s="697">
        <f t="shared" ref="GT8:GT17" si="61">GU8*MGtoAF</f>
        <v>0</v>
      </c>
      <c r="GU8" s="697">
        <f>IF(AND(B8&lt;FV8,B8&gt;=FS8),MIN(#REF!+BZ8-BY8,7/36*FU8),IF(B8=FV8,7/36*FW8,IF(AND(B8&gt;FV8,B8&lt;FX8),MIN(#REF!+BZ8-BY8,7/36*FW8),IF(B8&gt;=FX8,0,0))))+DK8</f>
        <v>0</v>
      </c>
      <c r="GV8" s="697"/>
      <c r="GW8" s="697">
        <f t="shared" ref="GW8:GW17" si="62">IF(HA8&gt;=3888.88,CS8,0)</f>
        <v>0</v>
      </c>
      <c r="GX8" s="697" t="str">
        <f t="shared" ref="GX8:GX17" si="63">IF(AND(HA8&lt;3888.88,FZ8&gt;0),"P","")</f>
        <v/>
      </c>
      <c r="GY8" s="697">
        <f>IF(GA8="P",Lookup!$N$12,IF(GA8="PP",Lookup!$N$13,IF(GA8="PPP",Lookup!$N$14,IF(GA8="T",Lookup!$N$15,IF(GA8="TP",Lookup!$N$16,IF(GA8="TPP",Lookup!$N$17,IF(GA8="TPPP",Lookup!$N$18,0)))))))*FZ8</f>
        <v>0</v>
      </c>
      <c r="GZ8" s="697">
        <f>IF(GX8="P",MIN(GY8,7/36*FU8-HB8),0)</f>
        <v>0</v>
      </c>
      <c r="HA8" s="697">
        <f t="shared" ref="HA8:HA17" si="64">HB8*MGtoAF</f>
        <v>0</v>
      </c>
      <c r="HB8" s="697">
        <f>(IF(AND(B8&lt;FV8,B8&gt;=FS8),MIN(#REF!+CS8-CR8,7/36*FU8),IF(B8=FV8,7/36*FW8,IF(AND(B8&gt;FV8,B8&lt;FX8),MIN(#REF!+CS8-CR8,7/36*FW8),IF(B8&gt;=FX8,0,0)))))+DL8</f>
        <v>0</v>
      </c>
      <c r="HC8" s="697"/>
    </row>
    <row r="9" spans="1:211">
      <c r="A9" s="773" t="s">
        <v>3</v>
      </c>
      <c r="B9" s="708">
        <v>40538</v>
      </c>
      <c r="C9" s="719">
        <v>0.5</v>
      </c>
      <c r="D9" s="675">
        <f t="shared" ref="D9:D72" si="65">IF(AND(B9&gt;=DATE($A$1,7,15),B9&lt;=DATE($A$1,9,15)),200,300)</f>
        <v>300</v>
      </c>
      <c r="E9" s="675">
        <f t="shared" ref="E9:E72" si="66">IF(AND(B9&gt;=DATE($A$1,7,15),B9&lt;=DATE($A$1,9,15)),400,250)</f>
        <v>250</v>
      </c>
      <c r="F9" s="675">
        <v>250</v>
      </c>
      <c r="G9" s="712">
        <f>DH9+Sheet1!CV9</f>
        <v>891.15683308128064</v>
      </c>
      <c r="H9" s="712">
        <f t="shared" si="0"/>
        <v>309.08057690373977</v>
      </c>
      <c r="I9" s="711">
        <f>MAX(Sheet1!Z9-AJ9+(Sheet1!CW9-E9)*CFStoMGD,0)</f>
        <v>890.42870422535407</v>
      </c>
      <c r="J9" s="720">
        <f>IF(AND(B9&gt;=Calculation!FS9,B9&lt;=Calculation!FT9),IF(Sheet1!CX9&gt;=Calculation!D9,64.64,0),MAX(Sheet1!Z9-AJ9+(Sheet1!CX9-D9)*CFStoMGD,0))</f>
        <v>371.67250422535415</v>
      </c>
      <c r="K9" s="697">
        <f t="shared" ref="K9:K72" si="67">MAX(MIN(H9:J9,64.64),0)</f>
        <v>64.64</v>
      </c>
      <c r="L9" s="712">
        <f>Sheet1!AA9+Sheet1!AB9-Sheet1!L9+(Sheet1!CW9-F9)*CFStoMGD</f>
        <v>939.55799999999704</v>
      </c>
      <c r="M9" s="712">
        <f t="shared" si="1"/>
        <v>587.56465244181459</v>
      </c>
      <c r="N9" s="712">
        <f>IF(Sheet1!CW9&gt;=F9,MIN(73,MIN(MAX(L9,0),MAX(M9,0))),0)</f>
        <v>73</v>
      </c>
      <c r="O9" s="721">
        <f>Sheet1!AA9+Sheet1!AB9</f>
        <v>49.94999999999709</v>
      </c>
      <c r="P9" s="721">
        <f t="shared" si="2"/>
        <v>77.272649999995494</v>
      </c>
      <c r="Q9" s="712">
        <f>MIN(N9,Sheet1!AA9+AG9)</f>
        <v>44.049295774645842</v>
      </c>
      <c r="R9" s="712">
        <f t="shared" si="3"/>
        <v>5.9007042253512516</v>
      </c>
      <c r="S9" s="721">
        <f>Sheet1!Y9*MGDtoCFS</f>
        <v>45.976839999999996</v>
      </c>
      <c r="T9" s="721">
        <f>Sheet1!Z9*MGDtoCFS</f>
        <v>23.003889999999998</v>
      </c>
      <c r="U9" s="721">
        <f>Sheet1!AA9*MGDtoCFS</f>
        <v>46.41</v>
      </c>
      <c r="V9" s="721">
        <f>Sheet1!AB9*MGDtoCFS</f>
        <v>30.862649999995497</v>
      </c>
      <c r="W9" s="721">
        <f>Sheet1!L9*MGDtoCFS</f>
        <v>0</v>
      </c>
      <c r="X9" s="697">
        <f t="shared" ref="X9:X72" si="68">AK9+BD9+BY9+CR9</f>
        <v>0</v>
      </c>
      <c r="Y9" s="712">
        <f t="shared" si="4"/>
        <v>0</v>
      </c>
      <c r="Z9" s="712">
        <f t="shared" si="5"/>
        <v>0</v>
      </c>
      <c r="AA9" s="712">
        <f t="shared" si="6"/>
        <v>0</v>
      </c>
      <c r="AB9" s="712">
        <f>(VLOOKUP(Sheet1!CY9,hhdcap_wcm,4)-(((VLOOKUP(Sheet1!CY9,hhdcap_wcm,3)-Sheet1!CY9)/(VLOOKUP(Sheet1!CY9,hhdcap_wcm,3)-VLOOKUP(Sheet1!CY9,hhdcap_wcm,1)))*(VLOOKUP(Sheet1!CY9,hhdcap_wcm,4)-VLOOKUP(Sheet1!CY9,hhdcap_wcm,2))))</f>
        <v>2202.3500000032536</v>
      </c>
      <c r="AC9" s="712">
        <f t="shared" ref="AC9:AC17" si="69">AB9-AB8</f>
        <v>65.750000000179625</v>
      </c>
      <c r="AD9" s="712">
        <f t="shared" ref="AD9:AD72" si="70">(IF(AND(B9&gt;=FS9,B9&lt;FV9),MIN(AR9+BK9+CF9+CY9,FU9),IF(B9=FV9,FW9,IF(AND(B9&gt;FV9,B9&lt;FX9),AR9+BK9+CF9+CY9,IF(B9&gt;=FX9,0,0)))))</f>
        <v>0</v>
      </c>
      <c r="AE9" s="712">
        <f t="shared" si="7"/>
        <v>0</v>
      </c>
      <c r="AF9" s="712">
        <f>Sheet1!BA9+Sheet1!BB9+Sheet1!BN9+BT9</f>
        <v>14</v>
      </c>
      <c r="AG9" s="712">
        <f t="shared" si="8"/>
        <v>14.049295774645838</v>
      </c>
      <c r="AH9" s="712">
        <f>Sheet1!BA9+BT9</f>
        <v>0</v>
      </c>
      <c r="AI9" s="712">
        <f>Sheet1!BA9+Sheet1!BB9+BT9</f>
        <v>0</v>
      </c>
      <c r="AJ9" s="712">
        <f>IF((Sheet1!AA9+AG9+AX9+AZ9+BQ9+BS9+CL9+CN9)&lt;=N9,AG9+AX9+AZ9+BQ9+BS9+CL9+CN9,N9-Sheet1!AA9)</f>
        <v>14.049295774645838</v>
      </c>
      <c r="AK9" s="712">
        <f>IF(DR9&lt;K9,0,MAX(Sheet1!AA9+AG9-15/36*K9-N9,Sheet1!ED9,0))</f>
        <v>0</v>
      </c>
      <c r="AL9" s="712">
        <f>IF(OR(B9&gt;=FT9,B9&lt;FS9),0,15/36*K9-MAX(0,64.6-(137.6-(Sheet1!AA9+Sheet1!AB9))))</f>
        <v>0</v>
      </c>
      <c r="AM9" s="712">
        <f>Sheet1!CX9-110</f>
        <v>763.71875</v>
      </c>
      <c r="AN9" s="712">
        <f>Sheet1!CW9-265</f>
        <v>1361.25</v>
      </c>
      <c r="AO9" s="712">
        <f t="shared" ref="AO9:AO72" si="71">N9-Q9</f>
        <v>28.950704225354158</v>
      </c>
      <c r="AP9" s="712">
        <f t="shared" ref="AP9:AP72" si="72">IF(OR(AM9-AN9-(AO9*1.547)&lt;0,AN9&gt;350),0,AM9-AN9-(AO9*1.547))</f>
        <v>0</v>
      </c>
      <c r="AQ9" s="712">
        <f t="shared" si="10"/>
        <v>0</v>
      </c>
      <c r="AR9" s="712">
        <f t="shared" si="11"/>
        <v>0</v>
      </c>
      <c r="AS9" s="712"/>
      <c r="AT9" s="712">
        <f ca="1">IF(B9&gt;Summary!$A$1,#N/A,AR9*MGtoAF)</f>
        <v>0</v>
      </c>
      <c r="AU9" s="712">
        <f>Sheet1!BG9+Sheet1!BH9+Sheet1!BI9-BC9</f>
        <v>0</v>
      </c>
      <c r="AV9" s="712">
        <f t="shared" si="12"/>
        <v>0</v>
      </c>
      <c r="AW9" s="712">
        <f>IF(Sheet1!EL9="FM",BC9,0)</f>
        <v>0</v>
      </c>
      <c r="AX9" s="712">
        <f t="shared" si="13"/>
        <v>0</v>
      </c>
      <c r="AY9" s="712">
        <f>IF(Sheet1!EL9="OTHER",BC9,0)</f>
        <v>0</v>
      </c>
      <c r="AZ9" s="712">
        <f t="shared" si="14"/>
        <v>0</v>
      </c>
      <c r="BA9" s="712">
        <f t="shared" si="15"/>
        <v>0</v>
      </c>
      <c r="BB9" s="712">
        <f t="shared" si="16"/>
        <v>0</v>
      </c>
      <c r="BC9" s="712">
        <f>IF(OR(Sheet1!EL9="FM", Sheet1!EL9="OTHER"),SUM(Sheet1!BG9:'Sheet1'!BI9),0)</f>
        <v>0</v>
      </c>
      <c r="BD9" s="697">
        <f>IF(AND($B9&gt;=$FL9,$B9&lt;=$FM9),MAX(AV9,Sheet1!EE9,0),MAX(AV9-(7/36)*$K9,0))</f>
        <v>0</v>
      </c>
      <c r="BE9" s="712">
        <f t="shared" si="17"/>
        <v>0</v>
      </c>
      <c r="BF9" s="697">
        <f t="shared" ref="BF9:BF72" si="73">MAX(BB9-BD9,0)</f>
        <v>0</v>
      </c>
      <c r="BG9" s="697">
        <f>IF(AND($O9&gt;0,Sheet1!EI9=1),(1-($O9-Sheet1!$L9)/$O9)*BB9,0)</f>
        <v>0</v>
      </c>
      <c r="BH9" s="697">
        <f>IF(AND(Sheet1!$L9=0,Sheet1!$L8=0, Calculation!BA9&lt;Sheet1!$EE9-0.1,Sheet1!$EE9=Sheet1!$EE8,Sheet1!$EE9=Sheet1!$EE10),Sheet1!$EE9,BB9-BG9)</f>
        <v>0</v>
      </c>
      <c r="BI9" s="712"/>
      <c r="BJ9" s="712"/>
      <c r="BK9" s="712">
        <f t="shared" si="18"/>
        <v>0</v>
      </c>
      <c r="BL9" s="712"/>
      <c r="BM9" s="712">
        <f ca="1">IF(B9&gt;Summary!$A$1,#N/A,BK9*MGtoAF)</f>
        <v>0</v>
      </c>
      <c r="BN9" s="712">
        <f>Sheet1!BC9+Sheet1!BD9+Sheet1!BE9+Sheet1!BF9-BW9-BX9</f>
        <v>1.71</v>
      </c>
      <c r="BO9" s="712">
        <f t="shared" si="19"/>
        <v>1.7160211267603132</v>
      </c>
      <c r="BP9" s="712">
        <f>IF(Sheet1!EM9="FM",BX9,0)</f>
        <v>0</v>
      </c>
      <c r="BQ9" s="712">
        <f t="shared" si="20"/>
        <v>0</v>
      </c>
      <c r="BR9" s="712">
        <f>IF(Sheet1!EM9="OTHER",BX9,0)</f>
        <v>0</v>
      </c>
      <c r="BS9" s="712">
        <f t="shared" si="21"/>
        <v>0</v>
      </c>
      <c r="BT9" s="712">
        <f t="shared" si="22"/>
        <v>0</v>
      </c>
      <c r="BU9" s="712">
        <f t="shared" si="23"/>
        <v>1.71</v>
      </c>
      <c r="BV9" s="712">
        <f t="shared" si="24"/>
        <v>1.7160211267603132</v>
      </c>
      <c r="BW9" s="712">
        <f>IF(Sheet1!EM9="CWA",SUM(Sheet1!BC9:'Sheet1'!BF9),0)</f>
        <v>0</v>
      </c>
      <c r="BX9" s="712">
        <f>IF(OR(Sheet1!EM9="FM", Sheet1!EM9="OTHER"),SUM(Sheet1!BC9:'Sheet1'!BF9),0)</f>
        <v>0</v>
      </c>
      <c r="BY9" s="697">
        <f>IF(AND($B9&gt;=$FL9,$B9&lt;=$FM9),MAX(BV9,Sheet1!EF9,0),MAX(BV9-(7/36)*$K9,0))</f>
        <v>0</v>
      </c>
      <c r="BZ9" s="712">
        <f t="shared" si="25"/>
        <v>0</v>
      </c>
      <c r="CA9" s="697">
        <f t="shared" ref="CA9:CA72" si="74">MAX(BV9-BY9,0)</f>
        <v>1.7160211267603132</v>
      </c>
      <c r="CB9" s="697">
        <f>IF(AND($O9&gt;0,Sheet1!EJ9=1),(1-($O9-Sheet1!$L9)/$O9)*BV9,0)</f>
        <v>0</v>
      </c>
      <c r="CC9" s="697">
        <f>IF(AND(Sheet1!$L9=0,Sheet1!$L8=0, Calculation!BU9&lt;Sheet1!EF9-0.1,Sheet1!EF9=Sheet1!EF8,Sheet1!EF9=Sheet1!EF10),Sheet1!EF9,BV9-CB9)</f>
        <v>1.7160211267603132</v>
      </c>
      <c r="CD9" s="697"/>
      <c r="CE9" s="712"/>
      <c r="CF9" s="712">
        <f t="shared" si="26"/>
        <v>0</v>
      </c>
      <c r="CG9" s="712"/>
      <c r="CH9" s="712">
        <f ca="1">IF(B9&gt;Summary!$A$1,#N/A,CF9*MGtoAF)</f>
        <v>0</v>
      </c>
      <c r="CI9" s="712">
        <f>Sheet1!BK9+Sheet1!BL9+Sheet1!BM9-Sheet1!EN9-CQ9</f>
        <v>4.17</v>
      </c>
      <c r="CJ9" s="712">
        <f t="shared" si="27"/>
        <v>4.1846830985909387</v>
      </c>
      <c r="CK9" s="712">
        <f>IF(Sheet1!EN9="FM",CQ9,0)</f>
        <v>0</v>
      </c>
      <c r="CL9" s="712">
        <f t="shared" si="28"/>
        <v>0</v>
      </c>
      <c r="CM9" s="712">
        <f>IF(Sheet1!EN9="OTHER",CQ9,0)</f>
        <v>0</v>
      </c>
      <c r="CN9" s="712">
        <f t="shared" si="29"/>
        <v>0</v>
      </c>
      <c r="CO9" s="712">
        <f t="shared" si="30"/>
        <v>4.17</v>
      </c>
      <c r="CP9" s="712">
        <f t="shared" si="31"/>
        <v>4.1846830985909387</v>
      </c>
      <c r="CQ9" s="712">
        <f>IF(OR(Sheet1!EN9="FM", Sheet1!EN9="OTHER"),SUM(Sheet1!BK9:'Sheet1'!BM9),0)</f>
        <v>0</v>
      </c>
      <c r="CR9" s="697">
        <f>IF(AND($B9&gt;=$FL9,$B9&lt;=$FM9),MAX($CJ9,Sheet1!EG9,0),MAX($CJ9-(7/36)*$K9,0))</f>
        <v>0</v>
      </c>
      <c r="CS9" s="712">
        <f t="shared" si="32"/>
        <v>0</v>
      </c>
      <c r="CT9" s="697">
        <f t="shared" ref="CT9:CT72" si="75">MAX(CP9-CR9,0)</f>
        <v>4.1846830985909387</v>
      </c>
      <c r="CU9" s="697">
        <f>IF(AND($O9&gt;0,Sheet1!EK9=1),(1-($O9-Sheet1!$L9)/$O9)*CP9,0)</f>
        <v>0</v>
      </c>
      <c r="CV9" s="697">
        <f>IF(AND(Sheet1!$L9=0,Sheet1!$L8=0, Calculation!CO9&lt;Sheet1!$EG9-0.1,Sheet1!$EG9=Sheet1!$EG8,Sheet1!$EG9=Sheet1!$EG10),Sheet1!$EG9,CP9-CU9)</f>
        <v>4.1846830985909387</v>
      </c>
      <c r="CW9" s="697">
        <f t="shared" si="33"/>
        <v>0</v>
      </c>
      <c r="CX9" s="712">
        <f>BA9+BU9+CO9</f>
        <v>5.88</v>
      </c>
      <c r="CY9" s="712">
        <f t="shared" si="34"/>
        <v>0</v>
      </c>
      <c r="CZ9" s="712">
        <f>BB9+BV9+CP9</f>
        <v>5.9007042253512516</v>
      </c>
      <c r="DA9" s="712">
        <f ca="1">IF(B9&gt;Summary!$A$1,#N/A,CY9*MGtoAF)</f>
        <v>0</v>
      </c>
      <c r="DB9" s="712">
        <f t="shared" si="36"/>
        <v>5.88</v>
      </c>
      <c r="DC9" s="712">
        <f t="shared" si="37"/>
        <v>19.88</v>
      </c>
      <c r="DD9" s="712">
        <f>Sheet1!AB9-DC9</f>
        <v>6.9999999997090612E-2</v>
      </c>
      <c r="DE9" s="712">
        <f t="shared" si="38"/>
        <v>3.521126760417033E-3</v>
      </c>
      <c r="DF9" s="712">
        <f>(VLOOKUP(Sheet1!CY9,hhdcap_wcm,4)-(((VLOOKUP(Sheet1!CY9,hhdcap_wcm,3)-Sheet1!CY9)/(VLOOKUP(Sheet1!CY9,hhdcap_wcm,3)-VLOOKUP(Sheet1!CY9,hhdcap_wcm,1)))*(VLOOKUP(Sheet1!CY9,hhdcap_wcm,4)-VLOOKUP(Sheet1!CY9,hhdcap_wcm,2))))</f>
        <v>2202.3500000032536</v>
      </c>
      <c r="DG9" s="712">
        <f t="shared" ref="DG9:DG17" si="76">DF9-DF8</f>
        <v>65.750000000179625</v>
      </c>
      <c r="DH9" s="712">
        <f t="shared" si="39"/>
        <v>33.156833081280695</v>
      </c>
      <c r="DI9" s="712">
        <f>Sheet1!DW9*AFtoMG</f>
        <v>0</v>
      </c>
      <c r="DJ9" s="712">
        <f>Sheet1!DX9*AFtoMG</f>
        <v>0</v>
      </c>
      <c r="DK9" s="712">
        <f>Sheet1!DY9*AFtoMG</f>
        <v>0</v>
      </c>
      <c r="DL9" s="712">
        <f>Sheet1!DZ9*AFtoMG</f>
        <v>0</v>
      </c>
      <c r="DM9" s="712">
        <f t="shared" si="40"/>
        <v>0</v>
      </c>
      <c r="DN9" s="712">
        <f t="shared" si="41"/>
        <v>0</v>
      </c>
      <c r="DO9" s="712">
        <f t="shared" si="42"/>
        <v>0</v>
      </c>
      <c r="DP9" s="712">
        <f t="shared" si="43"/>
        <v>0</v>
      </c>
      <c r="DQ9" s="712"/>
      <c r="DR9" s="697">
        <f>IF(OR(B9&lt;FL9,B9&gt;FM9),(MIN(AV9+BO9+CJ9+MAX(Sheet1!AA9+AG9-73,0),K9)),0)</f>
        <v>5.9007042253512516</v>
      </c>
      <c r="DS9" s="712"/>
      <c r="DT9" s="712">
        <f t="shared" si="44"/>
        <v>5.9007042253512516</v>
      </c>
      <c r="DU9" s="712"/>
      <c r="DV9" s="712">
        <f>Sheet1!ED9+Sheet1!EE9+Sheet1!EF9+Sheet1!EG9</f>
        <v>9.5</v>
      </c>
      <c r="DW9" s="712"/>
      <c r="DX9" s="697">
        <f t="shared" ref="DX9:DX72" si="77">DR9-BF9-CA9-CT9</f>
        <v>0</v>
      </c>
      <c r="DY9" s="712">
        <f>IF(Sheet1!FN9=1,SUM('Calculations II'!AT9:BA9)+'Calculations II'!BC9+Sheet1!BU9+'Calculations II'!BE9+AF9,SUM('Calculations II'!AT9:BA9)+'Calculations II'!BC9+Sheet1!BU9+'Calculations II'!BE9+AF9)</f>
        <v>41.291551999999996</v>
      </c>
      <c r="DZ9" s="712">
        <f>Sheet1!AA9+Sheet1!AB9+'Calculations II'!BC9</f>
        <v>49.94999999999709</v>
      </c>
      <c r="EA9" s="712"/>
      <c r="EB9" s="712"/>
      <c r="EC9" s="712">
        <f t="shared" si="45"/>
        <v>40538</v>
      </c>
      <c r="ED9" s="712">
        <f t="shared" si="46"/>
        <v>0</v>
      </c>
      <c r="EE9" s="712">
        <f t="shared" si="47"/>
        <v>0</v>
      </c>
      <c r="EF9" s="712">
        <f>-(VLOOKUP(Sheet1!BQ9,Lookup!$B$4:$J$236,2)-VLOOKUP(Sheet1!BQ8,Lookup!$B$4:$J$236,2))/1000000</f>
        <v>-0.27050000000000002</v>
      </c>
      <c r="EG9" s="712">
        <f>-(VLOOKUP(Sheet1!BR9,Lookup!$B$4:$J$236,3)-VLOOKUP(Sheet1!BR8,Lookup!$B$4:$J$236,3))/1000000</f>
        <v>-0.27</v>
      </c>
      <c r="EH9" s="712">
        <f>-(VLOOKUP(Sheet1!BS9,Lookup!$B$4:$J$236,4)-VLOOKUP(Sheet1!BS8,Lookup!$B$4:$J$236,4))/1000000</f>
        <v>0</v>
      </c>
      <c r="EI9" s="697">
        <f>EH9+EG9+EF9</f>
        <v>-0.54049999999999998</v>
      </c>
      <c r="EJ9" s="712"/>
      <c r="EK9" s="712"/>
      <c r="EL9" s="712"/>
      <c r="EM9" s="712"/>
      <c r="EN9" s="712"/>
      <c r="EO9" s="712"/>
      <c r="EP9" s="712"/>
      <c r="EQ9" s="712"/>
      <c r="ER9" s="697">
        <v>0</v>
      </c>
      <c r="ES9" s="712"/>
      <c r="ET9" s="794" t="e">
        <f t="shared" ref="ET9:ET17" si="78">VLOOKUP(EZ8,hhdelev_wcm,4) -(((VLOOKUP(EZ8,hhdelev_wcm,3)-EZ8)/(VLOOKUP(EZ8,hhdelev_wcm,3)-VLOOKUP(EZ8,hhdelev_wcm,1)))*(VLOOKUP(EZ8,hhdelev_wcm,4)-VLOOKUP(EZ8,hhdelev_wcm,2)))</f>
        <v>#N/A</v>
      </c>
      <c r="EU9" s="794" t="e">
        <f t="shared" ref="EU9:EU71" si="79">MAX((EU8-EY9*1.983),0)</f>
        <v>#VALUE!</v>
      </c>
      <c r="EV9" s="795" t="e">
        <f t="shared" si="48"/>
        <v>#VALUE!</v>
      </c>
      <c r="EW9" s="796" t="s">
        <v>757</v>
      </c>
      <c r="EX9" s="796" t="s">
        <v>757</v>
      </c>
      <c r="EY9" s="794">
        <v>0</v>
      </c>
      <c r="EZ9" s="794" t="e">
        <v>#N/A</v>
      </c>
      <c r="FA9" s="712"/>
      <c r="FB9" s="712"/>
      <c r="FC9" s="712"/>
      <c r="FD9" s="712"/>
      <c r="FE9" s="712">
        <f>O9+Sheet1!CO9</f>
        <v>49.94999999999709</v>
      </c>
      <c r="FF9" s="712">
        <f>IF(Sheet1!AA9+AG9&lt;=Calculation!N9,AG9,Calculation!N9-Sheet1!AA9)</f>
        <v>14.049295774645838</v>
      </c>
      <c r="FG9" s="712">
        <f>(Sheet1!BP9+Sheet1!BO9)/694.4</f>
        <v>0.88853686635944706</v>
      </c>
      <c r="FH9" s="712"/>
      <c r="FI9" s="712"/>
      <c r="FJ9" s="712"/>
      <c r="FK9" s="712"/>
      <c r="FL9" s="714">
        <f>$FL$8</f>
        <v>40753</v>
      </c>
      <c r="FM9" s="714">
        <f>$FM$8</f>
        <v>40851</v>
      </c>
      <c r="FN9" s="712"/>
      <c r="FO9" s="722"/>
      <c r="FP9" s="721"/>
      <c r="FQ9" s="723" t="s">
        <v>700</v>
      </c>
      <c r="FR9" s="724">
        <f>20000/FR8</f>
        <v>189.6733403582719</v>
      </c>
      <c r="FS9" s="725">
        <f t="shared" ref="FS9:FX9" si="80">FS8</f>
        <v>40603</v>
      </c>
      <c r="FT9" s="714">
        <f>$FT$8</f>
        <v>40709</v>
      </c>
      <c r="FU9" s="712">
        <f t="shared" si="80"/>
        <v>6518.9048239895692</v>
      </c>
      <c r="FV9" s="714">
        <f>$FV$8</f>
        <v>40722</v>
      </c>
      <c r="FW9" s="712">
        <f t="shared" si="80"/>
        <v>3259.4524119947846</v>
      </c>
      <c r="FX9" s="725">
        <f t="shared" si="80"/>
        <v>40851</v>
      </c>
      <c r="FZ9" s="697">
        <f t="shared" si="49"/>
        <v>0</v>
      </c>
      <c r="GA9" s="712" t="str">
        <f t="shared" si="50"/>
        <v/>
      </c>
      <c r="GB9" s="712">
        <f t="shared" si="51"/>
        <v>0</v>
      </c>
      <c r="GC9" s="712" t="str">
        <f t="shared" si="52"/>
        <v/>
      </c>
      <c r="GD9" s="712">
        <f>IF(GA9="P",Lookup!$M$12,IF(GA9="PP",Lookup!$M$13,IF(GA9="PPP",Lookup!$M$14,IF(GA9="T",Lookup!$M$15,IF(GA9="TP",Lookup!$M$16,IF(GA9="TPP",Lookup!$M$17,IF(GA9="TPPP",Lookup!$M$18,0)))))))*FZ9</f>
        <v>0</v>
      </c>
      <c r="GE9" s="712">
        <f t="shared" si="53"/>
        <v>0</v>
      </c>
      <c r="GF9" s="712">
        <f t="shared" si="54"/>
        <v>0</v>
      </c>
      <c r="GG9" s="712">
        <f t="shared" ref="GG9:GG17" si="81">(IF(AND(B9&lt;FV9,B9&gt;=FS9),MIN(AR8+AL9-AK9,15/36*FU9),IF(B9=FV9,15/36*FW9,IF(AND(B9&gt;FV9,B9&lt;FX9),MIN(AR8+AL9-AK9,15/36*FW9),IF(B9&gt;=FX9,0,0)))))+DI9</f>
        <v>0</v>
      </c>
      <c r="GH9" s="712"/>
      <c r="GI9" s="712">
        <f t="shared" si="55"/>
        <v>0</v>
      </c>
      <c r="GJ9" s="712" t="str">
        <f t="shared" si="56"/>
        <v/>
      </c>
      <c r="GK9" s="712">
        <f>IF(GA9="P",Lookup!$N$12,IF(GA9="PP",Lookup!$N$13,IF(GA9="PPP",Lookup!$N$14,IF(GA9="T",Lookup!$N$15,IF(GA9="TP",Lookup!$N$16,IF(GA9="TPP",Lookup!$N$17,IF(GA9="TPPP",Lookup!$N$18,0)))))))*FZ9</f>
        <v>0</v>
      </c>
      <c r="GL9" s="712">
        <f t="shared" si="57"/>
        <v>0</v>
      </c>
      <c r="GM9" s="712">
        <f t="shared" si="58"/>
        <v>0</v>
      </c>
      <c r="GN9" s="712">
        <f t="shared" ref="GN9:GN17" si="82">(IF(AND(B9&lt;FV9,B9&gt;=FS9),MIN(BK8+BE9-BD9,7/36*FU9),IF(B9=FV9,7/36*FW9,IF(AND(B9&gt;FV9,B9&lt;FX9),MIN(BK8+BE9-BD9,7/36*FW9),IF(B9&gt;=FX9,0,0)))))+DJ9</f>
        <v>0</v>
      </c>
      <c r="GO9" s="712"/>
      <c r="GP9" s="712">
        <f t="shared" si="59"/>
        <v>0</v>
      </c>
      <c r="GQ9" s="712" t="str">
        <f t="shared" si="60"/>
        <v/>
      </c>
      <c r="GR9" s="712">
        <f>IF(GA9="P",Lookup!$N$12,IF(GA9="PP",Lookup!$N$13,IF(GA9="PPP",Lookup!$N$14,IF(GA9="T",Lookup!$N$15,IF(GA9="TP",Lookup!$N$16,IF(GA9="TPP",Lookup!$N$17,IF(GA9="TPPP",Lookup!$N$18,0)))))))*FZ9</f>
        <v>0</v>
      </c>
      <c r="GS9" s="697">
        <f t="shared" ref="GS9:GS72" si="83">IF(GQ9="P",MIN(GR9,7/36*FU9-GU9),0)</f>
        <v>0</v>
      </c>
      <c r="GT9" s="712">
        <f t="shared" si="61"/>
        <v>0</v>
      </c>
      <c r="GU9" s="712">
        <f t="shared" ref="GU9:GU17" si="84">IF(AND(B9&lt;FV9,B9&gt;=FS9),MIN(CF8+BZ9-BY9,7/36*FU9),IF(B9=FV9,7/36*FW9,IF(AND(B9&gt;FV9,B9&lt;FX9),MIN(CF8+BZ9-BY9,7/36*FW9),IF(B9&gt;=FX9,0,0))))+DK9</f>
        <v>0</v>
      </c>
      <c r="GV9" s="712"/>
      <c r="GW9" s="712">
        <f t="shared" si="62"/>
        <v>0</v>
      </c>
      <c r="GX9" s="712" t="str">
        <f t="shared" si="63"/>
        <v/>
      </c>
      <c r="GY9" s="712">
        <f>IF(GA9="P",Lookup!$N$12,IF(GA9="PP",Lookup!$N$13,IF(GA9="PPP",Lookup!$N$14,IF(GA9="T",Lookup!$N$15,IF(GA9="TP",Lookup!$N$16,IF(GA9="TPP",Lookup!$N$17,IF(GA9="TPPP",Lookup!$N$18,0)))))))*FZ9</f>
        <v>0</v>
      </c>
      <c r="GZ9" s="697">
        <f t="shared" ref="GZ9:GZ72" si="85">IF(GX9="P",MIN(GY9,7/36*FU9-HB9),0)</f>
        <v>0</v>
      </c>
      <c r="HA9" s="712">
        <f t="shared" si="64"/>
        <v>0</v>
      </c>
      <c r="HB9" s="712">
        <f t="shared" ref="HB9:HB17" si="86">(IF(AND(B9&lt;FV9,B9&gt;=FS9),MIN(CY8+CS9-CR9,7/36*FU9),IF(B9=FV9,7/36*FW9,IF(AND(B9&gt;FV9,B9&lt;FX9),MIN(CY8+CS9-CR9,7/36*FW9),IF(B9&gt;=FX9,0,0)))))+DL9</f>
        <v>0</v>
      </c>
      <c r="HC9" s="712"/>
    </row>
    <row r="10" spans="1:211" s="675" customFormat="1">
      <c r="A10" s="773" t="s">
        <v>4</v>
      </c>
      <c r="B10" s="708">
        <v>40539</v>
      </c>
      <c r="C10" s="709">
        <v>0.5</v>
      </c>
      <c r="D10" s="675">
        <f t="shared" si="65"/>
        <v>300</v>
      </c>
      <c r="E10" s="675">
        <f t="shared" si="66"/>
        <v>250</v>
      </c>
      <c r="F10" s="710">
        <v>250</v>
      </c>
      <c r="G10" s="697">
        <f>DH10+Sheet1!CV10</f>
        <v>883.61500252132669</v>
      </c>
      <c r="H10" s="697">
        <f t="shared" si="0"/>
        <v>304.20553762978557</v>
      </c>
      <c r="I10" s="711">
        <f>MAX(Sheet1!Z10-AJ10+(Sheet1!CW10-E10)*CFStoMGD,0)</f>
        <v>875.83326458615647</v>
      </c>
      <c r="J10" s="720">
        <f>IF(AND(B10&gt;=Calculation!FS10,B10&lt;=Calculation!FT10),IF(Sheet1!CX10&gt;=Calculation!D10,64.64,0),MAX(Sheet1!Z10-AJ10+(Sheet1!CX10-D10)*CFStoMGD,0))</f>
        <v>432.14699791948982</v>
      </c>
      <c r="K10" s="697">
        <f t="shared" si="67"/>
        <v>64.64</v>
      </c>
      <c r="L10" s="712">
        <f>Sheet1!AA10+Sheet1!AB10-Sheet1!L10+(Sheet1!CW10-F10)*CFStoMGD</f>
        <v>920.52466666666953</v>
      </c>
      <c r="M10" s="697">
        <f t="shared" si="1"/>
        <v>582.59211238238129</v>
      </c>
      <c r="N10" s="697">
        <f>IF(Sheet1!CW10&gt;=F10,MIN(73,MIN(MAX(L10,0),MAX(M10,0))),0)</f>
        <v>73</v>
      </c>
      <c r="O10" s="713">
        <f>Sheet1!AA10+Sheet1!AB10</f>
        <v>52.80000000000291</v>
      </c>
      <c r="P10" s="713">
        <f t="shared" si="2"/>
        <v>81.681600000004494</v>
      </c>
      <c r="Q10" s="697">
        <f>MIN(N10,Sheet1!AA10+AG10)</f>
        <v>44.101402080507228</v>
      </c>
      <c r="R10" s="697">
        <f t="shared" si="3"/>
        <v>8.6985979194956826</v>
      </c>
      <c r="S10" s="713">
        <f>Sheet1!Y10*MGDtoCFS</f>
        <v>45.976839999999996</v>
      </c>
      <c r="T10" s="713">
        <f>Sheet1!Z10*MGDtoCFS</f>
        <v>34.049469999999999</v>
      </c>
      <c r="U10" s="713">
        <f>Sheet1!AA10*MGDtoCFS</f>
        <v>46.719399999995495</v>
      </c>
      <c r="V10" s="713">
        <f>Sheet1!AB10*MGDtoCFS</f>
        <v>34.962200000009005</v>
      </c>
      <c r="W10" s="713">
        <f>Sheet1!L10*MGDtoCFS</f>
        <v>0</v>
      </c>
      <c r="X10" s="697">
        <f t="shared" si="68"/>
        <v>0</v>
      </c>
      <c r="Y10" s="697">
        <f t="shared" si="4"/>
        <v>0</v>
      </c>
      <c r="Z10" s="697">
        <f t="shared" si="5"/>
        <v>0</v>
      </c>
      <c r="AA10" s="697">
        <f t="shared" si="6"/>
        <v>0</v>
      </c>
      <c r="AB10" s="697">
        <f>(VLOOKUP(Sheet1!CY10,hhdcap_wcm,4)-(((VLOOKUP(Sheet1!CY10,hhdcap_wcm,3)-Sheet1!CY10)/(VLOOKUP(Sheet1!CY10,hhdcap_wcm,3)-VLOOKUP(Sheet1!CY10,hhdcap_wcm,1)))*(VLOOKUP(Sheet1!CY10,hhdcap_wcm,4)-VLOOKUP(Sheet1!CY10,hhdcap_wcm,2))))</f>
        <v>2106.7000000030444</v>
      </c>
      <c r="AC10" s="697">
        <f t="shared" si="69"/>
        <v>-95.650000000209275</v>
      </c>
      <c r="AD10" s="712">
        <f t="shared" si="70"/>
        <v>0</v>
      </c>
      <c r="AE10" s="697">
        <f t="shared" si="7"/>
        <v>0</v>
      </c>
      <c r="AF10" s="697">
        <f>Sheet1!BA10+Sheet1!BB10+Sheet1!BN10+BT10</f>
        <v>13.6</v>
      </c>
      <c r="AG10" s="697">
        <f t="shared" si="8"/>
        <v>13.901402080510138</v>
      </c>
      <c r="AH10" s="697">
        <f>Sheet1!BA10+BT10</f>
        <v>0</v>
      </c>
      <c r="AI10" s="697">
        <f>Sheet1!BA10+Sheet1!BB10+BT10</f>
        <v>0</v>
      </c>
      <c r="AJ10" s="697">
        <f>IF((Sheet1!AA10+AG10+AX10+AZ10+BQ10+BS10+CL10+CN10)&lt;=N10,AG10+AX10+AZ10+BQ10+BS10+CL10+CN10,N10-Sheet1!AA10)</f>
        <v>13.901402080510138</v>
      </c>
      <c r="AK10" s="712">
        <f>IF(DR10&lt;K10,0,MAX(Sheet1!AA10+AG10-15/36*K10-N10,Sheet1!ED10,0))</f>
        <v>0</v>
      </c>
      <c r="AL10" s="697">
        <f>IF(OR(B10&gt;=FT10,B10&lt;FS10),0,15/36*K10-MAX(0,64.6-(137.6-(Sheet1!AA10+Sheet1!AB10))))</f>
        <v>0</v>
      </c>
      <c r="AM10" s="712">
        <f>Sheet1!CX10-110</f>
        <v>846</v>
      </c>
      <c r="AN10" s="712">
        <f>Sheet1!CW10-265</f>
        <v>1327.3958333333333</v>
      </c>
      <c r="AO10" s="712">
        <f t="shared" si="71"/>
        <v>28.898597919492772</v>
      </c>
      <c r="AP10" s="712">
        <f t="shared" si="72"/>
        <v>0</v>
      </c>
      <c r="AQ10" s="712">
        <f t="shared" si="10"/>
        <v>0</v>
      </c>
      <c r="AR10" s="697">
        <f t="shared" si="11"/>
        <v>0</v>
      </c>
      <c r="AS10" s="697"/>
      <c r="AT10" s="712">
        <f ca="1">IF(B10&gt;Summary!$A$1,#N/A,AR10*MGtoAF)</f>
        <v>0</v>
      </c>
      <c r="AU10" s="697">
        <f>Sheet1!BG10+Sheet1!BH10+Sheet1!BI10-BC10</f>
        <v>0</v>
      </c>
      <c r="AV10" s="697">
        <f t="shared" si="12"/>
        <v>0</v>
      </c>
      <c r="AW10" s="697">
        <f>IF(Sheet1!EL10="FM",BC10,0)</f>
        <v>0</v>
      </c>
      <c r="AX10" s="697">
        <f t="shared" si="13"/>
        <v>0</v>
      </c>
      <c r="AY10" s="697">
        <f>IF(Sheet1!EL10="OTHER",BC10,0)</f>
        <v>0</v>
      </c>
      <c r="AZ10" s="697">
        <f t="shared" si="14"/>
        <v>0</v>
      </c>
      <c r="BA10" s="697">
        <f t="shared" si="15"/>
        <v>0</v>
      </c>
      <c r="BB10" s="697">
        <f t="shared" si="16"/>
        <v>0</v>
      </c>
      <c r="BC10" s="697">
        <f>IF(OR(Sheet1!EL10="FM", Sheet1!EL10="OTHER"),SUM(Sheet1!BG10:'Sheet1'!BI10),0)</f>
        <v>0</v>
      </c>
      <c r="BD10" s="697">
        <f>IF(AND($B10&gt;=$FL10,$B10&lt;=$FM10),MAX(AV10,Sheet1!EE10,0),MAX(AV10-(7/36)*$K10,0))</f>
        <v>0</v>
      </c>
      <c r="BE10" s="697">
        <f t="shared" si="17"/>
        <v>0</v>
      </c>
      <c r="BF10" s="697">
        <f t="shared" si="73"/>
        <v>0</v>
      </c>
      <c r="BG10" s="697">
        <f>IF(AND($O10&gt;0,Sheet1!EI10=1),(1-($O10-Sheet1!$L10)/$O10)*BB10,0)</f>
        <v>0</v>
      </c>
      <c r="BH10" s="697">
        <f>IF(AND(Sheet1!$L10=0,Sheet1!$L9=0, Calculation!BA10&lt;Sheet1!$EE10-0.1,Sheet1!$EE10=Sheet1!$EE9,Sheet1!$EE10=Sheet1!$EE11),Sheet1!$EE10,BB10-BG10)</f>
        <v>1</v>
      </c>
      <c r="BI10" s="697"/>
      <c r="BJ10" s="697"/>
      <c r="BK10" s="697">
        <f t="shared" si="18"/>
        <v>0</v>
      </c>
      <c r="BL10" s="697"/>
      <c r="BM10" s="712">
        <f ca="1">IF(B10&gt;Summary!$A$1,#N/A,BK10*MGtoAF)</f>
        <v>0</v>
      </c>
      <c r="BN10" s="697">
        <f>Sheet1!BC10+Sheet1!BD10+Sheet1!BE10+Sheet1!BF10-BW10-BX10</f>
        <v>2.5099999999999998</v>
      </c>
      <c r="BO10" s="697">
        <f t="shared" si="19"/>
        <v>2.565626413388268</v>
      </c>
      <c r="BP10" s="697">
        <f>IF(Sheet1!EM10="FM",BX10,0)</f>
        <v>0</v>
      </c>
      <c r="BQ10" s="697">
        <f t="shared" si="20"/>
        <v>0</v>
      </c>
      <c r="BR10" s="697">
        <f>IF(Sheet1!EM10="OTHER",BX10,0)</f>
        <v>0</v>
      </c>
      <c r="BS10" s="697">
        <f t="shared" si="21"/>
        <v>0</v>
      </c>
      <c r="BT10" s="697">
        <f t="shared" si="22"/>
        <v>0</v>
      </c>
      <c r="BU10" s="697">
        <f t="shared" si="23"/>
        <v>2.5099999999999998</v>
      </c>
      <c r="BV10" s="697">
        <f t="shared" si="24"/>
        <v>2.565626413388268</v>
      </c>
      <c r="BW10" s="697">
        <f>IF(Sheet1!EM10="CWA",SUM(Sheet1!BC10:'Sheet1'!BF10),0)</f>
        <v>0</v>
      </c>
      <c r="BX10" s="697">
        <f>IF(OR(Sheet1!EM10="FM", Sheet1!EM10="OTHER"),SUM(Sheet1!BC10:'Sheet1'!BF10),0)</f>
        <v>0</v>
      </c>
      <c r="BY10" s="697">
        <f>IF(AND($B10&gt;=$FL10,$B10&lt;=$FM10),MAX(BV10,Sheet1!EF10,0),MAX(BV10-(7/36)*$K10,0))</f>
        <v>0</v>
      </c>
      <c r="BZ10" s="697">
        <f t="shared" si="25"/>
        <v>0</v>
      </c>
      <c r="CA10" s="697">
        <f t="shared" si="74"/>
        <v>2.565626413388268</v>
      </c>
      <c r="CB10" s="697">
        <f>IF(AND($O10&gt;0,Sheet1!EJ10=1),(1-($O10-Sheet1!$L10)/$O10)*BV10,0)</f>
        <v>0</v>
      </c>
      <c r="CC10" s="697">
        <f>IF(AND(Sheet1!$L10=0,Sheet1!$L9=0, Calculation!BU10&lt;Sheet1!EF10-0.1,Sheet1!EF10=Sheet1!EF9,Sheet1!EF10=Sheet1!EF11),Sheet1!EF10,BV10-CB10)</f>
        <v>2.565626413388268</v>
      </c>
      <c r="CD10" s="697"/>
      <c r="CE10" s="697"/>
      <c r="CF10" s="697">
        <f t="shared" si="26"/>
        <v>0</v>
      </c>
      <c r="CG10" s="697"/>
      <c r="CH10" s="712">
        <f ca="1">IF(B10&gt;Summary!$A$1,#N/A,CF10*MGtoAF)</f>
        <v>0</v>
      </c>
      <c r="CI10" s="697">
        <f>Sheet1!BK10+Sheet1!BL10+Sheet1!BM10-Sheet1!EN10-CQ10</f>
        <v>6</v>
      </c>
      <c r="CJ10" s="697">
        <f t="shared" si="27"/>
        <v>6.1329715061074142</v>
      </c>
      <c r="CK10" s="697">
        <f>IF(Sheet1!EN10="FM",CQ10,0)</f>
        <v>0</v>
      </c>
      <c r="CL10" s="697">
        <f t="shared" si="28"/>
        <v>0</v>
      </c>
      <c r="CM10" s="697">
        <f>IF(Sheet1!EN10="OTHER",CQ10,0)</f>
        <v>0</v>
      </c>
      <c r="CN10" s="697">
        <f t="shared" si="29"/>
        <v>0</v>
      </c>
      <c r="CO10" s="697">
        <f t="shared" si="30"/>
        <v>6</v>
      </c>
      <c r="CP10" s="697">
        <f t="shared" si="31"/>
        <v>6.1329715061074142</v>
      </c>
      <c r="CQ10" s="697">
        <f>IF(OR(Sheet1!EN10="FM", Sheet1!EN10="OTHER"),SUM(Sheet1!BK10:'Sheet1'!BM10),0)</f>
        <v>0</v>
      </c>
      <c r="CR10" s="697">
        <f>IF(AND($B10&gt;=$FL10,$B10&lt;=$FM10),MAX($CJ10,Sheet1!EG10,0),MAX($CJ10-(7/36)*$K10,0))</f>
        <v>0</v>
      </c>
      <c r="CS10" s="697">
        <f t="shared" si="32"/>
        <v>0</v>
      </c>
      <c r="CT10" s="697">
        <f t="shared" si="75"/>
        <v>6.1329715061074142</v>
      </c>
      <c r="CU10" s="697">
        <f>IF(AND($O10&gt;0,Sheet1!EK10=1),(1-($O10-Sheet1!$L10)/$O10)*CP10,0)</f>
        <v>0</v>
      </c>
      <c r="CV10" s="697">
        <f>IF(AND(Sheet1!$L10=0,Sheet1!$L9=0, Calculation!CO10&lt;Sheet1!$EG10-0.1,Sheet1!$EG10=Sheet1!$EG9,Sheet1!$EG10=Sheet1!$EG11),Sheet1!$EG10,CP10-CU10)</f>
        <v>6.1329715061074142</v>
      </c>
      <c r="CW10" s="697">
        <f t="shared" si="33"/>
        <v>0</v>
      </c>
      <c r="CX10" s="712">
        <f t="shared" ref="CX10:CX73" si="87">BA10+BU10+CO10</f>
        <v>8.51</v>
      </c>
      <c r="CY10" s="697">
        <f t="shared" si="34"/>
        <v>0</v>
      </c>
      <c r="CZ10" s="697">
        <f t="shared" si="35"/>
        <v>8.6985979194956826</v>
      </c>
      <c r="DA10" s="712">
        <f ca="1">IF(B10&gt;Summary!$A$1,#N/A,CY10*MGtoAF)</f>
        <v>0</v>
      </c>
      <c r="DB10" s="697">
        <f t="shared" si="36"/>
        <v>8.51</v>
      </c>
      <c r="DC10" s="697">
        <f t="shared" si="37"/>
        <v>22.11</v>
      </c>
      <c r="DD10" s="697">
        <f>Sheet1!AB10-DC10</f>
        <v>0.49000000000582133</v>
      </c>
      <c r="DE10" s="697">
        <f t="shared" si="38"/>
        <v>2.2161917684569033E-2</v>
      </c>
      <c r="DF10" s="697">
        <f>(VLOOKUP(Sheet1!CY10,hhdcap_wcm,4)-(((VLOOKUP(Sheet1!CY10,hhdcap_wcm,3)-Sheet1!CY10)/(VLOOKUP(Sheet1!CY10,hhdcap_wcm,3)-VLOOKUP(Sheet1!CY10,hhdcap_wcm,1)))*(VLOOKUP(Sheet1!CY10,hhdcap_wcm,4)-VLOOKUP(Sheet1!CY10,hhdcap_wcm,2))))</f>
        <v>2106.7000000030444</v>
      </c>
      <c r="DG10" s="697">
        <f t="shared" si="76"/>
        <v>-95.650000000209275</v>
      </c>
      <c r="DH10" s="697">
        <f t="shared" si="39"/>
        <v>-48.234997478673357</v>
      </c>
      <c r="DI10" s="697">
        <f>Sheet1!DW10*AFtoMG</f>
        <v>0</v>
      </c>
      <c r="DJ10" s="697">
        <f>Sheet1!DX10*AFtoMG</f>
        <v>0</v>
      </c>
      <c r="DK10" s="697">
        <f>Sheet1!DY10*AFtoMG</f>
        <v>0</v>
      </c>
      <c r="DL10" s="697">
        <f>Sheet1!DZ10*AFtoMG</f>
        <v>0</v>
      </c>
      <c r="DM10" s="697">
        <f t="shared" si="40"/>
        <v>0</v>
      </c>
      <c r="DN10" s="697">
        <f t="shared" si="41"/>
        <v>0</v>
      </c>
      <c r="DO10" s="697">
        <f t="shared" si="42"/>
        <v>0</v>
      </c>
      <c r="DP10" s="697">
        <f t="shared" si="43"/>
        <v>0</v>
      </c>
      <c r="DQ10" s="697"/>
      <c r="DR10" s="697">
        <f>IF(OR(B10&lt;FL10,B10&gt;FM10),(MIN(AV10+BO10+CJ10+MAX(Sheet1!AA10+AG10-73,0),K10)),0)</f>
        <v>8.6985979194956826</v>
      </c>
      <c r="DS10" s="697"/>
      <c r="DT10" s="697">
        <f t="shared" si="44"/>
        <v>8.6985979194956826</v>
      </c>
      <c r="DU10" s="697"/>
      <c r="DV10" s="697">
        <f>Sheet1!ED10+Sheet1!EE10+Sheet1!EF10+Sheet1!EG10</f>
        <v>9.5</v>
      </c>
      <c r="DW10" s="697"/>
      <c r="DX10" s="697">
        <f t="shared" si="77"/>
        <v>0</v>
      </c>
      <c r="DY10" s="697">
        <f>IF(Sheet1!FN10=1,SUM('Calculations II'!AT10:BA10)+'Calculations II'!BC10+Sheet1!BU10+'Calculations II'!BE10+AF10,SUM('Calculations II'!AT10:BA10)+'Calculations II'!BC10+Sheet1!BU10+'Calculations II'!BE10+AF10)</f>
        <v>42.884527999999996</v>
      </c>
      <c r="DZ10" s="697">
        <f>Sheet1!AA10+Sheet1!AB10+'Calculations II'!BC10</f>
        <v>52.81468800000291</v>
      </c>
      <c r="EA10" s="697"/>
      <c r="EB10" s="697"/>
      <c r="EC10" s="697">
        <f t="shared" si="45"/>
        <v>40539</v>
      </c>
      <c r="ED10" s="697">
        <f t="shared" si="46"/>
        <v>0</v>
      </c>
      <c r="EE10" s="697">
        <f t="shared" si="47"/>
        <v>0</v>
      </c>
      <c r="EF10" s="697">
        <f>-(VLOOKUP(Sheet1!BQ10,Lookup!$B$4:$J$236,2)-VLOOKUP(Sheet1!BQ9,Lookup!$B$4:$J$236,2))/1000000</f>
        <v>0.8115</v>
      </c>
      <c r="EG10" s="697">
        <f>-(VLOOKUP(Sheet1!BR10,Lookup!$B$4:$J$236,3)-VLOOKUP(Sheet1!BR9,Lookup!$B$4:$J$236,3))/1000000</f>
        <v>0.54</v>
      </c>
      <c r="EH10" s="697">
        <f>-(VLOOKUP(Sheet1!BS10,Lookup!$B$4:$J$236,4)-VLOOKUP(Sheet1!BS9,Lookup!$B$4:$J$236,4))/1000000</f>
        <v>0</v>
      </c>
      <c r="EI10" s="697">
        <f t="shared" ref="EI10:EI73" si="88">EH10+EG10+EF10</f>
        <v>1.3515000000000001</v>
      </c>
      <c r="EJ10" s="697"/>
      <c r="EK10" s="697"/>
      <c r="EL10" s="697"/>
      <c r="EM10" s="697"/>
      <c r="EN10" s="697"/>
      <c r="EO10" s="697"/>
      <c r="EP10" s="697"/>
      <c r="EQ10" s="697"/>
      <c r="ER10" s="697">
        <v>0</v>
      </c>
      <c r="ES10" s="697"/>
      <c r="ET10" s="794" t="e">
        <f t="shared" si="78"/>
        <v>#N/A</v>
      </c>
      <c r="EU10" s="794" t="e">
        <f t="shared" si="79"/>
        <v>#VALUE!</v>
      </c>
      <c r="EV10" s="795" t="e">
        <f t="shared" si="48"/>
        <v>#VALUE!</v>
      </c>
      <c r="EW10" s="796" t="s">
        <v>757</v>
      </c>
      <c r="EX10" s="796" t="s">
        <v>757</v>
      </c>
      <c r="EY10" s="794">
        <v>0</v>
      </c>
      <c r="EZ10" s="794" t="e">
        <v>#N/A</v>
      </c>
      <c r="FA10" s="697"/>
      <c r="FB10" s="697"/>
      <c r="FC10" s="697"/>
      <c r="FD10" s="697"/>
      <c r="FE10" s="697">
        <f>O10+Sheet1!CO10</f>
        <v>63.000000000002913</v>
      </c>
      <c r="FF10" s="697">
        <f>IF(Sheet1!AA10+AG10&lt;=Calculation!N10,AG10,Calculation!N10-Sheet1!AA10)</f>
        <v>13.901402080510138</v>
      </c>
      <c r="FG10" s="712">
        <f>(Sheet1!BP10+Sheet1!BO10)/694.4</f>
        <v>1.5534274193548387</v>
      </c>
      <c r="FH10" s="697"/>
      <c r="FI10" s="697"/>
      <c r="FJ10" s="697"/>
      <c r="FK10" s="697"/>
      <c r="FL10" s="714">
        <f t="shared" ref="FL10:FL73" si="89">$FL$8</f>
        <v>40753</v>
      </c>
      <c r="FM10" s="714">
        <f t="shared" ref="FM10:FM73" si="90">$FM$8</f>
        <v>40851</v>
      </c>
      <c r="FN10" s="697"/>
      <c r="FO10" s="727"/>
      <c r="FP10" s="728"/>
      <c r="FQ10" s="729" t="s">
        <v>701</v>
      </c>
      <c r="FR10" s="730">
        <f>FR9/1.983</f>
        <v>95.649692565946495</v>
      </c>
      <c r="FS10" s="725">
        <f t="shared" ref="FS10:FS73" si="91">FS9</f>
        <v>40603</v>
      </c>
      <c r="FT10" s="714">
        <f t="shared" ref="FT10:FT73" si="92">$FT$8</f>
        <v>40709</v>
      </c>
      <c r="FU10" s="712">
        <f t="shared" ref="FU10:FU73" si="93">FU9</f>
        <v>6518.9048239895692</v>
      </c>
      <c r="FV10" s="714">
        <f t="shared" ref="FV10:FV73" si="94">$FV$8</f>
        <v>40722</v>
      </c>
      <c r="FW10" s="712">
        <f t="shared" ref="FW10:FW73" si="95">FW9</f>
        <v>3259.4524119947846</v>
      </c>
      <c r="FX10" s="725">
        <f t="shared" ref="FX10:FX73" si="96">FX9</f>
        <v>40851</v>
      </c>
      <c r="FZ10" s="697">
        <f t="shared" si="49"/>
        <v>0</v>
      </c>
      <c r="GA10" s="697" t="str">
        <f t="shared" si="50"/>
        <v/>
      </c>
      <c r="GB10" s="697">
        <f t="shared" si="51"/>
        <v>0</v>
      </c>
      <c r="GC10" s="697" t="str">
        <f t="shared" si="52"/>
        <v/>
      </c>
      <c r="GD10" s="697">
        <f>IF(GA10="P",Lookup!$M$12,IF(GA10="PP",Lookup!$M$13,IF(GA10="PPP",Lookup!$M$14,IF(GA10="T",Lookup!$M$15,IF(GA10="TP",Lookup!$M$16,IF(GA10="TPP",Lookup!$M$17,IF(GA10="TPPP",Lookup!$M$18,0)))))))*FZ10</f>
        <v>0</v>
      </c>
      <c r="GE10" s="697">
        <f t="shared" si="53"/>
        <v>0</v>
      </c>
      <c r="GF10" s="697">
        <f t="shared" si="54"/>
        <v>0</v>
      </c>
      <c r="GG10" s="697">
        <f t="shared" si="81"/>
        <v>0</v>
      </c>
      <c r="GH10" s="697"/>
      <c r="GI10" s="697">
        <f t="shared" si="55"/>
        <v>0</v>
      </c>
      <c r="GJ10" s="697" t="str">
        <f t="shared" si="56"/>
        <v/>
      </c>
      <c r="GK10" s="697">
        <f>IF(GA10="P",Lookup!$N$12,IF(GA10="PP",Lookup!$N$13,IF(GA10="PPP",Lookup!$N$14,IF(GA10="T",Lookup!$N$15,IF(GA10="TP",Lookup!$N$16,IF(GA10="TPP",Lookup!$N$17,IF(GA10="TPPP",Lookup!$N$18,0)))))))*FZ10</f>
        <v>0</v>
      </c>
      <c r="GL10" s="697">
        <f t="shared" si="57"/>
        <v>0</v>
      </c>
      <c r="GM10" s="697">
        <f t="shared" si="58"/>
        <v>0</v>
      </c>
      <c r="GN10" s="697">
        <f t="shared" si="82"/>
        <v>0</v>
      </c>
      <c r="GO10" s="697"/>
      <c r="GP10" s="697">
        <f t="shared" si="59"/>
        <v>0</v>
      </c>
      <c r="GQ10" s="697" t="str">
        <f t="shared" si="60"/>
        <v/>
      </c>
      <c r="GR10" s="697">
        <f>IF(GA10="P",Lookup!$N$12,IF(GA10="PP",Lookup!$N$13,IF(GA10="PPP",Lookup!$N$14,IF(GA10="T",Lookup!$N$15,IF(GA10="TP",Lookup!$N$16,IF(GA10="TPP",Lookup!$N$17,IF(GA10="TPPP",Lookup!$N$18,0)))))))*FZ10</f>
        <v>0</v>
      </c>
      <c r="GS10" s="697">
        <f t="shared" si="83"/>
        <v>0</v>
      </c>
      <c r="GT10" s="697">
        <f t="shared" si="61"/>
        <v>0</v>
      </c>
      <c r="GU10" s="697">
        <f t="shared" si="84"/>
        <v>0</v>
      </c>
      <c r="GV10" s="697"/>
      <c r="GW10" s="697">
        <f t="shared" si="62"/>
        <v>0</v>
      </c>
      <c r="GX10" s="697" t="str">
        <f t="shared" si="63"/>
        <v/>
      </c>
      <c r="GY10" s="697">
        <f>IF(GA10="P",Lookup!$N$12,IF(GA10="PP",Lookup!$N$13,IF(GA10="PPP",Lookup!$N$14,IF(GA10="T",Lookup!$N$15,IF(GA10="TP",Lookup!$N$16,IF(GA10="TPP",Lookup!$N$17,IF(GA10="TPPP",Lookup!$N$18,0)))))))*FZ10</f>
        <v>0</v>
      </c>
      <c r="GZ10" s="697">
        <f t="shared" si="85"/>
        <v>0</v>
      </c>
      <c r="HA10" s="697">
        <f t="shared" si="64"/>
        <v>0</v>
      </c>
      <c r="HB10" s="697">
        <f t="shared" si="86"/>
        <v>0</v>
      </c>
      <c r="HC10" s="697"/>
    </row>
    <row r="11" spans="1:211">
      <c r="A11" s="773" t="s">
        <v>5</v>
      </c>
      <c r="B11" s="708">
        <v>40540</v>
      </c>
      <c r="C11" s="719">
        <v>0.5</v>
      </c>
      <c r="D11" s="675">
        <f t="shared" si="65"/>
        <v>300</v>
      </c>
      <c r="E11" s="675">
        <f t="shared" si="66"/>
        <v>250</v>
      </c>
      <c r="F11" s="675">
        <v>250</v>
      </c>
      <c r="G11" s="712">
        <f>DH11+Sheet1!CV11</f>
        <v>1124.9659606656282</v>
      </c>
      <c r="H11" s="712">
        <f t="shared" si="0"/>
        <v>460.21479697426207</v>
      </c>
      <c r="I11" s="711">
        <f>MAX(Sheet1!Z11-AJ11+(Sheet1!CW11-E11)*CFStoMGD,0)</f>
        <v>1083.4552675379346</v>
      </c>
      <c r="J11" s="720">
        <f>IF(AND(B11&gt;=Calculation!FS11,B11&lt;=Calculation!FT11),IF(Sheet1!CX11&gt;=Calculation!D11,64.64,0),MAX(Sheet1!Z11-AJ11+(Sheet1!CX11-D11)*CFStoMGD,0))</f>
        <v>663.2279342046013</v>
      </c>
      <c r="K11" s="697">
        <f t="shared" si="67"/>
        <v>64.64</v>
      </c>
      <c r="L11" s="712">
        <f>Sheet1!AA11+Sheet1!AB11-Sheet1!L11+(Sheet1!CW11-F11)*CFStoMGD</f>
        <v>1110.3513333333285</v>
      </c>
      <c r="M11" s="712">
        <f t="shared" si="1"/>
        <v>741.72155691374735</v>
      </c>
      <c r="N11" s="712">
        <f>IF(Sheet1!CW11&gt;=F11,MIN(73,MIN(MAX(L11,0),MAX(M11,0))),0)</f>
        <v>73</v>
      </c>
      <c r="O11" s="721">
        <f>Sheet1!AA11+Sheet1!AB11</f>
        <v>47.899999999994179</v>
      </c>
      <c r="P11" s="721">
        <f t="shared" si="2"/>
        <v>74.101299999990999</v>
      </c>
      <c r="Q11" s="712">
        <f>MIN(N11,Sheet1!AA11+AG11)</f>
        <v>43.666065795398637</v>
      </c>
      <c r="R11" s="712">
        <f t="shared" si="3"/>
        <v>4.2339342045955402</v>
      </c>
      <c r="S11" s="721">
        <f>Sheet1!Y11*MGDtoCFS</f>
        <v>45.528209999999994</v>
      </c>
      <c r="T11" s="721">
        <f>Sheet1!Z11*MGDtoCFS</f>
        <v>33.987589999999997</v>
      </c>
      <c r="U11" s="721">
        <f>Sheet1!AA11*MGDtoCFS</f>
        <v>40.222000000000001</v>
      </c>
      <c r="V11" s="721">
        <f>Sheet1!AB11*MGDtoCFS</f>
        <v>33.879299999990991</v>
      </c>
      <c r="W11" s="721">
        <f>Sheet1!L11*MGDtoCFS</f>
        <v>25.83489999999831</v>
      </c>
      <c r="X11" s="697">
        <f t="shared" si="68"/>
        <v>0</v>
      </c>
      <c r="Y11" s="712">
        <f t="shared" si="4"/>
        <v>0</v>
      </c>
      <c r="Z11" s="712">
        <f t="shared" si="5"/>
        <v>0</v>
      </c>
      <c r="AA11" s="712">
        <f t="shared" si="6"/>
        <v>0</v>
      </c>
      <c r="AB11" s="712">
        <f>(VLOOKUP(Sheet1!CY11,hhdcap_wcm,4)-(((VLOOKUP(Sheet1!CY11,hhdcap_wcm,3)-Sheet1!CY11)/(VLOOKUP(Sheet1!CY11,hhdcap_wcm,3)-VLOOKUP(Sheet1!CY11,hhdcap_wcm,1)))*(VLOOKUP(Sheet1!CY11,hhdcap_wcm,4)-VLOOKUP(Sheet1!CY11,hhdcap_wcm,2))))</f>
        <v>2052.1000000029853</v>
      </c>
      <c r="AC11" s="712">
        <f t="shared" si="69"/>
        <v>-54.600000000059026</v>
      </c>
      <c r="AD11" s="712">
        <f t="shared" si="70"/>
        <v>0</v>
      </c>
      <c r="AE11" s="712">
        <f t="shared" si="7"/>
        <v>0</v>
      </c>
      <c r="AF11" s="712">
        <f>Sheet1!BA11+Sheet1!BB11+Sheet1!BN11+BT11</f>
        <v>17.899999999999999</v>
      </c>
      <c r="AG11" s="712">
        <f t="shared" si="8"/>
        <v>17.666065795398641</v>
      </c>
      <c r="AH11" s="712">
        <f>Sheet1!BA11+BT11</f>
        <v>0</v>
      </c>
      <c r="AI11" s="712">
        <f>Sheet1!BA11+Sheet1!BB11+BT11</f>
        <v>0</v>
      </c>
      <c r="AJ11" s="712">
        <f>IF((Sheet1!AA11+AG11+AX11+AZ11+BQ11+BS11+CL11+CN11)&lt;=N11,AG11+AX11+AZ11+BQ11+BS11+CL11+CN11,N11-Sheet1!AA11)</f>
        <v>17.666065795398641</v>
      </c>
      <c r="AK11" s="712">
        <f>IF(DR11&lt;K11,0,MAX(Sheet1!AA11+AG11-15/36*K11-N11,Sheet1!ED11,0))</f>
        <v>0</v>
      </c>
      <c r="AL11" s="712">
        <f>IF(OR(B11&gt;=FT11,B11&lt;FS11),0,15/36*K11-MAX(0,64.6-(137.6-(Sheet1!AA11+Sheet1!AB11))))</f>
        <v>0</v>
      </c>
      <c r="AM11" s="712">
        <f>Sheet1!CX11-110</f>
        <v>1209.375</v>
      </c>
      <c r="AN11" s="712">
        <f>Sheet1!CW11-265</f>
        <v>1654.4791666666667</v>
      </c>
      <c r="AO11" s="712">
        <f t="shared" si="71"/>
        <v>29.333934204601363</v>
      </c>
      <c r="AP11" s="712">
        <f t="shared" si="72"/>
        <v>0</v>
      </c>
      <c r="AQ11" s="712">
        <f t="shared" si="10"/>
        <v>0</v>
      </c>
      <c r="AR11" s="712">
        <f t="shared" si="11"/>
        <v>0</v>
      </c>
      <c r="AS11" s="712"/>
      <c r="AT11" s="712">
        <f ca="1">IF(B11&gt;Summary!$A$1,#N/A,AR11*MGtoAF)</f>
        <v>0</v>
      </c>
      <c r="AU11" s="712">
        <f>Sheet1!BG11+Sheet1!BH11+Sheet1!BI11-BC11</f>
        <v>0</v>
      </c>
      <c r="AV11" s="712">
        <f t="shared" si="12"/>
        <v>0</v>
      </c>
      <c r="AW11" s="712">
        <f>IF(Sheet1!EL11="FM",BC11,0)</f>
        <v>0</v>
      </c>
      <c r="AX11" s="712">
        <f t="shared" si="13"/>
        <v>0</v>
      </c>
      <c r="AY11" s="712">
        <f>IF(Sheet1!EL11="OTHER",BC11,0)</f>
        <v>0</v>
      </c>
      <c r="AZ11" s="712">
        <f t="shared" si="14"/>
        <v>0</v>
      </c>
      <c r="BA11" s="712">
        <f t="shared" si="15"/>
        <v>0</v>
      </c>
      <c r="BB11" s="712">
        <f t="shared" si="16"/>
        <v>0</v>
      </c>
      <c r="BC11" s="712">
        <f>IF(OR(Sheet1!EL11="FM", Sheet1!EL11="OTHER"),SUM(Sheet1!BG11:'Sheet1'!BI11),0)</f>
        <v>0</v>
      </c>
      <c r="BD11" s="697">
        <f>IF(AND($B11&gt;=$FL11,$B11&lt;=$FM11),MAX(AV11,Sheet1!EE11,0),MAX(AV11-(7/36)*$K11,0))</f>
        <v>0</v>
      </c>
      <c r="BE11" s="712">
        <f t="shared" si="17"/>
        <v>0</v>
      </c>
      <c r="BF11" s="697">
        <f t="shared" si="73"/>
        <v>0</v>
      </c>
      <c r="BG11" s="697">
        <f>IF(AND($O11&gt;0,Sheet1!EI11=1),(1-($O11-Sheet1!$L11)/$O11)*BB11,0)</f>
        <v>0</v>
      </c>
      <c r="BH11" s="697">
        <f>IF(AND(Sheet1!$L11=0,Sheet1!$L10=0, Calculation!BA11&lt;Sheet1!$EE11-0.1,Sheet1!$EE11=Sheet1!$EE10,Sheet1!$EE11=Sheet1!$EE12),Sheet1!$EE11,BB11-BG11)</f>
        <v>0</v>
      </c>
      <c r="BI11" s="712"/>
      <c r="BJ11" s="712"/>
      <c r="BK11" s="712">
        <f t="shared" si="18"/>
        <v>0</v>
      </c>
      <c r="BL11" s="712"/>
      <c r="BM11" s="712">
        <f ca="1">IF(B11&gt;Summary!$A$1,#N/A,BK11*MGtoAF)</f>
        <v>0</v>
      </c>
      <c r="BN11" s="712">
        <f>Sheet1!BC11+Sheet1!BD11+Sheet1!BE11+Sheet1!BF11-BW11-BX11</f>
        <v>1.26</v>
      </c>
      <c r="BO11" s="712">
        <f t="shared" si="19"/>
        <v>1.2435331230280608</v>
      </c>
      <c r="BP11" s="712">
        <f>IF(Sheet1!EM11="FM",BX11,0)</f>
        <v>0</v>
      </c>
      <c r="BQ11" s="712">
        <f t="shared" si="20"/>
        <v>0</v>
      </c>
      <c r="BR11" s="712">
        <f>IF(Sheet1!EM11="OTHER",BX11,0)</f>
        <v>0</v>
      </c>
      <c r="BS11" s="712">
        <f t="shared" si="21"/>
        <v>0</v>
      </c>
      <c r="BT11" s="712">
        <f t="shared" si="22"/>
        <v>0</v>
      </c>
      <c r="BU11" s="712">
        <f t="shared" si="23"/>
        <v>1.26</v>
      </c>
      <c r="BV11" s="712">
        <f t="shared" si="24"/>
        <v>1.2435331230280608</v>
      </c>
      <c r="BW11" s="712">
        <f>IF(Sheet1!EM11="CWA",SUM(Sheet1!BC11:'Sheet1'!BF11),0)</f>
        <v>0</v>
      </c>
      <c r="BX11" s="712">
        <f>IF(OR(Sheet1!EM11="FM", Sheet1!EM11="OTHER"),SUM(Sheet1!BC11:'Sheet1'!BF11),0)</f>
        <v>0</v>
      </c>
      <c r="BY11" s="697">
        <f>IF(AND($B11&gt;=$FL11,$B11&lt;=$FM11),MAX(BV11,Sheet1!EF11,0),MAX(BV11-(7/36)*$K11,0))</f>
        <v>0</v>
      </c>
      <c r="BZ11" s="712">
        <f t="shared" si="25"/>
        <v>0</v>
      </c>
      <c r="CA11" s="697">
        <f t="shared" si="74"/>
        <v>1.2435331230280608</v>
      </c>
      <c r="CB11" s="697">
        <f>IF(AND($O11&gt;0,Sheet1!EJ11=1),(1-($O11-Sheet1!$L11)/$O11)*BV11,0)</f>
        <v>0</v>
      </c>
      <c r="CC11" s="697">
        <f>IF(AND(Sheet1!$L11=0,Sheet1!$L10=0, Calculation!BU11&lt;Sheet1!EF11-0.1,Sheet1!EF11=Sheet1!EF10,Sheet1!EF11=Sheet1!EF12),Sheet1!EF11,BV11-CB11)</f>
        <v>1.2435331230280608</v>
      </c>
      <c r="CD11" s="697"/>
      <c r="CE11" s="712"/>
      <c r="CF11" s="712">
        <f t="shared" si="26"/>
        <v>0</v>
      </c>
      <c r="CG11" s="712"/>
      <c r="CH11" s="712">
        <f ca="1">IF(B11&gt;Summary!$A$1,#N/A,CF11*MGtoAF)</f>
        <v>0</v>
      </c>
      <c r="CI11" s="712">
        <f>Sheet1!BK11+Sheet1!BL11+Sheet1!BM11-Sheet1!EN11-CQ11</f>
        <v>3.03</v>
      </c>
      <c r="CJ11" s="712">
        <f t="shared" si="27"/>
        <v>2.9904010815674793</v>
      </c>
      <c r="CK11" s="712">
        <f>IF(Sheet1!EN11="FM",CQ11,0)</f>
        <v>0</v>
      </c>
      <c r="CL11" s="712">
        <f t="shared" si="28"/>
        <v>0</v>
      </c>
      <c r="CM11" s="712">
        <f>IF(Sheet1!EN11="OTHER",CQ11,0)</f>
        <v>0</v>
      </c>
      <c r="CN11" s="712">
        <f t="shared" si="29"/>
        <v>0</v>
      </c>
      <c r="CO11" s="712">
        <f t="shared" si="30"/>
        <v>3.03</v>
      </c>
      <c r="CP11" s="712">
        <f t="shared" si="31"/>
        <v>2.9904010815674793</v>
      </c>
      <c r="CQ11" s="712">
        <f>IF(OR(Sheet1!EN11="FM", Sheet1!EN11="OTHER"),SUM(Sheet1!BK11:'Sheet1'!BM11),0)</f>
        <v>0</v>
      </c>
      <c r="CR11" s="697">
        <f>IF(AND($B11&gt;=$FL11,$B11&lt;=$FM11),MAX($CJ11,Sheet1!EG11,0),MAX($CJ11-(7/36)*$K11,0))</f>
        <v>0</v>
      </c>
      <c r="CS11" s="712">
        <f t="shared" si="32"/>
        <v>0</v>
      </c>
      <c r="CT11" s="697">
        <f t="shared" si="75"/>
        <v>2.9904010815674793</v>
      </c>
      <c r="CU11" s="697">
        <f>IF(AND($O11&gt;0,Sheet1!EK11=1),(1-($O11-Sheet1!$L11)/$O11)*CP11,0)</f>
        <v>0</v>
      </c>
      <c r="CV11" s="697">
        <f>IF(AND(Sheet1!$L11=0,Sheet1!$L10=0, Calculation!CO11&lt;Sheet1!$EG11-0.1,Sheet1!$EG11=Sheet1!$EG10,Sheet1!$EG11=Sheet1!$EG12),Sheet1!$EG11,CP11-CU11)</f>
        <v>2.9904010815674793</v>
      </c>
      <c r="CW11" s="697">
        <f t="shared" si="33"/>
        <v>0</v>
      </c>
      <c r="CX11" s="712">
        <f t="shared" si="87"/>
        <v>4.29</v>
      </c>
      <c r="CY11" s="712">
        <f t="shared" si="34"/>
        <v>0</v>
      </c>
      <c r="CZ11" s="712">
        <f t="shared" si="35"/>
        <v>4.2339342045955402</v>
      </c>
      <c r="DA11" s="712">
        <f ca="1">IF(B11&gt;Summary!$A$1,#N/A,CY11*MGtoAF)</f>
        <v>0</v>
      </c>
      <c r="DB11" s="712">
        <f t="shared" si="36"/>
        <v>4.29</v>
      </c>
      <c r="DC11" s="712">
        <f t="shared" si="37"/>
        <v>22.189999999999998</v>
      </c>
      <c r="DD11" s="712">
        <f>Sheet1!AB11-DC11</f>
        <v>-0.29000000000581849</v>
      </c>
      <c r="DE11" s="712">
        <f t="shared" si="38"/>
        <v>-1.3068949977729541E-2</v>
      </c>
      <c r="DF11" s="712">
        <f>(VLOOKUP(Sheet1!CY11,hhdcap_wcm,4)-(((VLOOKUP(Sheet1!CY11,hhdcap_wcm,3)-Sheet1!CY11)/(VLOOKUP(Sheet1!CY11,hhdcap_wcm,3)-VLOOKUP(Sheet1!CY11,hhdcap_wcm,1)))*(VLOOKUP(Sheet1!CY11,hhdcap_wcm,4)-VLOOKUP(Sheet1!CY11,hhdcap_wcm,2))))</f>
        <v>2052.1000000029853</v>
      </c>
      <c r="DG11" s="712">
        <f t="shared" si="76"/>
        <v>-54.600000000059026</v>
      </c>
      <c r="DH11" s="712">
        <f t="shared" si="39"/>
        <v>-27.53403933437167</v>
      </c>
      <c r="DI11" s="712">
        <f>Sheet1!DW11*AFtoMG</f>
        <v>0</v>
      </c>
      <c r="DJ11" s="712">
        <f>Sheet1!DX11*AFtoMG</f>
        <v>0</v>
      </c>
      <c r="DK11" s="712">
        <f>Sheet1!DY11*AFtoMG</f>
        <v>0</v>
      </c>
      <c r="DL11" s="712">
        <f>Sheet1!DZ11*AFtoMG</f>
        <v>0</v>
      </c>
      <c r="DM11" s="712">
        <f t="shared" si="40"/>
        <v>0</v>
      </c>
      <c r="DN11" s="712">
        <f t="shared" si="41"/>
        <v>0</v>
      </c>
      <c r="DO11" s="712">
        <f t="shared" si="42"/>
        <v>0</v>
      </c>
      <c r="DP11" s="712">
        <f t="shared" si="43"/>
        <v>0</v>
      </c>
      <c r="DQ11" s="712"/>
      <c r="DR11" s="697">
        <f>IF(OR(B11&lt;FL11,B11&gt;FM11),(MIN(AV11+BO11+CJ11+MAX(Sheet1!AA11+AG11-73,0),K11)),0)</f>
        <v>4.2339342045955402</v>
      </c>
      <c r="DS11" s="712"/>
      <c r="DT11" s="712">
        <f t="shared" si="44"/>
        <v>4.2339342045955402</v>
      </c>
      <c r="DU11" s="712"/>
      <c r="DV11" s="712">
        <f>Sheet1!ED11+Sheet1!EE11+Sheet1!EF11+Sheet1!EG11</f>
        <v>9.5</v>
      </c>
      <c r="DW11" s="712"/>
      <c r="DX11" s="697">
        <f t="shared" si="77"/>
        <v>0</v>
      </c>
      <c r="DY11" s="712">
        <f>IF(Sheet1!FN11=1,SUM('Calculations II'!AT11:BA11)+'Calculations II'!BC11+Sheet1!BU11+'Calculations II'!BE11+AF11,SUM('Calculations II'!AT11:BA11)+'Calculations II'!BC11+Sheet1!BU11+'Calculations II'!BE11+AF11)</f>
        <v>43.154144000000002</v>
      </c>
      <c r="DZ11" s="712">
        <f>Sheet1!AA11+Sheet1!AB11+'Calculations II'!BC11</f>
        <v>47.899999999994179</v>
      </c>
      <c r="EA11" s="712"/>
      <c r="EB11" s="712"/>
      <c r="EC11" s="712">
        <f t="shared" si="45"/>
        <v>40540</v>
      </c>
      <c r="ED11" s="712">
        <f t="shared" si="46"/>
        <v>0</v>
      </c>
      <c r="EE11" s="712">
        <f t="shared" si="47"/>
        <v>0</v>
      </c>
      <c r="EF11" s="712">
        <f>-(VLOOKUP(Sheet1!BQ11,Lookup!$B$4:$J$236,2)-VLOOKUP(Sheet1!BQ10,Lookup!$B$4:$J$236,2))/1000000</f>
        <v>0</v>
      </c>
      <c r="EG11" s="712">
        <f>-(VLOOKUP(Sheet1!BR11,Lookup!$B$4:$J$236,3)-VLOOKUP(Sheet1!BR10,Lookup!$B$4:$J$236,3))/1000000</f>
        <v>0</v>
      </c>
      <c r="EH11" s="712">
        <f>-(VLOOKUP(Sheet1!BS11,Lookup!$B$4:$J$236,4)-VLOOKUP(Sheet1!BS10,Lookup!$B$4:$J$236,4))/1000000</f>
        <v>0</v>
      </c>
      <c r="EI11" s="697">
        <f t="shared" si="88"/>
        <v>0</v>
      </c>
      <c r="EJ11" s="712"/>
      <c r="EK11" s="712"/>
      <c r="EL11" s="712"/>
      <c r="EM11" s="712"/>
      <c r="EN11" s="712"/>
      <c r="EO11" s="712"/>
      <c r="EP11" s="712"/>
      <c r="EQ11" s="712"/>
      <c r="ER11" s="697">
        <v>0</v>
      </c>
      <c r="ES11" s="712"/>
      <c r="ET11" s="794" t="e">
        <f t="shared" si="78"/>
        <v>#N/A</v>
      </c>
      <c r="EU11" s="794" t="e">
        <f t="shared" si="79"/>
        <v>#VALUE!</v>
      </c>
      <c r="EV11" s="795" t="e">
        <f t="shared" si="48"/>
        <v>#VALUE!</v>
      </c>
      <c r="EW11" s="796" t="s">
        <v>757</v>
      </c>
      <c r="EX11" s="796" t="s">
        <v>757</v>
      </c>
      <c r="EY11" s="794">
        <v>0</v>
      </c>
      <c r="EZ11" s="794" t="e">
        <v>#N/A</v>
      </c>
      <c r="FA11" s="712"/>
      <c r="FB11" s="712"/>
      <c r="FC11" s="712"/>
      <c r="FD11" s="712"/>
      <c r="FE11" s="712">
        <f>O11+Sheet1!CO11</f>
        <v>47.899999999994179</v>
      </c>
      <c r="FF11" s="712">
        <f>IF(Sheet1!AA11+AG11&lt;=Calculation!N11,AG11,Calculation!N11-Sheet1!AA11)</f>
        <v>17.666065795398641</v>
      </c>
      <c r="FG11" s="712">
        <f>(Sheet1!BP11+Sheet1!BO11)/694.4</f>
        <v>2.6568260368663599</v>
      </c>
      <c r="FH11" s="712"/>
      <c r="FI11" s="712"/>
      <c r="FJ11" s="712"/>
      <c r="FK11" s="712"/>
      <c r="FL11" s="714">
        <f t="shared" si="89"/>
        <v>40753</v>
      </c>
      <c r="FM11" s="714">
        <f t="shared" si="90"/>
        <v>40851</v>
      </c>
      <c r="FN11" s="712"/>
      <c r="FO11" s="712"/>
      <c r="FP11" s="712"/>
      <c r="FQ11" s="712"/>
      <c r="FR11" s="712"/>
      <c r="FS11" s="725">
        <f t="shared" si="91"/>
        <v>40603</v>
      </c>
      <c r="FT11" s="714">
        <f t="shared" si="92"/>
        <v>40709</v>
      </c>
      <c r="FU11" s="712">
        <f t="shared" si="93"/>
        <v>6518.9048239895692</v>
      </c>
      <c r="FV11" s="714">
        <f t="shared" si="94"/>
        <v>40722</v>
      </c>
      <c r="FW11" s="712">
        <f t="shared" si="95"/>
        <v>3259.4524119947846</v>
      </c>
      <c r="FX11" s="725">
        <f t="shared" si="96"/>
        <v>40851</v>
      </c>
      <c r="FZ11" s="697">
        <f t="shared" si="49"/>
        <v>0</v>
      </c>
      <c r="GA11" s="712" t="str">
        <f t="shared" si="50"/>
        <v/>
      </c>
      <c r="GB11" s="712">
        <f t="shared" si="51"/>
        <v>0</v>
      </c>
      <c r="GC11" s="712" t="str">
        <f t="shared" si="52"/>
        <v/>
      </c>
      <c r="GD11" s="712">
        <f>IF(GA11="P",Lookup!$M$12,IF(GA11="PP",Lookup!$M$13,IF(GA11="PPP",Lookup!$M$14,IF(GA11="T",Lookup!$M$15,IF(GA11="TP",Lookup!$M$16,IF(GA11="TPP",Lookup!$M$17,IF(GA11="TPPP",Lookup!$M$18,0)))))))*FZ11</f>
        <v>0</v>
      </c>
      <c r="GE11" s="712">
        <f t="shared" si="53"/>
        <v>0</v>
      </c>
      <c r="GF11" s="712">
        <f t="shared" si="54"/>
        <v>0</v>
      </c>
      <c r="GG11" s="712">
        <f t="shared" si="81"/>
        <v>0</v>
      </c>
      <c r="GH11" s="712"/>
      <c r="GI11" s="712">
        <f t="shared" si="55"/>
        <v>0</v>
      </c>
      <c r="GJ11" s="712" t="str">
        <f t="shared" si="56"/>
        <v/>
      </c>
      <c r="GK11" s="712">
        <f>IF(GA11="P",Lookup!$N$12,IF(GA11="PP",Lookup!$N$13,IF(GA11="PPP",Lookup!$N$14,IF(GA11="T",Lookup!$N$15,IF(GA11="TP",Lookup!$N$16,IF(GA11="TPP",Lookup!$N$17,IF(GA11="TPPP",Lookup!$N$18,0)))))))*FZ11</f>
        <v>0</v>
      </c>
      <c r="GL11" s="712">
        <f t="shared" si="57"/>
        <v>0</v>
      </c>
      <c r="GM11" s="712">
        <f t="shared" si="58"/>
        <v>0</v>
      </c>
      <c r="GN11" s="712">
        <f t="shared" si="82"/>
        <v>0</v>
      </c>
      <c r="GO11" s="712"/>
      <c r="GP11" s="712">
        <f t="shared" si="59"/>
        <v>0</v>
      </c>
      <c r="GQ11" s="712" t="str">
        <f t="shared" si="60"/>
        <v/>
      </c>
      <c r="GR11" s="712">
        <f>IF(GA11="P",Lookup!$N$12,IF(GA11="PP",Lookup!$N$13,IF(GA11="PPP",Lookup!$N$14,IF(GA11="T",Lookup!$N$15,IF(GA11="TP",Lookup!$N$16,IF(GA11="TPP",Lookup!$N$17,IF(GA11="TPPP",Lookup!$N$18,0)))))))*FZ11</f>
        <v>0</v>
      </c>
      <c r="GS11" s="697">
        <f t="shared" si="83"/>
        <v>0</v>
      </c>
      <c r="GT11" s="712">
        <f t="shared" si="61"/>
        <v>0</v>
      </c>
      <c r="GU11" s="712">
        <f t="shared" si="84"/>
        <v>0</v>
      </c>
      <c r="GV11" s="712"/>
      <c r="GW11" s="712">
        <f t="shared" si="62"/>
        <v>0</v>
      </c>
      <c r="GX11" s="712" t="str">
        <f t="shared" si="63"/>
        <v/>
      </c>
      <c r="GY11" s="712">
        <f>IF(GA11="P",Lookup!$N$12,IF(GA11="PP",Lookup!$N$13,IF(GA11="PPP",Lookup!$N$14,IF(GA11="T",Lookup!$N$15,IF(GA11="TP",Lookup!$N$16,IF(GA11="TPP",Lookup!$N$17,IF(GA11="TPPP",Lookup!$N$18,0)))))))*FZ11</f>
        <v>0</v>
      </c>
      <c r="GZ11" s="697">
        <f t="shared" si="85"/>
        <v>0</v>
      </c>
      <c r="HA11" s="712">
        <f t="shared" si="64"/>
        <v>0</v>
      </c>
      <c r="HB11" s="712">
        <f t="shared" si="86"/>
        <v>0</v>
      </c>
      <c r="HC11" s="712"/>
    </row>
    <row r="12" spans="1:211" s="675" customFormat="1">
      <c r="A12" s="773" t="s">
        <v>6</v>
      </c>
      <c r="B12" s="708">
        <v>40541</v>
      </c>
      <c r="C12" s="709">
        <v>0.5</v>
      </c>
      <c r="D12" s="675">
        <f t="shared" si="65"/>
        <v>300</v>
      </c>
      <c r="E12" s="675">
        <f t="shared" si="66"/>
        <v>250</v>
      </c>
      <c r="F12" s="710">
        <v>250</v>
      </c>
      <c r="G12" s="697">
        <f>DH12+Sheet1!CV12</f>
        <v>1173.5083207260973</v>
      </c>
      <c r="H12" s="697">
        <f t="shared" si="0"/>
        <v>491.59257851734924</v>
      </c>
      <c r="I12" s="711">
        <f>MAX(Sheet1!Z12-AJ12+(Sheet1!CW12-E12)*CFStoMGD,0)</f>
        <v>1181.685725888321</v>
      </c>
      <c r="J12" s="720">
        <f>IF(AND(B12&gt;=Calculation!FS12,B12&lt;=Calculation!FT12),IF(Sheet1!CX12&gt;=Calculation!D12,64.64,0),MAX(Sheet1!Z12-AJ12+(Sheet1!CX12-D12)*CFStoMGD,0))</f>
        <v>637.83439255498763</v>
      </c>
      <c r="K12" s="697">
        <f t="shared" si="67"/>
        <v>64.64</v>
      </c>
      <c r="L12" s="712">
        <f>Sheet1!AA12+Sheet1!AB12-Sheet1!L12+(Sheet1!CW12-F12)*CFStoMGD</f>
        <v>1232.8340000000126</v>
      </c>
      <c r="M12" s="697">
        <f t="shared" si="1"/>
        <v>773.72689408769634</v>
      </c>
      <c r="N12" s="697">
        <f>IF(Sheet1!CW12&gt;=F12,MIN(73,MIN(MAX(L12,0),MAX(M12,0))),0)</f>
        <v>73</v>
      </c>
      <c r="O12" s="713">
        <f>Sheet1!AA12+Sheet1!AB12</f>
        <v>51.740000000012515</v>
      </c>
      <c r="P12" s="713">
        <f t="shared" si="2"/>
        <v>80.041780000019358</v>
      </c>
      <c r="Q12" s="697">
        <f>MIN(N12,Sheet1!AA12+AG12)</f>
        <v>48.758274111687101</v>
      </c>
      <c r="R12" s="697">
        <f t="shared" si="3"/>
        <v>2.981725888325411</v>
      </c>
      <c r="S12" s="713">
        <f>Sheet1!Y12*MGDtoCFS</f>
        <v>39.293799999999997</v>
      </c>
      <c r="T12" s="713">
        <f>Sheet1!Z12*MGDtoCFS</f>
        <v>33.740069999999996</v>
      </c>
      <c r="U12" s="713">
        <f>Sheet1!AA12*MGDtoCFS</f>
        <v>42.604380000012604</v>
      </c>
      <c r="V12" s="713">
        <f>Sheet1!AB12*MGDtoCFS</f>
        <v>37.437400000006754</v>
      </c>
      <c r="W12" s="713">
        <f>Sheet1!L12*MGDtoCFS</f>
        <v>0</v>
      </c>
      <c r="X12" s="697">
        <f t="shared" si="68"/>
        <v>0</v>
      </c>
      <c r="Y12" s="697">
        <f t="shared" si="4"/>
        <v>0</v>
      </c>
      <c r="Z12" s="697">
        <f t="shared" si="5"/>
        <v>0</v>
      </c>
      <c r="AA12" s="697">
        <f t="shared" si="6"/>
        <v>0</v>
      </c>
      <c r="AB12" s="697">
        <f>(VLOOKUP(Sheet1!CY12,hhdcap_wcm,4)-(((VLOOKUP(Sheet1!CY12,hhdcap_wcm,3)-Sheet1!CY12)/(VLOOKUP(Sheet1!CY12,hhdcap_wcm,3)-VLOOKUP(Sheet1!CY12,hhdcap_wcm,1)))*(VLOOKUP(Sheet1!CY12,hhdcap_wcm,4)-VLOOKUP(Sheet1!CY12,hhdcap_wcm,2))))</f>
        <v>1981.7200000028363</v>
      </c>
      <c r="AC12" s="697">
        <f t="shared" si="69"/>
        <v>-70.380000000149039</v>
      </c>
      <c r="AD12" s="712">
        <f t="shared" si="70"/>
        <v>0</v>
      </c>
      <c r="AE12" s="697">
        <f t="shared" si="7"/>
        <v>0</v>
      </c>
      <c r="AF12" s="697">
        <f>Sheet1!BA12+Sheet1!BB12+Sheet1!BN12+BT12</f>
        <v>19</v>
      </c>
      <c r="AG12" s="697">
        <f t="shared" si="8"/>
        <v>21.218274111678951</v>
      </c>
      <c r="AH12" s="697">
        <f>Sheet1!BA12+BT12</f>
        <v>0</v>
      </c>
      <c r="AI12" s="697">
        <f>Sheet1!BA12+Sheet1!BB12+BT12</f>
        <v>0</v>
      </c>
      <c r="AJ12" s="697">
        <f>IF((Sheet1!AA12+AG12+AX12+AZ12+BQ12+BS12+CL12+CN12)&lt;=N12,AG12+AX12+AZ12+BQ12+BS12+CL12+CN12,N12-Sheet1!AA12)</f>
        <v>21.218274111678951</v>
      </c>
      <c r="AK12" s="712">
        <f>IF(DR12&lt;K12,0,MAX(Sheet1!AA12+AG12-15/36*K12-N12,Sheet1!ED12,0))</f>
        <v>0</v>
      </c>
      <c r="AL12" s="697">
        <f>IF(OR(B12&gt;=FT12,B12&lt;FS12),0,15/36*K12-MAX(0,64.6-(137.6-(Sheet1!AA12+Sheet1!AB12))))</f>
        <v>0</v>
      </c>
      <c r="AM12" s="712">
        <f>Sheet1!CX12-110</f>
        <v>1175.8333333333333</v>
      </c>
      <c r="AN12" s="712">
        <f>Sheet1!CW12-265</f>
        <v>1812.1875</v>
      </c>
      <c r="AO12" s="712">
        <f t="shared" si="71"/>
        <v>24.241725888312899</v>
      </c>
      <c r="AP12" s="712">
        <f t="shared" si="72"/>
        <v>0</v>
      </c>
      <c r="AQ12" s="712">
        <f t="shared" si="10"/>
        <v>0</v>
      </c>
      <c r="AR12" s="697">
        <f t="shared" si="11"/>
        <v>0</v>
      </c>
      <c r="AS12" s="697"/>
      <c r="AT12" s="712">
        <f ca="1">IF(B12&gt;Summary!$A$1,#N/A,AR12*MGtoAF)</f>
        <v>0</v>
      </c>
      <c r="AU12" s="697">
        <f>Sheet1!BG12+Sheet1!BH12+Sheet1!BI12-BC12</f>
        <v>0</v>
      </c>
      <c r="AV12" s="697">
        <f t="shared" si="12"/>
        <v>0</v>
      </c>
      <c r="AW12" s="697">
        <f>IF(Sheet1!EL12="FM",BC12,0)</f>
        <v>0</v>
      </c>
      <c r="AX12" s="697">
        <f t="shared" si="13"/>
        <v>0</v>
      </c>
      <c r="AY12" s="697">
        <f>IF(Sheet1!EL12="OTHER",BC12,0)</f>
        <v>0</v>
      </c>
      <c r="AZ12" s="697">
        <f t="shared" si="14"/>
        <v>0</v>
      </c>
      <c r="BA12" s="697">
        <f t="shared" si="15"/>
        <v>0</v>
      </c>
      <c r="BB12" s="697">
        <f t="shared" si="16"/>
        <v>0</v>
      </c>
      <c r="BC12" s="697">
        <f>IF(OR(Sheet1!EL12="FM", Sheet1!EL12="OTHER"),SUM(Sheet1!BG12:'Sheet1'!BI12),0)</f>
        <v>0</v>
      </c>
      <c r="BD12" s="697">
        <f>IF(AND($B12&gt;=$FL12,$B12&lt;=$FM12),MAX(AV12,Sheet1!EE12,0),MAX(AV12-(7/36)*$K12,0))</f>
        <v>0</v>
      </c>
      <c r="BE12" s="697">
        <f t="shared" si="17"/>
        <v>0</v>
      </c>
      <c r="BF12" s="697">
        <f t="shared" si="73"/>
        <v>0</v>
      </c>
      <c r="BG12" s="697">
        <f>IF(AND($O12&gt;0,Sheet1!EI12=1),(1-($O12-Sheet1!$L12)/$O12)*BB12,0)</f>
        <v>0</v>
      </c>
      <c r="BH12" s="697">
        <f>IF(AND(Sheet1!$L12=0,Sheet1!$L11=0, Calculation!BA12&lt;Sheet1!$EE12-0.1,Sheet1!$EE12=Sheet1!$EE11,Sheet1!$EE12=Sheet1!$EE13),Sheet1!$EE12,BB12-BG12)</f>
        <v>0</v>
      </c>
      <c r="BI12" s="697"/>
      <c r="BJ12" s="697"/>
      <c r="BK12" s="697">
        <f t="shared" si="18"/>
        <v>0</v>
      </c>
      <c r="BL12" s="697"/>
      <c r="BM12" s="712">
        <f ca="1">IF(B12&gt;Summary!$A$1,#N/A,BK12*MGtoAF)</f>
        <v>0</v>
      </c>
      <c r="BN12" s="697">
        <f>Sheet1!BC12+Sheet1!BD12+Sheet1!BE12+Sheet1!BF12-BW12-BX12</f>
        <v>1.6400000000000001</v>
      </c>
      <c r="BO12" s="697">
        <f t="shared" si="19"/>
        <v>1.8314720812186045</v>
      </c>
      <c r="BP12" s="697">
        <f>IF(Sheet1!EM12="FM",BX12,0)</f>
        <v>0</v>
      </c>
      <c r="BQ12" s="697">
        <f t="shared" si="20"/>
        <v>0</v>
      </c>
      <c r="BR12" s="697">
        <f>IF(Sheet1!EM12="OTHER",BX12,0)</f>
        <v>0</v>
      </c>
      <c r="BS12" s="697">
        <f t="shared" si="21"/>
        <v>0</v>
      </c>
      <c r="BT12" s="697">
        <f t="shared" si="22"/>
        <v>0</v>
      </c>
      <c r="BU12" s="697">
        <f t="shared" si="23"/>
        <v>1.6400000000000001</v>
      </c>
      <c r="BV12" s="697">
        <f t="shared" si="24"/>
        <v>1.8314720812186045</v>
      </c>
      <c r="BW12" s="697">
        <f>IF(Sheet1!EM12="CWA",SUM(Sheet1!BC12:'Sheet1'!BF12),0)</f>
        <v>0</v>
      </c>
      <c r="BX12" s="697">
        <f>IF(OR(Sheet1!EM12="FM", Sheet1!EM12="OTHER"),SUM(Sheet1!BC12:'Sheet1'!BF12),0)</f>
        <v>0</v>
      </c>
      <c r="BY12" s="697">
        <f>IF(AND($B12&gt;=$FL12,$B12&lt;=$FM12),MAX(BV12,Sheet1!EF12,0),MAX(BV12-(7/36)*$K12,0))</f>
        <v>0</v>
      </c>
      <c r="BZ12" s="697">
        <f t="shared" si="25"/>
        <v>0</v>
      </c>
      <c r="CA12" s="697">
        <f t="shared" si="74"/>
        <v>1.8314720812186045</v>
      </c>
      <c r="CB12" s="697">
        <f>IF(AND($O12&gt;0,Sheet1!EJ12=1),(1-($O12-Sheet1!$L12)/$O12)*BV12,0)</f>
        <v>0</v>
      </c>
      <c r="CC12" s="697">
        <f>IF(AND(Sheet1!$L12=0,Sheet1!$L11=0, Calculation!BU12&lt;Sheet1!EF12-0.1,Sheet1!EF12=Sheet1!EF11,Sheet1!EF12=Sheet1!EF13),Sheet1!EF12,BV12-CB12)</f>
        <v>1.8314720812186045</v>
      </c>
      <c r="CD12" s="697"/>
      <c r="CE12" s="697"/>
      <c r="CF12" s="697">
        <f t="shared" si="26"/>
        <v>0</v>
      </c>
      <c r="CG12" s="697"/>
      <c r="CH12" s="712">
        <f ca="1">IF(B12&gt;Summary!$A$1,#N/A,CF12*MGtoAF)</f>
        <v>0</v>
      </c>
      <c r="CI12" s="697">
        <f>Sheet1!BK12+Sheet1!BL12+Sheet1!BM12-Sheet1!EN12-CQ12</f>
        <v>1.03</v>
      </c>
      <c r="CJ12" s="697">
        <f t="shared" si="27"/>
        <v>1.1502538071068065</v>
      </c>
      <c r="CK12" s="697">
        <f>IF(Sheet1!EN12="FM",CQ12,0)</f>
        <v>0</v>
      </c>
      <c r="CL12" s="697">
        <f t="shared" si="28"/>
        <v>0</v>
      </c>
      <c r="CM12" s="697">
        <f>IF(Sheet1!EN12="OTHER",CQ12,0)</f>
        <v>0</v>
      </c>
      <c r="CN12" s="697">
        <f t="shared" si="29"/>
        <v>0</v>
      </c>
      <c r="CO12" s="697">
        <f t="shared" si="30"/>
        <v>1.03</v>
      </c>
      <c r="CP12" s="697">
        <f t="shared" si="31"/>
        <v>1.1502538071068065</v>
      </c>
      <c r="CQ12" s="697">
        <f>IF(OR(Sheet1!EN12="FM", Sheet1!EN12="OTHER"),SUM(Sheet1!BK12:'Sheet1'!BM12),0)</f>
        <v>0</v>
      </c>
      <c r="CR12" s="697">
        <f>IF(AND($B12&gt;=$FL12,$B12&lt;=$FM12),MAX($CJ12,Sheet1!EG12,0),MAX($CJ12-(7/36)*$K12,0))</f>
        <v>0</v>
      </c>
      <c r="CS12" s="697">
        <f t="shared" si="32"/>
        <v>0</v>
      </c>
      <c r="CT12" s="697">
        <f t="shared" si="75"/>
        <v>1.1502538071068065</v>
      </c>
      <c r="CU12" s="697">
        <f>IF(AND($O12&gt;0,Sheet1!EK12=1),(1-($O12-Sheet1!$L12)/$O12)*CP12,0)</f>
        <v>0</v>
      </c>
      <c r="CV12" s="697">
        <f>IF(AND(Sheet1!$L12=0,Sheet1!$L11=0, Calculation!CO12&lt;Sheet1!$EG12-0.1,Sheet1!$EG12=Sheet1!$EG11,Sheet1!$EG12=Sheet1!$EG13),Sheet1!$EG12,CP12-CU12)</f>
        <v>1.1502538071068065</v>
      </c>
      <c r="CW12" s="697">
        <f t="shared" si="33"/>
        <v>0</v>
      </c>
      <c r="CX12" s="712">
        <f t="shared" si="87"/>
        <v>2.67</v>
      </c>
      <c r="CY12" s="697">
        <f t="shared" si="34"/>
        <v>0</v>
      </c>
      <c r="CZ12" s="697">
        <f t="shared" si="35"/>
        <v>2.981725888325411</v>
      </c>
      <c r="DA12" s="712">
        <f ca="1">IF(B12&gt;Summary!$A$1,#N/A,CY12*MGtoAF)</f>
        <v>0</v>
      </c>
      <c r="DB12" s="697">
        <f t="shared" si="36"/>
        <v>2.67</v>
      </c>
      <c r="DC12" s="697">
        <f t="shared" si="37"/>
        <v>21.67</v>
      </c>
      <c r="DD12" s="697">
        <f>Sheet1!AB12-DC12</f>
        <v>2.5300000000043639</v>
      </c>
      <c r="DE12" s="697">
        <f t="shared" si="38"/>
        <v>0.11675126903573436</v>
      </c>
      <c r="DF12" s="697">
        <f>(VLOOKUP(Sheet1!CY12,hhdcap_wcm,4)-(((VLOOKUP(Sheet1!CY12,hhdcap_wcm,3)-Sheet1!CY12)/(VLOOKUP(Sheet1!CY12,hhdcap_wcm,3)-VLOOKUP(Sheet1!CY12,hhdcap_wcm,1)))*(VLOOKUP(Sheet1!CY12,hhdcap_wcm,4)-VLOOKUP(Sheet1!CY12,hhdcap_wcm,2))))</f>
        <v>1981.7200000028363</v>
      </c>
      <c r="DG12" s="697">
        <f t="shared" si="76"/>
        <v>-70.380000000149039</v>
      </c>
      <c r="DH12" s="697">
        <f t="shared" si="39"/>
        <v>-35.49167927390269</v>
      </c>
      <c r="DI12" s="697">
        <f>Sheet1!DW12*AFtoMG</f>
        <v>0</v>
      </c>
      <c r="DJ12" s="697">
        <f>Sheet1!DX12*AFtoMG</f>
        <v>0</v>
      </c>
      <c r="DK12" s="697">
        <f>Sheet1!DY12*AFtoMG</f>
        <v>0</v>
      </c>
      <c r="DL12" s="697">
        <f>Sheet1!DZ12*AFtoMG</f>
        <v>0</v>
      </c>
      <c r="DM12" s="697">
        <f t="shared" si="40"/>
        <v>0</v>
      </c>
      <c r="DN12" s="697">
        <f t="shared" si="41"/>
        <v>0</v>
      </c>
      <c r="DO12" s="697">
        <f t="shared" si="42"/>
        <v>0</v>
      </c>
      <c r="DP12" s="697">
        <f t="shared" si="43"/>
        <v>0</v>
      </c>
      <c r="DQ12" s="697"/>
      <c r="DR12" s="697">
        <f>IF(OR(B12&lt;FL12,B12&gt;FM12),(MIN(AV12+BO12+CJ12+MAX(Sheet1!AA12+AG12-73,0),K12)),0)</f>
        <v>2.981725888325411</v>
      </c>
      <c r="DS12" s="697"/>
      <c r="DT12" s="697">
        <f t="shared" si="44"/>
        <v>2.981725888325411</v>
      </c>
      <c r="DU12" s="697"/>
      <c r="DV12" s="697">
        <f>Sheet1!ED12+Sheet1!EE12+Sheet1!EF12+Sheet1!EG12</f>
        <v>9.5</v>
      </c>
      <c r="DW12" s="697"/>
      <c r="DX12" s="697">
        <f t="shared" si="77"/>
        <v>0</v>
      </c>
      <c r="DY12" s="697">
        <f>IF(Sheet1!FN12=1,SUM('Calculations II'!AT12:BA12)+'Calculations II'!BC12+Sheet1!BU12+'Calculations II'!BE12+AF12,SUM('Calculations II'!AT12:BA12)+'Calculations II'!BC12+Sheet1!BU12+'Calculations II'!BE12+AF12)</f>
        <v>42.08296</v>
      </c>
      <c r="DZ12" s="697">
        <f>Sheet1!AA12+Sheet1!AB12+'Calculations II'!BC12</f>
        <v>51.740000000012515</v>
      </c>
      <c r="EA12" s="697"/>
      <c r="EB12" s="697"/>
      <c r="EC12" s="697">
        <f t="shared" si="45"/>
        <v>40541</v>
      </c>
      <c r="ED12" s="697">
        <f t="shared" si="46"/>
        <v>0</v>
      </c>
      <c r="EE12" s="697">
        <f t="shared" si="47"/>
        <v>0</v>
      </c>
      <c r="EF12" s="697">
        <f>-(VLOOKUP(Sheet1!BQ12,Lookup!$B$4:$J$236,2)-VLOOKUP(Sheet1!BQ11,Lookup!$B$4:$J$236,2))/1000000</f>
        <v>0.2671</v>
      </c>
      <c r="EG12" s="697">
        <f>-(VLOOKUP(Sheet1!BR12,Lookup!$B$4:$J$236,3)-VLOOKUP(Sheet1!BR11,Lookup!$B$4:$J$236,3))/1000000</f>
        <v>0.2666</v>
      </c>
      <c r="EH12" s="697">
        <f>-(VLOOKUP(Sheet1!BS12,Lookup!$B$4:$J$236,4)-VLOOKUP(Sheet1!BS11,Lookup!$B$4:$J$236,4))/1000000</f>
        <v>0</v>
      </c>
      <c r="EI12" s="697">
        <f t="shared" si="88"/>
        <v>0.53370000000000006</v>
      </c>
      <c r="EJ12" s="697"/>
      <c r="EK12" s="697"/>
      <c r="EL12" s="697"/>
      <c r="EM12" s="697"/>
      <c r="EN12" s="697"/>
      <c r="EO12" s="697"/>
      <c r="EP12" s="697"/>
      <c r="EQ12" s="697"/>
      <c r="ER12" s="697">
        <v>0</v>
      </c>
      <c r="ES12" s="697"/>
      <c r="ET12" s="794" t="e">
        <f t="shared" si="78"/>
        <v>#N/A</v>
      </c>
      <c r="EU12" s="794" t="e">
        <f t="shared" si="79"/>
        <v>#VALUE!</v>
      </c>
      <c r="EV12" s="795" t="e">
        <f t="shared" si="48"/>
        <v>#VALUE!</v>
      </c>
      <c r="EW12" s="796" t="s">
        <v>757</v>
      </c>
      <c r="EX12" s="796" t="s">
        <v>757</v>
      </c>
      <c r="EY12" s="794">
        <v>0</v>
      </c>
      <c r="EZ12" s="794" t="e">
        <v>#N/A</v>
      </c>
      <c r="FA12" s="697"/>
      <c r="FB12" s="697"/>
      <c r="FC12" s="697"/>
      <c r="FD12" s="697"/>
      <c r="FE12" s="697">
        <f>O12+Sheet1!CO12</f>
        <v>51.740000000012515</v>
      </c>
      <c r="FF12" s="697">
        <f>IF(Sheet1!AA12+AG12&lt;=Calculation!N12,AG12,Calculation!N12-Sheet1!AA12)</f>
        <v>21.218274111678951</v>
      </c>
      <c r="FG12" s="712">
        <f>(Sheet1!BP12+Sheet1!BO12)/694.4</f>
        <v>2.2515841013824884</v>
      </c>
      <c r="FH12" s="697"/>
      <c r="FI12" s="697"/>
      <c r="FJ12" s="697"/>
      <c r="FK12" s="697"/>
      <c r="FL12" s="714">
        <f t="shared" si="89"/>
        <v>40753</v>
      </c>
      <c r="FM12" s="714">
        <f t="shared" si="90"/>
        <v>40851</v>
      </c>
      <c r="FN12" s="697"/>
      <c r="FO12" s="697"/>
      <c r="FP12" s="697"/>
      <c r="FQ12" s="697"/>
      <c r="FR12" s="697"/>
      <c r="FS12" s="725">
        <f t="shared" si="91"/>
        <v>40603</v>
      </c>
      <c r="FT12" s="714">
        <f t="shared" si="92"/>
        <v>40709</v>
      </c>
      <c r="FU12" s="712">
        <f t="shared" si="93"/>
        <v>6518.9048239895692</v>
      </c>
      <c r="FV12" s="714">
        <f t="shared" si="94"/>
        <v>40722</v>
      </c>
      <c r="FW12" s="712">
        <f t="shared" si="95"/>
        <v>3259.4524119947846</v>
      </c>
      <c r="FX12" s="725">
        <f t="shared" si="96"/>
        <v>40851</v>
      </c>
      <c r="FZ12" s="697">
        <f t="shared" si="49"/>
        <v>0</v>
      </c>
      <c r="GA12" s="697" t="str">
        <f t="shared" si="50"/>
        <v/>
      </c>
      <c r="GB12" s="697">
        <f t="shared" si="51"/>
        <v>0</v>
      </c>
      <c r="GC12" s="697" t="str">
        <f t="shared" si="52"/>
        <v/>
      </c>
      <c r="GD12" s="697">
        <f>IF(GA12="P",Lookup!$M$12,IF(GA12="PP",Lookup!$M$13,IF(GA12="PPP",Lookup!$M$14,IF(GA12="T",Lookup!$M$15,IF(GA12="TP",Lookup!$M$16,IF(GA12="TPP",Lookup!$M$17,IF(GA12="TPPP",Lookup!$M$18,0)))))))*FZ12</f>
        <v>0</v>
      </c>
      <c r="GE12" s="697">
        <f t="shared" si="53"/>
        <v>0</v>
      </c>
      <c r="GF12" s="697">
        <f t="shared" si="54"/>
        <v>0</v>
      </c>
      <c r="GG12" s="697">
        <f t="shared" si="81"/>
        <v>0</v>
      </c>
      <c r="GH12" s="697"/>
      <c r="GI12" s="697">
        <f t="shared" si="55"/>
        <v>0</v>
      </c>
      <c r="GJ12" s="697" t="str">
        <f t="shared" si="56"/>
        <v/>
      </c>
      <c r="GK12" s="697">
        <f>IF(GA12="P",Lookup!$N$12,IF(GA12="PP",Lookup!$N$13,IF(GA12="PPP",Lookup!$N$14,IF(GA12="T",Lookup!$N$15,IF(GA12="TP",Lookup!$N$16,IF(GA12="TPP",Lookup!$N$17,IF(GA12="TPPP",Lookup!$N$18,0)))))))*FZ12</f>
        <v>0</v>
      </c>
      <c r="GL12" s="697">
        <f t="shared" si="57"/>
        <v>0</v>
      </c>
      <c r="GM12" s="697">
        <f t="shared" si="58"/>
        <v>0</v>
      </c>
      <c r="GN12" s="697">
        <f t="shared" si="82"/>
        <v>0</v>
      </c>
      <c r="GO12" s="697"/>
      <c r="GP12" s="697">
        <f t="shared" si="59"/>
        <v>0</v>
      </c>
      <c r="GQ12" s="697" t="str">
        <f t="shared" si="60"/>
        <v/>
      </c>
      <c r="GR12" s="697">
        <f>IF(GA12="P",Lookup!$N$12,IF(GA12="PP",Lookup!$N$13,IF(GA12="PPP",Lookup!$N$14,IF(GA12="T",Lookup!$N$15,IF(GA12="TP",Lookup!$N$16,IF(GA12="TPP",Lookup!$N$17,IF(GA12="TPPP",Lookup!$N$18,0)))))))*FZ12</f>
        <v>0</v>
      </c>
      <c r="GS12" s="697">
        <f t="shared" si="83"/>
        <v>0</v>
      </c>
      <c r="GT12" s="697">
        <f t="shared" si="61"/>
        <v>0</v>
      </c>
      <c r="GU12" s="697">
        <f t="shared" si="84"/>
        <v>0</v>
      </c>
      <c r="GV12" s="697"/>
      <c r="GW12" s="697">
        <f t="shared" si="62"/>
        <v>0</v>
      </c>
      <c r="GX12" s="697" t="str">
        <f t="shared" si="63"/>
        <v/>
      </c>
      <c r="GY12" s="697">
        <f>IF(GA12="P",Lookup!$N$12,IF(GA12="PP",Lookup!$N$13,IF(GA12="PPP",Lookup!$N$14,IF(GA12="T",Lookup!$N$15,IF(GA12="TP",Lookup!$N$16,IF(GA12="TPP",Lookup!$N$17,IF(GA12="TPPP",Lookup!$N$18,0)))))))*FZ12</f>
        <v>0</v>
      </c>
      <c r="GZ12" s="697">
        <f t="shared" si="85"/>
        <v>0</v>
      </c>
      <c r="HA12" s="697">
        <f t="shared" si="64"/>
        <v>0</v>
      </c>
      <c r="HB12" s="697">
        <f t="shared" si="86"/>
        <v>0</v>
      </c>
      <c r="HC12" s="697"/>
    </row>
    <row r="13" spans="1:211">
      <c r="A13" s="773" t="s">
        <v>7</v>
      </c>
      <c r="B13" s="708">
        <v>40542</v>
      </c>
      <c r="C13" s="719">
        <v>0.5</v>
      </c>
      <c r="D13" s="675">
        <f t="shared" si="65"/>
        <v>300</v>
      </c>
      <c r="E13" s="675">
        <f t="shared" si="66"/>
        <v>250</v>
      </c>
      <c r="F13" s="710">
        <v>250</v>
      </c>
      <c r="G13" s="712">
        <f>DH13+Sheet1!CV13</f>
        <v>1051.6481593546184</v>
      </c>
      <c r="H13" s="712">
        <f t="shared" si="0"/>
        <v>412.82217020682532</v>
      </c>
      <c r="I13" s="711">
        <f>MAX(Sheet1!Z13-AJ13+(Sheet1!CW13-E13)*CFStoMGD,0)</f>
        <v>988.26778932053048</v>
      </c>
      <c r="J13" s="720">
        <f>IF(AND(B13&gt;=Calculation!FS13,B13&lt;=Calculation!FT13),IF(Sheet1!CX13&gt;=Calculation!D13,64.64,0),MAX(Sheet1!Z13-AJ13+(Sheet1!CX13-D13)*CFStoMGD,0))</f>
        <v>463.54585598719711</v>
      </c>
      <c r="K13" s="697">
        <f t="shared" si="67"/>
        <v>64.64</v>
      </c>
      <c r="L13" s="712">
        <f>Sheet1!AA13+Sheet1!AB13-Sheet1!L13+(Sheet1!CW13-F13)*CFStoMGD</f>
        <v>1032.5586666666663</v>
      </c>
      <c r="M13" s="712">
        <f t="shared" si="1"/>
        <v>693.38107761096194</v>
      </c>
      <c r="N13" s="712">
        <f>IF(Sheet1!CW13&gt;=F13,MIN(73,MIN(MAX(L13,0),MAX(M13,0))),0)</f>
        <v>73</v>
      </c>
      <c r="O13" s="721">
        <f>Sheet1!AA13+Sheet1!AB13</f>
        <v>52.319999999999709</v>
      </c>
      <c r="P13" s="721">
        <f t="shared" si="2"/>
        <v>80.939039999999551</v>
      </c>
      <c r="Q13" s="712">
        <f>MIN(N13,Sheet1!AA13+AG13)</f>
        <v>44.110877346137308</v>
      </c>
      <c r="R13" s="712">
        <f t="shared" si="3"/>
        <v>8.2091226538624014</v>
      </c>
      <c r="S13" s="721">
        <f>Sheet1!Y13*MGDtoCFS</f>
        <v>47.229909999999997</v>
      </c>
      <c r="T13" s="721">
        <f>Sheet1!Z13*MGDtoCFS</f>
        <v>33.910240000000002</v>
      </c>
      <c r="U13" s="721">
        <f>Sheet1!AA13*MGDtoCFS</f>
        <v>46.750340000001799</v>
      </c>
      <c r="V13" s="721">
        <f>Sheet1!AB13*MGDtoCFS</f>
        <v>34.188699999997745</v>
      </c>
      <c r="W13" s="721">
        <f>Sheet1!L13*MGDtoCFS</f>
        <v>0</v>
      </c>
      <c r="X13" s="697">
        <f t="shared" si="68"/>
        <v>0</v>
      </c>
      <c r="Y13" s="712">
        <f t="shared" si="4"/>
        <v>0</v>
      </c>
      <c r="Z13" s="712">
        <f t="shared" si="5"/>
        <v>0</v>
      </c>
      <c r="AA13" s="712">
        <f t="shared" si="6"/>
        <v>0</v>
      </c>
      <c r="AB13" s="712">
        <f>(VLOOKUP(Sheet1!CY13,hhdcap_wcm,4)-(((VLOOKUP(Sheet1!CY13,hhdcap_wcm,3)-Sheet1!CY13)/(VLOOKUP(Sheet1!CY13,hhdcap_wcm,3)-VLOOKUP(Sheet1!CY13,hhdcap_wcm,1)))*(VLOOKUP(Sheet1!CY13,hhdcap_wcm,4)-VLOOKUP(Sheet1!CY13,hhdcap_wcm,2))))</f>
        <v>2123.6000000030444</v>
      </c>
      <c r="AC13" s="712">
        <f t="shared" si="69"/>
        <v>141.88000000020816</v>
      </c>
      <c r="AD13" s="712">
        <f t="shared" si="70"/>
        <v>0</v>
      </c>
      <c r="AE13" s="712">
        <f t="shared" si="7"/>
        <v>0</v>
      </c>
      <c r="AF13" s="712">
        <f>Sheet1!BA13+Sheet1!BB13+Sheet1!BN13+BT13</f>
        <v>14.4</v>
      </c>
      <c r="AG13" s="712">
        <f t="shared" si="8"/>
        <v>13.890877346136143</v>
      </c>
      <c r="AH13" s="712">
        <f>Sheet1!BA13+BT13</f>
        <v>0</v>
      </c>
      <c r="AI13" s="712">
        <f>Sheet1!BA13+Sheet1!BB13+BT13</f>
        <v>0</v>
      </c>
      <c r="AJ13" s="712">
        <f>IF((Sheet1!AA13+AG13+AX13+AZ13+BQ13+BS13+CL13+CN13)&lt;=N13,AG13+AX13+AZ13+BQ13+BS13+CL13+CN13,N13-Sheet1!AA13)</f>
        <v>13.890877346136143</v>
      </c>
      <c r="AK13" s="712">
        <f>IF(DR13&lt;K13,0,MAX(Sheet1!AA13+AG13-15/36*K13-N13,Sheet1!ED13,0))</f>
        <v>0</v>
      </c>
      <c r="AL13" s="712">
        <f>IF(OR(B13&gt;=FT13,B13&lt;FS13),0,15/36*K13-MAX(0,64.6-(137.6-(Sheet1!AA13+Sheet1!AB13))))</f>
        <v>0</v>
      </c>
      <c r="AM13" s="712">
        <f>Sheet1!CX13-110</f>
        <v>894.69791666666663</v>
      </c>
      <c r="AN13" s="712">
        <f>Sheet1!CW13-265</f>
        <v>1501.4583333333333</v>
      </c>
      <c r="AO13" s="712">
        <f t="shared" si="71"/>
        <v>28.889122653862692</v>
      </c>
      <c r="AP13" s="712">
        <f t="shared" si="72"/>
        <v>0</v>
      </c>
      <c r="AQ13" s="712">
        <f t="shared" si="10"/>
        <v>0</v>
      </c>
      <c r="AR13" s="712">
        <f t="shared" si="11"/>
        <v>0</v>
      </c>
      <c r="AS13" s="712"/>
      <c r="AT13" s="712">
        <f ca="1">IF(B13&gt;Summary!$A$1,#N/A,AR13*MGtoAF)</f>
        <v>0</v>
      </c>
      <c r="AU13" s="712">
        <f>Sheet1!BG13+Sheet1!BH13+Sheet1!BI13-BC13</f>
        <v>0</v>
      </c>
      <c r="AV13" s="712">
        <f t="shared" si="12"/>
        <v>0</v>
      </c>
      <c r="AW13" s="712">
        <f>IF(Sheet1!EL13="FM",BC13,0)</f>
        <v>0</v>
      </c>
      <c r="AX13" s="712">
        <f t="shared" si="13"/>
        <v>0</v>
      </c>
      <c r="AY13" s="712">
        <f>IF(Sheet1!EL13="OTHER",BC13,0)</f>
        <v>0</v>
      </c>
      <c r="AZ13" s="712">
        <f t="shared" si="14"/>
        <v>0</v>
      </c>
      <c r="BA13" s="712">
        <f t="shared" si="15"/>
        <v>0</v>
      </c>
      <c r="BB13" s="712">
        <f t="shared" si="16"/>
        <v>0</v>
      </c>
      <c r="BC13" s="712">
        <f>IF(OR(Sheet1!EL13="FM", Sheet1!EL13="OTHER"),SUM(Sheet1!BG13:'Sheet1'!BI13),0)</f>
        <v>0</v>
      </c>
      <c r="BD13" s="697">
        <f>IF(AND($B13&gt;=$FL13,$B13&lt;=$FM13),MAX(AV13,Sheet1!EE13,0),MAX(AV13-(7/36)*$K13,0))</f>
        <v>0</v>
      </c>
      <c r="BE13" s="712">
        <f t="shared" si="17"/>
        <v>0</v>
      </c>
      <c r="BF13" s="697">
        <f t="shared" si="73"/>
        <v>0</v>
      </c>
      <c r="BG13" s="697">
        <f>IF(AND($O13&gt;0,Sheet1!EI13=1),(1-($O13-Sheet1!$L13)/$O13)*BB13,0)</f>
        <v>0</v>
      </c>
      <c r="BH13" s="697">
        <f>IF(AND(Sheet1!$L13=0,Sheet1!$L12=0, Calculation!BA13&lt;Sheet1!$EE13-0.1,Sheet1!$EE13=Sheet1!$EE12,Sheet1!$EE13=Sheet1!$EE14),Sheet1!$EE13,BB13-BG13)</f>
        <v>1</v>
      </c>
      <c r="BI13" s="712"/>
      <c r="BJ13" s="712"/>
      <c r="BK13" s="712">
        <f t="shared" si="18"/>
        <v>0</v>
      </c>
      <c r="BL13" s="712"/>
      <c r="BM13" s="712">
        <f ca="1">IF(B13&gt;Summary!$A$1,#N/A,BK13*MGtoAF)</f>
        <v>0</v>
      </c>
      <c r="BN13" s="712">
        <f>Sheet1!BC13+Sheet1!BD13+Sheet1!BE13+Sheet1!BF13-BW13-BX13</f>
        <v>2.5100000000000002</v>
      </c>
      <c r="BO13" s="712">
        <f t="shared" si="19"/>
        <v>2.421257092972342</v>
      </c>
      <c r="BP13" s="712">
        <f>IF(Sheet1!EM13="FM",BX13,0)</f>
        <v>0</v>
      </c>
      <c r="BQ13" s="712">
        <f t="shared" si="20"/>
        <v>0</v>
      </c>
      <c r="BR13" s="712">
        <f>IF(Sheet1!EM13="OTHER",BX13,0)</f>
        <v>0</v>
      </c>
      <c r="BS13" s="712">
        <f t="shared" si="21"/>
        <v>0</v>
      </c>
      <c r="BT13" s="712">
        <f t="shared" si="22"/>
        <v>0</v>
      </c>
      <c r="BU13" s="712">
        <f t="shared" si="23"/>
        <v>2.5100000000000002</v>
      </c>
      <c r="BV13" s="712">
        <f t="shared" si="24"/>
        <v>2.421257092972342</v>
      </c>
      <c r="BW13" s="712">
        <f>IF(Sheet1!EM13="CWA",SUM(Sheet1!BC13:'Sheet1'!BF13),0)</f>
        <v>0</v>
      </c>
      <c r="BX13" s="712">
        <f>IF(OR(Sheet1!EM13="FM", Sheet1!EM13="OTHER"),SUM(Sheet1!BC13:'Sheet1'!BF13),0)</f>
        <v>0</v>
      </c>
      <c r="BY13" s="697">
        <f>IF(AND($B13&gt;=$FL13,$B13&lt;=$FM13),MAX(BV13,Sheet1!EF13,0),MAX(BV13-(7/36)*$K13,0))</f>
        <v>0</v>
      </c>
      <c r="BZ13" s="712">
        <f t="shared" si="25"/>
        <v>0</v>
      </c>
      <c r="CA13" s="697">
        <f t="shared" si="74"/>
        <v>2.421257092972342</v>
      </c>
      <c r="CB13" s="697">
        <f>IF(AND($O13&gt;0,Sheet1!EJ13=1),(1-($O13-Sheet1!$L13)/$O13)*BV13,0)</f>
        <v>0</v>
      </c>
      <c r="CC13" s="697">
        <f>IF(AND(Sheet1!$L13=0,Sheet1!$L12=0, Calculation!BU13&lt;Sheet1!EF13-0.1,Sheet1!EF13=Sheet1!EF12,Sheet1!EF13=Sheet1!EF14),Sheet1!EF13,BV13-CB13)</f>
        <v>2.421257092972342</v>
      </c>
      <c r="CD13" s="697"/>
      <c r="CE13" s="712"/>
      <c r="CF13" s="712">
        <f t="shared" si="26"/>
        <v>0</v>
      </c>
      <c r="CG13" s="712"/>
      <c r="CH13" s="712">
        <f ca="1">IF(B13&gt;Summary!$A$1,#N/A,CF13*MGtoAF)</f>
        <v>0</v>
      </c>
      <c r="CI13" s="712">
        <f>Sheet1!BK13+Sheet1!BL13+Sheet1!BM13-Sheet1!EN13-CQ13</f>
        <v>6</v>
      </c>
      <c r="CJ13" s="712">
        <f t="shared" si="27"/>
        <v>5.7878655608900598</v>
      </c>
      <c r="CK13" s="712">
        <f>IF(Sheet1!EN13="FM",CQ13,0)</f>
        <v>0</v>
      </c>
      <c r="CL13" s="712">
        <f t="shared" si="28"/>
        <v>0</v>
      </c>
      <c r="CM13" s="712">
        <f>IF(Sheet1!EN13="OTHER",CQ13,0)</f>
        <v>0</v>
      </c>
      <c r="CN13" s="712">
        <f t="shared" si="29"/>
        <v>0</v>
      </c>
      <c r="CO13" s="712">
        <f t="shared" si="30"/>
        <v>6</v>
      </c>
      <c r="CP13" s="712">
        <f t="shared" si="31"/>
        <v>5.7878655608900598</v>
      </c>
      <c r="CQ13" s="712">
        <f>IF(OR(Sheet1!EN13="FM", Sheet1!EN13="OTHER"),SUM(Sheet1!BK13:'Sheet1'!BM13),0)</f>
        <v>0</v>
      </c>
      <c r="CR13" s="697">
        <f>IF(AND($B13&gt;=$FL13,$B13&lt;=$FM13),MAX($CJ13,Sheet1!EG13,0),MAX($CJ13-(7/36)*$K13,0))</f>
        <v>0</v>
      </c>
      <c r="CS13" s="712">
        <f t="shared" si="32"/>
        <v>0</v>
      </c>
      <c r="CT13" s="697">
        <f t="shared" si="75"/>
        <v>5.7878655608900598</v>
      </c>
      <c r="CU13" s="697">
        <f>IF(AND($O13&gt;0,Sheet1!EK13=1),(1-($O13-Sheet1!$L13)/$O13)*CP13,0)</f>
        <v>0</v>
      </c>
      <c r="CV13" s="697">
        <f>IF(AND(Sheet1!$L13=0,Sheet1!$L12=0, Calculation!CO13&lt;Sheet1!$EG13-0.1,Sheet1!$EG13=Sheet1!$EG12,Sheet1!$EG13=Sheet1!$EG14),Sheet1!$EG13,CP13-CU13)</f>
        <v>5.7878655608900598</v>
      </c>
      <c r="CW13" s="697">
        <f t="shared" si="33"/>
        <v>0</v>
      </c>
      <c r="CX13" s="712">
        <f t="shared" si="87"/>
        <v>8.51</v>
      </c>
      <c r="CY13" s="712">
        <f t="shared" si="34"/>
        <v>0</v>
      </c>
      <c r="CZ13" s="712">
        <f t="shared" si="35"/>
        <v>8.2091226538624014</v>
      </c>
      <c r="DA13" s="712">
        <f ca="1">IF(B13&gt;Summary!$A$1,#N/A,CY13*MGtoAF)</f>
        <v>0</v>
      </c>
      <c r="DB13" s="712">
        <f t="shared" si="36"/>
        <v>8.51</v>
      </c>
      <c r="DC13" s="712">
        <f t="shared" si="37"/>
        <v>22.91</v>
      </c>
      <c r="DD13" s="712">
        <f>Sheet1!AB13-DC13</f>
        <v>-0.81000000000145533</v>
      </c>
      <c r="DE13" s="712">
        <f t="shared" si="38"/>
        <v>-3.5355739851656715E-2</v>
      </c>
      <c r="DF13" s="712">
        <f>(VLOOKUP(Sheet1!CY13,hhdcap_wcm,4)-(((VLOOKUP(Sheet1!CY13,hhdcap_wcm,3)-Sheet1!CY13)/(VLOOKUP(Sheet1!CY13,hhdcap_wcm,3)-VLOOKUP(Sheet1!CY13,hhdcap_wcm,1)))*(VLOOKUP(Sheet1!CY13,hhdcap_wcm,4)-VLOOKUP(Sheet1!CY13,hhdcap_wcm,2))))</f>
        <v>2123.6000000030444</v>
      </c>
      <c r="DG13" s="712">
        <f t="shared" si="76"/>
        <v>141.88000000020816</v>
      </c>
      <c r="DH13" s="712">
        <f t="shared" si="39"/>
        <v>71.548159354618321</v>
      </c>
      <c r="DI13" s="712">
        <f>Sheet1!DW13*AFtoMG</f>
        <v>0</v>
      </c>
      <c r="DJ13" s="712">
        <f>Sheet1!DX13*AFtoMG</f>
        <v>0</v>
      </c>
      <c r="DK13" s="712">
        <f>Sheet1!DY13*AFtoMG</f>
        <v>0</v>
      </c>
      <c r="DL13" s="712">
        <f>Sheet1!DZ13*AFtoMG</f>
        <v>0</v>
      </c>
      <c r="DM13" s="712">
        <f t="shared" si="40"/>
        <v>0</v>
      </c>
      <c r="DN13" s="712">
        <f t="shared" si="41"/>
        <v>0</v>
      </c>
      <c r="DO13" s="712">
        <f t="shared" si="42"/>
        <v>0</v>
      </c>
      <c r="DP13" s="712">
        <f t="shared" si="43"/>
        <v>0</v>
      </c>
      <c r="DQ13" s="712"/>
      <c r="DR13" s="697">
        <f>IF(OR(B13&lt;FL13,B13&gt;FM13),(MIN(AV13+BO13+CJ13+MAX(Sheet1!AA13+AG13-73,0),K13)),0)</f>
        <v>8.2091226538624014</v>
      </c>
      <c r="DS13" s="712"/>
      <c r="DT13" s="712">
        <f t="shared" si="44"/>
        <v>8.2091226538624014</v>
      </c>
      <c r="DU13" s="712"/>
      <c r="DV13" s="712">
        <f>Sheet1!ED13+Sheet1!EE13+Sheet1!EF13+Sheet1!EG13</f>
        <v>9.5</v>
      </c>
      <c r="DW13" s="712"/>
      <c r="DX13" s="697">
        <f t="shared" si="77"/>
        <v>0</v>
      </c>
      <c r="DY13" s="712">
        <f>IF(Sheet1!FN13=1,SUM('Calculations II'!AT13:BA13)+'Calculations II'!BC13+Sheet1!BU13+'Calculations II'!BE13+AF13,SUM('Calculations II'!AT13:BA13)+'Calculations II'!BC13+Sheet1!BU13+'Calculations II'!BE13+AF13)</f>
        <v>42.000383999999997</v>
      </c>
      <c r="DZ13" s="712">
        <f>Sheet1!AA13+Sheet1!AB13+'Calculations II'!BC13</f>
        <v>52.319999999999709</v>
      </c>
      <c r="EA13" s="712"/>
      <c r="EB13" s="712"/>
      <c r="EC13" s="712">
        <f t="shared" si="45"/>
        <v>40542</v>
      </c>
      <c r="ED13" s="712">
        <f t="shared" si="46"/>
        <v>0</v>
      </c>
      <c r="EE13" s="712">
        <f t="shared" si="47"/>
        <v>0</v>
      </c>
      <c r="EF13" s="712">
        <f>-(VLOOKUP(Sheet1!BQ13,Lookup!$B$4:$J$236,2)-VLOOKUP(Sheet1!BQ12,Lookup!$B$4:$J$236,2))/1000000</f>
        <v>-2.7021000000000002</v>
      </c>
      <c r="EG13" s="712">
        <f>-(VLOOKUP(Sheet1!BR13,Lookup!$B$4:$J$236,3)-VLOOKUP(Sheet1!BR12,Lookup!$B$4:$J$236,3))/1000000</f>
        <v>-2.6966000000000001</v>
      </c>
      <c r="EH13" s="712">
        <f>-(VLOOKUP(Sheet1!BS13,Lookup!$B$4:$J$236,4)-VLOOKUP(Sheet1!BS12,Lookup!$B$4:$J$236,4))/1000000</f>
        <v>0</v>
      </c>
      <c r="EI13" s="697">
        <f t="shared" si="88"/>
        <v>-5.3986999999999998</v>
      </c>
      <c r="EJ13" s="712"/>
      <c r="EK13" s="712"/>
      <c r="EL13" s="712"/>
      <c r="EM13" s="712"/>
      <c r="EN13" s="712"/>
      <c r="EO13" s="712"/>
      <c r="EP13" s="712"/>
      <c r="EQ13" s="712"/>
      <c r="ER13" s="697">
        <v>0</v>
      </c>
      <c r="ES13" s="712"/>
      <c r="ET13" s="794" t="e">
        <f t="shared" si="78"/>
        <v>#N/A</v>
      </c>
      <c r="EU13" s="794" t="e">
        <f t="shared" si="79"/>
        <v>#VALUE!</v>
      </c>
      <c r="EV13" s="795" t="e">
        <f t="shared" si="48"/>
        <v>#VALUE!</v>
      </c>
      <c r="EW13" s="796" t="s">
        <v>757</v>
      </c>
      <c r="EX13" s="796" t="s">
        <v>757</v>
      </c>
      <c r="EY13" s="794">
        <v>0</v>
      </c>
      <c r="EZ13" s="794" t="e">
        <v>#N/A</v>
      </c>
      <c r="FA13" s="712"/>
      <c r="FB13" s="712"/>
      <c r="FC13" s="712"/>
      <c r="FD13" s="712"/>
      <c r="FE13" s="712">
        <f>O13+Sheet1!CO13</f>
        <v>52.319999999999709</v>
      </c>
      <c r="FF13" s="712">
        <f>IF(Sheet1!AA13+AG13&lt;=Calculation!N13,AG13,Calculation!N13-Sheet1!AA13)</f>
        <v>13.890877346136143</v>
      </c>
      <c r="FG13" s="712">
        <f>(Sheet1!BP13+Sheet1!BO13)/694.4</f>
        <v>0.80832373271889402</v>
      </c>
      <c r="FH13" s="712"/>
      <c r="FI13" s="712"/>
      <c r="FJ13" s="712"/>
      <c r="FK13" s="712"/>
      <c r="FL13" s="714">
        <f t="shared" si="89"/>
        <v>40753</v>
      </c>
      <c r="FM13" s="714">
        <f t="shared" si="90"/>
        <v>40851</v>
      </c>
      <c r="FN13" s="712"/>
      <c r="FO13" s="712"/>
      <c r="FP13" s="712"/>
      <c r="FQ13" s="712"/>
      <c r="FR13" s="712"/>
      <c r="FS13" s="725">
        <f t="shared" si="91"/>
        <v>40603</v>
      </c>
      <c r="FT13" s="714">
        <f t="shared" si="92"/>
        <v>40709</v>
      </c>
      <c r="FU13" s="712">
        <f t="shared" si="93"/>
        <v>6518.9048239895692</v>
      </c>
      <c r="FV13" s="714">
        <f t="shared" si="94"/>
        <v>40722</v>
      </c>
      <c r="FW13" s="712">
        <f t="shared" si="95"/>
        <v>3259.4524119947846</v>
      </c>
      <c r="FX13" s="725">
        <f t="shared" si="96"/>
        <v>40851</v>
      </c>
      <c r="FZ13" s="697">
        <f t="shared" si="49"/>
        <v>0</v>
      </c>
      <c r="GA13" s="712" t="str">
        <f t="shared" si="50"/>
        <v/>
      </c>
      <c r="GB13" s="712">
        <f t="shared" si="51"/>
        <v>0</v>
      </c>
      <c r="GC13" s="712" t="str">
        <f t="shared" si="52"/>
        <v/>
      </c>
      <c r="GD13" s="712">
        <f>IF(GA13="P",Lookup!$M$12,IF(GA13="PP",Lookup!$M$13,IF(GA13="PPP",Lookup!$M$14,IF(GA13="T",Lookup!$M$15,IF(GA13="TP",Lookup!$M$16,IF(GA13="TPP",Lookup!$M$17,IF(GA13="TPPP",Lookup!$M$18,0)))))))*FZ13</f>
        <v>0</v>
      </c>
      <c r="GE13" s="712">
        <f t="shared" si="53"/>
        <v>0</v>
      </c>
      <c r="GF13" s="712">
        <f t="shared" si="54"/>
        <v>0</v>
      </c>
      <c r="GG13" s="712">
        <f t="shared" si="81"/>
        <v>0</v>
      </c>
      <c r="GH13" s="712"/>
      <c r="GI13" s="712">
        <f t="shared" si="55"/>
        <v>0</v>
      </c>
      <c r="GJ13" s="712" t="str">
        <f t="shared" si="56"/>
        <v/>
      </c>
      <c r="GK13" s="712">
        <f>IF(GA13="P",Lookup!$N$12,IF(GA13="PP",Lookup!$N$13,IF(GA13="PPP",Lookup!$N$14,IF(GA13="T",Lookup!$N$15,IF(GA13="TP",Lookup!$N$16,IF(GA13="TPP",Lookup!$N$17,IF(GA13="TPPP",Lookup!$N$18,0)))))))*FZ13</f>
        <v>0</v>
      </c>
      <c r="GL13" s="712">
        <f t="shared" si="57"/>
        <v>0</v>
      </c>
      <c r="GM13" s="712">
        <f t="shared" si="58"/>
        <v>0</v>
      </c>
      <c r="GN13" s="712">
        <f t="shared" si="82"/>
        <v>0</v>
      </c>
      <c r="GO13" s="712"/>
      <c r="GP13" s="712">
        <f t="shared" si="59"/>
        <v>0</v>
      </c>
      <c r="GQ13" s="712" t="str">
        <f t="shared" si="60"/>
        <v/>
      </c>
      <c r="GR13" s="712">
        <f>IF(GA13="P",Lookup!$N$12,IF(GA13="PP",Lookup!$N$13,IF(GA13="PPP",Lookup!$N$14,IF(GA13="T",Lookup!$N$15,IF(GA13="TP",Lookup!$N$16,IF(GA13="TPP",Lookup!$N$17,IF(GA13="TPPP",Lookup!$N$18,0)))))))*FZ13</f>
        <v>0</v>
      </c>
      <c r="GS13" s="697">
        <f t="shared" si="83"/>
        <v>0</v>
      </c>
      <c r="GT13" s="712">
        <f t="shared" si="61"/>
        <v>0</v>
      </c>
      <c r="GU13" s="712">
        <f t="shared" si="84"/>
        <v>0</v>
      </c>
      <c r="GV13" s="712"/>
      <c r="GW13" s="712">
        <f t="shared" si="62"/>
        <v>0</v>
      </c>
      <c r="GX13" s="712" t="str">
        <f t="shared" si="63"/>
        <v/>
      </c>
      <c r="GY13" s="712">
        <f>IF(GA13="P",Lookup!$N$12,IF(GA13="PP",Lookup!$N$13,IF(GA13="PPP",Lookup!$N$14,IF(GA13="T",Lookup!$N$15,IF(GA13="TP",Lookup!$N$16,IF(GA13="TPP",Lookup!$N$17,IF(GA13="TPPP",Lookup!$N$18,0)))))))*FZ13</f>
        <v>0</v>
      </c>
      <c r="GZ13" s="697">
        <f t="shared" si="85"/>
        <v>0</v>
      </c>
      <c r="HA13" s="712">
        <f t="shared" si="64"/>
        <v>0</v>
      </c>
      <c r="HB13" s="712">
        <f t="shared" si="86"/>
        <v>0</v>
      </c>
      <c r="HC13" s="712"/>
    </row>
    <row r="14" spans="1:211" s="675" customFormat="1">
      <c r="A14" s="773" t="s">
        <v>8</v>
      </c>
      <c r="B14" s="708">
        <v>40543</v>
      </c>
      <c r="C14" s="709">
        <v>0.5</v>
      </c>
      <c r="D14" s="675">
        <f t="shared" si="65"/>
        <v>300</v>
      </c>
      <c r="E14" s="675">
        <f t="shared" si="66"/>
        <v>250</v>
      </c>
      <c r="F14" s="675">
        <v>250</v>
      </c>
      <c r="G14" s="697">
        <f>DH14+Sheet1!CV14</f>
        <v>917.00907715592996</v>
      </c>
      <c r="H14" s="697">
        <f t="shared" si="0"/>
        <v>325.79146747359312</v>
      </c>
      <c r="I14" s="711">
        <f>MAX(Sheet1!Z14-AJ14+(Sheet1!CW14-E14)*CFStoMGD,0)</f>
        <v>777.30428828828656</v>
      </c>
      <c r="J14" s="720">
        <f>IF(AND(B14&gt;=Calculation!FS14,B14&lt;=Calculation!FT14),IF(Sheet1!CX14&gt;=Calculation!D14,64.64,0),MAX(Sheet1!Z14-AJ14+(Sheet1!CX14-D14)*CFStoMGD,0))</f>
        <v>384.11802162161979</v>
      </c>
      <c r="K14" s="697">
        <f t="shared" si="67"/>
        <v>64.64</v>
      </c>
      <c r="L14" s="712">
        <f>Sheet1!AA14+Sheet1!AB14-Sheet1!L14+(Sheet1!CW14-F14)*CFStoMGD</f>
        <v>822.05599999999652</v>
      </c>
      <c r="M14" s="697">
        <f t="shared" si="1"/>
        <v>604.60976082306502</v>
      </c>
      <c r="N14" s="697">
        <f>IF(Sheet1!CW14&gt;=F14,MIN(73,MIN(MAX(L14,0),MAX(M14,0))),0)</f>
        <v>73</v>
      </c>
      <c r="O14" s="713">
        <f>Sheet1!AA14+Sheet1!AB14</f>
        <v>52.839999999996508</v>
      </c>
      <c r="P14" s="713">
        <f t="shared" si="2"/>
        <v>81.743479999994591</v>
      </c>
      <c r="Q14" s="697">
        <f>MIN(N14,Sheet1!AA14+AG14)</f>
        <v>44.301711711707107</v>
      </c>
      <c r="R14" s="697">
        <f t="shared" si="3"/>
        <v>8.5382882882894027</v>
      </c>
      <c r="S14" s="713">
        <f>Sheet1!Y14*MGDtoCFS</f>
        <v>46.734870000000001</v>
      </c>
      <c r="T14" s="713">
        <f>Sheet1!Z14*MGDtoCFS</f>
        <v>33.801949999999998</v>
      </c>
      <c r="U14" s="713">
        <f>Sheet1!AA14*MGDtoCFS</f>
        <v>47.245379999990092</v>
      </c>
      <c r="V14" s="713">
        <f>Sheet1!AB14*MGDtoCFS</f>
        <v>34.498100000004499</v>
      </c>
      <c r="W14" s="713">
        <f>Sheet1!L14*MGDtoCFS</f>
        <v>0</v>
      </c>
      <c r="X14" s="697">
        <f t="shared" si="68"/>
        <v>0</v>
      </c>
      <c r="Y14" s="697">
        <f t="shared" si="4"/>
        <v>0</v>
      </c>
      <c r="Z14" s="697">
        <f t="shared" si="5"/>
        <v>0</v>
      </c>
      <c r="AA14" s="697">
        <f t="shared" si="6"/>
        <v>0</v>
      </c>
      <c r="AB14" s="697">
        <f>(VLOOKUP(Sheet1!CY14,hhdcap_wcm,4)-(((VLOOKUP(Sheet1!CY14,hhdcap_wcm,3)-Sheet1!CY14)/(VLOOKUP(Sheet1!CY14,hhdcap_wcm,3)-VLOOKUP(Sheet1!CY14,hhdcap_wcm,1)))*(VLOOKUP(Sheet1!CY14,hhdcap_wcm,4)-VLOOKUP(Sheet1!CY14,hhdcap_wcm,2))))</f>
        <v>2230.7000000032535</v>
      </c>
      <c r="AC14" s="697">
        <f t="shared" si="69"/>
        <v>107.10000000020909</v>
      </c>
      <c r="AD14" s="712">
        <f t="shared" si="70"/>
        <v>0</v>
      </c>
      <c r="AE14" s="697">
        <f t="shared" si="7"/>
        <v>0</v>
      </c>
      <c r="AF14" s="697">
        <f>Sheet1!BA14+Sheet1!BB14+Sheet1!BN14+BT14</f>
        <v>13.7</v>
      </c>
      <c r="AG14" s="697">
        <f t="shared" si="8"/>
        <v>13.761711711713508</v>
      </c>
      <c r="AH14" s="697">
        <f>Sheet1!BA14+BT14</f>
        <v>0</v>
      </c>
      <c r="AI14" s="697">
        <f>Sheet1!BA14+Sheet1!BB14+BT14</f>
        <v>0</v>
      </c>
      <c r="AJ14" s="697">
        <f>IF((Sheet1!AA14+AG14+AX14+AZ14+BQ14+BS14+CL14+CN14)&lt;=N14,AG14+AX14+AZ14+BQ14+BS14+CL14+CN14,N14-Sheet1!AA14)</f>
        <v>13.761711711713508</v>
      </c>
      <c r="AK14" s="712">
        <f>IF(DR14&lt;K14,0,MAX(Sheet1!AA14+AG14-15/36*K14-N14,Sheet1!ED14,0))</f>
        <v>0</v>
      </c>
      <c r="AL14" s="697">
        <f>IF(OR(B14&gt;=FT14,B14&lt;FS14),0,15/36*K14-MAX(0,64.6-(137.6-(Sheet1!AA14+Sheet1!AB14))))</f>
        <v>0</v>
      </c>
      <c r="AM14" s="712">
        <f>Sheet1!CX14-110</f>
        <v>771.72916666666663</v>
      </c>
      <c r="AN14" s="712">
        <f>Sheet1!CW14-265</f>
        <v>1175</v>
      </c>
      <c r="AO14" s="712">
        <f t="shared" si="71"/>
        <v>28.698288288292893</v>
      </c>
      <c r="AP14" s="712">
        <f t="shared" si="72"/>
        <v>0</v>
      </c>
      <c r="AQ14" s="712">
        <f t="shared" si="10"/>
        <v>0</v>
      </c>
      <c r="AR14" s="697">
        <f t="shared" si="11"/>
        <v>0</v>
      </c>
      <c r="AS14" s="697"/>
      <c r="AT14" s="712">
        <f ca="1">IF(B14&gt;Summary!$A$1,#N/A,AR14*MGtoAF)</f>
        <v>0</v>
      </c>
      <c r="AU14" s="697">
        <f>Sheet1!BG14+Sheet1!BH14+Sheet1!BI14-BC14</f>
        <v>0</v>
      </c>
      <c r="AV14" s="697">
        <f t="shared" si="12"/>
        <v>0</v>
      </c>
      <c r="AW14" s="697">
        <f>IF(Sheet1!EL14="FM",BC14,0)</f>
        <v>0</v>
      </c>
      <c r="AX14" s="697">
        <f t="shared" si="13"/>
        <v>0</v>
      </c>
      <c r="AY14" s="697">
        <f>IF(Sheet1!EL14="OTHER",BC14,0)</f>
        <v>0</v>
      </c>
      <c r="AZ14" s="697">
        <f t="shared" si="14"/>
        <v>0</v>
      </c>
      <c r="BA14" s="697">
        <f t="shared" si="15"/>
        <v>0</v>
      </c>
      <c r="BB14" s="697">
        <f t="shared" si="16"/>
        <v>0</v>
      </c>
      <c r="BC14" s="697">
        <f>IF(OR(Sheet1!EL14="FM", Sheet1!EL14="OTHER"),SUM(Sheet1!BG14:'Sheet1'!BI14),0)</f>
        <v>0</v>
      </c>
      <c r="BD14" s="697">
        <f>IF(AND($B14&gt;=$FL14,$B14&lt;=$FM14),MAX(AV14,Sheet1!EE14,0),MAX(AV14-(7/36)*$K14,0))</f>
        <v>0</v>
      </c>
      <c r="BE14" s="697">
        <f t="shared" si="17"/>
        <v>0</v>
      </c>
      <c r="BF14" s="697">
        <f t="shared" si="73"/>
        <v>0</v>
      </c>
      <c r="BG14" s="697">
        <f>IF(AND($O14&gt;0,Sheet1!EI14=1),(1-($O14-Sheet1!$L14)/$O14)*BB14,0)</f>
        <v>0</v>
      </c>
      <c r="BH14" s="697">
        <f>IF(AND(Sheet1!$L14=0,Sheet1!$L13=0, Calculation!BA14&lt;Sheet1!$EE14-0.1,Sheet1!$EE14=Sheet1!$EE13,Sheet1!$EE14=Sheet1!$EE15),Sheet1!$EE14,BB14-BG14)</f>
        <v>1</v>
      </c>
      <c r="BI14" s="697"/>
      <c r="BJ14" s="697"/>
      <c r="BK14" s="697">
        <f t="shared" si="18"/>
        <v>0</v>
      </c>
      <c r="BL14" s="697"/>
      <c r="BM14" s="712">
        <f ca="1">IF(B14&gt;Summary!$A$1,#N/A,BK14*MGtoAF)</f>
        <v>0</v>
      </c>
      <c r="BN14" s="697">
        <f>Sheet1!BC14+Sheet1!BD14+Sheet1!BE14+Sheet1!BF14-BW14-BX14</f>
        <v>2.5</v>
      </c>
      <c r="BO14" s="697">
        <f t="shared" si="19"/>
        <v>2.511261261261589</v>
      </c>
      <c r="BP14" s="697">
        <f>IF(Sheet1!EM14="FM",BX14,0)</f>
        <v>0</v>
      </c>
      <c r="BQ14" s="697">
        <f t="shared" si="20"/>
        <v>0</v>
      </c>
      <c r="BR14" s="697">
        <f>IF(Sheet1!EM14="OTHER",BX14,0)</f>
        <v>0</v>
      </c>
      <c r="BS14" s="697">
        <f t="shared" si="21"/>
        <v>0</v>
      </c>
      <c r="BT14" s="697">
        <f t="shared" si="22"/>
        <v>0</v>
      </c>
      <c r="BU14" s="697">
        <f t="shared" si="23"/>
        <v>2.5</v>
      </c>
      <c r="BV14" s="697">
        <f t="shared" si="24"/>
        <v>2.511261261261589</v>
      </c>
      <c r="BW14" s="697">
        <f>IF(Sheet1!EM14="CWA",SUM(Sheet1!BC14:'Sheet1'!BF14),0)</f>
        <v>0</v>
      </c>
      <c r="BX14" s="697">
        <f>IF(OR(Sheet1!EM14="FM", Sheet1!EM14="OTHER"),SUM(Sheet1!BC14:'Sheet1'!BF14),0)</f>
        <v>0</v>
      </c>
      <c r="BY14" s="697">
        <f>IF(AND($B14&gt;=$FL14,$B14&lt;=$FM14),MAX(BV14,Sheet1!EF14,0),MAX(BV14-(7/36)*$K14,0))</f>
        <v>0</v>
      </c>
      <c r="BZ14" s="697">
        <f t="shared" si="25"/>
        <v>0</v>
      </c>
      <c r="CA14" s="697">
        <f t="shared" si="74"/>
        <v>2.511261261261589</v>
      </c>
      <c r="CB14" s="697">
        <f>IF(AND($O14&gt;0,Sheet1!EJ14=1),(1-($O14-Sheet1!$L14)/$O14)*BV14,0)</f>
        <v>0</v>
      </c>
      <c r="CC14" s="697">
        <f>IF(AND(Sheet1!$L14=0,Sheet1!$L13=0, Calculation!BU14&lt;Sheet1!EF14-0.1,Sheet1!EF14=Sheet1!EF13,Sheet1!EF14=Sheet1!EF15),Sheet1!EF14,BV14-CB14)</f>
        <v>2.511261261261589</v>
      </c>
      <c r="CD14" s="697"/>
      <c r="CE14" s="697"/>
      <c r="CF14" s="697">
        <f t="shared" si="26"/>
        <v>0</v>
      </c>
      <c r="CG14" s="697"/>
      <c r="CH14" s="712">
        <f ca="1">IF(B14&gt;Summary!$A$1,#N/A,CF14*MGtoAF)</f>
        <v>0</v>
      </c>
      <c r="CI14" s="697">
        <f>Sheet1!BK14+Sheet1!BL14+Sheet1!BM14-Sheet1!EN14-CQ14</f>
        <v>6</v>
      </c>
      <c r="CJ14" s="697">
        <f t="shared" si="27"/>
        <v>6.0270270270278141</v>
      </c>
      <c r="CK14" s="697">
        <f>IF(Sheet1!EN14="FM",CQ14,0)</f>
        <v>0</v>
      </c>
      <c r="CL14" s="697">
        <f t="shared" si="28"/>
        <v>0</v>
      </c>
      <c r="CM14" s="697">
        <f>IF(Sheet1!EN14="OTHER",CQ14,0)</f>
        <v>0</v>
      </c>
      <c r="CN14" s="697">
        <f t="shared" si="29"/>
        <v>0</v>
      </c>
      <c r="CO14" s="697">
        <f t="shared" si="30"/>
        <v>6</v>
      </c>
      <c r="CP14" s="697">
        <f t="shared" si="31"/>
        <v>6.0270270270278141</v>
      </c>
      <c r="CQ14" s="697">
        <f>IF(OR(Sheet1!EN14="FM", Sheet1!EN14="OTHER"),SUM(Sheet1!BK14:'Sheet1'!BM14),0)</f>
        <v>0</v>
      </c>
      <c r="CR14" s="697">
        <f>IF(AND($B14&gt;=$FL14,$B14&lt;=$FM14),MAX($CJ14,Sheet1!EG14,0),MAX($CJ14-(7/36)*$K14,0))</f>
        <v>0</v>
      </c>
      <c r="CS14" s="697">
        <f t="shared" si="32"/>
        <v>0</v>
      </c>
      <c r="CT14" s="697">
        <f t="shared" si="75"/>
        <v>6.0270270270278141</v>
      </c>
      <c r="CU14" s="697">
        <f>IF(AND($O14&gt;0,Sheet1!EK14=1),(1-($O14-Sheet1!$L14)/$O14)*CP14,0)</f>
        <v>0</v>
      </c>
      <c r="CV14" s="697">
        <f>IF(AND(Sheet1!$L14=0,Sheet1!$L13=0, Calculation!CO14&lt;Sheet1!$EG14-0.1,Sheet1!$EG14=Sheet1!$EG13,Sheet1!$EG14=Sheet1!$EG15),Sheet1!$EG14,CP14-CU14)</f>
        <v>6.0270270270278141</v>
      </c>
      <c r="CW14" s="697">
        <f t="shared" si="33"/>
        <v>0</v>
      </c>
      <c r="CX14" s="712">
        <f t="shared" si="87"/>
        <v>8.5</v>
      </c>
      <c r="CY14" s="697">
        <f t="shared" si="34"/>
        <v>0</v>
      </c>
      <c r="CZ14" s="697">
        <f t="shared" si="35"/>
        <v>8.5382882882894027</v>
      </c>
      <c r="DA14" s="712">
        <f ca="1">IF(B14&gt;Summary!$A$1,#N/A,CY14*MGtoAF)</f>
        <v>0</v>
      </c>
      <c r="DB14" s="697">
        <f t="shared" si="36"/>
        <v>8.5</v>
      </c>
      <c r="DC14" s="697">
        <f t="shared" si="37"/>
        <v>22.2</v>
      </c>
      <c r="DD14" s="697">
        <f>Sheet1!AB14-DC14</f>
        <v>0.10000000000291109</v>
      </c>
      <c r="DE14" s="697">
        <f t="shared" si="38"/>
        <v>4.5045045046356348E-3</v>
      </c>
      <c r="DF14" s="697">
        <f>(VLOOKUP(Sheet1!CY14,hhdcap_wcm,4)-(((VLOOKUP(Sheet1!CY14,hhdcap_wcm,3)-Sheet1!CY14)/(VLOOKUP(Sheet1!CY14,hhdcap_wcm,3)-VLOOKUP(Sheet1!CY14,hhdcap_wcm,1)))*(VLOOKUP(Sheet1!CY14,hhdcap_wcm,4)-VLOOKUP(Sheet1!CY14,hhdcap_wcm,2))))</f>
        <v>2230.7000000032535</v>
      </c>
      <c r="DG14" s="697">
        <f t="shared" si="76"/>
        <v>107.10000000020909</v>
      </c>
      <c r="DH14" s="697">
        <f t="shared" si="39"/>
        <v>54.009077155929944</v>
      </c>
      <c r="DI14" s="697">
        <f>Sheet1!DW14*AFtoMG</f>
        <v>0</v>
      </c>
      <c r="DJ14" s="697">
        <f>Sheet1!DX14*AFtoMG</f>
        <v>0</v>
      </c>
      <c r="DK14" s="697">
        <f>Sheet1!DY14*AFtoMG</f>
        <v>0</v>
      </c>
      <c r="DL14" s="697">
        <f>Sheet1!DZ14*AFtoMG</f>
        <v>0</v>
      </c>
      <c r="DM14" s="697">
        <f t="shared" si="40"/>
        <v>0</v>
      </c>
      <c r="DN14" s="697">
        <f t="shared" si="41"/>
        <v>0</v>
      </c>
      <c r="DO14" s="697">
        <f t="shared" si="42"/>
        <v>0</v>
      </c>
      <c r="DP14" s="697">
        <f t="shared" si="43"/>
        <v>0</v>
      </c>
      <c r="DQ14" s="697"/>
      <c r="DR14" s="697">
        <f>IF(OR(B14&lt;FL14,B14&gt;FM14),(MIN(AV14+BO14+CJ14+MAX(Sheet1!AA14+AG14-73,0),K14)),0)</f>
        <v>8.5382882882894027</v>
      </c>
      <c r="DS14" s="697"/>
      <c r="DT14" s="697">
        <f t="shared" si="44"/>
        <v>8.5382882882894027</v>
      </c>
      <c r="DU14" s="697"/>
      <c r="DV14" s="697">
        <f>Sheet1!ED14+Sheet1!EE14+Sheet1!EF14+Sheet1!EG14</f>
        <v>9.5</v>
      </c>
      <c r="DW14" s="697"/>
      <c r="DX14" s="697">
        <f t="shared" si="77"/>
        <v>0</v>
      </c>
      <c r="DY14" s="697">
        <f>IF(Sheet1!FN14=1,SUM('Calculations II'!AT14:BA14)+'Calculations II'!BC14+Sheet1!BU14+'Calculations II'!BE14+AF14,SUM('Calculations II'!AT14:BA14)+'Calculations II'!BC14+Sheet1!BU14+'Calculations II'!BE14+AF14)</f>
        <v>42.986415999999998</v>
      </c>
      <c r="DZ14" s="697">
        <f>Sheet1!AA14+Sheet1!AB14+'Calculations II'!BC14</f>
        <v>52.839999999996508</v>
      </c>
      <c r="EA14" s="697"/>
      <c r="EB14" s="697"/>
      <c r="EC14" s="697">
        <f t="shared" si="45"/>
        <v>40543</v>
      </c>
      <c r="ED14" s="697">
        <f t="shared" si="46"/>
        <v>0</v>
      </c>
      <c r="EE14" s="697">
        <f t="shared" si="47"/>
        <v>0</v>
      </c>
      <c r="EF14" s="697">
        <f>-(VLOOKUP(Sheet1!BQ14,Lookup!$B$4:$J$236,2)-VLOOKUP(Sheet1!BQ13,Lookup!$B$4:$J$236,2))/1000000</f>
        <v>0.81200000000000006</v>
      </c>
      <c r="EG14" s="697">
        <f>-(VLOOKUP(Sheet1!BR14,Lookup!$B$4:$J$236,3)-VLOOKUP(Sheet1!BR13,Lookup!$B$4:$J$236,3))/1000000</f>
        <v>0.81</v>
      </c>
      <c r="EH14" s="697">
        <f>-(VLOOKUP(Sheet1!BS14,Lookup!$B$4:$J$236,4)-VLOOKUP(Sheet1!BS13,Lookup!$B$4:$J$236,4))/1000000</f>
        <v>0</v>
      </c>
      <c r="EI14" s="697">
        <f t="shared" si="88"/>
        <v>1.6220000000000001</v>
      </c>
      <c r="EJ14" s="697"/>
      <c r="EK14" s="697"/>
      <c r="EL14" s="697"/>
      <c r="EM14" s="697"/>
      <c r="EN14" s="697"/>
      <c r="EO14" s="697"/>
      <c r="EP14" s="697"/>
      <c r="EQ14" s="697"/>
      <c r="ER14" s="697">
        <v>0</v>
      </c>
      <c r="ES14" s="697"/>
      <c r="ET14" s="794" t="e">
        <f t="shared" si="78"/>
        <v>#N/A</v>
      </c>
      <c r="EU14" s="794" t="e">
        <f t="shared" si="79"/>
        <v>#VALUE!</v>
      </c>
      <c r="EV14" s="795" t="e">
        <f t="shared" si="48"/>
        <v>#VALUE!</v>
      </c>
      <c r="EW14" s="796" t="s">
        <v>757</v>
      </c>
      <c r="EX14" s="796" t="s">
        <v>757</v>
      </c>
      <c r="EY14" s="794">
        <v>0</v>
      </c>
      <c r="EZ14" s="794" t="e">
        <v>#N/A</v>
      </c>
      <c r="FA14" s="697"/>
      <c r="FB14" s="697"/>
      <c r="FC14" s="697"/>
      <c r="FD14" s="697"/>
      <c r="FE14" s="697">
        <f>O14+Sheet1!CO14</f>
        <v>52.839999999996508</v>
      </c>
      <c r="FF14" s="697">
        <f>IF(Sheet1!AA14+AG14&lt;=Calculation!N14,AG14,Calculation!N14-Sheet1!AA14)</f>
        <v>13.761711711713508</v>
      </c>
      <c r="FG14" s="712">
        <f>(Sheet1!BP14+Sheet1!BO14)/694.4</f>
        <v>1.5676843317972349</v>
      </c>
      <c r="FH14" s="697"/>
      <c r="FI14" s="697"/>
      <c r="FJ14" s="697"/>
      <c r="FK14" s="697"/>
      <c r="FL14" s="714">
        <f t="shared" si="89"/>
        <v>40753</v>
      </c>
      <c r="FM14" s="714">
        <f t="shared" si="90"/>
        <v>40851</v>
      </c>
      <c r="FN14" s="697"/>
      <c r="FO14" s="697"/>
      <c r="FP14" s="697"/>
      <c r="FQ14" s="697"/>
      <c r="FR14" s="697"/>
      <c r="FS14" s="725">
        <f t="shared" si="91"/>
        <v>40603</v>
      </c>
      <c r="FT14" s="714">
        <f t="shared" si="92"/>
        <v>40709</v>
      </c>
      <c r="FU14" s="712">
        <f t="shared" si="93"/>
        <v>6518.9048239895692</v>
      </c>
      <c r="FV14" s="714">
        <f t="shared" si="94"/>
        <v>40722</v>
      </c>
      <c r="FW14" s="712">
        <f t="shared" si="95"/>
        <v>3259.4524119947846</v>
      </c>
      <c r="FX14" s="725">
        <f t="shared" si="96"/>
        <v>40851</v>
      </c>
      <c r="FZ14" s="697">
        <f t="shared" si="49"/>
        <v>0</v>
      </c>
      <c r="GA14" s="697" t="str">
        <f t="shared" si="50"/>
        <v/>
      </c>
      <c r="GB14" s="697">
        <f t="shared" si="51"/>
        <v>0</v>
      </c>
      <c r="GC14" s="697" t="str">
        <f t="shared" si="52"/>
        <v/>
      </c>
      <c r="GD14" s="697">
        <f>IF(GA14="P",Lookup!$M$12,IF(GA14="PP",Lookup!$M$13,IF(GA14="PPP",Lookup!$M$14,IF(GA14="T",Lookup!$M$15,IF(GA14="TP",Lookup!$M$16,IF(GA14="TPP",Lookup!$M$17,IF(GA14="TPPP",Lookup!$M$18,0)))))))*FZ14</f>
        <v>0</v>
      </c>
      <c r="GE14" s="697">
        <f t="shared" si="53"/>
        <v>0</v>
      </c>
      <c r="GF14" s="697">
        <f t="shared" si="54"/>
        <v>0</v>
      </c>
      <c r="GG14" s="697">
        <f t="shared" si="81"/>
        <v>0</v>
      </c>
      <c r="GH14" s="697"/>
      <c r="GI14" s="697">
        <f t="shared" si="55"/>
        <v>0</v>
      </c>
      <c r="GJ14" s="697" t="str">
        <f t="shared" si="56"/>
        <v/>
      </c>
      <c r="GK14" s="697">
        <f>IF(GA14="P",Lookup!$N$12,IF(GA14="PP",Lookup!$N$13,IF(GA14="PPP",Lookup!$N$14,IF(GA14="T",Lookup!$N$15,IF(GA14="TP",Lookup!$N$16,IF(GA14="TPP",Lookup!$N$17,IF(GA14="TPPP",Lookup!$N$18,0)))))))*FZ14</f>
        <v>0</v>
      </c>
      <c r="GL14" s="697">
        <f t="shared" si="57"/>
        <v>0</v>
      </c>
      <c r="GM14" s="697">
        <f t="shared" si="58"/>
        <v>0</v>
      </c>
      <c r="GN14" s="697">
        <f t="shared" si="82"/>
        <v>0</v>
      </c>
      <c r="GO14" s="697"/>
      <c r="GP14" s="697">
        <f t="shared" si="59"/>
        <v>0</v>
      </c>
      <c r="GQ14" s="697" t="str">
        <f t="shared" si="60"/>
        <v/>
      </c>
      <c r="GR14" s="697">
        <f>IF(GA14="P",Lookup!$N$12,IF(GA14="PP",Lookup!$N$13,IF(GA14="PPP",Lookup!$N$14,IF(GA14="T",Lookup!$N$15,IF(GA14="TP",Lookup!$N$16,IF(GA14="TPP",Lookup!$N$17,IF(GA14="TPPP",Lookup!$N$18,0)))))))*FZ14</f>
        <v>0</v>
      </c>
      <c r="GS14" s="697">
        <f t="shared" si="83"/>
        <v>0</v>
      </c>
      <c r="GT14" s="697">
        <f t="shared" si="61"/>
        <v>0</v>
      </c>
      <c r="GU14" s="697">
        <f t="shared" si="84"/>
        <v>0</v>
      </c>
      <c r="GV14" s="697"/>
      <c r="GW14" s="697">
        <f t="shared" si="62"/>
        <v>0</v>
      </c>
      <c r="GX14" s="697" t="str">
        <f t="shared" si="63"/>
        <v/>
      </c>
      <c r="GY14" s="697">
        <f>IF(GA14="P",Lookup!$N$12,IF(GA14="PP",Lookup!$N$13,IF(GA14="PPP",Lookup!$N$14,IF(GA14="T",Lookup!$N$15,IF(GA14="TP",Lookup!$N$16,IF(GA14="TPP",Lookup!$N$17,IF(GA14="TPPP",Lookup!$N$18,0)))))))*FZ14</f>
        <v>0</v>
      </c>
      <c r="GZ14" s="697">
        <f t="shared" si="85"/>
        <v>0</v>
      </c>
      <c r="HA14" s="697">
        <f t="shared" si="64"/>
        <v>0</v>
      </c>
      <c r="HB14" s="697">
        <f t="shared" si="86"/>
        <v>0</v>
      </c>
      <c r="HC14" s="697"/>
    </row>
    <row r="15" spans="1:211">
      <c r="A15" s="773" t="s">
        <v>9</v>
      </c>
      <c r="B15" s="708">
        <v>40544</v>
      </c>
      <c r="C15" s="719">
        <v>0.5</v>
      </c>
      <c r="D15" s="675">
        <f t="shared" si="65"/>
        <v>300</v>
      </c>
      <c r="E15" s="675">
        <f t="shared" si="66"/>
        <v>250</v>
      </c>
      <c r="F15" s="710">
        <v>250</v>
      </c>
      <c r="G15" s="712">
        <f>DH15+Sheet1!CV15</f>
        <v>836.44931921329771</v>
      </c>
      <c r="H15" s="712">
        <f t="shared" si="0"/>
        <v>273.71763993947565</v>
      </c>
      <c r="I15" s="711">
        <f>MAX(Sheet1!Z15-AJ15+(Sheet1!CW15-E15)*CFStoMGD,0)</f>
        <v>751.2128005403008</v>
      </c>
      <c r="J15" s="720">
        <f>IF(AND(B15&gt;=Calculation!FS15,B15&lt;=Calculation!FT15),IF(Sheet1!CX15&gt;=Calculation!D15,64.64,0),MAX(Sheet1!Z15-AJ15+(Sheet1!CX15-D15)*CFStoMGD,0))</f>
        <v>378.4554672069674</v>
      </c>
      <c r="K15" s="697">
        <f t="shared" si="67"/>
        <v>64.64</v>
      </c>
      <c r="L15" s="712">
        <f>Sheet1!AA15+Sheet1!AB15-Sheet1!L15+(Sheet1!CW15-F15)*CFStoMGD</f>
        <v>796.36</v>
      </c>
      <c r="M15" s="712">
        <f t="shared" si="1"/>
        <v>551.49445673826517</v>
      </c>
      <c r="N15" s="712">
        <f>IF(Sheet1!CW15&gt;=F15,MIN(73,MIN(MAX(L15,0),MAX(M15,0))),0)</f>
        <v>73</v>
      </c>
      <c r="O15" s="721">
        <f>Sheet1!AA15+Sheet1!AB15</f>
        <v>53</v>
      </c>
      <c r="P15" s="721">
        <f t="shared" si="2"/>
        <v>81.991</v>
      </c>
      <c r="Q15" s="712">
        <f>MIN(N15,Sheet1!AA15+AG15)</f>
        <v>44.417199459705067</v>
      </c>
      <c r="R15" s="712">
        <f t="shared" si="3"/>
        <v>8.582800540294933</v>
      </c>
      <c r="S15" s="721">
        <f>Sheet1!Y15*MGDtoCFS</f>
        <v>47.044269999999997</v>
      </c>
      <c r="T15" s="721">
        <f>Sheet1!Z15*MGDtoCFS</f>
        <v>33.523490000000002</v>
      </c>
      <c r="U15" s="721">
        <f>Sheet1!AA15*MGDtoCFS</f>
        <v>47.338200000009003</v>
      </c>
      <c r="V15" s="721">
        <f>Sheet1!AB15*MGDtoCFS</f>
        <v>34.652799999990997</v>
      </c>
      <c r="W15" s="721">
        <f>Sheet1!L15*MGDtoCFS</f>
        <v>0</v>
      </c>
      <c r="X15" s="697">
        <f t="shared" si="68"/>
        <v>0</v>
      </c>
      <c r="Y15" s="712">
        <f t="shared" si="4"/>
        <v>0</v>
      </c>
      <c r="Z15" s="712">
        <f t="shared" si="5"/>
        <v>0</v>
      </c>
      <c r="AA15" s="712">
        <f t="shared" si="6"/>
        <v>0</v>
      </c>
      <c r="AB15" s="712">
        <f>(VLOOKUP(Sheet1!CY15,hhdcap_wcm,4)-(((VLOOKUP(Sheet1!CY15,hhdcap_wcm,3)-Sheet1!CY15)/(VLOOKUP(Sheet1!CY15,hhdcap_wcm,3)-VLOOKUP(Sheet1!CY15,hhdcap_wcm,1)))*(VLOOKUP(Sheet1!CY15,hhdcap_wcm,4)-VLOOKUP(Sheet1!CY15,hhdcap_wcm,2))))</f>
        <v>2178.050000003223</v>
      </c>
      <c r="AC15" s="712">
        <f t="shared" si="69"/>
        <v>-52.650000000030559</v>
      </c>
      <c r="AD15" s="712">
        <f t="shared" si="70"/>
        <v>0</v>
      </c>
      <c r="AE15" s="712">
        <f t="shared" si="7"/>
        <v>0</v>
      </c>
      <c r="AF15" s="712">
        <f>Sheet1!BA15+Sheet1!BB15+Sheet1!BN15+BT15</f>
        <v>13.7</v>
      </c>
      <c r="AG15" s="712">
        <f t="shared" si="8"/>
        <v>13.817199459699244</v>
      </c>
      <c r="AH15" s="712">
        <f>Sheet1!BA15+BT15</f>
        <v>0</v>
      </c>
      <c r="AI15" s="712">
        <f>Sheet1!BA15+Sheet1!BB15+BT15</f>
        <v>0</v>
      </c>
      <c r="AJ15" s="712">
        <f>IF((Sheet1!AA15+AG15+AX15+AZ15+BQ15+BS15+CL15+CN15)&lt;=N15,AG15+AX15+AZ15+BQ15+BS15+CL15+CN15,N15-Sheet1!AA15)</f>
        <v>13.817199459699244</v>
      </c>
      <c r="AK15" s="712">
        <f>IF(DR15&lt;K15,0,MAX(Sheet1!AA15+AG15-15/36*K15-N15,Sheet1!ED15,0))</f>
        <v>0</v>
      </c>
      <c r="AL15" s="712">
        <f>IF(OR(B15&gt;=FT15,B15&lt;FS15),0,15/36*K15-MAX(0,64.6-(137.6-(Sheet1!AA15+Sheet1!AB15))))</f>
        <v>0</v>
      </c>
      <c r="AM15" s="712">
        <f>Sheet1!CX15-110</f>
        <v>763.33333333333337</v>
      </c>
      <c r="AN15" s="712">
        <f>Sheet1!CW15-265</f>
        <v>1135</v>
      </c>
      <c r="AO15" s="712">
        <f t="shared" si="71"/>
        <v>28.582800540294933</v>
      </c>
      <c r="AP15" s="712">
        <f t="shared" si="72"/>
        <v>0</v>
      </c>
      <c r="AQ15" s="712">
        <f t="shared" si="10"/>
        <v>0</v>
      </c>
      <c r="AR15" s="712">
        <f t="shared" si="11"/>
        <v>0</v>
      </c>
      <c r="AS15" s="712"/>
      <c r="AT15" s="712">
        <f ca="1">IF(B15&gt;Summary!$A$1,#N/A,AR15*MGtoAF)</f>
        <v>0</v>
      </c>
      <c r="AU15" s="712">
        <f>Sheet1!BG15+Sheet1!BH15+Sheet1!BI15-BC15</f>
        <v>0</v>
      </c>
      <c r="AV15" s="712">
        <f t="shared" si="12"/>
        <v>0</v>
      </c>
      <c r="AW15" s="712">
        <f>IF(Sheet1!EL15="FM",BC15,0)</f>
        <v>0</v>
      </c>
      <c r="AX15" s="712">
        <f t="shared" si="13"/>
        <v>0</v>
      </c>
      <c r="AY15" s="712">
        <f>IF(Sheet1!EL15="OTHER",BC15,0)</f>
        <v>0</v>
      </c>
      <c r="AZ15" s="712">
        <f t="shared" si="14"/>
        <v>0</v>
      </c>
      <c r="BA15" s="712">
        <f t="shared" si="15"/>
        <v>0</v>
      </c>
      <c r="BB15" s="712">
        <f t="shared" si="16"/>
        <v>0</v>
      </c>
      <c r="BC15" s="712">
        <f>IF(OR(Sheet1!EL15="FM", Sheet1!EL15="OTHER"),SUM(Sheet1!BG15:'Sheet1'!BI15),0)</f>
        <v>0</v>
      </c>
      <c r="BD15" s="697">
        <f>IF(AND($B15&gt;=$FL15,$B15&lt;=$FM15),MAX(AV15,Sheet1!EE15,0),MAX(AV15-(7/36)*$K15,0))</f>
        <v>0</v>
      </c>
      <c r="BE15" s="712">
        <f t="shared" si="17"/>
        <v>0</v>
      </c>
      <c r="BF15" s="697">
        <f t="shared" si="73"/>
        <v>0</v>
      </c>
      <c r="BG15" s="697">
        <f>IF(AND($O15&gt;0,Sheet1!EI15=1),(1-($O15-Sheet1!$L15)/$O15)*BB15,0)</f>
        <v>0</v>
      </c>
      <c r="BH15" s="697">
        <f>IF(AND(Sheet1!$L15=0,Sheet1!$L14=0, Calculation!BA15&lt;Sheet1!$EE15-0.1,Sheet1!$EE15=Sheet1!$EE14,Sheet1!$EE15=Sheet1!$EE16),Sheet1!$EE15,BB15-BG15)</f>
        <v>1</v>
      </c>
      <c r="BI15" s="712"/>
      <c r="BJ15" s="712"/>
      <c r="BK15" s="712">
        <f t="shared" si="18"/>
        <v>0</v>
      </c>
      <c r="BL15" s="712"/>
      <c r="BM15" s="712">
        <f ca="1">IF(B15&gt;Summary!$A$1,#N/A,BK15*MGtoAF)</f>
        <v>0</v>
      </c>
      <c r="BN15" s="712">
        <f>Sheet1!BC15+Sheet1!BD15+Sheet1!BE15+Sheet1!BF15-BW15-BX15</f>
        <v>2.5099999999999998</v>
      </c>
      <c r="BO15" s="712">
        <f t="shared" si="19"/>
        <v>2.5314723097697156</v>
      </c>
      <c r="BP15" s="712">
        <f>IF(Sheet1!EM15="FM",BX15,0)</f>
        <v>0</v>
      </c>
      <c r="BQ15" s="712">
        <f t="shared" si="20"/>
        <v>0</v>
      </c>
      <c r="BR15" s="712">
        <f>IF(Sheet1!EM15="OTHER",BX15,0)</f>
        <v>0</v>
      </c>
      <c r="BS15" s="712">
        <f t="shared" si="21"/>
        <v>0</v>
      </c>
      <c r="BT15" s="712">
        <f t="shared" si="22"/>
        <v>0</v>
      </c>
      <c r="BU15" s="712">
        <f t="shared" si="23"/>
        <v>2.5099999999999998</v>
      </c>
      <c r="BV15" s="712">
        <f t="shared" si="24"/>
        <v>2.5314723097697156</v>
      </c>
      <c r="BW15" s="712">
        <f>IF(Sheet1!EM15="CWA",SUM(Sheet1!BC15:'Sheet1'!BF15),0)</f>
        <v>0</v>
      </c>
      <c r="BX15" s="712">
        <f>IF(OR(Sheet1!EM15="FM", Sheet1!EM15="OTHER"),SUM(Sheet1!BC15:'Sheet1'!BF15),0)</f>
        <v>0</v>
      </c>
      <c r="BY15" s="697">
        <f>IF(AND($B15&gt;=$FL15,$B15&lt;=$FM15),MAX(BV15,Sheet1!EF15,0),MAX(BV15-(7/36)*$K15,0))</f>
        <v>0</v>
      </c>
      <c r="BZ15" s="712">
        <f t="shared" si="25"/>
        <v>0</v>
      </c>
      <c r="CA15" s="697">
        <f t="shared" si="74"/>
        <v>2.5314723097697156</v>
      </c>
      <c r="CB15" s="697">
        <f>IF(AND($O15&gt;0,Sheet1!EJ15=1),(1-($O15-Sheet1!$L15)/$O15)*BV15,0)</f>
        <v>0</v>
      </c>
      <c r="CC15" s="697">
        <f>IF(AND(Sheet1!$L15=0,Sheet1!$L14=0, Calculation!BU15&lt;Sheet1!EF15-0.1,Sheet1!EF15=Sheet1!EF14,Sheet1!EF15=Sheet1!EF16),Sheet1!EF15,BV15-CB15)</f>
        <v>2.5314723097697156</v>
      </c>
      <c r="CD15" s="697"/>
      <c r="CE15" s="712"/>
      <c r="CF15" s="712">
        <f t="shared" si="26"/>
        <v>0</v>
      </c>
      <c r="CG15" s="712"/>
      <c r="CH15" s="712">
        <f ca="1">IF(B15&gt;Summary!$A$1,#N/A,CF15*MGtoAF)</f>
        <v>0</v>
      </c>
      <c r="CI15" s="712">
        <f>Sheet1!BK15+Sheet1!BL15+Sheet1!BM15-Sheet1!EN15-CQ15</f>
        <v>6</v>
      </c>
      <c r="CJ15" s="712">
        <f t="shared" si="27"/>
        <v>6.0513282305252174</v>
      </c>
      <c r="CK15" s="712">
        <f>IF(Sheet1!EN15="FM",CQ15,0)</f>
        <v>0</v>
      </c>
      <c r="CL15" s="712">
        <f t="shared" si="28"/>
        <v>0</v>
      </c>
      <c r="CM15" s="712">
        <f>IF(Sheet1!EN15="OTHER",CQ15,0)</f>
        <v>0</v>
      </c>
      <c r="CN15" s="712">
        <f t="shared" si="29"/>
        <v>0</v>
      </c>
      <c r="CO15" s="712">
        <f t="shared" si="30"/>
        <v>6</v>
      </c>
      <c r="CP15" s="712">
        <f t="shared" si="31"/>
        <v>6.0513282305252174</v>
      </c>
      <c r="CQ15" s="712">
        <f>IF(OR(Sheet1!EN15="FM", Sheet1!EN15="OTHER"),SUM(Sheet1!BK15:'Sheet1'!BM15),0)</f>
        <v>0</v>
      </c>
      <c r="CR15" s="697">
        <f>IF(AND($B15&gt;=$FL15,$B15&lt;=$FM15),MAX($CJ15,Sheet1!EG15,0),MAX($CJ15-(7/36)*$K15,0))</f>
        <v>0</v>
      </c>
      <c r="CS15" s="712">
        <f t="shared" si="32"/>
        <v>0</v>
      </c>
      <c r="CT15" s="697">
        <f t="shared" si="75"/>
        <v>6.0513282305252174</v>
      </c>
      <c r="CU15" s="697">
        <f>IF(AND($O15&gt;0,Sheet1!EK15=1),(1-($O15-Sheet1!$L15)/$O15)*CP15,0)</f>
        <v>0</v>
      </c>
      <c r="CV15" s="697">
        <f>IF(AND(Sheet1!$L15=0,Sheet1!$L14=0, Calculation!CO15&lt;Sheet1!$EG15-0.1,Sheet1!$EG15=Sheet1!$EG14,Sheet1!$EG15=Sheet1!$EG16),Sheet1!$EG15,CP15-CU15)</f>
        <v>6.0513282305252174</v>
      </c>
      <c r="CW15" s="697">
        <f t="shared" si="33"/>
        <v>0</v>
      </c>
      <c r="CX15" s="712">
        <f t="shared" si="87"/>
        <v>8.51</v>
      </c>
      <c r="CY15" s="712">
        <f t="shared" si="34"/>
        <v>0</v>
      </c>
      <c r="CZ15" s="712">
        <f t="shared" si="35"/>
        <v>8.582800540294933</v>
      </c>
      <c r="DA15" s="712">
        <f ca="1">IF(B15&gt;Summary!$A$1,#N/A,CY15*MGtoAF)</f>
        <v>0</v>
      </c>
      <c r="DB15" s="712">
        <f t="shared" si="36"/>
        <v>8.51</v>
      </c>
      <c r="DC15" s="712">
        <f t="shared" si="37"/>
        <v>22.21</v>
      </c>
      <c r="DD15" s="712">
        <f>Sheet1!AB15-DC15</f>
        <v>0.18999999999417838</v>
      </c>
      <c r="DE15" s="712">
        <f t="shared" si="38"/>
        <v>8.554705087536172E-3</v>
      </c>
      <c r="DF15" s="712">
        <f>(VLOOKUP(Sheet1!CY15,hhdcap_wcm,4)-(((VLOOKUP(Sheet1!CY15,hhdcap_wcm,3)-Sheet1!CY15)/(VLOOKUP(Sheet1!CY15,hhdcap_wcm,3)-VLOOKUP(Sheet1!CY15,hhdcap_wcm,1)))*(VLOOKUP(Sheet1!CY15,hhdcap_wcm,4)-VLOOKUP(Sheet1!CY15,hhdcap_wcm,2))))</f>
        <v>2178.050000003223</v>
      </c>
      <c r="DG15" s="712">
        <f t="shared" si="76"/>
        <v>-52.650000000030559</v>
      </c>
      <c r="DH15" s="712">
        <f t="shared" si="39"/>
        <v>-26.550680786702245</v>
      </c>
      <c r="DI15" s="712">
        <f>Sheet1!DW15*AFtoMG</f>
        <v>0</v>
      </c>
      <c r="DJ15" s="712">
        <f>Sheet1!DX15*AFtoMG</f>
        <v>0</v>
      </c>
      <c r="DK15" s="712">
        <f>Sheet1!DY15*AFtoMG</f>
        <v>0</v>
      </c>
      <c r="DL15" s="712">
        <f>Sheet1!DZ15*AFtoMG</f>
        <v>0</v>
      </c>
      <c r="DM15" s="712">
        <f t="shared" si="40"/>
        <v>0</v>
      </c>
      <c r="DN15" s="712">
        <f t="shared" si="41"/>
        <v>0</v>
      </c>
      <c r="DO15" s="712">
        <f t="shared" si="42"/>
        <v>0</v>
      </c>
      <c r="DP15" s="712">
        <f t="shared" si="43"/>
        <v>0</v>
      </c>
      <c r="DQ15" s="712"/>
      <c r="DR15" s="697">
        <f>IF(OR(B15&lt;FL15,B15&gt;FM15),(MIN(AV15+BO15+CJ15+MAX(Sheet1!AA15+AG15-73,0),K15)),0)</f>
        <v>8.582800540294933</v>
      </c>
      <c r="DS15" s="712"/>
      <c r="DT15" s="712">
        <f t="shared" si="44"/>
        <v>8.582800540294933</v>
      </c>
      <c r="DU15" s="712"/>
      <c r="DV15" s="712">
        <f>Sheet1!ED15+Sheet1!EE15+Sheet1!EF15+Sheet1!EG15</f>
        <v>9.5</v>
      </c>
      <c r="DW15" s="712"/>
      <c r="DX15" s="697">
        <f>DR15-BF15-CA15-CT15</f>
        <v>0</v>
      </c>
      <c r="DY15" s="712">
        <f>IF(Sheet1!FN15=1,SUM('Calculations II'!AT15:BA15)+'Calculations II'!BC15+Sheet1!BU15+'Calculations II'!BE15+AF15,SUM('Calculations II'!AT15:BA15)+'Calculations II'!BC15+Sheet1!BU15+'Calculations II'!BE15+AF15)</f>
        <v>45.002319999999997</v>
      </c>
      <c r="DZ15" s="712">
        <f>Sheet1!AA15+Sheet1!AB15+'Calculations II'!BC15</f>
        <v>53</v>
      </c>
      <c r="EA15" s="712"/>
      <c r="EB15" s="712"/>
      <c r="EC15" s="712">
        <f t="shared" si="45"/>
        <v>40544</v>
      </c>
      <c r="ED15" s="712">
        <f t="shared" si="46"/>
        <v>0</v>
      </c>
      <c r="EE15" s="712">
        <f t="shared" si="47"/>
        <v>0</v>
      </c>
      <c r="EF15" s="712">
        <f>-(VLOOKUP(Sheet1!BQ15,Lookup!$B$4:$J$236,2)-VLOOKUP(Sheet1!BQ14,Lookup!$B$4:$J$236,2))/1000000</f>
        <v>0.54100000000000004</v>
      </c>
      <c r="EG15" s="712">
        <f>-(VLOOKUP(Sheet1!BR15,Lookup!$B$4:$J$236,3)-VLOOKUP(Sheet1!BR14,Lookup!$B$4:$J$236,3))/1000000</f>
        <v>0.81</v>
      </c>
      <c r="EH15" s="712">
        <f>-(VLOOKUP(Sheet1!BS15,Lookup!$B$4:$J$236,4)-VLOOKUP(Sheet1!BS14,Lookup!$B$4:$J$236,4))/1000000</f>
        <v>0</v>
      </c>
      <c r="EI15" s="697">
        <f t="shared" si="88"/>
        <v>1.351</v>
      </c>
      <c r="EJ15" s="712"/>
      <c r="EK15" s="712"/>
      <c r="EL15" s="712"/>
      <c r="EM15" s="712"/>
      <c r="EN15" s="712"/>
      <c r="EO15" s="712"/>
      <c r="EP15" s="712"/>
      <c r="EQ15" s="712"/>
      <c r="ER15" s="697">
        <v>0</v>
      </c>
      <c r="ES15" s="712"/>
      <c r="ET15" s="794" t="e">
        <f t="shared" si="78"/>
        <v>#N/A</v>
      </c>
      <c r="EU15" s="794" t="e">
        <f t="shared" si="79"/>
        <v>#VALUE!</v>
      </c>
      <c r="EV15" s="795" t="e">
        <f t="shared" si="48"/>
        <v>#VALUE!</v>
      </c>
      <c r="EW15" s="796" t="s">
        <v>757</v>
      </c>
      <c r="EX15" s="796" t="s">
        <v>757</v>
      </c>
      <c r="EY15" s="794">
        <v>0</v>
      </c>
      <c r="EZ15" s="794" t="e">
        <v>#N/A</v>
      </c>
      <c r="FA15" s="712"/>
      <c r="FB15" s="712"/>
      <c r="FC15" s="712"/>
      <c r="FD15" s="712"/>
      <c r="FE15" s="712">
        <f>O15+Sheet1!CO15</f>
        <v>53</v>
      </c>
      <c r="FF15" s="712">
        <f>IF(Sheet1!AA15+AG15&lt;=Calculation!N15,AG15,Calculation!N15-Sheet1!AA15)</f>
        <v>13.817199459699244</v>
      </c>
      <c r="FG15" s="712">
        <f>(Sheet1!BP15+Sheet1!BO15)/694.4</f>
        <v>2.3631912442396312</v>
      </c>
      <c r="FH15" s="712"/>
      <c r="FI15" s="712"/>
      <c r="FJ15" s="712"/>
      <c r="FK15" s="712"/>
      <c r="FL15" s="714">
        <f t="shared" si="89"/>
        <v>40753</v>
      </c>
      <c r="FM15" s="714">
        <f t="shared" si="90"/>
        <v>40851</v>
      </c>
      <c r="FN15" s="712"/>
      <c r="FO15" s="712"/>
      <c r="FP15" s="712"/>
      <c r="FQ15" s="712"/>
      <c r="FR15" s="712"/>
      <c r="FS15" s="725">
        <f t="shared" si="91"/>
        <v>40603</v>
      </c>
      <c r="FT15" s="714">
        <f t="shared" si="92"/>
        <v>40709</v>
      </c>
      <c r="FU15" s="712">
        <f t="shared" si="93"/>
        <v>6518.9048239895692</v>
      </c>
      <c r="FV15" s="714">
        <f t="shared" si="94"/>
        <v>40722</v>
      </c>
      <c r="FW15" s="712">
        <f t="shared" si="95"/>
        <v>3259.4524119947846</v>
      </c>
      <c r="FX15" s="725">
        <f t="shared" si="96"/>
        <v>40851</v>
      </c>
      <c r="FZ15" s="697">
        <f t="shared" si="49"/>
        <v>0</v>
      </c>
      <c r="GA15" s="712" t="str">
        <f t="shared" si="50"/>
        <v/>
      </c>
      <c r="GB15" s="712">
        <f t="shared" si="51"/>
        <v>0</v>
      </c>
      <c r="GC15" s="712" t="str">
        <f t="shared" si="52"/>
        <v/>
      </c>
      <c r="GD15" s="712">
        <f>IF(GA15="P",Lookup!$M$12,IF(GA15="PP",Lookup!$M$13,IF(GA15="PPP",Lookup!$M$14,IF(GA15="T",Lookup!$M$15,IF(GA15="TP",Lookup!$M$16,IF(GA15="TPP",Lookup!$M$17,IF(GA15="TPPP",Lookup!$M$18,0)))))))*FZ15</f>
        <v>0</v>
      </c>
      <c r="GE15" s="712">
        <f t="shared" si="53"/>
        <v>0</v>
      </c>
      <c r="GF15" s="712">
        <f t="shared" si="54"/>
        <v>0</v>
      </c>
      <c r="GG15" s="712">
        <f t="shared" si="81"/>
        <v>0</v>
      </c>
      <c r="GH15" s="712"/>
      <c r="GI15" s="712">
        <f t="shared" si="55"/>
        <v>0</v>
      </c>
      <c r="GJ15" s="712" t="str">
        <f t="shared" si="56"/>
        <v/>
      </c>
      <c r="GK15" s="712">
        <f>IF(GA15="P",Lookup!$N$12,IF(GA15="PP",Lookup!$N$13,IF(GA15="PPP",Lookup!$N$14,IF(GA15="T",Lookup!$N$15,IF(GA15="TP",Lookup!$N$16,IF(GA15="TPP",Lookup!$N$17,IF(GA15="TPPP",Lookup!$N$18,0)))))))*FZ15</f>
        <v>0</v>
      </c>
      <c r="GL15" s="712">
        <f t="shared" si="57"/>
        <v>0</v>
      </c>
      <c r="GM15" s="712">
        <f t="shared" si="58"/>
        <v>0</v>
      </c>
      <c r="GN15" s="712">
        <f t="shared" si="82"/>
        <v>0</v>
      </c>
      <c r="GO15" s="712"/>
      <c r="GP15" s="712">
        <f t="shared" si="59"/>
        <v>0</v>
      </c>
      <c r="GQ15" s="712" t="str">
        <f t="shared" si="60"/>
        <v/>
      </c>
      <c r="GR15" s="712">
        <f>IF(GA15="P",Lookup!$N$12,IF(GA15="PP",Lookup!$N$13,IF(GA15="PPP",Lookup!$N$14,IF(GA15="T",Lookup!$N$15,IF(GA15="TP",Lookup!$N$16,IF(GA15="TPP",Lookup!$N$17,IF(GA15="TPPP",Lookup!$N$18,0)))))))*FZ15</f>
        <v>0</v>
      </c>
      <c r="GS15" s="697">
        <f t="shared" si="83"/>
        <v>0</v>
      </c>
      <c r="GT15" s="712">
        <f t="shared" si="61"/>
        <v>0</v>
      </c>
      <c r="GU15" s="712">
        <f t="shared" si="84"/>
        <v>0</v>
      </c>
      <c r="GV15" s="712"/>
      <c r="GW15" s="712">
        <f t="shared" si="62"/>
        <v>0</v>
      </c>
      <c r="GX15" s="712" t="str">
        <f t="shared" si="63"/>
        <v/>
      </c>
      <c r="GY15" s="712">
        <f>IF(GA15="P",Lookup!$N$12,IF(GA15="PP",Lookup!$N$13,IF(GA15="PPP",Lookup!$N$14,IF(GA15="T",Lookup!$N$15,IF(GA15="TP",Lookup!$N$16,IF(GA15="TPP",Lookup!$N$17,IF(GA15="TPPP",Lookup!$N$18,0)))))))*FZ15</f>
        <v>0</v>
      </c>
      <c r="GZ15" s="697">
        <f t="shared" si="85"/>
        <v>0</v>
      </c>
      <c r="HA15" s="712">
        <f t="shared" si="64"/>
        <v>0</v>
      </c>
      <c r="HB15" s="712">
        <f t="shared" si="86"/>
        <v>0</v>
      </c>
      <c r="HC15" s="712"/>
    </row>
    <row r="16" spans="1:211" s="675" customFormat="1">
      <c r="A16" s="773" t="s">
        <v>3</v>
      </c>
      <c r="B16" s="708">
        <v>40545</v>
      </c>
      <c r="C16" s="709">
        <v>0.5</v>
      </c>
      <c r="D16" s="675">
        <f t="shared" si="65"/>
        <v>300</v>
      </c>
      <c r="E16" s="675">
        <f t="shared" si="66"/>
        <v>250</v>
      </c>
      <c r="F16" s="675">
        <v>250</v>
      </c>
      <c r="G16" s="697">
        <f>DH16+Sheet1!CV16</f>
        <v>774.3403933432844</v>
      </c>
      <c r="H16" s="697">
        <f t="shared" si="0"/>
        <v>233.57043025709902</v>
      </c>
      <c r="I16" s="711">
        <f>MAX(Sheet1!Z16-AJ16+(Sheet1!CW16-E16)*CFStoMGD,0)</f>
        <v>725.86015106286391</v>
      </c>
      <c r="J16" s="720">
        <f>IF(AND(B16&gt;=Calculation!FS16,B16&lt;=Calculation!FT16),IF(Sheet1!CX16&gt;=Calculation!D16,64.64,0),MAX(Sheet1!Z16-AJ16+(Sheet1!CX16-D16)*CFStoMGD,0))</f>
        <v>370.28628439619717</v>
      </c>
      <c r="K16" s="697">
        <f t="shared" si="67"/>
        <v>64.64</v>
      </c>
      <c r="L16" s="712">
        <f>Sheet1!AA16+Sheet1!AB16-Sheet1!L16+(Sheet1!CW16-F16)*CFStoMGD</f>
        <v>769.85400000000584</v>
      </c>
      <c r="M16" s="697">
        <f t="shared" si="1"/>
        <v>510.54430286224101</v>
      </c>
      <c r="N16" s="697">
        <f>IF(Sheet1!CW16&gt;=F16,MIN(73,MIN(MAX(L16,0),MAX(M16,0))),0)</f>
        <v>73</v>
      </c>
      <c r="O16" s="713">
        <f>Sheet1!AA16+Sheet1!AB16</f>
        <v>52.350000000005821</v>
      </c>
      <c r="P16" s="713">
        <f t="shared" si="2"/>
        <v>80.985450000008996</v>
      </c>
      <c r="Q16" s="697">
        <f>MIN(N16,Sheet1!AA16+AG16)</f>
        <v>43.843848937136102</v>
      </c>
      <c r="R16" s="697">
        <f t="shared" si="3"/>
        <v>8.506151062869721</v>
      </c>
      <c r="S16" s="713">
        <f>Sheet1!Y16*MGDtoCFS</f>
        <v>46.889569999999999</v>
      </c>
      <c r="T16" s="713">
        <f>Sheet1!Z16*MGDtoCFS</f>
        <v>33.956649999999996</v>
      </c>
      <c r="U16" s="713">
        <f>Sheet1!AA16*MGDtoCFS</f>
        <v>46.796749999999996</v>
      </c>
      <c r="V16" s="713">
        <f>Sheet1!AB16*MGDtoCFS</f>
        <v>34.188700000009</v>
      </c>
      <c r="W16" s="713">
        <f>Sheet1!L16*MGDtoCFS</f>
        <v>0</v>
      </c>
      <c r="X16" s="697">
        <f t="shared" si="68"/>
        <v>0</v>
      </c>
      <c r="Y16" s="697">
        <f t="shared" si="4"/>
        <v>0</v>
      </c>
      <c r="Z16" s="697">
        <f t="shared" si="5"/>
        <v>0</v>
      </c>
      <c r="AA16" s="697">
        <f t="shared" si="6"/>
        <v>0</v>
      </c>
      <c r="AB16" s="697">
        <f>(VLOOKUP(Sheet1!CY16,hhdcap_wcm,4)-(((VLOOKUP(Sheet1!CY16,hhdcap_wcm,3)-Sheet1!CY16)/(VLOOKUP(Sheet1!CY16,hhdcap_wcm,3)-VLOOKUP(Sheet1!CY16,hhdcap_wcm,1)))*(VLOOKUP(Sheet1!CY16,hhdcap_wcm,4)-VLOOKUP(Sheet1!CY16,hhdcap_wcm,2))))</f>
        <v>2030.0000000029559</v>
      </c>
      <c r="AC16" s="697">
        <f t="shared" si="69"/>
        <v>-148.05000000026712</v>
      </c>
      <c r="AD16" s="712">
        <f t="shared" si="70"/>
        <v>0</v>
      </c>
      <c r="AE16" s="697">
        <f t="shared" si="7"/>
        <v>0</v>
      </c>
      <c r="AF16" s="697">
        <f>Sheet1!BA16+Sheet1!BB16+Sheet1!BN16+BT16</f>
        <v>13.6</v>
      </c>
      <c r="AG16" s="697">
        <f t="shared" si="8"/>
        <v>13.5938489371361</v>
      </c>
      <c r="AH16" s="697">
        <f>Sheet1!BA16+BT16</f>
        <v>0</v>
      </c>
      <c r="AI16" s="697">
        <f>Sheet1!BA16+Sheet1!BB16+BT16</f>
        <v>0</v>
      </c>
      <c r="AJ16" s="697">
        <f>IF((Sheet1!AA16+AG16+AX16+AZ16+BQ16+BS16+CL16+CN16)&lt;=N16,AG16+AX16+AZ16+BQ16+BS16+CL16+CN16,N16-Sheet1!AA16)</f>
        <v>13.5938489371361</v>
      </c>
      <c r="AK16" s="712">
        <f>IF(DR16&lt;K16,0,MAX(Sheet1!AA16+AG16-15/36*K16-N16,Sheet1!ED16,0))</f>
        <v>0</v>
      </c>
      <c r="AL16" s="697">
        <f>IF(OR(B16&gt;=FT16,B16&lt;FS16),0,15/36*K16-MAX(0,64.6-(137.6-(Sheet1!AA16+Sheet1!AB16))))</f>
        <v>0</v>
      </c>
      <c r="AM16" s="712">
        <f>Sheet1!CX16-110</f>
        <v>749.91666666666663</v>
      </c>
      <c r="AN16" s="712">
        <f>Sheet1!CW16-265</f>
        <v>1095</v>
      </c>
      <c r="AO16" s="712">
        <f t="shared" si="71"/>
        <v>29.156151062863898</v>
      </c>
      <c r="AP16" s="712">
        <f t="shared" si="72"/>
        <v>0</v>
      </c>
      <c r="AQ16" s="712">
        <f t="shared" si="10"/>
        <v>0</v>
      </c>
      <c r="AR16" s="697">
        <f t="shared" si="11"/>
        <v>0</v>
      </c>
      <c r="AS16" s="697"/>
      <c r="AT16" s="712">
        <f ca="1">IF(B16&gt;Summary!$A$1,#N/A,AR16*MGtoAF)</f>
        <v>0</v>
      </c>
      <c r="AU16" s="697">
        <f>Sheet1!BG16+Sheet1!BH16+Sheet1!BI16-BC16</f>
        <v>0</v>
      </c>
      <c r="AV16" s="697">
        <f t="shared" si="12"/>
        <v>0</v>
      </c>
      <c r="AW16" s="697">
        <f>IF(Sheet1!EL16="FM",BC16,0)</f>
        <v>0</v>
      </c>
      <c r="AX16" s="697">
        <f t="shared" si="13"/>
        <v>0</v>
      </c>
      <c r="AY16" s="697">
        <f>IF(Sheet1!EL16="OTHER",BC16,0)</f>
        <v>0</v>
      </c>
      <c r="AZ16" s="697">
        <f t="shared" si="14"/>
        <v>0</v>
      </c>
      <c r="BA16" s="697">
        <f t="shared" si="15"/>
        <v>0</v>
      </c>
      <c r="BB16" s="697">
        <f t="shared" si="16"/>
        <v>0</v>
      </c>
      <c r="BC16" s="697">
        <f>IF(OR(Sheet1!EL16="FM", Sheet1!EL16="OTHER"),SUM(Sheet1!BG16:'Sheet1'!BI16),0)</f>
        <v>0</v>
      </c>
      <c r="BD16" s="697">
        <f>IF(AND($B16&gt;=$FL16,$B16&lt;=$FM16),MAX(AV16,Sheet1!EE16,0),MAX(AV16-(7/36)*$K16,0))</f>
        <v>0</v>
      </c>
      <c r="BE16" s="697">
        <f t="shared" si="17"/>
        <v>0</v>
      </c>
      <c r="BF16" s="697">
        <f t="shared" si="73"/>
        <v>0</v>
      </c>
      <c r="BG16" s="697">
        <f>IF(AND($O16&gt;0,Sheet1!EI16=1),(1-($O16-Sheet1!$L16)/$O16)*BB16,0)</f>
        <v>0</v>
      </c>
      <c r="BH16" s="697">
        <f>IF(AND(Sheet1!$L16=0,Sheet1!$L15=0, Calculation!BA16&lt;Sheet1!$EE16-0.1,Sheet1!$EE16=Sheet1!$EE15,Sheet1!$EE16=Sheet1!$EE17),Sheet1!$EE16,BB16-BG16)</f>
        <v>1</v>
      </c>
      <c r="BI16" s="697"/>
      <c r="BJ16" s="697"/>
      <c r="BK16" s="697">
        <f t="shared" si="18"/>
        <v>0</v>
      </c>
      <c r="BL16" s="697"/>
      <c r="BM16" s="712">
        <f ca="1">IF(B16&gt;Summary!$A$1,#N/A,BK16*MGtoAF)</f>
        <v>0</v>
      </c>
      <c r="BN16" s="697">
        <f>Sheet1!BC16+Sheet1!BD16+Sheet1!BE16+Sheet1!BF16-BW16-BX16</f>
        <v>2.5099999999999998</v>
      </c>
      <c r="BO16" s="697">
        <f t="shared" si="19"/>
        <v>2.5088647670743831</v>
      </c>
      <c r="BP16" s="697">
        <f>IF(Sheet1!EM16="FM",BX16,0)</f>
        <v>0</v>
      </c>
      <c r="BQ16" s="697">
        <f t="shared" si="20"/>
        <v>0</v>
      </c>
      <c r="BR16" s="697">
        <f>IF(Sheet1!EM16="OTHER",BX16,0)</f>
        <v>0</v>
      </c>
      <c r="BS16" s="697">
        <f t="shared" si="21"/>
        <v>0</v>
      </c>
      <c r="BT16" s="697">
        <f t="shared" si="22"/>
        <v>0</v>
      </c>
      <c r="BU16" s="697">
        <f t="shared" si="23"/>
        <v>2.5099999999999998</v>
      </c>
      <c r="BV16" s="697">
        <f t="shared" si="24"/>
        <v>2.5088647670743831</v>
      </c>
      <c r="BW16" s="697">
        <f>IF(Sheet1!EM16="CWA",SUM(Sheet1!BC16:'Sheet1'!BF16),0)</f>
        <v>0</v>
      </c>
      <c r="BX16" s="697">
        <f>IF(OR(Sheet1!EM16="FM", Sheet1!EM16="OTHER"),SUM(Sheet1!BC16:'Sheet1'!BF16),0)</f>
        <v>0</v>
      </c>
      <c r="BY16" s="697">
        <f>IF(AND($B16&gt;=$FL16,$B16&lt;=$FM16),MAX(BV16,Sheet1!EF16,0),MAX(BV16-(7/36)*$K16,0))</f>
        <v>0</v>
      </c>
      <c r="BZ16" s="697">
        <f t="shared" si="25"/>
        <v>0</v>
      </c>
      <c r="CA16" s="697">
        <f t="shared" si="74"/>
        <v>2.5088647670743831</v>
      </c>
      <c r="CB16" s="697">
        <f>IF(AND($O16&gt;0,Sheet1!EJ16=1),(1-($O16-Sheet1!$L16)/$O16)*BV16,0)</f>
        <v>0</v>
      </c>
      <c r="CC16" s="697">
        <f>IF(AND(Sheet1!$L16=0,Sheet1!$L15=0, Calculation!BU16&lt;Sheet1!EF16-0.1,Sheet1!EF16=Sheet1!EF15,Sheet1!EF16=Sheet1!EF17),Sheet1!EF16,BV16-CB16)</f>
        <v>2.5088647670743831</v>
      </c>
      <c r="CD16" s="697"/>
      <c r="CE16" s="697"/>
      <c r="CF16" s="697">
        <f t="shared" si="26"/>
        <v>0</v>
      </c>
      <c r="CG16" s="697"/>
      <c r="CH16" s="712">
        <f ca="1">IF(B16&gt;Summary!$A$1,#N/A,CF16*MGtoAF)</f>
        <v>0</v>
      </c>
      <c r="CI16" s="697">
        <f>Sheet1!BK16+Sheet1!BL16+Sheet1!BM16-Sheet1!EN16-CQ16</f>
        <v>6</v>
      </c>
      <c r="CJ16" s="697">
        <f t="shared" si="27"/>
        <v>5.9972862957953383</v>
      </c>
      <c r="CK16" s="697">
        <f>IF(Sheet1!EN16="FM",CQ16,0)</f>
        <v>0</v>
      </c>
      <c r="CL16" s="697">
        <f t="shared" si="28"/>
        <v>0</v>
      </c>
      <c r="CM16" s="697">
        <f>IF(Sheet1!EN16="OTHER",CQ16,0)</f>
        <v>0</v>
      </c>
      <c r="CN16" s="697">
        <f t="shared" si="29"/>
        <v>0</v>
      </c>
      <c r="CO16" s="697">
        <f t="shared" si="30"/>
        <v>6</v>
      </c>
      <c r="CP16" s="697">
        <f t="shared" si="31"/>
        <v>5.9972862957953383</v>
      </c>
      <c r="CQ16" s="697">
        <f>IF(OR(Sheet1!EN16="FM", Sheet1!EN16="OTHER"),SUM(Sheet1!BK16:'Sheet1'!BM16),0)</f>
        <v>0</v>
      </c>
      <c r="CR16" s="697">
        <f>IF(AND($B16&gt;=$FL16,$B16&lt;=$FM16),MAX($CJ16,Sheet1!EG16,0),MAX($CJ16-(7/36)*$K16,0))</f>
        <v>0</v>
      </c>
      <c r="CS16" s="697">
        <f t="shared" si="32"/>
        <v>0</v>
      </c>
      <c r="CT16" s="697">
        <f t="shared" si="75"/>
        <v>5.9972862957953383</v>
      </c>
      <c r="CU16" s="697">
        <f>IF(AND($O16&gt;0,Sheet1!EK16=1),(1-($O16-Sheet1!$L16)/$O16)*CP16,0)</f>
        <v>0</v>
      </c>
      <c r="CV16" s="697">
        <f>IF(AND(Sheet1!$L16=0,Sheet1!$L15=0, Calculation!CO16&lt;Sheet1!$EG16-0.1,Sheet1!$EG16=Sheet1!$EG15,Sheet1!$EG16=Sheet1!$EG17),Sheet1!$EG16,CP16-CU16)</f>
        <v>5.9972862957953383</v>
      </c>
      <c r="CW16" s="697">
        <f t="shared" si="33"/>
        <v>0</v>
      </c>
      <c r="CX16" s="712">
        <f t="shared" si="87"/>
        <v>8.51</v>
      </c>
      <c r="CY16" s="697">
        <f t="shared" si="34"/>
        <v>0</v>
      </c>
      <c r="CZ16" s="697">
        <f t="shared" si="35"/>
        <v>8.506151062869721</v>
      </c>
      <c r="DA16" s="712">
        <f ca="1">IF(B16&gt;Summary!$A$1,#N/A,CY16*MGtoAF)</f>
        <v>0</v>
      </c>
      <c r="DB16" s="697">
        <f t="shared" si="36"/>
        <v>8.51</v>
      </c>
      <c r="DC16" s="697">
        <f t="shared" si="37"/>
        <v>22.11</v>
      </c>
      <c r="DD16" s="697">
        <f>Sheet1!AB16-DC16</f>
        <v>-9.9999999941786655E-3</v>
      </c>
      <c r="DE16" s="697">
        <f t="shared" si="38"/>
        <v>-4.5228403411029695E-4</v>
      </c>
      <c r="DF16" s="697">
        <f>(VLOOKUP(Sheet1!CY16,hhdcap_wcm,4)-(((VLOOKUP(Sheet1!CY16,hhdcap_wcm,3)-Sheet1!CY16)/(VLOOKUP(Sheet1!CY16,hhdcap_wcm,3)-VLOOKUP(Sheet1!CY16,hhdcap_wcm,1)))*(VLOOKUP(Sheet1!CY16,hhdcap_wcm,4)-VLOOKUP(Sheet1!CY16,hhdcap_wcm,2))))</f>
        <v>2030.0000000029559</v>
      </c>
      <c r="DG16" s="697">
        <f t="shared" si="76"/>
        <v>-148.05000000026712</v>
      </c>
      <c r="DH16" s="697">
        <f t="shared" si="39"/>
        <v>-74.659606656715638</v>
      </c>
      <c r="DI16" s="697">
        <f>Sheet1!DW16*AFtoMG</f>
        <v>0</v>
      </c>
      <c r="DJ16" s="697">
        <f>Sheet1!DX16*AFtoMG</f>
        <v>0</v>
      </c>
      <c r="DK16" s="697">
        <f>Sheet1!DY16*AFtoMG</f>
        <v>0</v>
      </c>
      <c r="DL16" s="697">
        <f>Sheet1!DZ16*AFtoMG</f>
        <v>0</v>
      </c>
      <c r="DM16" s="697">
        <f t="shared" si="40"/>
        <v>0</v>
      </c>
      <c r="DN16" s="697">
        <f t="shared" si="41"/>
        <v>0</v>
      </c>
      <c r="DO16" s="697">
        <f t="shared" si="42"/>
        <v>0</v>
      </c>
      <c r="DP16" s="697">
        <f t="shared" si="43"/>
        <v>0</v>
      </c>
      <c r="DQ16" s="697"/>
      <c r="DR16" s="697">
        <f>IF(OR(B16&lt;FL16,B16&gt;FM16),(MIN(AV16+BO16+CJ16+MAX(Sheet1!AA16+AG16-73,0),K16)),0)</f>
        <v>8.506151062869721</v>
      </c>
      <c r="DS16" s="697"/>
      <c r="DT16" s="697">
        <f t="shared" si="44"/>
        <v>8.506151062869721</v>
      </c>
      <c r="DU16" s="697"/>
      <c r="DV16" s="697">
        <f>Sheet1!ED16+Sheet1!EE16+Sheet1!EF16+Sheet1!EG16</f>
        <v>9.5</v>
      </c>
      <c r="DW16" s="697"/>
      <c r="DX16" s="697">
        <f t="shared" si="77"/>
        <v>0</v>
      </c>
      <c r="DY16" s="697">
        <f>IF(Sheet1!FN16=1,SUM('Calculations II'!AT16:BA16)+'Calculations II'!BC16+Sheet1!BU16+'Calculations II'!BE16+AF16,SUM('Calculations II'!AT16:BA16)+'Calculations II'!BC16+Sheet1!BU16+'Calculations II'!BE16+AF16)</f>
        <v>46.722608000000001</v>
      </c>
      <c r="DZ16" s="697">
        <f>Sheet1!AA16+Sheet1!AB16+'Calculations II'!BC16</f>
        <v>52.350000000005821</v>
      </c>
      <c r="EA16" s="697"/>
      <c r="EB16" s="697"/>
      <c r="EC16" s="697">
        <f t="shared" si="45"/>
        <v>40545</v>
      </c>
      <c r="ED16" s="697">
        <f t="shared" si="46"/>
        <v>0</v>
      </c>
      <c r="EE16" s="697">
        <f t="shared" si="47"/>
        <v>0</v>
      </c>
      <c r="EF16" s="697">
        <f>-(VLOOKUP(Sheet1!BQ16,Lookup!$B$4:$J$236,2)-VLOOKUP(Sheet1!BQ15,Lookup!$B$4:$J$236,2))/1000000</f>
        <v>1.3491</v>
      </c>
      <c r="EG16" s="697">
        <f>-(VLOOKUP(Sheet1!BR16,Lookup!$B$4:$J$236,3)-VLOOKUP(Sheet1!BR15,Lookup!$B$4:$J$236,3))/1000000</f>
        <v>1.3431999999999999</v>
      </c>
      <c r="EH16" s="697">
        <f>-(VLOOKUP(Sheet1!BS16,Lookup!$B$4:$J$236,4)-VLOOKUP(Sheet1!BS15,Lookup!$B$4:$J$236,4))/1000000</f>
        <v>0</v>
      </c>
      <c r="EI16" s="697">
        <f t="shared" si="88"/>
        <v>2.6922999999999999</v>
      </c>
      <c r="EJ16" s="697"/>
      <c r="EK16" s="697"/>
      <c r="EL16" s="697"/>
      <c r="EM16" s="697"/>
      <c r="EN16" s="697"/>
      <c r="EO16" s="697"/>
      <c r="EP16" s="697"/>
      <c r="EQ16" s="697"/>
      <c r="ER16" s="697">
        <v>0</v>
      </c>
      <c r="ES16" s="697"/>
      <c r="ET16" s="794" t="e">
        <f t="shared" si="78"/>
        <v>#N/A</v>
      </c>
      <c r="EU16" s="794" t="e">
        <f t="shared" si="79"/>
        <v>#VALUE!</v>
      </c>
      <c r="EV16" s="795" t="e">
        <f t="shared" si="48"/>
        <v>#VALUE!</v>
      </c>
      <c r="EW16" s="796" t="s">
        <v>757</v>
      </c>
      <c r="EX16" s="796" t="s">
        <v>757</v>
      </c>
      <c r="EY16" s="794">
        <v>0</v>
      </c>
      <c r="EZ16" s="794" t="e">
        <v>#N/A</v>
      </c>
      <c r="FA16" s="697"/>
      <c r="FB16" s="697"/>
      <c r="FC16" s="697"/>
      <c r="FD16" s="697"/>
      <c r="FE16" s="697">
        <f>O16+Sheet1!CO16</f>
        <v>52.350000000005821</v>
      </c>
      <c r="FF16" s="697">
        <f>IF(Sheet1!AA16+AG16&lt;=Calculation!N16,AG16,Calculation!N16-Sheet1!AA16)</f>
        <v>13.5938489371361</v>
      </c>
      <c r="FG16" s="712">
        <f>(Sheet1!BP16+Sheet1!BO16)/694.4</f>
        <v>3.0527073732718897</v>
      </c>
      <c r="FH16" s="697"/>
      <c r="FI16" s="697"/>
      <c r="FJ16" s="697"/>
      <c r="FK16" s="697"/>
      <c r="FL16" s="714">
        <f t="shared" si="89"/>
        <v>40753</v>
      </c>
      <c r="FM16" s="714">
        <f t="shared" si="90"/>
        <v>40851</v>
      </c>
      <c r="FN16" s="697"/>
      <c r="FO16" s="697"/>
      <c r="FP16" s="697"/>
      <c r="FQ16" s="697"/>
      <c r="FR16" s="697"/>
      <c r="FS16" s="725">
        <f t="shared" si="91"/>
        <v>40603</v>
      </c>
      <c r="FT16" s="714">
        <f t="shared" si="92"/>
        <v>40709</v>
      </c>
      <c r="FU16" s="712">
        <f t="shared" si="93"/>
        <v>6518.9048239895692</v>
      </c>
      <c r="FV16" s="714">
        <f t="shared" si="94"/>
        <v>40722</v>
      </c>
      <c r="FW16" s="712">
        <f t="shared" si="95"/>
        <v>3259.4524119947846</v>
      </c>
      <c r="FX16" s="725">
        <f t="shared" si="96"/>
        <v>40851</v>
      </c>
      <c r="FZ16" s="697">
        <f t="shared" si="49"/>
        <v>0</v>
      </c>
      <c r="GA16" s="697" t="str">
        <f t="shared" si="50"/>
        <v/>
      </c>
      <c r="GB16" s="697">
        <f t="shared" si="51"/>
        <v>0</v>
      </c>
      <c r="GC16" s="697" t="str">
        <f t="shared" si="52"/>
        <v/>
      </c>
      <c r="GD16" s="697">
        <f>IF(GA16="P",Lookup!$M$12,IF(GA16="PP",Lookup!$M$13,IF(GA16="PPP",Lookup!$M$14,IF(GA16="T",Lookup!$M$15,IF(GA16="TP",Lookup!$M$16,IF(GA16="TPP",Lookup!$M$17,IF(GA16="TPPP",Lookup!$M$18,0)))))))*FZ16</f>
        <v>0</v>
      </c>
      <c r="GE16" s="697">
        <f t="shared" si="53"/>
        <v>0</v>
      </c>
      <c r="GF16" s="697">
        <f t="shared" si="54"/>
        <v>0</v>
      </c>
      <c r="GG16" s="697">
        <f t="shared" si="81"/>
        <v>0</v>
      </c>
      <c r="GH16" s="697"/>
      <c r="GI16" s="697">
        <f t="shared" si="55"/>
        <v>0</v>
      </c>
      <c r="GJ16" s="697" t="str">
        <f t="shared" si="56"/>
        <v/>
      </c>
      <c r="GK16" s="697">
        <f>IF(GA16="P",Lookup!$N$12,IF(GA16="PP",Lookup!$N$13,IF(GA16="PPP",Lookup!$N$14,IF(GA16="T",Lookup!$N$15,IF(GA16="TP",Lookup!$N$16,IF(GA16="TPP",Lookup!$N$17,IF(GA16="TPPP",Lookup!$N$18,0)))))))*FZ16</f>
        <v>0</v>
      </c>
      <c r="GL16" s="697">
        <f t="shared" si="57"/>
        <v>0</v>
      </c>
      <c r="GM16" s="697">
        <f t="shared" si="58"/>
        <v>0</v>
      </c>
      <c r="GN16" s="697">
        <f t="shared" si="82"/>
        <v>0</v>
      </c>
      <c r="GO16" s="697"/>
      <c r="GP16" s="697">
        <f t="shared" si="59"/>
        <v>0</v>
      </c>
      <c r="GQ16" s="697" t="str">
        <f t="shared" si="60"/>
        <v/>
      </c>
      <c r="GR16" s="697">
        <f>IF(GA16="P",Lookup!$N$12,IF(GA16="PP",Lookup!$N$13,IF(GA16="PPP",Lookup!$N$14,IF(GA16="T",Lookup!$N$15,IF(GA16="TP",Lookup!$N$16,IF(GA16="TPP",Lookup!$N$17,IF(GA16="TPPP",Lookup!$N$18,0)))))))*FZ16</f>
        <v>0</v>
      </c>
      <c r="GS16" s="697">
        <f t="shared" si="83"/>
        <v>0</v>
      </c>
      <c r="GT16" s="697">
        <f t="shared" si="61"/>
        <v>0</v>
      </c>
      <c r="GU16" s="697">
        <f t="shared" si="84"/>
        <v>0</v>
      </c>
      <c r="GV16" s="697"/>
      <c r="GW16" s="697">
        <f t="shared" si="62"/>
        <v>0</v>
      </c>
      <c r="GX16" s="697" t="str">
        <f t="shared" si="63"/>
        <v/>
      </c>
      <c r="GY16" s="697">
        <f>IF(GA16="P",Lookup!$N$12,IF(GA16="PP",Lookup!$N$13,IF(GA16="PPP",Lookup!$N$14,IF(GA16="T",Lookup!$N$15,IF(GA16="TP",Lookup!$N$16,IF(GA16="TPP",Lookup!$N$17,IF(GA16="TPPP",Lookup!$N$18,0)))))))*FZ16</f>
        <v>0</v>
      </c>
      <c r="GZ16" s="697">
        <f t="shared" si="85"/>
        <v>0</v>
      </c>
      <c r="HA16" s="697">
        <f t="shared" si="64"/>
        <v>0</v>
      </c>
      <c r="HB16" s="697">
        <f t="shared" si="86"/>
        <v>0</v>
      </c>
      <c r="HC16" s="697"/>
    </row>
    <row r="17" spans="1:211">
      <c r="A17" s="773" t="s">
        <v>4</v>
      </c>
      <c r="B17" s="708">
        <v>40546</v>
      </c>
      <c r="C17" s="719">
        <v>0.5</v>
      </c>
      <c r="D17" s="675">
        <f t="shared" si="65"/>
        <v>300</v>
      </c>
      <c r="E17" s="675">
        <f t="shared" si="66"/>
        <v>250</v>
      </c>
      <c r="F17" s="710">
        <v>250</v>
      </c>
      <c r="G17" s="712">
        <f>DH17+Sheet1!CV17</f>
        <v>754.17279374674445</v>
      </c>
      <c r="H17" s="712">
        <f t="shared" si="0"/>
        <v>220.5340938778956</v>
      </c>
      <c r="I17" s="711">
        <f>MAX(Sheet1!Z17-AJ17+(Sheet1!CW17-E17)*CFStoMGD,0)</f>
        <v>717.47528920906507</v>
      </c>
      <c r="J17" s="720">
        <f>IF(AND(B17&gt;=Calculation!FS17,B17&lt;=Calculation!FT17),IF(Sheet1!CX17&gt;=Calculation!D17,64.64,0),MAX(Sheet1!Z17-AJ17+(Sheet1!CX17-D17)*CFStoMGD,0))</f>
        <v>332.887489209065</v>
      </c>
      <c r="K17" s="697">
        <f t="shared" si="67"/>
        <v>64.64</v>
      </c>
      <c r="L17" s="712">
        <f>Sheet1!AA17+Sheet1!AB17-Sheet1!L17+(Sheet1!CW17-F17)*CFStoMGD</f>
        <v>759.93733333332466</v>
      </c>
      <c r="M17" s="712">
        <f t="shared" si="1"/>
        <v>497.24723975545356</v>
      </c>
      <c r="N17" s="712">
        <f>IF(Sheet1!CW17&gt;=F17,MIN(73,MIN(MAX(L17,0),MAX(M17,0))),0)</f>
        <v>73</v>
      </c>
      <c r="O17" s="721">
        <f>Sheet1!AA17+Sheet1!AB17</f>
        <v>50.849999999991269</v>
      </c>
      <c r="P17" s="721">
        <f t="shared" si="2"/>
        <v>78.66494999998649</v>
      </c>
      <c r="Q17" s="712">
        <f>MIN(N17,Sheet1!AA17+AG17)</f>
        <v>42.612044124259612</v>
      </c>
      <c r="R17" s="712">
        <f t="shared" si="3"/>
        <v>8.237955875731652</v>
      </c>
      <c r="S17" s="721">
        <f>Sheet1!Y17*MGDtoCFS</f>
        <v>46.796749999999996</v>
      </c>
      <c r="T17" s="721">
        <f>Sheet1!Z17*MGDtoCFS</f>
        <v>33.492549999999994</v>
      </c>
      <c r="U17" s="721">
        <f>Sheet1!AA17*MGDtoCFS</f>
        <v>45.40444999998649</v>
      </c>
      <c r="V17" s="721">
        <f>Sheet1!AB17*MGDtoCFS</f>
        <v>33.2605</v>
      </c>
      <c r="W17" s="721">
        <f>Sheet1!L17*MGDtoCFS</f>
        <v>0</v>
      </c>
      <c r="X17" s="697">
        <f t="shared" si="68"/>
        <v>0</v>
      </c>
      <c r="Y17" s="712">
        <f t="shared" si="4"/>
        <v>0</v>
      </c>
      <c r="Z17" s="712">
        <f t="shared" si="5"/>
        <v>0</v>
      </c>
      <c r="AA17" s="712">
        <f t="shared" si="6"/>
        <v>0</v>
      </c>
      <c r="AB17" s="712">
        <f>(VLOOKUP(Sheet1!CY17,hhdcap_wcm,4)-(((VLOOKUP(Sheet1!CY17,hhdcap_wcm,3)-Sheet1!CY17)/(VLOOKUP(Sheet1!CY17,hhdcap_wcm,3)-VLOOKUP(Sheet1!CY17,hhdcap_wcm,1)))*(VLOOKUP(Sheet1!CY17,hhdcap_wcm,4)-VLOOKUP(Sheet1!CY17,hhdcap_wcm,2))))</f>
        <v>1902.3400000027502</v>
      </c>
      <c r="AC17" s="712">
        <f t="shared" si="69"/>
        <v>-127.66000000020563</v>
      </c>
      <c r="AD17" s="712">
        <f t="shared" si="70"/>
        <v>0</v>
      </c>
      <c r="AE17" s="712">
        <f t="shared" si="7"/>
        <v>0</v>
      </c>
      <c r="AF17" s="712">
        <f>Sheet1!BA17+Sheet1!BB17+Sheet1!BN17+BT17</f>
        <v>13.7</v>
      </c>
      <c r="AG17" s="712">
        <f t="shared" si="8"/>
        <v>13.262044124268346</v>
      </c>
      <c r="AH17" s="712">
        <f>Sheet1!BA17+BT17</f>
        <v>0</v>
      </c>
      <c r="AI17" s="712">
        <f>Sheet1!BA17+Sheet1!BB17+BT17</f>
        <v>0</v>
      </c>
      <c r="AJ17" s="712">
        <f>IF((Sheet1!AA17+AG17+AX17+AZ17+BQ17+BS17+CL17+CN17)&lt;=N17,AG17+AX17+AZ17+BQ17+BS17+CL17+CN17,N17-Sheet1!AA17)</f>
        <v>13.262044124268346</v>
      </c>
      <c r="AK17" s="712">
        <f>IF(DR17&lt;K17,0,MAX(Sheet1!AA17+AG17-15/36*K17-N17,Sheet1!ED17,0))</f>
        <v>0</v>
      </c>
      <c r="AL17" s="712">
        <f>IF(OR(B17&gt;=FT17,B17&lt;FS17),0,15/36*K17-MAX(0,64.6-(137.6-(Sheet1!AA17+Sheet1!AB17))))</f>
        <v>0</v>
      </c>
      <c r="AM17" s="712">
        <f>Sheet1!CX17-110</f>
        <v>692.01041666666663</v>
      </c>
      <c r="AN17" s="712">
        <f>Sheet1!CW17-265</f>
        <v>1081.9791666666667</v>
      </c>
      <c r="AO17" s="712">
        <f t="shared" si="71"/>
        <v>30.387955875740388</v>
      </c>
      <c r="AP17" s="712">
        <f t="shared" si="72"/>
        <v>0</v>
      </c>
      <c r="AQ17" s="712">
        <f t="shared" si="10"/>
        <v>0</v>
      </c>
      <c r="AR17" s="712">
        <f t="shared" si="11"/>
        <v>0</v>
      </c>
      <c r="AS17" s="712"/>
      <c r="AT17" s="712">
        <f ca="1">IF(B17&gt;Summary!$A$1,#N/A,AR17*MGtoAF)</f>
        <v>0</v>
      </c>
      <c r="AU17" s="712">
        <f>Sheet1!BG17+Sheet1!BH17+Sheet1!BI17-BC17</f>
        <v>0</v>
      </c>
      <c r="AV17" s="712">
        <f t="shared" si="12"/>
        <v>0</v>
      </c>
      <c r="AW17" s="712">
        <f>IF(Sheet1!EL17="FM",BC17,0)</f>
        <v>0</v>
      </c>
      <c r="AX17" s="712">
        <f t="shared" si="13"/>
        <v>0</v>
      </c>
      <c r="AY17" s="712">
        <f>IF(Sheet1!EL17="OTHER",BC17,0)</f>
        <v>0</v>
      </c>
      <c r="AZ17" s="712">
        <f t="shared" si="14"/>
        <v>0</v>
      </c>
      <c r="BA17" s="712">
        <f t="shared" si="15"/>
        <v>0</v>
      </c>
      <c r="BB17" s="712">
        <f t="shared" si="16"/>
        <v>0</v>
      </c>
      <c r="BC17" s="712">
        <f>IF(OR(Sheet1!EL17="FM", Sheet1!EL17="OTHER"),SUM(Sheet1!BG17:'Sheet1'!BI17),0)</f>
        <v>0</v>
      </c>
      <c r="BD17" s="697">
        <f>IF(AND($B17&gt;=$FL17,$B17&lt;=$FM17),MAX(AV17,Sheet1!EE17,0),MAX(AV17-(7/36)*$K17,0))</f>
        <v>0</v>
      </c>
      <c r="BE17" s="712">
        <f t="shared" si="17"/>
        <v>0</v>
      </c>
      <c r="BF17" s="697">
        <f t="shared" si="73"/>
        <v>0</v>
      </c>
      <c r="BG17" s="697">
        <f>IF(AND($O17&gt;0,Sheet1!EI17=1),(1-($O17-Sheet1!$L17)/$O17)*BB17,0)</f>
        <v>0</v>
      </c>
      <c r="BH17" s="697">
        <f>IF(AND(Sheet1!$L17=0,Sheet1!$L16=0, Calculation!BA17&lt;Sheet1!$EE17-0.1,Sheet1!$EE17=Sheet1!$EE16,Sheet1!$EE17=Sheet1!$EE18),Sheet1!$EE17,BB17-BG17)</f>
        <v>1</v>
      </c>
      <c r="BI17" s="712"/>
      <c r="BJ17" s="712"/>
      <c r="BK17" s="712">
        <f t="shared" si="18"/>
        <v>0</v>
      </c>
      <c r="BL17" s="712"/>
      <c r="BM17" s="712">
        <f ca="1">IF(B17&gt;Summary!$A$1,#N/A,BK17*MGtoAF)</f>
        <v>0</v>
      </c>
      <c r="BN17" s="712">
        <f>Sheet1!BC17+Sheet1!BD17+Sheet1!BE17+Sheet1!BF17-BW17-BX17</f>
        <v>2.5099999999999998</v>
      </c>
      <c r="BO17" s="712">
        <f t="shared" si="19"/>
        <v>2.4297613687528137</v>
      </c>
      <c r="BP17" s="712">
        <f>IF(Sheet1!EM17="FM",BX17,0)</f>
        <v>0</v>
      </c>
      <c r="BQ17" s="712">
        <f t="shared" si="20"/>
        <v>0</v>
      </c>
      <c r="BR17" s="712">
        <f>IF(Sheet1!EM17="OTHER",BX17,0)</f>
        <v>0</v>
      </c>
      <c r="BS17" s="712">
        <f t="shared" si="21"/>
        <v>0</v>
      </c>
      <c r="BT17" s="712">
        <f t="shared" si="22"/>
        <v>0</v>
      </c>
      <c r="BU17" s="712">
        <f t="shared" si="23"/>
        <v>2.5099999999999998</v>
      </c>
      <c r="BV17" s="712">
        <f t="shared" si="24"/>
        <v>2.4297613687528137</v>
      </c>
      <c r="BW17" s="712">
        <f>IF(Sheet1!EM17="CWA",SUM(Sheet1!BC17:'Sheet1'!BF17),0)</f>
        <v>0</v>
      </c>
      <c r="BX17" s="712">
        <f>IF(OR(Sheet1!EM17="FM", Sheet1!EM17="OTHER"),SUM(Sheet1!BC17:'Sheet1'!BF17),0)</f>
        <v>0</v>
      </c>
      <c r="BY17" s="697">
        <f>IF(AND($B17&gt;=$FL17,$B17&lt;=$FM17),MAX(BV17,Sheet1!EF17,0),MAX(BV17-(7/36)*$K17,0))</f>
        <v>0</v>
      </c>
      <c r="BZ17" s="712">
        <f t="shared" si="25"/>
        <v>0</v>
      </c>
      <c r="CA17" s="697">
        <f t="shared" si="74"/>
        <v>2.4297613687528137</v>
      </c>
      <c r="CB17" s="697">
        <f>IF(AND($O17&gt;0,Sheet1!EJ17=1),(1-($O17-Sheet1!$L17)/$O17)*BV17,0)</f>
        <v>0</v>
      </c>
      <c r="CC17" s="697">
        <f>IF(AND(Sheet1!$L17=0,Sheet1!$L16=0, Calculation!BU17&lt;Sheet1!EF17-0.1,Sheet1!EF17=Sheet1!EF16,Sheet1!EF17=Sheet1!EF18),Sheet1!EF17,BV17-CB17)</f>
        <v>2.4297613687528137</v>
      </c>
      <c r="CD17" s="697"/>
      <c r="CE17" s="712"/>
      <c r="CF17" s="712">
        <f t="shared" si="26"/>
        <v>0</v>
      </c>
      <c r="CG17" s="712"/>
      <c r="CH17" s="712">
        <f ca="1">IF(B17&gt;Summary!$A$1,#N/A,CF17*MGtoAF)</f>
        <v>0</v>
      </c>
      <c r="CI17" s="712">
        <f>Sheet1!BK17+Sheet1!BL17+Sheet1!BM17-Sheet1!EN17-CQ17</f>
        <v>6</v>
      </c>
      <c r="CJ17" s="712">
        <f t="shared" si="27"/>
        <v>5.8081945069788379</v>
      </c>
      <c r="CK17" s="712">
        <f>IF(Sheet1!EN17="FM",CQ17,0)</f>
        <v>0</v>
      </c>
      <c r="CL17" s="712">
        <f t="shared" si="28"/>
        <v>0</v>
      </c>
      <c r="CM17" s="712">
        <f>IF(Sheet1!EN17="OTHER",CQ17,0)</f>
        <v>0</v>
      </c>
      <c r="CN17" s="712">
        <f t="shared" si="29"/>
        <v>0</v>
      </c>
      <c r="CO17" s="712">
        <f t="shared" si="30"/>
        <v>6</v>
      </c>
      <c r="CP17" s="712">
        <f t="shared" si="31"/>
        <v>5.8081945069788379</v>
      </c>
      <c r="CQ17" s="712">
        <f>IF(OR(Sheet1!EN17="FM", Sheet1!EN17="OTHER"),SUM(Sheet1!BK17:'Sheet1'!BM17),0)</f>
        <v>0</v>
      </c>
      <c r="CR17" s="697">
        <f>IF(AND($B17&gt;=$FL17,$B17&lt;=$FM17),MAX($CJ17,Sheet1!EG17,0),MAX($CJ17-(7/36)*$K17,0))</f>
        <v>0</v>
      </c>
      <c r="CS17" s="712">
        <f t="shared" si="32"/>
        <v>0</v>
      </c>
      <c r="CT17" s="697">
        <f t="shared" si="75"/>
        <v>5.8081945069788379</v>
      </c>
      <c r="CU17" s="697">
        <f>IF(AND($O17&gt;0,Sheet1!EK17=1),(1-($O17-Sheet1!$L17)/$O17)*CP17,0)</f>
        <v>0</v>
      </c>
      <c r="CV17" s="697">
        <f>IF(AND(Sheet1!$L17=0,Sheet1!$L16=0, Calculation!CO17&lt;Sheet1!$EG17-0.1,Sheet1!$EG17=Sheet1!$EG16,Sheet1!$EG17=Sheet1!$EG18),Sheet1!$EG17,CP17-CU17)</f>
        <v>5.8081945069788379</v>
      </c>
      <c r="CW17" s="697">
        <f t="shared" si="33"/>
        <v>0</v>
      </c>
      <c r="CX17" s="712">
        <f t="shared" si="87"/>
        <v>8.51</v>
      </c>
      <c r="CY17" s="712">
        <f t="shared" si="34"/>
        <v>0</v>
      </c>
      <c r="CZ17" s="712">
        <f t="shared" si="35"/>
        <v>8.237955875731652</v>
      </c>
      <c r="DA17" s="712">
        <f ca="1">IF(B17&gt;Summary!$A$1,#N/A,CY17*MGtoAF)</f>
        <v>0</v>
      </c>
      <c r="DB17" s="712">
        <f t="shared" si="36"/>
        <v>8.51</v>
      </c>
      <c r="DC17" s="712">
        <f t="shared" si="37"/>
        <v>22.21</v>
      </c>
      <c r="DD17" s="712">
        <f>Sheet1!AB17-DC17</f>
        <v>-0.71000000000000085</v>
      </c>
      <c r="DE17" s="712">
        <f t="shared" si="38"/>
        <v>-3.1967582170193645E-2</v>
      </c>
      <c r="DF17" s="712">
        <f>(VLOOKUP(Sheet1!CY17,hhdcap_wcm,4)-(((VLOOKUP(Sheet1!CY17,hhdcap_wcm,3)-Sheet1!CY17)/(VLOOKUP(Sheet1!CY17,hhdcap_wcm,3)-VLOOKUP(Sheet1!CY17,hhdcap_wcm,1)))*(VLOOKUP(Sheet1!CY17,hhdcap_wcm,4)-VLOOKUP(Sheet1!CY17,hhdcap_wcm,2))))</f>
        <v>1902.3400000027502</v>
      </c>
      <c r="DG17" s="712">
        <f t="shared" si="76"/>
        <v>-127.66000000020563</v>
      </c>
      <c r="DH17" s="712">
        <f t="shared" si="39"/>
        <v>-64.37720625325548</v>
      </c>
      <c r="DI17" s="712">
        <f>Sheet1!DW17*AFtoMG</f>
        <v>0</v>
      </c>
      <c r="DJ17" s="712">
        <f>Sheet1!DX17*AFtoMG</f>
        <v>0</v>
      </c>
      <c r="DK17" s="712">
        <f>Sheet1!DY17*AFtoMG</f>
        <v>0</v>
      </c>
      <c r="DL17" s="712">
        <f>Sheet1!DZ17*AFtoMG</f>
        <v>0</v>
      </c>
      <c r="DM17" s="712">
        <f t="shared" si="40"/>
        <v>0</v>
      </c>
      <c r="DN17" s="712">
        <f t="shared" si="41"/>
        <v>0</v>
      </c>
      <c r="DO17" s="712">
        <f t="shared" si="42"/>
        <v>0</v>
      </c>
      <c r="DP17" s="712">
        <f t="shared" si="43"/>
        <v>0</v>
      </c>
      <c r="DQ17" s="712"/>
      <c r="DR17" s="697">
        <f>IF(OR(B17&lt;FL17,B17&gt;FM17),(MIN(AV17+BO17+CJ17+MAX(Sheet1!AA17+AG17-73,0),K17)),0)</f>
        <v>8.237955875731652</v>
      </c>
      <c r="DS17" s="712"/>
      <c r="DT17" s="712">
        <f t="shared" si="44"/>
        <v>8.237955875731652</v>
      </c>
      <c r="DU17" s="712"/>
      <c r="DV17" s="712">
        <f>Sheet1!ED17+Sheet1!EE17+Sheet1!EF17+Sheet1!EG17</f>
        <v>9.5</v>
      </c>
      <c r="DW17" s="712"/>
      <c r="DX17" s="697">
        <f t="shared" si="77"/>
        <v>0</v>
      </c>
      <c r="DY17" s="712">
        <f>IF(Sheet1!FN17=1,SUM('Calculations II'!AT17:BA17)+'Calculations II'!BC17+Sheet1!BU17+'Calculations II'!BE17+AF17,SUM('Calculations II'!AT17:BA17)+'Calculations II'!BC17+Sheet1!BU17+'Calculations II'!BE17+AF17)</f>
        <v>44.736751999999996</v>
      </c>
      <c r="DZ17" s="712">
        <f>Sheet1!AA17+Sheet1!AB17+'Calculations II'!BC17</f>
        <v>50.849999999991269</v>
      </c>
      <c r="EA17" s="712"/>
      <c r="EB17" s="712"/>
      <c r="EC17" s="712">
        <f t="shared" si="45"/>
        <v>40546</v>
      </c>
      <c r="ED17" s="712">
        <f t="shared" si="46"/>
        <v>0</v>
      </c>
      <c r="EE17" s="712">
        <f t="shared" si="47"/>
        <v>0</v>
      </c>
      <c r="EF17" s="712">
        <f>-(VLOOKUP(Sheet1!BQ17,Lookup!$B$4:$J$236,2)-VLOOKUP(Sheet1!BQ16,Lookup!$B$4:$J$236,2))/1000000</f>
        <v>2.6676000000000002</v>
      </c>
      <c r="EG17" s="712">
        <f>-(VLOOKUP(Sheet1!BR17,Lookup!$B$4:$J$236,3)-VLOOKUP(Sheet1!BR16,Lookup!$B$4:$J$236,3))/1000000</f>
        <v>2.3961000000000001</v>
      </c>
      <c r="EH17" s="712">
        <f>-(VLOOKUP(Sheet1!BS17,Lookup!$B$4:$J$236,4)-VLOOKUP(Sheet1!BS16,Lookup!$B$4:$J$236,4))/1000000</f>
        <v>0</v>
      </c>
      <c r="EI17" s="697">
        <f t="shared" si="88"/>
        <v>5.0637000000000008</v>
      </c>
      <c r="EJ17" s="712"/>
      <c r="EK17" s="712"/>
      <c r="EL17" s="712"/>
      <c r="EM17" s="712"/>
      <c r="EN17" s="712"/>
      <c r="EO17" s="712"/>
      <c r="EP17" s="712"/>
      <c r="EQ17" s="712"/>
      <c r="ER17" s="697">
        <v>0</v>
      </c>
      <c r="ES17" s="712"/>
      <c r="ET17" s="794" t="e">
        <f t="shared" si="78"/>
        <v>#N/A</v>
      </c>
      <c r="EU17" s="794" t="e">
        <f t="shared" si="79"/>
        <v>#VALUE!</v>
      </c>
      <c r="EV17" s="795" t="e">
        <f t="shared" si="48"/>
        <v>#VALUE!</v>
      </c>
      <c r="EW17" s="796" t="s">
        <v>757</v>
      </c>
      <c r="EX17" s="796" t="s">
        <v>757</v>
      </c>
      <c r="EY17" s="794">
        <v>0</v>
      </c>
      <c r="EZ17" s="794" t="e">
        <v>#N/A</v>
      </c>
      <c r="FA17" s="712"/>
      <c r="FB17" s="712"/>
      <c r="FC17" s="712"/>
      <c r="FD17" s="712"/>
      <c r="FE17" s="712">
        <f>O17+Sheet1!CO17</f>
        <v>50.849999999991269</v>
      </c>
      <c r="FF17" s="712">
        <f>IF(Sheet1!AA17+AG17&lt;=Calculation!N17,AG17,Calculation!N17-Sheet1!AA17)</f>
        <v>13.262044124268346</v>
      </c>
      <c r="FG17" s="712">
        <f>(Sheet1!BP17+Sheet1!BO17)/694.4</f>
        <v>0.82157258064516137</v>
      </c>
      <c r="FH17" s="712"/>
      <c r="FI17" s="712"/>
      <c r="FJ17" s="712"/>
      <c r="FK17" s="712"/>
      <c r="FL17" s="714">
        <f t="shared" si="89"/>
        <v>40753</v>
      </c>
      <c r="FM17" s="714">
        <f t="shared" si="90"/>
        <v>40851</v>
      </c>
      <c r="FN17" s="712"/>
      <c r="FO17" s="712"/>
      <c r="FP17" s="712"/>
      <c r="FQ17" s="712"/>
      <c r="FR17" s="712"/>
      <c r="FS17" s="725">
        <f t="shared" si="91"/>
        <v>40603</v>
      </c>
      <c r="FT17" s="714">
        <f t="shared" si="92"/>
        <v>40709</v>
      </c>
      <c r="FU17" s="712">
        <f t="shared" si="93"/>
        <v>6518.9048239895692</v>
      </c>
      <c r="FV17" s="714">
        <f t="shared" si="94"/>
        <v>40722</v>
      </c>
      <c r="FW17" s="712">
        <f t="shared" si="95"/>
        <v>3259.4524119947846</v>
      </c>
      <c r="FX17" s="725">
        <f t="shared" si="96"/>
        <v>40851</v>
      </c>
      <c r="FZ17" s="697">
        <f t="shared" si="49"/>
        <v>0</v>
      </c>
      <c r="GA17" s="712" t="str">
        <f t="shared" si="50"/>
        <v/>
      </c>
      <c r="GB17" s="712">
        <f t="shared" si="51"/>
        <v>0</v>
      </c>
      <c r="GC17" s="712" t="str">
        <f t="shared" si="52"/>
        <v/>
      </c>
      <c r="GD17" s="712">
        <f>IF(GA17="P",Lookup!$M$12,IF(GA17="PP",Lookup!$M$13,IF(GA17="PPP",Lookup!$M$14,IF(GA17="T",Lookup!$M$15,IF(GA17="TP",Lookup!$M$16,IF(GA17="TPP",Lookup!$M$17,IF(GA17="TPPP",Lookup!$M$18,0)))))))*FZ17</f>
        <v>0</v>
      </c>
      <c r="GE17" s="712">
        <f t="shared" si="53"/>
        <v>0</v>
      </c>
      <c r="GF17" s="712">
        <f t="shared" si="54"/>
        <v>0</v>
      </c>
      <c r="GG17" s="712">
        <f t="shared" si="81"/>
        <v>0</v>
      </c>
      <c r="GH17" s="712"/>
      <c r="GI17" s="712">
        <f t="shared" si="55"/>
        <v>0</v>
      </c>
      <c r="GJ17" s="712" t="str">
        <f t="shared" si="56"/>
        <v/>
      </c>
      <c r="GK17" s="712">
        <f>IF(GA17="P",Lookup!$N$12,IF(GA17="PP",Lookup!$N$13,IF(GA17="PPP",Lookup!$N$14,IF(GA17="T",Lookup!$N$15,IF(GA17="TP",Lookup!$N$16,IF(GA17="TPP",Lookup!$N$17,IF(GA17="TPPP",Lookup!$N$18,0)))))))*FZ17</f>
        <v>0</v>
      </c>
      <c r="GL17" s="712">
        <f t="shared" si="57"/>
        <v>0</v>
      </c>
      <c r="GM17" s="712">
        <f t="shared" si="58"/>
        <v>0</v>
      </c>
      <c r="GN17" s="712">
        <f t="shared" si="82"/>
        <v>0</v>
      </c>
      <c r="GO17" s="712"/>
      <c r="GP17" s="712">
        <f t="shared" si="59"/>
        <v>0</v>
      </c>
      <c r="GQ17" s="712" t="str">
        <f t="shared" si="60"/>
        <v/>
      </c>
      <c r="GR17" s="712">
        <f>IF(GA17="P",Lookup!$N$12,IF(GA17="PP",Lookup!$N$13,IF(GA17="PPP",Lookup!$N$14,IF(GA17="T",Lookup!$N$15,IF(GA17="TP",Lookup!$N$16,IF(GA17="TPP",Lookup!$N$17,IF(GA17="TPPP",Lookup!$N$18,0)))))))*FZ17</f>
        <v>0</v>
      </c>
      <c r="GS17" s="697">
        <f t="shared" si="83"/>
        <v>0</v>
      </c>
      <c r="GT17" s="712">
        <f t="shared" si="61"/>
        <v>0</v>
      </c>
      <c r="GU17" s="712">
        <f t="shared" si="84"/>
        <v>0</v>
      </c>
      <c r="GV17" s="712"/>
      <c r="GW17" s="712">
        <f t="shared" si="62"/>
        <v>0</v>
      </c>
      <c r="GX17" s="712" t="str">
        <f t="shared" si="63"/>
        <v/>
      </c>
      <c r="GY17" s="712">
        <f>IF(GA17="P",Lookup!$N$12,IF(GA17="PP",Lookup!$N$13,IF(GA17="PPP",Lookup!$N$14,IF(GA17="T",Lookup!$N$15,IF(GA17="TP",Lookup!$N$16,IF(GA17="TPP",Lookup!$N$17,IF(GA17="TPPP",Lookup!$N$18,0)))))))*FZ17</f>
        <v>0</v>
      </c>
      <c r="GZ17" s="697">
        <f t="shared" si="85"/>
        <v>0</v>
      </c>
      <c r="HA17" s="712">
        <f t="shared" si="64"/>
        <v>0</v>
      </c>
      <c r="HB17" s="712">
        <f t="shared" si="86"/>
        <v>0</v>
      </c>
      <c r="HC17" s="712"/>
    </row>
    <row r="18" spans="1:211">
      <c r="A18" s="773" t="s">
        <v>5</v>
      </c>
      <c r="B18" s="708">
        <v>40547</v>
      </c>
      <c r="C18" s="709">
        <v>0.5</v>
      </c>
      <c r="D18" s="675">
        <f t="shared" si="65"/>
        <v>300</v>
      </c>
      <c r="E18" s="675">
        <f t="shared" si="66"/>
        <v>250</v>
      </c>
      <c r="F18" s="710">
        <v>250</v>
      </c>
      <c r="G18" s="712">
        <f>DH18+Sheet1!CV18</f>
        <v>701.11386787691015</v>
      </c>
      <c r="H18" s="712">
        <f t="shared" ref="H18:H26" si="97">MAX((G18-113-D18)*CFStoMGD,0)</f>
        <v>186.2368041956347</v>
      </c>
      <c r="I18" s="711">
        <f>MAX(Sheet1!Z18-AJ18+(Sheet1!CW18-E18)*CFStoMGD,0)</f>
        <v>615.20036022699219</v>
      </c>
      <c r="J18" s="720">
        <f>IF(AND(B18&gt;=Calculation!FS18,B18&lt;=Calculation!FT18),IF(Sheet1!CX18&gt;=Calculation!D18,64.64,0),MAX(Sheet1!Z18-AJ18+(Sheet1!CX18-D18)*CFStoMGD,0))</f>
        <v>261.9225602269924</v>
      </c>
      <c r="K18" s="697">
        <f t="shared" si="67"/>
        <v>64.64</v>
      </c>
      <c r="L18" s="712">
        <f>Sheet1!AA18+Sheet1!AB18-Sheet1!L18+(Sheet1!CW18-F18)*CFStoMGD</f>
        <v>667.78666666667527</v>
      </c>
      <c r="M18" s="712">
        <f t="shared" ref="M18:M26" si="98">1.02*CFStoMGD*G18</f>
        <v>462.26400427954741</v>
      </c>
      <c r="N18" s="712">
        <f>IF(Sheet1!CW18&gt;=F18,MIN(73,MIN(MAX(L18,0),MAX(M18,0))),0)</f>
        <v>73</v>
      </c>
      <c r="O18" s="721">
        <f>Sheet1!AA18+Sheet1!AB18</f>
        <v>56.400000000008731</v>
      </c>
      <c r="P18" s="721">
        <f t="shared" ref="P18:P26" si="99">U18+V18</f>
        <v>87.250800000013498</v>
      </c>
      <c r="Q18" s="712">
        <f>MIN(N18,Sheet1!AA18+AG18)</f>
        <v>47.886306439683047</v>
      </c>
      <c r="R18" s="712">
        <f t="shared" ref="R18:R26" si="100">IF(AND(B18&gt;=FV18,B18&lt;=FX18),MAX(DR18,DV18),DR18)</f>
        <v>8.5136935603256845</v>
      </c>
      <c r="S18" s="721">
        <f>Sheet1!Y18*MGDtoCFS</f>
        <v>47.044269999999997</v>
      </c>
      <c r="T18" s="721">
        <f>Sheet1!Z18*MGDtoCFS</f>
        <v>34.498100000000001</v>
      </c>
      <c r="U18" s="721">
        <f>Sheet1!AA18*MGDtoCFS</f>
        <v>45.481800000013507</v>
      </c>
      <c r="V18" s="721">
        <f>Sheet1!AB18*MGDtoCFS</f>
        <v>41.768999999999998</v>
      </c>
      <c r="W18" s="721">
        <f>Sheet1!L18*MGDtoCFS</f>
        <v>0</v>
      </c>
      <c r="X18" s="697">
        <f t="shared" si="68"/>
        <v>0</v>
      </c>
      <c r="Y18" s="712">
        <f t="shared" si="4"/>
        <v>0</v>
      </c>
      <c r="Z18" s="712">
        <f t="shared" ref="Z18:Z26" si="101">IF(B18&gt;=FS18,IF(B18&lt;=FT18,K18-DR18,0),0)</f>
        <v>0</v>
      </c>
      <c r="AA18" s="712">
        <f t="shared" si="6"/>
        <v>0</v>
      </c>
      <c r="AB18" s="712">
        <f>(VLOOKUP(Sheet1!CY18,hhdcap_wcm,4)-(((VLOOKUP(Sheet1!CY18,hhdcap_wcm,3)-Sheet1!CY18)/(VLOOKUP(Sheet1!CY18,hhdcap_wcm,3)-VLOOKUP(Sheet1!CY18,hhdcap_wcm,1)))*(VLOOKUP(Sheet1!CY18,hhdcap_wcm,4)-VLOOKUP(Sheet1!CY18,hhdcap_wcm,2))))</f>
        <v>1877.5800000026629</v>
      </c>
      <c r="AC18" s="712">
        <f t="shared" ref="AC18:AC26" si="102">AB18-AB17</f>
        <v>-24.760000000087302</v>
      </c>
      <c r="AD18" s="712">
        <f t="shared" si="70"/>
        <v>0</v>
      </c>
      <c r="AE18" s="712">
        <f t="shared" si="7"/>
        <v>0</v>
      </c>
      <c r="AF18" s="712">
        <f>Sheet1!BA18+Sheet1!BB18+Sheet1!BN18+BT18</f>
        <v>18.5</v>
      </c>
      <c r="AG18" s="712">
        <f t="shared" ref="AG18:AG26" si="103">AF18+(DE18*AF18)</f>
        <v>18.486306439674316</v>
      </c>
      <c r="AH18" s="712">
        <f>Sheet1!BA18+BT18</f>
        <v>0</v>
      </c>
      <c r="AI18" s="712">
        <f>Sheet1!BA18+Sheet1!BB18+BT18</f>
        <v>0</v>
      </c>
      <c r="AJ18" s="712">
        <f>IF((Sheet1!AA18+AG18+AX18+AZ18+BQ18+BS18+CL18+CN18)&lt;=N18,AG18+AX18+AZ18+BQ18+BS18+CL18+CN18,N18-Sheet1!AA18)</f>
        <v>18.486306439674316</v>
      </c>
      <c r="AK18" s="712">
        <f>IF(DR18&lt;K18,0,MAX(Sheet1!AA18+AG18-15/36*K18-N18,Sheet1!ED18,0))</f>
        <v>0</v>
      </c>
      <c r="AL18" s="712">
        <f>IF(OR(B18&gt;=FT18,B18&lt;FS18),0,15/36*K18-MAX(0,64.6-(137.6-(Sheet1!AA18+Sheet1!AB18))))</f>
        <v>0</v>
      </c>
      <c r="AM18" s="712">
        <f>Sheet1!CX18-110</f>
        <v>589.30208333333337</v>
      </c>
      <c r="AN18" s="712">
        <f>Sheet1!CW18-265</f>
        <v>930.83333333333326</v>
      </c>
      <c r="AO18" s="712">
        <f t="shared" si="71"/>
        <v>25.113693560316953</v>
      </c>
      <c r="AP18" s="712">
        <f t="shared" si="72"/>
        <v>0</v>
      </c>
      <c r="AQ18" s="712">
        <f t="shared" si="10"/>
        <v>0</v>
      </c>
      <c r="AR18" s="712">
        <f t="shared" ref="AR18:AR26" si="104">GE18+GG18</f>
        <v>0</v>
      </c>
      <c r="AS18" s="712"/>
      <c r="AT18" s="712">
        <f ca="1">IF(B18&gt;Summary!$A$1,#N/A,AR18*MGtoAF)</f>
        <v>0</v>
      </c>
      <c r="AU18" s="712">
        <f>Sheet1!BG18+Sheet1!BH18+Sheet1!BI18-BC18</f>
        <v>0</v>
      </c>
      <c r="AV18" s="712">
        <f t="shared" ref="AV18:AV26" si="105">AU18+(DE18*AU18)</f>
        <v>0</v>
      </c>
      <c r="AW18" s="712">
        <f>IF(Sheet1!EL18="FM",BC18,0)</f>
        <v>0</v>
      </c>
      <c r="AX18" s="712">
        <f t="shared" ref="AX18:AX26" si="106">AW18+(DE18*AW18)</f>
        <v>0</v>
      </c>
      <c r="AY18" s="712">
        <f>IF(Sheet1!EL18="OTHER",BC18,0)</f>
        <v>0</v>
      </c>
      <c r="AZ18" s="712">
        <f t="shared" ref="AZ18:AZ26" si="107">AY18+(DE18*AY18)</f>
        <v>0</v>
      </c>
      <c r="BA18" s="712">
        <f t="shared" ref="BA18:BA26" si="108">MAX(AU18,AW18,AY18)</f>
        <v>0</v>
      </c>
      <c r="BB18" s="712">
        <f t="shared" ref="BB18:BB26" si="109">MAX(AV18,AX18,AZ18)</f>
        <v>0</v>
      </c>
      <c r="BC18" s="712">
        <f>IF(OR(Sheet1!EL18="FM", Sheet1!EL18="OTHER"),SUM(Sheet1!BG18:'Sheet1'!BI18),0)</f>
        <v>0</v>
      </c>
      <c r="BD18" s="697">
        <f>IF(AND($B18&gt;=$FL18,$B18&lt;=$FM18),MAX(AV18,Sheet1!EE18,0),MAX(AV18-(7/36)*$K18,0))</f>
        <v>0</v>
      </c>
      <c r="BE18" s="712">
        <f t="shared" ref="BE18:BE26" si="110">IF(B18&gt;=FS18,IF(B18&lt;=FT18,(7/36)*K18-AV18,0),0)</f>
        <v>0</v>
      </c>
      <c r="BF18" s="697">
        <f t="shared" si="73"/>
        <v>0</v>
      </c>
      <c r="BG18" s="697">
        <f>IF(AND($O18&gt;0,Sheet1!EI18=1),(1-($O18-Sheet1!$L18)/$O18)*BB18,0)</f>
        <v>0</v>
      </c>
      <c r="BH18" s="697">
        <f>IF(AND(Sheet1!$L18=0,Sheet1!$L17=0, Calculation!BA18&lt;Sheet1!$EE18-0.1,Sheet1!$EE18=Sheet1!$EE17,Sheet1!$EE18=Sheet1!$EE19),Sheet1!$EE18,BB18-BG18)</f>
        <v>1</v>
      </c>
      <c r="BI18" s="712"/>
      <c r="BJ18" s="712"/>
      <c r="BK18" s="712">
        <f t="shared" ref="BK18:BK26" si="111">GL18+GN18</f>
        <v>0</v>
      </c>
      <c r="BL18" s="712"/>
      <c r="BM18" s="712">
        <f ca="1">IF(B18&gt;Summary!$A$1,#N/A,BK18*MGtoAF)</f>
        <v>0</v>
      </c>
      <c r="BN18" s="712">
        <f>Sheet1!BC18+Sheet1!BD18+Sheet1!BE18+Sheet1!BF18-BW18-BX18</f>
        <v>2.52</v>
      </c>
      <c r="BO18" s="712">
        <f t="shared" ref="BO18:BO26" si="112">BN18+(DE18*BN18)</f>
        <v>2.5181347150259068</v>
      </c>
      <c r="BP18" s="712">
        <f>IF(Sheet1!EM18="FM",BX18,0)</f>
        <v>0</v>
      </c>
      <c r="BQ18" s="712">
        <f t="shared" ref="BQ18:BQ26" si="113">BP18+(DE18*BP18)</f>
        <v>0</v>
      </c>
      <c r="BR18" s="712">
        <f>IF(Sheet1!EM18="OTHER",BX18,0)</f>
        <v>0</v>
      </c>
      <c r="BS18" s="712">
        <f t="shared" ref="BS18:BS26" si="114">BR18+(DE18*BR18)</f>
        <v>0</v>
      </c>
      <c r="BT18" s="712">
        <f t="shared" ref="BT18:BT26" si="115">BW18</f>
        <v>0</v>
      </c>
      <c r="BU18" s="712">
        <f t="shared" ref="BU18:BU26" si="116">MAX(BN18,BP18,BR18)</f>
        <v>2.52</v>
      </c>
      <c r="BV18" s="712">
        <f t="shared" ref="BV18:BV26" si="117">MAX(BO18,BQ18, BS18)</f>
        <v>2.5181347150259068</v>
      </c>
      <c r="BW18" s="712">
        <f>IF(Sheet1!EM18="CWA",SUM(Sheet1!BC18:'Sheet1'!BF18),0)</f>
        <v>0</v>
      </c>
      <c r="BX18" s="712">
        <f>IF(OR(Sheet1!EM18="FM", Sheet1!EM18="OTHER"),SUM(Sheet1!BC18:'Sheet1'!BF18),0)</f>
        <v>0</v>
      </c>
      <c r="BY18" s="697">
        <f>IF(AND($B18&gt;=$FL18,$B18&lt;=$FM18),MAX(BV18,Sheet1!EF18,0),MAX(BV18-(7/36)*$K18,0))</f>
        <v>0</v>
      </c>
      <c r="BZ18" s="712">
        <f t="shared" ref="BZ18:BZ26" si="118">IF(B18&gt;=FS18,IF(B18&lt;=FT18,(7/36)*K18-BO18,0),0)</f>
        <v>0</v>
      </c>
      <c r="CA18" s="697">
        <f t="shared" si="74"/>
        <v>2.5181347150259068</v>
      </c>
      <c r="CB18" s="697">
        <f>IF(AND($O18&gt;0,Sheet1!EJ18=1),(1-($O18-Sheet1!$L18)/$O18)*BV18,0)</f>
        <v>0</v>
      </c>
      <c r="CC18" s="697">
        <f>IF(AND(Sheet1!$L18=0,Sheet1!$L17=0, Calculation!BU18&lt;Sheet1!EF18-0.1,Sheet1!EF18=Sheet1!EF17,Sheet1!EF18=Sheet1!EF19),Sheet1!EF18,BV18-CB18)</f>
        <v>2.5181347150259068</v>
      </c>
      <c r="CD18" s="697"/>
      <c r="CE18" s="712"/>
      <c r="CF18" s="712">
        <f t="shared" ref="CF18:CF26" si="119">GS18+GU18</f>
        <v>0</v>
      </c>
      <c r="CG18" s="712"/>
      <c r="CH18" s="712">
        <f ca="1">IF(B18&gt;Summary!$A$1,#N/A,CF18*MGtoAF)</f>
        <v>0</v>
      </c>
      <c r="CI18" s="712">
        <f>Sheet1!BK18+Sheet1!BL18+Sheet1!BM18-Sheet1!EN18-CQ18</f>
        <v>6</v>
      </c>
      <c r="CJ18" s="712">
        <f t="shared" ref="CJ18:CJ26" si="120">CI18+(DE18*CI18)</f>
        <v>5.9955588452997777</v>
      </c>
      <c r="CK18" s="712">
        <f>IF(Sheet1!EN18="FM",CQ18,0)</f>
        <v>0</v>
      </c>
      <c r="CL18" s="712">
        <f t="shared" ref="CL18:CL26" si="121">CK18+(DE18*CK18)</f>
        <v>0</v>
      </c>
      <c r="CM18" s="712">
        <f>IF(Sheet1!EN18="OTHER",CQ18,0)</f>
        <v>0</v>
      </c>
      <c r="CN18" s="712">
        <f t="shared" ref="CN18:CN26" si="122">CM18+(DE18*CM18)</f>
        <v>0</v>
      </c>
      <c r="CO18" s="712">
        <f t="shared" ref="CO18:CO26" si="123">MAX(CI18,CK18)</f>
        <v>6</v>
      </c>
      <c r="CP18" s="712">
        <f t="shared" ref="CP18:CP26" si="124">MAX(CJ18,CL18)</f>
        <v>5.9955588452997777</v>
      </c>
      <c r="CQ18" s="712">
        <f>IF(OR(Sheet1!EN18="FM", Sheet1!EN18="OTHER"),SUM(Sheet1!BK18:'Sheet1'!BM18),0)</f>
        <v>0</v>
      </c>
      <c r="CR18" s="697">
        <f>IF(AND($B18&gt;=$FL18,$B18&lt;=$FM18),MAX($CJ18,Sheet1!EG18,0),MAX($CJ18-(7/36)*$K18,0))</f>
        <v>0</v>
      </c>
      <c r="CS18" s="712">
        <f t="shared" ref="CS18:CS26" si="125">IF(B18&gt;=FS18,IF(B18&lt;=FT18,(7/36)*K18-CJ18,0),0)</f>
        <v>0</v>
      </c>
      <c r="CT18" s="697">
        <f t="shared" si="75"/>
        <v>5.9955588452997777</v>
      </c>
      <c r="CU18" s="697">
        <f>IF(AND($O18&gt;0,Sheet1!EK18=1),(1-($O18-Sheet1!$L18)/$O18)*CP18,0)</f>
        <v>0</v>
      </c>
      <c r="CV18" s="697">
        <f>IF(AND(Sheet1!$L18=0,Sheet1!$L17=0, Calculation!CO18&lt;Sheet1!$EG18-0.1,Sheet1!$EG18=Sheet1!$EG17,Sheet1!$EG18=Sheet1!$EG19),Sheet1!$EG18,CP18-CU18)</f>
        <v>5.9955588452997777</v>
      </c>
      <c r="CW18" s="697">
        <f t="shared" si="33"/>
        <v>0</v>
      </c>
      <c r="CX18" s="712">
        <f t="shared" si="87"/>
        <v>8.52</v>
      </c>
      <c r="CY18" s="712">
        <f t="shared" ref="CY18:CY26" si="126">GZ18+HB18</f>
        <v>0</v>
      </c>
      <c r="CZ18" s="712">
        <f t="shared" ref="CZ18:CZ26" si="127">BB18+BV18+CP18</f>
        <v>8.5136935603256845</v>
      </c>
      <c r="DA18" s="712">
        <f ca="1">IF(B18&gt;Summary!$A$1,#N/A,CY18*MGtoAF)</f>
        <v>0</v>
      </c>
      <c r="DB18" s="712">
        <f t="shared" ref="DB18:DB26" si="128">CO18+BU18+BA18</f>
        <v>8.52</v>
      </c>
      <c r="DC18" s="712">
        <f t="shared" ref="DC18:DC26" si="129">DB18+AF18</f>
        <v>27.02</v>
      </c>
      <c r="DD18" s="712">
        <f>Sheet1!AB18-DC18</f>
        <v>-1.9999999999999574E-2</v>
      </c>
      <c r="DE18" s="712">
        <f t="shared" ref="DE18:DE26" si="130">IF(DC18=0,0,DD18/DC18)</f>
        <v>-7.4019245003699387E-4</v>
      </c>
      <c r="DF18" s="712">
        <f>(VLOOKUP(Sheet1!CY18,hhdcap_wcm,4)-(((VLOOKUP(Sheet1!CY18,hhdcap_wcm,3)-Sheet1!CY18)/(VLOOKUP(Sheet1!CY18,hhdcap_wcm,3)-VLOOKUP(Sheet1!CY18,hhdcap_wcm,1)))*(VLOOKUP(Sheet1!CY18,hhdcap_wcm,4)-VLOOKUP(Sheet1!CY18,hhdcap_wcm,2))))</f>
        <v>1877.5800000026629</v>
      </c>
      <c r="DG18" s="712">
        <f t="shared" ref="DG18:DG26" si="131">DF18-DF17</f>
        <v>-24.760000000087302</v>
      </c>
      <c r="DH18" s="712">
        <f t="shared" si="39"/>
        <v>-12.486132123089913</v>
      </c>
      <c r="DI18" s="712">
        <f>Sheet1!DW18*AFtoMG</f>
        <v>0</v>
      </c>
      <c r="DJ18" s="712">
        <f>Sheet1!DX18*AFtoMG</f>
        <v>0</v>
      </c>
      <c r="DK18" s="712">
        <f>Sheet1!DY18*AFtoMG</f>
        <v>0</v>
      </c>
      <c r="DL18" s="712">
        <f>Sheet1!DZ18*AFtoMG</f>
        <v>0</v>
      </c>
      <c r="DM18" s="712">
        <f t="shared" ref="DM18:DM26" si="132">SUM(DI18:DL18)</f>
        <v>0</v>
      </c>
      <c r="DN18" s="712">
        <f t="shared" si="41"/>
        <v>0</v>
      </c>
      <c r="DO18" s="712">
        <f t="shared" ref="DO18:DO26" si="133">AD18</f>
        <v>0</v>
      </c>
      <c r="DP18" s="712">
        <f t="shared" si="43"/>
        <v>0</v>
      </c>
      <c r="DQ18" s="712"/>
      <c r="DR18" s="697">
        <f>IF(OR(B18&lt;FL18,B18&gt;FM18),(MIN(AV18+BO18+CJ18+MAX(Sheet1!AA18+AG18-73,0),K18)),0)</f>
        <v>8.5136935603256845</v>
      </c>
      <c r="DS18" s="712"/>
      <c r="DT18" s="712">
        <f t="shared" ref="DT18:DT26" si="134">CJ18+AV18+BO18</f>
        <v>8.5136935603256845</v>
      </c>
      <c r="DU18" s="712"/>
      <c r="DV18" s="712">
        <f>Sheet1!ED18+Sheet1!EE18+Sheet1!EF18+Sheet1!EG18</f>
        <v>9.5</v>
      </c>
      <c r="DW18" s="712"/>
      <c r="DX18" s="697">
        <f t="shared" si="77"/>
        <v>0</v>
      </c>
      <c r="DY18" s="712">
        <f>IF(Sheet1!FN18=1,SUM('Calculations II'!AT18:BA18)+'Calculations II'!BC18+Sheet1!BU18+'Calculations II'!BE18+AF18,SUM('Calculations II'!AT18:BA18)+'Calculations II'!BC18+Sheet1!BU18+'Calculations II'!BE18+AF18)</f>
        <v>46.667856</v>
      </c>
      <c r="DZ18" s="712">
        <f>Sheet1!AA18+Sheet1!AB18+'Calculations II'!BC18</f>
        <v>56.400000000008731</v>
      </c>
      <c r="EA18" s="712"/>
      <c r="EB18" s="712"/>
      <c r="EC18" s="712">
        <f t="shared" ref="EC18:EC26" si="135">B18</f>
        <v>40547</v>
      </c>
      <c r="ED18" s="712">
        <f t="shared" ref="ED18:ED26" si="136">Z18-X18</f>
        <v>0</v>
      </c>
      <c r="EE18" s="712">
        <f t="shared" ref="EE18:EE26" si="137">AA18-Y18</f>
        <v>0</v>
      </c>
      <c r="EF18" s="712">
        <f>-(VLOOKUP(Sheet1!BQ18,Lookup!$B$4:$J$236,2)-VLOOKUP(Sheet1!BQ17,Lookup!$B$4:$J$236,2))/1000000</f>
        <v>-0.79790000000000005</v>
      </c>
      <c r="EG18" s="712">
        <f>-(VLOOKUP(Sheet1!BR18,Lookup!$B$4:$J$236,3)-VLOOKUP(Sheet1!BR17,Lookup!$B$4:$J$236,3))/1000000</f>
        <v>-0.52980000000000005</v>
      </c>
      <c r="EH18" s="712">
        <f>-(VLOOKUP(Sheet1!BS18,Lookup!$B$4:$J$236,4)-VLOOKUP(Sheet1!BS17,Lookup!$B$4:$J$236,4))/1000000</f>
        <v>0</v>
      </c>
      <c r="EI18" s="697">
        <f t="shared" si="88"/>
        <v>-1.3277000000000001</v>
      </c>
      <c r="EJ18" s="712"/>
      <c r="EK18" s="712"/>
      <c r="EL18" s="712"/>
      <c r="EM18" s="712"/>
      <c r="EN18" s="712"/>
      <c r="EO18" s="712"/>
      <c r="EP18" s="712"/>
      <c r="EQ18" s="712"/>
      <c r="ER18" s="697">
        <v>0</v>
      </c>
      <c r="ES18" s="712"/>
      <c r="ET18" s="794" t="e">
        <f t="shared" ref="ET18:ET26" si="138">VLOOKUP(EZ17,hhdelev_wcm,4) -(((VLOOKUP(EZ17,hhdelev_wcm,3)-EZ17)/(VLOOKUP(EZ17,hhdelev_wcm,3)-VLOOKUP(EZ17,hhdelev_wcm,1)))*(VLOOKUP(EZ17,hhdelev_wcm,4)-VLOOKUP(EZ17,hhdelev_wcm,2)))</f>
        <v>#N/A</v>
      </c>
      <c r="EU18" s="794" t="e">
        <f t="shared" si="79"/>
        <v>#VALUE!</v>
      </c>
      <c r="EV18" s="795" t="e">
        <f t="shared" si="48"/>
        <v>#VALUE!</v>
      </c>
      <c r="EW18" s="796" t="s">
        <v>757</v>
      </c>
      <c r="EX18" s="796" t="s">
        <v>757</v>
      </c>
      <c r="EY18" s="794">
        <v>0</v>
      </c>
      <c r="EZ18" s="794" t="e">
        <v>#N/A</v>
      </c>
      <c r="FA18" s="712"/>
      <c r="FB18" s="712"/>
      <c r="FC18" s="712"/>
      <c r="FD18" s="712"/>
      <c r="FE18" s="712">
        <f>O18+Sheet1!CO18</f>
        <v>56.400000000008731</v>
      </c>
      <c r="FF18" s="712">
        <f>IF(Sheet1!AA18+AG18&lt;=Calculation!N18,AG18,Calculation!N18-Sheet1!AA18)</f>
        <v>18.486306439674316</v>
      </c>
      <c r="FG18" s="712">
        <f>(Sheet1!BP18+Sheet1!BO18)/694.4</f>
        <v>1.8006912442396312</v>
      </c>
      <c r="FH18" s="712"/>
      <c r="FI18" s="712"/>
      <c r="FJ18" s="712"/>
      <c r="FK18" s="712"/>
      <c r="FL18" s="714">
        <f t="shared" si="89"/>
        <v>40753</v>
      </c>
      <c r="FM18" s="714">
        <f t="shared" si="90"/>
        <v>40851</v>
      </c>
      <c r="FN18" s="712"/>
      <c r="FO18" s="712"/>
      <c r="FP18" s="712"/>
      <c r="FQ18" s="712"/>
      <c r="FR18" s="712"/>
      <c r="FS18" s="725">
        <f t="shared" si="91"/>
        <v>40603</v>
      </c>
      <c r="FT18" s="714">
        <f t="shared" si="92"/>
        <v>40709</v>
      </c>
      <c r="FU18" s="712">
        <f t="shared" si="93"/>
        <v>6518.9048239895692</v>
      </c>
      <c r="FV18" s="714">
        <f t="shared" si="94"/>
        <v>40722</v>
      </c>
      <c r="FW18" s="712">
        <f t="shared" si="95"/>
        <v>3259.4524119947846</v>
      </c>
      <c r="FX18" s="725">
        <f t="shared" si="96"/>
        <v>40851</v>
      </c>
      <c r="FZ18" s="697">
        <f t="shared" si="49"/>
        <v>0</v>
      </c>
      <c r="GA18" s="712" t="str">
        <f t="shared" ref="GA18:GA26" si="139">CONCATENATE(GC18,GQ18,GJ18,GX18)</f>
        <v/>
      </c>
      <c r="GB18" s="712">
        <f t="shared" ref="GB18:GB26" si="140">IF(GF18&gt;=8333.33,AL18,0)</f>
        <v>0</v>
      </c>
      <c r="GC18" s="712" t="str">
        <f t="shared" ref="GC18:GC26" si="141">IF(AND(GF18&lt;8333.33,FZ18&gt;0),"T","")</f>
        <v/>
      </c>
      <c r="GD18" s="712">
        <f>IF(GA18="P",Lookup!$M$12,IF(GA18="PP",Lookup!$M$13,IF(GA18="PPP",Lookup!$M$14,IF(GA18="T",Lookup!$M$15,IF(GA18="TP",Lookup!$M$16,IF(GA18="TPP",Lookup!$M$17,IF(GA18="TPPP",Lookup!$M$18,0)))))))*FZ18</f>
        <v>0</v>
      </c>
      <c r="GE18" s="712">
        <f t="shared" ref="GE18:GE26" si="142">IF(GC18="T",GD18,0)</f>
        <v>0</v>
      </c>
      <c r="GF18" s="712">
        <f t="shared" ref="GF18:GF26" si="143">GG18*MGtoAF</f>
        <v>0</v>
      </c>
      <c r="GG18" s="712">
        <f t="shared" ref="GG18:GG26" si="144">(IF(AND(B18&lt;FV18,B18&gt;=FS18),MIN(AR17+AL18-AK18,15/36*FU18),IF(B18=FV18,15/36*FW18,IF(AND(B18&gt;FV18,B18&lt;FX18),MIN(AR17+AL18-AK18,15/36*FW18),IF(B18&gt;=FX18,0,0)))))+DI18</f>
        <v>0</v>
      </c>
      <c r="GH18" s="712"/>
      <c r="GI18" s="712">
        <f t="shared" ref="GI18:GI26" si="145">IF(GM18&gt;=3888.88,BE18,0)</f>
        <v>0</v>
      </c>
      <c r="GJ18" s="712" t="str">
        <f t="shared" ref="GJ18:GJ26" si="146">IF(AND(GM18&lt;3888.88,FZ18&gt;0),"P","")</f>
        <v/>
      </c>
      <c r="GK18" s="712">
        <f>IF(GA18="P",Lookup!$N$12,IF(GA18="PP",Lookup!$N$13,IF(GA18="PPP",Lookup!$N$14,IF(GA18="T",Lookup!$N$15,IF(GA18="TP",Lookup!$N$16,IF(GA18="TPP",Lookup!$N$17,IF(GA18="TPPP",Lookup!$N$18,0)))))))*FZ18</f>
        <v>0</v>
      </c>
      <c r="GL18" s="712">
        <f t="shared" ref="GL18:GL26" si="147">IF(GJ18="P",GK18,0)</f>
        <v>0</v>
      </c>
      <c r="GM18" s="712">
        <f t="shared" ref="GM18:GM26" si="148">GN18*MGtoAF</f>
        <v>0</v>
      </c>
      <c r="GN18" s="712">
        <f t="shared" ref="GN18:GN26" si="149">(IF(AND(B18&lt;FV18,B18&gt;=FS18),MIN(BK17+BE18-BD18,7/36*FU18),IF(B18=FV18,7/36*FW18,IF(AND(B18&gt;FV18,B18&lt;FX18),MIN(BK17+BE18-BD18,7/36*FW18),IF(B18&gt;=FX18,0,0)))))+DJ18</f>
        <v>0</v>
      </c>
      <c r="GO18" s="712"/>
      <c r="GP18" s="712">
        <f t="shared" ref="GP18:GP26" si="150">IF(GT18&gt;=8333.33,BZ18,0)</f>
        <v>0</v>
      </c>
      <c r="GQ18" s="712" t="str">
        <f t="shared" ref="GQ18:GQ26" si="151">IF(AND(GT18&lt;3888.88,FZ18&gt;0),"P","")</f>
        <v/>
      </c>
      <c r="GR18" s="712">
        <f>IF(GA18="P",Lookup!$N$12,IF(GA18="PP",Lookup!$N$13,IF(GA18="PPP",Lookup!$N$14,IF(GA18="T",Lookup!$N$15,IF(GA18="TP",Lookup!$N$16,IF(GA18="TPP",Lookup!$N$17,IF(GA18="TPPP",Lookup!$N$18,0)))))))*FZ18</f>
        <v>0</v>
      </c>
      <c r="GS18" s="697">
        <f t="shared" si="83"/>
        <v>0</v>
      </c>
      <c r="GT18" s="712">
        <f t="shared" ref="GT18:GT26" si="152">GU18*MGtoAF</f>
        <v>0</v>
      </c>
      <c r="GU18" s="712">
        <f t="shared" ref="GU18:GU26" si="153">IF(AND(B18&lt;FV18,B18&gt;=FS18),MIN(CF17+BZ18-BY18,7/36*FU18),IF(B18=FV18,7/36*FW18,IF(AND(B18&gt;FV18,B18&lt;FX18),MIN(CF17+BZ18-BY18,7/36*FW18),IF(B18&gt;=FX18,0,0))))+DK18</f>
        <v>0</v>
      </c>
      <c r="GV18" s="712"/>
      <c r="GW18" s="712">
        <f t="shared" ref="GW18:GW26" si="154">IF(HA18&gt;=3888.88,CS18,0)</f>
        <v>0</v>
      </c>
      <c r="GX18" s="712" t="str">
        <f t="shared" ref="GX18:GX26" si="155">IF(AND(HA18&lt;3888.88,FZ18&gt;0),"P","")</f>
        <v/>
      </c>
      <c r="GY18" s="712">
        <f>IF(GA18="P",Lookup!$N$12,IF(GA18="PP",Lookup!$N$13,IF(GA18="PPP",Lookup!$N$14,IF(GA18="T",Lookup!$N$15,IF(GA18="TP",Lookup!$N$16,IF(GA18="TPP",Lookup!$N$17,IF(GA18="TPPP",Lookup!$N$18,0)))))))*FZ18</f>
        <v>0</v>
      </c>
      <c r="GZ18" s="697">
        <f t="shared" si="85"/>
        <v>0</v>
      </c>
      <c r="HA18" s="712">
        <f t="shared" ref="HA18:HA26" si="156">HB18*MGtoAF</f>
        <v>0</v>
      </c>
      <c r="HB18" s="712">
        <f t="shared" ref="HB18:HB26" si="157">(IF(AND(B18&lt;FV18,B18&gt;=FS18),MIN(CY17+CS18-CR18,7/36*FU18),IF(B18=FV18,7/36*FW18,IF(AND(B18&gt;FV18,B18&lt;FX18),MIN(CY17+CS18-CR18,7/36*FW18),IF(B18&gt;=FX18,0,0)))))+DL18</f>
        <v>0</v>
      </c>
      <c r="HC18" s="712"/>
    </row>
    <row r="19" spans="1:211">
      <c r="A19" s="773" t="s">
        <v>6</v>
      </c>
      <c r="B19" s="708">
        <v>40548</v>
      </c>
      <c r="C19" s="719">
        <v>0.5</v>
      </c>
      <c r="D19" s="675">
        <f t="shared" si="65"/>
        <v>300</v>
      </c>
      <c r="E19" s="675">
        <f t="shared" si="66"/>
        <v>250</v>
      </c>
      <c r="F19" s="675">
        <v>250</v>
      </c>
      <c r="G19" s="712">
        <f>DH19+Sheet1!CV19</f>
        <v>712.34972264244698</v>
      </c>
      <c r="H19" s="712">
        <f t="shared" si="97"/>
        <v>193.49966071607773</v>
      </c>
      <c r="I19" s="711">
        <f>MAX(Sheet1!Z19-AJ19+(Sheet1!CW19-E19)*CFStoMGD,0)</f>
        <v>610.32117140661035</v>
      </c>
      <c r="J19" s="720">
        <f>IF(AND(B19&gt;=Calculation!FS19,B19&lt;=Calculation!FT19),IF(Sheet1!CX19&gt;=Calculation!D19,64.64,0),MAX(Sheet1!Z19-AJ19+(Sheet1!CX19-D19)*CFStoMGD,0))</f>
        <v>278.18603807327702</v>
      </c>
      <c r="K19" s="697">
        <f t="shared" si="67"/>
        <v>64.64</v>
      </c>
      <c r="L19" s="712">
        <f>Sheet1!AA19+Sheet1!AB19-Sheet1!L19+(Sheet1!CW19-F19)*CFStoMGD</f>
        <v>659.9639999999913</v>
      </c>
      <c r="M19" s="712">
        <f t="shared" si="98"/>
        <v>469.67211793039928</v>
      </c>
      <c r="N19" s="712">
        <f>IF(Sheet1!CW19&gt;=F19,MIN(73,MIN(MAX(L19,0),MAX(M19,0))),0)</f>
        <v>73</v>
      </c>
      <c r="O19" s="721">
        <f>Sheet1!AA19+Sheet1!AB19</f>
        <v>57.599999999991269</v>
      </c>
      <c r="P19" s="721">
        <f t="shared" si="99"/>
        <v>89.107199999986491</v>
      </c>
      <c r="Q19" s="712">
        <f>MIN(N19,Sheet1!AA19+AG19)</f>
        <v>48.92282859338097</v>
      </c>
      <c r="R19" s="712">
        <f t="shared" si="100"/>
        <v>8.6771714066103005</v>
      </c>
      <c r="S19" s="721">
        <f>Sheet1!Y19*MGDtoCFS</f>
        <v>46.270769999999999</v>
      </c>
      <c r="T19" s="721">
        <f>Sheet1!Z19*MGDtoCFS</f>
        <v>39.881659999999997</v>
      </c>
      <c r="U19" s="721">
        <f>Sheet1!AA19*MGDtoCFS</f>
        <v>48.111699999986492</v>
      </c>
      <c r="V19" s="721">
        <f>Sheet1!AB19*MGDtoCFS</f>
        <v>40.9955</v>
      </c>
      <c r="W19" s="721">
        <f>Sheet1!L19*MGDtoCFS</f>
        <v>0</v>
      </c>
      <c r="X19" s="697">
        <f t="shared" si="68"/>
        <v>0</v>
      </c>
      <c r="Y19" s="712">
        <f t="shared" si="4"/>
        <v>0</v>
      </c>
      <c r="Z19" s="712">
        <f t="shared" si="101"/>
        <v>0</v>
      </c>
      <c r="AA19" s="712">
        <f t="shared" si="6"/>
        <v>0</v>
      </c>
      <c r="AB19" s="712">
        <f>(VLOOKUP(Sheet1!CY19,hhdcap_wcm,4)-(((VLOOKUP(Sheet1!CY19,hhdcap_wcm,3)-Sheet1!CY19)/(VLOOKUP(Sheet1!CY19,hhdcap_wcm,3)-VLOOKUP(Sheet1!CY19,hhdcap_wcm,1)))*(VLOOKUP(Sheet1!CY19,hhdcap_wcm,4)-VLOOKUP(Sheet1!CY19,hhdcap_wcm,2))))</f>
        <v>1849.5200000026352</v>
      </c>
      <c r="AC19" s="712">
        <f t="shared" si="102"/>
        <v>-28.060000000027685</v>
      </c>
      <c r="AD19" s="712">
        <f t="shared" si="70"/>
        <v>0</v>
      </c>
      <c r="AE19" s="712">
        <f t="shared" si="7"/>
        <v>0</v>
      </c>
      <c r="AF19" s="712">
        <f>Sheet1!BA19+Sheet1!BB19+Sheet1!BN19+BT19</f>
        <v>17.5</v>
      </c>
      <c r="AG19" s="712">
        <f t="shared" si="103"/>
        <v>17.822828593389701</v>
      </c>
      <c r="AH19" s="712">
        <f>Sheet1!BA19+BT19</f>
        <v>0</v>
      </c>
      <c r="AI19" s="712">
        <f>Sheet1!BA19+Sheet1!BB19+BT19</f>
        <v>0</v>
      </c>
      <c r="AJ19" s="712">
        <f>IF((Sheet1!AA19+AG19+AX19+AZ19+BQ19+BS19+CL19+CN19)&lt;=N19,AG19+AX19+AZ19+BQ19+BS19+CL19+CN19,N19-Sheet1!AA19)</f>
        <v>17.822828593389701</v>
      </c>
      <c r="AK19" s="712">
        <f>IF(DR19&lt;K19,0,MAX(Sheet1!AA19+AG19-15/36*K19-N19,Sheet1!ED19,0))</f>
        <v>0</v>
      </c>
      <c r="AL19" s="712">
        <f>IF(OR(B19&gt;=FT19,B19&lt;FS19),0,15/36*K19-MAX(0,64.6-(137.6-(Sheet1!AA19+Sheet1!AB19))))</f>
        <v>0</v>
      </c>
      <c r="AM19" s="712">
        <f>Sheet1!CX19-110</f>
        <v>608.05208333333337</v>
      </c>
      <c r="AN19" s="712">
        <f>Sheet1!CW19-265</f>
        <v>916.875</v>
      </c>
      <c r="AO19" s="712">
        <f t="shared" si="71"/>
        <v>24.07717140661903</v>
      </c>
      <c r="AP19" s="712">
        <f t="shared" si="72"/>
        <v>0</v>
      </c>
      <c r="AQ19" s="712">
        <f t="shared" si="10"/>
        <v>0</v>
      </c>
      <c r="AR19" s="712">
        <f t="shared" si="104"/>
        <v>0</v>
      </c>
      <c r="AS19" s="712"/>
      <c r="AT19" s="712">
        <f ca="1">IF(B19&gt;Summary!$A$1,#N/A,AR19*MGtoAF)</f>
        <v>0</v>
      </c>
      <c r="AU19" s="712">
        <f>Sheet1!BG19+Sheet1!BH19+Sheet1!BI19-BC19</f>
        <v>0</v>
      </c>
      <c r="AV19" s="712">
        <f t="shared" si="105"/>
        <v>0</v>
      </c>
      <c r="AW19" s="712">
        <f>IF(Sheet1!EL19="FM",BC19,0)</f>
        <v>0</v>
      </c>
      <c r="AX19" s="712">
        <f t="shared" si="106"/>
        <v>0</v>
      </c>
      <c r="AY19" s="712">
        <f>IF(Sheet1!EL19="OTHER",BC19,0)</f>
        <v>0</v>
      </c>
      <c r="AZ19" s="712">
        <f t="shared" si="107"/>
        <v>0</v>
      </c>
      <c r="BA19" s="712">
        <f t="shared" si="108"/>
        <v>0</v>
      </c>
      <c r="BB19" s="712">
        <f t="shared" si="109"/>
        <v>0</v>
      </c>
      <c r="BC19" s="712">
        <f>IF(OR(Sheet1!EL19="FM", Sheet1!EL19="OTHER"),SUM(Sheet1!BG19:'Sheet1'!BI19),0)</f>
        <v>0</v>
      </c>
      <c r="BD19" s="697">
        <f>IF(AND($B19&gt;=$FL19,$B19&lt;=$FM19),MAX(AV19,Sheet1!EE19,0),MAX(AV19-(7/36)*$K19,0))</f>
        <v>0</v>
      </c>
      <c r="BE19" s="712">
        <f t="shared" si="110"/>
        <v>0</v>
      </c>
      <c r="BF19" s="697">
        <f t="shared" si="73"/>
        <v>0</v>
      </c>
      <c r="BG19" s="697">
        <f>IF(AND($O19&gt;0,Sheet1!EI19=1),(1-($O19-Sheet1!$L19)/$O19)*BB19,0)</f>
        <v>0</v>
      </c>
      <c r="BH19" s="697">
        <f>IF(AND(Sheet1!$L19=0,Sheet1!$L18=0, Calculation!BA19&lt;Sheet1!$EE19-0.1,Sheet1!$EE19=Sheet1!$EE18,Sheet1!$EE19=Sheet1!$EE20),Sheet1!$EE19,BB19-BG19)</f>
        <v>1</v>
      </c>
      <c r="BI19" s="712"/>
      <c r="BJ19" s="712"/>
      <c r="BK19" s="712">
        <f t="shared" si="111"/>
        <v>0</v>
      </c>
      <c r="BL19" s="712"/>
      <c r="BM19" s="712">
        <f ca="1">IF(B19&gt;Summary!$A$1,#N/A,BK19*MGtoAF)</f>
        <v>0</v>
      </c>
      <c r="BN19" s="712">
        <f>Sheet1!BC19+Sheet1!BD19+Sheet1!BE19+Sheet1!BF19-BW19-BX19</f>
        <v>2.52</v>
      </c>
      <c r="BO19" s="712">
        <f t="shared" si="112"/>
        <v>2.5664873174481171</v>
      </c>
      <c r="BP19" s="712">
        <f>IF(Sheet1!EM19="FM",BX19,0)</f>
        <v>0</v>
      </c>
      <c r="BQ19" s="712">
        <f t="shared" si="113"/>
        <v>0</v>
      </c>
      <c r="BR19" s="712">
        <f>IF(Sheet1!EM19="OTHER",BX19,0)</f>
        <v>0</v>
      </c>
      <c r="BS19" s="712">
        <f t="shared" si="114"/>
        <v>0</v>
      </c>
      <c r="BT19" s="712">
        <f t="shared" si="115"/>
        <v>0</v>
      </c>
      <c r="BU19" s="712">
        <f t="shared" si="116"/>
        <v>2.52</v>
      </c>
      <c r="BV19" s="712">
        <f t="shared" si="117"/>
        <v>2.5664873174481171</v>
      </c>
      <c r="BW19" s="712">
        <f>IF(Sheet1!EM19="CWA",SUM(Sheet1!BC19:'Sheet1'!BF19),0)</f>
        <v>0</v>
      </c>
      <c r="BX19" s="712">
        <f>IF(OR(Sheet1!EM19="FM", Sheet1!EM19="OTHER"),SUM(Sheet1!BC19:'Sheet1'!BF19),0)</f>
        <v>0</v>
      </c>
      <c r="BY19" s="697">
        <f>IF(AND($B19&gt;=$FL19,$B19&lt;=$FM19),MAX(BV19,Sheet1!EF19,0),MAX(BV19-(7/36)*$K19,0))</f>
        <v>0</v>
      </c>
      <c r="BZ19" s="712">
        <f t="shared" si="118"/>
        <v>0</v>
      </c>
      <c r="CA19" s="697">
        <f t="shared" si="74"/>
        <v>2.5664873174481171</v>
      </c>
      <c r="CB19" s="697">
        <f>IF(AND($O19&gt;0,Sheet1!EJ19=1),(1-($O19-Sheet1!$L19)/$O19)*BV19,0)</f>
        <v>0</v>
      </c>
      <c r="CC19" s="697">
        <f>IF(AND(Sheet1!$L19=0,Sheet1!$L18=0, Calculation!BU19&lt;Sheet1!EF19-0.1,Sheet1!EF19=Sheet1!EF18,Sheet1!EF19=Sheet1!EF20),Sheet1!EF19,BV19-CB19)</f>
        <v>2.5664873174481171</v>
      </c>
      <c r="CD19" s="697"/>
      <c r="CE19" s="712"/>
      <c r="CF19" s="712">
        <f t="shared" si="119"/>
        <v>0</v>
      </c>
      <c r="CG19" s="712"/>
      <c r="CH19" s="712">
        <f ca="1">IF(B19&gt;Summary!$A$1,#N/A,CF19*MGtoAF)</f>
        <v>0</v>
      </c>
      <c r="CI19" s="712">
        <f>Sheet1!BK19+Sheet1!BL19+Sheet1!BM19-Sheet1!EN19-CQ19</f>
        <v>6</v>
      </c>
      <c r="CJ19" s="712">
        <f t="shared" si="120"/>
        <v>6.1106840891621834</v>
      </c>
      <c r="CK19" s="712">
        <f>IF(Sheet1!EN19="FM",CQ19,0)</f>
        <v>0</v>
      </c>
      <c r="CL19" s="712">
        <f t="shared" si="121"/>
        <v>0</v>
      </c>
      <c r="CM19" s="712">
        <f>IF(Sheet1!EN19="OTHER",CQ19,0)</f>
        <v>0</v>
      </c>
      <c r="CN19" s="712">
        <f t="shared" si="122"/>
        <v>0</v>
      </c>
      <c r="CO19" s="712">
        <f t="shared" si="123"/>
        <v>6</v>
      </c>
      <c r="CP19" s="712">
        <f t="shared" si="124"/>
        <v>6.1106840891621834</v>
      </c>
      <c r="CQ19" s="712">
        <f>IF(OR(Sheet1!EN19="FM", Sheet1!EN19="OTHER"),SUM(Sheet1!BK19:'Sheet1'!BM19),0)</f>
        <v>0</v>
      </c>
      <c r="CR19" s="697">
        <f>IF(AND($B19&gt;=$FL19,$B19&lt;=$FM19),MAX($CJ19,Sheet1!EG19,0),MAX($CJ19-(7/36)*$K19,0))</f>
        <v>0</v>
      </c>
      <c r="CS19" s="712">
        <f t="shared" si="125"/>
        <v>0</v>
      </c>
      <c r="CT19" s="697">
        <f t="shared" si="75"/>
        <v>6.1106840891621834</v>
      </c>
      <c r="CU19" s="697">
        <f>IF(AND($O19&gt;0,Sheet1!EK19=1),(1-($O19-Sheet1!$L19)/$O19)*CP19,0)</f>
        <v>0</v>
      </c>
      <c r="CV19" s="697">
        <f>IF(AND(Sheet1!$L19=0,Sheet1!$L18=0, Calculation!CO19&lt;Sheet1!$EG19-0.1,Sheet1!$EG19=Sheet1!$EG18,Sheet1!$EG19=Sheet1!$EG20),Sheet1!$EG19,CP19-CU19)</f>
        <v>6.1106840891621834</v>
      </c>
      <c r="CW19" s="697">
        <f t="shared" si="33"/>
        <v>0</v>
      </c>
      <c r="CX19" s="712">
        <f t="shared" si="87"/>
        <v>8.52</v>
      </c>
      <c r="CY19" s="712">
        <f t="shared" si="126"/>
        <v>0</v>
      </c>
      <c r="CZ19" s="712">
        <f t="shared" si="127"/>
        <v>8.6771714066103005</v>
      </c>
      <c r="DA19" s="712">
        <f ca="1">IF(B19&gt;Summary!$A$1,#N/A,CY19*MGtoAF)</f>
        <v>0</v>
      </c>
      <c r="DB19" s="712">
        <f t="shared" si="128"/>
        <v>8.52</v>
      </c>
      <c r="DC19" s="712">
        <f t="shared" si="129"/>
        <v>26.02</v>
      </c>
      <c r="DD19" s="712">
        <f>Sheet1!AB19-DC19</f>
        <v>0.48000000000000043</v>
      </c>
      <c r="DE19" s="712">
        <f t="shared" si="130"/>
        <v>1.8447348193697172E-2</v>
      </c>
      <c r="DF19" s="712">
        <f>(VLOOKUP(Sheet1!CY19,hhdcap_wcm,4)-(((VLOOKUP(Sheet1!CY19,hhdcap_wcm,3)-Sheet1!CY19)/(VLOOKUP(Sheet1!CY19,hhdcap_wcm,3)-VLOOKUP(Sheet1!CY19,hhdcap_wcm,1)))*(VLOOKUP(Sheet1!CY19,hhdcap_wcm,4)-VLOOKUP(Sheet1!CY19,hhdcap_wcm,2))))</f>
        <v>1849.5200000026352</v>
      </c>
      <c r="DG19" s="712">
        <f t="shared" si="131"/>
        <v>-28.060000000027685</v>
      </c>
      <c r="DH19" s="712">
        <f t="shared" si="39"/>
        <v>-14.150277357553042</v>
      </c>
      <c r="DI19" s="712">
        <f>Sheet1!DW19*AFtoMG</f>
        <v>0</v>
      </c>
      <c r="DJ19" s="712">
        <f>Sheet1!DX19*AFtoMG</f>
        <v>0</v>
      </c>
      <c r="DK19" s="712">
        <f>Sheet1!DY19*AFtoMG</f>
        <v>0</v>
      </c>
      <c r="DL19" s="712">
        <f>Sheet1!DZ19*AFtoMG</f>
        <v>0</v>
      </c>
      <c r="DM19" s="712">
        <f t="shared" si="132"/>
        <v>0</v>
      </c>
      <c r="DN19" s="712">
        <f t="shared" si="41"/>
        <v>0</v>
      </c>
      <c r="DO19" s="712">
        <f t="shared" si="133"/>
        <v>0</v>
      </c>
      <c r="DP19" s="712">
        <f t="shared" si="43"/>
        <v>0</v>
      </c>
      <c r="DQ19" s="712"/>
      <c r="DR19" s="697">
        <f>IF(OR(B19&lt;FL19,B19&gt;FM19),(MIN(AV19+BO19+CJ19+MAX(Sheet1!AA19+AG19-73,0),K19)),0)</f>
        <v>8.6771714066103005</v>
      </c>
      <c r="DS19" s="712"/>
      <c r="DT19" s="712">
        <f t="shared" si="134"/>
        <v>8.6771714066103005</v>
      </c>
      <c r="DU19" s="712"/>
      <c r="DV19" s="712">
        <f>Sheet1!ED19+Sheet1!EE19+Sheet1!EF19+Sheet1!EG19</f>
        <v>9.5</v>
      </c>
      <c r="DW19" s="712"/>
      <c r="DX19" s="697">
        <f t="shared" si="77"/>
        <v>0</v>
      </c>
      <c r="DY19" s="712">
        <f>IF(Sheet1!FN19=1,SUM('Calculations II'!AT19:BA19)+'Calculations II'!BC19+Sheet1!BU19+'Calculations II'!BE19+AF19,SUM('Calculations II'!AT19:BA19)+'Calculations II'!BC19+Sheet1!BU19+'Calculations II'!BE19+AF19)</f>
        <v>46.588111999999995</v>
      </c>
      <c r="DZ19" s="712">
        <f>Sheet1!AA19+Sheet1!AB19+'Calculations II'!BC19</f>
        <v>57.599999999991269</v>
      </c>
      <c r="EA19" s="712"/>
      <c r="EB19" s="712"/>
      <c r="EC19" s="712">
        <f t="shared" si="135"/>
        <v>40548</v>
      </c>
      <c r="ED19" s="712">
        <f t="shared" si="136"/>
        <v>0</v>
      </c>
      <c r="EE19" s="712">
        <f t="shared" si="137"/>
        <v>0</v>
      </c>
      <c r="EF19" s="712">
        <f>-(VLOOKUP(Sheet1!BQ19,Lookup!$B$4:$J$236,2)-VLOOKUP(Sheet1!BQ18,Lookup!$B$4:$J$236,2))/1000000</f>
        <v>0.2671</v>
      </c>
      <c r="EG19" s="712">
        <f>-(VLOOKUP(Sheet1!BR19,Lookup!$B$4:$J$236,3)-VLOOKUP(Sheet1!BR18,Lookup!$B$4:$J$236,3))/1000000</f>
        <v>0.26650000000000001</v>
      </c>
      <c r="EH19" s="712">
        <f>-(VLOOKUP(Sheet1!BS19,Lookup!$B$4:$J$236,4)-VLOOKUP(Sheet1!BS18,Lookup!$B$4:$J$236,4))/1000000</f>
        <v>0</v>
      </c>
      <c r="EI19" s="697">
        <f t="shared" si="88"/>
        <v>0.53360000000000007</v>
      </c>
      <c r="EJ19" s="712"/>
      <c r="EK19" s="712"/>
      <c r="EL19" s="712"/>
      <c r="EM19" s="712"/>
      <c r="EN19" s="712"/>
      <c r="EO19" s="712"/>
      <c r="EP19" s="712"/>
      <c r="EQ19" s="712"/>
      <c r="ER19" s="697">
        <v>0</v>
      </c>
      <c r="ES19" s="712"/>
      <c r="ET19" s="794" t="e">
        <f t="shared" si="138"/>
        <v>#N/A</v>
      </c>
      <c r="EU19" s="794" t="e">
        <f t="shared" si="79"/>
        <v>#VALUE!</v>
      </c>
      <c r="EV19" s="795" t="e">
        <f t="shared" si="48"/>
        <v>#VALUE!</v>
      </c>
      <c r="EW19" s="796" t="s">
        <v>757</v>
      </c>
      <c r="EX19" s="796" t="s">
        <v>757</v>
      </c>
      <c r="EY19" s="794">
        <v>0</v>
      </c>
      <c r="EZ19" s="794" t="e">
        <v>#N/A</v>
      </c>
      <c r="FA19" s="712"/>
      <c r="FB19" s="712"/>
      <c r="FC19" s="712"/>
      <c r="FD19" s="712"/>
      <c r="FE19" s="712">
        <f>O19+Sheet1!CO19</f>
        <v>57.599999999991269</v>
      </c>
      <c r="FF19" s="712">
        <f>IF(Sheet1!AA19+AG19&lt;=Calculation!N19,AG19,Calculation!N19-Sheet1!AA19)</f>
        <v>17.822828593389701</v>
      </c>
      <c r="FG19" s="712">
        <f>(Sheet1!BP19+Sheet1!BO19)/694.4</f>
        <v>2.7305587557603688</v>
      </c>
      <c r="FH19" s="712"/>
      <c r="FI19" s="712"/>
      <c r="FJ19" s="712"/>
      <c r="FK19" s="712"/>
      <c r="FL19" s="714">
        <f t="shared" si="89"/>
        <v>40753</v>
      </c>
      <c r="FM19" s="714">
        <f t="shared" si="90"/>
        <v>40851</v>
      </c>
      <c r="FN19" s="712"/>
      <c r="FO19" s="712"/>
      <c r="FP19" s="712"/>
      <c r="FQ19" s="712"/>
      <c r="FR19" s="712"/>
      <c r="FS19" s="725">
        <f t="shared" si="91"/>
        <v>40603</v>
      </c>
      <c r="FT19" s="714">
        <f t="shared" si="92"/>
        <v>40709</v>
      </c>
      <c r="FU19" s="712">
        <f t="shared" si="93"/>
        <v>6518.9048239895692</v>
      </c>
      <c r="FV19" s="714">
        <f t="shared" si="94"/>
        <v>40722</v>
      </c>
      <c r="FW19" s="712">
        <f t="shared" si="95"/>
        <v>3259.4524119947846</v>
      </c>
      <c r="FX19" s="725">
        <f t="shared" si="96"/>
        <v>40851</v>
      </c>
      <c r="FZ19" s="697">
        <f t="shared" si="49"/>
        <v>0</v>
      </c>
      <c r="GA19" s="712" t="str">
        <f t="shared" si="139"/>
        <v/>
      </c>
      <c r="GB19" s="712">
        <f t="shared" si="140"/>
        <v>0</v>
      </c>
      <c r="GC19" s="712" t="str">
        <f t="shared" si="141"/>
        <v/>
      </c>
      <c r="GD19" s="712">
        <f>IF(GA19="P",Lookup!$M$12,IF(GA19="PP",Lookup!$M$13,IF(GA19="PPP",Lookup!$M$14,IF(GA19="T",Lookup!$M$15,IF(GA19="TP",Lookup!$M$16,IF(GA19="TPP",Lookup!$M$17,IF(GA19="TPPP",Lookup!$M$18,0)))))))*FZ19</f>
        <v>0</v>
      </c>
      <c r="GE19" s="712">
        <f t="shared" si="142"/>
        <v>0</v>
      </c>
      <c r="GF19" s="712">
        <f t="shared" si="143"/>
        <v>0</v>
      </c>
      <c r="GG19" s="712">
        <f t="shared" si="144"/>
        <v>0</v>
      </c>
      <c r="GH19" s="712"/>
      <c r="GI19" s="712">
        <f t="shared" si="145"/>
        <v>0</v>
      </c>
      <c r="GJ19" s="712" t="str">
        <f t="shared" si="146"/>
        <v/>
      </c>
      <c r="GK19" s="712">
        <f>IF(GA19="P",Lookup!$N$12,IF(GA19="PP",Lookup!$N$13,IF(GA19="PPP",Lookup!$N$14,IF(GA19="T",Lookup!$N$15,IF(GA19="TP",Lookup!$N$16,IF(GA19="TPP",Lookup!$N$17,IF(GA19="TPPP",Lookup!$N$18,0)))))))*FZ19</f>
        <v>0</v>
      </c>
      <c r="GL19" s="712">
        <f t="shared" si="147"/>
        <v>0</v>
      </c>
      <c r="GM19" s="712">
        <f t="shared" si="148"/>
        <v>0</v>
      </c>
      <c r="GN19" s="712">
        <f t="shared" si="149"/>
        <v>0</v>
      </c>
      <c r="GO19" s="712"/>
      <c r="GP19" s="712">
        <f t="shared" si="150"/>
        <v>0</v>
      </c>
      <c r="GQ19" s="712" t="str">
        <f t="shared" si="151"/>
        <v/>
      </c>
      <c r="GR19" s="712">
        <f>IF(GA19="P",Lookup!$N$12,IF(GA19="PP",Lookup!$N$13,IF(GA19="PPP",Lookup!$N$14,IF(GA19="T",Lookup!$N$15,IF(GA19="TP",Lookup!$N$16,IF(GA19="TPP",Lookup!$N$17,IF(GA19="TPPP",Lookup!$N$18,0)))))))*FZ19</f>
        <v>0</v>
      </c>
      <c r="GS19" s="697">
        <f t="shared" si="83"/>
        <v>0</v>
      </c>
      <c r="GT19" s="712">
        <f t="shared" si="152"/>
        <v>0</v>
      </c>
      <c r="GU19" s="712">
        <f t="shared" si="153"/>
        <v>0</v>
      </c>
      <c r="GV19" s="712"/>
      <c r="GW19" s="712">
        <f t="shared" si="154"/>
        <v>0</v>
      </c>
      <c r="GX19" s="712" t="str">
        <f t="shared" si="155"/>
        <v/>
      </c>
      <c r="GY19" s="712">
        <f>IF(GA19="P",Lookup!$N$12,IF(GA19="PP",Lookup!$N$13,IF(GA19="PPP",Lookup!$N$14,IF(GA19="T",Lookup!$N$15,IF(GA19="TP",Lookup!$N$16,IF(GA19="TPP",Lookup!$N$17,IF(GA19="TPPP",Lookup!$N$18,0)))))))*FZ19</f>
        <v>0</v>
      </c>
      <c r="GZ19" s="697">
        <f t="shared" si="85"/>
        <v>0</v>
      </c>
      <c r="HA19" s="712">
        <f t="shared" si="156"/>
        <v>0</v>
      </c>
      <c r="HB19" s="712">
        <f t="shared" si="157"/>
        <v>0</v>
      </c>
      <c r="HC19" s="712"/>
    </row>
    <row r="20" spans="1:211">
      <c r="A20" s="773" t="s">
        <v>7</v>
      </c>
      <c r="B20" s="708">
        <v>40549</v>
      </c>
      <c r="C20" s="709">
        <v>0.5</v>
      </c>
      <c r="D20" s="675">
        <f t="shared" si="65"/>
        <v>300</v>
      </c>
      <c r="E20" s="675">
        <f t="shared" si="66"/>
        <v>250</v>
      </c>
      <c r="F20" s="710">
        <v>250</v>
      </c>
      <c r="G20" s="712">
        <f>DH20+Sheet1!CV20</f>
        <v>1265.8625567325512</v>
      </c>
      <c r="H20" s="712">
        <f t="shared" si="97"/>
        <v>551.29035667192102</v>
      </c>
      <c r="I20" s="711">
        <f>MAX(Sheet1!Z20-AJ20+(Sheet1!CW20-E20)*CFStoMGD,0)</f>
        <v>760.42002408404107</v>
      </c>
      <c r="J20" s="720">
        <f>IF(AND(B20&gt;=Calculation!FS20,B20&lt;=Calculation!FT20),IF(Sheet1!CX20&gt;=Calculation!D20,64.64,0),MAX(Sheet1!Z20-AJ20+(Sheet1!CX20-D20)*CFStoMGD,0))</f>
        <v>570.39189075070783</v>
      </c>
      <c r="K20" s="697">
        <f t="shared" si="67"/>
        <v>64.64</v>
      </c>
      <c r="L20" s="712">
        <f>Sheet1!AA20+Sheet1!AB20-Sheet1!L20+(Sheet1!CW20-F20)*CFStoMGD</f>
        <v>797.13466666665818</v>
      </c>
      <c r="M20" s="712">
        <f t="shared" si="98"/>
        <v>834.61862780535955</v>
      </c>
      <c r="N20" s="712">
        <f>IF(Sheet1!CW20&gt;=F20,MIN(73,MIN(MAX(L20,0),MAX(M20,0))),0)</f>
        <v>73</v>
      </c>
      <c r="O20" s="721">
        <f>Sheet1!AA20+Sheet1!AB20</f>
        <v>56.429999999993015</v>
      </c>
      <c r="P20" s="721">
        <f t="shared" si="99"/>
        <v>87.297209999989192</v>
      </c>
      <c r="Q20" s="712">
        <f>MIN(N20,Sheet1!AA20+AG20)</f>
        <v>50.764642582622642</v>
      </c>
      <c r="R20" s="712">
        <f t="shared" si="100"/>
        <v>5.6653574173703731</v>
      </c>
      <c r="S20" s="721">
        <f>Sheet1!Y20*MGDtoCFS</f>
        <v>46.440939999999998</v>
      </c>
      <c r="T20" s="721">
        <f>Sheet1!Z20*MGDtoCFS</f>
        <v>40.809859999999993</v>
      </c>
      <c r="U20" s="721">
        <f>Sheet1!AA20*MGDtoCFS</f>
        <v>46.719399999995495</v>
      </c>
      <c r="V20" s="721">
        <f>Sheet1!AB20*MGDtoCFS</f>
        <v>40.577809999993697</v>
      </c>
      <c r="W20" s="721">
        <f>Sheet1!L20*MGDtoCFS</f>
        <v>21.503300000002252</v>
      </c>
      <c r="X20" s="697">
        <f t="shared" si="68"/>
        <v>0</v>
      </c>
      <c r="Y20" s="712">
        <f t="shared" si="4"/>
        <v>0</v>
      </c>
      <c r="Z20" s="712">
        <f t="shared" si="101"/>
        <v>0</v>
      </c>
      <c r="AA20" s="712">
        <f t="shared" si="6"/>
        <v>0</v>
      </c>
      <c r="AB20" s="712">
        <f>(VLOOKUP(Sheet1!CY20,hhdcap_wcm,4)-(((VLOOKUP(Sheet1!CY20,hhdcap_wcm,3)-Sheet1!CY20)/(VLOOKUP(Sheet1!CY20,hhdcap_wcm,3)-VLOOKUP(Sheet1!CY20,hhdcap_wcm,1)))*(VLOOKUP(Sheet1!CY20,hhdcap_wcm,4)-VLOOKUP(Sheet1!CY20,hhdcap_wcm,2))))</f>
        <v>2245.5500000032844</v>
      </c>
      <c r="AC20" s="712">
        <f t="shared" si="102"/>
        <v>396.03000000064912</v>
      </c>
      <c r="AD20" s="712">
        <f t="shared" si="70"/>
        <v>0</v>
      </c>
      <c r="AE20" s="712">
        <f t="shared" si="7"/>
        <v>0</v>
      </c>
      <c r="AF20" s="712">
        <f>Sheet1!BA20+Sheet1!BB20+Sheet1!BN20+BT20</f>
        <v>20.399999999999999</v>
      </c>
      <c r="AG20" s="712">
        <f t="shared" si="103"/>
        <v>20.564642582625552</v>
      </c>
      <c r="AH20" s="712">
        <f>Sheet1!BA20+BT20</f>
        <v>0</v>
      </c>
      <c r="AI20" s="712">
        <f>Sheet1!BA20+Sheet1!BB20+BT20</f>
        <v>0</v>
      </c>
      <c r="AJ20" s="712">
        <f>IF((Sheet1!AA20+AG20+AX20+AZ20+BQ20+BS20+CL20+CN20)&lt;=N20,AG20+AX20+AZ20+BQ20+BS20+CL20+CN20,N20-Sheet1!AA20)</f>
        <v>20.564642582625552</v>
      </c>
      <c r="AK20" s="712">
        <f>IF(DR20&lt;K20,0,MAX(Sheet1!AA20+AG20-15/36*K20-N20,Sheet1!ED20,0))</f>
        <v>0</v>
      </c>
      <c r="AL20" s="712">
        <f>IF(OR(B20&gt;=FT20,B20&lt;FS20),0,15/36*K20-MAX(0,64.6-(137.6-(Sheet1!AA20+Sheet1!AB20))))</f>
        <v>0</v>
      </c>
      <c r="AM20" s="712">
        <f>Sheet1!CX20-110</f>
        <v>1063.4166666666667</v>
      </c>
      <c r="AN20" s="712">
        <f>Sheet1!CW20-265</f>
        <v>1152.3958333333333</v>
      </c>
      <c r="AO20" s="712">
        <f t="shared" si="71"/>
        <v>22.235357417377358</v>
      </c>
      <c r="AP20" s="712">
        <f t="shared" si="72"/>
        <v>0</v>
      </c>
      <c r="AQ20" s="712">
        <f t="shared" si="10"/>
        <v>0</v>
      </c>
      <c r="AR20" s="712">
        <f t="shared" si="104"/>
        <v>0</v>
      </c>
      <c r="AS20" s="712"/>
      <c r="AT20" s="712">
        <f ca="1">IF(B20&gt;Summary!$A$1,#N/A,AR20*MGtoAF)</f>
        <v>0</v>
      </c>
      <c r="AU20" s="712">
        <f>Sheet1!BG20+Sheet1!BH20+Sheet1!BI20-BC20</f>
        <v>0</v>
      </c>
      <c r="AV20" s="712">
        <f t="shared" si="105"/>
        <v>0</v>
      </c>
      <c r="AW20" s="712">
        <f>IF(Sheet1!EL20="FM",BC20,0)</f>
        <v>0</v>
      </c>
      <c r="AX20" s="712">
        <f t="shared" si="106"/>
        <v>0</v>
      </c>
      <c r="AY20" s="712">
        <f>IF(Sheet1!EL20="OTHER",BC20,0)</f>
        <v>0</v>
      </c>
      <c r="AZ20" s="712">
        <f t="shared" si="107"/>
        <v>0</v>
      </c>
      <c r="BA20" s="712">
        <f t="shared" si="108"/>
        <v>0</v>
      </c>
      <c r="BB20" s="712">
        <f t="shared" si="109"/>
        <v>0</v>
      </c>
      <c r="BC20" s="712">
        <f>IF(OR(Sheet1!EL20="FM", Sheet1!EL20="OTHER"),SUM(Sheet1!BG20:'Sheet1'!BI20),0)</f>
        <v>0</v>
      </c>
      <c r="BD20" s="697">
        <f>IF(AND($B20&gt;=$FL20,$B20&lt;=$FM20),MAX(AV20,Sheet1!EE20,0),MAX(AV20-(7/36)*$K20,0))</f>
        <v>0</v>
      </c>
      <c r="BE20" s="712">
        <f t="shared" si="110"/>
        <v>0</v>
      </c>
      <c r="BF20" s="697">
        <f t="shared" si="73"/>
        <v>0</v>
      </c>
      <c r="BG20" s="697">
        <f>IF(AND($O20&gt;0,Sheet1!EI20=1),(1-($O20-Sheet1!$L20)/$O20)*BB20,0)</f>
        <v>0</v>
      </c>
      <c r="BH20" s="697">
        <f>IF(AND(Sheet1!$L20=0,Sheet1!$L19=0, Calculation!BA20&lt;Sheet1!$EE20-0.1,Sheet1!$EE20=Sheet1!$EE19,Sheet1!$EE20=Sheet1!$EE21),Sheet1!$EE20,BB20-BG20)</f>
        <v>0</v>
      </c>
      <c r="BI20" s="712"/>
      <c r="BJ20" s="712"/>
      <c r="BK20" s="712">
        <f t="shared" si="111"/>
        <v>0</v>
      </c>
      <c r="BL20" s="712"/>
      <c r="BM20" s="712">
        <f ca="1">IF(B20&gt;Summary!$A$1,#N/A,BK20*MGtoAF)</f>
        <v>0</v>
      </c>
      <c r="BN20" s="712">
        <f>Sheet1!BC20+Sheet1!BD20+Sheet1!BE20+Sheet1!BF20-BW20-BX20</f>
        <v>1.64</v>
      </c>
      <c r="BO20" s="712">
        <f t="shared" si="112"/>
        <v>1.6532359723287209</v>
      </c>
      <c r="BP20" s="712">
        <f>IF(Sheet1!EM20="FM",BX20,0)</f>
        <v>0</v>
      </c>
      <c r="BQ20" s="712">
        <f t="shared" si="113"/>
        <v>0</v>
      </c>
      <c r="BR20" s="712">
        <f>IF(Sheet1!EM20="OTHER",BX20,0)</f>
        <v>0</v>
      </c>
      <c r="BS20" s="712">
        <f t="shared" si="114"/>
        <v>0</v>
      </c>
      <c r="BT20" s="712">
        <f t="shared" si="115"/>
        <v>0</v>
      </c>
      <c r="BU20" s="712">
        <f t="shared" si="116"/>
        <v>1.64</v>
      </c>
      <c r="BV20" s="712">
        <f t="shared" si="117"/>
        <v>1.6532359723287209</v>
      </c>
      <c r="BW20" s="712">
        <f>IF(Sheet1!EM20="CWA",SUM(Sheet1!BC20:'Sheet1'!BF20),0)</f>
        <v>0</v>
      </c>
      <c r="BX20" s="712">
        <f>IF(OR(Sheet1!EM20="FM", Sheet1!EM20="OTHER"),SUM(Sheet1!BC20:'Sheet1'!BF20),0)</f>
        <v>0</v>
      </c>
      <c r="BY20" s="697">
        <f>IF(AND($B20&gt;=$FL20,$B20&lt;=$FM20),MAX(BV20,Sheet1!EF20,0),MAX(BV20-(7/36)*$K20,0))</f>
        <v>0</v>
      </c>
      <c r="BZ20" s="712">
        <f t="shared" si="118"/>
        <v>0</v>
      </c>
      <c r="CA20" s="697">
        <f t="shared" si="74"/>
        <v>1.6532359723287209</v>
      </c>
      <c r="CB20" s="697">
        <f>IF(AND($O20&gt;0,Sheet1!EJ20=1),(1-($O20-Sheet1!$L20)/$O20)*BV20,0)</f>
        <v>0</v>
      </c>
      <c r="CC20" s="697">
        <f>IF(AND(Sheet1!$L20=0,Sheet1!$L19=0, Calculation!BU20&lt;Sheet1!EF20-0.1,Sheet1!EF20=Sheet1!EF19,Sheet1!EF20=Sheet1!EF21),Sheet1!EF20,BV20-CB20)</f>
        <v>1.6532359723287209</v>
      </c>
      <c r="CD20" s="697"/>
      <c r="CE20" s="712"/>
      <c r="CF20" s="712">
        <f t="shared" si="119"/>
        <v>0</v>
      </c>
      <c r="CG20" s="712"/>
      <c r="CH20" s="712">
        <f ca="1">IF(B20&gt;Summary!$A$1,#N/A,CF20*MGtoAF)</f>
        <v>0</v>
      </c>
      <c r="CI20" s="712">
        <f>Sheet1!BK20+Sheet1!BL20+Sheet1!BM20-Sheet1!EN20-CQ20</f>
        <v>3.98</v>
      </c>
      <c r="CJ20" s="712">
        <f t="shared" si="120"/>
        <v>4.012121445041652</v>
      </c>
      <c r="CK20" s="712">
        <f>IF(Sheet1!EN20="FM",CQ20,0)</f>
        <v>0</v>
      </c>
      <c r="CL20" s="712">
        <f t="shared" si="121"/>
        <v>0</v>
      </c>
      <c r="CM20" s="712">
        <f>IF(Sheet1!EN20="OTHER",CQ20,0)</f>
        <v>0</v>
      </c>
      <c r="CN20" s="712">
        <f t="shared" si="122"/>
        <v>0</v>
      </c>
      <c r="CO20" s="712">
        <f t="shared" si="123"/>
        <v>3.98</v>
      </c>
      <c r="CP20" s="712">
        <f t="shared" si="124"/>
        <v>4.012121445041652</v>
      </c>
      <c r="CQ20" s="712">
        <f>IF(OR(Sheet1!EN20="FM", Sheet1!EN20="OTHER"),SUM(Sheet1!BK20:'Sheet1'!BM20),0)</f>
        <v>0</v>
      </c>
      <c r="CR20" s="697">
        <f>IF(AND($B20&gt;=$FL20,$B20&lt;=$FM20),MAX($CJ20,Sheet1!EG20,0),MAX($CJ20-(7/36)*$K20,0))</f>
        <v>0</v>
      </c>
      <c r="CS20" s="712">
        <f t="shared" si="125"/>
        <v>0</v>
      </c>
      <c r="CT20" s="697">
        <f t="shared" si="75"/>
        <v>4.012121445041652</v>
      </c>
      <c r="CU20" s="697">
        <f>IF(AND($O20&gt;0,Sheet1!EK20=1),(1-($O20-Sheet1!$L20)/$O20)*CP20,0)</f>
        <v>0</v>
      </c>
      <c r="CV20" s="697">
        <f>IF(AND(Sheet1!$L20=0,Sheet1!$L19=0, Calculation!CO20&lt;Sheet1!$EG20-0.1,Sheet1!$EG20=Sheet1!$EG19,Sheet1!$EG20=Sheet1!$EG21),Sheet1!$EG20,CP20-CU20)</f>
        <v>4.012121445041652</v>
      </c>
      <c r="CW20" s="697">
        <f t="shared" si="33"/>
        <v>0</v>
      </c>
      <c r="CX20" s="712">
        <f t="shared" si="87"/>
        <v>5.62</v>
      </c>
      <c r="CY20" s="712">
        <f t="shared" si="126"/>
        <v>0</v>
      </c>
      <c r="CZ20" s="712">
        <f t="shared" si="127"/>
        <v>5.6653574173703731</v>
      </c>
      <c r="DA20" s="712">
        <f ca="1">IF(B20&gt;Summary!$A$1,#N/A,CY20*MGtoAF)</f>
        <v>0</v>
      </c>
      <c r="DB20" s="712">
        <f t="shared" si="128"/>
        <v>5.62</v>
      </c>
      <c r="DC20" s="712">
        <f t="shared" si="129"/>
        <v>26.02</v>
      </c>
      <c r="DD20" s="712">
        <f>Sheet1!AB20-DC20</f>
        <v>0.20999999999592589</v>
      </c>
      <c r="DE20" s="712">
        <f t="shared" si="130"/>
        <v>8.0707148345859295E-3</v>
      </c>
      <c r="DF20" s="712">
        <f>(VLOOKUP(Sheet1!CY20,hhdcap_wcm,4)-(((VLOOKUP(Sheet1!CY20,hhdcap_wcm,3)-Sheet1!CY20)/(VLOOKUP(Sheet1!CY20,hhdcap_wcm,3)-VLOOKUP(Sheet1!CY20,hhdcap_wcm,1)))*(VLOOKUP(Sheet1!CY20,hhdcap_wcm,4)-VLOOKUP(Sheet1!CY20,hhdcap_wcm,2))))</f>
        <v>2245.5500000032844</v>
      </c>
      <c r="DG20" s="712">
        <f t="shared" si="131"/>
        <v>396.03000000064912</v>
      </c>
      <c r="DH20" s="712">
        <f t="shared" si="39"/>
        <v>199.71255673255121</v>
      </c>
      <c r="DI20" s="712">
        <f>Sheet1!DW20*AFtoMG</f>
        <v>0</v>
      </c>
      <c r="DJ20" s="712">
        <f>Sheet1!DX20*AFtoMG</f>
        <v>0</v>
      </c>
      <c r="DK20" s="712">
        <f>Sheet1!DY20*AFtoMG</f>
        <v>0</v>
      </c>
      <c r="DL20" s="712">
        <f>Sheet1!DZ20*AFtoMG</f>
        <v>0</v>
      </c>
      <c r="DM20" s="712">
        <f t="shared" si="132"/>
        <v>0</v>
      </c>
      <c r="DN20" s="712">
        <f t="shared" si="41"/>
        <v>0</v>
      </c>
      <c r="DO20" s="712">
        <f t="shared" si="133"/>
        <v>0</v>
      </c>
      <c r="DP20" s="712">
        <f t="shared" si="43"/>
        <v>0</v>
      </c>
      <c r="DQ20" s="712"/>
      <c r="DR20" s="697">
        <f>IF(OR(B20&lt;FL20,B20&gt;FM20),(MIN(AV20+BO20+CJ20+MAX(Sheet1!AA20+AG20-73,0),K20)),0)</f>
        <v>5.6653574173703731</v>
      </c>
      <c r="DS20" s="712"/>
      <c r="DT20" s="712">
        <f t="shared" si="134"/>
        <v>5.6653574173703731</v>
      </c>
      <c r="DU20" s="712"/>
      <c r="DV20" s="712">
        <f>Sheet1!ED20+Sheet1!EE20+Sheet1!EF20+Sheet1!EG20</f>
        <v>9.5</v>
      </c>
      <c r="DW20" s="712"/>
      <c r="DX20" s="697">
        <f t="shared" si="77"/>
        <v>0</v>
      </c>
      <c r="DY20" s="712">
        <f>IF(Sheet1!FN20=1,SUM('Calculations II'!AT20:BA20)+'Calculations II'!BC20+Sheet1!BU20+'Calculations II'!BE20+AF20,SUM('Calculations II'!AT20:BA20)+'Calculations II'!BC20+Sheet1!BU20+'Calculations II'!BE20+AF20)</f>
        <v>47.275152000000006</v>
      </c>
      <c r="DZ20" s="712">
        <f>Sheet1!AA20+Sheet1!AB20+'Calculations II'!BC20</f>
        <v>56.429999999993015</v>
      </c>
      <c r="EA20" s="712"/>
      <c r="EB20" s="712"/>
      <c r="EC20" s="712">
        <f t="shared" si="135"/>
        <v>40549</v>
      </c>
      <c r="ED20" s="712">
        <f t="shared" si="136"/>
        <v>0</v>
      </c>
      <c r="EE20" s="712">
        <f t="shared" si="137"/>
        <v>0</v>
      </c>
      <c r="EF20" s="712">
        <f>-(VLOOKUP(Sheet1!BQ20,Lookup!$B$4:$J$236,2)-VLOOKUP(Sheet1!BQ19,Lookup!$B$4:$J$236,2))/1000000</f>
        <v>-0.80130000000000001</v>
      </c>
      <c r="EG20" s="712">
        <f>-(VLOOKUP(Sheet1!BR20,Lookup!$B$4:$J$236,3)-VLOOKUP(Sheet1!BR19,Lookup!$B$4:$J$236,3))/1000000</f>
        <v>-1.0664</v>
      </c>
      <c r="EH20" s="712">
        <f>-(VLOOKUP(Sheet1!BS20,Lookup!$B$4:$J$236,4)-VLOOKUP(Sheet1!BS19,Lookup!$B$4:$J$236,4))/1000000</f>
        <v>0</v>
      </c>
      <c r="EI20" s="697">
        <f t="shared" si="88"/>
        <v>-1.8677000000000001</v>
      </c>
      <c r="EJ20" s="712"/>
      <c r="EK20" s="712"/>
      <c r="EL20" s="712"/>
      <c r="EM20" s="712"/>
      <c r="EN20" s="712"/>
      <c r="EO20" s="712"/>
      <c r="EP20" s="712"/>
      <c r="EQ20" s="712"/>
      <c r="ER20" s="697">
        <v>0</v>
      </c>
      <c r="ES20" s="712"/>
      <c r="ET20" s="794" t="e">
        <f t="shared" si="138"/>
        <v>#N/A</v>
      </c>
      <c r="EU20" s="794" t="e">
        <f t="shared" si="79"/>
        <v>#VALUE!</v>
      </c>
      <c r="EV20" s="795" t="e">
        <f t="shared" si="48"/>
        <v>#VALUE!</v>
      </c>
      <c r="EW20" s="796" t="s">
        <v>757</v>
      </c>
      <c r="EX20" s="796" t="s">
        <v>757</v>
      </c>
      <c r="EY20" s="794">
        <v>0</v>
      </c>
      <c r="EZ20" s="794" t="e">
        <v>#N/A</v>
      </c>
      <c r="FA20" s="712"/>
      <c r="FB20" s="712"/>
      <c r="FC20" s="712"/>
      <c r="FD20" s="712"/>
      <c r="FE20" s="712">
        <f>O20+Sheet1!CO20</f>
        <v>56.429999999993015</v>
      </c>
      <c r="FF20" s="712">
        <f>IF(Sheet1!AA20+AG20&lt;=Calculation!N20,AG20,Calculation!N20-Sheet1!AA20)</f>
        <v>20.564642582625552</v>
      </c>
      <c r="FG20" s="712">
        <f>(Sheet1!BP20+Sheet1!BO20)/694.4</f>
        <v>1.3273329493087558</v>
      </c>
      <c r="FH20" s="712"/>
      <c r="FI20" s="712"/>
      <c r="FJ20" s="712"/>
      <c r="FK20" s="712"/>
      <c r="FL20" s="714">
        <f t="shared" si="89"/>
        <v>40753</v>
      </c>
      <c r="FM20" s="714">
        <f t="shared" si="90"/>
        <v>40851</v>
      </c>
      <c r="FN20" s="712"/>
      <c r="FO20" s="712"/>
      <c r="FP20" s="712"/>
      <c r="FQ20" s="712"/>
      <c r="FR20" s="712"/>
      <c r="FS20" s="725">
        <f t="shared" si="91"/>
        <v>40603</v>
      </c>
      <c r="FT20" s="714">
        <f t="shared" si="92"/>
        <v>40709</v>
      </c>
      <c r="FU20" s="712">
        <f t="shared" si="93"/>
        <v>6518.9048239895692</v>
      </c>
      <c r="FV20" s="714">
        <f t="shared" si="94"/>
        <v>40722</v>
      </c>
      <c r="FW20" s="712">
        <f t="shared" si="95"/>
        <v>3259.4524119947846</v>
      </c>
      <c r="FX20" s="725">
        <f t="shared" si="96"/>
        <v>40851</v>
      </c>
      <c r="FZ20" s="697">
        <f t="shared" si="49"/>
        <v>0</v>
      </c>
      <c r="GA20" s="712" t="str">
        <f t="shared" si="139"/>
        <v/>
      </c>
      <c r="GB20" s="712">
        <f t="shared" si="140"/>
        <v>0</v>
      </c>
      <c r="GC20" s="712" t="str">
        <f t="shared" si="141"/>
        <v/>
      </c>
      <c r="GD20" s="712">
        <f>IF(GA20="P",Lookup!$M$12,IF(GA20="PP",Lookup!$M$13,IF(GA20="PPP",Lookup!$M$14,IF(GA20="T",Lookup!$M$15,IF(GA20="TP",Lookup!$M$16,IF(GA20="TPP",Lookup!$M$17,IF(GA20="TPPP",Lookup!$M$18,0)))))))*FZ20</f>
        <v>0</v>
      </c>
      <c r="GE20" s="712">
        <f t="shared" si="142"/>
        <v>0</v>
      </c>
      <c r="GF20" s="712">
        <f t="shared" si="143"/>
        <v>0</v>
      </c>
      <c r="GG20" s="712">
        <f t="shared" si="144"/>
        <v>0</v>
      </c>
      <c r="GH20" s="712"/>
      <c r="GI20" s="712">
        <f t="shared" si="145"/>
        <v>0</v>
      </c>
      <c r="GJ20" s="712" t="str">
        <f t="shared" si="146"/>
        <v/>
      </c>
      <c r="GK20" s="712">
        <f>IF(GA20="P",Lookup!$N$12,IF(GA20="PP",Lookup!$N$13,IF(GA20="PPP",Lookup!$N$14,IF(GA20="T",Lookup!$N$15,IF(GA20="TP",Lookup!$N$16,IF(GA20="TPP",Lookup!$N$17,IF(GA20="TPPP",Lookup!$N$18,0)))))))*FZ20</f>
        <v>0</v>
      </c>
      <c r="GL20" s="712">
        <f t="shared" si="147"/>
        <v>0</v>
      </c>
      <c r="GM20" s="712">
        <f t="shared" si="148"/>
        <v>0</v>
      </c>
      <c r="GN20" s="712">
        <f t="shared" si="149"/>
        <v>0</v>
      </c>
      <c r="GO20" s="712"/>
      <c r="GP20" s="712">
        <f t="shared" si="150"/>
        <v>0</v>
      </c>
      <c r="GQ20" s="712" t="str">
        <f t="shared" si="151"/>
        <v/>
      </c>
      <c r="GR20" s="712">
        <f>IF(GA20="P",Lookup!$N$12,IF(GA20="PP",Lookup!$N$13,IF(GA20="PPP",Lookup!$N$14,IF(GA20="T",Lookup!$N$15,IF(GA20="TP",Lookup!$N$16,IF(GA20="TPP",Lookup!$N$17,IF(GA20="TPPP",Lookup!$N$18,0)))))))*FZ20</f>
        <v>0</v>
      </c>
      <c r="GS20" s="697">
        <f t="shared" si="83"/>
        <v>0</v>
      </c>
      <c r="GT20" s="712">
        <f t="shared" si="152"/>
        <v>0</v>
      </c>
      <c r="GU20" s="712">
        <f t="shared" si="153"/>
        <v>0</v>
      </c>
      <c r="GV20" s="712"/>
      <c r="GW20" s="712">
        <f t="shared" si="154"/>
        <v>0</v>
      </c>
      <c r="GX20" s="712" t="str">
        <f t="shared" si="155"/>
        <v/>
      </c>
      <c r="GY20" s="712">
        <f>IF(GA20="P",Lookup!$N$12,IF(GA20="PP",Lookup!$N$13,IF(GA20="PPP",Lookup!$N$14,IF(GA20="T",Lookup!$N$15,IF(GA20="TP",Lookup!$N$16,IF(GA20="TPP",Lookup!$N$17,IF(GA20="TPPP",Lookup!$N$18,0)))))))*FZ20</f>
        <v>0</v>
      </c>
      <c r="GZ20" s="697">
        <f t="shared" si="85"/>
        <v>0</v>
      </c>
      <c r="HA20" s="712">
        <f t="shared" si="156"/>
        <v>0</v>
      </c>
      <c r="HB20" s="712">
        <f t="shared" si="157"/>
        <v>0</v>
      </c>
      <c r="HC20" s="712"/>
    </row>
    <row r="21" spans="1:211">
      <c r="A21" s="773" t="s">
        <v>8</v>
      </c>
      <c r="B21" s="708">
        <v>40550</v>
      </c>
      <c r="C21" s="719">
        <v>0.5</v>
      </c>
      <c r="D21" s="675">
        <f t="shared" si="65"/>
        <v>300</v>
      </c>
      <c r="E21" s="675">
        <f t="shared" si="66"/>
        <v>250</v>
      </c>
      <c r="F21" s="675">
        <v>250</v>
      </c>
      <c r="G21" s="712">
        <f>DH21+Sheet1!CV21</f>
        <v>2375.2066247323496</v>
      </c>
      <c r="H21" s="712">
        <f t="shared" si="97"/>
        <v>1268.3703622269907</v>
      </c>
      <c r="I21" s="711">
        <f>MAX(Sheet1!Z21-AJ21+(Sheet1!CW21-E21)*CFStoMGD,0)</f>
        <v>1452.3560000000002</v>
      </c>
      <c r="J21" s="720">
        <f>IF(AND(B21&gt;=Calculation!FS21,B21&lt;=Calculation!FT21),IF(Sheet1!CX21&gt;=Calculation!D21,64.64,0),MAX(Sheet1!Z21-AJ21+(Sheet1!CX21-D21)*CFStoMGD,0))</f>
        <v>1237.5626666666669</v>
      </c>
      <c r="K21" s="697">
        <f t="shared" si="67"/>
        <v>64.64</v>
      </c>
      <c r="L21" s="712">
        <f>Sheet1!AA21+Sheet1!AB21-Sheet1!L21+(Sheet1!CW21-F21)*CFStoMGD</f>
        <v>1459.0959999999998</v>
      </c>
      <c r="M21" s="712">
        <f t="shared" si="98"/>
        <v>1566.0402334715307</v>
      </c>
      <c r="N21" s="712">
        <f>IF(Sheet1!CW21&gt;=F21,MIN(73,MIN(MAX(L21,0),MAX(M21,0))),0)</f>
        <v>73</v>
      </c>
      <c r="O21" s="721">
        <f>Sheet1!AA21+Sheet1!AB21</f>
        <v>50.569999999999709</v>
      </c>
      <c r="P21" s="721">
        <f t="shared" si="99"/>
        <v>78.231789999999549</v>
      </c>
      <c r="Q21" s="712">
        <f>MIN(N21,Sheet1!AA21+AG21)</f>
        <v>50.569999999999709</v>
      </c>
      <c r="R21" s="712">
        <f t="shared" si="100"/>
        <v>0</v>
      </c>
      <c r="S21" s="721">
        <f>Sheet1!Y21*MGDtoCFS</f>
        <v>46.920509999999993</v>
      </c>
      <c r="T21" s="721">
        <f>Sheet1!Z21*MGDtoCFS</f>
        <v>39.433029999999995</v>
      </c>
      <c r="U21" s="721">
        <f>Sheet1!AA21*MGDtoCFS</f>
        <v>45.636499999999998</v>
      </c>
      <c r="V21" s="721">
        <f>Sheet1!AB21*MGDtoCFS</f>
        <v>32.595289999999551</v>
      </c>
      <c r="W21" s="721">
        <f>Sheet1!L21*MGDtoCFS</f>
        <v>60.967269999999772</v>
      </c>
      <c r="X21" s="697">
        <f t="shared" si="68"/>
        <v>0</v>
      </c>
      <c r="Y21" s="712">
        <f t="shared" si="4"/>
        <v>0</v>
      </c>
      <c r="Z21" s="712">
        <f>IF(B21&gt;=FS21,IF(B21&lt;=FT21,K21-DR21,0),0)</f>
        <v>0</v>
      </c>
      <c r="AA21" s="712">
        <f t="shared" si="6"/>
        <v>0</v>
      </c>
      <c r="AB21" s="712">
        <f>(VLOOKUP(Sheet1!CY21,hhdcap_wcm,4)-(((VLOOKUP(Sheet1!CY21,hhdcap_wcm,3)-Sheet1!CY21)/(VLOOKUP(Sheet1!CY21,hhdcap_wcm,3)-VLOOKUP(Sheet1!CY21,hhdcap_wcm,1)))*(VLOOKUP(Sheet1!CY21,hhdcap_wcm,4)-VLOOKUP(Sheet1!CY21,hhdcap_wcm,2))))</f>
        <v>3441.5000000054283</v>
      </c>
      <c r="AC21" s="712">
        <f t="shared" si="102"/>
        <v>1195.950000002144</v>
      </c>
      <c r="AD21" s="712">
        <f t="shared" si="70"/>
        <v>0</v>
      </c>
      <c r="AE21" s="712">
        <f t="shared" si="7"/>
        <v>0</v>
      </c>
      <c r="AF21" s="712">
        <f>Sheet1!BA21+Sheet1!BB21+Sheet1!BN21+BT21</f>
        <v>21.7</v>
      </c>
      <c r="AG21" s="712">
        <f t="shared" si="103"/>
        <v>21.069999999999709</v>
      </c>
      <c r="AH21" s="712">
        <f>Sheet1!BA21+BT21</f>
        <v>0</v>
      </c>
      <c r="AI21" s="712">
        <f>Sheet1!BA21+Sheet1!BB21+BT21</f>
        <v>0</v>
      </c>
      <c r="AJ21" s="712">
        <f>IF((Sheet1!AA21+AG21+AX21+AZ21+BQ21+BS21+CL21+CN21)&lt;=N21,AG21+AX21+AZ21+BQ21+BS21+CL21+CN21,N21-Sheet1!AA21)</f>
        <v>21.069999999999709</v>
      </c>
      <c r="AK21" s="712">
        <f>IF(DR21&lt;K21,0,MAX(Sheet1!AA21+AG21-15/36*K21-N21,Sheet1!ED21,0))</f>
        <v>0</v>
      </c>
      <c r="AL21" s="712">
        <f>IF(OR(B21&gt;=FT21,B21&lt;FS21),0,15/36*K21-MAX(0,64.6-(137.6-(Sheet1!AA21+Sheet1!AB21))))</f>
        <v>0</v>
      </c>
      <c r="AM21" s="712">
        <f>Sheet1!CX21-110</f>
        <v>2097.7083333333335</v>
      </c>
      <c r="AN21" s="712">
        <f>Sheet1!CW21-265</f>
        <v>2225</v>
      </c>
      <c r="AO21" s="712">
        <f t="shared" si="71"/>
        <v>22.430000000000291</v>
      </c>
      <c r="AP21" s="712">
        <f t="shared" si="72"/>
        <v>0</v>
      </c>
      <c r="AQ21" s="712">
        <f t="shared" si="10"/>
        <v>0</v>
      </c>
      <c r="AR21" s="712">
        <f t="shared" si="104"/>
        <v>0</v>
      </c>
      <c r="AS21" s="712"/>
      <c r="AT21" s="712">
        <f ca="1">IF(B21&gt;Summary!$A$1,#N/A,AR21*MGtoAF)</f>
        <v>0</v>
      </c>
      <c r="AU21" s="712">
        <f>Sheet1!BG21+Sheet1!BH21+Sheet1!BI21-BC21</f>
        <v>0</v>
      </c>
      <c r="AV21" s="712">
        <f t="shared" si="105"/>
        <v>0</v>
      </c>
      <c r="AW21" s="712">
        <f>IF(Sheet1!EL21="FM",BC21,0)</f>
        <v>0</v>
      </c>
      <c r="AX21" s="712">
        <f t="shared" si="106"/>
        <v>0</v>
      </c>
      <c r="AY21" s="712">
        <f>IF(Sheet1!EL21="OTHER",BC21,0)</f>
        <v>0</v>
      </c>
      <c r="AZ21" s="712">
        <f t="shared" si="107"/>
        <v>0</v>
      </c>
      <c r="BA21" s="712">
        <f t="shared" si="108"/>
        <v>0</v>
      </c>
      <c r="BB21" s="712">
        <f t="shared" si="109"/>
        <v>0</v>
      </c>
      <c r="BC21" s="712">
        <f>IF(OR(Sheet1!EL21="FM", Sheet1!EL21="OTHER"),SUM(Sheet1!BG21:'Sheet1'!BI21),0)</f>
        <v>0</v>
      </c>
      <c r="BD21" s="697">
        <f>IF(AND($B21&gt;=$FL21,$B21&lt;=$FM21),MAX(AV21,Sheet1!EE21,0),MAX(AV21-(7/36)*$K21,0))</f>
        <v>0</v>
      </c>
      <c r="BE21" s="712">
        <f t="shared" si="110"/>
        <v>0</v>
      </c>
      <c r="BF21" s="697">
        <f t="shared" si="73"/>
        <v>0</v>
      </c>
      <c r="BG21" s="697">
        <f>IF(AND($O21&gt;0,Sheet1!EI21=1),(1-($O21-Sheet1!$L21)/$O21)*BB21,0)</f>
        <v>0</v>
      </c>
      <c r="BH21" s="697">
        <f>IF(AND(Sheet1!$L21=0,Sheet1!$L20=0, Calculation!BA21&lt;Sheet1!$EE21-0.1,Sheet1!$EE21=Sheet1!$EE20,Sheet1!$EE21=Sheet1!$EE22),Sheet1!$EE21,BB21-BG21)</f>
        <v>0</v>
      </c>
      <c r="BI21" s="712"/>
      <c r="BJ21" s="712"/>
      <c r="BK21" s="712">
        <f t="shared" si="111"/>
        <v>0</v>
      </c>
      <c r="BL21" s="712"/>
      <c r="BM21" s="712">
        <f ca="1">IF(B21&gt;Summary!$A$1,#N/A,BK21*MGtoAF)</f>
        <v>0</v>
      </c>
      <c r="BN21" s="712">
        <f>Sheet1!BC21+Sheet1!BD21+Sheet1!BE21+Sheet1!BF21-BW21-BX21</f>
        <v>0</v>
      </c>
      <c r="BO21" s="712">
        <f t="shared" si="112"/>
        <v>0</v>
      </c>
      <c r="BP21" s="712">
        <f>IF(Sheet1!EM21="FM",BX21,0)</f>
        <v>0</v>
      </c>
      <c r="BQ21" s="712">
        <f t="shared" si="113"/>
        <v>0</v>
      </c>
      <c r="BR21" s="712">
        <f>IF(Sheet1!EM21="OTHER",BX21,0)</f>
        <v>0</v>
      </c>
      <c r="BS21" s="712">
        <f t="shared" si="114"/>
        <v>0</v>
      </c>
      <c r="BT21" s="712">
        <f t="shared" si="115"/>
        <v>0</v>
      </c>
      <c r="BU21" s="712">
        <f t="shared" si="116"/>
        <v>0</v>
      </c>
      <c r="BV21" s="712">
        <f t="shared" si="117"/>
        <v>0</v>
      </c>
      <c r="BW21" s="712">
        <f>IF(Sheet1!EM21="CWA",SUM(Sheet1!BC21:'Sheet1'!BF21),0)</f>
        <v>0</v>
      </c>
      <c r="BX21" s="712">
        <f>IF(OR(Sheet1!EM21="FM", Sheet1!EM21="OTHER"),SUM(Sheet1!BC21:'Sheet1'!BF21),0)</f>
        <v>0</v>
      </c>
      <c r="BY21" s="697">
        <f>IF(AND($B21&gt;=$FL21,$B21&lt;=$FM21),MAX(BV21,Sheet1!EF21,0),MAX(BV21-(7/36)*$K21,0))</f>
        <v>0</v>
      </c>
      <c r="BZ21" s="712">
        <f t="shared" si="118"/>
        <v>0</v>
      </c>
      <c r="CA21" s="697">
        <f t="shared" si="74"/>
        <v>0</v>
      </c>
      <c r="CB21" s="697">
        <f>IF(AND($O21&gt;0,Sheet1!EJ21=1),(1-($O21-Sheet1!$L21)/$O21)*BV21,0)</f>
        <v>0</v>
      </c>
      <c r="CC21" s="697">
        <f>IF(AND(Sheet1!$L21=0,Sheet1!$L20=0, Calculation!BU21&lt;Sheet1!EF21-0.1,Sheet1!EF21=Sheet1!EF20,Sheet1!EF21=Sheet1!EF22),Sheet1!EF21,BV21-CB21)</f>
        <v>0</v>
      </c>
      <c r="CD21" s="697"/>
      <c r="CE21" s="712"/>
      <c r="CF21" s="712">
        <f t="shared" si="119"/>
        <v>0</v>
      </c>
      <c r="CG21" s="712"/>
      <c r="CH21" s="712">
        <f ca="1">IF(B21&gt;Summary!$A$1,#N/A,CF21*MGtoAF)</f>
        <v>0</v>
      </c>
      <c r="CI21" s="712">
        <f>Sheet1!BK21+Sheet1!BL21+Sheet1!BM21-Sheet1!EN21-CQ21</f>
        <v>0</v>
      </c>
      <c r="CJ21" s="712">
        <f t="shared" si="120"/>
        <v>0</v>
      </c>
      <c r="CK21" s="712">
        <f>IF(Sheet1!EN21="FM",CQ21,0)</f>
        <v>0</v>
      </c>
      <c r="CL21" s="712">
        <f t="shared" si="121"/>
        <v>0</v>
      </c>
      <c r="CM21" s="712">
        <f>IF(Sheet1!EN21="OTHER",CQ21,0)</f>
        <v>0</v>
      </c>
      <c r="CN21" s="712">
        <f t="shared" si="122"/>
        <v>0</v>
      </c>
      <c r="CO21" s="712">
        <f t="shared" si="123"/>
        <v>0</v>
      </c>
      <c r="CP21" s="712">
        <f t="shared" si="124"/>
        <v>0</v>
      </c>
      <c r="CQ21" s="712">
        <f>IF(OR(Sheet1!EN21="FM", Sheet1!EN21="OTHER"),SUM(Sheet1!BK21:'Sheet1'!BM21),0)</f>
        <v>0</v>
      </c>
      <c r="CR21" s="697">
        <f>IF(AND($B21&gt;=$FL21,$B21&lt;=$FM21),MAX($CJ21,Sheet1!EG21,0),MAX($CJ21-(7/36)*$K21,0))</f>
        <v>0</v>
      </c>
      <c r="CS21" s="712">
        <f t="shared" si="125"/>
        <v>0</v>
      </c>
      <c r="CT21" s="697">
        <f t="shared" si="75"/>
        <v>0</v>
      </c>
      <c r="CU21" s="697">
        <f>IF(AND($O21&gt;0,Sheet1!EK21=1),(1-($O21-Sheet1!$L21)/$O21)*CP21,0)</f>
        <v>0</v>
      </c>
      <c r="CV21" s="697">
        <f>IF(AND(Sheet1!$L21=0,Sheet1!$L20=0, Calculation!CO21&lt;Sheet1!$EG21-0.1,Sheet1!$EG21=Sheet1!$EG20,Sheet1!$EG21=Sheet1!$EG22),Sheet1!$EG21,CP21-CU21)</f>
        <v>0</v>
      </c>
      <c r="CW21" s="697">
        <f t="shared" si="33"/>
        <v>0</v>
      </c>
      <c r="CX21" s="712">
        <f t="shared" si="87"/>
        <v>0</v>
      </c>
      <c r="CY21" s="712">
        <f t="shared" si="126"/>
        <v>0</v>
      </c>
      <c r="CZ21" s="712">
        <f t="shared" si="127"/>
        <v>0</v>
      </c>
      <c r="DA21" s="712">
        <f ca="1">IF(B21&gt;Summary!$A$1,#N/A,CY21*MGtoAF)</f>
        <v>0</v>
      </c>
      <c r="DB21" s="712">
        <f t="shared" si="128"/>
        <v>0</v>
      </c>
      <c r="DC21" s="712">
        <f t="shared" si="129"/>
        <v>21.7</v>
      </c>
      <c r="DD21" s="712">
        <f>Sheet1!AB21-DC21</f>
        <v>-0.63000000000029033</v>
      </c>
      <c r="DE21" s="712">
        <f t="shared" si="130"/>
        <v>-2.9032258064529508E-2</v>
      </c>
      <c r="DF21" s="712">
        <f>(VLOOKUP(Sheet1!CY21,hhdcap_wcm,4)-(((VLOOKUP(Sheet1!CY21,hhdcap_wcm,3)-Sheet1!CY21)/(VLOOKUP(Sheet1!CY21,hhdcap_wcm,3)-VLOOKUP(Sheet1!CY21,hhdcap_wcm,1)))*(VLOOKUP(Sheet1!CY21,hhdcap_wcm,4)-VLOOKUP(Sheet1!CY21,hhdcap_wcm,2))))</f>
        <v>3441.5000000054283</v>
      </c>
      <c r="DG21" s="712">
        <f t="shared" si="131"/>
        <v>1195.950000002144</v>
      </c>
      <c r="DH21" s="712">
        <f t="shared" si="39"/>
        <v>603.10136157445481</v>
      </c>
      <c r="DI21" s="712">
        <f>Sheet1!DW21*AFtoMG</f>
        <v>0</v>
      </c>
      <c r="DJ21" s="712">
        <f>Sheet1!DX21*AFtoMG</f>
        <v>0</v>
      </c>
      <c r="DK21" s="712">
        <f>Sheet1!DY21*AFtoMG</f>
        <v>0</v>
      </c>
      <c r="DL21" s="712">
        <f>Sheet1!DZ21*AFtoMG</f>
        <v>0</v>
      </c>
      <c r="DM21" s="712">
        <f t="shared" si="132"/>
        <v>0</v>
      </c>
      <c r="DN21" s="712">
        <f t="shared" si="41"/>
        <v>0</v>
      </c>
      <c r="DO21" s="712">
        <f t="shared" si="133"/>
        <v>0</v>
      </c>
      <c r="DP21" s="712">
        <f t="shared" si="43"/>
        <v>0</v>
      </c>
      <c r="DQ21" s="712"/>
      <c r="DR21" s="697">
        <f>IF(OR(B21&lt;FL21,B21&gt;FM21),(MIN(AV21+BO21+CJ21+MAX(Sheet1!AA21+AG21-73,0),K21)),0)</f>
        <v>0</v>
      </c>
      <c r="DS21" s="712"/>
      <c r="DT21" s="712">
        <f t="shared" si="134"/>
        <v>0</v>
      </c>
      <c r="DU21" s="712"/>
      <c r="DV21" s="712">
        <f>Sheet1!ED21+Sheet1!EE21+Sheet1!EF21+Sheet1!EG21</f>
        <v>9.5</v>
      </c>
      <c r="DW21" s="712"/>
      <c r="DX21" s="697">
        <f t="shared" si="77"/>
        <v>0</v>
      </c>
      <c r="DY21" s="712">
        <f>IF(Sheet1!FN21=1,SUM('Calculations II'!AT21:BA21)+'Calculations II'!BC21+Sheet1!BU21+'Calculations II'!BE21+AF21,SUM('Calculations II'!AT21:BA21)+'Calculations II'!BC21+Sheet1!BU21+'Calculations II'!BE21+AF21)</f>
        <v>40.892896</v>
      </c>
      <c r="DZ21" s="712">
        <f>Sheet1!AA21+Sheet1!AB21+'Calculations II'!BC21</f>
        <v>50.569999999999709</v>
      </c>
      <c r="EA21" s="712"/>
      <c r="EB21" s="712"/>
      <c r="EC21" s="712">
        <f t="shared" si="135"/>
        <v>40550</v>
      </c>
      <c r="ED21" s="712">
        <f t="shared" si="136"/>
        <v>0</v>
      </c>
      <c r="EE21" s="712">
        <f t="shared" si="137"/>
        <v>0</v>
      </c>
      <c r="EF21" s="712">
        <f>-(VLOOKUP(Sheet1!BQ21,Lookup!$B$4:$J$236,2)-VLOOKUP(Sheet1!BQ20,Lookup!$B$4:$J$236,2))/1000000</f>
        <v>-4.8552</v>
      </c>
      <c r="EG21" s="712">
        <f>-(VLOOKUP(Sheet1!BR21,Lookup!$B$4:$J$236,3)-VLOOKUP(Sheet1!BR20,Lookup!$B$4:$J$236,3))/1000000</f>
        <v>-4.8464</v>
      </c>
      <c r="EH21" s="712">
        <f>-(VLOOKUP(Sheet1!BS21,Lookup!$B$4:$J$236,4)-VLOOKUP(Sheet1!BS20,Lookup!$B$4:$J$236,4))/1000000</f>
        <v>0</v>
      </c>
      <c r="EI21" s="697">
        <f t="shared" si="88"/>
        <v>-9.7015999999999991</v>
      </c>
      <c r="EJ21" s="712"/>
      <c r="EK21" s="712"/>
      <c r="EL21" s="712"/>
      <c r="EM21" s="712"/>
      <c r="EN21" s="712"/>
      <c r="EO21" s="712"/>
      <c r="EP21" s="712"/>
      <c r="EQ21" s="712"/>
      <c r="ER21" s="697">
        <v>0</v>
      </c>
      <c r="ES21" s="712"/>
      <c r="ET21" s="794" t="e">
        <f t="shared" si="138"/>
        <v>#N/A</v>
      </c>
      <c r="EU21" s="794" t="e">
        <f t="shared" si="79"/>
        <v>#VALUE!</v>
      </c>
      <c r="EV21" s="795" t="e">
        <f t="shared" si="48"/>
        <v>#VALUE!</v>
      </c>
      <c r="EW21" s="796" t="s">
        <v>757</v>
      </c>
      <c r="EX21" s="796" t="s">
        <v>757</v>
      </c>
      <c r="EY21" s="794">
        <v>0</v>
      </c>
      <c r="EZ21" s="794" t="e">
        <v>#N/A</v>
      </c>
      <c r="FA21" s="712"/>
      <c r="FB21" s="712"/>
      <c r="FC21" s="712"/>
      <c r="FD21" s="712"/>
      <c r="FE21" s="712">
        <f>O21+Sheet1!CO21</f>
        <v>50.569999999999709</v>
      </c>
      <c r="FF21" s="712">
        <f>IF(Sheet1!AA21+AG21&lt;=Calculation!N21,AG21,Calculation!N21-Sheet1!AA21)</f>
        <v>21.069999999999709</v>
      </c>
      <c r="FG21" s="712">
        <f>(Sheet1!BP21+Sheet1!BO21)/694.4</f>
        <v>0.89069700460829493</v>
      </c>
      <c r="FH21" s="712"/>
      <c r="FI21" s="712"/>
      <c r="FJ21" s="712"/>
      <c r="FK21" s="712"/>
      <c r="FL21" s="714">
        <f t="shared" si="89"/>
        <v>40753</v>
      </c>
      <c r="FM21" s="714">
        <f t="shared" si="90"/>
        <v>40851</v>
      </c>
      <c r="FN21" s="712"/>
      <c r="FO21" s="712"/>
      <c r="FP21" s="712"/>
      <c r="FQ21" s="712"/>
      <c r="FR21" s="712"/>
      <c r="FS21" s="725">
        <f t="shared" si="91"/>
        <v>40603</v>
      </c>
      <c r="FT21" s="714">
        <f t="shared" si="92"/>
        <v>40709</v>
      </c>
      <c r="FU21" s="712">
        <f t="shared" si="93"/>
        <v>6518.9048239895692</v>
      </c>
      <c r="FV21" s="714">
        <f t="shared" si="94"/>
        <v>40722</v>
      </c>
      <c r="FW21" s="712">
        <f t="shared" si="95"/>
        <v>3259.4524119947846</v>
      </c>
      <c r="FX21" s="725">
        <f t="shared" si="96"/>
        <v>40851</v>
      </c>
      <c r="FZ21" s="697">
        <f t="shared" si="49"/>
        <v>0</v>
      </c>
      <c r="GA21" s="712" t="str">
        <f t="shared" si="139"/>
        <v/>
      </c>
      <c r="GB21" s="712">
        <f t="shared" si="140"/>
        <v>0</v>
      </c>
      <c r="GC21" s="712" t="str">
        <f t="shared" si="141"/>
        <v/>
      </c>
      <c r="GD21" s="712">
        <f>IF(GA21="P",Lookup!$M$12,IF(GA21="PP",Lookup!$M$13,IF(GA21="PPP",Lookup!$M$14,IF(GA21="T",Lookup!$M$15,IF(GA21="TP",Lookup!$M$16,IF(GA21="TPP",Lookup!$M$17,IF(GA21="TPPP",Lookup!$M$18,0)))))))*FZ21</f>
        <v>0</v>
      </c>
      <c r="GE21" s="712">
        <f t="shared" si="142"/>
        <v>0</v>
      </c>
      <c r="GF21" s="712">
        <f t="shared" si="143"/>
        <v>0</v>
      </c>
      <c r="GG21" s="712">
        <f t="shared" si="144"/>
        <v>0</v>
      </c>
      <c r="GH21" s="712"/>
      <c r="GI21" s="712">
        <f t="shared" si="145"/>
        <v>0</v>
      </c>
      <c r="GJ21" s="712" t="str">
        <f t="shared" si="146"/>
        <v/>
      </c>
      <c r="GK21" s="712">
        <f>IF(GA21="P",Lookup!$N$12,IF(GA21="PP",Lookup!$N$13,IF(GA21="PPP",Lookup!$N$14,IF(GA21="T",Lookup!$N$15,IF(GA21="TP",Lookup!$N$16,IF(GA21="TPP",Lookup!$N$17,IF(GA21="TPPP",Lookup!$N$18,0)))))))*FZ21</f>
        <v>0</v>
      </c>
      <c r="GL21" s="712">
        <f t="shared" si="147"/>
        <v>0</v>
      </c>
      <c r="GM21" s="712">
        <f t="shared" si="148"/>
        <v>0</v>
      </c>
      <c r="GN21" s="712">
        <f t="shared" si="149"/>
        <v>0</v>
      </c>
      <c r="GO21" s="712"/>
      <c r="GP21" s="712">
        <f t="shared" si="150"/>
        <v>0</v>
      </c>
      <c r="GQ21" s="712" t="str">
        <f t="shared" si="151"/>
        <v/>
      </c>
      <c r="GR21" s="712">
        <f>IF(GA21="P",Lookup!$N$12,IF(GA21="PP",Lookup!$N$13,IF(GA21="PPP",Lookup!$N$14,IF(GA21="T",Lookup!$N$15,IF(GA21="TP",Lookup!$N$16,IF(GA21="TPP",Lookup!$N$17,IF(GA21="TPPP",Lookup!$N$18,0)))))))*FZ21</f>
        <v>0</v>
      </c>
      <c r="GS21" s="697">
        <f t="shared" si="83"/>
        <v>0</v>
      </c>
      <c r="GT21" s="712">
        <f t="shared" si="152"/>
        <v>0</v>
      </c>
      <c r="GU21" s="712">
        <f t="shared" si="153"/>
        <v>0</v>
      </c>
      <c r="GV21" s="712"/>
      <c r="GW21" s="712">
        <f t="shared" si="154"/>
        <v>0</v>
      </c>
      <c r="GX21" s="712" t="str">
        <f t="shared" si="155"/>
        <v/>
      </c>
      <c r="GY21" s="712">
        <f>IF(GA21="P",Lookup!$N$12,IF(GA21="PP",Lookup!$N$13,IF(GA21="PPP",Lookup!$N$14,IF(GA21="T",Lookup!$N$15,IF(GA21="TP",Lookup!$N$16,IF(GA21="TPP",Lookup!$N$17,IF(GA21="TPPP",Lookup!$N$18,0)))))))*FZ21</f>
        <v>0</v>
      </c>
      <c r="GZ21" s="697">
        <f t="shared" si="85"/>
        <v>0</v>
      </c>
      <c r="HA21" s="712">
        <f t="shared" si="156"/>
        <v>0</v>
      </c>
      <c r="HB21" s="712">
        <f t="shared" si="157"/>
        <v>0</v>
      </c>
      <c r="HC21" s="712"/>
    </row>
    <row r="22" spans="1:211">
      <c r="A22" s="773" t="s">
        <v>9</v>
      </c>
      <c r="B22" s="708">
        <v>40551</v>
      </c>
      <c r="C22" s="709">
        <v>0.5</v>
      </c>
      <c r="D22" s="675">
        <f t="shared" si="65"/>
        <v>300</v>
      </c>
      <c r="E22" s="675">
        <f t="shared" si="66"/>
        <v>250</v>
      </c>
      <c r="F22" s="710">
        <v>250</v>
      </c>
      <c r="G22" s="712">
        <f>DH22+Sheet1!CV22</f>
        <v>2646.9328768219116</v>
      </c>
      <c r="H22" s="712">
        <f t="shared" si="97"/>
        <v>1444.0142115776837</v>
      </c>
      <c r="I22" s="711">
        <f>MAX(Sheet1!Z22-AJ22+(Sheet1!CW22-E22)*CFStoMGD,0)</f>
        <v>2028.4786666666669</v>
      </c>
      <c r="J22" s="720">
        <f>IF(AND(B22&gt;=Calculation!FS22,B22&lt;=Calculation!FT22),IF(Sheet1!CX22&gt;=Calculation!D22,64.64,0),MAX(Sheet1!Z22-AJ22+(Sheet1!CX22-D22)*CFStoMGD,0))</f>
        <v>1637.4066666666668</v>
      </c>
      <c r="K22" s="697">
        <f t="shared" si="67"/>
        <v>64.64</v>
      </c>
      <c r="L22" s="712">
        <f>Sheet1!AA22+Sheet1!AB22-Sheet1!L22+(Sheet1!CW22-F22)*CFStoMGD</f>
        <v>2033.5586666666677</v>
      </c>
      <c r="M22" s="712">
        <f t="shared" si="98"/>
        <v>1745.1969598092373</v>
      </c>
      <c r="N22" s="712">
        <f>IF(Sheet1!CW22&gt;=F22,MIN(73,MIN(MAX(L22,0),MAX(M22,0))),0)</f>
        <v>73</v>
      </c>
      <c r="O22" s="721">
        <f>Sheet1!AA22+Sheet1!AB22</f>
        <v>48</v>
      </c>
      <c r="P22" s="721">
        <f t="shared" si="99"/>
        <v>74.256</v>
      </c>
      <c r="Q22" s="712">
        <f>MIN(N22,Sheet1!AA22+AG22)</f>
        <v>48</v>
      </c>
      <c r="R22" s="712">
        <f t="shared" si="100"/>
        <v>0</v>
      </c>
      <c r="S22" s="721">
        <f>Sheet1!Y22*MGDtoCFS</f>
        <v>46.116069999999993</v>
      </c>
      <c r="T22" s="721">
        <f>Sheet1!Z22*MGDtoCFS</f>
        <v>30.754359999999998</v>
      </c>
      <c r="U22" s="721">
        <f>Sheet1!AA22*MGDtoCFS</f>
        <v>46.41</v>
      </c>
      <c r="V22" s="721">
        <f>Sheet1!AB22*MGDtoCFS</f>
        <v>27.846</v>
      </c>
      <c r="W22" s="721">
        <f>Sheet1!L22*MGDtoCFS</f>
        <v>63.488879999998531</v>
      </c>
      <c r="X22" s="697">
        <f t="shared" si="68"/>
        <v>0</v>
      </c>
      <c r="Y22" s="712">
        <f t="shared" si="4"/>
        <v>0</v>
      </c>
      <c r="Z22" s="712">
        <f t="shared" si="101"/>
        <v>0</v>
      </c>
      <c r="AA22" s="712">
        <f t="shared" si="6"/>
        <v>0</v>
      </c>
      <c r="AB22" s="712">
        <f>(VLOOKUP(Sheet1!CY22,hhdcap_wcm,4)-(((VLOOKUP(Sheet1!CY22,hhdcap_wcm,3)-Sheet1!CY22)/(VLOOKUP(Sheet1!CY22,hhdcap_wcm,3)-VLOOKUP(Sheet1!CY22,hhdcap_wcm,1)))*(VLOOKUP(Sheet1!CY22,hhdcap_wcm,4)-VLOOKUP(Sheet1!CY22,hhdcap_wcm,2))))</f>
        <v>3917.6000000064369</v>
      </c>
      <c r="AC22" s="712">
        <f t="shared" si="102"/>
        <v>476.10000000100854</v>
      </c>
      <c r="AD22" s="712">
        <f t="shared" si="70"/>
        <v>0</v>
      </c>
      <c r="AE22" s="712">
        <f t="shared" si="7"/>
        <v>0</v>
      </c>
      <c r="AF22" s="712">
        <f>Sheet1!BA22+Sheet1!BB22+Sheet1!BN22+BT22</f>
        <v>18</v>
      </c>
      <c r="AG22" s="712">
        <f t="shared" si="103"/>
        <v>18</v>
      </c>
      <c r="AH22" s="712">
        <f>Sheet1!BA22+BT22</f>
        <v>0</v>
      </c>
      <c r="AI22" s="712">
        <f>Sheet1!BA22+Sheet1!BB22+BT22</f>
        <v>0</v>
      </c>
      <c r="AJ22" s="712">
        <f>IF((Sheet1!AA22+AG22+AX22+AZ22+BQ22+BS22+CL22+CN22)&lt;=N22,AG22+AX22+AZ22+BQ22+BS22+CL22+CN22,N22-Sheet1!AA22)</f>
        <v>18</v>
      </c>
      <c r="AK22" s="712">
        <f>IF(DR22&lt;K22,0,MAX(Sheet1!AA22+AG22-15/36*K22-N22,Sheet1!ED22,0))</f>
        <v>0</v>
      </c>
      <c r="AL22" s="712">
        <f>IF(OR(B22&gt;=FT22,B22&lt;FS22),0,15/36*K22-MAX(0,64.6-(137.6-(Sheet1!AA22+Sheet1!AB22))))</f>
        <v>0</v>
      </c>
      <c r="AM22" s="712">
        <f>Sheet1!CX22-110</f>
        <v>2720.2083333333335</v>
      </c>
      <c r="AN22" s="712">
        <f>Sheet1!CW22-265</f>
        <v>3120.2083333333335</v>
      </c>
      <c r="AO22" s="712">
        <f t="shared" si="71"/>
        <v>25</v>
      </c>
      <c r="AP22" s="712">
        <f t="shared" si="72"/>
        <v>0</v>
      </c>
      <c r="AQ22" s="712">
        <f t="shared" si="10"/>
        <v>0</v>
      </c>
      <c r="AR22" s="712">
        <f t="shared" si="104"/>
        <v>0</v>
      </c>
      <c r="AS22" s="712"/>
      <c r="AT22" s="712">
        <f ca="1">IF(B22&gt;Summary!$A$1,#N/A,AR22*MGtoAF)</f>
        <v>0</v>
      </c>
      <c r="AU22" s="712">
        <f>Sheet1!BG22+Sheet1!BH22+Sheet1!BI22-BC22</f>
        <v>0</v>
      </c>
      <c r="AV22" s="712">
        <f t="shared" si="105"/>
        <v>0</v>
      </c>
      <c r="AW22" s="712">
        <f>IF(Sheet1!EL22="FM",BC22,0)</f>
        <v>0</v>
      </c>
      <c r="AX22" s="712">
        <f t="shared" si="106"/>
        <v>0</v>
      </c>
      <c r="AY22" s="712">
        <f>IF(Sheet1!EL22="OTHER",BC22,0)</f>
        <v>0</v>
      </c>
      <c r="AZ22" s="712">
        <f t="shared" si="107"/>
        <v>0</v>
      </c>
      <c r="BA22" s="712">
        <f t="shared" si="108"/>
        <v>0</v>
      </c>
      <c r="BB22" s="712">
        <f t="shared" si="109"/>
        <v>0</v>
      </c>
      <c r="BC22" s="712">
        <f>IF(OR(Sheet1!EL22="FM", Sheet1!EL22="OTHER"),SUM(Sheet1!BG22:'Sheet1'!BI22),0)</f>
        <v>0</v>
      </c>
      <c r="BD22" s="697">
        <f>IF(AND($B22&gt;=$FL22,$B22&lt;=$FM22),MAX(AV22,Sheet1!EE22,0),MAX(AV22-(7/36)*$K22,0))</f>
        <v>0</v>
      </c>
      <c r="BE22" s="712">
        <f t="shared" si="110"/>
        <v>0</v>
      </c>
      <c r="BF22" s="697">
        <f t="shared" si="73"/>
        <v>0</v>
      </c>
      <c r="BG22" s="697">
        <f>IF(AND($O22&gt;0,Sheet1!EI22=1),(1-($O22-Sheet1!$L22)/$O22)*BB22,0)</f>
        <v>0</v>
      </c>
      <c r="BH22" s="697">
        <f>IF(AND(Sheet1!$L22=0,Sheet1!$L21=0, Calculation!BA22&lt;Sheet1!$EE22-0.1,Sheet1!$EE22=Sheet1!$EE21,Sheet1!$EE22=Sheet1!$EE23),Sheet1!$EE22,BB22-BG22)</f>
        <v>0</v>
      </c>
      <c r="BI22" s="712"/>
      <c r="BJ22" s="712"/>
      <c r="BK22" s="712">
        <f t="shared" si="111"/>
        <v>0</v>
      </c>
      <c r="BL22" s="712"/>
      <c r="BM22" s="712">
        <f ca="1">IF(B22&gt;Summary!$A$1,#N/A,BK22*MGtoAF)</f>
        <v>0</v>
      </c>
      <c r="BN22" s="712">
        <f>Sheet1!BC22+Sheet1!BD22+Sheet1!BE22+Sheet1!BF22-BW22-BX22</f>
        <v>0</v>
      </c>
      <c r="BO22" s="712">
        <f t="shared" si="112"/>
        <v>0</v>
      </c>
      <c r="BP22" s="712">
        <f>IF(Sheet1!EM22="FM",BX22,0)</f>
        <v>0</v>
      </c>
      <c r="BQ22" s="712">
        <f t="shared" si="113"/>
        <v>0</v>
      </c>
      <c r="BR22" s="712">
        <f>IF(Sheet1!EM22="OTHER",BX22,0)</f>
        <v>0</v>
      </c>
      <c r="BS22" s="712">
        <f t="shared" si="114"/>
        <v>0</v>
      </c>
      <c r="BT22" s="712">
        <f t="shared" si="115"/>
        <v>0</v>
      </c>
      <c r="BU22" s="712">
        <f t="shared" si="116"/>
        <v>0</v>
      </c>
      <c r="BV22" s="712">
        <f t="shared" si="117"/>
        <v>0</v>
      </c>
      <c r="BW22" s="712">
        <f>IF(Sheet1!EM22="CWA",SUM(Sheet1!BC22:'Sheet1'!BF22),0)</f>
        <v>0</v>
      </c>
      <c r="BX22" s="712">
        <f>IF(OR(Sheet1!EM22="FM", Sheet1!EM22="OTHER"),SUM(Sheet1!BC22:'Sheet1'!BF22),0)</f>
        <v>0</v>
      </c>
      <c r="BY22" s="697">
        <f>IF(AND($B22&gt;=$FL22,$B22&lt;=$FM22),MAX(BV22,Sheet1!EF22,0),MAX(BV22-(7/36)*$K22,0))</f>
        <v>0</v>
      </c>
      <c r="BZ22" s="712">
        <f t="shared" si="118"/>
        <v>0</v>
      </c>
      <c r="CA22" s="697">
        <f t="shared" si="74"/>
        <v>0</v>
      </c>
      <c r="CB22" s="697">
        <f>IF(AND($O22&gt;0,Sheet1!EJ22=1),(1-($O22-Sheet1!$L22)/$O22)*BV22,0)</f>
        <v>0</v>
      </c>
      <c r="CC22" s="697">
        <f>IF(AND(Sheet1!$L22=0,Sheet1!$L21=0, Calculation!BU22&lt;Sheet1!EF22-0.1,Sheet1!EF22=Sheet1!EF21,Sheet1!EF22=Sheet1!EF23),Sheet1!EF22,BV22-CB22)</f>
        <v>0</v>
      </c>
      <c r="CD22" s="697"/>
      <c r="CE22" s="712"/>
      <c r="CF22" s="712">
        <f t="shared" si="119"/>
        <v>0</v>
      </c>
      <c r="CG22" s="712"/>
      <c r="CH22" s="712">
        <f ca="1">IF(B22&gt;Summary!$A$1,#N/A,CF22*MGtoAF)</f>
        <v>0</v>
      </c>
      <c r="CI22" s="712">
        <f>Sheet1!BK22+Sheet1!BL22+Sheet1!BM22-Sheet1!EN22-CQ22</f>
        <v>0</v>
      </c>
      <c r="CJ22" s="712">
        <f t="shared" si="120"/>
        <v>0</v>
      </c>
      <c r="CK22" s="712">
        <f>IF(Sheet1!EN22="FM",CQ22,0)</f>
        <v>0</v>
      </c>
      <c r="CL22" s="712">
        <f t="shared" si="121"/>
        <v>0</v>
      </c>
      <c r="CM22" s="712">
        <f>IF(Sheet1!EN22="OTHER",CQ22,0)</f>
        <v>0</v>
      </c>
      <c r="CN22" s="712">
        <f t="shared" si="122"/>
        <v>0</v>
      </c>
      <c r="CO22" s="712">
        <f t="shared" si="123"/>
        <v>0</v>
      </c>
      <c r="CP22" s="712">
        <f t="shared" si="124"/>
        <v>0</v>
      </c>
      <c r="CQ22" s="712">
        <f>IF(OR(Sheet1!EN22="FM", Sheet1!EN22="OTHER"),SUM(Sheet1!BK22:'Sheet1'!BM22),0)</f>
        <v>0</v>
      </c>
      <c r="CR22" s="697">
        <f>IF(AND($B22&gt;=$FL22,$B22&lt;=$FM22),MAX($CJ22,Sheet1!EG22,0),MAX($CJ22-(7/36)*$K22,0))</f>
        <v>0</v>
      </c>
      <c r="CS22" s="712">
        <f t="shared" si="125"/>
        <v>0</v>
      </c>
      <c r="CT22" s="697">
        <f t="shared" si="75"/>
        <v>0</v>
      </c>
      <c r="CU22" s="697">
        <f>IF(AND($O22&gt;0,Sheet1!EK22=1),(1-($O22-Sheet1!$L22)/$O22)*CP22,0)</f>
        <v>0</v>
      </c>
      <c r="CV22" s="697">
        <f>IF(AND(Sheet1!$L22=0,Sheet1!$L21=0, Calculation!CO22&lt;Sheet1!$EG22-0.1,Sheet1!$EG22=Sheet1!$EG21,Sheet1!$EG22=Sheet1!$EG23),Sheet1!$EG22,CP22-CU22)</f>
        <v>0</v>
      </c>
      <c r="CW22" s="697">
        <f t="shared" si="33"/>
        <v>0</v>
      </c>
      <c r="CX22" s="712">
        <f t="shared" si="87"/>
        <v>0</v>
      </c>
      <c r="CY22" s="712">
        <f t="shared" si="126"/>
        <v>0</v>
      </c>
      <c r="CZ22" s="712">
        <f t="shared" si="127"/>
        <v>0</v>
      </c>
      <c r="DA22" s="712">
        <f ca="1">IF(B22&gt;Summary!$A$1,#N/A,CY22*MGtoAF)</f>
        <v>0</v>
      </c>
      <c r="DB22" s="712">
        <f t="shared" si="128"/>
        <v>0</v>
      </c>
      <c r="DC22" s="712">
        <f t="shared" si="129"/>
        <v>18</v>
      </c>
      <c r="DD22" s="712">
        <f>Sheet1!AB22-DC22</f>
        <v>0</v>
      </c>
      <c r="DE22" s="712">
        <f t="shared" si="130"/>
        <v>0</v>
      </c>
      <c r="DF22" s="712">
        <f>(VLOOKUP(Sheet1!CY22,hhdcap_wcm,4)-(((VLOOKUP(Sheet1!CY22,hhdcap_wcm,3)-Sheet1!CY22)/(VLOOKUP(Sheet1!CY22,hhdcap_wcm,3)-VLOOKUP(Sheet1!CY22,hhdcap_wcm,1)))*(VLOOKUP(Sheet1!CY22,hhdcap_wcm,4)-VLOOKUP(Sheet1!CY22,hhdcap_wcm,2))))</f>
        <v>3917.6000000064369</v>
      </c>
      <c r="DG22" s="712">
        <f t="shared" si="131"/>
        <v>476.10000000100854</v>
      </c>
      <c r="DH22" s="712">
        <f t="shared" si="39"/>
        <v>240.09077155875363</v>
      </c>
      <c r="DI22" s="712">
        <f>Sheet1!DW22*AFtoMG</f>
        <v>0</v>
      </c>
      <c r="DJ22" s="712">
        <f>Sheet1!DX22*AFtoMG</f>
        <v>0</v>
      </c>
      <c r="DK22" s="712">
        <f>Sheet1!DY22*AFtoMG</f>
        <v>0</v>
      </c>
      <c r="DL22" s="712">
        <f>Sheet1!DZ22*AFtoMG</f>
        <v>0</v>
      </c>
      <c r="DM22" s="712">
        <f t="shared" si="132"/>
        <v>0</v>
      </c>
      <c r="DN22" s="712">
        <f t="shared" si="41"/>
        <v>0</v>
      </c>
      <c r="DO22" s="712">
        <f t="shared" si="133"/>
        <v>0</v>
      </c>
      <c r="DP22" s="712">
        <f t="shared" si="43"/>
        <v>0</v>
      </c>
      <c r="DQ22" s="712"/>
      <c r="DR22" s="697">
        <f>IF(OR(B22&lt;FL22,B22&gt;FM22),(MIN(AV22+BO22+CJ22+MAX(Sheet1!AA22+AG22-73,0),K22)),0)</f>
        <v>0</v>
      </c>
      <c r="DS22" s="712"/>
      <c r="DT22" s="712">
        <f t="shared" si="134"/>
        <v>0</v>
      </c>
      <c r="DU22" s="712"/>
      <c r="DV22" s="712">
        <f>Sheet1!ED22+Sheet1!EE22+Sheet1!EF22+Sheet1!EG22</f>
        <v>9.5</v>
      </c>
      <c r="DW22" s="712"/>
      <c r="DX22" s="697">
        <f t="shared" si="77"/>
        <v>0</v>
      </c>
      <c r="DY22" s="712">
        <f>IF(Sheet1!FN22=1,SUM('Calculations II'!AT22:BA22)+'Calculations II'!BC22+Sheet1!BU22+'Calculations II'!BE22+AF22,SUM('Calculations II'!AT22:BA22)+'Calculations II'!BC22+Sheet1!BU22+'Calculations II'!BE22+AF22)</f>
        <v>43.535728000000006</v>
      </c>
      <c r="DZ22" s="712">
        <f>Sheet1!AA22+Sheet1!AB22+'Calculations II'!BC22</f>
        <v>48</v>
      </c>
      <c r="EA22" s="712"/>
      <c r="EB22" s="712"/>
      <c r="EC22" s="712">
        <f t="shared" si="135"/>
        <v>40551</v>
      </c>
      <c r="ED22" s="712">
        <f t="shared" si="136"/>
        <v>0</v>
      </c>
      <c r="EE22" s="712">
        <f t="shared" si="137"/>
        <v>0</v>
      </c>
      <c r="EF22" s="712">
        <f>-(VLOOKUP(Sheet1!BQ22,Lookup!$B$4:$J$236,2)-VLOOKUP(Sheet1!BQ21,Lookup!$B$4:$J$236,2))/1000000</f>
        <v>-1.369</v>
      </c>
      <c r="EG22" s="712">
        <f>-(VLOOKUP(Sheet1!BR22,Lookup!$B$4:$J$236,3)-VLOOKUP(Sheet1!BR21,Lookup!$B$4:$J$236,3))/1000000</f>
        <v>-1.367</v>
      </c>
      <c r="EH22" s="712">
        <f>-(VLOOKUP(Sheet1!BS22,Lookup!$B$4:$J$236,4)-VLOOKUP(Sheet1!BS21,Lookup!$B$4:$J$236,4))/1000000</f>
        <v>0</v>
      </c>
      <c r="EI22" s="697">
        <f t="shared" si="88"/>
        <v>-2.7359999999999998</v>
      </c>
      <c r="EJ22" s="712"/>
      <c r="EK22" s="712"/>
      <c r="EL22" s="712"/>
      <c r="EM22" s="712"/>
      <c r="EN22" s="712"/>
      <c r="EO22" s="712"/>
      <c r="EP22" s="712"/>
      <c r="EQ22" s="712"/>
      <c r="ER22" s="697">
        <v>0</v>
      </c>
      <c r="ES22" s="712"/>
      <c r="ET22" s="794" t="e">
        <f t="shared" si="138"/>
        <v>#N/A</v>
      </c>
      <c r="EU22" s="794" t="e">
        <f t="shared" si="79"/>
        <v>#VALUE!</v>
      </c>
      <c r="EV22" s="795" t="e">
        <f t="shared" si="48"/>
        <v>#VALUE!</v>
      </c>
      <c r="EW22" s="796" t="s">
        <v>757</v>
      </c>
      <c r="EX22" s="796" t="s">
        <v>757</v>
      </c>
      <c r="EY22" s="794">
        <v>0</v>
      </c>
      <c r="EZ22" s="794" t="e">
        <v>#N/A</v>
      </c>
      <c r="FA22" s="712"/>
      <c r="FB22" s="712"/>
      <c r="FC22" s="712"/>
      <c r="FD22" s="712"/>
      <c r="FE22" s="712">
        <f>O22+Sheet1!CO22</f>
        <v>48</v>
      </c>
      <c r="FF22" s="712">
        <f>IF(Sheet1!AA22+AG22&lt;=Calculation!N22,AG22,Calculation!N22-Sheet1!AA22)</f>
        <v>18</v>
      </c>
      <c r="FG22" s="712">
        <f>(Sheet1!BP22+Sheet1!BO22)/694.4</f>
        <v>2.0946140552995391</v>
      </c>
      <c r="FH22" s="712"/>
      <c r="FI22" s="712"/>
      <c r="FJ22" s="712"/>
      <c r="FK22" s="712"/>
      <c r="FL22" s="714">
        <f t="shared" si="89"/>
        <v>40753</v>
      </c>
      <c r="FM22" s="714">
        <f t="shared" si="90"/>
        <v>40851</v>
      </c>
      <c r="FN22" s="712"/>
      <c r="FO22" s="712"/>
      <c r="FP22" s="712"/>
      <c r="FQ22" s="712"/>
      <c r="FR22" s="712"/>
      <c r="FS22" s="725">
        <f t="shared" si="91"/>
        <v>40603</v>
      </c>
      <c r="FT22" s="714">
        <f t="shared" si="92"/>
        <v>40709</v>
      </c>
      <c r="FU22" s="712">
        <f t="shared" si="93"/>
        <v>6518.9048239895692</v>
      </c>
      <c r="FV22" s="714">
        <f t="shared" si="94"/>
        <v>40722</v>
      </c>
      <c r="FW22" s="712">
        <f t="shared" si="95"/>
        <v>3259.4524119947846</v>
      </c>
      <c r="FX22" s="725">
        <f t="shared" si="96"/>
        <v>40851</v>
      </c>
      <c r="FZ22" s="697">
        <f t="shared" si="49"/>
        <v>0</v>
      </c>
      <c r="GA22" s="712" t="str">
        <f t="shared" si="139"/>
        <v/>
      </c>
      <c r="GB22" s="712">
        <f t="shared" si="140"/>
        <v>0</v>
      </c>
      <c r="GC22" s="712" t="str">
        <f t="shared" si="141"/>
        <v/>
      </c>
      <c r="GD22" s="712">
        <f>IF(GA22="P",Lookup!$M$12,IF(GA22="PP",Lookup!$M$13,IF(GA22="PPP",Lookup!$M$14,IF(GA22="T",Lookup!$M$15,IF(GA22="TP",Lookup!$M$16,IF(GA22="TPP",Lookup!$M$17,IF(GA22="TPPP",Lookup!$M$18,0)))))))*FZ22</f>
        <v>0</v>
      </c>
      <c r="GE22" s="712">
        <f t="shared" si="142"/>
        <v>0</v>
      </c>
      <c r="GF22" s="712">
        <f t="shared" si="143"/>
        <v>0</v>
      </c>
      <c r="GG22" s="712">
        <f t="shared" si="144"/>
        <v>0</v>
      </c>
      <c r="GH22" s="712"/>
      <c r="GI22" s="712">
        <f t="shared" si="145"/>
        <v>0</v>
      </c>
      <c r="GJ22" s="712" t="str">
        <f t="shared" si="146"/>
        <v/>
      </c>
      <c r="GK22" s="712">
        <f>IF(GA22="P",Lookup!$N$12,IF(GA22="PP",Lookup!$N$13,IF(GA22="PPP",Lookup!$N$14,IF(GA22="T",Lookup!$N$15,IF(GA22="TP",Lookup!$N$16,IF(GA22="TPP",Lookup!$N$17,IF(GA22="TPPP",Lookup!$N$18,0)))))))*FZ22</f>
        <v>0</v>
      </c>
      <c r="GL22" s="712">
        <f t="shared" si="147"/>
        <v>0</v>
      </c>
      <c r="GM22" s="712">
        <f t="shared" si="148"/>
        <v>0</v>
      </c>
      <c r="GN22" s="712">
        <f t="shared" si="149"/>
        <v>0</v>
      </c>
      <c r="GO22" s="712"/>
      <c r="GP22" s="712">
        <f t="shared" si="150"/>
        <v>0</v>
      </c>
      <c r="GQ22" s="712" t="str">
        <f t="shared" si="151"/>
        <v/>
      </c>
      <c r="GR22" s="712">
        <f>IF(GA22="P",Lookup!$N$12,IF(GA22="PP",Lookup!$N$13,IF(GA22="PPP",Lookup!$N$14,IF(GA22="T",Lookup!$N$15,IF(GA22="TP",Lookup!$N$16,IF(GA22="TPP",Lookup!$N$17,IF(GA22="TPPP",Lookup!$N$18,0)))))))*FZ22</f>
        <v>0</v>
      </c>
      <c r="GS22" s="697">
        <f t="shared" si="83"/>
        <v>0</v>
      </c>
      <c r="GT22" s="712">
        <f t="shared" si="152"/>
        <v>0</v>
      </c>
      <c r="GU22" s="712">
        <f t="shared" si="153"/>
        <v>0</v>
      </c>
      <c r="GV22" s="712"/>
      <c r="GW22" s="712">
        <f t="shared" si="154"/>
        <v>0</v>
      </c>
      <c r="GX22" s="712" t="str">
        <f t="shared" si="155"/>
        <v/>
      </c>
      <c r="GY22" s="712">
        <f>IF(GA22="P",Lookup!$N$12,IF(GA22="PP",Lookup!$N$13,IF(GA22="PPP",Lookup!$N$14,IF(GA22="T",Lookup!$N$15,IF(GA22="TP",Lookup!$N$16,IF(GA22="TPP",Lookup!$N$17,IF(GA22="TPPP",Lookup!$N$18,0)))))))*FZ22</f>
        <v>0</v>
      </c>
      <c r="GZ22" s="697">
        <f t="shared" si="85"/>
        <v>0</v>
      </c>
      <c r="HA22" s="712">
        <f t="shared" si="156"/>
        <v>0</v>
      </c>
      <c r="HB22" s="712">
        <f t="shared" si="157"/>
        <v>0</v>
      </c>
      <c r="HC22" s="712"/>
    </row>
    <row r="23" spans="1:211">
      <c r="A23" s="773" t="s">
        <v>3</v>
      </c>
      <c r="B23" s="708">
        <v>40552</v>
      </c>
      <c r="C23" s="719">
        <v>0.5</v>
      </c>
      <c r="D23" s="675">
        <f t="shared" si="65"/>
        <v>300</v>
      </c>
      <c r="E23" s="675">
        <f t="shared" si="66"/>
        <v>250</v>
      </c>
      <c r="F23" s="710">
        <v>250</v>
      </c>
      <c r="G23" s="712">
        <f>DH23+Sheet1!CV23</f>
        <v>1959.9529332649718</v>
      </c>
      <c r="H23" s="712">
        <f t="shared" si="97"/>
        <v>999.95037606247774</v>
      </c>
      <c r="I23" s="711">
        <f>MAX(Sheet1!Z23-AJ23+(Sheet1!CW23-E23)*CFStoMGD,0)</f>
        <v>2081.3946666666679</v>
      </c>
      <c r="J23" s="720">
        <f>IF(AND(B23&gt;=Calculation!FS23,B23&lt;=Calculation!FT23),IF(Sheet1!CX23&gt;=Calculation!D23,64.64,0),MAX(Sheet1!Z23-AJ23+(Sheet1!CX23-D23)*CFStoMGD,0))</f>
        <v>1621.5753333333346</v>
      </c>
      <c r="K23" s="697">
        <f t="shared" si="67"/>
        <v>64.64</v>
      </c>
      <c r="L23" s="712">
        <f>Sheet1!AA23+Sheet1!AB23-Sheet1!L23+(Sheet1!CW23-F23)*CFStoMGD</f>
        <v>2105.6046666666762</v>
      </c>
      <c r="M23" s="712">
        <f t="shared" si="98"/>
        <v>1292.2518475837273</v>
      </c>
      <c r="N23" s="712">
        <f>IF(Sheet1!CW23&gt;=F23,MIN(73,MIN(MAX(L23,0),MAX(M23,0))),0)</f>
        <v>73</v>
      </c>
      <c r="O23" s="721">
        <f>Sheet1!AA23+Sheet1!AB23</f>
        <v>42.940000000009604</v>
      </c>
      <c r="P23" s="721">
        <f t="shared" si="99"/>
        <v>66.428180000014848</v>
      </c>
      <c r="Q23" s="712">
        <f>MIN(N23,Sheet1!AA23+AG23)</f>
        <v>42.940000000009604</v>
      </c>
      <c r="R23" s="712">
        <f t="shared" si="100"/>
        <v>0</v>
      </c>
      <c r="S23" s="721">
        <f>Sheet1!Y23*MGDtoCFS</f>
        <v>46.41</v>
      </c>
      <c r="T23" s="721">
        <f>Sheet1!Z23*MGDtoCFS</f>
        <v>22.818249999999999</v>
      </c>
      <c r="U23" s="721">
        <f>Sheet1!AA23*MGDtoCFS</f>
        <v>43.068480000017104</v>
      </c>
      <c r="V23" s="721">
        <f>Sheet1!AB23*MGDtoCFS</f>
        <v>23.359699999997748</v>
      </c>
      <c r="W23" s="721">
        <f>Sheet1!L23*MGDtoCFS</f>
        <v>29.516759999999888</v>
      </c>
      <c r="X23" s="697">
        <f t="shared" si="68"/>
        <v>0</v>
      </c>
      <c r="Y23" s="712">
        <f t="shared" si="4"/>
        <v>0</v>
      </c>
      <c r="Z23" s="712">
        <f t="shared" si="101"/>
        <v>0</v>
      </c>
      <c r="AA23" s="712">
        <f t="shared" si="6"/>
        <v>0</v>
      </c>
      <c r="AB23" s="712">
        <f>(VLOOKUP(Sheet1!CY23,hhdcap_wcm,4)-(((VLOOKUP(Sheet1!CY23,hhdcap_wcm,3)-Sheet1!CY23)/(VLOOKUP(Sheet1!CY23,hhdcap_wcm,3)-VLOOKUP(Sheet1!CY23,hhdcap_wcm,1)))*(VLOOKUP(Sheet1!CY23,hhdcap_wcm,4)-VLOOKUP(Sheet1!CY23,hhdcap_wcm,2))))</f>
        <v>2762.9600000042092</v>
      </c>
      <c r="AC23" s="712">
        <f t="shared" si="102"/>
        <v>-1154.6400000022277</v>
      </c>
      <c r="AD23" s="712">
        <f t="shared" si="70"/>
        <v>0</v>
      </c>
      <c r="AE23" s="712">
        <f t="shared" si="7"/>
        <v>0</v>
      </c>
      <c r="AF23" s="712">
        <f>Sheet1!BA23+Sheet1!BB23+Sheet1!BN23+BT23</f>
        <v>15.1</v>
      </c>
      <c r="AG23" s="712">
        <f t="shared" si="103"/>
        <v>15.099999999998545</v>
      </c>
      <c r="AH23" s="712">
        <f>Sheet1!BA23+BT23</f>
        <v>0</v>
      </c>
      <c r="AI23" s="712">
        <f>Sheet1!BA23+Sheet1!BB23+BT23</f>
        <v>0</v>
      </c>
      <c r="AJ23" s="712">
        <f>IF((Sheet1!AA23+AG23+AX23+AZ23+BQ23+BS23+CL23+CN23)&lt;=N23,AG23+AX23+AZ23+BQ23+BS23+CL23+CN23,N23-Sheet1!AA23)</f>
        <v>15.099999999998545</v>
      </c>
      <c r="AK23" s="712">
        <f>IF(DR23&lt;K23,0,MAX(Sheet1!AA23+AG23-15/36*K23-N23,Sheet1!ED23,0))</f>
        <v>0</v>
      </c>
      <c r="AL23" s="712">
        <f>IF(OR(B23&gt;=FT23,B23&lt;FS23),0,15/36*K23-MAX(0,64.6-(137.6-(Sheet1!AA23+Sheet1!AB23))))</f>
        <v>0</v>
      </c>
      <c r="AM23" s="712">
        <f>Sheet1!CX23-110</f>
        <v>2699.1666666666665</v>
      </c>
      <c r="AN23" s="712">
        <f>Sheet1!CW23-265</f>
        <v>3205.5208333333335</v>
      </c>
      <c r="AO23" s="712">
        <f t="shared" si="71"/>
        <v>30.059999999990396</v>
      </c>
      <c r="AP23" s="712">
        <f t="shared" si="72"/>
        <v>0</v>
      </c>
      <c r="AQ23" s="712">
        <f t="shared" si="10"/>
        <v>0</v>
      </c>
      <c r="AR23" s="712">
        <f t="shared" si="104"/>
        <v>0</v>
      </c>
      <c r="AS23" s="712"/>
      <c r="AT23" s="712">
        <f ca="1">IF(B23&gt;Summary!$A$1,#N/A,AR23*MGtoAF)</f>
        <v>0</v>
      </c>
      <c r="AU23" s="712">
        <f>Sheet1!BG23+Sheet1!BH23+Sheet1!BI23-BC23</f>
        <v>0</v>
      </c>
      <c r="AV23" s="712">
        <f t="shared" si="105"/>
        <v>0</v>
      </c>
      <c r="AW23" s="712">
        <f>IF(Sheet1!EL23="FM",BC23,0)</f>
        <v>0</v>
      </c>
      <c r="AX23" s="712">
        <f t="shared" si="106"/>
        <v>0</v>
      </c>
      <c r="AY23" s="712">
        <f>IF(Sheet1!EL23="OTHER",BC23,0)</f>
        <v>0</v>
      </c>
      <c r="AZ23" s="712">
        <f t="shared" si="107"/>
        <v>0</v>
      </c>
      <c r="BA23" s="712">
        <f t="shared" si="108"/>
        <v>0</v>
      </c>
      <c r="BB23" s="712">
        <f t="shared" si="109"/>
        <v>0</v>
      </c>
      <c r="BC23" s="712">
        <f>IF(OR(Sheet1!EL23="FM", Sheet1!EL23="OTHER"),SUM(Sheet1!BG23:'Sheet1'!BI23),0)</f>
        <v>0</v>
      </c>
      <c r="BD23" s="697">
        <f>IF(AND($B23&gt;=$FL23,$B23&lt;=$FM23),MAX(AV23,Sheet1!EE23,0),MAX(AV23-(7/36)*$K23,0))</f>
        <v>0</v>
      </c>
      <c r="BE23" s="712">
        <f t="shared" si="110"/>
        <v>0</v>
      </c>
      <c r="BF23" s="697">
        <f t="shared" si="73"/>
        <v>0</v>
      </c>
      <c r="BG23" s="697">
        <f>IF(AND($O23&gt;0,Sheet1!EI23=1),(1-($O23-Sheet1!$L23)/$O23)*BB23,0)</f>
        <v>0</v>
      </c>
      <c r="BH23" s="697">
        <f>IF(AND(Sheet1!$L23=0,Sheet1!$L22=0, Calculation!BA23&lt;Sheet1!$EE23-0.1,Sheet1!$EE23=Sheet1!$EE22,Sheet1!$EE23=Sheet1!$EE24),Sheet1!$EE23,BB23-BG23)</f>
        <v>0</v>
      </c>
      <c r="BI23" s="712"/>
      <c r="BJ23" s="712"/>
      <c r="BK23" s="712">
        <f t="shared" si="111"/>
        <v>0</v>
      </c>
      <c r="BL23" s="712"/>
      <c r="BM23" s="712">
        <f ca="1">IF(B23&gt;Summary!$A$1,#N/A,BK23*MGtoAF)</f>
        <v>0</v>
      </c>
      <c r="BN23" s="712">
        <f>Sheet1!BC23+Sheet1!BD23+Sheet1!BE23+Sheet1!BF23-BW23-BX23</f>
        <v>0</v>
      </c>
      <c r="BO23" s="712">
        <f t="shared" si="112"/>
        <v>0</v>
      </c>
      <c r="BP23" s="712">
        <f>IF(Sheet1!EM23="FM",BX23,0)</f>
        <v>0</v>
      </c>
      <c r="BQ23" s="712">
        <f t="shared" si="113"/>
        <v>0</v>
      </c>
      <c r="BR23" s="712">
        <f>IF(Sheet1!EM23="OTHER",BX23,0)</f>
        <v>0</v>
      </c>
      <c r="BS23" s="712">
        <f t="shared" si="114"/>
        <v>0</v>
      </c>
      <c r="BT23" s="712">
        <f t="shared" si="115"/>
        <v>0</v>
      </c>
      <c r="BU23" s="712">
        <f t="shared" si="116"/>
        <v>0</v>
      </c>
      <c r="BV23" s="712">
        <f t="shared" si="117"/>
        <v>0</v>
      </c>
      <c r="BW23" s="712">
        <f>IF(Sheet1!EM23="CWA",SUM(Sheet1!BC23:'Sheet1'!BF23),0)</f>
        <v>0</v>
      </c>
      <c r="BX23" s="712">
        <f>IF(OR(Sheet1!EM23="FM", Sheet1!EM23="OTHER"),SUM(Sheet1!BC23:'Sheet1'!BF23),0)</f>
        <v>0</v>
      </c>
      <c r="BY23" s="697">
        <f>IF(AND($B23&gt;=$FL23,$B23&lt;=$FM23),MAX(BV23,Sheet1!EF23,0),MAX(BV23-(7/36)*$K23,0))</f>
        <v>0</v>
      </c>
      <c r="BZ23" s="712">
        <f t="shared" si="118"/>
        <v>0</v>
      </c>
      <c r="CA23" s="697">
        <f t="shared" si="74"/>
        <v>0</v>
      </c>
      <c r="CB23" s="697">
        <f>IF(AND($O23&gt;0,Sheet1!EJ23=1),(1-($O23-Sheet1!$L23)/$O23)*BV23,0)</f>
        <v>0</v>
      </c>
      <c r="CC23" s="697">
        <f>IF(AND(Sheet1!$L23=0,Sheet1!$L22=0, Calculation!BU23&lt;Sheet1!EF23-0.1,Sheet1!EF23=Sheet1!EF22,Sheet1!EF23=Sheet1!EF24),Sheet1!EF23,BV23-CB23)</f>
        <v>0</v>
      </c>
      <c r="CD23" s="697"/>
      <c r="CE23" s="712"/>
      <c r="CF23" s="712">
        <f t="shared" si="119"/>
        <v>0</v>
      </c>
      <c r="CG23" s="712"/>
      <c r="CH23" s="712">
        <f ca="1">IF(B23&gt;Summary!$A$1,#N/A,CF23*MGtoAF)</f>
        <v>0</v>
      </c>
      <c r="CI23" s="712">
        <f>Sheet1!BK23+Sheet1!BL23+Sheet1!BM23-Sheet1!EN23-CQ23</f>
        <v>0</v>
      </c>
      <c r="CJ23" s="712">
        <f t="shared" si="120"/>
        <v>0</v>
      </c>
      <c r="CK23" s="712">
        <f>IF(Sheet1!EN23="FM",CQ23,0)</f>
        <v>0</v>
      </c>
      <c r="CL23" s="712">
        <f t="shared" si="121"/>
        <v>0</v>
      </c>
      <c r="CM23" s="712">
        <f>IF(Sheet1!EN23="OTHER",CQ23,0)</f>
        <v>0</v>
      </c>
      <c r="CN23" s="712">
        <f t="shared" si="122"/>
        <v>0</v>
      </c>
      <c r="CO23" s="712">
        <f t="shared" si="123"/>
        <v>0</v>
      </c>
      <c r="CP23" s="712">
        <f t="shared" si="124"/>
        <v>0</v>
      </c>
      <c r="CQ23" s="712">
        <f>IF(OR(Sheet1!EN23="FM", Sheet1!EN23="OTHER"),SUM(Sheet1!BK23:'Sheet1'!BM23),0)</f>
        <v>0</v>
      </c>
      <c r="CR23" s="697">
        <f>IF(AND($B23&gt;=$FL23,$B23&lt;=$FM23),MAX($CJ23,Sheet1!EG23,0),MAX($CJ23-(7/36)*$K23,0))</f>
        <v>0</v>
      </c>
      <c r="CS23" s="712">
        <f t="shared" si="125"/>
        <v>0</v>
      </c>
      <c r="CT23" s="697">
        <f t="shared" si="75"/>
        <v>0</v>
      </c>
      <c r="CU23" s="697">
        <f>IF(AND($O23&gt;0,Sheet1!EK23=1),(1-($O23-Sheet1!$L23)/$O23)*CP23,0)</f>
        <v>0</v>
      </c>
      <c r="CV23" s="697">
        <f>IF(AND(Sheet1!$L23=0,Sheet1!$L22=0, Calculation!CO23&lt;Sheet1!$EG23-0.1,Sheet1!$EG23=Sheet1!$EG22,Sheet1!$EG23=Sheet1!$EG24),Sheet1!$EG23,CP23-CU23)</f>
        <v>0</v>
      </c>
      <c r="CW23" s="697">
        <f t="shared" si="33"/>
        <v>0</v>
      </c>
      <c r="CX23" s="712">
        <f t="shared" si="87"/>
        <v>0</v>
      </c>
      <c r="CY23" s="712">
        <f t="shared" si="126"/>
        <v>0</v>
      </c>
      <c r="CZ23" s="712">
        <f t="shared" si="127"/>
        <v>0</v>
      </c>
      <c r="DA23" s="712">
        <f ca="1">IF(B23&gt;Summary!$A$1,#N/A,CY23*MGtoAF)</f>
        <v>0</v>
      </c>
      <c r="DB23" s="712">
        <f t="shared" si="128"/>
        <v>0</v>
      </c>
      <c r="DC23" s="712">
        <f t="shared" si="129"/>
        <v>15.1</v>
      </c>
      <c r="DD23" s="712">
        <f>Sheet1!AB23-DC23</f>
        <v>-1.4548362514688051E-12</v>
      </c>
      <c r="DE23" s="712">
        <f t="shared" si="130"/>
        <v>-9.6346771620450671E-14</v>
      </c>
      <c r="DF23" s="712">
        <f>(VLOOKUP(Sheet1!CY23,hhdcap_wcm,4)-(((VLOOKUP(Sheet1!CY23,hhdcap_wcm,3)-Sheet1!CY23)/(VLOOKUP(Sheet1!CY23,hhdcap_wcm,3)-VLOOKUP(Sheet1!CY23,hhdcap_wcm,1)))*(VLOOKUP(Sheet1!CY23,hhdcap_wcm,4)-VLOOKUP(Sheet1!CY23,hhdcap_wcm,2))))</f>
        <v>2762.9600000042092</v>
      </c>
      <c r="DG23" s="712">
        <f t="shared" si="131"/>
        <v>-1154.6400000022277</v>
      </c>
      <c r="DH23" s="712">
        <f t="shared" si="39"/>
        <v>-582.26928895725041</v>
      </c>
      <c r="DI23" s="712">
        <f>Sheet1!DW23*AFtoMG</f>
        <v>0</v>
      </c>
      <c r="DJ23" s="712">
        <f>Sheet1!DX23*AFtoMG</f>
        <v>0</v>
      </c>
      <c r="DK23" s="712">
        <f>Sheet1!DY23*AFtoMG</f>
        <v>0</v>
      </c>
      <c r="DL23" s="712">
        <f>Sheet1!DZ23*AFtoMG</f>
        <v>0</v>
      </c>
      <c r="DM23" s="712">
        <f t="shared" si="132"/>
        <v>0</v>
      </c>
      <c r="DN23" s="712">
        <f t="shared" si="41"/>
        <v>0</v>
      </c>
      <c r="DO23" s="712">
        <f t="shared" si="133"/>
        <v>0</v>
      </c>
      <c r="DP23" s="712">
        <f t="shared" si="43"/>
        <v>0</v>
      </c>
      <c r="DQ23" s="712"/>
      <c r="DR23" s="697">
        <f>IF(OR(B23&lt;FL23,B23&gt;FM23),(MIN(AV23+BO23+CJ23+MAX(Sheet1!AA23+AG23-73,0),K23)),0)</f>
        <v>0</v>
      </c>
      <c r="DS23" s="712"/>
      <c r="DT23" s="712">
        <f t="shared" si="134"/>
        <v>0</v>
      </c>
      <c r="DU23" s="712"/>
      <c r="DV23" s="712">
        <f>Sheet1!ED23+Sheet1!EE23+Sheet1!EF23+Sheet1!EG23</f>
        <v>9.5</v>
      </c>
      <c r="DW23" s="712"/>
      <c r="DX23" s="697">
        <f t="shared" si="77"/>
        <v>0</v>
      </c>
      <c r="DY23" s="712">
        <f>IF(Sheet1!FN23=1,SUM('Calculations II'!AT23:BA23)+'Calculations II'!BC23+Sheet1!BU23+'Calculations II'!BE23+AF23,SUM('Calculations II'!AT23:BA23)+'Calculations II'!BC23+Sheet1!BU23+'Calculations II'!BE23+AF23)</f>
        <v>47.479520000000001</v>
      </c>
      <c r="DZ23" s="712">
        <f>Sheet1!AA23+Sheet1!AB23+'Calculations II'!BC23</f>
        <v>42.940000000009604</v>
      </c>
      <c r="EA23" s="712"/>
      <c r="EB23" s="712"/>
      <c r="EC23" s="712">
        <f t="shared" si="135"/>
        <v>40552</v>
      </c>
      <c r="ED23" s="712">
        <f t="shared" si="136"/>
        <v>0</v>
      </c>
      <c r="EE23" s="712">
        <f t="shared" si="137"/>
        <v>0</v>
      </c>
      <c r="EF23" s="712">
        <f>-(VLOOKUP(Sheet1!BQ23,Lookup!$B$4:$J$236,2)-VLOOKUP(Sheet1!BQ22,Lookup!$B$4:$J$236,2))/1000000</f>
        <v>3.2690999999999999</v>
      </c>
      <c r="EG23" s="712">
        <f>-(VLOOKUP(Sheet1!BR23,Lookup!$B$4:$J$236,3)-VLOOKUP(Sheet1!BR22,Lookup!$B$4:$J$236,3))/1000000</f>
        <v>3.5337999999999998</v>
      </c>
      <c r="EH23" s="712">
        <f>-(VLOOKUP(Sheet1!BS23,Lookup!$B$4:$J$236,4)-VLOOKUP(Sheet1!BS22,Lookup!$B$4:$J$236,4))/1000000</f>
        <v>0</v>
      </c>
      <c r="EI23" s="697">
        <f t="shared" si="88"/>
        <v>6.8028999999999993</v>
      </c>
      <c r="EJ23" s="712"/>
      <c r="EK23" s="712"/>
      <c r="EL23" s="712"/>
      <c r="EM23" s="712"/>
      <c r="EN23" s="712"/>
      <c r="EO23" s="712"/>
      <c r="EP23" s="712"/>
      <c r="EQ23" s="712"/>
      <c r="ER23" s="697">
        <v>0</v>
      </c>
      <c r="ES23" s="712"/>
      <c r="ET23" s="794" t="e">
        <f t="shared" si="138"/>
        <v>#N/A</v>
      </c>
      <c r="EU23" s="794" t="e">
        <f t="shared" si="79"/>
        <v>#VALUE!</v>
      </c>
      <c r="EV23" s="795" t="e">
        <f t="shared" si="48"/>
        <v>#VALUE!</v>
      </c>
      <c r="EW23" s="796" t="s">
        <v>757</v>
      </c>
      <c r="EX23" s="796" t="s">
        <v>757</v>
      </c>
      <c r="EY23" s="794">
        <v>0</v>
      </c>
      <c r="EZ23" s="794" t="e">
        <v>#N/A</v>
      </c>
      <c r="FA23" s="712"/>
      <c r="FB23" s="712"/>
      <c r="FC23" s="712"/>
      <c r="FD23" s="712"/>
      <c r="FE23" s="712">
        <f>O23+Sheet1!CO23</f>
        <v>42.940000000009604</v>
      </c>
      <c r="FF23" s="712">
        <f>IF(Sheet1!AA23+AG23&lt;=Calculation!N23,AG23,Calculation!N23-Sheet1!AA23)</f>
        <v>15.099999999998545</v>
      </c>
      <c r="FG23" s="712">
        <f>(Sheet1!BP23+Sheet1!BO23)/694.4</f>
        <v>3.1425691244239631</v>
      </c>
      <c r="FH23" s="712"/>
      <c r="FI23" s="712"/>
      <c r="FJ23" s="712"/>
      <c r="FK23" s="712"/>
      <c r="FL23" s="714">
        <f t="shared" si="89"/>
        <v>40753</v>
      </c>
      <c r="FM23" s="714">
        <f t="shared" si="90"/>
        <v>40851</v>
      </c>
      <c r="FN23" s="712"/>
      <c r="FO23" s="712"/>
      <c r="FP23" s="712"/>
      <c r="FQ23" s="712"/>
      <c r="FR23" s="712"/>
      <c r="FS23" s="725">
        <f t="shared" si="91"/>
        <v>40603</v>
      </c>
      <c r="FT23" s="714">
        <f t="shared" si="92"/>
        <v>40709</v>
      </c>
      <c r="FU23" s="712">
        <f t="shared" si="93"/>
        <v>6518.9048239895692</v>
      </c>
      <c r="FV23" s="714">
        <f t="shared" si="94"/>
        <v>40722</v>
      </c>
      <c r="FW23" s="712">
        <f t="shared" si="95"/>
        <v>3259.4524119947846</v>
      </c>
      <c r="FX23" s="725">
        <f t="shared" si="96"/>
        <v>40851</v>
      </c>
      <c r="FZ23" s="697">
        <f t="shared" si="49"/>
        <v>0</v>
      </c>
      <c r="GA23" s="712" t="str">
        <f t="shared" si="139"/>
        <v/>
      </c>
      <c r="GB23" s="712">
        <f t="shared" si="140"/>
        <v>0</v>
      </c>
      <c r="GC23" s="712" t="str">
        <f t="shared" si="141"/>
        <v/>
      </c>
      <c r="GD23" s="712">
        <f>IF(GA23="P",Lookup!$M$12,IF(GA23="PP",Lookup!$M$13,IF(GA23="PPP",Lookup!$M$14,IF(GA23="T",Lookup!$M$15,IF(GA23="TP",Lookup!$M$16,IF(GA23="TPP",Lookup!$M$17,IF(GA23="TPPP",Lookup!$M$18,0)))))))*FZ23</f>
        <v>0</v>
      </c>
      <c r="GE23" s="712">
        <f t="shared" si="142"/>
        <v>0</v>
      </c>
      <c r="GF23" s="712">
        <f t="shared" si="143"/>
        <v>0</v>
      </c>
      <c r="GG23" s="712">
        <f t="shared" si="144"/>
        <v>0</v>
      </c>
      <c r="GH23" s="712"/>
      <c r="GI23" s="712">
        <f t="shared" si="145"/>
        <v>0</v>
      </c>
      <c r="GJ23" s="712" t="str">
        <f t="shared" si="146"/>
        <v/>
      </c>
      <c r="GK23" s="712">
        <f>IF(GA23="P",Lookup!$N$12,IF(GA23="PP",Lookup!$N$13,IF(GA23="PPP",Lookup!$N$14,IF(GA23="T",Lookup!$N$15,IF(GA23="TP",Lookup!$N$16,IF(GA23="TPP",Lookup!$N$17,IF(GA23="TPPP",Lookup!$N$18,0)))))))*FZ23</f>
        <v>0</v>
      </c>
      <c r="GL23" s="712">
        <f t="shared" si="147"/>
        <v>0</v>
      </c>
      <c r="GM23" s="712">
        <f t="shared" si="148"/>
        <v>0</v>
      </c>
      <c r="GN23" s="712">
        <f t="shared" si="149"/>
        <v>0</v>
      </c>
      <c r="GO23" s="712"/>
      <c r="GP23" s="712">
        <f t="shared" si="150"/>
        <v>0</v>
      </c>
      <c r="GQ23" s="712" t="str">
        <f t="shared" si="151"/>
        <v/>
      </c>
      <c r="GR23" s="712">
        <f>IF(GA23="P",Lookup!$N$12,IF(GA23="PP",Lookup!$N$13,IF(GA23="PPP",Lookup!$N$14,IF(GA23="T",Lookup!$N$15,IF(GA23="TP",Lookup!$N$16,IF(GA23="TPP",Lookup!$N$17,IF(GA23="TPPP",Lookup!$N$18,0)))))))*FZ23</f>
        <v>0</v>
      </c>
      <c r="GS23" s="697">
        <f t="shared" si="83"/>
        <v>0</v>
      </c>
      <c r="GT23" s="712">
        <f t="shared" si="152"/>
        <v>0</v>
      </c>
      <c r="GU23" s="712">
        <f t="shared" si="153"/>
        <v>0</v>
      </c>
      <c r="GV23" s="712"/>
      <c r="GW23" s="712">
        <f t="shared" si="154"/>
        <v>0</v>
      </c>
      <c r="GX23" s="712" t="str">
        <f t="shared" si="155"/>
        <v/>
      </c>
      <c r="GY23" s="712">
        <f>IF(GA23="P",Lookup!$N$12,IF(GA23="PP",Lookup!$N$13,IF(GA23="PPP",Lookup!$N$14,IF(GA23="T",Lookup!$N$15,IF(GA23="TP",Lookup!$N$16,IF(GA23="TPP",Lookup!$N$17,IF(GA23="TPPP",Lookup!$N$18,0)))))))*FZ23</f>
        <v>0</v>
      </c>
      <c r="GZ23" s="697">
        <f t="shared" si="85"/>
        <v>0</v>
      </c>
      <c r="HA23" s="712">
        <f t="shared" si="156"/>
        <v>0</v>
      </c>
      <c r="HB23" s="712">
        <f t="shared" si="157"/>
        <v>0</v>
      </c>
      <c r="HC23" s="712"/>
    </row>
    <row r="24" spans="1:211">
      <c r="A24" s="773" t="s">
        <v>4</v>
      </c>
      <c r="B24" s="708">
        <v>40553</v>
      </c>
      <c r="C24" s="709">
        <v>0.5</v>
      </c>
      <c r="D24" s="675">
        <f t="shared" si="65"/>
        <v>300</v>
      </c>
      <c r="E24" s="675">
        <f t="shared" si="66"/>
        <v>250</v>
      </c>
      <c r="F24" s="675">
        <v>250</v>
      </c>
      <c r="G24" s="712">
        <f>DH24+Sheet1!CV24</f>
        <v>1610.073121532324</v>
      </c>
      <c r="H24" s="712">
        <f t="shared" si="97"/>
        <v>773.78806575849421</v>
      </c>
      <c r="I24" s="711">
        <f>MAX(Sheet1!Z24-AJ24+(Sheet1!CW24-E24)*CFStoMGD,0)</f>
        <v>1762.5193333333275</v>
      </c>
      <c r="J24" s="720">
        <f>IF(AND(B24&gt;=Calculation!FS24,B24&lt;=Calculation!FT24),IF(Sheet1!CX24&gt;=Calculation!D24,64.64,0),MAX(Sheet1!Z24-AJ24+(Sheet1!CX24-D24)*CFStoMGD,0))</f>
        <v>1182.9813333333275</v>
      </c>
      <c r="K24" s="697">
        <f t="shared" si="67"/>
        <v>64.64</v>
      </c>
      <c r="L24" s="712">
        <f>Sheet1!AA24+Sheet1!AB24-Sheet1!L24+(Sheet1!CW24-F24)*CFStoMGD</f>
        <v>1785.6793333333396</v>
      </c>
      <c r="M24" s="712">
        <f t="shared" si="98"/>
        <v>1061.5662910736642</v>
      </c>
      <c r="N24" s="712">
        <f>IF(Sheet1!CW24&gt;=F24,MIN(73,MIN(MAX(L24,0),MAX(M24,0))),0)</f>
        <v>73</v>
      </c>
      <c r="O24" s="721">
        <f>Sheet1!AA24+Sheet1!AB24</f>
        <v>41.460000000006403</v>
      </c>
      <c r="P24" s="721">
        <f t="shared" si="99"/>
        <v>64.138620000009908</v>
      </c>
      <c r="Q24" s="712">
        <f>MIN(N24,Sheet1!AA24+AG24)</f>
        <v>41.460000000006403</v>
      </c>
      <c r="R24" s="712">
        <f t="shared" si="100"/>
        <v>0</v>
      </c>
      <c r="S24" s="721">
        <f>Sheet1!Y24*MGDtoCFS</f>
        <v>40.9955</v>
      </c>
      <c r="T24" s="721">
        <f>Sheet1!Z24*MGDtoCFS</f>
        <v>23.0503</v>
      </c>
      <c r="U24" s="721">
        <f>Sheet1!AA24*MGDtoCFS</f>
        <v>40.778920000000902</v>
      </c>
      <c r="V24" s="721">
        <f>Sheet1!AB24*MGDtoCFS</f>
        <v>23.359700000009003</v>
      </c>
      <c r="W24" s="721">
        <f>Sheet1!L24*MGDtoCFS</f>
        <v>28.619499999999999</v>
      </c>
      <c r="X24" s="697">
        <f t="shared" si="68"/>
        <v>0</v>
      </c>
      <c r="Y24" s="712">
        <f t="shared" si="4"/>
        <v>0</v>
      </c>
      <c r="Z24" s="712">
        <f t="shared" si="101"/>
        <v>0</v>
      </c>
      <c r="AA24" s="712">
        <f t="shared" si="6"/>
        <v>0</v>
      </c>
      <c r="AB24" s="712">
        <f>(VLOOKUP(Sheet1!CY24,hhdcap_wcm,4)-(((VLOOKUP(Sheet1!CY24,hhdcap_wcm,3)-Sheet1!CY24)/(VLOOKUP(Sheet1!CY24,hhdcap_wcm,3)-VLOOKUP(Sheet1!CY24,hhdcap_wcm,1)))*(VLOOKUP(Sheet1!CY24,hhdcap_wcm,4)-VLOOKUP(Sheet1!CY24,hhdcap_wcm,2))))</f>
        <v>1966.6000000028075</v>
      </c>
      <c r="AC24" s="712">
        <f t="shared" si="102"/>
        <v>-796.36000000140166</v>
      </c>
      <c r="AD24" s="712">
        <f t="shared" si="70"/>
        <v>0</v>
      </c>
      <c r="AE24" s="712">
        <f t="shared" si="7"/>
        <v>0</v>
      </c>
      <c r="AF24" s="712">
        <f>Sheet1!BA24+Sheet1!BB24+Sheet1!BN24+BT24</f>
        <v>15</v>
      </c>
      <c r="AG24" s="712">
        <f t="shared" si="103"/>
        <v>15.100000000005821</v>
      </c>
      <c r="AH24" s="712">
        <f>Sheet1!BA24+BT24</f>
        <v>0</v>
      </c>
      <c r="AI24" s="712">
        <f>Sheet1!BA24+Sheet1!BB24+BT24</f>
        <v>0</v>
      </c>
      <c r="AJ24" s="712">
        <f>IF((Sheet1!AA24+AG24+AX24+AZ24+BQ24+BS24+CL24+CN24)&lt;=N24,AG24+AX24+AZ24+BQ24+BS24+CL24+CN24,N24-Sheet1!AA24)</f>
        <v>15.100000000005821</v>
      </c>
      <c r="AK24" s="712">
        <f>IF(DR24&lt;K24,0,MAX(Sheet1!AA24+AG24-15/36*K24-N24,Sheet1!ED24,0))</f>
        <v>0</v>
      </c>
      <c r="AL24" s="712">
        <f>IF(OR(B24&gt;=FT24,B24&lt;FS24),0,15/36*K24-MAX(0,64.6-(137.6-(Sheet1!AA24+Sheet1!AB24))))</f>
        <v>0</v>
      </c>
      <c r="AM24" s="712">
        <f>Sheet1!CX24-110</f>
        <v>2020.4166666666665</v>
      </c>
      <c r="AN24" s="712">
        <f>Sheet1!CW24-265</f>
        <v>2711.9791666666665</v>
      </c>
      <c r="AO24" s="712">
        <f t="shared" si="71"/>
        <v>31.539999999993597</v>
      </c>
      <c r="AP24" s="712">
        <f t="shared" si="72"/>
        <v>0</v>
      </c>
      <c r="AQ24" s="712">
        <f t="shared" si="10"/>
        <v>0</v>
      </c>
      <c r="AR24" s="712">
        <f t="shared" si="104"/>
        <v>0</v>
      </c>
      <c r="AS24" s="712"/>
      <c r="AT24" s="712">
        <f ca="1">IF(B24&gt;Summary!$A$1,#N/A,AR24*MGtoAF)</f>
        <v>0</v>
      </c>
      <c r="AU24" s="712">
        <f>Sheet1!BG24+Sheet1!BH24+Sheet1!BI24-BC24</f>
        <v>0</v>
      </c>
      <c r="AV24" s="712">
        <f t="shared" si="105"/>
        <v>0</v>
      </c>
      <c r="AW24" s="712">
        <f>IF(Sheet1!EL24="FM",BC24,0)</f>
        <v>0</v>
      </c>
      <c r="AX24" s="712">
        <f t="shared" si="106"/>
        <v>0</v>
      </c>
      <c r="AY24" s="712">
        <f>IF(Sheet1!EL24="OTHER",BC24,0)</f>
        <v>0</v>
      </c>
      <c r="AZ24" s="712">
        <f t="shared" si="107"/>
        <v>0</v>
      </c>
      <c r="BA24" s="712">
        <f t="shared" si="108"/>
        <v>0</v>
      </c>
      <c r="BB24" s="712">
        <f t="shared" si="109"/>
        <v>0</v>
      </c>
      <c r="BC24" s="712">
        <f>IF(OR(Sheet1!EL24="FM", Sheet1!EL24="OTHER"),SUM(Sheet1!BG24:'Sheet1'!BI24),0)</f>
        <v>0</v>
      </c>
      <c r="BD24" s="697">
        <f>IF(AND($B24&gt;=$FL24,$B24&lt;=$FM24),MAX(AV24,Sheet1!EE24,0),MAX(AV24-(7/36)*$K24,0))</f>
        <v>0</v>
      </c>
      <c r="BE24" s="712">
        <f t="shared" si="110"/>
        <v>0</v>
      </c>
      <c r="BF24" s="697">
        <f t="shared" si="73"/>
        <v>0</v>
      </c>
      <c r="BG24" s="697">
        <f>IF(AND($O24&gt;0,Sheet1!EI24=1),(1-($O24-Sheet1!$L24)/$O24)*BB24,0)</f>
        <v>0</v>
      </c>
      <c r="BH24" s="697">
        <f>IF(AND(Sheet1!$L24=0,Sheet1!$L23=0, Calculation!BA24&lt;Sheet1!$EE24-0.1,Sheet1!$EE24=Sheet1!$EE23,Sheet1!$EE24=Sheet1!$EE25),Sheet1!$EE24,BB24-BG24)</f>
        <v>0</v>
      </c>
      <c r="BI24" s="712"/>
      <c r="BJ24" s="712"/>
      <c r="BK24" s="712">
        <f t="shared" si="111"/>
        <v>0</v>
      </c>
      <c r="BL24" s="712"/>
      <c r="BM24" s="712">
        <f ca="1">IF(B24&gt;Summary!$A$1,#N/A,BK24*MGtoAF)</f>
        <v>0</v>
      </c>
      <c r="BN24" s="712">
        <f>Sheet1!BC24+Sheet1!BD24+Sheet1!BE24+Sheet1!BF24-BW24-BX24</f>
        <v>0</v>
      </c>
      <c r="BO24" s="712">
        <f t="shared" si="112"/>
        <v>0</v>
      </c>
      <c r="BP24" s="712">
        <f>IF(Sheet1!EM24="FM",BX24,0)</f>
        <v>0</v>
      </c>
      <c r="BQ24" s="712">
        <f t="shared" si="113"/>
        <v>0</v>
      </c>
      <c r="BR24" s="712">
        <f>IF(Sheet1!EM24="OTHER",BX24,0)</f>
        <v>0</v>
      </c>
      <c r="BS24" s="712">
        <f t="shared" si="114"/>
        <v>0</v>
      </c>
      <c r="BT24" s="712">
        <f t="shared" si="115"/>
        <v>0</v>
      </c>
      <c r="BU24" s="712">
        <f t="shared" si="116"/>
        <v>0</v>
      </c>
      <c r="BV24" s="712">
        <f t="shared" si="117"/>
        <v>0</v>
      </c>
      <c r="BW24" s="712">
        <f>IF(Sheet1!EM24="CWA",SUM(Sheet1!BC24:'Sheet1'!BF24),0)</f>
        <v>0</v>
      </c>
      <c r="BX24" s="712">
        <f>IF(OR(Sheet1!EM24="FM", Sheet1!EM24="OTHER"),SUM(Sheet1!BC24:'Sheet1'!BF24),0)</f>
        <v>0</v>
      </c>
      <c r="BY24" s="697">
        <f>IF(AND($B24&gt;=$FL24,$B24&lt;=$FM24),MAX(BV24,Sheet1!EF24,0),MAX(BV24-(7/36)*$K24,0))</f>
        <v>0</v>
      </c>
      <c r="BZ24" s="712">
        <f t="shared" si="118"/>
        <v>0</v>
      </c>
      <c r="CA24" s="697">
        <f t="shared" si="74"/>
        <v>0</v>
      </c>
      <c r="CB24" s="697">
        <f>IF(AND($O24&gt;0,Sheet1!EJ24=1),(1-($O24-Sheet1!$L24)/$O24)*BV24,0)</f>
        <v>0</v>
      </c>
      <c r="CC24" s="697">
        <f>IF(AND(Sheet1!$L24=0,Sheet1!$L23=0, Calculation!BU24&lt;Sheet1!EF24-0.1,Sheet1!EF24=Sheet1!EF23,Sheet1!EF24=Sheet1!EF25),Sheet1!EF24,BV24-CB24)</f>
        <v>0</v>
      </c>
      <c r="CD24" s="697"/>
      <c r="CE24" s="712"/>
      <c r="CF24" s="712">
        <f t="shared" si="119"/>
        <v>0</v>
      </c>
      <c r="CG24" s="712"/>
      <c r="CH24" s="712">
        <f ca="1">IF(B24&gt;Summary!$A$1,#N/A,CF24*MGtoAF)</f>
        <v>0</v>
      </c>
      <c r="CI24" s="712">
        <f>Sheet1!BK24+Sheet1!BL24+Sheet1!BM24-Sheet1!EN24-CQ24</f>
        <v>0</v>
      </c>
      <c r="CJ24" s="712">
        <f t="shared" si="120"/>
        <v>0</v>
      </c>
      <c r="CK24" s="712">
        <f>IF(Sheet1!EN24="FM",CQ24,0)</f>
        <v>0</v>
      </c>
      <c r="CL24" s="712">
        <f t="shared" si="121"/>
        <v>0</v>
      </c>
      <c r="CM24" s="712">
        <f>IF(Sheet1!EN24="OTHER",CQ24,0)</f>
        <v>0</v>
      </c>
      <c r="CN24" s="712">
        <f t="shared" si="122"/>
        <v>0</v>
      </c>
      <c r="CO24" s="712">
        <f t="shared" si="123"/>
        <v>0</v>
      </c>
      <c r="CP24" s="712">
        <f t="shared" si="124"/>
        <v>0</v>
      </c>
      <c r="CQ24" s="712">
        <f>IF(OR(Sheet1!EN24="FM", Sheet1!EN24="OTHER"),SUM(Sheet1!BK24:'Sheet1'!BM24),0)</f>
        <v>0</v>
      </c>
      <c r="CR24" s="697">
        <f>IF(AND($B24&gt;=$FL24,$B24&lt;=$FM24),MAX($CJ24,Sheet1!EG24,0),MAX($CJ24-(7/36)*$K24,0))</f>
        <v>0</v>
      </c>
      <c r="CS24" s="712">
        <f t="shared" si="125"/>
        <v>0</v>
      </c>
      <c r="CT24" s="697">
        <f t="shared" si="75"/>
        <v>0</v>
      </c>
      <c r="CU24" s="697">
        <f>IF(AND($O24&gt;0,Sheet1!EK24=1),(1-($O24-Sheet1!$L24)/$O24)*CP24,0)</f>
        <v>0</v>
      </c>
      <c r="CV24" s="697">
        <f>IF(AND(Sheet1!$L24=0,Sheet1!$L23=0, Calculation!CO24&lt;Sheet1!$EG24-0.1,Sheet1!$EG24=Sheet1!$EG23,Sheet1!$EG24=Sheet1!$EG25),Sheet1!$EG24,CP24-CU24)</f>
        <v>0</v>
      </c>
      <c r="CW24" s="697">
        <f t="shared" si="33"/>
        <v>0</v>
      </c>
      <c r="CX24" s="712">
        <f t="shared" si="87"/>
        <v>0</v>
      </c>
      <c r="CY24" s="712">
        <f t="shared" si="126"/>
        <v>0</v>
      </c>
      <c r="CZ24" s="712">
        <f t="shared" si="127"/>
        <v>0</v>
      </c>
      <c r="DA24" s="712">
        <f ca="1">IF(B24&gt;Summary!$A$1,#N/A,CY24*MGtoAF)</f>
        <v>0</v>
      </c>
      <c r="DB24" s="712">
        <f t="shared" si="128"/>
        <v>0</v>
      </c>
      <c r="DC24" s="712">
        <f t="shared" si="129"/>
        <v>15</v>
      </c>
      <c r="DD24" s="712">
        <f>Sheet1!AB24-DC24</f>
        <v>0.10000000000582077</v>
      </c>
      <c r="DE24" s="712">
        <f t="shared" si="130"/>
        <v>6.6666666670547178E-3</v>
      </c>
      <c r="DF24" s="712">
        <f>(VLOOKUP(Sheet1!CY24,hhdcap_wcm,4)-(((VLOOKUP(Sheet1!CY24,hhdcap_wcm,3)-Sheet1!CY24)/(VLOOKUP(Sheet1!CY24,hhdcap_wcm,3)-VLOOKUP(Sheet1!CY24,hhdcap_wcm,1)))*(VLOOKUP(Sheet1!CY24,hhdcap_wcm,4)-VLOOKUP(Sheet1!CY24,hhdcap_wcm,2))))</f>
        <v>1966.6000000028075</v>
      </c>
      <c r="DG24" s="712">
        <f t="shared" si="131"/>
        <v>-796.36000000140166</v>
      </c>
      <c r="DH24" s="712">
        <f t="shared" si="39"/>
        <v>-401.59354513434266</v>
      </c>
      <c r="DI24" s="712">
        <f>Sheet1!DW24*AFtoMG</f>
        <v>0</v>
      </c>
      <c r="DJ24" s="712">
        <f>Sheet1!DX24*AFtoMG</f>
        <v>0</v>
      </c>
      <c r="DK24" s="712">
        <f>Sheet1!DY24*AFtoMG</f>
        <v>0</v>
      </c>
      <c r="DL24" s="712">
        <f>Sheet1!DZ24*AFtoMG</f>
        <v>0</v>
      </c>
      <c r="DM24" s="712">
        <f t="shared" si="132"/>
        <v>0</v>
      </c>
      <c r="DN24" s="712">
        <f t="shared" si="41"/>
        <v>0</v>
      </c>
      <c r="DO24" s="712">
        <f t="shared" si="133"/>
        <v>0</v>
      </c>
      <c r="DP24" s="712">
        <f t="shared" si="43"/>
        <v>0</v>
      </c>
      <c r="DQ24" s="712"/>
      <c r="DR24" s="697">
        <f>IF(OR(B24&lt;FL24,B24&gt;FM24),(MIN(AV24+BO24+CJ24+MAX(Sheet1!AA24+AG24-73,0),K24)),0)</f>
        <v>0</v>
      </c>
      <c r="DS24" s="712"/>
      <c r="DT24" s="712">
        <f t="shared" si="134"/>
        <v>0</v>
      </c>
      <c r="DU24" s="712"/>
      <c r="DV24" s="712">
        <f>Sheet1!ED24+Sheet1!EE24+Sheet1!EF24+Sheet1!EG24</f>
        <v>9.5</v>
      </c>
      <c r="DW24" s="712"/>
      <c r="DX24" s="697">
        <f t="shared" si="77"/>
        <v>0</v>
      </c>
      <c r="DY24" s="712">
        <f>IF(Sheet1!FN24=1,SUM('Calculations II'!AT24:BA24)+'Calculations II'!BC24+Sheet1!BU24+'Calculations II'!BE24+AF24,SUM('Calculations II'!AT24:BA24)+'Calculations II'!BC24+Sheet1!BU24+'Calculations II'!BE24+AF24)</f>
        <v>44.072047999999995</v>
      </c>
      <c r="DZ24" s="712">
        <f>Sheet1!AA24+Sheet1!AB24+'Calculations II'!BC24</f>
        <v>41.460000000006403</v>
      </c>
      <c r="EA24" s="712"/>
      <c r="EB24" s="712"/>
      <c r="EC24" s="712">
        <f t="shared" si="135"/>
        <v>40553</v>
      </c>
      <c r="ED24" s="712">
        <f t="shared" si="136"/>
        <v>0</v>
      </c>
      <c r="EE24" s="712">
        <f t="shared" si="137"/>
        <v>0</v>
      </c>
      <c r="EF24" s="712">
        <f>-(VLOOKUP(Sheet1!BQ24,Lookup!$B$4:$J$236,2)-VLOOKUP(Sheet1!BQ23,Lookup!$B$4:$J$236,2))/1000000</f>
        <v>2.4209000000000001</v>
      </c>
      <c r="EG24" s="712">
        <f>-(VLOOKUP(Sheet1!BR24,Lookup!$B$4:$J$236,3)-VLOOKUP(Sheet1!BR23,Lookup!$B$4:$J$236,3))/1000000</f>
        <v>2.4129999999999998</v>
      </c>
      <c r="EH24" s="712">
        <f>-(VLOOKUP(Sheet1!BS24,Lookup!$B$4:$J$236,4)-VLOOKUP(Sheet1!BS23,Lookup!$B$4:$J$236,4))/1000000</f>
        <v>0</v>
      </c>
      <c r="EI24" s="697">
        <f t="shared" si="88"/>
        <v>4.8338999999999999</v>
      </c>
      <c r="EJ24" s="712"/>
      <c r="EK24" s="712"/>
      <c r="EL24" s="712"/>
      <c r="EM24" s="712"/>
      <c r="EN24" s="712"/>
      <c r="EO24" s="712"/>
      <c r="EP24" s="712"/>
      <c r="EQ24" s="712"/>
      <c r="ER24" s="697">
        <v>0</v>
      </c>
      <c r="ES24" s="712"/>
      <c r="ET24" s="794" t="e">
        <f t="shared" si="138"/>
        <v>#N/A</v>
      </c>
      <c r="EU24" s="794" t="e">
        <f t="shared" si="79"/>
        <v>#VALUE!</v>
      </c>
      <c r="EV24" s="795" t="e">
        <f t="shared" si="48"/>
        <v>#VALUE!</v>
      </c>
      <c r="EW24" s="796" t="s">
        <v>757</v>
      </c>
      <c r="EX24" s="796" t="s">
        <v>757</v>
      </c>
      <c r="EY24" s="794">
        <v>0</v>
      </c>
      <c r="EZ24" s="794" t="e">
        <v>#N/A</v>
      </c>
      <c r="FA24" s="712"/>
      <c r="FB24" s="712"/>
      <c r="FC24" s="712"/>
      <c r="FD24" s="712"/>
      <c r="FE24" s="712">
        <f>O24+Sheet1!CO24</f>
        <v>41.460000000006403</v>
      </c>
      <c r="FF24" s="712">
        <f>IF(Sheet1!AA24+AG24&lt;=Calculation!N24,AG24,Calculation!N24-Sheet1!AA24)</f>
        <v>15.100000000005821</v>
      </c>
      <c r="FG24" s="712">
        <f>(Sheet1!BP24+Sheet1!BO24)/694.4</f>
        <v>1.4817108294930876</v>
      </c>
      <c r="FH24" s="712"/>
      <c r="FI24" s="712"/>
      <c r="FJ24" s="712"/>
      <c r="FK24" s="712"/>
      <c r="FL24" s="714">
        <f t="shared" si="89"/>
        <v>40753</v>
      </c>
      <c r="FM24" s="714">
        <f t="shared" si="90"/>
        <v>40851</v>
      </c>
      <c r="FN24" s="712"/>
      <c r="FO24" s="712"/>
      <c r="FP24" s="712"/>
      <c r="FQ24" s="712"/>
      <c r="FR24" s="712"/>
      <c r="FS24" s="725">
        <f t="shared" si="91"/>
        <v>40603</v>
      </c>
      <c r="FT24" s="714">
        <f t="shared" si="92"/>
        <v>40709</v>
      </c>
      <c r="FU24" s="712">
        <f t="shared" si="93"/>
        <v>6518.9048239895692</v>
      </c>
      <c r="FV24" s="714">
        <f t="shared" si="94"/>
        <v>40722</v>
      </c>
      <c r="FW24" s="712">
        <f t="shared" si="95"/>
        <v>3259.4524119947846</v>
      </c>
      <c r="FX24" s="725">
        <f t="shared" si="96"/>
        <v>40851</v>
      </c>
      <c r="FZ24" s="697">
        <f t="shared" si="49"/>
        <v>0</v>
      </c>
      <c r="GA24" s="712" t="str">
        <f t="shared" si="139"/>
        <v/>
      </c>
      <c r="GB24" s="712">
        <f t="shared" si="140"/>
        <v>0</v>
      </c>
      <c r="GC24" s="712" t="str">
        <f t="shared" si="141"/>
        <v/>
      </c>
      <c r="GD24" s="712">
        <f>IF(GA24="P",Lookup!$M$12,IF(GA24="PP",Lookup!$M$13,IF(GA24="PPP",Lookup!$M$14,IF(GA24="T",Lookup!$M$15,IF(GA24="TP",Lookup!$M$16,IF(GA24="TPP",Lookup!$M$17,IF(GA24="TPPP",Lookup!$M$18,0)))))))*FZ24</f>
        <v>0</v>
      </c>
      <c r="GE24" s="712">
        <f t="shared" si="142"/>
        <v>0</v>
      </c>
      <c r="GF24" s="712">
        <f t="shared" si="143"/>
        <v>0</v>
      </c>
      <c r="GG24" s="712">
        <f t="shared" si="144"/>
        <v>0</v>
      </c>
      <c r="GH24" s="712"/>
      <c r="GI24" s="712">
        <f t="shared" si="145"/>
        <v>0</v>
      </c>
      <c r="GJ24" s="712" t="str">
        <f t="shared" si="146"/>
        <v/>
      </c>
      <c r="GK24" s="712">
        <f>IF(GA24="P",Lookup!$N$12,IF(GA24="PP",Lookup!$N$13,IF(GA24="PPP",Lookup!$N$14,IF(GA24="T",Lookup!$N$15,IF(GA24="TP",Lookup!$N$16,IF(GA24="TPP",Lookup!$N$17,IF(GA24="TPPP",Lookup!$N$18,0)))))))*FZ24</f>
        <v>0</v>
      </c>
      <c r="GL24" s="712">
        <f t="shared" si="147"/>
        <v>0</v>
      </c>
      <c r="GM24" s="712">
        <f t="shared" si="148"/>
        <v>0</v>
      </c>
      <c r="GN24" s="712">
        <f t="shared" si="149"/>
        <v>0</v>
      </c>
      <c r="GO24" s="712"/>
      <c r="GP24" s="712">
        <f t="shared" si="150"/>
        <v>0</v>
      </c>
      <c r="GQ24" s="712" t="str">
        <f t="shared" si="151"/>
        <v/>
      </c>
      <c r="GR24" s="712">
        <f>IF(GA24="P",Lookup!$N$12,IF(GA24="PP",Lookup!$N$13,IF(GA24="PPP",Lookup!$N$14,IF(GA24="T",Lookup!$N$15,IF(GA24="TP",Lookup!$N$16,IF(GA24="TPP",Lookup!$N$17,IF(GA24="TPPP",Lookup!$N$18,0)))))))*FZ24</f>
        <v>0</v>
      </c>
      <c r="GS24" s="697">
        <f t="shared" si="83"/>
        <v>0</v>
      </c>
      <c r="GT24" s="712">
        <f t="shared" si="152"/>
        <v>0</v>
      </c>
      <c r="GU24" s="712">
        <f t="shared" si="153"/>
        <v>0</v>
      </c>
      <c r="GV24" s="712"/>
      <c r="GW24" s="712">
        <f t="shared" si="154"/>
        <v>0</v>
      </c>
      <c r="GX24" s="712" t="str">
        <f t="shared" si="155"/>
        <v/>
      </c>
      <c r="GY24" s="712">
        <f>IF(GA24="P",Lookup!$N$12,IF(GA24="PP",Lookup!$N$13,IF(GA24="PPP",Lookup!$N$14,IF(GA24="T",Lookup!$N$15,IF(GA24="TP",Lookup!$N$16,IF(GA24="TPP",Lookup!$N$17,IF(GA24="TPPP",Lookup!$N$18,0)))))))*FZ24</f>
        <v>0</v>
      </c>
      <c r="GZ24" s="697">
        <f t="shared" si="85"/>
        <v>0</v>
      </c>
      <c r="HA24" s="712">
        <f t="shared" si="156"/>
        <v>0</v>
      </c>
      <c r="HB24" s="712">
        <f t="shared" si="157"/>
        <v>0</v>
      </c>
      <c r="HC24" s="712"/>
    </row>
    <row r="25" spans="1:211">
      <c r="A25" s="773" t="s">
        <v>5</v>
      </c>
      <c r="B25" s="708">
        <v>40554</v>
      </c>
      <c r="C25" s="719">
        <v>0.5</v>
      </c>
      <c r="D25" s="675">
        <f t="shared" si="65"/>
        <v>300</v>
      </c>
      <c r="E25" s="675">
        <f t="shared" si="66"/>
        <v>250</v>
      </c>
      <c r="F25" s="710">
        <v>250</v>
      </c>
      <c r="G25" s="712">
        <f>DH25+Sheet1!CV25</f>
        <v>1286.8221549839022</v>
      </c>
      <c r="H25" s="712">
        <f t="shared" si="97"/>
        <v>564.83864098159438</v>
      </c>
      <c r="I25" s="711">
        <f>MAX(Sheet1!Z25-AJ25+(Sheet1!CW25-E25)*CFStoMGD,0)</f>
        <v>1194.8373333333343</v>
      </c>
      <c r="J25" s="720">
        <f>IF(AND(B25&gt;=Calculation!FS25,B25&lt;=Calculation!FT25),IF(Sheet1!CX25&gt;=Calculation!D25,64.64,0),MAX(Sheet1!Z25-AJ25+(Sheet1!CX25-D25)*CFStoMGD,0))</f>
        <v>766.32800000000111</v>
      </c>
      <c r="K25" s="697">
        <f t="shared" si="67"/>
        <v>64.64</v>
      </c>
      <c r="L25" s="712">
        <f>Sheet1!AA25+Sheet1!AB25-Sheet1!L25+(Sheet1!CW25-F25)*CFStoMGD</f>
        <v>1221.3773333333199</v>
      </c>
      <c r="M25" s="712">
        <f t="shared" si="98"/>
        <v>848.43787780122636</v>
      </c>
      <c r="N25" s="712">
        <f>IF(Sheet1!CW25&gt;=F25,MIN(73,MIN(MAX(L25,0),MAX(M25,0))),0)</f>
        <v>73</v>
      </c>
      <c r="O25" s="721">
        <f>Sheet1!AA25+Sheet1!AB25</f>
        <v>42.829999999987194</v>
      </c>
      <c r="P25" s="721">
        <f t="shared" si="99"/>
        <v>66.258009999980189</v>
      </c>
      <c r="Q25" s="712">
        <f>MIN(N25,Sheet1!AA25+AG25)</f>
        <v>42.829999999987194</v>
      </c>
      <c r="R25" s="712">
        <f t="shared" si="100"/>
        <v>0</v>
      </c>
      <c r="S25" s="721">
        <f>Sheet1!Y25*MGDtoCFS</f>
        <v>40.840799999999994</v>
      </c>
      <c r="T25" s="721">
        <f>Sheet1!Z25*MGDtoCFS</f>
        <v>23.15859</v>
      </c>
      <c r="U25" s="721">
        <f>Sheet1!AA25*MGDtoCFS</f>
        <v>43.006599999981987</v>
      </c>
      <c r="V25" s="721">
        <f>Sheet1!AB25*MGDtoCFS</f>
        <v>23.251409999998199</v>
      </c>
      <c r="W25" s="721">
        <f>Sheet1!L25*MGDtoCFS</f>
        <v>25.293450000000561</v>
      </c>
      <c r="X25" s="697">
        <f t="shared" si="68"/>
        <v>0</v>
      </c>
      <c r="Y25" s="712">
        <f t="shared" si="4"/>
        <v>0</v>
      </c>
      <c r="Z25" s="712">
        <f t="shared" si="101"/>
        <v>0</v>
      </c>
      <c r="AA25" s="712">
        <f t="shared" si="6"/>
        <v>0</v>
      </c>
      <c r="AB25" s="712">
        <f>(VLOOKUP(Sheet1!CY25,hhdcap_wcm,4)-(((VLOOKUP(Sheet1!CY25,hhdcap_wcm,3)-Sheet1!CY25)/(VLOOKUP(Sheet1!CY25,hhdcap_wcm,3)-VLOOKUP(Sheet1!CY25,hhdcap_wcm,1)))*(VLOOKUP(Sheet1!CY25,hhdcap_wcm,4)-VLOOKUP(Sheet1!CY25,hhdcap_wcm,2))))</f>
        <v>1776.320000002552</v>
      </c>
      <c r="AC25" s="712">
        <f t="shared" si="102"/>
        <v>-190.28000000025554</v>
      </c>
      <c r="AD25" s="712">
        <f t="shared" si="70"/>
        <v>0</v>
      </c>
      <c r="AE25" s="712">
        <f t="shared" si="7"/>
        <v>0</v>
      </c>
      <c r="AF25" s="712">
        <f>Sheet1!BA25+Sheet1!BB25+Sheet1!BN25+BT25</f>
        <v>15</v>
      </c>
      <c r="AG25" s="712">
        <f t="shared" si="103"/>
        <v>15.029999999998836</v>
      </c>
      <c r="AH25" s="712">
        <f>Sheet1!BA25+BT25</f>
        <v>0</v>
      </c>
      <c r="AI25" s="712">
        <f>Sheet1!BA25+Sheet1!BB25+BT25</f>
        <v>0</v>
      </c>
      <c r="AJ25" s="712">
        <f>IF((Sheet1!AA25+AG25+AX25+AZ25+BQ25+BS25+CL25+CN25)&lt;=N25,AG25+AX25+AZ25+BQ25+BS25+CL25+CN25,N25-Sheet1!AA25)</f>
        <v>15.029999999998836</v>
      </c>
      <c r="AK25" s="712">
        <f>IF(DR25&lt;K25,0,MAX(Sheet1!AA25+AG25-15/36*K25-N25,Sheet1!ED25,0))</f>
        <v>0</v>
      </c>
      <c r="AL25" s="712">
        <f>IF(OR(B25&gt;=FT25,B25&lt;FS25),0,15/36*K25-MAX(0,64.6-(137.6-(Sheet1!AA25+Sheet1!AB25))))</f>
        <v>0</v>
      </c>
      <c r="AM25" s="712">
        <f>Sheet1!CX25-110</f>
        <v>1375.625</v>
      </c>
      <c r="AN25" s="712">
        <f>Sheet1!CW25-265</f>
        <v>1833.5416666666665</v>
      </c>
      <c r="AO25" s="712">
        <f t="shared" si="71"/>
        <v>30.170000000012806</v>
      </c>
      <c r="AP25" s="712">
        <f t="shared" si="72"/>
        <v>0</v>
      </c>
      <c r="AQ25" s="712">
        <f t="shared" si="10"/>
        <v>0</v>
      </c>
      <c r="AR25" s="712">
        <f t="shared" si="104"/>
        <v>0</v>
      </c>
      <c r="AS25" s="712"/>
      <c r="AT25" s="712">
        <f ca="1">IF(B25&gt;Summary!$A$1,#N/A,AR25*MGtoAF)</f>
        <v>0</v>
      </c>
      <c r="AU25" s="712">
        <f>Sheet1!BG25+Sheet1!BH25+Sheet1!BI25-BC25</f>
        <v>0</v>
      </c>
      <c r="AV25" s="712">
        <f t="shared" si="105"/>
        <v>0</v>
      </c>
      <c r="AW25" s="712">
        <f>IF(Sheet1!EL25="FM",BC25,0)</f>
        <v>0</v>
      </c>
      <c r="AX25" s="712">
        <f t="shared" si="106"/>
        <v>0</v>
      </c>
      <c r="AY25" s="712">
        <f>IF(Sheet1!EL25="OTHER",BC25,0)</f>
        <v>0</v>
      </c>
      <c r="AZ25" s="712">
        <f t="shared" si="107"/>
        <v>0</v>
      </c>
      <c r="BA25" s="712">
        <f t="shared" si="108"/>
        <v>0</v>
      </c>
      <c r="BB25" s="712">
        <f t="shared" si="109"/>
        <v>0</v>
      </c>
      <c r="BC25" s="712">
        <f>IF(OR(Sheet1!EL25="FM", Sheet1!EL25="OTHER"),SUM(Sheet1!BG25:'Sheet1'!BI25),0)</f>
        <v>0</v>
      </c>
      <c r="BD25" s="697">
        <f>IF(AND($B25&gt;=$FL25,$B25&lt;=$FM25),MAX(AV25,Sheet1!EE25,0),MAX(AV25-(7/36)*$K25,0))</f>
        <v>0</v>
      </c>
      <c r="BE25" s="712">
        <f t="shared" si="110"/>
        <v>0</v>
      </c>
      <c r="BF25" s="697">
        <f t="shared" si="73"/>
        <v>0</v>
      </c>
      <c r="BG25" s="697">
        <f>IF(AND($O25&gt;0,Sheet1!EI25=1),(1-($O25-Sheet1!$L25)/$O25)*BB25,0)</f>
        <v>0</v>
      </c>
      <c r="BH25" s="697">
        <f>IF(AND(Sheet1!$L25=0,Sheet1!$L24=0, Calculation!BA25&lt;Sheet1!$EE25-0.1,Sheet1!$EE25=Sheet1!$EE24,Sheet1!$EE25=Sheet1!$EE26),Sheet1!$EE25,BB25-BG25)</f>
        <v>0</v>
      </c>
      <c r="BI25" s="712"/>
      <c r="BJ25" s="712"/>
      <c r="BK25" s="712">
        <f t="shared" si="111"/>
        <v>0</v>
      </c>
      <c r="BL25" s="712"/>
      <c r="BM25" s="712">
        <f ca="1">IF(B25&gt;Summary!$A$1,#N/A,BK25*MGtoAF)</f>
        <v>0</v>
      </c>
      <c r="BN25" s="712">
        <f>Sheet1!BC25+Sheet1!BD25+Sheet1!BE25+Sheet1!BF25-BW25-BX25</f>
        <v>0</v>
      </c>
      <c r="BO25" s="712">
        <f t="shared" si="112"/>
        <v>0</v>
      </c>
      <c r="BP25" s="712">
        <f>IF(Sheet1!EM25="FM",BX25,0)</f>
        <v>0</v>
      </c>
      <c r="BQ25" s="712">
        <f t="shared" si="113"/>
        <v>0</v>
      </c>
      <c r="BR25" s="712">
        <f>IF(Sheet1!EM25="OTHER",BX25,0)</f>
        <v>0</v>
      </c>
      <c r="BS25" s="712">
        <f t="shared" si="114"/>
        <v>0</v>
      </c>
      <c r="BT25" s="712">
        <f t="shared" si="115"/>
        <v>0</v>
      </c>
      <c r="BU25" s="712">
        <f t="shared" si="116"/>
        <v>0</v>
      </c>
      <c r="BV25" s="712">
        <f t="shared" si="117"/>
        <v>0</v>
      </c>
      <c r="BW25" s="712">
        <f>IF(Sheet1!EM25="CWA",SUM(Sheet1!BC25:'Sheet1'!BF25),0)</f>
        <v>0</v>
      </c>
      <c r="BX25" s="712">
        <f>IF(OR(Sheet1!EM25="FM", Sheet1!EM25="OTHER"),SUM(Sheet1!BC25:'Sheet1'!BF25),0)</f>
        <v>0</v>
      </c>
      <c r="BY25" s="697">
        <f>IF(AND($B25&gt;=$FL25,$B25&lt;=$FM25),MAX(BV25,Sheet1!EF25,0),MAX(BV25-(7/36)*$K25,0))</f>
        <v>0</v>
      </c>
      <c r="BZ25" s="712">
        <f t="shared" si="118"/>
        <v>0</v>
      </c>
      <c r="CA25" s="697">
        <f t="shared" si="74"/>
        <v>0</v>
      </c>
      <c r="CB25" s="697">
        <f>IF(AND($O25&gt;0,Sheet1!EJ25=1),(1-($O25-Sheet1!$L25)/$O25)*BV25,0)</f>
        <v>0</v>
      </c>
      <c r="CC25" s="697">
        <f>IF(AND(Sheet1!$L25=0,Sheet1!$L24=0, Calculation!BU25&lt;Sheet1!EF25-0.1,Sheet1!EF25=Sheet1!EF24,Sheet1!EF25=Sheet1!EF26),Sheet1!EF25,BV25-CB25)</f>
        <v>0</v>
      </c>
      <c r="CD25" s="697"/>
      <c r="CE25" s="712"/>
      <c r="CF25" s="712">
        <f t="shared" si="119"/>
        <v>0</v>
      </c>
      <c r="CG25" s="712"/>
      <c r="CH25" s="712">
        <f ca="1">IF(B25&gt;Summary!$A$1,#N/A,CF25*MGtoAF)</f>
        <v>0</v>
      </c>
      <c r="CI25" s="712">
        <f>Sheet1!BK25+Sheet1!BL25+Sheet1!BM25-Sheet1!EN25-CQ25</f>
        <v>0</v>
      </c>
      <c r="CJ25" s="712">
        <f t="shared" si="120"/>
        <v>0</v>
      </c>
      <c r="CK25" s="712">
        <f>IF(Sheet1!EN25="FM",CQ25,0)</f>
        <v>0</v>
      </c>
      <c r="CL25" s="712">
        <f t="shared" si="121"/>
        <v>0</v>
      </c>
      <c r="CM25" s="712">
        <f>IF(Sheet1!EN25="OTHER",CQ25,0)</f>
        <v>0</v>
      </c>
      <c r="CN25" s="712">
        <f t="shared" si="122"/>
        <v>0</v>
      </c>
      <c r="CO25" s="712">
        <f t="shared" si="123"/>
        <v>0</v>
      </c>
      <c r="CP25" s="712">
        <f t="shared" si="124"/>
        <v>0</v>
      </c>
      <c r="CQ25" s="712">
        <f>IF(OR(Sheet1!EN25="FM", Sheet1!EN25="OTHER"),SUM(Sheet1!BK25:'Sheet1'!BM25),0)</f>
        <v>0</v>
      </c>
      <c r="CR25" s="697">
        <f>IF(AND($B25&gt;=$FL25,$B25&lt;=$FM25),MAX($CJ25,Sheet1!EG25,0),MAX($CJ25-(7/36)*$K25,0))</f>
        <v>0</v>
      </c>
      <c r="CS25" s="712">
        <f t="shared" si="125"/>
        <v>0</v>
      </c>
      <c r="CT25" s="697">
        <f t="shared" si="75"/>
        <v>0</v>
      </c>
      <c r="CU25" s="697">
        <f>IF(AND($O25&gt;0,Sheet1!EK25=1),(1-($O25-Sheet1!$L25)/$O25)*CP25,0)</f>
        <v>0</v>
      </c>
      <c r="CV25" s="697">
        <f>IF(AND(Sheet1!$L25=0,Sheet1!$L24=0, Calculation!CO25&lt;Sheet1!$EG25-0.1,Sheet1!$EG25=Sheet1!$EG24,Sheet1!$EG25=Sheet1!$EG26),Sheet1!$EG25,CP25-CU25)</f>
        <v>0</v>
      </c>
      <c r="CW25" s="697">
        <f t="shared" si="33"/>
        <v>0</v>
      </c>
      <c r="CX25" s="712">
        <f t="shared" si="87"/>
        <v>0</v>
      </c>
      <c r="CY25" s="712">
        <f t="shared" si="126"/>
        <v>0</v>
      </c>
      <c r="CZ25" s="712">
        <f t="shared" si="127"/>
        <v>0</v>
      </c>
      <c r="DA25" s="712">
        <f ca="1">IF(B25&gt;Summary!$A$1,#N/A,CY25*MGtoAF)</f>
        <v>0</v>
      </c>
      <c r="DB25" s="712">
        <f t="shared" si="128"/>
        <v>0</v>
      </c>
      <c r="DC25" s="712">
        <f t="shared" si="129"/>
        <v>15</v>
      </c>
      <c r="DD25" s="712">
        <f>Sheet1!AB25-DC25</f>
        <v>2.9999999998835847E-2</v>
      </c>
      <c r="DE25" s="712">
        <f t="shared" si="130"/>
        <v>1.9999999999223898E-3</v>
      </c>
      <c r="DF25" s="712">
        <f>(VLOOKUP(Sheet1!CY25,hhdcap_wcm,4)-(((VLOOKUP(Sheet1!CY25,hhdcap_wcm,3)-Sheet1!CY25)/(VLOOKUP(Sheet1!CY25,hhdcap_wcm,3)-VLOOKUP(Sheet1!CY25,hhdcap_wcm,1)))*(VLOOKUP(Sheet1!CY25,hhdcap_wcm,4)-VLOOKUP(Sheet1!CY25,hhdcap_wcm,2))))</f>
        <v>1776.320000002552</v>
      </c>
      <c r="DG25" s="712">
        <f t="shared" si="131"/>
        <v>-190.28000000025554</v>
      </c>
      <c r="DH25" s="712">
        <f t="shared" si="39"/>
        <v>-95.955622793875705</v>
      </c>
      <c r="DI25" s="712">
        <f>Sheet1!DW25*AFtoMG</f>
        <v>0</v>
      </c>
      <c r="DJ25" s="712">
        <f>Sheet1!DX25*AFtoMG</f>
        <v>0</v>
      </c>
      <c r="DK25" s="712">
        <f>Sheet1!DY25*AFtoMG</f>
        <v>0</v>
      </c>
      <c r="DL25" s="712">
        <f>Sheet1!DZ25*AFtoMG</f>
        <v>0</v>
      </c>
      <c r="DM25" s="712">
        <f t="shared" si="132"/>
        <v>0</v>
      </c>
      <c r="DN25" s="712">
        <f t="shared" si="41"/>
        <v>0</v>
      </c>
      <c r="DO25" s="712">
        <f t="shared" si="133"/>
        <v>0</v>
      </c>
      <c r="DP25" s="712">
        <f t="shared" si="43"/>
        <v>0</v>
      </c>
      <c r="DQ25" s="712"/>
      <c r="DR25" s="697">
        <f>IF(OR(B25&lt;FL25,B25&gt;FM25),(MIN(AV25+BO25+CJ25+MAX(Sheet1!AA25+AG25-73,0),K25)),0)</f>
        <v>0</v>
      </c>
      <c r="DS25" s="712"/>
      <c r="DT25" s="712">
        <f t="shared" si="134"/>
        <v>0</v>
      </c>
      <c r="DU25" s="712"/>
      <c r="DV25" s="712">
        <f>Sheet1!ED25+Sheet1!EE25+Sheet1!EF25+Sheet1!EG25</f>
        <v>9.5</v>
      </c>
      <c r="DW25" s="712"/>
      <c r="DX25" s="697">
        <f t="shared" si="77"/>
        <v>0</v>
      </c>
      <c r="DY25" s="712">
        <f>IF(Sheet1!FN25=1,SUM('Calculations II'!AT25:BA25)+'Calculations II'!BC25+Sheet1!BU25+'Calculations II'!BE25+AF25,SUM('Calculations II'!AT25:BA25)+'Calculations II'!BC25+Sheet1!BU25+'Calculations II'!BE25+AF25)</f>
        <v>42.470736000000002</v>
      </c>
      <c r="DZ25" s="712">
        <f>Sheet1!AA25+Sheet1!AB25+'Calculations II'!BC25</f>
        <v>42.829999999987194</v>
      </c>
      <c r="EA25" s="712"/>
      <c r="EB25" s="712"/>
      <c r="EC25" s="712">
        <f t="shared" si="135"/>
        <v>40554</v>
      </c>
      <c r="ED25" s="712">
        <f t="shared" si="136"/>
        <v>0</v>
      </c>
      <c r="EE25" s="712">
        <f t="shared" si="137"/>
        <v>0</v>
      </c>
      <c r="EF25" s="712">
        <f>-(VLOOKUP(Sheet1!BQ25,Lookup!$B$4:$J$236,2)-VLOOKUP(Sheet1!BQ24,Lookup!$B$4:$J$236,2))/1000000</f>
        <v>0.80130000000000001</v>
      </c>
      <c r="EG25" s="712">
        <f>-(VLOOKUP(Sheet1!BR25,Lookup!$B$4:$J$236,3)-VLOOKUP(Sheet1!BR24,Lookup!$B$4:$J$236,3))/1000000</f>
        <v>0.53320000000000001</v>
      </c>
      <c r="EH25" s="712">
        <f>-(VLOOKUP(Sheet1!BS25,Lookup!$B$4:$J$236,4)-VLOOKUP(Sheet1!BS24,Lookup!$B$4:$J$236,4))/1000000</f>
        <v>0</v>
      </c>
      <c r="EI25" s="697">
        <f t="shared" si="88"/>
        <v>1.3345</v>
      </c>
      <c r="EJ25" s="712"/>
      <c r="EK25" s="712"/>
      <c r="EL25" s="712"/>
      <c r="EM25" s="712"/>
      <c r="EN25" s="712"/>
      <c r="EO25" s="712"/>
      <c r="EP25" s="712"/>
      <c r="EQ25" s="712"/>
      <c r="ER25" s="697">
        <v>0</v>
      </c>
      <c r="ES25" s="712"/>
      <c r="ET25" s="794" t="e">
        <f t="shared" si="138"/>
        <v>#N/A</v>
      </c>
      <c r="EU25" s="794" t="e">
        <f t="shared" si="79"/>
        <v>#VALUE!</v>
      </c>
      <c r="EV25" s="795" t="e">
        <f t="shared" si="48"/>
        <v>#VALUE!</v>
      </c>
      <c r="EW25" s="796" t="s">
        <v>757</v>
      </c>
      <c r="EX25" s="796" t="s">
        <v>757</v>
      </c>
      <c r="EY25" s="794">
        <v>0</v>
      </c>
      <c r="EZ25" s="794" t="e">
        <v>#N/A</v>
      </c>
      <c r="FA25" s="712"/>
      <c r="FB25" s="712"/>
      <c r="FC25" s="712"/>
      <c r="FD25" s="712"/>
      <c r="FE25" s="712">
        <f>O25+Sheet1!CO25</f>
        <v>42.829999999987194</v>
      </c>
      <c r="FF25" s="712">
        <f>IF(Sheet1!AA25+AG25&lt;=Calculation!N25,AG25,Calculation!N25-Sheet1!AA25)</f>
        <v>15.029999999998836</v>
      </c>
      <c r="FG25" s="712">
        <f>(Sheet1!BP25+Sheet1!BO25)/694.4</f>
        <v>0.92885944700460832</v>
      </c>
      <c r="FH25" s="712"/>
      <c r="FI25" s="712"/>
      <c r="FJ25" s="712"/>
      <c r="FK25" s="712"/>
      <c r="FL25" s="714">
        <f t="shared" si="89"/>
        <v>40753</v>
      </c>
      <c r="FM25" s="714">
        <f t="shared" si="90"/>
        <v>40851</v>
      </c>
      <c r="FN25" s="712"/>
      <c r="FO25" s="712"/>
      <c r="FP25" s="712"/>
      <c r="FQ25" s="712"/>
      <c r="FR25" s="712"/>
      <c r="FS25" s="725">
        <f t="shared" si="91"/>
        <v>40603</v>
      </c>
      <c r="FT25" s="714">
        <f t="shared" si="92"/>
        <v>40709</v>
      </c>
      <c r="FU25" s="712">
        <f t="shared" si="93"/>
        <v>6518.9048239895692</v>
      </c>
      <c r="FV25" s="714">
        <f t="shared" si="94"/>
        <v>40722</v>
      </c>
      <c r="FW25" s="712">
        <f t="shared" si="95"/>
        <v>3259.4524119947846</v>
      </c>
      <c r="FX25" s="725">
        <f t="shared" si="96"/>
        <v>40851</v>
      </c>
      <c r="FZ25" s="697">
        <f t="shared" si="49"/>
        <v>0</v>
      </c>
      <c r="GA25" s="712" t="str">
        <f t="shared" si="139"/>
        <v/>
      </c>
      <c r="GB25" s="712">
        <f t="shared" si="140"/>
        <v>0</v>
      </c>
      <c r="GC25" s="712" t="str">
        <f t="shared" si="141"/>
        <v/>
      </c>
      <c r="GD25" s="712">
        <f>IF(GA25="P",Lookup!$M$12,IF(GA25="PP",Lookup!$M$13,IF(GA25="PPP",Lookup!$M$14,IF(GA25="T",Lookup!$M$15,IF(GA25="TP",Lookup!$M$16,IF(GA25="TPP",Lookup!$M$17,IF(GA25="TPPP",Lookup!$M$18,0)))))))*FZ25</f>
        <v>0</v>
      </c>
      <c r="GE25" s="712">
        <f t="shared" si="142"/>
        <v>0</v>
      </c>
      <c r="GF25" s="712">
        <f t="shared" si="143"/>
        <v>0</v>
      </c>
      <c r="GG25" s="712">
        <f t="shared" si="144"/>
        <v>0</v>
      </c>
      <c r="GH25" s="712"/>
      <c r="GI25" s="712">
        <f t="shared" si="145"/>
        <v>0</v>
      </c>
      <c r="GJ25" s="712" t="str">
        <f t="shared" si="146"/>
        <v/>
      </c>
      <c r="GK25" s="712">
        <f>IF(GA25="P",Lookup!$N$12,IF(GA25="PP",Lookup!$N$13,IF(GA25="PPP",Lookup!$N$14,IF(GA25="T",Lookup!$N$15,IF(GA25="TP",Lookup!$N$16,IF(GA25="TPP",Lookup!$N$17,IF(GA25="TPPP",Lookup!$N$18,0)))))))*FZ25</f>
        <v>0</v>
      </c>
      <c r="GL25" s="712">
        <f t="shared" si="147"/>
        <v>0</v>
      </c>
      <c r="GM25" s="712">
        <f t="shared" si="148"/>
        <v>0</v>
      </c>
      <c r="GN25" s="712">
        <f t="shared" si="149"/>
        <v>0</v>
      </c>
      <c r="GO25" s="712"/>
      <c r="GP25" s="712">
        <f t="shared" si="150"/>
        <v>0</v>
      </c>
      <c r="GQ25" s="712" t="str">
        <f t="shared" si="151"/>
        <v/>
      </c>
      <c r="GR25" s="712">
        <f>IF(GA25="P",Lookup!$N$12,IF(GA25="PP",Lookup!$N$13,IF(GA25="PPP",Lookup!$N$14,IF(GA25="T",Lookup!$N$15,IF(GA25="TP",Lookup!$N$16,IF(GA25="TPP",Lookup!$N$17,IF(GA25="TPPP",Lookup!$N$18,0)))))))*FZ25</f>
        <v>0</v>
      </c>
      <c r="GS25" s="697">
        <f t="shared" si="83"/>
        <v>0</v>
      </c>
      <c r="GT25" s="712">
        <f t="shared" si="152"/>
        <v>0</v>
      </c>
      <c r="GU25" s="712">
        <f t="shared" si="153"/>
        <v>0</v>
      </c>
      <c r="GV25" s="712"/>
      <c r="GW25" s="712">
        <f t="shared" si="154"/>
        <v>0</v>
      </c>
      <c r="GX25" s="712" t="str">
        <f t="shared" si="155"/>
        <v/>
      </c>
      <c r="GY25" s="712">
        <f>IF(GA25="P",Lookup!$N$12,IF(GA25="PP",Lookup!$N$13,IF(GA25="PPP",Lookup!$N$14,IF(GA25="T",Lookup!$N$15,IF(GA25="TP",Lookup!$N$16,IF(GA25="TPP",Lookup!$N$17,IF(GA25="TPPP",Lookup!$N$18,0)))))))*FZ25</f>
        <v>0</v>
      </c>
      <c r="GZ25" s="697">
        <f t="shared" si="85"/>
        <v>0</v>
      </c>
      <c r="HA25" s="712">
        <f t="shared" si="156"/>
        <v>0</v>
      </c>
      <c r="HB25" s="712">
        <f t="shared" si="157"/>
        <v>0</v>
      </c>
      <c r="HC25" s="712"/>
    </row>
    <row r="26" spans="1:211">
      <c r="A26" s="773" t="s">
        <v>6</v>
      </c>
      <c r="B26" s="708">
        <v>40555</v>
      </c>
      <c r="C26" s="709">
        <v>0.5</v>
      </c>
      <c r="D26" s="675">
        <f t="shared" si="65"/>
        <v>300</v>
      </c>
      <c r="E26" s="675">
        <f t="shared" si="66"/>
        <v>250</v>
      </c>
      <c r="F26" s="675">
        <v>250</v>
      </c>
      <c r="G26" s="712">
        <f>DH26+Sheet1!CV26</f>
        <v>1418.7636577576623</v>
      </c>
      <c r="H26" s="712">
        <f t="shared" si="97"/>
        <v>650.12562837455289</v>
      </c>
      <c r="I26" s="711">
        <f>MAX(Sheet1!Z26-AJ26+(Sheet1!CW26-E26)*CFStoMGD,0)</f>
        <v>1188.2660000000017</v>
      </c>
      <c r="J26" s="720">
        <f>IF(AND(B26&gt;=Calculation!FS26,B26&lt;=Calculation!FT26),IF(Sheet1!CX26&gt;=Calculation!D26,64.64,0),MAX(Sheet1!Z26-AJ26+(Sheet1!CX26-D26)*CFStoMGD,0))</f>
        <v>906.54333333333511</v>
      </c>
      <c r="K26" s="697">
        <f t="shared" si="67"/>
        <v>64.64</v>
      </c>
      <c r="L26" s="712">
        <f>Sheet1!AA26+Sheet1!AB26-Sheet1!L26+(Sheet1!CW26-F26)*CFStoMGD</f>
        <v>1198.7960000000021</v>
      </c>
      <c r="M26" s="712">
        <f t="shared" si="98"/>
        <v>935.43060494204394</v>
      </c>
      <c r="N26" s="712">
        <f>IF(Sheet1!CW26&gt;=F26,MIN(73,MIN(MAX(L26,0),MAX(M26,0))),0)</f>
        <v>73</v>
      </c>
      <c r="O26" s="721">
        <f>Sheet1!AA26+Sheet1!AB26</f>
        <v>44.940000000002328</v>
      </c>
      <c r="P26" s="721">
        <f t="shared" si="99"/>
        <v>69.522180000003601</v>
      </c>
      <c r="Q26" s="712">
        <f>MIN(N26,Sheet1!AA26+AG26)</f>
        <v>44.940000000002328</v>
      </c>
      <c r="R26" s="712">
        <f t="shared" si="100"/>
        <v>0</v>
      </c>
      <c r="S26" s="721">
        <f>Sheet1!Y26*MGDtoCFS</f>
        <v>45.88402</v>
      </c>
      <c r="T26" s="721">
        <f>Sheet1!Z26*MGDtoCFS</f>
        <v>23.313289999999999</v>
      </c>
      <c r="U26" s="721">
        <f>Sheet1!AA26*MGDtoCFS</f>
        <v>46.054190000006301</v>
      </c>
      <c r="V26" s="721">
        <f>Sheet1!AB26*MGDtoCFS</f>
        <v>23.467989999997297</v>
      </c>
      <c r="W26" s="721">
        <f>Sheet1!L26*MGDtoCFS</f>
        <v>53.386970000000332</v>
      </c>
      <c r="X26" s="697">
        <f t="shared" si="68"/>
        <v>0</v>
      </c>
      <c r="Y26" s="712">
        <f t="shared" si="4"/>
        <v>0</v>
      </c>
      <c r="Z26" s="712">
        <f t="shared" si="101"/>
        <v>0</v>
      </c>
      <c r="AA26" s="712">
        <f t="shared" si="6"/>
        <v>0</v>
      </c>
      <c r="AB26" s="712">
        <f>(VLOOKUP(Sheet1!CY26,hhdcap_wcm,4)-(((VLOOKUP(Sheet1!CY26,hhdcap_wcm,3)-Sheet1!CY26)/(VLOOKUP(Sheet1!CY26,hhdcap_wcm,3)-VLOOKUP(Sheet1!CY26,hhdcap_wcm,1)))*(VLOOKUP(Sheet1!CY26,hhdcap_wcm,4)-VLOOKUP(Sheet1!CY26,hhdcap_wcm,2))))</f>
        <v>1887.3400000026629</v>
      </c>
      <c r="AC26" s="712">
        <f t="shared" si="102"/>
        <v>111.02000000011094</v>
      </c>
      <c r="AD26" s="712">
        <f t="shared" si="70"/>
        <v>0</v>
      </c>
      <c r="AE26" s="712">
        <f t="shared" si="7"/>
        <v>0</v>
      </c>
      <c r="AF26" s="712">
        <f>Sheet1!BA26+Sheet1!BB26+Sheet1!BN26+BT26</f>
        <v>15.2</v>
      </c>
      <c r="AG26" s="712">
        <f t="shared" si="103"/>
        <v>15.169999999998254</v>
      </c>
      <c r="AH26" s="712">
        <f>Sheet1!BA26+BT26</f>
        <v>0</v>
      </c>
      <c r="AI26" s="712">
        <f>Sheet1!BA26+Sheet1!BB26+BT26</f>
        <v>0</v>
      </c>
      <c r="AJ26" s="712">
        <f>IF((Sheet1!AA26+AG26+AX26+AZ26+BQ26+BS26+CL26+CN26)&lt;=N26,AG26+AX26+AZ26+BQ26+BS26+CL26+CN26,N26-Sheet1!AA26)</f>
        <v>15.169999999998254</v>
      </c>
      <c r="AK26" s="712">
        <f>IF(DR26&lt;K26,0,MAX(Sheet1!AA26+AG26-15/36*K26-N26,Sheet1!ED26,0))</f>
        <v>0</v>
      </c>
      <c r="AL26" s="712">
        <f>IF(OR(B26&gt;=FT26,B26&lt;FS26),0,15/36*K26-MAX(0,64.6-(137.6-(Sheet1!AA26+Sheet1!AB26))))</f>
        <v>0</v>
      </c>
      <c r="AM26" s="712">
        <f>Sheet1!CX26-110</f>
        <v>1592.6041666666667</v>
      </c>
      <c r="AN26" s="712">
        <f>Sheet1!CW26-265</f>
        <v>1823.4375</v>
      </c>
      <c r="AO26" s="712">
        <f t="shared" si="71"/>
        <v>28.059999999997672</v>
      </c>
      <c r="AP26" s="712">
        <f t="shared" si="72"/>
        <v>0</v>
      </c>
      <c r="AQ26" s="712">
        <f t="shared" si="10"/>
        <v>0</v>
      </c>
      <c r="AR26" s="712">
        <f t="shared" si="104"/>
        <v>0</v>
      </c>
      <c r="AS26" s="712"/>
      <c r="AT26" s="712">
        <f ca="1">IF(B26&gt;Summary!$A$1,#N/A,AR26*MGtoAF)</f>
        <v>0</v>
      </c>
      <c r="AU26" s="712">
        <f>Sheet1!BG26+Sheet1!BH26+Sheet1!BI26-BC26</f>
        <v>0</v>
      </c>
      <c r="AV26" s="712">
        <f t="shared" si="105"/>
        <v>0</v>
      </c>
      <c r="AW26" s="712">
        <f>IF(Sheet1!EL26="FM",BC26,0)</f>
        <v>0</v>
      </c>
      <c r="AX26" s="712">
        <f t="shared" si="106"/>
        <v>0</v>
      </c>
      <c r="AY26" s="712">
        <f>IF(Sheet1!EL26="OTHER",BC26,0)</f>
        <v>0</v>
      </c>
      <c r="AZ26" s="712">
        <f t="shared" si="107"/>
        <v>0</v>
      </c>
      <c r="BA26" s="712">
        <f t="shared" si="108"/>
        <v>0</v>
      </c>
      <c r="BB26" s="712">
        <f t="shared" si="109"/>
        <v>0</v>
      </c>
      <c r="BC26" s="712">
        <f>IF(OR(Sheet1!EL26="FM", Sheet1!EL26="OTHER"),SUM(Sheet1!BG26:'Sheet1'!BI26),0)</f>
        <v>0</v>
      </c>
      <c r="BD26" s="697">
        <f>IF(AND($B26&gt;=$FL26,$B26&lt;=$FM26),MAX(AV26,Sheet1!EE26,0),MAX(AV26-(7/36)*$K26,0))</f>
        <v>0</v>
      </c>
      <c r="BE26" s="712">
        <f t="shared" si="110"/>
        <v>0</v>
      </c>
      <c r="BF26" s="697">
        <f t="shared" si="73"/>
        <v>0</v>
      </c>
      <c r="BG26" s="697">
        <f>IF(AND($O26&gt;0,Sheet1!EI26=1),(1-($O26-Sheet1!$L26)/$O26)*BB26,0)</f>
        <v>0</v>
      </c>
      <c r="BH26" s="697">
        <f>IF(AND(Sheet1!$L26=0,Sheet1!$L25=0, Calculation!BA26&lt;Sheet1!$EE26-0.1,Sheet1!$EE26=Sheet1!$EE25,Sheet1!$EE26=Sheet1!$EE27),Sheet1!$EE26,BB26-BG26)</f>
        <v>0</v>
      </c>
      <c r="BI26" s="712"/>
      <c r="BJ26" s="712"/>
      <c r="BK26" s="712">
        <f t="shared" si="111"/>
        <v>0</v>
      </c>
      <c r="BL26" s="712"/>
      <c r="BM26" s="712">
        <f ca="1">IF(B26&gt;Summary!$A$1,#N/A,BK26*MGtoAF)</f>
        <v>0</v>
      </c>
      <c r="BN26" s="712">
        <f>Sheet1!BC26+Sheet1!BD26+Sheet1!BE26+Sheet1!BF26-BW26-BX26</f>
        <v>0</v>
      </c>
      <c r="BO26" s="712">
        <f t="shared" si="112"/>
        <v>0</v>
      </c>
      <c r="BP26" s="712">
        <f>IF(Sheet1!EM26="FM",BX26,0)</f>
        <v>0</v>
      </c>
      <c r="BQ26" s="712">
        <f t="shared" si="113"/>
        <v>0</v>
      </c>
      <c r="BR26" s="712">
        <f>IF(Sheet1!EM26="OTHER",BX26,0)</f>
        <v>0</v>
      </c>
      <c r="BS26" s="712">
        <f t="shared" si="114"/>
        <v>0</v>
      </c>
      <c r="BT26" s="712">
        <f t="shared" si="115"/>
        <v>0</v>
      </c>
      <c r="BU26" s="712">
        <f t="shared" si="116"/>
        <v>0</v>
      </c>
      <c r="BV26" s="712">
        <f t="shared" si="117"/>
        <v>0</v>
      </c>
      <c r="BW26" s="712">
        <f>IF(Sheet1!EM26="CWA",SUM(Sheet1!BC26:'Sheet1'!BF26),0)</f>
        <v>0</v>
      </c>
      <c r="BX26" s="712">
        <f>IF(OR(Sheet1!EM26="FM", Sheet1!EM26="OTHER"),SUM(Sheet1!BC26:'Sheet1'!BF26),0)</f>
        <v>0</v>
      </c>
      <c r="BY26" s="697">
        <f>IF(AND($B26&gt;=$FL26,$B26&lt;=$FM26),MAX(BV26,Sheet1!EF26,0),MAX(BV26-(7/36)*$K26,0))</f>
        <v>0</v>
      </c>
      <c r="BZ26" s="712">
        <f t="shared" si="118"/>
        <v>0</v>
      </c>
      <c r="CA26" s="697">
        <f t="shared" si="74"/>
        <v>0</v>
      </c>
      <c r="CB26" s="697">
        <f>IF(AND($O26&gt;0,Sheet1!EJ26=1),(1-($O26-Sheet1!$L26)/$O26)*BV26,0)</f>
        <v>0</v>
      </c>
      <c r="CC26" s="697">
        <f>IF(AND(Sheet1!$L26=0,Sheet1!$L25=0, Calculation!BU26&lt;Sheet1!EF26-0.1,Sheet1!EF26=Sheet1!EF25,Sheet1!EF26=Sheet1!EF27),Sheet1!EF26,BV26-CB26)</f>
        <v>0</v>
      </c>
      <c r="CD26" s="697"/>
      <c r="CE26" s="712"/>
      <c r="CF26" s="712">
        <f t="shared" si="119"/>
        <v>0</v>
      </c>
      <c r="CG26" s="712"/>
      <c r="CH26" s="712">
        <f ca="1">IF(B26&gt;Summary!$A$1,#N/A,CF26*MGtoAF)</f>
        <v>0</v>
      </c>
      <c r="CI26" s="712">
        <f>Sheet1!BK26+Sheet1!BL26+Sheet1!BM26-Sheet1!EN26-CQ26</f>
        <v>0</v>
      </c>
      <c r="CJ26" s="712">
        <f t="shared" si="120"/>
        <v>0</v>
      </c>
      <c r="CK26" s="712">
        <f>IF(Sheet1!EN26="FM",CQ26,0)</f>
        <v>0</v>
      </c>
      <c r="CL26" s="712">
        <f t="shared" si="121"/>
        <v>0</v>
      </c>
      <c r="CM26" s="712">
        <f>IF(Sheet1!EN26="OTHER",CQ26,0)</f>
        <v>0</v>
      </c>
      <c r="CN26" s="712">
        <f t="shared" si="122"/>
        <v>0</v>
      </c>
      <c r="CO26" s="712">
        <f t="shared" si="123"/>
        <v>0</v>
      </c>
      <c r="CP26" s="712">
        <f t="shared" si="124"/>
        <v>0</v>
      </c>
      <c r="CQ26" s="712">
        <f>IF(OR(Sheet1!EN26="FM", Sheet1!EN26="OTHER"),SUM(Sheet1!BK26:'Sheet1'!BM26),0)</f>
        <v>0</v>
      </c>
      <c r="CR26" s="697">
        <f>IF(AND($B26&gt;=$FL26,$B26&lt;=$FM26),MAX($CJ26,Sheet1!EG26,0),MAX($CJ26-(7/36)*$K26,0))</f>
        <v>0</v>
      </c>
      <c r="CS26" s="712">
        <f t="shared" si="125"/>
        <v>0</v>
      </c>
      <c r="CT26" s="697">
        <f t="shared" si="75"/>
        <v>0</v>
      </c>
      <c r="CU26" s="697">
        <f>IF(AND($O26&gt;0,Sheet1!EK26=1),(1-($O26-Sheet1!$L26)/$O26)*CP26,0)</f>
        <v>0</v>
      </c>
      <c r="CV26" s="697">
        <f>IF(AND(Sheet1!$L26=0,Sheet1!$L25=0, Calculation!CO26&lt;Sheet1!$EG26-0.1,Sheet1!$EG26=Sheet1!$EG25,Sheet1!$EG26=Sheet1!$EG27),Sheet1!$EG26,CP26-CU26)</f>
        <v>0</v>
      </c>
      <c r="CW26" s="697">
        <f t="shared" si="33"/>
        <v>0</v>
      </c>
      <c r="CX26" s="712">
        <f t="shared" si="87"/>
        <v>0</v>
      </c>
      <c r="CY26" s="712">
        <f t="shared" si="126"/>
        <v>0</v>
      </c>
      <c r="CZ26" s="712">
        <f t="shared" si="127"/>
        <v>0</v>
      </c>
      <c r="DA26" s="712">
        <f ca="1">IF(B26&gt;Summary!$A$1,#N/A,CY26*MGtoAF)</f>
        <v>0</v>
      </c>
      <c r="DB26" s="712">
        <f t="shared" si="128"/>
        <v>0</v>
      </c>
      <c r="DC26" s="712">
        <f t="shared" si="129"/>
        <v>15.2</v>
      </c>
      <c r="DD26" s="712">
        <f>Sheet1!AB26-DC26</f>
        <v>-3.0000000001745519E-2</v>
      </c>
      <c r="DE26" s="712">
        <f t="shared" si="130"/>
        <v>-1.9736842106411528E-3</v>
      </c>
      <c r="DF26" s="712">
        <f>(VLOOKUP(Sheet1!CY26,hhdcap_wcm,4)-(((VLOOKUP(Sheet1!CY26,hhdcap_wcm,3)-Sheet1!CY26)/(VLOOKUP(Sheet1!CY26,hhdcap_wcm,3)-VLOOKUP(Sheet1!CY26,hhdcap_wcm,1)))*(VLOOKUP(Sheet1!CY26,hhdcap_wcm,4)-VLOOKUP(Sheet1!CY26,hhdcap_wcm,2))))</f>
        <v>1887.3400000026629</v>
      </c>
      <c r="DG26" s="712">
        <f t="shared" si="131"/>
        <v>111.02000000011094</v>
      </c>
      <c r="DH26" s="712">
        <f t="shared" si="39"/>
        <v>55.98587997988448</v>
      </c>
      <c r="DI26" s="712">
        <f>Sheet1!DW26*AFtoMG</f>
        <v>0</v>
      </c>
      <c r="DJ26" s="712">
        <f>Sheet1!DX26*AFtoMG</f>
        <v>0</v>
      </c>
      <c r="DK26" s="712">
        <f>Sheet1!DY26*AFtoMG</f>
        <v>0</v>
      </c>
      <c r="DL26" s="712">
        <f>Sheet1!DZ26*AFtoMG</f>
        <v>0</v>
      </c>
      <c r="DM26" s="712">
        <f t="shared" si="132"/>
        <v>0</v>
      </c>
      <c r="DN26" s="712">
        <f t="shared" si="41"/>
        <v>0</v>
      </c>
      <c r="DO26" s="712">
        <f t="shared" si="133"/>
        <v>0</v>
      </c>
      <c r="DP26" s="712">
        <f t="shared" si="43"/>
        <v>0</v>
      </c>
      <c r="DQ26" s="712"/>
      <c r="DR26" s="697">
        <f>IF(OR(B26&lt;FL26,B26&gt;FM26),(MIN(AV26+BO26+CJ26+MAX(Sheet1!AA26+AG26-73,0),K26)),0)</f>
        <v>0</v>
      </c>
      <c r="DS26" s="712"/>
      <c r="DT26" s="712">
        <f t="shared" si="134"/>
        <v>0</v>
      </c>
      <c r="DU26" s="712"/>
      <c r="DV26" s="712">
        <f>Sheet1!ED26+Sheet1!EE26+Sheet1!EF26+Sheet1!EG26</f>
        <v>9.5</v>
      </c>
      <c r="DW26" s="712"/>
      <c r="DX26" s="697">
        <f t="shared" si="77"/>
        <v>0</v>
      </c>
      <c r="DY26" s="712">
        <f>IF(Sheet1!FN26=1,SUM('Calculations II'!AT26:BA26)+'Calculations II'!BC26+Sheet1!BU26+'Calculations II'!BE26+AF26,SUM('Calculations II'!AT26:BA26)+'Calculations II'!BC26+Sheet1!BU26+'Calculations II'!BE26+AF26)</f>
        <v>44.540447999999998</v>
      </c>
      <c r="DZ26" s="712">
        <f>Sheet1!AA26+Sheet1!AB26+'Calculations II'!BC26</f>
        <v>44.940000000002328</v>
      </c>
      <c r="EA26" s="712"/>
      <c r="EB26" s="712"/>
      <c r="EC26" s="712">
        <f t="shared" si="135"/>
        <v>40555</v>
      </c>
      <c r="ED26" s="712">
        <f t="shared" si="136"/>
        <v>0</v>
      </c>
      <c r="EE26" s="712">
        <f t="shared" si="137"/>
        <v>0</v>
      </c>
      <c r="EF26" s="712">
        <f>-(VLOOKUP(Sheet1!BQ26,Lookup!$B$4:$J$236,2)-VLOOKUP(Sheet1!BQ25,Lookup!$B$4:$J$236,2))/1000000</f>
        <v>0</v>
      </c>
      <c r="EG26" s="712">
        <f>-(VLOOKUP(Sheet1!BR26,Lookup!$B$4:$J$236,3)-VLOOKUP(Sheet1!BR25,Lookup!$B$4:$J$236,3))/1000000</f>
        <v>0.2666</v>
      </c>
      <c r="EH26" s="712">
        <f>-(VLOOKUP(Sheet1!BS26,Lookup!$B$4:$J$236,4)-VLOOKUP(Sheet1!BS25,Lookup!$B$4:$J$236,4))/1000000</f>
        <v>0</v>
      </c>
      <c r="EI26" s="697">
        <f t="shared" si="88"/>
        <v>0.2666</v>
      </c>
      <c r="EJ26" s="712"/>
      <c r="EK26" s="712"/>
      <c r="EL26" s="712"/>
      <c r="EM26" s="712"/>
      <c r="EN26" s="712"/>
      <c r="EO26" s="712"/>
      <c r="EP26" s="712"/>
      <c r="EQ26" s="712"/>
      <c r="ER26" s="697">
        <v>0</v>
      </c>
      <c r="ES26" s="712"/>
      <c r="ET26" s="794" t="e">
        <f t="shared" si="138"/>
        <v>#N/A</v>
      </c>
      <c r="EU26" s="794" t="e">
        <f t="shared" si="79"/>
        <v>#VALUE!</v>
      </c>
      <c r="EV26" s="795" t="e">
        <f t="shared" si="48"/>
        <v>#VALUE!</v>
      </c>
      <c r="EW26" s="796" t="s">
        <v>757</v>
      </c>
      <c r="EX26" s="796" t="s">
        <v>757</v>
      </c>
      <c r="EY26" s="794">
        <v>0</v>
      </c>
      <c r="EZ26" s="794" t="e">
        <v>#N/A</v>
      </c>
      <c r="FA26" s="712"/>
      <c r="FB26" s="712"/>
      <c r="FC26" s="712"/>
      <c r="FD26" s="712"/>
      <c r="FE26" s="712">
        <f>O26+Sheet1!CO26</f>
        <v>44.940000000002328</v>
      </c>
      <c r="FF26" s="712">
        <f>IF(Sheet1!AA26+AG26&lt;=Calculation!N26,AG26,Calculation!N26-Sheet1!AA26)</f>
        <v>15.169999999998254</v>
      </c>
      <c r="FG26" s="712">
        <f>(Sheet1!BP26+Sheet1!BO26)/694.4</f>
        <v>2.4183467741935485</v>
      </c>
      <c r="FH26" s="712"/>
      <c r="FI26" s="712"/>
      <c r="FJ26" s="712"/>
      <c r="FK26" s="712"/>
      <c r="FL26" s="714">
        <f t="shared" si="89"/>
        <v>40753</v>
      </c>
      <c r="FM26" s="714">
        <f t="shared" si="90"/>
        <v>40851</v>
      </c>
      <c r="FN26" s="712"/>
      <c r="FO26" s="712"/>
      <c r="FP26" s="712"/>
      <c r="FQ26" s="712"/>
      <c r="FR26" s="712"/>
      <c r="FS26" s="725">
        <f t="shared" si="91"/>
        <v>40603</v>
      </c>
      <c r="FT26" s="714">
        <f t="shared" si="92"/>
        <v>40709</v>
      </c>
      <c r="FU26" s="712">
        <f t="shared" si="93"/>
        <v>6518.9048239895692</v>
      </c>
      <c r="FV26" s="714">
        <f t="shared" si="94"/>
        <v>40722</v>
      </c>
      <c r="FW26" s="712">
        <f t="shared" si="95"/>
        <v>3259.4524119947846</v>
      </c>
      <c r="FX26" s="725">
        <f t="shared" si="96"/>
        <v>40851</v>
      </c>
      <c r="FZ26" s="697">
        <f t="shared" si="49"/>
        <v>0</v>
      </c>
      <c r="GA26" s="712" t="str">
        <f t="shared" si="139"/>
        <v/>
      </c>
      <c r="GB26" s="712">
        <f t="shared" si="140"/>
        <v>0</v>
      </c>
      <c r="GC26" s="712" t="str">
        <f t="shared" si="141"/>
        <v/>
      </c>
      <c r="GD26" s="712">
        <f>IF(GA26="P",Lookup!$M$12,IF(GA26="PP",Lookup!$M$13,IF(GA26="PPP",Lookup!$M$14,IF(GA26="T",Lookup!$M$15,IF(GA26="TP",Lookup!$M$16,IF(GA26="TPP",Lookup!$M$17,IF(GA26="TPPP",Lookup!$M$18,0)))))))*FZ26</f>
        <v>0</v>
      </c>
      <c r="GE26" s="712">
        <f t="shared" si="142"/>
        <v>0</v>
      </c>
      <c r="GF26" s="712">
        <f t="shared" si="143"/>
        <v>0</v>
      </c>
      <c r="GG26" s="712">
        <f t="shared" si="144"/>
        <v>0</v>
      </c>
      <c r="GH26" s="712"/>
      <c r="GI26" s="712">
        <f t="shared" si="145"/>
        <v>0</v>
      </c>
      <c r="GJ26" s="712" t="str">
        <f t="shared" si="146"/>
        <v/>
      </c>
      <c r="GK26" s="712">
        <f>IF(GA26="P",Lookup!$N$12,IF(GA26="PP",Lookup!$N$13,IF(GA26="PPP",Lookup!$N$14,IF(GA26="T",Lookup!$N$15,IF(GA26="TP",Lookup!$N$16,IF(GA26="TPP",Lookup!$N$17,IF(GA26="TPPP",Lookup!$N$18,0)))))))*FZ26</f>
        <v>0</v>
      </c>
      <c r="GL26" s="712">
        <f t="shared" si="147"/>
        <v>0</v>
      </c>
      <c r="GM26" s="712">
        <f t="shared" si="148"/>
        <v>0</v>
      </c>
      <c r="GN26" s="712">
        <f t="shared" si="149"/>
        <v>0</v>
      </c>
      <c r="GO26" s="712"/>
      <c r="GP26" s="712">
        <f t="shared" si="150"/>
        <v>0</v>
      </c>
      <c r="GQ26" s="712" t="str">
        <f t="shared" si="151"/>
        <v/>
      </c>
      <c r="GR26" s="712">
        <f>IF(GA26="P",Lookup!$N$12,IF(GA26="PP",Lookup!$N$13,IF(GA26="PPP",Lookup!$N$14,IF(GA26="T",Lookup!$N$15,IF(GA26="TP",Lookup!$N$16,IF(GA26="TPP",Lookup!$N$17,IF(GA26="TPPP",Lookup!$N$18,0)))))))*FZ26</f>
        <v>0</v>
      </c>
      <c r="GS26" s="697">
        <f t="shared" si="83"/>
        <v>0</v>
      </c>
      <c r="GT26" s="712">
        <f t="shared" si="152"/>
        <v>0</v>
      </c>
      <c r="GU26" s="712">
        <f t="shared" si="153"/>
        <v>0</v>
      </c>
      <c r="GV26" s="712"/>
      <c r="GW26" s="712">
        <f t="shared" si="154"/>
        <v>0</v>
      </c>
      <c r="GX26" s="712" t="str">
        <f t="shared" si="155"/>
        <v/>
      </c>
      <c r="GY26" s="712">
        <f>IF(GA26="P",Lookup!$N$12,IF(GA26="PP",Lookup!$N$13,IF(GA26="PPP",Lookup!$N$14,IF(GA26="T",Lookup!$N$15,IF(GA26="TP",Lookup!$N$16,IF(GA26="TPP",Lookup!$N$17,IF(GA26="TPPP",Lookup!$N$18,0)))))))*FZ26</f>
        <v>0</v>
      </c>
      <c r="GZ26" s="697">
        <f t="shared" si="85"/>
        <v>0</v>
      </c>
      <c r="HA26" s="712">
        <f t="shared" si="156"/>
        <v>0</v>
      </c>
      <c r="HB26" s="712">
        <f t="shared" si="157"/>
        <v>0</v>
      </c>
      <c r="HC26" s="712"/>
    </row>
    <row r="27" spans="1:211" ht="12" customHeight="1">
      <c r="A27" s="773" t="s">
        <v>7</v>
      </c>
      <c r="B27" s="708">
        <v>40556</v>
      </c>
      <c r="C27" s="719">
        <v>0.5</v>
      </c>
      <c r="D27" s="675">
        <f t="shared" si="65"/>
        <v>300</v>
      </c>
      <c r="E27" s="675">
        <f t="shared" si="66"/>
        <v>250</v>
      </c>
      <c r="F27" s="710">
        <v>250</v>
      </c>
      <c r="G27" s="712">
        <f>DH27+Sheet1!CV27</f>
        <v>2920.905935748382</v>
      </c>
      <c r="H27" s="712">
        <f t="shared" ref="H27:H35" si="158">MAX((G27-113-D27)*CFStoMGD,0)</f>
        <v>1621.1103968677542</v>
      </c>
      <c r="I27" s="711">
        <f>MAX(Sheet1!Z27-AJ27+(Sheet1!CW27-E27)*CFStoMGD,0)</f>
        <v>2495.9420000000009</v>
      </c>
      <c r="J27" s="720">
        <f>IF(AND(B27&gt;=Calculation!FS27,B27&lt;=Calculation!FT27),IF(Sheet1!CX27&gt;=Calculation!D27,64.64,0),MAX(Sheet1!Z27-AJ27+(Sheet1!CX27-D27)*CFStoMGD,0))</f>
        <v>2037.3346666666678</v>
      </c>
      <c r="K27" s="697">
        <f t="shared" si="67"/>
        <v>64.64</v>
      </c>
      <c r="L27" s="712">
        <f>Sheet1!AA27+Sheet1!AB27-Sheet1!L27+(Sheet1!CW27-F27)*CFStoMGD</f>
        <v>2495.0720000000069</v>
      </c>
      <c r="M27" s="712">
        <f t="shared" ref="M27:M35" si="159">1.02*CFStoMGD*G27</f>
        <v>1925.8350688051094</v>
      </c>
      <c r="N27" s="712">
        <f>IF(Sheet1!CW27&gt;=F27,MIN(73,MIN(MAX(L27,0),MAX(M27,0))),0)</f>
        <v>73</v>
      </c>
      <c r="O27" s="721">
        <f>Sheet1!AA27+Sheet1!AB27</f>
        <v>44.460000000006403</v>
      </c>
      <c r="P27" s="721">
        <f t="shared" ref="P27:P35" si="160">U27+V27</f>
        <v>68.779620000009899</v>
      </c>
      <c r="Q27" s="712">
        <f>MIN(N27,Sheet1!AA27+AG27)</f>
        <v>44.460000000006403</v>
      </c>
      <c r="R27" s="712">
        <f t="shared" ref="R27:R35" si="161">IF(AND(B27&gt;=FV27,B27&lt;=FX27),MAX(DR27,DV27),DR27)</f>
        <v>0</v>
      </c>
      <c r="S27" s="721">
        <f>Sheet1!Y27*MGDtoCFS</f>
        <v>45.822139999999997</v>
      </c>
      <c r="T27" s="721">
        <f>Sheet1!Z27*MGDtoCFS</f>
        <v>23.297819999999998</v>
      </c>
      <c r="U27" s="721">
        <f>Sheet1!AA27*MGDtoCFS</f>
        <v>45.528210000011704</v>
      </c>
      <c r="V27" s="721">
        <f>Sheet1!AB27*MGDtoCFS</f>
        <v>23.251409999998199</v>
      </c>
      <c r="W27" s="721">
        <f>Sheet1!L27*MGDtoCFS</f>
        <v>70.079099999998874</v>
      </c>
      <c r="X27" s="697">
        <f t="shared" si="68"/>
        <v>0</v>
      </c>
      <c r="Y27" s="712">
        <f t="shared" ref="Y27:Y35" si="162">X27*MGDtoCFS</f>
        <v>0</v>
      </c>
      <c r="Z27" s="712">
        <f t="shared" ref="Z27:Z35" si="163">IF(B27&gt;=FS27,IF(B27&lt;=FT27,K27-DR27,0),0)</f>
        <v>0</v>
      </c>
      <c r="AA27" s="712">
        <f t="shared" ref="AA27:AA35" si="164">Z27*MGDtoCFS</f>
        <v>0</v>
      </c>
      <c r="AB27" s="712">
        <f>(VLOOKUP(Sheet1!CY27,hhdcap_wcm,4)-(((VLOOKUP(Sheet1!CY27,hhdcap_wcm,3)-Sheet1!CY27)/(VLOOKUP(Sheet1!CY27,hhdcap_wcm,3)-VLOOKUP(Sheet1!CY27,hhdcap_wcm,1)))*(VLOOKUP(Sheet1!CY27,hhdcap_wcm,4)-VLOOKUP(Sheet1!CY27,hhdcap_wcm,2))))</f>
        <v>2304.4000000034698</v>
      </c>
      <c r="AC27" s="712">
        <f t="shared" ref="AC27:AC35" si="165">AB27-AB26</f>
        <v>417.06000000080689</v>
      </c>
      <c r="AD27" s="712">
        <f t="shared" si="70"/>
        <v>0</v>
      </c>
      <c r="AE27" s="712">
        <f t="shared" ref="AE27:AE35" si="166">AD27*MGtoAF</f>
        <v>0</v>
      </c>
      <c r="AF27" s="712">
        <f>Sheet1!BA27+Sheet1!BB27+Sheet1!BN27+BT27</f>
        <v>15.1</v>
      </c>
      <c r="AG27" s="712">
        <f t="shared" ref="AG27:AG35" si="167">AF27+(DE27*AF27)</f>
        <v>15.029999999998836</v>
      </c>
      <c r="AH27" s="712">
        <f>Sheet1!BA27+BT27</f>
        <v>0</v>
      </c>
      <c r="AI27" s="712">
        <f>Sheet1!BA27+Sheet1!BB27+BT27</f>
        <v>0</v>
      </c>
      <c r="AJ27" s="712">
        <f>IF((Sheet1!AA27+AG27+AX27+AZ27+BQ27+BS27+CL27+CN27)&lt;=N27,AG27+AX27+AZ27+BQ27+BS27+CL27+CN27,N27-Sheet1!AA27)</f>
        <v>15.029999999998836</v>
      </c>
      <c r="AK27" s="712">
        <f>IF(DR27&lt;K27,0,MAX(Sheet1!AA27+AG27-15/36*K27-N27,Sheet1!ED27,0))</f>
        <v>0</v>
      </c>
      <c r="AL27" s="712">
        <f>IF(OR(B27&gt;=FT27,B27&lt;FS27),0,15/36*K27-MAX(0,64.6-(137.6-(Sheet1!AA27+Sheet1!AB27))))</f>
        <v>0</v>
      </c>
      <c r="AM27" s="712">
        <f>Sheet1!CX27-110</f>
        <v>3341.7708333333335</v>
      </c>
      <c r="AN27" s="712">
        <f>Sheet1!CW27-265</f>
        <v>3846.25</v>
      </c>
      <c r="AO27" s="712">
        <f t="shared" si="71"/>
        <v>28.539999999993597</v>
      </c>
      <c r="AP27" s="712">
        <f t="shared" si="72"/>
        <v>0</v>
      </c>
      <c r="AQ27" s="712">
        <f t="shared" ref="AQ27:AQ35" si="168">IF(AP27&lt;=0,0,AP27/1.547)</f>
        <v>0</v>
      </c>
      <c r="AR27" s="712">
        <f t="shared" ref="AR27:AR35" si="169">GE27+GG27</f>
        <v>0</v>
      </c>
      <c r="AS27" s="712"/>
      <c r="AT27" s="712">
        <f ca="1">IF(B27&gt;Summary!$A$1,#N/A,AR27*MGtoAF)</f>
        <v>0</v>
      </c>
      <c r="AU27" s="712">
        <f>Sheet1!BG27+Sheet1!BH27+Sheet1!BI27-BC27</f>
        <v>0</v>
      </c>
      <c r="AV27" s="712">
        <f t="shared" ref="AV27:AV35" si="170">AU27+(DE27*AU27)</f>
        <v>0</v>
      </c>
      <c r="AW27" s="712">
        <f>IF(Sheet1!EL27="FM",BC27,0)</f>
        <v>0</v>
      </c>
      <c r="AX27" s="712">
        <f t="shared" ref="AX27:AX35" si="171">AW27+(DE27*AW27)</f>
        <v>0</v>
      </c>
      <c r="AY27" s="712">
        <f>IF(Sheet1!EL27="OTHER",BC27,0)</f>
        <v>0</v>
      </c>
      <c r="AZ27" s="712">
        <f t="shared" ref="AZ27:AZ35" si="172">AY27+(DE27*AY27)</f>
        <v>0</v>
      </c>
      <c r="BA27" s="712">
        <f t="shared" ref="BA27:BA35" si="173">MAX(AU27,AW27,AY27)</f>
        <v>0</v>
      </c>
      <c r="BB27" s="712">
        <f t="shared" ref="BB27:BB35" si="174">MAX(AV27,AX27,AZ27)</f>
        <v>0</v>
      </c>
      <c r="BC27" s="712">
        <f>IF(OR(Sheet1!EL27="FM", Sheet1!EL27="OTHER"),SUM(Sheet1!BG27:'Sheet1'!BI27),0)</f>
        <v>0</v>
      </c>
      <c r="BD27" s="697">
        <f>IF(AND($B27&gt;=$FL27,$B27&lt;=$FM27),MAX(AV27,Sheet1!EE27,0),MAX(AV27-(7/36)*$K27,0))</f>
        <v>0</v>
      </c>
      <c r="BE27" s="712">
        <f t="shared" ref="BE27:BE35" si="175">IF(B27&gt;=FS27,IF(B27&lt;=FT27,(7/36)*K27-AV27,0),0)</f>
        <v>0</v>
      </c>
      <c r="BF27" s="697">
        <f t="shared" si="73"/>
        <v>0</v>
      </c>
      <c r="BG27" s="697">
        <f>IF(AND($O27&gt;0,Sheet1!EI27=1),(1-($O27-Sheet1!$L27)/$O27)*BB27,0)</f>
        <v>0</v>
      </c>
      <c r="BH27" s="697">
        <f>IF(AND(Sheet1!$L27=0,Sheet1!$L26=0, Calculation!BA27&lt;Sheet1!$EE27-0.1,Sheet1!$EE27=Sheet1!$EE26,Sheet1!$EE27=Sheet1!$EE28),Sheet1!$EE27,BB27-BG27)</f>
        <v>0</v>
      </c>
      <c r="BI27" s="712"/>
      <c r="BJ27" s="712"/>
      <c r="BK27" s="712">
        <f t="shared" ref="BK27:BK35" si="176">GL27+GN27</f>
        <v>0</v>
      </c>
      <c r="BL27" s="712"/>
      <c r="BM27" s="712">
        <f ca="1">IF(B27&gt;Summary!$A$1,#N/A,BK27*MGtoAF)</f>
        <v>0</v>
      </c>
      <c r="BN27" s="712">
        <f>Sheet1!BC27+Sheet1!BD27+Sheet1!BE27+Sheet1!BF27-BW27-BX27</f>
        <v>0</v>
      </c>
      <c r="BO27" s="712">
        <f t="shared" ref="BO27:BO35" si="177">BN27+(DE27*BN27)</f>
        <v>0</v>
      </c>
      <c r="BP27" s="712">
        <f>IF(Sheet1!EM27="FM",BX27,0)</f>
        <v>0</v>
      </c>
      <c r="BQ27" s="712">
        <f t="shared" ref="BQ27:BQ35" si="178">BP27+(DE27*BP27)</f>
        <v>0</v>
      </c>
      <c r="BR27" s="712">
        <f>IF(Sheet1!EM27="OTHER",BX27,0)</f>
        <v>0</v>
      </c>
      <c r="BS27" s="712">
        <f t="shared" ref="BS27:BS35" si="179">BR27+(DE27*BR27)</f>
        <v>0</v>
      </c>
      <c r="BT27" s="712">
        <f t="shared" ref="BT27:BT35" si="180">BW27</f>
        <v>0</v>
      </c>
      <c r="BU27" s="712">
        <f t="shared" ref="BU27:BU35" si="181">MAX(BN27,BP27,BR27)</f>
        <v>0</v>
      </c>
      <c r="BV27" s="712">
        <f t="shared" ref="BV27:BV35" si="182">MAX(BO27,BQ27, BS27)</f>
        <v>0</v>
      </c>
      <c r="BW27" s="712">
        <f>IF(Sheet1!EM27="CWA",SUM(Sheet1!BC27:'Sheet1'!BF27),0)</f>
        <v>0</v>
      </c>
      <c r="BX27" s="712">
        <f>IF(OR(Sheet1!EM27="FM", Sheet1!EM27="OTHER"),SUM(Sheet1!BC27:'Sheet1'!BF27),0)</f>
        <v>0</v>
      </c>
      <c r="BY27" s="697">
        <f>IF(AND($B27&gt;=$FL27,$B27&lt;=$FM27),MAX(BV27,Sheet1!EF27,0),MAX(BV27-(7/36)*$K27,0))</f>
        <v>0</v>
      </c>
      <c r="BZ27" s="712">
        <f t="shared" ref="BZ27:BZ35" si="183">IF(B27&gt;=FS27,IF(B27&lt;=FT27,(7/36)*K27-BO27,0),0)</f>
        <v>0</v>
      </c>
      <c r="CA27" s="697">
        <f t="shared" si="74"/>
        <v>0</v>
      </c>
      <c r="CB27" s="697">
        <f>IF(AND($O27&gt;0,Sheet1!EJ27=1),(1-($O27-Sheet1!$L27)/$O27)*BV27,0)</f>
        <v>0</v>
      </c>
      <c r="CC27" s="697">
        <f>IF(AND(Sheet1!$L27=0,Sheet1!$L26=0, Calculation!BU27&lt;Sheet1!EF27-0.1,Sheet1!EF27=Sheet1!EF26,Sheet1!EF27=Sheet1!EF28),Sheet1!EF27,BV27-CB27)</f>
        <v>0</v>
      </c>
      <c r="CD27" s="697"/>
      <c r="CE27" s="712"/>
      <c r="CF27" s="712">
        <f t="shared" ref="CF27:CF35" si="184">GS27+GU27</f>
        <v>0</v>
      </c>
      <c r="CG27" s="712"/>
      <c r="CH27" s="712">
        <f ca="1">IF(B27&gt;Summary!$A$1,#N/A,CF27*MGtoAF)</f>
        <v>0</v>
      </c>
      <c r="CI27" s="712">
        <f>Sheet1!BK27+Sheet1!BL27+Sheet1!BM27-Sheet1!EN27-CQ27</f>
        <v>0</v>
      </c>
      <c r="CJ27" s="712">
        <f t="shared" ref="CJ27:CJ35" si="185">CI27+(DE27*CI27)</f>
        <v>0</v>
      </c>
      <c r="CK27" s="712">
        <f>IF(Sheet1!EN27="FM",CQ27,0)</f>
        <v>0</v>
      </c>
      <c r="CL27" s="712">
        <f t="shared" ref="CL27:CL35" si="186">CK27+(DE27*CK27)</f>
        <v>0</v>
      </c>
      <c r="CM27" s="712">
        <f>IF(Sheet1!EN27="OTHER",CQ27,0)</f>
        <v>0</v>
      </c>
      <c r="CN27" s="712">
        <f t="shared" ref="CN27:CN35" si="187">CM27+(DE27*CM27)</f>
        <v>0</v>
      </c>
      <c r="CO27" s="712">
        <f t="shared" ref="CO27:CO35" si="188">MAX(CI27,CK27)</f>
        <v>0</v>
      </c>
      <c r="CP27" s="712">
        <f t="shared" ref="CP27:CP35" si="189">MAX(CJ27,CL27)</f>
        <v>0</v>
      </c>
      <c r="CQ27" s="712">
        <f>IF(OR(Sheet1!EN27="FM", Sheet1!EN27="OTHER"),SUM(Sheet1!BK27:'Sheet1'!BM27),0)</f>
        <v>0</v>
      </c>
      <c r="CR27" s="697">
        <f>IF(AND($B27&gt;=$FL27,$B27&lt;=$FM27),MAX($CJ27,Sheet1!EG27,0),MAX($CJ27-(7/36)*$K27,0))</f>
        <v>0</v>
      </c>
      <c r="CS27" s="712">
        <f t="shared" ref="CS27:CS35" si="190">IF(B27&gt;=FS27,IF(B27&lt;=FT27,(7/36)*K27-CJ27,0),0)</f>
        <v>0</v>
      </c>
      <c r="CT27" s="697">
        <f t="shared" si="75"/>
        <v>0</v>
      </c>
      <c r="CU27" s="697">
        <f>IF(AND($O27&gt;0,Sheet1!EK27=1),(1-($O27-Sheet1!$L27)/$O27)*CP27,0)</f>
        <v>0</v>
      </c>
      <c r="CV27" s="697">
        <f>IF(AND(Sheet1!$L27=0,Sheet1!$L26=0, Calculation!CO27&lt;Sheet1!$EG27-0.1,Sheet1!$EG27=Sheet1!$EG26,Sheet1!$EG27=Sheet1!$EG28),Sheet1!$EG27,CP27-CU27)</f>
        <v>0</v>
      </c>
      <c r="CW27" s="697">
        <f t="shared" si="33"/>
        <v>0</v>
      </c>
      <c r="CX27" s="712">
        <f t="shared" si="87"/>
        <v>0</v>
      </c>
      <c r="CY27" s="712">
        <f t="shared" ref="CY27:CY35" si="191">GZ27+HB27</f>
        <v>0</v>
      </c>
      <c r="CZ27" s="712">
        <f t="shared" ref="CZ27:CZ35" si="192">BB27+BV27+CP27</f>
        <v>0</v>
      </c>
      <c r="DA27" s="712">
        <f ca="1">IF(B27&gt;Summary!$A$1,#N/A,CY27*MGtoAF)</f>
        <v>0</v>
      </c>
      <c r="DB27" s="712">
        <f t="shared" ref="DB27:DB35" si="193">CO27+BU27+BA27</f>
        <v>0</v>
      </c>
      <c r="DC27" s="712">
        <f t="shared" ref="DC27:DC35" si="194">DB27+AF27</f>
        <v>15.1</v>
      </c>
      <c r="DD27" s="712">
        <f>Sheet1!AB27-DC27</f>
        <v>-7.0000000001163798E-2</v>
      </c>
      <c r="DE27" s="712">
        <f t="shared" ref="DE27:DE35" si="195">IF(DC27=0,0,DD27/DC27)</f>
        <v>-4.635761589481046E-3</v>
      </c>
      <c r="DF27" s="712">
        <f>(VLOOKUP(Sheet1!CY27,hhdcap_wcm,4)-(((VLOOKUP(Sheet1!CY27,hhdcap_wcm,3)-Sheet1!CY27)/(VLOOKUP(Sheet1!CY27,hhdcap_wcm,3)-VLOOKUP(Sheet1!CY27,hhdcap_wcm,1)))*(VLOOKUP(Sheet1!CY27,hhdcap_wcm,4)-VLOOKUP(Sheet1!CY27,hhdcap_wcm,2))))</f>
        <v>2304.4000000034698</v>
      </c>
      <c r="DG27" s="712">
        <f t="shared" ref="DG27:DG35" si="196">DF27-DF26</f>
        <v>417.06000000080689</v>
      </c>
      <c r="DH27" s="712">
        <f t="shared" ref="DH27:DH35" si="197">DG27*AFtoCFS</f>
        <v>210.31770045426467</v>
      </c>
      <c r="DI27" s="712">
        <f>Sheet1!DW27*AFtoMG</f>
        <v>0</v>
      </c>
      <c r="DJ27" s="712">
        <f>Sheet1!DX27*AFtoMG</f>
        <v>0</v>
      </c>
      <c r="DK27" s="712">
        <f>Sheet1!DY27*AFtoMG</f>
        <v>0</v>
      </c>
      <c r="DL27" s="712">
        <f>Sheet1!DZ27*AFtoMG</f>
        <v>0</v>
      </c>
      <c r="DM27" s="712">
        <f t="shared" ref="DM27:DM35" si="198">SUM(DI27:DL27)</f>
        <v>0</v>
      </c>
      <c r="DN27" s="712">
        <f t="shared" ref="DN27:DN35" si="199">DM27*MGtoAF</f>
        <v>0</v>
      </c>
      <c r="DO27" s="712">
        <f t="shared" ref="DO27:DO35" si="200">AD27</f>
        <v>0</v>
      </c>
      <c r="DP27" s="712">
        <f t="shared" ref="DP27:DP35" si="201">DO27*MGtoAF</f>
        <v>0</v>
      </c>
      <c r="DQ27" s="712"/>
      <c r="DR27" s="697">
        <f>IF(OR(B27&lt;FL27,B27&gt;FM27),(MIN(AV27+BO27+CJ27+MAX(Sheet1!AA27+AG27-73,0),K27)),0)</f>
        <v>0</v>
      </c>
      <c r="DS27" s="712"/>
      <c r="DT27" s="712">
        <f t="shared" ref="DT27:DT35" si="202">CJ27+AV27+BO27</f>
        <v>0</v>
      </c>
      <c r="DU27" s="712"/>
      <c r="DV27" s="712">
        <f>Sheet1!ED27+Sheet1!EE27+Sheet1!EF27+Sheet1!EG27</f>
        <v>9.5</v>
      </c>
      <c r="DW27" s="712"/>
      <c r="DX27" s="697">
        <f t="shared" si="77"/>
        <v>0</v>
      </c>
      <c r="DY27" s="712">
        <f>IF(Sheet1!FN27=1,SUM('Calculations II'!AT27:BA27)+'Calculations II'!BC27+Sheet1!BU27+'Calculations II'!BE27+AF27,SUM('Calculations II'!AT27:BA27)+'Calculations II'!BC27+Sheet1!BU27+'Calculations II'!BE27+AF27)</f>
        <v>43.389215999999998</v>
      </c>
      <c r="DZ27" s="712">
        <f>Sheet1!AA27+Sheet1!AB27+'Calculations II'!BC27</f>
        <v>44.460000000006403</v>
      </c>
      <c r="EA27" s="712"/>
      <c r="EB27" s="712"/>
      <c r="EC27" s="712">
        <f t="shared" ref="EC27:EC35" si="203">B27</f>
        <v>40556</v>
      </c>
      <c r="ED27" s="712">
        <f t="shared" ref="ED27:ED35" si="204">Z27-X27</f>
        <v>0</v>
      </c>
      <c r="EE27" s="712">
        <f t="shared" ref="EE27:EE35" si="205">AA27-Y27</f>
        <v>0</v>
      </c>
      <c r="EF27" s="712">
        <f>-(VLOOKUP(Sheet1!BQ27,Lookup!$B$4:$J$236,2)-VLOOKUP(Sheet1!BQ26,Lookup!$B$4:$J$236,2))/1000000</f>
        <v>0</v>
      </c>
      <c r="EG27" s="712">
        <f>-(VLOOKUP(Sheet1!BR27,Lookup!$B$4:$J$236,3)-VLOOKUP(Sheet1!BR26,Lookup!$B$4:$J$236,3))/1000000</f>
        <v>-0.2666</v>
      </c>
      <c r="EH27" s="712">
        <f>-(VLOOKUP(Sheet1!BS27,Lookup!$B$4:$J$236,4)-VLOOKUP(Sheet1!BS26,Lookup!$B$4:$J$236,4))/1000000</f>
        <v>0</v>
      </c>
      <c r="EI27" s="697">
        <f t="shared" si="88"/>
        <v>-0.2666</v>
      </c>
      <c r="EJ27" s="712"/>
      <c r="EK27" s="712"/>
      <c r="EL27" s="712"/>
      <c r="EM27" s="712"/>
      <c r="EN27" s="712"/>
      <c r="EO27" s="712"/>
      <c r="EP27" s="712"/>
      <c r="EQ27" s="712"/>
      <c r="ER27" s="697">
        <v>0</v>
      </c>
      <c r="ES27" s="712"/>
      <c r="ET27" s="794" t="e">
        <f t="shared" ref="ET27:ET35" si="206">VLOOKUP(EZ26,hhdelev_wcm,4) -(((VLOOKUP(EZ26,hhdelev_wcm,3)-EZ26)/(VLOOKUP(EZ26,hhdelev_wcm,3)-VLOOKUP(EZ26,hhdelev_wcm,1)))*(VLOOKUP(EZ26,hhdelev_wcm,4)-VLOOKUP(EZ26,hhdelev_wcm,2)))</f>
        <v>#N/A</v>
      </c>
      <c r="EU27" s="794" t="e">
        <f t="shared" si="79"/>
        <v>#VALUE!</v>
      </c>
      <c r="EV27" s="795" t="e">
        <f t="shared" si="48"/>
        <v>#VALUE!</v>
      </c>
      <c r="EW27" s="796" t="s">
        <v>757</v>
      </c>
      <c r="EX27" s="796" t="s">
        <v>757</v>
      </c>
      <c r="EY27" s="794">
        <v>0</v>
      </c>
      <c r="EZ27" s="794" t="e">
        <v>#N/A</v>
      </c>
      <c r="FA27" s="712"/>
      <c r="FB27" s="712"/>
      <c r="FC27" s="712"/>
      <c r="FD27" s="712"/>
      <c r="FE27" s="712">
        <f>O27+Sheet1!CO27</f>
        <v>44.460000000006403</v>
      </c>
      <c r="FF27" s="712">
        <f>IF(Sheet1!AA27+AG27&lt;=Calculation!N27,AG27,Calculation!N27-Sheet1!AA27)</f>
        <v>15.029999999998836</v>
      </c>
      <c r="FG27" s="712">
        <f>(Sheet1!BP27+Sheet1!BO27)/694.4</f>
        <v>2.7091013824884795</v>
      </c>
      <c r="FH27" s="712"/>
      <c r="FI27" s="712"/>
      <c r="FJ27" s="712"/>
      <c r="FK27" s="712"/>
      <c r="FL27" s="714">
        <f t="shared" si="89"/>
        <v>40753</v>
      </c>
      <c r="FM27" s="714">
        <f t="shared" si="90"/>
        <v>40851</v>
      </c>
      <c r="FN27" s="712"/>
      <c r="FO27" s="712"/>
      <c r="FP27" s="712"/>
      <c r="FQ27" s="712"/>
      <c r="FR27" s="712"/>
      <c r="FS27" s="725">
        <f t="shared" si="91"/>
        <v>40603</v>
      </c>
      <c r="FT27" s="714">
        <f t="shared" si="92"/>
        <v>40709</v>
      </c>
      <c r="FU27" s="712">
        <f t="shared" si="93"/>
        <v>6518.9048239895692</v>
      </c>
      <c r="FV27" s="714">
        <f t="shared" si="94"/>
        <v>40722</v>
      </c>
      <c r="FW27" s="712">
        <f t="shared" si="95"/>
        <v>3259.4524119947846</v>
      </c>
      <c r="FX27" s="725">
        <f t="shared" si="96"/>
        <v>40851</v>
      </c>
      <c r="FZ27" s="697">
        <f t="shared" si="49"/>
        <v>0</v>
      </c>
      <c r="GA27" s="712" t="str">
        <f t="shared" ref="GA27:GA35" si="207">CONCATENATE(GC27,GQ27,GJ27,GX27)</f>
        <v/>
      </c>
      <c r="GB27" s="712">
        <f t="shared" ref="GB27:GB35" si="208">IF(GF27&gt;=8333.33,AL27,0)</f>
        <v>0</v>
      </c>
      <c r="GC27" s="712" t="str">
        <f t="shared" ref="GC27:GC35" si="209">IF(AND(GF27&lt;8333.33,FZ27&gt;0),"T","")</f>
        <v/>
      </c>
      <c r="GD27" s="712">
        <f>IF(GA27="P",Lookup!$M$12,IF(GA27="PP",Lookup!$M$13,IF(GA27="PPP",Lookup!$M$14,IF(GA27="T",Lookup!$M$15,IF(GA27="TP",Lookup!$M$16,IF(GA27="TPP",Lookup!$M$17,IF(GA27="TPPP",Lookup!$M$18,0)))))))*FZ27</f>
        <v>0</v>
      </c>
      <c r="GE27" s="712">
        <f t="shared" ref="GE27:GE35" si="210">IF(GC27="T",GD27,0)</f>
        <v>0</v>
      </c>
      <c r="GF27" s="712">
        <f t="shared" ref="GF27:GF35" si="211">GG27*MGtoAF</f>
        <v>0</v>
      </c>
      <c r="GG27" s="712">
        <f t="shared" ref="GG27:GG35" si="212">(IF(AND(B27&lt;FV27,B27&gt;=FS27),MIN(AR26+AL27-AK27,15/36*FU27),IF(B27=FV27,15/36*FW27,IF(AND(B27&gt;FV27,B27&lt;FX27),MIN(AR26+AL27-AK27,15/36*FW27),IF(B27&gt;=FX27,0,0)))))+DI27</f>
        <v>0</v>
      </c>
      <c r="GH27" s="712"/>
      <c r="GI27" s="712">
        <f t="shared" ref="GI27:GI35" si="213">IF(GM27&gt;=3888.88,BE27,0)</f>
        <v>0</v>
      </c>
      <c r="GJ27" s="712" t="str">
        <f t="shared" ref="GJ27:GJ35" si="214">IF(AND(GM27&lt;3888.88,FZ27&gt;0),"P","")</f>
        <v/>
      </c>
      <c r="GK27" s="712">
        <f>IF(GA27="P",Lookup!$N$12,IF(GA27="PP",Lookup!$N$13,IF(GA27="PPP",Lookup!$N$14,IF(GA27="T",Lookup!$N$15,IF(GA27="TP",Lookup!$N$16,IF(GA27="TPP",Lookup!$N$17,IF(GA27="TPPP",Lookup!$N$18,0)))))))*FZ27</f>
        <v>0</v>
      </c>
      <c r="GL27" s="712">
        <f t="shared" ref="GL27:GL35" si="215">IF(GJ27="P",GK27,0)</f>
        <v>0</v>
      </c>
      <c r="GM27" s="712">
        <f t="shared" ref="GM27:GM35" si="216">GN27*MGtoAF</f>
        <v>0</v>
      </c>
      <c r="GN27" s="712">
        <f t="shared" ref="GN27:GN35" si="217">(IF(AND(B27&lt;FV27,B27&gt;=FS27),MIN(BK26+BE27-BD27,7/36*FU27),IF(B27=FV27,7/36*FW27,IF(AND(B27&gt;FV27,B27&lt;FX27),MIN(BK26+BE27-BD27,7/36*FW27),IF(B27&gt;=FX27,0,0)))))+DJ27</f>
        <v>0</v>
      </c>
      <c r="GO27" s="712"/>
      <c r="GP27" s="712">
        <f t="shared" ref="GP27:GP35" si="218">IF(GT27&gt;=8333.33,BZ27,0)</f>
        <v>0</v>
      </c>
      <c r="GQ27" s="712" t="str">
        <f t="shared" ref="GQ27:GQ35" si="219">IF(AND(GT27&lt;3888.88,FZ27&gt;0),"P","")</f>
        <v/>
      </c>
      <c r="GR27" s="712">
        <f>IF(GA27="P",Lookup!$N$12,IF(GA27="PP",Lookup!$N$13,IF(GA27="PPP",Lookup!$N$14,IF(GA27="T",Lookup!$N$15,IF(GA27="TP",Lookup!$N$16,IF(GA27="TPP",Lookup!$N$17,IF(GA27="TPPP",Lookup!$N$18,0)))))))*FZ27</f>
        <v>0</v>
      </c>
      <c r="GS27" s="697">
        <f t="shared" si="83"/>
        <v>0</v>
      </c>
      <c r="GT27" s="712">
        <f t="shared" ref="GT27:GT35" si="220">GU27*MGtoAF</f>
        <v>0</v>
      </c>
      <c r="GU27" s="712">
        <f t="shared" ref="GU27:GU35" si="221">IF(AND(B27&lt;FV27,B27&gt;=FS27),MIN(CF26+BZ27-BY27,7/36*FU27),IF(B27=FV27,7/36*FW27,IF(AND(B27&gt;FV27,B27&lt;FX27),MIN(CF26+BZ27-BY27,7/36*FW27),IF(B27&gt;=FX27,0,0))))+DK27</f>
        <v>0</v>
      </c>
      <c r="GV27" s="712"/>
      <c r="GW27" s="712">
        <f t="shared" ref="GW27:GW35" si="222">IF(HA27&gt;=3888.88,CS27,0)</f>
        <v>0</v>
      </c>
      <c r="GX27" s="712" t="str">
        <f t="shared" ref="GX27:GX35" si="223">IF(AND(HA27&lt;3888.88,FZ27&gt;0),"P","")</f>
        <v/>
      </c>
      <c r="GY27" s="712">
        <f>IF(GA27="P",Lookup!$N$12,IF(GA27="PP",Lookup!$N$13,IF(GA27="PPP",Lookup!$N$14,IF(GA27="T",Lookup!$N$15,IF(GA27="TP",Lookup!$N$16,IF(GA27="TPP",Lookup!$N$17,IF(GA27="TPPP",Lookup!$N$18,0)))))))*FZ27</f>
        <v>0</v>
      </c>
      <c r="GZ27" s="697">
        <f t="shared" si="85"/>
        <v>0</v>
      </c>
      <c r="HA27" s="712">
        <f t="shared" ref="HA27:HA35" si="224">HB27*MGtoAF</f>
        <v>0</v>
      </c>
      <c r="HB27" s="712">
        <f t="shared" ref="HB27:HB35" si="225">(IF(AND(B27&lt;FV27,B27&gt;=FS27),MIN(CY26+CS27-CR27,7/36*FU27),IF(B27=FV27,7/36*FW27,IF(AND(B27&gt;FV27,B27&lt;FX27),MIN(CY26+CS27-CR27,7/36*FW27),IF(B27&gt;=FX27,0,0)))))+DL27</f>
        <v>0</v>
      </c>
      <c r="HC27" s="712"/>
    </row>
    <row r="28" spans="1:211">
      <c r="A28" s="773" t="s">
        <v>8</v>
      </c>
      <c r="B28" s="708">
        <v>40557</v>
      </c>
      <c r="C28" s="709">
        <v>0.5</v>
      </c>
      <c r="D28" s="675">
        <f t="shared" si="65"/>
        <v>300</v>
      </c>
      <c r="E28" s="675">
        <f t="shared" si="66"/>
        <v>250</v>
      </c>
      <c r="F28" s="710">
        <v>250</v>
      </c>
      <c r="G28" s="712">
        <f>DH28+Sheet1!CV28</f>
        <v>3913.1838272372756</v>
      </c>
      <c r="H28" s="712">
        <f t="shared" si="158"/>
        <v>2262.5188259261749</v>
      </c>
      <c r="I28" s="711">
        <f>MAX(Sheet1!Z28-AJ28+(Sheet1!CW28-E28)*CFStoMGD,0)</f>
        <v>3480.3879999999986</v>
      </c>
      <c r="J28" s="720">
        <f>IF(AND(B28&gt;=Calculation!FS28,B28&lt;=Calculation!FT28),IF(Sheet1!CX28&gt;=Calculation!D28,64.64,0),MAX(Sheet1!Z28-AJ28+(Sheet1!CX28-D28)*CFStoMGD,0))</f>
        <v>2836.5466666666653</v>
      </c>
      <c r="K28" s="697">
        <f t="shared" si="67"/>
        <v>64.64</v>
      </c>
      <c r="L28" s="712">
        <f>Sheet1!AA28+Sheet1!AB28-Sheet1!L28+(Sheet1!CW28-F28)*CFStoMGD</f>
        <v>3482.7479999999973</v>
      </c>
      <c r="M28" s="712">
        <f t="shared" si="159"/>
        <v>2580.0716664446986</v>
      </c>
      <c r="N28" s="712">
        <f>IF(Sheet1!CW28&gt;=F28,MIN(73,MIN(MAX(L28,0),MAX(M28,0))),0)</f>
        <v>73</v>
      </c>
      <c r="O28" s="721">
        <f>Sheet1!AA28+Sheet1!AB28</f>
        <v>47.169999999998254</v>
      </c>
      <c r="P28" s="721">
        <f t="shared" si="160"/>
        <v>72.971989999997291</v>
      </c>
      <c r="Q28" s="712">
        <f>MIN(N28,Sheet1!AA28+AG28)</f>
        <v>47.169999999998254</v>
      </c>
      <c r="R28" s="712">
        <f t="shared" si="161"/>
        <v>0</v>
      </c>
      <c r="S28" s="721">
        <f>Sheet1!Y28*MGDtoCFS</f>
        <v>45.976839999999996</v>
      </c>
      <c r="T28" s="721">
        <f>Sheet1!Z28*MGDtoCFS</f>
        <v>22.555260000000001</v>
      </c>
      <c r="U28" s="721">
        <f>Sheet1!AA28*MGDtoCFS</f>
        <v>47.492899999995494</v>
      </c>
      <c r="V28" s="721">
        <f>Sheet1!AB28*MGDtoCFS</f>
        <v>25.479090000001801</v>
      </c>
      <c r="W28" s="721">
        <f>Sheet1!L28*MGDtoCFS</f>
        <v>72.244900000001124</v>
      </c>
      <c r="X28" s="697">
        <f t="shared" si="68"/>
        <v>0</v>
      </c>
      <c r="Y28" s="712">
        <f t="shared" si="162"/>
        <v>0</v>
      </c>
      <c r="Z28" s="712">
        <f t="shared" si="163"/>
        <v>0</v>
      </c>
      <c r="AA28" s="712">
        <f t="shared" si="164"/>
        <v>0</v>
      </c>
      <c r="AB28" s="712">
        <f>(VLOOKUP(Sheet1!CY28,hhdcap_wcm,4)-(((VLOOKUP(Sheet1!CY28,hhdcap_wcm,3)-Sheet1!CY28)/(VLOOKUP(Sheet1!CY28,hhdcap_wcm,3)-VLOOKUP(Sheet1!CY28,hhdcap_wcm,1)))*(VLOOKUP(Sheet1!CY28,hhdcap_wcm,4)-VLOOKUP(Sheet1!CY28,hhdcap_wcm,2))))</f>
        <v>2192.9000000032229</v>
      </c>
      <c r="AC28" s="712">
        <f t="shared" si="165"/>
        <v>-111.50000000024693</v>
      </c>
      <c r="AD28" s="712">
        <f t="shared" si="70"/>
        <v>0</v>
      </c>
      <c r="AE28" s="712">
        <f t="shared" si="166"/>
        <v>0</v>
      </c>
      <c r="AF28" s="712">
        <f>Sheet1!BA28+Sheet1!BB28+Sheet1!BN28+BT28</f>
        <v>15.6</v>
      </c>
      <c r="AG28" s="712">
        <f t="shared" si="167"/>
        <v>16.470000000001164</v>
      </c>
      <c r="AH28" s="712">
        <f>Sheet1!BA28+BT28</f>
        <v>0</v>
      </c>
      <c r="AI28" s="712">
        <f>Sheet1!BA28+Sheet1!BB28+BT28</f>
        <v>0</v>
      </c>
      <c r="AJ28" s="712">
        <f>IF((Sheet1!AA28+AG28+AX28+AZ28+BQ28+BS28+CL28+CN28)&lt;=N28,AG28+AX28+AZ28+BQ28+BS28+CL28+CN28,N28-Sheet1!AA28)</f>
        <v>16.470000000001164</v>
      </c>
      <c r="AK28" s="712">
        <f>IF(DR28&lt;K28,0,MAX(Sheet1!AA28+AG28-15/36*K28-N28,Sheet1!ED28,0))</f>
        <v>0</v>
      </c>
      <c r="AL28" s="712">
        <f>IF(OR(B28&gt;=FT28,B28&lt;FS28),0,15/36*K28-MAX(0,64.6-(137.6-(Sheet1!AA28+Sheet1!AB28))))</f>
        <v>0</v>
      </c>
      <c r="AM28" s="712">
        <f>Sheet1!CX28-110</f>
        <v>4581.145833333333</v>
      </c>
      <c r="AN28" s="712">
        <f>Sheet1!CW28-265</f>
        <v>5372.1875</v>
      </c>
      <c r="AO28" s="712">
        <f t="shared" si="71"/>
        <v>25.830000000001746</v>
      </c>
      <c r="AP28" s="712">
        <f t="shared" si="72"/>
        <v>0</v>
      </c>
      <c r="AQ28" s="712">
        <f t="shared" si="168"/>
        <v>0</v>
      </c>
      <c r="AR28" s="712">
        <f t="shared" si="169"/>
        <v>0</v>
      </c>
      <c r="AS28" s="712"/>
      <c r="AT28" s="712">
        <f ca="1">IF(B28&gt;Summary!$A$1,#N/A,AR28*MGtoAF)</f>
        <v>0</v>
      </c>
      <c r="AU28" s="712">
        <f>Sheet1!BG28+Sheet1!BH28+Sheet1!BI28-BC28</f>
        <v>0</v>
      </c>
      <c r="AV28" s="712">
        <f t="shared" si="170"/>
        <v>0</v>
      </c>
      <c r="AW28" s="712">
        <f>IF(Sheet1!EL28="FM",BC28,0)</f>
        <v>0</v>
      </c>
      <c r="AX28" s="712">
        <f t="shared" si="171"/>
        <v>0</v>
      </c>
      <c r="AY28" s="712">
        <f>IF(Sheet1!EL28="OTHER",BC28,0)</f>
        <v>0</v>
      </c>
      <c r="AZ28" s="712">
        <f t="shared" si="172"/>
        <v>0</v>
      </c>
      <c r="BA28" s="712">
        <f t="shared" si="173"/>
        <v>0</v>
      </c>
      <c r="BB28" s="712">
        <f t="shared" si="174"/>
        <v>0</v>
      </c>
      <c r="BC28" s="712">
        <f>IF(OR(Sheet1!EL28="FM", Sheet1!EL28="OTHER"),SUM(Sheet1!BG28:'Sheet1'!BI28),0)</f>
        <v>0</v>
      </c>
      <c r="BD28" s="697">
        <f>IF(AND($B28&gt;=$FL28,$B28&lt;=$FM28),MAX(AV28,Sheet1!EE28,0),MAX(AV28-(7/36)*$K28,0))</f>
        <v>0</v>
      </c>
      <c r="BE28" s="712">
        <f t="shared" si="175"/>
        <v>0</v>
      </c>
      <c r="BF28" s="697">
        <f t="shared" si="73"/>
        <v>0</v>
      </c>
      <c r="BG28" s="697">
        <f>IF(AND($O28&gt;0,Sheet1!EI28=1),(1-($O28-Sheet1!$L28)/$O28)*BB28,0)</f>
        <v>0</v>
      </c>
      <c r="BH28" s="697">
        <f>IF(AND(Sheet1!$L28=0,Sheet1!$L27=0, Calculation!BA28&lt;Sheet1!$EE28-0.1,Sheet1!$EE28=Sheet1!$EE27,Sheet1!$EE28=Sheet1!$EE29),Sheet1!$EE28,BB28-BG28)</f>
        <v>0</v>
      </c>
      <c r="BI28" s="712"/>
      <c r="BJ28" s="712"/>
      <c r="BK28" s="712">
        <f t="shared" si="176"/>
        <v>0</v>
      </c>
      <c r="BL28" s="712"/>
      <c r="BM28" s="712">
        <f ca="1">IF(B28&gt;Summary!$A$1,#N/A,BK28*MGtoAF)</f>
        <v>0</v>
      </c>
      <c r="BN28" s="712">
        <f>Sheet1!BC28+Sheet1!BD28+Sheet1!BE28+Sheet1!BF28-BW28-BX28</f>
        <v>0</v>
      </c>
      <c r="BO28" s="712">
        <f t="shared" si="177"/>
        <v>0</v>
      </c>
      <c r="BP28" s="712">
        <f>IF(Sheet1!EM28="FM",BX28,0)</f>
        <v>0</v>
      </c>
      <c r="BQ28" s="712">
        <f t="shared" si="178"/>
        <v>0</v>
      </c>
      <c r="BR28" s="712">
        <f>IF(Sheet1!EM28="OTHER",BX28,0)</f>
        <v>0</v>
      </c>
      <c r="BS28" s="712">
        <f t="shared" si="179"/>
        <v>0</v>
      </c>
      <c r="BT28" s="712">
        <f t="shared" si="180"/>
        <v>0</v>
      </c>
      <c r="BU28" s="712">
        <f t="shared" si="181"/>
        <v>0</v>
      </c>
      <c r="BV28" s="712">
        <f t="shared" si="182"/>
        <v>0</v>
      </c>
      <c r="BW28" s="712">
        <f>IF(Sheet1!EM28="CWA",SUM(Sheet1!BC28:'Sheet1'!BF28),0)</f>
        <v>0</v>
      </c>
      <c r="BX28" s="712">
        <f>IF(OR(Sheet1!EM28="FM", Sheet1!EM28="OTHER"),SUM(Sheet1!BC28:'Sheet1'!BF28),0)</f>
        <v>0</v>
      </c>
      <c r="BY28" s="697">
        <f>IF(AND($B28&gt;=$FL28,$B28&lt;=$FM28),MAX(BV28,Sheet1!EF28,0),MAX(BV28-(7/36)*$K28,0))</f>
        <v>0</v>
      </c>
      <c r="BZ28" s="712">
        <f t="shared" si="183"/>
        <v>0</v>
      </c>
      <c r="CA28" s="697">
        <f t="shared" si="74"/>
        <v>0</v>
      </c>
      <c r="CB28" s="697">
        <f>IF(AND($O28&gt;0,Sheet1!EJ28=1),(1-($O28-Sheet1!$L28)/$O28)*BV28,0)</f>
        <v>0</v>
      </c>
      <c r="CC28" s="697">
        <f>IF(AND(Sheet1!$L28=0,Sheet1!$L27=0, Calculation!BU28&lt;Sheet1!EF28-0.1,Sheet1!EF28=Sheet1!EF27,Sheet1!EF28=Sheet1!EF29),Sheet1!EF28,BV28-CB28)</f>
        <v>0</v>
      </c>
      <c r="CD28" s="697"/>
      <c r="CE28" s="712"/>
      <c r="CF28" s="712">
        <f t="shared" si="184"/>
        <v>0</v>
      </c>
      <c r="CG28" s="712"/>
      <c r="CH28" s="712">
        <f ca="1">IF(B28&gt;Summary!$A$1,#N/A,CF28*MGtoAF)</f>
        <v>0</v>
      </c>
      <c r="CI28" s="712">
        <f>Sheet1!BK28+Sheet1!BL28+Sheet1!BM28-Sheet1!EN28-CQ28</f>
        <v>0</v>
      </c>
      <c r="CJ28" s="712">
        <f t="shared" si="185"/>
        <v>0</v>
      </c>
      <c r="CK28" s="712">
        <f>IF(Sheet1!EN28="FM",CQ28,0)</f>
        <v>0</v>
      </c>
      <c r="CL28" s="712">
        <f t="shared" si="186"/>
        <v>0</v>
      </c>
      <c r="CM28" s="712">
        <f>IF(Sheet1!EN28="OTHER",CQ28,0)</f>
        <v>0</v>
      </c>
      <c r="CN28" s="712">
        <f t="shared" si="187"/>
        <v>0</v>
      </c>
      <c r="CO28" s="712">
        <f t="shared" si="188"/>
        <v>0</v>
      </c>
      <c r="CP28" s="712">
        <f t="shared" si="189"/>
        <v>0</v>
      </c>
      <c r="CQ28" s="712">
        <f>IF(OR(Sheet1!EN28="FM", Sheet1!EN28="OTHER"),SUM(Sheet1!BK28:'Sheet1'!BM28),0)</f>
        <v>0</v>
      </c>
      <c r="CR28" s="697">
        <f>IF(AND($B28&gt;=$FL28,$B28&lt;=$FM28),MAX($CJ28,Sheet1!EG28,0),MAX($CJ28-(7/36)*$K28,0))</f>
        <v>0</v>
      </c>
      <c r="CS28" s="712">
        <f t="shared" si="190"/>
        <v>0</v>
      </c>
      <c r="CT28" s="697">
        <f t="shared" si="75"/>
        <v>0</v>
      </c>
      <c r="CU28" s="697">
        <f>IF(AND($O28&gt;0,Sheet1!EK28=1),(1-($O28-Sheet1!$L28)/$O28)*CP28,0)</f>
        <v>0</v>
      </c>
      <c r="CV28" s="697">
        <f>IF(AND(Sheet1!$L28=0,Sheet1!$L27=0, Calculation!CO28&lt;Sheet1!$EG28-0.1,Sheet1!$EG28=Sheet1!$EG27,Sheet1!$EG28=Sheet1!$EG29),Sheet1!$EG28,CP28-CU28)</f>
        <v>0</v>
      </c>
      <c r="CW28" s="697">
        <f t="shared" si="33"/>
        <v>0</v>
      </c>
      <c r="CX28" s="712">
        <f t="shared" si="87"/>
        <v>0</v>
      </c>
      <c r="CY28" s="712">
        <f t="shared" si="191"/>
        <v>0</v>
      </c>
      <c r="CZ28" s="712">
        <f t="shared" si="192"/>
        <v>0</v>
      </c>
      <c r="DA28" s="712">
        <f ca="1">IF(B28&gt;Summary!$A$1,#N/A,CY28*MGtoAF)</f>
        <v>0</v>
      </c>
      <c r="DB28" s="712">
        <f t="shared" si="193"/>
        <v>0</v>
      </c>
      <c r="DC28" s="712">
        <f t="shared" si="194"/>
        <v>15.6</v>
      </c>
      <c r="DD28" s="712">
        <f>Sheet1!AB28-DC28</f>
        <v>0.87000000000116451</v>
      </c>
      <c r="DE28" s="712">
        <f t="shared" si="195"/>
        <v>5.5769230769305421E-2</v>
      </c>
      <c r="DF28" s="712">
        <f>(VLOOKUP(Sheet1!CY28,hhdcap_wcm,4)-(((VLOOKUP(Sheet1!CY28,hhdcap_wcm,3)-Sheet1!CY28)/(VLOOKUP(Sheet1!CY28,hhdcap_wcm,3)-VLOOKUP(Sheet1!CY28,hhdcap_wcm,1)))*(VLOOKUP(Sheet1!CY28,hhdcap_wcm,4)-VLOOKUP(Sheet1!CY28,hhdcap_wcm,2))))</f>
        <v>2192.9000000032229</v>
      </c>
      <c r="DG28" s="712">
        <f t="shared" si="196"/>
        <v>-111.50000000024693</v>
      </c>
      <c r="DH28" s="712">
        <f t="shared" si="197"/>
        <v>-56.227937468606612</v>
      </c>
      <c r="DI28" s="712">
        <f>Sheet1!DW28*AFtoMG</f>
        <v>0</v>
      </c>
      <c r="DJ28" s="712">
        <f>Sheet1!DX28*AFtoMG</f>
        <v>0</v>
      </c>
      <c r="DK28" s="712">
        <f>Sheet1!DY28*AFtoMG</f>
        <v>0</v>
      </c>
      <c r="DL28" s="712">
        <f>Sheet1!DZ28*AFtoMG</f>
        <v>0</v>
      </c>
      <c r="DM28" s="712">
        <f t="shared" si="198"/>
        <v>0</v>
      </c>
      <c r="DN28" s="712">
        <f t="shared" si="199"/>
        <v>0</v>
      </c>
      <c r="DO28" s="712">
        <f t="shared" si="200"/>
        <v>0</v>
      </c>
      <c r="DP28" s="712">
        <f t="shared" si="201"/>
        <v>0</v>
      </c>
      <c r="DQ28" s="712"/>
      <c r="DR28" s="697">
        <f>IF(OR(B28&lt;FL28,B28&gt;FM28),(MIN(AV28+BO28+CJ28+MAX(Sheet1!AA28+AG28-73,0),K28)),0)</f>
        <v>0</v>
      </c>
      <c r="DS28" s="712"/>
      <c r="DT28" s="712">
        <f t="shared" si="202"/>
        <v>0</v>
      </c>
      <c r="DU28" s="712"/>
      <c r="DV28" s="712">
        <f>Sheet1!ED28+Sheet1!EE28+Sheet1!EF28+Sheet1!EG28</f>
        <v>9.5</v>
      </c>
      <c r="DW28" s="712"/>
      <c r="DX28" s="697">
        <f t="shared" si="77"/>
        <v>0</v>
      </c>
      <c r="DY28" s="712">
        <f>IF(Sheet1!FN28=1,SUM('Calculations II'!AT28:BA28)+'Calculations II'!BC28+Sheet1!BU28+'Calculations II'!BE28+AF28,SUM('Calculations II'!AT28:BA28)+'Calculations II'!BC28+Sheet1!BU28+'Calculations II'!BE28+AF28)</f>
        <v>46.233856000000003</v>
      </c>
      <c r="DZ28" s="712">
        <f>Sheet1!AA28+Sheet1!AB28+'Calculations II'!BC28</f>
        <v>47.169999999998254</v>
      </c>
      <c r="EA28" s="712"/>
      <c r="EB28" s="712"/>
      <c r="EC28" s="712">
        <f t="shared" si="203"/>
        <v>40557</v>
      </c>
      <c r="ED28" s="712">
        <f t="shared" si="204"/>
        <v>0</v>
      </c>
      <c r="EE28" s="712">
        <f t="shared" si="205"/>
        <v>0</v>
      </c>
      <c r="EF28" s="712">
        <f>-(VLOOKUP(Sheet1!BQ28,Lookup!$B$4:$J$236,2)-VLOOKUP(Sheet1!BQ27,Lookup!$B$4:$J$236,2))/1000000</f>
        <v>0.80130000000000001</v>
      </c>
      <c r="EG28" s="712">
        <f>-(VLOOKUP(Sheet1!BR28,Lookup!$B$4:$J$236,3)-VLOOKUP(Sheet1!BR27,Lookup!$B$4:$J$236,3))/1000000</f>
        <v>0.79979999999999996</v>
      </c>
      <c r="EH28" s="712">
        <f>-(VLOOKUP(Sheet1!BS28,Lookup!$B$4:$J$236,4)-VLOOKUP(Sheet1!BS27,Lookup!$B$4:$J$236,4))/1000000</f>
        <v>0</v>
      </c>
      <c r="EI28" s="697">
        <f t="shared" si="88"/>
        <v>1.6011</v>
      </c>
      <c r="EJ28" s="712"/>
      <c r="EK28" s="712"/>
      <c r="EL28" s="712"/>
      <c r="EM28" s="712"/>
      <c r="EN28" s="712"/>
      <c r="EO28" s="712"/>
      <c r="EP28" s="712"/>
      <c r="EQ28" s="712"/>
      <c r="ER28" s="697">
        <v>0</v>
      </c>
      <c r="ES28" s="712"/>
      <c r="ET28" s="794" t="e">
        <f t="shared" si="206"/>
        <v>#N/A</v>
      </c>
      <c r="EU28" s="794" t="e">
        <f t="shared" si="79"/>
        <v>#VALUE!</v>
      </c>
      <c r="EV28" s="795" t="e">
        <f t="shared" si="48"/>
        <v>#VALUE!</v>
      </c>
      <c r="EW28" s="796" t="s">
        <v>757</v>
      </c>
      <c r="EX28" s="796" t="s">
        <v>757</v>
      </c>
      <c r="EY28" s="794">
        <v>0</v>
      </c>
      <c r="EZ28" s="794" t="e">
        <v>#N/A</v>
      </c>
      <c r="FA28" s="712"/>
      <c r="FB28" s="712"/>
      <c r="FC28" s="712"/>
      <c r="FD28" s="712"/>
      <c r="FE28" s="712">
        <f>O28+Sheet1!CO28</f>
        <v>47.169999999998254</v>
      </c>
      <c r="FF28" s="712">
        <f>IF(Sheet1!AA28+AG28&lt;=Calculation!N28,AG28,Calculation!N28-Sheet1!AA28)</f>
        <v>16.470000000001164</v>
      </c>
      <c r="FG28" s="712">
        <f>(Sheet1!BP28+Sheet1!BO28)/694.4</f>
        <v>1.4395161290322582</v>
      </c>
      <c r="FH28" s="712"/>
      <c r="FI28" s="712"/>
      <c r="FJ28" s="712"/>
      <c r="FK28" s="712"/>
      <c r="FL28" s="714">
        <f t="shared" si="89"/>
        <v>40753</v>
      </c>
      <c r="FM28" s="714">
        <f t="shared" si="90"/>
        <v>40851</v>
      </c>
      <c r="FN28" s="712"/>
      <c r="FO28" s="712"/>
      <c r="FP28" s="712"/>
      <c r="FQ28" s="712"/>
      <c r="FR28" s="712"/>
      <c r="FS28" s="725">
        <f t="shared" si="91"/>
        <v>40603</v>
      </c>
      <c r="FT28" s="714">
        <f t="shared" si="92"/>
        <v>40709</v>
      </c>
      <c r="FU28" s="712">
        <f t="shared" si="93"/>
        <v>6518.9048239895692</v>
      </c>
      <c r="FV28" s="714">
        <f t="shared" si="94"/>
        <v>40722</v>
      </c>
      <c r="FW28" s="712">
        <f t="shared" si="95"/>
        <v>3259.4524119947846</v>
      </c>
      <c r="FX28" s="725">
        <f t="shared" si="96"/>
        <v>40851</v>
      </c>
      <c r="FZ28" s="697">
        <f t="shared" si="49"/>
        <v>0</v>
      </c>
      <c r="GA28" s="712" t="str">
        <f t="shared" si="207"/>
        <v/>
      </c>
      <c r="GB28" s="712">
        <f t="shared" si="208"/>
        <v>0</v>
      </c>
      <c r="GC28" s="712" t="str">
        <f t="shared" si="209"/>
        <v/>
      </c>
      <c r="GD28" s="712">
        <f>IF(GA28="P",Lookup!$M$12,IF(GA28="PP",Lookup!$M$13,IF(GA28="PPP",Lookup!$M$14,IF(GA28="T",Lookup!$M$15,IF(GA28="TP",Lookup!$M$16,IF(GA28="TPP",Lookup!$M$17,IF(GA28="TPPP",Lookup!$M$18,0)))))))*FZ28</f>
        <v>0</v>
      </c>
      <c r="GE28" s="712">
        <f t="shared" si="210"/>
        <v>0</v>
      </c>
      <c r="GF28" s="712">
        <f t="shared" si="211"/>
        <v>0</v>
      </c>
      <c r="GG28" s="712">
        <f t="shared" si="212"/>
        <v>0</v>
      </c>
      <c r="GH28" s="712"/>
      <c r="GI28" s="712">
        <f t="shared" si="213"/>
        <v>0</v>
      </c>
      <c r="GJ28" s="712" t="str">
        <f t="shared" si="214"/>
        <v/>
      </c>
      <c r="GK28" s="712">
        <f>IF(GA28="P",Lookup!$N$12,IF(GA28="PP",Lookup!$N$13,IF(GA28="PPP",Lookup!$N$14,IF(GA28="T",Lookup!$N$15,IF(GA28="TP",Lookup!$N$16,IF(GA28="TPP",Lookup!$N$17,IF(GA28="TPPP",Lookup!$N$18,0)))))))*FZ28</f>
        <v>0</v>
      </c>
      <c r="GL28" s="712">
        <f t="shared" si="215"/>
        <v>0</v>
      </c>
      <c r="GM28" s="712">
        <f t="shared" si="216"/>
        <v>0</v>
      </c>
      <c r="GN28" s="712">
        <f t="shared" si="217"/>
        <v>0</v>
      </c>
      <c r="GO28" s="712"/>
      <c r="GP28" s="712">
        <f t="shared" si="218"/>
        <v>0</v>
      </c>
      <c r="GQ28" s="712" t="str">
        <f t="shared" si="219"/>
        <v/>
      </c>
      <c r="GR28" s="712">
        <f>IF(GA28="P",Lookup!$N$12,IF(GA28="PP",Lookup!$N$13,IF(GA28="PPP",Lookup!$N$14,IF(GA28="T",Lookup!$N$15,IF(GA28="TP",Lookup!$N$16,IF(GA28="TPP",Lookup!$N$17,IF(GA28="TPPP",Lookup!$N$18,0)))))))*FZ28</f>
        <v>0</v>
      </c>
      <c r="GS28" s="697">
        <f t="shared" si="83"/>
        <v>0</v>
      </c>
      <c r="GT28" s="712">
        <f t="shared" si="220"/>
        <v>0</v>
      </c>
      <c r="GU28" s="712">
        <f t="shared" si="221"/>
        <v>0</v>
      </c>
      <c r="GV28" s="712"/>
      <c r="GW28" s="712">
        <f t="shared" si="222"/>
        <v>0</v>
      </c>
      <c r="GX28" s="712" t="str">
        <f t="shared" si="223"/>
        <v/>
      </c>
      <c r="GY28" s="712">
        <f>IF(GA28="P",Lookup!$N$12,IF(GA28="PP",Lookup!$N$13,IF(GA28="PPP",Lookup!$N$14,IF(GA28="T",Lookup!$N$15,IF(GA28="TP",Lookup!$N$16,IF(GA28="TPP",Lookup!$N$17,IF(GA28="TPPP",Lookup!$N$18,0)))))))*FZ28</f>
        <v>0</v>
      </c>
      <c r="GZ28" s="697">
        <f t="shared" si="85"/>
        <v>0</v>
      </c>
      <c r="HA28" s="712">
        <f t="shared" si="224"/>
        <v>0</v>
      </c>
      <c r="HB28" s="712">
        <f t="shared" si="225"/>
        <v>0</v>
      </c>
      <c r="HC28" s="712"/>
    </row>
    <row r="29" spans="1:211">
      <c r="A29" s="773" t="s">
        <v>9</v>
      </c>
      <c r="B29" s="708">
        <v>40558</v>
      </c>
      <c r="C29" s="719">
        <v>0.5</v>
      </c>
      <c r="D29" s="675">
        <f t="shared" si="65"/>
        <v>300</v>
      </c>
      <c r="E29" s="675">
        <f t="shared" si="66"/>
        <v>250</v>
      </c>
      <c r="F29" s="675">
        <v>250</v>
      </c>
      <c r="G29" s="712">
        <f>DH29+Sheet1!CV29</f>
        <v>4703.5270386518632</v>
      </c>
      <c r="H29" s="712">
        <f t="shared" si="158"/>
        <v>2773.3966777845644</v>
      </c>
      <c r="I29" s="711">
        <f>MAX(Sheet1!Z29-AJ29+(Sheet1!CW29-E29)*CFStoMGD,0)</f>
        <v>4141.5200000000032</v>
      </c>
      <c r="J29" s="720">
        <f>IF(AND(B29&gt;=Calculation!FS29,B29&lt;=Calculation!FT29),IF(Sheet1!CX29&gt;=Calculation!D29,64.64,0),MAX(Sheet1!Z29-AJ29+(Sheet1!CX29-D29)*CFStoMGD,0))</f>
        <v>3038.1286666666692</v>
      </c>
      <c r="K29" s="697">
        <f t="shared" si="67"/>
        <v>64.64</v>
      </c>
      <c r="L29" s="712">
        <f>Sheet1!AA29+Sheet1!AB29-Sheet1!L29+(Sheet1!CW29-F29)*CFStoMGD</f>
        <v>4142.8899999999994</v>
      </c>
      <c r="M29" s="712">
        <f t="shared" si="159"/>
        <v>3101.1670753402559</v>
      </c>
      <c r="N29" s="712">
        <f>IF(Sheet1!CW29&gt;=F29,MIN(73,MIN(MAX(L29,0),MAX(M29,0))),0)</f>
        <v>73</v>
      </c>
      <c r="O29" s="721">
        <f>Sheet1!AA29+Sheet1!AB29</f>
        <v>46</v>
      </c>
      <c r="P29" s="721">
        <f t="shared" si="160"/>
        <v>71.161999999999992</v>
      </c>
      <c r="Q29" s="712">
        <f>MIN(N29,Sheet1!AA29+AG29)</f>
        <v>46</v>
      </c>
      <c r="R29" s="712">
        <f t="shared" si="161"/>
        <v>0</v>
      </c>
      <c r="S29" s="721">
        <f>Sheet1!Y29*MGDtoCFS</f>
        <v>44.754709999999996</v>
      </c>
      <c r="T29" s="721">
        <f>Sheet1!Z29*MGDtoCFS</f>
        <v>25.850370000000002</v>
      </c>
      <c r="U29" s="721">
        <f>Sheet1!AA29*MGDtoCFS</f>
        <v>44.553600000004501</v>
      </c>
      <c r="V29" s="721">
        <f>Sheet1!AB29*MGDtoCFS</f>
        <v>26.608399999995495</v>
      </c>
      <c r="W29" s="721">
        <f>Sheet1!L29*MGDtoCFS</f>
        <v>69.800640000001238</v>
      </c>
      <c r="X29" s="697">
        <f t="shared" si="68"/>
        <v>0</v>
      </c>
      <c r="Y29" s="712">
        <f t="shared" si="162"/>
        <v>0</v>
      </c>
      <c r="Z29" s="712">
        <f t="shared" si="163"/>
        <v>0</v>
      </c>
      <c r="AA29" s="712">
        <f t="shared" si="164"/>
        <v>0</v>
      </c>
      <c r="AB29" s="712">
        <f>(VLOOKUP(Sheet1!CY29,hhdcap_wcm,4)-(((VLOOKUP(Sheet1!CY29,hhdcap_wcm,3)-Sheet1!CY29)/(VLOOKUP(Sheet1!CY29,hhdcap_wcm,3)-VLOOKUP(Sheet1!CY29,hhdcap_wcm,1)))*(VLOOKUP(Sheet1!CY29,hhdcap_wcm,4)-VLOOKUP(Sheet1!CY29,hhdcap_wcm,2))))</f>
        <v>1966.6000000028075</v>
      </c>
      <c r="AC29" s="712">
        <f t="shared" si="165"/>
        <v>-226.30000000041537</v>
      </c>
      <c r="AD29" s="712">
        <f t="shared" si="70"/>
        <v>0</v>
      </c>
      <c r="AE29" s="712">
        <f t="shared" si="166"/>
        <v>0</v>
      </c>
      <c r="AF29" s="712">
        <f>Sheet1!BA29+Sheet1!BB29+Sheet1!BN29+BT29</f>
        <v>17.100000000000001</v>
      </c>
      <c r="AG29" s="712">
        <f t="shared" si="167"/>
        <v>17.19999999999709</v>
      </c>
      <c r="AH29" s="712">
        <f>Sheet1!BA29+BT29</f>
        <v>0</v>
      </c>
      <c r="AI29" s="712">
        <f>Sheet1!BA29+Sheet1!BB29+BT29</f>
        <v>0</v>
      </c>
      <c r="AJ29" s="712">
        <f>IF((Sheet1!AA29+AG29+AX29+AZ29+BQ29+BS29+CL29+CN29)&lt;=N29,AG29+AX29+AZ29+BQ29+BS29+CL29+CN29,N29-Sheet1!AA29)</f>
        <v>17.19999999999709</v>
      </c>
      <c r="AK29" s="712">
        <f>IF(DR29&lt;K29,0,MAX(Sheet1!AA29+AG29-15/36*K29-N29,Sheet1!ED29,0))</f>
        <v>0</v>
      </c>
      <c r="AL29" s="712">
        <f>IF(OR(B29&gt;=FT29,B29&lt;FS29),0,15/36*K29-MAX(0,64.6-(137.6-(Sheet1!AA29+Sheet1!AB29))))</f>
        <v>0</v>
      </c>
      <c r="AM29" s="712">
        <f>Sheet1!CX29-110</f>
        <v>4890.833333333333</v>
      </c>
      <c r="AN29" s="712">
        <f>Sheet1!CW29-265</f>
        <v>6392.8125</v>
      </c>
      <c r="AO29" s="712">
        <f t="shared" si="71"/>
        <v>27</v>
      </c>
      <c r="AP29" s="712">
        <f t="shared" si="72"/>
        <v>0</v>
      </c>
      <c r="AQ29" s="712">
        <f t="shared" si="168"/>
        <v>0</v>
      </c>
      <c r="AR29" s="712">
        <f t="shared" si="169"/>
        <v>0</v>
      </c>
      <c r="AS29" s="712"/>
      <c r="AT29" s="712">
        <f ca="1">IF(B29&gt;Summary!$A$1,#N/A,AR29*MGtoAF)</f>
        <v>0</v>
      </c>
      <c r="AU29" s="712">
        <f>Sheet1!BG29+Sheet1!BH29+Sheet1!BI29-BC29</f>
        <v>0</v>
      </c>
      <c r="AV29" s="712">
        <f t="shared" si="170"/>
        <v>0</v>
      </c>
      <c r="AW29" s="712">
        <f>IF(Sheet1!EL29="FM",BC29,0)</f>
        <v>0</v>
      </c>
      <c r="AX29" s="712">
        <f t="shared" si="171"/>
        <v>0</v>
      </c>
      <c r="AY29" s="712">
        <f>IF(Sheet1!EL29="OTHER",BC29,0)</f>
        <v>0</v>
      </c>
      <c r="AZ29" s="712">
        <f t="shared" si="172"/>
        <v>0</v>
      </c>
      <c r="BA29" s="712">
        <f t="shared" si="173"/>
        <v>0</v>
      </c>
      <c r="BB29" s="712">
        <f t="shared" si="174"/>
        <v>0</v>
      </c>
      <c r="BC29" s="712">
        <f>IF(OR(Sheet1!EL29="FM", Sheet1!EL29="OTHER"),SUM(Sheet1!BG29:'Sheet1'!BI29),0)</f>
        <v>0</v>
      </c>
      <c r="BD29" s="697">
        <f>IF(AND($B29&gt;=$FL29,$B29&lt;=$FM29),MAX(AV29,Sheet1!EE29,0),MAX(AV29-(7/36)*$K29,0))</f>
        <v>0</v>
      </c>
      <c r="BE29" s="712">
        <f t="shared" si="175"/>
        <v>0</v>
      </c>
      <c r="BF29" s="697">
        <f t="shared" si="73"/>
        <v>0</v>
      </c>
      <c r="BG29" s="697">
        <f>IF(AND($O29&gt;0,Sheet1!EI29=1),(1-($O29-Sheet1!$L29)/$O29)*BB29,0)</f>
        <v>0</v>
      </c>
      <c r="BH29" s="697">
        <f>IF(AND(Sheet1!$L29=0,Sheet1!$L28=0, Calculation!BA29&lt;Sheet1!$EE29-0.1,Sheet1!$EE29=Sheet1!$EE28,Sheet1!$EE29=Sheet1!$EE30),Sheet1!$EE29,BB29-BG29)</f>
        <v>0</v>
      </c>
      <c r="BI29" s="712"/>
      <c r="BJ29" s="712"/>
      <c r="BK29" s="712">
        <f t="shared" si="176"/>
        <v>0</v>
      </c>
      <c r="BL29" s="712"/>
      <c r="BM29" s="712">
        <f ca="1">IF(B29&gt;Summary!$A$1,#N/A,BK29*MGtoAF)</f>
        <v>0</v>
      </c>
      <c r="BN29" s="712">
        <f>Sheet1!BC29+Sheet1!BD29+Sheet1!BE29+Sheet1!BF29-BW29-BX29</f>
        <v>0</v>
      </c>
      <c r="BO29" s="712">
        <f t="shared" si="177"/>
        <v>0</v>
      </c>
      <c r="BP29" s="712">
        <f>IF(Sheet1!EM29="FM",BX29,0)</f>
        <v>0</v>
      </c>
      <c r="BQ29" s="712">
        <f t="shared" si="178"/>
        <v>0</v>
      </c>
      <c r="BR29" s="712">
        <f>IF(Sheet1!EM29="OTHER",BX29,0)</f>
        <v>0</v>
      </c>
      <c r="BS29" s="712">
        <f t="shared" si="179"/>
        <v>0</v>
      </c>
      <c r="BT29" s="712">
        <f t="shared" si="180"/>
        <v>0</v>
      </c>
      <c r="BU29" s="712">
        <f t="shared" si="181"/>
        <v>0</v>
      </c>
      <c r="BV29" s="712">
        <f t="shared" si="182"/>
        <v>0</v>
      </c>
      <c r="BW29" s="712">
        <f>IF(Sheet1!EM29="CWA",SUM(Sheet1!BC29:'Sheet1'!BF29),0)</f>
        <v>0</v>
      </c>
      <c r="BX29" s="712">
        <f>IF(OR(Sheet1!EM29="FM", Sheet1!EM29="OTHER"),SUM(Sheet1!BC29:'Sheet1'!BF29),0)</f>
        <v>0</v>
      </c>
      <c r="BY29" s="697">
        <f>IF(AND($B29&gt;=$FL29,$B29&lt;=$FM29),MAX(BV29,Sheet1!EF29,0),MAX(BV29-(7/36)*$K29,0))</f>
        <v>0</v>
      </c>
      <c r="BZ29" s="712">
        <f t="shared" si="183"/>
        <v>0</v>
      </c>
      <c r="CA29" s="697">
        <f t="shared" si="74"/>
        <v>0</v>
      </c>
      <c r="CB29" s="697">
        <f>IF(AND($O29&gt;0,Sheet1!EJ29=1),(1-($O29-Sheet1!$L29)/$O29)*BV29,0)</f>
        <v>0</v>
      </c>
      <c r="CC29" s="697">
        <f>IF(AND(Sheet1!$L29=0,Sheet1!$L28=0, Calculation!BU29&lt;Sheet1!EF29-0.1,Sheet1!EF29=Sheet1!EF28,Sheet1!EF29=Sheet1!EF30),Sheet1!EF29,BV29-CB29)</f>
        <v>0</v>
      </c>
      <c r="CD29" s="697"/>
      <c r="CE29" s="712"/>
      <c r="CF29" s="712">
        <f t="shared" si="184"/>
        <v>0</v>
      </c>
      <c r="CG29" s="712"/>
      <c r="CH29" s="712">
        <f ca="1">IF(B29&gt;Summary!$A$1,#N/A,CF29*MGtoAF)</f>
        <v>0</v>
      </c>
      <c r="CI29" s="712">
        <f>Sheet1!BK29+Sheet1!BL29+Sheet1!BM29-Sheet1!EN29-CQ29</f>
        <v>0</v>
      </c>
      <c r="CJ29" s="712">
        <f t="shared" si="185"/>
        <v>0</v>
      </c>
      <c r="CK29" s="712">
        <f>IF(Sheet1!EN29="FM",CQ29,0)</f>
        <v>0</v>
      </c>
      <c r="CL29" s="712">
        <f t="shared" si="186"/>
        <v>0</v>
      </c>
      <c r="CM29" s="712">
        <f>IF(Sheet1!EN29="OTHER",CQ29,0)</f>
        <v>0</v>
      </c>
      <c r="CN29" s="712">
        <f t="shared" si="187"/>
        <v>0</v>
      </c>
      <c r="CO29" s="712">
        <f t="shared" si="188"/>
        <v>0</v>
      </c>
      <c r="CP29" s="712">
        <f t="shared" si="189"/>
        <v>0</v>
      </c>
      <c r="CQ29" s="712">
        <f>IF(OR(Sheet1!EN29="FM", Sheet1!EN29="OTHER"),SUM(Sheet1!BK29:'Sheet1'!BM29),0)</f>
        <v>0</v>
      </c>
      <c r="CR29" s="697">
        <f>IF(AND($B29&gt;=$FL29,$B29&lt;=$FM29),MAX($CJ29,Sheet1!EG29,0),MAX($CJ29-(7/36)*$K29,0))</f>
        <v>0</v>
      </c>
      <c r="CS29" s="712">
        <f t="shared" si="190"/>
        <v>0</v>
      </c>
      <c r="CT29" s="697">
        <f t="shared" si="75"/>
        <v>0</v>
      </c>
      <c r="CU29" s="697">
        <f>IF(AND($O29&gt;0,Sheet1!EK29=1),(1-($O29-Sheet1!$L29)/$O29)*CP29,0)</f>
        <v>0</v>
      </c>
      <c r="CV29" s="697">
        <f>IF(AND(Sheet1!$L29=0,Sheet1!$L28=0, Calculation!CO29&lt;Sheet1!$EG29-0.1,Sheet1!$EG29=Sheet1!$EG28,Sheet1!$EG29=Sheet1!$EG30),Sheet1!$EG29,CP29-CU29)</f>
        <v>0</v>
      </c>
      <c r="CW29" s="697">
        <f t="shared" si="33"/>
        <v>0</v>
      </c>
      <c r="CX29" s="712">
        <f t="shared" si="87"/>
        <v>0</v>
      </c>
      <c r="CY29" s="712">
        <f t="shared" si="191"/>
        <v>0</v>
      </c>
      <c r="CZ29" s="712">
        <f t="shared" si="192"/>
        <v>0</v>
      </c>
      <c r="DA29" s="712">
        <f ca="1">IF(B29&gt;Summary!$A$1,#N/A,CY29*MGtoAF)</f>
        <v>0</v>
      </c>
      <c r="DB29" s="712">
        <f t="shared" si="193"/>
        <v>0</v>
      </c>
      <c r="DC29" s="712">
        <f t="shared" si="194"/>
        <v>17.100000000000001</v>
      </c>
      <c r="DD29" s="712">
        <f>Sheet1!AB29-DC29</f>
        <v>9.9999999997088196E-2</v>
      </c>
      <c r="DE29" s="712">
        <f t="shared" si="195"/>
        <v>5.8479532162039874E-3</v>
      </c>
      <c r="DF29" s="712">
        <f>(VLOOKUP(Sheet1!CY29,hhdcap_wcm,4)-(((VLOOKUP(Sheet1!CY29,hhdcap_wcm,3)-Sheet1!CY29)/(VLOOKUP(Sheet1!CY29,hhdcap_wcm,3)-VLOOKUP(Sheet1!CY29,hhdcap_wcm,1)))*(VLOOKUP(Sheet1!CY29,hhdcap_wcm,4)-VLOOKUP(Sheet1!CY29,hhdcap_wcm,2))))</f>
        <v>1966.6000000028075</v>
      </c>
      <c r="DG29" s="712">
        <f t="shared" si="196"/>
        <v>-226.30000000041537</v>
      </c>
      <c r="DH29" s="712">
        <f t="shared" si="197"/>
        <v>-114.12002017166684</v>
      </c>
      <c r="DI29" s="712">
        <f>Sheet1!DW29*AFtoMG</f>
        <v>0</v>
      </c>
      <c r="DJ29" s="712">
        <f>Sheet1!DX29*AFtoMG</f>
        <v>0</v>
      </c>
      <c r="DK29" s="712">
        <f>Sheet1!DY29*AFtoMG</f>
        <v>0</v>
      </c>
      <c r="DL29" s="712">
        <f>Sheet1!DZ29*AFtoMG</f>
        <v>0</v>
      </c>
      <c r="DM29" s="712">
        <f t="shared" si="198"/>
        <v>0</v>
      </c>
      <c r="DN29" s="712">
        <f t="shared" si="199"/>
        <v>0</v>
      </c>
      <c r="DO29" s="712">
        <f t="shared" si="200"/>
        <v>0</v>
      </c>
      <c r="DP29" s="712">
        <f t="shared" si="201"/>
        <v>0</v>
      </c>
      <c r="DQ29" s="712"/>
      <c r="DR29" s="697">
        <f>IF(OR(B29&lt;FL29,B29&gt;FM29),(MIN(AV29+BO29+CJ29+MAX(Sheet1!AA29+AG29-73,0),K29)),0)</f>
        <v>0</v>
      </c>
      <c r="DS29" s="712"/>
      <c r="DT29" s="712">
        <f t="shared" si="202"/>
        <v>0</v>
      </c>
      <c r="DU29" s="712"/>
      <c r="DV29" s="712">
        <f>Sheet1!ED29+Sheet1!EE29+Sheet1!EF29+Sheet1!EG29</f>
        <v>9.5</v>
      </c>
      <c r="DW29" s="712"/>
      <c r="DX29" s="697">
        <f t="shared" si="77"/>
        <v>0</v>
      </c>
      <c r="DY29" s="712">
        <f>IF(Sheet1!FN29=1,SUM('Calculations II'!AT29:BA29)+'Calculations II'!BC29+Sheet1!BU29+'Calculations II'!BE29+AF29,SUM('Calculations II'!AT29:BA29)+'Calculations II'!BC29+Sheet1!BU29+'Calculations II'!BE29+AF29)</f>
        <v>43.146864000000001</v>
      </c>
      <c r="DZ29" s="712">
        <f>Sheet1!AA29+Sheet1!AB29+'Calculations II'!BC29</f>
        <v>46</v>
      </c>
      <c r="EA29" s="712"/>
      <c r="EB29" s="712"/>
      <c r="EC29" s="712">
        <f t="shared" si="203"/>
        <v>40558</v>
      </c>
      <c r="ED29" s="712">
        <f t="shared" si="204"/>
        <v>0</v>
      </c>
      <c r="EE29" s="712">
        <f t="shared" si="205"/>
        <v>0</v>
      </c>
      <c r="EF29" s="712">
        <f>-(VLOOKUP(Sheet1!BQ29,Lookup!$B$4:$J$236,2)-VLOOKUP(Sheet1!BQ28,Lookup!$B$4:$J$236,2))/1000000</f>
        <v>-1.3354999999999999</v>
      </c>
      <c r="EG29" s="712">
        <f>-(VLOOKUP(Sheet1!BR29,Lookup!$B$4:$J$236,3)-VLOOKUP(Sheet1!BR28,Lookup!$B$4:$J$236,3))/1000000</f>
        <v>-1.0664</v>
      </c>
      <c r="EH29" s="712">
        <f>-(VLOOKUP(Sheet1!BS29,Lookup!$B$4:$J$236,4)-VLOOKUP(Sheet1!BS28,Lookup!$B$4:$J$236,4))/1000000</f>
        <v>0</v>
      </c>
      <c r="EI29" s="697">
        <f t="shared" si="88"/>
        <v>-2.4018999999999999</v>
      </c>
      <c r="EJ29" s="712"/>
      <c r="EK29" s="712"/>
      <c r="EL29" s="712"/>
      <c r="EM29" s="712"/>
      <c r="EN29" s="712"/>
      <c r="EO29" s="712"/>
      <c r="EP29" s="712"/>
      <c r="EQ29" s="712"/>
      <c r="ER29" s="697">
        <v>0</v>
      </c>
      <c r="ES29" s="712"/>
      <c r="ET29" s="794" t="e">
        <f t="shared" si="206"/>
        <v>#N/A</v>
      </c>
      <c r="EU29" s="794" t="e">
        <f t="shared" si="79"/>
        <v>#VALUE!</v>
      </c>
      <c r="EV29" s="795" t="e">
        <f t="shared" si="48"/>
        <v>#VALUE!</v>
      </c>
      <c r="EW29" s="796" t="s">
        <v>757</v>
      </c>
      <c r="EX29" s="796" t="s">
        <v>757</v>
      </c>
      <c r="EY29" s="794">
        <v>0</v>
      </c>
      <c r="EZ29" s="794" t="e">
        <v>#N/A</v>
      </c>
      <c r="FA29" s="712"/>
      <c r="FB29" s="712"/>
      <c r="FC29" s="712"/>
      <c r="FD29" s="712"/>
      <c r="FE29" s="712">
        <f>O29+Sheet1!CO29</f>
        <v>46</v>
      </c>
      <c r="FF29" s="712">
        <f>IF(Sheet1!AA29+AG29&lt;=Calculation!N29,AG29,Calculation!N29-Sheet1!AA29)</f>
        <v>17.19999999999709</v>
      </c>
      <c r="FG29" s="712">
        <f>(Sheet1!BP29+Sheet1!BO29)/694.4</f>
        <v>1.7183179723502304</v>
      </c>
      <c r="FH29" s="712"/>
      <c r="FI29" s="712"/>
      <c r="FJ29" s="712"/>
      <c r="FK29" s="712"/>
      <c r="FL29" s="714">
        <f t="shared" si="89"/>
        <v>40753</v>
      </c>
      <c r="FM29" s="714">
        <f t="shared" si="90"/>
        <v>40851</v>
      </c>
      <c r="FN29" s="712"/>
      <c r="FO29" s="712"/>
      <c r="FP29" s="712"/>
      <c r="FQ29" s="712"/>
      <c r="FR29" s="712"/>
      <c r="FS29" s="725">
        <f t="shared" si="91"/>
        <v>40603</v>
      </c>
      <c r="FT29" s="714">
        <f t="shared" si="92"/>
        <v>40709</v>
      </c>
      <c r="FU29" s="712">
        <f t="shared" si="93"/>
        <v>6518.9048239895692</v>
      </c>
      <c r="FV29" s="714">
        <f t="shared" si="94"/>
        <v>40722</v>
      </c>
      <c r="FW29" s="712">
        <f t="shared" si="95"/>
        <v>3259.4524119947846</v>
      </c>
      <c r="FX29" s="725">
        <f t="shared" si="96"/>
        <v>40851</v>
      </c>
      <c r="FZ29" s="697">
        <f t="shared" si="49"/>
        <v>0</v>
      </c>
      <c r="GA29" s="712" t="str">
        <f t="shared" si="207"/>
        <v/>
      </c>
      <c r="GB29" s="712">
        <f t="shared" si="208"/>
        <v>0</v>
      </c>
      <c r="GC29" s="712" t="str">
        <f t="shared" si="209"/>
        <v/>
      </c>
      <c r="GD29" s="712">
        <f>IF(GA29="P",Lookup!$M$12,IF(GA29="PP",Lookup!$M$13,IF(GA29="PPP",Lookup!$M$14,IF(GA29="T",Lookup!$M$15,IF(GA29="TP",Lookup!$M$16,IF(GA29="TPP",Lookup!$M$17,IF(GA29="TPPP",Lookup!$M$18,0)))))))*FZ29</f>
        <v>0</v>
      </c>
      <c r="GE29" s="712">
        <f t="shared" si="210"/>
        <v>0</v>
      </c>
      <c r="GF29" s="712">
        <f t="shared" si="211"/>
        <v>0</v>
      </c>
      <c r="GG29" s="712">
        <f t="shared" si="212"/>
        <v>0</v>
      </c>
      <c r="GH29" s="712"/>
      <c r="GI29" s="712">
        <f t="shared" si="213"/>
        <v>0</v>
      </c>
      <c r="GJ29" s="712" t="str">
        <f t="shared" si="214"/>
        <v/>
      </c>
      <c r="GK29" s="712">
        <f>IF(GA29="P",Lookup!$N$12,IF(GA29="PP",Lookup!$N$13,IF(GA29="PPP",Lookup!$N$14,IF(GA29="T",Lookup!$N$15,IF(GA29="TP",Lookup!$N$16,IF(GA29="TPP",Lookup!$N$17,IF(GA29="TPPP",Lookup!$N$18,0)))))))*FZ29</f>
        <v>0</v>
      </c>
      <c r="GL29" s="712">
        <f t="shared" si="215"/>
        <v>0</v>
      </c>
      <c r="GM29" s="712">
        <f t="shared" si="216"/>
        <v>0</v>
      </c>
      <c r="GN29" s="712">
        <f t="shared" si="217"/>
        <v>0</v>
      </c>
      <c r="GO29" s="712"/>
      <c r="GP29" s="712">
        <f t="shared" si="218"/>
        <v>0</v>
      </c>
      <c r="GQ29" s="712" t="str">
        <f t="shared" si="219"/>
        <v/>
      </c>
      <c r="GR29" s="712">
        <f>IF(GA29="P",Lookup!$N$12,IF(GA29="PP",Lookup!$N$13,IF(GA29="PPP",Lookup!$N$14,IF(GA29="T",Lookup!$N$15,IF(GA29="TP",Lookup!$N$16,IF(GA29="TPP",Lookup!$N$17,IF(GA29="TPPP",Lookup!$N$18,0)))))))*FZ29</f>
        <v>0</v>
      </c>
      <c r="GS29" s="697">
        <f t="shared" si="83"/>
        <v>0</v>
      </c>
      <c r="GT29" s="712">
        <f t="shared" si="220"/>
        <v>0</v>
      </c>
      <c r="GU29" s="712">
        <f t="shared" si="221"/>
        <v>0</v>
      </c>
      <c r="GV29" s="712"/>
      <c r="GW29" s="712">
        <f t="shared" si="222"/>
        <v>0</v>
      </c>
      <c r="GX29" s="712" t="str">
        <f t="shared" si="223"/>
        <v/>
      </c>
      <c r="GY29" s="712">
        <f>IF(GA29="P",Lookup!$N$12,IF(GA29="PP",Lookup!$N$13,IF(GA29="PPP",Lookup!$N$14,IF(GA29="T",Lookup!$N$15,IF(GA29="TP",Lookup!$N$16,IF(GA29="TPP",Lookup!$N$17,IF(GA29="TPPP",Lookup!$N$18,0)))))))*FZ29</f>
        <v>0</v>
      </c>
      <c r="GZ29" s="697">
        <f t="shared" si="85"/>
        <v>0</v>
      </c>
      <c r="HA29" s="712">
        <f t="shared" si="224"/>
        <v>0</v>
      </c>
      <c r="HB29" s="712">
        <f t="shared" si="225"/>
        <v>0</v>
      </c>
      <c r="HC29" s="712"/>
    </row>
    <row r="30" spans="1:211">
      <c r="A30" s="773" t="s">
        <v>3</v>
      </c>
      <c r="B30" s="708">
        <v>40559</v>
      </c>
      <c r="C30" s="709">
        <v>0.5</v>
      </c>
      <c r="D30" s="675">
        <f t="shared" si="65"/>
        <v>300</v>
      </c>
      <c r="E30" s="675">
        <f t="shared" si="66"/>
        <v>250</v>
      </c>
      <c r="F30" s="710">
        <v>250</v>
      </c>
      <c r="G30" s="712">
        <f>DH30+Sheet1!CV30</f>
        <v>14567.959123153953</v>
      </c>
      <c r="H30" s="712">
        <f t="shared" si="158"/>
        <v>9149.7655772067137</v>
      </c>
      <c r="I30" s="711">
        <f>MAX(Sheet1!Z30-AJ30+(Sheet1!CW30-E30)*CFStoMGD,0)</f>
        <v>4805.8506666666608</v>
      </c>
      <c r="J30" s="720">
        <f>IF(AND(B30&gt;=Calculation!FS30,B30&lt;=Calculation!FT30),IF(Sheet1!CX30&gt;=Calculation!D30,64.64,0),MAX(Sheet1!Z30-AJ30+(Sheet1!CX30-D30)*CFStoMGD,0))</f>
        <v>4093.5986666666604</v>
      </c>
      <c r="K30" s="697">
        <f t="shared" si="67"/>
        <v>64.64</v>
      </c>
      <c r="L30" s="712">
        <f>Sheet1!AA30+Sheet1!AB30-Sheet1!L30+(Sheet1!CW30-F30)*CFStoMGD</f>
        <v>4804.6106666666728</v>
      </c>
      <c r="M30" s="712">
        <f t="shared" si="159"/>
        <v>9605.0633527508489</v>
      </c>
      <c r="N30" s="712">
        <f>IF(Sheet1!CW30&gt;=F30,MIN(73,MIN(MAX(L30,0),MAX(M30,0))),0)</f>
        <v>73</v>
      </c>
      <c r="O30" s="721">
        <f>Sheet1!AA30+Sheet1!AB30</f>
        <v>44.600000000005821</v>
      </c>
      <c r="P30" s="721">
        <f t="shared" si="160"/>
        <v>68.996200000008997</v>
      </c>
      <c r="Q30" s="712">
        <f>MIN(N30,Sheet1!AA30+AG30)</f>
        <v>44.600000000005821</v>
      </c>
      <c r="R30" s="712">
        <f>IF(AND(B30&gt;=FV30,B30&lt;=FX30),MAX(DR30,DV30),DR30)</f>
        <v>0</v>
      </c>
      <c r="S30" s="721">
        <f>Sheet1!Y30*MGDtoCFS</f>
        <v>44.27514</v>
      </c>
      <c r="T30" s="721">
        <f>Sheet1!Z30*MGDtoCFS</f>
        <v>26.51558</v>
      </c>
      <c r="U30" s="721">
        <f>Sheet1!AA30*MGDtoCFS</f>
        <v>43.315999999999995</v>
      </c>
      <c r="V30" s="721">
        <f>Sheet1!AB30*MGDtoCFS</f>
        <v>25.680200000009002</v>
      </c>
      <c r="W30" s="721">
        <f>Sheet1!L30*MGDtoCFS</f>
        <v>70.079099999998874</v>
      </c>
      <c r="X30" s="697">
        <f t="shared" si="68"/>
        <v>0</v>
      </c>
      <c r="Y30" s="712">
        <f t="shared" si="162"/>
        <v>0</v>
      </c>
      <c r="Z30" s="712">
        <f t="shared" si="163"/>
        <v>0</v>
      </c>
      <c r="AA30" s="712">
        <f t="shared" si="164"/>
        <v>0</v>
      </c>
      <c r="AB30" s="712">
        <f>(VLOOKUP(Sheet1!CY30,hhdcap_wcm,4)-(((VLOOKUP(Sheet1!CY30,hhdcap_wcm,3)-Sheet1!CY30)/(VLOOKUP(Sheet1!CY30,hhdcap_wcm,3)-VLOOKUP(Sheet1!CY30,hhdcap_wcm,1)))*(VLOOKUP(Sheet1!CY30,hhdcap_wcm,4)-VLOOKUP(Sheet1!CY30,hhdcap_wcm,2))))</f>
        <v>18438.950000040626</v>
      </c>
      <c r="AC30" s="712">
        <f t="shared" si="165"/>
        <v>16472.350000037819</v>
      </c>
      <c r="AD30" s="712">
        <f t="shared" si="70"/>
        <v>0</v>
      </c>
      <c r="AE30" s="712">
        <f t="shared" si="166"/>
        <v>0</v>
      </c>
      <c r="AF30" s="712">
        <f>Sheet1!BA30+Sheet1!BB30+Sheet1!BN30+BT30</f>
        <v>17</v>
      </c>
      <c r="AG30" s="712">
        <f t="shared" si="167"/>
        <v>16.600000000005821</v>
      </c>
      <c r="AH30" s="712">
        <f>Sheet1!BA30+BT30</f>
        <v>0</v>
      </c>
      <c r="AI30" s="712">
        <f>Sheet1!BA30+Sheet1!BB30+BT30</f>
        <v>0</v>
      </c>
      <c r="AJ30" s="712">
        <f>IF((Sheet1!AA30+AG30+AX30+AZ30+BQ30+BS30+CL30+CN30)&lt;=N30,AG30+AX30+AZ30+BQ30+BS30+CL30+CN30,N30-Sheet1!AA30)</f>
        <v>16.600000000005821</v>
      </c>
      <c r="AK30" s="712">
        <f>IF(DR30&lt;K30,0,MAX(Sheet1!AA30+AG30-15/36*K30-N30,Sheet1!ED30,0))</f>
        <v>0</v>
      </c>
      <c r="AL30" s="712">
        <f>IF(OR(B30&gt;=FT30,B30&lt;FS30),0,15/36*K30-MAX(0,64.6-(137.6-(Sheet1!AA30+Sheet1!AB30))))</f>
        <v>0</v>
      </c>
      <c r="AM30" s="712">
        <f>Sheet1!CX30-110</f>
        <v>6522.083333333333</v>
      </c>
      <c r="AN30" s="712">
        <f>Sheet1!CW30-265</f>
        <v>7418.958333333333</v>
      </c>
      <c r="AO30" s="712">
        <f t="shared" si="71"/>
        <v>28.399999999994179</v>
      </c>
      <c r="AP30" s="712">
        <f t="shared" si="72"/>
        <v>0</v>
      </c>
      <c r="AQ30" s="712">
        <f t="shared" si="168"/>
        <v>0</v>
      </c>
      <c r="AR30" s="712">
        <f t="shared" si="169"/>
        <v>0</v>
      </c>
      <c r="AS30" s="712"/>
      <c r="AT30" s="712">
        <f ca="1">IF(B30&gt;Summary!$A$1,#N/A,AR30*MGtoAF)</f>
        <v>0</v>
      </c>
      <c r="AU30" s="712">
        <f>Sheet1!BG30+Sheet1!BH30+Sheet1!BI30-BC30</f>
        <v>0</v>
      </c>
      <c r="AV30" s="712">
        <f t="shared" si="170"/>
        <v>0</v>
      </c>
      <c r="AW30" s="712">
        <f>IF(Sheet1!EL30="FM",BC30,0)</f>
        <v>0</v>
      </c>
      <c r="AX30" s="712">
        <f t="shared" si="171"/>
        <v>0</v>
      </c>
      <c r="AY30" s="712">
        <f>IF(Sheet1!EL30="OTHER",BC30,0)</f>
        <v>0</v>
      </c>
      <c r="AZ30" s="712">
        <f t="shared" si="172"/>
        <v>0</v>
      </c>
      <c r="BA30" s="712">
        <f t="shared" si="173"/>
        <v>0</v>
      </c>
      <c r="BB30" s="712">
        <f t="shared" si="174"/>
        <v>0</v>
      </c>
      <c r="BC30" s="712">
        <f>IF(OR(Sheet1!EL30="FM", Sheet1!EL30="OTHER"),SUM(Sheet1!BG30:'Sheet1'!BJ30),0)</f>
        <v>0</v>
      </c>
      <c r="BD30" s="697">
        <f>IF(AND($B30&gt;=$FL30,$B30&lt;=$FM30),MAX(AV30,Sheet1!EE30,0),MAX(AV30-(7/36)*$K30,0))</f>
        <v>0</v>
      </c>
      <c r="BE30" s="712">
        <f t="shared" si="175"/>
        <v>0</v>
      </c>
      <c r="BF30" s="697">
        <f t="shared" si="73"/>
        <v>0</v>
      </c>
      <c r="BG30" s="697">
        <f>IF(AND($O30&gt;0,Sheet1!EI30=1),(1-($O30-Sheet1!$L30)/$O30)*BB30,0)</f>
        <v>0</v>
      </c>
      <c r="BH30" s="697">
        <f>IF(AND(Sheet1!$L30=0,Sheet1!$L29=0, Calculation!BA30&lt;Sheet1!$EE30-0.1,Sheet1!$EE30=Sheet1!$EE29,Sheet1!$EE30=Sheet1!$EE31),Sheet1!$EE30,BB30-BG30)</f>
        <v>0</v>
      </c>
      <c r="BI30" s="712"/>
      <c r="BJ30" s="712"/>
      <c r="BK30" s="712">
        <f t="shared" si="176"/>
        <v>0</v>
      </c>
      <c r="BL30" s="712"/>
      <c r="BM30" s="712">
        <f ca="1">IF(B30&gt;Summary!$A$1,#N/A,BK30*MGtoAF)</f>
        <v>0</v>
      </c>
      <c r="BN30" s="712">
        <f>Sheet1!BC30+Sheet1!BD30+Sheet1!BE30+Sheet1!BF30-BW30-BX30</f>
        <v>0</v>
      </c>
      <c r="BO30" s="712">
        <f t="shared" si="177"/>
        <v>0</v>
      </c>
      <c r="BP30" s="712">
        <f>IF(Sheet1!EM30="FM",BX30,0)</f>
        <v>0</v>
      </c>
      <c r="BQ30" s="712">
        <f t="shared" si="178"/>
        <v>0</v>
      </c>
      <c r="BR30" s="712">
        <f>IF(Sheet1!EM30="OTHER",BX30,0)</f>
        <v>0</v>
      </c>
      <c r="BS30" s="712">
        <f t="shared" si="179"/>
        <v>0</v>
      </c>
      <c r="BT30" s="712">
        <f t="shared" si="180"/>
        <v>0</v>
      </c>
      <c r="BU30" s="712">
        <f t="shared" si="181"/>
        <v>0</v>
      </c>
      <c r="BV30" s="712">
        <f t="shared" si="182"/>
        <v>0</v>
      </c>
      <c r="BW30" s="712">
        <f>IF(Sheet1!EM30="CWA",SUM(Sheet1!BC30:'Sheet1'!BF30),0)</f>
        <v>0</v>
      </c>
      <c r="BX30" s="712">
        <f>IF(OR(Sheet1!EM30="FM", Sheet1!EM30="OTHER"),SUM(Sheet1!BC30:'Sheet1'!BF30),0)</f>
        <v>0</v>
      </c>
      <c r="BY30" s="697">
        <f>IF(AND($B30&gt;=$FL30,$B30&lt;=$FM30),MAX(BV30,Sheet1!EF30,0),MAX(BV30-(7/36)*$K30,0))</f>
        <v>0</v>
      </c>
      <c r="BZ30" s="712">
        <f t="shared" si="183"/>
        <v>0</v>
      </c>
      <c r="CA30" s="697">
        <f t="shared" si="74"/>
        <v>0</v>
      </c>
      <c r="CB30" s="697">
        <f>IF(AND($O30&gt;0,Sheet1!EJ30=1),(1-($O30-Sheet1!$L30)/$O30)*BV30,0)</f>
        <v>0</v>
      </c>
      <c r="CC30" s="697">
        <f>IF(AND(Sheet1!$L30=0,Sheet1!$L29=0, Calculation!BU30&lt;Sheet1!EF30-0.1,Sheet1!EF30=Sheet1!EF29,Sheet1!EF30=Sheet1!EF31),Sheet1!EF30,BV30-CB30)</f>
        <v>0</v>
      </c>
      <c r="CD30" s="697"/>
      <c r="CE30" s="712"/>
      <c r="CF30" s="712">
        <f t="shared" si="184"/>
        <v>0</v>
      </c>
      <c r="CG30" s="712"/>
      <c r="CH30" s="712">
        <f ca="1">IF(B30&gt;Summary!$A$1,#N/A,CF30*MGtoAF)</f>
        <v>0</v>
      </c>
      <c r="CI30" s="712">
        <f>Sheet1!BK30+Sheet1!BL30+Sheet1!BM30-Sheet1!EN30-CQ30</f>
        <v>0</v>
      </c>
      <c r="CJ30" s="712">
        <f t="shared" si="185"/>
        <v>0</v>
      </c>
      <c r="CK30" s="712">
        <f>IF(Sheet1!EN30="FM",CQ30,0)</f>
        <v>0</v>
      </c>
      <c r="CL30" s="712">
        <f t="shared" si="186"/>
        <v>0</v>
      </c>
      <c r="CM30" s="712">
        <f>IF(Sheet1!EN30="OTHER",CQ30,0)</f>
        <v>0</v>
      </c>
      <c r="CN30" s="712">
        <f t="shared" si="187"/>
        <v>0</v>
      </c>
      <c r="CO30" s="712">
        <f t="shared" si="188"/>
        <v>0</v>
      </c>
      <c r="CP30" s="712">
        <f t="shared" si="189"/>
        <v>0</v>
      </c>
      <c r="CQ30" s="712">
        <f>IF(OR(Sheet1!EN30="FM", Sheet1!EN30="OTHER"),SUM(Sheet1!#REF!:'Sheet1'!BM30),0)</f>
        <v>0</v>
      </c>
      <c r="CR30" s="697">
        <f>IF(AND($B30&gt;=$FL30,$B30&lt;=$FM30),MAX($CJ30,Sheet1!EG30,0),MAX($CJ30-(7/36)*$K30,0))</f>
        <v>0</v>
      </c>
      <c r="CS30" s="712">
        <f t="shared" si="190"/>
        <v>0</v>
      </c>
      <c r="CT30" s="697">
        <f t="shared" si="75"/>
        <v>0</v>
      </c>
      <c r="CU30" s="697">
        <f>IF(AND($O30&gt;0,Sheet1!EK30=1),(1-($O30-Sheet1!$L30)/$O30)*CP30,0)</f>
        <v>0</v>
      </c>
      <c r="CV30" s="697">
        <f>IF(AND(Sheet1!$L30=0,Sheet1!$L29=0, Calculation!CO30&lt;Sheet1!$EG30-0.1,Sheet1!$EG30=Sheet1!$EG29,Sheet1!$EG30=Sheet1!$EG31),Sheet1!$EG30,CP30-CU30)</f>
        <v>0</v>
      </c>
      <c r="CW30" s="697">
        <f t="shared" si="33"/>
        <v>0</v>
      </c>
      <c r="CX30" s="712">
        <f t="shared" si="87"/>
        <v>0</v>
      </c>
      <c r="CY30" s="712">
        <f t="shared" si="191"/>
        <v>0</v>
      </c>
      <c r="CZ30" s="712">
        <f t="shared" si="192"/>
        <v>0</v>
      </c>
      <c r="DA30" s="712">
        <f ca="1">IF(B30&gt;Summary!$A$1,#N/A,CY30*MGtoAF)</f>
        <v>0</v>
      </c>
      <c r="DB30" s="712">
        <f t="shared" si="193"/>
        <v>0</v>
      </c>
      <c r="DC30" s="712">
        <f t="shared" si="194"/>
        <v>17</v>
      </c>
      <c r="DD30" s="712">
        <f>Sheet1!AB30-DC30</f>
        <v>-0.39999999999417923</v>
      </c>
      <c r="DE30" s="712">
        <f t="shared" si="195"/>
        <v>-2.3529411764363486E-2</v>
      </c>
      <c r="DF30" s="712">
        <f>(VLOOKUP(Sheet1!CY30,hhdcap_wcm,4)-(((VLOOKUP(Sheet1!CY30,hhdcap_wcm,3)-Sheet1!CY30)/(VLOOKUP(Sheet1!CY30,hhdcap_wcm,3)-VLOOKUP(Sheet1!CY30,hhdcap_wcm,1)))*(VLOOKUP(Sheet1!CY30,hhdcap_wcm,4)-VLOOKUP(Sheet1!CY30,hhdcap_wcm,2))))</f>
        <v>18438.950000040626</v>
      </c>
      <c r="DG30" s="712">
        <f t="shared" si="196"/>
        <v>16472.350000037819</v>
      </c>
      <c r="DH30" s="712">
        <f t="shared" si="197"/>
        <v>8306.7826525657165</v>
      </c>
      <c r="DI30" s="712">
        <f>Sheet1!DW30*AFtoMG</f>
        <v>0</v>
      </c>
      <c r="DJ30" s="712">
        <f>Sheet1!DX30*AFtoMG</f>
        <v>0</v>
      </c>
      <c r="DK30" s="712">
        <f>Sheet1!DY30*AFtoMG</f>
        <v>0</v>
      </c>
      <c r="DL30" s="712">
        <f>Sheet1!DZ30*AFtoMG</f>
        <v>0</v>
      </c>
      <c r="DM30" s="712">
        <f t="shared" si="198"/>
        <v>0</v>
      </c>
      <c r="DN30" s="712">
        <f t="shared" si="199"/>
        <v>0</v>
      </c>
      <c r="DO30" s="712">
        <f t="shared" si="200"/>
        <v>0</v>
      </c>
      <c r="DP30" s="712">
        <f t="shared" si="201"/>
        <v>0</v>
      </c>
      <c r="DQ30" s="712"/>
      <c r="DR30" s="697">
        <f>IF(OR(B30&lt;FL30,B30&gt;FM30),(MIN(AV30+BO30+CJ30+MAX(Sheet1!AA30+AG30-73,0),K30)),0)</f>
        <v>0</v>
      </c>
      <c r="DS30" s="712"/>
      <c r="DT30" s="712">
        <f t="shared" si="202"/>
        <v>0</v>
      </c>
      <c r="DU30" s="712"/>
      <c r="DV30" s="712">
        <f>Sheet1!ED30+Sheet1!EE30+Sheet1!EF30+Sheet1!EG30</f>
        <v>9.5</v>
      </c>
      <c r="DW30" s="712"/>
      <c r="DX30" s="697">
        <f t="shared" si="77"/>
        <v>0</v>
      </c>
      <c r="DY30" s="712">
        <f>IF(Sheet1!FN30=1,SUM('Calculations II'!AT30:BA30)+'Calculations II'!BC30+Sheet1!BU30+'Calculations II'!BE30+AF30,SUM('Calculations II'!AT30:BA30)+'Calculations II'!BC30+Sheet1!BU30+'Calculations II'!BE30+AF30)</f>
        <v>40.807215999999997</v>
      </c>
      <c r="DZ30" s="712">
        <f>Sheet1!AA30+Sheet1!AB30+'Calculations II'!BC30</f>
        <v>44.600000000005821</v>
      </c>
      <c r="EA30" s="712"/>
      <c r="EB30" s="712"/>
      <c r="EC30" s="712">
        <f t="shared" si="203"/>
        <v>40559</v>
      </c>
      <c r="ED30" s="712">
        <f t="shared" si="204"/>
        <v>0</v>
      </c>
      <c r="EE30" s="712">
        <f t="shared" si="205"/>
        <v>0</v>
      </c>
      <c r="EF30" s="712">
        <f>-(VLOOKUP(Sheet1!BQ30,Lookup!$B$4:$J$236,2)-VLOOKUP(Sheet1!BQ29,Lookup!$B$4:$J$236,2))/1000000</f>
        <v>-1.8765000000000001</v>
      </c>
      <c r="EG30" s="712">
        <f>-(VLOOKUP(Sheet1!BR30,Lookup!$B$4:$J$236,3)-VLOOKUP(Sheet1!BR29,Lookup!$B$4:$J$236,3))/1000000</f>
        <v>-2.1396000000000002</v>
      </c>
      <c r="EH30" s="712">
        <f>-(VLOOKUP(Sheet1!BS30,Lookup!$B$4:$J$236,4)-VLOOKUP(Sheet1!BS29,Lookup!$B$4:$J$236,4))/1000000</f>
        <v>0</v>
      </c>
      <c r="EI30" s="697">
        <f t="shared" si="88"/>
        <v>-4.0160999999999998</v>
      </c>
      <c r="EJ30" s="712"/>
      <c r="EK30" s="712"/>
      <c r="EL30" s="712"/>
      <c r="EM30" s="712"/>
      <c r="EN30" s="712"/>
      <c r="EO30" s="712"/>
      <c r="EP30" s="712"/>
      <c r="EQ30" s="712"/>
      <c r="ER30" s="697">
        <v>0</v>
      </c>
      <c r="ES30" s="712"/>
      <c r="ET30" s="794" t="e">
        <f t="shared" si="206"/>
        <v>#N/A</v>
      </c>
      <c r="EU30" s="794" t="e">
        <f t="shared" si="79"/>
        <v>#VALUE!</v>
      </c>
      <c r="EV30" s="795" t="e">
        <f t="shared" si="48"/>
        <v>#VALUE!</v>
      </c>
      <c r="EW30" s="796" t="s">
        <v>757</v>
      </c>
      <c r="EX30" s="796" t="s">
        <v>757</v>
      </c>
      <c r="EY30" s="794">
        <v>0</v>
      </c>
      <c r="EZ30" s="794" t="e">
        <v>#N/A</v>
      </c>
      <c r="FA30" s="712"/>
      <c r="FB30" s="712"/>
      <c r="FC30" s="712"/>
      <c r="FD30" s="712"/>
      <c r="FE30" s="712">
        <f>O30+Sheet1!CO30</f>
        <v>44.600000000005821</v>
      </c>
      <c r="FF30" s="712">
        <f>IF(Sheet1!AA30+AG30&lt;=Calculation!N30,AG30,Calculation!N30-Sheet1!AA30)</f>
        <v>16.600000000005821</v>
      </c>
      <c r="FG30" s="712">
        <f>(Sheet1!BP30+Sheet1!BO30)/694.4</f>
        <v>1.7024769585253456</v>
      </c>
      <c r="FH30" s="712"/>
      <c r="FI30" s="712"/>
      <c r="FJ30" s="712"/>
      <c r="FK30" s="712"/>
      <c r="FL30" s="714">
        <f t="shared" si="89"/>
        <v>40753</v>
      </c>
      <c r="FM30" s="714">
        <f t="shared" si="90"/>
        <v>40851</v>
      </c>
      <c r="FN30" s="712"/>
      <c r="FO30" s="712"/>
      <c r="FP30" s="712"/>
      <c r="FQ30" s="712"/>
      <c r="FR30" s="712"/>
      <c r="FS30" s="725">
        <f t="shared" si="91"/>
        <v>40603</v>
      </c>
      <c r="FT30" s="714">
        <f t="shared" si="92"/>
        <v>40709</v>
      </c>
      <c r="FU30" s="712">
        <f t="shared" si="93"/>
        <v>6518.9048239895692</v>
      </c>
      <c r="FV30" s="714">
        <f t="shared" si="94"/>
        <v>40722</v>
      </c>
      <c r="FW30" s="712">
        <f t="shared" si="95"/>
        <v>3259.4524119947846</v>
      </c>
      <c r="FX30" s="725">
        <f t="shared" si="96"/>
        <v>40851</v>
      </c>
      <c r="FZ30" s="697">
        <f t="shared" si="49"/>
        <v>0</v>
      </c>
      <c r="GA30" s="712" t="str">
        <f t="shared" si="207"/>
        <v/>
      </c>
      <c r="GB30" s="712">
        <f t="shared" si="208"/>
        <v>0</v>
      </c>
      <c r="GC30" s="712" t="str">
        <f t="shared" si="209"/>
        <v/>
      </c>
      <c r="GD30" s="712">
        <f>IF(GA30="P",Lookup!$M$12,IF(GA30="PP",Lookup!$M$13,IF(GA30="PPP",Lookup!$M$14,IF(GA30="T",Lookup!$M$15,IF(GA30="TP",Lookup!$M$16,IF(GA30="TPP",Lookup!$M$17,IF(GA30="TPPP",Lookup!$M$18,0)))))))*FZ30</f>
        <v>0</v>
      </c>
      <c r="GE30" s="712">
        <f t="shared" si="210"/>
        <v>0</v>
      </c>
      <c r="GF30" s="712">
        <f t="shared" si="211"/>
        <v>0</v>
      </c>
      <c r="GG30" s="712">
        <f t="shared" si="212"/>
        <v>0</v>
      </c>
      <c r="GH30" s="712"/>
      <c r="GI30" s="712">
        <f t="shared" si="213"/>
        <v>0</v>
      </c>
      <c r="GJ30" s="712" t="str">
        <f t="shared" si="214"/>
        <v/>
      </c>
      <c r="GK30" s="712">
        <f>IF(GA30="P",Lookup!$N$12,IF(GA30="PP",Lookup!$N$13,IF(GA30="PPP",Lookup!$N$14,IF(GA30="T",Lookup!$N$15,IF(GA30="TP",Lookup!$N$16,IF(GA30="TPP",Lookup!$N$17,IF(GA30="TPPP",Lookup!$N$18,0)))))))*FZ30</f>
        <v>0</v>
      </c>
      <c r="GL30" s="712">
        <f t="shared" si="215"/>
        <v>0</v>
      </c>
      <c r="GM30" s="712">
        <f t="shared" si="216"/>
        <v>0</v>
      </c>
      <c r="GN30" s="712">
        <f t="shared" si="217"/>
        <v>0</v>
      </c>
      <c r="GO30" s="712"/>
      <c r="GP30" s="712">
        <f t="shared" si="218"/>
        <v>0</v>
      </c>
      <c r="GQ30" s="712" t="str">
        <f t="shared" si="219"/>
        <v/>
      </c>
      <c r="GR30" s="712">
        <f>IF(GA30="P",Lookup!$N$12,IF(GA30="PP",Lookup!$N$13,IF(GA30="PPP",Lookup!$N$14,IF(GA30="T",Lookup!$N$15,IF(GA30="TP",Lookup!$N$16,IF(GA30="TPP",Lookup!$N$17,IF(GA30="TPPP",Lookup!$N$18,0)))))))*FZ30</f>
        <v>0</v>
      </c>
      <c r="GS30" s="697">
        <f t="shared" si="83"/>
        <v>0</v>
      </c>
      <c r="GT30" s="712">
        <f t="shared" si="220"/>
        <v>0</v>
      </c>
      <c r="GU30" s="712">
        <f t="shared" si="221"/>
        <v>0</v>
      </c>
      <c r="GV30" s="712"/>
      <c r="GW30" s="712">
        <f t="shared" si="222"/>
        <v>0</v>
      </c>
      <c r="GX30" s="712" t="str">
        <f t="shared" si="223"/>
        <v/>
      </c>
      <c r="GY30" s="712">
        <f>IF(GA30="P",Lookup!$N$12,IF(GA30="PP",Lookup!$N$13,IF(GA30="PPP",Lookup!$N$14,IF(GA30="T",Lookup!$N$15,IF(GA30="TP",Lookup!$N$16,IF(GA30="TPP",Lookup!$N$17,IF(GA30="TPPP",Lookup!$N$18,0)))))))*FZ30</f>
        <v>0</v>
      </c>
      <c r="GZ30" s="697">
        <f t="shared" si="85"/>
        <v>0</v>
      </c>
      <c r="HA30" s="712">
        <f t="shared" si="224"/>
        <v>0</v>
      </c>
      <c r="HB30" s="712">
        <f t="shared" si="225"/>
        <v>0</v>
      </c>
      <c r="HC30" s="712"/>
    </row>
    <row r="31" spans="1:211">
      <c r="A31" s="773" t="s">
        <v>4</v>
      </c>
      <c r="B31" s="708">
        <v>40560</v>
      </c>
      <c r="C31" s="719">
        <v>0.5</v>
      </c>
      <c r="D31" s="675">
        <f t="shared" si="65"/>
        <v>300</v>
      </c>
      <c r="E31" s="675">
        <f t="shared" si="66"/>
        <v>250</v>
      </c>
      <c r="F31" s="675">
        <v>250</v>
      </c>
      <c r="G31" s="712">
        <f>DH31+Sheet1!CV31</f>
        <v>16349.887573814318</v>
      </c>
      <c r="H31" s="712">
        <f t="shared" si="158"/>
        <v>10301.604127713576</v>
      </c>
      <c r="I31" s="711">
        <f>MAX(Sheet1!Z31-AJ31+(Sheet1!CW31-E31)*CFStoMGD,0)</f>
        <v>6307.2460000000019</v>
      </c>
      <c r="J31" s="720">
        <f>IF(AND(B31&gt;=Calculation!FS31,B31&lt;=Calculation!FT31),IF(Sheet1!CX31&gt;=Calculation!D31,64.64,0),MAX(Sheet1!Z31-AJ31+(Sheet1!CX31-D31)*CFStoMGD,0))</f>
        <v>4325.626000000002</v>
      </c>
      <c r="K31" s="697">
        <f t="shared" si="67"/>
        <v>64.64</v>
      </c>
      <c r="L31" s="712">
        <f>Sheet1!AA31+Sheet1!AB31-Sheet1!L31+(Sheet1!CW31-F31)*CFStoMGD</f>
        <v>6307.1059999999934</v>
      </c>
      <c r="M31" s="712">
        <f t="shared" si="159"/>
        <v>10779.938674267847</v>
      </c>
      <c r="N31" s="712">
        <f>IF(Sheet1!CW31&gt;=F31,MIN(73,MIN(MAX(L31,0),MAX(M31,0))),0)</f>
        <v>73</v>
      </c>
      <c r="O31" s="721">
        <f>Sheet1!AA31+Sheet1!AB31</f>
        <v>44.399999999994179</v>
      </c>
      <c r="P31" s="721">
        <f t="shared" si="160"/>
        <v>68.686799999990996</v>
      </c>
      <c r="Q31" s="712">
        <f>MIN(N31,Sheet1!AA31+AG31)</f>
        <v>44.399999999994179</v>
      </c>
      <c r="R31" s="712">
        <f t="shared" si="161"/>
        <v>0</v>
      </c>
      <c r="S31" s="721">
        <f>Sheet1!Y31*MGDtoCFS</f>
        <v>44.615479999999998</v>
      </c>
      <c r="T31" s="721">
        <f>Sheet1!Z31*MGDtoCFS</f>
        <v>26.144299999999998</v>
      </c>
      <c r="U31" s="721">
        <f>Sheet1!AA31*MGDtoCFS</f>
        <v>42.851899999995496</v>
      </c>
      <c r="V31" s="721">
        <f>Sheet1!AB31*MGDtoCFS</f>
        <v>25.834899999995496</v>
      </c>
      <c r="W31" s="721">
        <f>Sheet1!L31*MGDtoCFS</f>
        <v>68.593980000000215</v>
      </c>
      <c r="X31" s="697">
        <f t="shared" si="68"/>
        <v>0</v>
      </c>
      <c r="Y31" s="712">
        <f t="shared" si="162"/>
        <v>0</v>
      </c>
      <c r="Z31" s="712">
        <f t="shared" si="163"/>
        <v>0</v>
      </c>
      <c r="AA31" s="712">
        <f t="shared" si="164"/>
        <v>0</v>
      </c>
      <c r="AB31" s="712">
        <f>(VLOOKUP(Sheet1!CY31,hhdcap_wcm,4)-(((VLOOKUP(Sheet1!CY31,hhdcap_wcm,3)-Sheet1!CY31)/(VLOOKUP(Sheet1!CY31,hhdcap_wcm,3)-VLOOKUP(Sheet1!CY31,hhdcap_wcm,1)))*(VLOOKUP(Sheet1!CY31,hhdcap_wcm,4)-VLOOKUP(Sheet1!CY31,hhdcap_wcm,2))))</f>
        <v>37140.750000090891</v>
      </c>
      <c r="AC31" s="712">
        <f t="shared" si="165"/>
        <v>18701.800000050265</v>
      </c>
      <c r="AD31" s="712">
        <f t="shared" si="70"/>
        <v>0</v>
      </c>
      <c r="AE31" s="712">
        <f t="shared" si="166"/>
        <v>0</v>
      </c>
      <c r="AF31" s="712">
        <f>Sheet1!BA31+Sheet1!BB31+Sheet1!BN31+BT31</f>
        <v>17.2</v>
      </c>
      <c r="AG31" s="712">
        <f t="shared" si="167"/>
        <v>16.69999999999709</v>
      </c>
      <c r="AH31" s="712">
        <f>Sheet1!BA31+BT31</f>
        <v>0</v>
      </c>
      <c r="AI31" s="712">
        <f>Sheet1!BA31+Sheet1!BB31+BT31</f>
        <v>0</v>
      </c>
      <c r="AJ31" s="712">
        <f>IF((Sheet1!AA31+AG31+AX31+AZ31+BQ31+BS31+CL31+CN31)&lt;=N31,AG31+AX31+AZ31+BQ31+BS31+CL31+CN31,N31-Sheet1!AA31)</f>
        <v>16.69999999999709</v>
      </c>
      <c r="AK31" s="712">
        <f>IF(DR31&lt;K31,0,MAX(Sheet1!AA31+AG31-15/36*K31-N31,Sheet1!ED31,0))</f>
        <v>0</v>
      </c>
      <c r="AL31" s="712">
        <f>IF(OR(B31&gt;=FT31,B31&lt;FS31),0,15/36*K31-MAX(0,64.6-(137.6-(Sheet1!AA31+Sheet1!AB31))))</f>
        <v>0</v>
      </c>
      <c r="AM31" s="712">
        <f>Sheet1!CX31-110</f>
        <v>6881.5625</v>
      </c>
      <c r="AN31" s="712">
        <f>Sheet1!CW31-265</f>
        <v>9742.1875</v>
      </c>
      <c r="AO31" s="712">
        <f t="shared" si="71"/>
        <v>28.600000000005821</v>
      </c>
      <c r="AP31" s="712">
        <f t="shared" si="72"/>
        <v>0</v>
      </c>
      <c r="AQ31" s="712">
        <f t="shared" si="168"/>
        <v>0</v>
      </c>
      <c r="AR31" s="712">
        <f t="shared" si="169"/>
        <v>0</v>
      </c>
      <c r="AS31" s="712"/>
      <c r="AT31" s="712">
        <f ca="1">IF(B31&gt;Summary!$A$1,#N/A,AR31*MGtoAF)</f>
        <v>0</v>
      </c>
      <c r="AU31" s="712">
        <f>Sheet1!BG31+Sheet1!BH31+Sheet1!BI31-BC31</f>
        <v>0</v>
      </c>
      <c r="AV31" s="712">
        <f t="shared" si="170"/>
        <v>0</v>
      </c>
      <c r="AW31" s="712">
        <f>IF(Sheet1!EL31="FM",BC31,0)</f>
        <v>0</v>
      </c>
      <c r="AX31" s="712">
        <f t="shared" si="171"/>
        <v>0</v>
      </c>
      <c r="AY31" s="712">
        <f>IF(Sheet1!EL31="OTHER",BC31,0)</f>
        <v>0</v>
      </c>
      <c r="AZ31" s="712">
        <f t="shared" si="172"/>
        <v>0</v>
      </c>
      <c r="BA31" s="712">
        <f t="shared" si="173"/>
        <v>0</v>
      </c>
      <c r="BB31" s="712">
        <f t="shared" si="174"/>
        <v>0</v>
      </c>
      <c r="BC31" s="712">
        <f>IF(OR(Sheet1!EL31="FM", Sheet1!EL31="OTHER"),SUM(Sheet1!BG31:'Sheet1'!BI31),0)</f>
        <v>0</v>
      </c>
      <c r="BD31" s="697">
        <f>IF(AND($B31&gt;=$FL31,$B31&lt;=$FM31),MAX(AV31,Sheet1!EE31,0),MAX(AV31-(7/36)*$K31,0))</f>
        <v>0</v>
      </c>
      <c r="BE31" s="712">
        <f t="shared" si="175"/>
        <v>0</v>
      </c>
      <c r="BF31" s="697">
        <f t="shared" si="73"/>
        <v>0</v>
      </c>
      <c r="BG31" s="697">
        <f>IF(AND($O31&gt;0,Sheet1!EI31=1),(1-($O31-Sheet1!$L31)/$O31)*BB31,0)</f>
        <v>0</v>
      </c>
      <c r="BH31" s="697">
        <f>IF(AND(Sheet1!$L31=0,Sheet1!$L30=0, Calculation!BA31&lt;Sheet1!$EE31-0.1,Sheet1!$EE31=Sheet1!$EE30,Sheet1!$EE31=Sheet1!$EE32),Sheet1!$EE31,BB31-BG31)</f>
        <v>0</v>
      </c>
      <c r="BI31" s="712"/>
      <c r="BJ31" s="712"/>
      <c r="BK31" s="712">
        <f t="shared" si="176"/>
        <v>0</v>
      </c>
      <c r="BL31" s="712"/>
      <c r="BM31" s="712">
        <f ca="1">IF(B31&gt;Summary!$A$1,#N/A,BK31*MGtoAF)</f>
        <v>0</v>
      </c>
      <c r="BN31" s="712">
        <f>Sheet1!BC31+Sheet1!BD31+Sheet1!BE31+Sheet1!BF31-BW31-BX31</f>
        <v>0</v>
      </c>
      <c r="BO31" s="712">
        <f t="shared" si="177"/>
        <v>0</v>
      </c>
      <c r="BP31" s="712">
        <f>IF(Sheet1!EM31="FM",BX31,0)</f>
        <v>0</v>
      </c>
      <c r="BQ31" s="712">
        <f t="shared" si="178"/>
        <v>0</v>
      </c>
      <c r="BR31" s="712">
        <f>IF(Sheet1!EM31="OTHER",BX31,0)</f>
        <v>0</v>
      </c>
      <c r="BS31" s="712">
        <f t="shared" si="179"/>
        <v>0</v>
      </c>
      <c r="BT31" s="712">
        <f t="shared" si="180"/>
        <v>0</v>
      </c>
      <c r="BU31" s="712">
        <f t="shared" si="181"/>
        <v>0</v>
      </c>
      <c r="BV31" s="712">
        <f t="shared" si="182"/>
        <v>0</v>
      </c>
      <c r="BW31" s="712">
        <f>IF(Sheet1!EM31="CWA",SUM(Sheet1!BC31:'Sheet1'!BF31),0)</f>
        <v>0</v>
      </c>
      <c r="BX31" s="712">
        <f>IF(OR(Sheet1!EM31="FM", Sheet1!EM31="OTHER"),SUM(Sheet1!BC31:'Sheet1'!BF31),0)</f>
        <v>0</v>
      </c>
      <c r="BY31" s="697">
        <f>IF(AND($B31&gt;=$FL31,$B31&lt;=$FM31),MAX(BV31,Sheet1!EF31,0),MAX(BV31-(7/36)*$K31,0))</f>
        <v>0</v>
      </c>
      <c r="BZ31" s="712">
        <f t="shared" si="183"/>
        <v>0</v>
      </c>
      <c r="CA31" s="697">
        <f t="shared" si="74"/>
        <v>0</v>
      </c>
      <c r="CB31" s="697">
        <f>IF(AND($O31&gt;0,Sheet1!EJ31=1),(1-($O31-Sheet1!$L31)/$O31)*BV31,0)</f>
        <v>0</v>
      </c>
      <c r="CC31" s="697">
        <f>IF(AND(Sheet1!$L31=0,Sheet1!$L30=0, Calculation!BU31&lt;Sheet1!EF31-0.1,Sheet1!EF31=Sheet1!EF30,Sheet1!EF31=Sheet1!EF32),Sheet1!EF31,BV31-CB31)</f>
        <v>0</v>
      </c>
      <c r="CD31" s="697"/>
      <c r="CE31" s="712"/>
      <c r="CF31" s="712">
        <f t="shared" si="184"/>
        <v>0</v>
      </c>
      <c r="CG31" s="712"/>
      <c r="CH31" s="712">
        <f ca="1">IF(B31&gt;Summary!$A$1,#N/A,CF31*MGtoAF)</f>
        <v>0</v>
      </c>
      <c r="CI31" s="712">
        <f>Sheet1!BK31+Sheet1!BL31+Sheet1!BM31-Sheet1!EN31-CQ31</f>
        <v>0</v>
      </c>
      <c r="CJ31" s="712">
        <f t="shared" si="185"/>
        <v>0</v>
      </c>
      <c r="CK31" s="712">
        <f>IF(Sheet1!EN31="FM",CQ31,0)</f>
        <v>0</v>
      </c>
      <c r="CL31" s="712">
        <f t="shared" si="186"/>
        <v>0</v>
      </c>
      <c r="CM31" s="712">
        <f>IF(Sheet1!EN31="OTHER",CQ31,0)</f>
        <v>0</v>
      </c>
      <c r="CN31" s="712">
        <f t="shared" si="187"/>
        <v>0</v>
      </c>
      <c r="CO31" s="712">
        <f t="shared" si="188"/>
        <v>0</v>
      </c>
      <c r="CP31" s="712">
        <f t="shared" si="189"/>
        <v>0</v>
      </c>
      <c r="CQ31" s="712">
        <f>IF(OR(Sheet1!EN31="FM", Sheet1!EN31="OTHER"),SUM(Sheet1!BK31:'Sheet1'!BM31),0)</f>
        <v>0</v>
      </c>
      <c r="CR31" s="697">
        <f>IF(AND($B31&gt;=$FL31,$B31&lt;=$FM31),MAX($CJ31,Sheet1!EG31,0),MAX($CJ31-(7/36)*$K31,0))</f>
        <v>0</v>
      </c>
      <c r="CS31" s="712">
        <f t="shared" si="190"/>
        <v>0</v>
      </c>
      <c r="CT31" s="697">
        <f t="shared" si="75"/>
        <v>0</v>
      </c>
      <c r="CU31" s="697">
        <f>IF(AND($O31&gt;0,Sheet1!EK31=1),(1-($O31-Sheet1!$L31)/$O31)*CP31,0)</f>
        <v>0</v>
      </c>
      <c r="CV31" s="697">
        <f>IF(AND(Sheet1!$L31=0,Sheet1!$L30=0, Calculation!CO31&lt;Sheet1!$EG31-0.1,Sheet1!$EG31=Sheet1!$EG30,Sheet1!$EG31=Sheet1!$EG32),Sheet1!$EG31,CP31-CU31)</f>
        <v>0</v>
      </c>
      <c r="CW31" s="697">
        <f t="shared" si="33"/>
        <v>0</v>
      </c>
      <c r="CX31" s="712">
        <f t="shared" si="87"/>
        <v>0</v>
      </c>
      <c r="CY31" s="712">
        <f t="shared" si="191"/>
        <v>0</v>
      </c>
      <c r="CZ31" s="712">
        <f t="shared" si="192"/>
        <v>0</v>
      </c>
      <c r="DA31" s="712">
        <f ca="1">IF(B31&gt;Summary!$A$1,#N/A,CY31*MGtoAF)</f>
        <v>0</v>
      </c>
      <c r="DB31" s="712">
        <f t="shared" si="193"/>
        <v>0</v>
      </c>
      <c r="DC31" s="712">
        <f t="shared" si="194"/>
        <v>17.2</v>
      </c>
      <c r="DD31" s="712">
        <f>Sheet1!AB31-DC31</f>
        <v>-0.50000000000290967</v>
      </c>
      <c r="DE31" s="712">
        <f t="shared" si="195"/>
        <v>-2.9069767442029635E-2</v>
      </c>
      <c r="DF31" s="712">
        <f>(VLOOKUP(Sheet1!CY31,hhdcap_wcm,4)-(((VLOOKUP(Sheet1!CY31,hhdcap_wcm,3)-Sheet1!CY31)/(VLOOKUP(Sheet1!CY31,hhdcap_wcm,3)-VLOOKUP(Sheet1!CY31,hhdcap_wcm,1)))*(VLOOKUP(Sheet1!CY31,hhdcap_wcm,4)-VLOOKUP(Sheet1!CY31,hhdcap_wcm,2))))</f>
        <v>37140.750000090891</v>
      </c>
      <c r="DG31" s="712">
        <f t="shared" si="196"/>
        <v>18701.800000050265</v>
      </c>
      <c r="DH31" s="712">
        <f t="shared" si="197"/>
        <v>9431.0640444025539</v>
      </c>
      <c r="DI31" s="712">
        <f>Sheet1!DW31*AFtoMG</f>
        <v>0</v>
      </c>
      <c r="DJ31" s="712">
        <f>Sheet1!DX31*AFtoMG</f>
        <v>0</v>
      </c>
      <c r="DK31" s="712">
        <f>Sheet1!DY31*AFtoMG</f>
        <v>0</v>
      </c>
      <c r="DL31" s="712">
        <f>Sheet1!DZ31*AFtoMG</f>
        <v>0</v>
      </c>
      <c r="DM31" s="712">
        <f t="shared" si="198"/>
        <v>0</v>
      </c>
      <c r="DN31" s="712">
        <f t="shared" si="199"/>
        <v>0</v>
      </c>
      <c r="DO31" s="712">
        <f t="shared" si="200"/>
        <v>0</v>
      </c>
      <c r="DP31" s="712">
        <f t="shared" si="201"/>
        <v>0</v>
      </c>
      <c r="DQ31" s="712"/>
      <c r="DR31" s="697">
        <f>IF(OR(B31&lt;FL31,B31&gt;FM31),(MIN(AV31+BO31+CJ31+MAX(Sheet1!AA31+AG31-73,0),K31)),0)</f>
        <v>0</v>
      </c>
      <c r="DS31" s="712"/>
      <c r="DT31" s="712">
        <f t="shared" si="202"/>
        <v>0</v>
      </c>
      <c r="DU31" s="712"/>
      <c r="DV31" s="712">
        <f>Sheet1!ED31+Sheet1!EE31+Sheet1!EF31+Sheet1!EG31</f>
        <v>9.5</v>
      </c>
      <c r="DW31" s="712"/>
      <c r="DX31" s="697">
        <f t="shared" si="77"/>
        <v>0</v>
      </c>
      <c r="DY31" s="712">
        <f>IF(Sheet1!FN31=1,SUM('Calculations II'!AT31:BA31)+'Calculations II'!BC31+Sheet1!BU31+'Calculations II'!BE31+AF31,SUM('Calculations II'!AT31:BA31)+'Calculations II'!BC31+Sheet1!BU31+'Calculations II'!BE31+AF31)</f>
        <v>44.380192000000001</v>
      </c>
      <c r="DZ31" s="712">
        <f>Sheet1!AA31+Sheet1!AB31+'Calculations II'!BC31</f>
        <v>44.399999999994179</v>
      </c>
      <c r="EA31" s="712"/>
      <c r="EB31" s="712"/>
      <c r="EC31" s="712">
        <f t="shared" si="203"/>
        <v>40560</v>
      </c>
      <c r="ED31" s="712">
        <f t="shared" si="204"/>
        <v>0</v>
      </c>
      <c r="EE31" s="712">
        <f t="shared" si="205"/>
        <v>0</v>
      </c>
      <c r="EF31" s="712">
        <f>-(VLOOKUP(Sheet1!BQ31,Lookup!$B$4:$J$236,2)-VLOOKUP(Sheet1!BQ30,Lookup!$B$4:$J$236,2))/1000000</f>
        <v>-0.27050000000000002</v>
      </c>
      <c r="EG31" s="712">
        <f>-(VLOOKUP(Sheet1!BR31,Lookup!$B$4:$J$236,3)-VLOOKUP(Sheet1!BR30,Lookup!$B$4:$J$236,3))/1000000</f>
        <v>-0.27</v>
      </c>
      <c r="EH31" s="712">
        <f>-(VLOOKUP(Sheet1!BS31,Lookup!$B$4:$J$236,4)-VLOOKUP(Sheet1!BS30,Lookup!$B$4:$J$236,4))/1000000</f>
        <v>0</v>
      </c>
      <c r="EI31" s="697">
        <f t="shared" si="88"/>
        <v>-0.54049999999999998</v>
      </c>
      <c r="EJ31" s="712"/>
      <c r="EK31" s="712"/>
      <c r="EL31" s="712"/>
      <c r="EM31" s="712"/>
      <c r="EN31" s="712"/>
      <c r="EO31" s="712"/>
      <c r="EP31" s="712"/>
      <c r="EQ31" s="712"/>
      <c r="ER31" s="697">
        <v>0</v>
      </c>
      <c r="ES31" s="712"/>
      <c r="ET31" s="794" t="e">
        <f t="shared" si="206"/>
        <v>#N/A</v>
      </c>
      <c r="EU31" s="794" t="e">
        <f t="shared" si="79"/>
        <v>#VALUE!</v>
      </c>
      <c r="EV31" s="795" t="e">
        <f t="shared" si="48"/>
        <v>#VALUE!</v>
      </c>
      <c r="EW31" s="796" t="s">
        <v>757</v>
      </c>
      <c r="EX31" s="796" t="s">
        <v>757</v>
      </c>
      <c r="EY31" s="794">
        <v>0</v>
      </c>
      <c r="EZ31" s="794" t="e">
        <v>#N/A</v>
      </c>
      <c r="FA31" s="712"/>
      <c r="FB31" s="712"/>
      <c r="FC31" s="712"/>
      <c r="FD31" s="712"/>
      <c r="FE31" s="712">
        <f>O31+Sheet1!CO31</f>
        <v>44.399999999994179</v>
      </c>
      <c r="FF31" s="712">
        <f>IF(Sheet1!AA31+AG31&lt;=Calculation!N31,AG31,Calculation!N31-Sheet1!AA31)</f>
        <v>16.69999999999709</v>
      </c>
      <c r="FG31" s="712">
        <f>(Sheet1!BP31+Sheet1!BO31)/694.4</f>
        <v>2.4664458525345623</v>
      </c>
      <c r="FH31" s="712"/>
      <c r="FI31" s="712"/>
      <c r="FJ31" s="712"/>
      <c r="FK31" s="712"/>
      <c r="FL31" s="714">
        <f t="shared" si="89"/>
        <v>40753</v>
      </c>
      <c r="FM31" s="714">
        <f t="shared" si="90"/>
        <v>40851</v>
      </c>
      <c r="FN31" s="712"/>
      <c r="FO31" s="712"/>
      <c r="FP31" s="712"/>
      <c r="FQ31" s="712"/>
      <c r="FR31" s="712"/>
      <c r="FS31" s="725">
        <f t="shared" si="91"/>
        <v>40603</v>
      </c>
      <c r="FT31" s="714">
        <f t="shared" si="92"/>
        <v>40709</v>
      </c>
      <c r="FU31" s="712">
        <f t="shared" si="93"/>
        <v>6518.9048239895692</v>
      </c>
      <c r="FV31" s="714">
        <f t="shared" si="94"/>
        <v>40722</v>
      </c>
      <c r="FW31" s="712">
        <f t="shared" si="95"/>
        <v>3259.4524119947846</v>
      </c>
      <c r="FX31" s="725">
        <f t="shared" si="96"/>
        <v>40851</v>
      </c>
      <c r="FZ31" s="697">
        <f t="shared" si="49"/>
        <v>0</v>
      </c>
      <c r="GA31" s="712" t="str">
        <f t="shared" si="207"/>
        <v/>
      </c>
      <c r="GB31" s="712">
        <f t="shared" si="208"/>
        <v>0</v>
      </c>
      <c r="GC31" s="712" t="str">
        <f t="shared" si="209"/>
        <v/>
      </c>
      <c r="GD31" s="712">
        <f>IF(GA31="P",Lookup!$M$12,IF(GA31="PP",Lookup!$M$13,IF(GA31="PPP",Lookup!$M$14,IF(GA31="T",Lookup!$M$15,IF(GA31="TP",Lookup!$M$16,IF(GA31="TPP",Lookup!$M$17,IF(GA31="TPPP",Lookup!$M$18,0)))))))*FZ31</f>
        <v>0</v>
      </c>
      <c r="GE31" s="712">
        <f t="shared" si="210"/>
        <v>0</v>
      </c>
      <c r="GF31" s="712">
        <f t="shared" si="211"/>
        <v>0</v>
      </c>
      <c r="GG31" s="712">
        <f t="shared" si="212"/>
        <v>0</v>
      </c>
      <c r="GH31" s="712"/>
      <c r="GI31" s="712">
        <f t="shared" si="213"/>
        <v>0</v>
      </c>
      <c r="GJ31" s="712" t="str">
        <f t="shared" si="214"/>
        <v/>
      </c>
      <c r="GK31" s="712">
        <f>IF(GA31="P",Lookup!$N$12,IF(GA31="PP",Lookup!$N$13,IF(GA31="PPP",Lookup!$N$14,IF(GA31="T",Lookup!$N$15,IF(GA31="TP",Lookup!$N$16,IF(GA31="TPP",Lookup!$N$17,IF(GA31="TPPP",Lookup!$N$18,0)))))))*FZ31</f>
        <v>0</v>
      </c>
      <c r="GL31" s="712">
        <f t="shared" si="215"/>
        <v>0</v>
      </c>
      <c r="GM31" s="712">
        <f t="shared" si="216"/>
        <v>0</v>
      </c>
      <c r="GN31" s="712">
        <f t="shared" si="217"/>
        <v>0</v>
      </c>
      <c r="GO31" s="712"/>
      <c r="GP31" s="712">
        <f t="shared" si="218"/>
        <v>0</v>
      </c>
      <c r="GQ31" s="712" t="str">
        <f t="shared" si="219"/>
        <v/>
      </c>
      <c r="GR31" s="712">
        <f>IF(GA31="P",Lookup!$N$12,IF(GA31="PP",Lookup!$N$13,IF(GA31="PPP",Lookup!$N$14,IF(GA31="T",Lookup!$N$15,IF(GA31="TP",Lookup!$N$16,IF(GA31="TPP",Lookup!$N$17,IF(GA31="TPPP",Lookup!$N$18,0)))))))*FZ31</f>
        <v>0</v>
      </c>
      <c r="GS31" s="697">
        <f t="shared" si="83"/>
        <v>0</v>
      </c>
      <c r="GT31" s="712">
        <f t="shared" si="220"/>
        <v>0</v>
      </c>
      <c r="GU31" s="712">
        <f t="shared" si="221"/>
        <v>0</v>
      </c>
      <c r="GV31" s="712"/>
      <c r="GW31" s="712">
        <f t="shared" si="222"/>
        <v>0</v>
      </c>
      <c r="GX31" s="712" t="str">
        <f t="shared" si="223"/>
        <v/>
      </c>
      <c r="GY31" s="712">
        <f>IF(GA31="P",Lookup!$N$12,IF(GA31="PP",Lookup!$N$13,IF(GA31="PPP",Lookup!$N$14,IF(GA31="T",Lookup!$N$15,IF(GA31="TP",Lookup!$N$16,IF(GA31="TPP",Lookup!$N$17,IF(GA31="TPPP",Lookup!$N$18,0)))))))*FZ31</f>
        <v>0</v>
      </c>
      <c r="GZ31" s="697">
        <f t="shared" si="85"/>
        <v>0</v>
      </c>
      <c r="HA31" s="712">
        <f t="shared" si="224"/>
        <v>0</v>
      </c>
      <c r="HB31" s="712">
        <f t="shared" si="225"/>
        <v>0</v>
      </c>
      <c r="HC31" s="712"/>
    </row>
    <row r="32" spans="1:211">
      <c r="A32" s="773" t="s">
        <v>5</v>
      </c>
      <c r="B32" s="708">
        <v>40561</v>
      </c>
      <c r="C32" s="709">
        <v>0.5</v>
      </c>
      <c r="D32" s="675">
        <f t="shared" si="65"/>
        <v>300</v>
      </c>
      <c r="E32" s="675">
        <f t="shared" si="66"/>
        <v>250</v>
      </c>
      <c r="F32" s="710">
        <v>250</v>
      </c>
      <c r="G32" s="712">
        <f>DH32+Sheet1!CV32</f>
        <v>7582.4698169727008</v>
      </c>
      <c r="H32" s="712">
        <f t="shared" si="158"/>
        <v>4634.345289691154</v>
      </c>
      <c r="I32" s="711">
        <f>MAX(Sheet1!Z32-AJ32+(Sheet1!CW32-E32)*CFStoMGD,0)</f>
        <v>6529.9666666666681</v>
      </c>
      <c r="J32" s="720">
        <f>IF(AND(B32&gt;=Calculation!FS32,B32&lt;=Calculation!FT32),IF(Sheet1!CX32&gt;=Calculation!D32,64.64,0),MAX(Sheet1!Z32-AJ32+(Sheet1!CX32-D32)*CFStoMGD,0))</f>
        <v>4498.5200000000013</v>
      </c>
      <c r="K32" s="697">
        <f t="shared" si="67"/>
        <v>64.64</v>
      </c>
      <c r="L32" s="712">
        <f>Sheet1!AA32+Sheet1!AB32-Sheet1!L32+(Sheet1!CW32-F32)*CFStoMGD</f>
        <v>6530.0466666666662</v>
      </c>
      <c r="M32" s="712">
        <f t="shared" si="159"/>
        <v>4999.3346594849772</v>
      </c>
      <c r="N32" s="712">
        <f>IF(Sheet1!CW32&gt;=F32,MIN(73,MIN(MAX(L32,0),MAX(M32,0))),0)</f>
        <v>73</v>
      </c>
      <c r="O32" s="721">
        <f>Sheet1!AA32+Sheet1!AB32</f>
        <v>45.849999999998545</v>
      </c>
      <c r="P32" s="721">
        <f t="shared" si="160"/>
        <v>70.929949999997746</v>
      </c>
      <c r="Q32" s="712">
        <f>MIN(N32,Sheet1!AA32+AG32)</f>
        <v>45.849999999998545</v>
      </c>
      <c r="R32" s="712">
        <f t="shared" si="161"/>
        <v>0</v>
      </c>
      <c r="S32" s="721">
        <f>Sheet1!Y32*MGDtoCFS</f>
        <v>44.135910000000003</v>
      </c>
      <c r="T32" s="721">
        <f>Sheet1!Z32*MGDtoCFS</f>
        <v>26.422759999999997</v>
      </c>
      <c r="U32" s="721">
        <f>Sheet1!AA32*MGDtoCFS</f>
        <v>44.47625</v>
      </c>
      <c r="V32" s="721">
        <f>Sheet1!AB32*MGDtoCFS</f>
        <v>26.453699999997749</v>
      </c>
      <c r="W32" s="721">
        <f>Sheet1!L32*MGDtoCFS</f>
        <v>70.837129999998538</v>
      </c>
      <c r="X32" s="697">
        <f t="shared" si="68"/>
        <v>0</v>
      </c>
      <c r="Y32" s="712">
        <f t="shared" si="162"/>
        <v>0</v>
      </c>
      <c r="Z32" s="712">
        <f t="shared" si="163"/>
        <v>0</v>
      </c>
      <c r="AA32" s="712">
        <f t="shared" si="164"/>
        <v>0</v>
      </c>
      <c r="AB32" s="712">
        <f>(VLOOKUP(Sheet1!CY32,hhdcap_wcm,4)-(((VLOOKUP(Sheet1!CY32,hhdcap_wcm,3)-Sheet1!CY32)/(VLOOKUP(Sheet1!CY32,hhdcap_wcm,3)-VLOOKUP(Sheet1!CY32,hhdcap_wcm,1)))*(VLOOKUP(Sheet1!CY32,hhdcap_wcm,4)-VLOOKUP(Sheet1!CY32,hhdcap_wcm,2))))</f>
        <v>36616.070000088934</v>
      </c>
      <c r="AC32" s="712">
        <f t="shared" si="165"/>
        <v>-524.68000000195752</v>
      </c>
      <c r="AD32" s="712">
        <f t="shared" si="70"/>
        <v>0</v>
      </c>
      <c r="AE32" s="712">
        <f t="shared" si="166"/>
        <v>0</v>
      </c>
      <c r="AF32" s="712">
        <f>Sheet1!BA32+Sheet1!BB32+Sheet1!BN32+BT32</f>
        <v>17.100000000000001</v>
      </c>
      <c r="AG32" s="712">
        <f t="shared" si="167"/>
        <v>17.099999999998545</v>
      </c>
      <c r="AH32" s="712">
        <f>Sheet1!BA32+BT32</f>
        <v>0</v>
      </c>
      <c r="AI32" s="712">
        <f>Sheet1!BA32+Sheet1!BB32+BT32</f>
        <v>0</v>
      </c>
      <c r="AJ32" s="712">
        <f>IF((Sheet1!AA32+AG32+AX32+AZ32+BQ32+BS32+CL32+CN32)&lt;=N32,AG32+AX32+AZ32+BQ32+BS32+CL32+CN32,N32-Sheet1!AA32)</f>
        <v>17.099999999998545</v>
      </c>
      <c r="AK32" s="712">
        <f>IF(DR32&lt;K32,0,MAX(Sheet1!AA32+AG32-15/36*K32-N32,Sheet1!ED32,0))</f>
        <v>0</v>
      </c>
      <c r="AL32" s="712">
        <f>IF(OR(B32&gt;=FT32,B32&lt;FS32),0,15/36*K32-MAX(0,64.6-(137.6-(Sheet1!AA32+Sheet1!AB32))))</f>
        <v>0</v>
      </c>
      <c r="AM32" s="712">
        <f>Sheet1!CX32-110</f>
        <v>7149.375</v>
      </c>
      <c r="AN32" s="712">
        <f>Sheet1!CW32-265</f>
        <v>10087.083333333334</v>
      </c>
      <c r="AO32" s="712">
        <f t="shared" si="71"/>
        <v>27.150000000001455</v>
      </c>
      <c r="AP32" s="712">
        <f t="shared" si="72"/>
        <v>0</v>
      </c>
      <c r="AQ32" s="712">
        <f t="shared" si="168"/>
        <v>0</v>
      </c>
      <c r="AR32" s="712">
        <f t="shared" si="169"/>
        <v>0</v>
      </c>
      <c r="AS32" s="712"/>
      <c r="AT32" s="712">
        <f ca="1">IF(B32&gt;Summary!$A$1,#N/A,AR32*MGtoAF)</f>
        <v>0</v>
      </c>
      <c r="AU32" s="712">
        <f>Sheet1!BG32+Sheet1!BH32+Sheet1!BI32-BC32</f>
        <v>0</v>
      </c>
      <c r="AV32" s="712">
        <f t="shared" si="170"/>
        <v>0</v>
      </c>
      <c r="AW32" s="712">
        <f>IF(Sheet1!EL32="FM",BC32,0)</f>
        <v>0</v>
      </c>
      <c r="AX32" s="712">
        <f t="shared" si="171"/>
        <v>0</v>
      </c>
      <c r="AY32" s="712">
        <f>IF(Sheet1!EL32="OTHER",BC32,0)</f>
        <v>0</v>
      </c>
      <c r="AZ32" s="712">
        <f t="shared" si="172"/>
        <v>0</v>
      </c>
      <c r="BA32" s="712">
        <f t="shared" si="173"/>
        <v>0</v>
      </c>
      <c r="BB32" s="712">
        <f t="shared" si="174"/>
        <v>0</v>
      </c>
      <c r="BC32" s="712">
        <f>IF(OR(Sheet1!EL32="FM", Sheet1!EL32="OTHER"),SUM(Sheet1!BG32:'Sheet1'!BI32),0)</f>
        <v>0</v>
      </c>
      <c r="BD32" s="697">
        <f>IF(AND($B32&gt;=$FL32,$B32&lt;=$FM32),MAX(AV32,Sheet1!EE32,0),MAX(AV32-(7/36)*$K32,0))</f>
        <v>0</v>
      </c>
      <c r="BE32" s="712">
        <f t="shared" si="175"/>
        <v>0</v>
      </c>
      <c r="BF32" s="697">
        <f t="shared" si="73"/>
        <v>0</v>
      </c>
      <c r="BG32" s="697">
        <f>IF(AND($O32&gt;0,Sheet1!EI32=1),(1-($O32-Sheet1!$L32)/$O32)*BB32,0)</f>
        <v>0</v>
      </c>
      <c r="BH32" s="697">
        <f>IF(AND(Sheet1!$L32=0,Sheet1!$L31=0, Calculation!BA32&lt;Sheet1!$EE32-0.1,Sheet1!$EE32=Sheet1!$EE31,Sheet1!$EE32=Sheet1!$EE33),Sheet1!$EE32,BB32-BG32)</f>
        <v>0</v>
      </c>
      <c r="BI32" s="712"/>
      <c r="BJ32" s="712"/>
      <c r="BK32" s="712">
        <f t="shared" si="176"/>
        <v>0</v>
      </c>
      <c r="BL32" s="712"/>
      <c r="BM32" s="712">
        <f ca="1">IF(B32&gt;Summary!$A$1,#N/A,BK32*MGtoAF)</f>
        <v>0</v>
      </c>
      <c r="BN32" s="712">
        <f>Sheet1!BC32+Sheet1!BD32+Sheet1!BE32+Sheet1!BF32-BW32-BX32</f>
        <v>0</v>
      </c>
      <c r="BO32" s="712">
        <f t="shared" si="177"/>
        <v>0</v>
      </c>
      <c r="BP32" s="712">
        <f>IF(Sheet1!EM32="FM",BX32,0)</f>
        <v>0</v>
      </c>
      <c r="BQ32" s="712">
        <f t="shared" si="178"/>
        <v>0</v>
      </c>
      <c r="BR32" s="712">
        <f>IF(Sheet1!EM32="OTHER",BX32,0)</f>
        <v>0</v>
      </c>
      <c r="BS32" s="712">
        <f t="shared" si="179"/>
        <v>0</v>
      </c>
      <c r="BT32" s="712">
        <f t="shared" si="180"/>
        <v>0</v>
      </c>
      <c r="BU32" s="712">
        <f t="shared" si="181"/>
        <v>0</v>
      </c>
      <c r="BV32" s="712">
        <f t="shared" si="182"/>
        <v>0</v>
      </c>
      <c r="BW32" s="712">
        <f>IF(Sheet1!EM32="CWA",SUM(Sheet1!BC32:'Sheet1'!BF32),0)</f>
        <v>0</v>
      </c>
      <c r="BX32" s="712">
        <f>IF(OR(Sheet1!EM32="FM", Sheet1!EM32="OTHER"),SUM(Sheet1!BC32:'Sheet1'!BF32),0)</f>
        <v>0</v>
      </c>
      <c r="BY32" s="697">
        <f>IF(AND($B32&gt;=$FL32,$B32&lt;=$FM32),MAX(BV32,Sheet1!EF32,0),MAX(BV32-(7/36)*$K32,0))</f>
        <v>0</v>
      </c>
      <c r="BZ32" s="712">
        <f t="shared" si="183"/>
        <v>0</v>
      </c>
      <c r="CA32" s="697">
        <f t="shared" si="74"/>
        <v>0</v>
      </c>
      <c r="CB32" s="697">
        <f>IF(AND($O32&gt;0,Sheet1!EJ32=1),(1-($O32-Sheet1!$L32)/$O32)*BV32,0)</f>
        <v>0</v>
      </c>
      <c r="CC32" s="697">
        <f>IF(AND(Sheet1!$L32=0,Sheet1!$L31=0, Calculation!BU32&lt;Sheet1!EF32-0.1,Sheet1!EF32=Sheet1!EF31,Sheet1!EF32=Sheet1!EF33),Sheet1!EF32,BV32-CB32)</f>
        <v>0</v>
      </c>
      <c r="CD32" s="697"/>
      <c r="CE32" s="712"/>
      <c r="CF32" s="712">
        <f t="shared" si="184"/>
        <v>0</v>
      </c>
      <c r="CG32" s="712"/>
      <c r="CH32" s="712">
        <f ca="1">IF(B32&gt;Summary!$A$1,#N/A,CF32*MGtoAF)</f>
        <v>0</v>
      </c>
      <c r="CI32" s="712">
        <f>Sheet1!BK32+Sheet1!BL32+Sheet1!BM32-Sheet1!EN32-CQ32</f>
        <v>0</v>
      </c>
      <c r="CJ32" s="712">
        <f t="shared" si="185"/>
        <v>0</v>
      </c>
      <c r="CK32" s="712">
        <f>IF(Sheet1!EN32="FM",CQ32,0)</f>
        <v>0</v>
      </c>
      <c r="CL32" s="712">
        <f t="shared" si="186"/>
        <v>0</v>
      </c>
      <c r="CM32" s="712">
        <f>IF(Sheet1!EN32="OTHER",CQ32,0)</f>
        <v>0</v>
      </c>
      <c r="CN32" s="712">
        <f t="shared" si="187"/>
        <v>0</v>
      </c>
      <c r="CO32" s="712">
        <f t="shared" si="188"/>
        <v>0</v>
      </c>
      <c r="CP32" s="712">
        <f t="shared" si="189"/>
        <v>0</v>
      </c>
      <c r="CQ32" s="712">
        <f>IF(OR(Sheet1!EN32="FM", Sheet1!EN32="OTHER"),SUM(Sheet1!BK32:'Sheet1'!BM32),0)</f>
        <v>0</v>
      </c>
      <c r="CR32" s="697">
        <f>IF(AND($B32&gt;=$FL32,$B32&lt;=$FM32),MAX($CJ32,Sheet1!EG32,0),MAX($CJ32-(7/36)*$K32,0))</f>
        <v>0</v>
      </c>
      <c r="CS32" s="712">
        <f t="shared" si="190"/>
        <v>0</v>
      </c>
      <c r="CT32" s="697">
        <f t="shared" si="75"/>
        <v>0</v>
      </c>
      <c r="CU32" s="697">
        <f>IF(AND($O32&gt;0,Sheet1!EK32=1),(1-($O32-Sheet1!$L32)/$O32)*CP32,0)</f>
        <v>0</v>
      </c>
      <c r="CV32" s="697">
        <f>IF(AND(Sheet1!$L32=0,Sheet1!$L31=0, Calculation!CO32&lt;Sheet1!$EG32-0.1,Sheet1!$EG32=Sheet1!$EG31,Sheet1!$EG32=Sheet1!$EG33),Sheet1!$EG32,CP32-CU32)</f>
        <v>0</v>
      </c>
      <c r="CW32" s="697">
        <f t="shared" si="33"/>
        <v>0</v>
      </c>
      <c r="CX32" s="712">
        <f t="shared" si="87"/>
        <v>0</v>
      </c>
      <c r="CY32" s="712">
        <f t="shared" si="191"/>
        <v>0</v>
      </c>
      <c r="CZ32" s="712">
        <f t="shared" si="192"/>
        <v>0</v>
      </c>
      <c r="DA32" s="712">
        <f ca="1">IF(B32&gt;Summary!$A$1,#N/A,CY32*MGtoAF)</f>
        <v>0</v>
      </c>
      <c r="DB32" s="712">
        <f t="shared" si="193"/>
        <v>0</v>
      </c>
      <c r="DC32" s="712">
        <f t="shared" si="194"/>
        <v>17.100000000000001</v>
      </c>
      <c r="DD32" s="712">
        <f>Sheet1!AB32-DC32</f>
        <v>-1.4566126083082054E-12</v>
      </c>
      <c r="DE32" s="712">
        <f t="shared" si="195"/>
        <v>-8.5182023877672827E-14</v>
      </c>
      <c r="DF32" s="712">
        <f>(VLOOKUP(Sheet1!CY32,hhdcap_wcm,4)-(((VLOOKUP(Sheet1!CY32,hhdcap_wcm,3)-Sheet1!CY32)/(VLOOKUP(Sheet1!CY32,hhdcap_wcm,3)-VLOOKUP(Sheet1!CY32,hhdcap_wcm,1)))*(VLOOKUP(Sheet1!CY32,hhdcap_wcm,4)-VLOOKUP(Sheet1!CY32,hhdcap_wcm,2))))</f>
        <v>36616.070000088934</v>
      </c>
      <c r="DG32" s="712">
        <f t="shared" si="196"/>
        <v>-524.68000000195752</v>
      </c>
      <c r="DH32" s="712">
        <f t="shared" si="197"/>
        <v>-264.58900655671079</v>
      </c>
      <c r="DI32" s="712">
        <f>Sheet1!DW32*AFtoMG</f>
        <v>0</v>
      </c>
      <c r="DJ32" s="712">
        <f>Sheet1!DX32*AFtoMG</f>
        <v>0</v>
      </c>
      <c r="DK32" s="712">
        <f>Sheet1!DY32*AFtoMG</f>
        <v>0</v>
      </c>
      <c r="DL32" s="712">
        <f>Sheet1!DZ32*AFtoMG</f>
        <v>0</v>
      </c>
      <c r="DM32" s="712">
        <f t="shared" si="198"/>
        <v>0</v>
      </c>
      <c r="DN32" s="712">
        <f t="shared" si="199"/>
        <v>0</v>
      </c>
      <c r="DO32" s="712">
        <f t="shared" si="200"/>
        <v>0</v>
      </c>
      <c r="DP32" s="712">
        <f t="shared" si="201"/>
        <v>0</v>
      </c>
      <c r="DQ32" s="712"/>
      <c r="DR32" s="697">
        <f>IF(OR(B32&lt;FL32,B32&gt;FM32),(MIN(AV32+BO32+CJ32+MAX(Sheet1!AA32+AG32-73,0),K32)),0)</f>
        <v>0</v>
      </c>
      <c r="DS32" s="712"/>
      <c r="DT32" s="712">
        <f t="shared" si="202"/>
        <v>0</v>
      </c>
      <c r="DU32" s="712"/>
      <c r="DV32" s="712">
        <f>Sheet1!ED32+Sheet1!EE32+Sheet1!EF32+Sheet1!EG32</f>
        <v>9.5</v>
      </c>
      <c r="DW32" s="712"/>
      <c r="DX32" s="697">
        <f t="shared" si="77"/>
        <v>0</v>
      </c>
      <c r="DY32" s="712">
        <f>IF(Sheet1!FN32=1,SUM('Calculations II'!AT32:BA32)+'Calculations II'!BC32+Sheet1!BU32+'Calculations II'!BE32+AF32,SUM('Calculations II'!AT32:BA32)+'Calculations II'!BC32+Sheet1!BU32+'Calculations II'!BE32+AF32)</f>
        <v>45.241408000000007</v>
      </c>
      <c r="DZ32" s="712">
        <f>Sheet1!AA32+Sheet1!AB32+'Calculations II'!BC32</f>
        <v>45.849999999998545</v>
      </c>
      <c r="EA32" s="712"/>
      <c r="EB32" s="712"/>
      <c r="EC32" s="712">
        <f t="shared" si="203"/>
        <v>40561</v>
      </c>
      <c r="ED32" s="712">
        <f t="shared" si="204"/>
        <v>0</v>
      </c>
      <c r="EE32" s="712">
        <f t="shared" si="205"/>
        <v>0</v>
      </c>
      <c r="EF32" s="712">
        <f>-(VLOOKUP(Sheet1!BQ32,Lookup!$B$4:$J$236,2)-VLOOKUP(Sheet1!BQ31,Lookup!$B$4:$J$236,2))/1000000</f>
        <v>0</v>
      </c>
      <c r="EG32" s="712">
        <f>-(VLOOKUP(Sheet1!BR32,Lookup!$B$4:$J$236,3)-VLOOKUP(Sheet1!BR31,Lookup!$B$4:$J$236,3))/1000000</f>
        <v>0.27</v>
      </c>
      <c r="EH32" s="712">
        <f>-(VLOOKUP(Sheet1!BS32,Lookup!$B$4:$J$236,4)-VLOOKUP(Sheet1!BS31,Lookup!$B$4:$J$236,4))/1000000</f>
        <v>0</v>
      </c>
      <c r="EI32" s="697">
        <f t="shared" si="88"/>
        <v>0.27</v>
      </c>
      <c r="EJ32" s="712"/>
      <c r="EK32" s="712"/>
      <c r="EL32" s="712"/>
      <c r="EM32" s="712"/>
      <c r="EN32" s="712"/>
      <c r="EO32" s="712"/>
      <c r="EP32" s="712"/>
      <c r="EQ32" s="712"/>
      <c r="ER32" s="697">
        <v>0</v>
      </c>
      <c r="ES32" s="712"/>
      <c r="ET32" s="794" t="e">
        <f t="shared" si="206"/>
        <v>#N/A</v>
      </c>
      <c r="EU32" s="794" t="e">
        <f t="shared" si="79"/>
        <v>#VALUE!</v>
      </c>
      <c r="EV32" s="795" t="e">
        <f t="shared" si="48"/>
        <v>#VALUE!</v>
      </c>
      <c r="EW32" s="796" t="s">
        <v>757</v>
      </c>
      <c r="EX32" s="796" t="s">
        <v>757</v>
      </c>
      <c r="EY32" s="794">
        <v>0</v>
      </c>
      <c r="EZ32" s="794" t="e">
        <v>#N/A</v>
      </c>
      <c r="FA32" s="712"/>
      <c r="FB32" s="712"/>
      <c r="FC32" s="712"/>
      <c r="FD32" s="712"/>
      <c r="FE32" s="712">
        <f>O32+Sheet1!CO32</f>
        <v>45.849999999998545</v>
      </c>
      <c r="FF32" s="712">
        <f>IF(Sheet1!AA32+AG32&lt;=Calculation!N32,AG32,Calculation!N32-Sheet1!AA32)</f>
        <v>17.099999999998545</v>
      </c>
      <c r="FG32" s="712">
        <f>(Sheet1!BP32+Sheet1!BO32)/694.4</f>
        <v>1.3044354838709677</v>
      </c>
      <c r="FH32" s="712"/>
      <c r="FI32" s="712"/>
      <c r="FJ32" s="712"/>
      <c r="FK32" s="712"/>
      <c r="FL32" s="714">
        <f t="shared" si="89"/>
        <v>40753</v>
      </c>
      <c r="FM32" s="714">
        <f t="shared" si="90"/>
        <v>40851</v>
      </c>
      <c r="FN32" s="712"/>
      <c r="FO32" s="712"/>
      <c r="FP32" s="712"/>
      <c r="FQ32" s="712"/>
      <c r="FR32" s="712"/>
      <c r="FS32" s="725">
        <f t="shared" si="91"/>
        <v>40603</v>
      </c>
      <c r="FT32" s="714">
        <f t="shared" si="92"/>
        <v>40709</v>
      </c>
      <c r="FU32" s="712">
        <f t="shared" si="93"/>
        <v>6518.9048239895692</v>
      </c>
      <c r="FV32" s="714">
        <f t="shared" si="94"/>
        <v>40722</v>
      </c>
      <c r="FW32" s="712">
        <f t="shared" si="95"/>
        <v>3259.4524119947846</v>
      </c>
      <c r="FX32" s="725">
        <f t="shared" si="96"/>
        <v>40851</v>
      </c>
      <c r="FZ32" s="697">
        <f t="shared" si="49"/>
        <v>0</v>
      </c>
      <c r="GA32" s="712" t="str">
        <f t="shared" si="207"/>
        <v/>
      </c>
      <c r="GB32" s="712">
        <f t="shared" si="208"/>
        <v>0</v>
      </c>
      <c r="GC32" s="712" t="str">
        <f t="shared" si="209"/>
        <v/>
      </c>
      <c r="GD32" s="712">
        <f>IF(GA32="P",Lookup!$M$12,IF(GA32="PP",Lookup!$M$13,IF(GA32="PPP",Lookup!$M$14,IF(GA32="T",Lookup!$M$15,IF(GA32="TP",Lookup!$M$16,IF(GA32="TPP",Lookup!$M$17,IF(GA32="TPPP",Lookup!$M$18,0)))))))*FZ32</f>
        <v>0</v>
      </c>
      <c r="GE32" s="712">
        <f t="shared" si="210"/>
        <v>0</v>
      </c>
      <c r="GF32" s="712">
        <f t="shared" si="211"/>
        <v>0</v>
      </c>
      <c r="GG32" s="712">
        <f t="shared" si="212"/>
        <v>0</v>
      </c>
      <c r="GH32" s="712"/>
      <c r="GI32" s="712">
        <f t="shared" si="213"/>
        <v>0</v>
      </c>
      <c r="GJ32" s="712" t="str">
        <f t="shared" si="214"/>
        <v/>
      </c>
      <c r="GK32" s="712">
        <f>IF(GA32="P",Lookup!$N$12,IF(GA32="PP",Lookup!$N$13,IF(GA32="PPP",Lookup!$N$14,IF(GA32="T",Lookup!$N$15,IF(GA32="TP",Lookup!$N$16,IF(GA32="TPP",Lookup!$N$17,IF(GA32="TPPP",Lookup!$N$18,0)))))))*FZ32</f>
        <v>0</v>
      </c>
      <c r="GL32" s="712">
        <f t="shared" si="215"/>
        <v>0</v>
      </c>
      <c r="GM32" s="712">
        <f t="shared" si="216"/>
        <v>0</v>
      </c>
      <c r="GN32" s="712">
        <f t="shared" si="217"/>
        <v>0</v>
      </c>
      <c r="GO32" s="712"/>
      <c r="GP32" s="712">
        <f t="shared" si="218"/>
        <v>0</v>
      </c>
      <c r="GQ32" s="712" t="str">
        <f t="shared" si="219"/>
        <v/>
      </c>
      <c r="GR32" s="712">
        <f>IF(GA32="P",Lookup!$N$12,IF(GA32="PP",Lookup!$N$13,IF(GA32="PPP",Lookup!$N$14,IF(GA32="T",Lookup!$N$15,IF(GA32="TP",Lookup!$N$16,IF(GA32="TPP",Lookup!$N$17,IF(GA32="TPPP",Lookup!$N$18,0)))))))*FZ32</f>
        <v>0</v>
      </c>
      <c r="GS32" s="697">
        <f t="shared" si="83"/>
        <v>0</v>
      </c>
      <c r="GT32" s="712">
        <f t="shared" si="220"/>
        <v>0</v>
      </c>
      <c r="GU32" s="712">
        <f t="shared" si="221"/>
        <v>0</v>
      </c>
      <c r="GV32" s="712"/>
      <c r="GW32" s="712">
        <f t="shared" si="222"/>
        <v>0</v>
      </c>
      <c r="GX32" s="712" t="str">
        <f t="shared" si="223"/>
        <v/>
      </c>
      <c r="GY32" s="712">
        <f>IF(GA32="P",Lookup!$N$12,IF(GA32="PP",Lookup!$N$13,IF(GA32="PPP",Lookup!$N$14,IF(GA32="T",Lookup!$N$15,IF(GA32="TP",Lookup!$N$16,IF(GA32="TPP",Lookup!$N$17,IF(GA32="TPPP",Lookup!$N$18,0)))))))*FZ32</f>
        <v>0</v>
      </c>
      <c r="GZ32" s="697">
        <f t="shared" si="85"/>
        <v>0</v>
      </c>
      <c r="HA32" s="712">
        <f t="shared" si="224"/>
        <v>0</v>
      </c>
      <c r="HB32" s="712">
        <f t="shared" si="225"/>
        <v>0</v>
      </c>
      <c r="HC32" s="712"/>
    </row>
    <row r="33" spans="1:211">
      <c r="A33" s="773" t="s">
        <v>6</v>
      </c>
      <c r="B33" s="708">
        <v>40562</v>
      </c>
      <c r="C33" s="719">
        <v>0.5</v>
      </c>
      <c r="D33" s="675">
        <f t="shared" si="65"/>
        <v>300</v>
      </c>
      <c r="E33" s="675">
        <f t="shared" si="66"/>
        <v>250</v>
      </c>
      <c r="F33" s="710">
        <v>250</v>
      </c>
      <c r="G33" s="712">
        <f>DH33+Sheet1!CV33</f>
        <v>4279.8608762642862</v>
      </c>
      <c r="H33" s="712">
        <f t="shared" si="158"/>
        <v>2499.5388704172346</v>
      </c>
      <c r="I33" s="711">
        <f>MAX(Sheet1!Z33-AJ33+(Sheet1!CW33-E33)*CFStoMGD,0)</f>
        <v>6605.3033333333296</v>
      </c>
      <c r="J33" s="720">
        <f>IF(AND(B33&gt;=Calculation!FS33,B33&lt;=Calculation!FT33),IF(Sheet1!CX33&gt;=Calculation!D33,64.64,0),MAX(Sheet1!Z33-AJ33+(Sheet1!CX33-D33)*CFStoMGD,0))</f>
        <v>4380.0713333333306</v>
      </c>
      <c r="K33" s="697">
        <f t="shared" si="67"/>
        <v>64.64</v>
      </c>
      <c r="L33" s="712">
        <f>Sheet1!AA33+Sheet1!AB33-Sheet1!L33+(Sheet1!CW33-F33)*CFStoMGD</f>
        <v>6610.7533333333286</v>
      </c>
      <c r="M33" s="712">
        <f t="shared" si="159"/>
        <v>2821.8321118255794</v>
      </c>
      <c r="N33" s="712">
        <f>IF(Sheet1!CW33&gt;=F33,MIN(73,MIN(MAX(L33,0),MAX(M33,0))),0)</f>
        <v>73</v>
      </c>
      <c r="O33" s="721">
        <f>Sheet1!AA33+Sheet1!AB33</f>
        <v>48.44999999999709</v>
      </c>
      <c r="P33" s="721">
        <f t="shared" si="160"/>
        <v>74.952149999995498</v>
      </c>
      <c r="Q33" s="712">
        <f>MIN(N33,Sheet1!AA33+AG33)</f>
        <v>48.44999999999709</v>
      </c>
      <c r="R33" s="712">
        <f t="shared" si="161"/>
        <v>0</v>
      </c>
      <c r="S33" s="721">
        <f>Sheet1!Y33*MGDtoCFS</f>
        <v>44.027619999999999</v>
      </c>
      <c r="T33" s="721">
        <f>Sheet1!Z33*MGDtoCFS</f>
        <v>26.31447</v>
      </c>
      <c r="U33" s="721">
        <f>Sheet1!AA33*MGDtoCFS</f>
        <v>44.321549999990992</v>
      </c>
      <c r="V33" s="721">
        <f>Sheet1!AB33*MGDtoCFS</f>
        <v>30.630600000004502</v>
      </c>
      <c r="W33" s="721">
        <f>Sheet1!L33*MGDtoCFS</f>
        <v>70.837130000001352</v>
      </c>
      <c r="X33" s="697">
        <f t="shared" si="68"/>
        <v>0</v>
      </c>
      <c r="Y33" s="712">
        <f t="shared" si="162"/>
        <v>0</v>
      </c>
      <c r="Z33" s="712">
        <f t="shared" si="163"/>
        <v>0</v>
      </c>
      <c r="AA33" s="712">
        <f t="shared" si="164"/>
        <v>0</v>
      </c>
      <c r="AB33" s="712">
        <f>(VLOOKUP(Sheet1!CY33,hhdcap_wcm,4)-(((VLOOKUP(Sheet1!CY33,hhdcap_wcm,3)-Sheet1!CY33)/(VLOOKUP(Sheet1!CY33,hhdcap_wcm,3)-VLOOKUP(Sheet1!CY33,hhdcap_wcm,1)))*(VLOOKUP(Sheet1!CY33,hhdcap_wcm,4)-VLOOKUP(Sheet1!CY33,hhdcap_wcm,2))))</f>
        <v>29442.000000073953</v>
      </c>
      <c r="AC33" s="712">
        <f t="shared" si="165"/>
        <v>-7174.0700000149809</v>
      </c>
      <c r="AD33" s="712">
        <f t="shared" si="70"/>
        <v>0</v>
      </c>
      <c r="AE33" s="712">
        <f t="shared" si="166"/>
        <v>0</v>
      </c>
      <c r="AF33" s="712">
        <f>Sheet1!BA33+Sheet1!BB33+Sheet1!BN33+BT33</f>
        <v>17</v>
      </c>
      <c r="AG33" s="712">
        <f t="shared" si="167"/>
        <v>19.80000000000291</v>
      </c>
      <c r="AH33" s="712">
        <f>Sheet1!BA33+BT33</f>
        <v>0</v>
      </c>
      <c r="AI33" s="712">
        <f>Sheet1!BA33+Sheet1!BB33+BT33</f>
        <v>0</v>
      </c>
      <c r="AJ33" s="712">
        <f>IF((Sheet1!AA33+AG33+AX33+AZ33+BQ33+BS33+CL33+CN33)&lt;=N33,AG33+AX33+AZ33+BQ33+BS33+CL33+CN33,N33-Sheet1!AA33)</f>
        <v>19.80000000000291</v>
      </c>
      <c r="AK33" s="712">
        <f>IF(DR33&lt;K33,0,MAX(Sheet1!AA33+AG33-15/36*K33-N33,Sheet1!ED33,0))</f>
        <v>0</v>
      </c>
      <c r="AL33" s="712">
        <f>IF(OR(B33&gt;=FT33,B33&lt;FS33),0,15/36*K33-MAX(0,64.6-(137.6-(Sheet1!AA33+Sheet1!AB33))))</f>
        <v>0</v>
      </c>
      <c r="AM33" s="712">
        <f>Sheet1!CX33-110</f>
        <v>6970.416666666667</v>
      </c>
      <c r="AN33" s="712">
        <f>Sheet1!CW33-265</f>
        <v>10207.916666666666</v>
      </c>
      <c r="AO33" s="712">
        <f t="shared" si="71"/>
        <v>24.55000000000291</v>
      </c>
      <c r="AP33" s="712">
        <f t="shared" si="72"/>
        <v>0</v>
      </c>
      <c r="AQ33" s="712">
        <f t="shared" si="168"/>
        <v>0</v>
      </c>
      <c r="AR33" s="712">
        <f t="shared" si="169"/>
        <v>0</v>
      </c>
      <c r="AS33" s="712"/>
      <c r="AT33" s="712">
        <f ca="1">IF(B33&gt;Summary!$A$1,#N/A,AR33*MGtoAF)</f>
        <v>0</v>
      </c>
      <c r="AU33" s="712">
        <f>Sheet1!BG33+Sheet1!BH33+Sheet1!BI33-BC33</f>
        <v>0</v>
      </c>
      <c r="AV33" s="712">
        <f t="shared" si="170"/>
        <v>0</v>
      </c>
      <c r="AW33" s="712">
        <f>IF(Sheet1!EL33="FM",BC33,0)</f>
        <v>0</v>
      </c>
      <c r="AX33" s="712">
        <f t="shared" si="171"/>
        <v>0</v>
      </c>
      <c r="AY33" s="712">
        <f>IF(Sheet1!EL33="OTHER",BC33,0)</f>
        <v>0</v>
      </c>
      <c r="AZ33" s="712">
        <f t="shared" si="172"/>
        <v>0</v>
      </c>
      <c r="BA33" s="712">
        <f t="shared" si="173"/>
        <v>0</v>
      </c>
      <c r="BB33" s="712">
        <f t="shared" si="174"/>
        <v>0</v>
      </c>
      <c r="BC33" s="712">
        <f>IF(OR(Sheet1!EL33="FM", Sheet1!EL33="OTHER"),SUM(Sheet1!BG33:'Sheet1'!BI33),0)</f>
        <v>0</v>
      </c>
      <c r="BD33" s="697">
        <f>IF(AND($B33&gt;=$FL33,$B33&lt;=$FM33),MAX(AV33,Sheet1!EE33,0),MAX(AV33-(7/36)*$K33,0))</f>
        <v>0</v>
      </c>
      <c r="BE33" s="712">
        <f t="shared" si="175"/>
        <v>0</v>
      </c>
      <c r="BF33" s="697">
        <f t="shared" si="73"/>
        <v>0</v>
      </c>
      <c r="BG33" s="697">
        <f>IF(AND($O33&gt;0,Sheet1!EI33=1),(1-($O33-Sheet1!$L33)/$O33)*BB33,0)</f>
        <v>0</v>
      </c>
      <c r="BH33" s="697">
        <f>IF(AND(Sheet1!$L33=0,Sheet1!$L32=0, Calculation!BA33&lt;Sheet1!$EE33-0.1,Sheet1!$EE33=Sheet1!$EE32,Sheet1!$EE33=Sheet1!$EE34),Sheet1!$EE33,BB33-BG33)</f>
        <v>0</v>
      </c>
      <c r="BI33" s="712"/>
      <c r="BJ33" s="712"/>
      <c r="BK33" s="712">
        <f t="shared" si="176"/>
        <v>0</v>
      </c>
      <c r="BL33" s="712"/>
      <c r="BM33" s="712">
        <f ca="1">IF(B33&gt;Summary!$A$1,#N/A,BK33*MGtoAF)</f>
        <v>0</v>
      </c>
      <c r="BN33" s="712">
        <f>Sheet1!BC33+Sheet1!BD33+Sheet1!BE33+Sheet1!BF33-BW33-BX33</f>
        <v>0</v>
      </c>
      <c r="BO33" s="712">
        <f t="shared" si="177"/>
        <v>0</v>
      </c>
      <c r="BP33" s="712">
        <f>IF(Sheet1!EM33="FM",BX33,0)</f>
        <v>0</v>
      </c>
      <c r="BQ33" s="712">
        <f t="shared" si="178"/>
        <v>0</v>
      </c>
      <c r="BR33" s="712">
        <f>IF(Sheet1!EM33="OTHER",BX33,0)</f>
        <v>0</v>
      </c>
      <c r="BS33" s="712">
        <f t="shared" si="179"/>
        <v>0</v>
      </c>
      <c r="BT33" s="712">
        <f t="shared" si="180"/>
        <v>0</v>
      </c>
      <c r="BU33" s="712">
        <f t="shared" si="181"/>
        <v>0</v>
      </c>
      <c r="BV33" s="712">
        <f t="shared" si="182"/>
        <v>0</v>
      </c>
      <c r="BW33" s="712">
        <f>IF(Sheet1!EM33="CWA",SUM(Sheet1!BC33:'Sheet1'!BF33),0)</f>
        <v>0</v>
      </c>
      <c r="BX33" s="712">
        <f>IF(OR(Sheet1!EM33="FM", Sheet1!EM33="OTHER"),SUM(Sheet1!BC33:'Sheet1'!BF33),0)</f>
        <v>0</v>
      </c>
      <c r="BY33" s="697">
        <f>IF(AND($B33&gt;=$FL33,$B33&lt;=$FM33),MAX(BV33,Sheet1!EF33,0),MAX(BV33-(7/36)*$K33,0))</f>
        <v>0</v>
      </c>
      <c r="BZ33" s="712">
        <f t="shared" si="183"/>
        <v>0</v>
      </c>
      <c r="CA33" s="697">
        <f t="shared" si="74"/>
        <v>0</v>
      </c>
      <c r="CB33" s="697">
        <f>IF(AND($O33&gt;0,Sheet1!EJ33=1),(1-($O33-Sheet1!$L33)/$O33)*BV33,0)</f>
        <v>0</v>
      </c>
      <c r="CC33" s="697">
        <f>IF(AND(Sheet1!$L33=0,Sheet1!$L32=0, Calculation!BU33&lt;Sheet1!EF33-0.1,Sheet1!EF33=Sheet1!EF32,Sheet1!EF33=Sheet1!EF34),Sheet1!EF33,BV33-CB33)</f>
        <v>0</v>
      </c>
      <c r="CD33" s="697"/>
      <c r="CE33" s="712"/>
      <c r="CF33" s="712">
        <f t="shared" si="184"/>
        <v>0</v>
      </c>
      <c r="CG33" s="712"/>
      <c r="CH33" s="712">
        <f ca="1">IF(B33&gt;Summary!$A$1,#N/A,CF33*MGtoAF)</f>
        <v>0</v>
      </c>
      <c r="CI33" s="712">
        <f>Sheet1!BK33+Sheet1!BL33+Sheet1!BM33-Sheet1!EN33-CQ33</f>
        <v>0</v>
      </c>
      <c r="CJ33" s="712">
        <f t="shared" si="185"/>
        <v>0</v>
      </c>
      <c r="CK33" s="712">
        <f>IF(Sheet1!EN33="FM",CQ33,0)</f>
        <v>0</v>
      </c>
      <c r="CL33" s="712">
        <f t="shared" si="186"/>
        <v>0</v>
      </c>
      <c r="CM33" s="712">
        <f>IF(Sheet1!EN33="OTHER",CQ33,0)</f>
        <v>0</v>
      </c>
      <c r="CN33" s="712">
        <f t="shared" si="187"/>
        <v>0</v>
      </c>
      <c r="CO33" s="712">
        <f t="shared" si="188"/>
        <v>0</v>
      </c>
      <c r="CP33" s="712">
        <f t="shared" si="189"/>
        <v>0</v>
      </c>
      <c r="CQ33" s="712">
        <f>IF(OR(Sheet1!EN33="FM", Sheet1!EN33="OTHER"),SUM(Sheet1!BK33:'Sheet1'!BM33),0)</f>
        <v>0</v>
      </c>
      <c r="CR33" s="697">
        <f>IF(AND($B33&gt;=$FL33,$B33&lt;=$FM33),MAX($CJ33,Sheet1!EG33,0),MAX($CJ33-(7/36)*$K33,0))</f>
        <v>0</v>
      </c>
      <c r="CS33" s="712">
        <f t="shared" si="190"/>
        <v>0</v>
      </c>
      <c r="CT33" s="697">
        <f t="shared" si="75"/>
        <v>0</v>
      </c>
      <c r="CU33" s="697">
        <f>IF(AND($O33&gt;0,Sheet1!EK33=1),(1-($O33-Sheet1!$L33)/$O33)*CP33,0)</f>
        <v>0</v>
      </c>
      <c r="CV33" s="697">
        <f>IF(AND(Sheet1!$L33=0,Sheet1!$L32=0, Calculation!CO33&lt;Sheet1!$EG33-0.1,Sheet1!$EG33=Sheet1!$EG32,Sheet1!$EG33=Sheet1!$EG34),Sheet1!$EG33,CP33-CU33)</f>
        <v>0</v>
      </c>
      <c r="CW33" s="697">
        <f t="shared" si="33"/>
        <v>0</v>
      </c>
      <c r="CX33" s="712">
        <f t="shared" si="87"/>
        <v>0</v>
      </c>
      <c r="CY33" s="712">
        <f t="shared" si="191"/>
        <v>0</v>
      </c>
      <c r="CZ33" s="712">
        <f t="shared" si="192"/>
        <v>0</v>
      </c>
      <c r="DA33" s="712">
        <f ca="1">IF(B33&gt;Summary!$A$1,#N/A,CY33*MGtoAF)</f>
        <v>0</v>
      </c>
      <c r="DB33" s="712">
        <f t="shared" si="193"/>
        <v>0</v>
      </c>
      <c r="DC33" s="712">
        <f t="shared" si="194"/>
        <v>17</v>
      </c>
      <c r="DD33" s="712">
        <f>Sheet1!AB33-DC33</f>
        <v>2.8000000000029104</v>
      </c>
      <c r="DE33" s="712">
        <f t="shared" si="195"/>
        <v>0.16470588235311237</v>
      </c>
      <c r="DF33" s="712">
        <f>(VLOOKUP(Sheet1!CY33,hhdcap_wcm,4)-(((VLOOKUP(Sheet1!CY33,hhdcap_wcm,3)-Sheet1!CY33)/(VLOOKUP(Sheet1!CY33,hhdcap_wcm,3)-VLOOKUP(Sheet1!CY33,hhdcap_wcm,1)))*(VLOOKUP(Sheet1!CY33,hhdcap_wcm,4)-VLOOKUP(Sheet1!CY33,hhdcap_wcm,2))))</f>
        <v>29442.000000073953</v>
      </c>
      <c r="DG33" s="712">
        <f t="shared" si="196"/>
        <v>-7174.0700000149809</v>
      </c>
      <c r="DH33" s="712">
        <f t="shared" si="197"/>
        <v>-3617.7861825592436</v>
      </c>
      <c r="DI33" s="712">
        <f>Sheet1!DW33*AFtoMG</f>
        <v>0</v>
      </c>
      <c r="DJ33" s="712">
        <f>Sheet1!DX33*AFtoMG</f>
        <v>0</v>
      </c>
      <c r="DK33" s="712">
        <f>Sheet1!DY33*AFtoMG</f>
        <v>0</v>
      </c>
      <c r="DL33" s="712">
        <f>Sheet1!DZ33*AFtoMG</f>
        <v>0</v>
      </c>
      <c r="DM33" s="712">
        <f t="shared" si="198"/>
        <v>0</v>
      </c>
      <c r="DN33" s="712">
        <f t="shared" si="199"/>
        <v>0</v>
      </c>
      <c r="DO33" s="712">
        <f t="shared" si="200"/>
        <v>0</v>
      </c>
      <c r="DP33" s="712">
        <f t="shared" si="201"/>
        <v>0</v>
      </c>
      <c r="DQ33" s="712"/>
      <c r="DR33" s="697">
        <f>IF(OR(B33&lt;FL33,B33&gt;FM33),(MIN(AV33+BO33+CJ33+MAX(Sheet1!AA33+AG33-73,0),K33)),0)</f>
        <v>0</v>
      </c>
      <c r="DS33" s="712"/>
      <c r="DT33" s="712">
        <f t="shared" si="202"/>
        <v>0</v>
      </c>
      <c r="DU33" s="712"/>
      <c r="DV33" s="712">
        <f>Sheet1!ED33+Sheet1!EE33+Sheet1!EF33+Sheet1!EG33</f>
        <v>9.5</v>
      </c>
      <c r="DW33" s="712"/>
      <c r="DX33" s="697">
        <f t="shared" si="77"/>
        <v>0</v>
      </c>
      <c r="DY33" s="712">
        <f>IF(Sheet1!FN33=1,SUM('Calculations II'!AT33:BA33)+'Calculations II'!BC33+Sheet1!BU33+'Calculations II'!BE33+AF33,SUM('Calculations II'!AT33:BA33)+'Calculations II'!BC33+Sheet1!BU33+'Calculations II'!BE33+AF33)</f>
        <v>45.851312</v>
      </c>
      <c r="DZ33" s="712">
        <f>Sheet1!AA33+Sheet1!AB33+'Calculations II'!BC33</f>
        <v>48.44999999999709</v>
      </c>
      <c r="EA33" s="712"/>
      <c r="EB33" s="712"/>
      <c r="EC33" s="712">
        <f t="shared" si="203"/>
        <v>40562</v>
      </c>
      <c r="ED33" s="712">
        <f t="shared" si="204"/>
        <v>0</v>
      </c>
      <c r="EE33" s="712">
        <f t="shared" si="205"/>
        <v>0</v>
      </c>
      <c r="EF33" s="712">
        <f>-(VLOOKUP(Sheet1!BQ33,Lookup!$B$4:$J$236,2)-VLOOKUP(Sheet1!BQ32,Lookup!$B$4:$J$236,2))/1000000</f>
        <v>0.8115</v>
      </c>
      <c r="EG33" s="712">
        <f>-(VLOOKUP(Sheet1!BR33,Lookup!$B$4:$J$236,3)-VLOOKUP(Sheet1!BR32,Lookup!$B$4:$J$236,3))/1000000</f>
        <v>0.54</v>
      </c>
      <c r="EH33" s="712">
        <f>-(VLOOKUP(Sheet1!BS33,Lookup!$B$4:$J$236,4)-VLOOKUP(Sheet1!BS32,Lookup!$B$4:$J$236,4))/1000000</f>
        <v>0</v>
      </c>
      <c r="EI33" s="697">
        <f t="shared" si="88"/>
        <v>1.3515000000000001</v>
      </c>
      <c r="EJ33" s="712"/>
      <c r="EK33" s="712"/>
      <c r="EL33" s="712"/>
      <c r="EM33" s="712"/>
      <c r="EN33" s="712"/>
      <c r="EO33" s="712"/>
      <c r="EP33" s="712"/>
      <c r="EQ33" s="712"/>
      <c r="ER33" s="697">
        <v>0</v>
      </c>
      <c r="ES33" s="712"/>
      <c r="ET33" s="794" t="e">
        <f t="shared" si="206"/>
        <v>#N/A</v>
      </c>
      <c r="EU33" s="794" t="e">
        <f t="shared" si="79"/>
        <v>#VALUE!</v>
      </c>
      <c r="EV33" s="795" t="e">
        <f t="shared" si="48"/>
        <v>#VALUE!</v>
      </c>
      <c r="EW33" s="796" t="s">
        <v>757</v>
      </c>
      <c r="EX33" s="796" t="s">
        <v>757</v>
      </c>
      <c r="EY33" s="794">
        <v>0</v>
      </c>
      <c r="EZ33" s="794" t="e">
        <v>#N/A</v>
      </c>
      <c r="FA33" s="712"/>
      <c r="FB33" s="712"/>
      <c r="FC33" s="712"/>
      <c r="FD33" s="712"/>
      <c r="FE33" s="712">
        <f>O33+Sheet1!CO33</f>
        <v>48.44999999999709</v>
      </c>
      <c r="FF33" s="712">
        <f>IF(Sheet1!AA33+AG33&lt;=Calculation!N33,AG33,Calculation!N33-Sheet1!AA33)</f>
        <v>19.80000000000291</v>
      </c>
      <c r="FG33" s="712">
        <f>(Sheet1!BP33+Sheet1!BO33)/694.4</f>
        <v>2.1408410138248848</v>
      </c>
      <c r="FH33" s="712"/>
      <c r="FI33" s="712"/>
      <c r="FJ33" s="712"/>
      <c r="FK33" s="712"/>
      <c r="FL33" s="714">
        <f t="shared" si="89"/>
        <v>40753</v>
      </c>
      <c r="FM33" s="714">
        <f t="shared" si="90"/>
        <v>40851</v>
      </c>
      <c r="FN33" s="712"/>
      <c r="FO33" s="712"/>
      <c r="FP33" s="712"/>
      <c r="FQ33" s="712"/>
      <c r="FR33" s="712"/>
      <c r="FS33" s="725">
        <f t="shared" si="91"/>
        <v>40603</v>
      </c>
      <c r="FT33" s="714">
        <f t="shared" si="92"/>
        <v>40709</v>
      </c>
      <c r="FU33" s="712">
        <f t="shared" si="93"/>
        <v>6518.9048239895692</v>
      </c>
      <c r="FV33" s="714">
        <f t="shared" si="94"/>
        <v>40722</v>
      </c>
      <c r="FW33" s="712">
        <f t="shared" si="95"/>
        <v>3259.4524119947846</v>
      </c>
      <c r="FX33" s="725">
        <f t="shared" si="96"/>
        <v>40851</v>
      </c>
      <c r="FZ33" s="697">
        <f t="shared" si="49"/>
        <v>0</v>
      </c>
      <c r="GA33" s="712" t="str">
        <f t="shared" si="207"/>
        <v/>
      </c>
      <c r="GB33" s="712">
        <f t="shared" si="208"/>
        <v>0</v>
      </c>
      <c r="GC33" s="712" t="str">
        <f t="shared" si="209"/>
        <v/>
      </c>
      <c r="GD33" s="712">
        <f>IF(GA33="P",Lookup!$M$12,IF(GA33="PP",Lookup!$M$13,IF(GA33="PPP",Lookup!$M$14,IF(GA33="T",Lookup!$M$15,IF(GA33="TP",Lookup!$M$16,IF(GA33="TPP",Lookup!$M$17,IF(GA33="TPPP",Lookup!$M$18,0)))))))*FZ33</f>
        <v>0</v>
      </c>
      <c r="GE33" s="712">
        <f t="shared" si="210"/>
        <v>0</v>
      </c>
      <c r="GF33" s="712">
        <f t="shared" si="211"/>
        <v>0</v>
      </c>
      <c r="GG33" s="712">
        <f t="shared" si="212"/>
        <v>0</v>
      </c>
      <c r="GH33" s="712"/>
      <c r="GI33" s="712">
        <f t="shared" si="213"/>
        <v>0</v>
      </c>
      <c r="GJ33" s="712" t="str">
        <f t="shared" si="214"/>
        <v/>
      </c>
      <c r="GK33" s="712">
        <f>IF(GA33="P",Lookup!$N$12,IF(GA33="PP",Lookup!$N$13,IF(GA33="PPP",Lookup!$N$14,IF(GA33="T",Lookup!$N$15,IF(GA33="TP",Lookup!$N$16,IF(GA33="TPP",Lookup!$N$17,IF(GA33="TPPP",Lookup!$N$18,0)))))))*FZ33</f>
        <v>0</v>
      </c>
      <c r="GL33" s="712">
        <f t="shared" si="215"/>
        <v>0</v>
      </c>
      <c r="GM33" s="712">
        <f t="shared" si="216"/>
        <v>0</v>
      </c>
      <c r="GN33" s="712">
        <f t="shared" si="217"/>
        <v>0</v>
      </c>
      <c r="GO33" s="712"/>
      <c r="GP33" s="712">
        <f t="shared" si="218"/>
        <v>0</v>
      </c>
      <c r="GQ33" s="712" t="str">
        <f t="shared" si="219"/>
        <v/>
      </c>
      <c r="GR33" s="712">
        <f>IF(GA33="P",Lookup!$N$12,IF(GA33="PP",Lookup!$N$13,IF(GA33="PPP",Lookup!$N$14,IF(GA33="T",Lookup!$N$15,IF(GA33="TP",Lookup!$N$16,IF(GA33="TPP",Lookup!$N$17,IF(GA33="TPPP",Lookup!$N$18,0)))))))*FZ33</f>
        <v>0</v>
      </c>
      <c r="GS33" s="697">
        <f t="shared" si="83"/>
        <v>0</v>
      </c>
      <c r="GT33" s="712">
        <f t="shared" si="220"/>
        <v>0</v>
      </c>
      <c r="GU33" s="712">
        <f t="shared" si="221"/>
        <v>0</v>
      </c>
      <c r="GV33" s="712"/>
      <c r="GW33" s="712">
        <f t="shared" si="222"/>
        <v>0</v>
      </c>
      <c r="GX33" s="712" t="str">
        <f t="shared" si="223"/>
        <v/>
      </c>
      <c r="GY33" s="712">
        <f>IF(GA33="P",Lookup!$N$12,IF(GA33="PP",Lookup!$N$13,IF(GA33="PPP",Lookup!$N$14,IF(GA33="T",Lookup!$N$15,IF(GA33="TP",Lookup!$N$16,IF(GA33="TPP",Lookup!$N$17,IF(GA33="TPPP",Lookup!$N$18,0)))))))*FZ33</f>
        <v>0</v>
      </c>
      <c r="GZ33" s="697">
        <f t="shared" si="85"/>
        <v>0</v>
      </c>
      <c r="HA33" s="712">
        <f t="shared" si="224"/>
        <v>0</v>
      </c>
      <c r="HB33" s="712">
        <f t="shared" si="225"/>
        <v>0</v>
      </c>
      <c r="HC33" s="712"/>
    </row>
    <row r="34" spans="1:211">
      <c r="A34" s="773" t="s">
        <v>7</v>
      </c>
      <c r="B34" s="708">
        <v>40563</v>
      </c>
      <c r="C34" s="709">
        <v>0.5</v>
      </c>
      <c r="D34" s="675">
        <f t="shared" si="65"/>
        <v>300</v>
      </c>
      <c r="E34" s="675">
        <f t="shared" si="66"/>
        <v>250</v>
      </c>
      <c r="F34" s="675">
        <v>250</v>
      </c>
      <c r="G34" s="712">
        <f>DH34+Sheet1!CV34</f>
        <v>3312.5795734218718</v>
      </c>
      <c r="H34" s="712">
        <f t="shared" si="158"/>
        <v>1874.288236259898</v>
      </c>
      <c r="I34" s="711">
        <f>MAX(Sheet1!Z34-AJ34+(Sheet1!CW34-E34)*CFStoMGD,0)</f>
        <v>5821.1286666666711</v>
      </c>
      <c r="J34" s="720">
        <f>IF(AND(B34&gt;=Calculation!FS34,B34&lt;=Calculation!FT34),IF(Sheet1!CX34&gt;=Calculation!D34,64.64,0),MAX(Sheet1!Z34-AJ34+(Sheet1!CX34-D34)*CFStoMGD,0))</f>
        <v>3942.663333333338</v>
      </c>
      <c r="K34" s="697">
        <f t="shared" si="67"/>
        <v>64.64</v>
      </c>
      <c r="L34" s="712">
        <f>Sheet1!AA34+Sheet1!AB34-Sheet1!L34+(Sheet1!CW34-F34)*CFStoMGD</f>
        <v>5816.938666666666</v>
      </c>
      <c r="M34" s="712">
        <f t="shared" si="159"/>
        <v>2184.0764649850962</v>
      </c>
      <c r="N34" s="712">
        <f>IF(Sheet1!CW34&gt;=F34,MIN(73,MIN(MAX(L34,0),MAX(M34,0))),0)</f>
        <v>73</v>
      </c>
      <c r="O34" s="721">
        <f>Sheet1!AA34+Sheet1!AB34</f>
        <v>43.099999999998545</v>
      </c>
      <c r="P34" s="721">
        <f t="shared" si="160"/>
        <v>66.675699999997747</v>
      </c>
      <c r="Q34" s="712">
        <f>MIN(N34,Sheet1!AA34+AG34)</f>
        <v>43.099999999998545</v>
      </c>
      <c r="R34" s="712">
        <f t="shared" si="161"/>
        <v>0</v>
      </c>
      <c r="S34" s="721">
        <f>Sheet1!Y34*MGDtoCFS</f>
        <v>45.002229999999997</v>
      </c>
      <c r="T34" s="721">
        <f>Sheet1!Z34*MGDtoCFS</f>
        <v>25.18516</v>
      </c>
      <c r="U34" s="721">
        <f>Sheet1!AA34*MGDtoCFS</f>
        <v>44.553600000004501</v>
      </c>
      <c r="V34" s="721">
        <f>Sheet1!AB34*MGDtoCFS</f>
        <v>22.122099999993246</v>
      </c>
      <c r="W34" s="721">
        <f>Sheet1!L34*MGDtoCFS</f>
        <v>70.094569999999209</v>
      </c>
      <c r="X34" s="697">
        <f t="shared" si="68"/>
        <v>0</v>
      </c>
      <c r="Y34" s="712">
        <f t="shared" si="162"/>
        <v>0</v>
      </c>
      <c r="Z34" s="712">
        <f t="shared" si="163"/>
        <v>0</v>
      </c>
      <c r="AA34" s="712">
        <f t="shared" si="164"/>
        <v>0</v>
      </c>
      <c r="AB34" s="712">
        <f>(VLOOKUP(Sheet1!CY34,hhdcap_wcm,4)-(((VLOOKUP(Sheet1!CY34,hhdcap_wcm,3)-Sheet1!CY34)/(VLOOKUP(Sheet1!CY34,hhdcap_wcm,3)-VLOOKUP(Sheet1!CY34,hhdcap_wcm,1)))*(VLOOKUP(Sheet1!CY34,hhdcap_wcm,4)-VLOOKUP(Sheet1!CY34,hhdcap_wcm,2))))</f>
        <v>21903.550000051877</v>
      </c>
      <c r="AC34" s="712">
        <f t="shared" si="165"/>
        <v>-7538.450000022076</v>
      </c>
      <c r="AD34" s="712">
        <f t="shared" si="70"/>
        <v>0</v>
      </c>
      <c r="AE34" s="712">
        <f t="shared" si="166"/>
        <v>0</v>
      </c>
      <c r="AF34" s="712">
        <f>Sheet1!BA34+Sheet1!BB34+Sheet1!BN34+BT34</f>
        <v>17</v>
      </c>
      <c r="AG34" s="712">
        <f t="shared" si="167"/>
        <v>14.299999999995634</v>
      </c>
      <c r="AH34" s="712">
        <f>Sheet1!BA34+BT34</f>
        <v>0</v>
      </c>
      <c r="AI34" s="712">
        <f>Sheet1!BA34+Sheet1!BB34+BT34</f>
        <v>0</v>
      </c>
      <c r="AJ34" s="712">
        <f>IF((Sheet1!AA34+AG34+AX34+AZ34+BQ34+BS34+CL34+CN34)&lt;=N34,AG34+AX34+AZ34+BQ34+BS34+CL34+CN34,N34-Sheet1!AA34)</f>
        <v>14.299999999995634</v>
      </c>
      <c r="AK34" s="712">
        <f>IF(DR34&lt;K34,0,MAX(Sheet1!AA34+AG34-15/36*K34-N34,Sheet1!ED34,0))</f>
        <v>0</v>
      </c>
      <c r="AL34" s="712">
        <f>IF(OR(B34&gt;=FT34,B34&lt;FS34),0,15/36*K34-MAX(0,64.6-(137.6-(Sheet1!AA34+Sheet1!AB34))))</f>
        <v>0</v>
      </c>
      <c r="AM34" s="712">
        <f>Sheet1!CX34-110</f>
        <v>6286.354166666667</v>
      </c>
      <c r="AN34" s="712">
        <f>Sheet1!CW34-265</f>
        <v>8987.3958333333339</v>
      </c>
      <c r="AO34" s="712">
        <f t="shared" si="71"/>
        <v>29.900000000001455</v>
      </c>
      <c r="AP34" s="712">
        <f t="shared" si="72"/>
        <v>0</v>
      </c>
      <c r="AQ34" s="712">
        <f t="shared" si="168"/>
        <v>0</v>
      </c>
      <c r="AR34" s="712">
        <f t="shared" si="169"/>
        <v>0</v>
      </c>
      <c r="AS34" s="712"/>
      <c r="AT34" s="712">
        <f ca="1">IF(B34&gt;Summary!$A$1,#N/A,AR34*MGtoAF)</f>
        <v>0</v>
      </c>
      <c r="AU34" s="712">
        <f>Sheet1!BG34+Sheet1!BH34+Sheet1!BI34-BC34</f>
        <v>0</v>
      </c>
      <c r="AV34" s="712">
        <f t="shared" si="170"/>
        <v>0</v>
      </c>
      <c r="AW34" s="712">
        <f>IF(Sheet1!EL34="FM",BC34,0)</f>
        <v>0</v>
      </c>
      <c r="AX34" s="712">
        <f t="shared" si="171"/>
        <v>0</v>
      </c>
      <c r="AY34" s="712">
        <f>IF(Sheet1!EL34="OTHER",BC34,0)</f>
        <v>0</v>
      </c>
      <c r="AZ34" s="712">
        <f t="shared" si="172"/>
        <v>0</v>
      </c>
      <c r="BA34" s="712">
        <f t="shared" si="173"/>
        <v>0</v>
      </c>
      <c r="BB34" s="712">
        <f t="shared" si="174"/>
        <v>0</v>
      </c>
      <c r="BC34" s="712">
        <f>IF(OR(Sheet1!EL34="FM", Sheet1!EL34="OTHER"),SUM(Sheet1!BG34:'Sheet1'!BI34),0)</f>
        <v>0</v>
      </c>
      <c r="BD34" s="697">
        <f>IF(AND($B34&gt;=$FL34,$B34&lt;=$FM34),MAX(AV34,Sheet1!EE34,0),MAX(AV34-(7/36)*$K34,0))</f>
        <v>0</v>
      </c>
      <c r="BE34" s="712">
        <f t="shared" si="175"/>
        <v>0</v>
      </c>
      <c r="BF34" s="697">
        <f t="shared" si="73"/>
        <v>0</v>
      </c>
      <c r="BG34" s="697">
        <f>IF(AND($O34&gt;0,Sheet1!EI34=1),(1-($O34-Sheet1!$L34)/$O34)*BB34,0)</f>
        <v>0</v>
      </c>
      <c r="BH34" s="697">
        <f>IF(AND(Sheet1!$L34=0,Sheet1!$L33=0, Calculation!BA34&lt;Sheet1!$EE34-0.1,Sheet1!$EE34=Sheet1!$EE33,Sheet1!$EE34=Sheet1!$EE35),Sheet1!$EE34,BB34-BG34)</f>
        <v>0</v>
      </c>
      <c r="BI34" s="712"/>
      <c r="BJ34" s="712"/>
      <c r="BK34" s="712">
        <f t="shared" si="176"/>
        <v>0</v>
      </c>
      <c r="BL34" s="712"/>
      <c r="BM34" s="712">
        <f ca="1">IF(B34&gt;Summary!$A$1,#N/A,BK34*MGtoAF)</f>
        <v>0</v>
      </c>
      <c r="BN34" s="712">
        <f>Sheet1!BC34+Sheet1!BD34+Sheet1!BE34+Sheet1!BF34-BW34-BX34</f>
        <v>0</v>
      </c>
      <c r="BO34" s="712">
        <f t="shared" si="177"/>
        <v>0</v>
      </c>
      <c r="BP34" s="712">
        <f>IF(Sheet1!EM34="FM",BX34,0)</f>
        <v>0</v>
      </c>
      <c r="BQ34" s="712">
        <f t="shared" si="178"/>
        <v>0</v>
      </c>
      <c r="BR34" s="712">
        <f>IF(Sheet1!EM34="OTHER",BX34,0)</f>
        <v>0</v>
      </c>
      <c r="BS34" s="712">
        <f t="shared" si="179"/>
        <v>0</v>
      </c>
      <c r="BT34" s="712">
        <f t="shared" si="180"/>
        <v>0</v>
      </c>
      <c r="BU34" s="712">
        <f t="shared" si="181"/>
        <v>0</v>
      </c>
      <c r="BV34" s="712">
        <f t="shared" si="182"/>
        <v>0</v>
      </c>
      <c r="BW34" s="712">
        <f>IF(Sheet1!EM34="CWA",SUM(Sheet1!BC34:'Sheet1'!BF34),0)</f>
        <v>0</v>
      </c>
      <c r="BX34" s="712">
        <f>IF(OR(Sheet1!EM34="FM", Sheet1!EM34="OTHER"),SUM(Sheet1!BC34:'Sheet1'!BF34),0)</f>
        <v>0</v>
      </c>
      <c r="BY34" s="697">
        <f>IF(AND($B34&gt;=$FL34,$B34&lt;=$FM34),MAX(BV34,Sheet1!EF34,0),MAX(BV34-(7/36)*$K34,0))</f>
        <v>0</v>
      </c>
      <c r="BZ34" s="712">
        <f t="shared" si="183"/>
        <v>0</v>
      </c>
      <c r="CA34" s="697">
        <f t="shared" si="74"/>
        <v>0</v>
      </c>
      <c r="CB34" s="697">
        <f>IF(AND($O34&gt;0,Sheet1!EJ34=1),(1-($O34-Sheet1!$L34)/$O34)*BV34,0)</f>
        <v>0</v>
      </c>
      <c r="CC34" s="697">
        <f>IF(AND(Sheet1!$L34=0,Sheet1!$L33=0, Calculation!BU34&lt;Sheet1!EF34-0.1,Sheet1!EF34=Sheet1!EF33,Sheet1!EF34=Sheet1!EF35),Sheet1!EF34,BV34-CB34)</f>
        <v>0</v>
      </c>
      <c r="CD34" s="697"/>
      <c r="CE34" s="712"/>
      <c r="CF34" s="712">
        <f t="shared" si="184"/>
        <v>0</v>
      </c>
      <c r="CG34" s="712"/>
      <c r="CH34" s="712">
        <f ca="1">IF(B34&gt;Summary!$A$1,#N/A,CF34*MGtoAF)</f>
        <v>0</v>
      </c>
      <c r="CI34" s="712">
        <f>Sheet1!BK34+Sheet1!BL34+Sheet1!BM34-Sheet1!EN34-CQ34</f>
        <v>0</v>
      </c>
      <c r="CJ34" s="712">
        <f t="shared" si="185"/>
        <v>0</v>
      </c>
      <c r="CK34" s="712">
        <f>IF(Sheet1!EN34="FM",CQ34,0)</f>
        <v>0</v>
      </c>
      <c r="CL34" s="712">
        <f t="shared" si="186"/>
        <v>0</v>
      </c>
      <c r="CM34" s="712">
        <f>IF(Sheet1!EN34="OTHER",CQ34,0)</f>
        <v>0</v>
      </c>
      <c r="CN34" s="712">
        <f t="shared" si="187"/>
        <v>0</v>
      </c>
      <c r="CO34" s="712">
        <f t="shared" si="188"/>
        <v>0</v>
      </c>
      <c r="CP34" s="712">
        <f t="shared" si="189"/>
        <v>0</v>
      </c>
      <c r="CQ34" s="712">
        <f>IF(OR(Sheet1!EN34="FM", Sheet1!EN34="OTHER"),SUM(Sheet1!BK34:'Sheet1'!BM34),0)</f>
        <v>0</v>
      </c>
      <c r="CR34" s="697">
        <f>IF(AND($B34&gt;=$FL34,$B34&lt;=$FM34),MAX($CJ34,Sheet1!EG34,0),MAX($CJ34-(7/36)*$K34,0))</f>
        <v>0</v>
      </c>
      <c r="CS34" s="712">
        <f t="shared" si="190"/>
        <v>0</v>
      </c>
      <c r="CT34" s="697">
        <f t="shared" si="75"/>
        <v>0</v>
      </c>
      <c r="CU34" s="697">
        <f>IF(AND($O34&gt;0,Sheet1!EK34=1),(1-($O34-Sheet1!$L34)/$O34)*CP34,0)</f>
        <v>0</v>
      </c>
      <c r="CV34" s="697">
        <f>IF(AND(Sheet1!$L34=0,Sheet1!$L33=0, Calculation!CO34&lt;Sheet1!$EG34-0.1,Sheet1!$EG34=Sheet1!$EG33,Sheet1!$EG34=Sheet1!$EG35),Sheet1!$EG34,CP34-CU34)</f>
        <v>0</v>
      </c>
      <c r="CW34" s="697">
        <f t="shared" si="33"/>
        <v>0</v>
      </c>
      <c r="CX34" s="712">
        <f t="shared" si="87"/>
        <v>0</v>
      </c>
      <c r="CY34" s="712">
        <f t="shared" si="191"/>
        <v>0</v>
      </c>
      <c r="CZ34" s="712">
        <f t="shared" si="192"/>
        <v>0</v>
      </c>
      <c r="DA34" s="712">
        <f ca="1">IF(B34&gt;Summary!$A$1,#N/A,CY34*MGtoAF)</f>
        <v>0</v>
      </c>
      <c r="DB34" s="712">
        <f t="shared" si="193"/>
        <v>0</v>
      </c>
      <c r="DC34" s="712">
        <f t="shared" si="194"/>
        <v>17</v>
      </c>
      <c r="DD34" s="712">
        <f>Sheet1!AB34-DC34</f>
        <v>-2.7000000000043656</v>
      </c>
      <c r="DE34" s="712">
        <f t="shared" si="195"/>
        <v>-0.15882352941202149</v>
      </c>
      <c r="DF34" s="712">
        <f>(VLOOKUP(Sheet1!CY34,hhdcap_wcm,4)-(((VLOOKUP(Sheet1!CY34,hhdcap_wcm,3)-Sheet1!CY34)/(VLOOKUP(Sheet1!CY34,hhdcap_wcm,3)-VLOOKUP(Sheet1!CY34,hhdcap_wcm,1)))*(VLOOKUP(Sheet1!CY34,hhdcap_wcm,4)-VLOOKUP(Sheet1!CY34,hhdcap_wcm,2))))</f>
        <v>21903.550000051877</v>
      </c>
      <c r="DG34" s="712">
        <f t="shared" si="196"/>
        <v>-7538.450000022076</v>
      </c>
      <c r="DH34" s="712">
        <f t="shared" si="197"/>
        <v>-3801.5380736369516</v>
      </c>
      <c r="DI34" s="712">
        <f>Sheet1!DW34*AFtoMG</f>
        <v>0</v>
      </c>
      <c r="DJ34" s="712">
        <f>Sheet1!DX34*AFtoMG</f>
        <v>0</v>
      </c>
      <c r="DK34" s="712">
        <f>Sheet1!DY34*AFtoMG</f>
        <v>0</v>
      </c>
      <c r="DL34" s="712">
        <f>Sheet1!DZ34*AFtoMG</f>
        <v>0</v>
      </c>
      <c r="DM34" s="712">
        <f t="shared" si="198"/>
        <v>0</v>
      </c>
      <c r="DN34" s="712">
        <f t="shared" si="199"/>
        <v>0</v>
      </c>
      <c r="DO34" s="712">
        <f t="shared" si="200"/>
        <v>0</v>
      </c>
      <c r="DP34" s="712">
        <f t="shared" si="201"/>
        <v>0</v>
      </c>
      <c r="DQ34" s="712"/>
      <c r="DR34" s="697">
        <f>IF(OR(B34&lt;FL34,B34&gt;FM34),(MIN(AV34+BO34+CJ34+MAX(Sheet1!AA34+AG34-73,0),K34)),0)</f>
        <v>0</v>
      </c>
      <c r="DS34" s="712"/>
      <c r="DT34" s="712">
        <f t="shared" si="202"/>
        <v>0</v>
      </c>
      <c r="DU34" s="712"/>
      <c r="DV34" s="712">
        <f>Sheet1!ED34+Sheet1!EE34+Sheet1!EF34+Sheet1!EG34</f>
        <v>9.5</v>
      </c>
      <c r="DW34" s="712"/>
      <c r="DX34" s="697">
        <f t="shared" si="77"/>
        <v>0</v>
      </c>
      <c r="DY34" s="712">
        <f>IF(Sheet1!FN34=1,SUM('Calculations II'!AT34:BA34)+'Calculations II'!BC34+Sheet1!BU34+'Calculations II'!BE34+AF34,SUM('Calculations II'!AT34:BA34)+'Calculations II'!BC34+Sheet1!BU34+'Calculations II'!BE34+AF34)</f>
        <v>44.651151999999996</v>
      </c>
      <c r="DZ34" s="712">
        <f>Sheet1!AA34+Sheet1!AB34+'Calculations II'!BC34</f>
        <v>43.099999999998545</v>
      </c>
      <c r="EA34" s="712"/>
      <c r="EB34" s="712"/>
      <c r="EC34" s="712">
        <f t="shared" si="203"/>
        <v>40563</v>
      </c>
      <c r="ED34" s="712">
        <f t="shared" si="204"/>
        <v>0</v>
      </c>
      <c r="EE34" s="712">
        <f t="shared" si="205"/>
        <v>0</v>
      </c>
      <c r="EF34" s="712">
        <f>-(VLOOKUP(Sheet1!BQ34,Lookup!$B$4:$J$236,2)-VLOOKUP(Sheet1!BQ33,Lookup!$B$4:$J$236,2))/1000000</f>
        <v>-0.27050000000000002</v>
      </c>
      <c r="EG34" s="712">
        <f>-(VLOOKUP(Sheet1!BR34,Lookup!$B$4:$J$236,3)-VLOOKUP(Sheet1!BR33,Lookup!$B$4:$J$236,3))/1000000</f>
        <v>0</v>
      </c>
      <c r="EH34" s="712">
        <f>-(VLOOKUP(Sheet1!BS34,Lookup!$B$4:$J$236,4)-VLOOKUP(Sheet1!BS33,Lookup!$B$4:$J$236,4))/1000000</f>
        <v>0</v>
      </c>
      <c r="EI34" s="697">
        <f t="shared" si="88"/>
        <v>-0.27050000000000002</v>
      </c>
      <c r="EJ34" s="712"/>
      <c r="EK34" s="712"/>
      <c r="EL34" s="712"/>
      <c r="EM34" s="712"/>
      <c r="EN34" s="712"/>
      <c r="EO34" s="712"/>
      <c r="EP34" s="712"/>
      <c r="EQ34" s="712"/>
      <c r="ER34" s="697">
        <v>0</v>
      </c>
      <c r="ES34" s="712"/>
      <c r="ET34" s="794" t="e">
        <f t="shared" si="206"/>
        <v>#N/A</v>
      </c>
      <c r="EU34" s="794" t="e">
        <f t="shared" si="79"/>
        <v>#VALUE!</v>
      </c>
      <c r="EV34" s="795" t="e">
        <f t="shared" si="48"/>
        <v>#VALUE!</v>
      </c>
      <c r="EW34" s="796" t="s">
        <v>757</v>
      </c>
      <c r="EX34" s="796" t="s">
        <v>757</v>
      </c>
      <c r="EY34" s="794">
        <v>0</v>
      </c>
      <c r="EZ34" s="794" t="e">
        <v>#N/A</v>
      </c>
      <c r="FA34" s="712"/>
      <c r="FB34" s="712"/>
      <c r="FC34" s="712"/>
      <c r="FD34" s="712"/>
      <c r="FE34" s="712">
        <f>O34+Sheet1!CO34</f>
        <v>43.099999999998545</v>
      </c>
      <c r="FF34" s="712">
        <f>IF(Sheet1!AA34+AG34&lt;=Calculation!N34,AG34,Calculation!N34-Sheet1!AA34)</f>
        <v>14.299999999995634</v>
      </c>
      <c r="FG34" s="712">
        <f>(Sheet1!BP34+Sheet1!BO34)/694.4</f>
        <v>1.7258064516129035</v>
      </c>
      <c r="FH34" s="712"/>
      <c r="FI34" s="712"/>
      <c r="FJ34" s="712"/>
      <c r="FK34" s="712"/>
      <c r="FL34" s="714">
        <f t="shared" si="89"/>
        <v>40753</v>
      </c>
      <c r="FM34" s="714">
        <f t="shared" si="90"/>
        <v>40851</v>
      </c>
      <c r="FN34" s="712"/>
      <c r="FO34" s="712"/>
      <c r="FP34" s="712"/>
      <c r="FQ34" s="712"/>
      <c r="FR34" s="712"/>
      <c r="FS34" s="725">
        <f t="shared" si="91"/>
        <v>40603</v>
      </c>
      <c r="FT34" s="714">
        <f t="shared" si="92"/>
        <v>40709</v>
      </c>
      <c r="FU34" s="712">
        <f t="shared" si="93"/>
        <v>6518.9048239895692</v>
      </c>
      <c r="FV34" s="714">
        <f t="shared" si="94"/>
        <v>40722</v>
      </c>
      <c r="FW34" s="712">
        <f t="shared" si="95"/>
        <v>3259.4524119947846</v>
      </c>
      <c r="FX34" s="725">
        <f t="shared" si="96"/>
        <v>40851</v>
      </c>
      <c r="FZ34" s="697">
        <f t="shared" si="49"/>
        <v>0</v>
      </c>
      <c r="GA34" s="712" t="str">
        <f t="shared" si="207"/>
        <v/>
      </c>
      <c r="GB34" s="712">
        <f t="shared" si="208"/>
        <v>0</v>
      </c>
      <c r="GC34" s="712" t="str">
        <f t="shared" si="209"/>
        <v/>
      </c>
      <c r="GD34" s="712">
        <f>IF(GA34="P",Lookup!$M$12,IF(GA34="PP",Lookup!$M$13,IF(GA34="PPP",Lookup!$M$14,IF(GA34="T",Lookup!$M$15,IF(GA34="TP",Lookup!$M$16,IF(GA34="TPP",Lookup!$M$17,IF(GA34="TPPP",Lookup!$M$18,0)))))))*FZ34</f>
        <v>0</v>
      </c>
      <c r="GE34" s="712">
        <f t="shared" si="210"/>
        <v>0</v>
      </c>
      <c r="GF34" s="712">
        <f t="shared" si="211"/>
        <v>0</v>
      </c>
      <c r="GG34" s="712">
        <f t="shared" si="212"/>
        <v>0</v>
      </c>
      <c r="GH34" s="712"/>
      <c r="GI34" s="712">
        <f t="shared" si="213"/>
        <v>0</v>
      </c>
      <c r="GJ34" s="712" t="str">
        <f t="shared" si="214"/>
        <v/>
      </c>
      <c r="GK34" s="712">
        <f>IF(GA34="P",Lookup!$N$12,IF(GA34="PP",Lookup!$N$13,IF(GA34="PPP",Lookup!$N$14,IF(GA34="T",Lookup!$N$15,IF(GA34="TP",Lookup!$N$16,IF(GA34="TPP",Lookup!$N$17,IF(GA34="TPPP",Lookup!$N$18,0)))))))*FZ34</f>
        <v>0</v>
      </c>
      <c r="GL34" s="712">
        <f t="shared" si="215"/>
        <v>0</v>
      </c>
      <c r="GM34" s="712">
        <f t="shared" si="216"/>
        <v>0</v>
      </c>
      <c r="GN34" s="712">
        <f t="shared" si="217"/>
        <v>0</v>
      </c>
      <c r="GO34" s="712"/>
      <c r="GP34" s="712">
        <f t="shared" si="218"/>
        <v>0</v>
      </c>
      <c r="GQ34" s="712" t="str">
        <f t="shared" si="219"/>
        <v/>
      </c>
      <c r="GR34" s="712">
        <f>IF(GA34="P",Lookup!$N$12,IF(GA34="PP",Lookup!$N$13,IF(GA34="PPP",Lookup!$N$14,IF(GA34="T",Lookup!$N$15,IF(GA34="TP",Lookup!$N$16,IF(GA34="TPP",Lookup!$N$17,IF(GA34="TPPP",Lookup!$N$18,0)))))))*FZ34</f>
        <v>0</v>
      </c>
      <c r="GS34" s="697">
        <f t="shared" si="83"/>
        <v>0</v>
      </c>
      <c r="GT34" s="712">
        <f t="shared" si="220"/>
        <v>0</v>
      </c>
      <c r="GU34" s="712">
        <f t="shared" si="221"/>
        <v>0</v>
      </c>
      <c r="GV34" s="712"/>
      <c r="GW34" s="712">
        <f t="shared" si="222"/>
        <v>0</v>
      </c>
      <c r="GX34" s="712" t="str">
        <f t="shared" si="223"/>
        <v/>
      </c>
      <c r="GY34" s="712">
        <f>IF(GA34="P",Lookup!$N$12,IF(GA34="PP",Lookup!$N$13,IF(GA34="PPP",Lookup!$N$14,IF(GA34="T",Lookup!$N$15,IF(GA34="TP",Lookup!$N$16,IF(GA34="TPP",Lookup!$N$17,IF(GA34="TPPP",Lookup!$N$18,0)))))))*FZ34</f>
        <v>0</v>
      </c>
      <c r="GZ34" s="697">
        <f t="shared" si="85"/>
        <v>0</v>
      </c>
      <c r="HA34" s="712">
        <f t="shared" si="224"/>
        <v>0</v>
      </c>
      <c r="HB34" s="712">
        <f t="shared" si="225"/>
        <v>0</v>
      </c>
      <c r="HC34" s="712"/>
    </row>
    <row r="35" spans="1:211">
      <c r="A35" s="773" t="s">
        <v>8</v>
      </c>
      <c r="B35" s="708">
        <v>40564</v>
      </c>
      <c r="C35" s="719">
        <v>0.5</v>
      </c>
      <c r="D35" s="675">
        <f t="shared" si="65"/>
        <v>300</v>
      </c>
      <c r="E35" s="675">
        <f t="shared" si="66"/>
        <v>250</v>
      </c>
      <c r="F35" s="710">
        <v>250</v>
      </c>
      <c r="G35" s="712">
        <f>DH35+Sheet1!CV35</f>
        <v>4107.9769214732942</v>
      </c>
      <c r="H35" s="712">
        <f t="shared" si="158"/>
        <v>2388.4330820403375</v>
      </c>
      <c r="I35" s="711">
        <f>MAX(Sheet1!Z35-AJ35+(Sheet1!CW35-E35)*CFStoMGD,0)</f>
        <v>5298.2806666666647</v>
      </c>
      <c r="J35" s="720">
        <f>IF(AND(B35&gt;=Calculation!FS35,B35&lt;=Calculation!FT35),IF(Sheet1!CX35&gt;=Calculation!D35,64.64,0),MAX(Sheet1!Z35-AJ35+(Sheet1!CX35-D35)*CFStoMGD,0))</f>
        <v>3638.0426666666644</v>
      </c>
      <c r="K35" s="697">
        <f t="shared" si="67"/>
        <v>64.64</v>
      </c>
      <c r="L35" s="712">
        <f>Sheet1!AA35+Sheet1!AB35-Sheet1!L35+(Sheet1!CW35-F35)*CFStoMGD</f>
        <v>5298.2506666666732</v>
      </c>
      <c r="M35" s="712">
        <f t="shared" si="159"/>
        <v>2708.5042076811442</v>
      </c>
      <c r="N35" s="712">
        <f>IF(Sheet1!CW35&gt;=F35,MIN(73,MIN(MAX(L35,0),MAX(M35,0))),0)</f>
        <v>73</v>
      </c>
      <c r="O35" s="721">
        <f>Sheet1!AA35+Sheet1!AB35</f>
        <v>45.500000000007276</v>
      </c>
      <c r="P35" s="721">
        <f t="shared" si="160"/>
        <v>70.388500000011248</v>
      </c>
      <c r="Q35" s="712">
        <f>MIN(N35,Sheet1!AA35+AG35)</f>
        <v>45.500000000007276</v>
      </c>
      <c r="R35" s="712">
        <f t="shared" si="161"/>
        <v>0</v>
      </c>
      <c r="S35" s="721">
        <f>Sheet1!Y35*MGDtoCFS</f>
        <v>44.909410000000001</v>
      </c>
      <c r="T35" s="721">
        <f>Sheet1!Z35*MGDtoCFS</f>
        <v>26.283529999999995</v>
      </c>
      <c r="U35" s="721">
        <f>Sheet1!AA35*MGDtoCFS</f>
        <v>44.244200000009002</v>
      </c>
      <c r="V35" s="721">
        <f>Sheet1!AB35*MGDtoCFS</f>
        <v>26.14430000000225</v>
      </c>
      <c r="W35" s="721">
        <f>Sheet1!L35*MGDtoCFS</f>
        <v>70.295680000000786</v>
      </c>
      <c r="X35" s="697">
        <f t="shared" si="68"/>
        <v>0</v>
      </c>
      <c r="Y35" s="712">
        <f t="shared" si="162"/>
        <v>0</v>
      </c>
      <c r="Z35" s="712">
        <f t="shared" si="163"/>
        <v>0</v>
      </c>
      <c r="AA35" s="712">
        <f t="shared" si="164"/>
        <v>0</v>
      </c>
      <c r="AB35" s="712">
        <f>(VLOOKUP(Sheet1!CY35,hhdcap_wcm,4)-(((VLOOKUP(Sheet1!CY35,hhdcap_wcm,3)-Sheet1!CY35)/(VLOOKUP(Sheet1!CY35,hhdcap_wcm,3)-VLOOKUP(Sheet1!CY35,hhdcap_wcm,1)))*(VLOOKUP(Sheet1!CY35,hhdcap_wcm,4)-VLOOKUP(Sheet1!CY35,hhdcap_wcm,2))))</f>
        <v>18081.680000039301</v>
      </c>
      <c r="AC35" s="712">
        <f t="shared" si="165"/>
        <v>-3821.8700000125755</v>
      </c>
      <c r="AD35" s="712">
        <f t="shared" si="70"/>
        <v>0</v>
      </c>
      <c r="AE35" s="712">
        <f t="shared" si="166"/>
        <v>0</v>
      </c>
      <c r="AF35" s="712">
        <f>Sheet1!BA35+Sheet1!BB35+Sheet1!BN35+BT35</f>
        <v>17</v>
      </c>
      <c r="AG35" s="712">
        <f t="shared" si="167"/>
        <v>16.900000000001455</v>
      </c>
      <c r="AH35" s="712">
        <f>Sheet1!BA35+BT35</f>
        <v>0</v>
      </c>
      <c r="AI35" s="712">
        <f>Sheet1!BA35+Sheet1!BB35+BT35</f>
        <v>0</v>
      </c>
      <c r="AJ35" s="712">
        <f>IF((Sheet1!AA35+AG35+AX35+AZ35+BQ35+BS35+CL35+CN35)&lt;=N35,AG35+AX35+AZ35+BQ35+BS35+CL35+CN35,N35-Sheet1!AA35)</f>
        <v>16.900000000001455</v>
      </c>
      <c r="AK35" s="712">
        <f>IF(DR35&lt;K35,0,MAX(Sheet1!AA35+AG35-15/36*K35-N35,Sheet1!ED35,0))</f>
        <v>0</v>
      </c>
      <c r="AL35" s="712">
        <f>IF(OR(B35&gt;=FT35,B35&lt;FS35),0,15/36*K35-MAX(0,64.6-(137.6-(Sheet1!AA35+Sheet1!AB35))))</f>
        <v>0</v>
      </c>
      <c r="AM35" s="712">
        <f>Sheet1!CX35-110</f>
        <v>5818.020833333333</v>
      </c>
      <c r="AN35" s="712">
        <f>Sheet1!CW35-265</f>
        <v>8181.4583333333339</v>
      </c>
      <c r="AO35" s="712">
        <f t="shared" si="71"/>
        <v>27.499999999992724</v>
      </c>
      <c r="AP35" s="712">
        <f t="shared" si="72"/>
        <v>0</v>
      </c>
      <c r="AQ35" s="712">
        <f t="shared" si="168"/>
        <v>0</v>
      </c>
      <c r="AR35" s="712">
        <f t="shared" si="169"/>
        <v>0</v>
      </c>
      <c r="AS35" s="712"/>
      <c r="AT35" s="712">
        <f ca="1">IF(B35&gt;Summary!$A$1,#N/A,AR35*MGtoAF)</f>
        <v>0</v>
      </c>
      <c r="AU35" s="712">
        <f>Sheet1!BG35+Sheet1!BH35+Sheet1!BI35-BC35</f>
        <v>0</v>
      </c>
      <c r="AV35" s="712">
        <f t="shared" si="170"/>
        <v>0</v>
      </c>
      <c r="AW35" s="712">
        <f>IF(Sheet1!EL35="FM",BC35,0)</f>
        <v>0</v>
      </c>
      <c r="AX35" s="712">
        <f t="shared" si="171"/>
        <v>0</v>
      </c>
      <c r="AY35" s="712">
        <f>IF(Sheet1!EL35="OTHER",BC35,0)</f>
        <v>0</v>
      </c>
      <c r="AZ35" s="712">
        <f t="shared" si="172"/>
        <v>0</v>
      </c>
      <c r="BA35" s="712">
        <f t="shared" si="173"/>
        <v>0</v>
      </c>
      <c r="BB35" s="712">
        <f t="shared" si="174"/>
        <v>0</v>
      </c>
      <c r="BC35" s="712">
        <f>IF(OR(Sheet1!EL35="FM", Sheet1!EL35="OTHER"),SUM(Sheet1!BG35:'Sheet1'!BI35),0)</f>
        <v>0</v>
      </c>
      <c r="BD35" s="697">
        <f>IF(AND($B35&gt;=$FL35,$B35&lt;=$FM35),MAX(AV35,Sheet1!EE35,0),MAX(AV35-(7/36)*$K35,0))</f>
        <v>0</v>
      </c>
      <c r="BE35" s="712">
        <f t="shared" si="175"/>
        <v>0</v>
      </c>
      <c r="BF35" s="697">
        <f t="shared" si="73"/>
        <v>0</v>
      </c>
      <c r="BG35" s="697">
        <f>IF(AND($O35&gt;0,Sheet1!EI35=1),(1-($O35-Sheet1!$L35)/$O35)*BB35,0)</f>
        <v>0</v>
      </c>
      <c r="BH35" s="697">
        <f>IF(AND(Sheet1!$L35=0,Sheet1!$L34=0, Calculation!BA35&lt;Sheet1!$EE35-0.1,Sheet1!$EE35=Sheet1!$EE34,Sheet1!$EE35=Sheet1!$EE36),Sheet1!$EE35,BB35-BG35)</f>
        <v>0</v>
      </c>
      <c r="BI35" s="712"/>
      <c r="BJ35" s="712"/>
      <c r="BK35" s="712">
        <f t="shared" si="176"/>
        <v>0</v>
      </c>
      <c r="BL35" s="712"/>
      <c r="BM35" s="712">
        <f ca="1">IF(B35&gt;Summary!$A$1,#N/A,BK35*MGtoAF)</f>
        <v>0</v>
      </c>
      <c r="BN35" s="712">
        <f>Sheet1!BC35+Sheet1!BD35+Sheet1!BE35+Sheet1!BF35-BW35-BX35</f>
        <v>0</v>
      </c>
      <c r="BO35" s="712">
        <f t="shared" si="177"/>
        <v>0</v>
      </c>
      <c r="BP35" s="712">
        <f>IF(Sheet1!EM35="FM",BX35,0)</f>
        <v>0</v>
      </c>
      <c r="BQ35" s="712">
        <f t="shared" si="178"/>
        <v>0</v>
      </c>
      <c r="BR35" s="712">
        <f>IF(Sheet1!EM35="OTHER",BX35,0)</f>
        <v>0</v>
      </c>
      <c r="BS35" s="712">
        <f t="shared" si="179"/>
        <v>0</v>
      </c>
      <c r="BT35" s="712">
        <f t="shared" si="180"/>
        <v>0</v>
      </c>
      <c r="BU35" s="712">
        <f t="shared" si="181"/>
        <v>0</v>
      </c>
      <c r="BV35" s="712">
        <f t="shared" si="182"/>
        <v>0</v>
      </c>
      <c r="BW35" s="712">
        <f>IF(Sheet1!EM35="CWA",SUM(Sheet1!BC35:'Sheet1'!BF35),0)</f>
        <v>0</v>
      </c>
      <c r="BX35" s="712">
        <f>IF(OR(Sheet1!EM35="FM", Sheet1!EM35="OTHER"),SUM(Sheet1!BC35:'Sheet1'!BF35),0)</f>
        <v>0</v>
      </c>
      <c r="BY35" s="697">
        <f>IF(AND($B35&gt;=$FL35,$B35&lt;=$FM35),MAX(BV35,Sheet1!EF35,0),MAX(BV35-(7/36)*$K35,0))</f>
        <v>0</v>
      </c>
      <c r="BZ35" s="712">
        <f t="shared" si="183"/>
        <v>0</v>
      </c>
      <c r="CA35" s="697">
        <f t="shared" si="74"/>
        <v>0</v>
      </c>
      <c r="CB35" s="697">
        <f>IF(AND($O35&gt;0,Sheet1!EJ35=1),(1-($O35-Sheet1!$L35)/$O35)*BV35,0)</f>
        <v>0</v>
      </c>
      <c r="CC35" s="697">
        <f>IF(AND(Sheet1!$L35=0,Sheet1!$L34=0, Calculation!BU35&lt;Sheet1!EF35-0.1,Sheet1!EF35=Sheet1!EF34,Sheet1!EF35=Sheet1!EF36),Sheet1!EF35,BV35-CB35)</f>
        <v>0</v>
      </c>
      <c r="CD35" s="697"/>
      <c r="CE35" s="712"/>
      <c r="CF35" s="712">
        <f t="shared" si="184"/>
        <v>0</v>
      </c>
      <c r="CG35" s="712"/>
      <c r="CH35" s="712">
        <f ca="1">IF(B35&gt;Summary!$A$1,#N/A,CF35*MGtoAF)</f>
        <v>0</v>
      </c>
      <c r="CI35" s="712">
        <f>Sheet1!BK35+Sheet1!BL35+Sheet1!BM35-Sheet1!EN35-CQ35</f>
        <v>0</v>
      </c>
      <c r="CJ35" s="712">
        <f t="shared" si="185"/>
        <v>0</v>
      </c>
      <c r="CK35" s="712">
        <f>IF(Sheet1!EN35="FM",CQ35,0)</f>
        <v>0</v>
      </c>
      <c r="CL35" s="712">
        <f t="shared" si="186"/>
        <v>0</v>
      </c>
      <c r="CM35" s="712">
        <f>IF(Sheet1!EN35="OTHER",CQ35,0)</f>
        <v>0</v>
      </c>
      <c r="CN35" s="712">
        <f t="shared" si="187"/>
        <v>0</v>
      </c>
      <c r="CO35" s="712">
        <f t="shared" si="188"/>
        <v>0</v>
      </c>
      <c r="CP35" s="712">
        <f t="shared" si="189"/>
        <v>0</v>
      </c>
      <c r="CQ35" s="712">
        <f>IF(OR(Sheet1!EN35="FM", Sheet1!EN35="OTHER"),SUM(Sheet1!BK35:'Sheet1'!BM35),0)</f>
        <v>0</v>
      </c>
      <c r="CR35" s="697">
        <f>IF(AND($B35&gt;=$FL35,$B35&lt;=$FM35),MAX($CJ35,Sheet1!EG35,0),MAX($CJ35-(7/36)*$K35,0))</f>
        <v>0</v>
      </c>
      <c r="CS35" s="712">
        <f t="shared" si="190"/>
        <v>0</v>
      </c>
      <c r="CT35" s="697">
        <f t="shared" si="75"/>
        <v>0</v>
      </c>
      <c r="CU35" s="697">
        <f>IF(AND($O35&gt;0,Sheet1!EK35=1),(1-($O35-Sheet1!$L35)/$O35)*CP35,0)</f>
        <v>0</v>
      </c>
      <c r="CV35" s="697">
        <f>IF(AND(Sheet1!$L35=0,Sheet1!$L34=0, Calculation!CO35&lt;Sheet1!$EG35-0.1,Sheet1!$EG35=Sheet1!$EG34,Sheet1!$EG35=Sheet1!$EG36),Sheet1!$EG35,CP35-CU35)</f>
        <v>0</v>
      </c>
      <c r="CW35" s="697">
        <f t="shared" si="33"/>
        <v>0</v>
      </c>
      <c r="CX35" s="712">
        <f t="shared" si="87"/>
        <v>0</v>
      </c>
      <c r="CY35" s="712">
        <f t="shared" si="191"/>
        <v>0</v>
      </c>
      <c r="CZ35" s="712">
        <f t="shared" si="192"/>
        <v>0</v>
      </c>
      <c r="DA35" s="712">
        <f ca="1">IF(B35&gt;Summary!$A$1,#N/A,CY35*MGtoAF)</f>
        <v>0</v>
      </c>
      <c r="DB35" s="712">
        <f t="shared" si="193"/>
        <v>0</v>
      </c>
      <c r="DC35" s="712">
        <f t="shared" si="194"/>
        <v>17</v>
      </c>
      <c r="DD35" s="712">
        <f>Sheet1!AB35-DC35</f>
        <v>-9.9999999998544808E-2</v>
      </c>
      <c r="DE35" s="712">
        <f t="shared" si="195"/>
        <v>-5.8823529410908714E-3</v>
      </c>
      <c r="DF35" s="712">
        <f>(VLOOKUP(Sheet1!CY35,hhdcap_wcm,4)-(((VLOOKUP(Sheet1!CY35,hhdcap_wcm,3)-Sheet1!CY35)/(VLOOKUP(Sheet1!CY35,hhdcap_wcm,3)-VLOOKUP(Sheet1!CY35,hhdcap_wcm,1)))*(VLOOKUP(Sheet1!CY35,hhdcap_wcm,4)-VLOOKUP(Sheet1!CY35,hhdcap_wcm,2))))</f>
        <v>18081.680000039301</v>
      </c>
      <c r="DG35" s="712">
        <f t="shared" si="196"/>
        <v>-3821.8700000125755</v>
      </c>
      <c r="DH35" s="712">
        <f t="shared" si="197"/>
        <v>-1927.3171961737644</v>
      </c>
      <c r="DI35" s="712">
        <f>Sheet1!DW35*AFtoMG</f>
        <v>0</v>
      </c>
      <c r="DJ35" s="712">
        <f>Sheet1!DX35*AFtoMG</f>
        <v>0</v>
      </c>
      <c r="DK35" s="712">
        <f>Sheet1!DY35*AFtoMG</f>
        <v>0</v>
      </c>
      <c r="DL35" s="712">
        <f>Sheet1!DZ35*AFtoMG</f>
        <v>0</v>
      </c>
      <c r="DM35" s="712">
        <f t="shared" si="198"/>
        <v>0</v>
      </c>
      <c r="DN35" s="712">
        <f t="shared" si="199"/>
        <v>0</v>
      </c>
      <c r="DO35" s="712">
        <f t="shared" si="200"/>
        <v>0</v>
      </c>
      <c r="DP35" s="712">
        <f t="shared" si="201"/>
        <v>0</v>
      </c>
      <c r="DQ35" s="712"/>
      <c r="DR35" s="697">
        <f>IF(OR(B35&lt;FL35,B35&gt;FM35),(MIN(AV35+BO35+CJ35+MAX(Sheet1!AA35+AG35-73,0),K35)),0)</f>
        <v>0</v>
      </c>
      <c r="DS35" s="712"/>
      <c r="DT35" s="712">
        <f t="shared" si="202"/>
        <v>0</v>
      </c>
      <c r="DU35" s="712"/>
      <c r="DV35" s="712">
        <f>Sheet1!ED35+Sheet1!EE35+Sheet1!EF35+Sheet1!EG35</f>
        <v>9.5</v>
      </c>
      <c r="DW35" s="712"/>
      <c r="DX35" s="697">
        <f t="shared" si="77"/>
        <v>0</v>
      </c>
      <c r="DY35" s="712">
        <f>IF(Sheet1!FN35=1,SUM('Calculations II'!AT35:BA35)+'Calculations II'!BC35+Sheet1!BU35+'Calculations II'!BE35+AF35,SUM('Calculations II'!AT35:BA35)+'Calculations II'!BC35+Sheet1!BU35+'Calculations II'!BE35+AF35)</f>
        <v>43.139040000000001</v>
      </c>
      <c r="DZ35" s="712">
        <f>Sheet1!AA35+Sheet1!AB35+'Calculations II'!BC35</f>
        <v>45.500000000007276</v>
      </c>
      <c r="EA35" s="712"/>
      <c r="EB35" s="712"/>
      <c r="EC35" s="712">
        <f t="shared" si="203"/>
        <v>40564</v>
      </c>
      <c r="ED35" s="712">
        <f t="shared" si="204"/>
        <v>0</v>
      </c>
      <c r="EE35" s="712">
        <f t="shared" si="205"/>
        <v>0</v>
      </c>
      <c r="EF35" s="712">
        <f>-(VLOOKUP(Sheet1!BQ35,Lookup!$B$4:$J$236,2)-VLOOKUP(Sheet1!BQ34,Lookup!$B$4:$J$236,2))/1000000</f>
        <v>-0.54100000000000004</v>
      </c>
      <c r="EG35" s="712">
        <f>-(VLOOKUP(Sheet1!BR35,Lookup!$B$4:$J$236,3)-VLOOKUP(Sheet1!BR34,Lookup!$B$4:$J$236,3))/1000000</f>
        <v>-0.81</v>
      </c>
      <c r="EH35" s="712">
        <f>-(VLOOKUP(Sheet1!BS35,Lookup!$B$4:$J$236,4)-VLOOKUP(Sheet1!BS34,Lookup!$B$4:$J$236,4))/1000000</f>
        <v>0</v>
      </c>
      <c r="EI35" s="697">
        <f t="shared" si="88"/>
        <v>-1.351</v>
      </c>
      <c r="EJ35" s="712"/>
      <c r="EK35" s="712"/>
      <c r="EL35" s="712"/>
      <c r="EM35" s="712"/>
      <c r="EN35" s="712"/>
      <c r="EO35" s="712"/>
      <c r="EP35" s="712"/>
      <c r="EQ35" s="712"/>
      <c r="ER35" s="697">
        <v>0</v>
      </c>
      <c r="ES35" s="712"/>
      <c r="ET35" s="794" t="e">
        <f t="shared" si="206"/>
        <v>#N/A</v>
      </c>
      <c r="EU35" s="794" t="e">
        <f t="shared" si="79"/>
        <v>#VALUE!</v>
      </c>
      <c r="EV35" s="795" t="e">
        <f t="shared" si="48"/>
        <v>#VALUE!</v>
      </c>
      <c r="EW35" s="796" t="s">
        <v>757</v>
      </c>
      <c r="EX35" s="796" t="s">
        <v>757</v>
      </c>
      <c r="EY35" s="794">
        <v>0</v>
      </c>
      <c r="EZ35" s="794" t="e">
        <v>#N/A</v>
      </c>
      <c r="FA35" s="712"/>
      <c r="FB35" s="712"/>
      <c r="FC35" s="712"/>
      <c r="FD35" s="712"/>
      <c r="FE35" s="712">
        <f>O35+Sheet1!CO35</f>
        <v>45.500000000007276</v>
      </c>
      <c r="FF35" s="712">
        <f>IF(Sheet1!AA35+AG35&lt;=Calculation!N35,AG35,Calculation!N35-Sheet1!AA35)</f>
        <v>16.900000000001455</v>
      </c>
      <c r="FG35" s="712">
        <f>(Sheet1!BP35+Sheet1!BO35)/694.4</f>
        <v>1.3326612903225807</v>
      </c>
      <c r="FH35" s="712"/>
      <c r="FI35" s="712"/>
      <c r="FJ35" s="712"/>
      <c r="FK35" s="712"/>
      <c r="FL35" s="714">
        <f t="shared" si="89"/>
        <v>40753</v>
      </c>
      <c r="FM35" s="714">
        <f t="shared" si="90"/>
        <v>40851</v>
      </c>
      <c r="FN35" s="712"/>
      <c r="FO35" s="712"/>
      <c r="FP35" s="712"/>
      <c r="FQ35" s="712"/>
      <c r="FR35" s="712"/>
      <c r="FS35" s="725">
        <f t="shared" si="91"/>
        <v>40603</v>
      </c>
      <c r="FT35" s="714">
        <f t="shared" si="92"/>
        <v>40709</v>
      </c>
      <c r="FU35" s="712">
        <f t="shared" si="93"/>
        <v>6518.9048239895692</v>
      </c>
      <c r="FV35" s="714">
        <f t="shared" si="94"/>
        <v>40722</v>
      </c>
      <c r="FW35" s="712">
        <f t="shared" si="95"/>
        <v>3259.4524119947846</v>
      </c>
      <c r="FX35" s="725">
        <f t="shared" si="96"/>
        <v>40851</v>
      </c>
      <c r="FZ35" s="697">
        <f t="shared" si="49"/>
        <v>0</v>
      </c>
      <c r="GA35" s="712" t="str">
        <f t="shared" si="207"/>
        <v/>
      </c>
      <c r="GB35" s="712">
        <f t="shared" si="208"/>
        <v>0</v>
      </c>
      <c r="GC35" s="712" t="str">
        <f t="shared" si="209"/>
        <v/>
      </c>
      <c r="GD35" s="712">
        <f>IF(GA35="P",Lookup!$M$12,IF(GA35="PP",Lookup!$M$13,IF(GA35="PPP",Lookup!$M$14,IF(GA35="T",Lookup!$M$15,IF(GA35="TP",Lookup!$M$16,IF(GA35="TPP",Lookup!$M$17,IF(GA35="TPPP",Lookup!$M$18,0)))))))*FZ35</f>
        <v>0</v>
      </c>
      <c r="GE35" s="712">
        <f t="shared" si="210"/>
        <v>0</v>
      </c>
      <c r="GF35" s="712">
        <f t="shared" si="211"/>
        <v>0</v>
      </c>
      <c r="GG35" s="712">
        <f t="shared" si="212"/>
        <v>0</v>
      </c>
      <c r="GH35" s="712"/>
      <c r="GI35" s="712">
        <f t="shared" si="213"/>
        <v>0</v>
      </c>
      <c r="GJ35" s="712" t="str">
        <f t="shared" si="214"/>
        <v/>
      </c>
      <c r="GK35" s="712">
        <f>IF(GA35="P",Lookup!$N$12,IF(GA35="PP",Lookup!$N$13,IF(GA35="PPP",Lookup!$N$14,IF(GA35="T",Lookup!$N$15,IF(GA35="TP",Lookup!$N$16,IF(GA35="TPP",Lookup!$N$17,IF(GA35="TPPP",Lookup!$N$18,0)))))))*FZ35</f>
        <v>0</v>
      </c>
      <c r="GL35" s="712">
        <f t="shared" si="215"/>
        <v>0</v>
      </c>
      <c r="GM35" s="712">
        <f t="shared" si="216"/>
        <v>0</v>
      </c>
      <c r="GN35" s="712">
        <f t="shared" si="217"/>
        <v>0</v>
      </c>
      <c r="GO35" s="712"/>
      <c r="GP35" s="712">
        <f t="shared" si="218"/>
        <v>0</v>
      </c>
      <c r="GQ35" s="712" t="str">
        <f t="shared" si="219"/>
        <v/>
      </c>
      <c r="GR35" s="712">
        <f>IF(GA35="P",Lookup!$N$12,IF(GA35="PP",Lookup!$N$13,IF(GA35="PPP",Lookup!$N$14,IF(GA35="T",Lookup!$N$15,IF(GA35="TP",Lookup!$N$16,IF(GA35="TPP",Lookup!$N$17,IF(GA35="TPPP",Lookup!$N$18,0)))))))*FZ35</f>
        <v>0</v>
      </c>
      <c r="GS35" s="697">
        <f t="shared" si="83"/>
        <v>0</v>
      </c>
      <c r="GT35" s="712">
        <f t="shared" si="220"/>
        <v>0</v>
      </c>
      <c r="GU35" s="712">
        <f t="shared" si="221"/>
        <v>0</v>
      </c>
      <c r="GV35" s="712"/>
      <c r="GW35" s="712">
        <f t="shared" si="222"/>
        <v>0</v>
      </c>
      <c r="GX35" s="712" t="str">
        <f t="shared" si="223"/>
        <v/>
      </c>
      <c r="GY35" s="712">
        <f>IF(GA35="P",Lookup!$N$12,IF(GA35="PP",Lookup!$N$13,IF(GA35="PPP",Lookup!$N$14,IF(GA35="T",Lookup!$N$15,IF(GA35="TP",Lookup!$N$16,IF(GA35="TPP",Lookup!$N$17,IF(GA35="TPPP",Lookup!$N$18,0)))))))*FZ35</f>
        <v>0</v>
      </c>
      <c r="GZ35" s="697">
        <f t="shared" si="85"/>
        <v>0</v>
      </c>
      <c r="HA35" s="712">
        <f t="shared" si="224"/>
        <v>0</v>
      </c>
      <c r="HB35" s="712">
        <f t="shared" si="225"/>
        <v>0</v>
      </c>
      <c r="HC35" s="712"/>
    </row>
    <row r="36" spans="1:211">
      <c r="A36" s="773" t="s">
        <v>9</v>
      </c>
      <c r="B36" s="708">
        <v>40565</v>
      </c>
      <c r="C36" s="709">
        <v>0.5</v>
      </c>
      <c r="D36" s="675">
        <f t="shared" si="65"/>
        <v>300</v>
      </c>
      <c r="E36" s="675">
        <f t="shared" si="66"/>
        <v>250</v>
      </c>
      <c r="F36" s="675">
        <v>250</v>
      </c>
      <c r="G36" s="712">
        <f>DH36+Sheet1!CV36</f>
        <v>4534.9870961972247</v>
      </c>
      <c r="H36" s="712">
        <f t="shared" ref="H36:H45" si="226">MAX((G36-113-D36)*CFStoMGD,0)</f>
        <v>2664.4524589818861</v>
      </c>
      <c r="I36" s="711">
        <f>MAX(Sheet1!Z36-AJ36+(Sheet1!CW36-E36)*CFStoMGD,0)</f>
        <v>5219.6293333333288</v>
      </c>
      <c r="J36" s="720">
        <f>IF(AND(B36&gt;=Calculation!FS36,B36&lt;=Calculation!FT36),IF(Sheet1!CX36&gt;=Calculation!D36,64.64,0),MAX(Sheet1!Z36-AJ36+(Sheet1!CX36-D36)*CFStoMGD,0))</f>
        <v>3480.8806666666619</v>
      </c>
      <c r="K36" s="697">
        <f t="shared" si="67"/>
        <v>64.64</v>
      </c>
      <c r="L36" s="712">
        <f>Sheet1!AA36+Sheet1!AB36-Sheet1!L36+(Sheet1!CW36-F36)*CFStoMGD</f>
        <v>5220.0593333333318</v>
      </c>
      <c r="M36" s="712">
        <f t="shared" ref="M36:M45" si="227">1.02*CFStoMGD*G36</f>
        <v>2990.0439721615239</v>
      </c>
      <c r="N36" s="712">
        <f>IF(Sheet1!CW36&gt;=F36,MIN(73,MIN(MAX(L36,0),MAX(M36,0))),0)</f>
        <v>73</v>
      </c>
      <c r="O36" s="721">
        <f>Sheet1!AA36+Sheet1!AB36</f>
        <v>45.989999999997963</v>
      </c>
      <c r="P36" s="721">
        <f t="shared" ref="P36:P45" si="228">U36+V36</f>
        <v>71.146529999996844</v>
      </c>
      <c r="Q36" s="712">
        <f>MIN(N36,Sheet1!AA36+AG36)</f>
        <v>45.989999999997963</v>
      </c>
      <c r="R36" s="712">
        <f t="shared" ref="R36:R45" si="229">IF(AND(B36&gt;=FV36,B36&lt;=FX36),MAX(DR36,DV36),DR36)</f>
        <v>0</v>
      </c>
      <c r="S36" s="721">
        <f>Sheet1!Y36*MGDtoCFS</f>
        <v>44.754709999999996</v>
      </c>
      <c r="T36" s="721">
        <f>Sheet1!Z36*MGDtoCFS</f>
        <v>26.113359999999997</v>
      </c>
      <c r="U36" s="721">
        <f>Sheet1!AA36*MGDtoCFS</f>
        <v>44.53812999999009</v>
      </c>
      <c r="V36" s="721">
        <f>Sheet1!AB36*MGDtoCFS</f>
        <v>26.608400000006753</v>
      </c>
      <c r="W36" s="721">
        <f>Sheet1!L36*MGDtoCFS</f>
        <v>70.976359999998763</v>
      </c>
      <c r="X36" s="697">
        <f t="shared" si="68"/>
        <v>0</v>
      </c>
      <c r="Y36" s="712">
        <f t="shared" ref="Y36:Y45" si="230">X36*MGDtoCFS</f>
        <v>0</v>
      </c>
      <c r="Z36" s="712">
        <f t="shared" ref="Z36:Z45" si="231">IF(B36&gt;=FS36,IF(B36&lt;=FT36,K36-DR36,0),0)</f>
        <v>0</v>
      </c>
      <c r="AA36" s="712">
        <f t="shared" ref="AA36:AA45" si="232">Z36*MGDtoCFS</f>
        <v>0</v>
      </c>
      <c r="AB36" s="712">
        <f>(VLOOKUP(Sheet1!CY36,hhdcap_wcm,4)-(((VLOOKUP(Sheet1!CY36,hhdcap_wcm,3)-Sheet1!CY36)/(VLOOKUP(Sheet1!CY36,hhdcap_wcm,3)-VLOOKUP(Sheet1!CY36,hhdcap_wcm,1)))*(VLOOKUP(Sheet1!CY36,hhdcap_wcm,4)-VLOOKUP(Sheet1!CY36,hhdcap_wcm,2))))</f>
        <v>15688.640000033691</v>
      </c>
      <c r="AC36" s="712">
        <f t="shared" ref="AC36:AC45" si="233">AB36-AB35</f>
        <v>-2393.0400000056106</v>
      </c>
      <c r="AD36" s="712">
        <f t="shared" si="70"/>
        <v>0</v>
      </c>
      <c r="AE36" s="712">
        <f t="shared" ref="AE36:AE45" si="234">AD36*MGtoAF</f>
        <v>0</v>
      </c>
      <c r="AF36" s="712">
        <f>Sheet1!BA36+Sheet1!BB36+Sheet1!BN36+BT36</f>
        <v>17.100000000000001</v>
      </c>
      <c r="AG36" s="712">
        <f t="shared" ref="AG36:AG45" si="235">AF36+(DE36*AF36)</f>
        <v>17.200000000004366</v>
      </c>
      <c r="AH36" s="712">
        <f>Sheet1!BA36+BT36</f>
        <v>0</v>
      </c>
      <c r="AI36" s="712">
        <f>Sheet1!BA36+Sheet1!BB36+BT36</f>
        <v>0</v>
      </c>
      <c r="AJ36" s="712">
        <f>IF((Sheet1!AA36+AG36+AX36+AZ36+BQ36+BS36+CL36+CN36)&lt;=N36,AG36+AX36+AZ36+BQ36+BS36+CL36+CN36,N36-Sheet1!AA36)</f>
        <v>17.200000000004366</v>
      </c>
      <c r="AK36" s="712">
        <f>IF(DR36&lt;K36,0,MAX(Sheet1!AA36+AG36-15/36*K36-N36,Sheet1!ED36,0))</f>
        <v>0</v>
      </c>
      <c r="AL36" s="712">
        <f>IF(OR(B36&gt;=FT36,B36&lt;FS36),0,15/36*K36-MAX(0,64.6-(137.6-(Sheet1!AA36+Sheet1!AB36))))</f>
        <v>0</v>
      </c>
      <c r="AM36" s="712">
        <f>Sheet1!CX36-110</f>
        <v>5575.520833333333</v>
      </c>
      <c r="AN36" s="712">
        <f>Sheet1!CW36-265</f>
        <v>8060.4166666666661</v>
      </c>
      <c r="AO36" s="712">
        <f t="shared" si="71"/>
        <v>27.010000000002037</v>
      </c>
      <c r="AP36" s="712">
        <f t="shared" si="72"/>
        <v>0</v>
      </c>
      <c r="AQ36" s="712">
        <f t="shared" ref="AQ36:AQ45" si="236">IF(AP36&lt;=0,0,AP36/1.547)</f>
        <v>0</v>
      </c>
      <c r="AR36" s="712">
        <f t="shared" ref="AR36:AR45" si="237">GE36+GG36</f>
        <v>0</v>
      </c>
      <c r="AS36" s="712"/>
      <c r="AT36" s="712">
        <f ca="1">IF(B36&gt;Summary!$A$1,#N/A,AR36*MGtoAF)</f>
        <v>0</v>
      </c>
      <c r="AU36" s="712">
        <f>Sheet1!BG36+Sheet1!BH36+Sheet1!BI36-BC36</f>
        <v>0</v>
      </c>
      <c r="AV36" s="712">
        <f t="shared" ref="AV36:AV45" si="238">AU36+(DE36*AU36)</f>
        <v>0</v>
      </c>
      <c r="AW36" s="712">
        <f>IF(Sheet1!EL36="FM",BC36,0)</f>
        <v>0</v>
      </c>
      <c r="AX36" s="712">
        <f t="shared" ref="AX36:AX45" si="239">AW36+(DE36*AW36)</f>
        <v>0</v>
      </c>
      <c r="AY36" s="712">
        <f>IF(Sheet1!EL36="OTHER",BC36,0)</f>
        <v>0</v>
      </c>
      <c r="AZ36" s="712">
        <f t="shared" ref="AZ36:AZ45" si="240">AY36+(DE36*AY36)</f>
        <v>0</v>
      </c>
      <c r="BA36" s="712">
        <f t="shared" ref="BA36:BA45" si="241">MAX(AU36,AW36,AY36)</f>
        <v>0</v>
      </c>
      <c r="BB36" s="712">
        <f t="shared" ref="BB36:BB45" si="242">MAX(AV36,AX36,AZ36)</f>
        <v>0</v>
      </c>
      <c r="BC36" s="712">
        <f>IF(OR(Sheet1!EL36="FM", Sheet1!EL36="OTHER"),SUM(Sheet1!BG36:'Sheet1'!BI36),0)</f>
        <v>0</v>
      </c>
      <c r="BD36" s="697">
        <f>IF(AND($B36&gt;=$FL36,$B36&lt;=$FM36),MAX(AV36,Sheet1!EE36,0),MAX(AV36-(7/36)*$K36,0))</f>
        <v>0</v>
      </c>
      <c r="BE36" s="712">
        <f t="shared" ref="BE36:BE45" si="243">IF(B36&gt;=FS36,IF(B36&lt;=FT36,(7/36)*K36-AV36,0),0)</f>
        <v>0</v>
      </c>
      <c r="BF36" s="697">
        <f t="shared" si="73"/>
        <v>0</v>
      </c>
      <c r="BG36" s="697">
        <f>IF(AND($O36&gt;0,Sheet1!EI36=1),(1-($O36-Sheet1!$L36)/$O36)*BB36,0)</f>
        <v>0</v>
      </c>
      <c r="BH36" s="697">
        <f>IF(AND(Sheet1!$L36=0,Sheet1!$L35=0, Calculation!BA36&lt;Sheet1!$EE36-0.1,Sheet1!$EE36=Sheet1!$EE35,Sheet1!$EE36=Sheet1!$EE37),Sheet1!$EE36,BB36-BG36)</f>
        <v>0</v>
      </c>
      <c r="BI36" s="712"/>
      <c r="BJ36" s="712"/>
      <c r="BK36" s="712">
        <f t="shared" ref="BK36:BK45" si="244">GL36+GN36</f>
        <v>0</v>
      </c>
      <c r="BL36" s="712"/>
      <c r="BM36" s="712">
        <f ca="1">IF(B36&gt;Summary!$A$1,#N/A,BK36*MGtoAF)</f>
        <v>0</v>
      </c>
      <c r="BN36" s="712">
        <f>Sheet1!BC36+Sheet1!BD36+Sheet1!BE36+Sheet1!BF36-BW36-BX36</f>
        <v>0</v>
      </c>
      <c r="BO36" s="712">
        <f t="shared" ref="BO36:BO45" si="245">BN36+(DE36*BN36)</f>
        <v>0</v>
      </c>
      <c r="BP36" s="712">
        <f>IF(Sheet1!EM36="FM",BX36,0)</f>
        <v>0</v>
      </c>
      <c r="BQ36" s="712">
        <f t="shared" ref="BQ36:BQ45" si="246">BP36+(DE36*BP36)</f>
        <v>0</v>
      </c>
      <c r="BR36" s="712">
        <f>IF(Sheet1!EM36="OTHER",BX36,0)</f>
        <v>0</v>
      </c>
      <c r="BS36" s="712">
        <f t="shared" ref="BS36:BS45" si="247">BR36+(DE36*BR36)</f>
        <v>0</v>
      </c>
      <c r="BT36" s="712">
        <f t="shared" ref="BT36:BT45" si="248">BW36</f>
        <v>0</v>
      </c>
      <c r="BU36" s="712">
        <f t="shared" ref="BU36:BU45" si="249">MAX(BN36,BP36,BR36)</f>
        <v>0</v>
      </c>
      <c r="BV36" s="712">
        <f t="shared" ref="BV36:BV45" si="250">MAX(BO36,BQ36, BS36)</f>
        <v>0</v>
      </c>
      <c r="BW36" s="712">
        <f>IF(Sheet1!EM36="CWA",SUM(Sheet1!BC36:'Sheet1'!BF36),0)</f>
        <v>0</v>
      </c>
      <c r="BX36" s="712">
        <f>IF(OR(Sheet1!EM36="FM", Sheet1!EM36="OTHER"),SUM(Sheet1!BC36:'Sheet1'!BF36),0)</f>
        <v>0</v>
      </c>
      <c r="BY36" s="697">
        <f>IF(AND($B36&gt;=$FL36,$B36&lt;=$FM36),MAX(BV36,Sheet1!EF36,0),MAX(BV36-(7/36)*$K36,0))</f>
        <v>0</v>
      </c>
      <c r="BZ36" s="712">
        <f t="shared" ref="BZ36:BZ45" si="251">IF(B36&gt;=FS36,IF(B36&lt;=FT36,(7/36)*K36-BO36,0),0)</f>
        <v>0</v>
      </c>
      <c r="CA36" s="697">
        <f t="shared" si="74"/>
        <v>0</v>
      </c>
      <c r="CB36" s="697">
        <f>IF(AND($O36&gt;0,Sheet1!EJ36=1),(1-($O36-Sheet1!$L36)/$O36)*BV36,0)</f>
        <v>0</v>
      </c>
      <c r="CC36" s="697">
        <f>IF(AND(Sheet1!$L36=0,Sheet1!$L35=0, Calculation!BU36&lt;Sheet1!EF36-0.1,Sheet1!EF36=Sheet1!EF35,Sheet1!EF36=Sheet1!EF37),Sheet1!EF36,BV36-CB36)</f>
        <v>0</v>
      </c>
      <c r="CD36" s="697"/>
      <c r="CE36" s="712"/>
      <c r="CF36" s="712">
        <f t="shared" ref="CF36:CF45" si="252">GS36+GU36</f>
        <v>0</v>
      </c>
      <c r="CG36" s="712"/>
      <c r="CH36" s="712">
        <f ca="1">IF(B36&gt;Summary!$A$1,#N/A,CF36*MGtoAF)</f>
        <v>0</v>
      </c>
      <c r="CI36" s="712">
        <f>Sheet1!BK36+Sheet1!BL36+Sheet1!BM36-Sheet1!EN36-CQ36</f>
        <v>0</v>
      </c>
      <c r="CJ36" s="712">
        <f t="shared" ref="CJ36:CJ45" si="253">CI36+(DE36*CI36)</f>
        <v>0</v>
      </c>
      <c r="CK36" s="712">
        <f>IF(Sheet1!EN36="FM",CQ36,0)</f>
        <v>0</v>
      </c>
      <c r="CL36" s="712">
        <f t="shared" ref="CL36:CL45" si="254">CK36+(DE36*CK36)</f>
        <v>0</v>
      </c>
      <c r="CM36" s="712">
        <f>IF(Sheet1!EN36="OTHER",CQ36,0)</f>
        <v>0</v>
      </c>
      <c r="CN36" s="712">
        <f t="shared" ref="CN36:CN45" si="255">CM36+(DE36*CM36)</f>
        <v>0</v>
      </c>
      <c r="CO36" s="712">
        <f t="shared" ref="CO36:CO45" si="256">MAX(CI36,CK36)</f>
        <v>0</v>
      </c>
      <c r="CP36" s="712">
        <f t="shared" ref="CP36:CP45" si="257">MAX(CJ36,CL36)</f>
        <v>0</v>
      </c>
      <c r="CQ36" s="712">
        <f>IF(OR(Sheet1!EN36="FM", Sheet1!EN36="OTHER"),SUM(Sheet1!BK36:'Sheet1'!BM36),0)</f>
        <v>0</v>
      </c>
      <c r="CR36" s="697">
        <f>IF(AND($B36&gt;=$FL36,$B36&lt;=$FM36),MAX($CJ36,Sheet1!EG36,0),MAX($CJ36-(7/36)*$K36,0))</f>
        <v>0</v>
      </c>
      <c r="CS36" s="712">
        <f t="shared" ref="CS36:CS45" si="258">IF(B36&gt;=FS36,IF(B36&lt;=FT36,(7/36)*K36-CJ36,0),0)</f>
        <v>0</v>
      </c>
      <c r="CT36" s="697">
        <f t="shared" si="75"/>
        <v>0</v>
      </c>
      <c r="CU36" s="697">
        <f>IF(AND($O36&gt;0,Sheet1!EK36=1),(1-($O36-Sheet1!$L36)/$O36)*CP36,0)</f>
        <v>0</v>
      </c>
      <c r="CV36" s="697">
        <f>IF(AND(Sheet1!$L36=0,Sheet1!$L35=0, Calculation!CO36&lt;Sheet1!$EG36-0.1,Sheet1!$EG36=Sheet1!$EG35,Sheet1!$EG36=Sheet1!$EG37),Sheet1!$EG36,CP36-CU36)</f>
        <v>0</v>
      </c>
      <c r="CW36" s="697">
        <f t="shared" si="33"/>
        <v>0</v>
      </c>
      <c r="CX36" s="712">
        <f t="shared" si="87"/>
        <v>0</v>
      </c>
      <c r="CY36" s="712">
        <f t="shared" ref="CY36:CY45" si="259">GZ36+HB36</f>
        <v>0</v>
      </c>
      <c r="CZ36" s="712">
        <f t="shared" ref="CZ36:CZ45" si="260">BB36+BV36+CP36</f>
        <v>0</v>
      </c>
      <c r="DA36" s="712">
        <f ca="1">IF(B36&gt;Summary!$A$1,#N/A,CY36*MGtoAF)</f>
        <v>0</v>
      </c>
      <c r="DB36" s="712">
        <f t="shared" ref="DB36:DB45" si="261">CO36+BU36+BA36</f>
        <v>0</v>
      </c>
      <c r="DC36" s="712">
        <f t="shared" ref="DC36:DC45" si="262">DB36+AF36</f>
        <v>17.100000000000001</v>
      </c>
      <c r="DD36" s="712">
        <f>Sheet1!AB36-DC36</f>
        <v>0.10000000000436415</v>
      </c>
      <c r="DE36" s="712">
        <f t="shared" ref="DE36:DE45" si="263">IF(DC36=0,0,DD36/DC36)</f>
        <v>5.8479532166294821E-3</v>
      </c>
      <c r="DF36" s="712">
        <f>(VLOOKUP(Sheet1!CY36,hhdcap_wcm,4)-(((VLOOKUP(Sheet1!CY36,hhdcap_wcm,3)-Sheet1!CY36)/(VLOOKUP(Sheet1!CY36,hhdcap_wcm,3)-VLOOKUP(Sheet1!CY36,hhdcap_wcm,1)))*(VLOOKUP(Sheet1!CY36,hhdcap_wcm,4)-VLOOKUP(Sheet1!CY36,hhdcap_wcm,2))))</f>
        <v>15688.640000033691</v>
      </c>
      <c r="DG36" s="712">
        <f t="shared" ref="DG36:DG45" si="264">DF36-DF35</f>
        <v>-2393.0400000056106</v>
      </c>
      <c r="DH36" s="712">
        <f t="shared" ref="DH36:DH45" si="265">DG36*AFtoCFS</f>
        <v>-1206.7776096851287</v>
      </c>
      <c r="DI36" s="712">
        <f>Sheet1!DW36*AFtoMG</f>
        <v>0</v>
      </c>
      <c r="DJ36" s="712">
        <f>Sheet1!DX36*AFtoMG</f>
        <v>0</v>
      </c>
      <c r="DK36" s="712">
        <f>Sheet1!DY36*AFtoMG</f>
        <v>0</v>
      </c>
      <c r="DL36" s="712">
        <f>Sheet1!DZ36*AFtoMG</f>
        <v>0</v>
      </c>
      <c r="DM36" s="712">
        <f t="shared" ref="DM36:DM45" si="266">SUM(DI36:DL36)</f>
        <v>0</v>
      </c>
      <c r="DN36" s="712">
        <f t="shared" ref="DN36:DN45" si="267">DM36*MGtoAF</f>
        <v>0</v>
      </c>
      <c r="DO36" s="712">
        <f t="shared" ref="DO36:DO45" si="268">AD36</f>
        <v>0</v>
      </c>
      <c r="DP36" s="712">
        <f t="shared" ref="DP36:DP45" si="269">DO36*MGtoAF</f>
        <v>0</v>
      </c>
      <c r="DQ36" s="712"/>
      <c r="DR36" s="697">
        <f>IF(OR(B36&lt;FL36,B36&gt;FM36),(MIN(AV36+BO36+CJ36+MAX(Sheet1!AA36+AG36-73,0),K36)),0)</f>
        <v>0</v>
      </c>
      <c r="DS36" s="712"/>
      <c r="DT36" s="712">
        <f t="shared" ref="DT36:DT45" si="270">CJ36+AV36+BO36</f>
        <v>0</v>
      </c>
      <c r="DU36" s="712"/>
      <c r="DV36" s="712">
        <f>Sheet1!ED36+Sheet1!EE36+Sheet1!EF36+Sheet1!EG36</f>
        <v>9.5</v>
      </c>
      <c r="DW36" s="712"/>
      <c r="DX36" s="697">
        <f t="shared" si="77"/>
        <v>0</v>
      </c>
      <c r="DY36" s="712">
        <f>IF(Sheet1!FN36=1,SUM('Calculations II'!AT36:BA36)+'Calculations II'!BC36+Sheet1!BU36+'Calculations II'!BE36+AF36,SUM('Calculations II'!AT36:BA36)+'Calculations II'!BC36+Sheet1!BU36+'Calculations II'!BE36+AF36)</f>
        <v>47.937376</v>
      </c>
      <c r="DZ36" s="712">
        <f>Sheet1!AA36+Sheet1!AB36+'Calculations II'!BC36</f>
        <v>45.989999999997963</v>
      </c>
      <c r="EA36" s="712"/>
      <c r="EB36" s="712"/>
      <c r="EC36" s="712">
        <f t="shared" ref="EC36:EC45" si="271">B36</f>
        <v>40565</v>
      </c>
      <c r="ED36" s="712">
        <f t="shared" ref="ED36:ED45" si="272">Z36-X36</f>
        <v>0</v>
      </c>
      <c r="EE36" s="712">
        <f t="shared" ref="EE36:EE45" si="273">AA36-Y36</f>
        <v>0</v>
      </c>
      <c r="EF36" s="712">
        <f>-(VLOOKUP(Sheet1!BQ36,Lookup!$B$4:$J$236,2)-VLOOKUP(Sheet1!BQ35,Lookup!$B$4:$J$236,2))/1000000</f>
        <v>1.0786</v>
      </c>
      <c r="EG36" s="712">
        <f>-(VLOOKUP(Sheet1!BR36,Lookup!$B$4:$J$236,3)-VLOOKUP(Sheet1!BR35,Lookup!$B$4:$J$236,3))/1000000</f>
        <v>1.0766</v>
      </c>
      <c r="EH36" s="712">
        <f>-(VLOOKUP(Sheet1!BS36,Lookup!$B$4:$J$236,4)-VLOOKUP(Sheet1!BS35,Lookup!$B$4:$J$236,4))/1000000</f>
        <v>0</v>
      </c>
      <c r="EI36" s="697">
        <f t="shared" si="88"/>
        <v>2.1551999999999998</v>
      </c>
      <c r="EJ36" s="712"/>
      <c r="EK36" s="712"/>
      <c r="EL36" s="712"/>
      <c r="EM36" s="712"/>
      <c r="EN36" s="712"/>
      <c r="EO36" s="712"/>
      <c r="EP36" s="712"/>
      <c r="EQ36" s="712"/>
      <c r="ER36" s="697">
        <v>0</v>
      </c>
      <c r="ES36" s="712"/>
      <c r="ET36" s="794" t="e">
        <f t="shared" ref="ET36:ET45" si="274">VLOOKUP(EZ35,hhdelev_wcm,4) -(((VLOOKUP(EZ35,hhdelev_wcm,3)-EZ35)/(VLOOKUP(EZ35,hhdelev_wcm,3)-VLOOKUP(EZ35,hhdelev_wcm,1)))*(VLOOKUP(EZ35,hhdelev_wcm,4)-VLOOKUP(EZ35,hhdelev_wcm,2)))</f>
        <v>#N/A</v>
      </c>
      <c r="EU36" s="794" t="e">
        <f t="shared" si="79"/>
        <v>#VALUE!</v>
      </c>
      <c r="EV36" s="795" t="e">
        <f t="shared" si="48"/>
        <v>#VALUE!</v>
      </c>
      <c r="EW36" s="796" t="s">
        <v>757</v>
      </c>
      <c r="EX36" s="796" t="s">
        <v>757</v>
      </c>
      <c r="EY36" s="794">
        <v>0</v>
      </c>
      <c r="EZ36" s="794" t="e">
        <v>#N/A</v>
      </c>
      <c r="FA36" s="712"/>
      <c r="FB36" s="712"/>
      <c r="FC36" s="712"/>
      <c r="FD36" s="712"/>
      <c r="FE36" s="712">
        <f>O36+Sheet1!CO36</f>
        <v>45.989999999997963</v>
      </c>
      <c r="FF36" s="712">
        <f>IF(Sheet1!AA36+AG36&lt;=Calculation!N36,AG36,Calculation!N36-Sheet1!AA36)</f>
        <v>17.200000000004366</v>
      </c>
      <c r="FG36" s="712">
        <f>(Sheet1!BP36+Sheet1!BO36)/694.4</f>
        <v>2.5</v>
      </c>
      <c r="FH36" s="712"/>
      <c r="FI36" s="712"/>
      <c r="FJ36" s="712"/>
      <c r="FK36" s="712"/>
      <c r="FL36" s="714">
        <f t="shared" si="89"/>
        <v>40753</v>
      </c>
      <c r="FM36" s="714">
        <f t="shared" si="90"/>
        <v>40851</v>
      </c>
      <c r="FN36" s="712"/>
      <c r="FO36" s="712"/>
      <c r="FP36" s="712"/>
      <c r="FQ36" s="712"/>
      <c r="FR36" s="712"/>
      <c r="FS36" s="725">
        <f t="shared" si="91"/>
        <v>40603</v>
      </c>
      <c r="FT36" s="714">
        <f t="shared" si="92"/>
        <v>40709</v>
      </c>
      <c r="FU36" s="712">
        <f t="shared" si="93"/>
        <v>6518.9048239895692</v>
      </c>
      <c r="FV36" s="714">
        <f t="shared" si="94"/>
        <v>40722</v>
      </c>
      <c r="FW36" s="712">
        <f t="shared" si="95"/>
        <v>3259.4524119947846</v>
      </c>
      <c r="FX36" s="725">
        <f t="shared" si="96"/>
        <v>40851</v>
      </c>
      <c r="FZ36" s="697">
        <f t="shared" si="49"/>
        <v>0</v>
      </c>
      <c r="GA36" s="712" t="str">
        <f t="shared" ref="GA36:GA45" si="275">CONCATENATE(GC36,GQ36,GJ36,GX36)</f>
        <v/>
      </c>
      <c r="GB36" s="712">
        <f t="shared" ref="GB36:GB45" si="276">IF(GF36&gt;=8333.33,AL36,0)</f>
        <v>0</v>
      </c>
      <c r="GC36" s="712" t="str">
        <f t="shared" ref="GC36:GC45" si="277">IF(AND(GF36&lt;8333.33,FZ36&gt;0),"T","")</f>
        <v/>
      </c>
      <c r="GD36" s="712">
        <f>IF(GA36="P",Lookup!$M$12,IF(GA36="PP",Lookup!$M$13,IF(GA36="PPP",Lookup!$M$14,IF(GA36="T",Lookup!$M$15,IF(GA36="TP",Lookup!$M$16,IF(GA36="TPP",Lookup!$M$17,IF(GA36="TPPP",Lookup!$M$18,0)))))))*FZ36</f>
        <v>0</v>
      </c>
      <c r="GE36" s="712">
        <f t="shared" ref="GE36:GE45" si="278">IF(GC36="T",GD36,0)</f>
        <v>0</v>
      </c>
      <c r="GF36" s="712">
        <f t="shared" ref="GF36:GF45" si="279">GG36*MGtoAF</f>
        <v>0</v>
      </c>
      <c r="GG36" s="712">
        <f t="shared" ref="GG36:GG45" si="280">(IF(AND(B36&lt;FV36,B36&gt;=FS36),MIN(AR35+AL36-AK36,15/36*FU36),IF(B36=FV36,15/36*FW36,IF(AND(B36&gt;FV36,B36&lt;FX36),MIN(AR35+AL36-AK36,15/36*FW36),IF(B36&gt;=FX36,0,0)))))+DI36</f>
        <v>0</v>
      </c>
      <c r="GH36" s="712"/>
      <c r="GI36" s="712">
        <f t="shared" ref="GI36:GI45" si="281">IF(GM36&gt;=3888.88,BE36,0)</f>
        <v>0</v>
      </c>
      <c r="GJ36" s="712" t="str">
        <f t="shared" ref="GJ36:GJ45" si="282">IF(AND(GM36&lt;3888.88,FZ36&gt;0),"P","")</f>
        <v/>
      </c>
      <c r="GK36" s="712">
        <f>IF(GA36="P",Lookup!$N$12,IF(GA36="PP",Lookup!$N$13,IF(GA36="PPP",Lookup!$N$14,IF(GA36="T",Lookup!$N$15,IF(GA36="TP",Lookup!$N$16,IF(GA36="TPP",Lookup!$N$17,IF(GA36="TPPP",Lookup!$N$18,0)))))))*FZ36</f>
        <v>0</v>
      </c>
      <c r="GL36" s="712">
        <f t="shared" ref="GL36:GL45" si="283">IF(GJ36="P",GK36,0)</f>
        <v>0</v>
      </c>
      <c r="GM36" s="712">
        <f t="shared" ref="GM36:GM45" si="284">GN36*MGtoAF</f>
        <v>0</v>
      </c>
      <c r="GN36" s="712">
        <f t="shared" ref="GN36:GN45" si="285">(IF(AND(B36&lt;FV36,B36&gt;=FS36),MIN(BK35+BE36-BD36,7/36*FU36),IF(B36=FV36,7/36*FW36,IF(AND(B36&gt;FV36,B36&lt;FX36),MIN(BK35+BE36-BD36,7/36*FW36),IF(B36&gt;=FX36,0,0)))))+DJ36</f>
        <v>0</v>
      </c>
      <c r="GO36" s="712"/>
      <c r="GP36" s="712">
        <f t="shared" ref="GP36:GP45" si="286">IF(GT36&gt;=8333.33,BZ36,0)</f>
        <v>0</v>
      </c>
      <c r="GQ36" s="712" t="str">
        <f t="shared" ref="GQ36:GQ45" si="287">IF(AND(GT36&lt;3888.88,FZ36&gt;0),"P","")</f>
        <v/>
      </c>
      <c r="GR36" s="712">
        <f>IF(GA36="P",Lookup!$N$12,IF(GA36="PP",Lookup!$N$13,IF(GA36="PPP",Lookup!$N$14,IF(GA36="T",Lookup!$N$15,IF(GA36="TP",Lookup!$N$16,IF(GA36="TPP",Lookup!$N$17,IF(GA36="TPPP",Lookup!$N$18,0)))))))*FZ36</f>
        <v>0</v>
      </c>
      <c r="GS36" s="697">
        <f t="shared" si="83"/>
        <v>0</v>
      </c>
      <c r="GT36" s="712">
        <f t="shared" ref="GT36:GT45" si="288">GU36*MGtoAF</f>
        <v>0</v>
      </c>
      <c r="GU36" s="712">
        <f t="shared" ref="GU36:GU45" si="289">IF(AND(B36&lt;FV36,B36&gt;=FS36),MIN(CF35+BZ36-BY36,7/36*FU36),IF(B36=FV36,7/36*FW36,IF(AND(B36&gt;FV36,B36&lt;FX36),MIN(CF35+BZ36-BY36,7/36*FW36),IF(B36&gt;=FX36,0,0))))+DK36</f>
        <v>0</v>
      </c>
      <c r="GV36" s="712"/>
      <c r="GW36" s="712">
        <f t="shared" ref="GW36:GW45" si="290">IF(HA36&gt;=3888.88,CS36,0)</f>
        <v>0</v>
      </c>
      <c r="GX36" s="712" t="str">
        <f t="shared" ref="GX36:GX45" si="291">IF(AND(HA36&lt;3888.88,FZ36&gt;0),"P","")</f>
        <v/>
      </c>
      <c r="GY36" s="712">
        <f>IF(GA36="P",Lookup!$N$12,IF(GA36="PP",Lookup!$N$13,IF(GA36="PPP",Lookup!$N$14,IF(GA36="T",Lookup!$N$15,IF(GA36="TP",Lookup!$N$16,IF(GA36="TPP",Lookup!$N$17,IF(GA36="TPPP",Lookup!$N$18,0)))))))*FZ36</f>
        <v>0</v>
      </c>
      <c r="GZ36" s="697">
        <f t="shared" si="85"/>
        <v>0</v>
      </c>
      <c r="HA36" s="712">
        <f t="shared" ref="HA36:HA45" si="292">HB36*MGtoAF</f>
        <v>0</v>
      </c>
      <c r="HB36" s="712">
        <f t="shared" ref="HB36:HB45" si="293">(IF(AND(B36&lt;FV36,B36&gt;=FS36),MIN(CY35+CS36-CR36,7/36*FU36),IF(B36=FV36,7/36*FW36,IF(AND(B36&gt;FV36,B36&lt;FX36),MIN(CY35+CS36-CR36,7/36*FW36),IF(B36&gt;=FX36,0,0)))))+DL36</f>
        <v>0</v>
      </c>
      <c r="HC36" s="712"/>
    </row>
    <row r="37" spans="1:211">
      <c r="A37" s="773" t="s">
        <v>3</v>
      </c>
      <c r="B37" s="708">
        <v>40566</v>
      </c>
      <c r="C37" s="719">
        <v>0.5</v>
      </c>
      <c r="D37" s="675">
        <f t="shared" si="65"/>
        <v>300</v>
      </c>
      <c r="E37" s="675">
        <f t="shared" si="66"/>
        <v>250</v>
      </c>
      <c r="F37" s="710">
        <v>250</v>
      </c>
      <c r="G37" s="712">
        <f>DH37+Sheet1!CV37</f>
        <v>3239.2468333721822</v>
      </c>
      <c r="H37" s="712">
        <f t="shared" si="226"/>
        <v>1826.8859530917784</v>
      </c>
      <c r="I37" s="711">
        <f>MAX(Sheet1!Z37-AJ37+(Sheet1!CW37-E37)*CFStoMGD,0)</f>
        <v>4766.1566666666713</v>
      </c>
      <c r="J37" s="720">
        <f>IF(AND(B37&gt;=Calculation!FS37,B37&lt;=Calculation!FT37),IF(Sheet1!CX37&gt;=Calculation!D37,64.64,0),MAX(Sheet1!Z37-AJ37+(Sheet1!CX37-D37)*CFStoMGD,0))</f>
        <v>3266.5760000000041</v>
      </c>
      <c r="K37" s="697">
        <f t="shared" si="67"/>
        <v>64.64</v>
      </c>
      <c r="L37" s="712">
        <f>Sheet1!AA37+Sheet1!AB37-Sheet1!L37+(Sheet1!CW37-F37)*CFStoMGD</f>
        <v>4766.7366666666621</v>
      </c>
      <c r="M37" s="712">
        <f t="shared" si="227"/>
        <v>2135.7261361536143</v>
      </c>
      <c r="N37" s="712">
        <f>IF(Sheet1!CW37&gt;=F37,MIN(73,MIN(MAX(L37,0),MAX(M37,0))),0)</f>
        <v>73</v>
      </c>
      <c r="O37" s="721">
        <f>Sheet1!AA37+Sheet1!AB37</f>
        <v>46.409999999996217</v>
      </c>
      <c r="P37" s="721">
        <f t="shared" si="228"/>
        <v>71.796269999994138</v>
      </c>
      <c r="Q37" s="712">
        <f>MIN(N37,Sheet1!AA37+AG37)</f>
        <v>46.409999999996217</v>
      </c>
      <c r="R37" s="712">
        <f t="shared" si="229"/>
        <v>0</v>
      </c>
      <c r="S37" s="721">
        <f>Sheet1!Y37*MGDtoCFS</f>
        <v>44.321549999999995</v>
      </c>
      <c r="T37" s="721">
        <f>Sheet1!Z37*MGDtoCFS</f>
        <v>26.190709999999999</v>
      </c>
      <c r="U37" s="721">
        <f>Sheet1!AA37*MGDtoCFS</f>
        <v>45.033170000000901</v>
      </c>
      <c r="V37" s="721">
        <f>Sheet1!AB37*MGDtoCFS</f>
        <v>26.763099999993244</v>
      </c>
      <c r="W37" s="721">
        <f>Sheet1!L37*MGDtoCFS</f>
        <v>71.471400000001125</v>
      </c>
      <c r="X37" s="697">
        <f t="shared" si="68"/>
        <v>0</v>
      </c>
      <c r="Y37" s="712">
        <f t="shared" si="230"/>
        <v>0</v>
      </c>
      <c r="Z37" s="712">
        <f t="shared" si="231"/>
        <v>0</v>
      </c>
      <c r="AA37" s="712">
        <f t="shared" si="232"/>
        <v>0</v>
      </c>
      <c r="AB37" s="712">
        <f>(VLOOKUP(Sheet1!CY37,hhdcap_wcm,4)-(((VLOOKUP(Sheet1!CY37,hhdcap_wcm,3)-Sheet1!CY37)/(VLOOKUP(Sheet1!CY37,hhdcap_wcm,3)-VLOOKUP(Sheet1!CY37,hhdcap_wcm,1)))*(VLOOKUP(Sheet1!CY37,hhdcap_wcm,4)-VLOOKUP(Sheet1!CY37,hhdcap_wcm,2))))</f>
        <v>11184.570000022492</v>
      </c>
      <c r="AC37" s="712">
        <f t="shared" si="233"/>
        <v>-4504.0700000111992</v>
      </c>
      <c r="AD37" s="712">
        <f t="shared" si="70"/>
        <v>0</v>
      </c>
      <c r="AE37" s="712">
        <f t="shared" si="234"/>
        <v>0</v>
      </c>
      <c r="AF37" s="712">
        <f>Sheet1!BA37+Sheet1!BB37+Sheet1!BN37+BT37</f>
        <v>17</v>
      </c>
      <c r="AG37" s="712">
        <f t="shared" si="235"/>
        <v>17.299999999995634</v>
      </c>
      <c r="AH37" s="712">
        <f>Sheet1!BA37+BT37</f>
        <v>0</v>
      </c>
      <c r="AI37" s="712">
        <f>Sheet1!BA37+Sheet1!BB37+BT37</f>
        <v>0</v>
      </c>
      <c r="AJ37" s="712">
        <f>IF((Sheet1!AA37+AG37+AX37+AZ37+BQ37+BS37+CL37+CN37)&lt;=N37,AG37+AX37+AZ37+BQ37+BS37+CL37+CN37,N37-Sheet1!AA37)</f>
        <v>17.299999999995634</v>
      </c>
      <c r="AK37" s="712">
        <f>IF(DR37&lt;K37,0,MAX(Sheet1!AA37+AG37-15/36*K37-N37,Sheet1!ED37,0))</f>
        <v>0</v>
      </c>
      <c r="AL37" s="712">
        <f>IF(OR(B37&gt;=FT37,B37&lt;FS37),0,15/36*K37-MAX(0,64.6-(137.6-(Sheet1!AA37+Sheet1!AB37))))</f>
        <v>0</v>
      </c>
      <c r="AM37" s="712">
        <f>Sheet1!CX37-110</f>
        <v>5244.0625</v>
      </c>
      <c r="AN37" s="712">
        <f>Sheet1!CW37-265</f>
        <v>7358.958333333333</v>
      </c>
      <c r="AO37" s="712">
        <f t="shared" si="71"/>
        <v>26.590000000003783</v>
      </c>
      <c r="AP37" s="712">
        <f t="shared" si="72"/>
        <v>0</v>
      </c>
      <c r="AQ37" s="712">
        <f t="shared" si="236"/>
        <v>0</v>
      </c>
      <c r="AR37" s="712">
        <f t="shared" si="237"/>
        <v>0</v>
      </c>
      <c r="AS37" s="712"/>
      <c r="AT37" s="712">
        <f ca="1">IF(B37&gt;Summary!$A$1,#N/A,AR37*MGtoAF)</f>
        <v>0</v>
      </c>
      <c r="AU37" s="712">
        <f>Sheet1!BG37+Sheet1!BH37+Sheet1!BI37-BC37</f>
        <v>0</v>
      </c>
      <c r="AV37" s="712">
        <f t="shared" si="238"/>
        <v>0</v>
      </c>
      <c r="AW37" s="712">
        <f>IF(Sheet1!EL37="FM",BC37,0)</f>
        <v>0</v>
      </c>
      <c r="AX37" s="712">
        <f t="shared" si="239"/>
        <v>0</v>
      </c>
      <c r="AY37" s="712">
        <f>IF(Sheet1!EL37="OTHER",BC37,0)</f>
        <v>0</v>
      </c>
      <c r="AZ37" s="712">
        <f t="shared" si="240"/>
        <v>0</v>
      </c>
      <c r="BA37" s="712">
        <f t="shared" si="241"/>
        <v>0</v>
      </c>
      <c r="BB37" s="712">
        <f t="shared" si="242"/>
        <v>0</v>
      </c>
      <c r="BC37" s="712">
        <f>IF(OR(Sheet1!EL37="FM", Sheet1!EL37="OTHER"),SUM(Sheet1!BG37:'Sheet1'!BI37),0)</f>
        <v>0</v>
      </c>
      <c r="BD37" s="697">
        <f>IF(AND($B37&gt;=$FL37,$B37&lt;=$FM37),MAX(AV37,Sheet1!EE37,0),MAX(AV37-(7/36)*$K37,0))</f>
        <v>0</v>
      </c>
      <c r="BE37" s="712">
        <f t="shared" si="243"/>
        <v>0</v>
      </c>
      <c r="BF37" s="697">
        <f t="shared" si="73"/>
        <v>0</v>
      </c>
      <c r="BG37" s="697">
        <f>IF(AND($O37&gt;0,Sheet1!EI37=1),(1-($O37-Sheet1!$L37)/$O37)*BB37,0)</f>
        <v>0</v>
      </c>
      <c r="BH37" s="697">
        <f>IF(AND(Sheet1!$L37=0,Sheet1!$L36=0, Calculation!BA37&lt;Sheet1!$EE37-0.1,Sheet1!$EE37=Sheet1!$EE36,Sheet1!$EE37=Sheet1!$EE38),Sheet1!$EE37,BB37-BG37)</f>
        <v>0</v>
      </c>
      <c r="BI37" s="712"/>
      <c r="BJ37" s="712"/>
      <c r="BK37" s="712">
        <f t="shared" si="244"/>
        <v>0</v>
      </c>
      <c r="BL37" s="712"/>
      <c r="BM37" s="712">
        <f ca="1">IF(B37&gt;Summary!$A$1,#N/A,BK37*MGtoAF)</f>
        <v>0</v>
      </c>
      <c r="BN37" s="712">
        <f>Sheet1!BC37+Sheet1!BD37+Sheet1!BE37+Sheet1!BF37-BW37-BX37</f>
        <v>0</v>
      </c>
      <c r="BO37" s="712">
        <f t="shared" si="245"/>
        <v>0</v>
      </c>
      <c r="BP37" s="712">
        <f>IF(Sheet1!EM37="FM",BX37,0)</f>
        <v>0</v>
      </c>
      <c r="BQ37" s="712">
        <f t="shared" si="246"/>
        <v>0</v>
      </c>
      <c r="BR37" s="712">
        <f>IF(Sheet1!EM37="OTHER",BX37,0)</f>
        <v>0</v>
      </c>
      <c r="BS37" s="712">
        <f t="shared" si="247"/>
        <v>0</v>
      </c>
      <c r="BT37" s="712">
        <f t="shared" si="248"/>
        <v>0</v>
      </c>
      <c r="BU37" s="712">
        <f t="shared" si="249"/>
        <v>0</v>
      </c>
      <c r="BV37" s="712">
        <f t="shared" si="250"/>
        <v>0</v>
      </c>
      <c r="BW37" s="712">
        <f>IF(Sheet1!EM37="CWA",SUM(Sheet1!BC37:'Sheet1'!BF37),0)</f>
        <v>0</v>
      </c>
      <c r="BX37" s="712">
        <f>IF(OR(Sheet1!EM37="FM", Sheet1!EM37="OTHER"),SUM(Sheet1!BC37:'Sheet1'!BF37),0)</f>
        <v>0</v>
      </c>
      <c r="BY37" s="697">
        <f>IF(AND($B37&gt;=$FL37,$B37&lt;=$FM37),MAX(BV37,Sheet1!EF37,0),MAX(BV37-(7/36)*$K37,0))</f>
        <v>0</v>
      </c>
      <c r="BZ37" s="712">
        <f t="shared" si="251"/>
        <v>0</v>
      </c>
      <c r="CA37" s="697">
        <f t="shared" si="74"/>
        <v>0</v>
      </c>
      <c r="CB37" s="697">
        <f>IF(AND($O37&gt;0,Sheet1!EJ37=1),(1-($O37-Sheet1!$L37)/$O37)*BV37,0)</f>
        <v>0</v>
      </c>
      <c r="CC37" s="697">
        <f>IF(AND(Sheet1!$L37=0,Sheet1!$L36=0, Calculation!BU37&lt;Sheet1!EF37-0.1,Sheet1!EF37=Sheet1!EF36,Sheet1!EF37=Sheet1!EF38),Sheet1!EF37,BV37-CB37)</f>
        <v>0</v>
      </c>
      <c r="CD37" s="697"/>
      <c r="CE37" s="712"/>
      <c r="CF37" s="712">
        <f t="shared" si="252"/>
        <v>0</v>
      </c>
      <c r="CG37" s="712"/>
      <c r="CH37" s="712">
        <f ca="1">IF(B37&gt;Summary!$A$1,#N/A,CF37*MGtoAF)</f>
        <v>0</v>
      </c>
      <c r="CI37" s="712">
        <f>Sheet1!BK37+Sheet1!BL37+Sheet1!BM37-Sheet1!EN37-CQ37</f>
        <v>0</v>
      </c>
      <c r="CJ37" s="712">
        <f t="shared" si="253"/>
        <v>0</v>
      </c>
      <c r="CK37" s="712">
        <f>IF(Sheet1!EN37="FM",CQ37,0)</f>
        <v>0</v>
      </c>
      <c r="CL37" s="712">
        <f t="shared" si="254"/>
        <v>0</v>
      </c>
      <c r="CM37" s="712">
        <f>IF(Sheet1!EN37="OTHER",CQ37,0)</f>
        <v>0</v>
      </c>
      <c r="CN37" s="712">
        <f t="shared" si="255"/>
        <v>0</v>
      </c>
      <c r="CO37" s="712">
        <f t="shared" si="256"/>
        <v>0</v>
      </c>
      <c r="CP37" s="712">
        <f t="shared" si="257"/>
        <v>0</v>
      </c>
      <c r="CQ37" s="712">
        <f>IF(OR(Sheet1!EN37="FM", Sheet1!EN37="OTHER"),SUM(Sheet1!BK37:'Sheet1'!BM37),0)</f>
        <v>0</v>
      </c>
      <c r="CR37" s="697">
        <f>IF(AND($B37&gt;=$FL37,$B37&lt;=$FM37),MAX($CJ37,Sheet1!EG37,0),MAX($CJ37-(7/36)*$K37,0))</f>
        <v>0</v>
      </c>
      <c r="CS37" s="712">
        <f t="shared" si="258"/>
        <v>0</v>
      </c>
      <c r="CT37" s="697">
        <f t="shared" si="75"/>
        <v>0</v>
      </c>
      <c r="CU37" s="697">
        <f>IF(AND($O37&gt;0,Sheet1!EK37=1),(1-($O37-Sheet1!$L37)/$O37)*CP37,0)</f>
        <v>0</v>
      </c>
      <c r="CV37" s="697">
        <f>IF(AND(Sheet1!$L37=0,Sheet1!$L36=0, Calculation!CO37&lt;Sheet1!$EG37-0.1,Sheet1!$EG37=Sheet1!$EG36,Sheet1!$EG37=Sheet1!$EG38),Sheet1!$EG37,CP37-CU37)</f>
        <v>0</v>
      </c>
      <c r="CW37" s="697">
        <f t="shared" si="33"/>
        <v>0</v>
      </c>
      <c r="CX37" s="712">
        <f t="shared" si="87"/>
        <v>0</v>
      </c>
      <c r="CY37" s="712">
        <f t="shared" si="259"/>
        <v>0</v>
      </c>
      <c r="CZ37" s="712">
        <f t="shared" si="260"/>
        <v>0</v>
      </c>
      <c r="DA37" s="712">
        <f ca="1">IF(B37&gt;Summary!$A$1,#N/A,CY37*MGtoAF)</f>
        <v>0</v>
      </c>
      <c r="DB37" s="712">
        <f t="shared" si="261"/>
        <v>0</v>
      </c>
      <c r="DC37" s="712">
        <f t="shared" si="262"/>
        <v>17</v>
      </c>
      <c r="DD37" s="712">
        <f>Sheet1!AB37-DC37</f>
        <v>0.29999999999563443</v>
      </c>
      <c r="DE37" s="712">
        <f t="shared" si="263"/>
        <v>1.7647058823272613E-2</v>
      </c>
      <c r="DF37" s="712">
        <f>(VLOOKUP(Sheet1!CY37,hhdcap_wcm,4)-(((VLOOKUP(Sheet1!CY37,hhdcap_wcm,3)-Sheet1!CY37)/(VLOOKUP(Sheet1!CY37,hhdcap_wcm,3)-VLOOKUP(Sheet1!CY37,hhdcap_wcm,1)))*(VLOOKUP(Sheet1!CY37,hhdcap_wcm,4)-VLOOKUP(Sheet1!CY37,hhdcap_wcm,2))))</f>
        <v>11184.570000022492</v>
      </c>
      <c r="DG37" s="712">
        <f t="shared" si="264"/>
        <v>-4504.0700000111992</v>
      </c>
      <c r="DH37" s="712">
        <f t="shared" si="265"/>
        <v>-2271.3414019219358</v>
      </c>
      <c r="DI37" s="712">
        <f>Sheet1!DW37*AFtoMG</f>
        <v>0</v>
      </c>
      <c r="DJ37" s="712">
        <f>Sheet1!DX37*AFtoMG</f>
        <v>0</v>
      </c>
      <c r="DK37" s="712">
        <f>Sheet1!DY37*AFtoMG</f>
        <v>0</v>
      </c>
      <c r="DL37" s="712">
        <f>Sheet1!DZ37*AFtoMG</f>
        <v>0</v>
      </c>
      <c r="DM37" s="712">
        <f t="shared" si="266"/>
        <v>0</v>
      </c>
      <c r="DN37" s="712">
        <f t="shared" si="267"/>
        <v>0</v>
      </c>
      <c r="DO37" s="712">
        <f t="shared" si="268"/>
        <v>0</v>
      </c>
      <c r="DP37" s="712">
        <f t="shared" si="269"/>
        <v>0</v>
      </c>
      <c r="DQ37" s="712"/>
      <c r="DR37" s="697">
        <f>IF(OR(B37&lt;FL37,B37&gt;FM37),(MIN(AV37+BO37+CJ37+MAX(Sheet1!AA37+AG37-73,0),K37)),0)</f>
        <v>0</v>
      </c>
      <c r="DS37" s="712"/>
      <c r="DT37" s="712">
        <f t="shared" si="270"/>
        <v>0</v>
      </c>
      <c r="DU37" s="712"/>
      <c r="DV37" s="712">
        <f>Sheet1!ED37+Sheet1!EE37+Sheet1!EF37+Sheet1!EG37</f>
        <v>9.5</v>
      </c>
      <c r="DW37" s="712"/>
      <c r="DX37" s="697">
        <f t="shared" si="77"/>
        <v>0</v>
      </c>
      <c r="DY37" s="712">
        <f>IF(Sheet1!FN37=1,SUM('Calculations II'!AT37:BA37)+'Calculations II'!BC37+Sheet1!BU37+'Calculations II'!BE37+AF37,SUM('Calculations II'!AT37:BA37)+'Calculations II'!BC37+Sheet1!BU37+'Calculations II'!BE37+AF37)</f>
        <v>44.558784000000003</v>
      </c>
      <c r="DZ37" s="712">
        <f>Sheet1!AA37+Sheet1!AB37+'Calculations II'!BC37</f>
        <v>46.409999999996217</v>
      </c>
      <c r="EA37" s="712"/>
      <c r="EB37" s="712"/>
      <c r="EC37" s="712">
        <f t="shared" si="271"/>
        <v>40566</v>
      </c>
      <c r="ED37" s="712">
        <f t="shared" si="272"/>
        <v>0</v>
      </c>
      <c r="EE37" s="712">
        <f t="shared" si="273"/>
        <v>0</v>
      </c>
      <c r="EF37" s="712">
        <f>-(VLOOKUP(Sheet1!BQ37,Lookup!$B$4:$J$236,2)-VLOOKUP(Sheet1!BQ36,Lookup!$B$4:$J$236,2))/1000000</f>
        <v>-0.2671</v>
      </c>
      <c r="EG37" s="712">
        <f>-(VLOOKUP(Sheet1!BR37,Lookup!$B$4:$J$236,3)-VLOOKUP(Sheet1!BR36,Lookup!$B$4:$J$236,3))/1000000</f>
        <v>0</v>
      </c>
      <c r="EH37" s="712">
        <f>-(VLOOKUP(Sheet1!BS37,Lookup!$B$4:$J$236,4)-VLOOKUP(Sheet1!BS36,Lookup!$B$4:$J$236,4))/1000000</f>
        <v>0</v>
      </c>
      <c r="EI37" s="697">
        <f t="shared" si="88"/>
        <v>-0.2671</v>
      </c>
      <c r="EJ37" s="712"/>
      <c r="EK37" s="712"/>
      <c r="EL37" s="712"/>
      <c r="EM37" s="712"/>
      <c r="EN37" s="712"/>
      <c r="EO37" s="712"/>
      <c r="EP37" s="712"/>
      <c r="EQ37" s="712"/>
      <c r="ER37" s="697">
        <v>0</v>
      </c>
      <c r="ES37" s="712"/>
      <c r="ET37" s="794" t="e">
        <f t="shared" si="274"/>
        <v>#N/A</v>
      </c>
      <c r="EU37" s="794" t="e">
        <f t="shared" si="79"/>
        <v>#VALUE!</v>
      </c>
      <c r="EV37" s="795" t="e">
        <f t="shared" si="48"/>
        <v>#VALUE!</v>
      </c>
      <c r="EW37" s="796" t="s">
        <v>757</v>
      </c>
      <c r="EX37" s="796" t="s">
        <v>757</v>
      </c>
      <c r="EY37" s="794">
        <v>0</v>
      </c>
      <c r="EZ37" s="794" t="e">
        <v>#N/A</v>
      </c>
      <c r="FA37" s="712"/>
      <c r="FB37" s="712"/>
      <c r="FC37" s="712"/>
      <c r="FD37" s="712"/>
      <c r="FE37" s="712">
        <f>O37+Sheet1!CO37</f>
        <v>46.409999999996217</v>
      </c>
      <c r="FF37" s="712">
        <f>IF(Sheet1!AA37+AG37&lt;=Calculation!N37,AG37,Calculation!N37-Sheet1!AA37)</f>
        <v>17.299999999995634</v>
      </c>
      <c r="FG37" s="712">
        <f>(Sheet1!BP37+Sheet1!BO37)/694.4</f>
        <v>1.8048675115207373</v>
      </c>
      <c r="FH37" s="712"/>
      <c r="FI37" s="712"/>
      <c r="FJ37" s="712"/>
      <c r="FK37" s="712"/>
      <c r="FL37" s="714">
        <f t="shared" si="89"/>
        <v>40753</v>
      </c>
      <c r="FM37" s="714">
        <f t="shared" si="90"/>
        <v>40851</v>
      </c>
      <c r="FN37" s="712"/>
      <c r="FO37" s="712"/>
      <c r="FP37" s="712"/>
      <c r="FQ37" s="712"/>
      <c r="FR37" s="712"/>
      <c r="FS37" s="725">
        <f t="shared" si="91"/>
        <v>40603</v>
      </c>
      <c r="FT37" s="714">
        <f t="shared" si="92"/>
        <v>40709</v>
      </c>
      <c r="FU37" s="712">
        <f t="shared" si="93"/>
        <v>6518.9048239895692</v>
      </c>
      <c r="FV37" s="714">
        <f t="shared" si="94"/>
        <v>40722</v>
      </c>
      <c r="FW37" s="712">
        <f t="shared" si="95"/>
        <v>3259.4524119947846</v>
      </c>
      <c r="FX37" s="725">
        <f t="shared" si="96"/>
        <v>40851</v>
      </c>
      <c r="FZ37" s="697">
        <f t="shared" si="49"/>
        <v>0</v>
      </c>
      <c r="GA37" s="712" t="str">
        <f t="shared" si="275"/>
        <v/>
      </c>
      <c r="GB37" s="712">
        <f t="shared" si="276"/>
        <v>0</v>
      </c>
      <c r="GC37" s="712" t="str">
        <f t="shared" si="277"/>
        <v/>
      </c>
      <c r="GD37" s="712">
        <f>IF(GA37="P",Lookup!$M$12,IF(GA37="PP",Lookup!$M$13,IF(GA37="PPP",Lookup!$M$14,IF(GA37="T",Lookup!$M$15,IF(GA37="TP",Lookup!$M$16,IF(GA37="TPP",Lookup!$M$17,IF(GA37="TPPP",Lookup!$M$18,0)))))))*FZ37</f>
        <v>0</v>
      </c>
      <c r="GE37" s="712">
        <f t="shared" si="278"/>
        <v>0</v>
      </c>
      <c r="GF37" s="712">
        <f t="shared" si="279"/>
        <v>0</v>
      </c>
      <c r="GG37" s="712">
        <f t="shared" si="280"/>
        <v>0</v>
      </c>
      <c r="GH37" s="712"/>
      <c r="GI37" s="712">
        <f t="shared" si="281"/>
        <v>0</v>
      </c>
      <c r="GJ37" s="712" t="str">
        <f t="shared" si="282"/>
        <v/>
      </c>
      <c r="GK37" s="712">
        <f>IF(GA37="P",Lookup!$N$12,IF(GA37="PP",Lookup!$N$13,IF(GA37="PPP",Lookup!$N$14,IF(GA37="T",Lookup!$N$15,IF(GA37="TP",Lookup!$N$16,IF(GA37="TPP",Lookup!$N$17,IF(GA37="TPPP",Lookup!$N$18,0)))))))*FZ37</f>
        <v>0</v>
      </c>
      <c r="GL37" s="712">
        <f t="shared" si="283"/>
        <v>0</v>
      </c>
      <c r="GM37" s="712">
        <f t="shared" si="284"/>
        <v>0</v>
      </c>
      <c r="GN37" s="712">
        <f t="shared" si="285"/>
        <v>0</v>
      </c>
      <c r="GO37" s="712"/>
      <c r="GP37" s="712">
        <f t="shared" si="286"/>
        <v>0</v>
      </c>
      <c r="GQ37" s="712" t="str">
        <f t="shared" si="287"/>
        <v/>
      </c>
      <c r="GR37" s="712">
        <f>IF(GA37="P",Lookup!$N$12,IF(GA37="PP",Lookup!$N$13,IF(GA37="PPP",Lookup!$N$14,IF(GA37="T",Lookup!$N$15,IF(GA37="TP",Lookup!$N$16,IF(GA37="TPP",Lookup!$N$17,IF(GA37="TPPP",Lookup!$N$18,0)))))))*FZ37</f>
        <v>0</v>
      </c>
      <c r="GS37" s="697">
        <f t="shared" si="83"/>
        <v>0</v>
      </c>
      <c r="GT37" s="712">
        <f t="shared" si="288"/>
        <v>0</v>
      </c>
      <c r="GU37" s="712">
        <f t="shared" si="289"/>
        <v>0</v>
      </c>
      <c r="GV37" s="712"/>
      <c r="GW37" s="712">
        <f t="shared" si="290"/>
        <v>0</v>
      </c>
      <c r="GX37" s="712" t="str">
        <f t="shared" si="291"/>
        <v/>
      </c>
      <c r="GY37" s="712">
        <f>IF(GA37="P",Lookup!$N$12,IF(GA37="PP",Lookup!$N$13,IF(GA37="PPP",Lookup!$N$14,IF(GA37="T",Lookup!$N$15,IF(GA37="TP",Lookup!$N$16,IF(GA37="TPP",Lookup!$N$17,IF(GA37="TPPP",Lookup!$N$18,0)))))))*FZ37</f>
        <v>0</v>
      </c>
      <c r="GZ37" s="697">
        <f t="shared" si="85"/>
        <v>0</v>
      </c>
      <c r="HA37" s="712">
        <f t="shared" si="292"/>
        <v>0</v>
      </c>
      <c r="HB37" s="712">
        <f t="shared" si="293"/>
        <v>0</v>
      </c>
      <c r="HC37" s="712"/>
    </row>
    <row r="38" spans="1:211">
      <c r="A38" s="773" t="s">
        <v>4</v>
      </c>
      <c r="B38" s="708">
        <v>40567</v>
      </c>
      <c r="C38" s="709">
        <v>0.5</v>
      </c>
      <c r="D38" s="675">
        <f t="shared" si="65"/>
        <v>300</v>
      </c>
      <c r="E38" s="675">
        <f t="shared" si="66"/>
        <v>250</v>
      </c>
      <c r="F38" s="710">
        <v>250</v>
      </c>
      <c r="G38" s="712">
        <f>DH38+Sheet1!CV38</f>
        <v>2649.5624573531286</v>
      </c>
      <c r="H38" s="712">
        <f t="shared" si="226"/>
        <v>1445.7139724330623</v>
      </c>
      <c r="I38" s="711">
        <f>MAX(Sheet1!Z38-AJ38+(Sheet1!CW38-E38)*CFStoMGD,0)</f>
        <v>4264.7040000000015</v>
      </c>
      <c r="J38" s="720">
        <f>IF(AND(B38&gt;=Calculation!FS38,B38&lt;=Calculation!FT38),IF(Sheet1!CX38&gt;=Calculation!D38,64.64,0),MAX(Sheet1!Z38-AJ38+(Sheet1!CX38-D38)*CFStoMGD,0))</f>
        <v>2789.498000000001</v>
      </c>
      <c r="K38" s="697">
        <f t="shared" si="67"/>
        <v>64.64</v>
      </c>
      <c r="L38" s="712">
        <f>Sheet1!AA38+Sheet1!AB38-Sheet1!L38+(Sheet1!CW38-F38)*CFStoMGD</f>
        <v>4265.0039999999917</v>
      </c>
      <c r="M38" s="712">
        <f t="shared" si="227"/>
        <v>1746.9307158817237</v>
      </c>
      <c r="N38" s="712">
        <f>IF(Sheet1!CW38&gt;=F38,MIN(73,MIN(MAX(L38,0),MAX(M38,0))),0)</f>
        <v>73</v>
      </c>
      <c r="O38" s="721">
        <f>Sheet1!AA38+Sheet1!AB38</f>
        <v>45.249999999992724</v>
      </c>
      <c r="P38" s="721">
        <f t="shared" si="228"/>
        <v>70.001749999988732</v>
      </c>
      <c r="Q38" s="712">
        <f>MIN(N38,Sheet1!AA38+AG38)</f>
        <v>45.249999999992724</v>
      </c>
      <c r="R38" s="712">
        <f t="shared" si="229"/>
        <v>0</v>
      </c>
      <c r="S38" s="721">
        <f>Sheet1!Y38*MGDtoCFS</f>
        <v>44.445309999999999</v>
      </c>
      <c r="T38" s="721">
        <f>Sheet1!Z38*MGDtoCFS</f>
        <v>26.190709999999999</v>
      </c>
      <c r="U38" s="721">
        <f>Sheet1!AA38*MGDtoCFS</f>
        <v>43.934799999990993</v>
      </c>
      <c r="V38" s="721">
        <f>Sheet1!AB38*MGDtoCFS</f>
        <v>26.066949999997746</v>
      </c>
      <c r="W38" s="721">
        <f>Sheet1!L38*MGDtoCFS</f>
        <v>69.413890000001231</v>
      </c>
      <c r="X38" s="697">
        <f t="shared" si="68"/>
        <v>0</v>
      </c>
      <c r="Y38" s="712">
        <f t="shared" si="230"/>
        <v>0</v>
      </c>
      <c r="Z38" s="712">
        <f t="shared" si="231"/>
        <v>0</v>
      </c>
      <c r="AA38" s="712">
        <f t="shared" si="232"/>
        <v>0</v>
      </c>
      <c r="AB38" s="712">
        <f>(VLOOKUP(Sheet1!CY38,hhdcap_wcm,4)-(((VLOOKUP(Sheet1!CY38,hhdcap_wcm,3)-Sheet1!CY38)/(VLOOKUP(Sheet1!CY38,hhdcap_wcm,3)-VLOOKUP(Sheet1!CY38,hhdcap_wcm,1)))*(VLOOKUP(Sheet1!CY38,hhdcap_wcm,4)-VLOOKUP(Sheet1!CY38,hhdcap_wcm,2))))</f>
        <v>6934.2500000125683</v>
      </c>
      <c r="AC38" s="712">
        <f t="shared" si="233"/>
        <v>-4250.3200000099232</v>
      </c>
      <c r="AD38" s="712">
        <f t="shared" si="70"/>
        <v>0</v>
      </c>
      <c r="AE38" s="712">
        <f t="shared" si="234"/>
        <v>0</v>
      </c>
      <c r="AF38" s="712">
        <f>Sheet1!BA38+Sheet1!BB38+Sheet1!BN38+BT38</f>
        <v>17</v>
      </c>
      <c r="AG38" s="712">
        <f t="shared" si="235"/>
        <v>16.849999999998545</v>
      </c>
      <c r="AH38" s="712">
        <f>Sheet1!BA38+BT38</f>
        <v>0</v>
      </c>
      <c r="AI38" s="712">
        <f>Sheet1!BA38+Sheet1!BB38+BT38</f>
        <v>0</v>
      </c>
      <c r="AJ38" s="712">
        <f>IF((Sheet1!AA38+AG38+AX38+AZ38+BQ38+BS38+CL38+CN38)&lt;=N38,AG38+AX38+AZ38+BQ38+BS38+CL38+CN38,N38-Sheet1!AA38)</f>
        <v>16.849999999998545</v>
      </c>
      <c r="AK38" s="712">
        <f>IF(DR38&lt;K38,0,MAX(Sheet1!AA38+AG38-15/36*K38-N38,Sheet1!ED38,0))</f>
        <v>0</v>
      </c>
      <c r="AL38" s="712">
        <f>IF(OR(B38&gt;=FT38,B38&lt;FS38),0,15/36*K38-MAX(0,64.6-(137.6-(Sheet1!AA38+Sheet1!AB38))))</f>
        <v>0</v>
      </c>
      <c r="AM38" s="712">
        <f>Sheet1!CX38-110</f>
        <v>4505.3125</v>
      </c>
      <c r="AN38" s="712">
        <f>Sheet1!CW38-265</f>
        <v>6582.5</v>
      </c>
      <c r="AO38" s="712">
        <f t="shared" si="71"/>
        <v>27.750000000007276</v>
      </c>
      <c r="AP38" s="712">
        <f t="shared" si="72"/>
        <v>0</v>
      </c>
      <c r="AQ38" s="712">
        <f t="shared" si="236"/>
        <v>0</v>
      </c>
      <c r="AR38" s="712">
        <f t="shared" si="237"/>
        <v>0</v>
      </c>
      <c r="AS38" s="712"/>
      <c r="AT38" s="712">
        <f ca="1">IF(B38&gt;Summary!$A$1,#N/A,AR38*MGtoAF)</f>
        <v>0</v>
      </c>
      <c r="AU38" s="712">
        <f>Sheet1!BG38+Sheet1!BH38+Sheet1!BI38-BC38</f>
        <v>0</v>
      </c>
      <c r="AV38" s="712">
        <f t="shared" si="238"/>
        <v>0</v>
      </c>
      <c r="AW38" s="712">
        <f>IF(Sheet1!EL38="FM",BC38,0)</f>
        <v>0</v>
      </c>
      <c r="AX38" s="712">
        <f t="shared" si="239"/>
        <v>0</v>
      </c>
      <c r="AY38" s="712">
        <f>IF(Sheet1!EL38="OTHER",BC38,0)</f>
        <v>0</v>
      </c>
      <c r="AZ38" s="712">
        <f t="shared" si="240"/>
        <v>0</v>
      </c>
      <c r="BA38" s="712">
        <f t="shared" si="241"/>
        <v>0</v>
      </c>
      <c r="BB38" s="712">
        <f t="shared" si="242"/>
        <v>0</v>
      </c>
      <c r="BC38" s="712">
        <f>IF(OR(Sheet1!EL38="FM", Sheet1!EL38="OTHER"),SUM(Sheet1!BG38:'Sheet1'!BI38),0)</f>
        <v>0</v>
      </c>
      <c r="BD38" s="697">
        <f>IF(AND($B38&gt;=$FL38,$B38&lt;=$FM38),MAX(AV38,Sheet1!EE38,0),MAX(AV38-(7/36)*$K38,0))</f>
        <v>0</v>
      </c>
      <c r="BE38" s="712">
        <f t="shared" si="243"/>
        <v>0</v>
      </c>
      <c r="BF38" s="697">
        <f t="shared" si="73"/>
        <v>0</v>
      </c>
      <c r="BG38" s="697">
        <f>IF(AND($O38&gt;0,Sheet1!EI38=1),(1-($O38-Sheet1!$L38)/$O38)*BB38,0)</f>
        <v>0</v>
      </c>
      <c r="BH38" s="697">
        <f>IF(AND(Sheet1!$L38=0,Sheet1!$L37=0, Calculation!BA38&lt;Sheet1!$EE38-0.1,Sheet1!$EE38=Sheet1!$EE37,Sheet1!$EE38=Sheet1!$EE39),Sheet1!$EE38,BB38-BG38)</f>
        <v>0</v>
      </c>
      <c r="BI38" s="712"/>
      <c r="BJ38" s="712"/>
      <c r="BK38" s="712">
        <f t="shared" si="244"/>
        <v>0</v>
      </c>
      <c r="BL38" s="712"/>
      <c r="BM38" s="712">
        <f ca="1">IF(B38&gt;Summary!$A$1,#N/A,BK38*MGtoAF)</f>
        <v>0</v>
      </c>
      <c r="BN38" s="712">
        <f>Sheet1!BC38+Sheet1!BD38+Sheet1!BE38+Sheet1!BF38-BW38-BX38</f>
        <v>0</v>
      </c>
      <c r="BO38" s="712">
        <f t="shared" si="245"/>
        <v>0</v>
      </c>
      <c r="BP38" s="712">
        <f>IF(Sheet1!EM38="FM",BX38,0)</f>
        <v>0</v>
      </c>
      <c r="BQ38" s="712">
        <f t="shared" si="246"/>
        <v>0</v>
      </c>
      <c r="BR38" s="712">
        <f>IF(Sheet1!EM38="OTHER",BX38,0)</f>
        <v>0</v>
      </c>
      <c r="BS38" s="712">
        <f t="shared" si="247"/>
        <v>0</v>
      </c>
      <c r="BT38" s="712">
        <f t="shared" si="248"/>
        <v>0</v>
      </c>
      <c r="BU38" s="712">
        <f t="shared" si="249"/>
        <v>0</v>
      </c>
      <c r="BV38" s="712">
        <f t="shared" si="250"/>
        <v>0</v>
      </c>
      <c r="BW38" s="712">
        <f>IF(Sheet1!EM38="CWA",SUM(Sheet1!BC38:'Sheet1'!BF38),0)</f>
        <v>0</v>
      </c>
      <c r="BX38" s="712">
        <f>IF(OR(Sheet1!EM38="FM", Sheet1!EM38="OTHER"),SUM(Sheet1!BC38:'Sheet1'!BF38),0)</f>
        <v>0</v>
      </c>
      <c r="BY38" s="697">
        <f>IF(AND($B38&gt;=$FL38,$B38&lt;=$FM38),MAX(BV38,Sheet1!EF38,0),MAX(BV38-(7/36)*$K38,0))</f>
        <v>0</v>
      </c>
      <c r="BZ38" s="712">
        <f t="shared" si="251"/>
        <v>0</v>
      </c>
      <c r="CA38" s="697">
        <f t="shared" si="74"/>
        <v>0</v>
      </c>
      <c r="CB38" s="697">
        <f>IF(AND($O38&gt;0,Sheet1!EJ38=1),(1-($O38-Sheet1!$L38)/$O38)*BV38,0)</f>
        <v>0</v>
      </c>
      <c r="CC38" s="697">
        <f>IF(AND(Sheet1!$L38=0,Sheet1!$L37=0, Calculation!BU38&lt;Sheet1!EF38-0.1,Sheet1!EF38=Sheet1!EF37,Sheet1!EF38=Sheet1!EF39),Sheet1!EF38,BV38-CB38)</f>
        <v>0</v>
      </c>
      <c r="CD38" s="697"/>
      <c r="CE38" s="712"/>
      <c r="CF38" s="712">
        <f t="shared" si="252"/>
        <v>0</v>
      </c>
      <c r="CG38" s="712"/>
      <c r="CH38" s="712">
        <f ca="1">IF(B38&gt;Summary!$A$1,#N/A,CF38*MGtoAF)</f>
        <v>0</v>
      </c>
      <c r="CI38" s="712">
        <f>Sheet1!BK38+Sheet1!BL38+Sheet1!BM38-Sheet1!EN38-CQ38</f>
        <v>0</v>
      </c>
      <c r="CJ38" s="712">
        <f t="shared" si="253"/>
        <v>0</v>
      </c>
      <c r="CK38" s="712">
        <f>IF(Sheet1!EN38="FM",CQ38,0)</f>
        <v>0</v>
      </c>
      <c r="CL38" s="712">
        <f t="shared" si="254"/>
        <v>0</v>
      </c>
      <c r="CM38" s="712">
        <f>IF(Sheet1!EN38="OTHER",CQ38,0)</f>
        <v>0</v>
      </c>
      <c r="CN38" s="712">
        <f t="shared" si="255"/>
        <v>0</v>
      </c>
      <c r="CO38" s="712">
        <f t="shared" si="256"/>
        <v>0</v>
      </c>
      <c r="CP38" s="712">
        <f t="shared" si="257"/>
        <v>0</v>
      </c>
      <c r="CQ38" s="712">
        <f>IF(OR(Sheet1!EN38="FM", Sheet1!EN38="OTHER"),SUM(Sheet1!BK38:'Sheet1'!BM38),0)</f>
        <v>0</v>
      </c>
      <c r="CR38" s="697">
        <f>IF(AND($B38&gt;=$FL38,$B38&lt;=$FM38),MAX($CJ38,Sheet1!EG38,0),MAX($CJ38-(7/36)*$K38,0))</f>
        <v>0</v>
      </c>
      <c r="CS38" s="712">
        <f t="shared" si="258"/>
        <v>0</v>
      </c>
      <c r="CT38" s="697">
        <f t="shared" si="75"/>
        <v>0</v>
      </c>
      <c r="CU38" s="697">
        <f>IF(AND($O38&gt;0,Sheet1!EK38=1),(1-($O38-Sheet1!$L38)/$O38)*CP38,0)</f>
        <v>0</v>
      </c>
      <c r="CV38" s="697">
        <f>IF(AND(Sheet1!$L38=0,Sheet1!$L37=0, Calculation!CO38&lt;Sheet1!$EG38-0.1,Sheet1!$EG38=Sheet1!$EG37,Sheet1!$EG38=Sheet1!$EG39),Sheet1!$EG38,CP38-CU38)</f>
        <v>0</v>
      </c>
      <c r="CW38" s="697">
        <f t="shared" si="33"/>
        <v>0</v>
      </c>
      <c r="CX38" s="712">
        <f t="shared" si="87"/>
        <v>0</v>
      </c>
      <c r="CY38" s="712">
        <f t="shared" si="259"/>
        <v>0</v>
      </c>
      <c r="CZ38" s="712">
        <f t="shared" si="260"/>
        <v>0</v>
      </c>
      <c r="DA38" s="712">
        <f ca="1">IF(B38&gt;Summary!$A$1,#N/A,CY38*MGtoAF)</f>
        <v>0</v>
      </c>
      <c r="DB38" s="712">
        <f t="shared" si="261"/>
        <v>0</v>
      </c>
      <c r="DC38" s="712">
        <f t="shared" si="262"/>
        <v>17</v>
      </c>
      <c r="DD38" s="712">
        <f>Sheet1!AB38-DC38</f>
        <v>-0.15000000000145519</v>
      </c>
      <c r="DE38" s="712">
        <f t="shared" si="263"/>
        <v>-8.8235294118503057E-3</v>
      </c>
      <c r="DF38" s="712">
        <f>(VLOOKUP(Sheet1!CY38,hhdcap_wcm,4)-(((VLOOKUP(Sheet1!CY38,hhdcap_wcm,3)-Sheet1!CY38)/(VLOOKUP(Sheet1!CY38,hhdcap_wcm,3)-VLOOKUP(Sheet1!CY38,hhdcap_wcm,1)))*(VLOOKUP(Sheet1!CY38,hhdcap_wcm,4)-VLOOKUP(Sheet1!CY38,hhdcap_wcm,2))))</f>
        <v>6934.2500000125683</v>
      </c>
      <c r="DG38" s="712">
        <f t="shared" si="264"/>
        <v>-4250.3200000099232</v>
      </c>
      <c r="DH38" s="712">
        <f t="shared" si="265"/>
        <v>-2143.3787191174597</v>
      </c>
      <c r="DI38" s="712">
        <f>Sheet1!DW38*AFtoMG</f>
        <v>0</v>
      </c>
      <c r="DJ38" s="712">
        <f>Sheet1!DX38*AFtoMG</f>
        <v>0</v>
      </c>
      <c r="DK38" s="712">
        <f>Sheet1!DY38*AFtoMG</f>
        <v>0</v>
      </c>
      <c r="DL38" s="712">
        <f>Sheet1!DZ38*AFtoMG</f>
        <v>0</v>
      </c>
      <c r="DM38" s="712">
        <f t="shared" si="266"/>
        <v>0</v>
      </c>
      <c r="DN38" s="712">
        <f t="shared" si="267"/>
        <v>0</v>
      </c>
      <c r="DO38" s="712">
        <f t="shared" si="268"/>
        <v>0</v>
      </c>
      <c r="DP38" s="712">
        <f t="shared" si="269"/>
        <v>0</v>
      </c>
      <c r="DQ38" s="712"/>
      <c r="DR38" s="697">
        <f>IF(OR(B38&lt;FL38,B38&gt;FM38),(MIN(AV38+BO38+CJ38+MAX(Sheet1!AA38+AG38-73,0),K38)),0)</f>
        <v>0</v>
      </c>
      <c r="DS38" s="712"/>
      <c r="DT38" s="712">
        <f t="shared" si="270"/>
        <v>0</v>
      </c>
      <c r="DU38" s="712"/>
      <c r="DV38" s="712">
        <f>Sheet1!ED38+Sheet1!EE38+Sheet1!EF38+Sheet1!EG38</f>
        <v>9.5</v>
      </c>
      <c r="DW38" s="712"/>
      <c r="DX38" s="697">
        <f t="shared" si="77"/>
        <v>0</v>
      </c>
      <c r="DY38" s="712">
        <f>IF(Sheet1!FN38=1,SUM('Calculations II'!AT38:BA38)+'Calculations II'!BC38+Sheet1!BU38+'Calculations II'!BE38+AF38,SUM('Calculations II'!AT38:BA38)+'Calculations II'!BC38+Sheet1!BU38+'Calculations II'!BE38+AF38)</f>
        <v>43.568671999999999</v>
      </c>
      <c r="DZ38" s="712">
        <f>Sheet1!AA38+Sheet1!AB38+'Calculations II'!BC38</f>
        <v>45.249999999992724</v>
      </c>
      <c r="EA38" s="712"/>
      <c r="EB38" s="712"/>
      <c r="EC38" s="712">
        <f t="shared" si="271"/>
        <v>40567</v>
      </c>
      <c r="ED38" s="712">
        <f t="shared" si="272"/>
        <v>0</v>
      </c>
      <c r="EE38" s="712">
        <f t="shared" si="273"/>
        <v>0</v>
      </c>
      <c r="EF38" s="712">
        <f>-(VLOOKUP(Sheet1!BQ38,Lookup!$B$4:$J$236,2)-VLOOKUP(Sheet1!BQ37,Lookup!$B$4:$J$236,2))/1000000</f>
        <v>-0.54100000000000004</v>
      </c>
      <c r="EG38" s="712">
        <f>-(VLOOKUP(Sheet1!BR38,Lookup!$B$4:$J$236,3)-VLOOKUP(Sheet1!BR37,Lookup!$B$4:$J$236,3))/1000000</f>
        <v>-0.53659999999999997</v>
      </c>
      <c r="EH38" s="712">
        <f>-(VLOOKUP(Sheet1!BS38,Lookup!$B$4:$J$236,4)-VLOOKUP(Sheet1!BS37,Lookup!$B$4:$J$236,4))/1000000</f>
        <v>0</v>
      </c>
      <c r="EI38" s="697">
        <f t="shared" si="88"/>
        <v>-1.0775999999999999</v>
      </c>
      <c r="EJ38" s="712"/>
      <c r="EK38" s="712"/>
      <c r="EL38" s="712"/>
      <c r="EM38" s="712"/>
      <c r="EN38" s="712"/>
      <c r="EO38" s="712"/>
      <c r="EP38" s="712"/>
      <c r="EQ38" s="712"/>
      <c r="ER38" s="697">
        <v>0</v>
      </c>
      <c r="ES38" s="712"/>
      <c r="ET38" s="794" t="e">
        <f t="shared" si="274"/>
        <v>#N/A</v>
      </c>
      <c r="EU38" s="794" t="e">
        <f t="shared" si="79"/>
        <v>#VALUE!</v>
      </c>
      <c r="EV38" s="795" t="e">
        <f t="shared" si="48"/>
        <v>#VALUE!</v>
      </c>
      <c r="EW38" s="796" t="s">
        <v>757</v>
      </c>
      <c r="EX38" s="796" t="s">
        <v>757</v>
      </c>
      <c r="EY38" s="794">
        <v>0</v>
      </c>
      <c r="EZ38" s="794" t="e">
        <v>#N/A</v>
      </c>
      <c r="FA38" s="712"/>
      <c r="FB38" s="712"/>
      <c r="FC38" s="712"/>
      <c r="FD38" s="712"/>
      <c r="FE38" s="712">
        <f>O38+Sheet1!CO38</f>
        <v>45.249999999992724</v>
      </c>
      <c r="FF38" s="712">
        <f>IF(Sheet1!AA38+AG38&lt;=Calculation!N38,AG38,Calculation!N38-Sheet1!AA38)</f>
        <v>16.849999999998545</v>
      </c>
      <c r="FG38" s="712">
        <f>(Sheet1!BP38+Sheet1!BO38)/694.4</f>
        <v>1.63536866359447</v>
      </c>
      <c r="FH38" s="712"/>
      <c r="FI38" s="712"/>
      <c r="FJ38" s="712"/>
      <c r="FK38" s="712"/>
      <c r="FL38" s="714">
        <f t="shared" si="89"/>
        <v>40753</v>
      </c>
      <c r="FM38" s="714">
        <f t="shared" si="90"/>
        <v>40851</v>
      </c>
      <c r="FN38" s="712"/>
      <c r="FO38" s="712"/>
      <c r="FP38" s="712"/>
      <c r="FQ38" s="712"/>
      <c r="FR38" s="712"/>
      <c r="FS38" s="725">
        <f t="shared" si="91"/>
        <v>40603</v>
      </c>
      <c r="FT38" s="714">
        <f t="shared" si="92"/>
        <v>40709</v>
      </c>
      <c r="FU38" s="712">
        <f t="shared" si="93"/>
        <v>6518.9048239895692</v>
      </c>
      <c r="FV38" s="714">
        <f t="shared" si="94"/>
        <v>40722</v>
      </c>
      <c r="FW38" s="712">
        <f t="shared" si="95"/>
        <v>3259.4524119947846</v>
      </c>
      <c r="FX38" s="725">
        <f t="shared" si="96"/>
        <v>40851</v>
      </c>
      <c r="FZ38" s="697">
        <f t="shared" si="49"/>
        <v>0</v>
      </c>
      <c r="GA38" s="712" t="str">
        <f t="shared" si="275"/>
        <v/>
      </c>
      <c r="GB38" s="712">
        <f t="shared" si="276"/>
        <v>0</v>
      </c>
      <c r="GC38" s="712" t="str">
        <f t="shared" si="277"/>
        <v/>
      </c>
      <c r="GD38" s="712">
        <f>IF(GA38="P",Lookup!$M$12,IF(GA38="PP",Lookup!$M$13,IF(GA38="PPP",Lookup!$M$14,IF(GA38="T",Lookup!$M$15,IF(GA38="TP",Lookup!$M$16,IF(GA38="TPP",Lookup!$M$17,IF(GA38="TPPP",Lookup!$M$18,0)))))))*FZ38</f>
        <v>0</v>
      </c>
      <c r="GE38" s="712">
        <f t="shared" si="278"/>
        <v>0</v>
      </c>
      <c r="GF38" s="712">
        <f t="shared" si="279"/>
        <v>0</v>
      </c>
      <c r="GG38" s="712">
        <f t="shared" si="280"/>
        <v>0</v>
      </c>
      <c r="GH38" s="712"/>
      <c r="GI38" s="712">
        <f t="shared" si="281"/>
        <v>0</v>
      </c>
      <c r="GJ38" s="712" t="str">
        <f t="shared" si="282"/>
        <v/>
      </c>
      <c r="GK38" s="712">
        <f>IF(GA38="P",Lookup!$N$12,IF(GA38="PP",Lookup!$N$13,IF(GA38="PPP",Lookup!$N$14,IF(GA38="T",Lookup!$N$15,IF(GA38="TP",Lookup!$N$16,IF(GA38="TPP",Lookup!$N$17,IF(GA38="TPPP",Lookup!$N$18,0)))))))*FZ38</f>
        <v>0</v>
      </c>
      <c r="GL38" s="712">
        <f t="shared" si="283"/>
        <v>0</v>
      </c>
      <c r="GM38" s="712">
        <f t="shared" si="284"/>
        <v>0</v>
      </c>
      <c r="GN38" s="712">
        <f t="shared" si="285"/>
        <v>0</v>
      </c>
      <c r="GO38" s="712"/>
      <c r="GP38" s="712">
        <f t="shared" si="286"/>
        <v>0</v>
      </c>
      <c r="GQ38" s="712" t="str">
        <f t="shared" si="287"/>
        <v/>
      </c>
      <c r="GR38" s="712">
        <f>IF(GA38="P",Lookup!$N$12,IF(GA38="PP",Lookup!$N$13,IF(GA38="PPP",Lookup!$N$14,IF(GA38="T",Lookup!$N$15,IF(GA38="TP",Lookup!$N$16,IF(GA38="TPP",Lookup!$N$17,IF(GA38="TPPP",Lookup!$N$18,0)))))))*FZ38</f>
        <v>0</v>
      </c>
      <c r="GS38" s="697">
        <f t="shared" si="83"/>
        <v>0</v>
      </c>
      <c r="GT38" s="712">
        <f t="shared" si="288"/>
        <v>0</v>
      </c>
      <c r="GU38" s="712">
        <f t="shared" si="289"/>
        <v>0</v>
      </c>
      <c r="GV38" s="712"/>
      <c r="GW38" s="712">
        <f t="shared" si="290"/>
        <v>0</v>
      </c>
      <c r="GX38" s="712" t="str">
        <f t="shared" si="291"/>
        <v/>
      </c>
      <c r="GY38" s="712">
        <f>IF(GA38="P",Lookup!$N$12,IF(GA38="PP",Lookup!$N$13,IF(GA38="PPP",Lookup!$N$14,IF(GA38="T",Lookup!$N$15,IF(GA38="TP",Lookup!$N$16,IF(GA38="TPP",Lookup!$N$17,IF(GA38="TPPP",Lookup!$N$18,0)))))))*FZ38</f>
        <v>0</v>
      </c>
      <c r="GZ38" s="697">
        <f t="shared" si="85"/>
        <v>0</v>
      </c>
      <c r="HA38" s="712">
        <f t="shared" si="292"/>
        <v>0</v>
      </c>
      <c r="HB38" s="712">
        <f t="shared" si="293"/>
        <v>0</v>
      </c>
      <c r="HC38" s="712"/>
    </row>
    <row r="39" spans="1:211">
      <c r="A39" s="773" t="s">
        <v>5</v>
      </c>
      <c r="B39" s="708">
        <v>40568</v>
      </c>
      <c r="C39" s="719">
        <v>0.5</v>
      </c>
      <c r="D39" s="675">
        <f t="shared" si="65"/>
        <v>300</v>
      </c>
      <c r="E39" s="675">
        <f t="shared" si="66"/>
        <v>250</v>
      </c>
      <c r="F39" s="675">
        <v>250</v>
      </c>
      <c r="G39" s="712">
        <f>DH39+Sheet1!CV39</f>
        <v>3236.4130402523206</v>
      </c>
      <c r="H39" s="712">
        <f t="shared" si="226"/>
        <v>1825.0541892191</v>
      </c>
      <c r="I39" s="711">
        <f>MAX(Sheet1!Z39-AJ39+(Sheet1!CW39-E39)*CFStoMGD,0)</f>
        <v>3605.1706666666632</v>
      </c>
      <c r="J39" s="720">
        <f>IF(AND(B39&gt;=Calculation!FS39,B39&lt;=Calculation!FT39),IF(Sheet1!CX39&gt;=Calculation!D39,64.64,0),MAX(Sheet1!Z39-AJ39+(Sheet1!CX39-D39)*CFStoMGD,0))</f>
        <v>2445.0846666666639</v>
      </c>
      <c r="K39" s="697">
        <f t="shared" si="67"/>
        <v>64.64</v>
      </c>
      <c r="L39" s="712">
        <f>Sheet1!AA39+Sheet1!AB39-Sheet1!L39+(Sheet1!CW39-F39)*CFStoMGD</f>
        <v>3605.7706666666809</v>
      </c>
      <c r="M39" s="712">
        <f t="shared" si="227"/>
        <v>2133.8577370034823</v>
      </c>
      <c r="N39" s="712">
        <f>IF(Sheet1!CW39&gt;=F39,MIN(73,MIN(MAX(L39,0),MAX(M39,0))),0)</f>
        <v>73</v>
      </c>
      <c r="O39" s="721">
        <f>Sheet1!AA39+Sheet1!AB39</f>
        <v>45.750000000014552</v>
      </c>
      <c r="P39" s="721">
        <f t="shared" si="228"/>
        <v>70.77525000002251</v>
      </c>
      <c r="Q39" s="712">
        <f>MIN(N39,Sheet1!AA39+AG39)</f>
        <v>45.750000000014552</v>
      </c>
      <c r="R39" s="712">
        <f t="shared" si="229"/>
        <v>0</v>
      </c>
      <c r="S39" s="721">
        <f>Sheet1!Y39*MGDtoCFS</f>
        <v>44.429839999999999</v>
      </c>
      <c r="T39" s="721">
        <f>Sheet1!Z39*MGDtoCFS</f>
        <v>25.974129999999999</v>
      </c>
      <c r="U39" s="721">
        <f>Sheet1!AA39*MGDtoCFS</f>
        <v>44.39890000001801</v>
      </c>
      <c r="V39" s="721">
        <f>Sheet1!AB39*MGDtoCFS</f>
        <v>26.3763500000045</v>
      </c>
      <c r="W39" s="721">
        <f>Sheet1!L39*MGDtoCFS</f>
        <v>70.249269999999768</v>
      </c>
      <c r="X39" s="697">
        <f t="shared" si="68"/>
        <v>0</v>
      </c>
      <c r="Y39" s="712">
        <f t="shared" si="230"/>
        <v>0</v>
      </c>
      <c r="Z39" s="712">
        <f t="shared" si="231"/>
        <v>0</v>
      </c>
      <c r="AA39" s="712">
        <f t="shared" si="232"/>
        <v>0</v>
      </c>
      <c r="AB39" s="712">
        <f>(VLOOKUP(Sheet1!CY39,hhdcap_wcm,4)-(((VLOOKUP(Sheet1!CY39,hhdcap_wcm,3)-Sheet1!CY39)/(VLOOKUP(Sheet1!CY39,hhdcap_wcm,3)-VLOOKUP(Sheet1!CY39,hhdcap_wcm,1)))*(VLOOKUP(Sheet1!CY39,hhdcap_wcm,4)-VLOOKUP(Sheet1!CY39,hhdcap_wcm,2))))</f>
        <v>5481.8800000093897</v>
      </c>
      <c r="AC39" s="712">
        <f t="shared" si="233"/>
        <v>-1452.3700000031786</v>
      </c>
      <c r="AD39" s="712">
        <f t="shared" si="70"/>
        <v>0</v>
      </c>
      <c r="AE39" s="712">
        <f t="shared" si="234"/>
        <v>0</v>
      </c>
      <c r="AF39" s="712">
        <f>Sheet1!BA39+Sheet1!BB39+Sheet1!BN39+BT39</f>
        <v>17.100000000000001</v>
      </c>
      <c r="AG39" s="712">
        <f t="shared" si="235"/>
        <v>17.05000000000291</v>
      </c>
      <c r="AH39" s="712">
        <f>Sheet1!BA39+BT39</f>
        <v>0</v>
      </c>
      <c r="AI39" s="712">
        <f>Sheet1!BA39+Sheet1!BB39+BT39</f>
        <v>0</v>
      </c>
      <c r="AJ39" s="712">
        <f>IF((Sheet1!AA39+AG39+AX39+AZ39+BQ39+BS39+CL39+CN39)&lt;=N39,AG39+AX39+AZ39+BQ39+BS39+CL39+CN39,N39-Sheet1!AA39)</f>
        <v>17.05000000000291</v>
      </c>
      <c r="AK39" s="712">
        <f>IF(DR39&lt;K39,0,MAX(Sheet1!AA39+AG39-15/36*K39-N39,Sheet1!ED39,0))</f>
        <v>0</v>
      </c>
      <c r="AL39" s="712">
        <f>IF(OR(B39&gt;=FT39,B39&lt;FS39),0,15/36*K39-MAX(0,64.6-(137.6-(Sheet1!AA39+Sheet1!AB39))))</f>
        <v>0</v>
      </c>
      <c r="AM39" s="712">
        <f>Sheet1!CX39-110</f>
        <v>3973.0208333333335</v>
      </c>
      <c r="AN39" s="712">
        <f>Sheet1!CW39-265</f>
        <v>5562.708333333333</v>
      </c>
      <c r="AO39" s="712">
        <f t="shared" si="71"/>
        <v>27.249999999985448</v>
      </c>
      <c r="AP39" s="712">
        <f t="shared" si="72"/>
        <v>0</v>
      </c>
      <c r="AQ39" s="712">
        <f t="shared" si="236"/>
        <v>0</v>
      </c>
      <c r="AR39" s="712">
        <f t="shared" si="237"/>
        <v>0</v>
      </c>
      <c r="AS39" s="712"/>
      <c r="AT39" s="712">
        <f ca="1">IF(B39&gt;Summary!$A$1,#N/A,AR39*MGtoAF)</f>
        <v>0</v>
      </c>
      <c r="AU39" s="712">
        <f>Sheet1!BG39+Sheet1!BH39+Sheet1!BI39-BC39</f>
        <v>0</v>
      </c>
      <c r="AV39" s="712">
        <f t="shared" si="238"/>
        <v>0</v>
      </c>
      <c r="AW39" s="712">
        <f>IF(Sheet1!EL39="FM",BC39,0)</f>
        <v>0</v>
      </c>
      <c r="AX39" s="712">
        <f t="shared" si="239"/>
        <v>0</v>
      </c>
      <c r="AY39" s="712">
        <f>IF(Sheet1!EL39="OTHER",BC39,0)</f>
        <v>0</v>
      </c>
      <c r="AZ39" s="712">
        <f t="shared" si="240"/>
        <v>0</v>
      </c>
      <c r="BA39" s="712">
        <f t="shared" si="241"/>
        <v>0</v>
      </c>
      <c r="BB39" s="712">
        <f t="shared" si="242"/>
        <v>0</v>
      </c>
      <c r="BC39" s="712">
        <f>IF(OR(Sheet1!EL39="FM", Sheet1!EL39="OTHER"),SUM(Sheet1!BG39:'Sheet1'!BI39),0)</f>
        <v>0</v>
      </c>
      <c r="BD39" s="697">
        <f>IF(AND($B39&gt;=$FL39,$B39&lt;=$FM39),MAX(AV39,Sheet1!EE39,0),MAX(AV39-(7/36)*$K39,0))</f>
        <v>0</v>
      </c>
      <c r="BE39" s="712">
        <f t="shared" si="243"/>
        <v>0</v>
      </c>
      <c r="BF39" s="697">
        <f t="shared" si="73"/>
        <v>0</v>
      </c>
      <c r="BG39" s="697">
        <f>IF(AND($O39&gt;0,Sheet1!EI39=1),(1-($O39-Sheet1!$L39)/$O39)*BB39,0)</f>
        <v>0</v>
      </c>
      <c r="BH39" s="697">
        <f>IF(AND(Sheet1!$L39=0,Sheet1!$L38=0, Calculation!BA39&lt;Sheet1!$EE39-0.1,Sheet1!$EE39=Sheet1!$EE38,Sheet1!$EE39=Sheet1!$EE40),Sheet1!$EE39,BB39-BG39)</f>
        <v>0</v>
      </c>
      <c r="BI39" s="712"/>
      <c r="BJ39" s="712"/>
      <c r="BK39" s="712">
        <f t="shared" si="244"/>
        <v>0</v>
      </c>
      <c r="BL39" s="712"/>
      <c r="BM39" s="712">
        <f ca="1">IF(B39&gt;Summary!$A$1,#N/A,BK39*MGtoAF)</f>
        <v>0</v>
      </c>
      <c r="BN39" s="712">
        <f>Sheet1!BC39+Sheet1!BD39+Sheet1!BE39+Sheet1!BF39-BW39-BX39</f>
        <v>0</v>
      </c>
      <c r="BO39" s="712">
        <f t="shared" si="245"/>
        <v>0</v>
      </c>
      <c r="BP39" s="712">
        <f>IF(Sheet1!EM39="FM",BX39,0)</f>
        <v>0</v>
      </c>
      <c r="BQ39" s="712">
        <f t="shared" si="246"/>
        <v>0</v>
      </c>
      <c r="BR39" s="712">
        <f>IF(Sheet1!EM39="OTHER",BX39,0)</f>
        <v>0</v>
      </c>
      <c r="BS39" s="712">
        <f t="shared" si="247"/>
        <v>0</v>
      </c>
      <c r="BT39" s="712">
        <f t="shared" si="248"/>
        <v>0</v>
      </c>
      <c r="BU39" s="712">
        <f t="shared" si="249"/>
        <v>0</v>
      </c>
      <c r="BV39" s="712">
        <f t="shared" si="250"/>
        <v>0</v>
      </c>
      <c r="BW39" s="712">
        <f>IF(Sheet1!EM39="CWA",SUM(Sheet1!BC39:'Sheet1'!BF39),0)</f>
        <v>0</v>
      </c>
      <c r="BX39" s="712">
        <f>IF(OR(Sheet1!EM39="FM", Sheet1!EM39="OTHER"),SUM(Sheet1!BC39:'Sheet1'!BF39),0)</f>
        <v>0</v>
      </c>
      <c r="BY39" s="697">
        <f>IF(AND($B39&gt;=$FL39,$B39&lt;=$FM39),MAX(BV39,Sheet1!EF39,0),MAX(BV39-(7/36)*$K39,0))</f>
        <v>0</v>
      </c>
      <c r="BZ39" s="712">
        <f t="shared" si="251"/>
        <v>0</v>
      </c>
      <c r="CA39" s="697">
        <f t="shared" si="74"/>
        <v>0</v>
      </c>
      <c r="CB39" s="697">
        <f>IF(AND($O39&gt;0,Sheet1!EJ39=1),(1-($O39-Sheet1!$L39)/$O39)*BV39,0)</f>
        <v>0</v>
      </c>
      <c r="CC39" s="697">
        <f>IF(AND(Sheet1!$L39=0,Sheet1!$L38=0, Calculation!BU39&lt;Sheet1!EF39-0.1,Sheet1!EF39=Sheet1!EF38,Sheet1!EF39=Sheet1!EF40),Sheet1!EF39,BV39-CB39)</f>
        <v>0</v>
      </c>
      <c r="CD39" s="697"/>
      <c r="CE39" s="712"/>
      <c r="CF39" s="712">
        <f t="shared" si="252"/>
        <v>0</v>
      </c>
      <c r="CG39" s="712"/>
      <c r="CH39" s="712">
        <f ca="1">IF(B39&gt;Summary!$A$1,#N/A,CF39*MGtoAF)</f>
        <v>0</v>
      </c>
      <c r="CI39" s="712">
        <f>Sheet1!BK39+Sheet1!BL39+Sheet1!BM39-Sheet1!EN39-CQ39</f>
        <v>0</v>
      </c>
      <c r="CJ39" s="712">
        <f t="shared" si="253"/>
        <v>0</v>
      </c>
      <c r="CK39" s="712">
        <f>IF(Sheet1!EN39="FM",CQ39,0)</f>
        <v>0</v>
      </c>
      <c r="CL39" s="712">
        <f t="shared" si="254"/>
        <v>0</v>
      </c>
      <c r="CM39" s="712">
        <f>IF(Sheet1!EN39="OTHER",CQ39,0)</f>
        <v>0</v>
      </c>
      <c r="CN39" s="712">
        <f t="shared" si="255"/>
        <v>0</v>
      </c>
      <c r="CO39" s="712">
        <f t="shared" si="256"/>
        <v>0</v>
      </c>
      <c r="CP39" s="712">
        <f t="shared" si="257"/>
        <v>0</v>
      </c>
      <c r="CQ39" s="712">
        <f>IF(OR(Sheet1!EN39="FM", Sheet1!EN39="OTHER"),SUM(Sheet1!BK39:'Sheet1'!BM39),0)</f>
        <v>0</v>
      </c>
      <c r="CR39" s="697">
        <f>IF(AND($B39&gt;=$FL39,$B39&lt;=$FM39),MAX($CJ39,Sheet1!EG39,0),MAX($CJ39-(7/36)*$K39,0))</f>
        <v>0</v>
      </c>
      <c r="CS39" s="712">
        <f t="shared" si="258"/>
        <v>0</v>
      </c>
      <c r="CT39" s="697">
        <f t="shared" si="75"/>
        <v>0</v>
      </c>
      <c r="CU39" s="697">
        <f>IF(AND($O39&gt;0,Sheet1!EK39=1),(1-($O39-Sheet1!$L39)/$O39)*CP39,0)</f>
        <v>0</v>
      </c>
      <c r="CV39" s="697">
        <f>IF(AND(Sheet1!$L39=0,Sheet1!$L38=0, Calculation!CO39&lt;Sheet1!$EG39-0.1,Sheet1!$EG39=Sheet1!$EG38,Sheet1!$EG39=Sheet1!$EG40),Sheet1!$EG39,CP39-CU39)</f>
        <v>0</v>
      </c>
      <c r="CW39" s="697">
        <f t="shared" si="33"/>
        <v>0</v>
      </c>
      <c r="CX39" s="712">
        <f t="shared" si="87"/>
        <v>0</v>
      </c>
      <c r="CY39" s="712">
        <f t="shared" si="259"/>
        <v>0</v>
      </c>
      <c r="CZ39" s="712">
        <f t="shared" si="260"/>
        <v>0</v>
      </c>
      <c r="DA39" s="712">
        <f ca="1">IF(B39&gt;Summary!$A$1,#N/A,CY39*MGtoAF)</f>
        <v>0</v>
      </c>
      <c r="DB39" s="712">
        <f t="shared" si="261"/>
        <v>0</v>
      </c>
      <c r="DC39" s="712">
        <f t="shared" si="262"/>
        <v>17.100000000000001</v>
      </c>
      <c r="DD39" s="712">
        <f>Sheet1!AB39-DC39</f>
        <v>-4.9999999997091038E-2</v>
      </c>
      <c r="DE39" s="712">
        <f t="shared" si="263"/>
        <v>-2.9239766080170196E-3</v>
      </c>
      <c r="DF39" s="712">
        <f>(VLOOKUP(Sheet1!CY39,hhdcap_wcm,4)-(((VLOOKUP(Sheet1!CY39,hhdcap_wcm,3)-Sheet1!CY39)/(VLOOKUP(Sheet1!CY39,hhdcap_wcm,3)-VLOOKUP(Sheet1!CY39,hhdcap_wcm,1)))*(VLOOKUP(Sheet1!CY39,hhdcap_wcm,4)-VLOOKUP(Sheet1!CY39,hhdcap_wcm,2))))</f>
        <v>5481.8800000093897</v>
      </c>
      <c r="DG39" s="712">
        <f t="shared" si="264"/>
        <v>-1452.3700000031786</v>
      </c>
      <c r="DH39" s="712">
        <f t="shared" si="265"/>
        <v>-732.41048915944441</v>
      </c>
      <c r="DI39" s="712">
        <f>Sheet1!DW39*AFtoMG</f>
        <v>0</v>
      </c>
      <c r="DJ39" s="712">
        <f>Sheet1!DX39*AFtoMG</f>
        <v>0</v>
      </c>
      <c r="DK39" s="712">
        <f>Sheet1!DY39*AFtoMG</f>
        <v>0</v>
      </c>
      <c r="DL39" s="712">
        <f>Sheet1!DZ39*AFtoMG</f>
        <v>0</v>
      </c>
      <c r="DM39" s="712">
        <f t="shared" si="266"/>
        <v>0</v>
      </c>
      <c r="DN39" s="712">
        <f t="shared" si="267"/>
        <v>0</v>
      </c>
      <c r="DO39" s="712">
        <f t="shared" si="268"/>
        <v>0</v>
      </c>
      <c r="DP39" s="712">
        <f t="shared" si="269"/>
        <v>0</v>
      </c>
      <c r="DQ39" s="712"/>
      <c r="DR39" s="697">
        <f>IF(OR(B39&lt;FL39,B39&gt;FM39),(MIN(AV39+BO39+CJ39+MAX(Sheet1!AA39+AG39-73,0),K39)),0)</f>
        <v>0</v>
      </c>
      <c r="DS39" s="712"/>
      <c r="DT39" s="712">
        <f t="shared" si="270"/>
        <v>0</v>
      </c>
      <c r="DU39" s="712"/>
      <c r="DV39" s="712">
        <f>Sheet1!ED39+Sheet1!EE39+Sheet1!EF39+Sheet1!EG39</f>
        <v>9.5</v>
      </c>
      <c r="DW39" s="712"/>
      <c r="DX39" s="697">
        <f t="shared" si="77"/>
        <v>0</v>
      </c>
      <c r="DY39" s="712">
        <f>IF(Sheet1!FN39=1,SUM('Calculations II'!AT39:BA39)+'Calculations II'!BC39+Sheet1!BU39+'Calculations II'!BE39+AF39,SUM('Calculations II'!AT39:BA39)+'Calculations II'!BC39+Sheet1!BU39+'Calculations II'!BE39+AF39)</f>
        <v>45.358111999999998</v>
      </c>
      <c r="DZ39" s="712">
        <f>Sheet1!AA39+Sheet1!AB39+'Calculations II'!BC39</f>
        <v>45.750000000014552</v>
      </c>
      <c r="EA39" s="712"/>
      <c r="EB39" s="712"/>
      <c r="EC39" s="712">
        <f t="shared" si="271"/>
        <v>40568</v>
      </c>
      <c r="ED39" s="712">
        <f t="shared" si="272"/>
        <v>0</v>
      </c>
      <c r="EE39" s="712">
        <f t="shared" si="273"/>
        <v>0</v>
      </c>
      <c r="EF39" s="712">
        <f>-(VLOOKUP(Sheet1!BQ39,Lookup!$B$4:$J$236,2)-VLOOKUP(Sheet1!BQ38,Lookup!$B$4:$J$236,2))/1000000</f>
        <v>0</v>
      </c>
      <c r="EG39" s="712">
        <f>-(VLOOKUP(Sheet1!BR39,Lookup!$B$4:$J$236,3)-VLOOKUP(Sheet1!BR38,Lookup!$B$4:$J$236,3))/1000000</f>
        <v>0</v>
      </c>
      <c r="EH39" s="712">
        <f>-(VLOOKUP(Sheet1!BS39,Lookup!$B$4:$J$236,4)-VLOOKUP(Sheet1!BS38,Lookup!$B$4:$J$236,4))/1000000</f>
        <v>0</v>
      </c>
      <c r="EI39" s="697">
        <f t="shared" si="88"/>
        <v>0</v>
      </c>
      <c r="EJ39" s="712"/>
      <c r="EK39" s="712"/>
      <c r="EL39" s="712"/>
      <c r="EM39" s="712"/>
      <c r="EN39" s="712"/>
      <c r="EO39" s="712"/>
      <c r="EP39" s="712"/>
      <c r="EQ39" s="712"/>
      <c r="ER39" s="697">
        <v>0</v>
      </c>
      <c r="ES39" s="712"/>
      <c r="ET39" s="794" t="e">
        <f t="shared" si="274"/>
        <v>#N/A</v>
      </c>
      <c r="EU39" s="794" t="e">
        <f t="shared" si="79"/>
        <v>#VALUE!</v>
      </c>
      <c r="EV39" s="795" t="e">
        <f t="shared" si="48"/>
        <v>#VALUE!</v>
      </c>
      <c r="EW39" s="796" t="s">
        <v>757</v>
      </c>
      <c r="EX39" s="796" t="s">
        <v>757</v>
      </c>
      <c r="EY39" s="794">
        <v>0</v>
      </c>
      <c r="EZ39" s="794" t="e">
        <v>#N/A</v>
      </c>
      <c r="FA39" s="712"/>
      <c r="FB39" s="712"/>
      <c r="FC39" s="712"/>
      <c r="FD39" s="712"/>
      <c r="FE39" s="712">
        <f>O39+Sheet1!CO39</f>
        <v>45.750000000014552</v>
      </c>
      <c r="FF39" s="712">
        <f>IF(Sheet1!AA39+AG39&lt;=Calculation!N39,AG39,Calculation!N39-Sheet1!AA39)</f>
        <v>17.05000000000291</v>
      </c>
      <c r="FG39" s="712">
        <f>(Sheet1!BP39+Sheet1!BO39)/694.4</f>
        <v>2.1084389400921659</v>
      </c>
      <c r="FH39" s="712"/>
      <c r="FI39" s="712"/>
      <c r="FJ39" s="712"/>
      <c r="FK39" s="712"/>
      <c r="FL39" s="714">
        <f t="shared" si="89"/>
        <v>40753</v>
      </c>
      <c r="FM39" s="714">
        <f t="shared" si="90"/>
        <v>40851</v>
      </c>
      <c r="FN39" s="712"/>
      <c r="FO39" s="712"/>
      <c r="FP39" s="712"/>
      <c r="FQ39" s="712"/>
      <c r="FR39" s="712"/>
      <c r="FS39" s="725">
        <f t="shared" si="91"/>
        <v>40603</v>
      </c>
      <c r="FT39" s="714">
        <f t="shared" si="92"/>
        <v>40709</v>
      </c>
      <c r="FU39" s="712">
        <f t="shared" si="93"/>
        <v>6518.9048239895692</v>
      </c>
      <c r="FV39" s="714">
        <f t="shared" si="94"/>
        <v>40722</v>
      </c>
      <c r="FW39" s="712">
        <f t="shared" si="95"/>
        <v>3259.4524119947846</v>
      </c>
      <c r="FX39" s="725">
        <f t="shared" si="96"/>
        <v>40851</v>
      </c>
      <c r="FZ39" s="697">
        <f t="shared" si="49"/>
        <v>0</v>
      </c>
      <c r="GA39" s="712" t="str">
        <f t="shared" si="275"/>
        <v/>
      </c>
      <c r="GB39" s="712">
        <f t="shared" si="276"/>
        <v>0</v>
      </c>
      <c r="GC39" s="712" t="str">
        <f t="shared" si="277"/>
        <v/>
      </c>
      <c r="GD39" s="712">
        <f>IF(GA39="P",Lookup!$M$12,IF(GA39="PP",Lookup!$M$13,IF(GA39="PPP",Lookup!$M$14,IF(GA39="T",Lookup!$M$15,IF(GA39="TP",Lookup!$M$16,IF(GA39="TPP",Lookup!$M$17,IF(GA39="TPPP",Lookup!$M$18,0)))))))*FZ39</f>
        <v>0</v>
      </c>
      <c r="GE39" s="712">
        <f t="shared" si="278"/>
        <v>0</v>
      </c>
      <c r="GF39" s="712">
        <f t="shared" si="279"/>
        <v>0</v>
      </c>
      <c r="GG39" s="712">
        <f t="shared" si="280"/>
        <v>0</v>
      </c>
      <c r="GH39" s="712"/>
      <c r="GI39" s="712">
        <f t="shared" si="281"/>
        <v>0</v>
      </c>
      <c r="GJ39" s="712" t="str">
        <f t="shared" si="282"/>
        <v/>
      </c>
      <c r="GK39" s="712">
        <f>IF(GA39="P",Lookup!$N$12,IF(GA39="PP",Lookup!$N$13,IF(GA39="PPP",Lookup!$N$14,IF(GA39="T",Lookup!$N$15,IF(GA39="TP",Lookup!$N$16,IF(GA39="TPP",Lookup!$N$17,IF(GA39="TPPP",Lookup!$N$18,0)))))))*FZ39</f>
        <v>0</v>
      </c>
      <c r="GL39" s="712">
        <f t="shared" si="283"/>
        <v>0</v>
      </c>
      <c r="GM39" s="712">
        <f t="shared" si="284"/>
        <v>0</v>
      </c>
      <c r="GN39" s="712">
        <f t="shared" si="285"/>
        <v>0</v>
      </c>
      <c r="GO39" s="712"/>
      <c r="GP39" s="712">
        <f t="shared" si="286"/>
        <v>0</v>
      </c>
      <c r="GQ39" s="712" t="str">
        <f t="shared" si="287"/>
        <v/>
      </c>
      <c r="GR39" s="712">
        <f>IF(GA39="P",Lookup!$N$12,IF(GA39="PP",Lookup!$N$13,IF(GA39="PPP",Lookup!$N$14,IF(GA39="T",Lookup!$N$15,IF(GA39="TP",Lookup!$N$16,IF(GA39="TPP",Lookup!$N$17,IF(GA39="TPPP",Lookup!$N$18,0)))))))*FZ39</f>
        <v>0</v>
      </c>
      <c r="GS39" s="697">
        <f t="shared" si="83"/>
        <v>0</v>
      </c>
      <c r="GT39" s="712">
        <f t="shared" si="288"/>
        <v>0</v>
      </c>
      <c r="GU39" s="712">
        <f t="shared" si="289"/>
        <v>0</v>
      </c>
      <c r="GV39" s="712"/>
      <c r="GW39" s="712">
        <f t="shared" si="290"/>
        <v>0</v>
      </c>
      <c r="GX39" s="712" t="str">
        <f t="shared" si="291"/>
        <v/>
      </c>
      <c r="GY39" s="712">
        <f>IF(GA39="P",Lookup!$N$12,IF(GA39="PP",Lookup!$N$13,IF(GA39="PPP",Lookup!$N$14,IF(GA39="T",Lookup!$N$15,IF(GA39="TP",Lookup!$N$16,IF(GA39="TPP",Lookup!$N$17,IF(GA39="TPPP",Lookup!$N$18,0)))))))*FZ39</f>
        <v>0</v>
      </c>
      <c r="GZ39" s="697">
        <f t="shared" si="85"/>
        <v>0</v>
      </c>
      <c r="HA39" s="712">
        <f t="shared" si="292"/>
        <v>0</v>
      </c>
      <c r="HB39" s="712">
        <f t="shared" si="293"/>
        <v>0</v>
      </c>
      <c r="HC39" s="712"/>
    </row>
    <row r="40" spans="1:211">
      <c r="A40" s="773" t="s">
        <v>6</v>
      </c>
      <c r="B40" s="708">
        <v>40569</v>
      </c>
      <c r="C40" s="709">
        <v>0.5</v>
      </c>
      <c r="D40" s="675">
        <f t="shared" si="65"/>
        <v>300</v>
      </c>
      <c r="E40" s="675">
        <f t="shared" si="66"/>
        <v>250</v>
      </c>
      <c r="F40" s="710">
        <v>250</v>
      </c>
      <c r="G40" s="712">
        <f>DH40+Sheet1!CV40</f>
        <v>2910.5170419134683</v>
      </c>
      <c r="H40" s="712">
        <f t="shared" si="226"/>
        <v>1614.3950158928658</v>
      </c>
      <c r="I40" s="711">
        <f>MAX(Sheet1!Z40-AJ40+(Sheet1!CW40-E40)*CFStoMGD,0)</f>
        <v>3363.8633333333346</v>
      </c>
      <c r="J40" s="720">
        <f>IF(AND(B40&gt;=Calculation!FS40,B40&lt;=Calculation!FT40),IF(Sheet1!CX40&gt;=Calculation!D40,64.64,0),MAX(Sheet1!Z40-AJ40+(Sheet1!CX40-D40)*CFStoMGD,0))</f>
        <v>2254.0753333333346</v>
      </c>
      <c r="K40" s="697">
        <f t="shared" si="67"/>
        <v>64.64</v>
      </c>
      <c r="L40" s="712">
        <f>Sheet1!AA40+Sheet1!AB40-Sheet1!L40+(Sheet1!CW40-F40)*CFStoMGD</f>
        <v>3363.9233333333268</v>
      </c>
      <c r="M40" s="712">
        <f t="shared" si="227"/>
        <v>1918.9853802107234</v>
      </c>
      <c r="N40" s="712">
        <f>IF(Sheet1!CW40&gt;=F40,MIN(73,MIN(MAX(L40,0),MAX(M40,0))),0)</f>
        <v>73</v>
      </c>
      <c r="O40" s="721">
        <f>Sheet1!AA40+Sheet1!AB40</f>
        <v>45.999999999992724</v>
      </c>
      <c r="P40" s="721">
        <f t="shared" si="228"/>
        <v>71.161999999988737</v>
      </c>
      <c r="Q40" s="712">
        <f>MIN(N40,Sheet1!AA40+AG40)</f>
        <v>45.999999999992724</v>
      </c>
      <c r="R40" s="712">
        <f t="shared" si="229"/>
        <v>0</v>
      </c>
      <c r="S40" s="721">
        <f>Sheet1!Y40*MGDtoCFS</f>
        <v>44.909410000000001</v>
      </c>
      <c r="T40" s="721">
        <f>Sheet1!Z40*MGDtoCFS</f>
        <v>26.283529999999995</v>
      </c>
      <c r="U40" s="721">
        <f>Sheet1!AA40*MGDtoCFS</f>
        <v>44.708299999990992</v>
      </c>
      <c r="V40" s="721">
        <f>Sheet1!AB40*MGDtoCFS</f>
        <v>26.453699999997749</v>
      </c>
      <c r="W40" s="721">
        <f>Sheet1!L40*MGDtoCFS</f>
        <v>71.239349999998865</v>
      </c>
      <c r="X40" s="697">
        <f t="shared" si="68"/>
        <v>0</v>
      </c>
      <c r="Y40" s="712">
        <f t="shared" si="230"/>
        <v>0</v>
      </c>
      <c r="Z40" s="712">
        <f t="shared" si="231"/>
        <v>0</v>
      </c>
      <c r="AA40" s="712">
        <f t="shared" si="232"/>
        <v>0</v>
      </c>
      <c r="AB40" s="712">
        <f>(VLOOKUP(Sheet1!CY40,hhdcap_wcm,4)-(((VLOOKUP(Sheet1!CY40,hhdcap_wcm,3)-Sheet1!CY40)/(VLOOKUP(Sheet1!CY40,hhdcap_wcm,3)-VLOOKUP(Sheet1!CY40,hhdcap_wcm,1)))*(VLOOKUP(Sheet1!CY40,hhdcap_wcm,4)-VLOOKUP(Sheet1!CY40,hhdcap_wcm,2))))</f>
        <v>3848.6800000061498</v>
      </c>
      <c r="AC40" s="712">
        <f t="shared" si="233"/>
        <v>-1633.2000000032399</v>
      </c>
      <c r="AD40" s="712">
        <f t="shared" si="70"/>
        <v>0</v>
      </c>
      <c r="AE40" s="712">
        <f t="shared" si="234"/>
        <v>0</v>
      </c>
      <c r="AF40" s="712">
        <f>Sheet1!BA40+Sheet1!BB40+Sheet1!BN40+BT40</f>
        <v>17.2</v>
      </c>
      <c r="AG40" s="712">
        <f t="shared" si="235"/>
        <v>17.099999999998545</v>
      </c>
      <c r="AH40" s="712">
        <f>Sheet1!BA40+BT40</f>
        <v>0</v>
      </c>
      <c r="AI40" s="712">
        <f>Sheet1!BA40+Sheet1!BB40+BT40</f>
        <v>0</v>
      </c>
      <c r="AJ40" s="712">
        <f>IF((Sheet1!AA40+AG40+AX40+AZ40+BQ40+BS40+CL40+CN40)&lt;=N40,AG40+AX40+AZ40+BQ40+BS40+CL40+CN40,N40-Sheet1!AA40)</f>
        <v>17.099999999998545</v>
      </c>
      <c r="AK40" s="712">
        <f>IF(DR40&lt;K40,0,MAX(Sheet1!AA40+AG40-15/36*K40-N40,Sheet1!ED40,0))</f>
        <v>0</v>
      </c>
      <c r="AL40" s="712">
        <f>IF(OR(B40&gt;=FT40,B40&lt;FS40),0,15/36*K40-MAX(0,64.6-(137.6-(Sheet1!AA40+Sheet1!AB40))))</f>
        <v>0</v>
      </c>
      <c r="AM40" s="712">
        <f>Sheet1!CX40-110</f>
        <v>3677.2916666666665</v>
      </c>
      <c r="AN40" s="712">
        <f>Sheet1!CW40-265</f>
        <v>5189.166666666667</v>
      </c>
      <c r="AO40" s="712">
        <f t="shared" si="71"/>
        <v>27.000000000007276</v>
      </c>
      <c r="AP40" s="712">
        <f t="shared" si="72"/>
        <v>0</v>
      </c>
      <c r="AQ40" s="712">
        <f t="shared" si="236"/>
        <v>0</v>
      </c>
      <c r="AR40" s="712">
        <f t="shared" si="237"/>
        <v>0</v>
      </c>
      <c r="AS40" s="712"/>
      <c r="AT40" s="712">
        <f ca="1">IF(B40&gt;Summary!$A$1,#N/A,AR40*MGtoAF)</f>
        <v>0</v>
      </c>
      <c r="AU40" s="712">
        <f>Sheet1!BG40+Sheet1!BH40+Sheet1!BI40-BC40</f>
        <v>0</v>
      </c>
      <c r="AV40" s="712">
        <f t="shared" si="238"/>
        <v>0</v>
      </c>
      <c r="AW40" s="712">
        <f>IF(Sheet1!EL40="FM",BC40,0)</f>
        <v>0</v>
      </c>
      <c r="AX40" s="712">
        <f t="shared" si="239"/>
        <v>0</v>
      </c>
      <c r="AY40" s="712">
        <f>IF(Sheet1!EL40="OTHER",BC40,0)</f>
        <v>0</v>
      </c>
      <c r="AZ40" s="712">
        <f t="shared" si="240"/>
        <v>0</v>
      </c>
      <c r="BA40" s="712">
        <f t="shared" si="241"/>
        <v>0</v>
      </c>
      <c r="BB40" s="712">
        <f t="shared" si="242"/>
        <v>0</v>
      </c>
      <c r="BC40" s="712">
        <f>IF(OR(Sheet1!EL40="FM", Sheet1!EL40="OTHER"),SUM(Sheet1!BG40:'Sheet1'!BI40),0)</f>
        <v>0</v>
      </c>
      <c r="BD40" s="697">
        <f>IF(AND($B40&gt;=$FL40,$B40&lt;=$FM40),MAX(AV40,Sheet1!EE40,0),MAX(AV40-(7/36)*$K40,0))</f>
        <v>0</v>
      </c>
      <c r="BE40" s="712">
        <f t="shared" si="243"/>
        <v>0</v>
      </c>
      <c r="BF40" s="697">
        <f t="shared" si="73"/>
        <v>0</v>
      </c>
      <c r="BG40" s="697">
        <f>IF(AND($O40&gt;0,Sheet1!EI40=1),(1-($O40-Sheet1!$L40)/$O40)*BB40,0)</f>
        <v>0</v>
      </c>
      <c r="BH40" s="697">
        <f>IF(AND(Sheet1!$L40=0,Sheet1!$L39=0, Calculation!BA40&lt;Sheet1!$EE40-0.1,Sheet1!$EE40=Sheet1!$EE39,Sheet1!$EE40=Sheet1!$EE41),Sheet1!$EE40,BB40-BG40)</f>
        <v>0</v>
      </c>
      <c r="BI40" s="712"/>
      <c r="BJ40" s="712"/>
      <c r="BK40" s="712">
        <f t="shared" si="244"/>
        <v>0</v>
      </c>
      <c r="BL40" s="712"/>
      <c r="BM40" s="712">
        <f ca="1">IF(B40&gt;Summary!$A$1,#N/A,BK40*MGtoAF)</f>
        <v>0</v>
      </c>
      <c r="BN40" s="712">
        <f>Sheet1!BC40+Sheet1!BD40+Sheet1!BE40+Sheet1!BF40-BW40-BX40</f>
        <v>0</v>
      </c>
      <c r="BO40" s="712">
        <f t="shared" si="245"/>
        <v>0</v>
      </c>
      <c r="BP40" s="712">
        <f>IF(Sheet1!EM40="FM",BX40,0)</f>
        <v>0</v>
      </c>
      <c r="BQ40" s="712">
        <f t="shared" si="246"/>
        <v>0</v>
      </c>
      <c r="BR40" s="712">
        <f>IF(Sheet1!EM40="OTHER",BX40,0)</f>
        <v>0</v>
      </c>
      <c r="BS40" s="712">
        <f t="shared" si="247"/>
        <v>0</v>
      </c>
      <c r="BT40" s="712">
        <f t="shared" si="248"/>
        <v>0</v>
      </c>
      <c r="BU40" s="712">
        <f t="shared" si="249"/>
        <v>0</v>
      </c>
      <c r="BV40" s="712">
        <f t="shared" si="250"/>
        <v>0</v>
      </c>
      <c r="BW40" s="712">
        <f>IF(Sheet1!EM40="CWA",SUM(Sheet1!BC40:'Sheet1'!BF40),0)</f>
        <v>0</v>
      </c>
      <c r="BX40" s="712">
        <f>IF(OR(Sheet1!EM40="FM", Sheet1!EM40="OTHER"),SUM(Sheet1!BC40:'Sheet1'!BF40),0)</f>
        <v>0</v>
      </c>
      <c r="BY40" s="697">
        <f>IF(AND($B40&gt;=$FL40,$B40&lt;=$FM40),MAX(BV40,Sheet1!EF40,0),MAX(BV40-(7/36)*$K40,0))</f>
        <v>0</v>
      </c>
      <c r="BZ40" s="712">
        <f t="shared" si="251"/>
        <v>0</v>
      </c>
      <c r="CA40" s="697">
        <f t="shared" si="74"/>
        <v>0</v>
      </c>
      <c r="CB40" s="697">
        <f>IF(AND($O40&gt;0,Sheet1!EJ40=1),(1-($O40-Sheet1!$L40)/$O40)*BV40,0)</f>
        <v>0</v>
      </c>
      <c r="CC40" s="697">
        <f>IF(AND(Sheet1!$L40=0,Sheet1!$L39=0, Calculation!BU40&lt;Sheet1!EF40-0.1,Sheet1!EF40=Sheet1!EF39,Sheet1!EF40=Sheet1!EF41),Sheet1!EF40,BV40-CB40)</f>
        <v>0</v>
      </c>
      <c r="CD40" s="697"/>
      <c r="CE40" s="712"/>
      <c r="CF40" s="712">
        <f t="shared" si="252"/>
        <v>0</v>
      </c>
      <c r="CG40" s="712"/>
      <c r="CH40" s="712">
        <f ca="1">IF(B40&gt;Summary!$A$1,#N/A,CF40*MGtoAF)</f>
        <v>0</v>
      </c>
      <c r="CI40" s="712">
        <f>Sheet1!BK40+Sheet1!BL40+Sheet1!BM40-Sheet1!EN40-CQ40</f>
        <v>0</v>
      </c>
      <c r="CJ40" s="712">
        <f t="shared" si="253"/>
        <v>0</v>
      </c>
      <c r="CK40" s="712">
        <f>IF(Sheet1!EN40="FM",CQ40,0)</f>
        <v>0</v>
      </c>
      <c r="CL40" s="712">
        <f t="shared" si="254"/>
        <v>0</v>
      </c>
      <c r="CM40" s="712">
        <f>IF(Sheet1!EN40="OTHER",CQ40,0)</f>
        <v>0</v>
      </c>
      <c r="CN40" s="712">
        <f t="shared" si="255"/>
        <v>0</v>
      </c>
      <c r="CO40" s="712">
        <f t="shared" si="256"/>
        <v>0</v>
      </c>
      <c r="CP40" s="712">
        <f t="shared" si="257"/>
        <v>0</v>
      </c>
      <c r="CQ40" s="712">
        <f>IF(OR(Sheet1!EN40="FM", Sheet1!EN40="OTHER"),SUM(Sheet1!BK40:'Sheet1'!BM40),0)</f>
        <v>0</v>
      </c>
      <c r="CR40" s="697">
        <f>IF(AND($B40&gt;=$FL40,$B40&lt;=$FM40),MAX($CJ40,Sheet1!EG40,0),MAX($CJ40-(7/36)*$K40,0))</f>
        <v>0</v>
      </c>
      <c r="CS40" s="712">
        <f t="shared" si="258"/>
        <v>0</v>
      </c>
      <c r="CT40" s="697">
        <f t="shared" si="75"/>
        <v>0</v>
      </c>
      <c r="CU40" s="697">
        <f>IF(AND($O40&gt;0,Sheet1!EK40=1),(1-($O40-Sheet1!$L40)/$O40)*CP40,0)</f>
        <v>0</v>
      </c>
      <c r="CV40" s="697">
        <f>IF(AND(Sheet1!$L40=0,Sheet1!$L39=0, Calculation!CO40&lt;Sheet1!$EG40-0.1,Sheet1!$EG40=Sheet1!$EG39,Sheet1!$EG40=Sheet1!$EG41),Sheet1!$EG40,CP40-CU40)</f>
        <v>0</v>
      </c>
      <c r="CW40" s="697">
        <f t="shared" si="33"/>
        <v>0</v>
      </c>
      <c r="CX40" s="712">
        <f t="shared" si="87"/>
        <v>0</v>
      </c>
      <c r="CY40" s="712">
        <f t="shared" si="259"/>
        <v>0</v>
      </c>
      <c r="CZ40" s="712">
        <f t="shared" si="260"/>
        <v>0</v>
      </c>
      <c r="DA40" s="712">
        <f ca="1">IF(B40&gt;Summary!$A$1,#N/A,CY40*MGtoAF)</f>
        <v>0</v>
      </c>
      <c r="DB40" s="712">
        <f t="shared" si="261"/>
        <v>0</v>
      </c>
      <c r="DC40" s="712">
        <f t="shared" si="262"/>
        <v>17.2</v>
      </c>
      <c r="DD40" s="712">
        <f>Sheet1!AB40-DC40</f>
        <v>-0.10000000000145448</v>
      </c>
      <c r="DE40" s="712">
        <f t="shared" si="263"/>
        <v>-5.8139534884566564E-3</v>
      </c>
      <c r="DF40" s="712">
        <f>(VLOOKUP(Sheet1!CY40,hhdcap_wcm,4)-(((VLOOKUP(Sheet1!CY40,hhdcap_wcm,3)-Sheet1!CY40)/(VLOOKUP(Sheet1!CY40,hhdcap_wcm,3)-VLOOKUP(Sheet1!CY40,hhdcap_wcm,1)))*(VLOOKUP(Sheet1!CY40,hhdcap_wcm,4)-VLOOKUP(Sheet1!CY40,hhdcap_wcm,2))))</f>
        <v>3848.6800000061498</v>
      </c>
      <c r="DG40" s="712">
        <f t="shared" si="264"/>
        <v>-1633.2000000032399</v>
      </c>
      <c r="DH40" s="712">
        <f t="shared" si="265"/>
        <v>-823.6006051453553</v>
      </c>
      <c r="DI40" s="712">
        <f>Sheet1!DW40*AFtoMG</f>
        <v>0</v>
      </c>
      <c r="DJ40" s="712">
        <f>Sheet1!DX40*AFtoMG</f>
        <v>0</v>
      </c>
      <c r="DK40" s="712">
        <f>Sheet1!DY40*AFtoMG</f>
        <v>0</v>
      </c>
      <c r="DL40" s="712">
        <f>Sheet1!DZ40*AFtoMG</f>
        <v>0</v>
      </c>
      <c r="DM40" s="712">
        <f t="shared" si="266"/>
        <v>0</v>
      </c>
      <c r="DN40" s="712">
        <f t="shared" si="267"/>
        <v>0</v>
      </c>
      <c r="DO40" s="712">
        <f t="shared" si="268"/>
        <v>0</v>
      </c>
      <c r="DP40" s="712">
        <f t="shared" si="269"/>
        <v>0</v>
      </c>
      <c r="DQ40" s="712"/>
      <c r="DR40" s="697">
        <f>IF(OR(B40&lt;FL40,B40&gt;FM40),(MIN(AV40+BO40+CJ40+MAX(Sheet1!AA40+AG40-73,0),K40)),0)</f>
        <v>0</v>
      </c>
      <c r="DS40" s="712"/>
      <c r="DT40" s="712">
        <f t="shared" si="270"/>
        <v>0</v>
      </c>
      <c r="DU40" s="712"/>
      <c r="DV40" s="712">
        <f>Sheet1!ED40+Sheet1!EE40+Sheet1!EF40+Sheet1!EG40</f>
        <v>9.5</v>
      </c>
      <c r="DW40" s="712"/>
      <c r="DX40" s="697">
        <f t="shared" si="77"/>
        <v>0</v>
      </c>
      <c r="DY40" s="712">
        <f>IF(Sheet1!FN40=1,SUM('Calculations II'!AT40:BA40)+'Calculations II'!BC40+Sheet1!BU40+'Calculations II'!BE40+AF40,SUM('Calculations II'!AT40:BA40)+'Calculations II'!BC40+Sheet1!BU40+'Calculations II'!BE40+AF40)</f>
        <v>46.617375999999993</v>
      </c>
      <c r="DZ40" s="712">
        <f>Sheet1!AA40+Sheet1!AB40+'Calculations II'!BC40</f>
        <v>45.999999999992724</v>
      </c>
      <c r="EA40" s="712"/>
      <c r="EB40" s="712"/>
      <c r="EC40" s="712">
        <f t="shared" si="271"/>
        <v>40569</v>
      </c>
      <c r="ED40" s="712">
        <f t="shared" si="272"/>
        <v>0</v>
      </c>
      <c r="EE40" s="712">
        <f t="shared" si="273"/>
        <v>0</v>
      </c>
      <c r="EF40" s="712">
        <f>-(VLOOKUP(Sheet1!BQ40,Lookup!$B$4:$J$236,2)-VLOOKUP(Sheet1!BQ39,Lookup!$B$4:$J$236,2))/1000000</f>
        <v>0.80810000000000004</v>
      </c>
      <c r="EG40" s="712">
        <f>-(VLOOKUP(Sheet1!BR40,Lookup!$B$4:$J$236,3)-VLOOKUP(Sheet1!BR39,Lookup!$B$4:$J$236,3))/1000000</f>
        <v>0.80320000000000003</v>
      </c>
      <c r="EH40" s="712">
        <f>-(VLOOKUP(Sheet1!BS40,Lookup!$B$4:$J$236,4)-VLOOKUP(Sheet1!BS39,Lookup!$B$4:$J$236,4))/1000000</f>
        <v>0</v>
      </c>
      <c r="EI40" s="697">
        <f t="shared" si="88"/>
        <v>1.6113</v>
      </c>
      <c r="EJ40" s="712"/>
      <c r="EK40" s="712"/>
      <c r="EL40" s="712"/>
      <c r="EM40" s="712"/>
      <c r="EN40" s="712"/>
      <c r="EO40" s="712"/>
      <c r="EP40" s="712"/>
      <c r="EQ40" s="712"/>
      <c r="ER40" s="697">
        <v>0</v>
      </c>
      <c r="ES40" s="712"/>
      <c r="ET40" s="794" t="e">
        <f t="shared" si="274"/>
        <v>#N/A</v>
      </c>
      <c r="EU40" s="794" t="e">
        <f t="shared" si="79"/>
        <v>#VALUE!</v>
      </c>
      <c r="EV40" s="795" t="e">
        <f t="shared" si="48"/>
        <v>#VALUE!</v>
      </c>
      <c r="EW40" s="796" t="s">
        <v>757</v>
      </c>
      <c r="EX40" s="796" t="s">
        <v>757</v>
      </c>
      <c r="EY40" s="794">
        <v>0</v>
      </c>
      <c r="EZ40" s="794" t="e">
        <v>#N/A</v>
      </c>
      <c r="FA40" s="712"/>
      <c r="FB40" s="712"/>
      <c r="FC40" s="712"/>
      <c r="FD40" s="712"/>
      <c r="FE40" s="712">
        <f>O40+Sheet1!CO40</f>
        <v>45.999999999992724</v>
      </c>
      <c r="FF40" s="712">
        <f>IF(Sheet1!AA40+AG40&lt;=Calculation!N40,AG40,Calculation!N40-Sheet1!AA40)</f>
        <v>17.099999999998545</v>
      </c>
      <c r="FG40" s="712">
        <f>(Sheet1!BP40+Sheet1!BO40)/694.4</f>
        <v>1.3280529953917051</v>
      </c>
      <c r="FH40" s="712"/>
      <c r="FI40" s="712"/>
      <c r="FJ40" s="712"/>
      <c r="FK40" s="712"/>
      <c r="FL40" s="714">
        <f t="shared" si="89"/>
        <v>40753</v>
      </c>
      <c r="FM40" s="714">
        <f t="shared" si="90"/>
        <v>40851</v>
      </c>
      <c r="FN40" s="712"/>
      <c r="FO40" s="712"/>
      <c r="FP40" s="712"/>
      <c r="FQ40" s="712"/>
      <c r="FR40" s="712"/>
      <c r="FS40" s="725">
        <f t="shared" si="91"/>
        <v>40603</v>
      </c>
      <c r="FT40" s="714">
        <f t="shared" si="92"/>
        <v>40709</v>
      </c>
      <c r="FU40" s="712">
        <f t="shared" si="93"/>
        <v>6518.9048239895692</v>
      </c>
      <c r="FV40" s="714">
        <f t="shared" si="94"/>
        <v>40722</v>
      </c>
      <c r="FW40" s="712">
        <f t="shared" si="95"/>
        <v>3259.4524119947846</v>
      </c>
      <c r="FX40" s="725">
        <f t="shared" si="96"/>
        <v>40851</v>
      </c>
      <c r="FZ40" s="697">
        <f t="shared" si="49"/>
        <v>0</v>
      </c>
      <c r="GA40" s="712" t="str">
        <f t="shared" si="275"/>
        <v/>
      </c>
      <c r="GB40" s="712">
        <f t="shared" si="276"/>
        <v>0</v>
      </c>
      <c r="GC40" s="712" t="str">
        <f t="shared" si="277"/>
        <v/>
      </c>
      <c r="GD40" s="712">
        <f>IF(GA40="P",Lookup!$M$12,IF(GA40="PP",Lookup!$M$13,IF(GA40="PPP",Lookup!$M$14,IF(GA40="T",Lookup!$M$15,IF(GA40="TP",Lookup!$M$16,IF(GA40="TPP",Lookup!$M$17,IF(GA40="TPPP",Lookup!$M$18,0)))))))*FZ40</f>
        <v>0</v>
      </c>
      <c r="GE40" s="712">
        <f t="shared" si="278"/>
        <v>0</v>
      </c>
      <c r="GF40" s="712">
        <f t="shared" si="279"/>
        <v>0</v>
      </c>
      <c r="GG40" s="712">
        <f t="shared" si="280"/>
        <v>0</v>
      </c>
      <c r="GH40" s="712"/>
      <c r="GI40" s="712">
        <f t="shared" si="281"/>
        <v>0</v>
      </c>
      <c r="GJ40" s="712" t="str">
        <f t="shared" si="282"/>
        <v/>
      </c>
      <c r="GK40" s="712">
        <f>IF(GA40="P",Lookup!$N$12,IF(GA40="PP",Lookup!$N$13,IF(GA40="PPP",Lookup!$N$14,IF(GA40="T",Lookup!$N$15,IF(GA40="TP",Lookup!$N$16,IF(GA40="TPP",Lookup!$N$17,IF(GA40="TPPP",Lookup!$N$18,0)))))))*FZ40</f>
        <v>0</v>
      </c>
      <c r="GL40" s="712">
        <f t="shared" si="283"/>
        <v>0</v>
      </c>
      <c r="GM40" s="712">
        <f t="shared" si="284"/>
        <v>0</v>
      </c>
      <c r="GN40" s="712">
        <f t="shared" si="285"/>
        <v>0</v>
      </c>
      <c r="GO40" s="712"/>
      <c r="GP40" s="712">
        <f t="shared" si="286"/>
        <v>0</v>
      </c>
      <c r="GQ40" s="712" t="str">
        <f t="shared" si="287"/>
        <v/>
      </c>
      <c r="GR40" s="712">
        <f>IF(GA40="P",Lookup!$N$12,IF(GA40="PP",Lookup!$N$13,IF(GA40="PPP",Lookup!$N$14,IF(GA40="T",Lookup!$N$15,IF(GA40="TP",Lookup!$N$16,IF(GA40="TPP",Lookup!$N$17,IF(GA40="TPPP",Lookup!$N$18,0)))))))*FZ40</f>
        <v>0</v>
      </c>
      <c r="GS40" s="697">
        <f t="shared" si="83"/>
        <v>0</v>
      </c>
      <c r="GT40" s="712">
        <f t="shared" si="288"/>
        <v>0</v>
      </c>
      <c r="GU40" s="712">
        <f t="shared" si="289"/>
        <v>0</v>
      </c>
      <c r="GV40" s="712"/>
      <c r="GW40" s="712">
        <f t="shared" si="290"/>
        <v>0</v>
      </c>
      <c r="GX40" s="712" t="str">
        <f t="shared" si="291"/>
        <v/>
      </c>
      <c r="GY40" s="712">
        <f>IF(GA40="P",Lookup!$N$12,IF(GA40="PP",Lookup!$N$13,IF(GA40="PPP",Lookup!$N$14,IF(GA40="T",Lookup!$N$15,IF(GA40="TP",Lookup!$N$16,IF(GA40="TPP",Lookup!$N$17,IF(GA40="TPPP",Lookup!$N$18,0)))))))*FZ40</f>
        <v>0</v>
      </c>
      <c r="GZ40" s="697">
        <f t="shared" si="85"/>
        <v>0</v>
      </c>
      <c r="HA40" s="712">
        <f t="shared" si="292"/>
        <v>0</v>
      </c>
      <c r="HB40" s="712">
        <f t="shared" si="293"/>
        <v>0</v>
      </c>
      <c r="HC40" s="712"/>
    </row>
    <row r="41" spans="1:211">
      <c r="A41" s="773" t="s">
        <v>7</v>
      </c>
      <c r="B41" s="708">
        <v>40570</v>
      </c>
      <c r="C41" s="719">
        <v>0.5</v>
      </c>
      <c r="D41" s="675">
        <f t="shared" si="65"/>
        <v>300</v>
      </c>
      <c r="E41" s="675">
        <f t="shared" si="66"/>
        <v>250</v>
      </c>
      <c r="F41" s="675">
        <v>250</v>
      </c>
      <c r="G41" s="712">
        <f>DH41+Sheet1!CV41</f>
        <v>2573.6545934551814</v>
      </c>
      <c r="H41" s="712">
        <f t="shared" si="226"/>
        <v>1396.6471292094293</v>
      </c>
      <c r="I41" s="711">
        <f>MAX(Sheet1!Z41-AJ41+(Sheet1!CW41-E41)*CFStoMGD,0)</f>
        <v>2903.2359999999999</v>
      </c>
      <c r="J41" s="720">
        <f>IF(AND(B41&gt;=Calculation!FS41,B41&lt;=Calculation!FT41),IF(Sheet1!CX41&gt;=Calculation!D41,64.64,0),MAX(Sheet1!Z41-AJ41+(Sheet1!CX41-D41)*CFStoMGD,0))</f>
        <v>1784.4926666666668</v>
      </c>
      <c r="K41" s="697">
        <f t="shared" si="67"/>
        <v>64.64</v>
      </c>
      <c r="L41" s="712">
        <f>Sheet1!AA41+Sheet1!AB41-Sheet1!L41+(Sheet1!CW41-F41)*CFStoMGD</f>
        <v>2903.6859999999947</v>
      </c>
      <c r="M41" s="712">
        <f t="shared" si="227"/>
        <v>1696.882535793618</v>
      </c>
      <c r="N41" s="712">
        <f>IF(Sheet1!CW41&gt;=F41,MIN(73,MIN(MAX(L41,0),MAX(M41,0))),0)</f>
        <v>73</v>
      </c>
      <c r="O41" s="721">
        <f>Sheet1!AA41+Sheet1!AB41</f>
        <v>45.899999999994179</v>
      </c>
      <c r="P41" s="721">
        <f t="shared" si="228"/>
        <v>71.007299999990991</v>
      </c>
      <c r="Q41" s="712">
        <f>MIN(N41,Sheet1!AA41+AG41)</f>
        <v>45.899999999994179</v>
      </c>
      <c r="R41" s="712">
        <f t="shared" si="229"/>
        <v>0</v>
      </c>
      <c r="S41" s="721">
        <f>Sheet1!Y41*MGDtoCFS</f>
        <v>44.801119999999997</v>
      </c>
      <c r="T41" s="721">
        <f>Sheet1!Z41*MGDtoCFS</f>
        <v>26.128830000000001</v>
      </c>
      <c r="U41" s="721">
        <f>Sheet1!AA41*MGDtoCFS</f>
        <v>44.708299999990992</v>
      </c>
      <c r="V41" s="721">
        <f>Sheet1!AB41*MGDtoCFS</f>
        <v>26.298999999999999</v>
      </c>
      <c r="W41" s="721">
        <f>Sheet1!L41*MGDtoCFS</f>
        <v>70.481319999999215</v>
      </c>
      <c r="X41" s="697">
        <f t="shared" si="68"/>
        <v>0</v>
      </c>
      <c r="Y41" s="712">
        <f t="shared" si="230"/>
        <v>0</v>
      </c>
      <c r="Z41" s="712">
        <f t="shared" si="231"/>
        <v>0</v>
      </c>
      <c r="AA41" s="712">
        <f t="shared" si="232"/>
        <v>0</v>
      </c>
      <c r="AB41" s="712">
        <f>(VLOOKUP(Sheet1!CY41,hhdcap_wcm,4)-(((VLOOKUP(Sheet1!CY41,hhdcap_wcm,3)-Sheet1!CY41)/(VLOOKUP(Sheet1!CY41,hhdcap_wcm,3)-VLOOKUP(Sheet1!CY41,hhdcap_wcm,1)))*(VLOOKUP(Sheet1!CY41,hhdcap_wcm,4)-VLOOKUP(Sheet1!CY41,hhdcap_wcm,2))))</f>
        <v>2787.4400000042442</v>
      </c>
      <c r="AC41" s="712">
        <f t="shared" si="233"/>
        <v>-1061.2400000019056</v>
      </c>
      <c r="AD41" s="712">
        <f t="shared" si="70"/>
        <v>0</v>
      </c>
      <c r="AE41" s="712">
        <f t="shared" si="234"/>
        <v>0</v>
      </c>
      <c r="AF41" s="712">
        <f>Sheet1!BA41+Sheet1!BB41+Sheet1!BN41+BT41</f>
        <v>17</v>
      </c>
      <c r="AG41" s="712">
        <f t="shared" si="235"/>
        <v>17</v>
      </c>
      <c r="AH41" s="712">
        <f>Sheet1!BA41+BT41</f>
        <v>0</v>
      </c>
      <c r="AI41" s="712">
        <f>Sheet1!BA41+Sheet1!BB41+BT41</f>
        <v>0</v>
      </c>
      <c r="AJ41" s="712">
        <f>IF((Sheet1!AA41+AG41+AX41+AZ41+BQ41+BS41+CL41+CN41)&lt;=N41,AG41+AX41+AZ41+BQ41+BS41+CL41+CN41,N41-Sheet1!AA41)</f>
        <v>17</v>
      </c>
      <c r="AK41" s="712">
        <f>IF(DR41&lt;K41,0,MAX(Sheet1!AA41+AG41-15/36*K41-N41,Sheet1!ED41,0))</f>
        <v>0</v>
      </c>
      <c r="AL41" s="712">
        <f>IF(OR(B41&gt;=FT41,B41&lt;FS41),0,15/36*K41-MAX(0,64.6-(137.6-(Sheet1!AA41+Sheet1!AB41))))</f>
        <v>0</v>
      </c>
      <c r="AM41" s="712">
        <f>Sheet1!CX41-110</f>
        <v>2950.8333333333335</v>
      </c>
      <c r="AN41" s="712">
        <f>Sheet1!CW41-265</f>
        <v>4476.5625</v>
      </c>
      <c r="AO41" s="712">
        <f t="shared" si="71"/>
        <v>27.100000000005821</v>
      </c>
      <c r="AP41" s="712">
        <f t="shared" si="72"/>
        <v>0</v>
      </c>
      <c r="AQ41" s="712">
        <f t="shared" si="236"/>
        <v>0</v>
      </c>
      <c r="AR41" s="712">
        <f t="shared" si="237"/>
        <v>0</v>
      </c>
      <c r="AS41" s="712"/>
      <c r="AT41" s="712">
        <f ca="1">IF(B41&gt;Summary!$A$1,#N/A,AR41*MGtoAF)</f>
        <v>0</v>
      </c>
      <c r="AU41" s="712">
        <f>Sheet1!BG41+Sheet1!BH41+Sheet1!BI41-BC41</f>
        <v>0</v>
      </c>
      <c r="AV41" s="712">
        <f t="shared" si="238"/>
        <v>0</v>
      </c>
      <c r="AW41" s="712">
        <f>IF(Sheet1!EL41="FM",BC41,0)</f>
        <v>0</v>
      </c>
      <c r="AX41" s="712">
        <f t="shared" si="239"/>
        <v>0</v>
      </c>
      <c r="AY41" s="712">
        <f>IF(Sheet1!EL41="OTHER",BC41,0)</f>
        <v>0</v>
      </c>
      <c r="AZ41" s="712">
        <f t="shared" si="240"/>
        <v>0</v>
      </c>
      <c r="BA41" s="712">
        <f t="shared" si="241"/>
        <v>0</v>
      </c>
      <c r="BB41" s="712">
        <f t="shared" si="242"/>
        <v>0</v>
      </c>
      <c r="BC41" s="712">
        <f>IF(OR(Sheet1!EL41="FM", Sheet1!EL41="OTHER"),SUM(Sheet1!BG41:'Sheet1'!BI41),0)</f>
        <v>0</v>
      </c>
      <c r="BD41" s="697">
        <f>IF(AND($B41&gt;=$FL41,$B41&lt;=$FM41),MAX(AV41,Sheet1!EE41,0),MAX(AV41-(7/36)*$K41,0))</f>
        <v>0</v>
      </c>
      <c r="BE41" s="712">
        <f t="shared" si="243"/>
        <v>0</v>
      </c>
      <c r="BF41" s="697">
        <f t="shared" si="73"/>
        <v>0</v>
      </c>
      <c r="BG41" s="697">
        <f>IF(AND($O41&gt;0,Sheet1!EI41=1),(1-($O41-Sheet1!$L41)/$O41)*BB41,0)</f>
        <v>0</v>
      </c>
      <c r="BH41" s="697">
        <f>IF(AND(Sheet1!$L41=0,Sheet1!$L40=0, Calculation!BA41&lt;Sheet1!$EE41-0.1,Sheet1!$EE41=Sheet1!$EE40,Sheet1!$EE41=Sheet1!$EE42),Sheet1!$EE41,BB41-BG41)</f>
        <v>0</v>
      </c>
      <c r="BI41" s="712"/>
      <c r="BJ41" s="712"/>
      <c r="BK41" s="712">
        <f t="shared" si="244"/>
        <v>0</v>
      </c>
      <c r="BL41" s="712"/>
      <c r="BM41" s="712">
        <f ca="1">IF(B41&gt;Summary!$A$1,#N/A,BK41*MGtoAF)</f>
        <v>0</v>
      </c>
      <c r="BN41" s="712">
        <f>Sheet1!BC41+Sheet1!BD41+Sheet1!BE41+Sheet1!BF41-BW41-BX41</f>
        <v>0</v>
      </c>
      <c r="BO41" s="712">
        <f t="shared" si="245"/>
        <v>0</v>
      </c>
      <c r="BP41" s="712">
        <f>IF(Sheet1!EM41="FM",BX41,0)</f>
        <v>0</v>
      </c>
      <c r="BQ41" s="712">
        <f t="shared" si="246"/>
        <v>0</v>
      </c>
      <c r="BR41" s="712">
        <f>IF(Sheet1!EM41="OTHER",BX41,0)</f>
        <v>0</v>
      </c>
      <c r="BS41" s="712">
        <f t="shared" si="247"/>
        <v>0</v>
      </c>
      <c r="BT41" s="712">
        <f t="shared" si="248"/>
        <v>0</v>
      </c>
      <c r="BU41" s="712">
        <f t="shared" si="249"/>
        <v>0</v>
      </c>
      <c r="BV41" s="712">
        <f t="shared" si="250"/>
        <v>0</v>
      </c>
      <c r="BW41" s="712">
        <f>IF(Sheet1!EM41="CWA",SUM(Sheet1!BC41:'Sheet1'!BF41),0)</f>
        <v>0</v>
      </c>
      <c r="BX41" s="712">
        <f>IF(OR(Sheet1!EM41="FM", Sheet1!EM41="OTHER"),SUM(Sheet1!BC41:'Sheet1'!BF41),0)</f>
        <v>0</v>
      </c>
      <c r="BY41" s="697">
        <f>IF(AND($B41&gt;=$FL41,$B41&lt;=$FM41),MAX(BV41,Sheet1!EF41,0),MAX(BV41-(7/36)*$K41,0))</f>
        <v>0</v>
      </c>
      <c r="BZ41" s="712">
        <f t="shared" si="251"/>
        <v>0</v>
      </c>
      <c r="CA41" s="697">
        <f t="shared" si="74"/>
        <v>0</v>
      </c>
      <c r="CB41" s="697">
        <f>IF(AND($O41&gt;0,Sheet1!EJ41=1),(1-($O41-Sheet1!$L41)/$O41)*BV41,0)</f>
        <v>0</v>
      </c>
      <c r="CC41" s="697">
        <f>IF(AND(Sheet1!$L41=0,Sheet1!$L40=0, Calculation!BU41&lt;Sheet1!EF41-0.1,Sheet1!EF41=Sheet1!EF40,Sheet1!EF41=Sheet1!EF42),Sheet1!EF41,BV41-CB41)</f>
        <v>0</v>
      </c>
      <c r="CD41" s="697"/>
      <c r="CE41" s="712"/>
      <c r="CF41" s="712">
        <f t="shared" si="252"/>
        <v>0</v>
      </c>
      <c r="CG41" s="712"/>
      <c r="CH41" s="712">
        <f ca="1">IF(B41&gt;Summary!$A$1,#N/A,CF41*MGtoAF)</f>
        <v>0</v>
      </c>
      <c r="CI41" s="712">
        <f>Sheet1!BK41+Sheet1!BL41+Sheet1!BM41-Sheet1!EN41-CQ41</f>
        <v>0</v>
      </c>
      <c r="CJ41" s="712">
        <f t="shared" si="253"/>
        <v>0</v>
      </c>
      <c r="CK41" s="712">
        <f>IF(Sheet1!EN41="FM",CQ41,0)</f>
        <v>0</v>
      </c>
      <c r="CL41" s="712">
        <f t="shared" si="254"/>
        <v>0</v>
      </c>
      <c r="CM41" s="712">
        <f>IF(Sheet1!EN41="OTHER",CQ41,0)</f>
        <v>0</v>
      </c>
      <c r="CN41" s="712">
        <f t="shared" si="255"/>
        <v>0</v>
      </c>
      <c r="CO41" s="712">
        <f t="shared" si="256"/>
        <v>0</v>
      </c>
      <c r="CP41" s="712">
        <f t="shared" si="257"/>
        <v>0</v>
      </c>
      <c r="CQ41" s="712">
        <f>IF(OR(Sheet1!EN41="FM", Sheet1!EN41="OTHER"),SUM(Sheet1!BK41:'Sheet1'!BM41),0)</f>
        <v>0</v>
      </c>
      <c r="CR41" s="697">
        <f>IF(AND($B41&gt;=$FL41,$B41&lt;=$FM41),MAX($CJ41,Sheet1!EG41,0),MAX($CJ41-(7/36)*$K41,0))</f>
        <v>0</v>
      </c>
      <c r="CS41" s="712">
        <f t="shared" si="258"/>
        <v>0</v>
      </c>
      <c r="CT41" s="697">
        <f t="shared" si="75"/>
        <v>0</v>
      </c>
      <c r="CU41" s="697">
        <f>IF(AND($O41&gt;0,Sheet1!EK41=1),(1-($O41-Sheet1!$L41)/$O41)*CP41,0)</f>
        <v>0</v>
      </c>
      <c r="CV41" s="697">
        <f>IF(AND(Sheet1!$L41=0,Sheet1!$L40=0, Calculation!CO41&lt;Sheet1!$EG41-0.1,Sheet1!$EG41=Sheet1!$EG40,Sheet1!$EG41=Sheet1!$EG42),Sheet1!$EG41,CP41-CU41)</f>
        <v>0</v>
      </c>
      <c r="CW41" s="697">
        <f t="shared" si="33"/>
        <v>0</v>
      </c>
      <c r="CX41" s="712">
        <f t="shared" si="87"/>
        <v>0</v>
      </c>
      <c r="CY41" s="712">
        <f t="shared" si="259"/>
        <v>0</v>
      </c>
      <c r="CZ41" s="712">
        <f t="shared" si="260"/>
        <v>0</v>
      </c>
      <c r="DA41" s="712">
        <f ca="1">IF(B41&gt;Summary!$A$1,#N/A,CY41*MGtoAF)</f>
        <v>0</v>
      </c>
      <c r="DB41" s="712">
        <f t="shared" si="261"/>
        <v>0</v>
      </c>
      <c r="DC41" s="712">
        <f t="shared" si="262"/>
        <v>17</v>
      </c>
      <c r="DD41" s="712">
        <f>Sheet1!AB41-DC41</f>
        <v>0</v>
      </c>
      <c r="DE41" s="712">
        <f t="shared" si="263"/>
        <v>0</v>
      </c>
      <c r="DF41" s="712">
        <f>(VLOOKUP(Sheet1!CY41,hhdcap_wcm,4)-(((VLOOKUP(Sheet1!CY41,hhdcap_wcm,3)-Sheet1!CY41)/(VLOOKUP(Sheet1!CY41,hhdcap_wcm,3)-VLOOKUP(Sheet1!CY41,hhdcap_wcm,1)))*(VLOOKUP(Sheet1!CY41,hhdcap_wcm,4)-VLOOKUP(Sheet1!CY41,hhdcap_wcm,2))))</f>
        <v>2787.4400000042442</v>
      </c>
      <c r="DG41" s="712">
        <f t="shared" si="264"/>
        <v>-1061.2400000019056</v>
      </c>
      <c r="DH41" s="712">
        <f t="shared" si="265"/>
        <v>-535.16893595658371</v>
      </c>
      <c r="DI41" s="712">
        <f>Sheet1!DW41*AFtoMG</f>
        <v>0</v>
      </c>
      <c r="DJ41" s="712">
        <f>Sheet1!DX41*AFtoMG</f>
        <v>0</v>
      </c>
      <c r="DK41" s="712">
        <f>Sheet1!DY41*AFtoMG</f>
        <v>0</v>
      </c>
      <c r="DL41" s="712">
        <f>Sheet1!DZ41*AFtoMG</f>
        <v>0</v>
      </c>
      <c r="DM41" s="712">
        <f t="shared" si="266"/>
        <v>0</v>
      </c>
      <c r="DN41" s="712">
        <f t="shared" si="267"/>
        <v>0</v>
      </c>
      <c r="DO41" s="712">
        <f t="shared" si="268"/>
        <v>0</v>
      </c>
      <c r="DP41" s="712">
        <f t="shared" si="269"/>
        <v>0</v>
      </c>
      <c r="DQ41" s="712"/>
      <c r="DR41" s="697">
        <f>IF(OR(B41&lt;FL41,B41&gt;FM41),(MIN(AV41+BO41+CJ41+MAX(Sheet1!AA41+AG41-73,0),K41)),0)</f>
        <v>0</v>
      </c>
      <c r="DS41" s="712"/>
      <c r="DT41" s="712">
        <f t="shared" si="270"/>
        <v>0</v>
      </c>
      <c r="DU41" s="712"/>
      <c r="DV41" s="712">
        <f>Sheet1!ED41+Sheet1!EE41+Sheet1!EF41+Sheet1!EG41</f>
        <v>9.5</v>
      </c>
      <c r="DW41" s="712"/>
      <c r="DX41" s="697">
        <f t="shared" si="77"/>
        <v>0</v>
      </c>
      <c r="DY41" s="712">
        <f>IF(Sheet1!FN41=1,SUM('Calculations II'!AT41:BA41)+'Calculations II'!BC41+Sheet1!BU41+'Calculations II'!BE41+AF41,SUM('Calculations II'!AT41:BA41)+'Calculations II'!BC41+Sheet1!BU41+'Calculations II'!BE41+AF41)</f>
        <v>43.714176000000002</v>
      </c>
      <c r="DZ41" s="712">
        <f>Sheet1!AA41+Sheet1!AB41+'Calculations II'!BC41</f>
        <v>45.899999999994179</v>
      </c>
      <c r="EA41" s="712"/>
      <c r="EB41" s="712"/>
      <c r="EC41" s="712">
        <f t="shared" si="271"/>
        <v>40570</v>
      </c>
      <c r="ED41" s="712">
        <f t="shared" si="272"/>
        <v>0</v>
      </c>
      <c r="EE41" s="712">
        <f t="shared" si="273"/>
        <v>0</v>
      </c>
      <c r="EF41" s="712">
        <f>-(VLOOKUP(Sheet1!BQ41,Lookup!$B$4:$J$236,2)-VLOOKUP(Sheet1!BQ40,Lookup!$B$4:$J$236,2))/1000000</f>
        <v>-0.2671</v>
      </c>
      <c r="EG41" s="712">
        <f>-(VLOOKUP(Sheet1!BR41,Lookup!$B$4:$J$236,3)-VLOOKUP(Sheet1!BR40,Lookup!$B$4:$J$236,3))/1000000</f>
        <v>-0.53320000000000001</v>
      </c>
      <c r="EH41" s="712">
        <f>-(VLOOKUP(Sheet1!BS41,Lookup!$B$4:$J$236,4)-VLOOKUP(Sheet1!BS40,Lookup!$B$4:$J$236,4))/1000000</f>
        <v>0</v>
      </c>
      <c r="EI41" s="697">
        <f t="shared" si="88"/>
        <v>-0.80030000000000001</v>
      </c>
      <c r="EJ41" s="712"/>
      <c r="EK41" s="712"/>
      <c r="EL41" s="712"/>
      <c r="EM41" s="712"/>
      <c r="EN41" s="712"/>
      <c r="EO41" s="712"/>
      <c r="EP41" s="712"/>
      <c r="EQ41" s="712"/>
      <c r="ER41" s="697">
        <v>0</v>
      </c>
      <c r="ES41" s="712"/>
      <c r="ET41" s="794" t="e">
        <f t="shared" si="274"/>
        <v>#N/A</v>
      </c>
      <c r="EU41" s="794" t="e">
        <f t="shared" si="79"/>
        <v>#VALUE!</v>
      </c>
      <c r="EV41" s="795" t="e">
        <f t="shared" si="48"/>
        <v>#VALUE!</v>
      </c>
      <c r="EW41" s="796" t="s">
        <v>757</v>
      </c>
      <c r="EX41" s="796" t="s">
        <v>757</v>
      </c>
      <c r="EY41" s="794">
        <v>0</v>
      </c>
      <c r="EZ41" s="794" t="e">
        <v>#N/A</v>
      </c>
      <c r="FA41" s="712"/>
      <c r="FB41" s="712"/>
      <c r="FC41" s="712"/>
      <c r="FD41" s="712"/>
      <c r="FE41" s="712">
        <f>O41+Sheet1!CO41</f>
        <v>45.899999999994179</v>
      </c>
      <c r="FF41" s="712">
        <f>IF(Sheet1!AA41+AG41&lt;=Calculation!N41,AG41,Calculation!N41-Sheet1!AA41)</f>
        <v>17</v>
      </c>
      <c r="FG41" s="712">
        <f>(Sheet1!BP41+Sheet1!BO41)/694.4</f>
        <v>2.2321428571428572</v>
      </c>
      <c r="FH41" s="712"/>
      <c r="FI41" s="712"/>
      <c r="FJ41" s="712"/>
      <c r="FK41" s="712"/>
      <c r="FL41" s="714">
        <f t="shared" si="89"/>
        <v>40753</v>
      </c>
      <c r="FM41" s="714">
        <f t="shared" si="90"/>
        <v>40851</v>
      </c>
      <c r="FN41" s="712"/>
      <c r="FO41" s="712"/>
      <c r="FP41" s="712"/>
      <c r="FQ41" s="712"/>
      <c r="FR41" s="712"/>
      <c r="FS41" s="725">
        <f t="shared" si="91"/>
        <v>40603</v>
      </c>
      <c r="FT41" s="714">
        <f t="shared" si="92"/>
        <v>40709</v>
      </c>
      <c r="FU41" s="712">
        <f t="shared" si="93"/>
        <v>6518.9048239895692</v>
      </c>
      <c r="FV41" s="714">
        <f t="shared" si="94"/>
        <v>40722</v>
      </c>
      <c r="FW41" s="712">
        <f t="shared" si="95"/>
        <v>3259.4524119947846</v>
      </c>
      <c r="FX41" s="725">
        <f t="shared" si="96"/>
        <v>40851</v>
      </c>
      <c r="FZ41" s="697">
        <f t="shared" si="49"/>
        <v>0</v>
      </c>
      <c r="GA41" s="712" t="str">
        <f t="shared" si="275"/>
        <v/>
      </c>
      <c r="GB41" s="712">
        <f t="shared" si="276"/>
        <v>0</v>
      </c>
      <c r="GC41" s="712" t="str">
        <f t="shared" si="277"/>
        <v/>
      </c>
      <c r="GD41" s="712">
        <f>IF(GA41="P",Lookup!$M$12,IF(GA41="PP",Lookup!$M$13,IF(GA41="PPP",Lookup!$M$14,IF(GA41="T",Lookup!$M$15,IF(GA41="TP",Lookup!$M$16,IF(GA41="TPP",Lookup!$M$17,IF(GA41="TPPP",Lookup!$M$18,0)))))))*FZ41</f>
        <v>0</v>
      </c>
      <c r="GE41" s="712">
        <f t="shared" si="278"/>
        <v>0</v>
      </c>
      <c r="GF41" s="712">
        <f t="shared" si="279"/>
        <v>0</v>
      </c>
      <c r="GG41" s="712">
        <f t="shared" si="280"/>
        <v>0</v>
      </c>
      <c r="GH41" s="712"/>
      <c r="GI41" s="712">
        <f t="shared" si="281"/>
        <v>0</v>
      </c>
      <c r="GJ41" s="712" t="str">
        <f t="shared" si="282"/>
        <v/>
      </c>
      <c r="GK41" s="712">
        <f>IF(GA41="P",Lookup!$N$12,IF(GA41="PP",Lookup!$N$13,IF(GA41="PPP",Lookup!$N$14,IF(GA41="T",Lookup!$N$15,IF(GA41="TP",Lookup!$N$16,IF(GA41="TPP",Lookup!$N$17,IF(GA41="TPPP",Lookup!$N$18,0)))))))*FZ41</f>
        <v>0</v>
      </c>
      <c r="GL41" s="712">
        <f t="shared" si="283"/>
        <v>0</v>
      </c>
      <c r="GM41" s="712">
        <f t="shared" si="284"/>
        <v>0</v>
      </c>
      <c r="GN41" s="712">
        <f t="shared" si="285"/>
        <v>0</v>
      </c>
      <c r="GO41" s="712"/>
      <c r="GP41" s="712">
        <f t="shared" si="286"/>
        <v>0</v>
      </c>
      <c r="GQ41" s="712" t="str">
        <f t="shared" si="287"/>
        <v/>
      </c>
      <c r="GR41" s="712">
        <f>IF(GA41="P",Lookup!$N$12,IF(GA41="PP",Lookup!$N$13,IF(GA41="PPP",Lookup!$N$14,IF(GA41="T",Lookup!$N$15,IF(GA41="TP",Lookup!$N$16,IF(GA41="TPP",Lookup!$N$17,IF(GA41="TPPP",Lookup!$N$18,0)))))))*FZ41</f>
        <v>0</v>
      </c>
      <c r="GS41" s="697">
        <f t="shared" si="83"/>
        <v>0</v>
      </c>
      <c r="GT41" s="712">
        <f t="shared" si="288"/>
        <v>0</v>
      </c>
      <c r="GU41" s="712">
        <f t="shared" si="289"/>
        <v>0</v>
      </c>
      <c r="GV41" s="712"/>
      <c r="GW41" s="712">
        <f t="shared" si="290"/>
        <v>0</v>
      </c>
      <c r="GX41" s="712" t="str">
        <f t="shared" si="291"/>
        <v/>
      </c>
      <c r="GY41" s="712">
        <f>IF(GA41="P",Lookup!$N$12,IF(GA41="PP",Lookup!$N$13,IF(GA41="PPP",Lookup!$N$14,IF(GA41="T",Lookup!$N$15,IF(GA41="TP",Lookup!$N$16,IF(GA41="TPP",Lookup!$N$17,IF(GA41="TPPP",Lookup!$N$18,0)))))))*FZ41</f>
        <v>0</v>
      </c>
      <c r="GZ41" s="697">
        <f t="shared" si="85"/>
        <v>0</v>
      </c>
      <c r="HA41" s="712">
        <f t="shared" si="292"/>
        <v>0</v>
      </c>
      <c r="HB41" s="712">
        <f t="shared" si="293"/>
        <v>0</v>
      </c>
      <c r="HC41" s="712"/>
    </row>
    <row r="42" spans="1:211">
      <c r="A42" s="773" t="s">
        <v>8</v>
      </c>
      <c r="B42" s="708">
        <v>40571</v>
      </c>
      <c r="C42" s="709">
        <v>0.5</v>
      </c>
      <c r="D42" s="675">
        <f t="shared" si="65"/>
        <v>300</v>
      </c>
      <c r="E42" s="675">
        <f t="shared" si="66"/>
        <v>250</v>
      </c>
      <c r="F42" s="710">
        <v>250</v>
      </c>
      <c r="G42" s="712">
        <f>DH42+Sheet1!CV42</f>
        <v>2119.1250630356631</v>
      </c>
      <c r="H42" s="712">
        <f t="shared" si="226"/>
        <v>1102.8392407462525</v>
      </c>
      <c r="I42" s="711">
        <f>MAX(Sheet1!Z42-AJ42+(Sheet1!CW42-E42)*CFStoMGD,0)</f>
        <v>2234.2818719999987</v>
      </c>
      <c r="J42" s="720">
        <f>IF(AND(B42&gt;=Calculation!FS42,B42&lt;=Calculation!FT42),IF(Sheet1!CX42&gt;=Calculation!D42,64.64,0),MAX(Sheet1!Z42-AJ42+(Sheet1!CX42-D42)*CFStoMGD,0))</f>
        <v>1333.8337439999984</v>
      </c>
      <c r="K42" s="697">
        <f t="shared" si="67"/>
        <v>64.64</v>
      </c>
      <c r="L42" s="712">
        <f>Sheet1!AA42+Sheet1!AB42-Sheet1!L42+(Sheet1!CW42-F42)*CFStoMGD</f>
        <v>2234.9118720000015</v>
      </c>
      <c r="M42" s="712">
        <f t="shared" si="227"/>
        <v>1397.1984895611777</v>
      </c>
      <c r="N42" s="712">
        <f>IF(Sheet1!CW42&gt;=F42,MIN(73,MIN(MAX(L42,0),MAX(M42,0))),0)</f>
        <v>73</v>
      </c>
      <c r="O42" s="721">
        <f>Sheet1!AA42+Sheet1!AB42</f>
        <v>46.900000000001455</v>
      </c>
      <c r="P42" s="721">
        <f t="shared" si="228"/>
        <v>72.554300000002243</v>
      </c>
      <c r="Q42" s="712">
        <f>MIN(N42,Sheet1!AA42+AG42)</f>
        <v>46.900000000001455</v>
      </c>
      <c r="R42" s="712">
        <f t="shared" si="229"/>
        <v>0</v>
      </c>
      <c r="S42" s="721">
        <f>Sheet1!Y42*MGDtoCFS</f>
        <v>45.49727</v>
      </c>
      <c r="T42" s="721">
        <f>Sheet1!Z42*MGDtoCFS</f>
        <v>26.438229999999997</v>
      </c>
      <c r="U42" s="721">
        <f>Sheet1!AA42*MGDtoCFS</f>
        <v>45.636499999999998</v>
      </c>
      <c r="V42" s="721">
        <f>Sheet1!AB42*MGDtoCFS</f>
        <v>26.917800000002249</v>
      </c>
      <c r="W42" s="721">
        <f>Sheet1!L42*MGDtoCFS</f>
        <v>72.059259999999881</v>
      </c>
      <c r="X42" s="697">
        <f t="shared" si="68"/>
        <v>0</v>
      </c>
      <c r="Y42" s="712">
        <f t="shared" si="230"/>
        <v>0</v>
      </c>
      <c r="Z42" s="712">
        <f t="shared" si="231"/>
        <v>0</v>
      </c>
      <c r="AA42" s="712">
        <f t="shared" si="232"/>
        <v>0</v>
      </c>
      <c r="AB42" s="712">
        <f>(VLOOKUP(Sheet1!CY42,hhdcap_wcm,4)-(((VLOOKUP(Sheet1!CY42,hhdcap_wcm,3)-Sheet1!CY42)/(VLOOKUP(Sheet1!CY42,hhdcap_wcm,3)-VLOOKUP(Sheet1!CY42,hhdcap_wcm,1)))*(VLOOKUP(Sheet1!CY42,hhdcap_wcm,4)-VLOOKUP(Sheet1!CY42,hhdcap_wcm,2))))</f>
        <v>2617.1500000039637</v>
      </c>
      <c r="AC42" s="712">
        <f t="shared" si="233"/>
        <v>-170.29000000028054</v>
      </c>
      <c r="AD42" s="712">
        <f t="shared" si="70"/>
        <v>0</v>
      </c>
      <c r="AE42" s="712">
        <f t="shared" si="234"/>
        <v>0</v>
      </c>
      <c r="AF42" s="712">
        <f>Sheet1!BA42+Sheet1!BB42+Sheet1!BN42+BT42</f>
        <v>17</v>
      </c>
      <c r="AG42" s="712">
        <f t="shared" si="235"/>
        <v>17.400000000001455</v>
      </c>
      <c r="AH42" s="712">
        <f>Sheet1!BA42+BT42</f>
        <v>0</v>
      </c>
      <c r="AI42" s="712">
        <f>Sheet1!BA42+Sheet1!BB42+BT42</f>
        <v>0</v>
      </c>
      <c r="AJ42" s="712">
        <f>IF((Sheet1!AA42+AG42+AX42+AZ42+BQ42+BS42+CL42+CN42)&lt;=N42,AG42+AX42+AZ42+BQ42+BS42+CL42+CN42,N42-Sheet1!AA42)</f>
        <v>17.400000000001455</v>
      </c>
      <c r="AK42" s="712">
        <f>IF(DR42&lt;K42,0,MAX(Sheet1!AA42+AG42-15/36*K42-N42,Sheet1!ED42,0))</f>
        <v>0</v>
      </c>
      <c r="AL42" s="712">
        <f>IF(OR(B42&gt;=FT42,B42&lt;FS42),0,15/36*K42-MAX(0,64.6-(137.6-(Sheet1!AA42+Sheet1!AB42))))</f>
        <v>0</v>
      </c>
      <c r="AM42" s="712">
        <f>Sheet1!CX42-110</f>
        <v>2253.96</v>
      </c>
      <c r="AN42" s="712">
        <f>Sheet1!CW42-265</f>
        <v>3441.98</v>
      </c>
      <c r="AO42" s="712">
        <f t="shared" si="71"/>
        <v>26.099999999998545</v>
      </c>
      <c r="AP42" s="712">
        <f t="shared" si="72"/>
        <v>0</v>
      </c>
      <c r="AQ42" s="712">
        <f t="shared" si="236"/>
        <v>0</v>
      </c>
      <c r="AR42" s="712">
        <f t="shared" si="237"/>
        <v>0</v>
      </c>
      <c r="AS42" s="712"/>
      <c r="AT42" s="712">
        <f ca="1">IF(B42&gt;Summary!$A$1,#N/A,AR42*MGtoAF)</f>
        <v>0</v>
      </c>
      <c r="AU42" s="712">
        <f>Sheet1!BG42+Sheet1!BH42+Sheet1!BI42-BC42</f>
        <v>0</v>
      </c>
      <c r="AV42" s="712">
        <f t="shared" si="238"/>
        <v>0</v>
      </c>
      <c r="AW42" s="712">
        <f>IF(Sheet1!EL42="FM",BC42,0)</f>
        <v>0</v>
      </c>
      <c r="AX42" s="712">
        <f t="shared" si="239"/>
        <v>0</v>
      </c>
      <c r="AY42" s="712">
        <f>IF(Sheet1!EL42="OTHER",BC42,0)</f>
        <v>0</v>
      </c>
      <c r="AZ42" s="712">
        <f t="shared" si="240"/>
        <v>0</v>
      </c>
      <c r="BA42" s="712">
        <f t="shared" si="241"/>
        <v>0</v>
      </c>
      <c r="BB42" s="712">
        <f t="shared" si="242"/>
        <v>0</v>
      </c>
      <c r="BC42" s="712">
        <f>IF(OR(Sheet1!EL42="FM", Sheet1!EL42="OTHER"),SUM(Sheet1!BG42:'Sheet1'!BI42),0)</f>
        <v>0</v>
      </c>
      <c r="BD42" s="697">
        <f>IF(AND($B42&gt;=$FL42,$B42&lt;=$FM42),MAX(AV42,Sheet1!EE42,0),MAX(AV42-(7/36)*$K42,0))</f>
        <v>0</v>
      </c>
      <c r="BE42" s="712">
        <f t="shared" si="243"/>
        <v>0</v>
      </c>
      <c r="BF42" s="697">
        <f t="shared" si="73"/>
        <v>0</v>
      </c>
      <c r="BG42" s="697">
        <f>IF(AND($O42&gt;0,Sheet1!EI42=1),(1-($O42-Sheet1!$L42)/$O42)*BB42,0)</f>
        <v>0</v>
      </c>
      <c r="BH42" s="697">
        <f>IF(AND(Sheet1!$L42=0,Sheet1!$L41=0, Calculation!BA42&lt;Sheet1!$EE42-0.1,Sheet1!$EE42=Sheet1!$EE41,Sheet1!$EE42=Sheet1!$EE43),Sheet1!$EE42,BB42-BG42)</f>
        <v>0</v>
      </c>
      <c r="BI42" s="712"/>
      <c r="BJ42" s="712"/>
      <c r="BK42" s="712">
        <f t="shared" si="244"/>
        <v>0</v>
      </c>
      <c r="BL42" s="712"/>
      <c r="BM42" s="712">
        <f ca="1">IF(B42&gt;Summary!$A$1,#N/A,BK42*MGtoAF)</f>
        <v>0</v>
      </c>
      <c r="BN42" s="712">
        <f>Sheet1!BC42+Sheet1!BD42+Sheet1!BE42+Sheet1!BF42-BW42-BX42</f>
        <v>0</v>
      </c>
      <c r="BO42" s="712">
        <f t="shared" si="245"/>
        <v>0</v>
      </c>
      <c r="BP42" s="712">
        <f>IF(Sheet1!EM42="FM",BX42,0)</f>
        <v>0</v>
      </c>
      <c r="BQ42" s="712">
        <f t="shared" si="246"/>
        <v>0</v>
      </c>
      <c r="BR42" s="712">
        <f>IF(Sheet1!EM42="OTHER",BX42,0)</f>
        <v>0</v>
      </c>
      <c r="BS42" s="712">
        <f t="shared" si="247"/>
        <v>0</v>
      </c>
      <c r="BT42" s="712">
        <f t="shared" si="248"/>
        <v>0</v>
      </c>
      <c r="BU42" s="712">
        <f t="shared" si="249"/>
        <v>0</v>
      </c>
      <c r="BV42" s="712">
        <f t="shared" si="250"/>
        <v>0</v>
      </c>
      <c r="BW42" s="712">
        <f>IF(Sheet1!EM42="CWA",SUM(Sheet1!BC42:'Sheet1'!BF42),0)</f>
        <v>0</v>
      </c>
      <c r="BX42" s="712">
        <f>IF(OR(Sheet1!EM42="FM", Sheet1!EM42="OTHER"),SUM(Sheet1!BC42:'Sheet1'!BF42),0)</f>
        <v>0</v>
      </c>
      <c r="BY42" s="697">
        <f>IF(AND($B42&gt;=$FL42,$B42&lt;=$FM42),MAX(BV42,Sheet1!EF42,0),MAX(BV42-(7/36)*$K42,0))</f>
        <v>0</v>
      </c>
      <c r="BZ42" s="712">
        <f t="shared" si="251"/>
        <v>0</v>
      </c>
      <c r="CA42" s="697">
        <f t="shared" si="74"/>
        <v>0</v>
      </c>
      <c r="CB42" s="697">
        <f>IF(AND($O42&gt;0,Sheet1!EJ42=1),(1-($O42-Sheet1!$L42)/$O42)*BV42,0)</f>
        <v>0</v>
      </c>
      <c r="CC42" s="697">
        <f>IF(AND(Sheet1!$L42=0,Sheet1!$L41=0, Calculation!BU42&lt;Sheet1!EF42-0.1,Sheet1!EF42=Sheet1!EF41,Sheet1!EF42=Sheet1!EF43),Sheet1!EF42,BV42-CB42)</f>
        <v>0</v>
      </c>
      <c r="CD42" s="697"/>
      <c r="CE42" s="712"/>
      <c r="CF42" s="712">
        <f t="shared" si="252"/>
        <v>0</v>
      </c>
      <c r="CG42" s="712"/>
      <c r="CH42" s="712">
        <f ca="1">IF(B42&gt;Summary!$A$1,#N/A,CF42*MGtoAF)</f>
        <v>0</v>
      </c>
      <c r="CI42" s="712">
        <f>Sheet1!BK42+Sheet1!BL42+Sheet1!BM42-Sheet1!EN42-CQ42</f>
        <v>0</v>
      </c>
      <c r="CJ42" s="712">
        <f t="shared" si="253"/>
        <v>0</v>
      </c>
      <c r="CK42" s="712">
        <f>IF(Sheet1!EN42="FM",CQ42,0)</f>
        <v>0</v>
      </c>
      <c r="CL42" s="712">
        <f t="shared" si="254"/>
        <v>0</v>
      </c>
      <c r="CM42" s="712">
        <f>IF(Sheet1!EN42="OTHER",CQ42,0)</f>
        <v>0</v>
      </c>
      <c r="CN42" s="712">
        <f t="shared" si="255"/>
        <v>0</v>
      </c>
      <c r="CO42" s="712">
        <f t="shared" si="256"/>
        <v>0</v>
      </c>
      <c r="CP42" s="712">
        <f t="shared" si="257"/>
        <v>0</v>
      </c>
      <c r="CQ42" s="712">
        <f>IF(OR(Sheet1!EN42="FM", Sheet1!EN42="OTHER"),SUM(Sheet1!BK42:'Sheet1'!BM42),0)</f>
        <v>0</v>
      </c>
      <c r="CR42" s="697">
        <f>IF(AND($B42&gt;=$FL42,$B42&lt;=$FM42),MAX($CJ42,Sheet1!EG42,0),MAX($CJ42-(7/36)*$K42,0))</f>
        <v>0</v>
      </c>
      <c r="CS42" s="712">
        <f t="shared" si="258"/>
        <v>0</v>
      </c>
      <c r="CT42" s="697">
        <f t="shared" si="75"/>
        <v>0</v>
      </c>
      <c r="CU42" s="697">
        <f>IF(AND($O42&gt;0,Sheet1!EK42=1),(1-($O42-Sheet1!$L42)/$O42)*CP42,0)</f>
        <v>0</v>
      </c>
      <c r="CV42" s="697">
        <f>IF(AND(Sheet1!$L42=0,Sheet1!$L41=0, Calculation!CO42&lt;Sheet1!$EG42-0.1,Sheet1!$EG42=Sheet1!$EG41,Sheet1!$EG42=Sheet1!$EG43),Sheet1!$EG42,CP42-CU42)</f>
        <v>0</v>
      </c>
      <c r="CW42" s="697">
        <f t="shared" si="33"/>
        <v>0</v>
      </c>
      <c r="CX42" s="712">
        <f t="shared" si="87"/>
        <v>0</v>
      </c>
      <c r="CY42" s="712">
        <f t="shared" si="259"/>
        <v>0</v>
      </c>
      <c r="CZ42" s="712">
        <f t="shared" si="260"/>
        <v>0</v>
      </c>
      <c r="DA42" s="712">
        <f ca="1">IF(B42&gt;Summary!$A$1,#N/A,CY42*MGtoAF)</f>
        <v>0</v>
      </c>
      <c r="DB42" s="712">
        <f t="shared" si="261"/>
        <v>0</v>
      </c>
      <c r="DC42" s="712">
        <f t="shared" si="262"/>
        <v>17</v>
      </c>
      <c r="DD42" s="712">
        <f>Sheet1!AB42-DC42</f>
        <v>0.40000000000145519</v>
      </c>
      <c r="DE42" s="712">
        <f t="shared" si="263"/>
        <v>2.352941176479148E-2</v>
      </c>
      <c r="DF42" s="712">
        <f>(VLOOKUP(Sheet1!CY42,hhdcap_wcm,4)-(((VLOOKUP(Sheet1!CY42,hhdcap_wcm,3)-Sheet1!CY42)/(VLOOKUP(Sheet1!CY42,hhdcap_wcm,3)-VLOOKUP(Sheet1!CY42,hhdcap_wcm,1)))*(VLOOKUP(Sheet1!CY42,hhdcap_wcm,4)-VLOOKUP(Sheet1!CY42,hhdcap_wcm,2))))</f>
        <v>2617.1500000039637</v>
      </c>
      <c r="DG42" s="712">
        <f t="shared" si="264"/>
        <v>-170.29000000028054</v>
      </c>
      <c r="DH42" s="712">
        <f t="shared" si="265"/>
        <v>-85.874936964337124</v>
      </c>
      <c r="DI42" s="712">
        <f>Sheet1!DW42*AFtoMG</f>
        <v>0</v>
      </c>
      <c r="DJ42" s="712">
        <f>Sheet1!DX42*AFtoMG</f>
        <v>0</v>
      </c>
      <c r="DK42" s="712">
        <f>Sheet1!DY42*AFtoMG</f>
        <v>0</v>
      </c>
      <c r="DL42" s="712">
        <f>Sheet1!DZ42*AFtoMG</f>
        <v>0</v>
      </c>
      <c r="DM42" s="712">
        <f t="shared" si="266"/>
        <v>0</v>
      </c>
      <c r="DN42" s="712">
        <f t="shared" si="267"/>
        <v>0</v>
      </c>
      <c r="DO42" s="712">
        <f t="shared" si="268"/>
        <v>0</v>
      </c>
      <c r="DP42" s="712">
        <f t="shared" si="269"/>
        <v>0</v>
      </c>
      <c r="DQ42" s="712"/>
      <c r="DR42" s="697">
        <f>IF(OR(B42&lt;FL42,B42&gt;FM42),(MIN(AV42+BO42+CJ42+MAX(Sheet1!AA42+AG42-73,0),K42)),0)</f>
        <v>0</v>
      </c>
      <c r="DS42" s="712"/>
      <c r="DT42" s="712">
        <f t="shared" si="270"/>
        <v>0</v>
      </c>
      <c r="DU42" s="712"/>
      <c r="DV42" s="712">
        <f>Sheet1!ED42+Sheet1!EE42+Sheet1!EF42+Sheet1!EG42</f>
        <v>9.5</v>
      </c>
      <c r="DW42" s="712"/>
      <c r="DX42" s="697">
        <f t="shared" si="77"/>
        <v>0</v>
      </c>
      <c r="DY42" s="712">
        <f>IF(Sheet1!FN42=1,SUM('Calculations II'!AT42:BA42)+'Calculations II'!BC42+Sheet1!BU42+'Calculations II'!BE42+AF42,SUM('Calculations II'!AT42:BA42)+'Calculations II'!BC42+Sheet1!BU42+'Calculations II'!BE42+AF42)</f>
        <v>45.421024000000003</v>
      </c>
      <c r="DZ42" s="712">
        <f>Sheet1!AA42+Sheet1!AB42+'Calculations II'!BC42</f>
        <v>46.900000000001455</v>
      </c>
      <c r="EA42" s="712"/>
      <c r="EB42" s="712"/>
      <c r="EC42" s="712">
        <f t="shared" si="271"/>
        <v>40571</v>
      </c>
      <c r="ED42" s="712">
        <f t="shared" si="272"/>
        <v>0</v>
      </c>
      <c r="EE42" s="712">
        <f t="shared" si="273"/>
        <v>0</v>
      </c>
      <c r="EF42" s="712">
        <f>-(VLOOKUP(Sheet1!BQ42,Lookup!$B$4:$J$236,2)-VLOOKUP(Sheet1!BQ41,Lookup!$B$4:$J$236,2))/1000000</f>
        <v>-0.27050000000000002</v>
      </c>
      <c r="EG42" s="712">
        <f>-(VLOOKUP(Sheet1!BR42,Lookup!$B$4:$J$236,3)-VLOOKUP(Sheet1!BR41,Lookup!$B$4:$J$236,3))/1000000</f>
        <v>0</v>
      </c>
      <c r="EH42" s="712">
        <f>-(VLOOKUP(Sheet1!BS42,Lookup!$B$4:$J$236,4)-VLOOKUP(Sheet1!BS41,Lookup!$B$4:$J$236,4))/1000000</f>
        <v>0</v>
      </c>
      <c r="EI42" s="697">
        <f t="shared" si="88"/>
        <v>-0.27050000000000002</v>
      </c>
      <c r="EJ42" s="712"/>
      <c r="EK42" s="712"/>
      <c r="EL42" s="712"/>
      <c r="EM42" s="712"/>
      <c r="EN42" s="712"/>
      <c r="EO42" s="712"/>
      <c r="EP42" s="712"/>
      <c r="EQ42" s="712"/>
      <c r="ER42" s="697">
        <v>0</v>
      </c>
      <c r="ES42" s="712"/>
      <c r="ET42" s="794" t="e">
        <f t="shared" si="274"/>
        <v>#N/A</v>
      </c>
      <c r="EU42" s="794" t="e">
        <f t="shared" si="79"/>
        <v>#VALUE!</v>
      </c>
      <c r="EV42" s="795" t="e">
        <f t="shared" si="48"/>
        <v>#VALUE!</v>
      </c>
      <c r="EW42" s="796" t="s">
        <v>757</v>
      </c>
      <c r="EX42" s="796" t="s">
        <v>757</v>
      </c>
      <c r="EY42" s="794">
        <v>0</v>
      </c>
      <c r="EZ42" s="794" t="e">
        <v>#N/A</v>
      </c>
      <c r="FA42" s="712"/>
      <c r="FB42" s="712"/>
      <c r="FC42" s="712"/>
      <c r="FD42" s="712"/>
      <c r="FE42" s="712">
        <f>O42+Sheet1!CO42</f>
        <v>46.900000000001455</v>
      </c>
      <c r="FF42" s="712">
        <f>IF(Sheet1!AA42+AG42&lt;=Calculation!N42,AG42,Calculation!N42-Sheet1!AA42)</f>
        <v>17.400000000001455</v>
      </c>
      <c r="FG42" s="712">
        <f>(Sheet1!BP42+Sheet1!BO42)/694.4</f>
        <v>1.6422811059907836</v>
      </c>
      <c r="FH42" s="712"/>
      <c r="FI42" s="712"/>
      <c r="FJ42" s="712"/>
      <c r="FK42" s="712"/>
      <c r="FL42" s="714">
        <f t="shared" si="89"/>
        <v>40753</v>
      </c>
      <c r="FM42" s="714">
        <f t="shared" si="90"/>
        <v>40851</v>
      </c>
      <c r="FN42" s="712"/>
      <c r="FO42" s="712"/>
      <c r="FP42" s="712"/>
      <c r="FQ42" s="712"/>
      <c r="FR42" s="712"/>
      <c r="FS42" s="725">
        <f t="shared" si="91"/>
        <v>40603</v>
      </c>
      <c r="FT42" s="714">
        <f t="shared" si="92"/>
        <v>40709</v>
      </c>
      <c r="FU42" s="712">
        <f t="shared" si="93"/>
        <v>6518.9048239895692</v>
      </c>
      <c r="FV42" s="714">
        <f t="shared" si="94"/>
        <v>40722</v>
      </c>
      <c r="FW42" s="712">
        <f t="shared" si="95"/>
        <v>3259.4524119947846</v>
      </c>
      <c r="FX42" s="725">
        <f t="shared" si="96"/>
        <v>40851</v>
      </c>
      <c r="FZ42" s="697">
        <f t="shared" si="49"/>
        <v>0</v>
      </c>
      <c r="GA42" s="712" t="str">
        <f t="shared" si="275"/>
        <v/>
      </c>
      <c r="GB42" s="712">
        <f t="shared" si="276"/>
        <v>0</v>
      </c>
      <c r="GC42" s="712" t="str">
        <f t="shared" si="277"/>
        <v/>
      </c>
      <c r="GD42" s="712">
        <f>IF(GA42="P",Lookup!$M$12,IF(GA42="PP",Lookup!$M$13,IF(GA42="PPP",Lookup!$M$14,IF(GA42="T",Lookup!$M$15,IF(GA42="TP",Lookup!$M$16,IF(GA42="TPP",Lookup!$M$17,IF(GA42="TPPP",Lookup!$M$18,0)))))))*FZ42</f>
        <v>0</v>
      </c>
      <c r="GE42" s="712">
        <f t="shared" si="278"/>
        <v>0</v>
      </c>
      <c r="GF42" s="712">
        <f t="shared" si="279"/>
        <v>0</v>
      </c>
      <c r="GG42" s="712">
        <f t="shared" si="280"/>
        <v>0</v>
      </c>
      <c r="GH42" s="712"/>
      <c r="GI42" s="712">
        <f t="shared" si="281"/>
        <v>0</v>
      </c>
      <c r="GJ42" s="712" t="str">
        <f t="shared" si="282"/>
        <v/>
      </c>
      <c r="GK42" s="712">
        <f>IF(GA42="P",Lookup!$N$12,IF(GA42="PP",Lookup!$N$13,IF(GA42="PPP",Lookup!$N$14,IF(GA42="T",Lookup!$N$15,IF(GA42="TP",Lookup!$N$16,IF(GA42="TPP",Lookup!$N$17,IF(GA42="TPPP",Lookup!$N$18,0)))))))*FZ42</f>
        <v>0</v>
      </c>
      <c r="GL42" s="712">
        <f t="shared" si="283"/>
        <v>0</v>
      </c>
      <c r="GM42" s="712">
        <f t="shared" si="284"/>
        <v>0</v>
      </c>
      <c r="GN42" s="712">
        <f t="shared" si="285"/>
        <v>0</v>
      </c>
      <c r="GO42" s="712"/>
      <c r="GP42" s="712">
        <f t="shared" si="286"/>
        <v>0</v>
      </c>
      <c r="GQ42" s="712" t="str">
        <f t="shared" si="287"/>
        <v/>
      </c>
      <c r="GR42" s="712">
        <f>IF(GA42="P",Lookup!$N$12,IF(GA42="PP",Lookup!$N$13,IF(GA42="PPP",Lookup!$N$14,IF(GA42="T",Lookup!$N$15,IF(GA42="TP",Lookup!$N$16,IF(GA42="TPP",Lookup!$N$17,IF(GA42="TPPP",Lookup!$N$18,0)))))))*FZ42</f>
        <v>0</v>
      </c>
      <c r="GS42" s="697">
        <f t="shared" si="83"/>
        <v>0</v>
      </c>
      <c r="GT42" s="712">
        <f t="shared" si="288"/>
        <v>0</v>
      </c>
      <c r="GU42" s="712">
        <f t="shared" si="289"/>
        <v>0</v>
      </c>
      <c r="GV42" s="712"/>
      <c r="GW42" s="712">
        <f t="shared" si="290"/>
        <v>0</v>
      </c>
      <c r="GX42" s="712" t="str">
        <f t="shared" si="291"/>
        <v/>
      </c>
      <c r="GY42" s="712">
        <f>IF(GA42="P",Lookup!$N$12,IF(GA42="PP",Lookup!$N$13,IF(GA42="PPP",Lookup!$N$14,IF(GA42="T",Lookup!$N$15,IF(GA42="TP",Lookup!$N$16,IF(GA42="TPP",Lookup!$N$17,IF(GA42="TPPP",Lookup!$N$18,0)))))))*FZ42</f>
        <v>0</v>
      </c>
      <c r="GZ42" s="697">
        <f t="shared" si="85"/>
        <v>0</v>
      </c>
      <c r="HA42" s="712">
        <f t="shared" si="292"/>
        <v>0</v>
      </c>
      <c r="HB42" s="712">
        <f t="shared" si="293"/>
        <v>0</v>
      </c>
      <c r="HC42" s="712"/>
    </row>
    <row r="43" spans="1:211">
      <c r="A43" s="773" t="s">
        <v>9</v>
      </c>
      <c r="B43" s="708">
        <v>40572</v>
      </c>
      <c r="C43" s="719">
        <v>0.5</v>
      </c>
      <c r="D43" s="675">
        <f t="shared" si="65"/>
        <v>300</v>
      </c>
      <c r="E43" s="675">
        <f t="shared" si="66"/>
        <v>250</v>
      </c>
      <c r="F43" s="710">
        <v>250</v>
      </c>
      <c r="G43" s="712">
        <f>DH43+Sheet1!CV43</f>
        <v>2207.0110646379394</v>
      </c>
      <c r="H43" s="712">
        <f t="shared" si="226"/>
        <v>1159.648752181964</v>
      </c>
      <c r="I43" s="711">
        <f>MAX(Sheet1!Z43-AJ43+(Sheet1!CW43-E43)*CFStoMGD,0)</f>
        <v>2057.2826666666683</v>
      </c>
      <c r="J43" s="720">
        <f>IF(AND(B43&gt;=Calculation!FS43,B43&lt;=Calculation!FT43),IF(Sheet1!CX43&gt;=Calculation!D43,64.64,0),MAX(Sheet1!Z43-AJ43+(Sheet1!CX43-D43)*CFStoMGD,0))</f>
        <v>1250.6293333333351</v>
      </c>
      <c r="K43" s="697">
        <f t="shared" si="67"/>
        <v>64.64</v>
      </c>
      <c r="L43" s="712">
        <f>Sheet1!AA43+Sheet1!AB43-Sheet1!L43+(Sheet1!CW43-F43)*CFStoMGD</f>
        <v>2057.5026666666708</v>
      </c>
      <c r="M43" s="712">
        <f t="shared" si="227"/>
        <v>1455.1441912256034</v>
      </c>
      <c r="N43" s="712">
        <f>IF(Sheet1!CW43&gt;=F43,MIN(73,MIN(MAX(L43,0),MAX(M43,0))),0)</f>
        <v>73</v>
      </c>
      <c r="O43" s="721">
        <f>Sheet1!AA43+Sheet1!AB43</f>
        <v>45.520000000004075</v>
      </c>
      <c r="P43" s="721">
        <f t="shared" si="228"/>
        <v>70.419440000006304</v>
      </c>
      <c r="Q43" s="712">
        <f>MIN(N43,Sheet1!AA43+AG43)</f>
        <v>45.520000000004075</v>
      </c>
      <c r="R43" s="712">
        <f t="shared" si="229"/>
        <v>0</v>
      </c>
      <c r="S43" s="721">
        <f>Sheet1!Y43*MGDtoCFS</f>
        <v>45.172399999999996</v>
      </c>
      <c r="T43" s="721">
        <f>Sheet1!Z43*MGDtoCFS</f>
        <v>26.144299999999998</v>
      </c>
      <c r="U43" s="721">
        <f>Sheet1!AA43*MGDtoCFS</f>
        <v>44.244200000009002</v>
      </c>
      <c r="V43" s="721">
        <f>Sheet1!AB43*MGDtoCFS</f>
        <v>26.175239999997299</v>
      </c>
      <c r="W43" s="721">
        <f>Sheet1!L43*MGDtoCFS</f>
        <v>70.110039999999543</v>
      </c>
      <c r="X43" s="697">
        <f t="shared" si="68"/>
        <v>0</v>
      </c>
      <c r="Y43" s="712">
        <f t="shared" si="230"/>
        <v>0</v>
      </c>
      <c r="Z43" s="712">
        <f t="shared" si="231"/>
        <v>0</v>
      </c>
      <c r="AA43" s="712">
        <f t="shared" si="232"/>
        <v>0</v>
      </c>
      <c r="AB43" s="712">
        <f>(VLOOKUP(Sheet1!CY43,hhdcap_wcm,4)-(((VLOOKUP(Sheet1!CY43,hhdcap_wcm,3)-Sheet1!CY43)/(VLOOKUP(Sheet1!CY43,hhdcap_wcm,3)-VLOOKUP(Sheet1!CY43,hhdcap_wcm,1)))*(VLOOKUP(Sheet1!CY43,hhdcap_wcm,4)-VLOOKUP(Sheet1!CY43,hhdcap_wcm,2))))</f>
        <v>2946.0000000045266</v>
      </c>
      <c r="AC43" s="712">
        <f t="shared" si="233"/>
        <v>328.85000000056289</v>
      </c>
      <c r="AD43" s="712">
        <f t="shared" si="70"/>
        <v>0</v>
      </c>
      <c r="AE43" s="712">
        <f t="shared" si="234"/>
        <v>0</v>
      </c>
      <c r="AF43" s="712">
        <f>Sheet1!BA43+Sheet1!BB43+Sheet1!BN43+BT43</f>
        <v>17</v>
      </c>
      <c r="AG43" s="712">
        <f t="shared" si="235"/>
        <v>16.919999999998254</v>
      </c>
      <c r="AH43" s="712">
        <f>Sheet1!BA43+BT43</f>
        <v>0</v>
      </c>
      <c r="AI43" s="712">
        <f>Sheet1!BA43+Sheet1!BB43+BT43</f>
        <v>0</v>
      </c>
      <c r="AJ43" s="712">
        <f>IF((Sheet1!AA43+AG43+AX43+AZ43+BQ43+BS43+CL43+CN43)&lt;=N43,AG43+AX43+AZ43+BQ43+BS43+CL43+CN43,N43-Sheet1!AA43)</f>
        <v>16.919999999998254</v>
      </c>
      <c r="AK43" s="712">
        <f>IF(DR43&lt;K43,0,MAX(Sheet1!AA43+AG43-15/36*K43-N43,Sheet1!ED43,0))</f>
        <v>0</v>
      </c>
      <c r="AL43" s="712">
        <f>IF(OR(B43&gt;=FT43,B43&lt;FS43),0,15/36*K43-MAX(0,64.6-(137.6-(Sheet1!AA43+Sheet1!AB43))))</f>
        <v>0</v>
      </c>
      <c r="AM43" s="712">
        <f>Sheet1!CX43-110</f>
        <v>2124.7916666666665</v>
      </c>
      <c r="AN43" s="712">
        <f>Sheet1!CW43-265</f>
        <v>3167.7083333333335</v>
      </c>
      <c r="AO43" s="712">
        <f t="shared" si="71"/>
        <v>27.479999999995925</v>
      </c>
      <c r="AP43" s="712">
        <f t="shared" si="72"/>
        <v>0</v>
      </c>
      <c r="AQ43" s="712">
        <f t="shared" si="236"/>
        <v>0</v>
      </c>
      <c r="AR43" s="712">
        <f t="shared" si="237"/>
        <v>0</v>
      </c>
      <c r="AS43" s="712"/>
      <c r="AT43" s="712">
        <f ca="1">IF(B43&gt;Summary!$A$1,#N/A,AR43*MGtoAF)</f>
        <v>0</v>
      </c>
      <c r="AU43" s="712">
        <f>Sheet1!BG43+Sheet1!BH43+Sheet1!BI43-BC43</f>
        <v>0</v>
      </c>
      <c r="AV43" s="712">
        <f t="shared" si="238"/>
        <v>0</v>
      </c>
      <c r="AW43" s="712">
        <f>IF(Sheet1!EL43="FM",BC43,0)</f>
        <v>0</v>
      </c>
      <c r="AX43" s="712">
        <f t="shared" si="239"/>
        <v>0</v>
      </c>
      <c r="AY43" s="712">
        <f>IF(Sheet1!EL43="OTHER",BC43,0)</f>
        <v>0</v>
      </c>
      <c r="AZ43" s="712">
        <f t="shared" si="240"/>
        <v>0</v>
      </c>
      <c r="BA43" s="712">
        <f t="shared" si="241"/>
        <v>0</v>
      </c>
      <c r="BB43" s="712">
        <f t="shared" si="242"/>
        <v>0</v>
      </c>
      <c r="BC43" s="712">
        <f>IF(OR(Sheet1!EL43="FM", Sheet1!EL43="OTHER"),SUM(Sheet1!BG43:'Sheet1'!BI43),0)</f>
        <v>0</v>
      </c>
      <c r="BD43" s="697">
        <f>IF(AND($B43&gt;=$FL43,$B43&lt;=$FM43),MAX(AV43,Sheet1!EE43,0),MAX(AV43-(7/36)*$K43,0))</f>
        <v>0</v>
      </c>
      <c r="BE43" s="712">
        <f t="shared" si="243"/>
        <v>0</v>
      </c>
      <c r="BF43" s="697">
        <f t="shared" si="73"/>
        <v>0</v>
      </c>
      <c r="BG43" s="697">
        <f>IF(AND($O43&gt;0,Sheet1!EI43=1),(1-($O43-Sheet1!$L43)/$O43)*BB43,0)</f>
        <v>0</v>
      </c>
      <c r="BH43" s="697">
        <f>IF(AND(Sheet1!$L43=0,Sheet1!$L42=0, Calculation!BA43&lt;Sheet1!$EE43-0.1,Sheet1!$EE43=Sheet1!$EE42,Sheet1!$EE43=Sheet1!$EE44),Sheet1!$EE43,BB43-BG43)</f>
        <v>0</v>
      </c>
      <c r="BI43" s="712"/>
      <c r="BJ43" s="712"/>
      <c r="BK43" s="712">
        <f t="shared" si="244"/>
        <v>0</v>
      </c>
      <c r="BL43" s="712"/>
      <c r="BM43" s="712">
        <f ca="1">IF(B43&gt;Summary!$A$1,#N/A,BK43*MGtoAF)</f>
        <v>0</v>
      </c>
      <c r="BN43" s="712">
        <f>Sheet1!BC43+Sheet1!BD43+Sheet1!BE43+Sheet1!BF43-BW43-BX43</f>
        <v>0</v>
      </c>
      <c r="BO43" s="712">
        <f t="shared" si="245"/>
        <v>0</v>
      </c>
      <c r="BP43" s="712">
        <f>IF(Sheet1!EM43="FM",BX43,0)</f>
        <v>0</v>
      </c>
      <c r="BQ43" s="712">
        <f t="shared" si="246"/>
        <v>0</v>
      </c>
      <c r="BR43" s="712">
        <f>IF(Sheet1!EM43="OTHER",BX43,0)</f>
        <v>0</v>
      </c>
      <c r="BS43" s="712">
        <f t="shared" si="247"/>
        <v>0</v>
      </c>
      <c r="BT43" s="712">
        <f t="shared" si="248"/>
        <v>0</v>
      </c>
      <c r="BU43" s="712">
        <f t="shared" si="249"/>
        <v>0</v>
      </c>
      <c r="BV43" s="712">
        <f t="shared" si="250"/>
        <v>0</v>
      </c>
      <c r="BW43" s="712">
        <f>IF(Sheet1!EM43="CWA",SUM(Sheet1!BC43:'Sheet1'!BF43),0)</f>
        <v>0</v>
      </c>
      <c r="BX43" s="712">
        <f>IF(OR(Sheet1!EM43="FM", Sheet1!EM43="OTHER"),SUM(Sheet1!BC43:'Sheet1'!BF43),0)</f>
        <v>0</v>
      </c>
      <c r="BY43" s="697">
        <f>IF(AND($B43&gt;=$FL43,$B43&lt;=$FM43),MAX(BV43,Sheet1!EF43,0),MAX(BV43-(7/36)*$K43,0))</f>
        <v>0</v>
      </c>
      <c r="BZ43" s="712">
        <f t="shared" si="251"/>
        <v>0</v>
      </c>
      <c r="CA43" s="697">
        <f t="shared" si="74"/>
        <v>0</v>
      </c>
      <c r="CB43" s="697">
        <f>IF(AND($O43&gt;0,Sheet1!EJ43=1),(1-($O43-Sheet1!$L43)/$O43)*BV43,0)</f>
        <v>0</v>
      </c>
      <c r="CC43" s="697">
        <f>IF(AND(Sheet1!$L43=0,Sheet1!$L42=0, Calculation!BU43&lt;Sheet1!EF43-0.1,Sheet1!EF43=Sheet1!EF42,Sheet1!EF43=Sheet1!EF44),Sheet1!EF43,BV43-CB43)</f>
        <v>0</v>
      </c>
      <c r="CD43" s="697"/>
      <c r="CE43" s="712"/>
      <c r="CF43" s="712">
        <f t="shared" si="252"/>
        <v>0</v>
      </c>
      <c r="CG43" s="712"/>
      <c r="CH43" s="712">
        <f ca="1">IF(B43&gt;Summary!$A$1,#N/A,CF43*MGtoAF)</f>
        <v>0</v>
      </c>
      <c r="CI43" s="712">
        <f>Sheet1!BK43+Sheet1!BL43+Sheet1!BM43-Sheet1!EN43-CQ43</f>
        <v>0</v>
      </c>
      <c r="CJ43" s="712">
        <f t="shared" si="253"/>
        <v>0</v>
      </c>
      <c r="CK43" s="712">
        <f>IF(Sheet1!EN43="FM",CQ43,0)</f>
        <v>0</v>
      </c>
      <c r="CL43" s="712">
        <f t="shared" si="254"/>
        <v>0</v>
      </c>
      <c r="CM43" s="712">
        <f>IF(Sheet1!EN43="OTHER",CQ43,0)</f>
        <v>0</v>
      </c>
      <c r="CN43" s="712">
        <f t="shared" si="255"/>
        <v>0</v>
      </c>
      <c r="CO43" s="712">
        <f t="shared" si="256"/>
        <v>0</v>
      </c>
      <c r="CP43" s="712">
        <f t="shared" si="257"/>
        <v>0</v>
      </c>
      <c r="CQ43" s="712">
        <f>IF(OR(Sheet1!EN43="FM", Sheet1!EN43="OTHER"),SUM(Sheet1!BK43:'Sheet1'!BM43),0)</f>
        <v>0</v>
      </c>
      <c r="CR43" s="697">
        <f>IF(AND($B43&gt;=$FL43,$B43&lt;=$FM43),MAX($CJ43,Sheet1!EG43,0),MAX($CJ43-(7/36)*$K43,0))</f>
        <v>0</v>
      </c>
      <c r="CS43" s="712">
        <f t="shared" si="258"/>
        <v>0</v>
      </c>
      <c r="CT43" s="697">
        <f t="shared" si="75"/>
        <v>0</v>
      </c>
      <c r="CU43" s="697">
        <f>IF(AND($O43&gt;0,Sheet1!EK43=1),(1-($O43-Sheet1!$L43)/$O43)*CP43,0)</f>
        <v>0</v>
      </c>
      <c r="CV43" s="697">
        <f>IF(AND(Sheet1!$L43=0,Sheet1!$L42=0, Calculation!CO43&lt;Sheet1!$EG43-0.1,Sheet1!$EG43=Sheet1!$EG42,Sheet1!$EG43=Sheet1!$EG44),Sheet1!$EG43,CP43-CU43)</f>
        <v>0</v>
      </c>
      <c r="CW43" s="697">
        <f t="shared" si="33"/>
        <v>0</v>
      </c>
      <c r="CX43" s="712">
        <f t="shared" si="87"/>
        <v>0</v>
      </c>
      <c r="CY43" s="712">
        <f t="shared" si="259"/>
        <v>0</v>
      </c>
      <c r="CZ43" s="712">
        <f t="shared" si="260"/>
        <v>0</v>
      </c>
      <c r="DA43" s="712">
        <f ca="1">IF(B43&gt;Summary!$A$1,#N/A,CY43*MGtoAF)</f>
        <v>0</v>
      </c>
      <c r="DB43" s="712">
        <f t="shared" si="261"/>
        <v>0</v>
      </c>
      <c r="DC43" s="712">
        <f t="shared" si="262"/>
        <v>17</v>
      </c>
      <c r="DD43" s="712">
        <f>Sheet1!AB43-DC43</f>
        <v>-8.000000000174623E-2</v>
      </c>
      <c r="DE43" s="712">
        <f t="shared" si="263"/>
        <v>-4.705882353043896E-3</v>
      </c>
      <c r="DF43" s="712">
        <f>(VLOOKUP(Sheet1!CY43,hhdcap_wcm,4)-(((VLOOKUP(Sheet1!CY43,hhdcap_wcm,3)-Sheet1!CY43)/(VLOOKUP(Sheet1!CY43,hhdcap_wcm,3)-VLOOKUP(Sheet1!CY43,hhdcap_wcm,1)))*(VLOOKUP(Sheet1!CY43,hhdcap_wcm,4)-VLOOKUP(Sheet1!CY43,hhdcap_wcm,2))))</f>
        <v>2946.0000000045266</v>
      </c>
      <c r="DG43" s="712">
        <f t="shared" si="264"/>
        <v>328.85000000056289</v>
      </c>
      <c r="DH43" s="712">
        <f t="shared" si="265"/>
        <v>165.8345940497039</v>
      </c>
      <c r="DI43" s="712">
        <f>Sheet1!DW43*AFtoMG</f>
        <v>0</v>
      </c>
      <c r="DJ43" s="712">
        <f>Sheet1!DX43*AFtoMG</f>
        <v>0</v>
      </c>
      <c r="DK43" s="712">
        <f>Sheet1!DY43*AFtoMG</f>
        <v>0</v>
      </c>
      <c r="DL43" s="712">
        <f>Sheet1!DZ43*AFtoMG</f>
        <v>0</v>
      </c>
      <c r="DM43" s="712">
        <f t="shared" si="266"/>
        <v>0</v>
      </c>
      <c r="DN43" s="712">
        <f t="shared" si="267"/>
        <v>0</v>
      </c>
      <c r="DO43" s="712">
        <f t="shared" si="268"/>
        <v>0</v>
      </c>
      <c r="DP43" s="712">
        <f t="shared" si="269"/>
        <v>0</v>
      </c>
      <c r="DQ43" s="712"/>
      <c r="DR43" s="697">
        <f>IF(OR(B43&lt;FL43,B43&gt;FM43),(MIN(AV43+BO43+CJ43+MAX(Sheet1!AA43+AG43-73,0),K43)),0)</f>
        <v>0</v>
      </c>
      <c r="DS43" s="712"/>
      <c r="DT43" s="712">
        <f t="shared" si="270"/>
        <v>0</v>
      </c>
      <c r="DU43" s="712"/>
      <c r="DV43" s="712">
        <f>Sheet1!ED43+Sheet1!EE43+Sheet1!EF43+Sheet1!EG43</f>
        <v>9.5</v>
      </c>
      <c r="DW43" s="712"/>
      <c r="DX43" s="697">
        <f t="shared" si="77"/>
        <v>0</v>
      </c>
      <c r="DY43" s="712">
        <f>IF(Sheet1!FN43=1,SUM('Calculations II'!AT43:BA43)+'Calculations II'!BC43+Sheet1!BU43+'Calculations II'!BE43+AF43,SUM('Calculations II'!AT43:BA43)+'Calculations II'!BC43+Sheet1!BU43+'Calculations II'!BE43+AF43)</f>
        <v>43.617503999999997</v>
      </c>
      <c r="DZ43" s="712">
        <f>Sheet1!AA43+Sheet1!AB43+'Calculations II'!BC43</f>
        <v>45.520000000004075</v>
      </c>
      <c r="EA43" s="712"/>
      <c r="EB43" s="712"/>
      <c r="EC43" s="712">
        <f t="shared" si="271"/>
        <v>40572</v>
      </c>
      <c r="ED43" s="712">
        <f t="shared" si="272"/>
        <v>0</v>
      </c>
      <c r="EE43" s="712">
        <f t="shared" si="273"/>
        <v>0</v>
      </c>
      <c r="EF43" s="712">
        <f>-(VLOOKUP(Sheet1!BQ43,Lookup!$B$4:$J$236,2)-VLOOKUP(Sheet1!BQ42,Lookup!$B$4:$J$236,2))/1000000</f>
        <v>-0.8115</v>
      </c>
      <c r="EG43" s="712">
        <f>-(VLOOKUP(Sheet1!BR43,Lookup!$B$4:$J$236,3)-VLOOKUP(Sheet1!BR42,Lookup!$B$4:$J$236,3))/1000000</f>
        <v>-0.81</v>
      </c>
      <c r="EH43" s="712">
        <f>-(VLOOKUP(Sheet1!BS43,Lookup!$B$4:$J$236,4)-VLOOKUP(Sheet1!BS42,Lookup!$B$4:$J$236,4))/1000000</f>
        <v>0</v>
      </c>
      <c r="EI43" s="697">
        <f t="shared" si="88"/>
        <v>-1.6215000000000002</v>
      </c>
      <c r="EJ43" s="712"/>
      <c r="EK43" s="712"/>
      <c r="EL43" s="712"/>
      <c r="EM43" s="712"/>
      <c r="EN43" s="712"/>
      <c r="EO43" s="712"/>
      <c r="EP43" s="712"/>
      <c r="EQ43" s="712"/>
      <c r="ER43" s="697">
        <v>0</v>
      </c>
      <c r="ES43" s="712"/>
      <c r="ET43" s="794" t="e">
        <f t="shared" si="274"/>
        <v>#N/A</v>
      </c>
      <c r="EU43" s="794" t="e">
        <f t="shared" si="79"/>
        <v>#VALUE!</v>
      </c>
      <c r="EV43" s="795" t="e">
        <f t="shared" si="48"/>
        <v>#VALUE!</v>
      </c>
      <c r="EW43" s="796" t="s">
        <v>757</v>
      </c>
      <c r="EX43" s="796" t="s">
        <v>757</v>
      </c>
      <c r="EY43" s="794">
        <v>0</v>
      </c>
      <c r="EZ43" s="794" t="e">
        <v>#N/A</v>
      </c>
      <c r="FA43" s="712"/>
      <c r="FB43" s="712"/>
      <c r="FC43" s="712"/>
      <c r="FD43" s="712"/>
      <c r="FE43" s="712">
        <f>O43+Sheet1!CO43</f>
        <v>45.520000000004075</v>
      </c>
      <c r="FF43" s="712">
        <f>IF(Sheet1!AA43+AG43&lt;=Calculation!N43,AG43,Calculation!N43-Sheet1!AA43)</f>
        <v>16.919999999998254</v>
      </c>
      <c r="FG43" s="712">
        <f>(Sheet1!BP43+Sheet1!BO43)/694.4</f>
        <v>1.7458237327188939</v>
      </c>
      <c r="FH43" s="712"/>
      <c r="FI43" s="712"/>
      <c r="FJ43" s="712"/>
      <c r="FK43" s="712"/>
      <c r="FL43" s="714">
        <f t="shared" si="89"/>
        <v>40753</v>
      </c>
      <c r="FM43" s="714">
        <f t="shared" si="90"/>
        <v>40851</v>
      </c>
      <c r="FN43" s="712"/>
      <c r="FO43" s="712"/>
      <c r="FP43" s="712"/>
      <c r="FQ43" s="712"/>
      <c r="FR43" s="712"/>
      <c r="FS43" s="725">
        <f t="shared" si="91"/>
        <v>40603</v>
      </c>
      <c r="FT43" s="714">
        <f t="shared" si="92"/>
        <v>40709</v>
      </c>
      <c r="FU43" s="712">
        <f t="shared" si="93"/>
        <v>6518.9048239895692</v>
      </c>
      <c r="FV43" s="714">
        <f t="shared" si="94"/>
        <v>40722</v>
      </c>
      <c r="FW43" s="712">
        <f t="shared" si="95"/>
        <v>3259.4524119947846</v>
      </c>
      <c r="FX43" s="725">
        <f t="shared" si="96"/>
        <v>40851</v>
      </c>
      <c r="FZ43" s="697">
        <f t="shared" si="49"/>
        <v>0</v>
      </c>
      <c r="GA43" s="712" t="str">
        <f t="shared" si="275"/>
        <v/>
      </c>
      <c r="GB43" s="712">
        <f t="shared" si="276"/>
        <v>0</v>
      </c>
      <c r="GC43" s="712" t="str">
        <f t="shared" si="277"/>
        <v/>
      </c>
      <c r="GD43" s="712">
        <f>IF(GA43="P",Lookup!$M$12,IF(GA43="PP",Lookup!$M$13,IF(GA43="PPP",Lookup!$M$14,IF(GA43="T",Lookup!$M$15,IF(GA43="TP",Lookup!$M$16,IF(GA43="TPP",Lookup!$M$17,IF(GA43="TPPP",Lookup!$M$18,0)))))))*FZ43</f>
        <v>0</v>
      </c>
      <c r="GE43" s="712">
        <f t="shared" si="278"/>
        <v>0</v>
      </c>
      <c r="GF43" s="712">
        <f t="shared" si="279"/>
        <v>0</v>
      </c>
      <c r="GG43" s="712">
        <f t="shared" si="280"/>
        <v>0</v>
      </c>
      <c r="GH43" s="712"/>
      <c r="GI43" s="712">
        <f t="shared" si="281"/>
        <v>0</v>
      </c>
      <c r="GJ43" s="712" t="str">
        <f t="shared" si="282"/>
        <v/>
      </c>
      <c r="GK43" s="712">
        <f>IF(GA43="P",Lookup!$N$12,IF(GA43="PP",Lookup!$N$13,IF(GA43="PPP",Lookup!$N$14,IF(GA43="T",Lookup!$N$15,IF(GA43="TP",Lookup!$N$16,IF(GA43="TPP",Lookup!$N$17,IF(GA43="TPPP",Lookup!$N$18,0)))))))*FZ43</f>
        <v>0</v>
      </c>
      <c r="GL43" s="712">
        <f t="shared" si="283"/>
        <v>0</v>
      </c>
      <c r="GM43" s="712">
        <f t="shared" si="284"/>
        <v>0</v>
      </c>
      <c r="GN43" s="712">
        <f t="shared" si="285"/>
        <v>0</v>
      </c>
      <c r="GO43" s="712"/>
      <c r="GP43" s="712">
        <f t="shared" si="286"/>
        <v>0</v>
      </c>
      <c r="GQ43" s="712" t="str">
        <f t="shared" si="287"/>
        <v/>
      </c>
      <c r="GR43" s="712">
        <f>IF(GA43="P",Lookup!$N$12,IF(GA43="PP",Lookup!$N$13,IF(GA43="PPP",Lookup!$N$14,IF(GA43="T",Lookup!$N$15,IF(GA43="TP",Lookup!$N$16,IF(GA43="TPP",Lookup!$N$17,IF(GA43="TPPP",Lookup!$N$18,0)))))))*FZ43</f>
        <v>0</v>
      </c>
      <c r="GS43" s="697">
        <f t="shared" si="83"/>
        <v>0</v>
      </c>
      <c r="GT43" s="712">
        <f t="shared" si="288"/>
        <v>0</v>
      </c>
      <c r="GU43" s="712">
        <f t="shared" si="289"/>
        <v>0</v>
      </c>
      <c r="GV43" s="712"/>
      <c r="GW43" s="712">
        <f t="shared" si="290"/>
        <v>0</v>
      </c>
      <c r="GX43" s="712" t="str">
        <f t="shared" si="291"/>
        <v/>
      </c>
      <c r="GY43" s="712">
        <f>IF(GA43="P",Lookup!$N$12,IF(GA43="PP",Lookup!$N$13,IF(GA43="PPP",Lookup!$N$14,IF(GA43="T",Lookup!$N$15,IF(GA43="TP",Lookup!$N$16,IF(GA43="TPP",Lookup!$N$17,IF(GA43="TPPP",Lookup!$N$18,0)))))))*FZ43</f>
        <v>0</v>
      </c>
      <c r="GZ43" s="697">
        <f t="shared" si="85"/>
        <v>0</v>
      </c>
      <c r="HA43" s="712">
        <f t="shared" si="292"/>
        <v>0</v>
      </c>
      <c r="HB43" s="712">
        <f t="shared" si="293"/>
        <v>0</v>
      </c>
      <c r="HC43" s="712"/>
    </row>
    <row r="44" spans="1:211">
      <c r="A44" s="773" t="s">
        <v>3</v>
      </c>
      <c r="B44" s="708">
        <v>40573</v>
      </c>
      <c r="C44" s="709">
        <v>0.5</v>
      </c>
      <c r="D44" s="675">
        <f t="shared" si="65"/>
        <v>300</v>
      </c>
      <c r="E44" s="675">
        <f t="shared" si="66"/>
        <v>250</v>
      </c>
      <c r="F44" s="675">
        <v>250</v>
      </c>
      <c r="G44" s="712">
        <f>DH44+Sheet1!CV44</f>
        <v>2359.020794399753</v>
      </c>
      <c r="H44" s="712">
        <f t="shared" si="226"/>
        <v>1257.9078415000004</v>
      </c>
      <c r="I44" s="711">
        <f>MAX(Sheet1!Z44-AJ44+(Sheet1!CW44-E44)*CFStoMGD,0)</f>
        <v>2170.6019999999953</v>
      </c>
      <c r="J44" s="720">
        <f>IF(AND(B44&gt;=Calculation!FS44,B44&lt;=Calculation!FT44),IF(Sheet1!CX44&gt;=Calculation!D44,64.64,0),MAX(Sheet1!Z44-AJ44+(Sheet1!CX44-D44)*CFStoMGD,0))</f>
        <v>1390.2086666666621</v>
      </c>
      <c r="K44" s="697">
        <f t="shared" si="67"/>
        <v>64.64</v>
      </c>
      <c r="L44" s="712">
        <f>Sheet1!AA44+Sheet1!AB44-Sheet1!L44+(Sheet1!CW44-F44)*CFStoMGD</f>
        <v>2170.9320000000034</v>
      </c>
      <c r="M44" s="712">
        <f t="shared" si="227"/>
        <v>1555.3684623300003</v>
      </c>
      <c r="N44" s="712">
        <f>IF(Sheet1!CW44&gt;=F44,MIN(73,MIN(MAX(L44,0),MAX(M44,0))),0)</f>
        <v>73</v>
      </c>
      <c r="O44" s="721">
        <f>Sheet1!AA44+Sheet1!AB44</f>
        <v>45.630000000004657</v>
      </c>
      <c r="P44" s="721">
        <f t="shared" si="228"/>
        <v>70.589610000007198</v>
      </c>
      <c r="Q44" s="712">
        <f>MIN(N44,Sheet1!AA44+AG44)</f>
        <v>45.630000000004657</v>
      </c>
      <c r="R44" s="712">
        <f t="shared" si="229"/>
        <v>0</v>
      </c>
      <c r="S44" s="721">
        <f>Sheet1!Y44*MGDtoCFS</f>
        <v>44.940350000000002</v>
      </c>
      <c r="T44" s="721">
        <f>Sheet1!Z44*MGDtoCFS</f>
        <v>25.974129999999999</v>
      </c>
      <c r="U44" s="721">
        <f>Sheet1!AA44*MGDtoCFS</f>
        <v>44.47625</v>
      </c>
      <c r="V44" s="721">
        <f>Sheet1!AB44*MGDtoCFS</f>
        <v>26.113360000007201</v>
      </c>
      <c r="W44" s="721">
        <f>Sheet1!L44*MGDtoCFS</f>
        <v>70.218330000001913</v>
      </c>
      <c r="X44" s="697">
        <f t="shared" si="68"/>
        <v>0</v>
      </c>
      <c r="Y44" s="712">
        <f t="shared" si="230"/>
        <v>0</v>
      </c>
      <c r="Z44" s="712">
        <f t="shared" si="231"/>
        <v>0</v>
      </c>
      <c r="AA44" s="712">
        <f t="shared" si="232"/>
        <v>0</v>
      </c>
      <c r="AB44" s="712">
        <f>(VLOOKUP(Sheet1!CY44,hhdcap_wcm,4)-(((VLOOKUP(Sheet1!CY44,hhdcap_wcm,3)-Sheet1!CY44)/(VLOOKUP(Sheet1!CY44,hhdcap_wcm,3)-VLOOKUP(Sheet1!CY44,hhdcap_wcm,1)))*(VLOOKUP(Sheet1!CY44,hhdcap_wcm,4)-VLOOKUP(Sheet1!CY44,hhdcap_wcm,2))))</f>
        <v>3250.8400000051183</v>
      </c>
      <c r="AC44" s="712">
        <f t="shared" si="233"/>
        <v>304.84000000059177</v>
      </c>
      <c r="AD44" s="712">
        <f t="shared" si="70"/>
        <v>0</v>
      </c>
      <c r="AE44" s="712">
        <f t="shared" si="234"/>
        <v>0</v>
      </c>
      <c r="AF44" s="712">
        <f>Sheet1!BA44+Sheet1!BB44+Sheet1!BN44+BT44</f>
        <v>17</v>
      </c>
      <c r="AG44" s="712">
        <f t="shared" si="235"/>
        <v>16.880000000004657</v>
      </c>
      <c r="AH44" s="712">
        <f>Sheet1!BA44+BT44</f>
        <v>0</v>
      </c>
      <c r="AI44" s="712">
        <f>Sheet1!BA44+Sheet1!BB44+BT44</f>
        <v>0</v>
      </c>
      <c r="AJ44" s="712">
        <f>IF((Sheet1!AA44+AG44+AX44+AZ44+BQ44+BS44+CL44+CN44)&lt;=N44,AG44+AX44+AZ44+BQ44+BS44+CL44+CN44,N44-Sheet1!AA44)</f>
        <v>16.880000000004657</v>
      </c>
      <c r="AK44" s="712">
        <f>IF(DR44&lt;K44,0,MAX(Sheet1!AA44+AG44-15/36*K44-N44,Sheet1!ED44,0))</f>
        <v>0</v>
      </c>
      <c r="AL44" s="712">
        <f>IF(OR(B44&gt;=FT44,B44&lt;FS44),0,15/36*K44-MAX(0,64.6-(137.6-(Sheet1!AA44+Sheet1!AB44))))</f>
        <v>0</v>
      </c>
      <c r="AM44" s="712">
        <f>Sheet1!CX44-110</f>
        <v>2340.8333333333335</v>
      </c>
      <c r="AN44" s="712">
        <f>Sheet1!CW44-265</f>
        <v>3343.125</v>
      </c>
      <c r="AO44" s="712">
        <f t="shared" si="71"/>
        <v>27.369999999995343</v>
      </c>
      <c r="AP44" s="712">
        <f t="shared" si="72"/>
        <v>0</v>
      </c>
      <c r="AQ44" s="712">
        <f t="shared" si="236"/>
        <v>0</v>
      </c>
      <c r="AR44" s="712">
        <f t="shared" si="237"/>
        <v>0</v>
      </c>
      <c r="AS44" s="712"/>
      <c r="AT44" s="712">
        <f ca="1">IF(B44&gt;Summary!$A$1,#N/A,AR44*MGtoAF)</f>
        <v>0</v>
      </c>
      <c r="AU44" s="712">
        <f>Sheet1!BG44+Sheet1!BH44+Sheet1!BI44-BC44</f>
        <v>0</v>
      </c>
      <c r="AV44" s="712">
        <f t="shared" si="238"/>
        <v>0</v>
      </c>
      <c r="AW44" s="712">
        <f>IF(Sheet1!EL44="FM",BC44,0)</f>
        <v>0</v>
      </c>
      <c r="AX44" s="712">
        <f t="shared" si="239"/>
        <v>0</v>
      </c>
      <c r="AY44" s="712">
        <f>IF(Sheet1!EL44="OTHER",BC44,0)</f>
        <v>0</v>
      </c>
      <c r="AZ44" s="712">
        <f t="shared" si="240"/>
        <v>0</v>
      </c>
      <c r="BA44" s="712">
        <f t="shared" si="241"/>
        <v>0</v>
      </c>
      <c r="BB44" s="712">
        <f t="shared" si="242"/>
        <v>0</v>
      </c>
      <c r="BC44" s="712">
        <f>IF(OR(Sheet1!EL44="FM", Sheet1!EL44="OTHER"),SUM(Sheet1!BG44:'Sheet1'!BI44),0)</f>
        <v>0</v>
      </c>
      <c r="BD44" s="697">
        <f>IF(AND($B44&gt;=$FL44,$B44&lt;=$FM44),MAX(AV44,Sheet1!EE44,0),MAX(AV44-(7/36)*$K44,0))</f>
        <v>0</v>
      </c>
      <c r="BE44" s="712">
        <f t="shared" si="243"/>
        <v>0</v>
      </c>
      <c r="BF44" s="697">
        <f t="shared" si="73"/>
        <v>0</v>
      </c>
      <c r="BG44" s="697">
        <f>IF(AND($O44&gt;0,Sheet1!EI44=1),(1-($O44-Sheet1!$L44)/$O44)*BB44,0)</f>
        <v>0</v>
      </c>
      <c r="BH44" s="697">
        <f>IF(AND(Sheet1!$L44=0,Sheet1!$L43=0, Calculation!BA44&lt;Sheet1!$EE44-0.1,Sheet1!$EE44=Sheet1!$EE43,Sheet1!$EE44=Sheet1!$EE45),Sheet1!$EE44,BB44-BG44)</f>
        <v>0</v>
      </c>
      <c r="BI44" s="712"/>
      <c r="BJ44" s="712"/>
      <c r="BK44" s="712">
        <f t="shared" si="244"/>
        <v>0</v>
      </c>
      <c r="BL44" s="712"/>
      <c r="BM44" s="712">
        <f ca="1">IF(B44&gt;Summary!$A$1,#N/A,BK44*MGtoAF)</f>
        <v>0</v>
      </c>
      <c r="BN44" s="712">
        <f>Sheet1!BC44+Sheet1!BD44+Sheet1!BE44+Sheet1!BF44-BW44-BX44</f>
        <v>0</v>
      </c>
      <c r="BO44" s="712">
        <f t="shared" si="245"/>
        <v>0</v>
      </c>
      <c r="BP44" s="712">
        <f>IF(Sheet1!EM44="FM",BX44,0)</f>
        <v>0</v>
      </c>
      <c r="BQ44" s="712">
        <f t="shared" si="246"/>
        <v>0</v>
      </c>
      <c r="BR44" s="712">
        <f>IF(Sheet1!EM44="OTHER",BX44,0)</f>
        <v>0</v>
      </c>
      <c r="BS44" s="712">
        <f t="shared" si="247"/>
        <v>0</v>
      </c>
      <c r="BT44" s="712">
        <f t="shared" si="248"/>
        <v>0</v>
      </c>
      <c r="BU44" s="712">
        <f t="shared" si="249"/>
        <v>0</v>
      </c>
      <c r="BV44" s="712">
        <f t="shared" si="250"/>
        <v>0</v>
      </c>
      <c r="BW44" s="712">
        <f>IF(Sheet1!EM44="CWA",SUM(Sheet1!BC44:'Sheet1'!BF44),0)</f>
        <v>0</v>
      </c>
      <c r="BX44" s="712">
        <f>IF(OR(Sheet1!EM44="FM", Sheet1!EM44="OTHER"),SUM(Sheet1!BC44:'Sheet1'!BF44),0)</f>
        <v>0</v>
      </c>
      <c r="BY44" s="697">
        <f>IF(AND($B44&gt;=$FL44,$B44&lt;=$FM44),MAX(BV44,Sheet1!EF44,0),MAX(BV44-(7/36)*$K44,0))</f>
        <v>0</v>
      </c>
      <c r="BZ44" s="712">
        <f t="shared" si="251"/>
        <v>0</v>
      </c>
      <c r="CA44" s="697">
        <f t="shared" si="74"/>
        <v>0</v>
      </c>
      <c r="CB44" s="697">
        <f>IF(AND($O44&gt;0,Sheet1!EJ44=1),(1-($O44-Sheet1!$L44)/$O44)*BV44,0)</f>
        <v>0</v>
      </c>
      <c r="CC44" s="697">
        <f>IF(AND(Sheet1!$L44=0,Sheet1!$L43=0, Calculation!BU44&lt;Sheet1!EF44-0.1,Sheet1!EF44=Sheet1!EF43,Sheet1!EF44=Sheet1!EF45),Sheet1!EF44,BV44-CB44)</f>
        <v>0</v>
      </c>
      <c r="CD44" s="697"/>
      <c r="CE44" s="712"/>
      <c r="CF44" s="712">
        <f t="shared" si="252"/>
        <v>0</v>
      </c>
      <c r="CG44" s="712"/>
      <c r="CH44" s="712">
        <f ca="1">IF(B44&gt;Summary!$A$1,#N/A,CF44*MGtoAF)</f>
        <v>0</v>
      </c>
      <c r="CI44" s="712">
        <f>Sheet1!BK44+Sheet1!BL44+Sheet1!BM44-Sheet1!EN44-CQ44</f>
        <v>0</v>
      </c>
      <c r="CJ44" s="712">
        <f t="shared" si="253"/>
        <v>0</v>
      </c>
      <c r="CK44" s="712">
        <f>IF(Sheet1!EN44="FM",CQ44,0)</f>
        <v>0</v>
      </c>
      <c r="CL44" s="712">
        <f t="shared" si="254"/>
        <v>0</v>
      </c>
      <c r="CM44" s="712">
        <f>IF(Sheet1!EN44="OTHER",CQ44,0)</f>
        <v>0</v>
      </c>
      <c r="CN44" s="712">
        <f t="shared" si="255"/>
        <v>0</v>
      </c>
      <c r="CO44" s="712">
        <f t="shared" si="256"/>
        <v>0</v>
      </c>
      <c r="CP44" s="712">
        <f t="shared" si="257"/>
        <v>0</v>
      </c>
      <c r="CQ44" s="712">
        <f>IF(OR(Sheet1!EN44="FM", Sheet1!EN44="OTHER"),SUM(Sheet1!BK44:'Sheet1'!BM44),0)</f>
        <v>0</v>
      </c>
      <c r="CR44" s="697">
        <f>IF(AND($B44&gt;=$FL44,$B44&lt;=$FM44),MAX($CJ44,Sheet1!EG44,0),MAX($CJ44-(7/36)*$K44,0))</f>
        <v>0</v>
      </c>
      <c r="CS44" s="712">
        <f t="shared" si="258"/>
        <v>0</v>
      </c>
      <c r="CT44" s="697">
        <f t="shared" si="75"/>
        <v>0</v>
      </c>
      <c r="CU44" s="697">
        <f>IF(AND($O44&gt;0,Sheet1!EK44=1),(1-($O44-Sheet1!$L44)/$O44)*CP44,0)</f>
        <v>0</v>
      </c>
      <c r="CV44" s="697">
        <f>IF(AND(Sheet1!$L44=0,Sheet1!$L43=0, Calculation!CO44&lt;Sheet1!$EG44-0.1,Sheet1!$EG44=Sheet1!$EG43,Sheet1!$EG44=Sheet1!$EG45),Sheet1!$EG44,CP44-CU44)</f>
        <v>0</v>
      </c>
      <c r="CW44" s="697">
        <f t="shared" si="33"/>
        <v>0</v>
      </c>
      <c r="CX44" s="712">
        <f t="shared" si="87"/>
        <v>0</v>
      </c>
      <c r="CY44" s="712">
        <f t="shared" si="259"/>
        <v>0</v>
      </c>
      <c r="CZ44" s="712">
        <f t="shared" si="260"/>
        <v>0</v>
      </c>
      <c r="DA44" s="712">
        <f ca="1">IF(B44&gt;Summary!$A$1,#N/A,CY44*MGtoAF)</f>
        <v>0</v>
      </c>
      <c r="DB44" s="712">
        <f t="shared" si="261"/>
        <v>0</v>
      </c>
      <c r="DC44" s="712">
        <f t="shared" si="262"/>
        <v>17</v>
      </c>
      <c r="DD44" s="712">
        <f>Sheet1!AB44-DC44</f>
        <v>-0.11999999999534339</v>
      </c>
      <c r="DE44" s="712">
        <f t="shared" si="263"/>
        <v>-7.058823529137846E-3</v>
      </c>
      <c r="DF44" s="712">
        <f>(VLOOKUP(Sheet1!CY44,hhdcap_wcm,4)-(((VLOOKUP(Sheet1!CY44,hhdcap_wcm,3)-Sheet1!CY44)/(VLOOKUP(Sheet1!CY44,hhdcap_wcm,3)-VLOOKUP(Sheet1!CY44,hhdcap_wcm,1)))*(VLOOKUP(Sheet1!CY44,hhdcap_wcm,4)-VLOOKUP(Sheet1!CY44,hhdcap_wcm,2))))</f>
        <v>3250.8400000051183</v>
      </c>
      <c r="DG44" s="712">
        <f t="shared" si="264"/>
        <v>304.84000000059177</v>
      </c>
      <c r="DH44" s="712">
        <f t="shared" si="265"/>
        <v>153.72667675269375</v>
      </c>
      <c r="DI44" s="712">
        <f>Sheet1!DW44*AFtoMG</f>
        <v>0</v>
      </c>
      <c r="DJ44" s="712">
        <f>Sheet1!DX44*AFtoMG</f>
        <v>0</v>
      </c>
      <c r="DK44" s="712">
        <f>Sheet1!DY44*AFtoMG</f>
        <v>0</v>
      </c>
      <c r="DL44" s="712">
        <f>Sheet1!DZ44*AFtoMG</f>
        <v>0</v>
      </c>
      <c r="DM44" s="712">
        <f t="shared" si="266"/>
        <v>0</v>
      </c>
      <c r="DN44" s="712">
        <f t="shared" si="267"/>
        <v>0</v>
      </c>
      <c r="DO44" s="712">
        <f t="shared" si="268"/>
        <v>0</v>
      </c>
      <c r="DP44" s="712">
        <f t="shared" si="269"/>
        <v>0</v>
      </c>
      <c r="DQ44" s="712"/>
      <c r="DR44" s="697">
        <f>IF(OR(B44&lt;FL44,B44&gt;FM44),(MIN(AV44+BO44+CJ44+MAX(Sheet1!AA44+AG44-73,0),K44)),0)</f>
        <v>0</v>
      </c>
      <c r="DS44" s="712"/>
      <c r="DT44" s="712">
        <f t="shared" si="270"/>
        <v>0</v>
      </c>
      <c r="DU44" s="712"/>
      <c r="DV44" s="712">
        <f>Sheet1!ED44+Sheet1!EE44+Sheet1!EF44+Sheet1!EG44</f>
        <v>9.5</v>
      </c>
      <c r="DW44" s="712"/>
      <c r="DX44" s="697">
        <f t="shared" si="77"/>
        <v>0</v>
      </c>
      <c r="DY44" s="712">
        <f>IF(Sheet1!FN44=1,SUM('Calculations II'!AT44:BA44)+'Calculations II'!BC44+Sheet1!BU44+'Calculations II'!BE44+AF44,SUM('Calculations II'!AT44:BA44)+'Calculations II'!BC44+Sheet1!BU44+'Calculations II'!BE44+AF44)</f>
        <v>46.138655999999997</v>
      </c>
      <c r="DZ44" s="712">
        <f>Sheet1!AA44+Sheet1!AB44+'Calculations II'!BC44</f>
        <v>45.630000000004657</v>
      </c>
      <c r="EA44" s="712"/>
      <c r="EB44" s="712"/>
      <c r="EC44" s="712">
        <f t="shared" si="271"/>
        <v>40573</v>
      </c>
      <c r="ED44" s="712">
        <f t="shared" si="272"/>
        <v>0</v>
      </c>
      <c r="EE44" s="712">
        <f t="shared" si="273"/>
        <v>0</v>
      </c>
      <c r="EF44" s="712">
        <f>-(VLOOKUP(Sheet1!BQ44,Lookup!$B$4:$J$236,2)-VLOOKUP(Sheet1!BQ43,Lookup!$B$4:$J$236,2))/1000000</f>
        <v>0.27050000000000002</v>
      </c>
      <c r="EG44" s="712">
        <f>-(VLOOKUP(Sheet1!BR44,Lookup!$B$4:$J$236,3)-VLOOKUP(Sheet1!BR43,Lookup!$B$4:$J$236,3))/1000000</f>
        <v>0.27</v>
      </c>
      <c r="EH44" s="712">
        <f>-(VLOOKUP(Sheet1!BS44,Lookup!$B$4:$J$236,4)-VLOOKUP(Sheet1!BS43,Lookup!$B$4:$J$236,4))/1000000</f>
        <v>0</v>
      </c>
      <c r="EI44" s="697">
        <f t="shared" si="88"/>
        <v>0.54049999999999998</v>
      </c>
      <c r="EJ44" s="712"/>
      <c r="EK44" s="712"/>
      <c r="EL44" s="712"/>
      <c r="EM44" s="712"/>
      <c r="EN44" s="712"/>
      <c r="EO44" s="712"/>
      <c r="EP44" s="712"/>
      <c r="EQ44" s="712"/>
      <c r="ER44" s="697">
        <v>0</v>
      </c>
      <c r="ES44" s="712"/>
      <c r="ET44" s="794" t="e">
        <f t="shared" si="274"/>
        <v>#N/A</v>
      </c>
      <c r="EU44" s="794" t="e">
        <f t="shared" si="79"/>
        <v>#VALUE!</v>
      </c>
      <c r="EV44" s="795" t="e">
        <f t="shared" si="48"/>
        <v>#VALUE!</v>
      </c>
      <c r="EW44" s="796" t="s">
        <v>757</v>
      </c>
      <c r="EX44" s="796" t="s">
        <v>757</v>
      </c>
      <c r="EY44" s="794">
        <v>0</v>
      </c>
      <c r="EZ44" s="794" t="e">
        <v>#N/A</v>
      </c>
      <c r="FA44" s="712"/>
      <c r="FB44" s="712"/>
      <c r="FC44" s="712"/>
      <c r="FD44" s="712"/>
      <c r="FE44" s="712">
        <f>O44+Sheet1!CO44</f>
        <v>45.630000000004657</v>
      </c>
      <c r="FF44" s="712">
        <f>IF(Sheet1!AA44+AG44&lt;=Calculation!N44,AG44,Calculation!N44-Sheet1!AA44)</f>
        <v>16.880000000004657</v>
      </c>
      <c r="FG44" s="712">
        <f>(Sheet1!BP44+Sheet1!BO44)/694.4</f>
        <v>2.8948732718894012</v>
      </c>
      <c r="FH44" s="712"/>
      <c r="FI44" s="712"/>
      <c r="FJ44" s="712"/>
      <c r="FK44" s="712"/>
      <c r="FL44" s="714">
        <f t="shared" si="89"/>
        <v>40753</v>
      </c>
      <c r="FM44" s="714">
        <f t="shared" si="90"/>
        <v>40851</v>
      </c>
      <c r="FN44" s="712"/>
      <c r="FO44" s="712"/>
      <c r="FP44" s="712"/>
      <c r="FQ44" s="712"/>
      <c r="FR44" s="712"/>
      <c r="FS44" s="725">
        <f t="shared" si="91"/>
        <v>40603</v>
      </c>
      <c r="FT44" s="714">
        <f t="shared" si="92"/>
        <v>40709</v>
      </c>
      <c r="FU44" s="712">
        <f t="shared" si="93"/>
        <v>6518.9048239895692</v>
      </c>
      <c r="FV44" s="714">
        <f t="shared" si="94"/>
        <v>40722</v>
      </c>
      <c r="FW44" s="712">
        <f t="shared" si="95"/>
        <v>3259.4524119947846</v>
      </c>
      <c r="FX44" s="725">
        <f t="shared" si="96"/>
        <v>40851</v>
      </c>
      <c r="FZ44" s="697">
        <f t="shared" si="49"/>
        <v>0</v>
      </c>
      <c r="GA44" s="712" t="str">
        <f t="shared" si="275"/>
        <v/>
      </c>
      <c r="GB44" s="712">
        <f t="shared" si="276"/>
        <v>0</v>
      </c>
      <c r="GC44" s="712" t="str">
        <f t="shared" si="277"/>
        <v/>
      </c>
      <c r="GD44" s="712">
        <f>IF(GA44="P",Lookup!$M$12,IF(GA44="PP",Lookup!$M$13,IF(GA44="PPP",Lookup!$M$14,IF(GA44="T",Lookup!$M$15,IF(GA44="TP",Lookup!$M$16,IF(GA44="TPP",Lookup!$M$17,IF(GA44="TPPP",Lookup!$M$18,0)))))))*FZ44</f>
        <v>0</v>
      </c>
      <c r="GE44" s="712">
        <f t="shared" si="278"/>
        <v>0</v>
      </c>
      <c r="GF44" s="712">
        <f t="shared" si="279"/>
        <v>0</v>
      </c>
      <c r="GG44" s="712">
        <f t="shared" si="280"/>
        <v>0</v>
      </c>
      <c r="GH44" s="712"/>
      <c r="GI44" s="712">
        <f t="shared" si="281"/>
        <v>0</v>
      </c>
      <c r="GJ44" s="712" t="str">
        <f t="shared" si="282"/>
        <v/>
      </c>
      <c r="GK44" s="712">
        <f>IF(GA44="P",Lookup!$N$12,IF(GA44="PP",Lookup!$N$13,IF(GA44="PPP",Lookup!$N$14,IF(GA44="T",Lookup!$N$15,IF(GA44="TP",Lookup!$N$16,IF(GA44="TPP",Lookup!$N$17,IF(GA44="TPPP",Lookup!$N$18,0)))))))*FZ44</f>
        <v>0</v>
      </c>
      <c r="GL44" s="712">
        <f t="shared" si="283"/>
        <v>0</v>
      </c>
      <c r="GM44" s="712">
        <f t="shared" si="284"/>
        <v>0</v>
      </c>
      <c r="GN44" s="712">
        <f t="shared" si="285"/>
        <v>0</v>
      </c>
      <c r="GO44" s="712"/>
      <c r="GP44" s="712">
        <f t="shared" si="286"/>
        <v>0</v>
      </c>
      <c r="GQ44" s="712" t="str">
        <f t="shared" si="287"/>
        <v/>
      </c>
      <c r="GR44" s="712">
        <f>IF(GA44="P",Lookup!$N$12,IF(GA44="PP",Lookup!$N$13,IF(GA44="PPP",Lookup!$N$14,IF(GA44="T",Lookup!$N$15,IF(GA44="TP",Lookup!$N$16,IF(GA44="TPP",Lookup!$N$17,IF(GA44="TPPP",Lookup!$N$18,0)))))))*FZ44</f>
        <v>0</v>
      </c>
      <c r="GS44" s="697">
        <f t="shared" si="83"/>
        <v>0</v>
      </c>
      <c r="GT44" s="712">
        <f t="shared" si="288"/>
        <v>0</v>
      </c>
      <c r="GU44" s="712">
        <f t="shared" si="289"/>
        <v>0</v>
      </c>
      <c r="GV44" s="712"/>
      <c r="GW44" s="712">
        <f t="shared" si="290"/>
        <v>0</v>
      </c>
      <c r="GX44" s="712" t="str">
        <f t="shared" si="291"/>
        <v/>
      </c>
      <c r="GY44" s="712">
        <f>IF(GA44="P",Lookup!$N$12,IF(GA44="PP",Lookup!$N$13,IF(GA44="PPP",Lookup!$N$14,IF(GA44="T",Lookup!$N$15,IF(GA44="TP",Lookup!$N$16,IF(GA44="TPP",Lookup!$N$17,IF(GA44="TPPP",Lookup!$N$18,0)))))))*FZ44</f>
        <v>0</v>
      </c>
      <c r="GZ44" s="697">
        <f t="shared" si="85"/>
        <v>0</v>
      </c>
      <c r="HA44" s="712">
        <f t="shared" si="292"/>
        <v>0</v>
      </c>
      <c r="HB44" s="712">
        <f t="shared" si="293"/>
        <v>0</v>
      </c>
      <c r="HC44" s="712"/>
    </row>
    <row r="45" spans="1:211">
      <c r="A45" s="773" t="s">
        <v>4</v>
      </c>
      <c r="B45" s="708">
        <v>40574</v>
      </c>
      <c r="C45" s="719">
        <v>0.5</v>
      </c>
      <c r="D45" s="675">
        <f t="shared" si="65"/>
        <v>300</v>
      </c>
      <c r="E45" s="675">
        <f t="shared" si="66"/>
        <v>250</v>
      </c>
      <c r="F45" s="710">
        <v>250</v>
      </c>
      <c r="G45" s="712">
        <f>DH45+Sheet1!CV45</f>
        <v>2035.0312954221802</v>
      </c>
      <c r="H45" s="712">
        <f t="shared" si="226"/>
        <v>1048.4810293608973</v>
      </c>
      <c r="I45" s="711">
        <f>MAX(Sheet1!Z45-AJ45+(Sheet1!CW45-E45)*CFStoMGD,0)</f>
        <v>2240.8253333333346</v>
      </c>
      <c r="J45" s="720">
        <f>IF(AND(B45&gt;=Calculation!FS45,B45&lt;=Calculation!FT45),IF(Sheet1!CX45&gt;=Calculation!D45,64.64,0),MAX(Sheet1!Z45-AJ45+(Sheet1!CX45-D45)*CFStoMGD,0))</f>
        <v>1481.170666666668</v>
      </c>
      <c r="K45" s="697">
        <f t="shared" si="67"/>
        <v>64.64</v>
      </c>
      <c r="L45" s="712">
        <f>Sheet1!AA45+Sheet1!AB45-Sheet1!L45+(Sheet1!CW45-F45)*CFStoMGD</f>
        <v>2246.2653333333287</v>
      </c>
      <c r="M45" s="712">
        <f t="shared" si="227"/>
        <v>1341.7531139481152</v>
      </c>
      <c r="N45" s="712">
        <f>IF(Sheet1!CW45&gt;=F45,MIN(73,MIN(MAX(L45,0),MAX(M45,0))),0)</f>
        <v>73</v>
      </c>
      <c r="O45" s="721">
        <f>Sheet1!AA45+Sheet1!AB45</f>
        <v>45.549999999995634</v>
      </c>
      <c r="P45" s="721">
        <f t="shared" si="228"/>
        <v>70.465849999993239</v>
      </c>
      <c r="Q45" s="712">
        <f>MIN(N45,Sheet1!AA45+AG45)</f>
        <v>45.549999999995634</v>
      </c>
      <c r="R45" s="712">
        <f t="shared" si="229"/>
        <v>0</v>
      </c>
      <c r="S45" s="721">
        <f>Sheet1!Y45*MGDtoCFS</f>
        <v>44.445309999999999</v>
      </c>
      <c r="T45" s="721">
        <f>Sheet1!Z45*MGDtoCFS</f>
        <v>26.09789</v>
      </c>
      <c r="U45" s="721">
        <f>Sheet1!AA45*MGDtoCFS</f>
        <v>44.012149999995493</v>
      </c>
      <c r="V45" s="721">
        <f>Sheet1!AB45*MGDtoCFS</f>
        <v>26.453699999997749</v>
      </c>
      <c r="W45" s="721">
        <f>Sheet1!L45*MGDtoCFS</f>
        <v>62.40598000000022</v>
      </c>
      <c r="X45" s="697">
        <f t="shared" si="68"/>
        <v>0</v>
      </c>
      <c r="Y45" s="712">
        <f t="shared" si="230"/>
        <v>0</v>
      </c>
      <c r="Z45" s="712">
        <f t="shared" si="231"/>
        <v>0</v>
      </c>
      <c r="AA45" s="712">
        <f t="shared" si="232"/>
        <v>0</v>
      </c>
      <c r="AB45" s="712">
        <f>(VLOOKUP(Sheet1!CY45,hhdcap_wcm,4)-(((VLOOKUP(Sheet1!CY45,hhdcap_wcm,3)-Sheet1!CY45)/(VLOOKUP(Sheet1!CY45,hhdcap_wcm,3)-VLOOKUP(Sheet1!CY45,hhdcap_wcm,1)))*(VLOOKUP(Sheet1!CY45,hhdcap_wcm,4)-VLOOKUP(Sheet1!CY45,hhdcap_wcm,2))))</f>
        <v>2549.2700000037717</v>
      </c>
      <c r="AC45" s="712">
        <f t="shared" si="233"/>
        <v>-701.57000000134667</v>
      </c>
      <c r="AD45" s="712">
        <f t="shared" si="70"/>
        <v>0</v>
      </c>
      <c r="AE45" s="712">
        <f t="shared" si="234"/>
        <v>0</v>
      </c>
      <c r="AF45" s="712">
        <f>Sheet1!BA45+Sheet1!BB45+Sheet1!BN45+BT45</f>
        <v>17.100000000000001</v>
      </c>
      <c r="AG45" s="712">
        <f t="shared" si="235"/>
        <v>17.099999999998545</v>
      </c>
      <c r="AH45" s="712">
        <f>Sheet1!BA45+BT45</f>
        <v>0</v>
      </c>
      <c r="AI45" s="712">
        <f>Sheet1!BA45+Sheet1!BB45+BT45</f>
        <v>0</v>
      </c>
      <c r="AJ45" s="712">
        <f>IF((Sheet1!AA45+AG45+AX45+AZ45+BQ45+BS45+CL45+CN45)&lt;=N45,AG45+AX45+AZ45+BQ45+BS45+CL45+CN45,N45-Sheet1!AA45)</f>
        <v>17.099999999998545</v>
      </c>
      <c r="AK45" s="712">
        <f>IF(DR45&lt;K45,0,MAX(Sheet1!AA45+AG45-15/36*K45-N45,Sheet1!ED45,0))</f>
        <v>0</v>
      </c>
      <c r="AL45" s="712">
        <f>IF(OR(B45&gt;=FT45,B45&lt;FS45),0,15/36*K45-MAX(0,64.6-(137.6-(Sheet1!AA45+Sheet1!AB45))))</f>
        <v>0</v>
      </c>
      <c r="AM45" s="712">
        <f>Sheet1!CX45-110</f>
        <v>2481.7708333333335</v>
      </c>
      <c r="AN45" s="712">
        <f>Sheet1!CW45-265</f>
        <v>3451.9791666666665</v>
      </c>
      <c r="AO45" s="712">
        <f t="shared" si="71"/>
        <v>27.450000000004366</v>
      </c>
      <c r="AP45" s="712">
        <f t="shared" si="72"/>
        <v>0</v>
      </c>
      <c r="AQ45" s="712">
        <f t="shared" si="236"/>
        <v>0</v>
      </c>
      <c r="AR45" s="712">
        <f t="shared" si="237"/>
        <v>0</v>
      </c>
      <c r="AS45" s="712"/>
      <c r="AT45" s="712">
        <f ca="1">IF(B45&gt;Summary!$A$1,#N/A,AR45*MGtoAF)</f>
        <v>0</v>
      </c>
      <c r="AU45" s="712">
        <f>Sheet1!BG45+Sheet1!BH45+Sheet1!BI45-BC45</f>
        <v>0</v>
      </c>
      <c r="AV45" s="712">
        <f t="shared" si="238"/>
        <v>0</v>
      </c>
      <c r="AW45" s="712">
        <f>IF(Sheet1!EL45="FM",BC45,0)</f>
        <v>0</v>
      </c>
      <c r="AX45" s="712">
        <f t="shared" si="239"/>
        <v>0</v>
      </c>
      <c r="AY45" s="712">
        <f>IF(Sheet1!EL45="OTHER",BC45,0)</f>
        <v>0</v>
      </c>
      <c r="AZ45" s="712">
        <f t="shared" si="240"/>
        <v>0</v>
      </c>
      <c r="BA45" s="712">
        <f t="shared" si="241"/>
        <v>0</v>
      </c>
      <c r="BB45" s="712">
        <f t="shared" si="242"/>
        <v>0</v>
      </c>
      <c r="BC45" s="712">
        <f>IF(OR(Sheet1!EL45="FM", Sheet1!EL45="OTHER"),SUM(Sheet1!BG45:'Sheet1'!BI45),0)</f>
        <v>0</v>
      </c>
      <c r="BD45" s="697">
        <f>IF(AND($B45&gt;=$FL45,$B45&lt;=$FM45),MAX(AV45,Sheet1!EE45,0),MAX(AV45-(7/36)*$K45,0))</f>
        <v>0</v>
      </c>
      <c r="BE45" s="712">
        <f t="shared" si="243"/>
        <v>0</v>
      </c>
      <c r="BF45" s="697">
        <f t="shared" si="73"/>
        <v>0</v>
      </c>
      <c r="BG45" s="697">
        <f>IF(AND($O45&gt;0,Sheet1!EI45=1),(1-($O45-Sheet1!$L45)/$O45)*BB45,0)</f>
        <v>0</v>
      </c>
      <c r="BH45" s="697">
        <f>IF(AND(Sheet1!$L45=0,Sheet1!$L44=0, Calculation!BA45&lt;Sheet1!$EE45-0.1,Sheet1!$EE45=Sheet1!$EE44,Sheet1!$EE45=Sheet1!$EE46),Sheet1!$EE45,BB45-BG45)</f>
        <v>0</v>
      </c>
      <c r="BI45" s="712"/>
      <c r="BJ45" s="712"/>
      <c r="BK45" s="712">
        <f t="shared" si="244"/>
        <v>0</v>
      </c>
      <c r="BL45" s="712"/>
      <c r="BM45" s="712">
        <f ca="1">IF(B45&gt;Summary!$A$1,#N/A,BK45*MGtoAF)</f>
        <v>0</v>
      </c>
      <c r="BN45" s="712">
        <f>Sheet1!BC45+Sheet1!BD45+Sheet1!BE45+Sheet1!BF45-BW45-BX45</f>
        <v>0</v>
      </c>
      <c r="BO45" s="712">
        <f t="shared" si="245"/>
        <v>0</v>
      </c>
      <c r="BP45" s="712">
        <f>IF(Sheet1!EM45="FM",BX45,0)</f>
        <v>0</v>
      </c>
      <c r="BQ45" s="712">
        <f t="shared" si="246"/>
        <v>0</v>
      </c>
      <c r="BR45" s="712">
        <f>IF(Sheet1!EM45="OTHER",BX45,0)</f>
        <v>0</v>
      </c>
      <c r="BS45" s="712">
        <f t="shared" si="247"/>
        <v>0</v>
      </c>
      <c r="BT45" s="712">
        <f t="shared" si="248"/>
        <v>0</v>
      </c>
      <c r="BU45" s="712">
        <f t="shared" si="249"/>
        <v>0</v>
      </c>
      <c r="BV45" s="712">
        <f t="shared" si="250"/>
        <v>0</v>
      </c>
      <c r="BW45" s="712">
        <f>IF(Sheet1!EM45="CWA",SUM(Sheet1!BC45:'Sheet1'!BF45),0)</f>
        <v>0</v>
      </c>
      <c r="BX45" s="712">
        <f>IF(OR(Sheet1!EM45="FM", Sheet1!EM45="OTHER"),SUM(Sheet1!BC45:'Sheet1'!BF45),0)</f>
        <v>0</v>
      </c>
      <c r="BY45" s="697">
        <f>IF(AND($B45&gt;=$FL45,$B45&lt;=$FM45),MAX(BV45,Sheet1!EF45,0),MAX(BV45-(7/36)*$K45,0))</f>
        <v>0</v>
      </c>
      <c r="BZ45" s="712">
        <f t="shared" si="251"/>
        <v>0</v>
      </c>
      <c r="CA45" s="697">
        <f t="shared" si="74"/>
        <v>0</v>
      </c>
      <c r="CB45" s="697">
        <f>IF(AND($O45&gt;0,Sheet1!EJ45=1),(1-($O45-Sheet1!$L45)/$O45)*BV45,0)</f>
        <v>0</v>
      </c>
      <c r="CC45" s="697">
        <f>IF(AND(Sheet1!$L45=0,Sheet1!$L44=0, Calculation!BU45&lt;Sheet1!EF45-0.1,Sheet1!EF45=Sheet1!EF44,Sheet1!EF45=Sheet1!EF46),Sheet1!EF45,BV45-CB45)</f>
        <v>0</v>
      </c>
      <c r="CD45" s="697"/>
      <c r="CE45" s="712"/>
      <c r="CF45" s="712">
        <f t="shared" si="252"/>
        <v>0</v>
      </c>
      <c r="CG45" s="712"/>
      <c r="CH45" s="712">
        <f ca="1">IF(B45&gt;Summary!$A$1,#N/A,CF45*MGtoAF)</f>
        <v>0</v>
      </c>
      <c r="CI45" s="712">
        <f>Sheet1!BK45+Sheet1!BL45+Sheet1!BM45-Sheet1!EN45-CQ45</f>
        <v>0</v>
      </c>
      <c r="CJ45" s="712">
        <f t="shared" si="253"/>
        <v>0</v>
      </c>
      <c r="CK45" s="712">
        <f>IF(Sheet1!EN45="FM",CQ45,0)</f>
        <v>0</v>
      </c>
      <c r="CL45" s="712">
        <f t="shared" si="254"/>
        <v>0</v>
      </c>
      <c r="CM45" s="712">
        <f>IF(Sheet1!EN45="OTHER",CQ45,0)</f>
        <v>0</v>
      </c>
      <c r="CN45" s="712">
        <f t="shared" si="255"/>
        <v>0</v>
      </c>
      <c r="CO45" s="712">
        <f t="shared" si="256"/>
        <v>0</v>
      </c>
      <c r="CP45" s="712">
        <f t="shared" si="257"/>
        <v>0</v>
      </c>
      <c r="CQ45" s="712">
        <f>IF(OR(Sheet1!EN45="FM", Sheet1!EN45="OTHER"),SUM(Sheet1!BK45:'Sheet1'!BM45),0)</f>
        <v>0</v>
      </c>
      <c r="CR45" s="697">
        <f>IF(AND($B45&gt;=$FL45,$B45&lt;=$FM45),MAX($CJ45,Sheet1!EG45,0),MAX($CJ45-(7/36)*$K45,0))</f>
        <v>0</v>
      </c>
      <c r="CS45" s="712">
        <f t="shared" si="258"/>
        <v>0</v>
      </c>
      <c r="CT45" s="697">
        <f t="shared" si="75"/>
        <v>0</v>
      </c>
      <c r="CU45" s="697">
        <f>IF(AND($O45&gt;0,Sheet1!EK45=1),(1-($O45-Sheet1!$L45)/$O45)*CP45,0)</f>
        <v>0</v>
      </c>
      <c r="CV45" s="697">
        <f>IF(AND(Sheet1!$L45=0,Sheet1!$L44=0, Calculation!CO45&lt;Sheet1!$EG45-0.1,Sheet1!$EG45=Sheet1!$EG44,Sheet1!$EG45=Sheet1!$EG46),Sheet1!$EG45,CP45-CU45)</f>
        <v>0</v>
      </c>
      <c r="CW45" s="697">
        <f t="shared" si="33"/>
        <v>0</v>
      </c>
      <c r="CX45" s="712">
        <f t="shared" si="87"/>
        <v>0</v>
      </c>
      <c r="CY45" s="712">
        <f t="shared" si="259"/>
        <v>0</v>
      </c>
      <c r="CZ45" s="712">
        <f t="shared" si="260"/>
        <v>0</v>
      </c>
      <c r="DA45" s="712">
        <f ca="1">IF(B45&gt;Summary!$A$1,#N/A,CY45*MGtoAF)</f>
        <v>0</v>
      </c>
      <c r="DB45" s="712">
        <f t="shared" si="261"/>
        <v>0</v>
      </c>
      <c r="DC45" s="712">
        <f t="shared" si="262"/>
        <v>17.100000000000001</v>
      </c>
      <c r="DD45" s="712">
        <f>Sheet1!AB45-DC45</f>
        <v>-1.4566126083082054E-12</v>
      </c>
      <c r="DE45" s="712">
        <f t="shared" si="263"/>
        <v>-8.5182023877672827E-14</v>
      </c>
      <c r="DF45" s="712">
        <f>(VLOOKUP(Sheet1!CY45,hhdcap_wcm,4)-(((VLOOKUP(Sheet1!CY45,hhdcap_wcm,3)-Sheet1!CY45)/(VLOOKUP(Sheet1!CY45,hhdcap_wcm,3)-VLOOKUP(Sheet1!CY45,hhdcap_wcm,1)))*(VLOOKUP(Sheet1!CY45,hhdcap_wcm,4)-VLOOKUP(Sheet1!CY45,hhdcap_wcm,2))))</f>
        <v>2549.2700000037717</v>
      </c>
      <c r="DG45" s="712">
        <f t="shared" si="264"/>
        <v>-701.57000000134667</v>
      </c>
      <c r="DH45" s="712">
        <f t="shared" si="265"/>
        <v>-353.79223398958476</v>
      </c>
      <c r="DI45" s="712">
        <f>Sheet1!DW45*AFtoMG</f>
        <v>0</v>
      </c>
      <c r="DJ45" s="712">
        <f>Sheet1!DX45*AFtoMG</f>
        <v>0</v>
      </c>
      <c r="DK45" s="712">
        <f>Sheet1!DY45*AFtoMG</f>
        <v>0</v>
      </c>
      <c r="DL45" s="712">
        <f>Sheet1!DZ45*AFtoMG</f>
        <v>0</v>
      </c>
      <c r="DM45" s="712">
        <f t="shared" si="266"/>
        <v>0</v>
      </c>
      <c r="DN45" s="712">
        <f t="shared" si="267"/>
        <v>0</v>
      </c>
      <c r="DO45" s="712">
        <f t="shared" si="268"/>
        <v>0</v>
      </c>
      <c r="DP45" s="712">
        <f t="shared" si="269"/>
        <v>0</v>
      </c>
      <c r="DQ45" s="712"/>
      <c r="DR45" s="697">
        <f>IF(OR(B45&lt;FL45,B45&gt;FM45),(MIN(AV45+BO45+CJ45+MAX(Sheet1!AA45+AG45-73,0),K45)),0)</f>
        <v>0</v>
      </c>
      <c r="DS45" s="712"/>
      <c r="DT45" s="712">
        <f t="shared" si="270"/>
        <v>0</v>
      </c>
      <c r="DU45" s="712"/>
      <c r="DV45" s="712">
        <f>Sheet1!ED45+Sheet1!EE45+Sheet1!EF45+Sheet1!EG45</f>
        <v>9.5</v>
      </c>
      <c r="DW45" s="712"/>
      <c r="DX45" s="697">
        <f t="shared" si="77"/>
        <v>0</v>
      </c>
      <c r="DY45" s="712">
        <f>IF(Sheet1!FN45=1,SUM('Calculations II'!AT45:BA45)+'Calculations II'!BC45+Sheet1!BU45+'Calculations II'!BE45+AF45,SUM('Calculations II'!AT45:BA45)+'Calculations II'!BC45+Sheet1!BU45+'Calculations II'!BE45+AF45)</f>
        <v>46.315759999999997</v>
      </c>
      <c r="DZ45" s="712">
        <f>Sheet1!AA45+Sheet1!AB45+'Calculations II'!BC45</f>
        <v>45.549999999995634</v>
      </c>
      <c r="EA45" s="712"/>
      <c r="EB45" s="712"/>
      <c r="EC45" s="712">
        <f t="shared" si="271"/>
        <v>40574</v>
      </c>
      <c r="ED45" s="712">
        <f t="shared" si="272"/>
        <v>0</v>
      </c>
      <c r="EE45" s="712">
        <f t="shared" si="273"/>
        <v>0</v>
      </c>
      <c r="EF45" s="712">
        <f>-(VLOOKUP(Sheet1!BQ45,Lookup!$B$4:$J$236,2)-VLOOKUP(Sheet1!BQ44,Lookup!$B$4:$J$236,2))/1000000</f>
        <v>-1.3525</v>
      </c>
      <c r="EG45" s="712">
        <f>-(VLOOKUP(Sheet1!BR45,Lookup!$B$4:$J$236,3)-VLOOKUP(Sheet1!BR44,Lookup!$B$4:$J$236,3))/1000000</f>
        <v>-1.62</v>
      </c>
      <c r="EH45" s="712">
        <f>-(VLOOKUP(Sheet1!BS45,Lookup!$B$4:$J$236,4)-VLOOKUP(Sheet1!BS44,Lookup!$B$4:$J$236,4))/1000000</f>
        <v>0</v>
      </c>
      <c r="EI45" s="697">
        <f t="shared" si="88"/>
        <v>-2.9725000000000001</v>
      </c>
      <c r="EJ45" s="712"/>
      <c r="EK45" s="712"/>
      <c r="EL45" s="712"/>
      <c r="EM45" s="712"/>
      <c r="EN45" s="712"/>
      <c r="EO45" s="712"/>
      <c r="EP45" s="712"/>
      <c r="EQ45" s="712"/>
      <c r="ER45" s="697">
        <v>0</v>
      </c>
      <c r="ES45" s="712"/>
      <c r="ET45" s="794" t="e">
        <f t="shared" si="274"/>
        <v>#N/A</v>
      </c>
      <c r="EU45" s="794" t="e">
        <f t="shared" si="79"/>
        <v>#VALUE!</v>
      </c>
      <c r="EV45" s="795" t="e">
        <f t="shared" si="48"/>
        <v>#VALUE!</v>
      </c>
      <c r="EW45" s="796" t="s">
        <v>757</v>
      </c>
      <c r="EX45" s="796" t="s">
        <v>757</v>
      </c>
      <c r="EY45" s="794">
        <v>0</v>
      </c>
      <c r="EZ45" s="794" t="e">
        <v>#N/A</v>
      </c>
      <c r="FA45" s="712"/>
      <c r="FB45" s="712"/>
      <c r="FC45" s="712"/>
      <c r="FD45" s="712"/>
      <c r="FE45" s="712">
        <f>O45+Sheet1!CO45</f>
        <v>45.549999999995634</v>
      </c>
      <c r="FF45" s="712">
        <f>IF(Sheet1!AA45+AG45&lt;=Calculation!N45,AG45,Calculation!N45-Sheet1!AA45)</f>
        <v>17.099999999998545</v>
      </c>
      <c r="FG45" s="712">
        <f>(Sheet1!BP45+Sheet1!BO45)/694.4</f>
        <v>2.4984158986175116</v>
      </c>
      <c r="FH45" s="712"/>
      <c r="FI45" s="712"/>
      <c r="FJ45" s="712"/>
      <c r="FK45" s="712"/>
      <c r="FL45" s="714">
        <f t="shared" si="89"/>
        <v>40753</v>
      </c>
      <c r="FM45" s="714">
        <f t="shared" si="90"/>
        <v>40851</v>
      </c>
      <c r="FN45" s="712"/>
      <c r="FO45" s="712"/>
      <c r="FP45" s="712"/>
      <c r="FQ45" s="712"/>
      <c r="FR45" s="712"/>
      <c r="FS45" s="725">
        <f t="shared" si="91"/>
        <v>40603</v>
      </c>
      <c r="FT45" s="714">
        <f t="shared" si="92"/>
        <v>40709</v>
      </c>
      <c r="FU45" s="712">
        <f t="shared" si="93"/>
        <v>6518.9048239895692</v>
      </c>
      <c r="FV45" s="714">
        <f t="shared" si="94"/>
        <v>40722</v>
      </c>
      <c r="FW45" s="712">
        <f t="shared" si="95"/>
        <v>3259.4524119947846</v>
      </c>
      <c r="FX45" s="725">
        <f t="shared" si="96"/>
        <v>40851</v>
      </c>
      <c r="FZ45" s="697">
        <f t="shared" si="49"/>
        <v>0</v>
      </c>
      <c r="GA45" s="712" t="str">
        <f t="shared" si="275"/>
        <v/>
      </c>
      <c r="GB45" s="712">
        <f t="shared" si="276"/>
        <v>0</v>
      </c>
      <c r="GC45" s="712" t="str">
        <f t="shared" si="277"/>
        <v/>
      </c>
      <c r="GD45" s="712">
        <f>IF(GA45="P",Lookup!$M$12,IF(GA45="PP",Lookup!$M$13,IF(GA45="PPP",Lookup!$M$14,IF(GA45="T",Lookup!$M$15,IF(GA45="TP",Lookup!$M$16,IF(GA45="TPP",Lookup!$M$17,IF(GA45="TPPP",Lookup!$M$18,0)))))))*FZ45</f>
        <v>0</v>
      </c>
      <c r="GE45" s="712">
        <f t="shared" si="278"/>
        <v>0</v>
      </c>
      <c r="GF45" s="712">
        <f t="shared" si="279"/>
        <v>0</v>
      </c>
      <c r="GG45" s="712">
        <f t="shared" si="280"/>
        <v>0</v>
      </c>
      <c r="GH45" s="712"/>
      <c r="GI45" s="712">
        <f t="shared" si="281"/>
        <v>0</v>
      </c>
      <c r="GJ45" s="712" t="str">
        <f t="shared" si="282"/>
        <v/>
      </c>
      <c r="GK45" s="712">
        <f>IF(GA45="P",Lookup!$N$12,IF(GA45="PP",Lookup!$N$13,IF(GA45="PPP",Lookup!$N$14,IF(GA45="T",Lookup!$N$15,IF(GA45="TP",Lookup!$N$16,IF(GA45="TPP",Lookup!$N$17,IF(GA45="TPPP",Lookup!$N$18,0)))))))*FZ45</f>
        <v>0</v>
      </c>
      <c r="GL45" s="712">
        <f t="shared" si="283"/>
        <v>0</v>
      </c>
      <c r="GM45" s="712">
        <f t="shared" si="284"/>
        <v>0</v>
      </c>
      <c r="GN45" s="712">
        <f t="shared" si="285"/>
        <v>0</v>
      </c>
      <c r="GO45" s="712"/>
      <c r="GP45" s="712">
        <f t="shared" si="286"/>
        <v>0</v>
      </c>
      <c r="GQ45" s="712" t="str">
        <f t="shared" si="287"/>
        <v/>
      </c>
      <c r="GR45" s="712">
        <f>IF(GA45="P",Lookup!$N$12,IF(GA45="PP",Lookup!$N$13,IF(GA45="PPP",Lookup!$N$14,IF(GA45="T",Lookup!$N$15,IF(GA45="TP",Lookup!$N$16,IF(GA45="TPP",Lookup!$N$17,IF(GA45="TPPP",Lookup!$N$18,0)))))))*FZ45</f>
        <v>0</v>
      </c>
      <c r="GS45" s="697">
        <f t="shared" si="83"/>
        <v>0</v>
      </c>
      <c r="GT45" s="712">
        <f t="shared" si="288"/>
        <v>0</v>
      </c>
      <c r="GU45" s="712">
        <f t="shared" si="289"/>
        <v>0</v>
      </c>
      <c r="GV45" s="712"/>
      <c r="GW45" s="712">
        <f t="shared" si="290"/>
        <v>0</v>
      </c>
      <c r="GX45" s="712" t="str">
        <f t="shared" si="291"/>
        <v/>
      </c>
      <c r="GY45" s="712">
        <f>IF(GA45="P",Lookup!$N$12,IF(GA45="PP",Lookup!$N$13,IF(GA45="PPP",Lookup!$N$14,IF(GA45="T",Lookup!$N$15,IF(GA45="TP",Lookup!$N$16,IF(GA45="TPP",Lookup!$N$17,IF(GA45="TPPP",Lookup!$N$18,0)))))))*FZ45</f>
        <v>0</v>
      </c>
      <c r="GZ45" s="697">
        <f t="shared" si="85"/>
        <v>0</v>
      </c>
      <c r="HA45" s="712">
        <f t="shared" si="292"/>
        <v>0</v>
      </c>
      <c r="HB45" s="712">
        <f t="shared" si="293"/>
        <v>0</v>
      </c>
      <c r="HC45" s="712"/>
    </row>
    <row r="46" spans="1:211">
      <c r="A46" s="773" t="s">
        <v>5</v>
      </c>
      <c r="B46" s="708">
        <v>40575</v>
      </c>
      <c r="C46" s="719">
        <v>0.5</v>
      </c>
      <c r="D46" s="675">
        <f t="shared" si="65"/>
        <v>300</v>
      </c>
      <c r="E46" s="675">
        <f t="shared" si="66"/>
        <v>250</v>
      </c>
      <c r="F46" s="675">
        <v>250</v>
      </c>
      <c r="G46" s="712">
        <f>DH46+Sheet1!CV46</f>
        <v>1938.7063569749821</v>
      </c>
      <c r="H46" s="712">
        <f t="shared" ref="H46:H109" si="294">MAX((G46-113-D46)*CFStoMGD,0)</f>
        <v>986.21658914862837</v>
      </c>
      <c r="I46" s="711">
        <f>MAX(Sheet1!Z46-AJ46+(Sheet1!CW46-E46)*CFStoMGD,0)</f>
        <v>2148.5313333333329</v>
      </c>
      <c r="J46" s="720">
        <f>IF(AND(B46&gt;=Calculation!FS46,B46&lt;=Calculation!FT46),IF(Sheet1!CX46&gt;=Calculation!D46,64.64,0),MAX(Sheet1!Z46-AJ46+(Sheet1!CX46-D46)*CFStoMGD,0))</f>
        <v>1249.2946666666667</v>
      </c>
      <c r="K46" s="697">
        <f t="shared" si="67"/>
        <v>64.64</v>
      </c>
      <c r="L46" s="712">
        <f>Sheet1!AA46+Sheet1!AB46-Sheet1!L46+(Sheet1!CW46-F46)*CFStoMGD</f>
        <v>2149.3513333333372</v>
      </c>
      <c r="M46" s="712">
        <f t="shared" ref="M46:M109" si="295">1.02*CFStoMGD*G46</f>
        <v>1278.243384931601</v>
      </c>
      <c r="N46" s="712">
        <f>IF(Sheet1!CW46&gt;=F46,MIN(73,MIN(MAX(L46,0),MAX(M46,0))),0)</f>
        <v>73</v>
      </c>
      <c r="O46" s="721">
        <f>Sheet1!AA46+Sheet1!AB46</f>
        <v>45.30000000000291</v>
      </c>
      <c r="P46" s="721">
        <f t="shared" ref="P46:P109" si="296">U46+V46</f>
        <v>70.079100000004502</v>
      </c>
      <c r="Q46" s="712">
        <f>MIN(N46,Sheet1!AA46+AG46)</f>
        <v>45.30000000000291</v>
      </c>
      <c r="R46" s="712">
        <f t="shared" ref="R46:R109" si="297">IF(AND(B46&gt;=FV46,B46&lt;=FX46),MAX(DR46,DV46),DR46)</f>
        <v>0</v>
      </c>
      <c r="S46" s="721">
        <f>Sheet1!Y46*MGDtoCFS</f>
        <v>43.053009999999993</v>
      </c>
      <c r="T46" s="721">
        <f>Sheet1!Z46*MGDtoCFS</f>
        <v>25.974129999999999</v>
      </c>
      <c r="U46" s="721">
        <f>Sheet1!AA46*MGDtoCFS</f>
        <v>43.780100000004502</v>
      </c>
      <c r="V46" s="721">
        <f>Sheet1!AB46*MGDtoCFS</f>
        <v>26.298999999999999</v>
      </c>
      <c r="W46" s="721">
        <f>Sheet1!L46*MGDtoCFS</f>
        <v>69.135429999997967</v>
      </c>
      <c r="X46" s="697">
        <f t="shared" si="68"/>
        <v>0</v>
      </c>
      <c r="Y46" s="712">
        <f t="shared" ref="Y46:Y109" si="298">X46*MGDtoCFS</f>
        <v>0</v>
      </c>
      <c r="Z46" s="712">
        <f t="shared" ref="Z46:Z109" si="299">IF(B46&gt;=FS46,IF(B46&lt;=FT46,K46-DR46,0),0)</f>
        <v>0</v>
      </c>
      <c r="AA46" s="712">
        <f t="shared" ref="AA46:AA109" si="300">Z46*MGDtoCFS</f>
        <v>0</v>
      </c>
      <c r="AB46" s="712">
        <f>(VLOOKUP(Sheet1!CY46,hhdcap_wcm,4)-(((VLOOKUP(Sheet1!CY46,hhdcap_wcm,3)-Sheet1!CY46)/(VLOOKUP(Sheet1!CY46,hhdcap_wcm,3)-VLOOKUP(Sheet1!CY46,hhdcap_wcm,1)))*(VLOOKUP(Sheet1!CY46,hhdcap_wcm,4)-VLOOKUP(Sheet1!CY46,hhdcap_wcm,2))))</f>
        <v>1940.1400000028077</v>
      </c>
      <c r="AC46" s="712">
        <f t="shared" ref="AC46:AC109" si="301">AB46-AB45</f>
        <v>-609.13000000096395</v>
      </c>
      <c r="AD46" s="712">
        <f t="shared" si="70"/>
        <v>0</v>
      </c>
      <c r="AE46" s="712">
        <f t="shared" ref="AE46:AE109" si="302">AD46*MGtoAF</f>
        <v>0</v>
      </c>
      <c r="AF46" s="712">
        <f>Sheet1!BA46+Sheet1!BB46+Sheet1!BN46+BT46</f>
        <v>17</v>
      </c>
      <c r="AG46" s="712">
        <f t="shared" ref="AG46:AG109" si="303">AF46+(DE46*AF46)</f>
        <v>17</v>
      </c>
      <c r="AH46" s="712">
        <f>Sheet1!BA46+BT46</f>
        <v>0</v>
      </c>
      <c r="AI46" s="712">
        <f>Sheet1!BA46+Sheet1!BB46+BT46</f>
        <v>0</v>
      </c>
      <c r="AJ46" s="712">
        <f>IF((Sheet1!AA46+AG46+AX46+AZ46+BQ46+BS46+CL46+CN46)&lt;=N46,AG46+AX46+AZ46+BQ46+BS46+CL46+CN46,N46-Sheet1!AA46)</f>
        <v>17</v>
      </c>
      <c r="AK46" s="712">
        <f>IF(DR46&lt;K46,0,MAX(Sheet1!AA46+AG46-15/36*K46-N46,Sheet1!ED46,0))</f>
        <v>0</v>
      </c>
      <c r="AL46" s="712">
        <f>IF(OR(B46&gt;=FT46,B46&lt;FS46),0,15/36*K46-MAX(0,64.6-(137.6-(Sheet1!AA46+Sheet1!AB46))))</f>
        <v>0</v>
      </c>
      <c r="AM46" s="712">
        <f>Sheet1!CX46-110</f>
        <v>2123.0208333333335</v>
      </c>
      <c r="AN46" s="712">
        <f>Sheet1!CW46-265</f>
        <v>3309.1666666666665</v>
      </c>
      <c r="AO46" s="712">
        <f t="shared" si="71"/>
        <v>27.69999999999709</v>
      </c>
      <c r="AP46" s="712">
        <f t="shared" si="72"/>
        <v>0</v>
      </c>
      <c r="AQ46" s="712">
        <f t="shared" ref="AQ46:AQ109" si="304">IF(AP46&lt;=0,0,AP46/1.547)</f>
        <v>0</v>
      </c>
      <c r="AR46" s="712">
        <f t="shared" ref="AR46:AR109" si="305">GE46+GG46</f>
        <v>0</v>
      </c>
      <c r="AS46" s="712"/>
      <c r="AT46" s="712">
        <f ca="1">IF(B46&gt;Summary!$A$1,#N/A,AR46*MGtoAF)</f>
        <v>0</v>
      </c>
      <c r="AU46" s="712">
        <f>Sheet1!BG46+Sheet1!BH46+Sheet1!BI46-BC46</f>
        <v>0</v>
      </c>
      <c r="AV46" s="712">
        <f t="shared" ref="AV46:AV109" si="306">AU46+(DE46*AU46)</f>
        <v>0</v>
      </c>
      <c r="AW46" s="712">
        <f>IF(Sheet1!EL46="FM",BC46,0)</f>
        <v>0</v>
      </c>
      <c r="AX46" s="712">
        <f t="shared" ref="AX46:AX109" si="307">AW46+(DE46*AW46)</f>
        <v>0</v>
      </c>
      <c r="AY46" s="712">
        <f>IF(Sheet1!EL46="OTHER",BC46,0)</f>
        <v>0</v>
      </c>
      <c r="AZ46" s="712">
        <f t="shared" ref="AZ46:AZ109" si="308">AY46+(DE46*AY46)</f>
        <v>0</v>
      </c>
      <c r="BA46" s="712">
        <f t="shared" ref="BA46:BA109" si="309">MAX(AU46,AW46,AY46)</f>
        <v>0</v>
      </c>
      <c r="BB46" s="712">
        <f t="shared" ref="BB46:BB109" si="310">MAX(AV46,AX46,AZ46)</f>
        <v>0</v>
      </c>
      <c r="BC46" s="712">
        <f>IF(OR(Sheet1!EL46="FM", Sheet1!EL46="OTHER"),SUM(Sheet1!BG46:'Sheet1'!BI46),0)</f>
        <v>0</v>
      </c>
      <c r="BD46" s="697">
        <f>IF(AND($B46&gt;=$FL46,$B46&lt;=$FM46),MAX(AV46,Sheet1!EE46,0),MAX(AV46-(7/36)*$K46,0))</f>
        <v>0</v>
      </c>
      <c r="BE46" s="712">
        <f t="shared" ref="BE46:BE109" si="311">IF(B46&gt;=FS46,IF(B46&lt;=FT46,(7/36)*K46-AV46,0),0)</f>
        <v>0</v>
      </c>
      <c r="BF46" s="697">
        <f t="shared" si="73"/>
        <v>0</v>
      </c>
      <c r="BG46" s="697">
        <f>IF(AND($O46&gt;0,Sheet1!EI46=1),(1-($O46-Sheet1!$L46)/$O46)*BB46,0)</f>
        <v>0</v>
      </c>
      <c r="BH46" s="697">
        <f>IF(AND(Sheet1!$L46=0,Sheet1!$L45=0, Calculation!BA46&lt;Sheet1!$EE46-0.1,Sheet1!$EE46=Sheet1!$EE45,Sheet1!$EE46=Sheet1!$EE47),Sheet1!$EE46,BB46-BG46)</f>
        <v>0</v>
      </c>
      <c r="BI46" s="712"/>
      <c r="BJ46" s="712"/>
      <c r="BK46" s="712">
        <f t="shared" ref="BK46:BK109" si="312">GL46+GN46</f>
        <v>0</v>
      </c>
      <c r="BL46" s="712"/>
      <c r="BM46" s="712">
        <f ca="1">IF(B46&gt;Summary!$A$1,#N/A,BK46*MGtoAF)</f>
        <v>0</v>
      </c>
      <c r="BN46" s="712">
        <f>Sheet1!BC46+Sheet1!BD46+Sheet1!BE46+Sheet1!BF46-BW46-BX46</f>
        <v>0</v>
      </c>
      <c r="BO46" s="712">
        <f t="shared" ref="BO46:BO109" si="313">BN46+(DE46*BN46)</f>
        <v>0</v>
      </c>
      <c r="BP46" s="712">
        <f>IF(Sheet1!EM46="FM",BX46,0)</f>
        <v>0</v>
      </c>
      <c r="BQ46" s="712">
        <f t="shared" ref="BQ46:BQ109" si="314">BP46+(DE46*BP46)</f>
        <v>0</v>
      </c>
      <c r="BR46" s="712">
        <f>IF(Sheet1!EM46="OTHER",BX46,0)</f>
        <v>0</v>
      </c>
      <c r="BS46" s="712">
        <f t="shared" ref="BS46:BS109" si="315">BR46+(DE46*BR46)</f>
        <v>0</v>
      </c>
      <c r="BT46" s="712">
        <f t="shared" ref="BT46:BT109" si="316">BW46</f>
        <v>0</v>
      </c>
      <c r="BU46" s="712">
        <f t="shared" ref="BU46:BU109" si="317">MAX(BN46,BP46,BR46)</f>
        <v>0</v>
      </c>
      <c r="BV46" s="712">
        <f t="shared" ref="BV46:BV109" si="318">MAX(BO46,BQ46, BS46)</f>
        <v>0</v>
      </c>
      <c r="BW46" s="712">
        <f>IF(Sheet1!EM46="CWA",SUM(Sheet1!BC46:'Sheet1'!BF46),0)</f>
        <v>0</v>
      </c>
      <c r="BX46" s="712">
        <f>IF(OR(Sheet1!EM46="FM", Sheet1!EM46="OTHER"),SUM(Sheet1!BC46:'Sheet1'!BF46),0)</f>
        <v>0</v>
      </c>
      <c r="BY46" s="697">
        <f>IF(AND($B46&gt;=$FL46,$B46&lt;=$FM46),MAX(BV46,Sheet1!EF46,0),MAX(BV46-(7/36)*$K46,0))</f>
        <v>0</v>
      </c>
      <c r="BZ46" s="712">
        <f t="shared" ref="BZ46:BZ109" si="319">IF(B46&gt;=FS46,IF(B46&lt;=FT46,(7/36)*K46-BO46,0),0)</f>
        <v>0</v>
      </c>
      <c r="CA46" s="697">
        <f t="shared" si="74"/>
        <v>0</v>
      </c>
      <c r="CB46" s="697">
        <f>IF(AND($O46&gt;0,Sheet1!EJ46=1),(1-($O46-Sheet1!$L46)/$O46)*BV46,0)</f>
        <v>0</v>
      </c>
      <c r="CC46" s="697">
        <f>IF(AND(Sheet1!$L46=0,Sheet1!$L45=0, Calculation!BU46&lt;Sheet1!EF46-0.1,Sheet1!EF46=Sheet1!EF45,Sheet1!EF46=Sheet1!EF47),Sheet1!EF46,BV46-CB46)</f>
        <v>0</v>
      </c>
      <c r="CD46" s="697"/>
      <c r="CE46" s="712"/>
      <c r="CF46" s="712">
        <f t="shared" ref="CF46:CF109" si="320">GS46+GU46</f>
        <v>0</v>
      </c>
      <c r="CG46" s="712"/>
      <c r="CH46" s="712">
        <f ca="1">IF(B46&gt;Summary!$A$1,#N/A,CF46*MGtoAF)</f>
        <v>0</v>
      </c>
      <c r="CI46" s="712">
        <f>Sheet1!BK46+Sheet1!BL46+Sheet1!BM46-Sheet1!EN46-CQ46</f>
        <v>0</v>
      </c>
      <c r="CJ46" s="712">
        <f t="shared" ref="CJ46:CJ109" si="321">CI46+(DE46*CI46)</f>
        <v>0</v>
      </c>
      <c r="CK46" s="712">
        <f>IF(Sheet1!EN46="FM",CQ46,0)</f>
        <v>0</v>
      </c>
      <c r="CL46" s="712">
        <f t="shared" ref="CL46:CL109" si="322">CK46+(DE46*CK46)</f>
        <v>0</v>
      </c>
      <c r="CM46" s="712">
        <f>IF(Sheet1!EN46="OTHER",CQ46,0)</f>
        <v>0</v>
      </c>
      <c r="CN46" s="712">
        <f t="shared" ref="CN46:CN109" si="323">CM46+(DE46*CM46)</f>
        <v>0</v>
      </c>
      <c r="CO46" s="712">
        <f t="shared" ref="CO46:CO109" si="324">MAX(CI46,CK46)</f>
        <v>0</v>
      </c>
      <c r="CP46" s="712">
        <f t="shared" ref="CP46:CP109" si="325">MAX(CJ46,CL46)</f>
        <v>0</v>
      </c>
      <c r="CQ46" s="712">
        <f>IF(OR(Sheet1!EN46="FM", Sheet1!EN46="OTHER"),SUM(Sheet1!BK46:'Sheet1'!BM46),0)</f>
        <v>0</v>
      </c>
      <c r="CR46" s="697">
        <f>IF(AND($B46&gt;=$FL46,$B46&lt;=$FM46),MAX($CJ46,Sheet1!EG46,0),MAX($CJ46-(7/36)*$K46,0))</f>
        <v>0</v>
      </c>
      <c r="CS46" s="712">
        <f t="shared" ref="CS46:CS109" si="326">IF(B46&gt;=FS46,IF(B46&lt;=FT46,(7/36)*K46-CJ46,0),0)</f>
        <v>0</v>
      </c>
      <c r="CT46" s="697">
        <f t="shared" si="75"/>
        <v>0</v>
      </c>
      <c r="CU46" s="697">
        <f>IF(AND($O46&gt;0,Sheet1!EK46=1),(1-($O46-Sheet1!$L46)/$O46)*CP46,0)</f>
        <v>0</v>
      </c>
      <c r="CV46" s="697">
        <f>IF(AND(Sheet1!$L46=0,Sheet1!$L45=0, Calculation!CO46&lt;Sheet1!$EG46-0.1,Sheet1!$EG46=Sheet1!$EG45,Sheet1!$EG46=Sheet1!$EG47),Sheet1!$EG46,CP46-CU46)</f>
        <v>0</v>
      </c>
      <c r="CW46" s="697">
        <f t="shared" si="33"/>
        <v>0</v>
      </c>
      <c r="CX46" s="712">
        <f t="shared" si="87"/>
        <v>0</v>
      </c>
      <c r="CY46" s="712">
        <f t="shared" ref="CY46:CY109" si="327">GZ46+HB46</f>
        <v>0</v>
      </c>
      <c r="CZ46" s="712">
        <f t="shared" ref="CZ46:CZ109" si="328">BB46+BV46+CP46</f>
        <v>0</v>
      </c>
      <c r="DA46" s="712">
        <f ca="1">IF(B46&gt;Summary!$A$1,#N/A,CY46*MGtoAF)</f>
        <v>0</v>
      </c>
      <c r="DB46" s="712">
        <f t="shared" ref="DB46:DB109" si="329">CO46+BU46+BA46</f>
        <v>0</v>
      </c>
      <c r="DC46" s="712">
        <f t="shared" ref="DC46:DC109" si="330">DB46+AF46</f>
        <v>17</v>
      </c>
      <c r="DD46" s="712">
        <f>Sheet1!AB46-DC46</f>
        <v>0</v>
      </c>
      <c r="DE46" s="712">
        <f t="shared" ref="DE46:DE109" si="331">IF(DC46=0,0,DD46/DC46)</f>
        <v>0</v>
      </c>
      <c r="DF46" s="712">
        <f>(VLOOKUP(Sheet1!CY46,hhdcap_wcm,4)-(((VLOOKUP(Sheet1!CY46,hhdcap_wcm,3)-Sheet1!CY46)/(VLOOKUP(Sheet1!CY46,hhdcap_wcm,3)-VLOOKUP(Sheet1!CY46,hhdcap_wcm,1)))*(VLOOKUP(Sheet1!CY46,hhdcap_wcm,4)-VLOOKUP(Sheet1!CY46,hhdcap_wcm,2))))</f>
        <v>1940.1400000028077</v>
      </c>
      <c r="DG46" s="712">
        <f t="shared" ref="DG46:DG109" si="332">DF46-DF45</f>
        <v>-609.13000000096395</v>
      </c>
      <c r="DH46" s="712">
        <f t="shared" ref="DH46:DH109" si="333">DG46*AFtoCFS</f>
        <v>-307.17599596619459</v>
      </c>
      <c r="DI46" s="712">
        <f>Sheet1!DW46*AFtoMG</f>
        <v>0</v>
      </c>
      <c r="DJ46" s="712">
        <f>Sheet1!DX46*AFtoMG</f>
        <v>0</v>
      </c>
      <c r="DK46" s="712">
        <f>Sheet1!DY46*AFtoMG</f>
        <v>0</v>
      </c>
      <c r="DL46" s="712">
        <f>Sheet1!DZ46*AFtoMG</f>
        <v>0</v>
      </c>
      <c r="DM46" s="712">
        <f t="shared" ref="DM46:DM109" si="334">SUM(DI46:DL46)</f>
        <v>0</v>
      </c>
      <c r="DN46" s="712">
        <f t="shared" ref="DN46:DN109" si="335">DM46*MGtoAF</f>
        <v>0</v>
      </c>
      <c r="DO46" s="712">
        <f t="shared" ref="DO46:DO109" si="336">AD46</f>
        <v>0</v>
      </c>
      <c r="DP46" s="712">
        <f t="shared" ref="DP46:DP109" si="337">DO46*MGtoAF</f>
        <v>0</v>
      </c>
      <c r="DQ46" s="712"/>
      <c r="DR46" s="697">
        <f>IF(OR(B46&lt;FL46,B46&gt;FM46),(MIN(AV46+BO46+CJ46+MAX(Sheet1!AA46+AG46-73,0),K46)),0)</f>
        <v>0</v>
      </c>
      <c r="DS46" s="712"/>
      <c r="DT46" s="712">
        <f t="shared" ref="DT46:DT109" si="338">CJ46+AV46+BO46</f>
        <v>0</v>
      </c>
      <c r="DU46" s="712"/>
      <c r="DV46" s="712">
        <f>Sheet1!ED46+Sheet1!EE46+Sheet1!EF46+Sheet1!EG46</f>
        <v>9.5</v>
      </c>
      <c r="DW46" s="712"/>
      <c r="DX46" s="697">
        <f t="shared" si="77"/>
        <v>0</v>
      </c>
      <c r="DY46" s="712">
        <f>IF(Sheet1!FN46=1,SUM('Calculations II'!AT46:BA46)+'Calculations II'!BC46+Sheet1!BU46+'Calculations II'!BE46+AF46,SUM('Calculations II'!AT46:BA46)+'Calculations II'!BC46+Sheet1!BU46+'Calculations II'!BE46+AF46)</f>
        <v>43.263440000000003</v>
      </c>
      <c r="DZ46" s="712">
        <f>Sheet1!AA46+Sheet1!AB46+'Calculations II'!BC46</f>
        <v>45.30000000000291</v>
      </c>
      <c r="EA46" s="712"/>
      <c r="EB46" s="712"/>
      <c r="EC46" s="712">
        <f t="shared" ref="EC46:EC109" si="339">B46</f>
        <v>40575</v>
      </c>
      <c r="ED46" s="712">
        <f t="shared" ref="ED46:ED109" si="340">Z46-X46</f>
        <v>0</v>
      </c>
      <c r="EE46" s="712">
        <f t="shared" ref="EE46:EE109" si="341">AA46-Y46</f>
        <v>0</v>
      </c>
      <c r="EF46" s="712">
        <f>-(VLOOKUP(Sheet1!BQ46,Lookup!$B$4:$J$236,2)-VLOOKUP(Sheet1!BQ45,Lookup!$B$4:$J$236,2))/1000000</f>
        <v>2.6981999999999999</v>
      </c>
      <c r="EG46" s="712">
        <f>-(VLOOKUP(Sheet1!BR46,Lookup!$B$4:$J$236,3)-VLOOKUP(Sheet1!BR45,Lookup!$B$4:$J$236,3))/1000000</f>
        <v>2.6932</v>
      </c>
      <c r="EH46" s="712">
        <f>-(VLOOKUP(Sheet1!BS46,Lookup!$B$4:$J$236,4)-VLOOKUP(Sheet1!BS45,Lookup!$B$4:$J$236,4))/1000000</f>
        <v>0</v>
      </c>
      <c r="EI46" s="697">
        <f t="shared" si="88"/>
        <v>5.3914</v>
      </c>
      <c r="EJ46" s="712"/>
      <c r="EK46" s="712"/>
      <c r="EL46" s="712"/>
      <c r="EM46" s="712"/>
      <c r="EN46" s="712"/>
      <c r="EO46" s="712"/>
      <c r="EP46" s="712"/>
      <c r="EQ46" s="712"/>
      <c r="ER46" s="697">
        <v>0</v>
      </c>
      <c r="ES46" s="712"/>
      <c r="ET46" s="794" t="e">
        <f t="shared" ref="ET46:ET109" si="342">VLOOKUP(EZ45,hhdelev_wcm,4) -(((VLOOKUP(EZ45,hhdelev_wcm,3)-EZ45)/(VLOOKUP(EZ45,hhdelev_wcm,3)-VLOOKUP(EZ45,hhdelev_wcm,1)))*(VLOOKUP(EZ45,hhdelev_wcm,4)-VLOOKUP(EZ45,hhdelev_wcm,2)))</f>
        <v>#N/A</v>
      </c>
      <c r="EU46" s="794" t="e">
        <f t="shared" si="79"/>
        <v>#VALUE!</v>
      </c>
      <c r="EV46" s="795" t="e">
        <f t="shared" si="48"/>
        <v>#VALUE!</v>
      </c>
      <c r="EW46" s="796" t="s">
        <v>757</v>
      </c>
      <c r="EX46" s="796" t="s">
        <v>757</v>
      </c>
      <c r="EY46" s="794">
        <v>0</v>
      </c>
      <c r="EZ46" s="794" t="e">
        <v>#N/A</v>
      </c>
      <c r="FA46" s="712"/>
      <c r="FB46" s="712"/>
      <c r="FC46" s="712"/>
      <c r="FD46" s="712"/>
      <c r="FE46" s="712">
        <f>O46+Sheet1!CO46</f>
        <v>45.30000000000291</v>
      </c>
      <c r="FF46" s="712">
        <f>IF(Sheet1!AA46+AG46&lt;=Calculation!N46,AG46,Calculation!N46-Sheet1!AA46)</f>
        <v>17</v>
      </c>
      <c r="FG46" s="712">
        <f>(Sheet1!BP46+Sheet1!BO46)/694.4</f>
        <v>1.3508064516129032</v>
      </c>
      <c r="FH46" s="712"/>
      <c r="FI46" s="712"/>
      <c r="FJ46" s="712"/>
      <c r="FK46" s="712"/>
      <c r="FL46" s="714">
        <f t="shared" si="89"/>
        <v>40753</v>
      </c>
      <c r="FM46" s="714">
        <f t="shared" si="90"/>
        <v>40851</v>
      </c>
      <c r="FN46" s="712"/>
      <c r="FO46" s="712"/>
      <c r="FP46" s="712"/>
      <c r="FQ46" s="712"/>
      <c r="FR46" s="712"/>
      <c r="FS46" s="725">
        <f t="shared" si="91"/>
        <v>40603</v>
      </c>
      <c r="FT46" s="714">
        <f t="shared" si="92"/>
        <v>40709</v>
      </c>
      <c r="FU46" s="712">
        <f t="shared" si="93"/>
        <v>6518.9048239895692</v>
      </c>
      <c r="FV46" s="714">
        <f t="shared" si="94"/>
        <v>40722</v>
      </c>
      <c r="FW46" s="712">
        <f t="shared" si="95"/>
        <v>3259.4524119947846</v>
      </c>
      <c r="FX46" s="725">
        <f t="shared" si="96"/>
        <v>40851</v>
      </c>
      <c r="FZ46" s="697">
        <f t="shared" si="49"/>
        <v>0</v>
      </c>
      <c r="GA46" s="712" t="str">
        <f t="shared" ref="GA46:GA109" si="343">CONCATENATE(GC46,GQ46,GJ46,GX46)</f>
        <v/>
      </c>
      <c r="GB46" s="712">
        <f t="shared" ref="GB46:GB109" si="344">IF(GF46&gt;=8333.33,AL46,0)</f>
        <v>0</v>
      </c>
      <c r="GC46" s="712" t="str">
        <f t="shared" ref="GC46:GC109" si="345">IF(AND(GF46&lt;8333.33,FZ46&gt;0),"T","")</f>
        <v/>
      </c>
      <c r="GD46" s="712">
        <f>IF(GA46="P",Lookup!$M$12,IF(GA46="PP",Lookup!$M$13,IF(GA46="PPP",Lookup!$M$14,IF(GA46="T",Lookup!$M$15,IF(GA46="TP",Lookup!$M$16,IF(GA46="TPP",Lookup!$M$17,IF(GA46="TPPP",Lookup!$M$18,0)))))))*FZ46</f>
        <v>0</v>
      </c>
      <c r="GE46" s="712">
        <f t="shared" ref="GE46:GE109" si="346">IF(GC46="T",GD46,0)</f>
        <v>0</v>
      </c>
      <c r="GF46" s="712">
        <f t="shared" ref="GF46:GF109" si="347">GG46*MGtoAF</f>
        <v>0</v>
      </c>
      <c r="GG46" s="712">
        <f t="shared" ref="GG46:GG109" si="348">(IF(AND(B46&lt;FV46,B46&gt;=FS46),MIN(AR45+AL46-AK46,15/36*FU46),IF(B46=FV46,15/36*FW46,IF(AND(B46&gt;FV46,B46&lt;FX46),MIN(AR45+AL46-AK46,15/36*FW46),IF(B46&gt;=FX46,0,0)))))+DI46</f>
        <v>0</v>
      </c>
      <c r="GH46" s="712"/>
      <c r="GI46" s="712">
        <f t="shared" ref="GI46:GI109" si="349">IF(GM46&gt;=3888.88,BE46,0)</f>
        <v>0</v>
      </c>
      <c r="GJ46" s="712" t="str">
        <f t="shared" ref="GJ46:GJ109" si="350">IF(AND(GM46&lt;3888.88,FZ46&gt;0),"P","")</f>
        <v/>
      </c>
      <c r="GK46" s="712">
        <f>IF(GA46="P",Lookup!$N$12,IF(GA46="PP",Lookup!$N$13,IF(GA46="PPP",Lookup!$N$14,IF(GA46="T",Lookup!$N$15,IF(GA46="TP",Lookup!$N$16,IF(GA46="TPP",Lookup!$N$17,IF(GA46="TPPP",Lookup!$N$18,0)))))))*FZ46</f>
        <v>0</v>
      </c>
      <c r="GL46" s="712">
        <f t="shared" ref="GL46:GL109" si="351">IF(GJ46="P",GK46,0)</f>
        <v>0</v>
      </c>
      <c r="GM46" s="712">
        <f t="shared" ref="GM46:GM109" si="352">GN46*MGtoAF</f>
        <v>0</v>
      </c>
      <c r="GN46" s="712">
        <f t="shared" ref="GN46:GN109" si="353">(IF(AND(B46&lt;FV46,B46&gt;=FS46),MIN(BK45+BE46-BD46,7/36*FU46),IF(B46=FV46,7/36*FW46,IF(AND(B46&gt;FV46,B46&lt;FX46),MIN(BK45+BE46-BD46,7/36*FW46),IF(B46&gt;=FX46,0,0)))))+DJ46</f>
        <v>0</v>
      </c>
      <c r="GO46" s="712"/>
      <c r="GP46" s="712">
        <f t="shared" ref="GP46:GP109" si="354">IF(GT46&gt;=8333.33,BZ46,0)</f>
        <v>0</v>
      </c>
      <c r="GQ46" s="712" t="str">
        <f t="shared" ref="GQ46:GQ109" si="355">IF(AND(GT46&lt;3888.88,FZ46&gt;0),"P","")</f>
        <v/>
      </c>
      <c r="GR46" s="712">
        <f>IF(GA46="P",Lookup!$N$12,IF(GA46="PP",Lookup!$N$13,IF(GA46="PPP",Lookup!$N$14,IF(GA46="T",Lookup!$N$15,IF(GA46="TP",Lookup!$N$16,IF(GA46="TPP",Lookup!$N$17,IF(GA46="TPPP",Lookup!$N$18,0)))))))*FZ46</f>
        <v>0</v>
      </c>
      <c r="GS46" s="697">
        <f t="shared" si="83"/>
        <v>0</v>
      </c>
      <c r="GT46" s="712">
        <f t="shared" ref="GT46:GT109" si="356">GU46*MGtoAF</f>
        <v>0</v>
      </c>
      <c r="GU46" s="712">
        <f t="shared" ref="GU46:GU109" si="357">IF(AND(B46&lt;FV46,B46&gt;=FS46),MIN(CF45+BZ46-BY46,7/36*FU46),IF(B46=FV46,7/36*FW46,IF(AND(B46&gt;FV46,B46&lt;FX46),MIN(CF45+BZ46-BY46,7/36*FW46),IF(B46&gt;=FX46,0,0))))+DK46</f>
        <v>0</v>
      </c>
      <c r="GV46" s="712"/>
      <c r="GW46" s="712">
        <f t="shared" ref="GW46:GW109" si="358">IF(HA46&gt;=3888.88,CS46,0)</f>
        <v>0</v>
      </c>
      <c r="GX46" s="712" t="str">
        <f t="shared" ref="GX46:GX109" si="359">IF(AND(HA46&lt;3888.88,FZ46&gt;0),"P","")</f>
        <v/>
      </c>
      <c r="GY46" s="712">
        <f>IF(GA46="P",Lookup!$N$12,IF(GA46="PP",Lookup!$N$13,IF(GA46="PPP",Lookup!$N$14,IF(GA46="T",Lookup!$N$15,IF(GA46="TP",Lookup!$N$16,IF(GA46="TPP",Lookup!$N$17,IF(GA46="TPPP",Lookup!$N$18,0)))))))*FZ46</f>
        <v>0</v>
      </c>
      <c r="GZ46" s="697">
        <f t="shared" si="85"/>
        <v>0</v>
      </c>
      <c r="HA46" s="712">
        <f t="shared" ref="HA46:HA109" si="360">HB46*MGtoAF</f>
        <v>0</v>
      </c>
      <c r="HB46" s="712">
        <f t="shared" ref="HB46:HB109" si="361">(IF(AND(B46&lt;FV46,B46&gt;=FS46),MIN(CY45+CS46-CR46,7/36*FU46),IF(B46=FV46,7/36*FW46,IF(AND(B46&gt;FV46,B46&lt;FX46),MIN(CY45+CS46-CR46,7/36*FW46),IF(B46&gt;=FX46,0,0)))))+DL46</f>
        <v>0</v>
      </c>
      <c r="HC46" s="712"/>
    </row>
    <row r="47" spans="1:211">
      <c r="A47" s="773" t="s">
        <v>6</v>
      </c>
      <c r="B47" s="708">
        <v>40576</v>
      </c>
      <c r="C47" s="709">
        <v>0.5</v>
      </c>
      <c r="D47" s="675">
        <f t="shared" si="65"/>
        <v>300</v>
      </c>
      <c r="E47" s="675">
        <f t="shared" si="66"/>
        <v>250</v>
      </c>
      <c r="F47" s="710">
        <v>250</v>
      </c>
      <c r="G47" s="712">
        <f>DH47+Sheet1!CV47</f>
        <v>1583.8818189908193</v>
      </c>
      <c r="H47" s="712">
        <f t="shared" si="294"/>
        <v>756.85800779566557</v>
      </c>
      <c r="I47" s="711">
        <f>MAX(Sheet1!Z47-AJ47+(Sheet1!CW47-E47)*CFStoMGD,0)</f>
        <v>1583.8206666666667</v>
      </c>
      <c r="J47" s="720">
        <f>IF(AND(B47&gt;=Calculation!FS47,B47&lt;=Calculation!FT47),IF(Sheet1!CX47&gt;=Calculation!D47,64.64,0),MAX(Sheet1!Z47-AJ47+(Sheet1!CX47-D47)*CFStoMGD,0))</f>
        <v>879.8506666666666</v>
      </c>
      <c r="K47" s="697">
        <f t="shared" si="67"/>
        <v>64.64</v>
      </c>
      <c r="L47" s="712">
        <f>Sheet1!AA47+Sheet1!AB47-Sheet1!L47+(Sheet1!CW47-F47)*CFStoMGD</f>
        <v>1584.5206666666688</v>
      </c>
      <c r="M47" s="712">
        <f t="shared" si="295"/>
        <v>1044.297631951579</v>
      </c>
      <c r="N47" s="712">
        <f>IF(Sheet1!CW47&gt;=F47,MIN(73,MIN(MAX(L47,0),MAX(M47,0))),0)</f>
        <v>73</v>
      </c>
      <c r="O47" s="721">
        <f>Sheet1!AA47+Sheet1!AB47</f>
        <v>47.30000000000291</v>
      </c>
      <c r="P47" s="721">
        <f t="shared" si="296"/>
        <v>73.173100000004496</v>
      </c>
      <c r="Q47" s="712">
        <f>MIN(N47,Sheet1!AA47+AG47)</f>
        <v>47.30000000000291</v>
      </c>
      <c r="R47" s="712">
        <f t="shared" si="297"/>
        <v>0</v>
      </c>
      <c r="S47" s="721">
        <f>Sheet1!Y47*MGDtoCFS</f>
        <v>44.785649999999997</v>
      </c>
      <c r="T47" s="721">
        <f>Sheet1!Z47*MGDtoCFS</f>
        <v>26.144299999999998</v>
      </c>
      <c r="U47" s="721">
        <f>Sheet1!AA47*MGDtoCFS</f>
        <v>46.100600000004498</v>
      </c>
      <c r="V47" s="721">
        <f>Sheet1!AB47*MGDtoCFS</f>
        <v>27.072499999999998</v>
      </c>
      <c r="W47" s="721">
        <f>Sheet1!L47*MGDtoCFS</f>
        <v>73.018400000001122</v>
      </c>
      <c r="X47" s="697">
        <f t="shared" si="68"/>
        <v>0</v>
      </c>
      <c r="Y47" s="712">
        <f t="shared" si="298"/>
        <v>0</v>
      </c>
      <c r="Z47" s="712">
        <f t="shared" si="299"/>
        <v>0</v>
      </c>
      <c r="AA47" s="712">
        <f t="shared" si="300"/>
        <v>0</v>
      </c>
      <c r="AB47" s="712">
        <f>(VLOOKUP(Sheet1!CY47,hhdcap_wcm,4)-(((VLOOKUP(Sheet1!CY47,hhdcap_wcm,3)-Sheet1!CY47)/(VLOOKUP(Sheet1!CY47,hhdcap_wcm,3)-VLOOKUP(Sheet1!CY47,hhdcap_wcm,1)))*(VLOOKUP(Sheet1!CY47,hhdcap_wcm,4)-VLOOKUP(Sheet1!CY47,hhdcap_wcm,2))))</f>
        <v>1933.8400000027789</v>
      </c>
      <c r="AC47" s="712">
        <f t="shared" si="301"/>
        <v>-6.300000000028831</v>
      </c>
      <c r="AD47" s="712">
        <f t="shared" si="70"/>
        <v>0</v>
      </c>
      <c r="AE47" s="712">
        <f t="shared" si="302"/>
        <v>0</v>
      </c>
      <c r="AF47" s="712">
        <f>Sheet1!BA47+Sheet1!BB47+Sheet1!BN47+BT47</f>
        <v>17</v>
      </c>
      <c r="AG47" s="712">
        <f t="shared" si="303"/>
        <v>17.5</v>
      </c>
      <c r="AH47" s="712">
        <f>Sheet1!BA47+BT47</f>
        <v>0</v>
      </c>
      <c r="AI47" s="712">
        <f>Sheet1!BA47+Sheet1!BB47+BT47</f>
        <v>0</v>
      </c>
      <c r="AJ47" s="712">
        <f>IF((Sheet1!AA47+AG47+AX47+AZ47+BQ47+BS47+CL47+CN47)&lt;=N47,AG47+AX47+AZ47+BQ47+BS47+CL47+CN47,N47-Sheet1!AA47)</f>
        <v>17.5</v>
      </c>
      <c r="AK47" s="712">
        <f>IF(DR47&lt;K47,0,MAX(Sheet1!AA47+AG47-15/36*K47-N47,Sheet1!ED47,0))</f>
        <v>0</v>
      </c>
      <c r="AL47" s="712">
        <f>IF(OR(B47&gt;=FT47,B47&lt;FS47),0,15/36*K47-MAX(0,64.6-(137.6-(Sheet1!AA47+Sheet1!AB47))))</f>
        <v>0</v>
      </c>
      <c r="AM47" s="712">
        <f>Sheet1!CX47-110</f>
        <v>1552.0833333333333</v>
      </c>
      <c r="AN47" s="712">
        <f>Sheet1!CW47-265</f>
        <v>2436.1458333333335</v>
      </c>
      <c r="AO47" s="712">
        <f t="shared" si="71"/>
        <v>25.69999999999709</v>
      </c>
      <c r="AP47" s="712">
        <f t="shared" si="72"/>
        <v>0</v>
      </c>
      <c r="AQ47" s="712">
        <f t="shared" si="304"/>
        <v>0</v>
      </c>
      <c r="AR47" s="712">
        <f t="shared" si="305"/>
        <v>0</v>
      </c>
      <c r="AS47" s="712"/>
      <c r="AT47" s="712">
        <f ca="1">IF(B47&gt;Summary!$A$1,#N/A,AR47*MGtoAF)</f>
        <v>0</v>
      </c>
      <c r="AU47" s="712">
        <f>Sheet1!BG47+Sheet1!BH47+Sheet1!BI47-BC47</f>
        <v>0</v>
      </c>
      <c r="AV47" s="712">
        <f t="shared" si="306"/>
        <v>0</v>
      </c>
      <c r="AW47" s="712">
        <f>IF(Sheet1!EL47="FM",BC47,0)</f>
        <v>0</v>
      </c>
      <c r="AX47" s="712">
        <f t="shared" si="307"/>
        <v>0</v>
      </c>
      <c r="AY47" s="712">
        <f>IF(Sheet1!EL47="OTHER",BC47,0)</f>
        <v>0</v>
      </c>
      <c r="AZ47" s="712">
        <f t="shared" si="308"/>
        <v>0</v>
      </c>
      <c r="BA47" s="712">
        <f t="shared" si="309"/>
        <v>0</v>
      </c>
      <c r="BB47" s="712">
        <f t="shared" si="310"/>
        <v>0</v>
      </c>
      <c r="BC47" s="712">
        <f>IF(OR(Sheet1!EL47="FM", Sheet1!EL47="OTHER"),SUM(Sheet1!BG47:'Sheet1'!BI47),0)</f>
        <v>0</v>
      </c>
      <c r="BD47" s="697">
        <f>IF(AND($B47&gt;=$FL47,$B47&lt;=$FM47),MAX(AV47,Sheet1!EE47,0),MAX(AV47-(7/36)*$K47,0))</f>
        <v>0</v>
      </c>
      <c r="BE47" s="712">
        <f t="shared" si="311"/>
        <v>0</v>
      </c>
      <c r="BF47" s="697">
        <f t="shared" si="73"/>
        <v>0</v>
      </c>
      <c r="BG47" s="697">
        <f>IF(AND($O47&gt;0,Sheet1!EI47=1),(1-($O47-Sheet1!$L47)/$O47)*BB47,0)</f>
        <v>0</v>
      </c>
      <c r="BH47" s="697">
        <f>IF(AND(Sheet1!$L47=0,Sheet1!$L46=0, Calculation!BA47&lt;Sheet1!$EE47-0.1,Sheet1!$EE47=Sheet1!$EE46,Sheet1!$EE47=Sheet1!$EE48),Sheet1!$EE47,BB47-BG47)</f>
        <v>0</v>
      </c>
      <c r="BI47" s="712"/>
      <c r="BJ47" s="712"/>
      <c r="BK47" s="712">
        <f t="shared" si="312"/>
        <v>0</v>
      </c>
      <c r="BL47" s="712"/>
      <c r="BM47" s="712">
        <f ca="1">IF(B47&gt;Summary!$A$1,#N/A,BK47*MGtoAF)</f>
        <v>0</v>
      </c>
      <c r="BN47" s="712">
        <f>Sheet1!BC47+Sheet1!BD47+Sheet1!BE47+Sheet1!BF47-BW47-BX47</f>
        <v>0</v>
      </c>
      <c r="BO47" s="712">
        <f t="shared" si="313"/>
        <v>0</v>
      </c>
      <c r="BP47" s="712">
        <f>IF(Sheet1!EM47="FM",BX47,0)</f>
        <v>0</v>
      </c>
      <c r="BQ47" s="712">
        <f t="shared" si="314"/>
        <v>0</v>
      </c>
      <c r="BR47" s="712">
        <f>IF(Sheet1!EM47="OTHER",BX47,0)</f>
        <v>0</v>
      </c>
      <c r="BS47" s="712">
        <f t="shared" si="315"/>
        <v>0</v>
      </c>
      <c r="BT47" s="712">
        <f t="shared" si="316"/>
        <v>0</v>
      </c>
      <c r="BU47" s="712">
        <f t="shared" si="317"/>
        <v>0</v>
      </c>
      <c r="BV47" s="712">
        <f t="shared" si="318"/>
        <v>0</v>
      </c>
      <c r="BW47" s="712">
        <f>IF(Sheet1!EM47="CWA",SUM(Sheet1!BC47:'Sheet1'!BF47),0)</f>
        <v>0</v>
      </c>
      <c r="BX47" s="712">
        <f>IF(OR(Sheet1!EM47="FM", Sheet1!EM47="OTHER"),SUM(Sheet1!BC47:'Sheet1'!BF47),0)</f>
        <v>0</v>
      </c>
      <c r="BY47" s="697">
        <f>IF(AND($B47&gt;=$FL47,$B47&lt;=$FM47),MAX(BV47,Sheet1!EF47,0),MAX(BV47-(7/36)*$K47,0))</f>
        <v>0</v>
      </c>
      <c r="BZ47" s="712">
        <f t="shared" si="319"/>
        <v>0</v>
      </c>
      <c r="CA47" s="697">
        <f t="shared" si="74"/>
        <v>0</v>
      </c>
      <c r="CB47" s="697">
        <f>IF(AND($O47&gt;0,Sheet1!EJ47=1),(1-($O47-Sheet1!$L47)/$O47)*BV47,0)</f>
        <v>0</v>
      </c>
      <c r="CC47" s="697">
        <f>IF(AND(Sheet1!$L47=0,Sheet1!$L46=0, Calculation!BU47&lt;Sheet1!EF47-0.1,Sheet1!EF47=Sheet1!EF46,Sheet1!EF47=Sheet1!EF48),Sheet1!EF47,BV47-CB47)</f>
        <v>0</v>
      </c>
      <c r="CD47" s="697"/>
      <c r="CE47" s="712"/>
      <c r="CF47" s="712">
        <f t="shared" si="320"/>
        <v>0</v>
      </c>
      <c r="CG47" s="712"/>
      <c r="CH47" s="712">
        <f ca="1">IF(B47&gt;Summary!$A$1,#N/A,CF47*MGtoAF)</f>
        <v>0</v>
      </c>
      <c r="CI47" s="712">
        <f>Sheet1!BK47+Sheet1!BL47+Sheet1!BM47-Sheet1!EN47-CQ47</f>
        <v>0</v>
      </c>
      <c r="CJ47" s="712">
        <f t="shared" si="321"/>
        <v>0</v>
      </c>
      <c r="CK47" s="712">
        <f>IF(Sheet1!EN47="FM",CQ47,0)</f>
        <v>0</v>
      </c>
      <c r="CL47" s="712">
        <f t="shared" si="322"/>
        <v>0</v>
      </c>
      <c r="CM47" s="712">
        <f>IF(Sheet1!EN47="OTHER",CQ47,0)</f>
        <v>0</v>
      </c>
      <c r="CN47" s="712">
        <f t="shared" si="323"/>
        <v>0</v>
      </c>
      <c r="CO47" s="712">
        <f t="shared" si="324"/>
        <v>0</v>
      </c>
      <c r="CP47" s="712">
        <f t="shared" si="325"/>
        <v>0</v>
      </c>
      <c r="CQ47" s="712">
        <f>IF(OR(Sheet1!EN47="FM", Sheet1!EN47="OTHER"),SUM(Sheet1!BK47:'Sheet1'!BM47),0)</f>
        <v>0</v>
      </c>
      <c r="CR47" s="697">
        <f>IF(AND($B47&gt;=$FL47,$B47&lt;=$FM47),MAX($CJ47,Sheet1!EG47,0),MAX($CJ47-(7/36)*$K47,0))</f>
        <v>0</v>
      </c>
      <c r="CS47" s="712">
        <f t="shared" si="326"/>
        <v>0</v>
      </c>
      <c r="CT47" s="697">
        <f t="shared" si="75"/>
        <v>0</v>
      </c>
      <c r="CU47" s="697">
        <f>IF(AND($O47&gt;0,Sheet1!EK47=1),(1-($O47-Sheet1!$L47)/$O47)*CP47,0)</f>
        <v>0</v>
      </c>
      <c r="CV47" s="697">
        <f>IF(AND(Sheet1!$L47=0,Sheet1!$L46=0, Calculation!CO47&lt;Sheet1!$EG47-0.1,Sheet1!$EG47=Sheet1!$EG46,Sheet1!$EG47=Sheet1!$EG48),Sheet1!$EG47,CP47-CU47)</f>
        <v>0</v>
      </c>
      <c r="CW47" s="697">
        <f t="shared" si="33"/>
        <v>0</v>
      </c>
      <c r="CX47" s="712">
        <f t="shared" si="87"/>
        <v>0</v>
      </c>
      <c r="CY47" s="712">
        <f t="shared" si="327"/>
        <v>0</v>
      </c>
      <c r="CZ47" s="712">
        <f t="shared" si="328"/>
        <v>0</v>
      </c>
      <c r="DA47" s="712">
        <f ca="1">IF(B47&gt;Summary!$A$1,#N/A,CY47*MGtoAF)</f>
        <v>0</v>
      </c>
      <c r="DB47" s="712">
        <f t="shared" si="329"/>
        <v>0</v>
      </c>
      <c r="DC47" s="712">
        <f t="shared" si="330"/>
        <v>17</v>
      </c>
      <c r="DD47" s="712">
        <f>Sheet1!AB47-DC47</f>
        <v>0.5</v>
      </c>
      <c r="DE47" s="712">
        <f t="shared" si="331"/>
        <v>2.9411764705882353E-2</v>
      </c>
      <c r="DF47" s="712">
        <f>(VLOOKUP(Sheet1!CY47,hhdcap_wcm,4)-(((VLOOKUP(Sheet1!CY47,hhdcap_wcm,3)-Sheet1!CY47)/(VLOOKUP(Sheet1!CY47,hhdcap_wcm,3)-VLOOKUP(Sheet1!CY47,hhdcap_wcm,1)))*(VLOOKUP(Sheet1!CY47,hhdcap_wcm,4)-VLOOKUP(Sheet1!CY47,hhdcap_wcm,2))))</f>
        <v>1933.8400000027789</v>
      </c>
      <c r="DG47" s="712">
        <f t="shared" si="332"/>
        <v>-6.300000000028831</v>
      </c>
      <c r="DH47" s="712">
        <f t="shared" si="333"/>
        <v>-3.1770045385924508</v>
      </c>
      <c r="DI47" s="712">
        <f>Sheet1!DW47*AFtoMG</f>
        <v>0</v>
      </c>
      <c r="DJ47" s="712">
        <f>Sheet1!DX47*AFtoMG</f>
        <v>0</v>
      </c>
      <c r="DK47" s="712">
        <f>Sheet1!DY47*AFtoMG</f>
        <v>0</v>
      </c>
      <c r="DL47" s="712">
        <f>Sheet1!DZ47*AFtoMG</f>
        <v>0</v>
      </c>
      <c r="DM47" s="712">
        <f t="shared" si="334"/>
        <v>0</v>
      </c>
      <c r="DN47" s="712">
        <f t="shared" si="335"/>
        <v>0</v>
      </c>
      <c r="DO47" s="712">
        <f t="shared" si="336"/>
        <v>0</v>
      </c>
      <c r="DP47" s="712">
        <f t="shared" si="337"/>
        <v>0</v>
      </c>
      <c r="DQ47" s="712"/>
      <c r="DR47" s="697">
        <f>IF(OR(B47&lt;FL47,B47&gt;FM47),(MIN(AV47+BO47+CJ47+MAX(Sheet1!AA47+AG47-73,0),K47)),0)</f>
        <v>0</v>
      </c>
      <c r="DS47" s="712"/>
      <c r="DT47" s="712">
        <f t="shared" si="338"/>
        <v>0</v>
      </c>
      <c r="DU47" s="712"/>
      <c r="DV47" s="712">
        <f>Sheet1!ED47+Sheet1!EE47+Sheet1!EF47+Sheet1!EG47</f>
        <v>9.5</v>
      </c>
      <c r="DW47" s="712"/>
      <c r="DX47" s="697">
        <f t="shared" si="77"/>
        <v>0</v>
      </c>
      <c r="DY47" s="712">
        <f>IF(Sheet1!FN47=1,SUM('Calculations II'!AT47:BA47)+'Calculations II'!BC47+Sheet1!BU47+'Calculations II'!BE47+AF47,SUM('Calculations II'!AT47:BA47)+'Calculations II'!BC47+Sheet1!BU47+'Calculations II'!BE47+AF47)</f>
        <v>43.729168000000001</v>
      </c>
      <c r="DZ47" s="712">
        <f>Sheet1!AA47+Sheet1!AB47+'Calculations II'!BC47</f>
        <v>47.30000000000291</v>
      </c>
      <c r="EA47" s="712"/>
      <c r="EB47" s="712"/>
      <c r="EC47" s="712">
        <f t="shared" si="339"/>
        <v>40576</v>
      </c>
      <c r="ED47" s="712">
        <f t="shared" si="340"/>
        <v>0</v>
      </c>
      <c r="EE47" s="712">
        <f t="shared" si="341"/>
        <v>0</v>
      </c>
      <c r="EF47" s="712">
        <f>-(VLOOKUP(Sheet1!BQ47,Lookup!$B$4:$J$236,2)-VLOOKUP(Sheet1!BQ46,Lookup!$B$4:$J$236,2))/1000000</f>
        <v>-0.53420000000000001</v>
      </c>
      <c r="EG47" s="712">
        <f>-(VLOOKUP(Sheet1!BR47,Lookup!$B$4:$J$236,3)-VLOOKUP(Sheet1!BR46,Lookup!$B$4:$J$236,3))/1000000</f>
        <v>-0.2666</v>
      </c>
      <c r="EH47" s="712">
        <f>-(VLOOKUP(Sheet1!BS47,Lookup!$B$4:$J$236,4)-VLOOKUP(Sheet1!BS46,Lookup!$B$4:$J$236,4))/1000000</f>
        <v>0</v>
      </c>
      <c r="EI47" s="697">
        <f t="shared" si="88"/>
        <v>-0.80079999999999996</v>
      </c>
      <c r="EJ47" s="712"/>
      <c r="EK47" s="712"/>
      <c r="EL47" s="712"/>
      <c r="EM47" s="712"/>
      <c r="EN47" s="712"/>
      <c r="EO47" s="712"/>
      <c r="EP47" s="712"/>
      <c r="EQ47" s="712"/>
      <c r="ER47" s="697">
        <v>0</v>
      </c>
      <c r="ES47" s="712"/>
      <c r="ET47" s="794" t="e">
        <f t="shared" si="342"/>
        <v>#N/A</v>
      </c>
      <c r="EU47" s="794" t="e">
        <f t="shared" si="79"/>
        <v>#VALUE!</v>
      </c>
      <c r="EV47" s="795" t="e">
        <f t="shared" si="48"/>
        <v>#VALUE!</v>
      </c>
      <c r="EW47" s="796" t="s">
        <v>757</v>
      </c>
      <c r="EX47" s="796" t="s">
        <v>757</v>
      </c>
      <c r="EY47" s="794">
        <v>0</v>
      </c>
      <c r="EZ47" s="794" t="e">
        <v>#N/A</v>
      </c>
      <c r="FA47" s="712"/>
      <c r="FB47" s="712"/>
      <c r="FC47" s="712"/>
      <c r="FD47" s="712"/>
      <c r="FE47" s="712">
        <f>O47+Sheet1!CO47</f>
        <v>47.30000000000291</v>
      </c>
      <c r="FF47" s="712">
        <f>IF(Sheet1!AA47+AG47&lt;=Calculation!N47,AG47,Calculation!N47-Sheet1!AA47)</f>
        <v>17.5</v>
      </c>
      <c r="FG47" s="712">
        <f>(Sheet1!BP47+Sheet1!BO47)/694.4</f>
        <v>1.8578629032258063</v>
      </c>
      <c r="FH47" s="712"/>
      <c r="FI47" s="712"/>
      <c r="FJ47" s="712"/>
      <c r="FK47" s="712"/>
      <c r="FL47" s="714">
        <f t="shared" si="89"/>
        <v>40753</v>
      </c>
      <c r="FM47" s="714">
        <f t="shared" si="90"/>
        <v>40851</v>
      </c>
      <c r="FN47" s="712"/>
      <c r="FO47" s="712"/>
      <c r="FP47" s="712"/>
      <c r="FQ47" s="712"/>
      <c r="FR47" s="712"/>
      <c r="FS47" s="725">
        <f t="shared" si="91"/>
        <v>40603</v>
      </c>
      <c r="FT47" s="714">
        <f t="shared" si="92"/>
        <v>40709</v>
      </c>
      <c r="FU47" s="712">
        <f t="shared" si="93"/>
        <v>6518.9048239895692</v>
      </c>
      <c r="FV47" s="714">
        <f t="shared" si="94"/>
        <v>40722</v>
      </c>
      <c r="FW47" s="712">
        <f t="shared" si="95"/>
        <v>3259.4524119947846</v>
      </c>
      <c r="FX47" s="725">
        <f t="shared" si="96"/>
        <v>40851</v>
      </c>
      <c r="FZ47" s="697">
        <f t="shared" si="49"/>
        <v>0</v>
      </c>
      <c r="GA47" s="712" t="str">
        <f t="shared" si="343"/>
        <v/>
      </c>
      <c r="GB47" s="712">
        <f t="shared" si="344"/>
        <v>0</v>
      </c>
      <c r="GC47" s="712" t="str">
        <f t="shared" si="345"/>
        <v/>
      </c>
      <c r="GD47" s="712">
        <f>IF(GA47="P",Lookup!$M$12,IF(GA47="PP",Lookup!$M$13,IF(GA47="PPP",Lookup!$M$14,IF(GA47="T",Lookup!$M$15,IF(GA47="TP",Lookup!$M$16,IF(GA47="TPP",Lookup!$M$17,IF(GA47="TPPP",Lookup!$M$18,0)))))))*FZ47</f>
        <v>0</v>
      </c>
      <c r="GE47" s="712">
        <f t="shared" si="346"/>
        <v>0</v>
      </c>
      <c r="GF47" s="712">
        <f t="shared" si="347"/>
        <v>0</v>
      </c>
      <c r="GG47" s="712">
        <f t="shared" si="348"/>
        <v>0</v>
      </c>
      <c r="GH47" s="712"/>
      <c r="GI47" s="712">
        <f t="shared" si="349"/>
        <v>0</v>
      </c>
      <c r="GJ47" s="712" t="str">
        <f t="shared" si="350"/>
        <v/>
      </c>
      <c r="GK47" s="712">
        <f>IF(GA47="P",Lookup!$N$12,IF(GA47="PP",Lookup!$N$13,IF(GA47="PPP",Lookup!$N$14,IF(GA47="T",Lookup!$N$15,IF(GA47="TP",Lookup!$N$16,IF(GA47="TPP",Lookup!$N$17,IF(GA47="TPPP",Lookup!$N$18,0)))))))*FZ47</f>
        <v>0</v>
      </c>
      <c r="GL47" s="712">
        <f t="shared" si="351"/>
        <v>0</v>
      </c>
      <c r="GM47" s="712">
        <f t="shared" si="352"/>
        <v>0</v>
      </c>
      <c r="GN47" s="712">
        <f t="shared" si="353"/>
        <v>0</v>
      </c>
      <c r="GO47" s="712"/>
      <c r="GP47" s="712">
        <f t="shared" si="354"/>
        <v>0</v>
      </c>
      <c r="GQ47" s="712" t="str">
        <f t="shared" si="355"/>
        <v/>
      </c>
      <c r="GR47" s="712">
        <f>IF(GA47="P",Lookup!$N$12,IF(GA47="PP",Lookup!$N$13,IF(GA47="PPP",Lookup!$N$14,IF(GA47="T",Lookup!$N$15,IF(GA47="TP",Lookup!$N$16,IF(GA47="TPP",Lookup!$N$17,IF(GA47="TPPP",Lookup!$N$18,0)))))))*FZ47</f>
        <v>0</v>
      </c>
      <c r="GS47" s="697">
        <f t="shared" si="83"/>
        <v>0</v>
      </c>
      <c r="GT47" s="712">
        <f t="shared" si="356"/>
        <v>0</v>
      </c>
      <c r="GU47" s="712">
        <f t="shared" si="357"/>
        <v>0</v>
      </c>
      <c r="GV47" s="712"/>
      <c r="GW47" s="712">
        <f t="shared" si="358"/>
        <v>0</v>
      </c>
      <c r="GX47" s="712" t="str">
        <f t="shared" si="359"/>
        <v/>
      </c>
      <c r="GY47" s="712">
        <f>IF(GA47="P",Lookup!$N$12,IF(GA47="PP",Lookup!$N$13,IF(GA47="PPP",Lookup!$N$14,IF(GA47="T",Lookup!$N$15,IF(GA47="TP",Lookup!$N$16,IF(GA47="TPP",Lookup!$N$17,IF(GA47="TPPP",Lookup!$N$18,0)))))))*FZ47</f>
        <v>0</v>
      </c>
      <c r="GZ47" s="697">
        <f t="shared" si="85"/>
        <v>0</v>
      </c>
      <c r="HA47" s="712">
        <f t="shared" si="360"/>
        <v>0</v>
      </c>
      <c r="HB47" s="712">
        <f t="shared" si="361"/>
        <v>0</v>
      </c>
      <c r="HC47" s="712"/>
    </row>
    <row r="48" spans="1:211">
      <c r="A48" s="773" t="s">
        <v>7</v>
      </c>
      <c r="B48" s="708">
        <v>40577</v>
      </c>
      <c r="C48" s="719">
        <v>0.5</v>
      </c>
      <c r="D48" s="675">
        <f t="shared" si="65"/>
        <v>300</v>
      </c>
      <c r="E48" s="675">
        <f t="shared" si="66"/>
        <v>250</v>
      </c>
      <c r="F48" s="710">
        <v>250</v>
      </c>
      <c r="G48" s="712">
        <f>DH48+Sheet1!CV48</f>
        <v>1407.602562961659</v>
      </c>
      <c r="H48" s="712">
        <f t="shared" si="294"/>
        <v>642.91109669841637</v>
      </c>
      <c r="I48" s="711">
        <f>MAX(Sheet1!Z48-AJ48+(Sheet1!CW48-E48)*CFStoMGD,0)</f>
        <v>1400.1053333333332</v>
      </c>
      <c r="J48" s="720">
        <f>IF(AND(B48&gt;=Calculation!FS48,B48&lt;=Calculation!FT48),IF(Sheet1!CX48&gt;=Calculation!D48,64.64,0),MAX(Sheet1!Z48-AJ48+(Sheet1!CX48-D48)*CFStoMGD,0))</f>
        <v>764.81533333333334</v>
      </c>
      <c r="K48" s="697">
        <f t="shared" si="67"/>
        <v>64.64</v>
      </c>
      <c r="L48" s="712">
        <f>Sheet1!AA48+Sheet1!AB48-Sheet1!L48+(Sheet1!CW48-F48)*CFStoMGD</f>
        <v>1399.8453333333266</v>
      </c>
      <c r="M48" s="712">
        <f t="shared" si="295"/>
        <v>928.07178263238472</v>
      </c>
      <c r="N48" s="712">
        <f>IF(Sheet1!CW48&gt;=F48,MIN(73,MIN(MAX(L48,0),MAX(M48,0))),0)</f>
        <v>73</v>
      </c>
      <c r="O48" s="721">
        <f>Sheet1!AA48+Sheet1!AB48</f>
        <v>45.899999999994179</v>
      </c>
      <c r="P48" s="721">
        <f t="shared" si="296"/>
        <v>71.007299999990991</v>
      </c>
      <c r="Q48" s="712">
        <f>MIN(N48,Sheet1!AA48+AG48)</f>
        <v>45.899999999994179</v>
      </c>
      <c r="R48" s="712">
        <f t="shared" si="297"/>
        <v>0</v>
      </c>
      <c r="S48" s="721">
        <f>Sheet1!Y48*MGDtoCFS</f>
        <v>45.29616</v>
      </c>
      <c r="T48" s="721">
        <f>Sheet1!Z48*MGDtoCFS</f>
        <v>26.886859999999999</v>
      </c>
      <c r="U48" s="721">
        <f>Sheet1!AA48*MGDtoCFS</f>
        <v>44.708299999990992</v>
      </c>
      <c r="V48" s="721">
        <f>Sheet1!AB48*MGDtoCFS</f>
        <v>26.298999999999999</v>
      </c>
      <c r="W48" s="721">
        <f>Sheet1!L48*MGDtoCFS</f>
        <v>70.821660000001003</v>
      </c>
      <c r="X48" s="697">
        <f t="shared" si="68"/>
        <v>0</v>
      </c>
      <c r="Y48" s="712">
        <f t="shared" si="298"/>
        <v>0</v>
      </c>
      <c r="Z48" s="712">
        <f t="shared" si="299"/>
        <v>0</v>
      </c>
      <c r="AA48" s="712">
        <f t="shared" si="300"/>
        <v>0</v>
      </c>
      <c r="AB48" s="712">
        <f>(VLOOKUP(Sheet1!CY48,hhdcap_wcm,4)-(((VLOOKUP(Sheet1!CY48,hhdcap_wcm,3)-Sheet1!CY48)/(VLOOKUP(Sheet1!CY48,hhdcap_wcm,3)-VLOOKUP(Sheet1!CY48,hhdcap_wcm,1)))*(VLOOKUP(Sheet1!CY48,hhdcap_wcm,4)-VLOOKUP(Sheet1!CY48,hhdcap_wcm,2))))</f>
        <v>1964.0800000028075</v>
      </c>
      <c r="AC48" s="712">
        <f t="shared" si="301"/>
        <v>30.240000000028658</v>
      </c>
      <c r="AD48" s="712">
        <f t="shared" si="70"/>
        <v>0</v>
      </c>
      <c r="AE48" s="712">
        <f t="shared" si="302"/>
        <v>0</v>
      </c>
      <c r="AF48" s="712">
        <f>Sheet1!BA48+Sheet1!BB48+Sheet1!BN48+BT48</f>
        <v>17</v>
      </c>
      <c r="AG48" s="712">
        <f t="shared" si="303"/>
        <v>17</v>
      </c>
      <c r="AH48" s="712">
        <f>Sheet1!BA48+BT48</f>
        <v>0</v>
      </c>
      <c r="AI48" s="712">
        <f>Sheet1!BA48+Sheet1!BB48+BT48</f>
        <v>0</v>
      </c>
      <c r="AJ48" s="712">
        <f>IF((Sheet1!AA48+AG48+AX48+AZ48+BQ48+BS48+CL48+CN48)&lt;=N48,AG48+AX48+AZ48+BQ48+BS48+CL48+CN48,N48-Sheet1!AA48)</f>
        <v>17</v>
      </c>
      <c r="AK48" s="712">
        <f>IF(DR48&lt;K48,0,MAX(Sheet1!AA48+AG48-15/36*K48-N48,Sheet1!ED48,0))</f>
        <v>0</v>
      </c>
      <c r="AL48" s="712">
        <f>IF(OR(B48&gt;=FT48,B48&lt;FS48),0,15/36*K48-MAX(0,64.6-(137.6-(Sheet1!AA48+Sheet1!AB48))))</f>
        <v>0</v>
      </c>
      <c r="AM48" s="712">
        <f>Sheet1!CX48-110</f>
        <v>1372.6041666666667</v>
      </c>
      <c r="AN48" s="712">
        <f>Sheet1!CW48-265</f>
        <v>2150.4166666666665</v>
      </c>
      <c r="AO48" s="712">
        <f t="shared" si="71"/>
        <v>27.100000000005821</v>
      </c>
      <c r="AP48" s="712">
        <f t="shared" si="72"/>
        <v>0</v>
      </c>
      <c r="AQ48" s="712">
        <f t="shared" si="304"/>
        <v>0</v>
      </c>
      <c r="AR48" s="712">
        <f t="shared" si="305"/>
        <v>0</v>
      </c>
      <c r="AS48" s="712"/>
      <c r="AT48" s="712">
        <f ca="1">IF(B48&gt;Summary!$A$1,#N/A,AR48*MGtoAF)</f>
        <v>0</v>
      </c>
      <c r="AU48" s="712">
        <f>Sheet1!BG48+Sheet1!BH48+Sheet1!BI48-BC48</f>
        <v>0</v>
      </c>
      <c r="AV48" s="712">
        <f t="shared" si="306"/>
        <v>0</v>
      </c>
      <c r="AW48" s="712">
        <f>IF(Sheet1!EL48="FM",BC48,0)</f>
        <v>0</v>
      </c>
      <c r="AX48" s="712">
        <f t="shared" si="307"/>
        <v>0</v>
      </c>
      <c r="AY48" s="712">
        <f>IF(Sheet1!EL48="OTHER",BC48,0)</f>
        <v>0</v>
      </c>
      <c r="AZ48" s="712">
        <f t="shared" si="308"/>
        <v>0</v>
      </c>
      <c r="BA48" s="712">
        <f t="shared" si="309"/>
        <v>0</v>
      </c>
      <c r="BB48" s="712">
        <f t="shared" si="310"/>
        <v>0</v>
      </c>
      <c r="BC48" s="712">
        <f>IF(OR(Sheet1!EL48="FM", Sheet1!EL48="OTHER"),SUM(Sheet1!BG48:'Sheet1'!BI48),0)</f>
        <v>0</v>
      </c>
      <c r="BD48" s="697">
        <f>IF(AND($B48&gt;=$FL48,$B48&lt;=$FM48),MAX(AV48,Sheet1!EE48,0),MAX(AV48-(7/36)*$K48,0))</f>
        <v>0</v>
      </c>
      <c r="BE48" s="712">
        <f t="shared" si="311"/>
        <v>0</v>
      </c>
      <c r="BF48" s="697">
        <f t="shared" si="73"/>
        <v>0</v>
      </c>
      <c r="BG48" s="697">
        <f>IF(AND($O48&gt;0,Sheet1!EI48=1),(1-($O48-Sheet1!$L48)/$O48)*BB48,0)</f>
        <v>0</v>
      </c>
      <c r="BH48" s="697">
        <f>IF(AND(Sheet1!$L48=0,Sheet1!$L47=0, Calculation!BA48&lt;Sheet1!$EE48-0.1,Sheet1!$EE48=Sheet1!$EE47,Sheet1!$EE48=Sheet1!$EE49),Sheet1!$EE48,BB48-BG48)</f>
        <v>0</v>
      </c>
      <c r="BI48" s="712"/>
      <c r="BJ48" s="712"/>
      <c r="BK48" s="712">
        <f t="shared" si="312"/>
        <v>0</v>
      </c>
      <c r="BL48" s="712"/>
      <c r="BM48" s="712">
        <f ca="1">IF(B48&gt;Summary!$A$1,#N/A,BK48*MGtoAF)</f>
        <v>0</v>
      </c>
      <c r="BN48" s="712">
        <f>Sheet1!BC48+Sheet1!BD48+Sheet1!BE48+Sheet1!BF48-BW48-BX48</f>
        <v>0</v>
      </c>
      <c r="BO48" s="712">
        <f t="shared" si="313"/>
        <v>0</v>
      </c>
      <c r="BP48" s="712">
        <f>IF(Sheet1!EM48="FM",BX48,0)</f>
        <v>0</v>
      </c>
      <c r="BQ48" s="712">
        <f t="shared" si="314"/>
        <v>0</v>
      </c>
      <c r="BR48" s="712">
        <f>IF(Sheet1!EM48="OTHER",BX48,0)</f>
        <v>0</v>
      </c>
      <c r="BS48" s="712">
        <f t="shared" si="315"/>
        <v>0</v>
      </c>
      <c r="BT48" s="712">
        <f t="shared" si="316"/>
        <v>0</v>
      </c>
      <c r="BU48" s="712">
        <f t="shared" si="317"/>
        <v>0</v>
      </c>
      <c r="BV48" s="712">
        <f t="shared" si="318"/>
        <v>0</v>
      </c>
      <c r="BW48" s="712">
        <f>IF(Sheet1!EM48="CWA",SUM(Sheet1!BC48:'Sheet1'!BF48),0)</f>
        <v>0</v>
      </c>
      <c r="BX48" s="712">
        <f>IF(OR(Sheet1!EM48="FM", Sheet1!EM48="OTHER"),SUM(Sheet1!BC48:'Sheet1'!BF48),0)</f>
        <v>0</v>
      </c>
      <c r="BY48" s="697">
        <f>IF(AND($B48&gt;=$FL48,$B48&lt;=$FM48),MAX(BV48,Sheet1!EF48,0),MAX(BV48-(7/36)*$K48,0))</f>
        <v>0</v>
      </c>
      <c r="BZ48" s="712">
        <f t="shared" si="319"/>
        <v>0</v>
      </c>
      <c r="CA48" s="697">
        <f t="shared" si="74"/>
        <v>0</v>
      </c>
      <c r="CB48" s="697">
        <f>IF(AND($O48&gt;0,Sheet1!EJ48=1),(1-($O48-Sheet1!$L48)/$O48)*BV48,0)</f>
        <v>0</v>
      </c>
      <c r="CC48" s="697">
        <f>IF(AND(Sheet1!$L48=0,Sheet1!$L47=0, Calculation!BU48&lt;Sheet1!EF48-0.1,Sheet1!EF48=Sheet1!EF47,Sheet1!EF48=Sheet1!EF49),Sheet1!EF48,BV48-CB48)</f>
        <v>0</v>
      </c>
      <c r="CD48" s="697"/>
      <c r="CE48" s="712"/>
      <c r="CF48" s="712">
        <f t="shared" si="320"/>
        <v>0</v>
      </c>
      <c r="CG48" s="712"/>
      <c r="CH48" s="712">
        <f ca="1">IF(B48&gt;Summary!$A$1,#N/A,CF48*MGtoAF)</f>
        <v>0</v>
      </c>
      <c r="CI48" s="712">
        <f>Sheet1!BK48+Sheet1!BL48+Sheet1!BM48-Sheet1!EN48-CQ48</f>
        <v>0</v>
      </c>
      <c r="CJ48" s="712">
        <f t="shared" si="321"/>
        <v>0</v>
      </c>
      <c r="CK48" s="712">
        <f>IF(Sheet1!EN48="FM",CQ48,0)</f>
        <v>0</v>
      </c>
      <c r="CL48" s="712">
        <f t="shared" si="322"/>
        <v>0</v>
      </c>
      <c r="CM48" s="712">
        <f>IF(Sheet1!EN48="OTHER",CQ48,0)</f>
        <v>0</v>
      </c>
      <c r="CN48" s="712">
        <f t="shared" si="323"/>
        <v>0</v>
      </c>
      <c r="CO48" s="712">
        <f t="shared" si="324"/>
        <v>0</v>
      </c>
      <c r="CP48" s="712">
        <f t="shared" si="325"/>
        <v>0</v>
      </c>
      <c r="CQ48" s="712">
        <f>IF(OR(Sheet1!EN48="FM", Sheet1!EN48="OTHER"),SUM(Sheet1!BK48:'Sheet1'!BM48),0)</f>
        <v>0</v>
      </c>
      <c r="CR48" s="697">
        <f>IF(AND($B48&gt;=$FL48,$B48&lt;=$FM48),MAX($CJ48,Sheet1!EG48,0),MAX($CJ48-(7/36)*$K48,0))</f>
        <v>0</v>
      </c>
      <c r="CS48" s="712">
        <f t="shared" si="326"/>
        <v>0</v>
      </c>
      <c r="CT48" s="697">
        <f t="shared" si="75"/>
        <v>0</v>
      </c>
      <c r="CU48" s="697">
        <f>IF(AND($O48&gt;0,Sheet1!EK48=1),(1-($O48-Sheet1!$L48)/$O48)*CP48,0)</f>
        <v>0</v>
      </c>
      <c r="CV48" s="697">
        <f>IF(AND(Sheet1!$L48=0,Sheet1!$L47=0, Calculation!CO48&lt;Sheet1!$EG48-0.1,Sheet1!$EG48=Sheet1!$EG47,Sheet1!$EG48=Sheet1!$EG49),Sheet1!$EG48,CP48-CU48)</f>
        <v>0</v>
      </c>
      <c r="CW48" s="697">
        <f t="shared" si="33"/>
        <v>0</v>
      </c>
      <c r="CX48" s="712">
        <f t="shared" si="87"/>
        <v>0</v>
      </c>
      <c r="CY48" s="712">
        <f t="shared" si="327"/>
        <v>0</v>
      </c>
      <c r="CZ48" s="712">
        <f t="shared" si="328"/>
        <v>0</v>
      </c>
      <c r="DA48" s="712">
        <f ca="1">IF(B48&gt;Summary!$A$1,#N/A,CY48*MGtoAF)</f>
        <v>0</v>
      </c>
      <c r="DB48" s="712">
        <f t="shared" si="329"/>
        <v>0</v>
      </c>
      <c r="DC48" s="712">
        <f t="shared" si="330"/>
        <v>17</v>
      </c>
      <c r="DD48" s="712">
        <f>Sheet1!AB48-DC48</f>
        <v>0</v>
      </c>
      <c r="DE48" s="712">
        <f t="shared" si="331"/>
        <v>0</v>
      </c>
      <c r="DF48" s="712">
        <f>(VLOOKUP(Sheet1!CY48,hhdcap_wcm,4)-(((VLOOKUP(Sheet1!CY48,hhdcap_wcm,3)-Sheet1!CY48)/(VLOOKUP(Sheet1!CY48,hhdcap_wcm,3)-VLOOKUP(Sheet1!CY48,hhdcap_wcm,1)))*(VLOOKUP(Sheet1!CY48,hhdcap_wcm,4)-VLOOKUP(Sheet1!CY48,hhdcap_wcm,2))))</f>
        <v>1964.0800000028075</v>
      </c>
      <c r="DG48" s="712">
        <f t="shared" si="332"/>
        <v>30.240000000028658</v>
      </c>
      <c r="DH48" s="712">
        <f t="shared" si="333"/>
        <v>15.249621785188429</v>
      </c>
      <c r="DI48" s="712">
        <f>Sheet1!DW48*AFtoMG</f>
        <v>0</v>
      </c>
      <c r="DJ48" s="712">
        <f>Sheet1!DX48*AFtoMG</f>
        <v>0</v>
      </c>
      <c r="DK48" s="712">
        <f>Sheet1!DY48*AFtoMG</f>
        <v>0</v>
      </c>
      <c r="DL48" s="712">
        <f>Sheet1!DZ48*AFtoMG</f>
        <v>0</v>
      </c>
      <c r="DM48" s="712">
        <f t="shared" si="334"/>
        <v>0</v>
      </c>
      <c r="DN48" s="712">
        <f t="shared" si="335"/>
        <v>0</v>
      </c>
      <c r="DO48" s="712">
        <f t="shared" si="336"/>
        <v>0</v>
      </c>
      <c r="DP48" s="712">
        <f t="shared" si="337"/>
        <v>0</v>
      </c>
      <c r="DQ48" s="712"/>
      <c r="DR48" s="697">
        <f>IF(OR(B48&lt;FL48,B48&gt;FM48),(MIN(AV48+BO48+CJ48+MAX(Sheet1!AA48+AG48-73,0),K48)),0)</f>
        <v>0</v>
      </c>
      <c r="DS48" s="712"/>
      <c r="DT48" s="712">
        <f t="shared" si="338"/>
        <v>0</v>
      </c>
      <c r="DU48" s="712"/>
      <c r="DV48" s="712">
        <f>Sheet1!ED48+Sheet1!EE48+Sheet1!EF48+Sheet1!EG48</f>
        <v>9.5</v>
      </c>
      <c r="DW48" s="712"/>
      <c r="DX48" s="697">
        <f t="shared" si="77"/>
        <v>0</v>
      </c>
      <c r="DY48" s="712">
        <f>IF(Sheet1!FN48=1,SUM('Calculations II'!AT48:BA48)+'Calculations II'!BC48+Sheet1!BU48+'Calculations II'!BE48+AF48,SUM('Calculations II'!AT48:BA48)+'Calculations II'!BC48+Sheet1!BU48+'Calculations II'!BE48+AF48)</f>
        <v>45.213824000000002</v>
      </c>
      <c r="DZ48" s="712">
        <f>Sheet1!AA48+Sheet1!AB48+'Calculations II'!BC48</f>
        <v>45.899999999994179</v>
      </c>
      <c r="EA48" s="712"/>
      <c r="EB48" s="712"/>
      <c r="EC48" s="712">
        <f t="shared" si="339"/>
        <v>40577</v>
      </c>
      <c r="ED48" s="712">
        <f t="shared" si="340"/>
        <v>0</v>
      </c>
      <c r="EE48" s="712">
        <f t="shared" si="341"/>
        <v>0</v>
      </c>
      <c r="EF48" s="712">
        <f>-(VLOOKUP(Sheet1!BQ48,Lookup!$B$4:$J$236,2)-VLOOKUP(Sheet1!BQ47,Lookup!$B$4:$J$236,2))/1000000</f>
        <v>0.53420000000000001</v>
      </c>
      <c r="EG48" s="712">
        <f>-(VLOOKUP(Sheet1!BR48,Lookup!$B$4:$J$236,3)-VLOOKUP(Sheet1!BR47,Lookup!$B$4:$J$236,3))/1000000</f>
        <v>0.79979999999999996</v>
      </c>
      <c r="EH48" s="712">
        <f>-(VLOOKUP(Sheet1!BS48,Lookup!$B$4:$J$236,4)-VLOOKUP(Sheet1!BS47,Lookup!$B$4:$J$236,4))/1000000</f>
        <v>0</v>
      </c>
      <c r="EI48" s="697">
        <f t="shared" si="88"/>
        <v>1.3340000000000001</v>
      </c>
      <c r="EJ48" s="712"/>
      <c r="EK48" s="712"/>
      <c r="EL48" s="712"/>
      <c r="EM48" s="712"/>
      <c r="EN48" s="712"/>
      <c r="EO48" s="712"/>
      <c r="EP48" s="712"/>
      <c r="EQ48" s="712"/>
      <c r="ER48" s="697">
        <v>0</v>
      </c>
      <c r="ES48" s="712"/>
      <c r="ET48" s="794" t="e">
        <f t="shared" si="342"/>
        <v>#N/A</v>
      </c>
      <c r="EU48" s="794" t="e">
        <f t="shared" si="79"/>
        <v>#VALUE!</v>
      </c>
      <c r="EV48" s="795" t="e">
        <f t="shared" si="48"/>
        <v>#VALUE!</v>
      </c>
      <c r="EW48" s="796" t="s">
        <v>757</v>
      </c>
      <c r="EX48" s="796" t="s">
        <v>757</v>
      </c>
      <c r="EY48" s="794">
        <v>0</v>
      </c>
      <c r="EZ48" s="794" t="e">
        <v>#N/A</v>
      </c>
      <c r="FA48" s="712"/>
      <c r="FB48" s="712"/>
      <c r="FC48" s="712"/>
      <c r="FD48" s="712"/>
      <c r="FE48" s="712">
        <f>O48+Sheet1!CO48</f>
        <v>45.899999999994179</v>
      </c>
      <c r="FF48" s="712">
        <f>IF(Sheet1!AA48+AG48&lt;=Calculation!N48,AG48,Calculation!N48-Sheet1!AA48)</f>
        <v>17</v>
      </c>
      <c r="FG48" s="712">
        <f>(Sheet1!BP48+Sheet1!BO48)/694.4</f>
        <v>1.9850230414746546</v>
      </c>
      <c r="FH48" s="712"/>
      <c r="FI48" s="712"/>
      <c r="FJ48" s="712"/>
      <c r="FK48" s="712"/>
      <c r="FL48" s="714">
        <f t="shared" si="89"/>
        <v>40753</v>
      </c>
      <c r="FM48" s="714">
        <f t="shared" si="90"/>
        <v>40851</v>
      </c>
      <c r="FN48" s="712"/>
      <c r="FO48" s="712"/>
      <c r="FP48" s="712"/>
      <c r="FQ48" s="712"/>
      <c r="FR48" s="712"/>
      <c r="FS48" s="725">
        <f t="shared" si="91"/>
        <v>40603</v>
      </c>
      <c r="FT48" s="714">
        <f t="shared" si="92"/>
        <v>40709</v>
      </c>
      <c r="FU48" s="712">
        <f t="shared" si="93"/>
        <v>6518.9048239895692</v>
      </c>
      <c r="FV48" s="714">
        <f t="shared" si="94"/>
        <v>40722</v>
      </c>
      <c r="FW48" s="712">
        <f t="shared" si="95"/>
        <v>3259.4524119947846</v>
      </c>
      <c r="FX48" s="725">
        <f t="shared" si="96"/>
        <v>40851</v>
      </c>
      <c r="FZ48" s="697">
        <f t="shared" si="49"/>
        <v>0</v>
      </c>
      <c r="GA48" s="712" t="str">
        <f t="shared" si="343"/>
        <v/>
      </c>
      <c r="GB48" s="712">
        <f t="shared" si="344"/>
        <v>0</v>
      </c>
      <c r="GC48" s="712" t="str">
        <f t="shared" si="345"/>
        <v/>
      </c>
      <c r="GD48" s="712">
        <f>IF(GA48="P",Lookup!$M$12,IF(GA48="PP",Lookup!$M$13,IF(GA48="PPP",Lookup!$M$14,IF(GA48="T",Lookup!$M$15,IF(GA48="TP",Lookup!$M$16,IF(GA48="TPP",Lookup!$M$17,IF(GA48="TPPP",Lookup!$M$18,0)))))))*FZ48</f>
        <v>0</v>
      </c>
      <c r="GE48" s="712">
        <f t="shared" si="346"/>
        <v>0</v>
      </c>
      <c r="GF48" s="712">
        <f t="shared" si="347"/>
        <v>0</v>
      </c>
      <c r="GG48" s="712">
        <f t="shared" si="348"/>
        <v>0</v>
      </c>
      <c r="GH48" s="712"/>
      <c r="GI48" s="712">
        <f t="shared" si="349"/>
        <v>0</v>
      </c>
      <c r="GJ48" s="712" t="str">
        <f t="shared" si="350"/>
        <v/>
      </c>
      <c r="GK48" s="712">
        <f>IF(GA48="P",Lookup!$N$12,IF(GA48="PP",Lookup!$N$13,IF(GA48="PPP",Lookup!$N$14,IF(GA48="T",Lookup!$N$15,IF(GA48="TP",Lookup!$N$16,IF(GA48="TPP",Lookup!$N$17,IF(GA48="TPPP",Lookup!$N$18,0)))))))*FZ48</f>
        <v>0</v>
      </c>
      <c r="GL48" s="712">
        <f t="shared" si="351"/>
        <v>0</v>
      </c>
      <c r="GM48" s="712">
        <f t="shared" si="352"/>
        <v>0</v>
      </c>
      <c r="GN48" s="712">
        <f t="shared" si="353"/>
        <v>0</v>
      </c>
      <c r="GO48" s="712"/>
      <c r="GP48" s="712">
        <f t="shared" si="354"/>
        <v>0</v>
      </c>
      <c r="GQ48" s="712" t="str">
        <f t="shared" si="355"/>
        <v/>
      </c>
      <c r="GR48" s="712">
        <f>IF(GA48="P",Lookup!$N$12,IF(GA48="PP",Lookup!$N$13,IF(GA48="PPP",Lookup!$N$14,IF(GA48="T",Lookup!$N$15,IF(GA48="TP",Lookup!$N$16,IF(GA48="TPP",Lookup!$N$17,IF(GA48="TPPP",Lookup!$N$18,0)))))))*FZ48</f>
        <v>0</v>
      </c>
      <c r="GS48" s="697">
        <f t="shared" si="83"/>
        <v>0</v>
      </c>
      <c r="GT48" s="712">
        <f t="shared" si="356"/>
        <v>0</v>
      </c>
      <c r="GU48" s="712">
        <f t="shared" si="357"/>
        <v>0</v>
      </c>
      <c r="GV48" s="712"/>
      <c r="GW48" s="712">
        <f t="shared" si="358"/>
        <v>0</v>
      </c>
      <c r="GX48" s="712" t="str">
        <f t="shared" si="359"/>
        <v/>
      </c>
      <c r="GY48" s="712">
        <f>IF(GA48="P",Lookup!$N$12,IF(GA48="PP",Lookup!$N$13,IF(GA48="PPP",Lookup!$N$14,IF(GA48="T",Lookup!$N$15,IF(GA48="TP",Lookup!$N$16,IF(GA48="TPP",Lookup!$N$17,IF(GA48="TPPP",Lookup!$N$18,0)))))))*FZ48</f>
        <v>0</v>
      </c>
      <c r="GZ48" s="697">
        <f t="shared" si="85"/>
        <v>0</v>
      </c>
      <c r="HA48" s="712">
        <f t="shared" si="360"/>
        <v>0</v>
      </c>
      <c r="HB48" s="712">
        <f t="shared" si="361"/>
        <v>0</v>
      </c>
      <c r="HC48" s="712"/>
    </row>
    <row r="49" spans="1:211">
      <c r="A49" s="773" t="s">
        <v>8</v>
      </c>
      <c r="B49" s="708">
        <v>40578</v>
      </c>
      <c r="C49" s="709">
        <v>0.5</v>
      </c>
      <c r="D49" s="675">
        <f t="shared" si="65"/>
        <v>300</v>
      </c>
      <c r="E49" s="675">
        <f t="shared" si="66"/>
        <v>250</v>
      </c>
      <c r="F49" s="675">
        <v>250</v>
      </c>
      <c r="G49" s="712">
        <f>DH49+Sheet1!CV49</f>
        <v>1994.8921716951525</v>
      </c>
      <c r="H49" s="712">
        <f t="shared" si="294"/>
        <v>1022.5350997837465</v>
      </c>
      <c r="I49" s="711">
        <f>MAX(Sheet1!Z49-AJ49+(Sheet1!CW49-E49)*CFStoMGD,0)</f>
        <v>1528.3493333333315</v>
      </c>
      <c r="J49" s="720">
        <f>IF(AND(B49&gt;=Calculation!FS49,B49&lt;=Calculation!FT49),IF(Sheet1!CX49&gt;=Calculation!D49,64.64,0),MAX(Sheet1!Z49-AJ49+(Sheet1!CX49-D49)*CFStoMGD,0))</f>
        <v>1047.1179999999981</v>
      </c>
      <c r="K49" s="697">
        <f t="shared" si="67"/>
        <v>64.64</v>
      </c>
      <c r="L49" s="712">
        <f>Sheet1!AA49+Sheet1!AB49-Sheet1!L49+(Sheet1!CW49-F49)*CFStoMGD</f>
        <v>1528.2693333333414</v>
      </c>
      <c r="M49" s="712">
        <f t="shared" si="295"/>
        <v>1315.2882657794216</v>
      </c>
      <c r="N49" s="712">
        <f>IF(Sheet1!CW49&gt;=F49,MIN(73,MIN(MAX(L49,0),MAX(M49,0))),0)</f>
        <v>73</v>
      </c>
      <c r="O49" s="721">
        <f>Sheet1!AA49+Sheet1!AB49</f>
        <v>45.430000000007567</v>
      </c>
      <c r="P49" s="721">
        <f t="shared" si="296"/>
        <v>70.280210000011706</v>
      </c>
      <c r="Q49" s="712">
        <f>MIN(N49,Sheet1!AA49+AG49)</f>
        <v>45.430000000007567</v>
      </c>
      <c r="R49" s="712">
        <f t="shared" si="297"/>
        <v>0</v>
      </c>
      <c r="S49" s="721">
        <f>Sheet1!Y49*MGDtoCFS</f>
        <v>44.739240000000002</v>
      </c>
      <c r="T49" s="721">
        <f>Sheet1!Z49*MGDtoCFS</f>
        <v>25.958660000000002</v>
      </c>
      <c r="U49" s="721">
        <f>Sheet1!AA49*MGDtoCFS</f>
        <v>44.244200000009002</v>
      </c>
      <c r="V49" s="721">
        <f>Sheet1!AB49*MGDtoCFS</f>
        <v>26.036010000002701</v>
      </c>
      <c r="W49" s="721">
        <f>Sheet1!L49*MGDtoCFS</f>
        <v>70.481319999999215</v>
      </c>
      <c r="X49" s="697">
        <f t="shared" si="68"/>
        <v>0</v>
      </c>
      <c r="Y49" s="712">
        <f t="shared" si="298"/>
        <v>0</v>
      </c>
      <c r="Z49" s="712">
        <f t="shared" si="299"/>
        <v>0</v>
      </c>
      <c r="AA49" s="712">
        <f t="shared" si="300"/>
        <v>0</v>
      </c>
      <c r="AB49" s="712">
        <f>(VLOOKUP(Sheet1!CY49,hhdcap_wcm,4)-(((VLOOKUP(Sheet1!CY49,hhdcap_wcm,3)-Sheet1!CY49)/(VLOOKUP(Sheet1!CY49,hhdcap_wcm,3)-VLOOKUP(Sheet1!CY49,hhdcap_wcm,1)))*(VLOOKUP(Sheet1!CY49,hhdcap_wcm,4)-VLOOKUP(Sheet1!CY49,hhdcap_wcm,2))))</f>
        <v>2496.3600000037068</v>
      </c>
      <c r="AC49" s="712">
        <f t="shared" si="301"/>
        <v>532.28000000089924</v>
      </c>
      <c r="AD49" s="712">
        <f t="shared" si="70"/>
        <v>0</v>
      </c>
      <c r="AE49" s="712">
        <f t="shared" si="302"/>
        <v>0</v>
      </c>
      <c r="AF49" s="712">
        <f>Sheet1!BA49+Sheet1!BB49+Sheet1!BN49+BT49</f>
        <v>17</v>
      </c>
      <c r="AG49" s="712">
        <f t="shared" si="303"/>
        <v>16.830000000001746</v>
      </c>
      <c r="AH49" s="712">
        <f>Sheet1!BA49+BT49</f>
        <v>0</v>
      </c>
      <c r="AI49" s="712">
        <f>Sheet1!BA49+Sheet1!BB49+BT49</f>
        <v>0</v>
      </c>
      <c r="AJ49" s="712">
        <f>IF((Sheet1!AA49+AG49+AX49+AZ49+BQ49+BS49+CL49+CN49)&lt;=N49,AG49+AX49+AZ49+BQ49+BS49+CL49+CN49,N49-Sheet1!AA49)</f>
        <v>16.830000000001746</v>
      </c>
      <c r="AK49" s="712">
        <f>IF(DR49&lt;K49,0,MAX(Sheet1!AA49+AG49-15/36*K49-N49,Sheet1!ED49,0))</f>
        <v>0</v>
      </c>
      <c r="AL49" s="712">
        <f>IF(OR(B49&gt;=FT49,B49&lt;FS49),0,15/36*K49-MAX(0,64.6-(137.6-(Sheet1!AA49+Sheet1!AB49))))</f>
        <v>0</v>
      </c>
      <c r="AM49" s="712">
        <f>Sheet1!CX49-110</f>
        <v>1810</v>
      </c>
      <c r="AN49" s="712">
        <f>Sheet1!CW49-265</f>
        <v>2349.4791666666665</v>
      </c>
      <c r="AO49" s="712">
        <f t="shared" si="71"/>
        <v>27.569999999992433</v>
      </c>
      <c r="AP49" s="712">
        <f t="shared" si="72"/>
        <v>0</v>
      </c>
      <c r="AQ49" s="712">
        <f t="shared" si="304"/>
        <v>0</v>
      </c>
      <c r="AR49" s="712">
        <f t="shared" si="305"/>
        <v>0</v>
      </c>
      <c r="AS49" s="712"/>
      <c r="AT49" s="712">
        <f ca="1">IF(B49&gt;Summary!$A$1,#N/A,AR49*MGtoAF)</f>
        <v>0</v>
      </c>
      <c r="AU49" s="712">
        <f>Sheet1!BG49+Sheet1!BH49+Sheet1!BI49-BC49</f>
        <v>0</v>
      </c>
      <c r="AV49" s="712">
        <f t="shared" si="306"/>
        <v>0</v>
      </c>
      <c r="AW49" s="712">
        <f>IF(Sheet1!EL49="FM",BC49,0)</f>
        <v>0</v>
      </c>
      <c r="AX49" s="712">
        <f t="shared" si="307"/>
        <v>0</v>
      </c>
      <c r="AY49" s="712">
        <f>IF(Sheet1!EL49="OTHER",BC49,0)</f>
        <v>0</v>
      </c>
      <c r="AZ49" s="712">
        <f t="shared" si="308"/>
        <v>0</v>
      </c>
      <c r="BA49" s="712">
        <f t="shared" si="309"/>
        <v>0</v>
      </c>
      <c r="BB49" s="712">
        <f t="shared" si="310"/>
        <v>0</v>
      </c>
      <c r="BC49" s="712">
        <f>IF(OR(Sheet1!EL49="FM", Sheet1!EL49="OTHER"),SUM(Sheet1!BG49:'Sheet1'!BI49),0)</f>
        <v>0</v>
      </c>
      <c r="BD49" s="697">
        <f>IF(AND($B49&gt;=$FL49,$B49&lt;=$FM49),MAX(AV49,Sheet1!EE49,0),MAX(AV49-(7/36)*$K49,0))</f>
        <v>0</v>
      </c>
      <c r="BE49" s="712">
        <f t="shared" si="311"/>
        <v>0</v>
      </c>
      <c r="BF49" s="697">
        <f t="shared" si="73"/>
        <v>0</v>
      </c>
      <c r="BG49" s="697">
        <f>IF(AND($O49&gt;0,Sheet1!EI49=1),(1-($O49-Sheet1!$L49)/$O49)*BB49,0)</f>
        <v>0</v>
      </c>
      <c r="BH49" s="697">
        <f>IF(AND(Sheet1!$L49=0,Sheet1!$L48=0, Calculation!BA49&lt;Sheet1!$EE49-0.1,Sheet1!$EE49=Sheet1!$EE48,Sheet1!$EE49=Sheet1!$EE50),Sheet1!$EE49,BB49-BG49)</f>
        <v>0</v>
      </c>
      <c r="BI49" s="712"/>
      <c r="BJ49" s="712"/>
      <c r="BK49" s="712">
        <f t="shared" si="312"/>
        <v>0</v>
      </c>
      <c r="BL49" s="712"/>
      <c r="BM49" s="712">
        <f ca="1">IF(B49&gt;Summary!$A$1,#N/A,BK49*MGtoAF)</f>
        <v>0</v>
      </c>
      <c r="BN49" s="712">
        <f>Sheet1!BC49+Sheet1!BD49+Sheet1!BE49+Sheet1!BF49-BW49-BX49</f>
        <v>0</v>
      </c>
      <c r="BO49" s="712">
        <f t="shared" si="313"/>
        <v>0</v>
      </c>
      <c r="BP49" s="712">
        <f>IF(Sheet1!EM49="FM",BX49,0)</f>
        <v>0</v>
      </c>
      <c r="BQ49" s="712">
        <f t="shared" si="314"/>
        <v>0</v>
      </c>
      <c r="BR49" s="712">
        <f>IF(Sheet1!EM49="OTHER",BX49,0)</f>
        <v>0</v>
      </c>
      <c r="BS49" s="712">
        <f t="shared" si="315"/>
        <v>0</v>
      </c>
      <c r="BT49" s="712">
        <f t="shared" si="316"/>
        <v>0</v>
      </c>
      <c r="BU49" s="712">
        <f t="shared" si="317"/>
        <v>0</v>
      </c>
      <c r="BV49" s="712">
        <f t="shared" si="318"/>
        <v>0</v>
      </c>
      <c r="BW49" s="712">
        <f>IF(Sheet1!EM49="CWA",SUM(Sheet1!BC49:'Sheet1'!BF49),0)</f>
        <v>0</v>
      </c>
      <c r="BX49" s="712">
        <f>IF(OR(Sheet1!EM49="FM", Sheet1!EM49="OTHER"),SUM(Sheet1!BC49:'Sheet1'!BF49),0)</f>
        <v>0</v>
      </c>
      <c r="BY49" s="697">
        <f>IF(AND($B49&gt;=$FL49,$B49&lt;=$FM49),MAX(BV49,Sheet1!EF49,0),MAX(BV49-(7/36)*$K49,0))</f>
        <v>0</v>
      </c>
      <c r="BZ49" s="712">
        <f t="shared" si="319"/>
        <v>0</v>
      </c>
      <c r="CA49" s="697">
        <f t="shared" si="74"/>
        <v>0</v>
      </c>
      <c r="CB49" s="697">
        <f>IF(AND($O49&gt;0,Sheet1!EJ49=1),(1-($O49-Sheet1!$L49)/$O49)*BV49,0)</f>
        <v>0</v>
      </c>
      <c r="CC49" s="697">
        <f>IF(AND(Sheet1!$L49=0,Sheet1!$L48=0, Calculation!BU49&lt;Sheet1!EF49-0.1,Sheet1!EF49=Sheet1!EF48,Sheet1!EF49=Sheet1!EF50),Sheet1!EF49,BV49-CB49)</f>
        <v>0</v>
      </c>
      <c r="CD49" s="697"/>
      <c r="CE49" s="712"/>
      <c r="CF49" s="712">
        <f t="shared" si="320"/>
        <v>0</v>
      </c>
      <c r="CG49" s="712"/>
      <c r="CH49" s="712">
        <f ca="1">IF(B49&gt;Summary!$A$1,#N/A,CF49*MGtoAF)</f>
        <v>0</v>
      </c>
      <c r="CI49" s="712">
        <f>Sheet1!BK49+Sheet1!BL49+Sheet1!BM49-Sheet1!EN49-CQ49</f>
        <v>0</v>
      </c>
      <c r="CJ49" s="712">
        <f t="shared" si="321"/>
        <v>0</v>
      </c>
      <c r="CK49" s="712">
        <f>IF(Sheet1!EN49="FM",CQ49,0)</f>
        <v>0</v>
      </c>
      <c r="CL49" s="712">
        <f t="shared" si="322"/>
        <v>0</v>
      </c>
      <c r="CM49" s="712">
        <f>IF(Sheet1!EN49="OTHER",CQ49,0)</f>
        <v>0</v>
      </c>
      <c r="CN49" s="712">
        <f t="shared" si="323"/>
        <v>0</v>
      </c>
      <c r="CO49" s="712">
        <f t="shared" si="324"/>
        <v>0</v>
      </c>
      <c r="CP49" s="712">
        <f t="shared" si="325"/>
        <v>0</v>
      </c>
      <c r="CQ49" s="712">
        <f>IF(OR(Sheet1!EN49="FM", Sheet1!EN49="OTHER"),SUM(Sheet1!BK49:'Sheet1'!BM49),0)</f>
        <v>0</v>
      </c>
      <c r="CR49" s="697">
        <f>IF(AND($B49&gt;=$FL49,$B49&lt;=$FM49),MAX($CJ49,Sheet1!EG49,0),MAX($CJ49-(7/36)*$K49,0))</f>
        <v>0</v>
      </c>
      <c r="CS49" s="712">
        <f t="shared" si="326"/>
        <v>0</v>
      </c>
      <c r="CT49" s="697">
        <f t="shared" si="75"/>
        <v>0</v>
      </c>
      <c r="CU49" s="697">
        <f>IF(AND($O49&gt;0,Sheet1!EK49=1),(1-($O49-Sheet1!$L49)/$O49)*CP49,0)</f>
        <v>0</v>
      </c>
      <c r="CV49" s="697">
        <f>IF(AND(Sheet1!$L49=0,Sheet1!$L48=0, Calculation!CO49&lt;Sheet1!$EG49-0.1,Sheet1!$EG49=Sheet1!$EG48,Sheet1!$EG49=Sheet1!$EG50),Sheet1!$EG49,CP49-CU49)</f>
        <v>0</v>
      </c>
      <c r="CW49" s="697">
        <f t="shared" si="33"/>
        <v>0</v>
      </c>
      <c r="CX49" s="712">
        <f t="shared" si="87"/>
        <v>0</v>
      </c>
      <c r="CY49" s="712">
        <f t="shared" si="327"/>
        <v>0</v>
      </c>
      <c r="CZ49" s="712">
        <f t="shared" si="328"/>
        <v>0</v>
      </c>
      <c r="DA49" s="712">
        <f ca="1">IF(B49&gt;Summary!$A$1,#N/A,CY49*MGtoAF)</f>
        <v>0</v>
      </c>
      <c r="DB49" s="712">
        <f t="shared" si="329"/>
        <v>0</v>
      </c>
      <c r="DC49" s="712">
        <f t="shared" si="330"/>
        <v>17</v>
      </c>
      <c r="DD49" s="712">
        <f>Sheet1!AB49-DC49</f>
        <v>-0.16999999999825377</v>
      </c>
      <c r="DE49" s="712">
        <f t="shared" si="331"/>
        <v>-9.9999999998972803E-3</v>
      </c>
      <c r="DF49" s="712">
        <f>(VLOOKUP(Sheet1!CY49,hhdcap_wcm,4)-(((VLOOKUP(Sheet1!CY49,hhdcap_wcm,3)-Sheet1!CY49)/(VLOOKUP(Sheet1!CY49,hhdcap_wcm,3)-VLOOKUP(Sheet1!CY49,hhdcap_wcm,1)))*(VLOOKUP(Sheet1!CY49,hhdcap_wcm,4)-VLOOKUP(Sheet1!CY49,hhdcap_wcm,2))))</f>
        <v>2496.3600000037068</v>
      </c>
      <c r="DG49" s="712">
        <f t="shared" si="332"/>
        <v>532.28000000089924</v>
      </c>
      <c r="DH49" s="712">
        <f t="shared" si="333"/>
        <v>268.42158345985837</v>
      </c>
      <c r="DI49" s="712">
        <f>Sheet1!DW49*AFtoMG</f>
        <v>0</v>
      </c>
      <c r="DJ49" s="712">
        <f>Sheet1!DX49*AFtoMG</f>
        <v>0</v>
      </c>
      <c r="DK49" s="712">
        <f>Sheet1!DY49*AFtoMG</f>
        <v>0</v>
      </c>
      <c r="DL49" s="712">
        <f>Sheet1!DZ49*AFtoMG</f>
        <v>0</v>
      </c>
      <c r="DM49" s="712">
        <f t="shared" si="334"/>
        <v>0</v>
      </c>
      <c r="DN49" s="712">
        <f t="shared" si="335"/>
        <v>0</v>
      </c>
      <c r="DO49" s="712">
        <f t="shared" si="336"/>
        <v>0</v>
      </c>
      <c r="DP49" s="712">
        <f t="shared" si="337"/>
        <v>0</v>
      </c>
      <c r="DQ49" s="712"/>
      <c r="DR49" s="697">
        <f>IF(OR(B49&lt;FL49,B49&gt;FM49),(MIN(AV49+BO49+CJ49+MAX(Sheet1!AA49+AG49-73,0),K49)),0)</f>
        <v>0</v>
      </c>
      <c r="DS49" s="712"/>
      <c r="DT49" s="712">
        <f t="shared" si="338"/>
        <v>0</v>
      </c>
      <c r="DU49" s="712"/>
      <c r="DV49" s="712">
        <f>Sheet1!ED49+Sheet1!EE49+Sheet1!EF49+Sheet1!EG49</f>
        <v>9.5</v>
      </c>
      <c r="DW49" s="712"/>
      <c r="DX49" s="697">
        <f t="shared" si="77"/>
        <v>0</v>
      </c>
      <c r="DY49" s="712">
        <f>IF(Sheet1!FN49=1,SUM('Calculations II'!AT49:BA49)+'Calculations II'!BC49+Sheet1!BU49+'Calculations II'!BE49+AF49,SUM('Calculations II'!AT49:BA49)+'Calculations II'!BC49+Sheet1!BU49+'Calculations II'!BE49+AF49)</f>
        <v>43.547856000000003</v>
      </c>
      <c r="DZ49" s="712">
        <f>Sheet1!AA49+Sheet1!AB49+'Calculations II'!BC49</f>
        <v>45.430000000007567</v>
      </c>
      <c r="EA49" s="712"/>
      <c r="EB49" s="712"/>
      <c r="EC49" s="712">
        <f t="shared" si="339"/>
        <v>40578</v>
      </c>
      <c r="ED49" s="712">
        <f t="shared" si="340"/>
        <v>0</v>
      </c>
      <c r="EE49" s="712">
        <f t="shared" si="341"/>
        <v>0</v>
      </c>
      <c r="EF49" s="712">
        <f>-(VLOOKUP(Sheet1!BQ49,Lookup!$B$4:$J$236,2)-VLOOKUP(Sheet1!BQ48,Lookup!$B$4:$J$236,2))/1000000</f>
        <v>-0.80469999999999997</v>
      </c>
      <c r="EG49" s="712">
        <f>-(VLOOKUP(Sheet1!BR49,Lookup!$B$4:$J$236,3)-VLOOKUP(Sheet1!BR48,Lookup!$B$4:$J$236,3))/1000000</f>
        <v>-1.0664</v>
      </c>
      <c r="EH49" s="712">
        <f>-(VLOOKUP(Sheet1!BS49,Lookup!$B$4:$J$236,4)-VLOOKUP(Sheet1!BS48,Lookup!$B$4:$J$236,4))/1000000</f>
        <v>0</v>
      </c>
      <c r="EI49" s="697">
        <f t="shared" si="88"/>
        <v>-1.8711</v>
      </c>
      <c r="EJ49" s="712"/>
      <c r="EK49" s="712"/>
      <c r="EL49" s="712"/>
      <c r="EM49" s="712"/>
      <c r="EN49" s="712"/>
      <c r="EO49" s="712"/>
      <c r="EP49" s="712"/>
      <c r="EQ49" s="712"/>
      <c r="ER49" s="697">
        <v>0</v>
      </c>
      <c r="ES49" s="712"/>
      <c r="ET49" s="794" t="e">
        <f t="shared" si="342"/>
        <v>#N/A</v>
      </c>
      <c r="EU49" s="794" t="e">
        <f t="shared" si="79"/>
        <v>#VALUE!</v>
      </c>
      <c r="EV49" s="795" t="e">
        <f t="shared" si="48"/>
        <v>#VALUE!</v>
      </c>
      <c r="EW49" s="796" t="s">
        <v>757</v>
      </c>
      <c r="EX49" s="796" t="s">
        <v>757</v>
      </c>
      <c r="EY49" s="794">
        <v>0</v>
      </c>
      <c r="EZ49" s="794" t="e">
        <v>#N/A</v>
      </c>
      <c r="FA49" s="712"/>
      <c r="FB49" s="712"/>
      <c r="FC49" s="712"/>
      <c r="FD49" s="712"/>
      <c r="FE49" s="712">
        <f>O49+Sheet1!CO49</f>
        <v>45.430000000007567</v>
      </c>
      <c r="FF49" s="712">
        <f>IF(Sheet1!AA49+AG49&lt;=Calculation!N49,AG49,Calculation!N49-Sheet1!AA49)</f>
        <v>16.830000000001746</v>
      </c>
      <c r="FG49" s="712">
        <f>(Sheet1!BP49+Sheet1!BO49)/694.4</f>
        <v>1.3116359447004609</v>
      </c>
      <c r="FH49" s="712"/>
      <c r="FI49" s="712"/>
      <c r="FJ49" s="712"/>
      <c r="FK49" s="712"/>
      <c r="FL49" s="714">
        <f t="shared" si="89"/>
        <v>40753</v>
      </c>
      <c r="FM49" s="714">
        <f t="shared" si="90"/>
        <v>40851</v>
      </c>
      <c r="FN49" s="712"/>
      <c r="FO49" s="712"/>
      <c r="FP49" s="712"/>
      <c r="FQ49" s="712"/>
      <c r="FR49" s="712"/>
      <c r="FS49" s="725">
        <f t="shared" si="91"/>
        <v>40603</v>
      </c>
      <c r="FT49" s="714">
        <f t="shared" si="92"/>
        <v>40709</v>
      </c>
      <c r="FU49" s="712">
        <f t="shared" si="93"/>
        <v>6518.9048239895692</v>
      </c>
      <c r="FV49" s="714">
        <f t="shared" si="94"/>
        <v>40722</v>
      </c>
      <c r="FW49" s="712">
        <f t="shared" si="95"/>
        <v>3259.4524119947846</v>
      </c>
      <c r="FX49" s="725">
        <f t="shared" si="96"/>
        <v>40851</v>
      </c>
      <c r="FZ49" s="697">
        <f t="shared" si="49"/>
        <v>0</v>
      </c>
      <c r="GA49" s="712" t="str">
        <f t="shared" si="343"/>
        <v/>
      </c>
      <c r="GB49" s="712">
        <f t="shared" si="344"/>
        <v>0</v>
      </c>
      <c r="GC49" s="712" t="str">
        <f t="shared" si="345"/>
        <v/>
      </c>
      <c r="GD49" s="712">
        <f>IF(GA49="P",Lookup!$M$12,IF(GA49="PP",Lookup!$M$13,IF(GA49="PPP",Lookup!$M$14,IF(GA49="T",Lookup!$M$15,IF(GA49="TP",Lookup!$M$16,IF(GA49="TPP",Lookup!$M$17,IF(GA49="TPPP",Lookup!$M$18,0)))))))*FZ49</f>
        <v>0</v>
      </c>
      <c r="GE49" s="712">
        <f t="shared" si="346"/>
        <v>0</v>
      </c>
      <c r="GF49" s="712">
        <f t="shared" si="347"/>
        <v>0</v>
      </c>
      <c r="GG49" s="712">
        <f t="shared" si="348"/>
        <v>0</v>
      </c>
      <c r="GH49" s="712"/>
      <c r="GI49" s="712">
        <f t="shared" si="349"/>
        <v>0</v>
      </c>
      <c r="GJ49" s="712" t="str">
        <f t="shared" si="350"/>
        <v/>
      </c>
      <c r="GK49" s="712">
        <f>IF(GA49="P",Lookup!$N$12,IF(GA49="PP",Lookup!$N$13,IF(GA49="PPP",Lookup!$N$14,IF(GA49="T",Lookup!$N$15,IF(GA49="TP",Lookup!$N$16,IF(GA49="TPP",Lookup!$N$17,IF(GA49="TPPP",Lookup!$N$18,0)))))))*FZ49</f>
        <v>0</v>
      </c>
      <c r="GL49" s="712">
        <f t="shared" si="351"/>
        <v>0</v>
      </c>
      <c r="GM49" s="712">
        <f t="shared" si="352"/>
        <v>0</v>
      </c>
      <c r="GN49" s="712">
        <f t="shared" si="353"/>
        <v>0</v>
      </c>
      <c r="GO49" s="712"/>
      <c r="GP49" s="712">
        <f t="shared" si="354"/>
        <v>0</v>
      </c>
      <c r="GQ49" s="712" t="str">
        <f t="shared" si="355"/>
        <v/>
      </c>
      <c r="GR49" s="712">
        <f>IF(GA49="P",Lookup!$N$12,IF(GA49="PP",Lookup!$N$13,IF(GA49="PPP",Lookup!$N$14,IF(GA49="T",Lookup!$N$15,IF(GA49="TP",Lookup!$N$16,IF(GA49="TPP",Lookup!$N$17,IF(GA49="TPPP",Lookup!$N$18,0)))))))*FZ49</f>
        <v>0</v>
      </c>
      <c r="GS49" s="697">
        <f t="shared" si="83"/>
        <v>0</v>
      </c>
      <c r="GT49" s="712">
        <f t="shared" si="356"/>
        <v>0</v>
      </c>
      <c r="GU49" s="712">
        <f t="shared" si="357"/>
        <v>0</v>
      </c>
      <c r="GV49" s="712"/>
      <c r="GW49" s="712">
        <f t="shared" si="358"/>
        <v>0</v>
      </c>
      <c r="GX49" s="712" t="str">
        <f t="shared" si="359"/>
        <v/>
      </c>
      <c r="GY49" s="712">
        <f>IF(GA49="P",Lookup!$N$12,IF(GA49="PP",Lookup!$N$13,IF(GA49="PPP",Lookup!$N$14,IF(GA49="T",Lookup!$N$15,IF(GA49="TP",Lookup!$N$16,IF(GA49="TPP",Lookup!$N$17,IF(GA49="TPPP",Lookup!$N$18,0)))))))*FZ49</f>
        <v>0</v>
      </c>
      <c r="GZ49" s="697">
        <f t="shared" si="85"/>
        <v>0</v>
      </c>
      <c r="HA49" s="712">
        <f t="shared" si="360"/>
        <v>0</v>
      </c>
      <c r="HB49" s="712">
        <f t="shared" si="361"/>
        <v>0</v>
      </c>
      <c r="HC49" s="712"/>
    </row>
    <row r="50" spans="1:211">
      <c r="A50" s="773" t="s">
        <v>9</v>
      </c>
      <c r="B50" s="708">
        <v>40579</v>
      </c>
      <c r="C50" s="719">
        <v>0.5</v>
      </c>
      <c r="D50" s="675">
        <f t="shared" si="65"/>
        <v>300</v>
      </c>
      <c r="E50" s="675">
        <f t="shared" si="66"/>
        <v>250</v>
      </c>
      <c r="F50" s="710">
        <v>250</v>
      </c>
      <c r="G50" s="712">
        <f>DH50+Sheet1!CV50</f>
        <v>2890.3734686013172</v>
      </c>
      <c r="H50" s="712">
        <f t="shared" si="294"/>
        <v>1601.3742101038913</v>
      </c>
      <c r="I50" s="711">
        <f>MAX(Sheet1!Z50-AJ50+(Sheet1!CW50-E50)*CFStoMGD,0)</f>
        <v>2065.1980000000062</v>
      </c>
      <c r="J50" s="720">
        <f>IF(AND(B50&gt;=Calculation!FS50,B50&lt;=Calculation!FT50),IF(Sheet1!CX50&gt;=Calculation!D50,64.64,0),MAX(Sheet1!Z50-AJ50+(Sheet1!CX50-D50)*CFStoMGD,0))</f>
        <v>1645.0380000000062</v>
      </c>
      <c r="K50" s="697">
        <f t="shared" si="67"/>
        <v>64.64</v>
      </c>
      <c r="L50" s="712">
        <f>Sheet1!AA50+Sheet1!AB50-Sheet1!L50+(Sheet1!CW50-F50)*CFStoMGD</f>
        <v>2065.2879999999882</v>
      </c>
      <c r="M50" s="712">
        <f t="shared" si="295"/>
        <v>1905.7041583059693</v>
      </c>
      <c r="N50" s="712">
        <f>IF(Sheet1!CW50&gt;=F50,MIN(73,MIN(MAX(L50,0),MAX(M50,0))),0)</f>
        <v>73</v>
      </c>
      <c r="O50" s="721">
        <f>Sheet1!AA50+Sheet1!AB50</f>
        <v>45.869999999988067</v>
      </c>
      <c r="P50" s="721">
        <f t="shared" si="296"/>
        <v>70.960889999981532</v>
      </c>
      <c r="Q50" s="712">
        <f>MIN(N50,Sheet1!AA50+AG50)</f>
        <v>45.869999999988067</v>
      </c>
      <c r="R50" s="712">
        <f t="shared" si="297"/>
        <v>0</v>
      </c>
      <c r="S50" s="721">
        <f>Sheet1!Y50*MGDtoCFS</f>
        <v>45.358039999999995</v>
      </c>
      <c r="T50" s="721">
        <f>Sheet1!Z50*MGDtoCFS</f>
        <v>26.175240000000002</v>
      </c>
      <c r="U50" s="721">
        <f>Sheet1!AA50*MGDtoCFS</f>
        <v>44.708299999990992</v>
      </c>
      <c r="V50" s="721">
        <f>Sheet1!AB50*MGDtoCFS</f>
        <v>26.252589999990544</v>
      </c>
      <c r="W50" s="721">
        <f>Sheet1!L50*MGDtoCFS</f>
        <v>70.89900999999989</v>
      </c>
      <c r="X50" s="697">
        <f t="shared" si="68"/>
        <v>0</v>
      </c>
      <c r="Y50" s="712">
        <f t="shared" si="298"/>
        <v>0</v>
      </c>
      <c r="Z50" s="712">
        <f t="shared" si="299"/>
        <v>0</v>
      </c>
      <c r="AA50" s="712">
        <f t="shared" si="300"/>
        <v>0</v>
      </c>
      <c r="AB50" s="712">
        <f>(VLOOKUP(Sheet1!CY50,hhdcap_wcm,4)-(((VLOOKUP(Sheet1!CY50,hhdcap_wcm,3)-Sheet1!CY50)/(VLOOKUP(Sheet1!CY50,hhdcap_wcm,3)-VLOOKUP(Sheet1!CY50,hhdcap_wcm,1)))*(VLOOKUP(Sheet1!CY50,hhdcap_wcm,4)-VLOOKUP(Sheet1!CY50,hhdcap_wcm,2))))</f>
        <v>3135.1600000048252</v>
      </c>
      <c r="AC50" s="712">
        <f t="shared" si="301"/>
        <v>638.80000000111841</v>
      </c>
      <c r="AD50" s="712">
        <f t="shared" si="70"/>
        <v>0</v>
      </c>
      <c r="AE50" s="712">
        <f t="shared" si="302"/>
        <v>0</v>
      </c>
      <c r="AF50" s="712">
        <f>Sheet1!BA50+Sheet1!BB50+Sheet1!BN50+BT50</f>
        <v>17</v>
      </c>
      <c r="AG50" s="712">
        <f t="shared" si="303"/>
        <v>16.969999999993888</v>
      </c>
      <c r="AH50" s="712">
        <f>Sheet1!BA50+BT50</f>
        <v>0</v>
      </c>
      <c r="AI50" s="712">
        <f>Sheet1!BA50+Sheet1!BB50+BT50</f>
        <v>0</v>
      </c>
      <c r="AJ50" s="712">
        <f>IF((Sheet1!AA50+AG50+AX50+AZ50+BQ50+BS50+CL50+CN50)&lt;=N50,AG50+AX50+AZ50+BQ50+BS50+CL50+CN50,N50-Sheet1!AA50)</f>
        <v>16.969999999993888</v>
      </c>
      <c r="AK50" s="712">
        <f>IF(DR50&lt;K50,0,MAX(Sheet1!AA50+AG50-15/36*K50-N50,Sheet1!ED50,0))</f>
        <v>0</v>
      </c>
      <c r="AL50" s="712">
        <f>IF(OR(B50&gt;=FT50,B50&lt;FS50),0,15/36*K50-MAX(0,64.6-(137.6-(Sheet1!AA50+Sheet1!AB50))))</f>
        <v>0</v>
      </c>
      <c r="AM50" s="712">
        <f>Sheet1!CX50-110</f>
        <v>2735</v>
      </c>
      <c r="AN50" s="712">
        <f>Sheet1!CW50-265</f>
        <v>3180</v>
      </c>
      <c r="AO50" s="712">
        <f t="shared" si="71"/>
        <v>27.130000000011933</v>
      </c>
      <c r="AP50" s="712">
        <f t="shared" si="72"/>
        <v>0</v>
      </c>
      <c r="AQ50" s="712">
        <f t="shared" si="304"/>
        <v>0</v>
      </c>
      <c r="AR50" s="712">
        <f t="shared" si="305"/>
        <v>0</v>
      </c>
      <c r="AS50" s="712"/>
      <c r="AT50" s="712">
        <f ca="1">IF(B50&gt;Summary!$A$1,#N/A,AR50*MGtoAF)</f>
        <v>0</v>
      </c>
      <c r="AU50" s="712">
        <f>Sheet1!BG50+Sheet1!BH50+Sheet1!BI50-BC50</f>
        <v>0</v>
      </c>
      <c r="AV50" s="712">
        <f t="shared" si="306"/>
        <v>0</v>
      </c>
      <c r="AW50" s="712">
        <f>IF(Sheet1!EL50="FM",BC50,0)</f>
        <v>0</v>
      </c>
      <c r="AX50" s="712">
        <f t="shared" si="307"/>
        <v>0</v>
      </c>
      <c r="AY50" s="712">
        <f>IF(Sheet1!EL50="OTHER",BC50,0)</f>
        <v>0</v>
      </c>
      <c r="AZ50" s="712">
        <f t="shared" si="308"/>
        <v>0</v>
      </c>
      <c r="BA50" s="712">
        <f t="shared" si="309"/>
        <v>0</v>
      </c>
      <c r="BB50" s="712">
        <f t="shared" si="310"/>
        <v>0</v>
      </c>
      <c r="BC50" s="712">
        <f>IF(OR(Sheet1!EL50="FM", Sheet1!EL50="OTHER"),SUM(Sheet1!BG50:'Sheet1'!BI50),0)</f>
        <v>0</v>
      </c>
      <c r="BD50" s="697">
        <f>IF(AND($B50&gt;=$FL50,$B50&lt;=$FM50),MAX(AV50,Sheet1!EE50,0),MAX(AV50-(7/36)*$K50,0))</f>
        <v>0</v>
      </c>
      <c r="BE50" s="712">
        <f t="shared" si="311"/>
        <v>0</v>
      </c>
      <c r="BF50" s="697">
        <f t="shared" si="73"/>
        <v>0</v>
      </c>
      <c r="BG50" s="697">
        <f>IF(AND($O50&gt;0,Sheet1!EI50=1),(1-($O50-Sheet1!$L50)/$O50)*BB50,0)</f>
        <v>0</v>
      </c>
      <c r="BH50" s="697">
        <f>IF(AND(Sheet1!$L50=0,Sheet1!$L49=0, Calculation!BA50&lt;Sheet1!$EE50-0.1,Sheet1!$EE50=Sheet1!$EE49,Sheet1!$EE50=Sheet1!$EE51),Sheet1!$EE50,BB50-BG50)</f>
        <v>0</v>
      </c>
      <c r="BI50" s="712"/>
      <c r="BJ50" s="712"/>
      <c r="BK50" s="712">
        <f t="shared" si="312"/>
        <v>0</v>
      </c>
      <c r="BL50" s="712"/>
      <c r="BM50" s="712">
        <f ca="1">IF(B50&gt;Summary!$A$1,#N/A,BK50*MGtoAF)</f>
        <v>0</v>
      </c>
      <c r="BN50" s="712">
        <f>Sheet1!BC50+Sheet1!BD50+Sheet1!BE50+Sheet1!BF50-BW50-BX50</f>
        <v>0</v>
      </c>
      <c r="BO50" s="712">
        <f t="shared" si="313"/>
        <v>0</v>
      </c>
      <c r="BP50" s="712">
        <f>IF(Sheet1!EM50="FM",BX50,0)</f>
        <v>0</v>
      </c>
      <c r="BQ50" s="712">
        <f t="shared" si="314"/>
        <v>0</v>
      </c>
      <c r="BR50" s="712">
        <f>IF(Sheet1!EM50="OTHER",BX50,0)</f>
        <v>0</v>
      </c>
      <c r="BS50" s="712">
        <f t="shared" si="315"/>
        <v>0</v>
      </c>
      <c r="BT50" s="712">
        <f t="shared" si="316"/>
        <v>0</v>
      </c>
      <c r="BU50" s="712">
        <f t="shared" si="317"/>
        <v>0</v>
      </c>
      <c r="BV50" s="712">
        <f t="shared" si="318"/>
        <v>0</v>
      </c>
      <c r="BW50" s="712">
        <f>IF(Sheet1!EM50="CWA",SUM(Sheet1!BC50:'Sheet1'!BF50),0)</f>
        <v>0</v>
      </c>
      <c r="BX50" s="712">
        <f>IF(OR(Sheet1!EM50="FM", Sheet1!EM50="OTHER"),SUM(Sheet1!BC50:'Sheet1'!BF50),0)</f>
        <v>0</v>
      </c>
      <c r="BY50" s="697">
        <f>IF(AND($B50&gt;=$FL50,$B50&lt;=$FM50),MAX(BV50,Sheet1!EF50,0),MAX(BV50-(7/36)*$K50,0))</f>
        <v>0</v>
      </c>
      <c r="BZ50" s="712">
        <f t="shared" si="319"/>
        <v>0</v>
      </c>
      <c r="CA50" s="697">
        <f t="shared" si="74"/>
        <v>0</v>
      </c>
      <c r="CB50" s="697">
        <f>IF(AND($O50&gt;0,Sheet1!EJ50=1),(1-($O50-Sheet1!$L50)/$O50)*BV50,0)</f>
        <v>0</v>
      </c>
      <c r="CC50" s="697">
        <f>IF(AND(Sheet1!$L50=0,Sheet1!$L49=0, Calculation!BU50&lt;Sheet1!EF50-0.1,Sheet1!EF50=Sheet1!EF49,Sheet1!EF50=Sheet1!EF51),Sheet1!EF50,BV50-CB50)</f>
        <v>0</v>
      </c>
      <c r="CD50" s="697"/>
      <c r="CE50" s="712"/>
      <c r="CF50" s="712">
        <f t="shared" si="320"/>
        <v>0</v>
      </c>
      <c r="CG50" s="712"/>
      <c r="CH50" s="712">
        <f ca="1">IF(B50&gt;Summary!$A$1,#N/A,CF50*MGtoAF)</f>
        <v>0</v>
      </c>
      <c r="CI50" s="712">
        <f>Sheet1!BK50+Sheet1!BL50+Sheet1!BM50-Sheet1!EN50-CQ50</f>
        <v>0</v>
      </c>
      <c r="CJ50" s="712">
        <f t="shared" si="321"/>
        <v>0</v>
      </c>
      <c r="CK50" s="712">
        <f>IF(Sheet1!EN50="FM",CQ50,0)</f>
        <v>0</v>
      </c>
      <c r="CL50" s="712">
        <f t="shared" si="322"/>
        <v>0</v>
      </c>
      <c r="CM50" s="712">
        <f>IF(Sheet1!EN50="OTHER",CQ50,0)</f>
        <v>0</v>
      </c>
      <c r="CN50" s="712">
        <f t="shared" si="323"/>
        <v>0</v>
      </c>
      <c r="CO50" s="712">
        <f t="shared" si="324"/>
        <v>0</v>
      </c>
      <c r="CP50" s="712">
        <f t="shared" si="325"/>
        <v>0</v>
      </c>
      <c r="CQ50" s="712">
        <f>IF(OR(Sheet1!EN50="FM", Sheet1!EN50="OTHER"),SUM(Sheet1!BK50:'Sheet1'!BM50),0)</f>
        <v>0</v>
      </c>
      <c r="CR50" s="697">
        <f>IF(AND($B50&gt;=$FL50,$B50&lt;=$FM50),MAX($CJ50,Sheet1!EG50,0),MAX($CJ50-(7/36)*$K50,0))</f>
        <v>0</v>
      </c>
      <c r="CS50" s="712">
        <f t="shared" si="326"/>
        <v>0</v>
      </c>
      <c r="CT50" s="697">
        <f t="shared" si="75"/>
        <v>0</v>
      </c>
      <c r="CU50" s="697">
        <f>IF(AND($O50&gt;0,Sheet1!EK50=1),(1-($O50-Sheet1!$L50)/$O50)*CP50,0)</f>
        <v>0</v>
      </c>
      <c r="CV50" s="697">
        <f>IF(AND(Sheet1!$L50=0,Sheet1!$L49=0, Calculation!CO50&lt;Sheet1!$EG50-0.1,Sheet1!$EG50=Sheet1!$EG49,Sheet1!$EG50=Sheet1!$EG51),Sheet1!$EG50,CP50-CU50)</f>
        <v>0</v>
      </c>
      <c r="CW50" s="697">
        <f t="shared" si="33"/>
        <v>0</v>
      </c>
      <c r="CX50" s="712">
        <f t="shared" si="87"/>
        <v>0</v>
      </c>
      <c r="CY50" s="712">
        <f t="shared" si="327"/>
        <v>0</v>
      </c>
      <c r="CZ50" s="712">
        <f t="shared" si="328"/>
        <v>0</v>
      </c>
      <c r="DA50" s="712">
        <f ca="1">IF(B50&gt;Summary!$A$1,#N/A,CY50*MGtoAF)</f>
        <v>0</v>
      </c>
      <c r="DB50" s="712">
        <f t="shared" si="329"/>
        <v>0</v>
      </c>
      <c r="DC50" s="712">
        <f t="shared" si="330"/>
        <v>17</v>
      </c>
      <c r="DD50" s="712">
        <f>Sheet1!AB50-DC50</f>
        <v>-3.0000000006111804E-2</v>
      </c>
      <c r="DE50" s="712">
        <f t="shared" si="331"/>
        <v>-1.764705882712459E-3</v>
      </c>
      <c r="DF50" s="712">
        <f>(VLOOKUP(Sheet1!CY50,hhdcap_wcm,4)-(((VLOOKUP(Sheet1!CY50,hhdcap_wcm,3)-Sheet1!CY50)/(VLOOKUP(Sheet1!CY50,hhdcap_wcm,3)-VLOOKUP(Sheet1!CY50,hhdcap_wcm,1)))*(VLOOKUP(Sheet1!CY50,hhdcap_wcm,4)-VLOOKUP(Sheet1!CY50,hhdcap_wcm,2))))</f>
        <v>3135.1600000048252</v>
      </c>
      <c r="DG50" s="712">
        <f t="shared" si="332"/>
        <v>638.80000000111841</v>
      </c>
      <c r="DH50" s="712">
        <f t="shared" si="333"/>
        <v>322.13817448367035</v>
      </c>
      <c r="DI50" s="712">
        <f>Sheet1!DW50*AFtoMG</f>
        <v>0</v>
      </c>
      <c r="DJ50" s="712">
        <f>Sheet1!DX50*AFtoMG</f>
        <v>0</v>
      </c>
      <c r="DK50" s="712">
        <f>Sheet1!DY50*AFtoMG</f>
        <v>0</v>
      </c>
      <c r="DL50" s="712">
        <f>Sheet1!DZ50*AFtoMG</f>
        <v>0</v>
      </c>
      <c r="DM50" s="712">
        <f t="shared" si="334"/>
        <v>0</v>
      </c>
      <c r="DN50" s="712">
        <f t="shared" si="335"/>
        <v>0</v>
      </c>
      <c r="DO50" s="712">
        <f t="shared" si="336"/>
        <v>0</v>
      </c>
      <c r="DP50" s="712">
        <f t="shared" si="337"/>
        <v>0</v>
      </c>
      <c r="DQ50" s="712"/>
      <c r="DR50" s="697">
        <f>IF(OR(B50&lt;FL50,B50&gt;FM50),(MIN(AV50+BO50+CJ50+MAX(Sheet1!AA50+AG50-73,0),K50)),0)</f>
        <v>0</v>
      </c>
      <c r="DS50" s="712"/>
      <c r="DT50" s="712">
        <f t="shared" si="338"/>
        <v>0</v>
      </c>
      <c r="DU50" s="712"/>
      <c r="DV50" s="712">
        <f>Sheet1!ED50+Sheet1!EE50+Sheet1!EF50+Sheet1!EG50</f>
        <v>9.5</v>
      </c>
      <c r="DW50" s="712"/>
      <c r="DX50" s="697">
        <f t="shared" si="77"/>
        <v>0</v>
      </c>
      <c r="DY50" s="712">
        <f>IF(Sheet1!FN50=1,SUM('Calculations II'!AT50:BA50)+'Calculations II'!BC50+Sheet1!BU50+'Calculations II'!BE50+AF50,SUM('Calculations II'!AT50:BA50)+'Calculations II'!BC50+Sheet1!BU50+'Calculations II'!BE50+AF50)</f>
        <v>43.960847999999999</v>
      </c>
      <c r="DZ50" s="712">
        <f>Sheet1!AA50+Sheet1!AB50+'Calculations II'!BC50</f>
        <v>45.869999999988067</v>
      </c>
      <c r="EA50" s="712"/>
      <c r="EB50" s="712"/>
      <c r="EC50" s="712">
        <f t="shared" si="339"/>
        <v>40579</v>
      </c>
      <c r="ED50" s="712">
        <f t="shared" si="340"/>
        <v>0</v>
      </c>
      <c r="EE50" s="712">
        <f t="shared" si="341"/>
        <v>0</v>
      </c>
      <c r="EF50" s="712">
        <f>-(VLOOKUP(Sheet1!BQ50,Lookup!$B$4:$J$236,2)-VLOOKUP(Sheet1!BQ49,Lookup!$B$4:$J$236,2))/1000000</f>
        <v>-0.27050000000000002</v>
      </c>
      <c r="EG50" s="712">
        <f>-(VLOOKUP(Sheet1!BR50,Lookup!$B$4:$J$236,3)-VLOOKUP(Sheet1!BR49,Lookup!$B$4:$J$236,3))/1000000</f>
        <v>-0.54</v>
      </c>
      <c r="EH50" s="712">
        <f>-(VLOOKUP(Sheet1!BS50,Lookup!$B$4:$J$236,4)-VLOOKUP(Sheet1!BS49,Lookup!$B$4:$J$236,4))/1000000</f>
        <v>0</v>
      </c>
      <c r="EI50" s="697">
        <f t="shared" si="88"/>
        <v>-0.8105</v>
      </c>
      <c r="EJ50" s="712"/>
      <c r="EK50" s="712"/>
      <c r="EL50" s="712"/>
      <c r="EM50" s="712"/>
      <c r="EN50" s="712"/>
      <c r="EO50" s="712"/>
      <c r="EP50" s="712"/>
      <c r="EQ50" s="712"/>
      <c r="ER50" s="697">
        <v>0</v>
      </c>
      <c r="ES50" s="712"/>
      <c r="ET50" s="794" t="e">
        <f t="shared" si="342"/>
        <v>#N/A</v>
      </c>
      <c r="EU50" s="794" t="e">
        <f t="shared" si="79"/>
        <v>#VALUE!</v>
      </c>
      <c r="EV50" s="795" t="e">
        <f t="shared" si="48"/>
        <v>#VALUE!</v>
      </c>
      <c r="EW50" s="796" t="s">
        <v>757</v>
      </c>
      <c r="EX50" s="796" t="s">
        <v>757</v>
      </c>
      <c r="EY50" s="794">
        <v>0</v>
      </c>
      <c r="EZ50" s="794" t="e">
        <v>#N/A</v>
      </c>
      <c r="FA50" s="712"/>
      <c r="FB50" s="712"/>
      <c r="FC50" s="712"/>
      <c r="FD50" s="712"/>
      <c r="FE50" s="712">
        <f>O50+Sheet1!CO50</f>
        <v>45.869999999988067</v>
      </c>
      <c r="FF50" s="712">
        <f>IF(Sheet1!AA50+AG50&lt;=Calculation!N50,AG50,Calculation!N50-Sheet1!AA50)</f>
        <v>16.969999999993888</v>
      </c>
      <c r="FG50" s="712">
        <f>(Sheet1!BP50+Sheet1!BO50)/694.4</f>
        <v>2.4638536866359448</v>
      </c>
      <c r="FH50" s="712"/>
      <c r="FI50" s="712"/>
      <c r="FJ50" s="712"/>
      <c r="FK50" s="712"/>
      <c r="FL50" s="714">
        <f t="shared" si="89"/>
        <v>40753</v>
      </c>
      <c r="FM50" s="714">
        <f t="shared" si="90"/>
        <v>40851</v>
      </c>
      <c r="FN50" s="712"/>
      <c r="FO50" s="712"/>
      <c r="FP50" s="712"/>
      <c r="FQ50" s="712"/>
      <c r="FR50" s="712"/>
      <c r="FS50" s="725">
        <f t="shared" si="91"/>
        <v>40603</v>
      </c>
      <c r="FT50" s="714">
        <f t="shared" si="92"/>
        <v>40709</v>
      </c>
      <c r="FU50" s="712">
        <f t="shared" si="93"/>
        <v>6518.9048239895692</v>
      </c>
      <c r="FV50" s="714">
        <f t="shared" si="94"/>
        <v>40722</v>
      </c>
      <c r="FW50" s="712">
        <f t="shared" si="95"/>
        <v>3259.4524119947846</v>
      </c>
      <c r="FX50" s="725">
        <f t="shared" si="96"/>
        <v>40851</v>
      </c>
      <c r="FZ50" s="697">
        <f t="shared" si="49"/>
        <v>0</v>
      </c>
      <c r="GA50" s="712" t="str">
        <f t="shared" si="343"/>
        <v/>
      </c>
      <c r="GB50" s="712">
        <f t="shared" si="344"/>
        <v>0</v>
      </c>
      <c r="GC50" s="712" t="str">
        <f t="shared" si="345"/>
        <v/>
      </c>
      <c r="GD50" s="712">
        <f>IF(GA50="P",Lookup!$M$12,IF(GA50="PP",Lookup!$M$13,IF(GA50="PPP",Lookup!$M$14,IF(GA50="T",Lookup!$M$15,IF(GA50="TP",Lookup!$M$16,IF(GA50="TPP",Lookup!$M$17,IF(GA50="TPPP",Lookup!$M$18,0)))))))*FZ50</f>
        <v>0</v>
      </c>
      <c r="GE50" s="712">
        <f t="shared" si="346"/>
        <v>0</v>
      </c>
      <c r="GF50" s="712">
        <f t="shared" si="347"/>
        <v>0</v>
      </c>
      <c r="GG50" s="712">
        <f t="shared" si="348"/>
        <v>0</v>
      </c>
      <c r="GH50" s="712"/>
      <c r="GI50" s="712">
        <f t="shared" si="349"/>
        <v>0</v>
      </c>
      <c r="GJ50" s="712" t="str">
        <f t="shared" si="350"/>
        <v/>
      </c>
      <c r="GK50" s="712">
        <f>IF(GA50="P",Lookup!$N$12,IF(GA50="PP",Lookup!$N$13,IF(GA50="PPP",Lookup!$N$14,IF(GA50="T",Lookup!$N$15,IF(GA50="TP",Lookup!$N$16,IF(GA50="TPP",Lookup!$N$17,IF(GA50="TPPP",Lookup!$N$18,0)))))))*FZ50</f>
        <v>0</v>
      </c>
      <c r="GL50" s="712">
        <f t="shared" si="351"/>
        <v>0</v>
      </c>
      <c r="GM50" s="712">
        <f t="shared" si="352"/>
        <v>0</v>
      </c>
      <c r="GN50" s="712">
        <f t="shared" si="353"/>
        <v>0</v>
      </c>
      <c r="GO50" s="712"/>
      <c r="GP50" s="712">
        <f t="shared" si="354"/>
        <v>0</v>
      </c>
      <c r="GQ50" s="712" t="str">
        <f t="shared" si="355"/>
        <v/>
      </c>
      <c r="GR50" s="712">
        <f>IF(GA50="P",Lookup!$N$12,IF(GA50="PP",Lookup!$N$13,IF(GA50="PPP",Lookup!$N$14,IF(GA50="T",Lookup!$N$15,IF(GA50="TP",Lookup!$N$16,IF(GA50="TPP",Lookup!$N$17,IF(GA50="TPPP",Lookup!$N$18,0)))))))*FZ50</f>
        <v>0</v>
      </c>
      <c r="GS50" s="697">
        <f t="shared" si="83"/>
        <v>0</v>
      </c>
      <c r="GT50" s="712">
        <f t="shared" si="356"/>
        <v>0</v>
      </c>
      <c r="GU50" s="712">
        <f t="shared" si="357"/>
        <v>0</v>
      </c>
      <c r="GV50" s="712"/>
      <c r="GW50" s="712">
        <f t="shared" si="358"/>
        <v>0</v>
      </c>
      <c r="GX50" s="712" t="str">
        <f t="shared" si="359"/>
        <v/>
      </c>
      <c r="GY50" s="712">
        <f>IF(GA50="P",Lookup!$N$12,IF(GA50="PP",Lookup!$N$13,IF(GA50="PPP",Lookup!$N$14,IF(GA50="T",Lookup!$N$15,IF(GA50="TP",Lookup!$N$16,IF(GA50="TPP",Lookup!$N$17,IF(GA50="TPPP",Lookup!$N$18,0)))))))*FZ50</f>
        <v>0</v>
      </c>
      <c r="GZ50" s="697">
        <f t="shared" si="85"/>
        <v>0</v>
      </c>
      <c r="HA50" s="712">
        <f t="shared" si="360"/>
        <v>0</v>
      </c>
      <c r="HB50" s="712">
        <f t="shared" si="361"/>
        <v>0</v>
      </c>
      <c r="HC50" s="712"/>
    </row>
    <row r="51" spans="1:211">
      <c r="A51" s="773" t="s">
        <v>3</v>
      </c>
      <c r="B51" s="708">
        <v>40580</v>
      </c>
      <c r="C51" s="719">
        <v>0.5</v>
      </c>
      <c r="D51" s="675">
        <f t="shared" si="65"/>
        <v>300</v>
      </c>
      <c r="E51" s="675">
        <f t="shared" si="66"/>
        <v>250</v>
      </c>
      <c r="F51" s="675">
        <v>250</v>
      </c>
      <c r="G51" s="712">
        <f>DH51+Sheet1!CV51</f>
        <v>2720.0086025326464</v>
      </c>
      <c r="H51" s="712">
        <f t="shared" si="294"/>
        <v>1491.2503606771027</v>
      </c>
      <c r="I51" s="711">
        <f>MAX(Sheet1!Z51-AJ51+(Sheet1!CW51-E51)*CFStoMGD,0)</f>
        <v>2530.443999999994</v>
      </c>
      <c r="J51" s="720">
        <f>IF(AND(B51&gt;=Calculation!FS51,B51&lt;=Calculation!FT51),IF(Sheet1!CX51&gt;=Calculation!D51,64.64,0),MAX(Sheet1!Z51-AJ51+(Sheet1!CX51-D51)*CFStoMGD,0))</f>
        <v>1866.8739999999941</v>
      </c>
      <c r="K51" s="697">
        <f t="shared" si="67"/>
        <v>64.64</v>
      </c>
      <c r="L51" s="712">
        <f>Sheet1!AA51+Sheet1!AB51-Sheet1!L51+(Sheet1!CW51-F51)*CFStoMGD</f>
        <v>2530.1640000000061</v>
      </c>
      <c r="M51" s="712">
        <f t="shared" si="295"/>
        <v>1793.3778318906448</v>
      </c>
      <c r="N51" s="712">
        <f>IF(Sheet1!CW51&gt;=F51,MIN(73,MIN(MAX(L51,0),MAX(M51,0))),0)</f>
        <v>73</v>
      </c>
      <c r="O51" s="721">
        <f>Sheet1!AA51+Sheet1!AB51</f>
        <v>46.100000000005821</v>
      </c>
      <c r="P51" s="721">
        <f t="shared" si="296"/>
        <v>71.316700000009007</v>
      </c>
      <c r="Q51" s="712">
        <f>MIN(N51,Sheet1!AA51+AG51)</f>
        <v>46.100000000005821</v>
      </c>
      <c r="R51" s="712">
        <f t="shared" si="297"/>
        <v>0</v>
      </c>
      <c r="S51" s="721">
        <f>Sheet1!Y51*MGDtoCFS</f>
        <v>45.574619999999996</v>
      </c>
      <c r="T51" s="721">
        <f>Sheet1!Z51*MGDtoCFS</f>
        <v>26.438229999999997</v>
      </c>
      <c r="U51" s="721">
        <f>Sheet1!AA51*MGDtoCFS</f>
        <v>44.863</v>
      </c>
      <c r="V51" s="721">
        <f>Sheet1!AB51*MGDtoCFS</f>
        <v>26.453700000009004</v>
      </c>
      <c r="W51" s="721">
        <f>Sheet1!L51*MGDtoCFS</f>
        <v>71.765329999999096</v>
      </c>
      <c r="X51" s="697">
        <f t="shared" si="68"/>
        <v>0</v>
      </c>
      <c r="Y51" s="712">
        <f t="shared" si="298"/>
        <v>0</v>
      </c>
      <c r="Z51" s="712">
        <f t="shared" si="299"/>
        <v>0</v>
      </c>
      <c r="AA51" s="712">
        <f t="shared" si="300"/>
        <v>0</v>
      </c>
      <c r="AB51" s="712">
        <f>(VLOOKUP(Sheet1!CY51,hhdcap_wcm,4)-(((VLOOKUP(Sheet1!CY51,hhdcap_wcm,3)-Sheet1!CY51)/(VLOOKUP(Sheet1!CY51,hhdcap_wcm,3)-VLOOKUP(Sheet1!CY51,hhdcap_wcm,1)))*(VLOOKUP(Sheet1!CY51,hhdcap_wcm,4)-VLOOKUP(Sheet1!CY51,hhdcap_wcm,2))))</f>
        <v>2403.8000000035336</v>
      </c>
      <c r="AC51" s="712">
        <f t="shared" si="301"/>
        <v>-731.36000000129161</v>
      </c>
      <c r="AD51" s="712">
        <f t="shared" si="70"/>
        <v>0</v>
      </c>
      <c r="AE51" s="712">
        <f t="shared" si="302"/>
        <v>0</v>
      </c>
      <c r="AF51" s="712">
        <f>Sheet1!BA51+Sheet1!BB51+Sheet1!BN51+BT51</f>
        <v>17</v>
      </c>
      <c r="AG51" s="712">
        <f t="shared" si="303"/>
        <v>17.100000000005821</v>
      </c>
      <c r="AH51" s="712">
        <f>Sheet1!BA51+BT51</f>
        <v>0</v>
      </c>
      <c r="AI51" s="712">
        <f>Sheet1!BA51+Sheet1!BB51+BT51</f>
        <v>0</v>
      </c>
      <c r="AJ51" s="712">
        <f>IF((Sheet1!AA51+AG51+AX51+AZ51+BQ51+BS51+CL51+CN51)&lt;=N51,AG51+AX51+AZ51+BQ51+BS51+CL51+CN51,N51-Sheet1!AA51)</f>
        <v>17.100000000005821</v>
      </c>
      <c r="AK51" s="712">
        <f>IF(DR51&lt;K51,0,MAX(Sheet1!AA51+AG51-15/36*K51-N51,Sheet1!ED51,0))</f>
        <v>0</v>
      </c>
      <c r="AL51" s="712">
        <f>IF(OR(B51&gt;=FT51,B51&lt;FS51),0,15/36*K51-MAX(0,64.6-(137.6-(Sheet1!AA51+Sheet1!AB51))))</f>
        <v>0</v>
      </c>
      <c r="AM51" s="712">
        <f>Sheet1!CX51-110</f>
        <v>3078.125</v>
      </c>
      <c r="AN51" s="712">
        <f>Sheet1!CW51-265</f>
        <v>3899.6875</v>
      </c>
      <c r="AO51" s="712">
        <f t="shared" si="71"/>
        <v>26.899999999994179</v>
      </c>
      <c r="AP51" s="712">
        <f t="shared" si="72"/>
        <v>0</v>
      </c>
      <c r="AQ51" s="712">
        <f t="shared" si="304"/>
        <v>0</v>
      </c>
      <c r="AR51" s="712">
        <f t="shared" si="305"/>
        <v>0</v>
      </c>
      <c r="AS51" s="712"/>
      <c r="AT51" s="712">
        <f ca="1">IF(B51&gt;Summary!$A$1,#N/A,AR51*MGtoAF)</f>
        <v>0</v>
      </c>
      <c r="AU51" s="712">
        <f>Sheet1!BG51+Sheet1!BH51+Sheet1!BI51-BC51</f>
        <v>0</v>
      </c>
      <c r="AV51" s="712">
        <f t="shared" si="306"/>
        <v>0</v>
      </c>
      <c r="AW51" s="712">
        <f>IF(Sheet1!EL51="FM",BC51,0)</f>
        <v>0</v>
      </c>
      <c r="AX51" s="712">
        <f t="shared" si="307"/>
        <v>0</v>
      </c>
      <c r="AY51" s="712">
        <f>IF(Sheet1!EL51="OTHER",BC51,0)</f>
        <v>0</v>
      </c>
      <c r="AZ51" s="712">
        <f t="shared" si="308"/>
        <v>0</v>
      </c>
      <c r="BA51" s="712">
        <f t="shared" si="309"/>
        <v>0</v>
      </c>
      <c r="BB51" s="712">
        <f t="shared" si="310"/>
        <v>0</v>
      </c>
      <c r="BC51" s="712">
        <f>IF(OR(Sheet1!EL51="FM", Sheet1!EL51="OTHER"),SUM(Sheet1!BG51:'Sheet1'!BI51),0)</f>
        <v>0</v>
      </c>
      <c r="BD51" s="697">
        <f>IF(AND($B51&gt;=$FL51,$B51&lt;=$FM51),MAX(AV51,Sheet1!EE51,0),MAX(AV51-(7/36)*$K51,0))</f>
        <v>0</v>
      </c>
      <c r="BE51" s="712">
        <f t="shared" si="311"/>
        <v>0</v>
      </c>
      <c r="BF51" s="697">
        <f t="shared" si="73"/>
        <v>0</v>
      </c>
      <c r="BG51" s="697">
        <f>IF(AND($O51&gt;0,Sheet1!EI51=1),(1-($O51-Sheet1!$L51)/$O51)*BB51,0)</f>
        <v>0</v>
      </c>
      <c r="BH51" s="697">
        <f>IF(AND(Sheet1!$L51=0,Sheet1!$L50=0, Calculation!BA51&lt;Sheet1!$EE51-0.1,Sheet1!$EE51=Sheet1!$EE50,Sheet1!$EE51=Sheet1!$EE52),Sheet1!$EE51,BB51-BG51)</f>
        <v>0</v>
      </c>
      <c r="BI51" s="712"/>
      <c r="BJ51" s="712"/>
      <c r="BK51" s="712">
        <f t="shared" si="312"/>
        <v>0</v>
      </c>
      <c r="BL51" s="712"/>
      <c r="BM51" s="712">
        <f ca="1">IF(B51&gt;Summary!$A$1,#N/A,BK51*MGtoAF)</f>
        <v>0</v>
      </c>
      <c r="BN51" s="712">
        <f>Sheet1!BC51+Sheet1!BD51+Sheet1!BE51+Sheet1!BF51-BW51-BX51</f>
        <v>0</v>
      </c>
      <c r="BO51" s="712">
        <f t="shared" si="313"/>
        <v>0</v>
      </c>
      <c r="BP51" s="712">
        <f>IF(Sheet1!EM51="FM",BX51,0)</f>
        <v>0</v>
      </c>
      <c r="BQ51" s="712">
        <f t="shared" si="314"/>
        <v>0</v>
      </c>
      <c r="BR51" s="712">
        <f>IF(Sheet1!EM51="OTHER",BX51,0)</f>
        <v>0</v>
      </c>
      <c r="BS51" s="712">
        <f t="shared" si="315"/>
        <v>0</v>
      </c>
      <c r="BT51" s="712">
        <f t="shared" si="316"/>
        <v>0</v>
      </c>
      <c r="BU51" s="712">
        <f t="shared" si="317"/>
        <v>0</v>
      </c>
      <c r="BV51" s="712">
        <f t="shared" si="318"/>
        <v>0</v>
      </c>
      <c r="BW51" s="712">
        <f>IF(Sheet1!EM51="CWA",SUM(Sheet1!BC51:'Sheet1'!BF51),0)</f>
        <v>0</v>
      </c>
      <c r="BX51" s="712">
        <f>IF(OR(Sheet1!EM51="FM", Sheet1!EM51="OTHER"),SUM(Sheet1!BC51:'Sheet1'!BF51),0)</f>
        <v>0</v>
      </c>
      <c r="BY51" s="697">
        <f>IF(AND($B51&gt;=$FL51,$B51&lt;=$FM51),MAX(BV51,Sheet1!EF51,0),MAX(BV51-(7/36)*$K51,0))</f>
        <v>0</v>
      </c>
      <c r="BZ51" s="712">
        <f t="shared" si="319"/>
        <v>0</v>
      </c>
      <c r="CA51" s="697">
        <f t="shared" si="74"/>
        <v>0</v>
      </c>
      <c r="CB51" s="697">
        <f>IF(AND($O51&gt;0,Sheet1!EJ51=1),(1-($O51-Sheet1!$L51)/$O51)*BV51,0)</f>
        <v>0</v>
      </c>
      <c r="CC51" s="697">
        <f>IF(AND(Sheet1!$L51=0,Sheet1!$L50=0, Calculation!BU51&lt;Sheet1!EF51-0.1,Sheet1!EF51=Sheet1!EF50,Sheet1!EF51=Sheet1!EF52),Sheet1!EF51,BV51-CB51)</f>
        <v>0</v>
      </c>
      <c r="CD51" s="697"/>
      <c r="CE51" s="712"/>
      <c r="CF51" s="712">
        <f t="shared" si="320"/>
        <v>0</v>
      </c>
      <c r="CG51" s="712"/>
      <c r="CH51" s="712">
        <f ca="1">IF(B51&gt;Summary!$A$1,#N/A,CF51*MGtoAF)</f>
        <v>0</v>
      </c>
      <c r="CI51" s="712">
        <f>Sheet1!BK51+Sheet1!BL51+Sheet1!BM51-Sheet1!EN51-CQ51</f>
        <v>0</v>
      </c>
      <c r="CJ51" s="712">
        <f t="shared" si="321"/>
        <v>0</v>
      </c>
      <c r="CK51" s="712">
        <f>IF(Sheet1!EN51="FM",CQ51,0)</f>
        <v>0</v>
      </c>
      <c r="CL51" s="712">
        <f t="shared" si="322"/>
        <v>0</v>
      </c>
      <c r="CM51" s="712">
        <f>IF(Sheet1!EN51="OTHER",CQ51,0)</f>
        <v>0</v>
      </c>
      <c r="CN51" s="712">
        <f t="shared" si="323"/>
        <v>0</v>
      </c>
      <c r="CO51" s="712">
        <f t="shared" si="324"/>
        <v>0</v>
      </c>
      <c r="CP51" s="712">
        <f t="shared" si="325"/>
        <v>0</v>
      </c>
      <c r="CQ51" s="712">
        <f>IF(OR(Sheet1!EN51="FM", Sheet1!EN51="OTHER"),SUM(Sheet1!BK51:'Sheet1'!BM51),0)</f>
        <v>0</v>
      </c>
      <c r="CR51" s="697">
        <f>IF(AND($B51&gt;=$FL51,$B51&lt;=$FM51),MAX($CJ51,Sheet1!EG51,0),MAX($CJ51-(7/36)*$K51,0))</f>
        <v>0</v>
      </c>
      <c r="CS51" s="712">
        <f t="shared" si="326"/>
        <v>0</v>
      </c>
      <c r="CT51" s="697">
        <f t="shared" si="75"/>
        <v>0</v>
      </c>
      <c r="CU51" s="697">
        <f>IF(AND($O51&gt;0,Sheet1!EK51=1),(1-($O51-Sheet1!$L51)/$O51)*CP51,0)</f>
        <v>0</v>
      </c>
      <c r="CV51" s="697">
        <f>IF(AND(Sheet1!$L51=0,Sheet1!$L50=0, Calculation!CO51&lt;Sheet1!$EG51-0.1,Sheet1!$EG51=Sheet1!$EG50,Sheet1!$EG51=Sheet1!$EG52),Sheet1!$EG51,CP51-CU51)</f>
        <v>0</v>
      </c>
      <c r="CW51" s="697">
        <f t="shared" si="33"/>
        <v>0</v>
      </c>
      <c r="CX51" s="712">
        <f t="shared" si="87"/>
        <v>0</v>
      </c>
      <c r="CY51" s="712">
        <f t="shared" si="327"/>
        <v>0</v>
      </c>
      <c r="CZ51" s="712">
        <f t="shared" si="328"/>
        <v>0</v>
      </c>
      <c r="DA51" s="712">
        <f ca="1">IF(B51&gt;Summary!$A$1,#N/A,CY51*MGtoAF)</f>
        <v>0</v>
      </c>
      <c r="DB51" s="712">
        <f t="shared" si="329"/>
        <v>0</v>
      </c>
      <c r="DC51" s="712">
        <f t="shared" si="330"/>
        <v>17</v>
      </c>
      <c r="DD51" s="712">
        <f>Sheet1!AB51-DC51</f>
        <v>0.10000000000582077</v>
      </c>
      <c r="DE51" s="712">
        <f t="shared" si="331"/>
        <v>5.8823529415188685E-3</v>
      </c>
      <c r="DF51" s="712">
        <f>(VLOOKUP(Sheet1!CY51,hhdcap_wcm,4)-(((VLOOKUP(Sheet1!CY51,hhdcap_wcm,3)-Sheet1!CY51)/(VLOOKUP(Sheet1!CY51,hhdcap_wcm,3)-VLOOKUP(Sheet1!CY51,hhdcap_wcm,1)))*(VLOOKUP(Sheet1!CY51,hhdcap_wcm,4)-VLOOKUP(Sheet1!CY51,hhdcap_wcm,2))))</f>
        <v>2403.8000000035336</v>
      </c>
      <c r="DG51" s="712">
        <f t="shared" si="332"/>
        <v>-731.36000000129161</v>
      </c>
      <c r="DH51" s="712">
        <f t="shared" si="333"/>
        <v>-368.81492687911827</v>
      </c>
      <c r="DI51" s="712">
        <f>Sheet1!DW51*AFtoMG</f>
        <v>0</v>
      </c>
      <c r="DJ51" s="712">
        <f>Sheet1!DX51*AFtoMG</f>
        <v>0</v>
      </c>
      <c r="DK51" s="712">
        <f>Sheet1!DY51*AFtoMG</f>
        <v>0</v>
      </c>
      <c r="DL51" s="712">
        <f>Sheet1!DZ51*AFtoMG</f>
        <v>0</v>
      </c>
      <c r="DM51" s="712">
        <f t="shared" si="334"/>
        <v>0</v>
      </c>
      <c r="DN51" s="712">
        <f t="shared" si="335"/>
        <v>0</v>
      </c>
      <c r="DO51" s="712">
        <f t="shared" si="336"/>
        <v>0</v>
      </c>
      <c r="DP51" s="712">
        <f t="shared" si="337"/>
        <v>0</v>
      </c>
      <c r="DQ51" s="712"/>
      <c r="DR51" s="697">
        <f>IF(OR(B51&lt;FL51,B51&gt;FM51),(MIN(AV51+BO51+CJ51+MAX(Sheet1!AA51+AG51-73,0),K51)),0)</f>
        <v>0</v>
      </c>
      <c r="DS51" s="712"/>
      <c r="DT51" s="712">
        <f t="shared" si="338"/>
        <v>0</v>
      </c>
      <c r="DU51" s="712"/>
      <c r="DV51" s="712">
        <f>Sheet1!ED51+Sheet1!EE51+Sheet1!EF51+Sheet1!EG51</f>
        <v>9.5</v>
      </c>
      <c r="DW51" s="712"/>
      <c r="DX51" s="697">
        <f t="shared" si="77"/>
        <v>0</v>
      </c>
      <c r="DY51" s="712">
        <f>IF(Sheet1!FN51=1,SUM('Calculations II'!AT51:BA51)+'Calculations II'!BC51+Sheet1!BU51+'Calculations II'!BE51+AF51,SUM('Calculations II'!AT51:BA51)+'Calculations II'!BC51+Sheet1!BU51+'Calculations II'!BE51+AF51)</f>
        <v>41.642672000000005</v>
      </c>
      <c r="DZ51" s="712">
        <f>Sheet1!AA51+Sheet1!AB51+'Calculations II'!BC51</f>
        <v>46.100000000005821</v>
      </c>
      <c r="EA51" s="712"/>
      <c r="EB51" s="712"/>
      <c r="EC51" s="712">
        <f t="shared" si="339"/>
        <v>40580</v>
      </c>
      <c r="ED51" s="712">
        <f t="shared" si="340"/>
        <v>0</v>
      </c>
      <c r="EE51" s="712">
        <f t="shared" si="341"/>
        <v>0</v>
      </c>
      <c r="EF51" s="712">
        <f>-(VLOOKUP(Sheet1!BQ51,Lookup!$B$4:$J$236,2)-VLOOKUP(Sheet1!BQ50,Lookup!$B$4:$J$236,2))/1000000</f>
        <v>-1.3525</v>
      </c>
      <c r="EG51" s="712">
        <f>-(VLOOKUP(Sheet1!BR51,Lookup!$B$4:$J$236,3)-VLOOKUP(Sheet1!BR50,Lookup!$B$4:$J$236,3))/1000000</f>
        <v>-1.08</v>
      </c>
      <c r="EH51" s="712">
        <f>-(VLOOKUP(Sheet1!BS51,Lookup!$B$4:$J$236,4)-VLOOKUP(Sheet1!BS50,Lookup!$B$4:$J$236,4))/1000000</f>
        <v>0</v>
      </c>
      <c r="EI51" s="697">
        <f t="shared" si="88"/>
        <v>-2.4325000000000001</v>
      </c>
      <c r="EJ51" s="712"/>
      <c r="EK51" s="712"/>
      <c r="EL51" s="712"/>
      <c r="EM51" s="712"/>
      <c r="EN51" s="712"/>
      <c r="EO51" s="712"/>
      <c r="EP51" s="712"/>
      <c r="EQ51" s="712"/>
      <c r="ER51" s="697">
        <v>0</v>
      </c>
      <c r="ES51" s="712"/>
      <c r="ET51" s="794" t="e">
        <f t="shared" si="342"/>
        <v>#N/A</v>
      </c>
      <c r="EU51" s="794" t="e">
        <f t="shared" si="79"/>
        <v>#VALUE!</v>
      </c>
      <c r="EV51" s="795" t="e">
        <f t="shared" si="48"/>
        <v>#VALUE!</v>
      </c>
      <c r="EW51" s="796" t="s">
        <v>757</v>
      </c>
      <c r="EX51" s="796" t="s">
        <v>757</v>
      </c>
      <c r="EY51" s="794">
        <v>0</v>
      </c>
      <c r="EZ51" s="794" t="e">
        <v>#N/A</v>
      </c>
      <c r="FA51" s="712"/>
      <c r="FB51" s="712"/>
      <c r="FC51" s="712"/>
      <c r="FD51" s="712"/>
      <c r="FE51" s="712">
        <f>O51+Sheet1!CO51</f>
        <v>46.100000000005821</v>
      </c>
      <c r="FF51" s="712">
        <f>IF(Sheet1!AA51+AG51&lt;=Calculation!N51,AG51,Calculation!N51-Sheet1!AA51)</f>
        <v>17.100000000005821</v>
      </c>
      <c r="FG51" s="712">
        <f>(Sheet1!BP51+Sheet1!BO51)/694.4</f>
        <v>1.7011808755760369</v>
      </c>
      <c r="FH51" s="712"/>
      <c r="FI51" s="712"/>
      <c r="FJ51" s="712"/>
      <c r="FK51" s="712"/>
      <c r="FL51" s="714">
        <f t="shared" si="89"/>
        <v>40753</v>
      </c>
      <c r="FM51" s="714">
        <f t="shared" si="90"/>
        <v>40851</v>
      </c>
      <c r="FN51" s="712"/>
      <c r="FO51" s="712"/>
      <c r="FP51" s="712"/>
      <c r="FQ51" s="712"/>
      <c r="FR51" s="712"/>
      <c r="FS51" s="725">
        <f t="shared" si="91"/>
        <v>40603</v>
      </c>
      <c r="FT51" s="714">
        <f t="shared" si="92"/>
        <v>40709</v>
      </c>
      <c r="FU51" s="712">
        <f t="shared" si="93"/>
        <v>6518.9048239895692</v>
      </c>
      <c r="FV51" s="714">
        <f t="shared" si="94"/>
        <v>40722</v>
      </c>
      <c r="FW51" s="712">
        <f t="shared" si="95"/>
        <v>3259.4524119947846</v>
      </c>
      <c r="FX51" s="725">
        <f t="shared" si="96"/>
        <v>40851</v>
      </c>
      <c r="FZ51" s="697">
        <f t="shared" si="49"/>
        <v>0</v>
      </c>
      <c r="GA51" s="712" t="str">
        <f t="shared" si="343"/>
        <v/>
      </c>
      <c r="GB51" s="712">
        <f t="shared" si="344"/>
        <v>0</v>
      </c>
      <c r="GC51" s="712" t="str">
        <f t="shared" si="345"/>
        <v/>
      </c>
      <c r="GD51" s="712">
        <f>IF(GA51="P",Lookup!$M$12,IF(GA51="PP",Lookup!$M$13,IF(GA51="PPP",Lookup!$M$14,IF(GA51="T",Lookup!$M$15,IF(GA51="TP",Lookup!$M$16,IF(GA51="TPP",Lookup!$M$17,IF(GA51="TPPP",Lookup!$M$18,0)))))))*FZ51</f>
        <v>0</v>
      </c>
      <c r="GE51" s="712">
        <f t="shared" si="346"/>
        <v>0</v>
      </c>
      <c r="GF51" s="712">
        <f t="shared" si="347"/>
        <v>0</v>
      </c>
      <c r="GG51" s="712">
        <f t="shared" si="348"/>
        <v>0</v>
      </c>
      <c r="GH51" s="712"/>
      <c r="GI51" s="712">
        <f t="shared" si="349"/>
        <v>0</v>
      </c>
      <c r="GJ51" s="712" t="str">
        <f t="shared" si="350"/>
        <v/>
      </c>
      <c r="GK51" s="712">
        <f>IF(GA51="P",Lookup!$N$12,IF(GA51="PP",Lookup!$N$13,IF(GA51="PPP",Lookup!$N$14,IF(GA51="T",Lookup!$N$15,IF(GA51="TP",Lookup!$N$16,IF(GA51="TPP",Lookup!$N$17,IF(GA51="TPPP",Lookup!$N$18,0)))))))*FZ51</f>
        <v>0</v>
      </c>
      <c r="GL51" s="712">
        <f t="shared" si="351"/>
        <v>0</v>
      </c>
      <c r="GM51" s="712">
        <f t="shared" si="352"/>
        <v>0</v>
      </c>
      <c r="GN51" s="712">
        <f t="shared" si="353"/>
        <v>0</v>
      </c>
      <c r="GO51" s="712"/>
      <c r="GP51" s="712">
        <f t="shared" si="354"/>
        <v>0</v>
      </c>
      <c r="GQ51" s="712" t="str">
        <f t="shared" si="355"/>
        <v/>
      </c>
      <c r="GR51" s="712">
        <f>IF(GA51="P",Lookup!$N$12,IF(GA51="PP",Lookup!$N$13,IF(GA51="PPP",Lookup!$N$14,IF(GA51="T",Lookup!$N$15,IF(GA51="TP",Lookup!$N$16,IF(GA51="TPP",Lookup!$N$17,IF(GA51="TPPP",Lookup!$N$18,0)))))))*FZ51</f>
        <v>0</v>
      </c>
      <c r="GS51" s="697">
        <f t="shared" si="83"/>
        <v>0</v>
      </c>
      <c r="GT51" s="712">
        <f t="shared" si="356"/>
        <v>0</v>
      </c>
      <c r="GU51" s="712">
        <f t="shared" si="357"/>
        <v>0</v>
      </c>
      <c r="GV51" s="712"/>
      <c r="GW51" s="712">
        <f t="shared" si="358"/>
        <v>0</v>
      </c>
      <c r="GX51" s="712" t="str">
        <f t="shared" si="359"/>
        <v/>
      </c>
      <c r="GY51" s="712">
        <f>IF(GA51="P",Lookup!$N$12,IF(GA51="PP",Lookup!$N$13,IF(GA51="PPP",Lookup!$N$14,IF(GA51="T",Lookup!$N$15,IF(GA51="TP",Lookup!$N$16,IF(GA51="TPP",Lookup!$N$17,IF(GA51="TPPP",Lookup!$N$18,0)))))))*FZ51</f>
        <v>0</v>
      </c>
      <c r="GZ51" s="697">
        <f t="shared" si="85"/>
        <v>0</v>
      </c>
      <c r="HA51" s="712">
        <f t="shared" si="360"/>
        <v>0</v>
      </c>
      <c r="HB51" s="712">
        <f t="shared" si="361"/>
        <v>0</v>
      </c>
      <c r="HC51" s="712"/>
    </row>
    <row r="52" spans="1:211">
      <c r="A52" s="773" t="s">
        <v>4</v>
      </c>
      <c r="B52" s="708">
        <v>40581</v>
      </c>
      <c r="C52" s="709">
        <v>0.5</v>
      </c>
      <c r="D52" s="675">
        <f t="shared" si="65"/>
        <v>300</v>
      </c>
      <c r="E52" s="675">
        <f t="shared" si="66"/>
        <v>250</v>
      </c>
      <c r="F52" s="710">
        <v>250</v>
      </c>
      <c r="G52" s="712">
        <f>DH52+Sheet1!CV52</f>
        <v>3138.8170033519896</v>
      </c>
      <c r="H52" s="712">
        <f t="shared" si="294"/>
        <v>1761.968110966726</v>
      </c>
      <c r="I52" s="711">
        <f>MAX(Sheet1!Z52-AJ52+(Sheet1!CW52-E52)*CFStoMGD,0)</f>
        <v>2609.9606666666664</v>
      </c>
      <c r="J52" s="720">
        <f>IF(AND(B52&gt;=Calculation!FS52,B52&lt;=Calculation!FT52),IF(Sheet1!CX52&gt;=Calculation!D52,64.64,0),MAX(Sheet1!Z52-AJ52+(Sheet1!CX52-D52)*CFStoMGD,0))</f>
        <v>1989.08</v>
      </c>
      <c r="K52" s="697">
        <f t="shared" si="67"/>
        <v>64.64</v>
      </c>
      <c r="L52" s="712">
        <f>Sheet1!AA52+Sheet1!AB52-Sheet1!L52+(Sheet1!CW52-F52)*CFStoMGD</f>
        <v>2608.2406666666757</v>
      </c>
      <c r="M52" s="712">
        <f t="shared" si="295"/>
        <v>2069.5099371860606</v>
      </c>
      <c r="N52" s="712">
        <f>IF(Sheet1!CW52&gt;=F52,MIN(73,MIN(MAX(L52,0),MAX(M52,0))),0)</f>
        <v>73</v>
      </c>
      <c r="O52" s="721">
        <f>Sheet1!AA52+Sheet1!AB52</f>
        <v>45.370000000009895</v>
      </c>
      <c r="P52" s="721">
        <f t="shared" si="296"/>
        <v>70.187390000015313</v>
      </c>
      <c r="Q52" s="712">
        <f>MIN(N52,Sheet1!AA52+AG52)</f>
        <v>45.370000000009895</v>
      </c>
      <c r="R52" s="712">
        <f t="shared" si="297"/>
        <v>0</v>
      </c>
      <c r="S52" s="721">
        <f>Sheet1!Y52*MGDtoCFS</f>
        <v>44.754709999999996</v>
      </c>
      <c r="T52" s="721">
        <f>Sheet1!Z52*MGDtoCFS</f>
        <v>26.902329999999999</v>
      </c>
      <c r="U52" s="721">
        <f>Sheet1!AA52*MGDtoCFS</f>
        <v>43.888390000015306</v>
      </c>
      <c r="V52" s="721">
        <f>Sheet1!AB52*MGDtoCFS</f>
        <v>26.298999999999999</v>
      </c>
      <c r="W52" s="721">
        <f>Sheet1!L52*MGDtoCFS</f>
        <v>72.244900000001124</v>
      </c>
      <c r="X52" s="697">
        <f t="shared" si="68"/>
        <v>0</v>
      </c>
      <c r="Y52" s="712">
        <f t="shared" si="298"/>
        <v>0</v>
      </c>
      <c r="Z52" s="712">
        <f t="shared" si="299"/>
        <v>0</v>
      </c>
      <c r="AA52" s="712">
        <f t="shared" si="300"/>
        <v>0</v>
      </c>
      <c r="AB52" s="712">
        <f>(VLOOKUP(Sheet1!CY52,hhdcap_wcm,4)-(((VLOOKUP(Sheet1!CY52,hhdcap_wcm,3)-Sheet1!CY52)/(VLOOKUP(Sheet1!CY52,hhdcap_wcm,3)-VLOOKUP(Sheet1!CY52,hhdcap_wcm,1)))*(VLOOKUP(Sheet1!CY52,hhdcap_wcm,4)-VLOOKUP(Sheet1!CY52,hhdcap_wcm,2))))</f>
        <v>2326.8000000034699</v>
      </c>
      <c r="AC52" s="712">
        <f t="shared" si="301"/>
        <v>-77.000000000063665</v>
      </c>
      <c r="AD52" s="712">
        <f t="shared" si="70"/>
        <v>0</v>
      </c>
      <c r="AE52" s="712">
        <f t="shared" si="302"/>
        <v>0</v>
      </c>
      <c r="AF52" s="712">
        <f>Sheet1!BA52+Sheet1!BB52+Sheet1!BN52+BT52</f>
        <v>17</v>
      </c>
      <c r="AG52" s="712">
        <f t="shared" si="303"/>
        <v>17</v>
      </c>
      <c r="AH52" s="712">
        <f>Sheet1!BA52+BT52</f>
        <v>0</v>
      </c>
      <c r="AI52" s="712">
        <f>Sheet1!BA52+Sheet1!BB52+BT52</f>
        <v>0</v>
      </c>
      <c r="AJ52" s="712">
        <f>IF((Sheet1!AA52+AG52+AX52+AZ52+BQ52+BS52+CL52+CN52)&lt;=N52,AG52+AX52+AZ52+BQ52+BS52+CL52+CN52,N52-Sheet1!AA52)</f>
        <v>17</v>
      </c>
      <c r="AK52" s="712">
        <f>IF(DR52&lt;K52,0,MAX(Sheet1!AA52+AG52-15/36*K52-N52,Sheet1!ED52,0))</f>
        <v>0</v>
      </c>
      <c r="AL52" s="712">
        <f>IF(OR(B52&gt;=FT52,B52&lt;FS52),0,15/36*K52-MAX(0,64.6-(137.6-(Sheet1!AA52+Sheet1!AB52))))</f>
        <v>0</v>
      </c>
      <c r="AM52" s="712">
        <f>Sheet1!CX52-110</f>
        <v>3266.5625</v>
      </c>
      <c r="AN52" s="712">
        <f>Sheet1!CW52-265</f>
        <v>4022.083333333333</v>
      </c>
      <c r="AO52" s="712">
        <f t="shared" si="71"/>
        <v>27.629999999990105</v>
      </c>
      <c r="AP52" s="712">
        <f t="shared" si="72"/>
        <v>0</v>
      </c>
      <c r="AQ52" s="712">
        <f t="shared" si="304"/>
        <v>0</v>
      </c>
      <c r="AR52" s="712">
        <f t="shared" si="305"/>
        <v>0</v>
      </c>
      <c r="AS52" s="712"/>
      <c r="AT52" s="712">
        <f ca="1">IF(B52&gt;Summary!$A$1,#N/A,AR52*MGtoAF)</f>
        <v>0</v>
      </c>
      <c r="AU52" s="712">
        <f>Sheet1!BG52+Sheet1!BH52+Sheet1!BI52-BC52</f>
        <v>0</v>
      </c>
      <c r="AV52" s="712">
        <f t="shared" si="306"/>
        <v>0</v>
      </c>
      <c r="AW52" s="712">
        <f>IF(Sheet1!EL52="FM",BC52,0)</f>
        <v>0</v>
      </c>
      <c r="AX52" s="712">
        <f t="shared" si="307"/>
        <v>0</v>
      </c>
      <c r="AY52" s="712">
        <f>IF(Sheet1!EL52="OTHER",BC52,0)</f>
        <v>0</v>
      </c>
      <c r="AZ52" s="712">
        <f t="shared" si="308"/>
        <v>0</v>
      </c>
      <c r="BA52" s="712">
        <f t="shared" si="309"/>
        <v>0</v>
      </c>
      <c r="BB52" s="712">
        <f t="shared" si="310"/>
        <v>0</v>
      </c>
      <c r="BC52" s="712">
        <f>IF(OR(Sheet1!EL52="FM", Sheet1!EL52="OTHER"),SUM(Sheet1!BG52:'Sheet1'!BI52),0)</f>
        <v>0</v>
      </c>
      <c r="BD52" s="697">
        <f>IF(AND($B52&gt;=$FL52,$B52&lt;=$FM52),MAX(AV52,Sheet1!EE52,0),MAX(AV52-(7/36)*$K52,0))</f>
        <v>0</v>
      </c>
      <c r="BE52" s="712">
        <f t="shared" si="311"/>
        <v>0</v>
      </c>
      <c r="BF52" s="697">
        <f t="shared" si="73"/>
        <v>0</v>
      </c>
      <c r="BG52" s="697">
        <f>IF(AND($O52&gt;0,Sheet1!EI52=1),(1-($O52-Sheet1!$L52)/$O52)*BB52,0)</f>
        <v>0</v>
      </c>
      <c r="BH52" s="697">
        <f>IF(AND(Sheet1!$L52=0,Sheet1!$L51=0, Calculation!BA52&lt;Sheet1!$EE52-0.1,Sheet1!$EE52=Sheet1!$EE51,Sheet1!$EE52=Sheet1!$EE53),Sheet1!$EE52,BB52-BG52)</f>
        <v>0</v>
      </c>
      <c r="BI52" s="712"/>
      <c r="BJ52" s="712"/>
      <c r="BK52" s="712">
        <f t="shared" si="312"/>
        <v>0</v>
      </c>
      <c r="BL52" s="712"/>
      <c r="BM52" s="712">
        <f ca="1">IF(B52&gt;Summary!$A$1,#N/A,BK52*MGtoAF)</f>
        <v>0</v>
      </c>
      <c r="BN52" s="712">
        <f>Sheet1!BC52+Sheet1!BD52+Sheet1!BE52+Sheet1!BF52-BW52-BX52</f>
        <v>0</v>
      </c>
      <c r="BO52" s="712">
        <f t="shared" si="313"/>
        <v>0</v>
      </c>
      <c r="BP52" s="712">
        <f>IF(Sheet1!EM52="FM",BX52,0)</f>
        <v>0</v>
      </c>
      <c r="BQ52" s="712">
        <f t="shared" si="314"/>
        <v>0</v>
      </c>
      <c r="BR52" s="712">
        <f>IF(Sheet1!EM52="OTHER",BX52,0)</f>
        <v>0</v>
      </c>
      <c r="BS52" s="712">
        <f t="shared" si="315"/>
        <v>0</v>
      </c>
      <c r="BT52" s="712">
        <f t="shared" si="316"/>
        <v>0</v>
      </c>
      <c r="BU52" s="712">
        <f t="shared" si="317"/>
        <v>0</v>
      </c>
      <c r="BV52" s="712">
        <f t="shared" si="318"/>
        <v>0</v>
      </c>
      <c r="BW52" s="712">
        <f>IF(Sheet1!EM52="CWA",SUM(Sheet1!BC52:'Sheet1'!BF52),0)</f>
        <v>0</v>
      </c>
      <c r="BX52" s="712">
        <f>IF(OR(Sheet1!EM52="FM", Sheet1!EM52="OTHER"),SUM(Sheet1!BC52:'Sheet1'!BF52),0)</f>
        <v>0</v>
      </c>
      <c r="BY52" s="697">
        <f>IF(AND($B52&gt;=$FL52,$B52&lt;=$FM52),MAX(BV52,Sheet1!EF52,0),MAX(BV52-(7/36)*$K52,0))</f>
        <v>0</v>
      </c>
      <c r="BZ52" s="712">
        <f t="shared" si="319"/>
        <v>0</v>
      </c>
      <c r="CA52" s="697">
        <f t="shared" si="74"/>
        <v>0</v>
      </c>
      <c r="CB52" s="697">
        <f>IF(AND($O52&gt;0,Sheet1!EJ52=1),(1-($O52-Sheet1!$L52)/$O52)*BV52,0)</f>
        <v>0</v>
      </c>
      <c r="CC52" s="697">
        <f>IF(AND(Sheet1!$L52=0,Sheet1!$L51=0, Calculation!BU52&lt;Sheet1!EF52-0.1,Sheet1!EF52=Sheet1!EF51,Sheet1!EF52=Sheet1!EF53),Sheet1!EF52,BV52-CB52)</f>
        <v>0</v>
      </c>
      <c r="CD52" s="697"/>
      <c r="CE52" s="712"/>
      <c r="CF52" s="712">
        <f t="shared" si="320"/>
        <v>0</v>
      </c>
      <c r="CG52" s="712"/>
      <c r="CH52" s="712">
        <f ca="1">IF(B52&gt;Summary!$A$1,#N/A,CF52*MGtoAF)</f>
        <v>0</v>
      </c>
      <c r="CI52" s="712">
        <f>Sheet1!BK52+Sheet1!BL52+Sheet1!BM52-Sheet1!EN52-CQ52</f>
        <v>0</v>
      </c>
      <c r="CJ52" s="712">
        <f t="shared" si="321"/>
        <v>0</v>
      </c>
      <c r="CK52" s="712">
        <f>IF(Sheet1!EN52="FM",CQ52,0)</f>
        <v>0</v>
      </c>
      <c r="CL52" s="712">
        <f t="shared" si="322"/>
        <v>0</v>
      </c>
      <c r="CM52" s="712">
        <f>IF(Sheet1!EN52="OTHER",CQ52,0)</f>
        <v>0</v>
      </c>
      <c r="CN52" s="712">
        <f t="shared" si="323"/>
        <v>0</v>
      </c>
      <c r="CO52" s="712">
        <f t="shared" si="324"/>
        <v>0</v>
      </c>
      <c r="CP52" s="712">
        <f t="shared" si="325"/>
        <v>0</v>
      </c>
      <c r="CQ52" s="712">
        <f>IF(OR(Sheet1!EN52="FM", Sheet1!EN52="OTHER"),SUM(Sheet1!BK52:'Sheet1'!BM52),0)</f>
        <v>0</v>
      </c>
      <c r="CR52" s="697">
        <f>IF(AND($B52&gt;=$FL52,$B52&lt;=$FM52),MAX($CJ52,Sheet1!EG52,0),MAX($CJ52-(7/36)*$K52,0))</f>
        <v>0</v>
      </c>
      <c r="CS52" s="712">
        <f t="shared" si="326"/>
        <v>0</v>
      </c>
      <c r="CT52" s="697">
        <f t="shared" si="75"/>
        <v>0</v>
      </c>
      <c r="CU52" s="697">
        <f>IF(AND($O52&gt;0,Sheet1!EK52=1),(1-($O52-Sheet1!$L52)/$O52)*CP52,0)</f>
        <v>0</v>
      </c>
      <c r="CV52" s="697">
        <f>IF(AND(Sheet1!$L52=0,Sheet1!$L51=0, Calculation!CO52&lt;Sheet1!$EG52-0.1,Sheet1!$EG52=Sheet1!$EG51,Sheet1!$EG52=Sheet1!$EG53),Sheet1!$EG52,CP52-CU52)</f>
        <v>0</v>
      </c>
      <c r="CW52" s="697">
        <f t="shared" si="33"/>
        <v>0</v>
      </c>
      <c r="CX52" s="712">
        <f t="shared" si="87"/>
        <v>0</v>
      </c>
      <c r="CY52" s="712">
        <f t="shared" si="327"/>
        <v>0</v>
      </c>
      <c r="CZ52" s="712">
        <f t="shared" si="328"/>
        <v>0</v>
      </c>
      <c r="DA52" s="712">
        <f ca="1">IF(B52&gt;Summary!$A$1,#N/A,CY52*MGtoAF)</f>
        <v>0</v>
      </c>
      <c r="DB52" s="712">
        <f t="shared" si="329"/>
        <v>0</v>
      </c>
      <c r="DC52" s="712">
        <f t="shared" si="330"/>
        <v>17</v>
      </c>
      <c r="DD52" s="712">
        <f>Sheet1!AB52-DC52</f>
        <v>0</v>
      </c>
      <c r="DE52" s="712">
        <f t="shared" si="331"/>
        <v>0</v>
      </c>
      <c r="DF52" s="712">
        <f>(VLOOKUP(Sheet1!CY52,hhdcap_wcm,4)-(((VLOOKUP(Sheet1!CY52,hhdcap_wcm,3)-Sheet1!CY52)/(VLOOKUP(Sheet1!CY52,hhdcap_wcm,3)-VLOOKUP(Sheet1!CY52,hhdcap_wcm,1)))*(VLOOKUP(Sheet1!CY52,hhdcap_wcm,4)-VLOOKUP(Sheet1!CY52,hhdcap_wcm,2))))</f>
        <v>2326.8000000034699</v>
      </c>
      <c r="DG52" s="712">
        <f t="shared" si="332"/>
        <v>-77.000000000063665</v>
      </c>
      <c r="DH52" s="712">
        <f t="shared" si="333"/>
        <v>-38.830055471539914</v>
      </c>
      <c r="DI52" s="712">
        <f>Sheet1!DW52*AFtoMG</f>
        <v>0</v>
      </c>
      <c r="DJ52" s="712">
        <f>Sheet1!DX52*AFtoMG</f>
        <v>0</v>
      </c>
      <c r="DK52" s="712">
        <f>Sheet1!DY52*AFtoMG</f>
        <v>0</v>
      </c>
      <c r="DL52" s="712">
        <f>Sheet1!DZ52*AFtoMG</f>
        <v>0</v>
      </c>
      <c r="DM52" s="712">
        <f t="shared" si="334"/>
        <v>0</v>
      </c>
      <c r="DN52" s="712">
        <f t="shared" si="335"/>
        <v>0</v>
      </c>
      <c r="DO52" s="712">
        <f t="shared" si="336"/>
        <v>0</v>
      </c>
      <c r="DP52" s="712">
        <f t="shared" si="337"/>
        <v>0</v>
      </c>
      <c r="DQ52" s="712"/>
      <c r="DR52" s="697">
        <f>IF(OR(B52&lt;FL52,B52&gt;FM52),(MIN(AV52+BO52+CJ52+MAX(Sheet1!AA52+AG52-73,0),K52)),0)</f>
        <v>0</v>
      </c>
      <c r="DS52" s="712"/>
      <c r="DT52" s="712">
        <f t="shared" si="338"/>
        <v>0</v>
      </c>
      <c r="DU52" s="712"/>
      <c r="DV52" s="712">
        <f>Sheet1!ED52+Sheet1!EE52+Sheet1!EF52+Sheet1!EG52</f>
        <v>10.5</v>
      </c>
      <c r="DW52" s="712"/>
      <c r="DX52" s="697">
        <f t="shared" si="77"/>
        <v>0</v>
      </c>
      <c r="DY52" s="712">
        <f>IF(Sheet1!FN52=1,SUM('Calculations II'!AT52:BA52)+'Calculations II'!BC52+Sheet1!BU52+'Calculations II'!BE52+AF52,SUM('Calculations II'!AT52:BA52)+'Calculations II'!BC52+Sheet1!BU52+'Calculations II'!BE52+AF52)</f>
        <v>44.006912</v>
      </c>
      <c r="DZ52" s="712">
        <f>Sheet1!AA52+Sheet1!AB52+'Calculations II'!BC52</f>
        <v>45.370000000009895</v>
      </c>
      <c r="EA52" s="712"/>
      <c r="EB52" s="712"/>
      <c r="EC52" s="712">
        <f t="shared" si="339"/>
        <v>40581</v>
      </c>
      <c r="ED52" s="712">
        <f t="shared" si="340"/>
        <v>0</v>
      </c>
      <c r="EE52" s="712">
        <f t="shared" si="341"/>
        <v>0</v>
      </c>
      <c r="EF52" s="712">
        <f>-(VLOOKUP(Sheet1!BQ52,Lookup!$B$4:$J$236,2)-VLOOKUP(Sheet1!BQ51,Lookup!$B$4:$J$236,2))/1000000</f>
        <v>-0.27050000000000002</v>
      </c>
      <c r="EG52" s="712">
        <f>-(VLOOKUP(Sheet1!BR52,Lookup!$B$4:$J$236,3)-VLOOKUP(Sheet1!BR51,Lookup!$B$4:$J$236,3))/1000000</f>
        <v>-0.27</v>
      </c>
      <c r="EH52" s="712">
        <f>-(VLOOKUP(Sheet1!BS52,Lookup!$B$4:$J$236,4)-VLOOKUP(Sheet1!BS51,Lookup!$B$4:$J$236,4))/1000000</f>
        <v>0</v>
      </c>
      <c r="EI52" s="697">
        <f t="shared" si="88"/>
        <v>-0.54049999999999998</v>
      </c>
      <c r="EJ52" s="712"/>
      <c r="EK52" s="712"/>
      <c r="EL52" s="712"/>
      <c r="EM52" s="712"/>
      <c r="EN52" s="712"/>
      <c r="EO52" s="712"/>
      <c r="EP52" s="712"/>
      <c r="EQ52" s="712"/>
      <c r="ER52" s="697">
        <v>0</v>
      </c>
      <c r="ES52" s="712"/>
      <c r="ET52" s="794" t="e">
        <f t="shared" si="342"/>
        <v>#N/A</v>
      </c>
      <c r="EU52" s="794" t="e">
        <f t="shared" si="79"/>
        <v>#VALUE!</v>
      </c>
      <c r="EV52" s="795" t="e">
        <f t="shared" si="48"/>
        <v>#VALUE!</v>
      </c>
      <c r="EW52" s="796" t="s">
        <v>757</v>
      </c>
      <c r="EX52" s="796" t="s">
        <v>757</v>
      </c>
      <c r="EY52" s="794">
        <v>0</v>
      </c>
      <c r="EZ52" s="794" t="e">
        <v>#N/A</v>
      </c>
      <c r="FA52" s="712"/>
      <c r="FB52" s="712"/>
      <c r="FC52" s="712"/>
      <c r="FD52" s="712"/>
      <c r="FE52" s="712">
        <f>O52+Sheet1!CO52</f>
        <v>45.370000000009895</v>
      </c>
      <c r="FF52" s="712">
        <f>IF(Sheet1!AA52+AG52&lt;=Calculation!N52,AG52,Calculation!N52-Sheet1!AA52)</f>
        <v>17</v>
      </c>
      <c r="FG52" s="712">
        <f>(Sheet1!BP52+Sheet1!BO52)/694.4</f>
        <v>1.8029953917050692</v>
      </c>
      <c r="FH52" s="712"/>
      <c r="FI52" s="712"/>
      <c r="FJ52" s="712"/>
      <c r="FK52" s="712"/>
      <c r="FL52" s="714">
        <f t="shared" si="89"/>
        <v>40753</v>
      </c>
      <c r="FM52" s="714">
        <f t="shared" si="90"/>
        <v>40851</v>
      </c>
      <c r="FN52" s="712"/>
      <c r="FO52" s="712"/>
      <c r="FP52" s="712"/>
      <c r="FQ52" s="712"/>
      <c r="FR52" s="712"/>
      <c r="FS52" s="725">
        <f t="shared" si="91"/>
        <v>40603</v>
      </c>
      <c r="FT52" s="714">
        <f t="shared" si="92"/>
        <v>40709</v>
      </c>
      <c r="FU52" s="712">
        <f t="shared" si="93"/>
        <v>6518.9048239895692</v>
      </c>
      <c r="FV52" s="714">
        <f t="shared" si="94"/>
        <v>40722</v>
      </c>
      <c r="FW52" s="712">
        <f t="shared" si="95"/>
        <v>3259.4524119947846</v>
      </c>
      <c r="FX52" s="725">
        <f t="shared" si="96"/>
        <v>40851</v>
      </c>
      <c r="FZ52" s="697">
        <f t="shared" si="49"/>
        <v>0</v>
      </c>
      <c r="GA52" s="712" t="str">
        <f t="shared" si="343"/>
        <v/>
      </c>
      <c r="GB52" s="712">
        <f t="shared" si="344"/>
        <v>0</v>
      </c>
      <c r="GC52" s="712" t="str">
        <f t="shared" si="345"/>
        <v/>
      </c>
      <c r="GD52" s="712">
        <f>IF(GA52="P",Lookup!$M$12,IF(GA52="PP",Lookup!$M$13,IF(GA52="PPP",Lookup!$M$14,IF(GA52="T",Lookup!$M$15,IF(GA52="TP",Lookup!$M$16,IF(GA52="TPP",Lookup!$M$17,IF(GA52="TPPP",Lookup!$M$18,0)))))))*FZ52</f>
        <v>0</v>
      </c>
      <c r="GE52" s="712">
        <f t="shared" si="346"/>
        <v>0</v>
      </c>
      <c r="GF52" s="712">
        <f t="shared" si="347"/>
        <v>0</v>
      </c>
      <c r="GG52" s="712">
        <f t="shared" si="348"/>
        <v>0</v>
      </c>
      <c r="GH52" s="712"/>
      <c r="GI52" s="712">
        <f t="shared" si="349"/>
        <v>0</v>
      </c>
      <c r="GJ52" s="712" t="str">
        <f t="shared" si="350"/>
        <v/>
      </c>
      <c r="GK52" s="712">
        <f>IF(GA52="P",Lookup!$N$12,IF(GA52="PP",Lookup!$N$13,IF(GA52="PPP",Lookup!$N$14,IF(GA52="T",Lookup!$N$15,IF(GA52="TP",Lookup!$N$16,IF(GA52="TPP",Lookup!$N$17,IF(GA52="TPPP",Lookup!$N$18,0)))))))*FZ52</f>
        <v>0</v>
      </c>
      <c r="GL52" s="712">
        <f t="shared" si="351"/>
        <v>0</v>
      </c>
      <c r="GM52" s="712">
        <f t="shared" si="352"/>
        <v>0</v>
      </c>
      <c r="GN52" s="712">
        <f t="shared" si="353"/>
        <v>0</v>
      </c>
      <c r="GO52" s="712"/>
      <c r="GP52" s="712">
        <f t="shared" si="354"/>
        <v>0</v>
      </c>
      <c r="GQ52" s="712" t="str">
        <f t="shared" si="355"/>
        <v/>
      </c>
      <c r="GR52" s="712">
        <f>IF(GA52="P",Lookup!$N$12,IF(GA52="PP",Lookup!$N$13,IF(GA52="PPP",Lookup!$N$14,IF(GA52="T",Lookup!$N$15,IF(GA52="TP",Lookup!$N$16,IF(GA52="TPP",Lookup!$N$17,IF(GA52="TPPP",Lookup!$N$18,0)))))))*FZ52</f>
        <v>0</v>
      </c>
      <c r="GS52" s="697">
        <f t="shared" si="83"/>
        <v>0</v>
      </c>
      <c r="GT52" s="712">
        <f t="shared" si="356"/>
        <v>0</v>
      </c>
      <c r="GU52" s="712">
        <f t="shared" si="357"/>
        <v>0</v>
      </c>
      <c r="GV52" s="712"/>
      <c r="GW52" s="712">
        <f t="shared" si="358"/>
        <v>0</v>
      </c>
      <c r="GX52" s="712" t="str">
        <f t="shared" si="359"/>
        <v/>
      </c>
      <c r="GY52" s="712">
        <f>IF(GA52="P",Lookup!$N$12,IF(GA52="PP",Lookup!$N$13,IF(GA52="PPP",Lookup!$N$14,IF(GA52="T",Lookup!$N$15,IF(GA52="TP",Lookup!$N$16,IF(GA52="TPP",Lookup!$N$17,IF(GA52="TPPP",Lookup!$N$18,0)))))))*FZ52</f>
        <v>0</v>
      </c>
      <c r="GZ52" s="697">
        <f t="shared" si="85"/>
        <v>0</v>
      </c>
      <c r="HA52" s="712">
        <f t="shared" si="360"/>
        <v>0</v>
      </c>
      <c r="HB52" s="712">
        <f t="shared" si="361"/>
        <v>0</v>
      </c>
      <c r="HC52" s="712"/>
    </row>
    <row r="53" spans="1:211">
      <c r="A53" s="773" t="s">
        <v>5</v>
      </c>
      <c r="B53" s="708">
        <v>40582</v>
      </c>
      <c r="C53" s="719">
        <v>0.5</v>
      </c>
      <c r="D53" s="675">
        <f t="shared" si="65"/>
        <v>300</v>
      </c>
      <c r="E53" s="675">
        <f t="shared" si="66"/>
        <v>250</v>
      </c>
      <c r="F53" s="710">
        <v>250</v>
      </c>
      <c r="G53" s="712">
        <f>DH53+Sheet1!CV53</f>
        <v>2858.2391504255529</v>
      </c>
      <c r="H53" s="712">
        <f t="shared" si="294"/>
        <v>1580.6025868350773</v>
      </c>
      <c r="I53" s="711">
        <f>MAX(Sheet1!Z53-AJ53+(Sheet1!CW53-E53)*CFStoMGD,0)</f>
        <v>2527.828</v>
      </c>
      <c r="J53" s="720">
        <f>IF(AND(B53&gt;=Calculation!FS53,B53&lt;=Calculation!FT53),IF(Sheet1!CX53&gt;=Calculation!D53,64.64,0),MAX(Sheet1!Z53-AJ53+(Sheet1!CX53-D53)*CFStoMGD,0))</f>
        <v>1697.7426666666668</v>
      </c>
      <c r="K53" s="697">
        <f t="shared" si="67"/>
        <v>64.64</v>
      </c>
      <c r="L53" s="712">
        <f>Sheet1!AA53+Sheet1!AB53-Sheet1!L53+(Sheet1!CW53-F53)*CFStoMGD</f>
        <v>2529.6080000000002</v>
      </c>
      <c r="M53" s="712">
        <f t="shared" si="295"/>
        <v>1884.5171025717791</v>
      </c>
      <c r="N53" s="712">
        <f>IF(Sheet1!CW53&gt;=F53,MIN(73,MIN(MAX(L53,0),MAX(M53,0))),0)</f>
        <v>73</v>
      </c>
      <c r="O53" s="721">
        <f>Sheet1!AA53+Sheet1!AB53</f>
        <v>47.129999999999995</v>
      </c>
      <c r="P53" s="721">
        <f t="shared" si="296"/>
        <v>72.910110000000003</v>
      </c>
      <c r="Q53" s="712">
        <f>MIN(N53,Sheet1!AA53+AG53)</f>
        <v>47.129999999999995</v>
      </c>
      <c r="R53" s="712">
        <f t="shared" si="297"/>
        <v>0</v>
      </c>
      <c r="S53" s="721">
        <f>Sheet1!Y53*MGDtoCFS</f>
        <v>45.172399999999996</v>
      </c>
      <c r="T53" s="721">
        <f>Sheet1!Z53*MGDtoCFS</f>
        <v>26.608399999999996</v>
      </c>
      <c r="U53" s="721">
        <f>Sheet1!AA53*MGDtoCFS</f>
        <v>46.30171</v>
      </c>
      <c r="V53" s="721">
        <f>Sheet1!AB53*MGDtoCFS</f>
        <v>26.608399999999996</v>
      </c>
      <c r="W53" s="721">
        <f>Sheet1!L53*MGDtoCFS</f>
        <v>70.156449999999992</v>
      </c>
      <c r="X53" s="697">
        <f t="shared" si="68"/>
        <v>0</v>
      </c>
      <c r="Y53" s="712">
        <f t="shared" si="298"/>
        <v>0</v>
      </c>
      <c r="Z53" s="712">
        <f t="shared" si="299"/>
        <v>0</v>
      </c>
      <c r="AA53" s="712">
        <f t="shared" si="300"/>
        <v>0</v>
      </c>
      <c r="AB53" s="712">
        <f>(VLOOKUP(Sheet1!CY53,hhdcap_wcm,4)-(((VLOOKUP(Sheet1!CY53,hhdcap_wcm,3)-Sheet1!CY53)/(VLOOKUP(Sheet1!CY53,hhdcap_wcm,3)-VLOOKUP(Sheet1!CY53,hhdcap_wcm,1)))*(VLOOKUP(Sheet1!CY53,hhdcap_wcm,4)-VLOOKUP(Sheet1!CY53,hhdcap_wcm,2))))</f>
        <v>2174.0000000032232</v>
      </c>
      <c r="AC53" s="712">
        <f t="shared" si="301"/>
        <v>-152.80000000024665</v>
      </c>
      <c r="AD53" s="712">
        <f t="shared" si="70"/>
        <v>0</v>
      </c>
      <c r="AE53" s="712">
        <f t="shared" si="302"/>
        <v>0</v>
      </c>
      <c r="AF53" s="712">
        <f>Sheet1!BA53+Sheet1!BB53+Sheet1!BN53+BT53</f>
        <v>17</v>
      </c>
      <c r="AG53" s="712">
        <f t="shared" si="303"/>
        <v>17.2</v>
      </c>
      <c r="AH53" s="712">
        <f>Sheet1!BA53+BT53</f>
        <v>0</v>
      </c>
      <c r="AI53" s="712">
        <f>Sheet1!BA53+Sheet1!BB53+BT53</f>
        <v>0</v>
      </c>
      <c r="AJ53" s="712">
        <f>IF((Sheet1!AA53+AG53+AX53+AZ53+BQ53+BS53+CL53+CN53)&lt;=N53,AG53+AX53+AZ53+BQ53+BS53+CL53+CN53,N53-Sheet1!AA53)</f>
        <v>17.2</v>
      </c>
      <c r="AK53" s="712">
        <f>IF(DR53&lt;K53,0,MAX(Sheet1!AA53+AG53-15/36*K53-N53,Sheet1!ED53,0))</f>
        <v>0</v>
      </c>
      <c r="AL53" s="712">
        <f>IF(OR(B53&gt;=FT53,B53&lt;FS53),0,15/36*K53-MAX(0,64.6-(137.6-(Sheet1!AA53+Sheet1!AB53))))</f>
        <v>0</v>
      </c>
      <c r="AM53" s="712">
        <f>Sheet1!CX53-110</f>
        <v>2816.4583333333335</v>
      </c>
      <c r="AN53" s="712">
        <f>Sheet1!CW53-265</f>
        <v>3895.625</v>
      </c>
      <c r="AO53" s="712">
        <f t="shared" si="71"/>
        <v>25.870000000000005</v>
      </c>
      <c r="AP53" s="712">
        <f t="shared" si="72"/>
        <v>0</v>
      </c>
      <c r="AQ53" s="712">
        <f t="shared" si="304"/>
        <v>0</v>
      </c>
      <c r="AR53" s="712">
        <f t="shared" si="305"/>
        <v>0</v>
      </c>
      <c r="AS53" s="712"/>
      <c r="AT53" s="712">
        <f ca="1">IF(B53&gt;Summary!$A$1,#N/A,AR53*MGtoAF)</f>
        <v>0</v>
      </c>
      <c r="AU53" s="712">
        <f>Sheet1!BG53+Sheet1!BH53+Sheet1!BI53-BC53</f>
        <v>0</v>
      </c>
      <c r="AV53" s="712">
        <f t="shared" si="306"/>
        <v>0</v>
      </c>
      <c r="AW53" s="712">
        <f>IF(Sheet1!EL53="FM",BC53,0)</f>
        <v>0</v>
      </c>
      <c r="AX53" s="712">
        <f t="shared" si="307"/>
        <v>0</v>
      </c>
      <c r="AY53" s="712">
        <f>IF(Sheet1!EL53="OTHER",BC53,0)</f>
        <v>0</v>
      </c>
      <c r="AZ53" s="712">
        <f t="shared" si="308"/>
        <v>0</v>
      </c>
      <c r="BA53" s="712">
        <f t="shared" si="309"/>
        <v>0</v>
      </c>
      <c r="BB53" s="712">
        <f t="shared" si="310"/>
        <v>0</v>
      </c>
      <c r="BC53" s="712">
        <f>IF(OR(Sheet1!EL53="FM", Sheet1!EL53="OTHER"),SUM(Sheet1!BG53:'Sheet1'!BI53),0)</f>
        <v>0</v>
      </c>
      <c r="BD53" s="697">
        <f>IF(AND($B53&gt;=$FL53,$B53&lt;=$FM53),MAX(AV53,Sheet1!EE53,0),MAX(AV53-(7/36)*$K53,0))</f>
        <v>0</v>
      </c>
      <c r="BE53" s="712">
        <f t="shared" si="311"/>
        <v>0</v>
      </c>
      <c r="BF53" s="697">
        <f t="shared" si="73"/>
        <v>0</v>
      </c>
      <c r="BG53" s="697">
        <f>IF(AND($O53&gt;0,Sheet1!EI53=1),(1-($O53-Sheet1!$L53)/$O53)*BB53,0)</f>
        <v>0</v>
      </c>
      <c r="BH53" s="697">
        <f>IF(AND(Sheet1!$L53=0,Sheet1!$L52=0, Calculation!BA53&lt;Sheet1!$EE53-0.1,Sheet1!$EE53=Sheet1!$EE52,Sheet1!$EE53=Sheet1!$EE54),Sheet1!$EE53,BB53-BG53)</f>
        <v>0</v>
      </c>
      <c r="BI53" s="712"/>
      <c r="BJ53" s="712"/>
      <c r="BK53" s="712">
        <f t="shared" si="312"/>
        <v>0</v>
      </c>
      <c r="BL53" s="712"/>
      <c r="BM53" s="712">
        <f ca="1">IF(B53&gt;Summary!$A$1,#N/A,BK53*MGtoAF)</f>
        <v>0</v>
      </c>
      <c r="BN53" s="712">
        <f>Sheet1!BC53+Sheet1!BD53+Sheet1!BE53+Sheet1!BF53-BW53-BX53</f>
        <v>0</v>
      </c>
      <c r="BO53" s="712">
        <f t="shared" si="313"/>
        <v>0</v>
      </c>
      <c r="BP53" s="712">
        <f>IF(Sheet1!EM53="FM",BX53,0)</f>
        <v>0</v>
      </c>
      <c r="BQ53" s="712">
        <f t="shared" si="314"/>
        <v>0</v>
      </c>
      <c r="BR53" s="712">
        <f>IF(Sheet1!EM53="OTHER",BX53,0)</f>
        <v>0</v>
      </c>
      <c r="BS53" s="712">
        <f t="shared" si="315"/>
        <v>0</v>
      </c>
      <c r="BT53" s="712">
        <f t="shared" si="316"/>
        <v>0</v>
      </c>
      <c r="BU53" s="712">
        <f t="shared" si="317"/>
        <v>0</v>
      </c>
      <c r="BV53" s="712">
        <f t="shared" si="318"/>
        <v>0</v>
      </c>
      <c r="BW53" s="712">
        <f>IF(Sheet1!EM53="CWA",SUM(Sheet1!BC53:'Sheet1'!BF53),0)</f>
        <v>0</v>
      </c>
      <c r="BX53" s="712">
        <f>IF(OR(Sheet1!EM53="FM", Sheet1!EM53="OTHER"),SUM(Sheet1!BC53:'Sheet1'!BF53),0)</f>
        <v>0</v>
      </c>
      <c r="BY53" s="697">
        <f>IF(AND($B53&gt;=$FL53,$B53&lt;=$FM53),MAX(BV53,Sheet1!EF53,0),MAX(BV53-(7/36)*$K53,0))</f>
        <v>0</v>
      </c>
      <c r="BZ53" s="712">
        <f t="shared" si="319"/>
        <v>0</v>
      </c>
      <c r="CA53" s="697">
        <f t="shared" si="74"/>
        <v>0</v>
      </c>
      <c r="CB53" s="697">
        <f>IF(AND($O53&gt;0,Sheet1!EJ53=1),(1-($O53-Sheet1!$L53)/$O53)*BV53,0)</f>
        <v>0</v>
      </c>
      <c r="CC53" s="697">
        <f>IF(AND(Sheet1!$L53=0,Sheet1!$L52=0, Calculation!BU53&lt;Sheet1!EF53-0.1,Sheet1!EF53=Sheet1!EF52,Sheet1!EF53=Sheet1!EF54),Sheet1!EF53,BV53-CB53)</f>
        <v>0</v>
      </c>
      <c r="CD53" s="697"/>
      <c r="CE53" s="712"/>
      <c r="CF53" s="712">
        <f t="shared" si="320"/>
        <v>0</v>
      </c>
      <c r="CG53" s="712"/>
      <c r="CH53" s="712">
        <f ca="1">IF(B53&gt;Summary!$A$1,#N/A,CF53*MGtoAF)</f>
        <v>0</v>
      </c>
      <c r="CI53" s="712">
        <f>Sheet1!BK53+Sheet1!BL53+Sheet1!BM53-Sheet1!EN53-CQ53</f>
        <v>0</v>
      </c>
      <c r="CJ53" s="712">
        <f t="shared" si="321"/>
        <v>0</v>
      </c>
      <c r="CK53" s="712">
        <f>IF(Sheet1!EN53="FM",CQ53,0)</f>
        <v>0</v>
      </c>
      <c r="CL53" s="712">
        <f t="shared" si="322"/>
        <v>0</v>
      </c>
      <c r="CM53" s="712">
        <f>IF(Sheet1!EN53="OTHER",CQ53,0)</f>
        <v>0</v>
      </c>
      <c r="CN53" s="712">
        <f t="shared" si="323"/>
        <v>0</v>
      </c>
      <c r="CO53" s="712">
        <f t="shared" si="324"/>
        <v>0</v>
      </c>
      <c r="CP53" s="712">
        <f t="shared" si="325"/>
        <v>0</v>
      </c>
      <c r="CQ53" s="712">
        <f>IF(OR(Sheet1!EN53="FM", Sheet1!EN53="OTHER"),SUM(Sheet1!BK53:'Sheet1'!BM53),0)</f>
        <v>0</v>
      </c>
      <c r="CR53" s="697">
        <f>IF(AND($B53&gt;=$FL53,$B53&lt;=$FM53),MAX($CJ53,Sheet1!EG53,0),MAX($CJ53-(7/36)*$K53,0))</f>
        <v>0</v>
      </c>
      <c r="CS53" s="712">
        <f t="shared" si="326"/>
        <v>0</v>
      </c>
      <c r="CT53" s="697">
        <f t="shared" si="75"/>
        <v>0</v>
      </c>
      <c r="CU53" s="697">
        <f>IF(AND($O53&gt;0,Sheet1!EK53=1),(1-($O53-Sheet1!$L53)/$O53)*CP53,0)</f>
        <v>0</v>
      </c>
      <c r="CV53" s="697">
        <f>IF(AND(Sheet1!$L53=0,Sheet1!$L52=0, Calculation!CO53&lt;Sheet1!$EG53-0.1,Sheet1!$EG53=Sheet1!$EG52,Sheet1!$EG53=Sheet1!$EG54),Sheet1!$EG53,CP53-CU53)</f>
        <v>0</v>
      </c>
      <c r="CW53" s="697">
        <f t="shared" si="33"/>
        <v>0</v>
      </c>
      <c r="CX53" s="712">
        <f t="shared" si="87"/>
        <v>0</v>
      </c>
      <c r="CY53" s="712">
        <f t="shared" si="327"/>
        <v>0</v>
      </c>
      <c r="CZ53" s="712">
        <f t="shared" si="328"/>
        <v>0</v>
      </c>
      <c r="DA53" s="712">
        <f ca="1">IF(B53&gt;Summary!$A$1,#N/A,CY53*MGtoAF)</f>
        <v>0</v>
      </c>
      <c r="DB53" s="712">
        <f t="shared" si="329"/>
        <v>0</v>
      </c>
      <c r="DC53" s="712">
        <f t="shared" si="330"/>
        <v>17</v>
      </c>
      <c r="DD53" s="712">
        <f>Sheet1!AB53-DC53</f>
        <v>0.19999999999999929</v>
      </c>
      <c r="DE53" s="712">
        <f t="shared" si="331"/>
        <v>1.1764705882352899E-2</v>
      </c>
      <c r="DF53" s="712">
        <f>(VLOOKUP(Sheet1!CY53,hhdcap_wcm,4)-(((VLOOKUP(Sheet1!CY53,hhdcap_wcm,3)-Sheet1!CY53)/(VLOOKUP(Sheet1!CY53,hhdcap_wcm,3)-VLOOKUP(Sheet1!CY53,hhdcap_wcm,1)))*(VLOOKUP(Sheet1!CY53,hhdcap_wcm,4)-VLOOKUP(Sheet1!CY53,hhdcap_wcm,2))))</f>
        <v>2174.0000000032232</v>
      </c>
      <c r="DG53" s="712">
        <f t="shared" si="332"/>
        <v>-152.80000000024665</v>
      </c>
      <c r="DH53" s="712">
        <f t="shared" si="333"/>
        <v>-77.054967221506118</v>
      </c>
      <c r="DI53" s="712">
        <f>Sheet1!DW53*AFtoMG</f>
        <v>0</v>
      </c>
      <c r="DJ53" s="712">
        <f>Sheet1!DX53*AFtoMG</f>
        <v>0</v>
      </c>
      <c r="DK53" s="712">
        <f>Sheet1!DY53*AFtoMG</f>
        <v>0</v>
      </c>
      <c r="DL53" s="712">
        <f>Sheet1!DZ53*AFtoMG</f>
        <v>0</v>
      </c>
      <c r="DM53" s="712">
        <f t="shared" si="334"/>
        <v>0</v>
      </c>
      <c r="DN53" s="712">
        <f t="shared" si="335"/>
        <v>0</v>
      </c>
      <c r="DO53" s="712">
        <f t="shared" si="336"/>
        <v>0</v>
      </c>
      <c r="DP53" s="712">
        <f t="shared" si="337"/>
        <v>0</v>
      </c>
      <c r="DQ53" s="712"/>
      <c r="DR53" s="697">
        <f>IF(OR(B53&lt;FL53,B53&gt;FM53),(MIN(AV53+BO53+CJ53+MAX(Sheet1!AA53+AG53-73,0),K53)),0)</f>
        <v>0</v>
      </c>
      <c r="DS53" s="712"/>
      <c r="DT53" s="712">
        <f t="shared" si="338"/>
        <v>0</v>
      </c>
      <c r="DU53" s="712"/>
      <c r="DV53" s="712">
        <f>Sheet1!ED53+Sheet1!EE53+Sheet1!EF53+Sheet1!EG53</f>
        <v>10.5</v>
      </c>
      <c r="DW53" s="712"/>
      <c r="DX53" s="697">
        <f t="shared" si="77"/>
        <v>0</v>
      </c>
      <c r="DY53" s="712">
        <f>IF(Sheet1!FN53=1,SUM('Calculations II'!AT53:BA53)+'Calculations II'!BC53+Sheet1!BU53+'Calculations II'!BE53+AF53,SUM('Calculations II'!AT53:BA53)+'Calculations II'!BC53+Sheet1!BU53+'Calculations II'!BE53+AF53)</f>
        <v>42.695328000000003</v>
      </c>
      <c r="DZ53" s="712">
        <f>Sheet1!AA53+Sheet1!AB53+'Calculations II'!BC53</f>
        <v>47.447375999999998</v>
      </c>
      <c r="EA53" s="712"/>
      <c r="EB53" s="712"/>
      <c r="EC53" s="712">
        <f t="shared" si="339"/>
        <v>40582</v>
      </c>
      <c r="ED53" s="712">
        <f t="shared" si="340"/>
        <v>0</v>
      </c>
      <c r="EE53" s="712">
        <f t="shared" si="341"/>
        <v>0</v>
      </c>
      <c r="EF53" s="712">
        <f>-(VLOOKUP(Sheet1!BQ53,Lookup!$B$4:$J$236,2)-VLOOKUP(Sheet1!BQ52,Lookup!$B$4:$J$236,2))/1000000</f>
        <v>0.27050000000000002</v>
      </c>
      <c r="EG53" s="712">
        <f>-(VLOOKUP(Sheet1!BR53,Lookup!$B$4:$J$236,3)-VLOOKUP(Sheet1!BR52,Lookup!$B$4:$J$236,3))/1000000</f>
        <v>0.27</v>
      </c>
      <c r="EH53" s="712">
        <f>-(VLOOKUP(Sheet1!BS53,Lookup!$B$4:$J$236,4)-VLOOKUP(Sheet1!BS52,Lookup!$B$4:$J$236,4))/1000000</f>
        <v>0</v>
      </c>
      <c r="EI53" s="697">
        <f t="shared" si="88"/>
        <v>0.54049999999999998</v>
      </c>
      <c r="EJ53" s="712"/>
      <c r="EK53" s="712"/>
      <c r="EL53" s="712"/>
      <c r="EM53" s="712"/>
      <c r="EN53" s="712"/>
      <c r="EO53" s="712"/>
      <c r="EP53" s="712"/>
      <c r="EQ53" s="712"/>
      <c r="ER53" s="697">
        <v>0</v>
      </c>
      <c r="ES53" s="712"/>
      <c r="ET53" s="794" t="e">
        <f t="shared" si="342"/>
        <v>#N/A</v>
      </c>
      <c r="EU53" s="794" t="e">
        <f t="shared" si="79"/>
        <v>#VALUE!</v>
      </c>
      <c r="EV53" s="795" t="e">
        <f t="shared" si="48"/>
        <v>#VALUE!</v>
      </c>
      <c r="EW53" s="796" t="s">
        <v>757</v>
      </c>
      <c r="EX53" s="796" t="s">
        <v>757</v>
      </c>
      <c r="EY53" s="794">
        <v>0</v>
      </c>
      <c r="EZ53" s="794" t="e">
        <v>#N/A</v>
      </c>
      <c r="FA53" s="712"/>
      <c r="FB53" s="712"/>
      <c r="FC53" s="712"/>
      <c r="FD53" s="712"/>
      <c r="FE53" s="712">
        <f>O53+Sheet1!CO53</f>
        <v>267.52999999999997</v>
      </c>
      <c r="FF53" s="712">
        <f>IF(Sheet1!AA53+AG53&lt;=Calculation!N53,AG53,Calculation!N53-Sheet1!AA53)</f>
        <v>17.2</v>
      </c>
      <c r="FG53" s="712">
        <f>(Sheet1!BP53+Sheet1!BO53)/694.4</f>
        <v>1.9652937788018434</v>
      </c>
      <c r="FH53" s="712"/>
      <c r="FI53" s="712"/>
      <c r="FJ53" s="712"/>
      <c r="FK53" s="712"/>
      <c r="FL53" s="714">
        <f t="shared" si="89"/>
        <v>40753</v>
      </c>
      <c r="FM53" s="714">
        <f t="shared" si="90"/>
        <v>40851</v>
      </c>
      <c r="FN53" s="712"/>
      <c r="FO53" s="712"/>
      <c r="FP53" s="712"/>
      <c r="FQ53" s="712"/>
      <c r="FR53" s="712"/>
      <c r="FS53" s="725">
        <f t="shared" si="91"/>
        <v>40603</v>
      </c>
      <c r="FT53" s="714">
        <f t="shared" si="92"/>
        <v>40709</v>
      </c>
      <c r="FU53" s="712">
        <f t="shared" si="93"/>
        <v>6518.9048239895692</v>
      </c>
      <c r="FV53" s="714">
        <f t="shared" si="94"/>
        <v>40722</v>
      </c>
      <c r="FW53" s="712">
        <f t="shared" si="95"/>
        <v>3259.4524119947846</v>
      </c>
      <c r="FX53" s="725">
        <f t="shared" si="96"/>
        <v>40851</v>
      </c>
      <c r="FZ53" s="697">
        <f t="shared" si="49"/>
        <v>0</v>
      </c>
      <c r="GA53" s="712" t="str">
        <f t="shared" si="343"/>
        <v/>
      </c>
      <c r="GB53" s="712">
        <f t="shared" si="344"/>
        <v>0</v>
      </c>
      <c r="GC53" s="712" t="str">
        <f t="shared" si="345"/>
        <v/>
      </c>
      <c r="GD53" s="712">
        <f>IF(GA53="P",Lookup!$M$12,IF(GA53="PP",Lookup!$M$13,IF(GA53="PPP",Lookup!$M$14,IF(GA53="T",Lookup!$M$15,IF(GA53="TP",Lookup!$M$16,IF(GA53="TPP",Lookup!$M$17,IF(GA53="TPPP",Lookup!$M$18,0)))))))*FZ53</f>
        <v>0</v>
      </c>
      <c r="GE53" s="712">
        <f t="shared" si="346"/>
        <v>0</v>
      </c>
      <c r="GF53" s="712">
        <f t="shared" si="347"/>
        <v>0</v>
      </c>
      <c r="GG53" s="712">
        <f t="shared" si="348"/>
        <v>0</v>
      </c>
      <c r="GH53" s="712"/>
      <c r="GI53" s="712">
        <f t="shared" si="349"/>
        <v>0</v>
      </c>
      <c r="GJ53" s="712" t="str">
        <f t="shared" si="350"/>
        <v/>
      </c>
      <c r="GK53" s="712">
        <f>IF(GA53="P",Lookup!$N$12,IF(GA53="PP",Lookup!$N$13,IF(GA53="PPP",Lookup!$N$14,IF(GA53="T",Lookup!$N$15,IF(GA53="TP",Lookup!$N$16,IF(GA53="TPP",Lookup!$N$17,IF(GA53="TPPP",Lookup!$N$18,0)))))))*FZ53</f>
        <v>0</v>
      </c>
      <c r="GL53" s="712">
        <f t="shared" si="351"/>
        <v>0</v>
      </c>
      <c r="GM53" s="712">
        <f t="shared" si="352"/>
        <v>0</v>
      </c>
      <c r="GN53" s="712">
        <f t="shared" si="353"/>
        <v>0</v>
      </c>
      <c r="GO53" s="712"/>
      <c r="GP53" s="712">
        <f t="shared" si="354"/>
        <v>0</v>
      </c>
      <c r="GQ53" s="712" t="str">
        <f t="shared" si="355"/>
        <v/>
      </c>
      <c r="GR53" s="712">
        <f>IF(GA53="P",Lookup!$N$12,IF(GA53="PP",Lookup!$N$13,IF(GA53="PPP",Lookup!$N$14,IF(GA53="T",Lookup!$N$15,IF(GA53="TP",Lookup!$N$16,IF(GA53="TPP",Lookup!$N$17,IF(GA53="TPPP",Lookup!$N$18,0)))))))*FZ53</f>
        <v>0</v>
      </c>
      <c r="GS53" s="697">
        <f t="shared" si="83"/>
        <v>0</v>
      </c>
      <c r="GT53" s="712">
        <f t="shared" si="356"/>
        <v>0</v>
      </c>
      <c r="GU53" s="712">
        <f t="shared" si="357"/>
        <v>0</v>
      </c>
      <c r="GV53" s="712"/>
      <c r="GW53" s="712">
        <f t="shared" si="358"/>
        <v>0</v>
      </c>
      <c r="GX53" s="712" t="str">
        <f t="shared" si="359"/>
        <v/>
      </c>
      <c r="GY53" s="712">
        <f>IF(GA53="P",Lookup!$N$12,IF(GA53="PP",Lookup!$N$13,IF(GA53="PPP",Lookup!$N$14,IF(GA53="T",Lookup!$N$15,IF(GA53="TP",Lookup!$N$16,IF(GA53="TPP",Lookup!$N$17,IF(GA53="TPPP",Lookup!$N$18,0)))))))*FZ53</f>
        <v>0</v>
      </c>
      <c r="GZ53" s="697">
        <f t="shared" si="85"/>
        <v>0</v>
      </c>
      <c r="HA53" s="712">
        <f t="shared" si="360"/>
        <v>0</v>
      </c>
      <c r="HB53" s="712">
        <f t="shared" si="361"/>
        <v>0</v>
      </c>
      <c r="HC53" s="712"/>
    </row>
    <row r="54" spans="1:211">
      <c r="A54" s="773" t="s">
        <v>6</v>
      </c>
      <c r="B54" s="708">
        <v>40583</v>
      </c>
      <c r="C54" s="709">
        <v>0.5</v>
      </c>
      <c r="D54" s="675">
        <f t="shared" si="65"/>
        <v>300</v>
      </c>
      <c r="E54" s="675">
        <f t="shared" si="66"/>
        <v>250</v>
      </c>
      <c r="F54" s="675">
        <v>250</v>
      </c>
      <c r="G54" s="712">
        <f>DH54+Sheet1!CV54</f>
        <v>2159.4592269583645</v>
      </c>
      <c r="H54" s="712">
        <f t="shared" si="294"/>
        <v>1128.9112443058868</v>
      </c>
      <c r="I54" s="711">
        <f>MAX(Sheet1!Z54-AJ54+(Sheet1!CW54-E54)*CFStoMGD,0)</f>
        <v>1965.6720000000021</v>
      </c>
      <c r="J54" s="720">
        <f>IF(AND(B54&gt;=Calculation!FS54,B54&lt;=Calculation!FT54),IF(Sheet1!CX54&gt;=Calculation!D54,64.64,0),MAX(Sheet1!Z54-AJ54+(Sheet1!CX54-D54)*CFStoMGD,0))</f>
        <v>1327.7560000000019</v>
      </c>
      <c r="K54" s="697">
        <f t="shared" si="67"/>
        <v>64.64</v>
      </c>
      <c r="L54" s="712">
        <f>Sheet1!AA54+Sheet1!AB54-Sheet1!L54+(Sheet1!CW54-F54)*CFStoMGD</f>
        <v>1965.5520000000049</v>
      </c>
      <c r="M54" s="712">
        <f t="shared" si="295"/>
        <v>1423.7919331920045</v>
      </c>
      <c r="N54" s="712">
        <f>IF(Sheet1!CW54&gt;=F54,MIN(73,MIN(MAX(L54,0),MAX(M54,0))),0)</f>
        <v>73</v>
      </c>
      <c r="O54" s="721">
        <f>Sheet1!AA54+Sheet1!AB54</f>
        <v>45.950000000004366</v>
      </c>
      <c r="P54" s="721">
        <f t="shared" si="296"/>
        <v>71.084650000006746</v>
      </c>
      <c r="Q54" s="712">
        <f>MIN(N54,Sheet1!AA54+AG54)</f>
        <v>45.950000000004366</v>
      </c>
      <c r="R54" s="712">
        <f t="shared" si="297"/>
        <v>0</v>
      </c>
      <c r="S54" s="721">
        <f>Sheet1!Y54*MGDtoCFS</f>
        <v>45.017699999999998</v>
      </c>
      <c r="T54" s="721">
        <f>Sheet1!Z54*MGDtoCFS</f>
        <v>26.298999999999999</v>
      </c>
      <c r="U54" s="721">
        <f>Sheet1!AA54*MGDtoCFS</f>
        <v>44.801120000009902</v>
      </c>
      <c r="V54" s="721">
        <f>Sheet1!AB54*MGDtoCFS</f>
        <v>26.283529999996848</v>
      </c>
      <c r="W54" s="721">
        <f>Sheet1!L54*MGDtoCFS</f>
        <v>71.254819999999214</v>
      </c>
      <c r="X54" s="697">
        <f t="shared" si="68"/>
        <v>0</v>
      </c>
      <c r="Y54" s="712">
        <f t="shared" si="298"/>
        <v>0</v>
      </c>
      <c r="Z54" s="712">
        <f t="shared" si="299"/>
        <v>0</v>
      </c>
      <c r="AA54" s="712">
        <f t="shared" si="300"/>
        <v>0</v>
      </c>
      <c r="AB54" s="712">
        <f>(VLOOKUP(Sheet1!CY54,hhdcap_wcm,4)-(((VLOOKUP(Sheet1!CY54,hhdcap_wcm,3)-Sheet1!CY54)/(VLOOKUP(Sheet1!CY54,hhdcap_wcm,3)-VLOOKUP(Sheet1!CY54,hhdcap_wcm,1)))*(VLOOKUP(Sheet1!CY54,hhdcap_wcm,4)-VLOOKUP(Sheet1!CY54,hhdcap_wcm,2))))</f>
        <v>1980.4600000028363</v>
      </c>
      <c r="AC54" s="712">
        <f t="shared" si="301"/>
        <v>-193.54000000038695</v>
      </c>
      <c r="AD54" s="712">
        <f t="shared" si="70"/>
        <v>0</v>
      </c>
      <c r="AE54" s="712">
        <f t="shared" si="302"/>
        <v>0</v>
      </c>
      <c r="AF54" s="712">
        <f>Sheet1!BA54+Sheet1!BB54+Sheet1!BN54+BT54</f>
        <v>17</v>
      </c>
      <c r="AG54" s="712">
        <f t="shared" si="303"/>
        <v>16.989999999997963</v>
      </c>
      <c r="AH54" s="712">
        <f>Sheet1!BA54+BT54</f>
        <v>0</v>
      </c>
      <c r="AI54" s="712">
        <f>Sheet1!BA54+Sheet1!BB54+BT54</f>
        <v>0</v>
      </c>
      <c r="AJ54" s="712">
        <f>IF((Sheet1!AA54+AG54+AX54+AZ54+BQ54+BS54+CL54+CN54)&lt;=N54,AG54+AX54+AZ54+BQ54+BS54+CL54+CN54,N54-Sheet1!AA54)</f>
        <v>16.989999999997963</v>
      </c>
      <c r="AK54" s="712">
        <f>IF(DR54&lt;K54,0,MAX(Sheet1!AA54+AG54-15/36*K54-N54,Sheet1!ED54,0))</f>
        <v>0</v>
      </c>
      <c r="AL54" s="712">
        <f>IF(OR(B54&gt;=FT54,B54&lt;FS54),0,15/36*K54-MAX(0,64.6-(137.6-(Sheet1!AA54+Sheet1!AB54))))</f>
        <v>0</v>
      </c>
      <c r="AM54" s="712">
        <f>Sheet1!CX54-110</f>
        <v>2244.0625</v>
      </c>
      <c r="AN54" s="712">
        <f>Sheet1!CW54-265</f>
        <v>3025.9375</v>
      </c>
      <c r="AO54" s="712">
        <f t="shared" si="71"/>
        <v>27.049999999995634</v>
      </c>
      <c r="AP54" s="712">
        <f t="shared" si="72"/>
        <v>0</v>
      </c>
      <c r="AQ54" s="712">
        <f t="shared" si="304"/>
        <v>0</v>
      </c>
      <c r="AR54" s="712">
        <f t="shared" si="305"/>
        <v>0</v>
      </c>
      <c r="AS54" s="712"/>
      <c r="AT54" s="712">
        <f ca="1">IF(B54&gt;Summary!$A$1,#N/A,AR54*MGtoAF)</f>
        <v>0</v>
      </c>
      <c r="AU54" s="712">
        <f>Sheet1!BG54+Sheet1!BH54+Sheet1!BI54-BC54</f>
        <v>0</v>
      </c>
      <c r="AV54" s="712">
        <f t="shared" si="306"/>
        <v>0</v>
      </c>
      <c r="AW54" s="712">
        <f>IF(Sheet1!EL54="FM",BC54,0)</f>
        <v>0</v>
      </c>
      <c r="AX54" s="712">
        <f t="shared" si="307"/>
        <v>0</v>
      </c>
      <c r="AY54" s="712">
        <f>IF(Sheet1!EL54="OTHER",BC54,0)</f>
        <v>0</v>
      </c>
      <c r="AZ54" s="712">
        <f t="shared" si="308"/>
        <v>0</v>
      </c>
      <c r="BA54" s="712">
        <f t="shared" si="309"/>
        <v>0</v>
      </c>
      <c r="BB54" s="712">
        <f t="shared" si="310"/>
        <v>0</v>
      </c>
      <c r="BC54" s="712">
        <f>IF(OR(Sheet1!EL54="FM", Sheet1!EL54="OTHER"),SUM(Sheet1!BG54:'Sheet1'!BI54),0)</f>
        <v>0</v>
      </c>
      <c r="BD54" s="697">
        <f>IF(AND($B54&gt;=$FL54,$B54&lt;=$FM54),MAX(AV54,Sheet1!EE54,0),MAX(AV54-(7/36)*$K54,0))</f>
        <v>0</v>
      </c>
      <c r="BE54" s="712">
        <f t="shared" si="311"/>
        <v>0</v>
      </c>
      <c r="BF54" s="697">
        <f t="shared" si="73"/>
        <v>0</v>
      </c>
      <c r="BG54" s="697">
        <f>IF(AND($O54&gt;0,Sheet1!EI54=1),(1-($O54-Sheet1!$L54)/$O54)*BB54,0)</f>
        <v>0</v>
      </c>
      <c r="BH54" s="697">
        <f>IF(AND(Sheet1!$L54=0,Sheet1!$L53=0, Calculation!BA54&lt;Sheet1!$EE54-0.1,Sheet1!$EE54=Sheet1!$EE53,Sheet1!$EE54=Sheet1!$EE55),Sheet1!$EE54,BB54-BG54)</f>
        <v>0</v>
      </c>
      <c r="BI54" s="712"/>
      <c r="BJ54" s="712"/>
      <c r="BK54" s="712">
        <f t="shared" si="312"/>
        <v>0</v>
      </c>
      <c r="BL54" s="712"/>
      <c r="BM54" s="712">
        <f ca="1">IF(B54&gt;Summary!$A$1,#N/A,BK54*MGtoAF)</f>
        <v>0</v>
      </c>
      <c r="BN54" s="712">
        <f>Sheet1!BC54+Sheet1!BD54+Sheet1!BE54+Sheet1!BF54-BW54-BX54</f>
        <v>0</v>
      </c>
      <c r="BO54" s="712">
        <f t="shared" si="313"/>
        <v>0</v>
      </c>
      <c r="BP54" s="712">
        <f>IF(Sheet1!EM54="FM",BX54,0)</f>
        <v>0</v>
      </c>
      <c r="BQ54" s="712">
        <f t="shared" si="314"/>
        <v>0</v>
      </c>
      <c r="BR54" s="712">
        <f>IF(Sheet1!EM54="OTHER",BX54,0)</f>
        <v>0</v>
      </c>
      <c r="BS54" s="712">
        <f t="shared" si="315"/>
        <v>0</v>
      </c>
      <c r="BT54" s="712">
        <f t="shared" si="316"/>
        <v>0</v>
      </c>
      <c r="BU54" s="712">
        <f t="shared" si="317"/>
        <v>0</v>
      </c>
      <c r="BV54" s="712">
        <f t="shared" si="318"/>
        <v>0</v>
      </c>
      <c r="BW54" s="712">
        <f>IF(Sheet1!EM54="CWA",SUM(Sheet1!BC54:'Sheet1'!BF54),0)</f>
        <v>0</v>
      </c>
      <c r="BX54" s="712">
        <f>IF(OR(Sheet1!EM54="FM", Sheet1!EM54="OTHER"),SUM(Sheet1!BC54:'Sheet1'!BF54),0)</f>
        <v>0</v>
      </c>
      <c r="BY54" s="697">
        <f>IF(AND($B54&gt;=$FL54,$B54&lt;=$FM54),MAX(BV54,Sheet1!EF54,0),MAX(BV54-(7/36)*$K54,0))</f>
        <v>0</v>
      </c>
      <c r="BZ54" s="712">
        <f t="shared" si="319"/>
        <v>0</v>
      </c>
      <c r="CA54" s="697">
        <f t="shared" si="74"/>
        <v>0</v>
      </c>
      <c r="CB54" s="697">
        <f>IF(AND($O54&gt;0,Sheet1!EJ54=1),(1-($O54-Sheet1!$L54)/$O54)*BV54,0)</f>
        <v>0</v>
      </c>
      <c r="CC54" s="697">
        <f>IF(AND(Sheet1!$L54=0,Sheet1!$L53=0, Calculation!BU54&lt;Sheet1!EF54-0.1,Sheet1!EF54=Sheet1!EF53,Sheet1!EF54=Sheet1!EF55),Sheet1!EF54,BV54-CB54)</f>
        <v>0</v>
      </c>
      <c r="CD54" s="697"/>
      <c r="CE54" s="712"/>
      <c r="CF54" s="712">
        <f t="shared" si="320"/>
        <v>0</v>
      </c>
      <c r="CG54" s="712"/>
      <c r="CH54" s="712">
        <f ca="1">IF(B54&gt;Summary!$A$1,#N/A,CF54*MGtoAF)</f>
        <v>0</v>
      </c>
      <c r="CI54" s="712">
        <f>Sheet1!BK54+Sheet1!BL54+Sheet1!BM54-Sheet1!EN54-CQ54</f>
        <v>0</v>
      </c>
      <c r="CJ54" s="712">
        <f t="shared" si="321"/>
        <v>0</v>
      </c>
      <c r="CK54" s="712">
        <f>IF(Sheet1!EN54="FM",CQ54,0)</f>
        <v>0</v>
      </c>
      <c r="CL54" s="712">
        <f t="shared" si="322"/>
        <v>0</v>
      </c>
      <c r="CM54" s="712">
        <f>IF(Sheet1!EN54="OTHER",CQ54,0)</f>
        <v>0</v>
      </c>
      <c r="CN54" s="712">
        <f t="shared" si="323"/>
        <v>0</v>
      </c>
      <c r="CO54" s="712">
        <f t="shared" si="324"/>
        <v>0</v>
      </c>
      <c r="CP54" s="712">
        <f t="shared" si="325"/>
        <v>0</v>
      </c>
      <c r="CQ54" s="712">
        <f>IF(OR(Sheet1!EN54="FM", Sheet1!EN54="OTHER"),SUM(Sheet1!BK54:'Sheet1'!BM54),0)</f>
        <v>0</v>
      </c>
      <c r="CR54" s="697">
        <f>IF(AND($B54&gt;=$FL54,$B54&lt;=$FM54),MAX($CJ54,Sheet1!EG54,0),MAX($CJ54-(7/36)*$K54,0))</f>
        <v>0</v>
      </c>
      <c r="CS54" s="712">
        <f t="shared" si="326"/>
        <v>0</v>
      </c>
      <c r="CT54" s="697">
        <f t="shared" si="75"/>
        <v>0</v>
      </c>
      <c r="CU54" s="697">
        <f>IF(AND($O54&gt;0,Sheet1!EK54=1),(1-($O54-Sheet1!$L54)/$O54)*CP54,0)</f>
        <v>0</v>
      </c>
      <c r="CV54" s="697">
        <f>IF(AND(Sheet1!$L54=0,Sheet1!$L53=0, Calculation!CO54&lt;Sheet1!$EG54-0.1,Sheet1!$EG54=Sheet1!$EG53,Sheet1!$EG54=Sheet1!$EG55),Sheet1!$EG54,CP54-CU54)</f>
        <v>0</v>
      </c>
      <c r="CW54" s="697">
        <f t="shared" si="33"/>
        <v>0</v>
      </c>
      <c r="CX54" s="712">
        <f t="shared" si="87"/>
        <v>0</v>
      </c>
      <c r="CY54" s="712">
        <f t="shared" si="327"/>
        <v>0</v>
      </c>
      <c r="CZ54" s="712">
        <f t="shared" si="328"/>
        <v>0</v>
      </c>
      <c r="DA54" s="712">
        <f ca="1">IF(B54&gt;Summary!$A$1,#N/A,CY54*MGtoAF)</f>
        <v>0</v>
      </c>
      <c r="DB54" s="712">
        <f t="shared" si="329"/>
        <v>0</v>
      </c>
      <c r="DC54" s="712">
        <f t="shared" si="330"/>
        <v>17</v>
      </c>
      <c r="DD54" s="712">
        <f>Sheet1!AB54-DC54</f>
        <v>-1.0000000002037268E-2</v>
      </c>
      <c r="DE54" s="712">
        <f t="shared" si="331"/>
        <v>-5.8823529423748637E-4</v>
      </c>
      <c r="DF54" s="712">
        <f>(VLOOKUP(Sheet1!CY54,hhdcap_wcm,4)-(((VLOOKUP(Sheet1!CY54,hhdcap_wcm,3)-Sheet1!CY54)/(VLOOKUP(Sheet1!CY54,hhdcap_wcm,3)-VLOOKUP(Sheet1!CY54,hhdcap_wcm,1)))*(VLOOKUP(Sheet1!CY54,hhdcap_wcm,4)-VLOOKUP(Sheet1!CY54,hhdcap_wcm,2))))</f>
        <v>1980.4600000028363</v>
      </c>
      <c r="DG54" s="712">
        <f t="shared" si="332"/>
        <v>-193.54000000038695</v>
      </c>
      <c r="DH54" s="712">
        <f t="shared" si="333"/>
        <v>-97.599596571047371</v>
      </c>
      <c r="DI54" s="712">
        <f>Sheet1!DW54*AFtoMG</f>
        <v>0</v>
      </c>
      <c r="DJ54" s="712">
        <f>Sheet1!DX54*AFtoMG</f>
        <v>0</v>
      </c>
      <c r="DK54" s="712">
        <f>Sheet1!DY54*AFtoMG</f>
        <v>0</v>
      </c>
      <c r="DL54" s="712">
        <f>Sheet1!DZ54*AFtoMG</f>
        <v>0</v>
      </c>
      <c r="DM54" s="712">
        <f t="shared" si="334"/>
        <v>0</v>
      </c>
      <c r="DN54" s="712">
        <f t="shared" si="335"/>
        <v>0</v>
      </c>
      <c r="DO54" s="712">
        <f t="shared" si="336"/>
        <v>0</v>
      </c>
      <c r="DP54" s="712">
        <f t="shared" si="337"/>
        <v>0</v>
      </c>
      <c r="DQ54" s="712"/>
      <c r="DR54" s="697">
        <f>IF(OR(B54&lt;FL54,B54&gt;FM54),(MIN(AV54+BO54+CJ54+MAX(Sheet1!AA54+AG54-73,0),K54)),0)</f>
        <v>0</v>
      </c>
      <c r="DS54" s="712"/>
      <c r="DT54" s="712">
        <f t="shared" si="338"/>
        <v>0</v>
      </c>
      <c r="DU54" s="712"/>
      <c r="DV54" s="712">
        <f>Sheet1!ED54+Sheet1!EE54+Sheet1!EF54+Sheet1!EG54</f>
        <v>10.5</v>
      </c>
      <c r="DW54" s="712"/>
      <c r="DX54" s="697">
        <f t="shared" si="77"/>
        <v>0</v>
      </c>
      <c r="DY54" s="712">
        <f>IF(Sheet1!FN54=1,SUM('Calculations II'!AT54:BA54)+'Calculations II'!BC54+Sheet1!BU54+'Calculations II'!BE54+AF54,SUM('Calculations II'!AT54:BA54)+'Calculations II'!BC54+Sheet1!BU54+'Calculations II'!BE54+AF54)</f>
        <v>43.519615999999999</v>
      </c>
      <c r="DZ54" s="712">
        <f>Sheet1!AA54+Sheet1!AB54+'Calculations II'!BC54</f>
        <v>46.042736000004368</v>
      </c>
      <c r="EA54" s="712"/>
      <c r="EB54" s="712"/>
      <c r="EC54" s="712">
        <f t="shared" si="339"/>
        <v>40583</v>
      </c>
      <c r="ED54" s="712">
        <f t="shared" si="340"/>
        <v>0</v>
      </c>
      <c r="EE54" s="712">
        <f t="shared" si="341"/>
        <v>0</v>
      </c>
      <c r="EF54" s="712">
        <f>-(VLOOKUP(Sheet1!BQ54,Lookup!$B$4:$J$236,2)-VLOOKUP(Sheet1!BQ53,Lookup!$B$4:$J$236,2))/1000000</f>
        <v>-0.54149999999999998</v>
      </c>
      <c r="EG54" s="712">
        <f>-(VLOOKUP(Sheet1!BR54,Lookup!$B$4:$J$236,3)-VLOOKUP(Sheet1!BR53,Lookup!$B$4:$J$236,3))/1000000</f>
        <v>-0.54</v>
      </c>
      <c r="EH54" s="712">
        <f>-(VLOOKUP(Sheet1!BS54,Lookup!$B$4:$J$236,4)-VLOOKUP(Sheet1!BS53,Lookup!$B$4:$J$236,4))/1000000</f>
        <v>0</v>
      </c>
      <c r="EI54" s="697">
        <f t="shared" si="88"/>
        <v>-1.0815000000000001</v>
      </c>
      <c r="EJ54" s="712"/>
      <c r="EK54" s="712"/>
      <c r="EL54" s="712"/>
      <c r="EM54" s="712"/>
      <c r="EN54" s="712"/>
      <c r="EO54" s="712"/>
      <c r="EP54" s="712"/>
      <c r="EQ54" s="712"/>
      <c r="ER54" s="697">
        <v>0</v>
      </c>
      <c r="ES54" s="712"/>
      <c r="ET54" s="794" t="e">
        <f t="shared" si="342"/>
        <v>#N/A</v>
      </c>
      <c r="EU54" s="794" t="e">
        <f t="shared" si="79"/>
        <v>#VALUE!</v>
      </c>
      <c r="EV54" s="795" t="e">
        <f t="shared" si="48"/>
        <v>#VALUE!</v>
      </c>
      <c r="EW54" s="796" t="s">
        <v>757</v>
      </c>
      <c r="EX54" s="796" t="s">
        <v>757</v>
      </c>
      <c r="EY54" s="794">
        <v>0</v>
      </c>
      <c r="EZ54" s="794" t="e">
        <v>#N/A</v>
      </c>
      <c r="FA54" s="712"/>
      <c r="FB54" s="712"/>
      <c r="FC54" s="712"/>
      <c r="FD54" s="712"/>
      <c r="FE54" s="712">
        <f>O54+Sheet1!CO54</f>
        <v>110.35000000000437</v>
      </c>
      <c r="FF54" s="712">
        <f>IF(Sheet1!AA54+AG54&lt;=Calculation!N54,AG54,Calculation!N54-Sheet1!AA54)</f>
        <v>16.989999999997963</v>
      </c>
      <c r="FG54" s="712">
        <f>(Sheet1!BP54+Sheet1!BO54)/694.4</f>
        <v>1.316820276497696</v>
      </c>
      <c r="FH54" s="712"/>
      <c r="FI54" s="712"/>
      <c r="FJ54" s="712"/>
      <c r="FK54" s="712"/>
      <c r="FL54" s="714">
        <f t="shared" si="89"/>
        <v>40753</v>
      </c>
      <c r="FM54" s="714">
        <f t="shared" si="90"/>
        <v>40851</v>
      </c>
      <c r="FN54" s="712"/>
      <c r="FO54" s="712"/>
      <c r="FP54" s="712"/>
      <c r="FQ54" s="712"/>
      <c r="FR54" s="712"/>
      <c r="FS54" s="725">
        <f t="shared" si="91"/>
        <v>40603</v>
      </c>
      <c r="FT54" s="714">
        <f t="shared" si="92"/>
        <v>40709</v>
      </c>
      <c r="FU54" s="712">
        <f t="shared" si="93"/>
        <v>6518.9048239895692</v>
      </c>
      <c r="FV54" s="714">
        <f t="shared" si="94"/>
        <v>40722</v>
      </c>
      <c r="FW54" s="712">
        <f t="shared" si="95"/>
        <v>3259.4524119947846</v>
      </c>
      <c r="FX54" s="725">
        <f t="shared" si="96"/>
        <v>40851</v>
      </c>
      <c r="FZ54" s="697">
        <f t="shared" si="49"/>
        <v>0</v>
      </c>
      <c r="GA54" s="712" t="str">
        <f t="shared" si="343"/>
        <v/>
      </c>
      <c r="GB54" s="712">
        <f t="shared" si="344"/>
        <v>0</v>
      </c>
      <c r="GC54" s="712" t="str">
        <f t="shared" si="345"/>
        <v/>
      </c>
      <c r="GD54" s="712">
        <f>IF(GA54="P",Lookup!$M$12,IF(GA54="PP",Lookup!$M$13,IF(GA54="PPP",Lookup!$M$14,IF(GA54="T",Lookup!$M$15,IF(GA54="TP",Lookup!$M$16,IF(GA54="TPP",Lookup!$M$17,IF(GA54="TPPP",Lookup!$M$18,0)))))))*FZ54</f>
        <v>0</v>
      </c>
      <c r="GE54" s="712">
        <f t="shared" si="346"/>
        <v>0</v>
      </c>
      <c r="GF54" s="712">
        <f t="shared" si="347"/>
        <v>0</v>
      </c>
      <c r="GG54" s="712">
        <f t="shared" si="348"/>
        <v>0</v>
      </c>
      <c r="GH54" s="712"/>
      <c r="GI54" s="712">
        <f t="shared" si="349"/>
        <v>0</v>
      </c>
      <c r="GJ54" s="712" t="str">
        <f t="shared" si="350"/>
        <v/>
      </c>
      <c r="GK54" s="712">
        <f>IF(GA54="P",Lookup!$N$12,IF(GA54="PP",Lookup!$N$13,IF(GA54="PPP",Lookup!$N$14,IF(GA54="T",Lookup!$N$15,IF(GA54="TP",Lookup!$N$16,IF(GA54="TPP",Lookup!$N$17,IF(GA54="TPPP",Lookup!$N$18,0)))))))*FZ54</f>
        <v>0</v>
      </c>
      <c r="GL54" s="712">
        <f t="shared" si="351"/>
        <v>0</v>
      </c>
      <c r="GM54" s="712">
        <f t="shared" si="352"/>
        <v>0</v>
      </c>
      <c r="GN54" s="712">
        <f t="shared" si="353"/>
        <v>0</v>
      </c>
      <c r="GO54" s="712"/>
      <c r="GP54" s="712">
        <f t="shared" si="354"/>
        <v>0</v>
      </c>
      <c r="GQ54" s="712" t="str">
        <f t="shared" si="355"/>
        <v/>
      </c>
      <c r="GR54" s="712">
        <f>IF(GA54="P",Lookup!$N$12,IF(GA54="PP",Lookup!$N$13,IF(GA54="PPP",Lookup!$N$14,IF(GA54="T",Lookup!$N$15,IF(GA54="TP",Lookup!$N$16,IF(GA54="TPP",Lookup!$N$17,IF(GA54="TPPP",Lookup!$N$18,0)))))))*FZ54</f>
        <v>0</v>
      </c>
      <c r="GS54" s="697">
        <f t="shared" si="83"/>
        <v>0</v>
      </c>
      <c r="GT54" s="712">
        <f t="shared" si="356"/>
        <v>0</v>
      </c>
      <c r="GU54" s="712">
        <f t="shared" si="357"/>
        <v>0</v>
      </c>
      <c r="GV54" s="712"/>
      <c r="GW54" s="712">
        <f t="shared" si="358"/>
        <v>0</v>
      </c>
      <c r="GX54" s="712" t="str">
        <f t="shared" si="359"/>
        <v/>
      </c>
      <c r="GY54" s="712">
        <f>IF(GA54="P",Lookup!$N$12,IF(GA54="PP",Lookup!$N$13,IF(GA54="PPP",Lookup!$N$14,IF(GA54="T",Lookup!$N$15,IF(GA54="TP",Lookup!$N$16,IF(GA54="TPP",Lookup!$N$17,IF(GA54="TPPP",Lookup!$N$18,0)))))))*FZ54</f>
        <v>0</v>
      </c>
      <c r="GZ54" s="697">
        <f t="shared" si="85"/>
        <v>0</v>
      </c>
      <c r="HA54" s="712">
        <f t="shared" si="360"/>
        <v>0</v>
      </c>
      <c r="HB54" s="712">
        <f t="shared" si="361"/>
        <v>0</v>
      </c>
      <c r="HC54" s="712"/>
    </row>
    <row r="55" spans="1:211">
      <c r="A55" s="773" t="s">
        <v>7</v>
      </c>
      <c r="B55" s="708">
        <v>40584</v>
      </c>
      <c r="C55" s="719">
        <v>0.5</v>
      </c>
      <c r="D55" s="675">
        <f t="shared" si="65"/>
        <v>300</v>
      </c>
      <c r="E55" s="675">
        <f t="shared" si="66"/>
        <v>250</v>
      </c>
      <c r="F55" s="710">
        <v>250</v>
      </c>
      <c r="G55" s="712">
        <f>DH55+Sheet1!CV55</f>
        <v>1815.5521936459909</v>
      </c>
      <c r="H55" s="712">
        <f t="shared" si="294"/>
        <v>906.60973797276847</v>
      </c>
      <c r="I55" s="711">
        <f>MAX(Sheet1!Z55-AJ55+(Sheet1!CW55-E55)*CFStoMGD,0)</f>
        <v>1678.7119999999993</v>
      </c>
      <c r="J55" s="720">
        <f>IF(AND(B55&gt;=Calculation!FS55,B55&lt;=Calculation!FT55),IF(Sheet1!CX55&gt;=Calculation!D55,64.64,0),MAX(Sheet1!Z55-AJ55+(Sheet1!CX55-D55)*CFStoMGD,0))</f>
        <v>1036.082666666666</v>
      </c>
      <c r="K55" s="697">
        <f t="shared" si="67"/>
        <v>64.64</v>
      </c>
      <c r="L55" s="712">
        <f>Sheet1!AA55+Sheet1!AB55-Sheet1!L55+(Sheet1!CW55-F55)*CFStoMGD</f>
        <v>1678.9119999999928</v>
      </c>
      <c r="M55" s="712">
        <f t="shared" si="295"/>
        <v>1197.044396732224</v>
      </c>
      <c r="N55" s="712">
        <f>IF(Sheet1!CW55&gt;=F55,MIN(73,MIN(MAX(L55,0),MAX(M55,0))),0)</f>
        <v>73</v>
      </c>
      <c r="O55" s="721">
        <f>Sheet1!AA55+Sheet1!AB55</f>
        <v>46.179999999993015</v>
      </c>
      <c r="P55" s="721">
        <f t="shared" si="296"/>
        <v>71.440459999989201</v>
      </c>
      <c r="Q55" s="712">
        <f>MIN(N55,Sheet1!AA55+AG55)</f>
        <v>46.179999999993015</v>
      </c>
      <c r="R55" s="712">
        <f t="shared" si="297"/>
        <v>0</v>
      </c>
      <c r="S55" s="721">
        <f>Sheet1!Y55*MGDtoCFS</f>
        <v>44.135910000000003</v>
      </c>
      <c r="T55" s="721">
        <f>Sheet1!Z55*MGDtoCFS</f>
        <v>26.298999999999999</v>
      </c>
      <c r="U55" s="721">
        <f>Sheet1!AA55*MGDtoCFS</f>
        <v>44.971289999988294</v>
      </c>
      <c r="V55" s="721">
        <f>Sheet1!AB55*MGDtoCFS</f>
        <v>26.469170000000901</v>
      </c>
      <c r="W55" s="721">
        <f>Sheet1!L55*MGDtoCFS</f>
        <v>71.301230000000217</v>
      </c>
      <c r="X55" s="697">
        <f t="shared" si="68"/>
        <v>0</v>
      </c>
      <c r="Y55" s="712">
        <f t="shared" si="298"/>
        <v>0</v>
      </c>
      <c r="Z55" s="712">
        <f t="shared" si="299"/>
        <v>0</v>
      </c>
      <c r="AA55" s="712">
        <f t="shared" si="300"/>
        <v>0</v>
      </c>
      <c r="AB55" s="712">
        <f>(VLOOKUP(Sheet1!CY55,hhdcap_wcm,4)-(((VLOOKUP(Sheet1!CY55,hhdcap_wcm,3)-Sheet1!CY55)/(VLOOKUP(Sheet1!CY55,hhdcap_wcm,3)-VLOOKUP(Sheet1!CY55,hhdcap_wcm,1)))*(VLOOKUP(Sheet1!CY55,hhdcap_wcm,4)-VLOOKUP(Sheet1!CY55,hhdcap_wcm,2))))</f>
        <v>1971.6400000028361</v>
      </c>
      <c r="AC55" s="712">
        <f t="shared" si="301"/>
        <v>-8.8200000000001637</v>
      </c>
      <c r="AD55" s="712">
        <f t="shared" si="70"/>
        <v>0</v>
      </c>
      <c r="AE55" s="712">
        <f t="shared" si="302"/>
        <v>0</v>
      </c>
      <c r="AF55" s="712">
        <f>Sheet1!BA55+Sheet1!BB55+Sheet1!BN55+BT55</f>
        <v>17</v>
      </c>
      <c r="AG55" s="712">
        <f t="shared" si="303"/>
        <v>17.110000000000582</v>
      </c>
      <c r="AH55" s="712">
        <f>Sheet1!BA55+BT55</f>
        <v>0</v>
      </c>
      <c r="AI55" s="712">
        <f>Sheet1!BA55+Sheet1!BB55+BT55</f>
        <v>0</v>
      </c>
      <c r="AJ55" s="712">
        <f>IF((Sheet1!AA55+AG55+AX55+AZ55+BQ55+BS55+CL55+CN55)&lt;=N55,AG55+AX55+AZ55+BQ55+BS55+CL55+CN55,N55-Sheet1!AA55)</f>
        <v>17.110000000000582</v>
      </c>
      <c r="AK55" s="712">
        <f>IF(DR55&lt;K55,0,MAX(Sheet1!AA55+AG55-15/36*K55-N55,Sheet1!ED55,0))</f>
        <v>0</v>
      </c>
      <c r="AL55" s="712">
        <f>IF(OR(B55&gt;=FT55,B55&lt;FS55),0,15/36*K55-MAX(0,64.6-(137.6-(Sheet1!AA55+Sheet1!AB55))))</f>
        <v>0</v>
      </c>
      <c r="AM55" s="712">
        <f>Sheet1!CX55-110</f>
        <v>1793.0208333333333</v>
      </c>
      <c r="AN55" s="712">
        <f>Sheet1!CW55-265</f>
        <v>2582.1875</v>
      </c>
      <c r="AO55" s="712">
        <f t="shared" si="71"/>
        <v>26.820000000006985</v>
      </c>
      <c r="AP55" s="712">
        <f t="shared" si="72"/>
        <v>0</v>
      </c>
      <c r="AQ55" s="712">
        <f t="shared" si="304"/>
        <v>0</v>
      </c>
      <c r="AR55" s="712">
        <f t="shared" si="305"/>
        <v>0</v>
      </c>
      <c r="AS55" s="712"/>
      <c r="AT55" s="712">
        <f ca="1">IF(B55&gt;Summary!$A$1,#N/A,AR55*MGtoAF)</f>
        <v>0</v>
      </c>
      <c r="AU55" s="712">
        <f>Sheet1!BG55+Sheet1!BH55+Sheet1!BI55-BC55</f>
        <v>0</v>
      </c>
      <c r="AV55" s="712">
        <f t="shared" si="306"/>
        <v>0</v>
      </c>
      <c r="AW55" s="712">
        <f>IF(Sheet1!EL55="FM",BC55,0)</f>
        <v>0</v>
      </c>
      <c r="AX55" s="712">
        <f t="shared" si="307"/>
        <v>0</v>
      </c>
      <c r="AY55" s="712">
        <f>IF(Sheet1!EL55="OTHER",BC55,0)</f>
        <v>0</v>
      </c>
      <c r="AZ55" s="712">
        <f t="shared" si="308"/>
        <v>0</v>
      </c>
      <c r="BA55" s="712">
        <f t="shared" si="309"/>
        <v>0</v>
      </c>
      <c r="BB55" s="712">
        <f t="shared" si="310"/>
        <v>0</v>
      </c>
      <c r="BC55" s="712">
        <f>IF(OR(Sheet1!EL55="FM", Sheet1!EL55="OTHER"),SUM(Sheet1!BG55:'Sheet1'!BI55),0)</f>
        <v>0</v>
      </c>
      <c r="BD55" s="697">
        <f>IF(AND($B55&gt;=$FL55,$B55&lt;=$FM55),MAX(AV55,Sheet1!EE55,0),MAX(AV55-(7/36)*$K55,0))</f>
        <v>0</v>
      </c>
      <c r="BE55" s="712">
        <f t="shared" si="311"/>
        <v>0</v>
      </c>
      <c r="BF55" s="697">
        <f t="shared" si="73"/>
        <v>0</v>
      </c>
      <c r="BG55" s="697">
        <f>IF(AND($O55&gt;0,Sheet1!EI55=1),(1-($O55-Sheet1!$L55)/$O55)*BB55,0)</f>
        <v>0</v>
      </c>
      <c r="BH55" s="697">
        <f>IF(AND(Sheet1!$L55=0,Sheet1!$L54=0, Calculation!BA55&lt;Sheet1!$EE55-0.1,Sheet1!$EE55=Sheet1!$EE54,Sheet1!$EE55=Sheet1!$EE56),Sheet1!$EE55,BB55-BG55)</f>
        <v>0</v>
      </c>
      <c r="BI55" s="712"/>
      <c r="BJ55" s="712"/>
      <c r="BK55" s="712">
        <f t="shared" si="312"/>
        <v>0</v>
      </c>
      <c r="BL55" s="712"/>
      <c r="BM55" s="712">
        <f ca="1">IF(B55&gt;Summary!$A$1,#N/A,BK55*MGtoAF)</f>
        <v>0</v>
      </c>
      <c r="BN55" s="712">
        <f>Sheet1!BC55+Sheet1!BD55+Sheet1!BE55+Sheet1!BF55-BW55-BX55</f>
        <v>0</v>
      </c>
      <c r="BO55" s="712">
        <f t="shared" si="313"/>
        <v>0</v>
      </c>
      <c r="BP55" s="712">
        <f>IF(Sheet1!EM55="FM",BX55,0)</f>
        <v>0</v>
      </c>
      <c r="BQ55" s="712">
        <f t="shared" si="314"/>
        <v>0</v>
      </c>
      <c r="BR55" s="712">
        <f>IF(Sheet1!EM55="OTHER",BX55,0)</f>
        <v>0</v>
      </c>
      <c r="BS55" s="712">
        <f t="shared" si="315"/>
        <v>0</v>
      </c>
      <c r="BT55" s="712">
        <f t="shared" si="316"/>
        <v>0</v>
      </c>
      <c r="BU55" s="712">
        <f t="shared" si="317"/>
        <v>0</v>
      </c>
      <c r="BV55" s="712">
        <f t="shared" si="318"/>
        <v>0</v>
      </c>
      <c r="BW55" s="712">
        <f>IF(Sheet1!EM55="CWA",SUM(Sheet1!BC55:'Sheet1'!BF55),0)</f>
        <v>0</v>
      </c>
      <c r="BX55" s="712">
        <f>IF(OR(Sheet1!EM55="FM", Sheet1!EM55="OTHER"),SUM(Sheet1!BC55:'Sheet1'!BF55),0)</f>
        <v>0</v>
      </c>
      <c r="BY55" s="697">
        <f>IF(AND($B55&gt;=$FL55,$B55&lt;=$FM55),MAX(BV55,Sheet1!EF55,0),MAX(BV55-(7/36)*$K55,0))</f>
        <v>0</v>
      </c>
      <c r="BZ55" s="712">
        <f t="shared" si="319"/>
        <v>0</v>
      </c>
      <c r="CA55" s="697">
        <f t="shared" si="74"/>
        <v>0</v>
      </c>
      <c r="CB55" s="697">
        <f>IF(AND($O55&gt;0,Sheet1!EJ55=1),(1-($O55-Sheet1!$L55)/$O55)*BV55,0)</f>
        <v>0</v>
      </c>
      <c r="CC55" s="697">
        <f>IF(AND(Sheet1!$L55=0,Sheet1!$L54=0, Calculation!BU55&lt;Sheet1!EF55-0.1,Sheet1!EF55=Sheet1!EF54,Sheet1!EF55=Sheet1!EF56),Sheet1!EF55,BV55-CB55)</f>
        <v>0</v>
      </c>
      <c r="CD55" s="697"/>
      <c r="CE55" s="712"/>
      <c r="CF55" s="712">
        <f t="shared" si="320"/>
        <v>0</v>
      </c>
      <c r="CG55" s="712"/>
      <c r="CH55" s="712">
        <f ca="1">IF(B55&gt;Summary!$A$1,#N/A,CF55*MGtoAF)</f>
        <v>0</v>
      </c>
      <c r="CI55" s="712">
        <f>Sheet1!BK55+Sheet1!BL55+Sheet1!BM55-Sheet1!EN55-CQ55</f>
        <v>0</v>
      </c>
      <c r="CJ55" s="712">
        <f t="shared" si="321"/>
        <v>0</v>
      </c>
      <c r="CK55" s="712">
        <f>IF(Sheet1!EN55="FM",CQ55,0)</f>
        <v>0</v>
      </c>
      <c r="CL55" s="712">
        <f t="shared" si="322"/>
        <v>0</v>
      </c>
      <c r="CM55" s="712">
        <f>IF(Sheet1!EN55="OTHER",CQ55,0)</f>
        <v>0</v>
      </c>
      <c r="CN55" s="712">
        <f t="shared" si="323"/>
        <v>0</v>
      </c>
      <c r="CO55" s="712">
        <f t="shared" si="324"/>
        <v>0</v>
      </c>
      <c r="CP55" s="712">
        <f t="shared" si="325"/>
        <v>0</v>
      </c>
      <c r="CQ55" s="712">
        <f>IF(OR(Sheet1!EN55="FM", Sheet1!EN55="OTHER"),SUM(Sheet1!BK55:'Sheet1'!BM55),0)</f>
        <v>0</v>
      </c>
      <c r="CR55" s="697">
        <f>IF(AND($B55&gt;=$FL55,$B55&lt;=$FM55),MAX($CJ55,Sheet1!EG55,0),MAX($CJ55-(7/36)*$K55,0))</f>
        <v>0</v>
      </c>
      <c r="CS55" s="712">
        <f t="shared" si="326"/>
        <v>0</v>
      </c>
      <c r="CT55" s="697">
        <f t="shared" si="75"/>
        <v>0</v>
      </c>
      <c r="CU55" s="697">
        <f>IF(AND($O55&gt;0,Sheet1!EK55=1),(1-($O55-Sheet1!$L55)/$O55)*CP55,0)</f>
        <v>0</v>
      </c>
      <c r="CV55" s="697">
        <f>IF(AND(Sheet1!$L55=0,Sheet1!$L54=0, Calculation!CO55&lt;Sheet1!$EG55-0.1,Sheet1!$EG55=Sheet1!$EG54,Sheet1!$EG55=Sheet1!$EG56),Sheet1!$EG55,CP55-CU55)</f>
        <v>0</v>
      </c>
      <c r="CW55" s="697">
        <f t="shared" si="33"/>
        <v>0</v>
      </c>
      <c r="CX55" s="712">
        <f t="shared" si="87"/>
        <v>0</v>
      </c>
      <c r="CY55" s="712">
        <f t="shared" si="327"/>
        <v>0</v>
      </c>
      <c r="CZ55" s="712">
        <f t="shared" si="328"/>
        <v>0</v>
      </c>
      <c r="DA55" s="712">
        <f ca="1">IF(B55&gt;Summary!$A$1,#N/A,CY55*MGtoAF)</f>
        <v>0</v>
      </c>
      <c r="DB55" s="712">
        <f t="shared" si="329"/>
        <v>0</v>
      </c>
      <c r="DC55" s="712">
        <f t="shared" si="330"/>
        <v>17</v>
      </c>
      <c r="DD55" s="712">
        <f>Sheet1!AB55-DC55</f>
        <v>0.11000000000058208</v>
      </c>
      <c r="DE55" s="712">
        <f t="shared" si="331"/>
        <v>6.4705882353283577E-3</v>
      </c>
      <c r="DF55" s="712">
        <f>(VLOOKUP(Sheet1!CY55,hhdcap_wcm,4)-(((VLOOKUP(Sheet1!CY55,hhdcap_wcm,3)-Sheet1!CY55)/(VLOOKUP(Sheet1!CY55,hhdcap_wcm,3)-VLOOKUP(Sheet1!CY55,hhdcap_wcm,1)))*(VLOOKUP(Sheet1!CY55,hhdcap_wcm,4)-VLOOKUP(Sheet1!CY55,hhdcap_wcm,2))))</f>
        <v>1971.6400000028361</v>
      </c>
      <c r="DG55" s="712">
        <f t="shared" si="332"/>
        <v>-8.8200000000001637</v>
      </c>
      <c r="DH55" s="712">
        <f t="shared" si="333"/>
        <v>-4.4478063540091588</v>
      </c>
      <c r="DI55" s="712">
        <f>Sheet1!DW55*AFtoMG</f>
        <v>0</v>
      </c>
      <c r="DJ55" s="712">
        <f>Sheet1!DX55*AFtoMG</f>
        <v>0</v>
      </c>
      <c r="DK55" s="712">
        <f>Sheet1!DY55*AFtoMG</f>
        <v>0</v>
      </c>
      <c r="DL55" s="712">
        <f>Sheet1!DZ55*AFtoMG</f>
        <v>0</v>
      </c>
      <c r="DM55" s="712">
        <f t="shared" si="334"/>
        <v>0</v>
      </c>
      <c r="DN55" s="712">
        <f t="shared" si="335"/>
        <v>0</v>
      </c>
      <c r="DO55" s="712">
        <f t="shared" si="336"/>
        <v>0</v>
      </c>
      <c r="DP55" s="712">
        <f t="shared" si="337"/>
        <v>0</v>
      </c>
      <c r="DQ55" s="712"/>
      <c r="DR55" s="697">
        <f>IF(OR(B55&lt;FL55,B55&gt;FM55),(MIN(AV55+BO55+CJ55+MAX(Sheet1!AA55+AG55-73,0),K55)),0)</f>
        <v>0</v>
      </c>
      <c r="DS55" s="712"/>
      <c r="DT55" s="712">
        <f t="shared" si="338"/>
        <v>0</v>
      </c>
      <c r="DU55" s="712"/>
      <c r="DV55" s="712">
        <f>Sheet1!ED55+Sheet1!EE55+Sheet1!EF55+Sheet1!EG55</f>
        <v>10.5</v>
      </c>
      <c r="DW55" s="712"/>
      <c r="DX55" s="697">
        <f t="shared" si="77"/>
        <v>0</v>
      </c>
      <c r="DY55" s="712">
        <f>IF(Sheet1!FN55=1,SUM('Calculations II'!AT55:BA55)+'Calculations II'!BC55+Sheet1!BU55+'Calculations II'!BE55+AF55,SUM('Calculations II'!AT55:BA55)+'Calculations II'!BC55+Sheet1!BU55+'Calculations II'!BE55+AF55)</f>
        <v>43.213679999999997</v>
      </c>
      <c r="DZ55" s="712">
        <f>Sheet1!AA55+Sheet1!AB55+'Calculations II'!BC55</f>
        <v>46.179999999993015</v>
      </c>
      <c r="EA55" s="712"/>
      <c r="EB55" s="712"/>
      <c r="EC55" s="712">
        <f t="shared" si="339"/>
        <v>40584</v>
      </c>
      <c r="ED55" s="712">
        <f t="shared" si="340"/>
        <v>0</v>
      </c>
      <c r="EE55" s="712">
        <f t="shared" si="341"/>
        <v>0</v>
      </c>
      <c r="EF55" s="712">
        <f>-(VLOOKUP(Sheet1!BQ55,Lookup!$B$4:$J$236,2)-VLOOKUP(Sheet1!BQ54,Lookup!$B$4:$J$236,2))/1000000</f>
        <v>0.54149999999999998</v>
      </c>
      <c r="EG55" s="712">
        <f>-(VLOOKUP(Sheet1!BR55,Lookup!$B$4:$J$236,3)-VLOOKUP(Sheet1!BR54,Lookup!$B$4:$J$236,3))/1000000</f>
        <v>0.54</v>
      </c>
      <c r="EH55" s="712">
        <f>-(VLOOKUP(Sheet1!BS55,Lookup!$B$4:$J$236,4)-VLOOKUP(Sheet1!BS54,Lookup!$B$4:$J$236,4))/1000000</f>
        <v>0</v>
      </c>
      <c r="EI55" s="697">
        <f t="shared" si="88"/>
        <v>1.0815000000000001</v>
      </c>
      <c r="EJ55" s="712"/>
      <c r="EK55" s="712"/>
      <c r="EL55" s="712"/>
      <c r="EM55" s="712"/>
      <c r="EN55" s="712"/>
      <c r="EO55" s="712"/>
      <c r="EP55" s="712"/>
      <c r="EQ55" s="712"/>
      <c r="ER55" s="697">
        <v>0</v>
      </c>
      <c r="ES55" s="712"/>
      <c r="ET55" s="794" t="e">
        <f t="shared" si="342"/>
        <v>#N/A</v>
      </c>
      <c r="EU55" s="794" t="e">
        <f t="shared" si="79"/>
        <v>#VALUE!</v>
      </c>
      <c r="EV55" s="795" t="e">
        <f t="shared" si="48"/>
        <v>#VALUE!</v>
      </c>
      <c r="EW55" s="796" t="s">
        <v>757</v>
      </c>
      <c r="EX55" s="796" t="s">
        <v>757</v>
      </c>
      <c r="EY55" s="794">
        <v>0</v>
      </c>
      <c r="EZ55" s="794" t="e">
        <v>#N/A</v>
      </c>
      <c r="FA55" s="712"/>
      <c r="FB55" s="712"/>
      <c r="FC55" s="712"/>
      <c r="FD55" s="712"/>
      <c r="FE55" s="712">
        <f>O55+Sheet1!CO55</f>
        <v>46.179999999993015</v>
      </c>
      <c r="FF55" s="712">
        <f>IF(Sheet1!AA55+AG55&lt;=Calculation!N55,AG55,Calculation!N55-Sheet1!AA55)</f>
        <v>17.110000000000582</v>
      </c>
      <c r="FG55" s="712">
        <f>(Sheet1!BP55+Sheet1!BO55)/694.4</f>
        <v>2.3639112903225805</v>
      </c>
      <c r="FH55" s="712"/>
      <c r="FI55" s="712"/>
      <c r="FJ55" s="712"/>
      <c r="FK55" s="712"/>
      <c r="FL55" s="714">
        <f t="shared" si="89"/>
        <v>40753</v>
      </c>
      <c r="FM55" s="714">
        <f t="shared" si="90"/>
        <v>40851</v>
      </c>
      <c r="FN55" s="712"/>
      <c r="FO55" s="712"/>
      <c r="FP55" s="712"/>
      <c r="FQ55" s="712"/>
      <c r="FR55" s="712"/>
      <c r="FS55" s="725">
        <f t="shared" si="91"/>
        <v>40603</v>
      </c>
      <c r="FT55" s="714">
        <f t="shared" si="92"/>
        <v>40709</v>
      </c>
      <c r="FU55" s="712">
        <f t="shared" si="93"/>
        <v>6518.9048239895692</v>
      </c>
      <c r="FV55" s="714">
        <f t="shared" si="94"/>
        <v>40722</v>
      </c>
      <c r="FW55" s="712">
        <f t="shared" si="95"/>
        <v>3259.4524119947846</v>
      </c>
      <c r="FX55" s="725">
        <f t="shared" si="96"/>
        <v>40851</v>
      </c>
      <c r="FZ55" s="697">
        <f t="shared" si="49"/>
        <v>0</v>
      </c>
      <c r="GA55" s="712" t="str">
        <f t="shared" si="343"/>
        <v/>
      </c>
      <c r="GB55" s="712">
        <f t="shared" si="344"/>
        <v>0</v>
      </c>
      <c r="GC55" s="712" t="str">
        <f t="shared" si="345"/>
        <v/>
      </c>
      <c r="GD55" s="712">
        <f>IF(GA55="P",Lookup!$M$12,IF(GA55="PP",Lookup!$M$13,IF(GA55="PPP",Lookup!$M$14,IF(GA55="T",Lookup!$M$15,IF(GA55="TP",Lookup!$M$16,IF(GA55="TPP",Lookup!$M$17,IF(GA55="TPPP",Lookup!$M$18,0)))))))*FZ55</f>
        <v>0</v>
      </c>
      <c r="GE55" s="712">
        <f t="shared" si="346"/>
        <v>0</v>
      </c>
      <c r="GF55" s="712">
        <f t="shared" si="347"/>
        <v>0</v>
      </c>
      <c r="GG55" s="712">
        <f t="shared" si="348"/>
        <v>0</v>
      </c>
      <c r="GH55" s="712"/>
      <c r="GI55" s="712">
        <f t="shared" si="349"/>
        <v>0</v>
      </c>
      <c r="GJ55" s="712" t="str">
        <f t="shared" si="350"/>
        <v/>
      </c>
      <c r="GK55" s="712">
        <f>IF(GA55="P",Lookup!$N$12,IF(GA55="PP",Lookup!$N$13,IF(GA55="PPP",Lookup!$N$14,IF(GA55="T",Lookup!$N$15,IF(GA55="TP",Lookup!$N$16,IF(GA55="TPP",Lookup!$N$17,IF(GA55="TPPP",Lookup!$N$18,0)))))))*FZ55</f>
        <v>0</v>
      </c>
      <c r="GL55" s="712">
        <f t="shared" si="351"/>
        <v>0</v>
      </c>
      <c r="GM55" s="712">
        <f t="shared" si="352"/>
        <v>0</v>
      </c>
      <c r="GN55" s="712">
        <f t="shared" si="353"/>
        <v>0</v>
      </c>
      <c r="GO55" s="712"/>
      <c r="GP55" s="712">
        <f t="shared" si="354"/>
        <v>0</v>
      </c>
      <c r="GQ55" s="712" t="str">
        <f t="shared" si="355"/>
        <v/>
      </c>
      <c r="GR55" s="712">
        <f>IF(GA55="P",Lookup!$N$12,IF(GA55="PP",Lookup!$N$13,IF(GA55="PPP",Lookup!$N$14,IF(GA55="T",Lookup!$N$15,IF(GA55="TP",Lookup!$N$16,IF(GA55="TPP",Lookup!$N$17,IF(GA55="TPPP",Lookup!$N$18,0)))))))*FZ55</f>
        <v>0</v>
      </c>
      <c r="GS55" s="697">
        <f t="shared" si="83"/>
        <v>0</v>
      </c>
      <c r="GT55" s="712">
        <f t="shared" si="356"/>
        <v>0</v>
      </c>
      <c r="GU55" s="712">
        <f t="shared" si="357"/>
        <v>0</v>
      </c>
      <c r="GV55" s="712"/>
      <c r="GW55" s="712">
        <f t="shared" si="358"/>
        <v>0</v>
      </c>
      <c r="GX55" s="712" t="str">
        <f t="shared" si="359"/>
        <v/>
      </c>
      <c r="GY55" s="712">
        <f>IF(GA55="P",Lookup!$N$12,IF(GA55="PP",Lookup!$N$13,IF(GA55="PPP",Lookup!$N$14,IF(GA55="T",Lookup!$N$15,IF(GA55="TP",Lookup!$N$16,IF(GA55="TPP",Lookup!$N$17,IF(GA55="TPPP",Lookup!$N$18,0)))))))*FZ55</f>
        <v>0</v>
      </c>
      <c r="GZ55" s="697">
        <f t="shared" si="85"/>
        <v>0</v>
      </c>
      <c r="HA55" s="712">
        <f t="shared" si="360"/>
        <v>0</v>
      </c>
      <c r="HB55" s="712">
        <f t="shared" si="361"/>
        <v>0</v>
      </c>
      <c r="HC55" s="712"/>
    </row>
    <row r="56" spans="1:211">
      <c r="A56" s="773" t="s">
        <v>8</v>
      </c>
      <c r="B56" s="708">
        <v>40585</v>
      </c>
      <c r="C56" s="719">
        <v>0.5</v>
      </c>
      <c r="D56" s="675">
        <f t="shared" si="65"/>
        <v>300</v>
      </c>
      <c r="E56" s="675">
        <f t="shared" si="66"/>
        <v>250</v>
      </c>
      <c r="F56" s="675">
        <v>250</v>
      </c>
      <c r="G56" s="712">
        <f>DH56+Sheet1!CV56</f>
        <v>1547.1309068256653</v>
      </c>
      <c r="H56" s="712">
        <f t="shared" si="294"/>
        <v>733.10221817211004</v>
      </c>
      <c r="I56" s="711">
        <f>MAX(Sheet1!Z56-AJ56+(Sheet1!CW56-E56)*CFStoMGD,0)</f>
        <v>1422.586</v>
      </c>
      <c r="J56" s="720">
        <f>IF(AND(B56&gt;=Calculation!FS56,B56&lt;=Calculation!FT56),IF(Sheet1!CX56&gt;=Calculation!D56,64.64,0),MAX(Sheet1!Z56-AJ56+(Sheet1!CX56-D56)*CFStoMGD,0))</f>
        <v>850.52199999999993</v>
      </c>
      <c r="K56" s="697">
        <f t="shared" si="67"/>
        <v>64.64</v>
      </c>
      <c r="L56" s="712">
        <f>Sheet1!AA56+Sheet1!AB56-Sheet1!L56+(Sheet1!CW56-F56)*CFStoMGD</f>
        <v>1422.8760000000077</v>
      </c>
      <c r="M56" s="712">
        <f t="shared" si="295"/>
        <v>1020.0667265355523</v>
      </c>
      <c r="N56" s="712">
        <f>IF(Sheet1!CW56&gt;=F56,MIN(73,MIN(MAX(L56,0),MAX(M56,0))),0)</f>
        <v>73</v>
      </c>
      <c r="O56" s="721">
        <f>Sheet1!AA56+Sheet1!AB56</f>
        <v>46.070000000006985</v>
      </c>
      <c r="P56" s="721">
        <f t="shared" si="296"/>
        <v>71.270290000010803</v>
      </c>
      <c r="Q56" s="712">
        <f>MIN(N56,Sheet1!AA56+AG56)</f>
        <v>46.070000000006985</v>
      </c>
      <c r="R56" s="712">
        <f t="shared" si="297"/>
        <v>0</v>
      </c>
      <c r="S56" s="721">
        <f>Sheet1!Y56*MGDtoCFS</f>
        <v>44.909410000000001</v>
      </c>
      <c r="T56" s="721">
        <f>Sheet1!Z56*MGDtoCFS</f>
        <v>26.144299999999998</v>
      </c>
      <c r="U56" s="721">
        <f>Sheet1!AA56*MGDtoCFS</f>
        <v>44.971290000010804</v>
      </c>
      <c r="V56" s="721">
        <f>Sheet1!AB56*MGDtoCFS</f>
        <v>26.298999999999999</v>
      </c>
      <c r="W56" s="721">
        <f>Sheet1!L56*MGDtoCFS</f>
        <v>70.976359999998763</v>
      </c>
      <c r="X56" s="697">
        <f t="shared" si="68"/>
        <v>0</v>
      </c>
      <c r="Y56" s="712">
        <f t="shared" si="298"/>
        <v>0</v>
      </c>
      <c r="Z56" s="712">
        <f t="shared" si="299"/>
        <v>0</v>
      </c>
      <c r="AA56" s="712">
        <f t="shared" si="300"/>
        <v>0</v>
      </c>
      <c r="AB56" s="712">
        <f>(VLOOKUP(Sheet1!CY56,hhdcap_wcm,4)-(((VLOOKUP(Sheet1!CY56,hhdcap_wcm,3)-Sheet1!CY56)/(VLOOKUP(Sheet1!CY56,hhdcap_wcm,3)-VLOOKUP(Sheet1!CY56,hhdcap_wcm,1)))*(VLOOKUP(Sheet1!CY56,hhdcap_wcm,4)-VLOOKUP(Sheet1!CY56,hhdcap_wcm,2))))</f>
        <v>1989.2800000028362</v>
      </c>
      <c r="AC56" s="712">
        <f t="shared" si="301"/>
        <v>17.6400000000001</v>
      </c>
      <c r="AD56" s="712">
        <f t="shared" si="70"/>
        <v>0</v>
      </c>
      <c r="AE56" s="712">
        <f t="shared" si="302"/>
        <v>0</v>
      </c>
      <c r="AF56" s="712">
        <f>Sheet1!BA56+Sheet1!BB56+Sheet1!BN56+BT56</f>
        <v>17</v>
      </c>
      <c r="AG56" s="712">
        <f t="shared" si="303"/>
        <v>17</v>
      </c>
      <c r="AH56" s="712">
        <f>Sheet1!BA56+BT56</f>
        <v>0</v>
      </c>
      <c r="AI56" s="712">
        <f>Sheet1!BA56+Sheet1!BB56+BT56</f>
        <v>0</v>
      </c>
      <c r="AJ56" s="712">
        <f>IF((Sheet1!AA56+AG56+AX56+AZ56+BQ56+BS56+CL56+CN56)&lt;=N56,AG56+AX56+AZ56+BQ56+BS56+CL56+CN56,N56-Sheet1!AA56)</f>
        <v>17</v>
      </c>
      <c r="AK56" s="712">
        <f>IF(DR56&lt;K56,0,MAX(Sheet1!AA56+AG56-15/36*K56-N56,Sheet1!ED56,0))</f>
        <v>0</v>
      </c>
      <c r="AL56" s="712">
        <f>IF(OR(B56&gt;=FT56,B56&lt;FS56),0,15/36*K56-MAX(0,64.6-(137.6-(Sheet1!AA56+Sheet1!AB56))))</f>
        <v>0</v>
      </c>
      <c r="AM56" s="712">
        <f>Sheet1!CX56-110</f>
        <v>1505.9375</v>
      </c>
      <c r="AN56" s="712">
        <f>Sheet1!CW56-265</f>
        <v>2185.9375</v>
      </c>
      <c r="AO56" s="712">
        <f t="shared" si="71"/>
        <v>26.929999999993015</v>
      </c>
      <c r="AP56" s="712">
        <f t="shared" si="72"/>
        <v>0</v>
      </c>
      <c r="AQ56" s="712">
        <f t="shared" si="304"/>
        <v>0</v>
      </c>
      <c r="AR56" s="712">
        <f t="shared" si="305"/>
        <v>0</v>
      </c>
      <c r="AS56" s="712"/>
      <c r="AT56" s="712">
        <f ca="1">IF(B56&gt;Summary!$A$1,#N/A,AR56*MGtoAF)</f>
        <v>0</v>
      </c>
      <c r="AU56" s="712">
        <f>Sheet1!BG56+Sheet1!BH56+Sheet1!BI56-BC56</f>
        <v>0</v>
      </c>
      <c r="AV56" s="712">
        <f t="shared" si="306"/>
        <v>0</v>
      </c>
      <c r="AW56" s="712">
        <f>IF(Sheet1!EL56="FM",BC56,0)</f>
        <v>0</v>
      </c>
      <c r="AX56" s="712">
        <f t="shared" si="307"/>
        <v>0</v>
      </c>
      <c r="AY56" s="712">
        <f>IF(Sheet1!EL56="OTHER",BC56,0)</f>
        <v>0</v>
      </c>
      <c r="AZ56" s="712">
        <f t="shared" si="308"/>
        <v>0</v>
      </c>
      <c r="BA56" s="712">
        <f t="shared" si="309"/>
        <v>0</v>
      </c>
      <c r="BB56" s="712">
        <f t="shared" si="310"/>
        <v>0</v>
      </c>
      <c r="BC56" s="712">
        <f>IF(OR(Sheet1!EL56="FM", Sheet1!EL56="OTHER"),SUM(Sheet1!BG56:'Sheet1'!BI56),0)</f>
        <v>0</v>
      </c>
      <c r="BD56" s="697">
        <f>IF(AND($B56&gt;=$FL56,$B56&lt;=$FM56),MAX(AV56,Sheet1!EE56,0),MAX(AV56-(7/36)*$K56,0))</f>
        <v>0</v>
      </c>
      <c r="BE56" s="712">
        <f t="shared" si="311"/>
        <v>0</v>
      </c>
      <c r="BF56" s="697">
        <f t="shared" si="73"/>
        <v>0</v>
      </c>
      <c r="BG56" s="697">
        <f>IF(AND($O56&gt;0,Sheet1!EI56=1),(1-($O56-Sheet1!$L56)/$O56)*BB56,0)</f>
        <v>0</v>
      </c>
      <c r="BH56" s="697">
        <f>IF(AND(Sheet1!$L56=0,Sheet1!$L55=0, Calculation!BA56&lt;Sheet1!$EE56-0.1,Sheet1!$EE56=Sheet1!$EE55,Sheet1!$EE56=Sheet1!$EE57),Sheet1!$EE56,BB56-BG56)</f>
        <v>0</v>
      </c>
      <c r="BI56" s="712"/>
      <c r="BJ56" s="712"/>
      <c r="BK56" s="712">
        <f t="shared" si="312"/>
        <v>0</v>
      </c>
      <c r="BL56" s="712"/>
      <c r="BM56" s="712">
        <f ca="1">IF(B56&gt;Summary!$A$1,#N/A,BK56*MGtoAF)</f>
        <v>0</v>
      </c>
      <c r="BN56" s="712">
        <f>Sheet1!BC56+Sheet1!BD56+Sheet1!BE56+Sheet1!BF56-BW56-BX56</f>
        <v>0</v>
      </c>
      <c r="BO56" s="712">
        <f t="shared" si="313"/>
        <v>0</v>
      </c>
      <c r="BP56" s="712">
        <f>IF(Sheet1!EM56="FM",BX56,0)</f>
        <v>0</v>
      </c>
      <c r="BQ56" s="712">
        <f t="shared" si="314"/>
        <v>0</v>
      </c>
      <c r="BR56" s="712">
        <f>IF(Sheet1!EM56="OTHER",BX56,0)</f>
        <v>0</v>
      </c>
      <c r="BS56" s="712">
        <f t="shared" si="315"/>
        <v>0</v>
      </c>
      <c r="BT56" s="712">
        <f t="shared" si="316"/>
        <v>0</v>
      </c>
      <c r="BU56" s="712">
        <f t="shared" si="317"/>
        <v>0</v>
      </c>
      <c r="BV56" s="712">
        <f t="shared" si="318"/>
        <v>0</v>
      </c>
      <c r="BW56" s="712">
        <f>IF(Sheet1!EM56="CWA",SUM(Sheet1!BC56:'Sheet1'!BF56),0)</f>
        <v>0</v>
      </c>
      <c r="BX56" s="712">
        <f>IF(OR(Sheet1!EM56="FM", Sheet1!EM56="OTHER"),SUM(Sheet1!BC56:'Sheet1'!BF56),0)</f>
        <v>0</v>
      </c>
      <c r="BY56" s="697">
        <f>IF(AND($B56&gt;=$FL56,$B56&lt;=$FM56),MAX(BV56,Sheet1!EF56,0),MAX(BV56-(7/36)*$K56,0))</f>
        <v>0</v>
      </c>
      <c r="BZ56" s="712">
        <f t="shared" si="319"/>
        <v>0</v>
      </c>
      <c r="CA56" s="697">
        <f t="shared" si="74"/>
        <v>0</v>
      </c>
      <c r="CB56" s="697">
        <f>IF(AND($O56&gt;0,Sheet1!EJ56=1),(1-($O56-Sheet1!$L56)/$O56)*BV56,0)</f>
        <v>0</v>
      </c>
      <c r="CC56" s="697">
        <f>IF(AND(Sheet1!$L56=0,Sheet1!$L55=0, Calculation!BU56&lt;Sheet1!EF56-0.1,Sheet1!EF56=Sheet1!EF55,Sheet1!EF56=Sheet1!EF57),Sheet1!EF56,BV56-CB56)</f>
        <v>0</v>
      </c>
      <c r="CD56" s="697"/>
      <c r="CE56" s="712"/>
      <c r="CF56" s="712">
        <f t="shared" si="320"/>
        <v>0</v>
      </c>
      <c r="CG56" s="712"/>
      <c r="CH56" s="712">
        <f ca="1">IF(B56&gt;Summary!$A$1,#N/A,CF56*MGtoAF)</f>
        <v>0</v>
      </c>
      <c r="CI56" s="712">
        <f>Sheet1!BK56+Sheet1!BL56+Sheet1!BM56-Sheet1!EN56-CQ56</f>
        <v>0</v>
      </c>
      <c r="CJ56" s="712">
        <f t="shared" si="321"/>
        <v>0</v>
      </c>
      <c r="CK56" s="712">
        <f>IF(Sheet1!EN56="FM",CQ56,0)</f>
        <v>0</v>
      </c>
      <c r="CL56" s="712">
        <f t="shared" si="322"/>
        <v>0</v>
      </c>
      <c r="CM56" s="712">
        <f>IF(Sheet1!EN56="OTHER",CQ56,0)</f>
        <v>0</v>
      </c>
      <c r="CN56" s="712">
        <f t="shared" si="323"/>
        <v>0</v>
      </c>
      <c r="CO56" s="712">
        <f t="shared" si="324"/>
        <v>0</v>
      </c>
      <c r="CP56" s="712">
        <f t="shared" si="325"/>
        <v>0</v>
      </c>
      <c r="CQ56" s="712">
        <f>IF(OR(Sheet1!EN56="FM", Sheet1!EN56="OTHER"),SUM(Sheet1!BK56:'Sheet1'!BM56),0)</f>
        <v>0</v>
      </c>
      <c r="CR56" s="697">
        <f>IF(AND($B56&gt;=$FL56,$B56&lt;=$FM56),MAX($CJ56,Sheet1!EG56,0),MAX($CJ56-(7/36)*$K56,0))</f>
        <v>0</v>
      </c>
      <c r="CS56" s="712">
        <f t="shared" si="326"/>
        <v>0</v>
      </c>
      <c r="CT56" s="697">
        <f t="shared" si="75"/>
        <v>0</v>
      </c>
      <c r="CU56" s="697">
        <f>IF(AND($O56&gt;0,Sheet1!EK56=1),(1-($O56-Sheet1!$L56)/$O56)*CP56,0)</f>
        <v>0</v>
      </c>
      <c r="CV56" s="697">
        <f>IF(AND(Sheet1!$L56=0,Sheet1!$L55=0, Calculation!CO56&lt;Sheet1!$EG56-0.1,Sheet1!$EG56=Sheet1!$EG55,Sheet1!$EG56=Sheet1!$EG57),Sheet1!$EG56,CP56-CU56)</f>
        <v>0</v>
      </c>
      <c r="CW56" s="697">
        <f t="shared" si="33"/>
        <v>0</v>
      </c>
      <c r="CX56" s="712">
        <f t="shared" si="87"/>
        <v>0</v>
      </c>
      <c r="CY56" s="712">
        <f t="shared" si="327"/>
        <v>0</v>
      </c>
      <c r="CZ56" s="712">
        <f t="shared" si="328"/>
        <v>0</v>
      </c>
      <c r="DA56" s="712">
        <f ca="1">IF(B56&gt;Summary!$A$1,#N/A,CY56*MGtoAF)</f>
        <v>0</v>
      </c>
      <c r="DB56" s="712">
        <f t="shared" si="329"/>
        <v>0</v>
      </c>
      <c r="DC56" s="712">
        <f t="shared" si="330"/>
        <v>17</v>
      </c>
      <c r="DD56" s="712">
        <f>Sheet1!AB56-DC56</f>
        <v>0</v>
      </c>
      <c r="DE56" s="712">
        <f t="shared" si="331"/>
        <v>0</v>
      </c>
      <c r="DF56" s="712">
        <f>(VLOOKUP(Sheet1!CY56,hhdcap_wcm,4)-(((VLOOKUP(Sheet1!CY56,hhdcap_wcm,3)-Sheet1!CY56)/(VLOOKUP(Sheet1!CY56,hhdcap_wcm,3)-VLOOKUP(Sheet1!CY56,hhdcap_wcm,1)))*(VLOOKUP(Sheet1!CY56,hhdcap_wcm,4)-VLOOKUP(Sheet1!CY56,hhdcap_wcm,2))))</f>
        <v>1989.2800000028362</v>
      </c>
      <c r="DG56" s="712">
        <f t="shared" si="332"/>
        <v>17.6400000000001</v>
      </c>
      <c r="DH56" s="712">
        <f t="shared" si="333"/>
        <v>8.8956127080182039</v>
      </c>
      <c r="DI56" s="712">
        <f>Sheet1!DW56*AFtoMG</f>
        <v>0</v>
      </c>
      <c r="DJ56" s="712">
        <f>Sheet1!DX56*AFtoMG</f>
        <v>0</v>
      </c>
      <c r="DK56" s="712">
        <f>Sheet1!DY56*AFtoMG</f>
        <v>0</v>
      </c>
      <c r="DL56" s="712">
        <f>Sheet1!DZ56*AFtoMG</f>
        <v>0</v>
      </c>
      <c r="DM56" s="712">
        <f t="shared" si="334"/>
        <v>0</v>
      </c>
      <c r="DN56" s="712">
        <f t="shared" si="335"/>
        <v>0</v>
      </c>
      <c r="DO56" s="712">
        <f t="shared" si="336"/>
        <v>0</v>
      </c>
      <c r="DP56" s="712">
        <f t="shared" si="337"/>
        <v>0</v>
      </c>
      <c r="DQ56" s="712"/>
      <c r="DR56" s="697">
        <f>IF(OR(B56&lt;FL56,B56&gt;FM56),(MIN(AV56+BO56+CJ56+MAX(Sheet1!AA56+AG56-73,0),K56)),0)</f>
        <v>0</v>
      </c>
      <c r="DS56" s="712"/>
      <c r="DT56" s="712">
        <f t="shared" si="338"/>
        <v>0</v>
      </c>
      <c r="DU56" s="712"/>
      <c r="DV56" s="712">
        <f>Sheet1!ED56+Sheet1!EE56+Sheet1!EF56+Sheet1!EG56</f>
        <v>9.5</v>
      </c>
      <c r="DW56" s="712"/>
      <c r="DX56" s="697">
        <f t="shared" si="77"/>
        <v>0</v>
      </c>
      <c r="DY56" s="712">
        <f>IF(Sheet1!FN56=1,SUM('Calculations II'!AT56:BA56)+'Calculations II'!BC56+Sheet1!BU56+'Calculations II'!BE56+AF56,SUM('Calculations II'!AT56:BA56)+'Calculations II'!BC56+Sheet1!BU56+'Calculations II'!BE56+AF56)</f>
        <v>42.272784000000001</v>
      </c>
      <c r="DZ56" s="712">
        <f>Sheet1!AA56+Sheet1!AB56+'Calculations II'!BC56</f>
        <v>46.070000000006985</v>
      </c>
      <c r="EA56" s="712"/>
      <c r="EB56" s="712"/>
      <c r="EC56" s="712">
        <f t="shared" si="339"/>
        <v>40585</v>
      </c>
      <c r="ED56" s="712">
        <f t="shared" si="340"/>
        <v>0</v>
      </c>
      <c r="EE56" s="712">
        <f t="shared" si="341"/>
        <v>0</v>
      </c>
      <c r="EF56" s="712">
        <f>-(VLOOKUP(Sheet1!BQ56,Lookup!$B$4:$J$236,2)-VLOOKUP(Sheet1!BQ55,Lookup!$B$4:$J$236,2))/1000000</f>
        <v>0.54100000000000004</v>
      </c>
      <c r="EG56" s="712">
        <f>-(VLOOKUP(Sheet1!BR56,Lookup!$B$4:$J$236,3)-VLOOKUP(Sheet1!BR55,Lookup!$B$4:$J$236,3))/1000000</f>
        <v>0.54</v>
      </c>
      <c r="EH56" s="712">
        <f>-(VLOOKUP(Sheet1!BS56,Lookup!$B$4:$J$236,4)-VLOOKUP(Sheet1!BS55,Lookup!$B$4:$J$236,4))/1000000</f>
        <v>0</v>
      </c>
      <c r="EI56" s="697">
        <f t="shared" si="88"/>
        <v>1.081</v>
      </c>
      <c r="EJ56" s="712"/>
      <c r="EK56" s="712"/>
      <c r="EL56" s="712"/>
      <c r="EM56" s="712"/>
      <c r="EN56" s="712"/>
      <c r="EO56" s="712"/>
      <c r="EP56" s="712"/>
      <c r="EQ56" s="712"/>
      <c r="ER56" s="697">
        <v>0</v>
      </c>
      <c r="ES56" s="712"/>
      <c r="ET56" s="794" t="e">
        <f t="shared" si="342"/>
        <v>#N/A</v>
      </c>
      <c r="EU56" s="794" t="e">
        <f t="shared" si="79"/>
        <v>#VALUE!</v>
      </c>
      <c r="EV56" s="795" t="e">
        <f t="shared" si="48"/>
        <v>#VALUE!</v>
      </c>
      <c r="EW56" s="796" t="s">
        <v>757</v>
      </c>
      <c r="EX56" s="796" t="s">
        <v>757</v>
      </c>
      <c r="EY56" s="794">
        <v>0</v>
      </c>
      <c r="EZ56" s="794" t="e">
        <v>#N/A</v>
      </c>
      <c r="FA56" s="712"/>
      <c r="FB56" s="712"/>
      <c r="FC56" s="712"/>
      <c r="FD56" s="712"/>
      <c r="FE56" s="712">
        <f>O56+Sheet1!CO56</f>
        <v>46.070000000006985</v>
      </c>
      <c r="FF56" s="712">
        <f>IF(Sheet1!AA56+AG56&lt;=Calculation!N56,AG56,Calculation!N56-Sheet1!AA56)</f>
        <v>17</v>
      </c>
      <c r="FG56" s="712">
        <f>(Sheet1!BP56+Sheet1!BO56)/694.4</f>
        <v>1.3230126728110601</v>
      </c>
      <c r="FH56" s="712"/>
      <c r="FI56" s="712"/>
      <c r="FJ56" s="712"/>
      <c r="FK56" s="712"/>
      <c r="FL56" s="714">
        <f t="shared" si="89"/>
        <v>40753</v>
      </c>
      <c r="FM56" s="714">
        <f t="shared" si="90"/>
        <v>40851</v>
      </c>
      <c r="FN56" s="712"/>
      <c r="FO56" s="712"/>
      <c r="FP56" s="712"/>
      <c r="FQ56" s="712"/>
      <c r="FR56" s="712"/>
      <c r="FS56" s="725">
        <f t="shared" si="91"/>
        <v>40603</v>
      </c>
      <c r="FT56" s="714">
        <f t="shared" si="92"/>
        <v>40709</v>
      </c>
      <c r="FU56" s="712">
        <f t="shared" si="93"/>
        <v>6518.9048239895692</v>
      </c>
      <c r="FV56" s="714">
        <f t="shared" si="94"/>
        <v>40722</v>
      </c>
      <c r="FW56" s="712">
        <f t="shared" si="95"/>
        <v>3259.4524119947846</v>
      </c>
      <c r="FX56" s="725">
        <f t="shared" si="96"/>
        <v>40851</v>
      </c>
      <c r="FZ56" s="697">
        <f t="shared" si="49"/>
        <v>0</v>
      </c>
      <c r="GA56" s="712" t="str">
        <f t="shared" si="343"/>
        <v/>
      </c>
      <c r="GB56" s="712">
        <f t="shared" si="344"/>
        <v>0</v>
      </c>
      <c r="GC56" s="712" t="str">
        <f t="shared" si="345"/>
        <v/>
      </c>
      <c r="GD56" s="712">
        <f>IF(GA56="P",Lookup!$M$12,IF(GA56="PP",Lookup!$M$13,IF(GA56="PPP",Lookup!$M$14,IF(GA56="T",Lookup!$M$15,IF(GA56="TP",Lookup!$M$16,IF(GA56="TPP",Lookup!$M$17,IF(GA56="TPPP",Lookup!$M$18,0)))))))*FZ56</f>
        <v>0</v>
      </c>
      <c r="GE56" s="712">
        <f t="shared" si="346"/>
        <v>0</v>
      </c>
      <c r="GF56" s="712">
        <f t="shared" si="347"/>
        <v>0</v>
      </c>
      <c r="GG56" s="712">
        <f t="shared" si="348"/>
        <v>0</v>
      </c>
      <c r="GH56" s="712"/>
      <c r="GI56" s="712">
        <f t="shared" si="349"/>
        <v>0</v>
      </c>
      <c r="GJ56" s="712" t="str">
        <f t="shared" si="350"/>
        <v/>
      </c>
      <c r="GK56" s="712">
        <f>IF(GA56="P",Lookup!$N$12,IF(GA56="PP",Lookup!$N$13,IF(GA56="PPP",Lookup!$N$14,IF(GA56="T",Lookup!$N$15,IF(GA56="TP",Lookup!$N$16,IF(GA56="TPP",Lookup!$N$17,IF(GA56="TPPP",Lookup!$N$18,0)))))))*FZ56</f>
        <v>0</v>
      </c>
      <c r="GL56" s="712">
        <f t="shared" si="351"/>
        <v>0</v>
      </c>
      <c r="GM56" s="712">
        <f t="shared" si="352"/>
        <v>0</v>
      </c>
      <c r="GN56" s="712">
        <f t="shared" si="353"/>
        <v>0</v>
      </c>
      <c r="GO56" s="712"/>
      <c r="GP56" s="712">
        <f t="shared" si="354"/>
        <v>0</v>
      </c>
      <c r="GQ56" s="712" t="str">
        <f t="shared" si="355"/>
        <v/>
      </c>
      <c r="GR56" s="712">
        <f>IF(GA56="P",Lookup!$N$12,IF(GA56="PP",Lookup!$N$13,IF(GA56="PPP",Lookup!$N$14,IF(GA56="T",Lookup!$N$15,IF(GA56="TP",Lookup!$N$16,IF(GA56="TPP",Lookup!$N$17,IF(GA56="TPPP",Lookup!$N$18,0)))))))*FZ56</f>
        <v>0</v>
      </c>
      <c r="GS56" s="697">
        <f t="shared" si="83"/>
        <v>0</v>
      </c>
      <c r="GT56" s="712">
        <f t="shared" si="356"/>
        <v>0</v>
      </c>
      <c r="GU56" s="712">
        <f t="shared" si="357"/>
        <v>0</v>
      </c>
      <c r="GV56" s="712"/>
      <c r="GW56" s="712">
        <f t="shared" si="358"/>
        <v>0</v>
      </c>
      <c r="GX56" s="712" t="str">
        <f t="shared" si="359"/>
        <v/>
      </c>
      <c r="GY56" s="712">
        <f>IF(GA56="P",Lookup!$N$12,IF(GA56="PP",Lookup!$N$13,IF(GA56="PPP",Lookup!$N$14,IF(GA56="T",Lookup!$N$15,IF(GA56="TP",Lookup!$N$16,IF(GA56="TPP",Lookup!$N$17,IF(GA56="TPPP",Lookup!$N$18,0)))))))*FZ56</f>
        <v>0</v>
      </c>
      <c r="GZ56" s="697">
        <f t="shared" si="85"/>
        <v>0</v>
      </c>
      <c r="HA56" s="712">
        <f t="shared" si="360"/>
        <v>0</v>
      </c>
      <c r="HB56" s="712">
        <f t="shared" si="361"/>
        <v>0</v>
      </c>
      <c r="HC56" s="712"/>
    </row>
    <row r="57" spans="1:211">
      <c r="A57" s="773" t="s">
        <v>9</v>
      </c>
      <c r="B57" s="708">
        <v>40586</v>
      </c>
      <c r="C57" s="709">
        <v>0.5</v>
      </c>
      <c r="D57" s="675">
        <f t="shared" si="65"/>
        <v>300</v>
      </c>
      <c r="E57" s="675">
        <f t="shared" si="66"/>
        <v>250</v>
      </c>
      <c r="F57" s="710">
        <v>250</v>
      </c>
      <c r="G57" s="712">
        <f>DH57+Sheet1!CV57</f>
        <v>1449.6253448429441</v>
      </c>
      <c r="H57" s="712">
        <f t="shared" si="294"/>
        <v>670.07462290647902</v>
      </c>
      <c r="I57" s="711">
        <f>MAX(Sheet1!Z57-AJ57+(Sheet1!CW57-E57)*CFStoMGD,0)</f>
        <v>1337.172666666668</v>
      </c>
      <c r="J57" s="720">
        <f>IF(AND(B57&gt;=Calculation!FS57,B57&lt;=Calculation!FT57),IF(Sheet1!CX57&gt;=Calculation!D57,64.64,0),MAX(Sheet1!Z57-AJ57+(Sheet1!CX57-D57)*CFStoMGD,0))</f>
        <v>773.99666666666803</v>
      </c>
      <c r="K57" s="697">
        <f t="shared" si="67"/>
        <v>64.64</v>
      </c>
      <c r="L57" s="712">
        <f>Sheet1!AA57+Sheet1!AB57-Sheet1!L57+(Sheet1!CW57-F57)*CFStoMGD</f>
        <v>1340.2426666666645</v>
      </c>
      <c r="M57" s="712">
        <f t="shared" si="295"/>
        <v>955.77857936460862</v>
      </c>
      <c r="N57" s="712">
        <f>IF(Sheet1!CW57&gt;=F57,MIN(73,MIN(MAX(L57,0),MAX(M57,0))),0)</f>
        <v>73</v>
      </c>
      <c r="O57" s="721">
        <f>Sheet1!AA57+Sheet1!AB57</f>
        <v>46.599999999998545</v>
      </c>
      <c r="P57" s="721">
        <f t="shared" si="296"/>
        <v>72.090199999997751</v>
      </c>
      <c r="Q57" s="712">
        <f>MIN(N57,Sheet1!AA57+AG57)</f>
        <v>46.599999999998545</v>
      </c>
      <c r="R57" s="712">
        <f t="shared" si="297"/>
        <v>0</v>
      </c>
      <c r="S57" s="721">
        <f>Sheet1!Y57*MGDtoCFS</f>
        <v>44.708299999999994</v>
      </c>
      <c r="T57" s="721">
        <f>Sheet1!Z57*MGDtoCFS</f>
        <v>26.453700000000001</v>
      </c>
      <c r="U57" s="721">
        <f>Sheet1!AA57*MGDtoCFS</f>
        <v>45.636499999999998</v>
      </c>
      <c r="V57" s="721">
        <f>Sheet1!AB57*MGDtoCFS</f>
        <v>26.453699999997749</v>
      </c>
      <c r="W57" s="721">
        <f>Sheet1!L57*MGDtoCFS</f>
        <v>67.340910000001017</v>
      </c>
      <c r="X57" s="697">
        <f t="shared" si="68"/>
        <v>0</v>
      </c>
      <c r="Y57" s="712">
        <f t="shared" si="298"/>
        <v>0</v>
      </c>
      <c r="Z57" s="712">
        <f t="shared" si="299"/>
        <v>0</v>
      </c>
      <c r="AA57" s="712">
        <f t="shared" si="300"/>
        <v>0</v>
      </c>
      <c r="AB57" s="712">
        <f>(VLOOKUP(Sheet1!CY57,hhdcap_wcm,4)-(((VLOOKUP(Sheet1!CY57,hhdcap_wcm,3)-Sheet1!CY57)/(VLOOKUP(Sheet1!CY57,hhdcap_wcm,3)-VLOOKUP(Sheet1!CY57,hhdcap_wcm,1)))*(VLOOKUP(Sheet1!CY57,hhdcap_wcm,4)-VLOOKUP(Sheet1!CY57,hhdcap_wcm,2))))</f>
        <v>2010.700000002865</v>
      </c>
      <c r="AC57" s="712">
        <f t="shared" si="301"/>
        <v>21.420000000028722</v>
      </c>
      <c r="AD57" s="712">
        <f t="shared" si="70"/>
        <v>0</v>
      </c>
      <c r="AE57" s="712">
        <f t="shared" si="302"/>
        <v>0</v>
      </c>
      <c r="AF57" s="712">
        <f>Sheet1!BA57+Sheet1!BB57+Sheet1!BN57+BT57</f>
        <v>17</v>
      </c>
      <c r="AG57" s="712">
        <f t="shared" si="303"/>
        <v>17.099999999998545</v>
      </c>
      <c r="AH57" s="712">
        <f>Sheet1!BA57+BT57</f>
        <v>0</v>
      </c>
      <c r="AI57" s="712">
        <f>Sheet1!BA57+Sheet1!BB57+BT57</f>
        <v>0</v>
      </c>
      <c r="AJ57" s="712">
        <f>IF((Sheet1!AA57+AG57+AX57+AZ57+BQ57+BS57+CL57+CN57)&lt;=N57,AG57+AX57+AZ57+BQ57+BS57+CL57+CN57,N57-Sheet1!AA57)</f>
        <v>17.099999999998545</v>
      </c>
      <c r="AK57" s="712">
        <f>IF(DR57&lt;K57,0,MAX(Sheet1!AA57+AG57-15/36*K57-N57,Sheet1!ED57,0))</f>
        <v>0</v>
      </c>
      <c r="AL57" s="712">
        <f>IF(OR(B57&gt;=FT57,B57&lt;FS57),0,15/36*K57-MAX(0,64.6-(137.6-(Sheet1!AA57+Sheet1!AB57))))</f>
        <v>0</v>
      </c>
      <c r="AM57" s="712">
        <f>Sheet1!CX57-110</f>
        <v>1387.3958333333333</v>
      </c>
      <c r="AN57" s="712">
        <f>Sheet1!CW57-265</f>
        <v>2053.6458333333335</v>
      </c>
      <c r="AO57" s="712">
        <f t="shared" si="71"/>
        <v>26.400000000001455</v>
      </c>
      <c r="AP57" s="712">
        <f t="shared" si="72"/>
        <v>0</v>
      </c>
      <c r="AQ57" s="712">
        <f t="shared" si="304"/>
        <v>0</v>
      </c>
      <c r="AR57" s="712">
        <f t="shared" si="305"/>
        <v>0</v>
      </c>
      <c r="AS57" s="712"/>
      <c r="AT57" s="712">
        <f ca="1">IF(B57&gt;Summary!$A$1,#N/A,AR57*MGtoAF)</f>
        <v>0</v>
      </c>
      <c r="AU57" s="712">
        <f>Sheet1!BG57+Sheet1!BH57+Sheet1!BI57-BC57</f>
        <v>0</v>
      </c>
      <c r="AV57" s="712">
        <f t="shared" si="306"/>
        <v>0</v>
      </c>
      <c r="AW57" s="712">
        <f>IF(Sheet1!EL57="FM",BC57,0)</f>
        <v>0</v>
      </c>
      <c r="AX57" s="712">
        <f t="shared" si="307"/>
        <v>0</v>
      </c>
      <c r="AY57" s="712">
        <f>IF(Sheet1!EL57="OTHER",BC57,0)</f>
        <v>0</v>
      </c>
      <c r="AZ57" s="712">
        <f t="shared" si="308"/>
        <v>0</v>
      </c>
      <c r="BA57" s="712">
        <f t="shared" si="309"/>
        <v>0</v>
      </c>
      <c r="BB57" s="712">
        <f t="shared" si="310"/>
        <v>0</v>
      </c>
      <c r="BC57" s="712">
        <f>IF(OR(Sheet1!EL57="FM", Sheet1!EL57="OTHER"),SUM(Sheet1!BG57:'Sheet1'!BI57),0)</f>
        <v>0</v>
      </c>
      <c r="BD57" s="697">
        <f>IF(AND($B57&gt;=$FL57,$B57&lt;=$FM57),MAX(AV57,Sheet1!EE57,0),MAX(AV57-(7/36)*$K57,0))</f>
        <v>0</v>
      </c>
      <c r="BE57" s="712">
        <f t="shared" si="311"/>
        <v>0</v>
      </c>
      <c r="BF57" s="697">
        <f t="shared" si="73"/>
        <v>0</v>
      </c>
      <c r="BG57" s="697">
        <f>IF(AND($O57&gt;0,Sheet1!EI57=1),(1-($O57-Sheet1!$L57)/$O57)*BB57,0)</f>
        <v>0</v>
      </c>
      <c r="BH57" s="697">
        <f>IF(AND(Sheet1!$L57=0,Sheet1!$L56=0, Calculation!BA57&lt;Sheet1!$EE57-0.1,Sheet1!$EE57=Sheet1!$EE56,Sheet1!$EE57=Sheet1!$EE58),Sheet1!$EE57,BB57-BG57)</f>
        <v>0</v>
      </c>
      <c r="BI57" s="712"/>
      <c r="BJ57" s="712"/>
      <c r="BK57" s="712">
        <f t="shared" si="312"/>
        <v>0</v>
      </c>
      <c r="BL57" s="712"/>
      <c r="BM57" s="712">
        <f ca="1">IF(B57&gt;Summary!$A$1,#N/A,BK57*MGtoAF)</f>
        <v>0</v>
      </c>
      <c r="BN57" s="712">
        <f>Sheet1!BC57+Sheet1!BD57+Sheet1!BE57+Sheet1!BF57-BW57-BX57</f>
        <v>0</v>
      </c>
      <c r="BO57" s="712">
        <f t="shared" si="313"/>
        <v>0</v>
      </c>
      <c r="BP57" s="712">
        <f>IF(Sheet1!EM57="FM",BX57,0)</f>
        <v>0</v>
      </c>
      <c r="BQ57" s="712">
        <f t="shared" si="314"/>
        <v>0</v>
      </c>
      <c r="BR57" s="712">
        <f>IF(Sheet1!EM57="OTHER",BX57,0)</f>
        <v>0</v>
      </c>
      <c r="BS57" s="712">
        <f t="shared" si="315"/>
        <v>0</v>
      </c>
      <c r="BT57" s="712">
        <f t="shared" si="316"/>
        <v>0</v>
      </c>
      <c r="BU57" s="712">
        <f t="shared" si="317"/>
        <v>0</v>
      </c>
      <c r="BV57" s="712">
        <f t="shared" si="318"/>
        <v>0</v>
      </c>
      <c r="BW57" s="712">
        <f>IF(Sheet1!EM57="CWA",SUM(Sheet1!BC57:'Sheet1'!BF57),0)</f>
        <v>0</v>
      </c>
      <c r="BX57" s="712">
        <f>IF(OR(Sheet1!EM57="FM", Sheet1!EM57="OTHER"),SUM(Sheet1!BC57:'Sheet1'!BF57),0)</f>
        <v>0</v>
      </c>
      <c r="BY57" s="697">
        <f>IF(AND($B57&gt;=$FL57,$B57&lt;=$FM57),MAX(BV57,Sheet1!EF57,0),MAX(BV57-(7/36)*$K57,0))</f>
        <v>0</v>
      </c>
      <c r="BZ57" s="712">
        <f t="shared" si="319"/>
        <v>0</v>
      </c>
      <c r="CA57" s="697">
        <f t="shared" si="74"/>
        <v>0</v>
      </c>
      <c r="CB57" s="697">
        <f>IF(AND($O57&gt;0,Sheet1!EJ57=1),(1-($O57-Sheet1!$L57)/$O57)*BV57,0)</f>
        <v>0</v>
      </c>
      <c r="CC57" s="697">
        <f>IF(AND(Sheet1!$L57=0,Sheet1!$L56=0, Calculation!BU57&lt;Sheet1!EF57-0.1,Sheet1!EF57=Sheet1!EF56,Sheet1!EF57=Sheet1!EF58),Sheet1!EF57,BV57-CB57)</f>
        <v>0</v>
      </c>
      <c r="CD57" s="697"/>
      <c r="CE57" s="712"/>
      <c r="CF57" s="712">
        <f t="shared" si="320"/>
        <v>0</v>
      </c>
      <c r="CG57" s="712"/>
      <c r="CH57" s="712">
        <f ca="1">IF(B57&gt;Summary!$A$1,#N/A,CF57*MGtoAF)</f>
        <v>0</v>
      </c>
      <c r="CI57" s="712">
        <f>Sheet1!BK57+Sheet1!BL57+Sheet1!BM57-Sheet1!EN57-CQ57</f>
        <v>0</v>
      </c>
      <c r="CJ57" s="712">
        <f t="shared" si="321"/>
        <v>0</v>
      </c>
      <c r="CK57" s="712">
        <f>IF(Sheet1!EN57="FM",CQ57,0)</f>
        <v>0</v>
      </c>
      <c r="CL57" s="712">
        <f t="shared" si="322"/>
        <v>0</v>
      </c>
      <c r="CM57" s="712">
        <f>IF(Sheet1!EN57="OTHER",CQ57,0)</f>
        <v>0</v>
      </c>
      <c r="CN57" s="712">
        <f t="shared" si="323"/>
        <v>0</v>
      </c>
      <c r="CO57" s="712">
        <f t="shared" si="324"/>
        <v>0</v>
      </c>
      <c r="CP57" s="712">
        <f t="shared" si="325"/>
        <v>0</v>
      </c>
      <c r="CQ57" s="712">
        <f>IF(OR(Sheet1!EN57="FM", Sheet1!EN57="OTHER"),SUM(Sheet1!BK57:'Sheet1'!BM57),0)</f>
        <v>0</v>
      </c>
      <c r="CR57" s="697">
        <f>IF(AND($B57&gt;=$FL57,$B57&lt;=$FM57),MAX($CJ57,Sheet1!EG57,0),MAX($CJ57-(7/36)*$K57,0))</f>
        <v>0</v>
      </c>
      <c r="CS57" s="712">
        <f t="shared" si="326"/>
        <v>0</v>
      </c>
      <c r="CT57" s="697">
        <f t="shared" si="75"/>
        <v>0</v>
      </c>
      <c r="CU57" s="697">
        <f>IF(AND($O57&gt;0,Sheet1!EK57=1),(1-($O57-Sheet1!$L57)/$O57)*CP57,0)</f>
        <v>0</v>
      </c>
      <c r="CV57" s="697">
        <f>IF(AND(Sheet1!$L57=0,Sheet1!$L56=0, Calculation!CO57&lt;Sheet1!$EG57-0.1,Sheet1!$EG57=Sheet1!$EG56,Sheet1!$EG57=Sheet1!$EG58),Sheet1!$EG57,CP57-CU57)</f>
        <v>0</v>
      </c>
      <c r="CW57" s="697">
        <f t="shared" si="33"/>
        <v>0</v>
      </c>
      <c r="CX57" s="712">
        <f t="shared" si="87"/>
        <v>0</v>
      </c>
      <c r="CY57" s="712">
        <f t="shared" si="327"/>
        <v>0</v>
      </c>
      <c r="CZ57" s="712">
        <f t="shared" si="328"/>
        <v>0</v>
      </c>
      <c r="DA57" s="712">
        <f ca="1">IF(B57&gt;Summary!$A$1,#N/A,CY57*MGtoAF)</f>
        <v>0</v>
      </c>
      <c r="DB57" s="712">
        <f t="shared" si="329"/>
        <v>0</v>
      </c>
      <c r="DC57" s="712">
        <f t="shared" si="330"/>
        <v>17</v>
      </c>
      <c r="DD57" s="712">
        <f>Sheet1!AB57-DC57</f>
        <v>9.9999999998544808E-2</v>
      </c>
      <c r="DE57" s="712">
        <f t="shared" si="331"/>
        <v>5.8823529410908714E-3</v>
      </c>
      <c r="DF57" s="712">
        <f>(VLOOKUP(Sheet1!CY57,hhdcap_wcm,4)-(((VLOOKUP(Sheet1!CY57,hhdcap_wcm,3)-Sheet1!CY57)/(VLOOKUP(Sheet1!CY57,hhdcap_wcm,3)-VLOOKUP(Sheet1!CY57,hhdcap_wcm,1)))*(VLOOKUP(Sheet1!CY57,hhdcap_wcm,4)-VLOOKUP(Sheet1!CY57,hhdcap_wcm,2))))</f>
        <v>2010.700000002865</v>
      </c>
      <c r="DG57" s="712">
        <f t="shared" si="332"/>
        <v>21.420000000028722</v>
      </c>
      <c r="DH57" s="712">
        <f t="shared" si="333"/>
        <v>10.801815431179385</v>
      </c>
      <c r="DI57" s="712">
        <f>Sheet1!DW57*AFtoMG</f>
        <v>0</v>
      </c>
      <c r="DJ57" s="712">
        <f>Sheet1!DX57*AFtoMG</f>
        <v>0</v>
      </c>
      <c r="DK57" s="712">
        <f>Sheet1!DY57*AFtoMG</f>
        <v>0</v>
      </c>
      <c r="DL57" s="712">
        <f>Sheet1!DZ57*AFtoMG</f>
        <v>0</v>
      </c>
      <c r="DM57" s="712">
        <f t="shared" si="334"/>
        <v>0</v>
      </c>
      <c r="DN57" s="712">
        <f t="shared" si="335"/>
        <v>0</v>
      </c>
      <c r="DO57" s="712">
        <f t="shared" si="336"/>
        <v>0</v>
      </c>
      <c r="DP57" s="712">
        <f t="shared" si="337"/>
        <v>0</v>
      </c>
      <c r="DQ57" s="712"/>
      <c r="DR57" s="697">
        <f>IF(OR(B57&lt;FL57,B57&gt;FM57),(MIN(AV57+BO57+CJ57+MAX(Sheet1!AA57+AG57-73,0),K57)),0)</f>
        <v>0</v>
      </c>
      <c r="DS57" s="712"/>
      <c r="DT57" s="712">
        <f t="shared" si="338"/>
        <v>0</v>
      </c>
      <c r="DU57" s="712"/>
      <c r="DV57" s="712">
        <f>Sheet1!ED57+Sheet1!EE57+Sheet1!EF57+Sheet1!EG57</f>
        <v>9.5</v>
      </c>
      <c r="DW57" s="712"/>
      <c r="DX57" s="697">
        <f t="shared" si="77"/>
        <v>0</v>
      </c>
      <c r="DY57" s="712">
        <f>IF(Sheet1!FN57=1,SUM('Calculations II'!AT57:BA57)+'Calculations II'!BC57+Sheet1!BU57+'Calculations II'!BE57+AF57,SUM('Calculations II'!AT57:BA57)+'Calculations II'!BC57+Sheet1!BU57+'Calculations II'!BE57+AF57)</f>
        <v>44.905935999999997</v>
      </c>
      <c r="DZ57" s="712">
        <f>Sheet1!AA57+Sheet1!AB57+'Calculations II'!BC57</f>
        <v>46.599999999998545</v>
      </c>
      <c r="EA57" s="712"/>
      <c r="EB57" s="712"/>
      <c r="EC57" s="712">
        <f t="shared" si="339"/>
        <v>40586</v>
      </c>
      <c r="ED57" s="712">
        <f t="shared" si="340"/>
        <v>0</v>
      </c>
      <c r="EE57" s="712">
        <f t="shared" si="341"/>
        <v>0</v>
      </c>
      <c r="EF57" s="712">
        <f>-(VLOOKUP(Sheet1!BQ57,Lookup!$B$4:$J$236,2)-VLOOKUP(Sheet1!BQ56,Lookup!$B$4:$J$236,2))/1000000</f>
        <v>-0.54100000000000004</v>
      </c>
      <c r="EG57" s="712">
        <f>-(VLOOKUP(Sheet1!BR57,Lookup!$B$4:$J$236,3)-VLOOKUP(Sheet1!BR56,Lookup!$B$4:$J$236,3))/1000000</f>
        <v>-0.54</v>
      </c>
      <c r="EH57" s="712">
        <f>-(VLOOKUP(Sheet1!BS57,Lookup!$B$4:$J$236,4)-VLOOKUP(Sheet1!BS56,Lookup!$B$4:$J$236,4))/1000000</f>
        <v>0</v>
      </c>
      <c r="EI57" s="697">
        <f t="shared" si="88"/>
        <v>-1.081</v>
      </c>
      <c r="EJ57" s="712"/>
      <c r="EK57" s="712"/>
      <c r="EL57" s="712"/>
      <c r="EM57" s="712"/>
      <c r="EN57" s="712"/>
      <c r="EO57" s="712"/>
      <c r="EP57" s="712"/>
      <c r="EQ57" s="712"/>
      <c r="ER57" s="697">
        <v>0</v>
      </c>
      <c r="ES57" s="712"/>
      <c r="ET57" s="794" t="e">
        <f t="shared" si="342"/>
        <v>#N/A</v>
      </c>
      <c r="EU57" s="794" t="e">
        <f t="shared" si="79"/>
        <v>#VALUE!</v>
      </c>
      <c r="EV57" s="795" t="e">
        <f t="shared" si="48"/>
        <v>#VALUE!</v>
      </c>
      <c r="EW57" s="796" t="s">
        <v>757</v>
      </c>
      <c r="EX57" s="796" t="s">
        <v>757</v>
      </c>
      <c r="EY57" s="794">
        <v>0</v>
      </c>
      <c r="EZ57" s="794" t="e">
        <v>#N/A</v>
      </c>
      <c r="FA57" s="712"/>
      <c r="FB57" s="712"/>
      <c r="FC57" s="712"/>
      <c r="FD57" s="712"/>
      <c r="FE57" s="712">
        <f>O57+Sheet1!CO57</f>
        <v>46.599999999998545</v>
      </c>
      <c r="FF57" s="712">
        <f>IF(Sheet1!AA57+AG57&lt;=Calculation!N57,AG57,Calculation!N57-Sheet1!AA57)</f>
        <v>17.099999999998545</v>
      </c>
      <c r="FG57" s="712">
        <f>(Sheet1!BP57+Sheet1!BO57)/694.4</f>
        <v>2.212701612903226</v>
      </c>
      <c r="FH57" s="712"/>
      <c r="FI57" s="712"/>
      <c r="FJ57" s="712"/>
      <c r="FK57" s="712"/>
      <c r="FL57" s="714">
        <f t="shared" si="89"/>
        <v>40753</v>
      </c>
      <c r="FM57" s="714">
        <f t="shared" si="90"/>
        <v>40851</v>
      </c>
      <c r="FN57" s="712"/>
      <c r="FO57" s="712"/>
      <c r="FP57" s="712"/>
      <c r="FQ57" s="712"/>
      <c r="FR57" s="712"/>
      <c r="FS57" s="725">
        <f t="shared" si="91"/>
        <v>40603</v>
      </c>
      <c r="FT57" s="714">
        <f t="shared" si="92"/>
        <v>40709</v>
      </c>
      <c r="FU57" s="712">
        <f t="shared" si="93"/>
        <v>6518.9048239895692</v>
      </c>
      <c r="FV57" s="714">
        <f t="shared" si="94"/>
        <v>40722</v>
      </c>
      <c r="FW57" s="712">
        <f t="shared" si="95"/>
        <v>3259.4524119947846</v>
      </c>
      <c r="FX57" s="725">
        <f t="shared" si="96"/>
        <v>40851</v>
      </c>
      <c r="FZ57" s="697">
        <f t="shared" si="49"/>
        <v>0</v>
      </c>
      <c r="GA57" s="712" t="str">
        <f t="shared" si="343"/>
        <v/>
      </c>
      <c r="GB57" s="712">
        <f t="shared" si="344"/>
        <v>0</v>
      </c>
      <c r="GC57" s="712" t="str">
        <f t="shared" si="345"/>
        <v/>
      </c>
      <c r="GD57" s="712">
        <f>IF(GA57="P",Lookup!$M$12,IF(GA57="PP",Lookup!$M$13,IF(GA57="PPP",Lookup!$M$14,IF(GA57="T",Lookup!$M$15,IF(GA57="TP",Lookup!$M$16,IF(GA57="TPP",Lookup!$M$17,IF(GA57="TPPP",Lookup!$M$18,0)))))))*FZ57</f>
        <v>0</v>
      </c>
      <c r="GE57" s="712">
        <f t="shared" si="346"/>
        <v>0</v>
      </c>
      <c r="GF57" s="712">
        <f t="shared" si="347"/>
        <v>0</v>
      </c>
      <c r="GG57" s="712">
        <f t="shared" si="348"/>
        <v>0</v>
      </c>
      <c r="GH57" s="712"/>
      <c r="GI57" s="712">
        <f t="shared" si="349"/>
        <v>0</v>
      </c>
      <c r="GJ57" s="712" t="str">
        <f t="shared" si="350"/>
        <v/>
      </c>
      <c r="GK57" s="712">
        <f>IF(GA57="P",Lookup!$N$12,IF(GA57="PP",Lookup!$N$13,IF(GA57="PPP",Lookup!$N$14,IF(GA57="T",Lookup!$N$15,IF(GA57="TP",Lookup!$N$16,IF(GA57="TPP",Lookup!$N$17,IF(GA57="TPPP",Lookup!$N$18,0)))))))*FZ57</f>
        <v>0</v>
      </c>
      <c r="GL57" s="712">
        <f t="shared" si="351"/>
        <v>0</v>
      </c>
      <c r="GM57" s="712">
        <f t="shared" si="352"/>
        <v>0</v>
      </c>
      <c r="GN57" s="712">
        <f t="shared" si="353"/>
        <v>0</v>
      </c>
      <c r="GO57" s="712"/>
      <c r="GP57" s="712">
        <f t="shared" si="354"/>
        <v>0</v>
      </c>
      <c r="GQ57" s="712" t="str">
        <f t="shared" si="355"/>
        <v/>
      </c>
      <c r="GR57" s="712">
        <f>IF(GA57="P",Lookup!$N$12,IF(GA57="PP",Lookup!$N$13,IF(GA57="PPP",Lookup!$N$14,IF(GA57="T",Lookup!$N$15,IF(GA57="TP",Lookup!$N$16,IF(GA57="TPP",Lookup!$N$17,IF(GA57="TPPP",Lookup!$N$18,0)))))))*FZ57</f>
        <v>0</v>
      </c>
      <c r="GS57" s="697">
        <f t="shared" si="83"/>
        <v>0</v>
      </c>
      <c r="GT57" s="712">
        <f t="shared" si="356"/>
        <v>0</v>
      </c>
      <c r="GU57" s="712">
        <f t="shared" si="357"/>
        <v>0</v>
      </c>
      <c r="GV57" s="712"/>
      <c r="GW57" s="712">
        <f t="shared" si="358"/>
        <v>0</v>
      </c>
      <c r="GX57" s="712" t="str">
        <f t="shared" si="359"/>
        <v/>
      </c>
      <c r="GY57" s="712">
        <f>IF(GA57="P",Lookup!$N$12,IF(GA57="PP",Lookup!$N$13,IF(GA57="PPP",Lookup!$N$14,IF(GA57="T",Lookup!$N$15,IF(GA57="TP",Lookup!$N$16,IF(GA57="TPP",Lookup!$N$17,IF(GA57="TPPP",Lookup!$N$18,0)))))))*FZ57</f>
        <v>0</v>
      </c>
      <c r="GZ57" s="697">
        <f t="shared" si="85"/>
        <v>0</v>
      </c>
      <c r="HA57" s="712">
        <f t="shared" si="360"/>
        <v>0</v>
      </c>
      <c r="HB57" s="712">
        <f t="shared" si="361"/>
        <v>0</v>
      </c>
      <c r="HC57" s="712"/>
    </row>
    <row r="58" spans="1:211">
      <c r="A58" s="773" t="s">
        <v>3</v>
      </c>
      <c r="B58" s="708">
        <v>40587</v>
      </c>
      <c r="C58" s="719">
        <v>0.5</v>
      </c>
      <c r="D58" s="675">
        <f t="shared" si="65"/>
        <v>300</v>
      </c>
      <c r="E58" s="675">
        <f t="shared" si="66"/>
        <v>250</v>
      </c>
      <c r="F58" s="710">
        <v>250</v>
      </c>
      <c r="G58" s="712">
        <f>DH58+Sheet1!CV58</f>
        <v>1432.230725875992</v>
      </c>
      <c r="H58" s="712">
        <f t="shared" si="294"/>
        <v>658.83074120624121</v>
      </c>
      <c r="I58" s="711">
        <f>MAX(Sheet1!Z58-AJ58+(Sheet1!CW58-E58)*CFStoMGD,0)</f>
        <v>1359.4946666666667</v>
      </c>
      <c r="J58" s="720">
        <f>IF(AND(B58&gt;=Calculation!FS58,B58&lt;=Calculation!FT58),IF(Sheet1!CX58&gt;=Calculation!D58,64.64,0),MAX(Sheet1!Z58-AJ58+(Sheet1!CX58-D58)*CFStoMGD,0))</f>
        <v>748.44466666666654</v>
      </c>
      <c r="K58" s="697">
        <f t="shared" si="67"/>
        <v>64.64</v>
      </c>
      <c r="L58" s="712">
        <f>Sheet1!AA58+Sheet1!AB58-Sheet1!L58+(Sheet1!CW58-F58)*CFStoMGD</f>
        <v>1360.3646666666543</v>
      </c>
      <c r="M58" s="712">
        <f t="shared" si="295"/>
        <v>944.30982003036604</v>
      </c>
      <c r="N58" s="712">
        <f>IF(Sheet1!CW58&gt;=F58,MIN(73,MIN(MAX(L58,0),MAX(M58,0))),0)</f>
        <v>73</v>
      </c>
      <c r="O58" s="721">
        <f>Sheet1!AA58+Sheet1!AB58</f>
        <v>47.299999999988358</v>
      </c>
      <c r="P58" s="721">
        <f t="shared" si="296"/>
        <v>73.173099999981986</v>
      </c>
      <c r="Q58" s="712">
        <f>MIN(N58,Sheet1!AA58+AG58)</f>
        <v>47.299999999988358</v>
      </c>
      <c r="R58" s="712">
        <f t="shared" si="297"/>
        <v>0</v>
      </c>
      <c r="S58" s="721">
        <f>Sheet1!Y58*MGDtoCFS</f>
        <v>46.874099999999999</v>
      </c>
      <c r="T58" s="721">
        <f>Sheet1!Z58*MGDtoCFS</f>
        <v>26.144299999999998</v>
      </c>
      <c r="U58" s="721">
        <f>Sheet1!AA58*MGDtoCFS</f>
        <v>46.874099999981986</v>
      </c>
      <c r="V58" s="721">
        <f>Sheet1!AB58*MGDtoCFS</f>
        <v>26.298999999999999</v>
      </c>
      <c r="W58" s="721">
        <f>Sheet1!L58*MGDtoCFS</f>
        <v>71.981910000001008</v>
      </c>
      <c r="X58" s="697">
        <f t="shared" si="68"/>
        <v>0</v>
      </c>
      <c r="Y58" s="712">
        <f t="shared" si="298"/>
        <v>0</v>
      </c>
      <c r="Z58" s="712">
        <f t="shared" si="299"/>
        <v>0</v>
      </c>
      <c r="AA58" s="712">
        <f t="shared" si="300"/>
        <v>0</v>
      </c>
      <c r="AB58" s="712">
        <f>(VLOOKUP(Sheet1!CY58,hhdcap_wcm,4)-(((VLOOKUP(Sheet1!CY58,hhdcap_wcm,3)-Sheet1!CY58)/(VLOOKUP(Sheet1!CY58,hhdcap_wcm,3)-VLOOKUP(Sheet1!CY58,hhdcap_wcm,1)))*(VLOOKUP(Sheet1!CY58,hhdcap_wcm,4)-VLOOKUP(Sheet1!CY58,hhdcap_wcm,2))))</f>
        <v>2155.1000000031922</v>
      </c>
      <c r="AC58" s="712">
        <f t="shared" si="301"/>
        <v>144.40000000032728</v>
      </c>
      <c r="AD58" s="712">
        <f t="shared" si="70"/>
        <v>0</v>
      </c>
      <c r="AE58" s="712">
        <f t="shared" si="302"/>
        <v>0</v>
      </c>
      <c r="AF58" s="712">
        <f>Sheet1!BA58+Sheet1!BB58+Sheet1!BN58+BT58</f>
        <v>17</v>
      </c>
      <c r="AG58" s="712">
        <f t="shared" si="303"/>
        <v>17</v>
      </c>
      <c r="AH58" s="712">
        <f>Sheet1!BA58+BT58</f>
        <v>0</v>
      </c>
      <c r="AI58" s="712">
        <f>Sheet1!BA58+Sheet1!BB58+BT58</f>
        <v>0</v>
      </c>
      <c r="AJ58" s="712">
        <f>IF((Sheet1!AA58+AG58+AX58+AZ58+BQ58+BS58+CL58+CN58)&lt;=N58,AG58+AX58+AZ58+BQ58+BS58+CL58+CN58,N58-Sheet1!AA58)</f>
        <v>17</v>
      </c>
      <c r="AK58" s="712">
        <f>IF(DR58&lt;K58,0,MAX(Sheet1!AA58+AG58-15/36*K58-N58,Sheet1!ED58,0))</f>
        <v>0</v>
      </c>
      <c r="AL58" s="712">
        <f>IF(OR(B58&gt;=FT58,B58&lt;FS58),0,15/36*K58-MAX(0,64.6-(137.6-(Sheet1!AA58+Sheet1!AB58))))</f>
        <v>0</v>
      </c>
      <c r="AM58" s="712">
        <f>Sheet1!CX58-110</f>
        <v>1348.0208333333333</v>
      </c>
      <c r="AN58" s="712">
        <f>Sheet1!CW58-265</f>
        <v>2088.3333333333335</v>
      </c>
      <c r="AO58" s="712">
        <f t="shared" si="71"/>
        <v>25.700000000011642</v>
      </c>
      <c r="AP58" s="712">
        <f t="shared" si="72"/>
        <v>0</v>
      </c>
      <c r="AQ58" s="712">
        <f t="shared" si="304"/>
        <v>0</v>
      </c>
      <c r="AR58" s="712">
        <f t="shared" si="305"/>
        <v>0</v>
      </c>
      <c r="AS58" s="712"/>
      <c r="AT58" s="712">
        <f ca="1">IF(B58&gt;Summary!$A$1,#N/A,AR58*MGtoAF)</f>
        <v>0</v>
      </c>
      <c r="AU58" s="712">
        <f>Sheet1!BG58+Sheet1!BH58+Sheet1!BI58-BC58</f>
        <v>0</v>
      </c>
      <c r="AV58" s="712">
        <f t="shared" si="306"/>
        <v>0</v>
      </c>
      <c r="AW58" s="712">
        <f>IF(Sheet1!EL58="FM",BC58,0)</f>
        <v>0</v>
      </c>
      <c r="AX58" s="712">
        <f t="shared" si="307"/>
        <v>0</v>
      </c>
      <c r="AY58" s="712">
        <f>IF(Sheet1!EL58="OTHER",BC58,0)</f>
        <v>0</v>
      </c>
      <c r="AZ58" s="712">
        <f t="shared" si="308"/>
        <v>0</v>
      </c>
      <c r="BA58" s="712">
        <f t="shared" si="309"/>
        <v>0</v>
      </c>
      <c r="BB58" s="712">
        <f t="shared" si="310"/>
        <v>0</v>
      </c>
      <c r="BC58" s="712">
        <f>IF(OR(Sheet1!EL58="FM", Sheet1!EL58="OTHER"),SUM(Sheet1!BG58:'Sheet1'!BI58),0)</f>
        <v>0</v>
      </c>
      <c r="BD58" s="697">
        <f>IF(AND($B58&gt;=$FL58,$B58&lt;=$FM58),MAX(AV58,Sheet1!EE58,0),MAX(AV58-(7/36)*$K58,0))</f>
        <v>0</v>
      </c>
      <c r="BE58" s="712">
        <f t="shared" si="311"/>
        <v>0</v>
      </c>
      <c r="BF58" s="697">
        <f t="shared" si="73"/>
        <v>0</v>
      </c>
      <c r="BG58" s="697">
        <f>IF(AND($O58&gt;0,Sheet1!EI58=1),(1-($O58-Sheet1!$L58)/$O58)*BB58,0)</f>
        <v>0</v>
      </c>
      <c r="BH58" s="697">
        <f>IF(AND(Sheet1!$L58=0,Sheet1!$L57=0, Calculation!BA58&lt;Sheet1!$EE58-0.1,Sheet1!$EE58=Sheet1!$EE57,Sheet1!$EE58=Sheet1!$EE59),Sheet1!$EE58,BB58-BG58)</f>
        <v>0</v>
      </c>
      <c r="BI58" s="712"/>
      <c r="BJ58" s="712"/>
      <c r="BK58" s="712">
        <f t="shared" si="312"/>
        <v>0</v>
      </c>
      <c r="BL58" s="712"/>
      <c r="BM58" s="712">
        <f ca="1">IF(B58&gt;Summary!$A$1,#N/A,BK58*MGtoAF)</f>
        <v>0</v>
      </c>
      <c r="BN58" s="712">
        <f>Sheet1!BC58+Sheet1!BD58+Sheet1!BE58+Sheet1!BF58-BW58-BX58</f>
        <v>0</v>
      </c>
      <c r="BO58" s="712">
        <f t="shared" si="313"/>
        <v>0</v>
      </c>
      <c r="BP58" s="712">
        <f>IF(Sheet1!EM58="FM",BX58,0)</f>
        <v>0</v>
      </c>
      <c r="BQ58" s="712">
        <f t="shared" si="314"/>
        <v>0</v>
      </c>
      <c r="BR58" s="712">
        <f>IF(Sheet1!EM58="OTHER",BX58,0)</f>
        <v>0</v>
      </c>
      <c r="BS58" s="712">
        <f t="shared" si="315"/>
        <v>0</v>
      </c>
      <c r="BT58" s="712">
        <f t="shared" si="316"/>
        <v>0</v>
      </c>
      <c r="BU58" s="712">
        <f t="shared" si="317"/>
        <v>0</v>
      </c>
      <c r="BV58" s="712">
        <f t="shared" si="318"/>
        <v>0</v>
      </c>
      <c r="BW58" s="712">
        <f>IF(Sheet1!EM58="CWA",SUM(Sheet1!BC58:'Sheet1'!BF58),0)</f>
        <v>0</v>
      </c>
      <c r="BX58" s="712">
        <f>IF(OR(Sheet1!EM58="FM", Sheet1!EM58="OTHER"),SUM(Sheet1!BC58:'Sheet1'!BF58),0)</f>
        <v>0</v>
      </c>
      <c r="BY58" s="697">
        <f>IF(AND($B58&gt;=$FL58,$B58&lt;=$FM58),MAX(BV58,Sheet1!EF58,0),MAX(BV58-(7/36)*$K58,0))</f>
        <v>0</v>
      </c>
      <c r="BZ58" s="712">
        <f t="shared" si="319"/>
        <v>0</v>
      </c>
      <c r="CA58" s="697">
        <f t="shared" si="74"/>
        <v>0</v>
      </c>
      <c r="CB58" s="697">
        <f>IF(AND($O58&gt;0,Sheet1!EJ58=1),(1-($O58-Sheet1!$L58)/$O58)*BV58,0)</f>
        <v>0</v>
      </c>
      <c r="CC58" s="697">
        <f>IF(AND(Sheet1!$L58=0,Sheet1!$L57=0, Calculation!BU58&lt;Sheet1!EF58-0.1,Sheet1!EF58=Sheet1!EF57,Sheet1!EF58=Sheet1!EF59),Sheet1!EF58,BV58-CB58)</f>
        <v>0</v>
      </c>
      <c r="CD58" s="697"/>
      <c r="CE58" s="712"/>
      <c r="CF58" s="712">
        <f t="shared" si="320"/>
        <v>0</v>
      </c>
      <c r="CG58" s="712"/>
      <c r="CH58" s="712">
        <f ca="1">IF(B58&gt;Summary!$A$1,#N/A,CF58*MGtoAF)</f>
        <v>0</v>
      </c>
      <c r="CI58" s="712">
        <f>Sheet1!BK58+Sheet1!BL58+Sheet1!BM58-Sheet1!EN58-CQ58</f>
        <v>0</v>
      </c>
      <c r="CJ58" s="712">
        <f t="shared" si="321"/>
        <v>0</v>
      </c>
      <c r="CK58" s="712">
        <f>IF(Sheet1!EN58="FM",CQ58,0)</f>
        <v>0</v>
      </c>
      <c r="CL58" s="712">
        <f t="shared" si="322"/>
        <v>0</v>
      </c>
      <c r="CM58" s="712">
        <f>IF(Sheet1!EN58="OTHER",CQ58,0)</f>
        <v>0</v>
      </c>
      <c r="CN58" s="712">
        <f t="shared" si="323"/>
        <v>0</v>
      </c>
      <c r="CO58" s="712">
        <f t="shared" si="324"/>
        <v>0</v>
      </c>
      <c r="CP58" s="712">
        <f t="shared" si="325"/>
        <v>0</v>
      </c>
      <c r="CQ58" s="712">
        <f>IF(OR(Sheet1!EN58="FM", Sheet1!EN58="OTHER"),SUM(Sheet1!BK58:'Sheet1'!BM58),0)</f>
        <v>0</v>
      </c>
      <c r="CR58" s="697">
        <f>IF(AND($B58&gt;=$FL58,$B58&lt;=$FM58),MAX($CJ58,Sheet1!EG58,0),MAX($CJ58-(7/36)*$K58,0))</f>
        <v>0</v>
      </c>
      <c r="CS58" s="712">
        <f t="shared" si="326"/>
        <v>0</v>
      </c>
      <c r="CT58" s="697">
        <f t="shared" si="75"/>
        <v>0</v>
      </c>
      <c r="CU58" s="697">
        <f>IF(AND($O58&gt;0,Sheet1!EK58=1),(1-($O58-Sheet1!$L58)/$O58)*CP58,0)</f>
        <v>0</v>
      </c>
      <c r="CV58" s="697">
        <f>IF(AND(Sheet1!$L58=0,Sheet1!$L57=0, Calculation!CO58&lt;Sheet1!$EG58-0.1,Sheet1!$EG58=Sheet1!$EG57,Sheet1!$EG58=Sheet1!$EG59),Sheet1!$EG58,CP58-CU58)</f>
        <v>0</v>
      </c>
      <c r="CW58" s="697">
        <f t="shared" si="33"/>
        <v>0</v>
      </c>
      <c r="CX58" s="712">
        <f t="shared" si="87"/>
        <v>0</v>
      </c>
      <c r="CY58" s="712">
        <f t="shared" si="327"/>
        <v>0</v>
      </c>
      <c r="CZ58" s="712">
        <f t="shared" si="328"/>
        <v>0</v>
      </c>
      <c r="DA58" s="712">
        <f ca="1">IF(B58&gt;Summary!$A$1,#N/A,CY58*MGtoAF)</f>
        <v>0</v>
      </c>
      <c r="DB58" s="712">
        <f t="shared" si="329"/>
        <v>0</v>
      </c>
      <c r="DC58" s="712">
        <f t="shared" si="330"/>
        <v>17</v>
      </c>
      <c r="DD58" s="712">
        <f>Sheet1!AB58-DC58</f>
        <v>0</v>
      </c>
      <c r="DE58" s="712">
        <f t="shared" si="331"/>
        <v>0</v>
      </c>
      <c r="DF58" s="712">
        <f>(VLOOKUP(Sheet1!CY58,hhdcap_wcm,4)-(((VLOOKUP(Sheet1!CY58,hhdcap_wcm,3)-Sheet1!CY58)/(VLOOKUP(Sheet1!CY58,hhdcap_wcm,3)-VLOOKUP(Sheet1!CY58,hhdcap_wcm,1)))*(VLOOKUP(Sheet1!CY58,hhdcap_wcm,4)-VLOOKUP(Sheet1!CY58,hhdcap_wcm,2))))</f>
        <v>2155.1000000031922</v>
      </c>
      <c r="DG58" s="712">
        <f t="shared" si="332"/>
        <v>144.40000000032728</v>
      </c>
      <c r="DH58" s="712">
        <f t="shared" si="333"/>
        <v>72.81896117010956</v>
      </c>
      <c r="DI58" s="712">
        <f>Sheet1!DW58*AFtoMG</f>
        <v>0</v>
      </c>
      <c r="DJ58" s="712">
        <f>Sheet1!DX58*AFtoMG</f>
        <v>0</v>
      </c>
      <c r="DK58" s="712">
        <f>Sheet1!DY58*AFtoMG</f>
        <v>0</v>
      </c>
      <c r="DL58" s="712">
        <f>Sheet1!DZ58*AFtoMG</f>
        <v>0</v>
      </c>
      <c r="DM58" s="712">
        <f t="shared" si="334"/>
        <v>0</v>
      </c>
      <c r="DN58" s="712">
        <f t="shared" si="335"/>
        <v>0</v>
      </c>
      <c r="DO58" s="712">
        <f t="shared" si="336"/>
        <v>0</v>
      </c>
      <c r="DP58" s="712">
        <f t="shared" si="337"/>
        <v>0</v>
      </c>
      <c r="DQ58" s="712"/>
      <c r="DR58" s="697">
        <f>IF(OR(B58&lt;FL58,B58&gt;FM58),(MIN(AV58+BO58+CJ58+MAX(Sheet1!AA58+AG58-73,0),K58)),0)</f>
        <v>0</v>
      </c>
      <c r="DS58" s="712"/>
      <c r="DT58" s="712">
        <f t="shared" si="338"/>
        <v>0</v>
      </c>
      <c r="DU58" s="712"/>
      <c r="DV58" s="712">
        <f>Sheet1!ED58+Sheet1!EE58+Sheet1!EF58+Sheet1!EG58</f>
        <v>9.5</v>
      </c>
      <c r="DW58" s="712"/>
      <c r="DX58" s="697">
        <f t="shared" si="77"/>
        <v>0</v>
      </c>
      <c r="DY58" s="712">
        <f>IF(Sheet1!FN58=1,SUM('Calculations II'!AT58:BA58)+'Calculations II'!BC58+Sheet1!BU58+'Calculations II'!BE58+AF58,SUM('Calculations II'!AT58:BA58)+'Calculations II'!BC58+Sheet1!BU58+'Calculations II'!BE58+AF58)</f>
        <v>42.836992000000002</v>
      </c>
      <c r="DZ58" s="712">
        <f>Sheet1!AA58+Sheet1!AB58+'Calculations II'!BC58</f>
        <v>47.299999999988358</v>
      </c>
      <c r="EA58" s="712"/>
      <c r="EB58" s="712"/>
      <c r="EC58" s="712">
        <f t="shared" si="339"/>
        <v>40587</v>
      </c>
      <c r="ED58" s="712">
        <f t="shared" si="340"/>
        <v>0</v>
      </c>
      <c r="EE58" s="712">
        <f t="shared" si="341"/>
        <v>0</v>
      </c>
      <c r="EF58" s="712">
        <f>-(VLOOKUP(Sheet1!BQ58,Lookup!$B$4:$J$236,2)-VLOOKUP(Sheet1!BQ57,Lookup!$B$4:$J$236,2))/1000000</f>
        <v>-0.8115</v>
      </c>
      <c r="EG58" s="712">
        <f>-(VLOOKUP(Sheet1!BR58,Lookup!$B$4:$J$236,3)-VLOOKUP(Sheet1!BR57,Lookup!$B$4:$J$236,3))/1000000</f>
        <v>-0.81</v>
      </c>
      <c r="EH58" s="712">
        <f>-(VLOOKUP(Sheet1!BS58,Lookup!$B$4:$J$236,4)-VLOOKUP(Sheet1!BS57,Lookup!$B$4:$J$236,4))/1000000</f>
        <v>0</v>
      </c>
      <c r="EI58" s="697">
        <f t="shared" si="88"/>
        <v>-1.6215000000000002</v>
      </c>
      <c r="EJ58" s="712"/>
      <c r="EK58" s="712"/>
      <c r="EL58" s="712"/>
      <c r="EM58" s="712"/>
      <c r="EN58" s="712"/>
      <c r="EO58" s="712"/>
      <c r="EP58" s="712"/>
      <c r="EQ58" s="712"/>
      <c r="ER58" s="697">
        <v>0</v>
      </c>
      <c r="ES58" s="712"/>
      <c r="ET58" s="794" t="e">
        <f t="shared" si="342"/>
        <v>#N/A</v>
      </c>
      <c r="EU58" s="794" t="e">
        <f t="shared" si="79"/>
        <v>#VALUE!</v>
      </c>
      <c r="EV58" s="795" t="e">
        <f t="shared" si="48"/>
        <v>#VALUE!</v>
      </c>
      <c r="EW58" s="796" t="s">
        <v>757</v>
      </c>
      <c r="EX58" s="796" t="s">
        <v>757</v>
      </c>
      <c r="EY58" s="794">
        <v>0</v>
      </c>
      <c r="EZ58" s="794" t="e">
        <v>#N/A</v>
      </c>
      <c r="FA58" s="712"/>
      <c r="FB58" s="712"/>
      <c r="FC58" s="712"/>
      <c r="FD58" s="712"/>
      <c r="FE58" s="712">
        <f>O58+Sheet1!CO58</f>
        <v>47.299999999988358</v>
      </c>
      <c r="FF58" s="712">
        <f>IF(Sheet1!AA58+AG58&lt;=Calculation!N58,AG58,Calculation!N58-Sheet1!AA58)</f>
        <v>17</v>
      </c>
      <c r="FG58" s="712">
        <f>(Sheet1!BP58+Sheet1!BO58)/694.4</f>
        <v>2.1069988479262673</v>
      </c>
      <c r="FH58" s="712"/>
      <c r="FI58" s="712"/>
      <c r="FJ58" s="712"/>
      <c r="FK58" s="712"/>
      <c r="FL58" s="714">
        <f t="shared" si="89"/>
        <v>40753</v>
      </c>
      <c r="FM58" s="714">
        <f t="shared" si="90"/>
        <v>40851</v>
      </c>
      <c r="FN58" s="712"/>
      <c r="FO58" s="712"/>
      <c r="FP58" s="712"/>
      <c r="FQ58" s="712"/>
      <c r="FR58" s="712"/>
      <c r="FS58" s="725">
        <f t="shared" si="91"/>
        <v>40603</v>
      </c>
      <c r="FT58" s="714">
        <f t="shared" si="92"/>
        <v>40709</v>
      </c>
      <c r="FU58" s="712">
        <f t="shared" si="93"/>
        <v>6518.9048239895692</v>
      </c>
      <c r="FV58" s="714">
        <f t="shared" si="94"/>
        <v>40722</v>
      </c>
      <c r="FW58" s="712">
        <f t="shared" si="95"/>
        <v>3259.4524119947846</v>
      </c>
      <c r="FX58" s="725">
        <f t="shared" si="96"/>
        <v>40851</v>
      </c>
      <c r="FZ58" s="697">
        <f t="shared" si="49"/>
        <v>0</v>
      </c>
      <c r="GA58" s="712" t="str">
        <f t="shared" si="343"/>
        <v/>
      </c>
      <c r="GB58" s="712">
        <f t="shared" si="344"/>
        <v>0</v>
      </c>
      <c r="GC58" s="712" t="str">
        <f t="shared" si="345"/>
        <v/>
      </c>
      <c r="GD58" s="712">
        <f>IF(GA58="P",Lookup!$M$12,IF(GA58="PP",Lookup!$M$13,IF(GA58="PPP",Lookup!$M$14,IF(GA58="T",Lookup!$M$15,IF(GA58="TP",Lookup!$M$16,IF(GA58="TPP",Lookup!$M$17,IF(GA58="TPPP",Lookup!$M$18,0)))))))*FZ58</f>
        <v>0</v>
      </c>
      <c r="GE58" s="712">
        <f t="shared" si="346"/>
        <v>0</v>
      </c>
      <c r="GF58" s="712">
        <f t="shared" si="347"/>
        <v>0</v>
      </c>
      <c r="GG58" s="712">
        <f t="shared" si="348"/>
        <v>0</v>
      </c>
      <c r="GH58" s="712"/>
      <c r="GI58" s="712">
        <f t="shared" si="349"/>
        <v>0</v>
      </c>
      <c r="GJ58" s="712" t="str">
        <f t="shared" si="350"/>
        <v/>
      </c>
      <c r="GK58" s="712">
        <f>IF(GA58="P",Lookup!$N$12,IF(GA58="PP",Lookup!$N$13,IF(GA58="PPP",Lookup!$N$14,IF(GA58="T",Lookup!$N$15,IF(GA58="TP",Lookup!$N$16,IF(GA58="TPP",Lookup!$N$17,IF(GA58="TPPP",Lookup!$N$18,0)))))))*FZ58</f>
        <v>0</v>
      </c>
      <c r="GL58" s="712">
        <f t="shared" si="351"/>
        <v>0</v>
      </c>
      <c r="GM58" s="712">
        <f t="shared" si="352"/>
        <v>0</v>
      </c>
      <c r="GN58" s="712">
        <f t="shared" si="353"/>
        <v>0</v>
      </c>
      <c r="GO58" s="712"/>
      <c r="GP58" s="712">
        <f t="shared" si="354"/>
        <v>0</v>
      </c>
      <c r="GQ58" s="712" t="str">
        <f t="shared" si="355"/>
        <v/>
      </c>
      <c r="GR58" s="712">
        <f>IF(GA58="P",Lookup!$N$12,IF(GA58="PP",Lookup!$N$13,IF(GA58="PPP",Lookup!$N$14,IF(GA58="T",Lookup!$N$15,IF(GA58="TP",Lookup!$N$16,IF(GA58="TPP",Lookup!$N$17,IF(GA58="TPPP",Lookup!$N$18,0)))))))*FZ58</f>
        <v>0</v>
      </c>
      <c r="GS58" s="697">
        <f t="shared" si="83"/>
        <v>0</v>
      </c>
      <c r="GT58" s="712">
        <f t="shared" si="356"/>
        <v>0</v>
      </c>
      <c r="GU58" s="712">
        <f t="shared" si="357"/>
        <v>0</v>
      </c>
      <c r="GV58" s="712"/>
      <c r="GW58" s="712">
        <f t="shared" si="358"/>
        <v>0</v>
      </c>
      <c r="GX58" s="712" t="str">
        <f t="shared" si="359"/>
        <v/>
      </c>
      <c r="GY58" s="712">
        <f>IF(GA58="P",Lookup!$N$12,IF(GA58="PP",Lookup!$N$13,IF(GA58="PPP",Lookup!$N$14,IF(GA58="T",Lookup!$N$15,IF(GA58="TP",Lookup!$N$16,IF(GA58="TPP",Lookup!$N$17,IF(GA58="TPPP",Lookup!$N$18,0)))))))*FZ58</f>
        <v>0</v>
      </c>
      <c r="GZ58" s="697">
        <f t="shared" si="85"/>
        <v>0</v>
      </c>
      <c r="HA58" s="712">
        <f t="shared" si="360"/>
        <v>0</v>
      </c>
      <c r="HB58" s="712">
        <f t="shared" si="361"/>
        <v>0</v>
      </c>
      <c r="HC58" s="712"/>
    </row>
    <row r="59" spans="1:211">
      <c r="A59" s="773" t="s">
        <v>4</v>
      </c>
      <c r="B59" s="708">
        <v>40588</v>
      </c>
      <c r="C59" s="709">
        <v>0.5</v>
      </c>
      <c r="D59" s="675">
        <f t="shared" si="65"/>
        <v>300</v>
      </c>
      <c r="E59" s="675">
        <f t="shared" si="66"/>
        <v>250</v>
      </c>
      <c r="F59" s="675">
        <v>250</v>
      </c>
      <c r="G59" s="712">
        <f>DH59+Sheet1!CV59</f>
        <v>1347.3077037168132</v>
      </c>
      <c r="H59" s="712">
        <f t="shared" si="294"/>
        <v>603.93649968254806</v>
      </c>
      <c r="I59" s="711">
        <f>MAX(Sheet1!Z59-AJ59+(Sheet1!CW59-E59)*CFStoMGD,0)</f>
        <v>1331.3073856812932</v>
      </c>
      <c r="J59" s="720">
        <f>IF(AND(B59&gt;=Calculation!FS59,B59&lt;=Calculation!FT59),IF(Sheet1!CX59&gt;=Calculation!D59,64.64,0),MAX(Sheet1!Z59-AJ59+(Sheet1!CX59-D59)*CFStoMGD,0))</f>
        <v>717.49671901462659</v>
      </c>
      <c r="K59" s="697">
        <f t="shared" si="67"/>
        <v>64.64</v>
      </c>
      <c r="L59" s="712">
        <f>Sheet1!AA59+Sheet1!AB59-Sheet1!L59+(Sheet1!CW59-F59)*CFStoMGD</f>
        <v>1354.2860000000005</v>
      </c>
      <c r="M59" s="712">
        <f t="shared" si="295"/>
        <v>888.31769367619904</v>
      </c>
      <c r="N59" s="712">
        <f>IF(Sheet1!CW59&gt;=F59,MIN(73,MIN(MAX(L59,0),MAX(M59,0))),0)</f>
        <v>73</v>
      </c>
      <c r="O59" s="721">
        <f>Sheet1!AA59+Sheet1!AB59</f>
        <v>48</v>
      </c>
      <c r="P59" s="721">
        <f t="shared" si="296"/>
        <v>74.256</v>
      </c>
      <c r="Q59" s="712">
        <f>MIN(N59,Sheet1!AA59+AG59)</f>
        <v>44.948614318706696</v>
      </c>
      <c r="R59" s="712">
        <f t="shared" si="297"/>
        <v>3.051385681293302</v>
      </c>
      <c r="S59" s="721">
        <f>Sheet1!Y59*MGDtoCFS</f>
        <v>47.647599999999997</v>
      </c>
      <c r="T59" s="721">
        <f>Sheet1!Z59*MGDtoCFS</f>
        <v>26.298999999999999</v>
      </c>
      <c r="U59" s="721">
        <f>Sheet1!AA59*MGDtoCFS</f>
        <v>47.183499999999995</v>
      </c>
      <c r="V59" s="721">
        <f>Sheet1!AB59*MGDtoCFS</f>
        <v>27.072499999999998</v>
      </c>
      <c r="W59" s="721">
        <f>Sheet1!L59*MGDtoCFS</f>
        <v>34.761089999998987</v>
      </c>
      <c r="X59" s="697">
        <f t="shared" si="68"/>
        <v>0</v>
      </c>
      <c r="Y59" s="712">
        <f t="shared" si="298"/>
        <v>0</v>
      </c>
      <c r="Z59" s="712">
        <f t="shared" si="299"/>
        <v>0</v>
      </c>
      <c r="AA59" s="712">
        <f t="shared" si="300"/>
        <v>0</v>
      </c>
      <c r="AB59" s="712">
        <f>(VLOOKUP(Sheet1!CY59,hhdcap_wcm,4)-(((VLOOKUP(Sheet1!CY59,hhdcap_wcm,3)-Sheet1!CY59)/(VLOOKUP(Sheet1!CY59,hhdcap_wcm,3)-VLOOKUP(Sheet1!CY59,hhdcap_wcm,1)))*(VLOOKUP(Sheet1!CY59,hhdcap_wcm,4)-VLOOKUP(Sheet1!CY59,hhdcap_wcm,2))))</f>
        <v>2117.1000000030444</v>
      </c>
      <c r="AC59" s="712">
        <f t="shared" si="301"/>
        <v>-38.000000000147793</v>
      </c>
      <c r="AD59" s="712">
        <f t="shared" si="70"/>
        <v>0</v>
      </c>
      <c r="AE59" s="712">
        <f t="shared" si="302"/>
        <v>0</v>
      </c>
      <c r="AF59" s="712">
        <f>Sheet1!BA59+Sheet1!BB59+Sheet1!BN59+BT59</f>
        <v>14.3</v>
      </c>
      <c r="AG59" s="712">
        <f t="shared" si="303"/>
        <v>14.448614318706698</v>
      </c>
      <c r="AH59" s="712">
        <f>Sheet1!BA59+BT59</f>
        <v>0</v>
      </c>
      <c r="AI59" s="712">
        <f>Sheet1!BA59+Sheet1!BB59+BT59</f>
        <v>0</v>
      </c>
      <c r="AJ59" s="712">
        <f>IF((Sheet1!AA59+AG59+AX59+AZ59+BQ59+BS59+CL59+CN59)&lt;=N59,AG59+AX59+AZ59+BQ59+BS59+CL59+CN59,N59-Sheet1!AA59)</f>
        <v>14.448614318706698</v>
      </c>
      <c r="AK59" s="712">
        <f>IF(DR59&lt;K59,0,MAX(Sheet1!AA59+AG59-15/36*K59-N59,Sheet1!ED59,0))</f>
        <v>0</v>
      </c>
      <c r="AL59" s="712">
        <f>IF(OR(B59&gt;=FT59,B59&lt;FS59),0,15/36*K59-MAX(0,64.6-(137.6-(Sheet1!AA59+Sheet1!AB59))))</f>
        <v>0</v>
      </c>
      <c r="AM59" s="712">
        <f>Sheet1!CX59-110</f>
        <v>1296.0416666666667</v>
      </c>
      <c r="AN59" s="712">
        <f>Sheet1!CW59-265</f>
        <v>2040.625</v>
      </c>
      <c r="AO59" s="712">
        <f t="shared" si="71"/>
        <v>28.051385681293304</v>
      </c>
      <c r="AP59" s="712">
        <f t="shared" si="72"/>
        <v>0</v>
      </c>
      <c r="AQ59" s="712">
        <f t="shared" si="304"/>
        <v>0</v>
      </c>
      <c r="AR59" s="712">
        <f t="shared" si="305"/>
        <v>0</v>
      </c>
      <c r="AS59" s="712"/>
      <c r="AT59" s="712">
        <f ca="1">IF(B59&gt;Summary!$A$1,#N/A,AR59*MGtoAF)</f>
        <v>0</v>
      </c>
      <c r="AU59" s="712">
        <f>Sheet1!BG59+Sheet1!BH59+Sheet1!BI59-BC59</f>
        <v>0</v>
      </c>
      <c r="AV59" s="712">
        <f t="shared" si="306"/>
        <v>0</v>
      </c>
      <c r="AW59" s="712">
        <f>IF(Sheet1!EL59="FM",BC59,0)</f>
        <v>0</v>
      </c>
      <c r="AX59" s="712">
        <f t="shared" si="307"/>
        <v>0</v>
      </c>
      <c r="AY59" s="712">
        <f>IF(Sheet1!EL59="OTHER",BC59,0)</f>
        <v>0</v>
      </c>
      <c r="AZ59" s="712">
        <f t="shared" si="308"/>
        <v>0</v>
      </c>
      <c r="BA59" s="712">
        <f t="shared" si="309"/>
        <v>0</v>
      </c>
      <c r="BB59" s="712">
        <f t="shared" si="310"/>
        <v>0</v>
      </c>
      <c r="BC59" s="712">
        <f>IF(OR(Sheet1!EL59="FM", Sheet1!EL59="OTHER"),SUM(Sheet1!BG59:'Sheet1'!BI59),0)</f>
        <v>0</v>
      </c>
      <c r="BD59" s="697">
        <f>IF(AND($B59&gt;=$FL59,$B59&lt;=$FM59),MAX(AV59,Sheet1!EE59,0),MAX(AV59-(7/36)*$K59,0))</f>
        <v>0</v>
      </c>
      <c r="BE59" s="712">
        <f t="shared" si="311"/>
        <v>0</v>
      </c>
      <c r="BF59" s="697">
        <f t="shared" si="73"/>
        <v>0</v>
      </c>
      <c r="BG59" s="697">
        <f>IF(AND($O59&gt;0,Sheet1!EI59=1),(1-($O59-Sheet1!$L59)/$O59)*BB59,0)</f>
        <v>0</v>
      </c>
      <c r="BH59" s="697">
        <f>IF(AND(Sheet1!$L59=0,Sheet1!$L58=0, Calculation!BA59&lt;Sheet1!$EE59-0.1,Sheet1!$EE59=Sheet1!$EE58,Sheet1!$EE59=Sheet1!$EE60),Sheet1!$EE59,BB59-BG59)</f>
        <v>0</v>
      </c>
      <c r="BI59" s="712"/>
      <c r="BJ59" s="712"/>
      <c r="BK59" s="712">
        <f t="shared" si="312"/>
        <v>0</v>
      </c>
      <c r="BL59" s="712"/>
      <c r="BM59" s="712">
        <f ca="1">IF(B59&gt;Summary!$A$1,#N/A,BK59*MGtoAF)</f>
        <v>0</v>
      </c>
      <c r="BN59" s="712">
        <f>Sheet1!BC59+Sheet1!BD59+Sheet1!BE59+Sheet1!BF59-BW59-BX59</f>
        <v>0</v>
      </c>
      <c r="BO59" s="712">
        <f t="shared" si="313"/>
        <v>0</v>
      </c>
      <c r="BP59" s="712">
        <f>IF(Sheet1!EM59="FM",BX59,0)</f>
        <v>0</v>
      </c>
      <c r="BQ59" s="712">
        <f t="shared" si="314"/>
        <v>0</v>
      </c>
      <c r="BR59" s="712">
        <f>IF(Sheet1!EM59="OTHER",BX59,0)</f>
        <v>0</v>
      </c>
      <c r="BS59" s="712">
        <f t="shared" si="315"/>
        <v>0</v>
      </c>
      <c r="BT59" s="712">
        <f t="shared" si="316"/>
        <v>0</v>
      </c>
      <c r="BU59" s="712">
        <f t="shared" si="317"/>
        <v>0</v>
      </c>
      <c r="BV59" s="712">
        <f t="shared" si="318"/>
        <v>0</v>
      </c>
      <c r="BW59" s="712">
        <f>IF(Sheet1!EM59="CWA",SUM(Sheet1!BC59:'Sheet1'!BF59),0)</f>
        <v>0</v>
      </c>
      <c r="BX59" s="712">
        <f>IF(OR(Sheet1!EM59="FM", Sheet1!EM59="OTHER"),SUM(Sheet1!BC59:'Sheet1'!BF59),0)</f>
        <v>0</v>
      </c>
      <c r="BY59" s="697">
        <f>IF(AND($B59&gt;=$FL59,$B59&lt;=$FM59),MAX(BV59,Sheet1!EF59,0),MAX(BV59-(7/36)*$K59,0))</f>
        <v>0</v>
      </c>
      <c r="BZ59" s="712">
        <f t="shared" si="319"/>
        <v>0</v>
      </c>
      <c r="CA59" s="697">
        <f t="shared" si="74"/>
        <v>0</v>
      </c>
      <c r="CB59" s="697">
        <f>IF(AND($O59&gt;0,Sheet1!EJ59=1),(1-($O59-Sheet1!$L59)/$O59)*BV59,0)</f>
        <v>0</v>
      </c>
      <c r="CC59" s="697">
        <f>IF(AND(Sheet1!$L59=0,Sheet1!$L58=0, Calculation!BU59&lt;Sheet1!EF59-0.1,Sheet1!EF59=Sheet1!EF58,Sheet1!EF59=Sheet1!EF60),Sheet1!EF59,BV59-CB59)</f>
        <v>0</v>
      </c>
      <c r="CD59" s="697"/>
      <c r="CE59" s="712"/>
      <c r="CF59" s="712">
        <f t="shared" si="320"/>
        <v>0</v>
      </c>
      <c r="CG59" s="712"/>
      <c r="CH59" s="712">
        <f ca="1">IF(B59&gt;Summary!$A$1,#N/A,CF59*MGtoAF)</f>
        <v>0</v>
      </c>
      <c r="CI59" s="712">
        <f>Sheet1!BK59+Sheet1!BL59+Sheet1!BM59-Sheet1!EN59-CQ59</f>
        <v>3.0199999999999996</v>
      </c>
      <c r="CJ59" s="712">
        <f t="shared" si="321"/>
        <v>3.051385681293302</v>
      </c>
      <c r="CK59" s="712">
        <f>IF(Sheet1!EN59="FM",CQ59,0)</f>
        <v>0</v>
      </c>
      <c r="CL59" s="712">
        <f t="shared" si="322"/>
        <v>0</v>
      </c>
      <c r="CM59" s="712">
        <f>IF(Sheet1!EN59="OTHER",CQ59,0)</f>
        <v>0</v>
      </c>
      <c r="CN59" s="712">
        <f t="shared" si="323"/>
        <v>0</v>
      </c>
      <c r="CO59" s="712">
        <f t="shared" si="324"/>
        <v>3.0199999999999996</v>
      </c>
      <c r="CP59" s="712">
        <f t="shared" si="325"/>
        <v>3.051385681293302</v>
      </c>
      <c r="CQ59" s="712">
        <f>IF(OR(Sheet1!EN59="FM", Sheet1!EN59="OTHER"),SUM(Sheet1!BK59:'Sheet1'!BM59),0)</f>
        <v>0</v>
      </c>
      <c r="CR59" s="697">
        <f>IF(AND($B59&gt;=$FL59,$B59&lt;=$FM59),MAX($CJ59,Sheet1!EG59,0),MAX($CJ59-(7/36)*$K59,0))</f>
        <v>0</v>
      </c>
      <c r="CS59" s="712">
        <f t="shared" si="326"/>
        <v>0</v>
      </c>
      <c r="CT59" s="697">
        <f t="shared" si="75"/>
        <v>3.051385681293302</v>
      </c>
      <c r="CU59" s="697">
        <f>IF(AND($O59&gt;0,Sheet1!EK59=1),(1-($O59-Sheet1!$L59)/$O59)*CP59,0)</f>
        <v>0</v>
      </c>
      <c r="CV59" s="697">
        <f>IF(AND(Sheet1!$L59=0,Sheet1!$L58=0, Calculation!CO59&lt;Sheet1!$EG59-0.1,Sheet1!$EG59=Sheet1!$EG58,Sheet1!$EG59=Sheet1!$EG60),Sheet1!$EG59,CP59-CU59)</f>
        <v>3.051385681293302</v>
      </c>
      <c r="CW59" s="697">
        <f t="shared" si="33"/>
        <v>0</v>
      </c>
      <c r="CX59" s="712">
        <f t="shared" si="87"/>
        <v>3.0199999999999996</v>
      </c>
      <c r="CY59" s="712">
        <f t="shared" si="327"/>
        <v>0</v>
      </c>
      <c r="CZ59" s="712">
        <f t="shared" si="328"/>
        <v>3.051385681293302</v>
      </c>
      <c r="DA59" s="712">
        <f ca="1">IF(B59&gt;Summary!$A$1,#N/A,CY59*MGtoAF)</f>
        <v>0</v>
      </c>
      <c r="DB59" s="712">
        <f t="shared" si="329"/>
        <v>3.0199999999999996</v>
      </c>
      <c r="DC59" s="712">
        <f t="shared" si="330"/>
        <v>17.32</v>
      </c>
      <c r="DD59" s="712">
        <f>Sheet1!AB59-DC59</f>
        <v>0.17999999999999972</v>
      </c>
      <c r="DE59" s="712">
        <f t="shared" si="331"/>
        <v>1.0392609699769037E-2</v>
      </c>
      <c r="DF59" s="712">
        <f>(VLOOKUP(Sheet1!CY59,hhdcap_wcm,4)-(((VLOOKUP(Sheet1!CY59,hhdcap_wcm,3)-Sheet1!CY59)/(VLOOKUP(Sheet1!CY59,hhdcap_wcm,3)-VLOOKUP(Sheet1!CY59,hhdcap_wcm,1)))*(VLOOKUP(Sheet1!CY59,hhdcap_wcm,4)-VLOOKUP(Sheet1!CY59,hhdcap_wcm,2))))</f>
        <v>2117.1000000030444</v>
      </c>
      <c r="DG59" s="712">
        <f t="shared" si="332"/>
        <v>-38.000000000147793</v>
      </c>
      <c r="DH59" s="712">
        <f t="shared" si="333"/>
        <v>-19.162884518480983</v>
      </c>
      <c r="DI59" s="712">
        <f>Sheet1!DW59*AFtoMG</f>
        <v>0</v>
      </c>
      <c r="DJ59" s="712">
        <f>Sheet1!DX59*AFtoMG</f>
        <v>0</v>
      </c>
      <c r="DK59" s="712">
        <f>Sheet1!DY59*AFtoMG</f>
        <v>0</v>
      </c>
      <c r="DL59" s="712">
        <f>Sheet1!DZ59*AFtoMG</f>
        <v>0</v>
      </c>
      <c r="DM59" s="712">
        <f t="shared" si="334"/>
        <v>0</v>
      </c>
      <c r="DN59" s="712">
        <f t="shared" si="335"/>
        <v>0</v>
      </c>
      <c r="DO59" s="712">
        <f t="shared" si="336"/>
        <v>0</v>
      </c>
      <c r="DP59" s="712">
        <f t="shared" si="337"/>
        <v>0</v>
      </c>
      <c r="DQ59" s="712"/>
      <c r="DR59" s="697">
        <f>IF(OR(B59&lt;FL59,B59&gt;FM59),(MIN(AV59+BO59+CJ59+MAX(Sheet1!AA59+AG59-73,0),K59)),0)</f>
        <v>3.051385681293302</v>
      </c>
      <c r="DS59" s="712"/>
      <c r="DT59" s="712">
        <f t="shared" si="338"/>
        <v>3.051385681293302</v>
      </c>
      <c r="DU59" s="712"/>
      <c r="DV59" s="712">
        <f>Sheet1!ED59+Sheet1!EE59+Sheet1!EF59+Sheet1!EG59</f>
        <v>10.5</v>
      </c>
      <c r="DW59" s="712"/>
      <c r="DX59" s="697">
        <f t="shared" si="77"/>
        <v>0</v>
      </c>
      <c r="DY59" s="712">
        <f>IF(Sheet1!FN59=1,SUM('Calculations II'!AT59:BA59)+'Calculations II'!BC59+Sheet1!BU59+'Calculations II'!BE59+AF59,SUM('Calculations II'!AT59:BA59)+'Calculations II'!BC59+Sheet1!BU59+'Calculations II'!BE59+AF59)</f>
        <v>43.737312000000003</v>
      </c>
      <c r="DZ59" s="712">
        <f>Sheet1!AA59+Sheet1!AB59+'Calculations II'!BC59</f>
        <v>48</v>
      </c>
      <c r="EA59" s="712"/>
      <c r="EB59" s="712"/>
      <c r="EC59" s="712">
        <f t="shared" si="339"/>
        <v>40588</v>
      </c>
      <c r="ED59" s="712">
        <f t="shared" si="340"/>
        <v>0</v>
      </c>
      <c r="EE59" s="712">
        <f t="shared" si="341"/>
        <v>0</v>
      </c>
      <c r="EF59" s="712">
        <f>-(VLOOKUP(Sheet1!BQ59,Lookup!$B$4:$J$236,2)-VLOOKUP(Sheet1!BQ58,Lookup!$B$4:$J$236,2))/1000000</f>
        <v>1.3525</v>
      </c>
      <c r="EG59" s="712">
        <f>-(VLOOKUP(Sheet1!BR59,Lookup!$B$4:$J$236,3)-VLOOKUP(Sheet1!BR58,Lookup!$B$4:$J$236,3))/1000000</f>
        <v>1.35</v>
      </c>
      <c r="EH59" s="712">
        <f>-(VLOOKUP(Sheet1!BS59,Lookup!$B$4:$J$236,4)-VLOOKUP(Sheet1!BS58,Lookup!$B$4:$J$236,4))/1000000</f>
        <v>0</v>
      </c>
      <c r="EI59" s="697">
        <f t="shared" si="88"/>
        <v>2.7025000000000001</v>
      </c>
      <c r="EJ59" s="712"/>
      <c r="EK59" s="712"/>
      <c r="EL59" s="712"/>
      <c r="EM59" s="712"/>
      <c r="EN59" s="712"/>
      <c r="EO59" s="712"/>
      <c r="EP59" s="712"/>
      <c r="EQ59" s="712"/>
      <c r="ER59" s="697">
        <v>0</v>
      </c>
      <c r="ES59" s="712"/>
      <c r="ET59" s="794" t="e">
        <f t="shared" si="342"/>
        <v>#N/A</v>
      </c>
      <c r="EU59" s="794" t="e">
        <f t="shared" si="79"/>
        <v>#VALUE!</v>
      </c>
      <c r="EV59" s="795" t="e">
        <f t="shared" si="48"/>
        <v>#VALUE!</v>
      </c>
      <c r="EW59" s="796" t="s">
        <v>757</v>
      </c>
      <c r="EX59" s="796" t="s">
        <v>757</v>
      </c>
      <c r="EY59" s="794">
        <v>0</v>
      </c>
      <c r="EZ59" s="794" t="e">
        <v>#N/A</v>
      </c>
      <c r="FA59" s="712"/>
      <c r="FB59" s="712"/>
      <c r="FC59" s="712"/>
      <c r="FD59" s="712"/>
      <c r="FE59" s="712">
        <f>O59+Sheet1!CO59</f>
        <v>48</v>
      </c>
      <c r="FF59" s="712">
        <f>IF(Sheet1!AA59+AG59&lt;=Calculation!N59,AG59,Calculation!N59-Sheet1!AA59)</f>
        <v>14.448614318706698</v>
      </c>
      <c r="FG59" s="712">
        <f>(Sheet1!BP59+Sheet1!BO59)/694.4</f>
        <v>1.3630472350230416</v>
      </c>
      <c r="FH59" s="712"/>
      <c r="FI59" s="712"/>
      <c r="FJ59" s="712"/>
      <c r="FK59" s="712"/>
      <c r="FL59" s="714">
        <f t="shared" si="89"/>
        <v>40753</v>
      </c>
      <c r="FM59" s="714">
        <f t="shared" si="90"/>
        <v>40851</v>
      </c>
      <c r="FN59" s="712"/>
      <c r="FO59" s="712"/>
      <c r="FP59" s="712"/>
      <c r="FQ59" s="712"/>
      <c r="FR59" s="712"/>
      <c r="FS59" s="725">
        <f t="shared" si="91"/>
        <v>40603</v>
      </c>
      <c r="FT59" s="714">
        <f t="shared" si="92"/>
        <v>40709</v>
      </c>
      <c r="FU59" s="712">
        <f t="shared" si="93"/>
        <v>6518.9048239895692</v>
      </c>
      <c r="FV59" s="714">
        <f t="shared" si="94"/>
        <v>40722</v>
      </c>
      <c r="FW59" s="712">
        <f t="shared" si="95"/>
        <v>3259.4524119947846</v>
      </c>
      <c r="FX59" s="725">
        <f t="shared" si="96"/>
        <v>40851</v>
      </c>
      <c r="FZ59" s="697">
        <f t="shared" si="49"/>
        <v>0</v>
      </c>
      <c r="GA59" s="712" t="str">
        <f t="shared" si="343"/>
        <v/>
      </c>
      <c r="GB59" s="712">
        <f t="shared" si="344"/>
        <v>0</v>
      </c>
      <c r="GC59" s="712" t="str">
        <f t="shared" si="345"/>
        <v/>
      </c>
      <c r="GD59" s="712">
        <f>IF(GA59="P",Lookup!$M$12,IF(GA59="PP",Lookup!$M$13,IF(GA59="PPP",Lookup!$M$14,IF(GA59="T",Lookup!$M$15,IF(GA59="TP",Lookup!$M$16,IF(GA59="TPP",Lookup!$M$17,IF(GA59="TPPP",Lookup!$M$18,0)))))))*FZ59</f>
        <v>0</v>
      </c>
      <c r="GE59" s="712">
        <f t="shared" si="346"/>
        <v>0</v>
      </c>
      <c r="GF59" s="712">
        <f t="shared" si="347"/>
        <v>0</v>
      </c>
      <c r="GG59" s="712">
        <f t="shared" si="348"/>
        <v>0</v>
      </c>
      <c r="GH59" s="712"/>
      <c r="GI59" s="712">
        <f t="shared" si="349"/>
        <v>0</v>
      </c>
      <c r="GJ59" s="712" t="str">
        <f t="shared" si="350"/>
        <v/>
      </c>
      <c r="GK59" s="712">
        <f>IF(GA59="P",Lookup!$N$12,IF(GA59="PP",Lookup!$N$13,IF(GA59="PPP",Lookup!$N$14,IF(GA59="T",Lookup!$N$15,IF(GA59="TP",Lookup!$N$16,IF(GA59="TPP",Lookup!$N$17,IF(GA59="TPPP",Lookup!$N$18,0)))))))*FZ59</f>
        <v>0</v>
      </c>
      <c r="GL59" s="712">
        <f t="shared" si="351"/>
        <v>0</v>
      </c>
      <c r="GM59" s="712">
        <f t="shared" si="352"/>
        <v>0</v>
      </c>
      <c r="GN59" s="712">
        <f t="shared" si="353"/>
        <v>0</v>
      </c>
      <c r="GO59" s="712"/>
      <c r="GP59" s="712">
        <f t="shared" si="354"/>
        <v>0</v>
      </c>
      <c r="GQ59" s="712" t="str">
        <f t="shared" si="355"/>
        <v/>
      </c>
      <c r="GR59" s="712">
        <f>IF(GA59="P",Lookup!$N$12,IF(GA59="PP",Lookup!$N$13,IF(GA59="PPP",Lookup!$N$14,IF(GA59="T",Lookup!$N$15,IF(GA59="TP",Lookup!$N$16,IF(GA59="TPP",Lookup!$N$17,IF(GA59="TPPP",Lookup!$N$18,0)))))))*FZ59</f>
        <v>0</v>
      </c>
      <c r="GS59" s="697">
        <f t="shared" si="83"/>
        <v>0</v>
      </c>
      <c r="GT59" s="712">
        <f t="shared" si="356"/>
        <v>0</v>
      </c>
      <c r="GU59" s="712">
        <f t="shared" si="357"/>
        <v>0</v>
      </c>
      <c r="GV59" s="712"/>
      <c r="GW59" s="712">
        <f t="shared" si="358"/>
        <v>0</v>
      </c>
      <c r="GX59" s="712" t="str">
        <f t="shared" si="359"/>
        <v/>
      </c>
      <c r="GY59" s="712">
        <f>IF(GA59="P",Lookup!$N$12,IF(GA59="PP",Lookup!$N$13,IF(GA59="PPP",Lookup!$N$14,IF(GA59="T",Lookup!$N$15,IF(GA59="TP",Lookup!$N$16,IF(GA59="TPP",Lookup!$N$17,IF(GA59="TPPP",Lookup!$N$18,0)))))))*FZ59</f>
        <v>0</v>
      </c>
      <c r="GZ59" s="697">
        <f t="shared" si="85"/>
        <v>0</v>
      </c>
      <c r="HA59" s="712">
        <f t="shared" si="360"/>
        <v>0</v>
      </c>
      <c r="HB59" s="712">
        <f t="shared" si="361"/>
        <v>0</v>
      </c>
      <c r="HC59" s="712"/>
    </row>
    <row r="60" spans="1:211">
      <c r="A60" s="773" t="s">
        <v>5</v>
      </c>
      <c r="B60" s="708">
        <v>40589</v>
      </c>
      <c r="C60" s="719">
        <v>0.5</v>
      </c>
      <c r="D60" s="675">
        <f t="shared" si="65"/>
        <v>300</v>
      </c>
      <c r="E60" s="675">
        <f t="shared" si="66"/>
        <v>250</v>
      </c>
      <c r="F60" s="710">
        <v>250</v>
      </c>
      <c r="G60" s="712">
        <f>DH60+Sheet1!CV60</f>
        <v>1360.0495387262317</v>
      </c>
      <c r="H60" s="712">
        <f t="shared" si="294"/>
        <v>612.17282183263615</v>
      </c>
      <c r="I60" s="711">
        <f>MAX(Sheet1!Z60-AJ60+(Sheet1!CW60-E60)*CFStoMGD,0)</f>
        <v>1295.3640609225388</v>
      </c>
      <c r="J60" s="720">
        <f>IF(AND(B60&gt;=Calculation!FS60,B60&lt;=Calculation!FT60),IF(Sheet1!CX60&gt;=Calculation!D60,64.64,0),MAX(Sheet1!Z60-AJ60+(Sheet1!CX60-D60)*CFStoMGD,0))</f>
        <v>675.08939425587198</v>
      </c>
      <c r="K60" s="697">
        <f t="shared" si="67"/>
        <v>64.64</v>
      </c>
      <c r="L60" s="712">
        <f>Sheet1!AA60+Sheet1!AB60-Sheet1!L60+(Sheet1!CW60-F60)*CFStoMGD</f>
        <v>1332.9406666666732</v>
      </c>
      <c r="M60" s="712">
        <f t="shared" si="295"/>
        <v>896.7187422692889</v>
      </c>
      <c r="N60" s="712">
        <f>IF(Sheet1!CW60&gt;=F60,MIN(73,MIN(MAX(L60,0),MAX(M60,0))),0)</f>
        <v>73</v>
      </c>
      <c r="O60" s="721">
        <f>Sheet1!AA60+Sheet1!AB60</f>
        <v>53.070000000006985</v>
      </c>
      <c r="P60" s="721">
        <f t="shared" si="296"/>
        <v>82.099290000010797</v>
      </c>
      <c r="Q60" s="712">
        <f>MIN(N60,Sheet1!AA60+AG60)</f>
        <v>45.066605744129227</v>
      </c>
      <c r="R60" s="712">
        <f t="shared" si="297"/>
        <v>8.00339425587776</v>
      </c>
      <c r="S60" s="721">
        <f>Sheet1!Y60*MGDtoCFS</f>
        <v>46.147009999999995</v>
      </c>
      <c r="T60" s="721">
        <f>Sheet1!Z60*MGDtoCFS</f>
        <v>23.174060000000001</v>
      </c>
      <c r="U60" s="721">
        <f>Sheet1!AA60*MGDtoCFS</f>
        <v>58.739590000001797</v>
      </c>
      <c r="V60" s="721">
        <f>Sheet1!AB60*MGDtoCFS</f>
        <v>23.359700000009003</v>
      </c>
      <c r="W60" s="721">
        <f>Sheet1!L60*MGDtoCFS</f>
        <v>11.7726700000009</v>
      </c>
      <c r="X60" s="697">
        <f t="shared" si="68"/>
        <v>0</v>
      </c>
      <c r="Y60" s="712">
        <f t="shared" si="298"/>
        <v>0</v>
      </c>
      <c r="Z60" s="712">
        <f t="shared" si="299"/>
        <v>0</v>
      </c>
      <c r="AA60" s="712">
        <f t="shared" si="300"/>
        <v>0</v>
      </c>
      <c r="AB60" s="712">
        <f>(VLOOKUP(Sheet1!CY60,hhdcap_wcm,4)-(((VLOOKUP(Sheet1!CY60,hhdcap_wcm,3)-Sheet1!CY60)/(VLOOKUP(Sheet1!CY60,hhdcap_wcm,3)-VLOOKUP(Sheet1!CY60,hhdcap_wcm,1)))*(VLOOKUP(Sheet1!CY60,hhdcap_wcm,4)-VLOOKUP(Sheet1!CY60,hhdcap_wcm,2))))</f>
        <v>2106.7000000030444</v>
      </c>
      <c r="AC60" s="712">
        <f t="shared" si="301"/>
        <v>-10.400000000000091</v>
      </c>
      <c r="AD60" s="712">
        <f t="shared" si="70"/>
        <v>0</v>
      </c>
      <c r="AE60" s="712">
        <f t="shared" si="302"/>
        <v>0</v>
      </c>
      <c r="AF60" s="712">
        <f>Sheet1!BA60+Sheet1!BB60+Sheet1!BN60+BT60</f>
        <v>7.2</v>
      </c>
      <c r="AG60" s="712">
        <f t="shared" si="303"/>
        <v>7.0966057441280617</v>
      </c>
      <c r="AH60" s="712">
        <f>Sheet1!BA60+BT60</f>
        <v>0</v>
      </c>
      <c r="AI60" s="712">
        <f>Sheet1!BA60+Sheet1!BB60+BT60</f>
        <v>0</v>
      </c>
      <c r="AJ60" s="712">
        <f>IF((Sheet1!AA60+AG60+AX60+AZ60+BQ60+BS60+CL60+CN60)&lt;=N60,AG60+AX60+AZ60+BQ60+BS60+CL60+CN60,N60-Sheet1!AA60)</f>
        <v>7.0966057441280617</v>
      </c>
      <c r="AK60" s="712">
        <f>IF(DR60&lt;K60,0,MAX(Sheet1!AA60+AG60-15/36*K60-N60,Sheet1!ED60,0))</f>
        <v>0</v>
      </c>
      <c r="AL60" s="712">
        <f>IF(OR(B60&gt;=FT60,B60&lt;FS60),0,15/36*K60-MAX(0,64.6-(137.6-(Sheet1!AA60+Sheet1!AB60))))</f>
        <v>0</v>
      </c>
      <c r="AM60" s="712">
        <f>Sheet1!CX60-110</f>
        <v>1222.1875</v>
      </c>
      <c r="AN60" s="712">
        <f>Sheet1!CW60-265</f>
        <v>1976.7708333333335</v>
      </c>
      <c r="AO60" s="712">
        <f t="shared" si="71"/>
        <v>27.933394255870773</v>
      </c>
      <c r="AP60" s="712">
        <f t="shared" si="72"/>
        <v>0</v>
      </c>
      <c r="AQ60" s="712">
        <f t="shared" si="304"/>
        <v>0</v>
      </c>
      <c r="AR60" s="712">
        <f t="shared" si="305"/>
        <v>0</v>
      </c>
      <c r="AS60" s="712"/>
      <c r="AT60" s="712">
        <f ca="1">IF(B60&gt;Summary!$A$1,#N/A,AR60*MGtoAF)</f>
        <v>0</v>
      </c>
      <c r="AU60" s="712">
        <f>Sheet1!BG60+Sheet1!BH60+Sheet1!BI60-BC60</f>
        <v>0</v>
      </c>
      <c r="AV60" s="712">
        <f t="shared" si="306"/>
        <v>0</v>
      </c>
      <c r="AW60" s="712">
        <f>IF(Sheet1!EL60="FM",BC60,0)</f>
        <v>0</v>
      </c>
      <c r="AX60" s="712">
        <f t="shared" si="307"/>
        <v>0</v>
      </c>
      <c r="AY60" s="712">
        <f>IF(Sheet1!EL60="OTHER",BC60,0)</f>
        <v>0</v>
      </c>
      <c r="AZ60" s="712">
        <f t="shared" si="308"/>
        <v>0</v>
      </c>
      <c r="BA60" s="712">
        <f t="shared" si="309"/>
        <v>0</v>
      </c>
      <c r="BB60" s="712">
        <f t="shared" si="310"/>
        <v>0</v>
      </c>
      <c r="BC60" s="712">
        <f>IF(OR(Sheet1!EL60="FM", Sheet1!EL60="OTHER"),SUM(Sheet1!BG60:'Sheet1'!BI60),0)</f>
        <v>0</v>
      </c>
      <c r="BD60" s="697">
        <f>IF(AND($B60&gt;=$FL60,$B60&lt;=$FM60),MAX(AV60,Sheet1!EE60,0),MAX(AV60-(7/36)*$K60,0))</f>
        <v>0</v>
      </c>
      <c r="BE60" s="712">
        <f t="shared" si="311"/>
        <v>0</v>
      </c>
      <c r="BF60" s="697">
        <f t="shared" si="73"/>
        <v>0</v>
      </c>
      <c r="BG60" s="697">
        <f>IF(AND($O60&gt;0,Sheet1!EI60=1),(1-($O60-Sheet1!$L60)/$O60)*BB60,0)</f>
        <v>0</v>
      </c>
      <c r="BH60" s="697">
        <f>IF(AND(Sheet1!$L60=0,Sheet1!$L59=0, Calculation!BA60&lt;Sheet1!$EE60-0.1,Sheet1!$EE60=Sheet1!$EE59,Sheet1!$EE60=Sheet1!$EE61),Sheet1!$EE60,BB60-BG60)</f>
        <v>0</v>
      </c>
      <c r="BI60" s="712"/>
      <c r="BJ60" s="712"/>
      <c r="BK60" s="712">
        <f t="shared" si="312"/>
        <v>0</v>
      </c>
      <c r="BL60" s="712"/>
      <c r="BM60" s="712">
        <f ca="1">IF(B60&gt;Summary!$A$1,#N/A,BK60*MGtoAF)</f>
        <v>0</v>
      </c>
      <c r="BN60" s="712">
        <f>Sheet1!BC60+Sheet1!BD60+Sheet1!BE60+Sheet1!BF60-BW60-BX60</f>
        <v>2.15</v>
      </c>
      <c r="BO60" s="712">
        <f t="shared" si="313"/>
        <v>2.1191253263715741</v>
      </c>
      <c r="BP60" s="712">
        <f>IF(Sheet1!EM60="FM",BX60,0)</f>
        <v>0</v>
      </c>
      <c r="BQ60" s="712">
        <f t="shared" si="314"/>
        <v>0</v>
      </c>
      <c r="BR60" s="712">
        <f>IF(Sheet1!EM60="OTHER",BX60,0)</f>
        <v>0</v>
      </c>
      <c r="BS60" s="712">
        <f t="shared" si="315"/>
        <v>0</v>
      </c>
      <c r="BT60" s="712">
        <f t="shared" si="316"/>
        <v>0</v>
      </c>
      <c r="BU60" s="712">
        <f t="shared" si="317"/>
        <v>2.15</v>
      </c>
      <c r="BV60" s="712">
        <f t="shared" si="318"/>
        <v>2.1191253263715741</v>
      </c>
      <c r="BW60" s="712">
        <f>IF(Sheet1!EM60="CWA",SUM(Sheet1!BC60:'Sheet1'!BF60),0)</f>
        <v>0</v>
      </c>
      <c r="BX60" s="712">
        <f>IF(OR(Sheet1!EM60="FM", Sheet1!EM60="OTHER"),SUM(Sheet1!BC60:'Sheet1'!BF60),0)</f>
        <v>0</v>
      </c>
      <c r="BY60" s="697">
        <f>IF(AND($B60&gt;=$FL60,$B60&lt;=$FM60),MAX(BV60,Sheet1!EF60,0),MAX(BV60-(7/36)*$K60,0))</f>
        <v>0</v>
      </c>
      <c r="BZ60" s="712">
        <f t="shared" si="319"/>
        <v>0</v>
      </c>
      <c r="CA60" s="697">
        <f t="shared" si="74"/>
        <v>2.1191253263715741</v>
      </c>
      <c r="CB60" s="697">
        <f>IF(AND($O60&gt;0,Sheet1!EJ60=1),(1-($O60-Sheet1!$L60)/$O60)*BV60,0)</f>
        <v>0</v>
      </c>
      <c r="CC60" s="697">
        <f>IF(AND(Sheet1!$L60=0,Sheet1!$L59=0, Calculation!BU60&lt;Sheet1!EF60-0.1,Sheet1!EF60=Sheet1!EF59,Sheet1!EF60=Sheet1!EF61),Sheet1!EF60,BV60-CB60)</f>
        <v>2.1191253263715741</v>
      </c>
      <c r="CD60" s="697"/>
      <c r="CE60" s="712"/>
      <c r="CF60" s="712">
        <f t="shared" si="320"/>
        <v>0</v>
      </c>
      <c r="CG60" s="712"/>
      <c r="CH60" s="712">
        <f ca="1">IF(B60&gt;Summary!$A$1,#N/A,CF60*MGtoAF)</f>
        <v>0</v>
      </c>
      <c r="CI60" s="712">
        <f>Sheet1!BK60+Sheet1!BL60+Sheet1!BM60-Sheet1!EN60-CQ60</f>
        <v>5.9700000000000006</v>
      </c>
      <c r="CJ60" s="712">
        <f t="shared" si="321"/>
        <v>5.8842689295061854</v>
      </c>
      <c r="CK60" s="712">
        <f>IF(Sheet1!EN60="FM",CQ60,0)</f>
        <v>0</v>
      </c>
      <c r="CL60" s="712">
        <f t="shared" si="322"/>
        <v>0</v>
      </c>
      <c r="CM60" s="712">
        <f>IF(Sheet1!EN60="OTHER",CQ60,0)</f>
        <v>0</v>
      </c>
      <c r="CN60" s="712">
        <f t="shared" si="323"/>
        <v>0</v>
      </c>
      <c r="CO60" s="712">
        <f t="shared" si="324"/>
        <v>5.9700000000000006</v>
      </c>
      <c r="CP60" s="712">
        <f t="shared" si="325"/>
        <v>5.8842689295061854</v>
      </c>
      <c r="CQ60" s="712">
        <f>IF(OR(Sheet1!EN60="FM", Sheet1!EN60="OTHER"),SUM(Sheet1!BK60:'Sheet1'!BM60),0)</f>
        <v>0</v>
      </c>
      <c r="CR60" s="697">
        <f>IF(AND($B60&gt;=$FL60,$B60&lt;=$FM60),MAX($CJ60,Sheet1!EG60,0),MAX($CJ60-(7/36)*$K60,0))</f>
        <v>0</v>
      </c>
      <c r="CS60" s="712">
        <f t="shared" si="326"/>
        <v>0</v>
      </c>
      <c r="CT60" s="697">
        <f t="shared" si="75"/>
        <v>5.8842689295061854</v>
      </c>
      <c r="CU60" s="697">
        <f>IF(AND($O60&gt;0,Sheet1!EK60=1),(1-($O60-Sheet1!$L60)/$O60)*CP60,0)</f>
        <v>0</v>
      </c>
      <c r="CV60" s="697">
        <f>IF(AND(Sheet1!$L60=0,Sheet1!$L59=0, Calculation!CO60&lt;Sheet1!$EG60-0.1,Sheet1!$EG60=Sheet1!$EG59,Sheet1!$EG60=Sheet1!$EG61),Sheet1!$EG60,CP60-CU60)</f>
        <v>5.8842689295061854</v>
      </c>
      <c r="CW60" s="697">
        <f t="shared" si="33"/>
        <v>0</v>
      </c>
      <c r="CX60" s="712">
        <f t="shared" si="87"/>
        <v>8.120000000000001</v>
      </c>
      <c r="CY60" s="712">
        <f t="shared" si="327"/>
        <v>0</v>
      </c>
      <c r="CZ60" s="712">
        <f t="shared" si="328"/>
        <v>8.00339425587776</v>
      </c>
      <c r="DA60" s="712">
        <f ca="1">IF(B60&gt;Summary!$A$1,#N/A,CY60*MGtoAF)</f>
        <v>0</v>
      </c>
      <c r="DB60" s="712">
        <f t="shared" si="329"/>
        <v>8.120000000000001</v>
      </c>
      <c r="DC60" s="712">
        <f t="shared" si="330"/>
        <v>15.32</v>
      </c>
      <c r="DD60" s="712">
        <f>Sheet1!AB60-DC60</f>
        <v>-0.21999999999417952</v>
      </c>
      <c r="DE60" s="712">
        <f t="shared" si="331"/>
        <v>-1.4360313315546965E-2</v>
      </c>
      <c r="DF60" s="712">
        <f>(VLOOKUP(Sheet1!CY60,hhdcap_wcm,4)-(((VLOOKUP(Sheet1!CY60,hhdcap_wcm,3)-Sheet1!CY60)/(VLOOKUP(Sheet1!CY60,hhdcap_wcm,3)-VLOOKUP(Sheet1!CY60,hhdcap_wcm,1)))*(VLOOKUP(Sheet1!CY60,hhdcap_wcm,4)-VLOOKUP(Sheet1!CY60,hhdcap_wcm,2))))</f>
        <v>2106.7000000030444</v>
      </c>
      <c r="DG60" s="712">
        <f t="shared" si="332"/>
        <v>-10.400000000000091</v>
      </c>
      <c r="DH60" s="712">
        <f t="shared" si="333"/>
        <v>-5.2445789208270748</v>
      </c>
      <c r="DI60" s="712">
        <f>Sheet1!DW60*AFtoMG</f>
        <v>0</v>
      </c>
      <c r="DJ60" s="712">
        <f>Sheet1!DX60*AFtoMG</f>
        <v>0</v>
      </c>
      <c r="DK60" s="712">
        <f>Sheet1!DY60*AFtoMG</f>
        <v>0</v>
      </c>
      <c r="DL60" s="712">
        <f>Sheet1!DZ60*AFtoMG</f>
        <v>0</v>
      </c>
      <c r="DM60" s="712">
        <f t="shared" si="334"/>
        <v>0</v>
      </c>
      <c r="DN60" s="712">
        <f t="shared" si="335"/>
        <v>0</v>
      </c>
      <c r="DO60" s="712">
        <f t="shared" si="336"/>
        <v>0</v>
      </c>
      <c r="DP60" s="712">
        <f t="shared" si="337"/>
        <v>0</v>
      </c>
      <c r="DQ60" s="712"/>
      <c r="DR60" s="697">
        <f>IF(OR(B60&lt;FL60,B60&gt;FM60),(MIN(AV60+BO60+CJ60+MAX(Sheet1!AA60+AG60-73,0),K60)),0)</f>
        <v>8.00339425587776</v>
      </c>
      <c r="DS60" s="712"/>
      <c r="DT60" s="712">
        <f t="shared" si="338"/>
        <v>8.00339425587776</v>
      </c>
      <c r="DU60" s="712"/>
      <c r="DV60" s="712">
        <f>Sheet1!ED60+Sheet1!EE60+Sheet1!EF60+Sheet1!EG60</f>
        <v>10.5</v>
      </c>
      <c r="DW60" s="712"/>
      <c r="DX60" s="697">
        <f t="shared" si="77"/>
        <v>0</v>
      </c>
      <c r="DY60" s="712">
        <f>IF(Sheet1!FN60=1,SUM('Calculations II'!AT60:BA60)+'Calculations II'!BC60+Sheet1!BU60+'Calculations II'!BE60+AF60,SUM('Calculations II'!AT60:BA60)+'Calculations II'!BC60+Sheet1!BU60+'Calculations II'!BE60+AF60)</f>
        <v>43.673027200000007</v>
      </c>
      <c r="DZ60" s="712">
        <f>Sheet1!AA60+Sheet1!AB60+'Calculations II'!BC60</f>
        <v>53.152195200006986</v>
      </c>
      <c r="EA60" s="712"/>
      <c r="EB60" s="712"/>
      <c r="EC60" s="712">
        <f t="shared" si="339"/>
        <v>40589</v>
      </c>
      <c r="ED60" s="712">
        <f t="shared" si="340"/>
        <v>0</v>
      </c>
      <c r="EE60" s="712">
        <f t="shared" si="341"/>
        <v>0</v>
      </c>
      <c r="EF60" s="712">
        <f>-(VLOOKUP(Sheet1!BQ60,Lookup!$B$4:$J$236,2)-VLOOKUP(Sheet1!BQ59,Lookup!$B$4:$J$236,2))/1000000</f>
        <v>0.27050000000000002</v>
      </c>
      <c r="EG60" s="712">
        <f>-(VLOOKUP(Sheet1!BR60,Lookup!$B$4:$J$236,3)-VLOOKUP(Sheet1!BR59,Lookup!$B$4:$J$236,3))/1000000</f>
        <v>0.27</v>
      </c>
      <c r="EH60" s="712">
        <f>-(VLOOKUP(Sheet1!BS60,Lookup!$B$4:$J$236,4)-VLOOKUP(Sheet1!BS59,Lookup!$B$4:$J$236,4))/1000000</f>
        <v>0</v>
      </c>
      <c r="EI60" s="697">
        <f t="shared" si="88"/>
        <v>0.54049999999999998</v>
      </c>
      <c r="EJ60" s="712"/>
      <c r="EK60" s="712"/>
      <c r="EL60" s="712"/>
      <c r="EM60" s="712"/>
      <c r="EN60" s="712"/>
      <c r="EO60" s="712"/>
      <c r="EP60" s="712"/>
      <c r="EQ60" s="712"/>
      <c r="ER60" s="697">
        <v>0</v>
      </c>
      <c r="ES60" s="712"/>
      <c r="ET60" s="794" t="e">
        <f t="shared" si="342"/>
        <v>#N/A</v>
      </c>
      <c r="EU60" s="794" t="e">
        <f t="shared" si="79"/>
        <v>#VALUE!</v>
      </c>
      <c r="EV60" s="795" t="e">
        <f t="shared" si="48"/>
        <v>#VALUE!</v>
      </c>
      <c r="EW60" s="796" t="s">
        <v>757</v>
      </c>
      <c r="EX60" s="796" t="s">
        <v>757</v>
      </c>
      <c r="EY60" s="794">
        <v>0</v>
      </c>
      <c r="EZ60" s="794" t="e">
        <v>#N/A</v>
      </c>
      <c r="FA60" s="712"/>
      <c r="FB60" s="712"/>
      <c r="FC60" s="712"/>
      <c r="FD60" s="712"/>
      <c r="FE60" s="712">
        <f>O60+Sheet1!CO60</f>
        <v>110.15000000000698</v>
      </c>
      <c r="FF60" s="712">
        <f>IF(Sheet1!AA60+AG60&lt;=Calculation!N60,AG60,Calculation!N60-Sheet1!AA60)</f>
        <v>7.0966057441280617</v>
      </c>
      <c r="FG60" s="712">
        <f>(Sheet1!BP60+Sheet1!BO60)/694.4</f>
        <v>2.1147753456221201</v>
      </c>
      <c r="FH60" s="712"/>
      <c r="FI60" s="712"/>
      <c r="FJ60" s="712"/>
      <c r="FK60" s="712"/>
      <c r="FL60" s="714">
        <f t="shared" si="89"/>
        <v>40753</v>
      </c>
      <c r="FM60" s="714">
        <f t="shared" si="90"/>
        <v>40851</v>
      </c>
      <c r="FN60" s="712"/>
      <c r="FO60" s="712"/>
      <c r="FP60" s="712"/>
      <c r="FQ60" s="712"/>
      <c r="FR60" s="712"/>
      <c r="FS60" s="725">
        <f t="shared" si="91"/>
        <v>40603</v>
      </c>
      <c r="FT60" s="714">
        <f t="shared" si="92"/>
        <v>40709</v>
      </c>
      <c r="FU60" s="712">
        <f t="shared" si="93"/>
        <v>6518.9048239895692</v>
      </c>
      <c r="FV60" s="714">
        <f t="shared" si="94"/>
        <v>40722</v>
      </c>
      <c r="FW60" s="712">
        <f t="shared" si="95"/>
        <v>3259.4524119947846</v>
      </c>
      <c r="FX60" s="725">
        <f t="shared" si="96"/>
        <v>40851</v>
      </c>
      <c r="FZ60" s="697">
        <f t="shared" si="49"/>
        <v>0</v>
      </c>
      <c r="GA60" s="712" t="str">
        <f t="shared" si="343"/>
        <v/>
      </c>
      <c r="GB60" s="712">
        <f t="shared" si="344"/>
        <v>0</v>
      </c>
      <c r="GC60" s="712" t="str">
        <f t="shared" si="345"/>
        <v/>
      </c>
      <c r="GD60" s="712">
        <f>IF(GA60="P",Lookup!$M$12,IF(GA60="PP",Lookup!$M$13,IF(GA60="PPP",Lookup!$M$14,IF(GA60="T",Lookup!$M$15,IF(GA60="TP",Lookup!$M$16,IF(GA60="TPP",Lookup!$M$17,IF(GA60="TPPP",Lookup!$M$18,0)))))))*FZ60</f>
        <v>0</v>
      </c>
      <c r="GE60" s="712">
        <f t="shared" si="346"/>
        <v>0</v>
      </c>
      <c r="GF60" s="712">
        <f t="shared" si="347"/>
        <v>0</v>
      </c>
      <c r="GG60" s="712">
        <f t="shared" si="348"/>
        <v>0</v>
      </c>
      <c r="GH60" s="712"/>
      <c r="GI60" s="712">
        <f t="shared" si="349"/>
        <v>0</v>
      </c>
      <c r="GJ60" s="712" t="str">
        <f t="shared" si="350"/>
        <v/>
      </c>
      <c r="GK60" s="712">
        <f>IF(GA60="P",Lookup!$N$12,IF(GA60="PP",Lookup!$N$13,IF(GA60="PPP",Lookup!$N$14,IF(GA60="T",Lookup!$N$15,IF(GA60="TP",Lookup!$N$16,IF(GA60="TPP",Lookup!$N$17,IF(GA60="TPPP",Lookup!$N$18,0)))))))*FZ60</f>
        <v>0</v>
      </c>
      <c r="GL60" s="712">
        <f t="shared" si="351"/>
        <v>0</v>
      </c>
      <c r="GM60" s="712">
        <f t="shared" si="352"/>
        <v>0</v>
      </c>
      <c r="GN60" s="712">
        <f t="shared" si="353"/>
        <v>0</v>
      </c>
      <c r="GO60" s="712"/>
      <c r="GP60" s="712">
        <f t="shared" si="354"/>
        <v>0</v>
      </c>
      <c r="GQ60" s="712" t="str">
        <f t="shared" si="355"/>
        <v/>
      </c>
      <c r="GR60" s="712">
        <f>IF(GA60="P",Lookup!$N$12,IF(GA60="PP",Lookup!$N$13,IF(GA60="PPP",Lookup!$N$14,IF(GA60="T",Lookup!$N$15,IF(GA60="TP",Lookup!$N$16,IF(GA60="TPP",Lookup!$N$17,IF(GA60="TPPP",Lookup!$N$18,0)))))))*FZ60</f>
        <v>0</v>
      </c>
      <c r="GS60" s="697">
        <f t="shared" si="83"/>
        <v>0</v>
      </c>
      <c r="GT60" s="712">
        <f t="shared" si="356"/>
        <v>0</v>
      </c>
      <c r="GU60" s="712">
        <f t="shared" si="357"/>
        <v>0</v>
      </c>
      <c r="GV60" s="712"/>
      <c r="GW60" s="712">
        <f t="shared" si="358"/>
        <v>0</v>
      </c>
      <c r="GX60" s="712" t="str">
        <f t="shared" si="359"/>
        <v/>
      </c>
      <c r="GY60" s="712">
        <f>IF(GA60="P",Lookup!$N$12,IF(GA60="PP",Lookup!$N$13,IF(GA60="PPP",Lookup!$N$14,IF(GA60="T",Lookup!$N$15,IF(GA60="TP",Lookup!$N$16,IF(GA60="TPP",Lookup!$N$17,IF(GA60="TPPP",Lookup!$N$18,0)))))))*FZ60</f>
        <v>0</v>
      </c>
      <c r="GZ60" s="697">
        <f t="shared" si="85"/>
        <v>0</v>
      </c>
      <c r="HA60" s="712">
        <f t="shared" si="360"/>
        <v>0</v>
      </c>
      <c r="HB60" s="712">
        <f t="shared" si="361"/>
        <v>0</v>
      </c>
      <c r="HC60" s="712"/>
    </row>
    <row r="61" spans="1:211">
      <c r="A61" s="773" t="s">
        <v>6</v>
      </c>
      <c r="B61" s="708">
        <v>40590</v>
      </c>
      <c r="C61" s="719">
        <v>0.5</v>
      </c>
      <c r="D61" s="675">
        <f t="shared" si="65"/>
        <v>300</v>
      </c>
      <c r="E61" s="675">
        <f t="shared" si="66"/>
        <v>250</v>
      </c>
      <c r="F61" s="675">
        <v>250</v>
      </c>
      <c r="G61" s="712">
        <f>DH61+Sheet1!CV61</f>
        <v>1262.582836462846</v>
      </c>
      <c r="H61" s="712">
        <f t="shared" si="294"/>
        <v>549.17034548958361</v>
      </c>
      <c r="I61" s="711">
        <f>MAX(Sheet1!Z61-AJ61+(Sheet1!CW61-E61)*CFStoMGD,0)</f>
        <v>1203.435769791163</v>
      </c>
      <c r="J61" s="720">
        <f>IF(AND(B61&gt;=Calculation!FS61,B61&lt;=Calculation!FT61),IF(Sheet1!CX61&gt;=Calculation!D61,64.64,0),MAX(Sheet1!Z61-AJ61+(Sheet1!CX61-D61)*CFStoMGD,0))</f>
        <v>618.03976979116305</v>
      </c>
      <c r="K61" s="697">
        <f t="shared" si="67"/>
        <v>64.64</v>
      </c>
      <c r="L61" s="712">
        <f>Sheet1!AA61+Sheet1!AB61-Sheet1!L61+(Sheet1!CW61-F61)*CFStoMGD</f>
        <v>1250.6700000000008</v>
      </c>
      <c r="M61" s="712">
        <f t="shared" si="295"/>
        <v>832.45621639937531</v>
      </c>
      <c r="N61" s="712">
        <f>IF(Sheet1!CW61&gt;=F61,MIN(73,MIN(MAX(L61,0),MAX(M61,0))),0)</f>
        <v>73</v>
      </c>
      <c r="O61" s="721">
        <f>Sheet1!AA61+Sheet1!AB61</f>
        <v>50.790000000000873</v>
      </c>
      <c r="P61" s="721">
        <f t="shared" si="296"/>
        <v>78.572130000001351</v>
      </c>
      <c r="Q61" s="712">
        <f>MIN(N61,Sheet1!AA61+AG61)</f>
        <v>41.304230208842107</v>
      </c>
      <c r="R61" s="712">
        <f t="shared" si="297"/>
        <v>9.4857697911587664</v>
      </c>
      <c r="S61" s="721">
        <f>Sheet1!Y61*MGDtoCFS</f>
        <v>46.920509999999993</v>
      </c>
      <c r="T61" s="721">
        <f>Sheet1!Z61*MGDtoCFS</f>
        <v>23.003889999999998</v>
      </c>
      <c r="U61" s="721">
        <f>Sheet1!AA61*MGDtoCFS</f>
        <v>46.394530000008103</v>
      </c>
      <c r="V61" s="721">
        <f>Sheet1!AB61*MGDtoCFS</f>
        <v>32.177599999993248</v>
      </c>
      <c r="W61" s="721">
        <f>Sheet1!L61*MGDtoCFS</f>
        <v>0</v>
      </c>
      <c r="X61" s="697">
        <f t="shared" si="68"/>
        <v>0</v>
      </c>
      <c r="Y61" s="712">
        <f t="shared" si="298"/>
        <v>0</v>
      </c>
      <c r="Z61" s="712">
        <f t="shared" si="299"/>
        <v>0</v>
      </c>
      <c r="AA61" s="712">
        <f t="shared" si="300"/>
        <v>0</v>
      </c>
      <c r="AB61" s="712">
        <f>(VLOOKUP(Sheet1!CY61,hhdcap_wcm,4)-(((VLOOKUP(Sheet1!CY61,hhdcap_wcm,3)-Sheet1!CY61)/(VLOOKUP(Sheet1!CY61,hhdcap_wcm,3)-VLOOKUP(Sheet1!CY61,hhdcap_wcm,1)))*(VLOOKUP(Sheet1!CY61,hhdcap_wcm,4)-VLOOKUP(Sheet1!CY61,hhdcap_wcm,2))))</f>
        <v>2043.0000000029854</v>
      </c>
      <c r="AC61" s="712">
        <f t="shared" si="301"/>
        <v>-63.700000000058935</v>
      </c>
      <c r="AD61" s="712">
        <f t="shared" si="70"/>
        <v>0</v>
      </c>
      <c r="AE61" s="712">
        <f t="shared" si="302"/>
        <v>0</v>
      </c>
      <c r="AF61" s="712">
        <f>Sheet1!BA61+Sheet1!BB61+Sheet1!BN61+BT61</f>
        <v>11.2</v>
      </c>
      <c r="AG61" s="712">
        <f t="shared" si="303"/>
        <v>11.314230208836866</v>
      </c>
      <c r="AH61" s="712">
        <f>Sheet1!BA61+BT61</f>
        <v>0</v>
      </c>
      <c r="AI61" s="712">
        <f>Sheet1!BA61+Sheet1!BB61+BT61</f>
        <v>0</v>
      </c>
      <c r="AJ61" s="712">
        <f>IF((Sheet1!AA61+AG61+AX61+AZ61+BQ61+BS61+CL61+CN61)&lt;=N61,AG61+AX61+AZ61+BQ61+BS61+CL61+CN61,N61-Sheet1!AA61)</f>
        <v>11.314230208836866</v>
      </c>
      <c r="AK61" s="712">
        <f>IF(DR61&lt;K61,0,MAX(Sheet1!AA61+AG61-15/36*K61-N61,Sheet1!ED61,0))</f>
        <v>0</v>
      </c>
      <c r="AL61" s="712">
        <f>IF(OR(B61&gt;=FT61,B61&lt;FS61),0,15/36*K61-MAX(0,64.6-(137.6-(Sheet1!AA61+Sheet1!AB61))))</f>
        <v>0</v>
      </c>
      <c r="AM61" s="712">
        <f>Sheet1!CX61-110</f>
        <v>1140.625</v>
      </c>
      <c r="AN61" s="712">
        <f>Sheet1!CW61-265</f>
        <v>1841.25</v>
      </c>
      <c r="AO61" s="712">
        <f t="shared" si="71"/>
        <v>31.695769791157893</v>
      </c>
      <c r="AP61" s="712">
        <f t="shared" si="72"/>
        <v>0</v>
      </c>
      <c r="AQ61" s="712">
        <f t="shared" si="304"/>
        <v>0</v>
      </c>
      <c r="AR61" s="712">
        <f t="shared" si="305"/>
        <v>0</v>
      </c>
      <c r="AS61" s="712"/>
      <c r="AT61" s="712">
        <f ca="1">IF(B61&gt;Summary!$A$1,#N/A,AR61*MGtoAF)</f>
        <v>0</v>
      </c>
      <c r="AU61" s="712">
        <f>Sheet1!BG61+Sheet1!BH61+Sheet1!BI61-BC61</f>
        <v>0</v>
      </c>
      <c r="AV61" s="712">
        <f t="shared" si="306"/>
        <v>0</v>
      </c>
      <c r="AW61" s="712">
        <f>IF(Sheet1!EL61="FM",BC61,0)</f>
        <v>0</v>
      </c>
      <c r="AX61" s="712">
        <f t="shared" si="307"/>
        <v>0</v>
      </c>
      <c r="AY61" s="712">
        <f>IF(Sheet1!EL61="OTHER",BC61,0)</f>
        <v>0</v>
      </c>
      <c r="AZ61" s="712">
        <f t="shared" si="308"/>
        <v>0</v>
      </c>
      <c r="BA61" s="712">
        <f t="shared" si="309"/>
        <v>0</v>
      </c>
      <c r="BB61" s="712">
        <f t="shared" si="310"/>
        <v>0</v>
      </c>
      <c r="BC61" s="712">
        <f>IF(OR(Sheet1!EL61="FM", Sheet1!EL61="OTHER"),SUM(Sheet1!BG61:'Sheet1'!BI61),0)</f>
        <v>0</v>
      </c>
      <c r="BD61" s="697">
        <f>IF(AND($B61&gt;=$FL61,$B61&lt;=$FM61),MAX(AV61,Sheet1!EE61,0),MAX(AV61-(7/36)*$K61,0))</f>
        <v>0</v>
      </c>
      <c r="BE61" s="712">
        <f t="shared" si="311"/>
        <v>0</v>
      </c>
      <c r="BF61" s="697">
        <f t="shared" si="73"/>
        <v>0</v>
      </c>
      <c r="BG61" s="697">
        <f>IF(AND($O61&gt;0,Sheet1!EI61=1),(1-($O61-Sheet1!$L61)/$O61)*BB61,0)</f>
        <v>0</v>
      </c>
      <c r="BH61" s="697">
        <f>IF(AND(Sheet1!$L61=0,Sheet1!$L60=0, Calculation!BA61&lt;Sheet1!$EE61-0.1,Sheet1!$EE61=Sheet1!$EE60,Sheet1!$EE61=Sheet1!$EE62),Sheet1!$EE61,BB61-BG61)</f>
        <v>0</v>
      </c>
      <c r="BI61" s="712"/>
      <c r="BJ61" s="712"/>
      <c r="BK61" s="712">
        <f t="shared" si="312"/>
        <v>0</v>
      </c>
      <c r="BL61" s="712"/>
      <c r="BM61" s="712">
        <f ca="1">IF(B61&gt;Summary!$A$1,#N/A,BK61*MGtoAF)</f>
        <v>0</v>
      </c>
      <c r="BN61" s="712">
        <f>Sheet1!BC61+Sheet1!BD61+Sheet1!BE61+Sheet1!BF61-BW61-BX61</f>
        <v>3.42</v>
      </c>
      <c r="BO61" s="712">
        <f t="shared" si="313"/>
        <v>3.4548810101984007</v>
      </c>
      <c r="BP61" s="712">
        <f>IF(Sheet1!EM61="FM",BX61,0)</f>
        <v>0</v>
      </c>
      <c r="BQ61" s="712">
        <f t="shared" si="314"/>
        <v>0</v>
      </c>
      <c r="BR61" s="712">
        <f>IF(Sheet1!EM61="OTHER",BX61,0)</f>
        <v>0</v>
      </c>
      <c r="BS61" s="712">
        <f t="shared" si="315"/>
        <v>0</v>
      </c>
      <c r="BT61" s="712">
        <f t="shared" si="316"/>
        <v>0</v>
      </c>
      <c r="BU61" s="712">
        <f t="shared" si="317"/>
        <v>3.42</v>
      </c>
      <c r="BV61" s="712">
        <f t="shared" si="318"/>
        <v>3.4548810101984007</v>
      </c>
      <c r="BW61" s="712">
        <f>IF(Sheet1!EM61="CWA",SUM(Sheet1!BC61:'Sheet1'!BF61),0)</f>
        <v>0</v>
      </c>
      <c r="BX61" s="712">
        <f>IF(OR(Sheet1!EM61="FM", Sheet1!EM61="OTHER"),SUM(Sheet1!BC61:'Sheet1'!BF61),0)</f>
        <v>0</v>
      </c>
      <c r="BY61" s="697">
        <f>IF(AND($B61&gt;=$FL61,$B61&lt;=$FM61),MAX(BV61,Sheet1!EF61,0),MAX(BV61-(7/36)*$K61,0))</f>
        <v>0</v>
      </c>
      <c r="BZ61" s="712">
        <f t="shared" si="319"/>
        <v>0</v>
      </c>
      <c r="CA61" s="697">
        <f t="shared" si="74"/>
        <v>3.4548810101984007</v>
      </c>
      <c r="CB61" s="697">
        <f>IF(AND($O61&gt;0,Sheet1!EJ61=1),(1-($O61-Sheet1!$L61)/$O61)*BV61,0)</f>
        <v>0</v>
      </c>
      <c r="CC61" s="697">
        <f>IF(AND(Sheet1!$L61=0,Sheet1!$L60=0, Calculation!BU61&lt;Sheet1!EF61-0.1,Sheet1!EF61=Sheet1!EF60,Sheet1!EF61=Sheet1!EF62),Sheet1!EF61,BV61-CB61)</f>
        <v>3.4548810101984007</v>
      </c>
      <c r="CD61" s="697"/>
      <c r="CE61" s="712"/>
      <c r="CF61" s="712">
        <f t="shared" si="320"/>
        <v>0</v>
      </c>
      <c r="CG61" s="712"/>
      <c r="CH61" s="712">
        <f ca="1">IF(B61&gt;Summary!$A$1,#N/A,CF61*MGtoAF)</f>
        <v>0</v>
      </c>
      <c r="CI61" s="712">
        <f>Sheet1!BK61+Sheet1!BL61+Sheet1!BM61-Sheet1!EN61-CQ61</f>
        <v>5.9700000000000006</v>
      </c>
      <c r="CJ61" s="712">
        <f t="shared" si="321"/>
        <v>6.0308887809603666</v>
      </c>
      <c r="CK61" s="712">
        <f>IF(Sheet1!EN61="FM",CQ61,0)</f>
        <v>0</v>
      </c>
      <c r="CL61" s="712">
        <f t="shared" si="322"/>
        <v>0</v>
      </c>
      <c r="CM61" s="712">
        <f>IF(Sheet1!EN61="OTHER",CQ61,0)</f>
        <v>0</v>
      </c>
      <c r="CN61" s="712">
        <f t="shared" si="323"/>
        <v>0</v>
      </c>
      <c r="CO61" s="712">
        <f t="shared" si="324"/>
        <v>5.9700000000000006</v>
      </c>
      <c r="CP61" s="712">
        <f t="shared" si="325"/>
        <v>6.0308887809603666</v>
      </c>
      <c r="CQ61" s="712">
        <f>IF(OR(Sheet1!EN61="FM", Sheet1!EN61="OTHER"),SUM(Sheet1!BK61:'Sheet1'!BM61),0)</f>
        <v>0</v>
      </c>
      <c r="CR61" s="697">
        <f>IF(AND($B61&gt;=$FL61,$B61&lt;=$FM61),MAX($CJ61,Sheet1!EG61,0),MAX($CJ61-(7/36)*$K61,0))</f>
        <v>0</v>
      </c>
      <c r="CS61" s="712">
        <f t="shared" si="326"/>
        <v>0</v>
      </c>
      <c r="CT61" s="697">
        <f t="shared" si="75"/>
        <v>6.0308887809603666</v>
      </c>
      <c r="CU61" s="697">
        <f>IF(AND($O61&gt;0,Sheet1!EK61=1),(1-($O61-Sheet1!$L61)/$O61)*CP61,0)</f>
        <v>0</v>
      </c>
      <c r="CV61" s="697">
        <f>IF(AND(Sheet1!$L61=0,Sheet1!$L60=0, Calculation!CO61&lt;Sheet1!$EG61-0.1,Sheet1!$EG61=Sheet1!$EG60,Sheet1!$EG61=Sheet1!$EG62),Sheet1!$EG61,CP61-CU61)</f>
        <v>6.0308887809603666</v>
      </c>
      <c r="CW61" s="697">
        <f t="shared" si="33"/>
        <v>0</v>
      </c>
      <c r="CX61" s="712">
        <f t="shared" si="87"/>
        <v>9.39</v>
      </c>
      <c r="CY61" s="712">
        <f t="shared" si="327"/>
        <v>0</v>
      </c>
      <c r="CZ61" s="712">
        <f t="shared" si="328"/>
        <v>9.4857697911587664</v>
      </c>
      <c r="DA61" s="712">
        <f ca="1">IF(B61&gt;Summary!$A$1,#N/A,CY61*MGtoAF)</f>
        <v>0</v>
      </c>
      <c r="DB61" s="712">
        <f t="shared" si="329"/>
        <v>9.39</v>
      </c>
      <c r="DC61" s="712">
        <f t="shared" si="330"/>
        <v>20.59</v>
      </c>
      <c r="DD61" s="712">
        <f>Sheet1!AB61-DC61</f>
        <v>0.20999999999563457</v>
      </c>
      <c r="DE61" s="712">
        <f t="shared" si="331"/>
        <v>1.019912578900605E-2</v>
      </c>
      <c r="DF61" s="712">
        <f>(VLOOKUP(Sheet1!CY61,hhdcap_wcm,4)-(((VLOOKUP(Sheet1!CY61,hhdcap_wcm,3)-Sheet1!CY61)/(VLOOKUP(Sheet1!CY61,hhdcap_wcm,3)-VLOOKUP(Sheet1!CY61,hhdcap_wcm,1)))*(VLOOKUP(Sheet1!CY61,hhdcap_wcm,4)-VLOOKUP(Sheet1!CY61,hhdcap_wcm,2))))</f>
        <v>2043.0000000029854</v>
      </c>
      <c r="DG61" s="712">
        <f t="shared" si="332"/>
        <v>-63.700000000058935</v>
      </c>
      <c r="DH61" s="712">
        <f t="shared" si="333"/>
        <v>-32.12304589009527</v>
      </c>
      <c r="DI61" s="712">
        <f>Sheet1!DW61*AFtoMG</f>
        <v>0</v>
      </c>
      <c r="DJ61" s="712">
        <f>Sheet1!DX61*AFtoMG</f>
        <v>0</v>
      </c>
      <c r="DK61" s="712">
        <f>Sheet1!DY61*AFtoMG</f>
        <v>0</v>
      </c>
      <c r="DL61" s="712">
        <f>Sheet1!DZ61*AFtoMG</f>
        <v>0</v>
      </c>
      <c r="DM61" s="712">
        <f t="shared" si="334"/>
        <v>0</v>
      </c>
      <c r="DN61" s="712">
        <f t="shared" si="335"/>
        <v>0</v>
      </c>
      <c r="DO61" s="712">
        <f t="shared" si="336"/>
        <v>0</v>
      </c>
      <c r="DP61" s="712">
        <f t="shared" si="337"/>
        <v>0</v>
      </c>
      <c r="DQ61" s="712"/>
      <c r="DR61" s="697">
        <f>IF(OR(B61&lt;FL61,B61&gt;FM61),(MIN(AV61+BO61+CJ61+MAX(Sheet1!AA61+AG61-73,0),K61)),0)</f>
        <v>9.4857697911587664</v>
      </c>
      <c r="DS61" s="712"/>
      <c r="DT61" s="712">
        <f t="shared" si="338"/>
        <v>9.4857697911587664</v>
      </c>
      <c r="DU61" s="712"/>
      <c r="DV61" s="712">
        <f>Sheet1!ED61+Sheet1!EE61+Sheet1!EF61+Sheet1!EG61</f>
        <v>10.5</v>
      </c>
      <c r="DW61" s="712"/>
      <c r="DX61" s="697">
        <f t="shared" si="77"/>
        <v>0</v>
      </c>
      <c r="DY61" s="712">
        <f>IF(Sheet1!FN61=1,SUM('Calculations II'!AT61:BA61)+'Calculations II'!BC61+Sheet1!BU61+'Calculations II'!BE61+AF61,SUM('Calculations II'!AT61:BA61)+'Calculations II'!BC61+Sheet1!BU61+'Calculations II'!BE61+AF61)</f>
        <v>44.338223999999997</v>
      </c>
      <c r="DZ61" s="712">
        <f>Sheet1!AA61+Sheet1!AB61+'Calculations II'!BC61</f>
        <v>50.893824000000876</v>
      </c>
      <c r="EA61" s="712"/>
      <c r="EB61" s="712"/>
      <c r="EC61" s="712">
        <f t="shared" si="339"/>
        <v>40590</v>
      </c>
      <c r="ED61" s="712">
        <f t="shared" si="340"/>
        <v>0</v>
      </c>
      <c r="EE61" s="712">
        <f t="shared" si="341"/>
        <v>0</v>
      </c>
      <c r="EF61" s="712">
        <f>-(VLOOKUP(Sheet1!BQ61,Lookup!$B$4:$J$236,2)-VLOOKUP(Sheet1!BQ60,Lookup!$B$4:$J$236,2))/1000000</f>
        <v>2.9517000000000002</v>
      </c>
      <c r="EG61" s="712">
        <f>-(VLOOKUP(Sheet1!BR61,Lookup!$B$4:$J$236,3)-VLOOKUP(Sheet1!BR60,Lookup!$B$4:$J$236,3))/1000000</f>
        <v>2.6762000000000001</v>
      </c>
      <c r="EH61" s="712">
        <f>-(VLOOKUP(Sheet1!BS61,Lookup!$B$4:$J$236,4)-VLOOKUP(Sheet1!BS60,Lookup!$B$4:$J$236,4))/1000000</f>
        <v>0</v>
      </c>
      <c r="EI61" s="697">
        <f t="shared" si="88"/>
        <v>5.6279000000000003</v>
      </c>
      <c r="EJ61" s="712"/>
      <c r="EK61" s="712"/>
      <c r="EL61" s="712"/>
      <c r="EM61" s="712"/>
      <c r="EN61" s="712"/>
      <c r="EO61" s="712"/>
      <c r="EP61" s="712"/>
      <c r="EQ61" s="712"/>
      <c r="ER61" s="697">
        <v>0</v>
      </c>
      <c r="ES61" s="712"/>
      <c r="ET61" s="794" t="e">
        <f t="shared" si="342"/>
        <v>#N/A</v>
      </c>
      <c r="EU61" s="794" t="e">
        <f t="shared" si="79"/>
        <v>#VALUE!</v>
      </c>
      <c r="EV61" s="795" t="e">
        <f t="shared" si="48"/>
        <v>#VALUE!</v>
      </c>
      <c r="EW61" s="796" t="s">
        <v>757</v>
      </c>
      <c r="EX61" s="796" t="s">
        <v>757</v>
      </c>
      <c r="EY61" s="794">
        <v>0</v>
      </c>
      <c r="EZ61" s="794" t="e">
        <v>#N/A</v>
      </c>
      <c r="FA61" s="712"/>
      <c r="FB61" s="712"/>
      <c r="FC61" s="712"/>
      <c r="FD61" s="712"/>
      <c r="FE61" s="712">
        <f>O61+Sheet1!CO61</f>
        <v>122.89000000000087</v>
      </c>
      <c r="FF61" s="712">
        <f>IF(Sheet1!AA61+AG61&lt;=Calculation!N61,AG61,Calculation!N61-Sheet1!AA61)</f>
        <v>11.314230208836866</v>
      </c>
      <c r="FG61" s="712">
        <f>(Sheet1!BP61+Sheet1!BO61)/694.4</f>
        <v>1.9747983870967742</v>
      </c>
      <c r="FH61" s="712"/>
      <c r="FI61" s="712"/>
      <c r="FJ61" s="712"/>
      <c r="FK61" s="712"/>
      <c r="FL61" s="714">
        <f t="shared" si="89"/>
        <v>40753</v>
      </c>
      <c r="FM61" s="714">
        <f t="shared" si="90"/>
        <v>40851</v>
      </c>
      <c r="FN61" s="712"/>
      <c r="FO61" s="712"/>
      <c r="FP61" s="712"/>
      <c r="FQ61" s="712"/>
      <c r="FR61" s="712"/>
      <c r="FS61" s="725">
        <f t="shared" si="91"/>
        <v>40603</v>
      </c>
      <c r="FT61" s="714">
        <f t="shared" si="92"/>
        <v>40709</v>
      </c>
      <c r="FU61" s="712">
        <f t="shared" si="93"/>
        <v>6518.9048239895692</v>
      </c>
      <c r="FV61" s="714">
        <f t="shared" si="94"/>
        <v>40722</v>
      </c>
      <c r="FW61" s="712">
        <f t="shared" si="95"/>
        <v>3259.4524119947846</v>
      </c>
      <c r="FX61" s="725">
        <f t="shared" si="96"/>
        <v>40851</v>
      </c>
      <c r="FZ61" s="697">
        <f t="shared" si="49"/>
        <v>0</v>
      </c>
      <c r="GA61" s="712" t="str">
        <f t="shared" si="343"/>
        <v/>
      </c>
      <c r="GB61" s="712">
        <f t="shared" si="344"/>
        <v>0</v>
      </c>
      <c r="GC61" s="712" t="str">
        <f t="shared" si="345"/>
        <v/>
      </c>
      <c r="GD61" s="712">
        <f>IF(GA61="P",Lookup!$M$12,IF(GA61="PP",Lookup!$M$13,IF(GA61="PPP",Lookup!$M$14,IF(GA61="T",Lookup!$M$15,IF(GA61="TP",Lookup!$M$16,IF(GA61="TPP",Lookup!$M$17,IF(GA61="TPPP",Lookup!$M$18,0)))))))*FZ61</f>
        <v>0</v>
      </c>
      <c r="GE61" s="712">
        <f t="shared" si="346"/>
        <v>0</v>
      </c>
      <c r="GF61" s="712">
        <f t="shared" si="347"/>
        <v>0</v>
      </c>
      <c r="GG61" s="712">
        <f t="shared" si="348"/>
        <v>0</v>
      </c>
      <c r="GH61" s="712"/>
      <c r="GI61" s="712">
        <f t="shared" si="349"/>
        <v>0</v>
      </c>
      <c r="GJ61" s="712" t="str">
        <f t="shared" si="350"/>
        <v/>
      </c>
      <c r="GK61" s="712">
        <f>IF(GA61="P",Lookup!$N$12,IF(GA61="PP",Lookup!$N$13,IF(GA61="PPP",Lookup!$N$14,IF(GA61="T",Lookup!$N$15,IF(GA61="TP",Lookup!$N$16,IF(GA61="TPP",Lookup!$N$17,IF(GA61="TPPP",Lookup!$N$18,0)))))))*FZ61</f>
        <v>0</v>
      </c>
      <c r="GL61" s="712">
        <f t="shared" si="351"/>
        <v>0</v>
      </c>
      <c r="GM61" s="712">
        <f t="shared" si="352"/>
        <v>0</v>
      </c>
      <c r="GN61" s="712">
        <f t="shared" si="353"/>
        <v>0</v>
      </c>
      <c r="GO61" s="712"/>
      <c r="GP61" s="712">
        <f t="shared" si="354"/>
        <v>0</v>
      </c>
      <c r="GQ61" s="712" t="str">
        <f t="shared" si="355"/>
        <v/>
      </c>
      <c r="GR61" s="712">
        <f>IF(GA61="P",Lookup!$N$12,IF(GA61="PP",Lookup!$N$13,IF(GA61="PPP",Lookup!$N$14,IF(GA61="T",Lookup!$N$15,IF(GA61="TP",Lookup!$N$16,IF(GA61="TPP",Lookup!$N$17,IF(GA61="TPPP",Lookup!$N$18,0)))))))*FZ61</f>
        <v>0</v>
      </c>
      <c r="GS61" s="697">
        <f t="shared" si="83"/>
        <v>0</v>
      </c>
      <c r="GT61" s="712">
        <f t="shared" si="356"/>
        <v>0</v>
      </c>
      <c r="GU61" s="712">
        <f t="shared" si="357"/>
        <v>0</v>
      </c>
      <c r="GV61" s="712"/>
      <c r="GW61" s="712">
        <f t="shared" si="358"/>
        <v>0</v>
      </c>
      <c r="GX61" s="712" t="str">
        <f t="shared" si="359"/>
        <v/>
      </c>
      <c r="GY61" s="712">
        <f>IF(GA61="P",Lookup!$N$12,IF(GA61="PP",Lookup!$N$13,IF(GA61="PPP",Lookup!$N$14,IF(GA61="T",Lookup!$N$15,IF(GA61="TP",Lookup!$N$16,IF(GA61="TPP",Lookup!$N$17,IF(GA61="TPPP",Lookup!$N$18,0)))))))*FZ61</f>
        <v>0</v>
      </c>
      <c r="GZ61" s="697">
        <f t="shared" si="85"/>
        <v>0</v>
      </c>
      <c r="HA61" s="712">
        <f t="shared" si="360"/>
        <v>0</v>
      </c>
      <c r="HB61" s="712">
        <f t="shared" si="361"/>
        <v>0</v>
      </c>
      <c r="HC61" s="712"/>
    </row>
    <row r="62" spans="1:211">
      <c r="A62" s="773" t="s">
        <v>7</v>
      </c>
      <c r="B62" s="708">
        <v>40591</v>
      </c>
      <c r="C62" s="709">
        <v>0.5</v>
      </c>
      <c r="D62" s="675">
        <f t="shared" si="65"/>
        <v>300</v>
      </c>
      <c r="E62" s="675">
        <f t="shared" si="66"/>
        <v>250</v>
      </c>
      <c r="F62" s="710">
        <v>250</v>
      </c>
      <c r="G62" s="712">
        <f>DH62+Sheet1!CV62</f>
        <v>1229.4435050873453</v>
      </c>
      <c r="H62" s="712">
        <f t="shared" si="294"/>
        <v>527.74908168846002</v>
      </c>
      <c r="I62" s="711">
        <f>MAX(Sheet1!Z62-AJ62+(Sheet1!CW62-E62)*CFStoMGD,0)</f>
        <v>1139.177650687476</v>
      </c>
      <c r="J62" s="720">
        <f>IF(AND(B62&gt;=Calculation!FS62,B62&lt;=Calculation!FT62),IF(Sheet1!CX62&gt;=Calculation!D62,64.64,0),MAX(Sheet1!Z62-AJ62+(Sheet1!CX62-D62)*CFStoMGD,0))</f>
        <v>541.97138402080918</v>
      </c>
      <c r="K62" s="697">
        <f t="shared" si="67"/>
        <v>64.64</v>
      </c>
      <c r="L62" s="712">
        <f>Sheet1!AA62+Sheet1!AB62-Sheet1!L62+(Sheet1!CW62-F62)*CFStoMGD</f>
        <v>1187.4413333333284</v>
      </c>
      <c r="M62" s="712">
        <f t="shared" si="295"/>
        <v>810.60652732222923</v>
      </c>
      <c r="N62" s="712">
        <f>IF(Sheet1!CW62&gt;=F62,MIN(73,MIN(MAX(L62,0),MAX(M62,0))),0)</f>
        <v>73</v>
      </c>
      <c r="O62" s="721">
        <f>Sheet1!AA62+Sheet1!AB62</f>
        <v>56.439999999995052</v>
      </c>
      <c r="P62" s="721">
        <f t="shared" si="296"/>
        <v>87.312679999992355</v>
      </c>
      <c r="Q62" s="712">
        <f>MIN(N62,Sheet1!AA62+AG62)</f>
        <v>46.533682645851073</v>
      </c>
      <c r="R62" s="712">
        <f t="shared" si="297"/>
        <v>9.906317354143976</v>
      </c>
      <c r="S62" s="721">
        <f>Sheet1!Y62*MGDtoCFS</f>
        <v>46.1006</v>
      </c>
      <c r="T62" s="721">
        <f>Sheet1!Z62*MGDtoCFS</f>
        <v>37.901499999999999</v>
      </c>
      <c r="U62" s="721">
        <f>Sheet1!AA62*MGDtoCFS</f>
        <v>45.698379999990095</v>
      </c>
      <c r="V62" s="721">
        <f>Sheet1!AB62*MGDtoCFS</f>
        <v>41.614300000002252</v>
      </c>
      <c r="W62" s="721">
        <f>Sheet1!L62*MGDtoCFS</f>
        <v>1.0364900000001125</v>
      </c>
      <c r="X62" s="697">
        <f t="shared" si="68"/>
        <v>0</v>
      </c>
      <c r="Y62" s="712">
        <f t="shared" si="298"/>
        <v>0</v>
      </c>
      <c r="Z62" s="712">
        <f t="shared" si="299"/>
        <v>0</v>
      </c>
      <c r="AA62" s="712">
        <f t="shared" si="300"/>
        <v>0</v>
      </c>
      <c r="AB62" s="712">
        <f>(VLOOKUP(Sheet1!CY62,hhdcap_wcm,4)-(((VLOOKUP(Sheet1!CY62,hhdcap_wcm,3)-Sheet1!CY62)/(VLOOKUP(Sheet1!CY62,hhdcap_wcm,3)-VLOOKUP(Sheet1!CY62,hhdcap_wcm,1)))*(VLOOKUP(Sheet1!CY62,hhdcap_wcm,4)-VLOOKUP(Sheet1!CY62,hhdcap_wcm,2))))</f>
        <v>2020.9000000029559</v>
      </c>
      <c r="AC62" s="712">
        <f t="shared" si="301"/>
        <v>-22.100000000029468</v>
      </c>
      <c r="AD62" s="712">
        <f t="shared" si="70"/>
        <v>0</v>
      </c>
      <c r="AE62" s="712">
        <f t="shared" si="302"/>
        <v>0</v>
      </c>
      <c r="AF62" s="712">
        <f>Sheet1!BA62+Sheet1!BB62+Sheet1!BN62+BT62</f>
        <v>17</v>
      </c>
      <c r="AG62" s="712">
        <f t="shared" si="303"/>
        <v>16.993682645857479</v>
      </c>
      <c r="AH62" s="712">
        <f>Sheet1!BA62+BT62</f>
        <v>0</v>
      </c>
      <c r="AI62" s="712">
        <f>Sheet1!BA62+Sheet1!BB62+BT62</f>
        <v>0</v>
      </c>
      <c r="AJ62" s="712">
        <f>IF((Sheet1!AA62+AG62+AX62+AZ62+BQ62+BS62+CL62+CN62)&lt;=N62,AG62+AX62+AZ62+BQ62+BS62+CL62+CN62,N62-Sheet1!AA62)</f>
        <v>16.993682645857479</v>
      </c>
      <c r="AK62" s="712">
        <f>IF(DR62&lt;K62,0,MAX(Sheet1!AA62+AG62-15/36*K62-N62,Sheet1!ED62,0))</f>
        <v>0</v>
      </c>
      <c r="AL62" s="712">
        <f>IF(OR(B62&gt;=FT62,B62&lt;FS62),0,15/36*K62-MAX(0,64.6-(137.6-(Sheet1!AA62+Sheet1!AB62))))</f>
        <v>0</v>
      </c>
      <c r="AM62" s="712">
        <f>Sheet1!CX62-110</f>
        <v>1016.8333333333333</v>
      </c>
      <c r="AN62" s="712">
        <f>Sheet1!CW62-265</f>
        <v>1735.7291666666667</v>
      </c>
      <c r="AO62" s="712">
        <f t="shared" si="71"/>
        <v>26.466317354148927</v>
      </c>
      <c r="AP62" s="712">
        <f t="shared" si="72"/>
        <v>0</v>
      </c>
      <c r="AQ62" s="712">
        <f t="shared" si="304"/>
        <v>0</v>
      </c>
      <c r="AR62" s="712">
        <f t="shared" si="305"/>
        <v>0</v>
      </c>
      <c r="AS62" s="712"/>
      <c r="AT62" s="712">
        <f ca="1">IF(B62&gt;Summary!$A$1,#N/A,AR62*MGtoAF)</f>
        <v>0</v>
      </c>
      <c r="AU62" s="712">
        <f>Sheet1!BG62+Sheet1!BH62+Sheet1!BI62-BC62</f>
        <v>0</v>
      </c>
      <c r="AV62" s="712">
        <f t="shared" si="306"/>
        <v>0</v>
      </c>
      <c r="AW62" s="712">
        <f>IF(Sheet1!EL62="FM",BC62,0)</f>
        <v>0</v>
      </c>
      <c r="AX62" s="712">
        <f t="shared" si="307"/>
        <v>0</v>
      </c>
      <c r="AY62" s="712">
        <f>IF(Sheet1!EL62="OTHER",BC62,0)</f>
        <v>0</v>
      </c>
      <c r="AZ62" s="712">
        <f t="shared" si="308"/>
        <v>0</v>
      </c>
      <c r="BA62" s="712">
        <f t="shared" si="309"/>
        <v>0</v>
      </c>
      <c r="BB62" s="712">
        <f t="shared" si="310"/>
        <v>0</v>
      </c>
      <c r="BC62" s="712">
        <f>IF(OR(Sheet1!EL62="FM", Sheet1!EL62="OTHER"),SUM(Sheet1!BG62:'Sheet1'!BI62),0)</f>
        <v>0</v>
      </c>
      <c r="BD62" s="697">
        <f>IF(AND($B62&gt;=$FL62,$B62&lt;=$FM62),MAX(AV62,Sheet1!EE62,0),MAX(AV62-(7/36)*$K62,0))</f>
        <v>0</v>
      </c>
      <c r="BE62" s="712">
        <f t="shared" si="311"/>
        <v>0</v>
      </c>
      <c r="BF62" s="697">
        <f t="shared" si="73"/>
        <v>0</v>
      </c>
      <c r="BG62" s="697">
        <f>IF(AND($O62&gt;0,Sheet1!EI62=1),(1-($O62-Sheet1!$L62)/$O62)*BB62,0)</f>
        <v>0</v>
      </c>
      <c r="BH62" s="697">
        <f>IF(AND(Sheet1!$L62=0,Sheet1!$L61=0, Calculation!BA62&lt;Sheet1!$EE62-0.1,Sheet1!$EE62=Sheet1!$EE61,Sheet1!$EE62=Sheet1!$EE63),Sheet1!$EE62,BB62-BG62)</f>
        <v>0</v>
      </c>
      <c r="BI62" s="712"/>
      <c r="BJ62" s="712"/>
      <c r="BK62" s="712">
        <f t="shared" si="312"/>
        <v>0</v>
      </c>
      <c r="BL62" s="712"/>
      <c r="BM62" s="712">
        <f ca="1">IF(B62&gt;Summary!$A$1,#N/A,BK62*MGtoAF)</f>
        <v>0</v>
      </c>
      <c r="BN62" s="712">
        <f>Sheet1!BC62+Sheet1!BD62+Sheet1!BE62+Sheet1!BF62-BW62-BX62</f>
        <v>3.51</v>
      </c>
      <c r="BO62" s="712">
        <f t="shared" si="313"/>
        <v>3.5086956521741026</v>
      </c>
      <c r="BP62" s="712">
        <f>IF(Sheet1!EM62="FM",BX62,0)</f>
        <v>0</v>
      </c>
      <c r="BQ62" s="712">
        <f t="shared" si="314"/>
        <v>0</v>
      </c>
      <c r="BR62" s="712">
        <f>IF(Sheet1!EM62="OTHER",BX62,0)</f>
        <v>0</v>
      </c>
      <c r="BS62" s="712">
        <f t="shared" si="315"/>
        <v>0</v>
      </c>
      <c r="BT62" s="712">
        <f t="shared" si="316"/>
        <v>0</v>
      </c>
      <c r="BU62" s="712">
        <f t="shared" si="317"/>
        <v>3.51</v>
      </c>
      <c r="BV62" s="712">
        <f t="shared" si="318"/>
        <v>3.5086956521741026</v>
      </c>
      <c r="BW62" s="712">
        <f>IF(Sheet1!EM62="CWA",SUM(Sheet1!BC62:'Sheet1'!BF62),0)</f>
        <v>0</v>
      </c>
      <c r="BX62" s="712">
        <f>IF(OR(Sheet1!EM62="FM", Sheet1!EM62="OTHER"),SUM(Sheet1!BC62:'Sheet1'!BF62),0)</f>
        <v>0</v>
      </c>
      <c r="BY62" s="697">
        <f>IF(AND($B62&gt;=$FL62,$B62&lt;=$FM62),MAX(BV62,Sheet1!EF62,0),MAX(BV62-(7/36)*$K62,0))</f>
        <v>0</v>
      </c>
      <c r="BZ62" s="712">
        <f t="shared" si="319"/>
        <v>0</v>
      </c>
      <c r="CA62" s="697">
        <f t="shared" si="74"/>
        <v>3.5086956521741026</v>
      </c>
      <c r="CB62" s="697">
        <f>IF(AND($O62&gt;0,Sheet1!EJ62=1),(1-($O62-Sheet1!$L62)/$O62)*BV62,0)</f>
        <v>0</v>
      </c>
      <c r="CC62" s="697">
        <f>IF(AND(Sheet1!$L62=0,Sheet1!$L61=0, Calculation!BU62&lt;Sheet1!EF62-0.1,Sheet1!EF62=Sheet1!EF61,Sheet1!EF62=Sheet1!EF63),Sheet1!EF62,BV62-CB62)</f>
        <v>3.5086956521741026</v>
      </c>
      <c r="CD62" s="697"/>
      <c r="CE62" s="712"/>
      <c r="CF62" s="712">
        <f t="shared" si="320"/>
        <v>0</v>
      </c>
      <c r="CG62" s="712"/>
      <c r="CH62" s="712">
        <f ca="1">IF(B62&gt;Summary!$A$1,#N/A,CF62*MGtoAF)</f>
        <v>0</v>
      </c>
      <c r="CI62" s="712">
        <f>Sheet1!BK62+Sheet1!BL62+Sheet1!BM62-Sheet1!EN62-CQ62</f>
        <v>6.4</v>
      </c>
      <c r="CJ62" s="712">
        <f t="shared" si="321"/>
        <v>6.3976217019698742</v>
      </c>
      <c r="CK62" s="712">
        <f>IF(Sheet1!EN62="FM",CQ62,0)</f>
        <v>0</v>
      </c>
      <c r="CL62" s="712">
        <f t="shared" si="322"/>
        <v>0</v>
      </c>
      <c r="CM62" s="712">
        <f>IF(Sheet1!EN62="OTHER",CQ62,0)</f>
        <v>0</v>
      </c>
      <c r="CN62" s="712">
        <f t="shared" si="323"/>
        <v>0</v>
      </c>
      <c r="CO62" s="712">
        <f t="shared" si="324"/>
        <v>6.4</v>
      </c>
      <c r="CP62" s="712">
        <f t="shared" si="325"/>
        <v>6.3976217019698742</v>
      </c>
      <c r="CQ62" s="712">
        <f>IF(OR(Sheet1!EN62="FM", Sheet1!EN62="OTHER"),SUM(Sheet1!BK62:'Sheet1'!BM62),0)</f>
        <v>0</v>
      </c>
      <c r="CR62" s="697">
        <f>IF(AND($B62&gt;=$FL62,$B62&lt;=$FM62),MAX($CJ62,Sheet1!EG62,0),MAX($CJ62-(7/36)*$K62,0))</f>
        <v>0</v>
      </c>
      <c r="CS62" s="712">
        <f t="shared" si="326"/>
        <v>0</v>
      </c>
      <c r="CT62" s="697">
        <f t="shared" si="75"/>
        <v>6.3976217019698742</v>
      </c>
      <c r="CU62" s="697">
        <f>IF(AND($O62&gt;0,Sheet1!EK62=1),(1-($O62-Sheet1!$L62)/$O62)*CP62,0)</f>
        <v>0</v>
      </c>
      <c r="CV62" s="697">
        <f>IF(AND(Sheet1!$L62=0,Sheet1!$L61=0, Calculation!CO62&lt;Sheet1!$EG62-0.1,Sheet1!$EG62=Sheet1!$EG61,Sheet1!$EG62=Sheet1!$EG63),Sheet1!$EG62,CP62-CU62)</f>
        <v>6.3976217019698742</v>
      </c>
      <c r="CW62" s="697">
        <f t="shared" si="33"/>
        <v>0</v>
      </c>
      <c r="CX62" s="712">
        <f t="shared" si="87"/>
        <v>9.91</v>
      </c>
      <c r="CY62" s="712">
        <f t="shared" si="327"/>
        <v>0</v>
      </c>
      <c r="CZ62" s="712">
        <f t="shared" si="328"/>
        <v>9.906317354143976</v>
      </c>
      <c r="DA62" s="712">
        <f ca="1">IF(B62&gt;Summary!$A$1,#N/A,CY62*MGtoAF)</f>
        <v>0</v>
      </c>
      <c r="DB62" s="712">
        <f t="shared" si="329"/>
        <v>9.91</v>
      </c>
      <c r="DC62" s="712">
        <f t="shared" si="330"/>
        <v>26.91</v>
      </c>
      <c r="DD62" s="712">
        <f>Sheet1!AB62-DC62</f>
        <v>-9.9999999985449506E-3</v>
      </c>
      <c r="DE62" s="712">
        <f t="shared" si="331"/>
        <v>-3.7160906720717023E-4</v>
      </c>
      <c r="DF62" s="712">
        <f>(VLOOKUP(Sheet1!CY62,hhdcap_wcm,4)-(((VLOOKUP(Sheet1!CY62,hhdcap_wcm,3)-Sheet1!CY62)/(VLOOKUP(Sheet1!CY62,hhdcap_wcm,3)-VLOOKUP(Sheet1!CY62,hhdcap_wcm,1)))*(VLOOKUP(Sheet1!CY62,hhdcap_wcm,4)-VLOOKUP(Sheet1!CY62,hhdcap_wcm,2))))</f>
        <v>2020.9000000029559</v>
      </c>
      <c r="DG62" s="712">
        <f t="shared" si="332"/>
        <v>-22.100000000029468</v>
      </c>
      <c r="DH62" s="712">
        <f t="shared" si="333"/>
        <v>-11.144730206772296</v>
      </c>
      <c r="DI62" s="712">
        <f>Sheet1!DW62*AFtoMG</f>
        <v>0</v>
      </c>
      <c r="DJ62" s="712">
        <f>Sheet1!DX62*AFtoMG</f>
        <v>0</v>
      </c>
      <c r="DK62" s="712">
        <f>Sheet1!DY62*AFtoMG</f>
        <v>0</v>
      </c>
      <c r="DL62" s="712">
        <f>Sheet1!DZ62*AFtoMG</f>
        <v>0</v>
      </c>
      <c r="DM62" s="712">
        <f t="shared" si="334"/>
        <v>0</v>
      </c>
      <c r="DN62" s="712">
        <f t="shared" si="335"/>
        <v>0</v>
      </c>
      <c r="DO62" s="712">
        <f t="shared" si="336"/>
        <v>0</v>
      </c>
      <c r="DP62" s="712">
        <f t="shared" si="337"/>
        <v>0</v>
      </c>
      <c r="DQ62" s="712"/>
      <c r="DR62" s="697">
        <f>IF(OR(B62&lt;FL62,B62&gt;FM62),(MIN(AV62+BO62+CJ62+MAX(Sheet1!AA62+AG62-73,0),K62)),0)</f>
        <v>9.906317354143976</v>
      </c>
      <c r="DS62" s="712"/>
      <c r="DT62" s="712">
        <f t="shared" si="338"/>
        <v>9.906317354143976</v>
      </c>
      <c r="DU62" s="712"/>
      <c r="DV62" s="712">
        <f>Sheet1!ED62+Sheet1!EE62+Sheet1!EF62+Sheet1!EG62</f>
        <v>10.5</v>
      </c>
      <c r="DW62" s="712"/>
      <c r="DX62" s="697">
        <f t="shared" si="77"/>
        <v>0</v>
      </c>
      <c r="DY62" s="712">
        <f>IF(Sheet1!FN62=1,SUM('Calculations II'!AT62:BA62)+'Calculations II'!BC62+Sheet1!BU62+'Calculations II'!BE62+AF62,SUM('Calculations II'!AT62:BA62)+'Calculations II'!BC62+Sheet1!BU62+'Calculations II'!BE62+AF62)</f>
        <v>44.197023999999999</v>
      </c>
      <c r="DZ62" s="712">
        <f>Sheet1!AA62+Sheet1!AB62+'Calculations II'!BC62</f>
        <v>56.439999999995052</v>
      </c>
      <c r="EA62" s="712"/>
      <c r="EB62" s="712"/>
      <c r="EC62" s="712">
        <f t="shared" si="339"/>
        <v>40591</v>
      </c>
      <c r="ED62" s="712">
        <f t="shared" si="340"/>
        <v>0</v>
      </c>
      <c r="EE62" s="712">
        <f t="shared" si="341"/>
        <v>0</v>
      </c>
      <c r="EF62" s="712">
        <f>-(VLOOKUP(Sheet1!BQ62,Lookup!$B$4:$J$236,2)-VLOOKUP(Sheet1!BQ61,Lookup!$B$4:$J$236,2))/1000000</f>
        <v>0</v>
      </c>
      <c r="EG62" s="712">
        <f>-(VLOOKUP(Sheet1!BR62,Lookup!$B$4:$J$236,3)-VLOOKUP(Sheet1!BR61,Lookup!$B$4:$J$236,3))/1000000</f>
        <v>0.2666</v>
      </c>
      <c r="EH62" s="712">
        <f>-(VLOOKUP(Sheet1!BS62,Lookup!$B$4:$J$236,4)-VLOOKUP(Sheet1!BS61,Lookup!$B$4:$J$236,4))/1000000</f>
        <v>0</v>
      </c>
      <c r="EI62" s="697">
        <f t="shared" si="88"/>
        <v>0.2666</v>
      </c>
      <c r="EJ62" s="712"/>
      <c r="EK62" s="712"/>
      <c r="EL62" s="712"/>
      <c r="EM62" s="712"/>
      <c r="EN62" s="712"/>
      <c r="EO62" s="712"/>
      <c r="EP62" s="712"/>
      <c r="EQ62" s="712"/>
      <c r="ER62" s="697">
        <v>0</v>
      </c>
      <c r="ES62" s="712"/>
      <c r="ET62" s="794" t="e">
        <f t="shared" si="342"/>
        <v>#N/A</v>
      </c>
      <c r="EU62" s="794" t="e">
        <f t="shared" si="79"/>
        <v>#VALUE!</v>
      </c>
      <c r="EV62" s="795" t="e">
        <f t="shared" si="48"/>
        <v>#VALUE!</v>
      </c>
      <c r="EW62" s="796" t="s">
        <v>757</v>
      </c>
      <c r="EX62" s="796" t="s">
        <v>757</v>
      </c>
      <c r="EY62" s="794">
        <v>0</v>
      </c>
      <c r="EZ62" s="794" t="e">
        <v>#N/A</v>
      </c>
      <c r="FA62" s="712"/>
      <c r="FB62" s="712"/>
      <c r="FC62" s="712"/>
      <c r="FD62" s="712"/>
      <c r="FE62" s="712">
        <f>O62+Sheet1!CO62</f>
        <v>56.439999999995052</v>
      </c>
      <c r="FF62" s="712">
        <f>IF(Sheet1!AA62+AG62&lt;=Calculation!N62,AG62,Calculation!N62-Sheet1!AA62)</f>
        <v>16.993682645857479</v>
      </c>
      <c r="FG62" s="712">
        <f>(Sheet1!BP62+Sheet1!BO62)/694.4</f>
        <v>1.2442396313364055</v>
      </c>
      <c r="FH62" s="712"/>
      <c r="FI62" s="712"/>
      <c r="FJ62" s="712"/>
      <c r="FK62" s="712"/>
      <c r="FL62" s="714">
        <f t="shared" si="89"/>
        <v>40753</v>
      </c>
      <c r="FM62" s="714">
        <f t="shared" si="90"/>
        <v>40851</v>
      </c>
      <c r="FN62" s="712"/>
      <c r="FO62" s="712"/>
      <c r="FP62" s="712"/>
      <c r="FQ62" s="712"/>
      <c r="FR62" s="712"/>
      <c r="FS62" s="725">
        <f t="shared" si="91"/>
        <v>40603</v>
      </c>
      <c r="FT62" s="714">
        <f t="shared" si="92"/>
        <v>40709</v>
      </c>
      <c r="FU62" s="712">
        <f t="shared" si="93"/>
        <v>6518.9048239895692</v>
      </c>
      <c r="FV62" s="714">
        <f t="shared" si="94"/>
        <v>40722</v>
      </c>
      <c r="FW62" s="712">
        <f t="shared" si="95"/>
        <v>3259.4524119947846</v>
      </c>
      <c r="FX62" s="725">
        <f t="shared" si="96"/>
        <v>40851</v>
      </c>
      <c r="FZ62" s="697">
        <f t="shared" si="49"/>
        <v>0</v>
      </c>
      <c r="GA62" s="712" t="str">
        <f t="shared" si="343"/>
        <v/>
      </c>
      <c r="GB62" s="712">
        <f t="shared" si="344"/>
        <v>0</v>
      </c>
      <c r="GC62" s="712" t="str">
        <f t="shared" si="345"/>
        <v/>
      </c>
      <c r="GD62" s="712">
        <f>IF(GA62="P",Lookup!$M$12,IF(GA62="PP",Lookup!$M$13,IF(GA62="PPP",Lookup!$M$14,IF(GA62="T",Lookup!$M$15,IF(GA62="TP",Lookup!$M$16,IF(GA62="TPP",Lookup!$M$17,IF(GA62="TPPP",Lookup!$M$18,0)))))))*FZ62</f>
        <v>0</v>
      </c>
      <c r="GE62" s="712">
        <f t="shared" si="346"/>
        <v>0</v>
      </c>
      <c r="GF62" s="712">
        <f t="shared" si="347"/>
        <v>0</v>
      </c>
      <c r="GG62" s="712">
        <f t="shared" si="348"/>
        <v>0</v>
      </c>
      <c r="GH62" s="712"/>
      <c r="GI62" s="712">
        <f t="shared" si="349"/>
        <v>0</v>
      </c>
      <c r="GJ62" s="712" t="str">
        <f t="shared" si="350"/>
        <v/>
      </c>
      <c r="GK62" s="712">
        <f>IF(GA62="P",Lookup!$N$12,IF(GA62="PP",Lookup!$N$13,IF(GA62="PPP",Lookup!$N$14,IF(GA62="T",Lookup!$N$15,IF(GA62="TP",Lookup!$N$16,IF(GA62="TPP",Lookup!$N$17,IF(GA62="TPPP",Lookup!$N$18,0)))))))*FZ62</f>
        <v>0</v>
      </c>
      <c r="GL62" s="712">
        <f t="shared" si="351"/>
        <v>0</v>
      </c>
      <c r="GM62" s="712">
        <f t="shared" si="352"/>
        <v>0</v>
      </c>
      <c r="GN62" s="712">
        <f t="shared" si="353"/>
        <v>0</v>
      </c>
      <c r="GO62" s="712"/>
      <c r="GP62" s="712">
        <f t="shared" si="354"/>
        <v>0</v>
      </c>
      <c r="GQ62" s="712" t="str">
        <f t="shared" si="355"/>
        <v/>
      </c>
      <c r="GR62" s="712">
        <f>IF(GA62="P",Lookup!$N$12,IF(GA62="PP",Lookup!$N$13,IF(GA62="PPP",Lookup!$N$14,IF(GA62="T",Lookup!$N$15,IF(GA62="TP",Lookup!$N$16,IF(GA62="TPP",Lookup!$N$17,IF(GA62="TPPP",Lookup!$N$18,0)))))))*FZ62</f>
        <v>0</v>
      </c>
      <c r="GS62" s="697">
        <f t="shared" si="83"/>
        <v>0</v>
      </c>
      <c r="GT62" s="712">
        <f t="shared" si="356"/>
        <v>0</v>
      </c>
      <c r="GU62" s="712">
        <f t="shared" si="357"/>
        <v>0</v>
      </c>
      <c r="GV62" s="712"/>
      <c r="GW62" s="712">
        <f t="shared" si="358"/>
        <v>0</v>
      </c>
      <c r="GX62" s="712" t="str">
        <f t="shared" si="359"/>
        <v/>
      </c>
      <c r="GY62" s="712">
        <f>IF(GA62="P",Lookup!$N$12,IF(GA62="PP",Lookup!$N$13,IF(GA62="PPP",Lookup!$N$14,IF(GA62="T",Lookup!$N$15,IF(GA62="TP",Lookup!$N$16,IF(GA62="TPP",Lookup!$N$17,IF(GA62="TPPP",Lookup!$N$18,0)))))))*FZ62</f>
        <v>0</v>
      </c>
      <c r="GZ62" s="697">
        <f t="shared" si="85"/>
        <v>0</v>
      </c>
      <c r="HA62" s="712">
        <f t="shared" si="360"/>
        <v>0</v>
      </c>
      <c r="HB62" s="712">
        <f t="shared" si="361"/>
        <v>0</v>
      </c>
      <c r="HC62" s="712"/>
    </row>
    <row r="63" spans="1:211">
      <c r="A63" s="773" t="s">
        <v>8</v>
      </c>
      <c r="B63" s="708">
        <v>40592</v>
      </c>
      <c r="C63" s="719">
        <v>0.5</v>
      </c>
      <c r="D63" s="675">
        <f t="shared" si="65"/>
        <v>300</v>
      </c>
      <c r="E63" s="675">
        <f t="shared" si="66"/>
        <v>250</v>
      </c>
      <c r="F63" s="710">
        <v>250</v>
      </c>
      <c r="G63" s="712">
        <f>DH63+Sheet1!CV63</f>
        <v>1121.198599863789</v>
      </c>
      <c r="H63" s="712">
        <f t="shared" si="294"/>
        <v>457.77957495195318</v>
      </c>
      <c r="I63" s="711">
        <f>MAX(Sheet1!Z63-AJ63+(Sheet1!CW63-E63)*CFStoMGD,0)</f>
        <v>951.0532765957455</v>
      </c>
      <c r="J63" s="720">
        <f>IF(AND(B63&gt;=Calculation!FS63,B63&lt;=Calculation!FT63),IF(Sheet1!CX63&gt;=Calculation!D63,64.64,0),MAX(Sheet1!Z63-AJ63+(Sheet1!CX63-D63)*CFStoMGD,0))</f>
        <v>401.76814326241231</v>
      </c>
      <c r="K63" s="697">
        <f t="shared" si="67"/>
        <v>64.64</v>
      </c>
      <c r="L63" s="712">
        <f>Sheet1!AA63+Sheet1!AB63-Sheet1!L63+(Sheet1!CW63-F63)*CFStoMGD</f>
        <v>999.0320000000072</v>
      </c>
      <c r="M63" s="712">
        <f t="shared" si="295"/>
        <v>739.23763045099236</v>
      </c>
      <c r="N63" s="712">
        <f>IF(Sheet1!CW63&gt;=F63,MIN(73,MIN(MAX(L63,0),MAX(M63,0))),0)</f>
        <v>73</v>
      </c>
      <c r="O63" s="721">
        <f>Sheet1!AA63+Sheet1!AB63</f>
        <v>56.500000000007276</v>
      </c>
      <c r="P63" s="721">
        <f t="shared" si="296"/>
        <v>87.405500000011244</v>
      </c>
      <c r="Q63" s="712">
        <f>MIN(N63,Sheet1!AA63+AG63)</f>
        <v>46.878723404263127</v>
      </c>
      <c r="R63" s="712">
        <f t="shared" si="297"/>
        <v>9.6212765957441544</v>
      </c>
      <c r="S63" s="721">
        <f>Sheet1!Y63*MGDtoCFS</f>
        <v>46.1006</v>
      </c>
      <c r="T63" s="721">
        <f>Sheet1!Z63*MGDtoCFS</f>
        <v>39.448499999999996</v>
      </c>
      <c r="U63" s="721">
        <f>Sheet1!AA63*MGDtoCFS</f>
        <v>46.255300000013506</v>
      </c>
      <c r="V63" s="721">
        <f>Sheet1!AB63*MGDtoCFS</f>
        <v>41.150199999997746</v>
      </c>
      <c r="W63" s="721">
        <f>Sheet1!L63*MGDtoCFS</f>
        <v>0</v>
      </c>
      <c r="X63" s="697">
        <f t="shared" si="68"/>
        <v>0</v>
      </c>
      <c r="Y63" s="712">
        <f t="shared" si="298"/>
        <v>0</v>
      </c>
      <c r="Z63" s="712">
        <f t="shared" si="299"/>
        <v>0</v>
      </c>
      <c r="AA63" s="712">
        <f t="shared" si="300"/>
        <v>0</v>
      </c>
      <c r="AB63" s="712">
        <f>(VLOOKUP(Sheet1!CY63,hhdcap_wcm,4)-(((VLOOKUP(Sheet1!CY63,hhdcap_wcm,3)-Sheet1!CY63)/(VLOOKUP(Sheet1!CY63,hhdcap_wcm,3)-VLOOKUP(Sheet1!CY63,hhdcap_wcm,1)))*(VLOOKUP(Sheet1!CY63,hhdcap_wcm,4)-VLOOKUP(Sheet1!CY63,hhdcap_wcm,2))))</f>
        <v>2282.0000000034379</v>
      </c>
      <c r="AC63" s="712">
        <f t="shared" si="301"/>
        <v>261.10000000048194</v>
      </c>
      <c r="AD63" s="712">
        <f t="shared" si="70"/>
        <v>0</v>
      </c>
      <c r="AE63" s="712">
        <f t="shared" si="302"/>
        <v>0</v>
      </c>
      <c r="AF63" s="712">
        <f>Sheet1!BA63+Sheet1!BB63+Sheet1!BN63+BT63</f>
        <v>16.8</v>
      </c>
      <c r="AG63" s="712">
        <f t="shared" si="303"/>
        <v>16.978723404254392</v>
      </c>
      <c r="AH63" s="712">
        <f>Sheet1!BA63+BT63</f>
        <v>0</v>
      </c>
      <c r="AI63" s="712">
        <f>Sheet1!BA63+Sheet1!BB63+BT63</f>
        <v>0</v>
      </c>
      <c r="AJ63" s="712">
        <f>IF((Sheet1!AA63+AG63+AX63+AZ63+BQ63+BS63+CL63+CN63)&lt;=N63,AG63+AX63+AZ63+BQ63+BS63+CL63+CN63,N63-Sheet1!AA63)</f>
        <v>16.978723404254392</v>
      </c>
      <c r="AK63" s="712">
        <f>IF(DR63&lt;K63,0,MAX(Sheet1!AA63+AG63-15/36*K63-N63,Sheet1!ED63,0))</f>
        <v>0</v>
      </c>
      <c r="AL63" s="712">
        <f>IF(OR(B63&gt;=FT63,B63&lt;FS63),0,15/36*K63-MAX(0,64.6-(137.6-(Sheet1!AA63+Sheet1!AB63))))</f>
        <v>0</v>
      </c>
      <c r="AM63" s="712">
        <f>Sheet1!CX63-110</f>
        <v>798.36458333333337</v>
      </c>
      <c r="AN63" s="712">
        <f>Sheet1!CW63-265</f>
        <v>1443.125</v>
      </c>
      <c r="AO63" s="712">
        <f t="shared" si="71"/>
        <v>26.121276595736873</v>
      </c>
      <c r="AP63" s="712">
        <f t="shared" si="72"/>
        <v>0</v>
      </c>
      <c r="AQ63" s="712">
        <f t="shared" si="304"/>
        <v>0</v>
      </c>
      <c r="AR63" s="712">
        <f t="shared" si="305"/>
        <v>0</v>
      </c>
      <c r="AS63" s="712"/>
      <c r="AT63" s="712">
        <f ca="1">IF(B63&gt;Summary!$A$1,#N/A,AR63*MGtoAF)</f>
        <v>0</v>
      </c>
      <c r="AU63" s="712">
        <f>Sheet1!BG63+Sheet1!BH63+Sheet1!BI63-BC63</f>
        <v>0</v>
      </c>
      <c r="AV63" s="712">
        <f t="shared" si="306"/>
        <v>0</v>
      </c>
      <c r="AW63" s="712">
        <f>IF(Sheet1!EL63="FM",BC63,0)</f>
        <v>0</v>
      </c>
      <c r="AX63" s="712">
        <f t="shared" si="307"/>
        <v>0</v>
      </c>
      <c r="AY63" s="712">
        <f>IF(Sheet1!EL63="OTHER",BC63,0)</f>
        <v>0</v>
      </c>
      <c r="AZ63" s="712">
        <f t="shared" si="308"/>
        <v>0</v>
      </c>
      <c r="BA63" s="712">
        <f t="shared" si="309"/>
        <v>0</v>
      </c>
      <c r="BB63" s="712">
        <f t="shared" si="310"/>
        <v>0</v>
      </c>
      <c r="BC63" s="712">
        <f>IF(OR(Sheet1!EL63="FM", Sheet1!EL63="OTHER"),SUM(Sheet1!BG63:'Sheet1'!BI63),0)</f>
        <v>0</v>
      </c>
      <c r="BD63" s="697">
        <f>IF(AND($B63&gt;=$FL63,$B63&lt;=$FM63),MAX(AV63,Sheet1!EE63,0),MAX(AV63-(7/36)*$K63,0))</f>
        <v>0</v>
      </c>
      <c r="BE63" s="712">
        <f t="shared" si="311"/>
        <v>0</v>
      </c>
      <c r="BF63" s="697">
        <f t="shared" si="73"/>
        <v>0</v>
      </c>
      <c r="BG63" s="697">
        <f>IF(AND($O63&gt;0,Sheet1!EI63=1),(1-($O63-Sheet1!$L63)/$O63)*BB63,0)</f>
        <v>0</v>
      </c>
      <c r="BH63" s="697">
        <f>IF(AND(Sheet1!$L63=0,Sheet1!$L62=0, Calculation!BA63&lt;Sheet1!$EE63-0.1,Sheet1!$EE63=Sheet1!$EE62,Sheet1!$EE63=Sheet1!$EE64),Sheet1!$EE63,BB63-BG63)</f>
        <v>0</v>
      </c>
      <c r="BI63" s="712"/>
      <c r="BJ63" s="712"/>
      <c r="BK63" s="712">
        <f t="shared" si="312"/>
        <v>0</v>
      </c>
      <c r="BL63" s="712"/>
      <c r="BM63" s="712">
        <f ca="1">IF(B63&gt;Summary!$A$1,#N/A,BK63*MGtoAF)</f>
        <v>0</v>
      </c>
      <c r="BN63" s="712">
        <f>Sheet1!BC63+Sheet1!BD63+Sheet1!BE63+Sheet1!BF63-BW63-BX63</f>
        <v>3.51</v>
      </c>
      <c r="BO63" s="712">
        <f t="shared" si="313"/>
        <v>3.5473404255317207</v>
      </c>
      <c r="BP63" s="712">
        <f>IF(Sheet1!EM63="FM",BX63,0)</f>
        <v>0</v>
      </c>
      <c r="BQ63" s="712">
        <f t="shared" si="314"/>
        <v>0</v>
      </c>
      <c r="BR63" s="712">
        <f>IF(Sheet1!EM63="OTHER",BX63,0)</f>
        <v>0</v>
      </c>
      <c r="BS63" s="712">
        <f t="shared" si="315"/>
        <v>0</v>
      </c>
      <c r="BT63" s="712">
        <f t="shared" si="316"/>
        <v>0</v>
      </c>
      <c r="BU63" s="712">
        <f t="shared" si="317"/>
        <v>3.51</v>
      </c>
      <c r="BV63" s="712">
        <f t="shared" si="318"/>
        <v>3.5473404255317207</v>
      </c>
      <c r="BW63" s="712">
        <f>IF(Sheet1!EM63="CWA",SUM(Sheet1!BC63:'Sheet1'!BF63),0)</f>
        <v>0</v>
      </c>
      <c r="BX63" s="712">
        <f>IF(OR(Sheet1!EM63="FM", Sheet1!EM63="OTHER"),SUM(Sheet1!BC63:'Sheet1'!BF63),0)</f>
        <v>0</v>
      </c>
      <c r="BY63" s="697">
        <f>IF(AND($B63&gt;=$FL63,$B63&lt;=$FM63),MAX(BV63,Sheet1!EF63,0),MAX(BV63-(7/36)*$K63,0))</f>
        <v>0</v>
      </c>
      <c r="BZ63" s="712">
        <f t="shared" si="319"/>
        <v>0</v>
      </c>
      <c r="CA63" s="697">
        <f t="shared" si="74"/>
        <v>3.5473404255317207</v>
      </c>
      <c r="CB63" s="697">
        <f>IF(AND($O63&gt;0,Sheet1!EJ63=1),(1-($O63-Sheet1!$L63)/$O63)*BV63,0)</f>
        <v>0</v>
      </c>
      <c r="CC63" s="697">
        <f>IF(AND(Sheet1!$L63=0,Sheet1!$L62=0, Calculation!BU63&lt;Sheet1!EF63-0.1,Sheet1!EF63=Sheet1!EF62,Sheet1!EF63=Sheet1!EF64),Sheet1!EF63,BV63-CB63)</f>
        <v>3.5473404255317207</v>
      </c>
      <c r="CD63" s="697"/>
      <c r="CE63" s="712"/>
      <c r="CF63" s="712">
        <f t="shared" si="320"/>
        <v>0</v>
      </c>
      <c r="CG63" s="712"/>
      <c r="CH63" s="712">
        <f ca="1">IF(B63&gt;Summary!$A$1,#N/A,CF63*MGtoAF)</f>
        <v>0</v>
      </c>
      <c r="CI63" s="712">
        <f>Sheet1!BK63+Sheet1!BL63+Sheet1!BM63-Sheet1!EN63-CQ63</f>
        <v>6.01</v>
      </c>
      <c r="CJ63" s="712">
        <f t="shared" si="321"/>
        <v>6.0739361702124333</v>
      </c>
      <c r="CK63" s="712">
        <f>IF(Sheet1!EN63="FM",CQ63,0)</f>
        <v>0</v>
      </c>
      <c r="CL63" s="712">
        <f t="shared" si="322"/>
        <v>0</v>
      </c>
      <c r="CM63" s="712">
        <f>IF(Sheet1!EN63="OTHER",CQ63,0)</f>
        <v>0</v>
      </c>
      <c r="CN63" s="712">
        <f t="shared" si="323"/>
        <v>0</v>
      </c>
      <c r="CO63" s="712">
        <f t="shared" si="324"/>
        <v>6.01</v>
      </c>
      <c r="CP63" s="712">
        <f t="shared" si="325"/>
        <v>6.0739361702124333</v>
      </c>
      <c r="CQ63" s="712">
        <f>IF(OR(Sheet1!EN63="FM", Sheet1!EN63="OTHER"),SUM(Sheet1!BK63:'Sheet1'!BM63),0)</f>
        <v>0</v>
      </c>
      <c r="CR63" s="697">
        <f>IF(AND($B63&gt;=$FL63,$B63&lt;=$FM63),MAX($CJ63,Sheet1!EG63,0),MAX($CJ63-(7/36)*$K63,0))</f>
        <v>0</v>
      </c>
      <c r="CS63" s="712">
        <f t="shared" si="326"/>
        <v>0</v>
      </c>
      <c r="CT63" s="697">
        <f t="shared" si="75"/>
        <v>6.0739361702124333</v>
      </c>
      <c r="CU63" s="697">
        <f>IF(AND($O63&gt;0,Sheet1!EK63=1),(1-($O63-Sheet1!$L63)/$O63)*CP63,0)</f>
        <v>0</v>
      </c>
      <c r="CV63" s="697">
        <f>IF(AND(Sheet1!$L63=0,Sheet1!$L62=0, Calculation!CO63&lt;Sheet1!$EG63-0.1,Sheet1!$EG63=Sheet1!$EG62,Sheet1!$EG63=Sheet1!$EG64),Sheet1!$EG63,CP63-CU63)</f>
        <v>6.0739361702124333</v>
      </c>
      <c r="CW63" s="697">
        <f t="shared" si="33"/>
        <v>0</v>
      </c>
      <c r="CX63" s="712">
        <f t="shared" si="87"/>
        <v>9.52</v>
      </c>
      <c r="CY63" s="712">
        <f t="shared" si="327"/>
        <v>0</v>
      </c>
      <c r="CZ63" s="712">
        <f t="shared" si="328"/>
        <v>9.6212765957441544</v>
      </c>
      <c r="DA63" s="712">
        <f ca="1">IF(B63&gt;Summary!$A$1,#N/A,CY63*MGtoAF)</f>
        <v>0</v>
      </c>
      <c r="DB63" s="712">
        <f t="shared" si="329"/>
        <v>9.52</v>
      </c>
      <c r="DC63" s="712">
        <f t="shared" si="330"/>
        <v>26.32</v>
      </c>
      <c r="DD63" s="712">
        <f>Sheet1!AB63-DC63</f>
        <v>0.27999999999854452</v>
      </c>
      <c r="DE63" s="712">
        <f t="shared" si="331"/>
        <v>1.0638297872285126E-2</v>
      </c>
      <c r="DF63" s="712">
        <f>(VLOOKUP(Sheet1!CY63,hhdcap_wcm,4)-(((VLOOKUP(Sheet1!CY63,hhdcap_wcm,3)-Sheet1!CY63)/(VLOOKUP(Sheet1!CY63,hhdcap_wcm,3)-VLOOKUP(Sheet1!CY63,hhdcap_wcm,1)))*(VLOOKUP(Sheet1!CY63,hhdcap_wcm,4)-VLOOKUP(Sheet1!CY63,hhdcap_wcm,2))))</f>
        <v>2282.0000000034379</v>
      </c>
      <c r="DG63" s="712">
        <f t="shared" si="332"/>
        <v>261.10000000048194</v>
      </c>
      <c r="DH63" s="712">
        <f t="shared" si="333"/>
        <v>131.66918809908316</v>
      </c>
      <c r="DI63" s="712">
        <f>Sheet1!DW63*AFtoMG</f>
        <v>0</v>
      </c>
      <c r="DJ63" s="712">
        <f>Sheet1!DX63*AFtoMG</f>
        <v>0</v>
      </c>
      <c r="DK63" s="712">
        <f>Sheet1!DY63*AFtoMG</f>
        <v>0</v>
      </c>
      <c r="DL63" s="712">
        <f>Sheet1!DZ63*AFtoMG</f>
        <v>0</v>
      </c>
      <c r="DM63" s="712">
        <f t="shared" si="334"/>
        <v>0</v>
      </c>
      <c r="DN63" s="712">
        <f t="shared" si="335"/>
        <v>0</v>
      </c>
      <c r="DO63" s="712">
        <f t="shared" si="336"/>
        <v>0</v>
      </c>
      <c r="DP63" s="712">
        <f t="shared" si="337"/>
        <v>0</v>
      </c>
      <c r="DQ63" s="712"/>
      <c r="DR63" s="697">
        <f>IF(OR(B63&lt;FL63,B63&gt;FM63),(MIN(AV63+BO63+CJ63+MAX(Sheet1!AA63+AG63-73,0),K63)),0)</f>
        <v>9.6212765957441544</v>
      </c>
      <c r="DS63" s="712"/>
      <c r="DT63" s="712">
        <f t="shared" si="338"/>
        <v>9.6212765957441544</v>
      </c>
      <c r="DU63" s="712"/>
      <c r="DV63" s="712">
        <f>Sheet1!ED63+Sheet1!EE63+Sheet1!EF63+Sheet1!EG63</f>
        <v>9.5</v>
      </c>
      <c r="DW63" s="712"/>
      <c r="DX63" s="697">
        <f t="shared" si="77"/>
        <v>0</v>
      </c>
      <c r="DY63" s="712">
        <f>IF(Sheet1!FN63=1,SUM('Calculations II'!AT63:BA63)+'Calculations II'!BC63+Sheet1!BU63+'Calculations II'!BE63+AF63,SUM('Calculations II'!AT63:BA63)+'Calculations II'!BC63+Sheet1!BU63+'Calculations II'!BE63+AF63)</f>
        <v>43.259616000000008</v>
      </c>
      <c r="DZ63" s="712">
        <f>Sheet1!AA63+Sheet1!AB63+'Calculations II'!BC63</f>
        <v>56.500000000007276</v>
      </c>
      <c r="EA63" s="712"/>
      <c r="EB63" s="712"/>
      <c r="EC63" s="712">
        <f t="shared" si="339"/>
        <v>40592</v>
      </c>
      <c r="ED63" s="712">
        <f t="shared" si="340"/>
        <v>0</v>
      </c>
      <c r="EE63" s="712">
        <f t="shared" si="341"/>
        <v>0</v>
      </c>
      <c r="EF63" s="712">
        <f>-(VLOOKUP(Sheet1!BQ63,Lookup!$B$4:$J$236,2)-VLOOKUP(Sheet1!BQ62,Lookup!$B$4:$J$236,2))/1000000</f>
        <v>-0.2671</v>
      </c>
      <c r="EG63" s="712">
        <f>-(VLOOKUP(Sheet1!BR63,Lookup!$B$4:$J$236,3)-VLOOKUP(Sheet1!BR62,Lookup!$B$4:$J$236,3))/1000000</f>
        <v>-0.53320000000000001</v>
      </c>
      <c r="EH63" s="712">
        <f>-(VLOOKUP(Sheet1!BS63,Lookup!$B$4:$J$236,4)-VLOOKUP(Sheet1!BS62,Lookup!$B$4:$J$236,4))/1000000</f>
        <v>0</v>
      </c>
      <c r="EI63" s="697">
        <f t="shared" si="88"/>
        <v>-0.80030000000000001</v>
      </c>
      <c r="EJ63" s="712"/>
      <c r="EK63" s="712"/>
      <c r="EL63" s="712"/>
      <c r="EM63" s="712"/>
      <c r="EN63" s="712"/>
      <c r="EO63" s="712"/>
      <c r="EP63" s="712"/>
      <c r="EQ63" s="712"/>
      <c r="ER63" s="697">
        <v>0</v>
      </c>
      <c r="ES63" s="712"/>
      <c r="ET63" s="794" t="e">
        <f t="shared" si="342"/>
        <v>#N/A</v>
      </c>
      <c r="EU63" s="794" t="e">
        <f t="shared" si="79"/>
        <v>#VALUE!</v>
      </c>
      <c r="EV63" s="795" t="e">
        <f t="shared" si="48"/>
        <v>#VALUE!</v>
      </c>
      <c r="EW63" s="796" t="s">
        <v>757</v>
      </c>
      <c r="EX63" s="796" t="s">
        <v>757</v>
      </c>
      <c r="EY63" s="794">
        <v>0</v>
      </c>
      <c r="EZ63" s="794" t="e">
        <v>#N/A</v>
      </c>
      <c r="FA63" s="712"/>
      <c r="FB63" s="712"/>
      <c r="FC63" s="712"/>
      <c r="FD63" s="712"/>
      <c r="FE63" s="712">
        <f>O63+Sheet1!CO63</f>
        <v>56.500000000007276</v>
      </c>
      <c r="FF63" s="712">
        <f>IF(Sheet1!AA63+AG63&lt;=Calculation!N63,AG63,Calculation!N63-Sheet1!AA63)</f>
        <v>16.978723404254392</v>
      </c>
      <c r="FG63" s="712">
        <f>(Sheet1!BP63+Sheet1!BO63)/694.4</f>
        <v>1.5216013824884791</v>
      </c>
      <c r="FH63" s="712"/>
      <c r="FI63" s="712"/>
      <c r="FJ63" s="712"/>
      <c r="FK63" s="712"/>
      <c r="FL63" s="714">
        <f t="shared" si="89"/>
        <v>40753</v>
      </c>
      <c r="FM63" s="714">
        <f t="shared" si="90"/>
        <v>40851</v>
      </c>
      <c r="FN63" s="712"/>
      <c r="FO63" s="712"/>
      <c r="FP63" s="712"/>
      <c r="FQ63" s="712"/>
      <c r="FR63" s="712"/>
      <c r="FS63" s="725">
        <f t="shared" si="91"/>
        <v>40603</v>
      </c>
      <c r="FT63" s="714">
        <f t="shared" si="92"/>
        <v>40709</v>
      </c>
      <c r="FU63" s="712">
        <f t="shared" si="93"/>
        <v>6518.9048239895692</v>
      </c>
      <c r="FV63" s="714">
        <f t="shared" si="94"/>
        <v>40722</v>
      </c>
      <c r="FW63" s="712">
        <f t="shared" si="95"/>
        <v>3259.4524119947846</v>
      </c>
      <c r="FX63" s="725">
        <f t="shared" si="96"/>
        <v>40851</v>
      </c>
      <c r="FZ63" s="697">
        <f t="shared" si="49"/>
        <v>0</v>
      </c>
      <c r="GA63" s="712" t="str">
        <f t="shared" si="343"/>
        <v/>
      </c>
      <c r="GB63" s="712">
        <f t="shared" si="344"/>
        <v>0</v>
      </c>
      <c r="GC63" s="712" t="str">
        <f t="shared" si="345"/>
        <v/>
      </c>
      <c r="GD63" s="712">
        <f>IF(GA63="P",Lookup!$M$12,IF(GA63="PP",Lookup!$M$13,IF(GA63="PPP",Lookup!$M$14,IF(GA63="T",Lookup!$M$15,IF(GA63="TP",Lookup!$M$16,IF(GA63="TPP",Lookup!$M$17,IF(GA63="TPPP",Lookup!$M$18,0)))))))*FZ63</f>
        <v>0</v>
      </c>
      <c r="GE63" s="712">
        <f t="shared" si="346"/>
        <v>0</v>
      </c>
      <c r="GF63" s="712">
        <f t="shared" si="347"/>
        <v>0</v>
      </c>
      <c r="GG63" s="712">
        <f t="shared" si="348"/>
        <v>0</v>
      </c>
      <c r="GH63" s="712"/>
      <c r="GI63" s="712">
        <f t="shared" si="349"/>
        <v>0</v>
      </c>
      <c r="GJ63" s="712" t="str">
        <f t="shared" si="350"/>
        <v/>
      </c>
      <c r="GK63" s="712">
        <f>IF(GA63="P",Lookup!$N$12,IF(GA63="PP",Lookup!$N$13,IF(GA63="PPP",Lookup!$N$14,IF(GA63="T",Lookup!$N$15,IF(GA63="TP",Lookup!$N$16,IF(GA63="TPP",Lookup!$N$17,IF(GA63="TPPP",Lookup!$N$18,0)))))))*FZ63</f>
        <v>0</v>
      </c>
      <c r="GL63" s="712">
        <f t="shared" si="351"/>
        <v>0</v>
      </c>
      <c r="GM63" s="712">
        <f t="shared" si="352"/>
        <v>0</v>
      </c>
      <c r="GN63" s="712">
        <f t="shared" si="353"/>
        <v>0</v>
      </c>
      <c r="GO63" s="712"/>
      <c r="GP63" s="712">
        <f t="shared" si="354"/>
        <v>0</v>
      </c>
      <c r="GQ63" s="712" t="str">
        <f t="shared" si="355"/>
        <v/>
      </c>
      <c r="GR63" s="712">
        <f>IF(GA63="P",Lookup!$N$12,IF(GA63="PP",Lookup!$N$13,IF(GA63="PPP",Lookup!$N$14,IF(GA63="T",Lookup!$N$15,IF(GA63="TP",Lookup!$N$16,IF(GA63="TPP",Lookup!$N$17,IF(GA63="TPPP",Lookup!$N$18,0)))))))*FZ63</f>
        <v>0</v>
      </c>
      <c r="GS63" s="697">
        <f t="shared" si="83"/>
        <v>0</v>
      </c>
      <c r="GT63" s="712">
        <f t="shared" si="356"/>
        <v>0</v>
      </c>
      <c r="GU63" s="712">
        <f t="shared" si="357"/>
        <v>0</v>
      </c>
      <c r="GV63" s="712"/>
      <c r="GW63" s="712">
        <f t="shared" si="358"/>
        <v>0</v>
      </c>
      <c r="GX63" s="712" t="str">
        <f t="shared" si="359"/>
        <v/>
      </c>
      <c r="GY63" s="712">
        <f>IF(GA63="P",Lookup!$N$12,IF(GA63="PP",Lookup!$N$13,IF(GA63="PPP",Lookup!$N$14,IF(GA63="T",Lookup!$N$15,IF(GA63="TP",Lookup!$N$16,IF(GA63="TPP",Lookup!$N$17,IF(GA63="TPPP",Lookup!$N$18,0)))))))*FZ63</f>
        <v>0</v>
      </c>
      <c r="GZ63" s="697">
        <f t="shared" si="85"/>
        <v>0</v>
      </c>
      <c r="HA63" s="712">
        <f t="shared" si="360"/>
        <v>0</v>
      </c>
      <c r="HB63" s="712">
        <f t="shared" si="361"/>
        <v>0</v>
      </c>
      <c r="HC63" s="712"/>
    </row>
    <row r="64" spans="1:211">
      <c r="A64" s="773" t="s">
        <v>9</v>
      </c>
      <c r="B64" s="708">
        <v>40593</v>
      </c>
      <c r="C64" s="709">
        <v>0.5</v>
      </c>
      <c r="D64" s="675">
        <f t="shared" si="65"/>
        <v>300</v>
      </c>
      <c r="E64" s="675">
        <f t="shared" si="66"/>
        <v>250</v>
      </c>
      <c r="F64" s="675">
        <v>250</v>
      </c>
      <c r="G64" s="712">
        <f>DH64+Sheet1!CV64</f>
        <v>1014.0074456410078</v>
      </c>
      <c r="H64" s="712">
        <f t="shared" si="294"/>
        <v>388.49121286234748</v>
      </c>
      <c r="I64" s="711">
        <f>MAX(Sheet1!Z64-AJ64+(Sheet1!CW64-E64)*CFStoMGD,0)</f>
        <v>857.9113333333313</v>
      </c>
      <c r="J64" s="720">
        <f>IF(AND(B64&gt;=Calculation!FS64,B64&lt;=Calculation!FT64),IF(Sheet1!CX64&gt;=Calculation!D64,64.64,0),MAX(Sheet1!Z64-AJ64+(Sheet1!CX64-D64)*CFStoMGD,0))</f>
        <v>372.437999999998</v>
      </c>
      <c r="K64" s="697">
        <f t="shared" si="67"/>
        <v>64.64</v>
      </c>
      <c r="L64" s="712">
        <f>Sheet1!AA64+Sheet1!AB64-Sheet1!L64+(Sheet1!CW64-F64)*CFStoMGD</f>
        <v>905.71466666665958</v>
      </c>
      <c r="M64" s="712">
        <f t="shared" si="295"/>
        <v>668.56350111959443</v>
      </c>
      <c r="N64" s="712">
        <f>IF(Sheet1!CW64&gt;=F64,MIN(73,MIN(MAX(L64,0),MAX(M64,0))),0)</f>
        <v>73</v>
      </c>
      <c r="O64" s="721">
        <f>Sheet1!AA64+Sheet1!AB64</f>
        <v>57.179999999993015</v>
      </c>
      <c r="P64" s="721">
        <f t="shared" si="296"/>
        <v>88.457459999989197</v>
      </c>
      <c r="Q64" s="712">
        <f>MIN(N64,Sheet1!AA64+AG64)</f>
        <v>47.913333333325383</v>
      </c>
      <c r="R64" s="712">
        <f t="shared" si="297"/>
        <v>9.2666666666676374</v>
      </c>
      <c r="S64" s="721">
        <f>Sheet1!Y64*MGDtoCFS</f>
        <v>45.636499999999998</v>
      </c>
      <c r="T64" s="721">
        <f>Sheet1!Z64*MGDtoCFS</f>
        <v>43.176769999999998</v>
      </c>
      <c r="U64" s="721">
        <f>Sheet1!AA64*MGDtoCFS</f>
        <v>45.450859999984687</v>
      </c>
      <c r="V64" s="721">
        <f>Sheet1!AB64*MGDtoCFS</f>
        <v>43.006600000004504</v>
      </c>
      <c r="W64" s="721">
        <f>Sheet1!L64*MGDtoCFS</f>
        <v>0</v>
      </c>
      <c r="X64" s="697">
        <f t="shared" si="68"/>
        <v>0</v>
      </c>
      <c r="Y64" s="712">
        <f t="shared" si="298"/>
        <v>0</v>
      </c>
      <c r="Z64" s="712">
        <f t="shared" si="299"/>
        <v>0</v>
      </c>
      <c r="AA64" s="712">
        <f t="shared" si="300"/>
        <v>0</v>
      </c>
      <c r="AB64" s="712">
        <f>(VLOOKUP(Sheet1!CY64,hhdcap_wcm,4)-(((VLOOKUP(Sheet1!CY64,hhdcap_wcm,3)-Sheet1!CY64)/(VLOOKUP(Sheet1!CY64,hhdcap_wcm,3)-VLOOKUP(Sheet1!CY64,hhdcap_wcm,1)))*(VLOOKUP(Sheet1!CY64,hhdcap_wcm,4)-VLOOKUP(Sheet1!CY64,hhdcap_wcm,2))))</f>
        <v>2449.170000003674</v>
      </c>
      <c r="AC64" s="712">
        <f t="shared" si="301"/>
        <v>167.17000000023609</v>
      </c>
      <c r="AD64" s="712">
        <f t="shared" si="70"/>
        <v>0</v>
      </c>
      <c r="AE64" s="712">
        <f t="shared" si="302"/>
        <v>0</v>
      </c>
      <c r="AF64" s="712">
        <f>Sheet1!BA64+Sheet1!BB64+Sheet1!BN64+BT64</f>
        <v>18.5</v>
      </c>
      <c r="AG64" s="712">
        <f t="shared" si="303"/>
        <v>18.533333333335275</v>
      </c>
      <c r="AH64" s="712">
        <f>Sheet1!BA64+BT64</f>
        <v>0</v>
      </c>
      <c r="AI64" s="712">
        <f>Sheet1!BA64+Sheet1!BB64+BT64</f>
        <v>0</v>
      </c>
      <c r="AJ64" s="712">
        <f>IF((Sheet1!AA64+AG64+AX64+AZ64+BQ64+BS64+CL64+CN64)&lt;=N64,AG64+AX64+AZ64+BQ64+BS64+CL64+CN64,N64-Sheet1!AA64)</f>
        <v>18.533333333335275</v>
      </c>
      <c r="AK64" s="712">
        <f>IF(DR64&lt;K64,0,MAX(Sheet1!AA64+AG64-15/36*K64-N64,Sheet1!ED64,0))</f>
        <v>0</v>
      </c>
      <c r="AL64" s="712">
        <f>IF(OR(B64&gt;=FT64,B64&lt;FS64),0,15/36*K64-MAX(0,64.6-(137.6-(Sheet1!AA64+Sheet1!AB64))))</f>
        <v>0</v>
      </c>
      <c r="AM64" s="712">
        <f>Sheet1!CX64-110</f>
        <v>751.66666666666663</v>
      </c>
      <c r="AN64" s="712">
        <f>Sheet1!CW64-265</f>
        <v>1297.7083333333333</v>
      </c>
      <c r="AO64" s="712">
        <f t="shared" si="71"/>
        <v>25.086666666674617</v>
      </c>
      <c r="AP64" s="712">
        <f t="shared" si="72"/>
        <v>0</v>
      </c>
      <c r="AQ64" s="712">
        <f t="shared" si="304"/>
        <v>0</v>
      </c>
      <c r="AR64" s="712">
        <f t="shared" si="305"/>
        <v>0</v>
      </c>
      <c r="AS64" s="712"/>
      <c r="AT64" s="712">
        <f ca="1">IF(B64&gt;Summary!$A$1,#N/A,AR64*MGtoAF)</f>
        <v>0</v>
      </c>
      <c r="AU64" s="712">
        <f>Sheet1!BG64+Sheet1!BH64+Sheet1!BI64-BC64</f>
        <v>0</v>
      </c>
      <c r="AV64" s="712">
        <f t="shared" si="306"/>
        <v>0</v>
      </c>
      <c r="AW64" s="712">
        <f>IF(Sheet1!EL64="FM",BC64,0)</f>
        <v>0</v>
      </c>
      <c r="AX64" s="712">
        <f t="shared" si="307"/>
        <v>0</v>
      </c>
      <c r="AY64" s="712">
        <f>IF(Sheet1!EL64="OTHER",BC64,0)</f>
        <v>0</v>
      </c>
      <c r="AZ64" s="712">
        <f t="shared" si="308"/>
        <v>0</v>
      </c>
      <c r="BA64" s="712">
        <f t="shared" si="309"/>
        <v>0</v>
      </c>
      <c r="BB64" s="712">
        <f t="shared" si="310"/>
        <v>0</v>
      </c>
      <c r="BC64" s="712">
        <f>IF(OR(Sheet1!EL64="FM", Sheet1!EL64="OTHER"),SUM(Sheet1!BG64:'Sheet1'!BI64),0)</f>
        <v>0</v>
      </c>
      <c r="BD64" s="697">
        <f>IF(AND($B64&gt;=$FL64,$B64&lt;=$FM64),MAX(AV64,Sheet1!EE64,0),MAX(AV64-(7/36)*$K64,0))</f>
        <v>0</v>
      </c>
      <c r="BE64" s="712">
        <f t="shared" si="311"/>
        <v>0</v>
      </c>
      <c r="BF64" s="697">
        <f t="shared" si="73"/>
        <v>0</v>
      </c>
      <c r="BG64" s="697">
        <f>IF(AND($O64&gt;0,Sheet1!EI64=1),(1-($O64-Sheet1!$L64)/$O64)*BB64,0)</f>
        <v>0</v>
      </c>
      <c r="BH64" s="697">
        <f>IF(AND(Sheet1!$L64=0,Sheet1!$L63=0, Calculation!BA64&lt;Sheet1!$EE64-0.1,Sheet1!$EE64=Sheet1!$EE63,Sheet1!$EE64=Sheet1!$EE65),Sheet1!$EE64,BB64-BG64)</f>
        <v>0</v>
      </c>
      <c r="BI64" s="712"/>
      <c r="BJ64" s="712"/>
      <c r="BK64" s="712">
        <f t="shared" si="312"/>
        <v>0</v>
      </c>
      <c r="BL64" s="712"/>
      <c r="BM64" s="712">
        <f ca="1">IF(B64&gt;Summary!$A$1,#N/A,BK64*MGtoAF)</f>
        <v>0</v>
      </c>
      <c r="BN64" s="712">
        <f>Sheet1!BC64+Sheet1!BD64+Sheet1!BE64+Sheet1!BF64-BW64-BX64</f>
        <v>3.51</v>
      </c>
      <c r="BO64" s="712">
        <f t="shared" si="313"/>
        <v>3.5163243243246924</v>
      </c>
      <c r="BP64" s="712">
        <f>IF(Sheet1!EM64="FM",BX64,0)</f>
        <v>0</v>
      </c>
      <c r="BQ64" s="712">
        <f t="shared" si="314"/>
        <v>0</v>
      </c>
      <c r="BR64" s="712">
        <f>IF(Sheet1!EM64="OTHER",BX64,0)</f>
        <v>0</v>
      </c>
      <c r="BS64" s="712">
        <f t="shared" si="315"/>
        <v>0</v>
      </c>
      <c r="BT64" s="712">
        <f t="shared" si="316"/>
        <v>0</v>
      </c>
      <c r="BU64" s="712">
        <f t="shared" si="317"/>
        <v>3.51</v>
      </c>
      <c r="BV64" s="712">
        <f t="shared" si="318"/>
        <v>3.5163243243246924</v>
      </c>
      <c r="BW64" s="712">
        <f>IF(Sheet1!EM64="CWA",SUM(Sheet1!BC64:'Sheet1'!BF64),0)</f>
        <v>0</v>
      </c>
      <c r="BX64" s="712">
        <f>IF(OR(Sheet1!EM64="FM", Sheet1!EM64="OTHER"),SUM(Sheet1!BC64:'Sheet1'!BF64),0)</f>
        <v>0</v>
      </c>
      <c r="BY64" s="697">
        <f>IF(AND($B64&gt;=$FL64,$B64&lt;=$FM64),MAX(BV64,Sheet1!EF64,0),MAX(BV64-(7/36)*$K64,0))</f>
        <v>0</v>
      </c>
      <c r="BZ64" s="712">
        <f t="shared" si="319"/>
        <v>0</v>
      </c>
      <c r="CA64" s="697">
        <f t="shared" si="74"/>
        <v>3.5163243243246924</v>
      </c>
      <c r="CB64" s="697">
        <f>IF(AND($O64&gt;0,Sheet1!EJ64=1),(1-($O64-Sheet1!$L64)/$O64)*BV64,0)</f>
        <v>0</v>
      </c>
      <c r="CC64" s="697">
        <f>IF(AND(Sheet1!$L64=0,Sheet1!$L63=0, Calculation!BU64&lt;Sheet1!EF64-0.1,Sheet1!EF64=Sheet1!EF63,Sheet1!EF64=Sheet1!EF65),Sheet1!EF64,BV64-CB64)</f>
        <v>3.5163243243246924</v>
      </c>
      <c r="CD64" s="697"/>
      <c r="CE64" s="712"/>
      <c r="CF64" s="712">
        <f t="shared" si="320"/>
        <v>0</v>
      </c>
      <c r="CG64" s="712"/>
      <c r="CH64" s="712">
        <f ca="1">IF(B64&gt;Summary!$A$1,#N/A,CF64*MGtoAF)</f>
        <v>0</v>
      </c>
      <c r="CI64" s="712">
        <f>Sheet1!BK64+Sheet1!BL64+Sheet1!BM64-Sheet1!EN64-CQ64</f>
        <v>5.74</v>
      </c>
      <c r="CJ64" s="712">
        <f t="shared" si="321"/>
        <v>5.7503423423429449</v>
      </c>
      <c r="CK64" s="712">
        <f>IF(Sheet1!EN64="FM",CQ64,0)</f>
        <v>0</v>
      </c>
      <c r="CL64" s="712">
        <f t="shared" si="322"/>
        <v>0</v>
      </c>
      <c r="CM64" s="712">
        <f>IF(Sheet1!EN64="OTHER",CQ64,0)</f>
        <v>0</v>
      </c>
      <c r="CN64" s="712">
        <f t="shared" si="323"/>
        <v>0</v>
      </c>
      <c r="CO64" s="712">
        <f t="shared" si="324"/>
        <v>5.74</v>
      </c>
      <c r="CP64" s="712">
        <f t="shared" si="325"/>
        <v>5.7503423423429449</v>
      </c>
      <c r="CQ64" s="712">
        <f>IF(OR(Sheet1!EN64="FM", Sheet1!EN64="OTHER"),SUM(Sheet1!BK64:'Sheet1'!BM64),0)</f>
        <v>0</v>
      </c>
      <c r="CR64" s="697">
        <f>IF(AND($B64&gt;=$FL64,$B64&lt;=$FM64),MAX($CJ64,Sheet1!EG64,0),MAX($CJ64-(7/36)*$K64,0))</f>
        <v>0</v>
      </c>
      <c r="CS64" s="712">
        <f t="shared" si="326"/>
        <v>0</v>
      </c>
      <c r="CT64" s="697">
        <f t="shared" si="75"/>
        <v>5.7503423423429449</v>
      </c>
      <c r="CU64" s="697">
        <f>IF(AND($O64&gt;0,Sheet1!EK64=1),(1-($O64-Sheet1!$L64)/$O64)*CP64,0)</f>
        <v>0</v>
      </c>
      <c r="CV64" s="697">
        <f>IF(AND(Sheet1!$L64=0,Sheet1!$L63=0, Calculation!CO64&lt;Sheet1!$EG64-0.1,Sheet1!$EG64=Sheet1!$EG63,Sheet1!$EG64=Sheet1!$EG65),Sheet1!$EG64,CP64-CU64)</f>
        <v>6</v>
      </c>
      <c r="CW64" s="874">
        <f t="shared" si="33"/>
        <v>-0.24965765765705505</v>
      </c>
      <c r="CX64" s="712">
        <f t="shared" si="87"/>
        <v>9.25</v>
      </c>
      <c r="CY64" s="712">
        <f t="shared" si="327"/>
        <v>0</v>
      </c>
      <c r="CZ64" s="712">
        <f t="shared" si="328"/>
        <v>9.2666666666676374</v>
      </c>
      <c r="DA64" s="712">
        <f ca="1">IF(B64&gt;Summary!$A$1,#N/A,CY64*MGtoAF)</f>
        <v>0</v>
      </c>
      <c r="DB64" s="712">
        <f t="shared" si="329"/>
        <v>9.25</v>
      </c>
      <c r="DC64" s="712">
        <f t="shared" si="330"/>
        <v>27.75</v>
      </c>
      <c r="DD64" s="712">
        <f>Sheet1!AB64-DC64</f>
        <v>5.0000000002910383E-2</v>
      </c>
      <c r="DE64" s="712">
        <f t="shared" si="331"/>
        <v>1.8018018019066804E-3</v>
      </c>
      <c r="DF64" s="712">
        <f>(VLOOKUP(Sheet1!CY64,hhdcap_wcm,4)-(((VLOOKUP(Sheet1!CY64,hhdcap_wcm,3)-Sheet1!CY64)/(VLOOKUP(Sheet1!CY64,hhdcap_wcm,3)-VLOOKUP(Sheet1!CY64,hhdcap_wcm,1)))*(VLOOKUP(Sheet1!CY64,hhdcap_wcm,4)-VLOOKUP(Sheet1!CY64,hhdcap_wcm,2))))</f>
        <v>2449.170000003674</v>
      </c>
      <c r="DG64" s="712">
        <f t="shared" si="332"/>
        <v>167.17000000023609</v>
      </c>
      <c r="DH64" s="712">
        <f t="shared" si="333"/>
        <v>84.301563288066603</v>
      </c>
      <c r="DI64" s="712">
        <f>Sheet1!DW64*AFtoMG</f>
        <v>0</v>
      </c>
      <c r="DJ64" s="712">
        <f>Sheet1!DX64*AFtoMG</f>
        <v>0</v>
      </c>
      <c r="DK64" s="712">
        <f>Sheet1!DY64*AFtoMG</f>
        <v>0</v>
      </c>
      <c r="DL64" s="712">
        <f>Sheet1!DZ64*AFtoMG</f>
        <v>0</v>
      </c>
      <c r="DM64" s="712">
        <f t="shared" si="334"/>
        <v>0</v>
      </c>
      <c r="DN64" s="712">
        <f t="shared" si="335"/>
        <v>0</v>
      </c>
      <c r="DO64" s="712">
        <f t="shared" si="336"/>
        <v>0</v>
      </c>
      <c r="DP64" s="712">
        <f t="shared" si="337"/>
        <v>0</v>
      </c>
      <c r="DQ64" s="712"/>
      <c r="DR64" s="697">
        <f>IF(OR(B64&lt;FL64,B64&gt;FM64),(MIN(AV64+BO64+CJ64+MAX(Sheet1!AA64+AG64-73,0),K64)),0)</f>
        <v>9.2666666666676374</v>
      </c>
      <c r="DS64" s="712"/>
      <c r="DT64" s="712">
        <f t="shared" si="338"/>
        <v>9.2666666666676374</v>
      </c>
      <c r="DU64" s="712"/>
      <c r="DV64" s="712">
        <f>Sheet1!ED64+Sheet1!EE64+Sheet1!EF64+Sheet1!EG64</f>
        <v>9.5</v>
      </c>
      <c r="DW64" s="712"/>
      <c r="DX64" s="697">
        <f t="shared" si="77"/>
        <v>0</v>
      </c>
      <c r="DY64" s="712">
        <f>IF(Sheet1!FN64=1,SUM('Calculations II'!AT64:BA64)+'Calculations II'!BC64+Sheet1!BU64+'Calculations II'!BE64+AF64,SUM('Calculations II'!AT64:BA64)+'Calculations II'!BC64+Sheet1!BU64+'Calculations II'!BE64+AF64)</f>
        <v>43.117311999999998</v>
      </c>
      <c r="DZ64" s="712">
        <f>Sheet1!AA64+Sheet1!AB64+'Calculations II'!BC64</f>
        <v>57.179999999993015</v>
      </c>
      <c r="EA64" s="712"/>
      <c r="EB64" s="712"/>
      <c r="EC64" s="712">
        <f t="shared" si="339"/>
        <v>40593</v>
      </c>
      <c r="ED64" s="712">
        <f t="shared" si="340"/>
        <v>0</v>
      </c>
      <c r="EE64" s="712">
        <f t="shared" si="341"/>
        <v>0</v>
      </c>
      <c r="EF64" s="712">
        <f>-(VLOOKUP(Sheet1!BQ64,Lookup!$B$4:$J$236,2)-VLOOKUP(Sheet1!BQ63,Lookup!$B$4:$J$236,2))/1000000</f>
        <v>-1.3354999999999999</v>
      </c>
      <c r="EG64" s="712">
        <f>-(VLOOKUP(Sheet1!BR64,Lookup!$B$4:$J$236,3)-VLOOKUP(Sheet1!BR63,Lookup!$B$4:$J$236,3))/1000000</f>
        <v>-1.333</v>
      </c>
      <c r="EH64" s="712">
        <f>-(VLOOKUP(Sheet1!BS64,Lookup!$B$4:$J$236,4)-VLOOKUP(Sheet1!BS63,Lookup!$B$4:$J$236,4))/1000000</f>
        <v>0</v>
      </c>
      <c r="EI64" s="697">
        <f t="shared" si="88"/>
        <v>-2.6684999999999999</v>
      </c>
      <c r="EJ64" s="712"/>
      <c r="EK64" s="712"/>
      <c r="EL64" s="712"/>
      <c r="EM64" s="712"/>
      <c r="EN64" s="712"/>
      <c r="EO64" s="712"/>
      <c r="EP64" s="712"/>
      <c r="EQ64" s="712"/>
      <c r="ER64" s="697">
        <v>0</v>
      </c>
      <c r="ES64" s="712"/>
      <c r="ET64" s="794" t="e">
        <f t="shared" si="342"/>
        <v>#N/A</v>
      </c>
      <c r="EU64" s="794" t="e">
        <f t="shared" si="79"/>
        <v>#VALUE!</v>
      </c>
      <c r="EV64" s="795" t="e">
        <f t="shared" si="48"/>
        <v>#VALUE!</v>
      </c>
      <c r="EW64" s="796" t="s">
        <v>757</v>
      </c>
      <c r="EX64" s="796" t="s">
        <v>757</v>
      </c>
      <c r="EY64" s="794">
        <v>0</v>
      </c>
      <c r="EZ64" s="794" t="e">
        <v>#N/A</v>
      </c>
      <c r="FA64" s="712"/>
      <c r="FB64" s="712"/>
      <c r="FC64" s="712"/>
      <c r="FD64" s="712"/>
      <c r="FE64" s="712">
        <f>O64+Sheet1!CO64</f>
        <v>57.179999999993015</v>
      </c>
      <c r="FF64" s="712">
        <f>IF(Sheet1!AA64+AG64&lt;=Calculation!N64,AG64,Calculation!N64-Sheet1!AA64)</f>
        <v>18.533333333335275</v>
      </c>
      <c r="FG64" s="712">
        <f>(Sheet1!BP64+Sheet1!BO64)/694.4</f>
        <v>2.3590149769585254</v>
      </c>
      <c r="FH64" s="712"/>
      <c r="FI64" s="712"/>
      <c r="FJ64" s="712"/>
      <c r="FK64" s="712"/>
      <c r="FL64" s="714">
        <f t="shared" si="89"/>
        <v>40753</v>
      </c>
      <c r="FM64" s="714">
        <f t="shared" si="90"/>
        <v>40851</v>
      </c>
      <c r="FN64" s="712"/>
      <c r="FO64" s="712"/>
      <c r="FP64" s="712"/>
      <c r="FQ64" s="712"/>
      <c r="FR64" s="712"/>
      <c r="FS64" s="725">
        <f t="shared" si="91"/>
        <v>40603</v>
      </c>
      <c r="FT64" s="714">
        <f t="shared" si="92"/>
        <v>40709</v>
      </c>
      <c r="FU64" s="712">
        <f t="shared" si="93"/>
        <v>6518.9048239895692</v>
      </c>
      <c r="FV64" s="714">
        <f t="shared" si="94"/>
        <v>40722</v>
      </c>
      <c r="FW64" s="712">
        <f t="shared" si="95"/>
        <v>3259.4524119947846</v>
      </c>
      <c r="FX64" s="725">
        <f t="shared" si="96"/>
        <v>40851</v>
      </c>
      <c r="FZ64" s="697">
        <f t="shared" si="49"/>
        <v>0</v>
      </c>
      <c r="GA64" s="712" t="str">
        <f t="shared" si="343"/>
        <v/>
      </c>
      <c r="GB64" s="712">
        <f t="shared" si="344"/>
        <v>0</v>
      </c>
      <c r="GC64" s="712" t="str">
        <f t="shared" si="345"/>
        <v/>
      </c>
      <c r="GD64" s="712">
        <f>IF(GA64="P",Lookup!$M$12,IF(GA64="PP",Lookup!$M$13,IF(GA64="PPP",Lookup!$M$14,IF(GA64="T",Lookup!$M$15,IF(GA64="TP",Lookup!$M$16,IF(GA64="TPP",Lookup!$M$17,IF(GA64="TPPP",Lookup!$M$18,0)))))))*FZ64</f>
        <v>0</v>
      </c>
      <c r="GE64" s="712">
        <f t="shared" si="346"/>
        <v>0</v>
      </c>
      <c r="GF64" s="712">
        <f t="shared" si="347"/>
        <v>0</v>
      </c>
      <c r="GG64" s="712">
        <f t="shared" si="348"/>
        <v>0</v>
      </c>
      <c r="GH64" s="712"/>
      <c r="GI64" s="712">
        <f t="shared" si="349"/>
        <v>0</v>
      </c>
      <c r="GJ64" s="712" t="str">
        <f t="shared" si="350"/>
        <v/>
      </c>
      <c r="GK64" s="712">
        <f>IF(GA64="P",Lookup!$N$12,IF(GA64="PP",Lookup!$N$13,IF(GA64="PPP",Lookup!$N$14,IF(GA64="T",Lookup!$N$15,IF(GA64="TP",Lookup!$N$16,IF(GA64="TPP",Lookup!$N$17,IF(GA64="TPPP",Lookup!$N$18,0)))))))*FZ64</f>
        <v>0</v>
      </c>
      <c r="GL64" s="712">
        <f t="shared" si="351"/>
        <v>0</v>
      </c>
      <c r="GM64" s="712">
        <f t="shared" si="352"/>
        <v>0</v>
      </c>
      <c r="GN64" s="712">
        <f t="shared" si="353"/>
        <v>0</v>
      </c>
      <c r="GO64" s="712"/>
      <c r="GP64" s="712">
        <f t="shared" si="354"/>
        <v>0</v>
      </c>
      <c r="GQ64" s="712" t="str">
        <f t="shared" si="355"/>
        <v/>
      </c>
      <c r="GR64" s="712">
        <f>IF(GA64="P",Lookup!$N$12,IF(GA64="PP",Lookup!$N$13,IF(GA64="PPP",Lookup!$N$14,IF(GA64="T",Lookup!$N$15,IF(GA64="TP",Lookup!$N$16,IF(GA64="TPP",Lookup!$N$17,IF(GA64="TPPP",Lookup!$N$18,0)))))))*FZ64</f>
        <v>0</v>
      </c>
      <c r="GS64" s="697">
        <f t="shared" si="83"/>
        <v>0</v>
      </c>
      <c r="GT64" s="712">
        <f t="shared" si="356"/>
        <v>0</v>
      </c>
      <c r="GU64" s="712">
        <f t="shared" si="357"/>
        <v>0</v>
      </c>
      <c r="GV64" s="712"/>
      <c r="GW64" s="712">
        <f t="shared" si="358"/>
        <v>0</v>
      </c>
      <c r="GX64" s="712" t="str">
        <f t="shared" si="359"/>
        <v/>
      </c>
      <c r="GY64" s="712">
        <f>IF(GA64="P",Lookup!$N$12,IF(GA64="PP",Lookup!$N$13,IF(GA64="PPP",Lookup!$N$14,IF(GA64="T",Lookup!$N$15,IF(GA64="TP",Lookup!$N$16,IF(GA64="TPP",Lookup!$N$17,IF(GA64="TPPP",Lookup!$N$18,0)))))))*FZ64</f>
        <v>0</v>
      </c>
      <c r="GZ64" s="697">
        <f t="shared" si="85"/>
        <v>0</v>
      </c>
      <c r="HA64" s="712">
        <f t="shared" si="360"/>
        <v>0</v>
      </c>
      <c r="HB64" s="712">
        <f t="shared" si="361"/>
        <v>0</v>
      </c>
      <c r="HC64" s="712"/>
    </row>
    <row r="65" spans="1:211">
      <c r="A65" s="773" t="s">
        <v>3</v>
      </c>
      <c r="B65" s="708">
        <v>40594</v>
      </c>
      <c r="C65" s="719">
        <v>0.5</v>
      </c>
      <c r="D65" s="675">
        <f t="shared" si="65"/>
        <v>300</v>
      </c>
      <c r="E65" s="675">
        <f t="shared" si="66"/>
        <v>250</v>
      </c>
      <c r="F65" s="710">
        <v>250</v>
      </c>
      <c r="G65" s="712">
        <f>DH65+Sheet1!CV65</f>
        <v>939.32677760968249</v>
      </c>
      <c r="H65" s="712">
        <f t="shared" si="294"/>
        <v>340.21762904689876</v>
      </c>
      <c r="I65" s="711">
        <f>MAX(Sheet1!Z65-AJ65+(Sheet1!CW65-E65)*CFStoMGD,0)</f>
        <v>839.14359084406431</v>
      </c>
      <c r="J65" s="720">
        <f>IF(AND(B65&gt;=Calculation!FS65,B65&lt;=Calculation!FT65),IF(Sheet1!CX65&gt;=Calculation!D65,64.64,0),MAX(Sheet1!Z65-AJ65+(Sheet1!CX65-D65)*CFStoMGD,0))</f>
        <v>372.83332417739769</v>
      </c>
      <c r="K65" s="697">
        <f t="shared" si="67"/>
        <v>64.64</v>
      </c>
      <c r="L65" s="712">
        <f>Sheet1!AA65+Sheet1!AB65-Sheet1!L65+(Sheet1!CW65-F65)*CFStoMGD</f>
        <v>887.39333333333536</v>
      </c>
      <c r="M65" s="712">
        <f t="shared" si="295"/>
        <v>619.32444562783678</v>
      </c>
      <c r="N65" s="712">
        <f>IF(Sheet1!CW65&gt;=F65,MIN(73,MIN(MAX(L65,0),MAX(M65,0))),0)</f>
        <v>73</v>
      </c>
      <c r="O65" s="721">
        <f>Sheet1!AA65+Sheet1!AB65</f>
        <v>57.510000000002037</v>
      </c>
      <c r="P65" s="721">
        <f t="shared" si="296"/>
        <v>88.967970000003149</v>
      </c>
      <c r="Q65" s="712">
        <f>MIN(N65,Sheet1!AA65+AG65)</f>
        <v>47.939742489273115</v>
      </c>
      <c r="R65" s="712">
        <f t="shared" si="297"/>
        <v>9.5702575107289167</v>
      </c>
      <c r="S65" s="721">
        <f>Sheet1!Y65*MGDtoCFS</f>
        <v>45.68291</v>
      </c>
      <c r="T65" s="721">
        <f>Sheet1!Z65*MGDtoCFS</f>
        <v>42.820959999999999</v>
      </c>
      <c r="U65" s="721">
        <f>Sheet1!AA65*MGDtoCFS</f>
        <v>45.667440000006302</v>
      </c>
      <c r="V65" s="721">
        <f>Sheet1!AB65*MGDtoCFS</f>
        <v>43.300529999996847</v>
      </c>
      <c r="W65" s="721">
        <f>Sheet1!L65*MGDtoCFS</f>
        <v>0</v>
      </c>
      <c r="X65" s="697">
        <f t="shared" si="68"/>
        <v>0</v>
      </c>
      <c r="Y65" s="712">
        <f t="shared" si="298"/>
        <v>0</v>
      </c>
      <c r="Z65" s="712">
        <f t="shared" si="299"/>
        <v>0</v>
      </c>
      <c r="AA65" s="712">
        <f t="shared" si="300"/>
        <v>0</v>
      </c>
      <c r="AB65" s="712">
        <f>(VLOOKUP(Sheet1!CY65,hhdcap_wcm,4)-(((VLOOKUP(Sheet1!CY65,hhdcap_wcm,3)-Sheet1!CY65)/(VLOOKUP(Sheet1!CY65,hhdcap_wcm,3)-VLOOKUP(Sheet1!CY65,hhdcap_wcm,1)))*(VLOOKUP(Sheet1!CY65,hhdcap_wcm,4)-VLOOKUP(Sheet1!CY65,hhdcap_wcm,2))))</f>
        <v>2457.7500000036744</v>
      </c>
      <c r="AC65" s="712">
        <f t="shared" si="301"/>
        <v>8.580000000000382</v>
      </c>
      <c r="AD65" s="712">
        <f t="shared" si="70"/>
        <v>0</v>
      </c>
      <c r="AE65" s="712">
        <f t="shared" si="302"/>
        <v>0</v>
      </c>
      <c r="AF65" s="712">
        <f>Sheet1!BA65+Sheet1!BB65+Sheet1!BN65+BT65</f>
        <v>18.399999999999999</v>
      </c>
      <c r="AG65" s="712">
        <f t="shared" si="303"/>
        <v>18.419742489269044</v>
      </c>
      <c r="AH65" s="712">
        <f>Sheet1!BA65+BT65</f>
        <v>0</v>
      </c>
      <c r="AI65" s="712">
        <f>Sheet1!BA65+Sheet1!BB65+BT65</f>
        <v>0</v>
      </c>
      <c r="AJ65" s="712">
        <f>IF((Sheet1!AA65+AG65+AX65+AZ65+BQ65+BS65+CL65+CN65)&lt;=N65,AG65+AX65+AZ65+BQ65+BS65+CL65+CN65,N65-Sheet1!AA65)</f>
        <v>18.419742489269044</v>
      </c>
      <c r="AK65" s="712">
        <f>IF(DR65&lt;K65,0,MAX(Sheet1!AA65+AG65-15/36*K65-N65,Sheet1!ED65,0))</f>
        <v>0</v>
      </c>
      <c r="AL65" s="712">
        <f>IF(OR(B65&gt;=FT65,B65&lt;FS65),0,15/36*K65-MAX(0,64.6-(137.6-(Sheet1!AA65+Sheet1!AB65))))</f>
        <v>0</v>
      </c>
      <c r="AM65" s="712">
        <f>Sheet1!CX65-110</f>
        <v>752.45833333333337</v>
      </c>
      <c r="AN65" s="712">
        <f>Sheet1!CW65-265</f>
        <v>1268.8541666666667</v>
      </c>
      <c r="AO65" s="712">
        <f t="shared" si="71"/>
        <v>25.060257510726885</v>
      </c>
      <c r="AP65" s="712">
        <f t="shared" si="72"/>
        <v>0</v>
      </c>
      <c r="AQ65" s="712">
        <f t="shared" si="304"/>
        <v>0</v>
      </c>
      <c r="AR65" s="712">
        <f t="shared" si="305"/>
        <v>0</v>
      </c>
      <c r="AS65" s="712"/>
      <c r="AT65" s="712">
        <f ca="1">IF(B65&gt;Summary!$A$1,#N/A,AR65*MGtoAF)</f>
        <v>0</v>
      </c>
      <c r="AU65" s="712">
        <f>Sheet1!BG65+Sheet1!BH65+Sheet1!BI65-BC65</f>
        <v>0</v>
      </c>
      <c r="AV65" s="712">
        <f t="shared" si="306"/>
        <v>0</v>
      </c>
      <c r="AW65" s="712">
        <f>IF(Sheet1!EL65="FM",BC65,0)</f>
        <v>0</v>
      </c>
      <c r="AX65" s="712">
        <f t="shared" si="307"/>
        <v>0</v>
      </c>
      <c r="AY65" s="712">
        <f>IF(Sheet1!EL65="OTHER",BC65,0)</f>
        <v>0</v>
      </c>
      <c r="AZ65" s="712">
        <f t="shared" si="308"/>
        <v>0</v>
      </c>
      <c r="BA65" s="712">
        <f t="shared" si="309"/>
        <v>0</v>
      </c>
      <c r="BB65" s="712">
        <f t="shared" si="310"/>
        <v>0</v>
      </c>
      <c r="BC65" s="712">
        <f>IF(OR(Sheet1!EL65="FM", Sheet1!EL65="OTHER"),SUM(Sheet1!BG65:'Sheet1'!BI65),0)</f>
        <v>0</v>
      </c>
      <c r="BD65" s="697">
        <f>IF(AND($B65&gt;=$FL65,$B65&lt;=$FM65),MAX(AV65,Sheet1!EE65,0),MAX(AV65-(7/36)*$K65,0))</f>
        <v>0</v>
      </c>
      <c r="BE65" s="712">
        <f t="shared" si="311"/>
        <v>0</v>
      </c>
      <c r="BF65" s="697">
        <f t="shared" si="73"/>
        <v>0</v>
      </c>
      <c r="BG65" s="697">
        <f>IF(AND($O65&gt;0,Sheet1!EI65=1),(1-($O65-Sheet1!$L65)/$O65)*BB65,0)</f>
        <v>0</v>
      </c>
      <c r="BH65" s="697">
        <f>IF(AND(Sheet1!$L65=0,Sheet1!$L64=0, Calculation!BA65&lt;Sheet1!$EE65-0.1,Sheet1!$EE65=Sheet1!$EE64,Sheet1!$EE65=Sheet1!$EE66),Sheet1!$EE65,BB65-BG65)</f>
        <v>0</v>
      </c>
      <c r="BI65" s="712"/>
      <c r="BJ65" s="712"/>
      <c r="BK65" s="712">
        <f t="shared" si="312"/>
        <v>0</v>
      </c>
      <c r="BL65" s="712"/>
      <c r="BM65" s="712">
        <f ca="1">IF(B65&gt;Summary!$A$1,#N/A,BK65*MGtoAF)</f>
        <v>0</v>
      </c>
      <c r="BN65" s="712">
        <f>Sheet1!BC65+Sheet1!BD65+Sheet1!BE65+Sheet1!BF65-BW65-BX65</f>
        <v>3.52</v>
      </c>
      <c r="BO65" s="712">
        <f t="shared" si="313"/>
        <v>3.5237768240340781</v>
      </c>
      <c r="BP65" s="712">
        <f>IF(Sheet1!EM65="FM",BX65,0)</f>
        <v>0</v>
      </c>
      <c r="BQ65" s="712">
        <f t="shared" si="314"/>
        <v>0</v>
      </c>
      <c r="BR65" s="712">
        <f>IF(Sheet1!EM65="OTHER",BX65,0)</f>
        <v>0</v>
      </c>
      <c r="BS65" s="712">
        <f t="shared" si="315"/>
        <v>0</v>
      </c>
      <c r="BT65" s="712">
        <f t="shared" si="316"/>
        <v>0</v>
      </c>
      <c r="BU65" s="712">
        <f t="shared" si="317"/>
        <v>3.52</v>
      </c>
      <c r="BV65" s="712">
        <f t="shared" si="318"/>
        <v>3.5237768240340781</v>
      </c>
      <c r="BW65" s="712">
        <f>IF(Sheet1!EM65="CWA",SUM(Sheet1!BC65:'Sheet1'!BF65),0)</f>
        <v>0</v>
      </c>
      <c r="BX65" s="712">
        <f>IF(OR(Sheet1!EM65="FM", Sheet1!EM65="OTHER"),SUM(Sheet1!BC65:'Sheet1'!BF65),0)</f>
        <v>0</v>
      </c>
      <c r="BY65" s="697">
        <f>IF(AND($B65&gt;=$FL65,$B65&lt;=$FM65),MAX(BV65,Sheet1!EF65,0),MAX(BV65-(7/36)*$K65,0))</f>
        <v>0</v>
      </c>
      <c r="BZ65" s="712">
        <f t="shared" si="319"/>
        <v>0</v>
      </c>
      <c r="CA65" s="697">
        <f t="shared" si="74"/>
        <v>3.5237768240340781</v>
      </c>
      <c r="CB65" s="697">
        <f>IF(AND($O65&gt;0,Sheet1!EJ65=1),(1-($O65-Sheet1!$L65)/$O65)*BV65,0)</f>
        <v>0</v>
      </c>
      <c r="CC65" s="697">
        <f>IF(AND(Sheet1!$L65=0,Sheet1!$L64=0, Calculation!BU65&lt;Sheet1!EF65-0.1,Sheet1!EF65=Sheet1!EF64,Sheet1!EF65=Sheet1!EF66),Sheet1!EF65,BV65-CB65)</f>
        <v>3.5237768240340781</v>
      </c>
      <c r="CD65" s="697"/>
      <c r="CE65" s="712"/>
      <c r="CF65" s="712">
        <f t="shared" si="320"/>
        <v>0</v>
      </c>
      <c r="CG65" s="712"/>
      <c r="CH65" s="712">
        <f ca="1">IF(B65&gt;Summary!$A$1,#N/A,CF65*MGtoAF)</f>
        <v>0</v>
      </c>
      <c r="CI65" s="712">
        <f>Sheet1!BK65+Sheet1!BL65+Sheet1!BM65-Sheet1!EN65-CQ65</f>
        <v>6.04</v>
      </c>
      <c r="CJ65" s="712">
        <f t="shared" si="321"/>
        <v>6.0464806866948386</v>
      </c>
      <c r="CK65" s="712">
        <f>IF(Sheet1!EN65="FM",CQ65,0)</f>
        <v>0</v>
      </c>
      <c r="CL65" s="712">
        <f t="shared" si="322"/>
        <v>0</v>
      </c>
      <c r="CM65" s="712">
        <f>IF(Sheet1!EN65="OTHER",CQ65,0)</f>
        <v>0</v>
      </c>
      <c r="CN65" s="712">
        <f t="shared" si="323"/>
        <v>0</v>
      </c>
      <c r="CO65" s="712">
        <f t="shared" si="324"/>
        <v>6.04</v>
      </c>
      <c r="CP65" s="712">
        <f t="shared" si="325"/>
        <v>6.0464806866948386</v>
      </c>
      <c r="CQ65" s="712">
        <f>IF(OR(Sheet1!EN65="FM", Sheet1!EN65="OTHER"),SUM(Sheet1!BK65:'Sheet1'!BM65),0)</f>
        <v>0</v>
      </c>
      <c r="CR65" s="697">
        <f>IF(AND($B65&gt;=$FL65,$B65&lt;=$FM65),MAX($CJ65,Sheet1!EG65,0),MAX($CJ65-(7/36)*$K65,0))</f>
        <v>0</v>
      </c>
      <c r="CS65" s="712">
        <f t="shared" si="326"/>
        <v>0</v>
      </c>
      <c r="CT65" s="697">
        <f t="shared" si="75"/>
        <v>6.0464806866948386</v>
      </c>
      <c r="CU65" s="697">
        <f>IF(AND($O65&gt;0,Sheet1!EK65=1),(1-($O65-Sheet1!$L65)/$O65)*CP65,0)</f>
        <v>0</v>
      </c>
      <c r="CV65" s="697">
        <f>IF(AND(Sheet1!$L65=0,Sheet1!$L64=0, Calculation!CO65&lt;Sheet1!$EG65-0.1,Sheet1!$EG65=Sheet1!$EG64,Sheet1!$EG65=Sheet1!$EG66),Sheet1!$EG65,CP65-CU65)</f>
        <v>6.0464806866948386</v>
      </c>
      <c r="CW65" s="697">
        <f t="shared" si="33"/>
        <v>0</v>
      </c>
      <c r="CX65" s="712">
        <f t="shared" si="87"/>
        <v>9.56</v>
      </c>
      <c r="CY65" s="712">
        <f t="shared" si="327"/>
        <v>0</v>
      </c>
      <c r="CZ65" s="712">
        <f t="shared" si="328"/>
        <v>9.5702575107289167</v>
      </c>
      <c r="DA65" s="712">
        <f ca="1">IF(B65&gt;Summary!$A$1,#N/A,CY65*MGtoAF)</f>
        <v>0</v>
      </c>
      <c r="DB65" s="712">
        <f t="shared" si="329"/>
        <v>9.56</v>
      </c>
      <c r="DC65" s="712">
        <f t="shared" si="330"/>
        <v>27.96</v>
      </c>
      <c r="DD65" s="712">
        <f>Sheet1!AB65-DC65</f>
        <v>2.9999999997961879E-2</v>
      </c>
      <c r="DE65" s="712">
        <f t="shared" si="331"/>
        <v>1.0729613733176638E-3</v>
      </c>
      <c r="DF65" s="712">
        <f>(VLOOKUP(Sheet1!CY65,hhdcap_wcm,4)-(((VLOOKUP(Sheet1!CY65,hhdcap_wcm,3)-Sheet1!CY65)/(VLOOKUP(Sheet1!CY65,hhdcap_wcm,3)-VLOOKUP(Sheet1!CY65,hhdcap_wcm,1)))*(VLOOKUP(Sheet1!CY65,hhdcap_wcm,4)-VLOOKUP(Sheet1!CY65,hhdcap_wcm,2))))</f>
        <v>2457.7500000036744</v>
      </c>
      <c r="DG65" s="712">
        <f t="shared" si="332"/>
        <v>8.580000000000382</v>
      </c>
      <c r="DH65" s="712">
        <f t="shared" si="333"/>
        <v>4.3267776096824919</v>
      </c>
      <c r="DI65" s="712">
        <f>Sheet1!DW65*AFtoMG</f>
        <v>0</v>
      </c>
      <c r="DJ65" s="712">
        <f>Sheet1!DX65*AFtoMG</f>
        <v>0</v>
      </c>
      <c r="DK65" s="712">
        <f>Sheet1!DY65*AFtoMG</f>
        <v>0</v>
      </c>
      <c r="DL65" s="712">
        <f>Sheet1!DZ65*AFtoMG</f>
        <v>0</v>
      </c>
      <c r="DM65" s="712">
        <f t="shared" si="334"/>
        <v>0</v>
      </c>
      <c r="DN65" s="712">
        <f t="shared" si="335"/>
        <v>0</v>
      </c>
      <c r="DO65" s="712">
        <f t="shared" si="336"/>
        <v>0</v>
      </c>
      <c r="DP65" s="712">
        <f t="shared" si="337"/>
        <v>0</v>
      </c>
      <c r="DQ65" s="712"/>
      <c r="DR65" s="697">
        <f>IF(OR(B65&lt;FL65,B65&gt;FM65),(MIN(AV65+BO65+CJ65+MAX(Sheet1!AA65+AG65-73,0),K65)),0)</f>
        <v>9.5702575107289167</v>
      </c>
      <c r="DS65" s="712"/>
      <c r="DT65" s="712">
        <f t="shared" si="338"/>
        <v>9.5702575107289167</v>
      </c>
      <c r="DU65" s="712"/>
      <c r="DV65" s="712">
        <f>Sheet1!ED65+Sheet1!EE65+Sheet1!EF65+Sheet1!EG65</f>
        <v>9.5</v>
      </c>
      <c r="DW65" s="712"/>
      <c r="DX65" s="697">
        <f t="shared" si="77"/>
        <v>0</v>
      </c>
      <c r="DY65" s="712">
        <f>IF(Sheet1!FN65=1,SUM('Calculations II'!AT65:BA65)+'Calculations II'!BC65+Sheet1!BU65+'Calculations II'!BE65+AF65,SUM('Calculations II'!AT65:BA65)+'Calculations II'!BC65+Sheet1!BU65+'Calculations II'!BE65+AF65)</f>
        <v>42.669024</v>
      </c>
      <c r="DZ65" s="712">
        <f>Sheet1!AA65+Sheet1!AB65+'Calculations II'!BC65</f>
        <v>57.510000000002037</v>
      </c>
      <c r="EA65" s="712"/>
      <c r="EB65" s="712"/>
      <c r="EC65" s="712">
        <f t="shared" si="339"/>
        <v>40594</v>
      </c>
      <c r="ED65" s="712">
        <f t="shared" si="340"/>
        <v>0</v>
      </c>
      <c r="EE65" s="712">
        <f t="shared" si="341"/>
        <v>0</v>
      </c>
      <c r="EF65" s="712">
        <f>-(VLOOKUP(Sheet1!BQ65,Lookup!$B$4:$J$236,2)-VLOOKUP(Sheet1!BQ64,Lookup!$B$4:$J$236,2))/1000000</f>
        <v>-1.6195999999999999</v>
      </c>
      <c r="EG65" s="712">
        <f>-(VLOOKUP(Sheet1!BR65,Lookup!$B$4:$J$236,3)-VLOOKUP(Sheet1!BR64,Lookup!$B$4:$J$236,3))/1000000</f>
        <v>-1.3466</v>
      </c>
      <c r="EH65" s="712">
        <f>-(VLOOKUP(Sheet1!BS65,Lookup!$B$4:$J$236,4)-VLOOKUP(Sheet1!BS64,Lookup!$B$4:$J$236,4))/1000000</f>
        <v>0</v>
      </c>
      <c r="EI65" s="697">
        <f t="shared" si="88"/>
        <v>-2.9661999999999997</v>
      </c>
      <c r="EJ65" s="712"/>
      <c r="EK65" s="712"/>
      <c r="EL65" s="712"/>
      <c r="EM65" s="712"/>
      <c r="EN65" s="712"/>
      <c r="EO65" s="712"/>
      <c r="EP65" s="712"/>
      <c r="EQ65" s="712"/>
      <c r="ER65" s="697">
        <v>0</v>
      </c>
      <c r="ES65" s="712"/>
      <c r="ET65" s="794" t="e">
        <f t="shared" si="342"/>
        <v>#N/A</v>
      </c>
      <c r="EU65" s="794" t="e">
        <f t="shared" si="79"/>
        <v>#VALUE!</v>
      </c>
      <c r="EV65" s="795" t="e">
        <f t="shared" si="48"/>
        <v>#VALUE!</v>
      </c>
      <c r="EW65" s="796" t="s">
        <v>757</v>
      </c>
      <c r="EX65" s="796" t="s">
        <v>757</v>
      </c>
      <c r="EY65" s="794">
        <v>0</v>
      </c>
      <c r="EZ65" s="794" t="e">
        <v>#N/A</v>
      </c>
      <c r="FA65" s="712"/>
      <c r="FB65" s="712"/>
      <c r="FC65" s="712"/>
      <c r="FD65" s="712"/>
      <c r="FE65" s="712">
        <f>O65+Sheet1!CO65</f>
        <v>57.510000000002037</v>
      </c>
      <c r="FF65" s="712">
        <f>IF(Sheet1!AA65+AG65&lt;=Calculation!N65,AG65,Calculation!N65-Sheet1!AA65)</f>
        <v>18.419742489269044</v>
      </c>
      <c r="FG65" s="712">
        <f>(Sheet1!BP65+Sheet1!BO65)/694.4</f>
        <v>1.6195276497695852</v>
      </c>
      <c r="FH65" s="712"/>
      <c r="FI65" s="712"/>
      <c r="FJ65" s="712"/>
      <c r="FK65" s="712"/>
      <c r="FL65" s="714">
        <f t="shared" si="89"/>
        <v>40753</v>
      </c>
      <c r="FM65" s="714">
        <f t="shared" si="90"/>
        <v>40851</v>
      </c>
      <c r="FN65" s="712"/>
      <c r="FO65" s="712"/>
      <c r="FP65" s="712"/>
      <c r="FQ65" s="712"/>
      <c r="FR65" s="712"/>
      <c r="FS65" s="725">
        <f t="shared" si="91"/>
        <v>40603</v>
      </c>
      <c r="FT65" s="714">
        <f t="shared" si="92"/>
        <v>40709</v>
      </c>
      <c r="FU65" s="712">
        <f t="shared" si="93"/>
        <v>6518.9048239895692</v>
      </c>
      <c r="FV65" s="714">
        <f t="shared" si="94"/>
        <v>40722</v>
      </c>
      <c r="FW65" s="712">
        <f t="shared" si="95"/>
        <v>3259.4524119947846</v>
      </c>
      <c r="FX65" s="725">
        <f t="shared" si="96"/>
        <v>40851</v>
      </c>
      <c r="FZ65" s="697">
        <f t="shared" si="49"/>
        <v>0</v>
      </c>
      <c r="GA65" s="712" t="str">
        <f t="shared" si="343"/>
        <v/>
      </c>
      <c r="GB65" s="712">
        <f t="shared" si="344"/>
        <v>0</v>
      </c>
      <c r="GC65" s="712" t="str">
        <f t="shared" si="345"/>
        <v/>
      </c>
      <c r="GD65" s="712">
        <f>IF(GA65="P",Lookup!$M$12,IF(GA65="PP",Lookup!$M$13,IF(GA65="PPP",Lookup!$M$14,IF(GA65="T",Lookup!$M$15,IF(GA65="TP",Lookup!$M$16,IF(GA65="TPP",Lookup!$M$17,IF(GA65="TPPP",Lookup!$M$18,0)))))))*FZ65</f>
        <v>0</v>
      </c>
      <c r="GE65" s="712">
        <f t="shared" si="346"/>
        <v>0</v>
      </c>
      <c r="GF65" s="712">
        <f t="shared" si="347"/>
        <v>0</v>
      </c>
      <c r="GG65" s="712">
        <f t="shared" si="348"/>
        <v>0</v>
      </c>
      <c r="GH65" s="712"/>
      <c r="GI65" s="712">
        <f t="shared" si="349"/>
        <v>0</v>
      </c>
      <c r="GJ65" s="712" t="str">
        <f t="shared" si="350"/>
        <v/>
      </c>
      <c r="GK65" s="712">
        <f>IF(GA65="P",Lookup!$N$12,IF(GA65="PP",Lookup!$N$13,IF(GA65="PPP",Lookup!$N$14,IF(GA65="T",Lookup!$N$15,IF(GA65="TP",Lookup!$N$16,IF(GA65="TPP",Lookup!$N$17,IF(GA65="TPPP",Lookup!$N$18,0)))))))*FZ65</f>
        <v>0</v>
      </c>
      <c r="GL65" s="712">
        <f t="shared" si="351"/>
        <v>0</v>
      </c>
      <c r="GM65" s="712">
        <f t="shared" si="352"/>
        <v>0</v>
      </c>
      <c r="GN65" s="712">
        <f t="shared" si="353"/>
        <v>0</v>
      </c>
      <c r="GO65" s="712"/>
      <c r="GP65" s="712">
        <f t="shared" si="354"/>
        <v>0</v>
      </c>
      <c r="GQ65" s="712" t="str">
        <f t="shared" si="355"/>
        <v/>
      </c>
      <c r="GR65" s="712">
        <f>IF(GA65="P",Lookup!$N$12,IF(GA65="PP",Lookup!$N$13,IF(GA65="PPP",Lookup!$N$14,IF(GA65="T",Lookup!$N$15,IF(GA65="TP",Lookup!$N$16,IF(GA65="TPP",Lookup!$N$17,IF(GA65="TPPP",Lookup!$N$18,0)))))))*FZ65</f>
        <v>0</v>
      </c>
      <c r="GS65" s="697">
        <f t="shared" si="83"/>
        <v>0</v>
      </c>
      <c r="GT65" s="712">
        <f t="shared" si="356"/>
        <v>0</v>
      </c>
      <c r="GU65" s="712">
        <f t="shared" si="357"/>
        <v>0</v>
      </c>
      <c r="GV65" s="712"/>
      <c r="GW65" s="712">
        <f t="shared" si="358"/>
        <v>0</v>
      </c>
      <c r="GX65" s="712" t="str">
        <f t="shared" si="359"/>
        <v/>
      </c>
      <c r="GY65" s="712">
        <f>IF(GA65="P",Lookup!$N$12,IF(GA65="PP",Lookup!$N$13,IF(GA65="PPP",Lookup!$N$14,IF(GA65="T",Lookup!$N$15,IF(GA65="TP",Lookup!$N$16,IF(GA65="TPP",Lookup!$N$17,IF(GA65="TPPP",Lookup!$N$18,0)))))))*FZ65</f>
        <v>0</v>
      </c>
      <c r="GZ65" s="697">
        <f t="shared" si="85"/>
        <v>0</v>
      </c>
      <c r="HA65" s="712">
        <f t="shared" si="360"/>
        <v>0</v>
      </c>
      <c r="HB65" s="712">
        <f t="shared" si="361"/>
        <v>0</v>
      </c>
      <c r="HC65" s="712"/>
    </row>
    <row r="66" spans="1:211">
      <c r="A66" s="773" t="s">
        <v>4</v>
      </c>
      <c r="B66" s="708">
        <v>40595</v>
      </c>
      <c r="C66" s="719">
        <v>0.5</v>
      </c>
      <c r="D66" s="675">
        <f t="shared" si="65"/>
        <v>300</v>
      </c>
      <c r="E66" s="675">
        <f t="shared" si="66"/>
        <v>250</v>
      </c>
      <c r="F66" s="675">
        <v>250</v>
      </c>
      <c r="G66" s="712">
        <f>DH66+Sheet1!CV66</f>
        <v>886.67289608724343</v>
      </c>
      <c r="H66" s="712">
        <f t="shared" si="294"/>
        <v>306.18216003079414</v>
      </c>
      <c r="I66" s="711">
        <f>MAX(Sheet1!Z66-AJ66+(Sheet1!CW66-E66)*CFStoMGD,0)</f>
        <v>822.95944865380056</v>
      </c>
      <c r="J66" s="720">
        <f>IF(AND(B66&gt;=Calculation!FS66,B66&lt;=Calculation!FT66),IF(Sheet1!CX66&gt;=Calculation!D66,64.64,0),MAX(Sheet1!Z66-AJ66+(Sheet1!CX66-D66)*CFStoMGD,0))</f>
        <v>370.19664865380076</v>
      </c>
      <c r="K66" s="697">
        <f t="shared" si="67"/>
        <v>64.64</v>
      </c>
      <c r="L66" s="712">
        <f>Sheet1!AA66+Sheet1!AB66-Sheet1!L66+(Sheet1!CW66-F66)*CFStoMGD</f>
        <v>871.02466666666305</v>
      </c>
      <c r="M66" s="712">
        <f t="shared" si="295"/>
        <v>584.60826723141008</v>
      </c>
      <c r="N66" s="712">
        <f>IF(Sheet1!CW66&gt;=F66,MIN(73,MIN(MAX(L66,0),MAX(M66,0))),0)</f>
        <v>73</v>
      </c>
      <c r="O66" s="721">
        <f>Sheet1!AA66+Sheet1!AB66</f>
        <v>57.839999999996508</v>
      </c>
      <c r="P66" s="721">
        <f t="shared" si="296"/>
        <v>89.47847999999459</v>
      </c>
      <c r="Q66" s="712">
        <f>MIN(N66,Sheet1!AA66+AG66)</f>
        <v>48.205218012863043</v>
      </c>
      <c r="R66" s="712">
        <f t="shared" si="297"/>
        <v>9.6347819871334686</v>
      </c>
      <c r="S66" s="721">
        <f>Sheet1!Y66*MGDtoCFS</f>
        <v>45.791200000000003</v>
      </c>
      <c r="T66" s="721">
        <f>Sheet1!Z66*MGDtoCFS</f>
        <v>43.749159999999996</v>
      </c>
      <c r="U66" s="721">
        <f>Sheet1!AA66*MGDtoCFS</f>
        <v>45.945899999995497</v>
      </c>
      <c r="V66" s="721">
        <f>Sheet1!AB66*MGDtoCFS</f>
        <v>43.532579999999101</v>
      </c>
      <c r="W66" s="721">
        <f>Sheet1!L66*MGDtoCFS</f>
        <v>0</v>
      </c>
      <c r="X66" s="697">
        <f t="shared" si="68"/>
        <v>0</v>
      </c>
      <c r="Y66" s="712">
        <f t="shared" si="298"/>
        <v>0</v>
      </c>
      <c r="Z66" s="712">
        <f t="shared" si="299"/>
        <v>0</v>
      </c>
      <c r="AA66" s="712">
        <f t="shared" si="300"/>
        <v>0</v>
      </c>
      <c r="AB66" s="712">
        <f>(VLOOKUP(Sheet1!CY66,hhdcap_wcm,4)-(((VLOOKUP(Sheet1!CY66,hhdcap_wcm,3)-Sheet1!CY66)/(VLOOKUP(Sheet1!CY66,hhdcap_wcm,3)-VLOOKUP(Sheet1!CY66,hhdcap_wcm,1)))*(VLOOKUP(Sheet1!CY66,hhdcap_wcm,4)-VLOOKUP(Sheet1!CY66,hhdcap_wcm,2))))</f>
        <v>2366.0000000035016</v>
      </c>
      <c r="AC66" s="712">
        <f t="shared" si="301"/>
        <v>-91.750000000172804</v>
      </c>
      <c r="AD66" s="712">
        <f t="shared" si="70"/>
        <v>0</v>
      </c>
      <c r="AE66" s="712">
        <f t="shared" si="302"/>
        <v>0</v>
      </c>
      <c r="AF66" s="712">
        <f>Sheet1!BA66+Sheet1!BB66+Sheet1!BN66+BT66</f>
        <v>18.399999999999999</v>
      </c>
      <c r="AG66" s="712">
        <f t="shared" si="303"/>
        <v>18.505218012865949</v>
      </c>
      <c r="AH66" s="712">
        <f>Sheet1!BA66+BT66</f>
        <v>0</v>
      </c>
      <c r="AI66" s="712">
        <f>Sheet1!BA66+Sheet1!BB66+BT66</f>
        <v>0</v>
      </c>
      <c r="AJ66" s="712">
        <f>IF((Sheet1!AA66+AG66+AX66+AZ66+BQ66+BS66+CL66+CN66)&lt;=N66,AG66+AX66+AZ66+BQ66+BS66+CL66+CN66,N66-Sheet1!AA66)</f>
        <v>18.505218012865949</v>
      </c>
      <c r="AK66" s="712">
        <f>IF(DR66&lt;K66,0,MAX(Sheet1!AA66+AG66-15/36*K66-N66,Sheet1!ED66,0))</f>
        <v>0</v>
      </c>
      <c r="AL66" s="712">
        <f>IF(OR(B66&gt;=FT66,B66&lt;FS66),0,15/36*K66-MAX(0,64.6-(137.6-(Sheet1!AA66+Sheet1!AB66))))</f>
        <v>0</v>
      </c>
      <c r="AM66" s="712">
        <f>Sheet1!CX66-110</f>
        <v>747.58333333333337</v>
      </c>
      <c r="AN66" s="712">
        <f>Sheet1!CW66-265</f>
        <v>1243.0208333333333</v>
      </c>
      <c r="AO66" s="712">
        <f t="shared" si="71"/>
        <v>24.794781987136957</v>
      </c>
      <c r="AP66" s="712">
        <f t="shared" si="72"/>
        <v>0</v>
      </c>
      <c r="AQ66" s="712">
        <f t="shared" si="304"/>
        <v>0</v>
      </c>
      <c r="AR66" s="712">
        <f t="shared" si="305"/>
        <v>0</v>
      </c>
      <c r="AS66" s="712"/>
      <c r="AT66" s="712">
        <f ca="1">IF(B66&gt;Summary!$A$1,#N/A,AR66*MGtoAF)</f>
        <v>0</v>
      </c>
      <c r="AU66" s="712">
        <f>Sheet1!BG66+Sheet1!BH66+Sheet1!BI66-BC66</f>
        <v>0</v>
      </c>
      <c r="AV66" s="712">
        <f t="shared" si="306"/>
        <v>0</v>
      </c>
      <c r="AW66" s="712">
        <f>IF(Sheet1!EL66="FM",BC66,0)</f>
        <v>0</v>
      </c>
      <c r="AX66" s="712">
        <f t="shared" si="307"/>
        <v>0</v>
      </c>
      <c r="AY66" s="712">
        <f>IF(Sheet1!EL66="OTHER",BC66,0)</f>
        <v>0</v>
      </c>
      <c r="AZ66" s="712">
        <f t="shared" si="308"/>
        <v>0</v>
      </c>
      <c r="BA66" s="712">
        <f t="shared" si="309"/>
        <v>0</v>
      </c>
      <c r="BB66" s="712">
        <f t="shared" si="310"/>
        <v>0</v>
      </c>
      <c r="BC66" s="712">
        <f>IF(OR(Sheet1!EL66="FM", Sheet1!EL66="OTHER"),SUM(Sheet1!BG66:'Sheet1'!BI66),0)</f>
        <v>0</v>
      </c>
      <c r="BD66" s="697">
        <f>IF(AND($B66&gt;=$FL66,$B66&lt;=$FM66),MAX(AV66,Sheet1!EE66,0),MAX(AV66-(7/36)*$K66,0))</f>
        <v>0</v>
      </c>
      <c r="BE66" s="712">
        <f t="shared" si="311"/>
        <v>0</v>
      </c>
      <c r="BF66" s="697">
        <f t="shared" si="73"/>
        <v>0</v>
      </c>
      <c r="BG66" s="697">
        <f>IF(AND($O66&gt;0,Sheet1!EI66=1),(1-($O66-Sheet1!$L66)/$O66)*BB66,0)</f>
        <v>0</v>
      </c>
      <c r="BH66" s="697">
        <f>IF(AND(Sheet1!$L66=0,Sheet1!$L65=0, Calculation!BA66&lt;Sheet1!$EE66-0.1,Sheet1!$EE66=Sheet1!$EE65,Sheet1!$EE66=Sheet1!$EE67),Sheet1!$EE66,BB66-BG66)</f>
        <v>0</v>
      </c>
      <c r="BI66" s="712"/>
      <c r="BJ66" s="712"/>
      <c r="BK66" s="712">
        <f t="shared" si="312"/>
        <v>0</v>
      </c>
      <c r="BL66" s="712"/>
      <c r="BM66" s="712">
        <f ca="1">IF(B66&gt;Summary!$A$1,#N/A,BK66*MGtoAF)</f>
        <v>0</v>
      </c>
      <c r="BN66" s="712">
        <f>Sheet1!BC66+Sheet1!BD66+Sheet1!BE66+Sheet1!BF66-BW66-BX66</f>
        <v>3.5</v>
      </c>
      <c r="BO66" s="712">
        <f t="shared" si="313"/>
        <v>3.5200142959255887</v>
      </c>
      <c r="BP66" s="712">
        <f>IF(Sheet1!EM66="FM",BX66,0)</f>
        <v>0</v>
      </c>
      <c r="BQ66" s="712">
        <f t="shared" si="314"/>
        <v>0</v>
      </c>
      <c r="BR66" s="712">
        <f>IF(Sheet1!EM66="OTHER",BX66,0)</f>
        <v>0</v>
      </c>
      <c r="BS66" s="712">
        <f t="shared" si="315"/>
        <v>0</v>
      </c>
      <c r="BT66" s="712">
        <f t="shared" si="316"/>
        <v>0</v>
      </c>
      <c r="BU66" s="712">
        <f t="shared" si="317"/>
        <v>3.5</v>
      </c>
      <c r="BV66" s="712">
        <f t="shared" si="318"/>
        <v>3.5200142959255887</v>
      </c>
      <c r="BW66" s="712">
        <f>IF(Sheet1!EM66="CWA",SUM(Sheet1!BC66:'Sheet1'!BF66),0)</f>
        <v>0</v>
      </c>
      <c r="BX66" s="712">
        <f>IF(OR(Sheet1!EM66="FM", Sheet1!EM66="OTHER"),SUM(Sheet1!BC66:'Sheet1'!BF66),0)</f>
        <v>0</v>
      </c>
      <c r="BY66" s="697">
        <f>IF(AND($B66&gt;=$FL66,$B66&lt;=$FM66),MAX(BV66,Sheet1!EF66,0),MAX(BV66-(7/36)*$K66,0))</f>
        <v>0</v>
      </c>
      <c r="BZ66" s="712">
        <f t="shared" si="319"/>
        <v>0</v>
      </c>
      <c r="CA66" s="697">
        <f t="shared" si="74"/>
        <v>3.5200142959255887</v>
      </c>
      <c r="CB66" s="697">
        <f>IF(AND($O66&gt;0,Sheet1!EJ66=1),(1-($O66-Sheet1!$L66)/$O66)*BV66,0)</f>
        <v>0</v>
      </c>
      <c r="CC66" s="697">
        <f>IF(AND(Sheet1!$L66=0,Sheet1!$L65=0, Calculation!BU66&lt;Sheet1!EF66-0.1,Sheet1!EF66=Sheet1!EF65,Sheet1!EF66=Sheet1!EF67),Sheet1!EF66,BV66-CB66)</f>
        <v>3.5200142959255887</v>
      </c>
      <c r="CD66" s="697"/>
      <c r="CE66" s="712"/>
      <c r="CF66" s="712">
        <f t="shared" si="320"/>
        <v>0</v>
      </c>
      <c r="CG66" s="712"/>
      <c r="CH66" s="712">
        <f ca="1">IF(B66&gt;Summary!$A$1,#N/A,CF66*MGtoAF)</f>
        <v>0</v>
      </c>
      <c r="CI66" s="712">
        <f>Sheet1!BK66+Sheet1!BL66+Sheet1!BM66-Sheet1!EN66-CQ66</f>
        <v>6.08</v>
      </c>
      <c r="CJ66" s="712">
        <f t="shared" si="321"/>
        <v>6.1147676912078799</v>
      </c>
      <c r="CK66" s="712">
        <f>IF(Sheet1!EN66="FM",CQ66,0)</f>
        <v>0</v>
      </c>
      <c r="CL66" s="712">
        <f t="shared" si="322"/>
        <v>0</v>
      </c>
      <c r="CM66" s="712">
        <f>IF(Sheet1!EN66="OTHER",CQ66,0)</f>
        <v>0</v>
      </c>
      <c r="CN66" s="712">
        <f t="shared" si="323"/>
        <v>0</v>
      </c>
      <c r="CO66" s="712">
        <f t="shared" si="324"/>
        <v>6.08</v>
      </c>
      <c r="CP66" s="712">
        <f t="shared" si="325"/>
        <v>6.1147676912078799</v>
      </c>
      <c r="CQ66" s="712">
        <f>IF(OR(Sheet1!EN66="FM", Sheet1!EN66="OTHER"),SUM(Sheet1!BK66:'Sheet1'!BM66),0)</f>
        <v>0</v>
      </c>
      <c r="CR66" s="697">
        <f>IF(AND($B66&gt;=$FL66,$B66&lt;=$FM66),MAX($CJ66,Sheet1!EG66,0),MAX($CJ66-(7/36)*$K66,0))</f>
        <v>0</v>
      </c>
      <c r="CS66" s="712">
        <f t="shared" si="326"/>
        <v>0</v>
      </c>
      <c r="CT66" s="697">
        <f t="shared" si="75"/>
        <v>6.1147676912078799</v>
      </c>
      <c r="CU66" s="697">
        <f>IF(AND($O66&gt;0,Sheet1!EK66=1),(1-($O66-Sheet1!$L66)/$O66)*CP66,0)</f>
        <v>0</v>
      </c>
      <c r="CV66" s="697">
        <f>IF(AND(Sheet1!$L66=0,Sheet1!$L65=0, Calculation!CO66&lt;Sheet1!$EG66-0.1,Sheet1!$EG66=Sheet1!$EG65,Sheet1!$EG66=Sheet1!$EG67),Sheet1!$EG66,CP66-CU66)</f>
        <v>6.1147676912078799</v>
      </c>
      <c r="CW66" s="697">
        <f t="shared" si="33"/>
        <v>0</v>
      </c>
      <c r="CX66" s="712">
        <f t="shared" si="87"/>
        <v>9.58</v>
      </c>
      <c r="CY66" s="712">
        <f t="shared" si="327"/>
        <v>0</v>
      </c>
      <c r="CZ66" s="712">
        <f t="shared" si="328"/>
        <v>9.6347819871334686</v>
      </c>
      <c r="DA66" s="712">
        <f ca="1">IF(B66&gt;Summary!$A$1,#N/A,CY66*MGtoAF)</f>
        <v>0</v>
      </c>
      <c r="DB66" s="712">
        <f t="shared" si="329"/>
        <v>9.58</v>
      </c>
      <c r="DC66" s="712">
        <f t="shared" si="330"/>
        <v>27.979999999999997</v>
      </c>
      <c r="DD66" s="712">
        <f>Sheet1!AB66-DC66</f>
        <v>0.15999999999942105</v>
      </c>
      <c r="DE66" s="712">
        <f t="shared" si="331"/>
        <v>5.718370264453934E-3</v>
      </c>
      <c r="DF66" s="712">
        <f>(VLOOKUP(Sheet1!CY66,hhdcap_wcm,4)-(((VLOOKUP(Sheet1!CY66,hhdcap_wcm,3)-Sheet1!CY66)/(VLOOKUP(Sheet1!CY66,hhdcap_wcm,3)-VLOOKUP(Sheet1!CY66,hhdcap_wcm,1)))*(VLOOKUP(Sheet1!CY66,hhdcap_wcm,4)-VLOOKUP(Sheet1!CY66,hhdcap_wcm,2))))</f>
        <v>2366.0000000035016</v>
      </c>
      <c r="DG66" s="712">
        <f t="shared" si="332"/>
        <v>-91.750000000172804</v>
      </c>
      <c r="DH66" s="712">
        <f t="shared" si="333"/>
        <v>-46.268280383344823</v>
      </c>
      <c r="DI66" s="712">
        <f>Sheet1!DW66*AFtoMG</f>
        <v>0</v>
      </c>
      <c r="DJ66" s="712">
        <f>Sheet1!DX66*AFtoMG</f>
        <v>0</v>
      </c>
      <c r="DK66" s="712">
        <f>Sheet1!DY66*AFtoMG</f>
        <v>0</v>
      </c>
      <c r="DL66" s="712">
        <f>Sheet1!DZ66*AFtoMG</f>
        <v>0</v>
      </c>
      <c r="DM66" s="712">
        <f t="shared" si="334"/>
        <v>0</v>
      </c>
      <c r="DN66" s="712">
        <f t="shared" si="335"/>
        <v>0</v>
      </c>
      <c r="DO66" s="712">
        <f t="shared" si="336"/>
        <v>0</v>
      </c>
      <c r="DP66" s="712">
        <f t="shared" si="337"/>
        <v>0</v>
      </c>
      <c r="DQ66" s="712"/>
      <c r="DR66" s="697">
        <f>IF(OR(B66&lt;FL66,B66&gt;FM66),(MIN(AV66+BO66+CJ66+MAX(Sheet1!AA66+AG66-73,0),K66)),0)</f>
        <v>9.6347819871334686</v>
      </c>
      <c r="DS66" s="712"/>
      <c r="DT66" s="712">
        <f t="shared" si="338"/>
        <v>9.6347819871334686</v>
      </c>
      <c r="DU66" s="712"/>
      <c r="DV66" s="712">
        <f>Sheet1!ED66+Sheet1!EE66+Sheet1!EF66+Sheet1!EG66</f>
        <v>9.5</v>
      </c>
      <c r="DW66" s="712"/>
      <c r="DX66" s="697">
        <f t="shared" si="77"/>
        <v>0</v>
      </c>
      <c r="DY66" s="712">
        <f>IF(Sheet1!FN66=1,SUM('Calculations II'!AT66:BA66)+'Calculations II'!BC66+Sheet1!BU66+'Calculations II'!BE66+AF66,SUM('Calculations II'!AT66:BA66)+'Calculations II'!BC66+Sheet1!BU66+'Calculations II'!BE66+AF66)</f>
        <v>44.812128000000001</v>
      </c>
      <c r="DZ66" s="712">
        <f>Sheet1!AA66+Sheet1!AB66+'Calculations II'!BC66</f>
        <v>57.839999999996508</v>
      </c>
      <c r="EA66" s="712"/>
      <c r="EB66" s="712"/>
      <c r="EC66" s="712">
        <f t="shared" si="339"/>
        <v>40595</v>
      </c>
      <c r="ED66" s="712">
        <f t="shared" si="340"/>
        <v>0</v>
      </c>
      <c r="EE66" s="712">
        <f t="shared" si="341"/>
        <v>0</v>
      </c>
      <c r="EF66" s="712">
        <f>-(VLOOKUP(Sheet1!BQ66,Lookup!$B$4:$J$236,2)-VLOOKUP(Sheet1!BQ65,Lookup!$B$4:$J$236,2))/1000000</f>
        <v>-0.27050000000000002</v>
      </c>
      <c r="EG66" s="712">
        <f>-(VLOOKUP(Sheet1!BR66,Lookup!$B$4:$J$236,3)-VLOOKUP(Sheet1!BR65,Lookup!$B$4:$J$236,3))/1000000</f>
        <v>-0.54</v>
      </c>
      <c r="EH66" s="712">
        <f>-(VLOOKUP(Sheet1!BS66,Lookup!$B$4:$J$236,4)-VLOOKUP(Sheet1!BS65,Lookup!$B$4:$J$236,4))/1000000</f>
        <v>0</v>
      </c>
      <c r="EI66" s="697">
        <f t="shared" si="88"/>
        <v>-0.8105</v>
      </c>
      <c r="EJ66" s="712"/>
      <c r="EK66" s="712"/>
      <c r="EL66" s="712"/>
      <c r="EM66" s="712"/>
      <c r="EN66" s="712"/>
      <c r="EO66" s="712"/>
      <c r="EP66" s="712"/>
      <c r="EQ66" s="712"/>
      <c r="ER66" s="697">
        <v>0</v>
      </c>
      <c r="ES66" s="712"/>
      <c r="ET66" s="794" t="e">
        <f t="shared" si="342"/>
        <v>#N/A</v>
      </c>
      <c r="EU66" s="794" t="e">
        <f t="shared" si="79"/>
        <v>#VALUE!</v>
      </c>
      <c r="EV66" s="795" t="e">
        <f t="shared" si="48"/>
        <v>#VALUE!</v>
      </c>
      <c r="EW66" s="796" t="s">
        <v>757</v>
      </c>
      <c r="EX66" s="796" t="s">
        <v>757</v>
      </c>
      <c r="EY66" s="794">
        <v>0</v>
      </c>
      <c r="EZ66" s="794" t="e">
        <v>#N/A</v>
      </c>
      <c r="FA66" s="712"/>
      <c r="FB66" s="712"/>
      <c r="FC66" s="712"/>
      <c r="FD66" s="712"/>
      <c r="FE66" s="712">
        <f>O66+Sheet1!CO66</f>
        <v>57.839999999996508</v>
      </c>
      <c r="FF66" s="712">
        <f>IF(Sheet1!AA66+AG66&lt;=Calculation!N66,AG66,Calculation!N66-Sheet1!AA66)</f>
        <v>18.505218012865949</v>
      </c>
      <c r="FG66" s="712">
        <f>(Sheet1!BP66+Sheet1!BO66)/694.4</f>
        <v>1.7145737327188939</v>
      </c>
      <c r="FH66" s="712"/>
      <c r="FI66" s="712"/>
      <c r="FJ66" s="712"/>
      <c r="FK66" s="712"/>
      <c r="FL66" s="714">
        <f t="shared" si="89"/>
        <v>40753</v>
      </c>
      <c r="FM66" s="714">
        <f t="shared" si="90"/>
        <v>40851</v>
      </c>
      <c r="FN66" s="712"/>
      <c r="FO66" s="712"/>
      <c r="FP66" s="712"/>
      <c r="FQ66" s="712"/>
      <c r="FR66" s="712"/>
      <c r="FS66" s="725">
        <f t="shared" si="91"/>
        <v>40603</v>
      </c>
      <c r="FT66" s="714">
        <f t="shared" si="92"/>
        <v>40709</v>
      </c>
      <c r="FU66" s="712">
        <f t="shared" si="93"/>
        <v>6518.9048239895692</v>
      </c>
      <c r="FV66" s="714">
        <f t="shared" si="94"/>
        <v>40722</v>
      </c>
      <c r="FW66" s="712">
        <f t="shared" si="95"/>
        <v>3259.4524119947846</v>
      </c>
      <c r="FX66" s="725">
        <f t="shared" si="96"/>
        <v>40851</v>
      </c>
      <c r="FZ66" s="697">
        <f t="shared" si="49"/>
        <v>0</v>
      </c>
      <c r="GA66" s="712" t="str">
        <f t="shared" si="343"/>
        <v/>
      </c>
      <c r="GB66" s="712">
        <f t="shared" si="344"/>
        <v>0</v>
      </c>
      <c r="GC66" s="712" t="str">
        <f t="shared" si="345"/>
        <v/>
      </c>
      <c r="GD66" s="712">
        <f>IF(GA66="P",Lookup!$M$12,IF(GA66="PP",Lookup!$M$13,IF(GA66="PPP",Lookup!$M$14,IF(GA66="T",Lookup!$M$15,IF(GA66="TP",Lookup!$M$16,IF(GA66="TPP",Lookup!$M$17,IF(GA66="TPPP",Lookup!$M$18,0)))))))*FZ66</f>
        <v>0</v>
      </c>
      <c r="GE66" s="712">
        <f t="shared" si="346"/>
        <v>0</v>
      </c>
      <c r="GF66" s="712">
        <f t="shared" si="347"/>
        <v>0</v>
      </c>
      <c r="GG66" s="712">
        <f t="shared" si="348"/>
        <v>0</v>
      </c>
      <c r="GH66" s="712"/>
      <c r="GI66" s="712">
        <f t="shared" si="349"/>
        <v>0</v>
      </c>
      <c r="GJ66" s="712" t="str">
        <f t="shared" si="350"/>
        <v/>
      </c>
      <c r="GK66" s="712">
        <f>IF(GA66="P",Lookup!$N$12,IF(GA66="PP",Lookup!$N$13,IF(GA66="PPP",Lookup!$N$14,IF(GA66="T",Lookup!$N$15,IF(GA66="TP",Lookup!$N$16,IF(GA66="TPP",Lookup!$N$17,IF(GA66="TPPP",Lookup!$N$18,0)))))))*FZ66</f>
        <v>0</v>
      </c>
      <c r="GL66" s="712">
        <f t="shared" si="351"/>
        <v>0</v>
      </c>
      <c r="GM66" s="712">
        <f t="shared" si="352"/>
        <v>0</v>
      </c>
      <c r="GN66" s="712">
        <f t="shared" si="353"/>
        <v>0</v>
      </c>
      <c r="GO66" s="712"/>
      <c r="GP66" s="712">
        <f t="shared" si="354"/>
        <v>0</v>
      </c>
      <c r="GQ66" s="712" t="str">
        <f t="shared" si="355"/>
        <v/>
      </c>
      <c r="GR66" s="712">
        <f>IF(GA66="P",Lookup!$N$12,IF(GA66="PP",Lookup!$N$13,IF(GA66="PPP",Lookup!$N$14,IF(GA66="T",Lookup!$N$15,IF(GA66="TP",Lookup!$N$16,IF(GA66="TPP",Lookup!$N$17,IF(GA66="TPPP",Lookup!$N$18,0)))))))*FZ66</f>
        <v>0</v>
      </c>
      <c r="GS66" s="697">
        <f t="shared" si="83"/>
        <v>0</v>
      </c>
      <c r="GT66" s="712">
        <f t="shared" si="356"/>
        <v>0</v>
      </c>
      <c r="GU66" s="712">
        <f t="shared" si="357"/>
        <v>0</v>
      </c>
      <c r="GV66" s="712"/>
      <c r="GW66" s="712">
        <f t="shared" si="358"/>
        <v>0</v>
      </c>
      <c r="GX66" s="712" t="str">
        <f t="shared" si="359"/>
        <v/>
      </c>
      <c r="GY66" s="712">
        <f>IF(GA66="P",Lookup!$N$12,IF(GA66="PP",Lookup!$N$13,IF(GA66="PPP",Lookup!$N$14,IF(GA66="T",Lookup!$N$15,IF(GA66="TP",Lookup!$N$16,IF(GA66="TPP",Lookup!$N$17,IF(GA66="TPPP",Lookup!$N$18,0)))))))*FZ66</f>
        <v>0</v>
      </c>
      <c r="GZ66" s="697">
        <f t="shared" si="85"/>
        <v>0</v>
      </c>
      <c r="HA66" s="712">
        <f t="shared" si="360"/>
        <v>0</v>
      </c>
      <c r="HB66" s="712">
        <f t="shared" si="361"/>
        <v>0</v>
      </c>
      <c r="HC66" s="712"/>
    </row>
    <row r="67" spans="1:211">
      <c r="A67" s="773" t="s">
        <v>5</v>
      </c>
      <c r="B67" s="708">
        <v>40596</v>
      </c>
      <c r="C67" s="709">
        <v>0.5</v>
      </c>
      <c r="D67" s="675">
        <f t="shared" si="65"/>
        <v>300</v>
      </c>
      <c r="E67" s="675">
        <f t="shared" si="66"/>
        <v>250</v>
      </c>
      <c r="F67" s="710">
        <v>250</v>
      </c>
      <c r="G67" s="712">
        <f>DH67+Sheet1!CV67</f>
        <v>823.20678710190248</v>
      </c>
      <c r="H67" s="712">
        <f t="shared" si="294"/>
        <v>265.15766718266974</v>
      </c>
      <c r="I67" s="711">
        <f>MAX(Sheet1!Z67-AJ67+(Sheet1!CW67-E67)*CFStoMGD,0)</f>
        <v>810.38601292705198</v>
      </c>
      <c r="J67" s="720">
        <f>IF(AND(B67&gt;=Calculation!FS67,B67&lt;=Calculation!FT67),IF(Sheet1!CX67&gt;=Calculation!D67,64.64,0),MAX(Sheet1!Z67-AJ67+(Sheet1!CX67-D67)*CFStoMGD,0))</f>
        <v>396.62267959371871</v>
      </c>
      <c r="K67" s="697">
        <f t="shared" si="67"/>
        <v>64.64</v>
      </c>
      <c r="L67" s="712">
        <f>Sheet1!AA67+Sheet1!AB67-Sheet1!L67+(Sheet1!CW67-F67)*CFStoMGD</f>
        <v>858.96066666667673</v>
      </c>
      <c r="M67" s="712">
        <f t="shared" si="295"/>
        <v>542.76328452632322</v>
      </c>
      <c r="N67" s="712">
        <f>IF(Sheet1!CW67&gt;=F67,MIN(73,MIN(MAX(L67,0),MAX(M67,0))),0)</f>
        <v>73</v>
      </c>
      <c r="O67" s="721">
        <f>Sheet1!AA67+Sheet1!AB67</f>
        <v>58.300000000010186</v>
      </c>
      <c r="P67" s="721">
        <f t="shared" si="296"/>
        <v>90.190100000015747</v>
      </c>
      <c r="Q67" s="712">
        <f>MIN(N67,Sheet1!AA67+AG67)</f>
        <v>47.734653739620988</v>
      </c>
      <c r="R67" s="712">
        <f t="shared" si="297"/>
        <v>10.565346260389198</v>
      </c>
      <c r="S67" s="721">
        <f>Sheet1!Y67*MGDtoCFS</f>
        <v>45.945899999999995</v>
      </c>
      <c r="T67" s="721">
        <f>Sheet1!Z67*MGDtoCFS</f>
        <v>43.315999999999995</v>
      </c>
      <c r="U67" s="721">
        <f>Sheet1!AA67*MGDtoCFS</f>
        <v>45.574620000009901</v>
      </c>
      <c r="V67" s="721">
        <f>Sheet1!AB67*MGDtoCFS</f>
        <v>44.615480000005853</v>
      </c>
      <c r="W67" s="721">
        <f>Sheet1!L67*MGDtoCFS</f>
        <v>0</v>
      </c>
      <c r="X67" s="697">
        <f t="shared" si="68"/>
        <v>0</v>
      </c>
      <c r="Y67" s="712">
        <f t="shared" si="298"/>
        <v>0</v>
      </c>
      <c r="Z67" s="712">
        <f t="shared" si="299"/>
        <v>0</v>
      </c>
      <c r="AA67" s="712">
        <f t="shared" si="300"/>
        <v>0</v>
      </c>
      <c r="AB67" s="712">
        <f>(VLOOKUP(Sheet1!CY67,hhdcap_wcm,4)-(((VLOOKUP(Sheet1!CY67,hhdcap_wcm,3)-Sheet1!CY67)/(VLOOKUP(Sheet1!CY67,hhdcap_wcm,3)-VLOOKUP(Sheet1!CY67,hhdcap_wcm,1)))*(VLOOKUP(Sheet1!CY67,hhdcap_wcm,4)-VLOOKUP(Sheet1!CY67,hhdcap_wcm,2))))</f>
        <v>2128.8000000030447</v>
      </c>
      <c r="AC67" s="712">
        <f t="shared" si="301"/>
        <v>-237.20000000045684</v>
      </c>
      <c r="AD67" s="712">
        <f t="shared" si="70"/>
        <v>0</v>
      </c>
      <c r="AE67" s="712">
        <f t="shared" si="302"/>
        <v>0</v>
      </c>
      <c r="AF67" s="712">
        <f>Sheet1!BA67+Sheet1!BB67+Sheet1!BN67+BT67</f>
        <v>18.3</v>
      </c>
      <c r="AG67" s="712">
        <f t="shared" si="303"/>
        <v>18.274653739614585</v>
      </c>
      <c r="AH67" s="712">
        <f>Sheet1!BA67+BT67</f>
        <v>0</v>
      </c>
      <c r="AI67" s="712">
        <f>Sheet1!BA67+Sheet1!BB67+BT67</f>
        <v>0</v>
      </c>
      <c r="AJ67" s="712">
        <f>IF((Sheet1!AA67+AG67+AX67+AZ67+BQ67+BS67+CL67+CN67)&lt;=N67,AG67+AX67+AZ67+BQ67+BS67+CL67+CN67,N67-Sheet1!AA67)</f>
        <v>18.274653739614585</v>
      </c>
      <c r="AK67" s="712">
        <f>IF(DR67&lt;K67,0,MAX(Sheet1!AA67+AG67-15/36*K67-N67,Sheet1!ED67,0))</f>
        <v>0</v>
      </c>
      <c r="AL67" s="712">
        <f>IF(OR(B67&gt;=FT67,B67&lt;FS67),0,15/36*K67-MAX(0,64.6-(137.6-(Sheet1!AA67+Sheet1!AB67))))</f>
        <v>0</v>
      </c>
      <c r="AM67" s="712">
        <f>Sheet1!CX67-110</f>
        <v>788.54166666666663</v>
      </c>
      <c r="AN67" s="712">
        <f>Sheet1!CW67-265</f>
        <v>1223.6458333333333</v>
      </c>
      <c r="AO67" s="712">
        <f t="shared" si="71"/>
        <v>25.265346260379012</v>
      </c>
      <c r="AP67" s="712">
        <f t="shared" si="72"/>
        <v>0</v>
      </c>
      <c r="AQ67" s="712">
        <f t="shared" si="304"/>
        <v>0</v>
      </c>
      <c r="AR67" s="712">
        <f t="shared" si="305"/>
        <v>0</v>
      </c>
      <c r="AS67" s="712"/>
      <c r="AT67" s="712">
        <f ca="1">IF(B67&gt;Summary!$A$1,#N/A,AR67*MGtoAF)</f>
        <v>0</v>
      </c>
      <c r="AU67" s="712">
        <f>Sheet1!BG67+Sheet1!BH67+Sheet1!BI67-BC67</f>
        <v>0</v>
      </c>
      <c r="AV67" s="712">
        <f t="shared" si="306"/>
        <v>0</v>
      </c>
      <c r="AW67" s="712">
        <f>IF(Sheet1!EL67="FM",BC67,0)</f>
        <v>0</v>
      </c>
      <c r="AX67" s="712">
        <f t="shared" si="307"/>
        <v>0</v>
      </c>
      <c r="AY67" s="712">
        <f>IF(Sheet1!EL67="OTHER",BC67,0)</f>
        <v>0</v>
      </c>
      <c r="AZ67" s="712">
        <f t="shared" si="308"/>
        <v>0</v>
      </c>
      <c r="BA67" s="712">
        <f t="shared" si="309"/>
        <v>0</v>
      </c>
      <c r="BB67" s="712">
        <f t="shared" si="310"/>
        <v>0</v>
      </c>
      <c r="BC67" s="712">
        <f>IF(OR(Sheet1!EL67="FM", Sheet1!EL67="OTHER"),SUM(Sheet1!BG67:'Sheet1'!BI67),0)</f>
        <v>0</v>
      </c>
      <c r="BD67" s="697">
        <f>IF(AND($B67&gt;=$FL67,$B67&lt;=$FM67),MAX(AV67,Sheet1!EE67,0),MAX(AV67-(7/36)*$K67,0))</f>
        <v>0</v>
      </c>
      <c r="BE67" s="712">
        <f t="shared" si="311"/>
        <v>0</v>
      </c>
      <c r="BF67" s="697">
        <f t="shared" si="73"/>
        <v>0</v>
      </c>
      <c r="BG67" s="697">
        <f>IF(AND($O67&gt;0,Sheet1!EI67=1),(1-($O67-Sheet1!$L67)/$O67)*BB67,0)</f>
        <v>0</v>
      </c>
      <c r="BH67" s="697">
        <f>IF(AND(Sheet1!$L67=0,Sheet1!$L66=0, Calculation!BA67&lt;Sheet1!$EE67-0.1,Sheet1!$EE67=Sheet1!$EE66,Sheet1!$EE67=Sheet1!$EE68),Sheet1!$EE67,BB67-BG67)</f>
        <v>0</v>
      </c>
      <c r="BI67" s="712"/>
      <c r="BJ67" s="712"/>
      <c r="BK67" s="712">
        <f t="shared" si="312"/>
        <v>0</v>
      </c>
      <c r="BL67" s="712"/>
      <c r="BM67" s="712">
        <f ca="1">IF(B67&gt;Summary!$A$1,#N/A,BK67*MGtoAF)</f>
        <v>0</v>
      </c>
      <c r="BN67" s="712">
        <f>Sheet1!BC67+Sheet1!BD67+Sheet1!BE67+Sheet1!BF67-BW67-BX67</f>
        <v>3.52</v>
      </c>
      <c r="BO67" s="712">
        <f t="shared" si="313"/>
        <v>3.5151246537400729</v>
      </c>
      <c r="BP67" s="712">
        <f>IF(Sheet1!EM67="FM",BX67,0)</f>
        <v>0</v>
      </c>
      <c r="BQ67" s="712">
        <f t="shared" si="314"/>
        <v>0</v>
      </c>
      <c r="BR67" s="712">
        <f>IF(Sheet1!EM67="OTHER",BX67,0)</f>
        <v>0</v>
      </c>
      <c r="BS67" s="712">
        <f t="shared" si="315"/>
        <v>0</v>
      </c>
      <c r="BT67" s="712">
        <f t="shared" si="316"/>
        <v>0</v>
      </c>
      <c r="BU67" s="712">
        <f t="shared" si="317"/>
        <v>3.52</v>
      </c>
      <c r="BV67" s="712">
        <f t="shared" si="318"/>
        <v>3.5151246537400729</v>
      </c>
      <c r="BW67" s="712">
        <f>IF(Sheet1!EM67="CWA",SUM(Sheet1!BC67:'Sheet1'!BF67),0)</f>
        <v>0</v>
      </c>
      <c r="BX67" s="712">
        <f>IF(OR(Sheet1!EM67="FM", Sheet1!EM67="OTHER"),SUM(Sheet1!BC67:'Sheet1'!BF67),0)</f>
        <v>0</v>
      </c>
      <c r="BY67" s="697">
        <f>IF(AND($B67&gt;=$FL67,$B67&lt;=$FM67),MAX(BV67,Sheet1!EF67,0),MAX(BV67-(7/36)*$K67,0))</f>
        <v>0</v>
      </c>
      <c r="BZ67" s="712">
        <f t="shared" si="319"/>
        <v>0</v>
      </c>
      <c r="CA67" s="697">
        <f t="shared" si="74"/>
        <v>3.5151246537400729</v>
      </c>
      <c r="CB67" s="697">
        <f>IF(AND($O67&gt;0,Sheet1!EJ67=1),(1-($O67-Sheet1!$L67)/$O67)*BV67,0)</f>
        <v>0</v>
      </c>
      <c r="CC67" s="697">
        <f>IF(AND(Sheet1!$L67=0,Sheet1!$L66=0, Calculation!BU67&lt;Sheet1!EF67-0.1,Sheet1!EF67=Sheet1!EF66,Sheet1!EF67=Sheet1!EF68),Sheet1!EF67,BV67-CB67)</f>
        <v>3.5151246537400729</v>
      </c>
      <c r="CD67" s="697"/>
      <c r="CE67" s="712"/>
      <c r="CF67" s="712">
        <f t="shared" si="320"/>
        <v>0</v>
      </c>
      <c r="CG67" s="712"/>
      <c r="CH67" s="712">
        <f ca="1">IF(B67&gt;Summary!$A$1,#N/A,CF67*MGtoAF)</f>
        <v>0</v>
      </c>
      <c r="CI67" s="712">
        <f>Sheet1!BK67+Sheet1!BL67+Sheet1!BM67-Sheet1!EN67-CQ67</f>
        <v>7.0600000000000005</v>
      </c>
      <c r="CJ67" s="712">
        <f t="shared" si="321"/>
        <v>7.0502216066491243</v>
      </c>
      <c r="CK67" s="712">
        <f>IF(Sheet1!EN67="FM",CQ67,0)</f>
        <v>0</v>
      </c>
      <c r="CL67" s="712">
        <f t="shared" si="322"/>
        <v>0</v>
      </c>
      <c r="CM67" s="712">
        <f>IF(Sheet1!EN67="OTHER",CQ67,0)</f>
        <v>0</v>
      </c>
      <c r="CN67" s="712">
        <f t="shared" si="323"/>
        <v>0</v>
      </c>
      <c r="CO67" s="712">
        <f t="shared" si="324"/>
        <v>7.0600000000000005</v>
      </c>
      <c r="CP67" s="712">
        <f t="shared" si="325"/>
        <v>7.0502216066491243</v>
      </c>
      <c r="CQ67" s="712">
        <f>IF(OR(Sheet1!EN67="FM", Sheet1!EN67="OTHER"),SUM(Sheet1!BK67:'Sheet1'!BM67),0)</f>
        <v>0</v>
      </c>
      <c r="CR67" s="697">
        <f>IF(AND($B67&gt;=$FL67,$B67&lt;=$FM67),MAX($CJ67,Sheet1!EG67,0),MAX($CJ67-(7/36)*$K67,0))</f>
        <v>0</v>
      </c>
      <c r="CS67" s="712">
        <f t="shared" si="326"/>
        <v>0</v>
      </c>
      <c r="CT67" s="697">
        <f t="shared" si="75"/>
        <v>7.0502216066491243</v>
      </c>
      <c r="CU67" s="697">
        <f>IF(AND($O67&gt;0,Sheet1!EK67=1),(1-($O67-Sheet1!$L67)/$O67)*CP67,0)</f>
        <v>0</v>
      </c>
      <c r="CV67" s="697">
        <f>IF(AND(Sheet1!$L67=0,Sheet1!$L66=0, Calculation!CO67&lt;Sheet1!$EG67-0.1,Sheet1!$EG67=Sheet1!$EG66,Sheet1!$EG67=Sheet1!$EG68),Sheet1!$EG67,CP67-CU67)</f>
        <v>7.0502216066491243</v>
      </c>
      <c r="CW67" s="697">
        <f t="shared" si="33"/>
        <v>0</v>
      </c>
      <c r="CX67" s="712">
        <f t="shared" si="87"/>
        <v>10.58</v>
      </c>
      <c r="CY67" s="712">
        <f t="shared" si="327"/>
        <v>0</v>
      </c>
      <c r="CZ67" s="712">
        <f t="shared" si="328"/>
        <v>10.565346260389198</v>
      </c>
      <c r="DA67" s="712">
        <f ca="1">IF(B67&gt;Summary!$A$1,#N/A,CY67*MGtoAF)</f>
        <v>0</v>
      </c>
      <c r="DB67" s="712">
        <f t="shared" si="329"/>
        <v>10.58</v>
      </c>
      <c r="DC67" s="712">
        <f t="shared" si="330"/>
        <v>28.880000000000003</v>
      </c>
      <c r="DD67" s="712">
        <f>Sheet1!AB67-DC67</f>
        <v>-3.999999999621906E-2</v>
      </c>
      <c r="DE67" s="712">
        <f t="shared" si="331"/>
        <v>-1.3850415511156183E-3</v>
      </c>
      <c r="DF67" s="712">
        <f>(VLOOKUP(Sheet1!CY67,hhdcap_wcm,4)-(((VLOOKUP(Sheet1!CY67,hhdcap_wcm,3)-Sheet1!CY67)/(VLOOKUP(Sheet1!CY67,hhdcap_wcm,3)-VLOOKUP(Sheet1!CY67,hhdcap_wcm,1)))*(VLOOKUP(Sheet1!CY67,hhdcap_wcm,4)-VLOOKUP(Sheet1!CY67,hhdcap_wcm,2))))</f>
        <v>2128.8000000030447</v>
      </c>
      <c r="DG67" s="712">
        <f t="shared" si="332"/>
        <v>-237.20000000045684</v>
      </c>
      <c r="DH67" s="712">
        <f t="shared" si="333"/>
        <v>-119.61674230986223</v>
      </c>
      <c r="DI67" s="712">
        <f>Sheet1!DW67*AFtoMG</f>
        <v>0</v>
      </c>
      <c r="DJ67" s="712">
        <f>Sheet1!DX67*AFtoMG</f>
        <v>0</v>
      </c>
      <c r="DK67" s="712">
        <f>Sheet1!DY67*AFtoMG</f>
        <v>0</v>
      </c>
      <c r="DL67" s="712">
        <f>Sheet1!DZ67*AFtoMG</f>
        <v>0</v>
      </c>
      <c r="DM67" s="712">
        <f t="shared" si="334"/>
        <v>0</v>
      </c>
      <c r="DN67" s="712">
        <f t="shared" si="335"/>
        <v>0</v>
      </c>
      <c r="DO67" s="712">
        <f t="shared" si="336"/>
        <v>0</v>
      </c>
      <c r="DP67" s="712">
        <f t="shared" si="337"/>
        <v>0</v>
      </c>
      <c r="DQ67" s="712"/>
      <c r="DR67" s="697">
        <f>IF(OR(B67&lt;FL67,B67&gt;FM67),(MIN(AV67+BO67+CJ67+MAX(Sheet1!AA67+AG67-73,0),K67)),0)</f>
        <v>10.565346260389198</v>
      </c>
      <c r="DS67" s="712"/>
      <c r="DT67" s="712">
        <f t="shared" si="338"/>
        <v>10.565346260389198</v>
      </c>
      <c r="DU67" s="712"/>
      <c r="DV67" s="712">
        <f>Sheet1!ED67+Sheet1!EE67+Sheet1!EF67+Sheet1!EG67</f>
        <v>9.5</v>
      </c>
      <c r="DW67" s="712"/>
      <c r="DX67" s="697">
        <f t="shared" si="77"/>
        <v>0</v>
      </c>
      <c r="DY67" s="712">
        <f>IF(Sheet1!FN67=1,SUM('Calculations II'!AT67:BA67)+'Calculations II'!BC67+Sheet1!BU67+'Calculations II'!BE67+AF67,SUM('Calculations II'!AT67:BA67)+'Calculations II'!BC67+Sheet1!BU67+'Calculations II'!BE67+AF67)</f>
        <v>43.124319999999997</v>
      </c>
      <c r="DZ67" s="712">
        <f>Sheet1!AA67+Sheet1!AB67+'Calculations II'!BC67</f>
        <v>58.300000000010186</v>
      </c>
      <c r="EA67" s="712"/>
      <c r="EB67" s="712"/>
      <c r="EC67" s="712">
        <f t="shared" si="339"/>
        <v>40596</v>
      </c>
      <c r="ED67" s="712">
        <f t="shared" si="340"/>
        <v>0</v>
      </c>
      <c r="EE67" s="712">
        <f t="shared" si="341"/>
        <v>0</v>
      </c>
      <c r="EF67" s="712">
        <f>-(VLOOKUP(Sheet1!BQ67,Lookup!$B$4:$J$236,2)-VLOOKUP(Sheet1!BQ66,Lookup!$B$4:$J$236,2))/1000000</f>
        <v>-1.0820000000000001</v>
      </c>
      <c r="EG67" s="712">
        <f>-(VLOOKUP(Sheet1!BR67,Lookup!$B$4:$J$236,3)-VLOOKUP(Sheet1!BR66,Lookup!$B$4:$J$236,3))/1000000</f>
        <v>-0.81</v>
      </c>
      <c r="EH67" s="712">
        <f>-(VLOOKUP(Sheet1!BS67,Lookup!$B$4:$J$236,4)-VLOOKUP(Sheet1!BS66,Lookup!$B$4:$J$236,4))/1000000</f>
        <v>0</v>
      </c>
      <c r="EI67" s="697">
        <f t="shared" si="88"/>
        <v>-1.8920000000000001</v>
      </c>
      <c r="EJ67" s="712"/>
      <c r="EK67" s="712"/>
      <c r="EL67" s="712"/>
      <c r="EM67" s="712"/>
      <c r="EN67" s="712"/>
      <c r="EO67" s="712"/>
      <c r="EP67" s="712"/>
      <c r="EQ67" s="712"/>
      <c r="ER67" s="697">
        <v>0</v>
      </c>
      <c r="ES67" s="712"/>
      <c r="ET67" s="794" t="e">
        <f t="shared" si="342"/>
        <v>#N/A</v>
      </c>
      <c r="EU67" s="794" t="e">
        <f t="shared" si="79"/>
        <v>#VALUE!</v>
      </c>
      <c r="EV67" s="795" t="e">
        <f t="shared" si="48"/>
        <v>#VALUE!</v>
      </c>
      <c r="EW67" s="796" t="s">
        <v>757</v>
      </c>
      <c r="EX67" s="796" t="s">
        <v>757</v>
      </c>
      <c r="EY67" s="794">
        <v>0</v>
      </c>
      <c r="EZ67" s="794" t="e">
        <v>#N/A</v>
      </c>
      <c r="FA67" s="712"/>
      <c r="FB67" s="712"/>
      <c r="FC67" s="712"/>
      <c r="FD67" s="712"/>
      <c r="FE67" s="712">
        <f>O67+Sheet1!CO67</f>
        <v>58.300000000010186</v>
      </c>
      <c r="FF67" s="712">
        <f>IF(Sheet1!AA67+AG67&lt;=Calculation!N67,AG67,Calculation!N67-Sheet1!AA67)</f>
        <v>18.274653739614585</v>
      </c>
      <c r="FG67" s="712">
        <f>(Sheet1!BP67+Sheet1!BO67)/694.4</f>
        <v>2.1890841013824884</v>
      </c>
      <c r="FH67" s="712"/>
      <c r="FI67" s="712"/>
      <c r="FJ67" s="712"/>
      <c r="FK67" s="712"/>
      <c r="FL67" s="714">
        <f t="shared" si="89"/>
        <v>40753</v>
      </c>
      <c r="FM67" s="714">
        <f t="shared" si="90"/>
        <v>40851</v>
      </c>
      <c r="FN67" s="712"/>
      <c r="FO67" s="712"/>
      <c r="FP67" s="712"/>
      <c r="FQ67" s="712"/>
      <c r="FR67" s="712"/>
      <c r="FS67" s="725">
        <f t="shared" si="91"/>
        <v>40603</v>
      </c>
      <c r="FT67" s="714">
        <f t="shared" si="92"/>
        <v>40709</v>
      </c>
      <c r="FU67" s="712">
        <f t="shared" si="93"/>
        <v>6518.9048239895692</v>
      </c>
      <c r="FV67" s="714">
        <f t="shared" si="94"/>
        <v>40722</v>
      </c>
      <c r="FW67" s="712">
        <f t="shared" si="95"/>
        <v>3259.4524119947846</v>
      </c>
      <c r="FX67" s="725">
        <f t="shared" si="96"/>
        <v>40851</v>
      </c>
      <c r="FZ67" s="697">
        <f t="shared" si="49"/>
        <v>0</v>
      </c>
      <c r="GA67" s="712" t="str">
        <f t="shared" si="343"/>
        <v/>
      </c>
      <c r="GB67" s="712">
        <f t="shared" si="344"/>
        <v>0</v>
      </c>
      <c r="GC67" s="712" t="str">
        <f t="shared" si="345"/>
        <v/>
      </c>
      <c r="GD67" s="712">
        <f>IF(GA67="P",Lookup!$M$12,IF(GA67="PP",Lookup!$M$13,IF(GA67="PPP",Lookup!$M$14,IF(GA67="T",Lookup!$M$15,IF(GA67="TP",Lookup!$M$16,IF(GA67="TPP",Lookup!$M$17,IF(GA67="TPPP",Lookup!$M$18,0)))))))*FZ67</f>
        <v>0</v>
      </c>
      <c r="GE67" s="712">
        <f t="shared" si="346"/>
        <v>0</v>
      </c>
      <c r="GF67" s="712">
        <f t="shared" si="347"/>
        <v>0</v>
      </c>
      <c r="GG67" s="712">
        <f t="shared" si="348"/>
        <v>0</v>
      </c>
      <c r="GH67" s="712"/>
      <c r="GI67" s="712">
        <f t="shared" si="349"/>
        <v>0</v>
      </c>
      <c r="GJ67" s="712" t="str">
        <f t="shared" si="350"/>
        <v/>
      </c>
      <c r="GK67" s="712">
        <f>IF(GA67="P",Lookup!$N$12,IF(GA67="PP",Lookup!$N$13,IF(GA67="PPP",Lookup!$N$14,IF(GA67="T",Lookup!$N$15,IF(GA67="TP",Lookup!$N$16,IF(GA67="TPP",Lookup!$N$17,IF(GA67="TPPP",Lookup!$N$18,0)))))))*FZ67</f>
        <v>0</v>
      </c>
      <c r="GL67" s="712">
        <f t="shared" si="351"/>
        <v>0</v>
      </c>
      <c r="GM67" s="712">
        <f t="shared" si="352"/>
        <v>0</v>
      </c>
      <c r="GN67" s="712">
        <f t="shared" si="353"/>
        <v>0</v>
      </c>
      <c r="GO67" s="712"/>
      <c r="GP67" s="712">
        <f t="shared" si="354"/>
        <v>0</v>
      </c>
      <c r="GQ67" s="712" t="str">
        <f t="shared" si="355"/>
        <v/>
      </c>
      <c r="GR67" s="712">
        <f>IF(GA67="P",Lookup!$N$12,IF(GA67="PP",Lookup!$N$13,IF(GA67="PPP",Lookup!$N$14,IF(GA67="T",Lookup!$N$15,IF(GA67="TP",Lookup!$N$16,IF(GA67="TPP",Lookup!$N$17,IF(GA67="TPPP",Lookup!$N$18,0)))))))*FZ67</f>
        <v>0</v>
      </c>
      <c r="GS67" s="697">
        <f t="shared" si="83"/>
        <v>0</v>
      </c>
      <c r="GT67" s="712">
        <f t="shared" si="356"/>
        <v>0</v>
      </c>
      <c r="GU67" s="712">
        <f t="shared" si="357"/>
        <v>0</v>
      </c>
      <c r="GV67" s="712"/>
      <c r="GW67" s="712">
        <f t="shared" si="358"/>
        <v>0</v>
      </c>
      <c r="GX67" s="712" t="str">
        <f t="shared" si="359"/>
        <v/>
      </c>
      <c r="GY67" s="712">
        <f>IF(GA67="P",Lookup!$N$12,IF(GA67="PP",Lookup!$N$13,IF(GA67="PPP",Lookup!$N$14,IF(GA67="T",Lookup!$N$15,IF(GA67="TP",Lookup!$N$16,IF(GA67="TPP",Lookup!$N$17,IF(GA67="TPPP",Lookup!$N$18,0)))))))*FZ67</f>
        <v>0</v>
      </c>
      <c r="GZ67" s="697">
        <f t="shared" si="85"/>
        <v>0</v>
      </c>
      <c r="HA67" s="712">
        <f t="shared" si="360"/>
        <v>0</v>
      </c>
      <c r="HB67" s="712">
        <f t="shared" si="361"/>
        <v>0</v>
      </c>
      <c r="HC67" s="712"/>
    </row>
    <row r="68" spans="1:211">
      <c r="A68" s="773" t="s">
        <v>6</v>
      </c>
      <c r="B68" s="708">
        <v>40597</v>
      </c>
      <c r="C68" s="719">
        <v>0.5</v>
      </c>
      <c r="D68" s="675">
        <f t="shared" si="65"/>
        <v>300</v>
      </c>
      <c r="E68" s="675">
        <f t="shared" si="66"/>
        <v>250</v>
      </c>
      <c r="F68" s="710">
        <v>250</v>
      </c>
      <c r="G68" s="712">
        <f>DH68+Sheet1!CV68</f>
        <v>898.45854468854327</v>
      </c>
      <c r="H68" s="712">
        <f t="shared" si="294"/>
        <v>313.80040328667434</v>
      </c>
      <c r="I68" s="711">
        <f>MAX(Sheet1!Z68-AJ68+(Sheet1!CW68-E68)*CFStoMGD,0)</f>
        <v>888.01093195521526</v>
      </c>
      <c r="J68" s="720">
        <f>IF(AND(B68&gt;=Calculation!FS68,B68&lt;=Calculation!FT68),IF(Sheet1!CX68&gt;=Calculation!D68,64.64,0),MAX(Sheet1!Z68-AJ68+(Sheet1!CX68-D68)*CFStoMGD,0))</f>
        <v>384.84239862188184</v>
      </c>
      <c r="K68" s="697">
        <f t="shared" si="67"/>
        <v>64.64</v>
      </c>
      <c r="L68" s="712">
        <f>Sheet1!AA68+Sheet1!AB68-Sheet1!L68+(Sheet1!CW68-F68)*CFStoMGD</f>
        <v>921.93866666665826</v>
      </c>
      <c r="M68" s="712">
        <f t="shared" si="295"/>
        <v>592.37887535240793</v>
      </c>
      <c r="N68" s="712">
        <f>IF(Sheet1!CW68&gt;=F68,MIN(73,MIN(MAX(L68,0),MAX(M68,0))),0)</f>
        <v>73</v>
      </c>
      <c r="O68" s="721">
        <f>Sheet1!AA68+Sheet1!AB68</f>
        <v>52.309999999990396</v>
      </c>
      <c r="P68" s="721">
        <f t="shared" si="296"/>
        <v>80.923569999985148</v>
      </c>
      <c r="Q68" s="712">
        <f>MIN(N68,Sheet1!AA68+AG68)</f>
        <v>45.167734711447935</v>
      </c>
      <c r="R68" s="712">
        <f t="shared" si="297"/>
        <v>7.1422652885424576</v>
      </c>
      <c r="S68" s="721">
        <f>Sheet1!Y68*MGDtoCFS</f>
        <v>46.1006</v>
      </c>
      <c r="T68" s="721">
        <f>Sheet1!Z68*MGDtoCFS</f>
        <v>38.056200000000004</v>
      </c>
      <c r="U68" s="721">
        <f>Sheet1!AA68*MGDtoCFS</f>
        <v>45.388979999994596</v>
      </c>
      <c r="V68" s="721">
        <f>Sheet1!AB68*MGDtoCFS</f>
        <v>35.534589999990544</v>
      </c>
      <c r="W68" s="721">
        <f>Sheet1!L68*MGDtoCFS</f>
        <v>14.866669999998086</v>
      </c>
      <c r="X68" s="697">
        <f t="shared" si="68"/>
        <v>0</v>
      </c>
      <c r="Y68" s="712">
        <f t="shared" si="298"/>
        <v>0</v>
      </c>
      <c r="Z68" s="712">
        <f t="shared" si="299"/>
        <v>0</v>
      </c>
      <c r="AA68" s="712">
        <f t="shared" si="300"/>
        <v>0</v>
      </c>
      <c r="AB68" s="712">
        <f>(VLOOKUP(Sheet1!CY68,hhdcap_wcm,4)-(((VLOOKUP(Sheet1!CY68,hhdcap_wcm,3)-Sheet1!CY68)/(VLOOKUP(Sheet1!CY68,hhdcap_wcm,3)-VLOOKUP(Sheet1!CY68,hhdcap_wcm,1)))*(VLOOKUP(Sheet1!CY68,hhdcap_wcm,4)-VLOOKUP(Sheet1!CY68,hhdcap_wcm,2))))</f>
        <v>1907.3800000027788</v>
      </c>
      <c r="AC68" s="712">
        <f t="shared" si="301"/>
        <v>-221.42000000026587</v>
      </c>
      <c r="AD68" s="712">
        <f t="shared" si="70"/>
        <v>0</v>
      </c>
      <c r="AE68" s="712">
        <f t="shared" si="302"/>
        <v>0</v>
      </c>
      <c r="AF68" s="712">
        <f>Sheet1!BA68+Sheet1!BB68+Sheet1!BN68+BT68</f>
        <v>16</v>
      </c>
      <c r="AG68" s="712">
        <f t="shared" si="303"/>
        <v>15.827734711451431</v>
      </c>
      <c r="AH68" s="712">
        <f>Sheet1!BA68+BT68</f>
        <v>0</v>
      </c>
      <c r="AI68" s="712">
        <f>Sheet1!BA68+Sheet1!BB68+BT68</f>
        <v>0</v>
      </c>
      <c r="AJ68" s="712">
        <f>IF((Sheet1!AA68+AG68+AX68+AZ68+BQ68+BS68+CL68+CN68)&lt;=N68,AG68+AX68+AZ68+BQ68+BS68+CL68+CN68,N68-Sheet1!AA68)</f>
        <v>15.827734711451431</v>
      </c>
      <c r="AK68" s="712">
        <f>IF(DR68&lt;K68,0,MAX(Sheet1!AA68+AG68-15/36*K68-N68,Sheet1!ED68,0))</f>
        <v>0</v>
      </c>
      <c r="AL68" s="712">
        <f>IF(OR(B68&gt;=FT68,B68&lt;FS68),0,15/36*K68-MAX(0,64.6-(137.6-(Sheet1!AA68+Sheet1!AB68))))</f>
        <v>0</v>
      </c>
      <c r="AM68" s="712">
        <f>Sheet1!CX68-110</f>
        <v>771.79166666666663</v>
      </c>
      <c r="AN68" s="712">
        <f>Sheet1!CW68-265</f>
        <v>1345.2083333333333</v>
      </c>
      <c r="AO68" s="712">
        <f t="shared" si="71"/>
        <v>27.832265288552065</v>
      </c>
      <c r="AP68" s="712">
        <f t="shared" si="72"/>
        <v>0</v>
      </c>
      <c r="AQ68" s="712">
        <f t="shared" si="304"/>
        <v>0</v>
      </c>
      <c r="AR68" s="712">
        <f t="shared" si="305"/>
        <v>0</v>
      </c>
      <c r="AS68" s="712"/>
      <c r="AT68" s="712">
        <f ca="1">IF(B68&gt;Summary!$A$1,#N/A,AR68*MGtoAF)</f>
        <v>0</v>
      </c>
      <c r="AU68" s="712">
        <f>Sheet1!BG68+Sheet1!BH68+Sheet1!BI68-BC68</f>
        <v>0</v>
      </c>
      <c r="AV68" s="712">
        <f t="shared" si="306"/>
        <v>0</v>
      </c>
      <c r="AW68" s="712">
        <f>IF(Sheet1!EL68="FM",BC68,0)</f>
        <v>0</v>
      </c>
      <c r="AX68" s="712">
        <f t="shared" si="307"/>
        <v>0</v>
      </c>
      <c r="AY68" s="712">
        <f>IF(Sheet1!EL68="OTHER",BC68,0)</f>
        <v>0</v>
      </c>
      <c r="AZ68" s="712">
        <f t="shared" si="308"/>
        <v>0</v>
      </c>
      <c r="BA68" s="712">
        <f t="shared" si="309"/>
        <v>0</v>
      </c>
      <c r="BB68" s="712">
        <f t="shared" si="310"/>
        <v>0</v>
      </c>
      <c r="BC68" s="712">
        <f>IF(OR(Sheet1!EL68="FM", Sheet1!EL68="OTHER"),SUM(Sheet1!BG68:'Sheet1'!BI68),0)</f>
        <v>0</v>
      </c>
      <c r="BD68" s="697">
        <f>IF(AND($B68&gt;=$FL68,$B68&lt;=$FM68),MAX(AV68,Sheet1!EE68,0),MAX(AV68-(7/36)*$K68,0))</f>
        <v>0</v>
      </c>
      <c r="BE68" s="712">
        <f t="shared" si="311"/>
        <v>0</v>
      </c>
      <c r="BF68" s="697">
        <f t="shared" si="73"/>
        <v>0</v>
      </c>
      <c r="BG68" s="697">
        <f>IF(AND($O68&gt;0,Sheet1!EI68=1),(1-($O68-Sheet1!$L68)/$O68)*BB68,0)</f>
        <v>0</v>
      </c>
      <c r="BH68" s="697">
        <f>IF(AND(Sheet1!$L68=0,Sheet1!$L67=0, Calculation!BA68&lt;Sheet1!$EE68-0.1,Sheet1!$EE68=Sheet1!$EE67,Sheet1!$EE68=Sheet1!$EE69),Sheet1!$EE68,BB68-BG68)</f>
        <v>0</v>
      </c>
      <c r="BI68" s="712"/>
      <c r="BJ68" s="712"/>
      <c r="BK68" s="712">
        <f t="shared" si="312"/>
        <v>0</v>
      </c>
      <c r="BL68" s="712"/>
      <c r="BM68" s="712">
        <f ca="1">IF(B68&gt;Summary!$A$1,#N/A,BK68*MGtoAF)</f>
        <v>0</v>
      </c>
      <c r="BN68" s="712">
        <f>Sheet1!BC68+Sheet1!BD68+Sheet1!BE68+Sheet1!BF68-BW68-BX68</f>
        <v>2.75</v>
      </c>
      <c r="BO68" s="712">
        <f t="shared" si="313"/>
        <v>2.7203919035307149</v>
      </c>
      <c r="BP68" s="712">
        <f>IF(Sheet1!EM68="FM",BX68,0)</f>
        <v>0</v>
      </c>
      <c r="BQ68" s="712">
        <f t="shared" si="314"/>
        <v>0</v>
      </c>
      <c r="BR68" s="712">
        <f>IF(Sheet1!EM68="OTHER",BX68,0)</f>
        <v>0</v>
      </c>
      <c r="BS68" s="712">
        <f t="shared" si="315"/>
        <v>0</v>
      </c>
      <c r="BT68" s="712">
        <f t="shared" si="316"/>
        <v>0</v>
      </c>
      <c r="BU68" s="712">
        <f t="shared" si="317"/>
        <v>2.75</v>
      </c>
      <c r="BV68" s="712">
        <f t="shared" si="318"/>
        <v>2.7203919035307149</v>
      </c>
      <c r="BW68" s="712">
        <f>IF(Sheet1!EM68="CWA",SUM(Sheet1!BC68:'Sheet1'!BF68),0)</f>
        <v>0</v>
      </c>
      <c r="BX68" s="712">
        <f>IF(OR(Sheet1!EM68="FM", Sheet1!EM68="OTHER"),SUM(Sheet1!BC68:'Sheet1'!BF68),0)</f>
        <v>0</v>
      </c>
      <c r="BY68" s="697">
        <f>IF(AND($B68&gt;=$FL68,$B68&lt;=$FM68),MAX(BV68,Sheet1!EF68,0),MAX(BV68-(7/36)*$K68,0))</f>
        <v>0</v>
      </c>
      <c r="BZ68" s="712">
        <f t="shared" si="319"/>
        <v>0</v>
      </c>
      <c r="CA68" s="697">
        <f t="shared" si="74"/>
        <v>2.7203919035307149</v>
      </c>
      <c r="CB68" s="697">
        <f>IF(AND($O68&gt;0,Sheet1!EJ68=1),(1-($O68-Sheet1!$L68)/$O68)*BV68,0)</f>
        <v>0</v>
      </c>
      <c r="CC68" s="697">
        <f>IF(AND(Sheet1!$L68=0,Sheet1!$L67=0, Calculation!BU68&lt;Sheet1!EF68-0.1,Sheet1!EF68=Sheet1!EF67,Sheet1!EF68=Sheet1!EF69),Sheet1!EF68,BV68-CB68)</f>
        <v>2.7203919035307149</v>
      </c>
      <c r="CD68" s="697"/>
      <c r="CE68" s="712"/>
      <c r="CF68" s="712">
        <f t="shared" si="320"/>
        <v>0</v>
      </c>
      <c r="CG68" s="712"/>
      <c r="CH68" s="712">
        <f ca="1">IF(B68&gt;Summary!$A$1,#N/A,CF68*MGtoAF)</f>
        <v>0</v>
      </c>
      <c r="CI68" s="712">
        <f>Sheet1!BK68+Sheet1!BL68+Sheet1!BM68-Sheet1!EN68-CQ68</f>
        <v>4.47</v>
      </c>
      <c r="CJ68" s="712">
        <f t="shared" si="321"/>
        <v>4.4218733850117431</v>
      </c>
      <c r="CK68" s="712">
        <f>IF(Sheet1!EN68="FM",CQ68,0)</f>
        <v>0</v>
      </c>
      <c r="CL68" s="712">
        <f t="shared" si="322"/>
        <v>0</v>
      </c>
      <c r="CM68" s="712">
        <f>IF(Sheet1!EN68="OTHER",CQ68,0)</f>
        <v>0</v>
      </c>
      <c r="CN68" s="712">
        <f t="shared" si="323"/>
        <v>0</v>
      </c>
      <c r="CO68" s="712">
        <f t="shared" si="324"/>
        <v>4.47</v>
      </c>
      <c r="CP68" s="712">
        <f t="shared" si="325"/>
        <v>4.4218733850117431</v>
      </c>
      <c r="CQ68" s="712">
        <f>IF(OR(Sheet1!EN68="FM", Sheet1!EN68="OTHER"),SUM(Sheet1!BK68:'Sheet1'!BM68),0)</f>
        <v>0</v>
      </c>
      <c r="CR68" s="697">
        <f>IF(AND($B68&gt;=$FL68,$B68&lt;=$FM68),MAX($CJ68,Sheet1!EG68,0),MAX($CJ68-(7/36)*$K68,0))</f>
        <v>0</v>
      </c>
      <c r="CS68" s="712">
        <f t="shared" si="326"/>
        <v>0</v>
      </c>
      <c r="CT68" s="697">
        <f t="shared" si="75"/>
        <v>4.4218733850117431</v>
      </c>
      <c r="CU68" s="697">
        <f>IF(AND($O68&gt;0,Sheet1!EK68=1),(1-($O68-Sheet1!$L68)/$O68)*CP68,0)</f>
        <v>0</v>
      </c>
      <c r="CV68" s="697">
        <f>IF(AND(Sheet1!$L68=0,Sheet1!$L67=0, Calculation!CO68&lt;Sheet1!$EG68-0.1,Sheet1!$EG68=Sheet1!$EG67,Sheet1!$EG68=Sheet1!$EG69),Sheet1!$EG68,CP68-CU68)</f>
        <v>4.4218733850117431</v>
      </c>
      <c r="CW68" s="697">
        <f t="shared" si="33"/>
        <v>0</v>
      </c>
      <c r="CX68" s="712">
        <f t="shared" si="87"/>
        <v>7.22</v>
      </c>
      <c r="CY68" s="712">
        <f t="shared" si="327"/>
        <v>0</v>
      </c>
      <c r="CZ68" s="712">
        <f t="shared" si="328"/>
        <v>7.1422652885424576</v>
      </c>
      <c r="DA68" s="712">
        <f ca="1">IF(B68&gt;Summary!$A$1,#N/A,CY68*MGtoAF)</f>
        <v>0</v>
      </c>
      <c r="DB68" s="712">
        <f t="shared" si="329"/>
        <v>7.22</v>
      </c>
      <c r="DC68" s="712">
        <f t="shared" si="330"/>
        <v>23.22</v>
      </c>
      <c r="DD68" s="712">
        <f>Sheet1!AB68-DC68</f>
        <v>-0.25000000000611067</v>
      </c>
      <c r="DE68" s="712">
        <f t="shared" si="331"/>
        <v>-1.076658053428556E-2</v>
      </c>
      <c r="DF68" s="712">
        <f>(VLOOKUP(Sheet1!CY68,hhdcap_wcm,4)-(((VLOOKUP(Sheet1!CY68,hhdcap_wcm,3)-Sheet1!CY68)/(VLOOKUP(Sheet1!CY68,hhdcap_wcm,3)-VLOOKUP(Sheet1!CY68,hhdcap_wcm,1)))*(VLOOKUP(Sheet1!CY68,hhdcap_wcm,4)-VLOOKUP(Sheet1!CY68,hhdcap_wcm,2))))</f>
        <v>1907.3800000027788</v>
      </c>
      <c r="DG68" s="712">
        <f t="shared" si="332"/>
        <v>-221.42000000026587</v>
      </c>
      <c r="DH68" s="712">
        <f t="shared" si="333"/>
        <v>-111.65910237028031</v>
      </c>
      <c r="DI68" s="712">
        <f>Sheet1!DW68*AFtoMG</f>
        <v>0</v>
      </c>
      <c r="DJ68" s="712">
        <f>Sheet1!DX68*AFtoMG</f>
        <v>0</v>
      </c>
      <c r="DK68" s="712">
        <f>Sheet1!DY68*AFtoMG</f>
        <v>0</v>
      </c>
      <c r="DL68" s="712">
        <f>Sheet1!DZ68*AFtoMG</f>
        <v>0</v>
      </c>
      <c r="DM68" s="712">
        <f t="shared" si="334"/>
        <v>0</v>
      </c>
      <c r="DN68" s="712">
        <f t="shared" si="335"/>
        <v>0</v>
      </c>
      <c r="DO68" s="712">
        <f t="shared" si="336"/>
        <v>0</v>
      </c>
      <c r="DP68" s="712">
        <f t="shared" si="337"/>
        <v>0</v>
      </c>
      <c r="DQ68" s="712"/>
      <c r="DR68" s="697">
        <f>IF(OR(B68&lt;FL68,B68&gt;FM68),(MIN(AV68+BO68+CJ68+MAX(Sheet1!AA68+AG68-73,0),K68)),0)</f>
        <v>7.1422652885424576</v>
      </c>
      <c r="DS68" s="712"/>
      <c r="DT68" s="712">
        <f t="shared" si="338"/>
        <v>7.1422652885424576</v>
      </c>
      <c r="DU68" s="712"/>
      <c r="DV68" s="712">
        <f>Sheet1!ED68+Sheet1!EE68+Sheet1!EF68+Sheet1!EG68</f>
        <v>9.5</v>
      </c>
      <c r="DW68" s="712"/>
      <c r="DX68" s="697">
        <f t="shared" si="77"/>
        <v>0</v>
      </c>
      <c r="DY68" s="712">
        <f>IF(Sheet1!FN68=1,SUM('Calculations II'!AT68:BA68)+'Calculations II'!BC68+Sheet1!BU68+'Calculations II'!BE68+AF68,SUM('Calculations II'!AT68:BA68)+'Calculations II'!BC68+Sheet1!BU68+'Calculations II'!BE68+AF68)</f>
        <v>43.387600000000006</v>
      </c>
      <c r="DZ68" s="712">
        <f>Sheet1!AA68+Sheet1!AB68+'Calculations II'!BC68</f>
        <v>52.309999999990396</v>
      </c>
      <c r="EA68" s="712"/>
      <c r="EB68" s="712"/>
      <c r="EC68" s="712">
        <f t="shared" si="339"/>
        <v>40597</v>
      </c>
      <c r="ED68" s="712">
        <f t="shared" si="340"/>
        <v>0</v>
      </c>
      <c r="EE68" s="712">
        <f t="shared" si="341"/>
        <v>0</v>
      </c>
      <c r="EF68" s="712">
        <f>-(VLOOKUP(Sheet1!BQ68,Lookup!$B$4:$J$236,2)-VLOOKUP(Sheet1!BQ67,Lookup!$B$4:$J$236,2))/1000000</f>
        <v>0.27</v>
      </c>
      <c r="EG68" s="712">
        <f>-(VLOOKUP(Sheet1!BR68,Lookup!$B$4:$J$236,3)-VLOOKUP(Sheet1!BR67,Lookup!$B$4:$J$236,3))/1000000</f>
        <v>0.27</v>
      </c>
      <c r="EH68" s="712">
        <f>-(VLOOKUP(Sheet1!BS68,Lookup!$B$4:$J$236,4)-VLOOKUP(Sheet1!BS67,Lookup!$B$4:$J$236,4))/1000000</f>
        <v>0</v>
      </c>
      <c r="EI68" s="697">
        <f t="shared" si="88"/>
        <v>0.54</v>
      </c>
      <c r="EJ68" s="712"/>
      <c r="EK68" s="712"/>
      <c r="EL68" s="712"/>
      <c r="EM68" s="712"/>
      <c r="EN68" s="712"/>
      <c r="EO68" s="712"/>
      <c r="EP68" s="712"/>
      <c r="EQ68" s="712"/>
      <c r="ER68" s="697">
        <v>0</v>
      </c>
      <c r="ES68" s="712"/>
      <c r="ET68" s="794" t="e">
        <f t="shared" si="342"/>
        <v>#N/A</v>
      </c>
      <c r="EU68" s="794" t="e">
        <f t="shared" si="79"/>
        <v>#VALUE!</v>
      </c>
      <c r="EV68" s="795" t="e">
        <f t="shared" si="48"/>
        <v>#VALUE!</v>
      </c>
      <c r="EW68" s="796" t="s">
        <v>757</v>
      </c>
      <c r="EX68" s="796" t="s">
        <v>757</v>
      </c>
      <c r="EY68" s="794">
        <v>0</v>
      </c>
      <c r="EZ68" s="794" t="e">
        <v>#N/A</v>
      </c>
      <c r="FA68" s="712"/>
      <c r="FB68" s="712"/>
      <c r="FC68" s="712"/>
      <c r="FD68" s="712"/>
      <c r="FE68" s="712">
        <f>O68+Sheet1!CO68</f>
        <v>52.309999999990396</v>
      </c>
      <c r="FF68" s="712">
        <f>IF(Sheet1!AA68+AG68&lt;=Calculation!N68,AG68,Calculation!N68-Sheet1!AA68)</f>
        <v>15.827734711451431</v>
      </c>
      <c r="FG68" s="712">
        <f>(Sheet1!BP68+Sheet1!BO68)/694.4</f>
        <v>1.6800115207373272</v>
      </c>
      <c r="FH68" s="712"/>
      <c r="FI68" s="712"/>
      <c r="FJ68" s="712"/>
      <c r="FK68" s="712"/>
      <c r="FL68" s="714">
        <f t="shared" si="89"/>
        <v>40753</v>
      </c>
      <c r="FM68" s="714">
        <f t="shared" si="90"/>
        <v>40851</v>
      </c>
      <c r="FN68" s="712"/>
      <c r="FO68" s="712"/>
      <c r="FP68" s="712"/>
      <c r="FQ68" s="712"/>
      <c r="FR68" s="712"/>
      <c r="FS68" s="725">
        <f t="shared" si="91"/>
        <v>40603</v>
      </c>
      <c r="FT68" s="714">
        <f t="shared" si="92"/>
        <v>40709</v>
      </c>
      <c r="FU68" s="712">
        <f t="shared" si="93"/>
        <v>6518.9048239895692</v>
      </c>
      <c r="FV68" s="714">
        <f t="shared" si="94"/>
        <v>40722</v>
      </c>
      <c r="FW68" s="712">
        <f t="shared" si="95"/>
        <v>3259.4524119947846</v>
      </c>
      <c r="FX68" s="725">
        <f t="shared" si="96"/>
        <v>40851</v>
      </c>
      <c r="FZ68" s="697">
        <f t="shared" si="49"/>
        <v>0</v>
      </c>
      <c r="GA68" s="712" t="str">
        <f t="shared" si="343"/>
        <v/>
      </c>
      <c r="GB68" s="712">
        <f t="shared" si="344"/>
        <v>0</v>
      </c>
      <c r="GC68" s="712" t="str">
        <f t="shared" si="345"/>
        <v/>
      </c>
      <c r="GD68" s="712">
        <f>IF(GA68="P",Lookup!$M$12,IF(GA68="PP",Lookup!$M$13,IF(GA68="PPP",Lookup!$M$14,IF(GA68="T",Lookup!$M$15,IF(GA68="TP",Lookup!$M$16,IF(GA68="TPP",Lookup!$M$17,IF(GA68="TPPP",Lookup!$M$18,0)))))))*FZ68</f>
        <v>0</v>
      </c>
      <c r="GE68" s="712">
        <f t="shared" si="346"/>
        <v>0</v>
      </c>
      <c r="GF68" s="712">
        <f t="shared" si="347"/>
        <v>0</v>
      </c>
      <c r="GG68" s="712">
        <f t="shared" si="348"/>
        <v>0</v>
      </c>
      <c r="GH68" s="712"/>
      <c r="GI68" s="712">
        <f t="shared" si="349"/>
        <v>0</v>
      </c>
      <c r="GJ68" s="712" t="str">
        <f t="shared" si="350"/>
        <v/>
      </c>
      <c r="GK68" s="712">
        <f>IF(GA68="P",Lookup!$N$12,IF(GA68="PP",Lookup!$N$13,IF(GA68="PPP",Lookup!$N$14,IF(GA68="T",Lookup!$N$15,IF(GA68="TP",Lookup!$N$16,IF(GA68="TPP",Lookup!$N$17,IF(GA68="TPPP",Lookup!$N$18,0)))))))*FZ68</f>
        <v>0</v>
      </c>
      <c r="GL68" s="712">
        <f t="shared" si="351"/>
        <v>0</v>
      </c>
      <c r="GM68" s="712">
        <f t="shared" si="352"/>
        <v>0</v>
      </c>
      <c r="GN68" s="712">
        <f t="shared" si="353"/>
        <v>0</v>
      </c>
      <c r="GO68" s="712"/>
      <c r="GP68" s="712">
        <f t="shared" si="354"/>
        <v>0</v>
      </c>
      <c r="GQ68" s="712" t="str">
        <f t="shared" si="355"/>
        <v/>
      </c>
      <c r="GR68" s="712">
        <f>IF(GA68="P",Lookup!$N$12,IF(GA68="PP",Lookup!$N$13,IF(GA68="PPP",Lookup!$N$14,IF(GA68="T",Lookup!$N$15,IF(GA68="TP",Lookup!$N$16,IF(GA68="TPP",Lookup!$N$17,IF(GA68="TPPP",Lookup!$N$18,0)))))))*FZ68</f>
        <v>0</v>
      </c>
      <c r="GS68" s="697">
        <f t="shared" si="83"/>
        <v>0</v>
      </c>
      <c r="GT68" s="712">
        <f t="shared" si="356"/>
        <v>0</v>
      </c>
      <c r="GU68" s="712">
        <f t="shared" si="357"/>
        <v>0</v>
      </c>
      <c r="GV68" s="712"/>
      <c r="GW68" s="712">
        <f t="shared" si="358"/>
        <v>0</v>
      </c>
      <c r="GX68" s="712" t="str">
        <f t="shared" si="359"/>
        <v/>
      </c>
      <c r="GY68" s="712">
        <f>IF(GA68="P",Lookup!$N$12,IF(GA68="PP",Lookup!$N$13,IF(GA68="PPP",Lookup!$N$14,IF(GA68="T",Lookup!$N$15,IF(GA68="TP",Lookup!$N$16,IF(GA68="TPP",Lookup!$N$17,IF(GA68="TPPP",Lookup!$N$18,0)))))))*FZ68</f>
        <v>0</v>
      </c>
      <c r="GZ68" s="697">
        <f t="shared" si="85"/>
        <v>0</v>
      </c>
      <c r="HA68" s="712">
        <f t="shared" si="360"/>
        <v>0</v>
      </c>
      <c r="HB68" s="712">
        <f t="shared" si="361"/>
        <v>0</v>
      </c>
      <c r="HC68" s="712"/>
    </row>
    <row r="69" spans="1:211">
      <c r="A69" s="773" t="s">
        <v>7</v>
      </c>
      <c r="B69" s="708">
        <v>40598</v>
      </c>
      <c r="C69" s="709">
        <v>0.5</v>
      </c>
      <c r="D69" s="675">
        <f t="shared" si="65"/>
        <v>300</v>
      </c>
      <c r="E69" s="675">
        <f t="shared" si="66"/>
        <v>250</v>
      </c>
      <c r="F69" s="675">
        <v>250</v>
      </c>
      <c r="G69" s="712">
        <f>DH69+Sheet1!CV69</f>
        <v>750.86428762117873</v>
      </c>
      <c r="H69" s="712">
        <f t="shared" si="294"/>
        <v>218.39547551832993</v>
      </c>
      <c r="I69" s="711">
        <f>MAX(Sheet1!Z69-AJ69+(Sheet1!CW69-E69)*CFStoMGD,0)</f>
        <v>701.37941524889573</v>
      </c>
      <c r="J69" s="720">
        <f>IF(AND(B69&gt;=Calculation!FS69,B69&lt;=Calculation!FT69),IF(Sheet1!CX69&gt;=Calculation!D69,64.64,0),MAX(Sheet1!Z69-AJ69+(Sheet1!CX69-D69)*CFStoMGD,0))</f>
        <v>271.36181524889582</v>
      </c>
      <c r="K69" s="697">
        <f t="shared" si="67"/>
        <v>64.64</v>
      </c>
      <c r="L69" s="712">
        <f>Sheet1!AA69+Sheet1!AB69-Sheet1!L69+(Sheet1!CW69-F69)*CFStoMGD</f>
        <v>748.35266666666439</v>
      </c>
      <c r="M69" s="712">
        <f t="shared" si="295"/>
        <v>495.06584902869656</v>
      </c>
      <c r="N69" s="712">
        <f>IF(Sheet1!CW69&gt;=F69,MIN(73,MIN(MAX(L69,0),MAX(M69,0))),0)</f>
        <v>73</v>
      </c>
      <c r="O69" s="721">
        <f>Sheet1!AA69+Sheet1!AB69</f>
        <v>51.459999999999127</v>
      </c>
      <c r="P69" s="721">
        <f t="shared" si="296"/>
        <v>79.608619999998638</v>
      </c>
      <c r="Q69" s="712">
        <f>MIN(N69,Sheet1!AA69+AG69)</f>
        <v>45.773251417767959</v>
      </c>
      <c r="R69" s="712">
        <f t="shared" si="297"/>
        <v>5.6867485822311687</v>
      </c>
      <c r="S69" s="721">
        <f>Sheet1!Y69*MGDtoCFS</f>
        <v>46.456409999999998</v>
      </c>
      <c r="T69" s="721">
        <f>Sheet1!Z69*MGDtoCFS</f>
        <v>24.875759999999996</v>
      </c>
      <c r="U69" s="721">
        <f>Sheet1!AA69*MGDtoCFS</f>
        <v>46.719399999995495</v>
      </c>
      <c r="V69" s="721">
        <f>Sheet1!AB69*MGDtoCFS</f>
        <v>32.889220000003149</v>
      </c>
      <c r="W69" s="721">
        <f>Sheet1!L69*MGDtoCFS</f>
        <v>6.1570600000021383</v>
      </c>
      <c r="X69" s="697">
        <f t="shared" si="68"/>
        <v>0</v>
      </c>
      <c r="Y69" s="712">
        <f t="shared" si="298"/>
        <v>0</v>
      </c>
      <c r="Z69" s="712">
        <f t="shared" si="299"/>
        <v>0</v>
      </c>
      <c r="AA69" s="712">
        <f t="shared" si="300"/>
        <v>0</v>
      </c>
      <c r="AB69" s="712">
        <f>(VLOOKUP(Sheet1!CY69,hhdcap_wcm,4)-(((VLOOKUP(Sheet1!CY69,hhdcap_wcm,3)-Sheet1!CY69)/(VLOOKUP(Sheet1!CY69,hhdcap_wcm,3)-VLOOKUP(Sheet1!CY69,hhdcap_wcm,1)))*(VLOOKUP(Sheet1!CY69,hhdcap_wcm,4)-VLOOKUP(Sheet1!CY69,hhdcap_wcm,2))))</f>
        <v>1872.7000000026351</v>
      </c>
      <c r="AC69" s="712">
        <f t="shared" si="301"/>
        <v>-34.680000000143764</v>
      </c>
      <c r="AD69" s="712">
        <f t="shared" si="70"/>
        <v>0</v>
      </c>
      <c r="AE69" s="712">
        <f t="shared" si="302"/>
        <v>0</v>
      </c>
      <c r="AF69" s="712">
        <f>Sheet1!BA69+Sheet1!BB69+Sheet1!BN69+BT69</f>
        <v>15.5</v>
      </c>
      <c r="AG69" s="712">
        <f t="shared" si="303"/>
        <v>15.573251417770868</v>
      </c>
      <c r="AH69" s="712">
        <f>Sheet1!BA69+BT69</f>
        <v>0</v>
      </c>
      <c r="AI69" s="712">
        <f>Sheet1!BA69+Sheet1!BB69+BT69</f>
        <v>0</v>
      </c>
      <c r="AJ69" s="712">
        <f>IF((Sheet1!AA69+AG69+AX69+AZ69+BQ69+BS69+CL69+CN69)&lt;=N69,AG69+AX69+AZ69+BQ69+BS69+CL69+CN69,N69-Sheet1!AA69)</f>
        <v>15.573251417770868</v>
      </c>
      <c r="AK69" s="712">
        <f>IF(DR69&lt;K69,0,MAX(Sheet1!AA69+AG69-15/36*K69-N69,Sheet1!ED69,0))</f>
        <v>0</v>
      </c>
      <c r="AL69" s="712">
        <f>IF(OR(B69&gt;=FT69,B69&lt;FS69),0,15/36*K69-MAX(0,64.6-(137.6-(Sheet1!AA69+Sheet1!AB69))))</f>
        <v>0</v>
      </c>
      <c r="AM69" s="712">
        <f>Sheet1!CX69-110</f>
        <v>609.02083333333337</v>
      </c>
      <c r="AN69" s="712">
        <f>Sheet1!CW69-265</f>
        <v>1069.2708333333333</v>
      </c>
      <c r="AO69" s="712">
        <f t="shared" si="71"/>
        <v>27.226748582232041</v>
      </c>
      <c r="AP69" s="712">
        <f t="shared" si="72"/>
        <v>0</v>
      </c>
      <c r="AQ69" s="712">
        <f t="shared" si="304"/>
        <v>0</v>
      </c>
      <c r="AR69" s="712">
        <f t="shared" si="305"/>
        <v>0</v>
      </c>
      <c r="AS69" s="712"/>
      <c r="AT69" s="712">
        <f ca="1">IF(B69&gt;Summary!$A$1,#N/A,AR69*MGtoAF)</f>
        <v>0</v>
      </c>
      <c r="AU69" s="712">
        <f>Sheet1!BG69+Sheet1!BH69+Sheet1!BI69-BC69</f>
        <v>0</v>
      </c>
      <c r="AV69" s="712">
        <f t="shared" si="306"/>
        <v>0</v>
      </c>
      <c r="AW69" s="712">
        <f>IF(Sheet1!EL69="FM",BC69,0)</f>
        <v>0</v>
      </c>
      <c r="AX69" s="712">
        <f t="shared" si="307"/>
        <v>0</v>
      </c>
      <c r="AY69" s="712">
        <f>IF(Sheet1!EL69="OTHER",BC69,0)</f>
        <v>0</v>
      </c>
      <c r="AZ69" s="712">
        <f t="shared" si="308"/>
        <v>0</v>
      </c>
      <c r="BA69" s="712">
        <f t="shared" si="309"/>
        <v>0</v>
      </c>
      <c r="BB69" s="712">
        <f t="shared" si="310"/>
        <v>0</v>
      </c>
      <c r="BC69" s="712">
        <f>IF(OR(Sheet1!EL69="FM", Sheet1!EL69="OTHER"),SUM(Sheet1!BG69:'Sheet1'!BI69),0)</f>
        <v>0</v>
      </c>
      <c r="BD69" s="697">
        <f>IF(AND($B69&gt;=$FL69,$B69&lt;=$FM69),MAX(AV69,Sheet1!EE69,0),MAX(AV69-(7/36)*$K69,0))</f>
        <v>0</v>
      </c>
      <c r="BE69" s="712">
        <f t="shared" si="311"/>
        <v>0</v>
      </c>
      <c r="BF69" s="697">
        <f t="shared" si="73"/>
        <v>0</v>
      </c>
      <c r="BG69" s="697">
        <f>IF(AND($O69&gt;0,Sheet1!EI69=1),(1-($O69-Sheet1!$L69)/$O69)*BB69,0)</f>
        <v>0</v>
      </c>
      <c r="BH69" s="697">
        <f>IF(AND(Sheet1!$L69=0,Sheet1!$L68=0, Calculation!BA69&lt;Sheet1!$EE69-0.1,Sheet1!$EE69=Sheet1!$EE68,Sheet1!$EE69=Sheet1!$EE70),Sheet1!$EE69,BB69-BG69)</f>
        <v>0</v>
      </c>
      <c r="BI69" s="712"/>
      <c r="BJ69" s="712"/>
      <c r="BK69" s="712">
        <f t="shared" si="312"/>
        <v>0</v>
      </c>
      <c r="BL69" s="712"/>
      <c r="BM69" s="712">
        <f ca="1">IF(B69&gt;Summary!$A$1,#N/A,BK69*MGtoAF)</f>
        <v>0</v>
      </c>
      <c r="BN69" s="712">
        <f>Sheet1!BC69+Sheet1!BD69+Sheet1!BE69+Sheet1!BF69-BW69-BX69</f>
        <v>1.55</v>
      </c>
      <c r="BO69" s="712">
        <f t="shared" si="313"/>
        <v>1.5573251417770868</v>
      </c>
      <c r="BP69" s="712">
        <f>IF(Sheet1!EM69="FM",BX69,0)</f>
        <v>0</v>
      </c>
      <c r="BQ69" s="712">
        <f t="shared" si="314"/>
        <v>0</v>
      </c>
      <c r="BR69" s="712">
        <f>IF(Sheet1!EM69="OTHER",BX69,0)</f>
        <v>0</v>
      </c>
      <c r="BS69" s="712">
        <f t="shared" si="315"/>
        <v>0</v>
      </c>
      <c r="BT69" s="712">
        <f t="shared" si="316"/>
        <v>0</v>
      </c>
      <c r="BU69" s="712">
        <f t="shared" si="317"/>
        <v>1.55</v>
      </c>
      <c r="BV69" s="712">
        <f t="shared" si="318"/>
        <v>1.5573251417770868</v>
      </c>
      <c r="BW69" s="712">
        <f>IF(Sheet1!EM69="CWA",SUM(Sheet1!BC69:'Sheet1'!BF69),0)</f>
        <v>0</v>
      </c>
      <c r="BX69" s="712">
        <f>IF(OR(Sheet1!EM69="FM", Sheet1!EM69="OTHER"),SUM(Sheet1!BC69:'Sheet1'!BF69),0)</f>
        <v>0</v>
      </c>
      <c r="BY69" s="697">
        <f>IF(AND($B69&gt;=$FL69,$B69&lt;=$FM69),MAX(BV69,Sheet1!EF69,0),MAX(BV69-(7/36)*$K69,0))</f>
        <v>0</v>
      </c>
      <c r="BZ69" s="712">
        <f t="shared" si="319"/>
        <v>0</v>
      </c>
      <c r="CA69" s="697">
        <f t="shared" si="74"/>
        <v>1.5573251417770868</v>
      </c>
      <c r="CB69" s="697">
        <f>IF(AND($O69&gt;0,Sheet1!EJ69=1),(1-($O69-Sheet1!$L69)/$O69)*BV69,0)</f>
        <v>0</v>
      </c>
      <c r="CC69" s="697">
        <f>IF(AND(Sheet1!$L69=0,Sheet1!$L68=0, Calculation!BU69&lt;Sheet1!EF69-0.1,Sheet1!EF69=Sheet1!EF68,Sheet1!EF69=Sheet1!EF70),Sheet1!EF69,BV69-CB69)</f>
        <v>1.5573251417770868</v>
      </c>
      <c r="CD69" s="697"/>
      <c r="CE69" s="712"/>
      <c r="CF69" s="712">
        <f t="shared" si="320"/>
        <v>0</v>
      </c>
      <c r="CG69" s="712"/>
      <c r="CH69" s="712">
        <f ca="1">IF(B69&gt;Summary!$A$1,#N/A,CF69*MGtoAF)</f>
        <v>0</v>
      </c>
      <c r="CI69" s="712">
        <f>Sheet1!BK69+Sheet1!BL69+Sheet1!BM69-Sheet1!EN69-CQ69</f>
        <v>4.1100000000000003</v>
      </c>
      <c r="CJ69" s="712">
        <f t="shared" si="321"/>
        <v>4.1294234404540822</v>
      </c>
      <c r="CK69" s="712">
        <f>IF(Sheet1!EN69="FM",CQ69,0)</f>
        <v>0</v>
      </c>
      <c r="CL69" s="712">
        <f t="shared" si="322"/>
        <v>0</v>
      </c>
      <c r="CM69" s="712">
        <f>IF(Sheet1!EN69="OTHER",CQ69,0)</f>
        <v>0</v>
      </c>
      <c r="CN69" s="712">
        <f t="shared" si="323"/>
        <v>0</v>
      </c>
      <c r="CO69" s="712">
        <f t="shared" si="324"/>
        <v>4.1100000000000003</v>
      </c>
      <c r="CP69" s="712">
        <f t="shared" si="325"/>
        <v>4.1294234404540822</v>
      </c>
      <c r="CQ69" s="712">
        <f>IF(OR(Sheet1!EN69="FM", Sheet1!EN69="OTHER"),SUM(Sheet1!BK69:'Sheet1'!BM69),0)</f>
        <v>0</v>
      </c>
      <c r="CR69" s="697">
        <f>IF(AND($B69&gt;=$FL69,$B69&lt;=$FM69),MAX($CJ69,Sheet1!EG69,0),MAX($CJ69-(7/36)*$K69,0))</f>
        <v>0</v>
      </c>
      <c r="CS69" s="712">
        <f t="shared" si="326"/>
        <v>0</v>
      </c>
      <c r="CT69" s="697">
        <f t="shared" si="75"/>
        <v>4.1294234404540822</v>
      </c>
      <c r="CU69" s="697">
        <f>IF(AND($O69&gt;0,Sheet1!EK69=1),(1-($O69-Sheet1!$L69)/$O69)*CP69,0)</f>
        <v>0</v>
      </c>
      <c r="CV69" s="697">
        <f>IF(AND(Sheet1!$L69=0,Sheet1!$L68=0, Calculation!CO69&lt;Sheet1!$EG69-0.1,Sheet1!$EG69=Sheet1!$EG68,Sheet1!$EG69=Sheet1!$EG70),Sheet1!$EG69,CP69-CU69)</f>
        <v>4.1294234404540822</v>
      </c>
      <c r="CW69" s="697">
        <f t="shared" si="33"/>
        <v>0</v>
      </c>
      <c r="CX69" s="712">
        <f t="shared" si="87"/>
        <v>5.66</v>
      </c>
      <c r="CY69" s="712">
        <f t="shared" si="327"/>
        <v>0</v>
      </c>
      <c r="CZ69" s="712">
        <f t="shared" si="328"/>
        <v>5.6867485822311687</v>
      </c>
      <c r="DA69" s="712">
        <f ca="1">IF(B69&gt;Summary!$A$1,#N/A,CY69*MGtoAF)</f>
        <v>0</v>
      </c>
      <c r="DB69" s="712">
        <f t="shared" si="329"/>
        <v>5.66</v>
      </c>
      <c r="DC69" s="712">
        <f t="shared" si="330"/>
        <v>21.16</v>
      </c>
      <c r="DD69" s="712">
        <f>Sheet1!AB69-DC69</f>
        <v>0.10000000000203713</v>
      </c>
      <c r="DE69" s="712">
        <f t="shared" si="331"/>
        <v>4.7258979207011878E-3</v>
      </c>
      <c r="DF69" s="712">
        <f>(VLOOKUP(Sheet1!CY69,hhdcap_wcm,4)-(((VLOOKUP(Sheet1!CY69,hhdcap_wcm,3)-Sheet1!CY69)/(VLOOKUP(Sheet1!CY69,hhdcap_wcm,3)-VLOOKUP(Sheet1!CY69,hhdcap_wcm,1)))*(VLOOKUP(Sheet1!CY69,hhdcap_wcm,4)-VLOOKUP(Sheet1!CY69,hhdcap_wcm,2))))</f>
        <v>1872.7000000026351</v>
      </c>
      <c r="DG69" s="712">
        <f t="shared" si="332"/>
        <v>-34.680000000143764</v>
      </c>
      <c r="DH69" s="712">
        <f t="shared" si="333"/>
        <v>-17.488653555291862</v>
      </c>
      <c r="DI69" s="712">
        <f>Sheet1!DW69*AFtoMG</f>
        <v>0</v>
      </c>
      <c r="DJ69" s="712">
        <f>Sheet1!DX69*AFtoMG</f>
        <v>0</v>
      </c>
      <c r="DK69" s="712">
        <f>Sheet1!DY69*AFtoMG</f>
        <v>0</v>
      </c>
      <c r="DL69" s="712">
        <f>Sheet1!DZ69*AFtoMG</f>
        <v>0</v>
      </c>
      <c r="DM69" s="712">
        <f t="shared" si="334"/>
        <v>0</v>
      </c>
      <c r="DN69" s="712">
        <f t="shared" si="335"/>
        <v>0</v>
      </c>
      <c r="DO69" s="712">
        <f t="shared" si="336"/>
        <v>0</v>
      </c>
      <c r="DP69" s="712">
        <f t="shared" si="337"/>
        <v>0</v>
      </c>
      <c r="DQ69" s="712"/>
      <c r="DR69" s="697">
        <f>IF(OR(B69&lt;FL69,B69&gt;FM69),(MIN(AV69+BO69+CJ69+MAX(Sheet1!AA69+AG69-73,0),K69)),0)</f>
        <v>5.6867485822311687</v>
      </c>
      <c r="DS69" s="712"/>
      <c r="DT69" s="712">
        <f t="shared" si="338"/>
        <v>5.6867485822311687</v>
      </c>
      <c r="DU69" s="712"/>
      <c r="DV69" s="712">
        <f>Sheet1!ED69+Sheet1!EE69+Sheet1!EF69+Sheet1!EG69</f>
        <v>9.5</v>
      </c>
      <c r="DW69" s="712"/>
      <c r="DX69" s="697">
        <f t="shared" si="77"/>
        <v>0</v>
      </c>
      <c r="DY69" s="712">
        <f>IF(Sheet1!FN69=1,SUM('Calculations II'!AT69:BA69)+'Calculations II'!BC69+Sheet1!BU69+'Calculations II'!BE69+AF69,SUM('Calculations II'!AT69:BA69)+'Calculations II'!BC69+Sheet1!BU69+'Calculations II'!BE69+AF69)</f>
        <v>42.817087999999998</v>
      </c>
      <c r="DZ69" s="712">
        <f>Sheet1!AA69+Sheet1!AB69+'Calculations II'!BC69</f>
        <v>51.459999999999127</v>
      </c>
      <c r="EA69" s="712"/>
      <c r="EB69" s="712"/>
      <c r="EC69" s="712">
        <f t="shared" si="339"/>
        <v>40598</v>
      </c>
      <c r="ED69" s="712">
        <f t="shared" si="340"/>
        <v>0</v>
      </c>
      <c r="EE69" s="712">
        <f t="shared" si="341"/>
        <v>0</v>
      </c>
      <c r="EF69" s="712">
        <f>-(VLOOKUP(Sheet1!BQ69,Lookup!$B$4:$J$236,2)-VLOOKUP(Sheet1!BQ68,Lookup!$B$4:$J$236,2))/1000000</f>
        <v>0</v>
      </c>
      <c r="EG69" s="712">
        <f>-(VLOOKUP(Sheet1!BR69,Lookup!$B$4:$J$236,3)-VLOOKUP(Sheet1!BR68,Lookup!$B$4:$J$236,3))/1000000</f>
        <v>0</v>
      </c>
      <c r="EH69" s="712">
        <f>-(VLOOKUP(Sheet1!BS69,Lookup!$B$4:$J$236,4)-VLOOKUP(Sheet1!BS68,Lookup!$B$4:$J$236,4))/1000000</f>
        <v>0</v>
      </c>
      <c r="EI69" s="697">
        <f t="shared" si="88"/>
        <v>0</v>
      </c>
      <c r="EJ69" s="712"/>
      <c r="EK69" s="712"/>
      <c r="EL69" s="712"/>
      <c r="EM69" s="712"/>
      <c r="EN69" s="712"/>
      <c r="EO69" s="712"/>
      <c r="EP69" s="712"/>
      <c r="EQ69" s="712"/>
      <c r="ER69" s="697">
        <v>0</v>
      </c>
      <c r="ES69" s="712"/>
      <c r="ET69" s="794" t="e">
        <f t="shared" si="342"/>
        <v>#N/A</v>
      </c>
      <c r="EU69" s="794" t="e">
        <f t="shared" si="79"/>
        <v>#VALUE!</v>
      </c>
      <c r="EV69" s="795" t="e">
        <f t="shared" si="48"/>
        <v>#VALUE!</v>
      </c>
      <c r="EW69" s="796" t="s">
        <v>757</v>
      </c>
      <c r="EX69" s="796" t="s">
        <v>757</v>
      </c>
      <c r="EY69" s="794">
        <v>0</v>
      </c>
      <c r="EZ69" s="794" t="e">
        <v>#N/A</v>
      </c>
      <c r="FA69" s="712"/>
      <c r="FB69" s="712"/>
      <c r="FC69" s="712"/>
      <c r="FD69" s="712"/>
      <c r="FE69" s="712">
        <f>O69+Sheet1!CO69</f>
        <v>51.459999999999127</v>
      </c>
      <c r="FF69" s="712">
        <f>IF(Sheet1!AA69+AG69&lt;=Calculation!N69,AG69,Calculation!N69-Sheet1!AA69)</f>
        <v>15.573251417770868</v>
      </c>
      <c r="FG69" s="712">
        <f>(Sheet1!BP69+Sheet1!BO69)/694.4</f>
        <v>1.4658698156682028</v>
      </c>
      <c r="FH69" s="712"/>
      <c r="FI69" s="712"/>
      <c r="FJ69" s="712"/>
      <c r="FK69" s="712"/>
      <c r="FL69" s="714">
        <f t="shared" si="89"/>
        <v>40753</v>
      </c>
      <c r="FM69" s="714">
        <f t="shared" si="90"/>
        <v>40851</v>
      </c>
      <c r="FN69" s="712"/>
      <c r="FO69" s="712"/>
      <c r="FP69" s="712"/>
      <c r="FQ69" s="712"/>
      <c r="FR69" s="712"/>
      <c r="FS69" s="725">
        <f t="shared" si="91"/>
        <v>40603</v>
      </c>
      <c r="FT69" s="714">
        <f t="shared" si="92"/>
        <v>40709</v>
      </c>
      <c r="FU69" s="712">
        <f t="shared" si="93"/>
        <v>6518.9048239895692</v>
      </c>
      <c r="FV69" s="714">
        <f t="shared" si="94"/>
        <v>40722</v>
      </c>
      <c r="FW69" s="712">
        <f t="shared" si="95"/>
        <v>3259.4524119947846</v>
      </c>
      <c r="FX69" s="725">
        <f t="shared" si="96"/>
        <v>40851</v>
      </c>
      <c r="FZ69" s="697">
        <f t="shared" si="49"/>
        <v>0</v>
      </c>
      <c r="GA69" s="712" t="str">
        <f t="shared" si="343"/>
        <v/>
      </c>
      <c r="GB69" s="712">
        <f t="shared" si="344"/>
        <v>0</v>
      </c>
      <c r="GC69" s="712" t="str">
        <f t="shared" si="345"/>
        <v/>
      </c>
      <c r="GD69" s="712">
        <f>IF(GA69="P",Lookup!$M$12,IF(GA69="PP",Lookup!$M$13,IF(GA69="PPP",Lookup!$M$14,IF(GA69="T",Lookup!$M$15,IF(GA69="TP",Lookup!$M$16,IF(GA69="TPP",Lookup!$M$17,IF(GA69="TPPP",Lookup!$M$18,0)))))))*FZ69</f>
        <v>0</v>
      </c>
      <c r="GE69" s="712">
        <f t="shared" si="346"/>
        <v>0</v>
      </c>
      <c r="GF69" s="712">
        <f t="shared" si="347"/>
        <v>0</v>
      </c>
      <c r="GG69" s="712">
        <f t="shared" si="348"/>
        <v>0</v>
      </c>
      <c r="GH69" s="712"/>
      <c r="GI69" s="712">
        <f t="shared" si="349"/>
        <v>0</v>
      </c>
      <c r="GJ69" s="712" t="str">
        <f t="shared" si="350"/>
        <v/>
      </c>
      <c r="GK69" s="712">
        <f>IF(GA69="P",Lookup!$N$12,IF(GA69="PP",Lookup!$N$13,IF(GA69="PPP",Lookup!$N$14,IF(GA69="T",Lookup!$N$15,IF(GA69="TP",Lookup!$N$16,IF(GA69="TPP",Lookup!$N$17,IF(GA69="TPPP",Lookup!$N$18,0)))))))*FZ69</f>
        <v>0</v>
      </c>
      <c r="GL69" s="712">
        <f t="shared" si="351"/>
        <v>0</v>
      </c>
      <c r="GM69" s="712">
        <f t="shared" si="352"/>
        <v>0</v>
      </c>
      <c r="GN69" s="712">
        <f t="shared" si="353"/>
        <v>0</v>
      </c>
      <c r="GO69" s="712"/>
      <c r="GP69" s="712">
        <f t="shared" si="354"/>
        <v>0</v>
      </c>
      <c r="GQ69" s="712" t="str">
        <f t="shared" si="355"/>
        <v/>
      </c>
      <c r="GR69" s="712">
        <f>IF(GA69="P",Lookup!$N$12,IF(GA69="PP",Lookup!$N$13,IF(GA69="PPP",Lookup!$N$14,IF(GA69="T",Lookup!$N$15,IF(GA69="TP",Lookup!$N$16,IF(GA69="TPP",Lookup!$N$17,IF(GA69="TPPP",Lookup!$N$18,0)))))))*FZ69</f>
        <v>0</v>
      </c>
      <c r="GS69" s="697">
        <f t="shared" si="83"/>
        <v>0</v>
      </c>
      <c r="GT69" s="712">
        <f t="shared" si="356"/>
        <v>0</v>
      </c>
      <c r="GU69" s="712">
        <f t="shared" si="357"/>
        <v>0</v>
      </c>
      <c r="GV69" s="712"/>
      <c r="GW69" s="712">
        <f t="shared" si="358"/>
        <v>0</v>
      </c>
      <c r="GX69" s="712" t="str">
        <f t="shared" si="359"/>
        <v/>
      </c>
      <c r="GY69" s="712">
        <f>IF(GA69="P",Lookup!$N$12,IF(GA69="PP",Lookup!$N$13,IF(GA69="PPP",Lookup!$N$14,IF(GA69="T",Lookup!$N$15,IF(GA69="TP",Lookup!$N$16,IF(GA69="TPP",Lookup!$N$17,IF(GA69="TPPP",Lookup!$N$18,0)))))))*FZ69</f>
        <v>0</v>
      </c>
      <c r="GZ69" s="697">
        <f t="shared" si="85"/>
        <v>0</v>
      </c>
      <c r="HA69" s="712">
        <f t="shared" si="360"/>
        <v>0</v>
      </c>
      <c r="HB69" s="712">
        <f t="shared" si="361"/>
        <v>0</v>
      </c>
      <c r="HC69" s="712"/>
    </row>
    <row r="70" spans="1:211">
      <c r="A70" s="773" t="s">
        <v>8</v>
      </c>
      <c r="B70" s="708">
        <v>40599</v>
      </c>
      <c r="C70" s="719">
        <v>0.5</v>
      </c>
      <c r="D70" s="675">
        <f t="shared" si="65"/>
        <v>300</v>
      </c>
      <c r="E70" s="675">
        <f t="shared" si="66"/>
        <v>250</v>
      </c>
      <c r="F70" s="710">
        <v>250</v>
      </c>
      <c r="G70" s="712">
        <f>DH70+Sheet1!CV70</f>
        <v>702.51935569987813</v>
      </c>
      <c r="H70" s="712">
        <f t="shared" si="294"/>
        <v>187.14531152440122</v>
      </c>
      <c r="I70" s="711">
        <f>MAX(Sheet1!Z70-AJ70+(Sheet1!CW70-E70)*CFStoMGD,0)</f>
        <v>685.51847547796888</v>
      </c>
      <c r="J70" s="720">
        <f>IF(AND(B70&gt;=Calculation!FS70,B70&lt;=Calculation!FT70),IF(Sheet1!CX70&gt;=Calculation!D70,64.64,0),MAX(Sheet1!Z70-AJ70+(Sheet1!CX70-D70)*CFStoMGD,0))</f>
        <v>262.38907547796896</v>
      </c>
      <c r="K70" s="697">
        <f t="shared" si="67"/>
        <v>64.64</v>
      </c>
      <c r="L70" s="712">
        <f>Sheet1!AA70+Sheet1!AB70-Sheet1!L70+(Sheet1!CW70-F70)*CFStoMGD</f>
        <v>716.88866666668082</v>
      </c>
      <c r="M70" s="712">
        <f t="shared" si="295"/>
        <v>463.19068175488928</v>
      </c>
      <c r="N70" s="712">
        <f>IF(Sheet1!CW70&gt;=F70,MIN(73,MIN(MAX(L70,0),MAX(M70,0))),0)</f>
        <v>73</v>
      </c>
      <c r="O70" s="721">
        <f>Sheet1!AA70+Sheet1!AB70</f>
        <v>54.100000000013097</v>
      </c>
      <c r="P70" s="721">
        <f t="shared" si="296"/>
        <v>83.692700000020267</v>
      </c>
      <c r="Q70" s="712">
        <f>MIN(N70,Sheet1!AA70+AG70)</f>
        <v>45.490191188706476</v>
      </c>
      <c r="R70" s="712">
        <f t="shared" si="297"/>
        <v>8.6098088113066229</v>
      </c>
      <c r="S70" s="721">
        <f>Sheet1!Y70*MGDtoCFS</f>
        <v>45.961370000000002</v>
      </c>
      <c r="T70" s="721">
        <f>Sheet1!Z70*MGDtoCFS</f>
        <v>36.92689</v>
      </c>
      <c r="U70" s="721">
        <f>Sheet1!AA70*MGDtoCFS</f>
        <v>46.255300000013506</v>
      </c>
      <c r="V70" s="721">
        <f>Sheet1!AB70*MGDtoCFS</f>
        <v>37.437400000006754</v>
      </c>
      <c r="W70" s="721">
        <f>Sheet1!L70*MGDtoCFS</f>
        <v>22.35414999999831</v>
      </c>
      <c r="X70" s="697">
        <f t="shared" si="68"/>
        <v>0</v>
      </c>
      <c r="Y70" s="712">
        <f t="shared" si="298"/>
        <v>0</v>
      </c>
      <c r="Z70" s="712">
        <f t="shared" si="299"/>
        <v>0</v>
      </c>
      <c r="AA70" s="712">
        <f t="shared" si="300"/>
        <v>0</v>
      </c>
      <c r="AB70" s="712">
        <f>(VLOOKUP(Sheet1!CY70,hhdcap_wcm,4)-(((VLOOKUP(Sheet1!CY70,hhdcap_wcm,3)-Sheet1!CY70)/(VLOOKUP(Sheet1!CY70,hhdcap_wcm,3)-VLOOKUP(Sheet1!CY70,hhdcap_wcm,1)))*(VLOOKUP(Sheet1!CY70,hhdcap_wcm,4)-VLOOKUP(Sheet1!CY70,hhdcap_wcm,2))))</f>
        <v>1773.8800000025522</v>
      </c>
      <c r="AC70" s="712">
        <f t="shared" si="301"/>
        <v>-98.820000000082928</v>
      </c>
      <c r="AD70" s="712">
        <f t="shared" si="70"/>
        <v>0</v>
      </c>
      <c r="AE70" s="712">
        <f t="shared" si="302"/>
        <v>0</v>
      </c>
      <c r="AF70" s="712">
        <f>Sheet1!BA70+Sheet1!BB70+Sheet1!BN70+BT70</f>
        <v>15.5</v>
      </c>
      <c r="AG70" s="712">
        <f t="shared" si="303"/>
        <v>15.590191188697741</v>
      </c>
      <c r="AH70" s="712">
        <f>Sheet1!BA70+BT70</f>
        <v>0</v>
      </c>
      <c r="AI70" s="712">
        <f>Sheet1!BA70+Sheet1!BB70+BT70</f>
        <v>0</v>
      </c>
      <c r="AJ70" s="712">
        <f>IF((Sheet1!AA70+AG70+AX70+AZ70+BQ70+BS70+CL70+CN70)&lt;=N70,AG70+AX70+AZ70+BQ70+BS70+CL70+CN70,N70-Sheet1!AA70)</f>
        <v>15.590191188697741</v>
      </c>
      <c r="AK70" s="712">
        <f>IF(DR70&lt;K70,0,MAX(Sheet1!AA70+AG70-15/36*K70-N70,Sheet1!ED70,0))</f>
        <v>0</v>
      </c>
      <c r="AL70" s="712">
        <f>IF(OR(B70&gt;=FT70,B70&lt;FS70),0,15/36*K70-MAX(0,64.6-(137.6-(Sheet1!AA70+Sheet1!AB70))))</f>
        <v>0</v>
      </c>
      <c r="AM70" s="712">
        <f>Sheet1!CX70-110</f>
        <v>583.11458333333337</v>
      </c>
      <c r="AN70" s="712">
        <f>Sheet1!CW70-265</f>
        <v>1032.7083333333333</v>
      </c>
      <c r="AO70" s="712">
        <f t="shared" si="71"/>
        <v>27.509808811293524</v>
      </c>
      <c r="AP70" s="712">
        <f t="shared" si="72"/>
        <v>0</v>
      </c>
      <c r="AQ70" s="712">
        <f t="shared" si="304"/>
        <v>0</v>
      </c>
      <c r="AR70" s="712">
        <f t="shared" si="305"/>
        <v>0</v>
      </c>
      <c r="AS70" s="712"/>
      <c r="AT70" s="712">
        <f ca="1">IF(B70&gt;Summary!$A$1,#N/A,AR70*MGtoAF)</f>
        <v>0</v>
      </c>
      <c r="AU70" s="712">
        <f>Sheet1!BG70+Sheet1!BH70+Sheet1!BI70-BC70</f>
        <v>0</v>
      </c>
      <c r="AV70" s="712">
        <f t="shared" si="306"/>
        <v>0</v>
      </c>
      <c r="AW70" s="712">
        <f>IF(Sheet1!EL70="FM",BC70,0)</f>
        <v>0</v>
      </c>
      <c r="AX70" s="712">
        <f t="shared" si="307"/>
        <v>0</v>
      </c>
      <c r="AY70" s="712">
        <f>IF(Sheet1!EL70="OTHER",BC70,0)</f>
        <v>0</v>
      </c>
      <c r="AZ70" s="712">
        <f t="shared" si="308"/>
        <v>0</v>
      </c>
      <c r="BA70" s="712">
        <f t="shared" si="309"/>
        <v>0</v>
      </c>
      <c r="BB70" s="712">
        <f t="shared" si="310"/>
        <v>0</v>
      </c>
      <c r="BC70" s="712">
        <f>IF(OR(Sheet1!EL70="FM", Sheet1!EL70="OTHER"),SUM(Sheet1!BG70:'Sheet1'!BI70),0)</f>
        <v>0</v>
      </c>
      <c r="BD70" s="697">
        <f>IF(AND($B70&gt;=$FL70,$B70&lt;=$FM70),MAX(AV70,Sheet1!EE70,0),MAX(AV70-(7/36)*$K70,0))</f>
        <v>0</v>
      </c>
      <c r="BE70" s="712">
        <f t="shared" si="311"/>
        <v>0</v>
      </c>
      <c r="BF70" s="697">
        <f t="shared" si="73"/>
        <v>0</v>
      </c>
      <c r="BG70" s="697">
        <f>IF(AND($O70&gt;0,Sheet1!EI70=1),(1-($O70-Sheet1!$L70)/$O70)*BB70,0)</f>
        <v>0</v>
      </c>
      <c r="BH70" s="697">
        <f>IF(AND(Sheet1!$L70=0,Sheet1!$L69=0, Calculation!BA70&lt;Sheet1!$EE70-0.1,Sheet1!$EE70=Sheet1!$EE69,Sheet1!$EE70=Sheet1!$EE71),Sheet1!$EE70,BB70-BG70)</f>
        <v>0</v>
      </c>
      <c r="BI70" s="712"/>
      <c r="BJ70" s="712"/>
      <c r="BK70" s="712">
        <f t="shared" si="312"/>
        <v>0</v>
      </c>
      <c r="BL70" s="712"/>
      <c r="BM70" s="712">
        <f ca="1">IF(B70&gt;Summary!$A$1,#N/A,BK70*MGtoAF)</f>
        <v>0</v>
      </c>
      <c r="BN70" s="712">
        <f>Sheet1!BC70+Sheet1!BD70+Sheet1!BE70+Sheet1!BF70-BW70-BX70</f>
        <v>2.52</v>
      </c>
      <c r="BO70" s="712">
        <f t="shared" si="313"/>
        <v>2.5346633416463424</v>
      </c>
      <c r="BP70" s="712">
        <f>IF(Sheet1!EM70="FM",BX70,0)</f>
        <v>0</v>
      </c>
      <c r="BQ70" s="712">
        <f t="shared" si="314"/>
        <v>0</v>
      </c>
      <c r="BR70" s="712">
        <f>IF(Sheet1!EM70="OTHER",BX70,0)</f>
        <v>0</v>
      </c>
      <c r="BS70" s="712">
        <f t="shared" si="315"/>
        <v>0</v>
      </c>
      <c r="BT70" s="712">
        <f t="shared" si="316"/>
        <v>0</v>
      </c>
      <c r="BU70" s="712">
        <f t="shared" si="317"/>
        <v>2.52</v>
      </c>
      <c r="BV70" s="712">
        <f t="shared" si="318"/>
        <v>2.5346633416463424</v>
      </c>
      <c r="BW70" s="712">
        <f>IF(Sheet1!EM70="CWA",SUM(Sheet1!BC70:'Sheet1'!BF70),0)</f>
        <v>0</v>
      </c>
      <c r="BX70" s="712">
        <f>IF(OR(Sheet1!EM70="FM", Sheet1!EM70="OTHER"),SUM(Sheet1!BC70:'Sheet1'!BF70),0)</f>
        <v>0</v>
      </c>
      <c r="BY70" s="697">
        <f>IF(AND($B70&gt;=$FL70,$B70&lt;=$FM70),MAX(BV70,Sheet1!EF70,0),MAX(BV70-(7/36)*$K70,0))</f>
        <v>0</v>
      </c>
      <c r="BZ70" s="712">
        <f t="shared" si="319"/>
        <v>0</v>
      </c>
      <c r="CA70" s="697">
        <f t="shared" si="74"/>
        <v>2.5346633416463424</v>
      </c>
      <c r="CB70" s="697">
        <f>IF(AND($O70&gt;0,Sheet1!EJ70=1),(1-($O70-Sheet1!$L70)/$O70)*BV70,0)</f>
        <v>0</v>
      </c>
      <c r="CC70" s="697">
        <f>IF(AND(Sheet1!$L70=0,Sheet1!$L69=0, Calculation!BU70&lt;Sheet1!EF70-0.1,Sheet1!EF70=Sheet1!EF69,Sheet1!EF70=Sheet1!EF71),Sheet1!EF70,BV70-CB70)</f>
        <v>2.5346633416463424</v>
      </c>
      <c r="CD70" s="697"/>
      <c r="CE70" s="712"/>
      <c r="CF70" s="712">
        <f t="shared" si="320"/>
        <v>0</v>
      </c>
      <c r="CG70" s="712"/>
      <c r="CH70" s="712">
        <f ca="1">IF(B70&gt;Summary!$A$1,#N/A,CF70*MGtoAF)</f>
        <v>0</v>
      </c>
      <c r="CI70" s="712">
        <f>Sheet1!BK70+Sheet1!BL70+Sheet1!BM70-Sheet1!EN70-CQ70</f>
        <v>6.04</v>
      </c>
      <c r="CJ70" s="712">
        <f t="shared" si="321"/>
        <v>6.0751454696602805</v>
      </c>
      <c r="CK70" s="712">
        <f>IF(Sheet1!EN70="FM",CQ70,0)</f>
        <v>0</v>
      </c>
      <c r="CL70" s="712">
        <f t="shared" si="322"/>
        <v>0</v>
      </c>
      <c r="CM70" s="712">
        <f>IF(Sheet1!EN70="OTHER",CQ70,0)</f>
        <v>0</v>
      </c>
      <c r="CN70" s="712">
        <f t="shared" si="323"/>
        <v>0</v>
      </c>
      <c r="CO70" s="712">
        <f t="shared" si="324"/>
        <v>6.04</v>
      </c>
      <c r="CP70" s="712">
        <f t="shared" si="325"/>
        <v>6.0751454696602805</v>
      </c>
      <c r="CQ70" s="712">
        <f>IF(OR(Sheet1!EN70="FM", Sheet1!EN70="OTHER"),SUM(Sheet1!BK70:'Sheet1'!BM70),0)</f>
        <v>0</v>
      </c>
      <c r="CR70" s="697">
        <f>IF(AND($B70&gt;=$FL70,$B70&lt;=$FM70),MAX($CJ70,Sheet1!EG70,0),MAX($CJ70-(7/36)*$K70,0))</f>
        <v>0</v>
      </c>
      <c r="CS70" s="712">
        <f t="shared" si="326"/>
        <v>0</v>
      </c>
      <c r="CT70" s="697">
        <f t="shared" si="75"/>
        <v>6.0751454696602805</v>
      </c>
      <c r="CU70" s="697">
        <f>IF(AND($O70&gt;0,Sheet1!EK70=1),(1-($O70-Sheet1!$L70)/$O70)*CP70,0)</f>
        <v>0</v>
      </c>
      <c r="CV70" s="697">
        <f>IF(AND(Sheet1!$L70=0,Sheet1!$L69=0, Calculation!CO70&lt;Sheet1!$EG70-0.1,Sheet1!$EG70=Sheet1!$EG69,Sheet1!$EG70=Sheet1!$EG71),Sheet1!$EG70,CP70-CU70)</f>
        <v>6.0751454696602805</v>
      </c>
      <c r="CW70" s="697">
        <f t="shared" si="33"/>
        <v>0</v>
      </c>
      <c r="CX70" s="712">
        <f t="shared" si="87"/>
        <v>8.56</v>
      </c>
      <c r="CY70" s="712">
        <f t="shared" si="327"/>
        <v>0</v>
      </c>
      <c r="CZ70" s="712">
        <f t="shared" si="328"/>
        <v>8.6098088113066229</v>
      </c>
      <c r="DA70" s="712">
        <f ca="1">IF(B70&gt;Summary!$A$1,#N/A,CY70*MGtoAF)</f>
        <v>0</v>
      </c>
      <c r="DB70" s="712">
        <f t="shared" si="329"/>
        <v>8.56</v>
      </c>
      <c r="DC70" s="712">
        <f t="shared" si="330"/>
        <v>24.060000000000002</v>
      </c>
      <c r="DD70" s="712">
        <f>Sheet1!AB70-DC70</f>
        <v>0.1400000000043633</v>
      </c>
      <c r="DE70" s="712">
        <f t="shared" si="331"/>
        <v>5.8187863675961465E-3</v>
      </c>
      <c r="DF70" s="712">
        <f>(VLOOKUP(Sheet1!CY70,hhdcap_wcm,4)-(((VLOOKUP(Sheet1!CY70,hhdcap_wcm,3)-Sheet1!CY70)/(VLOOKUP(Sheet1!CY70,hhdcap_wcm,3)-VLOOKUP(Sheet1!CY70,hhdcap_wcm,1)))*(VLOOKUP(Sheet1!CY70,hhdcap_wcm,4)-VLOOKUP(Sheet1!CY70,hhdcap_wcm,2))))</f>
        <v>1773.8800000025522</v>
      </c>
      <c r="DG70" s="712">
        <f t="shared" si="332"/>
        <v>-98.820000000082928</v>
      </c>
      <c r="DH70" s="712">
        <f t="shared" si="333"/>
        <v>-49.833585476592496</v>
      </c>
      <c r="DI70" s="712">
        <f>Sheet1!DW70*AFtoMG</f>
        <v>0</v>
      </c>
      <c r="DJ70" s="712">
        <f>Sheet1!DX70*AFtoMG</f>
        <v>0</v>
      </c>
      <c r="DK70" s="712">
        <f>Sheet1!DY70*AFtoMG</f>
        <v>0</v>
      </c>
      <c r="DL70" s="712">
        <f>Sheet1!DZ70*AFtoMG</f>
        <v>0</v>
      </c>
      <c r="DM70" s="712">
        <f t="shared" si="334"/>
        <v>0</v>
      </c>
      <c r="DN70" s="712">
        <f t="shared" si="335"/>
        <v>0</v>
      </c>
      <c r="DO70" s="712">
        <f t="shared" si="336"/>
        <v>0</v>
      </c>
      <c r="DP70" s="712">
        <f t="shared" si="337"/>
        <v>0</v>
      </c>
      <c r="DQ70" s="712"/>
      <c r="DR70" s="697">
        <f>IF(OR(B70&lt;FL70,B70&gt;FM70),(MIN(AV70+BO70+CJ70+MAX(Sheet1!AA70+AG70-73,0),K70)),0)</f>
        <v>8.6098088113066229</v>
      </c>
      <c r="DS70" s="712"/>
      <c r="DT70" s="712">
        <f t="shared" si="338"/>
        <v>8.6098088113066229</v>
      </c>
      <c r="DU70" s="712"/>
      <c r="DV70" s="712">
        <f>Sheet1!ED70+Sheet1!EE70+Sheet1!EF70+Sheet1!EG70</f>
        <v>8.5</v>
      </c>
      <c r="DW70" s="712"/>
      <c r="DX70" s="697">
        <f t="shared" si="77"/>
        <v>0</v>
      </c>
      <c r="DY70" s="712">
        <f>IF(Sheet1!FN70=1,SUM('Calculations II'!AT70:BA70)+'Calculations II'!BC70+Sheet1!BU70+'Calculations II'!BE70+AF70,SUM('Calculations II'!AT70:BA70)+'Calculations II'!BC70+Sheet1!BU70+'Calculations II'!BE70+AF70)</f>
        <v>44.588608000000001</v>
      </c>
      <c r="DZ70" s="712">
        <f>Sheet1!AA70+Sheet1!AB70+'Calculations II'!BC70</f>
        <v>54.100000000013097</v>
      </c>
      <c r="EA70" s="712"/>
      <c r="EB70" s="712"/>
      <c r="EC70" s="712">
        <f t="shared" si="339"/>
        <v>40599</v>
      </c>
      <c r="ED70" s="712">
        <f t="shared" si="340"/>
        <v>0</v>
      </c>
      <c r="EE70" s="712">
        <f t="shared" si="341"/>
        <v>0</v>
      </c>
      <c r="EF70" s="712">
        <f>-(VLOOKUP(Sheet1!BQ70,Lookup!$B$4:$J$236,2)-VLOOKUP(Sheet1!BQ69,Lookup!$B$4:$J$236,2))/1000000</f>
        <v>1.6234999999999999</v>
      </c>
      <c r="EG70" s="712">
        <f>-(VLOOKUP(Sheet1!BR70,Lookup!$B$4:$J$236,3)-VLOOKUP(Sheet1!BR69,Lookup!$B$4:$J$236,3))/1000000</f>
        <v>1.62</v>
      </c>
      <c r="EH70" s="712">
        <f>-(VLOOKUP(Sheet1!BS70,Lookup!$B$4:$J$236,4)-VLOOKUP(Sheet1!BS69,Lookup!$B$4:$J$236,4))/1000000</f>
        <v>0</v>
      </c>
      <c r="EI70" s="697">
        <f t="shared" si="88"/>
        <v>3.2435</v>
      </c>
      <c r="EJ70" s="712"/>
      <c r="EK70" s="712"/>
      <c r="EL70" s="712"/>
      <c r="EM70" s="712"/>
      <c r="EN70" s="712"/>
      <c r="EO70" s="712"/>
      <c r="EP70" s="712"/>
      <c r="EQ70" s="712"/>
      <c r="ER70" s="697">
        <v>0</v>
      </c>
      <c r="ES70" s="712"/>
      <c r="ET70" s="794" t="e">
        <f t="shared" si="342"/>
        <v>#N/A</v>
      </c>
      <c r="EU70" s="794" t="e">
        <f t="shared" si="79"/>
        <v>#VALUE!</v>
      </c>
      <c r="EV70" s="795" t="e">
        <f t="shared" si="48"/>
        <v>#VALUE!</v>
      </c>
      <c r="EW70" s="796" t="s">
        <v>757</v>
      </c>
      <c r="EX70" s="796" t="s">
        <v>757</v>
      </c>
      <c r="EY70" s="794">
        <v>0</v>
      </c>
      <c r="EZ70" s="794" t="e">
        <v>#N/A</v>
      </c>
      <c r="FA70" s="712"/>
      <c r="FB70" s="712"/>
      <c r="FC70" s="712"/>
      <c r="FD70" s="712"/>
      <c r="FE70" s="712">
        <f>O70+Sheet1!CO70</f>
        <v>54.100000000013097</v>
      </c>
      <c r="FF70" s="712">
        <f>IF(Sheet1!AA70+AG70&lt;=Calculation!N70,AG70,Calculation!N70-Sheet1!AA70)</f>
        <v>15.590191188697741</v>
      </c>
      <c r="FG70" s="712">
        <f>(Sheet1!BP70+Sheet1!BO70)/694.4</f>
        <v>1.735599078341014</v>
      </c>
      <c r="FH70" s="712"/>
      <c r="FI70" s="712"/>
      <c r="FJ70" s="712"/>
      <c r="FK70" s="712"/>
      <c r="FL70" s="714">
        <f t="shared" si="89"/>
        <v>40753</v>
      </c>
      <c r="FM70" s="714">
        <f t="shared" si="90"/>
        <v>40851</v>
      </c>
      <c r="FN70" s="712"/>
      <c r="FO70" s="712"/>
      <c r="FP70" s="712"/>
      <c r="FQ70" s="712"/>
      <c r="FR70" s="712"/>
      <c r="FS70" s="725">
        <f t="shared" si="91"/>
        <v>40603</v>
      </c>
      <c r="FT70" s="714">
        <f t="shared" si="92"/>
        <v>40709</v>
      </c>
      <c r="FU70" s="712">
        <f t="shared" si="93"/>
        <v>6518.9048239895692</v>
      </c>
      <c r="FV70" s="714">
        <f t="shared" si="94"/>
        <v>40722</v>
      </c>
      <c r="FW70" s="712">
        <f t="shared" si="95"/>
        <v>3259.4524119947846</v>
      </c>
      <c r="FX70" s="725">
        <f t="shared" si="96"/>
        <v>40851</v>
      </c>
      <c r="FZ70" s="697">
        <f t="shared" si="49"/>
        <v>0</v>
      </c>
      <c r="GA70" s="712" t="str">
        <f t="shared" si="343"/>
        <v/>
      </c>
      <c r="GB70" s="712">
        <f t="shared" si="344"/>
        <v>0</v>
      </c>
      <c r="GC70" s="712" t="str">
        <f t="shared" si="345"/>
        <v/>
      </c>
      <c r="GD70" s="712">
        <f>IF(GA70="P",Lookup!$M$12,IF(GA70="PP",Lookup!$M$13,IF(GA70="PPP",Lookup!$M$14,IF(GA70="T",Lookup!$M$15,IF(GA70="TP",Lookup!$M$16,IF(GA70="TPP",Lookup!$M$17,IF(GA70="TPPP",Lookup!$M$18,0)))))))*FZ70</f>
        <v>0</v>
      </c>
      <c r="GE70" s="712">
        <f t="shared" si="346"/>
        <v>0</v>
      </c>
      <c r="GF70" s="712">
        <f t="shared" si="347"/>
        <v>0</v>
      </c>
      <c r="GG70" s="712">
        <f t="shared" si="348"/>
        <v>0</v>
      </c>
      <c r="GH70" s="712"/>
      <c r="GI70" s="712">
        <f t="shared" si="349"/>
        <v>0</v>
      </c>
      <c r="GJ70" s="712" t="str">
        <f t="shared" si="350"/>
        <v/>
      </c>
      <c r="GK70" s="712">
        <f>IF(GA70="P",Lookup!$N$12,IF(GA70="PP",Lookup!$N$13,IF(GA70="PPP",Lookup!$N$14,IF(GA70="T",Lookup!$N$15,IF(GA70="TP",Lookup!$N$16,IF(GA70="TPP",Lookup!$N$17,IF(GA70="TPPP",Lookup!$N$18,0)))))))*FZ70</f>
        <v>0</v>
      </c>
      <c r="GL70" s="712">
        <f t="shared" si="351"/>
        <v>0</v>
      </c>
      <c r="GM70" s="712">
        <f t="shared" si="352"/>
        <v>0</v>
      </c>
      <c r="GN70" s="712">
        <f t="shared" si="353"/>
        <v>0</v>
      </c>
      <c r="GO70" s="712"/>
      <c r="GP70" s="712">
        <f t="shared" si="354"/>
        <v>0</v>
      </c>
      <c r="GQ70" s="712" t="str">
        <f t="shared" si="355"/>
        <v/>
      </c>
      <c r="GR70" s="712">
        <f>IF(GA70="P",Lookup!$N$12,IF(GA70="PP",Lookup!$N$13,IF(GA70="PPP",Lookup!$N$14,IF(GA70="T",Lookup!$N$15,IF(GA70="TP",Lookup!$N$16,IF(GA70="TPP",Lookup!$N$17,IF(GA70="TPPP",Lookup!$N$18,0)))))))*FZ70</f>
        <v>0</v>
      </c>
      <c r="GS70" s="697">
        <f t="shared" si="83"/>
        <v>0</v>
      </c>
      <c r="GT70" s="712">
        <f t="shared" si="356"/>
        <v>0</v>
      </c>
      <c r="GU70" s="712">
        <f t="shared" si="357"/>
        <v>0</v>
      </c>
      <c r="GV70" s="712"/>
      <c r="GW70" s="712">
        <f t="shared" si="358"/>
        <v>0</v>
      </c>
      <c r="GX70" s="712" t="str">
        <f t="shared" si="359"/>
        <v/>
      </c>
      <c r="GY70" s="712">
        <f>IF(GA70="P",Lookup!$N$12,IF(GA70="PP",Lookup!$N$13,IF(GA70="PPP",Lookup!$N$14,IF(GA70="T",Lookup!$N$15,IF(GA70="TP",Lookup!$N$16,IF(GA70="TPP",Lookup!$N$17,IF(GA70="TPPP",Lookup!$N$18,0)))))))*FZ70</f>
        <v>0</v>
      </c>
      <c r="GZ70" s="697">
        <f t="shared" si="85"/>
        <v>0</v>
      </c>
      <c r="HA70" s="712">
        <f t="shared" si="360"/>
        <v>0</v>
      </c>
      <c r="HB70" s="712">
        <f t="shared" si="361"/>
        <v>0</v>
      </c>
      <c r="HC70" s="712"/>
    </row>
    <row r="71" spans="1:211">
      <c r="A71" s="773" t="s">
        <v>9</v>
      </c>
      <c r="B71" s="708">
        <v>40600</v>
      </c>
      <c r="C71" s="719">
        <v>0.5</v>
      </c>
      <c r="D71" s="675">
        <f t="shared" si="65"/>
        <v>300</v>
      </c>
      <c r="E71" s="675">
        <f t="shared" si="66"/>
        <v>250</v>
      </c>
      <c r="F71" s="675">
        <v>250</v>
      </c>
      <c r="G71" s="712">
        <f>DH71+Sheet1!CV71</f>
        <v>662.67162053933168</v>
      </c>
      <c r="H71" s="712">
        <f t="shared" si="294"/>
        <v>161.38773551662399</v>
      </c>
      <c r="I71" s="711">
        <f>MAX(Sheet1!Z71-AJ71+(Sheet1!CW71-E71)*CFStoMGD,0)</f>
        <v>617.20393952483801</v>
      </c>
      <c r="J71" s="720">
        <f>IF(AND(B71&gt;=Calculation!FS71,B71&lt;=Calculation!FT71),IF(Sheet1!CX71&gt;=Calculation!D71,64.64,0),MAX(Sheet1!Z71-AJ71+(Sheet1!CX71-D71)*CFStoMGD,0))</f>
        <v>202.10067285817132</v>
      </c>
      <c r="K71" s="697">
        <f t="shared" si="67"/>
        <v>64.64</v>
      </c>
      <c r="L71" s="712">
        <f>Sheet1!AA71+Sheet1!AB71-Sheet1!L71+(Sheet1!CW71-F71)*CFStoMGD</f>
        <v>630.58799999999997</v>
      </c>
      <c r="M71" s="712">
        <f t="shared" si="295"/>
        <v>436.91795422695651</v>
      </c>
      <c r="N71" s="712">
        <f>IF(Sheet1!CW71&gt;=F71,MIN(73,MIN(MAX(L71,0),MAX(M71,0))),0)</f>
        <v>73</v>
      </c>
      <c r="O71" s="721">
        <f>Sheet1!AA71+Sheet1!AB71</f>
        <v>50.900000000000006</v>
      </c>
      <c r="P71" s="721">
        <f t="shared" si="296"/>
        <v>78.7423</v>
      </c>
      <c r="Q71" s="712">
        <f>MIN(N71,Sheet1!AA71+AG71)</f>
        <v>45.344060475161989</v>
      </c>
      <c r="R71" s="712">
        <f t="shared" si="297"/>
        <v>5.5559395248380135</v>
      </c>
      <c r="S71" s="721">
        <f>Sheet1!Y71*MGDtoCFS</f>
        <v>45.945899999999995</v>
      </c>
      <c r="T71" s="721">
        <f>Sheet1!Z71*MGDtoCFS</f>
        <v>37.746799999999993</v>
      </c>
      <c r="U71" s="721">
        <f>Sheet1!AA71*MGDtoCFS</f>
        <v>42.2331</v>
      </c>
      <c r="V71" s="721">
        <f>Sheet1!AB71*MGDtoCFS</f>
        <v>36.5092</v>
      </c>
      <c r="W71" s="721">
        <f>Sheet1!L71*MGDtoCFS</f>
        <v>48.204519999999995</v>
      </c>
      <c r="X71" s="697">
        <f t="shared" si="68"/>
        <v>0</v>
      </c>
      <c r="Y71" s="712">
        <f t="shared" si="298"/>
        <v>0</v>
      </c>
      <c r="Z71" s="712">
        <f t="shared" si="299"/>
        <v>0</v>
      </c>
      <c r="AA71" s="712">
        <f t="shared" si="300"/>
        <v>0</v>
      </c>
      <c r="AB71" s="712">
        <f>(VLOOKUP(Sheet1!CY71,hhdcap_wcm,4)-(((VLOOKUP(Sheet1!CY71,hhdcap_wcm,3)-Sheet1!CY71)/(VLOOKUP(Sheet1!CY71,hhdcap_wcm,3)-VLOOKUP(Sheet1!CY71,hhdcap_wcm,1)))*(VLOOKUP(Sheet1!CY71,hhdcap_wcm,4)-VLOOKUP(Sheet1!CY71,hhdcap_wcm,2))))</f>
        <v>1865.3800000026351</v>
      </c>
      <c r="AC71" s="712">
        <f t="shared" si="301"/>
        <v>91.500000000082991</v>
      </c>
      <c r="AD71" s="712">
        <f t="shared" si="70"/>
        <v>0</v>
      </c>
      <c r="AE71" s="712">
        <f t="shared" si="302"/>
        <v>0</v>
      </c>
      <c r="AF71" s="712">
        <f>Sheet1!BA71+Sheet1!BB71+Sheet1!BN71+BT71</f>
        <v>17.7</v>
      </c>
      <c r="AG71" s="712">
        <f t="shared" si="303"/>
        <v>18.044060475161988</v>
      </c>
      <c r="AH71" s="712">
        <f>Sheet1!BA71+BT71</f>
        <v>0</v>
      </c>
      <c r="AI71" s="712">
        <f>Sheet1!BA71+Sheet1!BB71+BT71</f>
        <v>0</v>
      </c>
      <c r="AJ71" s="712">
        <f>IF((Sheet1!AA71+AG71+AX71+AZ71+BQ71+BS71+CL71+CN71)&lt;=N71,AG71+AX71+AZ71+BQ71+BS71+CL71+CN71,N71-Sheet1!AA71)</f>
        <v>18.044060475161988</v>
      </c>
      <c r="AK71" s="712">
        <f>IF(DR71&lt;K71,0,MAX(Sheet1!AA71+AG71-15/36*K71-N71,Sheet1!ED71,0))</f>
        <v>0</v>
      </c>
      <c r="AL71" s="712">
        <f>IF(OR(B71&gt;=FT71,B71&lt;FS71),0,15/36*K71-MAX(0,64.6-(137.6-(Sheet1!AA71+Sheet1!AB71))))</f>
        <v>0</v>
      </c>
      <c r="AM71" s="712">
        <f>Sheet1!CX71-110</f>
        <v>492.82291666666663</v>
      </c>
      <c r="AN71" s="712">
        <f>Sheet1!CW71-265</f>
        <v>930</v>
      </c>
      <c r="AO71" s="712">
        <f t="shared" si="71"/>
        <v>27.655939524838011</v>
      </c>
      <c r="AP71" s="712">
        <f t="shared" si="72"/>
        <v>0</v>
      </c>
      <c r="AQ71" s="712">
        <f t="shared" si="304"/>
        <v>0</v>
      </c>
      <c r="AR71" s="712">
        <f t="shared" si="305"/>
        <v>0</v>
      </c>
      <c r="AS71" s="712"/>
      <c r="AT71" s="712">
        <f ca="1">IF(B71&gt;Summary!$A$1,#N/A,AR71*MGtoAF)</f>
        <v>0</v>
      </c>
      <c r="AU71" s="712">
        <f>Sheet1!BG71+Sheet1!BH71+Sheet1!BI71-BC71</f>
        <v>0</v>
      </c>
      <c r="AV71" s="712">
        <f t="shared" si="306"/>
        <v>0</v>
      </c>
      <c r="AW71" s="712">
        <f>IF(Sheet1!EL71="FM",BC71,0)</f>
        <v>0</v>
      </c>
      <c r="AX71" s="712">
        <f t="shared" si="307"/>
        <v>0</v>
      </c>
      <c r="AY71" s="712">
        <f>IF(Sheet1!EL71="OTHER",BC71,0)</f>
        <v>0</v>
      </c>
      <c r="AZ71" s="712">
        <f t="shared" si="308"/>
        <v>0</v>
      </c>
      <c r="BA71" s="712">
        <f t="shared" si="309"/>
        <v>0</v>
      </c>
      <c r="BB71" s="712">
        <f t="shared" si="310"/>
        <v>0</v>
      </c>
      <c r="BC71" s="712">
        <f>IF(OR(Sheet1!EL71="FM", Sheet1!EL71="OTHER"),SUM(Sheet1!BG71:'Sheet1'!BI71),0)</f>
        <v>0</v>
      </c>
      <c r="BD71" s="697">
        <f>IF(AND($B71&gt;=$FL71,$B71&lt;=$FM71),MAX(AV71,Sheet1!EE71,0),MAX(AV71-(7/36)*$K71,0))</f>
        <v>0</v>
      </c>
      <c r="BE71" s="712">
        <f t="shared" si="311"/>
        <v>0</v>
      </c>
      <c r="BF71" s="697">
        <f t="shared" si="73"/>
        <v>0</v>
      </c>
      <c r="BG71" s="697">
        <f>IF(AND($O71&gt;0,Sheet1!EI71=1),(1-($O71-Sheet1!$L71)/$O71)*BB71,0)</f>
        <v>0</v>
      </c>
      <c r="BH71" s="697">
        <f>IF(AND(Sheet1!$L71=0,Sheet1!$L70=0, Calculation!BA71&lt;Sheet1!$EE71-0.1,Sheet1!$EE71=Sheet1!$EE70,Sheet1!$EE71=Sheet1!$EE72),Sheet1!$EE71,BB71-BG71)</f>
        <v>0</v>
      </c>
      <c r="BI71" s="712"/>
      <c r="BJ71" s="712"/>
      <c r="BK71" s="712">
        <f t="shared" si="312"/>
        <v>0</v>
      </c>
      <c r="BL71" s="712"/>
      <c r="BM71" s="712">
        <f ca="1">IF(B71&gt;Summary!$A$1,#N/A,BK71*MGtoAF)</f>
        <v>0</v>
      </c>
      <c r="BN71" s="712">
        <f>Sheet1!BC71+Sheet1!BD71+Sheet1!BE71+Sheet1!BF71-BW71-BX71</f>
        <v>1.65</v>
      </c>
      <c r="BO71" s="712">
        <f t="shared" si="313"/>
        <v>1.6820734341252701</v>
      </c>
      <c r="BP71" s="712">
        <f>IF(Sheet1!EM71="FM",BX71,0)</f>
        <v>0</v>
      </c>
      <c r="BQ71" s="712">
        <f t="shared" si="314"/>
        <v>0</v>
      </c>
      <c r="BR71" s="712">
        <f>IF(Sheet1!EM71="OTHER",BX71,0)</f>
        <v>0</v>
      </c>
      <c r="BS71" s="712">
        <f t="shared" si="315"/>
        <v>0</v>
      </c>
      <c r="BT71" s="712">
        <f t="shared" si="316"/>
        <v>0</v>
      </c>
      <c r="BU71" s="712">
        <f t="shared" si="317"/>
        <v>1.65</v>
      </c>
      <c r="BV71" s="712">
        <f t="shared" si="318"/>
        <v>1.6820734341252701</v>
      </c>
      <c r="BW71" s="712">
        <f>IF(Sheet1!EM71="CWA",SUM(Sheet1!BC71:'Sheet1'!BF71),0)</f>
        <v>0</v>
      </c>
      <c r="BX71" s="712">
        <f>IF(OR(Sheet1!EM71="FM", Sheet1!EM71="OTHER"),SUM(Sheet1!BC71:'Sheet1'!BF71),0)</f>
        <v>0</v>
      </c>
      <c r="BY71" s="697">
        <f>IF(AND($B71&gt;=$FL71,$B71&lt;=$FM71),MAX(BV71,Sheet1!EF71,0),MAX(BV71-(7/36)*$K71,0))</f>
        <v>0</v>
      </c>
      <c r="BZ71" s="712">
        <f t="shared" si="319"/>
        <v>0</v>
      </c>
      <c r="CA71" s="697">
        <f t="shared" si="74"/>
        <v>1.6820734341252701</v>
      </c>
      <c r="CB71" s="697">
        <f>IF(AND($O71&gt;0,Sheet1!EJ71=1),(1-($O71-Sheet1!$L71)/$O71)*BV71,0)</f>
        <v>0</v>
      </c>
      <c r="CC71" s="697">
        <f>IF(AND(Sheet1!$L71=0,Sheet1!$L70=0, Calculation!BU71&lt;Sheet1!EF71-0.1,Sheet1!EF71=Sheet1!EF70,Sheet1!EF71=Sheet1!EF72),Sheet1!EF71,BV71-CB71)</f>
        <v>1.6820734341252701</v>
      </c>
      <c r="CD71" s="697"/>
      <c r="CE71" s="712"/>
      <c r="CF71" s="712">
        <f t="shared" si="320"/>
        <v>0</v>
      </c>
      <c r="CG71" s="712"/>
      <c r="CH71" s="712">
        <f ca="1">IF(B71&gt;Summary!$A$1,#N/A,CF71*MGtoAF)</f>
        <v>0</v>
      </c>
      <c r="CI71" s="712">
        <f>Sheet1!BK71+Sheet1!BL71+Sheet1!BM71-Sheet1!EN71-CQ71</f>
        <v>3.8</v>
      </c>
      <c r="CJ71" s="712">
        <f t="shared" si="321"/>
        <v>3.8738660907127431</v>
      </c>
      <c r="CK71" s="712">
        <f>IF(Sheet1!EN71="FM",CQ71,0)</f>
        <v>0</v>
      </c>
      <c r="CL71" s="712">
        <f t="shared" si="322"/>
        <v>0</v>
      </c>
      <c r="CM71" s="712">
        <f>IF(Sheet1!EN71="OTHER",CQ71,0)</f>
        <v>0</v>
      </c>
      <c r="CN71" s="712">
        <f t="shared" si="323"/>
        <v>0</v>
      </c>
      <c r="CO71" s="712">
        <f t="shared" si="324"/>
        <v>3.8</v>
      </c>
      <c r="CP71" s="712">
        <f t="shared" si="325"/>
        <v>3.8738660907127431</v>
      </c>
      <c r="CQ71" s="712">
        <f>IF(OR(Sheet1!EN71="FM", Sheet1!EN71="OTHER"),SUM(Sheet1!BK71:'Sheet1'!BM71),0)</f>
        <v>0</v>
      </c>
      <c r="CR71" s="697">
        <f>IF(AND($B71&gt;=$FL71,$B71&lt;=$FM71),MAX($CJ71,Sheet1!EG71,0),MAX($CJ71-(7/36)*$K71,0))</f>
        <v>0</v>
      </c>
      <c r="CS71" s="712">
        <f t="shared" si="326"/>
        <v>0</v>
      </c>
      <c r="CT71" s="697">
        <f t="shared" si="75"/>
        <v>3.8738660907127431</v>
      </c>
      <c r="CU71" s="697">
        <f>IF(AND($O71&gt;0,Sheet1!EK71=1),(1-($O71-Sheet1!$L71)/$O71)*CP71,0)</f>
        <v>0</v>
      </c>
      <c r="CV71" s="697">
        <f>IF(AND(Sheet1!$L71=0,Sheet1!$L70=0, Calculation!CO71&lt;Sheet1!$EG71-0.1,Sheet1!$EG71=Sheet1!$EG70,Sheet1!$EG71=Sheet1!$EG72),Sheet1!$EG71,CP71-CU71)</f>
        <v>3.8738660907127431</v>
      </c>
      <c r="CW71" s="697">
        <f t="shared" si="33"/>
        <v>0</v>
      </c>
      <c r="CX71" s="712">
        <f t="shared" si="87"/>
        <v>5.4499999999999993</v>
      </c>
      <c r="CY71" s="712">
        <f t="shared" si="327"/>
        <v>0</v>
      </c>
      <c r="CZ71" s="712">
        <f t="shared" si="328"/>
        <v>5.5559395248380135</v>
      </c>
      <c r="DA71" s="712">
        <f ca="1">IF(B71&gt;Summary!$A$1,#N/A,CY71*MGtoAF)</f>
        <v>0</v>
      </c>
      <c r="DB71" s="712">
        <f t="shared" si="329"/>
        <v>5.4499999999999993</v>
      </c>
      <c r="DC71" s="712">
        <f t="shared" si="330"/>
        <v>23.15</v>
      </c>
      <c r="DD71" s="712">
        <f>Sheet1!AB71-DC71</f>
        <v>0.45000000000000284</v>
      </c>
      <c r="DE71" s="712">
        <f t="shared" si="331"/>
        <v>1.9438444924406172E-2</v>
      </c>
      <c r="DF71" s="712">
        <f>(VLOOKUP(Sheet1!CY71,hhdcap_wcm,4)-(((VLOOKUP(Sheet1!CY71,hhdcap_wcm,3)-Sheet1!CY71)/(VLOOKUP(Sheet1!CY71,hhdcap_wcm,3)-VLOOKUP(Sheet1!CY71,hhdcap_wcm,1)))*(VLOOKUP(Sheet1!CY71,hhdcap_wcm,4)-VLOOKUP(Sheet1!CY71,hhdcap_wcm,2))))</f>
        <v>1865.3800000026351</v>
      </c>
      <c r="DG71" s="712">
        <f t="shared" si="332"/>
        <v>91.500000000082991</v>
      </c>
      <c r="DH71" s="712">
        <f t="shared" si="333"/>
        <v>46.142208774625807</v>
      </c>
      <c r="DI71" s="712">
        <f>Sheet1!DW71*AFtoMG</f>
        <v>0</v>
      </c>
      <c r="DJ71" s="712">
        <f>Sheet1!DX71*AFtoMG</f>
        <v>0</v>
      </c>
      <c r="DK71" s="712">
        <f>Sheet1!DY71*AFtoMG</f>
        <v>0</v>
      </c>
      <c r="DL71" s="712">
        <f>Sheet1!DZ71*AFtoMG</f>
        <v>0</v>
      </c>
      <c r="DM71" s="712">
        <f t="shared" si="334"/>
        <v>0</v>
      </c>
      <c r="DN71" s="712">
        <f t="shared" si="335"/>
        <v>0</v>
      </c>
      <c r="DO71" s="712">
        <f t="shared" si="336"/>
        <v>0</v>
      </c>
      <c r="DP71" s="712">
        <f t="shared" si="337"/>
        <v>0</v>
      </c>
      <c r="DQ71" s="712"/>
      <c r="DR71" s="697">
        <f>IF(OR(B71&lt;FL71,B71&gt;FM71),(MIN(AV71+BO71+CJ71+MAX(Sheet1!AA71+AG71-73,0),K71)),0)</f>
        <v>5.5559395248380135</v>
      </c>
      <c r="DS71" s="712"/>
      <c r="DT71" s="712">
        <f t="shared" si="338"/>
        <v>5.5559395248380135</v>
      </c>
      <c r="DU71" s="712"/>
      <c r="DV71" s="712">
        <f>Sheet1!ED71+Sheet1!EE71+Sheet1!EF71+Sheet1!EG71</f>
        <v>8.5</v>
      </c>
      <c r="DW71" s="712"/>
      <c r="DX71" s="697">
        <f t="shared" si="77"/>
        <v>0</v>
      </c>
      <c r="DY71" s="712">
        <f>IF(Sheet1!FN71=1,SUM('Calculations II'!AT71:BA71)+'Calculations II'!BC71+Sheet1!BU71+'Calculations II'!BE71+AF71,SUM('Calculations II'!AT71:BA71)+'Calculations II'!BC71+Sheet1!BU71+'Calculations II'!BE71+AF71)</f>
        <v>46.280287999999999</v>
      </c>
      <c r="DZ71" s="712">
        <f>Sheet1!AA71+Sheet1!AB71+'Calculations II'!BC71</f>
        <v>50.900000000000006</v>
      </c>
      <c r="EA71" s="712"/>
      <c r="EB71" s="712"/>
      <c r="EC71" s="712">
        <f t="shared" si="339"/>
        <v>40600</v>
      </c>
      <c r="ED71" s="712">
        <f t="shared" si="340"/>
        <v>0</v>
      </c>
      <c r="EE71" s="712">
        <f t="shared" si="341"/>
        <v>0</v>
      </c>
      <c r="EF71" s="712">
        <f>-(VLOOKUP(Sheet1!BQ71,Lookup!$B$4:$J$236,2)-VLOOKUP(Sheet1!BQ70,Lookup!$B$4:$J$236,2))/1000000</f>
        <v>2.1469999999999998</v>
      </c>
      <c r="EG71" s="712">
        <f>-(VLOOKUP(Sheet1!BR71,Lookup!$B$4:$J$236,3)-VLOOKUP(Sheet1!BR70,Lookup!$B$4:$J$236,3))/1000000</f>
        <v>1.873</v>
      </c>
      <c r="EH71" s="712">
        <f>-(VLOOKUP(Sheet1!BS71,Lookup!$B$4:$J$236,4)-VLOOKUP(Sheet1!BS70,Lookup!$B$4:$J$236,4))/1000000</f>
        <v>0</v>
      </c>
      <c r="EI71" s="697">
        <f t="shared" si="88"/>
        <v>4.0199999999999996</v>
      </c>
      <c r="EJ71" s="712"/>
      <c r="EK71" s="712"/>
      <c r="EL71" s="712"/>
      <c r="EM71" s="712"/>
      <c r="EN71" s="712"/>
      <c r="EO71" s="712"/>
      <c r="EP71" s="712"/>
      <c r="EQ71" s="712"/>
      <c r="ER71" s="697">
        <v>0</v>
      </c>
      <c r="ES71" s="712"/>
      <c r="ET71" s="794" t="e">
        <f t="shared" si="342"/>
        <v>#N/A</v>
      </c>
      <c r="EU71" s="794" t="e">
        <f t="shared" si="79"/>
        <v>#VALUE!</v>
      </c>
      <c r="EV71" s="795" t="e">
        <f t="shared" si="48"/>
        <v>#VALUE!</v>
      </c>
      <c r="EW71" s="796" t="s">
        <v>757</v>
      </c>
      <c r="EX71" s="796" t="s">
        <v>757</v>
      </c>
      <c r="EY71" s="794">
        <v>0</v>
      </c>
      <c r="EZ71" s="794" t="e">
        <v>#N/A</v>
      </c>
      <c r="FA71" s="712"/>
      <c r="FB71" s="712"/>
      <c r="FC71" s="712"/>
      <c r="FD71" s="712"/>
      <c r="FE71" s="712">
        <f>O71+Sheet1!CO71</f>
        <v>50.900000000000006</v>
      </c>
      <c r="FF71" s="712">
        <f>IF(Sheet1!AA71+AG71&lt;=Calculation!N71,AG71,Calculation!N71-Sheet1!AA71)</f>
        <v>18.044060475161988</v>
      </c>
      <c r="FG71" s="712">
        <f>(Sheet1!BP71+Sheet1!BO71)/694.4</f>
        <v>2.2883064516129035</v>
      </c>
      <c r="FH71" s="712"/>
      <c r="FI71" s="712"/>
      <c r="FJ71" s="712"/>
      <c r="FK71" s="712"/>
      <c r="FL71" s="714">
        <f t="shared" si="89"/>
        <v>40753</v>
      </c>
      <c r="FM71" s="714">
        <f t="shared" si="90"/>
        <v>40851</v>
      </c>
      <c r="FN71" s="712"/>
      <c r="FO71" s="712"/>
      <c r="FP71" s="712"/>
      <c r="FQ71" s="712"/>
      <c r="FR71" s="712"/>
      <c r="FS71" s="725">
        <f t="shared" si="91"/>
        <v>40603</v>
      </c>
      <c r="FT71" s="714">
        <f t="shared" si="92"/>
        <v>40709</v>
      </c>
      <c r="FU71" s="712">
        <f t="shared" si="93"/>
        <v>6518.9048239895692</v>
      </c>
      <c r="FV71" s="714">
        <f t="shared" si="94"/>
        <v>40722</v>
      </c>
      <c r="FW71" s="712">
        <f t="shared" si="95"/>
        <v>3259.4524119947846</v>
      </c>
      <c r="FX71" s="725">
        <f t="shared" si="96"/>
        <v>40851</v>
      </c>
      <c r="FZ71" s="697">
        <f t="shared" si="49"/>
        <v>0</v>
      </c>
      <c r="GA71" s="712" t="str">
        <f t="shared" si="343"/>
        <v/>
      </c>
      <c r="GB71" s="712">
        <f t="shared" si="344"/>
        <v>0</v>
      </c>
      <c r="GC71" s="712" t="str">
        <f t="shared" si="345"/>
        <v/>
      </c>
      <c r="GD71" s="712">
        <f>IF(GA71="P",Lookup!$M$12,IF(GA71="PP",Lookup!$M$13,IF(GA71="PPP",Lookup!$M$14,IF(GA71="T",Lookup!$M$15,IF(GA71="TP",Lookup!$M$16,IF(GA71="TPP",Lookup!$M$17,IF(GA71="TPPP",Lookup!$M$18,0)))))))*FZ71</f>
        <v>0</v>
      </c>
      <c r="GE71" s="712">
        <f t="shared" si="346"/>
        <v>0</v>
      </c>
      <c r="GF71" s="712">
        <f t="shared" si="347"/>
        <v>0</v>
      </c>
      <c r="GG71" s="712">
        <f t="shared" si="348"/>
        <v>0</v>
      </c>
      <c r="GH71" s="712"/>
      <c r="GI71" s="712">
        <f t="shared" si="349"/>
        <v>0</v>
      </c>
      <c r="GJ71" s="712" t="str">
        <f t="shared" si="350"/>
        <v/>
      </c>
      <c r="GK71" s="712">
        <f>IF(GA71="P",Lookup!$N$12,IF(GA71="PP",Lookup!$N$13,IF(GA71="PPP",Lookup!$N$14,IF(GA71="T",Lookup!$N$15,IF(GA71="TP",Lookup!$N$16,IF(GA71="TPP",Lookup!$N$17,IF(GA71="TPPP",Lookup!$N$18,0)))))))*FZ71</f>
        <v>0</v>
      </c>
      <c r="GL71" s="712">
        <f t="shared" si="351"/>
        <v>0</v>
      </c>
      <c r="GM71" s="712">
        <f t="shared" si="352"/>
        <v>0</v>
      </c>
      <c r="GN71" s="712">
        <f t="shared" si="353"/>
        <v>0</v>
      </c>
      <c r="GO71" s="712"/>
      <c r="GP71" s="712">
        <f t="shared" si="354"/>
        <v>0</v>
      </c>
      <c r="GQ71" s="712" t="str">
        <f t="shared" si="355"/>
        <v/>
      </c>
      <c r="GR71" s="712">
        <f>IF(GA71="P",Lookup!$N$12,IF(GA71="PP",Lookup!$N$13,IF(GA71="PPP",Lookup!$N$14,IF(GA71="T",Lookup!$N$15,IF(GA71="TP",Lookup!$N$16,IF(GA71="TPP",Lookup!$N$17,IF(GA71="TPPP",Lookup!$N$18,0)))))))*FZ71</f>
        <v>0</v>
      </c>
      <c r="GS71" s="697">
        <f t="shared" si="83"/>
        <v>0</v>
      </c>
      <c r="GT71" s="712">
        <f t="shared" si="356"/>
        <v>0</v>
      </c>
      <c r="GU71" s="712">
        <f t="shared" si="357"/>
        <v>0</v>
      </c>
      <c r="GV71" s="712"/>
      <c r="GW71" s="712">
        <f t="shared" si="358"/>
        <v>0</v>
      </c>
      <c r="GX71" s="712" t="str">
        <f t="shared" si="359"/>
        <v/>
      </c>
      <c r="GY71" s="712">
        <f>IF(GA71="P",Lookup!$N$12,IF(GA71="PP",Lookup!$N$13,IF(GA71="PPP",Lookup!$N$14,IF(GA71="T",Lookup!$N$15,IF(GA71="TP",Lookup!$N$16,IF(GA71="TPP",Lookup!$N$17,IF(GA71="TPPP",Lookup!$N$18,0)))))))*FZ71</f>
        <v>0</v>
      </c>
      <c r="GZ71" s="697">
        <f t="shared" si="85"/>
        <v>0</v>
      </c>
      <c r="HA71" s="712">
        <f t="shared" si="360"/>
        <v>0</v>
      </c>
      <c r="HB71" s="712">
        <f t="shared" si="361"/>
        <v>0</v>
      </c>
      <c r="HC71" s="712"/>
    </row>
    <row r="72" spans="1:211">
      <c r="A72" s="773" t="s">
        <v>3</v>
      </c>
      <c r="B72" s="708">
        <v>40601</v>
      </c>
      <c r="C72" s="709">
        <v>0.5</v>
      </c>
      <c r="D72" s="675">
        <f t="shared" si="65"/>
        <v>300</v>
      </c>
      <c r="E72" s="675">
        <f t="shared" si="66"/>
        <v>250</v>
      </c>
      <c r="F72" s="710">
        <v>250</v>
      </c>
      <c r="G72" s="712">
        <f>DH72+Sheet1!CV72</f>
        <v>635.19993473931856</v>
      </c>
      <c r="H72" s="712">
        <f t="shared" si="294"/>
        <v>143.63003781549551</v>
      </c>
      <c r="I72" s="711">
        <f>MAX(Sheet1!Z72-AJ72+(Sheet1!CW72-E72)*CFStoMGD,0)</f>
        <v>583.84333333333336</v>
      </c>
      <c r="J72" s="720">
        <f>IF(AND(B72&gt;=Calculation!FS72,B72&lt;=Calculation!FT72),IF(Sheet1!CX72&gt;=Calculation!D72,64.64,0),MAX(Sheet1!Z72-AJ72+(Sheet1!CX72-D72)*CFStoMGD,0))</f>
        <v>245.47986666666668</v>
      </c>
      <c r="K72" s="697">
        <f t="shared" si="67"/>
        <v>64.64</v>
      </c>
      <c r="L72" s="712">
        <f>Sheet1!AA72+Sheet1!AB72-Sheet1!L72+(Sheet1!CW72-F72)*CFStoMGD</f>
        <v>623.31333333333339</v>
      </c>
      <c r="M72" s="712">
        <f t="shared" si="295"/>
        <v>418.80510257180543</v>
      </c>
      <c r="N72" s="712">
        <f>IF(Sheet1!CW72&gt;=F72,MIN(73,MIN(MAX(L72,0),MAX(M72,0))),0)</f>
        <v>73</v>
      </c>
      <c r="O72" s="721">
        <f>Sheet1!AA72+Sheet1!AB72</f>
        <v>43.2</v>
      </c>
      <c r="P72" s="721">
        <f t="shared" si="296"/>
        <v>66.830399999999997</v>
      </c>
      <c r="Q72" s="712">
        <f>MIN(N72,Sheet1!AA72+AG72)</f>
        <v>43.2</v>
      </c>
      <c r="R72" s="712">
        <f t="shared" si="297"/>
        <v>0</v>
      </c>
      <c r="S72" s="721">
        <f>Sheet1!Y72*MGDtoCFS</f>
        <v>33.105799999999995</v>
      </c>
      <c r="T72" s="721">
        <f>Sheet1!Z72*MGDtoCFS</f>
        <v>32.951099999999997</v>
      </c>
      <c r="U72" s="721">
        <f>Sheet1!AA72*MGDtoCFS</f>
        <v>34.498100000000001</v>
      </c>
      <c r="V72" s="721">
        <f>Sheet1!AB72*MGDtoCFS</f>
        <v>32.332299999999996</v>
      </c>
      <c r="W72" s="721">
        <f>Sheet1!L72*MGDtoCFS</f>
        <v>5.15151</v>
      </c>
      <c r="X72" s="697">
        <f t="shared" si="68"/>
        <v>0</v>
      </c>
      <c r="Y72" s="712">
        <f t="shared" si="298"/>
        <v>0</v>
      </c>
      <c r="Z72" s="712">
        <f t="shared" si="299"/>
        <v>0</v>
      </c>
      <c r="AA72" s="712">
        <f t="shared" si="300"/>
        <v>0</v>
      </c>
      <c r="AB72" s="712">
        <f>(VLOOKUP(Sheet1!CY72,hhdcap_wcm,4)-(((VLOOKUP(Sheet1!CY72,hhdcap_wcm,3)-Sheet1!CY72)/(VLOOKUP(Sheet1!CY72,hhdcap_wcm,3)-VLOOKUP(Sheet1!CY72,hhdcap_wcm,1)))*(VLOOKUP(Sheet1!CY72,hhdcap_wcm,4)-VLOOKUP(Sheet1!CY72,hhdcap_wcm,2))))</f>
        <v>1765.4600000024684</v>
      </c>
      <c r="AC72" s="712">
        <f t="shared" si="301"/>
        <v>-99.920000000166738</v>
      </c>
      <c r="AD72" s="712">
        <f t="shared" si="70"/>
        <v>0</v>
      </c>
      <c r="AE72" s="712">
        <f t="shared" si="302"/>
        <v>0</v>
      </c>
      <c r="AF72" s="712">
        <f>Sheet1!BA72+Sheet1!BB72+Sheet1!BN72+BT72</f>
        <v>21.2</v>
      </c>
      <c r="AG72" s="712">
        <f t="shared" si="303"/>
        <v>20.9</v>
      </c>
      <c r="AH72" s="712">
        <f>Sheet1!BA72+BT72</f>
        <v>0</v>
      </c>
      <c r="AI72" s="712">
        <f>Sheet1!BA72+Sheet1!BB72+BT72</f>
        <v>0</v>
      </c>
      <c r="AJ72" s="712">
        <f>IF((Sheet1!AA72+AG72+AX72+AZ72+BQ72+BS72+CL72+CN72)&lt;=N72,AG72+AX72+AZ72+BQ72+BS72+CL72+CN72,N72-Sheet1!AA72)</f>
        <v>20.9</v>
      </c>
      <c r="AK72" s="712">
        <f>IF(DR72&lt;K72,0,MAX(Sheet1!AA72+AG72-15/36*K72-N72,Sheet1!ED72,0))</f>
        <v>0</v>
      </c>
      <c r="AL72" s="712">
        <f>IF(OR(B72&gt;=FT72,B72&lt;FS72),0,15/36*K72-MAX(0,64.6-(137.6-(Sheet1!AA72+Sheet1!AB72))))</f>
        <v>0</v>
      </c>
      <c r="AM72" s="712">
        <f>Sheet1!CX72-110</f>
        <v>569.14583333333337</v>
      </c>
      <c r="AN72" s="712">
        <f>Sheet1!CW72-265</f>
        <v>887.60416666666674</v>
      </c>
      <c r="AO72" s="712">
        <f t="shared" si="71"/>
        <v>29.799999999999997</v>
      </c>
      <c r="AP72" s="712">
        <f t="shared" si="72"/>
        <v>0</v>
      </c>
      <c r="AQ72" s="712">
        <f t="shared" si="304"/>
        <v>0</v>
      </c>
      <c r="AR72" s="712">
        <f t="shared" si="305"/>
        <v>0</v>
      </c>
      <c r="AS72" s="712"/>
      <c r="AT72" s="712">
        <f ca="1">IF(B72&gt;Summary!$A$1,#N/A,AR72*MGtoAF)</f>
        <v>0</v>
      </c>
      <c r="AU72" s="712">
        <f>Sheet1!BG72+Sheet1!BH72+Sheet1!BI72-BC72</f>
        <v>0</v>
      </c>
      <c r="AV72" s="712">
        <f t="shared" si="306"/>
        <v>0</v>
      </c>
      <c r="AW72" s="712">
        <f>IF(Sheet1!EL72="FM",BC72,0)</f>
        <v>0</v>
      </c>
      <c r="AX72" s="712">
        <f t="shared" si="307"/>
        <v>0</v>
      </c>
      <c r="AY72" s="712">
        <f>IF(Sheet1!EL72="OTHER",BC72,0)</f>
        <v>0</v>
      </c>
      <c r="AZ72" s="712">
        <f t="shared" si="308"/>
        <v>0</v>
      </c>
      <c r="BA72" s="712">
        <f t="shared" si="309"/>
        <v>0</v>
      </c>
      <c r="BB72" s="712">
        <f t="shared" si="310"/>
        <v>0</v>
      </c>
      <c r="BC72" s="712">
        <f>IF(OR(Sheet1!EL72="FM", Sheet1!EL72="OTHER"),SUM(Sheet1!BG72:'Sheet1'!BI72),0)</f>
        <v>0</v>
      </c>
      <c r="BD72" s="697">
        <f>IF(AND($B72&gt;=$FL72,$B72&lt;=$FM72),MAX(AV72,Sheet1!EE72,0),MAX(AV72-(7/36)*$K72,0))</f>
        <v>0</v>
      </c>
      <c r="BE72" s="712">
        <f t="shared" si="311"/>
        <v>0</v>
      </c>
      <c r="BF72" s="697">
        <f t="shared" si="73"/>
        <v>0</v>
      </c>
      <c r="BG72" s="697">
        <f>IF(AND($O72&gt;0,Sheet1!EI72=1),(1-($O72-Sheet1!$L72)/$O72)*BB72,0)</f>
        <v>0</v>
      </c>
      <c r="BH72" s="697">
        <f>IF(AND(Sheet1!$L72=0,Sheet1!$L71=0, Calculation!BA72&lt;Sheet1!$EE72-0.1,Sheet1!$EE72=Sheet1!$EE71,Sheet1!$EE72=Sheet1!$EE73),Sheet1!$EE72,BB72-BG72)</f>
        <v>0</v>
      </c>
      <c r="BI72" s="712"/>
      <c r="BJ72" s="712"/>
      <c r="BK72" s="712">
        <f t="shared" si="312"/>
        <v>0</v>
      </c>
      <c r="BL72" s="712"/>
      <c r="BM72" s="712">
        <f ca="1">IF(B72&gt;Summary!$A$1,#N/A,BK72*MGtoAF)</f>
        <v>0</v>
      </c>
      <c r="BN72" s="712">
        <f>Sheet1!BC72+Sheet1!BD72+Sheet1!BE72+Sheet1!BF72-BW72-BX72</f>
        <v>0</v>
      </c>
      <c r="BO72" s="712">
        <f t="shared" si="313"/>
        <v>0</v>
      </c>
      <c r="BP72" s="712">
        <f>IF(Sheet1!EM72="FM",BX72,0)</f>
        <v>0</v>
      </c>
      <c r="BQ72" s="712">
        <f t="shared" si="314"/>
        <v>0</v>
      </c>
      <c r="BR72" s="712">
        <f>IF(Sheet1!EM72="OTHER",BX72,0)</f>
        <v>0</v>
      </c>
      <c r="BS72" s="712">
        <f t="shared" si="315"/>
        <v>0</v>
      </c>
      <c r="BT72" s="712">
        <f t="shared" si="316"/>
        <v>0</v>
      </c>
      <c r="BU72" s="712">
        <f t="shared" si="317"/>
        <v>0</v>
      </c>
      <c r="BV72" s="712">
        <f t="shared" si="318"/>
        <v>0</v>
      </c>
      <c r="BW72" s="712">
        <f>IF(Sheet1!EM72="CWA",SUM(Sheet1!BC72:'Sheet1'!BF72),0)</f>
        <v>0</v>
      </c>
      <c r="BX72" s="712">
        <f>IF(OR(Sheet1!EM72="FM", Sheet1!EM72="OTHER"),SUM(Sheet1!BC72:'Sheet1'!BF72),0)</f>
        <v>0</v>
      </c>
      <c r="BY72" s="697">
        <f>IF(AND($B72&gt;=$FL72,$B72&lt;=$FM72),MAX(BV72,Sheet1!EF72,0),MAX(BV72-(7/36)*$K72,0))</f>
        <v>0</v>
      </c>
      <c r="BZ72" s="712">
        <f t="shared" si="319"/>
        <v>0</v>
      </c>
      <c r="CA72" s="697">
        <f t="shared" si="74"/>
        <v>0</v>
      </c>
      <c r="CB72" s="697">
        <f>IF(AND($O72&gt;0,Sheet1!EJ72=1),(1-($O72-Sheet1!$L72)/$O72)*BV72,0)</f>
        <v>0</v>
      </c>
      <c r="CC72" s="697">
        <f>IF(AND(Sheet1!$L72=0,Sheet1!$L71=0, Calculation!BU72&lt;Sheet1!EF72-0.1,Sheet1!EF72=Sheet1!EF71,Sheet1!EF72=Sheet1!EF73),Sheet1!EF72,BV72-CB72)</f>
        <v>0</v>
      </c>
      <c r="CD72" s="697"/>
      <c r="CE72" s="712"/>
      <c r="CF72" s="712">
        <f t="shared" si="320"/>
        <v>0</v>
      </c>
      <c r="CG72" s="712"/>
      <c r="CH72" s="712">
        <f ca="1">IF(B72&gt;Summary!$A$1,#N/A,CF72*MGtoAF)</f>
        <v>0</v>
      </c>
      <c r="CI72" s="712">
        <f>Sheet1!BK72+Sheet1!BL72+Sheet1!BM72-Sheet1!EN72-CQ72</f>
        <v>0</v>
      </c>
      <c r="CJ72" s="712">
        <f t="shared" si="321"/>
        <v>0</v>
      </c>
      <c r="CK72" s="712">
        <f>IF(Sheet1!EN72="FM",CQ72,0)</f>
        <v>0</v>
      </c>
      <c r="CL72" s="712">
        <f t="shared" si="322"/>
        <v>0</v>
      </c>
      <c r="CM72" s="712">
        <f>IF(Sheet1!EN72="OTHER",CQ72,0)</f>
        <v>0</v>
      </c>
      <c r="CN72" s="712">
        <f t="shared" si="323"/>
        <v>0</v>
      </c>
      <c r="CO72" s="712">
        <f t="shared" si="324"/>
        <v>0</v>
      </c>
      <c r="CP72" s="712">
        <f t="shared" si="325"/>
        <v>0</v>
      </c>
      <c r="CQ72" s="712">
        <f>IF(OR(Sheet1!EN72="FM", Sheet1!EN72="OTHER"),SUM(Sheet1!BK72:'Sheet1'!BM72),0)</f>
        <v>0</v>
      </c>
      <c r="CR72" s="697">
        <f>IF(AND($B72&gt;=$FL72,$B72&lt;=$FM72),MAX($CJ72,Sheet1!EG72,0),MAX($CJ72-(7/36)*$K72,0))</f>
        <v>0</v>
      </c>
      <c r="CS72" s="712">
        <f t="shared" si="326"/>
        <v>0</v>
      </c>
      <c r="CT72" s="697">
        <f t="shared" si="75"/>
        <v>0</v>
      </c>
      <c r="CU72" s="697">
        <f>IF(AND($O72&gt;0,Sheet1!EK72=1),(1-($O72-Sheet1!$L72)/$O72)*CP72,0)</f>
        <v>0</v>
      </c>
      <c r="CV72" s="697">
        <f>IF(AND(Sheet1!$L72=0,Sheet1!$L71=0, Calculation!CO72&lt;Sheet1!$EG72-0.1,Sheet1!$EG72=Sheet1!$EG71,Sheet1!$EG72=Sheet1!$EG73),Sheet1!$EG72,CP72-CU72)</f>
        <v>0</v>
      </c>
      <c r="CW72" s="697">
        <f t="shared" ref="CW72:CW135" si="362">CP72-CV72</f>
        <v>0</v>
      </c>
      <c r="CX72" s="712">
        <f t="shared" si="87"/>
        <v>0</v>
      </c>
      <c r="CY72" s="712">
        <f t="shared" si="327"/>
        <v>0</v>
      </c>
      <c r="CZ72" s="712">
        <f t="shared" si="328"/>
        <v>0</v>
      </c>
      <c r="DA72" s="712">
        <f ca="1">IF(B72&gt;Summary!$A$1,#N/A,CY72*MGtoAF)</f>
        <v>0</v>
      </c>
      <c r="DB72" s="712">
        <f t="shared" si="329"/>
        <v>0</v>
      </c>
      <c r="DC72" s="712">
        <f t="shared" si="330"/>
        <v>21.2</v>
      </c>
      <c r="DD72" s="712">
        <f>Sheet1!AB72-DC72</f>
        <v>-0.30000000000000071</v>
      </c>
      <c r="DE72" s="712">
        <f t="shared" si="331"/>
        <v>-1.4150943396226448E-2</v>
      </c>
      <c r="DF72" s="712">
        <f>(VLOOKUP(Sheet1!CY72,hhdcap_wcm,4)-(((VLOOKUP(Sheet1!CY72,hhdcap_wcm,3)-Sheet1!CY72)/(VLOOKUP(Sheet1!CY72,hhdcap_wcm,3)-VLOOKUP(Sheet1!CY72,hhdcap_wcm,1)))*(VLOOKUP(Sheet1!CY72,hhdcap_wcm,4)-VLOOKUP(Sheet1!CY72,hhdcap_wcm,2))))</f>
        <v>1765.4600000024684</v>
      </c>
      <c r="DG72" s="712">
        <f t="shared" si="332"/>
        <v>-99.920000000166738</v>
      </c>
      <c r="DH72" s="712">
        <f t="shared" si="333"/>
        <v>-50.388300554799152</v>
      </c>
      <c r="DI72" s="712">
        <f>Sheet1!DW72*AFtoMG</f>
        <v>0</v>
      </c>
      <c r="DJ72" s="712">
        <f>Sheet1!DX72*AFtoMG</f>
        <v>0</v>
      </c>
      <c r="DK72" s="712">
        <f>Sheet1!DY72*AFtoMG</f>
        <v>0</v>
      </c>
      <c r="DL72" s="712">
        <f>Sheet1!DZ72*AFtoMG</f>
        <v>0</v>
      </c>
      <c r="DM72" s="712">
        <f t="shared" si="334"/>
        <v>0</v>
      </c>
      <c r="DN72" s="712">
        <f t="shared" si="335"/>
        <v>0</v>
      </c>
      <c r="DO72" s="712">
        <f t="shared" si="336"/>
        <v>0</v>
      </c>
      <c r="DP72" s="712">
        <f t="shared" si="337"/>
        <v>0</v>
      </c>
      <c r="DQ72" s="712"/>
      <c r="DR72" s="697">
        <f>IF(OR(B72&lt;FL72,B72&gt;FM72),(MIN(AV72+BO72+CJ72+MAX(Sheet1!AA72+AG72-73,0),K72)),0)</f>
        <v>0</v>
      </c>
      <c r="DS72" s="712"/>
      <c r="DT72" s="712">
        <f t="shared" si="338"/>
        <v>0</v>
      </c>
      <c r="DU72" s="712"/>
      <c r="DV72" s="712">
        <f>Sheet1!ED72+Sheet1!EE72+Sheet1!EF72+Sheet1!EG72</f>
        <v>8.5</v>
      </c>
      <c r="DW72" s="712"/>
      <c r="DX72" s="697">
        <f t="shared" si="77"/>
        <v>0</v>
      </c>
      <c r="DY72" s="712">
        <f>IF(Sheet1!FN72=1,SUM('Calculations II'!AT72:BA72)+'Calculations II'!BC72+Sheet1!BU72+'Calculations II'!BE72+AF72,SUM('Calculations II'!AT72:BA72)+'Calculations II'!BC72+Sheet1!BU72+'Calculations II'!BE72+AF72)</f>
        <v>45.030208000000002</v>
      </c>
      <c r="DZ72" s="712">
        <f>Sheet1!AA72+Sheet1!AB72+'Calculations II'!BC72</f>
        <v>43.2</v>
      </c>
      <c r="EA72" s="712"/>
      <c r="EB72" s="712"/>
      <c r="EC72" s="712">
        <f t="shared" si="339"/>
        <v>40601</v>
      </c>
      <c r="ED72" s="712">
        <f t="shared" si="340"/>
        <v>0</v>
      </c>
      <c r="EE72" s="712">
        <f t="shared" si="341"/>
        <v>0</v>
      </c>
      <c r="EF72" s="712">
        <f>-(VLOOKUP(Sheet1!BQ72,Lookup!$B$4:$J$236,2)-VLOOKUP(Sheet1!BQ71,Lookup!$B$4:$J$236,2))/1000000</f>
        <v>2.1265999999999998</v>
      </c>
      <c r="EG72" s="712">
        <f>-(VLOOKUP(Sheet1!BR72,Lookup!$B$4:$J$236,3)-VLOOKUP(Sheet1!BR71,Lookup!$B$4:$J$236,3))/1000000</f>
        <v>2.3862000000000001</v>
      </c>
      <c r="EH72" s="712">
        <f>-(VLOOKUP(Sheet1!BS72,Lookup!$B$4:$J$236,4)-VLOOKUP(Sheet1!BS71,Lookup!$B$4:$J$236,4))/1000000</f>
        <v>0</v>
      </c>
      <c r="EI72" s="697">
        <f t="shared" si="88"/>
        <v>4.5128000000000004</v>
      </c>
      <c r="EJ72" s="712"/>
      <c r="EK72" s="712"/>
      <c r="EL72" s="712"/>
      <c r="EM72" s="712"/>
      <c r="EN72" s="712"/>
      <c r="EO72" s="712"/>
      <c r="EP72" s="712"/>
      <c r="EQ72" s="712"/>
      <c r="ER72" s="697">
        <v>0</v>
      </c>
      <c r="ES72" s="712"/>
      <c r="ET72" s="794" t="e">
        <f t="shared" si="342"/>
        <v>#N/A</v>
      </c>
      <c r="EU72" s="794" t="e">
        <f t="shared" ref="EU72:EU135" si="363">MAX((EU71-EY72*1.983),0)</f>
        <v>#VALUE!</v>
      </c>
      <c r="EV72" s="795" t="e">
        <f t="shared" ref="EV72:EV135" si="364">IF(DF72-AE72-EU72-1220&lt;0,0,DF72-AE72-EU72-1220)</f>
        <v>#VALUE!</v>
      </c>
      <c r="EW72" s="796" t="s">
        <v>757</v>
      </c>
      <c r="EX72" s="796" t="s">
        <v>757</v>
      </c>
      <c r="EY72" s="794">
        <v>0</v>
      </c>
      <c r="EZ72" s="794" t="e">
        <v>#N/A</v>
      </c>
      <c r="FA72" s="712"/>
      <c r="FB72" s="712"/>
      <c r="FC72" s="712"/>
      <c r="FD72" s="712"/>
      <c r="FE72" s="712">
        <f>O72+Sheet1!CO72</f>
        <v>43.2</v>
      </c>
      <c r="FF72" s="712">
        <f>IF(Sheet1!AA72+AG72&lt;=Calculation!N72,AG72,Calculation!N72-Sheet1!AA72)</f>
        <v>20.9</v>
      </c>
      <c r="FG72" s="712">
        <f>(Sheet1!BP72+Sheet1!BO72)/694.4</f>
        <v>1.6739631336405532</v>
      </c>
      <c r="FH72" s="712"/>
      <c r="FI72" s="712"/>
      <c r="FJ72" s="712"/>
      <c r="FK72" s="712"/>
      <c r="FL72" s="714">
        <f t="shared" si="89"/>
        <v>40753</v>
      </c>
      <c r="FM72" s="714">
        <f t="shared" si="90"/>
        <v>40851</v>
      </c>
      <c r="FN72" s="712"/>
      <c r="FO72" s="712"/>
      <c r="FP72" s="712"/>
      <c r="FQ72" s="712"/>
      <c r="FR72" s="712"/>
      <c r="FS72" s="725">
        <f t="shared" si="91"/>
        <v>40603</v>
      </c>
      <c r="FT72" s="714">
        <f t="shared" si="92"/>
        <v>40709</v>
      </c>
      <c r="FU72" s="712">
        <f t="shared" si="93"/>
        <v>6518.9048239895692</v>
      </c>
      <c r="FV72" s="714">
        <f t="shared" si="94"/>
        <v>40722</v>
      </c>
      <c r="FW72" s="712">
        <f t="shared" si="95"/>
        <v>3259.4524119947846</v>
      </c>
      <c r="FX72" s="725">
        <f t="shared" si="96"/>
        <v>40851</v>
      </c>
      <c r="FZ72" s="697">
        <f t="shared" ref="FZ72:FZ135" si="365">IF(B72=FT72,AFtoMG*(20000-AE71),GB72+GP72+GI72+GW72)</f>
        <v>0</v>
      </c>
      <c r="GA72" s="712" t="str">
        <f t="shared" si="343"/>
        <v/>
      </c>
      <c r="GB72" s="712">
        <f t="shared" si="344"/>
        <v>0</v>
      </c>
      <c r="GC72" s="712" t="str">
        <f t="shared" si="345"/>
        <v/>
      </c>
      <c r="GD72" s="712">
        <f>IF(GA72="P",Lookup!$M$12,IF(GA72="PP",Lookup!$M$13,IF(GA72="PPP",Lookup!$M$14,IF(GA72="T",Lookup!$M$15,IF(GA72="TP",Lookup!$M$16,IF(GA72="TPP",Lookup!$M$17,IF(GA72="TPPP",Lookup!$M$18,0)))))))*FZ72</f>
        <v>0</v>
      </c>
      <c r="GE72" s="712">
        <f t="shared" si="346"/>
        <v>0</v>
      </c>
      <c r="GF72" s="712">
        <f t="shared" si="347"/>
        <v>0</v>
      </c>
      <c r="GG72" s="712">
        <f t="shared" si="348"/>
        <v>0</v>
      </c>
      <c r="GH72" s="712"/>
      <c r="GI72" s="712">
        <f t="shared" si="349"/>
        <v>0</v>
      </c>
      <c r="GJ72" s="712" t="str">
        <f t="shared" si="350"/>
        <v/>
      </c>
      <c r="GK72" s="712">
        <f>IF(GA72="P",Lookup!$N$12,IF(GA72="PP",Lookup!$N$13,IF(GA72="PPP",Lookup!$N$14,IF(GA72="T",Lookup!$N$15,IF(GA72="TP",Lookup!$N$16,IF(GA72="TPP",Lookup!$N$17,IF(GA72="TPPP",Lookup!$N$18,0)))))))*FZ72</f>
        <v>0</v>
      </c>
      <c r="GL72" s="712">
        <f t="shared" si="351"/>
        <v>0</v>
      </c>
      <c r="GM72" s="712">
        <f t="shared" si="352"/>
        <v>0</v>
      </c>
      <c r="GN72" s="712">
        <f t="shared" si="353"/>
        <v>0</v>
      </c>
      <c r="GO72" s="712"/>
      <c r="GP72" s="712">
        <f t="shared" si="354"/>
        <v>0</v>
      </c>
      <c r="GQ72" s="712" t="str">
        <f t="shared" si="355"/>
        <v/>
      </c>
      <c r="GR72" s="712">
        <f>IF(GA72="P",Lookup!$N$12,IF(GA72="PP",Lookup!$N$13,IF(GA72="PPP",Lookup!$N$14,IF(GA72="T",Lookup!$N$15,IF(GA72="TP",Lookup!$N$16,IF(GA72="TPP",Lookup!$N$17,IF(GA72="TPPP",Lookup!$N$18,0)))))))*FZ72</f>
        <v>0</v>
      </c>
      <c r="GS72" s="697">
        <f t="shared" si="83"/>
        <v>0</v>
      </c>
      <c r="GT72" s="712">
        <f t="shared" si="356"/>
        <v>0</v>
      </c>
      <c r="GU72" s="712">
        <f t="shared" si="357"/>
        <v>0</v>
      </c>
      <c r="GV72" s="712"/>
      <c r="GW72" s="712">
        <f t="shared" si="358"/>
        <v>0</v>
      </c>
      <c r="GX72" s="712" t="str">
        <f t="shared" si="359"/>
        <v/>
      </c>
      <c r="GY72" s="712">
        <f>IF(GA72="P",Lookup!$N$12,IF(GA72="PP",Lookup!$N$13,IF(GA72="PPP",Lookup!$N$14,IF(GA72="T",Lookup!$N$15,IF(GA72="TP",Lookup!$N$16,IF(GA72="TPP",Lookup!$N$17,IF(GA72="TPPP",Lookup!$N$18,0)))))))*FZ72</f>
        <v>0</v>
      </c>
      <c r="GZ72" s="697">
        <f t="shared" si="85"/>
        <v>0</v>
      </c>
      <c r="HA72" s="712">
        <f t="shared" si="360"/>
        <v>0</v>
      </c>
      <c r="HB72" s="712">
        <f t="shared" si="361"/>
        <v>0</v>
      </c>
      <c r="HC72" s="712"/>
    </row>
    <row r="73" spans="1:211">
      <c r="A73" s="773" t="s">
        <v>4</v>
      </c>
      <c r="B73" s="708">
        <v>40602</v>
      </c>
      <c r="C73" s="719">
        <v>0.5</v>
      </c>
      <c r="D73" s="675">
        <f t="shared" ref="D73:D136" si="366">IF(AND(B73&gt;=DATE($A$1,7,15),B73&lt;=DATE($A$1,9,15)),200,300)</f>
        <v>300</v>
      </c>
      <c r="E73" s="675">
        <f t="shared" ref="E73:E136" si="367">IF(AND(B73&gt;=DATE($A$1,7,15),B73&lt;=DATE($A$1,9,15)),400,250)</f>
        <v>250</v>
      </c>
      <c r="F73" s="710">
        <v>250</v>
      </c>
      <c r="G73" s="712">
        <f>DH73+Sheet1!CV73</f>
        <v>736.93509536943691</v>
      </c>
      <c r="H73" s="712">
        <f t="shared" si="294"/>
        <v>209.39164564680402</v>
      </c>
      <c r="I73" s="711">
        <f>MAX(Sheet1!Z73-AJ73+(Sheet1!CW73-E73)*CFStoMGD,0)</f>
        <v>875.57200000000284</v>
      </c>
      <c r="J73" s="720">
        <f>IF(AND(B73&gt;=Calculation!FS73,B73&lt;=Calculation!FT73),IF(Sheet1!CX73&gt;=Calculation!D73,64.64,0),MAX(Sheet1!Z73-AJ73+(Sheet1!CX73-D73)*CFStoMGD,0))</f>
        <v>292.76160000000289</v>
      </c>
      <c r="K73" s="697">
        <f t="shared" ref="K73:K136" si="368">MAX(MIN(H73:J73,64.64),0)</f>
        <v>64.64</v>
      </c>
      <c r="L73" s="712">
        <f>Sheet1!AA73+Sheet1!AB73-Sheet1!L73+(Sheet1!CW73-F73)*CFStoMGD</f>
        <v>887.2420000000044</v>
      </c>
      <c r="M73" s="712">
        <f t="shared" si="295"/>
        <v>485.88194255974014</v>
      </c>
      <c r="N73" s="712">
        <f>IF(Sheet1!CW73&gt;=F73,MIN(73,MIN(MAX(L73,0),MAX(M73,0))),0)</f>
        <v>73</v>
      </c>
      <c r="O73" s="721">
        <f>Sheet1!AA73+Sheet1!AB73</f>
        <v>49.020000000004075</v>
      </c>
      <c r="P73" s="721">
        <f t="shared" si="296"/>
        <v>75.833940000006294</v>
      </c>
      <c r="Q73" s="712">
        <f>MIN(N73,Sheet1!AA73+AG73)</f>
        <v>49.020000000004075</v>
      </c>
      <c r="R73" s="712">
        <f t="shared" si="297"/>
        <v>0</v>
      </c>
      <c r="S73" s="721">
        <f>Sheet1!Y73*MGDtoCFS</f>
        <v>40.686099999999996</v>
      </c>
      <c r="T73" s="721">
        <f>Sheet1!Z73*MGDtoCFS</f>
        <v>33.105799999999995</v>
      </c>
      <c r="U73" s="721">
        <f>Sheet1!AA73*MGDtoCFS</f>
        <v>42.264040000010802</v>
      </c>
      <c r="V73" s="721">
        <f>Sheet1!AB73*MGDtoCFS</f>
        <v>33.569899999995499</v>
      </c>
      <c r="W73" s="721">
        <f>Sheet1!L73*MGDtoCFS</f>
        <v>58.244549999999435</v>
      </c>
      <c r="X73" s="697">
        <f t="shared" ref="X73:X136" si="369">AK73+BD73+BY73+CR73</f>
        <v>0</v>
      </c>
      <c r="Y73" s="712">
        <f t="shared" si="298"/>
        <v>0</v>
      </c>
      <c r="Z73" s="712">
        <f t="shared" si="299"/>
        <v>0</v>
      </c>
      <c r="AA73" s="712">
        <f t="shared" si="300"/>
        <v>0</v>
      </c>
      <c r="AB73" s="712">
        <f>(VLOOKUP(Sheet1!CY73,hhdcap_wcm,4)-(((VLOOKUP(Sheet1!CY73,hhdcap_wcm,3)-Sheet1!CY73)/(VLOOKUP(Sheet1!CY73,hhdcap_wcm,3)-VLOOKUP(Sheet1!CY73,hhdcap_wcm,1)))*(VLOOKUP(Sheet1!CY73,hhdcap_wcm,4)-VLOOKUP(Sheet1!CY73,hhdcap_wcm,2))))</f>
        <v>1713.5400000024147</v>
      </c>
      <c r="AC73" s="712">
        <f t="shared" si="301"/>
        <v>-51.920000000053733</v>
      </c>
      <c r="AD73" s="712">
        <f t="shared" ref="AD73:AD136" si="370">(IF(AND(B73&gt;=FS73,B73&lt;FV73),MIN(AR73+BK73+CF73+CY73,FU73),IF(B73=FV73,FW73,IF(AND(B73&gt;FV73,B73&lt;FX73),AR73+BK73+CF73+CY73,IF(B73&gt;=FX73,0,0)))))</f>
        <v>0</v>
      </c>
      <c r="AE73" s="712">
        <f t="shared" si="302"/>
        <v>0</v>
      </c>
      <c r="AF73" s="712">
        <f>Sheet1!BA73+Sheet1!BB73+Sheet1!BN73+BT73</f>
        <v>21.7</v>
      </c>
      <c r="AG73" s="712">
        <f t="shared" si="303"/>
        <v>21.69999999999709</v>
      </c>
      <c r="AH73" s="712">
        <f>Sheet1!BA73+BT73</f>
        <v>0</v>
      </c>
      <c r="AI73" s="712">
        <f>Sheet1!BA73+Sheet1!BB73+BT73</f>
        <v>0</v>
      </c>
      <c r="AJ73" s="712">
        <f>IF((Sheet1!AA73+AG73+AX73+AZ73+BQ73+BS73+CL73+CN73)&lt;=N73,AG73+AX73+AZ73+BQ73+BS73+CL73+CN73,N73-Sheet1!AA73)</f>
        <v>21.69999999999709</v>
      </c>
      <c r="AK73" s="712">
        <f>IF(DR73&lt;K73,0,MAX(Sheet1!AA73+AG73-15/36*K73-N73,Sheet1!ED73,0))</f>
        <v>0</v>
      </c>
      <c r="AL73" s="712">
        <f>IF(OR(B73&gt;=FT73,B73&lt;FS73),0,15/36*K73-MAX(0,64.6-(137.6-(Sheet1!AA73+Sheet1!AB73))))</f>
        <v>0</v>
      </c>
      <c r="AM73" s="712">
        <f>Sheet1!CX73-110</f>
        <v>643.375</v>
      </c>
      <c r="AN73" s="712">
        <f>Sheet1!CW73-265</f>
        <v>1340</v>
      </c>
      <c r="AO73" s="712">
        <f t="shared" ref="AO73:AO136" si="371">N73-Q73</f>
        <v>23.979999999995925</v>
      </c>
      <c r="AP73" s="712">
        <f t="shared" ref="AP73:AP136" si="372">IF(OR(AM73-AN73-(AO73*1.547)&lt;0,AN73&gt;350),0,AM73-AN73-(AO73*1.547))</f>
        <v>0</v>
      </c>
      <c r="AQ73" s="712">
        <f t="shared" si="304"/>
        <v>0</v>
      </c>
      <c r="AR73" s="712">
        <f t="shared" si="305"/>
        <v>0</v>
      </c>
      <c r="AS73" s="712"/>
      <c r="AT73" s="712">
        <f ca="1">IF(B73&gt;Summary!$A$1,#N/A,AR73*MGtoAF)</f>
        <v>0</v>
      </c>
      <c r="AU73" s="712">
        <f>Sheet1!BG73+Sheet1!BH73+Sheet1!BI73-BC73</f>
        <v>0</v>
      </c>
      <c r="AV73" s="712">
        <f t="shared" si="306"/>
        <v>0</v>
      </c>
      <c r="AW73" s="712">
        <f>IF(Sheet1!EL73="FM",BC73,0)</f>
        <v>0</v>
      </c>
      <c r="AX73" s="712">
        <f t="shared" si="307"/>
        <v>0</v>
      </c>
      <c r="AY73" s="712">
        <f>IF(Sheet1!EL73="OTHER",BC73,0)</f>
        <v>0</v>
      </c>
      <c r="AZ73" s="712">
        <f t="shared" si="308"/>
        <v>0</v>
      </c>
      <c r="BA73" s="712">
        <f t="shared" si="309"/>
        <v>0</v>
      </c>
      <c r="BB73" s="712">
        <f t="shared" si="310"/>
        <v>0</v>
      </c>
      <c r="BC73" s="712">
        <f>IF(OR(Sheet1!EL73="FM", Sheet1!EL73="OTHER"),SUM(Sheet1!BG73:'Sheet1'!BI73),0)</f>
        <v>0</v>
      </c>
      <c r="BD73" s="697">
        <f>IF(AND($B73&gt;=$FL73,$B73&lt;=$FM73),MAX(AV73,Sheet1!EE73,0),MAX(AV73-(7/36)*$K73,0))</f>
        <v>0</v>
      </c>
      <c r="BE73" s="712">
        <f t="shared" si="311"/>
        <v>0</v>
      </c>
      <c r="BF73" s="697">
        <f t="shared" ref="BF73:BF136" si="373">MAX(BB73-BD73,0)</f>
        <v>0</v>
      </c>
      <c r="BG73" s="697">
        <f>IF(AND($O73&gt;0,Sheet1!EI73=1),(1-($O73-Sheet1!$L73)/$O73)*BB73,0)</f>
        <v>0</v>
      </c>
      <c r="BH73" s="697">
        <f>IF(AND(Sheet1!$L73=0,Sheet1!$L72=0, Calculation!BA73&lt;Sheet1!$EE73-0.1,Sheet1!$EE73=Sheet1!$EE72,Sheet1!$EE73=Sheet1!$EE74),Sheet1!$EE73,BB73-BG73)</f>
        <v>0</v>
      </c>
      <c r="BI73" s="712"/>
      <c r="BJ73" s="712"/>
      <c r="BK73" s="712">
        <f t="shared" si="312"/>
        <v>0</v>
      </c>
      <c r="BL73" s="712"/>
      <c r="BM73" s="712">
        <f ca="1">IF(B73&gt;Summary!$A$1,#N/A,BK73*MGtoAF)</f>
        <v>0</v>
      </c>
      <c r="BN73" s="712">
        <f>Sheet1!BC73+Sheet1!BD73+Sheet1!BE73+Sheet1!BF73-BW73-BX73</f>
        <v>0</v>
      </c>
      <c r="BO73" s="712">
        <f t="shared" si="313"/>
        <v>0</v>
      </c>
      <c r="BP73" s="712">
        <f>IF(Sheet1!EM73="FM",BX73,0)</f>
        <v>0</v>
      </c>
      <c r="BQ73" s="712">
        <f t="shared" si="314"/>
        <v>0</v>
      </c>
      <c r="BR73" s="712">
        <f>IF(Sheet1!EM73="OTHER",BX73,0)</f>
        <v>0</v>
      </c>
      <c r="BS73" s="712">
        <f t="shared" si="315"/>
        <v>0</v>
      </c>
      <c r="BT73" s="712">
        <f t="shared" si="316"/>
        <v>0</v>
      </c>
      <c r="BU73" s="712">
        <f t="shared" si="317"/>
        <v>0</v>
      </c>
      <c r="BV73" s="712">
        <f t="shared" si="318"/>
        <v>0</v>
      </c>
      <c r="BW73" s="712">
        <f>IF(Sheet1!EM73="CWA",SUM(Sheet1!BC73:'Sheet1'!BF73),0)</f>
        <v>0</v>
      </c>
      <c r="BX73" s="712">
        <f>IF(OR(Sheet1!EM73="FM", Sheet1!EM73="OTHER"),SUM(Sheet1!BC73:'Sheet1'!BF73),0)</f>
        <v>0</v>
      </c>
      <c r="BY73" s="697">
        <f>IF(AND($B73&gt;=$FL73,$B73&lt;=$FM73),MAX(BV73,Sheet1!EF73,0),MAX(BV73-(7/36)*$K73,0))</f>
        <v>0</v>
      </c>
      <c r="BZ73" s="712">
        <f t="shared" si="319"/>
        <v>0</v>
      </c>
      <c r="CA73" s="697">
        <f t="shared" ref="CA73:CA136" si="374">MAX(BV73-BY73,0)</f>
        <v>0</v>
      </c>
      <c r="CB73" s="697">
        <f>IF(AND($O73&gt;0,Sheet1!EJ73=1),(1-($O73-Sheet1!$L73)/$O73)*BV73,0)</f>
        <v>0</v>
      </c>
      <c r="CC73" s="697">
        <f>IF(AND(Sheet1!$L73=0,Sheet1!$L72=0, Calculation!BU73&lt;Sheet1!EF73-0.1,Sheet1!EF73=Sheet1!EF72,Sheet1!EF73=Sheet1!EF74),Sheet1!EF73,BV73-CB73)</f>
        <v>0</v>
      </c>
      <c r="CD73" s="697"/>
      <c r="CE73" s="712"/>
      <c r="CF73" s="712">
        <f t="shared" si="320"/>
        <v>0</v>
      </c>
      <c r="CG73" s="712"/>
      <c r="CH73" s="712">
        <f ca="1">IF(B73&gt;Summary!$A$1,#N/A,CF73*MGtoAF)</f>
        <v>0</v>
      </c>
      <c r="CI73" s="712">
        <f>Sheet1!BK73+Sheet1!BL73+Sheet1!BM73-Sheet1!EN73-CQ73</f>
        <v>0</v>
      </c>
      <c r="CJ73" s="712">
        <f t="shared" si="321"/>
        <v>0</v>
      </c>
      <c r="CK73" s="712">
        <f>IF(Sheet1!EN73="FM",CQ73,0)</f>
        <v>0</v>
      </c>
      <c r="CL73" s="712">
        <f t="shared" si="322"/>
        <v>0</v>
      </c>
      <c r="CM73" s="712">
        <f>IF(Sheet1!EN73="OTHER",CQ73,0)</f>
        <v>0</v>
      </c>
      <c r="CN73" s="712">
        <f t="shared" si="323"/>
        <v>0</v>
      </c>
      <c r="CO73" s="712">
        <f t="shared" si="324"/>
        <v>0</v>
      </c>
      <c r="CP73" s="712">
        <f t="shared" si="325"/>
        <v>0</v>
      </c>
      <c r="CQ73" s="712">
        <f>IF(OR(Sheet1!EN73="FM", Sheet1!EN73="OTHER"),SUM(Sheet1!BK73:'Sheet1'!BM73),0)</f>
        <v>0</v>
      </c>
      <c r="CR73" s="697">
        <f>IF(AND($B73&gt;=$FL73,$B73&lt;=$FM73),MAX($CJ73,Sheet1!EG73,0),MAX($CJ73-(7/36)*$K73,0))</f>
        <v>0</v>
      </c>
      <c r="CS73" s="712">
        <f t="shared" si="326"/>
        <v>0</v>
      </c>
      <c r="CT73" s="697">
        <f t="shared" ref="CT73:CT136" si="375">MAX(CP73-CR73,0)</f>
        <v>0</v>
      </c>
      <c r="CU73" s="697">
        <f>IF(AND($O73&gt;0,Sheet1!EK73=1),(1-($O73-Sheet1!$L73)/$O73)*CP73,0)</f>
        <v>0</v>
      </c>
      <c r="CV73" s="697">
        <f>IF(AND(Sheet1!$L73=0,Sheet1!$L72=0, Calculation!CO73&lt;Sheet1!$EG73-0.1,Sheet1!$EG73=Sheet1!$EG72,Sheet1!$EG73=Sheet1!$EG74),Sheet1!$EG73,CP73-CU73)</f>
        <v>0</v>
      </c>
      <c r="CW73" s="697">
        <f t="shared" si="362"/>
        <v>0</v>
      </c>
      <c r="CX73" s="712">
        <f t="shared" si="87"/>
        <v>0</v>
      </c>
      <c r="CY73" s="712">
        <f t="shared" si="327"/>
        <v>0</v>
      </c>
      <c r="CZ73" s="712">
        <f t="shared" si="328"/>
        <v>0</v>
      </c>
      <c r="DA73" s="712">
        <f ca="1">IF(B73&gt;Summary!$A$1,#N/A,CY73*MGtoAF)</f>
        <v>0</v>
      </c>
      <c r="DB73" s="712">
        <f t="shared" si="329"/>
        <v>0</v>
      </c>
      <c r="DC73" s="712">
        <f t="shared" si="330"/>
        <v>21.7</v>
      </c>
      <c r="DD73" s="712">
        <f>Sheet1!AB73-DC73</f>
        <v>-2.9096725029376103E-12</v>
      </c>
      <c r="DE73" s="712">
        <f t="shared" si="331"/>
        <v>-1.3408629045795439E-13</v>
      </c>
      <c r="DF73" s="712">
        <f>(VLOOKUP(Sheet1!CY73,hhdcap_wcm,4)-(((VLOOKUP(Sheet1!CY73,hhdcap_wcm,3)-Sheet1!CY73)/(VLOOKUP(Sheet1!CY73,hhdcap_wcm,3)-VLOOKUP(Sheet1!CY73,hhdcap_wcm,1)))*(VLOOKUP(Sheet1!CY73,hhdcap_wcm,4)-VLOOKUP(Sheet1!CY73,hhdcap_wcm,2))))</f>
        <v>1713.5400000024147</v>
      </c>
      <c r="DG73" s="712">
        <f t="shared" si="332"/>
        <v>-51.920000000053733</v>
      </c>
      <c r="DH73" s="712">
        <f t="shared" si="333"/>
        <v>-26.182551689386649</v>
      </c>
      <c r="DI73" s="712">
        <f>Sheet1!DW73*AFtoMG</f>
        <v>0</v>
      </c>
      <c r="DJ73" s="712">
        <f>Sheet1!DX73*AFtoMG</f>
        <v>0</v>
      </c>
      <c r="DK73" s="712">
        <f>Sheet1!DY73*AFtoMG</f>
        <v>0</v>
      </c>
      <c r="DL73" s="712">
        <f>Sheet1!DZ73*AFtoMG</f>
        <v>0</v>
      </c>
      <c r="DM73" s="712">
        <f t="shared" si="334"/>
        <v>0</v>
      </c>
      <c r="DN73" s="712">
        <f t="shared" si="335"/>
        <v>0</v>
      </c>
      <c r="DO73" s="712">
        <f t="shared" si="336"/>
        <v>0</v>
      </c>
      <c r="DP73" s="712">
        <f t="shared" si="337"/>
        <v>0</v>
      </c>
      <c r="DQ73" s="712"/>
      <c r="DR73" s="697">
        <f>IF(OR(B73&lt;FL73,B73&gt;FM73),(MIN(AV73+BO73+CJ73+MAX(Sheet1!AA73+AG73-73,0),K73)),0)</f>
        <v>0</v>
      </c>
      <c r="DS73" s="712"/>
      <c r="DT73" s="712">
        <f t="shared" si="338"/>
        <v>0</v>
      </c>
      <c r="DU73" s="712"/>
      <c r="DV73" s="712">
        <f>Sheet1!ED73+Sheet1!EE73+Sheet1!EF73+Sheet1!EG73</f>
        <v>8.5</v>
      </c>
      <c r="DW73" s="712"/>
      <c r="DX73" s="697">
        <f t="shared" ref="DX73:DX136" si="376">DR73-BF73-CA73-CT73</f>
        <v>0</v>
      </c>
      <c r="DY73" s="712">
        <f>IF(Sheet1!FN73=1,SUM('Calculations II'!AT73:BA73)+'Calculations II'!BC73+Sheet1!BU73+'Calculations II'!BE73+AF73,SUM('Calculations II'!AT73:BA73)+'Calculations II'!BC73+Sheet1!BU73+'Calculations II'!BE73+AF73)</f>
        <v>45.191184</v>
      </c>
      <c r="DZ73" s="712">
        <f>Sheet1!AA73+Sheet1!AB73+'Calculations II'!BC73</f>
        <v>49.020000000004075</v>
      </c>
      <c r="EA73" s="712"/>
      <c r="EB73" s="712"/>
      <c r="EC73" s="712">
        <f t="shared" si="339"/>
        <v>40602</v>
      </c>
      <c r="ED73" s="712">
        <f t="shared" si="340"/>
        <v>0</v>
      </c>
      <c r="EE73" s="712">
        <f t="shared" si="341"/>
        <v>0</v>
      </c>
      <c r="EF73" s="712">
        <f>-(VLOOKUP(Sheet1!BQ73,Lookup!$B$4:$J$236,2)-VLOOKUP(Sheet1!BQ72,Lookup!$B$4:$J$236,2))/1000000</f>
        <v>-0.79110000000000003</v>
      </c>
      <c r="EG73" s="712">
        <f>-(VLOOKUP(Sheet1!BR73,Lookup!$B$4:$J$236,3)-VLOOKUP(Sheet1!BR72,Lookup!$B$4:$J$236,3))/1000000</f>
        <v>-0.78990000000000005</v>
      </c>
      <c r="EH73" s="712">
        <f>-(VLOOKUP(Sheet1!BS73,Lookup!$B$4:$J$236,4)-VLOOKUP(Sheet1!BS72,Lookup!$B$4:$J$236,4))/1000000</f>
        <v>0</v>
      </c>
      <c r="EI73" s="697">
        <f t="shared" si="88"/>
        <v>-1.581</v>
      </c>
      <c r="EJ73" s="712"/>
      <c r="EK73" s="712"/>
      <c r="EL73" s="712"/>
      <c r="EM73" s="712"/>
      <c r="EN73" s="712"/>
      <c r="EO73" s="712"/>
      <c r="EP73" s="712"/>
      <c r="EQ73" s="712"/>
      <c r="ER73" s="697">
        <v>0</v>
      </c>
      <c r="ES73" s="712"/>
      <c r="ET73" s="794" t="e">
        <f t="shared" si="342"/>
        <v>#N/A</v>
      </c>
      <c r="EU73" s="794" t="e">
        <f t="shared" si="363"/>
        <v>#VALUE!</v>
      </c>
      <c r="EV73" s="795" t="e">
        <f t="shared" si="364"/>
        <v>#VALUE!</v>
      </c>
      <c r="EW73" s="796" t="s">
        <v>757</v>
      </c>
      <c r="EX73" s="796" t="s">
        <v>757</v>
      </c>
      <c r="EY73" s="794">
        <v>0</v>
      </c>
      <c r="EZ73" s="794" t="e">
        <v>#N/A</v>
      </c>
      <c r="FA73" s="712"/>
      <c r="FB73" s="712"/>
      <c r="FC73" s="712"/>
      <c r="FD73" s="712"/>
      <c r="FE73" s="712">
        <f>O73+Sheet1!CO73</f>
        <v>49.020000000004075</v>
      </c>
      <c r="FF73" s="712">
        <f>IF(Sheet1!AA73+AG73&lt;=Calculation!N73,AG73,Calculation!N73-Sheet1!AA73)</f>
        <v>21.69999999999709</v>
      </c>
      <c r="FG73" s="712">
        <f>(Sheet1!BP73+Sheet1!BO73)/694.4</f>
        <v>2.1725230414746544</v>
      </c>
      <c r="FH73" s="712"/>
      <c r="FI73" s="712"/>
      <c r="FJ73" s="712"/>
      <c r="FK73" s="712"/>
      <c r="FL73" s="714">
        <f t="shared" si="89"/>
        <v>40753</v>
      </c>
      <c r="FM73" s="714">
        <f t="shared" si="90"/>
        <v>40851</v>
      </c>
      <c r="FN73" s="712"/>
      <c r="FO73" s="712"/>
      <c r="FP73" s="712"/>
      <c r="FQ73" s="712"/>
      <c r="FR73" s="712"/>
      <c r="FS73" s="725">
        <f t="shared" si="91"/>
        <v>40603</v>
      </c>
      <c r="FT73" s="714">
        <f t="shared" si="92"/>
        <v>40709</v>
      </c>
      <c r="FU73" s="712">
        <f t="shared" si="93"/>
        <v>6518.9048239895692</v>
      </c>
      <c r="FV73" s="714">
        <f t="shared" si="94"/>
        <v>40722</v>
      </c>
      <c r="FW73" s="712">
        <f t="shared" si="95"/>
        <v>3259.4524119947846</v>
      </c>
      <c r="FX73" s="725">
        <f t="shared" si="96"/>
        <v>40851</v>
      </c>
      <c r="FZ73" s="697">
        <f t="shared" si="365"/>
        <v>0</v>
      </c>
      <c r="GA73" s="712" t="str">
        <f t="shared" si="343"/>
        <v/>
      </c>
      <c r="GB73" s="712">
        <f t="shared" si="344"/>
        <v>0</v>
      </c>
      <c r="GC73" s="712" t="str">
        <f t="shared" si="345"/>
        <v/>
      </c>
      <c r="GD73" s="712">
        <f>IF(GA73="P",Lookup!$M$12,IF(GA73="PP",Lookup!$M$13,IF(GA73="PPP",Lookup!$M$14,IF(GA73="T",Lookup!$M$15,IF(GA73="TP",Lookup!$M$16,IF(GA73="TPP",Lookup!$M$17,IF(GA73="TPPP",Lookup!$M$18,0)))))))*FZ73</f>
        <v>0</v>
      </c>
      <c r="GE73" s="712">
        <f t="shared" si="346"/>
        <v>0</v>
      </c>
      <c r="GF73" s="712">
        <f t="shared" si="347"/>
        <v>0</v>
      </c>
      <c r="GG73" s="712">
        <f t="shared" si="348"/>
        <v>0</v>
      </c>
      <c r="GH73" s="712"/>
      <c r="GI73" s="712">
        <f t="shared" si="349"/>
        <v>0</v>
      </c>
      <c r="GJ73" s="712" t="str">
        <f t="shared" si="350"/>
        <v/>
      </c>
      <c r="GK73" s="712">
        <f>IF(GA73="P",Lookup!$N$12,IF(GA73="PP",Lookup!$N$13,IF(GA73="PPP",Lookup!$N$14,IF(GA73="T",Lookup!$N$15,IF(GA73="TP",Lookup!$N$16,IF(GA73="TPP",Lookup!$N$17,IF(GA73="TPPP",Lookup!$N$18,0)))))))*FZ73</f>
        <v>0</v>
      </c>
      <c r="GL73" s="712">
        <f t="shared" si="351"/>
        <v>0</v>
      </c>
      <c r="GM73" s="712">
        <f t="shared" si="352"/>
        <v>0</v>
      </c>
      <c r="GN73" s="712">
        <f t="shared" si="353"/>
        <v>0</v>
      </c>
      <c r="GO73" s="712"/>
      <c r="GP73" s="712">
        <f t="shared" si="354"/>
        <v>0</v>
      </c>
      <c r="GQ73" s="712" t="str">
        <f t="shared" si="355"/>
        <v/>
      </c>
      <c r="GR73" s="712">
        <f>IF(GA73="P",Lookup!$N$12,IF(GA73="PP",Lookup!$N$13,IF(GA73="PPP",Lookup!$N$14,IF(GA73="T",Lookup!$N$15,IF(GA73="TP",Lookup!$N$16,IF(GA73="TPP",Lookup!$N$17,IF(GA73="TPPP",Lookup!$N$18,0)))))))*FZ73</f>
        <v>0</v>
      </c>
      <c r="GS73" s="697">
        <f t="shared" ref="GS73:GS136" si="377">IF(GQ73="P",MIN(GR73,7/36*FU73-GU73),0)</f>
        <v>0</v>
      </c>
      <c r="GT73" s="712">
        <f t="shared" si="356"/>
        <v>0</v>
      </c>
      <c r="GU73" s="712">
        <f t="shared" si="357"/>
        <v>0</v>
      </c>
      <c r="GV73" s="712"/>
      <c r="GW73" s="712">
        <f t="shared" si="358"/>
        <v>0</v>
      </c>
      <c r="GX73" s="712" t="str">
        <f t="shared" si="359"/>
        <v/>
      </c>
      <c r="GY73" s="712">
        <f>IF(GA73="P",Lookup!$N$12,IF(GA73="PP",Lookup!$N$13,IF(GA73="PPP",Lookup!$N$14,IF(GA73="T",Lookup!$N$15,IF(GA73="TP",Lookup!$N$16,IF(GA73="TPP",Lookup!$N$17,IF(GA73="TPPP",Lookup!$N$18,0)))))))*FZ73</f>
        <v>0</v>
      </c>
      <c r="GZ73" s="697">
        <f t="shared" ref="GZ73:GZ136" si="378">IF(GX73="P",MIN(GY73,7/36*FU73-HB73),0)</f>
        <v>0</v>
      </c>
      <c r="HA73" s="712">
        <f t="shared" si="360"/>
        <v>0</v>
      </c>
      <c r="HB73" s="712">
        <f t="shared" si="361"/>
        <v>0</v>
      </c>
      <c r="HC73" s="712"/>
    </row>
    <row r="74" spans="1:211">
      <c r="A74" s="773" t="s">
        <v>5</v>
      </c>
      <c r="B74" s="708">
        <v>40603</v>
      </c>
      <c r="C74" s="709">
        <v>0.5</v>
      </c>
      <c r="D74" s="675">
        <f t="shared" si="366"/>
        <v>300</v>
      </c>
      <c r="E74" s="675">
        <f t="shared" si="367"/>
        <v>250</v>
      </c>
      <c r="F74" s="675">
        <v>250</v>
      </c>
      <c r="G74" s="712">
        <f>DH74+Sheet1!CV74</f>
        <v>651.04749191668236</v>
      </c>
      <c r="H74" s="712">
        <f t="shared" si="294"/>
        <v>153.87389877494348</v>
      </c>
      <c r="I74" s="711">
        <f>MAX(Sheet1!Z74-AJ74+(Sheet1!CW74-E74)*CFStoMGD,0)</f>
        <v>771.64266666666515</v>
      </c>
      <c r="J74" s="720">
        <f>IF(AND(B74&gt;=Calculation!FS74,B74&lt;=Calculation!FT74),IF(Sheet1!CX74&gt;=Calculation!D74,64.64,0),MAX(Sheet1!Z74-AJ74+(Sheet1!CX74-D74)*CFStoMGD,0))</f>
        <v>64.64</v>
      </c>
      <c r="K74" s="697">
        <f t="shared" si="368"/>
        <v>64.64</v>
      </c>
      <c r="L74" s="712">
        <f>Sheet1!AA74+Sheet1!AB74-Sheet1!L74+(Sheet1!CW74-F74)*CFStoMGD</f>
        <v>785.43266666665988</v>
      </c>
      <c r="M74" s="712">
        <f t="shared" si="295"/>
        <v>429.25384075044235</v>
      </c>
      <c r="N74" s="712">
        <f>IF(Sheet1!CW74&gt;=F74,MIN(73,MIN(MAX(L74,0),MAX(M74,0))),0)</f>
        <v>73</v>
      </c>
      <c r="O74" s="721">
        <f>Sheet1!AA74+Sheet1!AB74</f>
        <v>50.07999999999447</v>
      </c>
      <c r="P74" s="721">
        <f t="shared" si="296"/>
        <v>77.473759999991444</v>
      </c>
      <c r="Q74" s="712">
        <f>MIN(N74,Sheet1!AA74+AG74)</f>
        <v>50.07999999999447</v>
      </c>
      <c r="R74" s="712">
        <f t="shared" si="297"/>
        <v>0</v>
      </c>
      <c r="S74" s="721">
        <f>Sheet1!Y74*MGDtoCFS</f>
        <v>46.920509999999993</v>
      </c>
      <c r="T74" s="721">
        <f>Sheet1!Z74*MGDtoCFS</f>
        <v>30.893589999999996</v>
      </c>
      <c r="U74" s="721">
        <f>Sheet1!AA74*MGDtoCFS</f>
        <v>46.688459999989192</v>
      </c>
      <c r="V74" s="721">
        <f>Sheet1!AB74*MGDtoCFS</f>
        <v>30.785300000002248</v>
      </c>
      <c r="W74" s="721">
        <f>Sheet1!L74*MGDtoCFS</f>
        <v>56.032340000001795</v>
      </c>
      <c r="X74" s="697">
        <f t="shared" si="369"/>
        <v>0</v>
      </c>
      <c r="Y74" s="712">
        <f t="shared" si="298"/>
        <v>0</v>
      </c>
      <c r="Z74" s="712">
        <f t="shared" si="299"/>
        <v>64.64</v>
      </c>
      <c r="AA74" s="712">
        <f t="shared" si="300"/>
        <v>99.998080000000002</v>
      </c>
      <c r="AB74" s="712">
        <f>(VLOOKUP(Sheet1!CY74,hhdcap_wcm,4)-(((VLOOKUP(Sheet1!CY74,hhdcap_wcm,3)-Sheet1!CY74)/(VLOOKUP(Sheet1!CY74,hhdcap_wcm,3)-VLOOKUP(Sheet1!CY74,hhdcap_wcm,1)))*(VLOOKUP(Sheet1!CY74,hhdcap_wcm,4)-VLOOKUP(Sheet1!CY74,hhdcap_wcm,2))))</f>
        <v>1817.8000000026075</v>
      </c>
      <c r="AC74" s="712">
        <f t="shared" si="301"/>
        <v>104.2600000001928</v>
      </c>
      <c r="AD74" s="712">
        <f t="shared" si="370"/>
        <v>64.64</v>
      </c>
      <c r="AE74" s="712">
        <f t="shared" si="302"/>
        <v>198.31551999999999</v>
      </c>
      <c r="AF74" s="712">
        <f>Sheet1!BA74+Sheet1!BB74+Sheet1!BN74+BT74</f>
        <v>19.899999999999999</v>
      </c>
      <c r="AG74" s="712">
        <f t="shared" si="303"/>
        <v>19.900000000001455</v>
      </c>
      <c r="AH74" s="712">
        <f>Sheet1!BA74+BT74</f>
        <v>0</v>
      </c>
      <c r="AI74" s="712">
        <f>Sheet1!BA74+Sheet1!BB74+BT74</f>
        <v>0</v>
      </c>
      <c r="AJ74" s="712">
        <f>IF((Sheet1!AA74+AG74+AX74+AZ74+BQ74+BS74+CL74+CN74)&lt;=N74,AG74+AX74+AZ74+BQ74+BS74+CL74+CN74,N74-Sheet1!AA74)</f>
        <v>19.900000000001455</v>
      </c>
      <c r="AK74" s="712">
        <f>IF(DR74&lt;K74,0,MAX(Sheet1!AA74+AG74-15/36*K74-N74,Sheet1!ED74,0))</f>
        <v>0</v>
      </c>
      <c r="AL74" s="712">
        <f>IF(OR(B74&gt;=FT74,B74&lt;FS74),0,15/36*K74-MAX(0,64.6-(137.6-(Sheet1!AA74+Sheet1!AB74))))</f>
        <v>26.933333333333334</v>
      </c>
      <c r="AM74" s="712">
        <f>Sheet1!CX74-110</f>
        <v>490.38541666666663</v>
      </c>
      <c r="AN74" s="712">
        <f>Sheet1!CW74-265</f>
        <v>1178.6458333333333</v>
      </c>
      <c r="AO74" s="712">
        <f t="shared" si="371"/>
        <v>22.92000000000553</v>
      </c>
      <c r="AP74" s="712">
        <f t="shared" si="372"/>
        <v>0</v>
      </c>
      <c r="AQ74" s="712">
        <f t="shared" si="304"/>
        <v>0</v>
      </c>
      <c r="AR74" s="712">
        <f t="shared" si="305"/>
        <v>26.933333333333334</v>
      </c>
      <c r="AS74" s="712"/>
      <c r="AT74" s="712">
        <f ca="1">IF(B74&gt;Summary!$A$1,#N/A,AR74*MGtoAF)</f>
        <v>82.631466666666668</v>
      </c>
      <c r="AU74" s="712">
        <f>Sheet1!BG74+Sheet1!BH74+Sheet1!BI74-BC74</f>
        <v>0</v>
      </c>
      <c r="AV74" s="712">
        <f t="shared" si="306"/>
        <v>0</v>
      </c>
      <c r="AW74" s="712">
        <f>IF(Sheet1!EL74="FM",BC74,0)</f>
        <v>0</v>
      </c>
      <c r="AX74" s="712">
        <f t="shared" si="307"/>
        <v>0</v>
      </c>
      <c r="AY74" s="712">
        <f>IF(Sheet1!EL74="OTHER",BC74,0)</f>
        <v>0</v>
      </c>
      <c r="AZ74" s="712">
        <f t="shared" si="308"/>
        <v>0</v>
      </c>
      <c r="BA74" s="712">
        <f t="shared" si="309"/>
        <v>0</v>
      </c>
      <c r="BB74" s="712">
        <f t="shared" si="310"/>
        <v>0</v>
      </c>
      <c r="BC74" s="712">
        <f>IF(OR(Sheet1!EL74="FM", Sheet1!EL74="OTHER"),SUM(Sheet1!BG74:'Sheet1'!BI74),0)</f>
        <v>0</v>
      </c>
      <c r="BD74" s="697">
        <f>IF(AND($B74&gt;=$FL74,$B74&lt;=$FM74),MAX(AV74,Sheet1!EE74,0),MAX(AV74-(7/36)*$K74,0))</f>
        <v>0</v>
      </c>
      <c r="BE74" s="712">
        <f t="shared" si="311"/>
        <v>12.568888888888889</v>
      </c>
      <c r="BF74" s="697">
        <f t="shared" si="373"/>
        <v>0</v>
      </c>
      <c r="BG74" s="697">
        <f>IF(AND($O74&gt;0,Sheet1!EI74=1),(1-($O74-Sheet1!$L74)/$O74)*BB74,0)</f>
        <v>0</v>
      </c>
      <c r="BH74" s="697">
        <f>IF(AND(Sheet1!$L74=0,Sheet1!$L73=0, Calculation!BA74&lt;Sheet1!$EE74-0.1,Sheet1!$EE74=Sheet1!$EE73,Sheet1!$EE74=Sheet1!$EE75),Sheet1!$EE74,BB74-BG74)</f>
        <v>0</v>
      </c>
      <c r="BI74" s="712"/>
      <c r="BJ74" s="712"/>
      <c r="BK74" s="712">
        <f t="shared" si="312"/>
        <v>12.568888888888889</v>
      </c>
      <c r="BL74" s="712"/>
      <c r="BM74" s="712">
        <f ca="1">IF(B74&gt;Summary!$A$1,#N/A,BK74*MGtoAF)</f>
        <v>38.561351111111115</v>
      </c>
      <c r="BN74" s="712">
        <f>Sheet1!BC74+Sheet1!BD74+Sheet1!BE74+Sheet1!BF74-BW74-BX74</f>
        <v>0</v>
      </c>
      <c r="BO74" s="712">
        <f t="shared" si="313"/>
        <v>0</v>
      </c>
      <c r="BP74" s="712">
        <f>IF(Sheet1!EM74="FM",BX74,0)</f>
        <v>0</v>
      </c>
      <c r="BQ74" s="712">
        <f t="shared" si="314"/>
        <v>0</v>
      </c>
      <c r="BR74" s="712">
        <f>IF(Sheet1!EM74="OTHER",BX74,0)</f>
        <v>0</v>
      </c>
      <c r="BS74" s="712">
        <f t="shared" si="315"/>
        <v>0</v>
      </c>
      <c r="BT74" s="712">
        <f t="shared" si="316"/>
        <v>0</v>
      </c>
      <c r="BU74" s="712">
        <f t="shared" si="317"/>
        <v>0</v>
      </c>
      <c r="BV74" s="712">
        <f t="shared" si="318"/>
        <v>0</v>
      </c>
      <c r="BW74" s="712">
        <f>IF(Sheet1!EM74="CWA",SUM(Sheet1!BC74:'Sheet1'!BF74),0)</f>
        <v>0</v>
      </c>
      <c r="BX74" s="712">
        <f>IF(OR(Sheet1!EM74="FM", Sheet1!EM74="OTHER"),SUM(Sheet1!BC74:'Sheet1'!BF74),0)</f>
        <v>0</v>
      </c>
      <c r="BY74" s="697">
        <f>IF(AND($B74&gt;=$FL74,$B74&lt;=$FM74),MAX(BV74,Sheet1!EF74,0),MAX(BV74-(7/36)*$K74,0))</f>
        <v>0</v>
      </c>
      <c r="BZ74" s="712">
        <f t="shared" si="319"/>
        <v>12.568888888888889</v>
      </c>
      <c r="CA74" s="697">
        <f t="shared" si="374"/>
        <v>0</v>
      </c>
      <c r="CB74" s="697">
        <f>IF(AND($O74&gt;0,Sheet1!EJ74=1),(1-($O74-Sheet1!$L74)/$O74)*BV74,0)</f>
        <v>0</v>
      </c>
      <c r="CC74" s="697">
        <f>IF(AND(Sheet1!$L74=0,Sheet1!$L73=0, Calculation!BU74&lt;Sheet1!EF74-0.1,Sheet1!EF74=Sheet1!EF73,Sheet1!EF74=Sheet1!EF75),Sheet1!EF74,BV74-CB74)</f>
        <v>0</v>
      </c>
      <c r="CD74" s="697"/>
      <c r="CE74" s="712"/>
      <c r="CF74" s="712">
        <f t="shared" si="320"/>
        <v>12.568888888888889</v>
      </c>
      <c r="CG74" s="712"/>
      <c r="CH74" s="712">
        <f ca="1">IF(B74&gt;Summary!$A$1,#N/A,CF74*MGtoAF)</f>
        <v>38.561351111111115</v>
      </c>
      <c r="CI74" s="712">
        <f>Sheet1!BK74+Sheet1!BL74+Sheet1!BM74-Sheet1!EN74-CQ74</f>
        <v>0</v>
      </c>
      <c r="CJ74" s="712">
        <f t="shared" si="321"/>
        <v>0</v>
      </c>
      <c r="CK74" s="712">
        <f>IF(Sheet1!EN74="FM",CQ74,0)</f>
        <v>0</v>
      </c>
      <c r="CL74" s="712">
        <f t="shared" si="322"/>
        <v>0</v>
      </c>
      <c r="CM74" s="712">
        <f>IF(Sheet1!EN74="OTHER",CQ74,0)</f>
        <v>0</v>
      </c>
      <c r="CN74" s="712">
        <f t="shared" si="323"/>
        <v>0</v>
      </c>
      <c r="CO74" s="712">
        <f t="shared" si="324"/>
        <v>0</v>
      </c>
      <c r="CP74" s="712">
        <f t="shared" si="325"/>
        <v>0</v>
      </c>
      <c r="CQ74" s="712">
        <f>IF(OR(Sheet1!EN74="FM", Sheet1!EN74="OTHER"),SUM(Sheet1!BK74:'Sheet1'!BM74),0)</f>
        <v>0</v>
      </c>
      <c r="CR74" s="697">
        <f>IF(AND($B74&gt;=$FL74,$B74&lt;=$FM74),MAX($CJ74,Sheet1!EG74,0),MAX($CJ74-(7/36)*$K74,0))</f>
        <v>0</v>
      </c>
      <c r="CS74" s="712">
        <f t="shared" si="326"/>
        <v>12.568888888888889</v>
      </c>
      <c r="CT74" s="697">
        <f t="shared" si="375"/>
        <v>0</v>
      </c>
      <c r="CU74" s="697">
        <f>IF(AND($O74&gt;0,Sheet1!EK74=1),(1-($O74-Sheet1!$L74)/$O74)*CP74,0)</f>
        <v>0</v>
      </c>
      <c r="CV74" s="697">
        <f>IF(AND(Sheet1!$L74=0,Sheet1!$L73=0, Calculation!CO74&lt;Sheet1!$EG74-0.1,Sheet1!$EG74=Sheet1!$EG73,Sheet1!$EG74=Sheet1!$EG75),Sheet1!$EG74,CP74-CU74)</f>
        <v>0</v>
      </c>
      <c r="CW74" s="697">
        <f t="shared" si="362"/>
        <v>0</v>
      </c>
      <c r="CX74" s="712">
        <f t="shared" ref="CX74:CX137" si="379">BA74+BU74+CO74</f>
        <v>0</v>
      </c>
      <c r="CY74" s="712">
        <f t="shared" si="327"/>
        <v>12.568888888888889</v>
      </c>
      <c r="CZ74" s="712">
        <f t="shared" si="328"/>
        <v>0</v>
      </c>
      <c r="DA74" s="712">
        <f ca="1">IF(B74&gt;Summary!$A$1,#N/A,CY74*MGtoAF)</f>
        <v>38.561351111111115</v>
      </c>
      <c r="DB74" s="712">
        <f t="shared" si="329"/>
        <v>0</v>
      </c>
      <c r="DC74" s="712">
        <f t="shared" si="330"/>
        <v>19.899999999999999</v>
      </c>
      <c r="DD74" s="712">
        <f>Sheet1!AB74-DC74</f>
        <v>1.4566126083082054E-12</v>
      </c>
      <c r="DE74" s="712">
        <f t="shared" si="331"/>
        <v>7.3196613482824391E-14</v>
      </c>
      <c r="DF74" s="712">
        <f>(VLOOKUP(Sheet1!CY74,hhdcap_wcm,4)-(((VLOOKUP(Sheet1!CY74,hhdcap_wcm,3)-Sheet1!CY74)/(VLOOKUP(Sheet1!CY74,hhdcap_wcm,3)-VLOOKUP(Sheet1!CY74,hhdcap_wcm,1)))*(VLOOKUP(Sheet1!CY74,hhdcap_wcm,4)-VLOOKUP(Sheet1!CY74,hhdcap_wcm,2))))</f>
        <v>1817.8000000026075</v>
      </c>
      <c r="DG74" s="712">
        <f t="shared" si="332"/>
        <v>104.2600000001928</v>
      </c>
      <c r="DH74" s="712">
        <f t="shared" si="333"/>
        <v>52.576903681388195</v>
      </c>
      <c r="DI74" s="712">
        <f>Sheet1!DW74*AFtoMG</f>
        <v>0</v>
      </c>
      <c r="DJ74" s="712">
        <f>Sheet1!DX74*AFtoMG</f>
        <v>0</v>
      </c>
      <c r="DK74" s="712">
        <f>Sheet1!DY74*AFtoMG</f>
        <v>0</v>
      </c>
      <c r="DL74" s="712">
        <f>Sheet1!DZ74*AFtoMG</f>
        <v>0</v>
      </c>
      <c r="DM74" s="712">
        <f t="shared" si="334"/>
        <v>0</v>
      </c>
      <c r="DN74" s="712">
        <f t="shared" si="335"/>
        <v>0</v>
      </c>
      <c r="DO74" s="712">
        <f t="shared" si="336"/>
        <v>64.64</v>
      </c>
      <c r="DP74" s="712">
        <f t="shared" si="337"/>
        <v>198.31551999999999</v>
      </c>
      <c r="DQ74" s="712"/>
      <c r="DR74" s="697">
        <f>IF(OR(B74&lt;FL74,B74&gt;FM74),(MIN(AV74+BO74+CJ74+MAX(Sheet1!AA74+AG74-73,0),K74)),0)</f>
        <v>0</v>
      </c>
      <c r="DS74" s="712"/>
      <c r="DT74" s="712">
        <f t="shared" si="338"/>
        <v>0</v>
      </c>
      <c r="DU74" s="712"/>
      <c r="DV74" s="712">
        <f>Sheet1!ED74+Sheet1!EE74+Sheet1!EF74+Sheet1!EG74</f>
        <v>8.5</v>
      </c>
      <c r="DW74" s="712"/>
      <c r="DX74" s="697">
        <f t="shared" si="376"/>
        <v>0</v>
      </c>
      <c r="DY74" s="712">
        <f>IF(Sheet1!FN74=1,SUM('Calculations II'!AT74:BA74)+'Calculations II'!BC74+Sheet1!BU74+'Calculations II'!BE74+AF74,SUM('Calculations II'!AT74:BA74)+'Calculations II'!BC74+Sheet1!BU74+'Calculations II'!BE74+AF74)</f>
        <v>43.352432</v>
      </c>
      <c r="DZ74" s="712">
        <f>Sheet1!AA74+Sheet1!AB74+'Calculations II'!BC74</f>
        <v>50.07999999999447</v>
      </c>
      <c r="EA74" s="712"/>
      <c r="EB74" s="712"/>
      <c r="EC74" s="712">
        <f t="shared" si="339"/>
        <v>40603</v>
      </c>
      <c r="ED74" s="712">
        <f t="shared" si="340"/>
        <v>64.64</v>
      </c>
      <c r="EE74" s="712">
        <f t="shared" si="341"/>
        <v>99.998080000000002</v>
      </c>
      <c r="EF74" s="712">
        <f>-(VLOOKUP(Sheet1!BQ74,Lookup!$B$4:$J$236,2)-VLOOKUP(Sheet1!BQ73,Lookup!$B$4:$J$236,2))/1000000</f>
        <v>-2.1368</v>
      </c>
      <c r="EG74" s="712">
        <f>-(VLOOKUP(Sheet1!BR74,Lookup!$B$4:$J$236,3)-VLOOKUP(Sheet1!BR73,Lookup!$B$4:$J$236,3))/1000000</f>
        <v>-2.1299000000000001</v>
      </c>
      <c r="EH74" s="712">
        <f>-(VLOOKUP(Sheet1!BS74,Lookup!$B$4:$J$236,4)-VLOOKUP(Sheet1!BS73,Lookup!$B$4:$J$236,4))/1000000</f>
        <v>0</v>
      </c>
      <c r="EI74" s="697">
        <f t="shared" ref="EI74:EI137" si="380">EH74+EG74+EF74</f>
        <v>-4.2667000000000002</v>
      </c>
      <c r="EJ74" s="712"/>
      <c r="EK74" s="712"/>
      <c r="EL74" s="712"/>
      <c r="EM74" s="712"/>
      <c r="EN74" s="712"/>
      <c r="EO74" s="712"/>
      <c r="EP74" s="712"/>
      <c r="EQ74" s="712"/>
      <c r="ER74" s="697">
        <v>0</v>
      </c>
      <c r="ES74" s="712"/>
      <c r="ET74" s="794" t="e">
        <f t="shared" si="342"/>
        <v>#N/A</v>
      </c>
      <c r="EU74" s="794" t="e">
        <f t="shared" si="363"/>
        <v>#VALUE!</v>
      </c>
      <c r="EV74" s="795" t="e">
        <f t="shared" si="364"/>
        <v>#VALUE!</v>
      </c>
      <c r="EW74" s="796" t="s">
        <v>757</v>
      </c>
      <c r="EX74" s="796" t="s">
        <v>757</v>
      </c>
      <c r="EY74" s="794">
        <v>0</v>
      </c>
      <c r="EZ74" s="794" t="e">
        <v>#N/A</v>
      </c>
      <c r="FA74" s="712"/>
      <c r="FB74" s="712"/>
      <c r="FC74" s="712"/>
      <c r="FD74" s="712"/>
      <c r="FE74" s="712">
        <f>O74+Sheet1!CO74</f>
        <v>50.07999999999447</v>
      </c>
      <c r="FF74" s="712">
        <f>IF(Sheet1!AA74+AG74&lt;=Calculation!N74,AG74,Calculation!N74-Sheet1!AA74)</f>
        <v>19.900000000001455</v>
      </c>
      <c r="FG74" s="712">
        <f>(Sheet1!BP74+Sheet1!BO74)/694.4</f>
        <v>1.5913018433179724</v>
      </c>
      <c r="FH74" s="712"/>
      <c r="FI74" s="712"/>
      <c r="FJ74" s="712"/>
      <c r="FK74" s="712"/>
      <c r="FL74" s="714">
        <f t="shared" ref="FL74:FL137" si="381">$FL$8</f>
        <v>40753</v>
      </c>
      <c r="FM74" s="714">
        <f t="shared" ref="FM74:FM137" si="382">$FM$8</f>
        <v>40851</v>
      </c>
      <c r="FN74" s="712"/>
      <c r="FO74" s="712"/>
      <c r="FP74" s="712"/>
      <c r="FQ74" s="712"/>
      <c r="FR74" s="712"/>
      <c r="FS74" s="725">
        <f t="shared" ref="FS74:FS137" si="383">FS73</f>
        <v>40603</v>
      </c>
      <c r="FT74" s="714">
        <f t="shared" ref="FT74:FT137" si="384">$FT$8</f>
        <v>40709</v>
      </c>
      <c r="FU74" s="712">
        <f t="shared" ref="FU74:FU137" si="385">FU73</f>
        <v>6518.9048239895692</v>
      </c>
      <c r="FV74" s="714">
        <f t="shared" ref="FV74:FV137" si="386">$FV$8</f>
        <v>40722</v>
      </c>
      <c r="FW74" s="712">
        <f t="shared" ref="FW74:FW137" si="387">FW73</f>
        <v>3259.4524119947846</v>
      </c>
      <c r="FX74" s="725">
        <f t="shared" ref="FX74:FX137" si="388">FX73</f>
        <v>40851</v>
      </c>
      <c r="FZ74" s="697">
        <f t="shared" si="365"/>
        <v>0</v>
      </c>
      <c r="GA74" s="712" t="str">
        <f t="shared" si="343"/>
        <v/>
      </c>
      <c r="GB74" s="712">
        <f t="shared" si="344"/>
        <v>0</v>
      </c>
      <c r="GC74" s="712" t="str">
        <f t="shared" si="345"/>
        <v/>
      </c>
      <c r="GD74" s="712">
        <f>IF(GA74="P",Lookup!$M$12,IF(GA74="PP",Lookup!$M$13,IF(GA74="PPP",Lookup!$M$14,IF(GA74="T",Lookup!$M$15,IF(GA74="TP",Lookup!$M$16,IF(GA74="TPP",Lookup!$M$17,IF(GA74="TPPP",Lookup!$M$18,0)))))))*FZ74</f>
        <v>0</v>
      </c>
      <c r="GE74" s="712">
        <f t="shared" si="346"/>
        <v>0</v>
      </c>
      <c r="GF74" s="712">
        <f t="shared" si="347"/>
        <v>82.631466666666668</v>
      </c>
      <c r="GG74" s="712">
        <f t="shared" si="348"/>
        <v>26.933333333333334</v>
      </c>
      <c r="GH74" s="712"/>
      <c r="GI74" s="712">
        <f t="shared" si="349"/>
        <v>0</v>
      </c>
      <c r="GJ74" s="712" t="str">
        <f t="shared" si="350"/>
        <v/>
      </c>
      <c r="GK74" s="712">
        <f>IF(GA74="P",Lookup!$N$12,IF(GA74="PP",Lookup!$N$13,IF(GA74="PPP",Lookup!$N$14,IF(GA74="T",Lookup!$N$15,IF(GA74="TP",Lookup!$N$16,IF(GA74="TPP",Lookup!$N$17,IF(GA74="TPPP",Lookup!$N$18,0)))))))*FZ74</f>
        <v>0</v>
      </c>
      <c r="GL74" s="712">
        <f t="shared" si="351"/>
        <v>0</v>
      </c>
      <c r="GM74" s="712">
        <f t="shared" si="352"/>
        <v>38.561351111111115</v>
      </c>
      <c r="GN74" s="712">
        <f t="shared" si="353"/>
        <v>12.568888888888889</v>
      </c>
      <c r="GO74" s="712"/>
      <c r="GP74" s="712">
        <f t="shared" si="354"/>
        <v>0</v>
      </c>
      <c r="GQ74" s="712" t="str">
        <f t="shared" si="355"/>
        <v/>
      </c>
      <c r="GR74" s="712">
        <f>IF(GA74="P",Lookup!$N$12,IF(GA74="PP",Lookup!$N$13,IF(GA74="PPP",Lookup!$N$14,IF(GA74="T",Lookup!$N$15,IF(GA74="TP",Lookup!$N$16,IF(GA74="TPP",Lookup!$N$17,IF(GA74="TPPP",Lookup!$N$18,0)))))))*FZ74</f>
        <v>0</v>
      </c>
      <c r="GS74" s="697">
        <f t="shared" si="377"/>
        <v>0</v>
      </c>
      <c r="GT74" s="712">
        <f t="shared" si="356"/>
        <v>38.561351111111115</v>
      </c>
      <c r="GU74" s="712">
        <f t="shared" si="357"/>
        <v>12.568888888888889</v>
      </c>
      <c r="GV74" s="712"/>
      <c r="GW74" s="712">
        <f t="shared" si="358"/>
        <v>0</v>
      </c>
      <c r="GX74" s="712" t="str">
        <f t="shared" si="359"/>
        <v/>
      </c>
      <c r="GY74" s="712">
        <f>IF(GA74="P",Lookup!$N$12,IF(GA74="PP",Lookup!$N$13,IF(GA74="PPP",Lookup!$N$14,IF(GA74="T",Lookup!$N$15,IF(GA74="TP",Lookup!$N$16,IF(GA74="TPP",Lookup!$N$17,IF(GA74="TPPP",Lookup!$N$18,0)))))))*FZ74</f>
        <v>0</v>
      </c>
      <c r="GZ74" s="697">
        <f t="shared" si="378"/>
        <v>0</v>
      </c>
      <c r="HA74" s="712">
        <f t="shared" si="360"/>
        <v>38.561351111111115</v>
      </c>
      <c r="HB74" s="712">
        <f t="shared" si="361"/>
        <v>12.568888888888889</v>
      </c>
      <c r="HC74" s="712"/>
    </row>
    <row r="75" spans="1:211">
      <c r="A75" s="773" t="s">
        <v>6</v>
      </c>
      <c r="B75" s="708">
        <v>40604</v>
      </c>
      <c r="C75" s="719">
        <v>0.5</v>
      </c>
      <c r="D75" s="675">
        <f t="shared" si="366"/>
        <v>300</v>
      </c>
      <c r="E75" s="675">
        <f t="shared" si="367"/>
        <v>250</v>
      </c>
      <c r="F75" s="710">
        <v>250</v>
      </c>
      <c r="G75" s="712">
        <f>DH75+Sheet1!CV75</f>
        <v>680.73711844818968</v>
      </c>
      <c r="H75" s="712">
        <f t="shared" si="294"/>
        <v>173.06527336490981</v>
      </c>
      <c r="I75" s="711">
        <f>MAX(Sheet1!Z75-AJ75+(Sheet1!CW75-E75)*CFStoMGD,0)</f>
        <v>664.91984971098145</v>
      </c>
      <c r="J75" s="720">
        <f>IF(AND(B75&gt;=Calculation!FS75,B75&lt;=Calculation!FT75),IF(Sheet1!CX75&gt;=Calculation!D75,64.64,0),MAX(Sheet1!Z75-AJ75+(Sheet1!CX75-D75)*CFStoMGD,0))</f>
        <v>64.64</v>
      </c>
      <c r="K75" s="697">
        <f t="shared" si="368"/>
        <v>64.64</v>
      </c>
      <c r="L75" s="712">
        <f>Sheet1!AA75+Sheet1!AB75-Sheet1!L75+(Sheet1!CW75-F75)*CFStoMGD</f>
        <v>719.78800000000138</v>
      </c>
      <c r="M75" s="712">
        <f t="shared" si="295"/>
        <v>448.82904283220802</v>
      </c>
      <c r="N75" s="712">
        <f>IF(Sheet1!CW75&gt;=F75,MIN(73,MIN(MAX(L75,0),MAX(M75,0))),0)</f>
        <v>73</v>
      </c>
      <c r="O75" s="721">
        <f>Sheet1!AA75+Sheet1!AB75</f>
        <v>56.900000000001455</v>
      </c>
      <c r="P75" s="721">
        <f t="shared" si="296"/>
        <v>88.024300000002242</v>
      </c>
      <c r="Q75" s="712">
        <f>MIN(N75,Sheet1!AA75+AG75)</f>
        <v>50.338150289018436</v>
      </c>
      <c r="R75" s="712">
        <f t="shared" si="297"/>
        <v>6.5618497109830205</v>
      </c>
      <c r="S75" s="721">
        <f>Sheet1!Y75*MGDtoCFS</f>
        <v>47.059739999999998</v>
      </c>
      <c r="T75" s="721">
        <f>Sheet1!Z75*MGDtoCFS</f>
        <v>29.965389999999999</v>
      </c>
      <c r="U75" s="721">
        <f>Sheet1!AA75*MGDtoCFS</f>
        <v>47.183499999999995</v>
      </c>
      <c r="V75" s="721">
        <f>Sheet1!AB75*MGDtoCFS</f>
        <v>40.840800000002247</v>
      </c>
      <c r="W75" s="721">
        <f>Sheet1!L75*MGDtoCFS</f>
        <v>3.8674999999999997</v>
      </c>
      <c r="X75" s="697">
        <f t="shared" si="369"/>
        <v>0</v>
      </c>
      <c r="Y75" s="712">
        <f t="shared" si="298"/>
        <v>0</v>
      </c>
      <c r="Z75" s="712">
        <f t="shared" si="299"/>
        <v>58.078150289016982</v>
      </c>
      <c r="AA75" s="712">
        <f t="shared" si="300"/>
        <v>89.846898497109265</v>
      </c>
      <c r="AB75" s="712">
        <f>(VLOOKUP(Sheet1!CY75,hhdcap_wcm,4)-(((VLOOKUP(Sheet1!CY75,hhdcap_wcm,3)-Sheet1!CY75)/(VLOOKUP(Sheet1!CY75,hhdcap_wcm,3)-VLOOKUP(Sheet1!CY75,hhdcap_wcm,1)))*(VLOOKUP(Sheet1!CY75,hhdcap_wcm,4)-VLOOKUP(Sheet1!CY75,hhdcap_wcm,2))))</f>
        <v>2087.2000000030148</v>
      </c>
      <c r="AC75" s="712">
        <f t="shared" si="301"/>
        <v>269.40000000040732</v>
      </c>
      <c r="AD75" s="712">
        <f t="shared" si="370"/>
        <v>122.71815028901698</v>
      </c>
      <c r="AE75" s="712">
        <f t="shared" si="302"/>
        <v>376.49928508670411</v>
      </c>
      <c r="AF75" s="712">
        <f>Sheet1!BA75+Sheet1!BB75+Sheet1!BN75+BT75</f>
        <v>19.5</v>
      </c>
      <c r="AG75" s="712">
        <f t="shared" si="303"/>
        <v>19.838150289018436</v>
      </c>
      <c r="AH75" s="712">
        <f>Sheet1!BA75+BT75</f>
        <v>0</v>
      </c>
      <c r="AI75" s="712">
        <f>Sheet1!BA75+Sheet1!BB75+BT75</f>
        <v>0</v>
      </c>
      <c r="AJ75" s="712">
        <f>IF((Sheet1!AA75+AG75+AX75+AZ75+BQ75+BS75+CL75+CN75)&lt;=N75,AG75+AX75+AZ75+BQ75+BS75+CL75+CN75,N75-Sheet1!AA75)</f>
        <v>19.838150289018436</v>
      </c>
      <c r="AK75" s="712">
        <f>IF(DR75&lt;K75,0,MAX(Sheet1!AA75+AG75-15/36*K75-N75,Sheet1!ED75,0))</f>
        <v>0</v>
      </c>
      <c r="AL75" s="712">
        <f>IF(OR(B75&gt;=FT75,B75&lt;FS75),0,15/36*K75-MAX(0,64.6-(137.6-(Sheet1!AA75+Sheet1!AB75))))</f>
        <v>26.933333333333334</v>
      </c>
      <c r="AM75" s="712">
        <f>Sheet1!CX75-110</f>
        <v>396.77083333333331</v>
      </c>
      <c r="AN75" s="712">
        <f>Sheet1!CW75-265</f>
        <v>1014.375</v>
      </c>
      <c r="AO75" s="712">
        <f t="shared" si="371"/>
        <v>22.661849710981564</v>
      </c>
      <c r="AP75" s="712">
        <f t="shared" si="372"/>
        <v>0</v>
      </c>
      <c r="AQ75" s="712">
        <f t="shared" si="304"/>
        <v>0</v>
      </c>
      <c r="AR75" s="712">
        <f>GE75+GG75</f>
        <v>53.866666666666667</v>
      </c>
      <c r="AS75" s="712"/>
      <c r="AT75" s="712">
        <f ca="1">IF(B75&gt;Summary!$A$1,#N/A,AR75*MGtoAF)</f>
        <v>165.26293333333334</v>
      </c>
      <c r="AU75" s="712">
        <f>Sheet1!BG75+Sheet1!BH75+Sheet1!BI75-BC75</f>
        <v>0</v>
      </c>
      <c r="AV75" s="712">
        <f t="shared" si="306"/>
        <v>0</v>
      </c>
      <c r="AW75" s="712">
        <f>IF(Sheet1!EL75="FM",BC75,0)</f>
        <v>0</v>
      </c>
      <c r="AX75" s="712">
        <f t="shared" si="307"/>
        <v>0</v>
      </c>
      <c r="AY75" s="712">
        <f>IF(Sheet1!EL75="OTHER",BC75,0)</f>
        <v>0</v>
      </c>
      <c r="AZ75" s="712">
        <f t="shared" si="308"/>
        <v>0</v>
      </c>
      <c r="BA75" s="712">
        <f t="shared" si="309"/>
        <v>0</v>
      </c>
      <c r="BB75" s="712">
        <f t="shared" si="310"/>
        <v>0</v>
      </c>
      <c r="BC75" s="712">
        <f>IF(OR(Sheet1!EL75="FM", Sheet1!EL75="OTHER"),SUM(Sheet1!BG75:'Sheet1'!BI75),0)</f>
        <v>0</v>
      </c>
      <c r="BD75" s="697">
        <f>IF(AND($B75&gt;=$FL75,$B75&lt;=$FM75),MAX(AV75,Sheet1!EE75,0),MAX(AV75-(7/36)*$K75,0))</f>
        <v>0</v>
      </c>
      <c r="BE75" s="712">
        <f t="shared" si="311"/>
        <v>12.568888888888889</v>
      </c>
      <c r="BF75" s="697">
        <f t="shared" si="373"/>
        <v>0</v>
      </c>
      <c r="BG75" s="697">
        <f>IF(AND($O75&gt;0,Sheet1!EI75=1),(1-($O75-Sheet1!$L75)/$O75)*BB75,0)</f>
        <v>0</v>
      </c>
      <c r="BH75" s="697">
        <f>IF(AND(Sheet1!$L75=0,Sheet1!$L74=0, Calculation!BA75&lt;Sheet1!$EE75-0.1,Sheet1!$EE75=Sheet1!$EE74,Sheet1!$EE75=Sheet1!$EE76),Sheet1!$EE75,BB75-BG75)</f>
        <v>0</v>
      </c>
      <c r="BI75" s="712"/>
      <c r="BJ75" s="712"/>
      <c r="BK75" s="712">
        <f t="shared" si="312"/>
        <v>25.137777777777778</v>
      </c>
      <c r="BL75" s="712"/>
      <c r="BM75" s="712">
        <f ca="1">IF(B75&gt;Summary!$A$1,#N/A,BK75*MGtoAF)</f>
        <v>77.12270222222223</v>
      </c>
      <c r="BN75" s="712">
        <f>Sheet1!BC75+Sheet1!BD75+Sheet1!BE75+Sheet1!BF75-BW75-BX75</f>
        <v>1.75</v>
      </c>
      <c r="BO75" s="712">
        <f t="shared" si="313"/>
        <v>1.7803468208093467</v>
      </c>
      <c r="BP75" s="712">
        <f>IF(Sheet1!EM75="FM",BX75,0)</f>
        <v>0</v>
      </c>
      <c r="BQ75" s="712">
        <f t="shared" si="314"/>
        <v>0</v>
      </c>
      <c r="BR75" s="712">
        <f>IF(Sheet1!EM75="OTHER",BX75,0)</f>
        <v>0</v>
      </c>
      <c r="BS75" s="712">
        <f t="shared" si="315"/>
        <v>0</v>
      </c>
      <c r="BT75" s="712">
        <f t="shared" si="316"/>
        <v>0</v>
      </c>
      <c r="BU75" s="712">
        <f t="shared" si="317"/>
        <v>1.75</v>
      </c>
      <c r="BV75" s="712">
        <f t="shared" si="318"/>
        <v>1.7803468208093467</v>
      </c>
      <c r="BW75" s="712">
        <f>IF(Sheet1!EM75="CWA",SUM(Sheet1!BC75:'Sheet1'!BF75),0)</f>
        <v>0</v>
      </c>
      <c r="BX75" s="712">
        <f>IF(OR(Sheet1!EM75="FM", Sheet1!EM75="OTHER"),SUM(Sheet1!BC75:'Sheet1'!BF75),0)</f>
        <v>0</v>
      </c>
      <c r="BY75" s="697">
        <f>IF(AND($B75&gt;=$FL75,$B75&lt;=$FM75),MAX(BV75,Sheet1!EF75,0),MAX(BV75-(7/36)*$K75,0))</f>
        <v>0</v>
      </c>
      <c r="BZ75" s="712">
        <f t="shared" si="319"/>
        <v>10.788542068079542</v>
      </c>
      <c r="CA75" s="697">
        <f t="shared" si="374"/>
        <v>1.7803468208093467</v>
      </c>
      <c r="CB75" s="697">
        <f>IF(AND($O75&gt;0,Sheet1!EJ75=1),(1-($O75-Sheet1!$L75)/$O75)*BV75,0)</f>
        <v>0</v>
      </c>
      <c r="CC75" s="697">
        <f>IF(AND(Sheet1!$L75=0,Sheet1!$L74=0, Calculation!BU75&lt;Sheet1!EF75-0.1,Sheet1!EF75=Sheet1!EF74,Sheet1!EF75=Sheet1!EF76),Sheet1!EF75,BV75-CB75)</f>
        <v>1.7803468208093467</v>
      </c>
      <c r="CD75" s="697"/>
      <c r="CE75" s="712"/>
      <c r="CF75" s="712">
        <f t="shared" si="320"/>
        <v>23.357430956968429</v>
      </c>
      <c r="CG75" s="712"/>
      <c r="CH75" s="712">
        <f ca="1">IF(B75&gt;Summary!$A$1,#N/A,CF75*MGtoAF)</f>
        <v>71.660598175979146</v>
      </c>
      <c r="CI75" s="712">
        <f>Sheet1!BK75+Sheet1!BL75+Sheet1!BM75-Sheet1!EN75-CQ75</f>
        <v>4.7</v>
      </c>
      <c r="CJ75" s="712">
        <f t="shared" si="321"/>
        <v>4.781502890173674</v>
      </c>
      <c r="CK75" s="712">
        <f>IF(Sheet1!EN75="FM",CQ75,0)</f>
        <v>0</v>
      </c>
      <c r="CL75" s="712">
        <f t="shared" si="322"/>
        <v>0</v>
      </c>
      <c r="CM75" s="712">
        <f>IF(Sheet1!EN75="OTHER",CQ75,0)</f>
        <v>0</v>
      </c>
      <c r="CN75" s="712">
        <f t="shared" si="323"/>
        <v>0</v>
      </c>
      <c r="CO75" s="712">
        <f t="shared" si="324"/>
        <v>4.7</v>
      </c>
      <c r="CP75" s="712">
        <f t="shared" si="325"/>
        <v>4.781502890173674</v>
      </c>
      <c r="CQ75" s="712">
        <f>IF(OR(Sheet1!EN75="FM", Sheet1!EN75="OTHER"),SUM(Sheet1!BK75:'Sheet1'!BM75),0)</f>
        <v>0</v>
      </c>
      <c r="CR75" s="697">
        <f>IF(AND($B75&gt;=$FL75,$B75&lt;=$FM75),MAX($CJ75,Sheet1!EG75,0),MAX($CJ75-(7/36)*$K75,0))</f>
        <v>0</v>
      </c>
      <c r="CS75" s="712">
        <f t="shared" si="326"/>
        <v>7.787385998715215</v>
      </c>
      <c r="CT75" s="697">
        <f t="shared" si="375"/>
        <v>4.781502890173674</v>
      </c>
      <c r="CU75" s="697">
        <f>IF(AND($O75&gt;0,Sheet1!EK75=1),(1-($O75-Sheet1!$L75)/$O75)*CP75,0)</f>
        <v>0</v>
      </c>
      <c r="CV75" s="697">
        <f>IF(AND(Sheet1!$L75=0,Sheet1!$L74=0, Calculation!CO75&lt;Sheet1!$EG75-0.1,Sheet1!$EG75=Sheet1!$EG74,Sheet1!$EG75=Sheet1!$EG76),Sheet1!$EG75,CP75-CU75)</f>
        <v>4.781502890173674</v>
      </c>
      <c r="CW75" s="697">
        <f t="shared" si="362"/>
        <v>0</v>
      </c>
      <c r="CX75" s="712">
        <f t="shared" si="379"/>
        <v>6.45</v>
      </c>
      <c r="CY75" s="712">
        <f t="shared" si="327"/>
        <v>20.356274887604105</v>
      </c>
      <c r="CZ75" s="712">
        <f t="shared" si="328"/>
        <v>6.5618497109830205</v>
      </c>
      <c r="DA75" s="712">
        <f ca="1">IF(B75&gt;Summary!$A$1,#N/A,CY75*MGtoAF)</f>
        <v>62.453051355169393</v>
      </c>
      <c r="DB75" s="712">
        <f t="shared" si="329"/>
        <v>6.45</v>
      </c>
      <c r="DC75" s="712">
        <f t="shared" si="330"/>
        <v>25.95</v>
      </c>
      <c r="DD75" s="712">
        <f>Sheet1!AB75-DC75</f>
        <v>0.4500000000014559</v>
      </c>
      <c r="DE75" s="712">
        <f t="shared" si="331"/>
        <v>1.7341040462483852E-2</v>
      </c>
      <c r="DF75" s="712">
        <f>(VLOOKUP(Sheet1!CY75,hhdcap_wcm,4)-(((VLOOKUP(Sheet1!CY75,hhdcap_wcm,3)-Sheet1!CY75)/(VLOOKUP(Sheet1!CY75,hhdcap_wcm,3)-VLOOKUP(Sheet1!CY75,hhdcap_wcm,1)))*(VLOOKUP(Sheet1!CY75,hhdcap_wcm,4)-VLOOKUP(Sheet1!CY75,hhdcap_wcm,2))))</f>
        <v>2087.2000000030148</v>
      </c>
      <c r="DG75" s="712">
        <f t="shared" si="332"/>
        <v>269.40000000040732</v>
      </c>
      <c r="DH75" s="712">
        <f t="shared" si="333"/>
        <v>135.85476550701324</v>
      </c>
      <c r="DI75" s="712">
        <f>Sheet1!DW75*AFtoMG</f>
        <v>0</v>
      </c>
      <c r="DJ75" s="712">
        <f>Sheet1!DX75*AFtoMG</f>
        <v>0</v>
      </c>
      <c r="DK75" s="712">
        <f>Sheet1!DY75*AFtoMG</f>
        <v>0</v>
      </c>
      <c r="DL75" s="712">
        <f>Sheet1!DZ75*AFtoMG</f>
        <v>0</v>
      </c>
      <c r="DM75" s="712">
        <f t="shared" si="334"/>
        <v>0</v>
      </c>
      <c r="DN75" s="712">
        <f t="shared" si="335"/>
        <v>0</v>
      </c>
      <c r="DO75" s="712">
        <f t="shared" si="336"/>
        <v>122.71815028901698</v>
      </c>
      <c r="DP75" s="712">
        <f t="shared" si="337"/>
        <v>376.49928508670411</v>
      </c>
      <c r="DQ75" s="712"/>
      <c r="DR75" s="697">
        <f>IF(OR(B75&lt;FL75,B75&gt;FM75),(MIN(AV75+BO75+CJ75+MAX(Sheet1!AA75+AG75-73,0),K75)),0)</f>
        <v>6.5618497109830205</v>
      </c>
      <c r="DS75" s="712"/>
      <c r="DT75" s="712">
        <f t="shared" si="338"/>
        <v>6.5618497109830205</v>
      </c>
      <c r="DU75" s="712"/>
      <c r="DV75" s="712">
        <f>Sheet1!ED75+Sheet1!EE75+Sheet1!EF75+Sheet1!EG75</f>
        <v>8.5</v>
      </c>
      <c r="DW75" s="712"/>
      <c r="DX75" s="697">
        <f t="shared" si="376"/>
        <v>0</v>
      </c>
      <c r="DY75" s="712">
        <f>IF(Sheet1!FN75=1,SUM('Calculations II'!AT75:BA75)+'Calculations II'!BC75+Sheet1!BU75+'Calculations II'!BE75+AF75,SUM('Calculations II'!AT75:BA75)+'Calculations II'!BC75+Sheet1!BU75+'Calculations II'!BE75+AF75)</f>
        <v>44.680127999999996</v>
      </c>
      <c r="DZ75" s="712">
        <f>Sheet1!AA75+Sheet1!AB75+'Calculations II'!BC75</f>
        <v>56.900000000001455</v>
      </c>
      <c r="EA75" s="712"/>
      <c r="EB75" s="712"/>
      <c r="EC75" s="712">
        <f t="shared" si="339"/>
        <v>40604</v>
      </c>
      <c r="ED75" s="712">
        <f t="shared" si="340"/>
        <v>58.078150289016982</v>
      </c>
      <c r="EE75" s="712">
        <f t="shared" si="341"/>
        <v>89.846898497109265</v>
      </c>
      <c r="EF75" s="712">
        <f>-(VLOOKUP(Sheet1!BQ75,Lookup!$B$4:$J$236,2)-VLOOKUP(Sheet1!BQ74,Lookup!$B$4:$J$236,2))/1000000</f>
        <v>-1.0751999999999999</v>
      </c>
      <c r="EG75" s="712">
        <f>-(VLOOKUP(Sheet1!BR75,Lookup!$B$4:$J$236,3)-VLOOKUP(Sheet1!BR74,Lookup!$B$4:$J$236,3))/1000000</f>
        <v>-1.0693999999999999</v>
      </c>
      <c r="EH75" s="712">
        <f>-(VLOOKUP(Sheet1!BS75,Lookup!$B$4:$J$236,4)-VLOOKUP(Sheet1!BS74,Lookup!$B$4:$J$236,4))/1000000</f>
        <v>0</v>
      </c>
      <c r="EI75" s="697">
        <f t="shared" si="380"/>
        <v>-2.1445999999999996</v>
      </c>
      <c r="EJ75" s="712"/>
      <c r="EK75" s="712"/>
      <c r="EL75" s="712"/>
      <c r="EM75" s="712"/>
      <c r="EN75" s="712"/>
      <c r="EO75" s="712"/>
      <c r="EP75" s="712"/>
      <c r="EQ75" s="712"/>
      <c r="ER75" s="697">
        <v>0</v>
      </c>
      <c r="ES75" s="712"/>
      <c r="ET75" s="794" t="e">
        <f t="shared" si="342"/>
        <v>#N/A</v>
      </c>
      <c r="EU75" s="794" t="e">
        <f t="shared" si="363"/>
        <v>#VALUE!</v>
      </c>
      <c r="EV75" s="795" t="e">
        <f t="shared" si="364"/>
        <v>#VALUE!</v>
      </c>
      <c r="EW75" s="796" t="s">
        <v>757</v>
      </c>
      <c r="EX75" s="796" t="s">
        <v>757</v>
      </c>
      <c r="EY75" s="794">
        <v>0</v>
      </c>
      <c r="EZ75" s="794" t="e">
        <v>#N/A</v>
      </c>
      <c r="FA75" s="712"/>
      <c r="FB75" s="712"/>
      <c r="FC75" s="712"/>
      <c r="FD75" s="712"/>
      <c r="FE75" s="712">
        <f>O75+Sheet1!CO75</f>
        <v>56.900000000001455</v>
      </c>
      <c r="FF75" s="712">
        <f>IF(Sheet1!AA75+AG75&lt;=Calculation!N75,AG75,Calculation!N75-Sheet1!AA75)</f>
        <v>19.838150289018436</v>
      </c>
      <c r="FG75" s="712">
        <f>(Sheet1!BP75+Sheet1!BO75)/694.4</f>
        <v>1.3533986175115207</v>
      </c>
      <c r="FH75" s="712"/>
      <c r="FI75" s="712"/>
      <c r="FJ75" s="712"/>
      <c r="FK75" s="712"/>
      <c r="FL75" s="714">
        <f t="shared" si="381"/>
        <v>40753</v>
      </c>
      <c r="FM75" s="714">
        <f t="shared" si="382"/>
        <v>40851</v>
      </c>
      <c r="FN75" s="712"/>
      <c r="FO75" s="712"/>
      <c r="FP75" s="712"/>
      <c r="FQ75" s="712"/>
      <c r="FR75" s="712"/>
      <c r="FS75" s="725">
        <f t="shared" si="383"/>
        <v>40603</v>
      </c>
      <c r="FT75" s="714">
        <f t="shared" si="384"/>
        <v>40709</v>
      </c>
      <c r="FU75" s="712">
        <f t="shared" si="385"/>
        <v>6518.9048239895692</v>
      </c>
      <c r="FV75" s="714">
        <f t="shared" si="386"/>
        <v>40722</v>
      </c>
      <c r="FW75" s="712">
        <f t="shared" si="387"/>
        <v>3259.4524119947846</v>
      </c>
      <c r="FX75" s="725">
        <f t="shared" si="388"/>
        <v>40851</v>
      </c>
      <c r="FZ75" s="697">
        <f t="shared" si="365"/>
        <v>0</v>
      </c>
      <c r="GA75" s="712" t="str">
        <f t="shared" si="343"/>
        <v/>
      </c>
      <c r="GB75" s="712">
        <f t="shared" si="344"/>
        <v>0</v>
      </c>
      <c r="GC75" s="712" t="str">
        <f t="shared" si="345"/>
        <v/>
      </c>
      <c r="GD75" s="712">
        <f>IF(GA75="P",Lookup!$M$12,IF(GA75="PP",Lookup!$M$13,IF(GA75="PPP",Lookup!$M$14,IF(GA75="T",Lookup!$M$15,IF(GA75="TP",Lookup!$M$16,IF(GA75="TPP",Lookup!$M$17,IF(GA75="TPPP",Lookup!$M$18,0)))))))*FZ75</f>
        <v>0</v>
      </c>
      <c r="GE75" s="712">
        <f t="shared" si="346"/>
        <v>0</v>
      </c>
      <c r="GF75" s="712">
        <f t="shared" si="347"/>
        <v>165.26293333333334</v>
      </c>
      <c r="GG75" s="712">
        <f t="shared" si="348"/>
        <v>53.866666666666667</v>
      </c>
      <c r="GH75" s="712"/>
      <c r="GI75" s="712">
        <f t="shared" si="349"/>
        <v>0</v>
      </c>
      <c r="GJ75" s="712" t="str">
        <f t="shared" si="350"/>
        <v/>
      </c>
      <c r="GK75" s="712">
        <f>IF(GA75="P",Lookup!$N$12,IF(GA75="PP",Lookup!$N$13,IF(GA75="PPP",Lookup!$N$14,IF(GA75="T",Lookup!$N$15,IF(GA75="TP",Lookup!$N$16,IF(GA75="TPP",Lookup!$N$17,IF(GA75="TPPP",Lookup!$N$18,0)))))))*FZ75</f>
        <v>0</v>
      </c>
      <c r="GL75" s="712">
        <f t="shared" si="351"/>
        <v>0</v>
      </c>
      <c r="GM75" s="712">
        <f t="shared" si="352"/>
        <v>77.12270222222223</v>
      </c>
      <c r="GN75" s="712">
        <f t="shared" si="353"/>
        <v>25.137777777777778</v>
      </c>
      <c r="GO75" s="712"/>
      <c r="GP75" s="712">
        <f t="shared" si="354"/>
        <v>0</v>
      </c>
      <c r="GQ75" s="712" t="str">
        <f t="shared" si="355"/>
        <v/>
      </c>
      <c r="GR75" s="712">
        <f>IF(GA75="P",Lookup!$N$12,IF(GA75="PP",Lookup!$N$13,IF(GA75="PPP",Lookup!$N$14,IF(GA75="T",Lookup!$N$15,IF(GA75="TP",Lookup!$N$16,IF(GA75="TPP",Lookup!$N$17,IF(GA75="TPPP",Lookup!$N$18,0)))))))*FZ75</f>
        <v>0</v>
      </c>
      <c r="GS75" s="697">
        <f t="shared" si="377"/>
        <v>0</v>
      </c>
      <c r="GT75" s="712">
        <f t="shared" si="356"/>
        <v>71.660598175979146</v>
      </c>
      <c r="GU75" s="712">
        <f t="shared" si="357"/>
        <v>23.357430956968429</v>
      </c>
      <c r="GV75" s="712"/>
      <c r="GW75" s="712">
        <f t="shared" si="358"/>
        <v>0</v>
      </c>
      <c r="GX75" s="712" t="str">
        <f t="shared" si="359"/>
        <v/>
      </c>
      <c r="GY75" s="712">
        <f>IF(GA75="P",Lookup!$N$12,IF(GA75="PP",Lookup!$N$13,IF(GA75="PPP",Lookup!$N$14,IF(GA75="T",Lookup!$N$15,IF(GA75="TP",Lookup!$N$16,IF(GA75="TPP",Lookup!$N$17,IF(GA75="TPPP",Lookup!$N$18,0)))))))*FZ75</f>
        <v>0</v>
      </c>
      <c r="GZ75" s="697">
        <f t="shared" si="378"/>
        <v>0</v>
      </c>
      <c r="HA75" s="712">
        <f t="shared" si="360"/>
        <v>62.453051355169393</v>
      </c>
      <c r="HB75" s="712">
        <f t="shared" si="361"/>
        <v>20.356274887604105</v>
      </c>
      <c r="HC75" s="712"/>
    </row>
    <row r="76" spans="1:211">
      <c r="A76" s="773" t="s">
        <v>7</v>
      </c>
      <c r="B76" s="708">
        <v>40605</v>
      </c>
      <c r="C76" s="719">
        <v>0.5</v>
      </c>
      <c r="D76" s="675">
        <f t="shared" si="366"/>
        <v>300</v>
      </c>
      <c r="E76" s="675">
        <f t="shared" si="367"/>
        <v>250</v>
      </c>
      <c r="F76" s="675">
        <v>250</v>
      </c>
      <c r="G76" s="712">
        <f>DH76+Sheet1!CV76</f>
        <v>674.76713832303187</v>
      </c>
      <c r="H76" s="712">
        <f t="shared" si="294"/>
        <v>169.20627821200779</v>
      </c>
      <c r="I76" s="711">
        <f>MAX(Sheet1!Z76-AJ76+(Sheet1!CW76-E76)*CFStoMGD,0)</f>
        <v>639.06793330768232</v>
      </c>
      <c r="J76" s="720">
        <f>IF(AND(B76&gt;=Calculation!FS76,B76&lt;=Calculation!FT76),IF(Sheet1!CX76&gt;=Calculation!D76,64.64,0),MAX(Sheet1!Z76-AJ76+(Sheet1!CX76-D76)*CFStoMGD,0))</f>
        <v>64.64</v>
      </c>
      <c r="K76" s="697">
        <f t="shared" si="368"/>
        <v>64.64</v>
      </c>
      <c r="L76" s="712">
        <f>Sheet1!AA76+Sheet1!AB76-Sheet1!L76+(Sheet1!CW76-F76)*CFStoMGD</f>
        <v>686.27466666667533</v>
      </c>
      <c r="M76" s="712">
        <f t="shared" si="295"/>
        <v>444.89286777624795</v>
      </c>
      <c r="N76" s="712">
        <f>IF(Sheet1!CW76&gt;=F76,MIN(73,MIN(MAX(L76,0),MAX(M76,0))),0)</f>
        <v>73</v>
      </c>
      <c r="O76" s="721">
        <f>Sheet1!AA76+Sheet1!AB76</f>
        <v>55.900000000008731</v>
      </c>
      <c r="P76" s="721">
        <f t="shared" si="296"/>
        <v>86.477300000013514</v>
      </c>
      <c r="Q76" s="712">
        <f>MIN(N76,Sheet1!AA76+AG76)</f>
        <v>47.406733358992952</v>
      </c>
      <c r="R76" s="712">
        <f t="shared" si="297"/>
        <v>8.4932666410157758</v>
      </c>
      <c r="S76" s="721">
        <f>Sheet1!Y76*MGDtoCFS</f>
        <v>46.874099999999999</v>
      </c>
      <c r="T76" s="721">
        <f>Sheet1!Z76*MGDtoCFS</f>
        <v>40.531399999999998</v>
      </c>
      <c r="U76" s="721">
        <f>Sheet1!AA76*MGDtoCFS</f>
        <v>46.255300000013506</v>
      </c>
      <c r="V76" s="721">
        <f>Sheet1!AB76*MGDtoCFS</f>
        <v>40.222000000000001</v>
      </c>
      <c r="W76" s="721">
        <f>Sheet1!L76*MGDtoCFS</f>
        <v>0</v>
      </c>
      <c r="X76" s="697">
        <f t="shared" si="369"/>
        <v>0</v>
      </c>
      <c r="Y76" s="712">
        <f t="shared" si="298"/>
        <v>0</v>
      </c>
      <c r="Z76" s="712">
        <f t="shared" si="299"/>
        <v>56.146733358984221</v>
      </c>
      <c r="AA76" s="712">
        <f t="shared" si="300"/>
        <v>86.858996506348589</v>
      </c>
      <c r="AB76" s="712">
        <f>(VLOOKUP(Sheet1!CY76,hhdcap_wcm,4)-(((VLOOKUP(Sheet1!CY76,hhdcap_wcm,3)-Sheet1!CY76)/(VLOOKUP(Sheet1!CY76,hhdcap_wcm,3)-VLOOKUP(Sheet1!CY76,hhdcap_wcm,1)))*(VLOOKUP(Sheet1!CY76,hhdcap_wcm,4)-VLOOKUP(Sheet1!CY76,hhdcap_wcm,2))))</f>
        <v>2314.2000000034695</v>
      </c>
      <c r="AC76" s="712">
        <f t="shared" si="301"/>
        <v>227.00000000045475</v>
      </c>
      <c r="AD76" s="712">
        <f t="shared" si="370"/>
        <v>178.86488364800121</v>
      </c>
      <c r="AE76" s="712">
        <f t="shared" si="302"/>
        <v>548.75746303206768</v>
      </c>
      <c r="AF76" s="712">
        <f>Sheet1!BA76+Sheet1!BB76+Sheet1!BN76+BT76</f>
        <v>17.5</v>
      </c>
      <c r="AG76" s="712">
        <f t="shared" si="303"/>
        <v>17.506733358984224</v>
      </c>
      <c r="AH76" s="712">
        <f>Sheet1!BA76+BT76</f>
        <v>0</v>
      </c>
      <c r="AI76" s="712">
        <f>Sheet1!BA76+Sheet1!BB76+BT76</f>
        <v>0</v>
      </c>
      <c r="AJ76" s="712">
        <f>IF((Sheet1!AA76+AG76+AX76+AZ76+BQ76+BS76+CL76+CN76)&lt;=N76,AG76+AX76+AZ76+BQ76+BS76+CL76+CN76,N76-Sheet1!AA76)</f>
        <v>17.506733358984224</v>
      </c>
      <c r="AK76" s="712">
        <f>IF(DR76&lt;K76,0,MAX(Sheet1!AA76+AG76-15/36*K76-N76,Sheet1!ED76,0))</f>
        <v>0</v>
      </c>
      <c r="AL76" s="712">
        <f>IF(OR(B76&gt;=FT76,B76&lt;FS76),0,15/36*K76-MAX(0,64.6-(137.6-(Sheet1!AA76+Sheet1!AB76))))</f>
        <v>26.933333333333334</v>
      </c>
      <c r="AM76" s="712">
        <f>Sheet1!CX76-110</f>
        <v>408.66666666666663</v>
      </c>
      <c r="AN76" s="712">
        <f>Sheet1!CW76-265</f>
        <v>960.20833333333326</v>
      </c>
      <c r="AO76" s="712">
        <f t="shared" si="371"/>
        <v>25.593266641007048</v>
      </c>
      <c r="AP76" s="712">
        <f t="shared" si="372"/>
        <v>0</v>
      </c>
      <c r="AQ76" s="712">
        <f t="shared" si="304"/>
        <v>0</v>
      </c>
      <c r="AR76" s="712">
        <f t="shared" si="305"/>
        <v>80.8</v>
      </c>
      <c r="AS76" s="712"/>
      <c r="AT76" s="712">
        <f ca="1">IF(B76&gt;Summary!$A$1,#N/A,AR76*MGtoAF)</f>
        <v>247.89439999999999</v>
      </c>
      <c r="AU76" s="712">
        <f>Sheet1!BG76+Sheet1!BH76+Sheet1!BI76-BC76</f>
        <v>0</v>
      </c>
      <c r="AV76" s="712">
        <f t="shared" si="306"/>
        <v>0</v>
      </c>
      <c r="AW76" s="712">
        <f>IF(Sheet1!EL76="FM",BC76,0)</f>
        <v>0</v>
      </c>
      <c r="AX76" s="712">
        <f t="shared" si="307"/>
        <v>0</v>
      </c>
      <c r="AY76" s="712">
        <f>IF(Sheet1!EL76="OTHER",BC76,0)</f>
        <v>0</v>
      </c>
      <c r="AZ76" s="712">
        <f t="shared" si="308"/>
        <v>0</v>
      </c>
      <c r="BA76" s="712">
        <f t="shared" si="309"/>
        <v>0</v>
      </c>
      <c r="BB76" s="712">
        <f t="shared" si="310"/>
        <v>0</v>
      </c>
      <c r="BC76" s="712">
        <f>IF(OR(Sheet1!EL76="FM", Sheet1!EL76="OTHER"),SUM(Sheet1!BG76:'Sheet1'!BI76),0)</f>
        <v>0</v>
      </c>
      <c r="BD76" s="697">
        <f>IF(AND($B76&gt;=$FL76,$B76&lt;=$FM76),MAX(AV76,Sheet1!EE76,0),MAX(AV76-(7/36)*$K76,0))</f>
        <v>0</v>
      </c>
      <c r="BE76" s="712">
        <f t="shared" si="311"/>
        <v>12.568888888888889</v>
      </c>
      <c r="BF76" s="697">
        <f t="shared" si="373"/>
        <v>0</v>
      </c>
      <c r="BG76" s="697">
        <f>IF(AND($O76&gt;0,Sheet1!EI76=1),(1-($O76-Sheet1!$L76)/$O76)*BB76,0)</f>
        <v>0</v>
      </c>
      <c r="BH76" s="697">
        <f>IF(AND(Sheet1!$L76=0,Sheet1!$L75=0, Calculation!BA76&lt;Sheet1!$EE76-0.1,Sheet1!$EE76=Sheet1!$EE75,Sheet1!$EE76=Sheet1!$EE77),Sheet1!$EE76,BB76-BG76)</f>
        <v>0</v>
      </c>
      <c r="BI76" s="712"/>
      <c r="BJ76" s="712"/>
      <c r="BK76" s="712">
        <f t="shared" si="312"/>
        <v>37.706666666666663</v>
      </c>
      <c r="BL76" s="712"/>
      <c r="BM76" s="712">
        <f ca="1">IF(B76&gt;Summary!$A$1,#N/A,BK76*MGtoAF)</f>
        <v>115.68405333333332</v>
      </c>
      <c r="BN76" s="712">
        <f>Sheet1!BC76+Sheet1!BD76+Sheet1!BE76+Sheet1!BF76-BW76-BX76</f>
        <v>2.46</v>
      </c>
      <c r="BO76" s="712">
        <f t="shared" si="313"/>
        <v>2.4609465178914967</v>
      </c>
      <c r="BP76" s="712">
        <f>IF(Sheet1!EM76="FM",BX76,0)</f>
        <v>0</v>
      </c>
      <c r="BQ76" s="712">
        <f t="shared" si="314"/>
        <v>0</v>
      </c>
      <c r="BR76" s="712">
        <f>IF(Sheet1!EM76="OTHER",BX76,0)</f>
        <v>0</v>
      </c>
      <c r="BS76" s="712">
        <f t="shared" si="315"/>
        <v>0</v>
      </c>
      <c r="BT76" s="712">
        <f t="shared" si="316"/>
        <v>0</v>
      </c>
      <c r="BU76" s="712">
        <f t="shared" si="317"/>
        <v>2.46</v>
      </c>
      <c r="BV76" s="712">
        <f t="shared" si="318"/>
        <v>2.4609465178914967</v>
      </c>
      <c r="BW76" s="712">
        <f>IF(Sheet1!EM76="CWA",SUM(Sheet1!BC76:'Sheet1'!BF76),0)</f>
        <v>0</v>
      </c>
      <c r="BX76" s="712">
        <f>IF(OR(Sheet1!EM76="FM", Sheet1!EM76="OTHER"),SUM(Sheet1!BC76:'Sheet1'!BF76),0)</f>
        <v>0</v>
      </c>
      <c r="BY76" s="697">
        <f>IF(AND($B76&gt;=$FL76,$B76&lt;=$FM76),MAX(BV76,Sheet1!EF76,0),MAX(BV76-(7/36)*$K76,0))</f>
        <v>0</v>
      </c>
      <c r="BZ76" s="712">
        <f t="shared" si="319"/>
        <v>10.107942370997392</v>
      </c>
      <c r="CA76" s="697">
        <f t="shared" si="374"/>
        <v>2.4609465178914967</v>
      </c>
      <c r="CB76" s="697">
        <f>IF(AND($O76&gt;0,Sheet1!EJ76=1),(1-($O76-Sheet1!$L76)/$O76)*BV76,0)</f>
        <v>0</v>
      </c>
      <c r="CC76" s="697">
        <f>IF(AND(Sheet1!$L76=0,Sheet1!$L75=0, Calculation!BU76&lt;Sheet1!EF76-0.1,Sheet1!EF76=Sheet1!EF75,Sheet1!EF76=Sheet1!EF77),Sheet1!EF76,BV76-CB76)</f>
        <v>2.4609465178914967</v>
      </c>
      <c r="CD76" s="697"/>
      <c r="CE76" s="712"/>
      <c r="CF76" s="712">
        <f t="shared" si="320"/>
        <v>33.465373327965821</v>
      </c>
      <c r="CG76" s="712"/>
      <c r="CH76" s="712">
        <f ca="1">IF(B76&gt;Summary!$A$1,#N/A,CF76*MGtoAF)</f>
        <v>102.67176537019914</v>
      </c>
      <c r="CI76" s="712">
        <f>Sheet1!BK76+Sheet1!BL76+Sheet1!BM76-Sheet1!EN76-CQ76</f>
        <v>6.0299999999999994</v>
      </c>
      <c r="CJ76" s="712">
        <f t="shared" si="321"/>
        <v>6.0323201231242782</v>
      </c>
      <c r="CK76" s="712">
        <f>IF(Sheet1!EN76="FM",CQ76,0)</f>
        <v>0</v>
      </c>
      <c r="CL76" s="712">
        <f t="shared" si="322"/>
        <v>0</v>
      </c>
      <c r="CM76" s="712">
        <f>IF(Sheet1!EN76="OTHER",CQ76,0)</f>
        <v>0</v>
      </c>
      <c r="CN76" s="712">
        <f t="shared" si="323"/>
        <v>0</v>
      </c>
      <c r="CO76" s="712">
        <f t="shared" si="324"/>
        <v>6.0299999999999994</v>
      </c>
      <c r="CP76" s="712">
        <f t="shared" si="325"/>
        <v>6.0323201231242782</v>
      </c>
      <c r="CQ76" s="712">
        <f>IF(OR(Sheet1!EN76="FM", Sheet1!EN76="OTHER"),SUM(Sheet1!BK76:'Sheet1'!BM76),0)</f>
        <v>0</v>
      </c>
      <c r="CR76" s="697">
        <f>IF(AND($B76&gt;=$FL76,$B76&lt;=$FM76),MAX($CJ76,Sheet1!EG76,0),MAX($CJ76-(7/36)*$K76,0))</f>
        <v>0</v>
      </c>
      <c r="CS76" s="712">
        <f t="shared" si="326"/>
        <v>6.5365687657646108</v>
      </c>
      <c r="CT76" s="697">
        <f t="shared" si="375"/>
        <v>6.0323201231242782</v>
      </c>
      <c r="CU76" s="697">
        <f>IF(AND($O76&gt;0,Sheet1!EK76=1),(1-($O76-Sheet1!$L76)/$O76)*CP76,0)</f>
        <v>0</v>
      </c>
      <c r="CV76" s="697">
        <f>IF(AND(Sheet1!$L76=0,Sheet1!$L75=0, Calculation!CO76&lt;Sheet1!$EG76-0.1,Sheet1!$EG76=Sheet1!$EG75,Sheet1!$EG76=Sheet1!$EG77),Sheet1!$EG76,CP76-CU76)</f>
        <v>6.0323201231242782</v>
      </c>
      <c r="CW76" s="697">
        <f t="shared" si="362"/>
        <v>0</v>
      </c>
      <c r="CX76" s="712">
        <f t="shared" si="379"/>
        <v>8.4899999999999984</v>
      </c>
      <c r="CY76" s="712">
        <f t="shared" si="327"/>
        <v>26.892843653368715</v>
      </c>
      <c r="CZ76" s="712">
        <f t="shared" si="328"/>
        <v>8.4932666410157758</v>
      </c>
      <c r="DA76" s="712">
        <f ca="1">IF(B76&gt;Summary!$A$1,#N/A,CY76*MGtoAF)</f>
        <v>82.507244328535222</v>
      </c>
      <c r="DB76" s="712">
        <f t="shared" si="329"/>
        <v>8.4899999999999984</v>
      </c>
      <c r="DC76" s="712">
        <f t="shared" si="330"/>
        <v>25.99</v>
      </c>
      <c r="DD76" s="712">
        <f>Sheet1!AB76-DC76</f>
        <v>1.0000000000001563E-2</v>
      </c>
      <c r="DE76" s="712">
        <f t="shared" si="331"/>
        <v>3.8476337052718596E-4</v>
      </c>
      <c r="DF76" s="712">
        <f>(VLOOKUP(Sheet1!CY76,hhdcap_wcm,4)-(((VLOOKUP(Sheet1!CY76,hhdcap_wcm,3)-Sheet1!CY76)/(VLOOKUP(Sheet1!CY76,hhdcap_wcm,3)-VLOOKUP(Sheet1!CY76,hhdcap_wcm,1)))*(VLOOKUP(Sheet1!CY76,hhdcap_wcm,4)-VLOOKUP(Sheet1!CY76,hhdcap_wcm,2))))</f>
        <v>2314.2000000034695</v>
      </c>
      <c r="DG76" s="712">
        <f t="shared" si="332"/>
        <v>227.00000000045475</v>
      </c>
      <c r="DH76" s="712">
        <f t="shared" si="333"/>
        <v>114.47302067597313</v>
      </c>
      <c r="DI76" s="712">
        <f>Sheet1!DW76*AFtoMG</f>
        <v>0</v>
      </c>
      <c r="DJ76" s="712">
        <f>Sheet1!DX76*AFtoMG</f>
        <v>0</v>
      </c>
      <c r="DK76" s="712">
        <f>Sheet1!DY76*AFtoMG</f>
        <v>0</v>
      </c>
      <c r="DL76" s="712">
        <f>Sheet1!DZ76*AFtoMG</f>
        <v>0</v>
      </c>
      <c r="DM76" s="712">
        <f t="shared" si="334"/>
        <v>0</v>
      </c>
      <c r="DN76" s="712">
        <f t="shared" si="335"/>
        <v>0</v>
      </c>
      <c r="DO76" s="712">
        <f t="shared" si="336"/>
        <v>178.86488364800121</v>
      </c>
      <c r="DP76" s="712">
        <f t="shared" si="337"/>
        <v>548.75746303206768</v>
      </c>
      <c r="DQ76" s="712"/>
      <c r="DR76" s="697">
        <f>IF(OR(B76&lt;FL76,B76&gt;FM76),(MIN(AV76+BO76+CJ76+MAX(Sheet1!AA76+AG76-73,0),K76)),0)</f>
        <v>8.4932666410157758</v>
      </c>
      <c r="DS76" s="712"/>
      <c r="DT76" s="712">
        <f t="shared" si="338"/>
        <v>8.4932666410157758</v>
      </c>
      <c r="DU76" s="712"/>
      <c r="DV76" s="712">
        <f>Sheet1!ED76+Sheet1!EE76+Sheet1!EF76+Sheet1!EG76</f>
        <v>8.5</v>
      </c>
      <c r="DW76" s="712"/>
      <c r="DX76" s="697">
        <f t="shared" si="376"/>
        <v>0</v>
      </c>
      <c r="DY76" s="712">
        <f>IF(Sheet1!FN76=1,SUM('Calculations II'!AT76:BA76)+'Calculations II'!BC76+Sheet1!BU76+'Calculations II'!BE76+AF76,SUM('Calculations II'!AT76:BA76)+'Calculations II'!BC76+Sheet1!BU76+'Calculations II'!BE76+AF76)</f>
        <v>44.350064000000003</v>
      </c>
      <c r="DZ76" s="712">
        <f>Sheet1!AA76+Sheet1!AB76+'Calculations II'!BC76</f>
        <v>55.900000000008731</v>
      </c>
      <c r="EA76" s="712"/>
      <c r="EB76" s="712"/>
      <c r="EC76" s="712">
        <f t="shared" si="339"/>
        <v>40605</v>
      </c>
      <c r="ED76" s="712">
        <f t="shared" si="340"/>
        <v>56.146733358984221</v>
      </c>
      <c r="EE76" s="712">
        <f t="shared" si="341"/>
        <v>86.858996506348589</v>
      </c>
      <c r="EF76" s="712">
        <f>-(VLOOKUP(Sheet1!BQ76,Lookup!$B$4:$J$236,2)-VLOOKUP(Sheet1!BQ75,Lookup!$B$4:$J$236,2))/1000000</f>
        <v>-0.27050000000000002</v>
      </c>
      <c r="EG76" s="712">
        <f>-(VLOOKUP(Sheet1!BR76,Lookup!$B$4:$J$236,3)-VLOOKUP(Sheet1!BR75,Lookup!$B$4:$J$236,3))/1000000</f>
        <v>-0.27</v>
      </c>
      <c r="EH76" s="712">
        <f>-(VLOOKUP(Sheet1!BS76,Lookup!$B$4:$J$236,4)-VLOOKUP(Sheet1!BS75,Lookup!$B$4:$J$236,4))/1000000</f>
        <v>0</v>
      </c>
      <c r="EI76" s="697">
        <f t="shared" si="380"/>
        <v>-0.54049999999999998</v>
      </c>
      <c r="EJ76" s="712"/>
      <c r="EK76" s="712"/>
      <c r="EL76" s="712"/>
      <c r="EM76" s="712"/>
      <c r="EN76" s="712"/>
      <c r="EO76" s="712"/>
      <c r="EP76" s="712"/>
      <c r="EQ76" s="712"/>
      <c r="ER76" s="697">
        <v>0</v>
      </c>
      <c r="ES76" s="712"/>
      <c r="ET76" s="794" t="e">
        <f t="shared" si="342"/>
        <v>#N/A</v>
      </c>
      <c r="EU76" s="794" t="e">
        <f t="shared" si="363"/>
        <v>#VALUE!</v>
      </c>
      <c r="EV76" s="795" t="e">
        <f t="shared" si="364"/>
        <v>#VALUE!</v>
      </c>
      <c r="EW76" s="796" t="s">
        <v>757</v>
      </c>
      <c r="EX76" s="796" t="s">
        <v>757</v>
      </c>
      <c r="EY76" s="794">
        <v>0</v>
      </c>
      <c r="EZ76" s="794" t="e">
        <v>#N/A</v>
      </c>
      <c r="FA76" s="712"/>
      <c r="FB76" s="712"/>
      <c r="FC76" s="712"/>
      <c r="FD76" s="712"/>
      <c r="FE76" s="712">
        <f>O76+Sheet1!CO76</f>
        <v>55.900000000008731</v>
      </c>
      <c r="FF76" s="712">
        <f>IF(Sheet1!AA76+AG76&lt;=Calculation!N76,AG76,Calculation!N76-Sheet1!AA76)</f>
        <v>17.506733358984224</v>
      </c>
      <c r="FG76" s="712">
        <f>(Sheet1!BP76+Sheet1!BO76)/694.4</f>
        <v>2.2468317972350231</v>
      </c>
      <c r="FH76" s="712"/>
      <c r="FI76" s="712"/>
      <c r="FJ76" s="712"/>
      <c r="FK76" s="712"/>
      <c r="FL76" s="714">
        <f t="shared" si="381"/>
        <v>40753</v>
      </c>
      <c r="FM76" s="714">
        <f t="shared" si="382"/>
        <v>40851</v>
      </c>
      <c r="FN76" s="712"/>
      <c r="FO76" s="712"/>
      <c r="FP76" s="712"/>
      <c r="FQ76" s="712"/>
      <c r="FR76" s="712"/>
      <c r="FS76" s="725">
        <f t="shared" si="383"/>
        <v>40603</v>
      </c>
      <c r="FT76" s="714">
        <f t="shared" si="384"/>
        <v>40709</v>
      </c>
      <c r="FU76" s="712">
        <f t="shared" si="385"/>
        <v>6518.9048239895692</v>
      </c>
      <c r="FV76" s="714">
        <f t="shared" si="386"/>
        <v>40722</v>
      </c>
      <c r="FW76" s="712">
        <f t="shared" si="387"/>
        <v>3259.4524119947846</v>
      </c>
      <c r="FX76" s="725">
        <f t="shared" si="388"/>
        <v>40851</v>
      </c>
      <c r="FZ76" s="697">
        <f t="shared" si="365"/>
        <v>0</v>
      </c>
      <c r="GA76" s="712" t="str">
        <f t="shared" si="343"/>
        <v/>
      </c>
      <c r="GB76" s="712">
        <f t="shared" si="344"/>
        <v>0</v>
      </c>
      <c r="GC76" s="712" t="str">
        <f t="shared" si="345"/>
        <v/>
      </c>
      <c r="GD76" s="712">
        <f>IF(GA76="P",Lookup!$M$12,IF(GA76="PP",Lookup!$M$13,IF(GA76="PPP",Lookup!$M$14,IF(GA76="T",Lookup!$M$15,IF(GA76="TP",Lookup!$M$16,IF(GA76="TPP",Lookup!$M$17,IF(GA76="TPPP",Lookup!$M$18,0)))))))*FZ76</f>
        <v>0</v>
      </c>
      <c r="GE76" s="712">
        <f t="shared" si="346"/>
        <v>0</v>
      </c>
      <c r="GF76" s="712">
        <f t="shared" si="347"/>
        <v>247.89439999999999</v>
      </c>
      <c r="GG76" s="712">
        <f t="shared" si="348"/>
        <v>80.8</v>
      </c>
      <c r="GH76" s="712"/>
      <c r="GI76" s="712">
        <f t="shared" si="349"/>
        <v>0</v>
      </c>
      <c r="GJ76" s="712" t="str">
        <f t="shared" si="350"/>
        <v/>
      </c>
      <c r="GK76" s="712">
        <f>IF(GA76="P",Lookup!$N$12,IF(GA76="PP",Lookup!$N$13,IF(GA76="PPP",Lookup!$N$14,IF(GA76="T",Lookup!$N$15,IF(GA76="TP",Lookup!$N$16,IF(GA76="TPP",Lookup!$N$17,IF(GA76="TPPP",Lookup!$N$18,0)))))))*FZ76</f>
        <v>0</v>
      </c>
      <c r="GL76" s="712">
        <f t="shared" si="351"/>
        <v>0</v>
      </c>
      <c r="GM76" s="712">
        <f t="shared" si="352"/>
        <v>115.68405333333332</v>
      </c>
      <c r="GN76" s="712">
        <f t="shared" si="353"/>
        <v>37.706666666666663</v>
      </c>
      <c r="GO76" s="712"/>
      <c r="GP76" s="712">
        <f t="shared" si="354"/>
        <v>0</v>
      </c>
      <c r="GQ76" s="712" t="str">
        <f t="shared" si="355"/>
        <v/>
      </c>
      <c r="GR76" s="712">
        <f>IF(GA76="P",Lookup!$N$12,IF(GA76="PP",Lookup!$N$13,IF(GA76="PPP",Lookup!$N$14,IF(GA76="T",Lookup!$N$15,IF(GA76="TP",Lookup!$N$16,IF(GA76="TPP",Lookup!$N$17,IF(GA76="TPPP",Lookup!$N$18,0)))))))*FZ76</f>
        <v>0</v>
      </c>
      <c r="GS76" s="697">
        <f t="shared" si="377"/>
        <v>0</v>
      </c>
      <c r="GT76" s="712">
        <f t="shared" si="356"/>
        <v>102.67176537019914</v>
      </c>
      <c r="GU76" s="712">
        <f t="shared" si="357"/>
        <v>33.465373327965821</v>
      </c>
      <c r="GV76" s="712"/>
      <c r="GW76" s="712">
        <f t="shared" si="358"/>
        <v>0</v>
      </c>
      <c r="GX76" s="712" t="str">
        <f t="shared" si="359"/>
        <v/>
      </c>
      <c r="GY76" s="712">
        <f>IF(GA76="P",Lookup!$N$12,IF(GA76="PP",Lookup!$N$13,IF(GA76="PPP",Lookup!$N$14,IF(GA76="T",Lookup!$N$15,IF(GA76="TP",Lookup!$N$16,IF(GA76="TPP",Lookup!$N$17,IF(GA76="TPPP",Lookup!$N$18,0)))))))*FZ76</f>
        <v>0</v>
      </c>
      <c r="GZ76" s="697">
        <f t="shared" si="378"/>
        <v>0</v>
      </c>
      <c r="HA76" s="712">
        <f t="shared" si="360"/>
        <v>82.507244328535222</v>
      </c>
      <c r="HB76" s="712">
        <f t="shared" si="361"/>
        <v>26.892843653368715</v>
      </c>
      <c r="HC76" s="712"/>
    </row>
    <row r="77" spans="1:211">
      <c r="A77" s="773" t="s">
        <v>8</v>
      </c>
      <c r="B77" s="708">
        <v>40606</v>
      </c>
      <c r="C77" s="709">
        <v>0.5</v>
      </c>
      <c r="D77" s="675">
        <f t="shared" si="366"/>
        <v>300</v>
      </c>
      <c r="E77" s="675">
        <f t="shared" si="367"/>
        <v>250</v>
      </c>
      <c r="F77" s="710">
        <v>250</v>
      </c>
      <c r="G77" s="712">
        <f>DH77+Sheet1!CV77</f>
        <v>644.72575717136931</v>
      </c>
      <c r="H77" s="712">
        <f t="shared" si="294"/>
        <v>149.78752943557311</v>
      </c>
      <c r="I77" s="711">
        <f>MAX(Sheet1!Z77-AJ77+(Sheet1!CW77-E77)*CFStoMGD,0)</f>
        <v>629.57061003861122</v>
      </c>
      <c r="J77" s="720">
        <f>IF(AND(B77&gt;=Calculation!FS77,B77&lt;=Calculation!FT77),IF(Sheet1!CX77&gt;=Calculation!D77,64.64,0),MAX(Sheet1!Z77-AJ77+(Sheet1!CX77-D77)*CFStoMGD,0))</f>
        <v>64.64</v>
      </c>
      <c r="K77" s="697">
        <f t="shared" si="368"/>
        <v>64.64</v>
      </c>
      <c r="L77" s="712">
        <f>Sheet1!AA77+Sheet1!AB77-Sheet1!L77+(Sheet1!CW77-F77)*CFStoMGD</f>
        <v>677.6219999999895</v>
      </c>
      <c r="M77" s="712">
        <f t="shared" si="295"/>
        <v>425.08574402428462</v>
      </c>
      <c r="N77" s="712">
        <f>IF(Sheet1!CW77&gt;=F77,MIN(73,MIN(MAX(L77,0),MAX(M77,0))),0)</f>
        <v>73</v>
      </c>
      <c r="O77" s="721">
        <f>Sheet1!AA77+Sheet1!AB77</f>
        <v>56.269999999989523</v>
      </c>
      <c r="P77" s="721">
        <f t="shared" si="296"/>
        <v>87.049689999983784</v>
      </c>
      <c r="Q77" s="712">
        <f>MIN(N77,Sheet1!AA77+AG77)</f>
        <v>47.681389961380056</v>
      </c>
      <c r="R77" s="712">
        <f t="shared" si="297"/>
        <v>8.5886100386094668</v>
      </c>
      <c r="S77" s="721">
        <f>Sheet1!Y77*MGDtoCFS</f>
        <v>45.945899999999995</v>
      </c>
      <c r="T77" s="721">
        <f>Sheet1!Z77*MGDtoCFS</f>
        <v>39.912599999999998</v>
      </c>
      <c r="U77" s="721">
        <f>Sheet1!AA77*MGDtoCFS</f>
        <v>46.564699999986487</v>
      </c>
      <c r="V77" s="721">
        <f>Sheet1!AB77*MGDtoCFS</f>
        <v>40.484989999997296</v>
      </c>
      <c r="W77" s="721">
        <f>Sheet1!L77*MGDtoCFS</f>
        <v>0</v>
      </c>
      <c r="X77" s="697">
        <f t="shared" si="369"/>
        <v>0</v>
      </c>
      <c r="Y77" s="712">
        <f t="shared" si="298"/>
        <v>0</v>
      </c>
      <c r="Z77" s="712">
        <f t="shared" si="299"/>
        <v>56.051389961390534</v>
      </c>
      <c r="AA77" s="712">
        <f t="shared" si="300"/>
        <v>86.711500270271145</v>
      </c>
      <c r="AB77" s="712">
        <f>(VLOOKUP(Sheet1!CY77,hhdcap_wcm,4)-(((VLOOKUP(Sheet1!CY77,hhdcap_wcm,3)-Sheet1!CY77)/(VLOOKUP(Sheet1!CY77,hhdcap_wcm,3)-VLOOKUP(Sheet1!CY77,hhdcap_wcm,1)))*(VLOOKUP(Sheet1!CY77,hhdcap_wcm,4)-VLOOKUP(Sheet1!CY77,hhdcap_wcm,2))))</f>
        <v>2489.2100000037067</v>
      </c>
      <c r="AC77" s="712">
        <f t="shared" si="301"/>
        <v>175.01000000023714</v>
      </c>
      <c r="AD77" s="712">
        <f t="shared" si="370"/>
        <v>234.91627360939174</v>
      </c>
      <c r="AE77" s="712">
        <f t="shared" si="302"/>
        <v>720.72312743361385</v>
      </c>
      <c r="AF77" s="712">
        <f>Sheet1!BA77+Sheet1!BB77+Sheet1!BN77+BT77</f>
        <v>17.399999999999999</v>
      </c>
      <c r="AG77" s="712">
        <f t="shared" si="303"/>
        <v>17.581389961388787</v>
      </c>
      <c r="AH77" s="712">
        <f>Sheet1!BA77+BT77</f>
        <v>0</v>
      </c>
      <c r="AI77" s="712">
        <f>Sheet1!BA77+Sheet1!BB77+BT77</f>
        <v>0</v>
      </c>
      <c r="AJ77" s="712">
        <f>IF((Sheet1!AA77+AG77+AX77+AZ77+BQ77+BS77+CL77+CN77)&lt;=N77,AG77+AX77+AZ77+BQ77+BS77+CL77+CN77,N77-Sheet1!AA77)</f>
        <v>17.581389961388787</v>
      </c>
      <c r="AK77" s="712">
        <f>IF(DR77&lt;K77,0,MAX(Sheet1!AA77+AG77-15/36*K77-N77,Sheet1!ED77,0))</f>
        <v>0</v>
      </c>
      <c r="AL77" s="712">
        <f>IF(OR(B77&gt;=FT77,B77&lt;FS77),0,15/36*K77-MAX(0,64.6-(137.6-(Sheet1!AA77+Sheet1!AB77))))</f>
        <v>26.933333333333334</v>
      </c>
      <c r="AM77" s="712">
        <f>Sheet1!CX77-110</f>
        <v>399.875</v>
      </c>
      <c r="AN77" s="712">
        <f>Sheet1!CW77-265</f>
        <v>946.25</v>
      </c>
      <c r="AO77" s="712">
        <f t="shared" si="371"/>
        <v>25.318610038619944</v>
      </c>
      <c r="AP77" s="712">
        <f t="shared" si="372"/>
        <v>0</v>
      </c>
      <c r="AQ77" s="712">
        <f t="shared" si="304"/>
        <v>0</v>
      </c>
      <c r="AR77" s="712">
        <f t="shared" si="305"/>
        <v>107.73333333333333</v>
      </c>
      <c r="AS77" s="712"/>
      <c r="AT77" s="712">
        <f ca="1">IF(B77&gt;Summary!$A$1,#N/A,AR77*MGtoAF)</f>
        <v>330.52586666666667</v>
      </c>
      <c r="AU77" s="712">
        <f>Sheet1!BG77+Sheet1!BH77+Sheet1!BI77-BC77</f>
        <v>0</v>
      </c>
      <c r="AV77" s="712">
        <f t="shared" si="306"/>
        <v>0</v>
      </c>
      <c r="AW77" s="712">
        <f>IF(Sheet1!EL77="FM",BC77,0)</f>
        <v>0</v>
      </c>
      <c r="AX77" s="712">
        <f t="shared" si="307"/>
        <v>0</v>
      </c>
      <c r="AY77" s="712">
        <f>IF(Sheet1!EL77="OTHER",BC77,0)</f>
        <v>0</v>
      </c>
      <c r="AZ77" s="712">
        <f t="shared" si="308"/>
        <v>0</v>
      </c>
      <c r="BA77" s="712">
        <f t="shared" si="309"/>
        <v>0</v>
      </c>
      <c r="BB77" s="712">
        <f t="shared" si="310"/>
        <v>0</v>
      </c>
      <c r="BC77" s="712">
        <f>IF(OR(Sheet1!EL77="FM", Sheet1!EL77="OTHER"),SUM(Sheet1!BG77:'Sheet1'!BI77),0)</f>
        <v>0</v>
      </c>
      <c r="BD77" s="697">
        <f>IF(AND($B77&gt;=$FL77,$B77&lt;=$FM77),MAX(AV77,Sheet1!EE77,0),MAX(AV77-(7/36)*$K77,0))</f>
        <v>0</v>
      </c>
      <c r="BE77" s="712">
        <f t="shared" si="311"/>
        <v>12.568888888888889</v>
      </c>
      <c r="BF77" s="697">
        <f t="shared" si="373"/>
        <v>0</v>
      </c>
      <c r="BG77" s="697">
        <f>IF(AND($O77&gt;0,Sheet1!EI77=1),(1-($O77-Sheet1!$L77)/$O77)*BB77,0)</f>
        <v>0</v>
      </c>
      <c r="BH77" s="697">
        <f>IF(AND(Sheet1!$L77=0,Sheet1!$L76=0, Calculation!BA77&lt;Sheet1!$EE77-0.1,Sheet1!$EE77=Sheet1!$EE76,Sheet1!$EE77=Sheet1!$EE78),Sheet1!$EE77,BB77-BG77)</f>
        <v>0</v>
      </c>
      <c r="BI77" s="712"/>
      <c r="BJ77" s="712"/>
      <c r="BK77" s="712">
        <f t="shared" si="312"/>
        <v>50.275555555555556</v>
      </c>
      <c r="BL77" s="712"/>
      <c r="BM77" s="712">
        <f ca="1">IF(B77&gt;Summary!$A$1,#N/A,BK77*MGtoAF)</f>
        <v>154.24540444444446</v>
      </c>
      <c r="BN77" s="712">
        <f>Sheet1!BC77+Sheet1!BD77+Sheet1!BE77+Sheet1!BF77-BW77-BX77</f>
        <v>2.4700000000000002</v>
      </c>
      <c r="BO77" s="712">
        <f t="shared" si="313"/>
        <v>2.4957490347488687</v>
      </c>
      <c r="BP77" s="712">
        <f>IF(Sheet1!EM77="FM",BX77,0)</f>
        <v>0</v>
      </c>
      <c r="BQ77" s="712">
        <f t="shared" si="314"/>
        <v>0</v>
      </c>
      <c r="BR77" s="712">
        <f>IF(Sheet1!EM77="OTHER",BX77,0)</f>
        <v>0</v>
      </c>
      <c r="BS77" s="712">
        <f t="shared" si="315"/>
        <v>0</v>
      </c>
      <c r="BT77" s="712">
        <f t="shared" si="316"/>
        <v>0</v>
      </c>
      <c r="BU77" s="712">
        <f t="shared" si="317"/>
        <v>2.4700000000000002</v>
      </c>
      <c r="BV77" s="712">
        <f t="shared" si="318"/>
        <v>2.4957490347488687</v>
      </c>
      <c r="BW77" s="712">
        <f>IF(Sheet1!EM77="CWA",SUM(Sheet1!BC77:'Sheet1'!BF77),0)</f>
        <v>0</v>
      </c>
      <c r="BX77" s="712">
        <f>IF(OR(Sheet1!EM77="FM", Sheet1!EM77="OTHER"),SUM(Sheet1!BC77:'Sheet1'!BF77),0)</f>
        <v>0</v>
      </c>
      <c r="BY77" s="697">
        <f>IF(AND($B77&gt;=$FL77,$B77&lt;=$FM77),MAX(BV77,Sheet1!EF77,0),MAX(BV77-(7/36)*$K77,0))</f>
        <v>0</v>
      </c>
      <c r="BZ77" s="712">
        <f t="shared" si="319"/>
        <v>10.07313985414002</v>
      </c>
      <c r="CA77" s="697">
        <f t="shared" si="374"/>
        <v>2.4957490347488687</v>
      </c>
      <c r="CB77" s="697">
        <f>IF(AND($O77&gt;0,Sheet1!EJ77=1),(1-($O77-Sheet1!$L77)/$O77)*BV77,0)</f>
        <v>0</v>
      </c>
      <c r="CC77" s="697">
        <f>IF(AND(Sheet1!$L77=0,Sheet1!$L76=0, Calculation!BU77&lt;Sheet1!EF77-0.1,Sheet1!EF77=Sheet1!EF76,Sheet1!EF77=Sheet1!EF78),Sheet1!EF77,BV77-CB77)</f>
        <v>2.4957490347488687</v>
      </c>
      <c r="CD77" s="697"/>
      <c r="CE77" s="712"/>
      <c r="CF77" s="712">
        <f t="shared" si="320"/>
        <v>43.538513182105845</v>
      </c>
      <c r="CG77" s="712"/>
      <c r="CH77" s="712">
        <f ca="1">IF(B77&gt;Summary!$A$1,#N/A,CF77*MGtoAF)</f>
        <v>133.57615844270074</v>
      </c>
      <c r="CI77" s="712">
        <f>Sheet1!BK77+Sheet1!BL77+Sheet1!BM77-Sheet1!EN77-CQ77</f>
        <v>6.0299999999999994</v>
      </c>
      <c r="CJ77" s="712">
        <f t="shared" si="321"/>
        <v>6.0928610038605973</v>
      </c>
      <c r="CK77" s="712">
        <f>IF(Sheet1!EN77="FM",CQ77,0)</f>
        <v>0</v>
      </c>
      <c r="CL77" s="712">
        <f t="shared" si="322"/>
        <v>0</v>
      </c>
      <c r="CM77" s="712">
        <f>IF(Sheet1!EN77="OTHER",CQ77,0)</f>
        <v>0</v>
      </c>
      <c r="CN77" s="712">
        <f t="shared" si="323"/>
        <v>0</v>
      </c>
      <c r="CO77" s="712">
        <f t="shared" si="324"/>
        <v>6.0299999999999994</v>
      </c>
      <c r="CP77" s="712">
        <f t="shared" si="325"/>
        <v>6.0928610038605973</v>
      </c>
      <c r="CQ77" s="712">
        <f>IF(OR(Sheet1!EN77="FM", Sheet1!EN77="OTHER"),SUM(Sheet1!BK77:'Sheet1'!BM77),0)</f>
        <v>0</v>
      </c>
      <c r="CR77" s="697">
        <f>IF(AND($B77&gt;=$FL77,$B77&lt;=$FM77),MAX($CJ77,Sheet1!EG77,0),MAX($CJ77-(7/36)*$K77,0))</f>
        <v>0</v>
      </c>
      <c r="CS77" s="712">
        <f t="shared" si="326"/>
        <v>6.4760278850282917</v>
      </c>
      <c r="CT77" s="697">
        <f t="shared" si="375"/>
        <v>6.0928610038605973</v>
      </c>
      <c r="CU77" s="697">
        <f>IF(AND($O77&gt;0,Sheet1!EK77=1),(1-($O77-Sheet1!$L77)/$O77)*CP77,0)</f>
        <v>0</v>
      </c>
      <c r="CV77" s="697">
        <f>IF(AND(Sheet1!$L77=0,Sheet1!$L76=0, Calculation!CO77&lt;Sheet1!$EG77-0.1,Sheet1!$EG77=Sheet1!$EG76,Sheet1!$EG77=Sheet1!$EG78),Sheet1!$EG77,CP77-CU77)</f>
        <v>6.0928610038605973</v>
      </c>
      <c r="CW77" s="697">
        <f t="shared" si="362"/>
        <v>0</v>
      </c>
      <c r="CX77" s="712">
        <f t="shared" si="379"/>
        <v>8.5</v>
      </c>
      <c r="CY77" s="712">
        <f t="shared" si="327"/>
        <v>33.368871538397009</v>
      </c>
      <c r="CZ77" s="712">
        <f t="shared" si="328"/>
        <v>8.5886100386094668</v>
      </c>
      <c r="DA77" s="712">
        <f ca="1">IF(B77&gt;Summary!$A$1,#N/A,CY77*MGtoAF)</f>
        <v>102.37569787980203</v>
      </c>
      <c r="DB77" s="712">
        <f t="shared" si="329"/>
        <v>8.5</v>
      </c>
      <c r="DC77" s="712">
        <f t="shared" si="330"/>
        <v>25.9</v>
      </c>
      <c r="DD77" s="712">
        <f>Sheet1!AB77-DC77</f>
        <v>0.26999999999825519</v>
      </c>
      <c r="DE77" s="712">
        <f t="shared" si="331"/>
        <v>1.0424710424643059E-2</v>
      </c>
      <c r="DF77" s="712">
        <f>(VLOOKUP(Sheet1!CY77,hhdcap_wcm,4)-(((VLOOKUP(Sheet1!CY77,hhdcap_wcm,3)-Sheet1!CY77)/(VLOOKUP(Sheet1!CY77,hhdcap_wcm,3)-VLOOKUP(Sheet1!CY77,hhdcap_wcm,1)))*(VLOOKUP(Sheet1!CY77,hhdcap_wcm,4)-VLOOKUP(Sheet1!CY77,hhdcap_wcm,2))))</f>
        <v>2489.2100000037067</v>
      </c>
      <c r="DG77" s="712">
        <f t="shared" si="332"/>
        <v>175.01000000023714</v>
      </c>
      <c r="DH77" s="712">
        <f t="shared" si="333"/>
        <v>88.255168936075194</v>
      </c>
      <c r="DI77" s="712">
        <f>Sheet1!DW77*AFtoMG</f>
        <v>0</v>
      </c>
      <c r="DJ77" s="712">
        <f>Sheet1!DX77*AFtoMG</f>
        <v>0</v>
      </c>
      <c r="DK77" s="712">
        <f>Sheet1!DY77*AFtoMG</f>
        <v>0</v>
      </c>
      <c r="DL77" s="712">
        <f>Sheet1!DZ77*AFtoMG</f>
        <v>0</v>
      </c>
      <c r="DM77" s="712">
        <f t="shared" si="334"/>
        <v>0</v>
      </c>
      <c r="DN77" s="712">
        <f t="shared" si="335"/>
        <v>0</v>
      </c>
      <c r="DO77" s="712">
        <f t="shared" si="336"/>
        <v>234.91627360939174</v>
      </c>
      <c r="DP77" s="712">
        <f t="shared" si="337"/>
        <v>720.72312743361385</v>
      </c>
      <c r="DQ77" s="712"/>
      <c r="DR77" s="697">
        <f>IF(OR(B77&lt;FL77,B77&gt;FM77),(MIN(AV77+BO77+CJ77+MAX(Sheet1!AA77+AG77-73,0),K77)),0)</f>
        <v>8.5886100386094668</v>
      </c>
      <c r="DS77" s="712"/>
      <c r="DT77" s="712">
        <f t="shared" si="338"/>
        <v>8.5886100386094668</v>
      </c>
      <c r="DU77" s="712"/>
      <c r="DV77" s="712">
        <f>Sheet1!ED77+Sheet1!EE77+Sheet1!EF77+Sheet1!EG77</f>
        <v>8.5</v>
      </c>
      <c r="DW77" s="712"/>
      <c r="DX77" s="697">
        <f t="shared" si="376"/>
        <v>0</v>
      </c>
      <c r="DY77" s="712">
        <f>IF(Sheet1!FN77=1,SUM('Calculations II'!AT77:BA77)+'Calculations II'!BC77+Sheet1!BU77+'Calculations II'!BE77+AF77,SUM('Calculations II'!AT77:BA77)+'Calculations II'!BC77+Sheet1!BU77+'Calculations II'!BE77+AF77)</f>
        <v>43.721488000000001</v>
      </c>
      <c r="DZ77" s="712">
        <f>Sheet1!AA77+Sheet1!AB77+'Calculations II'!BC77</f>
        <v>56.269999999989523</v>
      </c>
      <c r="EA77" s="712"/>
      <c r="EB77" s="712"/>
      <c r="EC77" s="712">
        <f t="shared" si="339"/>
        <v>40606</v>
      </c>
      <c r="ED77" s="712">
        <f t="shared" si="340"/>
        <v>56.051389961390534</v>
      </c>
      <c r="EE77" s="712">
        <f t="shared" si="341"/>
        <v>86.711500270271145</v>
      </c>
      <c r="EF77" s="712">
        <f>-(VLOOKUP(Sheet1!BQ77,Lookup!$B$4:$J$236,2)-VLOOKUP(Sheet1!BQ76,Lookup!$B$4:$J$236,2))/1000000</f>
        <v>-0.54100000000000004</v>
      </c>
      <c r="EG77" s="712">
        <f>-(VLOOKUP(Sheet1!BR77,Lookup!$B$4:$J$236,3)-VLOOKUP(Sheet1!BR76,Lookup!$B$4:$J$236,3))/1000000</f>
        <v>-0.54</v>
      </c>
      <c r="EH77" s="712">
        <f>-(VLOOKUP(Sheet1!BS77,Lookup!$B$4:$J$236,4)-VLOOKUP(Sheet1!BS76,Lookup!$B$4:$J$236,4))/1000000</f>
        <v>0</v>
      </c>
      <c r="EI77" s="697">
        <f t="shared" si="380"/>
        <v>-1.081</v>
      </c>
      <c r="EJ77" s="712"/>
      <c r="EK77" s="712"/>
      <c r="EL77" s="712"/>
      <c r="EM77" s="712"/>
      <c r="EN77" s="712"/>
      <c r="EO77" s="712"/>
      <c r="EP77" s="712"/>
      <c r="EQ77" s="712"/>
      <c r="ER77" s="697">
        <v>0</v>
      </c>
      <c r="ES77" s="712"/>
      <c r="ET77" s="794" t="e">
        <f t="shared" si="342"/>
        <v>#N/A</v>
      </c>
      <c r="EU77" s="794" t="e">
        <f t="shared" si="363"/>
        <v>#VALUE!</v>
      </c>
      <c r="EV77" s="795" t="e">
        <f t="shared" si="364"/>
        <v>#VALUE!</v>
      </c>
      <c r="EW77" s="796" t="s">
        <v>757</v>
      </c>
      <c r="EX77" s="796" t="s">
        <v>757</v>
      </c>
      <c r="EY77" s="794">
        <v>0</v>
      </c>
      <c r="EZ77" s="794" t="e">
        <v>#N/A</v>
      </c>
      <c r="FA77" s="712"/>
      <c r="FB77" s="712"/>
      <c r="FC77" s="712"/>
      <c r="FD77" s="712"/>
      <c r="FE77" s="712">
        <f>O77+Sheet1!CO77</f>
        <v>56.269999999989523</v>
      </c>
      <c r="FF77" s="712">
        <f>IF(Sheet1!AA77+AG77&lt;=Calculation!N77,AG77,Calculation!N77-Sheet1!AA77)</f>
        <v>17.581389961388787</v>
      </c>
      <c r="FG77" s="712">
        <f>(Sheet1!BP77+Sheet1!BO77)/694.4</f>
        <v>1.2943548387096775</v>
      </c>
      <c r="FH77" s="712"/>
      <c r="FI77" s="712"/>
      <c r="FJ77" s="712"/>
      <c r="FK77" s="712"/>
      <c r="FL77" s="714">
        <f t="shared" si="381"/>
        <v>40753</v>
      </c>
      <c r="FM77" s="714">
        <f t="shared" si="382"/>
        <v>40851</v>
      </c>
      <c r="FN77" s="712"/>
      <c r="FO77" s="712"/>
      <c r="FP77" s="712"/>
      <c r="FQ77" s="712"/>
      <c r="FR77" s="712"/>
      <c r="FS77" s="725">
        <f t="shared" si="383"/>
        <v>40603</v>
      </c>
      <c r="FT77" s="714">
        <f t="shared" si="384"/>
        <v>40709</v>
      </c>
      <c r="FU77" s="712">
        <f t="shared" si="385"/>
        <v>6518.9048239895692</v>
      </c>
      <c r="FV77" s="714">
        <f t="shared" si="386"/>
        <v>40722</v>
      </c>
      <c r="FW77" s="712">
        <f t="shared" si="387"/>
        <v>3259.4524119947846</v>
      </c>
      <c r="FX77" s="725">
        <f t="shared" si="388"/>
        <v>40851</v>
      </c>
      <c r="FZ77" s="697">
        <f t="shared" si="365"/>
        <v>0</v>
      </c>
      <c r="GA77" s="712" t="str">
        <f t="shared" si="343"/>
        <v/>
      </c>
      <c r="GB77" s="712">
        <f t="shared" si="344"/>
        <v>0</v>
      </c>
      <c r="GC77" s="712" t="str">
        <f t="shared" si="345"/>
        <v/>
      </c>
      <c r="GD77" s="712">
        <f>IF(GA77="P",Lookup!$M$12,IF(GA77="PP",Lookup!$M$13,IF(GA77="PPP",Lookup!$M$14,IF(GA77="T",Lookup!$M$15,IF(GA77="TP",Lookup!$M$16,IF(GA77="TPP",Lookup!$M$17,IF(GA77="TPPP",Lookup!$M$18,0)))))))*FZ77</f>
        <v>0</v>
      </c>
      <c r="GE77" s="712">
        <f t="shared" si="346"/>
        <v>0</v>
      </c>
      <c r="GF77" s="712">
        <f t="shared" si="347"/>
        <v>330.52586666666667</v>
      </c>
      <c r="GG77" s="712">
        <f t="shared" si="348"/>
        <v>107.73333333333333</v>
      </c>
      <c r="GH77" s="712"/>
      <c r="GI77" s="712">
        <f t="shared" si="349"/>
        <v>0</v>
      </c>
      <c r="GJ77" s="712" t="str">
        <f t="shared" si="350"/>
        <v/>
      </c>
      <c r="GK77" s="712">
        <f>IF(GA77="P",Lookup!$N$12,IF(GA77="PP",Lookup!$N$13,IF(GA77="PPP",Lookup!$N$14,IF(GA77="T",Lookup!$N$15,IF(GA77="TP",Lookup!$N$16,IF(GA77="TPP",Lookup!$N$17,IF(GA77="TPPP",Lookup!$N$18,0)))))))*FZ77</f>
        <v>0</v>
      </c>
      <c r="GL77" s="712">
        <f t="shared" si="351"/>
        <v>0</v>
      </c>
      <c r="GM77" s="712">
        <f t="shared" si="352"/>
        <v>154.24540444444446</v>
      </c>
      <c r="GN77" s="712">
        <f t="shared" si="353"/>
        <v>50.275555555555556</v>
      </c>
      <c r="GO77" s="712"/>
      <c r="GP77" s="712">
        <f t="shared" si="354"/>
        <v>0</v>
      </c>
      <c r="GQ77" s="712" t="str">
        <f t="shared" si="355"/>
        <v/>
      </c>
      <c r="GR77" s="712">
        <f>IF(GA77="P",Lookup!$N$12,IF(GA77="PP",Lookup!$N$13,IF(GA77="PPP",Lookup!$N$14,IF(GA77="T",Lookup!$N$15,IF(GA77="TP",Lookup!$N$16,IF(GA77="TPP",Lookup!$N$17,IF(GA77="TPPP",Lookup!$N$18,0)))))))*FZ77</f>
        <v>0</v>
      </c>
      <c r="GS77" s="697">
        <f t="shared" si="377"/>
        <v>0</v>
      </c>
      <c r="GT77" s="712">
        <f t="shared" si="356"/>
        <v>133.57615844270074</v>
      </c>
      <c r="GU77" s="712">
        <f t="shared" si="357"/>
        <v>43.538513182105845</v>
      </c>
      <c r="GV77" s="712"/>
      <c r="GW77" s="712">
        <f t="shared" si="358"/>
        <v>0</v>
      </c>
      <c r="GX77" s="712" t="str">
        <f t="shared" si="359"/>
        <v/>
      </c>
      <c r="GY77" s="712">
        <f>IF(GA77="P",Lookup!$N$12,IF(GA77="PP",Lookup!$N$13,IF(GA77="PPP",Lookup!$N$14,IF(GA77="T",Lookup!$N$15,IF(GA77="TP",Lookup!$N$16,IF(GA77="TPP",Lookup!$N$17,IF(GA77="TPPP",Lookup!$N$18,0)))))))*FZ77</f>
        <v>0</v>
      </c>
      <c r="GZ77" s="697">
        <f t="shared" si="378"/>
        <v>0</v>
      </c>
      <c r="HA77" s="712">
        <f t="shared" si="360"/>
        <v>102.37569787980203</v>
      </c>
      <c r="HB77" s="712">
        <f t="shared" si="361"/>
        <v>33.368871538397009</v>
      </c>
      <c r="HC77" s="712"/>
    </row>
    <row r="78" spans="1:211">
      <c r="A78" s="773" t="s">
        <v>9</v>
      </c>
      <c r="B78" s="708">
        <v>40607</v>
      </c>
      <c r="C78" s="719">
        <v>0.5</v>
      </c>
      <c r="D78" s="675">
        <f t="shared" si="366"/>
        <v>300</v>
      </c>
      <c r="E78" s="675">
        <f t="shared" si="367"/>
        <v>250</v>
      </c>
      <c r="F78" s="710">
        <v>250</v>
      </c>
      <c r="G78" s="712">
        <f>DH78+Sheet1!CV78</f>
        <v>636.27643795808342</v>
      </c>
      <c r="H78" s="712">
        <f t="shared" si="294"/>
        <v>144.32588949610511</v>
      </c>
      <c r="I78" s="711">
        <f>MAX(Sheet1!Z78-AJ78+(Sheet1!CW78-E78)*CFStoMGD,0)</f>
        <v>622.56377692110118</v>
      </c>
      <c r="J78" s="720">
        <f>IF(AND(B78&gt;=Calculation!FS78,B78&lt;=Calculation!FT78),IF(Sheet1!CX78&gt;=Calculation!D78,64.64,0),MAX(Sheet1!Z78-AJ78+(Sheet1!CX78-D78)*CFStoMGD,0))</f>
        <v>64.64</v>
      </c>
      <c r="K78" s="697">
        <f t="shared" si="368"/>
        <v>64.64</v>
      </c>
      <c r="L78" s="712">
        <f>Sheet1!AA78+Sheet1!AB78-Sheet1!L78+(Sheet1!CW78-F78)*CFStoMGD</f>
        <v>648.22266666667144</v>
      </c>
      <c r="M78" s="712">
        <f t="shared" si="295"/>
        <v>419.51487128602724</v>
      </c>
      <c r="N78" s="712">
        <f>IF(Sheet1!CW78&gt;=F78,MIN(73,MIN(MAX(L78,0),MAX(M78,0))),0)</f>
        <v>73</v>
      </c>
      <c r="O78" s="721">
        <f>Sheet1!AA78+Sheet1!AB78</f>
        <v>54.770000000004075</v>
      </c>
      <c r="P78" s="721">
        <f t="shared" si="296"/>
        <v>84.729190000006298</v>
      </c>
      <c r="Q78" s="712">
        <f>MIN(N78,Sheet1!AA78+AG78)</f>
        <v>46.31888974557134</v>
      </c>
      <c r="R78" s="712">
        <f t="shared" si="297"/>
        <v>8.4511102544327343</v>
      </c>
      <c r="S78" s="721">
        <f>Sheet1!Y78*MGDtoCFS</f>
        <v>46.41</v>
      </c>
      <c r="T78" s="721">
        <f>Sheet1!Z78*MGDtoCFS</f>
        <v>41.428660000000001</v>
      </c>
      <c r="U78" s="721">
        <f>Sheet1!AA78*MGDtoCFS</f>
        <v>45.017700000009</v>
      </c>
      <c r="V78" s="721">
        <f>Sheet1!AB78*MGDtoCFS</f>
        <v>39.711489999997298</v>
      </c>
      <c r="W78" s="721">
        <f>Sheet1!L78*MGDtoCFS</f>
        <v>30.243849999998872</v>
      </c>
      <c r="X78" s="697">
        <f t="shared" si="369"/>
        <v>0</v>
      </c>
      <c r="Y78" s="712">
        <f t="shared" si="298"/>
        <v>0</v>
      </c>
      <c r="Z78" s="712">
        <f t="shared" si="299"/>
        <v>56.188889745567266</v>
      </c>
      <c r="AA78" s="712">
        <f t="shared" si="300"/>
        <v>86.924212436392551</v>
      </c>
      <c r="AB78" s="712">
        <f>(VLOOKUP(Sheet1!CY78,hhdcap_wcm,4)-(((VLOOKUP(Sheet1!CY78,hhdcap_wcm,3)-Sheet1!CY78)/(VLOOKUP(Sheet1!CY78,hhdcap_wcm,3)-VLOOKUP(Sheet1!CY78,hhdcap_wcm,1)))*(VLOOKUP(Sheet1!CY78,hhdcap_wcm,4)-VLOOKUP(Sheet1!CY78,hhdcap_wcm,2))))</f>
        <v>2657.3800000039978</v>
      </c>
      <c r="AC78" s="712">
        <f t="shared" si="301"/>
        <v>168.17000000029111</v>
      </c>
      <c r="AD78" s="712">
        <f t="shared" si="370"/>
        <v>291.10516335495902</v>
      </c>
      <c r="AE78" s="712">
        <f t="shared" si="302"/>
        <v>893.1106411730143</v>
      </c>
      <c r="AF78" s="712">
        <f>Sheet1!BA78+Sheet1!BB78+Sheet1!BN78+BT78</f>
        <v>17.399999999999999</v>
      </c>
      <c r="AG78" s="712">
        <f t="shared" si="303"/>
        <v>17.218889745565519</v>
      </c>
      <c r="AH78" s="712">
        <f>Sheet1!BA78+BT78</f>
        <v>0</v>
      </c>
      <c r="AI78" s="712">
        <f>Sheet1!BA78+Sheet1!BB78+BT78</f>
        <v>0</v>
      </c>
      <c r="AJ78" s="712">
        <f>IF((Sheet1!AA78+AG78+AX78+AZ78+BQ78+BS78+CL78+CN78)&lt;=N78,AG78+AX78+AZ78+BQ78+BS78+CL78+CN78,N78-Sheet1!AA78)</f>
        <v>17.218889745565519</v>
      </c>
      <c r="AK78" s="712">
        <f>IF(DR78&lt;K78,0,MAX(Sheet1!AA78+AG78-15/36*K78-N78,Sheet1!ED78,0))</f>
        <v>0</v>
      </c>
      <c r="AL78" s="712">
        <f>IF(OR(B78&gt;=FT78,B78&lt;FS78),0,15/36*K78-MAX(0,64.6-(137.6-(Sheet1!AA78+Sheet1!AB78))))</f>
        <v>26.933333333333334</v>
      </c>
      <c r="AM78" s="712">
        <f>Sheet1!CX78-110</f>
        <v>435.63541666666663</v>
      </c>
      <c r="AN78" s="712">
        <f>Sheet1!CW78-265</f>
        <v>933.33333333333326</v>
      </c>
      <c r="AO78" s="712">
        <f t="shared" si="371"/>
        <v>26.68111025442866</v>
      </c>
      <c r="AP78" s="712">
        <f t="shared" si="372"/>
        <v>0</v>
      </c>
      <c r="AQ78" s="712">
        <f t="shared" si="304"/>
        <v>0</v>
      </c>
      <c r="AR78" s="712">
        <f t="shared" si="305"/>
        <v>134.66666666666666</v>
      </c>
      <c r="AS78" s="712"/>
      <c r="AT78" s="712">
        <f ca="1">IF(B78&gt;Summary!$A$1,#N/A,AR78*MGtoAF)</f>
        <v>413.15733333333333</v>
      </c>
      <c r="AU78" s="712">
        <f>Sheet1!BG78+Sheet1!BH78+Sheet1!BI78-BC78</f>
        <v>0</v>
      </c>
      <c r="AV78" s="712">
        <f t="shared" si="306"/>
        <v>0</v>
      </c>
      <c r="AW78" s="712">
        <f>IF(Sheet1!EL78="FM",BC78,0)</f>
        <v>0</v>
      </c>
      <c r="AX78" s="712">
        <f t="shared" si="307"/>
        <v>0</v>
      </c>
      <c r="AY78" s="712">
        <f>IF(Sheet1!EL78="OTHER",BC78,0)</f>
        <v>0</v>
      </c>
      <c r="AZ78" s="712">
        <f t="shared" si="308"/>
        <v>0</v>
      </c>
      <c r="BA78" s="712">
        <f t="shared" si="309"/>
        <v>0</v>
      </c>
      <c r="BB78" s="712">
        <f t="shared" si="310"/>
        <v>0</v>
      </c>
      <c r="BC78" s="712">
        <f>IF(OR(Sheet1!EL78="FM", Sheet1!EL78="OTHER"),SUM(Sheet1!BG78:'Sheet1'!BI78),0)</f>
        <v>0</v>
      </c>
      <c r="BD78" s="697">
        <f>IF(AND($B78&gt;=$FL78,$B78&lt;=$FM78),MAX(AV78,Sheet1!EE78,0),MAX(AV78-(7/36)*$K78,0))</f>
        <v>0</v>
      </c>
      <c r="BE78" s="712">
        <f t="shared" si="311"/>
        <v>12.568888888888889</v>
      </c>
      <c r="BF78" s="697">
        <f t="shared" si="373"/>
        <v>0</v>
      </c>
      <c r="BG78" s="697">
        <f>IF(AND($O78&gt;0,Sheet1!EI78=1),(1-($O78-Sheet1!$L78)/$O78)*BB78,0)</f>
        <v>0</v>
      </c>
      <c r="BH78" s="697">
        <f>IF(AND(Sheet1!$L78=0,Sheet1!$L77=0, Calculation!BA78&lt;Sheet1!$EE78-0.1,Sheet1!$EE78=Sheet1!$EE77,Sheet1!$EE78=Sheet1!$EE79),Sheet1!$EE78,BB78-BG78)</f>
        <v>0</v>
      </c>
      <c r="BI78" s="712"/>
      <c r="BJ78" s="712"/>
      <c r="BK78" s="712">
        <f t="shared" si="312"/>
        <v>62.844444444444449</v>
      </c>
      <c r="BL78" s="712"/>
      <c r="BM78" s="712">
        <f ca="1">IF(B78&gt;Summary!$A$1,#N/A,BK78*MGtoAF)</f>
        <v>192.80675555555558</v>
      </c>
      <c r="BN78" s="712">
        <f>Sheet1!BC78+Sheet1!BD78+Sheet1!BE78+Sheet1!BF78-BW78-BX78</f>
        <v>2.4700000000000002</v>
      </c>
      <c r="BO78" s="712">
        <f t="shared" si="313"/>
        <v>2.4442906707785541</v>
      </c>
      <c r="BP78" s="712">
        <f>IF(Sheet1!EM78="FM",BX78,0)</f>
        <v>0</v>
      </c>
      <c r="BQ78" s="712">
        <f t="shared" si="314"/>
        <v>0</v>
      </c>
      <c r="BR78" s="712">
        <f>IF(Sheet1!EM78="OTHER",BX78,0)</f>
        <v>0</v>
      </c>
      <c r="BS78" s="712">
        <f t="shared" si="315"/>
        <v>0</v>
      </c>
      <c r="BT78" s="712">
        <f t="shared" si="316"/>
        <v>0</v>
      </c>
      <c r="BU78" s="712">
        <f t="shared" si="317"/>
        <v>2.4700000000000002</v>
      </c>
      <c r="BV78" s="712">
        <f t="shared" si="318"/>
        <v>2.4442906707785541</v>
      </c>
      <c r="BW78" s="712">
        <f>IF(Sheet1!EM78="CWA",SUM(Sheet1!BC78:'Sheet1'!BF78),0)</f>
        <v>0</v>
      </c>
      <c r="BX78" s="712">
        <f>IF(OR(Sheet1!EM78="FM", Sheet1!EM78="OTHER"),SUM(Sheet1!BC78:'Sheet1'!BF78),0)</f>
        <v>0</v>
      </c>
      <c r="BY78" s="697">
        <f>IF(AND($B78&gt;=$FL78,$B78&lt;=$FM78),MAX(BV78,Sheet1!EF78,0),MAX(BV78-(7/36)*$K78,0))</f>
        <v>0</v>
      </c>
      <c r="BZ78" s="712">
        <f t="shared" si="319"/>
        <v>10.124598218110336</v>
      </c>
      <c r="CA78" s="697">
        <f t="shared" si="374"/>
        <v>2.4442906707785541</v>
      </c>
      <c r="CB78" s="697">
        <f>IF(AND($O78&gt;0,Sheet1!EJ78=1),(1-($O78-Sheet1!$L78)/$O78)*BV78,0)</f>
        <v>0</v>
      </c>
      <c r="CC78" s="697">
        <f>IF(AND(Sheet1!$L78=0,Sheet1!$L77=0, Calculation!BU78&lt;Sheet1!EF78-0.1,Sheet1!EF78=Sheet1!EF77,Sheet1!EF78=Sheet1!EF79),Sheet1!EF78,BV78-CB78)</f>
        <v>2.4442906707785541</v>
      </c>
      <c r="CD78" s="697"/>
      <c r="CE78" s="712"/>
      <c r="CF78" s="712">
        <f t="shared" si="320"/>
        <v>53.663111400216181</v>
      </c>
      <c r="CG78" s="712"/>
      <c r="CH78" s="712">
        <f ca="1">IF(B78&gt;Summary!$A$1,#N/A,CF78*MGtoAF)</f>
        <v>164.63842577586325</v>
      </c>
      <c r="CI78" s="712">
        <f>Sheet1!BK78+Sheet1!BL78+Sheet1!BM78-Sheet1!EN78-CQ78</f>
        <v>6.07</v>
      </c>
      <c r="CJ78" s="712">
        <f t="shared" si="321"/>
        <v>6.0068195836541793</v>
      </c>
      <c r="CK78" s="712">
        <f>IF(Sheet1!EN78="FM",CQ78,0)</f>
        <v>0</v>
      </c>
      <c r="CL78" s="712">
        <f t="shared" si="322"/>
        <v>0</v>
      </c>
      <c r="CM78" s="712">
        <f>IF(Sheet1!EN78="OTHER",CQ78,0)</f>
        <v>0</v>
      </c>
      <c r="CN78" s="712">
        <f t="shared" si="323"/>
        <v>0</v>
      </c>
      <c r="CO78" s="712">
        <f t="shared" si="324"/>
        <v>6.07</v>
      </c>
      <c r="CP78" s="712">
        <f t="shared" si="325"/>
        <v>6.0068195836541793</v>
      </c>
      <c r="CQ78" s="712">
        <f>IF(OR(Sheet1!EN78="FM", Sheet1!EN78="OTHER"),SUM(Sheet1!BK78:'Sheet1'!BM78),0)</f>
        <v>0</v>
      </c>
      <c r="CR78" s="697">
        <f>IF(AND($B78&gt;=$FL78,$B78&lt;=$FM78),MAX($CJ78,Sheet1!EG78,0),MAX($CJ78-(7/36)*$K78,0))</f>
        <v>0</v>
      </c>
      <c r="CS78" s="712">
        <f t="shared" si="326"/>
        <v>6.5620693052347097</v>
      </c>
      <c r="CT78" s="697">
        <f t="shared" si="375"/>
        <v>6.0068195836541793</v>
      </c>
      <c r="CU78" s="697">
        <f>IF(AND($O78&gt;0,Sheet1!EK78=1),(1-($O78-Sheet1!$L78)/$O78)*CP78,0)</f>
        <v>0</v>
      </c>
      <c r="CV78" s="697">
        <f>IF(AND(Sheet1!$L78=0,Sheet1!$L77=0, Calculation!CO78&lt;Sheet1!$EG78-0.1,Sheet1!$EG78=Sheet1!$EG77,Sheet1!$EG78=Sheet1!$EG79),Sheet1!$EG78,CP78-CU78)</f>
        <v>6.0068195836541793</v>
      </c>
      <c r="CW78" s="697">
        <f t="shared" si="362"/>
        <v>0</v>
      </c>
      <c r="CX78" s="712">
        <f t="shared" si="379"/>
        <v>8.5400000000000009</v>
      </c>
      <c r="CY78" s="712">
        <f t="shared" si="327"/>
        <v>39.930940843631717</v>
      </c>
      <c r="CZ78" s="712">
        <f t="shared" si="328"/>
        <v>8.4511102544327343</v>
      </c>
      <c r="DA78" s="712">
        <f ca="1">IF(B78&gt;Summary!$A$1,#N/A,CY78*MGtoAF)</f>
        <v>122.50812650826211</v>
      </c>
      <c r="DB78" s="712">
        <f t="shared" si="329"/>
        <v>8.5400000000000009</v>
      </c>
      <c r="DC78" s="712">
        <f t="shared" si="330"/>
        <v>25.939999999999998</v>
      </c>
      <c r="DD78" s="712">
        <f>Sheet1!AB78-DC78</f>
        <v>-0.27000000000174396</v>
      </c>
      <c r="DE78" s="712">
        <f t="shared" si="331"/>
        <v>-1.0408635312326291E-2</v>
      </c>
      <c r="DF78" s="712">
        <f>(VLOOKUP(Sheet1!CY78,hhdcap_wcm,4)-(((VLOOKUP(Sheet1!CY78,hhdcap_wcm,3)-Sheet1!CY78)/(VLOOKUP(Sheet1!CY78,hhdcap_wcm,3)-VLOOKUP(Sheet1!CY78,hhdcap_wcm,1)))*(VLOOKUP(Sheet1!CY78,hhdcap_wcm,4)-VLOOKUP(Sheet1!CY78,hhdcap_wcm,2))))</f>
        <v>2657.3800000039978</v>
      </c>
      <c r="DG78" s="712">
        <f t="shared" si="332"/>
        <v>168.17000000029111</v>
      </c>
      <c r="DH78" s="712">
        <f t="shared" si="333"/>
        <v>84.805849722789247</v>
      </c>
      <c r="DI78" s="712">
        <f>Sheet1!DW78*AFtoMG</f>
        <v>0</v>
      </c>
      <c r="DJ78" s="712">
        <f>Sheet1!DX78*AFtoMG</f>
        <v>0</v>
      </c>
      <c r="DK78" s="712">
        <f>Sheet1!DY78*AFtoMG</f>
        <v>0</v>
      </c>
      <c r="DL78" s="712">
        <f>Sheet1!DZ78*AFtoMG</f>
        <v>0</v>
      </c>
      <c r="DM78" s="712">
        <f t="shared" si="334"/>
        <v>0</v>
      </c>
      <c r="DN78" s="712">
        <f t="shared" si="335"/>
        <v>0</v>
      </c>
      <c r="DO78" s="712">
        <f t="shared" si="336"/>
        <v>291.10516335495902</v>
      </c>
      <c r="DP78" s="712">
        <f t="shared" si="337"/>
        <v>893.1106411730143</v>
      </c>
      <c r="DQ78" s="712"/>
      <c r="DR78" s="697">
        <f>IF(OR(B78&lt;FL78,B78&gt;FM78),(MIN(AV78+BO78+CJ78+MAX(Sheet1!AA78+AG78-73,0),K78)),0)</f>
        <v>8.4511102544327343</v>
      </c>
      <c r="DS78" s="712"/>
      <c r="DT78" s="712">
        <f t="shared" si="338"/>
        <v>8.4511102544327343</v>
      </c>
      <c r="DU78" s="712"/>
      <c r="DV78" s="712">
        <f>Sheet1!ED78+Sheet1!EE78+Sheet1!EF78+Sheet1!EG78</f>
        <v>8.5</v>
      </c>
      <c r="DW78" s="712"/>
      <c r="DX78" s="697">
        <f t="shared" si="376"/>
        <v>0</v>
      </c>
      <c r="DY78" s="712">
        <f>IF(Sheet1!FN78=1,SUM('Calculations II'!AT78:BA78)+'Calculations II'!BC78+Sheet1!BU78+'Calculations II'!BE78+AF78,SUM('Calculations II'!AT78:BA78)+'Calculations II'!BC78+Sheet1!BU78+'Calculations II'!BE78+AF78)</f>
        <v>44.743071999999998</v>
      </c>
      <c r="DZ78" s="712">
        <f>Sheet1!AA78+Sheet1!AB78+'Calculations II'!BC78</f>
        <v>54.770000000004075</v>
      </c>
      <c r="EA78" s="712"/>
      <c r="EB78" s="712"/>
      <c r="EC78" s="712">
        <f t="shared" si="339"/>
        <v>40607</v>
      </c>
      <c r="ED78" s="712">
        <f t="shared" si="340"/>
        <v>56.188889745567266</v>
      </c>
      <c r="EE78" s="712">
        <f t="shared" si="341"/>
        <v>86.924212436392551</v>
      </c>
      <c r="EF78" s="712">
        <f>-(VLOOKUP(Sheet1!BQ78,Lookup!$B$4:$J$236,2)-VLOOKUP(Sheet1!BQ77,Lookup!$B$4:$J$236,2))/1000000</f>
        <v>0.27050000000000002</v>
      </c>
      <c r="EG78" s="712">
        <f>-(VLOOKUP(Sheet1!BR78,Lookup!$B$4:$J$236,3)-VLOOKUP(Sheet1!BR77,Lookup!$B$4:$J$236,3))/1000000</f>
        <v>0.27</v>
      </c>
      <c r="EH78" s="712">
        <f>-(VLOOKUP(Sheet1!BS78,Lookup!$B$4:$J$236,4)-VLOOKUP(Sheet1!BS77,Lookup!$B$4:$J$236,4))/1000000</f>
        <v>0</v>
      </c>
      <c r="EI78" s="697">
        <f t="shared" si="380"/>
        <v>0.54049999999999998</v>
      </c>
      <c r="EJ78" s="712"/>
      <c r="EK78" s="712"/>
      <c r="EL78" s="712"/>
      <c r="EM78" s="712"/>
      <c r="EN78" s="712"/>
      <c r="EO78" s="712"/>
      <c r="EP78" s="712"/>
      <c r="EQ78" s="712"/>
      <c r="ER78" s="697">
        <v>0</v>
      </c>
      <c r="ES78" s="712"/>
      <c r="ET78" s="794" t="e">
        <f t="shared" si="342"/>
        <v>#N/A</v>
      </c>
      <c r="EU78" s="794" t="e">
        <f t="shared" si="363"/>
        <v>#VALUE!</v>
      </c>
      <c r="EV78" s="795" t="e">
        <f t="shared" si="364"/>
        <v>#VALUE!</v>
      </c>
      <c r="EW78" s="796" t="s">
        <v>757</v>
      </c>
      <c r="EX78" s="796" t="s">
        <v>757</v>
      </c>
      <c r="EY78" s="794">
        <v>0</v>
      </c>
      <c r="EZ78" s="794" t="e">
        <v>#N/A</v>
      </c>
      <c r="FA78" s="712"/>
      <c r="FB78" s="712"/>
      <c r="FC78" s="712"/>
      <c r="FD78" s="712"/>
      <c r="FE78" s="712">
        <f>O78+Sheet1!CO78</f>
        <v>54.770000000004075</v>
      </c>
      <c r="FF78" s="712">
        <f>IF(Sheet1!AA78+AG78&lt;=Calculation!N78,AG78,Calculation!N78-Sheet1!AA78)</f>
        <v>17.218889745565519</v>
      </c>
      <c r="FG78" s="712">
        <f>(Sheet1!BP78+Sheet1!BO78)/694.4</f>
        <v>2.1620103686635943</v>
      </c>
      <c r="FH78" s="712"/>
      <c r="FI78" s="712"/>
      <c r="FJ78" s="712"/>
      <c r="FK78" s="712"/>
      <c r="FL78" s="714">
        <f t="shared" si="381"/>
        <v>40753</v>
      </c>
      <c r="FM78" s="714">
        <f t="shared" si="382"/>
        <v>40851</v>
      </c>
      <c r="FN78" s="712"/>
      <c r="FO78" s="712"/>
      <c r="FP78" s="712"/>
      <c r="FQ78" s="712"/>
      <c r="FR78" s="712"/>
      <c r="FS78" s="725">
        <f t="shared" si="383"/>
        <v>40603</v>
      </c>
      <c r="FT78" s="714">
        <f t="shared" si="384"/>
        <v>40709</v>
      </c>
      <c r="FU78" s="712">
        <f t="shared" si="385"/>
        <v>6518.9048239895692</v>
      </c>
      <c r="FV78" s="714">
        <f t="shared" si="386"/>
        <v>40722</v>
      </c>
      <c r="FW78" s="712">
        <f t="shared" si="387"/>
        <v>3259.4524119947846</v>
      </c>
      <c r="FX78" s="725">
        <f t="shared" si="388"/>
        <v>40851</v>
      </c>
      <c r="FZ78" s="697">
        <f t="shared" si="365"/>
        <v>0</v>
      </c>
      <c r="GA78" s="712" t="str">
        <f t="shared" si="343"/>
        <v/>
      </c>
      <c r="GB78" s="712">
        <f t="shared" si="344"/>
        <v>0</v>
      </c>
      <c r="GC78" s="712" t="str">
        <f t="shared" si="345"/>
        <v/>
      </c>
      <c r="GD78" s="712">
        <f>IF(GA78="P",Lookup!$M$12,IF(GA78="PP",Lookup!$M$13,IF(GA78="PPP",Lookup!$M$14,IF(GA78="T",Lookup!$M$15,IF(GA78="TP",Lookup!$M$16,IF(GA78="TPP",Lookup!$M$17,IF(GA78="TPPP",Lookup!$M$18,0)))))))*FZ78</f>
        <v>0</v>
      </c>
      <c r="GE78" s="712">
        <f t="shared" si="346"/>
        <v>0</v>
      </c>
      <c r="GF78" s="712">
        <f t="shared" si="347"/>
        <v>413.15733333333333</v>
      </c>
      <c r="GG78" s="712">
        <f t="shared" si="348"/>
        <v>134.66666666666666</v>
      </c>
      <c r="GH78" s="712"/>
      <c r="GI78" s="712">
        <f t="shared" si="349"/>
        <v>0</v>
      </c>
      <c r="GJ78" s="712" t="str">
        <f t="shared" si="350"/>
        <v/>
      </c>
      <c r="GK78" s="712">
        <f>IF(GA78="P",Lookup!$N$12,IF(GA78="PP",Lookup!$N$13,IF(GA78="PPP",Lookup!$N$14,IF(GA78="T",Lookup!$N$15,IF(GA78="TP",Lookup!$N$16,IF(GA78="TPP",Lookup!$N$17,IF(GA78="TPPP",Lookup!$N$18,0)))))))*FZ78</f>
        <v>0</v>
      </c>
      <c r="GL78" s="712">
        <f t="shared" si="351"/>
        <v>0</v>
      </c>
      <c r="GM78" s="712">
        <f t="shared" si="352"/>
        <v>192.80675555555558</v>
      </c>
      <c r="GN78" s="712">
        <f t="shared" si="353"/>
        <v>62.844444444444449</v>
      </c>
      <c r="GO78" s="712"/>
      <c r="GP78" s="712">
        <f t="shared" si="354"/>
        <v>0</v>
      </c>
      <c r="GQ78" s="712" t="str">
        <f t="shared" si="355"/>
        <v/>
      </c>
      <c r="GR78" s="712">
        <f>IF(GA78="P",Lookup!$N$12,IF(GA78="PP",Lookup!$N$13,IF(GA78="PPP",Lookup!$N$14,IF(GA78="T",Lookup!$N$15,IF(GA78="TP",Lookup!$N$16,IF(GA78="TPP",Lookup!$N$17,IF(GA78="TPPP",Lookup!$N$18,0)))))))*FZ78</f>
        <v>0</v>
      </c>
      <c r="GS78" s="697">
        <f t="shared" si="377"/>
        <v>0</v>
      </c>
      <c r="GT78" s="712">
        <f t="shared" si="356"/>
        <v>164.63842577586325</v>
      </c>
      <c r="GU78" s="712">
        <f t="shared" si="357"/>
        <v>53.663111400216181</v>
      </c>
      <c r="GV78" s="712"/>
      <c r="GW78" s="712">
        <f t="shared" si="358"/>
        <v>0</v>
      </c>
      <c r="GX78" s="712" t="str">
        <f t="shared" si="359"/>
        <v/>
      </c>
      <c r="GY78" s="712">
        <f>IF(GA78="P",Lookup!$N$12,IF(GA78="PP",Lookup!$N$13,IF(GA78="PPP",Lookup!$N$14,IF(GA78="T",Lookup!$N$15,IF(GA78="TP",Lookup!$N$16,IF(GA78="TPP",Lookup!$N$17,IF(GA78="TPPP",Lookup!$N$18,0)))))))*FZ78</f>
        <v>0</v>
      </c>
      <c r="GZ78" s="697">
        <f t="shared" si="378"/>
        <v>0</v>
      </c>
      <c r="HA78" s="712">
        <f t="shared" si="360"/>
        <v>122.50812650826211</v>
      </c>
      <c r="HB78" s="712">
        <f t="shared" si="361"/>
        <v>39.930940843631717</v>
      </c>
      <c r="HC78" s="712"/>
    </row>
    <row r="79" spans="1:211">
      <c r="A79" s="773" t="s">
        <v>3</v>
      </c>
      <c r="B79" s="708">
        <v>40608</v>
      </c>
      <c r="C79" s="709">
        <v>0.5</v>
      </c>
      <c r="D79" s="675">
        <f t="shared" si="366"/>
        <v>300</v>
      </c>
      <c r="E79" s="675">
        <f t="shared" si="367"/>
        <v>250</v>
      </c>
      <c r="F79" s="675">
        <v>250</v>
      </c>
      <c r="G79" s="712">
        <f>DH79+Sheet1!CV79</f>
        <v>624.07863902002873</v>
      </c>
      <c r="H79" s="712">
        <f t="shared" si="294"/>
        <v>136.44123226254658</v>
      </c>
      <c r="I79" s="711">
        <f>MAX(Sheet1!Z79-AJ79+(Sheet1!CW79-E79)*CFStoMGD,0)</f>
        <v>604.72437697953023</v>
      </c>
      <c r="J79" s="720">
        <f>IF(AND(B79&gt;=Calculation!FS79,B79&lt;=Calculation!FT79),IF(Sheet1!CX79&gt;=Calculation!D79,64.64,0),MAX(Sheet1!Z79-AJ79+(Sheet1!CX79-D79)*CFStoMGD,0))</f>
        <v>64.64</v>
      </c>
      <c r="K79" s="697">
        <f t="shared" si="368"/>
        <v>64.64</v>
      </c>
      <c r="L79" s="712">
        <f>Sheet1!AA79+Sheet1!AB79-Sheet1!L79+(Sheet1!CW79-F79)*CFStoMGD</f>
        <v>652.68466666666075</v>
      </c>
      <c r="M79" s="712">
        <f t="shared" si="295"/>
        <v>411.4725209077975</v>
      </c>
      <c r="N79" s="712">
        <f>IF(Sheet1!CW79&gt;=F79,MIN(73,MIN(MAX(L79,0),MAX(M79,0))),0)</f>
        <v>73</v>
      </c>
      <c r="O79" s="721">
        <f>Sheet1!AA79+Sheet1!AB79</f>
        <v>56.649999999994179</v>
      </c>
      <c r="P79" s="721">
        <f t="shared" si="296"/>
        <v>87.637549999990995</v>
      </c>
      <c r="Q79" s="712">
        <f>MIN(N79,Sheet1!AA79+AG79)</f>
        <v>47.940289687132832</v>
      </c>
      <c r="R79" s="712">
        <f t="shared" si="297"/>
        <v>8.7097103128613451</v>
      </c>
      <c r="S79" s="721">
        <f>Sheet1!Y79*MGDtoCFS</f>
        <v>45.88402</v>
      </c>
      <c r="T79" s="721">
        <f>Sheet1!Z79*MGDtoCFS</f>
        <v>41.057379999999995</v>
      </c>
      <c r="U79" s="721">
        <f>Sheet1!AA79*MGDtoCFS</f>
        <v>46.549229999994594</v>
      </c>
      <c r="V79" s="721">
        <f>Sheet1!AB79*MGDtoCFS</f>
        <v>41.088319999996394</v>
      </c>
      <c r="W79" s="721">
        <f>Sheet1!L79*MGDtoCFS</f>
        <v>0</v>
      </c>
      <c r="X79" s="697">
        <f t="shared" si="369"/>
        <v>0</v>
      </c>
      <c r="Y79" s="712">
        <f t="shared" si="298"/>
        <v>0</v>
      </c>
      <c r="Z79" s="712">
        <f t="shared" si="299"/>
        <v>55.930289687138654</v>
      </c>
      <c r="AA79" s="712">
        <f t="shared" si="300"/>
        <v>86.524158146003487</v>
      </c>
      <c r="AB79" s="712">
        <f>(VLOOKUP(Sheet1!CY79,hhdcap_wcm,4)-(((VLOOKUP(Sheet1!CY79,hhdcap_wcm,3)-Sheet1!CY79)/(VLOOKUP(Sheet1!CY79,hhdcap_wcm,3)-VLOOKUP(Sheet1!CY79,hhdcap_wcm,1)))*(VLOOKUP(Sheet1!CY79,hhdcap_wcm,4)-VLOOKUP(Sheet1!CY79,hhdcap_wcm,2))))</f>
        <v>2792.0300000042444</v>
      </c>
      <c r="AC79" s="712">
        <f t="shared" si="301"/>
        <v>134.65000000024656</v>
      </c>
      <c r="AD79" s="712">
        <f t="shared" si="370"/>
        <v>347.03545304209763</v>
      </c>
      <c r="AE79" s="712">
        <f t="shared" si="302"/>
        <v>1064.7047699331556</v>
      </c>
      <c r="AF79" s="712">
        <f>Sheet1!BA79+Sheet1!BB79+Sheet1!BN79+BT79</f>
        <v>17.399999999999999</v>
      </c>
      <c r="AG79" s="712">
        <f t="shared" si="303"/>
        <v>17.850289687136328</v>
      </c>
      <c r="AH79" s="712">
        <f>Sheet1!BA79+BT79</f>
        <v>0</v>
      </c>
      <c r="AI79" s="712">
        <f>Sheet1!BA79+Sheet1!BB79+BT79</f>
        <v>0</v>
      </c>
      <c r="AJ79" s="712">
        <f>IF((Sheet1!AA79+AG79+AX79+AZ79+BQ79+BS79+CL79+CN79)&lt;=N79,AG79+AX79+AZ79+BQ79+BS79+CL79+CN79,N79-Sheet1!AA79)</f>
        <v>17.850289687136328</v>
      </c>
      <c r="AK79" s="712">
        <f>IF(DR79&lt;K79,0,MAX(Sheet1!AA79+AG79-15/36*K79-N79,Sheet1!ED79,0))</f>
        <v>0</v>
      </c>
      <c r="AL79" s="712">
        <f>IF(OR(B79&gt;=FT79,B79&lt;FS79),0,15/36*K79-MAX(0,64.6-(137.6-(Sheet1!AA79+Sheet1!AB79))))</f>
        <v>26.933333333333334</v>
      </c>
      <c r="AM79" s="712">
        <f>Sheet1!CX79-110</f>
        <v>408.34375</v>
      </c>
      <c r="AN79" s="712">
        <f>Sheet1!CW79-265</f>
        <v>907.08333333333326</v>
      </c>
      <c r="AO79" s="712">
        <f t="shared" si="371"/>
        <v>25.059710312867168</v>
      </c>
      <c r="AP79" s="712">
        <f t="shared" si="372"/>
        <v>0</v>
      </c>
      <c r="AQ79" s="712">
        <f t="shared" si="304"/>
        <v>0</v>
      </c>
      <c r="AR79" s="712">
        <f t="shared" si="305"/>
        <v>161.6</v>
      </c>
      <c r="AS79" s="712"/>
      <c r="AT79" s="712">
        <f ca="1">IF(B79&gt;Summary!$A$1,#N/A,AR79*MGtoAF)</f>
        <v>495.78879999999998</v>
      </c>
      <c r="AU79" s="712">
        <f>Sheet1!BG79+Sheet1!BH79+Sheet1!BI79-BC79</f>
        <v>0</v>
      </c>
      <c r="AV79" s="712">
        <f t="shared" si="306"/>
        <v>0</v>
      </c>
      <c r="AW79" s="712">
        <f>IF(Sheet1!EL79="FM",BC79,0)</f>
        <v>0</v>
      </c>
      <c r="AX79" s="712">
        <f t="shared" si="307"/>
        <v>0</v>
      </c>
      <c r="AY79" s="712">
        <f>IF(Sheet1!EL79="OTHER",BC79,0)</f>
        <v>0</v>
      </c>
      <c r="AZ79" s="712">
        <f t="shared" si="308"/>
        <v>0</v>
      </c>
      <c r="BA79" s="712">
        <f t="shared" si="309"/>
        <v>0</v>
      </c>
      <c r="BB79" s="712">
        <f t="shared" si="310"/>
        <v>0</v>
      </c>
      <c r="BC79" s="712">
        <f>IF(OR(Sheet1!EL79="FM", Sheet1!EL79="OTHER"),SUM(Sheet1!BG79:'Sheet1'!BI79),0)</f>
        <v>0</v>
      </c>
      <c r="BD79" s="697">
        <f>IF(AND($B79&gt;=$FL79,$B79&lt;=$FM79),MAX(AV79,Sheet1!EE79,0),MAX(AV79-(7/36)*$K79,0))</f>
        <v>0</v>
      </c>
      <c r="BE79" s="712">
        <f t="shared" si="311"/>
        <v>12.568888888888889</v>
      </c>
      <c r="BF79" s="697">
        <f t="shared" si="373"/>
        <v>0</v>
      </c>
      <c r="BG79" s="697">
        <f>IF(AND($O79&gt;0,Sheet1!EI79=1),(1-($O79-Sheet1!$L79)/$O79)*BB79,0)</f>
        <v>0</v>
      </c>
      <c r="BH79" s="697">
        <f>IF(AND(Sheet1!$L79=0,Sheet1!$L78=0, Calculation!BA79&lt;Sheet1!$EE79-0.1,Sheet1!$EE79=Sheet1!$EE78,Sheet1!$EE79=Sheet1!$EE80),Sheet1!$EE79,BB79-BG79)</f>
        <v>0</v>
      </c>
      <c r="BI79" s="712"/>
      <c r="BJ79" s="712"/>
      <c r="BK79" s="712">
        <f t="shared" si="312"/>
        <v>75.413333333333341</v>
      </c>
      <c r="BL79" s="712"/>
      <c r="BM79" s="712">
        <f ca="1">IF(B79&gt;Summary!$A$1,#N/A,BK79*MGtoAF)</f>
        <v>231.3681066666667</v>
      </c>
      <c r="BN79" s="712">
        <f>Sheet1!BC79+Sheet1!BD79+Sheet1!BE79+Sheet1!BF79-BW79-BX79</f>
        <v>2.46</v>
      </c>
      <c r="BO79" s="712">
        <f t="shared" si="313"/>
        <v>2.5236616454227221</v>
      </c>
      <c r="BP79" s="712">
        <f>IF(Sheet1!EM79="FM",BX79,0)</f>
        <v>0</v>
      </c>
      <c r="BQ79" s="712">
        <f t="shared" si="314"/>
        <v>0</v>
      </c>
      <c r="BR79" s="712">
        <f>IF(Sheet1!EM79="OTHER",BX79,0)</f>
        <v>0</v>
      </c>
      <c r="BS79" s="712">
        <f t="shared" si="315"/>
        <v>0</v>
      </c>
      <c r="BT79" s="712">
        <f t="shared" si="316"/>
        <v>0</v>
      </c>
      <c r="BU79" s="712">
        <f t="shared" si="317"/>
        <v>2.46</v>
      </c>
      <c r="BV79" s="712">
        <f t="shared" si="318"/>
        <v>2.5236616454227221</v>
      </c>
      <c r="BW79" s="712">
        <f>IF(Sheet1!EM79="CWA",SUM(Sheet1!BC79:'Sheet1'!BF79),0)</f>
        <v>0</v>
      </c>
      <c r="BX79" s="712">
        <f>IF(OR(Sheet1!EM79="FM", Sheet1!EM79="OTHER"),SUM(Sheet1!BC79:'Sheet1'!BF79),0)</f>
        <v>0</v>
      </c>
      <c r="BY79" s="697">
        <f>IF(AND($B79&gt;=$FL79,$B79&lt;=$FM79),MAX(BV79,Sheet1!EF79,0),MAX(BV79-(7/36)*$K79,0))</f>
        <v>0</v>
      </c>
      <c r="BZ79" s="712">
        <f t="shared" si="319"/>
        <v>10.045227243466167</v>
      </c>
      <c r="CA79" s="697">
        <f t="shared" si="374"/>
        <v>2.5236616454227221</v>
      </c>
      <c r="CB79" s="697">
        <f>IF(AND($O79&gt;0,Sheet1!EJ79=1),(1-($O79-Sheet1!$L79)/$O79)*BV79,0)</f>
        <v>0</v>
      </c>
      <c r="CC79" s="697">
        <f>IF(AND(Sheet1!$L79=0,Sheet1!$L78=0, Calculation!BU79&lt;Sheet1!EF79-0.1,Sheet1!EF79=Sheet1!EF78,Sheet1!EF79=Sheet1!EF80),Sheet1!EF79,BV79-CB79)</f>
        <v>2.5236616454227221</v>
      </c>
      <c r="CD79" s="697"/>
      <c r="CE79" s="712"/>
      <c r="CF79" s="712">
        <f t="shared" si="320"/>
        <v>63.708338643682346</v>
      </c>
      <c r="CG79" s="712"/>
      <c r="CH79" s="712">
        <f ca="1">IF(B79&gt;Summary!$A$1,#N/A,CF79*MGtoAF)</f>
        <v>195.45718295881744</v>
      </c>
      <c r="CI79" s="712">
        <f>Sheet1!BK79+Sheet1!BL79+Sheet1!BM79-Sheet1!EN79-CQ79</f>
        <v>6.0299999999999994</v>
      </c>
      <c r="CJ79" s="712">
        <f t="shared" si="321"/>
        <v>6.186048667438623</v>
      </c>
      <c r="CK79" s="712">
        <f>IF(Sheet1!EN79="FM",CQ79,0)</f>
        <v>0</v>
      </c>
      <c r="CL79" s="712">
        <f t="shared" si="322"/>
        <v>0</v>
      </c>
      <c r="CM79" s="712">
        <f>IF(Sheet1!EN79="OTHER",CQ79,0)</f>
        <v>0</v>
      </c>
      <c r="CN79" s="712">
        <f t="shared" si="323"/>
        <v>0</v>
      </c>
      <c r="CO79" s="712">
        <f t="shared" si="324"/>
        <v>6.0299999999999994</v>
      </c>
      <c r="CP79" s="712">
        <f t="shared" si="325"/>
        <v>6.186048667438623</v>
      </c>
      <c r="CQ79" s="712">
        <f>IF(OR(Sheet1!EN79="FM", Sheet1!EN79="OTHER"),SUM(Sheet1!BK79:'Sheet1'!BM79),0)</f>
        <v>0</v>
      </c>
      <c r="CR79" s="697">
        <f>IF(AND($B79&gt;=$FL79,$B79&lt;=$FM79),MAX($CJ79,Sheet1!EG79,0),MAX($CJ79-(7/36)*$K79,0))</f>
        <v>0</v>
      </c>
      <c r="CS79" s="712">
        <f t="shared" si="326"/>
        <v>6.382840221450266</v>
      </c>
      <c r="CT79" s="697">
        <f t="shared" si="375"/>
        <v>6.186048667438623</v>
      </c>
      <c r="CU79" s="697">
        <f>IF(AND($O79&gt;0,Sheet1!EK79=1),(1-($O79-Sheet1!$L79)/$O79)*CP79,0)</f>
        <v>0</v>
      </c>
      <c r="CV79" s="697">
        <f>IF(AND(Sheet1!$L79=0,Sheet1!$L78=0, Calculation!CO79&lt;Sheet1!$EG79-0.1,Sheet1!$EG79=Sheet1!$EG78,Sheet1!$EG79=Sheet1!$EG80),Sheet1!$EG79,CP79-CU79)</f>
        <v>6.186048667438623</v>
      </c>
      <c r="CW79" s="697">
        <f t="shared" si="362"/>
        <v>0</v>
      </c>
      <c r="CX79" s="712">
        <f t="shared" si="379"/>
        <v>8.4899999999999984</v>
      </c>
      <c r="CY79" s="712">
        <f t="shared" si="327"/>
        <v>46.313781065081983</v>
      </c>
      <c r="CZ79" s="712">
        <f t="shared" si="328"/>
        <v>8.7097103128613451</v>
      </c>
      <c r="DA79" s="712">
        <f ca="1">IF(B79&gt;Summary!$A$1,#N/A,CY79*MGtoAF)</f>
        <v>142.09068030767153</v>
      </c>
      <c r="DB79" s="712">
        <f t="shared" si="329"/>
        <v>8.4899999999999984</v>
      </c>
      <c r="DC79" s="712">
        <f t="shared" si="330"/>
        <v>25.889999999999997</v>
      </c>
      <c r="DD79" s="712">
        <f>Sheet1!AB79-DC79</f>
        <v>0.66999999999767468</v>
      </c>
      <c r="DE79" s="712">
        <f t="shared" si="331"/>
        <v>2.5878717651513124E-2</v>
      </c>
      <c r="DF79" s="712">
        <f>(VLOOKUP(Sheet1!CY79,hhdcap_wcm,4)-(((VLOOKUP(Sheet1!CY79,hhdcap_wcm,3)-Sheet1!CY79)/(VLOOKUP(Sheet1!CY79,hhdcap_wcm,3)-VLOOKUP(Sheet1!CY79,hhdcap_wcm,1)))*(VLOOKUP(Sheet1!CY79,hhdcap_wcm,4)-VLOOKUP(Sheet1!CY79,hhdcap_wcm,2))))</f>
        <v>2792.0300000042444</v>
      </c>
      <c r="DG79" s="712">
        <f t="shared" si="332"/>
        <v>134.65000000024656</v>
      </c>
      <c r="DH79" s="712">
        <f t="shared" si="333"/>
        <v>67.902168431793513</v>
      </c>
      <c r="DI79" s="712">
        <f>Sheet1!DW79*AFtoMG</f>
        <v>0</v>
      </c>
      <c r="DJ79" s="712">
        <f>Sheet1!DX79*AFtoMG</f>
        <v>0</v>
      </c>
      <c r="DK79" s="712">
        <f>Sheet1!DY79*AFtoMG</f>
        <v>0</v>
      </c>
      <c r="DL79" s="712">
        <f>Sheet1!DZ79*AFtoMG</f>
        <v>0</v>
      </c>
      <c r="DM79" s="712">
        <f t="shared" si="334"/>
        <v>0</v>
      </c>
      <c r="DN79" s="712">
        <f t="shared" si="335"/>
        <v>0</v>
      </c>
      <c r="DO79" s="712">
        <f t="shared" si="336"/>
        <v>347.03545304209763</v>
      </c>
      <c r="DP79" s="712">
        <f t="shared" si="337"/>
        <v>1064.7047699331556</v>
      </c>
      <c r="DQ79" s="712"/>
      <c r="DR79" s="697">
        <f>IF(OR(B79&lt;FL79,B79&gt;FM79),(MIN(AV79+BO79+CJ79+MAX(Sheet1!AA79+AG79-73,0),K79)),0)</f>
        <v>8.7097103128613451</v>
      </c>
      <c r="DS79" s="712"/>
      <c r="DT79" s="712">
        <f t="shared" si="338"/>
        <v>8.7097103128613451</v>
      </c>
      <c r="DU79" s="712"/>
      <c r="DV79" s="712">
        <f>Sheet1!ED79+Sheet1!EE79+Sheet1!EF79+Sheet1!EG79</f>
        <v>8.5</v>
      </c>
      <c r="DW79" s="712"/>
      <c r="DX79" s="697">
        <f t="shared" si="376"/>
        <v>0</v>
      </c>
      <c r="DY79" s="712">
        <f>IF(Sheet1!FN79=1,SUM('Calculations II'!AT79:BA79)+'Calculations II'!BC79+Sheet1!BU79+'Calculations II'!BE79+AF79,SUM('Calculations II'!AT79:BA79)+'Calculations II'!BC79+Sheet1!BU79+'Calculations II'!BE79+AF79)</f>
        <v>45.188687999999999</v>
      </c>
      <c r="DZ79" s="712">
        <f>Sheet1!AA79+Sheet1!AB79+'Calculations II'!BC79</f>
        <v>56.649999999994179</v>
      </c>
      <c r="EA79" s="712"/>
      <c r="EB79" s="712"/>
      <c r="EC79" s="712">
        <f t="shared" si="339"/>
        <v>40608</v>
      </c>
      <c r="ED79" s="712">
        <f t="shared" si="340"/>
        <v>55.930289687138654</v>
      </c>
      <c r="EE79" s="712">
        <f t="shared" si="341"/>
        <v>86.524158146003487</v>
      </c>
      <c r="EF79" s="712">
        <f>-(VLOOKUP(Sheet1!BQ79,Lookup!$B$4:$J$236,2)-VLOOKUP(Sheet1!BQ78,Lookup!$B$4:$J$236,2))/1000000</f>
        <v>0.54100000000000004</v>
      </c>
      <c r="EG79" s="712">
        <f>-(VLOOKUP(Sheet1!BR79,Lookup!$B$4:$J$236,3)-VLOOKUP(Sheet1!BR78,Lookup!$B$4:$J$236,3))/1000000</f>
        <v>0.54</v>
      </c>
      <c r="EH79" s="712">
        <f>-(VLOOKUP(Sheet1!BS79,Lookup!$B$4:$J$236,4)-VLOOKUP(Sheet1!BS78,Lookup!$B$4:$J$236,4))/1000000</f>
        <v>0</v>
      </c>
      <c r="EI79" s="697">
        <f t="shared" si="380"/>
        <v>1.081</v>
      </c>
      <c r="EJ79" s="712"/>
      <c r="EK79" s="712"/>
      <c r="EL79" s="712"/>
      <c r="EM79" s="712"/>
      <c r="EN79" s="712"/>
      <c r="EO79" s="712"/>
      <c r="EP79" s="712"/>
      <c r="EQ79" s="712"/>
      <c r="ER79" s="697">
        <v>0</v>
      </c>
      <c r="ES79" s="712"/>
      <c r="ET79" s="794" t="e">
        <f t="shared" si="342"/>
        <v>#N/A</v>
      </c>
      <c r="EU79" s="794" t="e">
        <f t="shared" si="363"/>
        <v>#VALUE!</v>
      </c>
      <c r="EV79" s="795" t="e">
        <f t="shared" si="364"/>
        <v>#VALUE!</v>
      </c>
      <c r="EW79" s="796" t="s">
        <v>757</v>
      </c>
      <c r="EX79" s="796" t="s">
        <v>757</v>
      </c>
      <c r="EY79" s="794">
        <v>0</v>
      </c>
      <c r="EZ79" s="794" t="e">
        <v>#N/A</v>
      </c>
      <c r="FA79" s="712"/>
      <c r="FB79" s="712"/>
      <c r="FC79" s="712"/>
      <c r="FD79" s="712"/>
      <c r="FE79" s="712">
        <f>O79+Sheet1!CO79</f>
        <v>56.649999999994179</v>
      </c>
      <c r="FF79" s="712">
        <f>IF(Sheet1!AA79+AG79&lt;=Calculation!N79,AG79,Calculation!N79-Sheet1!AA79)</f>
        <v>17.850289687136328</v>
      </c>
      <c r="FG79" s="712">
        <f>(Sheet1!BP79+Sheet1!BO79)/694.4</f>
        <v>2.282258064516129</v>
      </c>
      <c r="FH79" s="712"/>
      <c r="FI79" s="712"/>
      <c r="FJ79" s="712"/>
      <c r="FK79" s="712"/>
      <c r="FL79" s="714">
        <f t="shared" si="381"/>
        <v>40753</v>
      </c>
      <c r="FM79" s="714">
        <f t="shared" si="382"/>
        <v>40851</v>
      </c>
      <c r="FN79" s="712"/>
      <c r="FO79" s="712"/>
      <c r="FP79" s="712"/>
      <c r="FQ79" s="712"/>
      <c r="FR79" s="712"/>
      <c r="FS79" s="725">
        <f t="shared" si="383"/>
        <v>40603</v>
      </c>
      <c r="FT79" s="714">
        <f t="shared" si="384"/>
        <v>40709</v>
      </c>
      <c r="FU79" s="712">
        <f t="shared" si="385"/>
        <v>6518.9048239895692</v>
      </c>
      <c r="FV79" s="714">
        <f t="shared" si="386"/>
        <v>40722</v>
      </c>
      <c r="FW79" s="712">
        <f t="shared" si="387"/>
        <v>3259.4524119947846</v>
      </c>
      <c r="FX79" s="725">
        <f t="shared" si="388"/>
        <v>40851</v>
      </c>
      <c r="FZ79" s="697">
        <f t="shared" si="365"/>
        <v>0</v>
      </c>
      <c r="GA79" s="712" t="str">
        <f t="shared" si="343"/>
        <v/>
      </c>
      <c r="GB79" s="712">
        <f t="shared" si="344"/>
        <v>0</v>
      </c>
      <c r="GC79" s="712" t="str">
        <f t="shared" si="345"/>
        <v/>
      </c>
      <c r="GD79" s="712">
        <f>IF(GA79="P",Lookup!$M$12,IF(GA79="PP",Lookup!$M$13,IF(GA79="PPP",Lookup!$M$14,IF(GA79="T",Lookup!$M$15,IF(GA79="TP",Lookup!$M$16,IF(GA79="TPP",Lookup!$M$17,IF(GA79="TPPP",Lookup!$M$18,0)))))))*FZ79</f>
        <v>0</v>
      </c>
      <c r="GE79" s="712">
        <f t="shared" si="346"/>
        <v>0</v>
      </c>
      <c r="GF79" s="712">
        <f t="shared" si="347"/>
        <v>495.78879999999998</v>
      </c>
      <c r="GG79" s="712">
        <f t="shared" si="348"/>
        <v>161.6</v>
      </c>
      <c r="GH79" s="712"/>
      <c r="GI79" s="712">
        <f t="shared" si="349"/>
        <v>0</v>
      </c>
      <c r="GJ79" s="712" t="str">
        <f t="shared" si="350"/>
        <v/>
      </c>
      <c r="GK79" s="712">
        <f>IF(GA79="P",Lookup!$N$12,IF(GA79="PP",Lookup!$N$13,IF(GA79="PPP",Lookup!$N$14,IF(GA79="T",Lookup!$N$15,IF(GA79="TP",Lookup!$N$16,IF(GA79="TPP",Lookup!$N$17,IF(GA79="TPPP",Lookup!$N$18,0)))))))*FZ79</f>
        <v>0</v>
      </c>
      <c r="GL79" s="712">
        <f t="shared" si="351"/>
        <v>0</v>
      </c>
      <c r="GM79" s="712">
        <f t="shared" si="352"/>
        <v>231.3681066666667</v>
      </c>
      <c r="GN79" s="712">
        <f t="shared" si="353"/>
        <v>75.413333333333341</v>
      </c>
      <c r="GO79" s="712"/>
      <c r="GP79" s="712">
        <f t="shared" si="354"/>
        <v>0</v>
      </c>
      <c r="GQ79" s="712" t="str">
        <f t="shared" si="355"/>
        <v/>
      </c>
      <c r="GR79" s="712">
        <f>IF(GA79="P",Lookup!$N$12,IF(GA79="PP",Lookup!$N$13,IF(GA79="PPP",Lookup!$N$14,IF(GA79="T",Lookup!$N$15,IF(GA79="TP",Lookup!$N$16,IF(GA79="TPP",Lookup!$N$17,IF(GA79="TPPP",Lookup!$N$18,0)))))))*FZ79</f>
        <v>0</v>
      </c>
      <c r="GS79" s="697">
        <f t="shared" si="377"/>
        <v>0</v>
      </c>
      <c r="GT79" s="712">
        <f t="shared" si="356"/>
        <v>195.45718295881744</v>
      </c>
      <c r="GU79" s="712">
        <f t="shared" si="357"/>
        <v>63.708338643682346</v>
      </c>
      <c r="GV79" s="712"/>
      <c r="GW79" s="712">
        <f t="shared" si="358"/>
        <v>0</v>
      </c>
      <c r="GX79" s="712" t="str">
        <f t="shared" si="359"/>
        <v/>
      </c>
      <c r="GY79" s="712">
        <f>IF(GA79="P",Lookup!$N$12,IF(GA79="PP",Lookup!$N$13,IF(GA79="PPP",Lookup!$N$14,IF(GA79="T",Lookup!$N$15,IF(GA79="TP",Lookup!$N$16,IF(GA79="TPP",Lookup!$N$17,IF(GA79="TPPP",Lookup!$N$18,0)))))))*FZ79</f>
        <v>0</v>
      </c>
      <c r="GZ79" s="697">
        <f t="shared" si="378"/>
        <v>0</v>
      </c>
      <c r="HA79" s="712">
        <f t="shared" si="360"/>
        <v>142.09068030767153</v>
      </c>
      <c r="HB79" s="712">
        <f t="shared" si="361"/>
        <v>46.313781065081983</v>
      </c>
      <c r="HC79" s="712"/>
    </row>
    <row r="80" spans="1:211">
      <c r="A80" s="773" t="s">
        <v>4</v>
      </c>
      <c r="B80" s="708">
        <v>40609</v>
      </c>
      <c r="C80" s="719">
        <v>0.5</v>
      </c>
      <c r="D80" s="675">
        <f t="shared" si="366"/>
        <v>300</v>
      </c>
      <c r="E80" s="675">
        <f t="shared" si="367"/>
        <v>250</v>
      </c>
      <c r="F80" s="710">
        <v>250</v>
      </c>
      <c r="G80" s="712">
        <f>DH80+Sheet1!CV80</f>
        <v>622.34657085240462</v>
      </c>
      <c r="H80" s="712">
        <f t="shared" si="294"/>
        <v>135.32162339899435</v>
      </c>
      <c r="I80" s="711">
        <f>MAX(Sheet1!Z80-AJ80+(Sheet1!CW80-E80)*CFStoMGD,0)</f>
        <v>564.12492061049011</v>
      </c>
      <c r="J80" s="720">
        <f>IF(AND(B80&gt;=Calculation!FS80,B80&lt;=Calculation!FT80),IF(Sheet1!CX80&gt;=Calculation!D80,64.64,0),MAX(Sheet1!Z80-AJ80+(Sheet1!CX80-D80)*CFStoMGD,0))</f>
        <v>64.64</v>
      </c>
      <c r="K80" s="697">
        <f t="shared" si="368"/>
        <v>64.64</v>
      </c>
      <c r="L80" s="712">
        <f>Sheet1!AA80+Sheet1!AB80-Sheet1!L80+(Sheet1!CW80-F80)*CFStoMGD</f>
        <v>610.84466666666572</v>
      </c>
      <c r="M80" s="712">
        <f t="shared" si="295"/>
        <v>410.33051986697427</v>
      </c>
      <c r="N80" s="712">
        <f>IF(Sheet1!CW80&gt;=F80,MIN(73,MIN(MAX(L80,0),MAX(M80,0))),0)</f>
        <v>73</v>
      </c>
      <c r="O80" s="721">
        <f>Sheet1!AA80+Sheet1!AB80</f>
        <v>55.209999999999127</v>
      </c>
      <c r="P80" s="721">
        <f t="shared" si="296"/>
        <v>85.409869999998648</v>
      </c>
      <c r="Q80" s="712">
        <f>MIN(N80,Sheet1!AA80+AG80)</f>
        <v>46.649746056174095</v>
      </c>
      <c r="R80" s="712">
        <f t="shared" si="297"/>
        <v>8.56025394382503</v>
      </c>
      <c r="S80" s="721">
        <f>Sheet1!Y80*MGDtoCFS</f>
        <v>45.976839999999996</v>
      </c>
      <c r="T80" s="721">
        <f>Sheet1!Z80*MGDtoCFS</f>
        <v>39.959009999999992</v>
      </c>
      <c r="U80" s="721">
        <f>Sheet1!AA80*MGDtoCFS</f>
        <v>45.3425699999964</v>
      </c>
      <c r="V80" s="721">
        <f>Sheet1!AB80*MGDtoCFS</f>
        <v>40.067300000002248</v>
      </c>
      <c r="W80" s="721">
        <f>Sheet1!L80*MGDtoCFS</f>
        <v>0</v>
      </c>
      <c r="X80" s="697">
        <f t="shared" si="369"/>
        <v>0</v>
      </c>
      <c r="Y80" s="712">
        <f t="shared" si="298"/>
        <v>0</v>
      </c>
      <c r="Z80" s="712">
        <f t="shared" si="299"/>
        <v>56.079746056174969</v>
      </c>
      <c r="AA80" s="712">
        <f t="shared" si="300"/>
        <v>86.755367148902678</v>
      </c>
      <c r="AB80" s="712">
        <f>(VLOOKUP(Sheet1!CY80,hhdcap_wcm,4)-(((VLOOKUP(Sheet1!CY80,hhdcap_wcm,3)-Sheet1!CY80)/(VLOOKUP(Sheet1!CY80,hhdcap_wcm,3)-VLOOKUP(Sheet1!CY80,hhdcap_wcm,1)))*(VLOOKUP(Sheet1!CY80,hhdcap_wcm,4)-VLOOKUP(Sheet1!CY80,hhdcap_wcm,2))))</f>
        <v>2969.7000000045628</v>
      </c>
      <c r="AC80" s="712">
        <f t="shared" si="301"/>
        <v>177.6700000003184</v>
      </c>
      <c r="AD80" s="712">
        <f t="shared" si="370"/>
        <v>403.11519909827268</v>
      </c>
      <c r="AE80" s="712">
        <f t="shared" si="302"/>
        <v>1236.7574308335006</v>
      </c>
      <c r="AF80" s="712">
        <f>Sheet1!BA80+Sheet1!BB80+Sheet1!BN80+BT80</f>
        <v>17.399999999999999</v>
      </c>
      <c r="AG80" s="712">
        <f t="shared" si="303"/>
        <v>17.339746056176427</v>
      </c>
      <c r="AH80" s="712">
        <f>Sheet1!BA80+BT80</f>
        <v>0</v>
      </c>
      <c r="AI80" s="712">
        <f>Sheet1!BA80+Sheet1!BB80+BT80</f>
        <v>0</v>
      </c>
      <c r="AJ80" s="712">
        <f>IF((Sheet1!AA80+AG80+AX80+AZ80+BQ80+BS80+CL80+CN80)&lt;=N80,AG80+AX80+AZ80+BQ80+BS80+CL80+CN80,N80-Sheet1!AA80)</f>
        <v>17.339746056176427</v>
      </c>
      <c r="AK80" s="712">
        <f>IF(DR80&lt;K80,0,MAX(Sheet1!AA80+AG80-15/36*K80-N80,Sheet1!ED80,0))</f>
        <v>0</v>
      </c>
      <c r="AL80" s="712">
        <f>IF(OR(B80&gt;=FT80,B80&lt;FS80),0,15/36*K80-MAX(0,64.6-(137.6-(Sheet1!AA80+Sheet1!AB80))))</f>
        <v>26.933333333333334</v>
      </c>
      <c r="AM80" s="712">
        <f>Sheet1!CX80-110</f>
        <v>373.77083333333331</v>
      </c>
      <c r="AN80" s="712">
        <f>Sheet1!CW80-265</f>
        <v>844.58333333333326</v>
      </c>
      <c r="AO80" s="712">
        <f t="shared" si="371"/>
        <v>26.350253943825905</v>
      </c>
      <c r="AP80" s="712">
        <f t="shared" si="372"/>
        <v>0</v>
      </c>
      <c r="AQ80" s="712">
        <f t="shared" si="304"/>
        <v>0</v>
      </c>
      <c r="AR80" s="712">
        <f t="shared" si="305"/>
        <v>188.53333333333333</v>
      </c>
      <c r="AS80" s="712"/>
      <c r="AT80" s="712">
        <f ca="1">IF(B80&gt;Summary!$A$1,#N/A,AR80*MGtoAF)</f>
        <v>578.42026666666663</v>
      </c>
      <c r="AU80" s="712">
        <f>Sheet1!BG80+Sheet1!BH80+Sheet1!BI80-BC80</f>
        <v>0</v>
      </c>
      <c r="AV80" s="712">
        <f t="shared" si="306"/>
        <v>0</v>
      </c>
      <c r="AW80" s="712">
        <f>IF(Sheet1!EL80="FM",BC80,0)</f>
        <v>0</v>
      </c>
      <c r="AX80" s="712">
        <f t="shared" si="307"/>
        <v>0</v>
      </c>
      <c r="AY80" s="712">
        <f>IF(Sheet1!EL80="OTHER",BC80,0)</f>
        <v>0</v>
      </c>
      <c r="AZ80" s="712">
        <f t="shared" si="308"/>
        <v>0</v>
      </c>
      <c r="BA80" s="712">
        <f t="shared" si="309"/>
        <v>0</v>
      </c>
      <c r="BB80" s="712">
        <f t="shared" si="310"/>
        <v>0</v>
      </c>
      <c r="BC80" s="712">
        <f>IF(OR(Sheet1!EL80="FM", Sheet1!EL80="OTHER"),SUM(Sheet1!BG80:'Sheet1'!BI80),0)</f>
        <v>0</v>
      </c>
      <c r="BD80" s="697">
        <f>IF(AND($B80&gt;=$FL80,$B80&lt;=$FM80),MAX(AV80,Sheet1!EE80,0),MAX(AV80-(7/36)*$K80,0))</f>
        <v>0</v>
      </c>
      <c r="BE80" s="712">
        <f t="shared" si="311"/>
        <v>12.568888888888889</v>
      </c>
      <c r="BF80" s="697">
        <f t="shared" si="373"/>
        <v>0</v>
      </c>
      <c r="BG80" s="697">
        <f>IF(AND($O80&gt;0,Sheet1!EI80=1),(1-($O80-Sheet1!$L80)/$O80)*BB80,0)</f>
        <v>0</v>
      </c>
      <c r="BH80" s="697">
        <f>IF(AND(Sheet1!$L80=0,Sheet1!$L79=0, Calculation!BA80&lt;Sheet1!$EE80-0.1,Sheet1!$EE80=Sheet1!$EE79,Sheet1!$EE80=Sheet1!$EE81),Sheet1!$EE80,BB80-BG80)</f>
        <v>0</v>
      </c>
      <c r="BI80" s="712"/>
      <c r="BJ80" s="712"/>
      <c r="BK80" s="712">
        <f t="shared" si="312"/>
        <v>87.982222222222234</v>
      </c>
      <c r="BL80" s="712"/>
      <c r="BM80" s="712">
        <f ca="1">IF(B80&gt;Summary!$A$1,#N/A,BK80*MGtoAF)</f>
        <v>269.92945777777783</v>
      </c>
      <c r="BN80" s="712">
        <f>Sheet1!BC80+Sheet1!BD80+Sheet1!BE80+Sheet1!BF80-BW80-BX80</f>
        <v>2.52</v>
      </c>
      <c r="BO80" s="712">
        <f t="shared" si="313"/>
        <v>2.5112735667565862</v>
      </c>
      <c r="BP80" s="712">
        <f>IF(Sheet1!EM80="FM",BX80,0)</f>
        <v>0</v>
      </c>
      <c r="BQ80" s="712">
        <f t="shared" si="314"/>
        <v>0</v>
      </c>
      <c r="BR80" s="712">
        <f>IF(Sheet1!EM80="OTHER",BX80,0)</f>
        <v>0</v>
      </c>
      <c r="BS80" s="712">
        <f t="shared" si="315"/>
        <v>0</v>
      </c>
      <c r="BT80" s="712">
        <f t="shared" si="316"/>
        <v>0</v>
      </c>
      <c r="BU80" s="712">
        <f t="shared" si="317"/>
        <v>2.52</v>
      </c>
      <c r="BV80" s="712">
        <f t="shared" si="318"/>
        <v>2.5112735667565862</v>
      </c>
      <c r="BW80" s="712">
        <f>IF(Sheet1!EM80="CWA",SUM(Sheet1!BC80:'Sheet1'!BF80),0)</f>
        <v>0</v>
      </c>
      <c r="BX80" s="712">
        <f>IF(OR(Sheet1!EM80="FM", Sheet1!EM80="OTHER"),SUM(Sheet1!BC80:'Sheet1'!BF80),0)</f>
        <v>0</v>
      </c>
      <c r="BY80" s="697">
        <f>IF(AND($B80&gt;=$FL80,$B80&lt;=$FM80),MAX(BV80,Sheet1!EF80,0),MAX(BV80-(7/36)*$K80,0))</f>
        <v>0</v>
      </c>
      <c r="BZ80" s="712">
        <f t="shared" si="319"/>
        <v>10.057615322132303</v>
      </c>
      <c r="CA80" s="697">
        <f t="shared" si="374"/>
        <v>2.5112735667565862</v>
      </c>
      <c r="CB80" s="697">
        <f>IF(AND($O80&gt;0,Sheet1!EJ80=1),(1-($O80-Sheet1!$L80)/$O80)*BV80,0)</f>
        <v>0</v>
      </c>
      <c r="CC80" s="697">
        <f>IF(AND(Sheet1!$L80=0,Sheet1!$L79=0, Calculation!BU80&lt;Sheet1!EF80-0.1,Sheet1!EF80=Sheet1!EF79,Sheet1!EF80=Sheet1!EF81),Sheet1!EF80,BV80-CB80)</f>
        <v>2.5112735667565862</v>
      </c>
      <c r="CD80" s="697"/>
      <c r="CE80" s="712"/>
      <c r="CF80" s="712">
        <f t="shared" si="320"/>
        <v>73.765953965814646</v>
      </c>
      <c r="CG80" s="712"/>
      <c r="CH80" s="712">
        <f ca="1">IF(B80&gt;Summary!$A$1,#N/A,CF80*MGtoAF)</f>
        <v>226.31394676711935</v>
      </c>
      <c r="CI80" s="712">
        <f>Sheet1!BK80+Sheet1!BL80+Sheet1!BM80-Sheet1!EN80-CQ80</f>
        <v>6.07</v>
      </c>
      <c r="CJ80" s="712">
        <f t="shared" si="321"/>
        <v>6.0489803770684434</v>
      </c>
      <c r="CK80" s="712">
        <f>IF(Sheet1!EN80="FM",CQ80,0)</f>
        <v>0</v>
      </c>
      <c r="CL80" s="712">
        <f t="shared" si="322"/>
        <v>0</v>
      </c>
      <c r="CM80" s="712">
        <f>IF(Sheet1!EN80="OTHER",CQ80,0)</f>
        <v>0</v>
      </c>
      <c r="CN80" s="712">
        <f t="shared" si="323"/>
        <v>0</v>
      </c>
      <c r="CO80" s="712">
        <f t="shared" si="324"/>
        <v>6.07</v>
      </c>
      <c r="CP80" s="712">
        <f t="shared" si="325"/>
        <v>6.0489803770684434</v>
      </c>
      <c r="CQ80" s="712">
        <f>IF(OR(Sheet1!EN80="FM", Sheet1!EN80="OTHER"),SUM(Sheet1!BK80:'Sheet1'!BM80),0)</f>
        <v>0</v>
      </c>
      <c r="CR80" s="697">
        <f>IF(AND($B80&gt;=$FL80,$B80&lt;=$FM80),MAX($CJ80,Sheet1!EG80,0),MAX($CJ80-(7/36)*$K80,0))</f>
        <v>0</v>
      </c>
      <c r="CS80" s="712">
        <f t="shared" si="326"/>
        <v>6.5199085118204456</v>
      </c>
      <c r="CT80" s="697">
        <f t="shared" si="375"/>
        <v>6.0489803770684434</v>
      </c>
      <c r="CU80" s="697">
        <f>IF(AND($O80&gt;0,Sheet1!EK80=1),(1-($O80-Sheet1!$L80)/$O80)*CP80,0)</f>
        <v>0</v>
      </c>
      <c r="CV80" s="697">
        <f>IF(AND(Sheet1!$L80=0,Sheet1!$L79=0, Calculation!CO80&lt;Sheet1!$EG80-0.1,Sheet1!$EG80=Sheet1!$EG79,Sheet1!$EG80=Sheet1!$EG81),Sheet1!$EG80,CP80-CU80)</f>
        <v>6.0489803770684434</v>
      </c>
      <c r="CW80" s="697">
        <f t="shared" si="362"/>
        <v>0</v>
      </c>
      <c r="CX80" s="712">
        <f t="shared" si="379"/>
        <v>8.59</v>
      </c>
      <c r="CY80" s="712">
        <f t="shared" si="327"/>
        <v>52.83368957690243</v>
      </c>
      <c r="CZ80" s="712">
        <f t="shared" si="328"/>
        <v>8.56025394382503</v>
      </c>
      <c r="DA80" s="712">
        <f ca="1">IF(B80&gt;Summary!$A$1,#N/A,CY80*MGtoAF)</f>
        <v>162.09375962193667</v>
      </c>
      <c r="DB80" s="712">
        <f t="shared" si="329"/>
        <v>8.59</v>
      </c>
      <c r="DC80" s="712">
        <f t="shared" si="330"/>
        <v>25.99</v>
      </c>
      <c r="DD80" s="712">
        <f>Sheet1!AB80-DC80</f>
        <v>-8.9999999998543245E-2</v>
      </c>
      <c r="DE80" s="712">
        <f t="shared" si="331"/>
        <v>-3.4628703346880818E-3</v>
      </c>
      <c r="DF80" s="712">
        <f>(VLOOKUP(Sheet1!CY80,hhdcap_wcm,4)-(((VLOOKUP(Sheet1!CY80,hhdcap_wcm,3)-Sheet1!CY80)/(VLOOKUP(Sheet1!CY80,hhdcap_wcm,3)-VLOOKUP(Sheet1!CY80,hhdcap_wcm,1)))*(VLOOKUP(Sheet1!CY80,hhdcap_wcm,4)-VLOOKUP(Sheet1!CY80,hhdcap_wcm,2))))</f>
        <v>2969.7000000045628</v>
      </c>
      <c r="DG80" s="712">
        <f t="shared" si="332"/>
        <v>177.6700000003184</v>
      </c>
      <c r="DH80" s="712">
        <f t="shared" si="333"/>
        <v>89.596570852404625</v>
      </c>
      <c r="DI80" s="712">
        <f>Sheet1!DW80*AFtoMG</f>
        <v>0</v>
      </c>
      <c r="DJ80" s="712">
        <f>Sheet1!DX80*AFtoMG</f>
        <v>0</v>
      </c>
      <c r="DK80" s="712">
        <f>Sheet1!DY80*AFtoMG</f>
        <v>0</v>
      </c>
      <c r="DL80" s="712">
        <f>Sheet1!DZ80*AFtoMG</f>
        <v>0</v>
      </c>
      <c r="DM80" s="712">
        <f t="shared" si="334"/>
        <v>0</v>
      </c>
      <c r="DN80" s="712">
        <f t="shared" si="335"/>
        <v>0</v>
      </c>
      <c r="DO80" s="712">
        <f t="shared" si="336"/>
        <v>403.11519909827268</v>
      </c>
      <c r="DP80" s="712">
        <f t="shared" si="337"/>
        <v>1236.7574308335006</v>
      </c>
      <c r="DQ80" s="712"/>
      <c r="DR80" s="697">
        <f>IF(OR(B80&lt;FL80,B80&gt;FM80),(MIN(AV80+BO80+CJ80+MAX(Sheet1!AA80+AG80-73,0),K80)),0)</f>
        <v>8.56025394382503</v>
      </c>
      <c r="DS80" s="712"/>
      <c r="DT80" s="712">
        <f t="shared" si="338"/>
        <v>8.56025394382503</v>
      </c>
      <c r="DU80" s="712"/>
      <c r="DV80" s="712">
        <f>Sheet1!ED80+Sheet1!EE80+Sheet1!EF80+Sheet1!EG80</f>
        <v>8.5</v>
      </c>
      <c r="DW80" s="712"/>
      <c r="DX80" s="697">
        <f t="shared" si="376"/>
        <v>0</v>
      </c>
      <c r="DY80" s="712">
        <f>IF(Sheet1!FN80=1,SUM('Calculations II'!AT80:BA80)+'Calculations II'!BC80+Sheet1!BU80+'Calculations II'!BE80+AF80,SUM('Calculations II'!AT80:BA80)+'Calculations II'!BC80+Sheet1!BU80+'Calculations II'!BE80+AF80)</f>
        <v>42.697696000000001</v>
      </c>
      <c r="DZ80" s="712">
        <f>Sheet1!AA80+Sheet1!AB80+'Calculations II'!BC80</f>
        <v>55.209999999999127</v>
      </c>
      <c r="EA80" s="712"/>
      <c r="EB80" s="712"/>
      <c r="EC80" s="712">
        <f t="shared" si="339"/>
        <v>40609</v>
      </c>
      <c r="ED80" s="712">
        <f t="shared" si="340"/>
        <v>56.079746056174969</v>
      </c>
      <c r="EE80" s="712">
        <f t="shared" si="341"/>
        <v>86.755367148902678</v>
      </c>
      <c r="EF80" s="712">
        <f>-(VLOOKUP(Sheet1!BQ80,Lookup!$B$4:$J$236,2)-VLOOKUP(Sheet1!BQ79,Lookup!$B$4:$J$236,2))/1000000</f>
        <v>-0.8115</v>
      </c>
      <c r="EG80" s="712">
        <f>-(VLOOKUP(Sheet1!BR80,Lookup!$B$4:$J$236,3)-VLOOKUP(Sheet1!BR79,Lookup!$B$4:$J$236,3))/1000000</f>
        <v>-0.81</v>
      </c>
      <c r="EH80" s="712">
        <f>-(VLOOKUP(Sheet1!BS80,Lookup!$B$4:$J$236,4)-VLOOKUP(Sheet1!BS79,Lookup!$B$4:$J$236,4))/1000000</f>
        <v>0</v>
      </c>
      <c r="EI80" s="697">
        <f t="shared" si="380"/>
        <v>-1.6215000000000002</v>
      </c>
      <c r="EJ80" s="712"/>
      <c r="EK80" s="712"/>
      <c r="EL80" s="712"/>
      <c r="EM80" s="712"/>
      <c r="EN80" s="712"/>
      <c r="EO80" s="712"/>
      <c r="EP80" s="712"/>
      <c r="EQ80" s="712"/>
      <c r="ER80" s="697">
        <v>0</v>
      </c>
      <c r="ES80" s="712"/>
      <c r="ET80" s="794" t="e">
        <f t="shared" si="342"/>
        <v>#N/A</v>
      </c>
      <c r="EU80" s="794" t="e">
        <f t="shared" si="363"/>
        <v>#VALUE!</v>
      </c>
      <c r="EV80" s="795" t="e">
        <f t="shared" si="364"/>
        <v>#VALUE!</v>
      </c>
      <c r="EW80" s="796" t="s">
        <v>757</v>
      </c>
      <c r="EX80" s="796" t="s">
        <v>757</v>
      </c>
      <c r="EY80" s="794">
        <v>0</v>
      </c>
      <c r="EZ80" s="794" t="e">
        <v>#N/A</v>
      </c>
      <c r="FA80" s="712"/>
      <c r="FB80" s="712"/>
      <c r="FC80" s="712"/>
      <c r="FD80" s="712"/>
      <c r="FE80" s="712">
        <f>O80+Sheet1!CO80</f>
        <v>55.209999999999127</v>
      </c>
      <c r="FF80" s="712">
        <f>IF(Sheet1!AA80+AG80&lt;=Calculation!N80,AG80,Calculation!N80-Sheet1!AA80)</f>
        <v>17.339746056176427</v>
      </c>
      <c r="FG80" s="712">
        <f>(Sheet1!BP80+Sheet1!BO80)/694.4</f>
        <v>1.3113479262672811</v>
      </c>
      <c r="FH80" s="712"/>
      <c r="FI80" s="712"/>
      <c r="FJ80" s="712"/>
      <c r="FK80" s="712"/>
      <c r="FL80" s="714">
        <f t="shared" si="381"/>
        <v>40753</v>
      </c>
      <c r="FM80" s="714">
        <f t="shared" si="382"/>
        <v>40851</v>
      </c>
      <c r="FN80" s="712"/>
      <c r="FO80" s="712"/>
      <c r="FP80" s="712"/>
      <c r="FQ80" s="712"/>
      <c r="FR80" s="712"/>
      <c r="FS80" s="725">
        <f t="shared" si="383"/>
        <v>40603</v>
      </c>
      <c r="FT80" s="714">
        <f t="shared" si="384"/>
        <v>40709</v>
      </c>
      <c r="FU80" s="712">
        <f t="shared" si="385"/>
        <v>6518.9048239895692</v>
      </c>
      <c r="FV80" s="714">
        <f t="shared" si="386"/>
        <v>40722</v>
      </c>
      <c r="FW80" s="712">
        <f t="shared" si="387"/>
        <v>3259.4524119947846</v>
      </c>
      <c r="FX80" s="725">
        <f t="shared" si="388"/>
        <v>40851</v>
      </c>
      <c r="FZ80" s="697">
        <f t="shared" si="365"/>
        <v>0</v>
      </c>
      <c r="GA80" s="712" t="str">
        <f t="shared" si="343"/>
        <v/>
      </c>
      <c r="GB80" s="712">
        <f t="shared" si="344"/>
        <v>0</v>
      </c>
      <c r="GC80" s="712" t="str">
        <f t="shared" si="345"/>
        <v/>
      </c>
      <c r="GD80" s="712">
        <f>IF(GA80="P",Lookup!$M$12,IF(GA80="PP",Lookup!$M$13,IF(GA80="PPP",Lookup!$M$14,IF(GA80="T",Lookup!$M$15,IF(GA80="TP",Lookup!$M$16,IF(GA80="TPP",Lookup!$M$17,IF(GA80="TPPP",Lookup!$M$18,0)))))))*FZ80</f>
        <v>0</v>
      </c>
      <c r="GE80" s="712">
        <f t="shared" si="346"/>
        <v>0</v>
      </c>
      <c r="GF80" s="712">
        <f t="shared" si="347"/>
        <v>578.42026666666663</v>
      </c>
      <c r="GG80" s="712">
        <f t="shared" si="348"/>
        <v>188.53333333333333</v>
      </c>
      <c r="GH80" s="712"/>
      <c r="GI80" s="712">
        <f t="shared" si="349"/>
        <v>0</v>
      </c>
      <c r="GJ80" s="712" t="str">
        <f t="shared" si="350"/>
        <v/>
      </c>
      <c r="GK80" s="712">
        <f>IF(GA80="P",Lookup!$N$12,IF(GA80="PP",Lookup!$N$13,IF(GA80="PPP",Lookup!$N$14,IF(GA80="T",Lookup!$N$15,IF(GA80="TP",Lookup!$N$16,IF(GA80="TPP",Lookup!$N$17,IF(GA80="TPPP",Lookup!$N$18,0)))))))*FZ80</f>
        <v>0</v>
      </c>
      <c r="GL80" s="712">
        <f t="shared" si="351"/>
        <v>0</v>
      </c>
      <c r="GM80" s="712">
        <f t="shared" si="352"/>
        <v>269.92945777777783</v>
      </c>
      <c r="GN80" s="712">
        <f t="shared" si="353"/>
        <v>87.982222222222234</v>
      </c>
      <c r="GO80" s="712"/>
      <c r="GP80" s="712">
        <f t="shared" si="354"/>
        <v>0</v>
      </c>
      <c r="GQ80" s="712" t="str">
        <f t="shared" si="355"/>
        <v/>
      </c>
      <c r="GR80" s="712">
        <f>IF(GA80="P",Lookup!$N$12,IF(GA80="PP",Lookup!$N$13,IF(GA80="PPP",Lookup!$N$14,IF(GA80="T",Lookup!$N$15,IF(GA80="TP",Lookup!$N$16,IF(GA80="TPP",Lookup!$N$17,IF(GA80="TPPP",Lookup!$N$18,0)))))))*FZ80</f>
        <v>0</v>
      </c>
      <c r="GS80" s="697">
        <f t="shared" si="377"/>
        <v>0</v>
      </c>
      <c r="GT80" s="712">
        <f t="shared" si="356"/>
        <v>226.31394676711935</v>
      </c>
      <c r="GU80" s="712">
        <f t="shared" si="357"/>
        <v>73.765953965814646</v>
      </c>
      <c r="GV80" s="712"/>
      <c r="GW80" s="712">
        <f t="shared" si="358"/>
        <v>0</v>
      </c>
      <c r="GX80" s="712" t="str">
        <f t="shared" si="359"/>
        <v/>
      </c>
      <c r="GY80" s="712">
        <f>IF(GA80="P",Lookup!$N$12,IF(GA80="PP",Lookup!$N$13,IF(GA80="PPP",Lookup!$N$14,IF(GA80="T",Lookup!$N$15,IF(GA80="TP",Lookup!$N$16,IF(GA80="TPP",Lookup!$N$17,IF(GA80="TPPP",Lookup!$N$18,0)))))))*FZ80</f>
        <v>0</v>
      </c>
      <c r="GZ80" s="697">
        <f t="shared" si="378"/>
        <v>0</v>
      </c>
      <c r="HA80" s="712">
        <f t="shared" si="360"/>
        <v>162.09375962193667</v>
      </c>
      <c r="HB80" s="712">
        <f t="shared" si="361"/>
        <v>52.83368957690243</v>
      </c>
      <c r="HC80" s="712"/>
    </row>
    <row r="81" spans="1:211">
      <c r="A81" s="773" t="s">
        <v>5</v>
      </c>
      <c r="B81" s="708">
        <v>40610</v>
      </c>
      <c r="C81" s="719">
        <v>0.5</v>
      </c>
      <c r="D81" s="675">
        <f t="shared" si="366"/>
        <v>300</v>
      </c>
      <c r="E81" s="675">
        <f t="shared" si="367"/>
        <v>250</v>
      </c>
      <c r="F81" s="675">
        <v>250</v>
      </c>
      <c r="G81" s="712">
        <f>DH81+Sheet1!CV81</f>
        <v>623.32461214466491</v>
      </c>
      <c r="H81" s="712">
        <f t="shared" si="294"/>
        <v>135.9538292903114</v>
      </c>
      <c r="I81" s="711">
        <f>MAX(Sheet1!Z81-AJ81+(Sheet1!CW81-E81)*CFStoMGD,0)</f>
        <v>526.57052285567545</v>
      </c>
      <c r="J81" s="720">
        <f>IF(AND(B81&gt;=Calculation!FS81,B81&lt;=Calculation!FT81),IF(Sheet1!CX81&gt;=Calculation!D81,64.64,0),MAX(Sheet1!Z81-AJ81+(Sheet1!CX81-D81)*CFStoMGD,0))</f>
        <v>64.64</v>
      </c>
      <c r="K81" s="697">
        <f t="shared" si="368"/>
        <v>64.64</v>
      </c>
      <c r="L81" s="712">
        <f>Sheet1!AA81+Sheet1!AB81-Sheet1!L81+(Sheet1!CW81-F81)*CFStoMGD</f>
        <v>573.59733333334214</v>
      </c>
      <c r="M81" s="712">
        <f t="shared" si="295"/>
        <v>410.97536987611767</v>
      </c>
      <c r="N81" s="712">
        <f>IF(Sheet1!CW81&gt;=F81,MIN(73,MIN(MAX(L81,0),MAX(M81,0))),0)</f>
        <v>73</v>
      </c>
      <c r="O81" s="721">
        <f>Sheet1!AA81+Sheet1!AB81</f>
        <v>55.400000000008731</v>
      </c>
      <c r="P81" s="721">
        <f t="shared" si="296"/>
        <v>85.703800000013501</v>
      </c>
      <c r="Q81" s="712">
        <f>MIN(N81,Sheet1!AA81+AG81)</f>
        <v>46.826810477666669</v>
      </c>
      <c r="R81" s="712">
        <f t="shared" si="297"/>
        <v>8.5731895223420658</v>
      </c>
      <c r="S81" s="721">
        <f>Sheet1!Y81*MGDtoCFS</f>
        <v>45.945899999999995</v>
      </c>
      <c r="T81" s="721">
        <f>Sheet1!Z81*MGDtoCFS</f>
        <v>39.912599999999998</v>
      </c>
      <c r="U81" s="721">
        <f>Sheet1!AA81*MGDtoCFS</f>
        <v>45.481800000013507</v>
      </c>
      <c r="V81" s="721">
        <f>Sheet1!AB81*MGDtoCFS</f>
        <v>40.222000000000001</v>
      </c>
      <c r="W81" s="721">
        <f>Sheet1!L81*MGDtoCFS</f>
        <v>0</v>
      </c>
      <c r="X81" s="697">
        <f t="shared" si="369"/>
        <v>0</v>
      </c>
      <c r="Y81" s="712">
        <f t="shared" si="298"/>
        <v>0</v>
      </c>
      <c r="Z81" s="712">
        <f t="shared" si="299"/>
        <v>56.066810477657938</v>
      </c>
      <c r="AA81" s="712">
        <f t="shared" si="300"/>
        <v>86.735355808936831</v>
      </c>
      <c r="AB81" s="712">
        <f>(VLOOKUP(Sheet1!CY81,hhdcap_wcm,4)-(((VLOOKUP(Sheet1!CY81,hhdcap_wcm,3)-Sheet1!CY81)/(VLOOKUP(Sheet1!CY81,hhdcap_wcm,3)-VLOOKUP(Sheet1!CY81,hhdcap_wcm,1)))*(VLOOKUP(Sheet1!CY81,hhdcap_wcm,4)-VLOOKUP(Sheet1!CY81,hhdcap_wcm,2))))</f>
        <v>3210.5200000050804</v>
      </c>
      <c r="AC81" s="712">
        <f t="shared" si="301"/>
        <v>240.82000000051767</v>
      </c>
      <c r="AD81" s="712">
        <f t="shared" si="370"/>
        <v>459.18200957593052</v>
      </c>
      <c r="AE81" s="712">
        <f t="shared" si="302"/>
        <v>1408.7704053789548</v>
      </c>
      <c r="AF81" s="712">
        <f>Sheet1!BA81+Sheet1!BB81+Sheet1!BN81+BT81</f>
        <v>17.399999999999999</v>
      </c>
      <c r="AG81" s="712">
        <f t="shared" si="303"/>
        <v>17.426810477657934</v>
      </c>
      <c r="AH81" s="712">
        <f>Sheet1!BA81+BT81</f>
        <v>0</v>
      </c>
      <c r="AI81" s="712">
        <f>Sheet1!BA81+Sheet1!BB81+BT81</f>
        <v>0</v>
      </c>
      <c r="AJ81" s="712">
        <f>IF((Sheet1!AA81+AG81+AX81+AZ81+BQ81+BS81+CL81+CN81)&lt;=N81,AG81+AX81+AZ81+BQ81+BS81+CL81+CN81,N81-Sheet1!AA81)</f>
        <v>17.426810477657934</v>
      </c>
      <c r="AK81" s="712">
        <f>IF(DR81&lt;K81,0,MAX(Sheet1!AA81+AG81-15/36*K81-N81,Sheet1!ED81,0))</f>
        <v>0</v>
      </c>
      <c r="AL81" s="712">
        <f>IF(OR(B81&gt;=FT81,B81&lt;FS81),0,15/36*K81-MAX(0,64.6-(137.6-(Sheet1!AA81+Sheet1!AB81))))</f>
        <v>26.933333333333334</v>
      </c>
      <c r="AM81" s="712">
        <f>Sheet1!CX81-110</f>
        <v>357.95833333333331</v>
      </c>
      <c r="AN81" s="712">
        <f>Sheet1!CW81-265</f>
        <v>786.66666666666674</v>
      </c>
      <c r="AO81" s="712">
        <f t="shared" si="371"/>
        <v>26.173189522333331</v>
      </c>
      <c r="AP81" s="712">
        <f t="shared" si="372"/>
        <v>0</v>
      </c>
      <c r="AQ81" s="712">
        <f t="shared" si="304"/>
        <v>0</v>
      </c>
      <c r="AR81" s="712">
        <f t="shared" si="305"/>
        <v>215.46666666666667</v>
      </c>
      <c r="AS81" s="712"/>
      <c r="AT81" s="712">
        <f ca="1">IF(B81&gt;Summary!$A$1,#N/A,AR81*MGtoAF)</f>
        <v>661.05173333333335</v>
      </c>
      <c r="AU81" s="712">
        <f>Sheet1!BG81+Sheet1!BH81+Sheet1!BI81-BC81</f>
        <v>0</v>
      </c>
      <c r="AV81" s="712">
        <f t="shared" si="306"/>
        <v>0</v>
      </c>
      <c r="AW81" s="712">
        <f>IF(Sheet1!EL81="FM",BC81,0)</f>
        <v>0</v>
      </c>
      <c r="AX81" s="712">
        <f t="shared" si="307"/>
        <v>0</v>
      </c>
      <c r="AY81" s="712">
        <f>IF(Sheet1!EL81="OTHER",BC81,0)</f>
        <v>0</v>
      </c>
      <c r="AZ81" s="712">
        <f t="shared" si="308"/>
        <v>0</v>
      </c>
      <c r="BA81" s="712">
        <f t="shared" si="309"/>
        <v>0</v>
      </c>
      <c r="BB81" s="712">
        <f t="shared" si="310"/>
        <v>0</v>
      </c>
      <c r="BC81" s="712">
        <f>IF(OR(Sheet1!EL81="FM", Sheet1!EL81="OTHER"),SUM(Sheet1!BG81:'Sheet1'!BI81),0)</f>
        <v>0</v>
      </c>
      <c r="BD81" s="697">
        <f>IF(AND($B81&gt;=$FL81,$B81&lt;=$FM81),MAX(AV81,Sheet1!EE81,0),MAX(AV81-(7/36)*$K81,0))</f>
        <v>0</v>
      </c>
      <c r="BE81" s="712">
        <f t="shared" si="311"/>
        <v>12.568888888888889</v>
      </c>
      <c r="BF81" s="697">
        <f t="shared" si="373"/>
        <v>0</v>
      </c>
      <c r="BG81" s="697">
        <f>IF(AND($O81&gt;0,Sheet1!EI81=1),(1-($O81-Sheet1!$L81)/$O81)*BB81,0)</f>
        <v>0</v>
      </c>
      <c r="BH81" s="697">
        <f>IF(AND(Sheet1!$L81=0,Sheet1!$L80=0, Calculation!BA81&lt;Sheet1!$EE81-0.1,Sheet1!$EE81=Sheet1!$EE80,Sheet1!$EE81=Sheet1!$EE82),Sheet1!$EE81,BB81-BG81)</f>
        <v>0</v>
      </c>
      <c r="BI81" s="712"/>
      <c r="BJ81" s="712"/>
      <c r="BK81" s="712">
        <f t="shared" si="312"/>
        <v>100.55111111111113</v>
      </c>
      <c r="BL81" s="712"/>
      <c r="BM81" s="712">
        <f ca="1">IF(B81&gt;Summary!$A$1,#N/A,BK81*MGtoAF)</f>
        <v>308.49080888888892</v>
      </c>
      <c r="BN81" s="712">
        <f>Sheet1!BC81+Sheet1!BD81+Sheet1!BE81+Sheet1!BF81-BW81-BX81</f>
        <v>2.52</v>
      </c>
      <c r="BO81" s="712">
        <f t="shared" si="313"/>
        <v>2.5238828967642526</v>
      </c>
      <c r="BP81" s="712">
        <f>IF(Sheet1!EM81="FM",BX81,0)</f>
        <v>0</v>
      </c>
      <c r="BQ81" s="712">
        <f t="shared" si="314"/>
        <v>0</v>
      </c>
      <c r="BR81" s="712">
        <f>IF(Sheet1!EM81="OTHER",BX81,0)</f>
        <v>0</v>
      </c>
      <c r="BS81" s="712">
        <f t="shared" si="315"/>
        <v>0</v>
      </c>
      <c r="BT81" s="712">
        <f t="shared" si="316"/>
        <v>0</v>
      </c>
      <c r="BU81" s="712">
        <f t="shared" si="317"/>
        <v>2.52</v>
      </c>
      <c r="BV81" s="712">
        <f t="shared" si="318"/>
        <v>2.5238828967642526</v>
      </c>
      <c r="BW81" s="712">
        <f>IF(Sheet1!EM81="CWA",SUM(Sheet1!BC81:'Sheet1'!BF81),0)</f>
        <v>0</v>
      </c>
      <c r="BX81" s="712">
        <f>IF(OR(Sheet1!EM81="FM", Sheet1!EM81="OTHER"),SUM(Sheet1!BC81:'Sheet1'!BF81),0)</f>
        <v>0</v>
      </c>
      <c r="BY81" s="697">
        <f>IF(AND($B81&gt;=$FL81,$B81&lt;=$FM81),MAX(BV81,Sheet1!EF81,0),MAX(BV81-(7/36)*$K81,0))</f>
        <v>0</v>
      </c>
      <c r="BZ81" s="712">
        <f t="shared" si="319"/>
        <v>10.045005992124636</v>
      </c>
      <c r="CA81" s="697">
        <f t="shared" si="374"/>
        <v>2.5238828967642526</v>
      </c>
      <c r="CB81" s="697">
        <f>IF(AND($O81&gt;0,Sheet1!EJ81=1),(1-($O81-Sheet1!$L81)/$O81)*BV81,0)</f>
        <v>0</v>
      </c>
      <c r="CC81" s="697">
        <f>IF(AND(Sheet1!$L81=0,Sheet1!$L80=0, Calculation!BU81&lt;Sheet1!EF81-0.1,Sheet1!EF81=Sheet1!EF80,Sheet1!EF81=Sheet1!EF82),Sheet1!EF81,BV81-CB81)</f>
        <v>2.5238828967642526</v>
      </c>
      <c r="CD81" s="697"/>
      <c r="CE81" s="712"/>
      <c r="CF81" s="712">
        <f t="shared" si="320"/>
        <v>83.810959957939275</v>
      </c>
      <c r="CG81" s="712"/>
      <c r="CH81" s="712">
        <f ca="1">IF(B81&gt;Summary!$A$1,#N/A,CF81*MGtoAF)</f>
        <v>257.1320251509577</v>
      </c>
      <c r="CI81" s="712">
        <f>Sheet1!BK81+Sheet1!BL81+Sheet1!BM81-Sheet1!EN81-CQ81</f>
        <v>6.04</v>
      </c>
      <c r="CJ81" s="712">
        <f t="shared" si="321"/>
        <v>6.0493066255778123</v>
      </c>
      <c r="CK81" s="712">
        <f>IF(Sheet1!EN81="FM",CQ81,0)</f>
        <v>0</v>
      </c>
      <c r="CL81" s="712">
        <f t="shared" si="322"/>
        <v>0</v>
      </c>
      <c r="CM81" s="712">
        <f>IF(Sheet1!EN81="OTHER",CQ81,0)</f>
        <v>0</v>
      </c>
      <c r="CN81" s="712">
        <f t="shared" si="323"/>
        <v>0</v>
      </c>
      <c r="CO81" s="712">
        <f t="shared" si="324"/>
        <v>6.04</v>
      </c>
      <c r="CP81" s="712">
        <f t="shared" si="325"/>
        <v>6.0493066255778123</v>
      </c>
      <c r="CQ81" s="712">
        <f>IF(OR(Sheet1!EN81="FM", Sheet1!EN81="OTHER"),SUM(Sheet1!BK81:'Sheet1'!BM81),0)</f>
        <v>0</v>
      </c>
      <c r="CR81" s="697">
        <f>IF(AND($B81&gt;=$FL81,$B81&lt;=$FM81),MAX($CJ81,Sheet1!EG81,0),MAX($CJ81-(7/36)*$K81,0))</f>
        <v>0</v>
      </c>
      <c r="CS81" s="712">
        <f t="shared" si="326"/>
        <v>6.5195822633110767</v>
      </c>
      <c r="CT81" s="697">
        <f t="shared" si="375"/>
        <v>6.0493066255778123</v>
      </c>
      <c r="CU81" s="697">
        <f>IF(AND($O81&gt;0,Sheet1!EK81=1),(1-($O81-Sheet1!$L81)/$O81)*CP81,0)</f>
        <v>0</v>
      </c>
      <c r="CV81" s="697">
        <f>IF(AND(Sheet1!$L81=0,Sheet1!$L80=0, Calculation!CO81&lt;Sheet1!$EG81-0.1,Sheet1!$EG81=Sheet1!$EG80,Sheet1!$EG81=Sheet1!$EG82),Sheet1!$EG81,CP81-CU81)</f>
        <v>6.0493066255778123</v>
      </c>
      <c r="CW81" s="697">
        <f t="shared" si="362"/>
        <v>0</v>
      </c>
      <c r="CX81" s="712">
        <f t="shared" si="379"/>
        <v>8.56</v>
      </c>
      <c r="CY81" s="712">
        <f t="shared" si="327"/>
        <v>59.353271840213509</v>
      </c>
      <c r="CZ81" s="712">
        <f t="shared" si="328"/>
        <v>8.5731895223420658</v>
      </c>
      <c r="DA81" s="712">
        <f ca="1">IF(B81&gt;Summary!$A$1,#N/A,CY81*MGtoAF)</f>
        <v>182.09583800577505</v>
      </c>
      <c r="DB81" s="712">
        <f t="shared" si="329"/>
        <v>8.56</v>
      </c>
      <c r="DC81" s="712">
        <f t="shared" si="330"/>
        <v>25.96</v>
      </c>
      <c r="DD81" s="712">
        <f>Sheet1!AB81-DC81</f>
        <v>3.9999999999999147E-2</v>
      </c>
      <c r="DE81" s="712">
        <f t="shared" si="331"/>
        <v>1.5408320493065927E-3</v>
      </c>
      <c r="DF81" s="712">
        <f>(VLOOKUP(Sheet1!CY81,hhdcap_wcm,4)-(((VLOOKUP(Sheet1!CY81,hhdcap_wcm,3)-Sheet1!CY81)/(VLOOKUP(Sheet1!CY81,hhdcap_wcm,3)-VLOOKUP(Sheet1!CY81,hhdcap_wcm,1)))*(VLOOKUP(Sheet1!CY81,hhdcap_wcm,4)-VLOOKUP(Sheet1!CY81,hhdcap_wcm,2))))</f>
        <v>3210.5200000050804</v>
      </c>
      <c r="DG81" s="712">
        <f t="shared" si="332"/>
        <v>240.82000000051767</v>
      </c>
      <c r="DH81" s="712">
        <f t="shared" si="333"/>
        <v>121.44225920348846</v>
      </c>
      <c r="DI81" s="712">
        <f>Sheet1!DW81*AFtoMG</f>
        <v>0</v>
      </c>
      <c r="DJ81" s="712">
        <f>Sheet1!DX81*AFtoMG</f>
        <v>0</v>
      </c>
      <c r="DK81" s="712">
        <f>Sheet1!DY81*AFtoMG</f>
        <v>0</v>
      </c>
      <c r="DL81" s="712">
        <f>Sheet1!DZ81*AFtoMG</f>
        <v>0</v>
      </c>
      <c r="DM81" s="712">
        <f t="shared" si="334"/>
        <v>0</v>
      </c>
      <c r="DN81" s="712">
        <f t="shared" si="335"/>
        <v>0</v>
      </c>
      <c r="DO81" s="712">
        <f t="shared" si="336"/>
        <v>459.18200957593052</v>
      </c>
      <c r="DP81" s="712">
        <f t="shared" si="337"/>
        <v>1408.7704053789548</v>
      </c>
      <c r="DQ81" s="712"/>
      <c r="DR81" s="697">
        <f>IF(OR(B81&lt;FL81,B81&gt;FM81),(MIN(AV81+BO81+CJ81+MAX(Sheet1!AA81+AG81-73,0),K81)),0)</f>
        <v>8.5731895223420658</v>
      </c>
      <c r="DS81" s="712"/>
      <c r="DT81" s="712">
        <f t="shared" si="338"/>
        <v>8.5731895223420658</v>
      </c>
      <c r="DU81" s="712"/>
      <c r="DV81" s="712">
        <f>Sheet1!ED81+Sheet1!EE81+Sheet1!EF81+Sheet1!EG81</f>
        <v>8.5</v>
      </c>
      <c r="DW81" s="712"/>
      <c r="DX81" s="697">
        <f t="shared" si="376"/>
        <v>0</v>
      </c>
      <c r="DY81" s="712">
        <f>IF(Sheet1!FN81=1,SUM('Calculations II'!AT81:BA81)+'Calculations II'!BC81+Sheet1!BU81+'Calculations II'!BE81+AF81,SUM('Calculations II'!AT81:BA81)+'Calculations II'!BC81+Sheet1!BU81+'Calculations II'!BE81+AF81)</f>
        <v>42.872623999999995</v>
      </c>
      <c r="DZ81" s="712">
        <f>Sheet1!AA81+Sheet1!AB81+'Calculations II'!BC81</f>
        <v>55.400000000008731</v>
      </c>
      <c r="EA81" s="712"/>
      <c r="EB81" s="712"/>
      <c r="EC81" s="712">
        <f t="shared" si="339"/>
        <v>40610</v>
      </c>
      <c r="ED81" s="712">
        <f t="shared" si="340"/>
        <v>56.066810477657938</v>
      </c>
      <c r="EE81" s="712">
        <f t="shared" si="341"/>
        <v>86.735355808936831</v>
      </c>
      <c r="EF81" s="712">
        <f>-(VLOOKUP(Sheet1!BQ81,Lookup!$B$4:$J$236,2)-VLOOKUP(Sheet1!BQ80,Lookup!$B$4:$J$236,2))/1000000</f>
        <v>-0.54100000000000004</v>
      </c>
      <c r="EG81" s="712">
        <f>-(VLOOKUP(Sheet1!BR81,Lookup!$B$4:$J$236,3)-VLOOKUP(Sheet1!BR80,Lookup!$B$4:$J$236,3))/1000000</f>
        <v>-0.54</v>
      </c>
      <c r="EH81" s="712">
        <f>-(VLOOKUP(Sheet1!BS81,Lookup!$B$4:$J$236,4)-VLOOKUP(Sheet1!BS80,Lookup!$B$4:$J$236,4))/1000000</f>
        <v>0</v>
      </c>
      <c r="EI81" s="697">
        <f t="shared" si="380"/>
        <v>-1.081</v>
      </c>
      <c r="EJ81" s="712"/>
      <c r="EK81" s="712"/>
      <c r="EL81" s="712"/>
      <c r="EM81" s="712"/>
      <c r="EN81" s="712"/>
      <c r="EO81" s="712"/>
      <c r="EP81" s="712"/>
      <c r="EQ81" s="712"/>
      <c r="ER81" s="697">
        <v>0</v>
      </c>
      <c r="ES81" s="712"/>
      <c r="ET81" s="794" t="e">
        <f t="shared" si="342"/>
        <v>#N/A</v>
      </c>
      <c r="EU81" s="794" t="e">
        <f t="shared" si="363"/>
        <v>#VALUE!</v>
      </c>
      <c r="EV81" s="795" t="e">
        <f t="shared" si="364"/>
        <v>#VALUE!</v>
      </c>
      <c r="EW81" s="796" t="s">
        <v>757</v>
      </c>
      <c r="EX81" s="796" t="s">
        <v>757</v>
      </c>
      <c r="EY81" s="794">
        <v>0</v>
      </c>
      <c r="EZ81" s="794" t="e">
        <v>#N/A</v>
      </c>
      <c r="FA81" s="712"/>
      <c r="FB81" s="712"/>
      <c r="FC81" s="712"/>
      <c r="FD81" s="712"/>
      <c r="FE81" s="712">
        <f>O81+Sheet1!CO81</f>
        <v>55.400000000008731</v>
      </c>
      <c r="FF81" s="712">
        <f>IF(Sheet1!AA81+AG81&lt;=Calculation!N81,AG81,Calculation!N81-Sheet1!AA81)</f>
        <v>17.426810477657934</v>
      </c>
      <c r="FG81" s="712">
        <f>(Sheet1!BP81+Sheet1!BO81)/694.4</f>
        <v>1.9331797235023043</v>
      </c>
      <c r="FH81" s="712"/>
      <c r="FI81" s="712"/>
      <c r="FJ81" s="712"/>
      <c r="FK81" s="712"/>
      <c r="FL81" s="714">
        <f t="shared" si="381"/>
        <v>40753</v>
      </c>
      <c r="FM81" s="714">
        <f t="shared" si="382"/>
        <v>40851</v>
      </c>
      <c r="FN81" s="712"/>
      <c r="FO81" s="712"/>
      <c r="FP81" s="712"/>
      <c r="FQ81" s="712"/>
      <c r="FR81" s="712"/>
      <c r="FS81" s="725">
        <f t="shared" si="383"/>
        <v>40603</v>
      </c>
      <c r="FT81" s="714">
        <f t="shared" si="384"/>
        <v>40709</v>
      </c>
      <c r="FU81" s="712">
        <f t="shared" si="385"/>
        <v>6518.9048239895692</v>
      </c>
      <c r="FV81" s="714">
        <f t="shared" si="386"/>
        <v>40722</v>
      </c>
      <c r="FW81" s="712">
        <f t="shared" si="387"/>
        <v>3259.4524119947846</v>
      </c>
      <c r="FX81" s="725">
        <f t="shared" si="388"/>
        <v>40851</v>
      </c>
      <c r="FZ81" s="697">
        <f t="shared" si="365"/>
        <v>0</v>
      </c>
      <c r="GA81" s="712" t="str">
        <f t="shared" si="343"/>
        <v/>
      </c>
      <c r="GB81" s="712">
        <f t="shared" si="344"/>
        <v>0</v>
      </c>
      <c r="GC81" s="712" t="str">
        <f t="shared" si="345"/>
        <v/>
      </c>
      <c r="GD81" s="712">
        <f>IF(GA81="P",Lookup!$M$12,IF(GA81="PP",Lookup!$M$13,IF(GA81="PPP",Lookup!$M$14,IF(GA81="T",Lookup!$M$15,IF(GA81="TP",Lookup!$M$16,IF(GA81="TPP",Lookup!$M$17,IF(GA81="TPPP",Lookup!$M$18,0)))))))*FZ81</f>
        <v>0</v>
      </c>
      <c r="GE81" s="712">
        <f t="shared" si="346"/>
        <v>0</v>
      </c>
      <c r="GF81" s="712">
        <f t="shared" si="347"/>
        <v>661.05173333333335</v>
      </c>
      <c r="GG81" s="712">
        <f t="shared" si="348"/>
        <v>215.46666666666667</v>
      </c>
      <c r="GH81" s="712"/>
      <c r="GI81" s="712">
        <f t="shared" si="349"/>
        <v>0</v>
      </c>
      <c r="GJ81" s="712" t="str">
        <f t="shared" si="350"/>
        <v/>
      </c>
      <c r="GK81" s="712">
        <f>IF(GA81="P",Lookup!$N$12,IF(GA81="PP",Lookup!$N$13,IF(GA81="PPP",Lookup!$N$14,IF(GA81="T",Lookup!$N$15,IF(GA81="TP",Lookup!$N$16,IF(GA81="TPP",Lookup!$N$17,IF(GA81="TPPP",Lookup!$N$18,0)))))))*FZ81</f>
        <v>0</v>
      </c>
      <c r="GL81" s="712">
        <f t="shared" si="351"/>
        <v>0</v>
      </c>
      <c r="GM81" s="712">
        <f t="shared" si="352"/>
        <v>308.49080888888892</v>
      </c>
      <c r="GN81" s="712">
        <f t="shared" si="353"/>
        <v>100.55111111111113</v>
      </c>
      <c r="GO81" s="712"/>
      <c r="GP81" s="712">
        <f t="shared" si="354"/>
        <v>0</v>
      </c>
      <c r="GQ81" s="712" t="str">
        <f t="shared" si="355"/>
        <v/>
      </c>
      <c r="GR81" s="712">
        <f>IF(GA81="P",Lookup!$N$12,IF(GA81="PP",Lookup!$N$13,IF(GA81="PPP",Lookup!$N$14,IF(GA81="T",Lookup!$N$15,IF(GA81="TP",Lookup!$N$16,IF(GA81="TPP",Lookup!$N$17,IF(GA81="TPPP",Lookup!$N$18,0)))))))*FZ81</f>
        <v>0</v>
      </c>
      <c r="GS81" s="697">
        <f t="shared" si="377"/>
        <v>0</v>
      </c>
      <c r="GT81" s="712">
        <f t="shared" si="356"/>
        <v>257.1320251509577</v>
      </c>
      <c r="GU81" s="712">
        <f t="shared" si="357"/>
        <v>83.810959957939275</v>
      </c>
      <c r="GV81" s="712"/>
      <c r="GW81" s="712">
        <f t="shared" si="358"/>
        <v>0</v>
      </c>
      <c r="GX81" s="712" t="str">
        <f t="shared" si="359"/>
        <v/>
      </c>
      <c r="GY81" s="712">
        <f>IF(GA81="P",Lookup!$N$12,IF(GA81="PP",Lookup!$N$13,IF(GA81="PPP",Lookup!$N$14,IF(GA81="T",Lookup!$N$15,IF(GA81="TP",Lookup!$N$16,IF(GA81="TPP",Lookup!$N$17,IF(GA81="TPPP",Lookup!$N$18,0)))))))*FZ81</f>
        <v>0</v>
      </c>
      <c r="GZ81" s="697">
        <f t="shared" si="378"/>
        <v>0</v>
      </c>
      <c r="HA81" s="712">
        <f t="shared" si="360"/>
        <v>182.09583800577505</v>
      </c>
      <c r="HB81" s="712">
        <f t="shared" si="361"/>
        <v>59.353271840213509</v>
      </c>
      <c r="HC81" s="712"/>
    </row>
    <row r="82" spans="1:211">
      <c r="A82" s="773" t="s">
        <v>6</v>
      </c>
      <c r="B82" s="708">
        <v>40611</v>
      </c>
      <c r="C82" s="709">
        <v>0.5</v>
      </c>
      <c r="D82" s="675">
        <f t="shared" si="366"/>
        <v>300</v>
      </c>
      <c r="E82" s="675">
        <f t="shared" si="367"/>
        <v>250</v>
      </c>
      <c r="F82" s="710">
        <v>250</v>
      </c>
      <c r="G82" s="712">
        <f>DH82+Sheet1!CV82</f>
        <v>711.12007949960525</v>
      </c>
      <c r="H82" s="712">
        <f t="shared" si="294"/>
        <v>192.70481938854482</v>
      </c>
      <c r="I82" s="711">
        <f>MAX(Sheet1!Z82-AJ82+(Sheet1!CW82-E82)*CFStoMGD,0)</f>
        <v>603.36532177264053</v>
      </c>
      <c r="J82" s="720">
        <f>IF(AND(B82&gt;=Calculation!FS82,B82&lt;=Calculation!FT82),IF(Sheet1!CX82&gt;=Calculation!D82,64.64,0),MAX(Sheet1!Z82-AJ82+(Sheet1!CX82-D82)*CFStoMGD,0))</f>
        <v>64.64</v>
      </c>
      <c r="K82" s="697">
        <f t="shared" si="368"/>
        <v>64.64</v>
      </c>
      <c r="L82" s="712">
        <f>Sheet1!AA82+Sheet1!AB82-Sheet1!L82+(Sheet1!CW82-F82)*CFStoMGD</f>
        <v>649.08133333332933</v>
      </c>
      <c r="M82" s="712">
        <f t="shared" si="295"/>
        <v>468.86137977631574</v>
      </c>
      <c r="N82" s="712">
        <f>IF(Sheet1!CW82&gt;=F82,MIN(73,MIN(MAX(L82,0),MAX(M82,0))),0)</f>
        <v>73</v>
      </c>
      <c r="O82" s="721">
        <f>Sheet1!AA82+Sheet1!AB82</f>
        <v>54.979999999995925</v>
      </c>
      <c r="P82" s="721">
        <f t="shared" si="296"/>
        <v>85.054059999993697</v>
      </c>
      <c r="Q82" s="712">
        <f>MIN(N82,Sheet1!AA82+AG82)</f>
        <v>46.486011560689946</v>
      </c>
      <c r="R82" s="712">
        <f t="shared" si="297"/>
        <v>8.4939884393059746</v>
      </c>
      <c r="S82" s="721">
        <f>Sheet1!Y82*MGDtoCFS</f>
        <v>45.636499999999998</v>
      </c>
      <c r="T82" s="721">
        <f>Sheet1!Z82*MGDtoCFS</f>
        <v>40.686099999999996</v>
      </c>
      <c r="U82" s="721">
        <f>Sheet1!AA82*MGDtoCFS</f>
        <v>45.172399999995498</v>
      </c>
      <c r="V82" s="721">
        <f>Sheet1!AB82*MGDtoCFS</f>
        <v>39.881659999998199</v>
      </c>
      <c r="W82" s="721">
        <f>Sheet1!L82*MGDtoCFS</f>
        <v>0.38674999999999998</v>
      </c>
      <c r="X82" s="697">
        <f t="shared" si="369"/>
        <v>0</v>
      </c>
      <c r="Y82" s="712">
        <f t="shared" si="298"/>
        <v>0</v>
      </c>
      <c r="Z82" s="712">
        <f t="shared" si="299"/>
        <v>56.146011560694028</v>
      </c>
      <c r="AA82" s="712">
        <f t="shared" si="300"/>
        <v>86.857879884393654</v>
      </c>
      <c r="AB82" s="712">
        <f>(VLOOKUP(Sheet1!CY82,hhdcap_wcm,4)-(((VLOOKUP(Sheet1!CY82,hhdcap_wcm,3)-Sheet1!CY82)/(VLOOKUP(Sheet1!CY82,hhdcap_wcm,3)-VLOOKUP(Sheet1!CY82,hhdcap_wcm,1)))*(VLOOKUP(Sheet1!CY82,hhdcap_wcm,4)-VLOOKUP(Sheet1!CY82,hhdcap_wcm,2))))</f>
        <v>3576.3300000057388</v>
      </c>
      <c r="AC82" s="712">
        <f t="shared" si="301"/>
        <v>365.81000000065842</v>
      </c>
      <c r="AD82" s="712">
        <f t="shared" si="370"/>
        <v>515.32802113662467</v>
      </c>
      <c r="AE82" s="712">
        <f t="shared" si="302"/>
        <v>1581.0263688471646</v>
      </c>
      <c r="AF82" s="712">
        <f>Sheet1!BA82+Sheet1!BB82+Sheet1!BN82+BT82</f>
        <v>17.399999999999999</v>
      </c>
      <c r="AG82" s="712">
        <f t="shared" si="303"/>
        <v>17.286011560692859</v>
      </c>
      <c r="AH82" s="712">
        <f>Sheet1!BA82+BT82</f>
        <v>0</v>
      </c>
      <c r="AI82" s="712">
        <f>Sheet1!BA82+Sheet1!BB82+BT82</f>
        <v>0</v>
      </c>
      <c r="AJ82" s="712">
        <f>IF((Sheet1!AA82+AG82+AX82+AZ82+BQ82+BS82+CL82+CN82)&lt;=N82,AG82+AX82+AZ82+BQ82+BS82+CL82+CN82,N82-Sheet1!AA82)</f>
        <v>17.286011560692859</v>
      </c>
      <c r="AK82" s="712">
        <f>IF(DR82&lt;K82,0,MAX(Sheet1!AA82+AG82-15/36*K82-N82,Sheet1!ED82,0))</f>
        <v>0</v>
      </c>
      <c r="AL82" s="712">
        <f>IF(OR(B82&gt;=FT82,B82&lt;FS82),0,15/36*K82-MAX(0,64.6-(137.6-(Sheet1!AA82+Sheet1!AB82))))</f>
        <v>26.933333333333334</v>
      </c>
      <c r="AM82" s="712">
        <f>Sheet1!CX82-110</f>
        <v>460.125</v>
      </c>
      <c r="AN82" s="712">
        <f>Sheet1!CW82-265</f>
        <v>904.47916666666674</v>
      </c>
      <c r="AO82" s="712">
        <f t="shared" si="371"/>
        <v>26.513988439310054</v>
      </c>
      <c r="AP82" s="712">
        <f t="shared" si="372"/>
        <v>0</v>
      </c>
      <c r="AQ82" s="712">
        <f t="shared" si="304"/>
        <v>0</v>
      </c>
      <c r="AR82" s="712">
        <f t="shared" si="305"/>
        <v>242.4</v>
      </c>
      <c r="AS82" s="712"/>
      <c r="AT82" s="712">
        <f ca="1">IF(B82&gt;Summary!$A$1,#N/A,AR82*MGtoAF)</f>
        <v>743.68320000000006</v>
      </c>
      <c r="AU82" s="712">
        <f>Sheet1!BG82+Sheet1!BH82+Sheet1!BI82-BC82</f>
        <v>0</v>
      </c>
      <c r="AV82" s="712">
        <f t="shared" si="306"/>
        <v>0</v>
      </c>
      <c r="AW82" s="712">
        <f>IF(Sheet1!EL82="FM",BC82,0)</f>
        <v>0</v>
      </c>
      <c r="AX82" s="712">
        <f t="shared" si="307"/>
        <v>0</v>
      </c>
      <c r="AY82" s="712">
        <f>IF(Sheet1!EL82="OTHER",BC82,0)</f>
        <v>0</v>
      </c>
      <c r="AZ82" s="712">
        <f t="shared" si="308"/>
        <v>0</v>
      </c>
      <c r="BA82" s="712">
        <f t="shared" si="309"/>
        <v>0</v>
      </c>
      <c r="BB82" s="712">
        <f t="shared" si="310"/>
        <v>0</v>
      </c>
      <c r="BC82" s="712">
        <f>IF(OR(Sheet1!EL82="FM", Sheet1!EL82="OTHER"),SUM(Sheet1!BG82:'Sheet1'!BI82),0)</f>
        <v>0</v>
      </c>
      <c r="BD82" s="697">
        <f>IF(AND($B82&gt;=$FL82,$B82&lt;=$FM82),MAX(AV82,Sheet1!EE82,0),MAX(AV82-(7/36)*$K82,0))</f>
        <v>0</v>
      </c>
      <c r="BE82" s="712">
        <f t="shared" si="311"/>
        <v>12.568888888888889</v>
      </c>
      <c r="BF82" s="697">
        <f t="shared" si="373"/>
        <v>0</v>
      </c>
      <c r="BG82" s="697">
        <f>IF(AND($O82&gt;0,Sheet1!EI82=1),(1-($O82-Sheet1!$L82)/$O82)*BB82,0)</f>
        <v>0</v>
      </c>
      <c r="BH82" s="697">
        <f>IF(AND(Sheet1!$L82=0,Sheet1!$L81=0, Calculation!BA82&lt;Sheet1!$EE82-0.1,Sheet1!$EE82=Sheet1!$EE81,Sheet1!$EE82=Sheet1!$EE83),Sheet1!$EE82,BB82-BG82)</f>
        <v>0</v>
      </c>
      <c r="BI82" s="712"/>
      <c r="BJ82" s="712"/>
      <c r="BK82" s="712">
        <f t="shared" si="312"/>
        <v>113.12000000000002</v>
      </c>
      <c r="BL82" s="712"/>
      <c r="BM82" s="712">
        <f ca="1">IF(B82&gt;Summary!$A$1,#N/A,BK82*MGtoAF)</f>
        <v>347.05216000000007</v>
      </c>
      <c r="BN82" s="712">
        <f>Sheet1!BC82+Sheet1!BD82+Sheet1!BE82+Sheet1!BF82-BW82-BX82</f>
        <v>2.5099999999999998</v>
      </c>
      <c r="BO82" s="712">
        <f t="shared" si="313"/>
        <v>2.4935568400769585</v>
      </c>
      <c r="BP82" s="712">
        <f>IF(Sheet1!EM82="FM",BX82,0)</f>
        <v>0</v>
      </c>
      <c r="BQ82" s="712">
        <f t="shared" si="314"/>
        <v>0</v>
      </c>
      <c r="BR82" s="712">
        <f>IF(Sheet1!EM82="OTHER",BX82,0)</f>
        <v>0</v>
      </c>
      <c r="BS82" s="712">
        <f t="shared" si="315"/>
        <v>0</v>
      </c>
      <c r="BT82" s="712">
        <f t="shared" si="316"/>
        <v>0</v>
      </c>
      <c r="BU82" s="712">
        <f t="shared" si="317"/>
        <v>2.5099999999999998</v>
      </c>
      <c r="BV82" s="712">
        <f t="shared" si="318"/>
        <v>2.4935568400769585</v>
      </c>
      <c r="BW82" s="712">
        <f>IF(Sheet1!EM82="CWA",SUM(Sheet1!BC82:'Sheet1'!BF82),0)</f>
        <v>0</v>
      </c>
      <c r="BX82" s="712">
        <f>IF(OR(Sheet1!EM82="FM", Sheet1!EM82="OTHER"),SUM(Sheet1!BC82:'Sheet1'!BF82),0)</f>
        <v>0</v>
      </c>
      <c r="BY82" s="697">
        <f>IF(AND($B82&gt;=$FL82,$B82&lt;=$FM82),MAX(BV82,Sheet1!EF82,0),MAX(BV82-(7/36)*$K82,0))</f>
        <v>0</v>
      </c>
      <c r="BZ82" s="712">
        <f t="shared" si="319"/>
        <v>10.07533204881193</v>
      </c>
      <c r="CA82" s="697">
        <f t="shared" si="374"/>
        <v>2.4935568400769585</v>
      </c>
      <c r="CB82" s="697">
        <f>IF(AND($O82&gt;0,Sheet1!EJ82=1),(1-($O82-Sheet1!$L82)/$O82)*BV82,0)</f>
        <v>0</v>
      </c>
      <c r="CC82" s="697">
        <f>IF(AND(Sheet1!$L82=0,Sheet1!$L81=0, Calculation!BU82&lt;Sheet1!EF82-0.1,Sheet1!EF82=Sheet1!EF81,Sheet1!EF82=Sheet1!EF83),Sheet1!EF82,BV82-CB82)</f>
        <v>2.4935568400769585</v>
      </c>
      <c r="CD82" s="697"/>
      <c r="CE82" s="712"/>
      <c r="CF82" s="712">
        <f t="shared" si="320"/>
        <v>93.886292006751205</v>
      </c>
      <c r="CG82" s="712"/>
      <c r="CH82" s="712">
        <f ca="1">IF(B82&gt;Summary!$A$1,#N/A,CF82*MGtoAF)</f>
        <v>288.04314387671269</v>
      </c>
      <c r="CI82" s="712">
        <f>Sheet1!BK82+Sheet1!BL82+Sheet1!BM82-Sheet1!EN82-CQ82</f>
        <v>6.04</v>
      </c>
      <c r="CJ82" s="712">
        <f t="shared" si="321"/>
        <v>6.0004315992290165</v>
      </c>
      <c r="CK82" s="712">
        <f>IF(Sheet1!EN82="FM",CQ82,0)</f>
        <v>0</v>
      </c>
      <c r="CL82" s="712">
        <f t="shared" si="322"/>
        <v>0</v>
      </c>
      <c r="CM82" s="712">
        <f>IF(Sheet1!EN82="OTHER",CQ82,0)</f>
        <v>0</v>
      </c>
      <c r="CN82" s="712">
        <f t="shared" si="323"/>
        <v>0</v>
      </c>
      <c r="CO82" s="712">
        <f t="shared" si="324"/>
        <v>6.04</v>
      </c>
      <c r="CP82" s="712">
        <f t="shared" si="325"/>
        <v>6.0004315992290165</v>
      </c>
      <c r="CQ82" s="712">
        <f>IF(OR(Sheet1!EN82="FM", Sheet1!EN82="OTHER"),SUM(Sheet1!BK82:'Sheet1'!BM82),0)</f>
        <v>0</v>
      </c>
      <c r="CR82" s="697">
        <f>IF(AND($B82&gt;=$FL82,$B82&lt;=$FM82),MAX($CJ82,Sheet1!EG82,0),MAX($CJ82-(7/36)*$K82,0))</f>
        <v>0</v>
      </c>
      <c r="CS82" s="712">
        <f t="shared" si="326"/>
        <v>6.5684572896598725</v>
      </c>
      <c r="CT82" s="697">
        <f t="shared" si="375"/>
        <v>6.0004315992290165</v>
      </c>
      <c r="CU82" s="697">
        <f>IF(AND($O82&gt;0,Sheet1!EK82=1),(1-($O82-Sheet1!$L82)/$O82)*CP82,0)</f>
        <v>0</v>
      </c>
      <c r="CV82" s="697">
        <f>IF(AND(Sheet1!$L82=0,Sheet1!$L81=0, Calculation!CO82&lt;Sheet1!$EG82-0.1,Sheet1!$EG82=Sheet1!$EG81,Sheet1!$EG82=Sheet1!$EG83),Sheet1!$EG82,CP82-CU82)</f>
        <v>6.0004315992290165</v>
      </c>
      <c r="CW82" s="697">
        <f t="shared" si="362"/>
        <v>0</v>
      </c>
      <c r="CX82" s="712">
        <f t="shared" si="379"/>
        <v>8.5500000000000007</v>
      </c>
      <c r="CY82" s="712">
        <f t="shared" si="327"/>
        <v>65.921729129873384</v>
      </c>
      <c r="CZ82" s="712">
        <f t="shared" si="328"/>
        <v>8.4939884393059746</v>
      </c>
      <c r="DA82" s="712">
        <f ca="1">IF(B82&gt;Summary!$A$1,#N/A,CY82*MGtoAF)</f>
        <v>202.24786497045156</v>
      </c>
      <c r="DB82" s="712">
        <f t="shared" si="329"/>
        <v>8.5500000000000007</v>
      </c>
      <c r="DC82" s="712">
        <f t="shared" si="330"/>
        <v>25.95</v>
      </c>
      <c r="DD82" s="712">
        <f>Sheet1!AB82-DC82</f>
        <v>-0.17000000000116344</v>
      </c>
      <c r="DE82" s="712">
        <f t="shared" si="331"/>
        <v>-6.5510597302953161E-3</v>
      </c>
      <c r="DF82" s="712">
        <f>(VLOOKUP(Sheet1!CY82,hhdcap_wcm,4)-(((VLOOKUP(Sheet1!CY82,hhdcap_wcm,3)-Sheet1!CY82)/(VLOOKUP(Sheet1!CY82,hhdcap_wcm,3)-VLOOKUP(Sheet1!CY82,hhdcap_wcm,1)))*(VLOOKUP(Sheet1!CY82,hhdcap_wcm,4)-VLOOKUP(Sheet1!CY82,hhdcap_wcm,2))))</f>
        <v>3576.3300000057388</v>
      </c>
      <c r="DG82" s="712">
        <f t="shared" si="332"/>
        <v>365.81000000065842</v>
      </c>
      <c r="DH82" s="712">
        <f t="shared" si="333"/>
        <v>184.47302067607583</v>
      </c>
      <c r="DI82" s="712">
        <f>Sheet1!DW82*AFtoMG</f>
        <v>0</v>
      </c>
      <c r="DJ82" s="712">
        <f>Sheet1!DX82*AFtoMG</f>
        <v>0</v>
      </c>
      <c r="DK82" s="712">
        <f>Sheet1!DY82*AFtoMG</f>
        <v>0</v>
      </c>
      <c r="DL82" s="712">
        <f>Sheet1!DZ82*AFtoMG</f>
        <v>0</v>
      </c>
      <c r="DM82" s="712">
        <f t="shared" si="334"/>
        <v>0</v>
      </c>
      <c r="DN82" s="712">
        <f t="shared" si="335"/>
        <v>0</v>
      </c>
      <c r="DO82" s="712">
        <f t="shared" si="336"/>
        <v>515.32802113662467</v>
      </c>
      <c r="DP82" s="712">
        <f t="shared" si="337"/>
        <v>1581.0263688471646</v>
      </c>
      <c r="DQ82" s="712"/>
      <c r="DR82" s="697">
        <f>IF(OR(B82&lt;FL82,B82&gt;FM82),(MIN(AV82+BO82+CJ82+MAX(Sheet1!AA82+AG82-73,0),K82)),0)</f>
        <v>8.4939884393059746</v>
      </c>
      <c r="DS82" s="712"/>
      <c r="DT82" s="712">
        <f t="shared" si="338"/>
        <v>8.4939884393059746</v>
      </c>
      <c r="DU82" s="712"/>
      <c r="DV82" s="712">
        <f>Sheet1!ED82+Sheet1!EE82+Sheet1!EF82+Sheet1!EG82</f>
        <v>8.5</v>
      </c>
      <c r="DW82" s="712"/>
      <c r="DX82" s="697">
        <f t="shared" si="376"/>
        <v>0</v>
      </c>
      <c r="DY82" s="712">
        <f>IF(Sheet1!FN82=1,SUM('Calculations II'!AT82:BA82)+'Calculations II'!BC82+Sheet1!BU82+'Calculations II'!BE82+AF82,SUM('Calculations II'!AT82:BA82)+'Calculations II'!BC82+Sheet1!BU82+'Calculations II'!BE82+AF82)</f>
        <v>43.021872000000002</v>
      </c>
      <c r="DZ82" s="712">
        <f>Sheet1!AA82+Sheet1!AB82+'Calculations II'!BC82</f>
        <v>54.979999999995925</v>
      </c>
      <c r="EA82" s="712"/>
      <c r="EB82" s="712"/>
      <c r="EC82" s="712">
        <f t="shared" si="339"/>
        <v>40611</v>
      </c>
      <c r="ED82" s="712">
        <f t="shared" si="340"/>
        <v>56.146011560694028</v>
      </c>
      <c r="EE82" s="712">
        <f t="shared" si="341"/>
        <v>86.857879884393654</v>
      </c>
      <c r="EF82" s="712">
        <f>-(VLOOKUP(Sheet1!BQ82,Lookup!$B$4:$J$236,2)-VLOOKUP(Sheet1!BQ81,Lookup!$B$4:$J$236,2))/1000000</f>
        <v>-0.8115</v>
      </c>
      <c r="EG82" s="712">
        <f>-(VLOOKUP(Sheet1!BR82,Lookup!$B$4:$J$236,3)-VLOOKUP(Sheet1!BR81,Lookup!$B$4:$J$236,3))/1000000</f>
        <v>-0.81</v>
      </c>
      <c r="EH82" s="712">
        <f>-(VLOOKUP(Sheet1!BS82,Lookup!$B$4:$J$236,4)-VLOOKUP(Sheet1!BS81,Lookup!$B$4:$J$236,4))/1000000</f>
        <v>0</v>
      </c>
      <c r="EI82" s="697">
        <f t="shared" si="380"/>
        <v>-1.6215000000000002</v>
      </c>
      <c r="EJ82" s="712"/>
      <c r="EK82" s="712"/>
      <c r="EL82" s="712"/>
      <c r="EM82" s="712"/>
      <c r="EN82" s="712"/>
      <c r="EO82" s="712"/>
      <c r="EP82" s="712"/>
      <c r="EQ82" s="712"/>
      <c r="ER82" s="697">
        <v>0</v>
      </c>
      <c r="ES82" s="712"/>
      <c r="ET82" s="794" t="e">
        <f t="shared" si="342"/>
        <v>#N/A</v>
      </c>
      <c r="EU82" s="794" t="e">
        <f t="shared" si="363"/>
        <v>#VALUE!</v>
      </c>
      <c r="EV82" s="795" t="e">
        <f t="shared" si="364"/>
        <v>#VALUE!</v>
      </c>
      <c r="EW82" s="796" t="s">
        <v>757</v>
      </c>
      <c r="EX82" s="796" t="s">
        <v>757</v>
      </c>
      <c r="EY82" s="794">
        <v>0</v>
      </c>
      <c r="EZ82" s="794" t="e">
        <v>#N/A</v>
      </c>
      <c r="FA82" s="712"/>
      <c r="FB82" s="712"/>
      <c r="FC82" s="712"/>
      <c r="FD82" s="712"/>
      <c r="FE82" s="712">
        <f>O82+Sheet1!CO82</f>
        <v>54.979999999995925</v>
      </c>
      <c r="FF82" s="712">
        <f>IF(Sheet1!AA82+AG82&lt;=Calculation!N82,AG82,Calculation!N82-Sheet1!AA82)</f>
        <v>17.286011560692859</v>
      </c>
      <c r="FG82" s="712">
        <f>(Sheet1!BP82+Sheet1!BO82)/694.4</f>
        <v>1.8621831797235022</v>
      </c>
      <c r="FH82" s="712"/>
      <c r="FI82" s="712"/>
      <c r="FJ82" s="712"/>
      <c r="FK82" s="712"/>
      <c r="FL82" s="714">
        <f t="shared" si="381"/>
        <v>40753</v>
      </c>
      <c r="FM82" s="714">
        <f t="shared" si="382"/>
        <v>40851</v>
      </c>
      <c r="FN82" s="712"/>
      <c r="FO82" s="712"/>
      <c r="FP82" s="712"/>
      <c r="FQ82" s="712"/>
      <c r="FR82" s="712"/>
      <c r="FS82" s="725">
        <f t="shared" si="383"/>
        <v>40603</v>
      </c>
      <c r="FT82" s="714">
        <f t="shared" si="384"/>
        <v>40709</v>
      </c>
      <c r="FU82" s="712">
        <f t="shared" si="385"/>
        <v>6518.9048239895692</v>
      </c>
      <c r="FV82" s="714">
        <f t="shared" si="386"/>
        <v>40722</v>
      </c>
      <c r="FW82" s="712">
        <f t="shared" si="387"/>
        <v>3259.4524119947846</v>
      </c>
      <c r="FX82" s="725">
        <f t="shared" si="388"/>
        <v>40851</v>
      </c>
      <c r="FZ82" s="697">
        <f t="shared" si="365"/>
        <v>0</v>
      </c>
      <c r="GA82" s="712" t="str">
        <f t="shared" si="343"/>
        <v/>
      </c>
      <c r="GB82" s="712">
        <f t="shared" si="344"/>
        <v>0</v>
      </c>
      <c r="GC82" s="712" t="str">
        <f t="shared" si="345"/>
        <v/>
      </c>
      <c r="GD82" s="712">
        <f>IF(GA82="P",Lookup!$M$12,IF(GA82="PP",Lookup!$M$13,IF(GA82="PPP",Lookup!$M$14,IF(GA82="T",Lookup!$M$15,IF(GA82="TP",Lookup!$M$16,IF(GA82="TPP",Lookup!$M$17,IF(GA82="TPPP",Lookup!$M$18,0)))))))*FZ82</f>
        <v>0</v>
      </c>
      <c r="GE82" s="712">
        <f t="shared" si="346"/>
        <v>0</v>
      </c>
      <c r="GF82" s="712">
        <f t="shared" si="347"/>
        <v>743.68320000000006</v>
      </c>
      <c r="GG82" s="712">
        <f t="shared" si="348"/>
        <v>242.4</v>
      </c>
      <c r="GH82" s="712"/>
      <c r="GI82" s="712">
        <f t="shared" si="349"/>
        <v>0</v>
      </c>
      <c r="GJ82" s="712" t="str">
        <f t="shared" si="350"/>
        <v/>
      </c>
      <c r="GK82" s="712">
        <f>IF(GA82="P",Lookup!$N$12,IF(GA82="PP",Lookup!$N$13,IF(GA82="PPP",Lookup!$N$14,IF(GA82="T",Lookup!$N$15,IF(GA82="TP",Lookup!$N$16,IF(GA82="TPP",Lookup!$N$17,IF(GA82="TPPP",Lookup!$N$18,0)))))))*FZ82</f>
        <v>0</v>
      </c>
      <c r="GL82" s="712">
        <f t="shared" si="351"/>
        <v>0</v>
      </c>
      <c r="GM82" s="712">
        <f t="shared" si="352"/>
        <v>347.05216000000007</v>
      </c>
      <c r="GN82" s="712">
        <f t="shared" si="353"/>
        <v>113.12000000000002</v>
      </c>
      <c r="GO82" s="712"/>
      <c r="GP82" s="712">
        <f t="shared" si="354"/>
        <v>0</v>
      </c>
      <c r="GQ82" s="712" t="str">
        <f t="shared" si="355"/>
        <v/>
      </c>
      <c r="GR82" s="712">
        <f>IF(GA82="P",Lookup!$N$12,IF(GA82="PP",Lookup!$N$13,IF(GA82="PPP",Lookup!$N$14,IF(GA82="T",Lookup!$N$15,IF(GA82="TP",Lookup!$N$16,IF(GA82="TPP",Lookup!$N$17,IF(GA82="TPPP",Lookup!$N$18,0)))))))*FZ82</f>
        <v>0</v>
      </c>
      <c r="GS82" s="697">
        <f t="shared" si="377"/>
        <v>0</v>
      </c>
      <c r="GT82" s="712">
        <f t="shared" si="356"/>
        <v>288.04314387671269</v>
      </c>
      <c r="GU82" s="712">
        <f t="shared" si="357"/>
        <v>93.886292006751205</v>
      </c>
      <c r="GV82" s="712"/>
      <c r="GW82" s="712">
        <f t="shared" si="358"/>
        <v>0</v>
      </c>
      <c r="GX82" s="712" t="str">
        <f t="shared" si="359"/>
        <v/>
      </c>
      <c r="GY82" s="712">
        <f>IF(GA82="P",Lookup!$N$12,IF(GA82="PP",Lookup!$N$13,IF(GA82="PPP",Lookup!$N$14,IF(GA82="T",Lookup!$N$15,IF(GA82="TP",Lookup!$N$16,IF(GA82="TPP",Lookup!$N$17,IF(GA82="TPPP",Lookup!$N$18,0)))))))*FZ82</f>
        <v>0</v>
      </c>
      <c r="GZ82" s="697">
        <f t="shared" si="378"/>
        <v>0</v>
      </c>
      <c r="HA82" s="712">
        <f t="shared" si="360"/>
        <v>202.24786497045156</v>
      </c>
      <c r="HB82" s="712">
        <f t="shared" si="361"/>
        <v>65.921729129873384</v>
      </c>
      <c r="HC82" s="712"/>
    </row>
    <row r="83" spans="1:211">
      <c r="A83" s="773" t="s">
        <v>7</v>
      </c>
      <c r="B83" s="708">
        <v>40612</v>
      </c>
      <c r="C83" s="719">
        <v>0.5</v>
      </c>
      <c r="D83" s="675">
        <f t="shared" si="366"/>
        <v>300</v>
      </c>
      <c r="E83" s="675">
        <f t="shared" si="367"/>
        <v>250</v>
      </c>
      <c r="F83" s="710">
        <v>250</v>
      </c>
      <c r="G83" s="712">
        <f>DH83+Sheet1!CV83</f>
        <v>1387.0921360987802</v>
      </c>
      <c r="H83" s="712">
        <f t="shared" si="294"/>
        <v>629.65315677425144</v>
      </c>
      <c r="I83" s="711">
        <f>MAX(Sheet1!Z83-AJ83+(Sheet1!CW83-E83)*CFStoMGD,0)</f>
        <v>1304.3438190424179</v>
      </c>
      <c r="J83" s="720">
        <f>IF(AND(B83&gt;=Calculation!FS83,B83&lt;=Calculation!FT83),IF(Sheet1!CX83&gt;=Calculation!D83,64.64,0),MAX(Sheet1!Z83-AJ83+(Sheet1!CX83-D83)*CFStoMGD,0))</f>
        <v>64.64</v>
      </c>
      <c r="K83" s="697">
        <f t="shared" si="368"/>
        <v>64.64</v>
      </c>
      <c r="L83" s="712">
        <f>Sheet1!AA83+Sheet1!AB83-Sheet1!L83+(Sheet1!CW83-F83)*CFStoMGD</f>
        <v>1313.9926666666647</v>
      </c>
      <c r="M83" s="712">
        <f t="shared" si="295"/>
        <v>914.54868390973661</v>
      </c>
      <c r="N83" s="712">
        <f>IF(Sheet1!CW83&gt;=F83,MIN(73,MIN(MAX(L83,0),MAX(M83,0))),0)</f>
        <v>73</v>
      </c>
      <c r="O83" s="721">
        <f>Sheet1!AA83+Sheet1!AB83</f>
        <v>47.959999999999127</v>
      </c>
      <c r="P83" s="721">
        <f t="shared" si="296"/>
        <v>74.194119999998648</v>
      </c>
      <c r="Q83" s="712">
        <f>MIN(N83,Sheet1!AA83+AG83)</f>
        <v>45.848847624248208</v>
      </c>
      <c r="R83" s="712">
        <f t="shared" si="297"/>
        <v>2.1111523757509225</v>
      </c>
      <c r="S83" s="721">
        <f>Sheet1!Y83*MGDtoCFS</f>
        <v>45.68291</v>
      </c>
      <c r="T83" s="721">
        <f>Sheet1!Z83*MGDtoCFS</f>
        <v>39.912599999999998</v>
      </c>
      <c r="U83" s="721">
        <f>Sheet1!AA83*MGDtoCFS</f>
        <v>45.853079999999096</v>
      </c>
      <c r="V83" s="721">
        <f>Sheet1!AB83*MGDtoCFS</f>
        <v>28.341039999999548</v>
      </c>
      <c r="W83" s="721">
        <f>Sheet1!L83*MGDtoCFS</f>
        <v>44.429840000001796</v>
      </c>
      <c r="X83" s="697">
        <f t="shared" si="369"/>
        <v>0</v>
      </c>
      <c r="Y83" s="712">
        <f t="shared" si="298"/>
        <v>0</v>
      </c>
      <c r="Z83" s="712">
        <f t="shared" si="299"/>
        <v>62.528847624249082</v>
      </c>
      <c r="AA83" s="712">
        <f t="shared" si="300"/>
        <v>96.732127274713321</v>
      </c>
      <c r="AB83" s="712">
        <f>(VLOOKUP(Sheet1!CY83,hhdcap_wcm,4)-(((VLOOKUP(Sheet1!CY83,hhdcap_wcm,3)-Sheet1!CY83)/(VLOOKUP(Sheet1!CY83,hhdcap_wcm,3)-VLOOKUP(Sheet1!CY83,hhdcap_wcm,1)))*(VLOOKUP(Sheet1!CY83,hhdcap_wcm,4)-VLOOKUP(Sheet1!CY83,hhdcap_wcm,2))))</f>
        <v>4405.6400000072672</v>
      </c>
      <c r="AC83" s="712">
        <f t="shared" si="301"/>
        <v>829.31000000152835</v>
      </c>
      <c r="AD83" s="712">
        <f t="shared" si="370"/>
        <v>577.85686876087368</v>
      </c>
      <c r="AE83" s="712">
        <f t="shared" si="302"/>
        <v>1772.8648733583605</v>
      </c>
      <c r="AF83" s="712">
        <f>Sheet1!BA83+Sheet1!BB83+Sheet1!BN83+BT83</f>
        <v>16.2</v>
      </c>
      <c r="AG83" s="712">
        <f t="shared" si="303"/>
        <v>16.208847624248786</v>
      </c>
      <c r="AH83" s="712">
        <f>Sheet1!BA83+BT83</f>
        <v>0</v>
      </c>
      <c r="AI83" s="712">
        <f>Sheet1!BA83+Sheet1!BB83+BT83</f>
        <v>0</v>
      </c>
      <c r="AJ83" s="712">
        <f>IF((Sheet1!AA83+AG83+AX83+AZ83+BQ83+BS83+CL83+CN83)&lt;=N83,AG83+AX83+AZ83+BQ83+BS83+CL83+CN83,N83-Sheet1!AA83)</f>
        <v>16.208847624248786</v>
      </c>
      <c r="AK83" s="712">
        <f>IF(DR83&lt;K83,0,MAX(Sheet1!AA83+AG83-15/36*K83-N83,Sheet1!ED83,0))</f>
        <v>0</v>
      </c>
      <c r="AL83" s="712">
        <f>IF(OR(B83&gt;=FT83,B83&lt;FS83),0,15/36*K83-MAX(0,64.6-(137.6-(Sheet1!AA83+Sheet1!AB83))))</f>
        <v>26.933333333333334</v>
      </c>
      <c r="AM83" s="712">
        <f>Sheet1!CX83-110</f>
        <v>1190.46875</v>
      </c>
      <c r="AN83" s="712">
        <f>Sheet1!CW83-265</f>
        <v>1988.0208333333335</v>
      </c>
      <c r="AO83" s="712">
        <f t="shared" si="371"/>
        <v>27.151152375751792</v>
      </c>
      <c r="AP83" s="712">
        <f t="shared" si="372"/>
        <v>0</v>
      </c>
      <c r="AQ83" s="712">
        <f t="shared" si="304"/>
        <v>0</v>
      </c>
      <c r="AR83" s="712">
        <f t="shared" si="305"/>
        <v>269.33333333333331</v>
      </c>
      <c r="AS83" s="712"/>
      <c r="AT83" s="712">
        <f ca="1">IF(B83&gt;Summary!$A$1,#N/A,AR83*MGtoAF)</f>
        <v>826.31466666666665</v>
      </c>
      <c r="AU83" s="712">
        <f>Sheet1!BG83+Sheet1!BH83+Sheet1!BI83-BC83</f>
        <v>0</v>
      </c>
      <c r="AV83" s="712">
        <f t="shared" si="306"/>
        <v>0</v>
      </c>
      <c r="AW83" s="712">
        <f>IF(Sheet1!EL83="FM",BC83,0)</f>
        <v>0</v>
      </c>
      <c r="AX83" s="712">
        <f t="shared" si="307"/>
        <v>0</v>
      </c>
      <c r="AY83" s="712">
        <f>IF(Sheet1!EL83="OTHER",BC83,0)</f>
        <v>0</v>
      </c>
      <c r="AZ83" s="712">
        <f t="shared" si="308"/>
        <v>0</v>
      </c>
      <c r="BA83" s="712">
        <f t="shared" si="309"/>
        <v>0</v>
      </c>
      <c r="BB83" s="712">
        <f t="shared" si="310"/>
        <v>0</v>
      </c>
      <c r="BC83" s="712">
        <f>IF(OR(Sheet1!EL83="FM", Sheet1!EL83="OTHER"),SUM(Sheet1!BG83:'Sheet1'!BI83),0)</f>
        <v>0</v>
      </c>
      <c r="BD83" s="697">
        <f>IF(AND($B83&gt;=$FL83,$B83&lt;=$FM83),MAX(AV83,Sheet1!EE83,0),MAX(AV83-(7/36)*$K83,0))</f>
        <v>0</v>
      </c>
      <c r="BE83" s="712">
        <f t="shared" si="311"/>
        <v>12.568888888888889</v>
      </c>
      <c r="BF83" s="697">
        <f t="shared" si="373"/>
        <v>0</v>
      </c>
      <c r="BG83" s="697">
        <f>IF(AND($O83&gt;0,Sheet1!EI83=1),(1-($O83-Sheet1!$L83)/$O83)*BB83,0)</f>
        <v>0</v>
      </c>
      <c r="BH83" s="697">
        <f>IF(AND(Sheet1!$L83=0,Sheet1!$L82=0, Calculation!BA83&lt;Sheet1!$EE83-0.1,Sheet1!$EE83=Sheet1!$EE82,Sheet1!$EE83=Sheet1!$EE84),Sheet1!$EE83,BB83-BG83)</f>
        <v>0</v>
      </c>
      <c r="BI83" s="712"/>
      <c r="BJ83" s="712"/>
      <c r="BK83" s="712">
        <f t="shared" si="312"/>
        <v>125.68888888888891</v>
      </c>
      <c r="BL83" s="712"/>
      <c r="BM83" s="712">
        <f ca="1">IF(B83&gt;Summary!$A$1,#N/A,BK83*MGtoAF)</f>
        <v>385.61351111111117</v>
      </c>
      <c r="BN83" s="712">
        <f>Sheet1!BC83+Sheet1!BD83+Sheet1!BE83+Sheet1!BF83-BW83-BX83</f>
        <v>0.59</v>
      </c>
      <c r="BO83" s="712">
        <f t="shared" si="313"/>
        <v>0.59032222829054226</v>
      </c>
      <c r="BP83" s="712">
        <f>IF(Sheet1!EM83="FM",BX83,0)</f>
        <v>0</v>
      </c>
      <c r="BQ83" s="712">
        <f t="shared" si="314"/>
        <v>0</v>
      </c>
      <c r="BR83" s="712">
        <f>IF(Sheet1!EM83="OTHER",BX83,0)</f>
        <v>0</v>
      </c>
      <c r="BS83" s="712">
        <f t="shared" si="315"/>
        <v>0</v>
      </c>
      <c r="BT83" s="712">
        <f t="shared" si="316"/>
        <v>0</v>
      </c>
      <c r="BU83" s="712">
        <f t="shared" si="317"/>
        <v>0.59</v>
      </c>
      <c r="BV83" s="712">
        <f t="shared" si="318"/>
        <v>0.59032222829054226</v>
      </c>
      <c r="BW83" s="712">
        <f>IF(Sheet1!EM83="CWA",SUM(Sheet1!BC83:'Sheet1'!BF83),0)</f>
        <v>0</v>
      </c>
      <c r="BX83" s="712">
        <f>IF(OR(Sheet1!EM83="FM", Sheet1!EM83="OTHER"),SUM(Sheet1!BC83:'Sheet1'!BF83),0)</f>
        <v>0</v>
      </c>
      <c r="BY83" s="697">
        <f>IF(AND($B83&gt;=$FL83,$B83&lt;=$FM83),MAX(BV83,Sheet1!EF83,0),MAX(BV83-(7/36)*$K83,0))</f>
        <v>0</v>
      </c>
      <c r="BZ83" s="712">
        <f t="shared" si="319"/>
        <v>11.978566660598347</v>
      </c>
      <c r="CA83" s="697">
        <f t="shared" si="374"/>
        <v>0.59032222829054226</v>
      </c>
      <c r="CB83" s="697">
        <f>IF(AND($O83&gt;0,Sheet1!EJ83=1),(1-($O83-Sheet1!$L83)/$O83)*BV83,0)</f>
        <v>0</v>
      </c>
      <c r="CC83" s="697">
        <f>IF(AND(Sheet1!$L83=0,Sheet1!$L82=0, Calculation!BU83&lt;Sheet1!EF83-0.1,Sheet1!EF83=Sheet1!EF82,Sheet1!EF83=Sheet1!EF84),Sheet1!EF83,BV83-CB83)</f>
        <v>0.59032222829054226</v>
      </c>
      <c r="CD83" s="697"/>
      <c r="CE83" s="712"/>
      <c r="CF83" s="712">
        <f t="shared" si="320"/>
        <v>105.86485866734955</v>
      </c>
      <c r="CG83" s="712"/>
      <c r="CH83" s="712">
        <f ca="1">IF(B83&gt;Summary!$A$1,#N/A,CF83*MGtoAF)</f>
        <v>324.79338639142844</v>
      </c>
      <c r="CI83" s="712">
        <f>Sheet1!BK83+Sheet1!BL83+Sheet1!BM83-Sheet1!EN83-CQ83</f>
        <v>1.52</v>
      </c>
      <c r="CJ83" s="712">
        <f t="shared" si="321"/>
        <v>1.52083014746038</v>
      </c>
      <c r="CK83" s="712">
        <f>IF(Sheet1!EN83="FM",CQ83,0)</f>
        <v>0</v>
      </c>
      <c r="CL83" s="712">
        <f t="shared" si="322"/>
        <v>0</v>
      </c>
      <c r="CM83" s="712">
        <f>IF(Sheet1!EN83="OTHER",CQ83,0)</f>
        <v>0</v>
      </c>
      <c r="CN83" s="712">
        <f t="shared" si="323"/>
        <v>0</v>
      </c>
      <c r="CO83" s="712">
        <f t="shared" si="324"/>
        <v>1.52</v>
      </c>
      <c r="CP83" s="712">
        <f t="shared" si="325"/>
        <v>1.52083014746038</v>
      </c>
      <c r="CQ83" s="712">
        <f>IF(OR(Sheet1!EN83="FM", Sheet1!EN83="OTHER"),SUM(Sheet1!BK83:'Sheet1'!BM83),0)</f>
        <v>0</v>
      </c>
      <c r="CR83" s="697">
        <f>IF(AND($B83&gt;=$FL83,$B83&lt;=$FM83),MAX($CJ83,Sheet1!EG83,0),MAX($CJ83-(7/36)*$K83,0))</f>
        <v>0</v>
      </c>
      <c r="CS83" s="712">
        <f t="shared" si="326"/>
        <v>11.048058741428509</v>
      </c>
      <c r="CT83" s="697">
        <f t="shared" si="375"/>
        <v>1.52083014746038</v>
      </c>
      <c r="CU83" s="697">
        <f>IF(AND($O83&gt;0,Sheet1!EK83=1),(1-($O83-Sheet1!$L83)/$O83)*CP83,0)</f>
        <v>0</v>
      </c>
      <c r="CV83" s="697">
        <f>IF(AND(Sheet1!$L83=0,Sheet1!$L82=0, Calculation!CO83&lt;Sheet1!$EG83-0.1,Sheet1!$EG83=Sheet1!$EG82,Sheet1!$EG83=Sheet1!$EG84),Sheet1!$EG83,CP83-CU83)</f>
        <v>1.52083014746038</v>
      </c>
      <c r="CW83" s="697">
        <f t="shared" si="362"/>
        <v>0</v>
      </c>
      <c r="CX83" s="712">
        <f t="shared" si="379"/>
        <v>2.11</v>
      </c>
      <c r="CY83" s="712">
        <f t="shared" si="327"/>
        <v>76.969787871301889</v>
      </c>
      <c r="CZ83" s="712">
        <f t="shared" si="328"/>
        <v>2.1111523757509225</v>
      </c>
      <c r="DA83" s="712">
        <f ca="1">IF(B83&gt;Summary!$A$1,#N/A,CY83*MGtoAF)</f>
        <v>236.14330918915419</v>
      </c>
      <c r="DB83" s="712">
        <f t="shared" si="329"/>
        <v>2.11</v>
      </c>
      <c r="DC83" s="712">
        <f t="shared" si="330"/>
        <v>18.309999999999999</v>
      </c>
      <c r="DD83" s="712">
        <f>Sheet1!AB83-DC83</f>
        <v>9.9999999997102407E-3</v>
      </c>
      <c r="DE83" s="712">
        <f t="shared" si="331"/>
        <v>5.4614964498690558E-4</v>
      </c>
      <c r="DF83" s="712">
        <f>(VLOOKUP(Sheet1!CY83,hhdcap_wcm,4)-(((VLOOKUP(Sheet1!CY83,hhdcap_wcm,3)-Sheet1!CY83)/(VLOOKUP(Sheet1!CY83,hhdcap_wcm,3)-VLOOKUP(Sheet1!CY83,hhdcap_wcm,1)))*(VLOOKUP(Sheet1!CY83,hhdcap_wcm,4)-VLOOKUP(Sheet1!CY83,hhdcap_wcm,2))))</f>
        <v>4405.6400000072672</v>
      </c>
      <c r="DG83" s="712">
        <f t="shared" si="332"/>
        <v>829.31000000152835</v>
      </c>
      <c r="DH83" s="712">
        <f t="shared" si="333"/>
        <v>418.20978315760374</v>
      </c>
      <c r="DI83" s="712">
        <f>Sheet1!DW83*AFtoMG</f>
        <v>0</v>
      </c>
      <c r="DJ83" s="712">
        <f>Sheet1!DX83*AFtoMG</f>
        <v>0</v>
      </c>
      <c r="DK83" s="712">
        <f>Sheet1!DY83*AFtoMG</f>
        <v>0</v>
      </c>
      <c r="DL83" s="712">
        <f>Sheet1!DZ83*AFtoMG</f>
        <v>0</v>
      </c>
      <c r="DM83" s="712">
        <f t="shared" si="334"/>
        <v>0</v>
      </c>
      <c r="DN83" s="712">
        <f t="shared" si="335"/>
        <v>0</v>
      </c>
      <c r="DO83" s="712">
        <f t="shared" si="336"/>
        <v>577.85686876087368</v>
      </c>
      <c r="DP83" s="712">
        <f t="shared" si="337"/>
        <v>1772.8648733583605</v>
      </c>
      <c r="DQ83" s="712"/>
      <c r="DR83" s="697">
        <f>IF(OR(B83&lt;FL83,B83&gt;FM83),(MIN(AV83+BO83+CJ83+MAX(Sheet1!AA83+AG83-73,0),K83)),0)</f>
        <v>2.1111523757509225</v>
      </c>
      <c r="DS83" s="712"/>
      <c r="DT83" s="712">
        <f t="shared" si="338"/>
        <v>2.1111523757509225</v>
      </c>
      <c r="DU83" s="712"/>
      <c r="DV83" s="712">
        <f>Sheet1!ED83+Sheet1!EE83+Sheet1!EF83+Sheet1!EG83</f>
        <v>8.5</v>
      </c>
      <c r="DW83" s="712"/>
      <c r="DX83" s="697">
        <f t="shared" si="376"/>
        <v>0</v>
      </c>
      <c r="DY83" s="712">
        <f>IF(Sheet1!FN83=1,SUM('Calculations II'!AT83:BA83)+'Calculations II'!BC83+Sheet1!BU83+'Calculations II'!BE83+AF83,SUM('Calculations II'!AT83:BA83)+'Calculations II'!BC83+Sheet1!BU83+'Calculations II'!BE83+AF83)</f>
        <v>43.920016000000004</v>
      </c>
      <c r="DZ83" s="712">
        <f>Sheet1!AA83+Sheet1!AB83+'Calculations II'!BC83</f>
        <v>47.959999999999127</v>
      </c>
      <c r="EA83" s="712"/>
      <c r="EB83" s="712"/>
      <c r="EC83" s="712">
        <f t="shared" si="339"/>
        <v>40612</v>
      </c>
      <c r="ED83" s="712">
        <f t="shared" si="340"/>
        <v>62.528847624249082</v>
      </c>
      <c r="EE83" s="712">
        <f t="shared" si="341"/>
        <v>96.732127274713321</v>
      </c>
      <c r="EF83" s="712">
        <f>-(VLOOKUP(Sheet1!BQ83,Lookup!$B$4:$J$236,2)-VLOOKUP(Sheet1!BQ82,Lookup!$B$4:$J$236,2))/1000000</f>
        <v>0</v>
      </c>
      <c r="EG83" s="712">
        <f>-(VLOOKUP(Sheet1!BR83,Lookup!$B$4:$J$236,3)-VLOOKUP(Sheet1!BR82,Lookup!$B$4:$J$236,3))/1000000</f>
        <v>0.27</v>
      </c>
      <c r="EH83" s="712">
        <f>-(VLOOKUP(Sheet1!BS83,Lookup!$B$4:$J$236,4)-VLOOKUP(Sheet1!BS82,Lookup!$B$4:$J$236,4))/1000000</f>
        <v>0</v>
      </c>
      <c r="EI83" s="697">
        <f t="shared" si="380"/>
        <v>0.27</v>
      </c>
      <c r="EJ83" s="712"/>
      <c r="EK83" s="712"/>
      <c r="EL83" s="712"/>
      <c r="EM83" s="712"/>
      <c r="EN83" s="712"/>
      <c r="EO83" s="712"/>
      <c r="EP83" s="712"/>
      <c r="EQ83" s="712"/>
      <c r="ER83" s="697">
        <v>0</v>
      </c>
      <c r="ES83" s="712"/>
      <c r="ET83" s="794" t="e">
        <f t="shared" si="342"/>
        <v>#N/A</v>
      </c>
      <c r="EU83" s="794" t="e">
        <f t="shared" si="363"/>
        <v>#VALUE!</v>
      </c>
      <c r="EV83" s="795" t="e">
        <f t="shared" si="364"/>
        <v>#VALUE!</v>
      </c>
      <c r="EW83" s="796" t="s">
        <v>757</v>
      </c>
      <c r="EX83" s="796" t="s">
        <v>757</v>
      </c>
      <c r="EY83" s="794">
        <v>0</v>
      </c>
      <c r="EZ83" s="794" t="e">
        <v>#N/A</v>
      </c>
      <c r="FA83" s="712"/>
      <c r="FB83" s="712"/>
      <c r="FC83" s="712"/>
      <c r="FD83" s="712"/>
      <c r="FE83" s="712">
        <f>O83+Sheet1!CO83</f>
        <v>47.959999999999127</v>
      </c>
      <c r="FF83" s="712">
        <f>IF(Sheet1!AA83+AG83&lt;=Calculation!N83,AG83,Calculation!N83-Sheet1!AA83)</f>
        <v>16.208847624248786</v>
      </c>
      <c r="FG83" s="712">
        <f>(Sheet1!BP83+Sheet1!BO83)/694.4</f>
        <v>1.2963709677419355</v>
      </c>
      <c r="FH83" s="712"/>
      <c r="FI83" s="712"/>
      <c r="FJ83" s="712"/>
      <c r="FK83" s="712"/>
      <c r="FL83" s="714">
        <f t="shared" si="381"/>
        <v>40753</v>
      </c>
      <c r="FM83" s="714">
        <f t="shared" si="382"/>
        <v>40851</v>
      </c>
      <c r="FN83" s="712"/>
      <c r="FO83" s="712"/>
      <c r="FP83" s="712"/>
      <c r="FQ83" s="712"/>
      <c r="FR83" s="712"/>
      <c r="FS83" s="725">
        <f t="shared" si="383"/>
        <v>40603</v>
      </c>
      <c r="FT83" s="714">
        <f t="shared" si="384"/>
        <v>40709</v>
      </c>
      <c r="FU83" s="712">
        <f t="shared" si="385"/>
        <v>6518.9048239895692</v>
      </c>
      <c r="FV83" s="714">
        <f t="shared" si="386"/>
        <v>40722</v>
      </c>
      <c r="FW83" s="712">
        <f t="shared" si="387"/>
        <v>3259.4524119947846</v>
      </c>
      <c r="FX83" s="725">
        <f t="shared" si="388"/>
        <v>40851</v>
      </c>
      <c r="FZ83" s="697">
        <f t="shared" si="365"/>
        <v>0</v>
      </c>
      <c r="GA83" s="712" t="str">
        <f t="shared" si="343"/>
        <v/>
      </c>
      <c r="GB83" s="712">
        <f t="shared" si="344"/>
        <v>0</v>
      </c>
      <c r="GC83" s="712" t="str">
        <f t="shared" si="345"/>
        <v/>
      </c>
      <c r="GD83" s="712">
        <f>IF(GA83="P",Lookup!$M$12,IF(GA83="PP",Lookup!$M$13,IF(GA83="PPP",Lookup!$M$14,IF(GA83="T",Lookup!$M$15,IF(GA83="TP",Lookup!$M$16,IF(GA83="TPP",Lookup!$M$17,IF(GA83="TPPP",Lookup!$M$18,0)))))))*FZ83</f>
        <v>0</v>
      </c>
      <c r="GE83" s="712">
        <f t="shared" si="346"/>
        <v>0</v>
      </c>
      <c r="GF83" s="712">
        <f t="shared" si="347"/>
        <v>826.31466666666665</v>
      </c>
      <c r="GG83" s="712">
        <f t="shared" si="348"/>
        <v>269.33333333333331</v>
      </c>
      <c r="GH83" s="712"/>
      <c r="GI83" s="712">
        <f t="shared" si="349"/>
        <v>0</v>
      </c>
      <c r="GJ83" s="712" t="str">
        <f t="shared" si="350"/>
        <v/>
      </c>
      <c r="GK83" s="712">
        <f>IF(GA83="P",Lookup!$N$12,IF(GA83="PP",Lookup!$N$13,IF(GA83="PPP",Lookup!$N$14,IF(GA83="T",Lookup!$N$15,IF(GA83="TP",Lookup!$N$16,IF(GA83="TPP",Lookup!$N$17,IF(GA83="TPPP",Lookup!$N$18,0)))))))*FZ83</f>
        <v>0</v>
      </c>
      <c r="GL83" s="712">
        <f t="shared" si="351"/>
        <v>0</v>
      </c>
      <c r="GM83" s="712">
        <f t="shared" si="352"/>
        <v>385.61351111111117</v>
      </c>
      <c r="GN83" s="712">
        <f t="shared" si="353"/>
        <v>125.68888888888891</v>
      </c>
      <c r="GO83" s="712"/>
      <c r="GP83" s="712">
        <f t="shared" si="354"/>
        <v>0</v>
      </c>
      <c r="GQ83" s="712" t="str">
        <f t="shared" si="355"/>
        <v/>
      </c>
      <c r="GR83" s="712">
        <f>IF(GA83="P",Lookup!$N$12,IF(GA83="PP",Lookup!$N$13,IF(GA83="PPP",Lookup!$N$14,IF(GA83="T",Lookup!$N$15,IF(GA83="TP",Lookup!$N$16,IF(GA83="TPP",Lookup!$N$17,IF(GA83="TPPP",Lookup!$N$18,0)))))))*FZ83</f>
        <v>0</v>
      </c>
      <c r="GS83" s="697">
        <f t="shared" si="377"/>
        <v>0</v>
      </c>
      <c r="GT83" s="712">
        <f t="shared" si="356"/>
        <v>324.79338639142844</v>
      </c>
      <c r="GU83" s="712">
        <f t="shared" si="357"/>
        <v>105.86485866734955</v>
      </c>
      <c r="GV83" s="712"/>
      <c r="GW83" s="712">
        <f t="shared" si="358"/>
        <v>0</v>
      </c>
      <c r="GX83" s="712" t="str">
        <f t="shared" si="359"/>
        <v/>
      </c>
      <c r="GY83" s="712">
        <f>IF(GA83="P",Lookup!$N$12,IF(GA83="PP",Lookup!$N$13,IF(GA83="PPP",Lookup!$N$14,IF(GA83="T",Lookup!$N$15,IF(GA83="TP",Lookup!$N$16,IF(GA83="TPP",Lookup!$N$17,IF(GA83="TPPP",Lookup!$N$18,0)))))))*FZ83</f>
        <v>0</v>
      </c>
      <c r="GZ83" s="697">
        <f t="shared" si="378"/>
        <v>0</v>
      </c>
      <c r="HA83" s="712">
        <f t="shared" si="360"/>
        <v>236.14330918915419</v>
      </c>
      <c r="HB83" s="712">
        <f t="shared" si="361"/>
        <v>76.969787871301889</v>
      </c>
      <c r="HC83" s="712"/>
    </row>
    <row r="84" spans="1:211">
      <c r="A84" s="773" t="s">
        <v>8</v>
      </c>
      <c r="B84" s="708">
        <v>40613</v>
      </c>
      <c r="C84" s="709">
        <v>0.5</v>
      </c>
      <c r="D84" s="675">
        <f t="shared" si="366"/>
        <v>300</v>
      </c>
      <c r="E84" s="675">
        <f t="shared" si="367"/>
        <v>250</v>
      </c>
      <c r="F84" s="675">
        <v>250</v>
      </c>
      <c r="G84" s="712">
        <f>DH84+Sheet1!CV84</f>
        <v>1496.9285989740424</v>
      </c>
      <c r="H84" s="712">
        <f t="shared" si="294"/>
        <v>700.65144637682101</v>
      </c>
      <c r="I84" s="711">
        <f>MAX(Sheet1!Z84-AJ84+(Sheet1!CW84-E84)*CFStoMGD,0)</f>
        <v>1511.0519999999972</v>
      </c>
      <c r="J84" s="720">
        <f>IF(AND(B84&gt;=Calculation!FS84,B84&lt;=Calculation!FT84),IF(Sheet1!CX84&gt;=Calculation!D84,64.64,0),MAX(Sheet1!Z84-AJ84+(Sheet1!CX84-D84)*CFStoMGD,0))</f>
        <v>64.64</v>
      </c>
      <c r="K84" s="697">
        <f t="shared" si="368"/>
        <v>64.64</v>
      </c>
      <c r="L84" s="712">
        <f>Sheet1!AA84+Sheet1!AB84-Sheet1!L84+(Sheet1!CW84-F84)*CFStoMGD</f>
        <v>1520.3020000000013</v>
      </c>
      <c r="M84" s="712">
        <f t="shared" si="295"/>
        <v>986.96693930435742</v>
      </c>
      <c r="N84" s="712">
        <f>IF(Sheet1!CW84&gt;=F84,MIN(73,MIN(MAX(L84,0),MAX(M84,0))),0)</f>
        <v>73</v>
      </c>
      <c r="O84" s="721">
        <f>Sheet1!AA84+Sheet1!AB84</f>
        <v>45.860000000000582</v>
      </c>
      <c r="P84" s="721">
        <f t="shared" si="296"/>
        <v>70.945420000000894</v>
      </c>
      <c r="Q84" s="712">
        <f>MIN(N84,Sheet1!AA84+AG84)</f>
        <v>45.860000000000582</v>
      </c>
      <c r="R84" s="712">
        <f t="shared" si="297"/>
        <v>0</v>
      </c>
      <c r="S84" s="721">
        <f>Sheet1!Y84*MGDtoCFS</f>
        <v>46.440939999999998</v>
      </c>
      <c r="T84" s="721">
        <f>Sheet1!Z84*MGDtoCFS</f>
        <v>23.498929999999998</v>
      </c>
      <c r="U84" s="721">
        <f>Sheet1!AA84*MGDtoCFS</f>
        <v>47.276319999996396</v>
      </c>
      <c r="V84" s="721">
        <f>Sheet1!AB84*MGDtoCFS</f>
        <v>23.669100000004502</v>
      </c>
      <c r="W84" s="721">
        <f>Sheet1!L84*MGDtoCFS</f>
        <v>56.805839999998987</v>
      </c>
      <c r="X84" s="697">
        <f t="shared" si="369"/>
        <v>0</v>
      </c>
      <c r="Y84" s="712">
        <f t="shared" si="298"/>
        <v>0</v>
      </c>
      <c r="Z84" s="712">
        <f t="shared" si="299"/>
        <v>64.64</v>
      </c>
      <c r="AA84" s="712">
        <f t="shared" si="300"/>
        <v>99.998080000000002</v>
      </c>
      <c r="AB84" s="712">
        <f>(VLOOKUP(Sheet1!CY84,hhdcap_wcm,4)-(((VLOOKUP(Sheet1!CY84,hhdcap_wcm,3)-Sheet1!CY84)/(VLOOKUP(Sheet1!CY84,hhdcap_wcm,3)-VLOOKUP(Sheet1!CY84,hhdcap_wcm,1)))*(VLOOKUP(Sheet1!CY84,hhdcap_wcm,4)-VLOOKUP(Sheet1!CY84,hhdcap_wcm,2))))</f>
        <v>4852.1400000080876</v>
      </c>
      <c r="AC84" s="712">
        <f t="shared" si="301"/>
        <v>446.50000000082036</v>
      </c>
      <c r="AD84" s="712">
        <f t="shared" si="370"/>
        <v>642.49686876087367</v>
      </c>
      <c r="AE84" s="712">
        <f t="shared" si="302"/>
        <v>1971.1803933583606</v>
      </c>
      <c r="AF84" s="712">
        <f>Sheet1!BA84+Sheet1!BB84+Sheet1!BN84+BT84</f>
        <v>15</v>
      </c>
      <c r="AG84" s="712">
        <f t="shared" si="303"/>
        <v>15.30000000000291</v>
      </c>
      <c r="AH84" s="712">
        <f>Sheet1!BA84+BT84</f>
        <v>0</v>
      </c>
      <c r="AI84" s="712">
        <f>Sheet1!BA84+Sheet1!BB84+BT84</f>
        <v>0</v>
      </c>
      <c r="AJ84" s="712">
        <f>IF((Sheet1!AA84+AG84+AX84+AZ84+BQ84+BS84+CL84+CN84)&lt;=N84,AG84+AX84+AZ84+BQ84+BS84+CL84+CN84,N84-Sheet1!AA84)</f>
        <v>15.30000000000291</v>
      </c>
      <c r="AK84" s="712">
        <f>IF(DR84&lt;K84,0,MAX(Sheet1!AA84+AG84-15/36*K84-N84,Sheet1!ED84,0))</f>
        <v>0</v>
      </c>
      <c r="AL84" s="712">
        <f>IF(OR(B84&gt;=FT84,B84&lt;FS84),0,15/36*K84-MAX(0,64.6-(137.6-(Sheet1!AA84+Sheet1!AB84))))</f>
        <v>26.933333333333334</v>
      </c>
      <c r="AM84" s="712">
        <f>Sheet1!CX84-110</f>
        <v>1233.8541666666667</v>
      </c>
      <c r="AN84" s="712">
        <f>Sheet1!CW84-265</f>
        <v>2322.8125</v>
      </c>
      <c r="AO84" s="712">
        <f t="shared" si="371"/>
        <v>27.139999999999418</v>
      </c>
      <c r="AP84" s="712">
        <f t="shared" si="372"/>
        <v>0</v>
      </c>
      <c r="AQ84" s="712">
        <f t="shared" si="304"/>
        <v>0</v>
      </c>
      <c r="AR84" s="712">
        <f t="shared" si="305"/>
        <v>296.26666666666665</v>
      </c>
      <c r="AS84" s="712"/>
      <c r="AT84" s="712">
        <f ca="1">IF(B84&gt;Summary!$A$1,#N/A,AR84*MGtoAF)</f>
        <v>908.94613333333325</v>
      </c>
      <c r="AU84" s="712">
        <f>Sheet1!BG84+Sheet1!BH84+Sheet1!BI84-BC84</f>
        <v>0</v>
      </c>
      <c r="AV84" s="712">
        <f t="shared" si="306"/>
        <v>0</v>
      </c>
      <c r="AW84" s="712">
        <f>IF(Sheet1!EL84="FM",BC84,0)</f>
        <v>0</v>
      </c>
      <c r="AX84" s="712">
        <f t="shared" si="307"/>
        <v>0</v>
      </c>
      <c r="AY84" s="712">
        <f>IF(Sheet1!EL84="OTHER",BC84,0)</f>
        <v>0</v>
      </c>
      <c r="AZ84" s="712">
        <f t="shared" si="308"/>
        <v>0</v>
      </c>
      <c r="BA84" s="712">
        <f t="shared" si="309"/>
        <v>0</v>
      </c>
      <c r="BB84" s="712">
        <f t="shared" si="310"/>
        <v>0</v>
      </c>
      <c r="BC84" s="712">
        <f>IF(OR(Sheet1!EL84="FM", Sheet1!EL84="OTHER"),SUM(Sheet1!BG84:'Sheet1'!BI84),0)</f>
        <v>0</v>
      </c>
      <c r="BD84" s="697">
        <f>IF(AND($B84&gt;=$FL84,$B84&lt;=$FM84),MAX(AV84,Sheet1!EE84,0),MAX(AV84-(7/36)*$K84,0))</f>
        <v>0</v>
      </c>
      <c r="BE84" s="712">
        <f t="shared" si="311"/>
        <v>12.568888888888889</v>
      </c>
      <c r="BF84" s="697">
        <f t="shared" si="373"/>
        <v>0</v>
      </c>
      <c r="BG84" s="697">
        <f>IF(AND($O84&gt;0,Sheet1!EI84=1),(1-($O84-Sheet1!$L84)/$O84)*BB84,0)</f>
        <v>0</v>
      </c>
      <c r="BH84" s="697">
        <f>IF(AND(Sheet1!$L84=0,Sheet1!$L83=0, Calculation!BA84&lt;Sheet1!$EE84-0.1,Sheet1!$EE84=Sheet1!$EE83,Sheet1!$EE84=Sheet1!$EE85),Sheet1!$EE84,BB84-BG84)</f>
        <v>0</v>
      </c>
      <c r="BI84" s="712"/>
      <c r="BJ84" s="712"/>
      <c r="BK84" s="712">
        <f t="shared" si="312"/>
        <v>138.25777777777779</v>
      </c>
      <c r="BL84" s="712"/>
      <c r="BM84" s="712">
        <f ca="1">IF(B84&gt;Summary!$A$1,#N/A,BK84*MGtoAF)</f>
        <v>424.17486222222226</v>
      </c>
      <c r="BN84" s="712">
        <f>Sheet1!BC84+Sheet1!BD84+Sheet1!BE84+Sheet1!BF84-BW84-BX84</f>
        <v>0</v>
      </c>
      <c r="BO84" s="712">
        <f t="shared" si="313"/>
        <v>0</v>
      </c>
      <c r="BP84" s="712">
        <f>IF(Sheet1!EM84="FM",BX84,0)</f>
        <v>0</v>
      </c>
      <c r="BQ84" s="712">
        <f t="shared" si="314"/>
        <v>0</v>
      </c>
      <c r="BR84" s="712">
        <f>IF(Sheet1!EM84="OTHER",BX84,0)</f>
        <v>0</v>
      </c>
      <c r="BS84" s="712">
        <f t="shared" si="315"/>
        <v>0</v>
      </c>
      <c r="BT84" s="712">
        <f t="shared" si="316"/>
        <v>0</v>
      </c>
      <c r="BU84" s="712">
        <f t="shared" si="317"/>
        <v>0</v>
      </c>
      <c r="BV84" s="712">
        <f t="shared" si="318"/>
        <v>0</v>
      </c>
      <c r="BW84" s="712">
        <f>IF(Sheet1!EM84="CWA",SUM(Sheet1!BC84:'Sheet1'!BF84),0)</f>
        <v>0</v>
      </c>
      <c r="BX84" s="712">
        <f>IF(OR(Sheet1!EM84="FM", Sheet1!EM84="OTHER"),SUM(Sheet1!BC84:'Sheet1'!BF84),0)</f>
        <v>0</v>
      </c>
      <c r="BY84" s="697">
        <f>IF(AND($B84&gt;=$FL84,$B84&lt;=$FM84),MAX(BV84,Sheet1!EF84,0),MAX(BV84-(7/36)*$K84,0))</f>
        <v>0</v>
      </c>
      <c r="BZ84" s="712">
        <f t="shared" si="319"/>
        <v>12.568888888888889</v>
      </c>
      <c r="CA84" s="697">
        <f t="shared" si="374"/>
        <v>0</v>
      </c>
      <c r="CB84" s="697">
        <f>IF(AND($O84&gt;0,Sheet1!EJ84=1),(1-($O84-Sheet1!$L84)/$O84)*BV84,0)</f>
        <v>0</v>
      </c>
      <c r="CC84" s="697">
        <f>IF(AND(Sheet1!$L84=0,Sheet1!$L83=0, Calculation!BU84&lt;Sheet1!EF84-0.1,Sheet1!EF84=Sheet1!EF83,Sheet1!EF84=Sheet1!EF85),Sheet1!EF84,BV84-CB84)</f>
        <v>0</v>
      </c>
      <c r="CD84" s="697"/>
      <c r="CE84" s="712"/>
      <c r="CF84" s="712">
        <f t="shared" si="320"/>
        <v>118.43374755623844</v>
      </c>
      <c r="CG84" s="712"/>
      <c r="CH84" s="712">
        <f ca="1">IF(B84&gt;Summary!$A$1,#N/A,CF84*MGtoAF)</f>
        <v>363.35473750253954</v>
      </c>
      <c r="CI84" s="712">
        <f>Sheet1!BK84+Sheet1!BL84+Sheet1!BM84-Sheet1!EN84-CQ84</f>
        <v>0</v>
      </c>
      <c r="CJ84" s="712">
        <f t="shared" si="321"/>
        <v>0</v>
      </c>
      <c r="CK84" s="712">
        <f>IF(Sheet1!EN84="FM",CQ84,0)</f>
        <v>0</v>
      </c>
      <c r="CL84" s="712">
        <f t="shared" si="322"/>
        <v>0</v>
      </c>
      <c r="CM84" s="712">
        <f>IF(Sheet1!EN84="OTHER",CQ84,0)</f>
        <v>0</v>
      </c>
      <c r="CN84" s="712">
        <f t="shared" si="323"/>
        <v>0</v>
      </c>
      <c r="CO84" s="712">
        <f t="shared" si="324"/>
        <v>0</v>
      </c>
      <c r="CP84" s="712">
        <f t="shared" si="325"/>
        <v>0</v>
      </c>
      <c r="CQ84" s="712">
        <f>IF(OR(Sheet1!EN84="FM", Sheet1!EN84="OTHER"),SUM(Sheet1!BK84:'Sheet1'!BM84),0)</f>
        <v>0</v>
      </c>
      <c r="CR84" s="697">
        <f>IF(AND($B84&gt;=$FL84,$B84&lt;=$FM84),MAX($CJ84,Sheet1!EG84,0),MAX($CJ84-(7/36)*$K84,0))</f>
        <v>0</v>
      </c>
      <c r="CS84" s="712">
        <f t="shared" si="326"/>
        <v>12.568888888888889</v>
      </c>
      <c r="CT84" s="697">
        <f t="shared" si="375"/>
        <v>0</v>
      </c>
      <c r="CU84" s="697">
        <f>IF(AND($O84&gt;0,Sheet1!EK84=1),(1-($O84-Sheet1!$L84)/$O84)*CP84,0)</f>
        <v>0</v>
      </c>
      <c r="CV84" s="697">
        <f>IF(AND(Sheet1!$L84=0,Sheet1!$L83=0, Calculation!CO84&lt;Sheet1!$EG84-0.1,Sheet1!$EG84=Sheet1!$EG83,Sheet1!$EG84=Sheet1!$EG85),Sheet1!$EG84,CP84-CU84)</f>
        <v>0</v>
      </c>
      <c r="CW84" s="697">
        <f t="shared" si="362"/>
        <v>0</v>
      </c>
      <c r="CX84" s="712">
        <f t="shared" si="379"/>
        <v>0</v>
      </c>
      <c r="CY84" s="712">
        <f t="shared" si="327"/>
        <v>89.538676760190782</v>
      </c>
      <c r="CZ84" s="712">
        <f t="shared" si="328"/>
        <v>0</v>
      </c>
      <c r="DA84" s="712">
        <f ca="1">IF(B84&gt;Summary!$A$1,#N/A,CY84*MGtoAF)</f>
        <v>274.70466030026535</v>
      </c>
      <c r="DB84" s="712">
        <f t="shared" si="329"/>
        <v>0</v>
      </c>
      <c r="DC84" s="712">
        <f t="shared" si="330"/>
        <v>15</v>
      </c>
      <c r="DD84" s="712">
        <f>Sheet1!AB84-DC84</f>
        <v>0.30000000000291038</v>
      </c>
      <c r="DE84" s="712">
        <f t="shared" si="331"/>
        <v>2.0000000000194026E-2</v>
      </c>
      <c r="DF84" s="712">
        <f>(VLOOKUP(Sheet1!CY84,hhdcap_wcm,4)-(((VLOOKUP(Sheet1!CY84,hhdcap_wcm,3)-Sheet1!CY84)/(VLOOKUP(Sheet1!CY84,hhdcap_wcm,3)-VLOOKUP(Sheet1!CY84,hhdcap_wcm,1)))*(VLOOKUP(Sheet1!CY84,hhdcap_wcm,4)-VLOOKUP(Sheet1!CY84,hhdcap_wcm,2))))</f>
        <v>4852.1400000080876</v>
      </c>
      <c r="DG84" s="712">
        <f t="shared" si="332"/>
        <v>446.50000000082036</v>
      </c>
      <c r="DH84" s="712">
        <f t="shared" si="333"/>
        <v>225.16389309168952</v>
      </c>
      <c r="DI84" s="712">
        <f>Sheet1!DW84*AFtoMG</f>
        <v>0</v>
      </c>
      <c r="DJ84" s="712">
        <f>Sheet1!DX84*AFtoMG</f>
        <v>0</v>
      </c>
      <c r="DK84" s="712">
        <f>Sheet1!DY84*AFtoMG</f>
        <v>0</v>
      </c>
      <c r="DL84" s="712">
        <f>Sheet1!DZ84*AFtoMG</f>
        <v>0</v>
      </c>
      <c r="DM84" s="712">
        <f t="shared" si="334"/>
        <v>0</v>
      </c>
      <c r="DN84" s="712">
        <f t="shared" si="335"/>
        <v>0</v>
      </c>
      <c r="DO84" s="712">
        <f t="shared" si="336"/>
        <v>642.49686876087367</v>
      </c>
      <c r="DP84" s="712">
        <f t="shared" si="337"/>
        <v>1971.1803933583606</v>
      </c>
      <c r="DQ84" s="712"/>
      <c r="DR84" s="697">
        <f>IF(OR(B84&lt;FL84,B84&gt;FM84),(MIN(AV84+BO84+CJ84+MAX(Sheet1!AA84+AG84-73,0),K84)),0)</f>
        <v>0</v>
      </c>
      <c r="DS84" s="712"/>
      <c r="DT84" s="712">
        <f t="shared" si="338"/>
        <v>0</v>
      </c>
      <c r="DU84" s="712"/>
      <c r="DV84" s="712">
        <f>Sheet1!ED84+Sheet1!EE84+Sheet1!EF84+Sheet1!EG84</f>
        <v>8.5</v>
      </c>
      <c r="DW84" s="712"/>
      <c r="DX84" s="697">
        <f t="shared" si="376"/>
        <v>0</v>
      </c>
      <c r="DY84" s="712">
        <f>IF(Sheet1!FN84=1,SUM('Calculations II'!AT84:BA84)+'Calculations II'!BC84+Sheet1!BU84+'Calculations II'!BE84+AF84,SUM('Calculations II'!AT84:BA84)+'Calculations II'!BC84+Sheet1!BU84+'Calculations II'!BE84+AF84)</f>
        <v>46.019152000000005</v>
      </c>
      <c r="DZ84" s="712">
        <f>Sheet1!AA84+Sheet1!AB84+'Calculations II'!BC84</f>
        <v>45.860000000000582</v>
      </c>
      <c r="EA84" s="712"/>
      <c r="EB84" s="712"/>
      <c r="EC84" s="712">
        <f t="shared" si="339"/>
        <v>40613</v>
      </c>
      <c r="ED84" s="712">
        <f t="shared" si="340"/>
        <v>64.64</v>
      </c>
      <c r="EE84" s="712">
        <f t="shared" si="341"/>
        <v>99.998080000000002</v>
      </c>
      <c r="EF84" s="712">
        <f>-(VLOOKUP(Sheet1!BQ84,Lookup!$B$4:$J$236,2)-VLOOKUP(Sheet1!BQ83,Lookup!$B$4:$J$236,2))/1000000</f>
        <v>0.54100000000000004</v>
      </c>
      <c r="EG84" s="712">
        <f>-(VLOOKUP(Sheet1!BR84,Lookup!$B$4:$J$236,3)-VLOOKUP(Sheet1!BR83,Lookup!$B$4:$J$236,3))/1000000</f>
        <v>0.27</v>
      </c>
      <c r="EH84" s="712">
        <f>-(VLOOKUP(Sheet1!BS84,Lookup!$B$4:$J$236,4)-VLOOKUP(Sheet1!BS83,Lookup!$B$4:$J$236,4))/1000000</f>
        <v>0</v>
      </c>
      <c r="EI84" s="697">
        <f t="shared" si="380"/>
        <v>0.81100000000000005</v>
      </c>
      <c r="EJ84" s="712"/>
      <c r="EK84" s="712"/>
      <c r="EL84" s="712"/>
      <c r="EM84" s="712"/>
      <c r="EN84" s="712"/>
      <c r="EO84" s="712"/>
      <c r="EP84" s="712"/>
      <c r="EQ84" s="712"/>
      <c r="ER84" s="697">
        <v>0</v>
      </c>
      <c r="ES84" s="712"/>
      <c r="ET84" s="794" t="e">
        <f t="shared" si="342"/>
        <v>#N/A</v>
      </c>
      <c r="EU84" s="794" t="e">
        <f t="shared" si="363"/>
        <v>#VALUE!</v>
      </c>
      <c r="EV84" s="795" t="e">
        <f t="shared" si="364"/>
        <v>#VALUE!</v>
      </c>
      <c r="EW84" s="796" t="s">
        <v>757</v>
      </c>
      <c r="EX84" s="796" t="s">
        <v>757</v>
      </c>
      <c r="EY84" s="794">
        <v>0</v>
      </c>
      <c r="EZ84" s="794" t="e">
        <v>#N/A</v>
      </c>
      <c r="FA84" s="712"/>
      <c r="FB84" s="712"/>
      <c r="FC84" s="712"/>
      <c r="FD84" s="712"/>
      <c r="FE84" s="712">
        <f>O84+Sheet1!CO84</f>
        <v>45.860000000000582</v>
      </c>
      <c r="FF84" s="712">
        <f>IF(Sheet1!AA84+AG84&lt;=Calculation!N84,AG84,Calculation!N84-Sheet1!AA84)</f>
        <v>15.30000000000291</v>
      </c>
      <c r="FG84" s="712">
        <f>(Sheet1!BP84+Sheet1!BO84)/694.4</f>
        <v>2.1575460829493087</v>
      </c>
      <c r="FH84" s="712"/>
      <c r="FI84" s="712"/>
      <c r="FJ84" s="712"/>
      <c r="FK84" s="712"/>
      <c r="FL84" s="714">
        <f t="shared" si="381"/>
        <v>40753</v>
      </c>
      <c r="FM84" s="714">
        <f t="shared" si="382"/>
        <v>40851</v>
      </c>
      <c r="FN84" s="712"/>
      <c r="FO84" s="712"/>
      <c r="FP84" s="712"/>
      <c r="FQ84" s="712"/>
      <c r="FR84" s="712"/>
      <c r="FS84" s="725">
        <f t="shared" si="383"/>
        <v>40603</v>
      </c>
      <c r="FT84" s="714">
        <f t="shared" si="384"/>
        <v>40709</v>
      </c>
      <c r="FU84" s="712">
        <f t="shared" si="385"/>
        <v>6518.9048239895692</v>
      </c>
      <c r="FV84" s="714">
        <f t="shared" si="386"/>
        <v>40722</v>
      </c>
      <c r="FW84" s="712">
        <f t="shared" si="387"/>
        <v>3259.4524119947846</v>
      </c>
      <c r="FX84" s="725">
        <f t="shared" si="388"/>
        <v>40851</v>
      </c>
      <c r="FZ84" s="697">
        <f t="shared" si="365"/>
        <v>0</v>
      </c>
      <c r="GA84" s="712" t="str">
        <f t="shared" si="343"/>
        <v/>
      </c>
      <c r="GB84" s="712">
        <f t="shared" si="344"/>
        <v>0</v>
      </c>
      <c r="GC84" s="712" t="str">
        <f t="shared" si="345"/>
        <v/>
      </c>
      <c r="GD84" s="712">
        <f>IF(GA84="P",Lookup!$M$12,IF(GA84="PP",Lookup!$M$13,IF(GA84="PPP",Lookup!$M$14,IF(GA84="T",Lookup!$M$15,IF(GA84="TP",Lookup!$M$16,IF(GA84="TPP",Lookup!$M$17,IF(GA84="TPPP",Lookup!$M$18,0)))))))*FZ84</f>
        <v>0</v>
      </c>
      <c r="GE84" s="712">
        <f t="shared" si="346"/>
        <v>0</v>
      </c>
      <c r="GF84" s="712">
        <f t="shared" si="347"/>
        <v>908.94613333333325</v>
      </c>
      <c r="GG84" s="712">
        <f t="shared" si="348"/>
        <v>296.26666666666665</v>
      </c>
      <c r="GH84" s="712"/>
      <c r="GI84" s="712">
        <f t="shared" si="349"/>
        <v>0</v>
      </c>
      <c r="GJ84" s="712" t="str">
        <f t="shared" si="350"/>
        <v/>
      </c>
      <c r="GK84" s="712">
        <f>IF(GA84="P",Lookup!$N$12,IF(GA84="PP",Lookup!$N$13,IF(GA84="PPP",Lookup!$N$14,IF(GA84="T",Lookup!$N$15,IF(GA84="TP",Lookup!$N$16,IF(GA84="TPP",Lookup!$N$17,IF(GA84="TPPP",Lookup!$N$18,0)))))))*FZ84</f>
        <v>0</v>
      </c>
      <c r="GL84" s="712">
        <f t="shared" si="351"/>
        <v>0</v>
      </c>
      <c r="GM84" s="712">
        <f t="shared" si="352"/>
        <v>424.17486222222226</v>
      </c>
      <c r="GN84" s="712">
        <f t="shared" si="353"/>
        <v>138.25777777777779</v>
      </c>
      <c r="GO84" s="712"/>
      <c r="GP84" s="712">
        <f t="shared" si="354"/>
        <v>0</v>
      </c>
      <c r="GQ84" s="712" t="str">
        <f t="shared" si="355"/>
        <v/>
      </c>
      <c r="GR84" s="712">
        <f>IF(GA84="P",Lookup!$N$12,IF(GA84="PP",Lookup!$N$13,IF(GA84="PPP",Lookup!$N$14,IF(GA84="T",Lookup!$N$15,IF(GA84="TP",Lookup!$N$16,IF(GA84="TPP",Lookup!$N$17,IF(GA84="TPPP",Lookup!$N$18,0)))))))*FZ84</f>
        <v>0</v>
      </c>
      <c r="GS84" s="697">
        <f t="shared" si="377"/>
        <v>0</v>
      </c>
      <c r="GT84" s="712">
        <f t="shared" si="356"/>
        <v>363.35473750253954</v>
      </c>
      <c r="GU84" s="712">
        <f t="shared" si="357"/>
        <v>118.43374755623844</v>
      </c>
      <c r="GV84" s="712"/>
      <c r="GW84" s="712">
        <f t="shared" si="358"/>
        <v>0</v>
      </c>
      <c r="GX84" s="712" t="str">
        <f t="shared" si="359"/>
        <v/>
      </c>
      <c r="GY84" s="712">
        <f>IF(GA84="P",Lookup!$N$12,IF(GA84="PP",Lookup!$N$13,IF(GA84="PPP",Lookup!$N$14,IF(GA84="T",Lookup!$N$15,IF(GA84="TP",Lookup!$N$16,IF(GA84="TPP",Lookup!$N$17,IF(GA84="TPPP",Lookup!$N$18,0)))))))*FZ84</f>
        <v>0</v>
      </c>
      <c r="GZ84" s="697">
        <f t="shared" si="378"/>
        <v>0</v>
      </c>
      <c r="HA84" s="712">
        <f t="shared" si="360"/>
        <v>274.70466030026535</v>
      </c>
      <c r="HB84" s="712">
        <f t="shared" si="361"/>
        <v>89.538676760190782</v>
      </c>
      <c r="HC84" s="712"/>
    </row>
    <row r="85" spans="1:211">
      <c r="A85" s="773" t="s">
        <v>9</v>
      </c>
      <c r="B85" s="708">
        <v>40614</v>
      </c>
      <c r="C85" s="719">
        <v>0.5</v>
      </c>
      <c r="D85" s="675">
        <f t="shared" si="366"/>
        <v>300</v>
      </c>
      <c r="E85" s="675">
        <f t="shared" si="367"/>
        <v>250</v>
      </c>
      <c r="F85" s="710">
        <v>250</v>
      </c>
      <c r="G85" s="712">
        <f>DH85+Sheet1!CV85</f>
        <v>1207.4624899888615</v>
      </c>
      <c r="H85" s="712">
        <f t="shared" si="294"/>
        <v>513.54055352880005</v>
      </c>
      <c r="I85" s="711">
        <f>MAX(Sheet1!Z85-AJ85+(Sheet1!CW85-E85)*CFStoMGD,0)</f>
        <v>1145.8914484356919</v>
      </c>
      <c r="J85" s="720">
        <f>IF(AND(B85&gt;=Calculation!FS85,B85&lt;=Calculation!FT85),IF(Sheet1!CX85&gt;=Calculation!D85,64.64,0),MAX(Sheet1!Z85-AJ85+(Sheet1!CX85-D85)*CFStoMGD,0))</f>
        <v>64.64</v>
      </c>
      <c r="K85" s="697">
        <f t="shared" si="368"/>
        <v>64.64</v>
      </c>
      <c r="L85" s="712">
        <f>Sheet1!AA85+Sheet1!AB85-Sheet1!L85+(Sheet1!CW85-F85)*CFStoMGD</f>
        <v>1181.1900000000003</v>
      </c>
      <c r="M85" s="712">
        <f t="shared" si="295"/>
        <v>796.11382859937612</v>
      </c>
      <c r="N85" s="712">
        <f>IF(Sheet1!CW85&gt;=F85,MIN(73,MIN(MAX(L85,0),MAX(M85,0))),0)</f>
        <v>73</v>
      </c>
      <c r="O85" s="721">
        <f>Sheet1!AA85+Sheet1!AB85</f>
        <v>47</v>
      </c>
      <c r="P85" s="721">
        <f t="shared" si="296"/>
        <v>72.708999999999989</v>
      </c>
      <c r="Q85" s="712">
        <f>MIN(N85,Sheet1!AA85+AG85)</f>
        <v>44.548551564310955</v>
      </c>
      <c r="R85" s="712">
        <f t="shared" si="297"/>
        <v>2.4514484356890405</v>
      </c>
      <c r="S85" s="721">
        <f>Sheet1!Y85*MGDtoCFS</f>
        <v>46.874099999999999</v>
      </c>
      <c r="T85" s="721">
        <f>Sheet1!Z85*MGDtoCFS</f>
        <v>23.6691</v>
      </c>
      <c r="U85" s="721">
        <f>Sheet1!AA85*MGDtoCFS</f>
        <v>46.100600000004498</v>
      </c>
      <c r="V85" s="721">
        <f>Sheet1!AB85*MGDtoCFS</f>
        <v>26.608399999995495</v>
      </c>
      <c r="W85" s="721">
        <f>Sheet1!L85*MGDtoCFS</f>
        <v>17.249049999999436</v>
      </c>
      <c r="X85" s="697">
        <f t="shared" si="369"/>
        <v>0</v>
      </c>
      <c r="Y85" s="712">
        <f t="shared" si="298"/>
        <v>0</v>
      </c>
      <c r="Z85" s="712">
        <f t="shared" si="299"/>
        <v>62.188551564310963</v>
      </c>
      <c r="AA85" s="712">
        <f t="shared" si="300"/>
        <v>96.205689269989051</v>
      </c>
      <c r="AB85" s="712">
        <f>(VLOOKUP(Sheet1!CY85,hhdcap_wcm,4)-(((VLOOKUP(Sheet1!CY85,hhdcap_wcm,3)-Sheet1!CY85)/(VLOOKUP(Sheet1!CY85,hhdcap_wcm,3)-VLOOKUP(Sheet1!CY85,hhdcap_wcm,1)))*(VLOOKUP(Sheet1!CY85,hhdcap_wcm,4)-VLOOKUP(Sheet1!CY85,hhdcap_wcm,2))))</f>
        <v>5252.3400000089414</v>
      </c>
      <c r="AC85" s="712">
        <f t="shared" si="301"/>
        <v>400.20000000085383</v>
      </c>
      <c r="AD85" s="712">
        <f t="shared" si="370"/>
        <v>704.68542032518462</v>
      </c>
      <c r="AE85" s="712">
        <f t="shared" si="302"/>
        <v>2161.9748695576664</v>
      </c>
      <c r="AF85" s="712">
        <f>Sheet1!BA85+Sheet1!BB85+Sheet1!BN85+BT85</f>
        <v>14.8</v>
      </c>
      <c r="AG85" s="712">
        <f t="shared" si="303"/>
        <v>14.748551564308048</v>
      </c>
      <c r="AH85" s="712">
        <f>Sheet1!BA85+BT85</f>
        <v>0</v>
      </c>
      <c r="AI85" s="712">
        <f>Sheet1!BA85+Sheet1!BB85+BT85</f>
        <v>0</v>
      </c>
      <c r="AJ85" s="712">
        <f>IF((Sheet1!AA85+AG85+AX85+AZ85+BQ85+BS85+CL85+CN85)&lt;=N85,AG85+AX85+AZ85+BQ85+BS85+CL85+CN85,N85-Sheet1!AA85)</f>
        <v>14.748551564308048</v>
      </c>
      <c r="AK85" s="712">
        <f>IF(DR85&lt;K85,0,MAX(Sheet1!AA85+AG85-15/36*K85-N85,Sheet1!ED85,0))</f>
        <v>0</v>
      </c>
      <c r="AL85" s="712">
        <f>IF(OR(B85&gt;=FT85,B85&lt;FS85),0,15/36*K85-MAX(0,64.6-(137.6-(Sheet1!AA85+Sheet1!AB85))))</f>
        <v>26.933333333333334</v>
      </c>
      <c r="AM85" s="712">
        <f>Sheet1!CX85-110</f>
        <v>913.1875</v>
      </c>
      <c r="AN85" s="712">
        <f>Sheet1!CW85-265</f>
        <v>1756.875</v>
      </c>
      <c r="AO85" s="712">
        <f t="shared" si="371"/>
        <v>28.451448435689045</v>
      </c>
      <c r="AP85" s="712">
        <f t="shared" si="372"/>
        <v>0</v>
      </c>
      <c r="AQ85" s="712">
        <f t="shared" si="304"/>
        <v>0</v>
      </c>
      <c r="AR85" s="712">
        <f t="shared" si="305"/>
        <v>323.2</v>
      </c>
      <c r="AS85" s="712"/>
      <c r="AT85" s="712">
        <f ca="1">IF(B85&gt;Summary!$A$1,#N/A,AR85*MGtoAF)</f>
        <v>991.57759999999996</v>
      </c>
      <c r="AU85" s="712">
        <f>Sheet1!BG85+Sheet1!BH85+Sheet1!BI85-BC85</f>
        <v>0</v>
      </c>
      <c r="AV85" s="712">
        <f t="shared" si="306"/>
        <v>0</v>
      </c>
      <c r="AW85" s="712">
        <f>IF(Sheet1!EL85="FM",BC85,0)</f>
        <v>0</v>
      </c>
      <c r="AX85" s="712">
        <f t="shared" si="307"/>
        <v>0</v>
      </c>
      <c r="AY85" s="712">
        <f>IF(Sheet1!EL85="OTHER",BC85,0)</f>
        <v>0</v>
      </c>
      <c r="AZ85" s="712">
        <f t="shared" si="308"/>
        <v>0</v>
      </c>
      <c r="BA85" s="712">
        <f t="shared" si="309"/>
        <v>0</v>
      </c>
      <c r="BB85" s="712">
        <f t="shared" si="310"/>
        <v>0</v>
      </c>
      <c r="BC85" s="712">
        <f>IF(OR(Sheet1!EL85="FM", Sheet1!EL85="OTHER"),SUM(Sheet1!BG85:'Sheet1'!BI85),0)</f>
        <v>0</v>
      </c>
      <c r="BD85" s="697">
        <f>IF(AND($B85&gt;=$FL85,$B85&lt;=$FM85),MAX(AV85,Sheet1!EE85,0),MAX(AV85-(7/36)*$K85,0))</f>
        <v>0</v>
      </c>
      <c r="BE85" s="712">
        <f t="shared" si="311"/>
        <v>12.568888888888889</v>
      </c>
      <c r="BF85" s="697">
        <f t="shared" si="373"/>
        <v>0</v>
      </c>
      <c r="BG85" s="697">
        <f>IF(AND($O85&gt;0,Sheet1!EI85=1),(1-($O85-Sheet1!$L85)/$O85)*BB85,0)</f>
        <v>0</v>
      </c>
      <c r="BH85" s="697">
        <f>IF(AND(Sheet1!$L85=0,Sheet1!$L84=0, Calculation!BA85&lt;Sheet1!$EE85-0.1,Sheet1!$EE85=Sheet1!$EE84,Sheet1!$EE85=Sheet1!$EE86),Sheet1!$EE85,BB85-BG85)</f>
        <v>0</v>
      </c>
      <c r="BI85" s="712"/>
      <c r="BJ85" s="712"/>
      <c r="BK85" s="712">
        <f t="shared" si="312"/>
        <v>150.82666666666668</v>
      </c>
      <c r="BL85" s="712"/>
      <c r="BM85" s="712">
        <f ca="1">IF(B85&gt;Summary!$A$1,#N/A,BK85*MGtoAF)</f>
        <v>462.73621333333341</v>
      </c>
      <c r="BN85" s="712">
        <f>Sheet1!BC85+Sheet1!BD85+Sheet1!BE85+Sheet1!BF85-BW85-BX85</f>
        <v>0.69</v>
      </c>
      <c r="BO85" s="712">
        <f t="shared" si="313"/>
        <v>0.68760139049814539</v>
      </c>
      <c r="BP85" s="712">
        <f>IF(Sheet1!EM85="FM",BX85,0)</f>
        <v>0</v>
      </c>
      <c r="BQ85" s="712">
        <f t="shared" si="314"/>
        <v>0</v>
      </c>
      <c r="BR85" s="712">
        <f>IF(Sheet1!EM85="OTHER",BX85,0)</f>
        <v>0</v>
      </c>
      <c r="BS85" s="712">
        <f t="shared" si="315"/>
        <v>0</v>
      </c>
      <c r="BT85" s="712">
        <f t="shared" si="316"/>
        <v>0</v>
      </c>
      <c r="BU85" s="712">
        <f t="shared" si="317"/>
        <v>0.69</v>
      </c>
      <c r="BV85" s="712">
        <f t="shared" si="318"/>
        <v>0.68760139049814539</v>
      </c>
      <c r="BW85" s="712">
        <f>IF(Sheet1!EM85="CWA",SUM(Sheet1!BC85:'Sheet1'!BF85),0)</f>
        <v>0</v>
      </c>
      <c r="BX85" s="712">
        <f>IF(OR(Sheet1!EM85="FM", Sheet1!EM85="OTHER"),SUM(Sheet1!BC85:'Sheet1'!BF85),0)</f>
        <v>0</v>
      </c>
      <c r="BY85" s="697">
        <f>IF(AND($B85&gt;=$FL85,$B85&lt;=$FM85),MAX(BV85,Sheet1!EF85,0),MAX(BV85-(7/36)*$K85,0))</f>
        <v>0</v>
      </c>
      <c r="BZ85" s="712">
        <f t="shared" si="319"/>
        <v>11.881287498390744</v>
      </c>
      <c r="CA85" s="697">
        <f t="shared" si="374"/>
        <v>0.68760139049814539</v>
      </c>
      <c r="CB85" s="697">
        <f>IF(AND($O85&gt;0,Sheet1!EJ85=1),(1-($O85-Sheet1!$L85)/$O85)*BV85,0)</f>
        <v>0</v>
      </c>
      <c r="CC85" s="697">
        <f>IF(AND(Sheet1!$L85=0,Sheet1!$L84=0, Calculation!BU85&lt;Sheet1!EF85-0.1,Sheet1!EF85=Sheet1!EF84,Sheet1!EF85=Sheet1!EF86),Sheet1!EF85,BV85-CB85)</f>
        <v>0.68760139049814539</v>
      </c>
      <c r="CD85" s="697"/>
      <c r="CE85" s="712"/>
      <c r="CF85" s="712">
        <f t="shared" si="320"/>
        <v>130.31503505462919</v>
      </c>
      <c r="CG85" s="712"/>
      <c r="CH85" s="712">
        <f ca="1">IF(B85&gt;Summary!$A$1,#N/A,CF85*MGtoAF)</f>
        <v>399.80652754760234</v>
      </c>
      <c r="CI85" s="712">
        <f>Sheet1!BK85+Sheet1!BL85+Sheet1!BM85-Sheet1!EN85-CQ85</f>
        <v>1.77</v>
      </c>
      <c r="CJ85" s="712">
        <f t="shared" si="321"/>
        <v>1.763847045190895</v>
      </c>
      <c r="CK85" s="712">
        <f>IF(Sheet1!EN85="FM",CQ85,0)</f>
        <v>0</v>
      </c>
      <c r="CL85" s="712">
        <f t="shared" si="322"/>
        <v>0</v>
      </c>
      <c r="CM85" s="712">
        <f>IF(Sheet1!EN85="OTHER",CQ85,0)</f>
        <v>0</v>
      </c>
      <c r="CN85" s="712">
        <f t="shared" si="323"/>
        <v>0</v>
      </c>
      <c r="CO85" s="712">
        <f t="shared" si="324"/>
        <v>1.77</v>
      </c>
      <c r="CP85" s="712">
        <f t="shared" si="325"/>
        <v>1.763847045190895</v>
      </c>
      <c r="CQ85" s="712">
        <f>IF(OR(Sheet1!EN85="FM", Sheet1!EN85="OTHER"),SUM(Sheet1!BK85:'Sheet1'!BM85),0)</f>
        <v>0</v>
      </c>
      <c r="CR85" s="697">
        <f>IF(AND($B85&gt;=$FL85,$B85&lt;=$FM85),MAX($CJ85,Sheet1!EG85,0),MAX($CJ85-(7/36)*$K85,0))</f>
        <v>0</v>
      </c>
      <c r="CS85" s="712">
        <f t="shared" si="326"/>
        <v>10.805041843697994</v>
      </c>
      <c r="CT85" s="697">
        <f t="shared" si="375"/>
        <v>1.763847045190895</v>
      </c>
      <c r="CU85" s="697">
        <f>IF(AND($O85&gt;0,Sheet1!EK85=1),(1-($O85-Sheet1!$L85)/$O85)*CP85,0)</f>
        <v>0</v>
      </c>
      <c r="CV85" s="697">
        <f>IF(AND(Sheet1!$L85=0,Sheet1!$L84=0, Calculation!CO85&lt;Sheet1!$EG85-0.1,Sheet1!$EG85=Sheet1!$EG84,Sheet1!$EG85=Sheet1!$EG86),Sheet1!$EG85,CP85-CU85)</f>
        <v>1.763847045190895</v>
      </c>
      <c r="CW85" s="697">
        <f t="shared" si="362"/>
        <v>0</v>
      </c>
      <c r="CX85" s="712">
        <f t="shared" si="379"/>
        <v>2.46</v>
      </c>
      <c r="CY85" s="712">
        <f t="shared" si="327"/>
        <v>100.34371860388877</v>
      </c>
      <c r="CZ85" s="712">
        <f t="shared" si="328"/>
        <v>2.4514484356890405</v>
      </c>
      <c r="DA85" s="712">
        <f ca="1">IF(B85&gt;Summary!$A$1,#N/A,CY85*MGtoAF)</f>
        <v>307.85452867673075</v>
      </c>
      <c r="DB85" s="712">
        <f t="shared" si="329"/>
        <v>2.46</v>
      </c>
      <c r="DC85" s="712">
        <f t="shared" si="330"/>
        <v>17.260000000000002</v>
      </c>
      <c r="DD85" s="712">
        <f>Sheet1!AB85-DC85</f>
        <v>-6.0000000002911946E-2</v>
      </c>
      <c r="DE85" s="712">
        <f t="shared" si="331"/>
        <v>-3.4762456548616421E-3</v>
      </c>
      <c r="DF85" s="712">
        <f>(VLOOKUP(Sheet1!CY85,hhdcap_wcm,4)-(((VLOOKUP(Sheet1!CY85,hhdcap_wcm,3)-Sheet1!CY85)/(VLOOKUP(Sheet1!CY85,hhdcap_wcm,3)-VLOOKUP(Sheet1!CY85,hhdcap_wcm,1)))*(VLOOKUP(Sheet1!CY85,hhdcap_wcm,4)-VLOOKUP(Sheet1!CY85,hhdcap_wcm,2))))</f>
        <v>5252.3400000089414</v>
      </c>
      <c r="DG85" s="712">
        <f t="shared" si="332"/>
        <v>400.20000000085383</v>
      </c>
      <c r="DH85" s="712">
        <f t="shared" si="333"/>
        <v>201.8154311653322</v>
      </c>
      <c r="DI85" s="712">
        <f>Sheet1!DW85*AFtoMG</f>
        <v>0</v>
      </c>
      <c r="DJ85" s="712">
        <f>Sheet1!DX85*AFtoMG</f>
        <v>0</v>
      </c>
      <c r="DK85" s="712">
        <f>Sheet1!DY85*AFtoMG</f>
        <v>0</v>
      </c>
      <c r="DL85" s="712">
        <f>Sheet1!DZ85*AFtoMG</f>
        <v>0</v>
      </c>
      <c r="DM85" s="712">
        <f t="shared" si="334"/>
        <v>0</v>
      </c>
      <c r="DN85" s="712">
        <f t="shared" si="335"/>
        <v>0</v>
      </c>
      <c r="DO85" s="712">
        <f t="shared" si="336"/>
        <v>704.68542032518462</v>
      </c>
      <c r="DP85" s="712">
        <f t="shared" si="337"/>
        <v>2161.9748695576664</v>
      </c>
      <c r="DQ85" s="712"/>
      <c r="DR85" s="697">
        <f>IF(OR(B85&lt;FL85,B85&gt;FM85),(MIN(AV85+BO85+CJ85+MAX(Sheet1!AA85+AG85-73,0),K85)),0)</f>
        <v>2.4514484356890405</v>
      </c>
      <c r="DS85" s="712"/>
      <c r="DT85" s="712">
        <f t="shared" si="338"/>
        <v>2.4514484356890405</v>
      </c>
      <c r="DU85" s="712"/>
      <c r="DV85" s="712">
        <f>Sheet1!ED85+Sheet1!EE85+Sheet1!EF85+Sheet1!EG85</f>
        <v>8.5</v>
      </c>
      <c r="DW85" s="712"/>
      <c r="DX85" s="697">
        <f t="shared" si="376"/>
        <v>0</v>
      </c>
      <c r="DY85" s="712">
        <f>IF(Sheet1!FN85=1,SUM('Calculations II'!AT85:BA85)+'Calculations II'!BC85+Sheet1!BU85+'Calculations II'!BE85+AF85,SUM('Calculations II'!AT85:BA85)+'Calculations II'!BC85+Sheet1!BU85+'Calculations II'!BE85+AF85)</f>
        <v>43.804335999999999</v>
      </c>
      <c r="DZ85" s="712">
        <f>Sheet1!AA85+Sheet1!AB85+'Calculations II'!BC85</f>
        <v>47</v>
      </c>
      <c r="EA85" s="712"/>
      <c r="EB85" s="712"/>
      <c r="EC85" s="712">
        <f t="shared" si="339"/>
        <v>40614</v>
      </c>
      <c r="ED85" s="712">
        <f t="shared" si="340"/>
        <v>62.188551564310963</v>
      </c>
      <c r="EE85" s="712">
        <f t="shared" si="341"/>
        <v>96.205689269989051</v>
      </c>
      <c r="EF85" s="712">
        <f>-(VLOOKUP(Sheet1!BQ85,Lookup!$B$4:$J$236,2)-VLOOKUP(Sheet1!BQ84,Lookup!$B$4:$J$236,2))/1000000</f>
        <v>0.54100000000000004</v>
      </c>
      <c r="EG85" s="712">
        <f>-(VLOOKUP(Sheet1!BR85,Lookup!$B$4:$J$236,3)-VLOOKUP(Sheet1!BR84,Lookup!$B$4:$J$236,3))/1000000</f>
        <v>0.54</v>
      </c>
      <c r="EH85" s="712">
        <f>-(VLOOKUP(Sheet1!BS85,Lookup!$B$4:$J$236,4)-VLOOKUP(Sheet1!BS84,Lookup!$B$4:$J$236,4))/1000000</f>
        <v>0</v>
      </c>
      <c r="EI85" s="697">
        <f t="shared" si="380"/>
        <v>1.081</v>
      </c>
      <c r="EJ85" s="712"/>
      <c r="EK85" s="712"/>
      <c r="EL85" s="712"/>
      <c r="EM85" s="712"/>
      <c r="EN85" s="712"/>
      <c r="EO85" s="712"/>
      <c r="EP85" s="712"/>
      <c r="EQ85" s="712"/>
      <c r="ER85" s="697">
        <v>0</v>
      </c>
      <c r="ES85" s="712"/>
      <c r="ET85" s="794" t="e">
        <f t="shared" si="342"/>
        <v>#N/A</v>
      </c>
      <c r="EU85" s="794" t="e">
        <f t="shared" si="363"/>
        <v>#VALUE!</v>
      </c>
      <c r="EV85" s="795" t="e">
        <f t="shared" si="364"/>
        <v>#VALUE!</v>
      </c>
      <c r="EW85" s="796" t="s">
        <v>757</v>
      </c>
      <c r="EX85" s="796" t="s">
        <v>757</v>
      </c>
      <c r="EY85" s="794">
        <v>0</v>
      </c>
      <c r="EZ85" s="794" t="e">
        <v>#N/A</v>
      </c>
      <c r="FA85" s="712"/>
      <c r="FB85" s="712"/>
      <c r="FC85" s="712"/>
      <c r="FD85" s="712"/>
      <c r="FE85" s="712">
        <f>O85+Sheet1!CO85</f>
        <v>47</v>
      </c>
      <c r="FF85" s="712">
        <f>IF(Sheet1!AA85+AG85&lt;=Calculation!N85,AG85,Calculation!N85-Sheet1!AA85)</f>
        <v>14.748551564308048</v>
      </c>
      <c r="FG85" s="712">
        <f>(Sheet1!BP85+Sheet1!BO85)/694.4</f>
        <v>1.8415898617511521</v>
      </c>
      <c r="FH85" s="712"/>
      <c r="FI85" s="712"/>
      <c r="FJ85" s="712"/>
      <c r="FK85" s="712"/>
      <c r="FL85" s="714">
        <f t="shared" si="381"/>
        <v>40753</v>
      </c>
      <c r="FM85" s="714">
        <f t="shared" si="382"/>
        <v>40851</v>
      </c>
      <c r="FN85" s="712"/>
      <c r="FO85" s="712"/>
      <c r="FP85" s="712"/>
      <c r="FQ85" s="712"/>
      <c r="FR85" s="712"/>
      <c r="FS85" s="725">
        <f t="shared" si="383"/>
        <v>40603</v>
      </c>
      <c r="FT85" s="714">
        <f t="shared" si="384"/>
        <v>40709</v>
      </c>
      <c r="FU85" s="712">
        <f t="shared" si="385"/>
        <v>6518.9048239895692</v>
      </c>
      <c r="FV85" s="714">
        <f t="shared" si="386"/>
        <v>40722</v>
      </c>
      <c r="FW85" s="712">
        <f t="shared" si="387"/>
        <v>3259.4524119947846</v>
      </c>
      <c r="FX85" s="725">
        <f t="shared" si="388"/>
        <v>40851</v>
      </c>
      <c r="FZ85" s="697">
        <f t="shared" si="365"/>
        <v>0</v>
      </c>
      <c r="GA85" s="712" t="str">
        <f t="shared" si="343"/>
        <v/>
      </c>
      <c r="GB85" s="712">
        <f t="shared" si="344"/>
        <v>0</v>
      </c>
      <c r="GC85" s="712" t="str">
        <f t="shared" si="345"/>
        <v/>
      </c>
      <c r="GD85" s="712">
        <f>IF(GA85="P",Lookup!$M$12,IF(GA85="PP",Lookup!$M$13,IF(GA85="PPP",Lookup!$M$14,IF(GA85="T",Lookup!$M$15,IF(GA85="TP",Lookup!$M$16,IF(GA85="TPP",Lookup!$M$17,IF(GA85="TPPP",Lookup!$M$18,0)))))))*FZ85</f>
        <v>0</v>
      </c>
      <c r="GE85" s="712">
        <f t="shared" si="346"/>
        <v>0</v>
      </c>
      <c r="GF85" s="712">
        <f t="shared" si="347"/>
        <v>991.57759999999996</v>
      </c>
      <c r="GG85" s="712">
        <f t="shared" si="348"/>
        <v>323.2</v>
      </c>
      <c r="GH85" s="712"/>
      <c r="GI85" s="712">
        <f t="shared" si="349"/>
        <v>0</v>
      </c>
      <c r="GJ85" s="712" t="str">
        <f t="shared" si="350"/>
        <v/>
      </c>
      <c r="GK85" s="712">
        <f>IF(GA85="P",Lookup!$N$12,IF(GA85="PP",Lookup!$N$13,IF(GA85="PPP",Lookup!$N$14,IF(GA85="T",Lookup!$N$15,IF(GA85="TP",Lookup!$N$16,IF(GA85="TPP",Lookup!$N$17,IF(GA85="TPPP",Lookup!$N$18,0)))))))*FZ85</f>
        <v>0</v>
      </c>
      <c r="GL85" s="712">
        <f t="shared" si="351"/>
        <v>0</v>
      </c>
      <c r="GM85" s="712">
        <f t="shared" si="352"/>
        <v>462.73621333333341</v>
      </c>
      <c r="GN85" s="712">
        <f t="shared" si="353"/>
        <v>150.82666666666668</v>
      </c>
      <c r="GO85" s="712"/>
      <c r="GP85" s="712">
        <f t="shared" si="354"/>
        <v>0</v>
      </c>
      <c r="GQ85" s="712" t="str">
        <f t="shared" si="355"/>
        <v/>
      </c>
      <c r="GR85" s="712">
        <f>IF(GA85="P",Lookup!$N$12,IF(GA85="PP",Lookup!$N$13,IF(GA85="PPP",Lookup!$N$14,IF(GA85="T",Lookup!$N$15,IF(GA85="TP",Lookup!$N$16,IF(GA85="TPP",Lookup!$N$17,IF(GA85="TPPP",Lookup!$N$18,0)))))))*FZ85</f>
        <v>0</v>
      </c>
      <c r="GS85" s="697">
        <f t="shared" si="377"/>
        <v>0</v>
      </c>
      <c r="GT85" s="712">
        <f t="shared" si="356"/>
        <v>399.80652754760234</v>
      </c>
      <c r="GU85" s="712">
        <f t="shared" si="357"/>
        <v>130.31503505462919</v>
      </c>
      <c r="GV85" s="712"/>
      <c r="GW85" s="712">
        <f t="shared" si="358"/>
        <v>0</v>
      </c>
      <c r="GX85" s="712" t="str">
        <f t="shared" si="359"/>
        <v/>
      </c>
      <c r="GY85" s="712">
        <f>IF(GA85="P",Lookup!$N$12,IF(GA85="PP",Lookup!$N$13,IF(GA85="PPP",Lookup!$N$14,IF(GA85="T",Lookup!$N$15,IF(GA85="TP",Lookup!$N$16,IF(GA85="TPP",Lookup!$N$17,IF(GA85="TPPP",Lookup!$N$18,0)))))))*FZ85</f>
        <v>0</v>
      </c>
      <c r="GZ85" s="697">
        <f t="shared" si="378"/>
        <v>0</v>
      </c>
      <c r="HA85" s="712">
        <f t="shared" si="360"/>
        <v>307.85452867673075</v>
      </c>
      <c r="HB85" s="712">
        <f t="shared" si="361"/>
        <v>100.34371860388877</v>
      </c>
      <c r="HC85" s="712"/>
    </row>
    <row r="86" spans="1:211">
      <c r="A86" s="773" t="s">
        <v>3</v>
      </c>
      <c r="B86" s="708">
        <v>40615</v>
      </c>
      <c r="C86" s="719">
        <v>0.5</v>
      </c>
      <c r="D86" s="675">
        <f t="shared" si="366"/>
        <v>300</v>
      </c>
      <c r="E86" s="675">
        <f t="shared" si="367"/>
        <v>250</v>
      </c>
      <c r="F86" s="675">
        <v>250</v>
      </c>
      <c r="G86" s="712">
        <f>DH86+Sheet1!CV86</f>
        <v>1171.028744327057</v>
      </c>
      <c r="H86" s="712">
        <f t="shared" si="294"/>
        <v>489.98978033300961</v>
      </c>
      <c r="I86" s="711">
        <f>MAX(Sheet1!Z86-AJ86+(Sheet1!CW86-E86)*CFStoMGD,0)</f>
        <v>1086.2233124999973</v>
      </c>
      <c r="J86" s="720">
        <f>IF(AND(B86&gt;=Calculation!FS86,B86&lt;=Calculation!FT86),IF(Sheet1!CX86&gt;=Calculation!D86,64.64,0),MAX(Sheet1!Z86-AJ86+(Sheet1!CX86-D86)*CFStoMGD,0))</f>
        <v>64.64</v>
      </c>
      <c r="K86" s="697">
        <f t="shared" si="368"/>
        <v>64.64</v>
      </c>
      <c r="L86" s="712">
        <f>Sheet1!AA86+Sheet1!AB86-Sheet1!L86+(Sheet1!CW86-F86)*CFStoMGD</f>
        <v>1127.5246666666699</v>
      </c>
      <c r="M86" s="712">
        <f t="shared" si="295"/>
        <v>772.0920399396698</v>
      </c>
      <c r="N86" s="712">
        <f>IF(Sheet1!CW86&gt;=F86,MIN(73,MIN(MAX(L86,0),MAX(M86,0))),0)</f>
        <v>73</v>
      </c>
      <c r="O86" s="721">
        <f>Sheet1!AA86+Sheet1!AB86</f>
        <v>50.730000000003201</v>
      </c>
      <c r="P86" s="721">
        <f t="shared" si="296"/>
        <v>78.479310000004944</v>
      </c>
      <c r="Q86" s="712">
        <f>MIN(N86,Sheet1!AA86+AG86)</f>
        <v>42.50135416666825</v>
      </c>
      <c r="R86" s="712">
        <f t="shared" si="297"/>
        <v>8.2286458333349515</v>
      </c>
      <c r="S86" s="721">
        <f>Sheet1!Y86*MGDtoCFS</f>
        <v>45.945899999999995</v>
      </c>
      <c r="T86" s="721">
        <f>Sheet1!Z86*MGDtoCFS</f>
        <v>36.199799999999996</v>
      </c>
      <c r="U86" s="721">
        <f>Sheet1!AA86*MGDtoCFS</f>
        <v>44.135909999998198</v>
      </c>
      <c r="V86" s="721">
        <f>Sheet1!AB86*MGDtoCFS</f>
        <v>34.343400000006753</v>
      </c>
      <c r="W86" s="721">
        <f>Sheet1!L86*MGDtoCFS</f>
        <v>0</v>
      </c>
      <c r="X86" s="697">
        <f t="shared" si="369"/>
        <v>0</v>
      </c>
      <c r="Y86" s="712">
        <f t="shared" si="298"/>
        <v>0</v>
      </c>
      <c r="Z86" s="712">
        <f t="shared" si="299"/>
        <v>56.411354166665049</v>
      </c>
      <c r="AA86" s="712">
        <f t="shared" si="300"/>
        <v>87.268364895830828</v>
      </c>
      <c r="AB86" s="712">
        <f>(VLOOKUP(Sheet1!CY86,hhdcap_wcm,4)-(((VLOOKUP(Sheet1!CY86,hhdcap_wcm,3)-Sheet1!CY86)/(VLOOKUP(Sheet1!CY86,hhdcap_wcm,3)-VLOOKUP(Sheet1!CY86,hhdcap_wcm,1)))*(VLOOKUP(Sheet1!CY86,hhdcap_wcm,4)-VLOOKUP(Sheet1!CY86,hhdcap_wcm,2))))</f>
        <v>5558.4400000094956</v>
      </c>
      <c r="AC86" s="712">
        <f t="shared" si="301"/>
        <v>306.10000000055425</v>
      </c>
      <c r="AD86" s="712">
        <f t="shared" si="370"/>
        <v>761.09677449184971</v>
      </c>
      <c r="AE86" s="712">
        <f t="shared" si="302"/>
        <v>2335.0449041409952</v>
      </c>
      <c r="AF86" s="712">
        <f>Sheet1!BA86+Sheet1!BB86+Sheet1!BN86+BT86</f>
        <v>14.5</v>
      </c>
      <c r="AG86" s="712">
        <f t="shared" si="303"/>
        <v>13.971354166669414</v>
      </c>
      <c r="AH86" s="712">
        <f>Sheet1!BA86+BT86</f>
        <v>0</v>
      </c>
      <c r="AI86" s="712">
        <f>Sheet1!BA86+Sheet1!BB86+BT86</f>
        <v>0</v>
      </c>
      <c r="AJ86" s="712">
        <f>IF((Sheet1!AA86+AG86+AX86+AZ86+BQ86+BS86+CL86+CN86)&lt;=N86,AG86+AX86+AZ86+BQ86+BS86+CL86+CN86,N86-Sheet1!AA86)</f>
        <v>13.971354166669414</v>
      </c>
      <c r="AK86" s="712">
        <f>IF(DR86&lt;K86,0,MAX(Sheet1!AA86+AG86-15/36*K86-N86,Sheet1!ED86,0))</f>
        <v>0</v>
      </c>
      <c r="AL86" s="712">
        <f>IF(OR(B86&gt;=FT86,B86&lt;FS86),0,15/36*K86-MAX(0,64.6-(137.6-(Sheet1!AA86+Sheet1!AB86))))</f>
        <v>26.933333333333334</v>
      </c>
      <c r="AM86" s="712">
        <f>Sheet1!CX86-110</f>
        <v>884.76041666666663</v>
      </c>
      <c r="AN86" s="712">
        <f>Sheet1!CW86-265</f>
        <v>1650.8333333333333</v>
      </c>
      <c r="AO86" s="712">
        <f t="shared" si="371"/>
        <v>30.49864583333175</v>
      </c>
      <c r="AP86" s="712">
        <f t="shared" si="372"/>
        <v>0</v>
      </c>
      <c r="AQ86" s="712">
        <f t="shared" si="304"/>
        <v>0</v>
      </c>
      <c r="AR86" s="712">
        <f t="shared" si="305"/>
        <v>350.13333333333333</v>
      </c>
      <c r="AS86" s="712"/>
      <c r="AT86" s="712">
        <f ca="1">IF(B86&gt;Summary!$A$1,#N/A,AR86*MGtoAF)</f>
        <v>1074.2090666666666</v>
      </c>
      <c r="AU86" s="712">
        <f>Sheet1!BG86+Sheet1!BH86+Sheet1!BI86-BC86</f>
        <v>0</v>
      </c>
      <c r="AV86" s="712">
        <f t="shared" si="306"/>
        <v>0</v>
      </c>
      <c r="AW86" s="712">
        <f>IF(Sheet1!EL86="FM",BC86,0)</f>
        <v>0</v>
      </c>
      <c r="AX86" s="712">
        <f t="shared" si="307"/>
        <v>0</v>
      </c>
      <c r="AY86" s="712">
        <f>IF(Sheet1!EL86="OTHER",BC86,0)</f>
        <v>0</v>
      </c>
      <c r="AZ86" s="712">
        <f t="shared" si="308"/>
        <v>0</v>
      </c>
      <c r="BA86" s="712">
        <f t="shared" si="309"/>
        <v>0</v>
      </c>
      <c r="BB86" s="712">
        <f t="shared" si="310"/>
        <v>0</v>
      </c>
      <c r="BC86" s="712">
        <f>IF(OR(Sheet1!EL86="FM", Sheet1!EL86="OTHER"),SUM(Sheet1!BG86:'Sheet1'!BI86),0)</f>
        <v>0</v>
      </c>
      <c r="BD86" s="697">
        <f>IF(AND($B86&gt;=$FL86,$B86&lt;=$FM86),MAX(AV86,Sheet1!EE86,0),MAX(AV86-(7/36)*$K86,0))</f>
        <v>0</v>
      </c>
      <c r="BE86" s="712">
        <f t="shared" si="311"/>
        <v>12.568888888888889</v>
      </c>
      <c r="BF86" s="697">
        <f t="shared" si="373"/>
        <v>0</v>
      </c>
      <c r="BG86" s="697">
        <f>IF(AND($O86&gt;0,Sheet1!EI86=1),(1-($O86-Sheet1!$L86)/$O86)*BB86,0)</f>
        <v>0</v>
      </c>
      <c r="BH86" s="697">
        <f>IF(AND(Sheet1!$L86=0,Sheet1!$L85=0, Calculation!BA86&lt;Sheet1!$EE86-0.1,Sheet1!$EE86=Sheet1!$EE85,Sheet1!$EE86=Sheet1!$EE87),Sheet1!$EE86,BB86-BG86)</f>
        <v>0</v>
      </c>
      <c r="BI86" s="712"/>
      <c r="BJ86" s="712"/>
      <c r="BK86" s="712">
        <f t="shared" si="312"/>
        <v>163.39555555555557</v>
      </c>
      <c r="BL86" s="712"/>
      <c r="BM86" s="712">
        <f ca="1">IF(B86&gt;Summary!$A$1,#N/A,BK86*MGtoAF)</f>
        <v>501.2975644444445</v>
      </c>
      <c r="BN86" s="712">
        <f>Sheet1!BC86+Sheet1!BD86+Sheet1!BE86+Sheet1!BF86-BW86-BX86</f>
        <v>2.52</v>
      </c>
      <c r="BO86" s="712">
        <f t="shared" si="313"/>
        <v>2.4281250000004775</v>
      </c>
      <c r="BP86" s="712">
        <f>IF(Sheet1!EM86="FM",BX86,0)</f>
        <v>0</v>
      </c>
      <c r="BQ86" s="712">
        <f t="shared" si="314"/>
        <v>0</v>
      </c>
      <c r="BR86" s="712">
        <f>IF(Sheet1!EM86="OTHER",BX86,0)</f>
        <v>0</v>
      </c>
      <c r="BS86" s="712">
        <f t="shared" si="315"/>
        <v>0</v>
      </c>
      <c r="BT86" s="712">
        <f t="shared" si="316"/>
        <v>0</v>
      </c>
      <c r="BU86" s="712">
        <f t="shared" si="317"/>
        <v>2.52</v>
      </c>
      <c r="BV86" s="712">
        <f t="shared" si="318"/>
        <v>2.4281250000004775</v>
      </c>
      <c r="BW86" s="712">
        <f>IF(Sheet1!EM86="CWA",SUM(Sheet1!BC86:'Sheet1'!BF86),0)</f>
        <v>0</v>
      </c>
      <c r="BX86" s="712">
        <f>IF(OR(Sheet1!EM86="FM", Sheet1!EM86="OTHER"),SUM(Sheet1!BC86:'Sheet1'!BF86),0)</f>
        <v>0</v>
      </c>
      <c r="BY86" s="697">
        <f>IF(AND($B86&gt;=$FL86,$B86&lt;=$FM86),MAX(BV86,Sheet1!EF86,0),MAX(BV86-(7/36)*$K86,0))</f>
        <v>0</v>
      </c>
      <c r="BZ86" s="712">
        <f t="shared" si="319"/>
        <v>10.140763888888412</v>
      </c>
      <c r="CA86" s="697">
        <f t="shared" si="374"/>
        <v>2.4281250000004775</v>
      </c>
      <c r="CB86" s="697">
        <f>IF(AND($O86&gt;0,Sheet1!EJ86=1),(1-($O86-Sheet1!$L86)/$O86)*BV86,0)</f>
        <v>0</v>
      </c>
      <c r="CC86" s="697">
        <f>IF(AND(Sheet1!$L86=0,Sheet1!$L85=0, Calculation!BU86&lt;Sheet1!EF86-0.1,Sheet1!EF86=Sheet1!EF85,Sheet1!EF86=Sheet1!EF87),Sheet1!EF86,BV86-CB86)</f>
        <v>2.4281250000004775</v>
      </c>
      <c r="CD86" s="697"/>
      <c r="CE86" s="712"/>
      <c r="CF86" s="712">
        <f t="shared" si="320"/>
        <v>140.45579894351761</v>
      </c>
      <c r="CG86" s="712"/>
      <c r="CH86" s="712">
        <f ca="1">IF(B86&gt;Summary!$A$1,#N/A,CF86*MGtoAF)</f>
        <v>430.91839115871204</v>
      </c>
      <c r="CI86" s="712">
        <f>Sheet1!BK86+Sheet1!BL86+Sheet1!BM86-Sheet1!EN86-CQ86</f>
        <v>6.02</v>
      </c>
      <c r="CJ86" s="712">
        <f t="shared" si="321"/>
        <v>5.800520833334474</v>
      </c>
      <c r="CK86" s="712">
        <f>IF(Sheet1!EN86="FM",CQ86,0)</f>
        <v>0</v>
      </c>
      <c r="CL86" s="712">
        <f t="shared" si="322"/>
        <v>0</v>
      </c>
      <c r="CM86" s="712">
        <f>IF(Sheet1!EN86="OTHER",CQ86,0)</f>
        <v>0</v>
      </c>
      <c r="CN86" s="712">
        <f t="shared" si="323"/>
        <v>0</v>
      </c>
      <c r="CO86" s="712">
        <f t="shared" si="324"/>
        <v>6.02</v>
      </c>
      <c r="CP86" s="712">
        <f t="shared" si="325"/>
        <v>5.800520833334474</v>
      </c>
      <c r="CQ86" s="712">
        <f>IF(OR(Sheet1!EN86="FM", Sheet1!EN86="OTHER"),SUM(Sheet1!BK86:'Sheet1'!BM86),0)</f>
        <v>0</v>
      </c>
      <c r="CR86" s="697">
        <f>IF(AND($B86&gt;=$FL86,$B86&lt;=$FM86),MAX($CJ86,Sheet1!EG86,0),MAX($CJ86-(7/36)*$K86,0))</f>
        <v>0</v>
      </c>
      <c r="CS86" s="712">
        <f t="shared" si="326"/>
        <v>6.768368055554415</v>
      </c>
      <c r="CT86" s="697">
        <f t="shared" si="375"/>
        <v>5.800520833334474</v>
      </c>
      <c r="CU86" s="697">
        <f>IF(AND($O86&gt;0,Sheet1!EK86=1),(1-($O86-Sheet1!$L86)/$O86)*CP86,0)</f>
        <v>0</v>
      </c>
      <c r="CV86" s="697">
        <f>IF(AND(Sheet1!$L86=0,Sheet1!$L85=0, Calculation!CO86&lt;Sheet1!$EG86-0.1,Sheet1!$EG86=Sheet1!$EG85,Sheet1!$EG86=Sheet1!$EG87),Sheet1!$EG86,CP86-CU86)</f>
        <v>5.800520833334474</v>
      </c>
      <c r="CW86" s="697">
        <f t="shared" si="362"/>
        <v>0</v>
      </c>
      <c r="CX86" s="712">
        <f t="shared" si="379"/>
        <v>8.5399999999999991</v>
      </c>
      <c r="CY86" s="712">
        <f t="shared" si="327"/>
        <v>107.11208665944319</v>
      </c>
      <c r="CZ86" s="712">
        <f t="shared" si="328"/>
        <v>8.2286458333349515</v>
      </c>
      <c r="DA86" s="712">
        <f ca="1">IF(B86&gt;Summary!$A$1,#N/A,CY86*MGtoAF)</f>
        <v>328.61988187117174</v>
      </c>
      <c r="DB86" s="712">
        <f t="shared" si="329"/>
        <v>8.5399999999999991</v>
      </c>
      <c r="DC86" s="712">
        <f t="shared" si="330"/>
        <v>23.04</v>
      </c>
      <c r="DD86" s="712">
        <f>Sheet1!AB86-DC86</f>
        <v>-0.83999999999563357</v>
      </c>
      <c r="DE86" s="712">
        <f t="shared" si="331"/>
        <v>-3.6458333333143821E-2</v>
      </c>
      <c r="DF86" s="712">
        <f>(VLOOKUP(Sheet1!CY86,hhdcap_wcm,4)-(((VLOOKUP(Sheet1!CY86,hhdcap_wcm,3)-Sheet1!CY86)/(VLOOKUP(Sheet1!CY86,hhdcap_wcm,3)-VLOOKUP(Sheet1!CY86,hhdcap_wcm,1)))*(VLOOKUP(Sheet1!CY86,hhdcap_wcm,4)-VLOOKUP(Sheet1!CY86,hhdcap_wcm,2))))</f>
        <v>5558.4400000094956</v>
      </c>
      <c r="DG86" s="712">
        <f t="shared" si="332"/>
        <v>306.10000000055425</v>
      </c>
      <c r="DH86" s="712">
        <f t="shared" si="333"/>
        <v>154.36207766039041</v>
      </c>
      <c r="DI86" s="712">
        <f>Sheet1!DW86*AFtoMG</f>
        <v>0</v>
      </c>
      <c r="DJ86" s="712">
        <f>Sheet1!DX86*AFtoMG</f>
        <v>0</v>
      </c>
      <c r="DK86" s="712">
        <f>Sheet1!DY86*AFtoMG</f>
        <v>0</v>
      </c>
      <c r="DL86" s="712">
        <f>Sheet1!DZ86*AFtoMG</f>
        <v>0</v>
      </c>
      <c r="DM86" s="712">
        <f t="shared" si="334"/>
        <v>0</v>
      </c>
      <c r="DN86" s="712">
        <f t="shared" si="335"/>
        <v>0</v>
      </c>
      <c r="DO86" s="712">
        <f t="shared" si="336"/>
        <v>761.09677449184971</v>
      </c>
      <c r="DP86" s="712">
        <f t="shared" si="337"/>
        <v>2335.0449041409952</v>
      </c>
      <c r="DQ86" s="712"/>
      <c r="DR86" s="697">
        <f>IF(OR(B86&lt;FL86,B86&gt;FM86),(MIN(AV86+BO86+CJ86+MAX(Sheet1!AA86+AG86-73,0),K86)),0)</f>
        <v>8.2286458333349515</v>
      </c>
      <c r="DS86" s="712"/>
      <c r="DT86" s="712">
        <f t="shared" si="338"/>
        <v>8.2286458333349515</v>
      </c>
      <c r="DU86" s="712"/>
      <c r="DV86" s="712">
        <f>Sheet1!ED86+Sheet1!EE86+Sheet1!EF86+Sheet1!EG86</f>
        <v>8.5</v>
      </c>
      <c r="DW86" s="712"/>
      <c r="DX86" s="697">
        <f t="shared" si="376"/>
        <v>0</v>
      </c>
      <c r="DY86" s="712">
        <f>IF(Sheet1!FN86=1,SUM('Calculations II'!AT86:BA86)+'Calculations II'!BC86+Sheet1!BU86+'Calculations II'!BE86+AF86,SUM('Calculations II'!AT86:BA86)+'Calculations II'!BC86+Sheet1!BU86+'Calculations II'!BE86+AF86)</f>
        <v>42.517088000000001</v>
      </c>
      <c r="DZ86" s="712">
        <f>Sheet1!AA86+Sheet1!AB86+'Calculations II'!BC86</f>
        <v>50.730000000003201</v>
      </c>
      <c r="EA86" s="712"/>
      <c r="EB86" s="712"/>
      <c r="EC86" s="712">
        <f t="shared" si="339"/>
        <v>40615</v>
      </c>
      <c r="ED86" s="712">
        <f t="shared" si="340"/>
        <v>56.411354166665049</v>
      </c>
      <c r="EE86" s="712">
        <f t="shared" si="341"/>
        <v>87.268364895830828</v>
      </c>
      <c r="EF86" s="712">
        <f>-(VLOOKUP(Sheet1!BQ86,Lookup!$B$4:$J$236,2)-VLOOKUP(Sheet1!BQ85,Lookup!$B$4:$J$236,2))/1000000</f>
        <v>0.54100000000000004</v>
      </c>
      <c r="EG86" s="712">
        <f>-(VLOOKUP(Sheet1!BR86,Lookup!$B$4:$J$236,3)-VLOOKUP(Sheet1!BR85,Lookup!$B$4:$J$236,3))/1000000</f>
        <v>0.54</v>
      </c>
      <c r="EH86" s="712">
        <f>-(VLOOKUP(Sheet1!BS86,Lookup!$B$4:$J$236,4)-VLOOKUP(Sheet1!BS85,Lookup!$B$4:$J$236,4))/1000000</f>
        <v>0</v>
      </c>
      <c r="EI86" s="697">
        <f t="shared" si="380"/>
        <v>1.081</v>
      </c>
      <c r="EJ86" s="712"/>
      <c r="EK86" s="712"/>
      <c r="EL86" s="712"/>
      <c r="EM86" s="712"/>
      <c r="EN86" s="712"/>
      <c r="EO86" s="712"/>
      <c r="EP86" s="712"/>
      <c r="EQ86" s="712"/>
      <c r="ER86" s="697">
        <v>0</v>
      </c>
      <c r="ES86" s="712"/>
      <c r="ET86" s="794" t="e">
        <f t="shared" si="342"/>
        <v>#N/A</v>
      </c>
      <c r="EU86" s="794" t="e">
        <f t="shared" si="363"/>
        <v>#VALUE!</v>
      </c>
      <c r="EV86" s="795" t="e">
        <f t="shared" si="364"/>
        <v>#VALUE!</v>
      </c>
      <c r="EW86" s="796" t="s">
        <v>757</v>
      </c>
      <c r="EX86" s="796" t="s">
        <v>757</v>
      </c>
      <c r="EY86" s="794">
        <v>0</v>
      </c>
      <c r="EZ86" s="794" t="e">
        <v>#N/A</v>
      </c>
      <c r="FA86" s="712"/>
      <c r="FB86" s="712"/>
      <c r="FC86" s="712"/>
      <c r="FD86" s="712"/>
      <c r="FE86" s="712">
        <f>O86+Sheet1!CO86</f>
        <v>50.730000000003201</v>
      </c>
      <c r="FF86" s="712">
        <f>IF(Sheet1!AA86+AG86&lt;=Calculation!N86,AG86,Calculation!N86-Sheet1!AA86)</f>
        <v>13.971354166669414</v>
      </c>
      <c r="FG86" s="712">
        <f>(Sheet1!BP86+Sheet1!BO86)/694.4</f>
        <v>1.8387096774193548</v>
      </c>
      <c r="FH86" s="712"/>
      <c r="FI86" s="712"/>
      <c r="FJ86" s="712"/>
      <c r="FK86" s="712"/>
      <c r="FL86" s="714">
        <f t="shared" si="381"/>
        <v>40753</v>
      </c>
      <c r="FM86" s="714">
        <f t="shared" si="382"/>
        <v>40851</v>
      </c>
      <c r="FN86" s="712"/>
      <c r="FO86" s="712"/>
      <c r="FP86" s="712"/>
      <c r="FQ86" s="712"/>
      <c r="FR86" s="712"/>
      <c r="FS86" s="725">
        <f t="shared" si="383"/>
        <v>40603</v>
      </c>
      <c r="FT86" s="714">
        <f t="shared" si="384"/>
        <v>40709</v>
      </c>
      <c r="FU86" s="712">
        <f t="shared" si="385"/>
        <v>6518.9048239895692</v>
      </c>
      <c r="FV86" s="714">
        <f t="shared" si="386"/>
        <v>40722</v>
      </c>
      <c r="FW86" s="712">
        <f t="shared" si="387"/>
        <v>3259.4524119947846</v>
      </c>
      <c r="FX86" s="725">
        <f t="shared" si="388"/>
        <v>40851</v>
      </c>
      <c r="FZ86" s="697">
        <f t="shared" si="365"/>
        <v>0</v>
      </c>
      <c r="GA86" s="712" t="str">
        <f t="shared" si="343"/>
        <v/>
      </c>
      <c r="GB86" s="712">
        <f t="shared" si="344"/>
        <v>0</v>
      </c>
      <c r="GC86" s="712" t="str">
        <f t="shared" si="345"/>
        <v/>
      </c>
      <c r="GD86" s="712">
        <f>IF(GA86="P",Lookup!$M$12,IF(GA86="PP",Lookup!$M$13,IF(GA86="PPP",Lookup!$M$14,IF(GA86="T",Lookup!$M$15,IF(GA86="TP",Lookup!$M$16,IF(GA86="TPP",Lookup!$M$17,IF(GA86="TPPP",Lookup!$M$18,0)))))))*FZ86</f>
        <v>0</v>
      </c>
      <c r="GE86" s="712">
        <f t="shared" si="346"/>
        <v>0</v>
      </c>
      <c r="GF86" s="712">
        <f t="shared" si="347"/>
        <v>1074.2090666666666</v>
      </c>
      <c r="GG86" s="712">
        <f t="shared" si="348"/>
        <v>350.13333333333333</v>
      </c>
      <c r="GH86" s="712"/>
      <c r="GI86" s="712">
        <f t="shared" si="349"/>
        <v>0</v>
      </c>
      <c r="GJ86" s="712" t="str">
        <f t="shared" si="350"/>
        <v/>
      </c>
      <c r="GK86" s="712">
        <f>IF(GA86="P",Lookup!$N$12,IF(GA86="PP",Lookup!$N$13,IF(GA86="PPP",Lookup!$N$14,IF(GA86="T",Lookup!$N$15,IF(GA86="TP",Lookup!$N$16,IF(GA86="TPP",Lookup!$N$17,IF(GA86="TPPP",Lookup!$N$18,0)))))))*FZ86</f>
        <v>0</v>
      </c>
      <c r="GL86" s="712">
        <f t="shared" si="351"/>
        <v>0</v>
      </c>
      <c r="GM86" s="712">
        <f t="shared" si="352"/>
        <v>501.2975644444445</v>
      </c>
      <c r="GN86" s="712">
        <f t="shared" si="353"/>
        <v>163.39555555555557</v>
      </c>
      <c r="GO86" s="712"/>
      <c r="GP86" s="712">
        <f t="shared" si="354"/>
        <v>0</v>
      </c>
      <c r="GQ86" s="712" t="str">
        <f t="shared" si="355"/>
        <v/>
      </c>
      <c r="GR86" s="712">
        <f>IF(GA86="P",Lookup!$N$12,IF(GA86="PP",Lookup!$N$13,IF(GA86="PPP",Lookup!$N$14,IF(GA86="T",Lookup!$N$15,IF(GA86="TP",Lookup!$N$16,IF(GA86="TPP",Lookup!$N$17,IF(GA86="TPPP",Lookup!$N$18,0)))))))*FZ86</f>
        <v>0</v>
      </c>
      <c r="GS86" s="697">
        <f t="shared" si="377"/>
        <v>0</v>
      </c>
      <c r="GT86" s="712">
        <f t="shared" si="356"/>
        <v>430.91839115871204</v>
      </c>
      <c r="GU86" s="712">
        <f t="shared" si="357"/>
        <v>140.45579894351761</v>
      </c>
      <c r="GV86" s="712"/>
      <c r="GW86" s="712">
        <f t="shared" si="358"/>
        <v>0</v>
      </c>
      <c r="GX86" s="712" t="str">
        <f t="shared" si="359"/>
        <v/>
      </c>
      <c r="GY86" s="712">
        <f>IF(GA86="P",Lookup!$N$12,IF(GA86="PP",Lookup!$N$13,IF(GA86="PPP",Lookup!$N$14,IF(GA86="T",Lookup!$N$15,IF(GA86="TP",Lookup!$N$16,IF(GA86="TPP",Lookup!$N$17,IF(GA86="TPPP",Lookup!$N$18,0)))))))*FZ86</f>
        <v>0</v>
      </c>
      <c r="GZ86" s="697">
        <f t="shared" si="378"/>
        <v>0</v>
      </c>
      <c r="HA86" s="712">
        <f t="shared" si="360"/>
        <v>328.61988187117174</v>
      </c>
      <c r="HB86" s="712">
        <f t="shared" si="361"/>
        <v>107.11208665944319</v>
      </c>
      <c r="HC86" s="712"/>
    </row>
    <row r="87" spans="1:211">
      <c r="A87" s="773" t="s">
        <v>4</v>
      </c>
      <c r="B87" s="708">
        <v>40616</v>
      </c>
      <c r="C87" s="709">
        <v>0.5</v>
      </c>
      <c r="D87" s="675">
        <f t="shared" si="366"/>
        <v>300</v>
      </c>
      <c r="E87" s="675">
        <f t="shared" si="367"/>
        <v>250</v>
      </c>
      <c r="F87" s="710">
        <v>250</v>
      </c>
      <c r="G87" s="712">
        <f>DH87+Sheet1!CV87</f>
        <v>1219.9731931951676</v>
      </c>
      <c r="H87" s="712">
        <f t="shared" si="294"/>
        <v>521.62747208135636</v>
      </c>
      <c r="I87" s="711">
        <f>MAX(Sheet1!Z87-AJ87+(Sheet1!CW87-E87)*CFStoMGD,0)</f>
        <v>1114.6610075414803</v>
      </c>
      <c r="J87" s="720">
        <f>IF(AND(B87&gt;=Calculation!FS87,B87&lt;=Calculation!FT87),IF(Sheet1!CX87&gt;=Calculation!D87,64.64,0),MAX(Sheet1!Z87-AJ87+(Sheet1!CX87-D87)*CFStoMGD,0))</f>
        <v>64.64</v>
      </c>
      <c r="K87" s="697">
        <f t="shared" si="368"/>
        <v>64.64</v>
      </c>
      <c r="L87" s="712">
        <f>Sheet1!AA87+Sheet1!AB87-Sheet1!L87+(Sheet1!CW87-F87)*CFStoMGD</f>
        <v>1155.119333333331</v>
      </c>
      <c r="M87" s="712">
        <f t="shared" si="295"/>
        <v>804.36248552298355</v>
      </c>
      <c r="N87" s="712">
        <f>IF(Sheet1!CW87&gt;=F87,MIN(73,MIN(MAX(L87,0),MAX(M87,0))),0)</f>
        <v>73</v>
      </c>
      <c r="O87" s="721">
        <f>Sheet1!AA87+Sheet1!AB87</f>
        <v>51.669999999998254</v>
      </c>
      <c r="P87" s="721">
        <f t="shared" si="296"/>
        <v>79.933489999997306</v>
      </c>
      <c r="Q87" s="712">
        <f>MIN(N87,Sheet1!AA87+AG87)</f>
        <v>44.638325791854378</v>
      </c>
      <c r="R87" s="712">
        <f t="shared" si="297"/>
        <v>7.0316742081438743</v>
      </c>
      <c r="S87" s="721">
        <f>Sheet1!Y87*MGDtoCFS</f>
        <v>45.791200000000003</v>
      </c>
      <c r="T87" s="721">
        <f>Sheet1!Z87*MGDtoCFS</f>
        <v>34.962200000000003</v>
      </c>
      <c r="U87" s="721">
        <f>Sheet1!AA87*MGDtoCFS</f>
        <v>45.590090000001801</v>
      </c>
      <c r="V87" s="721">
        <f>Sheet1!AB87*MGDtoCFS</f>
        <v>34.343399999995498</v>
      </c>
      <c r="W87" s="721">
        <f>Sheet1!L87*MGDtoCFS</f>
        <v>5.8476600000010128</v>
      </c>
      <c r="X87" s="697">
        <f t="shared" si="369"/>
        <v>0</v>
      </c>
      <c r="Y87" s="712">
        <f t="shared" si="298"/>
        <v>0</v>
      </c>
      <c r="Z87" s="712">
        <f t="shared" si="299"/>
        <v>57.608325791856124</v>
      </c>
      <c r="AA87" s="712">
        <f t="shared" si="300"/>
        <v>89.120080000001423</v>
      </c>
      <c r="AB87" s="712">
        <f>(VLOOKUP(Sheet1!CY87,hhdcap_wcm,4)-(((VLOOKUP(Sheet1!CY87,hhdcap_wcm,3)-Sheet1!CY87)/(VLOOKUP(Sheet1!CY87,hhdcap_wcm,3)-VLOOKUP(Sheet1!CY87,hhdcap_wcm,1)))*(VLOOKUP(Sheet1!CY87,hhdcap_wcm,4)-VLOOKUP(Sheet1!CY87,hhdcap_wcm,2))))</f>
        <v>5845.4000000102496</v>
      </c>
      <c r="AC87" s="712">
        <f t="shared" si="301"/>
        <v>286.96000000075401</v>
      </c>
      <c r="AD87" s="712">
        <f t="shared" si="370"/>
        <v>818.70510028370586</v>
      </c>
      <c r="AE87" s="712">
        <f t="shared" si="302"/>
        <v>2511.7872476704097</v>
      </c>
      <c r="AF87" s="712">
        <f>Sheet1!BA87+Sheet1!BB87+Sheet1!BN87+BT87</f>
        <v>15.1</v>
      </c>
      <c r="AG87" s="712">
        <f t="shared" si="303"/>
        <v>15.168325791853214</v>
      </c>
      <c r="AH87" s="712">
        <f>Sheet1!BA87+BT87</f>
        <v>0</v>
      </c>
      <c r="AI87" s="712">
        <f>Sheet1!BA87+Sheet1!BB87+BT87</f>
        <v>0</v>
      </c>
      <c r="AJ87" s="712">
        <f>IF((Sheet1!AA87+AG87+AX87+AZ87+BQ87+BS87+CL87+CN87)&lt;=N87,AG87+AX87+AZ87+BQ87+BS87+CL87+CN87,N87-Sheet1!AA87)</f>
        <v>15.168325791853214</v>
      </c>
      <c r="AK87" s="712">
        <f>IF(DR87&lt;K87,0,MAX(Sheet1!AA87+AG87-15/36*K87-N87,Sheet1!ED87,0))</f>
        <v>0</v>
      </c>
      <c r="AL87" s="712">
        <f>IF(OR(B87&gt;=FT87,B87&lt;FS87),0,15/36*K87-MAX(0,64.6-(137.6-(Sheet1!AA87+Sheet1!AB87))))</f>
        <v>26.933333333333334</v>
      </c>
      <c r="AM87" s="712">
        <f>Sheet1!CX87-110</f>
        <v>973.22916666666674</v>
      </c>
      <c r="AN87" s="712">
        <f>Sheet1!CW87-265</f>
        <v>1697.9166666666667</v>
      </c>
      <c r="AO87" s="712">
        <f t="shared" si="371"/>
        <v>28.361674208145622</v>
      </c>
      <c r="AP87" s="712">
        <f t="shared" si="372"/>
        <v>0</v>
      </c>
      <c r="AQ87" s="712">
        <f t="shared" si="304"/>
        <v>0</v>
      </c>
      <c r="AR87" s="712">
        <f t="shared" si="305"/>
        <v>377.06666666666666</v>
      </c>
      <c r="AS87" s="712"/>
      <c r="AT87" s="712">
        <f ca="1">IF(B87&gt;Summary!$A$1,#N/A,AR87*MGtoAF)</f>
        <v>1156.8405333333333</v>
      </c>
      <c r="AU87" s="712">
        <f>Sheet1!BG87+Sheet1!BH87+Sheet1!BI87-BC87</f>
        <v>0</v>
      </c>
      <c r="AV87" s="712">
        <f t="shared" si="306"/>
        <v>0</v>
      </c>
      <c r="AW87" s="712">
        <f>IF(Sheet1!EL87="FM",BC87,0)</f>
        <v>0</v>
      </c>
      <c r="AX87" s="712">
        <f t="shared" si="307"/>
        <v>0</v>
      </c>
      <c r="AY87" s="712">
        <f>IF(Sheet1!EL87="OTHER",BC87,0)</f>
        <v>0</v>
      </c>
      <c r="AZ87" s="712">
        <f t="shared" si="308"/>
        <v>0</v>
      </c>
      <c r="BA87" s="712">
        <f t="shared" si="309"/>
        <v>0</v>
      </c>
      <c r="BB87" s="712">
        <f t="shared" si="310"/>
        <v>0</v>
      </c>
      <c r="BC87" s="712">
        <f>IF(OR(Sheet1!EL87="FM", Sheet1!EL87="OTHER"),SUM(Sheet1!BG87:'Sheet1'!BI87),0)</f>
        <v>0</v>
      </c>
      <c r="BD87" s="697">
        <f>IF(AND($B87&gt;=$FL87,$B87&lt;=$FM87),MAX(AV87,Sheet1!EE87,0),MAX(AV87-(7/36)*$K87,0))</f>
        <v>0</v>
      </c>
      <c r="BE87" s="712">
        <f t="shared" si="311"/>
        <v>12.568888888888889</v>
      </c>
      <c r="BF87" s="697">
        <f t="shared" si="373"/>
        <v>0</v>
      </c>
      <c r="BG87" s="697">
        <f>IF(AND($O87&gt;0,Sheet1!EI87=1),(1-($O87-Sheet1!$L87)/$O87)*BB87,0)</f>
        <v>0</v>
      </c>
      <c r="BH87" s="697">
        <f>IF(AND(Sheet1!$L87=0,Sheet1!$L86=0, Calculation!BA87&lt;Sheet1!$EE87-0.1,Sheet1!$EE87=Sheet1!$EE86,Sheet1!$EE87=Sheet1!$EE88),Sheet1!$EE87,BB87-BG87)</f>
        <v>0</v>
      </c>
      <c r="BI87" s="712"/>
      <c r="BJ87" s="712"/>
      <c r="BK87" s="712">
        <f t="shared" si="312"/>
        <v>175.96444444444447</v>
      </c>
      <c r="BL87" s="712"/>
      <c r="BM87" s="712">
        <f ca="1">IF(B87&gt;Summary!$A$1,#N/A,BK87*MGtoAF)</f>
        <v>539.85891555555565</v>
      </c>
      <c r="BN87" s="712">
        <f>Sheet1!BC87+Sheet1!BD87+Sheet1!BE87+Sheet1!BF87-BW87-BX87</f>
        <v>2.08</v>
      </c>
      <c r="BO87" s="712">
        <f t="shared" si="313"/>
        <v>2.0894117647056083</v>
      </c>
      <c r="BP87" s="712">
        <f>IF(Sheet1!EM87="FM",BX87,0)</f>
        <v>0</v>
      </c>
      <c r="BQ87" s="712">
        <f t="shared" si="314"/>
        <v>0</v>
      </c>
      <c r="BR87" s="712">
        <f>IF(Sheet1!EM87="OTHER",BX87,0)</f>
        <v>0</v>
      </c>
      <c r="BS87" s="712">
        <f t="shared" si="315"/>
        <v>0</v>
      </c>
      <c r="BT87" s="712">
        <f t="shared" si="316"/>
        <v>0</v>
      </c>
      <c r="BU87" s="712">
        <f t="shared" si="317"/>
        <v>2.08</v>
      </c>
      <c r="BV87" s="712">
        <f t="shared" si="318"/>
        <v>2.0894117647056083</v>
      </c>
      <c r="BW87" s="712">
        <f>IF(Sheet1!EM87="CWA",SUM(Sheet1!BC87:'Sheet1'!BF87),0)</f>
        <v>0</v>
      </c>
      <c r="BX87" s="712">
        <f>IF(OR(Sheet1!EM87="FM", Sheet1!EM87="OTHER"),SUM(Sheet1!BC87:'Sheet1'!BF87),0)</f>
        <v>0</v>
      </c>
      <c r="BY87" s="697">
        <f>IF(AND($B87&gt;=$FL87,$B87&lt;=$FM87),MAX(BV87,Sheet1!EF87,0),MAX(BV87-(7/36)*$K87,0))</f>
        <v>0</v>
      </c>
      <c r="BZ87" s="712">
        <f t="shared" si="319"/>
        <v>10.47947712418328</v>
      </c>
      <c r="CA87" s="697">
        <f t="shared" si="374"/>
        <v>2.0894117647056083</v>
      </c>
      <c r="CB87" s="697">
        <f>IF(AND($O87&gt;0,Sheet1!EJ87=1),(1-($O87-Sheet1!$L87)/$O87)*BV87,0)</f>
        <v>0</v>
      </c>
      <c r="CC87" s="697">
        <f>IF(AND(Sheet1!$L87=0,Sheet1!$L86=0, Calculation!BU87&lt;Sheet1!EF87-0.1,Sheet1!EF87=Sheet1!EF86,Sheet1!EF87=Sheet1!EF88),Sheet1!EF87,BV87-CB87)</f>
        <v>2.0894117647056083</v>
      </c>
      <c r="CD87" s="697"/>
      <c r="CE87" s="712"/>
      <c r="CF87" s="712">
        <f t="shared" si="320"/>
        <v>150.9352760677009</v>
      </c>
      <c r="CG87" s="712"/>
      <c r="CH87" s="712">
        <f ca="1">IF(B87&gt;Summary!$A$1,#N/A,CF87*MGtoAF)</f>
        <v>463.06942697570634</v>
      </c>
      <c r="CI87" s="712">
        <f>Sheet1!BK87+Sheet1!BL87+Sheet1!BM87-Sheet1!EN87-CQ87</f>
        <v>4.92</v>
      </c>
      <c r="CJ87" s="712">
        <f t="shared" si="321"/>
        <v>4.942262443438266</v>
      </c>
      <c r="CK87" s="712">
        <f>IF(Sheet1!EN87="FM",CQ87,0)</f>
        <v>0</v>
      </c>
      <c r="CL87" s="712">
        <f t="shared" si="322"/>
        <v>0</v>
      </c>
      <c r="CM87" s="712">
        <f>IF(Sheet1!EN87="OTHER",CQ87,0)</f>
        <v>0</v>
      </c>
      <c r="CN87" s="712">
        <f t="shared" si="323"/>
        <v>0</v>
      </c>
      <c r="CO87" s="712">
        <f t="shared" si="324"/>
        <v>4.92</v>
      </c>
      <c r="CP87" s="712">
        <f t="shared" si="325"/>
        <v>4.942262443438266</v>
      </c>
      <c r="CQ87" s="712">
        <f>IF(OR(Sheet1!EN87="FM", Sheet1!EN87="OTHER"),SUM(Sheet1!BK87:'Sheet1'!BM87),0)</f>
        <v>0</v>
      </c>
      <c r="CR87" s="697">
        <f>IF(AND($B87&gt;=$FL87,$B87&lt;=$FM87),MAX($CJ87,Sheet1!EG87,0),MAX($CJ87-(7/36)*$K87,0))</f>
        <v>0</v>
      </c>
      <c r="CS87" s="712">
        <f t="shared" si="326"/>
        <v>7.626626445450623</v>
      </c>
      <c r="CT87" s="697">
        <f t="shared" si="375"/>
        <v>4.942262443438266</v>
      </c>
      <c r="CU87" s="697">
        <f>IF(AND($O87&gt;0,Sheet1!EK87=1),(1-($O87-Sheet1!$L87)/$O87)*CP87,0)</f>
        <v>0</v>
      </c>
      <c r="CV87" s="697">
        <f>IF(AND(Sheet1!$L87=0,Sheet1!$L86=0, Calculation!CO87&lt;Sheet1!$EG87-0.1,Sheet1!$EG87=Sheet1!$EG86,Sheet1!$EG87=Sheet1!$EG88),Sheet1!$EG87,CP87-CU87)</f>
        <v>4.942262443438266</v>
      </c>
      <c r="CW87" s="697">
        <f t="shared" si="362"/>
        <v>0</v>
      </c>
      <c r="CX87" s="712">
        <f t="shared" si="379"/>
        <v>7</v>
      </c>
      <c r="CY87" s="712">
        <f t="shared" si="327"/>
        <v>114.73871310489382</v>
      </c>
      <c r="CZ87" s="712">
        <f t="shared" si="328"/>
        <v>7.0316742081438743</v>
      </c>
      <c r="DA87" s="712">
        <f ca="1">IF(B87&gt;Summary!$A$1,#N/A,CY87*MGtoAF)</f>
        <v>352.01837180581424</v>
      </c>
      <c r="DB87" s="712">
        <f t="shared" si="329"/>
        <v>7</v>
      </c>
      <c r="DC87" s="712">
        <f t="shared" si="330"/>
        <v>22.1</v>
      </c>
      <c r="DD87" s="712">
        <f>Sheet1!AB87-DC87</f>
        <v>9.9999999997088196E-2</v>
      </c>
      <c r="DE87" s="712">
        <f t="shared" si="331"/>
        <v>4.5248868776962981E-3</v>
      </c>
      <c r="DF87" s="712">
        <f>(VLOOKUP(Sheet1!CY87,hhdcap_wcm,4)-(((VLOOKUP(Sheet1!CY87,hhdcap_wcm,3)-Sheet1!CY87)/(VLOOKUP(Sheet1!CY87,hhdcap_wcm,3)-VLOOKUP(Sheet1!CY87,hhdcap_wcm,1)))*(VLOOKUP(Sheet1!CY87,hhdcap_wcm,4)-VLOOKUP(Sheet1!CY87,hhdcap_wcm,2))))</f>
        <v>5845.4000000102496</v>
      </c>
      <c r="DG87" s="712">
        <f t="shared" si="332"/>
        <v>286.96000000075401</v>
      </c>
      <c r="DH87" s="712">
        <f t="shared" si="333"/>
        <v>144.71003530043063</v>
      </c>
      <c r="DI87" s="712">
        <f>Sheet1!DW87*AFtoMG</f>
        <v>0</v>
      </c>
      <c r="DJ87" s="712">
        <f>Sheet1!DX87*AFtoMG</f>
        <v>0</v>
      </c>
      <c r="DK87" s="712">
        <f>Sheet1!DY87*AFtoMG</f>
        <v>0</v>
      </c>
      <c r="DL87" s="712">
        <f>Sheet1!DZ87*AFtoMG</f>
        <v>0</v>
      </c>
      <c r="DM87" s="712">
        <f t="shared" si="334"/>
        <v>0</v>
      </c>
      <c r="DN87" s="712">
        <f t="shared" si="335"/>
        <v>0</v>
      </c>
      <c r="DO87" s="712">
        <f t="shared" si="336"/>
        <v>818.70510028370586</v>
      </c>
      <c r="DP87" s="712">
        <f t="shared" si="337"/>
        <v>2511.7872476704097</v>
      </c>
      <c r="DQ87" s="712"/>
      <c r="DR87" s="697">
        <f>IF(OR(B87&lt;FL87,B87&gt;FM87),(MIN(AV87+BO87+CJ87+MAX(Sheet1!AA87+AG87-73,0),K87)),0)</f>
        <v>7.0316742081438743</v>
      </c>
      <c r="DS87" s="712"/>
      <c r="DT87" s="712">
        <f t="shared" si="338"/>
        <v>7.0316742081438743</v>
      </c>
      <c r="DU87" s="712"/>
      <c r="DV87" s="712">
        <f>Sheet1!ED87+Sheet1!EE87+Sheet1!EF87+Sheet1!EG87</f>
        <v>8.5</v>
      </c>
      <c r="DW87" s="712"/>
      <c r="DX87" s="697">
        <f t="shared" si="376"/>
        <v>0</v>
      </c>
      <c r="DY87" s="712">
        <f>IF(Sheet1!FN87=1,SUM('Calculations II'!AT87:BA87)+'Calculations II'!BC87+Sheet1!BU87+'Calculations II'!BE87+AF87,SUM('Calculations II'!AT87:BA87)+'Calculations II'!BC87+Sheet1!BU87+'Calculations II'!BE87+AF87)</f>
        <v>42.520384</v>
      </c>
      <c r="DZ87" s="712">
        <f>Sheet1!AA87+Sheet1!AB87+'Calculations II'!BC87</f>
        <v>51.669999999998254</v>
      </c>
      <c r="EA87" s="712"/>
      <c r="EB87" s="712"/>
      <c r="EC87" s="712">
        <f t="shared" si="339"/>
        <v>40616</v>
      </c>
      <c r="ED87" s="712">
        <f t="shared" si="340"/>
        <v>57.608325791856124</v>
      </c>
      <c r="EE87" s="712">
        <f t="shared" si="341"/>
        <v>89.120080000001423</v>
      </c>
      <c r="EF87" s="712">
        <f>-(VLOOKUP(Sheet1!BQ87,Lookup!$B$4:$J$236,2)-VLOOKUP(Sheet1!BQ86,Lookup!$B$4:$J$236,2))/1000000</f>
        <v>0</v>
      </c>
      <c r="EG87" s="712">
        <f>-(VLOOKUP(Sheet1!BR87,Lookup!$B$4:$J$236,3)-VLOOKUP(Sheet1!BR86,Lookup!$B$4:$J$236,3))/1000000</f>
        <v>0</v>
      </c>
      <c r="EH87" s="712">
        <f>-(VLOOKUP(Sheet1!BS87,Lookup!$B$4:$J$236,4)-VLOOKUP(Sheet1!BS86,Lookup!$B$4:$J$236,4))/1000000</f>
        <v>0</v>
      </c>
      <c r="EI87" s="697">
        <f t="shared" si="380"/>
        <v>0</v>
      </c>
      <c r="EJ87" s="712"/>
      <c r="EK87" s="712"/>
      <c r="EL87" s="712"/>
      <c r="EM87" s="712"/>
      <c r="EN87" s="712"/>
      <c r="EO87" s="712"/>
      <c r="EP87" s="712"/>
      <c r="EQ87" s="712"/>
      <c r="ER87" s="697">
        <v>0</v>
      </c>
      <c r="ES87" s="712"/>
      <c r="ET87" s="794" t="e">
        <f t="shared" si="342"/>
        <v>#N/A</v>
      </c>
      <c r="EU87" s="794" t="e">
        <f t="shared" si="363"/>
        <v>#VALUE!</v>
      </c>
      <c r="EV87" s="795" t="e">
        <f t="shared" si="364"/>
        <v>#VALUE!</v>
      </c>
      <c r="EW87" s="796" t="s">
        <v>757</v>
      </c>
      <c r="EX87" s="796" t="s">
        <v>757</v>
      </c>
      <c r="EY87" s="794">
        <v>0</v>
      </c>
      <c r="EZ87" s="794" t="e">
        <v>#N/A</v>
      </c>
      <c r="FA87" s="712"/>
      <c r="FB87" s="712"/>
      <c r="FC87" s="712"/>
      <c r="FD87" s="712"/>
      <c r="FE87" s="712">
        <f>O87+Sheet1!CO87</f>
        <v>51.669999999998254</v>
      </c>
      <c r="FF87" s="712">
        <f>IF(Sheet1!AA87+AG87&lt;=Calculation!N87,AG87,Calculation!N87-Sheet1!AA87)</f>
        <v>15.168325791853214</v>
      </c>
      <c r="FG87" s="712">
        <f>(Sheet1!BP87+Sheet1!BO87)/694.4</f>
        <v>1.4269873271889402</v>
      </c>
      <c r="FH87" s="712"/>
      <c r="FI87" s="712"/>
      <c r="FJ87" s="712"/>
      <c r="FK87" s="712"/>
      <c r="FL87" s="714">
        <f t="shared" si="381"/>
        <v>40753</v>
      </c>
      <c r="FM87" s="714">
        <f t="shared" si="382"/>
        <v>40851</v>
      </c>
      <c r="FN87" s="712"/>
      <c r="FO87" s="712"/>
      <c r="FP87" s="712"/>
      <c r="FQ87" s="712"/>
      <c r="FR87" s="712"/>
      <c r="FS87" s="725">
        <f t="shared" si="383"/>
        <v>40603</v>
      </c>
      <c r="FT87" s="714">
        <f t="shared" si="384"/>
        <v>40709</v>
      </c>
      <c r="FU87" s="712">
        <f t="shared" si="385"/>
        <v>6518.9048239895692</v>
      </c>
      <c r="FV87" s="714">
        <f t="shared" si="386"/>
        <v>40722</v>
      </c>
      <c r="FW87" s="712">
        <f t="shared" si="387"/>
        <v>3259.4524119947846</v>
      </c>
      <c r="FX87" s="725">
        <f t="shared" si="388"/>
        <v>40851</v>
      </c>
      <c r="FZ87" s="697">
        <f t="shared" si="365"/>
        <v>0</v>
      </c>
      <c r="GA87" s="712" t="str">
        <f t="shared" si="343"/>
        <v/>
      </c>
      <c r="GB87" s="712">
        <f t="shared" si="344"/>
        <v>0</v>
      </c>
      <c r="GC87" s="712" t="str">
        <f t="shared" si="345"/>
        <v/>
      </c>
      <c r="GD87" s="712">
        <f>IF(GA87="P",Lookup!$M$12,IF(GA87="PP",Lookup!$M$13,IF(GA87="PPP",Lookup!$M$14,IF(GA87="T",Lookup!$M$15,IF(GA87="TP",Lookup!$M$16,IF(GA87="TPP",Lookup!$M$17,IF(GA87="TPPP",Lookup!$M$18,0)))))))*FZ87</f>
        <v>0</v>
      </c>
      <c r="GE87" s="712">
        <f t="shared" si="346"/>
        <v>0</v>
      </c>
      <c r="GF87" s="712">
        <f t="shared" si="347"/>
        <v>1156.8405333333333</v>
      </c>
      <c r="GG87" s="712">
        <f t="shared" si="348"/>
        <v>377.06666666666666</v>
      </c>
      <c r="GH87" s="712"/>
      <c r="GI87" s="712">
        <f t="shared" si="349"/>
        <v>0</v>
      </c>
      <c r="GJ87" s="712" t="str">
        <f t="shared" si="350"/>
        <v/>
      </c>
      <c r="GK87" s="712">
        <f>IF(GA87="P",Lookup!$N$12,IF(GA87="PP",Lookup!$N$13,IF(GA87="PPP",Lookup!$N$14,IF(GA87="T",Lookup!$N$15,IF(GA87="TP",Lookup!$N$16,IF(GA87="TPP",Lookup!$N$17,IF(GA87="TPPP",Lookup!$N$18,0)))))))*FZ87</f>
        <v>0</v>
      </c>
      <c r="GL87" s="712">
        <f t="shared" si="351"/>
        <v>0</v>
      </c>
      <c r="GM87" s="712">
        <f t="shared" si="352"/>
        <v>539.85891555555565</v>
      </c>
      <c r="GN87" s="712">
        <f t="shared" si="353"/>
        <v>175.96444444444447</v>
      </c>
      <c r="GO87" s="712"/>
      <c r="GP87" s="712">
        <f t="shared" si="354"/>
        <v>0</v>
      </c>
      <c r="GQ87" s="712" t="str">
        <f t="shared" si="355"/>
        <v/>
      </c>
      <c r="GR87" s="712">
        <f>IF(GA87="P",Lookup!$N$12,IF(GA87="PP",Lookup!$N$13,IF(GA87="PPP",Lookup!$N$14,IF(GA87="T",Lookup!$N$15,IF(GA87="TP",Lookup!$N$16,IF(GA87="TPP",Lookup!$N$17,IF(GA87="TPPP",Lookup!$N$18,0)))))))*FZ87</f>
        <v>0</v>
      </c>
      <c r="GS87" s="697">
        <f t="shared" si="377"/>
        <v>0</v>
      </c>
      <c r="GT87" s="712">
        <f t="shared" si="356"/>
        <v>463.06942697570634</v>
      </c>
      <c r="GU87" s="712">
        <f t="shared" si="357"/>
        <v>150.9352760677009</v>
      </c>
      <c r="GV87" s="712"/>
      <c r="GW87" s="712">
        <f t="shared" si="358"/>
        <v>0</v>
      </c>
      <c r="GX87" s="712" t="str">
        <f t="shared" si="359"/>
        <v/>
      </c>
      <c r="GY87" s="712">
        <f>IF(GA87="P",Lookup!$N$12,IF(GA87="PP",Lookup!$N$13,IF(GA87="PPP",Lookup!$N$14,IF(GA87="T",Lookup!$N$15,IF(GA87="TP",Lookup!$N$16,IF(GA87="TPP",Lookup!$N$17,IF(GA87="TPPP",Lookup!$N$18,0)))))))*FZ87</f>
        <v>0</v>
      </c>
      <c r="GZ87" s="697">
        <f t="shared" si="378"/>
        <v>0</v>
      </c>
      <c r="HA87" s="712">
        <f t="shared" si="360"/>
        <v>352.01837180581424</v>
      </c>
      <c r="HB87" s="712">
        <f t="shared" si="361"/>
        <v>114.73871310489382</v>
      </c>
      <c r="HC87" s="712"/>
    </row>
    <row r="88" spans="1:211">
      <c r="A88" s="773" t="s">
        <v>5</v>
      </c>
      <c r="B88" s="708">
        <v>40617</v>
      </c>
      <c r="C88" s="719">
        <v>0.5</v>
      </c>
      <c r="D88" s="675">
        <f t="shared" si="366"/>
        <v>300</v>
      </c>
      <c r="E88" s="675">
        <f t="shared" si="367"/>
        <v>250</v>
      </c>
      <c r="F88" s="710">
        <v>250</v>
      </c>
      <c r="G88" s="712">
        <f>DH88+Sheet1!CV88</f>
        <v>1359.0410595326907</v>
      </c>
      <c r="H88" s="712">
        <f t="shared" si="294"/>
        <v>611.52094088193121</v>
      </c>
      <c r="I88" s="711">
        <f>MAX(Sheet1!Z88-AJ88+(Sheet1!CW88-E88)*CFStoMGD,0)</f>
        <v>1193.7073006724293</v>
      </c>
      <c r="J88" s="720">
        <f>IF(AND(B88&gt;=Calculation!FS88,B88&lt;=Calculation!FT88),IF(Sheet1!CX88&gt;=Calculation!D88,64.64,0),MAX(Sheet1!Z88-AJ88+(Sheet1!CX88-D88)*CFStoMGD,0))</f>
        <v>64.64</v>
      </c>
      <c r="K88" s="697">
        <f t="shared" si="368"/>
        <v>64.64</v>
      </c>
      <c r="L88" s="712">
        <f>Sheet1!AA88+Sheet1!AB88-Sheet1!L88+(Sheet1!CW88-F88)*CFStoMGD</f>
        <v>1238.636666666665</v>
      </c>
      <c r="M88" s="712">
        <f t="shared" si="295"/>
        <v>896.05382369956999</v>
      </c>
      <c r="N88" s="712">
        <f>IF(Sheet1!CW88&gt;=F88,MIN(73,MIN(MAX(L88,0),MAX(M88,0))),0)</f>
        <v>73</v>
      </c>
      <c r="O88" s="721">
        <f>Sheet1!AA88+Sheet1!AB88</f>
        <v>49.849999999998545</v>
      </c>
      <c r="P88" s="721">
        <f t="shared" si="296"/>
        <v>77.117949999997748</v>
      </c>
      <c r="Q88" s="712">
        <f>MIN(N88,Sheet1!AA88+AG88)</f>
        <v>45.959365994234574</v>
      </c>
      <c r="R88" s="712">
        <f t="shared" si="297"/>
        <v>3.8906340057639697</v>
      </c>
      <c r="S88" s="721">
        <f>Sheet1!Y88*MGDtoCFS</f>
        <v>46.224359999999997</v>
      </c>
      <c r="T88" s="721">
        <f>Sheet1!Z88*MGDtoCFS</f>
        <v>27.583009999999994</v>
      </c>
      <c r="U88" s="721">
        <f>Sheet1!AA88*MGDtoCFS</f>
        <v>45.945899999995497</v>
      </c>
      <c r="V88" s="721">
        <f>Sheet1!AB88*MGDtoCFS</f>
        <v>31.172050000002251</v>
      </c>
      <c r="W88" s="721">
        <f>Sheet1!L88*MGDtoCFS</f>
        <v>5.1824500000005624</v>
      </c>
      <c r="X88" s="697">
        <f t="shared" si="369"/>
        <v>0</v>
      </c>
      <c r="Y88" s="712">
        <f t="shared" si="298"/>
        <v>0</v>
      </c>
      <c r="Z88" s="712">
        <f t="shared" si="299"/>
        <v>60.74936599423603</v>
      </c>
      <c r="AA88" s="712">
        <f t="shared" si="300"/>
        <v>93.979269193083127</v>
      </c>
      <c r="AB88" s="712">
        <f>(VLOOKUP(Sheet1!CY88,hhdcap_wcm,4)-(((VLOOKUP(Sheet1!CY88,hhdcap_wcm,3)-Sheet1!CY88)/(VLOOKUP(Sheet1!CY88,hhdcap_wcm,3)-VLOOKUP(Sheet1!CY88,hhdcap_wcm,1)))*(VLOOKUP(Sheet1!CY88,hhdcap_wcm,4)-VLOOKUP(Sheet1!CY88,hhdcap_wcm,2))))</f>
        <v>6234.8800000109441</v>
      </c>
      <c r="AC88" s="712">
        <f t="shared" si="301"/>
        <v>389.48000000069442</v>
      </c>
      <c r="AD88" s="712">
        <f t="shared" si="370"/>
        <v>879.45446627794183</v>
      </c>
      <c r="AE88" s="712">
        <f t="shared" si="302"/>
        <v>2698.1663025407256</v>
      </c>
      <c r="AF88" s="712">
        <f>Sheet1!BA88+Sheet1!BB88+Sheet1!BN88+BT88</f>
        <v>16.8</v>
      </c>
      <c r="AG88" s="712">
        <f t="shared" si="303"/>
        <v>16.259365994237484</v>
      </c>
      <c r="AH88" s="712">
        <f>Sheet1!BA88+BT88</f>
        <v>0</v>
      </c>
      <c r="AI88" s="712">
        <f>Sheet1!BA88+Sheet1!BB88+BT88</f>
        <v>0</v>
      </c>
      <c r="AJ88" s="712">
        <f>IF((Sheet1!AA88+AG88+AX88+AZ88+BQ88+BS88+CL88+CN88)&lt;=N88,AG88+AX88+AZ88+BQ88+BS88+CL88+CN88,N88-Sheet1!AA88)</f>
        <v>16.259365994237484</v>
      </c>
      <c r="AK88" s="712">
        <f>IF(DR88&lt;K88,0,MAX(Sheet1!AA88+AG88-15/36*K88-N88,Sheet1!ED88,0))</f>
        <v>0</v>
      </c>
      <c r="AL88" s="712">
        <f>IF(OR(B88&gt;=FT88,B88&lt;FS88),0,15/36*K88-MAX(0,64.6-(137.6-(Sheet1!AA88+Sheet1!AB88))))</f>
        <v>26.933333333333334</v>
      </c>
      <c r="AM88" s="712">
        <f>Sheet1!CX88-110</f>
        <v>1075.1041666666667</v>
      </c>
      <c r="AN88" s="712">
        <f>Sheet1!CW88-265</f>
        <v>1829.2708333333335</v>
      </c>
      <c r="AO88" s="712">
        <f t="shared" si="371"/>
        <v>27.040634005765426</v>
      </c>
      <c r="AP88" s="712">
        <f t="shared" si="372"/>
        <v>0</v>
      </c>
      <c r="AQ88" s="712">
        <f t="shared" si="304"/>
        <v>0</v>
      </c>
      <c r="AR88" s="712">
        <f t="shared" si="305"/>
        <v>404</v>
      </c>
      <c r="AS88" s="712"/>
      <c r="AT88" s="712">
        <f ca="1">IF(B88&gt;Summary!$A$1,#N/A,AR88*MGtoAF)</f>
        <v>1239.472</v>
      </c>
      <c r="AU88" s="712">
        <f>Sheet1!BG88+Sheet1!BH88+Sheet1!BI88-BC88</f>
        <v>0</v>
      </c>
      <c r="AV88" s="712">
        <f t="shared" si="306"/>
        <v>0</v>
      </c>
      <c r="AW88" s="712">
        <f>IF(Sheet1!EL88="FM",BC88,0)</f>
        <v>0</v>
      </c>
      <c r="AX88" s="712">
        <f t="shared" si="307"/>
        <v>0</v>
      </c>
      <c r="AY88" s="712">
        <f>IF(Sheet1!EL88="OTHER",BC88,0)</f>
        <v>0</v>
      </c>
      <c r="AZ88" s="712">
        <f t="shared" si="308"/>
        <v>0</v>
      </c>
      <c r="BA88" s="712">
        <f t="shared" si="309"/>
        <v>0</v>
      </c>
      <c r="BB88" s="712">
        <f t="shared" si="310"/>
        <v>0</v>
      </c>
      <c r="BC88" s="712">
        <f>IF(OR(Sheet1!EL88="FM", Sheet1!EL88="OTHER"),SUM(Sheet1!BG88:'Sheet1'!BI88),0)</f>
        <v>0</v>
      </c>
      <c r="BD88" s="697">
        <f>IF(AND($B88&gt;=$FL88,$B88&lt;=$FM88),MAX(AV88,Sheet1!EE88,0),MAX(AV88-(7/36)*$K88,0))</f>
        <v>0</v>
      </c>
      <c r="BE88" s="712">
        <f t="shared" si="311"/>
        <v>12.568888888888889</v>
      </c>
      <c r="BF88" s="697">
        <f t="shared" si="373"/>
        <v>0</v>
      </c>
      <c r="BG88" s="697">
        <f>IF(AND($O88&gt;0,Sheet1!EI88=1),(1-($O88-Sheet1!$L88)/$O88)*BB88,0)</f>
        <v>0</v>
      </c>
      <c r="BH88" s="697">
        <f>IF(AND(Sheet1!$L88=0,Sheet1!$L87=0, Calculation!BA88&lt;Sheet1!$EE88-0.1,Sheet1!$EE88=Sheet1!$EE87,Sheet1!$EE88=Sheet1!$EE89),Sheet1!$EE88,BB88-BG88)</f>
        <v>0</v>
      </c>
      <c r="BI88" s="712"/>
      <c r="BJ88" s="712"/>
      <c r="BK88" s="712">
        <f t="shared" si="312"/>
        <v>188.53333333333336</v>
      </c>
      <c r="BL88" s="712"/>
      <c r="BM88" s="712">
        <f ca="1">IF(B88&gt;Summary!$A$1,#N/A,BK88*MGtoAF)</f>
        <v>578.42026666666675</v>
      </c>
      <c r="BN88" s="712">
        <f>Sheet1!BC88+Sheet1!BD88+Sheet1!BE88+Sheet1!BF88-BW88-BX88</f>
        <v>1.17</v>
      </c>
      <c r="BO88" s="712">
        <f t="shared" si="313"/>
        <v>1.1323487031701105</v>
      </c>
      <c r="BP88" s="712">
        <f>IF(Sheet1!EM88="FM",BX88,0)</f>
        <v>0</v>
      </c>
      <c r="BQ88" s="712">
        <f t="shared" si="314"/>
        <v>0</v>
      </c>
      <c r="BR88" s="712">
        <f>IF(Sheet1!EM88="OTHER",BX88,0)</f>
        <v>0</v>
      </c>
      <c r="BS88" s="712">
        <f t="shared" si="315"/>
        <v>0</v>
      </c>
      <c r="BT88" s="712">
        <f t="shared" si="316"/>
        <v>0</v>
      </c>
      <c r="BU88" s="712">
        <f t="shared" si="317"/>
        <v>1.17</v>
      </c>
      <c r="BV88" s="712">
        <f t="shared" si="318"/>
        <v>1.1323487031701105</v>
      </c>
      <c r="BW88" s="712">
        <f>IF(Sheet1!EM88="CWA",SUM(Sheet1!BC88:'Sheet1'!BF88),0)</f>
        <v>0</v>
      </c>
      <c r="BX88" s="712">
        <f>IF(OR(Sheet1!EM88="FM", Sheet1!EM88="OTHER"),SUM(Sheet1!BC88:'Sheet1'!BF88),0)</f>
        <v>0</v>
      </c>
      <c r="BY88" s="697">
        <f>IF(AND($B88&gt;=$FL88,$B88&lt;=$FM88),MAX(BV88,Sheet1!EF88,0),MAX(BV88-(7/36)*$K88,0))</f>
        <v>0</v>
      </c>
      <c r="BZ88" s="712">
        <f t="shared" si="319"/>
        <v>11.436540185718778</v>
      </c>
      <c r="CA88" s="697">
        <f t="shared" si="374"/>
        <v>1.1323487031701105</v>
      </c>
      <c r="CB88" s="697">
        <f>IF(AND($O88&gt;0,Sheet1!EJ88=1),(1-($O88-Sheet1!$L88)/$O88)*BV88,0)</f>
        <v>0</v>
      </c>
      <c r="CC88" s="697">
        <f>IF(AND(Sheet1!$L88=0,Sheet1!$L87=0, Calculation!BU88&lt;Sheet1!EF88-0.1,Sheet1!EF88=Sheet1!EF87,Sheet1!EF88=Sheet1!EF89),Sheet1!EF88,BV88-CB88)</f>
        <v>1.1323487031701105</v>
      </c>
      <c r="CD88" s="697"/>
      <c r="CE88" s="712"/>
      <c r="CF88" s="712">
        <f t="shared" si="320"/>
        <v>162.37181625341967</v>
      </c>
      <c r="CG88" s="712"/>
      <c r="CH88" s="712">
        <f ca="1">IF(B88&gt;Summary!$A$1,#N/A,CF88*MGtoAF)</f>
        <v>498.15673226549154</v>
      </c>
      <c r="CI88" s="712">
        <f>Sheet1!BK88+Sheet1!BL88+Sheet1!BM88-Sheet1!EN88-CQ88</f>
        <v>2.85</v>
      </c>
      <c r="CJ88" s="712">
        <f t="shared" si="321"/>
        <v>2.7582853025938592</v>
      </c>
      <c r="CK88" s="712">
        <f>IF(Sheet1!EN88="FM",CQ88,0)</f>
        <v>0</v>
      </c>
      <c r="CL88" s="712">
        <f t="shared" si="322"/>
        <v>0</v>
      </c>
      <c r="CM88" s="712">
        <f>IF(Sheet1!EN88="OTHER",CQ88,0)</f>
        <v>0</v>
      </c>
      <c r="CN88" s="712">
        <f t="shared" si="323"/>
        <v>0</v>
      </c>
      <c r="CO88" s="712">
        <f t="shared" si="324"/>
        <v>2.85</v>
      </c>
      <c r="CP88" s="712">
        <f t="shared" si="325"/>
        <v>2.7582853025938592</v>
      </c>
      <c r="CQ88" s="712">
        <f>IF(OR(Sheet1!EN88="FM", Sheet1!EN88="OTHER"),SUM(Sheet1!BK88:'Sheet1'!BM88),0)</f>
        <v>0</v>
      </c>
      <c r="CR88" s="697">
        <f>IF(AND($B88&gt;=$FL88,$B88&lt;=$FM88),MAX($CJ88,Sheet1!EG88,0),MAX($CJ88-(7/36)*$K88,0))</f>
        <v>0</v>
      </c>
      <c r="CS88" s="712">
        <f t="shared" si="326"/>
        <v>9.8106035862950307</v>
      </c>
      <c r="CT88" s="697">
        <f t="shared" si="375"/>
        <v>2.7582853025938592</v>
      </c>
      <c r="CU88" s="697">
        <f>IF(AND($O88&gt;0,Sheet1!EK88=1),(1-($O88-Sheet1!$L88)/$O88)*CP88,0)</f>
        <v>0</v>
      </c>
      <c r="CV88" s="697">
        <f>IF(AND(Sheet1!$L88=0,Sheet1!$L87=0, Calculation!CO88&lt;Sheet1!$EG88-0.1,Sheet1!$EG88=Sheet1!$EG87,Sheet1!$EG88=Sheet1!$EG89),Sheet1!$EG88,CP88-CU88)</f>
        <v>2.7582853025938592</v>
      </c>
      <c r="CW88" s="697">
        <f t="shared" si="362"/>
        <v>0</v>
      </c>
      <c r="CX88" s="712">
        <f t="shared" si="379"/>
        <v>4.0199999999999996</v>
      </c>
      <c r="CY88" s="712">
        <f t="shared" si="327"/>
        <v>124.54931669118885</v>
      </c>
      <c r="CZ88" s="712">
        <f t="shared" si="328"/>
        <v>3.8906340057639697</v>
      </c>
      <c r="DA88" s="712">
        <f ca="1">IF(B88&gt;Summary!$A$1,#N/A,CY88*MGtoAF)</f>
        <v>382.1173036085674</v>
      </c>
      <c r="DB88" s="712">
        <f t="shared" si="329"/>
        <v>4.0199999999999996</v>
      </c>
      <c r="DC88" s="712">
        <f t="shared" si="330"/>
        <v>20.82</v>
      </c>
      <c r="DD88" s="712">
        <f>Sheet1!AB88-DC88</f>
        <v>-0.66999999999854509</v>
      </c>
      <c r="DE88" s="712">
        <f t="shared" si="331"/>
        <v>-3.2180595581102069E-2</v>
      </c>
      <c r="DF88" s="712">
        <f>(VLOOKUP(Sheet1!CY88,hhdcap_wcm,4)-(((VLOOKUP(Sheet1!CY88,hhdcap_wcm,3)-Sheet1!CY88)/(VLOOKUP(Sheet1!CY88,hhdcap_wcm,3)-VLOOKUP(Sheet1!CY88,hhdcap_wcm,1)))*(VLOOKUP(Sheet1!CY88,hhdcap_wcm,4)-VLOOKUP(Sheet1!CY88,hhdcap_wcm,2))))</f>
        <v>6234.8800000109441</v>
      </c>
      <c r="DG88" s="712">
        <f t="shared" si="332"/>
        <v>389.48000000069442</v>
      </c>
      <c r="DH88" s="712">
        <f t="shared" si="333"/>
        <v>196.40948058532243</v>
      </c>
      <c r="DI88" s="712">
        <f>Sheet1!DW88*AFtoMG</f>
        <v>0</v>
      </c>
      <c r="DJ88" s="712">
        <f>Sheet1!DX88*AFtoMG</f>
        <v>0</v>
      </c>
      <c r="DK88" s="712">
        <f>Sheet1!DY88*AFtoMG</f>
        <v>0</v>
      </c>
      <c r="DL88" s="712">
        <f>Sheet1!DZ88*AFtoMG</f>
        <v>0</v>
      </c>
      <c r="DM88" s="712">
        <f t="shared" si="334"/>
        <v>0</v>
      </c>
      <c r="DN88" s="712">
        <f t="shared" si="335"/>
        <v>0</v>
      </c>
      <c r="DO88" s="712">
        <f t="shared" si="336"/>
        <v>879.45446627794183</v>
      </c>
      <c r="DP88" s="712">
        <f t="shared" si="337"/>
        <v>2698.1663025407256</v>
      </c>
      <c r="DQ88" s="712"/>
      <c r="DR88" s="697">
        <f>IF(OR(B88&lt;FL88,B88&gt;FM88),(MIN(AV88+BO88+CJ88+MAX(Sheet1!AA88+AG88-73,0),K88)),0)</f>
        <v>3.8906340057639697</v>
      </c>
      <c r="DS88" s="712"/>
      <c r="DT88" s="712">
        <f t="shared" si="338"/>
        <v>3.8906340057639697</v>
      </c>
      <c r="DU88" s="712"/>
      <c r="DV88" s="712">
        <f>Sheet1!ED88+Sheet1!EE88+Sheet1!EF88+Sheet1!EG88</f>
        <v>8.5</v>
      </c>
      <c r="DW88" s="712"/>
      <c r="DX88" s="697">
        <f t="shared" si="376"/>
        <v>0</v>
      </c>
      <c r="DY88" s="712">
        <f>IF(Sheet1!FN88=1,SUM('Calculations II'!AT88:BA88)+'Calculations II'!BC88+Sheet1!BU88+'Calculations II'!BE88+AF88,SUM('Calculations II'!AT88:BA88)+'Calculations II'!BC88+Sheet1!BU88+'Calculations II'!BE88+AF88)</f>
        <v>44.954847999999998</v>
      </c>
      <c r="DZ88" s="712">
        <f>Sheet1!AA88+Sheet1!AB88+'Calculations II'!BC88</f>
        <v>49.849999999998545</v>
      </c>
      <c r="EA88" s="712"/>
      <c r="EB88" s="712"/>
      <c r="EC88" s="712">
        <f t="shared" si="339"/>
        <v>40617</v>
      </c>
      <c r="ED88" s="712">
        <f t="shared" si="340"/>
        <v>60.74936599423603</v>
      </c>
      <c r="EE88" s="712">
        <f t="shared" si="341"/>
        <v>93.979269193083127</v>
      </c>
      <c r="EF88" s="712">
        <f>-(VLOOKUP(Sheet1!BQ88,Lookup!$B$4:$J$236,2)-VLOOKUP(Sheet1!BQ87,Lookup!$B$4:$J$236,2))/1000000</f>
        <v>0.27050000000000002</v>
      </c>
      <c r="EG88" s="712">
        <f>-(VLOOKUP(Sheet1!BR88,Lookup!$B$4:$J$236,3)-VLOOKUP(Sheet1!BR87,Lookup!$B$4:$J$236,3))/1000000</f>
        <v>0.27</v>
      </c>
      <c r="EH88" s="712">
        <f>-(VLOOKUP(Sheet1!BS88,Lookup!$B$4:$J$236,4)-VLOOKUP(Sheet1!BS87,Lookup!$B$4:$J$236,4))/1000000</f>
        <v>0</v>
      </c>
      <c r="EI88" s="697">
        <f t="shared" si="380"/>
        <v>0.54049999999999998</v>
      </c>
      <c r="EJ88" s="712"/>
      <c r="EK88" s="712"/>
      <c r="EL88" s="712"/>
      <c r="EM88" s="712"/>
      <c r="EN88" s="712"/>
      <c r="EO88" s="712"/>
      <c r="EP88" s="712"/>
      <c r="EQ88" s="712"/>
      <c r="ER88" s="697">
        <v>0</v>
      </c>
      <c r="ES88" s="712"/>
      <c r="ET88" s="794" t="e">
        <f t="shared" si="342"/>
        <v>#N/A</v>
      </c>
      <c r="EU88" s="794" t="e">
        <f t="shared" si="363"/>
        <v>#VALUE!</v>
      </c>
      <c r="EV88" s="795" t="e">
        <f t="shared" si="364"/>
        <v>#VALUE!</v>
      </c>
      <c r="EW88" s="796" t="s">
        <v>757</v>
      </c>
      <c r="EX88" s="796" t="s">
        <v>757</v>
      </c>
      <c r="EY88" s="794">
        <v>0</v>
      </c>
      <c r="EZ88" s="794" t="e">
        <v>#N/A</v>
      </c>
      <c r="FA88" s="712"/>
      <c r="FB88" s="712"/>
      <c r="FC88" s="712"/>
      <c r="FD88" s="712"/>
      <c r="FE88" s="712">
        <f>O88+Sheet1!CO88</f>
        <v>49.849999999998545</v>
      </c>
      <c r="FF88" s="712">
        <f>IF(Sheet1!AA88+AG88&lt;=Calculation!N88,AG88,Calculation!N88-Sheet1!AA88)</f>
        <v>16.259365994237484</v>
      </c>
      <c r="FG88" s="712">
        <f>(Sheet1!BP88+Sheet1!BO88)/694.4</f>
        <v>2.0637960829493087</v>
      </c>
      <c r="FH88" s="712"/>
      <c r="FI88" s="712"/>
      <c r="FJ88" s="712"/>
      <c r="FK88" s="712"/>
      <c r="FL88" s="714">
        <f t="shared" si="381"/>
        <v>40753</v>
      </c>
      <c r="FM88" s="714">
        <f t="shared" si="382"/>
        <v>40851</v>
      </c>
      <c r="FN88" s="712"/>
      <c r="FO88" s="712"/>
      <c r="FP88" s="712"/>
      <c r="FQ88" s="712"/>
      <c r="FR88" s="712"/>
      <c r="FS88" s="725">
        <f t="shared" si="383"/>
        <v>40603</v>
      </c>
      <c r="FT88" s="714">
        <f t="shared" si="384"/>
        <v>40709</v>
      </c>
      <c r="FU88" s="712">
        <f t="shared" si="385"/>
        <v>6518.9048239895692</v>
      </c>
      <c r="FV88" s="714">
        <f t="shared" si="386"/>
        <v>40722</v>
      </c>
      <c r="FW88" s="712">
        <f t="shared" si="387"/>
        <v>3259.4524119947846</v>
      </c>
      <c r="FX88" s="725">
        <f t="shared" si="388"/>
        <v>40851</v>
      </c>
      <c r="FZ88" s="697">
        <f t="shared" si="365"/>
        <v>0</v>
      </c>
      <c r="GA88" s="712" t="str">
        <f t="shared" si="343"/>
        <v/>
      </c>
      <c r="GB88" s="712">
        <f t="shared" si="344"/>
        <v>0</v>
      </c>
      <c r="GC88" s="712" t="str">
        <f t="shared" si="345"/>
        <v/>
      </c>
      <c r="GD88" s="712">
        <f>IF(GA88="P",Lookup!$M$12,IF(GA88="PP",Lookup!$M$13,IF(GA88="PPP",Lookup!$M$14,IF(GA88="T",Lookup!$M$15,IF(GA88="TP",Lookup!$M$16,IF(GA88="TPP",Lookup!$M$17,IF(GA88="TPPP",Lookup!$M$18,0)))))))*FZ88</f>
        <v>0</v>
      </c>
      <c r="GE88" s="712">
        <f t="shared" si="346"/>
        <v>0</v>
      </c>
      <c r="GF88" s="712">
        <f t="shared" si="347"/>
        <v>1239.472</v>
      </c>
      <c r="GG88" s="712">
        <f t="shared" si="348"/>
        <v>404</v>
      </c>
      <c r="GH88" s="712"/>
      <c r="GI88" s="712">
        <f t="shared" si="349"/>
        <v>0</v>
      </c>
      <c r="GJ88" s="712" t="str">
        <f t="shared" si="350"/>
        <v/>
      </c>
      <c r="GK88" s="712">
        <f>IF(GA88="P",Lookup!$N$12,IF(GA88="PP",Lookup!$N$13,IF(GA88="PPP",Lookup!$N$14,IF(GA88="T",Lookup!$N$15,IF(GA88="TP",Lookup!$N$16,IF(GA88="TPP",Lookup!$N$17,IF(GA88="TPPP",Lookup!$N$18,0)))))))*FZ88</f>
        <v>0</v>
      </c>
      <c r="GL88" s="712">
        <f t="shared" si="351"/>
        <v>0</v>
      </c>
      <c r="GM88" s="712">
        <f t="shared" si="352"/>
        <v>578.42026666666675</v>
      </c>
      <c r="GN88" s="712">
        <f t="shared" si="353"/>
        <v>188.53333333333336</v>
      </c>
      <c r="GO88" s="712"/>
      <c r="GP88" s="712">
        <f t="shared" si="354"/>
        <v>0</v>
      </c>
      <c r="GQ88" s="712" t="str">
        <f t="shared" si="355"/>
        <v/>
      </c>
      <c r="GR88" s="712">
        <f>IF(GA88="P",Lookup!$N$12,IF(GA88="PP",Lookup!$N$13,IF(GA88="PPP",Lookup!$N$14,IF(GA88="T",Lookup!$N$15,IF(GA88="TP",Lookup!$N$16,IF(GA88="TPP",Lookup!$N$17,IF(GA88="TPPP",Lookup!$N$18,0)))))))*FZ88</f>
        <v>0</v>
      </c>
      <c r="GS88" s="697">
        <f t="shared" si="377"/>
        <v>0</v>
      </c>
      <c r="GT88" s="712">
        <f t="shared" si="356"/>
        <v>498.15673226549154</v>
      </c>
      <c r="GU88" s="712">
        <f t="shared" si="357"/>
        <v>162.37181625341967</v>
      </c>
      <c r="GV88" s="712"/>
      <c r="GW88" s="712">
        <f t="shared" si="358"/>
        <v>0</v>
      </c>
      <c r="GX88" s="712" t="str">
        <f t="shared" si="359"/>
        <v/>
      </c>
      <c r="GY88" s="712">
        <f>IF(GA88="P",Lookup!$N$12,IF(GA88="PP",Lookup!$N$13,IF(GA88="PPP",Lookup!$N$14,IF(GA88="T",Lookup!$N$15,IF(GA88="TP",Lookup!$N$16,IF(GA88="TPP",Lookup!$N$17,IF(GA88="TPPP",Lookup!$N$18,0)))))))*FZ88</f>
        <v>0</v>
      </c>
      <c r="GZ88" s="697">
        <f t="shared" si="378"/>
        <v>0</v>
      </c>
      <c r="HA88" s="712">
        <f t="shared" si="360"/>
        <v>382.1173036085674</v>
      </c>
      <c r="HB88" s="712">
        <f t="shared" si="361"/>
        <v>124.54931669118885</v>
      </c>
      <c r="HC88" s="712"/>
    </row>
    <row r="89" spans="1:211">
      <c r="A89" s="773" t="s">
        <v>6</v>
      </c>
      <c r="B89" s="708">
        <v>40618</v>
      </c>
      <c r="C89" s="709">
        <v>0.5</v>
      </c>
      <c r="D89" s="675">
        <f t="shared" si="366"/>
        <v>300</v>
      </c>
      <c r="E89" s="675">
        <f t="shared" si="367"/>
        <v>250</v>
      </c>
      <c r="F89" s="675">
        <v>250</v>
      </c>
      <c r="G89" s="712">
        <f>DH89+Sheet1!CV89</f>
        <v>1472.3741274525485</v>
      </c>
      <c r="H89" s="712">
        <f t="shared" si="294"/>
        <v>684.77943598532727</v>
      </c>
      <c r="I89" s="711">
        <f>MAX(Sheet1!Z89-AJ89+(Sheet1!CW89-E89)*CFStoMGD,0)</f>
        <v>1284.0309393433499</v>
      </c>
      <c r="J89" s="720">
        <f>IF(AND(B89&gt;=Calculation!FS89,B89&lt;=Calculation!FT89),IF(Sheet1!CX89&gt;=Calculation!D89,64.64,0),MAX(Sheet1!Z89-AJ89+(Sheet1!CX89-D89)*CFStoMGD,0))</f>
        <v>64.64</v>
      </c>
      <c r="K89" s="697">
        <f t="shared" si="368"/>
        <v>64.64</v>
      </c>
      <c r="L89" s="712">
        <f>Sheet1!AA89+Sheet1!AB89-Sheet1!L89+(Sheet1!CW89-F89)*CFStoMGD</f>
        <v>1329.847333333342</v>
      </c>
      <c r="M89" s="712">
        <f t="shared" si="295"/>
        <v>970.77748870503387</v>
      </c>
      <c r="N89" s="712">
        <f>IF(Sheet1!CW89&gt;=F89,MIN(73,MIN(MAX(L89,0),MAX(M89,0))),0)</f>
        <v>73</v>
      </c>
      <c r="O89" s="721">
        <f>Sheet1!AA89+Sheet1!AB89</f>
        <v>54.150000000008731</v>
      </c>
      <c r="P89" s="721">
        <f t="shared" si="296"/>
        <v>83.770050000013498</v>
      </c>
      <c r="Q89" s="712">
        <f>MIN(N89,Sheet1!AA89+AG89)</f>
        <v>45.486393989992038</v>
      </c>
      <c r="R89" s="712">
        <f t="shared" si="297"/>
        <v>8.6636060100166947</v>
      </c>
      <c r="S89" s="721">
        <f>Sheet1!Y89*MGDtoCFS</f>
        <v>46.471879999999999</v>
      </c>
      <c r="T89" s="721">
        <f>Sheet1!Z89*MGDtoCFS</f>
        <v>37.004240000000003</v>
      </c>
      <c r="U89" s="721">
        <f>Sheet1!AA89*MGDtoCFS</f>
        <v>46.255300000013506</v>
      </c>
      <c r="V89" s="721">
        <f>Sheet1!AB89*MGDtoCFS</f>
        <v>37.514749999999999</v>
      </c>
      <c r="W89" s="721">
        <f>Sheet1!L89*MGDtoCFS</f>
        <v>0</v>
      </c>
      <c r="X89" s="697">
        <f t="shared" si="369"/>
        <v>0</v>
      </c>
      <c r="Y89" s="712">
        <f t="shared" si="298"/>
        <v>0</v>
      </c>
      <c r="Z89" s="712">
        <f t="shared" si="299"/>
        <v>55.976393989983308</v>
      </c>
      <c r="AA89" s="712">
        <f t="shared" si="300"/>
        <v>86.595481502504171</v>
      </c>
      <c r="AB89" s="712">
        <f>(VLOOKUP(Sheet1!CY89,hhdcap_wcm,4)-(((VLOOKUP(Sheet1!CY89,hhdcap_wcm,3)-Sheet1!CY89)/(VLOOKUP(Sheet1!CY89,hhdcap_wcm,3)-VLOOKUP(Sheet1!CY89,hhdcap_wcm,1)))*(VLOOKUP(Sheet1!CY89,hhdcap_wcm,4)-VLOOKUP(Sheet1!CY89,hhdcap_wcm,2))))</f>
        <v>6840.7500000125056</v>
      </c>
      <c r="AC89" s="712">
        <f t="shared" si="301"/>
        <v>605.87000000156149</v>
      </c>
      <c r="AD89" s="712">
        <f t="shared" si="370"/>
        <v>935.43086026792514</v>
      </c>
      <c r="AE89" s="712">
        <f t="shared" si="302"/>
        <v>2869.9018793019945</v>
      </c>
      <c r="AF89" s="712">
        <f>Sheet1!BA89+Sheet1!BB89+Sheet1!BN89+BT89</f>
        <v>15.4</v>
      </c>
      <c r="AG89" s="712">
        <f t="shared" si="303"/>
        <v>15.586393989983305</v>
      </c>
      <c r="AH89" s="712">
        <f>Sheet1!BA89+BT89</f>
        <v>0</v>
      </c>
      <c r="AI89" s="712">
        <f>Sheet1!BA89+Sheet1!BB89+BT89</f>
        <v>0</v>
      </c>
      <c r="AJ89" s="712">
        <f>IF((Sheet1!AA89+AG89+AX89+AZ89+BQ89+BS89+CL89+CN89)&lt;=N89,AG89+AX89+AZ89+BQ89+BS89+CL89+CN89,N89-Sheet1!AA89)</f>
        <v>15.586393989983305</v>
      </c>
      <c r="AK89" s="712">
        <f>IF(DR89&lt;K89,0,MAX(Sheet1!AA89+AG89-15/36*K89-N89,Sheet1!ED89,0))</f>
        <v>0</v>
      </c>
      <c r="AL89" s="712">
        <f>IF(OR(B89&gt;=FT89,B89&lt;FS89),0,15/36*K89-MAX(0,64.6-(137.6-(Sheet1!AA89+Sheet1!AB89))))</f>
        <v>26.933333333333334</v>
      </c>
      <c r="AM89" s="712">
        <f>Sheet1!CX89-110</f>
        <v>1066.25</v>
      </c>
      <c r="AN89" s="712">
        <f>Sheet1!CW89-265</f>
        <v>1958.5416666666665</v>
      </c>
      <c r="AO89" s="712">
        <f t="shared" si="371"/>
        <v>27.513606010007962</v>
      </c>
      <c r="AP89" s="712">
        <f t="shared" si="372"/>
        <v>0</v>
      </c>
      <c r="AQ89" s="712">
        <f t="shared" si="304"/>
        <v>0</v>
      </c>
      <c r="AR89" s="712">
        <f t="shared" si="305"/>
        <v>430.93333333333334</v>
      </c>
      <c r="AS89" s="712"/>
      <c r="AT89" s="712">
        <f ca="1">IF(B89&gt;Summary!$A$1,#N/A,AR89*MGtoAF)</f>
        <v>1322.1034666666667</v>
      </c>
      <c r="AU89" s="712">
        <f>Sheet1!BG89+Sheet1!BH89+Sheet1!BI89-BC89</f>
        <v>0</v>
      </c>
      <c r="AV89" s="712">
        <f t="shared" si="306"/>
        <v>0</v>
      </c>
      <c r="AW89" s="712">
        <f>IF(Sheet1!EL89="FM",BC89,0)</f>
        <v>0</v>
      </c>
      <c r="AX89" s="712">
        <f t="shared" si="307"/>
        <v>0</v>
      </c>
      <c r="AY89" s="712">
        <f>IF(Sheet1!EL89="OTHER",BC89,0)</f>
        <v>0</v>
      </c>
      <c r="AZ89" s="712">
        <f t="shared" si="308"/>
        <v>0</v>
      </c>
      <c r="BA89" s="712">
        <f t="shared" si="309"/>
        <v>0</v>
      </c>
      <c r="BB89" s="712">
        <f t="shared" si="310"/>
        <v>0</v>
      </c>
      <c r="BC89" s="712">
        <f>IF(OR(Sheet1!EL89="FM", Sheet1!EL89="OTHER"),SUM(Sheet1!BG89:'Sheet1'!BI89),0)</f>
        <v>0</v>
      </c>
      <c r="BD89" s="697">
        <f>IF(AND($B89&gt;=$FL89,$B89&lt;=$FM89),MAX(AV89,Sheet1!EE89,0),MAX(AV89-(7/36)*$K89,0))</f>
        <v>0</v>
      </c>
      <c r="BE89" s="712">
        <f t="shared" si="311"/>
        <v>12.568888888888889</v>
      </c>
      <c r="BF89" s="697">
        <f t="shared" si="373"/>
        <v>0</v>
      </c>
      <c r="BG89" s="697">
        <f>IF(AND($O89&gt;0,Sheet1!EI89=1),(1-($O89-Sheet1!$L89)/$O89)*BB89,0)</f>
        <v>0</v>
      </c>
      <c r="BH89" s="697">
        <f>IF(AND(Sheet1!$L89=0,Sheet1!$L88=0, Calculation!BA89&lt;Sheet1!$EE89-0.1,Sheet1!$EE89=Sheet1!$EE88,Sheet1!$EE89=Sheet1!$EE90),Sheet1!$EE89,BB89-BG89)</f>
        <v>0</v>
      </c>
      <c r="BI89" s="712"/>
      <c r="BJ89" s="712"/>
      <c r="BK89" s="712">
        <f t="shared" si="312"/>
        <v>201.10222222222225</v>
      </c>
      <c r="BL89" s="712"/>
      <c r="BM89" s="712">
        <f ca="1">IF(B89&gt;Summary!$A$1,#N/A,BK89*MGtoAF)</f>
        <v>616.98161777777784</v>
      </c>
      <c r="BN89" s="712">
        <f>Sheet1!BC89+Sheet1!BD89+Sheet1!BE89+Sheet1!BF89-BW89-BX89</f>
        <v>2.52</v>
      </c>
      <c r="BO89" s="712">
        <f t="shared" si="313"/>
        <v>2.550500834724541</v>
      </c>
      <c r="BP89" s="712">
        <f>IF(Sheet1!EM89="FM",BX89,0)</f>
        <v>0</v>
      </c>
      <c r="BQ89" s="712">
        <f t="shared" si="314"/>
        <v>0</v>
      </c>
      <c r="BR89" s="712">
        <f>IF(Sheet1!EM89="OTHER",BX89,0)</f>
        <v>0</v>
      </c>
      <c r="BS89" s="712">
        <f t="shared" si="315"/>
        <v>0</v>
      </c>
      <c r="BT89" s="712">
        <f t="shared" si="316"/>
        <v>0</v>
      </c>
      <c r="BU89" s="712">
        <f t="shared" si="317"/>
        <v>2.52</v>
      </c>
      <c r="BV89" s="712">
        <f t="shared" si="318"/>
        <v>2.550500834724541</v>
      </c>
      <c r="BW89" s="712">
        <f>IF(Sheet1!EM89="CWA",SUM(Sheet1!BC89:'Sheet1'!BF89),0)</f>
        <v>0</v>
      </c>
      <c r="BX89" s="712">
        <f>IF(OR(Sheet1!EM89="FM", Sheet1!EM89="OTHER"),SUM(Sheet1!BC89:'Sheet1'!BF89),0)</f>
        <v>0</v>
      </c>
      <c r="BY89" s="697">
        <f>IF(AND($B89&gt;=$FL89,$B89&lt;=$FM89),MAX(BV89,Sheet1!EF89,0),MAX(BV89-(7/36)*$K89,0))</f>
        <v>0</v>
      </c>
      <c r="BZ89" s="712">
        <f t="shared" si="319"/>
        <v>10.018388054164348</v>
      </c>
      <c r="CA89" s="697">
        <f t="shared" si="374"/>
        <v>2.550500834724541</v>
      </c>
      <c r="CB89" s="697">
        <f>IF(AND($O89&gt;0,Sheet1!EJ89=1),(1-($O89-Sheet1!$L89)/$O89)*BV89,0)</f>
        <v>0</v>
      </c>
      <c r="CC89" s="697">
        <f>IF(AND(Sheet1!$L89=0,Sheet1!$L88=0, Calculation!BU89&lt;Sheet1!EF89-0.1,Sheet1!EF89=Sheet1!EF88,Sheet1!EF89=Sheet1!EF90),Sheet1!EF89,BV89-CB89)</f>
        <v>2.550500834724541</v>
      </c>
      <c r="CD89" s="697"/>
      <c r="CE89" s="712"/>
      <c r="CF89" s="712">
        <f t="shared" si="320"/>
        <v>172.39020430758401</v>
      </c>
      <c r="CG89" s="712"/>
      <c r="CH89" s="712">
        <f ca="1">IF(B89&gt;Summary!$A$1,#N/A,CF89*MGtoAF)</f>
        <v>528.89314681566782</v>
      </c>
      <c r="CI89" s="712">
        <f>Sheet1!BK89+Sheet1!BL89+Sheet1!BM89-Sheet1!EN89-CQ89</f>
        <v>6.04</v>
      </c>
      <c r="CJ89" s="712">
        <f t="shared" si="321"/>
        <v>6.1131051752921532</v>
      </c>
      <c r="CK89" s="712">
        <f>IF(Sheet1!EN89="FM",CQ89,0)</f>
        <v>0</v>
      </c>
      <c r="CL89" s="712">
        <f t="shared" si="322"/>
        <v>0</v>
      </c>
      <c r="CM89" s="712">
        <f>IF(Sheet1!EN89="OTHER",CQ89,0)</f>
        <v>0</v>
      </c>
      <c r="CN89" s="712">
        <f t="shared" si="323"/>
        <v>0</v>
      </c>
      <c r="CO89" s="712">
        <f t="shared" si="324"/>
        <v>6.04</v>
      </c>
      <c r="CP89" s="712">
        <f t="shared" si="325"/>
        <v>6.1131051752921532</v>
      </c>
      <c r="CQ89" s="712">
        <f>IF(OR(Sheet1!EN89="FM", Sheet1!EN89="OTHER"),SUM(Sheet1!BK89:'Sheet1'!BM89),0)</f>
        <v>0</v>
      </c>
      <c r="CR89" s="697">
        <f>IF(AND($B89&gt;=$FL89,$B89&lt;=$FM89),MAX($CJ89,Sheet1!EG89,0),MAX($CJ89-(7/36)*$K89,0))</f>
        <v>0</v>
      </c>
      <c r="CS89" s="712">
        <f t="shared" si="326"/>
        <v>6.4557837135967358</v>
      </c>
      <c r="CT89" s="697">
        <f t="shared" si="375"/>
        <v>6.1131051752921532</v>
      </c>
      <c r="CU89" s="697">
        <f>IF(AND($O89&gt;0,Sheet1!EK89=1),(1-($O89-Sheet1!$L89)/$O89)*CP89,0)</f>
        <v>0</v>
      </c>
      <c r="CV89" s="697">
        <f>IF(AND(Sheet1!$L89=0,Sheet1!$L88=0, Calculation!CO89&lt;Sheet1!$EG89-0.1,Sheet1!$EG89=Sheet1!$EG88,Sheet1!$EG89=Sheet1!$EG90),Sheet1!$EG89,CP89-CU89)</f>
        <v>6.1131051752921532</v>
      </c>
      <c r="CW89" s="697">
        <f t="shared" si="362"/>
        <v>0</v>
      </c>
      <c r="CX89" s="712">
        <f t="shared" si="379"/>
        <v>8.56</v>
      </c>
      <c r="CY89" s="712">
        <f t="shared" si="327"/>
        <v>131.00510040478559</v>
      </c>
      <c r="CZ89" s="712">
        <f t="shared" si="328"/>
        <v>8.6636060100166947</v>
      </c>
      <c r="DA89" s="712">
        <f ca="1">IF(B89&gt;Summary!$A$1,#N/A,CY89*MGtoAF)</f>
        <v>401.92364804188219</v>
      </c>
      <c r="DB89" s="712">
        <f t="shared" si="329"/>
        <v>8.56</v>
      </c>
      <c r="DC89" s="712">
        <f t="shared" si="330"/>
        <v>23.96</v>
      </c>
      <c r="DD89" s="712">
        <f>Sheet1!AB89-DC89</f>
        <v>0.28999999999999915</v>
      </c>
      <c r="DE89" s="712">
        <f t="shared" si="331"/>
        <v>1.210350584307175E-2</v>
      </c>
      <c r="DF89" s="712">
        <f>(VLOOKUP(Sheet1!CY89,hhdcap_wcm,4)-(((VLOOKUP(Sheet1!CY89,hhdcap_wcm,3)-Sheet1!CY89)/(VLOOKUP(Sheet1!CY89,hhdcap_wcm,3)-VLOOKUP(Sheet1!CY89,hhdcap_wcm,1)))*(VLOOKUP(Sheet1!CY89,hhdcap_wcm,4)-VLOOKUP(Sheet1!CY89,hhdcap_wcm,2))))</f>
        <v>6840.7500000125056</v>
      </c>
      <c r="DG89" s="712">
        <f t="shared" si="332"/>
        <v>605.87000000156149</v>
      </c>
      <c r="DH89" s="712">
        <f t="shared" si="333"/>
        <v>305.53202218939055</v>
      </c>
      <c r="DI89" s="712">
        <f>Sheet1!DW89*AFtoMG</f>
        <v>0</v>
      </c>
      <c r="DJ89" s="712">
        <f>Sheet1!DX89*AFtoMG</f>
        <v>0</v>
      </c>
      <c r="DK89" s="712">
        <f>Sheet1!DY89*AFtoMG</f>
        <v>0</v>
      </c>
      <c r="DL89" s="712">
        <f>Sheet1!DZ89*AFtoMG</f>
        <v>0</v>
      </c>
      <c r="DM89" s="712">
        <f t="shared" si="334"/>
        <v>0</v>
      </c>
      <c r="DN89" s="712">
        <f t="shared" si="335"/>
        <v>0</v>
      </c>
      <c r="DO89" s="712">
        <f t="shared" si="336"/>
        <v>935.43086026792514</v>
      </c>
      <c r="DP89" s="712">
        <f t="shared" si="337"/>
        <v>2869.9018793019945</v>
      </c>
      <c r="DQ89" s="712"/>
      <c r="DR89" s="697">
        <f>IF(OR(B89&lt;FL89,B89&gt;FM89),(MIN(AV89+BO89+CJ89+MAX(Sheet1!AA89+AG89-73,0),K89)),0)</f>
        <v>8.6636060100166947</v>
      </c>
      <c r="DS89" s="712"/>
      <c r="DT89" s="712">
        <f t="shared" si="338"/>
        <v>8.6636060100166947</v>
      </c>
      <c r="DU89" s="712"/>
      <c r="DV89" s="712">
        <f>Sheet1!ED89+Sheet1!EE89+Sheet1!EF89+Sheet1!EG89</f>
        <v>8.5</v>
      </c>
      <c r="DW89" s="712"/>
      <c r="DX89" s="697">
        <f t="shared" si="376"/>
        <v>0</v>
      </c>
      <c r="DY89" s="712">
        <f>IF(Sheet1!FN89=1,SUM('Calculations II'!AT89:BA89)+'Calculations II'!BC89+Sheet1!BU89+'Calculations II'!BE89+AF89,SUM('Calculations II'!AT89:BA89)+'Calculations II'!BC89+Sheet1!BU89+'Calculations II'!BE89+AF89)</f>
        <v>42.743824000000004</v>
      </c>
      <c r="DZ89" s="712">
        <f>Sheet1!AA89+Sheet1!AB89+'Calculations II'!BC89</f>
        <v>54.150000000008731</v>
      </c>
      <c r="EA89" s="712"/>
      <c r="EB89" s="712"/>
      <c r="EC89" s="712">
        <f t="shared" si="339"/>
        <v>40618</v>
      </c>
      <c r="ED89" s="712">
        <f t="shared" si="340"/>
        <v>55.976393989983308</v>
      </c>
      <c r="EE89" s="712">
        <f t="shared" si="341"/>
        <v>86.595481502504171</v>
      </c>
      <c r="EF89" s="712">
        <f>-(VLOOKUP(Sheet1!BQ89,Lookup!$B$4:$J$236,2)-VLOOKUP(Sheet1!BQ88,Lookup!$B$4:$J$236,2))/1000000</f>
        <v>0.27050000000000002</v>
      </c>
      <c r="EG89" s="712">
        <f>-(VLOOKUP(Sheet1!BR89,Lookup!$B$4:$J$236,3)-VLOOKUP(Sheet1!BR88,Lookup!$B$4:$J$236,3))/1000000</f>
        <v>0.27</v>
      </c>
      <c r="EH89" s="712">
        <f>-(VLOOKUP(Sheet1!BS89,Lookup!$B$4:$J$236,4)-VLOOKUP(Sheet1!BS88,Lookup!$B$4:$J$236,4))/1000000</f>
        <v>0</v>
      </c>
      <c r="EI89" s="697">
        <f t="shared" si="380"/>
        <v>0.54049999999999998</v>
      </c>
      <c r="EJ89" s="712"/>
      <c r="EK89" s="712"/>
      <c r="EL89" s="712"/>
      <c r="EM89" s="712"/>
      <c r="EN89" s="712"/>
      <c r="EO89" s="712"/>
      <c r="EP89" s="712"/>
      <c r="EQ89" s="712"/>
      <c r="ER89" s="697">
        <v>0</v>
      </c>
      <c r="ES89" s="712"/>
      <c r="ET89" s="794" t="e">
        <f t="shared" si="342"/>
        <v>#N/A</v>
      </c>
      <c r="EU89" s="794" t="e">
        <f t="shared" si="363"/>
        <v>#VALUE!</v>
      </c>
      <c r="EV89" s="795" t="e">
        <f t="shared" si="364"/>
        <v>#VALUE!</v>
      </c>
      <c r="EW89" s="796" t="s">
        <v>757</v>
      </c>
      <c r="EX89" s="796" t="s">
        <v>757</v>
      </c>
      <c r="EY89" s="794">
        <v>0</v>
      </c>
      <c r="EZ89" s="794" t="e">
        <v>#N/A</v>
      </c>
      <c r="FA89" s="712"/>
      <c r="FB89" s="712"/>
      <c r="FC89" s="712"/>
      <c r="FD89" s="712"/>
      <c r="FE89" s="712">
        <f>O89+Sheet1!CO89</f>
        <v>54.150000000008731</v>
      </c>
      <c r="FF89" s="712">
        <f>IF(Sheet1!AA89+AG89&lt;=Calculation!N89,AG89,Calculation!N89-Sheet1!AA89)</f>
        <v>15.586393989983305</v>
      </c>
      <c r="FG89" s="712">
        <f>(Sheet1!BP89+Sheet1!BO89)/694.4</f>
        <v>1.7944988479262671</v>
      </c>
      <c r="FH89" s="712"/>
      <c r="FI89" s="712"/>
      <c r="FJ89" s="712"/>
      <c r="FK89" s="712"/>
      <c r="FL89" s="714">
        <f t="shared" si="381"/>
        <v>40753</v>
      </c>
      <c r="FM89" s="714">
        <f t="shared" si="382"/>
        <v>40851</v>
      </c>
      <c r="FN89" s="712"/>
      <c r="FO89" s="712"/>
      <c r="FP89" s="712"/>
      <c r="FQ89" s="712"/>
      <c r="FR89" s="712"/>
      <c r="FS89" s="725">
        <f t="shared" si="383"/>
        <v>40603</v>
      </c>
      <c r="FT89" s="714">
        <f t="shared" si="384"/>
        <v>40709</v>
      </c>
      <c r="FU89" s="712">
        <f t="shared" si="385"/>
        <v>6518.9048239895692</v>
      </c>
      <c r="FV89" s="714">
        <f t="shared" si="386"/>
        <v>40722</v>
      </c>
      <c r="FW89" s="712">
        <f t="shared" si="387"/>
        <v>3259.4524119947846</v>
      </c>
      <c r="FX89" s="725">
        <f t="shared" si="388"/>
        <v>40851</v>
      </c>
      <c r="FZ89" s="697">
        <f t="shared" si="365"/>
        <v>0</v>
      </c>
      <c r="GA89" s="712" t="str">
        <f t="shared" si="343"/>
        <v/>
      </c>
      <c r="GB89" s="712">
        <f t="shared" si="344"/>
        <v>0</v>
      </c>
      <c r="GC89" s="712" t="str">
        <f t="shared" si="345"/>
        <v/>
      </c>
      <c r="GD89" s="712">
        <f>IF(GA89="P",Lookup!$M$12,IF(GA89="PP",Lookup!$M$13,IF(GA89="PPP",Lookup!$M$14,IF(GA89="T",Lookup!$M$15,IF(GA89="TP",Lookup!$M$16,IF(GA89="TPP",Lookup!$M$17,IF(GA89="TPPP",Lookup!$M$18,0)))))))*FZ89</f>
        <v>0</v>
      </c>
      <c r="GE89" s="712">
        <f t="shared" si="346"/>
        <v>0</v>
      </c>
      <c r="GF89" s="712">
        <f t="shared" si="347"/>
        <v>1322.1034666666667</v>
      </c>
      <c r="GG89" s="712">
        <f t="shared" si="348"/>
        <v>430.93333333333334</v>
      </c>
      <c r="GH89" s="712"/>
      <c r="GI89" s="712">
        <f t="shared" si="349"/>
        <v>0</v>
      </c>
      <c r="GJ89" s="712" t="str">
        <f t="shared" si="350"/>
        <v/>
      </c>
      <c r="GK89" s="712">
        <f>IF(GA89="P",Lookup!$N$12,IF(GA89="PP",Lookup!$N$13,IF(GA89="PPP",Lookup!$N$14,IF(GA89="T",Lookup!$N$15,IF(GA89="TP",Lookup!$N$16,IF(GA89="TPP",Lookup!$N$17,IF(GA89="TPPP",Lookup!$N$18,0)))))))*FZ89</f>
        <v>0</v>
      </c>
      <c r="GL89" s="712">
        <f t="shared" si="351"/>
        <v>0</v>
      </c>
      <c r="GM89" s="712">
        <f t="shared" si="352"/>
        <v>616.98161777777784</v>
      </c>
      <c r="GN89" s="712">
        <f t="shared" si="353"/>
        <v>201.10222222222225</v>
      </c>
      <c r="GO89" s="712"/>
      <c r="GP89" s="712">
        <f t="shared" si="354"/>
        <v>0</v>
      </c>
      <c r="GQ89" s="712" t="str">
        <f t="shared" si="355"/>
        <v/>
      </c>
      <c r="GR89" s="712">
        <f>IF(GA89="P",Lookup!$N$12,IF(GA89="PP",Lookup!$N$13,IF(GA89="PPP",Lookup!$N$14,IF(GA89="T",Lookup!$N$15,IF(GA89="TP",Lookup!$N$16,IF(GA89="TPP",Lookup!$N$17,IF(GA89="TPPP",Lookup!$N$18,0)))))))*FZ89</f>
        <v>0</v>
      </c>
      <c r="GS89" s="697">
        <f t="shared" si="377"/>
        <v>0</v>
      </c>
      <c r="GT89" s="712">
        <f t="shared" si="356"/>
        <v>528.89314681566782</v>
      </c>
      <c r="GU89" s="712">
        <f t="shared" si="357"/>
        <v>172.39020430758401</v>
      </c>
      <c r="GV89" s="712"/>
      <c r="GW89" s="712">
        <f t="shared" si="358"/>
        <v>0</v>
      </c>
      <c r="GX89" s="712" t="str">
        <f t="shared" si="359"/>
        <v/>
      </c>
      <c r="GY89" s="712">
        <f>IF(GA89="P",Lookup!$N$12,IF(GA89="PP",Lookup!$N$13,IF(GA89="PPP",Lookup!$N$14,IF(GA89="T",Lookup!$N$15,IF(GA89="TP",Lookup!$N$16,IF(GA89="TPP",Lookup!$N$17,IF(GA89="TPPP",Lookup!$N$18,0)))))))*FZ89</f>
        <v>0</v>
      </c>
      <c r="GZ89" s="697">
        <f t="shared" si="378"/>
        <v>0</v>
      </c>
      <c r="HA89" s="712">
        <f t="shared" si="360"/>
        <v>401.92364804188219</v>
      </c>
      <c r="HB89" s="712">
        <f t="shared" si="361"/>
        <v>131.00510040478559</v>
      </c>
      <c r="HC89" s="712"/>
    </row>
    <row r="90" spans="1:211">
      <c r="A90" s="773" t="s">
        <v>7</v>
      </c>
      <c r="B90" s="708">
        <v>40619</v>
      </c>
      <c r="C90" s="719">
        <v>0.5</v>
      </c>
      <c r="D90" s="675">
        <f t="shared" si="366"/>
        <v>300</v>
      </c>
      <c r="E90" s="675">
        <f t="shared" si="367"/>
        <v>250</v>
      </c>
      <c r="F90" s="710">
        <v>250</v>
      </c>
      <c r="G90" s="712">
        <f>DH90+Sheet1!CV90</f>
        <v>1322.3515672697899</v>
      </c>
      <c r="H90" s="712">
        <f t="shared" si="294"/>
        <v>587.80485308319214</v>
      </c>
      <c r="I90" s="711">
        <f>MAX(Sheet1!Z90-AJ90+(Sheet1!CW90-E90)*CFStoMGD,0)</f>
        <v>1115.4406007353855</v>
      </c>
      <c r="J90" s="720">
        <f>IF(AND(B90&gt;=Calculation!FS90,B90&lt;=Calculation!FT90),IF(Sheet1!CX90&gt;=Calculation!D90,64.64,0),MAX(Sheet1!Z90-AJ90+(Sheet1!CX90-D90)*CFStoMGD,0))</f>
        <v>64.64</v>
      </c>
      <c r="K90" s="697">
        <f t="shared" si="368"/>
        <v>64.64</v>
      </c>
      <c r="L90" s="712">
        <f>Sheet1!AA90+Sheet1!AB90-Sheet1!L90+(Sheet1!CW90-F90)*CFStoMGD</f>
        <v>1164.7473333333305</v>
      </c>
      <c r="M90" s="712">
        <f t="shared" si="295"/>
        <v>871.86341414485605</v>
      </c>
      <c r="N90" s="712">
        <f>IF(Sheet1!CW90&gt;=F90,MIN(73,MIN(MAX(L90,0),MAX(M90,0))),0)</f>
        <v>73</v>
      </c>
      <c r="O90" s="721">
        <f>Sheet1!AA90+Sheet1!AB90</f>
        <v>55.69999999999709</v>
      </c>
      <c r="P90" s="721">
        <f t="shared" si="296"/>
        <v>86.167899999995484</v>
      </c>
      <c r="Q90" s="712">
        <f>MIN(N90,Sheet1!AA90+AG90)</f>
        <v>47.106732597942127</v>
      </c>
      <c r="R90" s="712">
        <f t="shared" si="297"/>
        <v>8.5932674020549626</v>
      </c>
      <c r="S90" s="721">
        <f>Sheet1!Y90*MGDtoCFS</f>
        <v>45.636499999999998</v>
      </c>
      <c r="T90" s="721">
        <f>Sheet1!Z90*MGDtoCFS</f>
        <v>37.282699999999998</v>
      </c>
      <c r="U90" s="721">
        <f>Sheet1!AA90*MGDtoCFS</f>
        <v>45.48179999999099</v>
      </c>
      <c r="V90" s="721">
        <f>Sheet1!AB90*MGDtoCFS</f>
        <v>40.686100000004501</v>
      </c>
      <c r="W90" s="721">
        <f>Sheet1!L90*MGDtoCFS</f>
        <v>0</v>
      </c>
      <c r="X90" s="697">
        <f t="shared" si="369"/>
        <v>0</v>
      </c>
      <c r="Y90" s="712">
        <f t="shared" si="298"/>
        <v>0</v>
      </c>
      <c r="Z90" s="712">
        <f t="shared" si="299"/>
        <v>56.046732597945038</v>
      </c>
      <c r="AA90" s="712">
        <f t="shared" si="300"/>
        <v>86.704295329020965</v>
      </c>
      <c r="AB90" s="712">
        <f>(VLOOKUP(Sheet1!CY90,hhdcap_wcm,4)-(((VLOOKUP(Sheet1!CY90,hhdcap_wcm,3)-Sheet1!CY90)/(VLOOKUP(Sheet1!CY90,hhdcap_wcm,3)-VLOOKUP(Sheet1!CY90,hhdcap_wcm,1)))*(VLOOKUP(Sheet1!CY90,hhdcap_wcm,4)-VLOOKUP(Sheet1!CY90,hhdcap_wcm,2))))</f>
        <v>7430.9200000137625</v>
      </c>
      <c r="AC90" s="712">
        <f t="shared" si="301"/>
        <v>590.17000000125699</v>
      </c>
      <c r="AD90" s="712">
        <f t="shared" si="370"/>
        <v>991.47759286587029</v>
      </c>
      <c r="AE90" s="712">
        <f t="shared" si="302"/>
        <v>3041.8532549124902</v>
      </c>
      <c r="AF90" s="712">
        <f>Sheet1!BA90+Sheet1!BB90+Sheet1!BN90+BT90</f>
        <v>17.7</v>
      </c>
      <c r="AG90" s="712">
        <f t="shared" si="303"/>
        <v>17.706732597947948</v>
      </c>
      <c r="AH90" s="712">
        <f>Sheet1!BA90+BT90</f>
        <v>0</v>
      </c>
      <c r="AI90" s="712">
        <f>Sheet1!BA90+Sheet1!BB90+BT90</f>
        <v>0</v>
      </c>
      <c r="AJ90" s="712">
        <f>IF((Sheet1!AA90+AG90+AX90+AZ90+BQ90+BS90+CL90+CN90)&lt;=N90,AG90+AX90+AZ90+BQ90+BS90+CL90+CN90,N90-Sheet1!AA90)</f>
        <v>17.706732597947948</v>
      </c>
      <c r="AK90" s="712">
        <f>IF(DR90&lt;K90,0,MAX(Sheet1!AA90+AG90-15/36*K90-N90,Sheet1!ED90,0))</f>
        <v>0</v>
      </c>
      <c r="AL90" s="712">
        <f>IF(OR(B90&gt;=FT90,B90&lt;FS90),0,15/36*K90-MAX(0,64.6-(137.6-(Sheet1!AA90+Sheet1!AB90))))</f>
        <v>26.933333333333334</v>
      </c>
      <c r="AM90" s="712">
        <f>Sheet1!CX90-110</f>
        <v>893.76041666666663</v>
      </c>
      <c r="AN90" s="712">
        <f>Sheet1!CW90-265</f>
        <v>1700.7291666666667</v>
      </c>
      <c r="AO90" s="712">
        <f t="shared" si="371"/>
        <v>25.893267402057873</v>
      </c>
      <c r="AP90" s="712">
        <f t="shared" si="372"/>
        <v>0</v>
      </c>
      <c r="AQ90" s="712">
        <f t="shared" si="304"/>
        <v>0</v>
      </c>
      <c r="AR90" s="712">
        <f t="shared" si="305"/>
        <v>457.86666666666667</v>
      </c>
      <c r="AS90" s="712"/>
      <c r="AT90" s="712">
        <f ca="1">IF(B90&gt;Summary!$A$1,#N/A,AR90*MGtoAF)</f>
        <v>1404.7349333333334</v>
      </c>
      <c r="AU90" s="712">
        <f>Sheet1!BG90+Sheet1!BH90+Sheet1!BI90-BC90</f>
        <v>0</v>
      </c>
      <c r="AV90" s="712">
        <f t="shared" si="306"/>
        <v>0</v>
      </c>
      <c r="AW90" s="712">
        <f>IF(Sheet1!EL90="FM",BC90,0)</f>
        <v>0</v>
      </c>
      <c r="AX90" s="712">
        <f t="shared" si="307"/>
        <v>0</v>
      </c>
      <c r="AY90" s="712">
        <f>IF(Sheet1!EL90="OTHER",BC90,0)</f>
        <v>0</v>
      </c>
      <c r="AZ90" s="712">
        <f t="shared" si="308"/>
        <v>0</v>
      </c>
      <c r="BA90" s="712">
        <f t="shared" si="309"/>
        <v>0</v>
      </c>
      <c r="BB90" s="712">
        <f t="shared" si="310"/>
        <v>0</v>
      </c>
      <c r="BC90" s="712">
        <f>IF(OR(Sheet1!EL90="FM", Sheet1!EL90="OTHER"),SUM(Sheet1!BG90:'Sheet1'!BI90),0)</f>
        <v>0</v>
      </c>
      <c r="BD90" s="697">
        <f>IF(AND($B90&gt;=$FL90,$B90&lt;=$FM90),MAX(AV90,Sheet1!EE90,0),MAX(AV90-(7/36)*$K90,0))</f>
        <v>0</v>
      </c>
      <c r="BE90" s="712">
        <f t="shared" si="311"/>
        <v>12.568888888888889</v>
      </c>
      <c r="BF90" s="697">
        <f t="shared" si="373"/>
        <v>0</v>
      </c>
      <c r="BG90" s="697">
        <f>IF(AND($O90&gt;0,Sheet1!EI90=1),(1-($O90-Sheet1!$L90)/$O90)*BB90,0)</f>
        <v>0</v>
      </c>
      <c r="BH90" s="697">
        <f>IF(AND(Sheet1!$L90=0,Sheet1!$L89=0, Calculation!BA90&lt;Sheet1!$EE90-0.1,Sheet1!$EE90=Sheet1!$EE89,Sheet1!$EE90=Sheet1!$EE91),Sheet1!$EE90,BB90-BG90)</f>
        <v>0</v>
      </c>
      <c r="BI90" s="712"/>
      <c r="BJ90" s="712"/>
      <c r="BK90" s="712">
        <f t="shared" si="312"/>
        <v>213.67111111111114</v>
      </c>
      <c r="BL90" s="712"/>
      <c r="BM90" s="712">
        <f ca="1">IF(B90&gt;Summary!$A$1,#N/A,BK90*MGtoAF)</f>
        <v>655.54296888888905</v>
      </c>
      <c r="BN90" s="712">
        <f>Sheet1!BC90+Sheet1!BD90+Sheet1!BE90+Sheet1!BF90-BW90-BX90</f>
        <v>2.5099999999999998</v>
      </c>
      <c r="BO90" s="712">
        <f t="shared" si="313"/>
        <v>2.5109547356412056</v>
      </c>
      <c r="BP90" s="712">
        <f>IF(Sheet1!EM90="FM",BX90,0)</f>
        <v>0</v>
      </c>
      <c r="BQ90" s="712">
        <f t="shared" si="314"/>
        <v>0</v>
      </c>
      <c r="BR90" s="712">
        <f>IF(Sheet1!EM90="OTHER",BX90,0)</f>
        <v>0</v>
      </c>
      <c r="BS90" s="712">
        <f t="shared" si="315"/>
        <v>0</v>
      </c>
      <c r="BT90" s="712">
        <f t="shared" si="316"/>
        <v>0</v>
      </c>
      <c r="BU90" s="712">
        <f t="shared" si="317"/>
        <v>2.5099999999999998</v>
      </c>
      <c r="BV90" s="712">
        <f t="shared" si="318"/>
        <v>2.5109547356412056</v>
      </c>
      <c r="BW90" s="712">
        <f>IF(Sheet1!EM90="CWA",SUM(Sheet1!BC90:'Sheet1'!BF90),0)</f>
        <v>0</v>
      </c>
      <c r="BX90" s="712">
        <f>IF(OR(Sheet1!EM90="FM", Sheet1!EM90="OTHER"),SUM(Sheet1!BC90:'Sheet1'!BF90),0)</f>
        <v>0</v>
      </c>
      <c r="BY90" s="697">
        <f>IF(AND($B90&gt;=$FL90,$B90&lt;=$FM90),MAX(BV90,Sheet1!EF90,0),MAX(BV90-(7/36)*$K90,0))</f>
        <v>0</v>
      </c>
      <c r="BZ90" s="712">
        <f t="shared" si="319"/>
        <v>10.057934153247682</v>
      </c>
      <c r="CA90" s="697">
        <f t="shared" si="374"/>
        <v>2.5109547356412056</v>
      </c>
      <c r="CB90" s="697">
        <f>IF(AND($O90&gt;0,Sheet1!EJ90=1),(1-($O90-Sheet1!$L90)/$O90)*BV90,0)</f>
        <v>0</v>
      </c>
      <c r="CC90" s="697">
        <f>IF(AND(Sheet1!$L90=0,Sheet1!$L89=0, Calculation!BU90&lt;Sheet1!EF90-0.1,Sheet1!EF90=Sheet1!EF89,Sheet1!EF90=Sheet1!EF91),Sheet1!EF90,BV90-CB90)</f>
        <v>2.5109547356412056</v>
      </c>
      <c r="CD90" s="697"/>
      <c r="CE90" s="712"/>
      <c r="CF90" s="712">
        <f t="shared" si="320"/>
        <v>182.4481384608317</v>
      </c>
      <c r="CG90" s="712"/>
      <c r="CH90" s="712">
        <f ca="1">IF(B90&gt;Summary!$A$1,#N/A,CF90*MGtoAF)</f>
        <v>559.75088879783164</v>
      </c>
      <c r="CI90" s="712">
        <f>Sheet1!BK90+Sheet1!BL90+Sheet1!BM90-Sheet1!EN90-CQ90</f>
        <v>6.08</v>
      </c>
      <c r="CJ90" s="712">
        <f t="shared" si="321"/>
        <v>6.0823126664137579</v>
      </c>
      <c r="CK90" s="712">
        <f>IF(Sheet1!EN90="FM",CQ90,0)</f>
        <v>0</v>
      </c>
      <c r="CL90" s="712">
        <f t="shared" si="322"/>
        <v>0</v>
      </c>
      <c r="CM90" s="712">
        <f>IF(Sheet1!EN90="OTHER",CQ90,0)</f>
        <v>0</v>
      </c>
      <c r="CN90" s="712">
        <f t="shared" si="323"/>
        <v>0</v>
      </c>
      <c r="CO90" s="712">
        <f t="shared" si="324"/>
        <v>6.08</v>
      </c>
      <c r="CP90" s="712">
        <f t="shared" si="325"/>
        <v>6.0823126664137579</v>
      </c>
      <c r="CQ90" s="712">
        <f>IF(OR(Sheet1!EN90="FM", Sheet1!EN90="OTHER"),SUM(Sheet1!BK90:'Sheet1'!BM90),0)</f>
        <v>0</v>
      </c>
      <c r="CR90" s="697">
        <f>IF(AND($B90&gt;=$FL90,$B90&lt;=$FM90),MAX($CJ90,Sheet1!EG90,0),MAX($CJ90-(7/36)*$K90,0))</f>
        <v>0</v>
      </c>
      <c r="CS90" s="712">
        <f t="shared" si="326"/>
        <v>6.4865762224751311</v>
      </c>
      <c r="CT90" s="697">
        <f t="shared" si="375"/>
        <v>6.0823126664137579</v>
      </c>
      <c r="CU90" s="697">
        <f>IF(AND($O90&gt;0,Sheet1!EK90=1),(1-($O90-Sheet1!$L90)/$O90)*CP90,0)</f>
        <v>0</v>
      </c>
      <c r="CV90" s="697">
        <f>IF(AND(Sheet1!$L90=0,Sheet1!$L89=0, Calculation!CO90&lt;Sheet1!$EG90-0.1,Sheet1!$EG90=Sheet1!$EG89,Sheet1!$EG90=Sheet1!$EG91),Sheet1!$EG90,CP90-CU90)</f>
        <v>6.0823126664137579</v>
      </c>
      <c r="CW90" s="697">
        <f t="shared" si="362"/>
        <v>0</v>
      </c>
      <c r="CX90" s="712">
        <f t="shared" si="379"/>
        <v>8.59</v>
      </c>
      <c r="CY90" s="712">
        <f t="shared" si="327"/>
        <v>137.49167662726072</v>
      </c>
      <c r="CZ90" s="712">
        <f t="shared" si="328"/>
        <v>8.5932674020549626</v>
      </c>
      <c r="DA90" s="712">
        <f ca="1">IF(B90&gt;Summary!$A$1,#N/A,CY90*MGtoAF)</f>
        <v>421.82446389243586</v>
      </c>
      <c r="DB90" s="712">
        <f t="shared" si="329"/>
        <v>8.59</v>
      </c>
      <c r="DC90" s="712">
        <f t="shared" si="330"/>
        <v>26.29</v>
      </c>
      <c r="DD90" s="712">
        <f>Sheet1!AB90-DC90</f>
        <v>1.0000000002911236E-2</v>
      </c>
      <c r="DE90" s="712">
        <f t="shared" si="331"/>
        <v>3.8037276542073929E-4</v>
      </c>
      <c r="DF90" s="712">
        <f>(VLOOKUP(Sheet1!CY90,hhdcap_wcm,4)-(((VLOOKUP(Sheet1!CY90,hhdcap_wcm,3)-Sheet1!CY90)/(VLOOKUP(Sheet1!CY90,hhdcap_wcm,3)-VLOOKUP(Sheet1!CY90,hhdcap_wcm,1)))*(VLOOKUP(Sheet1!CY90,hhdcap_wcm,4)-VLOOKUP(Sheet1!CY90,hhdcap_wcm,2))))</f>
        <v>7430.9200000137625</v>
      </c>
      <c r="DG90" s="712">
        <f t="shared" si="332"/>
        <v>590.17000000125699</v>
      </c>
      <c r="DH90" s="712">
        <f t="shared" si="333"/>
        <v>297.61472516452693</v>
      </c>
      <c r="DI90" s="712">
        <f>Sheet1!DW90*AFtoMG</f>
        <v>0</v>
      </c>
      <c r="DJ90" s="712">
        <f>Sheet1!DX90*AFtoMG</f>
        <v>0</v>
      </c>
      <c r="DK90" s="712">
        <f>Sheet1!DY90*AFtoMG</f>
        <v>0</v>
      </c>
      <c r="DL90" s="712">
        <f>Sheet1!DZ90*AFtoMG</f>
        <v>0</v>
      </c>
      <c r="DM90" s="712">
        <f t="shared" si="334"/>
        <v>0</v>
      </c>
      <c r="DN90" s="712">
        <f t="shared" si="335"/>
        <v>0</v>
      </c>
      <c r="DO90" s="712">
        <f t="shared" si="336"/>
        <v>991.47759286587029</v>
      </c>
      <c r="DP90" s="712">
        <f t="shared" si="337"/>
        <v>3041.8532549124902</v>
      </c>
      <c r="DQ90" s="712"/>
      <c r="DR90" s="697">
        <f>IF(OR(B90&lt;FL90,B90&gt;FM90),(MIN(AV90+BO90+CJ90+MAX(Sheet1!AA90+AG90-73,0),K90)),0)</f>
        <v>8.5932674020549626</v>
      </c>
      <c r="DS90" s="712"/>
      <c r="DT90" s="712">
        <f t="shared" si="338"/>
        <v>8.5932674020549626</v>
      </c>
      <c r="DU90" s="712"/>
      <c r="DV90" s="712">
        <f>Sheet1!ED90+Sheet1!EE90+Sheet1!EF90+Sheet1!EG90</f>
        <v>8.5</v>
      </c>
      <c r="DW90" s="712"/>
      <c r="DX90" s="697">
        <f t="shared" si="376"/>
        <v>0</v>
      </c>
      <c r="DY90" s="712">
        <f>IF(Sheet1!FN90=1,SUM('Calculations II'!AT90:BA90)+'Calculations II'!BC90+Sheet1!BU90+'Calculations II'!BE90+AF90,SUM('Calculations II'!AT90:BA90)+'Calculations II'!BC90+Sheet1!BU90+'Calculations II'!BE90+AF90)</f>
        <v>45.338623999999996</v>
      </c>
      <c r="DZ90" s="712">
        <f>Sheet1!AA90+Sheet1!AB90+'Calculations II'!BC90</f>
        <v>55.69999999999709</v>
      </c>
      <c r="EA90" s="712"/>
      <c r="EB90" s="712"/>
      <c r="EC90" s="712">
        <f t="shared" si="339"/>
        <v>40619</v>
      </c>
      <c r="ED90" s="712">
        <f t="shared" si="340"/>
        <v>56.046732597945038</v>
      </c>
      <c r="EE90" s="712">
        <f t="shared" si="341"/>
        <v>86.704295329020965</v>
      </c>
      <c r="EF90" s="712">
        <f>-(VLOOKUP(Sheet1!BQ90,Lookup!$B$4:$J$236,2)-VLOOKUP(Sheet1!BQ89,Lookup!$B$4:$J$236,2))/1000000</f>
        <v>-0.27050000000000002</v>
      </c>
      <c r="EG90" s="712">
        <f>-(VLOOKUP(Sheet1!BR90,Lookup!$B$4:$J$236,3)-VLOOKUP(Sheet1!BR89,Lookup!$B$4:$J$236,3))/1000000</f>
        <v>-0.27</v>
      </c>
      <c r="EH90" s="712">
        <f>-(VLOOKUP(Sheet1!BS90,Lookup!$B$4:$J$236,4)-VLOOKUP(Sheet1!BS89,Lookup!$B$4:$J$236,4))/1000000</f>
        <v>0</v>
      </c>
      <c r="EI90" s="697">
        <f t="shared" si="380"/>
        <v>-0.54049999999999998</v>
      </c>
      <c r="EJ90" s="712"/>
      <c r="EK90" s="712"/>
      <c r="EL90" s="712"/>
      <c r="EM90" s="712"/>
      <c r="EN90" s="712"/>
      <c r="EO90" s="712"/>
      <c r="EP90" s="712"/>
      <c r="EQ90" s="712"/>
      <c r="ER90" s="697">
        <v>0</v>
      </c>
      <c r="ES90" s="712"/>
      <c r="ET90" s="794" t="e">
        <f t="shared" si="342"/>
        <v>#N/A</v>
      </c>
      <c r="EU90" s="794" t="e">
        <f t="shared" si="363"/>
        <v>#VALUE!</v>
      </c>
      <c r="EV90" s="795" t="e">
        <f t="shared" si="364"/>
        <v>#VALUE!</v>
      </c>
      <c r="EW90" s="796" t="s">
        <v>757</v>
      </c>
      <c r="EX90" s="796" t="s">
        <v>757</v>
      </c>
      <c r="EY90" s="794">
        <v>0</v>
      </c>
      <c r="EZ90" s="794" t="e">
        <v>#N/A</v>
      </c>
      <c r="FA90" s="712"/>
      <c r="FB90" s="712"/>
      <c r="FC90" s="712"/>
      <c r="FD90" s="712"/>
      <c r="FE90" s="712">
        <f>O90+Sheet1!CO90</f>
        <v>55.69999999999709</v>
      </c>
      <c r="FF90" s="712">
        <f>IF(Sheet1!AA90+AG90&lt;=Calculation!N90,AG90,Calculation!N90-Sheet1!AA90)</f>
        <v>17.706732597947948</v>
      </c>
      <c r="FG90" s="712">
        <f>(Sheet1!BP90+Sheet1!BO90)/694.4</f>
        <v>1.1774193548387097</v>
      </c>
      <c r="FH90" s="712"/>
      <c r="FI90" s="712"/>
      <c r="FJ90" s="712"/>
      <c r="FK90" s="712"/>
      <c r="FL90" s="714">
        <f t="shared" si="381"/>
        <v>40753</v>
      </c>
      <c r="FM90" s="714">
        <f t="shared" si="382"/>
        <v>40851</v>
      </c>
      <c r="FN90" s="712"/>
      <c r="FO90" s="712"/>
      <c r="FP90" s="712"/>
      <c r="FQ90" s="712"/>
      <c r="FR90" s="712"/>
      <c r="FS90" s="725">
        <f t="shared" si="383"/>
        <v>40603</v>
      </c>
      <c r="FT90" s="714">
        <f t="shared" si="384"/>
        <v>40709</v>
      </c>
      <c r="FU90" s="712">
        <f t="shared" si="385"/>
        <v>6518.9048239895692</v>
      </c>
      <c r="FV90" s="714">
        <f t="shared" si="386"/>
        <v>40722</v>
      </c>
      <c r="FW90" s="712">
        <f t="shared" si="387"/>
        <v>3259.4524119947846</v>
      </c>
      <c r="FX90" s="725">
        <f t="shared" si="388"/>
        <v>40851</v>
      </c>
      <c r="FZ90" s="697">
        <f t="shared" si="365"/>
        <v>0</v>
      </c>
      <c r="GA90" s="712" t="str">
        <f t="shared" si="343"/>
        <v/>
      </c>
      <c r="GB90" s="712">
        <f t="shared" si="344"/>
        <v>0</v>
      </c>
      <c r="GC90" s="712" t="str">
        <f t="shared" si="345"/>
        <v/>
      </c>
      <c r="GD90" s="712">
        <f>IF(GA90="P",Lookup!$M$12,IF(GA90="PP",Lookup!$M$13,IF(GA90="PPP",Lookup!$M$14,IF(GA90="T",Lookup!$M$15,IF(GA90="TP",Lookup!$M$16,IF(GA90="TPP",Lookup!$M$17,IF(GA90="TPPP",Lookup!$M$18,0)))))))*FZ90</f>
        <v>0</v>
      </c>
      <c r="GE90" s="712">
        <f t="shared" si="346"/>
        <v>0</v>
      </c>
      <c r="GF90" s="712">
        <f t="shared" si="347"/>
        <v>1404.7349333333334</v>
      </c>
      <c r="GG90" s="712">
        <f t="shared" si="348"/>
        <v>457.86666666666667</v>
      </c>
      <c r="GH90" s="712"/>
      <c r="GI90" s="712">
        <f t="shared" si="349"/>
        <v>0</v>
      </c>
      <c r="GJ90" s="712" t="str">
        <f t="shared" si="350"/>
        <v/>
      </c>
      <c r="GK90" s="712">
        <f>IF(GA90="P",Lookup!$N$12,IF(GA90="PP",Lookup!$N$13,IF(GA90="PPP",Lookup!$N$14,IF(GA90="T",Lookup!$N$15,IF(GA90="TP",Lookup!$N$16,IF(GA90="TPP",Lookup!$N$17,IF(GA90="TPPP",Lookup!$N$18,0)))))))*FZ90</f>
        <v>0</v>
      </c>
      <c r="GL90" s="712">
        <f t="shared" si="351"/>
        <v>0</v>
      </c>
      <c r="GM90" s="712">
        <f t="shared" si="352"/>
        <v>655.54296888888905</v>
      </c>
      <c r="GN90" s="712">
        <f t="shared" si="353"/>
        <v>213.67111111111114</v>
      </c>
      <c r="GO90" s="712"/>
      <c r="GP90" s="712">
        <f t="shared" si="354"/>
        <v>0</v>
      </c>
      <c r="GQ90" s="712" t="str">
        <f t="shared" si="355"/>
        <v/>
      </c>
      <c r="GR90" s="712">
        <f>IF(GA90="P",Lookup!$N$12,IF(GA90="PP",Lookup!$N$13,IF(GA90="PPP",Lookup!$N$14,IF(GA90="T",Lookup!$N$15,IF(GA90="TP",Lookup!$N$16,IF(GA90="TPP",Lookup!$N$17,IF(GA90="TPPP",Lookup!$N$18,0)))))))*FZ90</f>
        <v>0</v>
      </c>
      <c r="GS90" s="697">
        <f t="shared" si="377"/>
        <v>0</v>
      </c>
      <c r="GT90" s="712">
        <f t="shared" si="356"/>
        <v>559.75088879783164</v>
      </c>
      <c r="GU90" s="712">
        <f t="shared" si="357"/>
        <v>182.4481384608317</v>
      </c>
      <c r="GV90" s="712"/>
      <c r="GW90" s="712">
        <f t="shared" si="358"/>
        <v>0</v>
      </c>
      <c r="GX90" s="712" t="str">
        <f t="shared" si="359"/>
        <v/>
      </c>
      <c r="GY90" s="712">
        <f>IF(GA90="P",Lookup!$N$12,IF(GA90="PP",Lookup!$N$13,IF(GA90="PPP",Lookup!$N$14,IF(GA90="T",Lookup!$N$15,IF(GA90="TP",Lookup!$N$16,IF(GA90="TPP",Lookup!$N$17,IF(GA90="TPPP",Lookup!$N$18,0)))))))*FZ90</f>
        <v>0</v>
      </c>
      <c r="GZ90" s="697">
        <f t="shared" si="378"/>
        <v>0</v>
      </c>
      <c r="HA90" s="712">
        <f t="shared" si="360"/>
        <v>421.82446389243586</v>
      </c>
      <c r="HB90" s="712">
        <f t="shared" si="361"/>
        <v>137.49167662726072</v>
      </c>
      <c r="HC90" s="712"/>
    </row>
    <row r="91" spans="1:211">
      <c r="A91" s="773" t="s">
        <v>8</v>
      </c>
      <c r="B91" s="708">
        <v>40620</v>
      </c>
      <c r="C91" s="719">
        <v>0.5</v>
      </c>
      <c r="D91" s="675">
        <f t="shared" si="366"/>
        <v>300</v>
      </c>
      <c r="E91" s="675">
        <f t="shared" si="367"/>
        <v>250</v>
      </c>
      <c r="F91" s="675">
        <v>250</v>
      </c>
      <c r="G91" s="712">
        <f>DH91+Sheet1!CV91</f>
        <v>1216.6317562928427</v>
      </c>
      <c r="H91" s="712">
        <f t="shared" si="294"/>
        <v>519.46756726769354</v>
      </c>
      <c r="I91" s="711">
        <f>MAX(Sheet1!Z91-AJ91+(Sheet1!CW91-E91)*CFStoMGD,0)</f>
        <v>978.82103117506188</v>
      </c>
      <c r="J91" s="720">
        <f>IF(AND(B91&gt;=Calculation!FS91,B91&lt;=Calculation!FT91),IF(Sheet1!CX91&gt;=Calculation!D91,64.64,0),MAX(Sheet1!Z91-AJ91+(Sheet1!CX91-D91)*CFStoMGD,0))</f>
        <v>64.64</v>
      </c>
      <c r="K91" s="697">
        <f t="shared" si="368"/>
        <v>64.64</v>
      </c>
      <c r="L91" s="712">
        <f>Sheet1!AA91+Sheet1!AB91-Sheet1!L91+(Sheet1!CW91-F91)*CFStoMGD</f>
        <v>1024.4799999999955</v>
      </c>
      <c r="M91" s="712">
        <f t="shared" si="295"/>
        <v>802.15938261304746</v>
      </c>
      <c r="N91" s="712">
        <f>IF(Sheet1!CW91&gt;=F91,MIN(73,MIN(MAX(L91,0),MAX(M91,0))),0)</f>
        <v>73</v>
      </c>
      <c r="O91" s="721">
        <f>Sheet1!AA91+Sheet1!AB91</f>
        <v>53.869999999995343</v>
      </c>
      <c r="P91" s="721">
        <f t="shared" si="296"/>
        <v>83.336889999992792</v>
      </c>
      <c r="Q91" s="712">
        <f>MIN(N91,Sheet1!AA91+AG91)</f>
        <v>45.458968824936377</v>
      </c>
      <c r="R91" s="712">
        <f t="shared" si="297"/>
        <v>8.4110311750589606</v>
      </c>
      <c r="S91" s="721">
        <f>Sheet1!Y91*MGDtoCFS</f>
        <v>46.1006</v>
      </c>
      <c r="T91" s="721">
        <f>Sheet1!Z91*MGDtoCFS</f>
        <v>37.901499999999999</v>
      </c>
      <c r="U91" s="721">
        <f>Sheet1!AA91*MGDtoCFS</f>
        <v>45.125989999997294</v>
      </c>
      <c r="V91" s="721">
        <f>Sheet1!AB91*MGDtoCFS</f>
        <v>38.210899999995497</v>
      </c>
      <c r="W91" s="721">
        <f>Sheet1!L91*MGDtoCFS</f>
        <v>0</v>
      </c>
      <c r="X91" s="697">
        <f t="shared" si="369"/>
        <v>0</v>
      </c>
      <c r="Y91" s="712">
        <f t="shared" si="298"/>
        <v>0</v>
      </c>
      <c r="Z91" s="712">
        <f t="shared" si="299"/>
        <v>56.228968824941042</v>
      </c>
      <c r="AA91" s="712">
        <f t="shared" si="300"/>
        <v>86.986214772183786</v>
      </c>
      <c r="AB91" s="712">
        <f>(VLOOKUP(Sheet1!CY91,hhdcap_wcm,4)-(((VLOOKUP(Sheet1!CY91,hhdcap_wcm,3)-Sheet1!CY91)/(VLOOKUP(Sheet1!CY91,hhdcap_wcm,3)-VLOOKUP(Sheet1!CY91,hhdcap_wcm,1)))*(VLOOKUP(Sheet1!CY91,hhdcap_wcm,4)-VLOOKUP(Sheet1!CY91,hhdcap_wcm,2))))</f>
        <v>8051.680000015197</v>
      </c>
      <c r="AC91" s="712">
        <f t="shared" si="301"/>
        <v>620.76000000143449</v>
      </c>
      <c r="AD91" s="712">
        <f t="shared" si="370"/>
        <v>1047.7065616908114</v>
      </c>
      <c r="AE91" s="712">
        <f t="shared" si="302"/>
        <v>3214.3637312674095</v>
      </c>
      <c r="AF91" s="712">
        <f>Sheet1!BA91+Sheet1!BB91+Sheet1!BN91+BT91</f>
        <v>16.5</v>
      </c>
      <c r="AG91" s="712">
        <f t="shared" si="303"/>
        <v>16.288968824938127</v>
      </c>
      <c r="AH91" s="712">
        <f>Sheet1!BA91+BT91</f>
        <v>0</v>
      </c>
      <c r="AI91" s="712">
        <f>Sheet1!BA91+Sheet1!BB91+BT91</f>
        <v>0</v>
      </c>
      <c r="AJ91" s="712">
        <f>IF((Sheet1!AA91+AG91+AX91+AZ91+BQ91+BS91+CL91+CN91)&lt;=N91,AG91+AX91+AZ91+BQ91+BS91+CL91+CN91,N91-Sheet1!AA91)</f>
        <v>16.288968824938127</v>
      </c>
      <c r="AK91" s="712">
        <f>IF(DR91&lt;K91,0,MAX(Sheet1!AA91+AG91-15/36*K91-N91,Sheet1!ED91,0))</f>
        <v>0</v>
      </c>
      <c r="AL91" s="712">
        <f>IF(OR(B91&gt;=FT91,B91&lt;FS91),0,15/36*K91-MAX(0,64.6-(137.6-(Sheet1!AA91+Sheet1!AB91))))</f>
        <v>26.933333333333334</v>
      </c>
      <c r="AM91" s="712">
        <f>Sheet1!CX91-110</f>
        <v>752.13541666666663</v>
      </c>
      <c r="AN91" s="712">
        <f>Sheet1!CW91-265</f>
        <v>1486.5625</v>
      </c>
      <c r="AO91" s="712">
        <f t="shared" si="371"/>
        <v>27.541031175063623</v>
      </c>
      <c r="AP91" s="712">
        <f t="shared" si="372"/>
        <v>0</v>
      </c>
      <c r="AQ91" s="712">
        <f t="shared" si="304"/>
        <v>0</v>
      </c>
      <c r="AR91" s="712">
        <f t="shared" si="305"/>
        <v>484.8</v>
      </c>
      <c r="AS91" s="712"/>
      <c r="AT91" s="712">
        <f ca="1">IF(B91&gt;Summary!$A$1,#N/A,AR91*MGtoAF)</f>
        <v>1487.3664000000001</v>
      </c>
      <c r="AU91" s="712">
        <f>Sheet1!BG91+Sheet1!BH91+Sheet1!BI91-BC91</f>
        <v>0</v>
      </c>
      <c r="AV91" s="712">
        <f t="shared" si="306"/>
        <v>0</v>
      </c>
      <c r="AW91" s="712">
        <f>IF(Sheet1!EL91="FM",BC91,0)</f>
        <v>0</v>
      </c>
      <c r="AX91" s="712">
        <f t="shared" si="307"/>
        <v>0</v>
      </c>
      <c r="AY91" s="712">
        <f>IF(Sheet1!EL91="OTHER",BC91,0)</f>
        <v>0</v>
      </c>
      <c r="AZ91" s="712">
        <f t="shared" si="308"/>
        <v>0</v>
      </c>
      <c r="BA91" s="712">
        <f t="shared" si="309"/>
        <v>0</v>
      </c>
      <c r="BB91" s="712">
        <f t="shared" si="310"/>
        <v>0</v>
      </c>
      <c r="BC91" s="712">
        <f>IF(OR(Sheet1!EL91="FM", Sheet1!EL91="OTHER"),SUM(Sheet1!BG91:'Sheet1'!BI91),0)</f>
        <v>0</v>
      </c>
      <c r="BD91" s="697">
        <f>IF(AND($B91&gt;=$FL91,$B91&lt;=$FM91),MAX(AV91,Sheet1!EE91,0),MAX(AV91-(7/36)*$K91,0))</f>
        <v>0</v>
      </c>
      <c r="BE91" s="712">
        <f t="shared" si="311"/>
        <v>12.568888888888889</v>
      </c>
      <c r="BF91" s="697">
        <f t="shared" si="373"/>
        <v>0</v>
      </c>
      <c r="BG91" s="697">
        <f>IF(AND($O91&gt;0,Sheet1!EI91=1),(1-($O91-Sheet1!$L91)/$O91)*BB91,0)</f>
        <v>0</v>
      </c>
      <c r="BH91" s="697">
        <f>IF(AND(Sheet1!$L91=0,Sheet1!$L90=0, Calculation!BA91&lt;Sheet1!$EE91-0.1,Sheet1!$EE91=Sheet1!$EE90,Sheet1!$EE91=Sheet1!$EE92),Sheet1!$EE91,BB91-BG91)</f>
        <v>0</v>
      </c>
      <c r="BI91" s="712"/>
      <c r="BJ91" s="712"/>
      <c r="BK91" s="712">
        <f t="shared" si="312"/>
        <v>226.24000000000004</v>
      </c>
      <c r="BL91" s="712"/>
      <c r="BM91" s="712">
        <f ca="1">IF(B91&gt;Summary!$A$1,#N/A,BK91*MGtoAF)</f>
        <v>694.10432000000014</v>
      </c>
      <c r="BN91" s="712">
        <f>Sheet1!BC91+Sheet1!BD91+Sheet1!BE91+Sheet1!BF91-BW91-BX91</f>
        <v>2.5099999999999998</v>
      </c>
      <c r="BO91" s="712">
        <f t="shared" si="313"/>
        <v>2.4778976818542242</v>
      </c>
      <c r="BP91" s="712">
        <f>IF(Sheet1!EM91="FM",BX91,0)</f>
        <v>0</v>
      </c>
      <c r="BQ91" s="712">
        <f t="shared" si="314"/>
        <v>0</v>
      </c>
      <c r="BR91" s="712">
        <f>IF(Sheet1!EM91="OTHER",BX91,0)</f>
        <v>0</v>
      </c>
      <c r="BS91" s="712">
        <f t="shared" si="315"/>
        <v>0</v>
      </c>
      <c r="BT91" s="712">
        <f t="shared" si="316"/>
        <v>0</v>
      </c>
      <c r="BU91" s="712">
        <f t="shared" si="317"/>
        <v>2.5099999999999998</v>
      </c>
      <c r="BV91" s="712">
        <f t="shared" si="318"/>
        <v>2.4778976818542242</v>
      </c>
      <c r="BW91" s="712">
        <f>IF(Sheet1!EM91="CWA",SUM(Sheet1!BC91:'Sheet1'!BF91),0)</f>
        <v>0</v>
      </c>
      <c r="BX91" s="712">
        <f>IF(OR(Sheet1!EM91="FM", Sheet1!EM91="OTHER"),SUM(Sheet1!BC91:'Sheet1'!BF91),0)</f>
        <v>0</v>
      </c>
      <c r="BY91" s="697">
        <f>IF(AND($B91&gt;=$FL91,$B91&lt;=$FM91),MAX(BV91,Sheet1!EF91,0),MAX(BV91-(7/36)*$K91,0))</f>
        <v>0</v>
      </c>
      <c r="BZ91" s="712">
        <f t="shared" si="319"/>
        <v>10.090991207034666</v>
      </c>
      <c r="CA91" s="697">
        <f t="shared" si="374"/>
        <v>2.4778976818542242</v>
      </c>
      <c r="CB91" s="697">
        <f>IF(AND($O91&gt;0,Sheet1!EJ91=1),(1-($O91-Sheet1!$L91)/$O91)*BV91,0)</f>
        <v>0</v>
      </c>
      <c r="CC91" s="697">
        <f>IF(AND(Sheet1!$L91=0,Sheet1!$L90=0, Calculation!BU91&lt;Sheet1!EF91-0.1,Sheet1!EF91=Sheet1!EF90,Sheet1!EF91=Sheet1!EF92),Sheet1!EF91,BV91-CB91)</f>
        <v>2.4778976818542242</v>
      </c>
      <c r="CD91" s="697"/>
      <c r="CE91" s="712"/>
      <c r="CF91" s="712">
        <f t="shared" si="320"/>
        <v>192.53912966786638</v>
      </c>
      <c r="CG91" s="712"/>
      <c r="CH91" s="712">
        <f ca="1">IF(B91&gt;Summary!$A$1,#N/A,CF91*MGtoAF)</f>
        <v>590.71004982101408</v>
      </c>
      <c r="CI91" s="712">
        <f>Sheet1!BK91+Sheet1!BL91+Sheet1!BM91-Sheet1!EN91-CQ91</f>
        <v>6.01</v>
      </c>
      <c r="CJ91" s="712">
        <f t="shared" si="321"/>
        <v>5.9331334932047364</v>
      </c>
      <c r="CK91" s="712">
        <f>IF(Sheet1!EN91="FM",CQ91,0)</f>
        <v>0</v>
      </c>
      <c r="CL91" s="712">
        <f t="shared" si="322"/>
        <v>0</v>
      </c>
      <c r="CM91" s="712">
        <f>IF(Sheet1!EN91="OTHER",CQ91,0)</f>
        <v>0</v>
      </c>
      <c r="CN91" s="712">
        <f t="shared" si="323"/>
        <v>0</v>
      </c>
      <c r="CO91" s="712">
        <f t="shared" si="324"/>
        <v>6.01</v>
      </c>
      <c r="CP91" s="712">
        <f t="shared" si="325"/>
        <v>5.9331334932047364</v>
      </c>
      <c r="CQ91" s="712">
        <f>IF(OR(Sheet1!EN91="FM", Sheet1!EN91="OTHER"),SUM(Sheet1!BK91:'Sheet1'!BM91),0)</f>
        <v>0</v>
      </c>
      <c r="CR91" s="697">
        <f>IF(AND($B91&gt;=$FL91,$B91&lt;=$FM91),MAX($CJ91,Sheet1!EG91,0),MAX($CJ91-(7/36)*$K91,0))</f>
        <v>0</v>
      </c>
      <c r="CS91" s="712">
        <f t="shared" si="326"/>
        <v>6.6357553956841526</v>
      </c>
      <c r="CT91" s="697">
        <f t="shared" si="375"/>
        <v>5.9331334932047364</v>
      </c>
      <c r="CU91" s="697">
        <f>IF(AND($O91&gt;0,Sheet1!EK91=1),(1-($O91-Sheet1!$L91)/$O91)*CP91,0)</f>
        <v>0</v>
      </c>
      <c r="CV91" s="697">
        <f>IF(AND(Sheet1!$L91=0,Sheet1!$L90=0, Calculation!CO91&lt;Sheet1!$EG91-0.1,Sheet1!$EG91=Sheet1!$EG90,Sheet1!$EG91=Sheet1!$EG92),Sheet1!$EG91,CP91-CU91)</f>
        <v>5.9331334932047364</v>
      </c>
      <c r="CW91" s="697">
        <f t="shared" si="362"/>
        <v>0</v>
      </c>
      <c r="CX91" s="712">
        <f t="shared" si="379"/>
        <v>8.52</v>
      </c>
      <c r="CY91" s="712">
        <f t="shared" si="327"/>
        <v>144.12743202294487</v>
      </c>
      <c r="CZ91" s="712">
        <f t="shared" si="328"/>
        <v>8.4110311750589606</v>
      </c>
      <c r="DA91" s="712">
        <f ca="1">IF(B91&gt;Summary!$A$1,#N/A,CY91*MGtoAF)</f>
        <v>442.18296144639487</v>
      </c>
      <c r="DB91" s="712">
        <f t="shared" si="329"/>
        <v>8.52</v>
      </c>
      <c r="DC91" s="712">
        <f t="shared" si="330"/>
        <v>25.02</v>
      </c>
      <c r="DD91" s="712">
        <f>Sheet1!AB91-DC91</f>
        <v>-0.32000000000290996</v>
      </c>
      <c r="DE91" s="712">
        <f t="shared" si="331"/>
        <v>-1.2789768185567945E-2</v>
      </c>
      <c r="DF91" s="712">
        <f>(VLOOKUP(Sheet1!CY91,hhdcap_wcm,4)-(((VLOOKUP(Sheet1!CY91,hhdcap_wcm,3)-Sheet1!CY91)/(VLOOKUP(Sheet1!CY91,hhdcap_wcm,3)-VLOOKUP(Sheet1!CY91,hhdcap_wcm,1)))*(VLOOKUP(Sheet1!CY91,hhdcap_wcm,4)-VLOOKUP(Sheet1!CY91,hhdcap_wcm,2))))</f>
        <v>8051.680000015197</v>
      </c>
      <c r="DG91" s="712">
        <f t="shared" si="332"/>
        <v>620.76000000143449</v>
      </c>
      <c r="DH91" s="712">
        <f t="shared" si="333"/>
        <v>313.04084720193362</v>
      </c>
      <c r="DI91" s="712">
        <f>Sheet1!DW91*AFtoMG</f>
        <v>0</v>
      </c>
      <c r="DJ91" s="712">
        <f>Sheet1!DX91*AFtoMG</f>
        <v>0</v>
      </c>
      <c r="DK91" s="712">
        <f>Sheet1!DY91*AFtoMG</f>
        <v>0</v>
      </c>
      <c r="DL91" s="712">
        <f>Sheet1!DZ91*AFtoMG</f>
        <v>0</v>
      </c>
      <c r="DM91" s="712">
        <f t="shared" si="334"/>
        <v>0</v>
      </c>
      <c r="DN91" s="712">
        <f t="shared" si="335"/>
        <v>0</v>
      </c>
      <c r="DO91" s="712">
        <f t="shared" si="336"/>
        <v>1047.7065616908114</v>
      </c>
      <c r="DP91" s="712">
        <f t="shared" si="337"/>
        <v>3214.3637312674095</v>
      </c>
      <c r="DQ91" s="712"/>
      <c r="DR91" s="697">
        <f>IF(OR(B91&lt;FL91,B91&gt;FM91),(MIN(AV91+BO91+CJ91+MAX(Sheet1!AA91+AG91-73,0),K91)),0)</f>
        <v>8.4110311750589606</v>
      </c>
      <c r="DS91" s="712"/>
      <c r="DT91" s="712">
        <f t="shared" si="338"/>
        <v>8.4110311750589606</v>
      </c>
      <c r="DU91" s="712"/>
      <c r="DV91" s="712">
        <f>Sheet1!ED91+Sheet1!EE91+Sheet1!EF91+Sheet1!EG91</f>
        <v>8.5</v>
      </c>
      <c r="DW91" s="712"/>
      <c r="DX91" s="697">
        <f t="shared" si="376"/>
        <v>0</v>
      </c>
      <c r="DY91" s="712">
        <f>IF(Sheet1!FN91=1,SUM('Calculations II'!AT91:BA91)+'Calculations II'!BC91+Sheet1!BU91+'Calculations II'!BE91+AF91,SUM('Calculations II'!AT91:BA91)+'Calculations II'!BC91+Sheet1!BU91+'Calculations II'!BE91+AF91)</f>
        <v>44.937743999999995</v>
      </c>
      <c r="DZ91" s="712">
        <f>Sheet1!AA91+Sheet1!AB91+'Calculations II'!BC91</f>
        <v>53.869999999995343</v>
      </c>
      <c r="EA91" s="712"/>
      <c r="EB91" s="712"/>
      <c r="EC91" s="712">
        <f t="shared" si="339"/>
        <v>40620</v>
      </c>
      <c r="ED91" s="712">
        <f t="shared" si="340"/>
        <v>56.228968824941042</v>
      </c>
      <c r="EE91" s="712">
        <f t="shared" si="341"/>
        <v>86.986214772183786</v>
      </c>
      <c r="EF91" s="712">
        <f>-(VLOOKUP(Sheet1!BQ91,Lookup!$B$4:$J$236,2)-VLOOKUP(Sheet1!BQ90,Lookup!$B$4:$J$236,2))/1000000</f>
        <v>0</v>
      </c>
      <c r="EG91" s="712">
        <f>-(VLOOKUP(Sheet1!BR91,Lookup!$B$4:$J$236,3)-VLOOKUP(Sheet1!BR90,Lookup!$B$4:$J$236,3))/1000000</f>
        <v>0</v>
      </c>
      <c r="EH91" s="712">
        <f>-(VLOOKUP(Sheet1!BS91,Lookup!$B$4:$J$236,4)-VLOOKUP(Sheet1!BS90,Lookup!$B$4:$J$236,4))/1000000</f>
        <v>0</v>
      </c>
      <c r="EI91" s="697">
        <f t="shared" si="380"/>
        <v>0</v>
      </c>
      <c r="EJ91" s="712"/>
      <c r="EK91" s="712"/>
      <c r="EL91" s="712"/>
      <c r="EM91" s="712"/>
      <c r="EN91" s="712"/>
      <c r="EO91" s="712"/>
      <c r="EP91" s="712"/>
      <c r="EQ91" s="712"/>
      <c r="ER91" s="697">
        <v>0</v>
      </c>
      <c r="ES91" s="712"/>
      <c r="ET91" s="794" t="e">
        <f t="shared" si="342"/>
        <v>#N/A</v>
      </c>
      <c r="EU91" s="794" t="e">
        <f t="shared" si="363"/>
        <v>#VALUE!</v>
      </c>
      <c r="EV91" s="795" t="e">
        <f t="shared" si="364"/>
        <v>#VALUE!</v>
      </c>
      <c r="EW91" s="796" t="s">
        <v>757</v>
      </c>
      <c r="EX91" s="796" t="s">
        <v>757</v>
      </c>
      <c r="EY91" s="794">
        <v>0</v>
      </c>
      <c r="EZ91" s="794" t="e">
        <v>#N/A</v>
      </c>
      <c r="FA91" s="712"/>
      <c r="FB91" s="712"/>
      <c r="FC91" s="712"/>
      <c r="FD91" s="712"/>
      <c r="FE91" s="712">
        <f>O91+Sheet1!CO91</f>
        <v>53.869999999995343</v>
      </c>
      <c r="FF91" s="712">
        <f>IF(Sheet1!AA91+AG91&lt;=Calculation!N91,AG91,Calculation!N91-Sheet1!AA91)</f>
        <v>16.288968824938127</v>
      </c>
      <c r="FG91" s="712">
        <f>(Sheet1!BP91+Sheet1!BO91)/694.4</f>
        <v>2.3643433179723501</v>
      </c>
      <c r="FH91" s="712"/>
      <c r="FI91" s="712"/>
      <c r="FJ91" s="712"/>
      <c r="FK91" s="712"/>
      <c r="FL91" s="714">
        <f t="shared" si="381"/>
        <v>40753</v>
      </c>
      <c r="FM91" s="714">
        <f t="shared" si="382"/>
        <v>40851</v>
      </c>
      <c r="FN91" s="712"/>
      <c r="FO91" s="712"/>
      <c r="FP91" s="712"/>
      <c r="FQ91" s="712"/>
      <c r="FR91" s="712"/>
      <c r="FS91" s="725">
        <f t="shared" si="383"/>
        <v>40603</v>
      </c>
      <c r="FT91" s="714">
        <f t="shared" si="384"/>
        <v>40709</v>
      </c>
      <c r="FU91" s="712">
        <f t="shared" si="385"/>
        <v>6518.9048239895692</v>
      </c>
      <c r="FV91" s="714">
        <f t="shared" si="386"/>
        <v>40722</v>
      </c>
      <c r="FW91" s="712">
        <f t="shared" si="387"/>
        <v>3259.4524119947846</v>
      </c>
      <c r="FX91" s="725">
        <f t="shared" si="388"/>
        <v>40851</v>
      </c>
      <c r="FZ91" s="697">
        <f t="shared" si="365"/>
        <v>0</v>
      </c>
      <c r="GA91" s="712" t="str">
        <f t="shared" si="343"/>
        <v/>
      </c>
      <c r="GB91" s="712">
        <f t="shared" si="344"/>
        <v>0</v>
      </c>
      <c r="GC91" s="712" t="str">
        <f t="shared" si="345"/>
        <v/>
      </c>
      <c r="GD91" s="712">
        <f>IF(GA91="P",Lookup!$M$12,IF(GA91="PP",Lookup!$M$13,IF(GA91="PPP",Lookup!$M$14,IF(GA91="T",Lookup!$M$15,IF(GA91="TP",Lookup!$M$16,IF(GA91="TPP",Lookup!$M$17,IF(GA91="TPPP",Lookup!$M$18,0)))))))*FZ91</f>
        <v>0</v>
      </c>
      <c r="GE91" s="712">
        <f t="shared" si="346"/>
        <v>0</v>
      </c>
      <c r="GF91" s="712">
        <f t="shared" si="347"/>
        <v>1487.3664000000001</v>
      </c>
      <c r="GG91" s="712">
        <f t="shared" si="348"/>
        <v>484.8</v>
      </c>
      <c r="GH91" s="712"/>
      <c r="GI91" s="712">
        <f t="shared" si="349"/>
        <v>0</v>
      </c>
      <c r="GJ91" s="712" t="str">
        <f t="shared" si="350"/>
        <v/>
      </c>
      <c r="GK91" s="712">
        <f>IF(GA91="P",Lookup!$N$12,IF(GA91="PP",Lookup!$N$13,IF(GA91="PPP",Lookup!$N$14,IF(GA91="T",Lookup!$N$15,IF(GA91="TP",Lookup!$N$16,IF(GA91="TPP",Lookup!$N$17,IF(GA91="TPPP",Lookup!$N$18,0)))))))*FZ91</f>
        <v>0</v>
      </c>
      <c r="GL91" s="712">
        <f t="shared" si="351"/>
        <v>0</v>
      </c>
      <c r="GM91" s="712">
        <f t="shared" si="352"/>
        <v>694.10432000000014</v>
      </c>
      <c r="GN91" s="712">
        <f t="shared" si="353"/>
        <v>226.24000000000004</v>
      </c>
      <c r="GO91" s="712"/>
      <c r="GP91" s="712">
        <f t="shared" si="354"/>
        <v>0</v>
      </c>
      <c r="GQ91" s="712" t="str">
        <f t="shared" si="355"/>
        <v/>
      </c>
      <c r="GR91" s="712">
        <f>IF(GA91="P",Lookup!$N$12,IF(GA91="PP",Lookup!$N$13,IF(GA91="PPP",Lookup!$N$14,IF(GA91="T",Lookup!$N$15,IF(GA91="TP",Lookup!$N$16,IF(GA91="TPP",Lookup!$N$17,IF(GA91="TPPP",Lookup!$N$18,0)))))))*FZ91</f>
        <v>0</v>
      </c>
      <c r="GS91" s="697">
        <f t="shared" si="377"/>
        <v>0</v>
      </c>
      <c r="GT91" s="712">
        <f t="shared" si="356"/>
        <v>590.71004982101408</v>
      </c>
      <c r="GU91" s="712">
        <f t="shared" si="357"/>
        <v>192.53912966786638</v>
      </c>
      <c r="GV91" s="712"/>
      <c r="GW91" s="712">
        <f t="shared" si="358"/>
        <v>0</v>
      </c>
      <c r="GX91" s="712" t="str">
        <f t="shared" si="359"/>
        <v/>
      </c>
      <c r="GY91" s="712">
        <f>IF(GA91="P",Lookup!$N$12,IF(GA91="PP",Lookup!$N$13,IF(GA91="PPP",Lookup!$N$14,IF(GA91="T",Lookup!$N$15,IF(GA91="TP",Lookup!$N$16,IF(GA91="TPP",Lookup!$N$17,IF(GA91="TPPP",Lookup!$N$18,0)))))))*FZ91</f>
        <v>0</v>
      </c>
      <c r="GZ91" s="697">
        <f t="shared" si="378"/>
        <v>0</v>
      </c>
      <c r="HA91" s="712">
        <f t="shared" si="360"/>
        <v>442.18296144639487</v>
      </c>
      <c r="HB91" s="712">
        <f t="shared" si="361"/>
        <v>144.12743202294487</v>
      </c>
      <c r="HC91" s="712"/>
    </row>
    <row r="92" spans="1:211">
      <c r="A92" s="773" t="s">
        <v>9</v>
      </c>
      <c r="B92" s="708">
        <v>40621</v>
      </c>
      <c r="C92" s="709">
        <v>0.5</v>
      </c>
      <c r="D92" s="675">
        <f t="shared" si="366"/>
        <v>300</v>
      </c>
      <c r="E92" s="675">
        <f t="shared" si="367"/>
        <v>250</v>
      </c>
      <c r="F92" s="710">
        <v>250</v>
      </c>
      <c r="G92" s="712">
        <f>DH92+Sheet1!CV92</f>
        <v>1110.9900151292768</v>
      </c>
      <c r="H92" s="712">
        <f t="shared" si="294"/>
        <v>451.18074577956452</v>
      </c>
      <c r="I92" s="711">
        <f>MAX(Sheet1!Z92-AJ92+(Sheet1!CW92-E92)*CFStoMGD,0)</f>
        <v>890.54052564102562</v>
      </c>
      <c r="J92" s="720">
        <f>IF(AND(B92&gt;=Calculation!FS92,B92&lt;=Calculation!FT92),IF(Sheet1!CX92&gt;=Calculation!D92,64.64,0),MAX(Sheet1!Z92-AJ92+(Sheet1!CX92-D92)*CFStoMGD,0))</f>
        <v>64.64</v>
      </c>
      <c r="K92" s="697">
        <f t="shared" si="368"/>
        <v>64.64</v>
      </c>
      <c r="L92" s="712">
        <f>Sheet1!AA92+Sheet1!AB92-Sheet1!L92+(Sheet1!CW92-F92)*CFStoMGD</f>
        <v>938.20533333333913</v>
      </c>
      <c r="M92" s="712">
        <f t="shared" si="295"/>
        <v>732.50682469515584</v>
      </c>
      <c r="N92" s="712">
        <f>IF(Sheet1!CW92&gt;=F92,MIN(73,MIN(MAX(L92,0),MAX(M92,0))),0)</f>
        <v>73</v>
      </c>
      <c r="O92" s="721">
        <f>Sheet1!AA92+Sheet1!AB92</f>
        <v>55.600000000005821</v>
      </c>
      <c r="P92" s="721">
        <f t="shared" si="296"/>
        <v>86.013200000008993</v>
      </c>
      <c r="Q92" s="712">
        <f>MIN(N92,Sheet1!AA92+AG92)</f>
        <v>46.854807692313514</v>
      </c>
      <c r="R92" s="712">
        <f t="shared" si="297"/>
        <v>8.7451923076923066</v>
      </c>
      <c r="S92" s="721">
        <f>Sheet1!Y92*MGDtoCFS</f>
        <v>45.868549999999999</v>
      </c>
      <c r="T92" s="721">
        <f>Sheet1!Z92*MGDtoCFS</f>
        <v>38.195430000000002</v>
      </c>
      <c r="U92" s="721">
        <f>Sheet1!AA92*MGDtoCFS</f>
        <v>46.564700000009005</v>
      </c>
      <c r="V92" s="721">
        <f>Sheet1!AB92*MGDtoCFS</f>
        <v>39.448499999999996</v>
      </c>
      <c r="W92" s="721">
        <f>Sheet1!L92*MGDtoCFS</f>
        <v>0</v>
      </c>
      <c r="X92" s="697">
        <f t="shared" si="369"/>
        <v>0</v>
      </c>
      <c r="Y92" s="712">
        <f t="shared" si="298"/>
        <v>0</v>
      </c>
      <c r="Z92" s="712">
        <f t="shared" si="299"/>
        <v>55.894807692307694</v>
      </c>
      <c r="AA92" s="712">
        <f t="shared" si="300"/>
        <v>86.469267500000001</v>
      </c>
      <c r="AB92" s="712">
        <f>(VLOOKUP(Sheet1!CY92,hhdcap_wcm,4)-(((VLOOKUP(Sheet1!CY92,hhdcap_wcm,3)-Sheet1!CY92)/(VLOOKUP(Sheet1!CY92,hhdcap_wcm,3)-VLOOKUP(Sheet1!CY92,hhdcap_wcm,1)))*(VLOOKUP(Sheet1!CY92,hhdcap_wcm,4)-VLOOKUP(Sheet1!CY92,hhdcap_wcm,2))))</f>
        <v>8647.7500000165528</v>
      </c>
      <c r="AC92" s="712">
        <f t="shared" si="301"/>
        <v>596.07000000135577</v>
      </c>
      <c r="AD92" s="712">
        <f t="shared" si="370"/>
        <v>1103.6013693831189</v>
      </c>
      <c r="AE92" s="712">
        <f t="shared" si="302"/>
        <v>3385.8490012674088</v>
      </c>
      <c r="AF92" s="712">
        <f>Sheet1!BA92+Sheet1!BB92+Sheet1!BN92+BT92</f>
        <v>16.399999999999999</v>
      </c>
      <c r="AG92" s="712">
        <f t="shared" si="303"/>
        <v>16.75480769230769</v>
      </c>
      <c r="AH92" s="712">
        <f>Sheet1!BA92+BT92</f>
        <v>0</v>
      </c>
      <c r="AI92" s="712">
        <f>Sheet1!BA92+Sheet1!BB92+BT92</f>
        <v>0</v>
      </c>
      <c r="AJ92" s="712">
        <f>IF((Sheet1!AA92+AG92+AX92+AZ92+BQ92+BS92+CL92+CN92)&lt;=N92,AG92+AX92+AZ92+BQ92+BS92+CL92+CN92,N92-Sheet1!AA92)</f>
        <v>16.75480769230769</v>
      </c>
      <c r="AK92" s="712">
        <f>IF(DR92&lt;K92,0,MAX(Sheet1!AA92+AG92-15/36*K92-N92,Sheet1!ED92,0))</f>
        <v>0</v>
      </c>
      <c r="AL92" s="712">
        <f>IF(OR(B92&gt;=FT92,B92&lt;FS92),0,15/36*K92-MAX(0,64.6-(137.6-(Sheet1!AA92+Sheet1!AB92))))</f>
        <v>26.933333333333334</v>
      </c>
      <c r="AM92" s="712">
        <f>Sheet1!CX92-110</f>
        <v>666.04166666666663</v>
      </c>
      <c r="AN92" s="712">
        <f>Sheet1!CW92-265</f>
        <v>1350.4166666666667</v>
      </c>
      <c r="AO92" s="712">
        <f t="shared" si="371"/>
        <v>26.145192307686486</v>
      </c>
      <c r="AP92" s="712">
        <f t="shared" si="372"/>
        <v>0</v>
      </c>
      <c r="AQ92" s="712">
        <f t="shared" si="304"/>
        <v>0</v>
      </c>
      <c r="AR92" s="712">
        <f t="shared" si="305"/>
        <v>511.73333333333335</v>
      </c>
      <c r="AS92" s="712"/>
      <c r="AT92" s="712">
        <f ca="1">IF(B92&gt;Summary!$A$1,#N/A,AR92*MGtoAF)</f>
        <v>1569.9978666666668</v>
      </c>
      <c r="AU92" s="712">
        <f>Sheet1!BG92+Sheet1!BH92+Sheet1!BI92-BC92</f>
        <v>0</v>
      </c>
      <c r="AV92" s="712">
        <f t="shared" si="306"/>
        <v>0</v>
      </c>
      <c r="AW92" s="712">
        <f>IF(Sheet1!EL92="FM",BC92,0)</f>
        <v>0</v>
      </c>
      <c r="AX92" s="712">
        <f t="shared" si="307"/>
        <v>0</v>
      </c>
      <c r="AY92" s="712">
        <f>IF(Sheet1!EL92="OTHER",BC92,0)</f>
        <v>0</v>
      </c>
      <c r="AZ92" s="712">
        <f t="shared" si="308"/>
        <v>0</v>
      </c>
      <c r="BA92" s="712">
        <f t="shared" si="309"/>
        <v>0</v>
      </c>
      <c r="BB92" s="712">
        <f t="shared" si="310"/>
        <v>0</v>
      </c>
      <c r="BC92" s="712">
        <f>IF(OR(Sheet1!EL92="FM", Sheet1!EL92="OTHER"),SUM(Sheet1!BG92:'Sheet1'!BI92),0)</f>
        <v>0</v>
      </c>
      <c r="BD92" s="697">
        <f>IF(AND($B92&gt;=$FL92,$B92&lt;=$FM92),MAX(AV92,Sheet1!EE92,0),MAX(AV92-(7/36)*$K92,0))</f>
        <v>0</v>
      </c>
      <c r="BE92" s="712">
        <f t="shared" si="311"/>
        <v>12.568888888888889</v>
      </c>
      <c r="BF92" s="697">
        <f t="shared" si="373"/>
        <v>0</v>
      </c>
      <c r="BG92" s="697">
        <f>IF(AND($O92&gt;0,Sheet1!EI92=1),(1-($O92-Sheet1!$L92)/$O92)*BB92,0)</f>
        <v>0</v>
      </c>
      <c r="BH92" s="697">
        <f>IF(AND(Sheet1!$L92=0,Sheet1!$L91=0, Calculation!BA92&lt;Sheet1!$EE92-0.1,Sheet1!$EE92=Sheet1!$EE91,Sheet1!$EE92=Sheet1!$EE93),Sheet1!$EE92,BB92-BG92)</f>
        <v>0</v>
      </c>
      <c r="BI92" s="712"/>
      <c r="BJ92" s="712"/>
      <c r="BK92" s="712">
        <f t="shared" si="312"/>
        <v>238.80888888888893</v>
      </c>
      <c r="BL92" s="712"/>
      <c r="BM92" s="712">
        <f ca="1">IF(B92&gt;Summary!$A$1,#N/A,BK92*MGtoAF)</f>
        <v>732.66567111111124</v>
      </c>
      <c r="BN92" s="712">
        <f>Sheet1!BC92+Sheet1!BD92+Sheet1!BE92+Sheet1!BF92-BW92-BX92</f>
        <v>2.52</v>
      </c>
      <c r="BO92" s="712">
        <f t="shared" si="313"/>
        <v>2.5745192307692308</v>
      </c>
      <c r="BP92" s="712">
        <f>IF(Sheet1!EM92="FM",BX92,0)</f>
        <v>0</v>
      </c>
      <c r="BQ92" s="712">
        <f t="shared" si="314"/>
        <v>0</v>
      </c>
      <c r="BR92" s="712">
        <f>IF(Sheet1!EM92="OTHER",BX92,0)</f>
        <v>0</v>
      </c>
      <c r="BS92" s="712">
        <f t="shared" si="315"/>
        <v>0</v>
      </c>
      <c r="BT92" s="712">
        <f t="shared" si="316"/>
        <v>0</v>
      </c>
      <c r="BU92" s="712">
        <f t="shared" si="317"/>
        <v>2.52</v>
      </c>
      <c r="BV92" s="712">
        <f t="shared" si="318"/>
        <v>2.5745192307692308</v>
      </c>
      <c r="BW92" s="712">
        <f>IF(Sheet1!EM92="CWA",SUM(Sheet1!BC92:'Sheet1'!BF92),0)</f>
        <v>0</v>
      </c>
      <c r="BX92" s="712">
        <f>IF(OR(Sheet1!EM92="FM", Sheet1!EM92="OTHER"),SUM(Sheet1!BC92:'Sheet1'!BF92),0)</f>
        <v>0</v>
      </c>
      <c r="BY92" s="697">
        <f>IF(AND($B92&gt;=$FL92,$B92&lt;=$FM92),MAX(BV92,Sheet1!EF92,0),MAX(BV92-(7/36)*$K92,0))</f>
        <v>0</v>
      </c>
      <c r="BZ92" s="712">
        <f t="shared" si="319"/>
        <v>9.9943696581196591</v>
      </c>
      <c r="CA92" s="697">
        <f t="shared" si="374"/>
        <v>2.5745192307692308</v>
      </c>
      <c r="CB92" s="697">
        <f>IF(AND($O92&gt;0,Sheet1!EJ92=1),(1-($O92-Sheet1!$L92)/$O92)*BV92,0)</f>
        <v>0</v>
      </c>
      <c r="CC92" s="697">
        <f>IF(AND(Sheet1!$L92=0,Sheet1!$L91=0, Calculation!BU92&lt;Sheet1!EF92-0.1,Sheet1!EF92=Sheet1!EF91,Sheet1!EF92=Sheet1!EF93),Sheet1!EF92,BV92-CB92)</f>
        <v>2.5745192307692308</v>
      </c>
      <c r="CD92" s="697"/>
      <c r="CE92" s="712"/>
      <c r="CF92" s="712">
        <f t="shared" si="320"/>
        <v>202.53349932598604</v>
      </c>
      <c r="CG92" s="712"/>
      <c r="CH92" s="712">
        <f ca="1">IF(B92&gt;Summary!$A$1,#N/A,CF92*MGtoAF)</f>
        <v>621.37277593212514</v>
      </c>
      <c r="CI92" s="712">
        <f>Sheet1!BK92+Sheet1!BL92+Sheet1!BM92-Sheet1!EN92-CQ92</f>
        <v>6.04</v>
      </c>
      <c r="CJ92" s="712">
        <f t="shared" si="321"/>
        <v>6.1706730769230766</v>
      </c>
      <c r="CK92" s="712">
        <f>IF(Sheet1!EN92="FM",CQ92,0)</f>
        <v>0</v>
      </c>
      <c r="CL92" s="712">
        <f t="shared" si="322"/>
        <v>0</v>
      </c>
      <c r="CM92" s="712">
        <f>IF(Sheet1!EN92="OTHER",CQ92,0)</f>
        <v>0</v>
      </c>
      <c r="CN92" s="712">
        <f t="shared" si="323"/>
        <v>0</v>
      </c>
      <c r="CO92" s="712">
        <f t="shared" si="324"/>
        <v>6.04</v>
      </c>
      <c r="CP92" s="712">
        <f t="shared" si="325"/>
        <v>6.1706730769230766</v>
      </c>
      <c r="CQ92" s="712">
        <f>IF(OR(Sheet1!EN92="FM", Sheet1!EN92="OTHER"),SUM(Sheet1!BK92:'Sheet1'!BM92),0)</f>
        <v>0</v>
      </c>
      <c r="CR92" s="697">
        <f>IF(AND($B92&gt;=$FL92,$B92&lt;=$FM92),MAX($CJ92,Sheet1!EG92,0),MAX($CJ92-(7/36)*$K92,0))</f>
        <v>0</v>
      </c>
      <c r="CS92" s="712">
        <f t="shared" si="326"/>
        <v>6.3982158119658123</v>
      </c>
      <c r="CT92" s="697">
        <f t="shared" si="375"/>
        <v>6.1706730769230766</v>
      </c>
      <c r="CU92" s="697">
        <f>IF(AND($O92&gt;0,Sheet1!EK92=1),(1-($O92-Sheet1!$L92)/$O92)*CP92,0)</f>
        <v>0</v>
      </c>
      <c r="CV92" s="697">
        <f>IF(AND(Sheet1!$L92=0,Sheet1!$L91=0, Calculation!CO92&lt;Sheet1!$EG92-0.1,Sheet1!$EG92=Sheet1!$EG91,Sheet1!$EG92=Sheet1!$EG93),Sheet1!$EG92,CP92-CU92)</f>
        <v>6.1706730769230766</v>
      </c>
      <c r="CW92" s="697">
        <f t="shared" si="362"/>
        <v>0</v>
      </c>
      <c r="CX92" s="712">
        <f t="shared" si="379"/>
        <v>8.56</v>
      </c>
      <c r="CY92" s="712">
        <f t="shared" si="327"/>
        <v>150.52564783491067</v>
      </c>
      <c r="CZ92" s="712">
        <f t="shared" si="328"/>
        <v>8.7451923076923066</v>
      </c>
      <c r="DA92" s="712">
        <f ca="1">IF(B92&gt;Summary!$A$1,#N/A,CY92*MGtoAF)</f>
        <v>461.81268755750597</v>
      </c>
      <c r="DB92" s="712">
        <f t="shared" si="329"/>
        <v>8.56</v>
      </c>
      <c r="DC92" s="712">
        <f t="shared" si="330"/>
        <v>24.96</v>
      </c>
      <c r="DD92" s="712">
        <f>Sheet1!AB92-DC92</f>
        <v>0.53999999999999915</v>
      </c>
      <c r="DE92" s="712">
        <f t="shared" si="331"/>
        <v>2.1634615384615349E-2</v>
      </c>
      <c r="DF92" s="712">
        <f>(VLOOKUP(Sheet1!CY92,hhdcap_wcm,4)-(((VLOOKUP(Sheet1!CY92,hhdcap_wcm,3)-Sheet1!CY92)/(VLOOKUP(Sheet1!CY92,hhdcap_wcm,3)-VLOOKUP(Sheet1!CY92,hhdcap_wcm,1)))*(VLOOKUP(Sheet1!CY92,hhdcap_wcm,4)-VLOOKUP(Sheet1!CY92,hhdcap_wcm,2))))</f>
        <v>8647.7500000165528</v>
      </c>
      <c r="DG92" s="712">
        <f t="shared" si="332"/>
        <v>596.07000000135577</v>
      </c>
      <c r="DH92" s="712">
        <f t="shared" si="333"/>
        <v>300.59001512927671</v>
      </c>
      <c r="DI92" s="712">
        <f>Sheet1!DW92*AFtoMG</f>
        <v>0</v>
      </c>
      <c r="DJ92" s="712">
        <f>Sheet1!DX92*AFtoMG</f>
        <v>0</v>
      </c>
      <c r="DK92" s="712">
        <f>Sheet1!DY92*AFtoMG</f>
        <v>0</v>
      </c>
      <c r="DL92" s="712">
        <f>Sheet1!DZ92*AFtoMG</f>
        <v>0</v>
      </c>
      <c r="DM92" s="712">
        <f t="shared" si="334"/>
        <v>0</v>
      </c>
      <c r="DN92" s="712">
        <f t="shared" si="335"/>
        <v>0</v>
      </c>
      <c r="DO92" s="712">
        <f t="shared" si="336"/>
        <v>1103.6013693831189</v>
      </c>
      <c r="DP92" s="712">
        <f t="shared" si="337"/>
        <v>3385.8490012674088</v>
      </c>
      <c r="DQ92" s="712"/>
      <c r="DR92" s="697">
        <f>IF(OR(B92&lt;FL92,B92&gt;FM92),(MIN(AV92+BO92+CJ92+MAX(Sheet1!AA92+AG92-73,0),K92)),0)</f>
        <v>8.7451923076923066</v>
      </c>
      <c r="DS92" s="712"/>
      <c r="DT92" s="712">
        <f t="shared" si="338"/>
        <v>8.7451923076923066</v>
      </c>
      <c r="DU92" s="712"/>
      <c r="DV92" s="712">
        <f>Sheet1!ED92+Sheet1!EE92+Sheet1!EF92+Sheet1!EG92</f>
        <v>8.5</v>
      </c>
      <c r="DW92" s="712"/>
      <c r="DX92" s="697">
        <f t="shared" si="376"/>
        <v>0</v>
      </c>
      <c r="DY92" s="712">
        <f>IF(Sheet1!FN92=1,SUM('Calculations II'!AT92:BA92)+'Calculations II'!BC92+Sheet1!BU92+'Calculations II'!BE92+AF92,SUM('Calculations II'!AT92:BA92)+'Calculations II'!BC92+Sheet1!BU92+'Calculations II'!BE92+AF92)</f>
        <v>44.735664</v>
      </c>
      <c r="DZ92" s="712">
        <f>Sheet1!AA92+Sheet1!AB92+'Calculations II'!BC92</f>
        <v>55.600000000005821</v>
      </c>
      <c r="EA92" s="712"/>
      <c r="EB92" s="712"/>
      <c r="EC92" s="712">
        <f t="shared" si="339"/>
        <v>40621</v>
      </c>
      <c r="ED92" s="712">
        <f t="shared" si="340"/>
        <v>55.894807692307694</v>
      </c>
      <c r="EE92" s="712">
        <f t="shared" si="341"/>
        <v>86.469267500000001</v>
      </c>
      <c r="EF92" s="712">
        <f>-(VLOOKUP(Sheet1!BQ92,Lookup!$B$4:$J$236,2)-VLOOKUP(Sheet1!BQ91,Lookup!$B$4:$J$236,2))/1000000</f>
        <v>0.27050000000000002</v>
      </c>
      <c r="EG92" s="712">
        <f>-(VLOOKUP(Sheet1!BR92,Lookup!$B$4:$J$236,3)-VLOOKUP(Sheet1!BR91,Lookup!$B$4:$J$236,3))/1000000</f>
        <v>0.27</v>
      </c>
      <c r="EH92" s="712">
        <f>-(VLOOKUP(Sheet1!BS92,Lookup!$B$4:$J$236,4)-VLOOKUP(Sheet1!BS91,Lookup!$B$4:$J$236,4))/1000000</f>
        <v>0</v>
      </c>
      <c r="EI92" s="697">
        <f t="shared" si="380"/>
        <v>0.54049999999999998</v>
      </c>
      <c r="EJ92" s="712"/>
      <c r="EK92" s="712"/>
      <c r="EL92" s="712"/>
      <c r="EM92" s="712"/>
      <c r="EN92" s="712"/>
      <c r="EO92" s="712"/>
      <c r="EP92" s="712"/>
      <c r="EQ92" s="712"/>
      <c r="ER92" s="697">
        <v>0</v>
      </c>
      <c r="ES92" s="712"/>
      <c r="ET92" s="794" t="e">
        <f t="shared" si="342"/>
        <v>#N/A</v>
      </c>
      <c r="EU92" s="794" t="e">
        <f t="shared" si="363"/>
        <v>#VALUE!</v>
      </c>
      <c r="EV92" s="795" t="e">
        <f t="shared" si="364"/>
        <v>#VALUE!</v>
      </c>
      <c r="EW92" s="796" t="s">
        <v>757</v>
      </c>
      <c r="EX92" s="796" t="s">
        <v>757</v>
      </c>
      <c r="EY92" s="794">
        <v>0</v>
      </c>
      <c r="EZ92" s="794" t="e">
        <v>#N/A</v>
      </c>
      <c r="FA92" s="712"/>
      <c r="FB92" s="712"/>
      <c r="FC92" s="712"/>
      <c r="FD92" s="712"/>
      <c r="FE92" s="712">
        <f>O92+Sheet1!CO92</f>
        <v>55.600000000005821</v>
      </c>
      <c r="FF92" s="712">
        <f>IF(Sheet1!AA92+AG92&lt;=Calculation!N92,AG92,Calculation!N92-Sheet1!AA92)</f>
        <v>16.75480769230769</v>
      </c>
      <c r="FG92" s="712">
        <f>(Sheet1!BP92+Sheet1!BO92)/694.4</f>
        <v>1.7043490783410138</v>
      </c>
      <c r="FH92" s="712"/>
      <c r="FI92" s="712"/>
      <c r="FJ92" s="712"/>
      <c r="FK92" s="712"/>
      <c r="FL92" s="714">
        <f t="shared" si="381"/>
        <v>40753</v>
      </c>
      <c r="FM92" s="714">
        <f t="shared" si="382"/>
        <v>40851</v>
      </c>
      <c r="FN92" s="712"/>
      <c r="FO92" s="712"/>
      <c r="FP92" s="712"/>
      <c r="FQ92" s="712"/>
      <c r="FR92" s="712"/>
      <c r="FS92" s="725">
        <f t="shared" si="383"/>
        <v>40603</v>
      </c>
      <c r="FT92" s="714">
        <f t="shared" si="384"/>
        <v>40709</v>
      </c>
      <c r="FU92" s="712">
        <f t="shared" si="385"/>
        <v>6518.9048239895692</v>
      </c>
      <c r="FV92" s="714">
        <f t="shared" si="386"/>
        <v>40722</v>
      </c>
      <c r="FW92" s="712">
        <f t="shared" si="387"/>
        <v>3259.4524119947846</v>
      </c>
      <c r="FX92" s="725">
        <f t="shared" si="388"/>
        <v>40851</v>
      </c>
      <c r="FZ92" s="697">
        <f t="shared" si="365"/>
        <v>0</v>
      </c>
      <c r="GA92" s="712" t="str">
        <f t="shared" si="343"/>
        <v/>
      </c>
      <c r="GB92" s="712">
        <f t="shared" si="344"/>
        <v>0</v>
      </c>
      <c r="GC92" s="712" t="str">
        <f t="shared" si="345"/>
        <v/>
      </c>
      <c r="GD92" s="712">
        <f>IF(GA92="P",Lookup!$M$12,IF(GA92="PP",Lookup!$M$13,IF(GA92="PPP",Lookup!$M$14,IF(GA92="T",Lookup!$M$15,IF(GA92="TP",Lookup!$M$16,IF(GA92="TPP",Lookup!$M$17,IF(GA92="TPPP",Lookup!$M$18,0)))))))*FZ92</f>
        <v>0</v>
      </c>
      <c r="GE92" s="712">
        <f t="shared" si="346"/>
        <v>0</v>
      </c>
      <c r="GF92" s="712">
        <f t="shared" si="347"/>
        <v>1569.9978666666668</v>
      </c>
      <c r="GG92" s="712">
        <f t="shared" si="348"/>
        <v>511.73333333333335</v>
      </c>
      <c r="GH92" s="712"/>
      <c r="GI92" s="712">
        <f t="shared" si="349"/>
        <v>0</v>
      </c>
      <c r="GJ92" s="712" t="str">
        <f t="shared" si="350"/>
        <v/>
      </c>
      <c r="GK92" s="712">
        <f>IF(GA92="P",Lookup!$N$12,IF(GA92="PP",Lookup!$N$13,IF(GA92="PPP",Lookup!$N$14,IF(GA92="T",Lookup!$N$15,IF(GA92="TP",Lookup!$N$16,IF(GA92="TPP",Lookup!$N$17,IF(GA92="TPPP",Lookup!$N$18,0)))))))*FZ92</f>
        <v>0</v>
      </c>
      <c r="GL92" s="712">
        <f t="shared" si="351"/>
        <v>0</v>
      </c>
      <c r="GM92" s="712">
        <f t="shared" si="352"/>
        <v>732.66567111111124</v>
      </c>
      <c r="GN92" s="712">
        <f t="shared" si="353"/>
        <v>238.80888888888893</v>
      </c>
      <c r="GO92" s="712"/>
      <c r="GP92" s="712">
        <f t="shared" si="354"/>
        <v>0</v>
      </c>
      <c r="GQ92" s="712" t="str">
        <f t="shared" si="355"/>
        <v/>
      </c>
      <c r="GR92" s="712">
        <f>IF(GA92="P",Lookup!$N$12,IF(GA92="PP",Lookup!$N$13,IF(GA92="PPP",Lookup!$N$14,IF(GA92="T",Lookup!$N$15,IF(GA92="TP",Lookup!$N$16,IF(GA92="TPP",Lookup!$N$17,IF(GA92="TPPP",Lookup!$N$18,0)))))))*FZ92</f>
        <v>0</v>
      </c>
      <c r="GS92" s="697">
        <f t="shared" si="377"/>
        <v>0</v>
      </c>
      <c r="GT92" s="712">
        <f t="shared" si="356"/>
        <v>621.37277593212514</v>
      </c>
      <c r="GU92" s="712">
        <f t="shared" si="357"/>
        <v>202.53349932598604</v>
      </c>
      <c r="GV92" s="712"/>
      <c r="GW92" s="712">
        <f t="shared" si="358"/>
        <v>0</v>
      </c>
      <c r="GX92" s="712" t="str">
        <f t="shared" si="359"/>
        <v/>
      </c>
      <c r="GY92" s="712">
        <f>IF(GA92="P",Lookup!$N$12,IF(GA92="PP",Lookup!$N$13,IF(GA92="PPP",Lookup!$N$14,IF(GA92="T",Lookup!$N$15,IF(GA92="TP",Lookup!$N$16,IF(GA92="TPP",Lookup!$N$17,IF(GA92="TPPP",Lookup!$N$18,0)))))))*FZ92</f>
        <v>0</v>
      </c>
      <c r="GZ92" s="697">
        <f t="shared" si="378"/>
        <v>0</v>
      </c>
      <c r="HA92" s="712">
        <f t="shared" si="360"/>
        <v>461.81268755750597</v>
      </c>
      <c r="HB92" s="712">
        <f t="shared" si="361"/>
        <v>150.52564783491067</v>
      </c>
      <c r="HC92" s="712"/>
    </row>
    <row r="93" spans="1:211">
      <c r="A93" s="773" t="s">
        <v>3</v>
      </c>
      <c r="B93" s="708">
        <v>40622</v>
      </c>
      <c r="C93" s="719">
        <v>0.5</v>
      </c>
      <c r="D93" s="675">
        <f t="shared" si="366"/>
        <v>300</v>
      </c>
      <c r="E93" s="675">
        <f t="shared" si="367"/>
        <v>250</v>
      </c>
      <c r="F93" s="710">
        <v>250</v>
      </c>
      <c r="G93" s="712">
        <f>DH93+Sheet1!CV93</f>
        <v>1026.7845688355212</v>
      </c>
      <c r="H93" s="712">
        <f t="shared" si="294"/>
        <v>396.75034529528091</v>
      </c>
      <c r="I93" s="711">
        <f>MAX(Sheet1!Z93-AJ93+(Sheet1!CW93-E93)*CFStoMGD,0)</f>
        <v>839.6157948717929</v>
      </c>
      <c r="J93" s="720">
        <f>IF(AND(B93&gt;=Calculation!FS93,B93&lt;=Calculation!FT93),IF(Sheet1!CX93&gt;=Calculation!D93,64.64,0),MAX(Sheet1!Z93-AJ93+(Sheet1!CX93-D93)*CFStoMGD,0))</f>
        <v>64.64</v>
      </c>
      <c r="K93" s="697">
        <f t="shared" si="368"/>
        <v>64.64</v>
      </c>
      <c r="L93" s="712">
        <f>Sheet1!AA93+Sheet1!AB93-Sheet1!L93+(Sheet1!CW93-F93)*CFStoMGD</f>
        <v>884.99066666666545</v>
      </c>
      <c r="M93" s="712">
        <f t="shared" si="295"/>
        <v>676.98781620118655</v>
      </c>
      <c r="N93" s="712">
        <f>IF(Sheet1!CW93&gt;=F93,MIN(73,MIN(MAX(L93,0),MAX(M93,0))),0)</f>
        <v>73</v>
      </c>
      <c r="O93" s="721">
        <f>Sheet1!AA93+Sheet1!AB93</f>
        <v>54.029999999998836</v>
      </c>
      <c r="P93" s="721">
        <f t="shared" si="296"/>
        <v>83.584409999998201</v>
      </c>
      <c r="Q93" s="712">
        <f>MIN(N93,Sheet1!AA93+AG93)</f>
        <v>45.524871794869625</v>
      </c>
      <c r="R93" s="712">
        <f t="shared" si="297"/>
        <v>8.5051282051292034</v>
      </c>
      <c r="S93" s="721">
        <f>Sheet1!Y93*MGDtoCFS</f>
        <v>45.930430000000001</v>
      </c>
      <c r="T93" s="721">
        <f>Sheet1!Z93*MGDtoCFS</f>
        <v>38.597649999999994</v>
      </c>
      <c r="U93" s="721">
        <f>Sheet1!AA93*MGDtoCFS</f>
        <v>45.218809999993695</v>
      </c>
      <c r="V93" s="721">
        <f>Sheet1!AB93*MGDtoCFS</f>
        <v>38.365600000004498</v>
      </c>
      <c r="W93" s="721">
        <f>Sheet1!L93*MGDtoCFS</f>
        <v>0</v>
      </c>
      <c r="X93" s="697">
        <f t="shared" si="369"/>
        <v>0</v>
      </c>
      <c r="Y93" s="712">
        <f t="shared" si="298"/>
        <v>0</v>
      </c>
      <c r="Z93" s="712">
        <f t="shared" si="299"/>
        <v>56.134871794870797</v>
      </c>
      <c r="AA93" s="712">
        <f t="shared" si="300"/>
        <v>86.840646666665123</v>
      </c>
      <c r="AB93" s="712">
        <f>(VLOOKUP(Sheet1!CY93,hhdcap_wcm,4)-(((VLOOKUP(Sheet1!CY93,hhdcap_wcm,3)-Sheet1!CY93)/(VLOOKUP(Sheet1!CY93,hhdcap_wcm,3)-VLOOKUP(Sheet1!CY93,hhdcap_wcm,1)))*(VLOOKUP(Sheet1!CY93,hhdcap_wcm,4)-VLOOKUP(Sheet1!CY93,hhdcap_wcm,2))))</f>
        <v>9060.5800000173913</v>
      </c>
      <c r="AC93" s="712">
        <f t="shared" si="301"/>
        <v>412.83000000083848</v>
      </c>
      <c r="AD93" s="712">
        <f t="shared" si="370"/>
        <v>1159.7362411779898</v>
      </c>
      <c r="AE93" s="712">
        <f t="shared" si="302"/>
        <v>3558.0707879340725</v>
      </c>
      <c r="AF93" s="712">
        <f>Sheet1!BA93+Sheet1!BB93+Sheet1!BN93+BT93</f>
        <v>16.399999999999999</v>
      </c>
      <c r="AG93" s="712">
        <f t="shared" si="303"/>
        <v>16.294871794873703</v>
      </c>
      <c r="AH93" s="712">
        <f>Sheet1!BA93+BT93</f>
        <v>0</v>
      </c>
      <c r="AI93" s="712">
        <f>Sheet1!BA93+Sheet1!BB93+BT93</f>
        <v>0</v>
      </c>
      <c r="AJ93" s="712">
        <f>IF((Sheet1!AA93+AG93+AX93+AZ93+BQ93+BS93+CL93+CN93)&lt;=N93,AG93+AX93+AZ93+BQ93+BS93+CL93+CN93,N93-Sheet1!AA93)</f>
        <v>16.294871794873703</v>
      </c>
      <c r="AK93" s="712">
        <f>IF(DR93&lt;K93,0,MAX(Sheet1!AA93+AG93-15/36*K93-N93,Sheet1!ED93,0))</f>
        <v>0</v>
      </c>
      <c r="AL93" s="712">
        <f>IF(OR(B93&gt;=FT93,B93&lt;FS93),0,15/36*K93-MAX(0,64.6-(137.6-(Sheet1!AA93+Sheet1!AB93))))</f>
        <v>26.933333333333334</v>
      </c>
      <c r="AM93" s="712">
        <f>Sheet1!CX93-110</f>
        <v>664.5</v>
      </c>
      <c r="AN93" s="712">
        <f>Sheet1!CW93-265</f>
        <v>1270.5208333333333</v>
      </c>
      <c r="AO93" s="712">
        <f t="shared" si="371"/>
        <v>27.475128205130375</v>
      </c>
      <c r="AP93" s="712">
        <f t="shared" si="372"/>
        <v>0</v>
      </c>
      <c r="AQ93" s="712">
        <f t="shared" si="304"/>
        <v>0</v>
      </c>
      <c r="AR93" s="712">
        <f t="shared" si="305"/>
        <v>538.66666666666663</v>
      </c>
      <c r="AS93" s="712"/>
      <c r="AT93" s="712">
        <f ca="1">IF(B93&gt;Summary!$A$1,#N/A,AR93*MGtoAF)</f>
        <v>1652.6293333333333</v>
      </c>
      <c r="AU93" s="712">
        <f>Sheet1!BG93+Sheet1!BH93+Sheet1!BI93-BC93</f>
        <v>0</v>
      </c>
      <c r="AV93" s="712">
        <f t="shared" si="306"/>
        <v>0</v>
      </c>
      <c r="AW93" s="712">
        <f>IF(Sheet1!EL93="FM",BC93,0)</f>
        <v>0</v>
      </c>
      <c r="AX93" s="712">
        <f t="shared" si="307"/>
        <v>0</v>
      </c>
      <c r="AY93" s="712">
        <f>IF(Sheet1!EL93="OTHER",BC93,0)</f>
        <v>0</v>
      </c>
      <c r="AZ93" s="712">
        <f t="shared" si="308"/>
        <v>0</v>
      </c>
      <c r="BA93" s="712">
        <f t="shared" si="309"/>
        <v>0</v>
      </c>
      <c r="BB93" s="712">
        <f t="shared" si="310"/>
        <v>0</v>
      </c>
      <c r="BC93" s="712">
        <f>IF(OR(Sheet1!EL93="FM", Sheet1!EL93="OTHER"),SUM(Sheet1!BG93:'Sheet1'!BI93),0)</f>
        <v>0</v>
      </c>
      <c r="BD93" s="697">
        <f>IF(AND($B93&gt;=$FL93,$B93&lt;=$FM93),MAX(AV93,Sheet1!EE93,0),MAX(AV93-(7/36)*$K93,0))</f>
        <v>0</v>
      </c>
      <c r="BE93" s="712">
        <f t="shared" si="311"/>
        <v>12.568888888888889</v>
      </c>
      <c r="BF93" s="697">
        <f t="shared" si="373"/>
        <v>0</v>
      </c>
      <c r="BG93" s="697">
        <f>IF(AND($O93&gt;0,Sheet1!EI93=1),(1-($O93-Sheet1!$L93)/$O93)*BB93,0)</f>
        <v>0</v>
      </c>
      <c r="BH93" s="697">
        <f>IF(AND(Sheet1!$L93=0,Sheet1!$L92=0, Calculation!BA93&lt;Sheet1!$EE93-0.1,Sheet1!$EE93=Sheet1!$EE92,Sheet1!$EE93=Sheet1!$EE94),Sheet1!$EE93,BB93-BG93)</f>
        <v>0</v>
      </c>
      <c r="BI93" s="712"/>
      <c r="BJ93" s="712"/>
      <c r="BK93" s="712">
        <f t="shared" si="312"/>
        <v>251.37777777777782</v>
      </c>
      <c r="BL93" s="712"/>
      <c r="BM93" s="712">
        <f ca="1">IF(B93&gt;Summary!$A$1,#N/A,BK93*MGtoAF)</f>
        <v>771.22702222222233</v>
      </c>
      <c r="BN93" s="712">
        <f>Sheet1!BC93+Sheet1!BD93+Sheet1!BE93+Sheet1!BF93-BW93-BX93</f>
        <v>2.52</v>
      </c>
      <c r="BO93" s="712">
        <f t="shared" si="313"/>
        <v>2.5038461538464478</v>
      </c>
      <c r="BP93" s="712">
        <f>IF(Sheet1!EM93="FM",BX93,0)</f>
        <v>0</v>
      </c>
      <c r="BQ93" s="712">
        <f t="shared" si="314"/>
        <v>0</v>
      </c>
      <c r="BR93" s="712">
        <f>IF(Sheet1!EM93="OTHER",BX93,0)</f>
        <v>0</v>
      </c>
      <c r="BS93" s="712">
        <f t="shared" si="315"/>
        <v>0</v>
      </c>
      <c r="BT93" s="712">
        <f t="shared" si="316"/>
        <v>0</v>
      </c>
      <c r="BU93" s="712">
        <f t="shared" si="317"/>
        <v>2.52</v>
      </c>
      <c r="BV93" s="712">
        <f t="shared" si="318"/>
        <v>2.5038461538464478</v>
      </c>
      <c r="BW93" s="712">
        <f>IF(Sheet1!EM93="CWA",SUM(Sheet1!BC93:'Sheet1'!BF93),0)</f>
        <v>0</v>
      </c>
      <c r="BX93" s="712">
        <f>IF(OR(Sheet1!EM93="FM", Sheet1!EM93="OTHER"),SUM(Sheet1!BC93:'Sheet1'!BF93),0)</f>
        <v>0</v>
      </c>
      <c r="BY93" s="697">
        <f>IF(AND($B93&gt;=$FL93,$B93&lt;=$FM93),MAX(BV93,Sheet1!EF93,0),MAX(BV93-(7/36)*$K93,0))</f>
        <v>0</v>
      </c>
      <c r="BZ93" s="712">
        <f t="shared" si="319"/>
        <v>10.065042735042441</v>
      </c>
      <c r="CA93" s="697">
        <f t="shared" si="374"/>
        <v>2.5038461538464478</v>
      </c>
      <c r="CB93" s="697">
        <f>IF(AND($O93&gt;0,Sheet1!EJ93=1),(1-($O93-Sheet1!$L93)/$O93)*BV93,0)</f>
        <v>0</v>
      </c>
      <c r="CC93" s="697">
        <f>IF(AND(Sheet1!$L93=0,Sheet1!$L92=0, Calculation!BU93&lt;Sheet1!EF93-0.1,Sheet1!EF93=Sheet1!EF92,Sheet1!EF93=Sheet1!EF94),Sheet1!EF93,BV93-CB93)</f>
        <v>2.5038461538464478</v>
      </c>
      <c r="CD93" s="697"/>
      <c r="CE93" s="712"/>
      <c r="CF93" s="712">
        <f t="shared" si="320"/>
        <v>212.5985420610285</v>
      </c>
      <c r="CG93" s="712"/>
      <c r="CH93" s="712">
        <f ca="1">IF(B93&gt;Summary!$A$1,#N/A,CF93*MGtoAF)</f>
        <v>652.25232704323548</v>
      </c>
      <c r="CI93" s="712">
        <f>Sheet1!BK93+Sheet1!BL93+Sheet1!BM93-Sheet1!EN93-CQ93</f>
        <v>6.04</v>
      </c>
      <c r="CJ93" s="712">
        <f t="shared" si="321"/>
        <v>6.0012820512827556</v>
      </c>
      <c r="CK93" s="712">
        <f>IF(Sheet1!EN93="FM",CQ93,0)</f>
        <v>0</v>
      </c>
      <c r="CL93" s="712">
        <f t="shared" si="322"/>
        <v>0</v>
      </c>
      <c r="CM93" s="712">
        <f>IF(Sheet1!EN93="OTHER",CQ93,0)</f>
        <v>0</v>
      </c>
      <c r="CN93" s="712">
        <f t="shared" si="323"/>
        <v>0</v>
      </c>
      <c r="CO93" s="712">
        <f t="shared" si="324"/>
        <v>6.04</v>
      </c>
      <c r="CP93" s="712">
        <f t="shared" si="325"/>
        <v>6.0012820512827556</v>
      </c>
      <c r="CQ93" s="712">
        <f>IF(OR(Sheet1!EN93="FM", Sheet1!EN93="OTHER"),SUM(Sheet1!BK93:'Sheet1'!BM93),0)</f>
        <v>0</v>
      </c>
      <c r="CR93" s="697">
        <f>IF(AND($B93&gt;=$FL93,$B93&lt;=$FM93),MAX($CJ93,Sheet1!EG93,0),MAX($CJ93-(7/36)*$K93,0))</f>
        <v>0</v>
      </c>
      <c r="CS93" s="712">
        <f t="shared" si="326"/>
        <v>6.5676068376061334</v>
      </c>
      <c r="CT93" s="697">
        <f t="shared" si="375"/>
        <v>6.0012820512827556</v>
      </c>
      <c r="CU93" s="697">
        <f>IF(AND($O93&gt;0,Sheet1!EK93=1),(1-($O93-Sheet1!$L93)/$O93)*CP93,0)</f>
        <v>0</v>
      </c>
      <c r="CV93" s="697">
        <f>IF(AND(Sheet1!$L93=0,Sheet1!$L92=0, Calculation!CO93&lt;Sheet1!$EG93-0.1,Sheet1!$EG93=Sheet1!$EG92,Sheet1!$EG93=Sheet1!$EG94),Sheet1!$EG93,CP93-CU93)</f>
        <v>6.0012820512827556</v>
      </c>
      <c r="CW93" s="697">
        <f t="shared" si="362"/>
        <v>0</v>
      </c>
      <c r="CX93" s="712">
        <f t="shared" si="379"/>
        <v>8.56</v>
      </c>
      <c r="CY93" s="712">
        <f t="shared" si="327"/>
        <v>157.09325467251679</v>
      </c>
      <c r="CZ93" s="712">
        <f t="shared" si="328"/>
        <v>8.5051282051292034</v>
      </c>
      <c r="DA93" s="712">
        <f ca="1">IF(B93&gt;Summary!$A$1,#N/A,CY93*MGtoAF)</f>
        <v>481.96210533528154</v>
      </c>
      <c r="DB93" s="712">
        <f t="shared" si="329"/>
        <v>8.56</v>
      </c>
      <c r="DC93" s="712">
        <f t="shared" si="330"/>
        <v>24.96</v>
      </c>
      <c r="DD93" s="712">
        <f>Sheet1!AB93-DC93</f>
        <v>-0.15999999999709047</v>
      </c>
      <c r="DE93" s="712">
        <f t="shared" si="331"/>
        <v>-6.4102564101398427E-3</v>
      </c>
      <c r="DF93" s="712">
        <f>(VLOOKUP(Sheet1!CY93,hhdcap_wcm,4)-(((VLOOKUP(Sheet1!CY93,hhdcap_wcm,3)-Sheet1!CY93)/(VLOOKUP(Sheet1!CY93,hhdcap_wcm,3)-VLOOKUP(Sheet1!CY93,hhdcap_wcm,1)))*(VLOOKUP(Sheet1!CY93,hhdcap_wcm,4)-VLOOKUP(Sheet1!CY93,hhdcap_wcm,2))))</f>
        <v>9060.5800000173913</v>
      </c>
      <c r="DG93" s="712">
        <f t="shared" si="332"/>
        <v>412.83000000083848</v>
      </c>
      <c r="DH93" s="712">
        <f t="shared" si="333"/>
        <v>208.18456883552113</v>
      </c>
      <c r="DI93" s="712">
        <f>Sheet1!DW93*AFtoMG</f>
        <v>0</v>
      </c>
      <c r="DJ93" s="712">
        <f>Sheet1!DX93*AFtoMG</f>
        <v>0</v>
      </c>
      <c r="DK93" s="712">
        <f>Sheet1!DY93*AFtoMG</f>
        <v>0</v>
      </c>
      <c r="DL93" s="712">
        <f>Sheet1!DZ93*AFtoMG</f>
        <v>0</v>
      </c>
      <c r="DM93" s="712">
        <f t="shared" si="334"/>
        <v>0</v>
      </c>
      <c r="DN93" s="712">
        <f t="shared" si="335"/>
        <v>0</v>
      </c>
      <c r="DO93" s="712">
        <f t="shared" si="336"/>
        <v>1159.7362411779898</v>
      </c>
      <c r="DP93" s="712">
        <f t="shared" si="337"/>
        <v>3558.0707879340725</v>
      </c>
      <c r="DQ93" s="712"/>
      <c r="DR93" s="697">
        <f>IF(OR(B93&lt;FL93,B93&gt;FM93),(MIN(AV93+BO93+CJ93+MAX(Sheet1!AA93+AG93-73,0),K93)),0)</f>
        <v>8.5051282051292034</v>
      </c>
      <c r="DS93" s="712"/>
      <c r="DT93" s="712">
        <f t="shared" si="338"/>
        <v>8.5051282051292034</v>
      </c>
      <c r="DU93" s="712"/>
      <c r="DV93" s="712">
        <f>Sheet1!ED93+Sheet1!EE93+Sheet1!EF93+Sheet1!EG93</f>
        <v>8.5</v>
      </c>
      <c r="DW93" s="712"/>
      <c r="DX93" s="697">
        <f t="shared" si="376"/>
        <v>0</v>
      </c>
      <c r="DY93" s="712">
        <f>IF(Sheet1!FN93=1,SUM('Calculations II'!AT93:BA93)+'Calculations II'!BC93+Sheet1!BU93+'Calculations II'!BE93+AF93,SUM('Calculations II'!AT93:BA93)+'Calculations II'!BC93+Sheet1!BU93+'Calculations II'!BE93+AF93)</f>
        <v>47.772303999999998</v>
      </c>
      <c r="DZ93" s="712">
        <f>Sheet1!AA93+Sheet1!AB93+'Calculations II'!BC93</f>
        <v>54.029999999998836</v>
      </c>
      <c r="EA93" s="712"/>
      <c r="EB93" s="712"/>
      <c r="EC93" s="712">
        <f t="shared" si="339"/>
        <v>40622</v>
      </c>
      <c r="ED93" s="712">
        <f t="shared" si="340"/>
        <v>56.134871794870797</v>
      </c>
      <c r="EE93" s="712">
        <f t="shared" si="341"/>
        <v>86.840646666665123</v>
      </c>
      <c r="EF93" s="712">
        <f>-(VLOOKUP(Sheet1!BQ93,Lookup!$B$4:$J$236,2)-VLOOKUP(Sheet1!BQ92,Lookup!$B$4:$J$236,2))/1000000</f>
        <v>1.3423</v>
      </c>
      <c r="EG93" s="712">
        <f>-(VLOOKUP(Sheet1!BR93,Lookup!$B$4:$J$236,3)-VLOOKUP(Sheet1!BR92,Lookup!$B$4:$J$236,3))/1000000</f>
        <v>1.3364</v>
      </c>
      <c r="EH93" s="712">
        <f>-(VLOOKUP(Sheet1!BS93,Lookup!$B$4:$J$236,4)-VLOOKUP(Sheet1!BS92,Lookup!$B$4:$J$236,4))/1000000</f>
        <v>0</v>
      </c>
      <c r="EI93" s="697">
        <f t="shared" si="380"/>
        <v>2.6787000000000001</v>
      </c>
      <c r="EJ93" s="712"/>
      <c r="EK93" s="712"/>
      <c r="EL93" s="712"/>
      <c r="EM93" s="712"/>
      <c r="EN93" s="712"/>
      <c r="EO93" s="712"/>
      <c r="EP93" s="712"/>
      <c r="EQ93" s="712"/>
      <c r="ER93" s="697">
        <v>0</v>
      </c>
      <c r="ES93" s="712"/>
      <c r="ET93" s="794" t="e">
        <f t="shared" si="342"/>
        <v>#N/A</v>
      </c>
      <c r="EU93" s="794" t="e">
        <f t="shared" si="363"/>
        <v>#VALUE!</v>
      </c>
      <c r="EV93" s="795" t="e">
        <f t="shared" si="364"/>
        <v>#VALUE!</v>
      </c>
      <c r="EW93" s="796" t="s">
        <v>757</v>
      </c>
      <c r="EX93" s="796" t="s">
        <v>757</v>
      </c>
      <c r="EY93" s="794">
        <v>0</v>
      </c>
      <c r="EZ93" s="794" t="e">
        <v>#N/A</v>
      </c>
      <c r="FA93" s="712"/>
      <c r="FB93" s="712"/>
      <c r="FC93" s="712"/>
      <c r="FD93" s="712"/>
      <c r="FE93" s="712">
        <f>O93+Sheet1!CO93</f>
        <v>54.029999999998836</v>
      </c>
      <c r="FF93" s="712">
        <f>IF(Sheet1!AA93+AG93&lt;=Calculation!N93,AG93,Calculation!N93-Sheet1!AA93)</f>
        <v>16.294871794873703</v>
      </c>
      <c r="FG93" s="712">
        <f>(Sheet1!BP93+Sheet1!BO93)/694.4</f>
        <v>1.8518145161290325</v>
      </c>
      <c r="FH93" s="712"/>
      <c r="FI93" s="712"/>
      <c r="FJ93" s="712"/>
      <c r="FK93" s="712"/>
      <c r="FL93" s="714">
        <f t="shared" si="381"/>
        <v>40753</v>
      </c>
      <c r="FM93" s="714">
        <f t="shared" si="382"/>
        <v>40851</v>
      </c>
      <c r="FN93" s="712"/>
      <c r="FO93" s="712"/>
      <c r="FP93" s="712"/>
      <c r="FQ93" s="712"/>
      <c r="FR93" s="712"/>
      <c r="FS93" s="725">
        <f t="shared" si="383"/>
        <v>40603</v>
      </c>
      <c r="FT93" s="714">
        <f t="shared" si="384"/>
        <v>40709</v>
      </c>
      <c r="FU93" s="712">
        <f t="shared" si="385"/>
        <v>6518.9048239895692</v>
      </c>
      <c r="FV93" s="714">
        <f t="shared" si="386"/>
        <v>40722</v>
      </c>
      <c r="FW93" s="712">
        <f t="shared" si="387"/>
        <v>3259.4524119947846</v>
      </c>
      <c r="FX93" s="725">
        <f t="shared" si="388"/>
        <v>40851</v>
      </c>
      <c r="FZ93" s="697">
        <f t="shared" si="365"/>
        <v>0</v>
      </c>
      <c r="GA93" s="712" t="str">
        <f t="shared" si="343"/>
        <v/>
      </c>
      <c r="GB93" s="712">
        <f t="shared" si="344"/>
        <v>0</v>
      </c>
      <c r="GC93" s="712" t="str">
        <f t="shared" si="345"/>
        <v/>
      </c>
      <c r="GD93" s="712">
        <f>IF(GA93="P",Lookup!$M$12,IF(GA93="PP",Lookup!$M$13,IF(GA93="PPP",Lookup!$M$14,IF(GA93="T",Lookup!$M$15,IF(GA93="TP",Lookup!$M$16,IF(GA93="TPP",Lookup!$M$17,IF(GA93="TPPP",Lookup!$M$18,0)))))))*FZ93</f>
        <v>0</v>
      </c>
      <c r="GE93" s="712">
        <f t="shared" si="346"/>
        <v>0</v>
      </c>
      <c r="GF93" s="712">
        <f t="shared" si="347"/>
        <v>1652.6293333333333</v>
      </c>
      <c r="GG93" s="712">
        <f t="shared" si="348"/>
        <v>538.66666666666663</v>
      </c>
      <c r="GH93" s="712"/>
      <c r="GI93" s="712">
        <f t="shared" si="349"/>
        <v>0</v>
      </c>
      <c r="GJ93" s="712" t="str">
        <f t="shared" si="350"/>
        <v/>
      </c>
      <c r="GK93" s="712">
        <f>IF(GA93="P",Lookup!$N$12,IF(GA93="PP",Lookup!$N$13,IF(GA93="PPP",Lookup!$N$14,IF(GA93="T",Lookup!$N$15,IF(GA93="TP",Lookup!$N$16,IF(GA93="TPP",Lookup!$N$17,IF(GA93="TPPP",Lookup!$N$18,0)))))))*FZ93</f>
        <v>0</v>
      </c>
      <c r="GL93" s="712">
        <f t="shared" si="351"/>
        <v>0</v>
      </c>
      <c r="GM93" s="712">
        <f t="shared" si="352"/>
        <v>771.22702222222233</v>
      </c>
      <c r="GN93" s="712">
        <f t="shared" si="353"/>
        <v>251.37777777777782</v>
      </c>
      <c r="GO93" s="712"/>
      <c r="GP93" s="712">
        <f t="shared" si="354"/>
        <v>0</v>
      </c>
      <c r="GQ93" s="712" t="str">
        <f t="shared" si="355"/>
        <v/>
      </c>
      <c r="GR93" s="712">
        <f>IF(GA93="P",Lookup!$N$12,IF(GA93="PP",Lookup!$N$13,IF(GA93="PPP",Lookup!$N$14,IF(GA93="T",Lookup!$N$15,IF(GA93="TP",Lookup!$N$16,IF(GA93="TPP",Lookup!$N$17,IF(GA93="TPPP",Lookup!$N$18,0)))))))*FZ93</f>
        <v>0</v>
      </c>
      <c r="GS93" s="697">
        <f t="shared" si="377"/>
        <v>0</v>
      </c>
      <c r="GT93" s="712">
        <f t="shared" si="356"/>
        <v>652.25232704323548</v>
      </c>
      <c r="GU93" s="712">
        <f t="shared" si="357"/>
        <v>212.5985420610285</v>
      </c>
      <c r="GV93" s="712"/>
      <c r="GW93" s="712">
        <f t="shared" si="358"/>
        <v>0</v>
      </c>
      <c r="GX93" s="712" t="str">
        <f t="shared" si="359"/>
        <v/>
      </c>
      <c r="GY93" s="712">
        <f>IF(GA93="P",Lookup!$N$12,IF(GA93="PP",Lookup!$N$13,IF(GA93="PPP",Lookup!$N$14,IF(GA93="T",Lookup!$N$15,IF(GA93="TP",Lookup!$N$16,IF(GA93="TPP",Lookup!$N$17,IF(GA93="TPPP",Lookup!$N$18,0)))))))*FZ93</f>
        <v>0</v>
      </c>
      <c r="GZ93" s="697">
        <f t="shared" si="378"/>
        <v>0</v>
      </c>
      <c r="HA93" s="712">
        <f t="shared" si="360"/>
        <v>481.96210533528154</v>
      </c>
      <c r="HB93" s="712">
        <f t="shared" si="361"/>
        <v>157.09325467251679</v>
      </c>
      <c r="HC93" s="712"/>
    </row>
    <row r="94" spans="1:211">
      <c r="A94" s="773" t="s">
        <v>4</v>
      </c>
      <c r="B94" s="708">
        <v>40623</v>
      </c>
      <c r="C94" s="709">
        <v>0.5</v>
      </c>
      <c r="D94" s="675">
        <f t="shared" si="366"/>
        <v>300</v>
      </c>
      <c r="E94" s="675">
        <f t="shared" si="367"/>
        <v>250</v>
      </c>
      <c r="F94" s="675">
        <v>250</v>
      </c>
      <c r="G94" s="712">
        <f>DH94+Sheet1!CV94</f>
        <v>994.54752899689049</v>
      </c>
      <c r="H94" s="712">
        <f t="shared" si="294"/>
        <v>375.91232274358998</v>
      </c>
      <c r="I94" s="711">
        <f>MAX(Sheet1!Z94-AJ94+(Sheet1!CW94-E94)*CFStoMGD,0)</f>
        <v>814.7728799786172</v>
      </c>
      <c r="J94" s="720">
        <f>IF(AND(B94&gt;=Calculation!FS94,B94&lt;=Calculation!FT94),IF(Sheet1!CX94&gt;=Calculation!D94,64.64,0),MAX(Sheet1!Z94-AJ94+(Sheet1!CX94-D94)*CFStoMGD,0))</f>
        <v>64.64</v>
      </c>
      <c r="K94" s="697">
        <f t="shared" si="368"/>
        <v>64.64</v>
      </c>
      <c r="L94" s="712">
        <f>Sheet1!AA94+Sheet1!AB94-Sheet1!L94+(Sheet1!CW94-F94)*CFStoMGD</f>
        <v>859.6606666666637</v>
      </c>
      <c r="M94" s="712">
        <f t="shared" si="295"/>
        <v>655.73303319846184</v>
      </c>
      <c r="N94" s="712">
        <f>IF(Sheet1!CW94&gt;=F94,MIN(73,MIN(MAX(L94,0),MAX(M94,0))),0)</f>
        <v>73</v>
      </c>
      <c r="O94" s="721">
        <f>Sheet1!AA94+Sheet1!AB94</f>
        <v>53.94999999999709</v>
      </c>
      <c r="P94" s="721">
        <f t="shared" si="296"/>
        <v>83.460649999995496</v>
      </c>
      <c r="Q94" s="712">
        <f>MIN(N94,Sheet1!AA94+AG94)</f>
        <v>45.577786688049414</v>
      </c>
      <c r="R94" s="712">
        <f t="shared" si="297"/>
        <v>8.3722133119476805</v>
      </c>
      <c r="S94" s="721">
        <f>Sheet1!Y94*MGDtoCFS</f>
        <v>45.914960000000001</v>
      </c>
      <c r="T94" s="721">
        <f>Sheet1!Z94*MGDtoCFS</f>
        <v>38.891579999999998</v>
      </c>
      <c r="U94" s="721">
        <f>Sheet1!AA94*MGDtoCFS</f>
        <v>45.636499999999998</v>
      </c>
      <c r="V94" s="721">
        <f>Sheet1!AB94*MGDtoCFS</f>
        <v>37.824149999995498</v>
      </c>
      <c r="W94" s="721">
        <f>Sheet1!L94*MGDtoCFS</f>
        <v>0</v>
      </c>
      <c r="X94" s="697">
        <f t="shared" si="369"/>
        <v>0</v>
      </c>
      <c r="Y94" s="712">
        <f t="shared" si="298"/>
        <v>0</v>
      </c>
      <c r="Z94" s="712">
        <f t="shared" si="299"/>
        <v>56.267786688052318</v>
      </c>
      <c r="AA94" s="712">
        <f t="shared" si="300"/>
        <v>87.046266006416928</v>
      </c>
      <c r="AB94" s="712">
        <f>(VLOOKUP(Sheet1!CY94,hhdcap_wcm,4)-(((VLOOKUP(Sheet1!CY94,hhdcap_wcm,3)-Sheet1!CY94)/(VLOOKUP(Sheet1!CY94,hhdcap_wcm,3)-VLOOKUP(Sheet1!CY94,hhdcap_wcm,1)))*(VLOOKUP(Sheet1!CY94,hhdcap_wcm,4)-VLOOKUP(Sheet1!CY94,hhdcap_wcm,2))))</f>
        <v>9398.2800000182251</v>
      </c>
      <c r="AC94" s="712">
        <f t="shared" si="301"/>
        <v>337.70000000083382</v>
      </c>
      <c r="AD94" s="712">
        <f t="shared" si="370"/>
        <v>1216.0040278660422</v>
      </c>
      <c r="AE94" s="712">
        <f t="shared" si="302"/>
        <v>3730.7003574930177</v>
      </c>
      <c r="AF94" s="712">
        <f>Sheet1!BA94+Sheet1!BB94+Sheet1!BN94+BT94</f>
        <v>16.399999999999999</v>
      </c>
      <c r="AG94" s="712">
        <f t="shared" si="303"/>
        <v>16.077786688049411</v>
      </c>
      <c r="AH94" s="712">
        <f>Sheet1!BA94+BT94</f>
        <v>0</v>
      </c>
      <c r="AI94" s="712">
        <f>Sheet1!BA94+Sheet1!BB94+BT94</f>
        <v>0</v>
      </c>
      <c r="AJ94" s="712">
        <f>IF((Sheet1!AA94+AG94+AX94+AZ94+BQ94+BS94+CL94+CN94)&lt;=N94,AG94+AX94+AZ94+BQ94+BS94+CL94+CN94,N94-Sheet1!AA94)</f>
        <v>16.077786688049411</v>
      </c>
      <c r="AK94" s="712">
        <f>IF(DR94&lt;K94,0,MAX(Sheet1!AA94+AG94-15/36*K94-N94,Sheet1!ED94,0))</f>
        <v>0</v>
      </c>
      <c r="AL94" s="712">
        <f>IF(OR(B94&gt;=FT94,B94&lt;FS94),0,15/36*K94-MAX(0,64.6-(137.6-(Sheet1!AA94+Sheet1!AB94))))</f>
        <v>26.933333333333334</v>
      </c>
      <c r="AM94" s="712">
        <f>Sheet1!CX94-110</f>
        <v>669.125</v>
      </c>
      <c r="AN94" s="712">
        <f>Sheet1!CW94-265</f>
        <v>1231.4583333333333</v>
      </c>
      <c r="AO94" s="712">
        <f t="shared" si="371"/>
        <v>27.422213311950586</v>
      </c>
      <c r="AP94" s="712">
        <f t="shared" si="372"/>
        <v>0</v>
      </c>
      <c r="AQ94" s="712">
        <f t="shared" si="304"/>
        <v>0</v>
      </c>
      <c r="AR94" s="712">
        <f t="shared" si="305"/>
        <v>565.59999999999991</v>
      </c>
      <c r="AS94" s="712"/>
      <c r="AT94" s="712">
        <f ca="1">IF(B94&gt;Summary!$A$1,#N/A,AR94*MGtoAF)</f>
        <v>1735.2607999999998</v>
      </c>
      <c r="AU94" s="712">
        <f>Sheet1!BG94+Sheet1!BH94+Sheet1!BI94-BC94</f>
        <v>0</v>
      </c>
      <c r="AV94" s="712">
        <f t="shared" si="306"/>
        <v>0</v>
      </c>
      <c r="AW94" s="712">
        <f>IF(Sheet1!EL94="FM",BC94,0)</f>
        <v>0</v>
      </c>
      <c r="AX94" s="712">
        <f t="shared" si="307"/>
        <v>0</v>
      </c>
      <c r="AY94" s="712">
        <f>IF(Sheet1!EL94="OTHER",BC94,0)</f>
        <v>0</v>
      </c>
      <c r="AZ94" s="712">
        <f t="shared" si="308"/>
        <v>0</v>
      </c>
      <c r="BA94" s="712">
        <f t="shared" si="309"/>
        <v>0</v>
      </c>
      <c r="BB94" s="712">
        <f t="shared" si="310"/>
        <v>0</v>
      </c>
      <c r="BC94" s="712">
        <f>IF(OR(Sheet1!EL94="FM", Sheet1!EL94="OTHER"),SUM(Sheet1!BG94:'Sheet1'!BI94),0)</f>
        <v>0</v>
      </c>
      <c r="BD94" s="697">
        <f>IF(AND($B94&gt;=$FL94,$B94&lt;=$FM94),MAX(AV94,Sheet1!EE94,0),MAX(AV94-(7/36)*$K94,0))</f>
        <v>0</v>
      </c>
      <c r="BE94" s="712">
        <f t="shared" si="311"/>
        <v>12.568888888888889</v>
      </c>
      <c r="BF94" s="697">
        <f t="shared" si="373"/>
        <v>0</v>
      </c>
      <c r="BG94" s="697">
        <f>IF(AND($O94&gt;0,Sheet1!EI94=1),(1-($O94-Sheet1!$L94)/$O94)*BB94,0)</f>
        <v>0</v>
      </c>
      <c r="BH94" s="697">
        <f>IF(AND(Sheet1!$L94=0,Sheet1!$L93=0, Calculation!BA94&lt;Sheet1!$EE94-0.1,Sheet1!$EE94=Sheet1!$EE93,Sheet1!$EE94=Sheet1!$EE95),Sheet1!$EE94,BB94-BG94)</f>
        <v>0</v>
      </c>
      <c r="BI94" s="712"/>
      <c r="BJ94" s="712"/>
      <c r="BK94" s="712">
        <f t="shared" si="312"/>
        <v>263.94666666666672</v>
      </c>
      <c r="BL94" s="712"/>
      <c r="BM94" s="712">
        <f ca="1">IF(B94&gt;Summary!$A$1,#N/A,BK94*MGtoAF)</f>
        <v>809.78837333333354</v>
      </c>
      <c r="BN94" s="712">
        <f>Sheet1!BC94+Sheet1!BD94+Sheet1!BE94+Sheet1!BF94-BW94-BX94</f>
        <v>2.52</v>
      </c>
      <c r="BO94" s="712">
        <f t="shared" si="313"/>
        <v>2.4704891740173487</v>
      </c>
      <c r="BP94" s="712">
        <f>IF(Sheet1!EM94="FM",BX94,0)</f>
        <v>0</v>
      </c>
      <c r="BQ94" s="712">
        <f t="shared" si="314"/>
        <v>0</v>
      </c>
      <c r="BR94" s="712">
        <f>IF(Sheet1!EM94="OTHER",BX94,0)</f>
        <v>0</v>
      </c>
      <c r="BS94" s="712">
        <f t="shared" si="315"/>
        <v>0</v>
      </c>
      <c r="BT94" s="712">
        <f t="shared" si="316"/>
        <v>0</v>
      </c>
      <c r="BU94" s="712">
        <f t="shared" si="317"/>
        <v>2.52</v>
      </c>
      <c r="BV94" s="712">
        <f t="shared" si="318"/>
        <v>2.4704891740173487</v>
      </c>
      <c r="BW94" s="712">
        <f>IF(Sheet1!EM94="CWA",SUM(Sheet1!BC94:'Sheet1'!BF94),0)</f>
        <v>0</v>
      </c>
      <c r="BX94" s="712">
        <f>IF(OR(Sheet1!EM94="FM", Sheet1!EM94="OTHER"),SUM(Sheet1!BC94:'Sheet1'!BF94),0)</f>
        <v>0</v>
      </c>
      <c r="BY94" s="697">
        <f>IF(AND($B94&gt;=$FL94,$B94&lt;=$FM94),MAX(BV94,Sheet1!EF94,0),MAX(BV94-(7/36)*$K94,0))</f>
        <v>0</v>
      </c>
      <c r="BZ94" s="712">
        <f t="shared" si="319"/>
        <v>10.09839971487154</v>
      </c>
      <c r="CA94" s="697">
        <f t="shared" si="374"/>
        <v>2.4704891740173487</v>
      </c>
      <c r="CB94" s="697">
        <f>IF(AND($O94&gt;0,Sheet1!EJ94=1),(1-($O94-Sheet1!$L94)/$O94)*BV94,0)</f>
        <v>0</v>
      </c>
      <c r="CC94" s="697">
        <f>IF(AND(Sheet1!$L94=0,Sheet1!$L93=0, Calculation!BU94&lt;Sheet1!EF94-0.1,Sheet1!EF94=Sheet1!EF93,Sheet1!EF94=Sheet1!EF95),Sheet1!EF94,BV94-CB94)</f>
        <v>2.4704891740173487</v>
      </c>
      <c r="CD94" s="697"/>
      <c r="CE94" s="712"/>
      <c r="CF94" s="712">
        <f t="shared" si="320"/>
        <v>222.69694177590003</v>
      </c>
      <c r="CG94" s="712"/>
      <c r="CH94" s="712">
        <f ca="1">IF(B94&gt;Summary!$A$1,#N/A,CF94*MGtoAF)</f>
        <v>683.23421736846126</v>
      </c>
      <c r="CI94" s="712">
        <f>Sheet1!BK94+Sheet1!BL94+Sheet1!BM94-Sheet1!EN94-CQ94</f>
        <v>6.02</v>
      </c>
      <c r="CJ94" s="712">
        <f t="shared" si="321"/>
        <v>5.9017241379303318</v>
      </c>
      <c r="CK94" s="712">
        <f>IF(Sheet1!EN94="FM",CQ94,0)</f>
        <v>0</v>
      </c>
      <c r="CL94" s="712">
        <f t="shared" si="322"/>
        <v>0</v>
      </c>
      <c r="CM94" s="712">
        <f>IF(Sheet1!EN94="OTHER",CQ94,0)</f>
        <v>0</v>
      </c>
      <c r="CN94" s="712">
        <f t="shared" si="323"/>
        <v>0</v>
      </c>
      <c r="CO94" s="712">
        <f t="shared" si="324"/>
        <v>6.02</v>
      </c>
      <c r="CP94" s="712">
        <f t="shared" si="325"/>
        <v>5.9017241379303318</v>
      </c>
      <c r="CQ94" s="712">
        <f>IF(OR(Sheet1!EN94="FM", Sheet1!EN94="OTHER"),SUM(Sheet1!BK94:'Sheet1'!BM94),0)</f>
        <v>0</v>
      </c>
      <c r="CR94" s="697">
        <f>IF(AND($B94&gt;=$FL94,$B94&lt;=$FM94),MAX($CJ94,Sheet1!EG94,0),MAX($CJ94-(7/36)*$K94,0))</f>
        <v>0</v>
      </c>
      <c r="CS94" s="712">
        <f t="shared" si="326"/>
        <v>6.6671647509585572</v>
      </c>
      <c r="CT94" s="697">
        <f t="shared" si="375"/>
        <v>5.9017241379303318</v>
      </c>
      <c r="CU94" s="697">
        <f>IF(AND($O94&gt;0,Sheet1!EK94=1),(1-($O94-Sheet1!$L94)/$O94)*CP94,0)</f>
        <v>0</v>
      </c>
      <c r="CV94" s="697">
        <f>IF(AND(Sheet1!$L94=0,Sheet1!$L93=0, Calculation!CO94&lt;Sheet1!$EG94-0.1,Sheet1!$EG94=Sheet1!$EG93,Sheet1!$EG94=Sheet1!$EG95),Sheet1!$EG94,CP94-CU94)</f>
        <v>5.9017241379303318</v>
      </c>
      <c r="CW94" s="697">
        <f t="shared" si="362"/>
        <v>0</v>
      </c>
      <c r="CX94" s="712">
        <f t="shared" si="379"/>
        <v>8.5399999999999991</v>
      </c>
      <c r="CY94" s="712">
        <f t="shared" si="327"/>
        <v>163.76041942347535</v>
      </c>
      <c r="CZ94" s="712">
        <f t="shared" si="328"/>
        <v>8.3722133119476805</v>
      </c>
      <c r="DA94" s="712">
        <f ca="1">IF(B94&gt;Summary!$A$1,#N/A,CY94*MGtoAF)</f>
        <v>502.41696679122242</v>
      </c>
      <c r="DB94" s="712">
        <f t="shared" si="329"/>
        <v>8.5399999999999991</v>
      </c>
      <c r="DC94" s="712">
        <f t="shared" si="330"/>
        <v>24.939999999999998</v>
      </c>
      <c r="DD94" s="712">
        <f>Sheet1!AB94-DC94</f>
        <v>-0.49000000000290811</v>
      </c>
      <c r="DE94" s="712">
        <f t="shared" si="331"/>
        <v>-1.964715316771885E-2</v>
      </c>
      <c r="DF94" s="712">
        <f>(VLOOKUP(Sheet1!CY94,hhdcap_wcm,4)-(((VLOOKUP(Sheet1!CY94,hhdcap_wcm,3)-Sheet1!CY94)/(VLOOKUP(Sheet1!CY94,hhdcap_wcm,3)-VLOOKUP(Sheet1!CY94,hhdcap_wcm,1)))*(VLOOKUP(Sheet1!CY94,hhdcap_wcm,4)-VLOOKUP(Sheet1!CY94,hhdcap_wcm,2))))</f>
        <v>9398.2800000182251</v>
      </c>
      <c r="DG94" s="712">
        <f t="shared" si="332"/>
        <v>337.70000000083382</v>
      </c>
      <c r="DH94" s="712">
        <f t="shared" si="333"/>
        <v>170.29752899689046</v>
      </c>
      <c r="DI94" s="712">
        <f>Sheet1!DW94*AFtoMG</f>
        <v>0</v>
      </c>
      <c r="DJ94" s="712">
        <f>Sheet1!DX94*AFtoMG</f>
        <v>0</v>
      </c>
      <c r="DK94" s="712">
        <f>Sheet1!DY94*AFtoMG</f>
        <v>0</v>
      </c>
      <c r="DL94" s="712">
        <f>Sheet1!DZ94*AFtoMG</f>
        <v>0</v>
      </c>
      <c r="DM94" s="712">
        <f t="shared" si="334"/>
        <v>0</v>
      </c>
      <c r="DN94" s="712">
        <f t="shared" si="335"/>
        <v>0</v>
      </c>
      <c r="DO94" s="712">
        <f t="shared" si="336"/>
        <v>1216.0040278660422</v>
      </c>
      <c r="DP94" s="712">
        <f t="shared" si="337"/>
        <v>3730.7003574930177</v>
      </c>
      <c r="DQ94" s="712"/>
      <c r="DR94" s="697">
        <f>IF(OR(B94&lt;FL94,B94&gt;FM94),(MIN(AV94+BO94+CJ94+MAX(Sheet1!AA94+AG94-73,0),K94)),0)</f>
        <v>8.3722133119476805</v>
      </c>
      <c r="DS94" s="712"/>
      <c r="DT94" s="712">
        <f t="shared" si="338"/>
        <v>8.3722133119476805</v>
      </c>
      <c r="DU94" s="712"/>
      <c r="DV94" s="712">
        <f>Sheet1!ED94+Sheet1!EE94+Sheet1!EF94+Sheet1!EG94</f>
        <v>8.5</v>
      </c>
      <c r="DW94" s="712"/>
      <c r="DX94" s="697">
        <f t="shared" si="376"/>
        <v>0</v>
      </c>
      <c r="DY94" s="712">
        <f>IF(Sheet1!FN94=1,SUM('Calculations II'!AT94:BA94)+'Calculations II'!BC94+Sheet1!BU94+'Calculations II'!BE94+AF94,SUM('Calculations II'!AT94:BA94)+'Calculations II'!BC94+Sheet1!BU94+'Calculations II'!BE94+AF94)</f>
        <v>41.578447999999995</v>
      </c>
      <c r="DZ94" s="712">
        <f>Sheet1!AA94+Sheet1!AB94+'Calculations II'!BC94</f>
        <v>53.94999999999709</v>
      </c>
      <c r="EA94" s="712"/>
      <c r="EB94" s="712"/>
      <c r="EC94" s="712">
        <f t="shared" si="339"/>
        <v>40623</v>
      </c>
      <c r="ED94" s="712">
        <f t="shared" si="340"/>
        <v>56.267786688052318</v>
      </c>
      <c r="EE94" s="712">
        <f t="shared" si="341"/>
        <v>87.046266006416928</v>
      </c>
      <c r="EF94" s="712">
        <f>-(VLOOKUP(Sheet1!BQ94,Lookup!$B$4:$J$236,2)-VLOOKUP(Sheet1!BQ93,Lookup!$B$4:$J$236,2))/1000000</f>
        <v>0</v>
      </c>
      <c r="EG94" s="712">
        <f>-(VLOOKUP(Sheet1!BR94,Lookup!$B$4:$J$236,3)-VLOOKUP(Sheet1!BR93,Lookup!$B$4:$J$236,3))/1000000</f>
        <v>0</v>
      </c>
      <c r="EH94" s="712">
        <f>-(VLOOKUP(Sheet1!BS94,Lookup!$B$4:$J$236,4)-VLOOKUP(Sheet1!BS93,Lookup!$B$4:$J$236,4))/1000000</f>
        <v>0</v>
      </c>
      <c r="EI94" s="697">
        <f t="shared" si="380"/>
        <v>0</v>
      </c>
      <c r="EJ94" s="712"/>
      <c r="EK94" s="712"/>
      <c r="EL94" s="712"/>
      <c r="EM94" s="712"/>
      <c r="EN94" s="712"/>
      <c r="EO94" s="712"/>
      <c r="EP94" s="712"/>
      <c r="EQ94" s="712"/>
      <c r="ER94" s="697">
        <v>0</v>
      </c>
      <c r="ES94" s="712"/>
      <c r="ET94" s="794" t="e">
        <f t="shared" si="342"/>
        <v>#N/A</v>
      </c>
      <c r="EU94" s="794" t="e">
        <f t="shared" si="363"/>
        <v>#VALUE!</v>
      </c>
      <c r="EV94" s="795" t="e">
        <f t="shared" si="364"/>
        <v>#VALUE!</v>
      </c>
      <c r="EW94" s="796" t="s">
        <v>757</v>
      </c>
      <c r="EX94" s="796" t="s">
        <v>757</v>
      </c>
      <c r="EY94" s="794">
        <v>0</v>
      </c>
      <c r="EZ94" s="794" t="e">
        <v>#N/A</v>
      </c>
      <c r="FA94" s="712"/>
      <c r="FB94" s="712"/>
      <c r="FC94" s="712"/>
      <c r="FD94" s="712"/>
      <c r="FE94" s="712">
        <f>O94+Sheet1!CO94</f>
        <v>53.94999999999709</v>
      </c>
      <c r="FF94" s="712">
        <f>IF(Sheet1!AA94+AG94&lt;=Calculation!N94,AG94,Calculation!N94-Sheet1!AA94)</f>
        <v>16.077786688049411</v>
      </c>
      <c r="FG94" s="712">
        <f>(Sheet1!BP94+Sheet1!BO94)/694.4</f>
        <v>1.7809619815668205</v>
      </c>
      <c r="FH94" s="712"/>
      <c r="FI94" s="712"/>
      <c r="FJ94" s="712"/>
      <c r="FK94" s="712"/>
      <c r="FL94" s="714">
        <f t="shared" si="381"/>
        <v>40753</v>
      </c>
      <c r="FM94" s="714">
        <f t="shared" si="382"/>
        <v>40851</v>
      </c>
      <c r="FN94" s="712"/>
      <c r="FO94" s="712"/>
      <c r="FP94" s="712"/>
      <c r="FQ94" s="712"/>
      <c r="FR94" s="712"/>
      <c r="FS94" s="725">
        <f t="shared" si="383"/>
        <v>40603</v>
      </c>
      <c r="FT94" s="714">
        <f t="shared" si="384"/>
        <v>40709</v>
      </c>
      <c r="FU94" s="712">
        <f t="shared" si="385"/>
        <v>6518.9048239895692</v>
      </c>
      <c r="FV94" s="714">
        <f t="shared" si="386"/>
        <v>40722</v>
      </c>
      <c r="FW94" s="712">
        <f t="shared" si="387"/>
        <v>3259.4524119947846</v>
      </c>
      <c r="FX94" s="725">
        <f t="shared" si="388"/>
        <v>40851</v>
      </c>
      <c r="FZ94" s="697">
        <f t="shared" si="365"/>
        <v>0</v>
      </c>
      <c r="GA94" s="712" t="str">
        <f t="shared" si="343"/>
        <v/>
      </c>
      <c r="GB94" s="712">
        <f t="shared" si="344"/>
        <v>0</v>
      </c>
      <c r="GC94" s="712" t="str">
        <f t="shared" si="345"/>
        <v/>
      </c>
      <c r="GD94" s="712">
        <f>IF(GA94="P",Lookup!$M$12,IF(GA94="PP",Lookup!$M$13,IF(GA94="PPP",Lookup!$M$14,IF(GA94="T",Lookup!$M$15,IF(GA94="TP",Lookup!$M$16,IF(GA94="TPP",Lookup!$M$17,IF(GA94="TPPP",Lookup!$M$18,0)))))))*FZ94</f>
        <v>0</v>
      </c>
      <c r="GE94" s="712">
        <f t="shared" si="346"/>
        <v>0</v>
      </c>
      <c r="GF94" s="712">
        <f t="shared" si="347"/>
        <v>1735.2607999999998</v>
      </c>
      <c r="GG94" s="712">
        <f t="shared" si="348"/>
        <v>565.59999999999991</v>
      </c>
      <c r="GH94" s="712"/>
      <c r="GI94" s="712">
        <f t="shared" si="349"/>
        <v>0</v>
      </c>
      <c r="GJ94" s="712" t="str">
        <f t="shared" si="350"/>
        <v/>
      </c>
      <c r="GK94" s="712">
        <f>IF(GA94="P",Lookup!$N$12,IF(GA94="PP",Lookup!$N$13,IF(GA94="PPP",Lookup!$N$14,IF(GA94="T",Lookup!$N$15,IF(GA94="TP",Lookup!$N$16,IF(GA94="TPP",Lookup!$N$17,IF(GA94="TPPP",Lookup!$N$18,0)))))))*FZ94</f>
        <v>0</v>
      </c>
      <c r="GL94" s="712">
        <f t="shared" si="351"/>
        <v>0</v>
      </c>
      <c r="GM94" s="712">
        <f t="shared" si="352"/>
        <v>809.78837333333354</v>
      </c>
      <c r="GN94" s="712">
        <f t="shared" si="353"/>
        <v>263.94666666666672</v>
      </c>
      <c r="GO94" s="712"/>
      <c r="GP94" s="712">
        <f t="shared" si="354"/>
        <v>0</v>
      </c>
      <c r="GQ94" s="712" t="str">
        <f t="shared" si="355"/>
        <v/>
      </c>
      <c r="GR94" s="712">
        <f>IF(GA94="P",Lookup!$N$12,IF(GA94="PP",Lookup!$N$13,IF(GA94="PPP",Lookup!$N$14,IF(GA94="T",Lookup!$N$15,IF(GA94="TP",Lookup!$N$16,IF(GA94="TPP",Lookup!$N$17,IF(GA94="TPPP",Lookup!$N$18,0)))))))*FZ94</f>
        <v>0</v>
      </c>
      <c r="GS94" s="697">
        <f t="shared" si="377"/>
        <v>0</v>
      </c>
      <c r="GT94" s="712">
        <f t="shared" si="356"/>
        <v>683.23421736846126</v>
      </c>
      <c r="GU94" s="712">
        <f t="shared" si="357"/>
        <v>222.69694177590003</v>
      </c>
      <c r="GV94" s="712"/>
      <c r="GW94" s="712">
        <f t="shared" si="358"/>
        <v>0</v>
      </c>
      <c r="GX94" s="712" t="str">
        <f t="shared" si="359"/>
        <v/>
      </c>
      <c r="GY94" s="712">
        <f>IF(GA94="P",Lookup!$N$12,IF(GA94="PP",Lookup!$N$13,IF(GA94="PPP",Lookup!$N$14,IF(GA94="T",Lookup!$N$15,IF(GA94="TP",Lookup!$N$16,IF(GA94="TPP",Lookup!$N$17,IF(GA94="TPPP",Lookup!$N$18,0)))))))*FZ94</f>
        <v>0</v>
      </c>
      <c r="GZ94" s="697">
        <f t="shared" si="378"/>
        <v>0</v>
      </c>
      <c r="HA94" s="712">
        <f t="shared" si="360"/>
        <v>502.41696679122242</v>
      </c>
      <c r="HB94" s="712">
        <f t="shared" si="361"/>
        <v>163.76041942347535</v>
      </c>
      <c r="HC94" s="712"/>
    </row>
    <row r="95" spans="1:211">
      <c r="A95" s="773" t="s">
        <v>5</v>
      </c>
      <c r="B95" s="708">
        <v>40624</v>
      </c>
      <c r="C95" s="719">
        <v>0.5</v>
      </c>
      <c r="D95" s="675">
        <f t="shared" si="366"/>
        <v>300</v>
      </c>
      <c r="E95" s="675">
        <f t="shared" si="367"/>
        <v>250</v>
      </c>
      <c r="F95" s="710">
        <v>250</v>
      </c>
      <c r="G95" s="712">
        <f>DH95+Sheet1!CV95</f>
        <v>970.64054462972456</v>
      </c>
      <c r="H95" s="712">
        <f t="shared" si="294"/>
        <v>360.45884804865392</v>
      </c>
      <c r="I95" s="711">
        <f>MAX(Sheet1!Z95-AJ95+(Sheet1!CW95-E95)*CFStoMGD,0)</f>
        <v>793.72397157633452</v>
      </c>
      <c r="J95" s="720">
        <f>IF(AND(B95&gt;=Calculation!FS95,B95&lt;=Calculation!FT95),IF(Sheet1!CX95&gt;=Calculation!D95,64.64,0),MAX(Sheet1!Z95-AJ95+(Sheet1!CX95-D95)*CFStoMGD,0))</f>
        <v>64.64</v>
      </c>
      <c r="K95" s="697">
        <f t="shared" si="368"/>
        <v>64.64</v>
      </c>
      <c r="L95" s="712">
        <f>Sheet1!AA95+Sheet1!AB95-Sheet1!L95+(Sheet1!CW95-F95)*CFStoMGD</f>
        <v>842.45333333333338</v>
      </c>
      <c r="M95" s="712">
        <f t="shared" si="295"/>
        <v>639.97048900962704</v>
      </c>
      <c r="N95" s="712">
        <f>IF(Sheet1!CW95&gt;=F95,MIN(73,MIN(MAX(L95,0),MAX(M95,0))),0)</f>
        <v>73</v>
      </c>
      <c r="O95" s="721">
        <f>Sheet1!AA95+Sheet1!AB95</f>
        <v>56</v>
      </c>
      <c r="P95" s="721">
        <f t="shared" si="296"/>
        <v>86.632000000000005</v>
      </c>
      <c r="Q95" s="712">
        <f>MIN(N95,Sheet1!AA95+AG95)</f>
        <v>47.129361756998847</v>
      </c>
      <c r="R95" s="712">
        <f t="shared" si="297"/>
        <v>8.8706382430011548</v>
      </c>
      <c r="S95" s="721">
        <f>Sheet1!Y95*MGDtoCFS</f>
        <v>45.853079999999999</v>
      </c>
      <c r="T95" s="721">
        <f>Sheet1!Z95*MGDtoCFS</f>
        <v>37.746799999999993</v>
      </c>
      <c r="U95" s="721">
        <f>Sheet1!AA95*MGDtoCFS</f>
        <v>46.41</v>
      </c>
      <c r="V95" s="721">
        <f>Sheet1!AB95*MGDtoCFS</f>
        <v>40.222000000000001</v>
      </c>
      <c r="W95" s="721">
        <f>Sheet1!L95*MGDtoCFS</f>
        <v>0</v>
      </c>
      <c r="X95" s="697">
        <f t="shared" si="369"/>
        <v>0</v>
      </c>
      <c r="Y95" s="712">
        <f t="shared" si="298"/>
        <v>0</v>
      </c>
      <c r="Z95" s="712">
        <f t="shared" si="299"/>
        <v>55.769361756998848</v>
      </c>
      <c r="AA95" s="712">
        <f t="shared" si="300"/>
        <v>86.275202638077218</v>
      </c>
      <c r="AB95" s="712">
        <f>(VLOOKUP(Sheet1!CY95,hhdcap_wcm,4)-(((VLOOKUP(Sheet1!CY95,hhdcap_wcm,3)-Sheet1!CY95)/(VLOOKUP(Sheet1!CY95,hhdcap_wcm,3)-VLOOKUP(Sheet1!CY95,hhdcap_wcm,1)))*(VLOOKUP(Sheet1!CY95,hhdcap_wcm,4)-VLOOKUP(Sheet1!CY95,hhdcap_wcm,2))))</f>
        <v>9678.360000018969</v>
      </c>
      <c r="AC95" s="712">
        <f t="shared" si="301"/>
        <v>280.08000000074389</v>
      </c>
      <c r="AD95" s="712">
        <f t="shared" si="370"/>
        <v>1271.7733896230409</v>
      </c>
      <c r="AE95" s="712">
        <f t="shared" si="302"/>
        <v>3901.8007593634893</v>
      </c>
      <c r="AF95" s="712">
        <f>Sheet1!BA95+Sheet1!BB95+Sheet1!BN95+BT95</f>
        <v>16.490893371757927</v>
      </c>
      <c r="AG95" s="712">
        <f t="shared" si="303"/>
        <v>17.129361756998847</v>
      </c>
      <c r="AH95" s="712">
        <f>Sheet1!BA95+BT95</f>
        <v>0</v>
      </c>
      <c r="AI95" s="712">
        <f>Sheet1!BA95+Sheet1!BB95+BT95</f>
        <v>0.19089337175792515</v>
      </c>
      <c r="AJ95" s="712">
        <f>IF((Sheet1!AA95+AG95+AX95+AZ95+BQ95+BS95+CL95+CN95)&lt;=N95,AG95+AX95+AZ95+BQ95+BS95+CL95+CN95,N95-Sheet1!AA95)</f>
        <v>17.129361756998847</v>
      </c>
      <c r="AK95" s="712">
        <f>IF(DR95&lt;K95,0,MAX(Sheet1!AA95+AG95-15/36*K95-N95,Sheet1!ED95,0))</f>
        <v>0</v>
      </c>
      <c r="AL95" s="712">
        <f>IF(OR(B95&gt;=FT95,B95&lt;FS95),0,15/36*K95-MAX(0,64.6-(137.6-(Sheet1!AA95+Sheet1!AB95))))</f>
        <v>26.933333333333334</v>
      </c>
      <c r="AM95" s="712">
        <f>Sheet1!CX95-110</f>
        <v>671.625</v>
      </c>
      <c r="AN95" s="712">
        <f>Sheet1!CW95-265</f>
        <v>1201.6666666666667</v>
      </c>
      <c r="AO95" s="712">
        <f t="shared" si="371"/>
        <v>25.870638243001153</v>
      </c>
      <c r="AP95" s="712">
        <f t="shared" si="372"/>
        <v>0</v>
      </c>
      <c r="AQ95" s="712">
        <f t="shared" si="304"/>
        <v>0</v>
      </c>
      <c r="AR95" s="712">
        <f t="shared" si="305"/>
        <v>592.53333333333319</v>
      </c>
      <c r="AS95" s="712"/>
      <c r="AT95" s="712">
        <f ca="1">IF(B95&gt;Summary!$A$1,#N/A,AR95*MGtoAF)</f>
        <v>1817.8922666666663</v>
      </c>
      <c r="AU95" s="712">
        <f>Sheet1!BG95+Sheet1!BH95+Sheet1!BI95-BC95</f>
        <v>0</v>
      </c>
      <c r="AV95" s="712">
        <f t="shared" si="306"/>
        <v>0</v>
      </c>
      <c r="AW95" s="712">
        <f>IF(Sheet1!EL95="FM",BC95,0)</f>
        <v>0</v>
      </c>
      <c r="AX95" s="712">
        <f t="shared" si="307"/>
        <v>0</v>
      </c>
      <c r="AY95" s="712">
        <f>IF(Sheet1!EL95="OTHER",BC95,0)</f>
        <v>0</v>
      </c>
      <c r="AZ95" s="712">
        <f t="shared" si="308"/>
        <v>0</v>
      </c>
      <c r="BA95" s="712">
        <f t="shared" si="309"/>
        <v>0</v>
      </c>
      <c r="BB95" s="712">
        <f t="shared" si="310"/>
        <v>0</v>
      </c>
      <c r="BC95" s="712">
        <f>IF(OR(Sheet1!EL95="FM", Sheet1!EL95="OTHER"),SUM(Sheet1!BG95:'Sheet1'!BI95),0)</f>
        <v>0</v>
      </c>
      <c r="BD95" s="697">
        <f>IF(AND($B95&gt;=$FL95,$B95&lt;=$FM95),MAX(AV95,Sheet1!EE95,0),MAX(AV95-(7/36)*$K95,0))</f>
        <v>0</v>
      </c>
      <c r="BE95" s="712">
        <f t="shared" si="311"/>
        <v>12.568888888888889</v>
      </c>
      <c r="BF95" s="697">
        <f t="shared" si="373"/>
        <v>0</v>
      </c>
      <c r="BG95" s="697">
        <f>IF(AND($O95&gt;0,Sheet1!EI95=1),(1-($O95-Sheet1!$L95)/$O95)*BB95,0)</f>
        <v>0</v>
      </c>
      <c r="BH95" s="697">
        <f>IF(AND(Sheet1!$L95=0,Sheet1!$L94=0, Calculation!BA95&lt;Sheet1!$EE95-0.1,Sheet1!$EE95=Sheet1!$EE94,Sheet1!$EE95=Sheet1!$EE96),Sheet1!$EE95,BB95-BG95)</f>
        <v>0</v>
      </c>
      <c r="BI95" s="712"/>
      <c r="BJ95" s="712"/>
      <c r="BK95" s="712">
        <f t="shared" si="312"/>
        <v>276.51555555555558</v>
      </c>
      <c r="BL95" s="712"/>
      <c r="BM95" s="712">
        <f ca="1">IF(B95&gt;Summary!$A$1,#N/A,BK95*MGtoAF)</f>
        <v>848.34972444444452</v>
      </c>
      <c r="BN95" s="712">
        <f>Sheet1!BC95+Sheet1!BD95+Sheet1!BE95+Sheet1!BF95-BW95-BX95</f>
        <v>2.5099999999999998</v>
      </c>
      <c r="BO95" s="712">
        <f t="shared" si="313"/>
        <v>2.6071782189616979</v>
      </c>
      <c r="BP95" s="712">
        <f>IF(Sheet1!EM95="FM",BX95,0)</f>
        <v>0</v>
      </c>
      <c r="BQ95" s="712">
        <f t="shared" si="314"/>
        <v>0</v>
      </c>
      <c r="BR95" s="712">
        <f>IF(Sheet1!EM95="OTHER",BX95,0)</f>
        <v>0</v>
      </c>
      <c r="BS95" s="712">
        <f t="shared" si="315"/>
        <v>0</v>
      </c>
      <c r="BT95" s="712">
        <f t="shared" si="316"/>
        <v>0</v>
      </c>
      <c r="BU95" s="712">
        <f t="shared" si="317"/>
        <v>2.5099999999999998</v>
      </c>
      <c r="BV95" s="712">
        <f t="shared" si="318"/>
        <v>2.6071782189616979</v>
      </c>
      <c r="BW95" s="712">
        <f>IF(Sheet1!EM95="CWA",SUM(Sheet1!BC95:'Sheet1'!BF95),0)</f>
        <v>0</v>
      </c>
      <c r="BX95" s="712">
        <f>IF(OR(Sheet1!EM95="FM", Sheet1!EM95="OTHER"),SUM(Sheet1!BC95:'Sheet1'!BF95),0)</f>
        <v>0</v>
      </c>
      <c r="BY95" s="697">
        <f>IF(AND($B95&gt;=$FL95,$B95&lt;=$FM95),MAX(BV95,Sheet1!EF95,0),MAX(BV95-(7/36)*$K95,0))</f>
        <v>0</v>
      </c>
      <c r="BZ95" s="712">
        <f t="shared" si="319"/>
        <v>9.9617106699271911</v>
      </c>
      <c r="CA95" s="697">
        <f t="shared" si="374"/>
        <v>2.6071782189616979</v>
      </c>
      <c r="CB95" s="697">
        <f>IF(AND($O95&gt;0,Sheet1!EJ95=1),(1-($O95-Sheet1!$L95)/$O95)*BV95,0)</f>
        <v>0</v>
      </c>
      <c r="CC95" s="697">
        <f>IF(AND(Sheet1!$L95=0,Sheet1!$L94=0, Calculation!BU95&lt;Sheet1!EF95-0.1,Sheet1!EF95=Sheet1!EF94,Sheet1!EF95=Sheet1!EF96),Sheet1!EF95,BV95-CB95)</f>
        <v>2.6071782189616979</v>
      </c>
      <c r="CD95" s="697"/>
      <c r="CE95" s="712"/>
      <c r="CF95" s="712">
        <f t="shared" si="320"/>
        <v>232.65865244582722</v>
      </c>
      <c r="CG95" s="712"/>
      <c r="CH95" s="712">
        <f ca="1">IF(B95&gt;Summary!$A$1,#N/A,CF95*MGtoAF)</f>
        <v>713.79674570379791</v>
      </c>
      <c r="CI95" s="712">
        <f>Sheet1!BK95+Sheet1!BL95+Sheet1!BM95-Sheet1!EN95-CQ95</f>
        <v>6.0299999999999994</v>
      </c>
      <c r="CJ95" s="712">
        <f t="shared" si="321"/>
        <v>6.2634600240394569</v>
      </c>
      <c r="CK95" s="712">
        <f>IF(Sheet1!EN95="FM",CQ95,0)</f>
        <v>0</v>
      </c>
      <c r="CL95" s="712">
        <f t="shared" si="322"/>
        <v>0</v>
      </c>
      <c r="CM95" s="712">
        <f>IF(Sheet1!EN95="OTHER",CQ95,0)</f>
        <v>0</v>
      </c>
      <c r="CN95" s="712">
        <f t="shared" si="323"/>
        <v>0</v>
      </c>
      <c r="CO95" s="712">
        <f t="shared" si="324"/>
        <v>6.0299999999999994</v>
      </c>
      <c r="CP95" s="712">
        <f t="shared" si="325"/>
        <v>6.2634600240394569</v>
      </c>
      <c r="CQ95" s="712">
        <f>IF(OR(Sheet1!EN95="FM", Sheet1!EN95="OTHER"),SUM(Sheet1!BK95:'Sheet1'!BM95),0)</f>
        <v>0</v>
      </c>
      <c r="CR95" s="697">
        <f>IF(AND($B95&gt;=$FL95,$B95&lt;=$FM95),MAX($CJ95,Sheet1!EG95,0),MAX($CJ95-(7/36)*$K95,0))</f>
        <v>0</v>
      </c>
      <c r="CS95" s="712">
        <f t="shared" si="326"/>
        <v>6.3054288648494321</v>
      </c>
      <c r="CT95" s="697">
        <f t="shared" si="375"/>
        <v>6.2634600240394569</v>
      </c>
      <c r="CU95" s="697">
        <f>IF(AND($O95&gt;0,Sheet1!EK95=1),(1-($O95-Sheet1!$L95)/$O95)*CP95,0)</f>
        <v>0</v>
      </c>
      <c r="CV95" s="697">
        <f>IF(AND(Sheet1!$L95=0,Sheet1!$L94=0, Calculation!CO95&lt;Sheet1!$EG95-0.1,Sheet1!$EG95=Sheet1!$EG94,Sheet1!$EG95=Sheet1!$EG96),Sheet1!$EG95,CP95-CU95)</f>
        <v>6.2634600240394569</v>
      </c>
      <c r="CW95" s="697">
        <f t="shared" si="362"/>
        <v>0</v>
      </c>
      <c r="CX95" s="712">
        <f t="shared" si="379"/>
        <v>8.5399999999999991</v>
      </c>
      <c r="CY95" s="712">
        <f t="shared" si="327"/>
        <v>170.06584828832479</v>
      </c>
      <c r="CZ95" s="712">
        <f t="shared" si="328"/>
        <v>8.8706382430011548</v>
      </c>
      <c r="DA95" s="712">
        <f ca="1">IF(B95&gt;Summary!$A$1,#N/A,CY95*MGtoAF)</f>
        <v>521.76202254858049</v>
      </c>
      <c r="DB95" s="712">
        <f t="shared" si="329"/>
        <v>8.5399999999999991</v>
      </c>
      <c r="DC95" s="712">
        <f t="shared" si="330"/>
        <v>25.030893371757927</v>
      </c>
      <c r="DD95" s="712">
        <f>Sheet1!AB95-DC95</f>
        <v>0.9691066282420735</v>
      </c>
      <c r="DE95" s="712">
        <f t="shared" si="331"/>
        <v>3.8716421897090798E-2</v>
      </c>
      <c r="DF95" s="712">
        <f>(VLOOKUP(Sheet1!CY95,hhdcap_wcm,4)-(((VLOOKUP(Sheet1!CY95,hhdcap_wcm,3)-Sheet1!CY95)/(VLOOKUP(Sheet1!CY95,hhdcap_wcm,3)-VLOOKUP(Sheet1!CY95,hhdcap_wcm,1)))*(VLOOKUP(Sheet1!CY95,hhdcap_wcm,4)-VLOOKUP(Sheet1!CY95,hhdcap_wcm,2))))</f>
        <v>9678.360000018969</v>
      </c>
      <c r="DG95" s="712">
        <f t="shared" si="332"/>
        <v>280.08000000074389</v>
      </c>
      <c r="DH95" s="712">
        <f t="shared" si="333"/>
        <v>141.24054462972458</v>
      </c>
      <c r="DI95" s="712">
        <f>Sheet1!DW95*AFtoMG</f>
        <v>0</v>
      </c>
      <c r="DJ95" s="712">
        <f>Sheet1!DX95*AFtoMG</f>
        <v>0</v>
      </c>
      <c r="DK95" s="712">
        <f>Sheet1!DY95*AFtoMG</f>
        <v>0</v>
      </c>
      <c r="DL95" s="712">
        <f>Sheet1!DZ95*AFtoMG</f>
        <v>0</v>
      </c>
      <c r="DM95" s="712">
        <f t="shared" si="334"/>
        <v>0</v>
      </c>
      <c r="DN95" s="712">
        <f t="shared" si="335"/>
        <v>0</v>
      </c>
      <c r="DO95" s="712">
        <f t="shared" si="336"/>
        <v>1271.7733896230409</v>
      </c>
      <c r="DP95" s="712">
        <f t="shared" si="337"/>
        <v>3901.8007593634893</v>
      </c>
      <c r="DQ95" s="712"/>
      <c r="DR95" s="697">
        <f>IF(OR(B95&lt;FL95,B95&gt;FM95),(MIN(AV95+BO95+CJ95+MAX(Sheet1!AA95+AG95-73,0),K95)),0)</f>
        <v>8.8706382430011548</v>
      </c>
      <c r="DS95" s="712"/>
      <c r="DT95" s="712">
        <f t="shared" si="338"/>
        <v>8.8706382430011548</v>
      </c>
      <c r="DU95" s="712"/>
      <c r="DV95" s="712">
        <f>Sheet1!ED95+Sheet1!EE95+Sheet1!EF95+Sheet1!EG95</f>
        <v>8.5</v>
      </c>
      <c r="DW95" s="712"/>
      <c r="DX95" s="697">
        <f t="shared" si="376"/>
        <v>0</v>
      </c>
      <c r="DY95" s="712">
        <f>IF(Sheet1!FN95=1,SUM('Calculations II'!AT95:BA95)+'Calculations II'!BC95+Sheet1!BU95+'Calculations II'!BE95+AF95,SUM('Calculations II'!AT95:BA95)+'Calculations II'!BC95+Sheet1!BU95+'Calculations II'!BE95+AF95)</f>
        <v>42.57351737175793</v>
      </c>
      <c r="DZ95" s="712">
        <f>Sheet1!AA95+Sheet1!AB95+'Calculations II'!BC95</f>
        <v>56</v>
      </c>
      <c r="EA95" s="712"/>
      <c r="EB95" s="712"/>
      <c r="EC95" s="712">
        <f t="shared" si="339"/>
        <v>40624</v>
      </c>
      <c r="ED95" s="712">
        <f t="shared" si="340"/>
        <v>55.769361756998848</v>
      </c>
      <c r="EE95" s="712">
        <f t="shared" si="341"/>
        <v>86.275202638077218</v>
      </c>
      <c r="EF95" s="712">
        <f>-(VLOOKUP(Sheet1!BQ95,Lookup!$B$4:$J$236,2)-VLOOKUP(Sheet1!BQ94,Lookup!$B$4:$J$236,2))/1000000</f>
        <v>-1.6128</v>
      </c>
      <c r="EG95" s="712">
        <f>-(VLOOKUP(Sheet1!BR95,Lookup!$B$4:$J$236,3)-VLOOKUP(Sheet1!BR94,Lookup!$B$4:$J$236,3))/1000000</f>
        <v>-1.6064000000000001</v>
      </c>
      <c r="EH95" s="712">
        <f>-(VLOOKUP(Sheet1!BS95,Lookup!$B$4:$J$236,4)-VLOOKUP(Sheet1!BS94,Lookup!$B$4:$J$236,4))/1000000</f>
        <v>0</v>
      </c>
      <c r="EI95" s="697">
        <f t="shared" si="380"/>
        <v>-3.2191999999999998</v>
      </c>
      <c r="EJ95" s="712"/>
      <c r="EK95" s="712"/>
      <c r="EL95" s="712"/>
      <c r="EM95" s="712"/>
      <c r="EN95" s="712"/>
      <c r="EO95" s="712"/>
      <c r="EP95" s="712"/>
      <c r="EQ95" s="712"/>
      <c r="ER95" s="697">
        <v>0</v>
      </c>
      <c r="ES95" s="712"/>
      <c r="ET95" s="794" t="e">
        <f t="shared" si="342"/>
        <v>#N/A</v>
      </c>
      <c r="EU95" s="794" t="e">
        <f t="shared" si="363"/>
        <v>#VALUE!</v>
      </c>
      <c r="EV95" s="795" t="e">
        <f t="shared" si="364"/>
        <v>#VALUE!</v>
      </c>
      <c r="EW95" s="796" t="s">
        <v>757</v>
      </c>
      <c r="EX95" s="796" t="s">
        <v>757</v>
      </c>
      <c r="EY95" s="794">
        <v>0</v>
      </c>
      <c r="EZ95" s="794" t="e">
        <v>#N/A</v>
      </c>
      <c r="FA95" s="712"/>
      <c r="FB95" s="712"/>
      <c r="FC95" s="712"/>
      <c r="FD95" s="712"/>
      <c r="FE95" s="712">
        <f>O95+Sheet1!CO95</f>
        <v>56</v>
      </c>
      <c r="FF95" s="712">
        <f>IF(Sheet1!AA95+AG95&lt;=Calculation!N95,AG95,Calculation!N95-Sheet1!AA95)</f>
        <v>17.129361756998847</v>
      </c>
      <c r="FG95" s="712">
        <f>(Sheet1!BP95+Sheet1!BO95)/694.4</f>
        <v>1.9926555299539173</v>
      </c>
      <c r="FH95" s="712"/>
      <c r="FI95" s="712"/>
      <c r="FJ95" s="712"/>
      <c r="FK95" s="712"/>
      <c r="FL95" s="714">
        <f t="shared" si="381"/>
        <v>40753</v>
      </c>
      <c r="FM95" s="714">
        <f t="shared" si="382"/>
        <v>40851</v>
      </c>
      <c r="FN95" s="712"/>
      <c r="FO95" s="712"/>
      <c r="FP95" s="712"/>
      <c r="FQ95" s="712"/>
      <c r="FR95" s="712"/>
      <c r="FS95" s="725">
        <f t="shared" si="383"/>
        <v>40603</v>
      </c>
      <c r="FT95" s="714">
        <f t="shared" si="384"/>
        <v>40709</v>
      </c>
      <c r="FU95" s="712">
        <f t="shared" si="385"/>
        <v>6518.9048239895692</v>
      </c>
      <c r="FV95" s="714">
        <f t="shared" si="386"/>
        <v>40722</v>
      </c>
      <c r="FW95" s="712">
        <f t="shared" si="387"/>
        <v>3259.4524119947846</v>
      </c>
      <c r="FX95" s="725">
        <f t="shared" si="388"/>
        <v>40851</v>
      </c>
      <c r="FZ95" s="697">
        <f t="shared" si="365"/>
        <v>0</v>
      </c>
      <c r="GA95" s="712" t="str">
        <f t="shared" si="343"/>
        <v/>
      </c>
      <c r="GB95" s="712">
        <f t="shared" si="344"/>
        <v>0</v>
      </c>
      <c r="GC95" s="712" t="str">
        <f t="shared" si="345"/>
        <v/>
      </c>
      <c r="GD95" s="712">
        <f>IF(GA95="P",Lookup!$M$12,IF(GA95="PP",Lookup!$M$13,IF(GA95="PPP",Lookup!$M$14,IF(GA95="T",Lookup!$M$15,IF(GA95="TP",Lookup!$M$16,IF(GA95="TPP",Lookup!$M$17,IF(GA95="TPPP",Lookup!$M$18,0)))))))*FZ95</f>
        <v>0</v>
      </c>
      <c r="GE95" s="712">
        <f t="shared" si="346"/>
        <v>0</v>
      </c>
      <c r="GF95" s="712">
        <f t="shared" si="347"/>
        <v>1817.8922666666663</v>
      </c>
      <c r="GG95" s="712">
        <f t="shared" si="348"/>
        <v>592.53333333333319</v>
      </c>
      <c r="GH95" s="712"/>
      <c r="GI95" s="712">
        <f t="shared" si="349"/>
        <v>0</v>
      </c>
      <c r="GJ95" s="712" t="str">
        <f t="shared" si="350"/>
        <v/>
      </c>
      <c r="GK95" s="712">
        <f>IF(GA95="P",Lookup!$N$12,IF(GA95="PP",Lookup!$N$13,IF(GA95="PPP",Lookup!$N$14,IF(GA95="T",Lookup!$N$15,IF(GA95="TP",Lookup!$N$16,IF(GA95="TPP",Lookup!$N$17,IF(GA95="TPPP",Lookup!$N$18,0)))))))*FZ95</f>
        <v>0</v>
      </c>
      <c r="GL95" s="712">
        <f t="shared" si="351"/>
        <v>0</v>
      </c>
      <c r="GM95" s="712">
        <f t="shared" si="352"/>
        <v>848.34972444444452</v>
      </c>
      <c r="GN95" s="712">
        <f t="shared" si="353"/>
        <v>276.51555555555558</v>
      </c>
      <c r="GO95" s="712"/>
      <c r="GP95" s="712">
        <f t="shared" si="354"/>
        <v>0</v>
      </c>
      <c r="GQ95" s="712" t="str">
        <f t="shared" si="355"/>
        <v/>
      </c>
      <c r="GR95" s="712">
        <f>IF(GA95="P",Lookup!$N$12,IF(GA95="PP",Lookup!$N$13,IF(GA95="PPP",Lookup!$N$14,IF(GA95="T",Lookup!$N$15,IF(GA95="TP",Lookup!$N$16,IF(GA95="TPP",Lookup!$N$17,IF(GA95="TPPP",Lookup!$N$18,0)))))))*FZ95</f>
        <v>0</v>
      </c>
      <c r="GS95" s="697">
        <f t="shared" si="377"/>
        <v>0</v>
      </c>
      <c r="GT95" s="712">
        <f t="shared" si="356"/>
        <v>713.79674570379791</v>
      </c>
      <c r="GU95" s="712">
        <f t="shared" si="357"/>
        <v>232.65865244582722</v>
      </c>
      <c r="GV95" s="712"/>
      <c r="GW95" s="712">
        <f t="shared" si="358"/>
        <v>0</v>
      </c>
      <c r="GX95" s="712" t="str">
        <f t="shared" si="359"/>
        <v/>
      </c>
      <c r="GY95" s="712">
        <f>IF(GA95="P",Lookup!$N$12,IF(GA95="PP",Lookup!$N$13,IF(GA95="PPP",Lookup!$N$14,IF(GA95="T",Lookup!$N$15,IF(GA95="TP",Lookup!$N$16,IF(GA95="TPP",Lookup!$N$17,IF(GA95="TPPP",Lookup!$N$18,0)))))))*FZ95</f>
        <v>0</v>
      </c>
      <c r="GZ95" s="697">
        <f t="shared" si="378"/>
        <v>0</v>
      </c>
      <c r="HA95" s="712">
        <f t="shared" si="360"/>
        <v>521.76202254858049</v>
      </c>
      <c r="HB95" s="712">
        <f t="shared" si="361"/>
        <v>170.06584828832479</v>
      </c>
      <c r="HC95" s="712"/>
    </row>
    <row r="96" spans="1:211">
      <c r="A96" s="773" t="s">
        <v>6</v>
      </c>
      <c r="B96" s="708">
        <v>40625</v>
      </c>
      <c r="C96" s="719">
        <v>0.5</v>
      </c>
      <c r="D96" s="675">
        <f t="shared" si="366"/>
        <v>300</v>
      </c>
      <c r="E96" s="675">
        <f t="shared" si="367"/>
        <v>250</v>
      </c>
      <c r="F96" s="675">
        <v>250</v>
      </c>
      <c r="G96" s="712">
        <f>DH96+Sheet1!CV96</f>
        <v>918.00441250638426</v>
      </c>
      <c r="H96" s="712">
        <f t="shared" si="294"/>
        <v>326.43485224412677</v>
      </c>
      <c r="I96" s="711">
        <f>MAX(Sheet1!Z96-AJ96+(Sheet1!CW96-E96)*CFStoMGD,0)</f>
        <v>776.9502467365088</v>
      </c>
      <c r="J96" s="720">
        <f>IF(AND(B96&gt;=Calculation!FS96,B96&lt;=Calculation!FT96),IF(Sheet1!CX96&gt;=Calculation!D96,64.64,0),MAX(Sheet1!Z96-AJ96+(Sheet1!CX96-D96)*CFStoMGD,0))</f>
        <v>64.64</v>
      </c>
      <c r="K96" s="697">
        <f t="shared" si="368"/>
        <v>64.64</v>
      </c>
      <c r="L96" s="712">
        <f>Sheet1!AA96+Sheet1!AB96-Sheet1!L96+(Sheet1!CW96-F96)*CFStoMGD</f>
        <v>817.21733333333054</v>
      </c>
      <c r="M96" s="712">
        <f t="shared" si="295"/>
        <v>605.26601328900938</v>
      </c>
      <c r="N96" s="712">
        <f>IF(Sheet1!CW96&gt;=F96,MIN(73,MIN(MAX(L96,0),MAX(M96,0))),0)</f>
        <v>73</v>
      </c>
      <c r="O96" s="721">
        <f>Sheet1!AA96+Sheet1!AB96</f>
        <v>54.44999999999709</v>
      </c>
      <c r="P96" s="721">
        <f t="shared" si="296"/>
        <v>84.234149999995495</v>
      </c>
      <c r="Q96" s="712">
        <f>MIN(N96,Sheet1!AA96+AG96)</f>
        <v>45.867086596824556</v>
      </c>
      <c r="R96" s="712">
        <f t="shared" si="297"/>
        <v>8.5829134031725349</v>
      </c>
      <c r="S96" s="721">
        <f>Sheet1!Y96*MGDtoCFS</f>
        <v>46.054189999999998</v>
      </c>
      <c r="T96" s="721">
        <f>Sheet1!Z96*MGDtoCFS</f>
        <v>38.118079999999999</v>
      </c>
      <c r="U96" s="721">
        <f>Sheet1!AA96*MGDtoCFS</f>
        <v>45.636499999999998</v>
      </c>
      <c r="V96" s="721">
        <f>Sheet1!AB96*MGDtoCFS</f>
        <v>38.597649999995497</v>
      </c>
      <c r="W96" s="721">
        <f>Sheet1!L96*MGDtoCFS</f>
        <v>9.1427699999997749</v>
      </c>
      <c r="X96" s="697">
        <f t="shared" si="369"/>
        <v>0</v>
      </c>
      <c r="Y96" s="712">
        <f t="shared" si="298"/>
        <v>0</v>
      </c>
      <c r="Z96" s="712">
        <f t="shared" si="299"/>
        <v>56.057086596827467</v>
      </c>
      <c r="AA96" s="712">
        <f t="shared" si="300"/>
        <v>86.720312965292095</v>
      </c>
      <c r="AB96" s="712">
        <f>(VLOOKUP(Sheet1!CY96,hhdcap_wcm,4)-(((VLOOKUP(Sheet1!CY96,hhdcap_wcm,3)-Sheet1!CY96)/(VLOOKUP(Sheet1!CY96,hhdcap_wcm,3)-VLOOKUP(Sheet1!CY96,hhdcap_wcm,1)))*(VLOOKUP(Sheet1!CY96,hhdcap_wcm,4)-VLOOKUP(Sheet1!CY96,hhdcap_wcm,2))))</f>
        <v>9854.3600000191291</v>
      </c>
      <c r="AC96" s="712">
        <f t="shared" si="301"/>
        <v>176.00000000016007</v>
      </c>
      <c r="AD96" s="712">
        <f t="shared" si="370"/>
        <v>1327.8304762198682</v>
      </c>
      <c r="AE96" s="712">
        <f t="shared" si="302"/>
        <v>4073.7839010425555</v>
      </c>
      <c r="AF96" s="712">
        <f>Sheet1!BA96+Sheet1!BB96+Sheet1!BN96+BT96</f>
        <v>16.304322766570607</v>
      </c>
      <c r="AG96" s="712">
        <f t="shared" si="303"/>
        <v>16.367086596824556</v>
      </c>
      <c r="AH96" s="712">
        <f>Sheet1!BA96+BT96</f>
        <v>0</v>
      </c>
      <c r="AI96" s="712">
        <f>Sheet1!BA96+Sheet1!BB96+BT96</f>
        <v>0.50432276657060515</v>
      </c>
      <c r="AJ96" s="712">
        <f>IF((Sheet1!AA96+AG96+AX96+AZ96+BQ96+BS96+CL96+CN96)&lt;=N96,AG96+AX96+AZ96+BQ96+BS96+CL96+CN96,N96-Sheet1!AA96)</f>
        <v>16.367086596824556</v>
      </c>
      <c r="AK96" s="712">
        <f>IF(DR96&lt;K96,0,MAX(Sheet1!AA96+AG96-15/36*K96-N96,Sheet1!ED96,0))</f>
        <v>0</v>
      </c>
      <c r="AL96" s="712">
        <f>IF(OR(B96&gt;=FT96,B96&lt;FS96),0,15/36*K96-MAX(0,64.6-(137.6-(Sheet1!AA96+Sheet1!AB96))))</f>
        <v>26.933333333333334</v>
      </c>
      <c r="AM96" s="712">
        <f>Sheet1!CX96-110</f>
        <v>676.6875</v>
      </c>
      <c r="AN96" s="712">
        <f>Sheet1!CW96-265</f>
        <v>1174.1666666666667</v>
      </c>
      <c r="AO96" s="712">
        <f t="shared" si="371"/>
        <v>27.132913403175444</v>
      </c>
      <c r="AP96" s="712">
        <f t="shared" si="372"/>
        <v>0</v>
      </c>
      <c r="AQ96" s="712">
        <f t="shared" si="304"/>
        <v>0</v>
      </c>
      <c r="AR96" s="712">
        <f t="shared" si="305"/>
        <v>619.46666666666647</v>
      </c>
      <c r="AS96" s="712"/>
      <c r="AT96" s="712">
        <f ca="1">IF(B96&gt;Summary!$A$1,#N/A,AR96*MGtoAF)</f>
        <v>1900.5237333333328</v>
      </c>
      <c r="AU96" s="712">
        <f>Sheet1!BG96+Sheet1!BH96+Sheet1!BI96-BC96</f>
        <v>0</v>
      </c>
      <c r="AV96" s="712">
        <f t="shared" si="306"/>
        <v>0</v>
      </c>
      <c r="AW96" s="712">
        <f>IF(Sheet1!EL96="FM",BC96,0)</f>
        <v>0</v>
      </c>
      <c r="AX96" s="712">
        <f t="shared" si="307"/>
        <v>0</v>
      </c>
      <c r="AY96" s="712">
        <f>IF(Sheet1!EL96="OTHER",BC96,0)</f>
        <v>0</v>
      </c>
      <c r="AZ96" s="712">
        <f t="shared" si="308"/>
        <v>0</v>
      </c>
      <c r="BA96" s="712">
        <f t="shared" si="309"/>
        <v>0</v>
      </c>
      <c r="BB96" s="712">
        <f t="shared" si="310"/>
        <v>0</v>
      </c>
      <c r="BC96" s="712">
        <f>IF(OR(Sheet1!EL96="FM", Sheet1!EL96="OTHER"),SUM(Sheet1!BG96:'Sheet1'!BI96),0)</f>
        <v>0</v>
      </c>
      <c r="BD96" s="697">
        <f>IF(AND($B96&gt;=$FL96,$B96&lt;=$FM96),MAX(AV96,Sheet1!EE96,0),MAX(AV96-(7/36)*$K96,0))</f>
        <v>0</v>
      </c>
      <c r="BE96" s="712">
        <f t="shared" si="311"/>
        <v>12.568888888888889</v>
      </c>
      <c r="BF96" s="697">
        <f t="shared" si="373"/>
        <v>0</v>
      </c>
      <c r="BG96" s="697">
        <f>IF(AND($O96&gt;0,Sheet1!EI96=1),(1-($O96-Sheet1!$L96)/$O96)*BB96,0)</f>
        <v>0</v>
      </c>
      <c r="BH96" s="697">
        <f>IF(AND(Sheet1!$L96=0,Sheet1!$L95=0, Calculation!BA96&lt;Sheet1!$EE96-0.1,Sheet1!$EE96=Sheet1!$EE95,Sheet1!$EE96=Sheet1!$EE97),Sheet1!$EE96,BB96-BG96)</f>
        <v>0</v>
      </c>
      <c r="BI96" s="712"/>
      <c r="BJ96" s="712"/>
      <c r="BK96" s="712">
        <f t="shared" si="312"/>
        <v>289.08444444444444</v>
      </c>
      <c r="BL96" s="712"/>
      <c r="BM96" s="712">
        <f ca="1">IF(B96&gt;Summary!$A$1,#N/A,BK96*MGtoAF)</f>
        <v>886.91107555555561</v>
      </c>
      <c r="BN96" s="712">
        <f>Sheet1!BC96+Sheet1!BD96+Sheet1!BE96+Sheet1!BF96-BW96-BX96</f>
        <v>2.52</v>
      </c>
      <c r="BO96" s="712">
        <f t="shared" si="313"/>
        <v>2.5297007925140105</v>
      </c>
      <c r="BP96" s="712">
        <f>IF(Sheet1!EM96="FM",BX96,0)</f>
        <v>0</v>
      </c>
      <c r="BQ96" s="712">
        <f t="shared" si="314"/>
        <v>0</v>
      </c>
      <c r="BR96" s="712">
        <f>IF(Sheet1!EM96="OTHER",BX96,0)</f>
        <v>0</v>
      </c>
      <c r="BS96" s="712">
        <f t="shared" si="315"/>
        <v>0</v>
      </c>
      <c r="BT96" s="712">
        <f t="shared" si="316"/>
        <v>0</v>
      </c>
      <c r="BU96" s="712">
        <f t="shared" si="317"/>
        <v>2.52</v>
      </c>
      <c r="BV96" s="712">
        <f t="shared" si="318"/>
        <v>2.5297007925140105</v>
      </c>
      <c r="BW96" s="712">
        <f>IF(Sheet1!EM96="CWA",SUM(Sheet1!BC96:'Sheet1'!BF96),0)</f>
        <v>0</v>
      </c>
      <c r="BX96" s="712">
        <f>IF(OR(Sheet1!EM96="FM", Sheet1!EM96="OTHER"),SUM(Sheet1!BC96:'Sheet1'!BF96),0)</f>
        <v>0</v>
      </c>
      <c r="BY96" s="697">
        <f>IF(AND($B96&gt;=$FL96,$B96&lt;=$FM96),MAX(BV96,Sheet1!EF96,0),MAX(BV96-(7/36)*$K96,0))</f>
        <v>0</v>
      </c>
      <c r="BZ96" s="712">
        <f t="shared" si="319"/>
        <v>10.039188096374879</v>
      </c>
      <c r="CA96" s="697">
        <f t="shared" si="374"/>
        <v>2.5297007925140105</v>
      </c>
      <c r="CB96" s="697">
        <f>IF(AND($O96&gt;0,Sheet1!EJ96=1),(1-($O96-Sheet1!$L96)/$O96)*BV96,0)</f>
        <v>0</v>
      </c>
      <c r="CC96" s="697">
        <f>IF(AND(Sheet1!$L96=0,Sheet1!$L95=0, Calculation!BU96&lt;Sheet1!EF96-0.1,Sheet1!EF96=Sheet1!EF95,Sheet1!EF96=Sheet1!EF97),Sheet1!EF96,BV96-CB96)</f>
        <v>2.5297007925140105</v>
      </c>
      <c r="CD96" s="697"/>
      <c r="CE96" s="712"/>
      <c r="CF96" s="712">
        <f t="shared" si="320"/>
        <v>242.6978405422021</v>
      </c>
      <c r="CG96" s="712"/>
      <c r="CH96" s="712">
        <f ca="1">IF(B96&gt;Summary!$A$1,#N/A,CF96*MGtoAF)</f>
        <v>744.59697478347607</v>
      </c>
      <c r="CI96" s="712">
        <f>Sheet1!BK96+Sheet1!BL96+Sheet1!BM96-Sheet1!EN96-CQ96</f>
        <v>6.0299999999999994</v>
      </c>
      <c r="CJ96" s="712">
        <f t="shared" si="321"/>
        <v>6.053212610658524</v>
      </c>
      <c r="CK96" s="712">
        <f>IF(Sheet1!EN96="FM",CQ96,0)</f>
        <v>0</v>
      </c>
      <c r="CL96" s="712">
        <f t="shared" si="322"/>
        <v>0</v>
      </c>
      <c r="CM96" s="712">
        <f>IF(Sheet1!EN96="OTHER",CQ96,0)</f>
        <v>0</v>
      </c>
      <c r="CN96" s="712">
        <f t="shared" si="323"/>
        <v>0</v>
      </c>
      <c r="CO96" s="712">
        <f t="shared" si="324"/>
        <v>6.0299999999999994</v>
      </c>
      <c r="CP96" s="712">
        <f t="shared" si="325"/>
        <v>6.053212610658524</v>
      </c>
      <c r="CQ96" s="712">
        <f>IF(OR(Sheet1!EN96="FM", Sheet1!EN96="OTHER"),SUM(Sheet1!BK96:'Sheet1'!BM96),0)</f>
        <v>0</v>
      </c>
      <c r="CR96" s="697">
        <f>IF(AND($B96&gt;=$FL96,$B96&lt;=$FM96),MAX($CJ96,Sheet1!EG96,0),MAX($CJ96-(7/36)*$K96,0))</f>
        <v>0</v>
      </c>
      <c r="CS96" s="712">
        <f t="shared" si="326"/>
        <v>6.515676278230365</v>
      </c>
      <c r="CT96" s="697">
        <f t="shared" si="375"/>
        <v>6.053212610658524</v>
      </c>
      <c r="CU96" s="697">
        <f>IF(AND($O96&gt;0,Sheet1!EK96=1),(1-($O96-Sheet1!$L96)/$O96)*CP96,0)</f>
        <v>0</v>
      </c>
      <c r="CV96" s="697">
        <f>IF(AND(Sheet1!$L96=0,Sheet1!$L95=0, Calculation!CO96&lt;Sheet1!$EG96-0.1,Sheet1!$EG96=Sheet1!$EG95,Sheet1!$EG96=Sheet1!$EG97),Sheet1!$EG96,CP96-CU96)</f>
        <v>6.053212610658524</v>
      </c>
      <c r="CW96" s="697">
        <f t="shared" si="362"/>
        <v>0</v>
      </c>
      <c r="CX96" s="712">
        <f t="shared" si="379"/>
        <v>8.5499999999999989</v>
      </c>
      <c r="CY96" s="712">
        <f t="shared" si="327"/>
        <v>176.58152456655515</v>
      </c>
      <c r="CZ96" s="712">
        <f t="shared" si="328"/>
        <v>8.5829134031725349</v>
      </c>
      <c r="DA96" s="712">
        <f ca="1">IF(B96&gt;Summary!$A$1,#N/A,CY96*MGtoAF)</f>
        <v>541.75211737019117</v>
      </c>
      <c r="DB96" s="712">
        <f t="shared" si="329"/>
        <v>8.5499999999999989</v>
      </c>
      <c r="DC96" s="712">
        <f t="shared" si="330"/>
        <v>24.854322766570604</v>
      </c>
      <c r="DD96" s="712">
        <f>Sheet1!AB96-DC96</f>
        <v>9.5677233426485486E-2</v>
      </c>
      <c r="DE96" s="712">
        <f t="shared" si="331"/>
        <v>3.8495208388929689E-3</v>
      </c>
      <c r="DF96" s="712">
        <f>(VLOOKUP(Sheet1!CY96,hhdcap_wcm,4)-(((VLOOKUP(Sheet1!CY96,hhdcap_wcm,3)-Sheet1!CY96)/(VLOOKUP(Sheet1!CY96,hhdcap_wcm,3)-VLOOKUP(Sheet1!CY96,hhdcap_wcm,1)))*(VLOOKUP(Sheet1!CY96,hhdcap_wcm,4)-VLOOKUP(Sheet1!CY96,hhdcap_wcm,2))))</f>
        <v>9854.3600000191291</v>
      </c>
      <c r="DG96" s="712">
        <f t="shared" si="332"/>
        <v>176.00000000016007</v>
      </c>
      <c r="DH96" s="712">
        <f t="shared" si="333"/>
        <v>88.754412506384284</v>
      </c>
      <c r="DI96" s="712">
        <f>Sheet1!DW96*AFtoMG</f>
        <v>0</v>
      </c>
      <c r="DJ96" s="712">
        <f>Sheet1!DX96*AFtoMG</f>
        <v>0</v>
      </c>
      <c r="DK96" s="712">
        <f>Sheet1!DY96*AFtoMG</f>
        <v>0</v>
      </c>
      <c r="DL96" s="712">
        <f>Sheet1!DZ96*AFtoMG</f>
        <v>0</v>
      </c>
      <c r="DM96" s="712">
        <f t="shared" si="334"/>
        <v>0</v>
      </c>
      <c r="DN96" s="712">
        <f t="shared" si="335"/>
        <v>0</v>
      </c>
      <c r="DO96" s="712">
        <f t="shared" si="336"/>
        <v>1327.8304762198682</v>
      </c>
      <c r="DP96" s="712">
        <f t="shared" si="337"/>
        <v>4073.7839010425555</v>
      </c>
      <c r="DQ96" s="712"/>
      <c r="DR96" s="697">
        <f>IF(OR(B96&lt;FL96,B96&gt;FM96),(MIN(AV96+BO96+CJ96+MAX(Sheet1!AA96+AG96-73,0),K96)),0)</f>
        <v>8.5829134031725349</v>
      </c>
      <c r="DS96" s="712"/>
      <c r="DT96" s="712">
        <f t="shared" si="338"/>
        <v>8.5829134031725349</v>
      </c>
      <c r="DU96" s="712"/>
      <c r="DV96" s="712">
        <f>Sheet1!ED96+Sheet1!EE96+Sheet1!EF96+Sheet1!EG96</f>
        <v>8.5</v>
      </c>
      <c r="DW96" s="712"/>
      <c r="DX96" s="697">
        <f t="shared" si="376"/>
        <v>0</v>
      </c>
      <c r="DY96" s="712">
        <f>IF(Sheet1!FN96=1,SUM('Calculations II'!AT96:BA96)+'Calculations II'!BC96+Sheet1!BU96+'Calculations II'!BE96+AF96,SUM('Calculations II'!AT96:BA96)+'Calculations II'!BC96+Sheet1!BU96+'Calculations II'!BE96+AF96)</f>
        <v>45.36077076657061</v>
      </c>
      <c r="DZ96" s="712">
        <f>Sheet1!AA96+Sheet1!AB96+'Calculations II'!BC96</f>
        <v>54.44999999999709</v>
      </c>
      <c r="EA96" s="712"/>
      <c r="EB96" s="712"/>
      <c r="EC96" s="712">
        <f t="shared" si="339"/>
        <v>40625</v>
      </c>
      <c r="ED96" s="712">
        <f t="shared" si="340"/>
        <v>56.057086596827467</v>
      </c>
      <c r="EE96" s="712">
        <f t="shared" si="341"/>
        <v>86.720312965292095</v>
      </c>
      <c r="EF96" s="712">
        <f>-(VLOOKUP(Sheet1!BQ96,Lookup!$B$4:$J$236,2)-VLOOKUP(Sheet1!BQ95,Lookup!$B$4:$J$236,2))/1000000</f>
        <v>-1.0820000000000001</v>
      </c>
      <c r="EG96" s="712">
        <f>-(VLOOKUP(Sheet1!BR96,Lookup!$B$4:$J$236,3)-VLOOKUP(Sheet1!BR95,Lookup!$B$4:$J$236,3))/1000000</f>
        <v>-1.08</v>
      </c>
      <c r="EH96" s="712">
        <f>-(VLOOKUP(Sheet1!BS96,Lookup!$B$4:$J$236,4)-VLOOKUP(Sheet1!BS95,Lookup!$B$4:$J$236,4))/1000000</f>
        <v>0</v>
      </c>
      <c r="EI96" s="697">
        <f t="shared" si="380"/>
        <v>-2.1619999999999999</v>
      </c>
      <c r="EJ96" s="712"/>
      <c r="EK96" s="712"/>
      <c r="EL96" s="712"/>
      <c r="EM96" s="712"/>
      <c r="EN96" s="712"/>
      <c r="EO96" s="712"/>
      <c r="EP96" s="712"/>
      <c r="EQ96" s="712"/>
      <c r="ER96" s="697">
        <v>0</v>
      </c>
      <c r="ES96" s="712"/>
      <c r="ET96" s="794" t="e">
        <f t="shared" si="342"/>
        <v>#N/A</v>
      </c>
      <c r="EU96" s="794" t="e">
        <f t="shared" si="363"/>
        <v>#VALUE!</v>
      </c>
      <c r="EV96" s="795" t="e">
        <f t="shared" si="364"/>
        <v>#VALUE!</v>
      </c>
      <c r="EW96" s="796" t="s">
        <v>757</v>
      </c>
      <c r="EX96" s="796" t="s">
        <v>757</v>
      </c>
      <c r="EY96" s="794">
        <v>0</v>
      </c>
      <c r="EZ96" s="794" t="e">
        <v>#N/A</v>
      </c>
      <c r="FA96" s="712"/>
      <c r="FB96" s="712"/>
      <c r="FC96" s="712"/>
      <c r="FD96" s="712"/>
      <c r="FE96" s="712">
        <f>O96+Sheet1!CO96</f>
        <v>54.44999999999709</v>
      </c>
      <c r="FF96" s="712">
        <f>IF(Sheet1!AA96+AG96&lt;=Calculation!N96,AG96,Calculation!N96-Sheet1!AA96)</f>
        <v>16.367086596824556</v>
      </c>
      <c r="FG96" s="712">
        <f>(Sheet1!BP96+Sheet1!BO96)/694.4</f>
        <v>1.3446140552995394</v>
      </c>
      <c r="FH96" s="712"/>
      <c r="FI96" s="712"/>
      <c r="FJ96" s="712"/>
      <c r="FK96" s="712"/>
      <c r="FL96" s="714">
        <f t="shared" si="381"/>
        <v>40753</v>
      </c>
      <c r="FM96" s="714">
        <f t="shared" si="382"/>
        <v>40851</v>
      </c>
      <c r="FN96" s="712"/>
      <c r="FO96" s="712"/>
      <c r="FP96" s="712"/>
      <c r="FQ96" s="712"/>
      <c r="FR96" s="712"/>
      <c r="FS96" s="725">
        <f t="shared" si="383"/>
        <v>40603</v>
      </c>
      <c r="FT96" s="714">
        <f t="shared" si="384"/>
        <v>40709</v>
      </c>
      <c r="FU96" s="712">
        <f t="shared" si="385"/>
        <v>6518.9048239895692</v>
      </c>
      <c r="FV96" s="714">
        <f t="shared" si="386"/>
        <v>40722</v>
      </c>
      <c r="FW96" s="712">
        <f t="shared" si="387"/>
        <v>3259.4524119947846</v>
      </c>
      <c r="FX96" s="725">
        <f t="shared" si="388"/>
        <v>40851</v>
      </c>
      <c r="FZ96" s="697">
        <f t="shared" si="365"/>
        <v>0</v>
      </c>
      <c r="GA96" s="712" t="str">
        <f t="shared" si="343"/>
        <v/>
      </c>
      <c r="GB96" s="712">
        <f t="shared" si="344"/>
        <v>0</v>
      </c>
      <c r="GC96" s="712" t="str">
        <f t="shared" si="345"/>
        <v/>
      </c>
      <c r="GD96" s="712">
        <f>IF(GA96="P",Lookup!$M$12,IF(GA96="PP",Lookup!$M$13,IF(GA96="PPP",Lookup!$M$14,IF(GA96="T",Lookup!$M$15,IF(GA96="TP",Lookup!$M$16,IF(GA96="TPP",Lookup!$M$17,IF(GA96="TPPP",Lookup!$M$18,0)))))))*FZ96</f>
        <v>0</v>
      </c>
      <c r="GE96" s="712">
        <f t="shared" si="346"/>
        <v>0</v>
      </c>
      <c r="GF96" s="712">
        <f t="shared" si="347"/>
        <v>1900.5237333333328</v>
      </c>
      <c r="GG96" s="712">
        <f t="shared" si="348"/>
        <v>619.46666666666647</v>
      </c>
      <c r="GH96" s="712"/>
      <c r="GI96" s="712">
        <f t="shared" si="349"/>
        <v>0</v>
      </c>
      <c r="GJ96" s="712" t="str">
        <f t="shared" si="350"/>
        <v/>
      </c>
      <c r="GK96" s="712">
        <f>IF(GA96="P",Lookup!$N$12,IF(GA96="PP",Lookup!$N$13,IF(GA96="PPP",Lookup!$N$14,IF(GA96="T",Lookup!$N$15,IF(GA96="TP",Lookup!$N$16,IF(GA96="TPP",Lookup!$N$17,IF(GA96="TPPP",Lookup!$N$18,0)))))))*FZ96</f>
        <v>0</v>
      </c>
      <c r="GL96" s="712">
        <f t="shared" si="351"/>
        <v>0</v>
      </c>
      <c r="GM96" s="712">
        <f t="shared" si="352"/>
        <v>886.91107555555561</v>
      </c>
      <c r="GN96" s="712">
        <f t="shared" si="353"/>
        <v>289.08444444444444</v>
      </c>
      <c r="GO96" s="712"/>
      <c r="GP96" s="712">
        <f t="shared" si="354"/>
        <v>0</v>
      </c>
      <c r="GQ96" s="712" t="str">
        <f t="shared" si="355"/>
        <v/>
      </c>
      <c r="GR96" s="712">
        <f>IF(GA96="P",Lookup!$N$12,IF(GA96="PP",Lookup!$N$13,IF(GA96="PPP",Lookup!$N$14,IF(GA96="T",Lookup!$N$15,IF(GA96="TP",Lookup!$N$16,IF(GA96="TPP",Lookup!$N$17,IF(GA96="TPPP",Lookup!$N$18,0)))))))*FZ96</f>
        <v>0</v>
      </c>
      <c r="GS96" s="697">
        <f t="shared" si="377"/>
        <v>0</v>
      </c>
      <c r="GT96" s="712">
        <f t="shared" si="356"/>
        <v>744.59697478347607</v>
      </c>
      <c r="GU96" s="712">
        <f t="shared" si="357"/>
        <v>242.6978405422021</v>
      </c>
      <c r="GV96" s="712"/>
      <c r="GW96" s="712">
        <f t="shared" si="358"/>
        <v>0</v>
      </c>
      <c r="GX96" s="712" t="str">
        <f t="shared" si="359"/>
        <v/>
      </c>
      <c r="GY96" s="712">
        <f>IF(GA96="P",Lookup!$N$12,IF(GA96="PP",Lookup!$N$13,IF(GA96="PPP",Lookup!$N$14,IF(GA96="T",Lookup!$N$15,IF(GA96="TP",Lookup!$N$16,IF(GA96="TPP",Lookup!$N$17,IF(GA96="TPPP",Lookup!$N$18,0)))))))*FZ96</f>
        <v>0</v>
      </c>
      <c r="GZ96" s="697">
        <f t="shared" si="378"/>
        <v>0</v>
      </c>
      <c r="HA96" s="712">
        <f t="shared" si="360"/>
        <v>541.75211737019117</v>
      </c>
      <c r="HB96" s="712">
        <f t="shared" si="361"/>
        <v>176.58152456655515</v>
      </c>
      <c r="HC96" s="712"/>
    </row>
    <row r="97" spans="1:211">
      <c r="A97" s="773" t="s">
        <v>7</v>
      </c>
      <c r="B97" s="708">
        <v>40626</v>
      </c>
      <c r="C97" s="709">
        <v>0.5</v>
      </c>
      <c r="D97" s="675">
        <f t="shared" si="366"/>
        <v>300</v>
      </c>
      <c r="E97" s="675">
        <f t="shared" si="367"/>
        <v>250</v>
      </c>
      <c r="F97" s="710">
        <v>250</v>
      </c>
      <c r="G97" s="712">
        <f>DH97+Sheet1!CV97</f>
        <v>921.43837619809187</v>
      </c>
      <c r="H97" s="712">
        <f t="shared" si="294"/>
        <v>328.65456637444657</v>
      </c>
      <c r="I97" s="711">
        <f>MAX(Sheet1!Z97-AJ97+(Sheet1!CW97-E97)*CFStoMGD,0)</f>
        <v>727.75856397858877</v>
      </c>
      <c r="J97" s="720">
        <f>IF(AND(B97&gt;=Calculation!FS97,B97&lt;=Calculation!FT97),IF(Sheet1!CX97&gt;=Calculation!D97,64.64,0),MAX(Sheet1!Z97-AJ97+(Sheet1!CX97-D97)*CFStoMGD,0))</f>
        <v>64.64</v>
      </c>
      <c r="K97" s="697">
        <f t="shared" si="368"/>
        <v>64.64</v>
      </c>
      <c r="L97" s="712">
        <f>Sheet1!AA97+Sheet1!AB97-Sheet1!L97+(Sheet1!CW97-F97)*CFStoMGD</f>
        <v>778.01600000000406</v>
      </c>
      <c r="M97" s="712">
        <f t="shared" si="295"/>
        <v>607.53012170193551</v>
      </c>
      <c r="N97" s="712">
        <f>IF(Sheet1!CW97&gt;=F97,MIN(73,MIN(MAX(L97,0),MAX(M97,0))),0)</f>
        <v>73</v>
      </c>
      <c r="O97" s="721">
        <f>Sheet1!AA97+Sheet1!AB97</f>
        <v>56.270000000004075</v>
      </c>
      <c r="P97" s="721">
        <f t="shared" si="296"/>
        <v>87.049690000006308</v>
      </c>
      <c r="Q97" s="712">
        <f>MIN(N97,Sheet1!AA97+AG97)</f>
        <v>47.377436021414098</v>
      </c>
      <c r="R97" s="712">
        <f t="shared" si="297"/>
        <v>8.8925639785899815</v>
      </c>
      <c r="S97" s="721">
        <f>Sheet1!Y97*MGDtoCFS</f>
        <v>46.007779999999997</v>
      </c>
      <c r="T97" s="721">
        <f>Sheet1!Z97*MGDtoCFS</f>
        <v>38.040729999999996</v>
      </c>
      <c r="U97" s="721">
        <f>Sheet1!AA97*MGDtoCFS</f>
        <v>44.553600000004501</v>
      </c>
      <c r="V97" s="721">
        <f>Sheet1!AB97*MGDtoCFS</f>
        <v>42.4960900000018</v>
      </c>
      <c r="W97" s="721">
        <f>Sheet1!L97*MGDtoCFS</f>
        <v>0</v>
      </c>
      <c r="X97" s="697">
        <f t="shared" si="369"/>
        <v>0</v>
      </c>
      <c r="Y97" s="712">
        <f t="shared" si="298"/>
        <v>0</v>
      </c>
      <c r="Z97" s="712">
        <f t="shared" si="299"/>
        <v>55.747436021410017</v>
      </c>
      <c r="AA97" s="712">
        <f t="shared" si="300"/>
        <v>86.24128352512129</v>
      </c>
      <c r="AB97" s="712">
        <f>(VLOOKUP(Sheet1!CY97,hhdcap_wcm,4)-(((VLOOKUP(Sheet1!CY97,hhdcap_wcm,3)-Sheet1!CY97)/(VLOOKUP(Sheet1!CY97,hhdcap_wcm,3)-VLOOKUP(Sheet1!CY97,hhdcap_wcm,1)))*(VLOOKUP(Sheet1!CY97,hhdcap_wcm,4)-VLOOKUP(Sheet1!CY97,hhdcap_wcm,2))))</f>
        <v>10237.750000019945</v>
      </c>
      <c r="AC97" s="712">
        <f t="shared" si="301"/>
        <v>383.39000000081614</v>
      </c>
      <c r="AD97" s="712">
        <f t="shared" si="370"/>
        <v>1383.5779122412782</v>
      </c>
      <c r="AE97" s="712">
        <f t="shared" si="302"/>
        <v>4244.8170347562418</v>
      </c>
      <c r="AF97" s="712">
        <f>Sheet1!BA97+Sheet1!BB97+Sheet1!BN97+BT97</f>
        <v>18.864553314121036</v>
      </c>
      <c r="AG97" s="712">
        <f t="shared" si="303"/>
        <v>18.577436021411184</v>
      </c>
      <c r="AH97" s="712">
        <f>Sheet1!BA97+BT97</f>
        <v>0</v>
      </c>
      <c r="AI97" s="712">
        <f>Sheet1!BA97+Sheet1!BB97+BT97</f>
        <v>0.86455331412103742</v>
      </c>
      <c r="AJ97" s="712">
        <f>IF((Sheet1!AA97+AG97+AX97+AZ97+BQ97+BS97+CL97+CN97)&lt;=N97,AG97+AX97+AZ97+BQ97+BS97+CL97+CN97,N97-Sheet1!AA97)</f>
        <v>18.577436021411184</v>
      </c>
      <c r="AK97" s="712">
        <f>IF(DR97&lt;K97,0,MAX(Sheet1!AA97+AG97-15/36*K97-N97,Sheet1!ED97,0))</f>
        <v>0</v>
      </c>
      <c r="AL97" s="712">
        <f>IF(OR(B97&gt;=FT97,B97&lt;FS97),0,15/36*K97-MAX(0,64.6-(137.6-(Sheet1!AA97+Sheet1!AB97))))</f>
        <v>26.933333333333334</v>
      </c>
      <c r="AM97" s="712">
        <f>Sheet1!CX97-110</f>
        <v>559.33333333333337</v>
      </c>
      <c r="AN97" s="712">
        <f>Sheet1!CW97-265</f>
        <v>1101.5625</v>
      </c>
      <c r="AO97" s="712">
        <f t="shared" si="371"/>
        <v>25.622563978585902</v>
      </c>
      <c r="AP97" s="712">
        <f t="shared" si="372"/>
        <v>0</v>
      </c>
      <c r="AQ97" s="712">
        <f t="shared" si="304"/>
        <v>0</v>
      </c>
      <c r="AR97" s="712">
        <f t="shared" si="305"/>
        <v>646.39999999999975</v>
      </c>
      <c r="AS97" s="712"/>
      <c r="AT97" s="712">
        <f ca="1">IF(B97&gt;Summary!$A$1,#N/A,AR97*MGtoAF)</f>
        <v>1983.1551999999992</v>
      </c>
      <c r="AU97" s="712">
        <f>Sheet1!BG97+Sheet1!BH97+Sheet1!BI97-BC97</f>
        <v>0</v>
      </c>
      <c r="AV97" s="712">
        <f t="shared" si="306"/>
        <v>0</v>
      </c>
      <c r="AW97" s="712">
        <f>IF(Sheet1!EL97="FM",BC97,0)</f>
        <v>0</v>
      </c>
      <c r="AX97" s="712">
        <f t="shared" si="307"/>
        <v>0</v>
      </c>
      <c r="AY97" s="712">
        <f>IF(Sheet1!EL97="OTHER",BC97,0)</f>
        <v>0</v>
      </c>
      <c r="AZ97" s="712">
        <f t="shared" si="308"/>
        <v>0</v>
      </c>
      <c r="BA97" s="712">
        <f t="shared" si="309"/>
        <v>0</v>
      </c>
      <c r="BB97" s="712">
        <f t="shared" si="310"/>
        <v>0</v>
      </c>
      <c r="BC97" s="712">
        <f>IF(OR(Sheet1!EL97="FM", Sheet1!EL97="OTHER"),SUM(Sheet1!BG97:'Sheet1'!BI97),0)</f>
        <v>0</v>
      </c>
      <c r="BD97" s="697">
        <f>IF(AND($B97&gt;=$FL97,$B97&lt;=$FM97),MAX(AV97,Sheet1!EE97,0),MAX(AV97-(7/36)*$K97,0))</f>
        <v>0</v>
      </c>
      <c r="BE97" s="712">
        <f t="shared" si="311"/>
        <v>12.568888888888889</v>
      </c>
      <c r="BF97" s="697">
        <f t="shared" si="373"/>
        <v>0</v>
      </c>
      <c r="BG97" s="697">
        <f>IF(AND($O97&gt;0,Sheet1!EI97=1),(1-($O97-Sheet1!$L97)/$O97)*BB97,0)</f>
        <v>0</v>
      </c>
      <c r="BH97" s="697">
        <f>IF(AND(Sheet1!$L97=0,Sheet1!$L96=0, Calculation!BA97&lt;Sheet1!$EE97-0.1,Sheet1!$EE97=Sheet1!$EE96,Sheet1!$EE97=Sheet1!$EE98),Sheet1!$EE97,BB97-BG97)</f>
        <v>0</v>
      </c>
      <c r="BI97" s="712"/>
      <c r="BJ97" s="712"/>
      <c r="BK97" s="712">
        <f t="shared" si="312"/>
        <v>301.65333333333331</v>
      </c>
      <c r="BL97" s="712"/>
      <c r="BM97" s="712">
        <f ca="1">IF(B97&gt;Summary!$A$1,#N/A,BK97*MGtoAF)</f>
        <v>925.47242666666659</v>
      </c>
      <c r="BN97" s="712">
        <f>Sheet1!BC97+Sheet1!BD97+Sheet1!BE97+Sheet1!BF97-BW97-BX97</f>
        <v>2.52</v>
      </c>
      <c r="BO97" s="712">
        <f t="shared" si="313"/>
        <v>2.481645761466972</v>
      </c>
      <c r="BP97" s="712">
        <f>IF(Sheet1!EM97="FM",BX97,0)</f>
        <v>0</v>
      </c>
      <c r="BQ97" s="712">
        <f t="shared" si="314"/>
        <v>0</v>
      </c>
      <c r="BR97" s="712">
        <f>IF(Sheet1!EM97="OTHER",BX97,0)</f>
        <v>0</v>
      </c>
      <c r="BS97" s="712">
        <f t="shared" si="315"/>
        <v>0</v>
      </c>
      <c r="BT97" s="712">
        <f t="shared" si="316"/>
        <v>0</v>
      </c>
      <c r="BU97" s="712">
        <f t="shared" si="317"/>
        <v>2.52</v>
      </c>
      <c r="BV97" s="712">
        <f t="shared" si="318"/>
        <v>2.481645761466972</v>
      </c>
      <c r="BW97" s="712">
        <f>IF(Sheet1!EM97="CWA",SUM(Sheet1!BC97:'Sheet1'!BF97),0)</f>
        <v>0</v>
      </c>
      <c r="BX97" s="712">
        <f>IF(OR(Sheet1!EM97="FM", Sheet1!EM97="OTHER"),SUM(Sheet1!BC97:'Sheet1'!BF97),0)</f>
        <v>0</v>
      </c>
      <c r="BY97" s="697">
        <f>IF(AND($B97&gt;=$FL97,$B97&lt;=$FM97),MAX(BV97,Sheet1!EF97,0),MAX(BV97-(7/36)*$K97,0))</f>
        <v>0</v>
      </c>
      <c r="BZ97" s="712">
        <f t="shared" si="319"/>
        <v>10.087243127421917</v>
      </c>
      <c r="CA97" s="697">
        <f t="shared" si="374"/>
        <v>2.481645761466972</v>
      </c>
      <c r="CB97" s="697">
        <f>IF(AND($O97&gt;0,Sheet1!EJ97=1),(1-($O97-Sheet1!$L97)/$O97)*BV97,0)</f>
        <v>0</v>
      </c>
      <c r="CC97" s="697">
        <f>IF(AND(Sheet1!$L97=0,Sheet1!$L96=0, Calculation!BU97&lt;Sheet1!EF97-0.1,Sheet1!EF97=Sheet1!EF96,Sheet1!EF97=Sheet1!EF98),Sheet1!EF97,BV97-CB97)</f>
        <v>2.481645761466972</v>
      </c>
      <c r="CD97" s="697"/>
      <c r="CE97" s="712"/>
      <c r="CF97" s="712">
        <f t="shared" si="320"/>
        <v>252.78508366962402</v>
      </c>
      <c r="CG97" s="712"/>
      <c r="CH97" s="712">
        <f ca="1">IF(B97&gt;Summary!$A$1,#N/A,CF97*MGtoAF)</f>
        <v>775.54463669840652</v>
      </c>
      <c r="CI97" s="712">
        <f>Sheet1!BK97+Sheet1!BL97+Sheet1!BM97-Sheet1!EN97-CQ97</f>
        <v>6.51</v>
      </c>
      <c r="CJ97" s="712">
        <f t="shared" si="321"/>
        <v>6.4109182171230099</v>
      </c>
      <c r="CK97" s="712">
        <f>IF(Sheet1!EN97="FM",CQ97,0)</f>
        <v>0</v>
      </c>
      <c r="CL97" s="712">
        <f t="shared" si="322"/>
        <v>0</v>
      </c>
      <c r="CM97" s="712">
        <f>IF(Sheet1!EN97="OTHER",CQ97,0)</f>
        <v>0</v>
      </c>
      <c r="CN97" s="712">
        <f t="shared" si="323"/>
        <v>0</v>
      </c>
      <c r="CO97" s="712">
        <f t="shared" si="324"/>
        <v>6.51</v>
      </c>
      <c r="CP97" s="712">
        <f t="shared" si="325"/>
        <v>6.4109182171230099</v>
      </c>
      <c r="CQ97" s="712">
        <f>IF(OR(Sheet1!EN97="FM", Sheet1!EN97="OTHER"),SUM(Sheet1!BK97:'Sheet1'!BM97),0)</f>
        <v>0</v>
      </c>
      <c r="CR97" s="697">
        <f>IF(AND($B97&gt;=$FL97,$B97&lt;=$FM97),MAX($CJ97,Sheet1!EG97,0),MAX($CJ97-(7/36)*$K97,0))</f>
        <v>0</v>
      </c>
      <c r="CS97" s="712">
        <f t="shared" si="326"/>
        <v>6.1579706717658791</v>
      </c>
      <c r="CT97" s="697">
        <f t="shared" si="375"/>
        <v>6.4109182171230099</v>
      </c>
      <c r="CU97" s="697">
        <f>IF(AND($O97&gt;0,Sheet1!EK97=1),(1-($O97-Sheet1!$L97)/$O97)*CP97,0)</f>
        <v>0</v>
      </c>
      <c r="CV97" s="697">
        <f>IF(AND(Sheet1!$L97=0,Sheet1!$L96=0, Calculation!CO97&lt;Sheet1!$EG97-0.1,Sheet1!$EG97=Sheet1!$EG96,Sheet1!$EG97=Sheet1!$EG98),Sheet1!$EG97,CP97-CU97)</f>
        <v>6.4109182171230099</v>
      </c>
      <c r="CW97" s="697">
        <f t="shared" si="362"/>
        <v>0</v>
      </c>
      <c r="CX97" s="712">
        <f t="shared" si="379"/>
        <v>9.0299999999999994</v>
      </c>
      <c r="CY97" s="712">
        <f t="shared" si="327"/>
        <v>182.73949523832101</v>
      </c>
      <c r="CZ97" s="712">
        <f t="shared" si="328"/>
        <v>8.8925639785899815</v>
      </c>
      <c r="DA97" s="712">
        <f ca="1">IF(B97&gt;Summary!$A$1,#N/A,CY97*MGtoAF)</f>
        <v>560.64477139116889</v>
      </c>
      <c r="DB97" s="712">
        <f t="shared" si="329"/>
        <v>9.0299999999999994</v>
      </c>
      <c r="DC97" s="712">
        <f t="shared" si="330"/>
        <v>27.894553314121033</v>
      </c>
      <c r="DD97" s="712">
        <f>Sheet1!AB97-DC97</f>
        <v>-0.42455331411986919</v>
      </c>
      <c r="DE97" s="712">
        <f t="shared" si="331"/>
        <v>-1.5219935925804839E-2</v>
      </c>
      <c r="DF97" s="712">
        <f>(VLOOKUP(Sheet1!CY97,hhdcap_wcm,4)-(((VLOOKUP(Sheet1!CY97,hhdcap_wcm,3)-Sheet1!CY97)/(VLOOKUP(Sheet1!CY97,hhdcap_wcm,3)-VLOOKUP(Sheet1!CY97,hhdcap_wcm,1)))*(VLOOKUP(Sheet1!CY97,hhdcap_wcm,4)-VLOOKUP(Sheet1!CY97,hhdcap_wcm,2))))</f>
        <v>10237.750000019945</v>
      </c>
      <c r="DG97" s="712">
        <f t="shared" si="332"/>
        <v>383.39000000081614</v>
      </c>
      <c r="DH97" s="712">
        <f t="shared" si="333"/>
        <v>193.33837619809182</v>
      </c>
      <c r="DI97" s="712">
        <f>Sheet1!DW97*AFtoMG</f>
        <v>0</v>
      </c>
      <c r="DJ97" s="712">
        <f>Sheet1!DX97*AFtoMG</f>
        <v>0</v>
      </c>
      <c r="DK97" s="712">
        <f>Sheet1!DY97*AFtoMG</f>
        <v>0</v>
      </c>
      <c r="DL97" s="712">
        <f>Sheet1!DZ97*AFtoMG</f>
        <v>0</v>
      </c>
      <c r="DM97" s="712">
        <f t="shared" si="334"/>
        <v>0</v>
      </c>
      <c r="DN97" s="712">
        <f t="shared" si="335"/>
        <v>0</v>
      </c>
      <c r="DO97" s="712">
        <f t="shared" si="336"/>
        <v>1383.5779122412782</v>
      </c>
      <c r="DP97" s="712">
        <f t="shared" si="337"/>
        <v>4244.8170347562418</v>
      </c>
      <c r="DQ97" s="712"/>
      <c r="DR97" s="697">
        <f>IF(OR(B97&lt;FL97,B97&gt;FM97),(MIN(AV97+BO97+CJ97+MAX(Sheet1!AA97+AG97-73,0),K97)),0)</f>
        <v>8.8925639785899815</v>
      </c>
      <c r="DS97" s="712"/>
      <c r="DT97" s="712">
        <f t="shared" si="338"/>
        <v>8.8925639785899815</v>
      </c>
      <c r="DU97" s="712"/>
      <c r="DV97" s="712">
        <f>Sheet1!ED97+Sheet1!EE97+Sheet1!EF97+Sheet1!EG97</f>
        <v>8.5</v>
      </c>
      <c r="DW97" s="712"/>
      <c r="DX97" s="697">
        <f t="shared" si="376"/>
        <v>0</v>
      </c>
      <c r="DY97" s="712">
        <f>IF(Sheet1!FN97=1,SUM('Calculations II'!AT97:BA97)+'Calculations II'!BC97+Sheet1!BU97+'Calculations II'!BE97+AF97,SUM('Calculations II'!AT97:BA97)+'Calculations II'!BC97+Sheet1!BU97+'Calculations II'!BE97+AF97)</f>
        <v>47.555465314121037</v>
      </c>
      <c r="DZ97" s="712">
        <f>Sheet1!AA97+Sheet1!AB97+'Calculations II'!BC97</f>
        <v>56.270000000004075</v>
      </c>
      <c r="EA97" s="712"/>
      <c r="EB97" s="712"/>
      <c r="EC97" s="712">
        <f t="shared" si="339"/>
        <v>40626</v>
      </c>
      <c r="ED97" s="712">
        <f t="shared" si="340"/>
        <v>55.747436021410017</v>
      </c>
      <c r="EE97" s="712">
        <f t="shared" si="341"/>
        <v>86.24128352512129</v>
      </c>
      <c r="EF97" s="712">
        <f>-(VLOOKUP(Sheet1!BQ97,Lookup!$B$4:$J$236,2)-VLOOKUP(Sheet1!BQ96,Lookup!$B$4:$J$236,2))/1000000</f>
        <v>0.27050000000000002</v>
      </c>
      <c r="EG97" s="712">
        <f>-(VLOOKUP(Sheet1!BR97,Lookup!$B$4:$J$236,3)-VLOOKUP(Sheet1!BR96,Lookup!$B$4:$J$236,3))/1000000</f>
        <v>0.27</v>
      </c>
      <c r="EH97" s="712">
        <f>-(VLOOKUP(Sheet1!BS97,Lookup!$B$4:$J$236,4)-VLOOKUP(Sheet1!BS96,Lookup!$B$4:$J$236,4))/1000000</f>
        <v>0</v>
      </c>
      <c r="EI97" s="697">
        <f t="shared" si="380"/>
        <v>0.54049999999999998</v>
      </c>
      <c r="EJ97" s="712"/>
      <c r="EK97" s="712"/>
      <c r="EL97" s="712"/>
      <c r="EM97" s="712"/>
      <c r="EN97" s="712"/>
      <c r="EO97" s="712"/>
      <c r="EP97" s="712"/>
      <c r="EQ97" s="712"/>
      <c r="ER97" s="697">
        <v>0</v>
      </c>
      <c r="ES97" s="712"/>
      <c r="ET97" s="794" t="e">
        <f t="shared" si="342"/>
        <v>#N/A</v>
      </c>
      <c r="EU97" s="794" t="e">
        <f t="shared" si="363"/>
        <v>#VALUE!</v>
      </c>
      <c r="EV97" s="795" t="e">
        <f t="shared" si="364"/>
        <v>#VALUE!</v>
      </c>
      <c r="EW97" s="796" t="s">
        <v>757</v>
      </c>
      <c r="EX97" s="796" t="s">
        <v>757</v>
      </c>
      <c r="EY97" s="794">
        <v>0</v>
      </c>
      <c r="EZ97" s="794" t="e">
        <v>#N/A</v>
      </c>
      <c r="FA97" s="712"/>
      <c r="FB97" s="712"/>
      <c r="FC97" s="712"/>
      <c r="FD97" s="712"/>
      <c r="FE97" s="712">
        <f>O97+Sheet1!CO97</f>
        <v>56.270000000004075</v>
      </c>
      <c r="FF97" s="712">
        <f>IF(Sheet1!AA97+AG97&lt;=Calculation!N97,AG97,Calculation!N97-Sheet1!AA97)</f>
        <v>18.577436021411184</v>
      </c>
      <c r="FG97" s="712">
        <f>(Sheet1!BP97+Sheet1!BO97)/694.4</f>
        <v>2.1730990783410138</v>
      </c>
      <c r="FH97" s="712"/>
      <c r="FI97" s="712"/>
      <c r="FJ97" s="712"/>
      <c r="FK97" s="712"/>
      <c r="FL97" s="714">
        <f t="shared" si="381"/>
        <v>40753</v>
      </c>
      <c r="FM97" s="714">
        <f t="shared" si="382"/>
        <v>40851</v>
      </c>
      <c r="FN97" s="712"/>
      <c r="FO97" s="712"/>
      <c r="FP97" s="712"/>
      <c r="FQ97" s="712"/>
      <c r="FR97" s="712"/>
      <c r="FS97" s="725">
        <f t="shared" si="383"/>
        <v>40603</v>
      </c>
      <c r="FT97" s="714">
        <f t="shared" si="384"/>
        <v>40709</v>
      </c>
      <c r="FU97" s="712">
        <f t="shared" si="385"/>
        <v>6518.9048239895692</v>
      </c>
      <c r="FV97" s="714">
        <f t="shared" si="386"/>
        <v>40722</v>
      </c>
      <c r="FW97" s="712">
        <f t="shared" si="387"/>
        <v>3259.4524119947846</v>
      </c>
      <c r="FX97" s="725">
        <f t="shared" si="388"/>
        <v>40851</v>
      </c>
      <c r="FZ97" s="697">
        <f t="shared" si="365"/>
        <v>0</v>
      </c>
      <c r="GA97" s="712" t="str">
        <f t="shared" si="343"/>
        <v/>
      </c>
      <c r="GB97" s="712">
        <f t="shared" si="344"/>
        <v>0</v>
      </c>
      <c r="GC97" s="712" t="str">
        <f t="shared" si="345"/>
        <v/>
      </c>
      <c r="GD97" s="712">
        <f>IF(GA97="P",Lookup!$M$12,IF(GA97="PP",Lookup!$M$13,IF(GA97="PPP",Lookup!$M$14,IF(GA97="T",Lookup!$M$15,IF(GA97="TP",Lookup!$M$16,IF(GA97="TPP",Lookup!$M$17,IF(GA97="TPPP",Lookup!$M$18,0)))))))*FZ97</f>
        <v>0</v>
      </c>
      <c r="GE97" s="712">
        <f t="shared" si="346"/>
        <v>0</v>
      </c>
      <c r="GF97" s="712">
        <f t="shared" si="347"/>
        <v>1983.1551999999992</v>
      </c>
      <c r="GG97" s="712">
        <f t="shared" si="348"/>
        <v>646.39999999999975</v>
      </c>
      <c r="GH97" s="712"/>
      <c r="GI97" s="712">
        <f t="shared" si="349"/>
        <v>0</v>
      </c>
      <c r="GJ97" s="712" t="str">
        <f t="shared" si="350"/>
        <v/>
      </c>
      <c r="GK97" s="712">
        <f>IF(GA97="P",Lookup!$N$12,IF(GA97="PP",Lookup!$N$13,IF(GA97="PPP",Lookup!$N$14,IF(GA97="T",Lookup!$N$15,IF(GA97="TP",Lookup!$N$16,IF(GA97="TPP",Lookup!$N$17,IF(GA97="TPPP",Lookup!$N$18,0)))))))*FZ97</f>
        <v>0</v>
      </c>
      <c r="GL97" s="712">
        <f t="shared" si="351"/>
        <v>0</v>
      </c>
      <c r="GM97" s="712">
        <f t="shared" si="352"/>
        <v>925.47242666666659</v>
      </c>
      <c r="GN97" s="712">
        <f t="shared" si="353"/>
        <v>301.65333333333331</v>
      </c>
      <c r="GO97" s="712"/>
      <c r="GP97" s="712">
        <f t="shared" si="354"/>
        <v>0</v>
      </c>
      <c r="GQ97" s="712" t="str">
        <f t="shared" si="355"/>
        <v/>
      </c>
      <c r="GR97" s="712">
        <f>IF(GA97="P",Lookup!$N$12,IF(GA97="PP",Lookup!$N$13,IF(GA97="PPP",Lookup!$N$14,IF(GA97="T",Lookup!$N$15,IF(GA97="TP",Lookup!$N$16,IF(GA97="TPP",Lookup!$N$17,IF(GA97="TPPP",Lookup!$N$18,0)))))))*FZ97</f>
        <v>0</v>
      </c>
      <c r="GS97" s="697">
        <f t="shared" si="377"/>
        <v>0</v>
      </c>
      <c r="GT97" s="712">
        <f t="shared" si="356"/>
        <v>775.54463669840652</v>
      </c>
      <c r="GU97" s="712">
        <f t="shared" si="357"/>
        <v>252.78508366962402</v>
      </c>
      <c r="GV97" s="712"/>
      <c r="GW97" s="712">
        <f t="shared" si="358"/>
        <v>0</v>
      </c>
      <c r="GX97" s="712" t="str">
        <f t="shared" si="359"/>
        <v/>
      </c>
      <c r="GY97" s="712">
        <f>IF(GA97="P",Lookup!$N$12,IF(GA97="PP",Lookup!$N$13,IF(GA97="PPP",Lookup!$N$14,IF(GA97="T",Lookup!$N$15,IF(GA97="TP",Lookup!$N$16,IF(GA97="TPP",Lookup!$N$17,IF(GA97="TPPP",Lookup!$N$18,0)))))))*FZ97</f>
        <v>0</v>
      </c>
      <c r="GZ97" s="697">
        <f t="shared" si="378"/>
        <v>0</v>
      </c>
      <c r="HA97" s="712">
        <f t="shared" si="360"/>
        <v>560.64477139116889</v>
      </c>
      <c r="HB97" s="712">
        <f t="shared" si="361"/>
        <v>182.73949523832101</v>
      </c>
      <c r="HC97" s="712"/>
    </row>
    <row r="98" spans="1:211">
      <c r="A98" s="773" t="s">
        <v>8</v>
      </c>
      <c r="B98" s="708">
        <v>40627</v>
      </c>
      <c r="C98" s="719">
        <v>0.5</v>
      </c>
      <c r="D98" s="675">
        <f t="shared" si="366"/>
        <v>300</v>
      </c>
      <c r="E98" s="675">
        <f t="shared" si="367"/>
        <v>250</v>
      </c>
      <c r="F98" s="710">
        <v>250</v>
      </c>
      <c r="G98" s="712">
        <f>DH98+Sheet1!CV98</f>
        <v>980.16850731264481</v>
      </c>
      <c r="H98" s="712">
        <f t="shared" si="294"/>
        <v>366.61772312689357</v>
      </c>
      <c r="I98" s="711">
        <f>MAX(Sheet1!Z98-AJ98+(Sheet1!CW98-E98)*CFStoMGD,0)</f>
        <v>736.83596151408642</v>
      </c>
      <c r="J98" s="720">
        <f>IF(AND(B98&gt;=Calculation!FS98,B98&lt;=Calculation!FT98),IF(Sheet1!CX98&gt;=Calculation!D98,64.64,0),MAX(Sheet1!Z98-AJ98+(Sheet1!CX98-D98)*CFStoMGD,0))</f>
        <v>64.64</v>
      </c>
      <c r="K98" s="697">
        <f t="shared" si="368"/>
        <v>64.64</v>
      </c>
      <c r="L98" s="712">
        <f>Sheet1!AA98+Sheet1!AB98-Sheet1!L98+(Sheet1!CW98-F98)*CFStoMGD</f>
        <v>783.75933333333217</v>
      </c>
      <c r="M98" s="712">
        <f t="shared" si="295"/>
        <v>646.25254158943153</v>
      </c>
      <c r="N98" s="712">
        <f>IF(Sheet1!CW98&gt;=F98,MIN(73,MIN(MAX(L98,0),MAX(M98,0))),0)</f>
        <v>73</v>
      </c>
      <c r="O98" s="721">
        <f>Sheet1!AA98+Sheet1!AB98</f>
        <v>55.279999999998836</v>
      </c>
      <c r="P98" s="721">
        <f t="shared" si="296"/>
        <v>85.518159999998204</v>
      </c>
      <c r="Q98" s="712">
        <f>MIN(N98,Sheet1!AA98+AG98)</f>
        <v>46.493371819243968</v>
      </c>
      <c r="R98" s="712">
        <f t="shared" si="297"/>
        <v>8.7866281807548674</v>
      </c>
      <c r="S98" s="721">
        <f>Sheet1!Y98*MGDtoCFS</f>
        <v>45.388979999999997</v>
      </c>
      <c r="T98" s="721">
        <f>Sheet1!Z98*MGDtoCFS</f>
        <v>38.907049999999998</v>
      </c>
      <c r="U98" s="721">
        <f>Sheet1!AA98*MGDtoCFS</f>
        <v>45.945899999995497</v>
      </c>
      <c r="V98" s="721">
        <f>Sheet1!AB98*MGDtoCFS</f>
        <v>39.5722600000027</v>
      </c>
      <c r="W98" s="721">
        <f>Sheet1!L98*MGDtoCFS</f>
        <v>0</v>
      </c>
      <c r="X98" s="697">
        <f t="shared" si="369"/>
        <v>0</v>
      </c>
      <c r="Y98" s="712">
        <f t="shared" si="298"/>
        <v>0</v>
      </c>
      <c r="Z98" s="712">
        <f t="shared" si="299"/>
        <v>55.853371819245133</v>
      </c>
      <c r="AA98" s="712">
        <f t="shared" si="300"/>
        <v>86.405166204372222</v>
      </c>
      <c r="AB98" s="712">
        <f>(VLOOKUP(Sheet1!CY98,hhdcap_wcm,4)-(((VLOOKUP(Sheet1!CY98,hhdcap_wcm,3)-Sheet1!CY98)/(VLOOKUP(Sheet1!CY98,hhdcap_wcm,3)-VLOOKUP(Sheet1!CY98,hhdcap_wcm,1)))*(VLOOKUP(Sheet1!CY98,hhdcap_wcm,4)-VLOOKUP(Sheet1!CY98,hhdcap_wcm,2))))</f>
        <v>10684.16000002092</v>
      </c>
      <c r="AC98" s="712">
        <f t="shared" si="301"/>
        <v>446.41000000097483</v>
      </c>
      <c r="AD98" s="712">
        <f t="shared" si="370"/>
        <v>1439.431284060523</v>
      </c>
      <c r="AE98" s="712">
        <f t="shared" si="302"/>
        <v>4416.1751794976844</v>
      </c>
      <c r="AF98" s="712">
        <f>Sheet1!BA98+Sheet1!BB98+Sheet1!BN98+BT98</f>
        <v>16.360230547550433</v>
      </c>
      <c r="AG98" s="712">
        <f t="shared" si="303"/>
        <v>16.793371819246879</v>
      </c>
      <c r="AH98" s="712">
        <f>Sheet1!BA98+BT98</f>
        <v>0</v>
      </c>
      <c r="AI98" s="712">
        <f>Sheet1!BA98+Sheet1!BB98+BT98</f>
        <v>0.36023054755043221</v>
      </c>
      <c r="AJ98" s="712">
        <f>IF((Sheet1!AA98+AG98+AX98+AZ98+BQ98+BS98+CL98+CN98)&lt;=N98,AG98+AX98+AZ98+BQ98+BS98+CL98+CN98,N98-Sheet1!AA98)</f>
        <v>16.793371819246879</v>
      </c>
      <c r="AK98" s="712">
        <f>IF(DR98&lt;K98,0,MAX(Sheet1!AA98+AG98-15/36*K98-N98,Sheet1!ED98,0))</f>
        <v>0</v>
      </c>
      <c r="AL98" s="712">
        <f>IF(OR(B98&gt;=FT98,B98&lt;FS98),0,15/36*K98-MAX(0,64.6-(137.6-(Sheet1!AA98+Sheet1!AB98))))</f>
        <v>26.933333333333334</v>
      </c>
      <c r="AM98" s="712">
        <f>Sheet1!CX98-110</f>
        <v>608.22916666666663</v>
      </c>
      <c r="AN98" s="712">
        <f>Sheet1!CW98-265</f>
        <v>1111.9791666666667</v>
      </c>
      <c r="AO98" s="712">
        <f t="shared" si="371"/>
        <v>26.506628180756032</v>
      </c>
      <c r="AP98" s="712">
        <f t="shared" si="372"/>
        <v>0</v>
      </c>
      <c r="AQ98" s="712">
        <f t="shared" si="304"/>
        <v>0</v>
      </c>
      <c r="AR98" s="712">
        <f t="shared" si="305"/>
        <v>673.33333333333303</v>
      </c>
      <c r="AS98" s="712"/>
      <c r="AT98" s="712">
        <f ca="1">IF(B98&gt;Summary!$A$1,#N/A,AR98*MGtoAF)</f>
        <v>2065.786666666666</v>
      </c>
      <c r="AU98" s="712">
        <f>Sheet1!BG98+Sheet1!BH98+Sheet1!BI98-BC98</f>
        <v>0</v>
      </c>
      <c r="AV98" s="712">
        <f t="shared" si="306"/>
        <v>0</v>
      </c>
      <c r="AW98" s="712">
        <f>IF(Sheet1!EL98="FM",BC98,0)</f>
        <v>0</v>
      </c>
      <c r="AX98" s="712">
        <f t="shared" si="307"/>
        <v>0</v>
      </c>
      <c r="AY98" s="712">
        <f>IF(Sheet1!EL98="OTHER",BC98,0)</f>
        <v>0</v>
      </c>
      <c r="AZ98" s="712">
        <f t="shared" si="308"/>
        <v>0</v>
      </c>
      <c r="BA98" s="712">
        <f t="shared" si="309"/>
        <v>0</v>
      </c>
      <c r="BB98" s="712">
        <f t="shared" si="310"/>
        <v>0</v>
      </c>
      <c r="BC98" s="712">
        <f>IF(OR(Sheet1!EL98="FM", Sheet1!EL98="OTHER"),SUM(Sheet1!BG98:'Sheet1'!BI98),0)</f>
        <v>0</v>
      </c>
      <c r="BD98" s="697">
        <f>IF(AND($B98&gt;=$FL98,$B98&lt;=$FM98),MAX(AV98,Sheet1!EE98,0),MAX(AV98-(7/36)*$K98,0))</f>
        <v>0</v>
      </c>
      <c r="BE98" s="712">
        <f t="shared" si="311"/>
        <v>12.568888888888889</v>
      </c>
      <c r="BF98" s="697">
        <f t="shared" si="373"/>
        <v>0</v>
      </c>
      <c r="BG98" s="697">
        <f>IF(AND($O98&gt;0,Sheet1!EI98=1),(1-($O98-Sheet1!$L98)/$O98)*BB98,0)</f>
        <v>0</v>
      </c>
      <c r="BH98" s="697">
        <f>IF(AND(Sheet1!$L98=0,Sheet1!$L97=0, Calculation!BA98&lt;Sheet1!$EE98-0.1,Sheet1!$EE98=Sheet1!$EE97,Sheet1!$EE98=Sheet1!$EE99),Sheet1!$EE98,BB98-BG98)</f>
        <v>0</v>
      </c>
      <c r="BI98" s="712"/>
      <c r="BJ98" s="712"/>
      <c r="BK98" s="712">
        <f t="shared" si="312"/>
        <v>314.22222222222217</v>
      </c>
      <c r="BL98" s="712"/>
      <c r="BM98" s="712">
        <f ca="1">IF(B98&gt;Summary!$A$1,#N/A,BK98*MGtoAF)</f>
        <v>964.03377777777769</v>
      </c>
      <c r="BN98" s="712">
        <f>Sheet1!BC98+Sheet1!BD98+Sheet1!BE98+Sheet1!BF98-BW98-BX98</f>
        <v>2.52</v>
      </c>
      <c r="BO98" s="712">
        <f t="shared" si="313"/>
        <v>2.5867176419979288</v>
      </c>
      <c r="BP98" s="712">
        <f>IF(Sheet1!EM98="FM",BX98,0)</f>
        <v>0</v>
      </c>
      <c r="BQ98" s="712">
        <f t="shared" si="314"/>
        <v>0</v>
      </c>
      <c r="BR98" s="712">
        <f>IF(Sheet1!EM98="OTHER",BX98,0)</f>
        <v>0</v>
      </c>
      <c r="BS98" s="712">
        <f t="shared" si="315"/>
        <v>0</v>
      </c>
      <c r="BT98" s="712">
        <f t="shared" si="316"/>
        <v>0</v>
      </c>
      <c r="BU98" s="712">
        <f t="shared" si="317"/>
        <v>2.52</v>
      </c>
      <c r="BV98" s="712">
        <f t="shared" si="318"/>
        <v>2.5867176419979288</v>
      </c>
      <c r="BW98" s="712">
        <f>IF(Sheet1!EM98="CWA",SUM(Sheet1!BC98:'Sheet1'!BF98),0)</f>
        <v>0</v>
      </c>
      <c r="BX98" s="712">
        <f>IF(OR(Sheet1!EM98="FM", Sheet1!EM98="OTHER"),SUM(Sheet1!BC98:'Sheet1'!BF98),0)</f>
        <v>0</v>
      </c>
      <c r="BY98" s="697">
        <f>IF(AND($B98&gt;=$FL98,$B98&lt;=$FM98),MAX(BV98,Sheet1!EF98,0),MAX(BV98-(7/36)*$K98,0))</f>
        <v>0</v>
      </c>
      <c r="BZ98" s="712">
        <f t="shared" si="319"/>
        <v>9.9821712468909602</v>
      </c>
      <c r="CA98" s="697">
        <f t="shared" si="374"/>
        <v>2.5867176419979288</v>
      </c>
      <c r="CB98" s="697">
        <f>IF(AND($O98&gt;0,Sheet1!EJ98=1),(1-($O98-Sheet1!$L98)/$O98)*BV98,0)</f>
        <v>0</v>
      </c>
      <c r="CC98" s="697">
        <f>IF(AND(Sheet1!$L98=0,Sheet1!$L97=0, Calculation!BU98&lt;Sheet1!EF98-0.1,Sheet1!EF98=Sheet1!EF97,Sheet1!EF98=Sheet1!EF99),Sheet1!EF98,BV98-CB98)</f>
        <v>2.5867176419979288</v>
      </c>
      <c r="CD98" s="697"/>
      <c r="CE98" s="712"/>
      <c r="CF98" s="712">
        <f t="shared" si="320"/>
        <v>262.76725491651496</v>
      </c>
      <c r="CG98" s="712"/>
      <c r="CH98" s="712">
        <f ca="1">IF(B98&gt;Summary!$A$1,#N/A,CF98*MGtoAF)</f>
        <v>806.16993808386792</v>
      </c>
      <c r="CI98" s="712">
        <f>Sheet1!BK98+Sheet1!BL98+Sheet1!BM98-Sheet1!EN98-CQ98</f>
        <v>6.04</v>
      </c>
      <c r="CJ98" s="712">
        <f t="shared" si="321"/>
        <v>6.1999105387569395</v>
      </c>
      <c r="CK98" s="712">
        <f>IF(Sheet1!EN98="FM",CQ98,0)</f>
        <v>0</v>
      </c>
      <c r="CL98" s="712">
        <f t="shared" si="322"/>
        <v>0</v>
      </c>
      <c r="CM98" s="712">
        <f>IF(Sheet1!EN98="OTHER",CQ98,0)</f>
        <v>0</v>
      </c>
      <c r="CN98" s="712">
        <f t="shared" si="323"/>
        <v>0</v>
      </c>
      <c r="CO98" s="712">
        <f t="shared" si="324"/>
        <v>6.04</v>
      </c>
      <c r="CP98" s="712">
        <f t="shared" si="325"/>
        <v>6.1999105387569395</v>
      </c>
      <c r="CQ98" s="712">
        <f>IF(OR(Sheet1!EN98="FM", Sheet1!EN98="OTHER"),SUM(Sheet1!BK98:'Sheet1'!BM98),0)</f>
        <v>0</v>
      </c>
      <c r="CR98" s="697">
        <f>IF(AND($B98&gt;=$FL98,$B98&lt;=$FM98),MAX($CJ98,Sheet1!EG98,0),MAX($CJ98-(7/36)*$K98,0))</f>
        <v>0</v>
      </c>
      <c r="CS98" s="712">
        <f t="shared" si="326"/>
        <v>6.3689783501319495</v>
      </c>
      <c r="CT98" s="697">
        <f t="shared" si="375"/>
        <v>6.1999105387569395</v>
      </c>
      <c r="CU98" s="697">
        <f>IF(AND($O98&gt;0,Sheet1!EK98=1),(1-($O98-Sheet1!$L98)/$O98)*CP98,0)</f>
        <v>0</v>
      </c>
      <c r="CV98" s="697">
        <f>IF(AND(Sheet1!$L98=0,Sheet1!$L97=0, Calculation!CO98&lt;Sheet1!$EG98-0.1,Sheet1!$EG98=Sheet1!$EG97,Sheet1!$EG98=Sheet1!$EG99),Sheet1!$EG98,CP98-CU98)</f>
        <v>6.1999105387569395</v>
      </c>
      <c r="CW98" s="697">
        <f t="shared" si="362"/>
        <v>0</v>
      </c>
      <c r="CX98" s="712">
        <f t="shared" si="379"/>
        <v>8.56</v>
      </c>
      <c r="CY98" s="712">
        <f t="shared" si="327"/>
        <v>189.10847358845297</v>
      </c>
      <c r="CZ98" s="712">
        <f t="shared" si="328"/>
        <v>8.7866281807548674</v>
      </c>
      <c r="DA98" s="712">
        <f ca="1">IF(B98&gt;Summary!$A$1,#N/A,CY98*MGtoAF)</f>
        <v>580.18479696937368</v>
      </c>
      <c r="DB98" s="712">
        <f t="shared" si="329"/>
        <v>8.56</v>
      </c>
      <c r="DC98" s="712">
        <f t="shared" si="330"/>
        <v>24.920230547550432</v>
      </c>
      <c r="DD98" s="712">
        <f>Sheet1!AB98-DC98</f>
        <v>0.65976945245131446</v>
      </c>
      <c r="DE98" s="712">
        <f t="shared" si="331"/>
        <v>2.6475254761082756E-2</v>
      </c>
      <c r="DF98" s="712">
        <f>(VLOOKUP(Sheet1!CY98,hhdcap_wcm,4)-(((VLOOKUP(Sheet1!CY98,hhdcap_wcm,3)-Sheet1!CY98)/(VLOOKUP(Sheet1!CY98,hhdcap_wcm,3)-VLOOKUP(Sheet1!CY98,hhdcap_wcm,1)))*(VLOOKUP(Sheet1!CY98,hhdcap_wcm,4)-VLOOKUP(Sheet1!CY98,hhdcap_wcm,2))))</f>
        <v>10684.16000002092</v>
      </c>
      <c r="DG98" s="712">
        <f t="shared" si="332"/>
        <v>446.41000000097483</v>
      </c>
      <c r="DH98" s="712">
        <f t="shared" si="333"/>
        <v>225.11850731264488</v>
      </c>
      <c r="DI98" s="712">
        <f>Sheet1!DW98*AFtoMG</f>
        <v>0</v>
      </c>
      <c r="DJ98" s="712">
        <f>Sheet1!DX98*AFtoMG</f>
        <v>0</v>
      </c>
      <c r="DK98" s="712">
        <f>Sheet1!DY98*AFtoMG</f>
        <v>0</v>
      </c>
      <c r="DL98" s="712">
        <f>Sheet1!DZ98*AFtoMG</f>
        <v>0</v>
      </c>
      <c r="DM98" s="712">
        <f t="shared" si="334"/>
        <v>0</v>
      </c>
      <c r="DN98" s="712">
        <f t="shared" si="335"/>
        <v>0</v>
      </c>
      <c r="DO98" s="712">
        <f t="shared" si="336"/>
        <v>1439.431284060523</v>
      </c>
      <c r="DP98" s="712">
        <f t="shared" si="337"/>
        <v>4416.1751794976844</v>
      </c>
      <c r="DQ98" s="712"/>
      <c r="DR98" s="697">
        <f>IF(OR(B98&lt;FL98,B98&gt;FM98),(MIN(AV98+BO98+CJ98+MAX(Sheet1!AA98+AG98-73,0),K98)),0)</f>
        <v>8.7866281807548674</v>
      </c>
      <c r="DS98" s="712"/>
      <c r="DT98" s="712">
        <f t="shared" si="338"/>
        <v>8.7866281807548674</v>
      </c>
      <c r="DU98" s="712"/>
      <c r="DV98" s="712">
        <f>Sheet1!ED98+Sheet1!EE98+Sheet1!EF98+Sheet1!EG98</f>
        <v>8.5</v>
      </c>
      <c r="DW98" s="712"/>
      <c r="DX98" s="697">
        <f t="shared" si="376"/>
        <v>0</v>
      </c>
      <c r="DY98" s="712">
        <f>IF(Sheet1!FN98=1,SUM('Calculations II'!AT98:BA98)+'Calculations II'!BC98+Sheet1!BU98+'Calculations II'!BE98+AF98,SUM('Calculations II'!AT98:BA98)+'Calculations II'!BC98+Sheet1!BU98+'Calculations II'!BE98+AF98)</f>
        <v>44.438310547550437</v>
      </c>
      <c r="DZ98" s="712">
        <f>Sheet1!AA98+Sheet1!AB98+'Calculations II'!BC98</f>
        <v>55.279999999998836</v>
      </c>
      <c r="EA98" s="712"/>
      <c r="EB98" s="712"/>
      <c r="EC98" s="712">
        <f t="shared" si="339"/>
        <v>40627</v>
      </c>
      <c r="ED98" s="712">
        <f t="shared" si="340"/>
        <v>55.853371819245133</v>
      </c>
      <c r="EE98" s="712">
        <f t="shared" si="341"/>
        <v>86.405166204372222</v>
      </c>
      <c r="EF98" s="712">
        <f>-(VLOOKUP(Sheet1!BQ98,Lookup!$B$4:$J$236,2)-VLOOKUP(Sheet1!BQ97,Lookup!$B$4:$J$236,2))/1000000</f>
        <v>0.27050000000000002</v>
      </c>
      <c r="EG98" s="712">
        <f>-(VLOOKUP(Sheet1!BR98,Lookup!$B$4:$J$236,3)-VLOOKUP(Sheet1!BR97,Lookup!$B$4:$J$236,3))/1000000</f>
        <v>0.27</v>
      </c>
      <c r="EH98" s="712">
        <f>-(VLOOKUP(Sheet1!BS98,Lookup!$B$4:$J$236,4)-VLOOKUP(Sheet1!BS97,Lookup!$B$4:$J$236,4))/1000000</f>
        <v>0</v>
      </c>
      <c r="EI98" s="697">
        <f t="shared" si="380"/>
        <v>0.54049999999999998</v>
      </c>
      <c r="EJ98" s="712"/>
      <c r="EK98" s="712"/>
      <c r="EL98" s="712"/>
      <c r="EM98" s="712"/>
      <c r="EN98" s="712"/>
      <c r="EO98" s="712"/>
      <c r="EP98" s="712"/>
      <c r="EQ98" s="712"/>
      <c r="ER98" s="697">
        <v>0</v>
      </c>
      <c r="ES98" s="712"/>
      <c r="ET98" s="794" t="e">
        <f t="shared" si="342"/>
        <v>#N/A</v>
      </c>
      <c r="EU98" s="794" t="e">
        <f t="shared" si="363"/>
        <v>#VALUE!</v>
      </c>
      <c r="EV98" s="795" t="e">
        <f t="shared" si="364"/>
        <v>#VALUE!</v>
      </c>
      <c r="EW98" s="796" t="s">
        <v>757</v>
      </c>
      <c r="EX98" s="796" t="s">
        <v>757</v>
      </c>
      <c r="EY98" s="794">
        <v>0</v>
      </c>
      <c r="EZ98" s="794" t="e">
        <v>#N/A</v>
      </c>
      <c r="FA98" s="712"/>
      <c r="FB98" s="712"/>
      <c r="FC98" s="712"/>
      <c r="FD98" s="712"/>
      <c r="FE98" s="712">
        <f>O98+Sheet1!CO98</f>
        <v>55.279999999998836</v>
      </c>
      <c r="FF98" s="712">
        <f>IF(Sheet1!AA98+AG98&lt;=Calculation!N98,AG98,Calculation!N98-Sheet1!AA98)</f>
        <v>16.793371819246879</v>
      </c>
      <c r="FG98" s="712">
        <f>(Sheet1!BP98+Sheet1!BO98)/694.4</f>
        <v>1.6736751152073734</v>
      </c>
      <c r="FH98" s="712"/>
      <c r="FI98" s="712"/>
      <c r="FJ98" s="712"/>
      <c r="FK98" s="712"/>
      <c r="FL98" s="714">
        <f t="shared" si="381"/>
        <v>40753</v>
      </c>
      <c r="FM98" s="714">
        <f t="shared" si="382"/>
        <v>40851</v>
      </c>
      <c r="FN98" s="712"/>
      <c r="FO98" s="712"/>
      <c r="FP98" s="712"/>
      <c r="FQ98" s="712"/>
      <c r="FR98" s="712"/>
      <c r="FS98" s="725">
        <f t="shared" si="383"/>
        <v>40603</v>
      </c>
      <c r="FT98" s="714">
        <f t="shared" si="384"/>
        <v>40709</v>
      </c>
      <c r="FU98" s="712">
        <f t="shared" si="385"/>
        <v>6518.9048239895692</v>
      </c>
      <c r="FV98" s="714">
        <f t="shared" si="386"/>
        <v>40722</v>
      </c>
      <c r="FW98" s="712">
        <f t="shared" si="387"/>
        <v>3259.4524119947846</v>
      </c>
      <c r="FX98" s="725">
        <f t="shared" si="388"/>
        <v>40851</v>
      </c>
      <c r="FZ98" s="697">
        <f t="shared" si="365"/>
        <v>0</v>
      </c>
      <c r="GA98" s="712" t="str">
        <f t="shared" si="343"/>
        <v/>
      </c>
      <c r="GB98" s="712">
        <f t="shared" si="344"/>
        <v>0</v>
      </c>
      <c r="GC98" s="712" t="str">
        <f t="shared" si="345"/>
        <v/>
      </c>
      <c r="GD98" s="712">
        <f>IF(GA98="P",Lookup!$M$12,IF(GA98="PP",Lookup!$M$13,IF(GA98="PPP",Lookup!$M$14,IF(GA98="T",Lookup!$M$15,IF(GA98="TP",Lookup!$M$16,IF(GA98="TPP",Lookup!$M$17,IF(GA98="TPPP",Lookup!$M$18,0)))))))*FZ98</f>
        <v>0</v>
      </c>
      <c r="GE98" s="712">
        <f t="shared" si="346"/>
        <v>0</v>
      </c>
      <c r="GF98" s="712">
        <f t="shared" si="347"/>
        <v>2065.786666666666</v>
      </c>
      <c r="GG98" s="712">
        <f t="shared" si="348"/>
        <v>673.33333333333303</v>
      </c>
      <c r="GH98" s="712"/>
      <c r="GI98" s="712">
        <f t="shared" si="349"/>
        <v>0</v>
      </c>
      <c r="GJ98" s="712" t="str">
        <f t="shared" si="350"/>
        <v/>
      </c>
      <c r="GK98" s="712">
        <f>IF(GA98="P",Lookup!$N$12,IF(GA98="PP",Lookup!$N$13,IF(GA98="PPP",Lookup!$N$14,IF(GA98="T",Lookup!$N$15,IF(GA98="TP",Lookup!$N$16,IF(GA98="TPP",Lookup!$N$17,IF(GA98="TPPP",Lookup!$N$18,0)))))))*FZ98</f>
        <v>0</v>
      </c>
      <c r="GL98" s="712">
        <f t="shared" si="351"/>
        <v>0</v>
      </c>
      <c r="GM98" s="712">
        <f t="shared" si="352"/>
        <v>964.03377777777769</v>
      </c>
      <c r="GN98" s="712">
        <f t="shared" si="353"/>
        <v>314.22222222222217</v>
      </c>
      <c r="GO98" s="712"/>
      <c r="GP98" s="712">
        <f t="shared" si="354"/>
        <v>0</v>
      </c>
      <c r="GQ98" s="712" t="str">
        <f t="shared" si="355"/>
        <v/>
      </c>
      <c r="GR98" s="712">
        <f>IF(GA98="P",Lookup!$N$12,IF(GA98="PP",Lookup!$N$13,IF(GA98="PPP",Lookup!$N$14,IF(GA98="T",Lookup!$N$15,IF(GA98="TP",Lookup!$N$16,IF(GA98="TPP",Lookup!$N$17,IF(GA98="TPPP",Lookup!$N$18,0)))))))*FZ98</f>
        <v>0</v>
      </c>
      <c r="GS98" s="697">
        <f t="shared" si="377"/>
        <v>0</v>
      </c>
      <c r="GT98" s="712">
        <f t="shared" si="356"/>
        <v>806.16993808386792</v>
      </c>
      <c r="GU98" s="712">
        <f t="shared" si="357"/>
        <v>262.76725491651496</v>
      </c>
      <c r="GV98" s="712"/>
      <c r="GW98" s="712">
        <f t="shared" si="358"/>
        <v>0</v>
      </c>
      <c r="GX98" s="712" t="str">
        <f t="shared" si="359"/>
        <v/>
      </c>
      <c r="GY98" s="712">
        <f>IF(GA98="P",Lookup!$N$12,IF(GA98="PP",Lookup!$N$13,IF(GA98="PPP",Lookup!$N$14,IF(GA98="T",Lookup!$N$15,IF(GA98="TP",Lookup!$N$16,IF(GA98="TPP",Lookup!$N$17,IF(GA98="TPPP",Lookup!$N$18,0)))))))*FZ98</f>
        <v>0</v>
      </c>
      <c r="GZ98" s="697">
        <f t="shared" si="378"/>
        <v>0</v>
      </c>
      <c r="HA98" s="712">
        <f t="shared" si="360"/>
        <v>580.18479696937368</v>
      </c>
      <c r="HB98" s="712">
        <f t="shared" si="361"/>
        <v>189.10847358845297</v>
      </c>
      <c r="HC98" s="712"/>
    </row>
    <row r="99" spans="1:211">
      <c r="A99" s="773" t="s">
        <v>9</v>
      </c>
      <c r="B99" s="708">
        <v>40628</v>
      </c>
      <c r="C99" s="709">
        <v>0.5</v>
      </c>
      <c r="D99" s="675">
        <f t="shared" si="366"/>
        <v>300</v>
      </c>
      <c r="E99" s="675">
        <f t="shared" si="367"/>
        <v>250</v>
      </c>
      <c r="F99" s="675">
        <v>250</v>
      </c>
      <c r="G99" s="712">
        <f>DH99+Sheet1!CV99</f>
        <v>999.62834089797275</v>
      </c>
      <c r="H99" s="712">
        <f t="shared" si="294"/>
        <v>379.19655955644959</v>
      </c>
      <c r="I99" s="711">
        <f>MAX(Sheet1!Z99-AJ99+(Sheet1!CW99-E99)*CFStoMGD,0)</f>
        <v>847.64084451586973</v>
      </c>
      <c r="J99" s="720">
        <f>IF(AND(B99&gt;=Calculation!FS99,B99&lt;=Calculation!FT99),IF(Sheet1!CX99&gt;=Calculation!D99,64.64,0),MAX(Sheet1!Z99-AJ99+(Sheet1!CX99-D99)*CFStoMGD,0))</f>
        <v>64.64</v>
      </c>
      <c r="K99" s="697">
        <f t="shared" si="368"/>
        <v>64.64</v>
      </c>
      <c r="L99" s="712">
        <f>Sheet1!AA99+Sheet1!AB99-Sheet1!L99+(Sheet1!CW99-F99)*CFStoMGD</f>
        <v>891.09799999999996</v>
      </c>
      <c r="M99" s="712">
        <f t="shared" si="295"/>
        <v>659.08295474757858</v>
      </c>
      <c r="N99" s="712">
        <f>IF(Sheet1!CW99&gt;=F99,MIN(73,MIN(MAX(L99,0),MAX(M99,0))),0)</f>
        <v>73</v>
      </c>
      <c r="O99" s="721">
        <f>Sheet1!AA99+Sheet1!AB99</f>
        <v>53</v>
      </c>
      <c r="P99" s="721">
        <f t="shared" si="296"/>
        <v>81.991</v>
      </c>
      <c r="Q99" s="712">
        <f>MIN(N99,Sheet1!AA99+AG99)</f>
        <v>44.717155484130174</v>
      </c>
      <c r="R99" s="712">
        <f t="shared" si="297"/>
        <v>8.2828445158698276</v>
      </c>
      <c r="S99" s="721">
        <f>Sheet1!Y99*MGDtoCFS</f>
        <v>45.992309999999996</v>
      </c>
      <c r="T99" s="721">
        <f>Sheet1!Z99*MGDtoCFS</f>
        <v>39.077220000000004</v>
      </c>
      <c r="U99" s="721">
        <f>Sheet1!AA99*MGDtoCFS</f>
        <v>44.863</v>
      </c>
      <c r="V99" s="721">
        <f>Sheet1!AB99*MGDtoCFS</f>
        <v>37.128</v>
      </c>
      <c r="W99" s="721">
        <f>Sheet1!L99*MGDtoCFS</f>
        <v>0</v>
      </c>
      <c r="X99" s="697">
        <f t="shared" si="369"/>
        <v>0</v>
      </c>
      <c r="Y99" s="712">
        <f t="shared" si="298"/>
        <v>0</v>
      </c>
      <c r="Z99" s="712">
        <f t="shared" si="299"/>
        <v>56.357155484130175</v>
      </c>
      <c r="AA99" s="712">
        <f t="shared" si="300"/>
        <v>87.18451953394937</v>
      </c>
      <c r="AB99" s="712">
        <f>(VLOOKUP(Sheet1!CY99,hhdcap_wcm,4)-(((VLOOKUP(Sheet1!CY99,hhdcap_wcm,3)-Sheet1!CY99)/(VLOOKUP(Sheet1!CY99,hhdcap_wcm,3)-VLOOKUP(Sheet1!CY99,hhdcap_wcm,1)))*(VLOOKUP(Sheet1!CY99,hhdcap_wcm,4)-VLOOKUP(Sheet1!CY99,hhdcap_wcm,2))))</f>
        <v>10919.4000000216</v>
      </c>
      <c r="AC99" s="712">
        <f t="shared" si="301"/>
        <v>235.24000000068008</v>
      </c>
      <c r="AD99" s="712">
        <f t="shared" si="370"/>
        <v>1495.7884395446531</v>
      </c>
      <c r="AE99" s="712">
        <f t="shared" si="302"/>
        <v>4589.0789325229962</v>
      </c>
      <c r="AF99" s="712">
        <f>Sheet1!BA99+Sheet1!BB99+Sheet1!BN99+BT99</f>
        <v>16.3</v>
      </c>
      <c r="AG99" s="712">
        <f t="shared" si="303"/>
        <v>15.717155484130172</v>
      </c>
      <c r="AH99" s="712">
        <f>Sheet1!BA99+BT99</f>
        <v>0</v>
      </c>
      <c r="AI99" s="712">
        <f>Sheet1!BA99+Sheet1!BB99+BT99</f>
        <v>0</v>
      </c>
      <c r="AJ99" s="712">
        <f>IF((Sheet1!AA99+AG99+AX99+AZ99+BQ99+BS99+CL99+CN99)&lt;=N99,AG99+AX99+AZ99+BQ99+BS99+CL99+CN99,N99-Sheet1!AA99)</f>
        <v>15.717155484130172</v>
      </c>
      <c r="AK99" s="712">
        <f>IF(DR99&lt;K99,0,MAX(Sheet1!AA99+AG99-15/36*K99-N99,Sheet1!ED99,0))</f>
        <v>0</v>
      </c>
      <c r="AL99" s="712">
        <f>IF(OR(B99&gt;=FT99,B99&lt;FS99),0,15/36*K99-MAX(0,64.6-(137.6-(Sheet1!AA99+Sheet1!AB99))))</f>
        <v>26.933333333333334</v>
      </c>
      <c r="AM99" s="712">
        <f>Sheet1!CX99-110</f>
        <v>719.04166666666663</v>
      </c>
      <c r="AN99" s="712">
        <f>Sheet1!CW99-265</f>
        <v>1281.5625</v>
      </c>
      <c r="AO99" s="712">
        <f t="shared" si="371"/>
        <v>28.282844515869826</v>
      </c>
      <c r="AP99" s="712">
        <f t="shared" si="372"/>
        <v>0</v>
      </c>
      <c r="AQ99" s="712">
        <f t="shared" si="304"/>
        <v>0</v>
      </c>
      <c r="AR99" s="712">
        <f t="shared" si="305"/>
        <v>700.26666666666631</v>
      </c>
      <c r="AS99" s="712"/>
      <c r="AT99" s="712">
        <f ca="1">IF(B99&gt;Summary!$A$1,#N/A,AR99*MGtoAF)</f>
        <v>2148.4181333333322</v>
      </c>
      <c r="AU99" s="712">
        <f>Sheet1!BG99+Sheet1!BH99+Sheet1!BI99-BC99</f>
        <v>0</v>
      </c>
      <c r="AV99" s="712">
        <f t="shared" si="306"/>
        <v>0</v>
      </c>
      <c r="AW99" s="712">
        <f>IF(Sheet1!EL99="FM",BC99,0)</f>
        <v>0</v>
      </c>
      <c r="AX99" s="712">
        <f t="shared" si="307"/>
        <v>0</v>
      </c>
      <c r="AY99" s="712">
        <f>IF(Sheet1!EL99="OTHER",BC99,0)</f>
        <v>0</v>
      </c>
      <c r="AZ99" s="712">
        <f t="shared" si="308"/>
        <v>0</v>
      </c>
      <c r="BA99" s="712">
        <f t="shared" si="309"/>
        <v>0</v>
      </c>
      <c r="BB99" s="712">
        <f t="shared" si="310"/>
        <v>0</v>
      </c>
      <c r="BC99" s="712">
        <f>IF(OR(Sheet1!EL99="FM", Sheet1!EL99="OTHER"),SUM(Sheet1!BG99:'Sheet1'!BI99),0)</f>
        <v>0</v>
      </c>
      <c r="BD99" s="697">
        <f>IF(AND($B99&gt;=$FL99,$B99&lt;=$FM99),MAX(AV99,Sheet1!EE99,0),MAX(AV99-(7/36)*$K99,0))</f>
        <v>0</v>
      </c>
      <c r="BE99" s="712">
        <f t="shared" si="311"/>
        <v>12.568888888888889</v>
      </c>
      <c r="BF99" s="697">
        <f t="shared" si="373"/>
        <v>0</v>
      </c>
      <c r="BG99" s="697">
        <f>IF(AND($O99&gt;0,Sheet1!EI99=1),(1-($O99-Sheet1!$L99)/$O99)*BB99,0)</f>
        <v>0</v>
      </c>
      <c r="BH99" s="697">
        <f>IF(AND(Sheet1!$L99=0,Sheet1!$L98=0, Calculation!BA99&lt;Sheet1!$EE99-0.1,Sheet1!$EE99=Sheet1!$EE98,Sheet1!$EE99=Sheet1!$EE100),Sheet1!$EE99,BB99-BG99)</f>
        <v>0</v>
      </c>
      <c r="BI99" s="712"/>
      <c r="BJ99" s="712"/>
      <c r="BK99" s="712">
        <f t="shared" si="312"/>
        <v>326.79111111111104</v>
      </c>
      <c r="BL99" s="712"/>
      <c r="BM99" s="712">
        <f ca="1">IF(B99&gt;Summary!$A$1,#N/A,BK99*MGtoAF)</f>
        <v>1002.5951288888887</v>
      </c>
      <c r="BN99" s="712">
        <f>Sheet1!BC99+Sheet1!BD99+Sheet1!BE99+Sheet1!BF99-BW99-BX99</f>
        <v>2.5499999999999998</v>
      </c>
      <c r="BO99" s="712">
        <f t="shared" si="313"/>
        <v>2.4588188027320208</v>
      </c>
      <c r="BP99" s="712">
        <f>IF(Sheet1!EM99="FM",BX99,0)</f>
        <v>0</v>
      </c>
      <c r="BQ99" s="712">
        <f t="shared" si="314"/>
        <v>0</v>
      </c>
      <c r="BR99" s="712">
        <f>IF(Sheet1!EM99="OTHER",BX99,0)</f>
        <v>0</v>
      </c>
      <c r="BS99" s="712">
        <f t="shared" si="315"/>
        <v>0</v>
      </c>
      <c r="BT99" s="712">
        <f t="shared" si="316"/>
        <v>0</v>
      </c>
      <c r="BU99" s="712">
        <f t="shared" si="317"/>
        <v>2.5499999999999998</v>
      </c>
      <c r="BV99" s="712">
        <f t="shared" si="318"/>
        <v>2.4588188027320208</v>
      </c>
      <c r="BW99" s="712">
        <f>IF(Sheet1!EM99="CWA",SUM(Sheet1!BC99:'Sheet1'!BF99),0)</f>
        <v>0</v>
      </c>
      <c r="BX99" s="712">
        <f>IF(OR(Sheet1!EM99="FM", Sheet1!EM99="OTHER"),SUM(Sheet1!BC99:'Sheet1'!BF99),0)</f>
        <v>0</v>
      </c>
      <c r="BY99" s="697">
        <f>IF(AND($B99&gt;=$FL99,$B99&lt;=$FM99),MAX(BV99,Sheet1!EF99,0),MAX(BV99-(7/36)*$K99,0))</f>
        <v>0</v>
      </c>
      <c r="BZ99" s="712">
        <f t="shared" si="319"/>
        <v>10.110070086156869</v>
      </c>
      <c r="CA99" s="697">
        <f t="shared" si="374"/>
        <v>2.4588188027320208</v>
      </c>
      <c r="CB99" s="697">
        <f>IF(AND($O99&gt;0,Sheet1!EJ99=1),(1-($O99-Sheet1!$L99)/$O99)*BV99,0)</f>
        <v>0</v>
      </c>
      <c r="CC99" s="697">
        <f>IF(AND(Sheet1!$L99=0,Sheet1!$L98=0, Calculation!BU99&lt;Sheet1!EF99-0.1,Sheet1!EF99=Sheet1!EF98,Sheet1!EF99=Sheet1!EF100),Sheet1!EF99,BV99-CB99)</f>
        <v>2.4588188027320208</v>
      </c>
      <c r="CD99" s="697"/>
      <c r="CE99" s="712"/>
      <c r="CF99" s="712">
        <f t="shared" si="320"/>
        <v>272.87732500267185</v>
      </c>
      <c r="CG99" s="712"/>
      <c r="CH99" s="712">
        <f ca="1">IF(B99&gt;Summary!$A$1,#N/A,CF99*MGtoAF)</f>
        <v>837.18763310819725</v>
      </c>
      <c r="CI99" s="712">
        <f>Sheet1!BK99+Sheet1!BL99+Sheet1!BM99-Sheet1!EN99-CQ99</f>
        <v>6.04</v>
      </c>
      <c r="CJ99" s="712">
        <f t="shared" si="321"/>
        <v>5.8240257131378064</v>
      </c>
      <c r="CK99" s="712">
        <f>IF(Sheet1!EN99="FM",CQ99,0)</f>
        <v>0</v>
      </c>
      <c r="CL99" s="712">
        <f t="shared" si="322"/>
        <v>0</v>
      </c>
      <c r="CM99" s="712">
        <f>IF(Sheet1!EN99="OTHER",CQ99,0)</f>
        <v>0</v>
      </c>
      <c r="CN99" s="712">
        <f t="shared" si="323"/>
        <v>0</v>
      </c>
      <c r="CO99" s="712">
        <f t="shared" si="324"/>
        <v>6.04</v>
      </c>
      <c r="CP99" s="712">
        <f t="shared" si="325"/>
        <v>5.8240257131378064</v>
      </c>
      <c r="CQ99" s="712">
        <f>IF(OR(Sheet1!EN99="FM", Sheet1!EN99="OTHER"),SUM(Sheet1!BK99:'Sheet1'!BM99),0)</f>
        <v>0</v>
      </c>
      <c r="CR99" s="697">
        <f>IF(AND($B99&gt;=$FL99,$B99&lt;=$FM99),MAX($CJ99,Sheet1!EG99,0),MAX($CJ99-(7/36)*$K99,0))</f>
        <v>0</v>
      </c>
      <c r="CS99" s="712">
        <f t="shared" si="326"/>
        <v>6.7448631757510826</v>
      </c>
      <c r="CT99" s="697">
        <f t="shared" si="375"/>
        <v>5.8240257131378064</v>
      </c>
      <c r="CU99" s="697">
        <f>IF(AND($O99&gt;0,Sheet1!EK99=1),(1-($O99-Sheet1!$L99)/$O99)*CP99,0)</f>
        <v>0</v>
      </c>
      <c r="CV99" s="697">
        <f>IF(AND(Sheet1!$L99=0,Sheet1!$L98=0, Calculation!CO99&lt;Sheet1!$EG99-0.1,Sheet1!$EG99=Sheet1!$EG98,Sheet1!$EG99=Sheet1!$EG100),Sheet1!$EG99,CP99-CU99)</f>
        <v>5.8240257131378064</v>
      </c>
      <c r="CW99" s="697">
        <f t="shared" si="362"/>
        <v>0</v>
      </c>
      <c r="CX99" s="712">
        <f t="shared" si="379"/>
        <v>8.59</v>
      </c>
      <c r="CY99" s="712">
        <f t="shared" si="327"/>
        <v>195.85333676420404</v>
      </c>
      <c r="CZ99" s="712">
        <f t="shared" si="328"/>
        <v>8.2828445158698276</v>
      </c>
      <c r="DA99" s="712">
        <f ca="1">IF(B99&gt;Summary!$A$1,#N/A,CY99*MGtoAF)</f>
        <v>600.87803719257806</v>
      </c>
      <c r="DB99" s="712">
        <f t="shared" si="329"/>
        <v>8.59</v>
      </c>
      <c r="DC99" s="712">
        <f t="shared" si="330"/>
        <v>24.89</v>
      </c>
      <c r="DD99" s="712">
        <f>Sheet1!AB99-DC99</f>
        <v>-0.89000000000000057</v>
      </c>
      <c r="DE99" s="712">
        <f t="shared" si="331"/>
        <v>-3.5757332261952615E-2</v>
      </c>
      <c r="DF99" s="712">
        <f>(VLOOKUP(Sheet1!CY99,hhdcap_wcm,4)-(((VLOOKUP(Sheet1!CY99,hhdcap_wcm,3)-Sheet1!CY99)/(VLOOKUP(Sheet1!CY99,hhdcap_wcm,3)-VLOOKUP(Sheet1!CY99,hhdcap_wcm,1)))*(VLOOKUP(Sheet1!CY99,hhdcap_wcm,4)-VLOOKUP(Sheet1!CY99,hhdcap_wcm,2))))</f>
        <v>10919.4000000216</v>
      </c>
      <c r="DG99" s="712">
        <f t="shared" si="332"/>
        <v>235.24000000068008</v>
      </c>
      <c r="DH99" s="712">
        <f t="shared" si="333"/>
        <v>118.62834089797279</v>
      </c>
      <c r="DI99" s="712">
        <f>Sheet1!DW99*AFtoMG</f>
        <v>0</v>
      </c>
      <c r="DJ99" s="712">
        <f>Sheet1!DX99*AFtoMG</f>
        <v>0</v>
      </c>
      <c r="DK99" s="712">
        <f>Sheet1!DY99*AFtoMG</f>
        <v>0</v>
      </c>
      <c r="DL99" s="712">
        <f>Sheet1!DZ99*AFtoMG</f>
        <v>0</v>
      </c>
      <c r="DM99" s="712">
        <f t="shared" si="334"/>
        <v>0</v>
      </c>
      <c r="DN99" s="712">
        <f t="shared" si="335"/>
        <v>0</v>
      </c>
      <c r="DO99" s="712">
        <f t="shared" si="336"/>
        <v>1495.7884395446531</v>
      </c>
      <c r="DP99" s="712">
        <f t="shared" si="337"/>
        <v>4589.0789325229962</v>
      </c>
      <c r="DQ99" s="712"/>
      <c r="DR99" s="697">
        <f>IF(OR(B99&lt;FL99,B99&gt;FM99),(MIN(AV99+BO99+CJ99+MAX(Sheet1!AA99+AG99-73,0),K99)),0)</f>
        <v>8.2828445158698276</v>
      </c>
      <c r="DS99" s="712"/>
      <c r="DT99" s="712">
        <f t="shared" si="338"/>
        <v>8.2828445158698276</v>
      </c>
      <c r="DU99" s="712"/>
      <c r="DV99" s="712">
        <f>Sheet1!ED99+Sheet1!EE99+Sheet1!EF99+Sheet1!EG99</f>
        <v>8.5</v>
      </c>
      <c r="DW99" s="712"/>
      <c r="DX99" s="697">
        <f t="shared" si="376"/>
        <v>0</v>
      </c>
      <c r="DY99" s="712">
        <f>IF(Sheet1!FN99=1,SUM('Calculations II'!AT99:BA99)+'Calculations II'!BC99+Sheet1!BU99+'Calculations II'!BE99+AF99,SUM('Calculations II'!AT99:BA99)+'Calculations II'!BC99+Sheet1!BU99+'Calculations II'!BE99+AF99)</f>
        <v>42.424432000000003</v>
      </c>
      <c r="DZ99" s="712">
        <f>Sheet1!AA99+Sheet1!AB99+'Calculations II'!BC99</f>
        <v>53</v>
      </c>
      <c r="EA99" s="712"/>
      <c r="EB99" s="712"/>
      <c r="EC99" s="712">
        <f t="shared" si="339"/>
        <v>40628</v>
      </c>
      <c r="ED99" s="712">
        <f t="shared" si="340"/>
        <v>56.357155484130175</v>
      </c>
      <c r="EE99" s="712">
        <f t="shared" si="341"/>
        <v>87.18451953394937</v>
      </c>
      <c r="EF99" s="712">
        <f>-(VLOOKUP(Sheet1!BQ99,Lookup!$B$4:$J$236,2)-VLOOKUP(Sheet1!BQ98,Lookup!$B$4:$J$236,2))/1000000</f>
        <v>-0.27050000000000002</v>
      </c>
      <c r="EG99" s="712">
        <f>-(VLOOKUP(Sheet1!BR99,Lookup!$B$4:$J$236,3)-VLOOKUP(Sheet1!BR98,Lookup!$B$4:$J$236,3))/1000000</f>
        <v>-0.27</v>
      </c>
      <c r="EH99" s="712">
        <f>-(VLOOKUP(Sheet1!BS99,Lookup!$B$4:$J$236,4)-VLOOKUP(Sheet1!BS98,Lookup!$B$4:$J$236,4))/1000000</f>
        <v>0</v>
      </c>
      <c r="EI99" s="697">
        <f t="shared" si="380"/>
        <v>-0.54049999999999998</v>
      </c>
      <c r="EJ99" s="712"/>
      <c r="EK99" s="712"/>
      <c r="EL99" s="712"/>
      <c r="EM99" s="712"/>
      <c r="EN99" s="712"/>
      <c r="EO99" s="712"/>
      <c r="EP99" s="712"/>
      <c r="EQ99" s="712"/>
      <c r="ER99" s="697">
        <v>0</v>
      </c>
      <c r="ES99" s="712"/>
      <c r="ET99" s="794" t="e">
        <f t="shared" si="342"/>
        <v>#N/A</v>
      </c>
      <c r="EU99" s="794" t="e">
        <f t="shared" si="363"/>
        <v>#VALUE!</v>
      </c>
      <c r="EV99" s="795" t="e">
        <f t="shared" si="364"/>
        <v>#VALUE!</v>
      </c>
      <c r="EW99" s="796" t="s">
        <v>757</v>
      </c>
      <c r="EX99" s="796" t="s">
        <v>757</v>
      </c>
      <c r="EY99" s="794">
        <v>0</v>
      </c>
      <c r="EZ99" s="794" t="e">
        <v>#N/A</v>
      </c>
      <c r="FA99" s="712"/>
      <c r="FB99" s="712"/>
      <c r="FC99" s="712"/>
      <c r="FD99" s="712"/>
      <c r="FE99" s="712">
        <f>O99+Sheet1!CO99</f>
        <v>53</v>
      </c>
      <c r="FF99" s="712">
        <f>IF(Sheet1!AA99+AG99&lt;=Calculation!N99,AG99,Calculation!N99-Sheet1!AA99)</f>
        <v>15.717155484130172</v>
      </c>
      <c r="FG99" s="712">
        <f>(Sheet1!BP99+Sheet1!BO99)/694.4</f>
        <v>1.7132776497695854</v>
      </c>
      <c r="FH99" s="712"/>
      <c r="FI99" s="712"/>
      <c r="FJ99" s="712"/>
      <c r="FK99" s="712"/>
      <c r="FL99" s="714">
        <f t="shared" si="381"/>
        <v>40753</v>
      </c>
      <c r="FM99" s="714">
        <f t="shared" si="382"/>
        <v>40851</v>
      </c>
      <c r="FN99" s="712"/>
      <c r="FO99" s="712"/>
      <c r="FP99" s="712"/>
      <c r="FQ99" s="712"/>
      <c r="FR99" s="712"/>
      <c r="FS99" s="725">
        <f t="shared" si="383"/>
        <v>40603</v>
      </c>
      <c r="FT99" s="714">
        <f t="shared" si="384"/>
        <v>40709</v>
      </c>
      <c r="FU99" s="712">
        <f t="shared" si="385"/>
        <v>6518.9048239895692</v>
      </c>
      <c r="FV99" s="714">
        <f t="shared" si="386"/>
        <v>40722</v>
      </c>
      <c r="FW99" s="712">
        <f t="shared" si="387"/>
        <v>3259.4524119947846</v>
      </c>
      <c r="FX99" s="725">
        <f t="shared" si="388"/>
        <v>40851</v>
      </c>
      <c r="FZ99" s="697">
        <f t="shared" si="365"/>
        <v>0</v>
      </c>
      <c r="GA99" s="712" t="str">
        <f t="shared" si="343"/>
        <v/>
      </c>
      <c r="GB99" s="712">
        <f t="shared" si="344"/>
        <v>0</v>
      </c>
      <c r="GC99" s="712" t="str">
        <f t="shared" si="345"/>
        <v/>
      </c>
      <c r="GD99" s="712">
        <f>IF(GA99="P",Lookup!$M$12,IF(GA99="PP",Lookup!$M$13,IF(GA99="PPP",Lookup!$M$14,IF(GA99="T",Lookup!$M$15,IF(GA99="TP",Lookup!$M$16,IF(GA99="TPP",Lookup!$M$17,IF(GA99="TPPP",Lookup!$M$18,0)))))))*FZ99</f>
        <v>0</v>
      </c>
      <c r="GE99" s="712">
        <f t="shared" si="346"/>
        <v>0</v>
      </c>
      <c r="GF99" s="712">
        <f t="shared" si="347"/>
        <v>2148.4181333333322</v>
      </c>
      <c r="GG99" s="712">
        <f t="shared" si="348"/>
        <v>700.26666666666631</v>
      </c>
      <c r="GH99" s="712"/>
      <c r="GI99" s="712">
        <f t="shared" si="349"/>
        <v>0</v>
      </c>
      <c r="GJ99" s="712" t="str">
        <f t="shared" si="350"/>
        <v/>
      </c>
      <c r="GK99" s="712">
        <f>IF(GA99="P",Lookup!$N$12,IF(GA99="PP",Lookup!$N$13,IF(GA99="PPP",Lookup!$N$14,IF(GA99="T",Lookup!$N$15,IF(GA99="TP",Lookup!$N$16,IF(GA99="TPP",Lookup!$N$17,IF(GA99="TPPP",Lookup!$N$18,0)))))))*FZ99</f>
        <v>0</v>
      </c>
      <c r="GL99" s="712">
        <f t="shared" si="351"/>
        <v>0</v>
      </c>
      <c r="GM99" s="712">
        <f t="shared" si="352"/>
        <v>1002.5951288888887</v>
      </c>
      <c r="GN99" s="712">
        <f t="shared" si="353"/>
        <v>326.79111111111104</v>
      </c>
      <c r="GO99" s="712"/>
      <c r="GP99" s="712">
        <f t="shared" si="354"/>
        <v>0</v>
      </c>
      <c r="GQ99" s="712" t="str">
        <f t="shared" si="355"/>
        <v/>
      </c>
      <c r="GR99" s="712">
        <f>IF(GA99="P",Lookup!$N$12,IF(GA99="PP",Lookup!$N$13,IF(GA99="PPP",Lookup!$N$14,IF(GA99="T",Lookup!$N$15,IF(GA99="TP",Lookup!$N$16,IF(GA99="TPP",Lookup!$N$17,IF(GA99="TPPP",Lookup!$N$18,0)))))))*FZ99</f>
        <v>0</v>
      </c>
      <c r="GS99" s="697">
        <f t="shared" si="377"/>
        <v>0</v>
      </c>
      <c r="GT99" s="712">
        <f t="shared" si="356"/>
        <v>837.18763310819725</v>
      </c>
      <c r="GU99" s="712">
        <f t="shared" si="357"/>
        <v>272.87732500267185</v>
      </c>
      <c r="GV99" s="712"/>
      <c r="GW99" s="712">
        <f t="shared" si="358"/>
        <v>0</v>
      </c>
      <c r="GX99" s="712" t="str">
        <f t="shared" si="359"/>
        <v/>
      </c>
      <c r="GY99" s="712">
        <f>IF(GA99="P",Lookup!$N$12,IF(GA99="PP",Lookup!$N$13,IF(GA99="PPP",Lookup!$N$14,IF(GA99="T",Lookup!$N$15,IF(GA99="TP",Lookup!$N$16,IF(GA99="TPP",Lookup!$N$17,IF(GA99="TPPP",Lookup!$N$18,0)))))))*FZ99</f>
        <v>0</v>
      </c>
      <c r="GZ99" s="697">
        <f t="shared" si="378"/>
        <v>0</v>
      </c>
      <c r="HA99" s="712">
        <f t="shared" si="360"/>
        <v>600.87803719257806</v>
      </c>
      <c r="HB99" s="712">
        <f t="shared" si="361"/>
        <v>195.85333676420404</v>
      </c>
      <c r="HC99" s="712"/>
    </row>
    <row r="100" spans="1:211">
      <c r="A100" s="773" t="s">
        <v>3</v>
      </c>
      <c r="B100" s="708">
        <v>40629</v>
      </c>
      <c r="C100" s="719">
        <v>0.5</v>
      </c>
      <c r="D100" s="675">
        <f t="shared" si="366"/>
        <v>300</v>
      </c>
      <c r="E100" s="675">
        <f t="shared" si="367"/>
        <v>250</v>
      </c>
      <c r="F100" s="710">
        <v>250</v>
      </c>
      <c r="G100" s="712">
        <f>DH100+Sheet1!CV100</f>
        <v>990.33875441295675</v>
      </c>
      <c r="H100" s="712">
        <f t="shared" si="294"/>
        <v>373.19177085253523</v>
      </c>
      <c r="I100" s="711">
        <f>MAX(Sheet1!Z100-AJ100+(Sheet1!CW100-E100)*CFStoMGD,0)</f>
        <v>876.31097253634891</v>
      </c>
      <c r="J100" s="720">
        <f>IF(AND(B100&gt;=Calculation!FS100,B100&lt;=Calculation!FT100),IF(Sheet1!CX100&gt;=Calculation!D100,64.64,0),MAX(Sheet1!Z100-AJ100+(Sheet1!CX100-D100)*CFStoMGD,0))</f>
        <v>64.64</v>
      </c>
      <c r="K100" s="697">
        <f t="shared" si="368"/>
        <v>64.64</v>
      </c>
      <c r="L100" s="712">
        <f>Sheet1!AA100+Sheet1!AB100-Sheet1!L100+(Sheet1!CW100-F100)*CFStoMGD</f>
        <v>923.39799999999991</v>
      </c>
      <c r="M100" s="712">
        <f t="shared" si="295"/>
        <v>652.95807026958596</v>
      </c>
      <c r="N100" s="712">
        <f>IF(Sheet1!CW100&gt;=F100,MIN(73,MIN(MAX(L100,0),MAX(M100,0))),0)</f>
        <v>73</v>
      </c>
      <c r="O100" s="721">
        <f>Sheet1!AA100+Sheet1!AB100</f>
        <v>55</v>
      </c>
      <c r="P100" s="721">
        <f t="shared" si="296"/>
        <v>85.084999999999994</v>
      </c>
      <c r="Q100" s="712">
        <f>MIN(N100,Sheet1!AA100+AG100)</f>
        <v>46.35702746365105</v>
      </c>
      <c r="R100" s="712">
        <f t="shared" si="297"/>
        <v>8.6429725363489514</v>
      </c>
      <c r="S100" s="721">
        <f>Sheet1!Y100*MGDtoCFS</f>
        <v>46.007779999999997</v>
      </c>
      <c r="T100" s="721">
        <f>Sheet1!Z100*MGDtoCFS</f>
        <v>37.54569</v>
      </c>
      <c r="U100" s="721">
        <f>Sheet1!AA100*MGDtoCFS</f>
        <v>46.41</v>
      </c>
      <c r="V100" s="721">
        <f>Sheet1!AB100*MGDtoCFS</f>
        <v>38.674999999999997</v>
      </c>
      <c r="W100" s="721">
        <f>Sheet1!L100*MGDtoCFS</f>
        <v>0</v>
      </c>
      <c r="X100" s="697">
        <f t="shared" si="369"/>
        <v>0</v>
      </c>
      <c r="Y100" s="712">
        <f t="shared" si="298"/>
        <v>0</v>
      </c>
      <c r="Z100" s="712">
        <f t="shared" si="299"/>
        <v>55.997027463651051</v>
      </c>
      <c r="AA100" s="712">
        <f t="shared" si="300"/>
        <v>86.62740148626817</v>
      </c>
      <c r="AB100" s="712">
        <f>(VLOOKUP(Sheet1!CY100,hhdcap_wcm,4)-(((VLOOKUP(Sheet1!CY100,hhdcap_wcm,3)-Sheet1!CY100)/(VLOOKUP(Sheet1!CY100,hhdcap_wcm,3)-VLOOKUP(Sheet1!CY100,hhdcap_wcm,1)))*(VLOOKUP(Sheet1!CY100,hhdcap_wcm,4)-VLOOKUP(Sheet1!CY100,hhdcap_wcm,2))))</f>
        <v>11133.740000022493</v>
      </c>
      <c r="AC100" s="712">
        <f t="shared" si="301"/>
        <v>214.34000000089327</v>
      </c>
      <c r="AD100" s="712">
        <f t="shared" si="370"/>
        <v>1551.7854670083043</v>
      </c>
      <c r="AE100" s="712">
        <f t="shared" si="302"/>
        <v>4760.8778127814776</v>
      </c>
      <c r="AF100" s="712">
        <f>Sheet1!BA100+Sheet1!BB100+Sheet1!BN100+BT100</f>
        <v>16.2</v>
      </c>
      <c r="AG100" s="712">
        <f t="shared" si="303"/>
        <v>16.35702746365105</v>
      </c>
      <c r="AH100" s="712">
        <f>Sheet1!BA100+BT100</f>
        <v>0</v>
      </c>
      <c r="AI100" s="712">
        <f>Sheet1!BA100+Sheet1!BB100+BT100</f>
        <v>0</v>
      </c>
      <c r="AJ100" s="712">
        <f>IF((Sheet1!AA100+AG100+AX100+AZ100+BQ100+BS100+CL100+CN100)&lt;=N100,AG100+AX100+AZ100+BQ100+BS100+CL100+CN100,N100-Sheet1!AA100)</f>
        <v>16.35702746365105</v>
      </c>
      <c r="AK100" s="712">
        <f>IF(DR100&lt;K100,0,MAX(Sheet1!AA100+AG100-15/36*K100-N100,Sheet1!ED100,0))</f>
        <v>0</v>
      </c>
      <c r="AL100" s="712">
        <f>IF(OR(B100&gt;=FT100,B100&lt;FS100),0,15/36*K100-MAX(0,64.6-(137.6-(Sheet1!AA100+Sheet1!AB100))))</f>
        <v>26.933333333333334</v>
      </c>
      <c r="AM100" s="712">
        <f>Sheet1!CX100-110</f>
        <v>725.54166666666663</v>
      </c>
      <c r="AN100" s="712">
        <f>Sheet1!CW100-265</f>
        <v>1328.4375</v>
      </c>
      <c r="AO100" s="712">
        <f t="shared" si="371"/>
        <v>26.64297253634895</v>
      </c>
      <c r="AP100" s="712">
        <f t="shared" si="372"/>
        <v>0</v>
      </c>
      <c r="AQ100" s="712">
        <f t="shared" si="304"/>
        <v>0</v>
      </c>
      <c r="AR100" s="712">
        <f t="shared" si="305"/>
        <v>727.19999999999959</v>
      </c>
      <c r="AS100" s="712"/>
      <c r="AT100" s="712">
        <f ca="1">IF(B100&gt;Summary!$A$1,#N/A,AR100*MGtoAF)</f>
        <v>2231.0495999999989</v>
      </c>
      <c r="AU100" s="712">
        <f>Sheet1!BG100+Sheet1!BH100+Sheet1!BI100-BC100</f>
        <v>0</v>
      </c>
      <c r="AV100" s="712">
        <f t="shared" si="306"/>
        <v>0</v>
      </c>
      <c r="AW100" s="712">
        <f>IF(Sheet1!EL100="FM",BC100,0)</f>
        <v>0</v>
      </c>
      <c r="AX100" s="712">
        <f t="shared" si="307"/>
        <v>0</v>
      </c>
      <c r="AY100" s="712">
        <f>IF(Sheet1!EL100="OTHER",BC100,0)</f>
        <v>0</v>
      </c>
      <c r="AZ100" s="712">
        <f t="shared" si="308"/>
        <v>0</v>
      </c>
      <c r="BA100" s="712">
        <f t="shared" si="309"/>
        <v>0</v>
      </c>
      <c r="BB100" s="712">
        <f t="shared" si="310"/>
        <v>0</v>
      </c>
      <c r="BC100" s="712">
        <f>IF(OR(Sheet1!EL100="FM", Sheet1!EL100="OTHER"),SUM(Sheet1!BG100:'Sheet1'!BI100),0)</f>
        <v>0</v>
      </c>
      <c r="BD100" s="697">
        <f>IF(AND($B100&gt;=$FL100,$B100&lt;=$FM100),MAX(AV100,Sheet1!EE100,0),MAX(AV100-(7/36)*$K100,0))</f>
        <v>0</v>
      </c>
      <c r="BE100" s="712">
        <f t="shared" si="311"/>
        <v>12.568888888888889</v>
      </c>
      <c r="BF100" s="697">
        <f t="shared" si="373"/>
        <v>0</v>
      </c>
      <c r="BG100" s="697">
        <f>IF(AND($O100&gt;0,Sheet1!EI100=1),(1-($O100-Sheet1!$L100)/$O100)*BB100,0)</f>
        <v>0</v>
      </c>
      <c r="BH100" s="697">
        <f>IF(AND(Sheet1!$L100=0,Sheet1!$L99=0, Calculation!BA100&lt;Sheet1!$EE100-0.1,Sheet1!$EE100=Sheet1!$EE99,Sheet1!$EE100=Sheet1!$EE101),Sheet1!$EE100,BB100-BG100)</f>
        <v>0</v>
      </c>
      <c r="BI100" s="712"/>
      <c r="BJ100" s="712"/>
      <c r="BK100" s="712">
        <f t="shared" si="312"/>
        <v>339.3599999999999</v>
      </c>
      <c r="BL100" s="712"/>
      <c r="BM100" s="712">
        <f ca="1">IF(B100&gt;Summary!$A$1,#N/A,BK100*MGtoAF)</f>
        <v>1041.1564799999996</v>
      </c>
      <c r="BN100" s="712">
        <f>Sheet1!BC100+Sheet1!BD100+Sheet1!BE100+Sheet1!BF100-BW100-BX100</f>
        <v>2.52</v>
      </c>
      <c r="BO100" s="712">
        <f t="shared" si="313"/>
        <v>2.5444264943457191</v>
      </c>
      <c r="BP100" s="712">
        <f>IF(Sheet1!EM100="FM",BX100,0)</f>
        <v>0</v>
      </c>
      <c r="BQ100" s="712">
        <f t="shared" si="314"/>
        <v>0</v>
      </c>
      <c r="BR100" s="712">
        <f>IF(Sheet1!EM100="OTHER",BX100,0)</f>
        <v>0</v>
      </c>
      <c r="BS100" s="712">
        <f t="shared" si="315"/>
        <v>0</v>
      </c>
      <c r="BT100" s="712">
        <f t="shared" si="316"/>
        <v>0</v>
      </c>
      <c r="BU100" s="712">
        <f t="shared" si="317"/>
        <v>2.52</v>
      </c>
      <c r="BV100" s="712">
        <f t="shared" si="318"/>
        <v>2.5444264943457191</v>
      </c>
      <c r="BW100" s="712">
        <f>IF(Sheet1!EM100="CWA",SUM(Sheet1!BC100:'Sheet1'!BF100),0)</f>
        <v>0</v>
      </c>
      <c r="BX100" s="712">
        <f>IF(OR(Sheet1!EM100="FM", Sheet1!EM100="OTHER"),SUM(Sheet1!BC100:'Sheet1'!BF100),0)</f>
        <v>0</v>
      </c>
      <c r="BY100" s="697">
        <f>IF(AND($B100&gt;=$FL100,$B100&lt;=$FM100),MAX(BV100,Sheet1!EF100,0),MAX(BV100-(7/36)*$K100,0))</f>
        <v>0</v>
      </c>
      <c r="BZ100" s="712">
        <f t="shared" si="319"/>
        <v>10.024462394543169</v>
      </c>
      <c r="CA100" s="697">
        <f t="shared" si="374"/>
        <v>2.5444264943457191</v>
      </c>
      <c r="CB100" s="697">
        <f>IF(AND($O100&gt;0,Sheet1!EJ100=1),(1-($O100-Sheet1!$L100)/$O100)*BV100,0)</f>
        <v>0</v>
      </c>
      <c r="CC100" s="697">
        <f>IF(AND(Sheet1!$L100=0,Sheet1!$L99=0, Calculation!BU100&lt;Sheet1!EF100-0.1,Sheet1!EF100=Sheet1!EF99,Sheet1!EF100=Sheet1!EF101),Sheet1!EF100,BV100-CB100)</f>
        <v>2.5444264943457191</v>
      </c>
      <c r="CD100" s="697"/>
      <c r="CE100" s="712"/>
      <c r="CF100" s="712">
        <f t="shared" si="320"/>
        <v>282.901787397215</v>
      </c>
      <c r="CG100" s="712"/>
      <c r="CH100" s="712">
        <f ca="1">IF(B100&gt;Summary!$A$1,#N/A,CF100*MGtoAF)</f>
        <v>867.9426837346557</v>
      </c>
      <c r="CI100" s="712">
        <f>Sheet1!BK100+Sheet1!BL100+Sheet1!BM100-Sheet1!EN100-CQ100</f>
        <v>6.04</v>
      </c>
      <c r="CJ100" s="712">
        <f t="shared" si="321"/>
        <v>6.0985460420032318</v>
      </c>
      <c r="CK100" s="712">
        <f>IF(Sheet1!EN100="FM",CQ100,0)</f>
        <v>0</v>
      </c>
      <c r="CL100" s="712">
        <f t="shared" si="322"/>
        <v>0</v>
      </c>
      <c r="CM100" s="712">
        <f>IF(Sheet1!EN100="OTHER",CQ100,0)</f>
        <v>0</v>
      </c>
      <c r="CN100" s="712">
        <f t="shared" si="323"/>
        <v>0</v>
      </c>
      <c r="CO100" s="712">
        <f t="shared" si="324"/>
        <v>6.04</v>
      </c>
      <c r="CP100" s="712">
        <f t="shared" si="325"/>
        <v>6.0985460420032318</v>
      </c>
      <c r="CQ100" s="712">
        <f>IF(OR(Sheet1!EN100="FM", Sheet1!EN100="OTHER"),SUM(Sheet1!BK100:'Sheet1'!BM100),0)</f>
        <v>0</v>
      </c>
      <c r="CR100" s="697">
        <f>IF(AND($B100&gt;=$FL100,$B100&lt;=$FM100),MAX($CJ100,Sheet1!EG100,0),MAX($CJ100-(7/36)*$K100,0))</f>
        <v>0</v>
      </c>
      <c r="CS100" s="712">
        <f t="shared" si="326"/>
        <v>6.4703428468856572</v>
      </c>
      <c r="CT100" s="697">
        <f t="shared" si="375"/>
        <v>6.0985460420032318</v>
      </c>
      <c r="CU100" s="697">
        <f>IF(AND($O100&gt;0,Sheet1!EK100=1),(1-($O100-Sheet1!$L100)/$O100)*CP100,0)</f>
        <v>0</v>
      </c>
      <c r="CV100" s="697">
        <f>IF(AND(Sheet1!$L100=0,Sheet1!$L99=0, Calculation!CO100&lt;Sheet1!$EG100-0.1,Sheet1!$EG100=Sheet1!$EG99,Sheet1!$EG100=Sheet1!$EG101),Sheet1!$EG100,CP100-CU100)</f>
        <v>6.0985460420032318</v>
      </c>
      <c r="CW100" s="697">
        <f t="shared" si="362"/>
        <v>0</v>
      </c>
      <c r="CX100" s="712">
        <f t="shared" si="379"/>
        <v>8.56</v>
      </c>
      <c r="CY100" s="712">
        <f t="shared" si="327"/>
        <v>202.32367961108969</v>
      </c>
      <c r="CZ100" s="712">
        <f t="shared" si="328"/>
        <v>8.6429725363489514</v>
      </c>
      <c r="DA100" s="712">
        <f ca="1">IF(B100&gt;Summary!$A$1,#N/A,CY100*MGtoAF)</f>
        <v>620.72904904682321</v>
      </c>
      <c r="DB100" s="712">
        <f t="shared" si="329"/>
        <v>8.56</v>
      </c>
      <c r="DC100" s="712">
        <f t="shared" si="330"/>
        <v>24.759999999999998</v>
      </c>
      <c r="DD100" s="712">
        <f>Sheet1!AB100-DC100</f>
        <v>0.24000000000000199</v>
      </c>
      <c r="DE100" s="712">
        <f t="shared" si="331"/>
        <v>9.6930533117932961E-3</v>
      </c>
      <c r="DF100" s="712">
        <f>(VLOOKUP(Sheet1!CY100,hhdcap_wcm,4)-(((VLOOKUP(Sheet1!CY100,hhdcap_wcm,3)-Sheet1!CY100)/(VLOOKUP(Sheet1!CY100,hhdcap_wcm,3)-VLOOKUP(Sheet1!CY100,hhdcap_wcm,1)))*(VLOOKUP(Sheet1!CY100,hhdcap_wcm,4)-VLOOKUP(Sheet1!CY100,hhdcap_wcm,2))))</f>
        <v>11133.740000022493</v>
      </c>
      <c r="DG100" s="712">
        <f t="shared" si="332"/>
        <v>214.34000000089327</v>
      </c>
      <c r="DH100" s="712">
        <f t="shared" si="333"/>
        <v>108.08875441295675</v>
      </c>
      <c r="DI100" s="712">
        <f>Sheet1!DW100*AFtoMG</f>
        <v>0</v>
      </c>
      <c r="DJ100" s="712">
        <f>Sheet1!DX100*AFtoMG</f>
        <v>0</v>
      </c>
      <c r="DK100" s="712">
        <f>Sheet1!DY100*AFtoMG</f>
        <v>0</v>
      </c>
      <c r="DL100" s="712">
        <f>Sheet1!DZ100*AFtoMG</f>
        <v>0</v>
      </c>
      <c r="DM100" s="712">
        <f t="shared" si="334"/>
        <v>0</v>
      </c>
      <c r="DN100" s="712">
        <f t="shared" si="335"/>
        <v>0</v>
      </c>
      <c r="DO100" s="712">
        <f t="shared" si="336"/>
        <v>1551.7854670083043</v>
      </c>
      <c r="DP100" s="712">
        <f t="shared" si="337"/>
        <v>4760.8778127814776</v>
      </c>
      <c r="DQ100" s="712"/>
      <c r="DR100" s="697">
        <f>IF(OR(B100&lt;FL100,B100&gt;FM100),(MIN(AV100+BO100+CJ100+MAX(Sheet1!AA100+AG100-73,0),K100)),0)</f>
        <v>8.6429725363489514</v>
      </c>
      <c r="DS100" s="712"/>
      <c r="DT100" s="712">
        <f t="shared" si="338"/>
        <v>8.6429725363489514</v>
      </c>
      <c r="DU100" s="712"/>
      <c r="DV100" s="712">
        <f>Sheet1!ED100+Sheet1!EE100+Sheet1!EF100+Sheet1!EG100</f>
        <v>8.5</v>
      </c>
      <c r="DW100" s="712"/>
      <c r="DX100" s="697">
        <f t="shared" si="376"/>
        <v>0</v>
      </c>
      <c r="DY100" s="712">
        <f>IF(Sheet1!FN100=1,SUM('Calculations II'!AT100:BA100)+'Calculations II'!BC100+Sheet1!BU100+'Calculations II'!BE100+AF100,SUM('Calculations II'!AT100:BA100)+'Calculations II'!BC100+Sheet1!BU100+'Calculations II'!BE100+AF100)</f>
        <v>42.888096000000004</v>
      </c>
      <c r="DZ100" s="712">
        <f>Sheet1!AA100+Sheet1!AB100+'Calculations II'!BC100</f>
        <v>55</v>
      </c>
      <c r="EA100" s="712"/>
      <c r="EB100" s="712"/>
      <c r="EC100" s="712">
        <f t="shared" si="339"/>
        <v>40629</v>
      </c>
      <c r="ED100" s="712">
        <f t="shared" si="340"/>
        <v>55.997027463651051</v>
      </c>
      <c r="EE100" s="712">
        <f t="shared" si="341"/>
        <v>86.62740148626817</v>
      </c>
      <c r="EF100" s="712">
        <f>-(VLOOKUP(Sheet1!BQ100,Lookup!$B$4:$J$236,2)-VLOOKUP(Sheet1!BQ99,Lookup!$B$4:$J$236,2))/1000000</f>
        <v>-1.3557999999999999</v>
      </c>
      <c r="EG100" s="712">
        <f>-(VLOOKUP(Sheet1!BR100,Lookup!$B$4:$J$236,3)-VLOOKUP(Sheet1!BR99,Lookup!$B$4:$J$236,3))/1000000</f>
        <v>-1.35</v>
      </c>
      <c r="EH100" s="712">
        <f>-(VLOOKUP(Sheet1!BS100,Lookup!$B$4:$J$236,4)-VLOOKUP(Sheet1!BS99,Lookup!$B$4:$J$236,4))/1000000</f>
        <v>0</v>
      </c>
      <c r="EI100" s="697">
        <f t="shared" si="380"/>
        <v>-2.7058</v>
      </c>
      <c r="EJ100" s="712"/>
      <c r="EK100" s="712"/>
      <c r="EL100" s="712"/>
      <c r="EM100" s="712"/>
      <c r="EN100" s="712"/>
      <c r="EO100" s="712"/>
      <c r="EP100" s="712"/>
      <c r="EQ100" s="712"/>
      <c r="ER100" s="697">
        <v>0</v>
      </c>
      <c r="ES100" s="712"/>
      <c r="ET100" s="794" t="e">
        <f t="shared" si="342"/>
        <v>#N/A</v>
      </c>
      <c r="EU100" s="794" t="e">
        <f t="shared" si="363"/>
        <v>#VALUE!</v>
      </c>
      <c r="EV100" s="795" t="e">
        <f t="shared" si="364"/>
        <v>#VALUE!</v>
      </c>
      <c r="EW100" s="796" t="s">
        <v>757</v>
      </c>
      <c r="EX100" s="796" t="s">
        <v>757</v>
      </c>
      <c r="EY100" s="794">
        <v>0</v>
      </c>
      <c r="EZ100" s="794" t="e">
        <v>#N/A</v>
      </c>
      <c r="FA100" s="712"/>
      <c r="FB100" s="712"/>
      <c r="FC100" s="712"/>
      <c r="FD100" s="712"/>
      <c r="FE100" s="712">
        <f>O100+Sheet1!CO100</f>
        <v>55</v>
      </c>
      <c r="FF100" s="712">
        <f>IF(Sheet1!AA100+AG100&lt;=Calculation!N100,AG100,Calculation!N100-Sheet1!AA100)</f>
        <v>16.35702746365105</v>
      </c>
      <c r="FG100" s="712">
        <f>(Sheet1!BP100+Sheet1!BO100)/694.4</f>
        <v>1.7798099078341016</v>
      </c>
      <c r="FH100" s="712"/>
      <c r="FI100" s="712"/>
      <c r="FJ100" s="712"/>
      <c r="FK100" s="712"/>
      <c r="FL100" s="714">
        <f t="shared" si="381"/>
        <v>40753</v>
      </c>
      <c r="FM100" s="714">
        <f t="shared" si="382"/>
        <v>40851</v>
      </c>
      <c r="FN100" s="712"/>
      <c r="FO100" s="712"/>
      <c r="FP100" s="712"/>
      <c r="FQ100" s="712"/>
      <c r="FR100" s="712"/>
      <c r="FS100" s="725">
        <f t="shared" si="383"/>
        <v>40603</v>
      </c>
      <c r="FT100" s="714">
        <f t="shared" si="384"/>
        <v>40709</v>
      </c>
      <c r="FU100" s="712">
        <f t="shared" si="385"/>
        <v>6518.9048239895692</v>
      </c>
      <c r="FV100" s="714">
        <f t="shared" si="386"/>
        <v>40722</v>
      </c>
      <c r="FW100" s="712">
        <f t="shared" si="387"/>
        <v>3259.4524119947846</v>
      </c>
      <c r="FX100" s="725">
        <f t="shared" si="388"/>
        <v>40851</v>
      </c>
      <c r="FZ100" s="697">
        <f t="shared" si="365"/>
        <v>0</v>
      </c>
      <c r="GA100" s="712" t="str">
        <f t="shared" si="343"/>
        <v/>
      </c>
      <c r="GB100" s="712">
        <f t="shared" si="344"/>
        <v>0</v>
      </c>
      <c r="GC100" s="712" t="str">
        <f t="shared" si="345"/>
        <v/>
      </c>
      <c r="GD100" s="712">
        <f>IF(GA100="P",Lookup!$M$12,IF(GA100="PP",Lookup!$M$13,IF(GA100="PPP",Lookup!$M$14,IF(GA100="T",Lookup!$M$15,IF(GA100="TP",Lookup!$M$16,IF(GA100="TPP",Lookup!$M$17,IF(GA100="TPPP",Lookup!$M$18,0)))))))*FZ100</f>
        <v>0</v>
      </c>
      <c r="GE100" s="712">
        <f t="shared" si="346"/>
        <v>0</v>
      </c>
      <c r="GF100" s="712">
        <f t="shared" si="347"/>
        <v>2231.0495999999989</v>
      </c>
      <c r="GG100" s="712">
        <f t="shared" si="348"/>
        <v>727.19999999999959</v>
      </c>
      <c r="GH100" s="712"/>
      <c r="GI100" s="712">
        <f t="shared" si="349"/>
        <v>0</v>
      </c>
      <c r="GJ100" s="712" t="str">
        <f t="shared" si="350"/>
        <v/>
      </c>
      <c r="GK100" s="712">
        <f>IF(GA100="P",Lookup!$N$12,IF(GA100="PP",Lookup!$N$13,IF(GA100="PPP",Lookup!$N$14,IF(GA100="T",Lookup!$N$15,IF(GA100="TP",Lookup!$N$16,IF(GA100="TPP",Lookup!$N$17,IF(GA100="TPPP",Lookup!$N$18,0)))))))*FZ100</f>
        <v>0</v>
      </c>
      <c r="GL100" s="712">
        <f t="shared" si="351"/>
        <v>0</v>
      </c>
      <c r="GM100" s="712">
        <f t="shared" si="352"/>
        <v>1041.1564799999996</v>
      </c>
      <c r="GN100" s="712">
        <f t="shared" si="353"/>
        <v>339.3599999999999</v>
      </c>
      <c r="GO100" s="712"/>
      <c r="GP100" s="712">
        <f t="shared" si="354"/>
        <v>0</v>
      </c>
      <c r="GQ100" s="712" t="str">
        <f t="shared" si="355"/>
        <v/>
      </c>
      <c r="GR100" s="712">
        <f>IF(GA100="P",Lookup!$N$12,IF(GA100="PP",Lookup!$N$13,IF(GA100="PPP",Lookup!$N$14,IF(GA100="T",Lookup!$N$15,IF(GA100="TP",Lookup!$N$16,IF(GA100="TPP",Lookup!$N$17,IF(GA100="TPPP",Lookup!$N$18,0)))))))*FZ100</f>
        <v>0</v>
      </c>
      <c r="GS100" s="697">
        <f t="shared" si="377"/>
        <v>0</v>
      </c>
      <c r="GT100" s="712">
        <f t="shared" si="356"/>
        <v>867.9426837346557</v>
      </c>
      <c r="GU100" s="712">
        <f t="shared" si="357"/>
        <v>282.901787397215</v>
      </c>
      <c r="GV100" s="712"/>
      <c r="GW100" s="712">
        <f t="shared" si="358"/>
        <v>0</v>
      </c>
      <c r="GX100" s="712" t="str">
        <f t="shared" si="359"/>
        <v/>
      </c>
      <c r="GY100" s="712">
        <f>IF(GA100="P",Lookup!$N$12,IF(GA100="PP",Lookup!$N$13,IF(GA100="PPP",Lookup!$N$14,IF(GA100="T",Lookup!$N$15,IF(GA100="TP",Lookup!$N$16,IF(GA100="TPP",Lookup!$N$17,IF(GA100="TPPP",Lookup!$N$18,0)))))))*FZ100</f>
        <v>0</v>
      </c>
      <c r="GZ100" s="697">
        <f t="shared" si="378"/>
        <v>0</v>
      </c>
      <c r="HA100" s="712">
        <f t="shared" si="360"/>
        <v>620.72904904682321</v>
      </c>
      <c r="HB100" s="712">
        <f t="shared" si="361"/>
        <v>202.32367961108969</v>
      </c>
      <c r="HC100" s="712"/>
    </row>
    <row r="101" spans="1:211">
      <c r="A101" s="773" t="s">
        <v>4</v>
      </c>
      <c r="B101" s="708">
        <v>40630</v>
      </c>
      <c r="C101" s="719">
        <v>0.5</v>
      </c>
      <c r="D101" s="675">
        <f t="shared" si="366"/>
        <v>300</v>
      </c>
      <c r="E101" s="675">
        <f t="shared" si="367"/>
        <v>250</v>
      </c>
      <c r="F101" s="675">
        <v>250</v>
      </c>
      <c r="G101" s="712">
        <f>DH101+Sheet1!CV101</f>
        <v>1000.8643973777994</v>
      </c>
      <c r="H101" s="712">
        <f t="shared" si="294"/>
        <v>379.99554646500951</v>
      </c>
      <c r="I101" s="711">
        <f>MAX(Sheet1!Z101-AJ101+(Sheet1!CW101-E101)*CFStoMGD,0)</f>
        <v>866.10658823529218</v>
      </c>
      <c r="J101" s="720">
        <f>IF(AND(B101&gt;=Calculation!FS101,B101&lt;=Calculation!FT101),IF(Sheet1!CX101&gt;=Calculation!D101,64.64,0),MAX(Sheet1!Z101-AJ101+(Sheet1!CX101-D101)*CFStoMGD,0))</f>
        <v>64.64</v>
      </c>
      <c r="K101" s="697">
        <f t="shared" si="368"/>
        <v>64.64</v>
      </c>
      <c r="L101" s="712">
        <f>Sheet1!AA101+Sheet1!AB101-Sheet1!L101+(Sheet1!CW101-F101)*CFStoMGD</f>
        <v>913.60600000000932</v>
      </c>
      <c r="M101" s="712">
        <f t="shared" si="295"/>
        <v>659.89792139430972</v>
      </c>
      <c r="N101" s="712">
        <f>IF(Sheet1!CW101&gt;=F101,MIN(73,MIN(MAX(L101,0),MAX(M101,0))),0)</f>
        <v>73</v>
      </c>
      <c r="O101" s="721">
        <f>Sheet1!AA101+Sheet1!AB101</f>
        <v>55.510000000009313</v>
      </c>
      <c r="P101" s="721">
        <f t="shared" si="296"/>
        <v>85.87397000001441</v>
      </c>
      <c r="Q101" s="712">
        <f>MIN(N101,Sheet1!AA101+AG101)</f>
        <v>46.739411764714198</v>
      </c>
      <c r="R101" s="712">
        <f t="shared" si="297"/>
        <v>8.7705882352951168</v>
      </c>
      <c r="S101" s="721">
        <f>Sheet1!Y101*MGDtoCFS</f>
        <v>46.023249999999997</v>
      </c>
      <c r="T101" s="721">
        <f>Sheet1!Z101*MGDtoCFS</f>
        <v>38.35013</v>
      </c>
      <c r="U101" s="721">
        <f>Sheet1!AA101*MGDtoCFS</f>
        <v>46.348120000009907</v>
      </c>
      <c r="V101" s="721">
        <f>Sheet1!AB101*MGDtoCFS</f>
        <v>39.525850000004503</v>
      </c>
      <c r="W101" s="721">
        <f>Sheet1!L101*MGDtoCFS</f>
        <v>0</v>
      </c>
      <c r="X101" s="697">
        <f t="shared" si="369"/>
        <v>0</v>
      </c>
      <c r="Y101" s="712">
        <f t="shared" si="298"/>
        <v>0</v>
      </c>
      <c r="Z101" s="712">
        <f t="shared" si="299"/>
        <v>55.869411764704886</v>
      </c>
      <c r="AA101" s="712">
        <f t="shared" si="300"/>
        <v>86.429979999998451</v>
      </c>
      <c r="AB101" s="712">
        <f>(VLOOKUP(Sheet1!CY101,hhdcap_wcm,4)-(((VLOOKUP(Sheet1!CY101,hhdcap_wcm,3)-Sheet1!CY101)/(VLOOKUP(Sheet1!CY101,hhdcap_wcm,3)-VLOOKUP(Sheet1!CY101,hhdcap_wcm,1)))*(VLOOKUP(Sheet1!CY101,hhdcap_wcm,4)-VLOOKUP(Sheet1!CY101,hhdcap_wcm,2))))</f>
        <v>11387.890000022669</v>
      </c>
      <c r="AC101" s="712">
        <f t="shared" si="301"/>
        <v>254.15000000017608</v>
      </c>
      <c r="AD101" s="712">
        <f t="shared" si="370"/>
        <v>1607.6548787730089</v>
      </c>
      <c r="AE101" s="712">
        <f t="shared" si="302"/>
        <v>4932.2851680755912</v>
      </c>
      <c r="AF101" s="712">
        <f>Sheet1!BA101+Sheet1!BB101+Sheet1!BN101+BT101</f>
        <v>16.3</v>
      </c>
      <c r="AG101" s="712">
        <f t="shared" si="303"/>
        <v>16.779411764707795</v>
      </c>
      <c r="AH101" s="712">
        <f>Sheet1!BA101+BT101</f>
        <v>0</v>
      </c>
      <c r="AI101" s="712">
        <f>Sheet1!BA101+Sheet1!BB101+BT101</f>
        <v>0</v>
      </c>
      <c r="AJ101" s="712">
        <f>IF((Sheet1!AA101+AG101+AX101+AZ101+BQ101+BS101+CL101+CN101)&lt;=N101,AG101+AX101+AZ101+BQ101+BS101+CL101+CN101,N101-Sheet1!AA101)</f>
        <v>16.779411764707795</v>
      </c>
      <c r="AK101" s="712">
        <f>IF(DR101&lt;K101,0,MAX(Sheet1!AA101+AG101-15/36*K101-N101,Sheet1!ED101,0))</f>
        <v>0</v>
      </c>
      <c r="AL101" s="712">
        <f>IF(OR(B101&gt;=FT101,B101&lt;FS101),0,15/36*K101-MAX(0,64.6-(137.6-(Sheet1!AA101+Sheet1!AB101))))</f>
        <v>26.933333333333334</v>
      </c>
      <c r="AM101" s="712">
        <f>Sheet1!CX101-110</f>
        <v>716.41666666666663</v>
      </c>
      <c r="AN101" s="712">
        <f>Sheet1!CW101-265</f>
        <v>1312.5</v>
      </c>
      <c r="AO101" s="712">
        <f t="shared" si="371"/>
        <v>26.260588235285802</v>
      </c>
      <c r="AP101" s="712">
        <f t="shared" si="372"/>
        <v>0</v>
      </c>
      <c r="AQ101" s="712">
        <f t="shared" si="304"/>
        <v>0</v>
      </c>
      <c r="AR101" s="712">
        <f t="shared" si="305"/>
        <v>754.13333333333287</v>
      </c>
      <c r="AS101" s="712"/>
      <c r="AT101" s="712">
        <f ca="1">IF(B101&gt;Summary!$A$1,#N/A,AR101*MGtoAF)</f>
        <v>2313.6810666666652</v>
      </c>
      <c r="AU101" s="712">
        <f>Sheet1!BG101+Sheet1!BH101+Sheet1!BI101-BC101</f>
        <v>0</v>
      </c>
      <c r="AV101" s="712">
        <f t="shared" si="306"/>
        <v>0</v>
      </c>
      <c r="AW101" s="712">
        <f>IF(Sheet1!EL101="FM",BC101,0)</f>
        <v>0</v>
      </c>
      <c r="AX101" s="712">
        <f t="shared" si="307"/>
        <v>0</v>
      </c>
      <c r="AY101" s="712">
        <f>IF(Sheet1!EL101="OTHER",BC101,0)</f>
        <v>0</v>
      </c>
      <c r="AZ101" s="712">
        <f t="shared" si="308"/>
        <v>0</v>
      </c>
      <c r="BA101" s="712">
        <f t="shared" si="309"/>
        <v>0</v>
      </c>
      <c r="BB101" s="712">
        <f t="shared" si="310"/>
        <v>0</v>
      </c>
      <c r="BC101" s="712">
        <f>IF(OR(Sheet1!EL101="FM", Sheet1!EL101="OTHER"),SUM(Sheet1!BG101:'Sheet1'!BI101),0)</f>
        <v>0</v>
      </c>
      <c r="BD101" s="697">
        <f>IF(AND($B101&gt;=$FL101,$B101&lt;=$FM101),MAX(AV101,Sheet1!EE101,0),MAX(AV101-(7/36)*$K101,0))</f>
        <v>0</v>
      </c>
      <c r="BE101" s="712">
        <f t="shared" si="311"/>
        <v>12.568888888888889</v>
      </c>
      <c r="BF101" s="697">
        <f t="shared" si="373"/>
        <v>0</v>
      </c>
      <c r="BG101" s="697">
        <f>IF(AND($O101&gt;0,Sheet1!EI101=1),(1-($O101-Sheet1!$L101)/$O101)*BB101,0)</f>
        <v>0</v>
      </c>
      <c r="BH101" s="697">
        <f>IF(AND(Sheet1!$L101=0,Sheet1!$L100=0, Calculation!BA101&lt;Sheet1!$EE101-0.1,Sheet1!$EE101=Sheet1!$EE100,Sheet1!$EE101=Sheet1!$EE102),Sheet1!$EE101,BB101-BG101)</f>
        <v>0</v>
      </c>
      <c r="BI101" s="712"/>
      <c r="BJ101" s="712"/>
      <c r="BK101" s="712">
        <f t="shared" si="312"/>
        <v>351.92888888888876</v>
      </c>
      <c r="BL101" s="712"/>
      <c r="BM101" s="712">
        <f ca="1">IF(B101&gt;Summary!$A$1,#N/A,BK101*MGtoAF)</f>
        <v>1079.7178311111109</v>
      </c>
      <c r="BN101" s="712">
        <f>Sheet1!BC101+Sheet1!BD101+Sheet1!BE101+Sheet1!BF101-BW101-BX101</f>
        <v>2.52</v>
      </c>
      <c r="BO101" s="712">
        <f t="shared" si="313"/>
        <v>2.594117647059119</v>
      </c>
      <c r="BP101" s="712">
        <f>IF(Sheet1!EM101="FM",BX101,0)</f>
        <v>0</v>
      </c>
      <c r="BQ101" s="712">
        <f t="shared" si="314"/>
        <v>0</v>
      </c>
      <c r="BR101" s="712">
        <f>IF(Sheet1!EM101="OTHER",BX101,0)</f>
        <v>0</v>
      </c>
      <c r="BS101" s="712">
        <f t="shared" si="315"/>
        <v>0</v>
      </c>
      <c r="BT101" s="712">
        <f t="shared" si="316"/>
        <v>0</v>
      </c>
      <c r="BU101" s="712">
        <f t="shared" si="317"/>
        <v>2.52</v>
      </c>
      <c r="BV101" s="712">
        <f t="shared" si="318"/>
        <v>2.594117647059119</v>
      </c>
      <c r="BW101" s="712">
        <f>IF(Sheet1!EM101="CWA",SUM(Sheet1!BC101:'Sheet1'!BF101),0)</f>
        <v>0</v>
      </c>
      <c r="BX101" s="712">
        <f>IF(OR(Sheet1!EM101="FM", Sheet1!EM101="OTHER"),SUM(Sheet1!BC101:'Sheet1'!BF101),0)</f>
        <v>0</v>
      </c>
      <c r="BY101" s="697">
        <f>IF(AND($B101&gt;=$FL101,$B101&lt;=$FM101),MAX(BV101,Sheet1!EF101,0),MAX(BV101-(7/36)*$K101,0))</f>
        <v>0</v>
      </c>
      <c r="BZ101" s="712">
        <f t="shared" si="319"/>
        <v>9.9747712418297709</v>
      </c>
      <c r="CA101" s="697">
        <f t="shared" si="374"/>
        <v>2.594117647059119</v>
      </c>
      <c r="CB101" s="697">
        <f>IF(AND($O101&gt;0,Sheet1!EJ101=1),(1-($O101-Sheet1!$L101)/$O101)*BV101,0)</f>
        <v>0</v>
      </c>
      <c r="CC101" s="697">
        <f>IF(AND(Sheet1!$L101=0,Sheet1!$L100=0, Calculation!BU101&lt;Sheet1!EF101-0.1,Sheet1!EF101=Sheet1!EF100,Sheet1!EF101=Sheet1!EF102),Sheet1!EF101,BV101-CB101)</f>
        <v>2.594117647059119</v>
      </c>
      <c r="CD101" s="697"/>
      <c r="CE101" s="712"/>
      <c r="CF101" s="712">
        <f t="shared" si="320"/>
        <v>292.87655863904479</v>
      </c>
      <c r="CG101" s="712"/>
      <c r="CH101" s="712">
        <f ca="1">IF(B101&gt;Summary!$A$1,#N/A,CF101*MGtoAF)</f>
        <v>898.54528190458939</v>
      </c>
      <c r="CI101" s="712">
        <f>Sheet1!BK101+Sheet1!BL101+Sheet1!BM101-Sheet1!EN101-CQ101</f>
        <v>6</v>
      </c>
      <c r="CJ101" s="712">
        <f t="shared" si="321"/>
        <v>6.1764705882359978</v>
      </c>
      <c r="CK101" s="712">
        <f>IF(Sheet1!EN101="FM",CQ101,0)</f>
        <v>0</v>
      </c>
      <c r="CL101" s="712">
        <f t="shared" si="322"/>
        <v>0</v>
      </c>
      <c r="CM101" s="712">
        <f>IF(Sheet1!EN101="OTHER",CQ101,0)</f>
        <v>0</v>
      </c>
      <c r="CN101" s="712">
        <f t="shared" si="323"/>
        <v>0</v>
      </c>
      <c r="CO101" s="712">
        <f t="shared" si="324"/>
        <v>6</v>
      </c>
      <c r="CP101" s="712">
        <f t="shared" si="325"/>
        <v>6.1764705882359978</v>
      </c>
      <c r="CQ101" s="712">
        <f>IF(OR(Sheet1!EN101="FM", Sheet1!EN101="OTHER"),SUM(Sheet1!BK101:'Sheet1'!BM101),0)</f>
        <v>0</v>
      </c>
      <c r="CR101" s="697">
        <f>IF(AND($B101&gt;=$FL101,$B101&lt;=$FM101),MAX($CJ101,Sheet1!EG101,0),MAX($CJ101-(7/36)*$K101,0))</f>
        <v>0</v>
      </c>
      <c r="CS101" s="712">
        <f t="shared" si="326"/>
        <v>6.3924183006528912</v>
      </c>
      <c r="CT101" s="697">
        <f t="shared" si="375"/>
        <v>6.1764705882359978</v>
      </c>
      <c r="CU101" s="697">
        <f>IF(AND($O101&gt;0,Sheet1!EK101=1),(1-($O101-Sheet1!$L101)/$O101)*CP101,0)</f>
        <v>0</v>
      </c>
      <c r="CV101" s="697">
        <f>IF(AND(Sheet1!$L101=0,Sheet1!$L100=0, Calculation!CO101&lt;Sheet1!$EG101-0.1,Sheet1!$EG101=Sheet1!$EG100,Sheet1!$EG101=Sheet1!$EG102),Sheet1!$EG101,CP101-CU101)</f>
        <v>6.1764705882359978</v>
      </c>
      <c r="CW101" s="697">
        <f t="shared" si="362"/>
        <v>0</v>
      </c>
      <c r="CX101" s="712">
        <f t="shared" si="379"/>
        <v>8.52</v>
      </c>
      <c r="CY101" s="712">
        <f t="shared" si="327"/>
        <v>208.71609791174257</v>
      </c>
      <c r="CZ101" s="712">
        <f t="shared" si="328"/>
        <v>8.7705882352951168</v>
      </c>
      <c r="DA101" s="712">
        <f ca="1">IF(B101&gt;Summary!$A$1,#N/A,CY101*MGtoAF)</f>
        <v>640.34098839322621</v>
      </c>
      <c r="DB101" s="712">
        <f t="shared" si="329"/>
        <v>8.52</v>
      </c>
      <c r="DC101" s="712">
        <f t="shared" si="330"/>
        <v>24.82</v>
      </c>
      <c r="DD101" s="712">
        <f>Sheet1!AB101-DC101</f>
        <v>0.7300000000029101</v>
      </c>
      <c r="DE101" s="712">
        <f t="shared" si="331"/>
        <v>2.9411764705999599E-2</v>
      </c>
      <c r="DF101" s="712">
        <f>(VLOOKUP(Sheet1!CY101,hhdcap_wcm,4)-(((VLOOKUP(Sheet1!CY101,hhdcap_wcm,3)-Sheet1!CY101)/(VLOOKUP(Sheet1!CY101,hhdcap_wcm,3)-VLOOKUP(Sheet1!CY101,hhdcap_wcm,1)))*(VLOOKUP(Sheet1!CY101,hhdcap_wcm,4)-VLOOKUP(Sheet1!CY101,hhdcap_wcm,2))))</f>
        <v>11387.890000022669</v>
      </c>
      <c r="DG101" s="712">
        <f t="shared" si="332"/>
        <v>254.15000000017608</v>
      </c>
      <c r="DH101" s="712">
        <f t="shared" si="333"/>
        <v>128.1643973777993</v>
      </c>
      <c r="DI101" s="712">
        <f>Sheet1!DW101*AFtoMG</f>
        <v>0</v>
      </c>
      <c r="DJ101" s="712">
        <f>Sheet1!DX101*AFtoMG</f>
        <v>0</v>
      </c>
      <c r="DK101" s="712">
        <f>Sheet1!DY101*AFtoMG</f>
        <v>0</v>
      </c>
      <c r="DL101" s="712">
        <f>Sheet1!DZ101*AFtoMG</f>
        <v>0</v>
      </c>
      <c r="DM101" s="712">
        <f t="shared" si="334"/>
        <v>0</v>
      </c>
      <c r="DN101" s="712">
        <f t="shared" si="335"/>
        <v>0</v>
      </c>
      <c r="DO101" s="712">
        <f t="shared" si="336"/>
        <v>1607.6548787730089</v>
      </c>
      <c r="DP101" s="712">
        <f t="shared" si="337"/>
        <v>4932.2851680755912</v>
      </c>
      <c r="DQ101" s="712"/>
      <c r="DR101" s="697">
        <f>IF(OR(B101&lt;FL101,B101&gt;FM101),(MIN(AV101+BO101+CJ101+MAX(Sheet1!AA101+AG101-73,0),K101)),0)</f>
        <v>8.7705882352951168</v>
      </c>
      <c r="DS101" s="712"/>
      <c r="DT101" s="712">
        <f t="shared" si="338"/>
        <v>8.7705882352951168</v>
      </c>
      <c r="DU101" s="712"/>
      <c r="DV101" s="712">
        <f>Sheet1!ED101+Sheet1!EE101+Sheet1!EF101+Sheet1!EG101</f>
        <v>8.5</v>
      </c>
      <c r="DW101" s="712"/>
      <c r="DX101" s="697">
        <f t="shared" si="376"/>
        <v>0</v>
      </c>
      <c r="DY101" s="712">
        <f>IF(Sheet1!FN101=1,SUM('Calculations II'!AT101:BA101)+'Calculations II'!BC101+Sheet1!BU101+'Calculations II'!BE101+AF101,SUM('Calculations II'!AT101:BA101)+'Calculations II'!BC101+Sheet1!BU101+'Calculations II'!BE101+AF101)</f>
        <v>44.972608000000001</v>
      </c>
      <c r="DZ101" s="712">
        <f>Sheet1!AA101+Sheet1!AB101+'Calculations II'!BC101</f>
        <v>55.510000000009313</v>
      </c>
      <c r="EA101" s="712"/>
      <c r="EB101" s="712"/>
      <c r="EC101" s="712">
        <f t="shared" si="339"/>
        <v>40630</v>
      </c>
      <c r="ED101" s="712">
        <f t="shared" si="340"/>
        <v>55.869411764704886</v>
      </c>
      <c r="EE101" s="712">
        <f t="shared" si="341"/>
        <v>86.429979999998451</v>
      </c>
      <c r="EF101" s="712">
        <f>-(VLOOKUP(Sheet1!BQ101,Lookup!$B$4:$J$236,2)-VLOOKUP(Sheet1!BQ100,Lookup!$B$4:$J$236,2))/1000000</f>
        <v>-2.4641999999999999</v>
      </c>
      <c r="EG101" s="712">
        <f>-(VLOOKUP(Sheet1!BR101,Lookup!$B$4:$J$236,3)-VLOOKUP(Sheet1!BR100,Lookup!$B$4:$J$236,3))/1000000</f>
        <v>-2.4605999999999999</v>
      </c>
      <c r="EH101" s="712">
        <f>-(VLOOKUP(Sheet1!BS101,Lookup!$B$4:$J$236,4)-VLOOKUP(Sheet1!BS100,Lookup!$B$4:$J$236,4))/1000000</f>
        <v>0</v>
      </c>
      <c r="EI101" s="697">
        <f t="shared" si="380"/>
        <v>-4.9247999999999994</v>
      </c>
      <c r="EJ101" s="712"/>
      <c r="EK101" s="712"/>
      <c r="EL101" s="712"/>
      <c r="EM101" s="712"/>
      <c r="EN101" s="712"/>
      <c r="EO101" s="712"/>
      <c r="EP101" s="712"/>
      <c r="EQ101" s="712"/>
      <c r="ER101" s="697">
        <v>0</v>
      </c>
      <c r="ES101" s="712"/>
      <c r="ET101" s="794" t="e">
        <f t="shared" si="342"/>
        <v>#N/A</v>
      </c>
      <c r="EU101" s="794" t="e">
        <f t="shared" si="363"/>
        <v>#VALUE!</v>
      </c>
      <c r="EV101" s="795" t="e">
        <f t="shared" si="364"/>
        <v>#VALUE!</v>
      </c>
      <c r="EW101" s="796" t="s">
        <v>757</v>
      </c>
      <c r="EX101" s="796" t="s">
        <v>757</v>
      </c>
      <c r="EY101" s="794">
        <v>0</v>
      </c>
      <c r="EZ101" s="794" t="e">
        <v>#N/A</v>
      </c>
      <c r="FA101" s="712"/>
      <c r="FB101" s="712"/>
      <c r="FC101" s="712"/>
      <c r="FD101" s="712"/>
      <c r="FE101" s="712">
        <f>O101+Sheet1!CO101</f>
        <v>55.510000000009313</v>
      </c>
      <c r="FF101" s="712">
        <f>IF(Sheet1!AA101+AG101&lt;=Calculation!N101,AG101,Calculation!N101-Sheet1!AA101)</f>
        <v>16.779411764707795</v>
      </c>
      <c r="FG101" s="712">
        <f>(Sheet1!BP101+Sheet1!BO101)/694.4</f>
        <v>2.2034850230414746</v>
      </c>
      <c r="FH101" s="712"/>
      <c r="FI101" s="712"/>
      <c r="FJ101" s="712"/>
      <c r="FK101" s="712"/>
      <c r="FL101" s="714">
        <f t="shared" si="381"/>
        <v>40753</v>
      </c>
      <c r="FM101" s="714">
        <f t="shared" si="382"/>
        <v>40851</v>
      </c>
      <c r="FN101" s="712"/>
      <c r="FO101" s="712"/>
      <c r="FP101" s="712"/>
      <c r="FQ101" s="712"/>
      <c r="FR101" s="712"/>
      <c r="FS101" s="725">
        <f t="shared" si="383"/>
        <v>40603</v>
      </c>
      <c r="FT101" s="714">
        <f t="shared" si="384"/>
        <v>40709</v>
      </c>
      <c r="FU101" s="712">
        <f t="shared" si="385"/>
        <v>6518.9048239895692</v>
      </c>
      <c r="FV101" s="714">
        <f t="shared" si="386"/>
        <v>40722</v>
      </c>
      <c r="FW101" s="712">
        <f t="shared" si="387"/>
        <v>3259.4524119947846</v>
      </c>
      <c r="FX101" s="725">
        <f t="shared" si="388"/>
        <v>40851</v>
      </c>
      <c r="FZ101" s="697">
        <f t="shared" si="365"/>
        <v>0</v>
      </c>
      <c r="GA101" s="712" t="str">
        <f t="shared" si="343"/>
        <v/>
      </c>
      <c r="GB101" s="712">
        <f t="shared" si="344"/>
        <v>0</v>
      </c>
      <c r="GC101" s="712" t="str">
        <f t="shared" si="345"/>
        <v/>
      </c>
      <c r="GD101" s="712">
        <f>IF(GA101="P",Lookup!$M$12,IF(GA101="PP",Lookup!$M$13,IF(GA101="PPP",Lookup!$M$14,IF(GA101="T",Lookup!$M$15,IF(GA101="TP",Lookup!$M$16,IF(GA101="TPP",Lookup!$M$17,IF(GA101="TPPP",Lookup!$M$18,0)))))))*FZ101</f>
        <v>0</v>
      </c>
      <c r="GE101" s="712">
        <f t="shared" si="346"/>
        <v>0</v>
      </c>
      <c r="GF101" s="712">
        <f t="shared" si="347"/>
        <v>2313.6810666666652</v>
      </c>
      <c r="GG101" s="712">
        <f t="shared" si="348"/>
        <v>754.13333333333287</v>
      </c>
      <c r="GH101" s="712"/>
      <c r="GI101" s="712">
        <f t="shared" si="349"/>
        <v>0</v>
      </c>
      <c r="GJ101" s="712" t="str">
        <f t="shared" si="350"/>
        <v/>
      </c>
      <c r="GK101" s="712">
        <f>IF(GA101="P",Lookup!$N$12,IF(GA101="PP",Lookup!$N$13,IF(GA101="PPP",Lookup!$N$14,IF(GA101="T",Lookup!$N$15,IF(GA101="TP",Lookup!$N$16,IF(GA101="TPP",Lookup!$N$17,IF(GA101="TPPP",Lookup!$N$18,0)))))))*FZ101</f>
        <v>0</v>
      </c>
      <c r="GL101" s="712">
        <f t="shared" si="351"/>
        <v>0</v>
      </c>
      <c r="GM101" s="712">
        <f t="shared" si="352"/>
        <v>1079.7178311111109</v>
      </c>
      <c r="GN101" s="712">
        <f t="shared" si="353"/>
        <v>351.92888888888876</v>
      </c>
      <c r="GO101" s="712"/>
      <c r="GP101" s="712">
        <f t="shared" si="354"/>
        <v>0</v>
      </c>
      <c r="GQ101" s="712" t="str">
        <f t="shared" si="355"/>
        <v/>
      </c>
      <c r="GR101" s="712">
        <f>IF(GA101="P",Lookup!$N$12,IF(GA101="PP",Lookup!$N$13,IF(GA101="PPP",Lookup!$N$14,IF(GA101="T",Lookup!$N$15,IF(GA101="TP",Lookup!$N$16,IF(GA101="TPP",Lookup!$N$17,IF(GA101="TPPP",Lookup!$N$18,0)))))))*FZ101</f>
        <v>0</v>
      </c>
      <c r="GS101" s="697">
        <f t="shared" si="377"/>
        <v>0</v>
      </c>
      <c r="GT101" s="712">
        <f t="shared" si="356"/>
        <v>898.54528190458939</v>
      </c>
      <c r="GU101" s="712">
        <f t="shared" si="357"/>
        <v>292.87655863904479</v>
      </c>
      <c r="GV101" s="712"/>
      <c r="GW101" s="712">
        <f t="shared" si="358"/>
        <v>0</v>
      </c>
      <c r="GX101" s="712" t="str">
        <f t="shared" si="359"/>
        <v/>
      </c>
      <c r="GY101" s="712">
        <f>IF(GA101="P",Lookup!$N$12,IF(GA101="PP",Lookup!$N$13,IF(GA101="PPP",Lookup!$N$14,IF(GA101="T",Lookup!$N$15,IF(GA101="TP",Lookup!$N$16,IF(GA101="TPP",Lookup!$N$17,IF(GA101="TPPP",Lookup!$N$18,0)))))))*FZ101</f>
        <v>0</v>
      </c>
      <c r="GZ101" s="697">
        <f t="shared" si="378"/>
        <v>0</v>
      </c>
      <c r="HA101" s="712">
        <f t="shared" si="360"/>
        <v>640.34098839322621</v>
      </c>
      <c r="HB101" s="712">
        <f t="shared" si="361"/>
        <v>208.71609791174257</v>
      </c>
      <c r="HC101" s="712"/>
    </row>
    <row r="102" spans="1:211">
      <c r="A102" s="773" t="s">
        <v>5</v>
      </c>
      <c r="B102" s="708">
        <v>40631</v>
      </c>
      <c r="C102" s="709">
        <v>0.5</v>
      </c>
      <c r="D102" s="675">
        <f t="shared" si="366"/>
        <v>300</v>
      </c>
      <c r="E102" s="675">
        <f t="shared" si="367"/>
        <v>250</v>
      </c>
      <c r="F102" s="710">
        <v>250</v>
      </c>
      <c r="G102" s="712">
        <f>DH102+Sheet1!CV102</f>
        <v>1106.987972769009</v>
      </c>
      <c r="H102" s="712">
        <f t="shared" si="294"/>
        <v>448.59382559788742</v>
      </c>
      <c r="I102" s="711">
        <f>MAX(Sheet1!Z102-AJ102+(Sheet1!CW102-E102)*CFStoMGD,0)</f>
        <v>845.12446760187049</v>
      </c>
      <c r="J102" s="720">
        <f>IF(AND(B102&gt;=Calculation!FS102,B102&lt;=Calculation!FT102),IF(Sheet1!CX102&gt;=Calculation!D102,64.64,0),MAX(Sheet1!Z102-AJ102+(Sheet1!CX102-D102)*CFStoMGD,0))</f>
        <v>64.64</v>
      </c>
      <c r="K102" s="697">
        <f t="shared" si="368"/>
        <v>64.64</v>
      </c>
      <c r="L102" s="712">
        <f>Sheet1!AA102+Sheet1!AB102-Sheet1!L102+(Sheet1!CW102-F102)*CFStoMGD</f>
        <v>890.88733333332698</v>
      </c>
      <c r="M102" s="712">
        <f t="shared" si="295"/>
        <v>729.86816610984522</v>
      </c>
      <c r="N102" s="712">
        <f>IF(Sheet1!CW102&gt;=F102,MIN(73,MIN(MAX(L102,0),MAX(M102,0))),0)</f>
        <v>73</v>
      </c>
      <c r="O102" s="721">
        <f>Sheet1!AA102+Sheet1!AB102</f>
        <v>54.539999999993597</v>
      </c>
      <c r="P102" s="721">
        <f t="shared" si="296"/>
        <v>84.373379999990092</v>
      </c>
      <c r="Q102" s="712">
        <f>MIN(N102,Sheet1!AA102+AG102)</f>
        <v>45.972865731456523</v>
      </c>
      <c r="R102" s="712">
        <f t="shared" si="297"/>
        <v>8.5671342685370746</v>
      </c>
      <c r="S102" s="721">
        <f>Sheet1!Y102*MGDtoCFS</f>
        <v>45.543680000000002</v>
      </c>
      <c r="T102" s="721">
        <f>Sheet1!Z102*MGDtoCFS</f>
        <v>38.999870000000001</v>
      </c>
      <c r="U102" s="721">
        <f>Sheet1!AA102*MGDtoCFS</f>
        <v>45.698379999990095</v>
      </c>
      <c r="V102" s="721">
        <f>Sheet1!AB102*MGDtoCFS</f>
        <v>38.674999999999997</v>
      </c>
      <c r="W102" s="721">
        <f>Sheet1!L102*MGDtoCFS</f>
        <v>0</v>
      </c>
      <c r="X102" s="697">
        <f t="shared" si="369"/>
        <v>0</v>
      </c>
      <c r="Y102" s="712">
        <f t="shared" si="298"/>
        <v>0</v>
      </c>
      <c r="Z102" s="712">
        <f t="shared" si="299"/>
        <v>56.072865731462926</v>
      </c>
      <c r="AA102" s="712">
        <f t="shared" si="300"/>
        <v>86.744723286573148</v>
      </c>
      <c r="AB102" s="712">
        <f>(VLOOKUP(Sheet1!CY102,hhdcap_wcm,4)-(((VLOOKUP(Sheet1!CY102,hhdcap_wcm,3)-Sheet1!CY102)/(VLOOKUP(Sheet1!CY102,hhdcap_wcm,3)-VLOOKUP(Sheet1!CY102,hhdcap_wcm,1)))*(VLOOKUP(Sheet1!CY102,hhdcap_wcm,4)-VLOOKUP(Sheet1!CY102,hhdcap_wcm,2))))</f>
        <v>11746.690000023615</v>
      </c>
      <c r="AC102" s="712">
        <f t="shared" si="301"/>
        <v>358.80000000094515</v>
      </c>
      <c r="AD102" s="712">
        <f t="shared" si="370"/>
        <v>1663.727744504472</v>
      </c>
      <c r="AE102" s="712">
        <f t="shared" si="302"/>
        <v>5104.31672013972</v>
      </c>
      <c r="AF102" s="712">
        <f>Sheet1!BA102+Sheet1!BB102+Sheet1!BN102+BT102</f>
        <v>16.399999999999999</v>
      </c>
      <c r="AG102" s="712">
        <f t="shared" si="303"/>
        <v>16.432865731462929</v>
      </c>
      <c r="AH102" s="712">
        <f>Sheet1!BA102+BT102</f>
        <v>0</v>
      </c>
      <c r="AI102" s="712">
        <f>Sheet1!BA102+Sheet1!BB102+BT102</f>
        <v>0</v>
      </c>
      <c r="AJ102" s="712">
        <f>IF((Sheet1!AA102+AG102+AX102+AZ102+BQ102+BS102+CL102+CN102)&lt;=N102,AG102+AX102+AZ102+BQ102+BS102+CL102+CN102,N102-Sheet1!AA102)</f>
        <v>16.432865731462929</v>
      </c>
      <c r="AK102" s="712">
        <f>IF(DR102&lt;K102,0,MAX(Sheet1!AA102+AG102-15/36*K102-N102,Sheet1!ED102,0))</f>
        <v>0</v>
      </c>
      <c r="AL102" s="712">
        <f>IF(OR(B102&gt;=FT102,B102&lt;FS102),0,15/36*K102-MAX(0,64.6-(137.6-(Sheet1!AA102+Sheet1!AB102))))</f>
        <v>26.933333333333334</v>
      </c>
      <c r="AM102" s="712">
        <f>Sheet1!CX102-110</f>
        <v>807.29166666666663</v>
      </c>
      <c r="AN102" s="712">
        <f>Sheet1!CW102-265</f>
        <v>1278.8541666666667</v>
      </c>
      <c r="AO102" s="712">
        <f t="shared" si="371"/>
        <v>27.027134268543477</v>
      </c>
      <c r="AP102" s="712">
        <f t="shared" si="372"/>
        <v>0</v>
      </c>
      <c r="AQ102" s="712">
        <f t="shared" si="304"/>
        <v>0</v>
      </c>
      <c r="AR102" s="712">
        <f t="shared" si="305"/>
        <v>781.06666666666615</v>
      </c>
      <c r="AS102" s="712"/>
      <c r="AT102" s="712">
        <f ca="1">IF(B102&gt;Summary!$A$1,#N/A,AR102*MGtoAF)</f>
        <v>2396.3125333333319</v>
      </c>
      <c r="AU102" s="712">
        <f>Sheet1!BG102+Sheet1!BH102+Sheet1!BI102-BC102</f>
        <v>0</v>
      </c>
      <c r="AV102" s="712">
        <f t="shared" si="306"/>
        <v>0</v>
      </c>
      <c r="AW102" s="712">
        <f>IF(Sheet1!EL102="FM",BC102,0)</f>
        <v>0</v>
      </c>
      <c r="AX102" s="712">
        <f t="shared" si="307"/>
        <v>0</v>
      </c>
      <c r="AY102" s="712">
        <f>IF(Sheet1!EL102="OTHER",BC102,0)</f>
        <v>0</v>
      </c>
      <c r="AZ102" s="712">
        <f t="shared" si="308"/>
        <v>0</v>
      </c>
      <c r="BA102" s="712">
        <f t="shared" si="309"/>
        <v>0</v>
      </c>
      <c r="BB102" s="712">
        <f t="shared" si="310"/>
        <v>0</v>
      </c>
      <c r="BC102" s="712">
        <f>IF(OR(Sheet1!EL102="FM", Sheet1!EL102="OTHER"),SUM(Sheet1!BG102:'Sheet1'!BI102),0)</f>
        <v>0</v>
      </c>
      <c r="BD102" s="697">
        <f>IF(AND($B102&gt;=$FL102,$B102&lt;=$FM102),MAX(AV102,Sheet1!EE102,0),MAX(AV102-(7/36)*$K102,0))</f>
        <v>0</v>
      </c>
      <c r="BE102" s="712">
        <f t="shared" si="311"/>
        <v>12.568888888888889</v>
      </c>
      <c r="BF102" s="697">
        <f t="shared" si="373"/>
        <v>0</v>
      </c>
      <c r="BG102" s="697">
        <f>IF(AND($O102&gt;0,Sheet1!EI102=1),(1-($O102-Sheet1!$L102)/$O102)*BB102,0)</f>
        <v>0</v>
      </c>
      <c r="BH102" s="697">
        <f>IF(AND(Sheet1!$L102=0,Sheet1!$L101=0, Calculation!BA102&lt;Sheet1!$EE102-0.1,Sheet1!$EE102=Sheet1!$EE101,Sheet1!$EE102=Sheet1!$EE103),Sheet1!$EE102,BB102-BG102)</f>
        <v>0</v>
      </c>
      <c r="BI102" s="712"/>
      <c r="BJ102" s="712"/>
      <c r="BK102" s="712">
        <f t="shared" si="312"/>
        <v>364.49777777777763</v>
      </c>
      <c r="BL102" s="712"/>
      <c r="BM102" s="712">
        <f ca="1">IF(B102&gt;Summary!$A$1,#N/A,BK102*MGtoAF)</f>
        <v>1118.2791822222218</v>
      </c>
      <c r="BN102" s="712">
        <f>Sheet1!BC102+Sheet1!BD102+Sheet1!BE102+Sheet1!BF102-BW102-BX102</f>
        <v>2.52</v>
      </c>
      <c r="BO102" s="712">
        <f t="shared" si="313"/>
        <v>2.5250501002004011</v>
      </c>
      <c r="BP102" s="712">
        <f>IF(Sheet1!EM102="FM",BX102,0)</f>
        <v>0</v>
      </c>
      <c r="BQ102" s="712">
        <f t="shared" si="314"/>
        <v>0</v>
      </c>
      <c r="BR102" s="712">
        <f>IF(Sheet1!EM102="OTHER",BX102,0)</f>
        <v>0</v>
      </c>
      <c r="BS102" s="712">
        <f t="shared" si="315"/>
        <v>0</v>
      </c>
      <c r="BT102" s="712">
        <f t="shared" si="316"/>
        <v>0</v>
      </c>
      <c r="BU102" s="712">
        <f t="shared" si="317"/>
        <v>2.52</v>
      </c>
      <c r="BV102" s="712">
        <f t="shared" si="318"/>
        <v>2.5250501002004011</v>
      </c>
      <c r="BW102" s="712">
        <f>IF(Sheet1!EM102="CWA",SUM(Sheet1!BC102:'Sheet1'!BF102),0)</f>
        <v>0</v>
      </c>
      <c r="BX102" s="712">
        <f>IF(OR(Sheet1!EM102="FM", Sheet1!EM102="OTHER"),SUM(Sheet1!BC102:'Sheet1'!BF102),0)</f>
        <v>0</v>
      </c>
      <c r="BY102" s="697">
        <f>IF(AND($B102&gt;=$FL102,$B102&lt;=$FM102),MAX(BV102,Sheet1!EF102,0),MAX(BV102-(7/36)*$K102,0))</f>
        <v>0</v>
      </c>
      <c r="BZ102" s="712">
        <f t="shared" si="319"/>
        <v>10.043838788688488</v>
      </c>
      <c r="CA102" s="697">
        <f t="shared" si="374"/>
        <v>2.5250501002004011</v>
      </c>
      <c r="CB102" s="697">
        <f>IF(AND($O102&gt;0,Sheet1!EJ102=1),(1-($O102-Sheet1!$L102)/$O102)*BV102,0)</f>
        <v>0</v>
      </c>
      <c r="CC102" s="697">
        <f>IF(AND(Sheet1!$L102=0,Sheet1!$L101=0, Calculation!BU102&lt;Sheet1!EF102-0.1,Sheet1!EF102=Sheet1!EF101,Sheet1!EF102=Sheet1!EF103),Sheet1!EF102,BV102-CB102)</f>
        <v>2.5250501002004011</v>
      </c>
      <c r="CD102" s="697"/>
      <c r="CE102" s="712"/>
      <c r="CF102" s="712">
        <f t="shared" si="320"/>
        <v>302.92039742773329</v>
      </c>
      <c r="CG102" s="712"/>
      <c r="CH102" s="712">
        <f ca="1">IF(B102&gt;Summary!$A$1,#N/A,CF102*MGtoAF)</f>
        <v>929.35977930828574</v>
      </c>
      <c r="CI102" s="712">
        <f>Sheet1!BK102+Sheet1!BL102+Sheet1!BM102-Sheet1!EN102-CQ102</f>
        <v>6.0299999999999994</v>
      </c>
      <c r="CJ102" s="712">
        <f t="shared" si="321"/>
        <v>6.0420841683366735</v>
      </c>
      <c r="CK102" s="712">
        <f>IF(Sheet1!EN102="FM",CQ102,0)</f>
        <v>0</v>
      </c>
      <c r="CL102" s="712">
        <f t="shared" si="322"/>
        <v>0</v>
      </c>
      <c r="CM102" s="712">
        <f>IF(Sheet1!EN102="OTHER",CQ102,0)</f>
        <v>0</v>
      </c>
      <c r="CN102" s="712">
        <f t="shared" si="323"/>
        <v>0</v>
      </c>
      <c r="CO102" s="712">
        <f t="shared" si="324"/>
        <v>6.0299999999999994</v>
      </c>
      <c r="CP102" s="712">
        <f t="shared" si="325"/>
        <v>6.0420841683366735</v>
      </c>
      <c r="CQ102" s="712">
        <f>IF(OR(Sheet1!EN102="FM", Sheet1!EN102="OTHER"),SUM(Sheet1!BK102:'Sheet1'!BM102),0)</f>
        <v>0</v>
      </c>
      <c r="CR102" s="697">
        <f>IF(AND($B102&gt;=$FL102,$B102&lt;=$FM102),MAX($CJ102,Sheet1!EG102,0),MAX($CJ102-(7/36)*$K102,0))</f>
        <v>0</v>
      </c>
      <c r="CS102" s="712">
        <f t="shared" si="326"/>
        <v>6.5268047205522155</v>
      </c>
      <c r="CT102" s="697">
        <f t="shared" si="375"/>
        <v>6.0420841683366735</v>
      </c>
      <c r="CU102" s="697">
        <f>IF(AND($O102&gt;0,Sheet1!EK102=1),(1-($O102-Sheet1!$L102)/$O102)*CP102,0)</f>
        <v>0</v>
      </c>
      <c r="CV102" s="697">
        <f>IF(AND(Sheet1!$L102=0,Sheet1!$L101=0, Calculation!CO102&lt;Sheet1!$EG102-0.1,Sheet1!$EG102=Sheet1!$EG101,Sheet1!$EG102=Sheet1!$EG103),Sheet1!$EG102,CP102-CU102)</f>
        <v>6.0420841683366735</v>
      </c>
      <c r="CW102" s="697">
        <f t="shared" si="362"/>
        <v>0</v>
      </c>
      <c r="CX102" s="712">
        <f t="shared" si="379"/>
        <v>8.5499999999999989</v>
      </c>
      <c r="CY102" s="712">
        <f t="shared" si="327"/>
        <v>215.24290263229477</v>
      </c>
      <c r="CZ102" s="712">
        <f t="shared" si="328"/>
        <v>8.5671342685370746</v>
      </c>
      <c r="DA102" s="712">
        <f ca="1">IF(B102&gt;Summary!$A$1,#N/A,CY102*MGtoAF)</f>
        <v>660.36522527588033</v>
      </c>
      <c r="DB102" s="712">
        <f t="shared" si="329"/>
        <v>8.5499999999999989</v>
      </c>
      <c r="DC102" s="712">
        <f t="shared" si="330"/>
        <v>24.949999999999996</v>
      </c>
      <c r="DD102" s="712">
        <f>Sheet1!AB102-DC102</f>
        <v>5.0000000000004263E-2</v>
      </c>
      <c r="DE102" s="712">
        <f t="shared" si="331"/>
        <v>2.0040080160322353E-3</v>
      </c>
      <c r="DF102" s="712">
        <f>(VLOOKUP(Sheet1!CY102,hhdcap_wcm,4)-(((VLOOKUP(Sheet1!CY102,hhdcap_wcm,3)-Sheet1!CY102)/(VLOOKUP(Sheet1!CY102,hhdcap_wcm,3)-VLOOKUP(Sheet1!CY102,hhdcap_wcm,1)))*(VLOOKUP(Sheet1!CY102,hhdcap_wcm,4)-VLOOKUP(Sheet1!CY102,hhdcap_wcm,2))))</f>
        <v>11746.690000023615</v>
      </c>
      <c r="DG102" s="712">
        <f t="shared" si="332"/>
        <v>358.80000000094515</v>
      </c>
      <c r="DH102" s="712">
        <f t="shared" si="333"/>
        <v>180.93797276900912</v>
      </c>
      <c r="DI102" s="712">
        <f>Sheet1!DW102*AFtoMG</f>
        <v>0</v>
      </c>
      <c r="DJ102" s="712">
        <f>Sheet1!DX102*AFtoMG</f>
        <v>0</v>
      </c>
      <c r="DK102" s="712">
        <f>Sheet1!DY102*AFtoMG</f>
        <v>0</v>
      </c>
      <c r="DL102" s="712">
        <f>Sheet1!DZ102*AFtoMG</f>
        <v>0</v>
      </c>
      <c r="DM102" s="712">
        <f t="shared" si="334"/>
        <v>0</v>
      </c>
      <c r="DN102" s="712">
        <f t="shared" si="335"/>
        <v>0</v>
      </c>
      <c r="DO102" s="712">
        <f t="shared" si="336"/>
        <v>1663.727744504472</v>
      </c>
      <c r="DP102" s="712">
        <f t="shared" si="337"/>
        <v>5104.31672013972</v>
      </c>
      <c r="DQ102" s="712"/>
      <c r="DR102" s="697">
        <f>IF(OR(B102&lt;FL102,B102&gt;FM102),(MIN(AV102+BO102+CJ102+MAX(Sheet1!AA102+AG102-73,0),K102)),0)</f>
        <v>8.5671342685370746</v>
      </c>
      <c r="DS102" s="712"/>
      <c r="DT102" s="712">
        <f t="shared" si="338"/>
        <v>8.5671342685370746</v>
      </c>
      <c r="DU102" s="712"/>
      <c r="DV102" s="712">
        <f>Sheet1!ED102+Sheet1!EE102+Sheet1!EF102+Sheet1!EG102</f>
        <v>8.5</v>
      </c>
      <c r="DW102" s="712"/>
      <c r="DX102" s="697">
        <f t="shared" si="376"/>
        <v>0</v>
      </c>
      <c r="DY102" s="712">
        <f>IF(Sheet1!FN102=1,SUM('Calculations II'!AT102:BA102)+'Calculations II'!BC102+Sheet1!BU102+'Calculations II'!BE102+AF102,SUM('Calculations II'!AT102:BA102)+'Calculations II'!BC102+Sheet1!BU102+'Calculations II'!BE102+AF102)</f>
        <v>43.987007999999996</v>
      </c>
      <c r="DZ102" s="712">
        <f>Sheet1!AA102+Sheet1!AB102+'Calculations II'!BC102</f>
        <v>54.539999999993597</v>
      </c>
      <c r="EA102" s="712"/>
      <c r="EB102" s="712"/>
      <c r="EC102" s="712">
        <f t="shared" si="339"/>
        <v>40631</v>
      </c>
      <c r="ED102" s="712">
        <f t="shared" si="340"/>
        <v>56.072865731462926</v>
      </c>
      <c r="EE102" s="712">
        <f t="shared" si="341"/>
        <v>86.744723286573148</v>
      </c>
      <c r="EF102" s="712">
        <f>-(VLOOKUP(Sheet1!BQ102,Lookup!$B$4:$J$236,2)-VLOOKUP(Sheet1!BQ101,Lookup!$B$4:$J$236,2))/1000000</f>
        <v>1.0952</v>
      </c>
      <c r="EG102" s="712">
        <f>-(VLOOKUP(Sheet1!BR102,Lookup!$B$4:$J$236,3)-VLOOKUP(Sheet1!BR101,Lookup!$B$4:$J$236,3))/1000000</f>
        <v>1.0935999999999999</v>
      </c>
      <c r="EH102" s="712">
        <f>-(VLOOKUP(Sheet1!BS102,Lookup!$B$4:$J$236,4)-VLOOKUP(Sheet1!BS101,Lookup!$B$4:$J$236,4))/1000000</f>
        <v>0</v>
      </c>
      <c r="EI102" s="697">
        <f t="shared" si="380"/>
        <v>2.1887999999999996</v>
      </c>
      <c r="EJ102" s="712"/>
      <c r="EK102" s="712"/>
      <c r="EL102" s="712"/>
      <c r="EM102" s="712"/>
      <c r="EN102" s="712"/>
      <c r="EO102" s="712"/>
      <c r="EP102" s="712"/>
      <c r="EQ102" s="712"/>
      <c r="ER102" s="697">
        <v>0</v>
      </c>
      <c r="ES102" s="712"/>
      <c r="ET102" s="794" t="e">
        <f t="shared" si="342"/>
        <v>#N/A</v>
      </c>
      <c r="EU102" s="794" t="e">
        <f t="shared" si="363"/>
        <v>#VALUE!</v>
      </c>
      <c r="EV102" s="795" t="e">
        <f t="shared" si="364"/>
        <v>#VALUE!</v>
      </c>
      <c r="EW102" s="796" t="s">
        <v>757</v>
      </c>
      <c r="EX102" s="796" t="s">
        <v>757</v>
      </c>
      <c r="EY102" s="794">
        <v>0</v>
      </c>
      <c r="EZ102" s="794" t="e">
        <v>#N/A</v>
      </c>
      <c r="FA102" s="712"/>
      <c r="FB102" s="712"/>
      <c r="FC102" s="712"/>
      <c r="FD102" s="712"/>
      <c r="FE102" s="712">
        <f>O102+Sheet1!CO102</f>
        <v>54.539999999993597</v>
      </c>
      <c r="FF102" s="712">
        <f>IF(Sheet1!AA102+AG102&lt;=Calculation!N102,AG102,Calculation!N102-Sheet1!AA102)</f>
        <v>16.432865731462929</v>
      </c>
      <c r="FG102" s="712">
        <f>(Sheet1!BP102+Sheet1!BO102)/694.4</f>
        <v>1.7191820276497696</v>
      </c>
      <c r="FH102" s="712"/>
      <c r="FI102" s="712"/>
      <c r="FJ102" s="712"/>
      <c r="FK102" s="712"/>
      <c r="FL102" s="714">
        <f t="shared" si="381"/>
        <v>40753</v>
      </c>
      <c r="FM102" s="714">
        <f t="shared" si="382"/>
        <v>40851</v>
      </c>
      <c r="FN102" s="712"/>
      <c r="FO102" s="712"/>
      <c r="FP102" s="712"/>
      <c r="FQ102" s="712"/>
      <c r="FR102" s="712"/>
      <c r="FS102" s="725">
        <f t="shared" si="383"/>
        <v>40603</v>
      </c>
      <c r="FT102" s="714">
        <f t="shared" si="384"/>
        <v>40709</v>
      </c>
      <c r="FU102" s="712">
        <f t="shared" si="385"/>
        <v>6518.9048239895692</v>
      </c>
      <c r="FV102" s="714">
        <f t="shared" si="386"/>
        <v>40722</v>
      </c>
      <c r="FW102" s="712">
        <f t="shared" si="387"/>
        <v>3259.4524119947846</v>
      </c>
      <c r="FX102" s="725">
        <f t="shared" si="388"/>
        <v>40851</v>
      </c>
      <c r="FZ102" s="697">
        <f t="shared" si="365"/>
        <v>0</v>
      </c>
      <c r="GA102" s="712" t="str">
        <f t="shared" si="343"/>
        <v/>
      </c>
      <c r="GB102" s="712">
        <f t="shared" si="344"/>
        <v>0</v>
      </c>
      <c r="GC102" s="712" t="str">
        <f t="shared" si="345"/>
        <v/>
      </c>
      <c r="GD102" s="712">
        <f>IF(GA102="P",Lookup!$M$12,IF(GA102="PP",Lookup!$M$13,IF(GA102="PPP",Lookup!$M$14,IF(GA102="T",Lookup!$M$15,IF(GA102="TP",Lookup!$M$16,IF(GA102="TPP",Lookup!$M$17,IF(GA102="TPPP",Lookup!$M$18,0)))))))*FZ102</f>
        <v>0</v>
      </c>
      <c r="GE102" s="712">
        <f t="shared" si="346"/>
        <v>0</v>
      </c>
      <c r="GF102" s="712">
        <f t="shared" si="347"/>
        <v>2396.3125333333319</v>
      </c>
      <c r="GG102" s="712">
        <f t="shared" si="348"/>
        <v>781.06666666666615</v>
      </c>
      <c r="GH102" s="712"/>
      <c r="GI102" s="712">
        <f t="shared" si="349"/>
        <v>0</v>
      </c>
      <c r="GJ102" s="712" t="str">
        <f t="shared" si="350"/>
        <v/>
      </c>
      <c r="GK102" s="712">
        <f>IF(GA102="P",Lookup!$N$12,IF(GA102="PP",Lookup!$N$13,IF(GA102="PPP",Lookup!$N$14,IF(GA102="T",Lookup!$N$15,IF(GA102="TP",Lookup!$N$16,IF(GA102="TPP",Lookup!$N$17,IF(GA102="TPPP",Lookup!$N$18,0)))))))*FZ102</f>
        <v>0</v>
      </c>
      <c r="GL102" s="712">
        <f t="shared" si="351"/>
        <v>0</v>
      </c>
      <c r="GM102" s="712">
        <f t="shared" si="352"/>
        <v>1118.2791822222218</v>
      </c>
      <c r="GN102" s="712">
        <f t="shared" si="353"/>
        <v>364.49777777777763</v>
      </c>
      <c r="GO102" s="712"/>
      <c r="GP102" s="712">
        <f t="shared" si="354"/>
        <v>0</v>
      </c>
      <c r="GQ102" s="712" t="str">
        <f t="shared" si="355"/>
        <v/>
      </c>
      <c r="GR102" s="712">
        <f>IF(GA102="P",Lookup!$N$12,IF(GA102="PP",Lookup!$N$13,IF(GA102="PPP",Lookup!$N$14,IF(GA102="T",Lookup!$N$15,IF(GA102="TP",Lookup!$N$16,IF(GA102="TPP",Lookup!$N$17,IF(GA102="TPPP",Lookup!$N$18,0)))))))*FZ102</f>
        <v>0</v>
      </c>
      <c r="GS102" s="697">
        <f t="shared" si="377"/>
        <v>0</v>
      </c>
      <c r="GT102" s="712">
        <f t="shared" si="356"/>
        <v>929.35977930828574</v>
      </c>
      <c r="GU102" s="712">
        <f t="shared" si="357"/>
        <v>302.92039742773329</v>
      </c>
      <c r="GV102" s="712"/>
      <c r="GW102" s="712">
        <f t="shared" si="358"/>
        <v>0</v>
      </c>
      <c r="GX102" s="712" t="str">
        <f t="shared" si="359"/>
        <v/>
      </c>
      <c r="GY102" s="712">
        <f>IF(GA102="P",Lookup!$N$12,IF(GA102="PP",Lookup!$N$13,IF(GA102="PPP",Lookup!$N$14,IF(GA102="T",Lookup!$N$15,IF(GA102="TP",Lookup!$N$16,IF(GA102="TPP",Lookup!$N$17,IF(GA102="TPPP",Lookup!$N$18,0)))))))*FZ102</f>
        <v>0</v>
      </c>
      <c r="GZ102" s="697">
        <f t="shared" si="378"/>
        <v>0</v>
      </c>
      <c r="HA102" s="712">
        <f t="shared" si="360"/>
        <v>660.36522527588033</v>
      </c>
      <c r="HB102" s="712">
        <f t="shared" si="361"/>
        <v>215.24290263229477</v>
      </c>
      <c r="HC102" s="712"/>
    </row>
    <row r="103" spans="1:211">
      <c r="A103" s="773" t="s">
        <v>6</v>
      </c>
      <c r="B103" s="708">
        <v>40632</v>
      </c>
      <c r="C103" s="719">
        <v>0.5</v>
      </c>
      <c r="D103" s="675">
        <f t="shared" si="366"/>
        <v>300</v>
      </c>
      <c r="E103" s="675">
        <f t="shared" si="367"/>
        <v>250</v>
      </c>
      <c r="F103" s="710">
        <v>250</v>
      </c>
      <c r="G103" s="712">
        <f>DH103+Sheet1!CV103</f>
        <v>4740.5063035866879</v>
      </c>
      <c r="H103" s="712">
        <f t="shared" si="294"/>
        <v>2797.300074638435</v>
      </c>
      <c r="I103" s="711">
        <f>MAX(Sheet1!Z103-AJ103+(Sheet1!CW103-E103)*CFStoMGD,0)</f>
        <v>1641.6065793686753</v>
      </c>
      <c r="J103" s="720">
        <f>IF(AND(B103&gt;=Calculation!FS103,B103&lt;=Calculation!FT103),IF(Sheet1!CX103&gt;=Calculation!D103,64.64,0),MAX(Sheet1!Z103-AJ103+(Sheet1!CX103-D103)*CFStoMGD,0))</f>
        <v>64.64</v>
      </c>
      <c r="K103" s="697">
        <f t="shared" si="368"/>
        <v>64.64</v>
      </c>
      <c r="L103" s="712">
        <f>Sheet1!AA103+Sheet1!AB103-Sheet1!L103+(Sheet1!CW103-F103)*CFStoMGD</f>
        <v>1659.4053333333356</v>
      </c>
      <c r="M103" s="712">
        <f t="shared" si="295"/>
        <v>3125.5485401312039</v>
      </c>
      <c r="N103" s="712">
        <f>IF(Sheet1!CW103&gt;=F103,MIN(73,MIN(MAX(L103,0),MAX(M103,0))),0)</f>
        <v>73</v>
      </c>
      <c r="O103" s="721">
        <f>Sheet1!AA103+Sheet1!AB103</f>
        <v>51.440000000002328</v>
      </c>
      <c r="P103" s="721">
        <f t="shared" si="296"/>
        <v>79.577680000003596</v>
      </c>
      <c r="Q103" s="712">
        <f>MIN(N103,Sheet1!AA103+AG103)</f>
        <v>47.188753964660236</v>
      </c>
      <c r="R103" s="712">
        <f t="shared" si="297"/>
        <v>4.2512460353420929</v>
      </c>
      <c r="S103" s="721">
        <f>Sheet1!Y103*MGDtoCFS</f>
        <v>45.358039999999995</v>
      </c>
      <c r="T103" s="721">
        <f>Sheet1!Z103*MGDtoCFS</f>
        <v>38.365600000000001</v>
      </c>
      <c r="U103" s="721">
        <f>Sheet1!AA103*MGDtoCFS</f>
        <v>44.770180000003599</v>
      </c>
      <c r="V103" s="721">
        <f>Sheet1!AB103*MGDtoCFS</f>
        <v>34.807499999999997</v>
      </c>
      <c r="W103" s="721">
        <f>Sheet1!L103*MGDtoCFS</f>
        <v>41.908229999999996</v>
      </c>
      <c r="X103" s="697">
        <f t="shared" si="369"/>
        <v>0</v>
      </c>
      <c r="Y103" s="712">
        <f t="shared" si="298"/>
        <v>0</v>
      </c>
      <c r="Z103" s="712">
        <f t="shared" si="299"/>
        <v>60.388753964657909</v>
      </c>
      <c r="AA103" s="712">
        <f t="shared" si="300"/>
        <v>93.421402383325784</v>
      </c>
      <c r="AB103" s="712">
        <f>(VLOOKUP(Sheet1!CY103,hhdcap_wcm,4)-(((VLOOKUP(Sheet1!CY103,hhdcap_wcm,3)-Sheet1!CY103)/(VLOOKUP(Sheet1!CY103,hhdcap_wcm,3)-VLOOKUP(Sheet1!CY103,hhdcap_wcm,1)))*(VLOOKUP(Sheet1!CY103,hhdcap_wcm,4)-VLOOKUP(Sheet1!CY103,hhdcap_wcm,2))))</f>
        <v>16550.520000036016</v>
      </c>
      <c r="AC103" s="712">
        <f t="shared" si="301"/>
        <v>4803.8300000124018</v>
      </c>
      <c r="AD103" s="712">
        <f t="shared" si="370"/>
        <v>1724.1164984691297</v>
      </c>
      <c r="AE103" s="712">
        <f t="shared" si="302"/>
        <v>5289.5894173032902</v>
      </c>
      <c r="AF103" s="712">
        <f>Sheet1!BA103+Sheet1!BB103+Sheet1!BN103+BT103</f>
        <v>17.899999999999999</v>
      </c>
      <c r="AG103" s="712">
        <f t="shared" si="303"/>
        <v>18.248753964657904</v>
      </c>
      <c r="AH103" s="712">
        <f>Sheet1!BA103+BT103</f>
        <v>0</v>
      </c>
      <c r="AI103" s="712">
        <f>Sheet1!BA103+Sheet1!BB103+BT103</f>
        <v>0</v>
      </c>
      <c r="AJ103" s="712">
        <f>IF((Sheet1!AA103+AG103+AX103+AZ103+BQ103+BS103+CL103+CN103)&lt;=N103,AG103+AX103+AZ103+BQ103+BS103+CL103+CN103,N103-Sheet1!AA103)</f>
        <v>18.248753964657904</v>
      </c>
      <c r="AK103" s="712">
        <f>IF(DR103&lt;K103,0,MAX(Sheet1!AA103+AG103-15/36*K103-N103,Sheet1!ED103,0))</f>
        <v>0</v>
      </c>
      <c r="AL103" s="712">
        <f>IF(OR(B103&gt;=FT103,B103&lt;FS103),0,15/36*K103-MAX(0,64.6-(137.6-(Sheet1!AA103+Sheet1!AB103))))</f>
        <v>26.933333333333334</v>
      </c>
      <c r="AM103" s="712">
        <f>Sheet1!CX103-110</f>
        <v>3001.0416666666665</v>
      </c>
      <c r="AN103" s="712">
        <f>Sheet1!CW103-265</f>
        <v>2514.4791666666665</v>
      </c>
      <c r="AO103" s="712">
        <f t="shared" si="371"/>
        <v>25.811246035339764</v>
      </c>
      <c r="AP103" s="712">
        <f t="shared" si="372"/>
        <v>0</v>
      </c>
      <c r="AQ103" s="712">
        <f t="shared" si="304"/>
        <v>0</v>
      </c>
      <c r="AR103" s="712">
        <f t="shared" si="305"/>
        <v>807.99999999999943</v>
      </c>
      <c r="AS103" s="712"/>
      <c r="AT103" s="712">
        <f ca="1">IF(B103&gt;Summary!$A$1,#N/A,AR103*MGtoAF)</f>
        <v>2478.9439999999981</v>
      </c>
      <c r="AU103" s="712">
        <f>Sheet1!BG103+Sheet1!BH103+Sheet1!BI103-BC103</f>
        <v>0</v>
      </c>
      <c r="AV103" s="712">
        <f t="shared" si="306"/>
        <v>0</v>
      </c>
      <c r="AW103" s="712">
        <f>IF(Sheet1!EL103="FM",BC103,0)</f>
        <v>0</v>
      </c>
      <c r="AX103" s="712">
        <f t="shared" si="307"/>
        <v>0</v>
      </c>
      <c r="AY103" s="712">
        <f>IF(Sheet1!EL103="OTHER",BC103,0)</f>
        <v>0</v>
      </c>
      <c r="AZ103" s="712">
        <f t="shared" si="308"/>
        <v>0</v>
      </c>
      <c r="BA103" s="712">
        <f t="shared" si="309"/>
        <v>0</v>
      </c>
      <c r="BB103" s="712">
        <f t="shared" si="310"/>
        <v>0</v>
      </c>
      <c r="BC103" s="712">
        <f>IF(OR(Sheet1!EL103="FM", Sheet1!EL103="OTHER"),SUM(Sheet1!BG103:'Sheet1'!BI103),0)</f>
        <v>0</v>
      </c>
      <c r="BD103" s="697">
        <f>IF(AND($B103&gt;=$FL103,$B103&lt;=$FM103),MAX(AV103,Sheet1!EE103,0),MAX(AV103-(7/36)*$K103,0))</f>
        <v>0</v>
      </c>
      <c r="BE103" s="712">
        <f t="shared" si="311"/>
        <v>12.568888888888889</v>
      </c>
      <c r="BF103" s="697">
        <f t="shared" si="373"/>
        <v>0</v>
      </c>
      <c r="BG103" s="697">
        <f>IF(AND($O103&gt;0,Sheet1!EI103=1),(1-($O103-Sheet1!$L103)/$O103)*BB103,0)</f>
        <v>0</v>
      </c>
      <c r="BH103" s="697">
        <f>IF(AND(Sheet1!$L103=0,Sheet1!$L102=0, Calculation!BA103&lt;Sheet1!$EE103-0.1,Sheet1!$EE103=Sheet1!$EE102,Sheet1!$EE103=Sheet1!$EE104),Sheet1!$EE103,BB103-BG103)</f>
        <v>0</v>
      </c>
      <c r="BI103" s="712"/>
      <c r="BJ103" s="712"/>
      <c r="BK103" s="712">
        <f t="shared" si="312"/>
        <v>377.06666666666649</v>
      </c>
      <c r="BL103" s="712"/>
      <c r="BM103" s="712">
        <f ca="1">IF(B103&gt;Summary!$A$1,#N/A,BK103*MGtoAF)</f>
        <v>1156.8405333333328</v>
      </c>
      <c r="BN103" s="712">
        <f>Sheet1!BC103+Sheet1!BD103+Sheet1!BE103+Sheet1!BF103-BW103-BX103</f>
        <v>1.17</v>
      </c>
      <c r="BO103" s="712">
        <f t="shared" si="313"/>
        <v>1.1927956502038966</v>
      </c>
      <c r="BP103" s="712">
        <f>IF(Sheet1!EM103="FM",BX103,0)</f>
        <v>0</v>
      </c>
      <c r="BQ103" s="712">
        <f t="shared" si="314"/>
        <v>0</v>
      </c>
      <c r="BR103" s="712">
        <f>IF(Sheet1!EM103="OTHER",BX103,0)</f>
        <v>0</v>
      </c>
      <c r="BS103" s="712">
        <f t="shared" si="315"/>
        <v>0</v>
      </c>
      <c r="BT103" s="712">
        <f t="shared" si="316"/>
        <v>0</v>
      </c>
      <c r="BU103" s="712">
        <f t="shared" si="317"/>
        <v>1.17</v>
      </c>
      <c r="BV103" s="712">
        <f t="shared" si="318"/>
        <v>1.1927956502038966</v>
      </c>
      <c r="BW103" s="712">
        <f>IF(Sheet1!EM103="CWA",SUM(Sheet1!BC103:'Sheet1'!BF103),0)</f>
        <v>0</v>
      </c>
      <c r="BX103" s="712">
        <f>IF(OR(Sheet1!EM103="FM", Sheet1!EM103="OTHER"),SUM(Sheet1!BC103:'Sheet1'!BF103),0)</f>
        <v>0</v>
      </c>
      <c r="BY103" s="697">
        <f>IF(AND($B103&gt;=$FL103,$B103&lt;=$FM103),MAX(BV103,Sheet1!EF103,0),MAX(BV103-(7/36)*$K103,0))</f>
        <v>0</v>
      </c>
      <c r="BZ103" s="712">
        <f t="shared" si="319"/>
        <v>11.376093238684993</v>
      </c>
      <c r="CA103" s="697">
        <f t="shared" si="374"/>
        <v>1.1927956502038966</v>
      </c>
      <c r="CB103" s="697">
        <f>IF(AND($O103&gt;0,Sheet1!EJ103=1),(1-($O103-Sheet1!$L103)/$O103)*BV103,0)</f>
        <v>0</v>
      </c>
      <c r="CC103" s="697">
        <f>IF(AND(Sheet1!$L103=0,Sheet1!$L102=0, Calculation!BU103&lt;Sheet1!EF103-0.1,Sheet1!EF103=Sheet1!EF102,Sheet1!EF103=Sheet1!EF104),Sheet1!EF103,BV103-CB103)</f>
        <v>1.1927956502038966</v>
      </c>
      <c r="CD103" s="697"/>
      <c r="CE103" s="712"/>
      <c r="CF103" s="712">
        <f t="shared" si="320"/>
        <v>314.29649066641826</v>
      </c>
      <c r="CG103" s="712"/>
      <c r="CH103" s="712">
        <f ca="1">IF(B103&gt;Summary!$A$1,#N/A,CF103*MGtoAF)</f>
        <v>964.26163336457125</v>
      </c>
      <c r="CI103" s="712">
        <f>Sheet1!BK103+Sheet1!BL103+Sheet1!BM103-Sheet1!EN103-CQ103</f>
        <v>3</v>
      </c>
      <c r="CJ103" s="712">
        <f t="shared" si="321"/>
        <v>3.0584503851381966</v>
      </c>
      <c r="CK103" s="712">
        <f>IF(Sheet1!EN103="FM",CQ103,0)</f>
        <v>0</v>
      </c>
      <c r="CL103" s="712">
        <f t="shared" si="322"/>
        <v>0</v>
      </c>
      <c r="CM103" s="712">
        <f>IF(Sheet1!EN103="OTHER",CQ103,0)</f>
        <v>0</v>
      </c>
      <c r="CN103" s="712">
        <f t="shared" si="323"/>
        <v>0</v>
      </c>
      <c r="CO103" s="712">
        <f t="shared" si="324"/>
        <v>3</v>
      </c>
      <c r="CP103" s="712">
        <f t="shared" si="325"/>
        <v>3.0584503851381966</v>
      </c>
      <c r="CQ103" s="712">
        <f>IF(OR(Sheet1!EN103="FM", Sheet1!EN103="OTHER"),SUM(Sheet1!BK103:'Sheet1'!BM103),0)</f>
        <v>0</v>
      </c>
      <c r="CR103" s="697">
        <f>IF(AND($B103&gt;=$FL103,$B103&lt;=$FM103),MAX($CJ103,Sheet1!EG103,0),MAX($CJ103-(7/36)*$K103,0))</f>
        <v>0</v>
      </c>
      <c r="CS103" s="712">
        <f t="shared" si="326"/>
        <v>9.5104385037506916</v>
      </c>
      <c r="CT103" s="697">
        <f t="shared" si="375"/>
        <v>3.0584503851381966</v>
      </c>
      <c r="CU103" s="697">
        <f>IF(AND($O103&gt;0,Sheet1!EK103=1),(1-($O103-Sheet1!$L103)/$O103)*CP103,0)</f>
        <v>0</v>
      </c>
      <c r="CV103" s="697">
        <f>IF(AND(Sheet1!$L103=0,Sheet1!$L102=0, Calculation!CO103&lt;Sheet1!$EG103-0.1,Sheet1!$EG103=Sheet1!$EG102,Sheet1!$EG103=Sheet1!$EG104),Sheet1!$EG103,CP103-CU103)</f>
        <v>3.0584503851381966</v>
      </c>
      <c r="CW103" s="697">
        <f t="shared" si="362"/>
        <v>0</v>
      </c>
      <c r="CX103" s="712">
        <f t="shared" si="379"/>
        <v>4.17</v>
      </c>
      <c r="CY103" s="712">
        <f t="shared" si="327"/>
        <v>224.75334113604546</v>
      </c>
      <c r="CZ103" s="712">
        <f t="shared" si="328"/>
        <v>4.2512460353420929</v>
      </c>
      <c r="DA103" s="712">
        <f ca="1">IF(B103&gt;Summary!$A$1,#N/A,CY103*MGtoAF)</f>
        <v>689.54325060538747</v>
      </c>
      <c r="DB103" s="712">
        <f t="shared" si="329"/>
        <v>4.17</v>
      </c>
      <c r="DC103" s="712">
        <f t="shared" si="330"/>
        <v>22.07</v>
      </c>
      <c r="DD103" s="712">
        <f>Sheet1!AB103-DC103</f>
        <v>0.42999999999999972</v>
      </c>
      <c r="DE103" s="712">
        <f t="shared" si="331"/>
        <v>1.9483461712732204E-2</v>
      </c>
      <c r="DF103" s="712">
        <f>(VLOOKUP(Sheet1!CY103,hhdcap_wcm,4)-(((VLOOKUP(Sheet1!CY103,hhdcap_wcm,3)-Sheet1!CY103)/(VLOOKUP(Sheet1!CY103,hhdcap_wcm,3)-VLOOKUP(Sheet1!CY103,hhdcap_wcm,1)))*(VLOOKUP(Sheet1!CY103,hhdcap_wcm,4)-VLOOKUP(Sheet1!CY103,hhdcap_wcm,2))))</f>
        <v>16550.520000036016</v>
      </c>
      <c r="DG103" s="712">
        <f t="shared" si="332"/>
        <v>4803.8300000124018</v>
      </c>
      <c r="DH103" s="712">
        <f t="shared" si="333"/>
        <v>2422.5063035866874</v>
      </c>
      <c r="DI103" s="712">
        <f>Sheet1!DW103*AFtoMG</f>
        <v>0</v>
      </c>
      <c r="DJ103" s="712">
        <f>Sheet1!DX103*AFtoMG</f>
        <v>0</v>
      </c>
      <c r="DK103" s="712">
        <f>Sheet1!DY103*AFtoMG</f>
        <v>0</v>
      </c>
      <c r="DL103" s="712">
        <f>Sheet1!DZ103*AFtoMG</f>
        <v>0</v>
      </c>
      <c r="DM103" s="712">
        <f t="shared" si="334"/>
        <v>0</v>
      </c>
      <c r="DN103" s="712">
        <f t="shared" si="335"/>
        <v>0</v>
      </c>
      <c r="DO103" s="712">
        <f t="shared" si="336"/>
        <v>1724.1164984691297</v>
      </c>
      <c r="DP103" s="712">
        <f t="shared" si="337"/>
        <v>5289.5894173032902</v>
      </c>
      <c r="DQ103" s="712"/>
      <c r="DR103" s="697">
        <f>IF(OR(B103&lt;FL103,B103&gt;FM103),(MIN(AV103+BO103+CJ103+MAX(Sheet1!AA103+AG103-73,0),K103)),0)</f>
        <v>4.2512460353420929</v>
      </c>
      <c r="DS103" s="712"/>
      <c r="DT103" s="712">
        <f t="shared" si="338"/>
        <v>4.2512460353420929</v>
      </c>
      <c r="DU103" s="712"/>
      <c r="DV103" s="712">
        <f>Sheet1!ED103+Sheet1!EE103+Sheet1!EF103+Sheet1!EG103</f>
        <v>8.5</v>
      </c>
      <c r="DW103" s="712"/>
      <c r="DX103" s="697">
        <f t="shared" si="376"/>
        <v>0</v>
      </c>
      <c r="DY103" s="712">
        <f>IF(Sheet1!FN103=1,SUM('Calculations II'!AT103:BA103)+'Calculations II'!BC103+Sheet1!BU103+'Calculations II'!BE103+AF103,SUM('Calculations II'!AT103:BA103)+'Calculations II'!BC103+Sheet1!BU103+'Calculations II'!BE103+AF103)</f>
        <v>42.549359999999993</v>
      </c>
      <c r="DZ103" s="712">
        <f>Sheet1!AA103+Sheet1!AB103+'Calculations II'!BC103</f>
        <v>51.440000000002328</v>
      </c>
      <c r="EA103" s="712"/>
      <c r="EB103" s="712"/>
      <c r="EC103" s="712">
        <f t="shared" si="339"/>
        <v>40632</v>
      </c>
      <c r="ED103" s="712">
        <f t="shared" si="340"/>
        <v>60.388753964657909</v>
      </c>
      <c r="EE103" s="712">
        <f t="shared" si="341"/>
        <v>93.421402383325784</v>
      </c>
      <c r="EF103" s="712">
        <f>-(VLOOKUP(Sheet1!BQ103,Lookup!$B$4:$J$236,2)-VLOOKUP(Sheet1!BQ102,Lookup!$B$4:$J$236,2))/1000000</f>
        <v>-1.6496</v>
      </c>
      <c r="EG103" s="712">
        <f>-(VLOOKUP(Sheet1!BR103,Lookup!$B$4:$J$236,3)-VLOOKUP(Sheet1!BR102,Lookup!$B$4:$J$236,3))/1000000</f>
        <v>-1.6437999999999999</v>
      </c>
      <c r="EH103" s="712">
        <f>-(VLOOKUP(Sheet1!BS103,Lookup!$B$4:$J$236,4)-VLOOKUP(Sheet1!BS102,Lookup!$B$4:$J$236,4))/1000000</f>
        <v>0</v>
      </c>
      <c r="EI103" s="697">
        <f t="shared" si="380"/>
        <v>-3.2934000000000001</v>
      </c>
      <c r="EJ103" s="712"/>
      <c r="EK103" s="712"/>
      <c r="EL103" s="712"/>
      <c r="EM103" s="712"/>
      <c r="EN103" s="712"/>
      <c r="EO103" s="712"/>
      <c r="EP103" s="712"/>
      <c r="EQ103" s="712"/>
      <c r="ER103" s="697">
        <v>0</v>
      </c>
      <c r="ES103" s="712"/>
      <c r="ET103" s="794" t="e">
        <f t="shared" si="342"/>
        <v>#N/A</v>
      </c>
      <c r="EU103" s="794" t="e">
        <f t="shared" si="363"/>
        <v>#VALUE!</v>
      </c>
      <c r="EV103" s="795" t="e">
        <f t="shared" si="364"/>
        <v>#VALUE!</v>
      </c>
      <c r="EW103" s="796" t="s">
        <v>757</v>
      </c>
      <c r="EX103" s="796" t="s">
        <v>757</v>
      </c>
      <c r="EY103" s="794">
        <v>0</v>
      </c>
      <c r="EZ103" s="794" t="e">
        <v>#N/A</v>
      </c>
      <c r="FA103" s="712"/>
      <c r="FB103" s="712"/>
      <c r="FC103" s="712"/>
      <c r="FD103" s="712"/>
      <c r="FE103" s="712">
        <f>O103+Sheet1!CO103</f>
        <v>51.440000000002328</v>
      </c>
      <c r="FF103" s="712">
        <f>IF(Sheet1!AA103+AG103&lt;=Calculation!N103,AG103,Calculation!N103-Sheet1!AA103)</f>
        <v>18.248753964657904</v>
      </c>
      <c r="FG103" s="712">
        <f>(Sheet1!BP103+Sheet1!BO103)/694.4</f>
        <v>1.2524481566820278</v>
      </c>
      <c r="FH103" s="712"/>
      <c r="FI103" s="712"/>
      <c r="FJ103" s="712"/>
      <c r="FK103" s="712"/>
      <c r="FL103" s="714">
        <f t="shared" si="381"/>
        <v>40753</v>
      </c>
      <c r="FM103" s="714">
        <f t="shared" si="382"/>
        <v>40851</v>
      </c>
      <c r="FN103" s="712"/>
      <c r="FO103" s="712"/>
      <c r="FP103" s="712"/>
      <c r="FQ103" s="712"/>
      <c r="FR103" s="712"/>
      <c r="FS103" s="725">
        <f t="shared" si="383"/>
        <v>40603</v>
      </c>
      <c r="FT103" s="714">
        <f t="shared" si="384"/>
        <v>40709</v>
      </c>
      <c r="FU103" s="712">
        <f t="shared" si="385"/>
        <v>6518.9048239895692</v>
      </c>
      <c r="FV103" s="714">
        <f t="shared" si="386"/>
        <v>40722</v>
      </c>
      <c r="FW103" s="712">
        <f t="shared" si="387"/>
        <v>3259.4524119947846</v>
      </c>
      <c r="FX103" s="725">
        <f t="shared" si="388"/>
        <v>40851</v>
      </c>
      <c r="FZ103" s="697">
        <f t="shared" si="365"/>
        <v>0</v>
      </c>
      <c r="GA103" s="712" t="str">
        <f t="shared" si="343"/>
        <v/>
      </c>
      <c r="GB103" s="712">
        <f t="shared" si="344"/>
        <v>0</v>
      </c>
      <c r="GC103" s="712" t="str">
        <f t="shared" si="345"/>
        <v/>
      </c>
      <c r="GD103" s="712">
        <f>IF(GA103="P",Lookup!$M$12,IF(GA103="PP",Lookup!$M$13,IF(GA103="PPP",Lookup!$M$14,IF(GA103="T",Lookup!$M$15,IF(GA103="TP",Lookup!$M$16,IF(GA103="TPP",Lookup!$M$17,IF(GA103="TPPP",Lookup!$M$18,0)))))))*FZ103</f>
        <v>0</v>
      </c>
      <c r="GE103" s="712">
        <f t="shared" si="346"/>
        <v>0</v>
      </c>
      <c r="GF103" s="712">
        <f t="shared" si="347"/>
        <v>2478.9439999999981</v>
      </c>
      <c r="GG103" s="712">
        <f t="shared" si="348"/>
        <v>807.99999999999943</v>
      </c>
      <c r="GH103" s="712"/>
      <c r="GI103" s="712">
        <f t="shared" si="349"/>
        <v>0</v>
      </c>
      <c r="GJ103" s="712" t="str">
        <f t="shared" si="350"/>
        <v/>
      </c>
      <c r="GK103" s="712">
        <f>IF(GA103="P",Lookup!$N$12,IF(GA103="PP",Lookup!$N$13,IF(GA103="PPP",Lookup!$N$14,IF(GA103="T",Lookup!$N$15,IF(GA103="TP",Lookup!$N$16,IF(GA103="TPP",Lookup!$N$17,IF(GA103="TPPP",Lookup!$N$18,0)))))))*FZ103</f>
        <v>0</v>
      </c>
      <c r="GL103" s="712">
        <f t="shared" si="351"/>
        <v>0</v>
      </c>
      <c r="GM103" s="712">
        <f t="shared" si="352"/>
        <v>1156.8405333333328</v>
      </c>
      <c r="GN103" s="712">
        <f t="shared" si="353"/>
        <v>377.06666666666649</v>
      </c>
      <c r="GO103" s="712"/>
      <c r="GP103" s="712">
        <f t="shared" si="354"/>
        <v>0</v>
      </c>
      <c r="GQ103" s="712" t="str">
        <f t="shared" si="355"/>
        <v/>
      </c>
      <c r="GR103" s="712">
        <f>IF(GA103="P",Lookup!$N$12,IF(GA103="PP",Lookup!$N$13,IF(GA103="PPP",Lookup!$N$14,IF(GA103="T",Lookup!$N$15,IF(GA103="TP",Lookup!$N$16,IF(GA103="TPP",Lookup!$N$17,IF(GA103="TPPP",Lookup!$N$18,0)))))))*FZ103</f>
        <v>0</v>
      </c>
      <c r="GS103" s="697">
        <f t="shared" si="377"/>
        <v>0</v>
      </c>
      <c r="GT103" s="712">
        <f t="shared" si="356"/>
        <v>964.26163336457125</v>
      </c>
      <c r="GU103" s="712">
        <f t="shared" si="357"/>
        <v>314.29649066641826</v>
      </c>
      <c r="GV103" s="712"/>
      <c r="GW103" s="712">
        <f t="shared" si="358"/>
        <v>0</v>
      </c>
      <c r="GX103" s="712" t="str">
        <f t="shared" si="359"/>
        <v/>
      </c>
      <c r="GY103" s="712">
        <f>IF(GA103="P",Lookup!$N$12,IF(GA103="PP",Lookup!$N$13,IF(GA103="PPP",Lookup!$N$14,IF(GA103="T",Lookup!$N$15,IF(GA103="TP",Lookup!$N$16,IF(GA103="TPP",Lookup!$N$17,IF(GA103="TPPP",Lookup!$N$18,0)))))))*FZ103</f>
        <v>0</v>
      </c>
      <c r="GZ103" s="697">
        <f t="shared" si="378"/>
        <v>0</v>
      </c>
      <c r="HA103" s="712">
        <f t="shared" si="360"/>
        <v>689.54325060538747</v>
      </c>
      <c r="HB103" s="712">
        <f t="shared" si="361"/>
        <v>224.75334113604546</v>
      </c>
      <c r="HC103" s="712"/>
    </row>
    <row r="104" spans="1:211">
      <c r="A104" s="773" t="s">
        <v>7</v>
      </c>
      <c r="B104" s="708">
        <v>40633</v>
      </c>
      <c r="C104" s="709">
        <v>0.5</v>
      </c>
      <c r="D104" s="675">
        <f t="shared" si="366"/>
        <v>300</v>
      </c>
      <c r="E104" s="675">
        <f t="shared" si="367"/>
        <v>250</v>
      </c>
      <c r="F104" s="675">
        <v>250</v>
      </c>
      <c r="G104" s="712">
        <f>DH104+Sheet1!CV104</f>
        <v>9906.7062531629163</v>
      </c>
      <c r="H104" s="712">
        <f t="shared" si="294"/>
        <v>6136.7317220445084</v>
      </c>
      <c r="I104" s="711">
        <f>MAX(Sheet1!Z104-AJ104+(Sheet1!CW104-E104)*CFStoMGD,0)</f>
        <v>4783.6144200913268</v>
      </c>
      <c r="J104" s="720">
        <f>IF(AND(B104&gt;=Calculation!FS104,B104&lt;=Calculation!FT104),IF(Sheet1!CX104&gt;=Calculation!D104,64.64,0),MAX(Sheet1!Z104-AJ104+(Sheet1!CX104-D104)*CFStoMGD,0))</f>
        <v>64.64</v>
      </c>
      <c r="K104" s="697">
        <f t="shared" si="368"/>
        <v>64.64</v>
      </c>
      <c r="L104" s="712">
        <f>Sheet1!AA104+Sheet1!AB104-Sheet1!L104+(Sheet1!CW104-F104)*CFStoMGD</f>
        <v>4779.3486666666604</v>
      </c>
      <c r="M104" s="712">
        <f t="shared" si="295"/>
        <v>6531.7688204853994</v>
      </c>
      <c r="N104" s="712">
        <f>IF(Sheet1!CW104&gt;=F104,MIN(73,MIN(MAX(L104,0),MAX(M104,0))),0)</f>
        <v>73</v>
      </c>
      <c r="O104" s="721">
        <f>Sheet1!AA104+Sheet1!AB104</f>
        <v>43.509999999994761</v>
      </c>
      <c r="P104" s="721">
        <f t="shared" si="296"/>
        <v>67.309969999991893</v>
      </c>
      <c r="Q104" s="712">
        <f>MIN(N104,Sheet1!AA104+AG104)</f>
        <v>42.844246575337351</v>
      </c>
      <c r="R104" s="712">
        <f t="shared" si="297"/>
        <v>0.66575342465741472</v>
      </c>
      <c r="S104" s="721">
        <f>Sheet1!Y104*MGDtoCFS</f>
        <v>42.449680000000001</v>
      </c>
      <c r="T104" s="721">
        <f>Sheet1!Z104*MGDtoCFS</f>
        <v>29.841629999999999</v>
      </c>
      <c r="U104" s="721">
        <f>Sheet1!AA104*MGDtoCFS</f>
        <v>42.248569999996398</v>
      </c>
      <c r="V104" s="721">
        <f>Sheet1!AB104*MGDtoCFS</f>
        <v>25.061399999995498</v>
      </c>
      <c r="W104" s="721">
        <f>Sheet1!L104*MGDtoCFS</f>
        <v>68.098939999999999</v>
      </c>
      <c r="X104" s="697">
        <f t="shared" si="369"/>
        <v>0</v>
      </c>
      <c r="Y104" s="712">
        <f t="shared" si="298"/>
        <v>0</v>
      </c>
      <c r="Z104" s="712">
        <f t="shared" si="299"/>
        <v>63.974246575342583</v>
      </c>
      <c r="AA104" s="712">
        <f t="shared" si="300"/>
        <v>98.968159452054977</v>
      </c>
      <c r="AB104" s="712">
        <f>(VLOOKUP(Sheet1!CY104,hhdcap_wcm,4)-(((VLOOKUP(Sheet1!CY104,hhdcap_wcm,3)-Sheet1!CY104)/(VLOOKUP(Sheet1!CY104,hhdcap_wcm,3)-VLOOKUP(Sheet1!CY104,hhdcap_wcm,1)))*(VLOOKUP(Sheet1!CY104,hhdcap_wcm,4)-VLOOKUP(Sheet1!CY104,hhdcap_wcm,2))))</f>
        <v>23961.400000058078</v>
      </c>
      <c r="AC104" s="712">
        <f t="shared" si="301"/>
        <v>7410.8800000220617</v>
      </c>
      <c r="AD104" s="712">
        <f t="shared" si="370"/>
        <v>1788.090745044472</v>
      </c>
      <c r="AE104" s="712">
        <f t="shared" si="302"/>
        <v>5485.8624057964398</v>
      </c>
      <c r="AF104" s="712">
        <f>Sheet1!BA104+Sheet1!BB104+Sheet1!BN104+BT104</f>
        <v>15.4</v>
      </c>
      <c r="AG104" s="712">
        <f t="shared" si="303"/>
        <v>15.534246575339676</v>
      </c>
      <c r="AH104" s="712">
        <f>Sheet1!BA104+BT104</f>
        <v>0</v>
      </c>
      <c r="AI104" s="712">
        <f>Sheet1!BA104+Sheet1!BB104+BT104</f>
        <v>0</v>
      </c>
      <c r="AJ104" s="712">
        <f>IF((Sheet1!AA104+AG104+AX104+AZ104+BQ104+BS104+CL104+CN104)&lt;=N104,AG104+AX104+AZ104+BQ104+BS104+CL104+CN104,N104-Sheet1!AA104)</f>
        <v>15.534246575339676</v>
      </c>
      <c r="AK104" s="712">
        <f>IF(DR104&lt;K104,0,MAX(Sheet1!AA104+AG104-15/36*K104-N104,Sheet1!ED104,0))</f>
        <v>0</v>
      </c>
      <c r="AL104" s="712">
        <f>IF(OR(B104&gt;=FT104,B104&lt;FS104),0,15/36*K104-MAX(0,64.6-(137.6-(Sheet1!AA104+Sheet1!AB104))))</f>
        <v>26.933333333333334</v>
      </c>
      <c r="AM104" s="712">
        <f>Sheet1!CX104-110</f>
        <v>6064.479166666667</v>
      </c>
      <c r="AN104" s="712">
        <f>Sheet1!CW104-265</f>
        <v>7379.583333333333</v>
      </c>
      <c r="AO104" s="712">
        <f t="shared" si="371"/>
        <v>30.155753424662649</v>
      </c>
      <c r="AP104" s="712">
        <f t="shared" si="372"/>
        <v>0</v>
      </c>
      <c r="AQ104" s="712">
        <f t="shared" si="304"/>
        <v>0</v>
      </c>
      <c r="AR104" s="712">
        <f t="shared" si="305"/>
        <v>834.93333333333271</v>
      </c>
      <c r="AS104" s="712"/>
      <c r="AT104" s="712">
        <f ca="1">IF(B104&gt;Summary!$A$1,#N/A,AR104*MGtoAF)</f>
        <v>2561.5754666666649</v>
      </c>
      <c r="AU104" s="712">
        <f>Sheet1!BG104+Sheet1!BH104+Sheet1!BI104-BC104</f>
        <v>0</v>
      </c>
      <c r="AV104" s="712">
        <f t="shared" si="306"/>
        <v>0</v>
      </c>
      <c r="AW104" s="712">
        <f>IF(Sheet1!EL104="FM",BC104,0)</f>
        <v>0</v>
      </c>
      <c r="AX104" s="712">
        <f t="shared" si="307"/>
        <v>0</v>
      </c>
      <c r="AY104" s="712">
        <f>IF(Sheet1!EL104="OTHER",BC104,0)</f>
        <v>0</v>
      </c>
      <c r="AZ104" s="712">
        <f t="shared" si="308"/>
        <v>0</v>
      </c>
      <c r="BA104" s="712">
        <f t="shared" si="309"/>
        <v>0</v>
      </c>
      <c r="BB104" s="712">
        <f t="shared" si="310"/>
        <v>0</v>
      </c>
      <c r="BC104" s="712">
        <f>IF(OR(Sheet1!EL104="FM", Sheet1!EL104="OTHER"),SUM(Sheet1!BG104:'Sheet1'!BI104),0)</f>
        <v>0</v>
      </c>
      <c r="BD104" s="697">
        <f>IF(AND($B104&gt;=$FL104,$B104&lt;=$FM104),MAX(AV104,Sheet1!EE104,0),MAX(AV104-(7/36)*$K104,0))</f>
        <v>0</v>
      </c>
      <c r="BE104" s="712">
        <f t="shared" si="311"/>
        <v>12.568888888888889</v>
      </c>
      <c r="BF104" s="697">
        <f t="shared" si="373"/>
        <v>0</v>
      </c>
      <c r="BG104" s="697">
        <f>IF(AND($O104&gt;0,Sheet1!EI104=1),(1-($O104-Sheet1!$L104)/$O104)*BB104,0)</f>
        <v>0</v>
      </c>
      <c r="BH104" s="697">
        <f>IF(AND(Sheet1!$L104=0,Sheet1!$L103=0, Calculation!BA104&lt;Sheet1!$EE104-0.1,Sheet1!$EE104=Sheet1!$EE103,Sheet1!$EE104=Sheet1!$EE105),Sheet1!$EE104,BB104-BG104)</f>
        <v>0</v>
      </c>
      <c r="BI104" s="712"/>
      <c r="BJ104" s="712"/>
      <c r="BK104" s="712">
        <f t="shared" si="312"/>
        <v>389.63555555555536</v>
      </c>
      <c r="BL104" s="712"/>
      <c r="BM104" s="712">
        <f ca="1">IF(B104&gt;Summary!$A$1,#N/A,BK104*MGtoAF)</f>
        <v>1195.4018844444438</v>
      </c>
      <c r="BN104" s="712">
        <f>Sheet1!BC104+Sheet1!BD104+Sheet1!BE104+Sheet1!BF104-BW104-BX104</f>
        <v>0</v>
      </c>
      <c r="BO104" s="712">
        <f t="shared" si="313"/>
        <v>0</v>
      </c>
      <c r="BP104" s="712">
        <f>IF(Sheet1!EM104="FM",BX104,0)</f>
        <v>0</v>
      </c>
      <c r="BQ104" s="712">
        <f t="shared" si="314"/>
        <v>0</v>
      </c>
      <c r="BR104" s="712">
        <f>IF(Sheet1!EM104="OTHER",BX104,0)</f>
        <v>0</v>
      </c>
      <c r="BS104" s="712">
        <f t="shared" si="315"/>
        <v>0</v>
      </c>
      <c r="BT104" s="712">
        <f t="shared" si="316"/>
        <v>0</v>
      </c>
      <c r="BU104" s="712">
        <f t="shared" si="317"/>
        <v>0</v>
      </c>
      <c r="BV104" s="712">
        <f t="shared" si="318"/>
        <v>0</v>
      </c>
      <c r="BW104" s="712">
        <f>IF(Sheet1!EM104="CWA",SUM(Sheet1!BC104:'Sheet1'!BF104),0)</f>
        <v>0</v>
      </c>
      <c r="BX104" s="712">
        <f>IF(OR(Sheet1!EM104="FM", Sheet1!EM104="OTHER"),SUM(Sheet1!BC104:'Sheet1'!BF104),0)</f>
        <v>0</v>
      </c>
      <c r="BY104" s="697">
        <f>IF(AND($B104&gt;=$FL104,$B104&lt;=$FM104),MAX(BV104,Sheet1!EF104,0),MAX(BV104-(7/36)*$K104,0))</f>
        <v>0</v>
      </c>
      <c r="BZ104" s="712">
        <f t="shared" si="319"/>
        <v>12.568888888888889</v>
      </c>
      <c r="CA104" s="697">
        <f t="shared" si="374"/>
        <v>0</v>
      </c>
      <c r="CB104" s="697">
        <f>IF(AND($O104&gt;0,Sheet1!EJ104=1),(1-($O104-Sheet1!$L104)/$O104)*BV104,0)</f>
        <v>0</v>
      </c>
      <c r="CC104" s="697">
        <f>IF(AND(Sheet1!$L104=0,Sheet1!$L103=0, Calculation!BU104&lt;Sheet1!EF104-0.1,Sheet1!EF104=Sheet1!EF103,Sheet1!EF104=Sheet1!EF105),Sheet1!EF104,BV104-CB104)</f>
        <v>0</v>
      </c>
      <c r="CD104" s="697"/>
      <c r="CE104" s="712"/>
      <c r="CF104" s="712">
        <f t="shared" si="320"/>
        <v>326.86537955530713</v>
      </c>
      <c r="CG104" s="712"/>
      <c r="CH104" s="712">
        <f ca="1">IF(B104&gt;Summary!$A$1,#N/A,CF104*MGtoAF)</f>
        <v>1002.8229844756823</v>
      </c>
      <c r="CI104" s="712">
        <f>Sheet1!BK104+Sheet1!BL104+Sheet1!BM104-Sheet1!EN104-CQ104</f>
        <v>0.66</v>
      </c>
      <c r="CJ104" s="712">
        <f t="shared" si="321"/>
        <v>0.66575342465741472</v>
      </c>
      <c r="CK104" s="712">
        <f>IF(Sheet1!EN104="FM",CQ104,0)</f>
        <v>0</v>
      </c>
      <c r="CL104" s="712">
        <f t="shared" si="322"/>
        <v>0</v>
      </c>
      <c r="CM104" s="712">
        <f>IF(Sheet1!EN104="OTHER",CQ104,0)</f>
        <v>0</v>
      </c>
      <c r="CN104" s="712">
        <f t="shared" si="323"/>
        <v>0</v>
      </c>
      <c r="CO104" s="712">
        <f t="shared" si="324"/>
        <v>0.66</v>
      </c>
      <c r="CP104" s="712">
        <f t="shared" si="325"/>
        <v>0.66575342465741472</v>
      </c>
      <c r="CQ104" s="712">
        <f>IF(OR(Sheet1!EN104="FM", Sheet1!EN104="OTHER"),SUM(Sheet1!BK104:'Sheet1'!BM104),0)</f>
        <v>0</v>
      </c>
      <c r="CR104" s="697">
        <f>IF(AND($B104&gt;=$FL104,$B104&lt;=$FM104),MAX($CJ104,Sheet1!EG104,0),MAX($CJ104-(7/36)*$K104,0))</f>
        <v>0</v>
      </c>
      <c r="CS104" s="712">
        <f t="shared" si="326"/>
        <v>11.903135464231474</v>
      </c>
      <c r="CT104" s="697">
        <f t="shared" si="375"/>
        <v>0.66575342465741472</v>
      </c>
      <c r="CU104" s="697">
        <f>IF(AND($O104&gt;0,Sheet1!EK104=1),(1-($O104-Sheet1!$L104)/$O104)*CP104,0)</f>
        <v>0</v>
      </c>
      <c r="CV104" s="697">
        <f>IF(AND(Sheet1!$L104=0,Sheet1!$L103=0, Calculation!CO104&lt;Sheet1!$EG104-0.1,Sheet1!$EG104=Sheet1!$EG103,Sheet1!$EG104=Sheet1!$EG105),Sheet1!$EG104,CP104-CU104)</f>
        <v>0.66575342465741472</v>
      </c>
      <c r="CW104" s="697">
        <f t="shared" si="362"/>
        <v>0</v>
      </c>
      <c r="CX104" s="712">
        <f t="shared" si="379"/>
        <v>0.66</v>
      </c>
      <c r="CY104" s="712">
        <f t="shared" si="327"/>
        <v>236.65647660027693</v>
      </c>
      <c r="CZ104" s="712">
        <f t="shared" si="328"/>
        <v>0.66575342465741472</v>
      </c>
      <c r="DA104" s="712">
        <f ca="1">IF(B104&gt;Summary!$A$1,#N/A,CY104*MGtoAF)</f>
        <v>726.06207020964962</v>
      </c>
      <c r="DB104" s="712">
        <f t="shared" si="329"/>
        <v>0.66</v>
      </c>
      <c r="DC104" s="712">
        <f t="shared" si="330"/>
        <v>16.059999999999999</v>
      </c>
      <c r="DD104" s="712">
        <f>Sheet1!AB104-DC104</f>
        <v>0.1399999999970909</v>
      </c>
      <c r="DE104" s="712">
        <f t="shared" si="331"/>
        <v>8.7173100869919612E-3</v>
      </c>
      <c r="DF104" s="712">
        <f>(VLOOKUP(Sheet1!CY104,hhdcap_wcm,4)-(((VLOOKUP(Sheet1!CY104,hhdcap_wcm,3)-Sheet1!CY104)/(VLOOKUP(Sheet1!CY104,hhdcap_wcm,3)-VLOOKUP(Sheet1!CY104,hhdcap_wcm,1)))*(VLOOKUP(Sheet1!CY104,hhdcap_wcm,4)-VLOOKUP(Sheet1!CY104,hhdcap_wcm,2))))</f>
        <v>23961.400000058078</v>
      </c>
      <c r="DG104" s="712">
        <f t="shared" si="332"/>
        <v>7410.8800000220617</v>
      </c>
      <c r="DH104" s="712">
        <f t="shared" si="333"/>
        <v>3737.2062531629153</v>
      </c>
      <c r="DI104" s="712">
        <f>Sheet1!DW104*AFtoMG</f>
        <v>0</v>
      </c>
      <c r="DJ104" s="712">
        <f>Sheet1!DX104*AFtoMG</f>
        <v>0</v>
      </c>
      <c r="DK104" s="712">
        <f>Sheet1!DY104*AFtoMG</f>
        <v>0</v>
      </c>
      <c r="DL104" s="712">
        <f>Sheet1!DZ104*AFtoMG</f>
        <v>0</v>
      </c>
      <c r="DM104" s="712">
        <f t="shared" si="334"/>
        <v>0</v>
      </c>
      <c r="DN104" s="712">
        <f t="shared" si="335"/>
        <v>0</v>
      </c>
      <c r="DO104" s="712">
        <f t="shared" si="336"/>
        <v>1788.090745044472</v>
      </c>
      <c r="DP104" s="712">
        <f t="shared" si="337"/>
        <v>5485.8624057964398</v>
      </c>
      <c r="DQ104" s="712"/>
      <c r="DR104" s="697">
        <f>IF(OR(B104&lt;FL104,B104&gt;FM104),(MIN(AV104+BO104+CJ104+MAX(Sheet1!AA104+AG104-73,0),K104)),0)</f>
        <v>0.66575342465741472</v>
      </c>
      <c r="DS104" s="712"/>
      <c r="DT104" s="712">
        <f t="shared" si="338"/>
        <v>0.66575342465741472</v>
      </c>
      <c r="DU104" s="712"/>
      <c r="DV104" s="712">
        <f>Sheet1!ED104+Sheet1!EE104+Sheet1!EF104+Sheet1!EG104</f>
        <v>8.5</v>
      </c>
      <c r="DW104" s="712"/>
      <c r="DX104" s="697">
        <f t="shared" si="376"/>
        <v>0</v>
      </c>
      <c r="DY104" s="712">
        <f>IF(Sheet1!FN104=1,SUM('Calculations II'!AT104:BA104)+'Calculations II'!BC104+Sheet1!BU104+'Calculations II'!BE104+AF104,SUM('Calculations II'!AT104:BA104)+'Calculations II'!BC104+Sheet1!BU104+'Calculations II'!BE104+AF104)</f>
        <v>45.614319999999999</v>
      </c>
      <c r="DZ104" s="712">
        <f>Sheet1!AA104+Sheet1!AB104+'Calculations II'!BC104</f>
        <v>43.509999999994761</v>
      </c>
      <c r="EA104" s="712"/>
      <c r="EB104" s="712"/>
      <c r="EC104" s="712">
        <f t="shared" si="339"/>
        <v>40633</v>
      </c>
      <c r="ED104" s="712">
        <f t="shared" si="340"/>
        <v>63.974246575342583</v>
      </c>
      <c r="EE104" s="712">
        <f t="shared" si="341"/>
        <v>98.968159452054977</v>
      </c>
      <c r="EF104" s="712">
        <f>-(VLOOKUP(Sheet1!BQ104,Lookup!$B$4:$J$236,2)-VLOOKUP(Sheet1!BQ103,Lookup!$B$4:$J$236,2))/1000000</f>
        <v>1.3757999999999999</v>
      </c>
      <c r="EG104" s="712">
        <f>-(VLOOKUP(Sheet1!BR104,Lookup!$B$4:$J$236,3)-VLOOKUP(Sheet1!BR103,Lookup!$B$4:$J$236,3))/1000000</f>
        <v>1.3704000000000001</v>
      </c>
      <c r="EH104" s="712">
        <f>-(VLOOKUP(Sheet1!BS104,Lookup!$B$4:$J$236,4)-VLOOKUP(Sheet1!BS103,Lookup!$B$4:$J$236,4))/1000000</f>
        <v>0</v>
      </c>
      <c r="EI104" s="697">
        <f t="shared" si="380"/>
        <v>2.7462</v>
      </c>
      <c r="EJ104" s="712"/>
      <c r="EK104" s="712"/>
      <c r="EL104" s="712"/>
      <c r="EM104" s="712"/>
      <c r="EN104" s="712"/>
      <c r="EO104" s="712"/>
      <c r="EP104" s="712"/>
      <c r="EQ104" s="712"/>
      <c r="ER104" s="697">
        <v>0</v>
      </c>
      <c r="ES104" s="712"/>
      <c r="ET104" s="794" t="e">
        <f t="shared" si="342"/>
        <v>#N/A</v>
      </c>
      <c r="EU104" s="794" t="e">
        <f t="shared" si="363"/>
        <v>#VALUE!</v>
      </c>
      <c r="EV104" s="795" t="e">
        <f t="shared" si="364"/>
        <v>#VALUE!</v>
      </c>
      <c r="EW104" s="796" t="s">
        <v>757</v>
      </c>
      <c r="EX104" s="796" t="s">
        <v>757</v>
      </c>
      <c r="EY104" s="794">
        <v>0</v>
      </c>
      <c r="EZ104" s="794" t="e">
        <v>#N/A</v>
      </c>
      <c r="FA104" s="712"/>
      <c r="FB104" s="712"/>
      <c r="FC104" s="712"/>
      <c r="FD104" s="712"/>
      <c r="FE104" s="712">
        <f>O104+Sheet1!CO104</f>
        <v>43.509999999994761</v>
      </c>
      <c r="FF104" s="712">
        <f>IF(Sheet1!AA104+AG104&lt;=Calculation!N104,AG104,Calculation!N104-Sheet1!AA104)</f>
        <v>15.534246575339676</v>
      </c>
      <c r="FG104" s="712">
        <f>(Sheet1!BP104+Sheet1!BO104)/694.4</f>
        <v>1.6797235023041477</v>
      </c>
      <c r="FH104" s="712"/>
      <c r="FI104" s="712"/>
      <c r="FJ104" s="712"/>
      <c r="FK104" s="712"/>
      <c r="FL104" s="714">
        <f t="shared" si="381"/>
        <v>40753</v>
      </c>
      <c r="FM104" s="714">
        <f t="shared" si="382"/>
        <v>40851</v>
      </c>
      <c r="FN104" s="712"/>
      <c r="FO104" s="712"/>
      <c r="FP104" s="712"/>
      <c r="FQ104" s="712"/>
      <c r="FR104" s="712"/>
      <c r="FS104" s="725">
        <f t="shared" si="383"/>
        <v>40603</v>
      </c>
      <c r="FT104" s="714">
        <f t="shared" si="384"/>
        <v>40709</v>
      </c>
      <c r="FU104" s="712">
        <f t="shared" si="385"/>
        <v>6518.9048239895692</v>
      </c>
      <c r="FV104" s="714">
        <f t="shared" si="386"/>
        <v>40722</v>
      </c>
      <c r="FW104" s="712">
        <f t="shared" si="387"/>
        <v>3259.4524119947846</v>
      </c>
      <c r="FX104" s="725">
        <f t="shared" si="388"/>
        <v>40851</v>
      </c>
      <c r="FZ104" s="697">
        <f t="shared" si="365"/>
        <v>0</v>
      </c>
      <c r="GA104" s="712" t="str">
        <f t="shared" si="343"/>
        <v/>
      </c>
      <c r="GB104" s="712">
        <f t="shared" si="344"/>
        <v>0</v>
      </c>
      <c r="GC104" s="712" t="str">
        <f t="shared" si="345"/>
        <v/>
      </c>
      <c r="GD104" s="712">
        <f>IF(GA104="P",Lookup!$M$12,IF(GA104="PP",Lookup!$M$13,IF(GA104="PPP",Lookup!$M$14,IF(GA104="T",Lookup!$M$15,IF(GA104="TP",Lookup!$M$16,IF(GA104="TPP",Lookup!$M$17,IF(GA104="TPPP",Lookup!$M$18,0)))))))*FZ104</f>
        <v>0</v>
      </c>
      <c r="GE104" s="712">
        <f t="shared" si="346"/>
        <v>0</v>
      </c>
      <c r="GF104" s="712">
        <f t="shared" si="347"/>
        <v>2561.5754666666649</v>
      </c>
      <c r="GG104" s="712">
        <f t="shared" si="348"/>
        <v>834.93333333333271</v>
      </c>
      <c r="GH104" s="712"/>
      <c r="GI104" s="712">
        <f t="shared" si="349"/>
        <v>0</v>
      </c>
      <c r="GJ104" s="712" t="str">
        <f t="shared" si="350"/>
        <v/>
      </c>
      <c r="GK104" s="712">
        <f>IF(GA104="P",Lookup!$N$12,IF(GA104="PP",Lookup!$N$13,IF(GA104="PPP",Lookup!$N$14,IF(GA104="T",Lookup!$N$15,IF(GA104="TP",Lookup!$N$16,IF(GA104="TPP",Lookup!$N$17,IF(GA104="TPPP",Lookup!$N$18,0)))))))*FZ104</f>
        <v>0</v>
      </c>
      <c r="GL104" s="712">
        <f t="shared" si="351"/>
        <v>0</v>
      </c>
      <c r="GM104" s="712">
        <f t="shared" si="352"/>
        <v>1195.4018844444438</v>
      </c>
      <c r="GN104" s="712">
        <f t="shared" si="353"/>
        <v>389.63555555555536</v>
      </c>
      <c r="GO104" s="712"/>
      <c r="GP104" s="712">
        <f t="shared" si="354"/>
        <v>0</v>
      </c>
      <c r="GQ104" s="712" t="str">
        <f t="shared" si="355"/>
        <v/>
      </c>
      <c r="GR104" s="712">
        <f>IF(GA104="P",Lookup!$N$12,IF(GA104="PP",Lookup!$N$13,IF(GA104="PPP",Lookup!$N$14,IF(GA104="T",Lookup!$N$15,IF(GA104="TP",Lookup!$N$16,IF(GA104="TPP",Lookup!$N$17,IF(GA104="TPPP",Lookup!$N$18,0)))))))*FZ104</f>
        <v>0</v>
      </c>
      <c r="GS104" s="697">
        <f t="shared" si="377"/>
        <v>0</v>
      </c>
      <c r="GT104" s="712">
        <f t="shared" si="356"/>
        <v>1002.8229844756823</v>
      </c>
      <c r="GU104" s="712">
        <f t="shared" si="357"/>
        <v>326.86537955530713</v>
      </c>
      <c r="GV104" s="712"/>
      <c r="GW104" s="712">
        <f t="shared" si="358"/>
        <v>0</v>
      </c>
      <c r="GX104" s="712" t="str">
        <f t="shared" si="359"/>
        <v/>
      </c>
      <c r="GY104" s="712">
        <f>IF(GA104="P",Lookup!$N$12,IF(GA104="PP",Lookup!$N$13,IF(GA104="PPP",Lookup!$N$14,IF(GA104="T",Lookup!$N$15,IF(GA104="TP",Lookup!$N$16,IF(GA104="TPP",Lookup!$N$17,IF(GA104="TPPP",Lookup!$N$18,0)))))))*FZ104</f>
        <v>0</v>
      </c>
      <c r="GZ104" s="697">
        <f t="shared" si="378"/>
        <v>0</v>
      </c>
      <c r="HA104" s="712">
        <f t="shared" si="360"/>
        <v>726.06207020964962</v>
      </c>
      <c r="HB104" s="712">
        <f t="shared" si="361"/>
        <v>236.65647660027693</v>
      </c>
      <c r="HC104" s="712"/>
    </row>
    <row r="105" spans="1:211">
      <c r="A105" s="773" t="s">
        <v>8</v>
      </c>
      <c r="B105" s="708">
        <v>40634</v>
      </c>
      <c r="C105" s="719">
        <v>0.5</v>
      </c>
      <c r="D105" s="675">
        <f t="shared" si="366"/>
        <v>300</v>
      </c>
      <c r="E105" s="675">
        <f t="shared" si="367"/>
        <v>250</v>
      </c>
      <c r="F105" s="710">
        <v>250</v>
      </c>
      <c r="G105" s="712">
        <f>DH105+Sheet1!CV105</f>
        <v>6846.161119518546</v>
      </c>
      <c r="H105" s="712">
        <f t="shared" si="294"/>
        <v>4158.3953476567876</v>
      </c>
      <c r="I105" s="711">
        <f>MAX(Sheet1!Z105-AJ105+(Sheet1!CW105-E105)*CFStoMGD,0)</f>
        <v>4956.797333333333</v>
      </c>
      <c r="J105" s="720">
        <f>IF(AND(B105&gt;=Calculation!FS105,B105&lt;=Calculation!FT105),IF(Sheet1!CX105&gt;=Calculation!D105,64.64,0),MAX(Sheet1!Z105-AJ105+(Sheet1!CX105-D105)*CFStoMGD,0))</f>
        <v>64.64</v>
      </c>
      <c r="K105" s="697">
        <f t="shared" si="368"/>
        <v>64.64</v>
      </c>
      <c r="L105" s="712">
        <f>Sheet1!AA105+Sheet1!AB105-Sheet1!L105+(Sheet1!CW105-F105)*CFStoMGD</f>
        <v>4955.1973333333272</v>
      </c>
      <c r="M105" s="712">
        <f t="shared" si="295"/>
        <v>4513.8657186099244</v>
      </c>
      <c r="N105" s="712">
        <f>IF(Sheet1!CW105&gt;=F105,MIN(73,MIN(MAX(L105,0),MAX(M105,0))),0)</f>
        <v>73</v>
      </c>
      <c r="O105" s="721">
        <f>Sheet1!AA105+Sheet1!AB105</f>
        <v>40.649999999994179</v>
      </c>
      <c r="P105" s="721">
        <f t="shared" si="296"/>
        <v>62.885549999990999</v>
      </c>
      <c r="Q105" s="712">
        <f>MIN(N105,Sheet1!AA105+AG105)</f>
        <v>40.649999999994179</v>
      </c>
      <c r="R105" s="712">
        <f t="shared" si="297"/>
        <v>0</v>
      </c>
      <c r="S105" s="721">
        <f>Sheet1!Y105*MGDtoCFS</f>
        <v>43.749159999999996</v>
      </c>
      <c r="T105" s="721">
        <f>Sheet1!Z105*MGDtoCFS</f>
        <v>21.132020000000001</v>
      </c>
      <c r="U105" s="721">
        <f>Sheet1!AA105*MGDtoCFS</f>
        <v>42.774549999990995</v>
      </c>
      <c r="V105" s="721">
        <f>Sheet1!AB105*MGDtoCFS</f>
        <v>20.111000000000001</v>
      </c>
      <c r="W105" s="721">
        <f>Sheet1!L105*MGDtoCFS</f>
        <v>64.339730000000003</v>
      </c>
      <c r="X105" s="697">
        <f t="shared" si="369"/>
        <v>0</v>
      </c>
      <c r="Y105" s="712">
        <f t="shared" si="298"/>
        <v>0</v>
      </c>
      <c r="Z105" s="712">
        <f t="shared" si="299"/>
        <v>64.64</v>
      </c>
      <c r="AA105" s="712">
        <f t="shared" si="300"/>
        <v>99.998080000000002</v>
      </c>
      <c r="AB105" s="712">
        <f>(VLOOKUP(Sheet1!CY105,hhdcap_wcm,4)-(((VLOOKUP(Sheet1!CY105,hhdcap_wcm,3)-Sheet1!CY105)/(VLOOKUP(Sheet1!CY105,hhdcap_wcm,3)-VLOOKUP(Sheet1!CY105,hhdcap_wcm,1)))*(VLOOKUP(Sheet1!CY105,hhdcap_wcm,4)-VLOOKUP(Sheet1!CY105,hhdcap_wcm,2))))</f>
        <v>26110.300000063355</v>
      </c>
      <c r="AC105" s="712">
        <f t="shared" si="301"/>
        <v>2148.9000000052765</v>
      </c>
      <c r="AD105" s="712">
        <f t="shared" si="370"/>
        <v>1852.7307450444721</v>
      </c>
      <c r="AE105" s="712">
        <f t="shared" si="302"/>
        <v>5684.1779257964408</v>
      </c>
      <c r="AF105" s="712">
        <f>Sheet1!BA105+Sheet1!BB105+Sheet1!BN105+BT105</f>
        <v>13.9</v>
      </c>
      <c r="AG105" s="712">
        <f t="shared" si="303"/>
        <v>13</v>
      </c>
      <c r="AH105" s="712">
        <f>Sheet1!BA105+BT105</f>
        <v>0</v>
      </c>
      <c r="AI105" s="712">
        <f>Sheet1!BA105+Sheet1!BB105+BT105</f>
        <v>0</v>
      </c>
      <c r="AJ105" s="712">
        <f>IF((Sheet1!AA105+AG105+AX105+AZ105+BQ105+BS105+CL105+CN105)&lt;=N105,AG105+AX105+AZ105+BQ105+BS105+CL105+CN105,N105-Sheet1!AA105)</f>
        <v>13</v>
      </c>
      <c r="AK105" s="712">
        <f>IF(DR105&lt;K105,0,MAX(Sheet1!AA105+AG105-15/36*K105-N105,Sheet1!ED105,0))</f>
        <v>0</v>
      </c>
      <c r="AL105" s="712">
        <f>IF(OR(B105&gt;=FT105,B105&lt;FS105),0,15/36*K105-MAX(0,64.6-(137.6-(Sheet1!AA105+Sheet1!AB105))))</f>
        <v>26.933333333333334</v>
      </c>
      <c r="AM105" s="712">
        <f>Sheet1!CX105-110</f>
        <v>5290.208333333333</v>
      </c>
      <c r="AN105" s="712">
        <f>Sheet1!CW105-265</f>
        <v>7652.291666666667</v>
      </c>
      <c r="AO105" s="712">
        <f t="shared" si="371"/>
        <v>32.350000000005821</v>
      </c>
      <c r="AP105" s="712">
        <f t="shared" si="372"/>
        <v>0</v>
      </c>
      <c r="AQ105" s="712">
        <f t="shared" si="304"/>
        <v>0</v>
      </c>
      <c r="AR105" s="712">
        <f t="shared" si="305"/>
        <v>861.86666666666599</v>
      </c>
      <c r="AS105" s="712"/>
      <c r="AT105" s="712">
        <f ca="1">IF(B105&gt;Summary!$A$1,#N/A,AR105*MGtoAF)</f>
        <v>2644.2069333333311</v>
      </c>
      <c r="AU105" s="712">
        <f>Sheet1!BG105+Sheet1!BH105+Sheet1!BI105-BC105</f>
        <v>0</v>
      </c>
      <c r="AV105" s="712">
        <f t="shared" si="306"/>
        <v>0</v>
      </c>
      <c r="AW105" s="712">
        <f>IF(Sheet1!EL105="FM",BC105,0)</f>
        <v>0</v>
      </c>
      <c r="AX105" s="712">
        <f t="shared" si="307"/>
        <v>0</v>
      </c>
      <c r="AY105" s="712">
        <f>IF(Sheet1!EL105="OTHER",BC105,0)</f>
        <v>0</v>
      </c>
      <c r="AZ105" s="712">
        <f t="shared" si="308"/>
        <v>0</v>
      </c>
      <c r="BA105" s="712">
        <f t="shared" si="309"/>
        <v>0</v>
      </c>
      <c r="BB105" s="712">
        <f t="shared" si="310"/>
        <v>0</v>
      </c>
      <c r="BC105" s="712">
        <f>IF(OR(Sheet1!EL105="FM", Sheet1!EL105="OTHER"),SUM(Sheet1!BG105:'Sheet1'!BI105),0)</f>
        <v>0</v>
      </c>
      <c r="BD105" s="697">
        <f>IF(AND($B105&gt;=$FL105,$B105&lt;=$FM105),MAX(AV105,Sheet1!EE105,0),MAX(AV105-(7/36)*$K105,0))</f>
        <v>0</v>
      </c>
      <c r="BE105" s="712">
        <f t="shared" si="311"/>
        <v>12.568888888888889</v>
      </c>
      <c r="BF105" s="697">
        <f t="shared" si="373"/>
        <v>0</v>
      </c>
      <c r="BG105" s="697">
        <f>IF(AND($O105&gt;0,Sheet1!EI105=1),(1-($O105-Sheet1!$L105)/$O105)*BB105,0)</f>
        <v>0</v>
      </c>
      <c r="BH105" s="697">
        <f>IF(AND(Sheet1!$L105=0,Sheet1!$L104=0, Calculation!BA105&lt;Sheet1!$EE105-0.1,Sheet1!$EE105=Sheet1!$EE104,Sheet1!$EE105=Sheet1!$EE106),Sheet1!$EE105,BB105-BG105)</f>
        <v>0</v>
      </c>
      <c r="BI105" s="712"/>
      <c r="BJ105" s="712"/>
      <c r="BK105" s="712">
        <f t="shared" si="312"/>
        <v>402.20444444444422</v>
      </c>
      <c r="BL105" s="712"/>
      <c r="BM105" s="712">
        <f ca="1">IF(B105&gt;Summary!$A$1,#N/A,BK105*MGtoAF)</f>
        <v>1233.963235555555</v>
      </c>
      <c r="BN105" s="712">
        <f>Sheet1!BC105+Sheet1!BD105+Sheet1!BE105+Sheet1!BF105-BW105-BX105</f>
        <v>0</v>
      </c>
      <c r="BO105" s="712">
        <f t="shared" si="313"/>
        <v>0</v>
      </c>
      <c r="BP105" s="712">
        <f>IF(Sheet1!EM105="FM",BX105,0)</f>
        <v>0</v>
      </c>
      <c r="BQ105" s="712">
        <f t="shared" si="314"/>
        <v>0</v>
      </c>
      <c r="BR105" s="712">
        <f>IF(Sheet1!EM105="OTHER",BX105,0)</f>
        <v>0</v>
      </c>
      <c r="BS105" s="712">
        <f t="shared" si="315"/>
        <v>0</v>
      </c>
      <c r="BT105" s="712">
        <f t="shared" si="316"/>
        <v>0</v>
      </c>
      <c r="BU105" s="712">
        <f t="shared" si="317"/>
        <v>0</v>
      </c>
      <c r="BV105" s="712">
        <f t="shared" si="318"/>
        <v>0</v>
      </c>
      <c r="BW105" s="712">
        <f>IF(Sheet1!EM105="CWA",SUM(Sheet1!BC105:'Sheet1'!BF105),0)</f>
        <v>0</v>
      </c>
      <c r="BX105" s="712">
        <f>IF(OR(Sheet1!EM105="FM", Sheet1!EM105="OTHER"),SUM(Sheet1!BC105:'Sheet1'!BF105),0)</f>
        <v>0</v>
      </c>
      <c r="BY105" s="697">
        <f>IF(AND($B105&gt;=$FL105,$B105&lt;=$FM105),MAX(BV105,Sheet1!EF105,0),MAX(BV105-(7/36)*$K105,0))</f>
        <v>0</v>
      </c>
      <c r="BZ105" s="712">
        <f t="shared" si="319"/>
        <v>12.568888888888889</v>
      </c>
      <c r="CA105" s="697">
        <f t="shared" si="374"/>
        <v>0</v>
      </c>
      <c r="CB105" s="697">
        <f>IF(AND($O105&gt;0,Sheet1!EJ105=1),(1-($O105-Sheet1!$L105)/$O105)*BV105,0)</f>
        <v>0</v>
      </c>
      <c r="CC105" s="697">
        <f>IF(AND(Sheet1!$L105=0,Sheet1!$L104=0, Calculation!BU105&lt;Sheet1!EF105-0.1,Sheet1!EF105=Sheet1!EF104,Sheet1!EF105=Sheet1!EF106),Sheet1!EF105,BV105-CB105)</f>
        <v>0</v>
      </c>
      <c r="CD105" s="697"/>
      <c r="CE105" s="712"/>
      <c r="CF105" s="712">
        <f t="shared" si="320"/>
        <v>339.43426844419599</v>
      </c>
      <c r="CG105" s="712"/>
      <c r="CH105" s="712">
        <f ca="1">IF(B105&gt;Summary!$A$1,#N/A,CF105*MGtoAF)</f>
        <v>1041.3843355867934</v>
      </c>
      <c r="CI105" s="712">
        <f>Sheet1!BK105+Sheet1!BL105+Sheet1!BM105-Sheet1!EN105-CQ105</f>
        <v>0</v>
      </c>
      <c r="CJ105" s="712">
        <f t="shared" si="321"/>
        <v>0</v>
      </c>
      <c r="CK105" s="712">
        <f>IF(Sheet1!EN105="FM",CQ105,0)</f>
        <v>0</v>
      </c>
      <c r="CL105" s="712">
        <f t="shared" si="322"/>
        <v>0</v>
      </c>
      <c r="CM105" s="712">
        <f>IF(Sheet1!EN105="OTHER",CQ105,0)</f>
        <v>0</v>
      </c>
      <c r="CN105" s="712">
        <f t="shared" si="323"/>
        <v>0</v>
      </c>
      <c r="CO105" s="712">
        <f t="shared" si="324"/>
        <v>0</v>
      </c>
      <c r="CP105" s="712">
        <f t="shared" si="325"/>
        <v>0</v>
      </c>
      <c r="CQ105" s="712">
        <f>IF(OR(Sheet1!EN105="FM", Sheet1!EN105="OTHER"),SUM(Sheet1!BK105:'Sheet1'!BM105),0)</f>
        <v>0</v>
      </c>
      <c r="CR105" s="697">
        <f>IF(AND($B105&gt;=$FL105,$B105&lt;=$FM105),MAX($CJ105,Sheet1!EG105,0),MAX($CJ105-(7/36)*$K105,0))</f>
        <v>0</v>
      </c>
      <c r="CS105" s="712">
        <f t="shared" si="326"/>
        <v>12.568888888888889</v>
      </c>
      <c r="CT105" s="697">
        <f t="shared" si="375"/>
        <v>0</v>
      </c>
      <c r="CU105" s="697">
        <f>IF(AND($O105&gt;0,Sheet1!EK105=1),(1-($O105-Sheet1!$L105)/$O105)*CP105,0)</f>
        <v>0</v>
      </c>
      <c r="CV105" s="697">
        <f>IF(AND(Sheet1!$L105=0,Sheet1!$L104=0, Calculation!CO105&lt;Sheet1!$EG105-0.1,Sheet1!$EG105=Sheet1!$EG104,Sheet1!$EG105=Sheet1!$EG106),Sheet1!$EG105,CP105-CU105)</f>
        <v>0</v>
      </c>
      <c r="CW105" s="697">
        <f t="shared" si="362"/>
        <v>0</v>
      </c>
      <c r="CX105" s="712">
        <f t="shared" si="379"/>
        <v>0</v>
      </c>
      <c r="CY105" s="712">
        <f t="shared" si="327"/>
        <v>249.22536548916582</v>
      </c>
      <c r="CZ105" s="712">
        <f t="shared" si="328"/>
        <v>0</v>
      </c>
      <c r="DA105" s="712">
        <f ca="1">IF(B105&gt;Summary!$A$1,#N/A,CY105*MGtoAF)</f>
        <v>764.62342132076071</v>
      </c>
      <c r="DB105" s="712">
        <f t="shared" si="329"/>
        <v>0</v>
      </c>
      <c r="DC105" s="712">
        <f t="shared" si="330"/>
        <v>13.9</v>
      </c>
      <c r="DD105" s="712">
        <f>Sheet1!AB105-DC105</f>
        <v>-0.90000000000000036</v>
      </c>
      <c r="DE105" s="712">
        <f t="shared" si="331"/>
        <v>-6.4748201438848949E-2</v>
      </c>
      <c r="DF105" s="712">
        <f>(VLOOKUP(Sheet1!CY105,hhdcap_wcm,4)-(((VLOOKUP(Sheet1!CY105,hhdcap_wcm,3)-Sheet1!CY105)/(VLOOKUP(Sheet1!CY105,hhdcap_wcm,3)-VLOOKUP(Sheet1!CY105,hhdcap_wcm,1)))*(VLOOKUP(Sheet1!CY105,hhdcap_wcm,4)-VLOOKUP(Sheet1!CY105,hhdcap_wcm,2))))</f>
        <v>26110.300000063355</v>
      </c>
      <c r="DG105" s="712">
        <f t="shared" si="332"/>
        <v>2148.9000000052765</v>
      </c>
      <c r="DH105" s="712">
        <f t="shared" si="333"/>
        <v>1083.6611195185458</v>
      </c>
      <c r="DI105" s="712">
        <f>Sheet1!DW105*AFtoMG</f>
        <v>0</v>
      </c>
      <c r="DJ105" s="712">
        <f>Sheet1!DX105*AFtoMG</f>
        <v>0</v>
      </c>
      <c r="DK105" s="712">
        <f>Sheet1!DY105*AFtoMG</f>
        <v>0</v>
      </c>
      <c r="DL105" s="712">
        <f>Sheet1!DZ105*AFtoMG</f>
        <v>0</v>
      </c>
      <c r="DM105" s="712">
        <f t="shared" si="334"/>
        <v>0</v>
      </c>
      <c r="DN105" s="712">
        <f t="shared" si="335"/>
        <v>0</v>
      </c>
      <c r="DO105" s="712">
        <f t="shared" si="336"/>
        <v>1852.7307450444721</v>
      </c>
      <c r="DP105" s="712">
        <f t="shared" si="337"/>
        <v>5684.1779257964408</v>
      </c>
      <c r="DQ105" s="712"/>
      <c r="DR105" s="697">
        <f>IF(OR(B105&lt;FL105,B105&gt;FM105),(MIN(AV105+BO105+CJ105+MAX(Sheet1!AA105+AG105-73,0),K105)),0)</f>
        <v>0</v>
      </c>
      <c r="DS105" s="712"/>
      <c r="DT105" s="712">
        <f t="shared" si="338"/>
        <v>0</v>
      </c>
      <c r="DU105" s="712"/>
      <c r="DV105" s="712">
        <f>Sheet1!ED105+Sheet1!EE105+Sheet1!EF105+Sheet1!EG105</f>
        <v>8.5</v>
      </c>
      <c r="DW105" s="712"/>
      <c r="DX105" s="697">
        <f t="shared" si="376"/>
        <v>0</v>
      </c>
      <c r="DY105" s="712">
        <f>IF(Sheet1!FN105=1,SUM('Calculations II'!AT105:BA105)+'Calculations II'!BC105+Sheet1!BU105+'Calculations II'!BE105+AF105,SUM('Calculations II'!AT105:BA105)+'Calculations II'!BC105+Sheet1!BU105+'Calculations II'!BE105+AF105)</f>
        <v>43.776271999999999</v>
      </c>
      <c r="DZ105" s="712">
        <f>Sheet1!AA105+Sheet1!AB105+'Calculations II'!BC105</f>
        <v>40.649999999994179</v>
      </c>
      <c r="EA105" s="712"/>
      <c r="EB105" s="712"/>
      <c r="EC105" s="712">
        <f t="shared" si="339"/>
        <v>40634</v>
      </c>
      <c r="ED105" s="712">
        <f t="shared" si="340"/>
        <v>64.64</v>
      </c>
      <c r="EE105" s="712">
        <f t="shared" si="341"/>
        <v>99.998080000000002</v>
      </c>
      <c r="EF105" s="712">
        <f>-(VLOOKUP(Sheet1!BQ105,Lookup!$B$4:$J$236,2)-VLOOKUP(Sheet1!BQ104,Lookup!$B$4:$J$236,2))/1000000</f>
        <v>1.369</v>
      </c>
      <c r="EG105" s="712">
        <f>-(VLOOKUP(Sheet1!BR105,Lookup!$B$4:$J$236,3)-VLOOKUP(Sheet1!BR104,Lookup!$B$4:$J$236,3))/1000000</f>
        <v>1.0935999999999999</v>
      </c>
      <c r="EH105" s="712">
        <f>-(VLOOKUP(Sheet1!BS105,Lookup!$B$4:$J$236,4)-VLOOKUP(Sheet1!BS104,Lookup!$B$4:$J$236,4))/1000000</f>
        <v>0</v>
      </c>
      <c r="EI105" s="697">
        <f t="shared" si="380"/>
        <v>2.4626000000000001</v>
      </c>
      <c r="EJ105" s="712"/>
      <c r="EK105" s="712"/>
      <c r="EL105" s="712"/>
      <c r="EM105" s="712"/>
      <c r="EN105" s="712"/>
      <c r="EO105" s="712"/>
      <c r="EP105" s="712"/>
      <c r="EQ105" s="712"/>
      <c r="ER105" s="697">
        <v>0</v>
      </c>
      <c r="ES105" s="712"/>
      <c r="ET105" s="794" t="e">
        <f t="shared" si="342"/>
        <v>#N/A</v>
      </c>
      <c r="EU105" s="794" t="e">
        <f t="shared" si="363"/>
        <v>#VALUE!</v>
      </c>
      <c r="EV105" s="795" t="e">
        <f t="shared" si="364"/>
        <v>#VALUE!</v>
      </c>
      <c r="EW105" s="796" t="s">
        <v>757</v>
      </c>
      <c r="EX105" s="796" t="s">
        <v>757</v>
      </c>
      <c r="EY105" s="794">
        <v>0</v>
      </c>
      <c r="EZ105" s="794" t="e">
        <v>#N/A</v>
      </c>
      <c r="FA105" s="712"/>
      <c r="FB105" s="712"/>
      <c r="FC105" s="712"/>
      <c r="FD105" s="712"/>
      <c r="FE105" s="712">
        <f>O105+Sheet1!CO105</f>
        <v>40.649999999994179</v>
      </c>
      <c r="FF105" s="712">
        <f>IF(Sheet1!AA105+AG105&lt;=Calculation!N105,AG105,Calculation!N105-Sheet1!AA105)</f>
        <v>13</v>
      </c>
      <c r="FG105" s="712">
        <f>(Sheet1!BP105+Sheet1!BO105)/694.4</f>
        <v>2.1044066820276499</v>
      </c>
      <c r="FH105" s="712"/>
      <c r="FI105" s="712"/>
      <c r="FJ105" s="712"/>
      <c r="FK105" s="712"/>
      <c r="FL105" s="714">
        <f t="shared" si="381"/>
        <v>40753</v>
      </c>
      <c r="FM105" s="714">
        <f t="shared" si="382"/>
        <v>40851</v>
      </c>
      <c r="FN105" s="712"/>
      <c r="FO105" s="712"/>
      <c r="FP105" s="712"/>
      <c r="FQ105" s="712"/>
      <c r="FR105" s="712"/>
      <c r="FS105" s="725">
        <f t="shared" si="383"/>
        <v>40603</v>
      </c>
      <c r="FT105" s="714">
        <f t="shared" si="384"/>
        <v>40709</v>
      </c>
      <c r="FU105" s="712">
        <f t="shared" si="385"/>
        <v>6518.9048239895692</v>
      </c>
      <c r="FV105" s="714">
        <f t="shared" si="386"/>
        <v>40722</v>
      </c>
      <c r="FW105" s="712">
        <f t="shared" si="387"/>
        <v>3259.4524119947846</v>
      </c>
      <c r="FX105" s="725">
        <f t="shared" si="388"/>
        <v>40851</v>
      </c>
      <c r="FZ105" s="697">
        <f t="shared" si="365"/>
        <v>0</v>
      </c>
      <c r="GA105" s="712" t="str">
        <f t="shared" si="343"/>
        <v/>
      </c>
      <c r="GB105" s="712">
        <f t="shared" si="344"/>
        <v>0</v>
      </c>
      <c r="GC105" s="712" t="str">
        <f t="shared" si="345"/>
        <v/>
      </c>
      <c r="GD105" s="712">
        <f>IF(GA105="P",Lookup!$M$12,IF(GA105="PP",Lookup!$M$13,IF(GA105="PPP",Lookup!$M$14,IF(GA105="T",Lookup!$M$15,IF(GA105="TP",Lookup!$M$16,IF(GA105="TPP",Lookup!$M$17,IF(GA105="TPPP",Lookup!$M$18,0)))))))*FZ105</f>
        <v>0</v>
      </c>
      <c r="GE105" s="712">
        <f t="shared" si="346"/>
        <v>0</v>
      </c>
      <c r="GF105" s="712">
        <f t="shared" si="347"/>
        <v>2644.2069333333311</v>
      </c>
      <c r="GG105" s="712">
        <f t="shared" si="348"/>
        <v>861.86666666666599</v>
      </c>
      <c r="GH105" s="712"/>
      <c r="GI105" s="712">
        <f t="shared" si="349"/>
        <v>0</v>
      </c>
      <c r="GJ105" s="712" t="str">
        <f t="shared" si="350"/>
        <v/>
      </c>
      <c r="GK105" s="712">
        <f>IF(GA105="P",Lookup!$N$12,IF(GA105="PP",Lookup!$N$13,IF(GA105="PPP",Lookup!$N$14,IF(GA105="T",Lookup!$N$15,IF(GA105="TP",Lookup!$N$16,IF(GA105="TPP",Lookup!$N$17,IF(GA105="TPPP",Lookup!$N$18,0)))))))*FZ105</f>
        <v>0</v>
      </c>
      <c r="GL105" s="712">
        <f t="shared" si="351"/>
        <v>0</v>
      </c>
      <c r="GM105" s="712">
        <f t="shared" si="352"/>
        <v>1233.963235555555</v>
      </c>
      <c r="GN105" s="712">
        <f t="shared" si="353"/>
        <v>402.20444444444422</v>
      </c>
      <c r="GO105" s="712"/>
      <c r="GP105" s="712">
        <f t="shared" si="354"/>
        <v>0</v>
      </c>
      <c r="GQ105" s="712" t="str">
        <f t="shared" si="355"/>
        <v/>
      </c>
      <c r="GR105" s="712">
        <f>IF(GA105="P",Lookup!$N$12,IF(GA105="PP",Lookup!$N$13,IF(GA105="PPP",Lookup!$N$14,IF(GA105="T",Lookup!$N$15,IF(GA105="TP",Lookup!$N$16,IF(GA105="TPP",Lookup!$N$17,IF(GA105="TPPP",Lookup!$N$18,0)))))))*FZ105</f>
        <v>0</v>
      </c>
      <c r="GS105" s="697">
        <f t="shared" si="377"/>
        <v>0</v>
      </c>
      <c r="GT105" s="712">
        <f t="shared" si="356"/>
        <v>1041.3843355867934</v>
      </c>
      <c r="GU105" s="712">
        <f t="shared" si="357"/>
        <v>339.43426844419599</v>
      </c>
      <c r="GV105" s="712"/>
      <c r="GW105" s="712">
        <f t="shared" si="358"/>
        <v>0</v>
      </c>
      <c r="GX105" s="712" t="str">
        <f t="shared" si="359"/>
        <v/>
      </c>
      <c r="GY105" s="712">
        <f>IF(GA105="P",Lookup!$N$12,IF(GA105="PP",Lookup!$N$13,IF(GA105="PPP",Lookup!$N$14,IF(GA105="T",Lookup!$N$15,IF(GA105="TP",Lookup!$N$16,IF(GA105="TPP",Lookup!$N$17,IF(GA105="TPPP",Lookup!$N$18,0)))))))*FZ105</f>
        <v>0</v>
      </c>
      <c r="GZ105" s="697">
        <f t="shared" si="378"/>
        <v>0</v>
      </c>
      <c r="HA105" s="712">
        <f t="shared" si="360"/>
        <v>764.62342132076071</v>
      </c>
      <c r="HB105" s="712">
        <f t="shared" si="361"/>
        <v>249.22536548916582</v>
      </c>
      <c r="HC105" s="712"/>
    </row>
    <row r="106" spans="1:211">
      <c r="A106" s="773" t="s">
        <v>9</v>
      </c>
      <c r="B106" s="708">
        <v>40635</v>
      </c>
      <c r="C106" s="719">
        <v>0.5</v>
      </c>
      <c r="D106" s="675">
        <f t="shared" si="366"/>
        <v>300</v>
      </c>
      <c r="E106" s="675">
        <f t="shared" si="367"/>
        <v>250</v>
      </c>
      <c r="F106" s="675">
        <v>250</v>
      </c>
      <c r="G106" s="712">
        <f>DH106+Sheet1!CV106</f>
        <v>5186.4881492721224</v>
      </c>
      <c r="H106" s="712">
        <f t="shared" si="294"/>
        <v>3085.5827396894997</v>
      </c>
      <c r="I106" s="711">
        <f>MAX(Sheet1!Z106-AJ106+(Sheet1!CW106-E106)*CFStoMGD,0)</f>
        <v>4032.9853333333349</v>
      </c>
      <c r="J106" s="720">
        <f>IF(AND(B106&gt;=Calculation!FS106,B106&lt;=Calculation!FT106),IF(Sheet1!CX106&gt;=Calculation!D106,64.64,0),MAX(Sheet1!Z106-AJ106+(Sheet1!CX106-D106)*CFStoMGD,0))</f>
        <v>64.64</v>
      </c>
      <c r="K106" s="697">
        <f t="shared" si="368"/>
        <v>64.64</v>
      </c>
      <c r="L106" s="712">
        <f>Sheet1!AA106+Sheet1!AB106-Sheet1!L106+(Sheet1!CW106-F106)*CFStoMGD</f>
        <v>4034.8553333333375</v>
      </c>
      <c r="M106" s="712">
        <f t="shared" si="295"/>
        <v>3419.5968584832899</v>
      </c>
      <c r="N106" s="712">
        <f>IF(Sheet1!CW106&gt;=F106,MIN(73,MIN(MAX(L106,0),MAX(M106,0))),0)</f>
        <v>73</v>
      </c>
      <c r="O106" s="721">
        <f>Sheet1!AA106+Sheet1!AB106</f>
        <v>42.700000000004366</v>
      </c>
      <c r="P106" s="721">
        <f t="shared" si="296"/>
        <v>66.056900000006749</v>
      </c>
      <c r="Q106" s="712">
        <f>MIN(N106,Sheet1!AA106+AG106)</f>
        <v>42.700000000004366</v>
      </c>
      <c r="R106" s="712">
        <f t="shared" si="297"/>
        <v>0</v>
      </c>
      <c r="S106" s="721">
        <f>Sheet1!Y106*MGDtoCFS</f>
        <v>43.223179999999999</v>
      </c>
      <c r="T106" s="721">
        <f>Sheet1!Z106*MGDtoCFS</f>
        <v>22.091159999999999</v>
      </c>
      <c r="U106" s="721">
        <f>Sheet1!AA106*MGDtoCFS</f>
        <v>42.697200000009005</v>
      </c>
      <c r="V106" s="721">
        <f>Sheet1!AB106*MGDtoCFS</f>
        <v>23.359699999997748</v>
      </c>
      <c r="W106" s="721">
        <f>Sheet1!L106*MGDtoCFS</f>
        <v>64.432549999999992</v>
      </c>
      <c r="X106" s="697">
        <f t="shared" si="369"/>
        <v>0</v>
      </c>
      <c r="Y106" s="712">
        <f t="shared" si="298"/>
        <v>0</v>
      </c>
      <c r="Z106" s="712">
        <f t="shared" si="299"/>
        <v>64.64</v>
      </c>
      <c r="AA106" s="712">
        <f t="shared" si="300"/>
        <v>99.998080000000002</v>
      </c>
      <c r="AB106" s="712">
        <f>(VLOOKUP(Sheet1!CY106,hhdcap_wcm,4)-(((VLOOKUP(Sheet1!CY106,hhdcap_wcm,3)-Sheet1!CY106)/(VLOOKUP(Sheet1!CY106,hhdcap_wcm,3)-VLOOKUP(Sheet1!CY106,hhdcap_wcm,1)))*(VLOOKUP(Sheet1!CY106,hhdcap_wcm,4)-VLOOKUP(Sheet1!CY106,hhdcap_wcm,2))))</f>
        <v>28022.880000069974</v>
      </c>
      <c r="AC106" s="712">
        <f t="shared" si="301"/>
        <v>1912.5800000066192</v>
      </c>
      <c r="AD106" s="712">
        <f t="shared" si="370"/>
        <v>1917.3707450444717</v>
      </c>
      <c r="AE106" s="712">
        <f t="shared" si="302"/>
        <v>5882.4934457964391</v>
      </c>
      <c r="AF106" s="712">
        <f>Sheet1!BA106+Sheet1!BB106+Sheet1!BN106+BT106</f>
        <v>14</v>
      </c>
      <c r="AG106" s="712">
        <f t="shared" si="303"/>
        <v>15.099999999998545</v>
      </c>
      <c r="AH106" s="712">
        <f>Sheet1!BA106+BT106</f>
        <v>0</v>
      </c>
      <c r="AI106" s="712">
        <f>Sheet1!BA106+Sheet1!BB106+BT106</f>
        <v>0</v>
      </c>
      <c r="AJ106" s="712">
        <f>IF((Sheet1!AA106+AG106+AX106+AZ106+BQ106+BS106+CL106+CN106)&lt;=N106,AG106+AX106+AZ106+BQ106+BS106+CL106+CN106,N106-Sheet1!AA106)</f>
        <v>15.099999999998545</v>
      </c>
      <c r="AK106" s="712">
        <f>IF(DR106&lt;K106,0,MAX(Sheet1!AA106+AG106-15/36*K106-N106,Sheet1!ED106,0))</f>
        <v>0</v>
      </c>
      <c r="AL106" s="712">
        <f>IF(OR(B106&gt;=FT106,B106&lt;FS106),0,15/36*K106-MAX(0,64.6-(137.6-(Sheet1!AA106+Sheet1!AB106))))</f>
        <v>26.933333333333334</v>
      </c>
      <c r="AM106" s="712">
        <f>Sheet1!CX106-110</f>
        <v>4245.625</v>
      </c>
      <c r="AN106" s="712">
        <f>Sheet1!CW106-265</f>
        <v>6225.416666666667</v>
      </c>
      <c r="AO106" s="712">
        <f t="shared" si="371"/>
        <v>30.299999999995634</v>
      </c>
      <c r="AP106" s="712">
        <f t="shared" si="372"/>
        <v>0</v>
      </c>
      <c r="AQ106" s="712">
        <f t="shared" si="304"/>
        <v>0</v>
      </c>
      <c r="AR106" s="712">
        <f t="shared" si="305"/>
        <v>888.79999999999927</v>
      </c>
      <c r="AS106" s="712"/>
      <c r="AT106" s="712">
        <f ca="1">IF(B106&gt;Summary!$A$1,#N/A,AR106*MGtoAF)</f>
        <v>2726.8383999999978</v>
      </c>
      <c r="AU106" s="712">
        <f>Sheet1!BG106+Sheet1!BH106+Sheet1!BI106-BC106</f>
        <v>0</v>
      </c>
      <c r="AV106" s="712">
        <f t="shared" si="306"/>
        <v>0</v>
      </c>
      <c r="AW106" s="712">
        <f>IF(Sheet1!EL106="FM",BC106,0)</f>
        <v>0</v>
      </c>
      <c r="AX106" s="712">
        <f t="shared" si="307"/>
        <v>0</v>
      </c>
      <c r="AY106" s="712">
        <f>IF(Sheet1!EL106="OTHER",BC106,0)</f>
        <v>0</v>
      </c>
      <c r="AZ106" s="712">
        <f t="shared" si="308"/>
        <v>0</v>
      </c>
      <c r="BA106" s="712">
        <f t="shared" si="309"/>
        <v>0</v>
      </c>
      <c r="BB106" s="712">
        <f t="shared" si="310"/>
        <v>0</v>
      </c>
      <c r="BC106" s="712">
        <f>IF(OR(Sheet1!EL106="FM", Sheet1!EL106="OTHER"),SUM(Sheet1!BG106:'Sheet1'!BI106),0)</f>
        <v>0</v>
      </c>
      <c r="BD106" s="697">
        <f>IF(AND($B106&gt;=$FL106,$B106&lt;=$FM106),MAX(AV106,Sheet1!EE106,0),MAX(AV106-(7/36)*$K106,0))</f>
        <v>0</v>
      </c>
      <c r="BE106" s="712">
        <f t="shared" si="311"/>
        <v>12.568888888888889</v>
      </c>
      <c r="BF106" s="697">
        <f t="shared" si="373"/>
        <v>0</v>
      </c>
      <c r="BG106" s="697">
        <f>IF(AND($O106&gt;0,Sheet1!EI106=1),(1-($O106-Sheet1!$L106)/$O106)*BB106,0)</f>
        <v>0</v>
      </c>
      <c r="BH106" s="697">
        <f>IF(AND(Sheet1!$L106=0,Sheet1!$L105=0, Calculation!BA106&lt;Sheet1!$EE106-0.1,Sheet1!$EE106=Sheet1!$EE105,Sheet1!$EE106=Sheet1!$EE107),Sheet1!$EE106,BB106-BG106)</f>
        <v>0</v>
      </c>
      <c r="BI106" s="712"/>
      <c r="BJ106" s="712"/>
      <c r="BK106" s="712">
        <f t="shared" si="312"/>
        <v>414.77333333333308</v>
      </c>
      <c r="BL106" s="712"/>
      <c r="BM106" s="712">
        <f ca="1">IF(B106&gt;Summary!$A$1,#N/A,BK106*MGtoAF)</f>
        <v>1272.524586666666</v>
      </c>
      <c r="BN106" s="712">
        <f>Sheet1!BC106+Sheet1!BD106+Sheet1!BE106+Sheet1!BF106-BW106-BX106</f>
        <v>0</v>
      </c>
      <c r="BO106" s="712">
        <f t="shared" si="313"/>
        <v>0</v>
      </c>
      <c r="BP106" s="712">
        <f>IF(Sheet1!EM106="FM",BX106,0)</f>
        <v>0</v>
      </c>
      <c r="BQ106" s="712">
        <f t="shared" si="314"/>
        <v>0</v>
      </c>
      <c r="BR106" s="712">
        <f>IF(Sheet1!EM106="OTHER",BX106,0)</f>
        <v>0</v>
      </c>
      <c r="BS106" s="712">
        <f t="shared" si="315"/>
        <v>0</v>
      </c>
      <c r="BT106" s="712">
        <f t="shared" si="316"/>
        <v>0</v>
      </c>
      <c r="BU106" s="712">
        <f t="shared" si="317"/>
        <v>0</v>
      </c>
      <c r="BV106" s="712">
        <f t="shared" si="318"/>
        <v>0</v>
      </c>
      <c r="BW106" s="712">
        <f>IF(Sheet1!EM106="CWA",SUM(Sheet1!BC106:'Sheet1'!BF106),0)</f>
        <v>0</v>
      </c>
      <c r="BX106" s="712">
        <f>IF(OR(Sheet1!EM106="FM", Sheet1!EM106="OTHER"),SUM(Sheet1!BC106:'Sheet1'!BF106),0)</f>
        <v>0</v>
      </c>
      <c r="BY106" s="697">
        <f>IF(AND($B106&gt;=$FL106,$B106&lt;=$FM106),MAX(BV106,Sheet1!EF106,0),MAX(BV106-(7/36)*$K106,0))</f>
        <v>0</v>
      </c>
      <c r="BZ106" s="712">
        <f t="shared" si="319"/>
        <v>12.568888888888889</v>
      </c>
      <c r="CA106" s="697">
        <f t="shared" si="374"/>
        <v>0</v>
      </c>
      <c r="CB106" s="697">
        <f>IF(AND($O106&gt;0,Sheet1!EJ106=1),(1-($O106-Sheet1!$L106)/$O106)*BV106,0)</f>
        <v>0</v>
      </c>
      <c r="CC106" s="697">
        <f>IF(AND(Sheet1!$L106=0,Sheet1!$L105=0, Calculation!BU106&lt;Sheet1!EF106-0.1,Sheet1!EF106=Sheet1!EF105,Sheet1!EF106=Sheet1!EF107),Sheet1!EF106,BV106-CB106)</f>
        <v>0</v>
      </c>
      <c r="CD106" s="697"/>
      <c r="CE106" s="712"/>
      <c r="CF106" s="712">
        <f t="shared" si="320"/>
        <v>352.00315733308486</v>
      </c>
      <c r="CG106" s="712"/>
      <c r="CH106" s="712">
        <f ca="1">IF(B106&gt;Summary!$A$1,#N/A,CF106*MGtoAF)</f>
        <v>1079.9456866979044</v>
      </c>
      <c r="CI106" s="712">
        <f>Sheet1!BK106+Sheet1!BL106+Sheet1!BM106-Sheet1!EN106-CQ106</f>
        <v>0</v>
      </c>
      <c r="CJ106" s="712">
        <f t="shared" si="321"/>
        <v>0</v>
      </c>
      <c r="CK106" s="712">
        <f>IF(Sheet1!EN106="FM",CQ106,0)</f>
        <v>0</v>
      </c>
      <c r="CL106" s="712">
        <f t="shared" si="322"/>
        <v>0</v>
      </c>
      <c r="CM106" s="712">
        <f>IF(Sheet1!EN106="OTHER",CQ106,0)</f>
        <v>0</v>
      </c>
      <c r="CN106" s="712">
        <f t="shared" si="323"/>
        <v>0</v>
      </c>
      <c r="CO106" s="712">
        <f t="shared" si="324"/>
        <v>0</v>
      </c>
      <c r="CP106" s="712">
        <f t="shared" si="325"/>
        <v>0</v>
      </c>
      <c r="CQ106" s="712">
        <f>IF(OR(Sheet1!EN106="FM", Sheet1!EN106="OTHER"),SUM(Sheet1!BK106:'Sheet1'!BM106),0)</f>
        <v>0</v>
      </c>
      <c r="CR106" s="697">
        <f>IF(AND($B106&gt;=$FL106,$B106&lt;=$FM106),MAX($CJ106,Sheet1!EG106,0),MAX($CJ106-(7/36)*$K106,0))</f>
        <v>0</v>
      </c>
      <c r="CS106" s="712">
        <f t="shared" si="326"/>
        <v>12.568888888888889</v>
      </c>
      <c r="CT106" s="697">
        <f t="shared" si="375"/>
        <v>0</v>
      </c>
      <c r="CU106" s="697">
        <f>IF(AND($O106&gt;0,Sheet1!EK106=1),(1-($O106-Sheet1!$L106)/$O106)*CP106,0)</f>
        <v>0</v>
      </c>
      <c r="CV106" s="697">
        <f>IF(AND(Sheet1!$L106=0,Sheet1!$L105=0, Calculation!CO106&lt;Sheet1!$EG106-0.1,Sheet1!$EG106=Sheet1!$EG105,Sheet1!$EG106=Sheet1!$EG107),Sheet1!$EG106,CP106-CU106)</f>
        <v>0</v>
      </c>
      <c r="CW106" s="697">
        <f t="shared" si="362"/>
        <v>0</v>
      </c>
      <c r="CX106" s="712">
        <f t="shared" si="379"/>
        <v>0</v>
      </c>
      <c r="CY106" s="712">
        <f t="shared" si="327"/>
        <v>261.79425437805469</v>
      </c>
      <c r="CZ106" s="712">
        <f t="shared" si="328"/>
        <v>0</v>
      </c>
      <c r="DA106" s="712">
        <f ca="1">IF(B106&gt;Summary!$A$1,#N/A,CY106*MGtoAF)</f>
        <v>803.18477243187181</v>
      </c>
      <c r="DB106" s="712">
        <f t="shared" si="329"/>
        <v>0</v>
      </c>
      <c r="DC106" s="712">
        <f t="shared" si="330"/>
        <v>14</v>
      </c>
      <c r="DD106" s="712">
        <f>Sheet1!AB106-DC106</f>
        <v>1.0999999999985448</v>
      </c>
      <c r="DE106" s="712">
        <f t="shared" si="331"/>
        <v>7.8571428571324625E-2</v>
      </c>
      <c r="DF106" s="712">
        <f>(VLOOKUP(Sheet1!CY106,hhdcap_wcm,4)-(((VLOOKUP(Sheet1!CY106,hhdcap_wcm,3)-Sheet1!CY106)/(VLOOKUP(Sheet1!CY106,hhdcap_wcm,3)-VLOOKUP(Sheet1!CY106,hhdcap_wcm,1)))*(VLOOKUP(Sheet1!CY106,hhdcap_wcm,4)-VLOOKUP(Sheet1!CY106,hhdcap_wcm,2))))</f>
        <v>28022.880000069974</v>
      </c>
      <c r="DG106" s="712">
        <f t="shared" si="332"/>
        <v>1912.5800000066192</v>
      </c>
      <c r="DH106" s="712">
        <f t="shared" si="333"/>
        <v>964.48814927212254</v>
      </c>
      <c r="DI106" s="712">
        <f>Sheet1!DW106*AFtoMG</f>
        <v>0</v>
      </c>
      <c r="DJ106" s="712">
        <f>Sheet1!DX106*AFtoMG</f>
        <v>0</v>
      </c>
      <c r="DK106" s="712">
        <f>Sheet1!DY106*AFtoMG</f>
        <v>0</v>
      </c>
      <c r="DL106" s="712">
        <f>Sheet1!DZ106*AFtoMG</f>
        <v>0</v>
      </c>
      <c r="DM106" s="712">
        <f t="shared" si="334"/>
        <v>0</v>
      </c>
      <c r="DN106" s="712">
        <f t="shared" si="335"/>
        <v>0</v>
      </c>
      <c r="DO106" s="712">
        <f t="shared" si="336"/>
        <v>1917.3707450444717</v>
      </c>
      <c r="DP106" s="712">
        <f t="shared" si="337"/>
        <v>5882.4934457964391</v>
      </c>
      <c r="DQ106" s="712"/>
      <c r="DR106" s="697">
        <f>IF(OR(B106&lt;FL106,B106&gt;FM106),(MIN(AV106+BO106+CJ106+MAX(Sheet1!AA106+AG106-73,0),K106)),0)</f>
        <v>0</v>
      </c>
      <c r="DS106" s="712"/>
      <c r="DT106" s="712">
        <f t="shared" si="338"/>
        <v>0</v>
      </c>
      <c r="DU106" s="712"/>
      <c r="DV106" s="712">
        <f>Sheet1!ED106+Sheet1!EE106+Sheet1!EF106+Sheet1!EG106</f>
        <v>8.5</v>
      </c>
      <c r="DW106" s="712"/>
      <c r="DX106" s="697">
        <f t="shared" si="376"/>
        <v>0</v>
      </c>
      <c r="DY106" s="712">
        <f>IF(Sheet1!FN106=1,SUM('Calculations II'!AT106:BA106)+'Calculations II'!BC106+Sheet1!BU106+'Calculations II'!BE106+AF106,SUM('Calculations II'!AT106:BA106)+'Calculations II'!BC106+Sheet1!BU106+'Calculations II'!BE106+AF106)</f>
        <v>44.751919999999998</v>
      </c>
      <c r="DZ106" s="712">
        <f>Sheet1!AA106+Sheet1!AB106+'Calculations II'!BC106</f>
        <v>42.700000000004366</v>
      </c>
      <c r="EA106" s="712"/>
      <c r="EB106" s="712"/>
      <c r="EC106" s="712">
        <f t="shared" si="339"/>
        <v>40635</v>
      </c>
      <c r="ED106" s="712">
        <f t="shared" si="340"/>
        <v>64.64</v>
      </c>
      <c r="EE106" s="712">
        <f t="shared" si="341"/>
        <v>99.998080000000002</v>
      </c>
      <c r="EF106" s="712">
        <f>-(VLOOKUP(Sheet1!BQ106,Lookup!$B$4:$J$236,2)-VLOOKUP(Sheet1!BQ105,Lookup!$B$4:$J$236,2))/1000000</f>
        <v>2.1705999999999999</v>
      </c>
      <c r="EG106" s="712">
        <f>-(VLOOKUP(Sheet1!BR106,Lookup!$B$4:$J$236,3)-VLOOKUP(Sheet1!BR105,Lookup!$B$4:$J$236,3))/1000000</f>
        <v>2.4367999999999999</v>
      </c>
      <c r="EH106" s="712">
        <f>-(VLOOKUP(Sheet1!BS106,Lookup!$B$4:$J$236,4)-VLOOKUP(Sheet1!BS105,Lookup!$B$4:$J$236,4))/1000000</f>
        <v>0</v>
      </c>
      <c r="EI106" s="697">
        <f t="shared" si="380"/>
        <v>4.6074000000000002</v>
      </c>
      <c r="EJ106" s="712"/>
      <c r="EK106" s="712"/>
      <c r="EL106" s="712"/>
      <c r="EM106" s="712"/>
      <c r="EN106" s="712"/>
      <c r="EO106" s="712"/>
      <c r="EP106" s="712"/>
      <c r="EQ106" s="712"/>
      <c r="ER106" s="697">
        <v>0</v>
      </c>
      <c r="ES106" s="712"/>
      <c r="ET106" s="794" t="e">
        <f t="shared" si="342"/>
        <v>#N/A</v>
      </c>
      <c r="EU106" s="794" t="e">
        <f t="shared" si="363"/>
        <v>#VALUE!</v>
      </c>
      <c r="EV106" s="795" t="e">
        <f t="shared" si="364"/>
        <v>#VALUE!</v>
      </c>
      <c r="EW106" s="796" t="s">
        <v>757</v>
      </c>
      <c r="EX106" s="796" t="s">
        <v>757</v>
      </c>
      <c r="EY106" s="794">
        <v>0</v>
      </c>
      <c r="EZ106" s="794" t="e">
        <v>#N/A</v>
      </c>
      <c r="FA106" s="712"/>
      <c r="FB106" s="712"/>
      <c r="FC106" s="712"/>
      <c r="FD106" s="712"/>
      <c r="FE106" s="712">
        <f>O106+Sheet1!CO106</f>
        <v>42.700000000004366</v>
      </c>
      <c r="FF106" s="712">
        <f>IF(Sheet1!AA106+AG106&lt;=Calculation!N106,AG106,Calculation!N106-Sheet1!AA106)</f>
        <v>15.099999999998545</v>
      </c>
      <c r="FG106" s="712">
        <f>(Sheet1!BP106+Sheet1!BO106)/694.4</f>
        <v>1.7304147465437787</v>
      </c>
      <c r="FH106" s="712"/>
      <c r="FI106" s="712"/>
      <c r="FJ106" s="712"/>
      <c r="FK106" s="712"/>
      <c r="FL106" s="714">
        <f t="shared" si="381"/>
        <v>40753</v>
      </c>
      <c r="FM106" s="714">
        <f t="shared" si="382"/>
        <v>40851</v>
      </c>
      <c r="FN106" s="712"/>
      <c r="FO106" s="712"/>
      <c r="FP106" s="712"/>
      <c r="FQ106" s="712"/>
      <c r="FR106" s="712"/>
      <c r="FS106" s="725">
        <f t="shared" si="383"/>
        <v>40603</v>
      </c>
      <c r="FT106" s="714">
        <f t="shared" si="384"/>
        <v>40709</v>
      </c>
      <c r="FU106" s="712">
        <f t="shared" si="385"/>
        <v>6518.9048239895692</v>
      </c>
      <c r="FV106" s="714">
        <f t="shared" si="386"/>
        <v>40722</v>
      </c>
      <c r="FW106" s="712">
        <f t="shared" si="387"/>
        <v>3259.4524119947846</v>
      </c>
      <c r="FX106" s="725">
        <f t="shared" si="388"/>
        <v>40851</v>
      </c>
      <c r="FZ106" s="697">
        <f t="shared" si="365"/>
        <v>0</v>
      </c>
      <c r="GA106" s="712" t="str">
        <f t="shared" si="343"/>
        <v/>
      </c>
      <c r="GB106" s="712">
        <f t="shared" si="344"/>
        <v>0</v>
      </c>
      <c r="GC106" s="712" t="str">
        <f t="shared" si="345"/>
        <v/>
      </c>
      <c r="GD106" s="712">
        <f>IF(GA106="P",Lookup!$M$12,IF(GA106="PP",Lookup!$M$13,IF(GA106="PPP",Lookup!$M$14,IF(GA106="T",Lookup!$M$15,IF(GA106="TP",Lookup!$M$16,IF(GA106="TPP",Lookup!$M$17,IF(GA106="TPPP",Lookup!$M$18,0)))))))*FZ106</f>
        <v>0</v>
      </c>
      <c r="GE106" s="712">
        <f t="shared" si="346"/>
        <v>0</v>
      </c>
      <c r="GF106" s="712">
        <f t="shared" si="347"/>
        <v>2726.8383999999978</v>
      </c>
      <c r="GG106" s="712">
        <f t="shared" si="348"/>
        <v>888.79999999999927</v>
      </c>
      <c r="GH106" s="712"/>
      <c r="GI106" s="712">
        <f t="shared" si="349"/>
        <v>0</v>
      </c>
      <c r="GJ106" s="712" t="str">
        <f t="shared" si="350"/>
        <v/>
      </c>
      <c r="GK106" s="712">
        <f>IF(GA106="P",Lookup!$N$12,IF(GA106="PP",Lookup!$N$13,IF(GA106="PPP",Lookup!$N$14,IF(GA106="T",Lookup!$N$15,IF(GA106="TP",Lookup!$N$16,IF(GA106="TPP",Lookup!$N$17,IF(GA106="TPPP",Lookup!$N$18,0)))))))*FZ106</f>
        <v>0</v>
      </c>
      <c r="GL106" s="712">
        <f t="shared" si="351"/>
        <v>0</v>
      </c>
      <c r="GM106" s="712">
        <f t="shared" si="352"/>
        <v>1272.524586666666</v>
      </c>
      <c r="GN106" s="712">
        <f t="shared" si="353"/>
        <v>414.77333333333308</v>
      </c>
      <c r="GO106" s="712"/>
      <c r="GP106" s="712">
        <f t="shared" si="354"/>
        <v>0</v>
      </c>
      <c r="GQ106" s="712" t="str">
        <f t="shared" si="355"/>
        <v/>
      </c>
      <c r="GR106" s="712">
        <f>IF(GA106="P",Lookup!$N$12,IF(GA106="PP",Lookup!$N$13,IF(GA106="PPP",Lookup!$N$14,IF(GA106="T",Lookup!$N$15,IF(GA106="TP",Lookup!$N$16,IF(GA106="TPP",Lookup!$N$17,IF(GA106="TPPP",Lookup!$N$18,0)))))))*FZ106</f>
        <v>0</v>
      </c>
      <c r="GS106" s="697">
        <f t="shared" si="377"/>
        <v>0</v>
      </c>
      <c r="GT106" s="712">
        <f t="shared" si="356"/>
        <v>1079.9456866979044</v>
      </c>
      <c r="GU106" s="712">
        <f t="shared" si="357"/>
        <v>352.00315733308486</v>
      </c>
      <c r="GV106" s="712"/>
      <c r="GW106" s="712">
        <f t="shared" si="358"/>
        <v>0</v>
      </c>
      <c r="GX106" s="712" t="str">
        <f t="shared" si="359"/>
        <v/>
      </c>
      <c r="GY106" s="712">
        <f>IF(GA106="P",Lookup!$N$12,IF(GA106="PP",Lookup!$N$13,IF(GA106="PPP",Lookup!$N$14,IF(GA106="T",Lookup!$N$15,IF(GA106="TP",Lookup!$N$16,IF(GA106="TPP",Lookup!$N$17,IF(GA106="TPPP",Lookup!$N$18,0)))))))*FZ106</f>
        <v>0</v>
      </c>
      <c r="GZ106" s="697">
        <f t="shared" si="378"/>
        <v>0</v>
      </c>
      <c r="HA106" s="712">
        <f t="shared" si="360"/>
        <v>803.18477243187181</v>
      </c>
      <c r="HB106" s="712">
        <f t="shared" si="361"/>
        <v>261.79425437805469</v>
      </c>
      <c r="HC106" s="712"/>
    </row>
    <row r="107" spans="1:211">
      <c r="A107" s="773" t="s">
        <v>3</v>
      </c>
      <c r="B107" s="708">
        <v>40636</v>
      </c>
      <c r="C107" s="709">
        <v>0.5</v>
      </c>
      <c r="D107" s="675">
        <f t="shared" si="366"/>
        <v>300</v>
      </c>
      <c r="E107" s="675">
        <f t="shared" si="367"/>
        <v>250</v>
      </c>
      <c r="F107" s="710">
        <v>250</v>
      </c>
      <c r="G107" s="712">
        <f>DH107+Sheet1!CV107</f>
        <v>3760.3149268772468</v>
      </c>
      <c r="H107" s="712">
        <f t="shared" si="294"/>
        <v>2163.7043687334522</v>
      </c>
      <c r="I107" s="711">
        <f>MAX(Sheet1!Z107-AJ107+(Sheet1!CW107-E107)*CFStoMGD,0)</f>
        <v>3865.9253333333349</v>
      </c>
      <c r="J107" s="720">
        <f>IF(AND(B107&gt;=Calculation!FS107,B107&lt;=Calculation!FT107),IF(Sheet1!CX107&gt;=Calculation!D107,64.64,0),MAX(Sheet1!Z107-AJ107+(Sheet1!CX107-D107)*CFStoMGD,0))</f>
        <v>64.64</v>
      </c>
      <c r="K107" s="697">
        <f t="shared" si="368"/>
        <v>64.64</v>
      </c>
      <c r="L107" s="712">
        <f>Sheet1!AA107+Sheet1!AB107-Sheet1!L107+(Sheet1!CW107-F107)*CFStoMGD</f>
        <v>3866.2453333333292</v>
      </c>
      <c r="M107" s="712">
        <f t="shared" si="295"/>
        <v>2479.2809201081213</v>
      </c>
      <c r="N107" s="712">
        <f>IF(Sheet1!CW107&gt;=F107,MIN(73,MIN(MAX(L107,0),MAX(M107,0))),0)</f>
        <v>73</v>
      </c>
      <c r="O107" s="721">
        <f>Sheet1!AA107+Sheet1!AB107</f>
        <v>41.799999999995634</v>
      </c>
      <c r="P107" s="721">
        <f t="shared" si="296"/>
        <v>64.664599999993243</v>
      </c>
      <c r="Q107" s="712">
        <f>MIN(N107,Sheet1!AA107+AG107)</f>
        <v>41.799999999995634</v>
      </c>
      <c r="R107" s="712">
        <f t="shared" si="297"/>
        <v>0</v>
      </c>
      <c r="S107" s="721">
        <f>Sheet1!Y107*MGDtoCFS</f>
        <v>42.913779999999996</v>
      </c>
      <c r="T107" s="721">
        <f>Sheet1!Z107*MGDtoCFS</f>
        <v>21.472360000000002</v>
      </c>
      <c r="U107" s="721">
        <f>Sheet1!AA107*MGDtoCFS</f>
        <v>42.851899999995496</v>
      </c>
      <c r="V107" s="721">
        <f>Sheet1!AB107*MGDtoCFS</f>
        <v>21.812699999997747</v>
      </c>
      <c r="W107" s="721">
        <f>Sheet1!L107*MGDtoCFS</f>
        <v>64.509900000000002</v>
      </c>
      <c r="X107" s="697">
        <f t="shared" si="369"/>
        <v>0</v>
      </c>
      <c r="Y107" s="712">
        <f t="shared" si="298"/>
        <v>0</v>
      </c>
      <c r="Z107" s="712">
        <f t="shared" si="299"/>
        <v>64.64</v>
      </c>
      <c r="AA107" s="712">
        <f t="shared" si="300"/>
        <v>99.998080000000002</v>
      </c>
      <c r="AB107" s="712">
        <f>(VLOOKUP(Sheet1!CY107,hhdcap_wcm,4)-(((VLOOKUP(Sheet1!CY107,hhdcap_wcm,3)-Sheet1!CY107)/(VLOOKUP(Sheet1!CY107,hhdcap_wcm,3)-VLOOKUP(Sheet1!CY107,hhdcap_wcm,1)))*(VLOOKUP(Sheet1!CY107,hhdcap_wcm,4)-VLOOKUP(Sheet1!CY107,hhdcap_wcm,2))))</f>
        <v>27088.520000067554</v>
      </c>
      <c r="AC107" s="712">
        <f t="shared" si="301"/>
        <v>-934.36000000241984</v>
      </c>
      <c r="AD107" s="712">
        <f t="shared" si="370"/>
        <v>1982.0107450444718</v>
      </c>
      <c r="AE107" s="712">
        <f t="shared" si="302"/>
        <v>6080.8089657964401</v>
      </c>
      <c r="AF107" s="712">
        <f>Sheet1!BA107+Sheet1!BB107+Sheet1!BN107+BT107</f>
        <v>14</v>
      </c>
      <c r="AG107" s="712">
        <f t="shared" si="303"/>
        <v>14.099999999998545</v>
      </c>
      <c r="AH107" s="712">
        <f>Sheet1!BA107+BT107</f>
        <v>0</v>
      </c>
      <c r="AI107" s="712">
        <f>Sheet1!BA107+Sheet1!BB107+BT107</f>
        <v>0</v>
      </c>
      <c r="AJ107" s="712">
        <f>IF((Sheet1!AA107+AG107+AX107+AZ107+BQ107+BS107+CL107+CN107)&lt;=N107,AG107+AX107+AZ107+BQ107+BS107+CL107+CN107,N107-Sheet1!AA107)</f>
        <v>14.099999999998545</v>
      </c>
      <c r="AK107" s="712">
        <f>IF(DR107&lt;K107,0,MAX(Sheet1!AA107+AG107-15/36*K107-N107,Sheet1!ED107,0))</f>
        <v>0</v>
      </c>
      <c r="AL107" s="712">
        <f>IF(OR(B107&gt;=FT107,B107&lt;FS107),0,15/36*K107-MAX(0,64.6-(137.6-(Sheet1!AA107+Sheet1!AB107))))</f>
        <v>26.933333333333334</v>
      </c>
      <c r="AM107" s="712">
        <f>Sheet1!CX107-110</f>
        <v>4181.666666666667</v>
      </c>
      <c r="AN107" s="712">
        <f>Sheet1!CW107-265</f>
        <v>5966.041666666667</v>
      </c>
      <c r="AO107" s="712">
        <f t="shared" si="371"/>
        <v>31.200000000004366</v>
      </c>
      <c r="AP107" s="712">
        <f t="shared" si="372"/>
        <v>0</v>
      </c>
      <c r="AQ107" s="712">
        <f t="shared" si="304"/>
        <v>0</v>
      </c>
      <c r="AR107" s="712">
        <f t="shared" si="305"/>
        <v>915.73333333333255</v>
      </c>
      <c r="AS107" s="712"/>
      <c r="AT107" s="712">
        <f ca="1">IF(B107&gt;Summary!$A$1,#N/A,AR107*MGtoAF)</f>
        <v>2809.4698666666645</v>
      </c>
      <c r="AU107" s="712">
        <f>Sheet1!BG107+Sheet1!BH107+Sheet1!BI107-BC107</f>
        <v>0</v>
      </c>
      <c r="AV107" s="712">
        <f t="shared" si="306"/>
        <v>0</v>
      </c>
      <c r="AW107" s="712">
        <f>IF(Sheet1!EL107="FM",BC107,0)</f>
        <v>0</v>
      </c>
      <c r="AX107" s="712">
        <f t="shared" si="307"/>
        <v>0</v>
      </c>
      <c r="AY107" s="712">
        <f>IF(Sheet1!EL107="OTHER",BC107,0)</f>
        <v>0</v>
      </c>
      <c r="AZ107" s="712">
        <f t="shared" si="308"/>
        <v>0</v>
      </c>
      <c r="BA107" s="712">
        <f t="shared" si="309"/>
        <v>0</v>
      </c>
      <c r="BB107" s="712">
        <f t="shared" si="310"/>
        <v>0</v>
      </c>
      <c r="BC107" s="712">
        <f>IF(OR(Sheet1!EL107="FM", Sheet1!EL107="OTHER"),SUM(Sheet1!BG107:'Sheet1'!BI107),0)</f>
        <v>0</v>
      </c>
      <c r="BD107" s="697">
        <f>IF(AND($B107&gt;=$FL107,$B107&lt;=$FM107),MAX(AV107,Sheet1!EE107,0),MAX(AV107-(7/36)*$K107,0))</f>
        <v>0</v>
      </c>
      <c r="BE107" s="712">
        <f t="shared" si="311"/>
        <v>12.568888888888889</v>
      </c>
      <c r="BF107" s="697">
        <f t="shared" si="373"/>
        <v>0</v>
      </c>
      <c r="BG107" s="697">
        <f>IF(AND($O107&gt;0,Sheet1!EI107=1),(1-($O107-Sheet1!$L107)/$O107)*BB107,0)</f>
        <v>0</v>
      </c>
      <c r="BH107" s="697">
        <f>IF(AND(Sheet1!$L107=0,Sheet1!$L106=0, Calculation!BA107&lt;Sheet1!$EE107-0.1,Sheet1!$EE107=Sheet1!$EE106,Sheet1!$EE107=Sheet1!$EE108),Sheet1!$EE107,BB107-BG107)</f>
        <v>0</v>
      </c>
      <c r="BI107" s="712"/>
      <c r="BJ107" s="712"/>
      <c r="BK107" s="712">
        <f t="shared" si="312"/>
        <v>427.34222222222195</v>
      </c>
      <c r="BL107" s="712"/>
      <c r="BM107" s="712">
        <f ca="1">IF(B107&gt;Summary!$A$1,#N/A,BK107*MGtoAF)</f>
        <v>1311.085937777777</v>
      </c>
      <c r="BN107" s="712">
        <f>Sheet1!BC107+Sheet1!BD107+Sheet1!BE107+Sheet1!BF107-BW107-BX107</f>
        <v>0</v>
      </c>
      <c r="BO107" s="712">
        <f t="shared" si="313"/>
        <v>0</v>
      </c>
      <c r="BP107" s="712">
        <f>IF(Sheet1!EM107="FM",BX107,0)</f>
        <v>0</v>
      </c>
      <c r="BQ107" s="712">
        <f t="shared" si="314"/>
        <v>0</v>
      </c>
      <c r="BR107" s="712">
        <f>IF(Sheet1!EM107="OTHER",BX107,0)</f>
        <v>0</v>
      </c>
      <c r="BS107" s="712">
        <f t="shared" si="315"/>
        <v>0</v>
      </c>
      <c r="BT107" s="712">
        <f t="shared" si="316"/>
        <v>0</v>
      </c>
      <c r="BU107" s="712">
        <f t="shared" si="317"/>
        <v>0</v>
      </c>
      <c r="BV107" s="712">
        <f t="shared" si="318"/>
        <v>0</v>
      </c>
      <c r="BW107" s="712">
        <f>IF(Sheet1!EM107="CWA",SUM(Sheet1!BC107:'Sheet1'!BF107),0)</f>
        <v>0</v>
      </c>
      <c r="BX107" s="712">
        <f>IF(OR(Sheet1!EM107="FM", Sheet1!EM107="OTHER"),SUM(Sheet1!BC107:'Sheet1'!BF107),0)</f>
        <v>0</v>
      </c>
      <c r="BY107" s="697">
        <f>IF(AND($B107&gt;=$FL107,$B107&lt;=$FM107),MAX(BV107,Sheet1!EF107,0),MAX(BV107-(7/36)*$K107,0))</f>
        <v>0</v>
      </c>
      <c r="BZ107" s="712">
        <f t="shared" si="319"/>
        <v>12.568888888888889</v>
      </c>
      <c r="CA107" s="697">
        <f t="shared" si="374"/>
        <v>0</v>
      </c>
      <c r="CB107" s="697">
        <f>IF(AND($O107&gt;0,Sheet1!EJ107=1),(1-($O107-Sheet1!$L107)/$O107)*BV107,0)</f>
        <v>0</v>
      </c>
      <c r="CC107" s="697">
        <f>IF(AND(Sheet1!$L107=0,Sheet1!$L106=0, Calculation!BU107&lt;Sheet1!EF107-0.1,Sheet1!EF107=Sheet1!EF106,Sheet1!EF107=Sheet1!EF108),Sheet1!EF107,BV107-CB107)</f>
        <v>0</v>
      </c>
      <c r="CD107" s="697"/>
      <c r="CE107" s="712"/>
      <c r="CF107" s="712">
        <f t="shared" si="320"/>
        <v>364.57204622197372</v>
      </c>
      <c r="CG107" s="712"/>
      <c r="CH107" s="712">
        <f ca="1">IF(B107&gt;Summary!$A$1,#N/A,CF107*MGtoAF)</f>
        <v>1118.5070378090154</v>
      </c>
      <c r="CI107" s="712">
        <f>Sheet1!BK107+Sheet1!BL107+Sheet1!BM107-Sheet1!EN107-CQ107</f>
        <v>0</v>
      </c>
      <c r="CJ107" s="712">
        <f t="shared" si="321"/>
        <v>0</v>
      </c>
      <c r="CK107" s="712">
        <f>IF(Sheet1!EN107="FM",CQ107,0)</f>
        <v>0</v>
      </c>
      <c r="CL107" s="712">
        <f t="shared" si="322"/>
        <v>0</v>
      </c>
      <c r="CM107" s="712">
        <f>IF(Sheet1!EN107="OTHER",CQ107,0)</f>
        <v>0</v>
      </c>
      <c r="CN107" s="712">
        <f t="shared" si="323"/>
        <v>0</v>
      </c>
      <c r="CO107" s="712">
        <f t="shared" si="324"/>
        <v>0</v>
      </c>
      <c r="CP107" s="712">
        <f t="shared" si="325"/>
        <v>0</v>
      </c>
      <c r="CQ107" s="712">
        <f>IF(OR(Sheet1!EN107="FM", Sheet1!EN107="OTHER"),SUM(Sheet1!BK107:'Sheet1'!BM107),0)</f>
        <v>0</v>
      </c>
      <c r="CR107" s="697">
        <f>IF(AND($B107&gt;=$FL107,$B107&lt;=$FM107),MAX($CJ107,Sheet1!EG107,0),MAX($CJ107-(7/36)*$K107,0))</f>
        <v>0</v>
      </c>
      <c r="CS107" s="712">
        <f t="shared" si="326"/>
        <v>12.568888888888889</v>
      </c>
      <c r="CT107" s="697">
        <f t="shared" si="375"/>
        <v>0</v>
      </c>
      <c r="CU107" s="697">
        <f>IF(AND($O107&gt;0,Sheet1!EK107=1),(1-($O107-Sheet1!$L107)/$O107)*CP107,0)</f>
        <v>0</v>
      </c>
      <c r="CV107" s="697">
        <f>IF(AND(Sheet1!$L107=0,Sheet1!$L106=0, Calculation!CO107&lt;Sheet1!$EG107-0.1,Sheet1!$EG107=Sheet1!$EG106,Sheet1!$EG107=Sheet1!$EG108),Sheet1!$EG107,CP107-CU107)</f>
        <v>0</v>
      </c>
      <c r="CW107" s="697">
        <f t="shared" si="362"/>
        <v>0</v>
      </c>
      <c r="CX107" s="712">
        <f t="shared" si="379"/>
        <v>0</v>
      </c>
      <c r="CY107" s="712">
        <f t="shared" si="327"/>
        <v>274.36314326694355</v>
      </c>
      <c r="CZ107" s="712">
        <f t="shared" si="328"/>
        <v>0</v>
      </c>
      <c r="DA107" s="712">
        <f ca="1">IF(B107&gt;Summary!$A$1,#N/A,CY107*MGtoAF)</f>
        <v>841.74612354298279</v>
      </c>
      <c r="DB107" s="712">
        <f t="shared" si="329"/>
        <v>0</v>
      </c>
      <c r="DC107" s="712">
        <f t="shared" si="330"/>
        <v>14</v>
      </c>
      <c r="DD107" s="712">
        <f>Sheet1!AB107-DC107</f>
        <v>9.9999999998544808E-2</v>
      </c>
      <c r="DE107" s="712">
        <f t="shared" si="331"/>
        <v>7.1428571427532006E-3</v>
      </c>
      <c r="DF107" s="712">
        <f>(VLOOKUP(Sheet1!CY107,hhdcap_wcm,4)-(((VLOOKUP(Sheet1!CY107,hhdcap_wcm,3)-Sheet1!CY107)/(VLOOKUP(Sheet1!CY107,hhdcap_wcm,3)-VLOOKUP(Sheet1!CY107,hhdcap_wcm,1)))*(VLOOKUP(Sheet1!CY107,hhdcap_wcm,4)-VLOOKUP(Sheet1!CY107,hhdcap_wcm,2))))</f>
        <v>27088.520000067554</v>
      </c>
      <c r="DG107" s="712">
        <f t="shared" si="332"/>
        <v>-934.36000000241984</v>
      </c>
      <c r="DH107" s="712">
        <f t="shared" si="333"/>
        <v>-471.18507312275324</v>
      </c>
      <c r="DI107" s="712">
        <f>Sheet1!DW107*AFtoMG</f>
        <v>0</v>
      </c>
      <c r="DJ107" s="712">
        <f>Sheet1!DX107*AFtoMG</f>
        <v>0</v>
      </c>
      <c r="DK107" s="712">
        <f>Sheet1!DY107*AFtoMG</f>
        <v>0</v>
      </c>
      <c r="DL107" s="712">
        <f>Sheet1!DZ107*AFtoMG</f>
        <v>0</v>
      </c>
      <c r="DM107" s="712">
        <f t="shared" si="334"/>
        <v>0</v>
      </c>
      <c r="DN107" s="712">
        <f t="shared" si="335"/>
        <v>0</v>
      </c>
      <c r="DO107" s="712">
        <f t="shared" si="336"/>
        <v>1982.0107450444718</v>
      </c>
      <c r="DP107" s="712">
        <f t="shared" si="337"/>
        <v>6080.8089657964401</v>
      </c>
      <c r="DQ107" s="712"/>
      <c r="DR107" s="697">
        <f>IF(OR(B107&lt;FL107,B107&gt;FM107),(MIN(AV107+BO107+CJ107+MAX(Sheet1!AA107+AG107-73,0),K107)),0)</f>
        <v>0</v>
      </c>
      <c r="DS107" s="712"/>
      <c r="DT107" s="712">
        <f t="shared" si="338"/>
        <v>0</v>
      </c>
      <c r="DU107" s="712"/>
      <c r="DV107" s="712">
        <f>Sheet1!ED107+Sheet1!EE107+Sheet1!EF107+Sheet1!EG107</f>
        <v>8.5</v>
      </c>
      <c r="DW107" s="712"/>
      <c r="DX107" s="697">
        <f t="shared" si="376"/>
        <v>0</v>
      </c>
      <c r="DY107" s="712">
        <f>IF(Sheet1!FN107=1,SUM('Calculations II'!AT107:BA107)+'Calculations II'!BC107+Sheet1!BU107+'Calculations II'!BE107+AF107,SUM('Calculations II'!AT107:BA107)+'Calculations II'!BC107+Sheet1!BU107+'Calculations II'!BE107+AF107)</f>
        <v>45.904879999999999</v>
      </c>
      <c r="DZ107" s="712">
        <f>Sheet1!AA107+Sheet1!AB107+'Calculations II'!BC107</f>
        <v>41.799999999995634</v>
      </c>
      <c r="EA107" s="712"/>
      <c r="EB107" s="712"/>
      <c r="EC107" s="712">
        <f t="shared" si="339"/>
        <v>40636</v>
      </c>
      <c r="ED107" s="712">
        <f t="shared" si="340"/>
        <v>64.64</v>
      </c>
      <c r="EE107" s="712">
        <f t="shared" si="341"/>
        <v>99.998080000000002</v>
      </c>
      <c r="EF107" s="712">
        <f>-(VLOOKUP(Sheet1!BQ107,Lookup!$B$4:$J$236,2)-VLOOKUP(Sheet1!BQ106,Lookup!$B$4:$J$236,2))/1000000</f>
        <v>2.4175</v>
      </c>
      <c r="EG107" s="712">
        <f>-(VLOOKUP(Sheet1!BR107,Lookup!$B$4:$J$236,3)-VLOOKUP(Sheet1!BR106,Lookup!$B$4:$J$236,3))/1000000</f>
        <v>2.4096000000000002</v>
      </c>
      <c r="EH107" s="712">
        <f>-(VLOOKUP(Sheet1!BS107,Lookup!$B$4:$J$236,4)-VLOOKUP(Sheet1!BS106,Lookup!$B$4:$J$236,4))/1000000</f>
        <v>0</v>
      </c>
      <c r="EI107" s="697">
        <f t="shared" si="380"/>
        <v>4.8270999999999997</v>
      </c>
      <c r="EJ107" s="712"/>
      <c r="EK107" s="712"/>
      <c r="EL107" s="712"/>
      <c r="EM107" s="712"/>
      <c r="EN107" s="712"/>
      <c r="EO107" s="712"/>
      <c r="EP107" s="712"/>
      <c r="EQ107" s="712"/>
      <c r="ER107" s="697">
        <v>0</v>
      </c>
      <c r="ES107" s="712"/>
      <c r="ET107" s="794" t="e">
        <f t="shared" si="342"/>
        <v>#N/A</v>
      </c>
      <c r="EU107" s="794" t="e">
        <f t="shared" si="363"/>
        <v>#VALUE!</v>
      </c>
      <c r="EV107" s="795" t="e">
        <f t="shared" si="364"/>
        <v>#VALUE!</v>
      </c>
      <c r="EW107" s="796" t="s">
        <v>757</v>
      </c>
      <c r="EX107" s="796" t="s">
        <v>757</v>
      </c>
      <c r="EY107" s="794">
        <v>0</v>
      </c>
      <c r="EZ107" s="794" t="e">
        <v>#N/A</v>
      </c>
      <c r="FA107" s="712"/>
      <c r="FB107" s="712"/>
      <c r="FC107" s="712"/>
      <c r="FD107" s="712"/>
      <c r="FE107" s="712">
        <f>O107+Sheet1!CO107</f>
        <v>41.799999999995634</v>
      </c>
      <c r="FF107" s="712">
        <f>IF(Sheet1!AA107+AG107&lt;=Calculation!N107,AG107,Calculation!N107-Sheet1!AA107)</f>
        <v>14.099999999998545</v>
      </c>
      <c r="FG107" s="712">
        <f>(Sheet1!BP107+Sheet1!BO107)/694.4</f>
        <v>1.9778225806451615</v>
      </c>
      <c r="FH107" s="712"/>
      <c r="FI107" s="712"/>
      <c r="FJ107" s="712"/>
      <c r="FK107" s="712"/>
      <c r="FL107" s="714">
        <f t="shared" si="381"/>
        <v>40753</v>
      </c>
      <c r="FM107" s="714">
        <f t="shared" si="382"/>
        <v>40851</v>
      </c>
      <c r="FN107" s="712"/>
      <c r="FO107" s="712"/>
      <c r="FP107" s="712"/>
      <c r="FQ107" s="712"/>
      <c r="FR107" s="712"/>
      <c r="FS107" s="725">
        <f t="shared" si="383"/>
        <v>40603</v>
      </c>
      <c r="FT107" s="714">
        <f t="shared" si="384"/>
        <v>40709</v>
      </c>
      <c r="FU107" s="712">
        <f t="shared" si="385"/>
        <v>6518.9048239895692</v>
      </c>
      <c r="FV107" s="714">
        <f t="shared" si="386"/>
        <v>40722</v>
      </c>
      <c r="FW107" s="712">
        <f t="shared" si="387"/>
        <v>3259.4524119947846</v>
      </c>
      <c r="FX107" s="725">
        <f t="shared" si="388"/>
        <v>40851</v>
      </c>
      <c r="FZ107" s="697">
        <f t="shared" si="365"/>
        <v>0</v>
      </c>
      <c r="GA107" s="712" t="str">
        <f t="shared" si="343"/>
        <v/>
      </c>
      <c r="GB107" s="712">
        <f t="shared" si="344"/>
        <v>0</v>
      </c>
      <c r="GC107" s="712" t="str">
        <f t="shared" si="345"/>
        <v/>
      </c>
      <c r="GD107" s="712">
        <f>IF(GA107="P",Lookup!$M$12,IF(GA107="PP",Lookup!$M$13,IF(GA107="PPP",Lookup!$M$14,IF(GA107="T",Lookup!$M$15,IF(GA107="TP",Lookup!$M$16,IF(GA107="TPP",Lookup!$M$17,IF(GA107="TPPP",Lookup!$M$18,0)))))))*FZ107</f>
        <v>0</v>
      </c>
      <c r="GE107" s="712">
        <f t="shared" si="346"/>
        <v>0</v>
      </c>
      <c r="GF107" s="712">
        <f t="shared" si="347"/>
        <v>2809.4698666666645</v>
      </c>
      <c r="GG107" s="712">
        <f t="shared" si="348"/>
        <v>915.73333333333255</v>
      </c>
      <c r="GH107" s="712"/>
      <c r="GI107" s="712">
        <f t="shared" si="349"/>
        <v>0</v>
      </c>
      <c r="GJ107" s="712" t="str">
        <f t="shared" si="350"/>
        <v/>
      </c>
      <c r="GK107" s="712">
        <f>IF(GA107="P",Lookup!$N$12,IF(GA107="PP",Lookup!$N$13,IF(GA107="PPP",Lookup!$N$14,IF(GA107="T",Lookup!$N$15,IF(GA107="TP",Lookup!$N$16,IF(GA107="TPP",Lookup!$N$17,IF(GA107="TPPP",Lookup!$N$18,0)))))))*FZ107</f>
        <v>0</v>
      </c>
      <c r="GL107" s="712">
        <f t="shared" si="351"/>
        <v>0</v>
      </c>
      <c r="GM107" s="712">
        <f t="shared" si="352"/>
        <v>1311.085937777777</v>
      </c>
      <c r="GN107" s="712">
        <f t="shared" si="353"/>
        <v>427.34222222222195</v>
      </c>
      <c r="GO107" s="712"/>
      <c r="GP107" s="712">
        <f t="shared" si="354"/>
        <v>0</v>
      </c>
      <c r="GQ107" s="712" t="str">
        <f t="shared" si="355"/>
        <v/>
      </c>
      <c r="GR107" s="712">
        <f>IF(GA107="P",Lookup!$N$12,IF(GA107="PP",Lookup!$N$13,IF(GA107="PPP",Lookup!$N$14,IF(GA107="T",Lookup!$N$15,IF(GA107="TP",Lookup!$N$16,IF(GA107="TPP",Lookup!$N$17,IF(GA107="TPPP",Lookup!$N$18,0)))))))*FZ107</f>
        <v>0</v>
      </c>
      <c r="GS107" s="697">
        <f t="shared" si="377"/>
        <v>0</v>
      </c>
      <c r="GT107" s="712">
        <f t="shared" si="356"/>
        <v>1118.5070378090154</v>
      </c>
      <c r="GU107" s="712">
        <f t="shared" si="357"/>
        <v>364.57204622197372</v>
      </c>
      <c r="GV107" s="712"/>
      <c r="GW107" s="712">
        <f t="shared" si="358"/>
        <v>0</v>
      </c>
      <c r="GX107" s="712" t="str">
        <f t="shared" si="359"/>
        <v/>
      </c>
      <c r="GY107" s="712">
        <f>IF(GA107="P",Lookup!$N$12,IF(GA107="PP",Lookup!$N$13,IF(GA107="PPP",Lookup!$N$14,IF(GA107="T",Lookup!$N$15,IF(GA107="TP",Lookup!$N$16,IF(GA107="TPP",Lookup!$N$17,IF(GA107="TPPP",Lookup!$N$18,0)))))))*FZ107</f>
        <v>0</v>
      </c>
      <c r="GZ107" s="697">
        <f t="shared" si="378"/>
        <v>0</v>
      </c>
      <c r="HA107" s="712">
        <f t="shared" si="360"/>
        <v>841.74612354298279</v>
      </c>
      <c r="HB107" s="712">
        <f t="shared" si="361"/>
        <v>274.36314326694355</v>
      </c>
      <c r="HC107" s="712"/>
    </row>
    <row r="108" spans="1:211">
      <c r="A108" s="773" t="s">
        <v>4</v>
      </c>
      <c r="B108" s="708">
        <v>40637</v>
      </c>
      <c r="C108" s="719">
        <v>0.5</v>
      </c>
      <c r="D108" s="675">
        <f t="shared" si="366"/>
        <v>300</v>
      </c>
      <c r="E108" s="675">
        <f t="shared" si="367"/>
        <v>250</v>
      </c>
      <c r="F108" s="710">
        <v>250</v>
      </c>
      <c r="G108" s="712">
        <f>DH108+Sheet1!CV108</f>
        <v>3066.1250630324753</v>
      </c>
      <c r="H108" s="712">
        <f t="shared" si="294"/>
        <v>1714.9800407441919</v>
      </c>
      <c r="I108" s="711">
        <f>MAX(Sheet1!Z108-AJ108+(Sheet1!CW108-E108)*CFStoMGD,0)</f>
        <v>3629.9639999999968</v>
      </c>
      <c r="J108" s="720">
        <f>IF(AND(B108&gt;=Calculation!FS108,B108&lt;=Calculation!FT108),IF(Sheet1!CX108&gt;=Calculation!D108,64.64,0),MAX(Sheet1!Z108-AJ108+(Sheet1!CX108-D108)*CFStoMGD,0))</f>
        <v>64.64</v>
      </c>
      <c r="K108" s="697">
        <f t="shared" si="368"/>
        <v>64.64</v>
      </c>
      <c r="L108" s="712">
        <f>Sheet1!AA108+Sheet1!AB108-Sheet1!L108+(Sheet1!CW108-F108)*CFStoMGD</f>
        <v>3628.9540000000056</v>
      </c>
      <c r="M108" s="712">
        <f t="shared" si="295"/>
        <v>2021.5821055590759</v>
      </c>
      <c r="N108" s="712">
        <f>IF(Sheet1!CW108&gt;=F108,MIN(73,MIN(MAX(L108,0),MAX(M108,0))),0)</f>
        <v>73</v>
      </c>
      <c r="O108" s="721">
        <f>Sheet1!AA108+Sheet1!AB108</f>
        <v>40.850000000005821</v>
      </c>
      <c r="P108" s="721">
        <f t="shared" si="296"/>
        <v>63.194950000009001</v>
      </c>
      <c r="Q108" s="712">
        <f>MIN(N108,Sheet1!AA108+AG108)</f>
        <v>40.850000000005821</v>
      </c>
      <c r="R108" s="712">
        <f t="shared" si="297"/>
        <v>0</v>
      </c>
      <c r="S108" s="721">
        <f>Sheet1!Y108*MGDtoCFS</f>
        <v>42.527029999999996</v>
      </c>
      <c r="T108" s="721">
        <f>Sheet1!Z108*MGDtoCFS</f>
        <v>21.93646</v>
      </c>
      <c r="U108" s="721">
        <f>Sheet1!AA108*MGDtoCFS</f>
        <v>42.233100000004498</v>
      </c>
      <c r="V108" s="721">
        <f>Sheet1!AB108*MGDtoCFS</f>
        <v>20.961850000004503</v>
      </c>
      <c r="W108" s="721">
        <f>Sheet1!L108*MGDtoCFS</f>
        <v>63.782809999999991</v>
      </c>
      <c r="X108" s="697">
        <f t="shared" si="369"/>
        <v>0</v>
      </c>
      <c r="Y108" s="712">
        <f t="shared" si="298"/>
        <v>0</v>
      </c>
      <c r="Z108" s="712">
        <f t="shared" si="299"/>
        <v>64.64</v>
      </c>
      <c r="AA108" s="712">
        <f t="shared" si="300"/>
        <v>99.998080000000002</v>
      </c>
      <c r="AB108" s="712">
        <f>(VLOOKUP(Sheet1!CY108,hhdcap_wcm,4)-(((VLOOKUP(Sheet1!CY108,hhdcap_wcm,3)-Sheet1!CY108)/(VLOOKUP(Sheet1!CY108,hhdcap_wcm,3)-VLOOKUP(Sheet1!CY108,hhdcap_wcm,1)))*(VLOOKUP(Sheet1!CY108,hhdcap_wcm,4)-VLOOKUP(Sheet1!CY108,hhdcap_wcm,2))))</f>
        <v>25292.170000060953</v>
      </c>
      <c r="AC108" s="712">
        <f t="shared" si="301"/>
        <v>-1796.3500000066015</v>
      </c>
      <c r="AD108" s="712">
        <f t="shared" si="370"/>
        <v>2046.6507450444715</v>
      </c>
      <c r="AE108" s="712">
        <f t="shared" si="302"/>
        <v>6279.1244857964384</v>
      </c>
      <c r="AF108" s="712">
        <f>Sheet1!BA108+Sheet1!BB108+Sheet1!BN108+BT108</f>
        <v>14</v>
      </c>
      <c r="AG108" s="712">
        <f t="shared" si="303"/>
        <v>13.55000000000291</v>
      </c>
      <c r="AH108" s="712">
        <f>Sheet1!BA108+BT108</f>
        <v>0</v>
      </c>
      <c r="AI108" s="712">
        <f>Sheet1!BA108+Sheet1!BB108+BT108</f>
        <v>0</v>
      </c>
      <c r="AJ108" s="712">
        <f>IF((Sheet1!AA108+AG108+AX108+AZ108+BQ108+BS108+CL108+CN108)&lt;=N108,AG108+AX108+AZ108+BQ108+BS108+CL108+CN108,N108-Sheet1!AA108)</f>
        <v>13.55000000000291</v>
      </c>
      <c r="AK108" s="712">
        <f>IF(DR108&lt;K108,0,MAX(Sheet1!AA108+AG108-15/36*K108-N108,Sheet1!ED108,0))</f>
        <v>0</v>
      </c>
      <c r="AL108" s="712">
        <f>IF(OR(B108&gt;=FT108,B108&lt;FS108),0,15/36*K108-MAX(0,64.6-(137.6-(Sheet1!AA108+Sheet1!AB108))))</f>
        <v>26.933333333333334</v>
      </c>
      <c r="AM108" s="712">
        <f>Sheet1!CX108-110</f>
        <v>3965.2083333333335</v>
      </c>
      <c r="AN108" s="712">
        <f>Sheet1!CW108-265</f>
        <v>5599.6875</v>
      </c>
      <c r="AO108" s="712">
        <f t="shared" si="371"/>
        <v>32.149999999994179</v>
      </c>
      <c r="AP108" s="712">
        <f t="shared" si="372"/>
        <v>0</v>
      </c>
      <c r="AQ108" s="712">
        <f t="shared" si="304"/>
        <v>0</v>
      </c>
      <c r="AR108" s="712">
        <f t="shared" si="305"/>
        <v>942.66666666666583</v>
      </c>
      <c r="AS108" s="712"/>
      <c r="AT108" s="712">
        <f ca="1">IF(B108&gt;Summary!$A$1,#N/A,AR108*MGtoAF)</f>
        <v>2892.1013333333308</v>
      </c>
      <c r="AU108" s="712">
        <f>Sheet1!BG108+Sheet1!BH108+Sheet1!BI108-BC108</f>
        <v>0</v>
      </c>
      <c r="AV108" s="712">
        <f t="shared" si="306"/>
        <v>0</v>
      </c>
      <c r="AW108" s="712">
        <f>IF(Sheet1!EL108="FM",BC108,0)</f>
        <v>0</v>
      </c>
      <c r="AX108" s="712">
        <f t="shared" si="307"/>
        <v>0</v>
      </c>
      <c r="AY108" s="712">
        <f>IF(Sheet1!EL108="OTHER",BC108,0)</f>
        <v>0</v>
      </c>
      <c r="AZ108" s="712">
        <f t="shared" si="308"/>
        <v>0</v>
      </c>
      <c r="BA108" s="712">
        <f t="shared" si="309"/>
        <v>0</v>
      </c>
      <c r="BB108" s="712">
        <f t="shared" si="310"/>
        <v>0</v>
      </c>
      <c r="BC108" s="712">
        <f>IF(OR(Sheet1!EL108="FM", Sheet1!EL108="OTHER"),SUM(Sheet1!BG108:'Sheet1'!BI108),0)</f>
        <v>0</v>
      </c>
      <c r="BD108" s="697">
        <f>IF(AND($B108&gt;=$FL108,$B108&lt;=$FM108),MAX(AV108,Sheet1!EE108,0),MAX(AV108-(7/36)*$K108,0))</f>
        <v>0</v>
      </c>
      <c r="BE108" s="712">
        <f t="shared" si="311"/>
        <v>12.568888888888889</v>
      </c>
      <c r="BF108" s="697">
        <f t="shared" si="373"/>
        <v>0</v>
      </c>
      <c r="BG108" s="697">
        <f>IF(AND($O108&gt;0,Sheet1!EI108=1),(1-($O108-Sheet1!$L108)/$O108)*BB108,0)</f>
        <v>0</v>
      </c>
      <c r="BH108" s="697">
        <f>IF(AND(Sheet1!$L108=0,Sheet1!$L107=0, Calculation!BA108&lt;Sheet1!$EE108-0.1,Sheet1!$EE108=Sheet1!$EE107,Sheet1!$EE108=Sheet1!$EE109),Sheet1!$EE108,BB108-BG108)</f>
        <v>0</v>
      </c>
      <c r="BI108" s="712"/>
      <c r="BJ108" s="712"/>
      <c r="BK108" s="712">
        <f t="shared" si="312"/>
        <v>439.91111111111081</v>
      </c>
      <c r="BL108" s="712"/>
      <c r="BM108" s="712">
        <f ca="1">IF(B108&gt;Summary!$A$1,#N/A,BK108*MGtoAF)</f>
        <v>1349.6472888888879</v>
      </c>
      <c r="BN108" s="712">
        <f>Sheet1!BC108+Sheet1!BD108+Sheet1!BE108+Sheet1!BF108-BW108-BX108</f>
        <v>0</v>
      </c>
      <c r="BO108" s="712">
        <f t="shared" si="313"/>
        <v>0</v>
      </c>
      <c r="BP108" s="712">
        <f>IF(Sheet1!EM108="FM",BX108,0)</f>
        <v>0</v>
      </c>
      <c r="BQ108" s="712">
        <f t="shared" si="314"/>
        <v>0</v>
      </c>
      <c r="BR108" s="712">
        <f>IF(Sheet1!EM108="OTHER",BX108,0)</f>
        <v>0</v>
      </c>
      <c r="BS108" s="712">
        <f t="shared" si="315"/>
        <v>0</v>
      </c>
      <c r="BT108" s="712">
        <f t="shared" si="316"/>
        <v>0</v>
      </c>
      <c r="BU108" s="712">
        <f t="shared" si="317"/>
        <v>0</v>
      </c>
      <c r="BV108" s="712">
        <f t="shared" si="318"/>
        <v>0</v>
      </c>
      <c r="BW108" s="712">
        <f>IF(Sheet1!EM108="CWA",SUM(Sheet1!BC108:'Sheet1'!BF108),0)</f>
        <v>0</v>
      </c>
      <c r="BX108" s="712">
        <f>IF(OR(Sheet1!EM108="FM", Sheet1!EM108="OTHER"),SUM(Sheet1!BC108:'Sheet1'!BF108),0)</f>
        <v>0</v>
      </c>
      <c r="BY108" s="697">
        <f>IF(AND($B108&gt;=$FL108,$B108&lt;=$FM108),MAX(BV108,Sheet1!EF108,0),MAX(BV108-(7/36)*$K108,0))</f>
        <v>0</v>
      </c>
      <c r="BZ108" s="712">
        <f t="shared" si="319"/>
        <v>12.568888888888889</v>
      </c>
      <c r="CA108" s="697">
        <f t="shared" si="374"/>
        <v>0</v>
      </c>
      <c r="CB108" s="697">
        <f>IF(AND($O108&gt;0,Sheet1!EJ108=1),(1-($O108-Sheet1!$L108)/$O108)*BV108,0)</f>
        <v>0</v>
      </c>
      <c r="CC108" s="697">
        <f>IF(AND(Sheet1!$L108=0,Sheet1!$L107=0, Calculation!BU108&lt;Sheet1!EF108-0.1,Sheet1!EF108=Sheet1!EF107,Sheet1!EF108=Sheet1!EF109),Sheet1!EF108,BV108-CB108)</f>
        <v>0</v>
      </c>
      <c r="CD108" s="697"/>
      <c r="CE108" s="712"/>
      <c r="CF108" s="712">
        <f t="shared" si="320"/>
        <v>377.14093511086259</v>
      </c>
      <c r="CG108" s="712"/>
      <c r="CH108" s="712">
        <f ca="1">IF(B108&gt;Summary!$A$1,#N/A,CF108*MGtoAF)</f>
        <v>1157.0683889201264</v>
      </c>
      <c r="CI108" s="712">
        <f>Sheet1!BK108+Sheet1!BL108+Sheet1!BM108-Sheet1!EN108-CQ108</f>
        <v>0</v>
      </c>
      <c r="CJ108" s="712">
        <f t="shared" si="321"/>
        <v>0</v>
      </c>
      <c r="CK108" s="712">
        <f>IF(Sheet1!EN108="FM",CQ108,0)</f>
        <v>0</v>
      </c>
      <c r="CL108" s="712">
        <f t="shared" si="322"/>
        <v>0</v>
      </c>
      <c r="CM108" s="712">
        <f>IF(Sheet1!EN108="OTHER",CQ108,0)</f>
        <v>0</v>
      </c>
      <c r="CN108" s="712">
        <f t="shared" si="323"/>
        <v>0</v>
      </c>
      <c r="CO108" s="712">
        <f t="shared" si="324"/>
        <v>0</v>
      </c>
      <c r="CP108" s="712">
        <f t="shared" si="325"/>
        <v>0</v>
      </c>
      <c r="CQ108" s="712">
        <f>IF(OR(Sheet1!EN108="FM", Sheet1!EN108="OTHER"),SUM(Sheet1!BK108:'Sheet1'!BM108),0)</f>
        <v>0</v>
      </c>
      <c r="CR108" s="697">
        <f>IF(AND($B108&gt;=$FL108,$B108&lt;=$FM108),MAX($CJ108,Sheet1!EG108,0),MAX($CJ108-(7/36)*$K108,0))</f>
        <v>0</v>
      </c>
      <c r="CS108" s="712">
        <f t="shared" si="326"/>
        <v>12.568888888888889</v>
      </c>
      <c r="CT108" s="697">
        <f t="shared" si="375"/>
        <v>0</v>
      </c>
      <c r="CU108" s="697">
        <f>IF(AND($O108&gt;0,Sheet1!EK108=1),(1-($O108-Sheet1!$L108)/$O108)*CP108,0)</f>
        <v>0</v>
      </c>
      <c r="CV108" s="697">
        <f>IF(AND(Sheet1!$L108=0,Sheet1!$L107=0, Calculation!CO108&lt;Sheet1!$EG108-0.1,Sheet1!$EG108=Sheet1!$EG107,Sheet1!$EG108=Sheet1!$EG109),Sheet1!$EG108,CP108-CU108)</f>
        <v>0</v>
      </c>
      <c r="CW108" s="697">
        <f t="shared" si="362"/>
        <v>0</v>
      </c>
      <c r="CX108" s="712">
        <f t="shared" si="379"/>
        <v>0</v>
      </c>
      <c r="CY108" s="712">
        <f t="shared" si="327"/>
        <v>286.93203215583242</v>
      </c>
      <c r="CZ108" s="712">
        <f t="shared" si="328"/>
        <v>0</v>
      </c>
      <c r="DA108" s="712">
        <f ca="1">IF(B108&gt;Summary!$A$1,#N/A,CY108*MGtoAF)</f>
        <v>880.30747465409388</v>
      </c>
      <c r="DB108" s="712">
        <f t="shared" si="329"/>
        <v>0</v>
      </c>
      <c r="DC108" s="712">
        <f t="shared" si="330"/>
        <v>14</v>
      </c>
      <c r="DD108" s="712">
        <f>Sheet1!AB108-DC108</f>
        <v>-0.44999999999708962</v>
      </c>
      <c r="DE108" s="712">
        <f t="shared" si="331"/>
        <v>-3.2142857142649257E-2</v>
      </c>
      <c r="DF108" s="712">
        <f>(VLOOKUP(Sheet1!CY108,hhdcap_wcm,4)-(((VLOOKUP(Sheet1!CY108,hhdcap_wcm,3)-Sheet1!CY108)/(VLOOKUP(Sheet1!CY108,hhdcap_wcm,3)-VLOOKUP(Sheet1!CY108,hhdcap_wcm,1)))*(VLOOKUP(Sheet1!CY108,hhdcap_wcm,4)-VLOOKUP(Sheet1!CY108,hhdcap_wcm,2))))</f>
        <v>25292.170000060953</v>
      </c>
      <c r="DG108" s="712">
        <f t="shared" si="332"/>
        <v>-1796.3500000066015</v>
      </c>
      <c r="DH108" s="712">
        <f t="shared" si="333"/>
        <v>-905.8749369675246</v>
      </c>
      <c r="DI108" s="712">
        <f>Sheet1!DW108*AFtoMG</f>
        <v>0</v>
      </c>
      <c r="DJ108" s="712">
        <f>Sheet1!DX108*AFtoMG</f>
        <v>0</v>
      </c>
      <c r="DK108" s="712">
        <f>Sheet1!DY108*AFtoMG</f>
        <v>0</v>
      </c>
      <c r="DL108" s="712">
        <f>Sheet1!DZ108*AFtoMG</f>
        <v>0</v>
      </c>
      <c r="DM108" s="712">
        <f t="shared" si="334"/>
        <v>0</v>
      </c>
      <c r="DN108" s="712">
        <f t="shared" si="335"/>
        <v>0</v>
      </c>
      <c r="DO108" s="712">
        <f t="shared" si="336"/>
        <v>2046.6507450444715</v>
      </c>
      <c r="DP108" s="712">
        <f t="shared" si="337"/>
        <v>6279.1244857964384</v>
      </c>
      <c r="DQ108" s="712"/>
      <c r="DR108" s="697">
        <f>IF(OR(B108&lt;FL108,B108&gt;FM108),(MIN(AV108+BO108+CJ108+MAX(Sheet1!AA108+AG108-73,0),K108)),0)</f>
        <v>0</v>
      </c>
      <c r="DS108" s="712"/>
      <c r="DT108" s="712">
        <f t="shared" si="338"/>
        <v>0</v>
      </c>
      <c r="DU108" s="712"/>
      <c r="DV108" s="712">
        <f>Sheet1!ED108+Sheet1!EE108+Sheet1!EF108+Sheet1!EG108</f>
        <v>8.5</v>
      </c>
      <c r="DW108" s="712"/>
      <c r="DX108" s="697">
        <f t="shared" si="376"/>
        <v>0</v>
      </c>
      <c r="DY108" s="712">
        <f>IF(Sheet1!FN108=1,SUM('Calculations II'!AT108:BA108)+'Calculations II'!BC108+Sheet1!BU108+'Calculations II'!BE108+AF108,SUM('Calculations II'!AT108:BA108)+'Calculations II'!BC108+Sheet1!BU108+'Calculations II'!BE108+AF108)</f>
        <v>39.327615999999999</v>
      </c>
      <c r="DZ108" s="712">
        <f>Sheet1!AA108+Sheet1!AB108+'Calculations II'!BC108</f>
        <v>40.850000000005821</v>
      </c>
      <c r="EA108" s="712"/>
      <c r="EB108" s="712"/>
      <c r="EC108" s="712">
        <f t="shared" si="339"/>
        <v>40637</v>
      </c>
      <c r="ED108" s="712">
        <f t="shared" si="340"/>
        <v>64.64</v>
      </c>
      <c r="EE108" s="712">
        <f t="shared" si="341"/>
        <v>99.998080000000002</v>
      </c>
      <c r="EF108" s="712">
        <f>-(VLOOKUP(Sheet1!BQ108,Lookup!$B$4:$J$236,2)-VLOOKUP(Sheet1!BQ107,Lookup!$B$4:$J$236,2))/1000000</f>
        <v>-0.53420000000000001</v>
      </c>
      <c r="EG108" s="712">
        <f>-(VLOOKUP(Sheet1!BR108,Lookup!$B$4:$J$236,3)-VLOOKUP(Sheet1!BR107,Lookup!$B$4:$J$236,3))/1000000</f>
        <v>-0.80020000000000002</v>
      </c>
      <c r="EH108" s="712">
        <f>-(VLOOKUP(Sheet1!BS108,Lookup!$B$4:$J$236,4)-VLOOKUP(Sheet1!BS107,Lookup!$B$4:$J$236,4))/1000000</f>
        <v>0</v>
      </c>
      <c r="EI108" s="697">
        <f t="shared" si="380"/>
        <v>-1.3344</v>
      </c>
      <c r="EJ108" s="712"/>
      <c r="EK108" s="712"/>
      <c r="EL108" s="712"/>
      <c r="EM108" s="712"/>
      <c r="EN108" s="712"/>
      <c r="EO108" s="712"/>
      <c r="EP108" s="712"/>
      <c r="EQ108" s="712"/>
      <c r="ER108" s="697">
        <v>0</v>
      </c>
      <c r="ES108" s="712"/>
      <c r="ET108" s="794" t="e">
        <f t="shared" si="342"/>
        <v>#N/A</v>
      </c>
      <c r="EU108" s="794" t="e">
        <f t="shared" si="363"/>
        <v>#VALUE!</v>
      </c>
      <c r="EV108" s="795" t="e">
        <f t="shared" si="364"/>
        <v>#VALUE!</v>
      </c>
      <c r="EW108" s="796" t="s">
        <v>757</v>
      </c>
      <c r="EX108" s="796" t="s">
        <v>757</v>
      </c>
      <c r="EY108" s="794">
        <v>0</v>
      </c>
      <c r="EZ108" s="794" t="e">
        <v>#N/A</v>
      </c>
      <c r="FA108" s="712"/>
      <c r="FB108" s="712"/>
      <c r="FC108" s="712"/>
      <c r="FD108" s="712"/>
      <c r="FE108" s="712">
        <f>O108+Sheet1!CO108</f>
        <v>40.850000000005821</v>
      </c>
      <c r="FF108" s="712">
        <f>IF(Sheet1!AA108+AG108&lt;=Calculation!N108,AG108,Calculation!N108-Sheet1!AA108)</f>
        <v>13.55000000000291</v>
      </c>
      <c r="FG108" s="712">
        <f>(Sheet1!BP108+Sheet1!BO108)/694.4</f>
        <v>1.4755184331797233</v>
      </c>
      <c r="FH108" s="712"/>
      <c r="FI108" s="712"/>
      <c r="FJ108" s="712"/>
      <c r="FK108" s="712"/>
      <c r="FL108" s="714">
        <f t="shared" si="381"/>
        <v>40753</v>
      </c>
      <c r="FM108" s="714">
        <f t="shared" si="382"/>
        <v>40851</v>
      </c>
      <c r="FN108" s="712"/>
      <c r="FO108" s="712"/>
      <c r="FP108" s="712"/>
      <c r="FQ108" s="712"/>
      <c r="FR108" s="712"/>
      <c r="FS108" s="725">
        <f t="shared" si="383"/>
        <v>40603</v>
      </c>
      <c r="FT108" s="714">
        <f t="shared" si="384"/>
        <v>40709</v>
      </c>
      <c r="FU108" s="712">
        <f t="shared" si="385"/>
        <v>6518.9048239895692</v>
      </c>
      <c r="FV108" s="714">
        <f t="shared" si="386"/>
        <v>40722</v>
      </c>
      <c r="FW108" s="712">
        <f t="shared" si="387"/>
        <v>3259.4524119947846</v>
      </c>
      <c r="FX108" s="725">
        <f t="shared" si="388"/>
        <v>40851</v>
      </c>
      <c r="FZ108" s="697">
        <f t="shared" si="365"/>
        <v>0</v>
      </c>
      <c r="GA108" s="712" t="str">
        <f t="shared" si="343"/>
        <v/>
      </c>
      <c r="GB108" s="712">
        <f t="shared" si="344"/>
        <v>0</v>
      </c>
      <c r="GC108" s="712" t="str">
        <f t="shared" si="345"/>
        <v/>
      </c>
      <c r="GD108" s="712">
        <f>IF(GA108="P",Lookup!$M$12,IF(GA108="PP",Lookup!$M$13,IF(GA108="PPP",Lookup!$M$14,IF(GA108="T",Lookup!$M$15,IF(GA108="TP",Lookup!$M$16,IF(GA108="TPP",Lookup!$M$17,IF(GA108="TPPP",Lookup!$M$18,0)))))))*FZ108</f>
        <v>0</v>
      </c>
      <c r="GE108" s="712">
        <f t="shared" si="346"/>
        <v>0</v>
      </c>
      <c r="GF108" s="712">
        <f t="shared" si="347"/>
        <v>2892.1013333333308</v>
      </c>
      <c r="GG108" s="712">
        <f t="shared" si="348"/>
        <v>942.66666666666583</v>
      </c>
      <c r="GH108" s="712"/>
      <c r="GI108" s="712">
        <f t="shared" si="349"/>
        <v>0</v>
      </c>
      <c r="GJ108" s="712" t="str">
        <f t="shared" si="350"/>
        <v/>
      </c>
      <c r="GK108" s="712">
        <f>IF(GA108="P",Lookup!$N$12,IF(GA108="PP",Lookup!$N$13,IF(GA108="PPP",Lookup!$N$14,IF(GA108="T",Lookup!$N$15,IF(GA108="TP",Lookup!$N$16,IF(GA108="TPP",Lookup!$N$17,IF(GA108="TPPP",Lookup!$N$18,0)))))))*FZ108</f>
        <v>0</v>
      </c>
      <c r="GL108" s="712">
        <f t="shared" si="351"/>
        <v>0</v>
      </c>
      <c r="GM108" s="712">
        <f t="shared" si="352"/>
        <v>1349.6472888888879</v>
      </c>
      <c r="GN108" s="712">
        <f t="shared" si="353"/>
        <v>439.91111111111081</v>
      </c>
      <c r="GO108" s="712"/>
      <c r="GP108" s="712">
        <f t="shared" si="354"/>
        <v>0</v>
      </c>
      <c r="GQ108" s="712" t="str">
        <f t="shared" si="355"/>
        <v/>
      </c>
      <c r="GR108" s="712">
        <f>IF(GA108="P",Lookup!$N$12,IF(GA108="PP",Lookup!$N$13,IF(GA108="PPP",Lookup!$N$14,IF(GA108="T",Lookup!$N$15,IF(GA108="TP",Lookup!$N$16,IF(GA108="TPP",Lookup!$N$17,IF(GA108="TPPP",Lookup!$N$18,0)))))))*FZ108</f>
        <v>0</v>
      </c>
      <c r="GS108" s="697">
        <f t="shared" si="377"/>
        <v>0</v>
      </c>
      <c r="GT108" s="712">
        <f t="shared" si="356"/>
        <v>1157.0683889201264</v>
      </c>
      <c r="GU108" s="712">
        <f t="shared" si="357"/>
        <v>377.14093511086259</v>
      </c>
      <c r="GV108" s="712"/>
      <c r="GW108" s="712">
        <f t="shared" si="358"/>
        <v>0</v>
      </c>
      <c r="GX108" s="712" t="str">
        <f t="shared" si="359"/>
        <v/>
      </c>
      <c r="GY108" s="712">
        <f>IF(GA108="P",Lookup!$N$12,IF(GA108="PP",Lookup!$N$13,IF(GA108="PPP",Lookup!$N$14,IF(GA108="T",Lookup!$N$15,IF(GA108="TP",Lookup!$N$16,IF(GA108="TPP",Lookup!$N$17,IF(GA108="TPPP",Lookup!$N$18,0)))))))*FZ108</f>
        <v>0</v>
      </c>
      <c r="GZ108" s="697">
        <f t="shared" si="378"/>
        <v>0</v>
      </c>
      <c r="HA108" s="712">
        <f t="shared" si="360"/>
        <v>880.30747465409388</v>
      </c>
      <c r="HB108" s="712">
        <f t="shared" si="361"/>
        <v>286.93203215583242</v>
      </c>
      <c r="HC108" s="712"/>
    </row>
    <row r="109" spans="1:211">
      <c r="A109" s="773" t="s">
        <v>5</v>
      </c>
      <c r="B109" s="708">
        <v>40638</v>
      </c>
      <c r="C109" s="709">
        <v>0.5</v>
      </c>
      <c r="D109" s="675">
        <f t="shared" si="366"/>
        <v>300</v>
      </c>
      <c r="E109" s="675">
        <f t="shared" si="367"/>
        <v>250</v>
      </c>
      <c r="F109" s="675">
        <v>250</v>
      </c>
      <c r="G109" s="712">
        <f>DH109+Sheet1!CV109</f>
        <v>3366.1770045383191</v>
      </c>
      <c r="H109" s="712">
        <f t="shared" si="294"/>
        <v>1908.9336157335695</v>
      </c>
      <c r="I109" s="711">
        <f>MAX(Sheet1!Z109-AJ109+(Sheet1!CW109-E109)*CFStoMGD,0)</f>
        <v>3494.7346666666663</v>
      </c>
      <c r="J109" s="720">
        <f>IF(AND(B109&gt;=Calculation!FS109,B109&lt;=Calculation!FT109),IF(Sheet1!CX109&gt;=Calculation!D109,64.64,0),MAX(Sheet1!Z109-AJ109+(Sheet1!CX109-D109)*CFStoMGD,0))</f>
        <v>64.64</v>
      </c>
      <c r="K109" s="697">
        <f t="shared" si="368"/>
        <v>64.64</v>
      </c>
      <c r="L109" s="712">
        <f>Sheet1!AA109+Sheet1!AB109-Sheet1!L109+(Sheet1!CW109-F109)*CFStoMGD</f>
        <v>3494.5046666666663</v>
      </c>
      <c r="M109" s="712">
        <f t="shared" si="295"/>
        <v>2219.4147520482411</v>
      </c>
      <c r="N109" s="712">
        <f>IF(Sheet1!CW109&gt;=F109,MIN(73,MIN(MAX(L109,0),MAX(M109,0))),0)</f>
        <v>73</v>
      </c>
      <c r="O109" s="721">
        <f>Sheet1!AA109+Sheet1!AB109</f>
        <v>41</v>
      </c>
      <c r="P109" s="721">
        <f t="shared" si="296"/>
        <v>63.426999999999992</v>
      </c>
      <c r="Q109" s="712">
        <f>MIN(N109,Sheet1!AA109+AG109)</f>
        <v>41</v>
      </c>
      <c r="R109" s="712">
        <f t="shared" si="297"/>
        <v>0</v>
      </c>
      <c r="S109" s="721">
        <f>Sheet1!Y109*MGDtoCFS</f>
        <v>42.43421</v>
      </c>
      <c r="T109" s="721">
        <f>Sheet1!Z109*MGDtoCFS</f>
        <v>21.657999999999998</v>
      </c>
      <c r="U109" s="721">
        <f>Sheet1!AA109*MGDtoCFS</f>
        <v>41.768999999999998</v>
      </c>
      <c r="V109" s="721">
        <f>Sheet1!AB109*MGDtoCFS</f>
        <v>21.657999999999998</v>
      </c>
      <c r="W109" s="721">
        <f>Sheet1!L109*MGDtoCFS</f>
        <v>63.782809999999991</v>
      </c>
      <c r="X109" s="697">
        <f t="shared" si="369"/>
        <v>0</v>
      </c>
      <c r="Y109" s="712">
        <f t="shared" si="298"/>
        <v>0</v>
      </c>
      <c r="Z109" s="712">
        <f t="shared" si="299"/>
        <v>64.64</v>
      </c>
      <c r="AA109" s="712">
        <f t="shared" si="300"/>
        <v>99.998080000000002</v>
      </c>
      <c r="AB109" s="712">
        <f>(VLOOKUP(Sheet1!CY109,hhdcap_wcm,4)-(((VLOOKUP(Sheet1!CY109,hhdcap_wcm,3)-Sheet1!CY109)/(VLOOKUP(Sheet1!CY109,hhdcap_wcm,3)-VLOOKUP(Sheet1!CY109,hhdcap_wcm,1)))*(VLOOKUP(Sheet1!CY109,hhdcap_wcm,4)-VLOOKUP(Sheet1!CY109,hhdcap_wcm,2))))</f>
        <v>24802.720000060439</v>
      </c>
      <c r="AC109" s="712">
        <f t="shared" si="301"/>
        <v>-489.45000000051368</v>
      </c>
      <c r="AD109" s="712">
        <f t="shared" si="370"/>
        <v>2111.2907450444718</v>
      </c>
      <c r="AE109" s="712">
        <f t="shared" si="302"/>
        <v>6477.4400057964394</v>
      </c>
      <c r="AF109" s="712">
        <f>Sheet1!BA109+Sheet1!BB109+Sheet1!BN109+BT109</f>
        <v>14.6</v>
      </c>
      <c r="AG109" s="712">
        <f t="shared" si="303"/>
        <v>14</v>
      </c>
      <c r="AH109" s="712">
        <f>Sheet1!BA109+BT109</f>
        <v>0</v>
      </c>
      <c r="AI109" s="712">
        <f>Sheet1!BA109+Sheet1!BB109+BT109</f>
        <v>0</v>
      </c>
      <c r="AJ109" s="712">
        <f>IF((Sheet1!AA109+AG109+AX109+AZ109+BQ109+BS109+CL109+CN109)&lt;=N109,AG109+AX109+AZ109+BQ109+BS109+CL109+CN109,N109-Sheet1!AA109)</f>
        <v>14</v>
      </c>
      <c r="AK109" s="712">
        <f>IF(DR109&lt;K109,0,MAX(Sheet1!AA109+AG109-15/36*K109-N109,Sheet1!ED109,0))</f>
        <v>0</v>
      </c>
      <c r="AL109" s="712">
        <f>IF(OR(B109&gt;=FT109,B109&lt;FS109),0,15/36*K109-MAX(0,64.6-(137.6-(Sheet1!AA109+Sheet1!AB109))))</f>
        <v>26.933333333333334</v>
      </c>
      <c r="AM109" s="712">
        <f>Sheet1!CX109-110</f>
        <v>3633.5416666666665</v>
      </c>
      <c r="AN109" s="712">
        <f>Sheet1!CW109-265</f>
        <v>5391.458333333333</v>
      </c>
      <c r="AO109" s="712">
        <f t="shared" si="371"/>
        <v>32</v>
      </c>
      <c r="AP109" s="712">
        <f t="shared" si="372"/>
        <v>0</v>
      </c>
      <c r="AQ109" s="712">
        <f t="shared" si="304"/>
        <v>0</v>
      </c>
      <c r="AR109" s="712">
        <f t="shared" si="305"/>
        <v>969.59999999999911</v>
      </c>
      <c r="AS109" s="712"/>
      <c r="AT109" s="712">
        <f ca="1">IF(B109&gt;Summary!$A$1,#N/A,AR109*MGtoAF)</f>
        <v>2974.7327999999975</v>
      </c>
      <c r="AU109" s="712">
        <f>Sheet1!BG109+Sheet1!BH109+Sheet1!BI109-BC109</f>
        <v>0</v>
      </c>
      <c r="AV109" s="712">
        <f t="shared" si="306"/>
        <v>0</v>
      </c>
      <c r="AW109" s="712">
        <f>IF(Sheet1!EL109="FM",BC109,0)</f>
        <v>0</v>
      </c>
      <c r="AX109" s="712">
        <f t="shared" si="307"/>
        <v>0</v>
      </c>
      <c r="AY109" s="712">
        <f>IF(Sheet1!EL109="OTHER",BC109,0)</f>
        <v>0</v>
      </c>
      <c r="AZ109" s="712">
        <f t="shared" si="308"/>
        <v>0</v>
      </c>
      <c r="BA109" s="712">
        <f t="shared" si="309"/>
        <v>0</v>
      </c>
      <c r="BB109" s="712">
        <f t="shared" si="310"/>
        <v>0</v>
      </c>
      <c r="BC109" s="712">
        <f>IF(OR(Sheet1!EL109="FM", Sheet1!EL109="OTHER"),SUM(Sheet1!BG109:'Sheet1'!BI109),0)</f>
        <v>0</v>
      </c>
      <c r="BD109" s="697">
        <f>IF(AND($B109&gt;=$FL109,$B109&lt;=$FM109),MAX(AV109,Sheet1!EE109,0),MAX(AV109-(7/36)*$K109,0))</f>
        <v>0</v>
      </c>
      <c r="BE109" s="712">
        <f t="shared" si="311"/>
        <v>12.568888888888889</v>
      </c>
      <c r="BF109" s="697">
        <f t="shared" si="373"/>
        <v>0</v>
      </c>
      <c r="BG109" s="697">
        <f>IF(AND($O109&gt;0,Sheet1!EI109=1),(1-($O109-Sheet1!$L109)/$O109)*BB109,0)</f>
        <v>0</v>
      </c>
      <c r="BH109" s="697">
        <f>IF(AND(Sheet1!$L109=0,Sheet1!$L108=0, Calculation!BA109&lt;Sheet1!$EE109-0.1,Sheet1!$EE109=Sheet1!$EE108,Sheet1!$EE109=Sheet1!$EE110),Sheet1!$EE109,BB109-BG109)</f>
        <v>0</v>
      </c>
      <c r="BI109" s="712"/>
      <c r="BJ109" s="712"/>
      <c r="BK109" s="712">
        <f t="shared" si="312"/>
        <v>452.47999999999968</v>
      </c>
      <c r="BL109" s="712"/>
      <c r="BM109" s="712">
        <f ca="1">IF(B109&gt;Summary!$A$1,#N/A,BK109*MGtoAF)</f>
        <v>1388.2086399999991</v>
      </c>
      <c r="BN109" s="712">
        <f>Sheet1!BC109+Sheet1!BD109+Sheet1!BE109+Sheet1!BF109-BW109-BX109</f>
        <v>0</v>
      </c>
      <c r="BO109" s="712">
        <f t="shared" si="313"/>
        <v>0</v>
      </c>
      <c r="BP109" s="712">
        <f>IF(Sheet1!EM109="FM",BX109,0)</f>
        <v>0</v>
      </c>
      <c r="BQ109" s="712">
        <f t="shared" si="314"/>
        <v>0</v>
      </c>
      <c r="BR109" s="712">
        <f>IF(Sheet1!EM109="OTHER",BX109,0)</f>
        <v>0</v>
      </c>
      <c r="BS109" s="712">
        <f t="shared" si="315"/>
        <v>0</v>
      </c>
      <c r="BT109" s="712">
        <f t="shared" si="316"/>
        <v>0</v>
      </c>
      <c r="BU109" s="712">
        <f t="shared" si="317"/>
        <v>0</v>
      </c>
      <c r="BV109" s="712">
        <f t="shared" si="318"/>
        <v>0</v>
      </c>
      <c r="BW109" s="712">
        <f>IF(Sheet1!EM109="CWA",SUM(Sheet1!BC109:'Sheet1'!BF109),0)</f>
        <v>0</v>
      </c>
      <c r="BX109" s="712">
        <f>IF(OR(Sheet1!EM109="FM", Sheet1!EM109="OTHER"),SUM(Sheet1!BC109:'Sheet1'!BF109),0)</f>
        <v>0</v>
      </c>
      <c r="BY109" s="697">
        <f>IF(AND($B109&gt;=$FL109,$B109&lt;=$FM109),MAX(BV109,Sheet1!EF109,0),MAX(BV109-(7/36)*$K109,0))</f>
        <v>0</v>
      </c>
      <c r="BZ109" s="712">
        <f t="shared" si="319"/>
        <v>12.568888888888889</v>
      </c>
      <c r="CA109" s="697">
        <f t="shared" si="374"/>
        <v>0</v>
      </c>
      <c r="CB109" s="697">
        <f>IF(AND($O109&gt;0,Sheet1!EJ109=1),(1-($O109-Sheet1!$L109)/$O109)*BV109,0)</f>
        <v>0</v>
      </c>
      <c r="CC109" s="697">
        <f>IF(AND(Sheet1!$L109=0,Sheet1!$L108=0, Calculation!BU109&lt;Sheet1!EF109-0.1,Sheet1!EF109=Sheet1!EF108,Sheet1!EF109=Sheet1!EF110),Sheet1!EF109,BV109-CB109)</f>
        <v>0</v>
      </c>
      <c r="CD109" s="697"/>
      <c r="CE109" s="712"/>
      <c r="CF109" s="712">
        <f t="shared" si="320"/>
        <v>389.70982399975145</v>
      </c>
      <c r="CG109" s="712"/>
      <c r="CH109" s="712">
        <f ca="1">IF(B109&gt;Summary!$A$1,#N/A,CF109*MGtoAF)</f>
        <v>1195.6297400312374</v>
      </c>
      <c r="CI109" s="712">
        <f>Sheet1!BK109+Sheet1!BL109+Sheet1!BM109-Sheet1!EN109-CQ109</f>
        <v>0</v>
      </c>
      <c r="CJ109" s="712">
        <f t="shared" si="321"/>
        <v>0</v>
      </c>
      <c r="CK109" s="712">
        <f>IF(Sheet1!EN109="FM",CQ109,0)</f>
        <v>0</v>
      </c>
      <c r="CL109" s="712">
        <f t="shared" si="322"/>
        <v>0</v>
      </c>
      <c r="CM109" s="712">
        <f>IF(Sheet1!EN109="OTHER",CQ109,0)</f>
        <v>0</v>
      </c>
      <c r="CN109" s="712">
        <f t="shared" si="323"/>
        <v>0</v>
      </c>
      <c r="CO109" s="712">
        <f t="shared" si="324"/>
        <v>0</v>
      </c>
      <c r="CP109" s="712">
        <f t="shared" si="325"/>
        <v>0</v>
      </c>
      <c r="CQ109" s="712">
        <f>IF(OR(Sheet1!EN109="FM", Sheet1!EN109="OTHER"),SUM(Sheet1!BK109:'Sheet1'!BM109),0)</f>
        <v>0</v>
      </c>
      <c r="CR109" s="697">
        <f>IF(AND($B109&gt;=$FL109,$B109&lt;=$FM109),MAX($CJ109,Sheet1!EG109,0),MAX($CJ109-(7/36)*$K109,0))</f>
        <v>0</v>
      </c>
      <c r="CS109" s="712">
        <f t="shared" si="326"/>
        <v>12.568888888888889</v>
      </c>
      <c r="CT109" s="697">
        <f t="shared" si="375"/>
        <v>0</v>
      </c>
      <c r="CU109" s="697">
        <f>IF(AND($O109&gt;0,Sheet1!EK109=1),(1-($O109-Sheet1!$L109)/$O109)*CP109,0)</f>
        <v>0</v>
      </c>
      <c r="CV109" s="697">
        <f>IF(AND(Sheet1!$L109=0,Sheet1!$L108=0, Calculation!CO109&lt;Sheet1!$EG109-0.1,Sheet1!$EG109=Sheet1!$EG108,Sheet1!$EG109=Sheet1!$EG110),Sheet1!$EG109,CP109-CU109)</f>
        <v>0</v>
      </c>
      <c r="CW109" s="697">
        <f t="shared" si="362"/>
        <v>0</v>
      </c>
      <c r="CX109" s="712">
        <f t="shared" si="379"/>
        <v>0</v>
      </c>
      <c r="CY109" s="712">
        <f t="shared" si="327"/>
        <v>299.50092104472128</v>
      </c>
      <c r="CZ109" s="712">
        <f t="shared" si="328"/>
        <v>0</v>
      </c>
      <c r="DA109" s="712">
        <f ca="1">IF(B109&gt;Summary!$A$1,#N/A,CY109*MGtoAF)</f>
        <v>918.86882576520486</v>
      </c>
      <c r="DB109" s="712">
        <f t="shared" si="329"/>
        <v>0</v>
      </c>
      <c r="DC109" s="712">
        <f t="shared" si="330"/>
        <v>14.6</v>
      </c>
      <c r="DD109" s="712">
        <f>Sheet1!AB109-DC109</f>
        <v>-0.59999999999999964</v>
      </c>
      <c r="DE109" s="712">
        <f t="shared" si="331"/>
        <v>-4.1095890410958881E-2</v>
      </c>
      <c r="DF109" s="712">
        <f>(VLOOKUP(Sheet1!CY109,hhdcap_wcm,4)-(((VLOOKUP(Sheet1!CY109,hhdcap_wcm,3)-Sheet1!CY109)/(VLOOKUP(Sheet1!CY109,hhdcap_wcm,3)-VLOOKUP(Sheet1!CY109,hhdcap_wcm,1)))*(VLOOKUP(Sheet1!CY109,hhdcap_wcm,4)-VLOOKUP(Sheet1!CY109,hhdcap_wcm,2))))</f>
        <v>24802.720000060439</v>
      </c>
      <c r="DG109" s="712">
        <f t="shared" si="332"/>
        <v>-489.45000000051368</v>
      </c>
      <c r="DH109" s="712">
        <f t="shared" si="333"/>
        <v>-246.8229954616811</v>
      </c>
      <c r="DI109" s="712">
        <f>Sheet1!DW109*AFtoMG</f>
        <v>0</v>
      </c>
      <c r="DJ109" s="712">
        <f>Sheet1!DX109*AFtoMG</f>
        <v>0</v>
      </c>
      <c r="DK109" s="712">
        <f>Sheet1!DY109*AFtoMG</f>
        <v>0</v>
      </c>
      <c r="DL109" s="712">
        <f>Sheet1!DZ109*AFtoMG</f>
        <v>0</v>
      </c>
      <c r="DM109" s="712">
        <f t="shared" si="334"/>
        <v>0</v>
      </c>
      <c r="DN109" s="712">
        <f t="shared" si="335"/>
        <v>0</v>
      </c>
      <c r="DO109" s="712">
        <f t="shared" si="336"/>
        <v>2111.2907450444718</v>
      </c>
      <c r="DP109" s="712">
        <f t="shared" si="337"/>
        <v>6477.4400057964394</v>
      </c>
      <c r="DQ109" s="712"/>
      <c r="DR109" s="697">
        <f>IF(OR(B109&lt;FL109,B109&gt;FM109),(MIN(AV109+BO109+CJ109+MAX(Sheet1!AA109+AG109-73,0),K109)),0)</f>
        <v>0</v>
      </c>
      <c r="DS109" s="712"/>
      <c r="DT109" s="712">
        <f t="shared" si="338"/>
        <v>0</v>
      </c>
      <c r="DU109" s="712"/>
      <c r="DV109" s="712">
        <f>Sheet1!ED109+Sheet1!EE109+Sheet1!EF109+Sheet1!EG109</f>
        <v>8.5</v>
      </c>
      <c r="DW109" s="712"/>
      <c r="DX109" s="697">
        <f t="shared" si="376"/>
        <v>0</v>
      </c>
      <c r="DY109" s="712">
        <f>IF(Sheet1!FN109=1,SUM('Calculations II'!AT109:BA109)+'Calculations II'!BC109+Sheet1!BU109+'Calculations II'!BE109+AF109,SUM('Calculations II'!AT109:BA109)+'Calculations II'!BC109+Sheet1!BU109+'Calculations II'!BE109+AF109)</f>
        <v>46.535264000000005</v>
      </c>
      <c r="DZ109" s="712">
        <f>Sheet1!AA109+Sheet1!AB109+'Calculations II'!BC109</f>
        <v>42.056960000000004</v>
      </c>
      <c r="EA109" s="712"/>
      <c r="EB109" s="712"/>
      <c r="EC109" s="712">
        <f t="shared" si="339"/>
        <v>40638</v>
      </c>
      <c r="ED109" s="712">
        <f t="shared" si="340"/>
        <v>64.64</v>
      </c>
      <c r="EE109" s="712">
        <f t="shared" si="341"/>
        <v>99.998080000000002</v>
      </c>
      <c r="EF109" s="712">
        <f>-(VLOOKUP(Sheet1!BQ109,Lookup!$B$4:$J$236,2)-VLOOKUP(Sheet1!BQ108,Lookup!$B$4:$J$236,2))/1000000</f>
        <v>1.3354999999999999</v>
      </c>
      <c r="EG109" s="712">
        <f>-(VLOOKUP(Sheet1!BR109,Lookup!$B$4:$J$236,3)-VLOOKUP(Sheet1!BR108,Lookup!$B$4:$J$236,3))/1000000</f>
        <v>1.6001000000000001</v>
      </c>
      <c r="EH109" s="712">
        <f>-(VLOOKUP(Sheet1!BS109,Lookup!$B$4:$J$236,4)-VLOOKUP(Sheet1!BS108,Lookup!$B$4:$J$236,4))/1000000</f>
        <v>0</v>
      </c>
      <c r="EI109" s="697">
        <f t="shared" si="380"/>
        <v>2.9356</v>
      </c>
      <c r="EJ109" s="712"/>
      <c r="EK109" s="712"/>
      <c r="EL109" s="712"/>
      <c r="EM109" s="712"/>
      <c r="EN109" s="712"/>
      <c r="EO109" s="712"/>
      <c r="EP109" s="712"/>
      <c r="EQ109" s="712"/>
      <c r="ER109" s="697">
        <v>0</v>
      </c>
      <c r="ES109" s="712"/>
      <c r="ET109" s="794" t="e">
        <f t="shared" si="342"/>
        <v>#N/A</v>
      </c>
      <c r="EU109" s="794" t="e">
        <f t="shared" si="363"/>
        <v>#VALUE!</v>
      </c>
      <c r="EV109" s="795" t="e">
        <f t="shared" si="364"/>
        <v>#VALUE!</v>
      </c>
      <c r="EW109" s="796" t="s">
        <v>757</v>
      </c>
      <c r="EX109" s="796" t="s">
        <v>757</v>
      </c>
      <c r="EY109" s="794">
        <v>0</v>
      </c>
      <c r="EZ109" s="794" t="e">
        <v>#N/A</v>
      </c>
      <c r="FA109" s="712"/>
      <c r="FB109" s="712"/>
      <c r="FC109" s="712"/>
      <c r="FD109" s="712"/>
      <c r="FE109" s="712">
        <f>O109+Sheet1!CO109</f>
        <v>775</v>
      </c>
      <c r="FF109" s="712">
        <f>IF(Sheet1!AA109+AG109&lt;=Calculation!N109,AG109,Calculation!N109-Sheet1!AA109)</f>
        <v>14</v>
      </c>
      <c r="FG109" s="712">
        <f>(Sheet1!BP109+Sheet1!BO109)/694.4</f>
        <v>1.663594470046083</v>
      </c>
      <c r="FH109" s="712"/>
      <c r="FI109" s="712"/>
      <c r="FJ109" s="712"/>
      <c r="FK109" s="712"/>
      <c r="FL109" s="714">
        <f t="shared" si="381"/>
        <v>40753</v>
      </c>
      <c r="FM109" s="714">
        <f t="shared" si="382"/>
        <v>40851</v>
      </c>
      <c r="FN109" s="712"/>
      <c r="FO109" s="712"/>
      <c r="FP109" s="712"/>
      <c r="FQ109" s="712"/>
      <c r="FR109" s="712"/>
      <c r="FS109" s="725">
        <f t="shared" si="383"/>
        <v>40603</v>
      </c>
      <c r="FT109" s="714">
        <f t="shared" si="384"/>
        <v>40709</v>
      </c>
      <c r="FU109" s="712">
        <f t="shared" si="385"/>
        <v>6518.9048239895692</v>
      </c>
      <c r="FV109" s="714">
        <f t="shared" si="386"/>
        <v>40722</v>
      </c>
      <c r="FW109" s="712">
        <f t="shared" si="387"/>
        <v>3259.4524119947846</v>
      </c>
      <c r="FX109" s="725">
        <f t="shared" si="388"/>
        <v>40851</v>
      </c>
      <c r="FZ109" s="697">
        <f t="shared" si="365"/>
        <v>0</v>
      </c>
      <c r="GA109" s="712" t="str">
        <f t="shared" si="343"/>
        <v/>
      </c>
      <c r="GB109" s="712">
        <f t="shared" si="344"/>
        <v>0</v>
      </c>
      <c r="GC109" s="712" t="str">
        <f t="shared" si="345"/>
        <v/>
      </c>
      <c r="GD109" s="712">
        <f>IF(GA109="P",Lookup!$M$12,IF(GA109="PP",Lookup!$M$13,IF(GA109="PPP",Lookup!$M$14,IF(GA109="T",Lookup!$M$15,IF(GA109="TP",Lookup!$M$16,IF(GA109="TPP",Lookup!$M$17,IF(GA109="TPPP",Lookup!$M$18,0)))))))*FZ109</f>
        <v>0</v>
      </c>
      <c r="GE109" s="712">
        <f t="shared" si="346"/>
        <v>0</v>
      </c>
      <c r="GF109" s="712">
        <f t="shared" si="347"/>
        <v>2974.7327999999975</v>
      </c>
      <c r="GG109" s="712">
        <f t="shared" si="348"/>
        <v>969.59999999999911</v>
      </c>
      <c r="GH109" s="712"/>
      <c r="GI109" s="712">
        <f t="shared" si="349"/>
        <v>0</v>
      </c>
      <c r="GJ109" s="712" t="str">
        <f t="shared" si="350"/>
        <v/>
      </c>
      <c r="GK109" s="712">
        <f>IF(GA109="P",Lookup!$N$12,IF(GA109="PP",Lookup!$N$13,IF(GA109="PPP",Lookup!$N$14,IF(GA109="T",Lookup!$N$15,IF(GA109="TP",Lookup!$N$16,IF(GA109="TPP",Lookup!$N$17,IF(GA109="TPPP",Lookup!$N$18,0)))))))*FZ109</f>
        <v>0</v>
      </c>
      <c r="GL109" s="712">
        <f t="shared" si="351"/>
        <v>0</v>
      </c>
      <c r="GM109" s="712">
        <f t="shared" si="352"/>
        <v>1388.2086399999991</v>
      </c>
      <c r="GN109" s="712">
        <f t="shared" si="353"/>
        <v>452.47999999999968</v>
      </c>
      <c r="GO109" s="712"/>
      <c r="GP109" s="712">
        <f t="shared" si="354"/>
        <v>0</v>
      </c>
      <c r="GQ109" s="712" t="str">
        <f t="shared" si="355"/>
        <v/>
      </c>
      <c r="GR109" s="712">
        <f>IF(GA109="P",Lookup!$N$12,IF(GA109="PP",Lookup!$N$13,IF(GA109="PPP",Lookup!$N$14,IF(GA109="T",Lookup!$N$15,IF(GA109="TP",Lookup!$N$16,IF(GA109="TPP",Lookup!$N$17,IF(GA109="TPPP",Lookup!$N$18,0)))))))*FZ109</f>
        <v>0</v>
      </c>
      <c r="GS109" s="697">
        <f t="shared" si="377"/>
        <v>0</v>
      </c>
      <c r="GT109" s="712">
        <f t="shared" si="356"/>
        <v>1195.6297400312374</v>
      </c>
      <c r="GU109" s="712">
        <f t="shared" si="357"/>
        <v>389.70982399975145</v>
      </c>
      <c r="GV109" s="712"/>
      <c r="GW109" s="712">
        <f t="shared" si="358"/>
        <v>0</v>
      </c>
      <c r="GX109" s="712" t="str">
        <f t="shared" si="359"/>
        <v/>
      </c>
      <c r="GY109" s="712">
        <f>IF(GA109="P",Lookup!$N$12,IF(GA109="PP",Lookup!$N$13,IF(GA109="PPP",Lookup!$N$14,IF(GA109="T",Lookup!$N$15,IF(GA109="TP",Lookup!$N$16,IF(GA109="TPP",Lookup!$N$17,IF(GA109="TPPP",Lookup!$N$18,0)))))))*FZ109</f>
        <v>0</v>
      </c>
      <c r="GZ109" s="697">
        <f t="shared" si="378"/>
        <v>0</v>
      </c>
      <c r="HA109" s="712">
        <f t="shared" si="360"/>
        <v>918.86882576520486</v>
      </c>
      <c r="HB109" s="712">
        <f t="shared" si="361"/>
        <v>299.50092104472128</v>
      </c>
      <c r="HC109" s="712"/>
    </row>
    <row r="110" spans="1:211">
      <c r="A110" s="773" t="s">
        <v>6</v>
      </c>
      <c r="B110" s="708">
        <v>40639</v>
      </c>
      <c r="C110" s="719">
        <v>0.5</v>
      </c>
      <c r="D110" s="675">
        <f t="shared" si="366"/>
        <v>300</v>
      </c>
      <c r="E110" s="675">
        <f t="shared" si="367"/>
        <v>250</v>
      </c>
      <c r="F110" s="710">
        <v>250</v>
      </c>
      <c r="G110" s="712">
        <f>DH110+Sheet1!CV110</f>
        <v>2798.9599092283556</v>
      </c>
      <c r="H110" s="712">
        <f t="shared" ref="H110:H156" si="389">MAX((G110-113-D110)*CFStoMGD,0)</f>
        <v>1542.2844853252091</v>
      </c>
      <c r="I110" s="711">
        <f>MAX(Sheet1!Z110-AJ110+(Sheet1!CW110-E110)*CFStoMGD,0)</f>
        <v>3024.4716105197244</v>
      </c>
      <c r="J110" s="720">
        <f>IF(AND(B110&gt;=Calculation!FS110,B110&lt;=Calculation!FT110),IF(Sheet1!CX110&gt;=Calculation!D110,64.64,0),MAX(Sheet1!Z110-AJ110+(Sheet1!CX110-D110)*CFStoMGD,0))</f>
        <v>64.64</v>
      </c>
      <c r="K110" s="697">
        <f t="shared" si="368"/>
        <v>64.64</v>
      </c>
      <c r="L110" s="712">
        <f>Sheet1!AA110+Sheet1!AB110-Sheet1!L110+(Sheet1!CW110-F110)*CFStoMGD</f>
        <v>3028.3359999999971</v>
      </c>
      <c r="M110" s="712">
        <f t="shared" ref="M110:M156" si="390">1.02*CFStoMGD*G110</f>
        <v>1845.4326390317133</v>
      </c>
      <c r="N110" s="712">
        <f>IF(Sheet1!CW110&gt;=F110,MIN(73,MIN(MAX(L110,0),MAX(M110,0))),0)</f>
        <v>73</v>
      </c>
      <c r="O110" s="721">
        <f>Sheet1!AA110+Sheet1!AB110</f>
        <v>47.94999999999709</v>
      </c>
      <c r="P110" s="721">
        <f t="shared" ref="P110:P156" si="391">U110+V110</f>
        <v>74.178649999995486</v>
      </c>
      <c r="Q110" s="712">
        <f>MIN(N110,Sheet1!AA110+AG110)</f>
        <v>47.874389480272605</v>
      </c>
      <c r="R110" s="712">
        <f t="shared" ref="R110:R156" si="392">IF(AND(B110&gt;=FV110,B110&lt;=FX110),MAX(DR110,DV110),DR110)</f>
        <v>7.5610519724483405E-2</v>
      </c>
      <c r="S110" s="721">
        <f>Sheet1!Y110*MGDtoCFS</f>
        <v>45.853079999999999</v>
      </c>
      <c r="T110" s="721">
        <f>Sheet1!Z110*MGDtoCFS</f>
        <v>24.89123</v>
      </c>
      <c r="U110" s="721">
        <f>Sheet1!AA110*MGDtoCFS</f>
        <v>47.492899999995494</v>
      </c>
      <c r="V110" s="721">
        <f>Sheet1!AB110*MGDtoCFS</f>
        <v>26.685749999999999</v>
      </c>
      <c r="W110" s="721">
        <f>Sheet1!L110*MGDtoCFS</f>
        <v>69.877989999999997</v>
      </c>
      <c r="X110" s="697">
        <f t="shared" si="369"/>
        <v>0</v>
      </c>
      <c r="Y110" s="712">
        <f t="shared" ref="Y110:Y156" si="393">X110*MGDtoCFS</f>
        <v>0</v>
      </c>
      <c r="Z110" s="712">
        <f t="shared" ref="Z110:Z156" si="394">IF(B110&gt;=FS110,IF(B110&lt;=FT110,K110-DR110,0),0)</f>
        <v>64.564389480275523</v>
      </c>
      <c r="AA110" s="712">
        <f t="shared" ref="AA110:AA156" si="395">Z110*MGDtoCFS</f>
        <v>99.88111052598623</v>
      </c>
      <c r="AB110" s="712">
        <f>(VLOOKUP(Sheet1!CY110,hhdcap_wcm,4)-(((VLOOKUP(Sheet1!CY110,hhdcap_wcm,3)-Sheet1!CY110)/(VLOOKUP(Sheet1!CY110,hhdcap_wcm,3)-VLOOKUP(Sheet1!CY110,hhdcap_wcm,1)))*(VLOOKUP(Sheet1!CY110,hhdcap_wcm,4)-VLOOKUP(Sheet1!CY110,hhdcap_wcm,2))))</f>
        <v>24637.060000060268</v>
      </c>
      <c r="AC110" s="712">
        <f t="shared" ref="AC110:AC156" si="396">AB110-AB109</f>
        <v>-165.66000000017084</v>
      </c>
      <c r="AD110" s="712">
        <f t="shared" si="370"/>
        <v>2175.855134524747</v>
      </c>
      <c r="AE110" s="712">
        <f t="shared" ref="AE110:AE156" si="397">AD110*MGtoAF</f>
        <v>6675.5235527219238</v>
      </c>
      <c r="AF110" s="712">
        <f>Sheet1!BA110+Sheet1!BB110+Sheet1!BN110+BT110</f>
        <v>15.9</v>
      </c>
      <c r="AG110" s="712">
        <f t="shared" ref="AG110:AG156" si="398">AF110+(DE110*AF110)</f>
        <v>17.174389480275515</v>
      </c>
      <c r="AH110" s="712">
        <f>Sheet1!BA110+BT110</f>
        <v>0</v>
      </c>
      <c r="AI110" s="712">
        <f>Sheet1!BA110+Sheet1!BB110+BT110</f>
        <v>0</v>
      </c>
      <c r="AJ110" s="712">
        <f>IF((Sheet1!AA110+AG110+AX110+AZ110+BQ110+BS110+CL110+CN110)&lt;=N110,AG110+AX110+AZ110+BQ110+BS110+CL110+CN110,N110-Sheet1!AA110)</f>
        <v>17.174389480275515</v>
      </c>
      <c r="AK110" s="712">
        <f>IF(DR110&lt;K110,0,MAX(Sheet1!AA110+AG110-15/36*K110-N110,Sheet1!ED110,0))</f>
        <v>0</v>
      </c>
      <c r="AL110" s="712">
        <f>IF(OR(B110&gt;=FT110,B110&lt;FS110),0,15/36*K110-MAX(0,64.6-(137.6-(Sheet1!AA110+Sheet1!AB110))))</f>
        <v>26.933333333333334</v>
      </c>
      <c r="AM110" s="712">
        <f>Sheet1!CX110-110</f>
        <v>2861.1458333333335</v>
      </c>
      <c r="AN110" s="712">
        <f>Sheet1!CW110-265</f>
        <v>4665.625</v>
      </c>
      <c r="AO110" s="712">
        <f t="shared" si="371"/>
        <v>25.125610519727395</v>
      </c>
      <c r="AP110" s="712">
        <f t="shared" si="372"/>
        <v>0</v>
      </c>
      <c r="AQ110" s="712">
        <f t="shared" ref="AQ110:AQ156" si="399">IF(AP110&lt;=0,0,AP110/1.547)</f>
        <v>0</v>
      </c>
      <c r="AR110" s="712">
        <f t="shared" ref="AR110:AR156" si="400">GE110+GG110</f>
        <v>996.53333333333239</v>
      </c>
      <c r="AS110" s="712"/>
      <c r="AT110" s="712">
        <f ca="1">IF(B110&gt;Summary!$A$1,#N/A,AR110*MGtoAF)</f>
        <v>3057.3642666666638</v>
      </c>
      <c r="AU110" s="712">
        <f>Sheet1!BG110+Sheet1!BH110+Sheet1!BI110-BC110</f>
        <v>0</v>
      </c>
      <c r="AV110" s="712">
        <f t="shared" ref="AV110:AV156" si="401">AU110+(DE110*AU110)</f>
        <v>0</v>
      </c>
      <c r="AW110" s="712">
        <f>IF(Sheet1!EL110="FM",BC110,0)</f>
        <v>0</v>
      </c>
      <c r="AX110" s="712">
        <f t="shared" ref="AX110:AX156" si="402">AW110+(DE110*AW110)</f>
        <v>0</v>
      </c>
      <c r="AY110" s="712">
        <f>IF(Sheet1!EL110="OTHER",BC110,0)</f>
        <v>0</v>
      </c>
      <c r="AZ110" s="712">
        <f t="shared" ref="AZ110:AZ156" si="403">AY110+(DE110*AY110)</f>
        <v>0</v>
      </c>
      <c r="BA110" s="712">
        <f t="shared" ref="BA110:BA156" si="404">MAX(AU110,AW110,AY110)</f>
        <v>0</v>
      </c>
      <c r="BB110" s="712">
        <f t="shared" ref="BB110:BB156" si="405">MAX(AV110,AX110,AZ110)</f>
        <v>0</v>
      </c>
      <c r="BC110" s="712">
        <f>IF(OR(Sheet1!EL110="FM", Sheet1!EL110="OTHER"),SUM(Sheet1!BG110:'Sheet1'!BI110),0)</f>
        <v>0</v>
      </c>
      <c r="BD110" s="697">
        <f>IF(AND($B110&gt;=$FL110,$B110&lt;=$FM110),MAX(AV110,Sheet1!EE110,0),MAX(AV110-(7/36)*$K110,0))</f>
        <v>0</v>
      </c>
      <c r="BE110" s="712">
        <f t="shared" ref="BE110:BE156" si="406">IF(B110&gt;=FS110,IF(B110&lt;=FT110,(7/36)*K110-AV110,0),0)</f>
        <v>12.568888888888889</v>
      </c>
      <c r="BF110" s="697">
        <f t="shared" si="373"/>
        <v>0</v>
      </c>
      <c r="BG110" s="697">
        <f>IF(AND($O110&gt;0,Sheet1!EI110=1),(1-($O110-Sheet1!$L110)/$O110)*BB110,0)</f>
        <v>0</v>
      </c>
      <c r="BH110" s="697">
        <f>IF(AND(Sheet1!$L110=0,Sheet1!$L109=0, Calculation!BA110&lt;Sheet1!$EE110-0.1,Sheet1!$EE110=Sheet1!$EE109,Sheet1!$EE110=Sheet1!$EE111),Sheet1!$EE110,BB110-BG110)</f>
        <v>0</v>
      </c>
      <c r="BI110" s="712"/>
      <c r="BJ110" s="712"/>
      <c r="BK110" s="712">
        <f t="shared" ref="BK110:BK156" si="407">GL110+GN110</f>
        <v>465.04888888888854</v>
      </c>
      <c r="BL110" s="712"/>
      <c r="BM110" s="712">
        <f ca="1">IF(B110&gt;Summary!$A$1,#N/A,BK110*MGtoAF)</f>
        <v>1426.7699911111101</v>
      </c>
      <c r="BN110" s="712">
        <f>Sheet1!BC110+Sheet1!BD110+Sheet1!BE110+Sheet1!BF110-BW110-BX110</f>
        <v>0</v>
      </c>
      <c r="BO110" s="712">
        <f t="shared" ref="BO110:BO156" si="408">BN110+(DE110*BN110)</f>
        <v>0</v>
      </c>
      <c r="BP110" s="712">
        <f>IF(Sheet1!EM110="FM",BX110,0)</f>
        <v>0</v>
      </c>
      <c r="BQ110" s="712">
        <f t="shared" ref="BQ110:BQ156" si="409">BP110+(DE110*BP110)</f>
        <v>0</v>
      </c>
      <c r="BR110" s="712">
        <f>IF(Sheet1!EM110="OTHER",BX110,0)</f>
        <v>0</v>
      </c>
      <c r="BS110" s="712">
        <f t="shared" ref="BS110:BS156" si="410">BR110+(DE110*BR110)</f>
        <v>0</v>
      </c>
      <c r="BT110" s="712">
        <f t="shared" ref="BT110:BT156" si="411">BW110</f>
        <v>0</v>
      </c>
      <c r="BU110" s="712">
        <f t="shared" ref="BU110:BU156" si="412">MAX(BN110,BP110,BR110)</f>
        <v>0</v>
      </c>
      <c r="BV110" s="712">
        <f t="shared" ref="BV110:BV156" si="413">MAX(BO110,BQ110, BS110)</f>
        <v>0</v>
      </c>
      <c r="BW110" s="712">
        <f>IF(Sheet1!EM110="CWA",SUM(Sheet1!BC110:'Sheet1'!BF110),0)</f>
        <v>0</v>
      </c>
      <c r="BX110" s="712">
        <f>IF(OR(Sheet1!EM110="FM", Sheet1!EM110="OTHER"),SUM(Sheet1!BC110:'Sheet1'!BF110),0)</f>
        <v>0</v>
      </c>
      <c r="BY110" s="697">
        <f>IF(AND($B110&gt;=$FL110,$B110&lt;=$FM110),MAX(BV110,Sheet1!EF110,0),MAX(BV110-(7/36)*$K110,0))</f>
        <v>0</v>
      </c>
      <c r="BZ110" s="712">
        <f t="shared" ref="BZ110:BZ156" si="414">IF(B110&gt;=FS110,IF(B110&lt;=FT110,(7/36)*K110-BO110,0),0)</f>
        <v>12.568888888888889</v>
      </c>
      <c r="CA110" s="697">
        <f t="shared" si="374"/>
        <v>0</v>
      </c>
      <c r="CB110" s="697">
        <f>IF(AND($O110&gt;0,Sheet1!EJ110=1),(1-($O110-Sheet1!$L110)/$O110)*BV110,0)</f>
        <v>0</v>
      </c>
      <c r="CC110" s="697">
        <f>IF(AND(Sheet1!$L110=0,Sheet1!$L109=0, Calculation!BU110&lt;Sheet1!EF110-0.1,Sheet1!EF110=Sheet1!EF109,Sheet1!EF110=Sheet1!EF111),Sheet1!EF110,BV110-CB110)</f>
        <v>0</v>
      </c>
      <c r="CD110" s="697"/>
      <c r="CE110" s="712"/>
      <c r="CF110" s="712">
        <f t="shared" ref="CF110:CF156" si="415">GS110+GU110</f>
        <v>402.27871288864031</v>
      </c>
      <c r="CG110" s="712"/>
      <c r="CH110" s="712">
        <f ca="1">IF(B110&gt;Summary!$A$1,#N/A,CF110*MGtoAF)</f>
        <v>1234.1910911423486</v>
      </c>
      <c r="CI110" s="712">
        <f>Sheet1!BK110+Sheet1!BL110+Sheet1!BM110-Sheet1!EN110-CQ110</f>
        <v>7.0000000000000007E-2</v>
      </c>
      <c r="CJ110" s="712">
        <f t="shared" ref="CJ110:CJ156" si="416">CI110+(DE110*CI110)</f>
        <v>7.5610519724483405E-2</v>
      </c>
      <c r="CK110" s="712">
        <f>IF(Sheet1!EN110="FM",CQ110,0)</f>
        <v>0</v>
      </c>
      <c r="CL110" s="712">
        <f t="shared" ref="CL110:CL156" si="417">CK110+(DE110*CK110)</f>
        <v>0</v>
      </c>
      <c r="CM110" s="712">
        <f>IF(Sheet1!EN110="OTHER",CQ110,0)</f>
        <v>0</v>
      </c>
      <c r="CN110" s="712">
        <f t="shared" ref="CN110:CN156" si="418">CM110+(DE110*CM110)</f>
        <v>0</v>
      </c>
      <c r="CO110" s="712">
        <f t="shared" ref="CO110:CO156" si="419">MAX(CI110,CK110)</f>
        <v>7.0000000000000007E-2</v>
      </c>
      <c r="CP110" s="712">
        <f t="shared" ref="CP110:CP156" si="420">MAX(CJ110,CL110)</f>
        <v>7.5610519724483405E-2</v>
      </c>
      <c r="CQ110" s="712">
        <f>IF(OR(Sheet1!EN110="FM", Sheet1!EN110="OTHER"),SUM(Sheet1!BK110:'Sheet1'!BM110),0)</f>
        <v>0</v>
      </c>
      <c r="CR110" s="697">
        <f>IF(AND($B110&gt;=$FL110,$B110&lt;=$FM110),MAX($CJ110,Sheet1!EG110,0),MAX($CJ110-(7/36)*$K110,0))</f>
        <v>0</v>
      </c>
      <c r="CS110" s="712">
        <f t="shared" ref="CS110:CS156" si="421">IF(B110&gt;=FS110,IF(B110&lt;=FT110,(7/36)*K110-CJ110,0),0)</f>
        <v>12.493278369164406</v>
      </c>
      <c r="CT110" s="697">
        <f t="shared" si="375"/>
        <v>7.5610519724483405E-2</v>
      </c>
      <c r="CU110" s="697">
        <f>IF(AND($O110&gt;0,Sheet1!EK110=1),(1-($O110-Sheet1!$L110)/$O110)*CP110,0)</f>
        <v>7.1226844128365441E-2</v>
      </c>
      <c r="CV110" s="697">
        <f>IF(AND(Sheet1!$L110=0,Sheet1!$L109=0, Calculation!CO110&lt;Sheet1!$EG110-0.1,Sheet1!$EG110=Sheet1!$EG109,Sheet1!$EG110=Sheet1!$EG111),Sheet1!$EG110,CP110-CU110)</f>
        <v>4.3836755961179641E-3</v>
      </c>
      <c r="CW110" s="874">
        <f t="shared" si="362"/>
        <v>7.1226844128365441E-2</v>
      </c>
      <c r="CX110" s="712">
        <f t="shared" si="379"/>
        <v>7.0000000000000007E-2</v>
      </c>
      <c r="CY110" s="712">
        <f t="shared" ref="CY110:CY156" si="422">GZ110+HB110</f>
        <v>311.99419941388567</v>
      </c>
      <c r="CZ110" s="712">
        <f t="shared" ref="CZ110:CZ156" si="423">BB110+BV110+CP110</f>
        <v>7.5610519724483405E-2</v>
      </c>
      <c r="DA110" s="712">
        <f ca="1">IF(B110&gt;Summary!$A$1,#N/A,CY110*MGtoAF)</f>
        <v>957.19820380180124</v>
      </c>
      <c r="DB110" s="712">
        <f t="shared" ref="DB110:DB156" si="424">CO110+BU110+BA110</f>
        <v>7.0000000000000007E-2</v>
      </c>
      <c r="DC110" s="712">
        <f t="shared" ref="DC110:DC156" si="425">DB110+AF110</f>
        <v>15.97</v>
      </c>
      <c r="DD110" s="712">
        <f>Sheet1!AB110-DC110</f>
        <v>1.2799999999999994</v>
      </c>
      <c r="DE110" s="712">
        <f t="shared" ref="DE110:DE156" si="426">IF(DC110=0,0,DD110/DC110)</f>
        <v>8.0150281778334331E-2</v>
      </c>
      <c r="DF110" s="712">
        <f>(VLOOKUP(Sheet1!CY110,hhdcap_wcm,4)-(((VLOOKUP(Sheet1!CY110,hhdcap_wcm,3)-Sheet1!CY110)/(VLOOKUP(Sheet1!CY110,hhdcap_wcm,3)-VLOOKUP(Sheet1!CY110,hhdcap_wcm,1)))*(VLOOKUP(Sheet1!CY110,hhdcap_wcm,4)-VLOOKUP(Sheet1!CY110,hhdcap_wcm,2))))</f>
        <v>24637.060000060268</v>
      </c>
      <c r="DG110" s="712">
        <f t="shared" ref="DG110:DG156" si="427">DF110-DF109</f>
        <v>-165.66000000017084</v>
      </c>
      <c r="DH110" s="712">
        <f t="shared" ref="DH110:DH156" si="428">DG110*AFtoCFS</f>
        <v>-83.540090771644387</v>
      </c>
      <c r="DI110" s="712">
        <f>Sheet1!DW110*AFtoMG</f>
        <v>0</v>
      </c>
      <c r="DJ110" s="712">
        <f>Sheet1!DX110*AFtoMG</f>
        <v>0</v>
      </c>
      <c r="DK110" s="712">
        <f>Sheet1!DY110*AFtoMG</f>
        <v>0</v>
      </c>
      <c r="DL110" s="712">
        <f>Sheet1!DZ110*AFtoMG</f>
        <v>0</v>
      </c>
      <c r="DM110" s="712">
        <f t="shared" ref="DM110:DM156" si="429">SUM(DI110:DL110)</f>
        <v>0</v>
      </c>
      <c r="DN110" s="712">
        <f t="shared" ref="DN110:DN156" si="430">DM110*MGtoAF</f>
        <v>0</v>
      </c>
      <c r="DO110" s="712">
        <f t="shared" ref="DO110:DO156" si="431">AD110</f>
        <v>2175.855134524747</v>
      </c>
      <c r="DP110" s="712">
        <f t="shared" ref="DP110:DP156" si="432">DO110*MGtoAF</f>
        <v>6675.5235527219238</v>
      </c>
      <c r="DQ110" s="712"/>
      <c r="DR110" s="697">
        <f>IF(OR(B110&lt;FL110,B110&gt;FM110),(MIN(AV110+BO110+CJ110+MAX(Sheet1!AA110+AG110-73,0),K110)),0)</f>
        <v>7.5610519724483405E-2</v>
      </c>
      <c r="DS110" s="712"/>
      <c r="DT110" s="712">
        <f t="shared" ref="DT110:DT156" si="433">CJ110+AV110+BO110</f>
        <v>7.5610519724483405E-2</v>
      </c>
      <c r="DU110" s="712"/>
      <c r="DV110" s="712">
        <f>Sheet1!ED110+Sheet1!EE110+Sheet1!EF110+Sheet1!EG110</f>
        <v>8.5</v>
      </c>
      <c r="DW110" s="712"/>
      <c r="DX110" s="697">
        <f t="shared" si="376"/>
        <v>0</v>
      </c>
      <c r="DY110" s="712">
        <f>IF(Sheet1!FN110=1,SUM('Calculations II'!AT110:BA110)+'Calculations II'!BC110+Sheet1!BU110+'Calculations II'!BE110+AF110,SUM('Calculations II'!AT110:BA110)+'Calculations II'!BC110+Sheet1!BU110+'Calculations II'!BE110+AF110)</f>
        <v>45.239440000000002</v>
      </c>
      <c r="DZ110" s="712">
        <f>Sheet1!AA110+Sheet1!AB110+'Calculations II'!BC110</f>
        <v>50.07255999999709</v>
      </c>
      <c r="EA110" s="712"/>
      <c r="EB110" s="712"/>
      <c r="EC110" s="712">
        <f t="shared" ref="EC110:EC156" si="434">B110</f>
        <v>40639</v>
      </c>
      <c r="ED110" s="712">
        <f t="shared" ref="ED110:ED156" si="435">Z110-X110</f>
        <v>64.564389480275523</v>
      </c>
      <c r="EE110" s="712">
        <f t="shared" ref="EE110:EE156" si="436">AA110-Y110</f>
        <v>99.88111052598623</v>
      </c>
      <c r="EF110" s="712">
        <f>-(VLOOKUP(Sheet1!BQ110,Lookup!$B$4:$J$236,2)-VLOOKUP(Sheet1!BQ109,Lookup!$B$4:$J$236,2))/1000000</f>
        <v>-0.80130000000000001</v>
      </c>
      <c r="EG110" s="712">
        <f>-(VLOOKUP(Sheet1!BR110,Lookup!$B$4:$J$236,3)-VLOOKUP(Sheet1!BR109,Lookup!$B$4:$J$236,3))/1000000</f>
        <v>-1.0665</v>
      </c>
      <c r="EH110" s="712">
        <f>-(VLOOKUP(Sheet1!BS110,Lookup!$B$4:$J$236,4)-VLOOKUP(Sheet1!BS109,Lookup!$B$4:$J$236,4))/1000000</f>
        <v>0</v>
      </c>
      <c r="EI110" s="697">
        <f t="shared" si="380"/>
        <v>-1.8677999999999999</v>
      </c>
      <c r="EJ110" s="712"/>
      <c r="EK110" s="712"/>
      <c r="EL110" s="712"/>
      <c r="EM110" s="712"/>
      <c r="EN110" s="712"/>
      <c r="EO110" s="712"/>
      <c r="EP110" s="712"/>
      <c r="EQ110" s="712"/>
      <c r="ER110" s="697">
        <v>0</v>
      </c>
      <c r="ES110" s="712"/>
      <c r="ET110" s="794" t="e">
        <f t="shared" ref="ET110:ET173" si="437">VLOOKUP(EZ109,hhdelev_wcm,4) -(((VLOOKUP(EZ109,hhdelev_wcm,3)-EZ109)/(VLOOKUP(EZ109,hhdelev_wcm,3)-VLOOKUP(EZ109,hhdelev_wcm,1)))*(VLOOKUP(EZ109,hhdelev_wcm,4)-VLOOKUP(EZ109,hhdelev_wcm,2)))</f>
        <v>#N/A</v>
      </c>
      <c r="EU110" s="794" t="e">
        <f t="shared" si="363"/>
        <v>#VALUE!</v>
      </c>
      <c r="EV110" s="795" t="e">
        <f t="shared" si="364"/>
        <v>#VALUE!</v>
      </c>
      <c r="EW110" s="796" t="s">
        <v>757</v>
      </c>
      <c r="EX110" s="796" t="s">
        <v>757</v>
      </c>
      <c r="EY110" s="794">
        <v>0</v>
      </c>
      <c r="EZ110" s="794" t="e">
        <v>#N/A</v>
      </c>
      <c r="FA110" s="712"/>
      <c r="FB110" s="712"/>
      <c r="FC110" s="712"/>
      <c r="FD110" s="712"/>
      <c r="FE110" s="712">
        <f>O110+Sheet1!CO110</f>
        <v>1521.9499999999971</v>
      </c>
      <c r="FF110" s="712">
        <f>IF(Sheet1!AA110+AG110&lt;=Calculation!N110,AG110,Calculation!N110-Sheet1!AA110)</f>
        <v>17.174389480275515</v>
      </c>
      <c r="FG110" s="712">
        <f>(Sheet1!BP110+Sheet1!BO110)/694.4</f>
        <v>1.7851382488479262</v>
      </c>
      <c r="FH110" s="712"/>
      <c r="FI110" s="712"/>
      <c r="FJ110" s="712"/>
      <c r="FK110" s="712"/>
      <c r="FL110" s="714">
        <f t="shared" si="381"/>
        <v>40753</v>
      </c>
      <c r="FM110" s="714">
        <f t="shared" si="382"/>
        <v>40851</v>
      </c>
      <c r="FN110" s="712"/>
      <c r="FO110" s="712"/>
      <c r="FP110" s="712"/>
      <c r="FQ110" s="712"/>
      <c r="FR110" s="712"/>
      <c r="FS110" s="725">
        <f t="shared" si="383"/>
        <v>40603</v>
      </c>
      <c r="FT110" s="714">
        <f t="shared" si="384"/>
        <v>40709</v>
      </c>
      <c r="FU110" s="712">
        <f t="shared" si="385"/>
        <v>6518.9048239895692</v>
      </c>
      <c r="FV110" s="714">
        <f t="shared" si="386"/>
        <v>40722</v>
      </c>
      <c r="FW110" s="712">
        <f t="shared" si="387"/>
        <v>3259.4524119947846</v>
      </c>
      <c r="FX110" s="725">
        <f t="shared" si="388"/>
        <v>40851</v>
      </c>
      <c r="FZ110" s="697">
        <f t="shared" si="365"/>
        <v>0</v>
      </c>
      <c r="GA110" s="712" t="str">
        <f t="shared" ref="GA110:GA156" si="438">CONCATENATE(GC110,GQ110,GJ110,GX110)</f>
        <v/>
      </c>
      <c r="GB110" s="712">
        <f t="shared" ref="GB110:GB156" si="439">IF(GF110&gt;=8333.33,AL110,0)</f>
        <v>0</v>
      </c>
      <c r="GC110" s="712" t="str">
        <f t="shared" ref="GC110:GC156" si="440">IF(AND(GF110&lt;8333.33,FZ110&gt;0),"T","")</f>
        <v/>
      </c>
      <c r="GD110" s="712">
        <f>IF(GA110="P",Lookup!$M$12,IF(GA110="PP",Lookup!$M$13,IF(GA110="PPP",Lookup!$M$14,IF(GA110="T",Lookup!$M$15,IF(GA110="TP",Lookup!$M$16,IF(GA110="TPP",Lookup!$M$17,IF(GA110="TPPP",Lookup!$M$18,0)))))))*FZ110</f>
        <v>0</v>
      </c>
      <c r="GE110" s="712">
        <f t="shared" ref="GE110:GE156" si="441">IF(GC110="T",GD110,0)</f>
        <v>0</v>
      </c>
      <c r="GF110" s="712">
        <f t="shared" ref="GF110:GF156" si="442">GG110*MGtoAF</f>
        <v>3057.3642666666638</v>
      </c>
      <c r="GG110" s="712">
        <f t="shared" ref="GG110:GG156" si="443">(IF(AND(B110&lt;FV110,B110&gt;=FS110),MIN(AR109+AL110-AK110,15/36*FU110),IF(B110=FV110,15/36*FW110,IF(AND(B110&gt;FV110,B110&lt;FX110),MIN(AR109+AL110-AK110,15/36*FW110),IF(B110&gt;=FX110,0,0)))))+DI110</f>
        <v>996.53333333333239</v>
      </c>
      <c r="GH110" s="712"/>
      <c r="GI110" s="712">
        <f t="shared" ref="GI110:GI156" si="444">IF(GM110&gt;=3888.88,BE110,0)</f>
        <v>0</v>
      </c>
      <c r="GJ110" s="712" t="str">
        <f t="shared" ref="GJ110:GJ156" si="445">IF(AND(GM110&lt;3888.88,FZ110&gt;0),"P","")</f>
        <v/>
      </c>
      <c r="GK110" s="712">
        <f>IF(GA110="P",Lookup!$N$12,IF(GA110="PP",Lookup!$N$13,IF(GA110="PPP",Lookup!$N$14,IF(GA110="T",Lookup!$N$15,IF(GA110="TP",Lookup!$N$16,IF(GA110="TPP",Lookup!$N$17,IF(GA110="TPPP",Lookup!$N$18,0)))))))*FZ110</f>
        <v>0</v>
      </c>
      <c r="GL110" s="712">
        <f t="shared" ref="GL110:GL156" si="446">IF(GJ110="P",GK110,0)</f>
        <v>0</v>
      </c>
      <c r="GM110" s="712">
        <f t="shared" ref="GM110:GM156" si="447">GN110*MGtoAF</f>
        <v>1426.7699911111101</v>
      </c>
      <c r="GN110" s="712">
        <f t="shared" ref="GN110:GN156" si="448">(IF(AND(B110&lt;FV110,B110&gt;=FS110),MIN(BK109+BE110-BD110,7/36*FU110),IF(B110=FV110,7/36*FW110,IF(AND(B110&gt;FV110,B110&lt;FX110),MIN(BK109+BE110-BD110,7/36*FW110),IF(B110&gt;=FX110,0,0)))))+DJ110</f>
        <v>465.04888888888854</v>
      </c>
      <c r="GO110" s="712"/>
      <c r="GP110" s="712">
        <f t="shared" ref="GP110:GP156" si="449">IF(GT110&gt;=8333.33,BZ110,0)</f>
        <v>0</v>
      </c>
      <c r="GQ110" s="712" t="str">
        <f t="shared" ref="GQ110:GQ156" si="450">IF(AND(GT110&lt;3888.88,FZ110&gt;0),"P","")</f>
        <v/>
      </c>
      <c r="GR110" s="712">
        <f>IF(GA110="P",Lookup!$N$12,IF(GA110="PP",Lookup!$N$13,IF(GA110="PPP",Lookup!$N$14,IF(GA110="T",Lookup!$N$15,IF(GA110="TP",Lookup!$N$16,IF(GA110="TPP",Lookup!$N$17,IF(GA110="TPPP",Lookup!$N$18,0)))))))*FZ110</f>
        <v>0</v>
      </c>
      <c r="GS110" s="697">
        <f t="shared" si="377"/>
        <v>0</v>
      </c>
      <c r="GT110" s="712">
        <f t="shared" ref="GT110:GT156" si="451">GU110*MGtoAF</f>
        <v>1234.1910911423486</v>
      </c>
      <c r="GU110" s="712">
        <f t="shared" ref="GU110:GU156" si="452">IF(AND(B110&lt;FV110,B110&gt;=FS110),MIN(CF109+BZ110-BY110,7/36*FU110),IF(B110=FV110,7/36*FW110,IF(AND(B110&gt;FV110,B110&lt;FX110),MIN(CF109+BZ110-BY110,7/36*FW110),IF(B110&gt;=FX110,0,0))))+DK110</f>
        <v>402.27871288864031</v>
      </c>
      <c r="GV110" s="712"/>
      <c r="GW110" s="712">
        <f t="shared" ref="GW110:GW156" si="453">IF(HA110&gt;=3888.88,CS110,0)</f>
        <v>0</v>
      </c>
      <c r="GX110" s="712" t="str">
        <f t="shared" ref="GX110:GX156" si="454">IF(AND(HA110&lt;3888.88,FZ110&gt;0),"P","")</f>
        <v/>
      </c>
      <c r="GY110" s="712">
        <f>IF(GA110="P",Lookup!$N$12,IF(GA110="PP",Lookup!$N$13,IF(GA110="PPP",Lookup!$N$14,IF(GA110="T",Lookup!$N$15,IF(GA110="TP",Lookup!$N$16,IF(GA110="TPP",Lookup!$N$17,IF(GA110="TPPP",Lookup!$N$18,0)))))))*FZ110</f>
        <v>0</v>
      </c>
      <c r="GZ110" s="697">
        <f t="shared" si="378"/>
        <v>0</v>
      </c>
      <c r="HA110" s="712">
        <f t="shared" ref="HA110:HA156" si="455">HB110*MGtoAF</f>
        <v>957.19820380180124</v>
      </c>
      <c r="HB110" s="712">
        <f t="shared" ref="HB110:HB156" si="456">(IF(AND(B110&lt;FV110,B110&gt;=FS110),MIN(CY109+CS110-CR110,7/36*FU110),IF(B110=FV110,7/36*FW110,IF(AND(B110&gt;FV110,B110&lt;FX110),MIN(CY109+CS110-CR110,7/36*FW110),IF(B110&gt;=FX110,0,0)))))+DL110</f>
        <v>311.99419941388567</v>
      </c>
      <c r="HC110" s="712"/>
    </row>
    <row r="111" spans="1:211">
      <c r="A111" s="773" t="s">
        <v>7</v>
      </c>
      <c r="B111" s="708">
        <v>40640</v>
      </c>
      <c r="C111" s="719">
        <v>0.5</v>
      </c>
      <c r="D111" s="675">
        <f t="shared" si="366"/>
        <v>300</v>
      </c>
      <c r="E111" s="675">
        <f t="shared" si="367"/>
        <v>250</v>
      </c>
      <c r="F111" s="675">
        <v>250</v>
      </c>
      <c r="G111" s="712">
        <f>DH111+Sheet1!CV111</f>
        <v>2182.5937972770248</v>
      </c>
      <c r="H111" s="712">
        <f t="shared" si="389"/>
        <v>1143.8654305598689</v>
      </c>
      <c r="I111" s="711">
        <f>MAX(Sheet1!Z111-AJ111+(Sheet1!CW111-E111)*CFStoMGD,0)</f>
        <v>2293.3859999999986</v>
      </c>
      <c r="J111" s="720">
        <f>IF(AND(B111&gt;=Calculation!FS111,B111&lt;=Calculation!FT111),IF(Sheet1!CX111&gt;=Calculation!D111,64.64,0),MAX(Sheet1!Z111-AJ111+(Sheet1!CX111-D111)*CFStoMGD,0))</f>
        <v>64.64</v>
      </c>
      <c r="K111" s="697">
        <f t="shared" si="368"/>
        <v>64.64</v>
      </c>
      <c r="L111" s="712">
        <f>Sheet1!AA111+Sheet1!AB111-Sheet1!L111+(Sheet1!CW111-F111)*CFStoMGD</f>
        <v>2293.2559999999985</v>
      </c>
      <c r="M111" s="712">
        <f t="shared" si="390"/>
        <v>1439.0452031710663</v>
      </c>
      <c r="N111" s="712">
        <f>IF(Sheet1!CW111&gt;=F111,MIN(73,MIN(MAX(L111,0),MAX(M111,0))),0)</f>
        <v>73</v>
      </c>
      <c r="O111" s="721">
        <f>Sheet1!AA111+Sheet1!AB111</f>
        <v>44.599999999998545</v>
      </c>
      <c r="P111" s="721">
        <f t="shared" si="391"/>
        <v>68.996199999997742</v>
      </c>
      <c r="Q111" s="712">
        <f>MIN(N111,Sheet1!AA111+AG111)</f>
        <v>44.599999999998545</v>
      </c>
      <c r="R111" s="712">
        <f t="shared" si="392"/>
        <v>0</v>
      </c>
      <c r="S111" s="721">
        <f>Sheet1!Y111*MGDtoCFS</f>
        <v>44.47625</v>
      </c>
      <c r="T111" s="721">
        <f>Sheet1!Z111*MGDtoCFS</f>
        <v>24.721059999999998</v>
      </c>
      <c r="U111" s="721">
        <f>Sheet1!AA111*MGDtoCFS</f>
        <v>44.398899999995493</v>
      </c>
      <c r="V111" s="721">
        <f>Sheet1!AB111*MGDtoCFS</f>
        <v>24.597300000002249</v>
      </c>
      <c r="W111" s="721">
        <f>Sheet1!L111*MGDtoCFS</f>
        <v>69.073549999999997</v>
      </c>
      <c r="X111" s="697">
        <f t="shared" si="369"/>
        <v>0</v>
      </c>
      <c r="Y111" s="712">
        <f t="shared" si="393"/>
        <v>0</v>
      </c>
      <c r="Z111" s="712">
        <f t="shared" si="394"/>
        <v>64.64</v>
      </c>
      <c r="AA111" s="712">
        <f t="shared" si="395"/>
        <v>99.998080000000002</v>
      </c>
      <c r="AB111" s="712">
        <f>(VLOOKUP(Sheet1!CY111,hhdcap_wcm,4)-(((VLOOKUP(Sheet1!CY111,hhdcap_wcm,3)-Sheet1!CY111)/(VLOOKUP(Sheet1!CY111,hhdcap_wcm,3)-VLOOKUP(Sheet1!CY111,hhdcap_wcm,1)))*(VLOOKUP(Sheet1!CY111,hhdcap_wcm,4)-VLOOKUP(Sheet1!CY111,hhdcap_wcm,2))))</f>
        <v>24930.730000060608</v>
      </c>
      <c r="AC111" s="712">
        <f t="shared" si="396"/>
        <v>293.67000000034022</v>
      </c>
      <c r="AD111" s="712">
        <f t="shared" si="370"/>
        <v>2240.4951345247468</v>
      </c>
      <c r="AE111" s="712">
        <f t="shared" si="397"/>
        <v>6873.839072721923</v>
      </c>
      <c r="AF111" s="712">
        <f>Sheet1!BA111+Sheet1!BB111+Sheet1!BN111+BT111</f>
        <v>16</v>
      </c>
      <c r="AG111" s="712">
        <f t="shared" si="398"/>
        <v>15.900000000001455</v>
      </c>
      <c r="AH111" s="712">
        <f>Sheet1!BA111+BT111</f>
        <v>0</v>
      </c>
      <c r="AI111" s="712">
        <f>Sheet1!BA111+Sheet1!BB111+BT111</f>
        <v>0</v>
      </c>
      <c r="AJ111" s="712">
        <f>IF((Sheet1!AA111+AG111+AX111+AZ111+BQ111+BS111+CL111+CN111)&lt;=N111,AG111+AX111+AZ111+BQ111+BS111+CL111+CN111,N111-Sheet1!AA111)</f>
        <v>15.900000000001455</v>
      </c>
      <c r="AK111" s="712">
        <f>IF(DR111&lt;K111,0,MAX(Sheet1!AA111+AG111-15/36*K111-N111,Sheet1!ED111,0))</f>
        <v>0</v>
      </c>
      <c r="AL111" s="712">
        <f>IF(OR(B111&gt;=FT111,B111&lt;FS111),0,15/36*K111-MAX(0,64.6-(137.6-(Sheet1!AA111+Sheet1!AB111))))</f>
        <v>26.933333333333334</v>
      </c>
      <c r="AM111" s="712">
        <f>Sheet1!CX111-110</f>
        <v>2042.5</v>
      </c>
      <c r="AN111" s="712">
        <f>Sheet1!CW111-265</f>
        <v>3532.8125</v>
      </c>
      <c r="AO111" s="712">
        <f t="shared" si="371"/>
        <v>28.400000000001455</v>
      </c>
      <c r="AP111" s="712">
        <f t="shared" si="372"/>
        <v>0</v>
      </c>
      <c r="AQ111" s="712">
        <f t="shared" si="399"/>
        <v>0</v>
      </c>
      <c r="AR111" s="712">
        <f t="shared" si="400"/>
        <v>1023.4666666666657</v>
      </c>
      <c r="AS111" s="712"/>
      <c r="AT111" s="712">
        <f ca="1">IF(B111&gt;Summary!$A$1,#N/A,AR111*MGtoAF)</f>
        <v>3139.9957333333305</v>
      </c>
      <c r="AU111" s="712">
        <f>Sheet1!BG111+Sheet1!BH111+Sheet1!BI111-BC111</f>
        <v>0</v>
      </c>
      <c r="AV111" s="712">
        <f t="shared" si="401"/>
        <v>0</v>
      </c>
      <c r="AW111" s="712">
        <f>IF(Sheet1!EL111="FM",BC111,0)</f>
        <v>0</v>
      </c>
      <c r="AX111" s="712">
        <f t="shared" si="402"/>
        <v>0</v>
      </c>
      <c r="AY111" s="712">
        <f>IF(Sheet1!EL111="OTHER",BC111,0)</f>
        <v>0</v>
      </c>
      <c r="AZ111" s="712">
        <f t="shared" si="403"/>
        <v>0</v>
      </c>
      <c r="BA111" s="712">
        <f t="shared" si="404"/>
        <v>0</v>
      </c>
      <c r="BB111" s="712">
        <f t="shared" si="405"/>
        <v>0</v>
      </c>
      <c r="BC111" s="712">
        <f>IF(OR(Sheet1!EL111="FM", Sheet1!EL111="OTHER"),SUM(Sheet1!BG111:'Sheet1'!BI111),0)</f>
        <v>0</v>
      </c>
      <c r="BD111" s="697">
        <f>IF(AND($B111&gt;=$FL111,$B111&lt;=$FM111),MAX(AV111,Sheet1!EE111,0),MAX(AV111-(7/36)*$K111,0))</f>
        <v>0</v>
      </c>
      <c r="BE111" s="712">
        <f t="shared" si="406"/>
        <v>12.568888888888889</v>
      </c>
      <c r="BF111" s="697">
        <f t="shared" si="373"/>
        <v>0</v>
      </c>
      <c r="BG111" s="697">
        <f>IF(AND($O111&gt;0,Sheet1!EI111=1),(1-($O111-Sheet1!$L111)/$O111)*BB111,0)</f>
        <v>0</v>
      </c>
      <c r="BH111" s="697">
        <f>IF(AND(Sheet1!$L111=0,Sheet1!$L110=0, Calculation!BA111&lt;Sheet1!$EE111-0.1,Sheet1!$EE111=Sheet1!$EE110,Sheet1!$EE111=Sheet1!$EE112),Sheet1!$EE111,BB111-BG111)</f>
        <v>0</v>
      </c>
      <c r="BI111" s="712"/>
      <c r="BJ111" s="712"/>
      <c r="BK111" s="712">
        <f t="shared" si="407"/>
        <v>477.61777777777741</v>
      </c>
      <c r="BL111" s="712"/>
      <c r="BM111" s="712">
        <f ca="1">IF(B111&gt;Summary!$A$1,#N/A,BK111*MGtoAF)</f>
        <v>1465.3313422222211</v>
      </c>
      <c r="BN111" s="712">
        <f>Sheet1!BC111+Sheet1!BD111+Sheet1!BE111+Sheet1!BF111-BW111-BX111</f>
        <v>0</v>
      </c>
      <c r="BO111" s="712">
        <f t="shared" si="408"/>
        <v>0</v>
      </c>
      <c r="BP111" s="712">
        <f>IF(Sheet1!EM111="FM",BX111,0)</f>
        <v>0</v>
      </c>
      <c r="BQ111" s="712">
        <f t="shared" si="409"/>
        <v>0</v>
      </c>
      <c r="BR111" s="712">
        <f>IF(Sheet1!EM111="OTHER",BX111,0)</f>
        <v>0</v>
      </c>
      <c r="BS111" s="712">
        <f t="shared" si="410"/>
        <v>0</v>
      </c>
      <c r="BT111" s="712">
        <f t="shared" si="411"/>
        <v>0</v>
      </c>
      <c r="BU111" s="712">
        <f t="shared" si="412"/>
        <v>0</v>
      </c>
      <c r="BV111" s="712">
        <f t="shared" si="413"/>
        <v>0</v>
      </c>
      <c r="BW111" s="712">
        <f>IF(Sheet1!EM111="CWA",SUM(Sheet1!BC111:'Sheet1'!BF111),0)</f>
        <v>0</v>
      </c>
      <c r="BX111" s="712">
        <f>IF(OR(Sheet1!EM111="FM", Sheet1!EM111="OTHER"),SUM(Sheet1!BC111:'Sheet1'!BF111),0)</f>
        <v>0</v>
      </c>
      <c r="BY111" s="697">
        <f>IF(AND($B111&gt;=$FL111,$B111&lt;=$FM111),MAX(BV111,Sheet1!EF111,0),MAX(BV111-(7/36)*$K111,0))</f>
        <v>0</v>
      </c>
      <c r="BZ111" s="712">
        <f t="shared" si="414"/>
        <v>12.568888888888889</v>
      </c>
      <c r="CA111" s="697">
        <f t="shared" si="374"/>
        <v>0</v>
      </c>
      <c r="CB111" s="697">
        <f>IF(AND($O111&gt;0,Sheet1!EJ111=1),(1-($O111-Sheet1!$L111)/$O111)*BV111,0)</f>
        <v>0</v>
      </c>
      <c r="CC111" s="697">
        <f>IF(AND(Sheet1!$L111=0,Sheet1!$L110=0, Calculation!BU111&lt;Sheet1!EF111-0.1,Sheet1!EF111=Sheet1!EF110,Sheet1!EF111=Sheet1!EF112),Sheet1!EF111,BV111-CB111)</f>
        <v>0</v>
      </c>
      <c r="CD111" s="697"/>
      <c r="CE111" s="712"/>
      <c r="CF111" s="712">
        <f t="shared" si="415"/>
        <v>414.84760177752918</v>
      </c>
      <c r="CG111" s="712"/>
      <c r="CH111" s="712">
        <f ca="1">IF(B111&gt;Summary!$A$1,#N/A,CF111*MGtoAF)</f>
        <v>1272.7524422534595</v>
      </c>
      <c r="CI111" s="712">
        <f>Sheet1!BK111+Sheet1!BL111+Sheet1!BM111-Sheet1!EN111-CQ111</f>
        <v>0</v>
      </c>
      <c r="CJ111" s="712">
        <f t="shared" si="416"/>
        <v>0</v>
      </c>
      <c r="CK111" s="712">
        <f>IF(Sheet1!EN111="FM",CQ111,0)</f>
        <v>0</v>
      </c>
      <c r="CL111" s="712">
        <f t="shared" si="417"/>
        <v>0</v>
      </c>
      <c r="CM111" s="712">
        <f>IF(Sheet1!EN111="OTHER",CQ111,0)</f>
        <v>0</v>
      </c>
      <c r="CN111" s="712">
        <f t="shared" si="418"/>
        <v>0</v>
      </c>
      <c r="CO111" s="712">
        <f t="shared" si="419"/>
        <v>0</v>
      </c>
      <c r="CP111" s="712">
        <f t="shared" si="420"/>
        <v>0</v>
      </c>
      <c r="CQ111" s="712">
        <f>IF(OR(Sheet1!EN111="FM", Sheet1!EN111="OTHER"),SUM(Sheet1!BK111:'Sheet1'!BM111),0)</f>
        <v>0</v>
      </c>
      <c r="CR111" s="697">
        <f>IF(AND($B111&gt;=$FL111,$B111&lt;=$FM111),MAX($CJ111,Sheet1!EG111,0),MAX($CJ111-(7/36)*$K111,0))</f>
        <v>0</v>
      </c>
      <c r="CS111" s="712">
        <f t="shared" si="421"/>
        <v>12.568888888888889</v>
      </c>
      <c r="CT111" s="697">
        <f t="shared" si="375"/>
        <v>0</v>
      </c>
      <c r="CU111" s="697">
        <f>IF(AND($O111&gt;0,Sheet1!EK111=1),(1-($O111-Sheet1!$L111)/$O111)*CP111,0)</f>
        <v>0</v>
      </c>
      <c r="CV111" s="697">
        <f>IF(AND(Sheet1!$L111=0,Sheet1!$L110=0, Calculation!CO111&lt;Sheet1!$EG111-0.1,Sheet1!$EG111=Sheet1!$EG110,Sheet1!$EG111=Sheet1!$EG112),Sheet1!$EG111,CP111-CU111)</f>
        <v>0</v>
      </c>
      <c r="CW111" s="697">
        <f t="shared" si="362"/>
        <v>0</v>
      </c>
      <c r="CX111" s="712">
        <f t="shared" si="379"/>
        <v>0</v>
      </c>
      <c r="CY111" s="712">
        <f t="shared" si="422"/>
        <v>324.56308830277453</v>
      </c>
      <c r="CZ111" s="712">
        <f t="shared" si="423"/>
        <v>0</v>
      </c>
      <c r="DA111" s="712">
        <f ca="1">IF(B111&gt;Summary!$A$1,#N/A,CY111*MGtoAF)</f>
        <v>995.75955491291234</v>
      </c>
      <c r="DB111" s="712">
        <f t="shared" si="424"/>
        <v>0</v>
      </c>
      <c r="DC111" s="712">
        <f t="shared" si="425"/>
        <v>16</v>
      </c>
      <c r="DD111" s="712">
        <f>Sheet1!AB111-DC111</f>
        <v>-9.9999999998544808E-2</v>
      </c>
      <c r="DE111" s="712">
        <f t="shared" si="426"/>
        <v>-6.2499999999090505E-3</v>
      </c>
      <c r="DF111" s="712">
        <f>(VLOOKUP(Sheet1!CY111,hhdcap_wcm,4)-(((VLOOKUP(Sheet1!CY111,hhdcap_wcm,3)-Sheet1!CY111)/(VLOOKUP(Sheet1!CY111,hhdcap_wcm,3)-VLOOKUP(Sheet1!CY111,hhdcap_wcm,1)))*(VLOOKUP(Sheet1!CY111,hhdcap_wcm,4)-VLOOKUP(Sheet1!CY111,hhdcap_wcm,2))))</f>
        <v>24930.730000060608</v>
      </c>
      <c r="DG111" s="712">
        <f t="shared" si="427"/>
        <v>293.67000000034022</v>
      </c>
      <c r="DH111" s="712">
        <f t="shared" si="428"/>
        <v>148.09379727702481</v>
      </c>
      <c r="DI111" s="712">
        <f>Sheet1!DW111*AFtoMG</f>
        <v>0</v>
      </c>
      <c r="DJ111" s="712">
        <f>Sheet1!DX111*AFtoMG</f>
        <v>0</v>
      </c>
      <c r="DK111" s="712">
        <f>Sheet1!DY111*AFtoMG</f>
        <v>0</v>
      </c>
      <c r="DL111" s="712">
        <f>Sheet1!DZ111*AFtoMG</f>
        <v>0</v>
      </c>
      <c r="DM111" s="712">
        <f t="shared" si="429"/>
        <v>0</v>
      </c>
      <c r="DN111" s="712">
        <f t="shared" si="430"/>
        <v>0</v>
      </c>
      <c r="DO111" s="712">
        <f t="shared" si="431"/>
        <v>2240.4951345247468</v>
      </c>
      <c r="DP111" s="712">
        <f t="shared" si="432"/>
        <v>6873.839072721923</v>
      </c>
      <c r="DQ111" s="712"/>
      <c r="DR111" s="697">
        <f>IF(OR(B111&lt;FL111,B111&gt;FM111),(MIN(AV111+BO111+CJ111+MAX(Sheet1!AA111+AG111-73,0),K111)),0)</f>
        <v>0</v>
      </c>
      <c r="DS111" s="712"/>
      <c r="DT111" s="712">
        <f t="shared" si="433"/>
        <v>0</v>
      </c>
      <c r="DU111" s="712"/>
      <c r="DV111" s="712">
        <f>Sheet1!ED111+Sheet1!EE111+Sheet1!EF111+Sheet1!EG111</f>
        <v>8.5</v>
      </c>
      <c r="DW111" s="712"/>
      <c r="DX111" s="697">
        <f t="shared" si="376"/>
        <v>0</v>
      </c>
      <c r="DY111" s="712">
        <f>IF(Sheet1!FN111=1,SUM('Calculations II'!AT111:BA111)+'Calculations II'!BC111+Sheet1!BU111+'Calculations II'!BE111+AF111,SUM('Calculations II'!AT111:BA111)+'Calculations II'!BC111+Sheet1!BU111+'Calculations II'!BE111+AF111)</f>
        <v>47.371408000000002</v>
      </c>
      <c r="DZ111" s="712">
        <f>Sheet1!AA111+Sheet1!AB111+'Calculations II'!BC111</f>
        <v>46.818175999998545</v>
      </c>
      <c r="EA111" s="712"/>
      <c r="EB111" s="712"/>
      <c r="EC111" s="712">
        <f t="shared" si="434"/>
        <v>40640</v>
      </c>
      <c r="ED111" s="712">
        <f t="shared" si="435"/>
        <v>64.64</v>
      </c>
      <c r="EE111" s="712">
        <f t="shared" si="436"/>
        <v>99.998080000000002</v>
      </c>
      <c r="EF111" s="712">
        <f>-(VLOOKUP(Sheet1!BQ111,Lookup!$B$4:$J$236,2)-VLOOKUP(Sheet1!BQ110,Lookup!$B$4:$J$236,2))/1000000</f>
        <v>0.2671</v>
      </c>
      <c r="EG111" s="712">
        <f>-(VLOOKUP(Sheet1!BR111,Lookup!$B$4:$J$236,3)-VLOOKUP(Sheet1!BR110,Lookup!$B$4:$J$236,3))/1000000</f>
        <v>0.53320000000000001</v>
      </c>
      <c r="EH111" s="712">
        <f>-(VLOOKUP(Sheet1!BS111,Lookup!$B$4:$J$236,4)-VLOOKUP(Sheet1!BS110,Lookup!$B$4:$J$236,4))/1000000</f>
        <v>0</v>
      </c>
      <c r="EI111" s="697">
        <f t="shared" si="380"/>
        <v>0.80030000000000001</v>
      </c>
      <c r="EJ111" s="712"/>
      <c r="EK111" s="712"/>
      <c r="EL111" s="712"/>
      <c r="EM111" s="712"/>
      <c r="EN111" s="712"/>
      <c r="EO111" s="712"/>
      <c r="EP111" s="712"/>
      <c r="EQ111" s="712"/>
      <c r="ER111" s="697">
        <v>0</v>
      </c>
      <c r="ES111" s="712"/>
      <c r="ET111" s="794" t="e">
        <f t="shared" si="437"/>
        <v>#N/A</v>
      </c>
      <c r="EU111" s="794" t="e">
        <f t="shared" si="363"/>
        <v>#VALUE!</v>
      </c>
      <c r="EV111" s="795" t="e">
        <f t="shared" si="364"/>
        <v>#VALUE!</v>
      </c>
      <c r="EW111" s="796" t="s">
        <v>757</v>
      </c>
      <c r="EX111" s="796" t="s">
        <v>757</v>
      </c>
      <c r="EY111" s="794">
        <v>0</v>
      </c>
      <c r="EZ111" s="794" t="e">
        <v>#N/A</v>
      </c>
      <c r="FA111" s="712"/>
      <c r="FB111" s="712"/>
      <c r="FC111" s="712"/>
      <c r="FD111" s="712"/>
      <c r="FE111" s="712">
        <f>O111+Sheet1!CO111</f>
        <v>1584.9999999999986</v>
      </c>
      <c r="FF111" s="712">
        <f>IF(Sheet1!AA111+AG111&lt;=Calculation!N111,AG111,Calculation!N111-Sheet1!AA111)</f>
        <v>15.900000000001455</v>
      </c>
      <c r="FG111" s="712">
        <f>(Sheet1!BP111+Sheet1!BO111)/694.4</f>
        <v>2.3565668202764978</v>
      </c>
      <c r="FH111" s="712"/>
      <c r="FI111" s="712"/>
      <c r="FJ111" s="712"/>
      <c r="FK111" s="712"/>
      <c r="FL111" s="714">
        <f t="shared" si="381"/>
        <v>40753</v>
      </c>
      <c r="FM111" s="714">
        <f t="shared" si="382"/>
        <v>40851</v>
      </c>
      <c r="FN111" s="712"/>
      <c r="FO111" s="712"/>
      <c r="FP111" s="712"/>
      <c r="FQ111" s="712"/>
      <c r="FR111" s="712"/>
      <c r="FS111" s="725">
        <f t="shared" si="383"/>
        <v>40603</v>
      </c>
      <c r="FT111" s="714">
        <f t="shared" si="384"/>
        <v>40709</v>
      </c>
      <c r="FU111" s="712">
        <f t="shared" si="385"/>
        <v>6518.9048239895692</v>
      </c>
      <c r="FV111" s="714">
        <f t="shared" si="386"/>
        <v>40722</v>
      </c>
      <c r="FW111" s="712">
        <f t="shared" si="387"/>
        <v>3259.4524119947846</v>
      </c>
      <c r="FX111" s="725">
        <f t="shared" si="388"/>
        <v>40851</v>
      </c>
      <c r="FZ111" s="697">
        <f t="shared" si="365"/>
        <v>0</v>
      </c>
      <c r="GA111" s="712" t="str">
        <f t="shared" si="438"/>
        <v/>
      </c>
      <c r="GB111" s="712">
        <f t="shared" si="439"/>
        <v>0</v>
      </c>
      <c r="GC111" s="712" t="str">
        <f t="shared" si="440"/>
        <v/>
      </c>
      <c r="GD111" s="712">
        <f>IF(GA111="P",Lookup!$M$12,IF(GA111="PP",Lookup!$M$13,IF(GA111="PPP",Lookup!$M$14,IF(GA111="T",Lookup!$M$15,IF(GA111="TP",Lookup!$M$16,IF(GA111="TPP",Lookup!$M$17,IF(GA111="TPPP",Lookup!$M$18,0)))))))*FZ111</f>
        <v>0</v>
      </c>
      <c r="GE111" s="712">
        <f t="shared" si="441"/>
        <v>0</v>
      </c>
      <c r="GF111" s="712">
        <f t="shared" si="442"/>
        <v>3139.9957333333305</v>
      </c>
      <c r="GG111" s="712">
        <f t="shared" si="443"/>
        <v>1023.4666666666657</v>
      </c>
      <c r="GH111" s="712"/>
      <c r="GI111" s="712">
        <f t="shared" si="444"/>
        <v>0</v>
      </c>
      <c r="GJ111" s="712" t="str">
        <f t="shared" si="445"/>
        <v/>
      </c>
      <c r="GK111" s="712">
        <f>IF(GA111="P",Lookup!$N$12,IF(GA111="PP",Lookup!$N$13,IF(GA111="PPP",Lookup!$N$14,IF(GA111="T",Lookup!$N$15,IF(GA111="TP",Lookup!$N$16,IF(GA111="TPP",Lookup!$N$17,IF(GA111="TPPP",Lookup!$N$18,0)))))))*FZ111</f>
        <v>0</v>
      </c>
      <c r="GL111" s="712">
        <f t="shared" si="446"/>
        <v>0</v>
      </c>
      <c r="GM111" s="712">
        <f t="shared" si="447"/>
        <v>1465.3313422222211</v>
      </c>
      <c r="GN111" s="712">
        <f t="shared" si="448"/>
        <v>477.61777777777741</v>
      </c>
      <c r="GO111" s="712"/>
      <c r="GP111" s="712">
        <f t="shared" si="449"/>
        <v>0</v>
      </c>
      <c r="GQ111" s="712" t="str">
        <f t="shared" si="450"/>
        <v/>
      </c>
      <c r="GR111" s="712">
        <f>IF(GA111="P",Lookup!$N$12,IF(GA111="PP",Lookup!$N$13,IF(GA111="PPP",Lookup!$N$14,IF(GA111="T",Lookup!$N$15,IF(GA111="TP",Lookup!$N$16,IF(GA111="TPP",Lookup!$N$17,IF(GA111="TPPP",Lookup!$N$18,0)))))))*FZ111</f>
        <v>0</v>
      </c>
      <c r="GS111" s="697">
        <f t="shared" si="377"/>
        <v>0</v>
      </c>
      <c r="GT111" s="712">
        <f t="shared" si="451"/>
        <v>1272.7524422534595</v>
      </c>
      <c r="GU111" s="712">
        <f t="shared" si="452"/>
        <v>414.84760177752918</v>
      </c>
      <c r="GV111" s="712"/>
      <c r="GW111" s="712">
        <f t="shared" si="453"/>
        <v>0</v>
      </c>
      <c r="GX111" s="712" t="str">
        <f t="shared" si="454"/>
        <v/>
      </c>
      <c r="GY111" s="712">
        <f>IF(GA111="P",Lookup!$N$12,IF(GA111="PP",Lookup!$N$13,IF(GA111="PPP",Lookup!$N$14,IF(GA111="T",Lookup!$N$15,IF(GA111="TP",Lookup!$N$16,IF(GA111="TPP",Lookup!$N$17,IF(GA111="TPPP",Lookup!$N$18,0)))))))*FZ111</f>
        <v>0</v>
      </c>
      <c r="GZ111" s="697">
        <f t="shared" si="378"/>
        <v>0</v>
      </c>
      <c r="HA111" s="712">
        <f t="shared" si="455"/>
        <v>995.75955491291234</v>
      </c>
      <c r="HB111" s="712">
        <f t="shared" si="456"/>
        <v>324.56308830277453</v>
      </c>
      <c r="HC111" s="712"/>
    </row>
    <row r="112" spans="1:211">
      <c r="A112" s="773" t="s">
        <v>8</v>
      </c>
      <c r="B112" s="708">
        <v>40641</v>
      </c>
      <c r="C112" s="709">
        <v>0.5</v>
      </c>
      <c r="D112" s="675">
        <f t="shared" si="366"/>
        <v>300</v>
      </c>
      <c r="E112" s="675">
        <f t="shared" si="367"/>
        <v>250</v>
      </c>
      <c r="F112" s="710">
        <v>250</v>
      </c>
      <c r="G112" s="712">
        <f>DH112+Sheet1!CV112</f>
        <v>1787.5393343429373</v>
      </c>
      <c r="H112" s="712">
        <f t="shared" si="389"/>
        <v>888.50222571927463</v>
      </c>
      <c r="I112" s="711">
        <f>MAX(Sheet1!Z112-AJ112+(Sheet1!CW112-E112)*CFStoMGD,0)</f>
        <v>1816.0060000000014</v>
      </c>
      <c r="J112" s="720">
        <f>IF(AND(B112&gt;=Calculation!FS112,B112&lt;=Calculation!FT112),IF(Sheet1!CX112&gt;=Calculation!D112,64.64,0),MAX(Sheet1!Z112-AJ112+(Sheet1!CX112-D112)*CFStoMGD,0))</f>
        <v>64.64</v>
      </c>
      <c r="K112" s="697">
        <f t="shared" si="368"/>
        <v>64.64</v>
      </c>
      <c r="L112" s="712">
        <f>Sheet1!AA112+Sheet1!AB112-Sheet1!L112+(Sheet1!CW112-F112)*CFStoMGD</f>
        <v>1815.3760000000043</v>
      </c>
      <c r="M112" s="712">
        <f t="shared" si="390"/>
        <v>1178.5747342336601</v>
      </c>
      <c r="N112" s="712">
        <f>IF(Sheet1!CW112&gt;=F112,MIN(73,MIN(MAX(L112,0),MAX(M112,0))),0)</f>
        <v>73</v>
      </c>
      <c r="O112" s="721">
        <f>Sheet1!AA112+Sheet1!AB112</f>
        <v>44.450000000004366</v>
      </c>
      <c r="P112" s="721">
        <f t="shared" si="391"/>
        <v>68.764150000006751</v>
      </c>
      <c r="Q112" s="712">
        <f>MIN(N112,Sheet1!AA112+AG112)</f>
        <v>44.450000000004366</v>
      </c>
      <c r="R112" s="712">
        <f t="shared" si="392"/>
        <v>0</v>
      </c>
      <c r="S112" s="721">
        <f>Sheet1!Y112*MGDtoCFS</f>
        <v>45.311629999999994</v>
      </c>
      <c r="T112" s="721">
        <f>Sheet1!Z112*MGDtoCFS</f>
        <v>25.18516</v>
      </c>
      <c r="U112" s="721">
        <f>Sheet1!AA112*MGDtoCFS</f>
        <v>44.244200000009002</v>
      </c>
      <c r="V112" s="721">
        <f>Sheet1!AB112*MGDtoCFS</f>
        <v>24.519949999997749</v>
      </c>
      <c r="W112" s="721">
        <f>Sheet1!L112*MGDtoCFS</f>
        <v>69.073549999999997</v>
      </c>
      <c r="X112" s="697">
        <f t="shared" si="369"/>
        <v>0</v>
      </c>
      <c r="Y112" s="712">
        <f t="shared" si="393"/>
        <v>0</v>
      </c>
      <c r="Z112" s="712">
        <f t="shared" si="394"/>
        <v>64.64</v>
      </c>
      <c r="AA112" s="712">
        <f t="shared" si="395"/>
        <v>99.998080000000002</v>
      </c>
      <c r="AB112" s="712">
        <f>(VLOOKUP(Sheet1!CY112,hhdcap_wcm,4)-(((VLOOKUP(Sheet1!CY112,hhdcap_wcm,3)-Sheet1!CY112)/(VLOOKUP(Sheet1!CY112,hhdcap_wcm,3)-VLOOKUP(Sheet1!CY112,hhdcap_wcm,1)))*(VLOOKUP(Sheet1!CY112,hhdcap_wcm,4)-VLOOKUP(Sheet1!CY112,hhdcap_wcm,2))))</f>
        <v>25375.000000062653</v>
      </c>
      <c r="AC112" s="712">
        <f t="shared" si="396"/>
        <v>444.27000000204498</v>
      </c>
      <c r="AD112" s="712">
        <f t="shared" si="370"/>
        <v>2305.1351345247467</v>
      </c>
      <c r="AE112" s="712">
        <f t="shared" si="397"/>
        <v>7072.1545927219231</v>
      </c>
      <c r="AF112" s="712">
        <f>Sheet1!BA112+Sheet1!BB112+Sheet1!BN112+BT112</f>
        <v>16.2</v>
      </c>
      <c r="AG112" s="712">
        <f t="shared" si="398"/>
        <v>15.849999999998545</v>
      </c>
      <c r="AH112" s="712">
        <f>Sheet1!BA112+BT112</f>
        <v>0</v>
      </c>
      <c r="AI112" s="712">
        <f>Sheet1!BA112+Sheet1!BB112+BT112</f>
        <v>0</v>
      </c>
      <c r="AJ112" s="712">
        <f>IF((Sheet1!AA112+AG112+AX112+AZ112+BQ112+BS112+CL112+CN112)&lt;=N112,AG112+AX112+AZ112+BQ112+BS112+CL112+CN112,N112-Sheet1!AA112)</f>
        <v>15.849999999998545</v>
      </c>
      <c r="AK112" s="712">
        <f>IF(DR112&lt;K112,0,MAX(Sheet1!AA112+AG112-15/36*K112-N112,Sheet1!ED112,0))</f>
        <v>0</v>
      </c>
      <c r="AL112" s="712">
        <f>IF(OR(B112&gt;=FT112,B112&lt;FS112),0,15/36*K112-MAX(0,64.6-(137.6-(Sheet1!AA112+Sheet1!AB112))))</f>
        <v>26.933333333333334</v>
      </c>
      <c r="AM112" s="712">
        <f>Sheet1!CX112-110</f>
        <v>1537.2916666666667</v>
      </c>
      <c r="AN112" s="712">
        <f>Sheet1!CW112-265</f>
        <v>2793.75</v>
      </c>
      <c r="AO112" s="712">
        <f t="shared" si="371"/>
        <v>28.549999999995634</v>
      </c>
      <c r="AP112" s="712">
        <f t="shared" si="372"/>
        <v>0</v>
      </c>
      <c r="AQ112" s="712">
        <f t="shared" si="399"/>
        <v>0</v>
      </c>
      <c r="AR112" s="712">
        <f t="shared" si="400"/>
        <v>1050.399999999999</v>
      </c>
      <c r="AS112" s="712"/>
      <c r="AT112" s="712">
        <f ca="1">IF(B112&gt;Summary!$A$1,#N/A,AR112*MGtoAF)</f>
        <v>3222.6271999999967</v>
      </c>
      <c r="AU112" s="712">
        <f>Sheet1!BG112+Sheet1!BH112+Sheet1!BI112-BC112</f>
        <v>0</v>
      </c>
      <c r="AV112" s="712">
        <f t="shared" si="401"/>
        <v>0</v>
      </c>
      <c r="AW112" s="712">
        <f>IF(Sheet1!EL112="FM",BC112,0)</f>
        <v>0</v>
      </c>
      <c r="AX112" s="712">
        <f t="shared" si="402"/>
        <v>0</v>
      </c>
      <c r="AY112" s="712">
        <f>IF(Sheet1!EL112="OTHER",BC112,0)</f>
        <v>0</v>
      </c>
      <c r="AZ112" s="712">
        <f t="shared" si="403"/>
        <v>0</v>
      </c>
      <c r="BA112" s="712">
        <f t="shared" si="404"/>
        <v>0</v>
      </c>
      <c r="BB112" s="712">
        <f t="shared" si="405"/>
        <v>0</v>
      </c>
      <c r="BC112" s="712">
        <f>IF(OR(Sheet1!EL112="FM", Sheet1!EL112="OTHER"),SUM(Sheet1!BG112:'Sheet1'!BI112),0)</f>
        <v>0</v>
      </c>
      <c r="BD112" s="697">
        <f>IF(AND($B112&gt;=$FL112,$B112&lt;=$FM112),MAX(AV112,Sheet1!EE112,0),MAX(AV112-(7/36)*$K112,0))</f>
        <v>0</v>
      </c>
      <c r="BE112" s="712">
        <f t="shared" si="406"/>
        <v>12.568888888888889</v>
      </c>
      <c r="BF112" s="697">
        <f t="shared" si="373"/>
        <v>0</v>
      </c>
      <c r="BG112" s="697">
        <f>IF(AND($O112&gt;0,Sheet1!EI112=1),(1-($O112-Sheet1!$L112)/$O112)*BB112,0)</f>
        <v>0</v>
      </c>
      <c r="BH112" s="697">
        <f>IF(AND(Sheet1!$L112=0,Sheet1!$L111=0, Calculation!BA112&lt;Sheet1!$EE112-0.1,Sheet1!$EE112=Sheet1!$EE111,Sheet1!$EE112=Sheet1!$EE113),Sheet1!$EE112,BB112-BG112)</f>
        <v>0</v>
      </c>
      <c r="BI112" s="712"/>
      <c r="BJ112" s="712"/>
      <c r="BK112" s="712">
        <f t="shared" si="407"/>
        <v>490.18666666666627</v>
      </c>
      <c r="BL112" s="712"/>
      <c r="BM112" s="712">
        <f ca="1">IF(B112&gt;Summary!$A$1,#N/A,BK112*MGtoAF)</f>
        <v>1503.8926933333321</v>
      </c>
      <c r="BN112" s="712">
        <f>Sheet1!BC112+Sheet1!BD112+Sheet1!BE112+Sheet1!BF112-BW112-BX112</f>
        <v>0</v>
      </c>
      <c r="BO112" s="712">
        <f t="shared" si="408"/>
        <v>0</v>
      </c>
      <c r="BP112" s="712">
        <f>IF(Sheet1!EM112="FM",BX112,0)</f>
        <v>0</v>
      </c>
      <c r="BQ112" s="712">
        <f t="shared" si="409"/>
        <v>0</v>
      </c>
      <c r="BR112" s="712">
        <f>IF(Sheet1!EM112="OTHER",BX112,0)</f>
        <v>0</v>
      </c>
      <c r="BS112" s="712">
        <f t="shared" si="410"/>
        <v>0</v>
      </c>
      <c r="BT112" s="712">
        <f t="shared" si="411"/>
        <v>0</v>
      </c>
      <c r="BU112" s="712">
        <f t="shared" si="412"/>
        <v>0</v>
      </c>
      <c r="BV112" s="712">
        <f t="shared" si="413"/>
        <v>0</v>
      </c>
      <c r="BW112" s="712">
        <f>IF(Sheet1!EM112="CWA",SUM(Sheet1!BC112:'Sheet1'!BF112),0)</f>
        <v>0</v>
      </c>
      <c r="BX112" s="712">
        <f>IF(OR(Sheet1!EM112="FM", Sheet1!EM112="OTHER"),SUM(Sheet1!BC112:'Sheet1'!BF112),0)</f>
        <v>0</v>
      </c>
      <c r="BY112" s="697">
        <f>IF(AND($B112&gt;=$FL112,$B112&lt;=$FM112),MAX(BV112,Sheet1!EF112,0),MAX(BV112-(7/36)*$K112,0))</f>
        <v>0</v>
      </c>
      <c r="BZ112" s="712">
        <f t="shared" si="414"/>
        <v>12.568888888888889</v>
      </c>
      <c r="CA112" s="697">
        <f t="shared" si="374"/>
        <v>0</v>
      </c>
      <c r="CB112" s="697">
        <f>IF(AND($O112&gt;0,Sheet1!EJ112=1),(1-($O112-Sheet1!$L112)/$O112)*BV112,0)</f>
        <v>0</v>
      </c>
      <c r="CC112" s="697">
        <f>IF(AND(Sheet1!$L112=0,Sheet1!$L111=0, Calculation!BU112&lt;Sheet1!EF112-0.1,Sheet1!EF112=Sheet1!EF111,Sheet1!EF112=Sheet1!EF113),Sheet1!EF112,BV112-CB112)</f>
        <v>0</v>
      </c>
      <c r="CD112" s="697"/>
      <c r="CE112" s="712"/>
      <c r="CF112" s="712">
        <f t="shared" si="415"/>
        <v>427.41649066641804</v>
      </c>
      <c r="CG112" s="712"/>
      <c r="CH112" s="712">
        <f ca="1">IF(B112&gt;Summary!$A$1,#N/A,CF112*MGtoAF)</f>
        <v>1311.3137933645705</v>
      </c>
      <c r="CI112" s="712">
        <f>Sheet1!BK112+Sheet1!BL112+Sheet1!BM112-Sheet1!EN112-CQ112</f>
        <v>0</v>
      </c>
      <c r="CJ112" s="712">
        <f t="shared" si="416"/>
        <v>0</v>
      </c>
      <c r="CK112" s="712">
        <f>IF(Sheet1!EN112="FM",CQ112,0)</f>
        <v>0</v>
      </c>
      <c r="CL112" s="712">
        <f t="shared" si="417"/>
        <v>0</v>
      </c>
      <c r="CM112" s="712">
        <f>IF(Sheet1!EN112="OTHER",CQ112,0)</f>
        <v>0</v>
      </c>
      <c r="CN112" s="712">
        <f t="shared" si="418"/>
        <v>0</v>
      </c>
      <c r="CO112" s="712">
        <f t="shared" si="419"/>
        <v>0</v>
      </c>
      <c r="CP112" s="712">
        <f t="shared" si="420"/>
        <v>0</v>
      </c>
      <c r="CQ112" s="712">
        <f>IF(OR(Sheet1!EN112="FM", Sheet1!EN112="OTHER"),SUM(Sheet1!BK112:'Sheet1'!BM112),0)</f>
        <v>0</v>
      </c>
      <c r="CR112" s="697">
        <f>IF(AND($B112&gt;=$FL112,$B112&lt;=$FM112),MAX($CJ112,Sheet1!EG112,0),MAX($CJ112-(7/36)*$K112,0))</f>
        <v>0</v>
      </c>
      <c r="CS112" s="712">
        <f t="shared" si="421"/>
        <v>12.568888888888889</v>
      </c>
      <c r="CT112" s="697">
        <f t="shared" si="375"/>
        <v>0</v>
      </c>
      <c r="CU112" s="697">
        <f>IF(AND($O112&gt;0,Sheet1!EK112=1),(1-($O112-Sheet1!$L112)/$O112)*CP112,0)</f>
        <v>0</v>
      </c>
      <c r="CV112" s="697">
        <f>IF(AND(Sheet1!$L112=0,Sheet1!$L111=0, Calculation!CO112&lt;Sheet1!$EG112-0.1,Sheet1!$EG112=Sheet1!$EG111,Sheet1!$EG112=Sheet1!$EG113),Sheet1!$EG112,CP112-CU112)</f>
        <v>0</v>
      </c>
      <c r="CW112" s="697">
        <f t="shared" si="362"/>
        <v>0</v>
      </c>
      <c r="CX112" s="712">
        <f t="shared" si="379"/>
        <v>0</v>
      </c>
      <c r="CY112" s="712">
        <f t="shared" si="422"/>
        <v>337.1319771916634</v>
      </c>
      <c r="CZ112" s="712">
        <f t="shared" si="423"/>
        <v>0</v>
      </c>
      <c r="DA112" s="712">
        <f ca="1">IF(B112&gt;Summary!$A$1,#N/A,CY112*MGtoAF)</f>
        <v>1034.3209060240233</v>
      </c>
      <c r="DB112" s="712">
        <f t="shared" si="424"/>
        <v>0</v>
      </c>
      <c r="DC112" s="712">
        <f t="shared" si="425"/>
        <v>16.2</v>
      </c>
      <c r="DD112" s="712">
        <f>Sheet1!AB112-DC112</f>
        <v>-0.35000000000145448</v>
      </c>
      <c r="DE112" s="712">
        <f t="shared" si="426"/>
        <v>-2.1604938271694723E-2</v>
      </c>
      <c r="DF112" s="712">
        <f>(VLOOKUP(Sheet1!CY112,hhdcap_wcm,4)-(((VLOOKUP(Sheet1!CY112,hhdcap_wcm,3)-Sheet1!CY112)/(VLOOKUP(Sheet1!CY112,hhdcap_wcm,3)-VLOOKUP(Sheet1!CY112,hhdcap_wcm,1)))*(VLOOKUP(Sheet1!CY112,hhdcap_wcm,4)-VLOOKUP(Sheet1!CY112,hhdcap_wcm,2))))</f>
        <v>25375.000000062653</v>
      </c>
      <c r="DG112" s="712">
        <f t="shared" si="427"/>
        <v>444.27000000204498</v>
      </c>
      <c r="DH112" s="712">
        <f t="shared" si="428"/>
        <v>224.03933434293742</v>
      </c>
      <c r="DI112" s="712">
        <f>Sheet1!DW112*AFtoMG</f>
        <v>0</v>
      </c>
      <c r="DJ112" s="712">
        <f>Sheet1!DX112*AFtoMG</f>
        <v>0</v>
      </c>
      <c r="DK112" s="712">
        <f>Sheet1!DY112*AFtoMG</f>
        <v>0</v>
      </c>
      <c r="DL112" s="712">
        <f>Sheet1!DZ112*AFtoMG</f>
        <v>0</v>
      </c>
      <c r="DM112" s="712">
        <f t="shared" si="429"/>
        <v>0</v>
      </c>
      <c r="DN112" s="712">
        <f t="shared" si="430"/>
        <v>0</v>
      </c>
      <c r="DO112" s="712">
        <f t="shared" si="431"/>
        <v>2305.1351345247467</v>
      </c>
      <c r="DP112" s="712">
        <f t="shared" si="432"/>
        <v>7072.1545927219231</v>
      </c>
      <c r="DQ112" s="712"/>
      <c r="DR112" s="697">
        <f>IF(OR(B112&lt;FL112,B112&gt;FM112),(MIN(AV112+BO112+CJ112+MAX(Sheet1!AA112+AG112-73,0),K112)),0)</f>
        <v>0</v>
      </c>
      <c r="DS112" s="712"/>
      <c r="DT112" s="712">
        <f t="shared" si="433"/>
        <v>0</v>
      </c>
      <c r="DU112" s="712"/>
      <c r="DV112" s="712">
        <f>Sheet1!ED112+Sheet1!EE112+Sheet1!EF112+Sheet1!EG112</f>
        <v>8.5</v>
      </c>
      <c r="DW112" s="712"/>
      <c r="DX112" s="697">
        <f t="shared" si="376"/>
        <v>0</v>
      </c>
      <c r="DY112" s="712">
        <f>IF(Sheet1!FN112=1,SUM('Calculations II'!AT112:BA112)+'Calculations II'!BC112+Sheet1!BU112+'Calculations II'!BE112+AF112,SUM('Calculations II'!AT112:BA112)+'Calculations II'!BC112+Sheet1!BU112+'Calculations II'!BE112+AF112)</f>
        <v>46.223647999999997</v>
      </c>
      <c r="DZ112" s="712">
        <f>Sheet1!AA112+Sheet1!AB112+'Calculations II'!BC112</f>
        <v>46.084112000004367</v>
      </c>
      <c r="EA112" s="712"/>
      <c r="EB112" s="712"/>
      <c r="EC112" s="712">
        <f t="shared" si="434"/>
        <v>40641</v>
      </c>
      <c r="ED112" s="712">
        <f t="shared" si="435"/>
        <v>64.64</v>
      </c>
      <c r="EE112" s="712">
        <f t="shared" si="436"/>
        <v>99.998080000000002</v>
      </c>
      <c r="EF112" s="712">
        <f>-(VLOOKUP(Sheet1!BQ112,Lookup!$B$4:$J$236,2)-VLOOKUP(Sheet1!BQ111,Lookup!$B$4:$J$236,2))/1000000</f>
        <v>0</v>
      </c>
      <c r="EG112" s="712">
        <f>-(VLOOKUP(Sheet1!BR112,Lookup!$B$4:$J$236,3)-VLOOKUP(Sheet1!BR111,Lookup!$B$4:$J$236,3))/1000000</f>
        <v>-0.2666</v>
      </c>
      <c r="EH112" s="712">
        <f>-(VLOOKUP(Sheet1!BS112,Lookup!$B$4:$J$236,4)-VLOOKUP(Sheet1!BS111,Lookup!$B$4:$J$236,4))/1000000</f>
        <v>0</v>
      </c>
      <c r="EI112" s="697">
        <f t="shared" si="380"/>
        <v>-0.2666</v>
      </c>
      <c r="EJ112" s="712"/>
      <c r="EK112" s="712"/>
      <c r="EL112" s="712"/>
      <c r="EM112" s="712"/>
      <c r="EN112" s="712"/>
      <c r="EO112" s="712"/>
      <c r="EP112" s="712"/>
      <c r="EQ112" s="712"/>
      <c r="ER112" s="697">
        <v>0</v>
      </c>
      <c r="ES112" s="712"/>
      <c r="ET112" s="794" t="e">
        <f t="shared" si="437"/>
        <v>#N/A</v>
      </c>
      <c r="EU112" s="794" t="e">
        <f t="shared" si="363"/>
        <v>#VALUE!</v>
      </c>
      <c r="EV112" s="795" t="e">
        <f t="shared" si="364"/>
        <v>#VALUE!</v>
      </c>
      <c r="EW112" s="796" t="s">
        <v>757</v>
      </c>
      <c r="EX112" s="796" t="s">
        <v>757</v>
      </c>
      <c r="EY112" s="794">
        <v>0</v>
      </c>
      <c r="EZ112" s="794" t="e">
        <v>#N/A</v>
      </c>
      <c r="FA112" s="712"/>
      <c r="FB112" s="712"/>
      <c r="FC112" s="712"/>
      <c r="FD112" s="712"/>
      <c r="FE112" s="712">
        <f>O112+Sheet1!CO112</f>
        <v>1179.2500000000043</v>
      </c>
      <c r="FF112" s="712">
        <f>IF(Sheet1!AA112+AG112&lt;=Calculation!N112,AG112,Calculation!N112-Sheet1!AA112)</f>
        <v>15.849999999998545</v>
      </c>
      <c r="FG112" s="712">
        <f>(Sheet1!BP112+Sheet1!BO112)/694.4</f>
        <v>1.5563076036866361</v>
      </c>
      <c r="FH112" s="712"/>
      <c r="FI112" s="712"/>
      <c r="FJ112" s="712"/>
      <c r="FK112" s="712"/>
      <c r="FL112" s="714">
        <f t="shared" si="381"/>
        <v>40753</v>
      </c>
      <c r="FM112" s="714">
        <f t="shared" si="382"/>
        <v>40851</v>
      </c>
      <c r="FN112" s="712"/>
      <c r="FO112" s="712"/>
      <c r="FP112" s="712"/>
      <c r="FQ112" s="712"/>
      <c r="FR112" s="712"/>
      <c r="FS112" s="725">
        <f t="shared" si="383"/>
        <v>40603</v>
      </c>
      <c r="FT112" s="714">
        <f t="shared" si="384"/>
        <v>40709</v>
      </c>
      <c r="FU112" s="712">
        <f t="shared" si="385"/>
        <v>6518.9048239895692</v>
      </c>
      <c r="FV112" s="714">
        <f t="shared" si="386"/>
        <v>40722</v>
      </c>
      <c r="FW112" s="712">
        <f t="shared" si="387"/>
        <v>3259.4524119947846</v>
      </c>
      <c r="FX112" s="725">
        <f t="shared" si="388"/>
        <v>40851</v>
      </c>
      <c r="FZ112" s="697">
        <f t="shared" si="365"/>
        <v>0</v>
      </c>
      <c r="GA112" s="712" t="str">
        <f t="shared" si="438"/>
        <v/>
      </c>
      <c r="GB112" s="712">
        <f t="shared" si="439"/>
        <v>0</v>
      </c>
      <c r="GC112" s="712" t="str">
        <f t="shared" si="440"/>
        <v/>
      </c>
      <c r="GD112" s="712">
        <f>IF(GA112="P",Lookup!$M$12,IF(GA112="PP",Lookup!$M$13,IF(GA112="PPP",Lookup!$M$14,IF(GA112="T",Lookup!$M$15,IF(GA112="TP",Lookup!$M$16,IF(GA112="TPP",Lookup!$M$17,IF(GA112="TPPP",Lookup!$M$18,0)))))))*FZ112</f>
        <v>0</v>
      </c>
      <c r="GE112" s="712">
        <f t="shared" si="441"/>
        <v>0</v>
      </c>
      <c r="GF112" s="712">
        <f t="shared" si="442"/>
        <v>3222.6271999999967</v>
      </c>
      <c r="GG112" s="712">
        <f t="shared" si="443"/>
        <v>1050.399999999999</v>
      </c>
      <c r="GH112" s="712"/>
      <c r="GI112" s="712">
        <f t="shared" si="444"/>
        <v>0</v>
      </c>
      <c r="GJ112" s="712" t="str">
        <f t="shared" si="445"/>
        <v/>
      </c>
      <c r="GK112" s="712">
        <f>IF(GA112="P",Lookup!$N$12,IF(GA112="PP",Lookup!$N$13,IF(GA112="PPP",Lookup!$N$14,IF(GA112="T",Lookup!$N$15,IF(GA112="TP",Lookup!$N$16,IF(GA112="TPP",Lookup!$N$17,IF(GA112="TPPP",Lookup!$N$18,0)))))))*FZ112</f>
        <v>0</v>
      </c>
      <c r="GL112" s="712">
        <f t="shared" si="446"/>
        <v>0</v>
      </c>
      <c r="GM112" s="712">
        <f t="shared" si="447"/>
        <v>1503.8926933333321</v>
      </c>
      <c r="GN112" s="712">
        <f t="shared" si="448"/>
        <v>490.18666666666627</v>
      </c>
      <c r="GO112" s="712"/>
      <c r="GP112" s="712">
        <f t="shared" si="449"/>
        <v>0</v>
      </c>
      <c r="GQ112" s="712" t="str">
        <f t="shared" si="450"/>
        <v/>
      </c>
      <c r="GR112" s="712">
        <f>IF(GA112="P",Lookup!$N$12,IF(GA112="PP",Lookup!$N$13,IF(GA112="PPP",Lookup!$N$14,IF(GA112="T",Lookup!$N$15,IF(GA112="TP",Lookup!$N$16,IF(GA112="TPP",Lookup!$N$17,IF(GA112="TPPP",Lookup!$N$18,0)))))))*FZ112</f>
        <v>0</v>
      </c>
      <c r="GS112" s="697">
        <f t="shared" si="377"/>
        <v>0</v>
      </c>
      <c r="GT112" s="712">
        <f t="shared" si="451"/>
        <v>1311.3137933645705</v>
      </c>
      <c r="GU112" s="712">
        <f t="shared" si="452"/>
        <v>427.41649066641804</v>
      </c>
      <c r="GV112" s="712"/>
      <c r="GW112" s="712">
        <f t="shared" si="453"/>
        <v>0</v>
      </c>
      <c r="GX112" s="712" t="str">
        <f t="shared" si="454"/>
        <v/>
      </c>
      <c r="GY112" s="712">
        <f>IF(GA112="P",Lookup!$N$12,IF(GA112="PP",Lookup!$N$13,IF(GA112="PPP",Lookup!$N$14,IF(GA112="T",Lookup!$N$15,IF(GA112="TP",Lookup!$N$16,IF(GA112="TPP",Lookup!$N$17,IF(GA112="TPPP",Lookup!$N$18,0)))))))*FZ112</f>
        <v>0</v>
      </c>
      <c r="GZ112" s="697">
        <f t="shared" si="378"/>
        <v>0</v>
      </c>
      <c r="HA112" s="712">
        <f t="shared" si="455"/>
        <v>1034.3209060240233</v>
      </c>
      <c r="HB112" s="712">
        <f t="shared" si="456"/>
        <v>337.1319771916634</v>
      </c>
      <c r="HC112" s="712"/>
    </row>
    <row r="113" spans="1:211">
      <c r="A113" s="773" t="s">
        <v>9</v>
      </c>
      <c r="B113" s="708">
        <v>40642</v>
      </c>
      <c r="C113" s="719">
        <v>0.5</v>
      </c>
      <c r="D113" s="675">
        <f t="shared" si="366"/>
        <v>300</v>
      </c>
      <c r="E113" s="675">
        <f t="shared" si="367"/>
        <v>250</v>
      </c>
      <c r="F113" s="710">
        <v>250</v>
      </c>
      <c r="G113" s="712">
        <f>DH113+Sheet1!CV113</f>
        <v>1545.091401916465</v>
      </c>
      <c r="H113" s="712">
        <f t="shared" si="389"/>
        <v>731.78388219880298</v>
      </c>
      <c r="I113" s="711">
        <f>MAX(Sheet1!Z113-AJ113+(Sheet1!CW113-E113)*CFStoMGD,0)</f>
        <v>1515.3520000000001</v>
      </c>
      <c r="J113" s="720">
        <f>IF(AND(B113&gt;=Calculation!FS113,B113&lt;=Calculation!FT113),IF(Sheet1!CX113&gt;=Calculation!D113,64.64,0),MAX(Sheet1!Z113-AJ113+(Sheet1!CX113-D113)*CFStoMGD,0))</f>
        <v>64.64</v>
      </c>
      <c r="K113" s="697">
        <f t="shared" si="368"/>
        <v>64.64</v>
      </c>
      <c r="L113" s="712">
        <f>Sheet1!AA113+Sheet1!AB113-Sheet1!L113+(Sheet1!CW113-F113)*CFStoMGD</f>
        <v>1515.5519999999999</v>
      </c>
      <c r="M113" s="712">
        <f t="shared" si="390"/>
        <v>1018.7220238427791</v>
      </c>
      <c r="N113" s="712">
        <f>IF(Sheet1!CW113&gt;=F113,MIN(73,MIN(MAX(L113,0),MAX(M113,0))),0)</f>
        <v>73</v>
      </c>
      <c r="O113" s="721">
        <f>Sheet1!AA113+Sheet1!AB113</f>
        <v>45</v>
      </c>
      <c r="P113" s="721">
        <f t="shared" si="391"/>
        <v>69.614999999999995</v>
      </c>
      <c r="Q113" s="712">
        <f>MIN(N113,Sheet1!AA113+AG113)</f>
        <v>45</v>
      </c>
      <c r="R113" s="712">
        <f t="shared" si="392"/>
        <v>0</v>
      </c>
      <c r="S113" s="721">
        <f>Sheet1!Y113*MGDtoCFS</f>
        <v>45.095049999999993</v>
      </c>
      <c r="T113" s="721">
        <f>Sheet1!Z113*MGDtoCFS</f>
        <v>24.984049999999996</v>
      </c>
      <c r="U113" s="721">
        <f>Sheet1!AA113*MGDtoCFS</f>
        <v>44.863</v>
      </c>
      <c r="V113" s="721">
        <f>Sheet1!AB113*MGDtoCFS</f>
        <v>24.751999999999999</v>
      </c>
      <c r="W113" s="721">
        <f>Sheet1!L113*MGDtoCFS</f>
        <v>69.073549999999997</v>
      </c>
      <c r="X113" s="697">
        <f t="shared" si="369"/>
        <v>0</v>
      </c>
      <c r="Y113" s="712">
        <f t="shared" si="393"/>
        <v>0</v>
      </c>
      <c r="Z113" s="712">
        <f t="shared" si="394"/>
        <v>64.64</v>
      </c>
      <c r="AA113" s="712">
        <f t="shared" si="395"/>
        <v>99.998080000000002</v>
      </c>
      <c r="AB113" s="712">
        <f>(VLOOKUP(Sheet1!CY113,hhdcap_wcm,4)-(((VLOOKUP(Sheet1!CY113,hhdcap_wcm,3)-Sheet1!CY113)/(VLOOKUP(Sheet1!CY113,hhdcap_wcm,3)-VLOOKUP(Sheet1!CY113,hhdcap_wcm,1)))*(VLOOKUP(Sheet1!CY113,hhdcap_wcm,4)-VLOOKUP(Sheet1!CY113,hhdcap_wcm,2))))</f>
        <v>25800.700000063003</v>
      </c>
      <c r="AC113" s="712">
        <f t="shared" si="396"/>
        <v>425.70000000034997</v>
      </c>
      <c r="AD113" s="712">
        <f t="shared" si="370"/>
        <v>2369.775134524747</v>
      </c>
      <c r="AE113" s="712">
        <f t="shared" si="397"/>
        <v>7270.4701127219241</v>
      </c>
      <c r="AF113" s="712">
        <f>Sheet1!BA113+Sheet1!BB113+Sheet1!BN113+BT113</f>
        <v>16</v>
      </c>
      <c r="AG113" s="712">
        <f t="shared" si="398"/>
        <v>16</v>
      </c>
      <c r="AH113" s="712">
        <f>Sheet1!BA113+BT113</f>
        <v>0</v>
      </c>
      <c r="AI113" s="712">
        <f>Sheet1!BA113+Sheet1!BB113+BT113</f>
        <v>0</v>
      </c>
      <c r="AJ113" s="712">
        <f>IF((Sheet1!AA113+AG113+AX113+AZ113+BQ113+BS113+CL113+CN113)&lt;=N113,AG113+AX113+AZ113+BQ113+BS113+CL113+CN113,N113-Sheet1!AA113)</f>
        <v>16</v>
      </c>
      <c r="AK113" s="712">
        <f>IF(DR113&lt;K113,0,MAX(Sheet1!AA113+AG113-15/36*K113-N113,Sheet1!ED113,0))</f>
        <v>0</v>
      </c>
      <c r="AL113" s="712">
        <f>IF(OR(B113&gt;=FT113,B113&lt;FS113),0,15/36*K113-MAX(0,64.6-(137.6-(Sheet1!AA113+Sheet1!AB113))))</f>
        <v>26.933333333333334</v>
      </c>
      <c r="AM113" s="712">
        <f>Sheet1!CX113-110</f>
        <v>1295.3125</v>
      </c>
      <c r="AN113" s="712">
        <f>Sheet1!CW113-265</f>
        <v>2329.0625</v>
      </c>
      <c r="AO113" s="712">
        <f t="shared" si="371"/>
        <v>28</v>
      </c>
      <c r="AP113" s="712">
        <f t="shared" si="372"/>
        <v>0</v>
      </c>
      <c r="AQ113" s="712">
        <f t="shared" si="399"/>
        <v>0</v>
      </c>
      <c r="AR113" s="712">
        <f t="shared" si="400"/>
        <v>1077.3333333333323</v>
      </c>
      <c r="AS113" s="712"/>
      <c r="AT113" s="712">
        <f ca="1">IF(B113&gt;Summary!$A$1,#N/A,AR113*MGtoAF)</f>
        <v>3305.2586666666639</v>
      </c>
      <c r="AU113" s="712">
        <f>Sheet1!BG113+Sheet1!BH113+Sheet1!BI113-BC113</f>
        <v>0</v>
      </c>
      <c r="AV113" s="712">
        <f t="shared" si="401"/>
        <v>0</v>
      </c>
      <c r="AW113" s="712">
        <f>IF(Sheet1!EL113="FM",BC113,0)</f>
        <v>0</v>
      </c>
      <c r="AX113" s="712">
        <f t="shared" si="402"/>
        <v>0</v>
      </c>
      <c r="AY113" s="712">
        <f>IF(Sheet1!EL113="OTHER",BC113,0)</f>
        <v>0</v>
      </c>
      <c r="AZ113" s="712">
        <f t="shared" si="403"/>
        <v>0</v>
      </c>
      <c r="BA113" s="712">
        <f t="shared" si="404"/>
        <v>0</v>
      </c>
      <c r="BB113" s="712">
        <f t="shared" si="405"/>
        <v>0</v>
      </c>
      <c r="BC113" s="712">
        <f>IF(OR(Sheet1!EL113="FM", Sheet1!EL113="OTHER"),SUM(Sheet1!BG113:'Sheet1'!BI113),0)</f>
        <v>0</v>
      </c>
      <c r="BD113" s="697">
        <f>IF(AND($B113&gt;=$FL113,$B113&lt;=$FM113),MAX(AV113,Sheet1!EE113,0),MAX(AV113-(7/36)*$K113,0))</f>
        <v>0</v>
      </c>
      <c r="BE113" s="712">
        <f t="shared" si="406"/>
        <v>12.568888888888889</v>
      </c>
      <c r="BF113" s="697">
        <f t="shared" si="373"/>
        <v>0</v>
      </c>
      <c r="BG113" s="697">
        <f>IF(AND($O113&gt;0,Sheet1!EI113=1),(1-($O113-Sheet1!$L113)/$O113)*BB113,0)</f>
        <v>0</v>
      </c>
      <c r="BH113" s="697">
        <f>IF(AND(Sheet1!$L113=0,Sheet1!$L112=0, Calculation!BA113&lt;Sheet1!$EE113-0.1,Sheet1!$EE113=Sheet1!$EE112,Sheet1!$EE113=Sheet1!$EE114),Sheet1!$EE113,BB113-BG113)</f>
        <v>0</v>
      </c>
      <c r="BI113" s="712"/>
      <c r="BJ113" s="712"/>
      <c r="BK113" s="712">
        <f t="shared" si="407"/>
        <v>502.75555555555513</v>
      </c>
      <c r="BL113" s="712"/>
      <c r="BM113" s="712">
        <f ca="1">IF(B113&gt;Summary!$A$1,#N/A,BK113*MGtoAF)</f>
        <v>1542.4540444444431</v>
      </c>
      <c r="BN113" s="712">
        <f>Sheet1!BC113+Sheet1!BD113+Sheet1!BE113+Sheet1!BF113-BW113-BX113</f>
        <v>0</v>
      </c>
      <c r="BO113" s="712">
        <f t="shared" si="408"/>
        <v>0</v>
      </c>
      <c r="BP113" s="712">
        <f>IF(Sheet1!EM113="FM",BX113,0)</f>
        <v>0</v>
      </c>
      <c r="BQ113" s="712">
        <f t="shared" si="409"/>
        <v>0</v>
      </c>
      <c r="BR113" s="712">
        <f>IF(Sheet1!EM113="OTHER",BX113,0)</f>
        <v>0</v>
      </c>
      <c r="BS113" s="712">
        <f t="shared" si="410"/>
        <v>0</v>
      </c>
      <c r="BT113" s="712">
        <f t="shared" si="411"/>
        <v>0</v>
      </c>
      <c r="BU113" s="712">
        <f t="shared" si="412"/>
        <v>0</v>
      </c>
      <c r="BV113" s="712">
        <f t="shared" si="413"/>
        <v>0</v>
      </c>
      <c r="BW113" s="712">
        <f>IF(Sheet1!EM113="CWA",SUM(Sheet1!BC113:'Sheet1'!BF113),0)</f>
        <v>0</v>
      </c>
      <c r="BX113" s="712">
        <f>IF(OR(Sheet1!EM113="FM", Sheet1!EM113="OTHER"),SUM(Sheet1!BC113:'Sheet1'!BF113),0)</f>
        <v>0</v>
      </c>
      <c r="BY113" s="697">
        <f>IF(AND($B113&gt;=$FL113,$B113&lt;=$FM113),MAX(BV113,Sheet1!EF113,0),MAX(BV113-(7/36)*$K113,0))</f>
        <v>0</v>
      </c>
      <c r="BZ113" s="712">
        <f t="shared" si="414"/>
        <v>12.568888888888889</v>
      </c>
      <c r="CA113" s="697">
        <f t="shared" si="374"/>
        <v>0</v>
      </c>
      <c r="CB113" s="697">
        <f>IF(AND($O113&gt;0,Sheet1!EJ113=1),(1-($O113-Sheet1!$L113)/$O113)*BV113,0)</f>
        <v>0</v>
      </c>
      <c r="CC113" s="697">
        <f>IF(AND(Sheet1!$L113=0,Sheet1!$L112=0, Calculation!BU113&lt;Sheet1!EF113-0.1,Sheet1!EF113=Sheet1!EF112,Sheet1!EF113=Sheet1!EF114),Sheet1!EF113,BV113-CB113)</f>
        <v>0</v>
      </c>
      <c r="CD113" s="697"/>
      <c r="CE113" s="712"/>
      <c r="CF113" s="712">
        <f t="shared" si="415"/>
        <v>439.98537955530691</v>
      </c>
      <c r="CG113" s="712"/>
      <c r="CH113" s="712">
        <f ca="1">IF(B113&gt;Summary!$A$1,#N/A,CF113*MGtoAF)</f>
        <v>1349.8751444756815</v>
      </c>
      <c r="CI113" s="712">
        <f>Sheet1!BK113+Sheet1!BL113+Sheet1!BM113-Sheet1!EN113-CQ113</f>
        <v>0</v>
      </c>
      <c r="CJ113" s="712">
        <f t="shared" si="416"/>
        <v>0</v>
      </c>
      <c r="CK113" s="712">
        <f>IF(Sheet1!EN113="FM",CQ113,0)</f>
        <v>0</v>
      </c>
      <c r="CL113" s="712">
        <f t="shared" si="417"/>
        <v>0</v>
      </c>
      <c r="CM113" s="712">
        <f>IF(Sheet1!EN113="OTHER",CQ113,0)</f>
        <v>0</v>
      </c>
      <c r="CN113" s="712">
        <f t="shared" si="418"/>
        <v>0</v>
      </c>
      <c r="CO113" s="712">
        <f t="shared" si="419"/>
        <v>0</v>
      </c>
      <c r="CP113" s="712">
        <f t="shared" si="420"/>
        <v>0</v>
      </c>
      <c r="CQ113" s="712">
        <f>IF(OR(Sheet1!EN113="FM", Sheet1!EN113="OTHER"),SUM(Sheet1!BK113:'Sheet1'!BM113),0)</f>
        <v>0</v>
      </c>
      <c r="CR113" s="697">
        <f>IF(AND($B113&gt;=$FL113,$B113&lt;=$FM113),MAX($CJ113,Sheet1!EG113,0),MAX($CJ113-(7/36)*$K113,0))</f>
        <v>0</v>
      </c>
      <c r="CS113" s="712">
        <f t="shared" si="421"/>
        <v>12.568888888888889</v>
      </c>
      <c r="CT113" s="697">
        <f t="shared" si="375"/>
        <v>0</v>
      </c>
      <c r="CU113" s="697">
        <f>IF(AND($O113&gt;0,Sheet1!EK113=1),(1-($O113-Sheet1!$L113)/$O113)*CP113,0)</f>
        <v>0</v>
      </c>
      <c r="CV113" s="697">
        <f>IF(AND(Sheet1!$L113=0,Sheet1!$L112=0, Calculation!CO113&lt;Sheet1!$EG113-0.1,Sheet1!$EG113=Sheet1!$EG112,Sheet1!$EG113=Sheet1!$EG114),Sheet1!$EG113,CP113-CU113)</f>
        <v>0</v>
      </c>
      <c r="CW113" s="697">
        <f t="shared" si="362"/>
        <v>0</v>
      </c>
      <c r="CX113" s="712">
        <f t="shared" si="379"/>
        <v>0</v>
      </c>
      <c r="CY113" s="712">
        <f t="shared" si="422"/>
        <v>349.70086608055226</v>
      </c>
      <c r="CZ113" s="712">
        <f t="shared" si="423"/>
        <v>0</v>
      </c>
      <c r="DA113" s="712">
        <f ca="1">IF(B113&gt;Summary!$A$1,#N/A,CY113*MGtoAF)</f>
        <v>1072.8822571351343</v>
      </c>
      <c r="DB113" s="712">
        <f t="shared" si="424"/>
        <v>0</v>
      </c>
      <c r="DC113" s="712">
        <f t="shared" si="425"/>
        <v>16</v>
      </c>
      <c r="DD113" s="712">
        <f>Sheet1!AB113-DC113</f>
        <v>0</v>
      </c>
      <c r="DE113" s="712">
        <f t="shared" si="426"/>
        <v>0</v>
      </c>
      <c r="DF113" s="712">
        <f>(VLOOKUP(Sheet1!CY113,hhdcap_wcm,4)-(((VLOOKUP(Sheet1!CY113,hhdcap_wcm,3)-Sheet1!CY113)/(VLOOKUP(Sheet1!CY113,hhdcap_wcm,3)-VLOOKUP(Sheet1!CY113,hhdcap_wcm,1)))*(VLOOKUP(Sheet1!CY113,hhdcap_wcm,4)-VLOOKUP(Sheet1!CY113,hhdcap_wcm,2))))</f>
        <v>25800.700000063003</v>
      </c>
      <c r="DG113" s="712">
        <f t="shared" si="427"/>
        <v>425.70000000034997</v>
      </c>
      <c r="DH113" s="712">
        <f t="shared" si="428"/>
        <v>214.67473524979823</v>
      </c>
      <c r="DI113" s="712">
        <f>Sheet1!DW113*AFtoMG</f>
        <v>0</v>
      </c>
      <c r="DJ113" s="712">
        <f>Sheet1!DX113*AFtoMG</f>
        <v>0</v>
      </c>
      <c r="DK113" s="712">
        <f>Sheet1!DY113*AFtoMG</f>
        <v>0</v>
      </c>
      <c r="DL113" s="712">
        <f>Sheet1!DZ113*AFtoMG</f>
        <v>0</v>
      </c>
      <c r="DM113" s="712">
        <f t="shared" si="429"/>
        <v>0</v>
      </c>
      <c r="DN113" s="712">
        <f t="shared" si="430"/>
        <v>0</v>
      </c>
      <c r="DO113" s="712">
        <f t="shared" si="431"/>
        <v>2369.775134524747</v>
      </c>
      <c r="DP113" s="712">
        <f t="shared" si="432"/>
        <v>7270.4701127219241</v>
      </c>
      <c r="DQ113" s="712"/>
      <c r="DR113" s="697">
        <f>IF(OR(B113&lt;FL113,B113&gt;FM113),(MIN(AV113+BO113+CJ113+MAX(Sheet1!AA113+AG113-73,0),K113)),0)</f>
        <v>0</v>
      </c>
      <c r="DS113" s="712"/>
      <c r="DT113" s="712">
        <f t="shared" si="433"/>
        <v>0</v>
      </c>
      <c r="DU113" s="712"/>
      <c r="DV113" s="712">
        <f>Sheet1!ED113+Sheet1!EE113+Sheet1!EF113+Sheet1!EG113</f>
        <v>8.5</v>
      </c>
      <c r="DW113" s="712"/>
      <c r="DX113" s="697">
        <f t="shared" si="376"/>
        <v>0</v>
      </c>
      <c r="DY113" s="712">
        <f>IF(Sheet1!FN113=1,SUM('Calculations II'!AT113:BA113)+'Calculations II'!BC113+Sheet1!BU113+'Calculations II'!BE113+AF113,SUM('Calculations II'!AT113:BA113)+'Calculations II'!BC113+Sheet1!BU113+'Calculations II'!BE113+AF113)</f>
        <v>45.350448</v>
      </c>
      <c r="DZ113" s="712">
        <f>Sheet1!AA113+Sheet1!AB113+'Calculations II'!BC113</f>
        <v>45</v>
      </c>
      <c r="EA113" s="712"/>
      <c r="EB113" s="712"/>
      <c r="EC113" s="712">
        <f t="shared" si="434"/>
        <v>40642</v>
      </c>
      <c r="ED113" s="712">
        <f t="shared" si="435"/>
        <v>64.64</v>
      </c>
      <c r="EE113" s="712">
        <f t="shared" si="436"/>
        <v>99.998080000000002</v>
      </c>
      <c r="EF113" s="712">
        <f>-(VLOOKUP(Sheet1!BQ113,Lookup!$B$4:$J$236,2)-VLOOKUP(Sheet1!BQ112,Lookup!$B$4:$J$236,2))/1000000</f>
        <v>0.53420000000000001</v>
      </c>
      <c r="EG113" s="712">
        <f>-(VLOOKUP(Sheet1!BR113,Lookup!$B$4:$J$236,3)-VLOOKUP(Sheet1!BR112,Lookup!$B$4:$J$236,3))/1000000</f>
        <v>0.53320000000000001</v>
      </c>
      <c r="EH113" s="712">
        <f>-(VLOOKUP(Sheet1!BS113,Lookup!$B$4:$J$236,4)-VLOOKUP(Sheet1!BS112,Lookup!$B$4:$J$236,4))/1000000</f>
        <v>0</v>
      </c>
      <c r="EI113" s="697">
        <f t="shared" si="380"/>
        <v>1.0674000000000001</v>
      </c>
      <c r="EJ113" s="712"/>
      <c r="EK113" s="712"/>
      <c r="EL113" s="712"/>
      <c r="EM113" s="712"/>
      <c r="EN113" s="712"/>
      <c r="EO113" s="712"/>
      <c r="EP113" s="712"/>
      <c r="EQ113" s="712"/>
      <c r="ER113" s="697">
        <v>0</v>
      </c>
      <c r="ES113" s="712"/>
      <c r="ET113" s="794" t="e">
        <f t="shared" si="437"/>
        <v>#N/A</v>
      </c>
      <c r="EU113" s="794" t="e">
        <f t="shared" si="363"/>
        <v>#VALUE!</v>
      </c>
      <c r="EV113" s="795" t="e">
        <f t="shared" si="364"/>
        <v>#VALUE!</v>
      </c>
      <c r="EW113" s="796" t="s">
        <v>757</v>
      </c>
      <c r="EX113" s="796" t="s">
        <v>757</v>
      </c>
      <c r="EY113" s="794">
        <v>0</v>
      </c>
      <c r="EZ113" s="794" t="e">
        <v>#N/A</v>
      </c>
      <c r="FA113" s="712"/>
      <c r="FB113" s="712"/>
      <c r="FC113" s="712"/>
      <c r="FD113" s="712"/>
      <c r="FE113" s="712">
        <f>O113+Sheet1!CO113</f>
        <v>45</v>
      </c>
      <c r="FF113" s="712">
        <f>IF(Sheet1!AA113+AG113&lt;=Calculation!N113,AG113,Calculation!N113-Sheet1!AA113)</f>
        <v>16</v>
      </c>
      <c r="FG113" s="712">
        <f>(Sheet1!BP113+Sheet1!BO113)/694.4</f>
        <v>1.9258352534562211</v>
      </c>
      <c r="FH113" s="712"/>
      <c r="FI113" s="712"/>
      <c r="FJ113" s="712"/>
      <c r="FK113" s="712"/>
      <c r="FL113" s="714">
        <f t="shared" si="381"/>
        <v>40753</v>
      </c>
      <c r="FM113" s="714">
        <f t="shared" si="382"/>
        <v>40851</v>
      </c>
      <c r="FN113" s="712"/>
      <c r="FO113" s="712"/>
      <c r="FP113" s="712"/>
      <c r="FQ113" s="712"/>
      <c r="FR113" s="712"/>
      <c r="FS113" s="725">
        <f t="shared" si="383"/>
        <v>40603</v>
      </c>
      <c r="FT113" s="714">
        <f t="shared" si="384"/>
        <v>40709</v>
      </c>
      <c r="FU113" s="712">
        <f t="shared" si="385"/>
        <v>6518.9048239895692</v>
      </c>
      <c r="FV113" s="714">
        <f t="shared" si="386"/>
        <v>40722</v>
      </c>
      <c r="FW113" s="712">
        <f t="shared" si="387"/>
        <v>3259.4524119947846</v>
      </c>
      <c r="FX113" s="725">
        <f t="shared" si="388"/>
        <v>40851</v>
      </c>
      <c r="FZ113" s="697">
        <f t="shared" si="365"/>
        <v>0</v>
      </c>
      <c r="GA113" s="712" t="str">
        <f t="shared" si="438"/>
        <v/>
      </c>
      <c r="GB113" s="712">
        <f t="shared" si="439"/>
        <v>0</v>
      </c>
      <c r="GC113" s="712" t="str">
        <f t="shared" si="440"/>
        <v/>
      </c>
      <c r="GD113" s="712">
        <f>IF(GA113="P",Lookup!$M$12,IF(GA113="PP",Lookup!$M$13,IF(GA113="PPP",Lookup!$M$14,IF(GA113="T",Lookup!$M$15,IF(GA113="TP",Lookup!$M$16,IF(GA113="TPP",Lookup!$M$17,IF(GA113="TPPP",Lookup!$M$18,0)))))))*FZ113</f>
        <v>0</v>
      </c>
      <c r="GE113" s="712">
        <f t="shared" si="441"/>
        <v>0</v>
      </c>
      <c r="GF113" s="712">
        <f t="shared" si="442"/>
        <v>3305.2586666666639</v>
      </c>
      <c r="GG113" s="712">
        <f t="shared" si="443"/>
        <v>1077.3333333333323</v>
      </c>
      <c r="GH113" s="712"/>
      <c r="GI113" s="712">
        <f t="shared" si="444"/>
        <v>0</v>
      </c>
      <c r="GJ113" s="712" t="str">
        <f t="shared" si="445"/>
        <v/>
      </c>
      <c r="GK113" s="712">
        <f>IF(GA113="P",Lookup!$N$12,IF(GA113="PP",Lookup!$N$13,IF(GA113="PPP",Lookup!$N$14,IF(GA113="T",Lookup!$N$15,IF(GA113="TP",Lookup!$N$16,IF(GA113="TPP",Lookup!$N$17,IF(GA113="TPPP",Lookup!$N$18,0)))))))*FZ113</f>
        <v>0</v>
      </c>
      <c r="GL113" s="712">
        <f t="shared" si="446"/>
        <v>0</v>
      </c>
      <c r="GM113" s="712">
        <f t="shared" si="447"/>
        <v>1542.4540444444431</v>
      </c>
      <c r="GN113" s="712">
        <f t="shared" si="448"/>
        <v>502.75555555555513</v>
      </c>
      <c r="GO113" s="712"/>
      <c r="GP113" s="712">
        <f t="shared" si="449"/>
        <v>0</v>
      </c>
      <c r="GQ113" s="712" t="str">
        <f t="shared" si="450"/>
        <v/>
      </c>
      <c r="GR113" s="712">
        <f>IF(GA113="P",Lookup!$N$12,IF(GA113="PP",Lookup!$N$13,IF(GA113="PPP",Lookup!$N$14,IF(GA113="T",Lookup!$N$15,IF(GA113="TP",Lookup!$N$16,IF(GA113="TPP",Lookup!$N$17,IF(GA113="TPPP",Lookup!$N$18,0)))))))*FZ113</f>
        <v>0</v>
      </c>
      <c r="GS113" s="697">
        <f t="shared" si="377"/>
        <v>0</v>
      </c>
      <c r="GT113" s="712">
        <f t="shared" si="451"/>
        <v>1349.8751444756815</v>
      </c>
      <c r="GU113" s="712">
        <f t="shared" si="452"/>
        <v>439.98537955530691</v>
      </c>
      <c r="GV113" s="712"/>
      <c r="GW113" s="712">
        <f t="shared" si="453"/>
        <v>0</v>
      </c>
      <c r="GX113" s="712" t="str">
        <f t="shared" si="454"/>
        <v/>
      </c>
      <c r="GY113" s="712">
        <f>IF(GA113="P",Lookup!$N$12,IF(GA113="PP",Lookup!$N$13,IF(GA113="PPP",Lookup!$N$14,IF(GA113="T",Lookup!$N$15,IF(GA113="TP",Lookup!$N$16,IF(GA113="TPP",Lookup!$N$17,IF(GA113="TPPP",Lookup!$N$18,0)))))))*FZ113</f>
        <v>0</v>
      </c>
      <c r="GZ113" s="697">
        <f t="shared" si="378"/>
        <v>0</v>
      </c>
      <c r="HA113" s="712">
        <f t="shared" si="455"/>
        <v>1072.8822571351343</v>
      </c>
      <c r="HB113" s="712">
        <f t="shared" si="456"/>
        <v>349.70086608055226</v>
      </c>
      <c r="HC113" s="712"/>
    </row>
    <row r="114" spans="1:211">
      <c r="A114" s="773" t="s">
        <v>3</v>
      </c>
      <c r="B114" s="708">
        <v>40643</v>
      </c>
      <c r="C114" s="709">
        <v>0.5</v>
      </c>
      <c r="D114" s="675">
        <f t="shared" si="366"/>
        <v>300</v>
      </c>
      <c r="E114" s="675">
        <f t="shared" si="367"/>
        <v>250</v>
      </c>
      <c r="F114" s="675">
        <v>250</v>
      </c>
      <c r="G114" s="712">
        <f>DH114+Sheet1!CV114</f>
        <v>1468.6111951590271</v>
      </c>
      <c r="H114" s="712">
        <f t="shared" si="389"/>
        <v>682.34707655079512</v>
      </c>
      <c r="I114" s="711">
        <f>MAX(Sheet1!Z114-AJ114+(Sheet1!CW114-E114)*CFStoMGD,0)</f>
        <v>1453.4526666666666</v>
      </c>
      <c r="J114" s="720">
        <f>IF(AND(B114&gt;=Calculation!FS114,B114&lt;=Calculation!FT114),IF(Sheet1!CX114&gt;=Calculation!D114,64.64,0),MAX(Sheet1!Z114-AJ114+(Sheet1!CX114-D114)*CFStoMGD,0))</f>
        <v>64.64</v>
      </c>
      <c r="K114" s="697">
        <f t="shared" si="368"/>
        <v>64.64</v>
      </c>
      <c r="L114" s="712">
        <f>Sheet1!AA114+Sheet1!AB114-Sheet1!L114+(Sheet1!CW114-F114)*CFStoMGD</f>
        <v>1454.6826666666666</v>
      </c>
      <c r="M114" s="712">
        <f t="shared" si="390"/>
        <v>968.29648208181106</v>
      </c>
      <c r="N114" s="712">
        <f>IF(Sheet1!CW114&gt;=F114,MIN(73,MIN(MAX(L114,0),MAX(M114,0))),0)</f>
        <v>73</v>
      </c>
      <c r="O114" s="721">
        <f>Sheet1!AA114+Sheet1!AB114</f>
        <v>45</v>
      </c>
      <c r="P114" s="721">
        <f t="shared" si="391"/>
        <v>69.614999999999995</v>
      </c>
      <c r="Q114" s="712">
        <f>MIN(N114,Sheet1!AA114+AG114)</f>
        <v>45</v>
      </c>
      <c r="R114" s="712">
        <f t="shared" si="392"/>
        <v>0</v>
      </c>
      <c r="S114" s="721">
        <f>Sheet1!Y114*MGDtoCFS</f>
        <v>45.249749999999999</v>
      </c>
      <c r="T114" s="721">
        <f>Sheet1!Z114*MGDtoCFS</f>
        <v>24.937640000000002</v>
      </c>
      <c r="U114" s="721">
        <f>Sheet1!AA114*MGDtoCFS</f>
        <v>43.315999999999995</v>
      </c>
      <c r="V114" s="721">
        <f>Sheet1!AB114*MGDtoCFS</f>
        <v>26.298999999999999</v>
      </c>
      <c r="W114" s="721">
        <f>Sheet1!L114*MGDtoCFS</f>
        <v>69.073549999999997</v>
      </c>
      <c r="X114" s="697">
        <f t="shared" si="369"/>
        <v>0</v>
      </c>
      <c r="Y114" s="712">
        <f t="shared" si="393"/>
        <v>0</v>
      </c>
      <c r="Z114" s="712">
        <f t="shared" si="394"/>
        <v>64.64</v>
      </c>
      <c r="AA114" s="712">
        <f t="shared" si="395"/>
        <v>99.998080000000002</v>
      </c>
      <c r="AB114" s="712">
        <f>(VLOOKUP(Sheet1!CY114,hhdcap_wcm,4)-(((VLOOKUP(Sheet1!CY114,hhdcap_wcm,3)-Sheet1!CY114)/(VLOOKUP(Sheet1!CY114,hhdcap_wcm,3)-VLOOKUP(Sheet1!CY114,hhdcap_wcm,1)))*(VLOOKUP(Sheet1!CY114,hhdcap_wcm,4)-VLOOKUP(Sheet1!CY114,hhdcap_wcm,2))))</f>
        <v>26071.600000063354</v>
      </c>
      <c r="AC114" s="712">
        <f t="shared" si="396"/>
        <v>270.9000000003507</v>
      </c>
      <c r="AD114" s="712">
        <f t="shared" si="370"/>
        <v>2434.4151345247469</v>
      </c>
      <c r="AE114" s="712">
        <f t="shared" si="397"/>
        <v>7468.7856327219233</v>
      </c>
      <c r="AF114" s="712">
        <f>Sheet1!BA114+Sheet1!BB114+Sheet1!BN114+BT114</f>
        <v>16</v>
      </c>
      <c r="AG114" s="712">
        <f t="shared" si="398"/>
        <v>17</v>
      </c>
      <c r="AH114" s="712">
        <f>Sheet1!BA114+BT114</f>
        <v>0</v>
      </c>
      <c r="AI114" s="712">
        <f>Sheet1!BA114+Sheet1!BB114+BT114</f>
        <v>0</v>
      </c>
      <c r="AJ114" s="712">
        <f>IF((Sheet1!AA114+AG114+AX114+AZ114+BQ114+BS114+CL114+CN114)&lt;=N114,AG114+AX114+AZ114+BQ114+BS114+CL114+CN114,N114-Sheet1!AA114)</f>
        <v>17</v>
      </c>
      <c r="AK114" s="712">
        <f>IF(DR114&lt;K114,0,MAX(Sheet1!AA114+AG114-15/36*K114-N114,Sheet1!ED114,0))</f>
        <v>0</v>
      </c>
      <c r="AL114" s="712">
        <f>IF(OR(B114&gt;=FT114,B114&lt;FS114),0,15/36*K114-MAX(0,64.6-(137.6-(Sheet1!AA114+Sheet1!AB114))))</f>
        <v>26.933333333333334</v>
      </c>
      <c r="AM114" s="712">
        <f>Sheet1!CX114-110</f>
        <v>1293.5416666666667</v>
      </c>
      <c r="AN114" s="712">
        <f>Sheet1!CW114-265</f>
        <v>2234.8958333333335</v>
      </c>
      <c r="AO114" s="712">
        <f t="shared" si="371"/>
        <v>28</v>
      </c>
      <c r="AP114" s="712">
        <f t="shared" si="372"/>
        <v>0</v>
      </c>
      <c r="AQ114" s="712">
        <f t="shared" si="399"/>
        <v>0</v>
      </c>
      <c r="AR114" s="712">
        <f t="shared" si="400"/>
        <v>1104.2666666666657</v>
      </c>
      <c r="AS114" s="712"/>
      <c r="AT114" s="712">
        <f ca="1">IF(B114&gt;Summary!$A$1,#N/A,AR114*MGtoAF)</f>
        <v>3387.8901333333306</v>
      </c>
      <c r="AU114" s="712">
        <f>Sheet1!BG114+Sheet1!BH114+Sheet1!BI114-BC114</f>
        <v>0</v>
      </c>
      <c r="AV114" s="712">
        <f t="shared" si="401"/>
        <v>0</v>
      </c>
      <c r="AW114" s="712">
        <f>IF(Sheet1!EL114="FM",BC114,0)</f>
        <v>0</v>
      </c>
      <c r="AX114" s="712">
        <f t="shared" si="402"/>
        <v>0</v>
      </c>
      <c r="AY114" s="712">
        <f>IF(Sheet1!EL114="OTHER",BC114,0)</f>
        <v>0</v>
      </c>
      <c r="AZ114" s="712">
        <f t="shared" si="403"/>
        <v>0</v>
      </c>
      <c r="BA114" s="712">
        <f t="shared" si="404"/>
        <v>0</v>
      </c>
      <c r="BB114" s="712">
        <f t="shared" si="405"/>
        <v>0</v>
      </c>
      <c r="BC114" s="712">
        <f>IF(OR(Sheet1!EL114="FM", Sheet1!EL114="OTHER"),SUM(Sheet1!BG114:'Sheet1'!BI114),0)</f>
        <v>0</v>
      </c>
      <c r="BD114" s="697">
        <f>IF(AND($B114&gt;=$FL114,$B114&lt;=$FM114),MAX(AV114,Sheet1!EE114,0),MAX(AV114-(7/36)*$K114,0))</f>
        <v>0</v>
      </c>
      <c r="BE114" s="712">
        <f t="shared" si="406"/>
        <v>12.568888888888889</v>
      </c>
      <c r="BF114" s="697">
        <f t="shared" si="373"/>
        <v>0</v>
      </c>
      <c r="BG114" s="697">
        <f>IF(AND($O114&gt;0,Sheet1!EI114=1),(1-($O114-Sheet1!$L114)/$O114)*BB114,0)</f>
        <v>0</v>
      </c>
      <c r="BH114" s="697">
        <f>IF(AND(Sheet1!$L114=0,Sheet1!$L113=0, Calculation!BA114&lt;Sheet1!$EE114-0.1,Sheet1!$EE114=Sheet1!$EE113,Sheet1!$EE114=Sheet1!$EE115),Sheet1!$EE114,BB114-BG114)</f>
        <v>0</v>
      </c>
      <c r="BI114" s="712"/>
      <c r="BJ114" s="712"/>
      <c r="BK114" s="712">
        <f t="shared" si="407"/>
        <v>515.324444444444</v>
      </c>
      <c r="BL114" s="712"/>
      <c r="BM114" s="712">
        <f ca="1">IF(B114&gt;Summary!$A$1,#N/A,BK114*MGtoAF)</f>
        <v>1581.0153955555543</v>
      </c>
      <c r="BN114" s="712">
        <f>Sheet1!BC114+Sheet1!BD114+Sheet1!BE114+Sheet1!BF114-BW114-BX114</f>
        <v>0</v>
      </c>
      <c r="BO114" s="712">
        <f t="shared" si="408"/>
        <v>0</v>
      </c>
      <c r="BP114" s="712">
        <f>IF(Sheet1!EM114="FM",BX114,0)</f>
        <v>0</v>
      </c>
      <c r="BQ114" s="712">
        <f t="shared" si="409"/>
        <v>0</v>
      </c>
      <c r="BR114" s="712">
        <f>IF(Sheet1!EM114="OTHER",BX114,0)</f>
        <v>0</v>
      </c>
      <c r="BS114" s="712">
        <f t="shared" si="410"/>
        <v>0</v>
      </c>
      <c r="BT114" s="712">
        <f t="shared" si="411"/>
        <v>0</v>
      </c>
      <c r="BU114" s="712">
        <f t="shared" si="412"/>
        <v>0</v>
      </c>
      <c r="BV114" s="712">
        <f t="shared" si="413"/>
        <v>0</v>
      </c>
      <c r="BW114" s="712">
        <f>IF(Sheet1!EM114="CWA",SUM(Sheet1!BC114:'Sheet1'!BF114),0)</f>
        <v>0</v>
      </c>
      <c r="BX114" s="712">
        <f>IF(OR(Sheet1!EM114="FM", Sheet1!EM114="OTHER"),SUM(Sheet1!BC114:'Sheet1'!BF114),0)</f>
        <v>0</v>
      </c>
      <c r="BY114" s="697">
        <f>IF(AND($B114&gt;=$FL114,$B114&lt;=$FM114),MAX(BV114,Sheet1!EF114,0),MAX(BV114-(7/36)*$K114,0))</f>
        <v>0</v>
      </c>
      <c r="BZ114" s="712">
        <f t="shared" si="414"/>
        <v>12.568888888888889</v>
      </c>
      <c r="CA114" s="697">
        <f t="shared" si="374"/>
        <v>0</v>
      </c>
      <c r="CB114" s="697">
        <f>IF(AND($O114&gt;0,Sheet1!EJ114=1),(1-($O114-Sheet1!$L114)/$O114)*BV114,0)</f>
        <v>0</v>
      </c>
      <c r="CC114" s="697">
        <f>IF(AND(Sheet1!$L114=0,Sheet1!$L113=0, Calculation!BU114&lt;Sheet1!EF114-0.1,Sheet1!EF114=Sheet1!EF113,Sheet1!EF114=Sheet1!EF115),Sheet1!EF114,BV114-CB114)</f>
        <v>0</v>
      </c>
      <c r="CD114" s="697"/>
      <c r="CE114" s="712"/>
      <c r="CF114" s="712">
        <f t="shared" si="415"/>
        <v>452.55426844419577</v>
      </c>
      <c r="CG114" s="712"/>
      <c r="CH114" s="712">
        <f ca="1">IF(B114&gt;Summary!$A$1,#N/A,CF114*MGtoAF)</f>
        <v>1388.4364955867927</v>
      </c>
      <c r="CI114" s="712">
        <f>Sheet1!BK114+Sheet1!BL114+Sheet1!BM114-Sheet1!EN114-CQ114</f>
        <v>0</v>
      </c>
      <c r="CJ114" s="712">
        <f t="shared" si="416"/>
        <v>0</v>
      </c>
      <c r="CK114" s="712">
        <f>IF(Sheet1!EN114="FM",CQ114,0)</f>
        <v>0</v>
      </c>
      <c r="CL114" s="712">
        <f t="shared" si="417"/>
        <v>0</v>
      </c>
      <c r="CM114" s="712">
        <f>IF(Sheet1!EN114="OTHER",CQ114,0)</f>
        <v>0</v>
      </c>
      <c r="CN114" s="712">
        <f t="shared" si="418"/>
        <v>0</v>
      </c>
      <c r="CO114" s="712">
        <f t="shared" si="419"/>
        <v>0</v>
      </c>
      <c r="CP114" s="712">
        <f t="shared" si="420"/>
        <v>0</v>
      </c>
      <c r="CQ114" s="712">
        <f>IF(OR(Sheet1!EN114="FM", Sheet1!EN114="OTHER"),SUM(Sheet1!BK114:'Sheet1'!BM114),0)</f>
        <v>0</v>
      </c>
      <c r="CR114" s="697">
        <f>IF(AND($B114&gt;=$FL114,$B114&lt;=$FM114),MAX($CJ114,Sheet1!EG114,0),MAX($CJ114-(7/36)*$K114,0))</f>
        <v>0</v>
      </c>
      <c r="CS114" s="712">
        <f t="shared" si="421"/>
        <v>12.568888888888889</v>
      </c>
      <c r="CT114" s="697">
        <f t="shared" si="375"/>
        <v>0</v>
      </c>
      <c r="CU114" s="697">
        <f>IF(AND($O114&gt;0,Sheet1!EK114=1),(1-($O114-Sheet1!$L114)/$O114)*CP114,0)</f>
        <v>0</v>
      </c>
      <c r="CV114" s="697">
        <f>IF(AND(Sheet1!$L114=0,Sheet1!$L113=0, Calculation!CO114&lt;Sheet1!$EG114-0.1,Sheet1!$EG114=Sheet1!$EG113,Sheet1!$EG114=Sheet1!$EG115),Sheet1!$EG114,CP114-CU114)</f>
        <v>0</v>
      </c>
      <c r="CW114" s="697">
        <f t="shared" si="362"/>
        <v>0</v>
      </c>
      <c r="CX114" s="712">
        <f t="shared" si="379"/>
        <v>0</v>
      </c>
      <c r="CY114" s="712">
        <f t="shared" si="422"/>
        <v>362.26975496944112</v>
      </c>
      <c r="CZ114" s="712">
        <f t="shared" si="423"/>
        <v>0</v>
      </c>
      <c r="DA114" s="712">
        <f ca="1">IF(B114&gt;Summary!$A$1,#N/A,CY114*MGtoAF)</f>
        <v>1111.4436082462453</v>
      </c>
      <c r="DB114" s="712">
        <f t="shared" si="424"/>
        <v>0</v>
      </c>
      <c r="DC114" s="712">
        <f t="shared" si="425"/>
        <v>16</v>
      </c>
      <c r="DD114" s="712">
        <f>Sheet1!AB114-DC114</f>
        <v>1</v>
      </c>
      <c r="DE114" s="712">
        <f t="shared" si="426"/>
        <v>6.25E-2</v>
      </c>
      <c r="DF114" s="712">
        <f>(VLOOKUP(Sheet1!CY114,hhdcap_wcm,4)-(((VLOOKUP(Sheet1!CY114,hhdcap_wcm,3)-Sheet1!CY114)/(VLOOKUP(Sheet1!CY114,hhdcap_wcm,3)-VLOOKUP(Sheet1!CY114,hhdcap_wcm,1)))*(VLOOKUP(Sheet1!CY114,hhdcap_wcm,4)-VLOOKUP(Sheet1!CY114,hhdcap_wcm,2))))</f>
        <v>26071.600000063354</v>
      </c>
      <c r="DG114" s="712">
        <f t="shared" si="427"/>
        <v>270.9000000003507</v>
      </c>
      <c r="DH114" s="712">
        <f t="shared" si="428"/>
        <v>136.61119515902706</v>
      </c>
      <c r="DI114" s="712">
        <f>Sheet1!DW114*AFtoMG</f>
        <v>0</v>
      </c>
      <c r="DJ114" s="712">
        <f>Sheet1!DX114*AFtoMG</f>
        <v>0</v>
      </c>
      <c r="DK114" s="712">
        <f>Sheet1!DY114*AFtoMG</f>
        <v>0</v>
      </c>
      <c r="DL114" s="712">
        <f>Sheet1!DZ114*AFtoMG</f>
        <v>0</v>
      </c>
      <c r="DM114" s="712">
        <f t="shared" si="429"/>
        <v>0</v>
      </c>
      <c r="DN114" s="712">
        <f t="shared" si="430"/>
        <v>0</v>
      </c>
      <c r="DO114" s="712">
        <f t="shared" si="431"/>
        <v>2434.4151345247469</v>
      </c>
      <c r="DP114" s="712">
        <f t="shared" si="432"/>
        <v>7468.7856327219233</v>
      </c>
      <c r="DQ114" s="712"/>
      <c r="DR114" s="697">
        <f>IF(OR(B114&lt;FL114,B114&gt;FM114),(MIN(AV114+BO114+CJ114+MAX(Sheet1!AA114+AG114-73,0),K114)),0)</f>
        <v>0</v>
      </c>
      <c r="DS114" s="712"/>
      <c r="DT114" s="712">
        <f t="shared" si="433"/>
        <v>0</v>
      </c>
      <c r="DU114" s="712"/>
      <c r="DV114" s="712">
        <f>Sheet1!ED114+Sheet1!EE114+Sheet1!EF114+Sheet1!EG114</f>
        <v>8.5</v>
      </c>
      <c r="DW114" s="712"/>
      <c r="DX114" s="697">
        <f t="shared" si="376"/>
        <v>0</v>
      </c>
      <c r="DY114" s="712">
        <f>IF(Sheet1!FN114=1,SUM('Calculations II'!AT114:BA114)+'Calculations II'!BC114+Sheet1!BU114+'Calculations II'!BE114+AF114,SUM('Calculations II'!AT114:BA114)+'Calculations II'!BC114+Sheet1!BU114+'Calculations II'!BE114+AF114)</f>
        <v>43.927536000000003</v>
      </c>
      <c r="DZ114" s="712">
        <f>Sheet1!AA114+Sheet1!AB114+'Calculations II'!BC114</f>
        <v>45</v>
      </c>
      <c r="EA114" s="712"/>
      <c r="EB114" s="712"/>
      <c r="EC114" s="712">
        <f t="shared" si="434"/>
        <v>40643</v>
      </c>
      <c r="ED114" s="712">
        <f t="shared" si="435"/>
        <v>64.64</v>
      </c>
      <c r="EE114" s="712">
        <f t="shared" si="436"/>
        <v>99.998080000000002</v>
      </c>
      <c r="EF114" s="712">
        <f>-(VLOOKUP(Sheet1!BQ114,Lookup!$B$4:$J$236,2)-VLOOKUP(Sheet1!BQ113,Lookup!$B$4:$J$236,2))/1000000</f>
        <v>-0.2671</v>
      </c>
      <c r="EG114" s="712">
        <f>-(VLOOKUP(Sheet1!BR114,Lookup!$B$4:$J$236,3)-VLOOKUP(Sheet1!BR113,Lookup!$B$4:$J$236,3))/1000000</f>
        <v>0</v>
      </c>
      <c r="EH114" s="712">
        <f>-(VLOOKUP(Sheet1!BS114,Lookup!$B$4:$J$236,4)-VLOOKUP(Sheet1!BS113,Lookup!$B$4:$J$236,4))/1000000</f>
        <v>0</v>
      </c>
      <c r="EI114" s="697">
        <f t="shared" si="380"/>
        <v>-0.2671</v>
      </c>
      <c r="EJ114" s="712"/>
      <c r="EK114" s="712"/>
      <c r="EL114" s="712"/>
      <c r="EM114" s="712"/>
      <c r="EN114" s="712"/>
      <c r="EO114" s="712"/>
      <c r="EP114" s="712"/>
      <c r="EQ114" s="712"/>
      <c r="ER114" s="697">
        <v>0</v>
      </c>
      <c r="ES114" s="712"/>
      <c r="ET114" s="794" t="e">
        <f t="shared" si="437"/>
        <v>#N/A</v>
      </c>
      <c r="EU114" s="794" t="e">
        <f t="shared" si="363"/>
        <v>#VALUE!</v>
      </c>
      <c r="EV114" s="795" t="e">
        <f t="shared" si="364"/>
        <v>#VALUE!</v>
      </c>
      <c r="EW114" s="796" t="s">
        <v>757</v>
      </c>
      <c r="EX114" s="796" t="s">
        <v>757</v>
      </c>
      <c r="EY114" s="794">
        <v>0</v>
      </c>
      <c r="EZ114" s="794" t="e">
        <v>#N/A</v>
      </c>
      <c r="FA114" s="712"/>
      <c r="FB114" s="712"/>
      <c r="FC114" s="712"/>
      <c r="FD114" s="712"/>
      <c r="FE114" s="712">
        <f>O114+Sheet1!CO114</f>
        <v>45</v>
      </c>
      <c r="FF114" s="712">
        <f>IF(Sheet1!AA114+AG114&lt;=Calculation!N114,AG114,Calculation!N114-Sheet1!AA114)</f>
        <v>17</v>
      </c>
      <c r="FG114" s="712">
        <f>(Sheet1!BP114+Sheet1!BO114)/694.4</f>
        <v>1.9694700460829493</v>
      </c>
      <c r="FH114" s="712"/>
      <c r="FI114" s="712"/>
      <c r="FJ114" s="712"/>
      <c r="FK114" s="712"/>
      <c r="FL114" s="714">
        <f t="shared" si="381"/>
        <v>40753</v>
      </c>
      <c r="FM114" s="714">
        <f t="shared" si="382"/>
        <v>40851</v>
      </c>
      <c r="FN114" s="712"/>
      <c r="FO114" s="712"/>
      <c r="FP114" s="712"/>
      <c r="FQ114" s="712"/>
      <c r="FR114" s="712"/>
      <c r="FS114" s="725">
        <f t="shared" si="383"/>
        <v>40603</v>
      </c>
      <c r="FT114" s="714">
        <f t="shared" si="384"/>
        <v>40709</v>
      </c>
      <c r="FU114" s="712">
        <f t="shared" si="385"/>
        <v>6518.9048239895692</v>
      </c>
      <c r="FV114" s="714">
        <f t="shared" si="386"/>
        <v>40722</v>
      </c>
      <c r="FW114" s="712">
        <f t="shared" si="387"/>
        <v>3259.4524119947846</v>
      </c>
      <c r="FX114" s="725">
        <f t="shared" si="388"/>
        <v>40851</v>
      </c>
      <c r="FZ114" s="697">
        <f t="shared" si="365"/>
        <v>0</v>
      </c>
      <c r="GA114" s="712" t="str">
        <f t="shared" si="438"/>
        <v/>
      </c>
      <c r="GB114" s="712">
        <f t="shared" si="439"/>
        <v>0</v>
      </c>
      <c r="GC114" s="712" t="str">
        <f t="shared" si="440"/>
        <v/>
      </c>
      <c r="GD114" s="712">
        <f>IF(GA114="P",Lookup!$M$12,IF(GA114="PP",Lookup!$M$13,IF(GA114="PPP",Lookup!$M$14,IF(GA114="T",Lookup!$M$15,IF(GA114="TP",Lookup!$M$16,IF(GA114="TPP",Lookup!$M$17,IF(GA114="TPPP",Lookup!$M$18,0)))))))*FZ114</f>
        <v>0</v>
      </c>
      <c r="GE114" s="712">
        <f t="shared" si="441"/>
        <v>0</v>
      </c>
      <c r="GF114" s="712">
        <f t="shared" si="442"/>
        <v>3387.8901333333306</v>
      </c>
      <c r="GG114" s="712">
        <f t="shared" si="443"/>
        <v>1104.2666666666657</v>
      </c>
      <c r="GH114" s="712"/>
      <c r="GI114" s="712">
        <f t="shared" si="444"/>
        <v>0</v>
      </c>
      <c r="GJ114" s="712" t="str">
        <f t="shared" si="445"/>
        <v/>
      </c>
      <c r="GK114" s="712">
        <f>IF(GA114="P",Lookup!$N$12,IF(GA114="PP",Lookup!$N$13,IF(GA114="PPP",Lookup!$N$14,IF(GA114="T",Lookup!$N$15,IF(GA114="TP",Lookup!$N$16,IF(GA114="TPP",Lookup!$N$17,IF(GA114="TPPP",Lookup!$N$18,0)))))))*FZ114</f>
        <v>0</v>
      </c>
      <c r="GL114" s="712">
        <f t="shared" si="446"/>
        <v>0</v>
      </c>
      <c r="GM114" s="712">
        <f t="shared" si="447"/>
        <v>1581.0153955555543</v>
      </c>
      <c r="GN114" s="712">
        <f t="shared" si="448"/>
        <v>515.324444444444</v>
      </c>
      <c r="GO114" s="712"/>
      <c r="GP114" s="712">
        <f t="shared" si="449"/>
        <v>0</v>
      </c>
      <c r="GQ114" s="712" t="str">
        <f t="shared" si="450"/>
        <v/>
      </c>
      <c r="GR114" s="712">
        <f>IF(GA114="P",Lookup!$N$12,IF(GA114="PP",Lookup!$N$13,IF(GA114="PPP",Lookup!$N$14,IF(GA114="T",Lookup!$N$15,IF(GA114="TP",Lookup!$N$16,IF(GA114="TPP",Lookup!$N$17,IF(GA114="TPPP",Lookup!$N$18,0)))))))*FZ114</f>
        <v>0</v>
      </c>
      <c r="GS114" s="697">
        <f t="shared" si="377"/>
        <v>0</v>
      </c>
      <c r="GT114" s="712">
        <f t="shared" si="451"/>
        <v>1388.4364955867927</v>
      </c>
      <c r="GU114" s="712">
        <f t="shared" si="452"/>
        <v>452.55426844419577</v>
      </c>
      <c r="GV114" s="712"/>
      <c r="GW114" s="712">
        <f t="shared" si="453"/>
        <v>0</v>
      </c>
      <c r="GX114" s="712" t="str">
        <f t="shared" si="454"/>
        <v/>
      </c>
      <c r="GY114" s="712">
        <f>IF(GA114="P",Lookup!$N$12,IF(GA114="PP",Lookup!$N$13,IF(GA114="PPP",Lookup!$N$14,IF(GA114="T",Lookup!$N$15,IF(GA114="TP",Lookup!$N$16,IF(GA114="TPP",Lookup!$N$17,IF(GA114="TPPP",Lookup!$N$18,0)))))))*FZ114</f>
        <v>0</v>
      </c>
      <c r="GZ114" s="697">
        <f t="shared" si="378"/>
        <v>0</v>
      </c>
      <c r="HA114" s="712">
        <f t="shared" si="455"/>
        <v>1111.4436082462453</v>
      </c>
      <c r="HB114" s="712">
        <f t="shared" si="456"/>
        <v>362.26975496944112</v>
      </c>
      <c r="HC114" s="712"/>
    </row>
    <row r="115" spans="1:211">
      <c r="A115" s="773" t="s">
        <v>4</v>
      </c>
      <c r="B115" s="708">
        <v>40644</v>
      </c>
      <c r="C115" s="719">
        <v>0.5</v>
      </c>
      <c r="D115" s="675">
        <f t="shared" si="366"/>
        <v>300</v>
      </c>
      <c r="E115" s="675">
        <f t="shared" si="367"/>
        <v>250</v>
      </c>
      <c r="F115" s="710">
        <v>250</v>
      </c>
      <c r="G115" s="712">
        <f>DH115+Sheet1!CV115</f>
        <v>1535.4924357044474</v>
      </c>
      <c r="H115" s="712">
        <f t="shared" si="389"/>
        <v>725.57911043935474</v>
      </c>
      <c r="I115" s="711">
        <f>MAX(Sheet1!Z115-AJ115+(Sheet1!CW115-E115)*CFStoMGD,0)</f>
        <v>1441.9886666666648</v>
      </c>
      <c r="J115" s="720">
        <f>IF(AND(B115&gt;=Calculation!FS115,B115&lt;=Calculation!FT115),IF(Sheet1!CX115&gt;=Calculation!D115,64.64,0),MAX(Sheet1!Z115-AJ115+(Sheet1!CX115-D115)*CFStoMGD,0))</f>
        <v>64.64</v>
      </c>
      <c r="K115" s="697">
        <f t="shared" si="368"/>
        <v>64.64</v>
      </c>
      <c r="L115" s="712">
        <f>Sheet1!AA115+Sheet1!AB115-Sheet1!L115+(Sheet1!CW115-F115)*CFStoMGD</f>
        <v>1448.8486666666629</v>
      </c>
      <c r="M115" s="712">
        <f t="shared" si="390"/>
        <v>1012.3931566481419</v>
      </c>
      <c r="N115" s="712">
        <f>IF(Sheet1!CW115&gt;=F115,MIN(73,MIN(MAX(L115,0),MAX(M115,0))),0)</f>
        <v>73</v>
      </c>
      <c r="O115" s="721">
        <f>Sheet1!AA115+Sheet1!AB115</f>
        <v>46.409999999996217</v>
      </c>
      <c r="P115" s="721">
        <f t="shared" si="391"/>
        <v>71.796269999994138</v>
      </c>
      <c r="Q115" s="712">
        <f>MIN(N115,Sheet1!AA115+AG115)</f>
        <v>46.409999999996217</v>
      </c>
      <c r="R115" s="712">
        <f t="shared" si="392"/>
        <v>0</v>
      </c>
      <c r="S115" s="721">
        <f>Sheet1!Y115*MGDtoCFS</f>
        <v>45.048639999999999</v>
      </c>
      <c r="T115" s="721">
        <f>Sheet1!Z115*MGDtoCFS</f>
        <v>25.030459999999998</v>
      </c>
      <c r="U115" s="721">
        <f>Sheet1!AA115*MGDtoCFS</f>
        <v>45.48179999999099</v>
      </c>
      <c r="V115" s="721">
        <f>Sheet1!AB115*MGDtoCFS</f>
        <v>26.314470000003151</v>
      </c>
      <c r="W115" s="721">
        <f>Sheet1!L115*MGDtoCFS</f>
        <v>62.467860000000002</v>
      </c>
      <c r="X115" s="697">
        <f t="shared" si="369"/>
        <v>0</v>
      </c>
      <c r="Y115" s="712">
        <f t="shared" si="393"/>
        <v>0</v>
      </c>
      <c r="Z115" s="712">
        <f t="shared" si="394"/>
        <v>64.64</v>
      </c>
      <c r="AA115" s="712">
        <f t="shared" si="395"/>
        <v>99.998080000000002</v>
      </c>
      <c r="AB115" s="712">
        <f>(VLOOKUP(Sheet1!CY115,hhdcap_wcm,4)-(((VLOOKUP(Sheet1!CY115,hhdcap_wcm,3)-Sheet1!CY115)/(VLOOKUP(Sheet1!CY115,hhdcap_wcm,3)-VLOOKUP(Sheet1!CY115,hhdcap_wcm,1)))*(VLOOKUP(Sheet1!CY115,hhdcap_wcm,4)-VLOOKUP(Sheet1!CY115,hhdcap_wcm,2))))</f>
        <v>26458.270000065273</v>
      </c>
      <c r="AC115" s="712">
        <f t="shared" si="396"/>
        <v>386.67000000191911</v>
      </c>
      <c r="AD115" s="712">
        <f t="shared" si="370"/>
        <v>2499.0551345247468</v>
      </c>
      <c r="AE115" s="712">
        <f t="shared" si="397"/>
        <v>7667.1011527219234</v>
      </c>
      <c r="AF115" s="712">
        <f>Sheet1!BA115+Sheet1!BB115+Sheet1!BN115+BT115</f>
        <v>16.7</v>
      </c>
      <c r="AG115" s="712">
        <f t="shared" si="398"/>
        <v>17.010000000002037</v>
      </c>
      <c r="AH115" s="712">
        <f>Sheet1!BA115+BT115</f>
        <v>0</v>
      </c>
      <c r="AI115" s="712">
        <f>Sheet1!BA115+Sheet1!BB115+BT115</f>
        <v>0</v>
      </c>
      <c r="AJ115" s="712">
        <f>IF((Sheet1!AA115+AG115+AX115+AZ115+BQ115+BS115+CL115+CN115)&lt;=N115,AG115+AX115+AZ115+BQ115+BS115+CL115+CN115,N115-Sheet1!AA115)</f>
        <v>17.010000000002037</v>
      </c>
      <c r="AK115" s="712">
        <f>IF(DR115&lt;K115,0,MAX(Sheet1!AA115+AG115-15/36*K115-N115,Sheet1!ED115,0))</f>
        <v>0</v>
      </c>
      <c r="AL115" s="712">
        <f>IF(OR(B115&gt;=FT115,B115&lt;FS115),0,15/36*K115-MAX(0,64.6-(137.6-(Sheet1!AA115+Sheet1!AB115))))</f>
        <v>26.933333333333334</v>
      </c>
      <c r="AM115" s="712">
        <f>Sheet1!CX115-110</f>
        <v>1313.6458333333333</v>
      </c>
      <c r="AN115" s="712">
        <f>Sheet1!CW115-265</f>
        <v>2217.0833333333335</v>
      </c>
      <c r="AO115" s="712">
        <f t="shared" si="371"/>
        <v>26.590000000003783</v>
      </c>
      <c r="AP115" s="712">
        <f t="shared" si="372"/>
        <v>0</v>
      </c>
      <c r="AQ115" s="712">
        <f t="shared" si="399"/>
        <v>0</v>
      </c>
      <c r="AR115" s="712">
        <f t="shared" si="400"/>
        <v>1131.1999999999991</v>
      </c>
      <c r="AS115" s="712"/>
      <c r="AT115" s="712">
        <f ca="1">IF(B115&gt;Summary!$A$1,#N/A,AR115*MGtoAF)</f>
        <v>3470.5215999999973</v>
      </c>
      <c r="AU115" s="712">
        <f>Sheet1!BG115+Sheet1!BH115+Sheet1!BI115-BC115</f>
        <v>0</v>
      </c>
      <c r="AV115" s="712">
        <f t="shared" si="401"/>
        <v>0</v>
      </c>
      <c r="AW115" s="712">
        <f>IF(Sheet1!EL115="FM",BC115,0)</f>
        <v>0</v>
      </c>
      <c r="AX115" s="712">
        <f t="shared" si="402"/>
        <v>0</v>
      </c>
      <c r="AY115" s="712">
        <f>IF(Sheet1!EL115="OTHER",BC115,0)</f>
        <v>0</v>
      </c>
      <c r="AZ115" s="712">
        <f t="shared" si="403"/>
        <v>0</v>
      </c>
      <c r="BA115" s="712">
        <f t="shared" si="404"/>
        <v>0</v>
      </c>
      <c r="BB115" s="712">
        <f t="shared" si="405"/>
        <v>0</v>
      </c>
      <c r="BC115" s="712">
        <f>IF(OR(Sheet1!EL115="FM", Sheet1!EL115="OTHER"),SUM(Sheet1!BG115:'Sheet1'!BI115),0)</f>
        <v>0</v>
      </c>
      <c r="BD115" s="697">
        <f>IF(AND($B115&gt;=$FL115,$B115&lt;=$FM115),MAX(AV115,Sheet1!EE115,0),MAX(AV115-(7/36)*$K115,0))</f>
        <v>0</v>
      </c>
      <c r="BE115" s="712">
        <f t="shared" si="406"/>
        <v>12.568888888888889</v>
      </c>
      <c r="BF115" s="697">
        <f t="shared" si="373"/>
        <v>0</v>
      </c>
      <c r="BG115" s="697">
        <f>IF(AND($O115&gt;0,Sheet1!EI115=1),(1-($O115-Sheet1!$L115)/$O115)*BB115,0)</f>
        <v>0</v>
      </c>
      <c r="BH115" s="697">
        <f>IF(AND(Sheet1!$L115=0,Sheet1!$L114=0, Calculation!BA115&lt;Sheet1!$EE115-0.1,Sheet1!$EE115=Sheet1!$EE114,Sheet1!$EE115=Sheet1!$EE116),Sheet1!$EE115,BB115-BG115)</f>
        <v>0</v>
      </c>
      <c r="BI115" s="712"/>
      <c r="BJ115" s="712"/>
      <c r="BK115" s="712">
        <f t="shared" si="407"/>
        <v>527.89333333333286</v>
      </c>
      <c r="BL115" s="712"/>
      <c r="BM115" s="712">
        <f ca="1">IF(B115&gt;Summary!$A$1,#N/A,BK115*MGtoAF)</f>
        <v>1619.5767466666653</v>
      </c>
      <c r="BN115" s="712">
        <f>Sheet1!BC115+Sheet1!BD115+Sheet1!BE115+Sheet1!BF115-BW115-BX115</f>
        <v>0</v>
      </c>
      <c r="BO115" s="712">
        <f t="shared" si="408"/>
        <v>0</v>
      </c>
      <c r="BP115" s="712">
        <f>IF(Sheet1!EM115="FM",BX115,0)</f>
        <v>0</v>
      </c>
      <c r="BQ115" s="712">
        <f t="shared" si="409"/>
        <v>0</v>
      </c>
      <c r="BR115" s="712">
        <f>IF(Sheet1!EM115="OTHER",BX115,0)</f>
        <v>0</v>
      </c>
      <c r="BS115" s="712">
        <f t="shared" si="410"/>
        <v>0</v>
      </c>
      <c r="BT115" s="712">
        <f t="shared" si="411"/>
        <v>0</v>
      </c>
      <c r="BU115" s="712">
        <f t="shared" si="412"/>
        <v>0</v>
      </c>
      <c r="BV115" s="712">
        <f t="shared" si="413"/>
        <v>0</v>
      </c>
      <c r="BW115" s="712">
        <f>IF(Sheet1!EM115="CWA",SUM(Sheet1!BC115:'Sheet1'!BF115),0)</f>
        <v>0</v>
      </c>
      <c r="BX115" s="712">
        <f>IF(OR(Sheet1!EM115="FM", Sheet1!EM115="OTHER"),SUM(Sheet1!BC115:'Sheet1'!BF115),0)</f>
        <v>0</v>
      </c>
      <c r="BY115" s="697">
        <f>IF(AND($B115&gt;=$FL115,$B115&lt;=$FM115),MAX(BV115,Sheet1!EF115,0),MAX(BV115-(7/36)*$K115,0))</f>
        <v>0</v>
      </c>
      <c r="BZ115" s="712">
        <f t="shared" si="414"/>
        <v>12.568888888888889</v>
      </c>
      <c r="CA115" s="697">
        <f t="shared" si="374"/>
        <v>0</v>
      </c>
      <c r="CB115" s="697">
        <f>IF(AND($O115&gt;0,Sheet1!EJ115=1),(1-($O115-Sheet1!$L115)/$O115)*BV115,0)</f>
        <v>0</v>
      </c>
      <c r="CC115" s="697">
        <f>IF(AND(Sheet1!$L115=0,Sheet1!$L114=0, Calculation!BU115&lt;Sheet1!EF115-0.1,Sheet1!EF115=Sheet1!EF114,Sheet1!EF115=Sheet1!EF116),Sheet1!EF115,BV115-CB115)</f>
        <v>0</v>
      </c>
      <c r="CD115" s="697"/>
      <c r="CE115" s="712"/>
      <c r="CF115" s="712">
        <f t="shared" si="415"/>
        <v>465.12315733308463</v>
      </c>
      <c r="CG115" s="712"/>
      <c r="CH115" s="712">
        <f ca="1">IF(B115&gt;Summary!$A$1,#N/A,CF115*MGtoAF)</f>
        <v>1426.9978466979037</v>
      </c>
      <c r="CI115" s="712">
        <f>Sheet1!BK115+Sheet1!BL115+Sheet1!BM115-Sheet1!EN115-CQ115</f>
        <v>0</v>
      </c>
      <c r="CJ115" s="712">
        <f t="shared" si="416"/>
        <v>0</v>
      </c>
      <c r="CK115" s="712">
        <f>IF(Sheet1!EN115="FM",CQ115,0)</f>
        <v>0</v>
      </c>
      <c r="CL115" s="712">
        <f t="shared" si="417"/>
        <v>0</v>
      </c>
      <c r="CM115" s="712">
        <f>IF(Sheet1!EN115="OTHER",CQ115,0)</f>
        <v>0</v>
      </c>
      <c r="CN115" s="712">
        <f t="shared" si="418"/>
        <v>0</v>
      </c>
      <c r="CO115" s="712">
        <f t="shared" si="419"/>
        <v>0</v>
      </c>
      <c r="CP115" s="712">
        <f t="shared" si="420"/>
        <v>0</v>
      </c>
      <c r="CQ115" s="712">
        <f>IF(OR(Sheet1!EN115="FM", Sheet1!EN115="OTHER"),SUM(Sheet1!BK115:'Sheet1'!BM115),0)</f>
        <v>0</v>
      </c>
      <c r="CR115" s="697">
        <f>IF(AND($B115&gt;=$FL115,$B115&lt;=$FM115),MAX($CJ115,Sheet1!EG115,0),MAX($CJ115-(7/36)*$K115,0))</f>
        <v>0</v>
      </c>
      <c r="CS115" s="712">
        <f t="shared" si="421"/>
        <v>12.568888888888889</v>
      </c>
      <c r="CT115" s="697">
        <f t="shared" si="375"/>
        <v>0</v>
      </c>
      <c r="CU115" s="697">
        <f>IF(AND($O115&gt;0,Sheet1!EK115=1),(1-($O115-Sheet1!$L115)/$O115)*CP115,0)</f>
        <v>0</v>
      </c>
      <c r="CV115" s="697">
        <f>IF(AND(Sheet1!$L115=0,Sheet1!$L114=0, Calculation!CO115&lt;Sheet1!$EG115-0.1,Sheet1!$EG115=Sheet1!$EG114,Sheet1!$EG115=Sheet1!$EG116),Sheet1!$EG115,CP115-CU115)</f>
        <v>0</v>
      </c>
      <c r="CW115" s="697">
        <f t="shared" si="362"/>
        <v>0</v>
      </c>
      <c r="CX115" s="712">
        <f t="shared" si="379"/>
        <v>0</v>
      </c>
      <c r="CY115" s="712">
        <f t="shared" si="422"/>
        <v>374.83864385832999</v>
      </c>
      <c r="CZ115" s="712">
        <f t="shared" si="423"/>
        <v>0</v>
      </c>
      <c r="DA115" s="712">
        <f ca="1">IF(B115&gt;Summary!$A$1,#N/A,CY115*MGtoAF)</f>
        <v>1150.0049593573565</v>
      </c>
      <c r="DB115" s="712">
        <f t="shared" si="424"/>
        <v>0</v>
      </c>
      <c r="DC115" s="712">
        <f t="shared" si="425"/>
        <v>16.7</v>
      </c>
      <c r="DD115" s="712">
        <f>Sheet1!AB115-DC115</f>
        <v>0.31000000000203798</v>
      </c>
      <c r="DE115" s="712">
        <f t="shared" si="426"/>
        <v>1.8562874251619042E-2</v>
      </c>
      <c r="DF115" s="712">
        <f>(VLOOKUP(Sheet1!CY115,hhdcap_wcm,4)-(((VLOOKUP(Sheet1!CY115,hhdcap_wcm,3)-Sheet1!CY115)/(VLOOKUP(Sheet1!CY115,hhdcap_wcm,3)-VLOOKUP(Sheet1!CY115,hhdcap_wcm,1)))*(VLOOKUP(Sheet1!CY115,hhdcap_wcm,4)-VLOOKUP(Sheet1!CY115,hhdcap_wcm,2))))</f>
        <v>26458.270000065273</v>
      </c>
      <c r="DG115" s="712">
        <f t="shared" si="427"/>
        <v>386.67000000191911</v>
      </c>
      <c r="DH115" s="712">
        <f t="shared" si="428"/>
        <v>194.99243570444733</v>
      </c>
      <c r="DI115" s="712">
        <f>Sheet1!DW115*AFtoMG</f>
        <v>0</v>
      </c>
      <c r="DJ115" s="712">
        <f>Sheet1!DX115*AFtoMG</f>
        <v>0</v>
      </c>
      <c r="DK115" s="712">
        <f>Sheet1!DY115*AFtoMG</f>
        <v>0</v>
      </c>
      <c r="DL115" s="712">
        <f>Sheet1!DZ115*AFtoMG</f>
        <v>0</v>
      </c>
      <c r="DM115" s="712">
        <f t="shared" si="429"/>
        <v>0</v>
      </c>
      <c r="DN115" s="712">
        <f t="shared" si="430"/>
        <v>0</v>
      </c>
      <c r="DO115" s="712">
        <f t="shared" si="431"/>
        <v>2499.0551345247468</v>
      </c>
      <c r="DP115" s="712">
        <f t="shared" si="432"/>
        <v>7667.1011527219234</v>
      </c>
      <c r="DQ115" s="712"/>
      <c r="DR115" s="697">
        <f>IF(OR(B115&lt;FL115,B115&gt;FM115),(MIN(AV115+BO115+CJ115+MAX(Sheet1!AA115+AG115-73,0),K115)),0)</f>
        <v>0</v>
      </c>
      <c r="DS115" s="712"/>
      <c r="DT115" s="712">
        <f t="shared" si="433"/>
        <v>0</v>
      </c>
      <c r="DU115" s="712"/>
      <c r="DV115" s="712">
        <f>Sheet1!ED115+Sheet1!EE115+Sheet1!EF115+Sheet1!EG115</f>
        <v>8.5</v>
      </c>
      <c r="DW115" s="712"/>
      <c r="DX115" s="697">
        <f t="shared" si="376"/>
        <v>0</v>
      </c>
      <c r="DY115" s="712">
        <f>IF(Sheet1!FN115=1,SUM('Calculations II'!AT115:BA115)+'Calculations II'!BC115+Sheet1!BU115+'Calculations II'!BE115+AF115,SUM('Calculations II'!AT115:BA115)+'Calculations II'!BC115+Sheet1!BU115+'Calculations II'!BE115+AF115)</f>
        <v>45.486912000000004</v>
      </c>
      <c r="DZ115" s="712">
        <f>Sheet1!AA115+Sheet1!AB115+'Calculations II'!BC115</f>
        <v>46.409999999996217</v>
      </c>
      <c r="EA115" s="712"/>
      <c r="EB115" s="712"/>
      <c r="EC115" s="712">
        <f t="shared" si="434"/>
        <v>40644</v>
      </c>
      <c r="ED115" s="712">
        <f t="shared" si="435"/>
        <v>64.64</v>
      </c>
      <c r="EE115" s="712">
        <f t="shared" si="436"/>
        <v>99.998080000000002</v>
      </c>
      <c r="EF115" s="712">
        <f>-(VLOOKUP(Sheet1!BQ115,Lookup!$B$4:$J$236,2)-VLOOKUP(Sheet1!BQ114,Lookup!$B$4:$J$236,2))/1000000</f>
        <v>0.2671</v>
      </c>
      <c r="EG115" s="712">
        <f>-(VLOOKUP(Sheet1!BR115,Lookup!$B$4:$J$236,3)-VLOOKUP(Sheet1!BR114,Lookup!$B$4:$J$236,3))/1000000</f>
        <v>0.26669999999999999</v>
      </c>
      <c r="EH115" s="712">
        <f>-(VLOOKUP(Sheet1!BS115,Lookup!$B$4:$J$236,4)-VLOOKUP(Sheet1!BS114,Lookup!$B$4:$J$236,4))/1000000</f>
        <v>0</v>
      </c>
      <c r="EI115" s="697">
        <f t="shared" si="380"/>
        <v>0.53380000000000005</v>
      </c>
      <c r="EJ115" s="712"/>
      <c r="EK115" s="712"/>
      <c r="EL115" s="712"/>
      <c r="EM115" s="712"/>
      <c r="EN115" s="712"/>
      <c r="EO115" s="712"/>
      <c r="EP115" s="712"/>
      <c r="EQ115" s="712"/>
      <c r="ER115" s="697">
        <v>0</v>
      </c>
      <c r="ES115" s="712"/>
      <c r="ET115" s="794" t="e">
        <f t="shared" si="437"/>
        <v>#N/A</v>
      </c>
      <c r="EU115" s="794" t="e">
        <f t="shared" si="363"/>
        <v>#VALUE!</v>
      </c>
      <c r="EV115" s="795" t="e">
        <f t="shared" si="364"/>
        <v>#VALUE!</v>
      </c>
      <c r="EW115" s="796" t="s">
        <v>757</v>
      </c>
      <c r="EX115" s="796" t="s">
        <v>757</v>
      </c>
      <c r="EY115" s="794">
        <v>0</v>
      </c>
      <c r="EZ115" s="794" t="e">
        <v>#N/A</v>
      </c>
      <c r="FA115" s="712"/>
      <c r="FB115" s="712"/>
      <c r="FC115" s="712"/>
      <c r="FD115" s="712"/>
      <c r="FE115" s="712">
        <f>O115+Sheet1!CO115</f>
        <v>46.409999999996217</v>
      </c>
      <c r="FF115" s="712">
        <f>IF(Sheet1!AA115+AG115&lt;=Calculation!N115,AG115,Calculation!N115-Sheet1!AA115)</f>
        <v>17.010000000002037</v>
      </c>
      <c r="FG115" s="712">
        <f>(Sheet1!BP115+Sheet1!BO115)/694.4</f>
        <v>1.6000864055299537</v>
      </c>
      <c r="FH115" s="712"/>
      <c r="FI115" s="712"/>
      <c r="FJ115" s="712"/>
      <c r="FK115" s="712"/>
      <c r="FL115" s="714">
        <f t="shared" si="381"/>
        <v>40753</v>
      </c>
      <c r="FM115" s="714">
        <f t="shared" si="382"/>
        <v>40851</v>
      </c>
      <c r="FN115" s="712"/>
      <c r="FO115" s="712"/>
      <c r="FP115" s="712"/>
      <c r="FQ115" s="712"/>
      <c r="FR115" s="712"/>
      <c r="FS115" s="725">
        <f t="shared" si="383"/>
        <v>40603</v>
      </c>
      <c r="FT115" s="714">
        <f t="shared" si="384"/>
        <v>40709</v>
      </c>
      <c r="FU115" s="712">
        <f t="shared" si="385"/>
        <v>6518.9048239895692</v>
      </c>
      <c r="FV115" s="714">
        <f t="shared" si="386"/>
        <v>40722</v>
      </c>
      <c r="FW115" s="712">
        <f t="shared" si="387"/>
        <v>3259.4524119947846</v>
      </c>
      <c r="FX115" s="725">
        <f t="shared" si="388"/>
        <v>40851</v>
      </c>
      <c r="FZ115" s="697">
        <f t="shared" si="365"/>
        <v>0</v>
      </c>
      <c r="GA115" s="712" t="str">
        <f t="shared" si="438"/>
        <v/>
      </c>
      <c r="GB115" s="712">
        <f t="shared" si="439"/>
        <v>0</v>
      </c>
      <c r="GC115" s="712" t="str">
        <f t="shared" si="440"/>
        <v/>
      </c>
      <c r="GD115" s="712">
        <f>IF(GA115="P",Lookup!$M$12,IF(GA115="PP",Lookup!$M$13,IF(GA115="PPP",Lookup!$M$14,IF(GA115="T",Lookup!$M$15,IF(GA115="TP",Lookup!$M$16,IF(GA115="TPP",Lookup!$M$17,IF(GA115="TPPP",Lookup!$M$18,0)))))))*FZ115</f>
        <v>0</v>
      </c>
      <c r="GE115" s="712">
        <f t="shared" si="441"/>
        <v>0</v>
      </c>
      <c r="GF115" s="712">
        <f t="shared" si="442"/>
        <v>3470.5215999999973</v>
      </c>
      <c r="GG115" s="712">
        <f t="shared" si="443"/>
        <v>1131.1999999999991</v>
      </c>
      <c r="GH115" s="712"/>
      <c r="GI115" s="712">
        <f t="shared" si="444"/>
        <v>0</v>
      </c>
      <c r="GJ115" s="712" t="str">
        <f t="shared" si="445"/>
        <v/>
      </c>
      <c r="GK115" s="712">
        <f>IF(GA115="P",Lookup!$N$12,IF(GA115="PP",Lookup!$N$13,IF(GA115="PPP",Lookup!$N$14,IF(GA115="T",Lookup!$N$15,IF(GA115="TP",Lookup!$N$16,IF(GA115="TPP",Lookup!$N$17,IF(GA115="TPPP",Lookup!$N$18,0)))))))*FZ115</f>
        <v>0</v>
      </c>
      <c r="GL115" s="712">
        <f t="shared" si="446"/>
        <v>0</v>
      </c>
      <c r="GM115" s="712">
        <f t="shared" si="447"/>
        <v>1619.5767466666653</v>
      </c>
      <c r="GN115" s="712">
        <f t="shared" si="448"/>
        <v>527.89333333333286</v>
      </c>
      <c r="GO115" s="712"/>
      <c r="GP115" s="712">
        <f t="shared" si="449"/>
        <v>0</v>
      </c>
      <c r="GQ115" s="712" t="str">
        <f t="shared" si="450"/>
        <v/>
      </c>
      <c r="GR115" s="712">
        <f>IF(GA115="P",Lookup!$N$12,IF(GA115="PP",Lookup!$N$13,IF(GA115="PPP",Lookup!$N$14,IF(GA115="T",Lookup!$N$15,IF(GA115="TP",Lookup!$N$16,IF(GA115="TPP",Lookup!$N$17,IF(GA115="TPPP",Lookup!$N$18,0)))))))*FZ115</f>
        <v>0</v>
      </c>
      <c r="GS115" s="697">
        <f t="shared" si="377"/>
        <v>0</v>
      </c>
      <c r="GT115" s="712">
        <f t="shared" si="451"/>
        <v>1426.9978466979037</v>
      </c>
      <c r="GU115" s="712">
        <f t="shared" si="452"/>
        <v>465.12315733308463</v>
      </c>
      <c r="GV115" s="712"/>
      <c r="GW115" s="712">
        <f t="shared" si="453"/>
        <v>0</v>
      </c>
      <c r="GX115" s="712" t="str">
        <f t="shared" si="454"/>
        <v/>
      </c>
      <c r="GY115" s="712">
        <f>IF(GA115="P",Lookup!$N$12,IF(GA115="PP",Lookup!$N$13,IF(GA115="PPP",Lookup!$N$14,IF(GA115="T",Lookup!$N$15,IF(GA115="TP",Lookup!$N$16,IF(GA115="TPP",Lookup!$N$17,IF(GA115="TPPP",Lookup!$N$18,0)))))))*FZ115</f>
        <v>0</v>
      </c>
      <c r="GZ115" s="697">
        <f t="shared" si="378"/>
        <v>0</v>
      </c>
      <c r="HA115" s="712">
        <f t="shared" si="455"/>
        <v>1150.0049593573565</v>
      </c>
      <c r="HB115" s="712">
        <f t="shared" si="456"/>
        <v>374.83864385832999</v>
      </c>
      <c r="HC115" s="712"/>
    </row>
    <row r="116" spans="1:211">
      <c r="A116" s="773" t="s">
        <v>5</v>
      </c>
      <c r="B116" s="708">
        <v>40645</v>
      </c>
      <c r="C116" s="719">
        <v>0.5</v>
      </c>
      <c r="D116" s="675">
        <f t="shared" si="366"/>
        <v>300</v>
      </c>
      <c r="E116" s="675">
        <f t="shared" si="367"/>
        <v>250</v>
      </c>
      <c r="F116" s="675">
        <v>250</v>
      </c>
      <c r="G116" s="712">
        <f>DH116+Sheet1!CV116</f>
        <v>1481.9576399395762</v>
      </c>
      <c r="H116" s="712">
        <f t="shared" si="389"/>
        <v>690.97421845694203</v>
      </c>
      <c r="I116" s="711">
        <f>MAX(Sheet1!Z116-AJ116+(Sheet1!CW116-E116)*CFStoMGD,0)</f>
        <v>1393.0093333333336</v>
      </c>
      <c r="J116" s="720">
        <f>IF(AND(B116&gt;=Calculation!FS116,B116&lt;=Calculation!FT116),IF(Sheet1!CX116&gt;=Calculation!D116,64.64,0),MAX(Sheet1!Z116-AJ116+(Sheet1!CX116-D116)*CFStoMGD,0))</f>
        <v>64.64</v>
      </c>
      <c r="K116" s="697">
        <f t="shared" si="368"/>
        <v>64.64</v>
      </c>
      <c r="L116" s="712">
        <f>Sheet1!AA116+Sheet1!AB116-Sheet1!L116+(Sheet1!CW116-F116)*CFStoMGD</f>
        <v>1400.8993333333356</v>
      </c>
      <c r="M116" s="712">
        <f t="shared" si="390"/>
        <v>977.09616682608089</v>
      </c>
      <c r="N116" s="712">
        <f>IF(Sheet1!CW116&gt;=F116,MIN(73,MIN(MAX(L116,0),MAX(M116,0))),0)</f>
        <v>73</v>
      </c>
      <c r="O116" s="721">
        <f>Sheet1!AA116+Sheet1!AB116</f>
        <v>46.440000000002328</v>
      </c>
      <c r="P116" s="721">
        <f t="shared" si="391"/>
        <v>71.842680000003597</v>
      </c>
      <c r="Q116" s="712">
        <f>MIN(N116,Sheet1!AA116+AG116)</f>
        <v>46.440000000002328</v>
      </c>
      <c r="R116" s="712">
        <f t="shared" si="392"/>
        <v>0</v>
      </c>
      <c r="S116" s="721">
        <f>Sheet1!Y116*MGDtoCFS</f>
        <v>43.996679999999998</v>
      </c>
      <c r="T116" s="721">
        <f>Sheet1!Z116*MGDtoCFS</f>
        <v>27.985229999999998</v>
      </c>
      <c r="U116" s="721">
        <f>Sheet1!AA116*MGDtoCFS</f>
        <v>43.780100000004502</v>
      </c>
      <c r="V116" s="721">
        <f>Sheet1!AB116*MGDtoCFS</f>
        <v>28.062579999999098</v>
      </c>
      <c r="W116" s="721">
        <f>Sheet1!L116*MGDtoCFS</f>
        <v>59.714199999999998</v>
      </c>
      <c r="X116" s="697">
        <f t="shared" si="369"/>
        <v>0</v>
      </c>
      <c r="Y116" s="712">
        <f t="shared" si="393"/>
        <v>0</v>
      </c>
      <c r="Z116" s="712">
        <f t="shared" si="394"/>
        <v>64.64</v>
      </c>
      <c r="AA116" s="712">
        <f t="shared" si="395"/>
        <v>99.998080000000002</v>
      </c>
      <c r="AB116" s="712">
        <f>(VLOOKUP(Sheet1!CY116,hhdcap_wcm,4)-(((VLOOKUP(Sheet1!CY116,hhdcap_wcm,3)-Sheet1!CY116)/(VLOOKUP(Sheet1!CY116,hhdcap_wcm,3)-VLOOKUP(Sheet1!CY116,hhdcap_wcm,1)))*(VLOOKUP(Sheet1!CY116,hhdcap_wcm,4)-VLOOKUP(Sheet1!CY116,hhdcap_wcm,2))))</f>
        <v>26791.330000065453</v>
      </c>
      <c r="AC116" s="712">
        <f t="shared" si="396"/>
        <v>333.06000000017957</v>
      </c>
      <c r="AD116" s="712">
        <f t="shared" si="370"/>
        <v>2563.6951345247467</v>
      </c>
      <c r="AE116" s="712">
        <f t="shared" si="397"/>
        <v>7865.4166727219226</v>
      </c>
      <c r="AF116" s="712">
        <f>Sheet1!BA116+Sheet1!BB116+Sheet1!BN116+BT116</f>
        <v>17.899999999999999</v>
      </c>
      <c r="AG116" s="712">
        <f t="shared" si="398"/>
        <v>18.139999999999418</v>
      </c>
      <c r="AH116" s="712">
        <f>Sheet1!BA116+BT116</f>
        <v>0</v>
      </c>
      <c r="AI116" s="712">
        <f>Sheet1!BA116+Sheet1!BB116+BT116</f>
        <v>0</v>
      </c>
      <c r="AJ116" s="712">
        <f>IF((Sheet1!AA116+AG116+AX116+AZ116+BQ116+BS116+CL116+CN116)&lt;=N116,AG116+AX116+AZ116+BQ116+BS116+CL116+CN116,N116-Sheet1!AA116)</f>
        <v>18.139999999999418</v>
      </c>
      <c r="AK116" s="712">
        <f>IF(DR116&lt;K116,0,MAX(Sheet1!AA116+AG116-15/36*K116-N116,Sheet1!ED116,0))</f>
        <v>0</v>
      </c>
      <c r="AL116" s="712">
        <f>IF(OR(B116&gt;=FT116,B116&lt;FS116),0,15/36*K116-MAX(0,64.6-(137.6-(Sheet1!AA116+Sheet1!AB116))))</f>
        <v>26.933333333333334</v>
      </c>
      <c r="AM116" s="712">
        <f>Sheet1!CX116-110</f>
        <v>1252.9166666666667</v>
      </c>
      <c r="AN116" s="712">
        <f>Sheet1!CW116-265</f>
        <v>2140.1041666666665</v>
      </c>
      <c r="AO116" s="712">
        <f t="shared" si="371"/>
        <v>26.559999999997672</v>
      </c>
      <c r="AP116" s="712">
        <f t="shared" si="372"/>
        <v>0</v>
      </c>
      <c r="AQ116" s="712">
        <f t="shared" si="399"/>
        <v>0</v>
      </c>
      <c r="AR116" s="712">
        <f t="shared" si="400"/>
        <v>1158.1333333333325</v>
      </c>
      <c r="AS116" s="712"/>
      <c r="AT116" s="712">
        <f ca="1">IF(B116&gt;Summary!$A$1,#N/A,AR116*MGtoAF)</f>
        <v>3553.1530666666645</v>
      </c>
      <c r="AU116" s="712">
        <f>Sheet1!BG116+Sheet1!BH116+Sheet1!BI116-BC116</f>
        <v>0</v>
      </c>
      <c r="AV116" s="712">
        <f t="shared" si="401"/>
        <v>0</v>
      </c>
      <c r="AW116" s="712">
        <f>IF(Sheet1!EL116="FM",BC116,0)</f>
        <v>0</v>
      </c>
      <c r="AX116" s="712">
        <f t="shared" si="402"/>
        <v>0</v>
      </c>
      <c r="AY116" s="712">
        <f>IF(Sheet1!EL116="OTHER",BC116,0)</f>
        <v>0</v>
      </c>
      <c r="AZ116" s="712">
        <f t="shared" si="403"/>
        <v>0</v>
      </c>
      <c r="BA116" s="712">
        <f t="shared" si="404"/>
        <v>0</v>
      </c>
      <c r="BB116" s="712">
        <f t="shared" si="405"/>
        <v>0</v>
      </c>
      <c r="BC116" s="712">
        <f>IF(OR(Sheet1!EL116="FM", Sheet1!EL116="OTHER"),SUM(Sheet1!BG116:'Sheet1'!BI116),0)</f>
        <v>0</v>
      </c>
      <c r="BD116" s="697">
        <f>IF(AND($B116&gt;=$FL116,$B116&lt;=$FM116),MAX(AV116,Sheet1!EE116,0),MAX(AV116-(7/36)*$K116,0))</f>
        <v>0</v>
      </c>
      <c r="BE116" s="712">
        <f t="shared" si="406"/>
        <v>12.568888888888889</v>
      </c>
      <c r="BF116" s="697">
        <f t="shared" si="373"/>
        <v>0</v>
      </c>
      <c r="BG116" s="697">
        <f>IF(AND($O116&gt;0,Sheet1!EI116=1),(1-($O116-Sheet1!$L116)/$O116)*BB116,0)</f>
        <v>0</v>
      </c>
      <c r="BH116" s="697">
        <f>IF(AND(Sheet1!$L116=0,Sheet1!$L115=0, Calculation!BA116&lt;Sheet1!$EE116-0.1,Sheet1!$EE116=Sheet1!$EE115,Sheet1!$EE116=Sheet1!$EE117),Sheet1!$EE116,BB116-BG116)</f>
        <v>0</v>
      </c>
      <c r="BI116" s="712"/>
      <c r="BJ116" s="712"/>
      <c r="BK116" s="712">
        <f t="shared" si="407"/>
        <v>540.46222222222173</v>
      </c>
      <c r="BL116" s="712"/>
      <c r="BM116" s="712">
        <f ca="1">IF(B116&gt;Summary!$A$1,#N/A,BK116*MGtoAF)</f>
        <v>1658.1380977777762</v>
      </c>
      <c r="BN116" s="712">
        <f>Sheet1!BC116+Sheet1!BD116+Sheet1!BE116+Sheet1!BF116-BW116-BX116</f>
        <v>0</v>
      </c>
      <c r="BO116" s="712">
        <f t="shared" si="408"/>
        <v>0</v>
      </c>
      <c r="BP116" s="712">
        <f>IF(Sheet1!EM116="FM",BX116,0)</f>
        <v>0</v>
      </c>
      <c r="BQ116" s="712">
        <f t="shared" si="409"/>
        <v>0</v>
      </c>
      <c r="BR116" s="712">
        <f>IF(Sheet1!EM116="OTHER",BX116,0)</f>
        <v>0</v>
      </c>
      <c r="BS116" s="712">
        <f t="shared" si="410"/>
        <v>0</v>
      </c>
      <c r="BT116" s="712">
        <f t="shared" si="411"/>
        <v>0</v>
      </c>
      <c r="BU116" s="712">
        <f t="shared" si="412"/>
        <v>0</v>
      </c>
      <c r="BV116" s="712">
        <f t="shared" si="413"/>
        <v>0</v>
      </c>
      <c r="BW116" s="712">
        <f>IF(Sheet1!EM116="CWA",SUM(Sheet1!BC116:'Sheet1'!BF116),0)</f>
        <v>0</v>
      </c>
      <c r="BX116" s="712">
        <f>IF(OR(Sheet1!EM116="FM", Sheet1!EM116="OTHER"),SUM(Sheet1!BC116:'Sheet1'!BF116),0)</f>
        <v>0</v>
      </c>
      <c r="BY116" s="697">
        <f>IF(AND($B116&gt;=$FL116,$B116&lt;=$FM116),MAX(BV116,Sheet1!EF116,0),MAX(BV116-(7/36)*$K116,0))</f>
        <v>0</v>
      </c>
      <c r="BZ116" s="712">
        <f t="shared" si="414"/>
        <v>12.568888888888889</v>
      </c>
      <c r="CA116" s="697">
        <f t="shared" si="374"/>
        <v>0</v>
      </c>
      <c r="CB116" s="697">
        <f>IF(AND($O116&gt;0,Sheet1!EJ116=1),(1-($O116-Sheet1!$L116)/$O116)*BV116,0)</f>
        <v>0</v>
      </c>
      <c r="CC116" s="697">
        <f>IF(AND(Sheet1!$L116=0,Sheet1!$L115=0, Calculation!BU116&lt;Sheet1!EF116-0.1,Sheet1!EF116=Sheet1!EF115,Sheet1!EF116=Sheet1!EF117),Sheet1!EF116,BV116-CB116)</f>
        <v>0</v>
      </c>
      <c r="CD116" s="697"/>
      <c r="CE116" s="712"/>
      <c r="CF116" s="712">
        <f t="shared" si="415"/>
        <v>477.6920462219735</v>
      </c>
      <c r="CG116" s="712"/>
      <c r="CH116" s="712">
        <f ca="1">IF(B116&gt;Summary!$A$1,#N/A,CF116*MGtoAF)</f>
        <v>1465.5591978090147</v>
      </c>
      <c r="CI116" s="712">
        <f>Sheet1!BK116+Sheet1!BL116+Sheet1!BM116-Sheet1!EN116-CQ116</f>
        <v>0</v>
      </c>
      <c r="CJ116" s="712">
        <f t="shared" si="416"/>
        <v>0</v>
      </c>
      <c r="CK116" s="712">
        <f>IF(Sheet1!EN116="FM",CQ116,0)</f>
        <v>0</v>
      </c>
      <c r="CL116" s="712">
        <f t="shared" si="417"/>
        <v>0</v>
      </c>
      <c r="CM116" s="712">
        <f>IF(Sheet1!EN116="OTHER",CQ116,0)</f>
        <v>0</v>
      </c>
      <c r="CN116" s="712">
        <f t="shared" si="418"/>
        <v>0</v>
      </c>
      <c r="CO116" s="712">
        <f t="shared" si="419"/>
        <v>0</v>
      </c>
      <c r="CP116" s="712">
        <f t="shared" si="420"/>
        <v>0</v>
      </c>
      <c r="CQ116" s="712">
        <f>IF(OR(Sheet1!EN116="FM", Sheet1!EN116="OTHER"),SUM(Sheet1!BK116:'Sheet1'!BM116),0)</f>
        <v>0</v>
      </c>
      <c r="CR116" s="697">
        <f>IF(AND($B116&gt;=$FL116,$B116&lt;=$FM116),MAX($CJ116,Sheet1!EG116,0),MAX($CJ116-(7/36)*$K116,0))</f>
        <v>0</v>
      </c>
      <c r="CS116" s="712">
        <f t="shared" si="421"/>
        <v>12.568888888888889</v>
      </c>
      <c r="CT116" s="697">
        <f t="shared" si="375"/>
        <v>0</v>
      </c>
      <c r="CU116" s="697">
        <f>IF(AND($O116&gt;0,Sheet1!EK116=1),(1-($O116-Sheet1!$L116)/$O116)*CP116,0)</f>
        <v>0</v>
      </c>
      <c r="CV116" s="697">
        <f>IF(AND(Sheet1!$L116=0,Sheet1!$L115=0, Calculation!CO116&lt;Sheet1!$EG116-0.1,Sheet1!$EG116=Sheet1!$EG115,Sheet1!$EG116=Sheet1!$EG117),Sheet1!$EG116,CP116-CU116)</f>
        <v>0</v>
      </c>
      <c r="CW116" s="697">
        <f t="shared" si="362"/>
        <v>0</v>
      </c>
      <c r="CX116" s="712">
        <f t="shared" si="379"/>
        <v>0</v>
      </c>
      <c r="CY116" s="712">
        <f t="shared" si="422"/>
        <v>387.40753274721885</v>
      </c>
      <c r="CZ116" s="712">
        <f t="shared" si="423"/>
        <v>0</v>
      </c>
      <c r="DA116" s="712">
        <f ca="1">IF(B116&gt;Summary!$A$1,#N/A,CY116*MGtoAF)</f>
        <v>1188.5663104684675</v>
      </c>
      <c r="DB116" s="712">
        <f t="shared" si="424"/>
        <v>0</v>
      </c>
      <c r="DC116" s="712">
        <f t="shared" si="425"/>
        <v>17.899999999999999</v>
      </c>
      <c r="DD116" s="712">
        <f>Sheet1!AB116-DC116</f>
        <v>0.23999999999941934</v>
      </c>
      <c r="DE116" s="712">
        <f t="shared" si="426"/>
        <v>1.3407821229017841E-2</v>
      </c>
      <c r="DF116" s="712">
        <f>(VLOOKUP(Sheet1!CY116,hhdcap_wcm,4)-(((VLOOKUP(Sheet1!CY116,hhdcap_wcm,3)-Sheet1!CY116)/(VLOOKUP(Sheet1!CY116,hhdcap_wcm,3)-VLOOKUP(Sheet1!CY116,hhdcap_wcm,1)))*(VLOOKUP(Sheet1!CY116,hhdcap_wcm,4)-VLOOKUP(Sheet1!CY116,hhdcap_wcm,2))))</f>
        <v>26791.330000065453</v>
      </c>
      <c r="DG116" s="712">
        <f t="shared" si="427"/>
        <v>333.06000000017957</v>
      </c>
      <c r="DH116" s="712">
        <f t="shared" si="428"/>
        <v>167.95763993957615</v>
      </c>
      <c r="DI116" s="712">
        <f>Sheet1!DW116*AFtoMG</f>
        <v>0</v>
      </c>
      <c r="DJ116" s="712">
        <f>Sheet1!DX116*AFtoMG</f>
        <v>0</v>
      </c>
      <c r="DK116" s="712">
        <f>Sheet1!DY116*AFtoMG</f>
        <v>0</v>
      </c>
      <c r="DL116" s="712">
        <f>Sheet1!DZ116*AFtoMG</f>
        <v>0</v>
      </c>
      <c r="DM116" s="712">
        <f t="shared" si="429"/>
        <v>0</v>
      </c>
      <c r="DN116" s="712">
        <f t="shared" si="430"/>
        <v>0</v>
      </c>
      <c r="DO116" s="712">
        <f t="shared" si="431"/>
        <v>2563.6951345247467</v>
      </c>
      <c r="DP116" s="712">
        <f t="shared" si="432"/>
        <v>7865.4166727219226</v>
      </c>
      <c r="DQ116" s="712"/>
      <c r="DR116" s="697">
        <f>IF(OR(B116&lt;FL116,B116&gt;FM116),(MIN(AV116+BO116+CJ116+MAX(Sheet1!AA116+AG116-73,0),K116)),0)</f>
        <v>0</v>
      </c>
      <c r="DS116" s="712"/>
      <c r="DT116" s="712">
        <f t="shared" si="433"/>
        <v>0</v>
      </c>
      <c r="DU116" s="712"/>
      <c r="DV116" s="712">
        <f>Sheet1!ED116+Sheet1!EE116+Sheet1!EF116+Sheet1!EG116</f>
        <v>8.5</v>
      </c>
      <c r="DW116" s="712"/>
      <c r="DX116" s="697">
        <f t="shared" si="376"/>
        <v>0</v>
      </c>
      <c r="DY116" s="712">
        <f>IF(Sheet1!FN116=1,SUM('Calculations II'!AT116:BA116)+'Calculations II'!BC116+Sheet1!BU116+'Calculations II'!BE116+AF116,SUM('Calculations II'!AT116:BA116)+'Calculations II'!BC116+Sheet1!BU116+'Calculations II'!BE116+AF116)</f>
        <v>44.681103999999998</v>
      </c>
      <c r="DZ116" s="712">
        <f>Sheet1!AA116+Sheet1!AB116+'Calculations II'!BC116</f>
        <v>46.440000000002328</v>
      </c>
      <c r="EA116" s="712"/>
      <c r="EB116" s="712"/>
      <c r="EC116" s="712">
        <f t="shared" si="434"/>
        <v>40645</v>
      </c>
      <c r="ED116" s="712">
        <f t="shared" si="435"/>
        <v>64.64</v>
      </c>
      <c r="EE116" s="712">
        <f t="shared" si="436"/>
        <v>99.998080000000002</v>
      </c>
      <c r="EF116" s="712">
        <f>-(VLOOKUP(Sheet1!BQ116,Lookup!$B$4:$J$236,2)-VLOOKUP(Sheet1!BQ115,Lookup!$B$4:$J$236,2))/1000000</f>
        <v>-0.2671</v>
      </c>
      <c r="EG116" s="712">
        <f>-(VLOOKUP(Sheet1!BR116,Lookup!$B$4:$J$236,3)-VLOOKUP(Sheet1!BR115,Lookup!$B$4:$J$236,3))/1000000</f>
        <v>-0.26669999999999999</v>
      </c>
      <c r="EH116" s="712">
        <f>-(VLOOKUP(Sheet1!BS116,Lookup!$B$4:$J$236,4)-VLOOKUP(Sheet1!BS115,Lookup!$B$4:$J$236,4))/1000000</f>
        <v>0</v>
      </c>
      <c r="EI116" s="697">
        <f t="shared" si="380"/>
        <v>-0.53380000000000005</v>
      </c>
      <c r="EJ116" s="712"/>
      <c r="EK116" s="712"/>
      <c r="EL116" s="712"/>
      <c r="EM116" s="712"/>
      <c r="EN116" s="712"/>
      <c r="EO116" s="712"/>
      <c r="EP116" s="712"/>
      <c r="EQ116" s="712"/>
      <c r="ER116" s="697">
        <v>0</v>
      </c>
      <c r="ES116" s="712"/>
      <c r="ET116" s="794" t="e">
        <f t="shared" si="437"/>
        <v>#N/A</v>
      </c>
      <c r="EU116" s="794" t="e">
        <f t="shared" si="363"/>
        <v>#VALUE!</v>
      </c>
      <c r="EV116" s="795" t="e">
        <f t="shared" si="364"/>
        <v>#VALUE!</v>
      </c>
      <c r="EW116" s="796" t="s">
        <v>757</v>
      </c>
      <c r="EX116" s="796" t="s">
        <v>757</v>
      </c>
      <c r="EY116" s="794">
        <v>0</v>
      </c>
      <c r="EZ116" s="794" t="e">
        <v>#N/A</v>
      </c>
      <c r="FA116" s="712"/>
      <c r="FB116" s="712"/>
      <c r="FC116" s="712"/>
      <c r="FD116" s="712"/>
      <c r="FE116" s="712">
        <f>O116+Sheet1!CO116</f>
        <v>46.440000000002328</v>
      </c>
      <c r="FF116" s="712">
        <f>IF(Sheet1!AA116+AG116&lt;=Calculation!N116,AG116,Calculation!N116-Sheet1!AA116)</f>
        <v>18.139999999999418</v>
      </c>
      <c r="FG116" s="712">
        <f>(Sheet1!BP116+Sheet1!BO116)/694.4</f>
        <v>2.2894585253456223</v>
      </c>
      <c r="FH116" s="712"/>
      <c r="FI116" s="712"/>
      <c r="FJ116" s="712"/>
      <c r="FK116" s="712"/>
      <c r="FL116" s="714">
        <f t="shared" si="381"/>
        <v>40753</v>
      </c>
      <c r="FM116" s="714">
        <f t="shared" si="382"/>
        <v>40851</v>
      </c>
      <c r="FN116" s="712"/>
      <c r="FO116" s="712"/>
      <c r="FP116" s="712"/>
      <c r="FQ116" s="712"/>
      <c r="FR116" s="712"/>
      <c r="FS116" s="725">
        <f t="shared" si="383"/>
        <v>40603</v>
      </c>
      <c r="FT116" s="714">
        <f t="shared" si="384"/>
        <v>40709</v>
      </c>
      <c r="FU116" s="712">
        <f t="shared" si="385"/>
        <v>6518.9048239895692</v>
      </c>
      <c r="FV116" s="714">
        <f t="shared" si="386"/>
        <v>40722</v>
      </c>
      <c r="FW116" s="712">
        <f t="shared" si="387"/>
        <v>3259.4524119947846</v>
      </c>
      <c r="FX116" s="725">
        <f t="shared" si="388"/>
        <v>40851</v>
      </c>
      <c r="FZ116" s="697">
        <f t="shared" si="365"/>
        <v>0</v>
      </c>
      <c r="GA116" s="712" t="str">
        <f t="shared" si="438"/>
        <v/>
      </c>
      <c r="GB116" s="712">
        <f t="shared" si="439"/>
        <v>0</v>
      </c>
      <c r="GC116" s="712" t="str">
        <f t="shared" si="440"/>
        <v/>
      </c>
      <c r="GD116" s="712">
        <f>IF(GA116="P",Lookup!$M$12,IF(GA116="PP",Lookup!$M$13,IF(GA116="PPP",Lookup!$M$14,IF(GA116="T",Lookup!$M$15,IF(GA116="TP",Lookup!$M$16,IF(GA116="TPP",Lookup!$M$17,IF(GA116="TPPP",Lookup!$M$18,0)))))))*FZ116</f>
        <v>0</v>
      </c>
      <c r="GE116" s="712">
        <f t="shared" si="441"/>
        <v>0</v>
      </c>
      <c r="GF116" s="712">
        <f t="shared" si="442"/>
        <v>3553.1530666666645</v>
      </c>
      <c r="GG116" s="712">
        <f t="shared" si="443"/>
        <v>1158.1333333333325</v>
      </c>
      <c r="GH116" s="712"/>
      <c r="GI116" s="712">
        <f t="shared" si="444"/>
        <v>0</v>
      </c>
      <c r="GJ116" s="712" t="str">
        <f t="shared" si="445"/>
        <v/>
      </c>
      <c r="GK116" s="712">
        <f>IF(GA116="P",Lookup!$N$12,IF(GA116="PP",Lookup!$N$13,IF(GA116="PPP",Lookup!$N$14,IF(GA116="T",Lookup!$N$15,IF(GA116="TP",Lookup!$N$16,IF(GA116="TPP",Lookup!$N$17,IF(GA116="TPPP",Lookup!$N$18,0)))))))*FZ116</f>
        <v>0</v>
      </c>
      <c r="GL116" s="712">
        <f t="shared" si="446"/>
        <v>0</v>
      </c>
      <c r="GM116" s="712">
        <f t="shared" si="447"/>
        <v>1658.1380977777762</v>
      </c>
      <c r="GN116" s="712">
        <f t="shared" si="448"/>
        <v>540.46222222222173</v>
      </c>
      <c r="GO116" s="712"/>
      <c r="GP116" s="712">
        <f t="shared" si="449"/>
        <v>0</v>
      </c>
      <c r="GQ116" s="712" t="str">
        <f t="shared" si="450"/>
        <v/>
      </c>
      <c r="GR116" s="712">
        <f>IF(GA116="P",Lookup!$N$12,IF(GA116="PP",Lookup!$N$13,IF(GA116="PPP",Lookup!$N$14,IF(GA116="T",Lookup!$N$15,IF(GA116="TP",Lookup!$N$16,IF(GA116="TPP",Lookup!$N$17,IF(GA116="TPPP",Lookup!$N$18,0)))))))*FZ116</f>
        <v>0</v>
      </c>
      <c r="GS116" s="697">
        <f t="shared" si="377"/>
        <v>0</v>
      </c>
      <c r="GT116" s="712">
        <f t="shared" si="451"/>
        <v>1465.5591978090147</v>
      </c>
      <c r="GU116" s="712">
        <f t="shared" si="452"/>
        <v>477.6920462219735</v>
      </c>
      <c r="GV116" s="712"/>
      <c r="GW116" s="712">
        <f t="shared" si="453"/>
        <v>0</v>
      </c>
      <c r="GX116" s="712" t="str">
        <f t="shared" si="454"/>
        <v/>
      </c>
      <c r="GY116" s="712">
        <f>IF(GA116="P",Lookup!$N$12,IF(GA116="PP",Lookup!$N$13,IF(GA116="PPP",Lookup!$N$14,IF(GA116="T",Lookup!$N$15,IF(GA116="TP",Lookup!$N$16,IF(GA116="TPP",Lookup!$N$17,IF(GA116="TPPP",Lookup!$N$18,0)))))))*FZ116</f>
        <v>0</v>
      </c>
      <c r="GZ116" s="697">
        <f t="shared" si="378"/>
        <v>0</v>
      </c>
      <c r="HA116" s="712">
        <f t="shared" si="455"/>
        <v>1188.5663104684675</v>
      </c>
      <c r="HB116" s="712">
        <f t="shared" si="456"/>
        <v>387.40753274721885</v>
      </c>
      <c r="HC116" s="712"/>
    </row>
    <row r="117" spans="1:211">
      <c r="A117" s="773" t="s">
        <v>6</v>
      </c>
      <c r="B117" s="708">
        <v>40646</v>
      </c>
      <c r="C117" s="709">
        <v>0.5</v>
      </c>
      <c r="D117" s="675">
        <f t="shared" si="366"/>
        <v>300</v>
      </c>
      <c r="E117" s="675">
        <f t="shared" si="367"/>
        <v>250</v>
      </c>
      <c r="F117" s="710">
        <v>250</v>
      </c>
      <c r="G117" s="712">
        <f>DH117+Sheet1!CV117</f>
        <v>1439.1275844690376</v>
      </c>
      <c r="H117" s="712">
        <f t="shared" si="389"/>
        <v>663.28887060078591</v>
      </c>
      <c r="I117" s="711">
        <f>MAX(Sheet1!Z117-AJ117+(Sheet1!CW117-E117)*CFStoMGD,0)</f>
        <v>1268.2206666666682</v>
      </c>
      <c r="J117" s="720">
        <f>IF(AND(B117&gt;=Calculation!FS117,B117&lt;=Calculation!FT117),IF(Sheet1!CX117&gt;=Calculation!D117,64.64,0),MAX(Sheet1!Z117-AJ117+(Sheet1!CX117-D117)*CFStoMGD,0))</f>
        <v>64.64</v>
      </c>
      <c r="K117" s="697">
        <f t="shared" si="368"/>
        <v>64.64</v>
      </c>
      <c r="L117" s="712">
        <f>Sheet1!AA117+Sheet1!AB117-Sheet1!L117+(Sheet1!CW117-F117)*CFStoMGD</f>
        <v>1275.8406666666683</v>
      </c>
      <c r="M117" s="712">
        <f t="shared" si="390"/>
        <v>948.85711201280162</v>
      </c>
      <c r="N117" s="712">
        <f>IF(Sheet1!CW117&gt;=F117,MIN(73,MIN(MAX(L117,0),MAX(M117,0))),0)</f>
        <v>73</v>
      </c>
      <c r="O117" s="721">
        <f>Sheet1!AA117+Sheet1!AB117</f>
        <v>46.150000000001455</v>
      </c>
      <c r="P117" s="721">
        <f t="shared" si="391"/>
        <v>71.394050000002252</v>
      </c>
      <c r="Q117" s="712">
        <f>MIN(N117,Sheet1!AA117+AG117)</f>
        <v>46.150000000001455</v>
      </c>
      <c r="R117" s="712">
        <f t="shared" si="392"/>
        <v>0</v>
      </c>
      <c r="S117" s="721">
        <f>Sheet1!Y117*MGDtoCFS</f>
        <v>43.223179999999999</v>
      </c>
      <c r="T117" s="721">
        <f>Sheet1!Z117*MGDtoCFS</f>
        <v>27.505659999999999</v>
      </c>
      <c r="U117" s="721">
        <f>Sheet1!AA117*MGDtoCFS</f>
        <v>43.780100000004502</v>
      </c>
      <c r="V117" s="721">
        <f>Sheet1!AB117*MGDtoCFS</f>
        <v>27.613949999997747</v>
      </c>
      <c r="W117" s="721">
        <f>Sheet1!L117*MGDtoCFS</f>
        <v>59.714199999999998</v>
      </c>
      <c r="X117" s="697">
        <f t="shared" si="369"/>
        <v>0</v>
      </c>
      <c r="Y117" s="712">
        <f t="shared" si="393"/>
        <v>0</v>
      </c>
      <c r="Z117" s="712">
        <f t="shared" si="394"/>
        <v>64.64</v>
      </c>
      <c r="AA117" s="712">
        <f t="shared" si="395"/>
        <v>99.998080000000002</v>
      </c>
      <c r="AB117" s="712">
        <f>(VLOOKUP(Sheet1!CY117,hhdcap_wcm,4)-(((VLOOKUP(Sheet1!CY117,hhdcap_wcm,3)-Sheet1!CY117)/(VLOOKUP(Sheet1!CY117,hhdcap_wcm,3)-VLOOKUP(Sheet1!CY117,hhdcap_wcm,1)))*(VLOOKUP(Sheet1!CY117,hhdcap_wcm,4)-VLOOKUP(Sheet1!CY117,hhdcap_wcm,2))))</f>
        <v>27186.200000067554</v>
      </c>
      <c r="AC117" s="712">
        <f t="shared" si="396"/>
        <v>394.87000000210173</v>
      </c>
      <c r="AD117" s="712">
        <f t="shared" si="370"/>
        <v>2628.3351345247465</v>
      </c>
      <c r="AE117" s="712">
        <f t="shared" si="397"/>
        <v>8063.7321927219227</v>
      </c>
      <c r="AF117" s="712">
        <f>Sheet1!BA117+Sheet1!BB117+Sheet1!BN117+BT117</f>
        <v>17.908646999999998</v>
      </c>
      <c r="AG117" s="712">
        <f t="shared" si="398"/>
        <v>17.849999999998545</v>
      </c>
      <c r="AH117" s="712">
        <f>Sheet1!BA117+BT117</f>
        <v>0</v>
      </c>
      <c r="AI117" s="712">
        <f>Sheet1!BA117+Sheet1!BB117+BT117</f>
        <v>8.6470000000000002E-3</v>
      </c>
      <c r="AJ117" s="712">
        <f>IF((Sheet1!AA117+AG117+AX117+AZ117+BQ117+BS117+CL117+CN117)&lt;=N117,AG117+AX117+AZ117+BQ117+BS117+CL117+CN117,N117-Sheet1!AA117)</f>
        <v>17.849999999998545</v>
      </c>
      <c r="AK117" s="712">
        <f>IF(DR117&lt;K117,0,MAX(Sheet1!AA117+AG117-15/36*K117-N117,Sheet1!ED117,0))</f>
        <v>0</v>
      </c>
      <c r="AL117" s="712">
        <f>IF(OR(B117&gt;=FT117,B117&lt;FS117),0,15/36*K117-MAX(0,64.6-(137.6-(Sheet1!AA117+Sheet1!AB117))))</f>
        <v>26.933333333333334</v>
      </c>
      <c r="AM117" s="712">
        <f>Sheet1!CX117-110</f>
        <v>1141.3541666666667</v>
      </c>
      <c r="AN117" s="712">
        <f>Sheet1!CW117-265</f>
        <v>1947.0833333333335</v>
      </c>
      <c r="AO117" s="712">
        <f t="shared" si="371"/>
        <v>26.849999999998545</v>
      </c>
      <c r="AP117" s="712">
        <f t="shared" si="372"/>
        <v>0</v>
      </c>
      <c r="AQ117" s="712">
        <f t="shared" si="399"/>
        <v>0</v>
      </c>
      <c r="AR117" s="712">
        <f t="shared" si="400"/>
        <v>1185.0666666666659</v>
      </c>
      <c r="AS117" s="712"/>
      <c r="AT117" s="712">
        <f ca="1">IF(B117&gt;Summary!$A$1,#N/A,AR117*MGtoAF)</f>
        <v>3635.7845333333312</v>
      </c>
      <c r="AU117" s="712">
        <f>Sheet1!BG117+Sheet1!BH117+Sheet1!BI117-BC117</f>
        <v>0</v>
      </c>
      <c r="AV117" s="712">
        <f t="shared" si="401"/>
        <v>0</v>
      </c>
      <c r="AW117" s="712">
        <f>IF(Sheet1!EL117="FM",BC117,0)</f>
        <v>0</v>
      </c>
      <c r="AX117" s="712">
        <f t="shared" si="402"/>
        <v>0</v>
      </c>
      <c r="AY117" s="712">
        <f>IF(Sheet1!EL117="OTHER",BC117,0)</f>
        <v>0</v>
      </c>
      <c r="AZ117" s="712">
        <f t="shared" si="403"/>
        <v>0</v>
      </c>
      <c r="BA117" s="712">
        <f t="shared" si="404"/>
        <v>0</v>
      </c>
      <c r="BB117" s="712">
        <f t="shared" si="405"/>
        <v>0</v>
      </c>
      <c r="BC117" s="712">
        <f>IF(OR(Sheet1!EL117="FM", Sheet1!EL117="OTHER"),SUM(Sheet1!BG117:'Sheet1'!BI117),0)</f>
        <v>0</v>
      </c>
      <c r="BD117" s="697">
        <f>IF(AND($B117&gt;=$FL117,$B117&lt;=$FM117),MAX(AV117,Sheet1!EE117,0),MAX(AV117-(7/36)*$K117,0))</f>
        <v>0</v>
      </c>
      <c r="BE117" s="712">
        <f t="shared" si="406"/>
        <v>12.568888888888889</v>
      </c>
      <c r="BF117" s="697">
        <f t="shared" si="373"/>
        <v>0</v>
      </c>
      <c r="BG117" s="697">
        <f>IF(AND($O117&gt;0,Sheet1!EI117=1),(1-($O117-Sheet1!$L117)/$O117)*BB117,0)</f>
        <v>0</v>
      </c>
      <c r="BH117" s="697">
        <f>IF(AND(Sheet1!$L117=0,Sheet1!$L116=0, Calculation!BA117&lt;Sheet1!$EE117-0.1,Sheet1!$EE117=Sheet1!$EE116,Sheet1!$EE117=Sheet1!$EE118),Sheet1!$EE117,BB117-BG117)</f>
        <v>0</v>
      </c>
      <c r="BI117" s="712"/>
      <c r="BJ117" s="712"/>
      <c r="BK117" s="712">
        <f t="shared" si="407"/>
        <v>553.03111111111059</v>
      </c>
      <c r="BL117" s="712"/>
      <c r="BM117" s="712">
        <f ca="1">IF(B117&gt;Summary!$A$1,#N/A,BK117*MGtoAF)</f>
        <v>1696.6994488888872</v>
      </c>
      <c r="BN117" s="712">
        <f>Sheet1!BC117+Sheet1!BD117+Sheet1!BE117+Sheet1!BF117-BW117-BX117</f>
        <v>0</v>
      </c>
      <c r="BO117" s="712">
        <f t="shared" si="408"/>
        <v>0</v>
      </c>
      <c r="BP117" s="712">
        <f>IF(Sheet1!EM117="FM",BX117,0)</f>
        <v>0</v>
      </c>
      <c r="BQ117" s="712">
        <f t="shared" si="409"/>
        <v>0</v>
      </c>
      <c r="BR117" s="712">
        <f>IF(Sheet1!EM117="OTHER",BX117,0)</f>
        <v>0</v>
      </c>
      <c r="BS117" s="712">
        <f t="shared" si="410"/>
        <v>0</v>
      </c>
      <c r="BT117" s="712">
        <f t="shared" si="411"/>
        <v>0</v>
      </c>
      <c r="BU117" s="712">
        <f t="shared" si="412"/>
        <v>0</v>
      </c>
      <c r="BV117" s="712">
        <f t="shared" si="413"/>
        <v>0</v>
      </c>
      <c r="BW117" s="712">
        <f>IF(Sheet1!EM117="CWA",SUM(Sheet1!BC117:'Sheet1'!BF117),0)</f>
        <v>0</v>
      </c>
      <c r="BX117" s="712">
        <f>IF(OR(Sheet1!EM117="FM", Sheet1!EM117="OTHER"),SUM(Sheet1!BC117:'Sheet1'!BF117),0)</f>
        <v>0</v>
      </c>
      <c r="BY117" s="697">
        <f>IF(AND($B117&gt;=$FL117,$B117&lt;=$FM117),MAX(BV117,Sheet1!EF117,0),MAX(BV117-(7/36)*$K117,0))</f>
        <v>0</v>
      </c>
      <c r="BZ117" s="712">
        <f t="shared" si="414"/>
        <v>12.568888888888889</v>
      </c>
      <c r="CA117" s="697">
        <f t="shared" si="374"/>
        <v>0</v>
      </c>
      <c r="CB117" s="697">
        <f>IF(AND($O117&gt;0,Sheet1!EJ117=1),(1-($O117-Sheet1!$L117)/$O117)*BV117,0)</f>
        <v>0</v>
      </c>
      <c r="CC117" s="697">
        <f>IF(AND(Sheet1!$L117=0,Sheet1!$L116=0, Calculation!BU117&lt;Sheet1!EF117-0.1,Sheet1!EF117=Sheet1!EF116,Sheet1!EF117=Sheet1!EF118),Sheet1!EF117,BV117-CB117)</f>
        <v>0</v>
      </c>
      <c r="CD117" s="697"/>
      <c r="CE117" s="712"/>
      <c r="CF117" s="712">
        <f t="shared" si="415"/>
        <v>490.26093511086236</v>
      </c>
      <c r="CG117" s="712"/>
      <c r="CH117" s="712">
        <f ca="1">IF(B117&gt;Summary!$A$1,#N/A,CF117*MGtoAF)</f>
        <v>1504.1205489201257</v>
      </c>
      <c r="CI117" s="712">
        <f>Sheet1!BK117+Sheet1!BL117+Sheet1!BM117-Sheet1!EN117-CQ117</f>
        <v>0</v>
      </c>
      <c r="CJ117" s="712">
        <f t="shared" si="416"/>
        <v>0</v>
      </c>
      <c r="CK117" s="712">
        <f>IF(Sheet1!EN117="FM",CQ117,0)</f>
        <v>0</v>
      </c>
      <c r="CL117" s="712">
        <f t="shared" si="417"/>
        <v>0</v>
      </c>
      <c r="CM117" s="712">
        <f>IF(Sheet1!EN117="OTHER",CQ117,0)</f>
        <v>0</v>
      </c>
      <c r="CN117" s="712">
        <f t="shared" si="418"/>
        <v>0</v>
      </c>
      <c r="CO117" s="712">
        <f t="shared" si="419"/>
        <v>0</v>
      </c>
      <c r="CP117" s="712">
        <f t="shared" si="420"/>
        <v>0</v>
      </c>
      <c r="CQ117" s="712">
        <f>IF(OR(Sheet1!EN117="FM", Sheet1!EN117="OTHER"),SUM(Sheet1!BK117:'Sheet1'!BM117),0)</f>
        <v>0</v>
      </c>
      <c r="CR117" s="697">
        <f>IF(AND($B117&gt;=$FL117,$B117&lt;=$FM117),MAX($CJ117,Sheet1!EG117,0),MAX($CJ117-(7/36)*$K117,0))</f>
        <v>0</v>
      </c>
      <c r="CS117" s="712">
        <f t="shared" si="421"/>
        <v>12.568888888888889</v>
      </c>
      <c r="CT117" s="697">
        <f t="shared" si="375"/>
        <v>0</v>
      </c>
      <c r="CU117" s="697">
        <f>IF(AND($O117&gt;0,Sheet1!EK117=1),(1-($O117-Sheet1!$L117)/$O117)*CP117,0)</f>
        <v>0</v>
      </c>
      <c r="CV117" s="697">
        <f>IF(AND(Sheet1!$L117=0,Sheet1!$L116=0, Calculation!CO117&lt;Sheet1!$EG117-0.1,Sheet1!$EG117=Sheet1!$EG116,Sheet1!$EG117=Sheet1!$EG118),Sheet1!$EG117,CP117-CU117)</f>
        <v>0</v>
      </c>
      <c r="CW117" s="697">
        <f t="shared" si="362"/>
        <v>0</v>
      </c>
      <c r="CX117" s="712">
        <f t="shared" si="379"/>
        <v>0</v>
      </c>
      <c r="CY117" s="712">
        <f t="shared" si="422"/>
        <v>399.97642163610772</v>
      </c>
      <c r="CZ117" s="712">
        <f t="shared" si="423"/>
        <v>0</v>
      </c>
      <c r="DA117" s="712">
        <f ca="1">IF(B117&gt;Summary!$A$1,#N/A,CY117*MGtoAF)</f>
        <v>1227.1276615795784</v>
      </c>
      <c r="DB117" s="712">
        <f t="shared" si="424"/>
        <v>0</v>
      </c>
      <c r="DC117" s="712">
        <f t="shared" si="425"/>
        <v>17.908646999999998</v>
      </c>
      <c r="DD117" s="712">
        <f>Sheet1!AB117-DC117</f>
        <v>-5.864700000145362E-2</v>
      </c>
      <c r="DE117" s="712">
        <f t="shared" si="426"/>
        <v>-3.2747867553285085E-3</v>
      </c>
      <c r="DF117" s="712">
        <f>(VLOOKUP(Sheet1!CY117,hhdcap_wcm,4)-(((VLOOKUP(Sheet1!CY117,hhdcap_wcm,3)-Sheet1!CY117)/(VLOOKUP(Sheet1!CY117,hhdcap_wcm,3)-VLOOKUP(Sheet1!CY117,hhdcap_wcm,1)))*(VLOOKUP(Sheet1!CY117,hhdcap_wcm,4)-VLOOKUP(Sheet1!CY117,hhdcap_wcm,2))))</f>
        <v>27186.200000067554</v>
      </c>
      <c r="DG117" s="712">
        <f t="shared" si="427"/>
        <v>394.87000000210173</v>
      </c>
      <c r="DH117" s="712">
        <f t="shared" si="428"/>
        <v>199.12758446903766</v>
      </c>
      <c r="DI117" s="712">
        <f>Sheet1!DW117*AFtoMG</f>
        <v>0</v>
      </c>
      <c r="DJ117" s="712">
        <f>Sheet1!DX117*AFtoMG</f>
        <v>0</v>
      </c>
      <c r="DK117" s="712">
        <f>Sheet1!DY117*AFtoMG</f>
        <v>0</v>
      </c>
      <c r="DL117" s="712">
        <f>Sheet1!DZ117*AFtoMG</f>
        <v>0</v>
      </c>
      <c r="DM117" s="712">
        <f t="shared" si="429"/>
        <v>0</v>
      </c>
      <c r="DN117" s="712">
        <f t="shared" si="430"/>
        <v>0</v>
      </c>
      <c r="DO117" s="712">
        <f t="shared" si="431"/>
        <v>2628.3351345247465</v>
      </c>
      <c r="DP117" s="712">
        <f t="shared" si="432"/>
        <v>8063.7321927219227</v>
      </c>
      <c r="DQ117" s="712"/>
      <c r="DR117" s="697">
        <f>IF(OR(B117&lt;FL117,B117&gt;FM117),(MIN(AV117+BO117+CJ117+MAX(Sheet1!AA117+AG117-73,0),K117)),0)</f>
        <v>0</v>
      </c>
      <c r="DS117" s="712"/>
      <c r="DT117" s="712">
        <f t="shared" si="433"/>
        <v>0</v>
      </c>
      <c r="DU117" s="712"/>
      <c r="DV117" s="712">
        <f>Sheet1!ED117+Sheet1!EE117+Sheet1!EF117+Sheet1!EG117</f>
        <v>8.5</v>
      </c>
      <c r="DW117" s="712"/>
      <c r="DX117" s="697">
        <f t="shared" si="376"/>
        <v>0</v>
      </c>
      <c r="DY117" s="712">
        <f>IF(Sheet1!FN117=1,SUM('Calculations II'!AT117:BA117)+'Calculations II'!BC117+Sheet1!BU117+'Calculations II'!BE117+AF117,SUM('Calculations II'!AT117:BA117)+'Calculations II'!BC117+Sheet1!BU117+'Calculations II'!BE117+AF117)</f>
        <v>42.115046999999997</v>
      </c>
      <c r="DZ117" s="712">
        <f>Sheet1!AA117+Sheet1!AB117+'Calculations II'!BC117</f>
        <v>46.150000000001455</v>
      </c>
      <c r="EA117" s="712"/>
      <c r="EB117" s="712"/>
      <c r="EC117" s="712">
        <f t="shared" si="434"/>
        <v>40646</v>
      </c>
      <c r="ED117" s="712">
        <f t="shared" si="435"/>
        <v>64.64</v>
      </c>
      <c r="EE117" s="712">
        <f t="shared" si="436"/>
        <v>99.998080000000002</v>
      </c>
      <c r="EF117" s="712">
        <f>-(VLOOKUP(Sheet1!BQ117,Lookup!$B$4:$J$236,2)-VLOOKUP(Sheet1!BQ116,Lookup!$B$4:$J$236,2))/1000000</f>
        <v>-1.3354999999999999</v>
      </c>
      <c r="EG117" s="712">
        <f>-(VLOOKUP(Sheet1!BR117,Lookup!$B$4:$J$236,3)-VLOOKUP(Sheet1!BR116,Lookup!$B$4:$J$236,3))/1000000</f>
        <v>-1.5995999999999999</v>
      </c>
      <c r="EH117" s="712">
        <f>-(VLOOKUP(Sheet1!BS117,Lookup!$B$4:$J$236,4)-VLOOKUP(Sheet1!BS116,Lookup!$B$4:$J$236,4))/1000000</f>
        <v>0</v>
      </c>
      <c r="EI117" s="697">
        <f t="shared" si="380"/>
        <v>-2.9350999999999998</v>
      </c>
      <c r="EJ117" s="712"/>
      <c r="EK117" s="712"/>
      <c r="EL117" s="712"/>
      <c r="EM117" s="712"/>
      <c r="EN117" s="712"/>
      <c r="EO117" s="712"/>
      <c r="EP117" s="712"/>
      <c r="EQ117" s="712"/>
      <c r="ER117" s="697">
        <v>0</v>
      </c>
      <c r="ES117" s="712"/>
      <c r="ET117" s="794" t="e">
        <f t="shared" si="437"/>
        <v>#N/A</v>
      </c>
      <c r="EU117" s="794" t="e">
        <f t="shared" si="363"/>
        <v>#VALUE!</v>
      </c>
      <c r="EV117" s="795" t="e">
        <f t="shared" si="364"/>
        <v>#VALUE!</v>
      </c>
      <c r="EW117" s="796" t="s">
        <v>757</v>
      </c>
      <c r="EX117" s="796" t="s">
        <v>757</v>
      </c>
      <c r="EY117" s="794">
        <v>0</v>
      </c>
      <c r="EZ117" s="794" t="e">
        <v>#N/A</v>
      </c>
      <c r="FA117" s="712"/>
      <c r="FB117" s="712"/>
      <c r="FC117" s="712"/>
      <c r="FD117" s="712"/>
      <c r="FE117" s="712">
        <f>O117+Sheet1!CO117</f>
        <v>46.150000000001455</v>
      </c>
      <c r="FF117" s="712">
        <f>IF(Sheet1!AA117+AG117&lt;=Calculation!N117,AG117,Calculation!N117-Sheet1!AA117)</f>
        <v>17.849999999998545</v>
      </c>
      <c r="FG117" s="712">
        <f>(Sheet1!BP117+Sheet1!BO117)/694.4</f>
        <v>1.8306451612903227</v>
      </c>
      <c r="FH117" s="712"/>
      <c r="FI117" s="712"/>
      <c r="FJ117" s="712"/>
      <c r="FK117" s="712"/>
      <c r="FL117" s="714">
        <f t="shared" si="381"/>
        <v>40753</v>
      </c>
      <c r="FM117" s="714">
        <f t="shared" si="382"/>
        <v>40851</v>
      </c>
      <c r="FN117" s="712"/>
      <c r="FO117" s="712"/>
      <c r="FP117" s="712"/>
      <c r="FQ117" s="712"/>
      <c r="FR117" s="712"/>
      <c r="FS117" s="725">
        <f t="shared" si="383"/>
        <v>40603</v>
      </c>
      <c r="FT117" s="714">
        <f t="shared" si="384"/>
        <v>40709</v>
      </c>
      <c r="FU117" s="712">
        <f t="shared" si="385"/>
        <v>6518.9048239895692</v>
      </c>
      <c r="FV117" s="714">
        <f t="shared" si="386"/>
        <v>40722</v>
      </c>
      <c r="FW117" s="712">
        <f t="shared" si="387"/>
        <v>3259.4524119947846</v>
      </c>
      <c r="FX117" s="725">
        <f t="shared" si="388"/>
        <v>40851</v>
      </c>
      <c r="FZ117" s="697">
        <f t="shared" si="365"/>
        <v>0</v>
      </c>
      <c r="GA117" s="712" t="str">
        <f t="shared" si="438"/>
        <v/>
      </c>
      <c r="GB117" s="712">
        <f t="shared" si="439"/>
        <v>0</v>
      </c>
      <c r="GC117" s="712" t="str">
        <f t="shared" si="440"/>
        <v/>
      </c>
      <c r="GD117" s="712">
        <f>IF(GA117="P",Lookup!$M$12,IF(GA117="PP",Lookup!$M$13,IF(GA117="PPP",Lookup!$M$14,IF(GA117="T",Lookup!$M$15,IF(GA117="TP",Lookup!$M$16,IF(GA117="TPP",Lookup!$M$17,IF(GA117="TPPP",Lookup!$M$18,0)))))))*FZ117</f>
        <v>0</v>
      </c>
      <c r="GE117" s="712">
        <f t="shared" si="441"/>
        <v>0</v>
      </c>
      <c r="GF117" s="712">
        <f t="shared" si="442"/>
        <v>3635.7845333333312</v>
      </c>
      <c r="GG117" s="712">
        <f t="shared" si="443"/>
        <v>1185.0666666666659</v>
      </c>
      <c r="GH117" s="712"/>
      <c r="GI117" s="712">
        <f t="shared" si="444"/>
        <v>0</v>
      </c>
      <c r="GJ117" s="712" t="str">
        <f t="shared" si="445"/>
        <v/>
      </c>
      <c r="GK117" s="712">
        <f>IF(GA117="P",Lookup!$N$12,IF(GA117="PP",Lookup!$N$13,IF(GA117="PPP",Lookup!$N$14,IF(GA117="T",Lookup!$N$15,IF(GA117="TP",Lookup!$N$16,IF(GA117="TPP",Lookup!$N$17,IF(GA117="TPPP",Lookup!$N$18,0)))))))*FZ117</f>
        <v>0</v>
      </c>
      <c r="GL117" s="712">
        <f t="shared" si="446"/>
        <v>0</v>
      </c>
      <c r="GM117" s="712">
        <f t="shared" si="447"/>
        <v>1696.6994488888872</v>
      </c>
      <c r="GN117" s="712">
        <f t="shared" si="448"/>
        <v>553.03111111111059</v>
      </c>
      <c r="GO117" s="712"/>
      <c r="GP117" s="712">
        <f t="shared" si="449"/>
        <v>0</v>
      </c>
      <c r="GQ117" s="712" t="str">
        <f t="shared" si="450"/>
        <v/>
      </c>
      <c r="GR117" s="712">
        <f>IF(GA117="P",Lookup!$N$12,IF(GA117="PP",Lookup!$N$13,IF(GA117="PPP",Lookup!$N$14,IF(GA117="T",Lookup!$N$15,IF(GA117="TP",Lookup!$N$16,IF(GA117="TPP",Lookup!$N$17,IF(GA117="TPPP",Lookup!$N$18,0)))))))*FZ117</f>
        <v>0</v>
      </c>
      <c r="GS117" s="697">
        <f t="shared" si="377"/>
        <v>0</v>
      </c>
      <c r="GT117" s="712">
        <f t="shared" si="451"/>
        <v>1504.1205489201257</v>
      </c>
      <c r="GU117" s="712">
        <f t="shared" si="452"/>
        <v>490.26093511086236</v>
      </c>
      <c r="GV117" s="712"/>
      <c r="GW117" s="712">
        <f t="shared" si="453"/>
        <v>0</v>
      </c>
      <c r="GX117" s="712" t="str">
        <f t="shared" si="454"/>
        <v/>
      </c>
      <c r="GY117" s="712">
        <f>IF(GA117="P",Lookup!$N$12,IF(GA117="PP",Lookup!$N$13,IF(GA117="PPP",Lookup!$N$14,IF(GA117="T",Lookup!$N$15,IF(GA117="TP",Lookup!$N$16,IF(GA117="TPP",Lookup!$N$17,IF(GA117="TPPP",Lookup!$N$18,0)))))))*FZ117</f>
        <v>0</v>
      </c>
      <c r="GZ117" s="697">
        <f t="shared" si="378"/>
        <v>0</v>
      </c>
      <c r="HA117" s="712">
        <f t="shared" si="455"/>
        <v>1227.1276615795784</v>
      </c>
      <c r="HB117" s="712">
        <f t="shared" si="456"/>
        <v>399.97642163610772</v>
      </c>
      <c r="HC117" s="712"/>
    </row>
    <row r="118" spans="1:211">
      <c r="A118" s="773" t="s">
        <v>7</v>
      </c>
      <c r="B118" s="708">
        <v>40647</v>
      </c>
      <c r="C118" s="719">
        <v>0.5</v>
      </c>
      <c r="D118" s="675">
        <f t="shared" ref="D118" si="457">IF(AND(B118&gt;=DATE($A$1,7,15),B118&lt;=DATE($A$1,9,15)),200,300)</f>
        <v>300</v>
      </c>
      <c r="E118" s="675">
        <f t="shared" ref="E118" si="458">IF(AND(B118&gt;=DATE($A$1,7,15),B118&lt;=DATE($A$1,9,15)),400,250)</f>
        <v>250</v>
      </c>
      <c r="F118" s="710">
        <v>250</v>
      </c>
      <c r="G118" s="712">
        <f>DH118+Sheet1!CV118</f>
        <v>1391.975663136848</v>
      </c>
      <c r="H118" s="712">
        <f t="shared" ref="H118" si="459">MAX((G118-113-D118)*CFStoMGD,0)</f>
        <v>632.80986865165846</v>
      </c>
      <c r="I118" s="711">
        <f>MAX(Sheet1!Z118-AJ118+(Sheet1!CW118-E118)*CFStoMGD,0)</f>
        <v>1243.9001476238625</v>
      </c>
      <c r="J118" s="720">
        <f>IF(AND(B118&gt;=Calculation!FS118,B118&lt;=Calculation!FT118),IF(Sheet1!CX118&gt;=Calculation!D118,64.64,0),MAX(Sheet1!Z118-AJ118+(Sheet1!CX118-D118)*CFStoMGD,0))</f>
        <v>64.64</v>
      </c>
      <c r="K118" s="697">
        <f t="shared" ref="K118" si="460">MAX(MIN(H118:J118,64.64),0)</f>
        <v>64.64</v>
      </c>
      <c r="L118" s="712">
        <f>Sheet1!AA118+Sheet1!AB118-Sheet1!L118+(Sheet1!CW118-F118)*CFStoMGD</f>
        <v>1249.104</v>
      </c>
      <c r="M118" s="712">
        <f t="shared" ref="M118" si="461">1.02*CFStoMGD*G118</f>
        <v>917.7685300246917</v>
      </c>
      <c r="N118" s="712">
        <f>IF(Sheet1!CW118&gt;=F118,MIN(73,MIN(MAX(L118,0),MAX(M118,0))),0)</f>
        <v>73</v>
      </c>
      <c r="O118" s="721">
        <f>Sheet1!AA118+Sheet1!AB118</f>
        <v>45</v>
      </c>
      <c r="P118" s="721">
        <f t="shared" ref="P118" si="462">U118+V118</f>
        <v>69.614999999999995</v>
      </c>
      <c r="Q118" s="712">
        <f>MIN(N118,Sheet1!AA118+AG118)</f>
        <v>42.71385237613751</v>
      </c>
      <c r="R118" s="712">
        <f t="shared" ref="R118" si="463">IF(AND(B118&gt;=FV118,B118&lt;=FX118),MAX(DR118,DV118),DR118)</f>
        <v>2.2861476238624876</v>
      </c>
      <c r="S118" s="721">
        <f>Sheet1!Y118*MGDtoCFS</f>
        <v>42.449680000000001</v>
      </c>
      <c r="T118" s="721">
        <f>Sheet1!Z118*MGDtoCFS</f>
        <v>27.706769999999999</v>
      </c>
      <c r="U118" s="721">
        <f>Sheet1!AA118*MGDtoCFS</f>
        <v>40.222000000000001</v>
      </c>
      <c r="V118" s="721">
        <f>Sheet1!AB118*MGDtoCFS</f>
        <v>29.392999999999997</v>
      </c>
      <c r="W118" s="721">
        <f>Sheet1!L118*MGDtoCFS</f>
        <v>59.714199999999998</v>
      </c>
      <c r="X118" s="697">
        <f t="shared" ref="X118" si="464">AK118+BD118+BY118+CR118</f>
        <v>0</v>
      </c>
      <c r="Y118" s="712">
        <f t="shared" ref="Y118" si="465">X118*MGDtoCFS</f>
        <v>0</v>
      </c>
      <c r="Z118" s="712">
        <f t="shared" ref="Z118" si="466">IF(B118&gt;=FS118,IF(B118&lt;=FT118,K118-DR118,0),0)</f>
        <v>62.35385237613751</v>
      </c>
      <c r="AA118" s="712">
        <f t="shared" ref="AA118" si="467">Z118*MGDtoCFS</f>
        <v>96.461409625884727</v>
      </c>
      <c r="AB118" s="712">
        <f>(VLOOKUP(Sheet1!CY118,hhdcap_wcm,4)-(((VLOOKUP(Sheet1!CY118,hhdcap_wcm,3)-Sheet1!CY118)/(VLOOKUP(Sheet1!CY118,hhdcap_wcm,3)-VLOOKUP(Sheet1!CY118,hhdcap_wcm,1)))*(VLOOKUP(Sheet1!CY118,hhdcap_wcm,4)-VLOOKUP(Sheet1!CY118,hhdcap_wcm,2))))</f>
        <v>27511.800000067924</v>
      </c>
      <c r="AC118" s="712">
        <f t="shared" ref="AC118" si="468">AB118-AB117</f>
        <v>325.60000000036962</v>
      </c>
      <c r="AD118" s="712">
        <f t="shared" ref="AD118" si="469">(IF(AND(B118&gt;=FS118,B118&lt;FV118),MIN(AR118+BK118+CF118+CY118,FU118),IF(B118=FV118,FW118,IF(AND(B118&gt;FV118,B118&lt;FX118),AR118+BK118+CF118+CY118,IF(B118&gt;=FX118,0,0)))))</f>
        <v>2690.6889869008842</v>
      </c>
      <c r="AE118" s="712">
        <f t="shared" ref="AE118" si="470">AD118*MGtoAF</f>
        <v>8255.0338118119125</v>
      </c>
      <c r="AF118" s="712">
        <f>Sheet1!BA118+Sheet1!BB118+Sheet1!BN118+BT118</f>
        <v>17.399999999999999</v>
      </c>
      <c r="AG118" s="712">
        <f t="shared" ref="AG118" si="471">AF118+(DE118*AF118)</f>
        <v>16.713852376137513</v>
      </c>
      <c r="AH118" s="712">
        <f>Sheet1!BA118+BT118</f>
        <v>0</v>
      </c>
      <c r="AI118" s="712">
        <f>Sheet1!BA118+Sheet1!BB118+BT118</f>
        <v>0</v>
      </c>
      <c r="AJ118" s="712">
        <f>IF((Sheet1!AA118+AG118+AX118+AZ118+BQ118+BS118+CL118+CN118)&lt;=N118,AG118+AX118+AZ118+BQ118+BS118+CL118+CN118,N118-Sheet1!AA118)</f>
        <v>16.713852376137513</v>
      </c>
      <c r="AK118" s="712">
        <f>IF(DR118&lt;K118,0,MAX(Sheet1!AA118+AG118-15/36*K118-N118,Sheet1!ED118,0))</f>
        <v>0</v>
      </c>
      <c r="AL118" s="712">
        <f>IF(OR(B118&gt;=FT118,B118&lt;FS118),0,15/36*K118-MAX(0,64.6-(137.6-(Sheet1!AA118+Sheet1!AB118))))</f>
        <v>26.933333333333334</v>
      </c>
      <c r="AM118" s="712">
        <f>Sheet1!CX118-110</f>
        <v>1086.1500000000001</v>
      </c>
      <c r="AN118" s="712">
        <f>Sheet1!CW118-265</f>
        <v>1907.5</v>
      </c>
      <c r="AO118" s="712">
        <f t="shared" si="371"/>
        <v>30.28614762386249</v>
      </c>
      <c r="AP118" s="712">
        <f t="shared" ref="AP118" si="472">IF(OR(AM118-AN118-(AO118*1.547)&lt;0,AN118&gt;350),0,AM118-AN118-(AO118*1.547))</f>
        <v>0</v>
      </c>
      <c r="AQ118" s="712">
        <f t="shared" ref="AQ118" si="473">IF(AP118&lt;=0,0,AP118/1.547)</f>
        <v>0</v>
      </c>
      <c r="AR118" s="712">
        <f t="shared" ref="AR118" si="474">GE118+GG118</f>
        <v>1211.9999999999993</v>
      </c>
      <c r="AS118" s="712"/>
      <c r="AT118" s="712">
        <f ca="1">IF(B118&gt;Summary!$A$1,#N/A,AR118*MGtoAF)</f>
        <v>3718.4159999999979</v>
      </c>
      <c r="AU118" s="712">
        <f>Sheet1!BG118+Sheet1!BH118+Sheet1!BI118-BC118</f>
        <v>0</v>
      </c>
      <c r="AV118" s="712">
        <f t="shared" ref="AV118" si="475">AU118+(DE118*AU118)</f>
        <v>0</v>
      </c>
      <c r="AW118" s="712">
        <f>IF(Sheet1!EL118="FM",BC118,0)</f>
        <v>0</v>
      </c>
      <c r="AX118" s="712">
        <f t="shared" ref="AX118" si="476">AW118+(DE118*AW118)</f>
        <v>0</v>
      </c>
      <c r="AY118" s="712">
        <f>IF(Sheet1!EL118="OTHER",BC118,0)</f>
        <v>0</v>
      </c>
      <c r="AZ118" s="712">
        <f t="shared" ref="AZ118" si="477">AY118+(DE118*AY118)</f>
        <v>0</v>
      </c>
      <c r="BA118" s="712">
        <f t="shared" ref="BA118" si="478">MAX(AU118,AW118,AY118)</f>
        <v>0</v>
      </c>
      <c r="BB118" s="712">
        <f t="shared" ref="BB118" si="479">MAX(AV118,AX118,AZ118)</f>
        <v>0</v>
      </c>
      <c r="BC118" s="712">
        <f>IF(OR(Sheet1!EL118="FM", Sheet1!EL118="OTHER"),SUM(Sheet1!BG118:'Sheet1'!BI118),0)</f>
        <v>0</v>
      </c>
      <c r="BD118" s="697">
        <f>IF(AND($B118&gt;=$FL118,$B118&lt;=$FM118),MAX(AV118,Sheet1!EE118,0),MAX(AV118-(7/36)*$K118,0))</f>
        <v>0</v>
      </c>
      <c r="BE118" s="712">
        <f t="shared" ref="BE118" si="480">IF(B118&gt;=FS118,IF(B118&lt;=FT118,(7/36)*K118-AV118,0),0)</f>
        <v>12.568888888888889</v>
      </c>
      <c r="BF118" s="697">
        <f t="shared" ref="BF118" si="481">MAX(BB118-BD118,0)</f>
        <v>0</v>
      </c>
      <c r="BG118" s="697">
        <f>IF(AND($O118&gt;0,Sheet1!EI118=1),(1-($O118-Sheet1!$L118)/$O118)*BB118,0)</f>
        <v>0</v>
      </c>
      <c r="BH118" s="697">
        <f>IF(AND(Sheet1!$L118=0,Sheet1!$L117=0, Calculation!BA118&lt;Sheet1!$EE118-0.1,Sheet1!$EE118=Sheet1!$EE117,Sheet1!$EE118=Sheet1!$EE119),Sheet1!$EE118,BB118-BG118)</f>
        <v>0</v>
      </c>
      <c r="BI118" s="712"/>
      <c r="BJ118" s="712"/>
      <c r="BK118" s="712">
        <f t="shared" ref="BK118" si="482">GL118+GN118</f>
        <v>565.59999999999945</v>
      </c>
      <c r="BL118" s="712"/>
      <c r="BM118" s="712">
        <f ca="1">IF(B118&gt;Summary!$A$1,#N/A,BK118*MGtoAF)</f>
        <v>1735.2607999999984</v>
      </c>
      <c r="BN118" s="712">
        <f>Sheet1!BC118+Sheet1!BD118+Sheet1!BE118+Sheet1!BF118-BW118-BX118</f>
        <v>0.66</v>
      </c>
      <c r="BO118" s="712">
        <f t="shared" ref="BO118" si="483">BN118+(DE118*BN118)</f>
        <v>0.63397371081900922</v>
      </c>
      <c r="BP118" s="712">
        <f>IF(Sheet1!EM118="FM",BX118,0)</f>
        <v>0</v>
      </c>
      <c r="BQ118" s="712">
        <f t="shared" ref="BQ118" si="484">BP118+(DE118*BP118)</f>
        <v>0</v>
      </c>
      <c r="BR118" s="712">
        <f>IF(Sheet1!EM118="OTHER",BX118,0)</f>
        <v>0</v>
      </c>
      <c r="BS118" s="712">
        <f t="shared" ref="BS118" si="485">BR118+(DE118*BR118)</f>
        <v>0</v>
      </c>
      <c r="BT118" s="712">
        <f t="shared" ref="BT118" si="486">BW118</f>
        <v>0</v>
      </c>
      <c r="BU118" s="712">
        <f t="shared" ref="BU118" si="487">MAX(BN118,BP118,BR118)</f>
        <v>0.66</v>
      </c>
      <c r="BV118" s="712">
        <f t="shared" ref="BV118" si="488">MAX(BO118,BQ118, BS118)</f>
        <v>0.63397371081900922</v>
      </c>
      <c r="BW118" s="712">
        <f>IF(Sheet1!EM118="CWA",SUM(Sheet1!BC118:'Sheet1'!BF118),0)</f>
        <v>0</v>
      </c>
      <c r="BX118" s="712">
        <f>IF(OR(Sheet1!EM118="FM", Sheet1!EM118="OTHER"),SUM(Sheet1!BC118:'Sheet1'!BF118),0)</f>
        <v>0</v>
      </c>
      <c r="BY118" s="697">
        <f>IF(AND($B118&gt;=$FL118,$B118&lt;=$FM118),MAX(BV118,Sheet1!EF118,0),MAX(BV118-(7/36)*$K118,0))</f>
        <v>0</v>
      </c>
      <c r="BZ118" s="712">
        <f t="shared" ref="BZ118" si="489">IF(B118&gt;=FS118,IF(B118&lt;=FT118,(7/36)*K118-BO118,0),0)</f>
        <v>11.934915178069879</v>
      </c>
      <c r="CA118" s="697">
        <f t="shared" ref="CA118" si="490">MAX(BV118-BY118,0)</f>
        <v>0.63397371081900922</v>
      </c>
      <c r="CB118" s="697">
        <f>IF(AND($O118&gt;0,Sheet1!EJ118=1),(1-($O118-Sheet1!$L118)/$O118)*BV118,0)</f>
        <v>0.54380856083586127</v>
      </c>
      <c r="CC118" s="697">
        <f>IF(AND(Sheet1!$L118=0,Sheet1!$L117=0, Calculation!BU118&lt;Sheet1!EF118-0.1,Sheet1!EF118=Sheet1!EF117,Sheet1!EF118=Sheet1!EF119),Sheet1!EF118,BV118-CB118)</f>
        <v>9.0165149983147952E-2</v>
      </c>
      <c r="CD118" s="697"/>
      <c r="CE118" s="712"/>
      <c r="CF118" s="712">
        <f t="shared" ref="CF118" si="491">GS118+GU118</f>
        <v>502.19585028893226</v>
      </c>
      <c r="CG118" s="712"/>
      <c r="CH118" s="712">
        <f ca="1">IF(B118&gt;Summary!$A$1,#N/A,CF118*MGtoAF)</f>
        <v>1540.7368686864443</v>
      </c>
      <c r="CI118" s="712">
        <f>Sheet1!BK118+Sheet1!BL118+Sheet1!BM118-Sheet1!EN118-CQ118</f>
        <v>1.72</v>
      </c>
      <c r="CJ118" s="712">
        <f t="shared" ref="CJ118" si="492">CI118+(DE118*CI118)</f>
        <v>1.6521739130434785</v>
      </c>
      <c r="CK118" s="712">
        <f>IF(Sheet1!EN118="FM",CQ118,0)</f>
        <v>0</v>
      </c>
      <c r="CL118" s="712">
        <f t="shared" ref="CL118" si="493">CK118+(DE118*CK118)</f>
        <v>0</v>
      </c>
      <c r="CM118" s="712">
        <f>IF(Sheet1!EN118="OTHER",CQ118,0)</f>
        <v>0</v>
      </c>
      <c r="CN118" s="712">
        <f t="shared" ref="CN118" si="494">CM118+(DE118*CM118)</f>
        <v>0</v>
      </c>
      <c r="CO118" s="712">
        <f t="shared" ref="CO118" si="495">MAX(CI118,CK118)</f>
        <v>1.72</v>
      </c>
      <c r="CP118" s="712">
        <f t="shared" ref="CP118" si="496">MAX(CJ118,CL118)</f>
        <v>1.6521739130434785</v>
      </c>
      <c r="CQ118" s="712">
        <f>IF(OR(Sheet1!EN118="FM", Sheet1!EN118="OTHER"),SUM(Sheet1!BK118:'Sheet1'!BM118),0)</f>
        <v>0</v>
      </c>
      <c r="CR118" s="697">
        <f>IF(AND($B118&gt;=$FL118,$B118&lt;=$FM118),MAX($CJ118,Sheet1!EG118,0),MAX($CJ118-(7/36)*$K118,0))</f>
        <v>0</v>
      </c>
      <c r="CS118" s="712">
        <f t="shared" ref="CS118" si="497">IF(B118&gt;=FS118,IF(B118&lt;=FT118,(7/36)*K118-CJ118,0),0)</f>
        <v>10.916714975845411</v>
      </c>
      <c r="CT118" s="697">
        <f t="shared" ref="CT118" si="498">MAX(CP118-CR118,0)</f>
        <v>1.6521739130434785</v>
      </c>
      <c r="CU118" s="697">
        <f>IF(AND($O118&gt;0,Sheet1!EK118=1),(1-($O118-Sheet1!$L118)/$O118)*CP118,0)</f>
        <v>0</v>
      </c>
      <c r="CV118" s="697">
        <f>IF(AND(Sheet1!$L118=0,Sheet1!$L117=0, Calculation!CO118&lt;Sheet1!$EG118-0.1,Sheet1!$EG118=Sheet1!$EG117,Sheet1!$EG118=Sheet1!$EG119),Sheet1!$EG118,CP118-CU118)</f>
        <v>1.6521739130434785</v>
      </c>
      <c r="CW118" s="697">
        <f t="shared" si="362"/>
        <v>0</v>
      </c>
      <c r="CX118" s="712">
        <f t="shared" ref="CX118" si="499">BA118+BU118+CO118</f>
        <v>2.38</v>
      </c>
      <c r="CY118" s="712">
        <f t="shared" ref="CY118" si="500">GZ118+HB118</f>
        <v>410.89313661195314</v>
      </c>
      <c r="CZ118" s="712">
        <f t="shared" ref="CZ118" si="501">BB118+BV118+CP118</f>
        <v>2.2861476238624876</v>
      </c>
      <c r="DA118" s="712">
        <f ca="1">IF(B118&gt;Summary!$A$1,#N/A,CY118*MGtoAF)</f>
        <v>1260.6201431254722</v>
      </c>
      <c r="DB118" s="712">
        <f t="shared" ref="DB118" si="502">CO118+BU118+BA118</f>
        <v>2.38</v>
      </c>
      <c r="DC118" s="712">
        <f t="shared" ref="DC118" si="503">DB118+AF118</f>
        <v>19.779999999999998</v>
      </c>
      <c r="DD118" s="712">
        <f>Sheet1!AB118-DC118</f>
        <v>-0.77999999999999758</v>
      </c>
      <c r="DE118" s="712">
        <f t="shared" ref="DE118" si="504">IF(DC118=0,0,DD118/DC118)</f>
        <v>-3.9433771486349731E-2</v>
      </c>
      <c r="DF118" s="712">
        <f>(VLOOKUP(Sheet1!CY118,hhdcap_wcm,4)-(((VLOOKUP(Sheet1!CY118,hhdcap_wcm,3)-Sheet1!CY118)/(VLOOKUP(Sheet1!CY118,hhdcap_wcm,3)-VLOOKUP(Sheet1!CY118,hhdcap_wcm,1)))*(VLOOKUP(Sheet1!CY118,hhdcap_wcm,4)-VLOOKUP(Sheet1!CY118,hhdcap_wcm,2))))</f>
        <v>27511.800000067924</v>
      </c>
      <c r="DG118" s="712">
        <f t="shared" ref="DG118" si="505">DF118-DF117</f>
        <v>325.60000000036962</v>
      </c>
      <c r="DH118" s="712">
        <f t="shared" ref="DH118" si="506">DG118*AFtoCFS</f>
        <v>164.195663136848</v>
      </c>
      <c r="DI118" s="712">
        <f>Sheet1!DW118*AFtoMG</f>
        <v>0</v>
      </c>
      <c r="DJ118" s="712">
        <f>Sheet1!DX118*AFtoMG</f>
        <v>0</v>
      </c>
      <c r="DK118" s="712">
        <f>Sheet1!DY118*AFtoMG</f>
        <v>0</v>
      </c>
      <c r="DL118" s="712">
        <f>Sheet1!DZ118*AFtoMG</f>
        <v>0</v>
      </c>
      <c r="DM118" s="712">
        <f t="shared" ref="DM118" si="507">SUM(DI118:DL118)</f>
        <v>0</v>
      </c>
      <c r="DN118" s="712">
        <f t="shared" ref="DN118" si="508">DM118*MGtoAF</f>
        <v>0</v>
      </c>
      <c r="DO118" s="712">
        <f t="shared" ref="DO118" si="509">AD118</f>
        <v>2690.6889869008842</v>
      </c>
      <c r="DP118" s="712">
        <f t="shared" ref="DP118" si="510">DO118*MGtoAF</f>
        <v>8255.0338118119125</v>
      </c>
      <c r="DQ118" s="712"/>
      <c r="DR118" s="697">
        <f>IF(OR(B118&lt;FL118,B118&gt;FM118),(MIN(AV118+BO118+CJ118+MAX(Sheet1!AA118+AG118-73,0),K118)),0)</f>
        <v>2.2861476238624876</v>
      </c>
      <c r="DS118" s="712"/>
      <c r="DT118" s="712">
        <f t="shared" ref="DT118" si="511">CJ118+AV118+BO118</f>
        <v>2.2861476238624876</v>
      </c>
      <c r="DU118" s="712"/>
      <c r="DV118" s="712">
        <f>Sheet1!ED118+Sheet1!EE118+Sheet1!EF118+Sheet1!EG118</f>
        <v>8.5</v>
      </c>
      <c r="DW118" s="712"/>
      <c r="DX118" s="697">
        <f t="shared" ref="DX118" si="512">DR118-BF118-CA118-CT118</f>
        <v>0</v>
      </c>
      <c r="DY118" s="712">
        <f>IF(Sheet1!FN118=1,SUM('Calculations II'!AT118:BA118)+'Calculations II'!BC118+Sheet1!BU118+'Calculations II'!BE118+AF118,SUM('Calculations II'!AT118:BA118)+'Calculations II'!BC118+Sheet1!BU118+'Calculations II'!BE118+AF118)</f>
        <v>42.814895999999997</v>
      </c>
      <c r="DZ118" s="712">
        <f>Sheet1!AA118+Sheet1!AB118+'Calculations II'!BC118</f>
        <v>45</v>
      </c>
      <c r="EA118" s="712"/>
      <c r="EB118" s="712"/>
      <c r="EC118" s="712">
        <f t="shared" ref="EC118" si="513">B118</f>
        <v>40647</v>
      </c>
      <c r="ED118" s="712">
        <f t="shared" ref="ED118" si="514">Z118-X118</f>
        <v>62.35385237613751</v>
      </c>
      <c r="EE118" s="712">
        <f t="shared" ref="EE118" si="515">AA118-Y118</f>
        <v>96.461409625884727</v>
      </c>
      <c r="EF118" s="712">
        <f>-(VLOOKUP(Sheet1!BQ118,Lookup!$B$4:$J$236,2)-VLOOKUP(Sheet1!BQ117,Lookup!$B$4:$J$236,2))/1000000</f>
        <v>-0.80469999999999997</v>
      </c>
      <c r="EG118" s="712">
        <f>-(VLOOKUP(Sheet1!BR118,Lookup!$B$4:$J$236,3)-VLOOKUP(Sheet1!BR117,Lookup!$B$4:$J$236,3))/1000000</f>
        <v>-0.80320000000000003</v>
      </c>
      <c r="EH118" s="712">
        <f>-(VLOOKUP(Sheet1!BS118,Lookup!$B$4:$J$236,4)-VLOOKUP(Sheet1!BS117,Lookup!$B$4:$J$236,4))/1000000</f>
        <v>0</v>
      </c>
      <c r="EI118" s="697">
        <f t="shared" ref="EI118" si="516">EH118+EG118+EF118</f>
        <v>-1.6078999999999999</v>
      </c>
      <c r="EJ118" s="712"/>
      <c r="EK118" s="712"/>
      <c r="EL118" s="712"/>
      <c r="EM118" s="712"/>
      <c r="EN118" s="712"/>
      <c r="EO118" s="712"/>
      <c r="EP118" s="712"/>
      <c r="EQ118" s="712"/>
      <c r="ER118" s="697">
        <v>0</v>
      </c>
      <c r="ES118" s="712"/>
      <c r="ET118" s="794" t="e">
        <f t="shared" si="437"/>
        <v>#N/A</v>
      </c>
      <c r="EU118" s="794" t="e">
        <f t="shared" si="363"/>
        <v>#VALUE!</v>
      </c>
      <c r="EV118" s="795" t="e">
        <f t="shared" si="364"/>
        <v>#VALUE!</v>
      </c>
      <c r="EW118" s="796" t="s">
        <v>757</v>
      </c>
      <c r="EX118" s="796" t="s">
        <v>757</v>
      </c>
      <c r="EY118" s="794">
        <v>0</v>
      </c>
      <c r="EZ118" s="794" t="e">
        <v>#N/A</v>
      </c>
      <c r="FA118" s="712"/>
      <c r="FB118" s="712"/>
      <c r="FC118" s="712"/>
      <c r="FD118" s="712"/>
      <c r="FE118" s="712">
        <f>O118+Sheet1!CO118</f>
        <v>45</v>
      </c>
      <c r="FF118" s="712">
        <f>IF(Sheet1!AA118+AG118&lt;=Calculation!N118,AG118,Calculation!N118-Sheet1!AA118)</f>
        <v>16.713852376137513</v>
      </c>
      <c r="FG118" s="712">
        <f>(Sheet1!BP118+Sheet1!BO118)/694.4</f>
        <v>1.5309619815668203</v>
      </c>
      <c r="FH118" s="712"/>
      <c r="FI118" s="712"/>
      <c r="FJ118" s="712"/>
      <c r="FK118" s="712"/>
      <c r="FL118" s="714">
        <f t="shared" si="381"/>
        <v>40753</v>
      </c>
      <c r="FM118" s="714">
        <f t="shared" si="382"/>
        <v>40851</v>
      </c>
      <c r="FN118" s="712"/>
      <c r="FO118" s="712"/>
      <c r="FP118" s="712"/>
      <c r="FQ118" s="712"/>
      <c r="FR118" s="712"/>
      <c r="FS118" s="725">
        <f t="shared" si="383"/>
        <v>40603</v>
      </c>
      <c r="FT118" s="714">
        <f t="shared" si="384"/>
        <v>40709</v>
      </c>
      <c r="FU118" s="712">
        <f t="shared" si="385"/>
        <v>6518.9048239895692</v>
      </c>
      <c r="FV118" s="714">
        <f t="shared" si="386"/>
        <v>40722</v>
      </c>
      <c r="FW118" s="712">
        <f t="shared" si="387"/>
        <v>3259.4524119947846</v>
      </c>
      <c r="FX118" s="725">
        <f t="shared" si="388"/>
        <v>40851</v>
      </c>
      <c r="FZ118" s="697">
        <f t="shared" si="365"/>
        <v>0</v>
      </c>
      <c r="GA118" s="712" t="str">
        <f t="shared" ref="GA118" si="517">CONCATENATE(GC118,GQ118,GJ118,GX118)</f>
        <v/>
      </c>
      <c r="GB118" s="712">
        <f t="shared" ref="GB118" si="518">IF(GF118&gt;=8333.33,AL118,0)</f>
        <v>0</v>
      </c>
      <c r="GC118" s="712" t="str">
        <f t="shared" ref="GC118" si="519">IF(AND(GF118&lt;8333.33,FZ118&gt;0),"T","")</f>
        <v/>
      </c>
      <c r="GD118" s="712">
        <f>IF(GA118="P",Lookup!$M$12,IF(GA118="PP",Lookup!$M$13,IF(GA118="PPP",Lookup!$M$14,IF(GA118="T",Lookup!$M$15,IF(GA118="TP",Lookup!$M$16,IF(GA118="TPP",Lookup!$M$17,IF(GA118="TPPP",Lookup!$M$18,0)))))))*FZ118</f>
        <v>0</v>
      </c>
      <c r="GE118" s="712">
        <f t="shared" ref="GE118" si="520">IF(GC118="T",GD118,0)</f>
        <v>0</v>
      </c>
      <c r="GF118" s="712">
        <f t="shared" ref="GF118" si="521">GG118*MGtoAF</f>
        <v>3718.4159999999979</v>
      </c>
      <c r="GG118" s="712">
        <f t="shared" ref="GG118" si="522">(IF(AND(B118&lt;FV118,B118&gt;=FS118),MIN(AR117+AL118-AK118,15/36*FU118),IF(B118=FV118,15/36*FW118,IF(AND(B118&gt;FV118,B118&lt;FX118),MIN(AR117+AL118-AK118,15/36*FW118),IF(B118&gt;=FX118,0,0)))))+DI118</f>
        <v>1211.9999999999993</v>
      </c>
      <c r="GH118" s="712"/>
      <c r="GI118" s="712">
        <f t="shared" ref="GI118" si="523">IF(GM118&gt;=3888.88,BE118,0)</f>
        <v>0</v>
      </c>
      <c r="GJ118" s="712" t="str">
        <f t="shared" ref="GJ118" si="524">IF(AND(GM118&lt;3888.88,FZ118&gt;0),"P","")</f>
        <v/>
      </c>
      <c r="GK118" s="712">
        <f>IF(GA118="P",Lookup!$N$12,IF(GA118="PP",Lookup!$N$13,IF(GA118="PPP",Lookup!$N$14,IF(GA118="T",Lookup!$N$15,IF(GA118="TP",Lookup!$N$16,IF(GA118="TPP",Lookup!$N$17,IF(GA118="TPPP",Lookup!$N$18,0)))))))*FZ118</f>
        <v>0</v>
      </c>
      <c r="GL118" s="712">
        <f t="shared" ref="GL118" si="525">IF(GJ118="P",GK118,0)</f>
        <v>0</v>
      </c>
      <c r="GM118" s="712">
        <f t="shared" ref="GM118" si="526">GN118*MGtoAF</f>
        <v>1735.2607999999984</v>
      </c>
      <c r="GN118" s="712">
        <f t="shared" ref="GN118" si="527">(IF(AND(B118&lt;FV118,B118&gt;=FS118),MIN(BK117+BE118-BD118,7/36*FU118),IF(B118=FV118,7/36*FW118,IF(AND(B118&gt;FV118,B118&lt;FX118),MIN(BK117+BE118-BD118,7/36*FW118),IF(B118&gt;=FX118,0,0)))))+DJ118</f>
        <v>565.59999999999945</v>
      </c>
      <c r="GO118" s="712"/>
      <c r="GP118" s="712">
        <f t="shared" ref="GP118" si="528">IF(GT118&gt;=8333.33,BZ118,0)</f>
        <v>0</v>
      </c>
      <c r="GQ118" s="712" t="str">
        <f t="shared" ref="GQ118" si="529">IF(AND(GT118&lt;3888.88,FZ118&gt;0),"P","")</f>
        <v/>
      </c>
      <c r="GR118" s="712">
        <f>IF(GA118="P",Lookup!$N$12,IF(GA118="PP",Lookup!$N$13,IF(GA118="PPP",Lookup!$N$14,IF(GA118="T",Lookup!$N$15,IF(GA118="TP",Lookup!$N$16,IF(GA118="TPP",Lookup!$N$17,IF(GA118="TPPP",Lookup!$N$18,0)))))))*FZ118</f>
        <v>0</v>
      </c>
      <c r="GS118" s="697">
        <f t="shared" si="377"/>
        <v>0</v>
      </c>
      <c r="GT118" s="712">
        <f t="shared" ref="GT118" si="530">GU118*MGtoAF</f>
        <v>1540.7368686864443</v>
      </c>
      <c r="GU118" s="712">
        <f t="shared" ref="GU118" si="531">IF(AND(B118&lt;FV118,B118&gt;=FS118),MIN(CF117+BZ118-BY118,7/36*FU118),IF(B118=FV118,7/36*FW118,IF(AND(B118&gt;FV118,B118&lt;FX118),MIN(CF117+BZ118-BY118,7/36*FW118),IF(B118&gt;=FX118,0,0))))+DK118</f>
        <v>502.19585028893226</v>
      </c>
      <c r="GV118" s="712"/>
      <c r="GW118" s="712">
        <f t="shared" ref="GW118" si="532">IF(HA118&gt;=3888.88,CS118,0)</f>
        <v>0</v>
      </c>
      <c r="GX118" s="712" t="str">
        <f t="shared" ref="GX118" si="533">IF(AND(HA118&lt;3888.88,FZ118&gt;0),"P","")</f>
        <v/>
      </c>
      <c r="GY118" s="712">
        <f>IF(GA118="P",Lookup!$N$12,IF(GA118="PP",Lookup!$N$13,IF(GA118="PPP",Lookup!$N$14,IF(GA118="T",Lookup!$N$15,IF(GA118="TP",Lookup!$N$16,IF(GA118="TPP",Lookup!$N$17,IF(GA118="TPPP",Lookup!$N$18,0)))))))*FZ118</f>
        <v>0</v>
      </c>
      <c r="GZ118" s="697">
        <f t="shared" si="378"/>
        <v>0</v>
      </c>
      <c r="HA118" s="712">
        <f t="shared" ref="HA118" si="534">HB118*MGtoAF</f>
        <v>1260.6201431254722</v>
      </c>
      <c r="HB118" s="712">
        <f t="shared" ref="HB118" si="535">(IF(AND(B118&lt;FV118,B118&gt;=FS118),MIN(CY117+CS118-CR118,7/36*FU118),IF(B118=FV118,7/36*FW118,IF(AND(B118&gt;FV118,B118&lt;FX118),MIN(CY117+CS118-CR118,7/36*FW118),IF(B118&gt;=FX118,0,0)))))+DL118</f>
        <v>410.89313661195314</v>
      </c>
      <c r="HC118" s="712"/>
    </row>
    <row r="119" spans="1:211">
      <c r="A119" s="773" t="s">
        <v>8</v>
      </c>
      <c r="B119" s="708">
        <v>40648</v>
      </c>
      <c r="C119" s="709">
        <v>0.5</v>
      </c>
      <c r="D119" s="675">
        <f t="shared" si="366"/>
        <v>300</v>
      </c>
      <c r="E119" s="675">
        <f t="shared" si="367"/>
        <v>250</v>
      </c>
      <c r="F119" s="675">
        <v>250</v>
      </c>
      <c r="G119" s="712">
        <f>DH119+Sheet1!CV119</f>
        <v>1377.7617246606394</v>
      </c>
      <c r="H119" s="712">
        <f t="shared" ref="H119" si="536">MAX((G119-113-D119)*CFStoMGD,0)</f>
        <v>623.62197882063731</v>
      </c>
      <c r="I119" s="711">
        <f>MAX(Sheet1!Z119-AJ119+(Sheet1!CW119-E119)*CFStoMGD,0)</f>
        <v>1193.9000320269702</v>
      </c>
      <c r="J119" s="720">
        <f>IF(AND(B119&gt;=Calculation!FS119,B119&lt;=Calculation!FT119),IF(Sheet1!CX119&gt;=Calculation!D119,64.64,0),MAX(Sheet1!Z119-AJ119+(Sheet1!CX119-D119)*CFStoMGD,0))</f>
        <v>64.64</v>
      </c>
      <c r="K119" s="697">
        <f t="shared" ref="K119" si="537">MAX(MIN(H119:J119,64.64),0)</f>
        <v>64.64</v>
      </c>
      <c r="L119" s="712">
        <f>Sheet1!AA119+Sheet1!AB119-Sheet1!L119+(Sheet1!CW119-F119)*CFStoMGD</f>
        <v>1199.6786666666669</v>
      </c>
      <c r="M119" s="712">
        <f t="shared" ref="M119" si="538">1.02*CFStoMGD*G119</f>
        <v>908.39688239705004</v>
      </c>
      <c r="N119" s="712">
        <f>IF(Sheet1!CW119&gt;=F119,MIN(73,MIN(MAX(L119,0),MAX(M119,0))),0)</f>
        <v>73</v>
      </c>
      <c r="O119" s="721">
        <f>Sheet1!AA119+Sheet1!AB119</f>
        <v>52</v>
      </c>
      <c r="P119" s="721">
        <f t="shared" ref="P119" si="539">U119+V119</f>
        <v>80.443999999999988</v>
      </c>
      <c r="Q119" s="712">
        <f>MIN(N119,Sheet1!AA119+AG119)</f>
        <v>43.878634639696585</v>
      </c>
      <c r="R119" s="712">
        <f t="shared" ref="R119" si="540">IF(AND(B119&gt;=FV119,B119&lt;=FX119),MAX(DR119,DV119),DR119)</f>
        <v>8.1213653603034146</v>
      </c>
      <c r="S119" s="721">
        <f>Sheet1!Y119*MGDtoCFS</f>
        <v>42.140279999999997</v>
      </c>
      <c r="T119" s="721">
        <f>Sheet1!Z119*MGDtoCFS</f>
        <v>36.354500000000002</v>
      </c>
      <c r="U119" s="721">
        <f>Sheet1!AA119*MGDtoCFS</f>
        <v>43.315999999999995</v>
      </c>
      <c r="V119" s="721">
        <f>Sheet1!AB119*MGDtoCFS</f>
        <v>37.128</v>
      </c>
      <c r="W119" s="721">
        <f>Sheet1!L119*MGDtoCFS</f>
        <v>59.714199999999998</v>
      </c>
      <c r="X119" s="697">
        <f t="shared" ref="X119" si="541">AK119+BD119+BY119+CR119</f>
        <v>0</v>
      </c>
      <c r="Y119" s="712">
        <f t="shared" ref="Y119" si="542">X119*MGDtoCFS</f>
        <v>0</v>
      </c>
      <c r="Z119" s="712">
        <f t="shared" ref="Z119" si="543">IF(B119&gt;=FS119,IF(B119&lt;=FT119,K119-DR119,0),0)</f>
        <v>56.518634639696586</v>
      </c>
      <c r="AA119" s="712">
        <f t="shared" ref="AA119" si="544">Z119*MGDtoCFS</f>
        <v>87.434327787610613</v>
      </c>
      <c r="AB119" s="712">
        <f>(VLOOKUP(Sheet1!CY119,hhdcap_wcm,4)-(((VLOOKUP(Sheet1!CY119,hhdcap_wcm,3)-Sheet1!CY119)/(VLOOKUP(Sheet1!CY119,hhdcap_wcm,3)-VLOOKUP(Sheet1!CY119,hhdcap_wcm,1)))*(VLOOKUP(Sheet1!CY119,hhdcap_wcm,4)-VLOOKUP(Sheet1!CY119,hhdcap_wcm,2))))</f>
        <v>27922.800000069972</v>
      </c>
      <c r="AC119" s="712">
        <f t="shared" ref="AC119" si="545">AB119-AB118</f>
        <v>411.00000000204818</v>
      </c>
      <c r="AD119" s="712">
        <f t="shared" ref="AD119" si="546">(IF(AND(B119&gt;=FS119,B119&lt;FV119),MIN(AR119+BK119+CF119+CY119,FU119),IF(B119=FV119,FW119,IF(AND(B119&gt;FV119,B119&lt;FX119),AR119+BK119+CF119+CY119,IF(B119&gt;=FX119,0,0)))))</f>
        <v>2747.2076215405805</v>
      </c>
      <c r="AE119" s="712">
        <f t="shared" ref="AE119" si="547">AD119*MGtoAF</f>
        <v>8428.4329828865011</v>
      </c>
      <c r="AF119" s="712">
        <f>Sheet1!BA119+Sheet1!BB119+Sheet1!BN119+BT119</f>
        <v>15.7</v>
      </c>
      <c r="AG119" s="712">
        <f t="shared" ref="AG119" si="548">AF119+(DE119*AF119)</f>
        <v>15.878634639696587</v>
      </c>
      <c r="AH119" s="712">
        <f>Sheet1!BA119+BT119</f>
        <v>0</v>
      </c>
      <c r="AI119" s="712">
        <f>Sheet1!BA119+Sheet1!BB119+BT119</f>
        <v>0</v>
      </c>
      <c r="AJ119" s="712">
        <f>IF((Sheet1!AA119+AG119+AX119+AZ119+BQ119+BS119+CL119+CN119)&lt;=N119,AG119+AX119+AZ119+BQ119+BS119+CL119+CN119,N119-Sheet1!AA119)</f>
        <v>15.878634639696587</v>
      </c>
      <c r="AK119" s="712">
        <f>IF(DR119&lt;K119,0,MAX(Sheet1!AA119+AG119-15/36*K119-N119,Sheet1!ED119,0))</f>
        <v>0</v>
      </c>
      <c r="AL119" s="712">
        <f>IF(OR(B119&gt;=FT119,B119&lt;FS119),0,15/36*K119-MAX(0,64.6-(137.6-(Sheet1!AA119+Sheet1!AB119))))</f>
        <v>26.933333333333334</v>
      </c>
      <c r="AM119" s="712">
        <f>Sheet1!CX119-110</f>
        <v>1041.1458333333333</v>
      </c>
      <c r="AN119" s="712">
        <f>Sheet1!CW119-265</f>
        <v>1820.2083333333335</v>
      </c>
      <c r="AO119" s="712">
        <f t="shared" si="371"/>
        <v>29.121365360303415</v>
      </c>
      <c r="AP119" s="712">
        <f t="shared" ref="AP119" si="549">IF(OR(AM119-AN119-(AO119*1.547)&lt;0,AN119&gt;350),0,AM119-AN119-(AO119*1.547))</f>
        <v>0</v>
      </c>
      <c r="AQ119" s="712">
        <f t="shared" ref="AQ119" si="550">IF(AP119&lt;=0,0,AP119/1.547)</f>
        <v>0</v>
      </c>
      <c r="AR119" s="712">
        <f t="shared" ref="AR119" si="551">GE119+GG119</f>
        <v>1238.9333333333327</v>
      </c>
      <c r="AS119" s="712"/>
      <c r="AT119" s="712">
        <f ca="1">IF(B119&gt;Summary!$A$1,#N/A,AR119*MGtoAF)</f>
        <v>3801.0474666666651</v>
      </c>
      <c r="AU119" s="712">
        <f>Sheet1!BG119+Sheet1!BH119+Sheet1!BI119-BC119</f>
        <v>0</v>
      </c>
      <c r="AV119" s="712">
        <f t="shared" ref="AV119" si="552">AU119+(DE119*AU119)</f>
        <v>0</v>
      </c>
      <c r="AW119" s="712">
        <f>IF(Sheet1!EL119="FM",BC119,0)</f>
        <v>0</v>
      </c>
      <c r="AX119" s="712">
        <f t="shared" ref="AX119" si="553">AW119+(DE119*AW119)</f>
        <v>0</v>
      </c>
      <c r="AY119" s="712">
        <f>IF(Sheet1!EL119="OTHER",BC119,0)</f>
        <v>0</v>
      </c>
      <c r="AZ119" s="712">
        <f t="shared" ref="AZ119" si="554">AY119+(DE119*AY119)</f>
        <v>0</v>
      </c>
      <c r="BA119" s="712">
        <f t="shared" ref="BA119" si="555">MAX(AU119,AW119,AY119)</f>
        <v>0</v>
      </c>
      <c r="BB119" s="712">
        <f t="shared" ref="BB119" si="556">MAX(AV119,AX119,AZ119)</f>
        <v>0</v>
      </c>
      <c r="BC119" s="712">
        <f>IF(OR(Sheet1!EL119="FM", Sheet1!EL119="OTHER"),SUM(Sheet1!BG119:'Sheet1'!BI119),0)</f>
        <v>0</v>
      </c>
      <c r="BD119" s="697">
        <f>IF(AND($B119&gt;=$FL119,$B119&lt;=$FM119),MAX(AV119,Sheet1!EE119,0),MAX(AV119-(7/36)*$K119,0))</f>
        <v>0</v>
      </c>
      <c r="BE119" s="712">
        <f t="shared" ref="BE119" si="557">IF(B119&gt;=FS119,IF(B119&lt;=FT119,(7/36)*K119-AV119,0),0)</f>
        <v>12.568888888888889</v>
      </c>
      <c r="BF119" s="697">
        <f t="shared" ref="BF119" si="558">MAX(BB119-BD119,0)</f>
        <v>0</v>
      </c>
      <c r="BG119" s="697">
        <f>IF(AND($O119&gt;0,Sheet1!EI119=1),(1-($O119-Sheet1!$L119)/$O119)*BB119,0)</f>
        <v>0</v>
      </c>
      <c r="BH119" s="697">
        <f>IF(AND(Sheet1!$L119=0,Sheet1!$L118=0, Calculation!BA119&lt;Sheet1!$EE119-0.1,Sheet1!$EE119=Sheet1!$EE118,Sheet1!$EE119=Sheet1!$EE120),Sheet1!$EE119,BB119-BG119)</f>
        <v>0</v>
      </c>
      <c r="BI119" s="712"/>
      <c r="BJ119" s="712"/>
      <c r="BK119" s="712">
        <f t="shared" ref="BK119" si="559">GL119+GN119</f>
        <v>578.16888888888832</v>
      </c>
      <c r="BL119" s="712"/>
      <c r="BM119" s="712">
        <f ca="1">IF(B119&gt;Summary!$A$1,#N/A,BK119*MGtoAF)</f>
        <v>1773.8221511111094</v>
      </c>
      <c r="BN119" s="712">
        <f>Sheet1!BC119+Sheet1!BD119+Sheet1!BE119+Sheet1!BF119-BW119-BX119</f>
        <v>1.9899999999999998</v>
      </c>
      <c r="BO119" s="712">
        <f t="shared" ref="BO119" si="560">BN119+(DE119*BN119)</f>
        <v>2.0126422250316054</v>
      </c>
      <c r="BP119" s="712">
        <f>IF(Sheet1!EM119="FM",BX119,0)</f>
        <v>0</v>
      </c>
      <c r="BQ119" s="712">
        <f t="shared" ref="BQ119" si="561">BP119+(DE119*BP119)</f>
        <v>0</v>
      </c>
      <c r="BR119" s="712">
        <f>IF(Sheet1!EM119="OTHER",BX119,0)</f>
        <v>0</v>
      </c>
      <c r="BS119" s="712">
        <f t="shared" ref="BS119" si="562">BR119+(DE119*BR119)</f>
        <v>0</v>
      </c>
      <c r="BT119" s="712">
        <f t="shared" ref="BT119" si="563">BW119</f>
        <v>0</v>
      </c>
      <c r="BU119" s="712">
        <f t="shared" ref="BU119" si="564">MAX(BN119,BP119,BR119)</f>
        <v>1.9899999999999998</v>
      </c>
      <c r="BV119" s="712">
        <f t="shared" ref="BV119" si="565">MAX(BO119,BQ119, BS119)</f>
        <v>2.0126422250316054</v>
      </c>
      <c r="BW119" s="712">
        <f>IF(Sheet1!EM119="CWA",SUM(Sheet1!BC119:'Sheet1'!BF119),0)</f>
        <v>0</v>
      </c>
      <c r="BX119" s="712">
        <f>IF(OR(Sheet1!EM119="FM", Sheet1!EM119="OTHER"),SUM(Sheet1!BC119:'Sheet1'!BF119),0)</f>
        <v>0</v>
      </c>
      <c r="BY119" s="697">
        <f>IF(AND($B119&gt;=$FL119,$B119&lt;=$FM119),MAX(BV119,Sheet1!EF119,0),MAX(BV119-(7/36)*$K119,0))</f>
        <v>0</v>
      </c>
      <c r="BZ119" s="712">
        <f t="shared" ref="BZ119" si="566">IF(B119&gt;=FS119,IF(B119&lt;=FT119,(7/36)*K119-BO119,0),0)</f>
        <v>10.556246663857284</v>
      </c>
      <c r="CA119" s="697">
        <f t="shared" ref="CA119" si="567">MAX(BV119-BY119,0)</f>
        <v>2.0126422250316054</v>
      </c>
      <c r="CB119" s="697">
        <f>IF(AND($O119&gt;0,Sheet1!EJ119=1),(1-($O119-Sheet1!$L119)/$O119)*BV119,0)</f>
        <v>0</v>
      </c>
      <c r="CC119" s="697">
        <f>IF(AND(Sheet1!$L119=0,Sheet1!$L118=0, Calculation!BU119&lt;Sheet1!EF119-0.1,Sheet1!EF119=Sheet1!EF118,Sheet1!EF119=Sheet1!EF120),Sheet1!EF119,BV119-CB119)</f>
        <v>2.0126422250316054</v>
      </c>
      <c r="CD119" s="697"/>
      <c r="CE119" s="712"/>
      <c r="CF119" s="712">
        <f t="shared" ref="CF119" si="568">GS119+GU119</f>
        <v>512.75209695278954</v>
      </c>
      <c r="CG119" s="712"/>
      <c r="CH119" s="712">
        <f ca="1">IF(B119&gt;Summary!$A$1,#N/A,CF119*MGtoAF)</f>
        <v>1573.1234334511585</v>
      </c>
      <c r="CI119" s="712">
        <f>Sheet1!BK119+Sheet1!BL119+Sheet1!BM119-Sheet1!EN119-CQ119</f>
        <v>6.04</v>
      </c>
      <c r="CJ119" s="712">
        <f t="shared" ref="CJ119" si="569">CI119+(DE119*CI119)</f>
        <v>6.1087231352718083</v>
      </c>
      <c r="CK119" s="712">
        <f>IF(Sheet1!EN119="FM",CQ119,0)</f>
        <v>0</v>
      </c>
      <c r="CL119" s="712">
        <f t="shared" ref="CL119" si="570">CK119+(DE119*CK119)</f>
        <v>0</v>
      </c>
      <c r="CM119" s="712">
        <f>IF(Sheet1!EN119="OTHER",CQ119,0)</f>
        <v>0</v>
      </c>
      <c r="CN119" s="712">
        <f t="shared" ref="CN119" si="571">CM119+(DE119*CM119)</f>
        <v>0</v>
      </c>
      <c r="CO119" s="712">
        <f t="shared" ref="CO119" si="572">MAX(CI119,CK119)</f>
        <v>6.04</v>
      </c>
      <c r="CP119" s="712">
        <f t="shared" ref="CP119" si="573">MAX(CJ119,CL119)</f>
        <v>6.1087231352718083</v>
      </c>
      <c r="CQ119" s="712">
        <f>IF(OR(Sheet1!EN119="FM", Sheet1!EN119="OTHER"),SUM(Sheet1!BK119:'Sheet1'!BM119),0)</f>
        <v>0</v>
      </c>
      <c r="CR119" s="697">
        <f>IF(AND($B119&gt;=$FL119,$B119&lt;=$FM119),MAX($CJ119,Sheet1!EG119,0),MAX($CJ119-(7/36)*$K119,0))</f>
        <v>0</v>
      </c>
      <c r="CS119" s="712">
        <f t="shared" ref="CS119" si="574">IF(B119&gt;=FS119,IF(B119&lt;=FT119,(7/36)*K119-CJ119,0),0)</f>
        <v>6.4601657536170807</v>
      </c>
      <c r="CT119" s="697">
        <f t="shared" ref="CT119" si="575">MAX(CP119-CR119,0)</f>
        <v>6.1087231352718083</v>
      </c>
      <c r="CU119" s="697">
        <f>IF(AND($O119&gt;0,Sheet1!EK119=1),(1-($O119-Sheet1!$L119)/$O119)*CP119,0)</f>
        <v>0</v>
      </c>
      <c r="CV119" s="697">
        <f>IF(AND(Sheet1!$L119=0,Sheet1!$L118=0, Calculation!CO119&lt;Sheet1!$EG119-0.1,Sheet1!$EG119=Sheet1!$EG118,Sheet1!$EG119=Sheet1!$EG120),Sheet1!$EG119,CP119-CU119)</f>
        <v>6.1087231352718083</v>
      </c>
      <c r="CW119" s="697">
        <f t="shared" si="362"/>
        <v>0</v>
      </c>
      <c r="CX119" s="712">
        <f t="shared" ref="CX119" si="576">BA119+BU119+CO119</f>
        <v>8.0299999999999994</v>
      </c>
      <c r="CY119" s="712">
        <f t="shared" ref="CY119" si="577">GZ119+HB119</f>
        <v>417.35330236557024</v>
      </c>
      <c r="CZ119" s="712">
        <f t="shared" ref="CZ119" si="578">BB119+BV119+CP119</f>
        <v>8.1213653603034146</v>
      </c>
      <c r="DA119" s="712">
        <f ca="1">IF(B119&gt;Summary!$A$1,#N/A,CY119*MGtoAF)</f>
        <v>1280.4399316575696</v>
      </c>
      <c r="DB119" s="712">
        <f t="shared" ref="DB119" si="579">CO119+BU119+BA119</f>
        <v>8.0299999999999994</v>
      </c>
      <c r="DC119" s="712">
        <f t="shared" ref="DC119" si="580">DB119+AF119</f>
        <v>23.729999999999997</v>
      </c>
      <c r="DD119" s="712">
        <f>Sheet1!AB119-DC119</f>
        <v>0.27000000000000313</v>
      </c>
      <c r="DE119" s="712">
        <f t="shared" ref="DE119" si="581">IF(DC119=0,0,DD119/DC119)</f>
        <v>1.137800252844514E-2</v>
      </c>
      <c r="DF119" s="712">
        <f>(VLOOKUP(Sheet1!CY119,hhdcap_wcm,4)-(((VLOOKUP(Sheet1!CY119,hhdcap_wcm,3)-Sheet1!CY119)/(VLOOKUP(Sheet1!CY119,hhdcap_wcm,3)-VLOOKUP(Sheet1!CY119,hhdcap_wcm,1)))*(VLOOKUP(Sheet1!CY119,hhdcap_wcm,4)-VLOOKUP(Sheet1!CY119,hhdcap_wcm,2))))</f>
        <v>27922.800000069972</v>
      </c>
      <c r="DG119" s="712">
        <f t="shared" ref="DG119" si="582">DF119-DF118</f>
        <v>411.00000000204818</v>
      </c>
      <c r="DH119" s="712">
        <f t="shared" ref="DH119" si="583">DG119*AFtoCFS</f>
        <v>207.26172466063949</v>
      </c>
      <c r="DI119" s="712">
        <f>Sheet1!DW119*AFtoMG</f>
        <v>0</v>
      </c>
      <c r="DJ119" s="712">
        <f>Sheet1!DX119*AFtoMG</f>
        <v>0</v>
      </c>
      <c r="DK119" s="712">
        <f>Sheet1!DY119*AFtoMG</f>
        <v>0</v>
      </c>
      <c r="DL119" s="712">
        <f>Sheet1!DZ119*AFtoMG</f>
        <v>0</v>
      </c>
      <c r="DM119" s="712">
        <f t="shared" ref="DM119" si="584">SUM(DI119:DL119)</f>
        <v>0</v>
      </c>
      <c r="DN119" s="712">
        <f t="shared" ref="DN119" si="585">DM119*MGtoAF</f>
        <v>0</v>
      </c>
      <c r="DO119" s="712">
        <f t="shared" ref="DO119" si="586">AD119</f>
        <v>2747.2076215405805</v>
      </c>
      <c r="DP119" s="712">
        <f t="shared" ref="DP119" si="587">DO119*MGtoAF</f>
        <v>8428.4329828865011</v>
      </c>
      <c r="DQ119" s="712"/>
      <c r="DR119" s="697">
        <f>IF(OR(B119&lt;FL119,B119&gt;FM119),(MIN(AV119+BO119+CJ119+MAX(Sheet1!AA119+AG119-73,0),K119)),0)</f>
        <v>8.1213653603034146</v>
      </c>
      <c r="DS119" s="712"/>
      <c r="DT119" s="712">
        <f t="shared" ref="DT119" si="588">CJ119+AV119+BO119</f>
        <v>8.1213653603034146</v>
      </c>
      <c r="DU119" s="712"/>
      <c r="DV119" s="712">
        <f>Sheet1!ED119+Sheet1!EE119+Sheet1!EF119+Sheet1!EG119</f>
        <v>8.5</v>
      </c>
      <c r="DW119" s="712"/>
      <c r="DX119" s="697">
        <f t="shared" ref="DX119" si="589">DR119-BF119-CA119-CT119</f>
        <v>0</v>
      </c>
      <c r="DY119" s="712">
        <f>IF(Sheet1!FN119=1,SUM('Calculations II'!AT119:BA119)+'Calculations II'!BC119+Sheet1!BU119+'Calculations II'!BE119+AF119,SUM('Calculations II'!AT119:BA119)+'Calculations II'!BC119+Sheet1!BU119+'Calculations II'!BE119+AF119)</f>
        <v>41.079056000000001</v>
      </c>
      <c r="DZ119" s="712">
        <f>Sheet1!AA119+Sheet1!AB119+'Calculations II'!BC119</f>
        <v>52</v>
      </c>
      <c r="EA119" s="712"/>
      <c r="EB119" s="712"/>
      <c r="EC119" s="712">
        <f t="shared" ref="EC119" si="590">B119</f>
        <v>40648</v>
      </c>
      <c r="ED119" s="712">
        <f t="shared" ref="ED119" si="591">Z119-X119</f>
        <v>56.518634639696586</v>
      </c>
      <c r="EE119" s="712">
        <f t="shared" ref="EE119" si="592">AA119-Y119</f>
        <v>87.434327787610613</v>
      </c>
      <c r="EF119" s="712">
        <f>-(VLOOKUP(Sheet1!BQ119,Lookup!$B$4:$J$236,2)-VLOOKUP(Sheet1!BQ118,Lookup!$B$4:$J$236,2))/1000000</f>
        <v>-0.8115</v>
      </c>
      <c r="EG119" s="712">
        <f>-(VLOOKUP(Sheet1!BR119,Lookup!$B$4:$J$236,3)-VLOOKUP(Sheet1!BR118,Lookup!$B$4:$J$236,3))/1000000</f>
        <v>-0.54</v>
      </c>
      <c r="EH119" s="712">
        <f>-(VLOOKUP(Sheet1!BS119,Lookup!$B$4:$J$236,4)-VLOOKUP(Sheet1!BS118,Lookup!$B$4:$J$236,4))/1000000</f>
        <v>0</v>
      </c>
      <c r="EI119" s="697">
        <f t="shared" ref="EI119" si="593">EH119+EG119+EF119</f>
        <v>-1.3515000000000001</v>
      </c>
      <c r="EJ119" s="712"/>
      <c r="EK119" s="712"/>
      <c r="EL119" s="712"/>
      <c r="EM119" s="712"/>
      <c r="EN119" s="712"/>
      <c r="EO119" s="712"/>
      <c r="EP119" s="712"/>
      <c r="EQ119" s="712"/>
      <c r="ER119" s="697">
        <v>0</v>
      </c>
      <c r="ES119" s="712"/>
      <c r="ET119" s="794" t="e">
        <f t="shared" si="437"/>
        <v>#N/A</v>
      </c>
      <c r="EU119" s="794" t="e">
        <f t="shared" si="363"/>
        <v>#VALUE!</v>
      </c>
      <c r="EV119" s="795" t="e">
        <f t="shared" si="364"/>
        <v>#VALUE!</v>
      </c>
      <c r="EW119" s="796" t="s">
        <v>757</v>
      </c>
      <c r="EX119" s="796" t="s">
        <v>757</v>
      </c>
      <c r="EY119" s="794">
        <v>0</v>
      </c>
      <c r="EZ119" s="794" t="e">
        <v>#N/A</v>
      </c>
      <c r="FA119" s="712"/>
      <c r="FB119" s="712"/>
      <c r="FC119" s="712"/>
      <c r="FD119" s="712"/>
      <c r="FE119" s="712">
        <f>O119+Sheet1!CO119</f>
        <v>52</v>
      </c>
      <c r="FF119" s="712">
        <f>IF(Sheet1!AA119+AG119&lt;=Calculation!N119,AG119,Calculation!N119-Sheet1!AA119)</f>
        <v>15.878634639696587</v>
      </c>
      <c r="FG119" s="712">
        <f>(Sheet1!BP119+Sheet1!BO119)/694.4</f>
        <v>1.9457085253456221</v>
      </c>
      <c r="FH119" s="712"/>
      <c r="FI119" s="712"/>
      <c r="FJ119" s="712"/>
      <c r="FK119" s="712"/>
      <c r="FL119" s="714">
        <f t="shared" si="381"/>
        <v>40753</v>
      </c>
      <c r="FM119" s="714">
        <f t="shared" si="382"/>
        <v>40851</v>
      </c>
      <c r="FN119" s="712"/>
      <c r="FO119" s="712"/>
      <c r="FP119" s="712"/>
      <c r="FQ119" s="712"/>
      <c r="FR119" s="712"/>
      <c r="FS119" s="725">
        <f t="shared" si="383"/>
        <v>40603</v>
      </c>
      <c r="FT119" s="714">
        <f t="shared" si="384"/>
        <v>40709</v>
      </c>
      <c r="FU119" s="712">
        <f t="shared" si="385"/>
        <v>6518.9048239895692</v>
      </c>
      <c r="FV119" s="714">
        <f t="shared" si="386"/>
        <v>40722</v>
      </c>
      <c r="FW119" s="712">
        <f t="shared" si="387"/>
        <v>3259.4524119947846</v>
      </c>
      <c r="FX119" s="725">
        <f t="shared" si="388"/>
        <v>40851</v>
      </c>
      <c r="FZ119" s="697">
        <f t="shared" si="365"/>
        <v>0</v>
      </c>
      <c r="GA119" s="712" t="str">
        <f t="shared" ref="GA119" si="594">CONCATENATE(GC119,GQ119,GJ119,GX119)</f>
        <v/>
      </c>
      <c r="GB119" s="712">
        <f t="shared" ref="GB119" si="595">IF(GF119&gt;=8333.33,AL119,0)</f>
        <v>0</v>
      </c>
      <c r="GC119" s="712" t="str">
        <f t="shared" ref="GC119" si="596">IF(AND(GF119&lt;8333.33,FZ119&gt;0),"T","")</f>
        <v/>
      </c>
      <c r="GD119" s="712">
        <f>IF(GA119="P",Lookup!$M$12,IF(GA119="PP",Lookup!$M$13,IF(GA119="PPP",Lookup!$M$14,IF(GA119="T",Lookup!$M$15,IF(GA119="TP",Lookup!$M$16,IF(GA119="TPP",Lookup!$M$17,IF(GA119="TPPP",Lookup!$M$18,0)))))))*FZ119</f>
        <v>0</v>
      </c>
      <c r="GE119" s="712">
        <f t="shared" ref="GE119" si="597">IF(GC119="T",GD119,0)</f>
        <v>0</v>
      </c>
      <c r="GF119" s="712">
        <f t="shared" ref="GF119" si="598">GG119*MGtoAF</f>
        <v>3801.0474666666651</v>
      </c>
      <c r="GG119" s="712">
        <f t="shared" ref="GG119" si="599">(IF(AND(B119&lt;FV119,B119&gt;=FS119),MIN(AR118+AL119-AK119,15/36*FU119),IF(B119=FV119,15/36*FW119,IF(AND(B119&gt;FV119,B119&lt;FX119),MIN(AR118+AL119-AK119,15/36*FW119),IF(B119&gt;=FX119,0,0)))))+DI119</f>
        <v>1238.9333333333327</v>
      </c>
      <c r="GH119" s="712"/>
      <c r="GI119" s="712">
        <f t="shared" ref="GI119" si="600">IF(GM119&gt;=3888.88,BE119,0)</f>
        <v>0</v>
      </c>
      <c r="GJ119" s="712" t="str">
        <f t="shared" ref="GJ119" si="601">IF(AND(GM119&lt;3888.88,FZ119&gt;0),"P","")</f>
        <v/>
      </c>
      <c r="GK119" s="712">
        <f>IF(GA119="P",Lookup!$N$12,IF(GA119="PP",Lookup!$N$13,IF(GA119="PPP",Lookup!$N$14,IF(GA119="T",Lookup!$N$15,IF(GA119="TP",Lookup!$N$16,IF(GA119="TPP",Lookup!$N$17,IF(GA119="TPPP",Lookup!$N$18,0)))))))*FZ119</f>
        <v>0</v>
      </c>
      <c r="GL119" s="712">
        <f t="shared" ref="GL119" si="602">IF(GJ119="P",GK119,0)</f>
        <v>0</v>
      </c>
      <c r="GM119" s="712">
        <f t="shared" ref="GM119" si="603">GN119*MGtoAF</f>
        <v>1773.8221511111094</v>
      </c>
      <c r="GN119" s="712">
        <f t="shared" ref="GN119" si="604">(IF(AND(B119&lt;FV119,B119&gt;=FS119),MIN(BK118+BE119-BD119,7/36*FU119),IF(B119=FV119,7/36*FW119,IF(AND(B119&gt;FV119,B119&lt;FX119),MIN(BK118+BE119-BD119,7/36*FW119),IF(B119&gt;=FX119,0,0)))))+DJ119</f>
        <v>578.16888888888832</v>
      </c>
      <c r="GO119" s="712"/>
      <c r="GP119" s="712">
        <f t="shared" ref="GP119" si="605">IF(GT119&gt;=8333.33,BZ119,0)</f>
        <v>0</v>
      </c>
      <c r="GQ119" s="712" t="str">
        <f t="shared" ref="GQ119" si="606">IF(AND(GT119&lt;3888.88,FZ119&gt;0),"P","")</f>
        <v/>
      </c>
      <c r="GR119" s="712">
        <f>IF(GA119="P",Lookup!$N$12,IF(GA119="PP",Lookup!$N$13,IF(GA119="PPP",Lookup!$N$14,IF(GA119="T",Lookup!$N$15,IF(GA119="TP",Lookup!$N$16,IF(GA119="TPP",Lookup!$N$17,IF(GA119="TPPP",Lookup!$N$18,0)))))))*FZ119</f>
        <v>0</v>
      </c>
      <c r="GS119" s="697">
        <f t="shared" si="377"/>
        <v>0</v>
      </c>
      <c r="GT119" s="712">
        <f t="shared" ref="GT119" si="607">GU119*MGtoAF</f>
        <v>1573.1234334511585</v>
      </c>
      <c r="GU119" s="712">
        <f t="shared" ref="GU119" si="608">IF(AND(B119&lt;FV119,B119&gt;=FS119),MIN(CF118+BZ119-BY119,7/36*FU119),IF(B119=FV119,7/36*FW119,IF(AND(B119&gt;FV119,B119&lt;FX119),MIN(CF118+BZ119-BY119,7/36*FW119),IF(B119&gt;=FX119,0,0))))+DK119</f>
        <v>512.75209695278954</v>
      </c>
      <c r="GV119" s="712"/>
      <c r="GW119" s="712">
        <f t="shared" ref="GW119" si="609">IF(HA119&gt;=3888.88,CS119,0)</f>
        <v>0</v>
      </c>
      <c r="GX119" s="712" t="str">
        <f t="shared" ref="GX119" si="610">IF(AND(HA119&lt;3888.88,FZ119&gt;0),"P","")</f>
        <v/>
      </c>
      <c r="GY119" s="712">
        <f>IF(GA119="P",Lookup!$N$12,IF(GA119="PP",Lookup!$N$13,IF(GA119="PPP",Lookup!$N$14,IF(GA119="T",Lookup!$N$15,IF(GA119="TP",Lookup!$N$16,IF(GA119="TPP",Lookup!$N$17,IF(GA119="TPPP",Lookup!$N$18,0)))))))*FZ119</f>
        <v>0</v>
      </c>
      <c r="GZ119" s="697">
        <f t="shared" si="378"/>
        <v>0</v>
      </c>
      <c r="HA119" s="712">
        <f t="shared" ref="HA119" si="611">HB119*MGtoAF</f>
        <v>1280.4399316575696</v>
      </c>
      <c r="HB119" s="712">
        <f t="shared" ref="HB119" si="612">(IF(AND(B119&lt;FV119,B119&gt;=FS119),MIN(CY118+CS119-CR119,7/36*FU119),IF(B119=FV119,7/36*FW119,IF(AND(B119&gt;FV119,B119&lt;FX119),MIN(CY118+CS119-CR119,7/36*FW119),IF(B119&gt;=FX119,0,0)))))+DL119</f>
        <v>417.35330236557024</v>
      </c>
      <c r="HC119" s="712"/>
    </row>
    <row r="120" spans="1:211">
      <c r="A120" s="773" t="s">
        <v>9</v>
      </c>
      <c r="B120" s="708">
        <v>40649</v>
      </c>
      <c r="C120" s="719">
        <v>0.5</v>
      </c>
      <c r="D120" s="675">
        <f t="shared" si="366"/>
        <v>300</v>
      </c>
      <c r="E120" s="675">
        <f t="shared" si="367"/>
        <v>250</v>
      </c>
      <c r="F120" s="710">
        <v>250</v>
      </c>
      <c r="G120" s="712">
        <f>DH120+Sheet1!CV120</f>
        <v>1547.9786518753199</v>
      </c>
      <c r="H120" s="712">
        <f t="shared" si="389"/>
        <v>733.6502005722067</v>
      </c>
      <c r="I120" s="711">
        <f>MAX(Sheet1!Z120-AJ120+(Sheet1!CW120-E120)*CFStoMGD,0)</f>
        <v>1214.9340069822649</v>
      </c>
      <c r="J120" s="720">
        <f>IF(AND(B120&gt;=Calculation!FS120,B120&lt;=Calculation!FT120),IF(Sheet1!CX120&gt;=Calculation!D120,64.64,0),MAX(Sheet1!Z120-AJ120+(Sheet1!CX120-D120)*CFStoMGD,0))</f>
        <v>64.64</v>
      </c>
      <c r="K120" s="697">
        <f t="shared" si="368"/>
        <v>64.64</v>
      </c>
      <c r="L120" s="712">
        <f>Sheet1!AA120+Sheet1!AB120-Sheet1!L120+(Sheet1!CW120-F120)*CFStoMGD</f>
        <v>1256.7473333333303</v>
      </c>
      <c r="M120" s="712">
        <f t="shared" si="390"/>
        <v>1020.625668583651</v>
      </c>
      <c r="N120" s="712">
        <f>IF(Sheet1!CW120&gt;=F120,MIN(73,MIN(MAX(L120,0),MAX(M120,0))),0)</f>
        <v>73</v>
      </c>
      <c r="O120" s="721">
        <f>Sheet1!AA120+Sheet1!AB120</f>
        <v>51.69999999999709</v>
      </c>
      <c r="P120" s="721">
        <f t="shared" si="391"/>
        <v>79.979899999995496</v>
      </c>
      <c r="Q120" s="712">
        <f>MIN(N120,Sheet1!AA120+AG120)</f>
        <v>43.083326351065374</v>
      </c>
      <c r="R120" s="712">
        <f t="shared" si="392"/>
        <v>8.6166736489317124</v>
      </c>
      <c r="S120" s="721">
        <f>Sheet1!Y120*MGDtoCFS</f>
        <v>42.294979999999995</v>
      </c>
      <c r="T120" s="721">
        <f>Sheet1!Z120*MGDtoCFS</f>
        <v>37.607569999999996</v>
      </c>
      <c r="U120" s="721">
        <f>Sheet1!AA120*MGDtoCFS</f>
        <v>42.851899999995496</v>
      </c>
      <c r="V120" s="721">
        <f>Sheet1!AB120*MGDtoCFS</f>
        <v>37.128</v>
      </c>
      <c r="W120" s="721">
        <f>Sheet1!L120*MGDtoCFS</f>
        <v>1.4851199999999998</v>
      </c>
      <c r="X120" s="697">
        <f t="shared" si="369"/>
        <v>0</v>
      </c>
      <c r="Y120" s="712">
        <f t="shared" si="393"/>
        <v>0</v>
      </c>
      <c r="Z120" s="712">
        <f t="shared" si="394"/>
        <v>56.023326351068292</v>
      </c>
      <c r="AA120" s="712">
        <f t="shared" si="395"/>
        <v>86.66808586510264</v>
      </c>
      <c r="AB120" s="712">
        <f>(VLOOKUP(Sheet1!CY120,hhdcap_wcm,4)-(((VLOOKUP(Sheet1!CY120,hhdcap_wcm,3)-Sheet1!CY120)/(VLOOKUP(Sheet1!CY120,hhdcap_wcm,3)-VLOOKUP(Sheet1!CY120,hhdcap_wcm,1)))*(VLOOKUP(Sheet1!CY120,hhdcap_wcm,4)-VLOOKUP(Sheet1!CY120,hhdcap_wcm,2))))</f>
        <v>28598.520000072065</v>
      </c>
      <c r="AC120" s="712">
        <f t="shared" si="396"/>
        <v>675.720000002093</v>
      </c>
      <c r="AD120" s="712">
        <f t="shared" si="370"/>
        <v>2803.2309478916491</v>
      </c>
      <c r="AE120" s="712">
        <f t="shared" si="397"/>
        <v>8600.3125481315801</v>
      </c>
      <c r="AF120" s="712">
        <f>Sheet1!BA120+Sheet1!BB120+Sheet1!BN120+BT120</f>
        <v>15.3</v>
      </c>
      <c r="AG120" s="712">
        <f t="shared" si="398"/>
        <v>15.383326351068286</v>
      </c>
      <c r="AH120" s="712">
        <f>Sheet1!BA120+BT120</f>
        <v>0</v>
      </c>
      <c r="AI120" s="712">
        <f>Sheet1!BA120+Sheet1!BB120+BT120</f>
        <v>0</v>
      </c>
      <c r="AJ120" s="712">
        <f>IF((Sheet1!AA120+AG120+AX120+AZ120+BQ120+BS120+CL120+CN120)&lt;=N120,AG120+AX120+AZ120+BQ120+BS120+CL120+CN120,N120-Sheet1!AA120)</f>
        <v>15.383326351068286</v>
      </c>
      <c r="AK120" s="712">
        <f>IF(DR120&lt;K120,0,MAX(Sheet1!AA120+AG120-15/36*K120-N120,Sheet1!ED120,0))</f>
        <v>0</v>
      </c>
      <c r="AL120" s="712">
        <f>IF(OR(B120&gt;=FT120,B120&lt;FS120),0,15/36*K120-MAX(0,64.6-(137.6-(Sheet1!AA120+Sheet1!AB120))))</f>
        <v>26.933333333333334</v>
      </c>
      <c r="AM120" s="712">
        <f>Sheet1!CX120-110</f>
        <v>1109.5833333333333</v>
      </c>
      <c r="AN120" s="712">
        <f>Sheet1!CW120-265</f>
        <v>1850.7291666666665</v>
      </c>
      <c r="AO120" s="712">
        <f t="shared" si="371"/>
        <v>29.916673648934626</v>
      </c>
      <c r="AP120" s="712">
        <f t="shared" si="372"/>
        <v>0</v>
      </c>
      <c r="AQ120" s="712">
        <f t="shared" si="399"/>
        <v>0</v>
      </c>
      <c r="AR120" s="712">
        <f t="shared" si="400"/>
        <v>1265.8666666666661</v>
      </c>
      <c r="AS120" s="712"/>
      <c r="AT120" s="712">
        <f ca="1">IF(B120&gt;Summary!$A$1,#N/A,AR120*MGtoAF)</f>
        <v>3883.6789333333318</v>
      </c>
      <c r="AU120" s="712">
        <f>Sheet1!BG120+Sheet1!BH120+Sheet1!BI120-BC120</f>
        <v>0</v>
      </c>
      <c r="AV120" s="712">
        <f t="shared" si="401"/>
        <v>0</v>
      </c>
      <c r="AW120" s="712">
        <f>IF(Sheet1!EL120="FM",BC120,0)</f>
        <v>0</v>
      </c>
      <c r="AX120" s="712">
        <f t="shared" si="402"/>
        <v>0</v>
      </c>
      <c r="AY120" s="712">
        <f>IF(Sheet1!EL120="OTHER",BC120,0)</f>
        <v>0</v>
      </c>
      <c r="AZ120" s="712">
        <f t="shared" si="403"/>
        <v>0</v>
      </c>
      <c r="BA120" s="712">
        <f t="shared" si="404"/>
        <v>0</v>
      </c>
      <c r="BB120" s="712">
        <f t="shared" si="405"/>
        <v>0</v>
      </c>
      <c r="BC120" s="712">
        <f>IF(OR(Sheet1!EL120="FM", Sheet1!EL120="OTHER"),SUM(Sheet1!BG120:'Sheet1'!BI120),0)</f>
        <v>0</v>
      </c>
      <c r="BD120" s="697">
        <f>IF(AND($B120&gt;=$FL120,$B120&lt;=$FM120),MAX(AV120,Sheet1!EE120,0),MAX(AV120-(7/36)*$K120,0))</f>
        <v>0</v>
      </c>
      <c r="BE120" s="712">
        <f t="shared" si="406"/>
        <v>12.568888888888889</v>
      </c>
      <c r="BF120" s="697">
        <f t="shared" si="373"/>
        <v>0</v>
      </c>
      <c r="BG120" s="697">
        <f>IF(AND($O120&gt;0,Sheet1!EI120=1),(1-($O120-Sheet1!$L120)/$O120)*BB120,0)</f>
        <v>0</v>
      </c>
      <c r="BH120" s="697">
        <f>IF(AND(Sheet1!$L120=0,Sheet1!$L119=0, Calculation!BA120&lt;Sheet1!$EE120-0.1,Sheet1!$EE120=Sheet1!$EE119,Sheet1!$EE120=Sheet1!$EE121),Sheet1!$EE120,BB120-BG120)</f>
        <v>0</v>
      </c>
      <c r="BI120" s="712"/>
      <c r="BJ120" s="712"/>
      <c r="BK120" s="712">
        <f t="shared" si="407"/>
        <v>590.73777777777718</v>
      </c>
      <c r="BL120" s="712"/>
      <c r="BM120" s="712">
        <f ca="1">IF(B120&gt;Summary!$A$1,#N/A,BK120*MGtoAF)</f>
        <v>1812.3835022222204</v>
      </c>
      <c r="BN120" s="712">
        <f>Sheet1!BC120+Sheet1!BD120+Sheet1!BE120+Sheet1!BF120-BW120-BX120</f>
        <v>2.52</v>
      </c>
      <c r="BO120" s="712">
        <f t="shared" si="408"/>
        <v>2.533724340175953</v>
      </c>
      <c r="BP120" s="712">
        <f>IF(Sheet1!EM120="FM",BX120,0)</f>
        <v>0</v>
      </c>
      <c r="BQ120" s="712">
        <f t="shared" si="409"/>
        <v>0</v>
      </c>
      <c r="BR120" s="712">
        <f>IF(Sheet1!EM120="OTHER",BX120,0)</f>
        <v>0</v>
      </c>
      <c r="BS120" s="712">
        <f t="shared" si="410"/>
        <v>0</v>
      </c>
      <c r="BT120" s="712">
        <f t="shared" si="411"/>
        <v>0</v>
      </c>
      <c r="BU120" s="712">
        <f t="shared" si="412"/>
        <v>2.52</v>
      </c>
      <c r="BV120" s="712">
        <f t="shared" si="413"/>
        <v>2.533724340175953</v>
      </c>
      <c r="BW120" s="712">
        <f>IF(Sheet1!EM120="CWA",SUM(Sheet1!BC120:'Sheet1'!BF120),0)</f>
        <v>0</v>
      </c>
      <c r="BX120" s="712">
        <f>IF(OR(Sheet1!EM120="FM", Sheet1!EM120="OTHER"),SUM(Sheet1!BC120:'Sheet1'!BF120),0)</f>
        <v>0</v>
      </c>
      <c r="BY120" s="697">
        <f>IF(AND($B120&gt;=$FL120,$B120&lt;=$FM120),MAX(BV120,Sheet1!EF120,0),MAX(BV120-(7/36)*$K120,0))</f>
        <v>0</v>
      </c>
      <c r="BZ120" s="712">
        <f t="shared" si="414"/>
        <v>10.035164548712936</v>
      </c>
      <c r="CA120" s="697">
        <f t="shared" si="374"/>
        <v>2.533724340175953</v>
      </c>
      <c r="CB120" s="697">
        <f>IF(AND($O120&gt;0,Sheet1!EJ120=1),(1-($O120-Sheet1!$L120)/$O120)*BV120,0)</f>
        <v>0</v>
      </c>
      <c r="CC120" s="697">
        <f>IF(AND(Sheet1!$L120=0,Sheet1!$L119=0, Calculation!BU120&lt;Sheet1!EF120-0.1,Sheet1!EF120=Sheet1!EF119,Sheet1!EF120=Sheet1!EF121),Sheet1!EF120,BV120-CB120)</f>
        <v>2.533724340175953</v>
      </c>
      <c r="CD120" s="697"/>
      <c r="CE120" s="712"/>
      <c r="CF120" s="712">
        <f t="shared" si="415"/>
        <v>522.78726150150248</v>
      </c>
      <c r="CG120" s="712"/>
      <c r="CH120" s="712">
        <f ca="1">IF(B120&gt;Summary!$A$1,#N/A,CF120*MGtoAF)</f>
        <v>1603.9113182866097</v>
      </c>
      <c r="CI120" s="712">
        <f>Sheet1!BK120+Sheet1!BL120+Sheet1!BM120-Sheet1!EN120-CQ120</f>
        <v>6.05</v>
      </c>
      <c r="CJ120" s="712">
        <f t="shared" si="416"/>
        <v>6.0829493087557598</v>
      </c>
      <c r="CK120" s="712">
        <f>IF(Sheet1!EN120="FM",CQ120,0)</f>
        <v>0</v>
      </c>
      <c r="CL120" s="712">
        <f t="shared" si="417"/>
        <v>0</v>
      </c>
      <c r="CM120" s="712">
        <f>IF(Sheet1!EN120="OTHER",CQ120,0)</f>
        <v>0</v>
      </c>
      <c r="CN120" s="712">
        <f t="shared" si="418"/>
        <v>0</v>
      </c>
      <c r="CO120" s="712">
        <f t="shared" si="419"/>
        <v>6.05</v>
      </c>
      <c r="CP120" s="712">
        <f t="shared" si="420"/>
        <v>6.0829493087557598</v>
      </c>
      <c r="CQ120" s="712">
        <f>IF(OR(Sheet1!EN120="FM", Sheet1!EN120="OTHER"),SUM(Sheet1!BK120:'Sheet1'!BM120),0)</f>
        <v>0</v>
      </c>
      <c r="CR120" s="697">
        <f>IF(AND($B120&gt;=$FL120,$B120&lt;=$FM120),MAX($CJ120,Sheet1!EG120,0),MAX($CJ120-(7/36)*$K120,0))</f>
        <v>0</v>
      </c>
      <c r="CS120" s="712">
        <f t="shared" si="421"/>
        <v>6.4859395801331292</v>
      </c>
      <c r="CT120" s="697">
        <f t="shared" si="375"/>
        <v>6.0829493087557598</v>
      </c>
      <c r="CU120" s="697">
        <f>IF(AND($O120&gt;0,Sheet1!EK120=1),(1-($O120-Sheet1!$L120)/$O120)*CP120,0)</f>
        <v>0</v>
      </c>
      <c r="CV120" s="697">
        <f>IF(AND(Sheet1!$L120=0,Sheet1!$L119=0, Calculation!CO120&lt;Sheet1!$EG120-0.1,Sheet1!$EG120=Sheet1!$EG119,Sheet1!$EG120=Sheet1!$EG121),Sheet1!$EG120,CP120-CU120)</f>
        <v>6.0829493087557598</v>
      </c>
      <c r="CW120" s="697">
        <f t="shared" si="362"/>
        <v>0</v>
      </c>
      <c r="CX120" s="712">
        <f t="shared" si="379"/>
        <v>8.57</v>
      </c>
      <c r="CY120" s="712">
        <f t="shared" si="422"/>
        <v>423.83924194570335</v>
      </c>
      <c r="CZ120" s="712">
        <f t="shared" si="423"/>
        <v>8.6166736489317124</v>
      </c>
      <c r="DA120" s="712">
        <f ca="1">IF(B120&gt;Summary!$A$1,#N/A,CY120*MGtoAF)</f>
        <v>1300.3387942894178</v>
      </c>
      <c r="DB120" s="712">
        <f t="shared" si="424"/>
        <v>8.57</v>
      </c>
      <c r="DC120" s="712">
        <f t="shared" si="425"/>
        <v>23.87</v>
      </c>
      <c r="DD120" s="712">
        <f>Sheet1!AB120-DC120</f>
        <v>0.12999999999999901</v>
      </c>
      <c r="DE120" s="712">
        <f t="shared" si="426"/>
        <v>5.4461667364892755E-3</v>
      </c>
      <c r="DF120" s="712">
        <f>(VLOOKUP(Sheet1!CY120,hhdcap_wcm,4)-(((VLOOKUP(Sheet1!CY120,hhdcap_wcm,3)-Sheet1!CY120)/(VLOOKUP(Sheet1!CY120,hhdcap_wcm,3)-VLOOKUP(Sheet1!CY120,hhdcap_wcm,1)))*(VLOOKUP(Sheet1!CY120,hhdcap_wcm,4)-VLOOKUP(Sheet1!CY120,hhdcap_wcm,2))))</f>
        <v>28598.520000072065</v>
      </c>
      <c r="DG120" s="712">
        <f t="shared" si="427"/>
        <v>675.720000002093</v>
      </c>
      <c r="DH120" s="712">
        <f t="shared" si="428"/>
        <v>340.75642965309777</v>
      </c>
      <c r="DI120" s="712">
        <f>Sheet1!DW120*AFtoMG</f>
        <v>0</v>
      </c>
      <c r="DJ120" s="712">
        <f>Sheet1!DX120*AFtoMG</f>
        <v>0</v>
      </c>
      <c r="DK120" s="712">
        <f>Sheet1!DY120*AFtoMG</f>
        <v>0</v>
      </c>
      <c r="DL120" s="712">
        <f>Sheet1!DZ120*AFtoMG</f>
        <v>0</v>
      </c>
      <c r="DM120" s="712">
        <f t="shared" si="429"/>
        <v>0</v>
      </c>
      <c r="DN120" s="712">
        <f t="shared" si="430"/>
        <v>0</v>
      </c>
      <c r="DO120" s="712">
        <f t="shared" si="431"/>
        <v>2803.2309478916491</v>
      </c>
      <c r="DP120" s="712">
        <f t="shared" si="432"/>
        <v>8600.3125481315801</v>
      </c>
      <c r="DQ120" s="712"/>
      <c r="DR120" s="697">
        <f>IF(OR(B120&lt;FL120,B120&gt;FM120),(MIN(AV120+BO120+CJ120+MAX(Sheet1!AA120+AG120-73,0),K120)),0)</f>
        <v>8.6166736489317124</v>
      </c>
      <c r="DS120" s="712"/>
      <c r="DT120" s="712">
        <f t="shared" si="433"/>
        <v>8.6166736489317124</v>
      </c>
      <c r="DU120" s="712"/>
      <c r="DV120" s="712">
        <f>Sheet1!ED120+Sheet1!EE120+Sheet1!EF120+Sheet1!EG120</f>
        <v>8.5</v>
      </c>
      <c r="DW120" s="712"/>
      <c r="DX120" s="697">
        <f t="shared" si="376"/>
        <v>0</v>
      </c>
      <c r="DY120" s="712">
        <f>IF(Sheet1!FN120=1,SUM('Calculations II'!AT120:BA120)+'Calculations II'!BC120+Sheet1!BU120+'Calculations II'!BE120+AF120,SUM('Calculations II'!AT120:BA120)+'Calculations II'!BC120+Sheet1!BU120+'Calculations II'!BE120+AF120)</f>
        <v>42.511696000000001</v>
      </c>
      <c r="DZ120" s="712">
        <f>Sheet1!AA120+Sheet1!AB120+'Calculations II'!BC120</f>
        <v>51.69999999999709</v>
      </c>
      <c r="EA120" s="712"/>
      <c r="EB120" s="712"/>
      <c r="EC120" s="712">
        <f t="shared" si="434"/>
        <v>40649</v>
      </c>
      <c r="ED120" s="712">
        <f t="shared" si="435"/>
        <v>56.023326351068292</v>
      </c>
      <c r="EE120" s="712">
        <f t="shared" si="436"/>
        <v>86.66808586510264</v>
      </c>
      <c r="EF120" s="712">
        <f>-(VLOOKUP(Sheet1!BQ120,Lookup!$B$4:$J$236,2)-VLOOKUP(Sheet1!BQ119,Lookup!$B$4:$J$236,2))/1000000</f>
        <v>0.27050000000000002</v>
      </c>
      <c r="EG120" s="712">
        <f>-(VLOOKUP(Sheet1!BR120,Lookup!$B$4:$J$236,3)-VLOOKUP(Sheet1!BR119,Lookup!$B$4:$J$236,3))/1000000</f>
        <v>0.27</v>
      </c>
      <c r="EH120" s="712">
        <f>-(VLOOKUP(Sheet1!BS120,Lookup!$B$4:$J$236,4)-VLOOKUP(Sheet1!BS119,Lookup!$B$4:$J$236,4))/1000000</f>
        <v>0</v>
      </c>
      <c r="EI120" s="697">
        <f t="shared" si="380"/>
        <v>0.54049999999999998</v>
      </c>
      <c r="EJ120" s="712"/>
      <c r="EK120" s="712"/>
      <c r="EL120" s="712"/>
      <c r="EM120" s="712"/>
      <c r="EN120" s="712"/>
      <c r="EO120" s="712"/>
      <c r="EP120" s="712"/>
      <c r="EQ120" s="712"/>
      <c r="ER120" s="697">
        <v>0</v>
      </c>
      <c r="ES120" s="712"/>
      <c r="ET120" s="794" t="e">
        <f t="shared" si="437"/>
        <v>#N/A</v>
      </c>
      <c r="EU120" s="794" t="e">
        <f t="shared" si="363"/>
        <v>#VALUE!</v>
      </c>
      <c r="EV120" s="795" t="e">
        <f t="shared" si="364"/>
        <v>#VALUE!</v>
      </c>
      <c r="EW120" s="796" t="s">
        <v>757</v>
      </c>
      <c r="EX120" s="796" t="s">
        <v>757</v>
      </c>
      <c r="EY120" s="794">
        <v>0</v>
      </c>
      <c r="EZ120" s="794" t="e">
        <v>#N/A</v>
      </c>
      <c r="FA120" s="712"/>
      <c r="FB120" s="712"/>
      <c r="FC120" s="712"/>
      <c r="FD120" s="712"/>
      <c r="FE120" s="712">
        <f>O120+Sheet1!CO120</f>
        <v>51.69999999999709</v>
      </c>
      <c r="FF120" s="712">
        <f>IF(Sheet1!AA120+AG120&lt;=Calculation!N120,AG120,Calculation!N120-Sheet1!AA120)</f>
        <v>15.383326351068286</v>
      </c>
      <c r="FG120" s="712">
        <f>(Sheet1!BP120+Sheet1!BO120)/694.4</f>
        <v>2.1706509216589862</v>
      </c>
      <c r="FH120" s="712"/>
      <c r="FI120" s="712"/>
      <c r="FJ120" s="712"/>
      <c r="FK120" s="712"/>
      <c r="FL120" s="714">
        <f t="shared" si="381"/>
        <v>40753</v>
      </c>
      <c r="FM120" s="714">
        <f t="shared" si="382"/>
        <v>40851</v>
      </c>
      <c r="FN120" s="712"/>
      <c r="FO120" s="712"/>
      <c r="FP120" s="712"/>
      <c r="FQ120" s="712"/>
      <c r="FR120" s="712"/>
      <c r="FS120" s="725">
        <f t="shared" si="383"/>
        <v>40603</v>
      </c>
      <c r="FT120" s="714">
        <f t="shared" si="384"/>
        <v>40709</v>
      </c>
      <c r="FU120" s="712">
        <f t="shared" si="385"/>
        <v>6518.9048239895692</v>
      </c>
      <c r="FV120" s="714">
        <f t="shared" si="386"/>
        <v>40722</v>
      </c>
      <c r="FW120" s="712">
        <f t="shared" si="387"/>
        <v>3259.4524119947846</v>
      </c>
      <c r="FX120" s="725">
        <f t="shared" si="388"/>
        <v>40851</v>
      </c>
      <c r="FZ120" s="697">
        <f t="shared" si="365"/>
        <v>0</v>
      </c>
      <c r="GA120" s="712" t="str">
        <f t="shared" si="438"/>
        <v/>
      </c>
      <c r="GB120" s="712">
        <f t="shared" si="439"/>
        <v>0</v>
      </c>
      <c r="GC120" s="712" t="str">
        <f t="shared" si="440"/>
        <v/>
      </c>
      <c r="GD120" s="712">
        <f>IF(GA120="P",Lookup!$M$12,IF(GA120="PP",Lookup!$M$13,IF(GA120="PPP",Lookup!$M$14,IF(GA120="T",Lookup!$M$15,IF(GA120="TP",Lookup!$M$16,IF(GA120="TPP",Lookup!$M$17,IF(GA120="TPPP",Lookup!$M$18,0)))))))*FZ120</f>
        <v>0</v>
      </c>
      <c r="GE120" s="712">
        <f t="shared" si="441"/>
        <v>0</v>
      </c>
      <c r="GF120" s="712">
        <f t="shared" si="442"/>
        <v>3883.6789333333318</v>
      </c>
      <c r="GG120" s="712">
        <f t="shared" si="443"/>
        <v>1265.8666666666661</v>
      </c>
      <c r="GH120" s="712"/>
      <c r="GI120" s="712">
        <f t="shared" si="444"/>
        <v>0</v>
      </c>
      <c r="GJ120" s="712" t="str">
        <f t="shared" si="445"/>
        <v/>
      </c>
      <c r="GK120" s="712">
        <f>IF(GA120="P",Lookup!$N$12,IF(GA120="PP",Lookup!$N$13,IF(GA120="PPP",Lookup!$N$14,IF(GA120="T",Lookup!$N$15,IF(GA120="TP",Lookup!$N$16,IF(GA120="TPP",Lookup!$N$17,IF(GA120="TPPP",Lookup!$N$18,0)))))))*FZ120</f>
        <v>0</v>
      </c>
      <c r="GL120" s="712">
        <f t="shared" si="446"/>
        <v>0</v>
      </c>
      <c r="GM120" s="712">
        <f t="shared" si="447"/>
        <v>1812.3835022222204</v>
      </c>
      <c r="GN120" s="712">
        <f t="shared" si="448"/>
        <v>590.73777777777718</v>
      </c>
      <c r="GO120" s="712"/>
      <c r="GP120" s="712">
        <f t="shared" si="449"/>
        <v>0</v>
      </c>
      <c r="GQ120" s="712" t="str">
        <f t="shared" si="450"/>
        <v/>
      </c>
      <c r="GR120" s="712">
        <f>IF(GA120="P",Lookup!$N$12,IF(GA120="PP",Lookup!$N$13,IF(GA120="PPP",Lookup!$N$14,IF(GA120="T",Lookup!$N$15,IF(GA120="TP",Lookup!$N$16,IF(GA120="TPP",Lookup!$N$17,IF(GA120="TPPP",Lookup!$N$18,0)))))))*FZ120</f>
        <v>0</v>
      </c>
      <c r="GS120" s="697">
        <f t="shared" si="377"/>
        <v>0</v>
      </c>
      <c r="GT120" s="712">
        <f t="shared" si="451"/>
        <v>1603.9113182866097</v>
      </c>
      <c r="GU120" s="712">
        <f t="shared" si="452"/>
        <v>522.78726150150248</v>
      </c>
      <c r="GV120" s="712"/>
      <c r="GW120" s="712">
        <f t="shared" si="453"/>
        <v>0</v>
      </c>
      <c r="GX120" s="712" t="str">
        <f t="shared" si="454"/>
        <v/>
      </c>
      <c r="GY120" s="712">
        <f>IF(GA120="P",Lookup!$N$12,IF(GA120="PP",Lookup!$N$13,IF(GA120="PPP",Lookup!$N$14,IF(GA120="T",Lookup!$N$15,IF(GA120="TP",Lookup!$N$16,IF(GA120="TPP",Lookup!$N$17,IF(GA120="TPPP",Lookup!$N$18,0)))))))*FZ120</f>
        <v>0</v>
      </c>
      <c r="GZ120" s="697">
        <f t="shared" si="378"/>
        <v>0</v>
      </c>
      <c r="HA120" s="712">
        <f t="shared" si="455"/>
        <v>1300.3387942894178</v>
      </c>
      <c r="HB120" s="712">
        <f t="shared" si="456"/>
        <v>423.83924194570335</v>
      </c>
      <c r="HC120" s="712"/>
    </row>
    <row r="121" spans="1:211">
      <c r="A121" s="773" t="s">
        <v>3</v>
      </c>
      <c r="B121" s="708">
        <v>40650</v>
      </c>
      <c r="C121" s="719">
        <v>0.5</v>
      </c>
      <c r="D121" s="675">
        <f t="shared" si="366"/>
        <v>300</v>
      </c>
      <c r="E121" s="675">
        <f t="shared" si="367"/>
        <v>250</v>
      </c>
      <c r="F121" s="675">
        <v>250</v>
      </c>
      <c r="G121" s="712">
        <f>DH121+Sheet1!CV121</f>
        <v>1608.8334173813639</v>
      </c>
      <c r="H121" s="712">
        <f t="shared" si="389"/>
        <v>772.98672099531359</v>
      </c>
      <c r="I121" s="711">
        <f>MAX(Sheet1!Z121-AJ121+(Sheet1!CW121-E121)*CFStoMGD,0)</f>
        <v>1211.4966292260408</v>
      </c>
      <c r="J121" s="720">
        <f>IF(AND(B121&gt;=Calculation!FS121,B121&lt;=Calculation!FT121),IF(Sheet1!CX121&gt;=Calculation!D121,64.64,0),MAX(Sheet1!Z121-AJ121+(Sheet1!CX121-D121)*CFStoMGD,0))</f>
        <v>64.64</v>
      </c>
      <c r="K121" s="697">
        <f t="shared" si="368"/>
        <v>64.64</v>
      </c>
      <c r="L121" s="712">
        <f>Sheet1!AA121+Sheet1!AB121-Sheet1!L121+(Sheet1!CW121-F121)*CFStoMGD</f>
        <v>1256.1973333333397</v>
      </c>
      <c r="M121" s="712">
        <f t="shared" si="390"/>
        <v>1060.7489194152199</v>
      </c>
      <c r="N121" s="712">
        <f>IF(Sheet1!CW121&gt;=F121,MIN(73,MIN(MAX(L121,0),MAX(M121,0))),0)</f>
        <v>73</v>
      </c>
      <c r="O121" s="721">
        <f>Sheet1!AA121+Sheet1!AB121</f>
        <v>52.210000000006403</v>
      </c>
      <c r="P121" s="721">
        <f t="shared" si="391"/>
        <v>80.768870000009912</v>
      </c>
      <c r="Q121" s="712">
        <f>MIN(N121,Sheet1!AA121+AG121)</f>
        <v>43.330704107298942</v>
      </c>
      <c r="R121" s="712">
        <f t="shared" si="392"/>
        <v>8.8792958927074608</v>
      </c>
      <c r="S121" s="721">
        <f>Sheet1!Y121*MGDtoCFS</f>
        <v>42.41874</v>
      </c>
      <c r="T121" s="721">
        <f>Sheet1!Z121*MGDtoCFS</f>
        <v>36.168859999999995</v>
      </c>
      <c r="U121" s="721">
        <f>Sheet1!AA121*MGDtoCFS</f>
        <v>42.480620000009907</v>
      </c>
      <c r="V121" s="721">
        <f>Sheet1!AB121*MGDtoCFS</f>
        <v>38.288249999999998</v>
      </c>
      <c r="W121" s="721">
        <f>Sheet1!L121*MGDtoCFS</f>
        <v>0</v>
      </c>
      <c r="X121" s="697">
        <f t="shared" si="369"/>
        <v>0</v>
      </c>
      <c r="Y121" s="712">
        <f t="shared" si="393"/>
        <v>0</v>
      </c>
      <c r="Z121" s="712">
        <f t="shared" si="394"/>
        <v>55.76070410729254</v>
      </c>
      <c r="AA121" s="712">
        <f t="shared" si="395"/>
        <v>86.261809253981554</v>
      </c>
      <c r="AB121" s="712">
        <f>(VLOOKUP(Sheet1!CY121,hhdcap_wcm,4)-(((VLOOKUP(Sheet1!CY121,hhdcap_wcm,3)-Sheet1!CY121)/(VLOOKUP(Sheet1!CY121,hhdcap_wcm,3)-VLOOKUP(Sheet1!CY121,hhdcap_wcm,1)))*(VLOOKUP(Sheet1!CY121,hhdcap_wcm,4)-VLOOKUP(Sheet1!CY121,hhdcap_wcm,2))))</f>
        <v>29305.680000072643</v>
      </c>
      <c r="AC121" s="712">
        <f t="shared" si="396"/>
        <v>707.16000000057829</v>
      </c>
      <c r="AD121" s="712">
        <f t="shared" si="370"/>
        <v>2858.991651998942</v>
      </c>
      <c r="AE121" s="712">
        <f t="shared" si="397"/>
        <v>8771.386388332754</v>
      </c>
      <c r="AF121" s="712">
        <f>Sheet1!BA121+Sheet1!BB121+Sheet1!BN121+BT121</f>
        <v>15.3</v>
      </c>
      <c r="AG121" s="712">
        <f t="shared" si="398"/>
        <v>15.870704107292541</v>
      </c>
      <c r="AH121" s="712">
        <f>Sheet1!BA121+BT121</f>
        <v>0</v>
      </c>
      <c r="AI121" s="712">
        <f>Sheet1!BA121+Sheet1!BB121+BT121</f>
        <v>0</v>
      </c>
      <c r="AJ121" s="712">
        <f>IF((Sheet1!AA121+AG121+AX121+AZ121+BQ121+BS121+CL121+CN121)&lt;=N121,AG121+AX121+AZ121+BQ121+BS121+CL121+CN121,N121-Sheet1!AA121)</f>
        <v>15.870704107292541</v>
      </c>
      <c r="AK121" s="712">
        <f>IF(DR121&lt;K121,0,MAX(Sheet1!AA121+AG121-15/36*K121-N121,Sheet1!ED121,0))</f>
        <v>0</v>
      </c>
      <c r="AL121" s="712">
        <f>IF(OR(B121&gt;=FT121,B121&lt;FS121),0,15/36*K121-MAX(0,64.6-(137.6-(Sheet1!AA121+Sheet1!AB121))))</f>
        <v>26.933333333333334</v>
      </c>
      <c r="AM121" s="712">
        <f>Sheet1!CX121-110</f>
        <v>1180.625</v>
      </c>
      <c r="AN121" s="712">
        <f>Sheet1!CW121-265</f>
        <v>1847.6041666666665</v>
      </c>
      <c r="AO121" s="712">
        <f t="shared" si="371"/>
        <v>29.669295892701058</v>
      </c>
      <c r="AP121" s="712">
        <f t="shared" si="372"/>
        <v>0</v>
      </c>
      <c r="AQ121" s="712">
        <f t="shared" si="399"/>
        <v>0</v>
      </c>
      <c r="AR121" s="712">
        <f t="shared" si="400"/>
        <v>1292.7999999999995</v>
      </c>
      <c r="AS121" s="712"/>
      <c r="AT121" s="712">
        <f ca="1">IF(B121&gt;Summary!$A$1,#N/A,AR121*MGtoAF)</f>
        <v>3966.3103999999985</v>
      </c>
      <c r="AU121" s="712">
        <f>Sheet1!BG121+Sheet1!BH121+Sheet1!BI121-BC121</f>
        <v>0</v>
      </c>
      <c r="AV121" s="712">
        <f t="shared" si="401"/>
        <v>0</v>
      </c>
      <c r="AW121" s="712">
        <f>IF(Sheet1!EL121="FM",BC121,0)</f>
        <v>0</v>
      </c>
      <c r="AX121" s="712">
        <f t="shared" si="402"/>
        <v>0</v>
      </c>
      <c r="AY121" s="712">
        <f>IF(Sheet1!EL121="OTHER",BC121,0)</f>
        <v>0</v>
      </c>
      <c r="AZ121" s="712">
        <f t="shared" si="403"/>
        <v>0</v>
      </c>
      <c r="BA121" s="712">
        <f t="shared" si="404"/>
        <v>0</v>
      </c>
      <c r="BB121" s="712">
        <f t="shared" si="405"/>
        <v>0</v>
      </c>
      <c r="BC121" s="712">
        <f>IF(OR(Sheet1!EL121="FM", Sheet1!EL121="OTHER"),SUM(Sheet1!BG121:'Sheet1'!BI121),0)</f>
        <v>0</v>
      </c>
      <c r="BD121" s="697">
        <f>IF(AND($B121&gt;=$FL121,$B121&lt;=$FM121),MAX(AV121,Sheet1!EE121,0),MAX(AV121-(7/36)*$K121,0))</f>
        <v>0</v>
      </c>
      <c r="BE121" s="712">
        <f t="shared" si="406"/>
        <v>12.568888888888889</v>
      </c>
      <c r="BF121" s="697">
        <f t="shared" si="373"/>
        <v>0</v>
      </c>
      <c r="BG121" s="697">
        <f>IF(AND($O121&gt;0,Sheet1!EI121=1),(1-($O121-Sheet1!$L121)/$O121)*BB121,0)</f>
        <v>0</v>
      </c>
      <c r="BH121" s="697">
        <f>IF(AND(Sheet1!$L121=0,Sheet1!$L120=0, Calculation!BA121&lt;Sheet1!$EE121-0.1,Sheet1!$EE121=Sheet1!$EE120,Sheet1!$EE121=Sheet1!$EE122),Sheet1!$EE121,BB121-BG121)</f>
        <v>0</v>
      </c>
      <c r="BI121" s="712"/>
      <c r="BJ121" s="712"/>
      <c r="BK121" s="712">
        <f t="shared" si="407"/>
        <v>603.30666666666605</v>
      </c>
      <c r="BL121" s="712"/>
      <c r="BM121" s="712">
        <f ca="1">IF(B121&gt;Summary!$A$1,#N/A,BK121*MGtoAF)</f>
        <v>1850.9448533333314</v>
      </c>
      <c r="BN121" s="712">
        <f>Sheet1!BC121+Sheet1!BD121+Sheet1!BE121+Sheet1!BF121-BW121-BX121</f>
        <v>2.52</v>
      </c>
      <c r="BO121" s="712">
        <f t="shared" si="408"/>
        <v>2.6139983235540654</v>
      </c>
      <c r="BP121" s="712">
        <f>IF(Sheet1!EM121="FM",BX121,0)</f>
        <v>0</v>
      </c>
      <c r="BQ121" s="712">
        <f t="shared" si="409"/>
        <v>0</v>
      </c>
      <c r="BR121" s="712">
        <f>IF(Sheet1!EM121="OTHER",BX121,0)</f>
        <v>0</v>
      </c>
      <c r="BS121" s="712">
        <f t="shared" si="410"/>
        <v>0</v>
      </c>
      <c r="BT121" s="712">
        <f t="shared" si="411"/>
        <v>0</v>
      </c>
      <c r="BU121" s="712">
        <f t="shared" si="412"/>
        <v>2.52</v>
      </c>
      <c r="BV121" s="712">
        <f t="shared" si="413"/>
        <v>2.6139983235540654</v>
      </c>
      <c r="BW121" s="712">
        <f>IF(Sheet1!EM121="CWA",SUM(Sheet1!BC121:'Sheet1'!BF121),0)</f>
        <v>0</v>
      </c>
      <c r="BX121" s="712">
        <f>IF(OR(Sheet1!EM121="FM", Sheet1!EM121="OTHER"),SUM(Sheet1!BC121:'Sheet1'!BF121),0)</f>
        <v>0</v>
      </c>
      <c r="BY121" s="697">
        <f>IF(AND($B121&gt;=$FL121,$B121&lt;=$FM121),MAX(BV121,Sheet1!EF121,0),MAX(BV121-(7/36)*$K121,0))</f>
        <v>0</v>
      </c>
      <c r="BZ121" s="712">
        <f t="shared" si="414"/>
        <v>9.9548905653348232</v>
      </c>
      <c r="CA121" s="697">
        <f t="shared" si="374"/>
        <v>2.6139983235540654</v>
      </c>
      <c r="CB121" s="697">
        <f>IF(AND($O121&gt;0,Sheet1!EJ121=1),(1-($O121-Sheet1!$L121)/$O121)*BV121,0)</f>
        <v>0</v>
      </c>
      <c r="CC121" s="697">
        <f>IF(AND(Sheet1!$L121=0,Sheet1!$L120=0, Calculation!BU121&lt;Sheet1!EF121-0.1,Sheet1!EF121=Sheet1!EF120,Sheet1!EF121=Sheet1!EF122),Sheet1!EF121,BV121-CB121)</f>
        <v>2.6139983235540654</v>
      </c>
      <c r="CD121" s="697"/>
      <c r="CE121" s="712"/>
      <c r="CF121" s="712">
        <f t="shared" si="415"/>
        <v>532.74215206683732</v>
      </c>
      <c r="CG121" s="712"/>
      <c r="CH121" s="712">
        <f ca="1">IF(B121&gt;Summary!$A$1,#N/A,CF121*MGtoAF)</f>
        <v>1634.452922541057</v>
      </c>
      <c r="CI121" s="712">
        <f>Sheet1!BK121+Sheet1!BL121+Sheet1!BM121-Sheet1!EN121-CQ121</f>
        <v>6.04</v>
      </c>
      <c r="CJ121" s="712">
        <f t="shared" si="416"/>
        <v>6.265297569153395</v>
      </c>
      <c r="CK121" s="712">
        <f>IF(Sheet1!EN121="FM",CQ121,0)</f>
        <v>0</v>
      </c>
      <c r="CL121" s="712">
        <f t="shared" si="417"/>
        <v>0</v>
      </c>
      <c r="CM121" s="712">
        <f>IF(Sheet1!EN121="OTHER",CQ121,0)</f>
        <v>0</v>
      </c>
      <c r="CN121" s="712">
        <f t="shared" si="418"/>
        <v>0</v>
      </c>
      <c r="CO121" s="712">
        <f t="shared" si="419"/>
        <v>6.04</v>
      </c>
      <c r="CP121" s="712">
        <f t="shared" si="420"/>
        <v>6.265297569153395</v>
      </c>
      <c r="CQ121" s="712">
        <f>IF(OR(Sheet1!EN121="FM", Sheet1!EN121="OTHER"),SUM(Sheet1!BK121:'Sheet1'!BM121),0)</f>
        <v>0</v>
      </c>
      <c r="CR121" s="697">
        <f>IF(AND($B121&gt;=$FL121,$B121&lt;=$FM121),MAX($CJ121,Sheet1!EG121,0),MAX($CJ121-(7/36)*$K121,0))</f>
        <v>0</v>
      </c>
      <c r="CS121" s="712">
        <f t="shared" si="421"/>
        <v>6.303591319735494</v>
      </c>
      <c r="CT121" s="697">
        <f t="shared" si="375"/>
        <v>6.265297569153395</v>
      </c>
      <c r="CU121" s="697">
        <f>IF(AND($O121&gt;0,Sheet1!EK121=1),(1-($O121-Sheet1!$L121)/$O121)*CP121,0)</f>
        <v>0</v>
      </c>
      <c r="CV121" s="697">
        <f>IF(AND(Sheet1!$L121=0,Sheet1!$L120=0, Calculation!CO121&lt;Sheet1!$EG121-0.1,Sheet1!$EG121=Sheet1!$EG120,Sheet1!$EG121=Sheet1!$EG122),Sheet1!$EG121,CP121-CU121)</f>
        <v>6.265297569153395</v>
      </c>
      <c r="CW121" s="697">
        <f t="shared" si="362"/>
        <v>0</v>
      </c>
      <c r="CX121" s="712">
        <f t="shared" si="379"/>
        <v>8.56</v>
      </c>
      <c r="CY121" s="712">
        <f t="shared" si="422"/>
        <v>430.14283326543887</v>
      </c>
      <c r="CZ121" s="712">
        <f t="shared" si="423"/>
        <v>8.8792958927074608</v>
      </c>
      <c r="DA121" s="712">
        <f ca="1">IF(B121&gt;Summary!$A$1,#N/A,CY121*MGtoAF)</f>
        <v>1319.6782124583665</v>
      </c>
      <c r="DB121" s="712">
        <f t="shared" si="424"/>
        <v>8.56</v>
      </c>
      <c r="DC121" s="712">
        <f t="shared" si="425"/>
        <v>23.86</v>
      </c>
      <c r="DD121" s="712">
        <f>Sheet1!AB121-DC121</f>
        <v>0.89000000000000057</v>
      </c>
      <c r="DE121" s="712">
        <f t="shared" si="426"/>
        <v>3.7300922045264064E-2</v>
      </c>
      <c r="DF121" s="712">
        <f>(VLOOKUP(Sheet1!CY121,hhdcap_wcm,4)-(((VLOOKUP(Sheet1!CY121,hhdcap_wcm,3)-Sheet1!CY121)/(VLOOKUP(Sheet1!CY121,hhdcap_wcm,3)-VLOOKUP(Sheet1!CY121,hhdcap_wcm,1)))*(VLOOKUP(Sheet1!CY121,hhdcap_wcm,4)-VLOOKUP(Sheet1!CY121,hhdcap_wcm,2))))</f>
        <v>29305.680000072643</v>
      </c>
      <c r="DG121" s="712">
        <f t="shared" si="427"/>
        <v>707.16000000057829</v>
      </c>
      <c r="DH121" s="712">
        <f t="shared" si="428"/>
        <v>356.6111951591418</v>
      </c>
      <c r="DI121" s="712">
        <f>Sheet1!DW121*AFtoMG</f>
        <v>0</v>
      </c>
      <c r="DJ121" s="712">
        <f>Sheet1!DX121*AFtoMG</f>
        <v>0</v>
      </c>
      <c r="DK121" s="712">
        <f>Sheet1!DY121*AFtoMG</f>
        <v>0</v>
      </c>
      <c r="DL121" s="712">
        <f>Sheet1!DZ121*AFtoMG</f>
        <v>0</v>
      </c>
      <c r="DM121" s="712">
        <f t="shared" si="429"/>
        <v>0</v>
      </c>
      <c r="DN121" s="712">
        <f t="shared" si="430"/>
        <v>0</v>
      </c>
      <c r="DO121" s="712">
        <f t="shared" si="431"/>
        <v>2858.991651998942</v>
      </c>
      <c r="DP121" s="712">
        <f t="shared" si="432"/>
        <v>8771.386388332754</v>
      </c>
      <c r="DQ121" s="712"/>
      <c r="DR121" s="697">
        <f>IF(OR(B121&lt;FL121,B121&gt;FM121),(MIN(AV121+BO121+CJ121+MAX(Sheet1!AA121+AG121-73,0),K121)),0)</f>
        <v>8.8792958927074608</v>
      </c>
      <c r="DS121" s="712"/>
      <c r="DT121" s="712">
        <f t="shared" si="433"/>
        <v>8.8792958927074608</v>
      </c>
      <c r="DU121" s="712"/>
      <c r="DV121" s="712">
        <f>Sheet1!ED121+Sheet1!EE121+Sheet1!EF121+Sheet1!EG121</f>
        <v>8.5</v>
      </c>
      <c r="DW121" s="712"/>
      <c r="DX121" s="697">
        <f t="shared" si="376"/>
        <v>0</v>
      </c>
      <c r="DY121" s="712">
        <f>IF(Sheet1!FN121=1,SUM('Calculations II'!AT121:BA121)+'Calculations II'!BC121+Sheet1!BU121+'Calculations II'!BE121+AF121,SUM('Calculations II'!AT121:BA121)+'Calculations II'!BC121+Sheet1!BU121+'Calculations II'!BE121+AF121)</f>
        <v>44.309344000000003</v>
      </c>
      <c r="DZ121" s="712">
        <f>Sheet1!AA121+Sheet1!AB121+'Calculations II'!BC121</f>
        <v>52.210000000006403</v>
      </c>
      <c r="EA121" s="712"/>
      <c r="EB121" s="712"/>
      <c r="EC121" s="712">
        <f t="shared" si="434"/>
        <v>40650</v>
      </c>
      <c r="ED121" s="712">
        <f t="shared" si="435"/>
        <v>55.76070410729254</v>
      </c>
      <c r="EE121" s="712">
        <f t="shared" si="436"/>
        <v>86.261809253981554</v>
      </c>
      <c r="EF121" s="712">
        <f>-(VLOOKUP(Sheet1!BQ121,Lookup!$B$4:$J$236,2)-VLOOKUP(Sheet1!BQ120,Lookup!$B$4:$J$236,2))/1000000</f>
        <v>1.0786</v>
      </c>
      <c r="EG121" s="712">
        <f>-(VLOOKUP(Sheet1!BR121,Lookup!$B$4:$J$236,3)-VLOOKUP(Sheet1!BR120,Lookup!$B$4:$J$236,3))/1000000</f>
        <v>1.0731999999999999</v>
      </c>
      <c r="EH121" s="712">
        <f>-(VLOOKUP(Sheet1!BS121,Lookup!$B$4:$J$236,4)-VLOOKUP(Sheet1!BS120,Lookup!$B$4:$J$236,4))/1000000</f>
        <v>0</v>
      </c>
      <c r="EI121" s="697">
        <f t="shared" si="380"/>
        <v>2.1517999999999997</v>
      </c>
      <c r="EJ121" s="712"/>
      <c r="EK121" s="712"/>
      <c r="EL121" s="712"/>
      <c r="EM121" s="712"/>
      <c r="EN121" s="712"/>
      <c r="EO121" s="712"/>
      <c r="EP121" s="712"/>
      <c r="EQ121" s="712"/>
      <c r="ER121" s="697">
        <v>0</v>
      </c>
      <c r="ES121" s="712"/>
      <c r="ET121" s="794" t="e">
        <f t="shared" si="437"/>
        <v>#N/A</v>
      </c>
      <c r="EU121" s="794" t="e">
        <f t="shared" si="363"/>
        <v>#VALUE!</v>
      </c>
      <c r="EV121" s="795" t="e">
        <f t="shared" si="364"/>
        <v>#VALUE!</v>
      </c>
      <c r="EW121" s="796" t="s">
        <v>757</v>
      </c>
      <c r="EX121" s="796" t="s">
        <v>757</v>
      </c>
      <c r="EY121" s="794">
        <v>0</v>
      </c>
      <c r="EZ121" s="794" t="e">
        <v>#N/A</v>
      </c>
      <c r="FA121" s="712"/>
      <c r="FB121" s="712"/>
      <c r="FC121" s="712"/>
      <c r="FD121" s="712"/>
      <c r="FE121" s="712">
        <f>O121+Sheet1!CO121</f>
        <v>52.210000000006403</v>
      </c>
      <c r="FF121" s="712">
        <f>IF(Sheet1!AA121+AG121&lt;=Calculation!N121,AG121,Calculation!N121-Sheet1!AA121)</f>
        <v>15.870704107292541</v>
      </c>
      <c r="FG121" s="712">
        <f>(Sheet1!BP121+Sheet1!BO121)/694.4</f>
        <v>1.9719182027649769</v>
      </c>
      <c r="FH121" s="712"/>
      <c r="FI121" s="712"/>
      <c r="FJ121" s="712"/>
      <c r="FK121" s="712"/>
      <c r="FL121" s="714">
        <f t="shared" si="381"/>
        <v>40753</v>
      </c>
      <c r="FM121" s="714">
        <f t="shared" si="382"/>
        <v>40851</v>
      </c>
      <c r="FN121" s="712"/>
      <c r="FO121" s="712"/>
      <c r="FP121" s="712"/>
      <c r="FQ121" s="712"/>
      <c r="FR121" s="712"/>
      <c r="FS121" s="725">
        <f t="shared" si="383"/>
        <v>40603</v>
      </c>
      <c r="FT121" s="714">
        <f t="shared" si="384"/>
        <v>40709</v>
      </c>
      <c r="FU121" s="712">
        <f t="shared" si="385"/>
        <v>6518.9048239895692</v>
      </c>
      <c r="FV121" s="714">
        <f t="shared" si="386"/>
        <v>40722</v>
      </c>
      <c r="FW121" s="712">
        <f t="shared" si="387"/>
        <v>3259.4524119947846</v>
      </c>
      <c r="FX121" s="725">
        <f t="shared" si="388"/>
        <v>40851</v>
      </c>
      <c r="FZ121" s="697">
        <f t="shared" si="365"/>
        <v>0</v>
      </c>
      <c r="GA121" s="712" t="str">
        <f t="shared" si="438"/>
        <v/>
      </c>
      <c r="GB121" s="712">
        <f t="shared" si="439"/>
        <v>0</v>
      </c>
      <c r="GC121" s="712" t="str">
        <f t="shared" si="440"/>
        <v/>
      </c>
      <c r="GD121" s="712">
        <f>IF(GA121="P",Lookup!$M$12,IF(GA121="PP",Lookup!$M$13,IF(GA121="PPP",Lookup!$M$14,IF(GA121="T",Lookup!$M$15,IF(GA121="TP",Lookup!$M$16,IF(GA121="TPP",Lookup!$M$17,IF(GA121="TPPP",Lookup!$M$18,0)))))))*FZ121</f>
        <v>0</v>
      </c>
      <c r="GE121" s="712">
        <f t="shared" si="441"/>
        <v>0</v>
      </c>
      <c r="GF121" s="712">
        <f t="shared" si="442"/>
        <v>3966.3103999999985</v>
      </c>
      <c r="GG121" s="712">
        <f t="shared" si="443"/>
        <v>1292.7999999999995</v>
      </c>
      <c r="GH121" s="712"/>
      <c r="GI121" s="712">
        <f t="shared" si="444"/>
        <v>0</v>
      </c>
      <c r="GJ121" s="712" t="str">
        <f t="shared" si="445"/>
        <v/>
      </c>
      <c r="GK121" s="712">
        <f>IF(GA121="P",Lookup!$N$12,IF(GA121="PP",Lookup!$N$13,IF(GA121="PPP",Lookup!$N$14,IF(GA121="T",Lookup!$N$15,IF(GA121="TP",Lookup!$N$16,IF(GA121="TPP",Lookup!$N$17,IF(GA121="TPPP",Lookup!$N$18,0)))))))*FZ121</f>
        <v>0</v>
      </c>
      <c r="GL121" s="712">
        <f t="shared" si="446"/>
        <v>0</v>
      </c>
      <c r="GM121" s="712">
        <f t="shared" si="447"/>
        <v>1850.9448533333314</v>
      </c>
      <c r="GN121" s="712">
        <f t="shared" si="448"/>
        <v>603.30666666666605</v>
      </c>
      <c r="GO121" s="712"/>
      <c r="GP121" s="712">
        <f t="shared" si="449"/>
        <v>0</v>
      </c>
      <c r="GQ121" s="712" t="str">
        <f t="shared" si="450"/>
        <v/>
      </c>
      <c r="GR121" s="712">
        <f>IF(GA121="P",Lookup!$N$12,IF(GA121="PP",Lookup!$N$13,IF(GA121="PPP",Lookup!$N$14,IF(GA121="T",Lookup!$N$15,IF(GA121="TP",Lookup!$N$16,IF(GA121="TPP",Lookup!$N$17,IF(GA121="TPPP",Lookup!$N$18,0)))))))*FZ121</f>
        <v>0</v>
      </c>
      <c r="GS121" s="697">
        <f t="shared" si="377"/>
        <v>0</v>
      </c>
      <c r="GT121" s="712">
        <f t="shared" si="451"/>
        <v>1634.452922541057</v>
      </c>
      <c r="GU121" s="712">
        <f t="shared" si="452"/>
        <v>532.74215206683732</v>
      </c>
      <c r="GV121" s="712"/>
      <c r="GW121" s="712">
        <f t="shared" si="453"/>
        <v>0</v>
      </c>
      <c r="GX121" s="712" t="str">
        <f t="shared" si="454"/>
        <v/>
      </c>
      <c r="GY121" s="712">
        <f>IF(GA121="P",Lookup!$N$12,IF(GA121="PP",Lookup!$N$13,IF(GA121="PPP",Lookup!$N$14,IF(GA121="T",Lookup!$N$15,IF(GA121="TP",Lookup!$N$16,IF(GA121="TPP",Lookup!$N$17,IF(GA121="TPPP",Lookup!$N$18,0)))))))*FZ121</f>
        <v>0</v>
      </c>
      <c r="GZ121" s="697">
        <f t="shared" si="378"/>
        <v>0</v>
      </c>
      <c r="HA121" s="712">
        <f t="shared" si="455"/>
        <v>1319.6782124583665</v>
      </c>
      <c r="HB121" s="712">
        <f t="shared" si="456"/>
        <v>430.14283326543887</v>
      </c>
      <c r="HC121" s="712"/>
    </row>
    <row r="122" spans="1:211">
      <c r="A122" s="773" t="s">
        <v>4</v>
      </c>
      <c r="B122" s="708">
        <v>40651</v>
      </c>
      <c r="C122" s="709">
        <v>0.5</v>
      </c>
      <c r="D122" s="675">
        <f t="shared" si="366"/>
        <v>300</v>
      </c>
      <c r="E122" s="675">
        <f t="shared" si="367"/>
        <v>250</v>
      </c>
      <c r="F122" s="710">
        <v>250</v>
      </c>
      <c r="G122" s="712">
        <f>DH122+Sheet1!CV122</f>
        <v>1534.9764666339051</v>
      </c>
      <c r="H122" s="712">
        <f t="shared" si="389"/>
        <v>725.24558803215621</v>
      </c>
      <c r="I122" s="711">
        <f>MAX(Sheet1!Z122-AJ122+(Sheet1!CW122-E122)*CFStoMGD,0)</f>
        <v>1246.7276596558318</v>
      </c>
      <c r="J122" s="720">
        <f>IF(AND(B122&gt;=Calculation!FS122,B122&lt;=Calculation!FT122),IF(Sheet1!CX122&gt;=Calculation!D122,64.64,0),MAX(Sheet1!Z122-AJ122+(Sheet1!CX122-D122)*CFStoMGD,0))</f>
        <v>64.64</v>
      </c>
      <c r="K122" s="697">
        <f t="shared" si="368"/>
        <v>64.64</v>
      </c>
      <c r="L122" s="712">
        <f>Sheet1!AA122+Sheet1!AB122-Sheet1!L122+(Sheet1!CW122-F122)*CFStoMGD</f>
        <v>1286.5319999999965</v>
      </c>
      <c r="M122" s="712">
        <f t="shared" si="390"/>
        <v>1012.0529637927995</v>
      </c>
      <c r="N122" s="712">
        <f>IF(Sheet1!CW122&gt;=F122,MIN(73,MIN(MAX(L122,0),MAX(M122,0))),0)</f>
        <v>73</v>
      </c>
      <c r="O122" s="721">
        <f>Sheet1!AA122+Sheet1!AB122</f>
        <v>50.089999999996508</v>
      </c>
      <c r="P122" s="721">
        <f t="shared" si="391"/>
        <v>77.489229999994592</v>
      </c>
      <c r="Q122" s="712">
        <f>MIN(N122,Sheet1!AA122+AG122)</f>
        <v>40.354340344164768</v>
      </c>
      <c r="R122" s="712">
        <f t="shared" si="392"/>
        <v>9.7356596558317392</v>
      </c>
      <c r="S122" s="721">
        <f>Sheet1!Y122*MGDtoCFS</f>
        <v>42.604379999999999</v>
      </c>
      <c r="T122" s="721">
        <f>Sheet1!Z122*MGDtoCFS</f>
        <v>36.818599999999996</v>
      </c>
      <c r="U122" s="721">
        <f>Sheet1!AA122*MGDtoCFS</f>
        <v>41.521479999994597</v>
      </c>
      <c r="V122" s="721">
        <f>Sheet1!AB122*MGDtoCFS</f>
        <v>35.967749999999995</v>
      </c>
      <c r="W122" s="721">
        <f>Sheet1!L122*MGDtoCFS</f>
        <v>0</v>
      </c>
      <c r="X122" s="697">
        <f t="shared" si="369"/>
        <v>0</v>
      </c>
      <c r="Y122" s="712">
        <f t="shared" si="393"/>
        <v>0</v>
      </c>
      <c r="Z122" s="712">
        <f t="shared" si="394"/>
        <v>54.904340344168261</v>
      </c>
      <c r="AA122" s="712">
        <f t="shared" si="395"/>
        <v>84.937014512428291</v>
      </c>
      <c r="AB122" s="712">
        <f>(VLOOKUP(Sheet1!CY122,hhdcap_wcm,4)-(((VLOOKUP(Sheet1!CY122,hhdcap_wcm,3)-Sheet1!CY122)/(VLOOKUP(Sheet1!CY122,hhdcap_wcm,3)-VLOOKUP(Sheet1!CY122,hhdcap_wcm,1)))*(VLOOKUP(Sheet1!CY122,hhdcap_wcm,4)-VLOOKUP(Sheet1!CY122,hhdcap_wcm,2))))</f>
        <v>29779.350000074344</v>
      </c>
      <c r="AC122" s="712">
        <f t="shared" si="396"/>
        <v>473.67000000170083</v>
      </c>
      <c r="AD122" s="712">
        <f t="shared" si="370"/>
        <v>2913.8959923431103</v>
      </c>
      <c r="AE122" s="712">
        <f t="shared" si="397"/>
        <v>8939.832904508663</v>
      </c>
      <c r="AF122" s="712">
        <f>Sheet1!BA122+Sheet1!BB122+Sheet1!BN122+BT122</f>
        <v>15.2</v>
      </c>
      <c r="AG122" s="712">
        <f t="shared" si="398"/>
        <v>13.514340344168261</v>
      </c>
      <c r="AH122" s="712">
        <f>Sheet1!BA122+BT122</f>
        <v>0</v>
      </c>
      <c r="AI122" s="712">
        <f>Sheet1!BA122+Sheet1!BB122+BT122</f>
        <v>0</v>
      </c>
      <c r="AJ122" s="712">
        <f>IF((Sheet1!AA122+AG122+AX122+AZ122+BQ122+BS122+CL122+CN122)&lt;=N122,AG122+AX122+AZ122+BQ122+BS122+CL122+CN122,N122-Sheet1!AA122)</f>
        <v>13.514340344168261</v>
      </c>
      <c r="AK122" s="712">
        <f>IF(DR122&lt;K122,0,MAX(Sheet1!AA122+AG122-15/36*K122-N122,Sheet1!ED122,0))</f>
        <v>0</v>
      </c>
      <c r="AL122" s="712">
        <f>IF(OR(B122&gt;=FT122,B122&lt;FS122),0,15/36*K122-MAX(0,64.6-(137.6-(Sheet1!AA122+Sheet1!AB122))))</f>
        <v>26.933333333333334</v>
      </c>
      <c r="AM122" s="712">
        <f>Sheet1!CX122-110</f>
        <v>1164.6875</v>
      </c>
      <c r="AN122" s="712">
        <f>Sheet1!CW122-265</f>
        <v>1897.8125</v>
      </c>
      <c r="AO122" s="712">
        <f t="shared" si="371"/>
        <v>32.645659655835232</v>
      </c>
      <c r="AP122" s="712">
        <f t="shared" si="372"/>
        <v>0</v>
      </c>
      <c r="AQ122" s="712">
        <f t="shared" si="399"/>
        <v>0</v>
      </c>
      <c r="AR122" s="712">
        <f t="shared" si="400"/>
        <v>1319.7333333333329</v>
      </c>
      <c r="AS122" s="712"/>
      <c r="AT122" s="712">
        <f ca="1">IF(B122&gt;Summary!$A$1,#N/A,AR122*MGtoAF)</f>
        <v>4048.9418666666652</v>
      </c>
      <c r="AU122" s="712">
        <f>Sheet1!BG122+Sheet1!BH122+Sheet1!BI122-BC122</f>
        <v>0</v>
      </c>
      <c r="AV122" s="712">
        <f t="shared" si="401"/>
        <v>0</v>
      </c>
      <c r="AW122" s="712">
        <f>IF(Sheet1!EL122="FM",BC122,0)</f>
        <v>0</v>
      </c>
      <c r="AX122" s="712">
        <f t="shared" si="402"/>
        <v>0</v>
      </c>
      <c r="AY122" s="712">
        <f>IF(Sheet1!EL122="OTHER",BC122,0)</f>
        <v>0</v>
      </c>
      <c r="AZ122" s="712">
        <f t="shared" si="403"/>
        <v>0</v>
      </c>
      <c r="BA122" s="712">
        <f t="shared" si="404"/>
        <v>0</v>
      </c>
      <c r="BB122" s="712">
        <f t="shared" si="405"/>
        <v>0</v>
      </c>
      <c r="BC122" s="712">
        <f>IF(OR(Sheet1!EL122="FM", Sheet1!EL122="OTHER"),SUM(Sheet1!BG122:'Sheet1'!BI122),0)</f>
        <v>0</v>
      </c>
      <c r="BD122" s="697">
        <f>IF(AND($B122&gt;=$FL122,$B122&lt;=$FM122),MAX(AV122,Sheet1!EE122,0),MAX(AV122-(7/36)*$K122,0))</f>
        <v>0</v>
      </c>
      <c r="BE122" s="712">
        <f t="shared" si="406"/>
        <v>12.568888888888889</v>
      </c>
      <c r="BF122" s="697">
        <f t="shared" si="373"/>
        <v>0</v>
      </c>
      <c r="BG122" s="697">
        <f>IF(AND($O122&gt;0,Sheet1!EI122=1),(1-($O122-Sheet1!$L122)/$O122)*BB122,0)</f>
        <v>0</v>
      </c>
      <c r="BH122" s="697">
        <f>IF(AND(Sheet1!$L122=0,Sheet1!$L121=0, Calculation!BA122&lt;Sheet1!$EE122-0.1,Sheet1!$EE122=Sheet1!$EE121,Sheet1!$EE122=Sheet1!$EE123),Sheet1!$EE122,BB122-BG122)</f>
        <v>0</v>
      </c>
      <c r="BI122" s="712"/>
      <c r="BJ122" s="712"/>
      <c r="BK122" s="712">
        <f t="shared" si="407"/>
        <v>615.87555555555491</v>
      </c>
      <c r="BL122" s="712"/>
      <c r="BM122" s="712">
        <f ca="1">IF(B122&gt;Summary!$A$1,#N/A,BK122*MGtoAF)</f>
        <v>1889.5062044444426</v>
      </c>
      <c r="BN122" s="712">
        <f>Sheet1!BC122+Sheet1!BD122+Sheet1!BE122+Sheet1!BF122-BW122-BX122</f>
        <v>2.52</v>
      </c>
      <c r="BO122" s="712">
        <f t="shared" si="408"/>
        <v>2.2405353728489485</v>
      </c>
      <c r="BP122" s="712">
        <f>IF(Sheet1!EM122="FM",BX122,0)</f>
        <v>0</v>
      </c>
      <c r="BQ122" s="712">
        <f t="shared" si="409"/>
        <v>0</v>
      </c>
      <c r="BR122" s="712">
        <f>IF(Sheet1!EM122="OTHER",BX122,0)</f>
        <v>0</v>
      </c>
      <c r="BS122" s="712">
        <f t="shared" si="410"/>
        <v>0</v>
      </c>
      <c r="BT122" s="712">
        <f t="shared" si="411"/>
        <v>0</v>
      </c>
      <c r="BU122" s="712">
        <f t="shared" si="412"/>
        <v>2.52</v>
      </c>
      <c r="BV122" s="712">
        <f t="shared" si="413"/>
        <v>2.2405353728489485</v>
      </c>
      <c r="BW122" s="712">
        <f>IF(Sheet1!EM122="CWA",SUM(Sheet1!BC122:'Sheet1'!BF122),0)</f>
        <v>0</v>
      </c>
      <c r="BX122" s="712">
        <f>IF(OR(Sheet1!EM122="FM", Sheet1!EM122="OTHER"),SUM(Sheet1!BC122:'Sheet1'!BF122),0)</f>
        <v>0</v>
      </c>
      <c r="BY122" s="697">
        <f>IF(AND($B122&gt;=$FL122,$B122&lt;=$FM122),MAX(BV122,Sheet1!EF122,0),MAX(BV122-(7/36)*$K122,0))</f>
        <v>0</v>
      </c>
      <c r="BZ122" s="712">
        <f t="shared" si="414"/>
        <v>10.32835351603994</v>
      </c>
      <c r="CA122" s="697">
        <f t="shared" si="374"/>
        <v>2.2405353728489485</v>
      </c>
      <c r="CB122" s="697">
        <f>IF(AND($O122&gt;0,Sheet1!EJ122=1),(1-($O122-Sheet1!$L122)/$O122)*BV122,0)</f>
        <v>0</v>
      </c>
      <c r="CC122" s="697">
        <f>IF(AND(Sheet1!$L122=0,Sheet1!$L121=0, Calculation!BU122&lt;Sheet1!EF122-0.1,Sheet1!EF122=Sheet1!EF121,Sheet1!EF122=Sheet1!EF123),Sheet1!EF122,BV122-CB122)</f>
        <v>2.2405353728489485</v>
      </c>
      <c r="CD122" s="697"/>
      <c r="CE122" s="712"/>
      <c r="CF122" s="712">
        <f t="shared" si="415"/>
        <v>543.07050558287722</v>
      </c>
      <c r="CG122" s="712"/>
      <c r="CH122" s="712">
        <f ca="1">IF(B122&gt;Summary!$A$1,#N/A,CF122*MGtoAF)</f>
        <v>1666.1403111282673</v>
      </c>
      <c r="CI122" s="712">
        <f>Sheet1!BK122+Sheet1!BL122+Sheet1!BM122-Sheet1!EN122-CQ122</f>
        <v>8.43</v>
      </c>
      <c r="CJ122" s="712">
        <f t="shared" si="416"/>
        <v>7.4951242829827915</v>
      </c>
      <c r="CK122" s="712">
        <f>IF(Sheet1!EN122="FM",CQ122,0)</f>
        <v>0</v>
      </c>
      <c r="CL122" s="712">
        <f t="shared" si="417"/>
        <v>0</v>
      </c>
      <c r="CM122" s="712">
        <f>IF(Sheet1!EN122="OTHER",CQ122,0)</f>
        <v>0</v>
      </c>
      <c r="CN122" s="712">
        <f t="shared" si="418"/>
        <v>0</v>
      </c>
      <c r="CO122" s="712">
        <f t="shared" si="419"/>
        <v>8.43</v>
      </c>
      <c r="CP122" s="712">
        <f t="shared" si="420"/>
        <v>7.4951242829827915</v>
      </c>
      <c r="CQ122" s="712">
        <f>IF(OR(Sheet1!EN122="FM", Sheet1!EN122="OTHER"),SUM(Sheet1!BK122:'Sheet1'!BM122),0)</f>
        <v>0</v>
      </c>
      <c r="CR122" s="697">
        <f>IF(AND($B122&gt;=$FL122,$B122&lt;=$FM122),MAX($CJ122,Sheet1!EG122,0),MAX($CJ122-(7/36)*$K122,0))</f>
        <v>0</v>
      </c>
      <c r="CS122" s="712">
        <f t="shared" si="421"/>
        <v>5.0737646059060975</v>
      </c>
      <c r="CT122" s="697">
        <f t="shared" si="375"/>
        <v>7.4951242829827915</v>
      </c>
      <c r="CU122" s="697">
        <f>IF(AND($O122&gt;0,Sheet1!EK122=1),(1-($O122-Sheet1!$L122)/$O122)*CP122,0)</f>
        <v>0</v>
      </c>
      <c r="CV122" s="697">
        <f>IF(AND(Sheet1!$L122=0,Sheet1!$L121=0, Calculation!CO122&lt;Sheet1!$EG122-0.1,Sheet1!$EG122=Sheet1!$EG121,Sheet1!$EG122=Sheet1!$EG123),Sheet1!$EG122,CP122-CU122)</f>
        <v>7.4951242829827915</v>
      </c>
      <c r="CW122" s="697">
        <f t="shared" si="362"/>
        <v>0</v>
      </c>
      <c r="CX122" s="712">
        <f t="shared" si="379"/>
        <v>10.95</v>
      </c>
      <c r="CY122" s="712">
        <f t="shared" si="422"/>
        <v>435.21659787134496</v>
      </c>
      <c r="CZ122" s="712">
        <f t="shared" si="423"/>
        <v>9.7356596558317392</v>
      </c>
      <c r="DA122" s="712">
        <f ca="1">IF(B122&gt;Summary!$A$1,#N/A,CY122*MGtoAF)</f>
        <v>1335.2445222692863</v>
      </c>
      <c r="DB122" s="712">
        <f t="shared" si="424"/>
        <v>10.95</v>
      </c>
      <c r="DC122" s="712">
        <f t="shared" si="425"/>
        <v>26.15</v>
      </c>
      <c r="DD122" s="712">
        <f>Sheet1!AB122-DC122</f>
        <v>-2.8999999999999986</v>
      </c>
      <c r="DE122" s="712">
        <f t="shared" si="426"/>
        <v>-0.11089866156787757</v>
      </c>
      <c r="DF122" s="712">
        <f>(VLOOKUP(Sheet1!CY122,hhdcap_wcm,4)-(((VLOOKUP(Sheet1!CY122,hhdcap_wcm,3)-Sheet1!CY122)/(VLOOKUP(Sheet1!CY122,hhdcap_wcm,3)-VLOOKUP(Sheet1!CY122,hhdcap_wcm,1)))*(VLOOKUP(Sheet1!CY122,hhdcap_wcm,4)-VLOOKUP(Sheet1!CY122,hhdcap_wcm,2))))</f>
        <v>29779.350000074344</v>
      </c>
      <c r="DG122" s="712">
        <f t="shared" si="427"/>
        <v>473.67000000170083</v>
      </c>
      <c r="DH122" s="712">
        <f t="shared" si="428"/>
        <v>238.86535552279412</v>
      </c>
      <c r="DI122" s="712">
        <f>Sheet1!DW122*AFtoMG</f>
        <v>0</v>
      </c>
      <c r="DJ122" s="712">
        <f>Sheet1!DX122*AFtoMG</f>
        <v>0</v>
      </c>
      <c r="DK122" s="712">
        <f>Sheet1!DY122*AFtoMG</f>
        <v>0</v>
      </c>
      <c r="DL122" s="712">
        <f>Sheet1!DZ122*AFtoMG</f>
        <v>0</v>
      </c>
      <c r="DM122" s="712">
        <f t="shared" si="429"/>
        <v>0</v>
      </c>
      <c r="DN122" s="712">
        <f t="shared" si="430"/>
        <v>0</v>
      </c>
      <c r="DO122" s="712">
        <f t="shared" si="431"/>
        <v>2913.8959923431103</v>
      </c>
      <c r="DP122" s="712">
        <f t="shared" si="432"/>
        <v>8939.832904508663</v>
      </c>
      <c r="DQ122" s="712"/>
      <c r="DR122" s="697">
        <f>IF(OR(B122&lt;FL122,B122&gt;FM122),(MIN(AV122+BO122+CJ122+MAX(Sheet1!AA122+AG122-73,0),K122)),0)</f>
        <v>9.7356596558317392</v>
      </c>
      <c r="DS122" s="712"/>
      <c r="DT122" s="712">
        <f t="shared" si="433"/>
        <v>9.7356596558317392</v>
      </c>
      <c r="DU122" s="712"/>
      <c r="DV122" s="712">
        <f>Sheet1!ED122+Sheet1!EE122+Sheet1!EF122+Sheet1!EG122</f>
        <v>8.5</v>
      </c>
      <c r="DW122" s="712"/>
      <c r="DX122" s="697">
        <f t="shared" si="376"/>
        <v>0</v>
      </c>
      <c r="DY122" s="712">
        <f>IF(Sheet1!FN122=1,SUM('Calculations II'!AT122:BA122)+'Calculations II'!BC122+Sheet1!BU122+'Calculations II'!BE122+AF122,SUM('Calculations II'!AT122:BA122)+'Calculations II'!BC122+Sheet1!BU122+'Calculations II'!BE122+AF122)</f>
        <v>42.791471999999999</v>
      </c>
      <c r="DZ122" s="712">
        <f>Sheet1!AA122+Sheet1!AB122+'Calculations II'!BC122</f>
        <v>50.089999999996508</v>
      </c>
      <c r="EA122" s="712"/>
      <c r="EB122" s="712"/>
      <c r="EC122" s="712">
        <f t="shared" si="434"/>
        <v>40651</v>
      </c>
      <c r="ED122" s="712">
        <f t="shared" si="435"/>
        <v>54.904340344168261</v>
      </c>
      <c r="EE122" s="712">
        <f t="shared" si="436"/>
        <v>84.937014512428291</v>
      </c>
      <c r="EF122" s="712">
        <f>-(VLOOKUP(Sheet1!BQ122,Lookup!$B$4:$J$236,2)-VLOOKUP(Sheet1!BQ121,Lookup!$B$4:$J$236,2))/1000000</f>
        <v>0.80130000000000001</v>
      </c>
      <c r="EG122" s="712">
        <f>-(VLOOKUP(Sheet1!BR122,Lookup!$B$4:$J$236,3)-VLOOKUP(Sheet1!BR121,Lookup!$B$4:$J$236,3))/1000000</f>
        <v>0.53320000000000001</v>
      </c>
      <c r="EH122" s="712">
        <f>-(VLOOKUP(Sheet1!BS122,Lookup!$B$4:$J$236,4)-VLOOKUP(Sheet1!BS121,Lookup!$B$4:$J$236,4))/1000000</f>
        <v>0</v>
      </c>
      <c r="EI122" s="697">
        <f t="shared" si="380"/>
        <v>1.3345</v>
      </c>
      <c r="EJ122" s="712"/>
      <c r="EK122" s="712"/>
      <c r="EL122" s="712"/>
      <c r="EM122" s="712"/>
      <c r="EN122" s="712"/>
      <c r="EO122" s="712"/>
      <c r="EP122" s="712"/>
      <c r="EQ122" s="712"/>
      <c r="ER122" s="697">
        <v>0</v>
      </c>
      <c r="ES122" s="712"/>
      <c r="ET122" s="794" t="e">
        <f t="shared" si="437"/>
        <v>#N/A</v>
      </c>
      <c r="EU122" s="794" t="e">
        <f t="shared" si="363"/>
        <v>#VALUE!</v>
      </c>
      <c r="EV122" s="795" t="e">
        <f t="shared" si="364"/>
        <v>#VALUE!</v>
      </c>
      <c r="EW122" s="796" t="s">
        <v>757</v>
      </c>
      <c r="EX122" s="796" t="s">
        <v>757</v>
      </c>
      <c r="EY122" s="794">
        <v>0</v>
      </c>
      <c r="EZ122" s="794" t="e">
        <v>#N/A</v>
      </c>
      <c r="FA122" s="712"/>
      <c r="FB122" s="712"/>
      <c r="FC122" s="712"/>
      <c r="FD122" s="712"/>
      <c r="FE122" s="712">
        <f>O122+Sheet1!CO122</f>
        <v>50.089999999996508</v>
      </c>
      <c r="FF122" s="712">
        <f>IF(Sheet1!AA122+AG122&lt;=Calculation!N122,AG122,Calculation!N122-Sheet1!AA122)</f>
        <v>13.514340344168261</v>
      </c>
      <c r="FG122" s="712">
        <f>(Sheet1!BP122+Sheet1!BO122)/694.4</f>
        <v>1.4097062211981568</v>
      </c>
      <c r="FH122" s="712"/>
      <c r="FI122" s="712"/>
      <c r="FJ122" s="712"/>
      <c r="FK122" s="712"/>
      <c r="FL122" s="714">
        <f t="shared" si="381"/>
        <v>40753</v>
      </c>
      <c r="FM122" s="714">
        <f t="shared" si="382"/>
        <v>40851</v>
      </c>
      <c r="FN122" s="712"/>
      <c r="FO122" s="712"/>
      <c r="FP122" s="712"/>
      <c r="FQ122" s="712"/>
      <c r="FR122" s="712"/>
      <c r="FS122" s="725">
        <f t="shared" si="383"/>
        <v>40603</v>
      </c>
      <c r="FT122" s="714">
        <f t="shared" si="384"/>
        <v>40709</v>
      </c>
      <c r="FU122" s="712">
        <f t="shared" si="385"/>
        <v>6518.9048239895692</v>
      </c>
      <c r="FV122" s="714">
        <f t="shared" si="386"/>
        <v>40722</v>
      </c>
      <c r="FW122" s="712">
        <f t="shared" si="387"/>
        <v>3259.4524119947846</v>
      </c>
      <c r="FX122" s="725">
        <f t="shared" si="388"/>
        <v>40851</v>
      </c>
      <c r="FZ122" s="697">
        <f t="shared" si="365"/>
        <v>0</v>
      </c>
      <c r="GA122" s="712" t="str">
        <f t="shared" si="438"/>
        <v/>
      </c>
      <c r="GB122" s="712">
        <f t="shared" si="439"/>
        <v>0</v>
      </c>
      <c r="GC122" s="712" t="str">
        <f t="shared" si="440"/>
        <v/>
      </c>
      <c r="GD122" s="712">
        <f>IF(GA122="P",Lookup!$M$12,IF(GA122="PP",Lookup!$M$13,IF(GA122="PPP",Lookup!$M$14,IF(GA122="T",Lookup!$M$15,IF(GA122="TP",Lookup!$M$16,IF(GA122="TPP",Lookup!$M$17,IF(GA122="TPPP",Lookup!$M$18,0)))))))*FZ122</f>
        <v>0</v>
      </c>
      <c r="GE122" s="712">
        <f t="shared" si="441"/>
        <v>0</v>
      </c>
      <c r="GF122" s="712">
        <f t="shared" si="442"/>
        <v>4048.9418666666652</v>
      </c>
      <c r="GG122" s="712">
        <f t="shared" si="443"/>
        <v>1319.7333333333329</v>
      </c>
      <c r="GH122" s="712"/>
      <c r="GI122" s="712">
        <f t="shared" si="444"/>
        <v>0</v>
      </c>
      <c r="GJ122" s="712" t="str">
        <f t="shared" si="445"/>
        <v/>
      </c>
      <c r="GK122" s="712">
        <f>IF(GA122="P",Lookup!$N$12,IF(GA122="PP",Lookup!$N$13,IF(GA122="PPP",Lookup!$N$14,IF(GA122="T",Lookup!$N$15,IF(GA122="TP",Lookup!$N$16,IF(GA122="TPP",Lookup!$N$17,IF(GA122="TPPP",Lookup!$N$18,0)))))))*FZ122</f>
        <v>0</v>
      </c>
      <c r="GL122" s="712">
        <f t="shared" si="446"/>
        <v>0</v>
      </c>
      <c r="GM122" s="712">
        <f t="shared" si="447"/>
        <v>1889.5062044444426</v>
      </c>
      <c r="GN122" s="712">
        <f t="shared" si="448"/>
        <v>615.87555555555491</v>
      </c>
      <c r="GO122" s="712"/>
      <c r="GP122" s="712">
        <f t="shared" si="449"/>
        <v>0</v>
      </c>
      <c r="GQ122" s="712" t="str">
        <f t="shared" si="450"/>
        <v/>
      </c>
      <c r="GR122" s="712">
        <f>IF(GA122="P",Lookup!$N$12,IF(GA122="PP",Lookup!$N$13,IF(GA122="PPP",Lookup!$N$14,IF(GA122="T",Lookup!$N$15,IF(GA122="TP",Lookup!$N$16,IF(GA122="TPP",Lookup!$N$17,IF(GA122="TPPP",Lookup!$N$18,0)))))))*FZ122</f>
        <v>0</v>
      </c>
      <c r="GS122" s="697">
        <f t="shared" si="377"/>
        <v>0</v>
      </c>
      <c r="GT122" s="712">
        <f t="shared" si="451"/>
        <v>1666.1403111282673</v>
      </c>
      <c r="GU122" s="712">
        <f t="shared" si="452"/>
        <v>543.07050558287722</v>
      </c>
      <c r="GV122" s="712"/>
      <c r="GW122" s="712">
        <f t="shared" si="453"/>
        <v>0</v>
      </c>
      <c r="GX122" s="712" t="str">
        <f t="shared" si="454"/>
        <v/>
      </c>
      <c r="GY122" s="712">
        <f>IF(GA122="P",Lookup!$N$12,IF(GA122="PP",Lookup!$N$13,IF(GA122="PPP",Lookup!$N$14,IF(GA122="T",Lookup!$N$15,IF(GA122="TP",Lookup!$N$16,IF(GA122="TPP",Lookup!$N$17,IF(GA122="TPPP",Lookup!$N$18,0)))))))*FZ122</f>
        <v>0</v>
      </c>
      <c r="GZ122" s="697">
        <f t="shared" si="378"/>
        <v>0</v>
      </c>
      <c r="HA122" s="712">
        <f t="shared" si="455"/>
        <v>1335.2445222692863</v>
      </c>
      <c r="HB122" s="712">
        <f t="shared" si="456"/>
        <v>435.21659787134496</v>
      </c>
      <c r="HC122" s="712"/>
    </row>
    <row r="123" spans="1:211">
      <c r="A123" s="773" t="s">
        <v>5</v>
      </c>
      <c r="B123" s="708">
        <v>40652</v>
      </c>
      <c r="C123" s="719">
        <v>0.5</v>
      </c>
      <c r="D123" s="675">
        <f t="shared" si="366"/>
        <v>300</v>
      </c>
      <c r="E123" s="675">
        <f t="shared" si="367"/>
        <v>250</v>
      </c>
      <c r="F123" s="710">
        <v>250</v>
      </c>
      <c r="G123" s="712">
        <f>DH123+Sheet1!CV123</f>
        <v>1349.7512186923163</v>
      </c>
      <c r="H123" s="712">
        <f t="shared" si="389"/>
        <v>605.51598776271328</v>
      </c>
      <c r="I123" s="711">
        <f>MAX(Sheet1!Z123-AJ123+(Sheet1!CW123-E123)*CFStoMGD,0)</f>
        <v>1135.5349857502094</v>
      </c>
      <c r="J123" s="720">
        <f>IF(AND(B123&gt;=Calculation!FS123,B123&lt;=Calculation!FT123),IF(Sheet1!CX123&gt;=Calculation!D123,64.64,0),MAX(Sheet1!Z123-AJ123+(Sheet1!CX123-D123)*CFStoMGD,0))</f>
        <v>64.64</v>
      </c>
      <c r="K123" s="697">
        <f t="shared" si="368"/>
        <v>64.64</v>
      </c>
      <c r="L123" s="712">
        <f>Sheet1!AA123+Sheet1!AB123-Sheet1!L123+(Sheet1!CW123-F123)*CFStoMGD</f>
        <v>1180.7659999999998</v>
      </c>
      <c r="M123" s="712">
        <f t="shared" si="390"/>
        <v>889.92877151796756</v>
      </c>
      <c r="N123" s="712">
        <f>IF(Sheet1!CW123&gt;=F123,MIN(73,MIN(MAX(L123,0),MAX(M123,0))),0)</f>
        <v>73</v>
      </c>
      <c r="O123" s="721">
        <f>Sheet1!AA123+Sheet1!AB123</f>
        <v>53</v>
      </c>
      <c r="P123" s="721">
        <f t="shared" si="391"/>
        <v>81.990999999999985</v>
      </c>
      <c r="Q123" s="712">
        <f>MIN(N123,Sheet1!AA123+AG123)</f>
        <v>44.031014249790445</v>
      </c>
      <c r="R123" s="712">
        <f t="shared" si="392"/>
        <v>8.9689857502095549</v>
      </c>
      <c r="S123" s="721">
        <f>Sheet1!Y123*MGDtoCFS</f>
        <v>42.41874</v>
      </c>
      <c r="T123" s="721">
        <f>Sheet1!Z123*MGDtoCFS</f>
        <v>36.818599999999996</v>
      </c>
      <c r="U123" s="721">
        <f>Sheet1!AA123*MGDtoCFS</f>
        <v>43.315999999999995</v>
      </c>
      <c r="V123" s="721">
        <f>Sheet1!AB123*MGDtoCFS</f>
        <v>38.674999999999997</v>
      </c>
      <c r="W123" s="721">
        <f>Sheet1!L123*MGDtoCFS</f>
        <v>0</v>
      </c>
      <c r="X123" s="697">
        <f t="shared" si="369"/>
        <v>0</v>
      </c>
      <c r="Y123" s="712">
        <f t="shared" si="393"/>
        <v>0</v>
      </c>
      <c r="Z123" s="712">
        <f t="shared" si="394"/>
        <v>55.671014249790446</v>
      </c>
      <c r="AA123" s="712">
        <f t="shared" si="395"/>
        <v>86.123059044425816</v>
      </c>
      <c r="AB123" s="712">
        <f>(VLOOKUP(Sheet1!CY123,hhdcap_wcm,4)-(((VLOOKUP(Sheet1!CY123,hhdcap_wcm,3)-Sheet1!CY123)/(VLOOKUP(Sheet1!CY123,hhdcap_wcm,3)-VLOOKUP(Sheet1!CY123,hhdcap_wcm,1)))*(VLOOKUP(Sheet1!CY123,hhdcap_wcm,4)-VLOOKUP(Sheet1!CY123,hhdcap_wcm,2))))</f>
        <v>30038.850000074541</v>
      </c>
      <c r="AC123" s="712">
        <f t="shared" si="396"/>
        <v>259.50000000019645</v>
      </c>
      <c r="AD123" s="712">
        <f t="shared" si="370"/>
        <v>2969.5670065929003</v>
      </c>
      <c r="AE123" s="712">
        <f t="shared" si="397"/>
        <v>9110.6315762270187</v>
      </c>
      <c r="AF123" s="712">
        <f>Sheet1!BA123+Sheet1!BB123+Sheet1!BN123+BT123</f>
        <v>15.3</v>
      </c>
      <c r="AG123" s="712">
        <f t="shared" si="398"/>
        <v>16.031014249790445</v>
      </c>
      <c r="AH123" s="712">
        <f>Sheet1!BA123+BT123</f>
        <v>0</v>
      </c>
      <c r="AI123" s="712">
        <f>Sheet1!BA123+Sheet1!BB123+BT123</f>
        <v>0</v>
      </c>
      <c r="AJ123" s="712">
        <f>IF((Sheet1!AA123+AG123+AX123+AZ123+BQ123+BS123+CL123+CN123)&lt;=N123,AG123+AX123+AZ123+BQ123+BS123+CL123+CN123,N123-Sheet1!AA123)</f>
        <v>16.031014249790445</v>
      </c>
      <c r="AK123" s="712">
        <f>IF(DR123&lt;K123,0,MAX(Sheet1!AA123+AG123-15/36*K123-N123,Sheet1!ED123,0))</f>
        <v>0</v>
      </c>
      <c r="AL123" s="712">
        <f>IF(OR(B123&gt;=FT123,B123&lt;FS123),0,15/36*K123-MAX(0,64.6-(137.6-(Sheet1!AA123+Sheet1!AB123))))</f>
        <v>26.933333333333334</v>
      </c>
      <c r="AM123" s="712">
        <f>Sheet1!CX123-110</f>
        <v>1064.0625</v>
      </c>
      <c r="AN123" s="712">
        <f>Sheet1!CW123-265</f>
        <v>1729.6875</v>
      </c>
      <c r="AO123" s="712">
        <f t="shared" si="371"/>
        <v>28.968985750209555</v>
      </c>
      <c r="AP123" s="712">
        <f t="shared" si="372"/>
        <v>0</v>
      </c>
      <c r="AQ123" s="712">
        <f t="shared" si="399"/>
        <v>0</v>
      </c>
      <c r="AR123" s="712">
        <f t="shared" si="400"/>
        <v>1346.6666666666663</v>
      </c>
      <c r="AS123" s="712"/>
      <c r="AT123" s="712">
        <f ca="1">IF(B123&gt;Summary!$A$1,#N/A,AR123*MGtoAF)</f>
        <v>4131.5733333333319</v>
      </c>
      <c r="AU123" s="712">
        <f>Sheet1!BG123+Sheet1!BH123+Sheet1!BI123-BC123</f>
        <v>0</v>
      </c>
      <c r="AV123" s="712">
        <f t="shared" si="401"/>
        <v>0</v>
      </c>
      <c r="AW123" s="712">
        <f>IF(Sheet1!EL123="FM",BC123,0)</f>
        <v>0</v>
      </c>
      <c r="AX123" s="712">
        <f t="shared" si="402"/>
        <v>0</v>
      </c>
      <c r="AY123" s="712">
        <f>IF(Sheet1!EL123="OTHER",BC123,0)</f>
        <v>0</v>
      </c>
      <c r="AZ123" s="712">
        <f t="shared" si="403"/>
        <v>0</v>
      </c>
      <c r="BA123" s="712">
        <f t="shared" si="404"/>
        <v>0</v>
      </c>
      <c r="BB123" s="712">
        <f t="shared" si="405"/>
        <v>0</v>
      </c>
      <c r="BC123" s="712">
        <f>IF(OR(Sheet1!EL123="FM", Sheet1!EL123="OTHER"),SUM(Sheet1!BG123:'Sheet1'!BI123),0)</f>
        <v>0</v>
      </c>
      <c r="BD123" s="697">
        <f>IF(AND($B123&gt;=$FL123,$B123&lt;=$FM123),MAX(AV123,Sheet1!EE123,0),MAX(AV123-(7/36)*$K123,0))</f>
        <v>0</v>
      </c>
      <c r="BE123" s="712">
        <f t="shared" si="406"/>
        <v>12.568888888888889</v>
      </c>
      <c r="BF123" s="697">
        <f t="shared" si="373"/>
        <v>0</v>
      </c>
      <c r="BG123" s="697">
        <f>IF(AND($O123&gt;0,Sheet1!EI123=1),(1-($O123-Sheet1!$L123)/$O123)*BB123,0)</f>
        <v>0</v>
      </c>
      <c r="BH123" s="697">
        <f>IF(AND(Sheet1!$L123=0,Sheet1!$L122=0, Calculation!BA123&lt;Sheet1!$EE123-0.1,Sheet1!$EE123=Sheet1!$EE122,Sheet1!$EE123=Sheet1!$EE124),Sheet1!$EE123,BB123-BG123)</f>
        <v>0</v>
      </c>
      <c r="BI123" s="712"/>
      <c r="BJ123" s="712"/>
      <c r="BK123" s="712">
        <f t="shared" si="407"/>
        <v>628.44444444444377</v>
      </c>
      <c r="BL123" s="712"/>
      <c r="BM123" s="712">
        <f ca="1">IF(B123&gt;Summary!$A$1,#N/A,BK123*MGtoAF)</f>
        <v>1928.0675555555536</v>
      </c>
      <c r="BN123" s="712">
        <f>Sheet1!BC123+Sheet1!BD123+Sheet1!BE123+Sheet1!BF123-BW123-BX123</f>
        <v>2.5299999999999998</v>
      </c>
      <c r="BO123" s="712">
        <f t="shared" si="408"/>
        <v>2.6508801341156745</v>
      </c>
      <c r="BP123" s="712">
        <f>IF(Sheet1!EM123="FM",BX123,0)</f>
        <v>0</v>
      </c>
      <c r="BQ123" s="712">
        <f t="shared" si="409"/>
        <v>0</v>
      </c>
      <c r="BR123" s="712">
        <f>IF(Sheet1!EM123="OTHER",BX123,0)</f>
        <v>0</v>
      </c>
      <c r="BS123" s="712">
        <f t="shared" si="410"/>
        <v>0</v>
      </c>
      <c r="BT123" s="712">
        <f t="shared" si="411"/>
        <v>0</v>
      </c>
      <c r="BU123" s="712">
        <f t="shared" si="412"/>
        <v>2.5299999999999998</v>
      </c>
      <c r="BV123" s="712">
        <f t="shared" si="413"/>
        <v>2.6508801341156745</v>
      </c>
      <c r="BW123" s="712">
        <f>IF(Sheet1!EM123="CWA",SUM(Sheet1!BC123:'Sheet1'!BF123),0)</f>
        <v>0</v>
      </c>
      <c r="BX123" s="712">
        <f>IF(OR(Sheet1!EM123="FM", Sheet1!EM123="OTHER"),SUM(Sheet1!BC123:'Sheet1'!BF123),0)</f>
        <v>0</v>
      </c>
      <c r="BY123" s="697">
        <f>IF(AND($B123&gt;=$FL123,$B123&lt;=$FM123),MAX(BV123,Sheet1!EF123,0),MAX(BV123-(7/36)*$K123,0))</f>
        <v>0</v>
      </c>
      <c r="BZ123" s="712">
        <f t="shared" si="414"/>
        <v>9.918008754773215</v>
      </c>
      <c r="CA123" s="697">
        <f t="shared" si="374"/>
        <v>2.6508801341156745</v>
      </c>
      <c r="CB123" s="697">
        <f>IF(AND($O123&gt;0,Sheet1!EJ123=1),(1-($O123-Sheet1!$L123)/$O123)*BV123,0)</f>
        <v>0</v>
      </c>
      <c r="CC123" s="697">
        <f>IF(AND(Sheet1!$L123=0,Sheet1!$L122=0, Calculation!BU123&lt;Sheet1!EF123-0.1,Sheet1!EF123=Sheet1!EF122,Sheet1!EF123=Sheet1!EF124),Sheet1!EF123,BV123-CB123)</f>
        <v>2.6508801341156745</v>
      </c>
      <c r="CD123" s="697"/>
      <c r="CE123" s="712"/>
      <c r="CF123" s="712">
        <f t="shared" si="415"/>
        <v>552.98851433765049</v>
      </c>
      <c r="CG123" s="712"/>
      <c r="CH123" s="712">
        <f ca="1">IF(B123&gt;Summary!$A$1,#N/A,CF123*MGtoAF)</f>
        <v>1696.5687619879118</v>
      </c>
      <c r="CI123" s="712">
        <f>Sheet1!BK123+Sheet1!BL123+Sheet1!BM123-Sheet1!EN123-CQ123</f>
        <v>6.0299999999999994</v>
      </c>
      <c r="CJ123" s="712">
        <f t="shared" si="416"/>
        <v>6.3181056160938809</v>
      </c>
      <c r="CK123" s="712">
        <f>IF(Sheet1!EN123="FM",CQ123,0)</f>
        <v>0</v>
      </c>
      <c r="CL123" s="712">
        <f t="shared" si="417"/>
        <v>0</v>
      </c>
      <c r="CM123" s="712">
        <f>IF(Sheet1!EN123="OTHER",CQ123,0)</f>
        <v>0</v>
      </c>
      <c r="CN123" s="712">
        <f t="shared" si="418"/>
        <v>0</v>
      </c>
      <c r="CO123" s="712">
        <f t="shared" si="419"/>
        <v>6.0299999999999994</v>
      </c>
      <c r="CP123" s="712">
        <f t="shared" si="420"/>
        <v>6.3181056160938809</v>
      </c>
      <c r="CQ123" s="712">
        <f>IF(OR(Sheet1!EN123="FM", Sheet1!EN123="OTHER"),SUM(Sheet1!BK123:'Sheet1'!BM123),0)</f>
        <v>0</v>
      </c>
      <c r="CR123" s="697">
        <f>IF(AND($B123&gt;=$FL123,$B123&lt;=$FM123),MAX($CJ123,Sheet1!EG123,0),MAX($CJ123-(7/36)*$K123,0))</f>
        <v>0</v>
      </c>
      <c r="CS123" s="712">
        <f t="shared" si="421"/>
        <v>6.2507832727950081</v>
      </c>
      <c r="CT123" s="697">
        <f t="shared" si="375"/>
        <v>6.3181056160938809</v>
      </c>
      <c r="CU123" s="697">
        <f>IF(AND($O123&gt;0,Sheet1!EK123=1),(1-($O123-Sheet1!$L123)/$O123)*CP123,0)</f>
        <v>0</v>
      </c>
      <c r="CV123" s="697">
        <f>IF(AND(Sheet1!$L123=0,Sheet1!$L122=0, Calculation!CO123&lt;Sheet1!$EG123-0.1,Sheet1!$EG123=Sheet1!$EG122,Sheet1!$EG123=Sheet1!$EG124),Sheet1!$EG123,CP123-CU123)</f>
        <v>6.3181056160938809</v>
      </c>
      <c r="CW123" s="697">
        <f t="shared" si="362"/>
        <v>0</v>
      </c>
      <c r="CX123" s="712">
        <f t="shared" si="379"/>
        <v>8.5599999999999987</v>
      </c>
      <c r="CY123" s="712">
        <f t="shared" si="422"/>
        <v>441.46738114413995</v>
      </c>
      <c r="CZ123" s="712">
        <f t="shared" si="423"/>
        <v>8.9689857502095549</v>
      </c>
      <c r="DA123" s="712">
        <f ca="1">IF(B123&gt;Summary!$A$1,#N/A,CY123*MGtoAF)</f>
        <v>1354.4219253502215</v>
      </c>
      <c r="DB123" s="712">
        <f t="shared" si="424"/>
        <v>8.5599999999999987</v>
      </c>
      <c r="DC123" s="712">
        <f t="shared" si="425"/>
        <v>23.86</v>
      </c>
      <c r="DD123" s="712">
        <f>Sheet1!AB123-DC123</f>
        <v>1.1400000000000006</v>
      </c>
      <c r="DE123" s="712">
        <f t="shared" si="426"/>
        <v>4.7778709136630369E-2</v>
      </c>
      <c r="DF123" s="712">
        <f>(VLOOKUP(Sheet1!CY123,hhdcap_wcm,4)-(((VLOOKUP(Sheet1!CY123,hhdcap_wcm,3)-Sheet1!CY123)/(VLOOKUP(Sheet1!CY123,hhdcap_wcm,3)-VLOOKUP(Sheet1!CY123,hhdcap_wcm,1)))*(VLOOKUP(Sheet1!CY123,hhdcap_wcm,4)-VLOOKUP(Sheet1!CY123,hhdcap_wcm,2))))</f>
        <v>30038.850000074541</v>
      </c>
      <c r="DG123" s="712">
        <f t="shared" si="427"/>
        <v>259.50000000019645</v>
      </c>
      <c r="DH123" s="712">
        <f t="shared" si="428"/>
        <v>130.86232980342734</v>
      </c>
      <c r="DI123" s="712">
        <f>Sheet1!DW123*AFtoMG</f>
        <v>0</v>
      </c>
      <c r="DJ123" s="712">
        <f>Sheet1!DX123*AFtoMG</f>
        <v>0</v>
      </c>
      <c r="DK123" s="712">
        <f>Sheet1!DY123*AFtoMG</f>
        <v>0</v>
      </c>
      <c r="DL123" s="712">
        <f>Sheet1!DZ123*AFtoMG</f>
        <v>0</v>
      </c>
      <c r="DM123" s="712">
        <f t="shared" si="429"/>
        <v>0</v>
      </c>
      <c r="DN123" s="712">
        <f t="shared" si="430"/>
        <v>0</v>
      </c>
      <c r="DO123" s="712">
        <f t="shared" si="431"/>
        <v>2969.5670065929003</v>
      </c>
      <c r="DP123" s="712">
        <f t="shared" si="432"/>
        <v>9110.6315762270187</v>
      </c>
      <c r="DQ123" s="712"/>
      <c r="DR123" s="697">
        <f>IF(OR(B123&lt;FL123,B123&gt;FM123),(MIN(AV123+BO123+CJ123+MAX(Sheet1!AA123+AG123-73,0),K123)),0)</f>
        <v>8.9689857502095549</v>
      </c>
      <c r="DS123" s="712"/>
      <c r="DT123" s="712">
        <f t="shared" si="433"/>
        <v>8.9689857502095549</v>
      </c>
      <c r="DU123" s="712"/>
      <c r="DV123" s="712">
        <f>Sheet1!ED123+Sheet1!EE123+Sheet1!EF123+Sheet1!EG123</f>
        <v>8.5</v>
      </c>
      <c r="DW123" s="712"/>
      <c r="DX123" s="697">
        <f t="shared" si="376"/>
        <v>0</v>
      </c>
      <c r="DY123" s="712">
        <f>IF(Sheet1!FN123=1,SUM('Calculations II'!AT123:BA123)+'Calculations II'!BC123+Sheet1!BU123+'Calculations II'!BE123+AF123,SUM('Calculations II'!AT123:BA123)+'Calculations II'!BC123+Sheet1!BU123+'Calculations II'!BE123+AF123)</f>
        <v>46.024256000000001</v>
      </c>
      <c r="DZ123" s="712">
        <f>Sheet1!AA123+Sheet1!AB123+'Calculations II'!BC123</f>
        <v>53</v>
      </c>
      <c r="EA123" s="712"/>
      <c r="EB123" s="712"/>
      <c r="EC123" s="712">
        <f t="shared" si="434"/>
        <v>40652</v>
      </c>
      <c r="ED123" s="712">
        <f t="shared" si="435"/>
        <v>55.671014249790446</v>
      </c>
      <c r="EE123" s="712">
        <f t="shared" si="436"/>
        <v>86.123059044425816</v>
      </c>
      <c r="EF123" s="712">
        <f>-(VLOOKUP(Sheet1!BQ123,Lookup!$B$4:$J$236,2)-VLOOKUP(Sheet1!BQ122,Lookup!$B$4:$J$236,2))/1000000</f>
        <v>2.13</v>
      </c>
      <c r="EG123" s="712">
        <f>-(VLOOKUP(Sheet1!BR123,Lookup!$B$4:$J$236,3)-VLOOKUP(Sheet1!BR122,Lookup!$B$4:$J$236,3))/1000000</f>
        <v>2.1261999999999999</v>
      </c>
      <c r="EH123" s="712">
        <f>-(VLOOKUP(Sheet1!BS123,Lookup!$B$4:$J$236,4)-VLOOKUP(Sheet1!BS122,Lookup!$B$4:$J$236,4))/1000000</f>
        <v>0</v>
      </c>
      <c r="EI123" s="697">
        <f t="shared" si="380"/>
        <v>4.2561999999999998</v>
      </c>
      <c r="EJ123" s="712"/>
      <c r="EK123" s="712"/>
      <c r="EL123" s="712"/>
      <c r="EM123" s="712"/>
      <c r="EN123" s="712"/>
      <c r="EO123" s="712"/>
      <c r="EP123" s="712"/>
      <c r="EQ123" s="712"/>
      <c r="ER123" s="697">
        <v>0</v>
      </c>
      <c r="ES123" s="712"/>
      <c r="ET123" s="794" t="e">
        <f t="shared" si="437"/>
        <v>#N/A</v>
      </c>
      <c r="EU123" s="794" t="e">
        <f t="shared" si="363"/>
        <v>#VALUE!</v>
      </c>
      <c r="EV123" s="795" t="e">
        <f t="shared" si="364"/>
        <v>#VALUE!</v>
      </c>
      <c r="EW123" s="796" t="s">
        <v>757</v>
      </c>
      <c r="EX123" s="796" t="s">
        <v>757</v>
      </c>
      <c r="EY123" s="794">
        <v>0</v>
      </c>
      <c r="EZ123" s="794" t="e">
        <v>#N/A</v>
      </c>
      <c r="FA123" s="712"/>
      <c r="FB123" s="712"/>
      <c r="FC123" s="712"/>
      <c r="FD123" s="712"/>
      <c r="FE123" s="712">
        <f>O123+Sheet1!CO123</f>
        <v>53</v>
      </c>
      <c r="FF123" s="712">
        <f>IF(Sheet1!AA123+AG123&lt;=Calculation!N123,AG123,Calculation!N123-Sheet1!AA123)</f>
        <v>16.031014249790445</v>
      </c>
      <c r="FG123" s="712">
        <f>(Sheet1!BP123+Sheet1!BO123)/694.4</f>
        <v>2.469758064516129</v>
      </c>
      <c r="FH123" s="712"/>
      <c r="FI123" s="712"/>
      <c r="FJ123" s="712"/>
      <c r="FK123" s="712"/>
      <c r="FL123" s="714">
        <f t="shared" si="381"/>
        <v>40753</v>
      </c>
      <c r="FM123" s="714">
        <f t="shared" si="382"/>
        <v>40851</v>
      </c>
      <c r="FN123" s="712"/>
      <c r="FO123" s="712"/>
      <c r="FP123" s="712"/>
      <c r="FQ123" s="712"/>
      <c r="FR123" s="712"/>
      <c r="FS123" s="725">
        <f t="shared" si="383"/>
        <v>40603</v>
      </c>
      <c r="FT123" s="714">
        <f t="shared" si="384"/>
        <v>40709</v>
      </c>
      <c r="FU123" s="712">
        <f t="shared" si="385"/>
        <v>6518.9048239895692</v>
      </c>
      <c r="FV123" s="714">
        <f t="shared" si="386"/>
        <v>40722</v>
      </c>
      <c r="FW123" s="712">
        <f t="shared" si="387"/>
        <v>3259.4524119947846</v>
      </c>
      <c r="FX123" s="725">
        <f t="shared" si="388"/>
        <v>40851</v>
      </c>
      <c r="FZ123" s="697">
        <f t="shared" si="365"/>
        <v>0</v>
      </c>
      <c r="GA123" s="712" t="str">
        <f t="shared" si="438"/>
        <v/>
      </c>
      <c r="GB123" s="712">
        <f t="shared" si="439"/>
        <v>0</v>
      </c>
      <c r="GC123" s="712" t="str">
        <f t="shared" si="440"/>
        <v/>
      </c>
      <c r="GD123" s="712">
        <f>IF(GA123="P",Lookup!$M$12,IF(GA123="PP",Lookup!$M$13,IF(GA123="PPP",Lookup!$M$14,IF(GA123="T",Lookup!$M$15,IF(GA123="TP",Lookup!$M$16,IF(GA123="TPP",Lookup!$M$17,IF(GA123="TPPP",Lookup!$M$18,0)))))))*FZ123</f>
        <v>0</v>
      </c>
      <c r="GE123" s="712">
        <f t="shared" si="441"/>
        <v>0</v>
      </c>
      <c r="GF123" s="712">
        <f t="shared" si="442"/>
        <v>4131.5733333333319</v>
      </c>
      <c r="GG123" s="712">
        <f t="shared" si="443"/>
        <v>1346.6666666666663</v>
      </c>
      <c r="GH123" s="712"/>
      <c r="GI123" s="712">
        <f t="shared" si="444"/>
        <v>0</v>
      </c>
      <c r="GJ123" s="712" t="str">
        <f t="shared" si="445"/>
        <v/>
      </c>
      <c r="GK123" s="712">
        <f>IF(GA123="P",Lookup!$N$12,IF(GA123="PP",Lookup!$N$13,IF(GA123="PPP",Lookup!$N$14,IF(GA123="T",Lookup!$N$15,IF(GA123="TP",Lookup!$N$16,IF(GA123="TPP",Lookup!$N$17,IF(GA123="TPPP",Lookup!$N$18,0)))))))*FZ123</f>
        <v>0</v>
      </c>
      <c r="GL123" s="712">
        <f t="shared" si="446"/>
        <v>0</v>
      </c>
      <c r="GM123" s="712">
        <f t="shared" si="447"/>
        <v>1928.0675555555536</v>
      </c>
      <c r="GN123" s="712">
        <f t="shared" si="448"/>
        <v>628.44444444444377</v>
      </c>
      <c r="GO123" s="712"/>
      <c r="GP123" s="712">
        <f t="shared" si="449"/>
        <v>0</v>
      </c>
      <c r="GQ123" s="712" t="str">
        <f t="shared" si="450"/>
        <v/>
      </c>
      <c r="GR123" s="712">
        <f>IF(GA123="P",Lookup!$N$12,IF(GA123="PP",Lookup!$N$13,IF(GA123="PPP",Lookup!$N$14,IF(GA123="T",Lookup!$N$15,IF(GA123="TP",Lookup!$N$16,IF(GA123="TPP",Lookup!$N$17,IF(GA123="TPPP",Lookup!$N$18,0)))))))*FZ123</f>
        <v>0</v>
      </c>
      <c r="GS123" s="697">
        <f t="shared" si="377"/>
        <v>0</v>
      </c>
      <c r="GT123" s="712">
        <f t="shared" si="451"/>
        <v>1696.5687619879118</v>
      </c>
      <c r="GU123" s="712">
        <f t="shared" si="452"/>
        <v>552.98851433765049</v>
      </c>
      <c r="GV123" s="712"/>
      <c r="GW123" s="712">
        <f t="shared" si="453"/>
        <v>0</v>
      </c>
      <c r="GX123" s="712" t="str">
        <f t="shared" si="454"/>
        <v/>
      </c>
      <c r="GY123" s="712">
        <f>IF(GA123="P",Lookup!$N$12,IF(GA123="PP",Lookup!$N$13,IF(GA123="PPP",Lookup!$N$14,IF(GA123="T",Lookup!$N$15,IF(GA123="TP",Lookup!$N$16,IF(GA123="TPP",Lookup!$N$17,IF(GA123="TPPP",Lookup!$N$18,0)))))))*FZ123</f>
        <v>0</v>
      </c>
      <c r="GZ123" s="697">
        <f t="shared" si="378"/>
        <v>0</v>
      </c>
      <c r="HA123" s="712">
        <f t="shared" si="455"/>
        <v>1354.4219253502215</v>
      </c>
      <c r="HB123" s="712">
        <f t="shared" si="456"/>
        <v>441.46738114413995</v>
      </c>
      <c r="HC123" s="712"/>
    </row>
    <row r="124" spans="1:211">
      <c r="A124" s="773" t="s">
        <v>6</v>
      </c>
      <c r="B124" s="708">
        <v>40653</v>
      </c>
      <c r="C124" s="709">
        <v>0.5</v>
      </c>
      <c r="D124" s="675">
        <f t="shared" si="366"/>
        <v>300</v>
      </c>
      <c r="E124" s="675">
        <f t="shared" si="367"/>
        <v>250</v>
      </c>
      <c r="F124" s="675">
        <v>250</v>
      </c>
      <c r="G124" s="712">
        <f>DH124+Sheet1!CV124</f>
        <v>1264.8732407281057</v>
      </c>
      <c r="H124" s="712">
        <f t="shared" si="389"/>
        <v>550.65086280664752</v>
      </c>
      <c r="I124" s="711">
        <f>MAX(Sheet1!Z124-AJ124+(Sheet1!CW124-E124)*CFStoMGD,0)</f>
        <v>1085.5167835791131</v>
      </c>
      <c r="J124" s="720">
        <f>IF(AND(B124&gt;=Calculation!FS124,B124&lt;=Calculation!FT124),IF(Sheet1!CX124&gt;=Calculation!D124,64.64,0),MAX(Sheet1!Z124-AJ124+(Sheet1!CX124-D124)*CFStoMGD,0))</f>
        <v>64.64</v>
      </c>
      <c r="K124" s="697">
        <f t="shared" si="368"/>
        <v>64.64</v>
      </c>
      <c r="L124" s="712">
        <f>Sheet1!AA124+Sheet1!AB124-Sheet1!L124+(Sheet1!CW124-F124)*CFStoMGD</f>
        <v>1130.9100000000051</v>
      </c>
      <c r="M124" s="712">
        <f t="shared" si="390"/>
        <v>833.96634406278042</v>
      </c>
      <c r="N124" s="712">
        <f>IF(Sheet1!CW124&gt;=F124,MIN(73,MIN(MAX(L124,0),MAX(M124,0))),0)</f>
        <v>73</v>
      </c>
      <c r="O124" s="721">
        <f>Sheet1!AA124+Sheet1!AB124</f>
        <v>53.240000000005239</v>
      </c>
      <c r="P124" s="721">
        <f t="shared" si="391"/>
        <v>82.362280000008099</v>
      </c>
      <c r="Q124" s="712">
        <f>MIN(N124,Sheet1!AA124+AG124)</f>
        <v>44.963216420889097</v>
      </c>
      <c r="R124" s="712">
        <f t="shared" si="392"/>
        <v>8.276783579116147</v>
      </c>
      <c r="S124" s="721">
        <f>Sheet1!Y124*MGDtoCFS</f>
        <v>42.43421</v>
      </c>
      <c r="T124" s="721">
        <f>Sheet1!Z124*MGDtoCFS</f>
        <v>38.087139999999998</v>
      </c>
      <c r="U124" s="721">
        <f>Sheet1!AA124*MGDtoCFS</f>
        <v>43.609930000003601</v>
      </c>
      <c r="V124" s="721">
        <f>Sheet1!AB124*MGDtoCFS</f>
        <v>38.752350000004498</v>
      </c>
      <c r="W124" s="721">
        <f>Sheet1!L124*MGDtoCFS</f>
        <v>0</v>
      </c>
      <c r="X124" s="697">
        <f t="shared" si="369"/>
        <v>0</v>
      </c>
      <c r="Y124" s="712">
        <f t="shared" si="393"/>
        <v>0</v>
      </c>
      <c r="Z124" s="712">
        <f t="shared" si="394"/>
        <v>56.363216420883852</v>
      </c>
      <c r="AA124" s="712">
        <f t="shared" si="395"/>
        <v>87.19389580310731</v>
      </c>
      <c r="AB124" s="712">
        <f>(VLOOKUP(Sheet1!CY124,hhdcap_wcm,4)-(((VLOOKUP(Sheet1!CY124,hhdcap_wcm,3)-Sheet1!CY124)/(VLOOKUP(Sheet1!CY124,hhdcap_wcm,3)-VLOOKUP(Sheet1!CY124,hhdcap_wcm,1)))*(VLOOKUP(Sheet1!CY124,hhdcap_wcm,4)-VLOOKUP(Sheet1!CY124,hhdcap_wcm,2))))</f>
        <v>30237.800000074738</v>
      </c>
      <c r="AC124" s="712">
        <f t="shared" si="396"/>
        <v>198.95000000019718</v>
      </c>
      <c r="AD124" s="712">
        <f t="shared" si="370"/>
        <v>3025.9302230137841</v>
      </c>
      <c r="AE124" s="712">
        <f t="shared" si="397"/>
        <v>9283.5539242062896</v>
      </c>
      <c r="AF124" s="712">
        <f>Sheet1!BA124+Sheet1!BB124+Sheet1!BN124+BT124</f>
        <v>16.8</v>
      </c>
      <c r="AG124" s="712">
        <f t="shared" si="398"/>
        <v>16.773216420886765</v>
      </c>
      <c r="AH124" s="712">
        <f>Sheet1!BA124+BT124</f>
        <v>0</v>
      </c>
      <c r="AI124" s="712">
        <f>Sheet1!BA124+Sheet1!BB124+BT124</f>
        <v>0</v>
      </c>
      <c r="AJ124" s="712">
        <f>IF((Sheet1!AA124+AG124+AX124+AZ124+BQ124+BS124+CL124+CN124)&lt;=N124,AG124+AX124+AZ124+BQ124+BS124+CL124+CN124,N124-Sheet1!AA124)</f>
        <v>16.773216420886765</v>
      </c>
      <c r="AK124" s="712">
        <f>IF(DR124&lt;K124,0,MAX(Sheet1!AA124+AG124-15/36*K124-N124,Sheet1!ED124,0))</f>
        <v>0</v>
      </c>
      <c r="AL124" s="712">
        <f>IF(OR(B124&gt;=FT124,B124&lt;FS124),0,15/36*K124-MAX(0,64.6-(137.6-(Sheet1!AA124+Sheet1!AB124))))</f>
        <v>26.933333333333334</v>
      </c>
      <c r="AM124" s="712">
        <f>Sheet1!CX124-110</f>
        <v>962.88541666666674</v>
      </c>
      <c r="AN124" s="712">
        <f>Sheet1!CW124-265</f>
        <v>1652.1875</v>
      </c>
      <c r="AO124" s="712">
        <f t="shared" si="371"/>
        <v>28.036783579110903</v>
      </c>
      <c r="AP124" s="712">
        <f t="shared" si="372"/>
        <v>0</v>
      </c>
      <c r="AQ124" s="712">
        <f t="shared" si="399"/>
        <v>0</v>
      </c>
      <c r="AR124" s="712">
        <f t="shared" si="400"/>
        <v>1373.5999999999997</v>
      </c>
      <c r="AS124" s="712"/>
      <c r="AT124" s="712">
        <f ca="1">IF(B124&gt;Summary!$A$1,#N/A,AR124*MGtoAF)</f>
        <v>4214.2047999999995</v>
      </c>
      <c r="AU124" s="712">
        <f>Sheet1!BG124+Sheet1!BH124+Sheet1!BI124-BC124</f>
        <v>0</v>
      </c>
      <c r="AV124" s="712">
        <f t="shared" si="401"/>
        <v>0</v>
      </c>
      <c r="AW124" s="712">
        <f>IF(Sheet1!EL124="FM",BC124,0)</f>
        <v>0</v>
      </c>
      <c r="AX124" s="712">
        <f t="shared" si="402"/>
        <v>0</v>
      </c>
      <c r="AY124" s="712">
        <f>IF(Sheet1!EL124="OTHER",BC124,0)</f>
        <v>0</v>
      </c>
      <c r="AZ124" s="712">
        <f t="shared" si="403"/>
        <v>0</v>
      </c>
      <c r="BA124" s="712">
        <f t="shared" si="404"/>
        <v>0</v>
      </c>
      <c r="BB124" s="712">
        <f t="shared" si="405"/>
        <v>0</v>
      </c>
      <c r="BC124" s="712">
        <f>IF(OR(Sheet1!EL124="FM", Sheet1!EL124="OTHER"),SUM(Sheet1!BG124:'Sheet1'!BI124),0)</f>
        <v>0</v>
      </c>
      <c r="BD124" s="697">
        <f>IF(AND($B124&gt;=$FL124,$B124&lt;=$FM124),MAX(AV124,Sheet1!EE124,0),MAX(AV124-(7/36)*$K124,0))</f>
        <v>0</v>
      </c>
      <c r="BE124" s="712">
        <f t="shared" si="406"/>
        <v>12.568888888888889</v>
      </c>
      <c r="BF124" s="697">
        <f t="shared" si="373"/>
        <v>0</v>
      </c>
      <c r="BG124" s="697">
        <f>IF(AND($O124&gt;0,Sheet1!EI124=1),(1-($O124-Sheet1!$L124)/$O124)*BB124,0)</f>
        <v>0</v>
      </c>
      <c r="BH124" s="697">
        <f>IF(AND(Sheet1!$L124=0,Sheet1!$L123=0, Calculation!BA124&lt;Sheet1!$EE124-0.1,Sheet1!$EE124=Sheet1!$EE123,Sheet1!$EE124=Sheet1!$EE125),Sheet1!$EE124,BB124-BG124)</f>
        <v>0</v>
      </c>
      <c r="BI124" s="712"/>
      <c r="BJ124" s="712"/>
      <c r="BK124" s="712">
        <f t="shared" si="407"/>
        <v>641.01333333333264</v>
      </c>
      <c r="BL124" s="712"/>
      <c r="BM124" s="712">
        <f ca="1">IF(B124&gt;Summary!$A$1,#N/A,BK124*MGtoAF)</f>
        <v>1966.6289066666645</v>
      </c>
      <c r="BN124" s="712">
        <f>Sheet1!BC124+Sheet1!BD124+Sheet1!BE124+Sheet1!BF124-BW124-BX124</f>
        <v>2.25</v>
      </c>
      <c r="BO124" s="712">
        <f t="shared" si="408"/>
        <v>2.24641291351162</v>
      </c>
      <c r="BP124" s="712">
        <f>IF(Sheet1!EM124="FM",BX124,0)</f>
        <v>0</v>
      </c>
      <c r="BQ124" s="712">
        <f t="shared" si="409"/>
        <v>0</v>
      </c>
      <c r="BR124" s="712">
        <f>IF(Sheet1!EM124="OTHER",BX124,0)</f>
        <v>0</v>
      </c>
      <c r="BS124" s="712">
        <f t="shared" si="410"/>
        <v>0</v>
      </c>
      <c r="BT124" s="712">
        <f t="shared" si="411"/>
        <v>0</v>
      </c>
      <c r="BU124" s="712">
        <f t="shared" si="412"/>
        <v>2.25</v>
      </c>
      <c r="BV124" s="712">
        <f t="shared" si="413"/>
        <v>2.24641291351162</v>
      </c>
      <c r="BW124" s="712">
        <f>IF(Sheet1!EM124="CWA",SUM(Sheet1!BC124:'Sheet1'!BF124),0)</f>
        <v>0</v>
      </c>
      <c r="BX124" s="712">
        <f>IF(OR(Sheet1!EM124="FM", Sheet1!EM124="OTHER"),SUM(Sheet1!BC124:'Sheet1'!BF124),0)</f>
        <v>0</v>
      </c>
      <c r="BY124" s="697">
        <f>IF(AND($B124&gt;=$FL124,$B124&lt;=$FM124),MAX(BV124,Sheet1!EF124,0),MAX(BV124-(7/36)*$K124,0))</f>
        <v>0</v>
      </c>
      <c r="BZ124" s="712">
        <f t="shared" si="414"/>
        <v>10.322475975377269</v>
      </c>
      <c r="CA124" s="697">
        <f t="shared" si="374"/>
        <v>2.24641291351162</v>
      </c>
      <c r="CB124" s="697">
        <f>IF(AND($O124&gt;0,Sheet1!EJ124=1),(1-($O124-Sheet1!$L124)/$O124)*BV124,0)</f>
        <v>0</v>
      </c>
      <c r="CC124" s="697">
        <f>IF(AND(Sheet1!$L124=0,Sheet1!$L123=0, Calculation!BU124&lt;Sheet1!EF124-0.1,Sheet1!EF124=Sheet1!EF123,Sheet1!EF124=Sheet1!EF125),Sheet1!EF124,BV124-CB124)</f>
        <v>2.5</v>
      </c>
      <c r="CD124" s="697"/>
      <c r="CE124" s="712"/>
      <c r="CF124" s="712">
        <f t="shared" si="415"/>
        <v>563.31099031302779</v>
      </c>
      <c r="CG124" s="712"/>
      <c r="CH124" s="712">
        <f ca="1">IF(B124&gt;Summary!$A$1,#N/A,CF124*MGtoAF)</f>
        <v>1728.2381182803692</v>
      </c>
      <c r="CI124" s="712">
        <f>Sheet1!BK124+Sheet1!BL124+Sheet1!BM124-Sheet1!EN124-CQ124</f>
        <v>6.04</v>
      </c>
      <c r="CJ124" s="712">
        <f t="shared" si="416"/>
        <v>6.0303706656045266</v>
      </c>
      <c r="CK124" s="712">
        <f>IF(Sheet1!EN124="FM",CQ124,0)</f>
        <v>0</v>
      </c>
      <c r="CL124" s="712">
        <f t="shared" si="417"/>
        <v>0</v>
      </c>
      <c r="CM124" s="712">
        <f>IF(Sheet1!EN124="OTHER",CQ124,0)</f>
        <v>0</v>
      </c>
      <c r="CN124" s="712">
        <f t="shared" si="418"/>
        <v>0</v>
      </c>
      <c r="CO124" s="712">
        <f t="shared" si="419"/>
        <v>6.04</v>
      </c>
      <c r="CP124" s="712">
        <f t="shared" si="420"/>
        <v>6.0303706656045266</v>
      </c>
      <c r="CQ124" s="712">
        <f>IF(OR(Sheet1!EN124="FM", Sheet1!EN124="OTHER"),SUM(Sheet1!BK124:'Sheet1'!BM124),0)</f>
        <v>0</v>
      </c>
      <c r="CR124" s="697">
        <f>IF(AND($B124&gt;=$FL124,$B124&lt;=$FM124),MAX($CJ124,Sheet1!EG124,0),MAX($CJ124-(7/36)*$K124,0))</f>
        <v>0</v>
      </c>
      <c r="CS124" s="712">
        <f t="shared" si="421"/>
        <v>6.5385182232843624</v>
      </c>
      <c r="CT124" s="697">
        <f t="shared" si="375"/>
        <v>6.0303706656045266</v>
      </c>
      <c r="CU124" s="697">
        <f>IF(AND($O124&gt;0,Sheet1!EK124=1),(1-($O124-Sheet1!$L124)/$O124)*CP124,0)</f>
        <v>0</v>
      </c>
      <c r="CV124" s="697">
        <f>IF(AND(Sheet1!$L124=0,Sheet1!$L123=0, Calculation!CO124&lt;Sheet1!$EG124-0.1,Sheet1!$EG124=Sheet1!$EG123,Sheet1!$EG124=Sheet1!$EG125),Sheet1!$EG124,CP124-CU124)</f>
        <v>6.0303706656045266</v>
      </c>
      <c r="CW124" s="697">
        <f t="shared" si="362"/>
        <v>0</v>
      </c>
      <c r="CX124" s="712">
        <f t="shared" si="379"/>
        <v>8.2899999999999991</v>
      </c>
      <c r="CY124" s="712">
        <f t="shared" si="422"/>
        <v>448.00589936742432</v>
      </c>
      <c r="CZ124" s="712">
        <f t="shared" si="423"/>
        <v>8.276783579116147</v>
      </c>
      <c r="DA124" s="712">
        <f ca="1">IF(B124&gt;Summary!$A$1,#N/A,CY124*MGtoAF)</f>
        <v>1374.4820992592579</v>
      </c>
      <c r="DB124" s="712">
        <f t="shared" si="424"/>
        <v>8.2899999999999991</v>
      </c>
      <c r="DC124" s="712">
        <f t="shared" si="425"/>
        <v>25.09</v>
      </c>
      <c r="DD124" s="712">
        <f>Sheet1!AB124-DC124</f>
        <v>-3.9999999997089475E-2</v>
      </c>
      <c r="DE124" s="712">
        <f t="shared" si="426"/>
        <v>-1.5942606615021711E-3</v>
      </c>
      <c r="DF124" s="712">
        <f>(VLOOKUP(Sheet1!CY124,hhdcap_wcm,4)-(((VLOOKUP(Sheet1!CY124,hhdcap_wcm,3)-Sheet1!CY124)/(VLOOKUP(Sheet1!CY124,hhdcap_wcm,3)-VLOOKUP(Sheet1!CY124,hhdcap_wcm,1)))*(VLOOKUP(Sheet1!CY124,hhdcap_wcm,4)-VLOOKUP(Sheet1!CY124,hhdcap_wcm,2))))</f>
        <v>30237.800000074738</v>
      </c>
      <c r="DG124" s="712">
        <f t="shared" si="427"/>
        <v>198.95000000019718</v>
      </c>
      <c r="DH124" s="712">
        <f t="shared" si="428"/>
        <v>100.32778618265111</v>
      </c>
      <c r="DI124" s="712">
        <f>Sheet1!DW124*AFtoMG</f>
        <v>0</v>
      </c>
      <c r="DJ124" s="712">
        <f>Sheet1!DX124*AFtoMG</f>
        <v>0</v>
      </c>
      <c r="DK124" s="712">
        <f>Sheet1!DY124*AFtoMG</f>
        <v>0</v>
      </c>
      <c r="DL124" s="712">
        <f>Sheet1!DZ124*AFtoMG</f>
        <v>0</v>
      </c>
      <c r="DM124" s="712">
        <f t="shared" si="429"/>
        <v>0</v>
      </c>
      <c r="DN124" s="712">
        <f t="shared" si="430"/>
        <v>0</v>
      </c>
      <c r="DO124" s="712">
        <f t="shared" si="431"/>
        <v>3025.9302230137841</v>
      </c>
      <c r="DP124" s="712">
        <f t="shared" si="432"/>
        <v>9283.5539242062896</v>
      </c>
      <c r="DQ124" s="712"/>
      <c r="DR124" s="697">
        <f>IF(OR(B124&lt;FL124,B124&gt;FM124),(MIN(AV124+BO124+CJ124+MAX(Sheet1!AA124+AG124-73,0),K124)),0)</f>
        <v>8.276783579116147</v>
      </c>
      <c r="DS124" s="712"/>
      <c r="DT124" s="712">
        <f t="shared" si="433"/>
        <v>8.276783579116147</v>
      </c>
      <c r="DU124" s="712"/>
      <c r="DV124" s="712">
        <f>Sheet1!ED124+Sheet1!EE124+Sheet1!EF124+Sheet1!EG124</f>
        <v>8.5</v>
      </c>
      <c r="DW124" s="712"/>
      <c r="DX124" s="697">
        <f t="shared" si="376"/>
        <v>0</v>
      </c>
      <c r="DY124" s="712">
        <f>IF(Sheet1!FN124=1,SUM('Calculations II'!AT124:BA124)+'Calculations II'!BC124+Sheet1!BU124+'Calculations II'!BE124+AF124,SUM('Calculations II'!AT124:BA124)+'Calculations II'!BC124+Sheet1!BU124+'Calculations II'!BE124+AF124)</f>
        <v>48.946432000000001</v>
      </c>
      <c r="DZ124" s="712">
        <f>Sheet1!AA124+Sheet1!AB124+'Calculations II'!BC124</f>
        <v>53.240000000005239</v>
      </c>
      <c r="EA124" s="712"/>
      <c r="EB124" s="712"/>
      <c r="EC124" s="712">
        <f t="shared" si="434"/>
        <v>40653</v>
      </c>
      <c r="ED124" s="712">
        <f t="shared" si="435"/>
        <v>56.363216420883852</v>
      </c>
      <c r="EE124" s="712">
        <f t="shared" si="436"/>
        <v>87.19389580310731</v>
      </c>
      <c r="EF124" s="712">
        <f>-(VLOOKUP(Sheet1!BQ124,Lookup!$B$4:$J$236,2)-VLOOKUP(Sheet1!BQ123,Lookup!$B$4:$J$236,2))/1000000</f>
        <v>2.37</v>
      </c>
      <c r="EG124" s="712">
        <f>-(VLOOKUP(Sheet1!BR124,Lookup!$B$4:$J$236,3)-VLOOKUP(Sheet1!BR123,Lookup!$B$4:$J$236,3))/1000000</f>
        <v>2.3664000000000001</v>
      </c>
      <c r="EH124" s="712">
        <f>-(VLOOKUP(Sheet1!BS124,Lookup!$B$4:$J$236,4)-VLOOKUP(Sheet1!BS123,Lookup!$B$4:$J$236,4))/1000000</f>
        <v>0</v>
      </c>
      <c r="EI124" s="697">
        <f t="shared" si="380"/>
        <v>4.7363999999999997</v>
      </c>
      <c r="EJ124" s="712"/>
      <c r="EK124" s="712"/>
      <c r="EL124" s="712"/>
      <c r="EM124" s="712"/>
      <c r="EN124" s="712"/>
      <c r="EO124" s="712"/>
      <c r="EP124" s="712"/>
      <c r="EQ124" s="712"/>
      <c r="ER124" s="697">
        <v>0</v>
      </c>
      <c r="ES124" s="712"/>
      <c r="ET124" s="794" t="e">
        <f t="shared" si="437"/>
        <v>#N/A</v>
      </c>
      <c r="EU124" s="794" t="e">
        <f t="shared" si="363"/>
        <v>#VALUE!</v>
      </c>
      <c r="EV124" s="795" t="e">
        <f t="shared" si="364"/>
        <v>#VALUE!</v>
      </c>
      <c r="EW124" s="796" t="s">
        <v>757</v>
      </c>
      <c r="EX124" s="796" t="s">
        <v>757</v>
      </c>
      <c r="EY124" s="794">
        <v>0</v>
      </c>
      <c r="EZ124" s="794" t="e">
        <v>#N/A</v>
      </c>
      <c r="FA124" s="712"/>
      <c r="FB124" s="712"/>
      <c r="FC124" s="712"/>
      <c r="FD124" s="712"/>
      <c r="FE124" s="712">
        <f>O124+Sheet1!CO124</f>
        <v>53.240000000005239</v>
      </c>
      <c r="FF124" s="712">
        <f>IF(Sheet1!AA124+AG124&lt;=Calculation!N124,AG124,Calculation!N124-Sheet1!AA124)</f>
        <v>16.773216420886765</v>
      </c>
      <c r="FG124" s="712">
        <f>(Sheet1!BP124+Sheet1!BO124)/694.4</f>
        <v>1.5240495391705069</v>
      </c>
      <c r="FH124" s="712"/>
      <c r="FI124" s="712"/>
      <c r="FJ124" s="712"/>
      <c r="FK124" s="712"/>
      <c r="FL124" s="714">
        <f t="shared" si="381"/>
        <v>40753</v>
      </c>
      <c r="FM124" s="714">
        <f t="shared" si="382"/>
        <v>40851</v>
      </c>
      <c r="FN124" s="712"/>
      <c r="FO124" s="712"/>
      <c r="FP124" s="712"/>
      <c r="FQ124" s="712"/>
      <c r="FR124" s="712"/>
      <c r="FS124" s="725">
        <f t="shared" si="383"/>
        <v>40603</v>
      </c>
      <c r="FT124" s="714">
        <f t="shared" si="384"/>
        <v>40709</v>
      </c>
      <c r="FU124" s="712">
        <f t="shared" si="385"/>
        <v>6518.9048239895692</v>
      </c>
      <c r="FV124" s="714">
        <f t="shared" si="386"/>
        <v>40722</v>
      </c>
      <c r="FW124" s="712">
        <f t="shared" si="387"/>
        <v>3259.4524119947846</v>
      </c>
      <c r="FX124" s="725">
        <f t="shared" si="388"/>
        <v>40851</v>
      </c>
      <c r="FZ124" s="697">
        <f t="shared" si="365"/>
        <v>0</v>
      </c>
      <c r="GA124" s="712" t="str">
        <f t="shared" si="438"/>
        <v/>
      </c>
      <c r="GB124" s="712">
        <f t="shared" si="439"/>
        <v>0</v>
      </c>
      <c r="GC124" s="712" t="str">
        <f t="shared" si="440"/>
        <v/>
      </c>
      <c r="GD124" s="712">
        <f>IF(GA124="P",Lookup!$M$12,IF(GA124="PP",Lookup!$M$13,IF(GA124="PPP",Lookup!$M$14,IF(GA124="T",Lookup!$M$15,IF(GA124="TP",Lookup!$M$16,IF(GA124="TPP",Lookup!$M$17,IF(GA124="TPPP",Lookup!$M$18,0)))))))*FZ124</f>
        <v>0</v>
      </c>
      <c r="GE124" s="712">
        <f t="shared" si="441"/>
        <v>0</v>
      </c>
      <c r="GF124" s="712">
        <f t="shared" si="442"/>
        <v>4214.2047999999995</v>
      </c>
      <c r="GG124" s="712">
        <f t="shared" si="443"/>
        <v>1373.5999999999997</v>
      </c>
      <c r="GH124" s="712"/>
      <c r="GI124" s="712">
        <f t="shared" si="444"/>
        <v>0</v>
      </c>
      <c r="GJ124" s="712" t="str">
        <f t="shared" si="445"/>
        <v/>
      </c>
      <c r="GK124" s="712">
        <f>IF(GA124="P",Lookup!$N$12,IF(GA124="PP",Lookup!$N$13,IF(GA124="PPP",Lookup!$N$14,IF(GA124="T",Lookup!$N$15,IF(GA124="TP",Lookup!$N$16,IF(GA124="TPP",Lookup!$N$17,IF(GA124="TPPP",Lookup!$N$18,0)))))))*FZ124</f>
        <v>0</v>
      </c>
      <c r="GL124" s="712">
        <f t="shared" si="446"/>
        <v>0</v>
      </c>
      <c r="GM124" s="712">
        <f t="shared" si="447"/>
        <v>1966.6289066666645</v>
      </c>
      <c r="GN124" s="712">
        <f t="shared" si="448"/>
        <v>641.01333333333264</v>
      </c>
      <c r="GO124" s="712"/>
      <c r="GP124" s="712">
        <f t="shared" si="449"/>
        <v>0</v>
      </c>
      <c r="GQ124" s="712" t="str">
        <f t="shared" si="450"/>
        <v/>
      </c>
      <c r="GR124" s="712">
        <f>IF(GA124="P",Lookup!$N$12,IF(GA124="PP",Lookup!$N$13,IF(GA124="PPP",Lookup!$N$14,IF(GA124="T",Lookup!$N$15,IF(GA124="TP",Lookup!$N$16,IF(GA124="TPP",Lookup!$N$17,IF(GA124="TPPP",Lookup!$N$18,0)))))))*FZ124</f>
        <v>0</v>
      </c>
      <c r="GS124" s="697">
        <f t="shared" si="377"/>
        <v>0</v>
      </c>
      <c r="GT124" s="712">
        <f t="shared" si="451"/>
        <v>1728.2381182803692</v>
      </c>
      <c r="GU124" s="712">
        <f t="shared" si="452"/>
        <v>563.31099031302779</v>
      </c>
      <c r="GV124" s="712"/>
      <c r="GW124" s="712">
        <f t="shared" si="453"/>
        <v>0</v>
      </c>
      <c r="GX124" s="712" t="str">
        <f t="shared" si="454"/>
        <v/>
      </c>
      <c r="GY124" s="712">
        <f>IF(GA124="P",Lookup!$N$12,IF(GA124="PP",Lookup!$N$13,IF(GA124="PPP",Lookup!$N$14,IF(GA124="T",Lookup!$N$15,IF(GA124="TP",Lookup!$N$16,IF(GA124="TPP",Lookup!$N$17,IF(GA124="TPPP",Lookup!$N$18,0)))))))*FZ124</f>
        <v>0</v>
      </c>
      <c r="GZ124" s="697">
        <f t="shared" si="378"/>
        <v>0</v>
      </c>
      <c r="HA124" s="712">
        <f t="shared" si="455"/>
        <v>1374.4820992592579</v>
      </c>
      <c r="HB124" s="712">
        <f t="shared" si="456"/>
        <v>448.00589936742432</v>
      </c>
      <c r="HC124" s="712"/>
    </row>
    <row r="125" spans="1:211">
      <c r="A125" s="773" t="s">
        <v>7</v>
      </c>
      <c r="B125" s="708">
        <v>40654</v>
      </c>
      <c r="C125" s="719">
        <v>0.5</v>
      </c>
      <c r="D125" s="675">
        <f t="shared" si="366"/>
        <v>300</v>
      </c>
      <c r="E125" s="675">
        <f t="shared" si="367"/>
        <v>250</v>
      </c>
      <c r="F125" s="710">
        <v>250</v>
      </c>
      <c r="G125" s="712">
        <f>DH125+Sheet1!CV125</f>
        <v>1169.9475083672371</v>
      </c>
      <c r="H125" s="712">
        <f t="shared" si="389"/>
        <v>489.29086940858207</v>
      </c>
      <c r="I125" s="711">
        <f>MAX(Sheet1!Z125-AJ125+(Sheet1!CW125-E125)*CFStoMGD,0)</f>
        <v>955.64684848484944</v>
      </c>
      <c r="J125" s="720">
        <f>IF(AND(B125&gt;=Calculation!FS125,B125&lt;=Calculation!FT125),IF(Sheet1!CX125&gt;=Calculation!D125,64.64,0),MAX(Sheet1!Z125-AJ125+(Sheet1!CX125-D125)*CFStoMGD,0))</f>
        <v>64.64</v>
      </c>
      <c r="K125" s="697">
        <f t="shared" si="368"/>
        <v>64.64</v>
      </c>
      <c r="L125" s="712">
        <f>Sheet1!AA125+Sheet1!AB125-Sheet1!L125+(Sheet1!CW125-F125)*CFStoMGD</f>
        <v>1010.078666666668</v>
      </c>
      <c r="M125" s="712">
        <f t="shared" si="390"/>
        <v>771.37915079675372</v>
      </c>
      <c r="N125" s="712">
        <f>IF(Sheet1!CW125&gt;=F125,MIN(73,MIN(MAX(L125,0),MAX(M125,0))),0)</f>
        <v>73</v>
      </c>
      <c r="O125" s="721">
        <f>Sheet1!AA125+Sheet1!AB125</f>
        <v>61.150000000001455</v>
      </c>
      <c r="P125" s="721">
        <f t="shared" si="391"/>
        <v>94.599050000002251</v>
      </c>
      <c r="Q125" s="712">
        <f>MIN(N125,Sheet1!AA125+AG125)</f>
        <v>52.531818181820029</v>
      </c>
      <c r="R125" s="712">
        <f t="shared" si="392"/>
        <v>8.6181818181814194</v>
      </c>
      <c r="S125" s="721">
        <f>Sheet1!Y125*MGDtoCFS</f>
        <v>46.162479999999995</v>
      </c>
      <c r="T125" s="721">
        <f>Sheet1!Z125*MGDtoCFS</f>
        <v>45.945899999999995</v>
      </c>
      <c r="U125" s="721">
        <f>Sheet1!AA125*MGDtoCFS</f>
        <v>45.713850000004498</v>
      </c>
      <c r="V125" s="721">
        <f>Sheet1!AB125*MGDtoCFS</f>
        <v>48.885199999997745</v>
      </c>
      <c r="W125" s="721">
        <f>Sheet1!L125*MGDtoCFS</f>
        <v>0</v>
      </c>
      <c r="X125" s="697">
        <f t="shared" si="369"/>
        <v>0</v>
      </c>
      <c r="Y125" s="712">
        <f t="shared" si="393"/>
        <v>0</v>
      </c>
      <c r="Z125" s="712">
        <f t="shared" si="394"/>
        <v>56.021818181818581</v>
      </c>
      <c r="AA125" s="712">
        <f t="shared" si="395"/>
        <v>86.665752727273343</v>
      </c>
      <c r="AB125" s="712">
        <f>(VLOOKUP(Sheet1!CY125,hhdcap_wcm,4)-(((VLOOKUP(Sheet1!CY125,hhdcap_wcm,3)-Sheet1!CY125)/(VLOOKUP(Sheet1!CY125,hhdcap_wcm,3)-VLOOKUP(Sheet1!CY125,hhdcap_wcm,1)))*(VLOOKUP(Sheet1!CY125,hhdcap_wcm,4)-VLOOKUP(Sheet1!CY125,hhdcap_wcm,2))))</f>
        <v>30438.70000007606</v>
      </c>
      <c r="AC125" s="712">
        <f t="shared" si="396"/>
        <v>200.90000000132204</v>
      </c>
      <c r="AD125" s="712">
        <f t="shared" si="370"/>
        <v>3081.9520411956032</v>
      </c>
      <c r="AE125" s="712">
        <f t="shared" si="397"/>
        <v>9455.4288623881112</v>
      </c>
      <c r="AF125" s="712">
        <f>Sheet1!BA125+Sheet1!BB125+Sheet1!BN125+BT125</f>
        <v>22.8</v>
      </c>
      <c r="AG125" s="712">
        <f t="shared" si="398"/>
        <v>22.981818181817122</v>
      </c>
      <c r="AH125" s="712">
        <f>Sheet1!BA125+BT125</f>
        <v>0</v>
      </c>
      <c r="AI125" s="712">
        <f>Sheet1!BA125+Sheet1!BB125+BT125</f>
        <v>0</v>
      </c>
      <c r="AJ125" s="712">
        <f>IF((Sheet1!AA125+AG125+AX125+AZ125+BQ125+BS125+CL125+CN125)&lt;=N125,AG125+AX125+AZ125+BQ125+BS125+CL125+CN125,N125-Sheet1!AA125)</f>
        <v>22.981818181817122</v>
      </c>
      <c r="AK125" s="712">
        <f>IF(DR125&lt;K125,0,MAX(Sheet1!AA125+AG125-15/36*K125-N125,Sheet1!ED125,0))</f>
        <v>0</v>
      </c>
      <c r="AL125" s="712">
        <f>IF(OR(B125&gt;=FT125,B125&lt;FS125),0,15/36*K125-MAX(0,64.6-(137.6-(Sheet1!AA125+Sheet1!AB125))))</f>
        <v>26.933333333333334</v>
      </c>
      <c r="AM125" s="712">
        <f>Sheet1!CX125-110</f>
        <v>887.09375</v>
      </c>
      <c r="AN125" s="712">
        <f>Sheet1!CW125-265</f>
        <v>1453.0208333333333</v>
      </c>
      <c r="AO125" s="712">
        <f t="shared" si="371"/>
        <v>20.468181818179971</v>
      </c>
      <c r="AP125" s="712">
        <f t="shared" si="372"/>
        <v>0</v>
      </c>
      <c r="AQ125" s="712">
        <f t="shared" si="399"/>
        <v>0</v>
      </c>
      <c r="AR125" s="712">
        <f t="shared" si="400"/>
        <v>1400.5333333333331</v>
      </c>
      <c r="AS125" s="712"/>
      <c r="AT125" s="712">
        <f ca="1">IF(B125&gt;Summary!$A$1,#N/A,AR125*MGtoAF)</f>
        <v>4296.8362666666662</v>
      </c>
      <c r="AU125" s="712">
        <f>Sheet1!BG125+Sheet1!BH125+Sheet1!BI125-BC125</f>
        <v>0</v>
      </c>
      <c r="AV125" s="712">
        <f t="shared" si="401"/>
        <v>0</v>
      </c>
      <c r="AW125" s="712">
        <f>IF(Sheet1!EL125="FM",BC125,0)</f>
        <v>0</v>
      </c>
      <c r="AX125" s="712">
        <f t="shared" si="402"/>
        <v>0</v>
      </c>
      <c r="AY125" s="712">
        <f>IF(Sheet1!EL125="OTHER",BC125,0)</f>
        <v>0</v>
      </c>
      <c r="AZ125" s="712">
        <f t="shared" si="403"/>
        <v>0</v>
      </c>
      <c r="BA125" s="712">
        <f t="shared" si="404"/>
        <v>0</v>
      </c>
      <c r="BB125" s="712">
        <f t="shared" si="405"/>
        <v>0</v>
      </c>
      <c r="BC125" s="712">
        <f>IF(OR(Sheet1!EL125="FM", Sheet1!EL125="OTHER"),SUM(Sheet1!BG125:'Sheet1'!BI125),0)</f>
        <v>0</v>
      </c>
      <c r="BD125" s="697">
        <f>IF(AND($B125&gt;=$FL125,$B125&lt;=$FM125),MAX(AV125,Sheet1!EE125,0),MAX(AV125-(7/36)*$K125,0))</f>
        <v>0</v>
      </c>
      <c r="BE125" s="712">
        <f t="shared" si="406"/>
        <v>12.568888888888889</v>
      </c>
      <c r="BF125" s="697">
        <f t="shared" si="373"/>
        <v>0</v>
      </c>
      <c r="BG125" s="697">
        <f>IF(AND($O125&gt;0,Sheet1!EI125=1),(1-($O125-Sheet1!$L125)/$O125)*BB125,0)</f>
        <v>0</v>
      </c>
      <c r="BH125" s="697">
        <f>IF(AND(Sheet1!$L125=0,Sheet1!$L124=0, Calculation!BA125&lt;Sheet1!$EE125-0.1,Sheet1!$EE125=Sheet1!$EE124,Sheet1!$EE125=Sheet1!$EE126),Sheet1!$EE125,BB125-BG125)</f>
        <v>0</v>
      </c>
      <c r="BI125" s="712"/>
      <c r="BJ125" s="712"/>
      <c r="BK125" s="712">
        <f t="shared" si="407"/>
        <v>653.5822222222215</v>
      </c>
      <c r="BL125" s="712"/>
      <c r="BM125" s="712">
        <f ca="1">IF(B125&gt;Summary!$A$1,#N/A,BK125*MGtoAF)</f>
        <v>2005.1902577777755</v>
      </c>
      <c r="BN125" s="712">
        <f>Sheet1!BC125+Sheet1!BD125+Sheet1!BE125+Sheet1!BF125-BW125-BX125</f>
        <v>2.5199999999999996</v>
      </c>
      <c r="BO125" s="712">
        <f t="shared" si="408"/>
        <v>2.5400956937797869</v>
      </c>
      <c r="BP125" s="712">
        <f>IF(Sheet1!EM125="FM",BX125,0)</f>
        <v>0</v>
      </c>
      <c r="BQ125" s="712">
        <f t="shared" si="409"/>
        <v>0</v>
      </c>
      <c r="BR125" s="712">
        <f>IF(Sheet1!EM125="OTHER",BX125,0)</f>
        <v>0</v>
      </c>
      <c r="BS125" s="712">
        <f t="shared" si="410"/>
        <v>0</v>
      </c>
      <c r="BT125" s="712">
        <f t="shared" si="411"/>
        <v>0</v>
      </c>
      <c r="BU125" s="712">
        <f t="shared" si="412"/>
        <v>2.5199999999999996</v>
      </c>
      <c r="BV125" s="712">
        <f t="shared" si="413"/>
        <v>2.5400956937797869</v>
      </c>
      <c r="BW125" s="712">
        <f>IF(Sheet1!EM125="CWA",SUM(Sheet1!BC125:'Sheet1'!BF125),0)</f>
        <v>0</v>
      </c>
      <c r="BX125" s="712">
        <f>IF(OR(Sheet1!EM125="FM", Sheet1!EM125="OTHER"),SUM(Sheet1!BC125:'Sheet1'!BF125),0)</f>
        <v>0</v>
      </c>
      <c r="BY125" s="697">
        <f>IF(AND($B125&gt;=$FL125,$B125&lt;=$FM125),MAX(BV125,Sheet1!EF125,0),MAX(BV125-(7/36)*$K125,0))</f>
        <v>0</v>
      </c>
      <c r="BZ125" s="712">
        <f t="shared" si="414"/>
        <v>10.028793195109102</v>
      </c>
      <c r="CA125" s="697">
        <f t="shared" si="374"/>
        <v>2.5400956937797869</v>
      </c>
      <c r="CB125" s="697">
        <f>IF(AND($O125&gt;0,Sheet1!EJ125=1),(1-($O125-Sheet1!$L125)/$O125)*BV125,0)</f>
        <v>0</v>
      </c>
      <c r="CC125" s="697">
        <f>IF(AND(Sheet1!$L125=0,Sheet1!$L124=0, Calculation!BU125&lt;Sheet1!EF125-0.1,Sheet1!EF125=Sheet1!EF124,Sheet1!EF125=Sheet1!EF126),Sheet1!EF125,BV125-CB125)</f>
        <v>2.5400956937797869</v>
      </c>
      <c r="CD125" s="697"/>
      <c r="CE125" s="712"/>
      <c r="CF125" s="712">
        <f t="shared" si="415"/>
        <v>573.33978350813686</v>
      </c>
      <c r="CG125" s="712"/>
      <c r="CH125" s="712">
        <f ca="1">IF(B125&gt;Summary!$A$1,#N/A,CF125*MGtoAF)</f>
        <v>1759.006455802964</v>
      </c>
      <c r="CI125" s="712">
        <f>Sheet1!BK125+Sheet1!BL125+Sheet1!BM125-Sheet1!EN125-CQ125</f>
        <v>6.0299999999999994</v>
      </c>
      <c r="CJ125" s="712">
        <f t="shared" si="416"/>
        <v>6.0780861244016329</v>
      </c>
      <c r="CK125" s="712">
        <f>IF(Sheet1!EN125="FM",CQ125,0)</f>
        <v>0</v>
      </c>
      <c r="CL125" s="712">
        <f t="shared" si="417"/>
        <v>0</v>
      </c>
      <c r="CM125" s="712">
        <f>IF(Sheet1!EN125="OTHER",CQ125,0)</f>
        <v>0</v>
      </c>
      <c r="CN125" s="712">
        <f t="shared" si="418"/>
        <v>0</v>
      </c>
      <c r="CO125" s="712">
        <f t="shared" si="419"/>
        <v>6.0299999999999994</v>
      </c>
      <c r="CP125" s="712">
        <f t="shared" si="420"/>
        <v>6.0780861244016329</v>
      </c>
      <c r="CQ125" s="712">
        <f>IF(OR(Sheet1!EN125="FM", Sheet1!EN125="OTHER"),SUM(Sheet1!BK125:'Sheet1'!BM125),0)</f>
        <v>0</v>
      </c>
      <c r="CR125" s="697">
        <f>IF(AND($B125&gt;=$FL125,$B125&lt;=$FM125),MAX($CJ125,Sheet1!EG125,0),MAX($CJ125-(7/36)*$K125,0))</f>
        <v>0</v>
      </c>
      <c r="CS125" s="712">
        <f t="shared" si="421"/>
        <v>6.4908027644872561</v>
      </c>
      <c r="CT125" s="697">
        <f t="shared" si="375"/>
        <v>6.0780861244016329</v>
      </c>
      <c r="CU125" s="697">
        <f>IF(AND($O125&gt;0,Sheet1!EK125=1),(1-($O125-Sheet1!$L125)/$O125)*CP125,0)</f>
        <v>0</v>
      </c>
      <c r="CV125" s="697">
        <f>IF(AND(Sheet1!$L125=0,Sheet1!$L124=0, Calculation!CO125&lt;Sheet1!$EG125-0.1,Sheet1!$EG125=Sheet1!$EG124,Sheet1!$EG125=Sheet1!$EG126),Sheet1!$EG125,CP125-CU125)</f>
        <v>6.0780861244016329</v>
      </c>
      <c r="CW125" s="697">
        <f t="shared" si="362"/>
        <v>0</v>
      </c>
      <c r="CX125" s="712">
        <f t="shared" si="379"/>
        <v>8.5499999999999989</v>
      </c>
      <c r="CY125" s="712">
        <f t="shared" si="422"/>
        <v>454.49670213191155</v>
      </c>
      <c r="CZ125" s="712">
        <f t="shared" si="423"/>
        <v>8.6181818181814194</v>
      </c>
      <c r="DA125" s="712">
        <f ca="1">IF(B125&gt;Summary!$A$1,#N/A,CY125*MGtoAF)</f>
        <v>1394.3958821407045</v>
      </c>
      <c r="DB125" s="712">
        <f t="shared" si="424"/>
        <v>8.5499999999999989</v>
      </c>
      <c r="DC125" s="712">
        <f t="shared" si="425"/>
        <v>31.35</v>
      </c>
      <c r="DD125" s="712">
        <f>Sheet1!AB125-DC125</f>
        <v>0.24999999999854339</v>
      </c>
      <c r="DE125" s="712">
        <f t="shared" si="426"/>
        <v>7.9744816586457216E-3</v>
      </c>
      <c r="DF125" s="712">
        <f>(VLOOKUP(Sheet1!CY125,hhdcap_wcm,4)-(((VLOOKUP(Sheet1!CY125,hhdcap_wcm,3)-Sheet1!CY125)/(VLOOKUP(Sheet1!CY125,hhdcap_wcm,3)-VLOOKUP(Sheet1!CY125,hhdcap_wcm,1)))*(VLOOKUP(Sheet1!CY125,hhdcap_wcm,4)-VLOOKUP(Sheet1!CY125,hhdcap_wcm,2))))</f>
        <v>30438.70000007606</v>
      </c>
      <c r="DG125" s="712">
        <f t="shared" si="427"/>
        <v>200.90000000132204</v>
      </c>
      <c r="DH125" s="712">
        <f t="shared" si="428"/>
        <v>101.31114473087344</v>
      </c>
      <c r="DI125" s="712">
        <f>Sheet1!DW125*AFtoMG</f>
        <v>0</v>
      </c>
      <c r="DJ125" s="712">
        <f>Sheet1!DX125*AFtoMG</f>
        <v>0</v>
      </c>
      <c r="DK125" s="712">
        <f>Sheet1!DY125*AFtoMG</f>
        <v>0</v>
      </c>
      <c r="DL125" s="712">
        <f>Sheet1!DZ125*AFtoMG</f>
        <v>0</v>
      </c>
      <c r="DM125" s="712">
        <f t="shared" si="429"/>
        <v>0</v>
      </c>
      <c r="DN125" s="712">
        <f t="shared" si="430"/>
        <v>0</v>
      </c>
      <c r="DO125" s="712">
        <f t="shared" si="431"/>
        <v>3081.9520411956032</v>
      </c>
      <c r="DP125" s="712">
        <f t="shared" si="432"/>
        <v>9455.4288623881112</v>
      </c>
      <c r="DQ125" s="712"/>
      <c r="DR125" s="697">
        <f>IF(OR(B125&lt;FL125,B125&gt;FM125),(MIN(AV125+BO125+CJ125+MAX(Sheet1!AA125+AG125-73,0),K125)),0)</f>
        <v>8.6181818181814194</v>
      </c>
      <c r="DS125" s="712"/>
      <c r="DT125" s="712">
        <f t="shared" si="433"/>
        <v>8.6181818181814194</v>
      </c>
      <c r="DU125" s="712"/>
      <c r="DV125" s="712">
        <f>Sheet1!ED125+Sheet1!EE125+Sheet1!EF125+Sheet1!EG125</f>
        <v>8.5</v>
      </c>
      <c r="DW125" s="712"/>
      <c r="DX125" s="697">
        <f t="shared" si="376"/>
        <v>0</v>
      </c>
      <c r="DY125" s="712">
        <f>IF(Sheet1!FN125=1,SUM('Calculations II'!AT125:BA125)+'Calculations II'!BC125+Sheet1!BU125+'Calculations II'!BE125+AF125,SUM('Calculations II'!AT125:BA125)+'Calculations II'!BC125+Sheet1!BU125+'Calculations II'!BE125+AF125)</f>
        <v>48.387551999999999</v>
      </c>
      <c r="DZ125" s="712">
        <f>Sheet1!AA125+Sheet1!AB125+'Calculations II'!BC125</f>
        <v>61.150000000001455</v>
      </c>
      <c r="EA125" s="712"/>
      <c r="EB125" s="712"/>
      <c r="EC125" s="712">
        <f t="shared" si="434"/>
        <v>40654</v>
      </c>
      <c r="ED125" s="712">
        <f t="shared" si="435"/>
        <v>56.021818181818581</v>
      </c>
      <c r="EE125" s="712">
        <f t="shared" si="436"/>
        <v>86.665752727273343</v>
      </c>
      <c r="EF125" s="712">
        <f>-(VLOOKUP(Sheet1!BQ125,Lookup!$B$4:$J$236,2)-VLOOKUP(Sheet1!BQ124,Lookup!$B$4:$J$236,2))/1000000</f>
        <v>-1.8426</v>
      </c>
      <c r="EG125" s="712">
        <f>-(VLOOKUP(Sheet1!BR125,Lookup!$B$4:$J$236,3)-VLOOKUP(Sheet1!BR124,Lookup!$B$4:$J$236,3))/1000000</f>
        <v>-1.8398000000000001</v>
      </c>
      <c r="EH125" s="712">
        <f>-(VLOOKUP(Sheet1!BS125,Lookup!$B$4:$J$236,4)-VLOOKUP(Sheet1!BS124,Lookup!$B$4:$J$236,4))/1000000</f>
        <v>0</v>
      </c>
      <c r="EI125" s="697">
        <f t="shared" si="380"/>
        <v>-3.6824000000000003</v>
      </c>
      <c r="EJ125" s="712"/>
      <c r="EK125" s="712"/>
      <c r="EL125" s="712"/>
      <c r="EM125" s="712"/>
      <c r="EN125" s="712"/>
      <c r="EO125" s="712"/>
      <c r="EP125" s="712"/>
      <c r="EQ125" s="712"/>
      <c r="ER125" s="697">
        <v>0</v>
      </c>
      <c r="ES125" s="712"/>
      <c r="ET125" s="794" t="e">
        <f t="shared" si="437"/>
        <v>#N/A</v>
      </c>
      <c r="EU125" s="794" t="e">
        <f t="shared" si="363"/>
        <v>#VALUE!</v>
      </c>
      <c r="EV125" s="795" t="e">
        <f t="shared" si="364"/>
        <v>#VALUE!</v>
      </c>
      <c r="EW125" s="796" t="s">
        <v>757</v>
      </c>
      <c r="EX125" s="796" t="s">
        <v>757</v>
      </c>
      <c r="EY125" s="794">
        <v>0</v>
      </c>
      <c r="EZ125" s="794" t="e">
        <v>#N/A</v>
      </c>
      <c r="FA125" s="712"/>
      <c r="FB125" s="712"/>
      <c r="FC125" s="712"/>
      <c r="FD125" s="712"/>
      <c r="FE125" s="712">
        <f>O125+Sheet1!CO125</f>
        <v>61.150000000001455</v>
      </c>
      <c r="FF125" s="712">
        <f>IF(Sheet1!AA125+AG125&lt;=Calculation!N125,AG125,Calculation!N125-Sheet1!AA125)</f>
        <v>22.981818181817122</v>
      </c>
      <c r="FG125" s="712">
        <f>(Sheet1!BP125+Sheet1!BO125)/694.4</f>
        <v>1.8773041474654377</v>
      </c>
      <c r="FH125" s="712"/>
      <c r="FI125" s="712"/>
      <c r="FJ125" s="712"/>
      <c r="FK125" s="712"/>
      <c r="FL125" s="714">
        <f t="shared" si="381"/>
        <v>40753</v>
      </c>
      <c r="FM125" s="714">
        <f t="shared" si="382"/>
        <v>40851</v>
      </c>
      <c r="FN125" s="712"/>
      <c r="FO125" s="712"/>
      <c r="FP125" s="712"/>
      <c r="FQ125" s="712"/>
      <c r="FR125" s="712"/>
      <c r="FS125" s="725">
        <f t="shared" si="383"/>
        <v>40603</v>
      </c>
      <c r="FT125" s="714">
        <f t="shared" si="384"/>
        <v>40709</v>
      </c>
      <c r="FU125" s="712">
        <f t="shared" si="385"/>
        <v>6518.9048239895692</v>
      </c>
      <c r="FV125" s="714">
        <f t="shared" si="386"/>
        <v>40722</v>
      </c>
      <c r="FW125" s="712">
        <f t="shared" si="387"/>
        <v>3259.4524119947846</v>
      </c>
      <c r="FX125" s="725">
        <f t="shared" si="388"/>
        <v>40851</v>
      </c>
      <c r="FZ125" s="697">
        <f t="shared" si="365"/>
        <v>0</v>
      </c>
      <c r="GA125" s="712" t="str">
        <f t="shared" si="438"/>
        <v/>
      </c>
      <c r="GB125" s="712">
        <f t="shared" si="439"/>
        <v>0</v>
      </c>
      <c r="GC125" s="712" t="str">
        <f t="shared" si="440"/>
        <v/>
      </c>
      <c r="GD125" s="712">
        <f>IF(GA125="P",Lookup!$M$12,IF(GA125="PP",Lookup!$M$13,IF(GA125="PPP",Lookup!$M$14,IF(GA125="T",Lookup!$M$15,IF(GA125="TP",Lookup!$M$16,IF(GA125="TPP",Lookup!$M$17,IF(GA125="TPPP",Lookup!$M$18,0)))))))*FZ125</f>
        <v>0</v>
      </c>
      <c r="GE125" s="712">
        <f t="shared" si="441"/>
        <v>0</v>
      </c>
      <c r="GF125" s="712">
        <f t="shared" si="442"/>
        <v>4296.8362666666662</v>
      </c>
      <c r="GG125" s="712">
        <f t="shared" si="443"/>
        <v>1400.5333333333331</v>
      </c>
      <c r="GH125" s="712"/>
      <c r="GI125" s="712">
        <f t="shared" si="444"/>
        <v>0</v>
      </c>
      <c r="GJ125" s="712" t="str">
        <f t="shared" si="445"/>
        <v/>
      </c>
      <c r="GK125" s="712">
        <f>IF(GA125="P",Lookup!$N$12,IF(GA125="PP",Lookup!$N$13,IF(GA125="PPP",Lookup!$N$14,IF(GA125="T",Lookup!$N$15,IF(GA125="TP",Lookup!$N$16,IF(GA125="TPP",Lookup!$N$17,IF(GA125="TPPP",Lookup!$N$18,0)))))))*FZ125</f>
        <v>0</v>
      </c>
      <c r="GL125" s="712">
        <f t="shared" si="446"/>
        <v>0</v>
      </c>
      <c r="GM125" s="712">
        <f t="shared" si="447"/>
        <v>2005.1902577777755</v>
      </c>
      <c r="GN125" s="712">
        <f t="shared" si="448"/>
        <v>653.5822222222215</v>
      </c>
      <c r="GO125" s="712"/>
      <c r="GP125" s="712">
        <f t="shared" si="449"/>
        <v>0</v>
      </c>
      <c r="GQ125" s="712" t="str">
        <f t="shared" si="450"/>
        <v/>
      </c>
      <c r="GR125" s="712">
        <f>IF(GA125="P",Lookup!$N$12,IF(GA125="PP",Lookup!$N$13,IF(GA125="PPP",Lookup!$N$14,IF(GA125="T",Lookup!$N$15,IF(GA125="TP",Lookup!$N$16,IF(GA125="TPP",Lookup!$N$17,IF(GA125="TPPP",Lookup!$N$18,0)))))))*FZ125</f>
        <v>0</v>
      </c>
      <c r="GS125" s="697">
        <f t="shared" si="377"/>
        <v>0</v>
      </c>
      <c r="GT125" s="712">
        <f t="shared" si="451"/>
        <v>1759.006455802964</v>
      </c>
      <c r="GU125" s="712">
        <f t="shared" si="452"/>
        <v>573.33978350813686</v>
      </c>
      <c r="GV125" s="712"/>
      <c r="GW125" s="712">
        <f t="shared" si="453"/>
        <v>0</v>
      </c>
      <c r="GX125" s="712" t="str">
        <f t="shared" si="454"/>
        <v/>
      </c>
      <c r="GY125" s="712">
        <f>IF(GA125="P",Lookup!$N$12,IF(GA125="PP",Lookup!$N$13,IF(GA125="PPP",Lookup!$N$14,IF(GA125="T",Lookup!$N$15,IF(GA125="TP",Lookup!$N$16,IF(GA125="TPP",Lookup!$N$17,IF(GA125="TPPP",Lookup!$N$18,0)))))))*FZ125</f>
        <v>0</v>
      </c>
      <c r="GZ125" s="697">
        <f t="shared" si="378"/>
        <v>0</v>
      </c>
      <c r="HA125" s="712">
        <f t="shared" si="455"/>
        <v>1394.3958821407045</v>
      </c>
      <c r="HB125" s="712">
        <f t="shared" si="456"/>
        <v>454.49670213191155</v>
      </c>
      <c r="HC125" s="712"/>
    </row>
    <row r="126" spans="1:211">
      <c r="A126" s="773" t="s">
        <v>8</v>
      </c>
      <c r="B126" s="708">
        <v>40655</v>
      </c>
      <c r="C126" s="719">
        <v>0.5</v>
      </c>
      <c r="D126" s="675">
        <f t="shared" si="366"/>
        <v>300</v>
      </c>
      <c r="E126" s="675">
        <f t="shared" si="367"/>
        <v>250</v>
      </c>
      <c r="F126" s="675">
        <v>250</v>
      </c>
      <c r="G126" s="712">
        <f>DH126+Sheet1!CV126</f>
        <v>1072.8116260945303</v>
      </c>
      <c r="H126" s="712">
        <f t="shared" si="389"/>
        <v>426.50223510750436</v>
      </c>
      <c r="I126" s="711">
        <f>MAX(Sheet1!Z126-AJ126+(Sheet1!CW126-E126)*CFStoMGD,0)</f>
        <v>973.38434302759231</v>
      </c>
      <c r="J126" s="720">
        <f>IF(AND(B126&gt;=Calculation!FS126,B126&lt;=Calculation!FT126),IF(Sheet1!CX126&gt;=Calculation!D126,64.64,0),MAX(Sheet1!Z126-AJ126+(Sheet1!CX126-D126)*CFStoMGD,0))</f>
        <v>64.64</v>
      </c>
      <c r="K126" s="697">
        <f t="shared" si="368"/>
        <v>64.64</v>
      </c>
      <c r="L126" s="712">
        <f>Sheet1!AA126+Sheet1!AB126-Sheet1!L126+(Sheet1!CW126-F126)*CFStoMGD</f>
        <v>1021.5539999999933</v>
      </c>
      <c r="M126" s="712">
        <f t="shared" si="390"/>
        <v>707.33474380965447</v>
      </c>
      <c r="N126" s="712">
        <f>IF(Sheet1!CW126&gt;=F126,MIN(73,MIN(MAX(L126,0),MAX(M126,0))),0)</f>
        <v>73</v>
      </c>
      <c r="O126" s="721">
        <f>Sheet1!AA126+Sheet1!AB126</f>
        <v>57.609999999993306</v>
      </c>
      <c r="P126" s="721">
        <f t="shared" si="391"/>
        <v>89.12266999998964</v>
      </c>
      <c r="Q126" s="712">
        <f>MIN(N126,Sheet1!AA126+AG126)</f>
        <v>48.819656972402427</v>
      </c>
      <c r="R126" s="712">
        <f t="shared" si="392"/>
        <v>8.7903430275908825</v>
      </c>
      <c r="S126" s="721">
        <f>Sheet1!Y126*MGDtoCFS</f>
        <v>46.007779999999997</v>
      </c>
      <c r="T126" s="721">
        <f>Sheet1!Z126*MGDtoCFS</f>
        <v>43.315999999999995</v>
      </c>
      <c r="U126" s="721">
        <f>Sheet1!AA126*MGDtoCFS</f>
        <v>46.812219999991896</v>
      </c>
      <c r="V126" s="721">
        <f>Sheet1!AB126*MGDtoCFS</f>
        <v>42.310449999997743</v>
      </c>
      <c r="W126" s="721">
        <f>Sheet1!L126*MGDtoCFS</f>
        <v>0</v>
      </c>
      <c r="X126" s="697">
        <f t="shared" si="369"/>
        <v>0</v>
      </c>
      <c r="Y126" s="712">
        <f t="shared" si="393"/>
        <v>0</v>
      </c>
      <c r="Z126" s="712">
        <f t="shared" si="394"/>
        <v>55.849656972409122</v>
      </c>
      <c r="AA126" s="712">
        <f t="shared" si="395"/>
        <v>86.39941933631691</v>
      </c>
      <c r="AB126" s="712">
        <f>(VLOOKUP(Sheet1!CY126,hhdcap_wcm,4)-(((VLOOKUP(Sheet1!CY126,hhdcap_wcm,3)-Sheet1!CY126)/(VLOOKUP(Sheet1!CY126,hhdcap_wcm,3)-VLOOKUP(Sheet1!CY126,hhdcap_wcm,1)))*(VLOOKUP(Sheet1!CY126,hhdcap_wcm,4)-VLOOKUP(Sheet1!CY126,hhdcap_wcm,2))))</f>
        <v>30500.160000076059</v>
      </c>
      <c r="AC126" s="712">
        <f t="shared" si="396"/>
        <v>61.459999999999127</v>
      </c>
      <c r="AD126" s="712">
        <f t="shared" si="370"/>
        <v>3137.8016981680116</v>
      </c>
      <c r="AE126" s="712">
        <f t="shared" si="397"/>
        <v>9626.7756099794606</v>
      </c>
      <c r="AF126" s="712">
        <f>Sheet1!BA126+Sheet1!BB126+Sheet1!BN126+BT126</f>
        <v>18.2</v>
      </c>
      <c r="AG126" s="712">
        <f t="shared" si="398"/>
        <v>18.559656972407662</v>
      </c>
      <c r="AH126" s="712">
        <f>Sheet1!BA126+BT126</f>
        <v>0</v>
      </c>
      <c r="AI126" s="712">
        <f>Sheet1!BA126+Sheet1!BB126+BT126</f>
        <v>0</v>
      </c>
      <c r="AJ126" s="712">
        <f>IF((Sheet1!AA126+AG126+AX126+AZ126+BQ126+BS126+CL126+CN126)&lt;=N126,AG126+AX126+AZ126+BQ126+BS126+CL126+CN126,N126-Sheet1!AA126)</f>
        <v>18.559656972407662</v>
      </c>
      <c r="AK126" s="712">
        <f>IF(DR126&lt;K126,0,MAX(Sheet1!AA126+AG126-15/36*K126-N126,Sheet1!ED126,0))</f>
        <v>0</v>
      </c>
      <c r="AL126" s="712">
        <f>IF(OR(B126&gt;=FT126,B126&lt;FS126),0,15/36*K126-MAX(0,64.6-(137.6-(Sheet1!AA126+Sheet1!AB126))))</f>
        <v>26.933333333333334</v>
      </c>
      <c r="AM126" s="712">
        <f>Sheet1!CX126-110</f>
        <v>860.82291666666663</v>
      </c>
      <c r="AN126" s="712">
        <f>Sheet1!CW126-265</f>
        <v>1476.25</v>
      </c>
      <c r="AO126" s="712">
        <f t="shared" si="371"/>
        <v>24.180343027597573</v>
      </c>
      <c r="AP126" s="712">
        <f t="shared" si="372"/>
        <v>0</v>
      </c>
      <c r="AQ126" s="712">
        <f t="shared" si="399"/>
        <v>0</v>
      </c>
      <c r="AR126" s="712">
        <f t="shared" si="400"/>
        <v>1427.4666666666665</v>
      </c>
      <c r="AS126" s="712"/>
      <c r="AT126" s="712">
        <f ca="1">IF(B126&gt;Summary!$A$1,#N/A,AR126*MGtoAF)</f>
        <v>4379.4677333333329</v>
      </c>
      <c r="AU126" s="712">
        <f>Sheet1!BG126+Sheet1!BH126+Sheet1!BI126-BC126</f>
        <v>0</v>
      </c>
      <c r="AV126" s="712">
        <f t="shared" si="401"/>
        <v>0</v>
      </c>
      <c r="AW126" s="712">
        <f>IF(Sheet1!EL126="FM",BC126,0)</f>
        <v>0</v>
      </c>
      <c r="AX126" s="712">
        <f t="shared" si="402"/>
        <v>0</v>
      </c>
      <c r="AY126" s="712">
        <f>IF(Sheet1!EL126="OTHER",BC126,0)</f>
        <v>0</v>
      </c>
      <c r="AZ126" s="712">
        <f t="shared" si="403"/>
        <v>0</v>
      </c>
      <c r="BA126" s="712">
        <f t="shared" si="404"/>
        <v>0</v>
      </c>
      <c r="BB126" s="712">
        <f t="shared" si="405"/>
        <v>0</v>
      </c>
      <c r="BC126" s="712">
        <f>IF(OR(Sheet1!EL126="FM", Sheet1!EL126="OTHER"),SUM(Sheet1!BG126:'Sheet1'!BI126),0)</f>
        <v>0</v>
      </c>
      <c r="BD126" s="697">
        <f>IF(AND($B126&gt;=$FL126,$B126&lt;=$FM126),MAX(AV126,Sheet1!EE126,0),MAX(AV126-(7/36)*$K126,0))</f>
        <v>0</v>
      </c>
      <c r="BE126" s="712">
        <f t="shared" si="406"/>
        <v>12.568888888888889</v>
      </c>
      <c r="BF126" s="697">
        <f t="shared" si="373"/>
        <v>0</v>
      </c>
      <c r="BG126" s="697">
        <f>IF(AND($O126&gt;0,Sheet1!EI126=1),(1-($O126-Sheet1!$L126)/$O126)*BB126,0)</f>
        <v>0</v>
      </c>
      <c r="BH126" s="697">
        <f>IF(AND(Sheet1!$L126=0,Sheet1!$L125=0, Calculation!BA126&lt;Sheet1!$EE126-0.1,Sheet1!$EE126=Sheet1!$EE125,Sheet1!$EE126=Sheet1!$EE127),Sheet1!$EE126,BB126-BG126)</f>
        <v>0</v>
      </c>
      <c r="BI126" s="712"/>
      <c r="BJ126" s="712"/>
      <c r="BK126" s="712">
        <f t="shared" si="407"/>
        <v>666.15111111111037</v>
      </c>
      <c r="BL126" s="712"/>
      <c r="BM126" s="712">
        <f ca="1">IF(B126&gt;Summary!$A$1,#N/A,BK126*MGtoAF)</f>
        <v>2043.7516088888867</v>
      </c>
      <c r="BN126" s="712">
        <f>Sheet1!BC126+Sheet1!BD126+Sheet1!BE126+Sheet1!BF126-BW126-BX126</f>
        <v>2.58</v>
      </c>
      <c r="BO126" s="712">
        <f t="shared" si="408"/>
        <v>2.6309843400446029</v>
      </c>
      <c r="BP126" s="712">
        <f>IF(Sheet1!EM126="FM",BX126,0)</f>
        <v>0</v>
      </c>
      <c r="BQ126" s="712">
        <f t="shared" si="409"/>
        <v>0</v>
      </c>
      <c r="BR126" s="712">
        <f>IF(Sheet1!EM126="OTHER",BX126,0)</f>
        <v>0</v>
      </c>
      <c r="BS126" s="712">
        <f t="shared" si="410"/>
        <v>0</v>
      </c>
      <c r="BT126" s="712">
        <f t="shared" si="411"/>
        <v>0</v>
      </c>
      <c r="BU126" s="712">
        <f t="shared" si="412"/>
        <v>2.58</v>
      </c>
      <c r="BV126" s="712">
        <f t="shared" si="413"/>
        <v>2.6309843400446029</v>
      </c>
      <c r="BW126" s="712">
        <f>IF(Sheet1!EM126="CWA",SUM(Sheet1!BC126:'Sheet1'!BF126),0)</f>
        <v>0</v>
      </c>
      <c r="BX126" s="712">
        <f>IF(OR(Sheet1!EM126="FM", Sheet1!EM126="OTHER"),SUM(Sheet1!BC126:'Sheet1'!BF126),0)</f>
        <v>0</v>
      </c>
      <c r="BY126" s="697">
        <f>IF(AND($B126&gt;=$FL126,$B126&lt;=$FM126),MAX(BV126,Sheet1!EF126,0),MAX(BV126-(7/36)*$K126,0))</f>
        <v>0</v>
      </c>
      <c r="BZ126" s="712">
        <f t="shared" si="414"/>
        <v>9.937904548844287</v>
      </c>
      <c r="CA126" s="697">
        <f t="shared" si="374"/>
        <v>2.6309843400446029</v>
      </c>
      <c r="CB126" s="697">
        <f>IF(AND($O126&gt;0,Sheet1!EJ126=1),(1-($O126-Sheet1!$L126)/$O126)*BV126,0)</f>
        <v>0</v>
      </c>
      <c r="CC126" s="697">
        <f>IF(AND(Sheet1!$L126=0,Sheet1!$L125=0, Calculation!BU126&lt;Sheet1!EF126-0.1,Sheet1!EF126=Sheet1!EF125,Sheet1!EF126=Sheet1!EF127),Sheet1!EF126,BV126-CB126)</f>
        <v>2.6309843400446029</v>
      </c>
      <c r="CD126" s="697"/>
      <c r="CE126" s="712"/>
      <c r="CF126" s="712">
        <f t="shared" si="415"/>
        <v>583.27768805698111</v>
      </c>
      <c r="CG126" s="712"/>
      <c r="CH126" s="712">
        <f ca="1">IF(B126&gt;Summary!$A$1,#N/A,CF126*MGtoAF)</f>
        <v>1789.495946958818</v>
      </c>
      <c r="CI126" s="712">
        <f>Sheet1!BK126+Sheet1!BL126+Sheet1!BM126-Sheet1!EN126-CQ126</f>
        <v>6.04</v>
      </c>
      <c r="CJ126" s="712">
        <f t="shared" si="416"/>
        <v>6.1593586875462796</v>
      </c>
      <c r="CK126" s="712">
        <f>IF(Sheet1!EN126="FM",CQ126,0)</f>
        <v>0</v>
      </c>
      <c r="CL126" s="712">
        <f t="shared" si="417"/>
        <v>0</v>
      </c>
      <c r="CM126" s="712">
        <f>IF(Sheet1!EN126="OTHER",CQ126,0)</f>
        <v>0</v>
      </c>
      <c r="CN126" s="712">
        <f t="shared" si="418"/>
        <v>0</v>
      </c>
      <c r="CO126" s="712">
        <f t="shared" si="419"/>
        <v>6.04</v>
      </c>
      <c r="CP126" s="712">
        <f t="shared" si="420"/>
        <v>6.1593586875462796</v>
      </c>
      <c r="CQ126" s="712">
        <f>IF(OR(Sheet1!EN126="FM", Sheet1!EN126="OTHER"),SUM(Sheet1!BK126:'Sheet1'!BM126),0)</f>
        <v>0</v>
      </c>
      <c r="CR126" s="697">
        <f>IF(AND($B126&gt;=$FL126,$B126&lt;=$FM126),MAX($CJ126,Sheet1!EG126,0),MAX($CJ126-(7/36)*$K126,0))</f>
        <v>0</v>
      </c>
      <c r="CS126" s="712">
        <f t="shared" si="421"/>
        <v>6.4095302013426094</v>
      </c>
      <c r="CT126" s="697">
        <f t="shared" si="375"/>
        <v>6.1593586875462796</v>
      </c>
      <c r="CU126" s="697">
        <f>IF(AND($O126&gt;0,Sheet1!EK126=1),(1-($O126-Sheet1!$L126)/$O126)*CP126,0)</f>
        <v>0</v>
      </c>
      <c r="CV126" s="697">
        <f>IF(AND(Sheet1!$L126=0,Sheet1!$L125=0, Calculation!CO126&lt;Sheet1!$EG126-0.1,Sheet1!$EG126=Sheet1!$EG125,Sheet1!$EG126=Sheet1!$EG127),Sheet1!$EG126,CP126-CU126)</f>
        <v>6.1593586875462796</v>
      </c>
      <c r="CW126" s="697">
        <f t="shared" si="362"/>
        <v>0</v>
      </c>
      <c r="CX126" s="712">
        <f t="shared" si="379"/>
        <v>8.620000000000001</v>
      </c>
      <c r="CY126" s="712">
        <f t="shared" si="422"/>
        <v>460.90623233325414</v>
      </c>
      <c r="CZ126" s="712">
        <f t="shared" si="423"/>
        <v>8.7903430275908825</v>
      </c>
      <c r="DA126" s="712">
        <f ca="1">IF(B126&gt;Summary!$A$1,#N/A,CY126*MGtoAF)</f>
        <v>1414.0603207984236</v>
      </c>
      <c r="DB126" s="712">
        <f t="shared" si="424"/>
        <v>8.620000000000001</v>
      </c>
      <c r="DC126" s="712">
        <f t="shared" si="425"/>
        <v>26.82</v>
      </c>
      <c r="DD126" s="712">
        <f>Sheet1!AB126-DC126</f>
        <v>0.52999999999854452</v>
      </c>
      <c r="DE126" s="712">
        <f t="shared" si="426"/>
        <v>1.9761372110311131E-2</v>
      </c>
      <c r="DF126" s="712">
        <f>(VLOOKUP(Sheet1!CY126,hhdcap_wcm,4)-(((VLOOKUP(Sheet1!CY126,hhdcap_wcm,3)-Sheet1!CY126)/(VLOOKUP(Sheet1!CY126,hhdcap_wcm,3)-VLOOKUP(Sheet1!CY126,hhdcap_wcm,1)))*(VLOOKUP(Sheet1!CY126,hhdcap_wcm,4)-VLOOKUP(Sheet1!CY126,hhdcap_wcm,2))))</f>
        <v>30500.160000076059</v>
      </c>
      <c r="DG126" s="712">
        <f t="shared" si="427"/>
        <v>61.459999999999127</v>
      </c>
      <c r="DH126" s="712">
        <f t="shared" si="428"/>
        <v>30.993444276348523</v>
      </c>
      <c r="DI126" s="712">
        <f>Sheet1!DW126*AFtoMG</f>
        <v>0</v>
      </c>
      <c r="DJ126" s="712">
        <f>Sheet1!DX126*AFtoMG</f>
        <v>0</v>
      </c>
      <c r="DK126" s="712">
        <f>Sheet1!DY126*AFtoMG</f>
        <v>0</v>
      </c>
      <c r="DL126" s="712">
        <f>Sheet1!DZ126*AFtoMG</f>
        <v>0</v>
      </c>
      <c r="DM126" s="712">
        <f t="shared" si="429"/>
        <v>0</v>
      </c>
      <c r="DN126" s="712">
        <f t="shared" si="430"/>
        <v>0</v>
      </c>
      <c r="DO126" s="712">
        <f t="shared" si="431"/>
        <v>3137.8016981680116</v>
      </c>
      <c r="DP126" s="712">
        <f t="shared" si="432"/>
        <v>9626.7756099794606</v>
      </c>
      <c r="DQ126" s="712"/>
      <c r="DR126" s="697">
        <f>IF(OR(B126&lt;FL126,B126&gt;FM126),(MIN(AV126+BO126+CJ126+MAX(Sheet1!AA126+AG126-73,0),K126)),0)</f>
        <v>8.7903430275908825</v>
      </c>
      <c r="DS126" s="712"/>
      <c r="DT126" s="712">
        <f t="shared" si="433"/>
        <v>8.7903430275908825</v>
      </c>
      <c r="DU126" s="712"/>
      <c r="DV126" s="712">
        <f>Sheet1!ED126+Sheet1!EE126+Sheet1!EF126+Sheet1!EG126</f>
        <v>8.5</v>
      </c>
      <c r="DW126" s="712"/>
      <c r="DX126" s="697">
        <f t="shared" si="376"/>
        <v>0</v>
      </c>
      <c r="DY126" s="712">
        <f>IF(Sheet1!FN126=1,SUM('Calculations II'!AT126:BA126)+'Calculations II'!BC126+Sheet1!BU126+'Calculations II'!BE126+AF126,SUM('Calculations II'!AT126:BA126)+'Calculations II'!BC126+Sheet1!BU126+'Calculations II'!BE126+AF126)</f>
        <v>46.356527999999997</v>
      </c>
      <c r="DZ126" s="712">
        <f>Sheet1!AA126+Sheet1!AB126+'Calculations II'!BC126</f>
        <v>57.609999999993306</v>
      </c>
      <c r="EA126" s="712"/>
      <c r="EB126" s="712"/>
      <c r="EC126" s="712">
        <f t="shared" si="434"/>
        <v>40655</v>
      </c>
      <c r="ED126" s="712">
        <f t="shared" si="435"/>
        <v>55.849656972409122</v>
      </c>
      <c r="EE126" s="712">
        <f t="shared" si="436"/>
        <v>86.39941933631691</v>
      </c>
      <c r="EF126" s="712">
        <f>-(VLOOKUP(Sheet1!BQ126,Lookup!$B$4:$J$236,2)-VLOOKUP(Sheet1!BQ125,Lookup!$B$4:$J$236,2))/1000000</f>
        <v>-0.52739999999999998</v>
      </c>
      <c r="EG126" s="712">
        <f>-(VLOOKUP(Sheet1!BR126,Lookup!$B$4:$J$236,3)-VLOOKUP(Sheet1!BR125,Lookup!$B$4:$J$236,3))/1000000</f>
        <v>-0.52659999999999996</v>
      </c>
      <c r="EH126" s="712">
        <f>-(VLOOKUP(Sheet1!BS126,Lookup!$B$4:$J$236,4)-VLOOKUP(Sheet1!BS125,Lookup!$B$4:$J$236,4))/1000000</f>
        <v>0</v>
      </c>
      <c r="EI126" s="697">
        <f t="shared" si="380"/>
        <v>-1.0539999999999998</v>
      </c>
      <c r="EJ126" s="712"/>
      <c r="EK126" s="712"/>
      <c r="EL126" s="712"/>
      <c r="EM126" s="712"/>
      <c r="EN126" s="712"/>
      <c r="EO126" s="712"/>
      <c r="EP126" s="712"/>
      <c r="EQ126" s="712"/>
      <c r="ER126" s="697">
        <v>0</v>
      </c>
      <c r="ES126" s="712"/>
      <c r="ET126" s="794" t="e">
        <f t="shared" si="437"/>
        <v>#N/A</v>
      </c>
      <c r="EU126" s="794" t="e">
        <f t="shared" si="363"/>
        <v>#VALUE!</v>
      </c>
      <c r="EV126" s="795" t="e">
        <f t="shared" si="364"/>
        <v>#VALUE!</v>
      </c>
      <c r="EW126" s="796" t="s">
        <v>757</v>
      </c>
      <c r="EX126" s="796" t="s">
        <v>757</v>
      </c>
      <c r="EY126" s="794">
        <v>0</v>
      </c>
      <c r="EZ126" s="794" t="e">
        <v>#N/A</v>
      </c>
      <c r="FA126" s="712"/>
      <c r="FB126" s="712"/>
      <c r="FC126" s="712"/>
      <c r="FD126" s="712"/>
      <c r="FE126" s="712">
        <f>O126+Sheet1!CO126</f>
        <v>57.609999999993306</v>
      </c>
      <c r="FF126" s="712">
        <f>IF(Sheet1!AA126+AG126&lt;=Calculation!N126,AG126,Calculation!N126-Sheet1!AA126)</f>
        <v>18.559656972407662</v>
      </c>
      <c r="FG126" s="712">
        <f>(Sheet1!BP126+Sheet1!BO126)/694.4</f>
        <v>1.7597926267281108</v>
      </c>
      <c r="FH126" s="712"/>
      <c r="FI126" s="712"/>
      <c r="FJ126" s="712"/>
      <c r="FK126" s="712"/>
      <c r="FL126" s="714">
        <f t="shared" si="381"/>
        <v>40753</v>
      </c>
      <c r="FM126" s="714">
        <f t="shared" si="382"/>
        <v>40851</v>
      </c>
      <c r="FN126" s="712"/>
      <c r="FO126" s="712"/>
      <c r="FP126" s="712"/>
      <c r="FQ126" s="712"/>
      <c r="FR126" s="712"/>
      <c r="FS126" s="725">
        <f t="shared" si="383"/>
        <v>40603</v>
      </c>
      <c r="FT126" s="714">
        <f t="shared" si="384"/>
        <v>40709</v>
      </c>
      <c r="FU126" s="712">
        <f t="shared" si="385"/>
        <v>6518.9048239895692</v>
      </c>
      <c r="FV126" s="714">
        <f t="shared" si="386"/>
        <v>40722</v>
      </c>
      <c r="FW126" s="712">
        <f t="shared" si="387"/>
        <v>3259.4524119947846</v>
      </c>
      <c r="FX126" s="725">
        <f t="shared" si="388"/>
        <v>40851</v>
      </c>
      <c r="FZ126" s="697">
        <f t="shared" si="365"/>
        <v>0</v>
      </c>
      <c r="GA126" s="712" t="str">
        <f t="shared" si="438"/>
        <v/>
      </c>
      <c r="GB126" s="712">
        <f t="shared" si="439"/>
        <v>0</v>
      </c>
      <c r="GC126" s="712" t="str">
        <f t="shared" si="440"/>
        <v/>
      </c>
      <c r="GD126" s="712">
        <f>IF(GA126="P",Lookup!$M$12,IF(GA126="PP",Lookup!$M$13,IF(GA126="PPP",Lookup!$M$14,IF(GA126="T",Lookup!$M$15,IF(GA126="TP",Lookup!$M$16,IF(GA126="TPP",Lookup!$M$17,IF(GA126="TPPP",Lookup!$M$18,0)))))))*FZ126</f>
        <v>0</v>
      </c>
      <c r="GE126" s="712">
        <f t="shared" si="441"/>
        <v>0</v>
      </c>
      <c r="GF126" s="712">
        <f t="shared" si="442"/>
        <v>4379.4677333333329</v>
      </c>
      <c r="GG126" s="712">
        <f t="shared" si="443"/>
        <v>1427.4666666666665</v>
      </c>
      <c r="GH126" s="712"/>
      <c r="GI126" s="712">
        <f t="shared" si="444"/>
        <v>0</v>
      </c>
      <c r="GJ126" s="712" t="str">
        <f t="shared" si="445"/>
        <v/>
      </c>
      <c r="GK126" s="712">
        <f>IF(GA126="P",Lookup!$N$12,IF(GA126="PP",Lookup!$N$13,IF(GA126="PPP",Lookup!$N$14,IF(GA126="T",Lookup!$N$15,IF(GA126="TP",Lookup!$N$16,IF(GA126="TPP",Lookup!$N$17,IF(GA126="TPPP",Lookup!$N$18,0)))))))*FZ126</f>
        <v>0</v>
      </c>
      <c r="GL126" s="712">
        <f t="shared" si="446"/>
        <v>0</v>
      </c>
      <c r="GM126" s="712">
        <f t="shared" si="447"/>
        <v>2043.7516088888867</v>
      </c>
      <c r="GN126" s="712">
        <f t="shared" si="448"/>
        <v>666.15111111111037</v>
      </c>
      <c r="GO126" s="712"/>
      <c r="GP126" s="712">
        <f t="shared" si="449"/>
        <v>0</v>
      </c>
      <c r="GQ126" s="712" t="str">
        <f t="shared" si="450"/>
        <v/>
      </c>
      <c r="GR126" s="712">
        <f>IF(GA126="P",Lookup!$N$12,IF(GA126="PP",Lookup!$N$13,IF(GA126="PPP",Lookup!$N$14,IF(GA126="T",Lookup!$N$15,IF(GA126="TP",Lookup!$N$16,IF(GA126="TPP",Lookup!$N$17,IF(GA126="TPPP",Lookup!$N$18,0)))))))*FZ126</f>
        <v>0</v>
      </c>
      <c r="GS126" s="697">
        <f t="shared" si="377"/>
        <v>0</v>
      </c>
      <c r="GT126" s="712">
        <f t="shared" si="451"/>
        <v>1789.495946958818</v>
      </c>
      <c r="GU126" s="712">
        <f t="shared" si="452"/>
        <v>583.27768805698111</v>
      </c>
      <c r="GV126" s="712"/>
      <c r="GW126" s="712">
        <f t="shared" si="453"/>
        <v>0</v>
      </c>
      <c r="GX126" s="712" t="str">
        <f t="shared" si="454"/>
        <v/>
      </c>
      <c r="GY126" s="712">
        <f>IF(GA126="P",Lookup!$N$12,IF(GA126="PP",Lookup!$N$13,IF(GA126="PPP",Lookup!$N$14,IF(GA126="T",Lookup!$N$15,IF(GA126="TP",Lookup!$N$16,IF(GA126="TPP",Lookup!$N$17,IF(GA126="TPPP",Lookup!$N$18,0)))))))*FZ126</f>
        <v>0</v>
      </c>
      <c r="GZ126" s="697">
        <f t="shared" si="378"/>
        <v>0</v>
      </c>
      <c r="HA126" s="712">
        <f t="shared" si="455"/>
        <v>1414.0603207984236</v>
      </c>
      <c r="HB126" s="712">
        <f t="shared" si="456"/>
        <v>460.90623233325414</v>
      </c>
      <c r="HC126" s="712"/>
    </row>
    <row r="127" spans="1:211">
      <c r="A127" s="773" t="s">
        <v>9</v>
      </c>
      <c r="B127" s="708">
        <v>40656</v>
      </c>
      <c r="C127" s="709">
        <v>0.5</v>
      </c>
      <c r="D127" s="675">
        <f t="shared" si="366"/>
        <v>300</v>
      </c>
      <c r="E127" s="675">
        <f t="shared" si="367"/>
        <v>250</v>
      </c>
      <c r="F127" s="710">
        <v>250</v>
      </c>
      <c r="G127" s="712">
        <f>DH127+Sheet1!CV127</f>
        <v>1039.4701554120115</v>
      </c>
      <c r="H127" s="712">
        <f t="shared" si="389"/>
        <v>404.95030845832423</v>
      </c>
      <c r="I127" s="711">
        <f>MAX(Sheet1!Z127-AJ127+(Sheet1!CW127-E127)*CFStoMGD,0)</f>
        <v>867.37212001490866</v>
      </c>
      <c r="J127" s="720">
        <f>IF(AND(B127&gt;=Calculation!FS127,B127&lt;=Calculation!FT127),IF(Sheet1!CX127&gt;=Calculation!D127,64.64,0),MAX(Sheet1!Z127-AJ127+(Sheet1!CX127-D127)*CFStoMGD,0))</f>
        <v>64.64</v>
      </c>
      <c r="K127" s="697">
        <f t="shared" si="368"/>
        <v>64.64</v>
      </c>
      <c r="L127" s="712">
        <f>Sheet1!AA127+Sheet1!AB127-Sheet1!L127+(Sheet1!CW127-F127)*CFStoMGD</f>
        <v>913.096</v>
      </c>
      <c r="M127" s="712">
        <f t="shared" si="390"/>
        <v>685.35177862749072</v>
      </c>
      <c r="N127" s="712">
        <f>IF(Sheet1!CW127&gt;=F127,MIN(73,MIN(MAX(L127,0),MAX(M127,0))),0)</f>
        <v>73</v>
      </c>
      <c r="O127" s="721">
        <f>Sheet1!AA127+Sheet1!AB127</f>
        <v>55</v>
      </c>
      <c r="P127" s="721">
        <f t="shared" si="391"/>
        <v>85.085000000000008</v>
      </c>
      <c r="Q127" s="712">
        <f>MIN(N127,Sheet1!AA127+AG127)</f>
        <v>46.73387998509132</v>
      </c>
      <c r="R127" s="712">
        <f t="shared" si="392"/>
        <v>8.2661200149086831</v>
      </c>
      <c r="S127" s="721">
        <f>Sheet1!Y127*MGDtoCFS</f>
        <v>46.286239999999999</v>
      </c>
      <c r="T127" s="721">
        <f>Sheet1!Z127*MGDtoCFS</f>
        <v>41.784469999999999</v>
      </c>
      <c r="U127" s="721">
        <f>Sheet1!AA127*MGDtoCFS</f>
        <v>44.863</v>
      </c>
      <c r="V127" s="721">
        <f>Sheet1!AB127*MGDtoCFS</f>
        <v>40.222000000000001</v>
      </c>
      <c r="W127" s="721">
        <f>Sheet1!L127*MGDtoCFS</f>
        <v>0</v>
      </c>
      <c r="X127" s="697">
        <f t="shared" si="369"/>
        <v>0</v>
      </c>
      <c r="Y127" s="712">
        <f t="shared" si="393"/>
        <v>0</v>
      </c>
      <c r="Z127" s="712">
        <f t="shared" si="394"/>
        <v>56.373879985091321</v>
      </c>
      <c r="AA127" s="712">
        <f t="shared" si="395"/>
        <v>87.210392336936266</v>
      </c>
      <c r="AB127" s="712">
        <f>(VLOOKUP(Sheet1!CY127,hhdcap_wcm,4)-(((VLOOKUP(Sheet1!CY127,hhdcap_wcm,3)-Sheet1!CY127)/(VLOOKUP(Sheet1!CY127,hhdcap_wcm,3)-VLOOKUP(Sheet1!CY127,hhdcap_wcm,1)))*(VLOOKUP(Sheet1!CY127,hhdcap_wcm,4)-VLOOKUP(Sheet1!CY127,hhdcap_wcm,2))))</f>
        <v>30658.20000007626</v>
      </c>
      <c r="AC127" s="712">
        <f t="shared" si="396"/>
        <v>158.04000000020096</v>
      </c>
      <c r="AD127" s="712">
        <f t="shared" si="370"/>
        <v>3194.1755781531033</v>
      </c>
      <c r="AE127" s="712">
        <f t="shared" si="397"/>
        <v>9799.7306737737217</v>
      </c>
      <c r="AF127" s="712">
        <f>Sheet1!BA127+Sheet1!BB127+Sheet1!BN127+BT127</f>
        <v>18.3</v>
      </c>
      <c r="AG127" s="712">
        <f t="shared" si="398"/>
        <v>17.733879985091317</v>
      </c>
      <c r="AH127" s="712">
        <f>Sheet1!BA127+BT127</f>
        <v>0</v>
      </c>
      <c r="AI127" s="712">
        <f>Sheet1!BA127+Sheet1!BB127+BT127</f>
        <v>0</v>
      </c>
      <c r="AJ127" s="712">
        <f>IF((Sheet1!AA127+AG127+AX127+AZ127+BQ127+BS127+CL127+CN127)&lt;=N127,AG127+AX127+AZ127+BQ127+BS127+CL127+CN127,N127-Sheet1!AA127)</f>
        <v>17.733879985091317</v>
      </c>
      <c r="AK127" s="712">
        <f>IF(DR127&lt;K127,0,MAX(Sheet1!AA127+AG127-15/36*K127-N127,Sheet1!ED127,0))</f>
        <v>0</v>
      </c>
      <c r="AL127" s="712">
        <f>IF(OR(B127&gt;=FT127,B127&lt;FS127),0,15/36*K127-MAX(0,64.6-(137.6-(Sheet1!AA127+Sheet1!AB127))))</f>
        <v>26.933333333333334</v>
      </c>
      <c r="AM127" s="712">
        <f>Sheet1!CX127-110</f>
        <v>776.91666666666663</v>
      </c>
      <c r="AN127" s="712">
        <f>Sheet1!CW127-265</f>
        <v>1312.5</v>
      </c>
      <c r="AO127" s="712">
        <f t="shared" si="371"/>
        <v>26.26612001490868</v>
      </c>
      <c r="AP127" s="712">
        <f t="shared" si="372"/>
        <v>0</v>
      </c>
      <c r="AQ127" s="712">
        <f t="shared" si="399"/>
        <v>0</v>
      </c>
      <c r="AR127" s="712">
        <f t="shared" si="400"/>
        <v>1454.3999999999999</v>
      </c>
      <c r="AS127" s="712"/>
      <c r="AT127" s="712">
        <f ca="1">IF(B127&gt;Summary!$A$1,#N/A,AR127*MGtoAF)</f>
        <v>4462.0991999999997</v>
      </c>
      <c r="AU127" s="712">
        <f>Sheet1!BG127+Sheet1!BH127+Sheet1!BI127-BC127</f>
        <v>0</v>
      </c>
      <c r="AV127" s="712">
        <f t="shared" si="401"/>
        <v>0</v>
      </c>
      <c r="AW127" s="712">
        <f>IF(Sheet1!EL127="FM",BC127,0)</f>
        <v>0</v>
      </c>
      <c r="AX127" s="712">
        <f t="shared" si="402"/>
        <v>0</v>
      </c>
      <c r="AY127" s="712">
        <f>IF(Sheet1!EL127="OTHER",BC127,0)</f>
        <v>0</v>
      </c>
      <c r="AZ127" s="712">
        <f t="shared" si="403"/>
        <v>0</v>
      </c>
      <c r="BA127" s="712">
        <f t="shared" si="404"/>
        <v>0</v>
      </c>
      <c r="BB127" s="712">
        <f t="shared" si="405"/>
        <v>0</v>
      </c>
      <c r="BC127" s="712">
        <f>IF(OR(Sheet1!EL127="FM", Sheet1!EL127="OTHER"),SUM(Sheet1!BG127:'Sheet1'!BI127),0)</f>
        <v>0</v>
      </c>
      <c r="BD127" s="697">
        <f>IF(AND($B127&gt;=$FL127,$B127&lt;=$FM127),MAX(AV127,Sheet1!EE127,0),MAX(AV127-(7/36)*$K127,0))</f>
        <v>0</v>
      </c>
      <c r="BE127" s="712">
        <f t="shared" si="406"/>
        <v>12.568888888888889</v>
      </c>
      <c r="BF127" s="697">
        <f t="shared" si="373"/>
        <v>0</v>
      </c>
      <c r="BG127" s="697">
        <f>IF(AND($O127&gt;0,Sheet1!EI127=1),(1-($O127-Sheet1!$L127)/$O127)*BB127,0)</f>
        <v>0</v>
      </c>
      <c r="BH127" s="697">
        <f>IF(AND(Sheet1!$L127=0,Sheet1!$L126=0, Calculation!BA127&lt;Sheet1!$EE127-0.1,Sheet1!$EE127=Sheet1!$EE126,Sheet1!$EE127=Sheet1!$EE128),Sheet1!$EE127,BB127-BG127)</f>
        <v>0</v>
      </c>
      <c r="BI127" s="712"/>
      <c r="BJ127" s="712"/>
      <c r="BK127" s="712">
        <f t="shared" si="407"/>
        <v>678.71999999999923</v>
      </c>
      <c r="BL127" s="712"/>
      <c r="BM127" s="712">
        <f ca="1">IF(B127&gt;Summary!$A$1,#N/A,BK127*MGtoAF)</f>
        <v>2082.3129599999975</v>
      </c>
      <c r="BN127" s="712">
        <f>Sheet1!BC127+Sheet1!BD127+Sheet1!BE127+Sheet1!BF127-BW127-BX127</f>
        <v>2.5099999999999998</v>
      </c>
      <c r="BO127" s="712">
        <f t="shared" si="408"/>
        <v>2.4323518449496833</v>
      </c>
      <c r="BP127" s="712">
        <f>IF(Sheet1!EM127="FM",BX127,0)</f>
        <v>0</v>
      </c>
      <c r="BQ127" s="712">
        <f t="shared" si="409"/>
        <v>0</v>
      </c>
      <c r="BR127" s="712">
        <f>IF(Sheet1!EM127="OTHER",BX127,0)</f>
        <v>0</v>
      </c>
      <c r="BS127" s="712">
        <f t="shared" si="410"/>
        <v>0</v>
      </c>
      <c r="BT127" s="712">
        <f t="shared" si="411"/>
        <v>0</v>
      </c>
      <c r="BU127" s="712">
        <f t="shared" si="412"/>
        <v>2.5099999999999998</v>
      </c>
      <c r="BV127" s="712">
        <f t="shared" si="413"/>
        <v>2.4323518449496833</v>
      </c>
      <c r="BW127" s="712">
        <f>IF(Sheet1!EM127="CWA",SUM(Sheet1!BC127:'Sheet1'!BF127),0)</f>
        <v>0</v>
      </c>
      <c r="BX127" s="712">
        <f>IF(OR(Sheet1!EM127="FM", Sheet1!EM127="OTHER"),SUM(Sheet1!BC127:'Sheet1'!BF127),0)</f>
        <v>0</v>
      </c>
      <c r="BY127" s="697">
        <f>IF(AND($B127&gt;=$FL127,$B127&lt;=$FM127),MAX(BV127,Sheet1!EF127,0),MAX(BV127-(7/36)*$K127,0))</f>
        <v>0</v>
      </c>
      <c r="BZ127" s="712">
        <f t="shared" si="414"/>
        <v>10.136537043939207</v>
      </c>
      <c r="CA127" s="697">
        <f t="shared" si="374"/>
        <v>2.4323518449496833</v>
      </c>
      <c r="CB127" s="697">
        <f>IF(AND($O127&gt;0,Sheet1!EJ127=1),(1-($O127-Sheet1!$L127)/$O127)*BV127,0)</f>
        <v>0</v>
      </c>
      <c r="CC127" s="697">
        <f>IF(AND(Sheet1!$L127=0,Sheet1!$L126=0, Calculation!BU127&lt;Sheet1!EF127-0.1,Sheet1!EF127=Sheet1!EF126,Sheet1!EF127=Sheet1!EF128),Sheet1!EF127,BV127-CB127)</f>
        <v>2.4323518449496833</v>
      </c>
      <c r="CD127" s="697"/>
      <c r="CE127" s="712"/>
      <c r="CF127" s="712">
        <f t="shared" si="415"/>
        <v>593.41422510092036</v>
      </c>
      <c r="CG127" s="712"/>
      <c r="CH127" s="712">
        <f ca="1">IF(B127&gt;Summary!$A$1,#N/A,CF127*MGtoAF)</f>
        <v>1820.5948426096238</v>
      </c>
      <c r="CI127" s="712">
        <f>Sheet1!BK127+Sheet1!BL127+Sheet1!BM127-Sheet1!EN127-CQ127</f>
        <v>6.02</v>
      </c>
      <c r="CJ127" s="712">
        <f t="shared" si="416"/>
        <v>5.8337681699590007</v>
      </c>
      <c r="CK127" s="712">
        <f>IF(Sheet1!EN127="FM",CQ127,0)</f>
        <v>0</v>
      </c>
      <c r="CL127" s="712">
        <f t="shared" si="417"/>
        <v>0</v>
      </c>
      <c r="CM127" s="712">
        <f>IF(Sheet1!EN127="OTHER",CQ127,0)</f>
        <v>0</v>
      </c>
      <c r="CN127" s="712">
        <f t="shared" si="418"/>
        <v>0</v>
      </c>
      <c r="CO127" s="712">
        <f t="shared" si="419"/>
        <v>6.02</v>
      </c>
      <c r="CP127" s="712">
        <f t="shared" si="420"/>
        <v>5.8337681699590007</v>
      </c>
      <c r="CQ127" s="712">
        <f>IF(OR(Sheet1!EN127="FM", Sheet1!EN127="OTHER"),SUM(Sheet1!BK127:'Sheet1'!BM127),0)</f>
        <v>0</v>
      </c>
      <c r="CR127" s="697">
        <f>IF(AND($B127&gt;=$FL127,$B127&lt;=$FM127),MAX($CJ127,Sheet1!EG127,0),MAX($CJ127-(7/36)*$K127,0))</f>
        <v>0</v>
      </c>
      <c r="CS127" s="712">
        <f t="shared" si="421"/>
        <v>6.7351207189298883</v>
      </c>
      <c r="CT127" s="697">
        <f t="shared" si="375"/>
        <v>5.8337681699590007</v>
      </c>
      <c r="CU127" s="697">
        <f>IF(AND($O127&gt;0,Sheet1!EK127=1),(1-($O127-Sheet1!$L127)/$O127)*CP127,0)</f>
        <v>0</v>
      </c>
      <c r="CV127" s="697">
        <f>IF(AND(Sheet1!$L127=0,Sheet1!$L126=0, Calculation!CO127&lt;Sheet1!$EG127-0.1,Sheet1!$EG127=Sheet1!$EG126,Sheet1!$EG127=Sheet1!$EG128),Sheet1!$EG127,CP127-CU127)</f>
        <v>5.8337681699590007</v>
      </c>
      <c r="CW127" s="697">
        <f t="shared" si="362"/>
        <v>0</v>
      </c>
      <c r="CX127" s="712">
        <f t="shared" si="379"/>
        <v>8.5299999999999994</v>
      </c>
      <c r="CY127" s="712">
        <f t="shared" si="422"/>
        <v>467.641353052184</v>
      </c>
      <c r="CZ127" s="712">
        <f t="shared" si="423"/>
        <v>8.2661200149086831</v>
      </c>
      <c r="DA127" s="712">
        <f ca="1">IF(B127&gt;Summary!$A$1,#N/A,CY127*MGtoAF)</f>
        <v>1434.7236711641006</v>
      </c>
      <c r="DB127" s="712">
        <f t="shared" si="424"/>
        <v>8.5299999999999994</v>
      </c>
      <c r="DC127" s="712">
        <f t="shared" si="425"/>
        <v>26.83</v>
      </c>
      <c r="DD127" s="712">
        <f>Sheet1!AB127-DC127</f>
        <v>-0.82999999999999829</v>
      </c>
      <c r="DE127" s="712">
        <f t="shared" si="426"/>
        <v>-3.0935519940365201E-2</v>
      </c>
      <c r="DF127" s="712">
        <f>(VLOOKUP(Sheet1!CY127,hhdcap_wcm,4)-(((VLOOKUP(Sheet1!CY127,hhdcap_wcm,3)-Sheet1!CY127)/(VLOOKUP(Sheet1!CY127,hhdcap_wcm,3)-VLOOKUP(Sheet1!CY127,hhdcap_wcm,1)))*(VLOOKUP(Sheet1!CY127,hhdcap_wcm,4)-VLOOKUP(Sheet1!CY127,hhdcap_wcm,2))))</f>
        <v>30658.20000007626</v>
      </c>
      <c r="DG127" s="712">
        <f t="shared" si="427"/>
        <v>158.04000000020096</v>
      </c>
      <c r="DH127" s="712">
        <f t="shared" si="428"/>
        <v>79.697428139284384</v>
      </c>
      <c r="DI127" s="712">
        <f>Sheet1!DW127*AFtoMG</f>
        <v>0</v>
      </c>
      <c r="DJ127" s="712">
        <f>Sheet1!DX127*AFtoMG</f>
        <v>0</v>
      </c>
      <c r="DK127" s="712">
        <f>Sheet1!DY127*AFtoMG</f>
        <v>0</v>
      </c>
      <c r="DL127" s="712">
        <f>Sheet1!DZ127*AFtoMG</f>
        <v>0</v>
      </c>
      <c r="DM127" s="712">
        <f t="shared" si="429"/>
        <v>0</v>
      </c>
      <c r="DN127" s="712">
        <f t="shared" si="430"/>
        <v>0</v>
      </c>
      <c r="DO127" s="712">
        <f t="shared" si="431"/>
        <v>3194.1755781531033</v>
      </c>
      <c r="DP127" s="712">
        <f t="shared" si="432"/>
        <v>9799.7306737737217</v>
      </c>
      <c r="DQ127" s="712"/>
      <c r="DR127" s="697">
        <f>IF(OR(B127&lt;FL127,B127&gt;FM127),(MIN(AV127+BO127+CJ127+MAX(Sheet1!AA127+AG127-73,0),K127)),0)</f>
        <v>8.2661200149086831</v>
      </c>
      <c r="DS127" s="712"/>
      <c r="DT127" s="712">
        <f t="shared" si="433"/>
        <v>8.2661200149086831</v>
      </c>
      <c r="DU127" s="712"/>
      <c r="DV127" s="712">
        <f>Sheet1!ED127+Sheet1!EE127+Sheet1!EF127+Sheet1!EG127</f>
        <v>8.5</v>
      </c>
      <c r="DW127" s="712"/>
      <c r="DX127" s="697">
        <f t="shared" si="376"/>
        <v>0</v>
      </c>
      <c r="DY127" s="712">
        <f>IF(Sheet1!FN127=1,SUM('Calculations II'!AT127:BA127)+'Calculations II'!BC127+Sheet1!BU127+'Calculations II'!BE127+AF127,SUM('Calculations II'!AT127:BA127)+'Calculations II'!BC127+Sheet1!BU127+'Calculations II'!BE127+AF127)</f>
        <v>45.342607999999998</v>
      </c>
      <c r="DZ127" s="712">
        <f>Sheet1!AA127+Sheet1!AB127+'Calculations II'!BC127</f>
        <v>55</v>
      </c>
      <c r="EA127" s="712"/>
      <c r="EB127" s="712"/>
      <c r="EC127" s="712">
        <f t="shared" si="434"/>
        <v>40656</v>
      </c>
      <c r="ED127" s="712">
        <f t="shared" si="435"/>
        <v>56.373879985091321</v>
      </c>
      <c r="EE127" s="712">
        <f t="shared" si="436"/>
        <v>87.210392336936266</v>
      </c>
      <c r="EF127" s="712">
        <f>-(VLOOKUP(Sheet1!BQ127,Lookup!$B$4:$J$236,2)-VLOOKUP(Sheet1!BQ126,Lookup!$B$4:$J$236,2))/1000000</f>
        <v>-1.0616000000000001</v>
      </c>
      <c r="EG127" s="712">
        <f>-(VLOOKUP(Sheet1!BR127,Lookup!$B$4:$J$236,3)-VLOOKUP(Sheet1!BR126,Lookup!$B$4:$J$236,3))/1000000</f>
        <v>-1.0598000000000001</v>
      </c>
      <c r="EH127" s="712">
        <f>-(VLOOKUP(Sheet1!BS127,Lookup!$B$4:$J$236,4)-VLOOKUP(Sheet1!BS126,Lookup!$B$4:$J$236,4))/1000000</f>
        <v>0</v>
      </c>
      <c r="EI127" s="697">
        <f t="shared" si="380"/>
        <v>-2.1214000000000004</v>
      </c>
      <c r="EJ127" s="712"/>
      <c r="EK127" s="712"/>
      <c r="EL127" s="712"/>
      <c r="EM127" s="712"/>
      <c r="EN127" s="712"/>
      <c r="EO127" s="712"/>
      <c r="EP127" s="712"/>
      <c r="EQ127" s="712"/>
      <c r="ER127" s="697">
        <v>0</v>
      </c>
      <c r="ES127" s="712"/>
      <c r="ET127" s="794" t="e">
        <f t="shared" si="437"/>
        <v>#N/A</v>
      </c>
      <c r="EU127" s="794" t="e">
        <f t="shared" si="363"/>
        <v>#VALUE!</v>
      </c>
      <c r="EV127" s="795" t="e">
        <f t="shared" si="364"/>
        <v>#VALUE!</v>
      </c>
      <c r="EW127" s="796" t="s">
        <v>757</v>
      </c>
      <c r="EX127" s="796" t="s">
        <v>757</v>
      </c>
      <c r="EY127" s="794">
        <v>0</v>
      </c>
      <c r="EZ127" s="794" t="e">
        <v>#N/A</v>
      </c>
      <c r="FA127" s="712"/>
      <c r="FB127" s="712"/>
      <c r="FC127" s="712"/>
      <c r="FD127" s="712"/>
      <c r="FE127" s="712">
        <f>O127+Sheet1!CO127</f>
        <v>55</v>
      </c>
      <c r="FF127" s="712">
        <f>IF(Sheet1!AA127+AG127&lt;=Calculation!N127,AG127,Calculation!N127-Sheet1!AA127)</f>
        <v>17.733879985091317</v>
      </c>
      <c r="FG127" s="712">
        <f>(Sheet1!BP127+Sheet1!BO127)/694.4</f>
        <v>1.8038594470046083</v>
      </c>
      <c r="FH127" s="712"/>
      <c r="FI127" s="712"/>
      <c r="FJ127" s="712"/>
      <c r="FK127" s="712"/>
      <c r="FL127" s="714">
        <f t="shared" si="381"/>
        <v>40753</v>
      </c>
      <c r="FM127" s="714">
        <f t="shared" si="382"/>
        <v>40851</v>
      </c>
      <c r="FN127" s="712"/>
      <c r="FO127" s="712"/>
      <c r="FP127" s="712"/>
      <c r="FQ127" s="712"/>
      <c r="FR127" s="712"/>
      <c r="FS127" s="725">
        <f t="shared" si="383"/>
        <v>40603</v>
      </c>
      <c r="FT127" s="714">
        <f t="shared" si="384"/>
        <v>40709</v>
      </c>
      <c r="FU127" s="712">
        <f t="shared" si="385"/>
        <v>6518.9048239895692</v>
      </c>
      <c r="FV127" s="714">
        <f t="shared" si="386"/>
        <v>40722</v>
      </c>
      <c r="FW127" s="712">
        <f t="shared" si="387"/>
        <v>3259.4524119947846</v>
      </c>
      <c r="FX127" s="725">
        <f t="shared" si="388"/>
        <v>40851</v>
      </c>
      <c r="FZ127" s="697">
        <f t="shared" si="365"/>
        <v>0</v>
      </c>
      <c r="GA127" s="712" t="str">
        <f t="shared" si="438"/>
        <v/>
      </c>
      <c r="GB127" s="712">
        <f t="shared" si="439"/>
        <v>0</v>
      </c>
      <c r="GC127" s="712" t="str">
        <f t="shared" si="440"/>
        <v/>
      </c>
      <c r="GD127" s="712">
        <f>IF(GA127="P",Lookup!$M$12,IF(GA127="PP",Lookup!$M$13,IF(GA127="PPP",Lookup!$M$14,IF(GA127="T",Lookup!$M$15,IF(GA127="TP",Lookup!$M$16,IF(GA127="TPP",Lookup!$M$17,IF(GA127="TPPP",Lookup!$M$18,0)))))))*FZ127</f>
        <v>0</v>
      </c>
      <c r="GE127" s="712">
        <f t="shared" si="441"/>
        <v>0</v>
      </c>
      <c r="GF127" s="712">
        <f t="shared" si="442"/>
        <v>4462.0991999999997</v>
      </c>
      <c r="GG127" s="712">
        <f t="shared" si="443"/>
        <v>1454.3999999999999</v>
      </c>
      <c r="GH127" s="712"/>
      <c r="GI127" s="712">
        <f t="shared" si="444"/>
        <v>0</v>
      </c>
      <c r="GJ127" s="712" t="str">
        <f t="shared" si="445"/>
        <v/>
      </c>
      <c r="GK127" s="712">
        <f>IF(GA127="P",Lookup!$N$12,IF(GA127="PP",Lookup!$N$13,IF(GA127="PPP",Lookup!$N$14,IF(GA127="T",Lookup!$N$15,IF(GA127="TP",Lookup!$N$16,IF(GA127="TPP",Lookup!$N$17,IF(GA127="TPPP",Lookup!$N$18,0)))))))*FZ127</f>
        <v>0</v>
      </c>
      <c r="GL127" s="712">
        <f t="shared" si="446"/>
        <v>0</v>
      </c>
      <c r="GM127" s="712">
        <f t="shared" si="447"/>
        <v>2082.3129599999975</v>
      </c>
      <c r="GN127" s="712">
        <f t="shared" si="448"/>
        <v>678.71999999999923</v>
      </c>
      <c r="GO127" s="712"/>
      <c r="GP127" s="712">
        <f t="shared" si="449"/>
        <v>0</v>
      </c>
      <c r="GQ127" s="712" t="str">
        <f t="shared" si="450"/>
        <v/>
      </c>
      <c r="GR127" s="712">
        <f>IF(GA127="P",Lookup!$N$12,IF(GA127="PP",Lookup!$N$13,IF(GA127="PPP",Lookup!$N$14,IF(GA127="T",Lookup!$N$15,IF(GA127="TP",Lookup!$N$16,IF(GA127="TPP",Lookup!$N$17,IF(GA127="TPPP",Lookup!$N$18,0)))))))*FZ127</f>
        <v>0</v>
      </c>
      <c r="GS127" s="697">
        <f t="shared" si="377"/>
        <v>0</v>
      </c>
      <c r="GT127" s="712">
        <f t="shared" si="451"/>
        <v>1820.5948426096238</v>
      </c>
      <c r="GU127" s="712">
        <f t="shared" si="452"/>
        <v>593.41422510092036</v>
      </c>
      <c r="GV127" s="712"/>
      <c r="GW127" s="712">
        <f t="shared" si="453"/>
        <v>0</v>
      </c>
      <c r="GX127" s="712" t="str">
        <f t="shared" si="454"/>
        <v/>
      </c>
      <c r="GY127" s="712">
        <f>IF(GA127="P",Lookup!$N$12,IF(GA127="PP",Lookup!$N$13,IF(GA127="PPP",Lookup!$N$14,IF(GA127="T",Lookup!$N$15,IF(GA127="TP",Lookup!$N$16,IF(GA127="TPP",Lookup!$N$17,IF(GA127="TPPP",Lookup!$N$18,0)))))))*FZ127</f>
        <v>0</v>
      </c>
      <c r="GZ127" s="697">
        <f t="shared" si="378"/>
        <v>0</v>
      </c>
      <c r="HA127" s="712">
        <f t="shared" si="455"/>
        <v>1434.7236711641006</v>
      </c>
      <c r="HB127" s="712">
        <f t="shared" si="456"/>
        <v>467.641353052184</v>
      </c>
      <c r="HC127" s="712"/>
    </row>
    <row r="128" spans="1:211">
      <c r="A128" s="773" t="s">
        <v>3</v>
      </c>
      <c r="B128" s="708">
        <v>40657</v>
      </c>
      <c r="C128" s="719">
        <v>0.5</v>
      </c>
      <c r="D128" s="675">
        <f t="shared" si="366"/>
        <v>300</v>
      </c>
      <c r="E128" s="675">
        <f t="shared" si="367"/>
        <v>250</v>
      </c>
      <c r="F128" s="710">
        <v>250</v>
      </c>
      <c r="G128" s="712">
        <f>DH128+Sheet1!CV128</f>
        <v>1080.2279603906925</v>
      </c>
      <c r="H128" s="712">
        <f t="shared" si="389"/>
        <v>431.2961535965436</v>
      </c>
      <c r="I128" s="711">
        <f>MAX(Sheet1!Z128-AJ128+(Sheet1!CW128-E128)*CFStoMGD,0)</f>
        <v>853.73233952912017</v>
      </c>
      <c r="J128" s="720">
        <f>IF(AND(B128&gt;=Calculation!FS128,B128&lt;=Calculation!FT128),IF(Sheet1!CX128&gt;=Calculation!D128,64.64,0),MAX(Sheet1!Z128-AJ128+(Sheet1!CX128-D128)*CFStoMGD,0))</f>
        <v>64.64</v>
      </c>
      <c r="K128" s="697">
        <f t="shared" si="368"/>
        <v>64.64</v>
      </c>
      <c r="L128" s="712">
        <f>Sheet1!AA128+Sheet1!AB128-Sheet1!L128+(Sheet1!CW128-F128)*CFStoMGD</f>
        <v>904.11066666666659</v>
      </c>
      <c r="M128" s="712">
        <f t="shared" si="390"/>
        <v>712.22454066847456</v>
      </c>
      <c r="N128" s="712">
        <f>IF(Sheet1!CW128&gt;=F128,MIN(73,MIN(MAX(L128,0),MAX(M128,0))),0)</f>
        <v>73</v>
      </c>
      <c r="O128" s="721">
        <f>Sheet1!AA128+Sheet1!AB128</f>
        <v>58</v>
      </c>
      <c r="P128" s="721">
        <f t="shared" si="391"/>
        <v>89.725999999999999</v>
      </c>
      <c r="Q128" s="712">
        <f>MIN(N128,Sheet1!AA128+AG128)</f>
        <v>49.048327137546465</v>
      </c>
      <c r="R128" s="712">
        <f t="shared" si="392"/>
        <v>8.9516728624535311</v>
      </c>
      <c r="S128" s="721">
        <f>Sheet1!Y128*MGDtoCFS</f>
        <v>46.147009999999995</v>
      </c>
      <c r="T128" s="721">
        <f>Sheet1!Z128*MGDtoCFS</f>
        <v>41.258490000000002</v>
      </c>
      <c r="U128" s="721">
        <f>Sheet1!AA128*MGDtoCFS</f>
        <v>46.41</v>
      </c>
      <c r="V128" s="721">
        <f>Sheet1!AB128*MGDtoCFS</f>
        <v>43.315999999999995</v>
      </c>
      <c r="W128" s="721">
        <f>Sheet1!L128*MGDtoCFS</f>
        <v>0</v>
      </c>
      <c r="X128" s="697">
        <f t="shared" si="369"/>
        <v>0</v>
      </c>
      <c r="Y128" s="712">
        <f t="shared" si="393"/>
        <v>0</v>
      </c>
      <c r="Z128" s="712">
        <f t="shared" si="394"/>
        <v>55.688327137546466</v>
      </c>
      <c r="AA128" s="712">
        <f t="shared" si="395"/>
        <v>86.149842081784385</v>
      </c>
      <c r="AB128" s="712">
        <f>(VLOOKUP(Sheet1!CY128,hhdcap_wcm,4)-(((VLOOKUP(Sheet1!CY128,hhdcap_wcm,3)-Sheet1!CY128)/(VLOOKUP(Sheet1!CY128,hhdcap_wcm,3)-VLOOKUP(Sheet1!CY128,hhdcap_wcm,1)))*(VLOOKUP(Sheet1!CY128,hhdcap_wcm,4)-VLOOKUP(Sheet1!CY128,hhdcap_wcm,2))))</f>
        <v>30895.260000076458</v>
      </c>
      <c r="AC128" s="712">
        <f t="shared" si="396"/>
        <v>237.06000000019776</v>
      </c>
      <c r="AD128" s="712">
        <f t="shared" si="370"/>
        <v>3249.8639052906497</v>
      </c>
      <c r="AE128" s="712">
        <f t="shared" si="397"/>
        <v>9970.5824614317135</v>
      </c>
      <c r="AF128" s="712">
        <f>Sheet1!BA128+Sheet1!BB128+Sheet1!BN128+BT128</f>
        <v>18.3</v>
      </c>
      <c r="AG128" s="712">
        <f t="shared" si="398"/>
        <v>19.048327137546469</v>
      </c>
      <c r="AH128" s="712">
        <f>Sheet1!BA128+BT128</f>
        <v>0</v>
      </c>
      <c r="AI128" s="712">
        <f>Sheet1!BA128+Sheet1!BB128+BT128</f>
        <v>0</v>
      </c>
      <c r="AJ128" s="712">
        <f>IF((Sheet1!AA128+AG128+AX128+AZ128+BQ128+BS128+CL128+CN128)&lt;=N128,AG128+AX128+AZ128+BQ128+BS128+CL128+CN128,N128-Sheet1!AA128)</f>
        <v>19.048327137546469</v>
      </c>
      <c r="AK128" s="712">
        <f>IF(DR128&lt;K128,0,MAX(Sheet1!AA128+AG128-15/36*K128-N128,Sheet1!ED128,0))</f>
        <v>0</v>
      </c>
      <c r="AL128" s="712">
        <f>IF(OR(B128&gt;=FT128,B128&lt;FS128),0,15/36*K128-MAX(0,64.6-(137.6-(Sheet1!AA128+Sheet1!AB128))))</f>
        <v>26.933333333333334</v>
      </c>
      <c r="AM128" s="712">
        <f>Sheet1!CX128-110</f>
        <v>779.29166666666663</v>
      </c>
      <c r="AN128" s="712">
        <f>Sheet1!CW128-265</f>
        <v>1293.9583333333333</v>
      </c>
      <c r="AO128" s="712">
        <f t="shared" si="371"/>
        <v>23.951672862453535</v>
      </c>
      <c r="AP128" s="712">
        <f t="shared" si="372"/>
        <v>0</v>
      </c>
      <c r="AQ128" s="712">
        <f t="shared" si="399"/>
        <v>0</v>
      </c>
      <c r="AR128" s="712">
        <f t="shared" si="400"/>
        <v>1481.3333333333333</v>
      </c>
      <c r="AS128" s="712"/>
      <c r="AT128" s="712">
        <f ca="1">IF(B128&gt;Summary!$A$1,#N/A,AR128*MGtoAF)</f>
        <v>4544.7306666666664</v>
      </c>
      <c r="AU128" s="712">
        <f>Sheet1!BG128+Sheet1!BH128+Sheet1!BI128-BC128</f>
        <v>0</v>
      </c>
      <c r="AV128" s="712">
        <f t="shared" si="401"/>
        <v>0</v>
      </c>
      <c r="AW128" s="712">
        <f>IF(Sheet1!EL128="FM",BC128,0)</f>
        <v>0</v>
      </c>
      <c r="AX128" s="712">
        <f t="shared" si="402"/>
        <v>0</v>
      </c>
      <c r="AY128" s="712">
        <f>IF(Sheet1!EL128="OTHER",BC128,0)</f>
        <v>0</v>
      </c>
      <c r="AZ128" s="712">
        <f t="shared" si="403"/>
        <v>0</v>
      </c>
      <c r="BA128" s="712">
        <f t="shared" si="404"/>
        <v>0</v>
      </c>
      <c r="BB128" s="712">
        <f t="shared" si="405"/>
        <v>0</v>
      </c>
      <c r="BC128" s="712">
        <f>IF(OR(Sheet1!EL128="FM", Sheet1!EL128="OTHER"),SUM(Sheet1!BG128:'Sheet1'!BI128),0)</f>
        <v>0</v>
      </c>
      <c r="BD128" s="697">
        <f>IF(AND($B128&gt;=$FL128,$B128&lt;=$FM128),MAX(AV128,Sheet1!EE128,0),MAX(AV128-(7/36)*$K128,0))</f>
        <v>0</v>
      </c>
      <c r="BE128" s="712">
        <f t="shared" si="406"/>
        <v>12.568888888888889</v>
      </c>
      <c r="BF128" s="697">
        <f t="shared" si="373"/>
        <v>0</v>
      </c>
      <c r="BG128" s="697">
        <f>IF(AND($O128&gt;0,Sheet1!EI128=1),(1-($O128-Sheet1!$L128)/$O128)*BB128,0)</f>
        <v>0</v>
      </c>
      <c r="BH128" s="697">
        <f>IF(AND(Sheet1!$L128=0,Sheet1!$L127=0, Calculation!BA128&lt;Sheet1!$EE128-0.1,Sheet1!$EE128=Sheet1!$EE127,Sheet1!$EE128=Sheet1!$EE129),Sheet1!$EE128,BB128-BG128)</f>
        <v>0</v>
      </c>
      <c r="BI128" s="712"/>
      <c r="BJ128" s="712"/>
      <c r="BK128" s="712">
        <f t="shared" si="407"/>
        <v>691.2888888888881</v>
      </c>
      <c r="BL128" s="712"/>
      <c r="BM128" s="712">
        <f ca="1">IF(B128&gt;Summary!$A$1,#N/A,BK128*MGtoAF)</f>
        <v>2120.8743111111089</v>
      </c>
      <c r="BN128" s="712">
        <f>Sheet1!BC128+Sheet1!BD128+Sheet1!BE128+Sheet1!BF128-BW128-BX128</f>
        <v>2.58</v>
      </c>
      <c r="BO128" s="712">
        <f t="shared" si="408"/>
        <v>2.6855018587360595</v>
      </c>
      <c r="BP128" s="712">
        <f>IF(Sheet1!EM128="FM",BX128,0)</f>
        <v>0</v>
      </c>
      <c r="BQ128" s="712">
        <f t="shared" si="409"/>
        <v>0</v>
      </c>
      <c r="BR128" s="712">
        <f>IF(Sheet1!EM128="OTHER",BX128,0)</f>
        <v>0</v>
      </c>
      <c r="BS128" s="712">
        <f t="shared" si="410"/>
        <v>0</v>
      </c>
      <c r="BT128" s="712">
        <f t="shared" si="411"/>
        <v>0</v>
      </c>
      <c r="BU128" s="712">
        <f t="shared" si="412"/>
        <v>2.58</v>
      </c>
      <c r="BV128" s="712">
        <f t="shared" si="413"/>
        <v>2.6855018587360595</v>
      </c>
      <c r="BW128" s="712">
        <f>IF(Sheet1!EM128="CWA",SUM(Sheet1!BC128:'Sheet1'!BF128),0)</f>
        <v>0</v>
      </c>
      <c r="BX128" s="712">
        <f>IF(OR(Sheet1!EM128="FM", Sheet1!EM128="OTHER"),SUM(Sheet1!BC128:'Sheet1'!BF128),0)</f>
        <v>0</v>
      </c>
      <c r="BY128" s="697">
        <f>IF(AND($B128&gt;=$FL128,$B128&lt;=$FM128),MAX(BV128,Sheet1!EF128,0),MAX(BV128-(7/36)*$K128,0))</f>
        <v>0</v>
      </c>
      <c r="BZ128" s="712">
        <f t="shared" si="414"/>
        <v>9.8833870301528286</v>
      </c>
      <c r="CA128" s="697">
        <f t="shared" si="374"/>
        <v>2.6855018587360595</v>
      </c>
      <c r="CB128" s="697">
        <f>IF(AND($O128&gt;0,Sheet1!EJ128=1),(1-($O128-Sheet1!$L128)/$O128)*BV128,0)</f>
        <v>0</v>
      </c>
      <c r="CC128" s="697">
        <f>IF(AND(Sheet1!$L128=0,Sheet1!$L127=0, Calculation!BU128&lt;Sheet1!EF128-0.1,Sheet1!EF128=Sheet1!EF127,Sheet1!EF128=Sheet1!EF129),Sheet1!EF128,BV128-CB128)</f>
        <v>2.6855018587360595</v>
      </c>
      <c r="CD128" s="697"/>
      <c r="CE128" s="712"/>
      <c r="CF128" s="712">
        <f t="shared" si="415"/>
        <v>603.29761213107315</v>
      </c>
      <c r="CG128" s="712"/>
      <c r="CH128" s="712">
        <f ca="1">IF(B128&gt;Summary!$A$1,#N/A,CF128*MGtoAF)</f>
        <v>1850.9170740181326</v>
      </c>
      <c r="CI128" s="712">
        <f>Sheet1!BK128+Sheet1!BL128+Sheet1!BM128-Sheet1!EN128-CQ128</f>
        <v>6.02</v>
      </c>
      <c r="CJ128" s="712">
        <f t="shared" si="416"/>
        <v>6.2661710037174716</v>
      </c>
      <c r="CK128" s="712">
        <f>IF(Sheet1!EN128="FM",CQ128,0)</f>
        <v>0</v>
      </c>
      <c r="CL128" s="712">
        <f t="shared" si="417"/>
        <v>0</v>
      </c>
      <c r="CM128" s="712">
        <f>IF(Sheet1!EN128="OTHER",CQ128,0)</f>
        <v>0</v>
      </c>
      <c r="CN128" s="712">
        <f t="shared" si="418"/>
        <v>0</v>
      </c>
      <c r="CO128" s="712">
        <f t="shared" si="419"/>
        <v>6.02</v>
      </c>
      <c r="CP128" s="712">
        <f t="shared" si="420"/>
        <v>6.2661710037174716</v>
      </c>
      <c r="CQ128" s="712">
        <f>IF(OR(Sheet1!EN128="FM", Sheet1!EN128="OTHER"),SUM(Sheet1!BK128:'Sheet1'!BM128),0)</f>
        <v>0</v>
      </c>
      <c r="CR128" s="697">
        <f>IF(AND($B128&gt;=$FL128,$B128&lt;=$FM128),MAX($CJ128,Sheet1!EG128,0),MAX($CJ128-(7/36)*$K128,0))</f>
        <v>0</v>
      </c>
      <c r="CS128" s="712">
        <f t="shared" si="421"/>
        <v>6.3027178851714174</v>
      </c>
      <c r="CT128" s="697">
        <f t="shared" si="375"/>
        <v>6.2661710037174716</v>
      </c>
      <c r="CU128" s="697">
        <f>IF(AND($O128&gt;0,Sheet1!EK128=1),(1-($O128-Sheet1!$L128)/$O128)*CP128,0)</f>
        <v>0</v>
      </c>
      <c r="CV128" s="697">
        <f>IF(AND(Sheet1!$L128=0,Sheet1!$L127=0, Calculation!CO128&lt;Sheet1!$EG128-0.1,Sheet1!$EG128=Sheet1!$EG127,Sheet1!$EG128=Sheet1!$EG129),Sheet1!$EG128,CP128-CU128)</f>
        <v>6.2661710037174716</v>
      </c>
      <c r="CW128" s="697">
        <f t="shared" si="362"/>
        <v>0</v>
      </c>
      <c r="CX128" s="712">
        <f t="shared" si="379"/>
        <v>8.6</v>
      </c>
      <c r="CY128" s="712">
        <f t="shared" si="422"/>
        <v>473.94407093735543</v>
      </c>
      <c r="CZ128" s="712">
        <f t="shared" si="423"/>
        <v>8.9516728624535311</v>
      </c>
      <c r="DA128" s="712">
        <f ca="1">IF(B128&gt;Summary!$A$1,#N/A,CY128*MGtoAF)</f>
        <v>1454.0604096358065</v>
      </c>
      <c r="DB128" s="712">
        <f t="shared" si="424"/>
        <v>8.6</v>
      </c>
      <c r="DC128" s="712">
        <f t="shared" si="425"/>
        <v>26.9</v>
      </c>
      <c r="DD128" s="712">
        <f>Sheet1!AB128-DC128</f>
        <v>1.1000000000000014</v>
      </c>
      <c r="DE128" s="712">
        <f t="shared" si="426"/>
        <v>4.0892193308550241E-2</v>
      </c>
      <c r="DF128" s="712">
        <f>(VLOOKUP(Sheet1!CY128,hhdcap_wcm,4)-(((VLOOKUP(Sheet1!CY128,hhdcap_wcm,3)-Sheet1!CY128)/(VLOOKUP(Sheet1!CY128,hhdcap_wcm,3)-VLOOKUP(Sheet1!CY128,hhdcap_wcm,1)))*(VLOOKUP(Sheet1!CY128,hhdcap_wcm,4)-VLOOKUP(Sheet1!CY128,hhdcap_wcm,2))))</f>
        <v>30895.260000076458</v>
      </c>
      <c r="DG128" s="712">
        <f t="shared" si="427"/>
        <v>237.06000000019776</v>
      </c>
      <c r="DH128" s="712">
        <f t="shared" si="428"/>
        <v>119.5461422088743</v>
      </c>
      <c r="DI128" s="712">
        <f>Sheet1!DW128*AFtoMG</f>
        <v>0</v>
      </c>
      <c r="DJ128" s="712">
        <f>Sheet1!DX128*AFtoMG</f>
        <v>0</v>
      </c>
      <c r="DK128" s="712">
        <f>Sheet1!DY128*AFtoMG</f>
        <v>0</v>
      </c>
      <c r="DL128" s="712">
        <f>Sheet1!DZ128*AFtoMG</f>
        <v>0</v>
      </c>
      <c r="DM128" s="712">
        <f t="shared" si="429"/>
        <v>0</v>
      </c>
      <c r="DN128" s="712">
        <f t="shared" si="430"/>
        <v>0</v>
      </c>
      <c r="DO128" s="712">
        <f t="shared" si="431"/>
        <v>3249.8639052906497</v>
      </c>
      <c r="DP128" s="712">
        <f t="shared" si="432"/>
        <v>9970.5824614317135</v>
      </c>
      <c r="DQ128" s="712"/>
      <c r="DR128" s="697">
        <f>IF(OR(B128&lt;FL128,B128&gt;FM128),(MIN(AV128+BO128+CJ128+MAX(Sheet1!AA128+AG128-73,0),K128)),0)</f>
        <v>8.9516728624535311</v>
      </c>
      <c r="DS128" s="712"/>
      <c r="DT128" s="712">
        <f t="shared" si="433"/>
        <v>8.9516728624535311</v>
      </c>
      <c r="DU128" s="712"/>
      <c r="DV128" s="712">
        <f>Sheet1!ED128+Sheet1!EE128+Sheet1!EF128+Sheet1!EG128</f>
        <v>8.5</v>
      </c>
      <c r="DW128" s="712"/>
      <c r="DX128" s="697">
        <f t="shared" si="376"/>
        <v>0</v>
      </c>
      <c r="DY128" s="712">
        <f>IF(Sheet1!FN128=1,SUM('Calculations II'!AT128:BA128)+'Calculations II'!BC128+Sheet1!BU128+'Calculations II'!BE128+AF128,SUM('Calculations II'!AT128:BA128)+'Calculations II'!BC128+Sheet1!BU128+'Calculations II'!BE128+AF128)</f>
        <v>45.107327999999995</v>
      </c>
      <c r="DZ128" s="712">
        <f>Sheet1!AA128+Sheet1!AB128+'Calculations II'!BC128</f>
        <v>58</v>
      </c>
      <c r="EA128" s="712"/>
      <c r="EB128" s="712"/>
      <c r="EC128" s="712">
        <f t="shared" si="434"/>
        <v>40657</v>
      </c>
      <c r="ED128" s="712">
        <f t="shared" si="435"/>
        <v>55.688327137546466</v>
      </c>
      <c r="EE128" s="712">
        <f t="shared" si="436"/>
        <v>86.149842081784385</v>
      </c>
      <c r="EF128" s="712">
        <f>-(VLOOKUP(Sheet1!BQ128,Lookup!$B$4:$J$236,2)-VLOOKUP(Sheet1!BQ127,Lookup!$B$4:$J$236,2))/1000000</f>
        <v>-1.3354999999999999</v>
      </c>
      <c r="EG128" s="712">
        <f>-(VLOOKUP(Sheet1!BR128,Lookup!$B$4:$J$236,3)-VLOOKUP(Sheet1!BR127,Lookup!$B$4:$J$236,3))/1000000</f>
        <v>-1.0664</v>
      </c>
      <c r="EH128" s="712">
        <f>-(VLOOKUP(Sheet1!BS128,Lookup!$B$4:$J$236,4)-VLOOKUP(Sheet1!BS127,Lookup!$B$4:$J$236,4))/1000000</f>
        <v>0</v>
      </c>
      <c r="EI128" s="697">
        <f t="shared" si="380"/>
        <v>-2.4018999999999999</v>
      </c>
      <c r="EJ128" s="712"/>
      <c r="EK128" s="712"/>
      <c r="EL128" s="712"/>
      <c r="EM128" s="712"/>
      <c r="EN128" s="712"/>
      <c r="EO128" s="712"/>
      <c r="EP128" s="712"/>
      <c r="EQ128" s="712"/>
      <c r="ER128" s="697">
        <v>0</v>
      </c>
      <c r="ES128" s="712"/>
      <c r="ET128" s="794" t="e">
        <f t="shared" si="437"/>
        <v>#N/A</v>
      </c>
      <c r="EU128" s="794" t="e">
        <f t="shared" si="363"/>
        <v>#VALUE!</v>
      </c>
      <c r="EV128" s="795" t="e">
        <f t="shared" si="364"/>
        <v>#VALUE!</v>
      </c>
      <c r="EW128" s="796" t="s">
        <v>757</v>
      </c>
      <c r="EX128" s="796" t="s">
        <v>757</v>
      </c>
      <c r="EY128" s="794">
        <v>0</v>
      </c>
      <c r="EZ128" s="794" t="e">
        <v>#N/A</v>
      </c>
      <c r="FA128" s="712"/>
      <c r="FB128" s="712"/>
      <c r="FC128" s="712"/>
      <c r="FD128" s="712"/>
      <c r="FE128" s="712">
        <f>O128+Sheet1!CO128</f>
        <v>58</v>
      </c>
      <c r="FF128" s="712">
        <f>IF(Sheet1!AA128+AG128&lt;=Calculation!N128,AG128,Calculation!N128-Sheet1!AA128)</f>
        <v>19.048327137546469</v>
      </c>
      <c r="FG128" s="712">
        <f>(Sheet1!BP128+Sheet1!BO128)/694.4</f>
        <v>2.3256048387096775</v>
      </c>
      <c r="FH128" s="712"/>
      <c r="FI128" s="712"/>
      <c r="FJ128" s="712"/>
      <c r="FK128" s="712"/>
      <c r="FL128" s="714">
        <f t="shared" si="381"/>
        <v>40753</v>
      </c>
      <c r="FM128" s="714">
        <f t="shared" si="382"/>
        <v>40851</v>
      </c>
      <c r="FN128" s="712"/>
      <c r="FO128" s="712"/>
      <c r="FP128" s="712"/>
      <c r="FQ128" s="712"/>
      <c r="FR128" s="712"/>
      <c r="FS128" s="725">
        <f t="shared" si="383"/>
        <v>40603</v>
      </c>
      <c r="FT128" s="714">
        <f t="shared" si="384"/>
        <v>40709</v>
      </c>
      <c r="FU128" s="712">
        <f t="shared" si="385"/>
        <v>6518.9048239895692</v>
      </c>
      <c r="FV128" s="714">
        <f t="shared" si="386"/>
        <v>40722</v>
      </c>
      <c r="FW128" s="712">
        <f t="shared" si="387"/>
        <v>3259.4524119947846</v>
      </c>
      <c r="FX128" s="725">
        <f t="shared" si="388"/>
        <v>40851</v>
      </c>
      <c r="FZ128" s="697">
        <f t="shared" si="365"/>
        <v>0</v>
      </c>
      <c r="GA128" s="712" t="str">
        <f t="shared" si="438"/>
        <v/>
      </c>
      <c r="GB128" s="712">
        <f t="shared" si="439"/>
        <v>0</v>
      </c>
      <c r="GC128" s="712" t="str">
        <f t="shared" si="440"/>
        <v/>
      </c>
      <c r="GD128" s="712">
        <f>IF(GA128="P",Lookup!$M$12,IF(GA128="PP",Lookup!$M$13,IF(GA128="PPP",Lookup!$M$14,IF(GA128="T",Lookup!$M$15,IF(GA128="TP",Lookup!$M$16,IF(GA128="TPP",Lookup!$M$17,IF(GA128="TPPP",Lookup!$M$18,0)))))))*FZ128</f>
        <v>0</v>
      </c>
      <c r="GE128" s="712">
        <f t="shared" si="441"/>
        <v>0</v>
      </c>
      <c r="GF128" s="712">
        <f t="shared" si="442"/>
        <v>4544.7306666666664</v>
      </c>
      <c r="GG128" s="712">
        <f t="shared" si="443"/>
        <v>1481.3333333333333</v>
      </c>
      <c r="GH128" s="712"/>
      <c r="GI128" s="712">
        <f t="shared" si="444"/>
        <v>0</v>
      </c>
      <c r="GJ128" s="712" t="str">
        <f t="shared" si="445"/>
        <v/>
      </c>
      <c r="GK128" s="712">
        <f>IF(GA128="P",Lookup!$N$12,IF(GA128="PP",Lookup!$N$13,IF(GA128="PPP",Lookup!$N$14,IF(GA128="T",Lookup!$N$15,IF(GA128="TP",Lookup!$N$16,IF(GA128="TPP",Lookup!$N$17,IF(GA128="TPPP",Lookup!$N$18,0)))))))*FZ128</f>
        <v>0</v>
      </c>
      <c r="GL128" s="712">
        <f t="shared" si="446"/>
        <v>0</v>
      </c>
      <c r="GM128" s="712">
        <f t="shared" si="447"/>
        <v>2120.8743111111089</v>
      </c>
      <c r="GN128" s="712">
        <f t="shared" si="448"/>
        <v>691.2888888888881</v>
      </c>
      <c r="GO128" s="712"/>
      <c r="GP128" s="712">
        <f t="shared" si="449"/>
        <v>0</v>
      </c>
      <c r="GQ128" s="712" t="str">
        <f t="shared" si="450"/>
        <v/>
      </c>
      <c r="GR128" s="712">
        <f>IF(GA128="P",Lookup!$N$12,IF(GA128="PP",Lookup!$N$13,IF(GA128="PPP",Lookup!$N$14,IF(GA128="T",Lookup!$N$15,IF(GA128="TP",Lookup!$N$16,IF(GA128="TPP",Lookup!$N$17,IF(GA128="TPPP",Lookup!$N$18,0)))))))*FZ128</f>
        <v>0</v>
      </c>
      <c r="GS128" s="697">
        <f t="shared" si="377"/>
        <v>0</v>
      </c>
      <c r="GT128" s="712">
        <f t="shared" si="451"/>
        <v>1850.9170740181326</v>
      </c>
      <c r="GU128" s="712">
        <f t="shared" si="452"/>
        <v>603.29761213107315</v>
      </c>
      <c r="GV128" s="712"/>
      <c r="GW128" s="712">
        <f t="shared" si="453"/>
        <v>0</v>
      </c>
      <c r="GX128" s="712" t="str">
        <f t="shared" si="454"/>
        <v/>
      </c>
      <c r="GY128" s="712">
        <f>IF(GA128="P",Lookup!$N$12,IF(GA128="PP",Lookup!$N$13,IF(GA128="PPP",Lookup!$N$14,IF(GA128="T",Lookup!$N$15,IF(GA128="TP",Lookup!$N$16,IF(GA128="TPP",Lookup!$N$17,IF(GA128="TPPP",Lookup!$N$18,0)))))))*FZ128</f>
        <v>0</v>
      </c>
      <c r="GZ128" s="697">
        <f t="shared" si="378"/>
        <v>0</v>
      </c>
      <c r="HA128" s="712">
        <f t="shared" si="455"/>
        <v>1454.0604096358065</v>
      </c>
      <c r="HB128" s="712">
        <f t="shared" si="456"/>
        <v>473.94407093735543</v>
      </c>
      <c r="HC128" s="712"/>
    </row>
    <row r="129" spans="1:211">
      <c r="A129" s="773" t="s">
        <v>4</v>
      </c>
      <c r="B129" s="708">
        <v>40658</v>
      </c>
      <c r="C129" s="709">
        <v>0.5</v>
      </c>
      <c r="D129" s="675">
        <f t="shared" si="366"/>
        <v>300</v>
      </c>
      <c r="E129" s="675">
        <f t="shared" si="367"/>
        <v>250</v>
      </c>
      <c r="F129" s="675">
        <v>250</v>
      </c>
      <c r="G129" s="712">
        <f>DH129+Sheet1!CV129</f>
        <v>1183.6028973547893</v>
      </c>
      <c r="H129" s="712">
        <f t="shared" si="389"/>
        <v>498.11771285013577</v>
      </c>
      <c r="I129" s="711">
        <f>MAX(Sheet1!Z129-AJ129+(Sheet1!CW129-E129)*CFStoMGD,0)</f>
        <v>945.83938297344241</v>
      </c>
      <c r="J129" s="720">
        <f>IF(AND(B129&gt;=Calculation!FS129,B129&lt;=Calculation!FT129),IF(Sheet1!CX129&gt;=Calculation!D129,64.64,0),MAX(Sheet1!Z129-AJ129+(Sheet1!CX129-D129)*CFStoMGD,0))</f>
        <v>64.64</v>
      </c>
      <c r="K129" s="697">
        <f t="shared" si="368"/>
        <v>64.64</v>
      </c>
      <c r="L129" s="712">
        <f>Sheet1!AA129+Sheet1!AB129-Sheet1!L129+(Sheet1!CW129-F129)*CFStoMGD</f>
        <v>991.19266666666658</v>
      </c>
      <c r="M129" s="712">
        <f t="shared" si="390"/>
        <v>780.38253110713856</v>
      </c>
      <c r="N129" s="712">
        <f>IF(Sheet1!CW129&gt;=F129,MIN(73,MIN(MAX(L129,0),MAX(M129,0))),0)</f>
        <v>73</v>
      </c>
      <c r="O129" s="721">
        <f>Sheet1!AA129+Sheet1!AB129</f>
        <v>56</v>
      </c>
      <c r="P129" s="721">
        <f t="shared" si="391"/>
        <v>86.632000000000005</v>
      </c>
      <c r="Q129" s="712">
        <f>MIN(N129,Sheet1!AA129+AG129)</f>
        <v>47.133283693224129</v>
      </c>
      <c r="R129" s="712">
        <f t="shared" si="392"/>
        <v>8.8667163067758743</v>
      </c>
      <c r="S129" s="721">
        <f>Sheet1!Y129*MGDtoCFS</f>
        <v>45.791200000000003</v>
      </c>
      <c r="T129" s="721">
        <f>Sheet1!Z129*MGDtoCFS</f>
        <v>42.975659999999998</v>
      </c>
      <c r="U129" s="721">
        <f>Sheet1!AA129*MGDtoCFS</f>
        <v>46.41</v>
      </c>
      <c r="V129" s="721">
        <f>Sheet1!AB129*MGDtoCFS</f>
        <v>40.222000000000001</v>
      </c>
      <c r="W129" s="721">
        <f>Sheet1!L129*MGDtoCFS</f>
        <v>0</v>
      </c>
      <c r="X129" s="697">
        <f t="shared" si="369"/>
        <v>0</v>
      </c>
      <c r="Y129" s="712">
        <f t="shared" si="393"/>
        <v>0</v>
      </c>
      <c r="Z129" s="712">
        <f t="shared" si="394"/>
        <v>55.77328369322413</v>
      </c>
      <c r="AA129" s="712">
        <f t="shared" si="395"/>
        <v>86.281269873417727</v>
      </c>
      <c r="AB129" s="712">
        <f>(VLOOKUP(Sheet1!CY129,hhdcap_wcm,4)-(((VLOOKUP(Sheet1!CY129,hhdcap_wcm,3)-Sheet1!CY129)/(VLOOKUP(Sheet1!CY129,hhdcap_wcm,3)-VLOOKUP(Sheet1!CY129,hhdcap_wcm,1)))*(VLOOKUP(Sheet1!CY129,hhdcap_wcm,4)-VLOOKUP(Sheet1!CY129,hhdcap_wcm,2))))</f>
        <v>30965.500000076459</v>
      </c>
      <c r="AC129" s="712">
        <f t="shared" si="396"/>
        <v>70.240000000001601</v>
      </c>
      <c r="AD129" s="712">
        <f t="shared" si="370"/>
        <v>3305.6371889838742</v>
      </c>
      <c r="AE129" s="712">
        <f t="shared" si="397"/>
        <v>10141.694895802526</v>
      </c>
      <c r="AF129" s="712">
        <f>Sheet1!BA129+Sheet1!BB129+Sheet1!BN129+BT129</f>
        <v>17.7</v>
      </c>
      <c r="AG129" s="712">
        <f t="shared" si="398"/>
        <v>17.133283693224126</v>
      </c>
      <c r="AH129" s="712">
        <f>Sheet1!BA129+BT129</f>
        <v>0</v>
      </c>
      <c r="AI129" s="712">
        <f>Sheet1!BA129+Sheet1!BB129+BT129</f>
        <v>0</v>
      </c>
      <c r="AJ129" s="712">
        <f>IF((Sheet1!AA129+AG129+AX129+AZ129+BQ129+BS129+CL129+CN129)&lt;=N129,AG129+AX129+AZ129+BQ129+BS129+CL129+CN129,N129-Sheet1!AA129)</f>
        <v>17.133283693224126</v>
      </c>
      <c r="AK129" s="712">
        <f>IF(DR129&lt;K129,0,MAX(Sheet1!AA129+AG129-15/36*K129-N129,Sheet1!ED129,0))</f>
        <v>0</v>
      </c>
      <c r="AL129" s="712">
        <f>IF(OR(B129&gt;=FT129,B129&lt;FS129),0,15/36*K129-MAX(0,64.6-(137.6-(Sheet1!AA129+Sheet1!AB129))))</f>
        <v>26.933333333333334</v>
      </c>
      <c r="AM129" s="712">
        <f>Sheet1!CX129-110</f>
        <v>988.375</v>
      </c>
      <c r="AN129" s="712">
        <f>Sheet1!CW129-265</f>
        <v>1431.7708333333333</v>
      </c>
      <c r="AO129" s="712">
        <f t="shared" si="371"/>
        <v>25.866716306775871</v>
      </c>
      <c r="AP129" s="712">
        <f t="shared" si="372"/>
        <v>0</v>
      </c>
      <c r="AQ129" s="712">
        <f t="shared" si="399"/>
        <v>0</v>
      </c>
      <c r="AR129" s="712">
        <f t="shared" si="400"/>
        <v>1508.2666666666667</v>
      </c>
      <c r="AS129" s="712"/>
      <c r="AT129" s="712">
        <f ca="1">IF(B129&gt;Summary!$A$1,#N/A,AR129*MGtoAF)</f>
        <v>4627.3621333333331</v>
      </c>
      <c r="AU129" s="712">
        <f>Sheet1!BG129+Sheet1!BH129+Sheet1!BI129-BC129</f>
        <v>0</v>
      </c>
      <c r="AV129" s="712">
        <f t="shared" si="401"/>
        <v>0</v>
      </c>
      <c r="AW129" s="712">
        <f>IF(Sheet1!EL129="FM",BC129,0)</f>
        <v>0</v>
      </c>
      <c r="AX129" s="712">
        <f t="shared" si="402"/>
        <v>0</v>
      </c>
      <c r="AY129" s="712">
        <f>IF(Sheet1!EL129="OTHER",BC129,0)</f>
        <v>0</v>
      </c>
      <c r="AZ129" s="712">
        <f t="shared" si="403"/>
        <v>0</v>
      </c>
      <c r="BA129" s="712">
        <f t="shared" si="404"/>
        <v>0</v>
      </c>
      <c r="BB129" s="712">
        <f t="shared" si="405"/>
        <v>0</v>
      </c>
      <c r="BC129" s="712">
        <f>IF(OR(Sheet1!EL129="FM", Sheet1!EL129="OTHER"),SUM(Sheet1!BG129:'Sheet1'!BI129),0)</f>
        <v>0</v>
      </c>
      <c r="BD129" s="697">
        <f>IF(AND($B129&gt;=$FL129,$B129&lt;=$FM129),MAX(AV129,Sheet1!EE129,0),MAX(AV129-(7/36)*$K129,0))</f>
        <v>0</v>
      </c>
      <c r="BE129" s="712">
        <f t="shared" si="406"/>
        <v>12.568888888888889</v>
      </c>
      <c r="BF129" s="697">
        <f t="shared" si="373"/>
        <v>0</v>
      </c>
      <c r="BG129" s="697">
        <f>IF(AND($O129&gt;0,Sheet1!EI129=1),(1-($O129-Sheet1!$L129)/$O129)*BB129,0)</f>
        <v>0</v>
      </c>
      <c r="BH129" s="697">
        <f>IF(AND(Sheet1!$L129=0,Sheet1!$L128=0, Calculation!BA129&lt;Sheet1!$EE129-0.1,Sheet1!$EE129=Sheet1!$EE128,Sheet1!$EE129=Sheet1!$EE130),Sheet1!$EE129,BB129-BG129)</f>
        <v>0</v>
      </c>
      <c r="BI129" s="712"/>
      <c r="BJ129" s="712"/>
      <c r="BK129" s="712">
        <f t="shared" si="407"/>
        <v>703.85777777777696</v>
      </c>
      <c r="BL129" s="712"/>
      <c r="BM129" s="712">
        <f ca="1">IF(B129&gt;Summary!$A$1,#N/A,BK129*MGtoAF)</f>
        <v>2159.4356622222199</v>
      </c>
      <c r="BN129" s="712">
        <f>Sheet1!BC129+Sheet1!BD129+Sheet1!BE129+Sheet1!BF129-BW129-BX129</f>
        <v>3.13</v>
      </c>
      <c r="BO129" s="712">
        <f t="shared" si="408"/>
        <v>3.0297840655249439</v>
      </c>
      <c r="BP129" s="712">
        <f>IF(Sheet1!EM129="FM",BX129,0)</f>
        <v>0</v>
      </c>
      <c r="BQ129" s="712">
        <f t="shared" si="409"/>
        <v>0</v>
      </c>
      <c r="BR129" s="712">
        <f>IF(Sheet1!EM129="OTHER",BX129,0)</f>
        <v>0</v>
      </c>
      <c r="BS129" s="712">
        <f t="shared" si="410"/>
        <v>0</v>
      </c>
      <c r="BT129" s="712">
        <f t="shared" si="411"/>
        <v>0</v>
      </c>
      <c r="BU129" s="712">
        <f t="shared" si="412"/>
        <v>3.13</v>
      </c>
      <c r="BV129" s="712">
        <f t="shared" si="413"/>
        <v>3.0297840655249439</v>
      </c>
      <c r="BW129" s="712">
        <f>IF(Sheet1!EM129="CWA",SUM(Sheet1!BC129:'Sheet1'!BF129),0)</f>
        <v>0</v>
      </c>
      <c r="BX129" s="712">
        <f>IF(OR(Sheet1!EM129="FM", Sheet1!EM129="OTHER"),SUM(Sheet1!BC129:'Sheet1'!BF129),0)</f>
        <v>0</v>
      </c>
      <c r="BY129" s="697">
        <f>IF(AND($B129&gt;=$FL129,$B129&lt;=$FM129),MAX(BV129,Sheet1!EF129,0),MAX(BV129-(7/36)*$K129,0))</f>
        <v>0</v>
      </c>
      <c r="BZ129" s="712">
        <f t="shared" si="414"/>
        <v>9.5391048233639459</v>
      </c>
      <c r="CA129" s="697">
        <f t="shared" si="374"/>
        <v>3.0297840655249439</v>
      </c>
      <c r="CB129" s="697">
        <f>IF(AND($O129&gt;0,Sheet1!EJ129=1),(1-($O129-Sheet1!$L129)/$O129)*BV129,0)</f>
        <v>0</v>
      </c>
      <c r="CC129" s="697">
        <f>IF(AND(Sheet1!$L129=0,Sheet1!$L128=0, Calculation!BU129&lt;Sheet1!EF129-0.1,Sheet1!EF129=Sheet1!EF128,Sheet1!EF129=Sheet1!EF130),Sheet1!EF129,BV129-CB129)</f>
        <v>3.0297840655249439</v>
      </c>
      <c r="CD129" s="697"/>
      <c r="CE129" s="712"/>
      <c r="CF129" s="712">
        <f t="shared" si="415"/>
        <v>612.83671695443707</v>
      </c>
      <c r="CG129" s="712"/>
      <c r="CH129" s="712">
        <f ca="1">IF(B129&gt;Summary!$A$1,#N/A,CF129*MGtoAF)</f>
        <v>1880.1830476162129</v>
      </c>
      <c r="CI129" s="712">
        <f>Sheet1!BK129+Sheet1!BL129+Sheet1!BM129-Sheet1!EN129-CQ129</f>
        <v>6.0299999999999994</v>
      </c>
      <c r="CJ129" s="712">
        <f t="shared" si="416"/>
        <v>5.8369322412509304</v>
      </c>
      <c r="CK129" s="712">
        <f>IF(Sheet1!EN129="FM",CQ129,0)</f>
        <v>0</v>
      </c>
      <c r="CL129" s="712">
        <f t="shared" si="417"/>
        <v>0</v>
      </c>
      <c r="CM129" s="712">
        <f>IF(Sheet1!EN129="OTHER",CQ129,0)</f>
        <v>0</v>
      </c>
      <c r="CN129" s="712">
        <f t="shared" si="418"/>
        <v>0</v>
      </c>
      <c r="CO129" s="712">
        <f t="shared" si="419"/>
        <v>6.0299999999999994</v>
      </c>
      <c r="CP129" s="712">
        <f t="shared" si="420"/>
        <v>5.8369322412509304</v>
      </c>
      <c r="CQ129" s="712">
        <f>IF(OR(Sheet1!EN129="FM", Sheet1!EN129="OTHER"),SUM(Sheet1!BK129:'Sheet1'!BM129),0)</f>
        <v>0</v>
      </c>
      <c r="CR129" s="697">
        <f>IF(AND($B129&gt;=$FL129,$B129&lt;=$FM129),MAX($CJ129,Sheet1!EG129,0),MAX($CJ129-(7/36)*$K129,0))</f>
        <v>0</v>
      </c>
      <c r="CS129" s="712">
        <f t="shared" si="421"/>
        <v>6.7319566476379586</v>
      </c>
      <c r="CT129" s="697">
        <f t="shared" si="375"/>
        <v>5.8369322412509304</v>
      </c>
      <c r="CU129" s="697">
        <f>IF(AND($O129&gt;0,Sheet1!EK129=1),(1-($O129-Sheet1!$L129)/$O129)*CP129,0)</f>
        <v>0</v>
      </c>
      <c r="CV129" s="697">
        <f>IF(AND(Sheet1!$L129=0,Sheet1!$L128=0, Calculation!CO129&lt;Sheet1!$EG129-0.1,Sheet1!$EG129=Sheet1!$EG128,Sheet1!$EG129=Sheet1!$EG130),Sheet1!$EG129,CP129-CU129)</f>
        <v>5.8369322412509304</v>
      </c>
      <c r="CW129" s="697">
        <f t="shared" si="362"/>
        <v>0</v>
      </c>
      <c r="CX129" s="712">
        <f t="shared" si="379"/>
        <v>9.16</v>
      </c>
      <c r="CY129" s="712">
        <f t="shared" si="422"/>
        <v>480.67602758499339</v>
      </c>
      <c r="CZ129" s="712">
        <f t="shared" si="423"/>
        <v>8.8667163067758743</v>
      </c>
      <c r="DA129" s="712">
        <f ca="1">IF(B129&gt;Summary!$A$1,#N/A,CY129*MGtoAF)</f>
        <v>1474.7140526307599</v>
      </c>
      <c r="DB129" s="712">
        <f t="shared" si="424"/>
        <v>9.16</v>
      </c>
      <c r="DC129" s="712">
        <f t="shared" si="425"/>
        <v>26.86</v>
      </c>
      <c r="DD129" s="712">
        <f>Sheet1!AB129-DC129</f>
        <v>-0.85999999999999943</v>
      </c>
      <c r="DE129" s="712">
        <f t="shared" si="426"/>
        <v>-3.2017870439314949E-2</v>
      </c>
      <c r="DF129" s="712">
        <f>(VLOOKUP(Sheet1!CY129,hhdcap_wcm,4)-(((VLOOKUP(Sheet1!CY129,hhdcap_wcm,3)-Sheet1!CY129)/(VLOOKUP(Sheet1!CY129,hhdcap_wcm,3)-VLOOKUP(Sheet1!CY129,hhdcap_wcm,1)))*(VLOOKUP(Sheet1!CY129,hhdcap_wcm,4)-VLOOKUP(Sheet1!CY129,hhdcap_wcm,2))))</f>
        <v>30965.500000076459</v>
      </c>
      <c r="DG129" s="712">
        <f t="shared" si="427"/>
        <v>70.240000000001601</v>
      </c>
      <c r="DH129" s="712">
        <f t="shared" si="428"/>
        <v>35.421079172971048</v>
      </c>
      <c r="DI129" s="712">
        <f>Sheet1!DW129*AFtoMG</f>
        <v>0</v>
      </c>
      <c r="DJ129" s="712">
        <f>Sheet1!DX129*AFtoMG</f>
        <v>0</v>
      </c>
      <c r="DK129" s="712">
        <f>Sheet1!DY129*AFtoMG</f>
        <v>0</v>
      </c>
      <c r="DL129" s="712">
        <f>Sheet1!DZ129*AFtoMG</f>
        <v>0</v>
      </c>
      <c r="DM129" s="712">
        <f t="shared" si="429"/>
        <v>0</v>
      </c>
      <c r="DN129" s="712">
        <f t="shared" si="430"/>
        <v>0</v>
      </c>
      <c r="DO129" s="712">
        <f t="shared" si="431"/>
        <v>3305.6371889838742</v>
      </c>
      <c r="DP129" s="712">
        <f t="shared" si="432"/>
        <v>10141.694895802526</v>
      </c>
      <c r="DQ129" s="712"/>
      <c r="DR129" s="697">
        <f>IF(OR(B129&lt;FL129,B129&gt;FM129),(MIN(AV129+BO129+CJ129+MAX(Sheet1!AA129+AG129-73,0),K129)),0)</f>
        <v>8.8667163067758743</v>
      </c>
      <c r="DS129" s="712"/>
      <c r="DT129" s="712">
        <f t="shared" si="433"/>
        <v>8.8667163067758743</v>
      </c>
      <c r="DU129" s="712"/>
      <c r="DV129" s="712">
        <f>Sheet1!ED129+Sheet1!EE129+Sheet1!EF129+Sheet1!EG129</f>
        <v>9.5</v>
      </c>
      <c r="DW129" s="712"/>
      <c r="DX129" s="697">
        <f t="shared" si="376"/>
        <v>0</v>
      </c>
      <c r="DY129" s="712">
        <f>IF(Sheet1!FN129=1,SUM('Calculations II'!AT129:BA129)+'Calculations II'!BC129+Sheet1!BU129+'Calculations II'!BE129+AF129,SUM('Calculations II'!AT129:BA129)+'Calculations II'!BC129+Sheet1!BU129+'Calculations II'!BE129+AF129)</f>
        <v>45.316271999999998</v>
      </c>
      <c r="DZ129" s="712">
        <f>Sheet1!AA129+Sheet1!AB129+'Calculations II'!BC129</f>
        <v>56.052272000000002</v>
      </c>
      <c r="EA129" s="712"/>
      <c r="EB129" s="712"/>
      <c r="EC129" s="712">
        <f t="shared" si="434"/>
        <v>40658</v>
      </c>
      <c r="ED129" s="712">
        <f t="shared" si="435"/>
        <v>55.77328369322413</v>
      </c>
      <c r="EE129" s="712">
        <f t="shared" si="436"/>
        <v>86.281269873417727</v>
      </c>
      <c r="EF129" s="712">
        <f>-(VLOOKUP(Sheet1!BQ129,Lookup!$B$4:$J$236,2)-VLOOKUP(Sheet1!BQ128,Lookup!$B$4:$J$236,2))/1000000</f>
        <v>-1.0718000000000001</v>
      </c>
      <c r="EG129" s="712">
        <f>-(VLOOKUP(Sheet1!BR129,Lookup!$B$4:$J$236,3)-VLOOKUP(Sheet1!BR128,Lookup!$B$4:$J$236,3))/1000000</f>
        <v>-1.0664</v>
      </c>
      <c r="EH129" s="712">
        <f>-(VLOOKUP(Sheet1!BS129,Lookup!$B$4:$J$236,4)-VLOOKUP(Sheet1!BS128,Lookup!$B$4:$J$236,4))/1000000</f>
        <v>0</v>
      </c>
      <c r="EI129" s="697">
        <f t="shared" si="380"/>
        <v>-2.1382000000000003</v>
      </c>
      <c r="EJ129" s="712"/>
      <c r="EK129" s="712"/>
      <c r="EL129" s="712"/>
      <c r="EM129" s="712"/>
      <c r="EN129" s="712"/>
      <c r="EO129" s="712"/>
      <c r="EP129" s="712"/>
      <c r="EQ129" s="712"/>
      <c r="ER129" s="697">
        <v>0</v>
      </c>
      <c r="ES129" s="712"/>
      <c r="ET129" s="794" t="e">
        <f t="shared" si="437"/>
        <v>#N/A</v>
      </c>
      <c r="EU129" s="794" t="e">
        <f t="shared" si="363"/>
        <v>#VALUE!</v>
      </c>
      <c r="EV129" s="795" t="e">
        <f t="shared" si="364"/>
        <v>#VALUE!</v>
      </c>
      <c r="EW129" s="796" t="s">
        <v>757</v>
      </c>
      <c r="EX129" s="796" t="s">
        <v>757</v>
      </c>
      <c r="EY129" s="794">
        <v>0</v>
      </c>
      <c r="EZ129" s="794" t="e">
        <v>#N/A</v>
      </c>
      <c r="FA129" s="712"/>
      <c r="FB129" s="712"/>
      <c r="FC129" s="712"/>
      <c r="FD129" s="712"/>
      <c r="FE129" s="712">
        <f>O129+Sheet1!CO129</f>
        <v>92.3</v>
      </c>
      <c r="FF129" s="712">
        <f>IF(Sheet1!AA129+AG129&lt;=Calculation!N129,AG129,Calculation!N129-Sheet1!AA129)</f>
        <v>17.133283693224126</v>
      </c>
      <c r="FG129" s="712">
        <f>(Sheet1!BP129+Sheet1!BO129)/694.4</f>
        <v>1.7893145161290323</v>
      </c>
      <c r="FH129" s="712"/>
      <c r="FI129" s="712"/>
      <c r="FJ129" s="712"/>
      <c r="FK129" s="712"/>
      <c r="FL129" s="714">
        <f t="shared" si="381"/>
        <v>40753</v>
      </c>
      <c r="FM129" s="714">
        <f t="shared" si="382"/>
        <v>40851</v>
      </c>
      <c r="FN129" s="712"/>
      <c r="FO129" s="712"/>
      <c r="FP129" s="712"/>
      <c r="FQ129" s="712"/>
      <c r="FR129" s="712"/>
      <c r="FS129" s="725">
        <f t="shared" si="383"/>
        <v>40603</v>
      </c>
      <c r="FT129" s="714">
        <f t="shared" si="384"/>
        <v>40709</v>
      </c>
      <c r="FU129" s="712">
        <f t="shared" si="385"/>
        <v>6518.9048239895692</v>
      </c>
      <c r="FV129" s="714">
        <f t="shared" si="386"/>
        <v>40722</v>
      </c>
      <c r="FW129" s="712">
        <f t="shared" si="387"/>
        <v>3259.4524119947846</v>
      </c>
      <c r="FX129" s="725">
        <f t="shared" si="388"/>
        <v>40851</v>
      </c>
      <c r="FZ129" s="697">
        <f t="shared" si="365"/>
        <v>0</v>
      </c>
      <c r="GA129" s="712" t="str">
        <f t="shared" si="438"/>
        <v/>
      </c>
      <c r="GB129" s="712">
        <f t="shared" si="439"/>
        <v>0</v>
      </c>
      <c r="GC129" s="712" t="str">
        <f t="shared" si="440"/>
        <v/>
      </c>
      <c r="GD129" s="712">
        <f>IF(GA129="P",Lookup!$M$12,IF(GA129="PP",Lookup!$M$13,IF(GA129="PPP",Lookup!$M$14,IF(GA129="T",Lookup!$M$15,IF(GA129="TP",Lookup!$M$16,IF(GA129="TPP",Lookup!$M$17,IF(GA129="TPPP",Lookup!$M$18,0)))))))*FZ129</f>
        <v>0</v>
      </c>
      <c r="GE129" s="712">
        <f t="shared" si="441"/>
        <v>0</v>
      </c>
      <c r="GF129" s="712">
        <f t="shared" si="442"/>
        <v>4627.3621333333331</v>
      </c>
      <c r="GG129" s="712">
        <f t="shared" si="443"/>
        <v>1508.2666666666667</v>
      </c>
      <c r="GH129" s="712"/>
      <c r="GI129" s="712">
        <f t="shared" si="444"/>
        <v>0</v>
      </c>
      <c r="GJ129" s="712" t="str">
        <f t="shared" si="445"/>
        <v/>
      </c>
      <c r="GK129" s="712">
        <f>IF(GA129="P",Lookup!$N$12,IF(GA129="PP",Lookup!$N$13,IF(GA129="PPP",Lookup!$N$14,IF(GA129="T",Lookup!$N$15,IF(GA129="TP",Lookup!$N$16,IF(GA129="TPP",Lookup!$N$17,IF(GA129="TPPP",Lookup!$N$18,0)))))))*FZ129</f>
        <v>0</v>
      </c>
      <c r="GL129" s="712">
        <f t="shared" si="446"/>
        <v>0</v>
      </c>
      <c r="GM129" s="712">
        <f t="shared" si="447"/>
        <v>2159.4356622222199</v>
      </c>
      <c r="GN129" s="712">
        <f t="shared" si="448"/>
        <v>703.85777777777696</v>
      </c>
      <c r="GO129" s="712"/>
      <c r="GP129" s="712">
        <f t="shared" si="449"/>
        <v>0</v>
      </c>
      <c r="GQ129" s="712" t="str">
        <f t="shared" si="450"/>
        <v/>
      </c>
      <c r="GR129" s="712">
        <f>IF(GA129="P",Lookup!$N$12,IF(GA129="PP",Lookup!$N$13,IF(GA129="PPP",Lookup!$N$14,IF(GA129="T",Lookup!$N$15,IF(GA129="TP",Lookup!$N$16,IF(GA129="TPP",Lookup!$N$17,IF(GA129="TPPP",Lookup!$N$18,0)))))))*FZ129</f>
        <v>0</v>
      </c>
      <c r="GS129" s="697">
        <f t="shared" si="377"/>
        <v>0</v>
      </c>
      <c r="GT129" s="712">
        <f t="shared" si="451"/>
        <v>1880.1830476162129</v>
      </c>
      <c r="GU129" s="712">
        <f t="shared" si="452"/>
        <v>612.83671695443707</v>
      </c>
      <c r="GV129" s="712"/>
      <c r="GW129" s="712">
        <f t="shared" si="453"/>
        <v>0</v>
      </c>
      <c r="GX129" s="712" t="str">
        <f t="shared" si="454"/>
        <v/>
      </c>
      <c r="GY129" s="712">
        <f>IF(GA129="P",Lookup!$N$12,IF(GA129="PP",Lookup!$N$13,IF(GA129="PPP",Lookup!$N$14,IF(GA129="T",Lookup!$N$15,IF(GA129="TP",Lookup!$N$16,IF(GA129="TPP",Lookup!$N$17,IF(GA129="TPPP",Lookup!$N$18,0)))))))*FZ129</f>
        <v>0</v>
      </c>
      <c r="GZ129" s="697">
        <f t="shared" si="378"/>
        <v>0</v>
      </c>
      <c r="HA129" s="712">
        <f t="shared" si="455"/>
        <v>1474.7140526307599</v>
      </c>
      <c r="HB129" s="712">
        <f t="shared" si="456"/>
        <v>480.67602758499339</v>
      </c>
      <c r="HC129" s="712"/>
    </row>
    <row r="130" spans="1:211">
      <c r="A130" s="773" t="s">
        <v>5</v>
      </c>
      <c r="B130" s="708">
        <v>40659</v>
      </c>
      <c r="C130" s="719">
        <v>0.5</v>
      </c>
      <c r="D130" s="675">
        <f t="shared" si="366"/>
        <v>300</v>
      </c>
      <c r="E130" s="675">
        <f t="shared" si="367"/>
        <v>250</v>
      </c>
      <c r="F130" s="710">
        <v>250</v>
      </c>
      <c r="G130" s="712">
        <f>DH130+Sheet1!CV130</f>
        <v>1412.9868885527999</v>
      </c>
      <c r="H130" s="712">
        <f t="shared" si="389"/>
        <v>646.39152476052982</v>
      </c>
      <c r="I130" s="711">
        <f>MAX(Sheet1!Z130-AJ130+(Sheet1!CW130-E130)*CFStoMGD,0)</f>
        <v>1226.5058440979956</v>
      </c>
      <c r="J130" s="720">
        <f>IF(AND(B130&gt;=Calculation!FS130,B130&lt;=Calculation!FT130),IF(Sheet1!CX130&gt;=Calculation!D130,64.64,0),MAX(Sheet1!Z130-AJ130+(Sheet1!CX130-D130)*CFStoMGD,0))</f>
        <v>64.64</v>
      </c>
      <c r="K130" s="697">
        <f t="shared" si="368"/>
        <v>64.64</v>
      </c>
      <c r="L130" s="712">
        <f>Sheet1!AA130+Sheet1!AB130-Sheet1!L130+(Sheet1!CW130-F130)*CFStoMGD</f>
        <v>1275.2060000000029</v>
      </c>
      <c r="M130" s="712">
        <f t="shared" si="390"/>
        <v>931.62181925574043</v>
      </c>
      <c r="N130" s="712">
        <f>IF(Sheet1!CW130&gt;=F130,MIN(73,MIN(MAX(L130,0),MAX(M130,0))),0)</f>
        <v>73</v>
      </c>
      <c r="O130" s="721">
        <f>Sheet1!AA130+Sheet1!AB130</f>
        <v>57.55000000000291</v>
      </c>
      <c r="P130" s="721">
        <f t="shared" si="391"/>
        <v>89.029850000004501</v>
      </c>
      <c r="Q130" s="712">
        <f>MIN(N130,Sheet1!AA130+AG130)</f>
        <v>47.620155902007369</v>
      </c>
      <c r="R130" s="712">
        <f t="shared" si="392"/>
        <v>9.9298440979955451</v>
      </c>
      <c r="S130" s="721">
        <f>Sheet1!Y130*MGDtoCFS</f>
        <v>46.224359999999997</v>
      </c>
      <c r="T130" s="721">
        <f>Sheet1!Z130*MGDtoCFS</f>
        <v>41.258490000000002</v>
      </c>
      <c r="U130" s="721">
        <f>Sheet1!AA130*MGDtoCFS</f>
        <v>46.100600000004498</v>
      </c>
      <c r="V130" s="721">
        <f>Sheet1!AB130*MGDtoCFS</f>
        <v>42.929249999999996</v>
      </c>
      <c r="W130" s="721">
        <f>Sheet1!L130*MGDtoCFS</f>
        <v>0</v>
      </c>
      <c r="X130" s="697">
        <f t="shared" si="369"/>
        <v>0</v>
      </c>
      <c r="Y130" s="712">
        <f t="shared" si="393"/>
        <v>0</v>
      </c>
      <c r="Z130" s="712">
        <f t="shared" si="394"/>
        <v>54.710155902004459</v>
      </c>
      <c r="AA130" s="712">
        <f t="shared" si="395"/>
        <v>84.636611180400891</v>
      </c>
      <c r="AB130" s="712">
        <f>(VLOOKUP(Sheet1!CY130,hhdcap_wcm,4)-(((VLOOKUP(Sheet1!CY130,hhdcap_wcm,3)-Sheet1!CY130)/(VLOOKUP(Sheet1!CY130,hhdcap_wcm,3)-VLOOKUP(Sheet1!CY130,hhdcap_wcm,1)))*(VLOOKUP(Sheet1!CY130,hhdcap_wcm,4)-VLOOKUP(Sheet1!CY130,hhdcap_wcm,2))))</f>
        <v>31088.420000076661</v>
      </c>
      <c r="AC130" s="712">
        <f t="shared" si="396"/>
        <v>122.92000000020198</v>
      </c>
      <c r="AD130" s="712">
        <f t="shared" si="370"/>
        <v>3360.347344885879</v>
      </c>
      <c r="AE130" s="712">
        <f t="shared" si="397"/>
        <v>10309.545654109877</v>
      </c>
      <c r="AF130" s="712">
        <f>Sheet1!BA130+Sheet1!BB130+Sheet1!BN130+BT130</f>
        <v>17.3</v>
      </c>
      <c r="AG130" s="712">
        <f t="shared" si="398"/>
        <v>17.820155902004455</v>
      </c>
      <c r="AH130" s="712">
        <f>Sheet1!BA130+BT130</f>
        <v>0</v>
      </c>
      <c r="AI130" s="712">
        <f>Sheet1!BA130+Sheet1!BB130+BT130</f>
        <v>0</v>
      </c>
      <c r="AJ130" s="712">
        <f>IF((Sheet1!AA130+AG130+AX130+AZ130+BQ130+BS130+CL130+CN130)&lt;=N130,AG130+AX130+AZ130+BQ130+BS130+CL130+CN130,N130-Sheet1!AA130)</f>
        <v>17.820155902004455</v>
      </c>
      <c r="AK130" s="712">
        <f>IF(DR130&lt;K130,0,MAX(Sheet1!AA130+AG130-15/36*K130-N130,Sheet1!ED130,0))</f>
        <v>0</v>
      </c>
      <c r="AL130" s="712">
        <f>IF(OR(B130&gt;=FT130,B130&lt;FS130),0,15/36*K130-MAX(0,64.6-(137.6-(Sheet1!AA130+Sheet1!AB130))))</f>
        <v>26.933333333333334</v>
      </c>
      <c r="AM130" s="712">
        <f>Sheet1!CX130-110</f>
        <v>1198.6458333333333</v>
      </c>
      <c r="AN130" s="712">
        <f>Sheet1!CW130-265</f>
        <v>1868.75</v>
      </c>
      <c r="AO130" s="712">
        <f t="shared" si="371"/>
        <v>25.379844097992631</v>
      </c>
      <c r="AP130" s="712">
        <f t="shared" si="372"/>
        <v>0</v>
      </c>
      <c r="AQ130" s="712">
        <f t="shared" si="399"/>
        <v>0</v>
      </c>
      <c r="AR130" s="712">
        <f t="shared" si="400"/>
        <v>1535.2</v>
      </c>
      <c r="AS130" s="712"/>
      <c r="AT130" s="712">
        <f ca="1">IF(B130&gt;Summary!$A$1,#N/A,AR130*MGtoAF)</f>
        <v>4709.9935999999998</v>
      </c>
      <c r="AU130" s="712">
        <f>Sheet1!BG130+Sheet1!BH130+Sheet1!BI130-BC130</f>
        <v>0</v>
      </c>
      <c r="AV130" s="712">
        <f t="shared" si="401"/>
        <v>0</v>
      </c>
      <c r="AW130" s="712">
        <f>IF(Sheet1!EL130="FM",BC130,0)</f>
        <v>0</v>
      </c>
      <c r="AX130" s="712">
        <f t="shared" si="402"/>
        <v>0</v>
      </c>
      <c r="AY130" s="712">
        <f>IF(Sheet1!EL130="OTHER",BC130,0)</f>
        <v>0</v>
      </c>
      <c r="AZ130" s="712">
        <f t="shared" si="403"/>
        <v>0</v>
      </c>
      <c r="BA130" s="712">
        <f t="shared" si="404"/>
        <v>0</v>
      </c>
      <c r="BB130" s="712">
        <f t="shared" si="405"/>
        <v>0</v>
      </c>
      <c r="BC130" s="712">
        <f>IF(OR(Sheet1!EL130="FM", Sheet1!EL130="OTHER"),SUM(Sheet1!BG130:'Sheet1'!BI130),0)</f>
        <v>0</v>
      </c>
      <c r="BD130" s="697">
        <f>IF(AND($B130&gt;=$FL130,$B130&lt;=$FM130),MAX(AV130,Sheet1!EE130,0),MAX(AV130-(7/36)*$K130,0))</f>
        <v>0</v>
      </c>
      <c r="BE130" s="712">
        <f t="shared" si="406"/>
        <v>12.568888888888889</v>
      </c>
      <c r="BF130" s="697">
        <f t="shared" si="373"/>
        <v>0</v>
      </c>
      <c r="BG130" s="697">
        <f>IF(AND($O130&gt;0,Sheet1!EI130=1),(1-($O130-Sheet1!$L130)/$O130)*BB130,0)</f>
        <v>0</v>
      </c>
      <c r="BH130" s="697">
        <f>IF(AND(Sheet1!$L130=0,Sheet1!$L129=0, Calculation!BA130&lt;Sheet1!$EE130-0.1,Sheet1!$EE130=Sheet1!$EE129,Sheet1!$EE130=Sheet1!$EE131),Sheet1!$EE130,BB130-BG130)</f>
        <v>0</v>
      </c>
      <c r="BI130" s="712"/>
      <c r="BJ130" s="712"/>
      <c r="BK130" s="712">
        <f t="shared" si="407"/>
        <v>716.42666666666582</v>
      </c>
      <c r="BL130" s="712"/>
      <c r="BM130" s="712">
        <f ca="1">IF(B130&gt;Summary!$A$1,#N/A,BK130*MGtoAF)</f>
        <v>2197.9970133333309</v>
      </c>
      <c r="BN130" s="712">
        <f>Sheet1!BC130+Sheet1!BD130+Sheet1!BE130+Sheet1!BF130-BW130-BX130</f>
        <v>3.5900000000000003</v>
      </c>
      <c r="BO130" s="712">
        <f t="shared" si="408"/>
        <v>3.6979398663697105</v>
      </c>
      <c r="BP130" s="712">
        <f>IF(Sheet1!EM130="FM",BX130,0)</f>
        <v>0</v>
      </c>
      <c r="BQ130" s="712">
        <f t="shared" si="409"/>
        <v>0</v>
      </c>
      <c r="BR130" s="712">
        <f>IF(Sheet1!EM130="OTHER",BX130,0)</f>
        <v>0</v>
      </c>
      <c r="BS130" s="712">
        <f t="shared" si="410"/>
        <v>0</v>
      </c>
      <c r="BT130" s="712">
        <f t="shared" si="411"/>
        <v>0</v>
      </c>
      <c r="BU130" s="712">
        <f t="shared" si="412"/>
        <v>3.5900000000000003</v>
      </c>
      <c r="BV130" s="712">
        <f t="shared" si="413"/>
        <v>3.6979398663697105</v>
      </c>
      <c r="BW130" s="712">
        <f>IF(Sheet1!EM130="CWA",SUM(Sheet1!BC130:'Sheet1'!BF130),0)</f>
        <v>0</v>
      </c>
      <c r="BX130" s="712">
        <f>IF(OR(Sheet1!EM130="FM", Sheet1!EM130="OTHER"),SUM(Sheet1!BC130:'Sheet1'!BF130),0)</f>
        <v>0</v>
      </c>
      <c r="BY130" s="697">
        <f>IF(AND($B130&gt;=$FL130,$B130&lt;=$FM130),MAX(BV130,Sheet1!EF130,0),MAX(BV130-(7/36)*$K130,0))</f>
        <v>0</v>
      </c>
      <c r="BZ130" s="712">
        <f t="shared" si="414"/>
        <v>8.8709490225191789</v>
      </c>
      <c r="CA130" s="697">
        <f t="shared" si="374"/>
        <v>3.6979398663697105</v>
      </c>
      <c r="CB130" s="697">
        <f>IF(AND($O130&gt;0,Sheet1!EJ130=1),(1-($O130-Sheet1!$L130)/$O130)*BV130,0)</f>
        <v>0</v>
      </c>
      <c r="CC130" s="697">
        <f>IF(AND(Sheet1!$L130=0,Sheet1!$L129=0, Calculation!BU130&lt;Sheet1!EF130-0.1,Sheet1!EF130=Sheet1!EF129,Sheet1!EF130=Sheet1!EF131),Sheet1!EF130,BV130-CB130)</f>
        <v>3.6979398663697105</v>
      </c>
      <c r="CD130" s="697"/>
      <c r="CE130" s="712"/>
      <c r="CF130" s="712">
        <f t="shared" si="415"/>
        <v>621.70766597695626</v>
      </c>
      <c r="CG130" s="712"/>
      <c r="CH130" s="712">
        <f ca="1">IF(B130&gt;Summary!$A$1,#N/A,CF130*MGtoAF)</f>
        <v>1907.3991192173019</v>
      </c>
      <c r="CI130" s="712">
        <f>Sheet1!BK130+Sheet1!BL130+Sheet1!BM130-Sheet1!EN130-CQ130</f>
        <v>6.05</v>
      </c>
      <c r="CJ130" s="712">
        <f t="shared" si="416"/>
        <v>6.2319042316258351</v>
      </c>
      <c r="CK130" s="712">
        <f>IF(Sheet1!EN130="FM",CQ130,0)</f>
        <v>0</v>
      </c>
      <c r="CL130" s="712">
        <f t="shared" si="417"/>
        <v>0</v>
      </c>
      <c r="CM130" s="712">
        <f>IF(Sheet1!EN130="OTHER",CQ130,0)</f>
        <v>0</v>
      </c>
      <c r="CN130" s="712">
        <f t="shared" si="418"/>
        <v>0</v>
      </c>
      <c r="CO130" s="712">
        <f t="shared" si="419"/>
        <v>6.05</v>
      </c>
      <c r="CP130" s="712">
        <f t="shared" si="420"/>
        <v>6.2319042316258351</v>
      </c>
      <c r="CQ130" s="712">
        <f>IF(OR(Sheet1!EN130="FM", Sheet1!EN130="OTHER"),SUM(Sheet1!BK130:'Sheet1'!BM130),0)</f>
        <v>0</v>
      </c>
      <c r="CR130" s="697">
        <f>IF(AND($B130&gt;=$FL130,$B130&lt;=$FM130),MAX($CJ130,Sheet1!EG130,0),MAX($CJ130-(7/36)*$K130,0))</f>
        <v>0</v>
      </c>
      <c r="CS130" s="712">
        <f t="shared" si="421"/>
        <v>6.3369846572630539</v>
      </c>
      <c r="CT130" s="697">
        <f t="shared" si="375"/>
        <v>6.2319042316258351</v>
      </c>
      <c r="CU130" s="697">
        <f>IF(AND($O130&gt;0,Sheet1!EK130=1),(1-($O130-Sheet1!$L130)/$O130)*CP130,0)</f>
        <v>0</v>
      </c>
      <c r="CV130" s="697">
        <f>IF(AND(Sheet1!$L130=0,Sheet1!$L129=0, Calculation!CO130&lt;Sheet1!$EG130-0.1,Sheet1!$EG130=Sheet1!$EG129,Sheet1!$EG130=Sheet1!$EG131),Sheet1!$EG130,CP130-CU130)</f>
        <v>6.2319042316258351</v>
      </c>
      <c r="CW130" s="697">
        <f t="shared" si="362"/>
        <v>0</v>
      </c>
      <c r="CX130" s="712">
        <f t="shared" si="379"/>
        <v>9.64</v>
      </c>
      <c r="CY130" s="712">
        <f t="shared" si="422"/>
        <v>487.01301224225642</v>
      </c>
      <c r="CZ130" s="712">
        <f t="shared" si="423"/>
        <v>9.9298440979955451</v>
      </c>
      <c r="DA130" s="712">
        <f ca="1">IF(B130&gt;Summary!$A$1,#N/A,CY130*MGtoAF)</f>
        <v>1494.1559215592426</v>
      </c>
      <c r="DB130" s="712">
        <f t="shared" si="424"/>
        <v>9.64</v>
      </c>
      <c r="DC130" s="712">
        <f t="shared" si="425"/>
        <v>26.94</v>
      </c>
      <c r="DD130" s="712">
        <f>Sheet1!AB130-DC130</f>
        <v>0.80999999999999872</v>
      </c>
      <c r="DE130" s="712">
        <f t="shared" si="426"/>
        <v>3.0066815144766099E-2</v>
      </c>
      <c r="DF130" s="712">
        <f>(VLOOKUP(Sheet1!CY130,hhdcap_wcm,4)-(((VLOOKUP(Sheet1!CY130,hhdcap_wcm,3)-Sheet1!CY130)/(VLOOKUP(Sheet1!CY130,hhdcap_wcm,3)-VLOOKUP(Sheet1!CY130,hhdcap_wcm,1)))*(VLOOKUP(Sheet1!CY130,hhdcap_wcm,4)-VLOOKUP(Sheet1!CY130,hhdcap_wcm,2))))</f>
        <v>31088.420000076661</v>
      </c>
      <c r="DG130" s="712">
        <f t="shared" si="427"/>
        <v>122.92000000020198</v>
      </c>
      <c r="DH130" s="712">
        <f t="shared" si="428"/>
        <v>61.986888552799783</v>
      </c>
      <c r="DI130" s="712">
        <f>Sheet1!DW130*AFtoMG</f>
        <v>0</v>
      </c>
      <c r="DJ130" s="712">
        <f>Sheet1!DX130*AFtoMG</f>
        <v>0</v>
      </c>
      <c r="DK130" s="712">
        <f>Sheet1!DY130*AFtoMG</f>
        <v>0</v>
      </c>
      <c r="DL130" s="712">
        <f>Sheet1!DZ130*AFtoMG</f>
        <v>0</v>
      </c>
      <c r="DM130" s="712">
        <f t="shared" si="429"/>
        <v>0</v>
      </c>
      <c r="DN130" s="712">
        <f t="shared" si="430"/>
        <v>0</v>
      </c>
      <c r="DO130" s="712">
        <f t="shared" si="431"/>
        <v>3360.347344885879</v>
      </c>
      <c r="DP130" s="712">
        <f t="shared" si="432"/>
        <v>10309.545654109877</v>
      </c>
      <c r="DQ130" s="712"/>
      <c r="DR130" s="697">
        <f>IF(OR(B130&lt;FL130,B130&gt;FM130),(MIN(AV130+BO130+CJ130+MAX(Sheet1!AA130+AG130-73,0),K130)),0)</f>
        <v>9.9298440979955451</v>
      </c>
      <c r="DS130" s="712"/>
      <c r="DT130" s="712">
        <f t="shared" si="433"/>
        <v>9.9298440979955451</v>
      </c>
      <c r="DU130" s="712"/>
      <c r="DV130" s="712">
        <f>Sheet1!ED130+Sheet1!EE130+Sheet1!EF130+Sheet1!EG130</f>
        <v>9.5</v>
      </c>
      <c r="DW130" s="712"/>
      <c r="DX130" s="697">
        <f t="shared" si="376"/>
        <v>0</v>
      </c>
      <c r="DY130" s="712">
        <f>IF(Sheet1!FN130=1,SUM('Calculations II'!AT130:BA130)+'Calculations II'!BC130+Sheet1!BU130+'Calculations II'!BE130+AF130,SUM('Calculations II'!AT130:BA130)+'Calculations II'!BC130+Sheet1!BU130+'Calculations II'!BE130+AF130)</f>
        <v>44.659280000000003</v>
      </c>
      <c r="DZ130" s="712">
        <f>Sheet1!AA130+Sheet1!AB130+'Calculations II'!BC130</f>
        <v>60.140848000002912</v>
      </c>
      <c r="EA130" s="712"/>
      <c r="EB130" s="712"/>
      <c r="EC130" s="712">
        <f t="shared" si="434"/>
        <v>40659</v>
      </c>
      <c r="ED130" s="712">
        <f t="shared" si="435"/>
        <v>54.710155902004459</v>
      </c>
      <c r="EE130" s="712">
        <f t="shared" si="436"/>
        <v>84.636611180400891</v>
      </c>
      <c r="EF130" s="712">
        <f>-(VLOOKUP(Sheet1!BQ130,Lookup!$B$4:$J$236,2)-VLOOKUP(Sheet1!BQ129,Lookup!$B$4:$J$236,2))/1000000</f>
        <v>-2.1644999999999999</v>
      </c>
      <c r="EG130" s="712">
        <f>-(VLOOKUP(Sheet1!BR130,Lookup!$B$4:$J$236,3)-VLOOKUP(Sheet1!BR129,Lookup!$B$4:$J$236,3))/1000000</f>
        <v>-2.16</v>
      </c>
      <c r="EH130" s="712">
        <f>-(VLOOKUP(Sheet1!BS130,Lookup!$B$4:$J$236,4)-VLOOKUP(Sheet1!BS129,Lookup!$B$4:$J$236,4))/1000000</f>
        <v>0</v>
      </c>
      <c r="EI130" s="697">
        <f t="shared" si="380"/>
        <v>-4.3245000000000005</v>
      </c>
      <c r="EJ130" s="712"/>
      <c r="EK130" s="712"/>
      <c r="EL130" s="712"/>
      <c r="EM130" s="712"/>
      <c r="EN130" s="712"/>
      <c r="EO130" s="712"/>
      <c r="EP130" s="712"/>
      <c r="EQ130" s="712"/>
      <c r="ER130" s="697">
        <v>0</v>
      </c>
      <c r="ES130" s="712"/>
      <c r="ET130" s="794" t="e">
        <f t="shared" si="437"/>
        <v>#N/A</v>
      </c>
      <c r="EU130" s="794" t="e">
        <f t="shared" si="363"/>
        <v>#VALUE!</v>
      </c>
      <c r="EV130" s="795" t="e">
        <f t="shared" si="364"/>
        <v>#VALUE!</v>
      </c>
      <c r="EW130" s="796" t="s">
        <v>757</v>
      </c>
      <c r="EX130" s="796" t="s">
        <v>757</v>
      </c>
      <c r="EY130" s="794">
        <v>0</v>
      </c>
      <c r="EZ130" s="794" t="e">
        <v>#N/A</v>
      </c>
      <c r="FA130" s="712"/>
      <c r="FB130" s="712"/>
      <c r="FC130" s="712"/>
      <c r="FD130" s="712"/>
      <c r="FE130" s="712">
        <f>O130+Sheet1!CO130</f>
        <v>1856.750000000003</v>
      </c>
      <c r="FF130" s="712">
        <f>IF(Sheet1!AA130+AG130&lt;=Calculation!N130,AG130,Calculation!N130-Sheet1!AA130)</f>
        <v>17.820155902004455</v>
      </c>
      <c r="FG130" s="712">
        <f>(Sheet1!BP130+Sheet1!BO130)/694.4</f>
        <v>1.7705933179723503</v>
      </c>
      <c r="FH130" s="712"/>
      <c r="FI130" s="712"/>
      <c r="FJ130" s="712"/>
      <c r="FK130" s="712"/>
      <c r="FL130" s="714">
        <f t="shared" si="381"/>
        <v>40753</v>
      </c>
      <c r="FM130" s="714">
        <f t="shared" si="382"/>
        <v>40851</v>
      </c>
      <c r="FN130" s="712"/>
      <c r="FO130" s="712"/>
      <c r="FP130" s="712"/>
      <c r="FQ130" s="712"/>
      <c r="FR130" s="712"/>
      <c r="FS130" s="725">
        <f t="shared" si="383"/>
        <v>40603</v>
      </c>
      <c r="FT130" s="714">
        <f t="shared" si="384"/>
        <v>40709</v>
      </c>
      <c r="FU130" s="712">
        <f t="shared" si="385"/>
        <v>6518.9048239895692</v>
      </c>
      <c r="FV130" s="714">
        <f t="shared" si="386"/>
        <v>40722</v>
      </c>
      <c r="FW130" s="712">
        <f t="shared" si="387"/>
        <v>3259.4524119947846</v>
      </c>
      <c r="FX130" s="725">
        <f t="shared" si="388"/>
        <v>40851</v>
      </c>
      <c r="FZ130" s="697">
        <f t="shared" si="365"/>
        <v>0</v>
      </c>
      <c r="GA130" s="712" t="str">
        <f t="shared" si="438"/>
        <v/>
      </c>
      <c r="GB130" s="712">
        <f t="shared" si="439"/>
        <v>0</v>
      </c>
      <c r="GC130" s="712" t="str">
        <f t="shared" si="440"/>
        <v/>
      </c>
      <c r="GD130" s="712">
        <f>IF(GA130="P",Lookup!$M$12,IF(GA130="PP",Lookup!$M$13,IF(GA130="PPP",Lookup!$M$14,IF(GA130="T",Lookup!$M$15,IF(GA130="TP",Lookup!$M$16,IF(GA130="TPP",Lookup!$M$17,IF(GA130="TPPP",Lookup!$M$18,0)))))))*FZ130</f>
        <v>0</v>
      </c>
      <c r="GE130" s="712">
        <f t="shared" si="441"/>
        <v>0</v>
      </c>
      <c r="GF130" s="712">
        <f t="shared" si="442"/>
        <v>4709.9935999999998</v>
      </c>
      <c r="GG130" s="712">
        <f t="shared" si="443"/>
        <v>1535.2</v>
      </c>
      <c r="GH130" s="712"/>
      <c r="GI130" s="712">
        <f t="shared" si="444"/>
        <v>0</v>
      </c>
      <c r="GJ130" s="712" t="str">
        <f t="shared" si="445"/>
        <v/>
      </c>
      <c r="GK130" s="712">
        <f>IF(GA130="P",Lookup!$N$12,IF(GA130="PP",Lookup!$N$13,IF(GA130="PPP",Lookup!$N$14,IF(GA130="T",Lookup!$N$15,IF(GA130="TP",Lookup!$N$16,IF(GA130="TPP",Lookup!$N$17,IF(GA130="TPPP",Lookup!$N$18,0)))))))*FZ130</f>
        <v>0</v>
      </c>
      <c r="GL130" s="712">
        <f t="shared" si="446"/>
        <v>0</v>
      </c>
      <c r="GM130" s="712">
        <f t="shared" si="447"/>
        <v>2197.9970133333309</v>
      </c>
      <c r="GN130" s="712">
        <f t="shared" si="448"/>
        <v>716.42666666666582</v>
      </c>
      <c r="GO130" s="712"/>
      <c r="GP130" s="712">
        <f t="shared" si="449"/>
        <v>0</v>
      </c>
      <c r="GQ130" s="712" t="str">
        <f t="shared" si="450"/>
        <v/>
      </c>
      <c r="GR130" s="712">
        <f>IF(GA130="P",Lookup!$N$12,IF(GA130="PP",Lookup!$N$13,IF(GA130="PPP",Lookup!$N$14,IF(GA130="T",Lookup!$N$15,IF(GA130="TP",Lookup!$N$16,IF(GA130="TPP",Lookup!$N$17,IF(GA130="TPPP",Lookup!$N$18,0)))))))*FZ130</f>
        <v>0</v>
      </c>
      <c r="GS130" s="697">
        <f t="shared" si="377"/>
        <v>0</v>
      </c>
      <c r="GT130" s="712">
        <f t="shared" si="451"/>
        <v>1907.3991192173019</v>
      </c>
      <c r="GU130" s="712">
        <f t="shared" si="452"/>
        <v>621.70766597695626</v>
      </c>
      <c r="GV130" s="712"/>
      <c r="GW130" s="712">
        <f t="shared" si="453"/>
        <v>0</v>
      </c>
      <c r="GX130" s="712" t="str">
        <f t="shared" si="454"/>
        <v/>
      </c>
      <c r="GY130" s="712">
        <f>IF(GA130="P",Lookup!$N$12,IF(GA130="PP",Lookup!$N$13,IF(GA130="PPP",Lookup!$N$14,IF(GA130="T",Lookup!$N$15,IF(GA130="TP",Lookup!$N$16,IF(GA130="TPP",Lookup!$N$17,IF(GA130="TPPP",Lookup!$N$18,0)))))))*FZ130</f>
        <v>0</v>
      </c>
      <c r="GZ130" s="697">
        <f t="shared" si="378"/>
        <v>0</v>
      </c>
      <c r="HA130" s="712">
        <f t="shared" si="455"/>
        <v>1494.1559215592426</v>
      </c>
      <c r="HB130" s="712">
        <f t="shared" si="456"/>
        <v>487.01301224225642</v>
      </c>
      <c r="HC130" s="712"/>
    </row>
    <row r="131" spans="1:211">
      <c r="A131" s="773" t="s">
        <v>6</v>
      </c>
      <c r="B131" s="708">
        <v>40660</v>
      </c>
      <c r="C131" s="719">
        <v>0.5</v>
      </c>
      <c r="D131" s="675">
        <f t="shared" si="366"/>
        <v>300</v>
      </c>
      <c r="E131" s="675">
        <f t="shared" si="367"/>
        <v>250</v>
      </c>
      <c r="F131" s="675">
        <v>250</v>
      </c>
      <c r="G131" s="712">
        <f>DH131+Sheet1!CV131</f>
        <v>1530.1739788206876</v>
      </c>
      <c r="H131" s="712">
        <f t="shared" si="389"/>
        <v>722.14125990969239</v>
      </c>
      <c r="I131" s="711">
        <f>MAX(Sheet1!Z131-AJ131+(Sheet1!CW131-E131)*CFStoMGD,0)</f>
        <v>1180.307502202643</v>
      </c>
      <c r="J131" s="720">
        <f>IF(AND(B131&gt;=Calculation!FS131,B131&lt;=Calculation!FT131),IF(Sheet1!CX131&gt;=Calculation!D131,64.64,0),MAX(Sheet1!Z131-AJ131+(Sheet1!CX131-D131)*CFStoMGD,0))</f>
        <v>64.64</v>
      </c>
      <c r="K131" s="697">
        <f t="shared" si="368"/>
        <v>64.64</v>
      </c>
      <c r="L131" s="712">
        <f>Sheet1!AA131+Sheet1!AB131-Sheet1!L131+(Sheet1!CW131-F131)*CFStoMGD</f>
        <v>1228.443999999997</v>
      </c>
      <c r="M131" s="712">
        <f t="shared" si="390"/>
        <v>1008.8865491078864</v>
      </c>
      <c r="N131" s="712">
        <f>IF(Sheet1!CW131&gt;=F131,MIN(73,MIN(MAX(L131,0),MAX(M131,0))),0)</f>
        <v>73</v>
      </c>
      <c r="O131" s="721">
        <f>Sheet1!AA131+Sheet1!AB131</f>
        <v>57.44999999999709</v>
      </c>
      <c r="P131" s="721">
        <f t="shared" si="391"/>
        <v>88.8751499999955</v>
      </c>
      <c r="Q131" s="712">
        <f>MIN(N131,Sheet1!AA131+AG131)</f>
        <v>47.906497797353921</v>
      </c>
      <c r="R131" s="712">
        <f t="shared" si="392"/>
        <v>9.5435022026431717</v>
      </c>
      <c r="S131" s="721">
        <f>Sheet1!Y131*MGDtoCFS</f>
        <v>46.162479999999995</v>
      </c>
      <c r="T131" s="721">
        <f>Sheet1!Z131*MGDtoCFS</f>
        <v>41.799939999999999</v>
      </c>
      <c r="U131" s="721">
        <f>Sheet1!AA131*MGDtoCFS</f>
        <v>46.719399999995495</v>
      </c>
      <c r="V131" s="721">
        <f>Sheet1!AB131*MGDtoCFS</f>
        <v>42.155749999999998</v>
      </c>
      <c r="W131" s="721">
        <f>Sheet1!L131*MGDtoCFS</f>
        <v>0</v>
      </c>
      <c r="X131" s="697">
        <f t="shared" si="369"/>
        <v>0</v>
      </c>
      <c r="Y131" s="712">
        <f t="shared" si="393"/>
        <v>0</v>
      </c>
      <c r="Z131" s="712">
        <f t="shared" si="394"/>
        <v>55.096497797356832</v>
      </c>
      <c r="AA131" s="712">
        <f t="shared" si="395"/>
        <v>85.234282092511009</v>
      </c>
      <c r="AB131" s="712">
        <f>(VLOOKUP(Sheet1!CY131,hhdcap_wcm,4)-(((VLOOKUP(Sheet1!CY131,hhdcap_wcm,3)-Sheet1!CY131)/(VLOOKUP(Sheet1!CY131,hhdcap_wcm,3)-VLOOKUP(Sheet1!CY131,hhdcap_wcm,1)))*(VLOOKUP(Sheet1!CY131,hhdcap_wcm,4)-VLOOKUP(Sheet1!CY131,hhdcap_wcm,2))))</f>
        <v>31336.640000078085</v>
      </c>
      <c r="AC131" s="712">
        <f t="shared" si="396"/>
        <v>248.22000000142361</v>
      </c>
      <c r="AD131" s="712">
        <f t="shared" si="370"/>
        <v>3415.4438426832353</v>
      </c>
      <c r="AE131" s="712">
        <f t="shared" si="397"/>
        <v>10478.581709352165</v>
      </c>
      <c r="AF131" s="712">
        <f>Sheet1!BA131+Sheet1!BB131+Sheet1!BN131+BT131</f>
        <v>17.7</v>
      </c>
      <c r="AG131" s="712">
        <f t="shared" si="398"/>
        <v>17.706497797356828</v>
      </c>
      <c r="AH131" s="712">
        <f>Sheet1!BA131+BT131</f>
        <v>0</v>
      </c>
      <c r="AI131" s="712">
        <f>Sheet1!BA131+Sheet1!BB131+BT131</f>
        <v>0</v>
      </c>
      <c r="AJ131" s="712">
        <f>IF((Sheet1!AA131+AG131+AX131+AZ131+BQ131+BS131+CL131+CN131)&lt;=N131,AG131+AX131+AZ131+BQ131+BS131+CL131+CN131,N131-Sheet1!AA131)</f>
        <v>17.706497797356828</v>
      </c>
      <c r="AK131" s="712">
        <f>IF(DR131&lt;K131,0,MAX(Sheet1!AA131+AG131-15/36*K131-N131,Sheet1!ED131,0))</f>
        <v>0</v>
      </c>
      <c r="AL131" s="712">
        <f>IF(OR(B131&gt;=FT131,B131&lt;FS131),0,15/36*K131-MAX(0,64.6-(137.6-(Sheet1!AA131+Sheet1!AB131))))</f>
        <v>26.933333333333334</v>
      </c>
      <c r="AM131" s="712">
        <f>Sheet1!CX131-110</f>
        <v>1271.6666666666667</v>
      </c>
      <c r="AN131" s="712">
        <f>Sheet1!CW131-265</f>
        <v>1796.5625</v>
      </c>
      <c r="AO131" s="712">
        <f t="shared" si="371"/>
        <v>25.093502202646079</v>
      </c>
      <c r="AP131" s="712">
        <f t="shared" si="372"/>
        <v>0</v>
      </c>
      <c r="AQ131" s="712">
        <f t="shared" si="399"/>
        <v>0</v>
      </c>
      <c r="AR131" s="712">
        <f t="shared" si="400"/>
        <v>1562.1333333333334</v>
      </c>
      <c r="AS131" s="712"/>
      <c r="AT131" s="712">
        <f ca="1">IF(B131&gt;Summary!$A$1,#N/A,AR131*MGtoAF)</f>
        <v>4792.6250666666674</v>
      </c>
      <c r="AU131" s="712">
        <f>Sheet1!BG131+Sheet1!BH131+Sheet1!BI131-BC131</f>
        <v>0</v>
      </c>
      <c r="AV131" s="712">
        <f t="shared" si="401"/>
        <v>0</v>
      </c>
      <c r="AW131" s="712">
        <f>IF(Sheet1!EL131="FM",BC131,0)</f>
        <v>0</v>
      </c>
      <c r="AX131" s="712">
        <f t="shared" si="402"/>
        <v>0</v>
      </c>
      <c r="AY131" s="712">
        <f>IF(Sheet1!EL131="OTHER",BC131,0)</f>
        <v>0</v>
      </c>
      <c r="AZ131" s="712">
        <f t="shared" si="403"/>
        <v>0</v>
      </c>
      <c r="BA131" s="712">
        <f t="shared" si="404"/>
        <v>0</v>
      </c>
      <c r="BB131" s="712">
        <f t="shared" si="405"/>
        <v>0</v>
      </c>
      <c r="BC131" s="712">
        <f>IF(OR(Sheet1!EL131="FM", Sheet1!EL131="OTHER"),SUM(Sheet1!BG131:'Sheet1'!BI131),0)</f>
        <v>0</v>
      </c>
      <c r="BD131" s="697">
        <f>IF(AND($B131&gt;=$FL131,$B131&lt;=$FM131),MAX(AV131,Sheet1!EE131,0),MAX(AV131-(7/36)*$K131,0))</f>
        <v>0</v>
      </c>
      <c r="BE131" s="712">
        <f t="shared" si="406"/>
        <v>12.568888888888889</v>
      </c>
      <c r="BF131" s="697">
        <f t="shared" si="373"/>
        <v>0</v>
      </c>
      <c r="BG131" s="697">
        <f>IF(AND($O131&gt;0,Sheet1!EI131=1),(1-($O131-Sheet1!$L131)/$O131)*BB131,0)</f>
        <v>0</v>
      </c>
      <c r="BH131" s="697">
        <f>IF(AND(Sheet1!$L131=0,Sheet1!$L130=0, Calculation!BA131&lt;Sheet1!$EE131-0.1,Sheet1!$EE131=Sheet1!$EE130,Sheet1!$EE131=Sheet1!$EE132),Sheet1!$EE131,BB131-BG131)</f>
        <v>0</v>
      </c>
      <c r="BI131" s="712"/>
      <c r="BJ131" s="712"/>
      <c r="BK131" s="712">
        <f t="shared" si="407"/>
        <v>728.99555555555469</v>
      </c>
      <c r="BL131" s="712"/>
      <c r="BM131" s="712">
        <f ca="1">IF(B131&gt;Summary!$A$1,#N/A,BK131*MGtoAF)</f>
        <v>2236.5583644444418</v>
      </c>
      <c r="BN131" s="712">
        <f>Sheet1!BC131+Sheet1!BD131+Sheet1!BE131+Sheet1!BF131-BW131-BX131</f>
        <v>3.5300000000000002</v>
      </c>
      <c r="BO131" s="712">
        <f t="shared" si="408"/>
        <v>3.5312958883994132</v>
      </c>
      <c r="BP131" s="712">
        <f>IF(Sheet1!EM131="FM",BX131,0)</f>
        <v>0</v>
      </c>
      <c r="BQ131" s="712">
        <f t="shared" si="409"/>
        <v>0</v>
      </c>
      <c r="BR131" s="712">
        <f>IF(Sheet1!EM131="OTHER",BX131,0)</f>
        <v>0</v>
      </c>
      <c r="BS131" s="712">
        <f t="shared" si="410"/>
        <v>0</v>
      </c>
      <c r="BT131" s="712">
        <f t="shared" si="411"/>
        <v>0</v>
      </c>
      <c r="BU131" s="712">
        <f t="shared" si="412"/>
        <v>3.5300000000000002</v>
      </c>
      <c r="BV131" s="712">
        <f t="shared" si="413"/>
        <v>3.5312958883994132</v>
      </c>
      <c r="BW131" s="712">
        <f>IF(Sheet1!EM131="CWA",SUM(Sheet1!BC131:'Sheet1'!BF131),0)</f>
        <v>0</v>
      </c>
      <c r="BX131" s="712">
        <f>IF(OR(Sheet1!EM131="FM", Sheet1!EM131="OTHER"),SUM(Sheet1!BC131:'Sheet1'!BF131),0)</f>
        <v>0</v>
      </c>
      <c r="BY131" s="697">
        <f>IF(AND($B131&gt;=$FL131,$B131&lt;=$FM131),MAX(BV131,Sheet1!EF131,0),MAX(BV131-(7/36)*$K131,0))</f>
        <v>0</v>
      </c>
      <c r="BZ131" s="712">
        <f t="shared" si="414"/>
        <v>9.0375930004894762</v>
      </c>
      <c r="CA131" s="697">
        <f t="shared" si="374"/>
        <v>3.5312958883994132</v>
      </c>
      <c r="CB131" s="697">
        <f>IF(AND($O131&gt;0,Sheet1!EJ131=1),(1-($O131-Sheet1!$L131)/$O131)*BV131,0)</f>
        <v>0</v>
      </c>
      <c r="CC131" s="697">
        <f>IF(AND(Sheet1!$L131=0,Sheet1!$L130=0, Calculation!BU131&lt;Sheet1!EF131-0.1,Sheet1!EF131=Sheet1!EF130,Sheet1!EF131=Sheet1!EF132),Sheet1!EF131,BV131-CB131)</f>
        <v>3.5312958883994132</v>
      </c>
      <c r="CD131" s="697"/>
      <c r="CE131" s="712"/>
      <c r="CF131" s="712">
        <f t="shared" si="415"/>
        <v>630.7452589774457</v>
      </c>
      <c r="CG131" s="712"/>
      <c r="CH131" s="712">
        <f ca="1">IF(B131&gt;Summary!$A$1,#N/A,CF131*MGtoAF)</f>
        <v>1935.1264545428035</v>
      </c>
      <c r="CI131" s="712">
        <f>Sheet1!BK131+Sheet1!BL131+Sheet1!BM131-Sheet1!EN131-CQ131</f>
        <v>6.01</v>
      </c>
      <c r="CJ131" s="712">
        <f t="shared" si="416"/>
        <v>6.012206314243759</v>
      </c>
      <c r="CK131" s="712">
        <f>IF(Sheet1!EN131="FM",CQ131,0)</f>
        <v>0</v>
      </c>
      <c r="CL131" s="712">
        <f t="shared" si="417"/>
        <v>0</v>
      </c>
      <c r="CM131" s="712">
        <f>IF(Sheet1!EN131="OTHER",CQ131,0)</f>
        <v>0</v>
      </c>
      <c r="CN131" s="712">
        <f t="shared" si="418"/>
        <v>0</v>
      </c>
      <c r="CO131" s="712">
        <f t="shared" si="419"/>
        <v>6.01</v>
      </c>
      <c r="CP131" s="712">
        <f t="shared" si="420"/>
        <v>6.012206314243759</v>
      </c>
      <c r="CQ131" s="712">
        <f>IF(OR(Sheet1!EN131="FM", Sheet1!EN131="OTHER"),SUM(Sheet1!BK131:'Sheet1'!BM131),0)</f>
        <v>0</v>
      </c>
      <c r="CR131" s="697">
        <f>IF(AND($B131&gt;=$FL131,$B131&lt;=$FM131),MAX($CJ131,Sheet1!EG131,0),MAX($CJ131-(7/36)*$K131,0))</f>
        <v>0</v>
      </c>
      <c r="CS131" s="712">
        <f t="shared" si="421"/>
        <v>6.55668257464513</v>
      </c>
      <c r="CT131" s="697">
        <f t="shared" si="375"/>
        <v>6.012206314243759</v>
      </c>
      <c r="CU131" s="697">
        <f>IF(AND($O131&gt;0,Sheet1!EK131=1),(1-($O131-Sheet1!$L131)/$O131)*CP131,0)</f>
        <v>0</v>
      </c>
      <c r="CV131" s="697">
        <f>IF(AND(Sheet1!$L131=0,Sheet1!$L130=0, Calculation!CO131&lt;Sheet1!$EG131-0.1,Sheet1!$EG131=Sheet1!$EG130,Sheet1!$EG131=Sheet1!$EG132),Sheet1!$EG131,CP131-CU131)</f>
        <v>6.012206314243759</v>
      </c>
      <c r="CW131" s="697">
        <f t="shared" si="362"/>
        <v>0</v>
      </c>
      <c r="CX131" s="712">
        <f t="shared" si="379"/>
        <v>9.5399999999999991</v>
      </c>
      <c r="CY131" s="712">
        <f t="shared" si="422"/>
        <v>493.56969481690157</v>
      </c>
      <c r="CZ131" s="712">
        <f t="shared" si="423"/>
        <v>9.5435022026431717</v>
      </c>
      <c r="DA131" s="712">
        <f ca="1">IF(B131&gt;Summary!$A$1,#N/A,CY131*MGtoAF)</f>
        <v>1514.2718236982541</v>
      </c>
      <c r="DB131" s="712">
        <f t="shared" si="424"/>
        <v>9.5399999999999991</v>
      </c>
      <c r="DC131" s="712">
        <f t="shared" si="425"/>
        <v>27.24</v>
      </c>
      <c r="DD131" s="712">
        <f>Sheet1!AB131-DC131</f>
        <v>1.0000000000001563E-2</v>
      </c>
      <c r="DE131" s="712">
        <f t="shared" si="426"/>
        <v>3.6710719530108529E-4</v>
      </c>
      <c r="DF131" s="712">
        <f>(VLOOKUP(Sheet1!CY131,hhdcap_wcm,4)-(((VLOOKUP(Sheet1!CY131,hhdcap_wcm,3)-Sheet1!CY131)/(VLOOKUP(Sheet1!CY131,hhdcap_wcm,3)-VLOOKUP(Sheet1!CY131,hhdcap_wcm,1)))*(VLOOKUP(Sheet1!CY131,hhdcap_wcm,4)-VLOOKUP(Sheet1!CY131,hhdcap_wcm,2))))</f>
        <v>31336.640000078085</v>
      </c>
      <c r="DG131" s="712">
        <f t="shared" si="427"/>
        <v>248.22000000142361</v>
      </c>
      <c r="DH131" s="712">
        <f t="shared" si="428"/>
        <v>125.17397882068764</v>
      </c>
      <c r="DI131" s="712">
        <f>Sheet1!DW131*AFtoMG</f>
        <v>0</v>
      </c>
      <c r="DJ131" s="712">
        <f>Sheet1!DX131*AFtoMG</f>
        <v>0</v>
      </c>
      <c r="DK131" s="712">
        <f>Sheet1!DY131*AFtoMG</f>
        <v>0</v>
      </c>
      <c r="DL131" s="712">
        <f>Sheet1!DZ131*AFtoMG</f>
        <v>0</v>
      </c>
      <c r="DM131" s="712">
        <f t="shared" si="429"/>
        <v>0</v>
      </c>
      <c r="DN131" s="712">
        <f t="shared" si="430"/>
        <v>0</v>
      </c>
      <c r="DO131" s="712">
        <f t="shared" si="431"/>
        <v>3415.4438426832353</v>
      </c>
      <c r="DP131" s="712">
        <f t="shared" si="432"/>
        <v>10478.581709352165</v>
      </c>
      <c r="DQ131" s="712"/>
      <c r="DR131" s="697">
        <f>IF(OR(B131&lt;FL131,B131&gt;FM131),(MIN(AV131+BO131+CJ131+MAX(Sheet1!AA131+AG131-73,0),K131)),0)</f>
        <v>9.5435022026431717</v>
      </c>
      <c r="DS131" s="712"/>
      <c r="DT131" s="712">
        <f t="shared" si="433"/>
        <v>9.5435022026431717</v>
      </c>
      <c r="DU131" s="712"/>
      <c r="DV131" s="712">
        <f>Sheet1!ED131+Sheet1!EE131+Sheet1!EF131+Sheet1!EG131</f>
        <v>9.5</v>
      </c>
      <c r="DW131" s="712"/>
      <c r="DX131" s="697">
        <f t="shared" si="376"/>
        <v>0</v>
      </c>
      <c r="DY131" s="712">
        <f>IF(Sheet1!FN131=1,SUM('Calculations II'!AT131:BA131)+'Calculations II'!BC131+Sheet1!BU131+'Calculations II'!BE131+AF131,SUM('Calculations II'!AT131:BA131)+'Calculations II'!BC131+Sheet1!BU131+'Calculations II'!BE131+AF131)</f>
        <v>45.020032</v>
      </c>
      <c r="DZ131" s="712">
        <f>Sheet1!AA131+Sheet1!AB131+'Calculations II'!BC131</f>
        <v>60.497183999997091</v>
      </c>
      <c r="EA131" s="712"/>
      <c r="EB131" s="712"/>
      <c r="EC131" s="712">
        <f t="shared" si="434"/>
        <v>40660</v>
      </c>
      <c r="ED131" s="712">
        <f t="shared" si="435"/>
        <v>55.096497797356832</v>
      </c>
      <c r="EE131" s="712">
        <f t="shared" si="436"/>
        <v>85.234282092511009</v>
      </c>
      <c r="EF131" s="712">
        <f>-(VLOOKUP(Sheet1!BQ131,Lookup!$B$4:$J$236,2)-VLOOKUP(Sheet1!BQ130,Lookup!$B$4:$J$236,2))/1000000</f>
        <v>-2.4603999999999999</v>
      </c>
      <c r="EG131" s="712">
        <f>-(VLOOKUP(Sheet1!BR131,Lookup!$B$4:$J$236,3)-VLOOKUP(Sheet1!BR130,Lookup!$B$4:$J$236,3))/1000000</f>
        <v>-2.4538000000000002</v>
      </c>
      <c r="EH131" s="712">
        <f>-(VLOOKUP(Sheet1!BS131,Lookup!$B$4:$J$236,4)-VLOOKUP(Sheet1!BS130,Lookup!$B$4:$J$236,4))/1000000</f>
        <v>0</v>
      </c>
      <c r="EI131" s="697">
        <f t="shared" si="380"/>
        <v>-4.9142000000000001</v>
      </c>
      <c r="EJ131" s="712"/>
      <c r="EK131" s="712"/>
      <c r="EL131" s="712"/>
      <c r="EM131" s="712"/>
      <c r="EN131" s="712"/>
      <c r="EO131" s="712"/>
      <c r="EP131" s="712"/>
      <c r="EQ131" s="712"/>
      <c r="ER131" s="697">
        <v>0</v>
      </c>
      <c r="ES131" s="712"/>
      <c r="ET131" s="794" t="e">
        <f t="shared" si="437"/>
        <v>#N/A</v>
      </c>
      <c r="EU131" s="794" t="e">
        <f t="shared" si="363"/>
        <v>#VALUE!</v>
      </c>
      <c r="EV131" s="795" t="e">
        <f t="shared" si="364"/>
        <v>#VALUE!</v>
      </c>
      <c r="EW131" s="796" t="s">
        <v>757</v>
      </c>
      <c r="EX131" s="796" t="s">
        <v>757</v>
      </c>
      <c r="EY131" s="794">
        <v>0</v>
      </c>
      <c r="EZ131" s="794" t="e">
        <v>#N/A</v>
      </c>
      <c r="FA131" s="712"/>
      <c r="FB131" s="712"/>
      <c r="FC131" s="712"/>
      <c r="FD131" s="712"/>
      <c r="FE131" s="712">
        <f>O131+Sheet1!CO131</f>
        <v>2173.549999999997</v>
      </c>
      <c r="FF131" s="712">
        <f>IF(Sheet1!AA131+AG131&lt;=Calculation!N131,AG131,Calculation!N131-Sheet1!AA131)</f>
        <v>17.706497797356828</v>
      </c>
      <c r="FG131" s="712">
        <f>(Sheet1!BP131+Sheet1!BO131)/694.4</f>
        <v>1.8322292626728112</v>
      </c>
      <c r="FH131" s="712"/>
      <c r="FI131" s="712"/>
      <c r="FJ131" s="712"/>
      <c r="FK131" s="712"/>
      <c r="FL131" s="714">
        <f t="shared" si="381"/>
        <v>40753</v>
      </c>
      <c r="FM131" s="714">
        <f t="shared" si="382"/>
        <v>40851</v>
      </c>
      <c r="FN131" s="712"/>
      <c r="FO131" s="712"/>
      <c r="FP131" s="712"/>
      <c r="FQ131" s="712"/>
      <c r="FR131" s="712"/>
      <c r="FS131" s="725">
        <f t="shared" si="383"/>
        <v>40603</v>
      </c>
      <c r="FT131" s="714">
        <f t="shared" si="384"/>
        <v>40709</v>
      </c>
      <c r="FU131" s="712">
        <f t="shared" si="385"/>
        <v>6518.9048239895692</v>
      </c>
      <c r="FV131" s="714">
        <f t="shared" si="386"/>
        <v>40722</v>
      </c>
      <c r="FW131" s="712">
        <f t="shared" si="387"/>
        <v>3259.4524119947846</v>
      </c>
      <c r="FX131" s="725">
        <f t="shared" si="388"/>
        <v>40851</v>
      </c>
      <c r="FZ131" s="697">
        <f t="shared" si="365"/>
        <v>0</v>
      </c>
      <c r="GA131" s="712" t="str">
        <f t="shared" si="438"/>
        <v/>
      </c>
      <c r="GB131" s="712">
        <f t="shared" si="439"/>
        <v>0</v>
      </c>
      <c r="GC131" s="712" t="str">
        <f t="shared" si="440"/>
        <v/>
      </c>
      <c r="GD131" s="712">
        <f>IF(GA131="P",Lookup!$M$12,IF(GA131="PP",Lookup!$M$13,IF(GA131="PPP",Lookup!$M$14,IF(GA131="T",Lookup!$M$15,IF(GA131="TP",Lookup!$M$16,IF(GA131="TPP",Lookup!$M$17,IF(GA131="TPPP",Lookup!$M$18,0)))))))*FZ131</f>
        <v>0</v>
      </c>
      <c r="GE131" s="712">
        <f t="shared" si="441"/>
        <v>0</v>
      </c>
      <c r="GF131" s="712">
        <f t="shared" si="442"/>
        <v>4792.6250666666674</v>
      </c>
      <c r="GG131" s="712">
        <f t="shared" si="443"/>
        <v>1562.1333333333334</v>
      </c>
      <c r="GH131" s="712"/>
      <c r="GI131" s="712">
        <f t="shared" si="444"/>
        <v>0</v>
      </c>
      <c r="GJ131" s="712" t="str">
        <f t="shared" si="445"/>
        <v/>
      </c>
      <c r="GK131" s="712">
        <f>IF(GA131="P",Lookup!$N$12,IF(GA131="PP",Lookup!$N$13,IF(GA131="PPP",Lookup!$N$14,IF(GA131="T",Lookup!$N$15,IF(GA131="TP",Lookup!$N$16,IF(GA131="TPP",Lookup!$N$17,IF(GA131="TPPP",Lookup!$N$18,0)))))))*FZ131</f>
        <v>0</v>
      </c>
      <c r="GL131" s="712">
        <f t="shared" si="446"/>
        <v>0</v>
      </c>
      <c r="GM131" s="712">
        <f t="shared" si="447"/>
        <v>2236.5583644444418</v>
      </c>
      <c r="GN131" s="712">
        <f t="shared" si="448"/>
        <v>728.99555555555469</v>
      </c>
      <c r="GO131" s="712"/>
      <c r="GP131" s="712">
        <f t="shared" si="449"/>
        <v>0</v>
      </c>
      <c r="GQ131" s="712" t="str">
        <f t="shared" si="450"/>
        <v/>
      </c>
      <c r="GR131" s="712">
        <f>IF(GA131="P",Lookup!$N$12,IF(GA131="PP",Lookup!$N$13,IF(GA131="PPP",Lookup!$N$14,IF(GA131="T",Lookup!$N$15,IF(GA131="TP",Lookup!$N$16,IF(GA131="TPP",Lookup!$N$17,IF(GA131="TPPP",Lookup!$N$18,0)))))))*FZ131</f>
        <v>0</v>
      </c>
      <c r="GS131" s="697">
        <f t="shared" si="377"/>
        <v>0</v>
      </c>
      <c r="GT131" s="712">
        <f t="shared" si="451"/>
        <v>1935.1264545428035</v>
      </c>
      <c r="GU131" s="712">
        <f t="shared" si="452"/>
        <v>630.7452589774457</v>
      </c>
      <c r="GV131" s="712"/>
      <c r="GW131" s="712">
        <f t="shared" si="453"/>
        <v>0</v>
      </c>
      <c r="GX131" s="712" t="str">
        <f t="shared" si="454"/>
        <v/>
      </c>
      <c r="GY131" s="712">
        <f>IF(GA131="P",Lookup!$N$12,IF(GA131="PP",Lookup!$N$13,IF(GA131="PPP",Lookup!$N$14,IF(GA131="T",Lookup!$N$15,IF(GA131="TP",Lookup!$N$16,IF(GA131="TPP",Lookup!$N$17,IF(GA131="TPPP",Lookup!$N$18,0)))))))*FZ131</f>
        <v>0</v>
      </c>
      <c r="GZ131" s="697">
        <f t="shared" si="378"/>
        <v>0</v>
      </c>
      <c r="HA131" s="712">
        <f t="shared" si="455"/>
        <v>1514.2718236982541</v>
      </c>
      <c r="HB131" s="712">
        <f t="shared" si="456"/>
        <v>493.56969481690157</v>
      </c>
      <c r="HC131" s="712"/>
    </row>
    <row r="132" spans="1:211">
      <c r="A132" s="773" t="s">
        <v>7</v>
      </c>
      <c r="B132" s="708">
        <v>40661</v>
      </c>
      <c r="C132" s="709">
        <v>0.5</v>
      </c>
      <c r="D132" s="675">
        <f t="shared" si="366"/>
        <v>300</v>
      </c>
      <c r="E132" s="675">
        <f t="shared" si="367"/>
        <v>250</v>
      </c>
      <c r="F132" s="710">
        <v>250</v>
      </c>
      <c r="G132" s="712">
        <f>DH132+Sheet1!CV132</f>
        <v>1522.7744922752495</v>
      </c>
      <c r="H132" s="712">
        <f t="shared" si="389"/>
        <v>717.35823180672128</v>
      </c>
      <c r="I132" s="711">
        <f>MAX(Sheet1!Z132-AJ132+(Sheet1!CW132-E132)*CFStoMGD,0)</f>
        <v>1426.6499172552976</v>
      </c>
      <c r="J132" s="720">
        <f>IF(AND(B132&gt;=Calculation!FS132,B132&lt;=Calculation!FT132),IF(Sheet1!CX132&gt;=Calculation!D132,64.64,0),MAX(Sheet1!Z132-AJ132+(Sheet1!CX132-D132)*CFStoMGD,0))</f>
        <v>64.64</v>
      </c>
      <c r="K132" s="697">
        <f t="shared" si="368"/>
        <v>64.64</v>
      </c>
      <c r="L132" s="712">
        <f>Sheet1!AA132+Sheet1!AB132-Sheet1!L132+(Sheet1!CW132-F132)*CFStoMGD</f>
        <v>1466.838</v>
      </c>
      <c r="M132" s="712">
        <f t="shared" si="390"/>
        <v>1004.0078604428558</v>
      </c>
      <c r="N132" s="712">
        <f>IF(Sheet1!CW132&gt;=F132,MIN(73,MIN(MAX(L132,0),MAX(M132,0))),0)</f>
        <v>73</v>
      </c>
      <c r="O132" s="721">
        <f>Sheet1!AA132+Sheet1!AB132</f>
        <v>49</v>
      </c>
      <c r="P132" s="721">
        <f t="shared" si="391"/>
        <v>75.802999999999997</v>
      </c>
      <c r="Q132" s="712">
        <f>MIN(N132,Sheet1!AA132+AG132)</f>
        <v>39.898082744702322</v>
      </c>
      <c r="R132" s="712">
        <f t="shared" si="392"/>
        <v>9.1019172552976784</v>
      </c>
      <c r="S132" s="721">
        <f>Sheet1!Y132*MGDtoCFS</f>
        <v>46.657519999999998</v>
      </c>
      <c r="T132" s="721">
        <f>Sheet1!Z132*MGDtoCFS</f>
        <v>30.49137</v>
      </c>
      <c r="U132" s="721">
        <f>Sheet1!AA132*MGDtoCFS</f>
        <v>44.863</v>
      </c>
      <c r="V132" s="721">
        <f>Sheet1!AB132*MGDtoCFS</f>
        <v>30.939999999999998</v>
      </c>
      <c r="W132" s="721">
        <f>Sheet1!L132*MGDtoCFS</f>
        <v>0</v>
      </c>
      <c r="X132" s="697">
        <f t="shared" si="369"/>
        <v>0</v>
      </c>
      <c r="Y132" s="712">
        <f t="shared" si="393"/>
        <v>0</v>
      </c>
      <c r="Z132" s="712">
        <f t="shared" si="394"/>
        <v>55.538082744702322</v>
      </c>
      <c r="AA132" s="712">
        <f t="shared" si="395"/>
        <v>85.917414006054486</v>
      </c>
      <c r="AB132" s="712">
        <f>(VLOOKUP(Sheet1!CY132,hhdcap_wcm,4)-(((VLOOKUP(Sheet1!CY132,hhdcap_wcm,3)-Sheet1!CY132)/(VLOOKUP(Sheet1!CY132,hhdcap_wcm,3)-VLOOKUP(Sheet1!CY132,hhdcap_wcm,1)))*(VLOOKUP(Sheet1!CY132,hhdcap_wcm,4)-VLOOKUP(Sheet1!CY132,hhdcap_wcm,2))))</f>
        <v>31327.720000078087</v>
      </c>
      <c r="AC132" s="712">
        <f t="shared" si="396"/>
        <v>-8.9199999999982538</v>
      </c>
      <c r="AD132" s="712">
        <f t="shared" si="370"/>
        <v>3470.9819254279378</v>
      </c>
      <c r="AE132" s="712">
        <f t="shared" si="397"/>
        <v>10648.972547212914</v>
      </c>
      <c r="AF132" s="712">
        <f>Sheet1!BA132+Sheet1!BB132+Sheet1!BN132+BT132</f>
        <v>10.8</v>
      </c>
      <c r="AG132" s="712">
        <f t="shared" si="398"/>
        <v>10.898082744702322</v>
      </c>
      <c r="AH132" s="712">
        <f>Sheet1!BA132+BT132</f>
        <v>0</v>
      </c>
      <c r="AI132" s="712">
        <f>Sheet1!BA132+Sheet1!BB132+BT132</f>
        <v>0</v>
      </c>
      <c r="AJ132" s="712">
        <f>IF((Sheet1!AA132+AG132+AX132+AZ132+BQ132+BS132+CL132+CN132)&lt;=N132,AG132+AX132+AZ132+BQ132+BS132+CL132+CN132,N132-Sheet1!AA132)</f>
        <v>10.898082744702322</v>
      </c>
      <c r="AK132" s="712">
        <f>IF(DR132&lt;K132,0,MAX(Sheet1!AA132+AG132-15/36*K132-N132,Sheet1!ED132,0))</f>
        <v>0</v>
      </c>
      <c r="AL132" s="712">
        <f>IF(OR(B132&gt;=FT132,B132&lt;FS132),0,15/36*K132-MAX(0,64.6-(137.6-(Sheet1!AA132+Sheet1!AB132))))</f>
        <v>26.933333333333334</v>
      </c>
      <c r="AM132" s="712">
        <f>Sheet1!CX132-110</f>
        <v>1436.6666666666667</v>
      </c>
      <c r="AN132" s="712">
        <f>Sheet1!CW132-265</f>
        <v>2178.4375</v>
      </c>
      <c r="AO132" s="712">
        <f t="shared" si="371"/>
        <v>33.101917255297678</v>
      </c>
      <c r="AP132" s="712">
        <f t="shared" si="372"/>
        <v>0</v>
      </c>
      <c r="AQ132" s="712">
        <f t="shared" si="399"/>
        <v>0</v>
      </c>
      <c r="AR132" s="712">
        <f t="shared" si="400"/>
        <v>1589.0666666666668</v>
      </c>
      <c r="AS132" s="712"/>
      <c r="AT132" s="712">
        <f ca="1">IF(B132&gt;Summary!$A$1,#N/A,AR132*MGtoAF)</f>
        <v>4875.2565333333341</v>
      </c>
      <c r="AU132" s="712">
        <f>Sheet1!BG132+Sheet1!BH132+Sheet1!BI132-BC132</f>
        <v>0</v>
      </c>
      <c r="AV132" s="712">
        <f t="shared" si="401"/>
        <v>0</v>
      </c>
      <c r="AW132" s="712">
        <f>IF(Sheet1!EL132="FM",BC132,0)</f>
        <v>0</v>
      </c>
      <c r="AX132" s="712">
        <f t="shared" si="402"/>
        <v>0</v>
      </c>
      <c r="AY132" s="712">
        <f>IF(Sheet1!EL132="OTHER",BC132,0)</f>
        <v>0</v>
      </c>
      <c r="AZ132" s="712">
        <f t="shared" si="403"/>
        <v>0</v>
      </c>
      <c r="BA132" s="712">
        <f t="shared" si="404"/>
        <v>0</v>
      </c>
      <c r="BB132" s="712">
        <f t="shared" si="405"/>
        <v>0</v>
      </c>
      <c r="BC132" s="712">
        <f>IF(OR(Sheet1!EL132="FM", Sheet1!EL132="OTHER"),SUM(Sheet1!BG132:'Sheet1'!BI132),0)</f>
        <v>0</v>
      </c>
      <c r="BD132" s="697">
        <f>IF(AND($B132&gt;=$FL132,$B132&lt;=$FM132),MAX(AV132,Sheet1!EE132,0),MAX(AV132-(7/36)*$K132,0))</f>
        <v>0</v>
      </c>
      <c r="BE132" s="712">
        <f t="shared" si="406"/>
        <v>12.568888888888889</v>
      </c>
      <c r="BF132" s="697">
        <f t="shared" si="373"/>
        <v>0</v>
      </c>
      <c r="BG132" s="697">
        <f>IF(AND($O132&gt;0,Sheet1!EI132=1),(1-($O132-Sheet1!$L132)/$O132)*BB132,0)</f>
        <v>0</v>
      </c>
      <c r="BH132" s="697">
        <f>IF(AND(Sheet1!$L132=0,Sheet1!$L131=0, Calculation!BA132&lt;Sheet1!$EE132-0.1,Sheet1!$EE132=Sheet1!$EE131,Sheet1!$EE132=Sheet1!$EE133),Sheet1!$EE132,BB132-BG132)</f>
        <v>0</v>
      </c>
      <c r="BI132" s="712"/>
      <c r="BJ132" s="712"/>
      <c r="BK132" s="712">
        <f t="shared" si="407"/>
        <v>741.56444444444355</v>
      </c>
      <c r="BL132" s="712"/>
      <c r="BM132" s="712">
        <f ca="1">IF(B132&gt;Summary!$A$1,#N/A,BK132*MGtoAF)</f>
        <v>2275.1197155555528</v>
      </c>
      <c r="BN132" s="712">
        <f>Sheet1!BC132+Sheet1!BD132+Sheet1!BE132+Sheet1!BF132-BW132-BX132</f>
        <v>2.9899999999999998</v>
      </c>
      <c r="BO132" s="712">
        <f t="shared" si="408"/>
        <v>3.0171543895055497</v>
      </c>
      <c r="BP132" s="712">
        <f>IF(Sheet1!EM132="FM",BX132,0)</f>
        <v>0</v>
      </c>
      <c r="BQ132" s="712">
        <f t="shared" si="409"/>
        <v>0</v>
      </c>
      <c r="BR132" s="712">
        <f>IF(Sheet1!EM132="OTHER",BX132,0)</f>
        <v>0</v>
      </c>
      <c r="BS132" s="712">
        <f t="shared" si="410"/>
        <v>0</v>
      </c>
      <c r="BT132" s="712">
        <f t="shared" si="411"/>
        <v>0</v>
      </c>
      <c r="BU132" s="712">
        <f t="shared" si="412"/>
        <v>2.9899999999999998</v>
      </c>
      <c r="BV132" s="712">
        <f t="shared" si="413"/>
        <v>3.0171543895055497</v>
      </c>
      <c r="BW132" s="712">
        <f>IF(Sheet1!EM132="CWA",SUM(Sheet1!BC132:'Sheet1'!BF132),0)</f>
        <v>0</v>
      </c>
      <c r="BX132" s="712">
        <f>IF(OR(Sheet1!EM132="FM", Sheet1!EM132="OTHER"),SUM(Sheet1!BC132:'Sheet1'!BF132),0)</f>
        <v>0</v>
      </c>
      <c r="BY132" s="697">
        <f>IF(AND($B132&gt;=$FL132,$B132&lt;=$FM132),MAX(BV132,Sheet1!EF132,0),MAX(BV132-(7/36)*$K132,0))</f>
        <v>0</v>
      </c>
      <c r="BZ132" s="712">
        <f t="shared" si="414"/>
        <v>9.5517344993833397</v>
      </c>
      <c r="CA132" s="697">
        <f t="shared" si="374"/>
        <v>3.0171543895055497</v>
      </c>
      <c r="CB132" s="697">
        <f>IF(AND($O132&gt;0,Sheet1!EJ132=1),(1-($O132-Sheet1!$L132)/$O132)*BV132,0)</f>
        <v>0</v>
      </c>
      <c r="CC132" s="697">
        <f>IF(AND(Sheet1!$L132=0,Sheet1!$L131=0, Calculation!BU132&lt;Sheet1!EF132-0.1,Sheet1!EF132=Sheet1!EF131,Sheet1!EF132=Sheet1!EF133),Sheet1!EF132,BV132-CB132)</f>
        <v>3.0171543895055497</v>
      </c>
      <c r="CD132" s="697"/>
      <c r="CE132" s="712"/>
      <c r="CF132" s="712">
        <f t="shared" si="415"/>
        <v>640.29699347682902</v>
      </c>
      <c r="CG132" s="712"/>
      <c r="CH132" s="712">
        <f ca="1">IF(B132&gt;Summary!$A$1,#N/A,CF132*MGtoAF)</f>
        <v>1964.4311759869115</v>
      </c>
      <c r="CI132" s="712">
        <f>Sheet1!BK132+Sheet1!BL132+Sheet1!BM132-Sheet1!EN132-CQ132</f>
        <v>6.0299999999999994</v>
      </c>
      <c r="CJ132" s="712">
        <f t="shared" si="416"/>
        <v>6.0847628657921282</v>
      </c>
      <c r="CK132" s="712">
        <f>IF(Sheet1!EN132="FM",CQ132,0)</f>
        <v>0</v>
      </c>
      <c r="CL132" s="712">
        <f t="shared" si="417"/>
        <v>0</v>
      </c>
      <c r="CM132" s="712">
        <f>IF(Sheet1!EN132="OTHER",CQ132,0)</f>
        <v>0</v>
      </c>
      <c r="CN132" s="712">
        <f t="shared" si="418"/>
        <v>0</v>
      </c>
      <c r="CO132" s="712">
        <f t="shared" si="419"/>
        <v>6.0299999999999994</v>
      </c>
      <c r="CP132" s="712">
        <f t="shared" si="420"/>
        <v>6.0847628657921282</v>
      </c>
      <c r="CQ132" s="712">
        <f>IF(OR(Sheet1!EN132="FM", Sheet1!EN132="OTHER"),SUM(Sheet1!BK132:'Sheet1'!BM132),0)</f>
        <v>0</v>
      </c>
      <c r="CR132" s="697">
        <f>IF(AND($B132&gt;=$FL132,$B132&lt;=$FM132),MAX($CJ132,Sheet1!EG132,0),MAX($CJ132-(7/36)*$K132,0))</f>
        <v>0</v>
      </c>
      <c r="CS132" s="712">
        <f t="shared" si="421"/>
        <v>6.4841260230967608</v>
      </c>
      <c r="CT132" s="697">
        <f t="shared" si="375"/>
        <v>6.0847628657921282</v>
      </c>
      <c r="CU132" s="697">
        <f>IF(AND($O132&gt;0,Sheet1!EK132=1),(1-($O132-Sheet1!$L132)/$O132)*CP132,0)</f>
        <v>0</v>
      </c>
      <c r="CV132" s="697">
        <f>IF(AND(Sheet1!$L132=0,Sheet1!$L131=0, Calculation!CO132&lt;Sheet1!$EG132-0.1,Sheet1!$EG132=Sheet1!$EG131,Sheet1!$EG132=Sheet1!$EG133),Sheet1!$EG132,CP132-CU132)</f>
        <v>6.0847628657921282</v>
      </c>
      <c r="CW132" s="697">
        <f t="shared" si="362"/>
        <v>0</v>
      </c>
      <c r="CX132" s="712">
        <f t="shared" si="379"/>
        <v>9.02</v>
      </c>
      <c r="CY132" s="712">
        <f t="shared" si="422"/>
        <v>500.05382083999831</v>
      </c>
      <c r="CZ132" s="712">
        <f t="shared" si="423"/>
        <v>9.1019172552976784</v>
      </c>
      <c r="DA132" s="712">
        <f ca="1">IF(B132&gt;Summary!$A$1,#N/A,CY132*MGtoAF)</f>
        <v>1534.1651223371148</v>
      </c>
      <c r="DB132" s="712">
        <f t="shared" si="424"/>
        <v>9.02</v>
      </c>
      <c r="DC132" s="712">
        <f t="shared" si="425"/>
        <v>19.82</v>
      </c>
      <c r="DD132" s="712">
        <f>Sheet1!AB132-DC132</f>
        <v>0.17999999999999972</v>
      </c>
      <c r="DE132" s="712">
        <f t="shared" si="426"/>
        <v>9.0817356205852521E-3</v>
      </c>
      <c r="DF132" s="712">
        <f>(VLOOKUP(Sheet1!CY132,hhdcap_wcm,4)-(((VLOOKUP(Sheet1!CY132,hhdcap_wcm,3)-Sheet1!CY132)/(VLOOKUP(Sheet1!CY132,hhdcap_wcm,3)-VLOOKUP(Sheet1!CY132,hhdcap_wcm,1)))*(VLOOKUP(Sheet1!CY132,hhdcap_wcm,4)-VLOOKUP(Sheet1!CY132,hhdcap_wcm,2))))</f>
        <v>31327.720000078087</v>
      </c>
      <c r="DG132" s="712">
        <f t="shared" si="427"/>
        <v>-8.9199999999982538</v>
      </c>
      <c r="DH132" s="712">
        <f t="shared" si="428"/>
        <v>-4.4982349974776863</v>
      </c>
      <c r="DI132" s="712">
        <f>Sheet1!DW132*AFtoMG</f>
        <v>0</v>
      </c>
      <c r="DJ132" s="712">
        <f>Sheet1!DX132*AFtoMG</f>
        <v>0</v>
      </c>
      <c r="DK132" s="712">
        <f>Sheet1!DY132*AFtoMG</f>
        <v>0</v>
      </c>
      <c r="DL132" s="712">
        <f>Sheet1!DZ132*AFtoMG</f>
        <v>0</v>
      </c>
      <c r="DM132" s="712">
        <f t="shared" si="429"/>
        <v>0</v>
      </c>
      <c r="DN132" s="712">
        <f t="shared" si="430"/>
        <v>0</v>
      </c>
      <c r="DO132" s="712">
        <f t="shared" si="431"/>
        <v>3470.9819254279378</v>
      </c>
      <c r="DP132" s="712">
        <f t="shared" si="432"/>
        <v>10648.972547212914</v>
      </c>
      <c r="DQ132" s="712"/>
      <c r="DR132" s="697">
        <f>IF(OR(B132&lt;FL132,B132&gt;FM132),(MIN(AV132+BO132+CJ132+MAX(Sheet1!AA132+AG132-73,0),K132)),0)</f>
        <v>9.1019172552976784</v>
      </c>
      <c r="DS132" s="712"/>
      <c r="DT132" s="712">
        <f t="shared" si="433"/>
        <v>9.1019172552976784</v>
      </c>
      <c r="DU132" s="712"/>
      <c r="DV132" s="712">
        <f>Sheet1!ED132+Sheet1!EE132+Sheet1!EF132+Sheet1!EG132</f>
        <v>8.5</v>
      </c>
      <c r="DW132" s="712"/>
      <c r="DX132" s="697">
        <f t="shared" si="376"/>
        <v>0</v>
      </c>
      <c r="DY132" s="712">
        <f>IF(Sheet1!FN132=1,SUM('Calculations II'!AT132:BA132)+'Calculations II'!BC132+Sheet1!BU132+'Calculations II'!BE132+AF132,SUM('Calculations II'!AT132:BA132)+'Calculations II'!BC132+Sheet1!BU132+'Calculations II'!BE132+AF132)</f>
        <v>45.565440000000009</v>
      </c>
      <c r="DZ132" s="712">
        <f>Sheet1!AA132+Sheet1!AB132+'Calculations II'!BC132</f>
        <v>52.025872</v>
      </c>
      <c r="EA132" s="712"/>
      <c r="EB132" s="712"/>
      <c r="EC132" s="712">
        <f t="shared" si="434"/>
        <v>40661</v>
      </c>
      <c r="ED132" s="712">
        <f t="shared" si="435"/>
        <v>55.538082744702322</v>
      </c>
      <c r="EE132" s="712">
        <f t="shared" si="436"/>
        <v>85.917414006054486</v>
      </c>
      <c r="EF132" s="712">
        <f>-(VLOOKUP(Sheet1!BQ132,Lookup!$B$4:$J$236,2)-VLOOKUP(Sheet1!BQ131,Lookup!$B$4:$J$236,2))/1000000</f>
        <v>1.369</v>
      </c>
      <c r="EG132" s="712">
        <f>-(VLOOKUP(Sheet1!BR132,Lookup!$B$4:$J$236,3)-VLOOKUP(Sheet1!BR131,Lookup!$B$4:$J$236,3))/1000000</f>
        <v>1.0935999999999999</v>
      </c>
      <c r="EH132" s="712">
        <f>-(VLOOKUP(Sheet1!BS132,Lookup!$B$4:$J$236,4)-VLOOKUP(Sheet1!BS131,Lookup!$B$4:$J$236,4))/1000000</f>
        <v>0</v>
      </c>
      <c r="EI132" s="697">
        <f t="shared" si="380"/>
        <v>2.4626000000000001</v>
      </c>
      <c r="EJ132" s="712"/>
      <c r="EK132" s="712"/>
      <c r="EL132" s="712"/>
      <c r="EM132" s="712"/>
      <c r="EN132" s="712"/>
      <c r="EO132" s="712"/>
      <c r="EP132" s="712"/>
      <c r="EQ132" s="712"/>
      <c r="ER132" s="697">
        <v>0</v>
      </c>
      <c r="ES132" s="712"/>
      <c r="ET132" s="794" t="e">
        <f t="shared" si="437"/>
        <v>#N/A</v>
      </c>
      <c r="EU132" s="794" t="e">
        <f t="shared" si="363"/>
        <v>#VALUE!</v>
      </c>
      <c r="EV132" s="795" t="e">
        <f t="shared" si="364"/>
        <v>#VALUE!</v>
      </c>
      <c r="EW132" s="796" t="s">
        <v>757</v>
      </c>
      <c r="EX132" s="796" t="s">
        <v>757</v>
      </c>
      <c r="EY132" s="794">
        <v>0</v>
      </c>
      <c r="EZ132" s="794" t="e">
        <v>#N/A</v>
      </c>
      <c r="FA132" s="712"/>
      <c r="FB132" s="712"/>
      <c r="FC132" s="712"/>
      <c r="FD132" s="712"/>
      <c r="FE132" s="712">
        <f>O132+Sheet1!CO132</f>
        <v>2150.3000000000002</v>
      </c>
      <c r="FF132" s="712">
        <f>IF(Sheet1!AA132+AG132&lt;=Calculation!N132,AG132,Calculation!N132-Sheet1!AA132)</f>
        <v>10.898082744702322</v>
      </c>
      <c r="FG132" s="712">
        <f>(Sheet1!BP132+Sheet1!BO132)/694.4</f>
        <v>1.9122983870967745</v>
      </c>
      <c r="FH132" s="712"/>
      <c r="FI132" s="712"/>
      <c r="FJ132" s="712"/>
      <c r="FK132" s="712"/>
      <c r="FL132" s="714">
        <f t="shared" si="381"/>
        <v>40753</v>
      </c>
      <c r="FM132" s="714">
        <f t="shared" si="382"/>
        <v>40851</v>
      </c>
      <c r="FN132" s="712"/>
      <c r="FO132" s="712"/>
      <c r="FP132" s="712"/>
      <c r="FQ132" s="712"/>
      <c r="FR132" s="712"/>
      <c r="FS132" s="725">
        <f t="shared" si="383"/>
        <v>40603</v>
      </c>
      <c r="FT132" s="714">
        <f t="shared" si="384"/>
        <v>40709</v>
      </c>
      <c r="FU132" s="712">
        <f t="shared" si="385"/>
        <v>6518.9048239895692</v>
      </c>
      <c r="FV132" s="714">
        <f t="shared" si="386"/>
        <v>40722</v>
      </c>
      <c r="FW132" s="712">
        <f t="shared" si="387"/>
        <v>3259.4524119947846</v>
      </c>
      <c r="FX132" s="725">
        <f t="shared" si="388"/>
        <v>40851</v>
      </c>
      <c r="FZ132" s="697">
        <f t="shared" si="365"/>
        <v>0</v>
      </c>
      <c r="GA132" s="712" t="str">
        <f t="shared" si="438"/>
        <v/>
      </c>
      <c r="GB132" s="712">
        <f t="shared" si="439"/>
        <v>0</v>
      </c>
      <c r="GC132" s="712" t="str">
        <f t="shared" si="440"/>
        <v/>
      </c>
      <c r="GD132" s="712">
        <f>IF(GA132="P",Lookup!$M$12,IF(GA132="PP",Lookup!$M$13,IF(GA132="PPP",Lookup!$M$14,IF(GA132="T",Lookup!$M$15,IF(GA132="TP",Lookup!$M$16,IF(GA132="TPP",Lookup!$M$17,IF(GA132="TPPP",Lookup!$M$18,0)))))))*FZ132</f>
        <v>0</v>
      </c>
      <c r="GE132" s="712">
        <f t="shared" si="441"/>
        <v>0</v>
      </c>
      <c r="GF132" s="712">
        <f t="shared" si="442"/>
        <v>4875.2565333333341</v>
      </c>
      <c r="GG132" s="712">
        <f t="shared" si="443"/>
        <v>1589.0666666666668</v>
      </c>
      <c r="GH132" s="712"/>
      <c r="GI132" s="712">
        <f t="shared" si="444"/>
        <v>0</v>
      </c>
      <c r="GJ132" s="712" t="str">
        <f t="shared" si="445"/>
        <v/>
      </c>
      <c r="GK132" s="712">
        <f>IF(GA132="P",Lookup!$N$12,IF(GA132="PP",Lookup!$N$13,IF(GA132="PPP",Lookup!$N$14,IF(GA132="T",Lookup!$N$15,IF(GA132="TP",Lookup!$N$16,IF(GA132="TPP",Lookup!$N$17,IF(GA132="TPPP",Lookup!$N$18,0)))))))*FZ132</f>
        <v>0</v>
      </c>
      <c r="GL132" s="712">
        <f t="shared" si="446"/>
        <v>0</v>
      </c>
      <c r="GM132" s="712">
        <f t="shared" si="447"/>
        <v>2275.1197155555528</v>
      </c>
      <c r="GN132" s="712">
        <f t="shared" si="448"/>
        <v>741.56444444444355</v>
      </c>
      <c r="GO132" s="712"/>
      <c r="GP132" s="712">
        <f t="shared" si="449"/>
        <v>0</v>
      </c>
      <c r="GQ132" s="712" t="str">
        <f t="shared" si="450"/>
        <v/>
      </c>
      <c r="GR132" s="712">
        <f>IF(GA132="P",Lookup!$N$12,IF(GA132="PP",Lookup!$N$13,IF(GA132="PPP",Lookup!$N$14,IF(GA132="T",Lookup!$N$15,IF(GA132="TP",Lookup!$N$16,IF(GA132="TPP",Lookup!$N$17,IF(GA132="TPPP",Lookup!$N$18,0)))))))*FZ132</f>
        <v>0</v>
      </c>
      <c r="GS132" s="697">
        <f t="shared" si="377"/>
        <v>0</v>
      </c>
      <c r="GT132" s="712">
        <f t="shared" si="451"/>
        <v>1964.4311759869115</v>
      </c>
      <c r="GU132" s="712">
        <f t="shared" si="452"/>
        <v>640.29699347682902</v>
      </c>
      <c r="GV132" s="712"/>
      <c r="GW132" s="712">
        <f t="shared" si="453"/>
        <v>0</v>
      </c>
      <c r="GX132" s="712" t="str">
        <f t="shared" si="454"/>
        <v/>
      </c>
      <c r="GY132" s="712">
        <f>IF(GA132="P",Lookup!$N$12,IF(GA132="PP",Lookup!$N$13,IF(GA132="PPP",Lookup!$N$14,IF(GA132="T",Lookup!$N$15,IF(GA132="TP",Lookup!$N$16,IF(GA132="TPP",Lookup!$N$17,IF(GA132="TPPP",Lookup!$N$18,0)))))))*FZ132</f>
        <v>0</v>
      </c>
      <c r="GZ132" s="697">
        <f t="shared" si="378"/>
        <v>0</v>
      </c>
      <c r="HA132" s="712">
        <f t="shared" si="455"/>
        <v>1534.1651223371148</v>
      </c>
      <c r="HB132" s="712">
        <f t="shared" si="456"/>
        <v>500.05382083999831</v>
      </c>
      <c r="HC132" s="712"/>
    </row>
    <row r="133" spans="1:211">
      <c r="A133" s="773" t="s">
        <v>8</v>
      </c>
      <c r="B133" s="708">
        <v>40662</v>
      </c>
      <c r="C133" s="719">
        <v>0.5</v>
      </c>
      <c r="D133" s="675">
        <f t="shared" si="366"/>
        <v>300</v>
      </c>
      <c r="E133" s="675">
        <f t="shared" si="367"/>
        <v>250</v>
      </c>
      <c r="F133" s="710">
        <v>250</v>
      </c>
      <c r="G133" s="712">
        <f>DH133+Sheet1!CV133</f>
        <v>1406.930270939245</v>
      </c>
      <c r="H133" s="712">
        <f t="shared" si="389"/>
        <v>642.47652713512798</v>
      </c>
      <c r="I133" s="711">
        <f>MAX(Sheet1!Z133-AJ133+(Sheet1!CW133-E133)*CFStoMGD,0)</f>
        <v>1348.5070114226373</v>
      </c>
      <c r="J133" s="720">
        <f>IF(AND(B133&gt;=Calculation!FS133,B133&lt;=Calculation!FT133),IF(Sheet1!CX133&gt;=Calculation!D133,64.64,0),MAX(Sheet1!Z133-AJ133+(Sheet1!CX133-D133)*CFStoMGD,0))</f>
        <v>64.64</v>
      </c>
      <c r="K133" s="697">
        <f t="shared" si="368"/>
        <v>64.64</v>
      </c>
      <c r="L133" s="712">
        <f>Sheet1!AA133+Sheet1!AB133-Sheet1!L133+(Sheet1!CW133-F133)*CFStoMGD</f>
        <v>1390.3373333333332</v>
      </c>
      <c r="M133" s="712">
        <f t="shared" si="390"/>
        <v>927.62852167783058</v>
      </c>
      <c r="N133" s="712">
        <f>IF(Sheet1!CW133&gt;=F133,MIN(73,MIN(MAX(L133,0),MAX(M133,0))),0)</f>
        <v>73</v>
      </c>
      <c r="O133" s="721">
        <f>Sheet1!AA133+Sheet1!AB133</f>
        <v>50</v>
      </c>
      <c r="P133" s="721">
        <f t="shared" si="391"/>
        <v>77.349999999999994</v>
      </c>
      <c r="Q133" s="712">
        <f>MIN(N133,Sheet1!AA133+AG133)</f>
        <v>41.630321910695741</v>
      </c>
      <c r="R133" s="712">
        <f t="shared" si="392"/>
        <v>8.3696780893042586</v>
      </c>
      <c r="S133" s="721">
        <f>Sheet1!Y133*MGDtoCFS</f>
        <v>46.781279999999995</v>
      </c>
      <c r="T133" s="721">
        <f>Sheet1!Z133*MGDtoCFS</f>
        <v>30.630600000000001</v>
      </c>
      <c r="U133" s="721">
        <f>Sheet1!AA133*MGDtoCFS</f>
        <v>46.41</v>
      </c>
      <c r="V133" s="721">
        <f>Sheet1!AB133*MGDtoCFS</f>
        <v>30.939999999999998</v>
      </c>
      <c r="W133" s="721">
        <f>Sheet1!L133*MGDtoCFS</f>
        <v>0</v>
      </c>
      <c r="X133" s="697">
        <f t="shared" si="369"/>
        <v>0</v>
      </c>
      <c r="Y133" s="712">
        <f t="shared" si="393"/>
        <v>0</v>
      </c>
      <c r="Z133" s="712">
        <f t="shared" si="394"/>
        <v>56.270321910695742</v>
      </c>
      <c r="AA133" s="712">
        <f t="shared" si="395"/>
        <v>87.050187995846315</v>
      </c>
      <c r="AB133" s="712">
        <f>(VLOOKUP(Sheet1!CY133,hhdcap_wcm,4)-(((VLOOKUP(Sheet1!CY133,hhdcap_wcm,3)-Sheet1!CY133)/(VLOOKUP(Sheet1!CY133,hhdcap_wcm,3)-VLOOKUP(Sheet1!CY133,hhdcap_wcm,1)))*(VLOOKUP(Sheet1!CY133,hhdcap_wcm,4)-VLOOKUP(Sheet1!CY133,hhdcap_wcm,2))))</f>
        <v>31220.680000077882</v>
      </c>
      <c r="AC133" s="712">
        <f t="shared" si="396"/>
        <v>-107.0400000002046</v>
      </c>
      <c r="AD133" s="712">
        <f t="shared" si="370"/>
        <v>3527.2522473386334</v>
      </c>
      <c r="AE133" s="712">
        <f t="shared" si="397"/>
        <v>10821.609894834928</v>
      </c>
      <c r="AF133" s="712">
        <f>Sheet1!BA133+Sheet1!BB133+Sheet1!BN133+BT133</f>
        <v>11.2</v>
      </c>
      <c r="AG133" s="712">
        <f t="shared" si="398"/>
        <v>11.630321910695743</v>
      </c>
      <c r="AH133" s="712">
        <f>Sheet1!BA133+BT133</f>
        <v>0</v>
      </c>
      <c r="AI133" s="712">
        <f>Sheet1!BA133+Sheet1!BB133+BT133</f>
        <v>0</v>
      </c>
      <c r="AJ133" s="712">
        <f>IF((Sheet1!AA133+AG133+AX133+AZ133+BQ133+BS133+CL133+CN133)&lt;=N133,AG133+AX133+AZ133+BQ133+BS133+CL133+CN133,N133-Sheet1!AA133)</f>
        <v>11.630321910695743</v>
      </c>
      <c r="AK133" s="712">
        <f>IF(DR133&lt;K133,0,MAX(Sheet1!AA133+AG133-15/36*K133-N133,Sheet1!ED133,0))</f>
        <v>0</v>
      </c>
      <c r="AL133" s="712">
        <f>IF(OR(B133&gt;=FT133,B133&lt;FS133),0,15/36*K133-MAX(0,64.6-(137.6-(Sheet1!AA133+Sheet1!AB133))))</f>
        <v>26.933333333333334</v>
      </c>
      <c r="AM133" s="712">
        <f>Sheet1!CX133-110</f>
        <v>1355.9375</v>
      </c>
      <c r="AN133" s="712">
        <f>Sheet1!CW133-265</f>
        <v>2058.5416666666665</v>
      </c>
      <c r="AO133" s="712">
        <f t="shared" si="371"/>
        <v>31.369678089304259</v>
      </c>
      <c r="AP133" s="712">
        <f t="shared" si="372"/>
        <v>0</v>
      </c>
      <c r="AQ133" s="712">
        <f t="shared" si="399"/>
        <v>0</v>
      </c>
      <c r="AR133" s="712">
        <f t="shared" si="400"/>
        <v>1616.0000000000002</v>
      </c>
      <c r="AS133" s="712"/>
      <c r="AT133" s="712">
        <f ca="1">IF(B133&gt;Summary!$A$1,#N/A,AR133*MGtoAF)</f>
        <v>4957.8880000000008</v>
      </c>
      <c r="AU133" s="712">
        <f>Sheet1!BG133+Sheet1!BH133+Sheet1!BI133-BC133</f>
        <v>0</v>
      </c>
      <c r="AV133" s="712">
        <f t="shared" si="401"/>
        <v>0</v>
      </c>
      <c r="AW133" s="712">
        <f>IF(Sheet1!EL133="FM",BC133,0)</f>
        <v>0</v>
      </c>
      <c r="AX133" s="712">
        <f t="shared" si="402"/>
        <v>0</v>
      </c>
      <c r="AY133" s="712">
        <f>IF(Sheet1!EL133="OTHER",BC133,0)</f>
        <v>0</v>
      </c>
      <c r="AZ133" s="712">
        <f t="shared" si="403"/>
        <v>0</v>
      </c>
      <c r="BA133" s="712">
        <f t="shared" si="404"/>
        <v>0</v>
      </c>
      <c r="BB133" s="712">
        <f t="shared" si="405"/>
        <v>0</v>
      </c>
      <c r="BC133" s="712">
        <f>IF(OR(Sheet1!EL133="FM", Sheet1!EL133="OTHER"),SUM(Sheet1!BG133:'Sheet1'!BI133),0)</f>
        <v>0</v>
      </c>
      <c r="BD133" s="697">
        <f>IF(AND($B133&gt;=$FL133,$B133&lt;=$FM133),MAX(AV133,Sheet1!EE133,0),MAX(AV133-(7/36)*$K133,0))</f>
        <v>0</v>
      </c>
      <c r="BE133" s="712">
        <f t="shared" si="406"/>
        <v>12.568888888888889</v>
      </c>
      <c r="BF133" s="697">
        <f t="shared" si="373"/>
        <v>0</v>
      </c>
      <c r="BG133" s="697">
        <f>IF(AND($O133&gt;0,Sheet1!EI133=1),(1-($O133-Sheet1!$L133)/$O133)*BB133,0)</f>
        <v>0</v>
      </c>
      <c r="BH133" s="697">
        <f>IF(AND(Sheet1!$L133=0,Sheet1!$L132=0, Calculation!BA133&lt;Sheet1!$EE133-0.1,Sheet1!$EE133=Sheet1!$EE132,Sheet1!$EE133=Sheet1!$EE134),Sheet1!$EE133,BB133-BG133)</f>
        <v>0</v>
      </c>
      <c r="BI133" s="712"/>
      <c r="BJ133" s="712"/>
      <c r="BK133" s="712">
        <f t="shared" si="407"/>
        <v>754.13333333333242</v>
      </c>
      <c r="BL133" s="712"/>
      <c r="BM133" s="712">
        <f ca="1">IF(B133&gt;Summary!$A$1,#N/A,BK133*MGtoAF)</f>
        <v>2313.6810666666638</v>
      </c>
      <c r="BN133" s="712">
        <f>Sheet1!BC133+Sheet1!BD133+Sheet1!BE133+Sheet1!BF133-BW133-BX133</f>
        <v>2.0300000000000002</v>
      </c>
      <c r="BO133" s="712">
        <f t="shared" si="408"/>
        <v>2.1079958463136039</v>
      </c>
      <c r="BP133" s="712">
        <f>IF(Sheet1!EM133="FM",BX133,0)</f>
        <v>0</v>
      </c>
      <c r="BQ133" s="712">
        <f t="shared" si="409"/>
        <v>0</v>
      </c>
      <c r="BR133" s="712">
        <f>IF(Sheet1!EM133="OTHER",BX133,0)</f>
        <v>0</v>
      </c>
      <c r="BS133" s="712">
        <f t="shared" si="410"/>
        <v>0</v>
      </c>
      <c r="BT133" s="712">
        <f t="shared" si="411"/>
        <v>0</v>
      </c>
      <c r="BU133" s="712">
        <f t="shared" si="412"/>
        <v>2.0300000000000002</v>
      </c>
      <c r="BV133" s="712">
        <f t="shared" si="413"/>
        <v>2.1079958463136039</v>
      </c>
      <c r="BW133" s="712">
        <f>IF(Sheet1!EM133="CWA",SUM(Sheet1!BC133:'Sheet1'!BF133),0)</f>
        <v>0</v>
      </c>
      <c r="BX133" s="712">
        <f>IF(OR(Sheet1!EM133="FM", Sheet1!EM133="OTHER"),SUM(Sheet1!BC133:'Sheet1'!BF133),0)</f>
        <v>0</v>
      </c>
      <c r="BY133" s="697">
        <f>IF(AND($B133&gt;=$FL133,$B133&lt;=$FM133),MAX(BV133,Sheet1!EF133,0),MAX(BV133-(7/36)*$K133,0))</f>
        <v>0</v>
      </c>
      <c r="BZ133" s="712">
        <f t="shared" si="414"/>
        <v>10.460893042575286</v>
      </c>
      <c r="CA133" s="697">
        <f t="shared" si="374"/>
        <v>2.1079958463136039</v>
      </c>
      <c r="CB133" s="697">
        <f>IF(AND($O133&gt;0,Sheet1!EJ133=1),(1-($O133-Sheet1!$L133)/$O133)*BV133,0)</f>
        <v>0</v>
      </c>
      <c r="CC133" s="697">
        <f>IF(AND(Sheet1!$L133=0,Sheet1!$L132=0, Calculation!BU133&lt;Sheet1!EF133-0.1,Sheet1!EF133=Sheet1!EF132,Sheet1!EF133=Sheet1!EF134),Sheet1!EF133,BV133-CB133)</f>
        <v>2.5</v>
      </c>
      <c r="CD133" s="697"/>
      <c r="CE133" s="712"/>
      <c r="CF133" s="712">
        <f t="shared" si="415"/>
        <v>650.75788651940434</v>
      </c>
      <c r="CG133" s="712"/>
      <c r="CH133" s="712">
        <f ca="1">IF(B133&gt;Summary!$A$1,#N/A,CF133*MGtoAF)</f>
        <v>1996.5251958415326</v>
      </c>
      <c r="CI133" s="712">
        <f>Sheet1!BK133+Sheet1!BL133+Sheet1!BM133-Sheet1!EN133-CQ133</f>
        <v>6.0299999999999994</v>
      </c>
      <c r="CJ133" s="712">
        <f t="shared" si="416"/>
        <v>6.2616822429906538</v>
      </c>
      <c r="CK133" s="712">
        <f>IF(Sheet1!EN133="FM",CQ133,0)</f>
        <v>0</v>
      </c>
      <c r="CL133" s="712">
        <f t="shared" si="417"/>
        <v>0</v>
      </c>
      <c r="CM133" s="712">
        <f>IF(Sheet1!EN133="OTHER",CQ133,0)</f>
        <v>0</v>
      </c>
      <c r="CN133" s="712">
        <f t="shared" si="418"/>
        <v>0</v>
      </c>
      <c r="CO133" s="712">
        <f t="shared" si="419"/>
        <v>6.0299999999999994</v>
      </c>
      <c r="CP133" s="712">
        <f t="shared" si="420"/>
        <v>6.2616822429906538</v>
      </c>
      <c r="CQ133" s="712">
        <f>IF(OR(Sheet1!EN133="FM", Sheet1!EN133="OTHER"),SUM(Sheet1!BK133:'Sheet1'!BM133),0)</f>
        <v>0</v>
      </c>
      <c r="CR133" s="697">
        <f>IF(AND($B133&gt;=$FL133,$B133&lt;=$FM133),MAX($CJ133,Sheet1!EG133,0),MAX($CJ133-(7/36)*$K133,0))</f>
        <v>0</v>
      </c>
      <c r="CS133" s="712">
        <f t="shared" si="421"/>
        <v>6.3072066458982352</v>
      </c>
      <c r="CT133" s="697">
        <f t="shared" si="375"/>
        <v>6.2616822429906538</v>
      </c>
      <c r="CU133" s="697">
        <f>IF(AND($O133&gt;0,Sheet1!EK133=1),(1-($O133-Sheet1!$L133)/$O133)*CP133,0)</f>
        <v>0</v>
      </c>
      <c r="CV133" s="697">
        <f>IF(AND(Sheet1!$L133=0,Sheet1!$L132=0, Calculation!CO133&lt;Sheet1!$EG133-0.1,Sheet1!$EG133=Sheet1!$EG132,Sheet1!$EG133=Sheet1!$EG134),Sheet1!$EG133,CP133-CU133)</f>
        <v>6.2616822429906538</v>
      </c>
      <c r="CW133" s="697">
        <f t="shared" si="362"/>
        <v>0</v>
      </c>
      <c r="CX133" s="712">
        <f t="shared" si="379"/>
        <v>8.0599999999999987</v>
      </c>
      <c r="CY133" s="712">
        <f t="shared" si="422"/>
        <v>506.36102748589656</v>
      </c>
      <c r="CZ133" s="712">
        <f t="shared" si="423"/>
        <v>8.3696780893042586</v>
      </c>
      <c r="DA133" s="712">
        <f ca="1">IF(B133&gt;Summary!$A$1,#N/A,CY133*MGtoAF)</f>
        <v>1553.5156323267306</v>
      </c>
      <c r="DB133" s="712">
        <f t="shared" si="424"/>
        <v>8.0599999999999987</v>
      </c>
      <c r="DC133" s="712">
        <f t="shared" si="425"/>
        <v>19.259999999999998</v>
      </c>
      <c r="DD133" s="712">
        <f>Sheet1!AB133-DC133</f>
        <v>0.74000000000000199</v>
      </c>
      <c r="DE133" s="712">
        <f t="shared" si="426"/>
        <v>3.8421599169262827E-2</v>
      </c>
      <c r="DF133" s="712">
        <f>(VLOOKUP(Sheet1!CY133,hhdcap_wcm,4)-(((VLOOKUP(Sheet1!CY133,hhdcap_wcm,3)-Sheet1!CY133)/(VLOOKUP(Sheet1!CY133,hhdcap_wcm,3)-VLOOKUP(Sheet1!CY133,hhdcap_wcm,1)))*(VLOOKUP(Sheet1!CY133,hhdcap_wcm,4)-VLOOKUP(Sheet1!CY133,hhdcap_wcm,2))))</f>
        <v>31220.680000077882</v>
      </c>
      <c r="DG133" s="712">
        <f t="shared" si="427"/>
        <v>-107.0400000002046</v>
      </c>
      <c r="DH133" s="712">
        <f t="shared" si="428"/>
        <v>-53.978819969845986</v>
      </c>
      <c r="DI133" s="712">
        <f>Sheet1!DW133*AFtoMG</f>
        <v>0</v>
      </c>
      <c r="DJ133" s="712">
        <f>Sheet1!DX133*AFtoMG</f>
        <v>0</v>
      </c>
      <c r="DK133" s="712">
        <f>Sheet1!DY133*AFtoMG</f>
        <v>0</v>
      </c>
      <c r="DL133" s="712">
        <f>Sheet1!DZ133*AFtoMG</f>
        <v>0</v>
      </c>
      <c r="DM133" s="712">
        <f t="shared" si="429"/>
        <v>0</v>
      </c>
      <c r="DN133" s="712">
        <f t="shared" si="430"/>
        <v>0</v>
      </c>
      <c r="DO133" s="712">
        <f t="shared" si="431"/>
        <v>3527.2522473386334</v>
      </c>
      <c r="DP133" s="712">
        <f t="shared" si="432"/>
        <v>10821.609894834928</v>
      </c>
      <c r="DQ133" s="712"/>
      <c r="DR133" s="697">
        <f>IF(OR(B133&lt;FL133,B133&gt;FM133),(MIN(AV133+BO133+CJ133+MAX(Sheet1!AA133+AG133-73,0),K133)),0)</f>
        <v>8.3696780893042586</v>
      </c>
      <c r="DS133" s="712"/>
      <c r="DT133" s="712">
        <f t="shared" si="433"/>
        <v>8.3696780893042586</v>
      </c>
      <c r="DU133" s="712"/>
      <c r="DV133" s="712">
        <f>Sheet1!ED133+Sheet1!EE133+Sheet1!EF133+Sheet1!EG133</f>
        <v>8.5</v>
      </c>
      <c r="DW133" s="712"/>
      <c r="DX133" s="697">
        <f t="shared" si="376"/>
        <v>0</v>
      </c>
      <c r="DY133" s="712">
        <f>IF(Sheet1!FN133=1,SUM('Calculations II'!AT133:BA133)+'Calculations II'!BC133+Sheet1!BU133+'Calculations II'!BE133+AF133,SUM('Calculations II'!AT133:BA133)+'Calculations II'!BC133+Sheet1!BU133+'Calculations II'!BE133+AF133)</f>
        <v>45.131664000000001</v>
      </c>
      <c r="DZ133" s="712">
        <f>Sheet1!AA133+Sheet1!AB133+'Calculations II'!BC133</f>
        <v>53.009599999999999</v>
      </c>
      <c r="EA133" s="712"/>
      <c r="EB133" s="712"/>
      <c r="EC133" s="712">
        <f t="shared" si="434"/>
        <v>40662</v>
      </c>
      <c r="ED133" s="712">
        <f t="shared" si="435"/>
        <v>56.270321910695742</v>
      </c>
      <c r="EE133" s="712">
        <f t="shared" si="436"/>
        <v>87.050187995846315</v>
      </c>
      <c r="EF133" s="712">
        <f>-(VLOOKUP(Sheet1!BQ133,Lookup!$B$4:$J$236,2)-VLOOKUP(Sheet1!BQ132,Lookup!$B$4:$J$236,2))/1000000</f>
        <v>0.54759999999999998</v>
      </c>
      <c r="EG133" s="712">
        <f>-(VLOOKUP(Sheet1!BR133,Lookup!$B$4:$J$236,3)-VLOOKUP(Sheet1!BR132,Lookup!$B$4:$J$236,3))/1000000</f>
        <v>0.54679999999999995</v>
      </c>
      <c r="EH133" s="712">
        <f>-(VLOOKUP(Sheet1!BS133,Lookup!$B$4:$J$236,4)-VLOOKUP(Sheet1!BS132,Lookup!$B$4:$J$236,4))/1000000</f>
        <v>0</v>
      </c>
      <c r="EI133" s="697">
        <f t="shared" si="380"/>
        <v>1.0943999999999998</v>
      </c>
      <c r="EJ133" s="712"/>
      <c r="EK133" s="712"/>
      <c r="EL133" s="712"/>
      <c r="EM133" s="712"/>
      <c r="EN133" s="712"/>
      <c r="EO133" s="712"/>
      <c r="EP133" s="712"/>
      <c r="EQ133" s="712"/>
      <c r="ER133" s="697">
        <v>0</v>
      </c>
      <c r="ES133" s="712"/>
      <c r="ET133" s="794" t="e">
        <f t="shared" si="437"/>
        <v>#N/A</v>
      </c>
      <c r="EU133" s="794" t="e">
        <f t="shared" si="363"/>
        <v>#VALUE!</v>
      </c>
      <c r="EV133" s="795" t="e">
        <f t="shared" si="364"/>
        <v>#VALUE!</v>
      </c>
      <c r="EW133" s="796" t="s">
        <v>757</v>
      </c>
      <c r="EX133" s="796" t="s">
        <v>757</v>
      </c>
      <c r="EY133" s="794">
        <v>0</v>
      </c>
      <c r="EZ133" s="794" t="e">
        <v>#N/A</v>
      </c>
      <c r="FA133" s="712"/>
      <c r="FB133" s="712"/>
      <c r="FC133" s="712"/>
      <c r="FD133" s="712"/>
      <c r="FE133" s="712">
        <f>O133+Sheet1!CO133</f>
        <v>2140</v>
      </c>
      <c r="FF133" s="712">
        <f>IF(Sheet1!AA133+AG133&lt;=Calculation!N133,AG133,Calculation!N133-Sheet1!AA133)</f>
        <v>11.630321910695743</v>
      </c>
      <c r="FG133" s="712">
        <f>(Sheet1!BP133+Sheet1!BO133)/694.4</f>
        <v>1.4053859447004609</v>
      </c>
      <c r="FH133" s="712"/>
      <c r="FI133" s="712"/>
      <c r="FJ133" s="712"/>
      <c r="FK133" s="712"/>
      <c r="FL133" s="714">
        <f t="shared" si="381"/>
        <v>40753</v>
      </c>
      <c r="FM133" s="714">
        <f t="shared" si="382"/>
        <v>40851</v>
      </c>
      <c r="FN133" s="712"/>
      <c r="FO133" s="712"/>
      <c r="FP133" s="712"/>
      <c r="FQ133" s="712"/>
      <c r="FR133" s="712"/>
      <c r="FS133" s="725">
        <f t="shared" si="383"/>
        <v>40603</v>
      </c>
      <c r="FT133" s="714">
        <f t="shared" si="384"/>
        <v>40709</v>
      </c>
      <c r="FU133" s="712">
        <f t="shared" si="385"/>
        <v>6518.9048239895692</v>
      </c>
      <c r="FV133" s="714">
        <f t="shared" si="386"/>
        <v>40722</v>
      </c>
      <c r="FW133" s="712">
        <f t="shared" si="387"/>
        <v>3259.4524119947846</v>
      </c>
      <c r="FX133" s="725">
        <f t="shared" si="388"/>
        <v>40851</v>
      </c>
      <c r="FZ133" s="697">
        <f t="shared" si="365"/>
        <v>0</v>
      </c>
      <c r="GA133" s="712" t="str">
        <f t="shared" si="438"/>
        <v/>
      </c>
      <c r="GB133" s="712">
        <f t="shared" si="439"/>
        <v>0</v>
      </c>
      <c r="GC133" s="712" t="str">
        <f t="shared" si="440"/>
        <v/>
      </c>
      <c r="GD133" s="712">
        <f>IF(GA133="P",Lookup!$M$12,IF(GA133="PP",Lookup!$M$13,IF(GA133="PPP",Lookup!$M$14,IF(GA133="T",Lookup!$M$15,IF(GA133="TP",Lookup!$M$16,IF(GA133="TPP",Lookup!$M$17,IF(GA133="TPPP",Lookup!$M$18,0)))))))*FZ133</f>
        <v>0</v>
      </c>
      <c r="GE133" s="712">
        <f t="shared" si="441"/>
        <v>0</v>
      </c>
      <c r="GF133" s="712">
        <f t="shared" si="442"/>
        <v>4957.8880000000008</v>
      </c>
      <c r="GG133" s="712">
        <f t="shared" si="443"/>
        <v>1616.0000000000002</v>
      </c>
      <c r="GH133" s="712"/>
      <c r="GI133" s="712">
        <f t="shared" si="444"/>
        <v>0</v>
      </c>
      <c r="GJ133" s="712" t="str">
        <f t="shared" si="445"/>
        <v/>
      </c>
      <c r="GK133" s="712">
        <f>IF(GA133="P",Lookup!$N$12,IF(GA133="PP",Lookup!$N$13,IF(GA133="PPP",Lookup!$N$14,IF(GA133="T",Lookup!$N$15,IF(GA133="TP",Lookup!$N$16,IF(GA133="TPP",Lookup!$N$17,IF(GA133="TPPP",Lookup!$N$18,0)))))))*FZ133</f>
        <v>0</v>
      </c>
      <c r="GL133" s="712">
        <f t="shared" si="446"/>
        <v>0</v>
      </c>
      <c r="GM133" s="712">
        <f t="shared" si="447"/>
        <v>2313.6810666666638</v>
      </c>
      <c r="GN133" s="712">
        <f t="shared" si="448"/>
        <v>754.13333333333242</v>
      </c>
      <c r="GO133" s="712"/>
      <c r="GP133" s="712">
        <f t="shared" si="449"/>
        <v>0</v>
      </c>
      <c r="GQ133" s="712" t="str">
        <f t="shared" si="450"/>
        <v/>
      </c>
      <c r="GR133" s="712">
        <f>IF(GA133="P",Lookup!$N$12,IF(GA133="PP",Lookup!$N$13,IF(GA133="PPP",Lookup!$N$14,IF(GA133="T",Lookup!$N$15,IF(GA133="TP",Lookup!$N$16,IF(GA133="TPP",Lookup!$N$17,IF(GA133="TPPP",Lookup!$N$18,0)))))))*FZ133</f>
        <v>0</v>
      </c>
      <c r="GS133" s="697">
        <f t="shared" si="377"/>
        <v>0</v>
      </c>
      <c r="GT133" s="712">
        <f t="shared" si="451"/>
        <v>1996.5251958415326</v>
      </c>
      <c r="GU133" s="712">
        <f t="shared" si="452"/>
        <v>650.75788651940434</v>
      </c>
      <c r="GV133" s="712"/>
      <c r="GW133" s="712">
        <f t="shared" si="453"/>
        <v>0</v>
      </c>
      <c r="GX133" s="712" t="str">
        <f t="shared" si="454"/>
        <v/>
      </c>
      <c r="GY133" s="712">
        <f>IF(GA133="P",Lookup!$N$12,IF(GA133="PP",Lookup!$N$13,IF(GA133="PPP",Lookup!$N$14,IF(GA133="T",Lookup!$N$15,IF(GA133="TP",Lookup!$N$16,IF(GA133="TPP",Lookup!$N$17,IF(GA133="TPPP",Lookup!$N$18,0)))))))*FZ133</f>
        <v>0</v>
      </c>
      <c r="GZ133" s="697">
        <f t="shared" si="378"/>
        <v>0</v>
      </c>
      <c r="HA133" s="712">
        <f t="shared" si="455"/>
        <v>1553.5156323267306</v>
      </c>
      <c r="HB133" s="712">
        <f t="shared" si="456"/>
        <v>506.36102748589656</v>
      </c>
      <c r="HC133" s="712"/>
    </row>
    <row r="134" spans="1:211">
      <c r="A134" s="773" t="s">
        <v>9</v>
      </c>
      <c r="B134" s="708">
        <v>40663</v>
      </c>
      <c r="C134" s="709">
        <v>0.5</v>
      </c>
      <c r="D134" s="675">
        <f t="shared" si="366"/>
        <v>300</v>
      </c>
      <c r="E134" s="675">
        <f t="shared" si="367"/>
        <v>250</v>
      </c>
      <c r="F134" s="675">
        <v>250</v>
      </c>
      <c r="G134" s="712">
        <f>DH134+Sheet1!CV134</f>
        <v>1351.7881538525896</v>
      </c>
      <c r="H134" s="712">
        <f t="shared" si="389"/>
        <v>606.83266265031386</v>
      </c>
      <c r="I134" s="711">
        <f>MAX(Sheet1!Z134-AJ134+(Sheet1!CW134-E134)*CFStoMGD,0)</f>
        <v>1236.646692281766</v>
      </c>
      <c r="J134" s="720">
        <f>IF(AND(B134&gt;=Calculation!FS134,B134&lt;=Calculation!FT134),IF(Sheet1!CX134&gt;=Calculation!D134,64.64,0),MAX(Sheet1!Z134-AJ134+(Sheet1!CX134-D134)*CFStoMGD,0))</f>
        <v>64.64</v>
      </c>
      <c r="K134" s="697">
        <f t="shared" si="368"/>
        <v>64.64</v>
      </c>
      <c r="L134" s="712">
        <f>Sheet1!AA134+Sheet1!AB134-Sheet1!L134+(Sheet1!CW134-F134)*CFStoMGD</f>
        <v>1280.8913333333333</v>
      </c>
      <c r="M134" s="712">
        <f t="shared" si="390"/>
        <v>891.27177990332029</v>
      </c>
      <c r="N134" s="712">
        <f>IF(Sheet1!CW134&gt;=F134,MIN(73,MIN(MAX(L134,0),MAX(M134,0))),0)</f>
        <v>73</v>
      </c>
      <c r="O134" s="721">
        <f>Sheet1!AA134+Sheet1!AB134</f>
        <v>51.25</v>
      </c>
      <c r="P134" s="721">
        <f t="shared" si="391"/>
        <v>79.283749999999998</v>
      </c>
      <c r="Q134" s="712">
        <f>MIN(N134,Sheet1!AA134+AG134)</f>
        <v>43.694641051567238</v>
      </c>
      <c r="R134" s="712">
        <f t="shared" si="392"/>
        <v>7.555358948432759</v>
      </c>
      <c r="S134" s="721">
        <f>Sheet1!Y134*MGDtoCFS</f>
        <v>46.781279999999995</v>
      </c>
      <c r="T134" s="721">
        <f>Sheet1!Z134*MGDtoCFS</f>
        <v>30.475899999999996</v>
      </c>
      <c r="U134" s="721">
        <f>Sheet1!AA134*MGDtoCFS</f>
        <v>47.957000000000001</v>
      </c>
      <c r="V134" s="721">
        <f>Sheet1!AB134*MGDtoCFS</f>
        <v>31.326749999999997</v>
      </c>
      <c r="W134" s="721">
        <f>Sheet1!L134*MGDtoCFS</f>
        <v>0</v>
      </c>
      <c r="X134" s="697">
        <f t="shared" si="369"/>
        <v>0</v>
      </c>
      <c r="Y134" s="712">
        <f t="shared" si="393"/>
        <v>0</v>
      </c>
      <c r="Z134" s="712">
        <f t="shared" si="394"/>
        <v>57.084641051567239</v>
      </c>
      <c r="AA134" s="712">
        <f t="shared" si="395"/>
        <v>88.309939706774514</v>
      </c>
      <c r="AB134" s="712">
        <f>(VLOOKUP(Sheet1!CY134,hhdcap_wcm,4)-(((VLOOKUP(Sheet1!CY134,hhdcap_wcm,3)-Sheet1!CY134)/(VLOOKUP(Sheet1!CY134,hhdcap_wcm,3)-VLOOKUP(Sheet1!CY134,hhdcap_wcm,1)))*(VLOOKUP(Sheet1!CY134,hhdcap_wcm,4)-VLOOKUP(Sheet1!CY134,hhdcap_wcm,2))))</f>
        <v>31167.440000076658</v>
      </c>
      <c r="AC134" s="712">
        <f t="shared" si="396"/>
        <v>-53.240000001223962</v>
      </c>
      <c r="AD134" s="712">
        <f t="shared" si="370"/>
        <v>3584.3368883902008</v>
      </c>
      <c r="AE134" s="712">
        <f t="shared" si="397"/>
        <v>10996.745573581136</v>
      </c>
      <c r="AF134" s="712">
        <f>Sheet1!BA134+Sheet1!BB134+Sheet1!BN134+BT134</f>
        <v>12.4</v>
      </c>
      <c r="AG134" s="712">
        <f t="shared" si="398"/>
        <v>12.69464105156724</v>
      </c>
      <c r="AH134" s="712">
        <f>Sheet1!BA134+BT134</f>
        <v>0</v>
      </c>
      <c r="AI134" s="712">
        <f>Sheet1!BA134+Sheet1!BB134+BT134</f>
        <v>0</v>
      </c>
      <c r="AJ134" s="712">
        <f>IF((Sheet1!AA134+AG134+AX134+AZ134+BQ134+BS134+CL134+CN134)&lt;=N134,AG134+AX134+AZ134+BQ134+BS134+CL134+CN134,N134-Sheet1!AA134)</f>
        <v>12.69464105156724</v>
      </c>
      <c r="AK134" s="712">
        <f>IF(DR134&lt;K134,0,MAX(Sheet1!AA134+AG134-15/36*K134-N134,Sheet1!ED134,0))</f>
        <v>0</v>
      </c>
      <c r="AL134" s="712">
        <f>IF(OR(B134&gt;=FT134,B134&lt;FS134),0,15/36*K134-MAX(0,64.6-(137.6-(Sheet1!AA134+Sheet1!AB134))))</f>
        <v>26.933333333333334</v>
      </c>
      <c r="AM134" s="712">
        <f>Sheet1!CX134-110</f>
        <v>1262.2916666666667</v>
      </c>
      <c r="AN134" s="712">
        <f>Sheet1!CW134-265</f>
        <v>1887.2916666666665</v>
      </c>
      <c r="AO134" s="712">
        <f t="shared" si="371"/>
        <v>29.305358948432762</v>
      </c>
      <c r="AP134" s="712">
        <f t="shared" si="372"/>
        <v>0</v>
      </c>
      <c r="AQ134" s="712">
        <f t="shared" si="399"/>
        <v>0</v>
      </c>
      <c r="AR134" s="712">
        <f t="shared" si="400"/>
        <v>1642.9333333333336</v>
      </c>
      <c r="AS134" s="712"/>
      <c r="AT134" s="712">
        <f ca="1">IF(B134&gt;Summary!$A$1,#N/A,AR134*MGtoAF)</f>
        <v>5040.5194666666675</v>
      </c>
      <c r="AU134" s="712">
        <f>Sheet1!BG134+Sheet1!BH134+Sheet1!BI134-BC134</f>
        <v>0</v>
      </c>
      <c r="AV134" s="712">
        <f t="shared" si="401"/>
        <v>0</v>
      </c>
      <c r="AW134" s="712">
        <f>IF(Sheet1!EL134="FM",BC134,0)</f>
        <v>0</v>
      </c>
      <c r="AX134" s="712">
        <f t="shared" si="402"/>
        <v>0</v>
      </c>
      <c r="AY134" s="712">
        <f>IF(Sheet1!EL134="OTHER",BC134,0)</f>
        <v>0</v>
      </c>
      <c r="AZ134" s="712">
        <f t="shared" si="403"/>
        <v>0</v>
      </c>
      <c r="BA134" s="712">
        <f t="shared" si="404"/>
        <v>0</v>
      </c>
      <c r="BB134" s="712">
        <f t="shared" si="405"/>
        <v>0</v>
      </c>
      <c r="BC134" s="712">
        <f>IF(OR(Sheet1!EL134="FM", Sheet1!EL134="OTHER"),SUM(Sheet1!BG134:'Sheet1'!BI134),0)</f>
        <v>0</v>
      </c>
      <c r="BD134" s="697">
        <f>IF(AND($B134&gt;=$FL134,$B134&lt;=$FM134),MAX(AV134,Sheet1!EE134,0),MAX(AV134-(7/36)*$K134,0))</f>
        <v>0</v>
      </c>
      <c r="BE134" s="712">
        <f t="shared" si="406"/>
        <v>12.568888888888889</v>
      </c>
      <c r="BF134" s="697">
        <f t="shared" si="373"/>
        <v>0</v>
      </c>
      <c r="BG134" s="697">
        <f>IF(AND($O134&gt;0,Sheet1!EI134=1),(1-($O134-Sheet1!$L134)/$O134)*BB134,0)</f>
        <v>0</v>
      </c>
      <c r="BH134" s="697">
        <f>IF(AND(Sheet1!$L134=0,Sheet1!$L133=0, Calculation!BA134&lt;Sheet1!$EE134-0.1,Sheet1!$EE134=Sheet1!$EE133,Sheet1!$EE134=Sheet1!$EE135),Sheet1!$EE134,BB134-BG134)</f>
        <v>0</v>
      </c>
      <c r="BI134" s="712"/>
      <c r="BJ134" s="712"/>
      <c r="BK134" s="712">
        <f t="shared" si="407"/>
        <v>766.70222222222128</v>
      </c>
      <c r="BL134" s="712"/>
      <c r="BM134" s="712">
        <f ca="1">IF(B134&gt;Summary!$A$1,#N/A,BK134*MGtoAF)</f>
        <v>2352.2424177777748</v>
      </c>
      <c r="BN134" s="712">
        <f>Sheet1!BC134+Sheet1!BD134+Sheet1!BE134+Sheet1!BF134-BW134-BX134</f>
        <v>1.35</v>
      </c>
      <c r="BO134" s="712">
        <f t="shared" si="408"/>
        <v>1.3820778564206269</v>
      </c>
      <c r="BP134" s="712">
        <f>IF(Sheet1!EM134="FM",BX134,0)</f>
        <v>0</v>
      </c>
      <c r="BQ134" s="712">
        <f t="shared" si="409"/>
        <v>0</v>
      </c>
      <c r="BR134" s="712">
        <f>IF(Sheet1!EM134="OTHER",BX134,0)</f>
        <v>0</v>
      </c>
      <c r="BS134" s="712">
        <f t="shared" si="410"/>
        <v>0</v>
      </c>
      <c r="BT134" s="712">
        <f t="shared" si="411"/>
        <v>0</v>
      </c>
      <c r="BU134" s="712">
        <f t="shared" si="412"/>
        <v>1.35</v>
      </c>
      <c r="BV134" s="712">
        <f t="shared" si="413"/>
        <v>1.3820778564206269</v>
      </c>
      <c r="BW134" s="712">
        <f>IF(Sheet1!EM134="CWA",SUM(Sheet1!BC134:'Sheet1'!BF134),0)</f>
        <v>0</v>
      </c>
      <c r="BX134" s="712">
        <f>IF(OR(Sheet1!EM134="FM", Sheet1!EM134="OTHER"),SUM(Sheet1!BC134:'Sheet1'!BF134),0)</f>
        <v>0</v>
      </c>
      <c r="BY134" s="697">
        <f>IF(AND($B134&gt;=$FL134,$B134&lt;=$FM134),MAX(BV134,Sheet1!EF134,0),MAX(BV134-(7/36)*$K134,0))</f>
        <v>0</v>
      </c>
      <c r="BZ134" s="712">
        <f t="shared" si="414"/>
        <v>11.186811032468261</v>
      </c>
      <c r="CA134" s="697">
        <f t="shared" si="374"/>
        <v>1.3820778564206269</v>
      </c>
      <c r="CB134" s="697">
        <f>IF(AND($O134&gt;0,Sheet1!EJ134=1),(1-($O134-Sheet1!$L134)/$O134)*BV134,0)</f>
        <v>0</v>
      </c>
      <c r="CC134" s="697">
        <f>IF(AND(Sheet1!$L134=0,Sheet1!$L133=0, Calculation!BU134&lt;Sheet1!EF134-0.1,Sheet1!EF134=Sheet1!EF133,Sheet1!EF134=Sheet1!EF135),Sheet1!EF134,BV134-CB134)</f>
        <v>2.5</v>
      </c>
      <c r="CD134" s="697"/>
      <c r="CE134" s="712"/>
      <c r="CF134" s="712">
        <f t="shared" si="415"/>
        <v>661.94469755187265</v>
      </c>
      <c r="CG134" s="712"/>
      <c r="CH134" s="712">
        <f ca="1">IF(B134&gt;Summary!$A$1,#N/A,CF134*MGtoAF)</f>
        <v>2030.8463320891453</v>
      </c>
      <c r="CI134" s="712">
        <f>Sheet1!BK134+Sheet1!BL134+Sheet1!BM134-Sheet1!EN134-CQ134</f>
        <v>6.0299999999999994</v>
      </c>
      <c r="CJ134" s="712">
        <f t="shared" si="416"/>
        <v>6.1732810920121324</v>
      </c>
      <c r="CK134" s="712">
        <f>IF(Sheet1!EN134="FM",CQ134,0)</f>
        <v>0</v>
      </c>
      <c r="CL134" s="712">
        <f t="shared" si="417"/>
        <v>0</v>
      </c>
      <c r="CM134" s="712">
        <f>IF(Sheet1!EN134="OTHER",CQ134,0)</f>
        <v>0</v>
      </c>
      <c r="CN134" s="712">
        <f t="shared" si="418"/>
        <v>0</v>
      </c>
      <c r="CO134" s="712">
        <f t="shared" si="419"/>
        <v>6.0299999999999994</v>
      </c>
      <c r="CP134" s="712">
        <f t="shared" si="420"/>
        <v>6.1732810920121324</v>
      </c>
      <c r="CQ134" s="712">
        <f>IF(OR(Sheet1!EN134="FM", Sheet1!EN134="OTHER"),SUM(Sheet1!BK134:'Sheet1'!BM134),0)</f>
        <v>0</v>
      </c>
      <c r="CR134" s="697">
        <f>IF(AND($B134&gt;=$FL134,$B134&lt;=$FM134),MAX($CJ134,Sheet1!EG134,0),MAX($CJ134-(7/36)*$K134,0))</f>
        <v>0</v>
      </c>
      <c r="CS134" s="712">
        <f t="shared" si="421"/>
        <v>6.3956077968767566</v>
      </c>
      <c r="CT134" s="697">
        <f t="shared" si="375"/>
        <v>6.1732810920121324</v>
      </c>
      <c r="CU134" s="697">
        <f>IF(AND($O134&gt;0,Sheet1!EK134=1),(1-($O134-Sheet1!$L134)/$O134)*CP134,0)</f>
        <v>0</v>
      </c>
      <c r="CV134" s="697">
        <f>IF(AND(Sheet1!$L134=0,Sheet1!$L133=0, Calculation!CO134&lt;Sheet1!$EG134-0.1,Sheet1!$EG134=Sheet1!$EG133,Sheet1!$EG134=Sheet1!$EG135),Sheet1!$EG134,CP134-CU134)</f>
        <v>6.1732810920121324</v>
      </c>
      <c r="CW134" s="697">
        <f t="shared" si="362"/>
        <v>0</v>
      </c>
      <c r="CX134" s="712">
        <f t="shared" si="379"/>
        <v>7.379999999999999</v>
      </c>
      <c r="CY134" s="712">
        <f t="shared" si="422"/>
        <v>512.75663528277335</v>
      </c>
      <c r="CZ134" s="712">
        <f t="shared" si="423"/>
        <v>7.555358948432759</v>
      </c>
      <c r="DA134" s="712">
        <f ca="1">IF(B134&gt;Summary!$A$1,#N/A,CY134*MGtoAF)</f>
        <v>1573.1373570475487</v>
      </c>
      <c r="DB134" s="712">
        <f t="shared" si="424"/>
        <v>7.379999999999999</v>
      </c>
      <c r="DC134" s="712">
        <f t="shared" si="425"/>
        <v>19.78</v>
      </c>
      <c r="DD134" s="712">
        <f>Sheet1!AB134-DC134</f>
        <v>0.46999999999999886</v>
      </c>
      <c r="DE134" s="712">
        <f t="shared" si="426"/>
        <v>2.3761375126390233E-2</v>
      </c>
      <c r="DF134" s="712">
        <f>(VLOOKUP(Sheet1!CY134,hhdcap_wcm,4)-(((VLOOKUP(Sheet1!CY134,hhdcap_wcm,3)-Sheet1!CY134)/(VLOOKUP(Sheet1!CY134,hhdcap_wcm,3)-VLOOKUP(Sheet1!CY134,hhdcap_wcm,1)))*(VLOOKUP(Sheet1!CY134,hhdcap_wcm,4)-VLOOKUP(Sheet1!CY134,hhdcap_wcm,2))))</f>
        <v>31167.440000076658</v>
      </c>
      <c r="DG134" s="712">
        <f t="shared" si="427"/>
        <v>-53.240000001223962</v>
      </c>
      <c r="DH134" s="712">
        <f t="shared" si="428"/>
        <v>-26.848209783774056</v>
      </c>
      <c r="DI134" s="712">
        <f>Sheet1!DW134*AFtoMG</f>
        <v>0</v>
      </c>
      <c r="DJ134" s="712">
        <f>Sheet1!DX134*AFtoMG</f>
        <v>0</v>
      </c>
      <c r="DK134" s="712">
        <f>Sheet1!DY134*AFtoMG</f>
        <v>0</v>
      </c>
      <c r="DL134" s="712">
        <f>Sheet1!DZ134*AFtoMG</f>
        <v>0</v>
      </c>
      <c r="DM134" s="712">
        <f t="shared" si="429"/>
        <v>0</v>
      </c>
      <c r="DN134" s="712">
        <f t="shared" si="430"/>
        <v>0</v>
      </c>
      <c r="DO134" s="712">
        <f t="shared" si="431"/>
        <v>3584.3368883902008</v>
      </c>
      <c r="DP134" s="712">
        <f t="shared" si="432"/>
        <v>10996.745573581136</v>
      </c>
      <c r="DQ134" s="712"/>
      <c r="DR134" s="697">
        <f>IF(OR(B134&lt;FL134,B134&gt;FM134),(MIN(AV134+BO134+CJ134+MAX(Sheet1!AA134+AG134-73,0),K134)),0)</f>
        <v>7.555358948432759</v>
      </c>
      <c r="DS134" s="712"/>
      <c r="DT134" s="712">
        <f t="shared" si="433"/>
        <v>7.555358948432759</v>
      </c>
      <c r="DU134" s="712"/>
      <c r="DV134" s="712">
        <f>Sheet1!ED134+Sheet1!EE134+Sheet1!EF134+Sheet1!EG134</f>
        <v>8.5</v>
      </c>
      <c r="DW134" s="712"/>
      <c r="DX134" s="697">
        <f t="shared" si="376"/>
        <v>0</v>
      </c>
      <c r="DY134" s="712">
        <f>IF(Sheet1!FN134=1,SUM('Calculations II'!AT134:BA134)+'Calculations II'!BC134+Sheet1!BU134+'Calculations II'!BE134+AF134,SUM('Calculations II'!AT134:BA134)+'Calculations II'!BC134+Sheet1!BU134+'Calculations II'!BE134+AF134)</f>
        <v>44.546431999999996</v>
      </c>
      <c r="DZ134" s="712">
        <f>Sheet1!AA134+Sheet1!AB134+'Calculations II'!BC134</f>
        <v>54.255279999999999</v>
      </c>
      <c r="EA134" s="712"/>
      <c r="EB134" s="712"/>
      <c r="EC134" s="712">
        <f t="shared" si="434"/>
        <v>40663</v>
      </c>
      <c r="ED134" s="712">
        <f t="shared" si="435"/>
        <v>57.084641051567239</v>
      </c>
      <c r="EE134" s="712">
        <f t="shared" si="436"/>
        <v>88.309939706774514</v>
      </c>
      <c r="EF134" s="712">
        <f>-(VLOOKUP(Sheet1!BQ134,Lookup!$B$4:$J$236,2)-VLOOKUP(Sheet1!BQ133,Lookup!$B$4:$J$236,2))/1000000</f>
        <v>0</v>
      </c>
      <c r="EG134" s="712">
        <f>-(VLOOKUP(Sheet1!BR134,Lookup!$B$4:$J$236,3)-VLOOKUP(Sheet1!BR133,Lookup!$B$4:$J$236,3))/1000000</f>
        <v>0.27339999999999998</v>
      </c>
      <c r="EH134" s="712">
        <f>-(VLOOKUP(Sheet1!BS134,Lookup!$B$4:$J$236,4)-VLOOKUP(Sheet1!BS133,Lookup!$B$4:$J$236,4))/1000000</f>
        <v>0</v>
      </c>
      <c r="EI134" s="697">
        <f t="shared" si="380"/>
        <v>0.27339999999999998</v>
      </c>
      <c r="EJ134" s="712"/>
      <c r="EK134" s="712"/>
      <c r="EL134" s="712"/>
      <c r="EM134" s="712"/>
      <c r="EN134" s="712"/>
      <c r="EO134" s="712"/>
      <c r="EP134" s="712"/>
      <c r="EQ134" s="712"/>
      <c r="ER134" s="697">
        <v>0</v>
      </c>
      <c r="ES134" s="712"/>
      <c r="ET134" s="794" t="e">
        <f t="shared" si="437"/>
        <v>#N/A</v>
      </c>
      <c r="EU134" s="794" t="e">
        <f t="shared" si="363"/>
        <v>#VALUE!</v>
      </c>
      <c r="EV134" s="795" t="e">
        <f t="shared" si="364"/>
        <v>#VALUE!</v>
      </c>
      <c r="EW134" s="796" t="s">
        <v>757</v>
      </c>
      <c r="EX134" s="796" t="s">
        <v>757</v>
      </c>
      <c r="EY134" s="794">
        <v>0</v>
      </c>
      <c r="EZ134" s="794" t="e">
        <v>#N/A</v>
      </c>
      <c r="FA134" s="712"/>
      <c r="FB134" s="712"/>
      <c r="FC134" s="712"/>
      <c r="FD134" s="712"/>
      <c r="FE134" s="712">
        <f>O134+Sheet1!CO134</f>
        <v>2138.25</v>
      </c>
      <c r="FF134" s="712">
        <f>IF(Sheet1!AA134+AG134&lt;=Calculation!N134,AG134,Calculation!N134-Sheet1!AA134)</f>
        <v>12.69464105156724</v>
      </c>
      <c r="FG134" s="712">
        <f>(Sheet1!BP134+Sheet1!BO134)/694.4</f>
        <v>2.4893433179723501</v>
      </c>
      <c r="FH134" s="712"/>
      <c r="FI134" s="712"/>
      <c r="FJ134" s="712"/>
      <c r="FK134" s="712"/>
      <c r="FL134" s="714">
        <f t="shared" si="381"/>
        <v>40753</v>
      </c>
      <c r="FM134" s="714">
        <f t="shared" si="382"/>
        <v>40851</v>
      </c>
      <c r="FN134" s="712"/>
      <c r="FO134" s="712"/>
      <c r="FP134" s="712"/>
      <c r="FQ134" s="712"/>
      <c r="FR134" s="712"/>
      <c r="FS134" s="725">
        <f t="shared" si="383"/>
        <v>40603</v>
      </c>
      <c r="FT134" s="714">
        <f t="shared" si="384"/>
        <v>40709</v>
      </c>
      <c r="FU134" s="712">
        <f t="shared" si="385"/>
        <v>6518.9048239895692</v>
      </c>
      <c r="FV134" s="714">
        <f t="shared" si="386"/>
        <v>40722</v>
      </c>
      <c r="FW134" s="712">
        <f t="shared" si="387"/>
        <v>3259.4524119947846</v>
      </c>
      <c r="FX134" s="725">
        <f t="shared" si="388"/>
        <v>40851</v>
      </c>
      <c r="FZ134" s="697">
        <f t="shared" si="365"/>
        <v>0</v>
      </c>
      <c r="GA134" s="712" t="str">
        <f t="shared" si="438"/>
        <v/>
      </c>
      <c r="GB134" s="712">
        <f t="shared" si="439"/>
        <v>0</v>
      </c>
      <c r="GC134" s="712" t="str">
        <f t="shared" si="440"/>
        <v/>
      </c>
      <c r="GD134" s="712">
        <f>IF(GA134="P",Lookup!$M$12,IF(GA134="PP",Lookup!$M$13,IF(GA134="PPP",Lookup!$M$14,IF(GA134="T",Lookup!$M$15,IF(GA134="TP",Lookup!$M$16,IF(GA134="TPP",Lookup!$M$17,IF(GA134="TPPP",Lookup!$M$18,0)))))))*FZ134</f>
        <v>0</v>
      </c>
      <c r="GE134" s="712">
        <f t="shared" si="441"/>
        <v>0</v>
      </c>
      <c r="GF134" s="712">
        <f t="shared" si="442"/>
        <v>5040.5194666666675</v>
      </c>
      <c r="GG134" s="712">
        <f t="shared" si="443"/>
        <v>1642.9333333333336</v>
      </c>
      <c r="GH134" s="712"/>
      <c r="GI134" s="712">
        <f t="shared" si="444"/>
        <v>0</v>
      </c>
      <c r="GJ134" s="712" t="str">
        <f t="shared" si="445"/>
        <v/>
      </c>
      <c r="GK134" s="712">
        <f>IF(GA134="P",Lookup!$N$12,IF(GA134="PP",Lookup!$N$13,IF(GA134="PPP",Lookup!$N$14,IF(GA134="T",Lookup!$N$15,IF(GA134="TP",Lookup!$N$16,IF(GA134="TPP",Lookup!$N$17,IF(GA134="TPPP",Lookup!$N$18,0)))))))*FZ134</f>
        <v>0</v>
      </c>
      <c r="GL134" s="712">
        <f t="shared" si="446"/>
        <v>0</v>
      </c>
      <c r="GM134" s="712">
        <f t="shared" si="447"/>
        <v>2352.2424177777748</v>
      </c>
      <c r="GN134" s="712">
        <f t="shared" si="448"/>
        <v>766.70222222222128</v>
      </c>
      <c r="GO134" s="712"/>
      <c r="GP134" s="712">
        <f t="shared" si="449"/>
        <v>0</v>
      </c>
      <c r="GQ134" s="712" t="str">
        <f t="shared" si="450"/>
        <v/>
      </c>
      <c r="GR134" s="712">
        <f>IF(GA134="P",Lookup!$N$12,IF(GA134="PP",Lookup!$N$13,IF(GA134="PPP",Lookup!$N$14,IF(GA134="T",Lookup!$N$15,IF(GA134="TP",Lookup!$N$16,IF(GA134="TPP",Lookup!$N$17,IF(GA134="TPPP",Lookup!$N$18,0)))))))*FZ134</f>
        <v>0</v>
      </c>
      <c r="GS134" s="697">
        <f t="shared" si="377"/>
        <v>0</v>
      </c>
      <c r="GT134" s="712">
        <f t="shared" si="451"/>
        <v>2030.8463320891453</v>
      </c>
      <c r="GU134" s="712">
        <f t="shared" si="452"/>
        <v>661.94469755187265</v>
      </c>
      <c r="GV134" s="712"/>
      <c r="GW134" s="712">
        <f t="shared" si="453"/>
        <v>0</v>
      </c>
      <c r="GX134" s="712" t="str">
        <f t="shared" si="454"/>
        <v/>
      </c>
      <c r="GY134" s="712">
        <f>IF(GA134="P",Lookup!$N$12,IF(GA134="PP",Lookup!$N$13,IF(GA134="PPP",Lookup!$N$14,IF(GA134="T",Lookup!$N$15,IF(GA134="TP",Lookup!$N$16,IF(GA134="TPP",Lookup!$N$17,IF(GA134="TPPP",Lookup!$N$18,0)))))))*FZ134</f>
        <v>0</v>
      </c>
      <c r="GZ134" s="697">
        <f t="shared" si="378"/>
        <v>0</v>
      </c>
      <c r="HA134" s="712">
        <f t="shared" si="455"/>
        <v>1573.1373570475487</v>
      </c>
      <c r="HB134" s="712">
        <f t="shared" si="456"/>
        <v>512.75663528277335</v>
      </c>
      <c r="HC134" s="712"/>
    </row>
    <row r="135" spans="1:211">
      <c r="A135" s="773" t="s">
        <v>3</v>
      </c>
      <c r="B135" s="708">
        <v>40664</v>
      </c>
      <c r="C135" s="719">
        <v>0.5</v>
      </c>
      <c r="D135" s="675">
        <f t="shared" si="366"/>
        <v>300</v>
      </c>
      <c r="E135" s="675">
        <f t="shared" si="367"/>
        <v>250</v>
      </c>
      <c r="F135" s="710">
        <v>250</v>
      </c>
      <c r="G135" s="712">
        <f>DH135+Sheet1!CV135</f>
        <v>1257.726585063853</v>
      </c>
      <c r="H135" s="712">
        <f t="shared" si="389"/>
        <v>546.03126458527458</v>
      </c>
      <c r="I135" s="711">
        <f>MAX(Sheet1!Z135-AJ135+(Sheet1!CW135-E135)*CFStoMGD,0)</f>
        <v>1202.6872073437764</v>
      </c>
      <c r="J135" s="720">
        <f>IF(AND(B135&gt;=Calculation!FS135,B135&lt;=Calculation!FT135),IF(Sheet1!CX135&gt;=Calculation!D135,64.64,0),MAX(Sheet1!Z135-AJ135+(Sheet1!CX135-D135)*CFStoMGD,0))</f>
        <v>64.64</v>
      </c>
      <c r="K135" s="697">
        <f t="shared" si="368"/>
        <v>64.64</v>
      </c>
      <c r="L135" s="712">
        <f>Sheet1!AA135+Sheet1!AB135-Sheet1!L135+(Sheet1!CW135-F135)*CFStoMGD</f>
        <v>1245.2666666666726</v>
      </c>
      <c r="M135" s="712">
        <f t="shared" si="390"/>
        <v>829.25435387698008</v>
      </c>
      <c r="N135" s="712">
        <f>IF(Sheet1!CW135&gt;=F135,MIN(73,MIN(MAX(L135,0),MAX(M135,0))),0)</f>
        <v>73</v>
      </c>
      <c r="O135" s="721">
        <f>Sheet1!AA135+Sheet1!AB135</f>
        <v>50.100000000005821</v>
      </c>
      <c r="P135" s="721">
        <f t="shared" si="391"/>
        <v>77.504700000008995</v>
      </c>
      <c r="Q135" s="712">
        <f>MIN(N135,Sheet1!AA135+AG135)</f>
        <v>42.429459322896172</v>
      </c>
      <c r="R135" s="712">
        <f t="shared" si="392"/>
        <v>7.6705406771096509</v>
      </c>
      <c r="S135" s="721">
        <f>Sheet1!Y135*MGDtoCFS</f>
        <v>46.626579999999997</v>
      </c>
      <c r="T135" s="721">
        <f>Sheet1!Z135*MGDtoCFS</f>
        <v>30.70795</v>
      </c>
      <c r="U135" s="721">
        <f>Sheet1!AA135*MGDtoCFS</f>
        <v>46.564700000009005</v>
      </c>
      <c r="V135" s="721">
        <f>Sheet1!AB135*MGDtoCFS</f>
        <v>30.939999999999998</v>
      </c>
      <c r="W135" s="721">
        <f>Sheet1!L135*MGDtoCFS</f>
        <v>0</v>
      </c>
      <c r="X135" s="697">
        <f t="shared" si="369"/>
        <v>0</v>
      </c>
      <c r="Y135" s="712">
        <f t="shared" si="393"/>
        <v>0</v>
      </c>
      <c r="Z135" s="712">
        <f t="shared" si="394"/>
        <v>56.969459322890351</v>
      </c>
      <c r="AA135" s="712">
        <f t="shared" si="395"/>
        <v>88.131753572511371</v>
      </c>
      <c r="AB135" s="712">
        <f>(VLOOKUP(Sheet1!CY135,hhdcap_wcm,4)-(((VLOOKUP(Sheet1!CY135,hhdcap_wcm,3)-Sheet1!CY135)/(VLOOKUP(Sheet1!CY135,hhdcap_wcm,3)-VLOOKUP(Sheet1!CY135,hhdcap_wcm,1)))*(VLOOKUP(Sheet1!CY135,hhdcap_wcm,4)-VLOOKUP(Sheet1!CY135,hhdcap_wcm,2))))</f>
        <v>30930.38000007646</v>
      </c>
      <c r="AC135" s="712">
        <f t="shared" si="396"/>
        <v>-237.06000000019776</v>
      </c>
      <c r="AD135" s="712">
        <f t="shared" si="370"/>
        <v>3641.3063477130913</v>
      </c>
      <c r="AE135" s="712">
        <f t="shared" si="397"/>
        <v>11171.527874783764</v>
      </c>
      <c r="AF135" s="712">
        <f>Sheet1!BA135+Sheet1!BB135+Sheet1!BN135+BT135</f>
        <v>12.2</v>
      </c>
      <c r="AG135" s="712">
        <f t="shared" si="398"/>
        <v>12.329459322890349</v>
      </c>
      <c r="AH135" s="712">
        <f>Sheet1!BA135+BT135</f>
        <v>0</v>
      </c>
      <c r="AI135" s="712">
        <f>Sheet1!BA135+Sheet1!BB135+BT135</f>
        <v>0</v>
      </c>
      <c r="AJ135" s="712">
        <f>IF((Sheet1!AA135+AG135+AX135+AZ135+BQ135+BS135+CL135+CN135)&lt;=N135,AG135+AX135+AZ135+BQ135+BS135+CL135+CN135,N135-Sheet1!AA135)</f>
        <v>12.329459322890349</v>
      </c>
      <c r="AK135" s="712">
        <f>IF(DR135&lt;K135,0,MAX(Sheet1!AA135+AG135-15/36*K135-N135,Sheet1!ED135,0))</f>
        <v>0</v>
      </c>
      <c r="AL135" s="712">
        <f>IF(OR(B135&gt;=FT135,B135&lt;FS135),0,15/36*K135-MAX(0,64.6-(137.6-(Sheet1!AA135+Sheet1!AB135))))</f>
        <v>26.933333333333334</v>
      </c>
      <c r="AM135" s="712">
        <f>Sheet1!CX135-110</f>
        <v>1250.1041666666667</v>
      </c>
      <c r="AN135" s="712">
        <f>Sheet1!CW135-265</f>
        <v>1833.9583333333335</v>
      </c>
      <c r="AO135" s="712">
        <f t="shared" si="371"/>
        <v>30.570540677103828</v>
      </c>
      <c r="AP135" s="712">
        <f t="shared" si="372"/>
        <v>0</v>
      </c>
      <c r="AQ135" s="712">
        <f t="shared" si="399"/>
        <v>0</v>
      </c>
      <c r="AR135" s="712">
        <f t="shared" si="400"/>
        <v>1669.866666666667</v>
      </c>
      <c r="AS135" s="712"/>
      <c r="AT135" s="712">
        <f ca="1">IF(B135&gt;Summary!$A$1,#N/A,AR135*MGtoAF)</f>
        <v>5123.1509333333343</v>
      </c>
      <c r="AU135" s="712">
        <f>Sheet1!BG135+Sheet1!BH135+Sheet1!BI135-BC135</f>
        <v>0</v>
      </c>
      <c r="AV135" s="712">
        <f t="shared" si="401"/>
        <v>0</v>
      </c>
      <c r="AW135" s="712">
        <f>IF(Sheet1!EL135="FM",BC135,0)</f>
        <v>0</v>
      </c>
      <c r="AX135" s="712">
        <f t="shared" si="402"/>
        <v>0</v>
      </c>
      <c r="AY135" s="712">
        <f>IF(Sheet1!EL135="OTHER",BC135,0)</f>
        <v>0</v>
      </c>
      <c r="AZ135" s="712">
        <f t="shared" si="403"/>
        <v>0</v>
      </c>
      <c r="BA135" s="712">
        <f t="shared" si="404"/>
        <v>0</v>
      </c>
      <c r="BB135" s="712">
        <f t="shared" si="405"/>
        <v>0</v>
      </c>
      <c r="BC135" s="712">
        <f>IF(OR(Sheet1!EL135="FM", Sheet1!EL135="OTHER"),SUM(Sheet1!BG135:'Sheet1'!BI135),0)</f>
        <v>0</v>
      </c>
      <c r="BD135" s="697">
        <f>IF(AND($B135&gt;=$FL135,$B135&lt;=$FM135),MAX(AV135,Sheet1!EE135,0),MAX(AV135-(7/36)*$K135,0))</f>
        <v>0</v>
      </c>
      <c r="BE135" s="712">
        <f t="shared" si="406"/>
        <v>12.568888888888889</v>
      </c>
      <c r="BF135" s="697">
        <f t="shared" si="373"/>
        <v>0</v>
      </c>
      <c r="BG135" s="697">
        <f>IF(AND($O135&gt;0,Sheet1!EI135=1),(1-($O135-Sheet1!$L135)/$O135)*BB135,0)</f>
        <v>0</v>
      </c>
      <c r="BH135" s="697">
        <f>IF(AND(Sheet1!$L135=0,Sheet1!$L134=0, Calculation!BA135&lt;Sheet1!$EE135-0.1,Sheet1!$EE135=Sheet1!$EE134,Sheet1!$EE135=Sheet1!$EE136),Sheet1!$EE135,BB135-BG135)</f>
        <v>0</v>
      </c>
      <c r="BI135" s="712"/>
      <c r="BJ135" s="712"/>
      <c r="BK135" s="712">
        <f t="shared" si="407"/>
        <v>779.27111111111014</v>
      </c>
      <c r="BL135" s="712"/>
      <c r="BM135" s="712">
        <f ca="1">IF(B135&gt;Summary!$A$1,#N/A,BK135*MGtoAF)</f>
        <v>2390.8037688888858</v>
      </c>
      <c r="BN135" s="712">
        <f>Sheet1!BC135+Sheet1!BD135+Sheet1!BE135+Sheet1!BF135-BW135-BX135</f>
        <v>1.56</v>
      </c>
      <c r="BO135" s="712">
        <f t="shared" si="408"/>
        <v>1.5765538150581102</v>
      </c>
      <c r="BP135" s="712">
        <f>IF(Sheet1!EM135="FM",BX135,0)</f>
        <v>0</v>
      </c>
      <c r="BQ135" s="712">
        <f t="shared" si="409"/>
        <v>0</v>
      </c>
      <c r="BR135" s="712">
        <f>IF(Sheet1!EM135="OTHER",BX135,0)</f>
        <v>0</v>
      </c>
      <c r="BS135" s="712">
        <f t="shared" si="410"/>
        <v>0</v>
      </c>
      <c r="BT135" s="712">
        <f t="shared" si="411"/>
        <v>0</v>
      </c>
      <c r="BU135" s="712">
        <f t="shared" si="412"/>
        <v>1.56</v>
      </c>
      <c r="BV135" s="712">
        <f t="shared" si="413"/>
        <v>1.5765538150581102</v>
      </c>
      <c r="BW135" s="712">
        <f>IF(Sheet1!EM135="CWA",SUM(Sheet1!BC135:'Sheet1'!BF135),0)</f>
        <v>0</v>
      </c>
      <c r="BX135" s="712">
        <f>IF(OR(Sheet1!EM135="FM", Sheet1!EM135="OTHER"),SUM(Sheet1!BC135:'Sheet1'!BF135),0)</f>
        <v>0</v>
      </c>
      <c r="BY135" s="697">
        <f>IF(AND($B135&gt;=$FL135,$B135&lt;=$FM135),MAX(BV135,Sheet1!EF135,0),MAX(BV135-(7/36)*$K135,0))</f>
        <v>0</v>
      </c>
      <c r="BZ135" s="712">
        <f t="shared" si="414"/>
        <v>10.992335073830779</v>
      </c>
      <c r="CA135" s="697">
        <f t="shared" si="374"/>
        <v>1.5765538150581102</v>
      </c>
      <c r="CB135" s="697">
        <f>IF(AND($O135&gt;0,Sheet1!EJ135=1),(1-($O135-Sheet1!$L135)/$O135)*BV135,0)</f>
        <v>0</v>
      </c>
      <c r="CC135" s="697">
        <f>IF(AND(Sheet1!$L135=0,Sheet1!$L134=0, Calculation!BU135&lt;Sheet1!EF135-0.1,Sheet1!EF135=Sheet1!EF134,Sheet1!EF135=Sheet1!EF136),Sheet1!EF135,BV135-CB135)</f>
        <v>2.5</v>
      </c>
      <c r="CD135" s="697"/>
      <c r="CE135" s="712"/>
      <c r="CF135" s="712">
        <f t="shared" si="415"/>
        <v>672.93703262570341</v>
      </c>
      <c r="CG135" s="712"/>
      <c r="CH135" s="712">
        <f ca="1">IF(B135&gt;Summary!$A$1,#N/A,CF135*MGtoAF)</f>
        <v>2064.5708160956583</v>
      </c>
      <c r="CI135" s="712">
        <f>Sheet1!BK135+Sheet1!BL135+Sheet1!BM135-Sheet1!EN135-CQ135</f>
        <v>6.0299999999999994</v>
      </c>
      <c r="CJ135" s="712">
        <f t="shared" si="416"/>
        <v>6.0939868620515405</v>
      </c>
      <c r="CK135" s="712">
        <f>IF(Sheet1!EN135="FM",CQ135,0)</f>
        <v>0</v>
      </c>
      <c r="CL135" s="712">
        <f t="shared" si="417"/>
        <v>0</v>
      </c>
      <c r="CM135" s="712">
        <f>IF(Sheet1!EN135="OTHER",CQ135,0)</f>
        <v>0</v>
      </c>
      <c r="CN135" s="712">
        <f t="shared" si="418"/>
        <v>0</v>
      </c>
      <c r="CO135" s="712">
        <f t="shared" si="419"/>
        <v>6.0299999999999994</v>
      </c>
      <c r="CP135" s="712">
        <f t="shared" si="420"/>
        <v>6.0939868620515405</v>
      </c>
      <c r="CQ135" s="712">
        <f>IF(OR(Sheet1!EN135="FM", Sheet1!EN135="OTHER"),SUM(Sheet1!BK135:'Sheet1'!BM135),0)</f>
        <v>0</v>
      </c>
      <c r="CR135" s="697">
        <f>IF(AND($B135&gt;=$FL135,$B135&lt;=$FM135),MAX($CJ135,Sheet1!EG135,0),MAX($CJ135-(7/36)*$K135,0))</f>
        <v>0</v>
      </c>
      <c r="CS135" s="712">
        <f t="shared" si="421"/>
        <v>6.4749020268373485</v>
      </c>
      <c r="CT135" s="697">
        <f t="shared" si="375"/>
        <v>6.0939868620515405</v>
      </c>
      <c r="CU135" s="697">
        <f>IF(AND($O135&gt;0,Sheet1!EK135=1),(1-($O135-Sheet1!$L135)/$O135)*CP135,0)</f>
        <v>0</v>
      </c>
      <c r="CV135" s="697">
        <f>IF(AND(Sheet1!$L135=0,Sheet1!$L134=0, Calculation!CO135&lt;Sheet1!$EG135-0.1,Sheet1!$EG135=Sheet1!$EG134,Sheet1!$EG135=Sheet1!$EG136),Sheet1!$EG135,CP135-CU135)</f>
        <v>6.0939868620515405</v>
      </c>
      <c r="CW135" s="697">
        <f t="shared" si="362"/>
        <v>0</v>
      </c>
      <c r="CX135" s="712">
        <f t="shared" si="379"/>
        <v>7.59</v>
      </c>
      <c r="CY135" s="712">
        <f t="shared" si="422"/>
        <v>519.23153730961064</v>
      </c>
      <c r="CZ135" s="712">
        <f t="shared" si="423"/>
        <v>7.6705406771096509</v>
      </c>
      <c r="DA135" s="712">
        <f ca="1">IF(B135&gt;Summary!$A$1,#N/A,CY135*MGtoAF)</f>
        <v>1593.0023564658854</v>
      </c>
      <c r="DB135" s="712">
        <f t="shared" si="424"/>
        <v>7.59</v>
      </c>
      <c r="DC135" s="712">
        <f t="shared" si="425"/>
        <v>19.79</v>
      </c>
      <c r="DD135" s="712">
        <f>Sheet1!AB135-DC135</f>
        <v>0.21000000000000085</v>
      </c>
      <c r="DE135" s="712">
        <f t="shared" si="426"/>
        <v>1.0611419909045015E-2</v>
      </c>
      <c r="DF135" s="712">
        <f>(VLOOKUP(Sheet1!CY135,hhdcap_wcm,4)-(((VLOOKUP(Sheet1!CY135,hhdcap_wcm,3)-Sheet1!CY135)/(VLOOKUP(Sheet1!CY135,hhdcap_wcm,3)-VLOOKUP(Sheet1!CY135,hhdcap_wcm,1)))*(VLOOKUP(Sheet1!CY135,hhdcap_wcm,4)-VLOOKUP(Sheet1!CY135,hhdcap_wcm,2))))</f>
        <v>30930.38000007646</v>
      </c>
      <c r="DG135" s="712">
        <f t="shared" si="427"/>
        <v>-237.06000000019776</v>
      </c>
      <c r="DH135" s="712">
        <f t="shared" si="428"/>
        <v>-119.5461422088743</v>
      </c>
      <c r="DI135" s="712">
        <f>Sheet1!DW135*AFtoMG</f>
        <v>0</v>
      </c>
      <c r="DJ135" s="712">
        <f>Sheet1!DX135*AFtoMG</f>
        <v>0</v>
      </c>
      <c r="DK135" s="712">
        <f>Sheet1!DY135*AFtoMG</f>
        <v>0</v>
      </c>
      <c r="DL135" s="712">
        <f>Sheet1!DZ135*AFtoMG</f>
        <v>0</v>
      </c>
      <c r="DM135" s="712">
        <f t="shared" si="429"/>
        <v>0</v>
      </c>
      <c r="DN135" s="712">
        <f t="shared" si="430"/>
        <v>0</v>
      </c>
      <c r="DO135" s="712">
        <f t="shared" si="431"/>
        <v>3641.3063477130913</v>
      </c>
      <c r="DP135" s="712">
        <f t="shared" si="432"/>
        <v>11171.527874783764</v>
      </c>
      <c r="DQ135" s="712"/>
      <c r="DR135" s="697">
        <f>IF(OR(B135&lt;FL135,B135&gt;FM135),(MIN(AV135+BO135+CJ135+MAX(Sheet1!AA135+AG135-73,0),K135)),0)</f>
        <v>7.6705406771096509</v>
      </c>
      <c r="DS135" s="712"/>
      <c r="DT135" s="712">
        <f t="shared" si="433"/>
        <v>7.6705406771096509</v>
      </c>
      <c r="DU135" s="712"/>
      <c r="DV135" s="712">
        <f>Sheet1!ED135+Sheet1!EE135+Sheet1!EF135+Sheet1!EG135</f>
        <v>8.5</v>
      </c>
      <c r="DW135" s="712"/>
      <c r="DX135" s="697">
        <f t="shared" si="376"/>
        <v>0</v>
      </c>
      <c r="DY135" s="712">
        <f>IF(Sheet1!FN135=1,SUM('Calculations II'!AT135:BA135)+'Calculations II'!BC135+Sheet1!BU135+'Calculations II'!BE135+AF135,SUM('Calculations II'!AT135:BA135)+'Calculations II'!BC135+Sheet1!BU135+'Calculations II'!BE135+AF135)</f>
        <v>46.591520000000003</v>
      </c>
      <c r="DZ135" s="712">
        <f>Sheet1!AA135+Sheet1!AB135+'Calculations II'!BC135</f>
        <v>53.108160000005824</v>
      </c>
      <c r="EA135" s="712"/>
      <c r="EB135" s="712"/>
      <c r="EC135" s="712">
        <f t="shared" si="434"/>
        <v>40664</v>
      </c>
      <c r="ED135" s="712">
        <f t="shared" si="435"/>
        <v>56.969459322890351</v>
      </c>
      <c r="EE135" s="712">
        <f t="shared" si="436"/>
        <v>88.131753572511371</v>
      </c>
      <c r="EF135" s="712">
        <f>-(VLOOKUP(Sheet1!BQ135,Lookup!$B$4:$J$236,2)-VLOOKUP(Sheet1!BQ134,Lookup!$B$4:$J$236,2))/1000000</f>
        <v>0.81479999999999997</v>
      </c>
      <c r="EG135" s="712">
        <f>-(VLOOKUP(Sheet1!BR135,Lookup!$B$4:$J$236,3)-VLOOKUP(Sheet1!BR134,Lookup!$B$4:$J$236,3))/1000000</f>
        <v>0.81</v>
      </c>
      <c r="EH135" s="712">
        <f>-(VLOOKUP(Sheet1!BS135,Lookup!$B$4:$J$236,4)-VLOOKUP(Sheet1!BS134,Lookup!$B$4:$J$236,4))/1000000</f>
        <v>0</v>
      </c>
      <c r="EI135" s="697">
        <f t="shared" si="380"/>
        <v>1.6248</v>
      </c>
      <c r="EJ135" s="712"/>
      <c r="EK135" s="712"/>
      <c r="EL135" s="712"/>
      <c r="EM135" s="712"/>
      <c r="EN135" s="712"/>
      <c r="EO135" s="712"/>
      <c r="EP135" s="712"/>
      <c r="EQ135" s="712"/>
      <c r="ER135" s="697">
        <v>0</v>
      </c>
      <c r="ES135" s="712"/>
      <c r="ET135" s="794" t="e">
        <f t="shared" si="437"/>
        <v>#N/A</v>
      </c>
      <c r="EU135" s="794" t="e">
        <f t="shared" si="363"/>
        <v>#VALUE!</v>
      </c>
      <c r="EV135" s="795" t="e">
        <f t="shared" si="364"/>
        <v>#VALUE!</v>
      </c>
      <c r="EW135" s="796" t="s">
        <v>757</v>
      </c>
      <c r="EX135" s="796" t="s">
        <v>757</v>
      </c>
      <c r="EY135" s="794">
        <v>0</v>
      </c>
      <c r="EZ135" s="794" t="e">
        <v>#N/A</v>
      </c>
      <c r="FA135" s="712"/>
      <c r="FB135" s="712"/>
      <c r="FC135" s="712"/>
      <c r="FD135" s="712"/>
      <c r="FE135" s="712">
        <f>O135+Sheet1!CO135</f>
        <v>2139.1000000000058</v>
      </c>
      <c r="FF135" s="712">
        <f>IF(Sheet1!AA135+AG135&lt;=Calculation!N135,AG135,Calculation!N135-Sheet1!AA135)</f>
        <v>12.329459322890349</v>
      </c>
      <c r="FG135" s="712">
        <f>(Sheet1!BP135+Sheet1!BO135)/694.4</f>
        <v>1.9566532258064517</v>
      </c>
      <c r="FH135" s="712"/>
      <c r="FI135" s="712"/>
      <c r="FJ135" s="712"/>
      <c r="FK135" s="712"/>
      <c r="FL135" s="714">
        <f t="shared" si="381"/>
        <v>40753</v>
      </c>
      <c r="FM135" s="714">
        <f t="shared" si="382"/>
        <v>40851</v>
      </c>
      <c r="FN135" s="712"/>
      <c r="FO135" s="712"/>
      <c r="FP135" s="712"/>
      <c r="FQ135" s="712"/>
      <c r="FR135" s="712"/>
      <c r="FS135" s="725">
        <f t="shared" si="383"/>
        <v>40603</v>
      </c>
      <c r="FT135" s="714">
        <f t="shared" si="384"/>
        <v>40709</v>
      </c>
      <c r="FU135" s="712">
        <f t="shared" si="385"/>
        <v>6518.9048239895692</v>
      </c>
      <c r="FV135" s="714">
        <f t="shared" si="386"/>
        <v>40722</v>
      </c>
      <c r="FW135" s="712">
        <f t="shared" si="387"/>
        <v>3259.4524119947846</v>
      </c>
      <c r="FX135" s="725">
        <f t="shared" si="388"/>
        <v>40851</v>
      </c>
      <c r="FZ135" s="697">
        <f t="shared" si="365"/>
        <v>0</v>
      </c>
      <c r="GA135" s="712" t="str">
        <f t="shared" si="438"/>
        <v/>
      </c>
      <c r="GB135" s="712">
        <f t="shared" si="439"/>
        <v>0</v>
      </c>
      <c r="GC135" s="712" t="str">
        <f t="shared" si="440"/>
        <v/>
      </c>
      <c r="GD135" s="712">
        <f>IF(GA135="P",Lookup!$M$12,IF(GA135="PP",Lookup!$M$13,IF(GA135="PPP",Lookup!$M$14,IF(GA135="T",Lookup!$M$15,IF(GA135="TP",Lookup!$M$16,IF(GA135="TPP",Lookup!$M$17,IF(GA135="TPPP",Lookup!$M$18,0)))))))*FZ135</f>
        <v>0</v>
      </c>
      <c r="GE135" s="712">
        <f t="shared" si="441"/>
        <v>0</v>
      </c>
      <c r="GF135" s="712">
        <f t="shared" si="442"/>
        <v>5123.1509333333343</v>
      </c>
      <c r="GG135" s="712">
        <f t="shared" si="443"/>
        <v>1669.866666666667</v>
      </c>
      <c r="GH135" s="712"/>
      <c r="GI135" s="712">
        <f t="shared" si="444"/>
        <v>0</v>
      </c>
      <c r="GJ135" s="712" t="str">
        <f t="shared" si="445"/>
        <v/>
      </c>
      <c r="GK135" s="712">
        <f>IF(GA135="P",Lookup!$N$12,IF(GA135="PP",Lookup!$N$13,IF(GA135="PPP",Lookup!$N$14,IF(GA135="T",Lookup!$N$15,IF(GA135="TP",Lookup!$N$16,IF(GA135="TPP",Lookup!$N$17,IF(GA135="TPPP",Lookup!$N$18,0)))))))*FZ135</f>
        <v>0</v>
      </c>
      <c r="GL135" s="712">
        <f t="shared" si="446"/>
        <v>0</v>
      </c>
      <c r="GM135" s="712">
        <f t="shared" si="447"/>
        <v>2390.8037688888858</v>
      </c>
      <c r="GN135" s="712">
        <f t="shared" si="448"/>
        <v>779.27111111111014</v>
      </c>
      <c r="GO135" s="712"/>
      <c r="GP135" s="712">
        <f t="shared" si="449"/>
        <v>0</v>
      </c>
      <c r="GQ135" s="712" t="str">
        <f t="shared" si="450"/>
        <v/>
      </c>
      <c r="GR135" s="712">
        <f>IF(GA135="P",Lookup!$N$12,IF(GA135="PP",Lookup!$N$13,IF(GA135="PPP",Lookup!$N$14,IF(GA135="T",Lookup!$N$15,IF(GA135="TP",Lookup!$N$16,IF(GA135="TPP",Lookup!$N$17,IF(GA135="TPPP",Lookup!$N$18,0)))))))*FZ135</f>
        <v>0</v>
      </c>
      <c r="GS135" s="697">
        <f t="shared" si="377"/>
        <v>0</v>
      </c>
      <c r="GT135" s="712">
        <f t="shared" si="451"/>
        <v>2064.5708160956583</v>
      </c>
      <c r="GU135" s="712">
        <f t="shared" si="452"/>
        <v>672.93703262570341</v>
      </c>
      <c r="GV135" s="712"/>
      <c r="GW135" s="712">
        <f t="shared" si="453"/>
        <v>0</v>
      </c>
      <c r="GX135" s="712" t="str">
        <f t="shared" si="454"/>
        <v/>
      </c>
      <c r="GY135" s="712">
        <f>IF(GA135="P",Lookup!$N$12,IF(GA135="PP",Lookup!$N$13,IF(GA135="PPP",Lookup!$N$14,IF(GA135="T",Lookup!$N$15,IF(GA135="TP",Lookup!$N$16,IF(GA135="TPP",Lookup!$N$17,IF(GA135="TPPP",Lookup!$N$18,0)))))))*FZ135</f>
        <v>0</v>
      </c>
      <c r="GZ135" s="697">
        <f t="shared" si="378"/>
        <v>0</v>
      </c>
      <c r="HA135" s="712">
        <f t="shared" si="455"/>
        <v>1593.0023564658854</v>
      </c>
      <c r="HB135" s="712">
        <f t="shared" si="456"/>
        <v>519.23153730961064</v>
      </c>
      <c r="HC135" s="712"/>
    </row>
    <row r="136" spans="1:211">
      <c r="A136" s="773" t="s">
        <v>4</v>
      </c>
      <c r="B136" s="708">
        <v>40665</v>
      </c>
      <c r="C136" s="719">
        <v>0.5</v>
      </c>
      <c r="D136" s="675">
        <f t="shared" si="366"/>
        <v>300</v>
      </c>
      <c r="E136" s="675">
        <f t="shared" si="367"/>
        <v>250</v>
      </c>
      <c r="F136" s="675">
        <v>250</v>
      </c>
      <c r="G136" s="712">
        <f>DH136+Sheet1!CV136</f>
        <v>1352.0203548342733</v>
      </c>
      <c r="H136" s="712">
        <f t="shared" si="389"/>
        <v>606.98275736487426</v>
      </c>
      <c r="I136" s="711">
        <f>MAX(Sheet1!Z136-AJ136+(Sheet1!CW136-E136)*CFStoMGD,0)</f>
        <v>1181.3646258776328</v>
      </c>
      <c r="J136" s="720">
        <f>IF(AND(B136&gt;=Calculation!FS136,B136&lt;=Calculation!FT136),IF(Sheet1!CX136&gt;=Calculation!D136,64.64,0),MAX(Sheet1!Z136-AJ136+(Sheet1!CX136-D136)*CFStoMGD,0))</f>
        <v>64.64</v>
      </c>
      <c r="K136" s="697">
        <f t="shared" si="368"/>
        <v>64.64</v>
      </c>
      <c r="L136" s="712">
        <f>Sheet1!AA136+Sheet1!AB136-Sheet1!L136+(Sheet1!CW136-F136)*CFStoMGD</f>
        <v>1221.8559999999941</v>
      </c>
      <c r="M136" s="712">
        <f t="shared" si="390"/>
        <v>891.42487651217186</v>
      </c>
      <c r="N136" s="712">
        <f>IF(Sheet1!CW136&gt;=F136,MIN(73,MIN(MAX(L136,0),MAX(M136,0))),0)</f>
        <v>73</v>
      </c>
      <c r="O136" s="721">
        <f>Sheet1!AA136+Sheet1!AB136</f>
        <v>49.649999999994179</v>
      </c>
      <c r="P136" s="721">
        <f t="shared" si="391"/>
        <v>76.808549999990987</v>
      </c>
      <c r="Q136" s="712">
        <f>MIN(N136,Sheet1!AA136+AG136)</f>
        <v>41.191374122361282</v>
      </c>
      <c r="R136" s="712">
        <f t="shared" si="392"/>
        <v>8.4586258776328993</v>
      </c>
      <c r="S136" s="721">
        <f>Sheet1!Y136*MGDtoCFS</f>
        <v>46.487349999999999</v>
      </c>
      <c r="T136" s="721">
        <f>Sheet1!Z136*MGDtoCFS</f>
        <v>31.636149999999997</v>
      </c>
      <c r="U136" s="721">
        <f>Sheet1!AA136*MGDtoCFS</f>
        <v>46.255299999990996</v>
      </c>
      <c r="V136" s="721">
        <f>Sheet1!AB136*MGDtoCFS</f>
        <v>30.553249999999998</v>
      </c>
      <c r="W136" s="721">
        <f>Sheet1!L136*MGDtoCFS</f>
        <v>0</v>
      </c>
      <c r="X136" s="697">
        <f t="shared" si="369"/>
        <v>0</v>
      </c>
      <c r="Y136" s="712">
        <f t="shared" si="393"/>
        <v>0</v>
      </c>
      <c r="Z136" s="712">
        <f t="shared" si="394"/>
        <v>56.181374122367103</v>
      </c>
      <c r="AA136" s="712">
        <f t="shared" si="395"/>
        <v>86.912585767301906</v>
      </c>
      <c r="AB136" s="712">
        <f>(VLOOKUP(Sheet1!CY136,hhdcap_wcm,4)-(((VLOOKUP(Sheet1!CY136,hhdcap_wcm,3)-Sheet1!CY136)/(VLOOKUP(Sheet1!CY136,hhdcap_wcm,3)-VLOOKUP(Sheet1!CY136,hhdcap_wcm,1)))*(VLOOKUP(Sheet1!CY136,hhdcap_wcm,4)-VLOOKUP(Sheet1!CY136,hhdcap_wcm,2))))</f>
        <v>30983.060000076461</v>
      </c>
      <c r="AC136" s="712">
        <f t="shared" si="396"/>
        <v>52.680000000000291</v>
      </c>
      <c r="AD136" s="712">
        <f t="shared" si="370"/>
        <v>3697.4877218354586</v>
      </c>
      <c r="AE136" s="712">
        <f t="shared" si="397"/>
        <v>11343.892330591187</v>
      </c>
      <c r="AF136" s="712">
        <f>Sheet1!BA136+Sheet1!BB136+Sheet1!BN136+BT136</f>
        <v>11.4</v>
      </c>
      <c r="AG136" s="712">
        <f t="shared" si="398"/>
        <v>11.291374122367102</v>
      </c>
      <c r="AH136" s="712">
        <f>Sheet1!BA136+BT136</f>
        <v>0</v>
      </c>
      <c r="AI136" s="712">
        <f>Sheet1!BA136+Sheet1!BB136+BT136</f>
        <v>0</v>
      </c>
      <c r="AJ136" s="712">
        <f>IF((Sheet1!AA136+AG136+AX136+AZ136+BQ136+BS136+CL136+CN136)&lt;=N136,AG136+AX136+AZ136+BQ136+BS136+CL136+CN136,N136-Sheet1!AA136)</f>
        <v>11.291374122367102</v>
      </c>
      <c r="AK136" s="712">
        <f>IF(DR136&lt;K136,0,MAX(Sheet1!AA136+AG136-15/36*K136-N136,Sheet1!ED136,0))</f>
        <v>0</v>
      </c>
      <c r="AL136" s="712">
        <f>IF(OR(B136&gt;=FT136,B136&lt;FS136),0,15/36*K136-MAX(0,64.6-(137.6-(Sheet1!AA136+Sheet1!AB136))))</f>
        <v>26.933333333333334</v>
      </c>
      <c r="AM136" s="712">
        <f>Sheet1!CX136-110</f>
        <v>1193.8541666666667</v>
      </c>
      <c r="AN136" s="712">
        <f>Sheet1!CW136-265</f>
        <v>1798.4375</v>
      </c>
      <c r="AO136" s="712">
        <f t="shared" si="371"/>
        <v>31.808625877638718</v>
      </c>
      <c r="AP136" s="712">
        <f t="shared" si="372"/>
        <v>0</v>
      </c>
      <c r="AQ136" s="712">
        <f t="shared" si="399"/>
        <v>0</v>
      </c>
      <c r="AR136" s="712">
        <f t="shared" si="400"/>
        <v>1696.8000000000004</v>
      </c>
      <c r="AS136" s="712"/>
      <c r="AT136" s="712">
        <f ca="1">IF(B136&gt;Summary!$A$1,#N/A,AR136*MGtoAF)</f>
        <v>5205.782400000001</v>
      </c>
      <c r="AU136" s="712">
        <f>Sheet1!BG136+Sheet1!BH136+Sheet1!BI136-BC136</f>
        <v>0</v>
      </c>
      <c r="AV136" s="712">
        <f t="shared" si="401"/>
        <v>0</v>
      </c>
      <c r="AW136" s="712">
        <f>IF(Sheet1!EL136="FM",BC136,0)</f>
        <v>0</v>
      </c>
      <c r="AX136" s="712">
        <f t="shared" si="402"/>
        <v>0</v>
      </c>
      <c r="AY136" s="712">
        <f>IF(Sheet1!EL136="OTHER",BC136,0)</f>
        <v>0</v>
      </c>
      <c r="AZ136" s="712">
        <f t="shared" si="403"/>
        <v>0</v>
      </c>
      <c r="BA136" s="712">
        <f t="shared" si="404"/>
        <v>0</v>
      </c>
      <c r="BB136" s="712">
        <f t="shared" si="405"/>
        <v>0</v>
      </c>
      <c r="BC136" s="712">
        <f>IF(OR(Sheet1!EL136="FM", Sheet1!EL136="OTHER"),SUM(Sheet1!BG136:'Sheet1'!BI136),0)</f>
        <v>0</v>
      </c>
      <c r="BD136" s="697">
        <f>IF(AND($B136&gt;=$FL136,$B136&lt;=$FM136),MAX(AV136,Sheet1!EE136,0),MAX(AV136-(7/36)*$K136,0))</f>
        <v>0</v>
      </c>
      <c r="BE136" s="712">
        <f t="shared" si="406"/>
        <v>12.568888888888889</v>
      </c>
      <c r="BF136" s="697">
        <f t="shared" si="373"/>
        <v>0</v>
      </c>
      <c r="BG136" s="697">
        <f>IF(AND($O136&gt;0,Sheet1!EI136=1),(1-($O136-Sheet1!$L136)/$O136)*BB136,0)</f>
        <v>0</v>
      </c>
      <c r="BH136" s="697">
        <f>IF(AND(Sheet1!$L136=0,Sheet1!$L135=0, Calculation!BA136&lt;Sheet1!$EE136-0.1,Sheet1!$EE136=Sheet1!$EE135,Sheet1!$EE136=Sheet1!$EE137),Sheet1!$EE136,BB136-BG136)</f>
        <v>0</v>
      </c>
      <c r="BI136" s="712"/>
      <c r="BJ136" s="712"/>
      <c r="BK136" s="712">
        <f t="shared" si="407"/>
        <v>791.83999999999901</v>
      </c>
      <c r="BL136" s="712"/>
      <c r="BM136" s="712">
        <f ca="1">IF(B136&gt;Summary!$A$1,#N/A,BK136*MGtoAF)</f>
        <v>2429.3651199999972</v>
      </c>
      <c r="BN136" s="712">
        <f>Sheet1!BC136+Sheet1!BD136+Sheet1!BE136+Sheet1!BF136-BW136-BX136</f>
        <v>2.52</v>
      </c>
      <c r="BO136" s="712">
        <f t="shared" si="408"/>
        <v>2.4959879638916753</v>
      </c>
      <c r="BP136" s="712">
        <f>IF(Sheet1!EM136="FM",BX136,0)</f>
        <v>0</v>
      </c>
      <c r="BQ136" s="712">
        <f t="shared" si="409"/>
        <v>0</v>
      </c>
      <c r="BR136" s="712">
        <f>IF(Sheet1!EM136="OTHER",BX136,0)</f>
        <v>0</v>
      </c>
      <c r="BS136" s="712">
        <f t="shared" si="410"/>
        <v>0</v>
      </c>
      <c r="BT136" s="712">
        <f t="shared" si="411"/>
        <v>0</v>
      </c>
      <c r="BU136" s="712">
        <f t="shared" si="412"/>
        <v>2.52</v>
      </c>
      <c r="BV136" s="712">
        <f t="shared" si="413"/>
        <v>2.4959879638916753</v>
      </c>
      <c r="BW136" s="712">
        <f>IF(Sheet1!EM136="CWA",SUM(Sheet1!BC136:'Sheet1'!BF136),0)</f>
        <v>0</v>
      </c>
      <c r="BX136" s="712">
        <f>IF(OR(Sheet1!EM136="FM", Sheet1!EM136="OTHER"),SUM(Sheet1!BC136:'Sheet1'!BF136),0)</f>
        <v>0</v>
      </c>
      <c r="BY136" s="697">
        <f>IF(AND($B136&gt;=$FL136,$B136&lt;=$FM136),MAX(BV136,Sheet1!EF136,0),MAX(BV136-(7/36)*$K136,0))</f>
        <v>0</v>
      </c>
      <c r="BZ136" s="712">
        <f t="shared" si="414"/>
        <v>10.072900924997214</v>
      </c>
      <c r="CA136" s="697">
        <f t="shared" si="374"/>
        <v>2.4959879638916753</v>
      </c>
      <c r="CB136" s="697">
        <f>IF(AND($O136&gt;0,Sheet1!EJ136=1),(1-($O136-Sheet1!$L136)/$O136)*BV136,0)</f>
        <v>0</v>
      </c>
      <c r="CC136" s="697">
        <f>IF(AND(Sheet1!$L136=0,Sheet1!$L135=0, Calculation!BU136&lt;Sheet1!EF136-0.1,Sheet1!EF136=Sheet1!EF135,Sheet1!EF136=Sheet1!EF137),Sheet1!EF136,BV136-CB136)</f>
        <v>2.4959879638916753</v>
      </c>
      <c r="CD136" s="697"/>
      <c r="CE136" s="712"/>
      <c r="CF136" s="712">
        <f t="shared" si="415"/>
        <v>683.00993355070068</v>
      </c>
      <c r="CG136" s="712"/>
      <c r="CH136" s="712">
        <f ca="1">IF(B136&gt;Summary!$A$1,#N/A,CF136*MGtoAF)</f>
        <v>2095.4744761335496</v>
      </c>
      <c r="CI136" s="712">
        <f>Sheet1!BK136+Sheet1!BL136+Sheet1!BM136-Sheet1!EN136-CQ136</f>
        <v>6.02</v>
      </c>
      <c r="CJ136" s="712">
        <f t="shared" si="416"/>
        <v>5.962637913741224</v>
      </c>
      <c r="CK136" s="712">
        <f>IF(Sheet1!EN136="FM",CQ136,0)</f>
        <v>0</v>
      </c>
      <c r="CL136" s="712">
        <f t="shared" si="417"/>
        <v>0</v>
      </c>
      <c r="CM136" s="712">
        <f>IF(Sheet1!EN136="OTHER",CQ136,0)</f>
        <v>0</v>
      </c>
      <c r="CN136" s="712">
        <f t="shared" si="418"/>
        <v>0</v>
      </c>
      <c r="CO136" s="712">
        <f t="shared" si="419"/>
        <v>6.02</v>
      </c>
      <c r="CP136" s="712">
        <f t="shared" si="420"/>
        <v>5.962637913741224</v>
      </c>
      <c r="CQ136" s="712">
        <f>IF(OR(Sheet1!EN136="FM", Sheet1!EN136="OTHER"),SUM(Sheet1!BK136:'Sheet1'!BM136),0)</f>
        <v>0</v>
      </c>
      <c r="CR136" s="697">
        <f>IF(AND($B136&gt;=$FL136,$B136&lt;=$FM136),MAX($CJ136,Sheet1!EG136,0),MAX($CJ136-(7/36)*$K136,0))</f>
        <v>0</v>
      </c>
      <c r="CS136" s="712">
        <f t="shared" si="421"/>
        <v>6.606250975147665</v>
      </c>
      <c r="CT136" s="697">
        <f t="shared" si="375"/>
        <v>5.962637913741224</v>
      </c>
      <c r="CU136" s="697">
        <f>IF(AND($O136&gt;0,Sheet1!EK136=1),(1-($O136-Sheet1!$L136)/$O136)*CP136,0)</f>
        <v>0</v>
      </c>
      <c r="CV136" s="697">
        <f>IF(AND(Sheet1!$L136=0,Sheet1!$L135=0, Calculation!CO136&lt;Sheet1!$EG136-0.1,Sheet1!$EG136=Sheet1!$EG135,Sheet1!$EG136=Sheet1!$EG137),Sheet1!$EG136,CP136-CU136)</f>
        <v>5.962637913741224</v>
      </c>
      <c r="CW136" s="697">
        <f t="shared" ref="CW136:CW199" si="613">CP136-CV136</f>
        <v>0</v>
      </c>
      <c r="CX136" s="712">
        <f t="shared" si="379"/>
        <v>8.5399999999999991</v>
      </c>
      <c r="CY136" s="712">
        <f t="shared" si="422"/>
        <v>525.83778828475829</v>
      </c>
      <c r="CZ136" s="712">
        <f t="shared" si="423"/>
        <v>8.4586258776328993</v>
      </c>
      <c r="DA136" s="712">
        <f ca="1">IF(B136&gt;Summary!$A$1,#N/A,CY136*MGtoAF)</f>
        <v>1613.2703344576385</v>
      </c>
      <c r="DB136" s="712">
        <f t="shared" si="424"/>
        <v>8.5399999999999991</v>
      </c>
      <c r="DC136" s="712">
        <f t="shared" si="425"/>
        <v>19.939999999999998</v>
      </c>
      <c r="DD136" s="712">
        <f>Sheet1!AB136-DC136</f>
        <v>-0.18999999999999773</v>
      </c>
      <c r="DE136" s="712">
        <f t="shared" si="426"/>
        <v>-9.5285857572717028E-3</v>
      </c>
      <c r="DF136" s="712">
        <f>(VLOOKUP(Sheet1!CY136,hhdcap_wcm,4)-(((VLOOKUP(Sheet1!CY136,hhdcap_wcm,3)-Sheet1!CY136)/(VLOOKUP(Sheet1!CY136,hhdcap_wcm,3)-VLOOKUP(Sheet1!CY136,hhdcap_wcm,1)))*(VLOOKUP(Sheet1!CY136,hhdcap_wcm,4)-VLOOKUP(Sheet1!CY136,hhdcap_wcm,2))))</f>
        <v>30983.060000076461</v>
      </c>
      <c r="DG136" s="712">
        <f t="shared" si="427"/>
        <v>52.680000000000291</v>
      </c>
      <c r="DH136" s="712">
        <f t="shared" si="428"/>
        <v>26.565809379727828</v>
      </c>
      <c r="DI136" s="712">
        <f>Sheet1!DW136*AFtoMG</f>
        <v>0</v>
      </c>
      <c r="DJ136" s="712">
        <f>Sheet1!DX136*AFtoMG</f>
        <v>0</v>
      </c>
      <c r="DK136" s="712">
        <f>Sheet1!DY136*AFtoMG</f>
        <v>0</v>
      </c>
      <c r="DL136" s="712">
        <f>Sheet1!DZ136*AFtoMG</f>
        <v>0</v>
      </c>
      <c r="DM136" s="712">
        <f t="shared" si="429"/>
        <v>0</v>
      </c>
      <c r="DN136" s="712">
        <f t="shared" si="430"/>
        <v>0</v>
      </c>
      <c r="DO136" s="712">
        <f t="shared" si="431"/>
        <v>3697.4877218354586</v>
      </c>
      <c r="DP136" s="712">
        <f t="shared" si="432"/>
        <v>11343.892330591187</v>
      </c>
      <c r="DQ136" s="712"/>
      <c r="DR136" s="697">
        <f>IF(OR(B136&lt;FL136,B136&gt;FM136),(MIN(AV136+BO136+CJ136+MAX(Sheet1!AA136+AG136-73,0),K136)),0)</f>
        <v>8.4586258776328993</v>
      </c>
      <c r="DS136" s="712"/>
      <c r="DT136" s="712">
        <f t="shared" si="433"/>
        <v>8.4586258776328993</v>
      </c>
      <c r="DU136" s="712"/>
      <c r="DV136" s="712">
        <f>Sheet1!ED136+Sheet1!EE136+Sheet1!EF136+Sheet1!EG136</f>
        <v>8.5</v>
      </c>
      <c r="DW136" s="712"/>
      <c r="DX136" s="697">
        <f t="shared" si="376"/>
        <v>0</v>
      </c>
      <c r="DY136" s="712">
        <f>IF(Sheet1!FN136=1,SUM('Calculations II'!AT136:BA136)+'Calculations II'!BC136+Sheet1!BU136+'Calculations II'!BE136+AF136,SUM('Calculations II'!AT136:BA136)+'Calculations II'!BC136+Sheet1!BU136+'Calculations II'!BE136+AF136)</f>
        <v>45.565535999999994</v>
      </c>
      <c r="DZ136" s="712">
        <f>Sheet1!AA136+Sheet1!AB136+'Calculations II'!BC136</f>
        <v>52.646351999994181</v>
      </c>
      <c r="EA136" s="712"/>
      <c r="EB136" s="712"/>
      <c r="EC136" s="712">
        <f t="shared" si="434"/>
        <v>40665</v>
      </c>
      <c r="ED136" s="712">
        <f t="shared" si="435"/>
        <v>56.181374122367103</v>
      </c>
      <c r="EE136" s="712">
        <f t="shared" si="436"/>
        <v>86.912585767301906</v>
      </c>
      <c r="EF136" s="712">
        <f>-(VLOOKUP(Sheet1!BQ136,Lookup!$B$4:$J$236,2)-VLOOKUP(Sheet1!BQ135,Lookup!$B$4:$J$236,2))/1000000</f>
        <v>0</v>
      </c>
      <c r="EG136" s="712">
        <f>-(VLOOKUP(Sheet1!BR136,Lookup!$B$4:$J$236,3)-VLOOKUP(Sheet1!BR135,Lookup!$B$4:$J$236,3))/1000000</f>
        <v>0</v>
      </c>
      <c r="EH136" s="712">
        <f>-(VLOOKUP(Sheet1!BS136,Lookup!$B$4:$J$236,4)-VLOOKUP(Sheet1!BS135,Lookup!$B$4:$J$236,4))/1000000</f>
        <v>0</v>
      </c>
      <c r="EI136" s="697">
        <f t="shared" si="380"/>
        <v>0</v>
      </c>
      <c r="EJ136" s="712"/>
      <c r="EK136" s="712"/>
      <c r="EL136" s="712"/>
      <c r="EM136" s="712"/>
      <c r="EN136" s="712"/>
      <c r="EO136" s="712"/>
      <c r="EP136" s="712"/>
      <c r="EQ136" s="712"/>
      <c r="ER136" s="697">
        <v>0</v>
      </c>
      <c r="ES136" s="712"/>
      <c r="ET136" s="794" t="e">
        <f t="shared" si="437"/>
        <v>#N/A</v>
      </c>
      <c r="EU136" s="794" t="e">
        <f t="shared" ref="EU136:EU148" si="614">MAX((EU135-EY136*1.983),0)</f>
        <v>#VALUE!</v>
      </c>
      <c r="EV136" s="795" t="e">
        <f t="shared" ref="EV136:EV148" si="615">IF(DF136-AE136-EU136-1220&lt;0,0,DF136-AE136-EU136-1220)</f>
        <v>#VALUE!</v>
      </c>
      <c r="EW136" s="796" t="s">
        <v>757</v>
      </c>
      <c r="EX136" s="796" t="s">
        <v>757</v>
      </c>
      <c r="EY136" s="794">
        <v>0</v>
      </c>
      <c r="EZ136" s="794" t="e">
        <v>#N/A</v>
      </c>
      <c r="FA136" s="712"/>
      <c r="FB136" s="712"/>
      <c r="FC136" s="712"/>
      <c r="FD136" s="712"/>
      <c r="FE136" s="712">
        <f>O136+Sheet1!CO136</f>
        <v>2130.4499999999944</v>
      </c>
      <c r="FF136" s="712">
        <f>IF(Sheet1!AA136+AG136&lt;=Calculation!N136,AG136,Calculation!N136-Sheet1!AA136)</f>
        <v>11.291374122367102</v>
      </c>
      <c r="FG136" s="712">
        <f>(Sheet1!BP136+Sheet1!BO136)/694.4</f>
        <v>1.5220334101382491</v>
      </c>
      <c r="FH136" s="712"/>
      <c r="FI136" s="712"/>
      <c r="FJ136" s="712"/>
      <c r="FK136" s="712"/>
      <c r="FL136" s="714">
        <f t="shared" si="381"/>
        <v>40753</v>
      </c>
      <c r="FM136" s="714">
        <f t="shared" si="382"/>
        <v>40851</v>
      </c>
      <c r="FN136" s="712"/>
      <c r="FO136" s="712"/>
      <c r="FP136" s="712"/>
      <c r="FQ136" s="712"/>
      <c r="FR136" s="712"/>
      <c r="FS136" s="725">
        <f t="shared" si="383"/>
        <v>40603</v>
      </c>
      <c r="FT136" s="714">
        <f t="shared" si="384"/>
        <v>40709</v>
      </c>
      <c r="FU136" s="712">
        <f t="shared" si="385"/>
        <v>6518.9048239895692</v>
      </c>
      <c r="FV136" s="714">
        <f t="shared" si="386"/>
        <v>40722</v>
      </c>
      <c r="FW136" s="712">
        <f t="shared" si="387"/>
        <v>3259.4524119947846</v>
      </c>
      <c r="FX136" s="725">
        <f t="shared" si="388"/>
        <v>40851</v>
      </c>
      <c r="FZ136" s="697">
        <f t="shared" ref="FZ136:FZ199" si="616">IF(B136=FT136,AFtoMG*(20000-AE135),GB136+GP136+GI136+GW136)</f>
        <v>0</v>
      </c>
      <c r="GA136" s="712" t="str">
        <f t="shared" si="438"/>
        <v/>
      </c>
      <c r="GB136" s="712">
        <f t="shared" si="439"/>
        <v>0</v>
      </c>
      <c r="GC136" s="712" t="str">
        <f t="shared" si="440"/>
        <v/>
      </c>
      <c r="GD136" s="712">
        <f>IF(GA136="P",Lookup!$M$12,IF(GA136="PP",Lookup!$M$13,IF(GA136="PPP",Lookup!$M$14,IF(GA136="T",Lookup!$M$15,IF(GA136="TP",Lookup!$M$16,IF(GA136="TPP",Lookup!$M$17,IF(GA136="TPPP",Lookup!$M$18,0)))))))*FZ136</f>
        <v>0</v>
      </c>
      <c r="GE136" s="712">
        <f t="shared" si="441"/>
        <v>0</v>
      </c>
      <c r="GF136" s="712">
        <f t="shared" si="442"/>
        <v>5205.782400000001</v>
      </c>
      <c r="GG136" s="712">
        <f t="shared" si="443"/>
        <v>1696.8000000000004</v>
      </c>
      <c r="GH136" s="712"/>
      <c r="GI136" s="712">
        <f t="shared" si="444"/>
        <v>0</v>
      </c>
      <c r="GJ136" s="712" t="str">
        <f t="shared" si="445"/>
        <v/>
      </c>
      <c r="GK136" s="712">
        <f>IF(GA136="P",Lookup!$N$12,IF(GA136="PP",Lookup!$N$13,IF(GA136="PPP",Lookup!$N$14,IF(GA136="T",Lookup!$N$15,IF(GA136="TP",Lookup!$N$16,IF(GA136="TPP",Lookup!$N$17,IF(GA136="TPPP",Lookup!$N$18,0)))))))*FZ136</f>
        <v>0</v>
      </c>
      <c r="GL136" s="712">
        <f t="shared" si="446"/>
        <v>0</v>
      </c>
      <c r="GM136" s="712">
        <f t="shared" si="447"/>
        <v>2429.3651199999972</v>
      </c>
      <c r="GN136" s="712">
        <f t="shared" si="448"/>
        <v>791.83999999999901</v>
      </c>
      <c r="GO136" s="712"/>
      <c r="GP136" s="712">
        <f t="shared" si="449"/>
        <v>0</v>
      </c>
      <c r="GQ136" s="712" t="str">
        <f t="shared" si="450"/>
        <v/>
      </c>
      <c r="GR136" s="712">
        <f>IF(GA136="P",Lookup!$N$12,IF(GA136="PP",Lookup!$N$13,IF(GA136="PPP",Lookup!$N$14,IF(GA136="T",Lookup!$N$15,IF(GA136="TP",Lookup!$N$16,IF(GA136="TPP",Lookup!$N$17,IF(GA136="TPPP",Lookup!$N$18,0)))))))*FZ136</f>
        <v>0</v>
      </c>
      <c r="GS136" s="697">
        <f t="shared" si="377"/>
        <v>0</v>
      </c>
      <c r="GT136" s="712">
        <f t="shared" si="451"/>
        <v>2095.4744761335496</v>
      </c>
      <c r="GU136" s="712">
        <f t="shared" si="452"/>
        <v>683.00993355070068</v>
      </c>
      <c r="GV136" s="712"/>
      <c r="GW136" s="712">
        <f t="shared" si="453"/>
        <v>0</v>
      </c>
      <c r="GX136" s="712" t="str">
        <f t="shared" si="454"/>
        <v/>
      </c>
      <c r="GY136" s="712">
        <f>IF(GA136="P",Lookup!$N$12,IF(GA136="PP",Lookup!$N$13,IF(GA136="PPP",Lookup!$N$14,IF(GA136="T",Lookup!$N$15,IF(GA136="TP",Lookup!$N$16,IF(GA136="TPP",Lookup!$N$17,IF(GA136="TPPP",Lookup!$N$18,0)))))))*FZ136</f>
        <v>0</v>
      </c>
      <c r="GZ136" s="697">
        <f t="shared" si="378"/>
        <v>0</v>
      </c>
      <c r="HA136" s="712">
        <f t="shared" si="455"/>
        <v>1613.2703344576385</v>
      </c>
      <c r="HB136" s="712">
        <f t="shared" si="456"/>
        <v>525.83778828475829</v>
      </c>
      <c r="HC136" s="712"/>
    </row>
    <row r="137" spans="1:211">
      <c r="A137" s="773" t="s">
        <v>5</v>
      </c>
      <c r="B137" s="708">
        <v>40666</v>
      </c>
      <c r="C137" s="709">
        <v>0.5</v>
      </c>
      <c r="D137" s="675">
        <f t="shared" ref="D137:D156" si="617">IF(AND(B137&gt;=DATE($A$1,7,15),B137&lt;=DATE($A$1,9,15)),200,300)</f>
        <v>300</v>
      </c>
      <c r="E137" s="675">
        <f t="shared" ref="E137:E156" si="618">IF(AND(B137&gt;=DATE($A$1,7,15),B137&lt;=DATE($A$1,9,15)),400,250)</f>
        <v>250</v>
      </c>
      <c r="F137" s="710">
        <v>250</v>
      </c>
      <c r="G137" s="712">
        <f>DH137+Sheet1!CV137</f>
        <v>1485.8144225927495</v>
      </c>
      <c r="H137" s="712">
        <f t="shared" si="389"/>
        <v>693.46724276395321</v>
      </c>
      <c r="I137" s="711">
        <f>MAX(Sheet1!Z137-AJ137+(Sheet1!CW137-E137)*CFStoMGD,0)</f>
        <v>1177.2906994809975</v>
      </c>
      <c r="J137" s="720">
        <f>IF(AND(B137&gt;=Calculation!FS137,B137&lt;=Calculation!FT137),IF(Sheet1!CX137&gt;=Calculation!D137,64.64,0),MAX(Sheet1!Z137-AJ137+(Sheet1!CX137-D137)*CFStoMGD,0))</f>
        <v>64.64</v>
      </c>
      <c r="K137" s="697">
        <f t="shared" ref="K137:K156" si="619">MAX(MIN(H137:J137,64.64),0)</f>
        <v>64.64</v>
      </c>
      <c r="L137" s="712">
        <f>Sheet1!AA137+Sheet1!AB137-Sheet1!L137+(Sheet1!CW137-F137)*CFStoMGD</f>
        <v>1221.8493333333331</v>
      </c>
      <c r="M137" s="712">
        <f t="shared" si="390"/>
        <v>979.6390516192323</v>
      </c>
      <c r="N137" s="712">
        <f>IF(Sheet1!CW137&gt;=F137,MIN(73,MIN(MAX(L137,0),MAX(M137,0))),0)</f>
        <v>73</v>
      </c>
      <c r="O137" s="721">
        <f>Sheet1!AA137+Sheet1!AB137</f>
        <v>52</v>
      </c>
      <c r="P137" s="721">
        <f t="shared" si="391"/>
        <v>80.444000000000003</v>
      </c>
      <c r="Q137" s="712">
        <f>MIN(N137,Sheet1!AA137+AG137)</f>
        <v>42.91863385233551</v>
      </c>
      <c r="R137" s="712">
        <f t="shared" si="392"/>
        <v>9.0813661476644896</v>
      </c>
      <c r="S137" s="721">
        <f>Sheet1!Y137*MGDtoCFS</f>
        <v>46.781279999999995</v>
      </c>
      <c r="T137" s="721">
        <f>Sheet1!Z137*MGDtoCFS</f>
        <v>29.949919999999999</v>
      </c>
      <c r="U137" s="721">
        <f>Sheet1!AA137*MGDtoCFS</f>
        <v>47.957000000000001</v>
      </c>
      <c r="V137" s="721">
        <f>Sheet1!AB137*MGDtoCFS</f>
        <v>32.487000000000002</v>
      </c>
      <c r="W137" s="721">
        <f>Sheet1!L137*MGDtoCFS</f>
        <v>0</v>
      </c>
      <c r="X137" s="697">
        <f t="shared" ref="X137:X156" si="620">AK137+BD137+BY137+CR137</f>
        <v>0</v>
      </c>
      <c r="Y137" s="712">
        <f t="shared" si="393"/>
        <v>0</v>
      </c>
      <c r="Z137" s="712">
        <f t="shared" si="394"/>
        <v>55.558633852335511</v>
      </c>
      <c r="AA137" s="712">
        <f t="shared" si="395"/>
        <v>85.949206569563032</v>
      </c>
      <c r="AB137" s="712">
        <f>(VLOOKUP(Sheet1!CY137,hhdcap_wcm,4)-(((VLOOKUP(Sheet1!CY137,hhdcap_wcm,3)-Sheet1!CY137)/(VLOOKUP(Sheet1!CY137,hhdcap_wcm,3)-VLOOKUP(Sheet1!CY137,hhdcap_wcm,1)))*(VLOOKUP(Sheet1!CY137,hhdcap_wcm,4)-VLOOKUP(Sheet1!CY137,hhdcap_wcm,2))))</f>
        <v>31292.040000077883</v>
      </c>
      <c r="AC137" s="712">
        <f t="shared" si="396"/>
        <v>308.98000000142201</v>
      </c>
      <c r="AD137" s="712">
        <f t="shared" ref="AD137:AD156" si="621">(IF(AND(B137&gt;=FS137,B137&lt;FV137),MIN(AR137+BK137+CF137+CY137,FU137),IF(B137=FV137,FW137,IF(AND(B137&gt;FV137,B137&lt;FX137),AR137+BK137+CF137+CY137,IF(B137&gt;=FX137,0,0)))))</f>
        <v>3753.0463556877939</v>
      </c>
      <c r="AE137" s="712">
        <f t="shared" si="397"/>
        <v>11514.346219250152</v>
      </c>
      <c r="AF137" s="712">
        <f>Sheet1!BA137+Sheet1!BB137+Sheet1!BN137+BT137</f>
        <v>11.3</v>
      </c>
      <c r="AG137" s="712">
        <f t="shared" si="398"/>
        <v>11.91863385233551</v>
      </c>
      <c r="AH137" s="712">
        <f>Sheet1!BA137+BT137</f>
        <v>0</v>
      </c>
      <c r="AI137" s="712">
        <f>Sheet1!BA137+Sheet1!BB137+BT137</f>
        <v>0</v>
      </c>
      <c r="AJ137" s="712">
        <f>IF((Sheet1!AA137+AG137+AX137+AZ137+BQ137+BS137+CL137+CN137)&lt;=N137,AG137+AX137+AZ137+BQ137+BS137+CL137+CN137,N137-Sheet1!AA137)</f>
        <v>11.91863385233551</v>
      </c>
      <c r="AK137" s="712">
        <f>IF(DR137&lt;K137,0,MAX(Sheet1!AA137+AG137-15/36*K137-N137,Sheet1!ED137,0))</f>
        <v>0</v>
      </c>
      <c r="AL137" s="712">
        <f>IF(OR(B137&gt;=FT137,B137&lt;FS137),0,15/36*K137-MAX(0,64.6-(137.6-(Sheet1!AA137+Sheet1!AB137))))</f>
        <v>26.933333333333334</v>
      </c>
      <c r="AM137" s="712">
        <f>Sheet1!CX137-110</f>
        <v>1205.8333333333333</v>
      </c>
      <c r="AN137" s="712">
        <f>Sheet1!CW137-265</f>
        <v>1794.7916666666665</v>
      </c>
      <c r="AO137" s="712">
        <f t="shared" ref="AO137:AO200" si="622">N137-Q137</f>
        <v>30.08136614766449</v>
      </c>
      <c r="AP137" s="712">
        <f t="shared" ref="AP137:AP156" si="623">IF(OR(AM137-AN137-(AO137*1.547)&lt;0,AN137&gt;350),0,AM137-AN137-(AO137*1.547))</f>
        <v>0</v>
      </c>
      <c r="AQ137" s="712">
        <f t="shared" si="399"/>
        <v>0</v>
      </c>
      <c r="AR137" s="712">
        <f t="shared" si="400"/>
        <v>1723.7333333333338</v>
      </c>
      <c r="AS137" s="712"/>
      <c r="AT137" s="712">
        <f ca="1">IF(B137&gt;Summary!$A$1,#N/A,AR137*MGtoAF)</f>
        <v>5288.4138666666686</v>
      </c>
      <c r="AU137" s="712">
        <f>Sheet1!BG137+Sheet1!BH137+Sheet1!BI137-BC137</f>
        <v>0</v>
      </c>
      <c r="AV137" s="712">
        <f t="shared" si="401"/>
        <v>0</v>
      </c>
      <c r="AW137" s="712">
        <f>IF(Sheet1!EL137="FM",BC137,0)</f>
        <v>0</v>
      </c>
      <c r="AX137" s="712">
        <f t="shared" si="402"/>
        <v>0</v>
      </c>
      <c r="AY137" s="712">
        <f>IF(Sheet1!EL137="OTHER",BC137,0)</f>
        <v>0</v>
      </c>
      <c r="AZ137" s="712">
        <f t="shared" si="403"/>
        <v>0</v>
      </c>
      <c r="BA137" s="712">
        <f t="shared" si="404"/>
        <v>0</v>
      </c>
      <c r="BB137" s="712">
        <f t="shared" si="405"/>
        <v>0</v>
      </c>
      <c r="BC137" s="712">
        <f>IF(OR(Sheet1!EL137="FM", Sheet1!EL137="OTHER"),SUM(Sheet1!BG137:'Sheet1'!BI137),0)</f>
        <v>0</v>
      </c>
      <c r="BD137" s="697">
        <f>IF(AND($B137&gt;=$FL137,$B137&lt;=$FM137),MAX(AV137,Sheet1!EE137,0),MAX(AV137-(7/36)*$K137,0))</f>
        <v>0</v>
      </c>
      <c r="BE137" s="712">
        <f t="shared" si="406"/>
        <v>12.568888888888889</v>
      </c>
      <c r="BF137" s="697">
        <f t="shared" ref="BF137:BF156" si="624">MAX(BB137-BD137,0)</f>
        <v>0</v>
      </c>
      <c r="BG137" s="697">
        <f>IF(AND($O137&gt;0,Sheet1!EI137=1),(1-($O137-Sheet1!$L137)/$O137)*BB137,0)</f>
        <v>0</v>
      </c>
      <c r="BH137" s="697">
        <f>IF(AND(Sheet1!$L137=0,Sheet1!$L136=0, Calculation!BA137&lt;Sheet1!$EE137-0.1,Sheet1!$EE137=Sheet1!$EE136,Sheet1!$EE137=Sheet1!$EE138),Sheet1!$EE137,BB137-BG137)</f>
        <v>0</v>
      </c>
      <c r="BI137" s="712"/>
      <c r="BJ137" s="712"/>
      <c r="BK137" s="712">
        <f t="shared" si="407"/>
        <v>804.40888888888787</v>
      </c>
      <c r="BL137" s="712"/>
      <c r="BM137" s="712">
        <f ca="1">IF(B137&gt;Summary!$A$1,#N/A,BK137*MGtoAF)</f>
        <v>2467.9264711111082</v>
      </c>
      <c r="BN137" s="712">
        <f>Sheet1!BC137+Sheet1!BD137+Sheet1!BE137+Sheet1!BF137-BW137-BX137</f>
        <v>2.58</v>
      </c>
      <c r="BO137" s="712">
        <f t="shared" si="408"/>
        <v>2.7212456052235057</v>
      </c>
      <c r="BP137" s="712">
        <f>IF(Sheet1!EM137="FM",BX137,0)</f>
        <v>0</v>
      </c>
      <c r="BQ137" s="712">
        <f t="shared" si="409"/>
        <v>0</v>
      </c>
      <c r="BR137" s="712">
        <f>IF(Sheet1!EM137="OTHER",BX137,0)</f>
        <v>0</v>
      </c>
      <c r="BS137" s="712">
        <f t="shared" si="410"/>
        <v>0</v>
      </c>
      <c r="BT137" s="712">
        <f t="shared" si="411"/>
        <v>0</v>
      </c>
      <c r="BU137" s="712">
        <f t="shared" si="412"/>
        <v>2.58</v>
      </c>
      <c r="BV137" s="712">
        <f t="shared" si="413"/>
        <v>2.7212456052235057</v>
      </c>
      <c r="BW137" s="712">
        <f>IF(Sheet1!EM137="CWA",SUM(Sheet1!BC137:'Sheet1'!BF137),0)</f>
        <v>0</v>
      </c>
      <c r="BX137" s="712">
        <f>IF(OR(Sheet1!EM137="FM", Sheet1!EM137="OTHER"),SUM(Sheet1!BC137:'Sheet1'!BF137),0)</f>
        <v>0</v>
      </c>
      <c r="BY137" s="697">
        <f>IF(AND($B137&gt;=$FL137,$B137&lt;=$FM137),MAX(BV137,Sheet1!EF137,0),MAX(BV137-(7/36)*$K137,0))</f>
        <v>0</v>
      </c>
      <c r="BZ137" s="712">
        <f t="shared" si="414"/>
        <v>9.8476432836653842</v>
      </c>
      <c r="CA137" s="697">
        <f t="shared" ref="CA137:CA156" si="625">MAX(BV137-BY137,0)</f>
        <v>2.7212456052235057</v>
      </c>
      <c r="CB137" s="697">
        <f>IF(AND($O137&gt;0,Sheet1!EJ137=1),(1-($O137-Sheet1!$L137)/$O137)*BV137,0)</f>
        <v>0</v>
      </c>
      <c r="CC137" s="697">
        <f>IF(AND(Sheet1!$L137=0,Sheet1!$L136=0, Calculation!BU137&lt;Sheet1!EF137-0.1,Sheet1!EF137=Sheet1!EF136,Sheet1!EF137=Sheet1!EF138),Sheet1!EF137,BV137-CB137)</f>
        <v>2.7212456052235057</v>
      </c>
      <c r="CD137" s="697"/>
      <c r="CE137" s="712"/>
      <c r="CF137" s="712">
        <f t="shared" si="415"/>
        <v>692.85757683436611</v>
      </c>
      <c r="CG137" s="712"/>
      <c r="CH137" s="712">
        <f ca="1">IF(B137&gt;Summary!$A$1,#N/A,CF137*MGtoAF)</f>
        <v>2125.6870457278351</v>
      </c>
      <c r="CI137" s="712">
        <f>Sheet1!BK137+Sheet1!BL137+Sheet1!BM137-Sheet1!EN137-CQ137</f>
        <v>6.0299999999999994</v>
      </c>
      <c r="CJ137" s="712">
        <f t="shared" si="416"/>
        <v>6.3601205424409839</v>
      </c>
      <c r="CK137" s="712">
        <f>IF(Sheet1!EN137="FM",CQ137,0)</f>
        <v>0</v>
      </c>
      <c r="CL137" s="712">
        <f t="shared" si="417"/>
        <v>0</v>
      </c>
      <c r="CM137" s="712">
        <f>IF(Sheet1!EN137="OTHER",CQ137,0)</f>
        <v>0</v>
      </c>
      <c r="CN137" s="712">
        <f t="shared" si="418"/>
        <v>0</v>
      </c>
      <c r="CO137" s="712">
        <f t="shared" si="419"/>
        <v>6.0299999999999994</v>
      </c>
      <c r="CP137" s="712">
        <f t="shared" si="420"/>
        <v>6.3601205424409839</v>
      </c>
      <c r="CQ137" s="712">
        <f>IF(OR(Sheet1!EN137="FM", Sheet1!EN137="OTHER"),SUM(Sheet1!BK137:'Sheet1'!BM137),0)</f>
        <v>0</v>
      </c>
      <c r="CR137" s="697">
        <f>IF(AND($B137&gt;=$FL137,$B137&lt;=$FM137),MAX($CJ137,Sheet1!EG137,0),MAX($CJ137-(7/36)*$K137,0))</f>
        <v>0</v>
      </c>
      <c r="CS137" s="712">
        <f t="shared" si="421"/>
        <v>6.2087683464479051</v>
      </c>
      <c r="CT137" s="697">
        <f t="shared" ref="CT137:CT156" si="626">MAX(CP137-CR137,0)</f>
        <v>6.3601205424409839</v>
      </c>
      <c r="CU137" s="697">
        <f>IF(AND($O137&gt;0,Sheet1!EK137=1),(1-($O137-Sheet1!$L137)/$O137)*CP137,0)</f>
        <v>0</v>
      </c>
      <c r="CV137" s="697">
        <f>IF(AND(Sheet1!$L137=0,Sheet1!$L136=0, Calculation!CO137&lt;Sheet1!$EG137-0.1,Sheet1!$EG137=Sheet1!$EG136,Sheet1!$EG137=Sheet1!$EG138),Sheet1!$EG137,CP137-CU137)</f>
        <v>6.3601205424409839</v>
      </c>
      <c r="CW137" s="697">
        <f t="shared" si="613"/>
        <v>0</v>
      </c>
      <c r="CX137" s="712">
        <f t="shared" si="379"/>
        <v>8.61</v>
      </c>
      <c r="CY137" s="712">
        <f t="shared" si="422"/>
        <v>532.04655663120616</v>
      </c>
      <c r="CZ137" s="712">
        <f t="shared" si="423"/>
        <v>9.0813661476644896</v>
      </c>
      <c r="DA137" s="712">
        <f ca="1">IF(B137&gt;Summary!$A$1,#N/A,CY137*MGtoAF)</f>
        <v>1632.3188357445406</v>
      </c>
      <c r="DB137" s="712">
        <f t="shared" si="424"/>
        <v>8.61</v>
      </c>
      <c r="DC137" s="712">
        <f t="shared" si="425"/>
        <v>19.91</v>
      </c>
      <c r="DD137" s="712">
        <f>Sheet1!AB137-DC137</f>
        <v>1.0899999999999999</v>
      </c>
      <c r="DE137" s="712">
        <f t="shared" si="426"/>
        <v>5.4746358613761918E-2</v>
      </c>
      <c r="DF137" s="712">
        <f>(VLOOKUP(Sheet1!CY137,hhdcap_wcm,4)-(((VLOOKUP(Sheet1!CY137,hhdcap_wcm,3)-Sheet1!CY137)/(VLOOKUP(Sheet1!CY137,hhdcap_wcm,3)-VLOOKUP(Sheet1!CY137,hhdcap_wcm,1)))*(VLOOKUP(Sheet1!CY137,hhdcap_wcm,4)-VLOOKUP(Sheet1!CY137,hhdcap_wcm,2))))</f>
        <v>31292.040000077883</v>
      </c>
      <c r="DG137" s="712">
        <f t="shared" si="427"/>
        <v>308.98000000142201</v>
      </c>
      <c r="DH137" s="712">
        <f t="shared" si="428"/>
        <v>155.81442259274937</v>
      </c>
      <c r="DI137" s="712">
        <f>Sheet1!DW137*AFtoMG</f>
        <v>0</v>
      </c>
      <c r="DJ137" s="712">
        <f>Sheet1!DX137*AFtoMG</f>
        <v>0</v>
      </c>
      <c r="DK137" s="712">
        <f>Sheet1!DY137*AFtoMG</f>
        <v>0</v>
      </c>
      <c r="DL137" s="712">
        <f>Sheet1!DZ137*AFtoMG</f>
        <v>0</v>
      </c>
      <c r="DM137" s="712">
        <f t="shared" si="429"/>
        <v>0</v>
      </c>
      <c r="DN137" s="712">
        <f t="shared" si="430"/>
        <v>0</v>
      </c>
      <c r="DO137" s="712">
        <f t="shared" si="431"/>
        <v>3753.0463556877939</v>
      </c>
      <c r="DP137" s="712">
        <f t="shared" si="432"/>
        <v>11514.346219250152</v>
      </c>
      <c r="DQ137" s="712"/>
      <c r="DR137" s="697">
        <f>IF(OR(B137&lt;FL137,B137&gt;FM137),(MIN(AV137+BO137+CJ137+MAX(Sheet1!AA137+AG137-73,0),K137)),0)</f>
        <v>9.0813661476644896</v>
      </c>
      <c r="DS137" s="712"/>
      <c r="DT137" s="712">
        <f t="shared" si="433"/>
        <v>9.0813661476644896</v>
      </c>
      <c r="DU137" s="712"/>
      <c r="DV137" s="712">
        <f>Sheet1!ED137+Sheet1!EE137+Sheet1!EF137+Sheet1!EG137</f>
        <v>8.5</v>
      </c>
      <c r="DW137" s="712"/>
      <c r="DX137" s="697">
        <f t="shared" ref="DX137:DX156" si="627">DR137-BF137-CA137-CT137</f>
        <v>0</v>
      </c>
      <c r="DY137" s="712">
        <f>IF(Sheet1!FN137=1,SUM('Calculations II'!AT137:BA137)+'Calculations II'!BC137+Sheet1!BU137+'Calculations II'!BE137+AF137,SUM('Calculations II'!AT137:BA137)+'Calculations II'!BC137+Sheet1!BU137+'Calculations II'!BE137+AF137)</f>
        <v>44.615679999999998</v>
      </c>
      <c r="DZ137" s="712">
        <f>Sheet1!AA137+Sheet1!AB137+'Calculations II'!BC137</f>
        <v>56.360320000000002</v>
      </c>
      <c r="EA137" s="712"/>
      <c r="EB137" s="712"/>
      <c r="EC137" s="712">
        <f t="shared" si="434"/>
        <v>40666</v>
      </c>
      <c r="ED137" s="712">
        <f t="shared" si="435"/>
        <v>55.558633852335511</v>
      </c>
      <c r="EE137" s="712">
        <f t="shared" si="436"/>
        <v>85.949206569563032</v>
      </c>
      <c r="EF137" s="712">
        <f>-(VLOOKUP(Sheet1!BQ137,Lookup!$B$4:$J$236,2)-VLOOKUP(Sheet1!BQ136,Lookup!$B$4:$J$236,2))/1000000</f>
        <v>0.54100000000000004</v>
      </c>
      <c r="EG137" s="712">
        <f>-(VLOOKUP(Sheet1!BR137,Lookup!$B$4:$J$236,3)-VLOOKUP(Sheet1!BR136,Lookup!$B$4:$J$236,3))/1000000</f>
        <v>0.54</v>
      </c>
      <c r="EH137" s="712">
        <f>-(VLOOKUP(Sheet1!BS137,Lookup!$B$4:$J$236,4)-VLOOKUP(Sheet1!BS136,Lookup!$B$4:$J$236,4))/1000000</f>
        <v>0</v>
      </c>
      <c r="EI137" s="697">
        <f t="shared" si="380"/>
        <v>1.081</v>
      </c>
      <c r="EJ137" s="712"/>
      <c r="EK137" s="712"/>
      <c r="EL137" s="712"/>
      <c r="EM137" s="712"/>
      <c r="EN137" s="712"/>
      <c r="EO137" s="712"/>
      <c r="EP137" s="712"/>
      <c r="EQ137" s="712"/>
      <c r="ER137" s="697">
        <v>0</v>
      </c>
      <c r="ES137" s="712"/>
      <c r="ET137" s="794" t="e">
        <f t="shared" si="437"/>
        <v>#N/A</v>
      </c>
      <c r="EU137" s="794" t="e">
        <f t="shared" si="614"/>
        <v>#VALUE!</v>
      </c>
      <c r="EV137" s="795" t="e">
        <f t="shared" si="615"/>
        <v>#VALUE!</v>
      </c>
      <c r="EW137" s="796" t="s">
        <v>757</v>
      </c>
      <c r="EX137" s="796" t="s">
        <v>757</v>
      </c>
      <c r="EY137" s="794">
        <v>0</v>
      </c>
      <c r="EZ137" s="794" t="e">
        <v>#N/A</v>
      </c>
      <c r="FA137" s="712"/>
      <c r="FB137" s="712"/>
      <c r="FC137" s="712"/>
      <c r="FD137" s="712"/>
      <c r="FE137" s="712">
        <f>O137+Sheet1!CO137</f>
        <v>3080</v>
      </c>
      <c r="FF137" s="712">
        <f>IF(Sheet1!AA137+AG137&lt;=Calculation!N137,AG137,Calculation!N137-Sheet1!AA137)</f>
        <v>11.91863385233551</v>
      </c>
      <c r="FG137" s="712">
        <f>(Sheet1!BP137+Sheet1!BO137)/694.4</f>
        <v>3.0529953917050691E-2</v>
      </c>
      <c r="FH137" s="712"/>
      <c r="FI137" s="712"/>
      <c r="FJ137" s="712"/>
      <c r="FK137" s="712"/>
      <c r="FL137" s="714">
        <f t="shared" si="381"/>
        <v>40753</v>
      </c>
      <c r="FM137" s="714">
        <f t="shared" si="382"/>
        <v>40851</v>
      </c>
      <c r="FN137" s="712"/>
      <c r="FO137" s="712"/>
      <c r="FP137" s="712"/>
      <c r="FQ137" s="712"/>
      <c r="FR137" s="712"/>
      <c r="FS137" s="725">
        <f t="shared" si="383"/>
        <v>40603</v>
      </c>
      <c r="FT137" s="714">
        <f t="shared" si="384"/>
        <v>40709</v>
      </c>
      <c r="FU137" s="712">
        <f t="shared" si="385"/>
        <v>6518.9048239895692</v>
      </c>
      <c r="FV137" s="714">
        <f t="shared" si="386"/>
        <v>40722</v>
      </c>
      <c r="FW137" s="712">
        <f t="shared" si="387"/>
        <v>3259.4524119947846</v>
      </c>
      <c r="FX137" s="725">
        <f t="shared" si="388"/>
        <v>40851</v>
      </c>
      <c r="FZ137" s="697">
        <f t="shared" si="616"/>
        <v>0</v>
      </c>
      <c r="GA137" s="712" t="str">
        <f t="shared" si="438"/>
        <v/>
      </c>
      <c r="GB137" s="712">
        <f t="shared" si="439"/>
        <v>0</v>
      </c>
      <c r="GC137" s="712" t="str">
        <f t="shared" si="440"/>
        <v/>
      </c>
      <c r="GD137" s="712">
        <f>IF(GA137="P",Lookup!$M$12,IF(GA137="PP",Lookup!$M$13,IF(GA137="PPP",Lookup!$M$14,IF(GA137="T",Lookup!$M$15,IF(GA137="TP",Lookup!$M$16,IF(GA137="TPP",Lookup!$M$17,IF(GA137="TPPP",Lookup!$M$18,0)))))))*FZ137</f>
        <v>0</v>
      </c>
      <c r="GE137" s="712">
        <f t="shared" si="441"/>
        <v>0</v>
      </c>
      <c r="GF137" s="712">
        <f t="shared" si="442"/>
        <v>5288.4138666666686</v>
      </c>
      <c r="GG137" s="712">
        <f t="shared" si="443"/>
        <v>1723.7333333333338</v>
      </c>
      <c r="GH137" s="712"/>
      <c r="GI137" s="712">
        <f t="shared" si="444"/>
        <v>0</v>
      </c>
      <c r="GJ137" s="712" t="str">
        <f t="shared" si="445"/>
        <v/>
      </c>
      <c r="GK137" s="712">
        <f>IF(GA137="P",Lookup!$N$12,IF(GA137="PP",Lookup!$N$13,IF(GA137="PPP",Lookup!$N$14,IF(GA137="T",Lookup!$N$15,IF(GA137="TP",Lookup!$N$16,IF(GA137="TPP",Lookup!$N$17,IF(GA137="TPPP",Lookup!$N$18,0)))))))*FZ137</f>
        <v>0</v>
      </c>
      <c r="GL137" s="712">
        <f t="shared" si="446"/>
        <v>0</v>
      </c>
      <c r="GM137" s="712">
        <f t="shared" si="447"/>
        <v>2467.9264711111082</v>
      </c>
      <c r="GN137" s="712">
        <f t="shared" si="448"/>
        <v>804.40888888888787</v>
      </c>
      <c r="GO137" s="712"/>
      <c r="GP137" s="712">
        <f t="shared" si="449"/>
        <v>0</v>
      </c>
      <c r="GQ137" s="712" t="str">
        <f t="shared" si="450"/>
        <v/>
      </c>
      <c r="GR137" s="712">
        <f>IF(GA137="P",Lookup!$N$12,IF(GA137="PP",Lookup!$N$13,IF(GA137="PPP",Lookup!$N$14,IF(GA137="T",Lookup!$N$15,IF(GA137="TP",Lookup!$N$16,IF(GA137="TPP",Lookup!$N$17,IF(GA137="TPPP",Lookup!$N$18,0)))))))*FZ137</f>
        <v>0</v>
      </c>
      <c r="GS137" s="697">
        <f t="shared" ref="GS137:GS200" si="628">IF(GQ137="P",MIN(GR137,7/36*FU137-GU137),0)</f>
        <v>0</v>
      </c>
      <c r="GT137" s="712">
        <f t="shared" si="451"/>
        <v>2125.6870457278351</v>
      </c>
      <c r="GU137" s="712">
        <f t="shared" si="452"/>
        <v>692.85757683436611</v>
      </c>
      <c r="GV137" s="712"/>
      <c r="GW137" s="712">
        <f t="shared" si="453"/>
        <v>0</v>
      </c>
      <c r="GX137" s="712" t="str">
        <f t="shared" si="454"/>
        <v/>
      </c>
      <c r="GY137" s="712">
        <f>IF(GA137="P",Lookup!$N$12,IF(GA137="PP",Lookup!$N$13,IF(GA137="PPP",Lookup!$N$14,IF(GA137="T",Lookup!$N$15,IF(GA137="TP",Lookup!$N$16,IF(GA137="TPP",Lookup!$N$17,IF(GA137="TPPP",Lookup!$N$18,0)))))))*FZ137</f>
        <v>0</v>
      </c>
      <c r="GZ137" s="697">
        <f t="shared" ref="GZ137:GZ200" si="629">IF(GX137="P",MIN(GY137,7/36*FU137-HB137),0)</f>
        <v>0</v>
      </c>
      <c r="HA137" s="712">
        <f t="shared" si="455"/>
        <v>1632.3188357445406</v>
      </c>
      <c r="HB137" s="712">
        <f t="shared" si="456"/>
        <v>532.04655663120616</v>
      </c>
      <c r="HC137" s="712"/>
    </row>
    <row r="138" spans="1:211">
      <c r="A138" s="773" t="s">
        <v>6</v>
      </c>
      <c r="B138" s="708">
        <v>40667</v>
      </c>
      <c r="C138" s="719">
        <v>0.5</v>
      </c>
      <c r="D138" s="675">
        <f t="shared" si="617"/>
        <v>300</v>
      </c>
      <c r="E138" s="675">
        <f t="shared" si="618"/>
        <v>250</v>
      </c>
      <c r="F138" s="710">
        <v>250</v>
      </c>
      <c r="G138" s="712">
        <f>DH138+Sheet1!CV138</f>
        <v>1502.6720603391732</v>
      </c>
      <c r="H138" s="712">
        <f t="shared" si="389"/>
        <v>704.36401980324149</v>
      </c>
      <c r="I138" s="711">
        <f>MAX(Sheet1!Z138-AJ138+(Sheet1!CW138-E138)*CFStoMGD,0)</f>
        <v>1145.2829110556941</v>
      </c>
      <c r="J138" s="720">
        <f>IF(AND(B138&gt;=Calculation!FS138,B138&lt;=Calculation!FT138),IF(Sheet1!CX138&gt;=Calculation!D138,64.64,0),MAX(Sheet1!Z138-AJ138+(Sheet1!CX138-D138)*CFStoMGD,0))</f>
        <v>64.64</v>
      </c>
      <c r="K138" s="697">
        <f t="shared" si="619"/>
        <v>64.64</v>
      </c>
      <c r="L138" s="712">
        <f>Sheet1!AA138+Sheet1!AB138-Sheet1!L138+(Sheet1!CW138-F138)*CFStoMGD</f>
        <v>1183.9806666666666</v>
      </c>
      <c r="M138" s="712">
        <f t="shared" si="390"/>
        <v>990.75376419930637</v>
      </c>
      <c r="N138" s="712">
        <f>IF(Sheet1!CW138&gt;=F138,MIN(73,MIN(MAX(L138,0),MAX(M138,0))),0)</f>
        <v>73</v>
      </c>
      <c r="O138" s="721">
        <f>Sheet1!AA138+Sheet1!AB138</f>
        <v>48</v>
      </c>
      <c r="P138" s="721">
        <f t="shared" si="391"/>
        <v>74.256</v>
      </c>
      <c r="Q138" s="712">
        <f>MIN(N138,Sheet1!AA138+AG138)</f>
        <v>39.897755610972567</v>
      </c>
      <c r="R138" s="712">
        <f t="shared" si="392"/>
        <v>8.1022443890274314</v>
      </c>
      <c r="S138" s="721">
        <f>Sheet1!Y138*MGDtoCFS</f>
        <v>46.31718</v>
      </c>
      <c r="T138" s="721">
        <f>Sheet1!Z138*MGDtoCFS</f>
        <v>31.249399999999998</v>
      </c>
      <c r="U138" s="721">
        <f>Sheet1!AA138*MGDtoCFS</f>
        <v>44.863</v>
      </c>
      <c r="V138" s="721">
        <f>Sheet1!AB138*MGDtoCFS</f>
        <v>29.392999999999997</v>
      </c>
      <c r="W138" s="721">
        <f>Sheet1!L138*MGDtoCFS</f>
        <v>0</v>
      </c>
      <c r="X138" s="697">
        <f t="shared" si="620"/>
        <v>0</v>
      </c>
      <c r="Y138" s="712">
        <f t="shared" si="393"/>
        <v>0</v>
      </c>
      <c r="Z138" s="712">
        <f t="shared" si="394"/>
        <v>56.537755610972567</v>
      </c>
      <c r="AA138" s="712">
        <f t="shared" si="395"/>
        <v>87.463907930174557</v>
      </c>
      <c r="AB138" s="712">
        <f>(VLOOKUP(Sheet1!CY138,hhdcap_wcm,4)-(((VLOOKUP(Sheet1!CY138,hhdcap_wcm,3)-Sheet1!CY138)/(VLOOKUP(Sheet1!CY138,hhdcap_wcm,3)-VLOOKUP(Sheet1!CY138,hhdcap_wcm,1)))*(VLOOKUP(Sheet1!CY138,hhdcap_wcm,4)-VLOOKUP(Sheet1!CY138,hhdcap_wcm,2))))</f>
        <v>31631.000000078289</v>
      </c>
      <c r="AC138" s="712">
        <f t="shared" si="396"/>
        <v>338.96000000040658</v>
      </c>
      <c r="AD138" s="712">
        <f t="shared" si="621"/>
        <v>3809.5841112987664</v>
      </c>
      <c r="AE138" s="712">
        <f t="shared" si="397"/>
        <v>11687.804053464615</v>
      </c>
      <c r="AF138" s="712">
        <f>Sheet1!BA138+Sheet1!BB138+Sheet1!BN138+BT138</f>
        <v>11.5</v>
      </c>
      <c r="AG138" s="712">
        <f t="shared" si="398"/>
        <v>10.897755610972569</v>
      </c>
      <c r="AH138" s="712">
        <f>Sheet1!BA138+BT138</f>
        <v>0</v>
      </c>
      <c r="AI138" s="712">
        <f>Sheet1!BA138+Sheet1!BB138+BT138</f>
        <v>0</v>
      </c>
      <c r="AJ138" s="712">
        <f>IF((Sheet1!AA138+AG138+AX138+AZ138+BQ138+BS138+CL138+CN138)&lt;=N138,AG138+AX138+AZ138+BQ138+BS138+CL138+CN138,N138-Sheet1!AA138)</f>
        <v>10.897755610972569</v>
      </c>
      <c r="AK138" s="712">
        <f>IF(DR138&lt;K138,0,MAX(Sheet1!AA138+AG138-15/36*K138-N138,Sheet1!ED138,0))</f>
        <v>0</v>
      </c>
      <c r="AL138" s="712">
        <f>IF(OR(B138&gt;=FT138,B138&lt;FS138),0,15/36*K138-MAX(0,64.6-(137.6-(Sheet1!AA138+Sheet1!AB138))))</f>
        <v>26.933333333333334</v>
      </c>
      <c r="AM138" s="712">
        <f>Sheet1!CX138-110</f>
        <v>1173.6458333333333</v>
      </c>
      <c r="AN138" s="712">
        <f>Sheet1!CW138-265</f>
        <v>1742.3958333333333</v>
      </c>
      <c r="AO138" s="712">
        <f t="shared" si="622"/>
        <v>33.102244389027433</v>
      </c>
      <c r="AP138" s="712">
        <f t="shared" si="623"/>
        <v>0</v>
      </c>
      <c r="AQ138" s="712">
        <f t="shared" si="399"/>
        <v>0</v>
      </c>
      <c r="AR138" s="712">
        <f t="shared" si="400"/>
        <v>1750.6666666666672</v>
      </c>
      <c r="AS138" s="712"/>
      <c r="AT138" s="712">
        <f ca="1">IF(B138&gt;Summary!$A$1,#N/A,AR138*MGtoAF)</f>
        <v>5371.0453333333353</v>
      </c>
      <c r="AU138" s="712">
        <f>Sheet1!BG138+Sheet1!BH138+Sheet1!BI138-BC138</f>
        <v>0</v>
      </c>
      <c r="AV138" s="712">
        <f t="shared" si="401"/>
        <v>0</v>
      </c>
      <c r="AW138" s="712">
        <f>IF(Sheet1!EL138="FM",BC138,0)</f>
        <v>0</v>
      </c>
      <c r="AX138" s="712">
        <f t="shared" si="402"/>
        <v>0</v>
      </c>
      <c r="AY138" s="712">
        <f>IF(Sheet1!EL138="OTHER",BC138,0)</f>
        <v>0</v>
      </c>
      <c r="AZ138" s="712">
        <f t="shared" si="403"/>
        <v>0</v>
      </c>
      <c r="BA138" s="712">
        <f t="shared" si="404"/>
        <v>0</v>
      </c>
      <c r="BB138" s="712">
        <f t="shared" si="405"/>
        <v>0</v>
      </c>
      <c r="BC138" s="712">
        <f>IF(OR(Sheet1!EL138="FM", Sheet1!EL138="OTHER"),SUM(Sheet1!BG138:'Sheet1'!BI138),0)</f>
        <v>0</v>
      </c>
      <c r="BD138" s="697">
        <f>IF(AND($B138&gt;=$FL138,$B138&lt;=$FM138),MAX(AV138,Sheet1!EE138,0),MAX(AV138-(7/36)*$K138,0))</f>
        <v>0</v>
      </c>
      <c r="BE138" s="712">
        <f t="shared" si="406"/>
        <v>12.568888888888889</v>
      </c>
      <c r="BF138" s="697">
        <f t="shared" si="624"/>
        <v>0</v>
      </c>
      <c r="BG138" s="697">
        <f>IF(AND($O138&gt;0,Sheet1!EI138=1),(1-($O138-Sheet1!$L138)/$O138)*BB138,0)</f>
        <v>0</v>
      </c>
      <c r="BH138" s="697">
        <f>IF(AND(Sheet1!$L138=0,Sheet1!$L137=0, Calculation!BA138&lt;Sheet1!$EE138-0.1,Sheet1!$EE138=Sheet1!$EE137,Sheet1!$EE138=Sheet1!$EE139),Sheet1!$EE138,BB138-BG138)</f>
        <v>0</v>
      </c>
      <c r="BI138" s="712"/>
      <c r="BJ138" s="712"/>
      <c r="BK138" s="712">
        <f t="shared" si="407"/>
        <v>816.97777777777674</v>
      </c>
      <c r="BL138" s="712"/>
      <c r="BM138" s="712">
        <f ca="1">IF(B138&gt;Summary!$A$1,#N/A,BK138*MGtoAF)</f>
        <v>2506.4878222222192</v>
      </c>
      <c r="BN138" s="712">
        <f>Sheet1!BC138+Sheet1!BD138+Sheet1!BE138+Sheet1!BF138-BW138-BX138</f>
        <v>2.5300000000000002</v>
      </c>
      <c r="BO138" s="712">
        <f t="shared" si="408"/>
        <v>2.397506234413965</v>
      </c>
      <c r="BP138" s="712">
        <f>IF(Sheet1!EM138="FM",BX138,0)</f>
        <v>0</v>
      </c>
      <c r="BQ138" s="712">
        <f t="shared" si="409"/>
        <v>0</v>
      </c>
      <c r="BR138" s="712">
        <f>IF(Sheet1!EM138="OTHER",BX138,0)</f>
        <v>0</v>
      </c>
      <c r="BS138" s="712">
        <f t="shared" si="410"/>
        <v>0</v>
      </c>
      <c r="BT138" s="712">
        <f t="shared" si="411"/>
        <v>0</v>
      </c>
      <c r="BU138" s="712">
        <f t="shared" si="412"/>
        <v>2.5300000000000002</v>
      </c>
      <c r="BV138" s="712">
        <f t="shared" si="413"/>
        <v>2.397506234413965</v>
      </c>
      <c r="BW138" s="712">
        <f>IF(Sheet1!EM138="CWA",SUM(Sheet1!BC138:'Sheet1'!BF138),0)</f>
        <v>0</v>
      </c>
      <c r="BX138" s="712">
        <f>IF(OR(Sheet1!EM138="FM", Sheet1!EM138="OTHER"),SUM(Sheet1!BC138:'Sheet1'!BF138),0)</f>
        <v>0</v>
      </c>
      <c r="BY138" s="697">
        <f>IF(AND($B138&gt;=$FL138,$B138&lt;=$FM138),MAX(BV138,Sheet1!EF138,0),MAX(BV138-(7/36)*$K138,0))</f>
        <v>0</v>
      </c>
      <c r="BZ138" s="712">
        <f t="shared" si="414"/>
        <v>10.171382654474924</v>
      </c>
      <c r="CA138" s="697">
        <f t="shared" si="625"/>
        <v>2.397506234413965</v>
      </c>
      <c r="CB138" s="697">
        <f>IF(AND($O138&gt;0,Sheet1!EJ138=1),(1-($O138-Sheet1!$L138)/$O138)*BV138,0)</f>
        <v>0</v>
      </c>
      <c r="CC138" s="697">
        <f>IF(AND(Sheet1!$L138=0,Sheet1!$L137=0, Calculation!BU138&lt;Sheet1!EF138-0.1,Sheet1!EF138=Sheet1!EF137,Sheet1!EF138=Sheet1!EF139),Sheet1!EF138,BV138-CB138)</f>
        <v>2.397506234413965</v>
      </c>
      <c r="CD138" s="697"/>
      <c r="CE138" s="712"/>
      <c r="CF138" s="712">
        <f t="shared" si="415"/>
        <v>703.028959488841</v>
      </c>
      <c r="CG138" s="712"/>
      <c r="CH138" s="712">
        <f ca="1">IF(B138&gt;Summary!$A$1,#N/A,CF138*MGtoAF)</f>
        <v>2156.8928477117643</v>
      </c>
      <c r="CI138" s="712">
        <f>Sheet1!BK138+Sheet1!BL138+Sheet1!BM138-Sheet1!EN138-CQ138</f>
        <v>6.02</v>
      </c>
      <c r="CJ138" s="712">
        <f t="shared" si="416"/>
        <v>5.7047381546134659</v>
      </c>
      <c r="CK138" s="712">
        <f>IF(Sheet1!EN138="FM",CQ138,0)</f>
        <v>0</v>
      </c>
      <c r="CL138" s="712">
        <f t="shared" si="417"/>
        <v>0</v>
      </c>
      <c r="CM138" s="712">
        <f>IF(Sheet1!EN138="OTHER",CQ138,0)</f>
        <v>0</v>
      </c>
      <c r="CN138" s="712">
        <f t="shared" si="418"/>
        <v>0</v>
      </c>
      <c r="CO138" s="712">
        <f t="shared" si="419"/>
        <v>6.02</v>
      </c>
      <c r="CP138" s="712">
        <f t="shared" si="420"/>
        <v>5.7047381546134659</v>
      </c>
      <c r="CQ138" s="712">
        <f>IF(OR(Sheet1!EN138="FM", Sheet1!EN138="OTHER"),SUM(Sheet1!BK138:'Sheet1'!BM138),0)</f>
        <v>0</v>
      </c>
      <c r="CR138" s="697">
        <f>IF(AND($B138&gt;=$FL138,$B138&lt;=$FM138),MAX($CJ138,Sheet1!EG138,0),MAX($CJ138-(7/36)*$K138,0))</f>
        <v>0</v>
      </c>
      <c r="CS138" s="712">
        <f t="shared" si="421"/>
        <v>6.8641507342754231</v>
      </c>
      <c r="CT138" s="697">
        <f t="shared" si="626"/>
        <v>5.7047381546134659</v>
      </c>
      <c r="CU138" s="697">
        <f>IF(AND($O138&gt;0,Sheet1!EK138=1),(1-($O138-Sheet1!$L138)/$O138)*CP138,0)</f>
        <v>0</v>
      </c>
      <c r="CV138" s="697">
        <f>IF(AND(Sheet1!$L138=0,Sheet1!$L137=0, Calculation!CO138&lt;Sheet1!$EG138-0.1,Sheet1!$EG138=Sheet1!$EG137,Sheet1!$EG138=Sheet1!$EG139),Sheet1!$EG138,CP138-CU138)</f>
        <v>5.7047381546134659</v>
      </c>
      <c r="CW138" s="697">
        <f t="shared" si="613"/>
        <v>0</v>
      </c>
      <c r="CX138" s="712">
        <f t="shared" ref="CX138:CX156" si="630">BA138+BU138+CO138</f>
        <v>8.5500000000000007</v>
      </c>
      <c r="CY138" s="712">
        <f t="shared" si="422"/>
        <v>538.91070736548158</v>
      </c>
      <c r="CZ138" s="712">
        <f t="shared" si="423"/>
        <v>8.1022443890274314</v>
      </c>
      <c r="DA138" s="712">
        <f ca="1">IF(B138&gt;Summary!$A$1,#N/A,CY138*MGtoAF)</f>
        <v>1653.3780501972976</v>
      </c>
      <c r="DB138" s="712">
        <f t="shared" si="424"/>
        <v>8.5500000000000007</v>
      </c>
      <c r="DC138" s="712">
        <f t="shared" si="425"/>
        <v>20.05</v>
      </c>
      <c r="DD138" s="712">
        <f>Sheet1!AB138-DC138</f>
        <v>-1.0500000000000007</v>
      </c>
      <c r="DE138" s="712">
        <f t="shared" si="426"/>
        <v>-5.2369077306733201E-2</v>
      </c>
      <c r="DF138" s="712">
        <f>(VLOOKUP(Sheet1!CY138,hhdcap_wcm,4)-(((VLOOKUP(Sheet1!CY138,hhdcap_wcm,3)-Sheet1!CY138)/(VLOOKUP(Sheet1!CY138,hhdcap_wcm,3)-VLOOKUP(Sheet1!CY138,hhdcap_wcm,1)))*(VLOOKUP(Sheet1!CY138,hhdcap_wcm,4)-VLOOKUP(Sheet1!CY138,hhdcap_wcm,2))))</f>
        <v>31631.000000078289</v>
      </c>
      <c r="DG138" s="712">
        <f t="shared" si="427"/>
        <v>338.96000000040658</v>
      </c>
      <c r="DH138" s="712">
        <f t="shared" si="428"/>
        <v>170.93292990439059</v>
      </c>
      <c r="DI138" s="712">
        <f>Sheet1!DW138*AFtoMG</f>
        <v>0</v>
      </c>
      <c r="DJ138" s="712">
        <f>Sheet1!DX138*AFtoMG</f>
        <v>0</v>
      </c>
      <c r="DK138" s="712">
        <f>Sheet1!DY138*AFtoMG</f>
        <v>0</v>
      </c>
      <c r="DL138" s="712">
        <f>Sheet1!DZ138*AFtoMG</f>
        <v>0</v>
      </c>
      <c r="DM138" s="712">
        <f t="shared" si="429"/>
        <v>0</v>
      </c>
      <c r="DN138" s="712">
        <f t="shared" si="430"/>
        <v>0</v>
      </c>
      <c r="DO138" s="712">
        <f t="shared" si="431"/>
        <v>3809.5841112987664</v>
      </c>
      <c r="DP138" s="712">
        <f t="shared" si="432"/>
        <v>11687.804053464615</v>
      </c>
      <c r="DQ138" s="712"/>
      <c r="DR138" s="697">
        <f>IF(OR(B138&lt;FL138,B138&gt;FM138),(MIN(AV138+BO138+CJ138+MAX(Sheet1!AA138+AG138-73,0),K138)),0)</f>
        <v>8.1022443890274314</v>
      </c>
      <c r="DS138" s="712"/>
      <c r="DT138" s="712">
        <f t="shared" si="433"/>
        <v>8.1022443890274314</v>
      </c>
      <c r="DU138" s="712"/>
      <c r="DV138" s="712">
        <f>Sheet1!ED138+Sheet1!EE138+Sheet1!EF138+Sheet1!EG138</f>
        <v>8.5</v>
      </c>
      <c r="DW138" s="712"/>
      <c r="DX138" s="697">
        <f t="shared" si="627"/>
        <v>0</v>
      </c>
      <c r="DY138" s="712">
        <f>IF(Sheet1!FN138=1,SUM('Calculations II'!AT138:BA138)+'Calculations II'!BC138+Sheet1!BU138+'Calculations II'!BE138+AF138,SUM('Calculations II'!AT138:BA138)+'Calculations II'!BC138+Sheet1!BU138+'Calculations II'!BE138+AF138)</f>
        <v>44.706271999999998</v>
      </c>
      <c r="DZ138" s="712">
        <f>Sheet1!AA138+Sheet1!AB138+'Calculations II'!BC138</f>
        <v>48</v>
      </c>
      <c r="EA138" s="712"/>
      <c r="EB138" s="712"/>
      <c r="EC138" s="712">
        <f t="shared" si="434"/>
        <v>40667</v>
      </c>
      <c r="ED138" s="712">
        <f t="shared" si="435"/>
        <v>56.537755610972567</v>
      </c>
      <c r="EE138" s="712">
        <f t="shared" si="436"/>
        <v>87.463907930174557</v>
      </c>
      <c r="EF138" s="712">
        <f>-(VLOOKUP(Sheet1!BQ138,Lookup!$B$4:$J$236,2)-VLOOKUP(Sheet1!BQ137,Lookup!$B$4:$J$236,2))/1000000</f>
        <v>0</v>
      </c>
      <c r="EG138" s="712">
        <f>-(VLOOKUP(Sheet1!BR138,Lookup!$B$4:$J$236,3)-VLOOKUP(Sheet1!BR137,Lookup!$B$4:$J$236,3))/1000000</f>
        <v>0</v>
      </c>
      <c r="EH138" s="712">
        <f>-(VLOOKUP(Sheet1!BS138,Lookup!$B$4:$J$236,4)-VLOOKUP(Sheet1!BS137,Lookup!$B$4:$J$236,4))/1000000</f>
        <v>0</v>
      </c>
      <c r="EI138" s="697">
        <f t="shared" ref="EI138:EI156" si="631">EH138+EG138+EF138</f>
        <v>0</v>
      </c>
      <c r="EJ138" s="712"/>
      <c r="EK138" s="712"/>
      <c r="EL138" s="712"/>
      <c r="EM138" s="712"/>
      <c r="EN138" s="712"/>
      <c r="EO138" s="712"/>
      <c r="EP138" s="712"/>
      <c r="EQ138" s="712"/>
      <c r="ER138" s="697">
        <v>0</v>
      </c>
      <c r="ES138" s="712"/>
      <c r="ET138" s="794" t="e">
        <f t="shared" si="437"/>
        <v>#N/A</v>
      </c>
      <c r="EU138" s="794" t="e">
        <f t="shared" si="614"/>
        <v>#VALUE!</v>
      </c>
      <c r="EV138" s="795" t="e">
        <f t="shared" si="615"/>
        <v>#VALUE!</v>
      </c>
      <c r="EW138" s="796" t="s">
        <v>757</v>
      </c>
      <c r="EX138" s="796" t="s">
        <v>757</v>
      </c>
      <c r="EY138" s="794">
        <v>0</v>
      </c>
      <c r="EZ138" s="794" t="e">
        <v>#N/A</v>
      </c>
      <c r="FA138" s="712"/>
      <c r="FB138" s="712"/>
      <c r="FC138" s="712"/>
      <c r="FD138" s="712"/>
      <c r="FE138" s="712">
        <f>O138+Sheet1!CO138</f>
        <v>48</v>
      </c>
      <c r="FF138" s="712">
        <f>IF(Sheet1!AA138+AG138&lt;=Calculation!N138,AG138,Calculation!N138-Sheet1!AA138)</f>
        <v>10.897755610972569</v>
      </c>
      <c r="FG138" s="712">
        <f>(Sheet1!BP138+Sheet1!BO138)/694.4</f>
        <v>1.4199308755760369</v>
      </c>
      <c r="FH138" s="712"/>
      <c r="FI138" s="712"/>
      <c r="FJ138" s="712"/>
      <c r="FK138" s="712"/>
      <c r="FL138" s="714">
        <f t="shared" ref="FL138:FL201" si="632">$FL$8</f>
        <v>40753</v>
      </c>
      <c r="FM138" s="714">
        <f t="shared" ref="FM138:FM201" si="633">$FM$8</f>
        <v>40851</v>
      </c>
      <c r="FN138" s="712"/>
      <c r="FO138" s="712"/>
      <c r="FP138" s="712"/>
      <c r="FQ138" s="712"/>
      <c r="FR138" s="712"/>
      <c r="FS138" s="725">
        <f t="shared" ref="FS138:FS201" si="634">FS137</f>
        <v>40603</v>
      </c>
      <c r="FT138" s="714">
        <f t="shared" ref="FT138:FT201" si="635">$FT$8</f>
        <v>40709</v>
      </c>
      <c r="FU138" s="712">
        <f t="shared" ref="FU138:FU201" si="636">FU137</f>
        <v>6518.9048239895692</v>
      </c>
      <c r="FV138" s="714">
        <f t="shared" ref="FV138:FV201" si="637">$FV$8</f>
        <v>40722</v>
      </c>
      <c r="FW138" s="712">
        <f t="shared" ref="FW138:FW201" si="638">FW137</f>
        <v>3259.4524119947846</v>
      </c>
      <c r="FX138" s="725">
        <f t="shared" ref="FX138:FX201" si="639">FX137</f>
        <v>40851</v>
      </c>
      <c r="FZ138" s="697">
        <f t="shared" si="616"/>
        <v>0</v>
      </c>
      <c r="GA138" s="712" t="str">
        <f t="shared" si="438"/>
        <v/>
      </c>
      <c r="GB138" s="712">
        <f t="shared" si="439"/>
        <v>0</v>
      </c>
      <c r="GC138" s="712" t="str">
        <f t="shared" si="440"/>
        <v/>
      </c>
      <c r="GD138" s="712">
        <f>IF(GA138="P",Lookup!$M$12,IF(GA138="PP",Lookup!$M$13,IF(GA138="PPP",Lookup!$M$14,IF(GA138="T",Lookup!$M$15,IF(GA138="TP",Lookup!$M$16,IF(GA138="TPP",Lookup!$M$17,IF(GA138="TPPP",Lookup!$M$18,0)))))))*FZ138</f>
        <v>0</v>
      </c>
      <c r="GE138" s="712">
        <f t="shared" si="441"/>
        <v>0</v>
      </c>
      <c r="GF138" s="712">
        <f t="shared" si="442"/>
        <v>5371.0453333333353</v>
      </c>
      <c r="GG138" s="712">
        <f t="shared" si="443"/>
        <v>1750.6666666666672</v>
      </c>
      <c r="GH138" s="712"/>
      <c r="GI138" s="712">
        <f t="shared" si="444"/>
        <v>0</v>
      </c>
      <c r="GJ138" s="712" t="str">
        <f t="shared" si="445"/>
        <v/>
      </c>
      <c r="GK138" s="712">
        <f>IF(GA138="P",Lookup!$N$12,IF(GA138="PP",Lookup!$N$13,IF(GA138="PPP",Lookup!$N$14,IF(GA138="T",Lookup!$N$15,IF(GA138="TP",Lookup!$N$16,IF(GA138="TPP",Lookup!$N$17,IF(GA138="TPPP",Lookup!$N$18,0)))))))*FZ138</f>
        <v>0</v>
      </c>
      <c r="GL138" s="712">
        <f t="shared" si="446"/>
        <v>0</v>
      </c>
      <c r="GM138" s="712">
        <f t="shared" si="447"/>
        <v>2506.4878222222192</v>
      </c>
      <c r="GN138" s="712">
        <f t="shared" si="448"/>
        <v>816.97777777777674</v>
      </c>
      <c r="GO138" s="712"/>
      <c r="GP138" s="712">
        <f t="shared" si="449"/>
        <v>0</v>
      </c>
      <c r="GQ138" s="712" t="str">
        <f t="shared" si="450"/>
        <v/>
      </c>
      <c r="GR138" s="712">
        <f>IF(GA138="P",Lookup!$N$12,IF(GA138="PP",Lookup!$N$13,IF(GA138="PPP",Lookup!$N$14,IF(GA138="T",Lookup!$N$15,IF(GA138="TP",Lookup!$N$16,IF(GA138="TPP",Lookup!$N$17,IF(GA138="TPPP",Lookup!$N$18,0)))))))*FZ138</f>
        <v>0</v>
      </c>
      <c r="GS138" s="697">
        <f t="shared" si="628"/>
        <v>0</v>
      </c>
      <c r="GT138" s="712">
        <f t="shared" si="451"/>
        <v>2156.8928477117643</v>
      </c>
      <c r="GU138" s="712">
        <f t="shared" si="452"/>
        <v>703.028959488841</v>
      </c>
      <c r="GV138" s="712"/>
      <c r="GW138" s="712">
        <f t="shared" si="453"/>
        <v>0</v>
      </c>
      <c r="GX138" s="712" t="str">
        <f t="shared" si="454"/>
        <v/>
      </c>
      <c r="GY138" s="712">
        <f>IF(GA138="P",Lookup!$N$12,IF(GA138="PP",Lookup!$N$13,IF(GA138="PPP",Lookup!$N$14,IF(GA138="T",Lookup!$N$15,IF(GA138="TP",Lookup!$N$16,IF(GA138="TPP",Lookup!$N$17,IF(GA138="TPPP",Lookup!$N$18,0)))))))*FZ138</f>
        <v>0</v>
      </c>
      <c r="GZ138" s="697">
        <f t="shared" si="629"/>
        <v>0</v>
      </c>
      <c r="HA138" s="712">
        <f t="shared" si="455"/>
        <v>1653.3780501972976</v>
      </c>
      <c r="HB138" s="712">
        <f t="shared" si="456"/>
        <v>538.91070736548158</v>
      </c>
      <c r="HC138" s="712"/>
    </row>
    <row r="139" spans="1:211">
      <c r="A139" s="773" t="s">
        <v>7</v>
      </c>
      <c r="B139" s="708">
        <v>40668</v>
      </c>
      <c r="C139" s="709">
        <v>0.5</v>
      </c>
      <c r="D139" s="675">
        <f t="shared" si="617"/>
        <v>300</v>
      </c>
      <c r="E139" s="675">
        <f t="shared" si="618"/>
        <v>250</v>
      </c>
      <c r="F139" s="675">
        <v>250</v>
      </c>
      <c r="G139" s="712">
        <f>DH139+Sheet1!CV139</f>
        <v>1570.8483473165513</v>
      </c>
      <c r="H139" s="712">
        <f t="shared" si="389"/>
        <v>748.43317170541877</v>
      </c>
      <c r="I139" s="711">
        <f>MAX(Sheet1!Z139-AJ139+(Sheet1!CW139-E139)*CFStoMGD,0)</f>
        <v>1131.7931350071055</v>
      </c>
      <c r="J139" s="720">
        <f>IF(AND(B139&gt;=Calculation!FS139,B139&lt;=Calculation!FT139),IF(Sheet1!CX139&gt;=Calculation!D139,64.64,0),MAX(Sheet1!Z139-AJ139+(Sheet1!CX139-D139)*CFStoMGD,0))</f>
        <v>64.64</v>
      </c>
      <c r="K139" s="697">
        <f t="shared" si="619"/>
        <v>64.64</v>
      </c>
      <c r="L139" s="712">
        <f>Sheet1!AA139+Sheet1!AB139-Sheet1!L139+(Sheet1!CW139-F139)*CFStoMGD</f>
        <v>1174.9279999999999</v>
      </c>
      <c r="M139" s="712">
        <f t="shared" si="390"/>
        <v>1035.7042991395272</v>
      </c>
      <c r="N139" s="712">
        <f>IF(Sheet1!CW139&gt;=F139,MIN(73,MIN(MAX(L139,0),MAX(M139,0))),0)</f>
        <v>73</v>
      </c>
      <c r="O139" s="721">
        <f>Sheet1!AA139+Sheet1!AB139</f>
        <v>51</v>
      </c>
      <c r="P139" s="721">
        <f t="shared" si="391"/>
        <v>78.896999999999991</v>
      </c>
      <c r="Q139" s="712">
        <f>MIN(N139,Sheet1!AA139+AG139)</f>
        <v>42.434864992894362</v>
      </c>
      <c r="R139" s="712">
        <f t="shared" si="392"/>
        <v>8.5651350071056367</v>
      </c>
      <c r="S139" s="721">
        <f>Sheet1!Y139*MGDtoCFS</f>
        <v>46.796749999999996</v>
      </c>
      <c r="T139" s="721">
        <f>Sheet1!Z139*MGDtoCFS</f>
        <v>31.4041</v>
      </c>
      <c r="U139" s="721">
        <f>Sheet1!AA139*MGDtoCFS</f>
        <v>46.41</v>
      </c>
      <c r="V139" s="721">
        <f>Sheet1!AB139*MGDtoCFS</f>
        <v>32.487000000000002</v>
      </c>
      <c r="W139" s="721">
        <f>Sheet1!L139*MGDtoCFS</f>
        <v>0</v>
      </c>
      <c r="X139" s="697">
        <f t="shared" si="620"/>
        <v>0</v>
      </c>
      <c r="Y139" s="712">
        <f t="shared" si="393"/>
        <v>0</v>
      </c>
      <c r="Z139" s="712">
        <f t="shared" si="394"/>
        <v>56.074864992894362</v>
      </c>
      <c r="AA139" s="712">
        <f t="shared" si="395"/>
        <v>86.747816144007572</v>
      </c>
      <c r="AB139" s="712">
        <f>(VLOOKUP(Sheet1!CY139,hhdcap_wcm,4)-(((VLOOKUP(Sheet1!CY139,hhdcap_wcm,3)-Sheet1!CY139)/(VLOOKUP(Sheet1!CY139,hhdcap_wcm,3)-VLOOKUP(Sheet1!CY139,hhdcap_wcm,1)))*(VLOOKUP(Sheet1!CY139,hhdcap_wcm,4)-VLOOKUP(Sheet1!CY139,hhdcap_wcm,2))))</f>
        <v>32090.575000079738</v>
      </c>
      <c r="AC139" s="712">
        <f t="shared" si="396"/>
        <v>459.57500000144864</v>
      </c>
      <c r="AD139" s="712">
        <f t="shared" si="621"/>
        <v>3865.6589762916606</v>
      </c>
      <c r="AE139" s="712">
        <f t="shared" si="397"/>
        <v>11859.841739262814</v>
      </c>
      <c r="AF139" s="712">
        <f>Sheet1!BA139+Sheet1!BB139+Sheet1!BN139+BT139</f>
        <v>12.5</v>
      </c>
      <c r="AG139" s="712">
        <f t="shared" si="398"/>
        <v>12.434864992894363</v>
      </c>
      <c r="AH139" s="712">
        <f>Sheet1!BA139+BT139</f>
        <v>0</v>
      </c>
      <c r="AI139" s="712">
        <f>Sheet1!BA139+Sheet1!BB139+BT139</f>
        <v>0</v>
      </c>
      <c r="AJ139" s="712">
        <f>IF((Sheet1!AA139+AG139+AX139+AZ139+BQ139+BS139+CL139+CN139)&lt;=N139,AG139+AX139+AZ139+BQ139+BS139+CL139+CN139,N139-Sheet1!AA139)</f>
        <v>12.434864992894363</v>
      </c>
      <c r="AK139" s="712">
        <f>IF(DR139&lt;K139,0,MAX(Sheet1!AA139+AG139-15/36*K139-N139,Sheet1!ED139,0))</f>
        <v>0</v>
      </c>
      <c r="AL139" s="712">
        <f>IF(OR(B139&gt;=FT139,B139&lt;FS139),0,15/36*K139-MAX(0,64.6-(137.6-(Sheet1!AA139+Sheet1!AB139))))</f>
        <v>26.933333333333334</v>
      </c>
      <c r="AM139" s="712">
        <f>Sheet1!CX139-110</f>
        <v>1170</v>
      </c>
      <c r="AN139" s="712">
        <f>Sheet1!CW139-265</f>
        <v>1723.75</v>
      </c>
      <c r="AO139" s="712">
        <f t="shared" si="622"/>
        <v>30.565135007105638</v>
      </c>
      <c r="AP139" s="712">
        <f t="shared" si="623"/>
        <v>0</v>
      </c>
      <c r="AQ139" s="712">
        <f t="shared" si="399"/>
        <v>0</v>
      </c>
      <c r="AR139" s="712">
        <f t="shared" si="400"/>
        <v>1777.6000000000006</v>
      </c>
      <c r="AS139" s="712"/>
      <c r="AT139" s="712">
        <f ca="1">IF(B139&gt;Summary!$A$1,#N/A,AR139*MGtoAF)</f>
        <v>5453.676800000002</v>
      </c>
      <c r="AU139" s="712">
        <f>Sheet1!BG139+Sheet1!BH139+Sheet1!BI139-BC139</f>
        <v>0</v>
      </c>
      <c r="AV139" s="712">
        <f t="shared" si="401"/>
        <v>0</v>
      </c>
      <c r="AW139" s="712">
        <f>IF(Sheet1!EL139="FM",BC139,0)</f>
        <v>0</v>
      </c>
      <c r="AX139" s="712">
        <f t="shared" si="402"/>
        <v>0</v>
      </c>
      <c r="AY139" s="712">
        <f>IF(Sheet1!EL139="OTHER",BC139,0)</f>
        <v>0</v>
      </c>
      <c r="AZ139" s="712">
        <f t="shared" si="403"/>
        <v>0</v>
      </c>
      <c r="BA139" s="712">
        <f t="shared" si="404"/>
        <v>0</v>
      </c>
      <c r="BB139" s="712">
        <f t="shared" si="405"/>
        <v>0</v>
      </c>
      <c r="BC139" s="712">
        <f>IF(OR(Sheet1!EL139="FM", Sheet1!EL139="OTHER"),SUM(Sheet1!BG139:'Sheet1'!BI139),0)</f>
        <v>0</v>
      </c>
      <c r="BD139" s="697">
        <f>IF(AND($B139&gt;=$FL139,$B139&lt;=$FM139),MAX(AV139,Sheet1!EE139,0),MAX(AV139-(7/36)*$K139,0))</f>
        <v>0</v>
      </c>
      <c r="BE139" s="712">
        <f t="shared" si="406"/>
        <v>12.568888888888889</v>
      </c>
      <c r="BF139" s="697">
        <f t="shared" si="624"/>
        <v>0</v>
      </c>
      <c r="BG139" s="697">
        <f>IF(AND($O139&gt;0,Sheet1!EI139=1),(1-($O139-Sheet1!$L139)/$O139)*BB139,0)</f>
        <v>0</v>
      </c>
      <c r="BH139" s="697">
        <f>IF(AND(Sheet1!$L139=0,Sheet1!$L138=0, Calculation!BA139&lt;Sheet1!$EE139-0.1,Sheet1!$EE139=Sheet1!$EE138,Sheet1!$EE139=Sheet1!$EE140),Sheet1!$EE139,BB139-BG139)</f>
        <v>0</v>
      </c>
      <c r="BI139" s="712"/>
      <c r="BJ139" s="712"/>
      <c r="BK139" s="712">
        <f t="shared" si="407"/>
        <v>829.5466666666656</v>
      </c>
      <c r="BL139" s="712"/>
      <c r="BM139" s="712">
        <f ca="1">IF(B139&gt;Summary!$A$1,#N/A,BK139*MGtoAF)</f>
        <v>2545.0491733333301</v>
      </c>
      <c r="BN139" s="712">
        <f>Sheet1!BC139+Sheet1!BD139+Sheet1!BE139+Sheet1!BF139-BW139-BX139</f>
        <v>2.5799999999999996</v>
      </c>
      <c r="BO139" s="712">
        <f t="shared" si="408"/>
        <v>2.5665561345333963</v>
      </c>
      <c r="BP139" s="712">
        <f>IF(Sheet1!EM139="FM",BX139,0)</f>
        <v>0</v>
      </c>
      <c r="BQ139" s="712">
        <f t="shared" si="409"/>
        <v>0</v>
      </c>
      <c r="BR139" s="712">
        <f>IF(Sheet1!EM139="OTHER",BX139,0)</f>
        <v>0</v>
      </c>
      <c r="BS139" s="712">
        <f t="shared" si="410"/>
        <v>0</v>
      </c>
      <c r="BT139" s="712">
        <f t="shared" si="411"/>
        <v>0</v>
      </c>
      <c r="BU139" s="712">
        <f t="shared" si="412"/>
        <v>2.5799999999999996</v>
      </c>
      <c r="BV139" s="712">
        <f t="shared" si="413"/>
        <v>2.5665561345333963</v>
      </c>
      <c r="BW139" s="712">
        <f>IF(Sheet1!EM139="CWA",SUM(Sheet1!BC139:'Sheet1'!BF139),0)</f>
        <v>0</v>
      </c>
      <c r="BX139" s="712">
        <f>IF(OR(Sheet1!EM139="FM", Sheet1!EM139="OTHER"),SUM(Sheet1!BC139:'Sheet1'!BF139),0)</f>
        <v>0</v>
      </c>
      <c r="BY139" s="697">
        <f>IF(AND($B139&gt;=$FL139,$B139&lt;=$FM139),MAX(BV139,Sheet1!EF139,0),MAX(BV139-(7/36)*$K139,0))</f>
        <v>0</v>
      </c>
      <c r="BZ139" s="712">
        <f t="shared" si="414"/>
        <v>10.002332754355493</v>
      </c>
      <c r="CA139" s="697">
        <f t="shared" si="625"/>
        <v>2.5665561345333963</v>
      </c>
      <c r="CB139" s="697">
        <f>IF(AND($O139&gt;0,Sheet1!EJ139=1),(1-($O139-Sheet1!$L139)/$O139)*BV139,0)</f>
        <v>0</v>
      </c>
      <c r="CC139" s="697">
        <f>IF(AND(Sheet1!$L139=0,Sheet1!$L138=0, Calculation!BU139&lt;Sheet1!EF139-0.1,Sheet1!EF139=Sheet1!EF138,Sheet1!EF139=Sheet1!EF140),Sheet1!EF139,BV139-CB139)</f>
        <v>2.5665561345333963</v>
      </c>
      <c r="CD139" s="697"/>
      <c r="CE139" s="712"/>
      <c r="CF139" s="712">
        <f t="shared" si="415"/>
        <v>713.0312922431965</v>
      </c>
      <c r="CG139" s="712"/>
      <c r="CH139" s="712">
        <f ca="1">IF(B139&gt;Summary!$A$1,#N/A,CF139*MGtoAF)</f>
        <v>2187.5800046021268</v>
      </c>
      <c r="CI139" s="712">
        <f>Sheet1!BK139+Sheet1!BL139+Sheet1!BM139-Sheet1!EN139-CQ139</f>
        <v>6.0299999999999994</v>
      </c>
      <c r="CJ139" s="712">
        <f t="shared" si="416"/>
        <v>5.9985788725722404</v>
      </c>
      <c r="CK139" s="712">
        <f>IF(Sheet1!EN139="FM",CQ139,0)</f>
        <v>0</v>
      </c>
      <c r="CL139" s="712">
        <f t="shared" si="417"/>
        <v>0</v>
      </c>
      <c r="CM139" s="712">
        <f>IF(Sheet1!EN139="OTHER",CQ139,0)</f>
        <v>0</v>
      </c>
      <c r="CN139" s="712">
        <f t="shared" si="418"/>
        <v>0</v>
      </c>
      <c r="CO139" s="712">
        <f t="shared" si="419"/>
        <v>6.0299999999999994</v>
      </c>
      <c r="CP139" s="712">
        <f t="shared" si="420"/>
        <v>5.9985788725722404</v>
      </c>
      <c r="CQ139" s="712">
        <f>IF(OR(Sheet1!EN139="FM", Sheet1!EN139="OTHER"),SUM(Sheet1!BK139:'Sheet1'!BM139),0)</f>
        <v>0</v>
      </c>
      <c r="CR139" s="697">
        <f>IF(AND($B139&gt;=$FL139,$B139&lt;=$FM139),MAX($CJ139,Sheet1!EG139,0),MAX($CJ139-(7/36)*$K139,0))</f>
        <v>0</v>
      </c>
      <c r="CS139" s="712">
        <f t="shared" si="421"/>
        <v>6.5703100163166486</v>
      </c>
      <c r="CT139" s="697">
        <f t="shared" si="626"/>
        <v>5.9985788725722404</v>
      </c>
      <c r="CU139" s="697">
        <f>IF(AND($O139&gt;0,Sheet1!EK139=1),(1-($O139-Sheet1!$L139)/$O139)*CP139,0)</f>
        <v>0</v>
      </c>
      <c r="CV139" s="697">
        <f>IF(AND(Sheet1!$L139=0,Sheet1!$L138=0, Calculation!CO139&lt;Sheet1!$EG139-0.1,Sheet1!$EG139=Sheet1!$EG138,Sheet1!$EG139=Sheet1!$EG140),Sheet1!$EG139,CP139-CU139)</f>
        <v>5.9985788725722404</v>
      </c>
      <c r="CW139" s="697">
        <f t="shared" si="613"/>
        <v>0</v>
      </c>
      <c r="CX139" s="712">
        <f t="shared" si="630"/>
        <v>8.61</v>
      </c>
      <c r="CY139" s="712">
        <f t="shared" si="422"/>
        <v>545.48101738179821</v>
      </c>
      <c r="CZ139" s="712">
        <f t="shared" si="423"/>
        <v>8.5651350071056367</v>
      </c>
      <c r="DA139" s="712">
        <f ca="1">IF(B139&gt;Summary!$A$1,#N/A,CY139*MGtoAF)</f>
        <v>1673.535761327357</v>
      </c>
      <c r="DB139" s="712">
        <f t="shared" si="424"/>
        <v>8.61</v>
      </c>
      <c r="DC139" s="712">
        <f t="shared" si="425"/>
        <v>21.11</v>
      </c>
      <c r="DD139" s="712">
        <f>Sheet1!AB139-DC139</f>
        <v>-0.10999999999999943</v>
      </c>
      <c r="DE139" s="712">
        <f t="shared" si="426"/>
        <v>-5.2108005684509441E-3</v>
      </c>
      <c r="DF139" s="712">
        <f>(VLOOKUP(Sheet1!CY139,hhdcap_wcm,4)-(((VLOOKUP(Sheet1!CY139,hhdcap_wcm,3)-Sheet1!CY139)/(VLOOKUP(Sheet1!CY139,hhdcap_wcm,3)-VLOOKUP(Sheet1!CY139,hhdcap_wcm,1)))*(VLOOKUP(Sheet1!CY139,hhdcap_wcm,4)-VLOOKUP(Sheet1!CY139,hhdcap_wcm,2))))</f>
        <v>32090.575000079738</v>
      </c>
      <c r="DG139" s="712">
        <f t="shared" si="427"/>
        <v>459.57500000144864</v>
      </c>
      <c r="DH139" s="712">
        <f t="shared" si="428"/>
        <v>231.75743822564226</v>
      </c>
      <c r="DI139" s="712">
        <f>Sheet1!DW139*AFtoMG</f>
        <v>0</v>
      </c>
      <c r="DJ139" s="712">
        <f>Sheet1!DX139*AFtoMG</f>
        <v>0</v>
      </c>
      <c r="DK139" s="712">
        <f>Sheet1!DY139*AFtoMG</f>
        <v>0</v>
      </c>
      <c r="DL139" s="712">
        <f>Sheet1!DZ139*AFtoMG</f>
        <v>0</v>
      </c>
      <c r="DM139" s="712">
        <f t="shared" si="429"/>
        <v>0</v>
      </c>
      <c r="DN139" s="712">
        <f t="shared" si="430"/>
        <v>0</v>
      </c>
      <c r="DO139" s="712">
        <f t="shared" si="431"/>
        <v>3865.6589762916606</v>
      </c>
      <c r="DP139" s="712">
        <f t="shared" si="432"/>
        <v>11859.841739262814</v>
      </c>
      <c r="DQ139" s="712"/>
      <c r="DR139" s="697">
        <f>IF(OR(B139&lt;FL139,B139&gt;FM139),(MIN(AV139+BO139+CJ139+MAX(Sheet1!AA139+AG139-73,0),K139)),0)</f>
        <v>8.5651350071056367</v>
      </c>
      <c r="DS139" s="712"/>
      <c r="DT139" s="712">
        <f t="shared" si="433"/>
        <v>8.5651350071056367</v>
      </c>
      <c r="DU139" s="712"/>
      <c r="DV139" s="712">
        <f>Sheet1!ED139+Sheet1!EE139+Sheet1!EF139+Sheet1!EG139</f>
        <v>8.5</v>
      </c>
      <c r="DW139" s="712"/>
      <c r="DX139" s="697">
        <f t="shared" si="627"/>
        <v>0</v>
      </c>
      <c r="DY139" s="712">
        <f>IF(Sheet1!FN139=1,SUM('Calculations II'!AT139:BA139)+'Calculations II'!BC139+Sheet1!BU139+'Calculations II'!BE139+AF139,SUM('Calculations II'!AT139:BA139)+'Calculations II'!BC139+Sheet1!BU139+'Calculations II'!BE139+AF139)</f>
        <v>47.208656000000005</v>
      </c>
      <c r="DZ139" s="712">
        <f>Sheet1!AA139+Sheet1!AB139+'Calculations II'!BC139</f>
        <v>51</v>
      </c>
      <c r="EA139" s="712"/>
      <c r="EB139" s="712"/>
      <c r="EC139" s="712">
        <f t="shared" si="434"/>
        <v>40668</v>
      </c>
      <c r="ED139" s="712">
        <f t="shared" si="435"/>
        <v>56.074864992894362</v>
      </c>
      <c r="EE139" s="712">
        <f t="shared" si="436"/>
        <v>86.747816144007572</v>
      </c>
      <c r="EF139" s="712">
        <f>-(VLOOKUP(Sheet1!BQ139,Lookup!$B$4:$J$236,2)-VLOOKUP(Sheet1!BQ138,Lookup!$B$4:$J$236,2))/1000000</f>
        <v>2.1572</v>
      </c>
      <c r="EG139" s="712">
        <f>-(VLOOKUP(Sheet1!BR139,Lookup!$B$4:$J$236,3)-VLOOKUP(Sheet1!BR138,Lookup!$B$4:$J$236,3))/1000000</f>
        <v>1.8832</v>
      </c>
      <c r="EH139" s="712">
        <f>-(VLOOKUP(Sheet1!BS139,Lookup!$B$4:$J$236,4)-VLOOKUP(Sheet1!BS138,Lookup!$B$4:$J$236,4))/1000000</f>
        <v>0</v>
      </c>
      <c r="EI139" s="697">
        <f t="shared" si="631"/>
        <v>4.0404</v>
      </c>
      <c r="EJ139" s="712"/>
      <c r="EK139" s="712"/>
      <c r="EL139" s="712"/>
      <c r="EM139" s="712"/>
      <c r="EN139" s="712"/>
      <c r="EO139" s="712"/>
      <c r="EP139" s="712"/>
      <c r="EQ139" s="712"/>
      <c r="ER139" s="697">
        <v>0</v>
      </c>
      <c r="ES139" s="712"/>
      <c r="ET139" s="794" t="e">
        <f t="shared" si="437"/>
        <v>#N/A</v>
      </c>
      <c r="EU139" s="794" t="e">
        <f t="shared" si="614"/>
        <v>#VALUE!</v>
      </c>
      <c r="EV139" s="795" t="e">
        <f t="shared" si="615"/>
        <v>#VALUE!</v>
      </c>
      <c r="EW139" s="796" t="s">
        <v>757</v>
      </c>
      <c r="EX139" s="796" t="s">
        <v>757</v>
      </c>
      <c r="EY139" s="794">
        <v>0</v>
      </c>
      <c r="EZ139" s="794" t="e">
        <v>#N/A</v>
      </c>
      <c r="FA139" s="712"/>
      <c r="FB139" s="712"/>
      <c r="FC139" s="712"/>
      <c r="FD139" s="712"/>
      <c r="FE139" s="712">
        <f>O139+Sheet1!CO139</f>
        <v>51</v>
      </c>
      <c r="FF139" s="712">
        <f>IF(Sheet1!AA139+AG139&lt;=Calculation!N139,AG139,Calculation!N139-Sheet1!AA139)</f>
        <v>12.434864992894363</v>
      </c>
      <c r="FG139" s="712">
        <f>(Sheet1!BP139+Sheet1!BO139)/694.4</f>
        <v>2.034706221198157</v>
      </c>
      <c r="FH139" s="712"/>
      <c r="FI139" s="712"/>
      <c r="FJ139" s="712"/>
      <c r="FK139" s="712"/>
      <c r="FL139" s="714">
        <f t="shared" si="632"/>
        <v>40753</v>
      </c>
      <c r="FM139" s="714">
        <f t="shared" si="633"/>
        <v>40851</v>
      </c>
      <c r="FN139" s="712"/>
      <c r="FO139" s="712"/>
      <c r="FP139" s="712"/>
      <c r="FQ139" s="712"/>
      <c r="FR139" s="712"/>
      <c r="FS139" s="725">
        <f t="shared" si="634"/>
        <v>40603</v>
      </c>
      <c r="FT139" s="714">
        <f t="shared" si="635"/>
        <v>40709</v>
      </c>
      <c r="FU139" s="712">
        <f t="shared" si="636"/>
        <v>6518.9048239895692</v>
      </c>
      <c r="FV139" s="714">
        <f t="shared" si="637"/>
        <v>40722</v>
      </c>
      <c r="FW139" s="712">
        <f t="shared" si="638"/>
        <v>3259.4524119947846</v>
      </c>
      <c r="FX139" s="725">
        <f t="shared" si="639"/>
        <v>40851</v>
      </c>
      <c r="FZ139" s="697">
        <f t="shared" si="616"/>
        <v>0</v>
      </c>
      <c r="GA139" s="712" t="str">
        <f t="shared" si="438"/>
        <v/>
      </c>
      <c r="GB139" s="712">
        <f t="shared" si="439"/>
        <v>0</v>
      </c>
      <c r="GC139" s="712" t="str">
        <f t="shared" si="440"/>
        <v/>
      </c>
      <c r="GD139" s="712">
        <f>IF(GA139="P",Lookup!$M$12,IF(GA139="PP",Lookup!$M$13,IF(GA139="PPP",Lookup!$M$14,IF(GA139="T",Lookup!$M$15,IF(GA139="TP",Lookup!$M$16,IF(GA139="TPP",Lookup!$M$17,IF(GA139="TPPP",Lookup!$M$18,0)))))))*FZ139</f>
        <v>0</v>
      </c>
      <c r="GE139" s="712">
        <f t="shared" si="441"/>
        <v>0</v>
      </c>
      <c r="GF139" s="712">
        <f t="shared" si="442"/>
        <v>5453.676800000002</v>
      </c>
      <c r="GG139" s="712">
        <f t="shared" si="443"/>
        <v>1777.6000000000006</v>
      </c>
      <c r="GH139" s="712"/>
      <c r="GI139" s="712">
        <f t="shared" si="444"/>
        <v>0</v>
      </c>
      <c r="GJ139" s="712" t="str">
        <f t="shared" si="445"/>
        <v/>
      </c>
      <c r="GK139" s="712">
        <f>IF(GA139="P",Lookup!$N$12,IF(GA139="PP",Lookup!$N$13,IF(GA139="PPP",Lookup!$N$14,IF(GA139="T",Lookup!$N$15,IF(GA139="TP",Lookup!$N$16,IF(GA139="TPP",Lookup!$N$17,IF(GA139="TPPP",Lookup!$N$18,0)))))))*FZ139</f>
        <v>0</v>
      </c>
      <c r="GL139" s="712">
        <f t="shared" si="446"/>
        <v>0</v>
      </c>
      <c r="GM139" s="712">
        <f t="shared" si="447"/>
        <v>2545.0491733333301</v>
      </c>
      <c r="GN139" s="712">
        <f t="shared" si="448"/>
        <v>829.5466666666656</v>
      </c>
      <c r="GO139" s="712"/>
      <c r="GP139" s="712">
        <f t="shared" si="449"/>
        <v>0</v>
      </c>
      <c r="GQ139" s="712" t="str">
        <f t="shared" si="450"/>
        <v/>
      </c>
      <c r="GR139" s="712">
        <f>IF(GA139="P",Lookup!$N$12,IF(GA139="PP",Lookup!$N$13,IF(GA139="PPP",Lookup!$N$14,IF(GA139="T",Lookup!$N$15,IF(GA139="TP",Lookup!$N$16,IF(GA139="TPP",Lookup!$N$17,IF(GA139="TPPP",Lookup!$N$18,0)))))))*FZ139</f>
        <v>0</v>
      </c>
      <c r="GS139" s="697">
        <f t="shared" si="628"/>
        <v>0</v>
      </c>
      <c r="GT139" s="712">
        <f t="shared" si="451"/>
        <v>2187.5800046021268</v>
      </c>
      <c r="GU139" s="712">
        <f t="shared" si="452"/>
        <v>713.0312922431965</v>
      </c>
      <c r="GV139" s="712"/>
      <c r="GW139" s="712">
        <f t="shared" si="453"/>
        <v>0</v>
      </c>
      <c r="GX139" s="712" t="str">
        <f t="shared" si="454"/>
        <v/>
      </c>
      <c r="GY139" s="712">
        <f>IF(GA139="P",Lookup!$N$12,IF(GA139="PP",Lookup!$N$13,IF(GA139="PPP",Lookup!$N$14,IF(GA139="T",Lookup!$N$15,IF(GA139="TP",Lookup!$N$16,IF(GA139="TPP",Lookup!$N$17,IF(GA139="TPPP",Lookup!$N$18,0)))))))*FZ139</f>
        <v>0</v>
      </c>
      <c r="GZ139" s="697">
        <f t="shared" si="629"/>
        <v>0</v>
      </c>
      <c r="HA139" s="712">
        <f t="shared" si="455"/>
        <v>1673.535761327357</v>
      </c>
      <c r="HB139" s="712">
        <f t="shared" si="456"/>
        <v>545.48101738179821</v>
      </c>
      <c r="HC139" s="712"/>
    </row>
    <row r="140" spans="1:211">
      <c r="A140" s="773" t="s">
        <v>8</v>
      </c>
      <c r="B140" s="708">
        <v>40669</v>
      </c>
      <c r="C140" s="719">
        <v>0.5</v>
      </c>
      <c r="D140" s="675">
        <f t="shared" si="617"/>
        <v>300</v>
      </c>
      <c r="E140" s="675">
        <f t="shared" si="618"/>
        <v>250</v>
      </c>
      <c r="F140" s="710">
        <v>250</v>
      </c>
      <c r="G140" s="712">
        <f>DH140+Sheet1!CV140</f>
        <v>1700.4898455052332</v>
      </c>
      <c r="H140" s="712">
        <f t="shared" si="389"/>
        <v>832.23343613458269</v>
      </c>
      <c r="I140" s="711">
        <f>MAX(Sheet1!Z140-AJ140+(Sheet1!CW140-E140)*CFStoMGD,0)</f>
        <v>1158.6690652526142</v>
      </c>
      <c r="J140" s="720">
        <f>IF(AND(B140&gt;=Calculation!FS140,B140&lt;=Calculation!FT140),IF(Sheet1!CX140&gt;=Calculation!D140,64.64,0),MAX(Sheet1!Z140-AJ140+(Sheet1!CX140-D140)*CFStoMGD,0))</f>
        <v>64.64</v>
      </c>
      <c r="K140" s="697">
        <f t="shared" si="619"/>
        <v>64.64</v>
      </c>
      <c r="L140" s="712">
        <f>Sheet1!AA140+Sheet1!AB140-Sheet1!L140+(Sheet1!CW140-F140)*CFStoMGD</f>
        <v>1204.3226666666665</v>
      </c>
      <c r="M140" s="712">
        <f t="shared" si="390"/>
        <v>1121.1805688572745</v>
      </c>
      <c r="N140" s="712">
        <f>IF(Sheet1!CW140&gt;=F140,MIN(73,MIN(MAX(L140,0),MAX(M140,0))),0)</f>
        <v>73</v>
      </c>
      <c r="O140" s="721">
        <f>Sheet1!AA140+Sheet1!AB140</f>
        <v>54</v>
      </c>
      <c r="P140" s="721">
        <f t="shared" si="391"/>
        <v>83.537999999999997</v>
      </c>
      <c r="Q140" s="712">
        <f>MIN(N140,Sheet1!AA140+AG140)</f>
        <v>44.953601414052144</v>
      </c>
      <c r="R140" s="712">
        <f t="shared" si="392"/>
        <v>9.0463985859478573</v>
      </c>
      <c r="S140" s="721">
        <f>Sheet1!Y140*MGDtoCFS</f>
        <v>46.611109999999996</v>
      </c>
      <c r="T140" s="721">
        <f>Sheet1!Z140*MGDtoCFS</f>
        <v>36.045099999999998</v>
      </c>
      <c r="U140" s="721">
        <f>Sheet1!AA140*MGDtoCFS</f>
        <v>46.41</v>
      </c>
      <c r="V140" s="721">
        <f>Sheet1!AB140*MGDtoCFS</f>
        <v>37.128</v>
      </c>
      <c r="W140" s="721">
        <f>Sheet1!L140*MGDtoCFS</f>
        <v>0</v>
      </c>
      <c r="X140" s="697">
        <f t="shared" si="620"/>
        <v>0</v>
      </c>
      <c r="Y140" s="712">
        <f t="shared" si="393"/>
        <v>0</v>
      </c>
      <c r="Z140" s="712">
        <f t="shared" si="394"/>
        <v>55.593601414052145</v>
      </c>
      <c r="AA140" s="712">
        <f t="shared" si="395"/>
        <v>86.00330138753867</v>
      </c>
      <c r="AB140" s="712">
        <f>(VLOOKUP(Sheet1!CY140,hhdcap_wcm,4)-(((VLOOKUP(Sheet1!CY140,hhdcap_wcm,3)-Sheet1!CY140)/(VLOOKUP(Sheet1!CY140,hhdcap_wcm,3)-VLOOKUP(Sheet1!CY140,hhdcap_wcm,1)))*(VLOOKUP(Sheet1!CY140,hhdcap_wcm,4)-VLOOKUP(Sheet1!CY140,hhdcap_wcm,2))))</f>
        <v>32556.650000080252</v>
      </c>
      <c r="AC140" s="712">
        <f t="shared" si="396"/>
        <v>466.07500000051368</v>
      </c>
      <c r="AD140" s="712">
        <f t="shared" si="621"/>
        <v>3921.2525777057131</v>
      </c>
      <c r="AE140" s="712">
        <f t="shared" si="397"/>
        <v>12030.402908401127</v>
      </c>
      <c r="AF140" s="712">
        <f>Sheet1!BA140+Sheet1!BB140+Sheet1!BN140+BT140</f>
        <v>14.1</v>
      </c>
      <c r="AG140" s="712">
        <f t="shared" si="398"/>
        <v>14.953601414052143</v>
      </c>
      <c r="AH140" s="712">
        <f>Sheet1!BA140+BT140</f>
        <v>0</v>
      </c>
      <c r="AI140" s="712">
        <f>Sheet1!BA140+Sheet1!BB140+BT140</f>
        <v>0</v>
      </c>
      <c r="AJ140" s="712">
        <f>IF((Sheet1!AA140+AG140+AX140+AZ140+BQ140+BS140+CL140+CN140)&lt;=N140,AG140+AX140+AZ140+BQ140+BS140+CL140+CN140,N140-Sheet1!AA140)</f>
        <v>14.953601414052143</v>
      </c>
      <c r="AK140" s="712">
        <f>IF(DR140&lt;K140,0,MAX(Sheet1!AA140+AG140-15/36*K140-N140,Sheet1!ED140,0))</f>
        <v>0</v>
      </c>
      <c r="AL140" s="712">
        <f>IF(OR(B140&gt;=FT140,B140&lt;FS140),0,15/36*K140-MAX(0,64.6-(137.6-(Sheet1!AA140+Sheet1!AB140))))</f>
        <v>26.933333333333334</v>
      </c>
      <c r="AM140" s="712">
        <f>Sheet1!CX140-110</f>
        <v>1331.5625</v>
      </c>
      <c r="AN140" s="712">
        <f>Sheet1!CW140-265</f>
        <v>1764.5833333333333</v>
      </c>
      <c r="AO140" s="712">
        <f t="shared" si="622"/>
        <v>28.046398585947856</v>
      </c>
      <c r="AP140" s="712">
        <f t="shared" si="623"/>
        <v>0</v>
      </c>
      <c r="AQ140" s="712">
        <f t="shared" si="399"/>
        <v>0</v>
      </c>
      <c r="AR140" s="712">
        <f t="shared" si="400"/>
        <v>1804.533333333334</v>
      </c>
      <c r="AS140" s="712"/>
      <c r="AT140" s="712">
        <f ca="1">IF(B140&gt;Summary!$A$1,#N/A,AR140*MGtoAF)</f>
        <v>5536.3082666666687</v>
      </c>
      <c r="AU140" s="712">
        <f>Sheet1!BG140+Sheet1!BH140+Sheet1!BI140-BC140</f>
        <v>0</v>
      </c>
      <c r="AV140" s="712">
        <f t="shared" si="401"/>
        <v>0</v>
      </c>
      <c r="AW140" s="712">
        <f>IF(Sheet1!EL140="FM",BC140,0)</f>
        <v>0</v>
      </c>
      <c r="AX140" s="712">
        <f t="shared" si="402"/>
        <v>0</v>
      </c>
      <c r="AY140" s="712">
        <f>IF(Sheet1!EL140="OTHER",BC140,0)</f>
        <v>0</v>
      </c>
      <c r="AZ140" s="712">
        <f t="shared" si="403"/>
        <v>0</v>
      </c>
      <c r="BA140" s="712">
        <f t="shared" si="404"/>
        <v>0</v>
      </c>
      <c r="BB140" s="712">
        <f t="shared" si="405"/>
        <v>0</v>
      </c>
      <c r="BC140" s="712">
        <f>IF(OR(Sheet1!EL140="FM", Sheet1!EL140="OTHER"),SUM(Sheet1!BG140:'Sheet1'!BI140),0)</f>
        <v>0</v>
      </c>
      <c r="BD140" s="697">
        <f>IF(AND($B140&gt;=$FL140,$B140&lt;=$FM140),MAX(AV140,Sheet1!EE140,0),MAX(AV140-(7/36)*$K140,0))</f>
        <v>0</v>
      </c>
      <c r="BE140" s="712">
        <f t="shared" si="406"/>
        <v>12.568888888888889</v>
      </c>
      <c r="BF140" s="697">
        <f t="shared" si="624"/>
        <v>0</v>
      </c>
      <c r="BG140" s="697">
        <f>IF(AND($O140&gt;0,Sheet1!EI140=1),(1-($O140-Sheet1!$L140)/$O140)*BB140,0)</f>
        <v>0</v>
      </c>
      <c r="BH140" s="697">
        <f>IF(AND(Sheet1!$L140=0,Sheet1!$L139=0, Calculation!BA140&lt;Sheet1!$EE140-0.1,Sheet1!$EE140=Sheet1!$EE139,Sheet1!$EE140=Sheet1!$EE141),Sheet1!$EE140,BB140-BG140)</f>
        <v>0</v>
      </c>
      <c r="BI140" s="712"/>
      <c r="BJ140" s="712"/>
      <c r="BK140" s="712">
        <f t="shared" si="407"/>
        <v>842.11555555555447</v>
      </c>
      <c r="BL140" s="712"/>
      <c r="BM140" s="712">
        <f ca="1">IF(B140&gt;Summary!$A$1,#N/A,BK140*MGtoAF)</f>
        <v>2583.6105244444411</v>
      </c>
      <c r="BN140" s="712">
        <f>Sheet1!BC140+Sheet1!BD140+Sheet1!BE140+Sheet1!BF140-BW140-BX140</f>
        <v>2.52</v>
      </c>
      <c r="BO140" s="712">
        <f t="shared" si="408"/>
        <v>2.6725585505965532</v>
      </c>
      <c r="BP140" s="712">
        <f>IF(Sheet1!EM140="FM",BX140,0)</f>
        <v>0</v>
      </c>
      <c r="BQ140" s="712">
        <f t="shared" si="409"/>
        <v>0</v>
      </c>
      <c r="BR140" s="712">
        <f>IF(Sheet1!EM140="OTHER",BX140,0)</f>
        <v>0</v>
      </c>
      <c r="BS140" s="712">
        <f t="shared" si="410"/>
        <v>0</v>
      </c>
      <c r="BT140" s="712">
        <f t="shared" si="411"/>
        <v>0</v>
      </c>
      <c r="BU140" s="712">
        <f t="shared" si="412"/>
        <v>2.52</v>
      </c>
      <c r="BV140" s="712">
        <f t="shared" si="413"/>
        <v>2.6725585505965532</v>
      </c>
      <c r="BW140" s="712">
        <f>IF(Sheet1!EM140="CWA",SUM(Sheet1!BC140:'Sheet1'!BF140),0)</f>
        <v>0</v>
      </c>
      <c r="BX140" s="712">
        <f>IF(OR(Sheet1!EM140="FM", Sheet1!EM140="OTHER"),SUM(Sheet1!BC140:'Sheet1'!BF140),0)</f>
        <v>0</v>
      </c>
      <c r="BY140" s="697">
        <f>IF(AND($B140&gt;=$FL140,$B140&lt;=$FM140),MAX(BV140,Sheet1!EF140,0),MAX(BV140-(7/36)*$K140,0))</f>
        <v>0</v>
      </c>
      <c r="BZ140" s="712">
        <f t="shared" si="414"/>
        <v>9.8963303382923353</v>
      </c>
      <c r="CA140" s="697">
        <f t="shared" si="625"/>
        <v>2.6725585505965532</v>
      </c>
      <c r="CB140" s="697">
        <f>IF(AND($O140&gt;0,Sheet1!EJ140=1),(1-($O140-Sheet1!$L140)/$O140)*BV140,0)</f>
        <v>0</v>
      </c>
      <c r="CC140" s="697">
        <f>IF(AND(Sheet1!$L140=0,Sheet1!$L139=0, Calculation!BU140&lt;Sheet1!EF140-0.1,Sheet1!EF140=Sheet1!EF139,Sheet1!EF140=Sheet1!EF141),Sheet1!EF140,BV140-CB140)</f>
        <v>2.6725585505965532</v>
      </c>
      <c r="CD140" s="697"/>
      <c r="CE140" s="712"/>
      <c r="CF140" s="712">
        <f t="shared" si="415"/>
        <v>722.92762258148889</v>
      </c>
      <c r="CG140" s="712"/>
      <c r="CH140" s="712">
        <f ca="1">IF(B140&gt;Summary!$A$1,#N/A,CF140*MGtoAF)</f>
        <v>2217.9419460800082</v>
      </c>
      <c r="CI140" s="712">
        <f>Sheet1!BK140+Sheet1!BL140+Sheet1!BM140-Sheet1!EN140-CQ140</f>
        <v>6.01</v>
      </c>
      <c r="CJ140" s="712">
        <f t="shared" si="416"/>
        <v>6.3738400353513036</v>
      </c>
      <c r="CK140" s="712">
        <f>IF(Sheet1!EN140="FM",CQ140,0)</f>
        <v>0</v>
      </c>
      <c r="CL140" s="712">
        <f t="shared" si="417"/>
        <v>0</v>
      </c>
      <c r="CM140" s="712">
        <f>IF(Sheet1!EN140="OTHER",CQ140,0)</f>
        <v>0</v>
      </c>
      <c r="CN140" s="712">
        <f t="shared" si="418"/>
        <v>0</v>
      </c>
      <c r="CO140" s="712">
        <f t="shared" si="419"/>
        <v>6.01</v>
      </c>
      <c r="CP140" s="712">
        <f t="shared" si="420"/>
        <v>6.3738400353513036</v>
      </c>
      <c r="CQ140" s="712">
        <f>IF(OR(Sheet1!EN140="FM", Sheet1!EN140="OTHER"),SUM(Sheet1!BK140:'Sheet1'!BM140),0)</f>
        <v>0</v>
      </c>
      <c r="CR140" s="697">
        <f>IF(AND($B140&gt;=$FL140,$B140&lt;=$FM140),MAX($CJ140,Sheet1!EG140,0),MAX($CJ140-(7/36)*$K140,0))</f>
        <v>0</v>
      </c>
      <c r="CS140" s="712">
        <f t="shared" si="421"/>
        <v>6.1950488535375854</v>
      </c>
      <c r="CT140" s="697">
        <f t="shared" si="626"/>
        <v>6.3738400353513036</v>
      </c>
      <c r="CU140" s="697">
        <f>IF(AND($O140&gt;0,Sheet1!EK140=1),(1-($O140-Sheet1!$L140)/$O140)*CP140,0)</f>
        <v>0</v>
      </c>
      <c r="CV140" s="697">
        <f>IF(AND(Sheet1!$L140=0,Sheet1!$L139=0, Calculation!CO140&lt;Sheet1!$EG140-0.1,Sheet1!$EG140=Sheet1!$EG139,Sheet1!$EG140=Sheet1!$EG141),Sheet1!$EG140,CP140-CU140)</f>
        <v>6.3738400353513036</v>
      </c>
      <c r="CW140" s="697">
        <f t="shared" si="613"/>
        <v>0</v>
      </c>
      <c r="CX140" s="712">
        <f t="shared" si="630"/>
        <v>8.5299999999999994</v>
      </c>
      <c r="CY140" s="712">
        <f t="shared" si="422"/>
        <v>551.67606623533584</v>
      </c>
      <c r="CZ140" s="712">
        <f t="shared" si="423"/>
        <v>9.0463985859478573</v>
      </c>
      <c r="DA140" s="712">
        <f ca="1">IF(B140&gt;Summary!$A$1,#N/A,CY140*MGtoAF)</f>
        <v>1692.5421712100103</v>
      </c>
      <c r="DB140" s="712">
        <f t="shared" si="424"/>
        <v>8.5299999999999994</v>
      </c>
      <c r="DC140" s="712">
        <f t="shared" si="425"/>
        <v>22.63</v>
      </c>
      <c r="DD140" s="712">
        <f>Sheet1!AB140-DC140</f>
        <v>1.370000000000001</v>
      </c>
      <c r="DE140" s="712">
        <f t="shared" si="426"/>
        <v>6.0539107379584671E-2</v>
      </c>
      <c r="DF140" s="712">
        <f>(VLOOKUP(Sheet1!CY140,hhdcap_wcm,4)-(((VLOOKUP(Sheet1!CY140,hhdcap_wcm,3)-Sheet1!CY140)/(VLOOKUP(Sheet1!CY140,hhdcap_wcm,3)-VLOOKUP(Sheet1!CY140,hhdcap_wcm,1)))*(VLOOKUP(Sheet1!CY140,hhdcap_wcm,4)-VLOOKUP(Sheet1!CY140,hhdcap_wcm,2))))</f>
        <v>32556.650000080252</v>
      </c>
      <c r="DG140" s="712">
        <f t="shared" si="427"/>
        <v>466.07500000051368</v>
      </c>
      <c r="DH140" s="712">
        <f t="shared" si="428"/>
        <v>235.03530005068765</v>
      </c>
      <c r="DI140" s="712">
        <f>Sheet1!DW140*AFtoMG</f>
        <v>0</v>
      </c>
      <c r="DJ140" s="712">
        <f>Sheet1!DX140*AFtoMG</f>
        <v>0</v>
      </c>
      <c r="DK140" s="712">
        <f>Sheet1!DY140*AFtoMG</f>
        <v>0</v>
      </c>
      <c r="DL140" s="712">
        <f>Sheet1!DZ140*AFtoMG</f>
        <v>0</v>
      </c>
      <c r="DM140" s="712">
        <f t="shared" si="429"/>
        <v>0</v>
      </c>
      <c r="DN140" s="712">
        <f t="shared" si="430"/>
        <v>0</v>
      </c>
      <c r="DO140" s="712">
        <f t="shared" si="431"/>
        <v>3921.2525777057131</v>
      </c>
      <c r="DP140" s="712">
        <f t="shared" si="432"/>
        <v>12030.402908401127</v>
      </c>
      <c r="DQ140" s="712"/>
      <c r="DR140" s="697">
        <f>IF(OR(B140&lt;FL140,B140&gt;FM140),(MIN(AV140+BO140+CJ140+MAX(Sheet1!AA140+AG140-73,0),K140)),0)</f>
        <v>9.0463985859478573</v>
      </c>
      <c r="DS140" s="712"/>
      <c r="DT140" s="712">
        <f t="shared" si="433"/>
        <v>9.0463985859478573</v>
      </c>
      <c r="DU140" s="712"/>
      <c r="DV140" s="712">
        <f>Sheet1!ED140+Sheet1!EE140+Sheet1!EF140+Sheet1!EG140</f>
        <v>8.5</v>
      </c>
      <c r="DW140" s="712"/>
      <c r="DX140" s="697">
        <f t="shared" si="627"/>
        <v>0</v>
      </c>
      <c r="DY140" s="712">
        <f>IF(Sheet1!FN140=1,SUM('Calculations II'!AT140:BA140)+'Calculations II'!BC140+Sheet1!BU140+'Calculations II'!BE140+AF140,SUM('Calculations II'!AT140:BA140)+'Calculations II'!BC140+Sheet1!BU140+'Calculations II'!BE140+AF140)</f>
        <v>46.389871999999997</v>
      </c>
      <c r="DZ140" s="712">
        <f>Sheet1!AA140+Sheet1!AB140+'Calculations II'!BC140</f>
        <v>54</v>
      </c>
      <c r="EA140" s="712"/>
      <c r="EB140" s="712"/>
      <c r="EC140" s="712">
        <f t="shared" si="434"/>
        <v>40669</v>
      </c>
      <c r="ED140" s="712">
        <f t="shared" si="435"/>
        <v>55.593601414052145</v>
      </c>
      <c r="EE140" s="712">
        <f t="shared" si="436"/>
        <v>86.00330138753867</v>
      </c>
      <c r="EF140" s="712">
        <f>-(VLOOKUP(Sheet1!BQ140,Lookup!$B$4:$J$236,2)-VLOOKUP(Sheet1!BQ139,Lookup!$B$4:$J$236,2))/1000000</f>
        <v>2.4005000000000001</v>
      </c>
      <c r="EG140" s="712">
        <f>-(VLOOKUP(Sheet1!BR140,Lookup!$B$4:$J$236,3)-VLOOKUP(Sheet1!BR139,Lookup!$B$4:$J$236,3))/1000000</f>
        <v>2.3961000000000001</v>
      </c>
      <c r="EH140" s="712">
        <f>-(VLOOKUP(Sheet1!BS140,Lookup!$B$4:$J$236,4)-VLOOKUP(Sheet1!BS139,Lookup!$B$4:$J$236,4))/1000000</f>
        <v>0</v>
      </c>
      <c r="EI140" s="697">
        <f t="shared" si="631"/>
        <v>4.7965999999999998</v>
      </c>
      <c r="EJ140" s="712"/>
      <c r="EK140" s="712"/>
      <c r="EL140" s="712"/>
      <c r="EM140" s="712"/>
      <c r="EN140" s="712"/>
      <c r="EO140" s="712"/>
      <c r="EP140" s="712"/>
      <c r="EQ140" s="712"/>
      <c r="ER140" s="697">
        <v>0</v>
      </c>
      <c r="ES140" s="712"/>
      <c r="ET140" s="794" t="e">
        <f t="shared" si="437"/>
        <v>#N/A</v>
      </c>
      <c r="EU140" s="794" t="e">
        <f t="shared" si="614"/>
        <v>#VALUE!</v>
      </c>
      <c r="EV140" s="795" t="e">
        <f t="shared" si="615"/>
        <v>#VALUE!</v>
      </c>
      <c r="EW140" s="796" t="s">
        <v>757</v>
      </c>
      <c r="EX140" s="796" t="s">
        <v>757</v>
      </c>
      <c r="EY140" s="794">
        <v>0</v>
      </c>
      <c r="EZ140" s="794" t="e">
        <v>#N/A</v>
      </c>
      <c r="FA140" s="712"/>
      <c r="FB140" s="712"/>
      <c r="FC140" s="712"/>
      <c r="FD140" s="712"/>
      <c r="FE140" s="712">
        <f>O140+Sheet1!CO140</f>
        <v>54</v>
      </c>
      <c r="FF140" s="712">
        <f>IF(Sheet1!AA140+AG140&lt;=Calculation!N140,AG140,Calculation!N140-Sheet1!AA140)</f>
        <v>14.953601414052143</v>
      </c>
      <c r="FG140" s="712">
        <f>(Sheet1!BP140+Sheet1!BO140)/694.4</f>
        <v>2.7129896313364057</v>
      </c>
      <c r="FH140" s="712"/>
      <c r="FI140" s="712"/>
      <c r="FJ140" s="712"/>
      <c r="FK140" s="712"/>
      <c r="FL140" s="714">
        <f t="shared" si="632"/>
        <v>40753</v>
      </c>
      <c r="FM140" s="714">
        <f t="shared" si="633"/>
        <v>40851</v>
      </c>
      <c r="FN140" s="712"/>
      <c r="FO140" s="712"/>
      <c r="FP140" s="712"/>
      <c r="FQ140" s="712"/>
      <c r="FR140" s="712"/>
      <c r="FS140" s="725">
        <f t="shared" si="634"/>
        <v>40603</v>
      </c>
      <c r="FT140" s="714">
        <f t="shared" si="635"/>
        <v>40709</v>
      </c>
      <c r="FU140" s="712">
        <f t="shared" si="636"/>
        <v>6518.9048239895692</v>
      </c>
      <c r="FV140" s="714">
        <f t="shared" si="637"/>
        <v>40722</v>
      </c>
      <c r="FW140" s="712">
        <f t="shared" si="638"/>
        <v>3259.4524119947846</v>
      </c>
      <c r="FX140" s="725">
        <f t="shared" si="639"/>
        <v>40851</v>
      </c>
      <c r="FZ140" s="697">
        <f t="shared" si="616"/>
        <v>0</v>
      </c>
      <c r="GA140" s="712" t="str">
        <f t="shared" si="438"/>
        <v/>
      </c>
      <c r="GB140" s="712">
        <f t="shared" si="439"/>
        <v>0</v>
      </c>
      <c r="GC140" s="712" t="str">
        <f t="shared" si="440"/>
        <v/>
      </c>
      <c r="GD140" s="712">
        <f>IF(GA140="P",Lookup!$M$12,IF(GA140="PP",Lookup!$M$13,IF(GA140="PPP",Lookup!$M$14,IF(GA140="T",Lookup!$M$15,IF(GA140="TP",Lookup!$M$16,IF(GA140="TPP",Lookup!$M$17,IF(GA140="TPPP",Lookup!$M$18,0)))))))*FZ140</f>
        <v>0</v>
      </c>
      <c r="GE140" s="712">
        <f t="shared" si="441"/>
        <v>0</v>
      </c>
      <c r="GF140" s="712">
        <f t="shared" si="442"/>
        <v>5536.3082666666687</v>
      </c>
      <c r="GG140" s="712">
        <f t="shared" si="443"/>
        <v>1804.533333333334</v>
      </c>
      <c r="GH140" s="712"/>
      <c r="GI140" s="712">
        <f t="shared" si="444"/>
        <v>0</v>
      </c>
      <c r="GJ140" s="712" t="str">
        <f t="shared" si="445"/>
        <v/>
      </c>
      <c r="GK140" s="712">
        <f>IF(GA140="P",Lookup!$N$12,IF(GA140="PP",Lookup!$N$13,IF(GA140="PPP",Lookup!$N$14,IF(GA140="T",Lookup!$N$15,IF(GA140="TP",Lookup!$N$16,IF(GA140="TPP",Lookup!$N$17,IF(GA140="TPPP",Lookup!$N$18,0)))))))*FZ140</f>
        <v>0</v>
      </c>
      <c r="GL140" s="712">
        <f t="shared" si="446"/>
        <v>0</v>
      </c>
      <c r="GM140" s="712">
        <f t="shared" si="447"/>
        <v>2583.6105244444411</v>
      </c>
      <c r="GN140" s="712">
        <f t="shared" si="448"/>
        <v>842.11555555555447</v>
      </c>
      <c r="GO140" s="712"/>
      <c r="GP140" s="712">
        <f t="shared" si="449"/>
        <v>0</v>
      </c>
      <c r="GQ140" s="712" t="str">
        <f t="shared" si="450"/>
        <v/>
      </c>
      <c r="GR140" s="712">
        <f>IF(GA140="P",Lookup!$N$12,IF(GA140="PP",Lookup!$N$13,IF(GA140="PPP",Lookup!$N$14,IF(GA140="T",Lookup!$N$15,IF(GA140="TP",Lookup!$N$16,IF(GA140="TPP",Lookup!$N$17,IF(GA140="TPPP",Lookup!$N$18,0)))))))*FZ140</f>
        <v>0</v>
      </c>
      <c r="GS140" s="697">
        <f t="shared" si="628"/>
        <v>0</v>
      </c>
      <c r="GT140" s="712">
        <f t="shared" si="451"/>
        <v>2217.9419460800082</v>
      </c>
      <c r="GU140" s="712">
        <f t="shared" si="452"/>
        <v>722.92762258148889</v>
      </c>
      <c r="GV140" s="712"/>
      <c r="GW140" s="712">
        <f t="shared" si="453"/>
        <v>0</v>
      </c>
      <c r="GX140" s="712" t="str">
        <f t="shared" si="454"/>
        <v/>
      </c>
      <c r="GY140" s="712">
        <f>IF(GA140="P",Lookup!$N$12,IF(GA140="PP",Lookup!$N$13,IF(GA140="PPP",Lookup!$N$14,IF(GA140="T",Lookup!$N$15,IF(GA140="TP",Lookup!$N$16,IF(GA140="TPP",Lookup!$N$17,IF(GA140="TPPP",Lookup!$N$18,0)))))))*FZ140</f>
        <v>0</v>
      </c>
      <c r="GZ140" s="697">
        <f t="shared" si="629"/>
        <v>0</v>
      </c>
      <c r="HA140" s="712">
        <f t="shared" si="455"/>
        <v>1692.5421712100103</v>
      </c>
      <c r="HB140" s="712">
        <f t="shared" si="456"/>
        <v>551.67606623533584</v>
      </c>
      <c r="HC140" s="712"/>
    </row>
    <row r="141" spans="1:211">
      <c r="A141" s="773" t="s">
        <v>9</v>
      </c>
      <c r="B141" s="708">
        <v>40670</v>
      </c>
      <c r="C141" s="719">
        <v>0.5</v>
      </c>
      <c r="D141" s="675">
        <f t="shared" si="617"/>
        <v>300</v>
      </c>
      <c r="E141" s="675">
        <f t="shared" si="618"/>
        <v>250</v>
      </c>
      <c r="F141" s="675">
        <v>250</v>
      </c>
      <c r="G141" s="712">
        <f>DH141+Sheet1!CV141</f>
        <v>2034.2612203741121</v>
      </c>
      <c r="H141" s="712">
        <f t="shared" si="389"/>
        <v>1047.9832528498259</v>
      </c>
      <c r="I141" s="711">
        <f>MAX(Sheet1!Z141-AJ141+(Sheet1!CW141-E141)*CFStoMGD,0)</f>
        <v>1422.6034372294373</v>
      </c>
      <c r="J141" s="720">
        <f>IF(AND(B141&gt;=Calculation!FS141,B141&lt;=Calculation!FT141),IF(Sheet1!CX141&gt;=Calculation!D141,64.64,0),MAX(Sheet1!Z141-AJ141+(Sheet1!CX141-D141)*CFStoMGD,0))</f>
        <v>64.64</v>
      </c>
      <c r="K141" s="697">
        <f t="shared" si="619"/>
        <v>64.64</v>
      </c>
      <c r="L141" s="712">
        <f>Sheet1!AA141+Sheet1!AB141-Sheet1!L141+(Sheet1!CW141-F141)*CFStoMGD</f>
        <v>1467.7306666666668</v>
      </c>
      <c r="M141" s="712">
        <f t="shared" si="390"/>
        <v>1341.2453819068226</v>
      </c>
      <c r="N141" s="712">
        <f>IF(Sheet1!CW141&gt;=F141,MIN(73,MIN(MAX(L141,0),MAX(M141,0))),0)</f>
        <v>73</v>
      </c>
      <c r="O141" s="721">
        <f>Sheet1!AA141+Sheet1!AB141</f>
        <v>54</v>
      </c>
      <c r="P141" s="721">
        <f t="shared" si="391"/>
        <v>83.537999999999997</v>
      </c>
      <c r="Q141" s="712">
        <f>MIN(N141,Sheet1!AA141+AG141)</f>
        <v>45.437229437229433</v>
      </c>
      <c r="R141" s="712">
        <f t="shared" si="392"/>
        <v>8.562770562770563</v>
      </c>
      <c r="S141" s="721">
        <f>Sheet1!Y141*MGDtoCFS</f>
        <v>46.781279999999995</v>
      </c>
      <c r="T141" s="721">
        <f>Sheet1!Z141*MGDtoCFS</f>
        <v>36.060569999999998</v>
      </c>
      <c r="U141" s="721">
        <f>Sheet1!AA141*MGDtoCFS</f>
        <v>47.957000000000001</v>
      </c>
      <c r="V141" s="721">
        <f>Sheet1!AB141*MGDtoCFS</f>
        <v>35.580999999999996</v>
      </c>
      <c r="W141" s="721">
        <f>Sheet1!L141*MGDtoCFS</f>
        <v>0</v>
      </c>
      <c r="X141" s="697">
        <f t="shared" si="620"/>
        <v>0</v>
      </c>
      <c r="Y141" s="712">
        <f t="shared" si="393"/>
        <v>0</v>
      </c>
      <c r="Z141" s="712">
        <f t="shared" si="394"/>
        <v>56.077229437229434</v>
      </c>
      <c r="AA141" s="712">
        <f t="shared" si="395"/>
        <v>86.751473939393932</v>
      </c>
      <c r="AB141" s="712">
        <f>(VLOOKUP(Sheet1!CY141,hhdcap_wcm,4)-(((VLOOKUP(Sheet1!CY141,hhdcap_wcm,3)-Sheet1!CY141)/(VLOOKUP(Sheet1!CY141,hhdcap_wcm,3)-VLOOKUP(Sheet1!CY141,hhdcap_wcm,1)))*(VLOOKUP(Sheet1!CY141,hhdcap_wcm,4)-VLOOKUP(Sheet1!CY141,hhdcap_wcm,2))))</f>
        <v>33239.320000082116</v>
      </c>
      <c r="AC141" s="712">
        <f t="shared" si="396"/>
        <v>682.67000000186454</v>
      </c>
      <c r="AD141" s="712">
        <f t="shared" si="621"/>
        <v>3977.3298071429431</v>
      </c>
      <c r="AE141" s="712">
        <f t="shared" si="397"/>
        <v>12202.44784831455</v>
      </c>
      <c r="AF141" s="712">
        <f>Sheet1!BA141+Sheet1!BB141+Sheet1!BN141+BT141</f>
        <v>14.5</v>
      </c>
      <c r="AG141" s="712">
        <f t="shared" si="398"/>
        <v>14.437229437229437</v>
      </c>
      <c r="AH141" s="712">
        <f>Sheet1!BA141+BT141</f>
        <v>0</v>
      </c>
      <c r="AI141" s="712">
        <f>Sheet1!BA141+Sheet1!BB141+BT141</f>
        <v>0</v>
      </c>
      <c r="AJ141" s="712">
        <f>IF((Sheet1!AA141+AG141+AX141+AZ141+BQ141+BS141+CL141+CN141)&lt;=N141,AG141+AX141+AZ141+BQ141+BS141+CL141+CN141,N141-Sheet1!AA141)</f>
        <v>14.437229437229437</v>
      </c>
      <c r="AK141" s="712">
        <f>IF(DR141&lt;K141,0,MAX(Sheet1!AA141+AG141-15/36*K141-N141,Sheet1!ED141,0))</f>
        <v>0</v>
      </c>
      <c r="AL141" s="712">
        <f>IF(OR(B141&gt;=FT141,B141&lt;FS141),0,15/36*K141-MAX(0,64.6-(137.6-(Sheet1!AA141+Sheet1!AB141))))</f>
        <v>26.933333333333334</v>
      </c>
      <c r="AM141" s="712">
        <f>Sheet1!CX141-110</f>
        <v>1616.25</v>
      </c>
      <c r="AN141" s="712">
        <f>Sheet1!CW141-265</f>
        <v>2172.0833333333335</v>
      </c>
      <c r="AO141" s="712">
        <f t="shared" si="622"/>
        <v>27.562770562770567</v>
      </c>
      <c r="AP141" s="712">
        <f t="shared" si="623"/>
        <v>0</v>
      </c>
      <c r="AQ141" s="712">
        <f t="shared" si="399"/>
        <v>0</v>
      </c>
      <c r="AR141" s="712">
        <f t="shared" si="400"/>
        <v>1831.4666666666674</v>
      </c>
      <c r="AS141" s="712"/>
      <c r="AT141" s="712">
        <f ca="1">IF(B141&gt;Summary!$A$1,#N/A,AR141*MGtoAF)</f>
        <v>5618.9397333333354</v>
      </c>
      <c r="AU141" s="712">
        <f>Sheet1!BG141+Sheet1!BH141+Sheet1!BI141-BC141</f>
        <v>0</v>
      </c>
      <c r="AV141" s="712">
        <f t="shared" si="401"/>
        <v>0</v>
      </c>
      <c r="AW141" s="712">
        <f>IF(Sheet1!EL141="FM",BC141,0)</f>
        <v>0</v>
      </c>
      <c r="AX141" s="712">
        <f t="shared" si="402"/>
        <v>0</v>
      </c>
      <c r="AY141" s="712">
        <f>IF(Sheet1!EL141="OTHER",BC141,0)</f>
        <v>0</v>
      </c>
      <c r="AZ141" s="712">
        <f t="shared" si="403"/>
        <v>0</v>
      </c>
      <c r="BA141" s="712">
        <f t="shared" si="404"/>
        <v>0</v>
      </c>
      <c r="BB141" s="712">
        <f t="shared" si="405"/>
        <v>0</v>
      </c>
      <c r="BC141" s="712">
        <f>IF(OR(Sheet1!EL141="FM", Sheet1!EL141="OTHER"),SUM(Sheet1!BG141:'Sheet1'!BI141),0)</f>
        <v>0</v>
      </c>
      <c r="BD141" s="697">
        <f>IF(AND($B141&gt;=$FL141,$B141&lt;=$FM141),MAX(AV141,Sheet1!EE141,0),MAX(AV141-(7/36)*$K141,0))</f>
        <v>0</v>
      </c>
      <c r="BE141" s="712">
        <f t="shared" si="406"/>
        <v>12.568888888888889</v>
      </c>
      <c r="BF141" s="697">
        <f t="shared" si="624"/>
        <v>0</v>
      </c>
      <c r="BG141" s="697">
        <f>IF(AND($O141&gt;0,Sheet1!EI141=1),(1-($O141-Sheet1!$L141)/$O141)*BB141,0)</f>
        <v>0</v>
      </c>
      <c r="BH141" s="697">
        <f>IF(AND(Sheet1!$L141=0,Sheet1!$L140=0, Calculation!BA141&lt;Sheet1!$EE141-0.1,Sheet1!$EE141=Sheet1!$EE140,Sheet1!$EE141=Sheet1!$EE142),Sheet1!$EE141,BB141-BG141)</f>
        <v>0</v>
      </c>
      <c r="BI141" s="712"/>
      <c r="BJ141" s="712"/>
      <c r="BK141" s="712">
        <f t="shared" si="407"/>
        <v>854.68444444444333</v>
      </c>
      <c r="BL141" s="712"/>
      <c r="BM141" s="712">
        <f ca="1">IF(B141&gt;Summary!$A$1,#N/A,BK141*MGtoAF)</f>
        <v>2622.1718755555521</v>
      </c>
      <c r="BN141" s="712">
        <f>Sheet1!BC141+Sheet1!BD141+Sheet1!BE141+Sheet1!BF141-BW141-BX141</f>
        <v>2.58</v>
      </c>
      <c r="BO141" s="712">
        <f t="shared" si="408"/>
        <v>2.5688311688311689</v>
      </c>
      <c r="BP141" s="712">
        <f>IF(Sheet1!EM141="FM",BX141,0)</f>
        <v>0</v>
      </c>
      <c r="BQ141" s="712">
        <f t="shared" si="409"/>
        <v>0</v>
      </c>
      <c r="BR141" s="712">
        <f>IF(Sheet1!EM141="OTHER",BX141,0)</f>
        <v>0</v>
      </c>
      <c r="BS141" s="712">
        <f t="shared" si="410"/>
        <v>0</v>
      </c>
      <c r="BT141" s="712">
        <f t="shared" si="411"/>
        <v>0</v>
      </c>
      <c r="BU141" s="712">
        <f t="shared" si="412"/>
        <v>2.58</v>
      </c>
      <c r="BV141" s="712">
        <f t="shared" si="413"/>
        <v>2.5688311688311689</v>
      </c>
      <c r="BW141" s="712">
        <f>IF(Sheet1!EM141="CWA",SUM(Sheet1!BC141:'Sheet1'!BF141),0)</f>
        <v>0</v>
      </c>
      <c r="BX141" s="712">
        <f>IF(OR(Sheet1!EM141="FM", Sheet1!EM141="OTHER"),SUM(Sheet1!BC141:'Sheet1'!BF141),0)</f>
        <v>0</v>
      </c>
      <c r="BY141" s="697">
        <f>IF(AND($B141&gt;=$FL141,$B141&lt;=$FM141),MAX(BV141,Sheet1!EF141,0),MAX(BV141-(7/36)*$K141,0))</f>
        <v>0</v>
      </c>
      <c r="BZ141" s="712">
        <f t="shared" si="414"/>
        <v>10.00005772005772</v>
      </c>
      <c r="CA141" s="697">
        <f t="shared" si="625"/>
        <v>2.5688311688311689</v>
      </c>
      <c r="CB141" s="697">
        <f>IF(AND($O141&gt;0,Sheet1!EJ141=1),(1-($O141-Sheet1!$L141)/$O141)*BV141,0)</f>
        <v>0</v>
      </c>
      <c r="CC141" s="697">
        <f>IF(AND(Sheet1!$L141=0,Sheet1!$L140=0, Calculation!BU141&lt;Sheet1!EF141-0.1,Sheet1!EF141=Sheet1!EF140,Sheet1!EF141=Sheet1!EF142),Sheet1!EF141,BV141-CB141)</f>
        <v>2.5688311688311689</v>
      </c>
      <c r="CD141" s="697"/>
      <c r="CE141" s="712"/>
      <c r="CF141" s="712">
        <f t="shared" si="415"/>
        <v>732.92768030154662</v>
      </c>
      <c r="CG141" s="712"/>
      <c r="CH141" s="712">
        <f ca="1">IF(B141&gt;Summary!$A$1,#N/A,CF141*MGtoAF)</f>
        <v>2248.6221231651452</v>
      </c>
      <c r="CI141" s="712">
        <f>Sheet1!BK141+Sheet1!BL141+Sheet1!BM141-Sheet1!EN141-CQ141</f>
        <v>6.02</v>
      </c>
      <c r="CJ141" s="712">
        <f t="shared" si="416"/>
        <v>5.9939393939393932</v>
      </c>
      <c r="CK141" s="712">
        <f>IF(Sheet1!EN141="FM",CQ141,0)</f>
        <v>0</v>
      </c>
      <c r="CL141" s="712">
        <f t="shared" si="417"/>
        <v>0</v>
      </c>
      <c r="CM141" s="712">
        <f>IF(Sheet1!EN141="OTHER",CQ141,0)</f>
        <v>0</v>
      </c>
      <c r="CN141" s="712">
        <f t="shared" si="418"/>
        <v>0</v>
      </c>
      <c r="CO141" s="712">
        <f t="shared" si="419"/>
        <v>6.02</v>
      </c>
      <c r="CP141" s="712">
        <f t="shared" si="420"/>
        <v>5.9939393939393932</v>
      </c>
      <c r="CQ141" s="712">
        <f>IF(OR(Sheet1!EN141="FM", Sheet1!EN141="OTHER"),SUM(Sheet1!BK141:'Sheet1'!BM141),0)</f>
        <v>0</v>
      </c>
      <c r="CR141" s="697">
        <f>IF(AND($B141&gt;=$FL141,$B141&lt;=$FM141),MAX($CJ141,Sheet1!EG141,0),MAX($CJ141-(7/36)*$K141,0))</f>
        <v>0</v>
      </c>
      <c r="CS141" s="712">
        <f t="shared" si="421"/>
        <v>6.5749494949494958</v>
      </c>
      <c r="CT141" s="697">
        <f t="shared" si="626"/>
        <v>5.9939393939393932</v>
      </c>
      <c r="CU141" s="697">
        <f>IF(AND($O141&gt;0,Sheet1!EK141=1),(1-($O141-Sheet1!$L141)/$O141)*CP141,0)</f>
        <v>0</v>
      </c>
      <c r="CV141" s="697">
        <f>IF(AND(Sheet1!$L141=0,Sheet1!$L140=0, Calculation!CO141&lt;Sheet1!$EG141-0.1,Sheet1!$EG141=Sheet1!$EG140,Sheet1!$EG141=Sheet1!$EG142),Sheet1!$EG141,CP141-CU141)</f>
        <v>5.9939393939393932</v>
      </c>
      <c r="CW141" s="697">
        <f t="shared" si="613"/>
        <v>0</v>
      </c>
      <c r="CX141" s="712">
        <f t="shared" si="630"/>
        <v>8.6</v>
      </c>
      <c r="CY141" s="712">
        <f t="shared" si="422"/>
        <v>558.2510157302853</v>
      </c>
      <c r="CZ141" s="712">
        <f t="shared" si="423"/>
        <v>8.562770562770563</v>
      </c>
      <c r="DA141" s="712">
        <f ca="1">IF(B141&gt;Summary!$A$1,#N/A,CY141*MGtoAF)</f>
        <v>1712.7141162605153</v>
      </c>
      <c r="DB141" s="712">
        <f t="shared" si="424"/>
        <v>8.6</v>
      </c>
      <c r="DC141" s="712">
        <f t="shared" si="425"/>
        <v>23.1</v>
      </c>
      <c r="DD141" s="712">
        <f>Sheet1!AB141-DC141</f>
        <v>-0.10000000000000142</v>
      </c>
      <c r="DE141" s="712">
        <f t="shared" si="426"/>
        <v>-4.3290043290043906E-3</v>
      </c>
      <c r="DF141" s="712">
        <f>(VLOOKUP(Sheet1!CY141,hhdcap_wcm,4)-(((VLOOKUP(Sheet1!CY141,hhdcap_wcm,3)-Sheet1!CY141)/(VLOOKUP(Sheet1!CY141,hhdcap_wcm,3)-VLOOKUP(Sheet1!CY141,hhdcap_wcm,1)))*(VLOOKUP(Sheet1!CY141,hhdcap_wcm,4)-VLOOKUP(Sheet1!CY141,hhdcap_wcm,2))))</f>
        <v>33239.320000082116</v>
      </c>
      <c r="DG141" s="712">
        <f t="shared" si="427"/>
        <v>682.67000000186454</v>
      </c>
      <c r="DH141" s="712">
        <f t="shared" si="428"/>
        <v>344.26122037411216</v>
      </c>
      <c r="DI141" s="712">
        <f>Sheet1!DW141*AFtoMG</f>
        <v>0</v>
      </c>
      <c r="DJ141" s="712">
        <f>Sheet1!DX141*AFtoMG</f>
        <v>0</v>
      </c>
      <c r="DK141" s="712">
        <f>Sheet1!DY141*AFtoMG</f>
        <v>0</v>
      </c>
      <c r="DL141" s="712">
        <f>Sheet1!DZ141*AFtoMG</f>
        <v>0</v>
      </c>
      <c r="DM141" s="712">
        <f t="shared" si="429"/>
        <v>0</v>
      </c>
      <c r="DN141" s="712">
        <f t="shared" si="430"/>
        <v>0</v>
      </c>
      <c r="DO141" s="712">
        <f t="shared" si="431"/>
        <v>3977.3298071429431</v>
      </c>
      <c r="DP141" s="712">
        <f t="shared" si="432"/>
        <v>12202.44784831455</v>
      </c>
      <c r="DQ141" s="712"/>
      <c r="DR141" s="697">
        <f>IF(OR(B141&lt;FL141,B141&gt;FM141),(MIN(AV141+BO141+CJ141+MAX(Sheet1!AA141+AG141-73,0),K141)),0)</f>
        <v>8.562770562770563</v>
      </c>
      <c r="DS141" s="712"/>
      <c r="DT141" s="712">
        <f t="shared" si="433"/>
        <v>8.562770562770563</v>
      </c>
      <c r="DU141" s="712"/>
      <c r="DV141" s="712">
        <f>Sheet1!ED141+Sheet1!EE141+Sheet1!EF141+Sheet1!EG141</f>
        <v>8.5</v>
      </c>
      <c r="DW141" s="712"/>
      <c r="DX141" s="697">
        <f t="shared" si="627"/>
        <v>0</v>
      </c>
      <c r="DY141" s="712">
        <f>IF(Sheet1!FN141=1,SUM('Calculations II'!AT141:BA141)+'Calculations II'!BC141+Sheet1!BU141+'Calculations II'!BE141+AF141,SUM('Calculations II'!AT141:BA141)+'Calculations II'!BC141+Sheet1!BU141+'Calculations II'!BE141+AF141)</f>
        <v>47.150640000000003</v>
      </c>
      <c r="DZ141" s="712">
        <f>Sheet1!AA141+Sheet1!AB141+'Calculations II'!BC141</f>
        <v>54</v>
      </c>
      <c r="EA141" s="712"/>
      <c r="EB141" s="712"/>
      <c r="EC141" s="712">
        <f t="shared" si="434"/>
        <v>40670</v>
      </c>
      <c r="ED141" s="712">
        <f t="shared" si="435"/>
        <v>56.077229437229434</v>
      </c>
      <c r="EE141" s="712">
        <f t="shared" si="436"/>
        <v>86.751473939393932</v>
      </c>
      <c r="EF141" s="712">
        <f>-(VLOOKUP(Sheet1!BQ141,Lookup!$B$4:$J$236,2)-VLOOKUP(Sheet1!BQ140,Lookup!$B$4:$J$236,2))/1000000</f>
        <v>1.3185</v>
      </c>
      <c r="EG141" s="712">
        <f>-(VLOOKUP(Sheet1!BR141,Lookup!$B$4:$J$236,3)-VLOOKUP(Sheet1!BR140,Lookup!$B$4:$J$236,3))/1000000</f>
        <v>1.3165</v>
      </c>
      <c r="EH141" s="712">
        <f>-(VLOOKUP(Sheet1!BS141,Lookup!$B$4:$J$236,4)-VLOOKUP(Sheet1!BS140,Lookup!$B$4:$J$236,4))/1000000</f>
        <v>0</v>
      </c>
      <c r="EI141" s="697">
        <f t="shared" si="631"/>
        <v>2.6349999999999998</v>
      </c>
      <c r="EJ141" s="712"/>
      <c r="EK141" s="712"/>
      <c r="EL141" s="712"/>
      <c r="EM141" s="712"/>
      <c r="EN141" s="712"/>
      <c r="EO141" s="712"/>
      <c r="EP141" s="712"/>
      <c r="EQ141" s="712"/>
      <c r="ER141" s="697">
        <v>0</v>
      </c>
      <c r="ES141" s="712"/>
      <c r="ET141" s="794" t="e">
        <f t="shared" si="437"/>
        <v>#N/A</v>
      </c>
      <c r="EU141" s="794" t="e">
        <f t="shared" si="614"/>
        <v>#VALUE!</v>
      </c>
      <c r="EV141" s="795" t="e">
        <f t="shared" si="615"/>
        <v>#VALUE!</v>
      </c>
      <c r="EW141" s="796" t="s">
        <v>757</v>
      </c>
      <c r="EX141" s="796" t="s">
        <v>757</v>
      </c>
      <c r="EY141" s="794">
        <v>0</v>
      </c>
      <c r="EZ141" s="794" t="e">
        <v>#N/A</v>
      </c>
      <c r="FA141" s="712"/>
      <c r="FB141" s="712"/>
      <c r="FC141" s="712"/>
      <c r="FD141" s="712"/>
      <c r="FE141" s="712">
        <f>O141+Sheet1!CO141</f>
        <v>54</v>
      </c>
      <c r="FF141" s="712">
        <f>IF(Sheet1!AA141+AG141&lt;=Calculation!N141,AG141,Calculation!N141-Sheet1!AA141)</f>
        <v>14.437229437229437</v>
      </c>
      <c r="FG141" s="712">
        <f>(Sheet1!BP141+Sheet1!BO141)/694.4</f>
        <v>2.7436635944700463</v>
      </c>
      <c r="FH141" s="712"/>
      <c r="FI141" s="712"/>
      <c r="FJ141" s="712"/>
      <c r="FK141" s="712"/>
      <c r="FL141" s="714">
        <f t="shared" si="632"/>
        <v>40753</v>
      </c>
      <c r="FM141" s="714">
        <f t="shared" si="633"/>
        <v>40851</v>
      </c>
      <c r="FN141" s="712"/>
      <c r="FO141" s="712"/>
      <c r="FP141" s="712"/>
      <c r="FQ141" s="712"/>
      <c r="FR141" s="712"/>
      <c r="FS141" s="725">
        <f t="shared" si="634"/>
        <v>40603</v>
      </c>
      <c r="FT141" s="714">
        <f t="shared" si="635"/>
        <v>40709</v>
      </c>
      <c r="FU141" s="712">
        <f t="shared" si="636"/>
        <v>6518.9048239895692</v>
      </c>
      <c r="FV141" s="714">
        <f t="shared" si="637"/>
        <v>40722</v>
      </c>
      <c r="FW141" s="712">
        <f t="shared" si="638"/>
        <v>3259.4524119947846</v>
      </c>
      <c r="FX141" s="725">
        <f t="shared" si="639"/>
        <v>40851</v>
      </c>
      <c r="FZ141" s="697">
        <f t="shared" si="616"/>
        <v>0</v>
      </c>
      <c r="GA141" s="712" t="str">
        <f t="shared" si="438"/>
        <v/>
      </c>
      <c r="GB141" s="712">
        <f t="shared" si="439"/>
        <v>0</v>
      </c>
      <c r="GC141" s="712" t="str">
        <f t="shared" si="440"/>
        <v/>
      </c>
      <c r="GD141" s="712">
        <f>IF(GA141="P",Lookup!$M$12,IF(GA141="PP",Lookup!$M$13,IF(GA141="PPP",Lookup!$M$14,IF(GA141="T",Lookup!$M$15,IF(GA141="TP",Lookup!$M$16,IF(GA141="TPP",Lookup!$M$17,IF(GA141="TPPP",Lookup!$M$18,0)))))))*FZ141</f>
        <v>0</v>
      </c>
      <c r="GE141" s="712">
        <f t="shared" si="441"/>
        <v>0</v>
      </c>
      <c r="GF141" s="712">
        <f t="shared" si="442"/>
        <v>5618.9397333333354</v>
      </c>
      <c r="GG141" s="712">
        <f t="shared" si="443"/>
        <v>1831.4666666666674</v>
      </c>
      <c r="GH141" s="712"/>
      <c r="GI141" s="712">
        <f t="shared" si="444"/>
        <v>0</v>
      </c>
      <c r="GJ141" s="712" t="str">
        <f t="shared" si="445"/>
        <v/>
      </c>
      <c r="GK141" s="712">
        <f>IF(GA141="P",Lookup!$N$12,IF(GA141="PP",Lookup!$N$13,IF(GA141="PPP",Lookup!$N$14,IF(GA141="T",Lookup!$N$15,IF(GA141="TP",Lookup!$N$16,IF(GA141="TPP",Lookup!$N$17,IF(GA141="TPPP",Lookup!$N$18,0)))))))*FZ141</f>
        <v>0</v>
      </c>
      <c r="GL141" s="712">
        <f t="shared" si="446"/>
        <v>0</v>
      </c>
      <c r="GM141" s="712">
        <f t="shared" si="447"/>
        <v>2622.1718755555521</v>
      </c>
      <c r="GN141" s="712">
        <f t="shared" si="448"/>
        <v>854.68444444444333</v>
      </c>
      <c r="GO141" s="712"/>
      <c r="GP141" s="712">
        <f t="shared" si="449"/>
        <v>0</v>
      </c>
      <c r="GQ141" s="712" t="str">
        <f t="shared" si="450"/>
        <v/>
      </c>
      <c r="GR141" s="712">
        <f>IF(GA141="P",Lookup!$N$12,IF(GA141="PP",Lookup!$N$13,IF(GA141="PPP",Lookup!$N$14,IF(GA141="T",Lookup!$N$15,IF(GA141="TP",Lookup!$N$16,IF(GA141="TPP",Lookup!$N$17,IF(GA141="TPPP",Lookup!$N$18,0)))))))*FZ141</f>
        <v>0</v>
      </c>
      <c r="GS141" s="697">
        <f t="shared" si="628"/>
        <v>0</v>
      </c>
      <c r="GT141" s="712">
        <f t="shared" si="451"/>
        <v>2248.6221231651452</v>
      </c>
      <c r="GU141" s="712">
        <f t="shared" si="452"/>
        <v>732.92768030154662</v>
      </c>
      <c r="GV141" s="712"/>
      <c r="GW141" s="712">
        <f t="shared" si="453"/>
        <v>0</v>
      </c>
      <c r="GX141" s="712" t="str">
        <f t="shared" si="454"/>
        <v/>
      </c>
      <c r="GY141" s="712">
        <f>IF(GA141="P",Lookup!$N$12,IF(GA141="PP",Lookup!$N$13,IF(GA141="PPP",Lookup!$N$14,IF(GA141="T",Lookup!$N$15,IF(GA141="TP",Lookup!$N$16,IF(GA141="TPP",Lookup!$N$17,IF(GA141="TPPP",Lookup!$N$18,0)))))))*FZ141</f>
        <v>0</v>
      </c>
      <c r="GZ141" s="697">
        <f t="shared" si="629"/>
        <v>0</v>
      </c>
      <c r="HA141" s="712">
        <f t="shared" si="455"/>
        <v>1712.7141162605153</v>
      </c>
      <c r="HB141" s="712">
        <f t="shared" si="456"/>
        <v>558.2510157302853</v>
      </c>
      <c r="HC141" s="712"/>
    </row>
    <row r="142" spans="1:211">
      <c r="A142" s="773" t="s">
        <v>3</v>
      </c>
      <c r="B142" s="708">
        <v>40671</v>
      </c>
      <c r="C142" s="709">
        <v>0.5</v>
      </c>
      <c r="D142" s="675">
        <f t="shared" si="617"/>
        <v>300</v>
      </c>
      <c r="E142" s="675">
        <f t="shared" si="618"/>
        <v>250</v>
      </c>
      <c r="F142" s="710">
        <v>250</v>
      </c>
      <c r="G142" s="712">
        <f>DH142+Sheet1!CV142</f>
        <v>2244.1548617806257</v>
      </c>
      <c r="H142" s="712">
        <f t="shared" si="389"/>
        <v>1183.6585026549965</v>
      </c>
      <c r="I142" s="711">
        <f>MAX(Sheet1!Z142-AJ142+(Sheet1!CW142-E142)*CFStoMGD,0)</f>
        <v>1577.6755757575759</v>
      </c>
      <c r="J142" s="720">
        <f>IF(AND(B142&gt;=Calculation!FS142,B142&lt;=Calculation!FT142),IF(Sheet1!CX142&gt;=Calculation!D142,64.64,0),MAX(Sheet1!Z142-AJ142+(Sheet1!CX142-D142)*CFStoMGD,0))</f>
        <v>64.64</v>
      </c>
      <c r="K142" s="697">
        <f t="shared" si="619"/>
        <v>64.64</v>
      </c>
      <c r="L142" s="712">
        <f>Sheet1!AA142+Sheet1!AB142-Sheet1!L142+(Sheet1!CW142-F142)*CFStoMGD</f>
        <v>1625.6746666666668</v>
      </c>
      <c r="M142" s="712">
        <f t="shared" si="390"/>
        <v>1479.6341367080963</v>
      </c>
      <c r="N142" s="712">
        <f>IF(Sheet1!CW142&gt;=F142,MIN(73,MIN(MAX(L142,0),MAX(M142,0))),0)</f>
        <v>73</v>
      </c>
      <c r="O142" s="721">
        <f>Sheet1!AA142+Sheet1!AB142</f>
        <v>56</v>
      </c>
      <c r="P142" s="721">
        <f t="shared" si="391"/>
        <v>86.632000000000005</v>
      </c>
      <c r="Q142" s="712">
        <f>MIN(N142,Sheet1!AA142+AG142)</f>
        <v>47.409090909090907</v>
      </c>
      <c r="R142" s="712">
        <f t="shared" si="392"/>
        <v>8.5909090909090917</v>
      </c>
      <c r="S142" s="721">
        <f>Sheet1!Y142*MGDtoCFS</f>
        <v>46.162479999999995</v>
      </c>
      <c r="T142" s="721">
        <f>Sheet1!Z142*MGDtoCFS</f>
        <v>40.856269999999995</v>
      </c>
      <c r="U142" s="721">
        <f>Sheet1!AA142*MGDtoCFS</f>
        <v>44.863</v>
      </c>
      <c r="V142" s="721">
        <f>Sheet1!AB142*MGDtoCFS</f>
        <v>41.768999999999998</v>
      </c>
      <c r="W142" s="721">
        <f>Sheet1!L142*MGDtoCFS</f>
        <v>0</v>
      </c>
      <c r="X142" s="697">
        <f t="shared" si="620"/>
        <v>0</v>
      </c>
      <c r="Y142" s="712">
        <f t="shared" si="393"/>
        <v>0</v>
      </c>
      <c r="Z142" s="712">
        <f t="shared" si="394"/>
        <v>56.049090909090907</v>
      </c>
      <c r="AA142" s="712">
        <f t="shared" si="395"/>
        <v>86.707943636363623</v>
      </c>
      <c r="AB142" s="712">
        <f>(VLOOKUP(Sheet1!CY142,hhdcap_wcm,4)-(((VLOOKUP(Sheet1!CY142,hhdcap_wcm,3)-Sheet1!CY142)/(VLOOKUP(Sheet1!CY142,hhdcap_wcm,3)-VLOOKUP(Sheet1!CY142,hhdcap_wcm,1)))*(VLOOKUP(Sheet1!CY142,hhdcap_wcm,4)-VLOOKUP(Sheet1!CY142,hhdcap_wcm,2))))</f>
        <v>33928.990000084006</v>
      </c>
      <c r="AC142" s="712">
        <f t="shared" si="396"/>
        <v>689.67000000189</v>
      </c>
      <c r="AD142" s="712">
        <f t="shared" si="621"/>
        <v>4033.3788980520335</v>
      </c>
      <c r="AE142" s="712">
        <f t="shared" si="397"/>
        <v>12374.406459223639</v>
      </c>
      <c r="AF142" s="712">
        <f>Sheet1!BA142+Sheet1!BB142+Sheet1!BN142+BT142</f>
        <v>18.3</v>
      </c>
      <c r="AG142" s="712">
        <f t="shared" si="398"/>
        <v>18.40909090909091</v>
      </c>
      <c r="AH142" s="712">
        <f>Sheet1!BA142+BT142</f>
        <v>0</v>
      </c>
      <c r="AI142" s="712">
        <f>Sheet1!BA142+Sheet1!BB142+BT142</f>
        <v>0</v>
      </c>
      <c r="AJ142" s="712">
        <f>IF((Sheet1!AA142+AG142+AX142+AZ142+BQ142+BS142+CL142+CN142)&lt;=N142,AG142+AX142+AZ142+BQ142+BS142+CL142+CN142,N142-Sheet1!AA142)</f>
        <v>18.40909090909091</v>
      </c>
      <c r="AK142" s="712">
        <f>IF(DR142&lt;K142,0,MAX(Sheet1!AA142+AG142-15/36*K142-N142,Sheet1!ED142,0))</f>
        <v>0</v>
      </c>
      <c r="AL142" s="712">
        <f>IF(OR(B142&gt;=FT142,B142&lt;FS142),0,15/36*K142-MAX(0,64.6-(137.6-(Sheet1!AA142+Sheet1!AB142))))</f>
        <v>26.933333333333334</v>
      </c>
      <c r="AM142" s="712">
        <f>Sheet1!CX142-110</f>
        <v>1862.7083333333333</v>
      </c>
      <c r="AN142" s="712">
        <f>Sheet1!CW142-265</f>
        <v>2413.3333333333335</v>
      </c>
      <c r="AO142" s="712">
        <f t="shared" si="622"/>
        <v>25.590909090909093</v>
      </c>
      <c r="AP142" s="712">
        <f t="shared" si="623"/>
        <v>0</v>
      </c>
      <c r="AQ142" s="712">
        <f t="shared" si="399"/>
        <v>0</v>
      </c>
      <c r="AR142" s="712">
        <f t="shared" si="400"/>
        <v>1858.4000000000008</v>
      </c>
      <c r="AS142" s="712"/>
      <c r="AT142" s="712">
        <f ca="1">IF(B142&gt;Summary!$A$1,#N/A,AR142*MGtoAF)</f>
        <v>5701.5712000000021</v>
      </c>
      <c r="AU142" s="712">
        <f>Sheet1!BG142+Sheet1!BH142+Sheet1!BI142-BC142</f>
        <v>0</v>
      </c>
      <c r="AV142" s="712">
        <f t="shared" si="401"/>
        <v>0</v>
      </c>
      <c r="AW142" s="712">
        <f>IF(Sheet1!EL142="FM",BC142,0)</f>
        <v>0</v>
      </c>
      <c r="AX142" s="712">
        <f t="shared" si="402"/>
        <v>0</v>
      </c>
      <c r="AY142" s="712">
        <f>IF(Sheet1!EL142="OTHER",BC142,0)</f>
        <v>0</v>
      </c>
      <c r="AZ142" s="712">
        <f t="shared" si="403"/>
        <v>0</v>
      </c>
      <c r="BA142" s="712">
        <f t="shared" si="404"/>
        <v>0</v>
      </c>
      <c r="BB142" s="712">
        <f t="shared" si="405"/>
        <v>0</v>
      </c>
      <c r="BC142" s="712">
        <f>IF(OR(Sheet1!EL142="FM", Sheet1!EL142="OTHER"),SUM(Sheet1!BG142:'Sheet1'!BI142),0)</f>
        <v>0</v>
      </c>
      <c r="BD142" s="697">
        <f>IF(AND($B142&gt;=$FL142,$B142&lt;=$FM142),MAX(AV142,Sheet1!EE142,0),MAX(AV142-(7/36)*$K142,0))</f>
        <v>0</v>
      </c>
      <c r="BE142" s="712">
        <f t="shared" si="406"/>
        <v>12.568888888888889</v>
      </c>
      <c r="BF142" s="697">
        <f t="shared" si="624"/>
        <v>0</v>
      </c>
      <c r="BG142" s="697">
        <f>IF(AND($O142&gt;0,Sheet1!EI142=1),(1-($O142-Sheet1!$L142)/$O142)*BB142,0)</f>
        <v>0</v>
      </c>
      <c r="BH142" s="697">
        <f>IF(AND(Sheet1!$L142=0,Sheet1!$L141=0, Calculation!BA142&lt;Sheet1!$EE142-0.1,Sheet1!$EE142=Sheet1!$EE141,Sheet1!$EE142=Sheet1!$EE143),Sheet1!$EE142,BB142-BG142)</f>
        <v>0</v>
      </c>
      <c r="BI142" s="712"/>
      <c r="BJ142" s="712"/>
      <c r="BK142" s="712">
        <f t="shared" si="407"/>
        <v>867.25333333333219</v>
      </c>
      <c r="BL142" s="712"/>
      <c r="BM142" s="712">
        <f ca="1">IF(B142&gt;Summary!$A$1,#N/A,BK142*MGtoAF)</f>
        <v>2660.7332266666631</v>
      </c>
      <c r="BN142" s="712">
        <f>Sheet1!BC142+Sheet1!BD142+Sheet1!BE142+Sheet1!BF142-BW142-BX142</f>
        <v>2.5</v>
      </c>
      <c r="BO142" s="712">
        <f t="shared" si="408"/>
        <v>2.514903129657228</v>
      </c>
      <c r="BP142" s="712">
        <f>IF(Sheet1!EM142="FM",BX142,0)</f>
        <v>0</v>
      </c>
      <c r="BQ142" s="712">
        <f t="shared" si="409"/>
        <v>0</v>
      </c>
      <c r="BR142" s="712">
        <f>IF(Sheet1!EM142="OTHER",BX142,0)</f>
        <v>0</v>
      </c>
      <c r="BS142" s="712">
        <f t="shared" si="410"/>
        <v>0</v>
      </c>
      <c r="BT142" s="712">
        <f t="shared" si="411"/>
        <v>0</v>
      </c>
      <c r="BU142" s="712">
        <f t="shared" si="412"/>
        <v>2.5</v>
      </c>
      <c r="BV142" s="712">
        <f t="shared" si="413"/>
        <v>2.514903129657228</v>
      </c>
      <c r="BW142" s="712">
        <f>IF(Sheet1!EM142="CWA",SUM(Sheet1!BC142:'Sheet1'!BF142),0)</f>
        <v>0</v>
      </c>
      <c r="BX142" s="712">
        <f>IF(OR(Sheet1!EM142="FM", Sheet1!EM142="OTHER"),SUM(Sheet1!BC142:'Sheet1'!BF142),0)</f>
        <v>0</v>
      </c>
      <c r="BY142" s="697">
        <f>IF(AND($B142&gt;=$FL142,$B142&lt;=$FM142),MAX(BV142,Sheet1!EF142,0),MAX(BV142-(7/36)*$K142,0))</f>
        <v>0</v>
      </c>
      <c r="BZ142" s="712">
        <f t="shared" si="414"/>
        <v>10.053985759231661</v>
      </c>
      <c r="CA142" s="697">
        <f t="shared" si="625"/>
        <v>2.514903129657228</v>
      </c>
      <c r="CB142" s="697">
        <f>IF(AND($O142&gt;0,Sheet1!EJ142=1),(1-($O142-Sheet1!$L142)/$O142)*BV142,0)</f>
        <v>0</v>
      </c>
      <c r="CC142" s="697">
        <f>IF(AND(Sheet1!$L142=0,Sheet1!$L141=0, Calculation!BU142&lt;Sheet1!EF142-0.1,Sheet1!EF142=Sheet1!EF141,Sheet1!EF142=Sheet1!EF143),Sheet1!EF142,BV142-CB142)</f>
        <v>2.514903129657228</v>
      </c>
      <c r="CD142" s="697"/>
      <c r="CE142" s="712"/>
      <c r="CF142" s="712">
        <f t="shared" si="415"/>
        <v>742.98166606077825</v>
      </c>
      <c r="CG142" s="712"/>
      <c r="CH142" s="712">
        <f ca="1">IF(B142&gt;Summary!$A$1,#N/A,CF142*MGtoAF)</f>
        <v>2279.4677514744676</v>
      </c>
      <c r="CI142" s="712">
        <f>Sheet1!BK142+Sheet1!BL142+Sheet1!BM142-Sheet1!EN142-CQ142</f>
        <v>6.04</v>
      </c>
      <c r="CJ142" s="712">
        <f t="shared" si="416"/>
        <v>6.0760059612518633</v>
      </c>
      <c r="CK142" s="712">
        <f>IF(Sheet1!EN142="FM",CQ142,0)</f>
        <v>0</v>
      </c>
      <c r="CL142" s="712">
        <f t="shared" si="417"/>
        <v>0</v>
      </c>
      <c r="CM142" s="712">
        <f>IF(Sheet1!EN142="OTHER",CQ142,0)</f>
        <v>0</v>
      </c>
      <c r="CN142" s="712">
        <f t="shared" si="418"/>
        <v>0</v>
      </c>
      <c r="CO142" s="712">
        <f t="shared" si="419"/>
        <v>6.04</v>
      </c>
      <c r="CP142" s="712">
        <f t="shared" si="420"/>
        <v>6.0760059612518633</v>
      </c>
      <c r="CQ142" s="712">
        <f>IF(OR(Sheet1!EN142="FM", Sheet1!EN142="OTHER"),SUM(Sheet1!BK142:'Sheet1'!BM142),0)</f>
        <v>0</v>
      </c>
      <c r="CR142" s="697">
        <f>IF(AND($B142&gt;=$FL142,$B142&lt;=$FM142),MAX($CJ142,Sheet1!EG142,0),MAX($CJ142-(7/36)*$K142,0))</f>
        <v>0</v>
      </c>
      <c r="CS142" s="712">
        <f t="shared" si="421"/>
        <v>6.4928829276370257</v>
      </c>
      <c r="CT142" s="697">
        <f t="shared" si="626"/>
        <v>6.0760059612518633</v>
      </c>
      <c r="CU142" s="697">
        <f>IF(AND($O142&gt;0,Sheet1!EK142=1),(1-($O142-Sheet1!$L142)/$O142)*CP142,0)</f>
        <v>0</v>
      </c>
      <c r="CV142" s="697">
        <f>IF(AND(Sheet1!$L142=0,Sheet1!$L141=0, Calculation!CO142&lt;Sheet1!$EG142-0.1,Sheet1!$EG142=Sheet1!$EG141,Sheet1!$EG142=Sheet1!$EG143),Sheet1!$EG142,CP142-CU142)</f>
        <v>6.0760059612518633</v>
      </c>
      <c r="CW142" s="697">
        <f t="shared" si="613"/>
        <v>0</v>
      </c>
      <c r="CX142" s="712">
        <f t="shared" si="630"/>
        <v>8.5399999999999991</v>
      </c>
      <c r="CY142" s="712">
        <f t="shared" si="422"/>
        <v>564.74389865792227</v>
      </c>
      <c r="CZ142" s="712">
        <f t="shared" si="423"/>
        <v>8.5909090909090917</v>
      </c>
      <c r="DA142" s="712">
        <f ca="1">IF(B142&gt;Summary!$A$1,#N/A,CY142*MGtoAF)</f>
        <v>1732.6342810825056</v>
      </c>
      <c r="DB142" s="712">
        <f t="shared" si="424"/>
        <v>8.5399999999999991</v>
      </c>
      <c r="DC142" s="712">
        <f t="shared" si="425"/>
        <v>26.84</v>
      </c>
      <c r="DD142" s="712">
        <f>Sheet1!AB142-DC142</f>
        <v>0.16000000000000014</v>
      </c>
      <c r="DE142" s="712">
        <f t="shared" si="426"/>
        <v>5.9612518628912124E-3</v>
      </c>
      <c r="DF142" s="712">
        <f>(VLOOKUP(Sheet1!CY142,hhdcap_wcm,4)-(((VLOOKUP(Sheet1!CY142,hhdcap_wcm,3)-Sheet1!CY142)/(VLOOKUP(Sheet1!CY142,hhdcap_wcm,3)-VLOOKUP(Sheet1!CY142,hhdcap_wcm,1)))*(VLOOKUP(Sheet1!CY142,hhdcap_wcm,4)-VLOOKUP(Sheet1!CY142,hhdcap_wcm,2))))</f>
        <v>33928.990000084006</v>
      </c>
      <c r="DG142" s="712">
        <f t="shared" si="427"/>
        <v>689.67000000189</v>
      </c>
      <c r="DH142" s="712">
        <f t="shared" si="428"/>
        <v>347.79122541698939</v>
      </c>
      <c r="DI142" s="712">
        <f>Sheet1!DW142*AFtoMG</f>
        <v>0</v>
      </c>
      <c r="DJ142" s="712">
        <f>Sheet1!DX142*AFtoMG</f>
        <v>0</v>
      </c>
      <c r="DK142" s="712">
        <f>Sheet1!DY142*AFtoMG</f>
        <v>0</v>
      </c>
      <c r="DL142" s="712">
        <f>Sheet1!DZ142*AFtoMG</f>
        <v>0</v>
      </c>
      <c r="DM142" s="712">
        <f t="shared" si="429"/>
        <v>0</v>
      </c>
      <c r="DN142" s="712">
        <f t="shared" si="430"/>
        <v>0</v>
      </c>
      <c r="DO142" s="712">
        <f t="shared" si="431"/>
        <v>4033.3788980520335</v>
      </c>
      <c r="DP142" s="712">
        <f t="shared" si="432"/>
        <v>12374.406459223639</v>
      </c>
      <c r="DQ142" s="712"/>
      <c r="DR142" s="697">
        <f>IF(OR(B142&lt;FL142,B142&gt;FM142),(MIN(AV142+BO142+CJ142+MAX(Sheet1!AA142+AG142-73,0),K142)),0)</f>
        <v>8.5909090909090917</v>
      </c>
      <c r="DS142" s="712"/>
      <c r="DT142" s="712">
        <f t="shared" si="433"/>
        <v>8.5909090909090917</v>
      </c>
      <c r="DU142" s="712"/>
      <c r="DV142" s="712">
        <f>Sheet1!ED142+Sheet1!EE142+Sheet1!EF142+Sheet1!EG142</f>
        <v>8.5</v>
      </c>
      <c r="DW142" s="712"/>
      <c r="DX142" s="697">
        <f t="shared" si="627"/>
        <v>0</v>
      </c>
      <c r="DY142" s="712">
        <f>IF(Sheet1!FN142=1,SUM('Calculations II'!AT142:BA142)+'Calculations II'!BC142+Sheet1!BU142+'Calculations II'!BE142+AF142,SUM('Calculations II'!AT142:BA142)+'Calculations II'!BC142+Sheet1!BU142+'Calculations II'!BE142+AF142)</f>
        <v>44.927376000000002</v>
      </c>
      <c r="DZ142" s="712">
        <f>Sheet1!AA142+Sheet1!AB142+'Calculations II'!BC142</f>
        <v>56</v>
      </c>
      <c r="EA142" s="712"/>
      <c r="EB142" s="712"/>
      <c r="EC142" s="712">
        <f t="shared" si="434"/>
        <v>40671</v>
      </c>
      <c r="ED142" s="712">
        <f t="shared" si="435"/>
        <v>56.049090909090907</v>
      </c>
      <c r="EE142" s="712">
        <f t="shared" si="436"/>
        <v>86.707943636363623</v>
      </c>
      <c r="EF142" s="712">
        <f>-(VLOOKUP(Sheet1!BQ142,Lookup!$B$4:$J$236,2)-VLOOKUP(Sheet1!BQ141,Lookup!$B$4:$J$236,2))/1000000</f>
        <v>1.3151999999999999</v>
      </c>
      <c r="EG142" s="712">
        <f>-(VLOOKUP(Sheet1!BR142,Lookup!$B$4:$J$236,3)-VLOOKUP(Sheet1!BR141,Lookup!$B$4:$J$236,3))/1000000</f>
        <v>1.3131999999999999</v>
      </c>
      <c r="EH142" s="712">
        <f>-(VLOOKUP(Sheet1!BS142,Lookup!$B$4:$J$236,4)-VLOOKUP(Sheet1!BS141,Lookup!$B$4:$J$236,4))/1000000</f>
        <v>0</v>
      </c>
      <c r="EI142" s="697">
        <f t="shared" si="631"/>
        <v>2.6284000000000001</v>
      </c>
      <c r="EJ142" s="712"/>
      <c r="EK142" s="712"/>
      <c r="EL142" s="712"/>
      <c r="EM142" s="712"/>
      <c r="EN142" s="712"/>
      <c r="EO142" s="712"/>
      <c r="EP142" s="712"/>
      <c r="EQ142" s="712"/>
      <c r="ER142" s="697">
        <v>0</v>
      </c>
      <c r="ES142" s="712"/>
      <c r="ET142" s="794" t="e">
        <f t="shared" si="437"/>
        <v>#N/A</v>
      </c>
      <c r="EU142" s="794" t="e">
        <f t="shared" si="614"/>
        <v>#VALUE!</v>
      </c>
      <c r="EV142" s="795" t="e">
        <f t="shared" si="615"/>
        <v>#VALUE!</v>
      </c>
      <c r="EW142" s="796" t="s">
        <v>757</v>
      </c>
      <c r="EX142" s="796" t="s">
        <v>757</v>
      </c>
      <c r="EY142" s="794">
        <v>0</v>
      </c>
      <c r="EZ142" s="794" t="e">
        <v>#N/A</v>
      </c>
      <c r="FA142" s="712"/>
      <c r="FB142" s="712"/>
      <c r="FC142" s="712"/>
      <c r="FD142" s="712"/>
      <c r="FE142" s="712">
        <f>O142+Sheet1!CO142</f>
        <v>56</v>
      </c>
      <c r="FF142" s="712">
        <f>IF(Sheet1!AA142+AG142&lt;=Calculation!N142,AG142,Calculation!N142-Sheet1!AA142)</f>
        <v>18.40909090909091</v>
      </c>
      <c r="FG142" s="712">
        <f>(Sheet1!BP142+Sheet1!BO142)/694.4</f>
        <v>2.39616935483871</v>
      </c>
      <c r="FH142" s="712"/>
      <c r="FI142" s="712"/>
      <c r="FJ142" s="712"/>
      <c r="FK142" s="712"/>
      <c r="FL142" s="714">
        <f t="shared" si="632"/>
        <v>40753</v>
      </c>
      <c r="FM142" s="714">
        <f t="shared" si="633"/>
        <v>40851</v>
      </c>
      <c r="FN142" s="712"/>
      <c r="FO142" s="712"/>
      <c r="FP142" s="712"/>
      <c r="FQ142" s="712"/>
      <c r="FR142" s="712"/>
      <c r="FS142" s="725">
        <f t="shared" si="634"/>
        <v>40603</v>
      </c>
      <c r="FT142" s="714">
        <f t="shared" si="635"/>
        <v>40709</v>
      </c>
      <c r="FU142" s="712">
        <f t="shared" si="636"/>
        <v>6518.9048239895692</v>
      </c>
      <c r="FV142" s="714">
        <f t="shared" si="637"/>
        <v>40722</v>
      </c>
      <c r="FW142" s="712">
        <f t="shared" si="638"/>
        <v>3259.4524119947846</v>
      </c>
      <c r="FX142" s="725">
        <f t="shared" si="639"/>
        <v>40851</v>
      </c>
      <c r="FZ142" s="697">
        <f t="shared" si="616"/>
        <v>0</v>
      </c>
      <c r="GA142" s="712" t="str">
        <f t="shared" si="438"/>
        <v/>
      </c>
      <c r="GB142" s="712">
        <f t="shared" si="439"/>
        <v>0</v>
      </c>
      <c r="GC142" s="712" t="str">
        <f t="shared" si="440"/>
        <v/>
      </c>
      <c r="GD142" s="712">
        <f>IF(GA142="P",Lookup!$M$12,IF(GA142="PP",Lookup!$M$13,IF(GA142="PPP",Lookup!$M$14,IF(GA142="T",Lookup!$M$15,IF(GA142="TP",Lookup!$M$16,IF(GA142="TPP",Lookup!$M$17,IF(GA142="TPPP",Lookup!$M$18,0)))))))*FZ142</f>
        <v>0</v>
      </c>
      <c r="GE142" s="712">
        <f t="shared" si="441"/>
        <v>0</v>
      </c>
      <c r="GF142" s="712">
        <f t="shared" si="442"/>
        <v>5701.5712000000021</v>
      </c>
      <c r="GG142" s="712">
        <f t="shared" si="443"/>
        <v>1858.4000000000008</v>
      </c>
      <c r="GH142" s="712"/>
      <c r="GI142" s="712">
        <f t="shared" si="444"/>
        <v>0</v>
      </c>
      <c r="GJ142" s="712" t="str">
        <f t="shared" si="445"/>
        <v/>
      </c>
      <c r="GK142" s="712">
        <f>IF(GA142="P",Lookup!$N$12,IF(GA142="PP",Lookup!$N$13,IF(GA142="PPP",Lookup!$N$14,IF(GA142="T",Lookup!$N$15,IF(GA142="TP",Lookup!$N$16,IF(GA142="TPP",Lookup!$N$17,IF(GA142="TPPP",Lookup!$N$18,0)))))))*FZ142</f>
        <v>0</v>
      </c>
      <c r="GL142" s="712">
        <f t="shared" si="446"/>
        <v>0</v>
      </c>
      <c r="GM142" s="712">
        <f t="shared" si="447"/>
        <v>2660.7332266666631</v>
      </c>
      <c r="GN142" s="712">
        <f t="shared" si="448"/>
        <v>867.25333333333219</v>
      </c>
      <c r="GO142" s="712"/>
      <c r="GP142" s="712">
        <f t="shared" si="449"/>
        <v>0</v>
      </c>
      <c r="GQ142" s="712" t="str">
        <f t="shared" si="450"/>
        <v/>
      </c>
      <c r="GR142" s="712">
        <f>IF(GA142="P",Lookup!$N$12,IF(GA142="PP",Lookup!$N$13,IF(GA142="PPP",Lookup!$N$14,IF(GA142="T",Lookup!$N$15,IF(GA142="TP",Lookup!$N$16,IF(GA142="TPP",Lookup!$N$17,IF(GA142="TPPP",Lookup!$N$18,0)))))))*FZ142</f>
        <v>0</v>
      </c>
      <c r="GS142" s="697">
        <f t="shared" si="628"/>
        <v>0</v>
      </c>
      <c r="GT142" s="712">
        <f t="shared" si="451"/>
        <v>2279.4677514744676</v>
      </c>
      <c r="GU142" s="712">
        <f t="shared" si="452"/>
        <v>742.98166606077825</v>
      </c>
      <c r="GV142" s="712"/>
      <c r="GW142" s="712">
        <f t="shared" si="453"/>
        <v>0</v>
      </c>
      <c r="GX142" s="712" t="str">
        <f t="shared" si="454"/>
        <v/>
      </c>
      <c r="GY142" s="712">
        <f>IF(GA142="P",Lookup!$N$12,IF(GA142="PP",Lookup!$N$13,IF(GA142="PPP",Lookup!$N$14,IF(GA142="T",Lookup!$N$15,IF(GA142="TP",Lookup!$N$16,IF(GA142="TPP",Lookup!$N$17,IF(GA142="TPPP",Lookup!$N$18,0)))))))*FZ142</f>
        <v>0</v>
      </c>
      <c r="GZ142" s="697">
        <f t="shared" si="629"/>
        <v>0</v>
      </c>
      <c r="HA142" s="712">
        <f t="shared" si="455"/>
        <v>1732.6342810825056</v>
      </c>
      <c r="HB142" s="712">
        <f t="shared" si="456"/>
        <v>564.74389865792227</v>
      </c>
      <c r="HC142" s="712"/>
    </row>
    <row r="143" spans="1:211">
      <c r="A143" s="773" t="s">
        <v>4</v>
      </c>
      <c r="B143" s="708">
        <v>40672</v>
      </c>
      <c r="C143" s="719">
        <v>0.5</v>
      </c>
      <c r="D143" s="675">
        <f t="shared" si="617"/>
        <v>300</v>
      </c>
      <c r="E143" s="675">
        <f t="shared" si="618"/>
        <v>250</v>
      </c>
      <c r="F143" s="710">
        <v>250</v>
      </c>
      <c r="G143" s="712">
        <f>DH143+Sheet1!CV143</f>
        <v>1868.1873194876352</v>
      </c>
      <c r="H143" s="712">
        <f t="shared" si="389"/>
        <v>940.63308331680742</v>
      </c>
      <c r="I143" s="711">
        <f>MAX(Sheet1!Z143-AJ143+(Sheet1!CW143-E143)*CFStoMGD,0)</f>
        <v>1746.2512765657978</v>
      </c>
      <c r="J143" s="720">
        <f>IF(AND(B143&gt;=Calculation!FS143,B143&lt;=Calculation!FT143),IF(Sheet1!CX143&gt;=Calculation!D143,64.64,0),MAX(Sheet1!Z143-AJ143+(Sheet1!CX143-D143)*CFStoMGD,0))</f>
        <v>64.64</v>
      </c>
      <c r="K143" s="697">
        <f t="shared" si="619"/>
        <v>64.64</v>
      </c>
      <c r="L143" s="712">
        <f>Sheet1!AA143+Sheet1!AB143-Sheet1!L143+(Sheet1!CW143-F143)*CFStoMGD</f>
        <v>1796.1739999999957</v>
      </c>
      <c r="M143" s="712">
        <f t="shared" si="390"/>
        <v>1231.7482089831435</v>
      </c>
      <c r="N143" s="712">
        <f>IF(Sheet1!CW143&gt;=F143,MIN(73,MIN(MAX(L143,0),MAX(M143,0))),0)</f>
        <v>73</v>
      </c>
      <c r="O143" s="721">
        <f>Sheet1!AA143+Sheet1!AB143</f>
        <v>56.549999999995634</v>
      </c>
      <c r="P143" s="721">
        <f t="shared" si="391"/>
        <v>87.482849999993249</v>
      </c>
      <c r="Q143" s="712">
        <f>MIN(N143,Sheet1!AA143+AG143)</f>
        <v>50.182723434196546</v>
      </c>
      <c r="R143" s="712">
        <f t="shared" si="392"/>
        <v>6.3672765657990871</v>
      </c>
      <c r="S143" s="721">
        <f>Sheet1!Y143*MGDtoCFS</f>
        <v>45.976839999999996</v>
      </c>
      <c r="T143" s="721">
        <f>Sheet1!Z143*MGDtoCFS</f>
        <v>40.856269999999995</v>
      </c>
      <c r="U143" s="721">
        <f>Sheet1!AA143*MGDtoCFS</f>
        <v>47.028799999990994</v>
      </c>
      <c r="V143" s="721">
        <f>Sheet1!AB143*MGDtoCFS</f>
        <v>40.454050000002248</v>
      </c>
      <c r="W143" s="721">
        <f>Sheet1!L143*MGDtoCFS</f>
        <v>0</v>
      </c>
      <c r="X143" s="697">
        <f t="shared" si="620"/>
        <v>0</v>
      </c>
      <c r="Y143" s="712">
        <f t="shared" si="393"/>
        <v>0</v>
      </c>
      <c r="Z143" s="712">
        <f t="shared" si="394"/>
        <v>58.272723434200913</v>
      </c>
      <c r="AA143" s="712">
        <f t="shared" si="395"/>
        <v>90.147903152708807</v>
      </c>
      <c r="AB143" s="712">
        <f>(VLOOKUP(Sheet1!CY143,hhdcap_wcm,4)-(((VLOOKUP(Sheet1!CY143,hhdcap_wcm,3)-Sheet1!CY143)/(VLOOKUP(Sheet1!CY143,hhdcap_wcm,3)-VLOOKUP(Sheet1!CY143,hhdcap_wcm,1)))*(VLOOKUP(Sheet1!CY143,hhdcap_wcm,4)-VLOOKUP(Sheet1!CY143,hhdcap_wcm,2))))</f>
        <v>33763.150000082533</v>
      </c>
      <c r="AC143" s="712">
        <f t="shared" si="396"/>
        <v>-165.84000000147353</v>
      </c>
      <c r="AD143" s="712">
        <f t="shared" si="621"/>
        <v>4091.651621486234</v>
      </c>
      <c r="AE143" s="712">
        <f t="shared" si="397"/>
        <v>12553.187174719766</v>
      </c>
      <c r="AF143" s="712">
        <f>Sheet1!BA143+Sheet1!BB143+Sheet1!BN143+BT143</f>
        <v>21.5</v>
      </c>
      <c r="AG143" s="712">
        <f t="shared" si="398"/>
        <v>19.782723434202367</v>
      </c>
      <c r="AH143" s="712">
        <f>Sheet1!BA143+BT143</f>
        <v>0</v>
      </c>
      <c r="AI143" s="712">
        <f>Sheet1!BA143+Sheet1!BB143+BT143</f>
        <v>0</v>
      </c>
      <c r="AJ143" s="712">
        <f>IF((Sheet1!AA143+AG143+AX143+AZ143+BQ143+BS143+CL143+CN143)&lt;=N143,AG143+AX143+AZ143+BQ143+BS143+CL143+CN143,N143-Sheet1!AA143)</f>
        <v>19.782723434202367</v>
      </c>
      <c r="AK143" s="712">
        <f>IF(DR143&lt;K143,0,MAX(Sheet1!AA143+AG143-15/36*K143-N143,Sheet1!ED143,0))</f>
        <v>0</v>
      </c>
      <c r="AL143" s="712">
        <f>IF(OR(B143&gt;=FT143,B143&lt;FS143),0,15/36*K143-MAX(0,64.6-(137.6-(Sheet1!AA143+Sheet1!AB143))))</f>
        <v>26.933333333333334</v>
      </c>
      <c r="AM143" s="712">
        <f>Sheet1!CX143-110</f>
        <v>1876.25</v>
      </c>
      <c r="AN143" s="712">
        <f>Sheet1!CW143-265</f>
        <v>2676.25</v>
      </c>
      <c r="AO143" s="712">
        <f t="shared" si="622"/>
        <v>22.817276565803454</v>
      </c>
      <c r="AP143" s="712">
        <f t="shared" si="623"/>
        <v>0</v>
      </c>
      <c r="AQ143" s="712">
        <f t="shared" si="399"/>
        <v>0</v>
      </c>
      <c r="AR143" s="712">
        <f t="shared" si="400"/>
        <v>1885.3333333333342</v>
      </c>
      <c r="AS143" s="712"/>
      <c r="AT143" s="712">
        <f ca="1">IF(B143&gt;Summary!$A$1,#N/A,AR143*MGtoAF)</f>
        <v>5784.2026666666698</v>
      </c>
      <c r="AU143" s="712">
        <f>Sheet1!BG143+Sheet1!BH143+Sheet1!BI143-BC143</f>
        <v>0</v>
      </c>
      <c r="AV143" s="712">
        <f t="shared" si="401"/>
        <v>0</v>
      </c>
      <c r="AW143" s="712">
        <f>IF(Sheet1!EL143="FM",BC143,0)</f>
        <v>0</v>
      </c>
      <c r="AX143" s="712">
        <f t="shared" si="402"/>
        <v>0</v>
      </c>
      <c r="AY143" s="712">
        <f>IF(Sheet1!EL143="OTHER",BC143,0)</f>
        <v>0</v>
      </c>
      <c r="AZ143" s="712">
        <f t="shared" si="403"/>
        <v>0</v>
      </c>
      <c r="BA143" s="712">
        <f t="shared" si="404"/>
        <v>0</v>
      </c>
      <c r="BB143" s="712">
        <f t="shared" si="405"/>
        <v>0</v>
      </c>
      <c r="BC143" s="712">
        <f>IF(OR(Sheet1!EL143="FM", Sheet1!EL143="OTHER"),SUM(Sheet1!BG143:'Sheet1'!BI143),0)</f>
        <v>0</v>
      </c>
      <c r="BD143" s="697">
        <f>IF(AND($B143&gt;=$FL143,$B143&lt;=$FM143),MAX(AV143,Sheet1!EE143,0),MAX(AV143-(7/36)*$K143,0))</f>
        <v>0</v>
      </c>
      <c r="BE143" s="712">
        <f t="shared" si="406"/>
        <v>12.568888888888889</v>
      </c>
      <c r="BF143" s="697">
        <f t="shared" si="624"/>
        <v>0</v>
      </c>
      <c r="BG143" s="697">
        <f>IF(AND($O143&gt;0,Sheet1!EI143=1),(1-($O143-Sheet1!$L143)/$O143)*BB143,0)</f>
        <v>0</v>
      </c>
      <c r="BH143" s="697">
        <f>IF(AND(Sheet1!$L143=0,Sheet1!$L142=0, Calculation!BA143&lt;Sheet1!$EE143-0.1,Sheet1!$EE143=Sheet1!$EE142,Sheet1!$EE143=Sheet1!$EE144),Sheet1!$EE143,BB143-BG143)</f>
        <v>0</v>
      </c>
      <c r="BI143" s="712"/>
      <c r="BJ143" s="712"/>
      <c r="BK143" s="712">
        <f t="shared" si="407"/>
        <v>879.82222222222106</v>
      </c>
      <c r="BL143" s="712"/>
      <c r="BM143" s="712">
        <f ca="1">IF(B143&gt;Summary!$A$1,#N/A,BK143*MGtoAF)</f>
        <v>2699.2945777777741</v>
      </c>
      <c r="BN143" s="712">
        <f>Sheet1!BC143+Sheet1!BD143+Sheet1!BE143+Sheet1!BF143-BW143-BX143</f>
        <v>0.87</v>
      </c>
      <c r="BO143" s="712">
        <f t="shared" si="408"/>
        <v>0.80051020408167717</v>
      </c>
      <c r="BP143" s="712">
        <f>IF(Sheet1!EM143="FM",BX143,0)</f>
        <v>0</v>
      </c>
      <c r="BQ143" s="712">
        <f t="shared" si="409"/>
        <v>0</v>
      </c>
      <c r="BR143" s="712">
        <f>IF(Sheet1!EM143="OTHER",BX143,0)</f>
        <v>0</v>
      </c>
      <c r="BS143" s="712">
        <f t="shared" si="410"/>
        <v>0</v>
      </c>
      <c r="BT143" s="712">
        <f t="shared" si="411"/>
        <v>0</v>
      </c>
      <c r="BU143" s="712">
        <f t="shared" si="412"/>
        <v>0.87</v>
      </c>
      <c r="BV143" s="712">
        <f t="shared" si="413"/>
        <v>0.80051020408167717</v>
      </c>
      <c r="BW143" s="712">
        <f>IF(Sheet1!EM143="CWA",SUM(Sheet1!BC143:'Sheet1'!BF143),0)</f>
        <v>0</v>
      </c>
      <c r="BX143" s="712">
        <f>IF(OR(Sheet1!EM143="FM", Sheet1!EM143="OTHER"),SUM(Sheet1!BC143:'Sheet1'!BF143),0)</f>
        <v>0</v>
      </c>
      <c r="BY143" s="697">
        <f>IF(AND($B143&gt;=$FL143,$B143&lt;=$FM143),MAX(BV143,Sheet1!EF143,0),MAX(BV143-(7/36)*$K143,0))</f>
        <v>0</v>
      </c>
      <c r="BZ143" s="712">
        <f t="shared" si="414"/>
        <v>11.768378684807212</v>
      </c>
      <c r="CA143" s="697">
        <f t="shared" si="625"/>
        <v>0.80051020408167717</v>
      </c>
      <c r="CB143" s="697">
        <f>IF(AND($O143&gt;0,Sheet1!EJ143=1),(1-($O143-Sheet1!$L143)/$O143)*BV143,0)</f>
        <v>0</v>
      </c>
      <c r="CC143" s="697">
        <f>IF(AND(Sheet1!$L143=0,Sheet1!$L142=0, Calculation!BU143&lt;Sheet1!EF143-0.1,Sheet1!EF143=Sheet1!EF142,Sheet1!EF143=Sheet1!EF144),Sheet1!EF143,BV143-CB143)</f>
        <v>0.80051020408167717</v>
      </c>
      <c r="CD143" s="697"/>
      <c r="CE143" s="712"/>
      <c r="CF143" s="712">
        <f t="shared" si="415"/>
        <v>754.75004474558546</v>
      </c>
      <c r="CG143" s="712"/>
      <c r="CH143" s="712">
        <f ca="1">IF(B143&gt;Summary!$A$1,#N/A,CF143*MGtoAF)</f>
        <v>2315.5731372794562</v>
      </c>
      <c r="CI143" s="712">
        <f>Sheet1!BK143+Sheet1!BL143+Sheet1!BM143-Sheet1!EN143-CQ143</f>
        <v>6.05</v>
      </c>
      <c r="CJ143" s="712">
        <f t="shared" si="416"/>
        <v>5.5667663617174101</v>
      </c>
      <c r="CK143" s="712">
        <f>IF(Sheet1!EN143="FM",CQ143,0)</f>
        <v>0</v>
      </c>
      <c r="CL143" s="712">
        <f t="shared" si="417"/>
        <v>0</v>
      </c>
      <c r="CM143" s="712">
        <f>IF(Sheet1!EN143="OTHER",CQ143,0)</f>
        <v>0</v>
      </c>
      <c r="CN143" s="712">
        <f t="shared" si="418"/>
        <v>0</v>
      </c>
      <c r="CO143" s="712">
        <f t="shared" si="419"/>
        <v>6.05</v>
      </c>
      <c r="CP143" s="712">
        <f t="shared" si="420"/>
        <v>5.5667663617174101</v>
      </c>
      <c r="CQ143" s="712">
        <f>IF(OR(Sheet1!EN143="FM", Sheet1!EN143="OTHER"),SUM(Sheet1!BK143:'Sheet1'!BM143),0)</f>
        <v>0</v>
      </c>
      <c r="CR143" s="697">
        <f>IF(AND($B143&gt;=$FL143,$B143&lt;=$FM143),MAX($CJ143,Sheet1!EG143,0),MAX($CJ143-(7/36)*$K143,0))</f>
        <v>0</v>
      </c>
      <c r="CS143" s="712">
        <f t="shared" si="421"/>
        <v>7.0021225271714789</v>
      </c>
      <c r="CT143" s="697">
        <f t="shared" si="626"/>
        <v>5.5667663617174101</v>
      </c>
      <c r="CU143" s="697">
        <f>IF(AND($O143&gt;0,Sheet1!EK143=1),(1-($O143-Sheet1!$L143)/$O143)*CP143,0)</f>
        <v>0</v>
      </c>
      <c r="CV143" s="697">
        <f>IF(AND(Sheet1!$L143=0,Sheet1!$L142=0, Calculation!CO143&lt;Sheet1!$EG143-0.1,Sheet1!$EG143=Sheet1!$EG142,Sheet1!$EG143=Sheet1!$EG144),Sheet1!$EG143,CP143-CU143)</f>
        <v>5.5667663617174101</v>
      </c>
      <c r="CW143" s="697">
        <f t="shared" si="613"/>
        <v>0</v>
      </c>
      <c r="CX143" s="712">
        <f t="shared" si="630"/>
        <v>6.92</v>
      </c>
      <c r="CY143" s="712">
        <f t="shared" si="422"/>
        <v>571.7460211850937</v>
      </c>
      <c r="CZ143" s="712">
        <f t="shared" si="423"/>
        <v>6.3672765657990871</v>
      </c>
      <c r="DA143" s="712">
        <f ca="1">IF(B143&gt;Summary!$A$1,#N/A,CY143*MGtoAF)</f>
        <v>1754.1167929958674</v>
      </c>
      <c r="DB143" s="712">
        <f t="shared" si="424"/>
        <v>6.92</v>
      </c>
      <c r="DC143" s="712">
        <f t="shared" si="425"/>
        <v>28.42</v>
      </c>
      <c r="DD143" s="712">
        <f>Sheet1!AB143-DC143</f>
        <v>-2.2699999999985465</v>
      </c>
      <c r="DE143" s="712">
        <f t="shared" si="426"/>
        <v>-7.9873328641750396E-2</v>
      </c>
      <c r="DF143" s="712">
        <f>(VLOOKUP(Sheet1!CY143,hhdcap_wcm,4)-(((VLOOKUP(Sheet1!CY143,hhdcap_wcm,3)-Sheet1!CY143)/(VLOOKUP(Sheet1!CY143,hhdcap_wcm,3)-VLOOKUP(Sheet1!CY143,hhdcap_wcm,1)))*(VLOOKUP(Sheet1!CY143,hhdcap_wcm,4)-VLOOKUP(Sheet1!CY143,hhdcap_wcm,2))))</f>
        <v>33763.150000082533</v>
      </c>
      <c r="DG143" s="712">
        <f t="shared" si="427"/>
        <v>-165.84000000147353</v>
      </c>
      <c r="DH143" s="712">
        <f t="shared" si="428"/>
        <v>-83.630862330546393</v>
      </c>
      <c r="DI143" s="712">
        <f>Sheet1!DW143*AFtoMG</f>
        <v>0</v>
      </c>
      <c r="DJ143" s="712">
        <f>Sheet1!DX143*AFtoMG</f>
        <v>0</v>
      </c>
      <c r="DK143" s="712">
        <f>Sheet1!DY143*AFtoMG</f>
        <v>0</v>
      </c>
      <c r="DL143" s="712">
        <f>Sheet1!DZ143*AFtoMG</f>
        <v>0</v>
      </c>
      <c r="DM143" s="712">
        <f t="shared" si="429"/>
        <v>0</v>
      </c>
      <c r="DN143" s="712">
        <f t="shared" si="430"/>
        <v>0</v>
      </c>
      <c r="DO143" s="712">
        <f t="shared" si="431"/>
        <v>4091.651621486234</v>
      </c>
      <c r="DP143" s="712">
        <f t="shared" si="432"/>
        <v>12553.187174719766</v>
      </c>
      <c r="DQ143" s="712"/>
      <c r="DR143" s="697">
        <f>IF(OR(B143&lt;FL143,B143&gt;FM143),(MIN(AV143+BO143+CJ143+MAX(Sheet1!AA143+AG143-73,0),K143)),0)</f>
        <v>6.3672765657990871</v>
      </c>
      <c r="DS143" s="712"/>
      <c r="DT143" s="712">
        <f t="shared" si="433"/>
        <v>6.3672765657990871</v>
      </c>
      <c r="DU143" s="712"/>
      <c r="DV143" s="712">
        <f>Sheet1!ED143+Sheet1!EE143+Sheet1!EF143+Sheet1!EG143</f>
        <v>6</v>
      </c>
      <c r="DW143" s="712"/>
      <c r="DX143" s="697">
        <f t="shared" si="627"/>
        <v>0</v>
      </c>
      <c r="DY143" s="712">
        <f>IF(Sheet1!FN143=1,SUM('Calculations II'!AT143:BA143)+'Calculations II'!BC143+Sheet1!BU143+'Calculations II'!BE143+AF143,SUM('Calculations II'!AT143:BA143)+'Calculations II'!BC143+Sheet1!BU143+'Calculations II'!BE143+AF143)</f>
        <v>47.683568000000001</v>
      </c>
      <c r="DZ143" s="712">
        <f>Sheet1!AA143+Sheet1!AB143+'Calculations II'!BC143</f>
        <v>56.549999999995634</v>
      </c>
      <c r="EA143" s="712"/>
      <c r="EB143" s="712"/>
      <c r="EC143" s="712">
        <f t="shared" si="434"/>
        <v>40672</v>
      </c>
      <c r="ED143" s="712">
        <f t="shared" si="435"/>
        <v>58.272723434200913</v>
      </c>
      <c r="EE143" s="712">
        <f t="shared" si="436"/>
        <v>90.147903152708807</v>
      </c>
      <c r="EF143" s="712">
        <f>-(VLOOKUP(Sheet1!BQ143,Lookup!$B$4:$J$236,2)-VLOOKUP(Sheet1!BQ142,Lookup!$B$4:$J$236,2))/1000000</f>
        <v>-3.4316</v>
      </c>
      <c r="EG143" s="712">
        <f>-(VLOOKUP(Sheet1!BR143,Lookup!$B$4:$J$236,3)-VLOOKUP(Sheet1!BR142,Lookup!$B$4:$J$236,3))/1000000</f>
        <v>-3.1595</v>
      </c>
      <c r="EH143" s="712">
        <f>-(VLOOKUP(Sheet1!BS143,Lookup!$B$4:$J$236,4)-VLOOKUP(Sheet1!BS142,Lookup!$B$4:$J$236,4))/1000000</f>
        <v>0</v>
      </c>
      <c r="EI143" s="697">
        <f t="shared" si="631"/>
        <v>-6.5911</v>
      </c>
      <c r="EJ143" s="712"/>
      <c r="EK143" s="712"/>
      <c r="EL143" s="712"/>
      <c r="EM143" s="712"/>
      <c r="EN143" s="712"/>
      <c r="EO143" s="712"/>
      <c r="EP143" s="712"/>
      <c r="EQ143" s="712"/>
      <c r="ER143" s="697">
        <v>0</v>
      </c>
      <c r="ES143" s="712"/>
      <c r="ET143" s="794" t="e">
        <f t="shared" si="437"/>
        <v>#N/A</v>
      </c>
      <c r="EU143" s="794" t="e">
        <f t="shared" si="614"/>
        <v>#VALUE!</v>
      </c>
      <c r="EV143" s="795" t="e">
        <f t="shared" si="615"/>
        <v>#VALUE!</v>
      </c>
      <c r="EW143" s="796" t="s">
        <v>757</v>
      </c>
      <c r="EX143" s="796" t="s">
        <v>757</v>
      </c>
      <c r="EY143" s="794">
        <v>0</v>
      </c>
      <c r="EZ143" s="794" t="e">
        <v>#N/A</v>
      </c>
      <c r="FA143" s="712"/>
      <c r="FB143" s="712"/>
      <c r="FC143" s="712"/>
      <c r="FD143" s="712"/>
      <c r="FE143" s="712">
        <f>O143+Sheet1!CO143</f>
        <v>56.549999999995634</v>
      </c>
      <c r="FF143" s="712">
        <f>IF(Sheet1!AA143+AG143&lt;=Calculation!N143,AG143,Calculation!N143-Sheet1!AA143)</f>
        <v>19.782723434202367</v>
      </c>
      <c r="FG143" s="712">
        <f>(Sheet1!BP143+Sheet1!BO143)/694.4</f>
        <v>5.4367799539170507</v>
      </c>
      <c r="FH143" s="712"/>
      <c r="FI143" s="712"/>
      <c r="FJ143" s="712"/>
      <c r="FK143" s="712"/>
      <c r="FL143" s="714">
        <f t="shared" si="632"/>
        <v>40753</v>
      </c>
      <c r="FM143" s="714">
        <f t="shared" si="633"/>
        <v>40851</v>
      </c>
      <c r="FN143" s="712"/>
      <c r="FO143" s="712"/>
      <c r="FP143" s="712"/>
      <c r="FQ143" s="712"/>
      <c r="FR143" s="712"/>
      <c r="FS143" s="725">
        <f t="shared" si="634"/>
        <v>40603</v>
      </c>
      <c r="FT143" s="714">
        <f t="shared" si="635"/>
        <v>40709</v>
      </c>
      <c r="FU143" s="712">
        <f t="shared" si="636"/>
        <v>6518.9048239895692</v>
      </c>
      <c r="FV143" s="714">
        <f t="shared" si="637"/>
        <v>40722</v>
      </c>
      <c r="FW143" s="712">
        <f t="shared" si="638"/>
        <v>3259.4524119947846</v>
      </c>
      <c r="FX143" s="725">
        <f t="shared" si="639"/>
        <v>40851</v>
      </c>
      <c r="FZ143" s="697">
        <f t="shared" si="616"/>
        <v>0</v>
      </c>
      <c r="GA143" s="712" t="str">
        <f t="shared" si="438"/>
        <v/>
      </c>
      <c r="GB143" s="712">
        <f t="shared" si="439"/>
        <v>0</v>
      </c>
      <c r="GC143" s="712" t="str">
        <f t="shared" si="440"/>
        <v/>
      </c>
      <c r="GD143" s="712">
        <f>IF(GA143="P",Lookup!$M$12,IF(GA143="PP",Lookup!$M$13,IF(GA143="PPP",Lookup!$M$14,IF(GA143="T",Lookup!$M$15,IF(GA143="TP",Lookup!$M$16,IF(GA143="TPP",Lookup!$M$17,IF(GA143="TPPP",Lookup!$M$18,0)))))))*FZ143</f>
        <v>0</v>
      </c>
      <c r="GE143" s="712">
        <f t="shared" si="441"/>
        <v>0</v>
      </c>
      <c r="GF143" s="712">
        <f t="shared" si="442"/>
        <v>5784.2026666666698</v>
      </c>
      <c r="GG143" s="712">
        <f t="shared" si="443"/>
        <v>1885.3333333333342</v>
      </c>
      <c r="GH143" s="712"/>
      <c r="GI143" s="712">
        <f t="shared" si="444"/>
        <v>0</v>
      </c>
      <c r="GJ143" s="712" t="str">
        <f t="shared" si="445"/>
        <v/>
      </c>
      <c r="GK143" s="712">
        <f>IF(GA143="P",Lookup!$N$12,IF(GA143="PP",Lookup!$N$13,IF(GA143="PPP",Lookup!$N$14,IF(GA143="T",Lookup!$N$15,IF(GA143="TP",Lookup!$N$16,IF(GA143="TPP",Lookup!$N$17,IF(GA143="TPPP",Lookup!$N$18,0)))))))*FZ143</f>
        <v>0</v>
      </c>
      <c r="GL143" s="712">
        <f t="shared" si="446"/>
        <v>0</v>
      </c>
      <c r="GM143" s="712">
        <f t="shared" si="447"/>
        <v>2699.2945777777741</v>
      </c>
      <c r="GN143" s="712">
        <f t="shared" si="448"/>
        <v>879.82222222222106</v>
      </c>
      <c r="GO143" s="712"/>
      <c r="GP143" s="712">
        <f t="shared" si="449"/>
        <v>0</v>
      </c>
      <c r="GQ143" s="712" t="str">
        <f t="shared" si="450"/>
        <v/>
      </c>
      <c r="GR143" s="712">
        <f>IF(GA143="P",Lookup!$N$12,IF(GA143="PP",Lookup!$N$13,IF(GA143="PPP",Lookup!$N$14,IF(GA143="T",Lookup!$N$15,IF(GA143="TP",Lookup!$N$16,IF(GA143="TPP",Lookup!$N$17,IF(GA143="TPPP",Lookup!$N$18,0)))))))*FZ143</f>
        <v>0</v>
      </c>
      <c r="GS143" s="697">
        <f t="shared" si="628"/>
        <v>0</v>
      </c>
      <c r="GT143" s="712">
        <f t="shared" si="451"/>
        <v>2315.5731372794562</v>
      </c>
      <c r="GU143" s="712">
        <f t="shared" si="452"/>
        <v>754.75004474558546</v>
      </c>
      <c r="GV143" s="712"/>
      <c r="GW143" s="712">
        <f t="shared" si="453"/>
        <v>0</v>
      </c>
      <c r="GX143" s="712" t="str">
        <f t="shared" si="454"/>
        <v/>
      </c>
      <c r="GY143" s="712">
        <f>IF(GA143="P",Lookup!$N$12,IF(GA143="PP",Lookup!$N$13,IF(GA143="PPP",Lookup!$N$14,IF(GA143="T",Lookup!$N$15,IF(GA143="TP",Lookup!$N$16,IF(GA143="TPP",Lookup!$N$17,IF(GA143="TPPP",Lookup!$N$18,0)))))))*FZ143</f>
        <v>0</v>
      </c>
      <c r="GZ143" s="697">
        <f t="shared" si="629"/>
        <v>0</v>
      </c>
      <c r="HA143" s="712">
        <f t="shared" si="455"/>
        <v>1754.1167929958674</v>
      </c>
      <c r="HB143" s="712">
        <f t="shared" si="456"/>
        <v>571.7460211850937</v>
      </c>
      <c r="HC143" s="712"/>
    </row>
    <row r="144" spans="1:211">
      <c r="A144" s="773" t="s">
        <v>5</v>
      </c>
      <c r="B144" s="708">
        <v>40673</v>
      </c>
      <c r="C144" s="709">
        <v>0.5</v>
      </c>
      <c r="D144" s="675">
        <f t="shared" si="617"/>
        <v>300</v>
      </c>
      <c r="E144" s="675">
        <f t="shared" si="618"/>
        <v>250</v>
      </c>
      <c r="F144" s="675">
        <v>250</v>
      </c>
      <c r="G144" s="712">
        <f>DH144+Sheet1!CV144</f>
        <v>1842.8902489349716</v>
      </c>
      <c r="H144" s="712">
        <f t="shared" si="389"/>
        <v>924.28105691156566</v>
      </c>
      <c r="I144" s="711">
        <f>MAX(Sheet1!Z144-AJ144+(Sheet1!CW144-E144)*CFStoMGD,0)</f>
        <v>1430.7462652674537</v>
      </c>
      <c r="J144" s="720">
        <f>IF(AND(B144&gt;=Calculation!FS144,B144&lt;=Calculation!FT144),IF(Sheet1!CX144&gt;=Calculation!D144,64.64,0),MAX(Sheet1!Z144-AJ144+(Sheet1!CX144-D144)*CFStoMGD,0))</f>
        <v>64.64</v>
      </c>
      <c r="K144" s="697">
        <f t="shared" si="619"/>
        <v>64.64</v>
      </c>
      <c r="L144" s="712">
        <f>Sheet1!AA144+Sheet1!AB144-Sheet1!L144+(Sheet1!CW144-F144)*CFStoMGD</f>
        <v>1474.0226666666708</v>
      </c>
      <c r="M144" s="712">
        <f t="shared" si="390"/>
        <v>1215.0691420497969</v>
      </c>
      <c r="N144" s="712">
        <f>IF(Sheet1!CW144&gt;=F144,MIN(73,MIN(MAX(L144,0),MAX(M144,0))),0)</f>
        <v>73</v>
      </c>
      <c r="O144" s="721">
        <f>Sheet1!AA144+Sheet1!AB144</f>
        <v>53.020000000004075</v>
      </c>
      <c r="P144" s="721">
        <f t="shared" si="391"/>
        <v>82.021940000006296</v>
      </c>
      <c r="Q144" s="712">
        <f>MIN(N144,Sheet1!AA144+AG144)</f>
        <v>45.306401399217016</v>
      </c>
      <c r="R144" s="712">
        <f t="shared" si="392"/>
        <v>7.7135986007870576</v>
      </c>
      <c r="S144" s="721">
        <f>Sheet1!Y144*MGDtoCFS</f>
        <v>46.332649999999994</v>
      </c>
      <c r="T144" s="721">
        <f>Sheet1!Z144*MGDtoCFS</f>
        <v>38.721409999999999</v>
      </c>
      <c r="U144" s="721">
        <f>Sheet1!AA144*MGDtoCFS</f>
        <v>46.4409400000063</v>
      </c>
      <c r="V144" s="721">
        <f>Sheet1!AB144*MGDtoCFS</f>
        <v>35.580999999999996</v>
      </c>
      <c r="W144" s="721">
        <f>Sheet1!L144*MGDtoCFS</f>
        <v>0</v>
      </c>
      <c r="X144" s="697">
        <f t="shared" si="620"/>
        <v>0</v>
      </c>
      <c r="Y144" s="712">
        <f t="shared" si="393"/>
        <v>0</v>
      </c>
      <c r="Z144" s="712">
        <f t="shared" si="394"/>
        <v>56.926401399212942</v>
      </c>
      <c r="AA144" s="712">
        <f t="shared" si="395"/>
        <v>88.065142964582421</v>
      </c>
      <c r="AB144" s="712">
        <f>(VLOOKUP(Sheet1!CY144,hhdcap_wcm,4)-(((VLOOKUP(Sheet1!CY144,hhdcap_wcm,3)-Sheet1!CY144)/(VLOOKUP(Sheet1!CY144,hhdcap_wcm,3)-VLOOKUP(Sheet1!CY144,hhdcap_wcm,1)))*(VLOOKUP(Sheet1!CY144,hhdcap_wcm,4)-VLOOKUP(Sheet1!CY144,hhdcap_wcm,2))))</f>
        <v>34124.920000084217</v>
      </c>
      <c r="AC144" s="712">
        <f t="shared" si="396"/>
        <v>361.77000000168482</v>
      </c>
      <c r="AD144" s="712">
        <f t="shared" si="621"/>
        <v>4148.5780228854474</v>
      </c>
      <c r="AE144" s="712">
        <f t="shared" si="397"/>
        <v>12727.837374212553</v>
      </c>
      <c r="AF144" s="712">
        <f>Sheet1!BA144+Sheet1!BB144+Sheet1!BN144+BT144</f>
        <v>15.2</v>
      </c>
      <c r="AG144" s="712">
        <f t="shared" si="398"/>
        <v>15.286401399212943</v>
      </c>
      <c r="AH144" s="712">
        <f>Sheet1!BA144+BT144</f>
        <v>0</v>
      </c>
      <c r="AI144" s="712">
        <f>Sheet1!BA144+Sheet1!BB144+BT144</f>
        <v>0</v>
      </c>
      <c r="AJ144" s="712">
        <f>IF((Sheet1!AA144+AG144+AX144+AZ144+BQ144+BS144+CL144+CN144)&lt;=N144,AG144+AX144+AZ144+BQ144+BS144+CL144+CN144,N144-Sheet1!AA144)</f>
        <v>15.286401399212943</v>
      </c>
      <c r="AK144" s="712">
        <f>IF(DR144&lt;K144,0,MAX(Sheet1!AA144+AG144-15/36*K144-N144,Sheet1!ED144,0))</f>
        <v>0</v>
      </c>
      <c r="AL144" s="712">
        <f>IF(OR(B144&gt;=FT144,B144&lt;FS144),0,15/36*K144-MAX(0,64.6-(137.6-(Sheet1!AA144+Sheet1!AB144))))</f>
        <v>26.933333333333334</v>
      </c>
      <c r="AM144" s="712">
        <f>Sheet1!CX144-110</f>
        <v>1545.8333333333333</v>
      </c>
      <c r="AN144" s="712">
        <f>Sheet1!CW144-265</f>
        <v>2183.3333333333335</v>
      </c>
      <c r="AO144" s="712">
        <f t="shared" si="622"/>
        <v>27.693598600782984</v>
      </c>
      <c r="AP144" s="712">
        <f t="shared" si="623"/>
        <v>0</v>
      </c>
      <c r="AQ144" s="712">
        <f t="shared" si="399"/>
        <v>0</v>
      </c>
      <c r="AR144" s="712">
        <f t="shared" si="400"/>
        <v>1912.2666666666676</v>
      </c>
      <c r="AS144" s="712"/>
      <c r="AT144" s="712">
        <f ca="1">IF(B144&gt;Summary!$A$1,#N/A,AR144*MGtoAF)</f>
        <v>5866.8341333333365</v>
      </c>
      <c r="AU144" s="712">
        <f>Sheet1!BG144+Sheet1!BH144+Sheet1!BI144-BC144</f>
        <v>0</v>
      </c>
      <c r="AV144" s="712">
        <f t="shared" si="401"/>
        <v>0</v>
      </c>
      <c r="AW144" s="712">
        <f>IF(Sheet1!EL144="FM",BC144,0)</f>
        <v>0</v>
      </c>
      <c r="AX144" s="712">
        <f t="shared" si="402"/>
        <v>0</v>
      </c>
      <c r="AY144" s="712">
        <f>IF(Sheet1!EL144="OTHER",BC144,0)</f>
        <v>0</v>
      </c>
      <c r="AZ144" s="712">
        <f t="shared" si="403"/>
        <v>0</v>
      </c>
      <c r="BA144" s="712">
        <f t="shared" si="404"/>
        <v>0</v>
      </c>
      <c r="BB144" s="712">
        <f t="shared" si="405"/>
        <v>0</v>
      </c>
      <c r="BC144" s="712">
        <f>IF(OR(Sheet1!EL144="FM", Sheet1!EL144="OTHER"),SUM(Sheet1!BG144:'Sheet1'!BI144),0)</f>
        <v>0</v>
      </c>
      <c r="BD144" s="697">
        <f>IF(AND($B144&gt;=$FL144,$B144&lt;=$FM144),MAX(AV144,Sheet1!EE144,0),MAX(AV144-(7/36)*$K144,0))</f>
        <v>0</v>
      </c>
      <c r="BE144" s="712">
        <f t="shared" si="406"/>
        <v>12.568888888888889</v>
      </c>
      <c r="BF144" s="697">
        <f t="shared" si="624"/>
        <v>0</v>
      </c>
      <c r="BG144" s="697">
        <f>IF(AND($O144&gt;0,Sheet1!EI144=1),(1-($O144-Sheet1!$L144)/$O144)*BB144,0)</f>
        <v>0</v>
      </c>
      <c r="BH144" s="697">
        <f>IF(AND(Sheet1!$L144=0,Sheet1!$L143=0, Calculation!BA144&lt;Sheet1!$EE144-0.1,Sheet1!$EE144=Sheet1!$EE143,Sheet1!$EE144=Sheet1!$EE145),Sheet1!$EE144,BB144-BG144)</f>
        <v>0</v>
      </c>
      <c r="BI144" s="712"/>
      <c r="BJ144" s="712"/>
      <c r="BK144" s="712">
        <f t="shared" si="407"/>
        <v>892.39111111110992</v>
      </c>
      <c r="BL144" s="712"/>
      <c r="BM144" s="712">
        <f ca="1">IF(B144&gt;Summary!$A$1,#N/A,BK144*MGtoAF)</f>
        <v>2737.8559288888855</v>
      </c>
      <c r="BN144" s="712">
        <f>Sheet1!BC144+Sheet1!BD144+Sheet1!BE144+Sheet1!BF144-BW144-BX144</f>
        <v>1.65</v>
      </c>
      <c r="BO144" s="712">
        <f t="shared" si="408"/>
        <v>1.6593790992566682</v>
      </c>
      <c r="BP144" s="712">
        <f>IF(Sheet1!EM144="FM",BX144,0)</f>
        <v>0</v>
      </c>
      <c r="BQ144" s="712">
        <f t="shared" si="409"/>
        <v>0</v>
      </c>
      <c r="BR144" s="712">
        <f>IF(Sheet1!EM144="OTHER",BX144,0)</f>
        <v>0</v>
      </c>
      <c r="BS144" s="712">
        <f t="shared" si="410"/>
        <v>0</v>
      </c>
      <c r="BT144" s="712">
        <f t="shared" si="411"/>
        <v>0</v>
      </c>
      <c r="BU144" s="712">
        <f t="shared" si="412"/>
        <v>1.65</v>
      </c>
      <c r="BV144" s="712">
        <f t="shared" si="413"/>
        <v>1.6593790992566682</v>
      </c>
      <c r="BW144" s="712">
        <f>IF(Sheet1!EM144="CWA",SUM(Sheet1!BC144:'Sheet1'!BF144),0)</f>
        <v>0</v>
      </c>
      <c r="BX144" s="712">
        <f>IF(OR(Sheet1!EM144="FM", Sheet1!EM144="OTHER"),SUM(Sheet1!BC144:'Sheet1'!BF144),0)</f>
        <v>0</v>
      </c>
      <c r="BY144" s="697">
        <f>IF(AND($B144&gt;=$FL144,$B144&lt;=$FM144),MAX(BV144,Sheet1!EF144,0),MAX(BV144-(7/36)*$K144,0))</f>
        <v>0</v>
      </c>
      <c r="BZ144" s="712">
        <f t="shared" si="414"/>
        <v>10.909509789632221</v>
      </c>
      <c r="CA144" s="697">
        <f t="shared" si="625"/>
        <v>1.6593790992566682</v>
      </c>
      <c r="CB144" s="697">
        <f>IF(AND($O144&gt;0,Sheet1!EJ144=1),(1-($O144-Sheet1!$L144)/$O144)*BV144,0)</f>
        <v>0</v>
      </c>
      <c r="CC144" s="697">
        <f>IF(AND(Sheet1!$L144=0,Sheet1!$L143=0, Calculation!BU144&lt;Sheet1!EF144-0.1,Sheet1!EF144=Sheet1!EF143,Sheet1!EF144=Sheet1!EF145),Sheet1!EF144,BV144-CB144)</f>
        <v>1.6593790992566682</v>
      </c>
      <c r="CD144" s="697"/>
      <c r="CE144" s="712"/>
      <c r="CF144" s="712">
        <f t="shared" si="415"/>
        <v>765.65955453521769</v>
      </c>
      <c r="CG144" s="712"/>
      <c r="CH144" s="712">
        <f ca="1">IF(B144&gt;Summary!$A$1,#N/A,CF144*MGtoAF)</f>
        <v>2349.0435133140481</v>
      </c>
      <c r="CI144" s="712">
        <f>Sheet1!BK144+Sheet1!BL144+Sheet1!BM144-Sheet1!EN144-CQ144</f>
        <v>6.02</v>
      </c>
      <c r="CJ144" s="712">
        <f t="shared" si="416"/>
        <v>6.0542195015303895</v>
      </c>
      <c r="CK144" s="712">
        <f>IF(Sheet1!EN144="FM",CQ144,0)</f>
        <v>0</v>
      </c>
      <c r="CL144" s="712">
        <f t="shared" si="417"/>
        <v>0</v>
      </c>
      <c r="CM144" s="712">
        <f>IF(Sheet1!EN144="OTHER",CQ144,0)</f>
        <v>0</v>
      </c>
      <c r="CN144" s="712">
        <f t="shared" si="418"/>
        <v>0</v>
      </c>
      <c r="CO144" s="712">
        <f t="shared" si="419"/>
        <v>6.02</v>
      </c>
      <c r="CP144" s="712">
        <f t="shared" si="420"/>
        <v>6.0542195015303895</v>
      </c>
      <c r="CQ144" s="712">
        <f>IF(OR(Sheet1!EN144="FM", Sheet1!EN144="OTHER"),SUM(Sheet1!BK144:'Sheet1'!BM144),0)</f>
        <v>0</v>
      </c>
      <c r="CR144" s="697">
        <f>IF(AND($B144&gt;=$FL144,$B144&lt;=$FM144),MAX($CJ144,Sheet1!EG144,0),MAX($CJ144-(7/36)*$K144,0))</f>
        <v>0</v>
      </c>
      <c r="CS144" s="712">
        <f t="shared" si="421"/>
        <v>6.5146693873584995</v>
      </c>
      <c r="CT144" s="697">
        <f t="shared" si="626"/>
        <v>6.0542195015303895</v>
      </c>
      <c r="CU144" s="697">
        <f>IF(AND($O144&gt;0,Sheet1!EK144=1),(1-($O144-Sheet1!$L144)/$O144)*CP144,0)</f>
        <v>0</v>
      </c>
      <c r="CV144" s="697">
        <f>IF(AND(Sheet1!$L144=0,Sheet1!$L143=0, Calculation!CO144&lt;Sheet1!$EG144-0.1,Sheet1!$EG144=Sheet1!$EG143,Sheet1!$EG144=Sheet1!$EG145),Sheet1!$EG144,CP144-CU144)</f>
        <v>6.0542195015303895</v>
      </c>
      <c r="CW144" s="697">
        <f t="shared" si="613"/>
        <v>0</v>
      </c>
      <c r="CX144" s="712">
        <f t="shared" si="630"/>
        <v>7.67</v>
      </c>
      <c r="CY144" s="712">
        <f t="shared" si="422"/>
        <v>578.26069057245218</v>
      </c>
      <c r="CZ144" s="712">
        <f t="shared" si="423"/>
        <v>7.7135986007870576</v>
      </c>
      <c r="DA144" s="712">
        <f ca="1">IF(B144&gt;Summary!$A$1,#N/A,CY144*MGtoAF)</f>
        <v>1774.1037986762833</v>
      </c>
      <c r="DB144" s="712">
        <f t="shared" si="424"/>
        <v>7.67</v>
      </c>
      <c r="DC144" s="712">
        <f t="shared" si="425"/>
        <v>22.869999999999997</v>
      </c>
      <c r="DD144" s="712">
        <f>Sheet1!AB144-DC144</f>
        <v>0.13000000000000256</v>
      </c>
      <c r="DE144" s="712">
        <f t="shared" si="426"/>
        <v>5.6843025797989758E-3</v>
      </c>
      <c r="DF144" s="712">
        <f>(VLOOKUP(Sheet1!CY144,hhdcap_wcm,4)-(((VLOOKUP(Sheet1!CY144,hhdcap_wcm,3)-Sheet1!CY144)/(VLOOKUP(Sheet1!CY144,hhdcap_wcm,3)-VLOOKUP(Sheet1!CY144,hhdcap_wcm,1)))*(VLOOKUP(Sheet1!CY144,hhdcap_wcm,4)-VLOOKUP(Sheet1!CY144,hhdcap_wcm,2))))</f>
        <v>34124.920000084217</v>
      </c>
      <c r="DG144" s="712">
        <f t="shared" si="427"/>
        <v>361.77000000168482</v>
      </c>
      <c r="DH144" s="712">
        <f t="shared" si="428"/>
        <v>182.43570348042601</v>
      </c>
      <c r="DI144" s="712">
        <f>Sheet1!DW144*AFtoMG</f>
        <v>0</v>
      </c>
      <c r="DJ144" s="712">
        <f>Sheet1!DX144*AFtoMG</f>
        <v>0</v>
      </c>
      <c r="DK144" s="712">
        <f>Sheet1!DY144*AFtoMG</f>
        <v>0</v>
      </c>
      <c r="DL144" s="712">
        <f>Sheet1!DZ144*AFtoMG</f>
        <v>0</v>
      </c>
      <c r="DM144" s="712">
        <f t="shared" si="429"/>
        <v>0</v>
      </c>
      <c r="DN144" s="712">
        <f t="shared" si="430"/>
        <v>0</v>
      </c>
      <c r="DO144" s="712">
        <f t="shared" si="431"/>
        <v>4148.5780228854474</v>
      </c>
      <c r="DP144" s="712">
        <f t="shared" si="432"/>
        <v>12727.837374212553</v>
      </c>
      <c r="DQ144" s="712"/>
      <c r="DR144" s="697">
        <f>IF(OR(B144&lt;FL144,B144&gt;FM144),(MIN(AV144+BO144+CJ144+MAX(Sheet1!AA144+AG144-73,0),K144)),0)</f>
        <v>7.7135986007870576</v>
      </c>
      <c r="DS144" s="712"/>
      <c r="DT144" s="712">
        <f t="shared" si="433"/>
        <v>7.7135986007870576</v>
      </c>
      <c r="DU144" s="712"/>
      <c r="DV144" s="712">
        <f>Sheet1!ED144+Sheet1!EE144+Sheet1!EF144+Sheet1!EG144</f>
        <v>8.5</v>
      </c>
      <c r="DW144" s="712"/>
      <c r="DX144" s="697">
        <f t="shared" si="627"/>
        <v>0</v>
      </c>
      <c r="DY144" s="712">
        <f>IF(Sheet1!FN144=1,SUM('Calculations II'!AT144:BA144)+'Calculations II'!BC144+Sheet1!BU144+'Calculations II'!BE144+AF144,SUM('Calculations II'!AT144:BA144)+'Calculations II'!BC144+Sheet1!BU144+'Calculations II'!BE144+AF144)</f>
        <v>46.054608000000002</v>
      </c>
      <c r="DZ144" s="712">
        <f>Sheet1!AA144+Sheet1!AB144+'Calculations II'!BC144</f>
        <v>53.020000000004075</v>
      </c>
      <c r="EA144" s="712"/>
      <c r="EB144" s="712"/>
      <c r="EC144" s="712">
        <f t="shared" si="434"/>
        <v>40673</v>
      </c>
      <c r="ED144" s="712">
        <f t="shared" si="435"/>
        <v>56.926401399212942</v>
      </c>
      <c r="EE144" s="712">
        <f t="shared" si="436"/>
        <v>88.065142964582421</v>
      </c>
      <c r="EF144" s="712">
        <f>-(VLOOKUP(Sheet1!BQ144,Lookup!$B$4:$J$236,2)-VLOOKUP(Sheet1!BQ143,Lookup!$B$4:$J$236,2))/1000000</f>
        <v>1.0616000000000001</v>
      </c>
      <c r="EG144" s="712">
        <f>-(VLOOKUP(Sheet1!BR144,Lookup!$B$4:$J$236,3)-VLOOKUP(Sheet1!BR143,Lookup!$B$4:$J$236,3))/1000000</f>
        <v>0.79310000000000003</v>
      </c>
      <c r="EH144" s="712">
        <f>-(VLOOKUP(Sheet1!BS144,Lookup!$B$4:$J$236,4)-VLOOKUP(Sheet1!BS143,Lookup!$B$4:$J$236,4))/1000000</f>
        <v>0</v>
      </c>
      <c r="EI144" s="697">
        <f t="shared" si="631"/>
        <v>1.8547000000000002</v>
      </c>
      <c r="EJ144" s="712"/>
      <c r="EK144" s="712"/>
      <c r="EL144" s="712"/>
      <c r="EM144" s="712"/>
      <c r="EN144" s="712"/>
      <c r="EO144" s="712"/>
      <c r="EP144" s="712"/>
      <c r="EQ144" s="712"/>
      <c r="ER144" s="697">
        <v>0</v>
      </c>
      <c r="ES144" s="712"/>
      <c r="ET144" s="794" t="e">
        <f t="shared" si="437"/>
        <v>#N/A</v>
      </c>
      <c r="EU144" s="794" t="e">
        <f t="shared" si="614"/>
        <v>#VALUE!</v>
      </c>
      <c r="EV144" s="795" t="e">
        <f t="shared" si="615"/>
        <v>#VALUE!</v>
      </c>
      <c r="EW144" s="796" t="s">
        <v>757</v>
      </c>
      <c r="EX144" s="796" t="s">
        <v>757</v>
      </c>
      <c r="EY144" s="794">
        <v>0</v>
      </c>
      <c r="EZ144" s="794" t="e">
        <v>#N/A</v>
      </c>
      <c r="FA144" s="712"/>
      <c r="FB144" s="712"/>
      <c r="FC144" s="712"/>
      <c r="FD144" s="712"/>
      <c r="FE144" s="712">
        <f>O144+Sheet1!CO144</f>
        <v>53.020000000004075</v>
      </c>
      <c r="FF144" s="712">
        <f>IF(Sheet1!AA144+AG144&lt;=Calculation!N144,AG144,Calculation!N144-Sheet1!AA144)</f>
        <v>15.286401399212943</v>
      </c>
      <c r="FG144" s="712">
        <f>(Sheet1!BP144+Sheet1!BO144)/694.4</f>
        <v>2.002016129032258</v>
      </c>
      <c r="FH144" s="712"/>
      <c r="FI144" s="712"/>
      <c r="FJ144" s="712"/>
      <c r="FK144" s="712"/>
      <c r="FL144" s="714">
        <f t="shared" si="632"/>
        <v>40753</v>
      </c>
      <c r="FM144" s="714">
        <f t="shared" si="633"/>
        <v>40851</v>
      </c>
      <c r="FN144" s="712"/>
      <c r="FO144" s="712"/>
      <c r="FP144" s="712"/>
      <c r="FQ144" s="712"/>
      <c r="FR144" s="712"/>
      <c r="FS144" s="725">
        <f t="shared" si="634"/>
        <v>40603</v>
      </c>
      <c r="FT144" s="714">
        <f t="shared" si="635"/>
        <v>40709</v>
      </c>
      <c r="FU144" s="712">
        <f t="shared" si="636"/>
        <v>6518.9048239895692</v>
      </c>
      <c r="FV144" s="714">
        <f t="shared" si="637"/>
        <v>40722</v>
      </c>
      <c r="FW144" s="712">
        <f t="shared" si="638"/>
        <v>3259.4524119947846</v>
      </c>
      <c r="FX144" s="725">
        <f t="shared" si="639"/>
        <v>40851</v>
      </c>
      <c r="FZ144" s="697">
        <f t="shared" si="616"/>
        <v>0</v>
      </c>
      <c r="GA144" s="712" t="str">
        <f t="shared" si="438"/>
        <v/>
      </c>
      <c r="GB144" s="712">
        <f t="shared" si="439"/>
        <v>0</v>
      </c>
      <c r="GC144" s="712" t="str">
        <f t="shared" si="440"/>
        <v/>
      </c>
      <c r="GD144" s="712">
        <f>IF(GA144="P",Lookup!$M$12,IF(GA144="PP",Lookup!$M$13,IF(GA144="PPP",Lookup!$M$14,IF(GA144="T",Lookup!$M$15,IF(GA144="TP",Lookup!$M$16,IF(GA144="TPP",Lookup!$M$17,IF(GA144="TPPP",Lookup!$M$18,0)))))))*FZ144</f>
        <v>0</v>
      </c>
      <c r="GE144" s="712">
        <f t="shared" si="441"/>
        <v>0</v>
      </c>
      <c r="GF144" s="712">
        <f t="shared" si="442"/>
        <v>5866.8341333333365</v>
      </c>
      <c r="GG144" s="712">
        <f t="shared" si="443"/>
        <v>1912.2666666666676</v>
      </c>
      <c r="GH144" s="712"/>
      <c r="GI144" s="712">
        <f t="shared" si="444"/>
        <v>0</v>
      </c>
      <c r="GJ144" s="712" t="str">
        <f t="shared" si="445"/>
        <v/>
      </c>
      <c r="GK144" s="712">
        <f>IF(GA144="P",Lookup!$N$12,IF(GA144="PP",Lookup!$N$13,IF(GA144="PPP",Lookup!$N$14,IF(GA144="T",Lookup!$N$15,IF(GA144="TP",Lookup!$N$16,IF(GA144="TPP",Lookup!$N$17,IF(GA144="TPPP",Lookup!$N$18,0)))))))*FZ144</f>
        <v>0</v>
      </c>
      <c r="GL144" s="712">
        <f t="shared" si="446"/>
        <v>0</v>
      </c>
      <c r="GM144" s="712">
        <f t="shared" si="447"/>
        <v>2737.8559288888855</v>
      </c>
      <c r="GN144" s="712">
        <f t="shared" si="448"/>
        <v>892.39111111110992</v>
      </c>
      <c r="GO144" s="712"/>
      <c r="GP144" s="712">
        <f t="shared" si="449"/>
        <v>0</v>
      </c>
      <c r="GQ144" s="712" t="str">
        <f t="shared" si="450"/>
        <v/>
      </c>
      <c r="GR144" s="712">
        <f>IF(GA144="P",Lookup!$N$12,IF(GA144="PP",Lookup!$N$13,IF(GA144="PPP",Lookup!$N$14,IF(GA144="T",Lookup!$N$15,IF(GA144="TP",Lookup!$N$16,IF(GA144="TPP",Lookup!$N$17,IF(GA144="TPPP",Lookup!$N$18,0)))))))*FZ144</f>
        <v>0</v>
      </c>
      <c r="GS144" s="697">
        <f t="shared" si="628"/>
        <v>0</v>
      </c>
      <c r="GT144" s="712">
        <f t="shared" si="451"/>
        <v>2349.0435133140481</v>
      </c>
      <c r="GU144" s="712">
        <f t="shared" si="452"/>
        <v>765.65955453521769</v>
      </c>
      <c r="GV144" s="712"/>
      <c r="GW144" s="712">
        <f t="shared" si="453"/>
        <v>0</v>
      </c>
      <c r="GX144" s="712" t="str">
        <f t="shared" si="454"/>
        <v/>
      </c>
      <c r="GY144" s="712">
        <f>IF(GA144="P",Lookup!$N$12,IF(GA144="PP",Lookup!$N$13,IF(GA144="PPP",Lookup!$N$14,IF(GA144="T",Lookup!$N$15,IF(GA144="TP",Lookup!$N$16,IF(GA144="TPP",Lookup!$N$17,IF(GA144="TPPP",Lookup!$N$18,0)))))))*FZ144</f>
        <v>0</v>
      </c>
      <c r="GZ144" s="697">
        <f t="shared" si="629"/>
        <v>0</v>
      </c>
      <c r="HA144" s="712">
        <f t="shared" si="455"/>
        <v>1774.1037986762833</v>
      </c>
      <c r="HB144" s="712">
        <f t="shared" si="456"/>
        <v>578.26069057245218</v>
      </c>
      <c r="HC144" s="712"/>
    </row>
    <row r="145" spans="1:211">
      <c r="A145" s="773" t="s">
        <v>6</v>
      </c>
      <c r="B145" s="708">
        <v>40674</v>
      </c>
      <c r="C145" s="719">
        <v>0.5</v>
      </c>
      <c r="D145" s="675">
        <f t="shared" si="617"/>
        <v>300</v>
      </c>
      <c r="E145" s="675">
        <f t="shared" si="618"/>
        <v>250</v>
      </c>
      <c r="F145" s="710">
        <v>250</v>
      </c>
      <c r="G145" s="712">
        <f>DH145+Sheet1!CV145</f>
        <v>1925.4229702473149</v>
      </c>
      <c r="H145" s="712">
        <f t="shared" si="389"/>
        <v>977.63020796786429</v>
      </c>
      <c r="I145" s="711">
        <f>MAX(Sheet1!Z145-AJ145+(Sheet1!CW145-E145)*CFStoMGD,0)</f>
        <v>1398.7016724137939</v>
      </c>
      <c r="J145" s="720">
        <f>IF(AND(B145&gt;=Calculation!FS145,B145&lt;=Calculation!FT145),IF(Sheet1!CX145&gt;=Calculation!D145,64.64,0),MAX(Sheet1!Z145-AJ145+(Sheet1!CX145-D145)*CFStoMGD,0))</f>
        <v>64.64</v>
      </c>
      <c r="K145" s="697">
        <f t="shared" si="619"/>
        <v>64.64</v>
      </c>
      <c r="L145" s="712">
        <f>Sheet1!AA145+Sheet1!AB145-Sheet1!L145+(Sheet1!CW145-F145)*CFStoMGD</f>
        <v>1440.5940000000003</v>
      </c>
      <c r="M145" s="712">
        <f t="shared" si="390"/>
        <v>1269.4852761272216</v>
      </c>
      <c r="N145" s="712">
        <f>IF(Sheet1!CW145&gt;=F145,MIN(73,MIN(MAX(L145,0),MAX(M145,0))),0)</f>
        <v>73</v>
      </c>
      <c r="O145" s="721">
        <f>Sheet1!AA145+Sheet1!AB145</f>
        <v>50.430000000000291</v>
      </c>
      <c r="P145" s="721">
        <f t="shared" si="391"/>
        <v>78.015210000000451</v>
      </c>
      <c r="Q145" s="712">
        <f>MIN(N145,Sheet1!AA145+AG145)</f>
        <v>41.862327586207783</v>
      </c>
      <c r="R145" s="712">
        <f t="shared" si="392"/>
        <v>8.5676724137925042</v>
      </c>
      <c r="S145" s="721">
        <f>Sheet1!Y145*MGDtoCFS</f>
        <v>46.951450000000001</v>
      </c>
      <c r="T145" s="721">
        <f>Sheet1!Z145*MGDtoCFS</f>
        <v>32.208539999999999</v>
      </c>
      <c r="U145" s="721">
        <f>Sheet1!AA145*MGDtoCFS</f>
        <v>45.760260000002702</v>
      </c>
      <c r="V145" s="721">
        <f>Sheet1!AB145*MGDtoCFS</f>
        <v>32.254949999997748</v>
      </c>
      <c r="W145" s="721">
        <f>Sheet1!L145*MGDtoCFS</f>
        <v>0</v>
      </c>
      <c r="X145" s="697">
        <f t="shared" si="620"/>
        <v>0</v>
      </c>
      <c r="Y145" s="712">
        <f t="shared" si="393"/>
        <v>0</v>
      </c>
      <c r="Z145" s="712">
        <f t="shared" si="394"/>
        <v>56.072327586207493</v>
      </c>
      <c r="AA145" s="712">
        <f t="shared" si="395"/>
        <v>86.743890775862994</v>
      </c>
      <c r="AB145" s="712">
        <f>(VLOOKUP(Sheet1!CY145,hhdcap_wcm,4)-(((VLOOKUP(Sheet1!CY145,hhdcap_wcm,3)-Sheet1!CY145)/(VLOOKUP(Sheet1!CY145,hhdcap_wcm,3)-VLOOKUP(Sheet1!CY145,hhdcap_wcm,1)))*(VLOOKUP(Sheet1!CY145,hhdcap_wcm,4)-VLOOKUP(Sheet1!CY145,hhdcap_wcm,2))))</f>
        <v>34572.760000084643</v>
      </c>
      <c r="AC145" s="712">
        <f t="shared" si="396"/>
        <v>447.84000000042579</v>
      </c>
      <c r="AD145" s="712">
        <f t="shared" si="621"/>
        <v>4204.6503504716547</v>
      </c>
      <c r="AE145" s="712">
        <f t="shared" si="397"/>
        <v>12899.867275247037</v>
      </c>
      <c r="AF145" s="712">
        <f>Sheet1!BA145+Sheet1!BB145+Sheet1!BN145+BT145</f>
        <v>12.3</v>
      </c>
      <c r="AG145" s="712">
        <f t="shared" si="398"/>
        <v>12.282327586206041</v>
      </c>
      <c r="AH145" s="712">
        <f>Sheet1!BA145+BT145</f>
        <v>0</v>
      </c>
      <c r="AI145" s="712">
        <f>Sheet1!BA145+Sheet1!BB145+BT145</f>
        <v>0</v>
      </c>
      <c r="AJ145" s="712">
        <f>IF((Sheet1!AA145+AG145+AX145+AZ145+BQ145+BS145+CL145+CN145)&lt;=N145,AG145+AX145+AZ145+BQ145+BS145+CL145+CN145,N145-Sheet1!AA145)</f>
        <v>12.282327586206041</v>
      </c>
      <c r="AK145" s="712">
        <f>IF(DR145&lt;K145,0,MAX(Sheet1!AA145+AG145-15/36*K145-N145,Sheet1!ED145,0))</f>
        <v>0</v>
      </c>
      <c r="AL145" s="712">
        <f>IF(OR(B145&gt;=FT145,B145&lt;FS145),0,15/36*K145-MAX(0,64.6-(137.6-(Sheet1!AA145+Sheet1!AB145))))</f>
        <v>26.933333333333334</v>
      </c>
      <c r="AM145" s="712">
        <f>Sheet1!CX145-110</f>
        <v>1602.5</v>
      </c>
      <c r="AN145" s="712">
        <f>Sheet1!CW145-265</f>
        <v>2135.625</v>
      </c>
      <c r="AO145" s="712">
        <f t="shared" si="622"/>
        <v>31.137672413792217</v>
      </c>
      <c r="AP145" s="712">
        <f t="shared" si="623"/>
        <v>0</v>
      </c>
      <c r="AQ145" s="712">
        <f t="shared" si="399"/>
        <v>0</v>
      </c>
      <c r="AR145" s="712">
        <f t="shared" si="400"/>
        <v>1939.200000000001</v>
      </c>
      <c r="AS145" s="712"/>
      <c r="AT145" s="712">
        <f ca="1">IF(B145&gt;Summary!$A$1,#N/A,AR145*MGtoAF)</f>
        <v>5949.4656000000032</v>
      </c>
      <c r="AU145" s="712">
        <f>Sheet1!BG145+Sheet1!BH145+Sheet1!BI145-BC145</f>
        <v>0</v>
      </c>
      <c r="AV145" s="712">
        <f t="shared" si="401"/>
        <v>0</v>
      </c>
      <c r="AW145" s="712">
        <f>IF(Sheet1!EL145="FM",BC145,0)</f>
        <v>0</v>
      </c>
      <c r="AX145" s="712">
        <f t="shared" si="402"/>
        <v>0</v>
      </c>
      <c r="AY145" s="712">
        <f>IF(Sheet1!EL145="OTHER",BC145,0)</f>
        <v>0</v>
      </c>
      <c r="AZ145" s="712">
        <f t="shared" si="403"/>
        <v>0</v>
      </c>
      <c r="BA145" s="712">
        <f t="shared" si="404"/>
        <v>0</v>
      </c>
      <c r="BB145" s="712">
        <f t="shared" si="405"/>
        <v>0</v>
      </c>
      <c r="BC145" s="712">
        <f>IF(OR(Sheet1!EL145="FM", Sheet1!EL145="OTHER"),SUM(Sheet1!BG145:'Sheet1'!BI145),0)</f>
        <v>0</v>
      </c>
      <c r="BD145" s="697">
        <f>IF(AND($B145&gt;=$FL145,$B145&lt;=$FM145),MAX(AV145,Sheet1!EE145,0),MAX(AV145-(7/36)*$K145,0))</f>
        <v>0</v>
      </c>
      <c r="BE145" s="712">
        <f t="shared" si="406"/>
        <v>12.568888888888889</v>
      </c>
      <c r="BF145" s="697">
        <f t="shared" si="624"/>
        <v>0</v>
      </c>
      <c r="BG145" s="697">
        <f>IF(AND($O145&gt;0,Sheet1!EI145=1),(1-($O145-Sheet1!$L145)/$O145)*BB145,0)</f>
        <v>0</v>
      </c>
      <c r="BH145" s="697">
        <f>IF(AND(Sheet1!$L145=0,Sheet1!$L144=0, Calculation!BA145&lt;Sheet1!$EE145-0.1,Sheet1!$EE145=Sheet1!$EE144,Sheet1!$EE145=Sheet1!$EE146),Sheet1!$EE145,BB145-BG145)</f>
        <v>0</v>
      </c>
      <c r="BI145" s="712"/>
      <c r="BJ145" s="712"/>
      <c r="BK145" s="712">
        <f t="shared" si="407"/>
        <v>904.95999999999879</v>
      </c>
      <c r="BL145" s="712"/>
      <c r="BM145" s="712">
        <f ca="1">IF(B145&gt;Summary!$A$1,#N/A,BK145*MGtoAF)</f>
        <v>2776.4172799999965</v>
      </c>
      <c r="BN145" s="712">
        <f>Sheet1!BC145+Sheet1!BD145+Sheet1!BE145+Sheet1!BF145-BW145-BX145</f>
        <v>2.5499999999999998</v>
      </c>
      <c r="BO145" s="712">
        <f t="shared" si="408"/>
        <v>2.546336206896374</v>
      </c>
      <c r="BP145" s="712">
        <f>IF(Sheet1!EM145="FM",BX145,0)</f>
        <v>0</v>
      </c>
      <c r="BQ145" s="712">
        <f t="shared" si="409"/>
        <v>0</v>
      </c>
      <c r="BR145" s="712">
        <f>IF(Sheet1!EM145="OTHER",BX145,0)</f>
        <v>0</v>
      </c>
      <c r="BS145" s="712">
        <f t="shared" si="410"/>
        <v>0</v>
      </c>
      <c r="BT145" s="712">
        <f t="shared" si="411"/>
        <v>0</v>
      </c>
      <c r="BU145" s="712">
        <f t="shared" si="412"/>
        <v>2.5499999999999998</v>
      </c>
      <c r="BV145" s="712">
        <f t="shared" si="413"/>
        <v>2.546336206896374</v>
      </c>
      <c r="BW145" s="712">
        <f>IF(Sheet1!EM145="CWA",SUM(Sheet1!BC145:'Sheet1'!BF145),0)</f>
        <v>0</v>
      </c>
      <c r="BX145" s="712">
        <f>IF(OR(Sheet1!EM145="FM", Sheet1!EM145="OTHER"),SUM(Sheet1!BC145:'Sheet1'!BF145),0)</f>
        <v>0</v>
      </c>
      <c r="BY145" s="697">
        <f>IF(AND($B145&gt;=$FL145,$B145&lt;=$FM145),MAX(BV145,Sheet1!EF145,0),MAX(BV145-(7/36)*$K145,0))</f>
        <v>0</v>
      </c>
      <c r="BZ145" s="712">
        <f t="shared" si="414"/>
        <v>10.022552681992515</v>
      </c>
      <c r="CA145" s="697">
        <f t="shared" si="625"/>
        <v>2.546336206896374</v>
      </c>
      <c r="CB145" s="697">
        <f>IF(AND($O145&gt;0,Sheet1!EJ145=1),(1-($O145-Sheet1!$L145)/$O145)*BV145,0)</f>
        <v>0</v>
      </c>
      <c r="CC145" s="697">
        <f>IF(AND(Sheet1!$L145=0,Sheet1!$L144=0, Calculation!BU145&lt;Sheet1!EF145-0.1,Sheet1!EF145=Sheet1!EF144,Sheet1!EF145=Sheet1!EF146),Sheet1!EF145,BV145-CB145)</f>
        <v>2.546336206896374</v>
      </c>
      <c r="CD145" s="697"/>
      <c r="CE145" s="712"/>
      <c r="CF145" s="712">
        <f t="shared" si="415"/>
        <v>775.68210721721016</v>
      </c>
      <c r="CG145" s="712"/>
      <c r="CH145" s="712">
        <f ca="1">IF(B145&gt;Summary!$A$1,#N/A,CF145*MGtoAF)</f>
        <v>2379.7927049424006</v>
      </c>
      <c r="CI145" s="712">
        <f>Sheet1!BK145+Sheet1!BL145+Sheet1!BM145-Sheet1!EN145-CQ145</f>
        <v>6.0299999999999994</v>
      </c>
      <c r="CJ145" s="712">
        <f t="shared" si="416"/>
        <v>6.0213362068961311</v>
      </c>
      <c r="CK145" s="712">
        <f>IF(Sheet1!EN145="FM",CQ145,0)</f>
        <v>0</v>
      </c>
      <c r="CL145" s="712">
        <f t="shared" si="417"/>
        <v>0</v>
      </c>
      <c r="CM145" s="712">
        <f>IF(Sheet1!EN145="OTHER",CQ145,0)</f>
        <v>0</v>
      </c>
      <c r="CN145" s="712">
        <f t="shared" si="418"/>
        <v>0</v>
      </c>
      <c r="CO145" s="712">
        <f t="shared" si="419"/>
        <v>6.0299999999999994</v>
      </c>
      <c r="CP145" s="712">
        <f t="shared" si="420"/>
        <v>6.0213362068961311</v>
      </c>
      <c r="CQ145" s="712">
        <f>IF(OR(Sheet1!EN145="FM", Sheet1!EN145="OTHER"),SUM(Sheet1!BK145:'Sheet1'!BM145),0)</f>
        <v>0</v>
      </c>
      <c r="CR145" s="697">
        <f>IF(AND($B145&gt;=$FL145,$B145&lt;=$FM145),MAX($CJ145,Sheet1!EG145,0),MAX($CJ145-(7/36)*$K145,0))</f>
        <v>0</v>
      </c>
      <c r="CS145" s="712">
        <f t="shared" si="421"/>
        <v>6.5475526819927579</v>
      </c>
      <c r="CT145" s="697">
        <f t="shared" si="626"/>
        <v>6.0213362068961311</v>
      </c>
      <c r="CU145" s="697">
        <f>IF(AND($O145&gt;0,Sheet1!EK145=1),(1-($O145-Sheet1!$L145)/$O145)*CP145,0)</f>
        <v>0</v>
      </c>
      <c r="CV145" s="697">
        <f>IF(AND(Sheet1!$L145=0,Sheet1!$L144=0, Calculation!CO145&lt;Sheet1!$EG145-0.1,Sheet1!$EG145=Sheet1!$EG144,Sheet1!$EG145=Sheet1!$EG146),Sheet1!$EG145,CP145-CU145)</f>
        <v>6.0213362068961311</v>
      </c>
      <c r="CW145" s="697">
        <f t="shared" si="613"/>
        <v>0</v>
      </c>
      <c r="CX145" s="712">
        <f t="shared" si="630"/>
        <v>8.5799999999999983</v>
      </c>
      <c r="CY145" s="712">
        <f t="shared" si="422"/>
        <v>584.80824325444496</v>
      </c>
      <c r="CZ145" s="712">
        <f t="shared" si="423"/>
        <v>8.5676724137925042</v>
      </c>
      <c r="DA145" s="712">
        <f ca="1">IF(B145&gt;Summary!$A$1,#N/A,CY145*MGtoAF)</f>
        <v>1794.1916903046372</v>
      </c>
      <c r="DB145" s="712">
        <f t="shared" si="424"/>
        <v>8.5799999999999983</v>
      </c>
      <c r="DC145" s="712">
        <f t="shared" si="425"/>
        <v>20.88</v>
      </c>
      <c r="DD145" s="712">
        <f>Sheet1!AB145-DC145</f>
        <v>-3.0000000001454197E-2</v>
      </c>
      <c r="DE145" s="712">
        <f t="shared" si="426"/>
        <v>-1.4367816092650477E-3</v>
      </c>
      <c r="DF145" s="712">
        <f>(VLOOKUP(Sheet1!CY145,hhdcap_wcm,4)-(((VLOOKUP(Sheet1!CY145,hhdcap_wcm,3)-Sheet1!CY145)/(VLOOKUP(Sheet1!CY145,hhdcap_wcm,3)-VLOOKUP(Sheet1!CY145,hhdcap_wcm,1)))*(VLOOKUP(Sheet1!CY145,hhdcap_wcm,4)-VLOOKUP(Sheet1!CY145,hhdcap_wcm,2))))</f>
        <v>34572.760000084643</v>
      </c>
      <c r="DG145" s="712">
        <f t="shared" si="427"/>
        <v>447.84000000042579</v>
      </c>
      <c r="DH145" s="712">
        <f t="shared" si="428"/>
        <v>225.83963691398171</v>
      </c>
      <c r="DI145" s="712">
        <f>Sheet1!DW145*AFtoMG</f>
        <v>0</v>
      </c>
      <c r="DJ145" s="712">
        <f>Sheet1!DX145*AFtoMG</f>
        <v>0</v>
      </c>
      <c r="DK145" s="712">
        <f>Sheet1!DY145*AFtoMG</f>
        <v>0</v>
      </c>
      <c r="DL145" s="712">
        <f>Sheet1!DZ145*AFtoMG</f>
        <v>0</v>
      </c>
      <c r="DM145" s="712">
        <f t="shared" si="429"/>
        <v>0</v>
      </c>
      <c r="DN145" s="712">
        <f t="shared" si="430"/>
        <v>0</v>
      </c>
      <c r="DO145" s="712">
        <f t="shared" si="431"/>
        <v>4204.6503504716547</v>
      </c>
      <c r="DP145" s="712">
        <f t="shared" si="432"/>
        <v>12899.867275247037</v>
      </c>
      <c r="DQ145" s="712"/>
      <c r="DR145" s="697">
        <f>IF(OR(B145&lt;FL145,B145&gt;FM145),(MIN(AV145+BO145+CJ145+MAX(Sheet1!AA145+AG145-73,0),K145)),0)</f>
        <v>8.5676724137925042</v>
      </c>
      <c r="DS145" s="712"/>
      <c r="DT145" s="712">
        <f t="shared" si="433"/>
        <v>8.5676724137925042</v>
      </c>
      <c r="DU145" s="712"/>
      <c r="DV145" s="712">
        <f>Sheet1!ED145+Sheet1!EE145+Sheet1!EF145+Sheet1!EG145</f>
        <v>8.5</v>
      </c>
      <c r="DW145" s="712"/>
      <c r="DX145" s="697">
        <f t="shared" si="627"/>
        <v>0</v>
      </c>
      <c r="DY145" s="712">
        <f>IF(Sheet1!FN145=1,SUM('Calculations II'!AT145:BA145)+'Calculations II'!BC145+Sheet1!BU145+'Calculations II'!BE145+AF145,SUM('Calculations II'!AT145:BA145)+'Calculations II'!BC145+Sheet1!BU145+'Calculations II'!BE145+AF145)</f>
        <v>45.105552000000003</v>
      </c>
      <c r="DZ145" s="712">
        <f>Sheet1!AA145+Sheet1!AB145+'Calculations II'!BC145</f>
        <v>50.430000000000291</v>
      </c>
      <c r="EA145" s="712"/>
      <c r="EB145" s="712"/>
      <c r="EC145" s="712">
        <f t="shared" si="434"/>
        <v>40674</v>
      </c>
      <c r="ED145" s="712">
        <f t="shared" si="435"/>
        <v>56.072327586207493</v>
      </c>
      <c r="EE145" s="712">
        <f t="shared" si="436"/>
        <v>86.743890775862994</v>
      </c>
      <c r="EF145" s="712">
        <f>-(VLOOKUP(Sheet1!BQ145,Lookup!$B$4:$J$236,2)-VLOOKUP(Sheet1!BQ144,Lookup!$B$4:$J$236,2))/1000000</f>
        <v>2.1095999999999999</v>
      </c>
      <c r="EG145" s="712">
        <f>-(VLOOKUP(Sheet1!BR145,Lookup!$B$4:$J$236,3)-VLOOKUP(Sheet1!BR144,Lookup!$B$4:$J$236,3))/1000000</f>
        <v>2.1063999999999998</v>
      </c>
      <c r="EH145" s="712">
        <f>-(VLOOKUP(Sheet1!BS145,Lookup!$B$4:$J$236,4)-VLOOKUP(Sheet1!BS144,Lookup!$B$4:$J$236,4))/1000000</f>
        <v>0</v>
      </c>
      <c r="EI145" s="697">
        <f t="shared" si="631"/>
        <v>4.2159999999999993</v>
      </c>
      <c r="EJ145" s="712"/>
      <c r="EK145" s="712"/>
      <c r="EL145" s="712"/>
      <c r="EM145" s="712"/>
      <c r="EN145" s="712"/>
      <c r="EO145" s="712"/>
      <c r="EP145" s="712"/>
      <c r="EQ145" s="712"/>
      <c r="ER145" s="697">
        <v>0</v>
      </c>
      <c r="ES145" s="712"/>
      <c r="ET145" s="794" t="e">
        <f t="shared" si="437"/>
        <v>#N/A</v>
      </c>
      <c r="EU145" s="794" t="e">
        <f t="shared" si="614"/>
        <v>#VALUE!</v>
      </c>
      <c r="EV145" s="795" t="e">
        <f t="shared" si="615"/>
        <v>#VALUE!</v>
      </c>
      <c r="EW145" s="796" t="s">
        <v>757</v>
      </c>
      <c r="EX145" s="796" t="s">
        <v>757</v>
      </c>
      <c r="EY145" s="794">
        <v>0</v>
      </c>
      <c r="EZ145" s="794" t="e">
        <v>#N/A</v>
      </c>
      <c r="FA145" s="712"/>
      <c r="FB145" s="712"/>
      <c r="FC145" s="712"/>
      <c r="FD145" s="712"/>
      <c r="FE145" s="712">
        <f>O145+Sheet1!CO145</f>
        <v>50.430000000000291</v>
      </c>
      <c r="FF145" s="712">
        <f>IF(Sheet1!AA145+AG145&lt;=Calculation!N145,AG145,Calculation!N145-Sheet1!AA145)</f>
        <v>12.282327586206041</v>
      </c>
      <c r="FG145" s="712">
        <f>(Sheet1!BP145+Sheet1!BO145)/694.4</f>
        <v>2.1673387096774195</v>
      </c>
      <c r="FH145" s="712"/>
      <c r="FI145" s="712"/>
      <c r="FJ145" s="712"/>
      <c r="FK145" s="712"/>
      <c r="FL145" s="714">
        <f t="shared" si="632"/>
        <v>40753</v>
      </c>
      <c r="FM145" s="714">
        <f t="shared" si="633"/>
        <v>40851</v>
      </c>
      <c r="FN145" s="712"/>
      <c r="FO145" s="712"/>
      <c r="FP145" s="712"/>
      <c r="FQ145" s="712"/>
      <c r="FR145" s="712"/>
      <c r="FS145" s="725">
        <f t="shared" si="634"/>
        <v>40603</v>
      </c>
      <c r="FT145" s="714">
        <f t="shared" si="635"/>
        <v>40709</v>
      </c>
      <c r="FU145" s="712">
        <f t="shared" si="636"/>
        <v>6518.9048239895692</v>
      </c>
      <c r="FV145" s="714">
        <f t="shared" si="637"/>
        <v>40722</v>
      </c>
      <c r="FW145" s="712">
        <f t="shared" si="638"/>
        <v>3259.4524119947846</v>
      </c>
      <c r="FX145" s="725">
        <f t="shared" si="639"/>
        <v>40851</v>
      </c>
      <c r="FZ145" s="697">
        <f t="shared" si="616"/>
        <v>0</v>
      </c>
      <c r="GA145" s="712" t="str">
        <f t="shared" si="438"/>
        <v/>
      </c>
      <c r="GB145" s="712">
        <f t="shared" si="439"/>
        <v>0</v>
      </c>
      <c r="GC145" s="712" t="str">
        <f t="shared" si="440"/>
        <v/>
      </c>
      <c r="GD145" s="712">
        <f>IF(GA145="P",Lookup!$M$12,IF(GA145="PP",Lookup!$M$13,IF(GA145="PPP",Lookup!$M$14,IF(GA145="T",Lookup!$M$15,IF(GA145="TP",Lookup!$M$16,IF(GA145="TPP",Lookup!$M$17,IF(GA145="TPPP",Lookup!$M$18,0)))))))*FZ145</f>
        <v>0</v>
      </c>
      <c r="GE145" s="712">
        <f t="shared" si="441"/>
        <v>0</v>
      </c>
      <c r="GF145" s="712">
        <f t="shared" si="442"/>
        <v>5949.4656000000032</v>
      </c>
      <c r="GG145" s="712">
        <f t="shared" si="443"/>
        <v>1939.200000000001</v>
      </c>
      <c r="GH145" s="712"/>
      <c r="GI145" s="712">
        <f t="shared" si="444"/>
        <v>0</v>
      </c>
      <c r="GJ145" s="712" t="str">
        <f t="shared" si="445"/>
        <v/>
      </c>
      <c r="GK145" s="712">
        <f>IF(GA145="P",Lookup!$N$12,IF(GA145="PP",Lookup!$N$13,IF(GA145="PPP",Lookup!$N$14,IF(GA145="T",Lookup!$N$15,IF(GA145="TP",Lookup!$N$16,IF(GA145="TPP",Lookup!$N$17,IF(GA145="TPPP",Lookup!$N$18,0)))))))*FZ145</f>
        <v>0</v>
      </c>
      <c r="GL145" s="712">
        <f t="shared" si="446"/>
        <v>0</v>
      </c>
      <c r="GM145" s="712">
        <f t="shared" si="447"/>
        <v>2776.4172799999965</v>
      </c>
      <c r="GN145" s="712">
        <f t="shared" si="448"/>
        <v>904.95999999999879</v>
      </c>
      <c r="GO145" s="712"/>
      <c r="GP145" s="712">
        <f t="shared" si="449"/>
        <v>0</v>
      </c>
      <c r="GQ145" s="712" t="str">
        <f t="shared" si="450"/>
        <v/>
      </c>
      <c r="GR145" s="712">
        <f>IF(GA145="P",Lookup!$N$12,IF(GA145="PP",Lookup!$N$13,IF(GA145="PPP",Lookup!$N$14,IF(GA145="T",Lookup!$N$15,IF(GA145="TP",Lookup!$N$16,IF(GA145="TPP",Lookup!$N$17,IF(GA145="TPPP",Lookup!$N$18,0)))))))*FZ145</f>
        <v>0</v>
      </c>
      <c r="GS145" s="697">
        <f t="shared" si="628"/>
        <v>0</v>
      </c>
      <c r="GT145" s="712">
        <f t="shared" si="451"/>
        <v>2379.7927049424006</v>
      </c>
      <c r="GU145" s="712">
        <f t="shared" si="452"/>
        <v>775.68210721721016</v>
      </c>
      <c r="GV145" s="712"/>
      <c r="GW145" s="712">
        <f t="shared" si="453"/>
        <v>0</v>
      </c>
      <c r="GX145" s="712" t="str">
        <f t="shared" si="454"/>
        <v/>
      </c>
      <c r="GY145" s="712">
        <f>IF(GA145="P",Lookup!$N$12,IF(GA145="PP",Lookup!$N$13,IF(GA145="PPP",Lookup!$N$14,IF(GA145="T",Lookup!$N$15,IF(GA145="TP",Lookup!$N$16,IF(GA145="TPP",Lookup!$N$17,IF(GA145="TPPP",Lookup!$N$18,0)))))))*FZ145</f>
        <v>0</v>
      </c>
      <c r="GZ145" s="697">
        <f t="shared" si="629"/>
        <v>0</v>
      </c>
      <c r="HA145" s="712">
        <f t="shared" si="455"/>
        <v>1794.1916903046372</v>
      </c>
      <c r="HB145" s="712">
        <f t="shared" si="456"/>
        <v>584.80824325444496</v>
      </c>
      <c r="HC145" s="712"/>
    </row>
    <row r="146" spans="1:211">
      <c r="A146" s="773" t="s">
        <v>7</v>
      </c>
      <c r="B146" s="708">
        <v>40675</v>
      </c>
      <c r="C146" s="719">
        <v>0.5</v>
      </c>
      <c r="D146" s="675">
        <f t="shared" si="617"/>
        <v>300</v>
      </c>
      <c r="E146" s="675">
        <f t="shared" si="618"/>
        <v>250</v>
      </c>
      <c r="F146" s="675">
        <v>250</v>
      </c>
      <c r="G146" s="712">
        <f>DH146+Sheet1!CV146</f>
        <v>1931.5046646503324</v>
      </c>
      <c r="H146" s="712">
        <f t="shared" si="389"/>
        <v>981.56141522997484</v>
      </c>
      <c r="I146" s="711">
        <f>MAX(Sheet1!Z146-AJ146+(Sheet1!CW146-E146)*CFStoMGD,0)</f>
        <v>1505.6913828461907</v>
      </c>
      <c r="J146" s="720">
        <f>IF(AND(B146&gt;=Calculation!FS146,B146&lt;=Calculation!FT146),IF(Sheet1!CX146&gt;=Calculation!D146,64.64,0),MAX(Sheet1!Z146-AJ146+(Sheet1!CX146-D146)*CFStoMGD,0))</f>
        <v>64.64</v>
      </c>
      <c r="K146" s="697">
        <f t="shared" si="619"/>
        <v>64.64</v>
      </c>
      <c r="L146" s="712">
        <f>Sheet1!AA146+Sheet1!AB146-Sheet1!L146+(Sheet1!CW146-F146)*CFStoMGD</f>
        <v>1549.6279999999999</v>
      </c>
      <c r="M146" s="712">
        <f t="shared" si="390"/>
        <v>1273.4951075345743</v>
      </c>
      <c r="N146" s="712">
        <f>IF(Sheet1!CW146&gt;=F146,MIN(73,MIN(MAX(L146,0),MAX(M146,0))),0)</f>
        <v>73</v>
      </c>
      <c r="O146" s="721">
        <f>Sheet1!AA146+Sheet1!AB146</f>
        <v>52</v>
      </c>
      <c r="P146" s="721">
        <f t="shared" si="391"/>
        <v>80.444000000000003</v>
      </c>
      <c r="Q146" s="712">
        <f>MIN(N146,Sheet1!AA146+AG146)</f>
        <v>43.376617153809292</v>
      </c>
      <c r="R146" s="712">
        <f t="shared" si="392"/>
        <v>8.6233828461907045</v>
      </c>
      <c r="S146" s="721">
        <f>Sheet1!Y146*MGDtoCFS</f>
        <v>46.332649999999994</v>
      </c>
      <c r="T146" s="721">
        <f>Sheet1!Z146*MGDtoCFS</f>
        <v>31.62068</v>
      </c>
      <c r="U146" s="721">
        <f>Sheet1!AA146*MGDtoCFS</f>
        <v>47.957000000000001</v>
      </c>
      <c r="V146" s="721">
        <f>Sheet1!AB146*MGDtoCFS</f>
        <v>32.487000000000002</v>
      </c>
      <c r="W146" s="721">
        <f>Sheet1!L146*MGDtoCFS</f>
        <v>0</v>
      </c>
      <c r="X146" s="697">
        <f t="shared" si="620"/>
        <v>0</v>
      </c>
      <c r="Y146" s="712">
        <f t="shared" si="393"/>
        <v>0</v>
      </c>
      <c r="Z146" s="712">
        <f t="shared" si="394"/>
        <v>56.016617153809293</v>
      </c>
      <c r="AA146" s="712">
        <f t="shared" si="395"/>
        <v>86.65770673694297</v>
      </c>
      <c r="AB146" s="712">
        <f>(VLOOKUP(Sheet1!CY146,hhdcap_wcm,4)-(((VLOOKUP(Sheet1!CY146,hhdcap_wcm,3)-Sheet1!CY146)/(VLOOKUP(Sheet1!CY146,hhdcap_wcm,3)-VLOOKUP(Sheet1!CY146,hhdcap_wcm,1)))*(VLOOKUP(Sheet1!CY146,hhdcap_wcm,4)-VLOOKUP(Sheet1!CY146,hhdcap_wcm,2))))</f>
        <v>35032.660000086253</v>
      </c>
      <c r="AC146" s="712">
        <f t="shared" si="396"/>
        <v>459.90000000160944</v>
      </c>
      <c r="AD146" s="712">
        <f t="shared" si="621"/>
        <v>4260.6669676254642</v>
      </c>
      <c r="AE146" s="712">
        <f t="shared" si="397"/>
        <v>13071.726256674925</v>
      </c>
      <c r="AF146" s="712">
        <f>Sheet1!BA146+Sheet1!BB146+Sheet1!BN146+BT146</f>
        <v>12.3</v>
      </c>
      <c r="AG146" s="712">
        <f t="shared" si="398"/>
        <v>12.376617153809296</v>
      </c>
      <c r="AH146" s="712">
        <f>Sheet1!BA146+BT146</f>
        <v>0</v>
      </c>
      <c r="AI146" s="712">
        <f>Sheet1!BA146+Sheet1!BB146+BT146</f>
        <v>0</v>
      </c>
      <c r="AJ146" s="712">
        <f>IF((Sheet1!AA146+AG146+AX146+AZ146+BQ146+BS146+CL146+CN146)&lt;=N146,AG146+AX146+AZ146+BQ146+BS146+CL146+CN146,N146-Sheet1!AA146)</f>
        <v>12.376617153809296</v>
      </c>
      <c r="AK146" s="712">
        <f>IF(DR146&lt;K146,0,MAX(Sheet1!AA146+AG146-15/36*K146-N146,Sheet1!ED146,0))</f>
        <v>0</v>
      </c>
      <c r="AL146" s="712">
        <f>IF(OR(B146&gt;=FT146,B146&lt;FS146),0,15/36*K146-MAX(0,64.6-(137.6-(Sheet1!AA146+Sheet1!AB146))))</f>
        <v>26.933333333333334</v>
      </c>
      <c r="AM146" s="712">
        <f>Sheet1!CX146-110</f>
        <v>1690</v>
      </c>
      <c r="AN146" s="712">
        <f>Sheet1!CW146-265</f>
        <v>2301.875</v>
      </c>
      <c r="AO146" s="712">
        <f t="shared" si="622"/>
        <v>29.623382846190708</v>
      </c>
      <c r="AP146" s="712">
        <f t="shared" si="623"/>
        <v>0</v>
      </c>
      <c r="AQ146" s="712">
        <f t="shared" si="399"/>
        <v>0</v>
      </c>
      <c r="AR146" s="712">
        <f t="shared" si="400"/>
        <v>1966.1333333333343</v>
      </c>
      <c r="AS146" s="712"/>
      <c r="AT146" s="712">
        <f ca="1">IF(B146&gt;Summary!$A$1,#N/A,AR146*MGtoAF)</f>
        <v>6032.0970666666699</v>
      </c>
      <c r="AU146" s="712">
        <f>Sheet1!BG146+Sheet1!BH146+Sheet1!BI146-BC146</f>
        <v>0</v>
      </c>
      <c r="AV146" s="712">
        <f t="shared" si="401"/>
        <v>0</v>
      </c>
      <c r="AW146" s="712">
        <f>IF(Sheet1!EL146="FM",BC146,0)</f>
        <v>0</v>
      </c>
      <c r="AX146" s="712">
        <f t="shared" si="402"/>
        <v>0</v>
      </c>
      <c r="AY146" s="712">
        <f>IF(Sheet1!EL146="OTHER",BC146,0)</f>
        <v>0</v>
      </c>
      <c r="AZ146" s="712">
        <f t="shared" si="403"/>
        <v>0</v>
      </c>
      <c r="BA146" s="712">
        <f t="shared" si="404"/>
        <v>0</v>
      </c>
      <c r="BB146" s="712">
        <f t="shared" si="405"/>
        <v>0</v>
      </c>
      <c r="BC146" s="712">
        <f>IF(OR(Sheet1!EL146="FM", Sheet1!EL146="OTHER"),SUM(Sheet1!BG146:'Sheet1'!BI146),0)</f>
        <v>0</v>
      </c>
      <c r="BD146" s="697">
        <f>IF(AND($B146&gt;=$FL146,$B146&lt;=$FM146),MAX(AV146,Sheet1!EE146,0),MAX(AV146-(7/36)*$K146,0))</f>
        <v>0</v>
      </c>
      <c r="BE146" s="712">
        <f t="shared" si="406"/>
        <v>12.568888888888889</v>
      </c>
      <c r="BF146" s="697">
        <f t="shared" si="624"/>
        <v>0</v>
      </c>
      <c r="BG146" s="697">
        <f>IF(AND($O146&gt;0,Sheet1!EI146=1),(1-($O146-Sheet1!$L146)/$O146)*BB146,0)</f>
        <v>0</v>
      </c>
      <c r="BH146" s="697">
        <f>IF(AND(Sheet1!$L146=0,Sheet1!$L145=0, Calculation!BA146&lt;Sheet1!$EE146-0.1,Sheet1!$EE146=Sheet1!$EE145,Sheet1!$EE146=Sheet1!$EE147),Sheet1!$EE146,BB146-BG146)</f>
        <v>0</v>
      </c>
      <c r="BI146" s="712"/>
      <c r="BJ146" s="712"/>
      <c r="BK146" s="712">
        <f t="shared" si="407"/>
        <v>917.52888888888765</v>
      </c>
      <c r="BL146" s="712"/>
      <c r="BM146" s="712">
        <f ca="1">IF(B146&gt;Summary!$A$1,#N/A,BK146*MGtoAF)</f>
        <v>2814.9786311111075</v>
      </c>
      <c r="BN146" s="712">
        <f>Sheet1!BC146+Sheet1!BD146+Sheet1!BE146+Sheet1!BF146-BW146-BX146</f>
        <v>2.5499999999999998</v>
      </c>
      <c r="BO146" s="712">
        <f t="shared" si="408"/>
        <v>2.5658840440824147</v>
      </c>
      <c r="BP146" s="712">
        <f>IF(Sheet1!EM146="FM",BX146,0)</f>
        <v>0</v>
      </c>
      <c r="BQ146" s="712">
        <f t="shared" si="409"/>
        <v>0</v>
      </c>
      <c r="BR146" s="712">
        <f>IF(Sheet1!EM146="OTHER",BX146,0)</f>
        <v>0</v>
      </c>
      <c r="BS146" s="712">
        <f t="shared" si="410"/>
        <v>0</v>
      </c>
      <c r="BT146" s="712">
        <f t="shared" si="411"/>
        <v>0</v>
      </c>
      <c r="BU146" s="712">
        <f t="shared" si="412"/>
        <v>2.5499999999999998</v>
      </c>
      <c r="BV146" s="712">
        <f t="shared" si="413"/>
        <v>2.5658840440824147</v>
      </c>
      <c r="BW146" s="712">
        <f>IF(Sheet1!EM146="CWA",SUM(Sheet1!BC146:'Sheet1'!BF146),0)</f>
        <v>0</v>
      </c>
      <c r="BX146" s="712">
        <f>IF(OR(Sheet1!EM146="FM", Sheet1!EM146="OTHER"),SUM(Sheet1!BC146:'Sheet1'!BF146),0)</f>
        <v>0</v>
      </c>
      <c r="BY146" s="697">
        <f>IF(AND($B146&gt;=$FL146,$B146&lt;=$FM146),MAX(BV146,Sheet1!EF146,0),MAX(BV146-(7/36)*$K146,0))</f>
        <v>0</v>
      </c>
      <c r="BZ146" s="712">
        <f t="shared" si="414"/>
        <v>10.003004844806474</v>
      </c>
      <c r="CA146" s="697">
        <f t="shared" si="625"/>
        <v>2.5658840440824147</v>
      </c>
      <c r="CB146" s="697">
        <f>IF(AND($O146&gt;0,Sheet1!EJ146=1),(1-($O146-Sheet1!$L146)/$O146)*BV146,0)</f>
        <v>0</v>
      </c>
      <c r="CC146" s="697">
        <f>IF(AND(Sheet1!$L146=0,Sheet1!$L145=0, Calculation!BU146&lt;Sheet1!EF146-0.1,Sheet1!EF146=Sheet1!EF145,Sheet1!EF146=Sheet1!EF147),Sheet1!EF146,BV146-CB146)</f>
        <v>2.5658840440824147</v>
      </c>
      <c r="CD146" s="697"/>
      <c r="CE146" s="712"/>
      <c r="CF146" s="712">
        <f t="shared" si="415"/>
        <v>785.68511206201663</v>
      </c>
      <c r="CG146" s="712"/>
      <c r="CH146" s="712">
        <f ca="1">IF(B146&gt;Summary!$A$1,#N/A,CF146*MGtoAF)</f>
        <v>2410.4819238062669</v>
      </c>
      <c r="CI146" s="712">
        <f>Sheet1!BK146+Sheet1!BL146+Sheet1!BM146-Sheet1!EN146-CQ146</f>
        <v>6.02</v>
      </c>
      <c r="CJ146" s="712">
        <f t="shared" si="416"/>
        <v>6.0574988021082889</v>
      </c>
      <c r="CK146" s="712">
        <f>IF(Sheet1!EN146="FM",CQ146,0)</f>
        <v>0</v>
      </c>
      <c r="CL146" s="712">
        <f t="shared" si="417"/>
        <v>0</v>
      </c>
      <c r="CM146" s="712">
        <f>IF(Sheet1!EN146="OTHER",CQ146,0)</f>
        <v>0</v>
      </c>
      <c r="CN146" s="712">
        <f t="shared" si="418"/>
        <v>0</v>
      </c>
      <c r="CO146" s="712">
        <f t="shared" si="419"/>
        <v>6.02</v>
      </c>
      <c r="CP146" s="712">
        <f t="shared" si="420"/>
        <v>6.0574988021082889</v>
      </c>
      <c r="CQ146" s="712">
        <f>IF(OR(Sheet1!EN146="FM", Sheet1!EN146="OTHER"),SUM(Sheet1!BK146:'Sheet1'!BM146),0)</f>
        <v>0</v>
      </c>
      <c r="CR146" s="697">
        <f>IF(AND($B146&gt;=$FL146,$B146&lt;=$FM146),MAX($CJ146,Sheet1!EG146,0),MAX($CJ146-(7/36)*$K146,0))</f>
        <v>0</v>
      </c>
      <c r="CS146" s="712">
        <f t="shared" si="421"/>
        <v>6.5113900867806001</v>
      </c>
      <c r="CT146" s="697">
        <f t="shared" si="626"/>
        <v>6.0574988021082889</v>
      </c>
      <c r="CU146" s="697">
        <f>IF(AND($O146&gt;0,Sheet1!EK146=1),(1-($O146-Sheet1!$L146)/$O146)*CP146,0)</f>
        <v>0</v>
      </c>
      <c r="CV146" s="697">
        <f>IF(AND(Sheet1!$L146=0,Sheet1!$L145=0, Calculation!CO146&lt;Sheet1!$EG146-0.1,Sheet1!$EG146=Sheet1!$EG145,Sheet1!$EG146=Sheet1!$EG147),Sheet1!$EG146,CP146-CU146)</f>
        <v>6.0574988021082889</v>
      </c>
      <c r="CW146" s="697">
        <f t="shared" si="613"/>
        <v>0</v>
      </c>
      <c r="CX146" s="712">
        <f t="shared" si="630"/>
        <v>8.57</v>
      </c>
      <c r="CY146" s="712">
        <f t="shared" si="422"/>
        <v>591.31963334122554</v>
      </c>
      <c r="CZ146" s="712">
        <f t="shared" si="423"/>
        <v>8.6233828461907045</v>
      </c>
      <c r="DA146" s="712">
        <f ca="1">IF(B146&gt;Summary!$A$1,#N/A,CY146*MGtoAF)</f>
        <v>1814.1686350908799</v>
      </c>
      <c r="DB146" s="712">
        <f t="shared" si="424"/>
        <v>8.57</v>
      </c>
      <c r="DC146" s="712">
        <f t="shared" si="425"/>
        <v>20.87</v>
      </c>
      <c r="DD146" s="712">
        <f>Sheet1!AB146-DC146</f>
        <v>0.12999999999999901</v>
      </c>
      <c r="DE146" s="712">
        <f t="shared" si="426"/>
        <v>6.2290368950646382E-3</v>
      </c>
      <c r="DF146" s="712">
        <f>(VLOOKUP(Sheet1!CY146,hhdcap_wcm,4)-(((VLOOKUP(Sheet1!CY146,hhdcap_wcm,3)-Sheet1!CY146)/(VLOOKUP(Sheet1!CY146,hhdcap_wcm,3)-VLOOKUP(Sheet1!CY146,hhdcap_wcm,1)))*(VLOOKUP(Sheet1!CY146,hhdcap_wcm,4)-VLOOKUP(Sheet1!CY146,hhdcap_wcm,2))))</f>
        <v>35032.660000086253</v>
      </c>
      <c r="DG146" s="712">
        <f t="shared" si="427"/>
        <v>459.90000000160944</v>
      </c>
      <c r="DH146" s="712">
        <f t="shared" si="428"/>
        <v>231.92133131699919</v>
      </c>
      <c r="DI146" s="712">
        <f>Sheet1!DW146*AFtoMG</f>
        <v>0</v>
      </c>
      <c r="DJ146" s="712">
        <f>Sheet1!DX146*AFtoMG</f>
        <v>0</v>
      </c>
      <c r="DK146" s="712">
        <f>Sheet1!DY146*AFtoMG</f>
        <v>0</v>
      </c>
      <c r="DL146" s="712">
        <f>Sheet1!DZ146*AFtoMG</f>
        <v>0</v>
      </c>
      <c r="DM146" s="712">
        <f t="shared" si="429"/>
        <v>0</v>
      </c>
      <c r="DN146" s="712">
        <f t="shared" si="430"/>
        <v>0</v>
      </c>
      <c r="DO146" s="712">
        <f t="shared" si="431"/>
        <v>4260.6669676254642</v>
      </c>
      <c r="DP146" s="712">
        <f t="shared" si="432"/>
        <v>13071.726256674925</v>
      </c>
      <c r="DQ146" s="712"/>
      <c r="DR146" s="697">
        <f>IF(OR(B146&lt;FL146,B146&gt;FM146),(MIN(AV146+BO146+CJ146+MAX(Sheet1!AA146+AG146-73,0),K146)),0)</f>
        <v>8.6233828461907045</v>
      </c>
      <c r="DS146" s="712"/>
      <c r="DT146" s="712">
        <f t="shared" si="433"/>
        <v>8.6233828461907045</v>
      </c>
      <c r="DU146" s="712"/>
      <c r="DV146" s="712">
        <f>Sheet1!ED146+Sheet1!EE146+Sheet1!EF146+Sheet1!EG146</f>
        <v>8.5</v>
      </c>
      <c r="DW146" s="712"/>
      <c r="DX146" s="697">
        <f t="shared" si="627"/>
        <v>0</v>
      </c>
      <c r="DY146" s="712">
        <f>IF(Sheet1!FN146=1,SUM('Calculations II'!AT146:BA146)+'Calculations II'!BC146+Sheet1!BU146+'Calculations II'!BE146+AF146,SUM('Calculations II'!AT146:BA146)+'Calculations II'!BC146+Sheet1!BU146+'Calculations II'!BE146+AF146)</f>
        <v>43.571984</v>
      </c>
      <c r="DZ146" s="712">
        <f>Sheet1!AA146+Sheet1!AB146+'Calculations II'!BC146</f>
        <v>52</v>
      </c>
      <c r="EA146" s="712"/>
      <c r="EB146" s="712"/>
      <c r="EC146" s="712">
        <f t="shared" si="434"/>
        <v>40675</v>
      </c>
      <c r="ED146" s="712">
        <f t="shared" si="435"/>
        <v>56.016617153809293</v>
      </c>
      <c r="EE146" s="712">
        <f t="shared" si="436"/>
        <v>86.65770673694297</v>
      </c>
      <c r="EF146" s="712">
        <f>-(VLOOKUP(Sheet1!BQ146,Lookup!$B$4:$J$236,2)-VLOOKUP(Sheet1!BQ145,Lookup!$B$4:$J$236,2))/1000000</f>
        <v>1.8228</v>
      </c>
      <c r="EG146" s="712">
        <f>-(VLOOKUP(Sheet1!BR146,Lookup!$B$4:$J$236,3)-VLOOKUP(Sheet1!BR145,Lookup!$B$4:$J$236,3))/1000000</f>
        <v>1.04</v>
      </c>
      <c r="EH146" s="712">
        <f>-(VLOOKUP(Sheet1!BS146,Lookup!$B$4:$J$236,4)-VLOOKUP(Sheet1!BS145,Lookup!$B$4:$J$236,4))/1000000</f>
        <v>0</v>
      </c>
      <c r="EI146" s="697">
        <f t="shared" si="631"/>
        <v>2.8628</v>
      </c>
      <c r="EJ146" s="712"/>
      <c r="EK146" s="712"/>
      <c r="EL146" s="712"/>
      <c r="EM146" s="712"/>
      <c r="EN146" s="712"/>
      <c r="EO146" s="712"/>
      <c r="EP146" s="712"/>
      <c r="EQ146" s="712"/>
      <c r="ER146" s="697">
        <v>0</v>
      </c>
      <c r="ES146" s="712"/>
      <c r="ET146" s="794" t="e">
        <f t="shared" si="437"/>
        <v>#N/A</v>
      </c>
      <c r="EU146" s="794" t="e">
        <f t="shared" si="614"/>
        <v>#VALUE!</v>
      </c>
      <c r="EV146" s="795" t="e">
        <f t="shared" si="615"/>
        <v>#VALUE!</v>
      </c>
      <c r="EW146" s="796" t="s">
        <v>757</v>
      </c>
      <c r="EX146" s="796" t="s">
        <v>757</v>
      </c>
      <c r="EY146" s="794">
        <v>0</v>
      </c>
      <c r="EZ146" s="794" t="e">
        <v>#N/A</v>
      </c>
      <c r="FA146" s="712"/>
      <c r="FB146" s="712"/>
      <c r="FC146" s="712"/>
      <c r="FD146" s="712"/>
      <c r="FE146" s="712">
        <f>O146+Sheet1!CO146</f>
        <v>52</v>
      </c>
      <c r="FF146" s="712">
        <f>IF(Sheet1!AA146+AG146&lt;=Calculation!N146,AG146,Calculation!N146-Sheet1!AA146)</f>
        <v>12.376617153809296</v>
      </c>
      <c r="FG146" s="712">
        <f>(Sheet1!BP146+Sheet1!BO146)/694.4</f>
        <v>1.5164170506912442</v>
      </c>
      <c r="FH146" s="712"/>
      <c r="FI146" s="712"/>
      <c r="FJ146" s="712"/>
      <c r="FK146" s="712"/>
      <c r="FL146" s="714">
        <f t="shared" si="632"/>
        <v>40753</v>
      </c>
      <c r="FM146" s="714">
        <f t="shared" si="633"/>
        <v>40851</v>
      </c>
      <c r="FN146" s="712"/>
      <c r="FO146" s="712"/>
      <c r="FP146" s="712"/>
      <c r="FQ146" s="712"/>
      <c r="FR146" s="712"/>
      <c r="FS146" s="725">
        <f t="shared" si="634"/>
        <v>40603</v>
      </c>
      <c r="FT146" s="714">
        <f t="shared" si="635"/>
        <v>40709</v>
      </c>
      <c r="FU146" s="712">
        <f t="shared" si="636"/>
        <v>6518.9048239895692</v>
      </c>
      <c r="FV146" s="714">
        <f t="shared" si="637"/>
        <v>40722</v>
      </c>
      <c r="FW146" s="712">
        <f t="shared" si="638"/>
        <v>3259.4524119947846</v>
      </c>
      <c r="FX146" s="725">
        <f t="shared" si="639"/>
        <v>40851</v>
      </c>
      <c r="FZ146" s="697">
        <f t="shared" si="616"/>
        <v>0</v>
      </c>
      <c r="GA146" s="712" t="str">
        <f t="shared" si="438"/>
        <v/>
      </c>
      <c r="GB146" s="712">
        <f t="shared" si="439"/>
        <v>0</v>
      </c>
      <c r="GC146" s="712" t="str">
        <f t="shared" si="440"/>
        <v/>
      </c>
      <c r="GD146" s="712">
        <f>IF(GA146="P",Lookup!$M$12,IF(GA146="PP",Lookup!$M$13,IF(GA146="PPP",Lookup!$M$14,IF(GA146="T",Lookup!$M$15,IF(GA146="TP",Lookup!$M$16,IF(GA146="TPP",Lookup!$M$17,IF(GA146="TPPP",Lookup!$M$18,0)))))))*FZ146</f>
        <v>0</v>
      </c>
      <c r="GE146" s="712">
        <f t="shared" si="441"/>
        <v>0</v>
      </c>
      <c r="GF146" s="712">
        <f t="shared" si="442"/>
        <v>6032.0970666666699</v>
      </c>
      <c r="GG146" s="712">
        <f t="shared" si="443"/>
        <v>1966.1333333333343</v>
      </c>
      <c r="GH146" s="712"/>
      <c r="GI146" s="712">
        <f t="shared" si="444"/>
        <v>0</v>
      </c>
      <c r="GJ146" s="712" t="str">
        <f t="shared" si="445"/>
        <v/>
      </c>
      <c r="GK146" s="712">
        <f>IF(GA146="P",Lookup!$N$12,IF(GA146="PP",Lookup!$N$13,IF(GA146="PPP",Lookup!$N$14,IF(GA146="T",Lookup!$N$15,IF(GA146="TP",Lookup!$N$16,IF(GA146="TPP",Lookup!$N$17,IF(GA146="TPPP",Lookup!$N$18,0)))))))*FZ146</f>
        <v>0</v>
      </c>
      <c r="GL146" s="712">
        <f t="shared" si="446"/>
        <v>0</v>
      </c>
      <c r="GM146" s="712">
        <f t="shared" si="447"/>
        <v>2814.9786311111075</v>
      </c>
      <c r="GN146" s="712">
        <f t="shared" si="448"/>
        <v>917.52888888888765</v>
      </c>
      <c r="GO146" s="712"/>
      <c r="GP146" s="712">
        <f t="shared" si="449"/>
        <v>0</v>
      </c>
      <c r="GQ146" s="712" t="str">
        <f t="shared" si="450"/>
        <v/>
      </c>
      <c r="GR146" s="712">
        <f>IF(GA146="P",Lookup!$N$12,IF(GA146="PP",Lookup!$N$13,IF(GA146="PPP",Lookup!$N$14,IF(GA146="T",Lookup!$N$15,IF(GA146="TP",Lookup!$N$16,IF(GA146="TPP",Lookup!$N$17,IF(GA146="TPPP",Lookup!$N$18,0)))))))*FZ146</f>
        <v>0</v>
      </c>
      <c r="GS146" s="697">
        <f t="shared" si="628"/>
        <v>0</v>
      </c>
      <c r="GT146" s="712">
        <f t="shared" si="451"/>
        <v>2410.4819238062669</v>
      </c>
      <c r="GU146" s="712">
        <f t="shared" si="452"/>
        <v>785.68511206201663</v>
      </c>
      <c r="GV146" s="712"/>
      <c r="GW146" s="712">
        <f t="shared" si="453"/>
        <v>0</v>
      </c>
      <c r="GX146" s="712" t="str">
        <f t="shared" si="454"/>
        <v/>
      </c>
      <c r="GY146" s="712">
        <f>IF(GA146="P",Lookup!$N$12,IF(GA146="PP",Lookup!$N$13,IF(GA146="PPP",Lookup!$N$14,IF(GA146="T",Lookup!$N$15,IF(GA146="TP",Lookup!$N$16,IF(GA146="TPP",Lookup!$N$17,IF(GA146="TPPP",Lookup!$N$18,0)))))))*FZ146</f>
        <v>0</v>
      </c>
      <c r="GZ146" s="697">
        <f t="shared" si="629"/>
        <v>0</v>
      </c>
      <c r="HA146" s="712">
        <f t="shared" si="455"/>
        <v>1814.1686350908799</v>
      </c>
      <c r="HB146" s="712">
        <f t="shared" si="456"/>
        <v>591.31963334122554</v>
      </c>
      <c r="HC146" s="712"/>
    </row>
    <row r="147" spans="1:211">
      <c r="A147" s="773" t="s">
        <v>8</v>
      </c>
      <c r="B147" s="708">
        <v>40676</v>
      </c>
      <c r="C147" s="709">
        <v>0.5</v>
      </c>
      <c r="D147" s="675">
        <f t="shared" si="617"/>
        <v>300</v>
      </c>
      <c r="E147" s="675">
        <f t="shared" si="618"/>
        <v>250</v>
      </c>
      <c r="F147" s="710">
        <v>250</v>
      </c>
      <c r="G147" s="712">
        <f>DH147+Sheet1!CV147</f>
        <v>1785.4532274332914</v>
      </c>
      <c r="H147" s="712">
        <f t="shared" si="389"/>
        <v>887.15376621287953</v>
      </c>
      <c r="I147" s="711">
        <f>MAX(Sheet1!Z147-AJ147+(Sheet1!CW147-E147)*CFStoMGD,0)</f>
        <v>1469.701636363638</v>
      </c>
      <c r="J147" s="720">
        <f>IF(AND(B147&gt;=Calculation!FS147,B147&lt;=Calculation!FT147),IF(Sheet1!CX147&gt;=Calculation!D147,64.64,0),MAX(Sheet1!Z147-AJ147+(Sheet1!CX147-D147)*CFStoMGD,0))</f>
        <v>64.64</v>
      </c>
      <c r="K147" s="697">
        <f t="shared" si="619"/>
        <v>64.64</v>
      </c>
      <c r="L147" s="712">
        <f>Sheet1!AA147+Sheet1!AB147-Sheet1!L147+(Sheet1!CW147-F147)*CFStoMGD</f>
        <v>1512.9546666666579</v>
      </c>
      <c r="M147" s="712">
        <f t="shared" si="390"/>
        <v>1177.1993055371372</v>
      </c>
      <c r="N147" s="712">
        <f>IF(Sheet1!CW147&gt;=F147,MIN(73,MIN(MAX(L147,0),MAX(M147,0))),0)</f>
        <v>73</v>
      </c>
      <c r="O147" s="721">
        <f>Sheet1!AA147+Sheet1!AB147</f>
        <v>51.349999999991269</v>
      </c>
      <c r="P147" s="721">
        <f t="shared" si="391"/>
        <v>79.438449999986489</v>
      </c>
      <c r="Q147" s="712">
        <f>MIN(N147,Sheet1!AA147+AG147)</f>
        <v>42.703030303022722</v>
      </c>
      <c r="R147" s="712">
        <f t="shared" si="392"/>
        <v>8.6469696969685508</v>
      </c>
      <c r="S147" s="721">
        <f>Sheet1!Y147*MGDtoCFS</f>
        <v>46.162479999999995</v>
      </c>
      <c r="T147" s="721">
        <f>Sheet1!Z147*MGDtoCFS</f>
        <v>33.105799999999995</v>
      </c>
      <c r="U147" s="721">
        <f>Sheet1!AA147*MGDtoCFS</f>
        <v>45.48179999999099</v>
      </c>
      <c r="V147" s="721">
        <f>Sheet1!AB147*MGDtoCFS</f>
        <v>33.956649999995498</v>
      </c>
      <c r="W147" s="721">
        <f>Sheet1!L147*MGDtoCFS</f>
        <v>0</v>
      </c>
      <c r="X147" s="697">
        <f t="shared" si="620"/>
        <v>0</v>
      </c>
      <c r="Y147" s="712">
        <f t="shared" si="393"/>
        <v>0</v>
      </c>
      <c r="Z147" s="712">
        <f t="shared" si="394"/>
        <v>55.993030303031446</v>
      </c>
      <c r="AA147" s="712">
        <f t="shared" si="395"/>
        <v>86.621217878789651</v>
      </c>
      <c r="AB147" s="712">
        <f>(VLOOKUP(Sheet1!CY147,hhdcap_wcm,4)-(((VLOOKUP(Sheet1!CY147,hhdcap_wcm,3)-Sheet1!CY147)/(VLOOKUP(Sheet1!CY147,hhdcap_wcm,3)-VLOOKUP(Sheet1!CY147,hhdcap_wcm,1)))*(VLOOKUP(Sheet1!CY147,hhdcap_wcm,4)-VLOOKUP(Sheet1!CY147,hhdcap_wcm,2))))</f>
        <v>35202.94000008647</v>
      </c>
      <c r="AC147" s="712">
        <f t="shared" si="396"/>
        <v>170.28000000021711</v>
      </c>
      <c r="AD147" s="712">
        <f t="shared" si="621"/>
        <v>4316.6599979284956</v>
      </c>
      <c r="AE147" s="712">
        <f t="shared" si="397"/>
        <v>13243.512873644624</v>
      </c>
      <c r="AF147" s="712">
        <f>Sheet1!BA147+Sheet1!BB147+Sheet1!BN147+BT147</f>
        <v>13.2</v>
      </c>
      <c r="AG147" s="712">
        <f t="shared" si="398"/>
        <v>13.303030303028541</v>
      </c>
      <c r="AH147" s="712">
        <f>Sheet1!BA147+BT147</f>
        <v>0</v>
      </c>
      <c r="AI147" s="712">
        <f>Sheet1!BA147+Sheet1!BB147+BT147</f>
        <v>0</v>
      </c>
      <c r="AJ147" s="712">
        <f>IF((Sheet1!AA147+AG147+AX147+AZ147+BQ147+BS147+CL147+CN147)&lt;=N147,AG147+AX147+AZ147+BQ147+BS147+CL147+CN147,N147-Sheet1!AA147)</f>
        <v>13.303030303028541</v>
      </c>
      <c r="AK147" s="712">
        <f>IF(DR147&lt;K147,0,MAX(Sheet1!AA147+AG147-15/36*K147-N147,Sheet1!ED147,0))</f>
        <v>0</v>
      </c>
      <c r="AL147" s="712">
        <f>IF(OR(B147&gt;=FT147,B147&lt;FS147),0,15/36*K147-MAX(0,64.6-(137.6-(Sheet1!AA147+Sheet1!AB147))))</f>
        <v>26.933333333333334</v>
      </c>
      <c r="AM147" s="712">
        <f>Sheet1!CX147-110</f>
        <v>1684.7916666666667</v>
      </c>
      <c r="AN147" s="712">
        <f>Sheet1!CW147-265</f>
        <v>2246.1458333333335</v>
      </c>
      <c r="AO147" s="712">
        <f t="shared" si="622"/>
        <v>30.296969696977278</v>
      </c>
      <c r="AP147" s="712">
        <f t="shared" si="623"/>
        <v>0</v>
      </c>
      <c r="AQ147" s="712">
        <f t="shared" si="399"/>
        <v>0</v>
      </c>
      <c r="AR147" s="712">
        <f t="shared" si="400"/>
        <v>1993.0666666666677</v>
      </c>
      <c r="AS147" s="712"/>
      <c r="AT147" s="712">
        <f ca="1">IF(B147&gt;Summary!$A$1,#N/A,AR147*MGtoAF)</f>
        <v>6114.7285333333366</v>
      </c>
      <c r="AU147" s="712">
        <f>Sheet1!BG147+Sheet1!BH147+Sheet1!BI147-BC147</f>
        <v>0</v>
      </c>
      <c r="AV147" s="712">
        <f t="shared" si="401"/>
        <v>0</v>
      </c>
      <c r="AW147" s="712">
        <f>IF(Sheet1!EL147="FM",BC147,0)</f>
        <v>0</v>
      </c>
      <c r="AX147" s="712">
        <f t="shared" si="402"/>
        <v>0</v>
      </c>
      <c r="AY147" s="712">
        <f>IF(Sheet1!EL147="OTHER",BC147,0)</f>
        <v>0</v>
      </c>
      <c r="AZ147" s="712">
        <f t="shared" si="403"/>
        <v>0</v>
      </c>
      <c r="BA147" s="712">
        <f t="shared" si="404"/>
        <v>0</v>
      </c>
      <c r="BB147" s="712">
        <f t="shared" si="405"/>
        <v>0</v>
      </c>
      <c r="BC147" s="712">
        <f>IF(OR(Sheet1!EL147="FM", Sheet1!EL147="OTHER"),SUM(Sheet1!BG147:'Sheet1'!BI147),0)</f>
        <v>0</v>
      </c>
      <c r="BD147" s="697">
        <f>IF(AND($B147&gt;=$FL147,$B147&lt;=$FM147),MAX(AV147,Sheet1!EE147,0),MAX(AV147-(7/36)*$K147,0))</f>
        <v>0</v>
      </c>
      <c r="BE147" s="712">
        <f t="shared" si="406"/>
        <v>12.568888888888889</v>
      </c>
      <c r="BF147" s="697">
        <f t="shared" si="624"/>
        <v>0</v>
      </c>
      <c r="BG147" s="697">
        <f>IF(AND($O147&gt;0,Sheet1!EI147=1),(1-($O147-Sheet1!$L147)/$O147)*BB147,0)</f>
        <v>0</v>
      </c>
      <c r="BH147" s="697">
        <f>IF(AND(Sheet1!$L147=0,Sheet1!$L146=0, Calculation!BA147&lt;Sheet1!$EE147-0.1,Sheet1!$EE147=Sheet1!$EE146,Sheet1!$EE147=Sheet1!$EE148),Sheet1!$EE147,BB147-BG147)</f>
        <v>0</v>
      </c>
      <c r="BI147" s="712"/>
      <c r="BJ147" s="712"/>
      <c r="BK147" s="712">
        <f t="shared" si="407"/>
        <v>930.09777777777651</v>
      </c>
      <c r="BL147" s="712"/>
      <c r="BM147" s="712">
        <f ca="1">IF(B147&gt;Summary!$A$1,#N/A,BK147*MGtoAF)</f>
        <v>2853.5399822222184</v>
      </c>
      <c r="BN147" s="712">
        <f>Sheet1!BC147+Sheet1!BD147+Sheet1!BE147+Sheet1!BF147-BW147-BX147</f>
        <v>2.54</v>
      </c>
      <c r="BO147" s="712">
        <f t="shared" si="408"/>
        <v>2.559825528007007</v>
      </c>
      <c r="BP147" s="712">
        <f>IF(Sheet1!EM147="FM",BX147,0)</f>
        <v>0</v>
      </c>
      <c r="BQ147" s="712">
        <f t="shared" si="409"/>
        <v>0</v>
      </c>
      <c r="BR147" s="712">
        <f>IF(Sheet1!EM147="OTHER",BX147,0)</f>
        <v>0</v>
      </c>
      <c r="BS147" s="712">
        <f t="shared" si="410"/>
        <v>0</v>
      </c>
      <c r="BT147" s="712">
        <f t="shared" si="411"/>
        <v>0</v>
      </c>
      <c r="BU147" s="712">
        <f t="shared" si="412"/>
        <v>2.54</v>
      </c>
      <c r="BV147" s="712">
        <f t="shared" si="413"/>
        <v>2.559825528007007</v>
      </c>
      <c r="BW147" s="712">
        <f>IF(Sheet1!EM147="CWA",SUM(Sheet1!BC147:'Sheet1'!BF147),0)</f>
        <v>0</v>
      </c>
      <c r="BX147" s="712">
        <f>IF(OR(Sheet1!EM147="FM", Sheet1!EM147="OTHER"),SUM(Sheet1!BC147:'Sheet1'!BF147),0)</f>
        <v>0</v>
      </c>
      <c r="BY147" s="697">
        <f>IF(AND($B147&gt;=$FL147,$B147&lt;=$FM147),MAX(BV147,Sheet1!EF147,0),MAX(BV147-(7/36)*$K147,0))</f>
        <v>0</v>
      </c>
      <c r="BZ147" s="712">
        <f t="shared" si="414"/>
        <v>10.009063360881882</v>
      </c>
      <c r="CA147" s="697">
        <f t="shared" si="625"/>
        <v>2.559825528007007</v>
      </c>
      <c r="CB147" s="697">
        <f>IF(AND($O147&gt;0,Sheet1!EJ147=1),(1-($O147-Sheet1!$L147)/$O147)*BV147,0)</f>
        <v>0</v>
      </c>
      <c r="CC147" s="697">
        <f>IF(AND(Sheet1!$L147=0,Sheet1!$L146=0, Calculation!BU147&lt;Sheet1!EF147-0.1,Sheet1!EF147=Sheet1!EF146,Sheet1!EF147=Sheet1!EF148),Sheet1!EF147,BV147-CB147)</f>
        <v>2.559825528007007</v>
      </c>
      <c r="CD147" s="697"/>
      <c r="CE147" s="712"/>
      <c r="CF147" s="712">
        <f t="shared" si="415"/>
        <v>795.69417542289852</v>
      </c>
      <c r="CG147" s="712"/>
      <c r="CH147" s="712">
        <f ca="1">IF(B147&gt;Summary!$A$1,#N/A,CF147*MGtoAF)</f>
        <v>2441.1897301974527</v>
      </c>
      <c r="CI147" s="712">
        <f>Sheet1!BK147+Sheet1!BL147+Sheet1!BM147-Sheet1!EN147-CQ147</f>
        <v>6.0399999999999991</v>
      </c>
      <c r="CJ147" s="712">
        <f t="shared" si="416"/>
        <v>6.0871441689615438</v>
      </c>
      <c r="CK147" s="712">
        <f>IF(Sheet1!EN147="FM",CQ147,0)</f>
        <v>0</v>
      </c>
      <c r="CL147" s="712">
        <f t="shared" si="417"/>
        <v>0</v>
      </c>
      <c r="CM147" s="712">
        <f>IF(Sheet1!EN147="OTHER",CQ147,0)</f>
        <v>0</v>
      </c>
      <c r="CN147" s="712">
        <f t="shared" si="418"/>
        <v>0</v>
      </c>
      <c r="CO147" s="712">
        <f t="shared" si="419"/>
        <v>6.0399999999999991</v>
      </c>
      <c r="CP147" s="712">
        <f t="shared" si="420"/>
        <v>6.0871441689615438</v>
      </c>
      <c r="CQ147" s="712">
        <f>IF(OR(Sheet1!EN147="FM", Sheet1!EN147="OTHER"),SUM(Sheet1!BK147:'Sheet1'!BM147),0)</f>
        <v>0</v>
      </c>
      <c r="CR147" s="697">
        <f>IF(AND($B147&gt;=$FL147,$B147&lt;=$FM147),MAX($CJ147,Sheet1!EG147,0),MAX($CJ147-(7/36)*$K147,0))</f>
        <v>0</v>
      </c>
      <c r="CS147" s="712">
        <f t="shared" si="421"/>
        <v>6.4817447199273452</v>
      </c>
      <c r="CT147" s="697">
        <f t="shared" si="626"/>
        <v>6.0871441689615438</v>
      </c>
      <c r="CU147" s="697">
        <f>IF(AND($O147&gt;0,Sheet1!EK147=1),(1-($O147-Sheet1!$L147)/$O147)*CP147,0)</f>
        <v>0</v>
      </c>
      <c r="CV147" s="697">
        <f>IF(AND(Sheet1!$L147=0,Sheet1!$L146=0, Calculation!CO147&lt;Sheet1!$EG147-0.1,Sheet1!$EG147=Sheet1!$EG146,Sheet1!$EG147=Sheet1!$EG148),Sheet1!$EG147,CP147-CU147)</f>
        <v>6.0871441689615438</v>
      </c>
      <c r="CW147" s="697">
        <f t="shared" si="613"/>
        <v>0</v>
      </c>
      <c r="CX147" s="712">
        <f t="shared" si="630"/>
        <v>8.5799999999999983</v>
      </c>
      <c r="CY147" s="712">
        <f t="shared" si="422"/>
        <v>597.80137806115283</v>
      </c>
      <c r="CZ147" s="712">
        <f t="shared" si="423"/>
        <v>8.6469696969685508</v>
      </c>
      <c r="DA147" s="712">
        <f ca="1">IF(B147&gt;Summary!$A$1,#N/A,CY147*MGtoAF)</f>
        <v>1834.054627891617</v>
      </c>
      <c r="DB147" s="712">
        <f t="shared" si="424"/>
        <v>8.5799999999999983</v>
      </c>
      <c r="DC147" s="712">
        <f t="shared" si="425"/>
        <v>21.779999999999998</v>
      </c>
      <c r="DD147" s="712">
        <f>Sheet1!AB147-DC147</f>
        <v>0.16999999999709203</v>
      </c>
      <c r="DE147" s="712">
        <f t="shared" si="426"/>
        <v>7.8053259870106547E-3</v>
      </c>
      <c r="DF147" s="712">
        <f>(VLOOKUP(Sheet1!CY147,hhdcap_wcm,4)-(((VLOOKUP(Sheet1!CY147,hhdcap_wcm,3)-Sheet1!CY147)/(VLOOKUP(Sheet1!CY147,hhdcap_wcm,3)-VLOOKUP(Sheet1!CY147,hhdcap_wcm,1)))*(VLOOKUP(Sheet1!CY147,hhdcap_wcm,4)-VLOOKUP(Sheet1!CY147,hhdcap_wcm,2))))</f>
        <v>35202.94000008647</v>
      </c>
      <c r="DG147" s="712">
        <f t="shared" si="427"/>
        <v>170.28000000021711</v>
      </c>
      <c r="DH147" s="712">
        <f t="shared" si="428"/>
        <v>85.869894099958188</v>
      </c>
      <c r="DI147" s="712">
        <f>Sheet1!DW147*AFtoMG</f>
        <v>0</v>
      </c>
      <c r="DJ147" s="712">
        <f>Sheet1!DX147*AFtoMG</f>
        <v>0</v>
      </c>
      <c r="DK147" s="712">
        <f>Sheet1!DY147*AFtoMG</f>
        <v>0</v>
      </c>
      <c r="DL147" s="712">
        <f>Sheet1!DZ147*AFtoMG</f>
        <v>0</v>
      </c>
      <c r="DM147" s="712">
        <f t="shared" si="429"/>
        <v>0</v>
      </c>
      <c r="DN147" s="712">
        <f t="shared" si="430"/>
        <v>0</v>
      </c>
      <c r="DO147" s="712">
        <f t="shared" si="431"/>
        <v>4316.6599979284956</v>
      </c>
      <c r="DP147" s="712">
        <f t="shared" si="432"/>
        <v>13243.512873644624</v>
      </c>
      <c r="DQ147" s="712"/>
      <c r="DR147" s="697">
        <f>IF(OR(B147&lt;FL147,B147&gt;FM147),(MIN(AV147+BO147+CJ147+MAX(Sheet1!AA147+AG147-73,0),K147)),0)</f>
        <v>8.6469696969685508</v>
      </c>
      <c r="DS147" s="712"/>
      <c r="DT147" s="712">
        <f t="shared" si="433"/>
        <v>8.6469696969685508</v>
      </c>
      <c r="DU147" s="712"/>
      <c r="DV147" s="712">
        <f>Sheet1!ED147+Sheet1!EE147+Sheet1!EF147+Sheet1!EG147</f>
        <v>8.5</v>
      </c>
      <c r="DW147" s="712"/>
      <c r="DX147" s="697">
        <f t="shared" si="627"/>
        <v>0</v>
      </c>
      <c r="DY147" s="712">
        <f>IF(Sheet1!FN147=1,SUM('Calculations II'!AT147:BA147)+'Calculations II'!BC147+Sheet1!BU147+'Calculations II'!BE147+AF147,SUM('Calculations II'!AT147:BA147)+'Calculations II'!BC147+Sheet1!BU147+'Calculations II'!BE147+AF147)</f>
        <v>44.678367999999999</v>
      </c>
      <c r="DZ147" s="712">
        <f>Sheet1!AA147+Sheet1!AB147+'Calculations II'!BC147</f>
        <v>51.349999999991269</v>
      </c>
      <c r="EA147" s="712"/>
      <c r="EB147" s="712"/>
      <c r="EC147" s="712">
        <f t="shared" si="434"/>
        <v>40676</v>
      </c>
      <c r="ED147" s="712">
        <f t="shared" si="435"/>
        <v>55.993030303031446</v>
      </c>
      <c r="EE147" s="712">
        <f t="shared" si="436"/>
        <v>86.621217878789651</v>
      </c>
      <c r="EF147" s="712">
        <f>-(VLOOKUP(Sheet1!BQ147,Lookup!$B$4:$J$236,2)-VLOOKUP(Sheet1!BQ146,Lookup!$B$4:$J$236,2))/1000000</f>
        <v>-7.1307999999999998</v>
      </c>
      <c r="EG147" s="712">
        <f>-(VLOOKUP(Sheet1!BR147,Lookup!$B$4:$J$236,3)-VLOOKUP(Sheet1!BR146,Lookup!$B$4:$J$236,3))/1000000</f>
        <v>10.1496</v>
      </c>
      <c r="EH147" s="712">
        <f>-(VLOOKUP(Sheet1!BS147,Lookup!$B$4:$J$236,4)-VLOOKUP(Sheet1!BS146,Lookup!$B$4:$J$236,4))/1000000</f>
        <v>0</v>
      </c>
      <c r="EI147" s="697">
        <f t="shared" si="631"/>
        <v>3.0187999999999997</v>
      </c>
      <c r="EJ147" s="712"/>
      <c r="EK147" s="712"/>
      <c r="EL147" s="712"/>
      <c r="EM147" s="712"/>
      <c r="EN147" s="712"/>
      <c r="EO147" s="712"/>
      <c r="EP147" s="712"/>
      <c r="EQ147" s="712"/>
      <c r="ER147" s="697">
        <v>0</v>
      </c>
      <c r="ES147" s="712"/>
      <c r="ET147" s="794" t="e">
        <f t="shared" si="437"/>
        <v>#N/A</v>
      </c>
      <c r="EU147" s="794" t="e">
        <f t="shared" si="614"/>
        <v>#VALUE!</v>
      </c>
      <c r="EV147" s="795" t="e">
        <f t="shared" si="615"/>
        <v>#VALUE!</v>
      </c>
      <c r="EW147" s="796" t="s">
        <v>757</v>
      </c>
      <c r="EX147" s="796" t="s">
        <v>757</v>
      </c>
      <c r="EY147" s="794">
        <v>0</v>
      </c>
      <c r="EZ147" s="794" t="e">
        <v>#N/A</v>
      </c>
      <c r="FA147" s="712"/>
      <c r="FB147" s="712"/>
      <c r="FC147" s="712"/>
      <c r="FD147" s="712"/>
      <c r="FE147" s="712">
        <f>O147+Sheet1!CO147</f>
        <v>51.349999999991269</v>
      </c>
      <c r="FF147" s="712">
        <f>IF(Sheet1!AA147+AG147&lt;=Calculation!N147,AG147,Calculation!N147-Sheet1!AA147)</f>
        <v>13.303030303028541</v>
      </c>
      <c r="FG147" s="712">
        <f>(Sheet1!BP147+Sheet1!BO147)/694.4</f>
        <v>1.5878456221198156</v>
      </c>
      <c r="FH147" s="712"/>
      <c r="FI147" s="712"/>
      <c r="FJ147" s="712"/>
      <c r="FK147" s="712"/>
      <c r="FL147" s="714">
        <f t="shared" si="632"/>
        <v>40753</v>
      </c>
      <c r="FM147" s="714">
        <f t="shared" si="633"/>
        <v>40851</v>
      </c>
      <c r="FN147" s="712"/>
      <c r="FO147" s="712"/>
      <c r="FP147" s="712"/>
      <c r="FQ147" s="712"/>
      <c r="FR147" s="712"/>
      <c r="FS147" s="725">
        <f t="shared" si="634"/>
        <v>40603</v>
      </c>
      <c r="FT147" s="714">
        <f t="shared" si="635"/>
        <v>40709</v>
      </c>
      <c r="FU147" s="712">
        <f t="shared" si="636"/>
        <v>6518.9048239895692</v>
      </c>
      <c r="FV147" s="714">
        <f t="shared" si="637"/>
        <v>40722</v>
      </c>
      <c r="FW147" s="712">
        <f t="shared" si="638"/>
        <v>3259.4524119947846</v>
      </c>
      <c r="FX147" s="725">
        <f t="shared" si="639"/>
        <v>40851</v>
      </c>
      <c r="FZ147" s="697">
        <f t="shared" si="616"/>
        <v>0</v>
      </c>
      <c r="GA147" s="712" t="str">
        <f t="shared" si="438"/>
        <v/>
      </c>
      <c r="GB147" s="712">
        <f t="shared" si="439"/>
        <v>0</v>
      </c>
      <c r="GC147" s="712" t="str">
        <f t="shared" si="440"/>
        <v/>
      </c>
      <c r="GD147" s="712">
        <f>IF(GA147="P",Lookup!$M$12,IF(GA147="PP",Lookup!$M$13,IF(GA147="PPP",Lookup!$M$14,IF(GA147="T",Lookup!$M$15,IF(GA147="TP",Lookup!$M$16,IF(GA147="TPP",Lookup!$M$17,IF(GA147="TPPP",Lookup!$M$18,0)))))))*FZ147</f>
        <v>0</v>
      </c>
      <c r="GE147" s="712">
        <f t="shared" si="441"/>
        <v>0</v>
      </c>
      <c r="GF147" s="712">
        <f t="shared" si="442"/>
        <v>6114.7285333333366</v>
      </c>
      <c r="GG147" s="712">
        <f t="shared" si="443"/>
        <v>1993.0666666666677</v>
      </c>
      <c r="GH147" s="712"/>
      <c r="GI147" s="712">
        <f t="shared" si="444"/>
        <v>0</v>
      </c>
      <c r="GJ147" s="712" t="str">
        <f t="shared" si="445"/>
        <v/>
      </c>
      <c r="GK147" s="712">
        <f>IF(GA147="P",Lookup!$N$12,IF(GA147="PP",Lookup!$N$13,IF(GA147="PPP",Lookup!$N$14,IF(GA147="T",Lookup!$N$15,IF(GA147="TP",Lookup!$N$16,IF(GA147="TPP",Lookup!$N$17,IF(GA147="TPPP",Lookup!$N$18,0)))))))*FZ147</f>
        <v>0</v>
      </c>
      <c r="GL147" s="712">
        <f t="shared" si="446"/>
        <v>0</v>
      </c>
      <c r="GM147" s="712">
        <f t="shared" si="447"/>
        <v>2853.5399822222184</v>
      </c>
      <c r="GN147" s="712">
        <f t="shared" si="448"/>
        <v>930.09777777777651</v>
      </c>
      <c r="GO147" s="712"/>
      <c r="GP147" s="712">
        <f t="shared" si="449"/>
        <v>0</v>
      </c>
      <c r="GQ147" s="712" t="str">
        <f t="shared" si="450"/>
        <v/>
      </c>
      <c r="GR147" s="712">
        <f>IF(GA147="P",Lookup!$N$12,IF(GA147="PP",Lookup!$N$13,IF(GA147="PPP",Lookup!$N$14,IF(GA147="T",Lookup!$N$15,IF(GA147="TP",Lookup!$N$16,IF(GA147="TPP",Lookup!$N$17,IF(GA147="TPPP",Lookup!$N$18,0)))))))*FZ147</f>
        <v>0</v>
      </c>
      <c r="GS147" s="697">
        <f t="shared" si="628"/>
        <v>0</v>
      </c>
      <c r="GT147" s="712">
        <f t="shared" si="451"/>
        <v>2441.1897301974527</v>
      </c>
      <c r="GU147" s="712">
        <f t="shared" si="452"/>
        <v>795.69417542289852</v>
      </c>
      <c r="GV147" s="712"/>
      <c r="GW147" s="712">
        <f t="shared" si="453"/>
        <v>0</v>
      </c>
      <c r="GX147" s="712" t="str">
        <f t="shared" si="454"/>
        <v/>
      </c>
      <c r="GY147" s="712">
        <f>IF(GA147="P",Lookup!$N$12,IF(GA147="PP",Lookup!$N$13,IF(GA147="PPP",Lookup!$N$14,IF(GA147="T",Lookup!$N$15,IF(GA147="TP",Lookup!$N$16,IF(GA147="TPP",Lookup!$N$17,IF(GA147="TPPP",Lookup!$N$18,0)))))))*FZ147</f>
        <v>0</v>
      </c>
      <c r="GZ147" s="697">
        <f t="shared" si="629"/>
        <v>0</v>
      </c>
      <c r="HA147" s="712">
        <f t="shared" si="455"/>
        <v>1834.054627891617</v>
      </c>
      <c r="HB147" s="712">
        <f t="shared" si="456"/>
        <v>597.80137806115283</v>
      </c>
      <c r="HC147" s="712"/>
    </row>
    <row r="148" spans="1:211">
      <c r="A148" s="773" t="s">
        <v>9</v>
      </c>
      <c r="B148" s="708">
        <v>40677</v>
      </c>
      <c r="C148" s="719">
        <v>0.5</v>
      </c>
      <c r="D148" s="675">
        <f t="shared" si="617"/>
        <v>300</v>
      </c>
      <c r="E148" s="675">
        <f t="shared" si="618"/>
        <v>250</v>
      </c>
      <c r="F148" s="710">
        <v>250</v>
      </c>
      <c r="G148" s="712">
        <f>DH148+Sheet1!CV148</f>
        <v>1957.1930156330977</v>
      </c>
      <c r="H148" s="712">
        <f t="shared" si="389"/>
        <v>998.16636530523431</v>
      </c>
      <c r="I148" s="711">
        <f>MAX(Sheet1!Z148-AJ148+(Sheet1!CW148-E148)*CFStoMGD,0)</f>
        <v>1461.2098249158212</v>
      </c>
      <c r="J148" s="720">
        <f>IF(AND(B148&gt;=Calculation!FS148,B148&lt;=Calculation!FT148),IF(Sheet1!CX148&gt;=Calculation!D148,64.64,0),MAX(Sheet1!Z148-AJ148+(Sheet1!CX148-D148)*CFStoMGD,0))</f>
        <v>64.64</v>
      </c>
      <c r="K148" s="697">
        <f t="shared" si="619"/>
        <v>64.64</v>
      </c>
      <c r="L148" s="712">
        <f>Sheet1!AA148+Sheet1!AB148-Sheet1!L148+(Sheet1!CW148-F148)*CFStoMGD</f>
        <v>1506.5573333333484</v>
      </c>
      <c r="M148" s="712">
        <f t="shared" si="390"/>
        <v>1290.432156611339</v>
      </c>
      <c r="N148" s="712">
        <f>IF(Sheet1!CW148&gt;=F148,MIN(73,MIN(MAX(L148,0),MAX(M148,0))),0)</f>
        <v>73</v>
      </c>
      <c r="O148" s="721">
        <f>Sheet1!AA148+Sheet1!AB148</f>
        <v>54.110000000015134</v>
      </c>
      <c r="P148" s="721">
        <f t="shared" si="391"/>
        <v>83.708170000023415</v>
      </c>
      <c r="Q148" s="712">
        <f>MIN(N148,Sheet1!AA148+AG148)</f>
        <v>45.427508417521452</v>
      </c>
      <c r="R148" s="712">
        <f t="shared" si="392"/>
        <v>8.6824915824936788</v>
      </c>
      <c r="S148" s="721">
        <f>Sheet1!Y148*MGDtoCFS</f>
        <v>46.781279999999995</v>
      </c>
      <c r="T148" s="721">
        <f>Sheet1!Z148*MGDtoCFS</f>
        <v>37.406459999999996</v>
      </c>
      <c r="U148" s="721">
        <f>Sheet1!AA148*MGDtoCFS</f>
        <v>46.425470000014407</v>
      </c>
      <c r="V148" s="721">
        <f>Sheet1!AB148*MGDtoCFS</f>
        <v>37.282700000009001</v>
      </c>
      <c r="W148" s="721">
        <f>Sheet1!L148*MGDtoCFS</f>
        <v>0</v>
      </c>
      <c r="X148" s="697">
        <f t="shared" si="620"/>
        <v>0</v>
      </c>
      <c r="Y148" s="712">
        <f t="shared" si="393"/>
        <v>0</v>
      </c>
      <c r="Z148" s="712">
        <f t="shared" si="394"/>
        <v>55.957508417506318</v>
      </c>
      <c r="AA148" s="712">
        <f t="shared" si="395"/>
        <v>86.566265521882272</v>
      </c>
      <c r="AB148" s="712">
        <f>(VLOOKUP(Sheet1!CY148,hhdcap_wcm,4)-(((VLOOKUP(Sheet1!CY148,hhdcap_wcm,3)-Sheet1!CY148)/(VLOOKUP(Sheet1!CY148,hhdcap_wcm,3)-VLOOKUP(Sheet1!CY148,hhdcap_wcm,1)))*(VLOOKUP(Sheet1!CY148,hhdcap_wcm,4)-VLOOKUP(Sheet1!CY148,hhdcap_wcm,2))))</f>
        <v>35713.780000086903</v>
      </c>
      <c r="AC148" s="712">
        <f t="shared" si="396"/>
        <v>510.84000000043306</v>
      </c>
      <c r="AD148" s="712">
        <f t="shared" si="621"/>
        <v>4372.6175063460014</v>
      </c>
      <c r="AE148" s="712">
        <f t="shared" si="397"/>
        <v>13415.190509469532</v>
      </c>
      <c r="AF148" s="712">
        <f>Sheet1!BA148+Sheet1!BB148+Sheet1!BN148+BT148</f>
        <v>15.2</v>
      </c>
      <c r="AG148" s="712">
        <f t="shared" si="398"/>
        <v>15.417508417512142</v>
      </c>
      <c r="AH148" s="712">
        <f>Sheet1!BA148+BT148</f>
        <v>0</v>
      </c>
      <c r="AI148" s="712">
        <f>Sheet1!BA148+Sheet1!BB148+BT148</f>
        <v>0</v>
      </c>
      <c r="AJ148" s="712">
        <f>IF((Sheet1!AA148+AG148+AX148+AZ148+BQ148+BS148+CL148+CN148)&lt;=N148,AG148+AX148+AZ148+BQ148+BS148+CL148+CN148,N148-Sheet1!AA148)</f>
        <v>15.417508417512142</v>
      </c>
      <c r="AK148" s="712">
        <f>IF(DR148&lt;K148,0,MAX(Sheet1!AA148+AG148-15/36*K148-N148,Sheet1!ED148,0))</f>
        <v>0</v>
      </c>
      <c r="AL148" s="712">
        <f>IF(OR(B148&gt;=FT148,B148&lt;FS148),0,15/36*K148-MAX(0,64.6-(137.6-(Sheet1!AA148+Sheet1!AB148))))</f>
        <v>26.933333333333334</v>
      </c>
      <c r="AM148" s="712">
        <f>Sheet1!CX148-110</f>
        <v>1685.4166666666667</v>
      </c>
      <c r="AN148" s="712">
        <f>Sheet1!CW148-265</f>
        <v>2231.9791666666665</v>
      </c>
      <c r="AO148" s="712">
        <f t="shared" si="622"/>
        <v>27.572491582478548</v>
      </c>
      <c r="AP148" s="712">
        <f t="shared" si="623"/>
        <v>0</v>
      </c>
      <c r="AQ148" s="712">
        <f t="shared" si="399"/>
        <v>0</v>
      </c>
      <c r="AR148" s="712">
        <f t="shared" si="400"/>
        <v>2020.0000000000011</v>
      </c>
      <c r="AS148" s="712"/>
      <c r="AT148" s="712">
        <f ca="1">IF(B148&gt;Summary!$A$1,#N/A,AR148*MGtoAF)</f>
        <v>6197.3600000000033</v>
      </c>
      <c r="AU148" s="712">
        <f>Sheet1!BG148+Sheet1!BH148+Sheet1!BI148-BC148</f>
        <v>0</v>
      </c>
      <c r="AV148" s="712">
        <f t="shared" si="401"/>
        <v>0</v>
      </c>
      <c r="AW148" s="712">
        <f>IF(Sheet1!EL148="FM",BC148,0)</f>
        <v>0</v>
      </c>
      <c r="AX148" s="712">
        <f t="shared" si="402"/>
        <v>0</v>
      </c>
      <c r="AY148" s="712">
        <f>IF(Sheet1!EL148="OTHER",BC148,0)</f>
        <v>0</v>
      </c>
      <c r="AZ148" s="712">
        <f t="shared" si="403"/>
        <v>0</v>
      </c>
      <c r="BA148" s="712">
        <f t="shared" si="404"/>
        <v>0</v>
      </c>
      <c r="BB148" s="712">
        <f t="shared" si="405"/>
        <v>0</v>
      </c>
      <c r="BC148" s="712">
        <f>IF(OR(Sheet1!EL148="FM", Sheet1!EL148="OTHER"),SUM(Sheet1!BG148:'Sheet1'!BI148),0)</f>
        <v>0</v>
      </c>
      <c r="BD148" s="697">
        <f>IF(AND($B148&gt;=$FL148,$B148&lt;=$FM148),MAX(AV148,Sheet1!EE148,0),MAX(AV148-(7/36)*$K148,0))</f>
        <v>0</v>
      </c>
      <c r="BE148" s="712">
        <f t="shared" si="406"/>
        <v>12.568888888888889</v>
      </c>
      <c r="BF148" s="697">
        <f t="shared" si="624"/>
        <v>0</v>
      </c>
      <c r="BG148" s="697">
        <f>IF(AND($O148&gt;0,Sheet1!EI148=1),(1-($O148-Sheet1!$L148)/$O148)*BB148,0)</f>
        <v>0</v>
      </c>
      <c r="BH148" s="697">
        <f>IF(AND(Sheet1!$L148=0,Sheet1!$L147=0, Calculation!BA148&lt;Sheet1!$EE148-0.1,Sheet1!$EE148=Sheet1!$EE147,Sheet1!$EE148=Sheet1!$EE149),Sheet1!$EE148,BB148-BG148)</f>
        <v>0</v>
      </c>
      <c r="BI148" s="712"/>
      <c r="BJ148" s="712"/>
      <c r="BK148" s="712">
        <f t="shared" si="407"/>
        <v>942.66666666666538</v>
      </c>
      <c r="BL148" s="712"/>
      <c r="BM148" s="712">
        <f ca="1">IF(B148&gt;Summary!$A$1,#N/A,BK148*MGtoAF)</f>
        <v>2892.1013333333294</v>
      </c>
      <c r="BN148" s="712">
        <f>Sheet1!BC148+Sheet1!BD148+Sheet1!BE148+Sheet1!BF148-BW148-BX148</f>
        <v>2.54</v>
      </c>
      <c r="BO148" s="712">
        <f t="shared" si="408"/>
        <v>2.576346801347424</v>
      </c>
      <c r="BP148" s="712">
        <f>IF(Sheet1!EM148="FM",BX148,0)</f>
        <v>0</v>
      </c>
      <c r="BQ148" s="712">
        <f t="shared" si="409"/>
        <v>0</v>
      </c>
      <c r="BR148" s="712">
        <f>IF(Sheet1!EM148="OTHER",BX148,0)</f>
        <v>0</v>
      </c>
      <c r="BS148" s="712">
        <f t="shared" si="410"/>
        <v>0</v>
      </c>
      <c r="BT148" s="712">
        <f t="shared" si="411"/>
        <v>0</v>
      </c>
      <c r="BU148" s="712">
        <f t="shared" si="412"/>
        <v>2.54</v>
      </c>
      <c r="BV148" s="712">
        <f t="shared" si="413"/>
        <v>2.576346801347424</v>
      </c>
      <c r="BW148" s="712">
        <f>IF(Sheet1!EM148="CWA",SUM(Sheet1!BC148:'Sheet1'!BF148),0)</f>
        <v>0</v>
      </c>
      <c r="BX148" s="712">
        <f>IF(OR(Sheet1!EM148="FM", Sheet1!EM148="OTHER"),SUM(Sheet1!BC148:'Sheet1'!BF148),0)</f>
        <v>0</v>
      </c>
      <c r="BY148" s="697">
        <f>IF(AND($B148&gt;=$FL148,$B148&lt;=$FM148),MAX(BV148,Sheet1!EF148,0),MAX(BV148-(7/36)*$K148,0))</f>
        <v>0</v>
      </c>
      <c r="BZ148" s="712">
        <f t="shared" si="414"/>
        <v>9.9925420875414659</v>
      </c>
      <c r="CA148" s="697">
        <f t="shared" si="625"/>
        <v>2.576346801347424</v>
      </c>
      <c r="CB148" s="697">
        <f>IF(AND($O148&gt;0,Sheet1!EJ148=1),(1-($O148-Sheet1!$L148)/$O148)*BV148,0)</f>
        <v>0</v>
      </c>
      <c r="CC148" s="697">
        <f>IF(AND(Sheet1!$L148=0,Sheet1!$L147=0, Calculation!BU148&lt;Sheet1!EF148-0.1,Sheet1!EF148=Sheet1!EF147,Sheet1!EF148=Sheet1!EF149),Sheet1!EF148,BV148-CB148)</f>
        <v>2.576346801347424</v>
      </c>
      <c r="CD148" s="697"/>
      <c r="CE148" s="712"/>
      <c r="CF148" s="712">
        <f t="shared" si="415"/>
        <v>805.68671751043996</v>
      </c>
      <c r="CG148" s="712"/>
      <c r="CH148" s="712">
        <f ca="1">IF(B148&gt;Summary!$A$1,#N/A,CF148*MGtoAF)</f>
        <v>2471.8468493220298</v>
      </c>
      <c r="CI148" s="712">
        <f>Sheet1!BK148+Sheet1!BL148+Sheet1!BM148-Sheet1!EN148-CQ148</f>
        <v>6.02</v>
      </c>
      <c r="CJ148" s="712">
        <f t="shared" si="416"/>
        <v>6.1061447811462557</v>
      </c>
      <c r="CK148" s="712">
        <f>IF(Sheet1!EN148="FM",CQ148,0)</f>
        <v>0</v>
      </c>
      <c r="CL148" s="712">
        <f t="shared" si="417"/>
        <v>0</v>
      </c>
      <c r="CM148" s="712">
        <f>IF(Sheet1!EN148="OTHER",CQ148,0)</f>
        <v>0</v>
      </c>
      <c r="CN148" s="712">
        <f t="shared" si="418"/>
        <v>0</v>
      </c>
      <c r="CO148" s="712">
        <f t="shared" si="419"/>
        <v>6.02</v>
      </c>
      <c r="CP148" s="712">
        <f t="shared" si="420"/>
        <v>6.1061447811462557</v>
      </c>
      <c r="CQ148" s="712">
        <f>IF(OR(Sheet1!EN148="FM", Sheet1!EN148="OTHER"),SUM(Sheet1!BK148:'Sheet1'!BM148),0)</f>
        <v>0</v>
      </c>
      <c r="CR148" s="697">
        <f>IF(AND($B148&gt;=$FL148,$B148&lt;=$FM148),MAX($CJ148,Sheet1!EG148,0),MAX($CJ148-(7/36)*$K148,0))</f>
        <v>0</v>
      </c>
      <c r="CS148" s="712">
        <f t="shared" si="421"/>
        <v>6.4627441077426333</v>
      </c>
      <c r="CT148" s="697">
        <f t="shared" si="626"/>
        <v>6.1061447811462557</v>
      </c>
      <c r="CU148" s="697">
        <f>IF(AND($O148&gt;0,Sheet1!EK148=1),(1-($O148-Sheet1!$L148)/$O148)*CP148,0)</f>
        <v>0</v>
      </c>
      <c r="CV148" s="697">
        <f>IF(AND(Sheet1!$L148=0,Sheet1!$L147=0, Calculation!CO148&lt;Sheet1!$EG148-0.1,Sheet1!$EG148=Sheet1!$EG147,Sheet1!$EG148=Sheet1!$EG149),Sheet1!$EG148,CP148-CU148)</f>
        <v>6.1061447811462557</v>
      </c>
      <c r="CW148" s="697">
        <f t="shared" si="613"/>
        <v>0</v>
      </c>
      <c r="CX148" s="712">
        <f t="shared" si="630"/>
        <v>8.5599999999999987</v>
      </c>
      <c r="CY148" s="712">
        <f t="shared" si="422"/>
        <v>604.26412216889548</v>
      </c>
      <c r="CZ148" s="712">
        <f t="shared" si="423"/>
        <v>8.6824915824936788</v>
      </c>
      <c r="DA148" s="712">
        <f ca="1">IF(B148&gt;Summary!$A$1,#N/A,CY148*MGtoAF)</f>
        <v>1853.8823268141714</v>
      </c>
      <c r="DB148" s="712">
        <f t="shared" si="424"/>
        <v>8.5599999999999987</v>
      </c>
      <c r="DC148" s="712">
        <f t="shared" si="425"/>
        <v>23.759999999999998</v>
      </c>
      <c r="DD148" s="712">
        <f>Sheet1!AB148-DC148</f>
        <v>0.34000000000582276</v>
      </c>
      <c r="DE148" s="712">
        <f t="shared" si="426"/>
        <v>1.4309764310009377E-2</v>
      </c>
      <c r="DF148" s="712">
        <f>(VLOOKUP(Sheet1!CY148,hhdcap_wcm,4)-(((VLOOKUP(Sheet1!CY148,hhdcap_wcm,3)-Sheet1!CY148)/(VLOOKUP(Sheet1!CY148,hhdcap_wcm,3)-VLOOKUP(Sheet1!CY148,hhdcap_wcm,1)))*(VLOOKUP(Sheet1!CY148,hhdcap_wcm,4)-VLOOKUP(Sheet1!CY148,hhdcap_wcm,2))))</f>
        <v>35713.780000086903</v>
      </c>
      <c r="DG148" s="712">
        <f t="shared" si="427"/>
        <v>510.84000000043306</v>
      </c>
      <c r="DH148" s="712">
        <f t="shared" si="428"/>
        <v>257.60968229976447</v>
      </c>
      <c r="DI148" s="712">
        <f>Sheet1!DW148*AFtoMG</f>
        <v>0</v>
      </c>
      <c r="DJ148" s="712">
        <f>Sheet1!DX148*AFtoMG</f>
        <v>0</v>
      </c>
      <c r="DK148" s="712">
        <f>Sheet1!DY148*AFtoMG</f>
        <v>0</v>
      </c>
      <c r="DL148" s="712">
        <f>Sheet1!DZ148*AFtoMG</f>
        <v>0</v>
      </c>
      <c r="DM148" s="712">
        <f t="shared" si="429"/>
        <v>0</v>
      </c>
      <c r="DN148" s="712">
        <f t="shared" si="430"/>
        <v>0</v>
      </c>
      <c r="DO148" s="712">
        <f t="shared" si="431"/>
        <v>4372.6175063460014</v>
      </c>
      <c r="DP148" s="712">
        <f t="shared" si="432"/>
        <v>13415.190509469532</v>
      </c>
      <c r="DQ148" s="712"/>
      <c r="DR148" s="697">
        <f>IF(OR(B148&lt;FL148,B148&gt;FM148),(MIN(AV148+BO148+CJ148+MAX(Sheet1!AA148+AG148-73,0),K148)),0)</f>
        <v>8.6824915824936788</v>
      </c>
      <c r="DS148" s="712"/>
      <c r="DT148" s="712">
        <f t="shared" si="433"/>
        <v>8.6824915824936788</v>
      </c>
      <c r="DU148" s="712"/>
      <c r="DV148" s="712">
        <f>Sheet1!ED148+Sheet1!EE148+Sheet1!EF148+Sheet1!EG148</f>
        <v>8.5</v>
      </c>
      <c r="DW148" s="712"/>
      <c r="DX148" s="697">
        <f t="shared" si="627"/>
        <v>0</v>
      </c>
      <c r="DY148" s="712">
        <f>IF(Sheet1!FN148=1,SUM('Calculations II'!AT148:BA148)+'Calculations II'!BC148+Sheet1!BU148+'Calculations II'!BE148+AF148,SUM('Calculations II'!AT148:BA148)+'Calculations II'!BC148+Sheet1!BU148+'Calculations II'!BE148+AF148)</f>
        <v>45.148192000000002</v>
      </c>
      <c r="DZ148" s="712">
        <f>Sheet1!AA148+Sheet1!AB148+'Calculations II'!BC148</f>
        <v>54.110000000015134</v>
      </c>
      <c r="EA148" s="712"/>
      <c r="EB148" s="712"/>
      <c r="EC148" s="712">
        <f t="shared" si="434"/>
        <v>40677</v>
      </c>
      <c r="ED148" s="712">
        <f t="shared" si="435"/>
        <v>55.957508417506318</v>
      </c>
      <c r="EE148" s="712">
        <f t="shared" si="436"/>
        <v>86.566265521882272</v>
      </c>
      <c r="EF148" s="712">
        <f>-(VLOOKUP(Sheet1!BQ148,Lookup!$B$4:$J$236,2)-VLOOKUP(Sheet1!BQ147,Lookup!$B$4:$J$236,2))/1000000</f>
        <v>1.3354999999999999</v>
      </c>
      <c r="EG148" s="712">
        <f>-(VLOOKUP(Sheet1!BR148,Lookup!$B$4:$J$236,3)-VLOOKUP(Sheet1!BR147,Lookup!$B$4:$J$236,3))/1000000</f>
        <v>8.6964000000000006</v>
      </c>
      <c r="EH148" s="712">
        <f>-(VLOOKUP(Sheet1!BS148,Lookup!$B$4:$J$236,4)-VLOOKUP(Sheet1!BS147,Lookup!$B$4:$J$236,4))/1000000</f>
        <v>0</v>
      </c>
      <c r="EI148" s="697">
        <f t="shared" si="631"/>
        <v>10.0319</v>
      </c>
      <c r="EJ148" s="712"/>
      <c r="EK148" s="712"/>
      <c r="EL148" s="712"/>
      <c r="EM148" s="712"/>
      <c r="EN148" s="712"/>
      <c r="EO148" s="712"/>
      <c r="EP148" s="712"/>
      <c r="EQ148" s="712"/>
      <c r="ER148" s="697">
        <v>0</v>
      </c>
      <c r="ES148" s="712"/>
      <c r="ET148" s="794" t="e">
        <f t="shared" si="437"/>
        <v>#N/A</v>
      </c>
      <c r="EU148" s="794" t="e">
        <f t="shared" si="614"/>
        <v>#VALUE!</v>
      </c>
      <c r="EV148" s="795" t="e">
        <f t="shared" si="615"/>
        <v>#VALUE!</v>
      </c>
      <c r="EW148" s="796" t="s">
        <v>757</v>
      </c>
      <c r="EX148" s="796" t="s">
        <v>757</v>
      </c>
      <c r="EY148" s="794">
        <v>0</v>
      </c>
      <c r="EZ148" s="794" t="e">
        <v>#N/A</v>
      </c>
      <c r="FA148" s="712"/>
      <c r="FB148" s="712"/>
      <c r="FC148" s="712"/>
      <c r="FD148" s="712"/>
      <c r="FE148" s="712">
        <f>O148+Sheet1!CO148</f>
        <v>54.110000000015134</v>
      </c>
      <c r="FF148" s="712">
        <f>IF(Sheet1!AA148+AG148&lt;=Calculation!N148,AG148,Calculation!N148-Sheet1!AA148)</f>
        <v>15.417508417512142</v>
      </c>
      <c r="FG148" s="712">
        <f>(Sheet1!BP148+Sheet1!BO148)/694.4</f>
        <v>1.9242511520737329</v>
      </c>
      <c r="FH148" s="712"/>
      <c r="FI148" s="712"/>
      <c r="FJ148" s="712"/>
      <c r="FK148" s="712"/>
      <c r="FL148" s="714">
        <f t="shared" si="632"/>
        <v>40753</v>
      </c>
      <c r="FM148" s="714">
        <f t="shared" si="633"/>
        <v>40851</v>
      </c>
      <c r="FN148" s="712"/>
      <c r="FO148" s="712"/>
      <c r="FP148" s="712"/>
      <c r="FQ148" s="712"/>
      <c r="FR148" s="712"/>
      <c r="FS148" s="725">
        <f t="shared" si="634"/>
        <v>40603</v>
      </c>
      <c r="FT148" s="714">
        <f t="shared" si="635"/>
        <v>40709</v>
      </c>
      <c r="FU148" s="712">
        <f t="shared" si="636"/>
        <v>6518.9048239895692</v>
      </c>
      <c r="FV148" s="714">
        <f t="shared" si="637"/>
        <v>40722</v>
      </c>
      <c r="FW148" s="712">
        <f t="shared" si="638"/>
        <v>3259.4524119947846</v>
      </c>
      <c r="FX148" s="725">
        <f t="shared" si="639"/>
        <v>40851</v>
      </c>
      <c r="FZ148" s="697">
        <f t="shared" si="616"/>
        <v>0</v>
      </c>
      <c r="GA148" s="712" t="str">
        <f t="shared" si="438"/>
        <v/>
      </c>
      <c r="GB148" s="712">
        <f t="shared" si="439"/>
        <v>0</v>
      </c>
      <c r="GC148" s="712" t="str">
        <f t="shared" si="440"/>
        <v/>
      </c>
      <c r="GD148" s="712">
        <f>IF(GA148="P",Lookup!$M$12,IF(GA148="PP",Lookup!$M$13,IF(GA148="PPP",Lookup!$M$14,IF(GA148="T",Lookup!$M$15,IF(GA148="TP",Lookup!$M$16,IF(GA148="TPP",Lookup!$M$17,IF(GA148="TPPP",Lookup!$M$18,0)))))))*FZ148</f>
        <v>0</v>
      </c>
      <c r="GE148" s="712">
        <f t="shared" si="441"/>
        <v>0</v>
      </c>
      <c r="GF148" s="712">
        <f t="shared" si="442"/>
        <v>6197.3600000000033</v>
      </c>
      <c r="GG148" s="712">
        <f t="shared" si="443"/>
        <v>2020.0000000000011</v>
      </c>
      <c r="GH148" s="712"/>
      <c r="GI148" s="712">
        <f t="shared" si="444"/>
        <v>0</v>
      </c>
      <c r="GJ148" s="712" t="str">
        <f t="shared" si="445"/>
        <v/>
      </c>
      <c r="GK148" s="712">
        <f>IF(GA148="P",Lookup!$N$12,IF(GA148="PP",Lookup!$N$13,IF(GA148="PPP",Lookup!$N$14,IF(GA148="T",Lookup!$N$15,IF(GA148="TP",Lookup!$N$16,IF(GA148="TPP",Lookup!$N$17,IF(GA148="TPPP",Lookup!$N$18,0)))))))*FZ148</f>
        <v>0</v>
      </c>
      <c r="GL148" s="712">
        <f t="shared" si="446"/>
        <v>0</v>
      </c>
      <c r="GM148" s="712">
        <f t="shared" si="447"/>
        <v>2892.1013333333294</v>
      </c>
      <c r="GN148" s="712">
        <f t="shared" si="448"/>
        <v>942.66666666666538</v>
      </c>
      <c r="GO148" s="712"/>
      <c r="GP148" s="712">
        <f t="shared" si="449"/>
        <v>0</v>
      </c>
      <c r="GQ148" s="712" t="str">
        <f t="shared" si="450"/>
        <v/>
      </c>
      <c r="GR148" s="712">
        <f>IF(GA148="P",Lookup!$N$12,IF(GA148="PP",Lookup!$N$13,IF(GA148="PPP",Lookup!$N$14,IF(GA148="T",Lookup!$N$15,IF(GA148="TP",Lookup!$N$16,IF(GA148="TPP",Lookup!$N$17,IF(GA148="TPPP",Lookup!$N$18,0)))))))*FZ148</f>
        <v>0</v>
      </c>
      <c r="GS148" s="697">
        <f t="shared" si="628"/>
        <v>0</v>
      </c>
      <c r="GT148" s="712">
        <f t="shared" si="451"/>
        <v>2471.8468493220298</v>
      </c>
      <c r="GU148" s="712">
        <f t="shared" si="452"/>
        <v>805.68671751043996</v>
      </c>
      <c r="GV148" s="712"/>
      <c r="GW148" s="712">
        <f t="shared" si="453"/>
        <v>0</v>
      </c>
      <c r="GX148" s="712" t="str">
        <f t="shared" si="454"/>
        <v/>
      </c>
      <c r="GY148" s="712">
        <f>IF(GA148="P",Lookup!$N$12,IF(GA148="PP",Lookup!$N$13,IF(GA148="PPP",Lookup!$N$14,IF(GA148="T",Lookup!$N$15,IF(GA148="TP",Lookup!$N$16,IF(GA148="TPP",Lookup!$N$17,IF(GA148="TPPP",Lookup!$N$18,0)))))))*FZ148</f>
        <v>0</v>
      </c>
      <c r="GZ148" s="697">
        <f t="shared" si="629"/>
        <v>0</v>
      </c>
      <c r="HA148" s="712">
        <f t="shared" si="455"/>
        <v>1853.8823268141714</v>
      </c>
      <c r="HB148" s="712">
        <f t="shared" si="456"/>
        <v>604.26412216889548</v>
      </c>
      <c r="HC148" s="712"/>
    </row>
    <row r="149" spans="1:211">
      <c r="A149" s="773" t="s">
        <v>3</v>
      </c>
      <c r="B149" s="708">
        <v>40678</v>
      </c>
      <c r="C149" s="709">
        <v>0.5</v>
      </c>
      <c r="D149" s="675">
        <f t="shared" si="617"/>
        <v>300</v>
      </c>
      <c r="E149" s="675">
        <f t="shared" si="618"/>
        <v>250</v>
      </c>
      <c r="F149" s="675">
        <v>250</v>
      </c>
      <c r="G149" s="712">
        <f>DH149+Sheet1!CV149</f>
        <v>5987.6922592130159</v>
      </c>
      <c r="H149" s="712">
        <f t="shared" si="389"/>
        <v>3603.4810763552932</v>
      </c>
      <c r="I149" s="711">
        <f>MAX(Sheet1!Z149-AJ149+(Sheet1!CW149-E149)*CFStoMGD,0)</f>
        <v>1821.3807800269947</v>
      </c>
      <c r="J149" s="720">
        <f>IF(AND(B149&gt;=Calculation!FS149,B149&lt;=Calculation!FT149),IF(Sheet1!CX149&gt;=Calculation!D149,64.64,0),MAX(Sheet1!Z149-AJ149+(Sheet1!CX149-D149)*CFStoMGD,0))</f>
        <v>64.64</v>
      </c>
      <c r="K149" s="697">
        <f t="shared" si="619"/>
        <v>64.64</v>
      </c>
      <c r="L149" s="712">
        <f>Sheet1!AA149+Sheet1!AB149-Sheet1!L149+(Sheet1!CW149-F149)*CFStoMGD</f>
        <v>1866.5246666666596</v>
      </c>
      <c r="M149" s="712">
        <f t="shared" si="390"/>
        <v>3947.8531618823995</v>
      </c>
      <c r="N149" s="712">
        <f>IF(Sheet1!CW149&gt;=F149,MIN(73,MIN(MAX(L149,0),MAX(M149,0))),0)</f>
        <v>73</v>
      </c>
      <c r="O149" s="721">
        <f>Sheet1!AA149+Sheet1!AB149</f>
        <v>52.429999999993015</v>
      </c>
      <c r="P149" s="721">
        <f t="shared" si="391"/>
        <v>81.10920999998919</v>
      </c>
      <c r="Q149" s="712">
        <f>MIN(N149,Sheet1!AA149+AG149)</f>
        <v>46.353886639670705</v>
      </c>
      <c r="R149" s="712">
        <f t="shared" si="392"/>
        <v>6.0761133603223083</v>
      </c>
      <c r="S149" s="721">
        <f>Sheet1!Y149*MGDtoCFS</f>
        <v>46.193419999999996</v>
      </c>
      <c r="T149" s="721">
        <f>Sheet1!Z149*MGDtoCFS</f>
        <v>36.52467</v>
      </c>
      <c r="U149" s="721">
        <f>Sheet1!AA149*MGDtoCFS</f>
        <v>46.456409999998193</v>
      </c>
      <c r="V149" s="721">
        <f>Sheet1!AB149*MGDtoCFS</f>
        <v>34.652799999990997</v>
      </c>
      <c r="W149" s="721">
        <f>Sheet1!L149*MGDtoCFS</f>
        <v>0</v>
      </c>
      <c r="X149" s="697">
        <f t="shared" si="620"/>
        <v>0</v>
      </c>
      <c r="Y149" s="712">
        <f t="shared" si="393"/>
        <v>0</v>
      </c>
      <c r="Z149" s="712">
        <f t="shared" si="394"/>
        <v>58.56388663967769</v>
      </c>
      <c r="AA149" s="712">
        <f t="shared" si="395"/>
        <v>90.598332631581385</v>
      </c>
      <c r="AB149" s="712">
        <f>(VLOOKUP(Sheet1!CY149,hhdcap_wcm,4)-(((VLOOKUP(Sheet1!CY149,hhdcap_wcm,3)-Sheet1!CY149)/(VLOOKUP(Sheet1!CY149,hhdcap_wcm,3)-VLOOKUP(Sheet1!CY149,hhdcap_wcm,1)))*(VLOOKUP(Sheet1!CY149,hhdcap_wcm,4)-VLOOKUP(Sheet1!CY149,hhdcap_wcm,2))))</f>
        <v>44217.100000106315</v>
      </c>
      <c r="AC149" s="712">
        <f t="shared" si="396"/>
        <v>8503.320000019412</v>
      </c>
      <c r="AD149" s="712">
        <f t="shared" si="621"/>
        <v>4431.1813929856798</v>
      </c>
      <c r="AE149" s="712">
        <f t="shared" si="397"/>
        <v>13594.864513680066</v>
      </c>
      <c r="AF149" s="712">
        <f>Sheet1!BA149+Sheet1!BB149+Sheet1!BN149+BT149</f>
        <v>16.2</v>
      </c>
      <c r="AG149" s="712">
        <f t="shared" si="398"/>
        <v>16.323886639671873</v>
      </c>
      <c r="AH149" s="712">
        <f>Sheet1!BA149+BT149</f>
        <v>0</v>
      </c>
      <c r="AI149" s="712">
        <f>Sheet1!BA149+Sheet1!BB149+BT149</f>
        <v>0</v>
      </c>
      <c r="AJ149" s="712">
        <f>IF((Sheet1!AA149+AG149+AX149+AZ149+BQ149+BS149+CL149+CN149)&lt;=N149,AG149+AX149+AZ149+BQ149+BS149+CL149+CN149,N149-Sheet1!AA149)</f>
        <v>16.323886639671873</v>
      </c>
      <c r="AK149" s="712">
        <f>IF(DR149&lt;K149,0,MAX(Sheet1!AA149+AG149-15/36*K149-N149,Sheet1!ED149,0))</f>
        <v>0</v>
      </c>
      <c r="AL149" s="712">
        <f>IF(OR(B149&gt;=FT149,B149&lt;FS149),0,15/36*K149-MAX(0,64.6-(137.6-(Sheet1!AA149+Sheet1!AB149))))</f>
        <v>26.933333333333334</v>
      </c>
      <c r="AM149" s="712">
        <f>Sheet1!CX149-110</f>
        <v>2805.73</v>
      </c>
      <c r="AN149" s="712">
        <f>Sheet1!CW149-265</f>
        <v>2791.4583333333335</v>
      </c>
      <c r="AO149" s="712">
        <f t="shared" si="622"/>
        <v>26.646113360329295</v>
      </c>
      <c r="AP149" s="712">
        <f t="shared" si="623"/>
        <v>0</v>
      </c>
      <c r="AQ149" s="712">
        <f t="shared" si="399"/>
        <v>0</v>
      </c>
      <c r="AR149" s="712">
        <f t="shared" si="400"/>
        <v>2046.9333333333345</v>
      </c>
      <c r="AS149" s="712"/>
      <c r="AT149" s="712">
        <f ca="1">IF(B149&gt;Summary!$A$1,#N/A,AR149*MGtoAF)</f>
        <v>6279.99146666667</v>
      </c>
      <c r="AU149" s="712">
        <f>Sheet1!BG149+Sheet1!BH149+Sheet1!BI149-BC149</f>
        <v>0</v>
      </c>
      <c r="AV149" s="712">
        <f t="shared" si="401"/>
        <v>0</v>
      </c>
      <c r="AW149" s="712">
        <f>IF(Sheet1!EL149="FM",BC149,0)</f>
        <v>0</v>
      </c>
      <c r="AX149" s="712">
        <f t="shared" si="402"/>
        <v>0</v>
      </c>
      <c r="AY149" s="712">
        <f>IF(Sheet1!EL149="OTHER",BC149,0)</f>
        <v>0</v>
      </c>
      <c r="AZ149" s="712">
        <f t="shared" si="403"/>
        <v>0</v>
      </c>
      <c r="BA149" s="712">
        <f t="shared" si="404"/>
        <v>0</v>
      </c>
      <c r="BB149" s="712">
        <f t="shared" si="405"/>
        <v>0</v>
      </c>
      <c r="BC149" s="712">
        <f>IF(OR(Sheet1!EL149="FM", Sheet1!EL149="OTHER"),SUM(Sheet1!BG149:'Sheet1'!BI149),0)</f>
        <v>0</v>
      </c>
      <c r="BD149" s="697">
        <f>IF(AND($B149&gt;=$FL149,$B149&lt;=$FM149),MAX(AV149,Sheet1!EE149,0),MAX(AV149-(7/36)*$K149,0))</f>
        <v>0</v>
      </c>
      <c r="BE149" s="712">
        <f t="shared" si="406"/>
        <v>12.568888888888889</v>
      </c>
      <c r="BF149" s="697">
        <f t="shared" si="624"/>
        <v>0</v>
      </c>
      <c r="BG149" s="697">
        <f>IF(AND($O149&gt;0,Sheet1!EI149=1),(1-($O149-Sheet1!$L149)/$O149)*BB149,0)</f>
        <v>0</v>
      </c>
      <c r="BH149" s="697">
        <f>IF(AND(Sheet1!$L149=0,Sheet1!$L148=0, Calculation!BA149&lt;Sheet1!$EE149-0.1,Sheet1!$EE149=Sheet1!$EE148,Sheet1!$EE149=Sheet1!$EE150),Sheet1!$EE149,BB149-BG149)</f>
        <v>0</v>
      </c>
      <c r="BI149" s="712"/>
      <c r="BJ149" s="712"/>
      <c r="BK149" s="712">
        <f t="shared" si="407"/>
        <v>955.23555555555424</v>
      </c>
      <c r="BL149" s="712"/>
      <c r="BM149" s="712">
        <f ca="1">IF(B149&gt;Summary!$A$1,#N/A,BK149*MGtoAF)</f>
        <v>2930.6626844444404</v>
      </c>
      <c r="BN149" s="712">
        <f>Sheet1!BC149+Sheet1!BD149+Sheet1!BE149+Sheet1!BF149-BW149-BX149</f>
        <v>1.7600000000000002</v>
      </c>
      <c r="BO149" s="712">
        <f t="shared" si="408"/>
        <v>1.7734592892483025</v>
      </c>
      <c r="BP149" s="712">
        <f>IF(Sheet1!EM149="FM",BX149,0)</f>
        <v>0</v>
      </c>
      <c r="BQ149" s="712">
        <f t="shared" si="409"/>
        <v>0</v>
      </c>
      <c r="BR149" s="712">
        <f>IF(Sheet1!EM149="OTHER",BX149,0)</f>
        <v>0</v>
      </c>
      <c r="BS149" s="712">
        <f t="shared" si="410"/>
        <v>0</v>
      </c>
      <c r="BT149" s="712">
        <f t="shared" si="411"/>
        <v>0</v>
      </c>
      <c r="BU149" s="712">
        <f t="shared" si="412"/>
        <v>1.7600000000000002</v>
      </c>
      <c r="BV149" s="712">
        <f t="shared" si="413"/>
        <v>1.7734592892483025</v>
      </c>
      <c r="BW149" s="712">
        <f>IF(Sheet1!EM149="CWA",SUM(Sheet1!BC149:'Sheet1'!BF149),0)</f>
        <v>0</v>
      </c>
      <c r="BX149" s="712">
        <f>IF(OR(Sheet1!EM149="FM", Sheet1!EM149="OTHER"),SUM(Sheet1!BC149:'Sheet1'!BF149),0)</f>
        <v>0</v>
      </c>
      <c r="BY149" s="697">
        <f>IF(AND($B149&gt;=$FL149,$B149&lt;=$FM149),MAX(BV149,Sheet1!EF149,0),MAX(BV149-(7/36)*$K149,0))</f>
        <v>0</v>
      </c>
      <c r="BZ149" s="712">
        <f t="shared" si="414"/>
        <v>10.795429599640586</v>
      </c>
      <c r="CA149" s="697">
        <f t="shared" si="625"/>
        <v>1.7734592892483025</v>
      </c>
      <c r="CB149" s="697">
        <f>IF(AND($O149&gt;0,Sheet1!EJ149=1),(1-($O149-Sheet1!$L149)/$O149)*BV149,0)</f>
        <v>0</v>
      </c>
      <c r="CC149" s="697">
        <f>IF(AND(Sheet1!$L149=0,Sheet1!$L148=0, Calculation!BU149&lt;Sheet1!EF149-0.1,Sheet1!EF149=Sheet1!EF148,Sheet1!EF149=Sheet1!EF150),Sheet1!EF149,BV149-CB149)</f>
        <v>2.5</v>
      </c>
      <c r="CD149" s="697"/>
      <c r="CE149" s="712"/>
      <c r="CF149" s="712">
        <f t="shared" si="415"/>
        <v>816.48214711008052</v>
      </c>
      <c r="CG149" s="712"/>
      <c r="CH149" s="712">
        <f ca="1">IF(B149&gt;Summary!$A$1,#N/A,CF149*MGtoAF)</f>
        <v>2504.9672273337269</v>
      </c>
      <c r="CI149" s="712">
        <f>Sheet1!BK149+Sheet1!BL149+Sheet1!BM149-Sheet1!EN149-CQ149</f>
        <v>4.2699999999999996</v>
      </c>
      <c r="CJ149" s="712">
        <f t="shared" si="416"/>
        <v>4.3026540710740058</v>
      </c>
      <c r="CK149" s="712">
        <f>IF(Sheet1!EN149="FM",CQ149,0)</f>
        <v>0</v>
      </c>
      <c r="CL149" s="712">
        <f t="shared" si="417"/>
        <v>0</v>
      </c>
      <c r="CM149" s="712">
        <f>IF(Sheet1!EN149="OTHER",CQ149,0)</f>
        <v>0</v>
      </c>
      <c r="CN149" s="712">
        <f t="shared" si="418"/>
        <v>0</v>
      </c>
      <c r="CO149" s="712">
        <f t="shared" si="419"/>
        <v>4.2699999999999996</v>
      </c>
      <c r="CP149" s="712">
        <f t="shared" si="420"/>
        <v>4.3026540710740058</v>
      </c>
      <c r="CQ149" s="712">
        <f>IF(OR(Sheet1!EN149="FM", Sheet1!EN149="OTHER"),SUM(Sheet1!BK149:'Sheet1'!BM149),0)</f>
        <v>0</v>
      </c>
      <c r="CR149" s="697">
        <f>IF(AND($B149&gt;=$FL149,$B149&lt;=$FM149),MAX($CJ149,Sheet1!EG149,0),MAX($CJ149-(7/36)*$K149,0))</f>
        <v>0</v>
      </c>
      <c r="CS149" s="712">
        <f t="shared" si="421"/>
        <v>8.2662348178148832</v>
      </c>
      <c r="CT149" s="697">
        <f t="shared" si="626"/>
        <v>4.3026540710740058</v>
      </c>
      <c r="CU149" s="697">
        <f>IF(AND($O149&gt;0,Sheet1!EK149=1),(1-($O149-Sheet1!$L149)/$O149)*CP149,0)</f>
        <v>0</v>
      </c>
      <c r="CV149" s="697">
        <f>IF(AND(Sheet1!$L149=0,Sheet1!$L148=0, Calculation!CO149&lt;Sheet1!$EG149-0.1,Sheet1!$EG149=Sheet1!$EG148,Sheet1!$EG149=Sheet1!$EG150),Sheet1!$EG149,CP149-CU149)</f>
        <v>6</v>
      </c>
      <c r="CW149" s="874">
        <f t="shared" si="613"/>
        <v>-1.6973459289259942</v>
      </c>
      <c r="CX149" s="712">
        <f t="shared" si="630"/>
        <v>6.0299999999999994</v>
      </c>
      <c r="CY149" s="712">
        <f t="shared" si="422"/>
        <v>612.53035698671033</v>
      </c>
      <c r="CZ149" s="712">
        <f t="shared" si="423"/>
        <v>6.0761133603223083</v>
      </c>
      <c r="DA149" s="712">
        <f ca="1">IF(B149&gt;Summary!$A$1,#N/A,CY149*MGtoAF)</f>
        <v>1879.2431352352273</v>
      </c>
      <c r="DB149" s="712">
        <f t="shared" si="424"/>
        <v>6.0299999999999994</v>
      </c>
      <c r="DC149" s="712">
        <f t="shared" si="425"/>
        <v>22.229999999999997</v>
      </c>
      <c r="DD149" s="712">
        <f>Sheet1!AB149-DC149</f>
        <v>0.16999999999418236</v>
      </c>
      <c r="DE149" s="712">
        <f t="shared" si="426"/>
        <v>7.6473234365354199E-3</v>
      </c>
      <c r="DF149" s="712">
        <f>(VLOOKUP(Sheet1!CY149,hhdcap_wcm,4)-(((VLOOKUP(Sheet1!CY149,hhdcap_wcm,3)-Sheet1!CY149)/(VLOOKUP(Sheet1!CY149,hhdcap_wcm,3)-VLOOKUP(Sheet1!CY149,hhdcap_wcm,1)))*(VLOOKUP(Sheet1!CY149,hhdcap_wcm,4)-VLOOKUP(Sheet1!CY149,hhdcap_wcm,2))))</f>
        <v>44217.100000106315</v>
      </c>
      <c r="DG149" s="712">
        <f t="shared" si="427"/>
        <v>8503.320000019412</v>
      </c>
      <c r="DH149" s="712">
        <f t="shared" si="428"/>
        <v>4288.1089258796828</v>
      </c>
      <c r="DI149" s="712">
        <f>Sheet1!DW149*AFtoMG</f>
        <v>0</v>
      </c>
      <c r="DJ149" s="712">
        <f>Sheet1!DX149*AFtoMG</f>
        <v>0</v>
      </c>
      <c r="DK149" s="712">
        <f>Sheet1!DY149*AFtoMG</f>
        <v>0</v>
      </c>
      <c r="DL149" s="712">
        <f>Sheet1!DZ149*AFtoMG</f>
        <v>0</v>
      </c>
      <c r="DM149" s="712">
        <f t="shared" si="429"/>
        <v>0</v>
      </c>
      <c r="DN149" s="712">
        <f t="shared" si="430"/>
        <v>0</v>
      </c>
      <c r="DO149" s="712">
        <f t="shared" si="431"/>
        <v>4431.1813929856798</v>
      </c>
      <c r="DP149" s="712">
        <f t="shared" si="432"/>
        <v>13594.864513680066</v>
      </c>
      <c r="DQ149" s="712"/>
      <c r="DR149" s="697">
        <f>IF(OR(B149&lt;FL149,B149&gt;FM149),(MIN(AV149+BO149+CJ149+MAX(Sheet1!AA149+AG149-73,0),K149)),0)</f>
        <v>6.0761133603223083</v>
      </c>
      <c r="DS149" s="712"/>
      <c r="DT149" s="712">
        <f t="shared" si="433"/>
        <v>6.0761133603223083</v>
      </c>
      <c r="DU149" s="712"/>
      <c r="DV149" s="712">
        <f>Sheet1!ED149+Sheet1!EE149+Sheet1!EF149+Sheet1!EG149</f>
        <v>8.5</v>
      </c>
      <c r="DW149" s="712"/>
      <c r="DX149" s="697">
        <f t="shared" si="627"/>
        <v>0</v>
      </c>
      <c r="DY149" s="712">
        <f>IF(Sheet1!FN149=1,SUM('Calculations II'!AT149:BA149)+'Calculations II'!BC149+Sheet1!BU149+'Calculations II'!BE149+AF149,SUM('Calculations II'!AT149:BA149)+'Calculations II'!BC149+Sheet1!BU149+'Calculations II'!BE149+AF149)</f>
        <v>44.307263999999996</v>
      </c>
      <c r="DZ149" s="712">
        <f>Sheet1!AA149+Sheet1!AB149+'Calculations II'!BC149</f>
        <v>52.429999999993015</v>
      </c>
      <c r="EA149" s="712"/>
      <c r="EB149" s="712"/>
      <c r="EC149" s="712">
        <f t="shared" si="434"/>
        <v>40678</v>
      </c>
      <c r="ED149" s="712">
        <f t="shared" si="435"/>
        <v>58.56388663967769</v>
      </c>
      <c r="EE149" s="712">
        <f t="shared" si="436"/>
        <v>90.598332631581385</v>
      </c>
      <c r="EF149" s="712">
        <f>-(VLOOKUP(Sheet1!BQ149,Lookup!$B$4:$J$236,2)-VLOOKUP(Sheet1!BQ148,Lookup!$B$4:$J$236,2))/1000000</f>
        <v>-0.2671</v>
      </c>
      <c r="EG149" s="712">
        <f>-(VLOOKUP(Sheet1!BR149,Lookup!$B$4:$J$236,3)-VLOOKUP(Sheet1!BR148,Lookup!$B$4:$J$236,3))/1000000</f>
        <v>9.8453999999999997</v>
      </c>
      <c r="EH149" s="712">
        <f>-(VLOOKUP(Sheet1!BS149,Lookup!$B$4:$J$236,4)-VLOOKUP(Sheet1!BS148,Lookup!$B$4:$J$236,4))/1000000</f>
        <v>0</v>
      </c>
      <c r="EI149" s="697">
        <f t="shared" si="631"/>
        <v>9.5783000000000005</v>
      </c>
      <c r="EJ149" s="712"/>
      <c r="EK149" s="712"/>
      <c r="EL149" s="712"/>
      <c r="EM149" s="712"/>
      <c r="EN149" s="712"/>
      <c r="EO149" s="712"/>
      <c r="EP149" s="712"/>
      <c r="EQ149" s="712"/>
      <c r="ES149" s="712"/>
      <c r="ET149" s="794" t="e">
        <f t="shared" si="437"/>
        <v>#N/A</v>
      </c>
      <c r="EU149" s="697">
        <f>IF(AE149&lt;=0,0,MIN(MAX(AB149-AE149-25000-1220-ES149*1.983,0),5000))</f>
        <v>4402.2354864262488</v>
      </c>
      <c r="EV149" s="795">
        <f>IF(DF149-AE149-EU149-1220&lt;0,0,DF149-AE149-EU149-1220)</f>
        <v>25000</v>
      </c>
      <c r="EW149" s="796" t="s">
        <v>757</v>
      </c>
      <c r="EX149" s="796" t="s">
        <v>757</v>
      </c>
      <c r="EY149" s="794">
        <v>0</v>
      </c>
      <c r="EZ149" s="794" t="e">
        <v>#N/A</v>
      </c>
      <c r="FA149" s="712"/>
      <c r="FB149" s="712"/>
      <c r="FC149" s="712"/>
      <c r="FD149" s="712"/>
      <c r="FE149" s="712">
        <f>O149+Sheet1!CO149</f>
        <v>52.429999999993015</v>
      </c>
      <c r="FF149" s="712">
        <f>IF(Sheet1!AA149+AG149&lt;=Calculation!N149,AG149,Calculation!N149-Sheet1!AA149)</f>
        <v>16.323886639671873</v>
      </c>
      <c r="FG149" s="712">
        <f>(Sheet1!BP149+Sheet1!BO149)/694.4</f>
        <v>1.7255184331797235</v>
      </c>
      <c r="FH149" s="712"/>
      <c r="FI149" s="712"/>
      <c r="FJ149" s="712"/>
      <c r="FK149" s="712"/>
      <c r="FL149" s="714">
        <f t="shared" si="632"/>
        <v>40753</v>
      </c>
      <c r="FM149" s="714">
        <f t="shared" si="633"/>
        <v>40851</v>
      </c>
      <c r="FN149" s="712"/>
      <c r="FO149" s="712"/>
      <c r="FP149" s="712"/>
      <c r="FQ149" s="712"/>
      <c r="FR149" s="712"/>
      <c r="FS149" s="725">
        <f t="shared" si="634"/>
        <v>40603</v>
      </c>
      <c r="FT149" s="714">
        <f t="shared" si="635"/>
        <v>40709</v>
      </c>
      <c r="FU149" s="712">
        <f t="shared" si="636"/>
        <v>6518.9048239895692</v>
      </c>
      <c r="FV149" s="714">
        <f t="shared" si="637"/>
        <v>40722</v>
      </c>
      <c r="FW149" s="712">
        <f t="shared" si="638"/>
        <v>3259.4524119947846</v>
      </c>
      <c r="FX149" s="725">
        <f t="shared" si="639"/>
        <v>40851</v>
      </c>
      <c r="FZ149" s="697">
        <f t="shared" si="616"/>
        <v>0</v>
      </c>
      <c r="GA149" s="712" t="str">
        <f t="shared" si="438"/>
        <v/>
      </c>
      <c r="GB149" s="712">
        <f t="shared" si="439"/>
        <v>0</v>
      </c>
      <c r="GC149" s="712" t="str">
        <f t="shared" si="440"/>
        <v/>
      </c>
      <c r="GD149" s="712">
        <f>IF(GA149="P",Lookup!$M$12,IF(GA149="PP",Lookup!$M$13,IF(GA149="PPP",Lookup!$M$14,IF(GA149="T",Lookup!$M$15,IF(GA149="TP",Lookup!$M$16,IF(GA149="TPP",Lookup!$M$17,IF(GA149="TPPP",Lookup!$M$18,0)))))))*FZ149</f>
        <v>0</v>
      </c>
      <c r="GE149" s="712">
        <f t="shared" si="441"/>
        <v>0</v>
      </c>
      <c r="GF149" s="712">
        <f t="shared" si="442"/>
        <v>6279.99146666667</v>
      </c>
      <c r="GG149" s="712">
        <f t="shared" si="443"/>
        <v>2046.9333333333345</v>
      </c>
      <c r="GH149" s="712"/>
      <c r="GI149" s="712">
        <f t="shared" si="444"/>
        <v>0</v>
      </c>
      <c r="GJ149" s="712" t="str">
        <f t="shared" si="445"/>
        <v/>
      </c>
      <c r="GK149" s="712">
        <f>IF(GA149="P",Lookup!$N$12,IF(GA149="PP",Lookup!$N$13,IF(GA149="PPP",Lookup!$N$14,IF(GA149="T",Lookup!$N$15,IF(GA149="TP",Lookup!$N$16,IF(GA149="TPP",Lookup!$N$17,IF(GA149="TPPP",Lookup!$N$18,0)))))))*FZ149</f>
        <v>0</v>
      </c>
      <c r="GL149" s="712">
        <f t="shared" si="446"/>
        <v>0</v>
      </c>
      <c r="GM149" s="712">
        <f t="shared" si="447"/>
        <v>2930.6626844444404</v>
      </c>
      <c r="GN149" s="712">
        <f t="shared" si="448"/>
        <v>955.23555555555424</v>
      </c>
      <c r="GO149" s="712"/>
      <c r="GP149" s="712">
        <f t="shared" si="449"/>
        <v>0</v>
      </c>
      <c r="GQ149" s="712" t="str">
        <f t="shared" si="450"/>
        <v/>
      </c>
      <c r="GR149" s="712">
        <f>IF(GA149="P",Lookup!$N$12,IF(GA149="PP",Lookup!$N$13,IF(GA149="PPP",Lookup!$N$14,IF(GA149="T",Lookup!$N$15,IF(GA149="TP",Lookup!$N$16,IF(GA149="TPP",Lookup!$N$17,IF(GA149="TPPP",Lookup!$N$18,0)))))))*FZ149</f>
        <v>0</v>
      </c>
      <c r="GS149" s="697">
        <f t="shared" si="628"/>
        <v>0</v>
      </c>
      <c r="GT149" s="712">
        <f t="shared" si="451"/>
        <v>2504.9672273337269</v>
      </c>
      <c r="GU149" s="712">
        <f t="shared" si="452"/>
        <v>816.48214711008052</v>
      </c>
      <c r="GV149" s="712"/>
      <c r="GW149" s="712">
        <f t="shared" si="453"/>
        <v>0</v>
      </c>
      <c r="GX149" s="712" t="str">
        <f t="shared" si="454"/>
        <v/>
      </c>
      <c r="GY149" s="712">
        <f>IF(GA149="P",Lookup!$N$12,IF(GA149="PP",Lookup!$N$13,IF(GA149="PPP",Lookup!$N$14,IF(GA149="T",Lookup!$N$15,IF(GA149="TP",Lookup!$N$16,IF(GA149="TPP",Lookup!$N$17,IF(GA149="TPPP",Lookup!$N$18,0)))))))*FZ149</f>
        <v>0</v>
      </c>
      <c r="GZ149" s="697">
        <f t="shared" si="629"/>
        <v>0</v>
      </c>
      <c r="HA149" s="712">
        <f t="shared" si="455"/>
        <v>1879.2431352352273</v>
      </c>
      <c r="HB149" s="712">
        <f t="shared" si="456"/>
        <v>612.53035698671033</v>
      </c>
      <c r="HC149" s="712"/>
    </row>
    <row r="150" spans="1:211">
      <c r="A150" s="773" t="s">
        <v>4</v>
      </c>
      <c r="B150" s="708">
        <v>40679</v>
      </c>
      <c r="C150" s="719">
        <v>0.5</v>
      </c>
      <c r="D150" s="675">
        <f t="shared" si="617"/>
        <v>300</v>
      </c>
      <c r="E150" s="675">
        <f t="shared" si="618"/>
        <v>250</v>
      </c>
      <c r="F150" s="710">
        <v>250</v>
      </c>
      <c r="G150" s="712">
        <f>DH150+Sheet1!CV150</f>
        <v>2987.0619011622657</v>
      </c>
      <c r="H150" s="712">
        <f t="shared" si="389"/>
        <v>1663.8736129112885</v>
      </c>
      <c r="I150" s="711">
        <f>MAX(Sheet1!Z150-AJ150+(Sheet1!CW150-E150)*CFStoMGD,0)</f>
        <v>3819.8719999999967</v>
      </c>
      <c r="J150" s="720">
        <f>IF(AND(B150&gt;=Calculation!FS150,B150&lt;=Calculation!FT150),IF(Sheet1!CX150&gt;=Calculation!D150,64.64,0),MAX(Sheet1!Z150-AJ150+(Sheet1!CX150-D150)*CFStoMGD,0))</f>
        <v>64.64</v>
      </c>
      <c r="K150" s="697">
        <f t="shared" si="619"/>
        <v>64.64</v>
      </c>
      <c r="L150" s="712">
        <f>Sheet1!AA150+Sheet1!AB150-Sheet1!L150+(Sheet1!CW150-F150)*CFStoMGD</f>
        <v>3832.3720000000003</v>
      </c>
      <c r="M150" s="712">
        <f t="shared" si="390"/>
        <v>1969.4535491695144</v>
      </c>
      <c r="N150" s="712">
        <f>IF(Sheet1!CW150&gt;=F150,MIN(73,MIN(MAX(L150,0),MAX(M150,0))),0)</f>
        <v>73</v>
      </c>
      <c r="O150" s="721">
        <f>Sheet1!AA150+Sheet1!AB150</f>
        <v>48.110000000000582</v>
      </c>
      <c r="P150" s="721">
        <f t="shared" si="391"/>
        <v>74.426170000000894</v>
      </c>
      <c r="Q150" s="712">
        <f>MIN(N150,Sheet1!AA150+AG150)</f>
        <v>48.110000000000582</v>
      </c>
      <c r="R150" s="712">
        <f t="shared" si="392"/>
        <v>0</v>
      </c>
      <c r="S150" s="721">
        <f>Sheet1!Y150*MGDtoCFS</f>
        <v>46.982390000000002</v>
      </c>
      <c r="T150" s="721">
        <f>Sheet1!Z150*MGDtoCFS</f>
        <v>28.480269999999997</v>
      </c>
      <c r="U150" s="721">
        <f>Sheet1!AA150*MGDtoCFS</f>
        <v>47.276319999996396</v>
      </c>
      <c r="V150" s="721">
        <f>Sheet1!AB150*MGDtoCFS</f>
        <v>27.149850000004502</v>
      </c>
      <c r="W150" s="721">
        <f>Sheet1!L150*MGDtoCFS</f>
        <v>53.758249999999997</v>
      </c>
      <c r="X150" s="697">
        <f t="shared" si="620"/>
        <v>0</v>
      </c>
      <c r="Y150" s="712">
        <f t="shared" si="393"/>
        <v>0</v>
      </c>
      <c r="Z150" s="712">
        <f t="shared" si="394"/>
        <v>64.64</v>
      </c>
      <c r="AA150" s="712">
        <f t="shared" si="395"/>
        <v>99.998080000000002</v>
      </c>
      <c r="AB150" s="712">
        <f>(VLOOKUP(Sheet1!CY150,hhdcap_wcm,4)-(((VLOOKUP(Sheet1!CY150,hhdcap_wcm,3)-Sheet1!CY150)/(VLOOKUP(Sheet1!CY150,hhdcap_wcm,3)-VLOOKUP(Sheet1!CY150,hhdcap_wcm,1)))*(VLOOKUP(Sheet1!CY150,hhdcap_wcm,4)-VLOOKUP(Sheet1!CY150,hhdcap_wcm,2))))</f>
        <v>46770.170000111088</v>
      </c>
      <c r="AC150" s="712">
        <f t="shared" si="396"/>
        <v>2553.0700000047727</v>
      </c>
      <c r="AD150" s="712">
        <f t="shared" si="621"/>
        <v>4495.8213929856793</v>
      </c>
      <c r="AE150" s="712">
        <f t="shared" si="397"/>
        <v>13793.180033680064</v>
      </c>
      <c r="AF150" s="712">
        <f>Sheet1!BA150+Sheet1!BB150+Sheet1!BN150+BT150</f>
        <v>17.899999999999999</v>
      </c>
      <c r="AG150" s="712">
        <f t="shared" si="398"/>
        <v>17.55000000000291</v>
      </c>
      <c r="AH150" s="712">
        <f>Sheet1!BA150+BT150</f>
        <v>0</v>
      </c>
      <c r="AI150" s="712">
        <f>Sheet1!BA150+Sheet1!BB150+BT150</f>
        <v>0</v>
      </c>
      <c r="AJ150" s="712">
        <f>IF((Sheet1!AA150+AG150+AX150+AZ150+BQ150+BS150+CL150+CN150)&lt;=N150,AG150+AX150+AZ150+BQ150+BS150+CL150+CN150,N150-Sheet1!AA150)</f>
        <v>17.55000000000291</v>
      </c>
      <c r="AK150" s="712">
        <f>IF(DR150&lt;K150,0,MAX(Sheet1!AA150+AG150-15/36*K150-N150,Sheet1!ED150,0))</f>
        <v>0</v>
      </c>
      <c r="AL150" s="712">
        <f>IF(OR(B150&gt;=FT150,B150&lt;FS150),0,15/36*K150-MAX(0,64.6-(137.6-(Sheet1!AA150+Sheet1!AB150))))</f>
        <v>26.933333333333334</v>
      </c>
      <c r="AM150" s="712">
        <f>Sheet1!CX150-110</f>
        <v>4352.604166666667</v>
      </c>
      <c r="AN150" s="712">
        <f>Sheet1!CW150-265</f>
        <v>5893.125</v>
      </c>
      <c r="AO150" s="712">
        <f t="shared" si="622"/>
        <v>24.889999999999418</v>
      </c>
      <c r="AP150" s="712">
        <f t="shared" si="623"/>
        <v>0</v>
      </c>
      <c r="AQ150" s="712">
        <f t="shared" si="399"/>
        <v>0</v>
      </c>
      <c r="AR150" s="712">
        <f t="shared" si="400"/>
        <v>2073.8666666666677</v>
      </c>
      <c r="AS150" s="712"/>
      <c r="AT150" s="712">
        <f ca="1">IF(B150&gt;Summary!$A$1,#N/A,AR150*MGtoAF)</f>
        <v>6362.6229333333367</v>
      </c>
      <c r="AU150" s="712">
        <f>Sheet1!BG150+Sheet1!BH150+Sheet1!BI150-BC150</f>
        <v>0</v>
      </c>
      <c r="AV150" s="712">
        <f t="shared" si="401"/>
        <v>0</v>
      </c>
      <c r="AW150" s="712">
        <f>IF(Sheet1!EL150="FM",BC150,0)</f>
        <v>0</v>
      </c>
      <c r="AX150" s="712">
        <f t="shared" si="402"/>
        <v>0</v>
      </c>
      <c r="AY150" s="712">
        <f>IF(Sheet1!EL150="OTHER",BC150,0)</f>
        <v>0</v>
      </c>
      <c r="AZ150" s="712">
        <f t="shared" si="403"/>
        <v>0</v>
      </c>
      <c r="BA150" s="712">
        <f t="shared" si="404"/>
        <v>0</v>
      </c>
      <c r="BB150" s="712">
        <f t="shared" si="405"/>
        <v>0</v>
      </c>
      <c r="BC150" s="712">
        <f>IF(OR(Sheet1!EL150="FM", Sheet1!EL150="OTHER"),SUM(Sheet1!BG150:'Sheet1'!BI150),0)</f>
        <v>0</v>
      </c>
      <c r="BD150" s="697">
        <f>IF(AND($B150&gt;=$FL150,$B150&lt;=$FM150),MAX(AV150,Sheet1!EE150,0),MAX(AV150-(7/36)*$K150,0))</f>
        <v>0</v>
      </c>
      <c r="BE150" s="712">
        <f t="shared" si="406"/>
        <v>12.568888888888889</v>
      </c>
      <c r="BF150" s="697">
        <f t="shared" si="624"/>
        <v>0</v>
      </c>
      <c r="BG150" s="697">
        <f>IF(AND($O150&gt;0,Sheet1!EI150=1),(1-($O150-Sheet1!$L150)/$O150)*BB150,0)</f>
        <v>0</v>
      </c>
      <c r="BH150" s="697">
        <f>IF(AND(Sheet1!$L150=0,Sheet1!$L149=0, Calculation!BA150&lt;Sheet1!$EE150-0.1,Sheet1!$EE150=Sheet1!$EE149,Sheet1!$EE150=Sheet1!$EE151),Sheet1!$EE150,BB150-BG150)</f>
        <v>0</v>
      </c>
      <c r="BI150" s="712"/>
      <c r="BJ150" s="712"/>
      <c r="BK150" s="712">
        <f t="shared" si="407"/>
        <v>967.80444444444311</v>
      </c>
      <c r="BL150" s="712"/>
      <c r="BM150" s="712">
        <f ca="1">IF(B150&gt;Summary!$A$1,#N/A,BK150*MGtoAF)</f>
        <v>2969.2240355555514</v>
      </c>
      <c r="BN150" s="712">
        <f>Sheet1!BC150+Sheet1!BD150+Sheet1!BE150+Sheet1!BF150-BW150-BX150</f>
        <v>0</v>
      </c>
      <c r="BO150" s="712">
        <f t="shared" si="408"/>
        <v>0</v>
      </c>
      <c r="BP150" s="712">
        <f>IF(Sheet1!EM150="FM",BX150,0)</f>
        <v>0</v>
      </c>
      <c r="BQ150" s="712">
        <f t="shared" si="409"/>
        <v>0</v>
      </c>
      <c r="BR150" s="712">
        <f>IF(Sheet1!EM150="OTHER",BX150,0)</f>
        <v>0</v>
      </c>
      <c r="BS150" s="712">
        <f t="shared" si="410"/>
        <v>0</v>
      </c>
      <c r="BT150" s="712">
        <f t="shared" si="411"/>
        <v>0</v>
      </c>
      <c r="BU150" s="712">
        <f t="shared" si="412"/>
        <v>0</v>
      </c>
      <c r="BV150" s="712">
        <f t="shared" si="413"/>
        <v>0</v>
      </c>
      <c r="BW150" s="712">
        <f>IF(Sheet1!EM150="CWA",SUM(Sheet1!BC150:'Sheet1'!BF150),0)</f>
        <v>0</v>
      </c>
      <c r="BX150" s="712">
        <f>IF(OR(Sheet1!EM150="FM", Sheet1!EM150="OTHER"),SUM(Sheet1!BC150:'Sheet1'!BF150),0)</f>
        <v>0</v>
      </c>
      <c r="BY150" s="697">
        <f>IF(AND($B150&gt;=$FL150,$B150&lt;=$FM150),MAX(BV150,Sheet1!EF150,0),MAX(BV150-(7/36)*$K150,0))</f>
        <v>0</v>
      </c>
      <c r="BZ150" s="712">
        <f t="shared" si="414"/>
        <v>12.568888888888889</v>
      </c>
      <c r="CA150" s="697">
        <f t="shared" si="625"/>
        <v>0</v>
      </c>
      <c r="CB150" s="697">
        <f>IF(AND($O150&gt;0,Sheet1!EJ150=1),(1-($O150-Sheet1!$L150)/$O150)*BV150,0)</f>
        <v>0</v>
      </c>
      <c r="CC150" s="697">
        <f>IF(AND(Sheet1!$L150=0,Sheet1!$L149=0, Calculation!BU150&lt;Sheet1!EF150-0.1,Sheet1!EF150=Sheet1!EF149,Sheet1!EF150=Sheet1!EF151),Sheet1!EF150,BV150-CB150)</f>
        <v>0</v>
      </c>
      <c r="CD150" s="697"/>
      <c r="CE150" s="712"/>
      <c r="CF150" s="712">
        <f t="shared" si="415"/>
        <v>829.05103599896938</v>
      </c>
      <c r="CG150" s="712"/>
      <c r="CH150" s="712">
        <f ca="1">IF(B150&gt;Summary!$A$1,#N/A,CF150*MGtoAF)</f>
        <v>2543.5285784448383</v>
      </c>
      <c r="CI150" s="712">
        <f>Sheet1!BK150+Sheet1!BL150+Sheet1!BM150-Sheet1!EN150-CQ150</f>
        <v>0</v>
      </c>
      <c r="CJ150" s="712">
        <f t="shared" si="416"/>
        <v>0</v>
      </c>
      <c r="CK150" s="712">
        <f>IF(Sheet1!EN150="FM",CQ150,0)</f>
        <v>0</v>
      </c>
      <c r="CL150" s="712">
        <f t="shared" si="417"/>
        <v>0</v>
      </c>
      <c r="CM150" s="712">
        <f>IF(Sheet1!EN150="OTHER",CQ150,0)</f>
        <v>0</v>
      </c>
      <c r="CN150" s="712">
        <f t="shared" si="418"/>
        <v>0</v>
      </c>
      <c r="CO150" s="712">
        <f t="shared" si="419"/>
        <v>0</v>
      </c>
      <c r="CP150" s="712">
        <f t="shared" si="420"/>
        <v>0</v>
      </c>
      <c r="CQ150" s="712">
        <f>IF(OR(Sheet1!EN150="FM", Sheet1!EN150="OTHER"),SUM(Sheet1!BK150:'Sheet1'!BM150),0)</f>
        <v>0</v>
      </c>
      <c r="CR150" s="697">
        <f>IF(AND($B150&gt;=$FL150,$B150&lt;=$FM150),MAX($CJ150,Sheet1!EG150,0),MAX($CJ150-(7/36)*$K150,0))</f>
        <v>0</v>
      </c>
      <c r="CS150" s="712">
        <f t="shared" si="421"/>
        <v>12.568888888888889</v>
      </c>
      <c r="CT150" s="697">
        <f t="shared" si="626"/>
        <v>0</v>
      </c>
      <c r="CU150" s="697">
        <f>IF(AND($O150&gt;0,Sheet1!EK150=1),(1-($O150-Sheet1!$L150)/$O150)*CP150,0)</f>
        <v>0</v>
      </c>
      <c r="CV150" s="697">
        <f>IF(AND(Sheet1!$L150=0,Sheet1!$L149=0, Calculation!CO150&lt;Sheet1!$EG150-0.1,Sheet1!$EG150=Sheet1!$EG149,Sheet1!$EG150=Sheet1!$EG151),Sheet1!$EG150,CP150-CU150)</f>
        <v>0</v>
      </c>
      <c r="CW150" s="697">
        <f t="shared" si="613"/>
        <v>0</v>
      </c>
      <c r="CX150" s="712">
        <f t="shared" si="630"/>
        <v>0</v>
      </c>
      <c r="CY150" s="712">
        <f t="shared" si="422"/>
        <v>625.09924587559919</v>
      </c>
      <c r="CZ150" s="712">
        <f t="shared" si="423"/>
        <v>0</v>
      </c>
      <c r="DA150" s="712">
        <f ca="1">IF(B150&gt;Summary!$A$1,#N/A,CY150*MGtoAF)</f>
        <v>1917.8044863463383</v>
      </c>
      <c r="DB150" s="712">
        <f t="shared" si="424"/>
        <v>0</v>
      </c>
      <c r="DC150" s="712">
        <f t="shared" si="425"/>
        <v>17.899999999999999</v>
      </c>
      <c r="DD150" s="712">
        <f>Sheet1!AB150-DC150</f>
        <v>-0.3499999999970882</v>
      </c>
      <c r="DE150" s="712">
        <f t="shared" si="426"/>
        <v>-1.9553072625535656E-2</v>
      </c>
      <c r="DF150" s="712">
        <f>(VLOOKUP(Sheet1!CY150,hhdcap_wcm,4)-(((VLOOKUP(Sheet1!CY150,hhdcap_wcm,3)-Sheet1!CY150)/(VLOOKUP(Sheet1!CY150,hhdcap_wcm,3)-VLOOKUP(Sheet1!CY150,hhdcap_wcm,1)))*(VLOOKUP(Sheet1!CY150,hhdcap_wcm,4)-VLOOKUP(Sheet1!CY150,hhdcap_wcm,2))))</f>
        <v>46770.170000111088</v>
      </c>
      <c r="DG150" s="712">
        <f t="shared" si="427"/>
        <v>2553.0700000047727</v>
      </c>
      <c r="DH150" s="712">
        <f t="shared" si="428"/>
        <v>1287.4785678289322</v>
      </c>
      <c r="DI150" s="712">
        <f>Sheet1!DW150*AFtoMG</f>
        <v>0</v>
      </c>
      <c r="DJ150" s="712">
        <f>Sheet1!DX150*AFtoMG</f>
        <v>0</v>
      </c>
      <c r="DK150" s="712">
        <f>Sheet1!DY150*AFtoMG</f>
        <v>0</v>
      </c>
      <c r="DL150" s="712">
        <f>Sheet1!DZ150*AFtoMG</f>
        <v>0</v>
      </c>
      <c r="DM150" s="712">
        <f t="shared" si="429"/>
        <v>0</v>
      </c>
      <c r="DN150" s="712">
        <f t="shared" si="430"/>
        <v>0</v>
      </c>
      <c r="DO150" s="712">
        <f t="shared" si="431"/>
        <v>4495.8213929856793</v>
      </c>
      <c r="DP150" s="712">
        <f t="shared" si="432"/>
        <v>13793.180033680064</v>
      </c>
      <c r="DQ150" s="712"/>
      <c r="DR150" s="697">
        <f>IF(OR(B150&lt;FL150,B150&gt;FM150),(MIN(AV150+BO150+CJ150+MAX(Sheet1!AA150+AG150-73,0),K150)),0)</f>
        <v>0</v>
      </c>
      <c r="DS150" s="712"/>
      <c r="DT150" s="712">
        <f t="shared" si="433"/>
        <v>0</v>
      </c>
      <c r="DU150" s="712"/>
      <c r="DV150" s="712">
        <f>Sheet1!ED150+Sheet1!EE150+Sheet1!EF150+Sheet1!EG150</f>
        <v>8.5</v>
      </c>
      <c r="DW150" s="712"/>
      <c r="DX150" s="697">
        <f t="shared" si="627"/>
        <v>0</v>
      </c>
      <c r="DY150" s="712">
        <f>IF(Sheet1!FN150=1,SUM('Calculations II'!AT150:BA150)+'Calculations II'!BC150+Sheet1!BU150+'Calculations II'!BE150+AF150,SUM('Calculations II'!AT150:BA150)+'Calculations II'!BC150+Sheet1!BU150+'Calculations II'!BE150+AF150)</f>
        <v>43.440176000000001</v>
      </c>
      <c r="DZ150" s="712">
        <f>Sheet1!AA150+Sheet1!AB150+'Calculations II'!BC150</f>
        <v>48.110000000000582</v>
      </c>
      <c r="EA150" s="712"/>
      <c r="EB150" s="712"/>
      <c r="EC150" s="712">
        <f t="shared" si="434"/>
        <v>40679</v>
      </c>
      <c r="ED150" s="712">
        <f t="shared" si="435"/>
        <v>64.64</v>
      </c>
      <c r="EE150" s="712">
        <f t="shared" si="436"/>
        <v>99.998080000000002</v>
      </c>
      <c r="EF150" s="712">
        <f>-(VLOOKUP(Sheet1!BQ150,Lookup!$B$4:$J$236,2)-VLOOKUP(Sheet1!BQ149,Lookup!$B$4:$J$236,2))/1000000</f>
        <v>-2.6913999999999998</v>
      </c>
      <c r="EG150" s="712">
        <f>-(VLOOKUP(Sheet1!BR150,Lookup!$B$4:$J$236,3)-VLOOKUP(Sheet1!BR149,Lookup!$B$4:$J$236,3))/1000000</f>
        <v>5.6818999999999997</v>
      </c>
      <c r="EH150" s="712">
        <f>-(VLOOKUP(Sheet1!BS150,Lookup!$B$4:$J$236,4)-VLOOKUP(Sheet1!BS149,Lookup!$B$4:$J$236,4))/1000000</f>
        <v>0</v>
      </c>
      <c r="EI150" s="697">
        <f t="shared" si="631"/>
        <v>2.9904999999999999</v>
      </c>
      <c r="EJ150" s="712"/>
      <c r="EK150" s="712"/>
      <c r="EL150" s="712"/>
      <c r="EM150" s="712"/>
      <c r="EN150" s="712"/>
      <c r="EO150" s="712"/>
      <c r="EP150" s="712"/>
      <c r="EQ150" s="712"/>
      <c r="ES150" s="712"/>
      <c r="ET150" s="794" t="e">
        <f t="shared" si="437"/>
        <v>#N/A</v>
      </c>
      <c r="EU150" s="697">
        <f>IF(AE150&lt;=0,0,MIN(MAX(AB150-AE150-25000-1220-ES150*1.983,0),5000))</f>
        <v>5000</v>
      </c>
      <c r="EV150" s="795">
        <f t="shared" ref="EV150:EV213" si="640">IF(DF150-AE150-EU150-1220&lt;0,0,DF150-AE150-EU150-1220)</f>
        <v>26756.989966431021</v>
      </c>
      <c r="EW150" s="796" t="s">
        <v>757</v>
      </c>
      <c r="EX150" s="796" t="s">
        <v>757</v>
      </c>
      <c r="EY150" s="794">
        <v>0</v>
      </c>
      <c r="EZ150" s="794" t="e">
        <v>#N/A</v>
      </c>
      <c r="FA150" s="712"/>
      <c r="FB150" s="712"/>
      <c r="FC150" s="712"/>
      <c r="FD150" s="712"/>
      <c r="FE150" s="712">
        <f>O150+Sheet1!CO150</f>
        <v>48.110000000000582</v>
      </c>
      <c r="FF150" s="712">
        <f>IF(Sheet1!AA150+AG150&lt;=Calculation!N150,AG150,Calculation!N150-Sheet1!AA150)</f>
        <v>17.55000000000291</v>
      </c>
      <c r="FG150" s="712">
        <f>(Sheet1!BP150+Sheet1!BO150)/694.4</f>
        <v>2.2286866359447006</v>
      </c>
      <c r="FH150" s="712"/>
      <c r="FI150" s="712"/>
      <c r="FJ150" s="712"/>
      <c r="FK150" s="712"/>
      <c r="FL150" s="714">
        <f t="shared" si="632"/>
        <v>40753</v>
      </c>
      <c r="FM150" s="714">
        <f t="shared" si="633"/>
        <v>40851</v>
      </c>
      <c r="FN150" s="712"/>
      <c r="FO150" s="712"/>
      <c r="FP150" s="712"/>
      <c r="FQ150" s="712"/>
      <c r="FR150" s="712"/>
      <c r="FS150" s="725">
        <f t="shared" si="634"/>
        <v>40603</v>
      </c>
      <c r="FT150" s="714">
        <f t="shared" si="635"/>
        <v>40709</v>
      </c>
      <c r="FU150" s="712">
        <f t="shared" si="636"/>
        <v>6518.9048239895692</v>
      </c>
      <c r="FV150" s="714">
        <f t="shared" si="637"/>
        <v>40722</v>
      </c>
      <c r="FW150" s="712">
        <f t="shared" si="638"/>
        <v>3259.4524119947846</v>
      </c>
      <c r="FX150" s="725">
        <f t="shared" si="639"/>
        <v>40851</v>
      </c>
      <c r="FZ150" s="697">
        <f t="shared" si="616"/>
        <v>0</v>
      </c>
      <c r="GA150" s="712" t="str">
        <f t="shared" si="438"/>
        <v/>
      </c>
      <c r="GB150" s="712">
        <f t="shared" si="439"/>
        <v>0</v>
      </c>
      <c r="GC150" s="712" t="str">
        <f t="shared" si="440"/>
        <v/>
      </c>
      <c r="GD150" s="712">
        <f>IF(GA150="P",Lookup!$M$12,IF(GA150="PP",Lookup!$M$13,IF(GA150="PPP",Lookup!$M$14,IF(GA150="T",Lookup!$M$15,IF(GA150="TP",Lookup!$M$16,IF(GA150="TPP",Lookup!$M$17,IF(GA150="TPPP",Lookup!$M$18,0)))))))*FZ150</f>
        <v>0</v>
      </c>
      <c r="GE150" s="712">
        <f t="shared" si="441"/>
        <v>0</v>
      </c>
      <c r="GF150" s="712">
        <f t="shared" si="442"/>
        <v>6362.6229333333367</v>
      </c>
      <c r="GG150" s="712">
        <f t="shared" si="443"/>
        <v>2073.8666666666677</v>
      </c>
      <c r="GH150" s="712"/>
      <c r="GI150" s="712">
        <f t="shared" si="444"/>
        <v>0</v>
      </c>
      <c r="GJ150" s="712" t="str">
        <f t="shared" si="445"/>
        <v/>
      </c>
      <c r="GK150" s="712">
        <f>IF(GA150="P",Lookup!$N$12,IF(GA150="PP",Lookup!$N$13,IF(GA150="PPP",Lookup!$N$14,IF(GA150="T",Lookup!$N$15,IF(GA150="TP",Lookup!$N$16,IF(GA150="TPP",Lookup!$N$17,IF(GA150="TPPP",Lookup!$N$18,0)))))))*FZ150</f>
        <v>0</v>
      </c>
      <c r="GL150" s="712">
        <f t="shared" si="446"/>
        <v>0</v>
      </c>
      <c r="GM150" s="712">
        <f t="shared" si="447"/>
        <v>2969.2240355555514</v>
      </c>
      <c r="GN150" s="712">
        <f t="shared" si="448"/>
        <v>967.80444444444311</v>
      </c>
      <c r="GO150" s="712"/>
      <c r="GP150" s="712">
        <f t="shared" si="449"/>
        <v>0</v>
      </c>
      <c r="GQ150" s="712" t="str">
        <f t="shared" si="450"/>
        <v/>
      </c>
      <c r="GR150" s="712">
        <f>IF(GA150="P",Lookup!$N$12,IF(GA150="PP",Lookup!$N$13,IF(GA150="PPP",Lookup!$N$14,IF(GA150="T",Lookup!$N$15,IF(GA150="TP",Lookup!$N$16,IF(GA150="TPP",Lookup!$N$17,IF(GA150="TPPP",Lookup!$N$18,0)))))))*FZ150</f>
        <v>0</v>
      </c>
      <c r="GS150" s="697">
        <f t="shared" si="628"/>
        <v>0</v>
      </c>
      <c r="GT150" s="712">
        <f t="shared" si="451"/>
        <v>2543.5285784448383</v>
      </c>
      <c r="GU150" s="712">
        <f t="shared" si="452"/>
        <v>829.05103599896938</v>
      </c>
      <c r="GV150" s="712"/>
      <c r="GW150" s="712">
        <f t="shared" si="453"/>
        <v>0</v>
      </c>
      <c r="GX150" s="712" t="str">
        <f t="shared" si="454"/>
        <v/>
      </c>
      <c r="GY150" s="712">
        <f>IF(GA150="P",Lookup!$N$12,IF(GA150="PP",Lookup!$N$13,IF(GA150="PPP",Lookup!$N$14,IF(GA150="T",Lookup!$N$15,IF(GA150="TP",Lookup!$N$16,IF(GA150="TPP",Lookup!$N$17,IF(GA150="TPPP",Lookup!$N$18,0)))))))*FZ150</f>
        <v>0</v>
      </c>
      <c r="GZ150" s="697">
        <f t="shared" si="629"/>
        <v>0</v>
      </c>
      <c r="HA150" s="712">
        <f t="shared" si="455"/>
        <v>1917.8044863463383</v>
      </c>
      <c r="HB150" s="712">
        <f t="shared" si="456"/>
        <v>625.09924587559919</v>
      </c>
      <c r="HC150" s="712"/>
    </row>
    <row r="151" spans="1:211">
      <c r="A151" s="773" t="s">
        <v>5</v>
      </c>
      <c r="B151" s="708">
        <v>40680</v>
      </c>
      <c r="C151" s="719">
        <v>0.5</v>
      </c>
      <c r="D151" s="675">
        <f t="shared" si="617"/>
        <v>300</v>
      </c>
      <c r="E151" s="675">
        <f t="shared" si="618"/>
        <v>250</v>
      </c>
      <c r="F151" s="675">
        <v>250</v>
      </c>
      <c r="G151" s="712">
        <f>DH151+Sheet1!CV151</f>
        <v>3434.1641452331846</v>
      </c>
      <c r="H151" s="712">
        <f t="shared" si="389"/>
        <v>1952.8805034787304</v>
      </c>
      <c r="I151" s="711">
        <f>MAX(Sheet1!Z151-AJ151+(Sheet1!CW151-E151)*CFStoMGD,0)</f>
        <v>3620.6906666666664</v>
      </c>
      <c r="J151" s="720">
        <f>IF(AND(B151&gt;=Calculation!FS151,B151&lt;=Calculation!FT151),IF(Sheet1!CX151&gt;=Calculation!D151,64.64,0),MAX(Sheet1!Z151-AJ151+(Sheet1!CX151-D151)*CFStoMGD,0))</f>
        <v>64.64</v>
      </c>
      <c r="K151" s="697">
        <f t="shared" si="619"/>
        <v>64.64</v>
      </c>
      <c r="L151" s="712">
        <f>Sheet1!AA151+Sheet1!AB151-Sheet1!L151+(Sheet1!CW151-F151)*CFStoMGD</f>
        <v>3621.5806666666663</v>
      </c>
      <c r="M151" s="712">
        <f t="shared" si="390"/>
        <v>2264.2405775483053</v>
      </c>
      <c r="N151" s="712">
        <f>IF(Sheet1!CW151&gt;=F151,MIN(73,MIN(MAX(L151,0),MAX(M151,0))),0)</f>
        <v>73</v>
      </c>
      <c r="O151" s="721">
        <f>Sheet1!AA151+Sheet1!AB151</f>
        <v>47</v>
      </c>
      <c r="P151" s="721">
        <f t="shared" si="391"/>
        <v>72.709000000000003</v>
      </c>
      <c r="Q151" s="712">
        <f>MIN(N151,Sheet1!AA151+AG151)</f>
        <v>47</v>
      </c>
      <c r="R151" s="712">
        <f t="shared" si="392"/>
        <v>0</v>
      </c>
      <c r="S151" s="721">
        <f>Sheet1!Y151*MGDtoCFS</f>
        <v>48.297339999999998</v>
      </c>
      <c r="T151" s="721">
        <f>Sheet1!Z151*MGDtoCFS</f>
        <v>24.922169999999998</v>
      </c>
      <c r="U151" s="721">
        <f>Sheet1!AA151*MGDtoCFS</f>
        <v>47.957000000000001</v>
      </c>
      <c r="V151" s="721">
        <f>Sheet1!AB151*MGDtoCFS</f>
        <v>24.751999999999999</v>
      </c>
      <c r="W151" s="721">
        <f>Sheet1!L151*MGDtoCFS</f>
        <v>71.161999999999992</v>
      </c>
      <c r="X151" s="697">
        <f t="shared" si="620"/>
        <v>0</v>
      </c>
      <c r="Y151" s="712">
        <f t="shared" si="393"/>
        <v>0</v>
      </c>
      <c r="Z151" s="712">
        <f t="shared" si="394"/>
        <v>64.64</v>
      </c>
      <c r="AA151" s="712">
        <f t="shared" si="395"/>
        <v>99.998080000000002</v>
      </c>
      <c r="AB151" s="712">
        <f>(VLOOKUP(Sheet1!CY151,hhdcap_wcm,4)-(((VLOOKUP(Sheet1!CY151,hhdcap_wcm,3)-Sheet1!CY151)/(VLOOKUP(Sheet1!CY151,hhdcap_wcm,3)-VLOOKUP(Sheet1!CY151,hhdcap_wcm,1)))*(VLOOKUP(Sheet1!CY151,hhdcap_wcm,4)-VLOOKUP(Sheet1!CY151,hhdcap_wcm,2))))</f>
        <v>45193.680000108492</v>
      </c>
      <c r="AC151" s="712">
        <f t="shared" si="396"/>
        <v>-1576.4900000025955</v>
      </c>
      <c r="AD151" s="712">
        <f t="shared" si="621"/>
        <v>4560.4613929856796</v>
      </c>
      <c r="AE151" s="712">
        <f t="shared" si="397"/>
        <v>13991.495553680064</v>
      </c>
      <c r="AF151" s="712">
        <f>Sheet1!BA151+Sheet1!BB151+Sheet1!BN151+BT151</f>
        <v>16</v>
      </c>
      <c r="AG151" s="712">
        <f t="shared" si="398"/>
        <v>16</v>
      </c>
      <c r="AH151" s="712">
        <f>Sheet1!BA151+BT151</f>
        <v>0</v>
      </c>
      <c r="AI151" s="712">
        <f>Sheet1!BA151+Sheet1!BB151+BT151</f>
        <v>0</v>
      </c>
      <c r="AJ151" s="712">
        <f>IF((Sheet1!AA151+AG151+AX151+AZ151+BQ151+BS151+CL151+CN151)&lt;=N151,AG151+AX151+AZ151+BQ151+BS151+CL151+CN151,N151-Sheet1!AA151)</f>
        <v>16</v>
      </c>
      <c r="AK151" s="712">
        <f>IF(DR151&lt;K151,0,MAX(Sheet1!AA151+AG151-15/36*K151-N151,Sheet1!ED151,0))</f>
        <v>0</v>
      </c>
      <c r="AL151" s="712">
        <f>IF(OR(B151&gt;=FT151,B151&lt;FS151),0,15/36*K151-MAX(0,64.6-(137.6-(Sheet1!AA151+Sheet1!AB151))))</f>
        <v>26.933333333333334</v>
      </c>
      <c r="AM151" s="712">
        <f>Sheet1!CX151-110</f>
        <v>4046.145833333333</v>
      </c>
      <c r="AN151" s="712">
        <f>Sheet1!CW151-265</f>
        <v>5586.145833333333</v>
      </c>
      <c r="AO151" s="712">
        <f t="shared" si="622"/>
        <v>26</v>
      </c>
      <c r="AP151" s="712">
        <f t="shared" si="623"/>
        <v>0</v>
      </c>
      <c r="AQ151" s="712">
        <f t="shared" si="399"/>
        <v>0</v>
      </c>
      <c r="AR151" s="712">
        <f t="shared" si="400"/>
        <v>2100.8000000000011</v>
      </c>
      <c r="AS151" s="712"/>
      <c r="AT151" s="712">
        <f ca="1">IF(B151&gt;Summary!$A$1,#N/A,AR151*MGtoAF)</f>
        <v>6445.2544000000034</v>
      </c>
      <c r="AU151" s="712">
        <f>Sheet1!BG151+Sheet1!BH151+Sheet1!BI151-BC151</f>
        <v>0</v>
      </c>
      <c r="AV151" s="712">
        <f t="shared" si="401"/>
        <v>0</v>
      </c>
      <c r="AW151" s="712">
        <f>IF(Sheet1!EL151="FM",BC151,0)</f>
        <v>0</v>
      </c>
      <c r="AX151" s="712">
        <f t="shared" si="402"/>
        <v>0</v>
      </c>
      <c r="AY151" s="712">
        <f>IF(Sheet1!EL151="OTHER",BC151,0)</f>
        <v>0</v>
      </c>
      <c r="AZ151" s="712">
        <f t="shared" si="403"/>
        <v>0</v>
      </c>
      <c r="BA151" s="712">
        <f t="shared" si="404"/>
        <v>0</v>
      </c>
      <c r="BB151" s="712">
        <f t="shared" si="405"/>
        <v>0</v>
      </c>
      <c r="BC151" s="712">
        <f>IF(OR(Sheet1!EL151="FM", Sheet1!EL151="OTHER"),SUM(Sheet1!BG151:'Sheet1'!BI151),0)</f>
        <v>0</v>
      </c>
      <c r="BD151" s="697">
        <f>IF(AND($B151&gt;=$FL151,$B151&lt;=$FM151),MAX(AV151,Sheet1!EE151,0),MAX(AV151-(7/36)*$K151,0))</f>
        <v>0</v>
      </c>
      <c r="BE151" s="712">
        <f t="shared" si="406"/>
        <v>12.568888888888889</v>
      </c>
      <c r="BF151" s="697">
        <f t="shared" si="624"/>
        <v>0</v>
      </c>
      <c r="BG151" s="697">
        <f>IF(AND($O151&gt;0,Sheet1!EI151=1),(1-($O151-Sheet1!$L151)/$O151)*BB151,0)</f>
        <v>0</v>
      </c>
      <c r="BH151" s="697">
        <f>IF(AND(Sheet1!$L151=0,Sheet1!$L150=0, Calculation!BA151&lt;Sheet1!$EE151-0.1,Sheet1!$EE151=Sheet1!$EE150,Sheet1!$EE151=Sheet1!$EE152),Sheet1!$EE151,BB151-BG151)</f>
        <v>0</v>
      </c>
      <c r="BI151" s="712"/>
      <c r="BJ151" s="712"/>
      <c r="BK151" s="712">
        <f t="shared" si="407"/>
        <v>980.37333333333197</v>
      </c>
      <c r="BL151" s="712"/>
      <c r="BM151" s="712">
        <f ca="1">IF(B151&gt;Summary!$A$1,#N/A,BK151*MGtoAF)</f>
        <v>3007.7853866666624</v>
      </c>
      <c r="BN151" s="712">
        <f>Sheet1!BC151+Sheet1!BD151+Sheet1!BE151+Sheet1!BF151-BW151-BX151</f>
        <v>0</v>
      </c>
      <c r="BO151" s="712">
        <f t="shared" si="408"/>
        <v>0</v>
      </c>
      <c r="BP151" s="712">
        <f>IF(Sheet1!EM151="FM",BX151,0)</f>
        <v>0</v>
      </c>
      <c r="BQ151" s="712">
        <f t="shared" si="409"/>
        <v>0</v>
      </c>
      <c r="BR151" s="712">
        <f>IF(Sheet1!EM151="OTHER",BX151,0)</f>
        <v>0</v>
      </c>
      <c r="BS151" s="712">
        <f t="shared" si="410"/>
        <v>0</v>
      </c>
      <c r="BT151" s="712">
        <f t="shared" si="411"/>
        <v>0</v>
      </c>
      <c r="BU151" s="712">
        <f t="shared" si="412"/>
        <v>0</v>
      </c>
      <c r="BV151" s="712">
        <f t="shared" si="413"/>
        <v>0</v>
      </c>
      <c r="BW151" s="712">
        <f>IF(Sheet1!EM151="CWA",SUM(Sheet1!BC151:'Sheet1'!BF151),0)</f>
        <v>0</v>
      </c>
      <c r="BX151" s="712">
        <f>IF(OR(Sheet1!EM151="FM", Sheet1!EM151="OTHER"),SUM(Sheet1!BC151:'Sheet1'!BF151),0)</f>
        <v>0</v>
      </c>
      <c r="BY151" s="697">
        <f>IF(AND($B151&gt;=$FL151,$B151&lt;=$FM151),MAX(BV151,Sheet1!EF151,0),MAX(BV151-(7/36)*$K151,0))</f>
        <v>0</v>
      </c>
      <c r="BZ151" s="712">
        <f t="shared" si="414"/>
        <v>12.568888888888889</v>
      </c>
      <c r="CA151" s="697">
        <f t="shared" si="625"/>
        <v>0</v>
      </c>
      <c r="CB151" s="697">
        <f>IF(AND($O151&gt;0,Sheet1!EJ151=1),(1-($O151-Sheet1!$L151)/$O151)*BV151,0)</f>
        <v>0</v>
      </c>
      <c r="CC151" s="697">
        <f>IF(AND(Sheet1!$L151=0,Sheet1!$L150=0, Calculation!BU151&lt;Sheet1!EF151-0.1,Sheet1!EF151=Sheet1!EF150,Sheet1!EF151=Sheet1!EF152),Sheet1!EF151,BV151-CB151)</f>
        <v>0</v>
      </c>
      <c r="CD151" s="697"/>
      <c r="CE151" s="712"/>
      <c r="CF151" s="712">
        <f t="shared" si="415"/>
        <v>841.61992488785825</v>
      </c>
      <c r="CG151" s="712"/>
      <c r="CH151" s="712">
        <f ca="1">IF(B151&gt;Summary!$A$1,#N/A,CF151*MGtoAF)</f>
        <v>2582.0899295559493</v>
      </c>
      <c r="CI151" s="712">
        <f>Sheet1!BK151+Sheet1!BL151+Sheet1!BM151-Sheet1!EN151-CQ151</f>
        <v>0</v>
      </c>
      <c r="CJ151" s="712">
        <f t="shared" si="416"/>
        <v>0</v>
      </c>
      <c r="CK151" s="712">
        <f>IF(Sheet1!EN151="FM",CQ151,0)</f>
        <v>0</v>
      </c>
      <c r="CL151" s="712">
        <f t="shared" si="417"/>
        <v>0</v>
      </c>
      <c r="CM151" s="712">
        <f>IF(Sheet1!EN151="OTHER",CQ151,0)</f>
        <v>0</v>
      </c>
      <c r="CN151" s="712">
        <f t="shared" si="418"/>
        <v>0</v>
      </c>
      <c r="CO151" s="712">
        <f t="shared" si="419"/>
        <v>0</v>
      </c>
      <c r="CP151" s="712">
        <f t="shared" si="420"/>
        <v>0</v>
      </c>
      <c r="CQ151" s="712">
        <f>IF(OR(Sheet1!EN151="FM", Sheet1!EN151="OTHER"),SUM(Sheet1!BK151:'Sheet1'!BM151),0)</f>
        <v>0</v>
      </c>
      <c r="CR151" s="697">
        <f>IF(AND($B151&gt;=$FL151,$B151&lt;=$FM151),MAX($CJ151,Sheet1!EG151,0),MAX($CJ151-(7/36)*$K151,0))</f>
        <v>0</v>
      </c>
      <c r="CS151" s="712">
        <f t="shared" si="421"/>
        <v>12.568888888888889</v>
      </c>
      <c r="CT151" s="697">
        <f t="shared" si="626"/>
        <v>0</v>
      </c>
      <c r="CU151" s="697">
        <f>IF(AND($O151&gt;0,Sheet1!EK151=1),(1-($O151-Sheet1!$L151)/$O151)*CP151,0)</f>
        <v>0</v>
      </c>
      <c r="CV151" s="697">
        <f>IF(AND(Sheet1!$L151=0,Sheet1!$L150=0, Calculation!CO151&lt;Sheet1!$EG151-0.1,Sheet1!$EG151=Sheet1!$EG150,Sheet1!$EG151=Sheet1!$EG152),Sheet1!$EG151,CP151-CU151)</f>
        <v>0</v>
      </c>
      <c r="CW151" s="697">
        <f t="shared" si="613"/>
        <v>0</v>
      </c>
      <c r="CX151" s="712">
        <f t="shared" si="630"/>
        <v>0</v>
      </c>
      <c r="CY151" s="712">
        <f t="shared" si="422"/>
        <v>637.66813476448806</v>
      </c>
      <c r="CZ151" s="712">
        <f t="shared" si="423"/>
        <v>0</v>
      </c>
      <c r="DA151" s="712">
        <f ca="1">IF(B151&gt;Summary!$A$1,#N/A,CY151*MGtoAF)</f>
        <v>1956.3658374574495</v>
      </c>
      <c r="DB151" s="712">
        <f t="shared" si="424"/>
        <v>0</v>
      </c>
      <c r="DC151" s="712">
        <f t="shared" si="425"/>
        <v>16</v>
      </c>
      <c r="DD151" s="712">
        <f>Sheet1!AB151-DC151</f>
        <v>0</v>
      </c>
      <c r="DE151" s="712">
        <f t="shared" si="426"/>
        <v>0</v>
      </c>
      <c r="DF151" s="712">
        <f>(VLOOKUP(Sheet1!CY151,hhdcap_wcm,4)-(((VLOOKUP(Sheet1!CY151,hhdcap_wcm,3)-Sheet1!CY151)/(VLOOKUP(Sheet1!CY151,hhdcap_wcm,3)-VLOOKUP(Sheet1!CY151,hhdcap_wcm,1)))*(VLOOKUP(Sheet1!CY151,hhdcap_wcm,4)-VLOOKUP(Sheet1!CY151,hhdcap_wcm,2))))</f>
        <v>45193.680000108492</v>
      </c>
      <c r="DG151" s="712">
        <f t="shared" si="427"/>
        <v>-1576.4900000025955</v>
      </c>
      <c r="DH151" s="712">
        <f t="shared" si="428"/>
        <v>-795.00252143348223</v>
      </c>
      <c r="DI151" s="712">
        <f>Sheet1!DW151*AFtoMG</f>
        <v>0</v>
      </c>
      <c r="DJ151" s="712">
        <f>Sheet1!DX151*AFtoMG</f>
        <v>0</v>
      </c>
      <c r="DK151" s="712">
        <f>Sheet1!DY151*AFtoMG</f>
        <v>0</v>
      </c>
      <c r="DL151" s="712">
        <f>Sheet1!DZ151*AFtoMG</f>
        <v>0</v>
      </c>
      <c r="DM151" s="712">
        <f t="shared" si="429"/>
        <v>0</v>
      </c>
      <c r="DN151" s="712">
        <f t="shared" si="430"/>
        <v>0</v>
      </c>
      <c r="DO151" s="712">
        <f t="shared" si="431"/>
        <v>4560.4613929856796</v>
      </c>
      <c r="DP151" s="712">
        <f t="shared" si="432"/>
        <v>13991.495553680064</v>
      </c>
      <c r="DQ151" s="712"/>
      <c r="DR151" s="697">
        <f>IF(OR(B151&lt;FL151,B151&gt;FM151),(MIN(AV151+BO151+CJ151+MAX(Sheet1!AA151+AG151-73,0),K151)),0)</f>
        <v>0</v>
      </c>
      <c r="DS151" s="712"/>
      <c r="DT151" s="712">
        <f t="shared" si="433"/>
        <v>0</v>
      </c>
      <c r="DU151" s="712"/>
      <c r="DV151" s="712">
        <f>Sheet1!ED151+Sheet1!EE151+Sheet1!EF151+Sheet1!EG151</f>
        <v>9.5</v>
      </c>
      <c r="DW151" s="712"/>
      <c r="DX151" s="697">
        <f t="shared" si="627"/>
        <v>0</v>
      </c>
      <c r="DY151" s="712">
        <f>IF(Sheet1!FN151=1,SUM('Calculations II'!AT151:BA151)+'Calculations II'!BC151+Sheet1!BU151+'Calculations II'!BE151+AF151,SUM('Calculations II'!AT151:BA151)+'Calculations II'!BC151+Sheet1!BU151+'Calculations II'!BE151+AF151)</f>
        <v>45.547647999999995</v>
      </c>
      <c r="DZ151" s="712">
        <f>Sheet1!AA151+Sheet1!AB151+'Calculations II'!BC151</f>
        <v>47</v>
      </c>
      <c r="EA151" s="712"/>
      <c r="EB151" s="712"/>
      <c r="EC151" s="712">
        <f t="shared" si="434"/>
        <v>40680</v>
      </c>
      <c r="ED151" s="712">
        <f t="shared" si="435"/>
        <v>64.64</v>
      </c>
      <c r="EE151" s="712">
        <f t="shared" si="436"/>
        <v>99.998080000000002</v>
      </c>
      <c r="EF151" s="712">
        <f>-(VLOOKUP(Sheet1!BQ151,Lookup!$B$4:$J$236,2)-VLOOKUP(Sheet1!BQ150,Lookup!$B$4:$J$236,2))/1000000</f>
        <v>1.623</v>
      </c>
      <c r="EG151" s="712">
        <f>-(VLOOKUP(Sheet1!BR151,Lookup!$B$4:$J$236,3)-VLOOKUP(Sheet1!BR150,Lookup!$B$4:$J$236,3))/1000000</f>
        <v>2.3759220000000001</v>
      </c>
      <c r="EH151" s="712">
        <f>-(VLOOKUP(Sheet1!BS151,Lookup!$B$4:$J$236,4)-VLOOKUP(Sheet1!BS150,Lookup!$B$4:$J$236,4))/1000000</f>
        <v>0</v>
      </c>
      <c r="EI151" s="697">
        <f t="shared" si="631"/>
        <v>3.9989220000000003</v>
      </c>
      <c r="EJ151" s="712"/>
      <c r="EK151" s="712"/>
      <c r="EL151" s="712"/>
      <c r="EM151" s="712"/>
      <c r="EN151" s="712"/>
      <c r="EO151" s="712"/>
      <c r="EP151" s="712"/>
      <c r="EQ151" s="712"/>
      <c r="ES151" s="712"/>
      <c r="ET151" s="794" t="e">
        <f t="shared" si="437"/>
        <v>#N/A</v>
      </c>
      <c r="EU151" s="697">
        <v>5000</v>
      </c>
      <c r="EV151" s="795">
        <f t="shared" si="640"/>
        <v>24982.18444642843</v>
      </c>
      <c r="EW151" s="796" t="s">
        <v>757</v>
      </c>
      <c r="EX151" s="796" t="s">
        <v>757</v>
      </c>
      <c r="EY151" s="794">
        <v>0</v>
      </c>
      <c r="EZ151" s="794" t="e">
        <v>#N/A</v>
      </c>
      <c r="FA151" s="712"/>
      <c r="FB151" s="712"/>
      <c r="FC151" s="712"/>
      <c r="FD151" s="712"/>
      <c r="FE151" s="712">
        <f>O151+Sheet1!CO151</f>
        <v>47</v>
      </c>
      <c r="FF151" s="712">
        <f>IF(Sheet1!AA151+AG151&lt;=Calculation!N151,AG151,Calculation!N151-Sheet1!AA151)</f>
        <v>16</v>
      </c>
      <c r="FG151" s="712">
        <f>(Sheet1!BP151+Sheet1!BO151)/694.4</f>
        <v>1.4333237327188939</v>
      </c>
      <c r="FH151" s="712"/>
      <c r="FI151" s="712"/>
      <c r="FJ151" s="712"/>
      <c r="FK151" s="712"/>
      <c r="FL151" s="714">
        <f t="shared" si="632"/>
        <v>40753</v>
      </c>
      <c r="FM151" s="714">
        <f t="shared" si="633"/>
        <v>40851</v>
      </c>
      <c r="FN151" s="712"/>
      <c r="FO151" s="712"/>
      <c r="FP151" s="712"/>
      <c r="FQ151" s="712"/>
      <c r="FR151" s="712"/>
      <c r="FS151" s="725">
        <f t="shared" si="634"/>
        <v>40603</v>
      </c>
      <c r="FT151" s="714">
        <f t="shared" si="635"/>
        <v>40709</v>
      </c>
      <c r="FU151" s="712">
        <f t="shared" si="636"/>
        <v>6518.9048239895692</v>
      </c>
      <c r="FV151" s="714">
        <f t="shared" si="637"/>
        <v>40722</v>
      </c>
      <c r="FW151" s="712">
        <f t="shared" si="638"/>
        <v>3259.4524119947846</v>
      </c>
      <c r="FX151" s="725">
        <f t="shared" si="639"/>
        <v>40851</v>
      </c>
      <c r="FZ151" s="697">
        <f t="shared" si="616"/>
        <v>0</v>
      </c>
      <c r="GA151" s="712" t="str">
        <f t="shared" si="438"/>
        <v/>
      </c>
      <c r="GB151" s="712">
        <f t="shared" si="439"/>
        <v>0</v>
      </c>
      <c r="GC151" s="712" t="str">
        <f t="shared" si="440"/>
        <v/>
      </c>
      <c r="GD151" s="712">
        <f>IF(GA151="P",Lookup!$M$12,IF(GA151="PP",Lookup!$M$13,IF(GA151="PPP",Lookup!$M$14,IF(GA151="T",Lookup!$M$15,IF(GA151="TP",Lookup!$M$16,IF(GA151="TPP",Lookup!$M$17,IF(GA151="TPPP",Lookup!$M$18,0)))))))*FZ151</f>
        <v>0</v>
      </c>
      <c r="GE151" s="712">
        <f t="shared" si="441"/>
        <v>0</v>
      </c>
      <c r="GF151" s="712">
        <f t="shared" si="442"/>
        <v>6445.2544000000034</v>
      </c>
      <c r="GG151" s="712">
        <f t="shared" si="443"/>
        <v>2100.8000000000011</v>
      </c>
      <c r="GH151" s="712"/>
      <c r="GI151" s="712">
        <f t="shared" si="444"/>
        <v>0</v>
      </c>
      <c r="GJ151" s="712" t="str">
        <f t="shared" si="445"/>
        <v/>
      </c>
      <c r="GK151" s="712">
        <f>IF(GA151="P",Lookup!$N$12,IF(GA151="PP",Lookup!$N$13,IF(GA151="PPP",Lookup!$N$14,IF(GA151="T",Lookup!$N$15,IF(GA151="TP",Lookup!$N$16,IF(GA151="TPP",Lookup!$N$17,IF(GA151="TPPP",Lookup!$N$18,0)))))))*FZ151</f>
        <v>0</v>
      </c>
      <c r="GL151" s="712">
        <f t="shared" si="446"/>
        <v>0</v>
      </c>
      <c r="GM151" s="712">
        <f t="shared" si="447"/>
        <v>3007.7853866666624</v>
      </c>
      <c r="GN151" s="712">
        <f t="shared" si="448"/>
        <v>980.37333333333197</v>
      </c>
      <c r="GO151" s="712"/>
      <c r="GP151" s="712">
        <f t="shared" si="449"/>
        <v>0</v>
      </c>
      <c r="GQ151" s="712" t="str">
        <f t="shared" si="450"/>
        <v/>
      </c>
      <c r="GR151" s="712">
        <f>IF(GA151="P",Lookup!$N$12,IF(GA151="PP",Lookup!$N$13,IF(GA151="PPP",Lookup!$N$14,IF(GA151="T",Lookup!$N$15,IF(GA151="TP",Lookup!$N$16,IF(GA151="TPP",Lookup!$N$17,IF(GA151="TPPP",Lookup!$N$18,0)))))))*FZ151</f>
        <v>0</v>
      </c>
      <c r="GS151" s="697">
        <f t="shared" si="628"/>
        <v>0</v>
      </c>
      <c r="GT151" s="712">
        <f t="shared" si="451"/>
        <v>2582.0899295559493</v>
      </c>
      <c r="GU151" s="712">
        <f t="shared" si="452"/>
        <v>841.61992488785825</v>
      </c>
      <c r="GV151" s="712"/>
      <c r="GW151" s="712">
        <f t="shared" si="453"/>
        <v>0</v>
      </c>
      <c r="GX151" s="712" t="str">
        <f t="shared" si="454"/>
        <v/>
      </c>
      <c r="GY151" s="712">
        <f>IF(GA151="P",Lookup!$N$12,IF(GA151="PP",Lookup!$N$13,IF(GA151="PPP",Lookup!$N$14,IF(GA151="T",Lookup!$N$15,IF(GA151="TP",Lookup!$N$16,IF(GA151="TPP",Lookup!$N$17,IF(GA151="TPPP",Lookup!$N$18,0)))))))*FZ151</f>
        <v>0</v>
      </c>
      <c r="GZ151" s="697">
        <f t="shared" si="629"/>
        <v>0</v>
      </c>
      <c r="HA151" s="712">
        <f t="shared" si="455"/>
        <v>1956.3658374574495</v>
      </c>
      <c r="HB151" s="712">
        <f t="shared" si="456"/>
        <v>637.66813476448806</v>
      </c>
      <c r="HC151" s="712"/>
    </row>
    <row r="152" spans="1:211">
      <c r="A152" s="773" t="s">
        <v>6</v>
      </c>
      <c r="B152" s="708">
        <v>40681</v>
      </c>
      <c r="C152" s="709">
        <v>0.5</v>
      </c>
      <c r="D152" s="675">
        <f t="shared" si="617"/>
        <v>300</v>
      </c>
      <c r="E152" s="675">
        <f t="shared" si="618"/>
        <v>250</v>
      </c>
      <c r="F152" s="710">
        <v>250</v>
      </c>
      <c r="G152" s="712">
        <f>DH152+Sheet1!CV152</f>
        <v>2496.9818456866315</v>
      </c>
      <c r="H152" s="712">
        <f t="shared" si="389"/>
        <v>1347.0858650518385</v>
      </c>
      <c r="I152" s="711">
        <f>MAX(Sheet1!Z152-AJ152+(Sheet1!CW152-E152)*CFStoMGD,0)</f>
        <v>2939.5426666666676</v>
      </c>
      <c r="J152" s="720">
        <f>IF(AND(B152&gt;=Calculation!FS152,B152&lt;=Calculation!FT152),IF(Sheet1!CX152&gt;=Calculation!D152,64.64,0),MAX(Sheet1!Z152-AJ152+(Sheet1!CX152-D152)*CFStoMGD,0))</f>
        <v>64.64</v>
      </c>
      <c r="K152" s="697">
        <f t="shared" si="619"/>
        <v>64.64</v>
      </c>
      <c r="L152" s="712">
        <f>Sheet1!AA152+Sheet1!AB152-Sheet1!L152+(Sheet1!CW152-F152)*CFStoMGD</f>
        <v>2944.552666666671</v>
      </c>
      <c r="M152" s="712">
        <f t="shared" si="390"/>
        <v>1646.3300463528753</v>
      </c>
      <c r="N152" s="712">
        <f>IF(Sheet1!CW152&gt;=F152,MIN(73,MIN(MAX(L152,0),MAX(M152,0))),0)</f>
        <v>73</v>
      </c>
      <c r="O152" s="721">
        <f>Sheet1!AA152+Sheet1!AB152</f>
        <v>53.560000000004948</v>
      </c>
      <c r="P152" s="721">
        <f t="shared" si="391"/>
        <v>82.857320000007647</v>
      </c>
      <c r="Q152" s="712">
        <f>MIN(N152,Sheet1!AA152+AG152)</f>
        <v>53.560000000004948</v>
      </c>
      <c r="R152" s="712">
        <f t="shared" si="392"/>
        <v>0</v>
      </c>
      <c r="S152" s="721">
        <f>Sheet1!Y152*MGDtoCFS</f>
        <v>48.715029999999999</v>
      </c>
      <c r="T152" s="721">
        <f>Sheet1!Z152*MGDtoCFS</f>
        <v>24.458069999999999</v>
      </c>
      <c r="U152" s="721">
        <f>Sheet1!AA152*MGDtoCFS</f>
        <v>51.375870000009904</v>
      </c>
      <c r="V152" s="721">
        <f>Sheet1!AB152*MGDtoCFS</f>
        <v>31.481449999997746</v>
      </c>
      <c r="W152" s="721">
        <f>Sheet1!L152*MGDtoCFS</f>
        <v>82.130230000000225</v>
      </c>
      <c r="X152" s="697">
        <f t="shared" si="620"/>
        <v>0</v>
      </c>
      <c r="Y152" s="712">
        <f t="shared" si="393"/>
        <v>0</v>
      </c>
      <c r="Z152" s="712">
        <f t="shared" si="394"/>
        <v>64.64</v>
      </c>
      <c r="AA152" s="712">
        <f t="shared" si="395"/>
        <v>99.998080000000002</v>
      </c>
      <c r="AB152" s="712">
        <f>(VLOOKUP(Sheet1!CY152,hhdcap_wcm,4)-(((VLOOKUP(Sheet1!CY152,hhdcap_wcm,3)-Sheet1!CY152)/(VLOOKUP(Sheet1!CY152,hhdcap_wcm,3)-VLOOKUP(Sheet1!CY152,hhdcap_wcm,1)))*(VLOOKUP(Sheet1!CY152,hhdcap_wcm,4)-VLOOKUP(Sheet1!CY152,hhdcap_wcm,2))))</f>
        <v>43736.800000105082</v>
      </c>
      <c r="AC152" s="712">
        <f t="shared" si="396"/>
        <v>-1456.8800000034098</v>
      </c>
      <c r="AD152" s="712">
        <f t="shared" si="621"/>
        <v>4625.1013929856799</v>
      </c>
      <c r="AE152" s="712">
        <f t="shared" si="397"/>
        <v>14189.811073680066</v>
      </c>
      <c r="AF152" s="712">
        <f>Sheet1!BA152+Sheet1!BB152+Sheet1!BN152+BT152</f>
        <v>19.7</v>
      </c>
      <c r="AG152" s="712">
        <f t="shared" si="398"/>
        <v>20.349999999998545</v>
      </c>
      <c r="AH152" s="712">
        <f>Sheet1!BA152+BT152</f>
        <v>0</v>
      </c>
      <c r="AI152" s="712">
        <f>Sheet1!BA152+Sheet1!BB152+BT152</f>
        <v>0</v>
      </c>
      <c r="AJ152" s="712">
        <f>IF((Sheet1!AA152+AG152+AX152+AZ152+BQ152+BS152+CL152+CN152)&lt;=N152,AG152+AX152+AZ152+BQ152+BS152+CL152+CN152,N152-Sheet1!AA152)</f>
        <v>20.349999999998545</v>
      </c>
      <c r="AK152" s="712">
        <f>IF(DR152&lt;K152,0,MAX(Sheet1!AA152+AG152-15/36*K152-N152,Sheet1!ED152,0))</f>
        <v>0</v>
      </c>
      <c r="AL152" s="712">
        <f>IF(OR(B152&gt;=FT152,B152&lt;FS152),0,15/36*K152-MAX(0,64.6-(137.6-(Sheet1!AA152+Sheet1!AB152))))</f>
        <v>26.933333333333334</v>
      </c>
      <c r="AM152" s="712">
        <f>Sheet1!CX152-110</f>
        <v>3160.2083333333335</v>
      </c>
      <c r="AN152" s="712">
        <f>Sheet1!CW152-265</f>
        <v>4539.583333333333</v>
      </c>
      <c r="AO152" s="712">
        <f t="shared" si="622"/>
        <v>19.439999999995052</v>
      </c>
      <c r="AP152" s="712">
        <f t="shared" si="623"/>
        <v>0</v>
      </c>
      <c r="AQ152" s="712">
        <f t="shared" si="399"/>
        <v>0</v>
      </c>
      <c r="AR152" s="712">
        <f t="shared" si="400"/>
        <v>2127.7333333333345</v>
      </c>
      <c r="AS152" s="712"/>
      <c r="AT152" s="712">
        <f ca="1">IF(B152&gt;Summary!$A$1,#N/A,AR152*MGtoAF)</f>
        <v>6527.8858666666702</v>
      </c>
      <c r="AU152" s="712">
        <f>Sheet1!BG152+Sheet1!BH152+Sheet1!BI152-BC152</f>
        <v>0</v>
      </c>
      <c r="AV152" s="712">
        <f t="shared" si="401"/>
        <v>0</v>
      </c>
      <c r="AW152" s="712">
        <f>IF(Sheet1!EL152="FM",BC152,0)</f>
        <v>0</v>
      </c>
      <c r="AX152" s="712">
        <f t="shared" si="402"/>
        <v>0</v>
      </c>
      <c r="AY152" s="712">
        <f>IF(Sheet1!EL152="OTHER",BC152,0)</f>
        <v>0</v>
      </c>
      <c r="AZ152" s="712">
        <f t="shared" si="403"/>
        <v>0</v>
      </c>
      <c r="BA152" s="712">
        <f t="shared" si="404"/>
        <v>0</v>
      </c>
      <c r="BB152" s="712">
        <f t="shared" si="405"/>
        <v>0</v>
      </c>
      <c r="BC152" s="712">
        <f>IF(OR(Sheet1!EL152="FM", Sheet1!EL152="OTHER"),SUM(Sheet1!BG152:'Sheet1'!BI152),0)</f>
        <v>0</v>
      </c>
      <c r="BD152" s="697">
        <f>IF(AND($B152&gt;=$FL152,$B152&lt;=$FM152),MAX(AV152,Sheet1!EE152,0),MAX(AV152-(7/36)*$K152,0))</f>
        <v>0</v>
      </c>
      <c r="BE152" s="712">
        <f t="shared" si="406"/>
        <v>12.568888888888889</v>
      </c>
      <c r="BF152" s="697">
        <f t="shared" si="624"/>
        <v>0</v>
      </c>
      <c r="BG152" s="697">
        <f>IF(AND($O152&gt;0,Sheet1!EI152=1),(1-($O152-Sheet1!$L152)/$O152)*BB152,0)</f>
        <v>0</v>
      </c>
      <c r="BH152" s="697">
        <f>IF(AND(Sheet1!$L152=0,Sheet1!$L151=0, Calculation!BA152&lt;Sheet1!$EE152-0.1,Sheet1!$EE152=Sheet1!$EE151,Sheet1!$EE152=Sheet1!$EE153),Sheet1!$EE152,BB152-BG152)</f>
        <v>0</v>
      </c>
      <c r="BI152" s="712"/>
      <c r="BJ152" s="712"/>
      <c r="BK152" s="712">
        <f t="shared" si="407"/>
        <v>992.94222222222083</v>
      </c>
      <c r="BL152" s="712"/>
      <c r="BM152" s="712">
        <f ca="1">IF(B152&gt;Summary!$A$1,#N/A,BK152*MGtoAF)</f>
        <v>3046.3467377777738</v>
      </c>
      <c r="BN152" s="712">
        <f>Sheet1!BC152+Sheet1!BD152+Sheet1!BE152+Sheet1!BF152-BW152-BX152</f>
        <v>0</v>
      </c>
      <c r="BO152" s="712">
        <f t="shared" si="408"/>
        <v>0</v>
      </c>
      <c r="BP152" s="712">
        <f>IF(Sheet1!EM152="FM",BX152,0)</f>
        <v>0</v>
      </c>
      <c r="BQ152" s="712">
        <f t="shared" si="409"/>
        <v>0</v>
      </c>
      <c r="BR152" s="712">
        <f>IF(Sheet1!EM152="OTHER",BX152,0)</f>
        <v>0</v>
      </c>
      <c r="BS152" s="712">
        <f t="shared" si="410"/>
        <v>0</v>
      </c>
      <c r="BT152" s="712">
        <f t="shared" si="411"/>
        <v>0</v>
      </c>
      <c r="BU152" s="712">
        <f t="shared" si="412"/>
        <v>0</v>
      </c>
      <c r="BV152" s="712">
        <f t="shared" si="413"/>
        <v>0</v>
      </c>
      <c r="BW152" s="712">
        <f>IF(Sheet1!EM152="CWA",SUM(Sheet1!BC152:'Sheet1'!BF152),0)</f>
        <v>0</v>
      </c>
      <c r="BX152" s="712">
        <f>IF(OR(Sheet1!EM152="FM", Sheet1!EM152="OTHER"),SUM(Sheet1!BC152:'Sheet1'!BF152),0)</f>
        <v>0</v>
      </c>
      <c r="BY152" s="697">
        <f>IF(AND($B152&gt;=$FL152,$B152&lt;=$FM152),MAX(BV152,Sheet1!EF152,0),MAX(BV152-(7/36)*$K152,0))</f>
        <v>0</v>
      </c>
      <c r="BZ152" s="712">
        <f t="shared" si="414"/>
        <v>12.568888888888889</v>
      </c>
      <c r="CA152" s="697">
        <f t="shared" si="625"/>
        <v>0</v>
      </c>
      <c r="CB152" s="697">
        <f>IF(AND($O152&gt;0,Sheet1!EJ152=1),(1-($O152-Sheet1!$L152)/$O152)*BV152,0)</f>
        <v>0</v>
      </c>
      <c r="CC152" s="697">
        <f>IF(AND(Sheet1!$L152=0,Sheet1!$L151=0, Calculation!BU152&lt;Sheet1!EF152-0.1,Sheet1!EF152=Sheet1!EF151,Sheet1!EF152=Sheet1!EF153),Sheet1!EF152,BV152-CB152)</f>
        <v>0</v>
      </c>
      <c r="CD152" s="697"/>
      <c r="CE152" s="712"/>
      <c r="CF152" s="712">
        <f t="shared" si="415"/>
        <v>854.18881377674711</v>
      </c>
      <c r="CG152" s="712"/>
      <c r="CH152" s="712">
        <f ca="1">IF(B152&gt;Summary!$A$1,#N/A,CF152*MGtoAF)</f>
        <v>2620.6512806670603</v>
      </c>
      <c r="CI152" s="712">
        <f>Sheet1!BK152+Sheet1!BL152+Sheet1!BM152-Sheet1!EN152-CQ152</f>
        <v>0</v>
      </c>
      <c r="CJ152" s="712">
        <f t="shared" si="416"/>
        <v>0</v>
      </c>
      <c r="CK152" s="712">
        <f>IF(Sheet1!EN152="FM",CQ152,0)</f>
        <v>0</v>
      </c>
      <c r="CL152" s="712">
        <f t="shared" si="417"/>
        <v>0</v>
      </c>
      <c r="CM152" s="712">
        <f>IF(Sheet1!EN152="OTHER",CQ152,0)</f>
        <v>0</v>
      </c>
      <c r="CN152" s="712">
        <f t="shared" si="418"/>
        <v>0</v>
      </c>
      <c r="CO152" s="712">
        <f t="shared" si="419"/>
        <v>0</v>
      </c>
      <c r="CP152" s="712">
        <f t="shared" si="420"/>
        <v>0</v>
      </c>
      <c r="CQ152" s="712">
        <f>IF(OR(Sheet1!EN152="FM", Sheet1!EN152="OTHER"),SUM(Sheet1!BK152:'Sheet1'!BM152),0)</f>
        <v>0</v>
      </c>
      <c r="CR152" s="697">
        <f>IF(AND($B152&gt;=$FL152,$B152&lt;=$FM152),MAX($CJ152,Sheet1!EG152,0),MAX($CJ152-(7/36)*$K152,0))</f>
        <v>0</v>
      </c>
      <c r="CS152" s="712">
        <f t="shared" si="421"/>
        <v>12.568888888888889</v>
      </c>
      <c r="CT152" s="697">
        <f t="shared" si="626"/>
        <v>0</v>
      </c>
      <c r="CU152" s="697">
        <f>IF(AND($O152&gt;0,Sheet1!EK152=1),(1-($O152-Sheet1!$L152)/$O152)*CP152,0)</f>
        <v>0</v>
      </c>
      <c r="CV152" s="697">
        <f>IF(AND(Sheet1!$L152=0,Sheet1!$L151=0, Calculation!CO152&lt;Sheet1!$EG152-0.1,Sheet1!$EG152=Sheet1!$EG151,Sheet1!$EG152=Sheet1!$EG153),Sheet1!$EG152,CP152-CU152)</f>
        <v>0</v>
      </c>
      <c r="CW152" s="697">
        <f t="shared" si="613"/>
        <v>0</v>
      </c>
      <c r="CX152" s="712">
        <f t="shared" si="630"/>
        <v>0</v>
      </c>
      <c r="CY152" s="712">
        <f t="shared" si="422"/>
        <v>650.23702365337692</v>
      </c>
      <c r="CZ152" s="712">
        <f t="shared" si="423"/>
        <v>0</v>
      </c>
      <c r="DA152" s="712">
        <f ca="1">IF(B152&gt;Summary!$A$1,#N/A,CY152*MGtoAF)</f>
        <v>1994.9271885685605</v>
      </c>
      <c r="DB152" s="712">
        <f t="shared" si="424"/>
        <v>0</v>
      </c>
      <c r="DC152" s="712">
        <f t="shared" si="425"/>
        <v>19.7</v>
      </c>
      <c r="DD152" s="712">
        <f>Sheet1!AB152-DC152</f>
        <v>0.64999999999854552</v>
      </c>
      <c r="DE152" s="712">
        <f t="shared" si="426"/>
        <v>3.2994923857794192E-2</v>
      </c>
      <c r="DF152" s="712">
        <f>(VLOOKUP(Sheet1!CY152,hhdcap_wcm,4)-(((VLOOKUP(Sheet1!CY152,hhdcap_wcm,3)-Sheet1!CY152)/(VLOOKUP(Sheet1!CY152,hhdcap_wcm,3)-VLOOKUP(Sheet1!CY152,hhdcap_wcm,1)))*(VLOOKUP(Sheet1!CY152,hhdcap_wcm,4)-VLOOKUP(Sheet1!CY152,hhdcap_wcm,2))))</f>
        <v>43736.800000105082</v>
      </c>
      <c r="DG152" s="712">
        <f t="shared" si="427"/>
        <v>-1456.8800000034098</v>
      </c>
      <c r="DH152" s="712">
        <f t="shared" si="428"/>
        <v>-734.68482098003506</v>
      </c>
      <c r="DI152" s="712">
        <f>Sheet1!DW152*AFtoMG</f>
        <v>0</v>
      </c>
      <c r="DJ152" s="712">
        <f>Sheet1!DX152*AFtoMG</f>
        <v>0</v>
      </c>
      <c r="DK152" s="712">
        <f>Sheet1!DY152*AFtoMG</f>
        <v>0</v>
      </c>
      <c r="DL152" s="712">
        <f>Sheet1!DZ152*AFtoMG</f>
        <v>0</v>
      </c>
      <c r="DM152" s="712">
        <f t="shared" si="429"/>
        <v>0</v>
      </c>
      <c r="DN152" s="712">
        <f t="shared" si="430"/>
        <v>0</v>
      </c>
      <c r="DO152" s="712">
        <f t="shared" si="431"/>
        <v>4625.1013929856799</v>
      </c>
      <c r="DP152" s="712">
        <f t="shared" si="432"/>
        <v>14189.811073680066</v>
      </c>
      <c r="DQ152" s="712"/>
      <c r="DR152" s="697">
        <f>IF(OR(B152&lt;FL152,B152&gt;FM152),(MIN(AV152+BO152+CJ152+MAX(Sheet1!AA152+AG152-73,0),K152)),0)</f>
        <v>0</v>
      </c>
      <c r="DS152" s="712"/>
      <c r="DT152" s="712">
        <f t="shared" si="433"/>
        <v>0</v>
      </c>
      <c r="DU152" s="712"/>
      <c r="DV152" s="712">
        <f>Sheet1!ED152+Sheet1!EE152+Sheet1!EF152+Sheet1!EG152</f>
        <v>9.5</v>
      </c>
      <c r="DW152" s="712"/>
      <c r="DX152" s="697">
        <f t="shared" si="627"/>
        <v>0</v>
      </c>
      <c r="DY152" s="712">
        <f>IF(Sheet1!FN152=1,SUM('Calculations II'!AT152:BA152)+'Calculations II'!BC152+Sheet1!BU152+'Calculations II'!BE152+AF152,SUM('Calculations II'!AT152:BA152)+'Calculations II'!BC152+Sheet1!BU152+'Calculations II'!BE152+AF152)</f>
        <v>47.432639999999999</v>
      </c>
      <c r="DZ152" s="712">
        <f>Sheet1!AA152+Sheet1!AB152+'Calculations II'!BC152</f>
        <v>53.560000000004948</v>
      </c>
      <c r="EA152" s="712"/>
      <c r="EB152" s="712"/>
      <c r="EC152" s="712">
        <f t="shared" si="434"/>
        <v>40681</v>
      </c>
      <c r="ED152" s="712">
        <f t="shared" si="435"/>
        <v>64.64</v>
      </c>
      <c r="EE152" s="712">
        <f t="shared" si="436"/>
        <v>99.998080000000002</v>
      </c>
      <c r="EF152" s="712">
        <f>-(VLOOKUP(Sheet1!BQ152,Lookup!$B$4:$J$236,2)-VLOOKUP(Sheet1!BQ151,Lookup!$B$4:$J$236,2))/1000000</f>
        <v>1.8696999999999999</v>
      </c>
      <c r="EG152" s="712">
        <f>-(VLOOKUP(Sheet1!BR152,Lookup!$B$4:$J$236,3)-VLOOKUP(Sheet1!BR151,Lookup!$B$4:$J$236,3))/1000000</f>
        <v>-3.4544220000000001</v>
      </c>
      <c r="EH152" s="712">
        <f>-(VLOOKUP(Sheet1!BS152,Lookup!$B$4:$J$236,4)-VLOOKUP(Sheet1!BS151,Lookup!$B$4:$J$236,4))/1000000</f>
        <v>0</v>
      </c>
      <c r="EI152" s="697">
        <f t="shared" si="631"/>
        <v>-1.5847220000000002</v>
      </c>
      <c r="EJ152" s="712"/>
      <c r="EK152" s="712"/>
      <c r="EL152" s="712"/>
      <c r="EM152" s="712"/>
      <c r="EN152" s="712"/>
      <c r="EO152" s="712"/>
      <c r="EP152" s="712"/>
      <c r="EQ152" s="712"/>
      <c r="ES152" s="712"/>
      <c r="ET152" s="794" t="e">
        <f t="shared" si="437"/>
        <v>#N/A</v>
      </c>
      <c r="EU152" s="697">
        <v>5000</v>
      </c>
      <c r="EV152" s="795">
        <f t="shared" si="640"/>
        <v>23326.988926425016</v>
      </c>
      <c r="EW152" s="796" t="s">
        <v>757</v>
      </c>
      <c r="EX152" s="796" t="s">
        <v>757</v>
      </c>
      <c r="EY152" s="794">
        <v>0</v>
      </c>
      <c r="EZ152" s="794" t="e">
        <v>#N/A</v>
      </c>
      <c r="FA152" s="712"/>
      <c r="FB152" s="712"/>
      <c r="FC152" s="712"/>
      <c r="FD152" s="712"/>
      <c r="FE152" s="712">
        <f>O152+Sheet1!CO152</f>
        <v>53.560000000004948</v>
      </c>
      <c r="FF152" s="712">
        <f>IF(Sheet1!AA152+AG152&lt;=Calculation!N152,AG152,Calculation!N152-Sheet1!AA152)</f>
        <v>20.349999999998545</v>
      </c>
      <c r="FG152" s="712">
        <f>(Sheet1!BP152+Sheet1!BO152)/694.4</f>
        <v>2.7055011520737327</v>
      </c>
      <c r="FH152" s="712"/>
      <c r="FI152" s="712"/>
      <c r="FJ152" s="712"/>
      <c r="FK152" s="712"/>
      <c r="FL152" s="714">
        <f t="shared" si="632"/>
        <v>40753</v>
      </c>
      <c r="FM152" s="714">
        <f t="shared" si="633"/>
        <v>40851</v>
      </c>
      <c r="FN152" s="712"/>
      <c r="FO152" s="712"/>
      <c r="FP152" s="712"/>
      <c r="FQ152" s="712"/>
      <c r="FR152" s="712"/>
      <c r="FS152" s="725">
        <f t="shared" si="634"/>
        <v>40603</v>
      </c>
      <c r="FT152" s="714">
        <f t="shared" si="635"/>
        <v>40709</v>
      </c>
      <c r="FU152" s="712">
        <f t="shared" si="636"/>
        <v>6518.9048239895692</v>
      </c>
      <c r="FV152" s="714">
        <f t="shared" si="637"/>
        <v>40722</v>
      </c>
      <c r="FW152" s="712">
        <f t="shared" si="638"/>
        <v>3259.4524119947846</v>
      </c>
      <c r="FX152" s="725">
        <f t="shared" si="639"/>
        <v>40851</v>
      </c>
      <c r="FZ152" s="697">
        <f t="shared" si="616"/>
        <v>0</v>
      </c>
      <c r="GA152" s="712" t="str">
        <f t="shared" si="438"/>
        <v/>
      </c>
      <c r="GB152" s="712">
        <f t="shared" si="439"/>
        <v>0</v>
      </c>
      <c r="GC152" s="712" t="str">
        <f t="shared" si="440"/>
        <v/>
      </c>
      <c r="GD152" s="712">
        <f>IF(GA152="P",Lookup!$M$12,IF(GA152="PP",Lookup!$M$13,IF(GA152="PPP",Lookup!$M$14,IF(GA152="T",Lookup!$M$15,IF(GA152="TP",Lookup!$M$16,IF(GA152="TPP",Lookup!$M$17,IF(GA152="TPPP",Lookup!$M$18,0)))))))*FZ152</f>
        <v>0</v>
      </c>
      <c r="GE152" s="712">
        <f t="shared" si="441"/>
        <v>0</v>
      </c>
      <c r="GF152" s="712">
        <f t="shared" si="442"/>
        <v>6527.8858666666702</v>
      </c>
      <c r="GG152" s="712">
        <f t="shared" si="443"/>
        <v>2127.7333333333345</v>
      </c>
      <c r="GH152" s="712"/>
      <c r="GI152" s="712">
        <f t="shared" si="444"/>
        <v>0</v>
      </c>
      <c r="GJ152" s="712" t="str">
        <f t="shared" si="445"/>
        <v/>
      </c>
      <c r="GK152" s="712">
        <f>IF(GA152="P",Lookup!$N$12,IF(GA152="PP",Lookup!$N$13,IF(GA152="PPP",Lookup!$N$14,IF(GA152="T",Lookup!$N$15,IF(GA152="TP",Lookup!$N$16,IF(GA152="TPP",Lookup!$N$17,IF(GA152="TPPP",Lookup!$N$18,0)))))))*FZ152</f>
        <v>0</v>
      </c>
      <c r="GL152" s="712">
        <f t="shared" si="446"/>
        <v>0</v>
      </c>
      <c r="GM152" s="712">
        <f t="shared" si="447"/>
        <v>3046.3467377777738</v>
      </c>
      <c r="GN152" s="712">
        <f t="shared" si="448"/>
        <v>992.94222222222083</v>
      </c>
      <c r="GO152" s="712"/>
      <c r="GP152" s="712">
        <f t="shared" si="449"/>
        <v>0</v>
      </c>
      <c r="GQ152" s="712" t="str">
        <f t="shared" si="450"/>
        <v/>
      </c>
      <c r="GR152" s="712">
        <f>IF(GA152="P",Lookup!$N$12,IF(GA152="PP",Lookup!$N$13,IF(GA152="PPP",Lookup!$N$14,IF(GA152="T",Lookup!$N$15,IF(GA152="TP",Lookup!$N$16,IF(GA152="TPP",Lookup!$N$17,IF(GA152="TPPP",Lookup!$N$18,0)))))))*FZ152</f>
        <v>0</v>
      </c>
      <c r="GS152" s="697">
        <f t="shared" si="628"/>
        <v>0</v>
      </c>
      <c r="GT152" s="712">
        <f t="shared" si="451"/>
        <v>2620.6512806670603</v>
      </c>
      <c r="GU152" s="712">
        <f t="shared" si="452"/>
        <v>854.18881377674711</v>
      </c>
      <c r="GV152" s="712"/>
      <c r="GW152" s="712">
        <f t="shared" si="453"/>
        <v>0</v>
      </c>
      <c r="GX152" s="712" t="str">
        <f t="shared" si="454"/>
        <v/>
      </c>
      <c r="GY152" s="712">
        <f>IF(GA152="P",Lookup!$N$12,IF(GA152="PP",Lookup!$N$13,IF(GA152="PPP",Lookup!$N$14,IF(GA152="T",Lookup!$N$15,IF(GA152="TP",Lookup!$N$16,IF(GA152="TPP",Lookup!$N$17,IF(GA152="TPPP",Lookup!$N$18,0)))))))*FZ152</f>
        <v>0</v>
      </c>
      <c r="GZ152" s="697">
        <f t="shared" si="629"/>
        <v>0</v>
      </c>
      <c r="HA152" s="712">
        <f t="shared" si="455"/>
        <v>1994.9271885685605</v>
      </c>
      <c r="HB152" s="712">
        <f t="shared" si="456"/>
        <v>650.23702365337692</v>
      </c>
      <c r="HC152" s="712"/>
    </row>
    <row r="153" spans="1:211">
      <c r="A153" s="773" t="s">
        <v>7</v>
      </c>
      <c r="B153" s="708">
        <v>40682</v>
      </c>
      <c r="C153" s="719">
        <v>0.5</v>
      </c>
      <c r="D153" s="675">
        <f t="shared" si="617"/>
        <v>300</v>
      </c>
      <c r="E153" s="675">
        <f t="shared" si="618"/>
        <v>250</v>
      </c>
      <c r="F153" s="710">
        <v>250</v>
      </c>
      <c r="G153" s="712">
        <f>DH153+Sheet1!CV153</f>
        <v>2205.8692637414415</v>
      </c>
      <c r="H153" s="712">
        <f t="shared" si="389"/>
        <v>1158.9106920824677</v>
      </c>
      <c r="I153" s="711">
        <f>MAX(Sheet1!Z153-AJ153+(Sheet1!CW153-E153)*CFStoMGD,0)</f>
        <v>2225.6500000000015</v>
      </c>
      <c r="J153" s="720">
        <f>IF(AND(B153&gt;=Calculation!FS153,B153&lt;=Calculation!FT153),IF(Sheet1!CX153&gt;=Calculation!D153,64.64,0),MAX(Sheet1!Z153-AJ153+(Sheet1!CX153-D153)*CFStoMGD,0))</f>
        <v>64.64</v>
      </c>
      <c r="K153" s="697">
        <f t="shared" si="619"/>
        <v>64.64</v>
      </c>
      <c r="L153" s="712">
        <f>Sheet1!AA153+Sheet1!AB153-Sheet1!L153+(Sheet1!CW153-F153)*CFStoMGD</f>
        <v>2227.6199999999926</v>
      </c>
      <c r="M153" s="712">
        <f t="shared" si="390"/>
        <v>1454.3913699241173</v>
      </c>
      <c r="N153" s="712">
        <f>IF(Sheet1!CW153&gt;=F153,MIN(73,MIN(MAX(L153,0),MAX(M153,0))),0)</f>
        <v>73</v>
      </c>
      <c r="O153" s="721">
        <f>Sheet1!AA153+Sheet1!AB153</f>
        <v>56.389999999992142</v>
      </c>
      <c r="P153" s="721">
        <f t="shared" si="391"/>
        <v>87.23532999998784</v>
      </c>
      <c r="Q153" s="712">
        <f>MIN(N153,Sheet1!AA153+AG153)</f>
        <v>56.389999999992142</v>
      </c>
      <c r="R153" s="712">
        <f t="shared" si="392"/>
        <v>0</v>
      </c>
      <c r="S153" s="721">
        <f>Sheet1!Y153*MGDtoCFS</f>
        <v>63.071190000000001</v>
      </c>
      <c r="T153" s="721">
        <f>Sheet1!Z153*MGDtoCFS</f>
        <v>24.303370000000001</v>
      </c>
      <c r="U153" s="721">
        <f>Sheet1!AA153*MGDtoCFS</f>
        <v>62.328629999990092</v>
      </c>
      <c r="V153" s="721">
        <f>Sheet1!AB153*MGDtoCFS</f>
        <v>24.906699999997748</v>
      </c>
      <c r="W153" s="721">
        <f>Sheet1!L153*MGDtoCFS</f>
        <v>84.791069999999209</v>
      </c>
      <c r="X153" s="697">
        <f t="shared" si="620"/>
        <v>0</v>
      </c>
      <c r="Y153" s="712">
        <f t="shared" si="393"/>
        <v>0</v>
      </c>
      <c r="Z153" s="712">
        <f t="shared" si="394"/>
        <v>64.64</v>
      </c>
      <c r="AA153" s="712">
        <f t="shared" si="395"/>
        <v>99.998080000000002</v>
      </c>
      <c r="AB153" s="712">
        <f>(VLOOKUP(Sheet1!CY153,hhdcap_wcm,4)-(((VLOOKUP(Sheet1!CY153,hhdcap_wcm,3)-Sheet1!CY153)/(VLOOKUP(Sheet1!CY153,hhdcap_wcm,3)-VLOOKUP(Sheet1!CY153,hhdcap_wcm,1)))*(VLOOKUP(Sheet1!CY153,hhdcap_wcm,4)-VLOOKUP(Sheet1!CY153,hhdcap_wcm,2))))</f>
        <v>43111.400000104361</v>
      </c>
      <c r="AC153" s="712">
        <f t="shared" si="396"/>
        <v>-625.40000000072177</v>
      </c>
      <c r="AD153" s="712">
        <f t="shared" si="621"/>
        <v>4689.7413929856793</v>
      </c>
      <c r="AE153" s="712">
        <f t="shared" si="397"/>
        <v>14388.126593680065</v>
      </c>
      <c r="AF153" s="712">
        <f>Sheet1!BA153+Sheet1!BB153+Sheet1!BN153+BT153</f>
        <v>15.9</v>
      </c>
      <c r="AG153" s="712">
        <f t="shared" si="398"/>
        <v>16.099999999998545</v>
      </c>
      <c r="AH153" s="712">
        <f>Sheet1!BA153+BT153</f>
        <v>0</v>
      </c>
      <c r="AI153" s="712">
        <f>Sheet1!BA153+Sheet1!BB153+BT153</f>
        <v>0</v>
      </c>
      <c r="AJ153" s="712">
        <f>IF((Sheet1!AA153+AG153+AX153+AZ153+BQ153+BS153+CL153+CN153)&lt;=N153,AG153+AX153+AZ153+BQ153+BS153+CL153+CN153,N153-Sheet1!AA153)</f>
        <v>16.099999999998545</v>
      </c>
      <c r="AK153" s="712">
        <f>IF(DR153&lt;K153,0,MAX(Sheet1!AA153+AG153-15/36*K153-N153,Sheet1!ED153,0))</f>
        <v>0</v>
      </c>
      <c r="AL153" s="712">
        <f>IF(OR(B153&gt;=FT153,B153&lt;FS153),0,15/36*K153-MAX(0,64.6-(137.6-(Sheet1!AA153+Sheet1!AB153))))</f>
        <v>26.933333333333334</v>
      </c>
      <c r="AM153" s="712">
        <f>Sheet1!CX153-110</f>
        <v>2458.9583333333335</v>
      </c>
      <c r="AN153" s="712">
        <f>Sheet1!CW153-265</f>
        <v>3428.75</v>
      </c>
      <c r="AO153" s="712">
        <f t="shared" si="622"/>
        <v>16.610000000007858</v>
      </c>
      <c r="AP153" s="712">
        <f t="shared" si="623"/>
        <v>0</v>
      </c>
      <c r="AQ153" s="712">
        <f t="shared" si="399"/>
        <v>0</v>
      </c>
      <c r="AR153" s="712">
        <f t="shared" si="400"/>
        <v>2154.6666666666679</v>
      </c>
      <c r="AS153" s="712"/>
      <c r="AT153" s="712">
        <f ca="1">IF(B153&gt;Summary!$A$1,#N/A,AR153*MGtoAF)</f>
        <v>6610.5173333333369</v>
      </c>
      <c r="AU153" s="712">
        <f>Sheet1!BG153+Sheet1!BH153+Sheet1!BI153-BC153</f>
        <v>0</v>
      </c>
      <c r="AV153" s="712">
        <f t="shared" si="401"/>
        <v>0</v>
      </c>
      <c r="AW153" s="712">
        <f>IF(Sheet1!EL153="FM",BC153,0)</f>
        <v>0</v>
      </c>
      <c r="AX153" s="712">
        <f t="shared" si="402"/>
        <v>0</v>
      </c>
      <c r="AY153" s="712">
        <f>IF(Sheet1!EL153="OTHER",BC153,0)</f>
        <v>0</v>
      </c>
      <c r="AZ153" s="712">
        <f t="shared" si="403"/>
        <v>0</v>
      </c>
      <c r="BA153" s="712">
        <f t="shared" si="404"/>
        <v>0</v>
      </c>
      <c r="BB153" s="712">
        <f t="shared" si="405"/>
        <v>0</v>
      </c>
      <c r="BC153" s="712">
        <f>IF(OR(Sheet1!EL153="FM", Sheet1!EL153="OTHER"),SUM(Sheet1!BG153:'Sheet1'!BI153),0)</f>
        <v>0</v>
      </c>
      <c r="BD153" s="697">
        <f>IF(AND($B153&gt;=$FL153,$B153&lt;=$FM153),MAX(AV153,Sheet1!EE153,0),MAX(AV153-(7/36)*$K153,0))</f>
        <v>0</v>
      </c>
      <c r="BE153" s="712">
        <f t="shared" si="406"/>
        <v>12.568888888888889</v>
      </c>
      <c r="BF153" s="697">
        <f t="shared" si="624"/>
        <v>0</v>
      </c>
      <c r="BG153" s="697">
        <f>IF(AND($O153&gt;0,Sheet1!EI153=1),(1-($O153-Sheet1!$L153)/$O153)*BB153,0)</f>
        <v>0</v>
      </c>
      <c r="BH153" s="697">
        <f>IF(AND(Sheet1!$L153=0,Sheet1!$L152=0, Calculation!BA153&lt;Sheet1!$EE153-0.1,Sheet1!$EE153=Sheet1!$EE152,Sheet1!$EE153=Sheet1!$EE154),Sheet1!$EE153,BB153-BG153)</f>
        <v>0</v>
      </c>
      <c r="BI153" s="712"/>
      <c r="BJ153" s="712"/>
      <c r="BK153" s="712">
        <f t="shared" si="407"/>
        <v>1005.5111111111097</v>
      </c>
      <c r="BL153" s="712"/>
      <c r="BM153" s="712">
        <f ca="1">IF(B153&gt;Summary!$A$1,#N/A,BK153*MGtoAF)</f>
        <v>3084.9080888888848</v>
      </c>
      <c r="BN153" s="712">
        <f>Sheet1!BC153+Sheet1!BD153+Sheet1!BE153+Sheet1!BF153-BW153-BX153</f>
        <v>0</v>
      </c>
      <c r="BO153" s="712">
        <f t="shared" si="408"/>
        <v>0</v>
      </c>
      <c r="BP153" s="712">
        <f>IF(Sheet1!EM153="FM",BX153,0)</f>
        <v>0</v>
      </c>
      <c r="BQ153" s="712">
        <f t="shared" si="409"/>
        <v>0</v>
      </c>
      <c r="BR153" s="712">
        <f>IF(Sheet1!EM153="OTHER",BX153,0)</f>
        <v>0</v>
      </c>
      <c r="BS153" s="712">
        <f t="shared" si="410"/>
        <v>0</v>
      </c>
      <c r="BT153" s="712">
        <f t="shared" si="411"/>
        <v>0</v>
      </c>
      <c r="BU153" s="712">
        <f t="shared" si="412"/>
        <v>0</v>
      </c>
      <c r="BV153" s="712">
        <f t="shared" si="413"/>
        <v>0</v>
      </c>
      <c r="BW153" s="712">
        <f>IF(Sheet1!EM153="CWA",SUM(Sheet1!BC153:'Sheet1'!BF153),0)</f>
        <v>0</v>
      </c>
      <c r="BX153" s="712">
        <f>IF(OR(Sheet1!EM153="FM", Sheet1!EM153="OTHER"),SUM(Sheet1!BC153:'Sheet1'!BF153),0)</f>
        <v>0</v>
      </c>
      <c r="BY153" s="697">
        <f>IF(AND($B153&gt;=$FL153,$B153&lt;=$FM153),MAX(BV153,Sheet1!EF153,0),MAX(BV153-(7/36)*$K153,0))</f>
        <v>0</v>
      </c>
      <c r="BZ153" s="712">
        <f t="shared" si="414"/>
        <v>12.568888888888889</v>
      </c>
      <c r="CA153" s="697">
        <f t="shared" si="625"/>
        <v>0</v>
      </c>
      <c r="CB153" s="697">
        <f>IF(AND($O153&gt;0,Sheet1!EJ153=1),(1-($O153-Sheet1!$L153)/$O153)*BV153,0)</f>
        <v>0</v>
      </c>
      <c r="CC153" s="697">
        <f>IF(AND(Sheet1!$L153=0,Sheet1!$L152=0, Calculation!BU153&lt;Sheet1!EF153-0.1,Sheet1!EF153=Sheet1!EF152,Sheet1!EF153=Sheet1!EF154),Sheet1!EF153,BV153-CB153)</f>
        <v>0</v>
      </c>
      <c r="CD153" s="697"/>
      <c r="CE153" s="712"/>
      <c r="CF153" s="712">
        <f t="shared" si="415"/>
        <v>866.75770266563597</v>
      </c>
      <c r="CG153" s="712"/>
      <c r="CH153" s="712">
        <f ca="1">IF(B153&gt;Summary!$A$1,#N/A,CF153*MGtoAF)</f>
        <v>2659.2126317781713</v>
      </c>
      <c r="CI153" s="712">
        <f>Sheet1!BK153+Sheet1!BL153+Sheet1!BM153-Sheet1!EN153-CQ153</f>
        <v>0</v>
      </c>
      <c r="CJ153" s="712">
        <f t="shared" si="416"/>
        <v>0</v>
      </c>
      <c r="CK153" s="712">
        <f>IF(Sheet1!EN153="FM",CQ153,0)</f>
        <v>0</v>
      </c>
      <c r="CL153" s="712">
        <f t="shared" si="417"/>
        <v>0</v>
      </c>
      <c r="CM153" s="712">
        <f>IF(Sheet1!EN153="OTHER",CQ153,0)</f>
        <v>0</v>
      </c>
      <c r="CN153" s="712">
        <f t="shared" si="418"/>
        <v>0</v>
      </c>
      <c r="CO153" s="712">
        <f t="shared" si="419"/>
        <v>0</v>
      </c>
      <c r="CP153" s="712">
        <f t="shared" si="420"/>
        <v>0</v>
      </c>
      <c r="CQ153" s="712">
        <f>IF(OR(Sheet1!EN153="FM", Sheet1!EN153="OTHER"),SUM(Sheet1!BK153:'Sheet1'!BM153),0)</f>
        <v>0</v>
      </c>
      <c r="CR153" s="697">
        <f>IF(AND($B153&gt;=$FL153,$B153&lt;=$FM153),MAX($CJ153,Sheet1!EG153,0),MAX($CJ153-(7/36)*$K153,0))</f>
        <v>0</v>
      </c>
      <c r="CS153" s="712">
        <f t="shared" si="421"/>
        <v>12.568888888888889</v>
      </c>
      <c r="CT153" s="697">
        <f t="shared" si="626"/>
        <v>0</v>
      </c>
      <c r="CU153" s="697">
        <f>IF(AND($O153&gt;0,Sheet1!EK153=1),(1-($O153-Sheet1!$L153)/$O153)*CP153,0)</f>
        <v>0</v>
      </c>
      <c r="CV153" s="697">
        <f>IF(AND(Sheet1!$L153=0,Sheet1!$L152=0, Calculation!CO153&lt;Sheet1!$EG153-0.1,Sheet1!$EG153=Sheet1!$EG152,Sheet1!$EG153=Sheet1!$EG154),Sheet1!$EG153,CP153-CU153)</f>
        <v>0</v>
      </c>
      <c r="CW153" s="697">
        <f t="shared" si="613"/>
        <v>0</v>
      </c>
      <c r="CX153" s="712">
        <f t="shared" si="630"/>
        <v>0</v>
      </c>
      <c r="CY153" s="712">
        <f t="shared" si="422"/>
        <v>662.80591254226579</v>
      </c>
      <c r="CZ153" s="712">
        <f t="shared" si="423"/>
        <v>0</v>
      </c>
      <c r="DA153" s="712">
        <f ca="1">IF(B153&gt;Summary!$A$1,#N/A,CY153*MGtoAF)</f>
        <v>2033.4885396796715</v>
      </c>
      <c r="DB153" s="712">
        <f t="shared" si="424"/>
        <v>0</v>
      </c>
      <c r="DC153" s="712">
        <f t="shared" si="425"/>
        <v>15.9</v>
      </c>
      <c r="DD153" s="712">
        <f>Sheet1!AB153-DC153</f>
        <v>0.19999999999854445</v>
      </c>
      <c r="DE153" s="712">
        <f t="shared" si="426"/>
        <v>1.2578616352109714E-2</v>
      </c>
      <c r="DF153" s="712">
        <f>(VLOOKUP(Sheet1!CY153,hhdcap_wcm,4)-(((VLOOKUP(Sheet1!CY153,hhdcap_wcm,3)-Sheet1!CY153)/(VLOOKUP(Sheet1!CY153,hhdcap_wcm,3)-VLOOKUP(Sheet1!CY153,hhdcap_wcm,1)))*(VLOOKUP(Sheet1!CY153,hhdcap_wcm,4)-VLOOKUP(Sheet1!CY153,hhdcap_wcm,2))))</f>
        <v>43111.400000104361</v>
      </c>
      <c r="DG153" s="712">
        <f t="shared" si="427"/>
        <v>-625.40000000072177</v>
      </c>
      <c r="DH153" s="712">
        <f t="shared" si="428"/>
        <v>-315.38073625855861</v>
      </c>
      <c r="DI153" s="712">
        <f>Sheet1!DW153*AFtoMG</f>
        <v>0</v>
      </c>
      <c r="DJ153" s="712">
        <f>Sheet1!DX153*AFtoMG</f>
        <v>0</v>
      </c>
      <c r="DK153" s="712">
        <f>Sheet1!DY153*AFtoMG</f>
        <v>0</v>
      </c>
      <c r="DL153" s="712">
        <f>Sheet1!DZ153*AFtoMG</f>
        <v>0</v>
      </c>
      <c r="DM153" s="712">
        <f t="shared" si="429"/>
        <v>0</v>
      </c>
      <c r="DN153" s="712">
        <f t="shared" si="430"/>
        <v>0</v>
      </c>
      <c r="DO153" s="712">
        <f t="shared" si="431"/>
        <v>4689.7413929856793</v>
      </c>
      <c r="DP153" s="712">
        <f t="shared" si="432"/>
        <v>14388.126593680065</v>
      </c>
      <c r="DQ153" s="712"/>
      <c r="DR153" s="697">
        <f>IF(OR(B153&lt;FL153,B153&gt;FM153),(MIN(AV153+BO153+CJ153+MAX(Sheet1!AA153+AG153-73,0),K153)),0)</f>
        <v>0</v>
      </c>
      <c r="DS153" s="712"/>
      <c r="DT153" s="712">
        <f t="shared" si="433"/>
        <v>0</v>
      </c>
      <c r="DU153" s="712"/>
      <c r="DV153" s="712">
        <f>Sheet1!ED153+Sheet1!EE153+Sheet1!EF153+Sheet1!EG153</f>
        <v>8.5</v>
      </c>
      <c r="DW153" s="712"/>
      <c r="DX153" s="697">
        <f t="shared" si="627"/>
        <v>0</v>
      </c>
      <c r="DY153" s="712">
        <f>IF(Sheet1!FN153=1,SUM('Calculations II'!AT153:BA153)+'Calculations II'!BC153+Sheet1!BU153+'Calculations II'!BE153+AF153,SUM('Calculations II'!AT153:BA153)+'Calculations II'!BC153+Sheet1!BU153+'Calculations II'!BE153+AF153)</f>
        <v>50.273824000000005</v>
      </c>
      <c r="DZ153" s="712">
        <f>Sheet1!AA153+Sheet1!AB153+'Calculations II'!BC153</f>
        <v>66.710191999992148</v>
      </c>
      <c r="EA153" s="712"/>
      <c r="EB153" s="712"/>
      <c r="EC153" s="712">
        <f t="shared" si="434"/>
        <v>40682</v>
      </c>
      <c r="ED153" s="712">
        <f t="shared" si="435"/>
        <v>64.64</v>
      </c>
      <c r="EE153" s="712">
        <f t="shared" si="436"/>
        <v>99.998080000000002</v>
      </c>
      <c r="EF153" s="712">
        <f>-(VLOOKUP(Sheet1!BQ153,Lookup!$B$4:$J$236,2)-VLOOKUP(Sheet1!BQ152,Lookup!$B$4:$J$236,2))/1000000</f>
        <v>-1.3354999999999999</v>
      </c>
      <c r="EG153" s="712">
        <f>-(VLOOKUP(Sheet1!BR153,Lookup!$B$4:$J$236,3)-VLOOKUP(Sheet1!BR152,Lookup!$B$4:$J$236,3))/1000000</f>
        <v>-14.4488</v>
      </c>
      <c r="EH153" s="712">
        <f>-(VLOOKUP(Sheet1!BS153,Lookup!$B$4:$J$236,4)-VLOOKUP(Sheet1!BS152,Lookup!$B$4:$J$236,4))/1000000</f>
        <v>0</v>
      </c>
      <c r="EI153" s="697">
        <f t="shared" si="631"/>
        <v>-15.7843</v>
      </c>
      <c r="EJ153" s="712"/>
      <c r="EK153" s="712"/>
      <c r="EL153" s="712"/>
      <c r="EM153" s="712"/>
      <c r="EN153" s="712"/>
      <c r="EO153" s="712"/>
      <c r="EP153" s="712"/>
      <c r="EQ153" s="712"/>
      <c r="ES153" s="712"/>
      <c r="ET153" s="794" t="e">
        <f t="shared" si="437"/>
        <v>#N/A</v>
      </c>
      <c r="EU153" s="697">
        <v>5000</v>
      </c>
      <c r="EV153" s="795">
        <f t="shared" si="640"/>
        <v>22503.273406424298</v>
      </c>
      <c r="EW153" s="796" t="s">
        <v>757</v>
      </c>
      <c r="EX153" s="796" t="s">
        <v>757</v>
      </c>
      <c r="EY153" s="794">
        <v>0</v>
      </c>
      <c r="EZ153" s="794" t="e">
        <v>#N/A</v>
      </c>
      <c r="FA153" s="712"/>
      <c r="FB153" s="712"/>
      <c r="FC153" s="712"/>
      <c r="FD153" s="712"/>
      <c r="FE153" s="712">
        <f>O153+Sheet1!CO153</f>
        <v>7223.1899999999923</v>
      </c>
      <c r="FF153" s="712">
        <f>IF(Sheet1!AA153+AG153&lt;=Calculation!N153,AG153,Calculation!N153-Sheet1!AA153)</f>
        <v>16.099999999998545</v>
      </c>
      <c r="FG153" s="712">
        <f>(Sheet1!BP153+Sheet1!BO153)/694.4</f>
        <v>1.3083237327188941</v>
      </c>
      <c r="FH153" s="712"/>
      <c r="FI153" s="712"/>
      <c r="FJ153" s="712"/>
      <c r="FK153" s="712"/>
      <c r="FL153" s="714">
        <f t="shared" si="632"/>
        <v>40753</v>
      </c>
      <c r="FM153" s="714">
        <f t="shared" si="633"/>
        <v>40851</v>
      </c>
      <c r="FN153" s="712"/>
      <c r="FO153" s="712"/>
      <c r="FP153" s="712"/>
      <c r="FQ153" s="712"/>
      <c r="FR153" s="712"/>
      <c r="FS153" s="725">
        <f t="shared" si="634"/>
        <v>40603</v>
      </c>
      <c r="FT153" s="714">
        <f t="shared" si="635"/>
        <v>40709</v>
      </c>
      <c r="FU153" s="712">
        <f t="shared" si="636"/>
        <v>6518.9048239895692</v>
      </c>
      <c r="FV153" s="714">
        <f t="shared" si="637"/>
        <v>40722</v>
      </c>
      <c r="FW153" s="712">
        <f t="shared" si="638"/>
        <v>3259.4524119947846</v>
      </c>
      <c r="FX153" s="725">
        <f t="shared" si="639"/>
        <v>40851</v>
      </c>
      <c r="FZ153" s="697">
        <f t="shared" si="616"/>
        <v>0</v>
      </c>
      <c r="GA153" s="712" t="str">
        <f t="shared" si="438"/>
        <v/>
      </c>
      <c r="GB153" s="712">
        <f t="shared" si="439"/>
        <v>0</v>
      </c>
      <c r="GC153" s="712" t="str">
        <f t="shared" si="440"/>
        <v/>
      </c>
      <c r="GD153" s="712">
        <f>IF(GA153="P",Lookup!$M$12,IF(GA153="PP",Lookup!$M$13,IF(GA153="PPP",Lookup!$M$14,IF(GA153="T",Lookup!$M$15,IF(GA153="TP",Lookup!$M$16,IF(GA153="TPP",Lookup!$M$17,IF(GA153="TPPP",Lookup!$M$18,0)))))))*FZ153</f>
        <v>0</v>
      </c>
      <c r="GE153" s="712">
        <f t="shared" si="441"/>
        <v>0</v>
      </c>
      <c r="GF153" s="712">
        <f t="shared" si="442"/>
        <v>6610.5173333333369</v>
      </c>
      <c r="GG153" s="712">
        <f t="shared" si="443"/>
        <v>2154.6666666666679</v>
      </c>
      <c r="GH153" s="712"/>
      <c r="GI153" s="712">
        <f t="shared" si="444"/>
        <v>0</v>
      </c>
      <c r="GJ153" s="712" t="str">
        <f t="shared" si="445"/>
        <v/>
      </c>
      <c r="GK153" s="712">
        <f>IF(GA153="P",Lookup!$N$12,IF(GA153="PP",Lookup!$N$13,IF(GA153="PPP",Lookup!$N$14,IF(GA153="T",Lookup!$N$15,IF(GA153="TP",Lookup!$N$16,IF(GA153="TPP",Lookup!$N$17,IF(GA153="TPPP",Lookup!$N$18,0)))))))*FZ153</f>
        <v>0</v>
      </c>
      <c r="GL153" s="712">
        <f t="shared" si="446"/>
        <v>0</v>
      </c>
      <c r="GM153" s="712">
        <f t="shared" si="447"/>
        <v>3084.9080888888848</v>
      </c>
      <c r="GN153" s="712">
        <f t="shared" si="448"/>
        <v>1005.5111111111097</v>
      </c>
      <c r="GO153" s="712"/>
      <c r="GP153" s="712">
        <f t="shared" si="449"/>
        <v>0</v>
      </c>
      <c r="GQ153" s="712" t="str">
        <f t="shared" si="450"/>
        <v/>
      </c>
      <c r="GR153" s="712">
        <f>IF(GA153="P",Lookup!$N$12,IF(GA153="PP",Lookup!$N$13,IF(GA153="PPP",Lookup!$N$14,IF(GA153="T",Lookup!$N$15,IF(GA153="TP",Lookup!$N$16,IF(GA153="TPP",Lookup!$N$17,IF(GA153="TPPP",Lookup!$N$18,0)))))))*FZ153</f>
        <v>0</v>
      </c>
      <c r="GS153" s="697">
        <f t="shared" si="628"/>
        <v>0</v>
      </c>
      <c r="GT153" s="712">
        <f t="shared" si="451"/>
        <v>2659.2126317781713</v>
      </c>
      <c r="GU153" s="712">
        <f t="shared" si="452"/>
        <v>866.75770266563597</v>
      </c>
      <c r="GV153" s="712"/>
      <c r="GW153" s="712">
        <f t="shared" si="453"/>
        <v>0</v>
      </c>
      <c r="GX153" s="712" t="str">
        <f t="shared" si="454"/>
        <v/>
      </c>
      <c r="GY153" s="712">
        <f>IF(GA153="P",Lookup!$N$12,IF(GA153="PP",Lookup!$N$13,IF(GA153="PPP",Lookup!$N$14,IF(GA153="T",Lookup!$N$15,IF(GA153="TP",Lookup!$N$16,IF(GA153="TPP",Lookup!$N$17,IF(GA153="TPPP",Lookup!$N$18,0)))))))*FZ153</f>
        <v>0</v>
      </c>
      <c r="GZ153" s="697">
        <f t="shared" si="629"/>
        <v>0</v>
      </c>
      <c r="HA153" s="712">
        <f t="shared" si="455"/>
        <v>2033.4885396796715</v>
      </c>
      <c r="HB153" s="712">
        <f t="shared" si="456"/>
        <v>662.80591254226579</v>
      </c>
      <c r="HC153" s="712"/>
    </row>
    <row r="154" spans="1:211">
      <c r="A154" s="773" t="s">
        <v>8</v>
      </c>
      <c r="B154" s="708">
        <v>40683</v>
      </c>
      <c r="C154" s="709">
        <v>0.5</v>
      </c>
      <c r="D154" s="675">
        <f t="shared" si="617"/>
        <v>300</v>
      </c>
      <c r="E154" s="675">
        <f t="shared" si="618"/>
        <v>250</v>
      </c>
      <c r="F154" s="675">
        <v>250</v>
      </c>
      <c r="G154" s="712">
        <f>DH154+Sheet1!CV154</f>
        <v>2025.7942511345211</v>
      </c>
      <c r="H154" s="712">
        <f t="shared" si="389"/>
        <v>1042.5102039333544</v>
      </c>
      <c r="I154" s="711">
        <f>MAX(Sheet1!Z154-AJ154+(Sheet1!CW154-E154)*CFStoMGD,0)</f>
        <v>1889.1139999999968</v>
      </c>
      <c r="J154" s="720">
        <f>IF(AND(B154&gt;=Calculation!FS154,B154&lt;=Calculation!FT154),IF(Sheet1!CX154&gt;=Calculation!D154,64.64,0),MAX(Sheet1!Z154-AJ154+(Sheet1!CX154-D154)*CFStoMGD,0))</f>
        <v>64.64</v>
      </c>
      <c r="K154" s="697">
        <f t="shared" si="619"/>
        <v>64.64</v>
      </c>
      <c r="L154" s="712">
        <f>Sheet1!AA154+Sheet1!AB154-Sheet1!L154+(Sheet1!CW154-F154)*CFStoMGD</f>
        <v>1889.7240000000079</v>
      </c>
      <c r="M154" s="712">
        <f t="shared" si="390"/>
        <v>1335.6628720120216</v>
      </c>
      <c r="N154" s="712">
        <f>IF(Sheet1!CW154&gt;=F154,MIN(73,MIN(MAX(L154,0),MAX(M154,0))),0)</f>
        <v>73</v>
      </c>
      <c r="O154" s="721">
        <f>Sheet1!AA154+Sheet1!AB154</f>
        <v>53.900000000008731</v>
      </c>
      <c r="P154" s="721">
        <f t="shared" si="391"/>
        <v>83.383300000013506</v>
      </c>
      <c r="Q154" s="712">
        <f>MIN(N154,Sheet1!AA154+AG154)</f>
        <v>53.900000000008731</v>
      </c>
      <c r="R154" s="712">
        <f t="shared" si="392"/>
        <v>0</v>
      </c>
      <c r="S154" s="721">
        <f>Sheet1!Y154*MGDtoCFS</f>
        <v>63.488879999999995</v>
      </c>
      <c r="T154" s="721">
        <f>Sheet1!Z154*MGDtoCFS</f>
        <v>25.231569999999998</v>
      </c>
      <c r="U154" s="721">
        <f>Sheet1!AA154*MGDtoCFS</f>
        <v>58.167200000009004</v>
      </c>
      <c r="V154" s="721">
        <f>Sheet1!AB154*MGDtoCFS</f>
        <v>25.216100000004502</v>
      </c>
      <c r="W154" s="721">
        <f>Sheet1!L154*MGDtoCFS</f>
        <v>82.42416000000101</v>
      </c>
      <c r="X154" s="697">
        <f t="shared" si="620"/>
        <v>0</v>
      </c>
      <c r="Y154" s="712">
        <f t="shared" si="393"/>
        <v>0</v>
      </c>
      <c r="Z154" s="712">
        <f t="shared" si="394"/>
        <v>64.64</v>
      </c>
      <c r="AA154" s="712">
        <f t="shared" si="395"/>
        <v>99.998080000000002</v>
      </c>
      <c r="AB154" s="712">
        <f>(VLOOKUP(Sheet1!CY154,hhdcap_wcm,4)-(((VLOOKUP(Sheet1!CY154,hhdcap_wcm,3)-Sheet1!CY154)/(VLOOKUP(Sheet1!CY154,hhdcap_wcm,3)-VLOOKUP(Sheet1!CY154,hhdcap_wcm,1)))*(VLOOKUP(Sheet1!CY154,hhdcap_wcm,4)-VLOOKUP(Sheet1!CY154,hhdcap_wcm,2))))</f>
        <v>42931.200000104116</v>
      </c>
      <c r="AC154" s="712">
        <f t="shared" si="396"/>
        <v>-180.20000000024447</v>
      </c>
      <c r="AD154" s="712">
        <f t="shared" si="621"/>
        <v>4754.3813929856797</v>
      </c>
      <c r="AE154" s="712">
        <f t="shared" si="397"/>
        <v>14586.442113680065</v>
      </c>
      <c r="AF154" s="712">
        <f>Sheet1!BA154+Sheet1!BB154+Sheet1!BN154+BT154</f>
        <v>16.3</v>
      </c>
      <c r="AG154" s="712">
        <f t="shared" si="398"/>
        <v>16.30000000000291</v>
      </c>
      <c r="AH154" s="712">
        <f>Sheet1!BA154+BT154</f>
        <v>0</v>
      </c>
      <c r="AI154" s="712">
        <f>Sheet1!BA154+Sheet1!BB154+BT154</f>
        <v>0</v>
      </c>
      <c r="AJ154" s="712">
        <f>IF((Sheet1!AA154+AG154+AX154+AZ154+BQ154+BS154+CL154+CN154)&lt;=N154,AG154+AX154+AZ154+BQ154+BS154+CL154+CN154,N154-Sheet1!AA154)</f>
        <v>16.30000000000291</v>
      </c>
      <c r="AK154" s="712">
        <f>IF(DR154&lt;K154,0,MAX(Sheet1!AA154+AG154-15/36*K154-N154,Sheet1!ED154,0))</f>
        <v>0</v>
      </c>
      <c r="AL154" s="712">
        <f>IF(OR(B154&gt;=FT154,B154&lt;FS154),0,15/36*K154-MAX(0,64.6-(137.6-(Sheet1!AA154+Sheet1!AB154))))</f>
        <v>26.933333333333334</v>
      </c>
      <c r="AM154" s="712">
        <f>Sheet1!CX154-110</f>
        <v>2072.7083333333335</v>
      </c>
      <c r="AN154" s="712">
        <f>Sheet1!CW154-265</f>
        <v>2907.5</v>
      </c>
      <c r="AO154" s="712">
        <f t="shared" si="622"/>
        <v>19.099999999991269</v>
      </c>
      <c r="AP154" s="712">
        <f t="shared" si="623"/>
        <v>0</v>
      </c>
      <c r="AQ154" s="712">
        <f t="shared" si="399"/>
        <v>0</v>
      </c>
      <c r="AR154" s="712">
        <f t="shared" si="400"/>
        <v>2181.6000000000013</v>
      </c>
      <c r="AS154" s="712"/>
      <c r="AT154" s="712">
        <f ca="1">IF(B154&gt;Summary!$A$1,#N/A,AR154*MGtoAF)</f>
        <v>6693.1488000000045</v>
      </c>
      <c r="AU154" s="712">
        <f>Sheet1!BG154+Sheet1!BH154+Sheet1!BI154-BC154</f>
        <v>0</v>
      </c>
      <c r="AV154" s="712">
        <f t="shared" si="401"/>
        <v>0</v>
      </c>
      <c r="AW154" s="712">
        <f>IF(Sheet1!EL154="FM",BC154,0)</f>
        <v>0</v>
      </c>
      <c r="AX154" s="712">
        <f t="shared" si="402"/>
        <v>0</v>
      </c>
      <c r="AY154" s="712">
        <f>IF(Sheet1!EL154="OTHER",BC154,0)</f>
        <v>0</v>
      </c>
      <c r="AZ154" s="712">
        <f t="shared" si="403"/>
        <v>0</v>
      </c>
      <c r="BA154" s="712">
        <f t="shared" si="404"/>
        <v>0</v>
      </c>
      <c r="BB154" s="712">
        <f t="shared" si="405"/>
        <v>0</v>
      </c>
      <c r="BC154" s="712">
        <f>IF(OR(Sheet1!EL154="FM", Sheet1!EL154="OTHER"),SUM(Sheet1!BG154:'Sheet1'!BI154),0)</f>
        <v>0</v>
      </c>
      <c r="BD154" s="697">
        <f>IF(AND($B154&gt;=$FL154,$B154&lt;=$FM154),MAX(AV154,Sheet1!EE154,0),MAX(AV154-(7/36)*$K154,0))</f>
        <v>0</v>
      </c>
      <c r="BE154" s="712">
        <f t="shared" si="406"/>
        <v>12.568888888888889</v>
      </c>
      <c r="BF154" s="697">
        <f t="shared" si="624"/>
        <v>0</v>
      </c>
      <c r="BG154" s="697">
        <f>IF(AND($O154&gt;0,Sheet1!EI154=1),(1-($O154-Sheet1!$L154)/$O154)*BB154,0)</f>
        <v>0</v>
      </c>
      <c r="BH154" s="697">
        <f>IF(AND(Sheet1!$L154=0,Sheet1!$L153=0, Calculation!BA154&lt;Sheet1!$EE154-0.1,Sheet1!$EE154=Sheet1!$EE153,Sheet1!$EE154=Sheet1!$EE155),Sheet1!$EE154,BB154-BG154)</f>
        <v>0</v>
      </c>
      <c r="BI154" s="712"/>
      <c r="BJ154" s="712"/>
      <c r="BK154" s="712">
        <f t="shared" si="407"/>
        <v>1018.0799999999986</v>
      </c>
      <c r="BL154" s="712"/>
      <c r="BM154" s="712">
        <f ca="1">IF(B154&gt;Summary!$A$1,#N/A,BK154*MGtoAF)</f>
        <v>3123.4694399999958</v>
      </c>
      <c r="BN154" s="712">
        <f>Sheet1!BC154+Sheet1!BD154+Sheet1!BE154+Sheet1!BF154-BW154-BX154</f>
        <v>0</v>
      </c>
      <c r="BO154" s="712">
        <f t="shared" si="408"/>
        <v>0</v>
      </c>
      <c r="BP154" s="712">
        <f>IF(Sheet1!EM154="FM",BX154,0)</f>
        <v>0</v>
      </c>
      <c r="BQ154" s="712">
        <f t="shared" si="409"/>
        <v>0</v>
      </c>
      <c r="BR154" s="712">
        <f>IF(Sheet1!EM154="OTHER",BX154,0)</f>
        <v>0</v>
      </c>
      <c r="BS154" s="712">
        <f t="shared" si="410"/>
        <v>0</v>
      </c>
      <c r="BT154" s="712">
        <f t="shared" si="411"/>
        <v>0</v>
      </c>
      <c r="BU154" s="712">
        <f t="shared" si="412"/>
        <v>0</v>
      </c>
      <c r="BV154" s="712">
        <f t="shared" si="413"/>
        <v>0</v>
      </c>
      <c r="BW154" s="712">
        <f>IF(Sheet1!EM154="CWA",SUM(Sheet1!BC154:'Sheet1'!BF154),0)</f>
        <v>0</v>
      </c>
      <c r="BX154" s="712">
        <f>IF(OR(Sheet1!EM154="FM", Sheet1!EM154="OTHER"),SUM(Sheet1!BC154:'Sheet1'!BF154),0)</f>
        <v>0</v>
      </c>
      <c r="BY154" s="697">
        <f>IF(AND($B154&gt;=$FL154,$B154&lt;=$FM154),MAX(BV154,Sheet1!EF154,0),MAX(BV154-(7/36)*$K154,0))</f>
        <v>0</v>
      </c>
      <c r="BZ154" s="712">
        <f t="shared" si="414"/>
        <v>12.568888888888889</v>
      </c>
      <c r="CA154" s="697">
        <f t="shared" si="625"/>
        <v>0</v>
      </c>
      <c r="CB154" s="697">
        <f>IF(AND($O154&gt;0,Sheet1!EJ154=1),(1-($O154-Sheet1!$L154)/$O154)*BV154,0)</f>
        <v>0</v>
      </c>
      <c r="CC154" s="697">
        <f>IF(AND(Sheet1!$L154=0,Sheet1!$L153=0, Calculation!BU154&lt;Sheet1!EF154-0.1,Sheet1!EF154=Sheet1!EF153,Sheet1!EF154=Sheet1!EF155),Sheet1!EF154,BV154-CB154)</f>
        <v>0</v>
      </c>
      <c r="CD154" s="697"/>
      <c r="CE154" s="712"/>
      <c r="CF154" s="712">
        <f t="shared" si="415"/>
        <v>879.32659155452484</v>
      </c>
      <c r="CG154" s="712"/>
      <c r="CH154" s="712">
        <f ca="1">IF(B154&gt;Summary!$A$1,#N/A,CF154*MGtoAF)</f>
        <v>2697.7739828892823</v>
      </c>
      <c r="CI154" s="712">
        <f>Sheet1!BK154+Sheet1!BL154+Sheet1!BM154-Sheet1!EN154-CQ154</f>
        <v>0</v>
      </c>
      <c r="CJ154" s="712">
        <f t="shared" si="416"/>
        <v>0</v>
      </c>
      <c r="CK154" s="712">
        <f>IF(Sheet1!EN154="FM",CQ154,0)</f>
        <v>0</v>
      </c>
      <c r="CL154" s="712">
        <f t="shared" si="417"/>
        <v>0</v>
      </c>
      <c r="CM154" s="712">
        <f>IF(Sheet1!EN154="OTHER",CQ154,0)</f>
        <v>0</v>
      </c>
      <c r="CN154" s="712">
        <f t="shared" si="418"/>
        <v>0</v>
      </c>
      <c r="CO154" s="712">
        <f t="shared" si="419"/>
        <v>0</v>
      </c>
      <c r="CP154" s="712">
        <f t="shared" si="420"/>
        <v>0</v>
      </c>
      <c r="CQ154" s="712">
        <f>IF(OR(Sheet1!EN154="FM", Sheet1!EN154="OTHER"),SUM(Sheet1!BK154:'Sheet1'!BM154),0)</f>
        <v>0</v>
      </c>
      <c r="CR154" s="697">
        <f>IF(AND($B154&gt;=$FL154,$B154&lt;=$FM154),MAX($CJ154,Sheet1!EG154,0),MAX($CJ154-(7/36)*$K154,0))</f>
        <v>0</v>
      </c>
      <c r="CS154" s="712">
        <f t="shared" si="421"/>
        <v>12.568888888888889</v>
      </c>
      <c r="CT154" s="697">
        <f t="shared" si="626"/>
        <v>0</v>
      </c>
      <c r="CU154" s="697">
        <f>IF(AND($O154&gt;0,Sheet1!EK154=1),(1-($O154-Sheet1!$L154)/$O154)*CP154,0)</f>
        <v>0</v>
      </c>
      <c r="CV154" s="697">
        <f>IF(AND(Sheet1!$L154=0,Sheet1!$L153=0, Calculation!CO154&lt;Sheet1!$EG154-0.1,Sheet1!$EG154=Sheet1!$EG153,Sheet1!$EG154=Sheet1!$EG155),Sheet1!$EG154,CP154-CU154)</f>
        <v>0</v>
      </c>
      <c r="CW154" s="697">
        <f t="shared" si="613"/>
        <v>0</v>
      </c>
      <c r="CX154" s="712">
        <f t="shared" si="630"/>
        <v>0</v>
      </c>
      <c r="CY154" s="712">
        <f t="shared" si="422"/>
        <v>675.37480143115465</v>
      </c>
      <c r="CZ154" s="712">
        <f t="shared" si="423"/>
        <v>0</v>
      </c>
      <c r="DA154" s="712">
        <f ca="1">IF(B154&gt;Summary!$A$1,#N/A,CY154*MGtoAF)</f>
        <v>2072.0498907907827</v>
      </c>
      <c r="DB154" s="712">
        <f t="shared" si="424"/>
        <v>0</v>
      </c>
      <c r="DC154" s="712">
        <f t="shared" si="425"/>
        <v>16.3</v>
      </c>
      <c r="DD154" s="712">
        <f>Sheet1!AB154-DC154</f>
        <v>2.9096725029376103E-12</v>
      </c>
      <c r="DE154" s="712">
        <f t="shared" si="426"/>
        <v>1.7850751551764478E-13</v>
      </c>
      <c r="DF154" s="712">
        <f>(VLOOKUP(Sheet1!CY154,hhdcap_wcm,4)-(((VLOOKUP(Sheet1!CY154,hhdcap_wcm,3)-Sheet1!CY154)/(VLOOKUP(Sheet1!CY154,hhdcap_wcm,3)-VLOOKUP(Sheet1!CY154,hhdcap_wcm,1)))*(VLOOKUP(Sheet1!CY154,hhdcap_wcm,4)-VLOOKUP(Sheet1!CY154,hhdcap_wcm,2))))</f>
        <v>42931.200000104116</v>
      </c>
      <c r="DG154" s="712">
        <f t="shared" si="427"/>
        <v>-180.20000000024447</v>
      </c>
      <c r="DH154" s="712">
        <f t="shared" si="428"/>
        <v>-90.872415532145453</v>
      </c>
      <c r="DI154" s="712">
        <f>Sheet1!DW154*AFtoMG</f>
        <v>0</v>
      </c>
      <c r="DJ154" s="712">
        <f>Sheet1!DX154*AFtoMG</f>
        <v>0</v>
      </c>
      <c r="DK154" s="712">
        <f>Sheet1!DY154*AFtoMG</f>
        <v>0</v>
      </c>
      <c r="DL154" s="712">
        <f>Sheet1!DZ154*AFtoMG</f>
        <v>0</v>
      </c>
      <c r="DM154" s="712">
        <f t="shared" si="429"/>
        <v>0</v>
      </c>
      <c r="DN154" s="712">
        <f t="shared" si="430"/>
        <v>0</v>
      </c>
      <c r="DO154" s="712">
        <f t="shared" si="431"/>
        <v>4754.3813929856797</v>
      </c>
      <c r="DP154" s="712">
        <f t="shared" si="432"/>
        <v>14586.442113680065</v>
      </c>
      <c r="DQ154" s="712"/>
      <c r="DR154" s="697">
        <f>IF(OR(B154&lt;FL154,B154&gt;FM154),(MIN(AV154+BO154+CJ154+MAX(Sheet1!AA154+AG154-73,0),K154)),0)</f>
        <v>0</v>
      </c>
      <c r="DS154" s="712"/>
      <c r="DT154" s="712">
        <f t="shared" si="433"/>
        <v>0</v>
      </c>
      <c r="DU154" s="712"/>
      <c r="DV154" s="712">
        <f>Sheet1!ED154+Sheet1!EE154+Sheet1!EF154+Sheet1!EG154</f>
        <v>8.5</v>
      </c>
      <c r="DW154" s="712"/>
      <c r="DX154" s="697">
        <f t="shared" si="627"/>
        <v>0</v>
      </c>
      <c r="DY154" s="712">
        <f>IF(Sheet1!FN154=1,SUM('Calculations II'!AT154:BA154)+'Calculations II'!BC154+Sheet1!BU154+'Calculations II'!BE154+AF154,SUM('Calculations II'!AT154:BA154)+'Calculations II'!BC154+Sheet1!BU154+'Calculations II'!BE154+AF154)</f>
        <v>48.261792</v>
      </c>
      <c r="DZ154" s="712">
        <f>Sheet1!AA154+Sheet1!AB154+'Calculations II'!BC154</f>
        <v>61.836128000008728</v>
      </c>
      <c r="EA154" s="712"/>
      <c r="EB154" s="712"/>
      <c r="EC154" s="712">
        <f t="shared" si="434"/>
        <v>40683</v>
      </c>
      <c r="ED154" s="712">
        <f t="shared" si="435"/>
        <v>64.64</v>
      </c>
      <c r="EE154" s="712">
        <f t="shared" si="436"/>
        <v>99.998080000000002</v>
      </c>
      <c r="EF154" s="712">
        <f>-(VLOOKUP(Sheet1!BQ154,Lookup!$B$4:$J$236,2)-VLOOKUP(Sheet1!BQ153,Lookup!$B$4:$J$236,2))/1000000</f>
        <v>8.9204000000000008</v>
      </c>
      <c r="EG154" s="712">
        <f>-(VLOOKUP(Sheet1!BR154,Lookup!$B$4:$J$236,3)-VLOOKUP(Sheet1!BR153,Lookup!$B$4:$J$236,3))/1000000</f>
        <v>-20.675899999999999</v>
      </c>
      <c r="EH154" s="712">
        <f>-(VLOOKUP(Sheet1!BS154,Lookup!$B$4:$J$236,4)-VLOOKUP(Sheet1!BS153,Lookup!$B$4:$J$236,4))/1000000</f>
        <v>0</v>
      </c>
      <c r="EI154" s="697">
        <f t="shared" si="631"/>
        <v>-11.755499999999998</v>
      </c>
      <c r="EJ154" s="712"/>
      <c r="EK154" s="712"/>
      <c r="EL154" s="712"/>
      <c r="EM154" s="712"/>
      <c r="EN154" s="712"/>
      <c r="EO154" s="712"/>
      <c r="EP154" s="712"/>
      <c r="EQ154" s="712"/>
      <c r="ES154" s="712"/>
      <c r="ET154" s="794" t="e">
        <f t="shared" si="437"/>
        <v>#N/A</v>
      </c>
      <c r="EU154" s="697">
        <v>5000</v>
      </c>
      <c r="EV154" s="795">
        <f t="shared" si="640"/>
        <v>22124.75788642405</v>
      </c>
      <c r="EW154" s="796" t="s">
        <v>757</v>
      </c>
      <c r="EX154" s="796" t="s">
        <v>757</v>
      </c>
      <c r="EY154" s="794">
        <v>0</v>
      </c>
      <c r="EZ154" s="794" t="e">
        <v>#N/A</v>
      </c>
      <c r="FA154" s="712"/>
      <c r="FB154" s="712"/>
      <c r="FC154" s="712"/>
      <c r="FD154" s="712"/>
      <c r="FE154" s="712">
        <f>O154+Sheet1!CO154</f>
        <v>5565.1000000000085</v>
      </c>
      <c r="FF154" s="712">
        <f>IF(Sheet1!AA154+AG154&lt;=Calculation!N154,AG154,Calculation!N154-Sheet1!AA154)</f>
        <v>16.30000000000291</v>
      </c>
      <c r="FG154" s="712">
        <f>(Sheet1!BP154+Sheet1!BO154)/694.4</f>
        <v>2.630040322580645</v>
      </c>
      <c r="FH154" s="712"/>
      <c r="FI154" s="712"/>
      <c r="FJ154" s="712"/>
      <c r="FK154" s="712"/>
      <c r="FL154" s="714">
        <f t="shared" si="632"/>
        <v>40753</v>
      </c>
      <c r="FM154" s="714">
        <f t="shared" si="633"/>
        <v>40851</v>
      </c>
      <c r="FN154" s="712"/>
      <c r="FO154" s="712"/>
      <c r="FP154" s="712"/>
      <c r="FQ154" s="712"/>
      <c r="FR154" s="712"/>
      <c r="FS154" s="725">
        <f t="shared" si="634"/>
        <v>40603</v>
      </c>
      <c r="FT154" s="714">
        <f t="shared" si="635"/>
        <v>40709</v>
      </c>
      <c r="FU154" s="712">
        <f t="shared" si="636"/>
        <v>6518.9048239895692</v>
      </c>
      <c r="FV154" s="714">
        <f t="shared" si="637"/>
        <v>40722</v>
      </c>
      <c r="FW154" s="712">
        <f t="shared" si="638"/>
        <v>3259.4524119947846</v>
      </c>
      <c r="FX154" s="725">
        <f t="shared" si="639"/>
        <v>40851</v>
      </c>
      <c r="FZ154" s="697">
        <f t="shared" si="616"/>
        <v>0</v>
      </c>
      <c r="GA154" s="712" t="str">
        <f t="shared" si="438"/>
        <v/>
      </c>
      <c r="GB154" s="712">
        <f t="shared" si="439"/>
        <v>0</v>
      </c>
      <c r="GC154" s="712" t="str">
        <f t="shared" si="440"/>
        <v/>
      </c>
      <c r="GD154" s="712">
        <f>IF(GA154="P",Lookup!$M$12,IF(GA154="PP",Lookup!$M$13,IF(GA154="PPP",Lookup!$M$14,IF(GA154="T",Lookup!$M$15,IF(GA154="TP",Lookup!$M$16,IF(GA154="TPP",Lookup!$M$17,IF(GA154="TPPP",Lookup!$M$18,0)))))))*FZ154</f>
        <v>0</v>
      </c>
      <c r="GE154" s="712">
        <f t="shared" si="441"/>
        <v>0</v>
      </c>
      <c r="GF154" s="712">
        <f t="shared" si="442"/>
        <v>6693.1488000000045</v>
      </c>
      <c r="GG154" s="712">
        <f t="shared" si="443"/>
        <v>2181.6000000000013</v>
      </c>
      <c r="GH154" s="712"/>
      <c r="GI154" s="712">
        <f t="shared" si="444"/>
        <v>0</v>
      </c>
      <c r="GJ154" s="712" t="str">
        <f t="shared" si="445"/>
        <v/>
      </c>
      <c r="GK154" s="712">
        <f>IF(GA154="P",Lookup!$N$12,IF(GA154="PP",Lookup!$N$13,IF(GA154="PPP",Lookup!$N$14,IF(GA154="T",Lookup!$N$15,IF(GA154="TP",Lookup!$N$16,IF(GA154="TPP",Lookup!$N$17,IF(GA154="TPPP",Lookup!$N$18,0)))))))*FZ154</f>
        <v>0</v>
      </c>
      <c r="GL154" s="712">
        <f t="shared" si="446"/>
        <v>0</v>
      </c>
      <c r="GM154" s="712">
        <f t="shared" si="447"/>
        <v>3123.4694399999958</v>
      </c>
      <c r="GN154" s="712">
        <f t="shared" si="448"/>
        <v>1018.0799999999986</v>
      </c>
      <c r="GO154" s="712"/>
      <c r="GP154" s="712">
        <f t="shared" si="449"/>
        <v>0</v>
      </c>
      <c r="GQ154" s="712" t="str">
        <f t="shared" si="450"/>
        <v/>
      </c>
      <c r="GR154" s="712">
        <f>IF(GA154="P",Lookup!$N$12,IF(GA154="PP",Lookup!$N$13,IF(GA154="PPP",Lookup!$N$14,IF(GA154="T",Lookup!$N$15,IF(GA154="TP",Lookup!$N$16,IF(GA154="TPP",Lookup!$N$17,IF(GA154="TPPP",Lookup!$N$18,0)))))))*FZ154</f>
        <v>0</v>
      </c>
      <c r="GS154" s="697">
        <f t="shared" si="628"/>
        <v>0</v>
      </c>
      <c r="GT154" s="712">
        <f t="shared" si="451"/>
        <v>2697.7739828892823</v>
      </c>
      <c r="GU154" s="712">
        <f t="shared" si="452"/>
        <v>879.32659155452484</v>
      </c>
      <c r="GV154" s="712"/>
      <c r="GW154" s="712">
        <f t="shared" si="453"/>
        <v>0</v>
      </c>
      <c r="GX154" s="712" t="str">
        <f t="shared" si="454"/>
        <v/>
      </c>
      <c r="GY154" s="712">
        <f>IF(GA154="P",Lookup!$N$12,IF(GA154="PP",Lookup!$N$13,IF(GA154="PPP",Lookup!$N$14,IF(GA154="T",Lookup!$N$15,IF(GA154="TP",Lookup!$N$16,IF(GA154="TPP",Lookup!$N$17,IF(GA154="TPPP",Lookup!$N$18,0)))))))*FZ154</f>
        <v>0</v>
      </c>
      <c r="GZ154" s="697">
        <f t="shared" si="629"/>
        <v>0</v>
      </c>
      <c r="HA154" s="712">
        <f t="shared" si="455"/>
        <v>2072.0498907907827</v>
      </c>
      <c r="HB154" s="712">
        <f t="shared" si="456"/>
        <v>675.37480143115465</v>
      </c>
      <c r="HC154" s="712"/>
    </row>
    <row r="155" spans="1:211">
      <c r="A155" s="773" t="s">
        <v>9</v>
      </c>
      <c r="B155" s="708">
        <v>40684</v>
      </c>
      <c r="C155" s="719">
        <v>0.5</v>
      </c>
      <c r="D155" s="675">
        <f t="shared" si="617"/>
        <v>300</v>
      </c>
      <c r="E155" s="675">
        <f t="shared" si="618"/>
        <v>250</v>
      </c>
      <c r="F155" s="710">
        <v>250</v>
      </c>
      <c r="G155" s="712">
        <f>DH155+Sheet1!CV155</f>
        <v>2104.885905194275</v>
      </c>
      <c r="H155" s="712">
        <f t="shared" si="389"/>
        <v>1093.6350491175792</v>
      </c>
      <c r="I155" s="711">
        <f>MAX(Sheet1!Z155-AJ155+(Sheet1!CW155-E155)*CFStoMGD,0)</f>
        <v>1668.116</v>
      </c>
      <c r="J155" s="720">
        <f>IF(AND(B155&gt;=Calculation!FS155,B155&lt;=Calculation!FT155),IF(Sheet1!CX155&gt;=Calculation!D155,64.64,0),MAX(Sheet1!Z155-AJ155+(Sheet1!CX155-D155)*CFStoMGD,0))</f>
        <v>64.64</v>
      </c>
      <c r="K155" s="697">
        <f t="shared" si="619"/>
        <v>64.64</v>
      </c>
      <c r="L155" s="712">
        <f>Sheet1!AA155+Sheet1!AB155-Sheet1!L155+(Sheet1!CW155-F155)*CFStoMGD</f>
        <v>1668.5459999999948</v>
      </c>
      <c r="M155" s="712">
        <f t="shared" si="390"/>
        <v>1387.810214099931</v>
      </c>
      <c r="N155" s="712">
        <f>IF(Sheet1!CW155&gt;=F155,MIN(73,MIN(MAX(L155,0),MAX(M155,0))),0)</f>
        <v>73</v>
      </c>
      <c r="O155" s="721">
        <f>Sheet1!AA155+Sheet1!AB155</f>
        <v>50.399999999994179</v>
      </c>
      <c r="P155" s="721">
        <f t="shared" si="391"/>
        <v>77.968799999990992</v>
      </c>
      <c r="Q155" s="712">
        <f>MIN(N155,Sheet1!AA155+AG155)</f>
        <v>50.399999999994179</v>
      </c>
      <c r="R155" s="712">
        <f t="shared" si="392"/>
        <v>0</v>
      </c>
      <c r="S155" s="721">
        <f>Sheet1!Y155*MGDtoCFS</f>
        <v>56.620199999999997</v>
      </c>
      <c r="T155" s="721">
        <f>Sheet1!Z155*MGDtoCFS</f>
        <v>21.657999999999998</v>
      </c>
      <c r="U155" s="721">
        <f>Sheet1!AA155*MGDtoCFS</f>
        <v>56.310799999990991</v>
      </c>
      <c r="V155" s="721">
        <f>Sheet1!AB155*MGDtoCFS</f>
        <v>21.657999999999998</v>
      </c>
      <c r="W155" s="721">
        <f>Sheet1!L155*MGDtoCFS</f>
        <v>77.303589999998977</v>
      </c>
      <c r="X155" s="697">
        <f t="shared" si="620"/>
        <v>0</v>
      </c>
      <c r="Y155" s="712">
        <f t="shared" si="393"/>
        <v>0</v>
      </c>
      <c r="Z155" s="712">
        <f t="shared" si="394"/>
        <v>64.64</v>
      </c>
      <c r="AA155" s="712">
        <f t="shared" si="395"/>
        <v>99.998080000000002</v>
      </c>
      <c r="AB155" s="712">
        <f>(VLOOKUP(Sheet1!CY155,hhdcap_wcm,4)-(((VLOOKUP(Sheet1!CY155,hhdcap_wcm,3)-Sheet1!CY155)/(VLOOKUP(Sheet1!CY155,hhdcap_wcm,3)-VLOOKUP(Sheet1!CY155,hhdcap_wcm,1)))*(VLOOKUP(Sheet1!CY155,hhdcap_wcm,4)-VLOOKUP(Sheet1!CY155,hhdcap_wcm,2))))</f>
        <v>43196.200000104363</v>
      </c>
      <c r="AC155" s="712">
        <f t="shared" si="396"/>
        <v>265.00000000024738</v>
      </c>
      <c r="AD155" s="712">
        <f t="shared" si="621"/>
        <v>4819.02139298568</v>
      </c>
      <c r="AE155" s="712">
        <f t="shared" si="397"/>
        <v>14784.757633680067</v>
      </c>
      <c r="AF155" s="712">
        <f>Sheet1!BA155+Sheet1!BB155+Sheet1!BN155+BT155</f>
        <v>13.8</v>
      </c>
      <c r="AG155" s="712">
        <f t="shared" si="398"/>
        <v>14</v>
      </c>
      <c r="AH155" s="712">
        <f>Sheet1!BA155+BT155</f>
        <v>0</v>
      </c>
      <c r="AI155" s="712">
        <f>Sheet1!BA155+Sheet1!BB155+BT155</f>
        <v>0</v>
      </c>
      <c r="AJ155" s="712">
        <f>IF((Sheet1!AA155+AG155+AX155+AZ155+BQ155+BS155+CL155+CN155)&lt;=N155,AG155+AX155+AZ155+BQ155+BS155+CL155+CN155,N155-Sheet1!AA155)</f>
        <v>14</v>
      </c>
      <c r="AK155" s="712">
        <f>IF(DR155&lt;K155,0,MAX(Sheet1!AA155+AG155-15/36*K155-N155,Sheet1!ED155,0))</f>
        <v>0</v>
      </c>
      <c r="AL155" s="712">
        <f>IF(OR(B155&gt;=FT155,B155&lt;FS155),0,15/36*K155-MAX(0,64.6-(137.6-(Sheet1!AA155+Sheet1!AB155))))</f>
        <v>26.933333333333334</v>
      </c>
      <c r="AM155" s="712">
        <f>Sheet1!CX155-110</f>
        <v>1921.25</v>
      </c>
      <c r="AN155" s="712">
        <f>Sheet1!CW155-265</f>
        <v>2565.625</v>
      </c>
      <c r="AO155" s="712">
        <f t="shared" si="622"/>
        <v>22.600000000005821</v>
      </c>
      <c r="AP155" s="712">
        <f t="shared" si="623"/>
        <v>0</v>
      </c>
      <c r="AQ155" s="712">
        <f t="shared" si="399"/>
        <v>0</v>
      </c>
      <c r="AR155" s="712">
        <f t="shared" si="400"/>
        <v>2208.5333333333347</v>
      </c>
      <c r="AS155" s="712"/>
      <c r="AT155" s="712">
        <f ca="1">IF(B155&gt;Summary!$A$1,#N/A,AR155*MGtoAF)</f>
        <v>6775.7802666666712</v>
      </c>
      <c r="AU155" s="712">
        <f>Sheet1!BG155+Sheet1!BH155+Sheet1!BI155-BC155</f>
        <v>0</v>
      </c>
      <c r="AV155" s="712">
        <f t="shared" si="401"/>
        <v>0</v>
      </c>
      <c r="AW155" s="712">
        <f>IF(Sheet1!EL155="FM",BC155,0)</f>
        <v>0</v>
      </c>
      <c r="AX155" s="712">
        <f t="shared" si="402"/>
        <v>0</v>
      </c>
      <c r="AY155" s="712">
        <f>IF(Sheet1!EL155="OTHER",BC155,0)</f>
        <v>0</v>
      </c>
      <c r="AZ155" s="712">
        <f t="shared" si="403"/>
        <v>0</v>
      </c>
      <c r="BA155" s="712">
        <f t="shared" si="404"/>
        <v>0</v>
      </c>
      <c r="BB155" s="712">
        <f t="shared" si="405"/>
        <v>0</v>
      </c>
      <c r="BC155" s="712">
        <f>IF(OR(Sheet1!EL155="FM", Sheet1!EL155="OTHER"),SUM(Sheet1!BG155:'Sheet1'!BI155),0)</f>
        <v>0</v>
      </c>
      <c r="BD155" s="697">
        <f>IF(AND($B155&gt;=$FL155,$B155&lt;=$FM155),MAX(AV155,Sheet1!EE155,0),MAX(AV155-(7/36)*$K155,0))</f>
        <v>0</v>
      </c>
      <c r="BE155" s="712">
        <f t="shared" si="406"/>
        <v>12.568888888888889</v>
      </c>
      <c r="BF155" s="697">
        <f t="shared" si="624"/>
        <v>0</v>
      </c>
      <c r="BG155" s="697">
        <f>IF(AND($O155&gt;0,Sheet1!EI155=1),(1-($O155-Sheet1!$L155)/$O155)*BB155,0)</f>
        <v>0</v>
      </c>
      <c r="BH155" s="697">
        <f>IF(AND(Sheet1!$L155=0,Sheet1!$L154=0, Calculation!BA155&lt;Sheet1!$EE155-0.1,Sheet1!$EE155=Sheet1!$EE154,Sheet1!$EE155=Sheet1!$EE156),Sheet1!$EE155,BB155-BG155)</f>
        <v>0</v>
      </c>
      <c r="BI155" s="712"/>
      <c r="BJ155" s="712"/>
      <c r="BK155" s="712">
        <f t="shared" si="407"/>
        <v>1030.6488888888875</v>
      </c>
      <c r="BL155" s="712"/>
      <c r="BM155" s="712">
        <f ca="1">IF(B155&gt;Summary!$A$1,#N/A,BK155*MGtoAF)</f>
        <v>3162.0307911111072</v>
      </c>
      <c r="BN155" s="712">
        <f>Sheet1!BC155+Sheet1!BD155+Sheet1!BE155+Sheet1!BF155-BW155-BX155</f>
        <v>0</v>
      </c>
      <c r="BO155" s="712">
        <f t="shared" si="408"/>
        <v>0</v>
      </c>
      <c r="BP155" s="712">
        <f>IF(Sheet1!EM155="FM",BX155,0)</f>
        <v>0</v>
      </c>
      <c r="BQ155" s="712">
        <f t="shared" si="409"/>
        <v>0</v>
      </c>
      <c r="BR155" s="712">
        <f>IF(Sheet1!EM155="OTHER",BX155,0)</f>
        <v>0</v>
      </c>
      <c r="BS155" s="712">
        <f t="shared" si="410"/>
        <v>0</v>
      </c>
      <c r="BT155" s="712">
        <f t="shared" si="411"/>
        <v>0</v>
      </c>
      <c r="BU155" s="712">
        <f t="shared" si="412"/>
        <v>0</v>
      </c>
      <c r="BV155" s="712">
        <f t="shared" si="413"/>
        <v>0</v>
      </c>
      <c r="BW155" s="712">
        <f>IF(Sheet1!EM155="CWA",SUM(Sheet1!BC155:'Sheet1'!BF155),0)</f>
        <v>0</v>
      </c>
      <c r="BX155" s="712">
        <f>IF(OR(Sheet1!EM155="FM", Sheet1!EM155="OTHER"),SUM(Sheet1!BC155:'Sheet1'!BF155),0)</f>
        <v>0</v>
      </c>
      <c r="BY155" s="697">
        <f>IF(AND($B155&gt;=$FL155,$B155&lt;=$FM155),MAX(BV155,Sheet1!EF155,0),MAX(BV155-(7/36)*$K155,0))</f>
        <v>0</v>
      </c>
      <c r="BZ155" s="712">
        <f t="shared" si="414"/>
        <v>12.568888888888889</v>
      </c>
      <c r="CA155" s="697">
        <f t="shared" si="625"/>
        <v>0</v>
      </c>
      <c r="CB155" s="697">
        <f>IF(AND($O155&gt;0,Sheet1!EJ155=1),(1-($O155-Sheet1!$L155)/$O155)*BV155,0)</f>
        <v>0</v>
      </c>
      <c r="CC155" s="697">
        <f>IF(AND(Sheet1!$L155=0,Sheet1!$L154=0, Calculation!BU155&lt;Sheet1!EF155-0.1,Sheet1!EF155=Sheet1!EF154,Sheet1!EF155=Sheet1!EF156),Sheet1!EF155,BV155-CB155)</f>
        <v>0</v>
      </c>
      <c r="CD155" s="697"/>
      <c r="CE155" s="712"/>
      <c r="CF155" s="712">
        <f t="shared" si="415"/>
        <v>891.8954804434137</v>
      </c>
      <c r="CG155" s="712"/>
      <c r="CH155" s="712">
        <f ca="1">IF(B155&gt;Summary!$A$1,#N/A,CF155*MGtoAF)</f>
        <v>2736.3353340003932</v>
      </c>
      <c r="CI155" s="712">
        <f>Sheet1!BK155+Sheet1!BL155+Sheet1!BM155-Sheet1!EN155-CQ155</f>
        <v>0</v>
      </c>
      <c r="CJ155" s="712">
        <f t="shared" si="416"/>
        <v>0</v>
      </c>
      <c r="CK155" s="712">
        <f>IF(Sheet1!EN155="FM",CQ155,0)</f>
        <v>0</v>
      </c>
      <c r="CL155" s="712">
        <f t="shared" si="417"/>
        <v>0</v>
      </c>
      <c r="CM155" s="712">
        <f>IF(Sheet1!EN155="OTHER",CQ155,0)</f>
        <v>0</v>
      </c>
      <c r="CN155" s="712">
        <f t="shared" si="418"/>
        <v>0</v>
      </c>
      <c r="CO155" s="712">
        <f t="shared" si="419"/>
        <v>0</v>
      </c>
      <c r="CP155" s="712">
        <f t="shared" si="420"/>
        <v>0</v>
      </c>
      <c r="CQ155" s="712">
        <f>IF(OR(Sheet1!EN155="FM", Sheet1!EN155="OTHER"),SUM(Sheet1!BK155:'Sheet1'!BM155),0)</f>
        <v>0</v>
      </c>
      <c r="CR155" s="697">
        <f>IF(AND($B155&gt;=$FL155,$B155&lt;=$FM155),MAX($CJ155,Sheet1!EG155,0),MAX($CJ155-(7/36)*$K155,0))</f>
        <v>0</v>
      </c>
      <c r="CS155" s="712">
        <f t="shared" si="421"/>
        <v>12.568888888888889</v>
      </c>
      <c r="CT155" s="697">
        <f t="shared" si="626"/>
        <v>0</v>
      </c>
      <c r="CU155" s="697">
        <f>IF(AND($O155&gt;0,Sheet1!EK155=1),(1-($O155-Sheet1!$L155)/$O155)*CP155,0)</f>
        <v>0</v>
      </c>
      <c r="CV155" s="697">
        <f>IF(AND(Sheet1!$L155=0,Sheet1!$L154=0, Calculation!CO155&lt;Sheet1!$EG155-0.1,Sheet1!$EG155=Sheet1!$EG154,Sheet1!$EG155=Sheet1!$EG156),Sheet1!$EG155,CP155-CU155)</f>
        <v>0</v>
      </c>
      <c r="CW155" s="697">
        <f t="shared" si="613"/>
        <v>0</v>
      </c>
      <c r="CX155" s="712">
        <f t="shared" si="630"/>
        <v>0</v>
      </c>
      <c r="CY155" s="712">
        <f t="shared" si="422"/>
        <v>687.94369032004352</v>
      </c>
      <c r="CZ155" s="712">
        <f t="shared" si="423"/>
        <v>0</v>
      </c>
      <c r="DA155" s="712">
        <f ca="1">IF(B155&gt;Summary!$A$1,#N/A,CY155*MGtoAF)</f>
        <v>2110.6112419018937</v>
      </c>
      <c r="DB155" s="712">
        <f t="shared" si="424"/>
        <v>0</v>
      </c>
      <c r="DC155" s="712">
        <f t="shared" si="425"/>
        <v>13.8</v>
      </c>
      <c r="DD155" s="712">
        <f>Sheet1!AB155-DC155</f>
        <v>0.19999999999999929</v>
      </c>
      <c r="DE155" s="712">
        <f t="shared" si="426"/>
        <v>1.4492753623188354E-2</v>
      </c>
      <c r="DF155" s="712">
        <f>(VLOOKUP(Sheet1!CY155,hhdcap_wcm,4)-(((VLOOKUP(Sheet1!CY155,hhdcap_wcm,3)-Sheet1!CY155)/(VLOOKUP(Sheet1!CY155,hhdcap_wcm,3)-VLOOKUP(Sheet1!CY155,hhdcap_wcm,1)))*(VLOOKUP(Sheet1!CY155,hhdcap_wcm,4)-VLOOKUP(Sheet1!CY155,hhdcap_wcm,2))))</f>
        <v>43196.200000104363</v>
      </c>
      <c r="DG155" s="712">
        <f t="shared" si="427"/>
        <v>265.00000000024738</v>
      </c>
      <c r="DH155" s="712">
        <f t="shared" si="428"/>
        <v>133.63590519427501</v>
      </c>
      <c r="DI155" s="712">
        <f>Sheet1!DW155*AFtoMG</f>
        <v>0</v>
      </c>
      <c r="DJ155" s="712">
        <f>Sheet1!DX155*AFtoMG</f>
        <v>0</v>
      </c>
      <c r="DK155" s="712">
        <f>Sheet1!DY155*AFtoMG</f>
        <v>0</v>
      </c>
      <c r="DL155" s="712">
        <f>Sheet1!DZ155*AFtoMG</f>
        <v>0</v>
      </c>
      <c r="DM155" s="712">
        <f t="shared" si="429"/>
        <v>0</v>
      </c>
      <c r="DN155" s="712">
        <f t="shared" si="430"/>
        <v>0</v>
      </c>
      <c r="DO155" s="712">
        <f t="shared" si="431"/>
        <v>4819.02139298568</v>
      </c>
      <c r="DP155" s="712">
        <f t="shared" si="432"/>
        <v>14784.757633680067</v>
      </c>
      <c r="DQ155" s="712"/>
      <c r="DR155" s="697">
        <f>IF(OR(B155&lt;FL155,B155&gt;FM155),(MIN(AV155+BO155+CJ155+MAX(Sheet1!AA155+AG155-73,0),K155)),0)</f>
        <v>0</v>
      </c>
      <c r="DS155" s="712"/>
      <c r="DT155" s="712">
        <f t="shared" si="433"/>
        <v>0</v>
      </c>
      <c r="DU155" s="712"/>
      <c r="DV155" s="712">
        <f>Sheet1!ED155+Sheet1!EE155+Sheet1!EF155+Sheet1!EG155</f>
        <v>8.5</v>
      </c>
      <c r="DW155" s="712"/>
      <c r="DX155" s="697">
        <f t="shared" si="627"/>
        <v>0</v>
      </c>
      <c r="DY155" s="712">
        <f>IF(Sheet1!FN155=1,SUM('Calculations II'!AT155:BA155)+'Calculations II'!BC155+Sheet1!BU155+'Calculations II'!BE155+AF155,SUM('Calculations II'!AT155:BA155)+'Calculations II'!BC155+Sheet1!BU155+'Calculations II'!BE155+AF155)</f>
        <v>44.876047999999997</v>
      </c>
      <c r="DZ155" s="712">
        <f>Sheet1!AA155+Sheet1!AB155+'Calculations II'!BC155</f>
        <v>52.064063999994183</v>
      </c>
      <c r="EA155" s="712"/>
      <c r="EB155" s="712"/>
      <c r="EC155" s="712">
        <f t="shared" si="434"/>
        <v>40684</v>
      </c>
      <c r="ED155" s="712">
        <f t="shared" si="435"/>
        <v>64.64</v>
      </c>
      <c r="EE155" s="712">
        <f t="shared" si="436"/>
        <v>99.998080000000002</v>
      </c>
      <c r="EF155" s="712">
        <f>-(VLOOKUP(Sheet1!BQ155,Lookup!$B$4:$J$236,2)-VLOOKUP(Sheet1!BQ154,Lookup!$B$4:$J$236,2))/1000000</f>
        <v>15.5357</v>
      </c>
      <c r="EG155" s="712">
        <f>-(VLOOKUP(Sheet1!BR155,Lookup!$B$4:$J$236,3)-VLOOKUP(Sheet1!BR154,Lookup!$B$4:$J$236,3))/1000000</f>
        <v>-4.7790999999999997</v>
      </c>
      <c r="EH155" s="712">
        <f>-(VLOOKUP(Sheet1!BS155,Lookup!$B$4:$J$236,4)-VLOOKUP(Sheet1!BS154,Lookup!$B$4:$J$236,4))/1000000</f>
        <v>0</v>
      </c>
      <c r="EI155" s="697">
        <f t="shared" si="631"/>
        <v>10.756600000000001</v>
      </c>
      <c r="EJ155" s="712"/>
      <c r="EK155" s="712"/>
      <c r="EL155" s="712"/>
      <c r="EM155" s="712"/>
      <c r="EN155" s="712"/>
      <c r="EO155" s="712"/>
      <c r="EP155" s="712"/>
      <c r="EQ155" s="712"/>
      <c r="ES155" s="712"/>
      <c r="ET155" s="794" t="e">
        <f t="shared" si="437"/>
        <v>#N/A</v>
      </c>
      <c r="EU155" s="697">
        <v>5000</v>
      </c>
      <c r="EV155" s="795">
        <f t="shared" si="640"/>
        <v>22191.442366424297</v>
      </c>
      <c r="EW155" s="796" t="s">
        <v>757</v>
      </c>
      <c r="EX155" s="796" t="s">
        <v>757</v>
      </c>
      <c r="EY155" s="794">
        <v>0</v>
      </c>
      <c r="EZ155" s="794" t="e">
        <v>#N/A</v>
      </c>
      <c r="FA155" s="712"/>
      <c r="FB155" s="712"/>
      <c r="FC155" s="712"/>
      <c r="FD155" s="712"/>
      <c r="FE155" s="712">
        <f>O155+Sheet1!CO155</f>
        <v>1205.9999999999941</v>
      </c>
      <c r="FF155" s="712">
        <f>IF(Sheet1!AA155+AG155&lt;=Calculation!N155,AG155,Calculation!N155-Sheet1!AA155)</f>
        <v>14</v>
      </c>
      <c r="FG155" s="712">
        <f>(Sheet1!BP155+Sheet1!BO155)/694.4</f>
        <v>1.8489343317972353</v>
      </c>
      <c r="FH155" s="712"/>
      <c r="FI155" s="712"/>
      <c r="FJ155" s="712"/>
      <c r="FK155" s="712"/>
      <c r="FL155" s="714">
        <f t="shared" si="632"/>
        <v>40753</v>
      </c>
      <c r="FM155" s="714">
        <f t="shared" si="633"/>
        <v>40851</v>
      </c>
      <c r="FN155" s="712"/>
      <c r="FO155" s="712"/>
      <c r="FP155" s="712"/>
      <c r="FQ155" s="712"/>
      <c r="FR155" s="712"/>
      <c r="FS155" s="725">
        <f t="shared" si="634"/>
        <v>40603</v>
      </c>
      <c r="FT155" s="714">
        <f t="shared" si="635"/>
        <v>40709</v>
      </c>
      <c r="FU155" s="712">
        <f t="shared" si="636"/>
        <v>6518.9048239895692</v>
      </c>
      <c r="FV155" s="714">
        <f t="shared" si="637"/>
        <v>40722</v>
      </c>
      <c r="FW155" s="712">
        <f t="shared" si="638"/>
        <v>3259.4524119947846</v>
      </c>
      <c r="FX155" s="725">
        <f t="shared" si="639"/>
        <v>40851</v>
      </c>
      <c r="FZ155" s="697">
        <f t="shared" si="616"/>
        <v>0</v>
      </c>
      <c r="GA155" s="712" t="str">
        <f t="shared" si="438"/>
        <v/>
      </c>
      <c r="GB155" s="712">
        <f t="shared" si="439"/>
        <v>0</v>
      </c>
      <c r="GC155" s="712" t="str">
        <f t="shared" si="440"/>
        <v/>
      </c>
      <c r="GD155" s="712">
        <f>IF(GA155="P",Lookup!$M$12,IF(GA155="PP",Lookup!$M$13,IF(GA155="PPP",Lookup!$M$14,IF(GA155="T",Lookup!$M$15,IF(GA155="TP",Lookup!$M$16,IF(GA155="TPP",Lookup!$M$17,IF(GA155="TPPP",Lookup!$M$18,0)))))))*FZ155</f>
        <v>0</v>
      </c>
      <c r="GE155" s="712">
        <f t="shared" si="441"/>
        <v>0</v>
      </c>
      <c r="GF155" s="712">
        <f t="shared" si="442"/>
        <v>6775.7802666666712</v>
      </c>
      <c r="GG155" s="712">
        <f t="shared" si="443"/>
        <v>2208.5333333333347</v>
      </c>
      <c r="GH155" s="712"/>
      <c r="GI155" s="712">
        <f t="shared" si="444"/>
        <v>0</v>
      </c>
      <c r="GJ155" s="712" t="str">
        <f t="shared" si="445"/>
        <v/>
      </c>
      <c r="GK155" s="712">
        <f>IF(GA155="P",Lookup!$N$12,IF(GA155="PP",Lookup!$N$13,IF(GA155="PPP",Lookup!$N$14,IF(GA155="T",Lookup!$N$15,IF(GA155="TP",Lookup!$N$16,IF(GA155="TPP",Lookup!$N$17,IF(GA155="TPPP",Lookup!$N$18,0)))))))*FZ155</f>
        <v>0</v>
      </c>
      <c r="GL155" s="712">
        <f t="shared" si="446"/>
        <v>0</v>
      </c>
      <c r="GM155" s="712">
        <f t="shared" si="447"/>
        <v>3162.0307911111072</v>
      </c>
      <c r="GN155" s="712">
        <f t="shared" si="448"/>
        <v>1030.6488888888875</v>
      </c>
      <c r="GO155" s="712"/>
      <c r="GP155" s="712">
        <f t="shared" si="449"/>
        <v>0</v>
      </c>
      <c r="GQ155" s="712" t="str">
        <f t="shared" si="450"/>
        <v/>
      </c>
      <c r="GR155" s="712">
        <f>IF(GA155="P",Lookup!$N$12,IF(GA155="PP",Lookup!$N$13,IF(GA155="PPP",Lookup!$N$14,IF(GA155="T",Lookup!$N$15,IF(GA155="TP",Lookup!$N$16,IF(GA155="TPP",Lookup!$N$17,IF(GA155="TPPP",Lookup!$N$18,0)))))))*FZ155</f>
        <v>0</v>
      </c>
      <c r="GS155" s="697">
        <f t="shared" si="628"/>
        <v>0</v>
      </c>
      <c r="GT155" s="712">
        <f t="shared" si="451"/>
        <v>2736.3353340003932</v>
      </c>
      <c r="GU155" s="712">
        <f t="shared" si="452"/>
        <v>891.8954804434137</v>
      </c>
      <c r="GV155" s="712"/>
      <c r="GW155" s="712">
        <f t="shared" si="453"/>
        <v>0</v>
      </c>
      <c r="GX155" s="712" t="str">
        <f t="shared" si="454"/>
        <v/>
      </c>
      <c r="GY155" s="712">
        <f>IF(GA155="P",Lookup!$N$12,IF(GA155="PP",Lookup!$N$13,IF(GA155="PPP",Lookup!$N$14,IF(GA155="T",Lookup!$N$15,IF(GA155="TP",Lookup!$N$16,IF(GA155="TPP",Lookup!$N$17,IF(GA155="TPPP",Lookup!$N$18,0)))))))*FZ155</f>
        <v>0</v>
      </c>
      <c r="GZ155" s="697">
        <f t="shared" si="629"/>
        <v>0</v>
      </c>
      <c r="HA155" s="712">
        <f t="shared" si="455"/>
        <v>2110.6112419018937</v>
      </c>
      <c r="HB155" s="712">
        <f t="shared" si="456"/>
        <v>687.94369032004352</v>
      </c>
      <c r="HC155" s="712"/>
    </row>
    <row r="156" spans="1:211">
      <c r="A156" s="773" t="s">
        <v>3</v>
      </c>
      <c r="B156" s="708">
        <v>40685</v>
      </c>
      <c r="C156" s="719">
        <v>0.5</v>
      </c>
      <c r="D156" s="675">
        <f t="shared" si="617"/>
        <v>300</v>
      </c>
      <c r="E156" s="675">
        <f t="shared" si="618"/>
        <v>250</v>
      </c>
      <c r="F156" s="675">
        <v>250</v>
      </c>
      <c r="G156" s="712">
        <f>DH156+Sheet1!CV156</f>
        <v>1965.9045637922311</v>
      </c>
      <c r="H156" s="712">
        <f t="shared" si="389"/>
        <v>1003.7975100352982</v>
      </c>
      <c r="I156" s="711">
        <f>MAX(Sheet1!Z156-AJ156+(Sheet1!CW156-E156)*CFStoMGD,0)</f>
        <v>1636.3306666666651</v>
      </c>
      <c r="J156" s="720">
        <f>IF(AND(B156&gt;=Calculation!FS156,B156&lt;=Calculation!FT156),IF(Sheet1!CX156&gt;=Calculation!D156,64.64,0),MAX(Sheet1!Z156-AJ156+(Sheet1!CX156-D156)*CFStoMGD,0))</f>
        <v>64.64</v>
      </c>
      <c r="K156" s="697">
        <f t="shared" si="619"/>
        <v>64.64</v>
      </c>
      <c r="L156" s="712">
        <f>Sheet1!AA156+Sheet1!AB156-Sheet1!L156+(Sheet1!CW156-F156)*CFStoMGD</f>
        <v>1636.6406666666712</v>
      </c>
      <c r="M156" s="712">
        <f t="shared" si="390"/>
        <v>1296.1759242360042</v>
      </c>
      <c r="N156" s="712">
        <f>IF(Sheet1!CW156&gt;=F156,MIN(73,MIN(MAX(L156,0),MAX(M156,0))),0)</f>
        <v>73</v>
      </c>
      <c r="O156" s="721">
        <f>Sheet1!AA156+Sheet1!AB156</f>
        <v>47.700000000004366</v>
      </c>
      <c r="P156" s="721">
        <f t="shared" si="391"/>
        <v>73.791900000006748</v>
      </c>
      <c r="Q156" s="712">
        <f>MIN(N156,Sheet1!AA156+AG156)</f>
        <v>47.700000000004366</v>
      </c>
      <c r="R156" s="712">
        <f t="shared" si="392"/>
        <v>0</v>
      </c>
      <c r="S156" s="721">
        <f>Sheet1!Y156*MGDtoCFS</f>
        <v>56.001400000000004</v>
      </c>
      <c r="T156" s="721">
        <f>Sheet1!Z156*MGDtoCFS</f>
        <v>21.348600000000001</v>
      </c>
      <c r="U156" s="721">
        <f>Sheet1!AA156*MGDtoCFS</f>
        <v>53.062100000004499</v>
      </c>
      <c r="V156" s="721">
        <f>Sheet1!AB156*MGDtoCFS</f>
        <v>20.72980000000225</v>
      </c>
      <c r="W156" s="721">
        <f>Sheet1!L156*MGDtoCFS</f>
        <v>72.693529999999654</v>
      </c>
      <c r="X156" s="697">
        <f t="shared" si="620"/>
        <v>0</v>
      </c>
      <c r="Y156" s="712">
        <f t="shared" si="393"/>
        <v>0</v>
      </c>
      <c r="Z156" s="712">
        <f t="shared" si="394"/>
        <v>64.64</v>
      </c>
      <c r="AA156" s="712">
        <f t="shared" si="395"/>
        <v>99.998080000000002</v>
      </c>
      <c r="AB156" s="712">
        <f>(VLOOKUP(Sheet1!CY156,hhdcap_wcm,4)-(((VLOOKUP(Sheet1!CY156,hhdcap_wcm,3)-Sheet1!CY156)/(VLOOKUP(Sheet1!CY156,hhdcap_wcm,3)-VLOOKUP(Sheet1!CY156,hhdcap_wcm,1)))*(VLOOKUP(Sheet1!CY156,hhdcap_wcm,4)-VLOOKUP(Sheet1!CY156,hhdcap_wcm,2))))</f>
        <v>43185.600000104358</v>
      </c>
      <c r="AC156" s="712">
        <f t="shared" si="396"/>
        <v>-10.600000000005821</v>
      </c>
      <c r="AD156" s="712">
        <f t="shared" si="621"/>
        <v>4883.6613929856794</v>
      </c>
      <c r="AE156" s="712">
        <f t="shared" si="397"/>
        <v>14983.073153680065</v>
      </c>
      <c r="AF156" s="712">
        <f>Sheet1!BA156+Sheet1!BB156+Sheet1!BN156+BT156</f>
        <v>13.4</v>
      </c>
      <c r="AG156" s="712">
        <f t="shared" si="398"/>
        <v>13.400000000001455</v>
      </c>
      <c r="AH156" s="712">
        <f>Sheet1!BA156+BT156</f>
        <v>0</v>
      </c>
      <c r="AI156" s="712">
        <f>Sheet1!BA156+Sheet1!BB156+BT156</f>
        <v>0</v>
      </c>
      <c r="AJ156" s="712">
        <f>IF((Sheet1!AA156+AG156+AX156+AZ156+BQ156+BS156+CL156+CN156)&lt;=N156,AG156+AX156+AZ156+BQ156+BS156+CL156+CN156,N156-Sheet1!AA156)</f>
        <v>13.400000000001455</v>
      </c>
      <c r="AK156" s="712">
        <f>IF(DR156&lt;K156,0,MAX(Sheet1!AA156+AG156-15/36*K156-N156,Sheet1!ED156,0))</f>
        <v>0</v>
      </c>
      <c r="AL156" s="712">
        <f>IF(OR(B156&gt;=FT156,B156&lt;FS156),0,15/36*K156-MAX(0,64.6-(137.6-(Sheet1!AA156+Sheet1!AB156))))</f>
        <v>26.933333333333334</v>
      </c>
      <c r="AM156" s="712">
        <f>Sheet1!CX156-110</f>
        <v>1910.625</v>
      </c>
      <c r="AN156" s="712">
        <f>Sheet1!CW156-265</f>
        <v>2515.8333333333335</v>
      </c>
      <c r="AO156" s="712">
        <f t="shared" si="622"/>
        <v>25.299999999995634</v>
      </c>
      <c r="AP156" s="712">
        <f t="shared" si="623"/>
        <v>0</v>
      </c>
      <c r="AQ156" s="712">
        <f t="shared" si="399"/>
        <v>0</v>
      </c>
      <c r="AR156" s="712">
        <f t="shared" si="400"/>
        <v>2235.4666666666681</v>
      </c>
      <c r="AS156" s="712"/>
      <c r="AT156" s="712">
        <f ca="1">IF(B156&gt;Summary!$A$1,#N/A,AR156*MGtoAF)</f>
        <v>6858.4117333333379</v>
      </c>
      <c r="AU156" s="712">
        <f>Sheet1!BG156+Sheet1!BH156+Sheet1!BI156-BC156</f>
        <v>0</v>
      </c>
      <c r="AV156" s="712">
        <f t="shared" si="401"/>
        <v>0</v>
      </c>
      <c r="AW156" s="712">
        <f>IF(Sheet1!EL156="FM",BC156,0)</f>
        <v>0</v>
      </c>
      <c r="AX156" s="712">
        <f t="shared" si="402"/>
        <v>0</v>
      </c>
      <c r="AY156" s="712">
        <f>IF(Sheet1!EL156="OTHER",BC156,0)</f>
        <v>0</v>
      </c>
      <c r="AZ156" s="712">
        <f t="shared" si="403"/>
        <v>0</v>
      </c>
      <c r="BA156" s="712">
        <f t="shared" si="404"/>
        <v>0</v>
      </c>
      <c r="BB156" s="712">
        <f t="shared" si="405"/>
        <v>0</v>
      </c>
      <c r="BC156" s="712">
        <f>IF(OR(Sheet1!EL156="FM", Sheet1!EL156="OTHER"),SUM(Sheet1!BG156:'Sheet1'!BI156),0)</f>
        <v>0</v>
      </c>
      <c r="BD156" s="697">
        <f>IF(AND($B156&gt;=$FL156,$B156&lt;=$FM156),MAX(AV156,Sheet1!EE156,0),MAX(AV156-(7/36)*$K156,0))</f>
        <v>0</v>
      </c>
      <c r="BE156" s="712">
        <f t="shared" si="406"/>
        <v>12.568888888888889</v>
      </c>
      <c r="BF156" s="697">
        <f t="shared" si="624"/>
        <v>0</v>
      </c>
      <c r="BG156" s="697">
        <f>IF(AND($O156&gt;0,Sheet1!EI156=1),(1-($O156-Sheet1!$L156)/$O156)*BB156,0)</f>
        <v>0</v>
      </c>
      <c r="BH156" s="697">
        <f>IF(AND(Sheet1!$L156=0,Sheet1!$L155=0, Calculation!BA156&lt;Sheet1!$EE156-0.1,Sheet1!$EE156=Sheet1!$EE155,Sheet1!$EE156=Sheet1!$EE157),Sheet1!$EE156,BB156-BG156)</f>
        <v>0</v>
      </c>
      <c r="BI156" s="712"/>
      <c r="BJ156" s="712"/>
      <c r="BK156" s="712">
        <f t="shared" si="407"/>
        <v>1043.2177777777765</v>
      </c>
      <c r="BL156" s="712"/>
      <c r="BM156" s="712">
        <f ca="1">IF(B156&gt;Summary!$A$1,#N/A,BK156*MGtoAF)</f>
        <v>3200.5921422222186</v>
      </c>
      <c r="BN156" s="712">
        <f>Sheet1!BC156+Sheet1!BD156+Sheet1!BE156+Sheet1!BF156-BW156-BX156</f>
        <v>0</v>
      </c>
      <c r="BO156" s="712">
        <f t="shared" si="408"/>
        <v>0</v>
      </c>
      <c r="BP156" s="712">
        <f>IF(Sheet1!EM156="FM",BX156,0)</f>
        <v>0</v>
      </c>
      <c r="BQ156" s="712">
        <f t="shared" si="409"/>
        <v>0</v>
      </c>
      <c r="BR156" s="712">
        <f>IF(Sheet1!EM156="OTHER",BX156,0)</f>
        <v>0</v>
      </c>
      <c r="BS156" s="712">
        <f t="shared" si="410"/>
        <v>0</v>
      </c>
      <c r="BT156" s="712">
        <f t="shared" si="411"/>
        <v>0</v>
      </c>
      <c r="BU156" s="712">
        <f t="shared" si="412"/>
        <v>0</v>
      </c>
      <c r="BV156" s="712">
        <f t="shared" si="413"/>
        <v>0</v>
      </c>
      <c r="BW156" s="712">
        <f>IF(Sheet1!EM156="CWA",SUM(Sheet1!BC156:'Sheet1'!BF156),0)</f>
        <v>0</v>
      </c>
      <c r="BX156" s="712">
        <f>IF(OR(Sheet1!EM156="FM", Sheet1!EM156="OTHER"),SUM(Sheet1!BC156:'Sheet1'!BF156),0)</f>
        <v>0</v>
      </c>
      <c r="BY156" s="697">
        <f>IF(AND($B156&gt;=$FL156,$B156&lt;=$FM156),MAX(BV156,Sheet1!EF156,0),MAX(BV156-(7/36)*$K156,0))</f>
        <v>0</v>
      </c>
      <c r="BZ156" s="712">
        <f t="shared" si="414"/>
        <v>12.568888888888889</v>
      </c>
      <c r="CA156" s="697">
        <f t="shared" si="625"/>
        <v>0</v>
      </c>
      <c r="CB156" s="697">
        <f>IF(AND($O156&gt;0,Sheet1!EJ156=1),(1-($O156-Sheet1!$L156)/$O156)*BV156,0)</f>
        <v>0</v>
      </c>
      <c r="CC156" s="697">
        <f>IF(AND(Sheet1!$L156=0,Sheet1!$L155=0, Calculation!BU156&lt;Sheet1!EF156-0.1,Sheet1!EF156=Sheet1!EF155,Sheet1!EF156=Sheet1!EF157),Sheet1!EF156,BV156-CB156)</f>
        <v>0</v>
      </c>
      <c r="CD156" s="697"/>
      <c r="CE156" s="712"/>
      <c r="CF156" s="712">
        <f t="shared" si="415"/>
        <v>904.46436933230257</v>
      </c>
      <c r="CG156" s="712"/>
      <c r="CH156" s="712">
        <f ca="1">IF(B156&gt;Summary!$A$1,#N/A,CF156*MGtoAF)</f>
        <v>2774.8966851115042</v>
      </c>
      <c r="CI156" s="712">
        <f>Sheet1!BK156+Sheet1!BL156+Sheet1!BM156-Sheet1!EN156-CQ156</f>
        <v>0</v>
      </c>
      <c r="CJ156" s="712">
        <f t="shared" si="416"/>
        <v>0</v>
      </c>
      <c r="CK156" s="712">
        <f>IF(Sheet1!EN156="FM",CQ156,0)</f>
        <v>0</v>
      </c>
      <c r="CL156" s="712">
        <f t="shared" si="417"/>
        <v>0</v>
      </c>
      <c r="CM156" s="712">
        <f>IF(Sheet1!EN156="OTHER",CQ156,0)</f>
        <v>0</v>
      </c>
      <c r="CN156" s="712">
        <f t="shared" si="418"/>
        <v>0</v>
      </c>
      <c r="CO156" s="712">
        <f t="shared" si="419"/>
        <v>0</v>
      </c>
      <c r="CP156" s="712">
        <f t="shared" si="420"/>
        <v>0</v>
      </c>
      <c r="CQ156" s="712">
        <f>IF(OR(Sheet1!EN156="FM", Sheet1!EN156="OTHER"),SUM(Sheet1!BK156:'Sheet1'!BM156),0)</f>
        <v>0</v>
      </c>
      <c r="CR156" s="697">
        <f>IF(AND($B156&gt;=$FL156,$B156&lt;=$FM156),MAX($CJ156,Sheet1!EG156,0),MAX($CJ156-(7/36)*$K156,0))</f>
        <v>0</v>
      </c>
      <c r="CS156" s="712">
        <f t="shared" si="421"/>
        <v>12.568888888888889</v>
      </c>
      <c r="CT156" s="697">
        <f t="shared" si="626"/>
        <v>0</v>
      </c>
      <c r="CU156" s="697">
        <f>IF(AND($O156&gt;0,Sheet1!EK156=1),(1-($O156-Sheet1!$L156)/$O156)*CP156,0)</f>
        <v>0</v>
      </c>
      <c r="CV156" s="697">
        <f>IF(AND(Sheet1!$L156=0,Sheet1!$L155=0, Calculation!CO156&lt;Sheet1!$EG156-0.1,Sheet1!$EG156=Sheet1!$EG155,Sheet1!$EG156=Sheet1!$EG157),Sheet1!$EG156,CP156-CU156)</f>
        <v>0</v>
      </c>
      <c r="CW156" s="697">
        <f t="shared" si="613"/>
        <v>0</v>
      </c>
      <c r="CX156" s="712">
        <f t="shared" si="630"/>
        <v>0</v>
      </c>
      <c r="CY156" s="712">
        <f t="shared" si="422"/>
        <v>700.51257920893238</v>
      </c>
      <c r="CZ156" s="712">
        <f t="shared" si="423"/>
        <v>0</v>
      </c>
      <c r="DA156" s="712">
        <f ca="1">IF(B156&gt;Summary!$A$1,#N/A,CY156*MGtoAF)</f>
        <v>2149.1725930130046</v>
      </c>
      <c r="DB156" s="712">
        <f t="shared" si="424"/>
        <v>0</v>
      </c>
      <c r="DC156" s="712">
        <f t="shared" si="425"/>
        <v>13.4</v>
      </c>
      <c r="DD156" s="712">
        <f>Sheet1!AB156-DC156</f>
        <v>1.4548362514688051E-12</v>
      </c>
      <c r="DE156" s="712">
        <f t="shared" si="426"/>
        <v>1.0856986951259739E-13</v>
      </c>
      <c r="DF156" s="712">
        <f>(VLOOKUP(Sheet1!CY156,hhdcap_wcm,4)-(((VLOOKUP(Sheet1!CY156,hhdcap_wcm,3)-Sheet1!CY156)/(VLOOKUP(Sheet1!CY156,hhdcap_wcm,3)-VLOOKUP(Sheet1!CY156,hhdcap_wcm,1)))*(VLOOKUP(Sheet1!CY156,hhdcap_wcm,4)-VLOOKUP(Sheet1!CY156,hhdcap_wcm,2))))</f>
        <v>43185.600000104358</v>
      </c>
      <c r="DG156" s="712">
        <f t="shared" si="427"/>
        <v>-10.600000000005821</v>
      </c>
      <c r="DH156" s="712">
        <f t="shared" si="428"/>
        <v>-5.3454362077689455</v>
      </c>
      <c r="DI156" s="712">
        <f>Sheet1!DW156*AFtoMG</f>
        <v>0</v>
      </c>
      <c r="DJ156" s="712">
        <f>Sheet1!DX156*AFtoMG</f>
        <v>0</v>
      </c>
      <c r="DK156" s="712">
        <f>Sheet1!DY156*AFtoMG</f>
        <v>0</v>
      </c>
      <c r="DL156" s="712">
        <f>Sheet1!DZ156*AFtoMG</f>
        <v>0</v>
      </c>
      <c r="DM156" s="712">
        <f t="shared" si="429"/>
        <v>0</v>
      </c>
      <c r="DN156" s="712">
        <f t="shared" si="430"/>
        <v>0</v>
      </c>
      <c r="DO156" s="712">
        <f t="shared" si="431"/>
        <v>4883.6613929856794</v>
      </c>
      <c r="DP156" s="712">
        <f t="shared" si="432"/>
        <v>14983.073153680065</v>
      </c>
      <c r="DQ156" s="712"/>
      <c r="DR156" s="697">
        <f>IF(OR(B156&lt;FL156,B156&gt;FM156),(MIN(AV156+BO156+CJ156+MAX(Sheet1!AA156+AG156-73,0),K156)),0)</f>
        <v>0</v>
      </c>
      <c r="DS156" s="712"/>
      <c r="DT156" s="712">
        <f t="shared" si="433"/>
        <v>0</v>
      </c>
      <c r="DU156" s="712"/>
      <c r="DV156" s="712">
        <f>Sheet1!ED156+Sheet1!EE156+Sheet1!EF156+Sheet1!EG156</f>
        <v>8.5</v>
      </c>
      <c r="DW156" s="712"/>
      <c r="DX156" s="697">
        <f t="shared" si="627"/>
        <v>0</v>
      </c>
      <c r="DY156" s="712">
        <f>IF(Sheet1!FN156=1,SUM('Calculations II'!AT156:BA156)+'Calculations II'!BC156+Sheet1!BU156+'Calculations II'!BE156+AF156,SUM('Calculations II'!AT156:BA156)+'Calculations II'!BC156+Sheet1!BU156+'Calculations II'!BE156+AF156)</f>
        <v>47.001104000000005</v>
      </c>
      <c r="DZ156" s="712">
        <f>Sheet1!AA156+Sheet1!AB156+'Calculations II'!BC156</f>
        <v>47.700000000004366</v>
      </c>
      <c r="EA156" s="712"/>
      <c r="EB156" s="712"/>
      <c r="EC156" s="712">
        <f t="shared" si="434"/>
        <v>40685</v>
      </c>
      <c r="ED156" s="712">
        <f t="shared" si="435"/>
        <v>64.64</v>
      </c>
      <c r="EE156" s="712">
        <f t="shared" si="436"/>
        <v>99.998080000000002</v>
      </c>
      <c r="EF156" s="712">
        <f>-(VLOOKUP(Sheet1!BQ156,Lookup!$B$4:$J$236,2)-VLOOKUP(Sheet1!BQ155,Lookup!$B$4:$J$236,2))/1000000</f>
        <v>9.6526999999999994</v>
      </c>
      <c r="EG156" s="712">
        <f>-(VLOOKUP(Sheet1!BR156,Lookup!$B$4:$J$236,3)-VLOOKUP(Sheet1!BR155,Lookup!$B$4:$J$236,3))/1000000</f>
        <v>1.603</v>
      </c>
      <c r="EH156" s="712">
        <f>-(VLOOKUP(Sheet1!BS156,Lookup!$B$4:$J$236,4)-VLOOKUP(Sheet1!BS155,Lookup!$B$4:$J$236,4))/1000000</f>
        <v>0</v>
      </c>
      <c r="EI156" s="697">
        <f t="shared" si="631"/>
        <v>11.255699999999999</v>
      </c>
      <c r="EJ156" s="712"/>
      <c r="EK156" s="712"/>
      <c r="EL156" s="712"/>
      <c r="EM156" s="712"/>
      <c r="EN156" s="712"/>
      <c r="EO156" s="712"/>
      <c r="EP156" s="712"/>
      <c r="EQ156" s="712"/>
      <c r="ES156" s="712"/>
      <c r="ET156" s="794" t="e">
        <f t="shared" si="437"/>
        <v>#N/A</v>
      </c>
      <c r="EU156" s="697">
        <v>5000</v>
      </c>
      <c r="EV156" s="795">
        <f t="shared" si="640"/>
        <v>21982.526846424291</v>
      </c>
      <c r="EW156" s="796" t="s">
        <v>757</v>
      </c>
      <c r="EX156" s="796" t="s">
        <v>757</v>
      </c>
      <c r="EY156" s="794">
        <v>0</v>
      </c>
      <c r="EZ156" s="794" t="e">
        <v>#N/A</v>
      </c>
      <c r="FA156" s="712"/>
      <c r="FB156" s="712"/>
      <c r="FC156" s="712"/>
      <c r="FD156" s="712"/>
      <c r="FE156" s="712">
        <f>O156+Sheet1!CO156</f>
        <v>47.700000000004366</v>
      </c>
      <c r="FF156" s="712">
        <f>IF(Sheet1!AA156+AG156&lt;=Calculation!N156,AG156,Calculation!N156-Sheet1!AA156)</f>
        <v>13.400000000001455</v>
      </c>
      <c r="FG156" s="712">
        <f>(Sheet1!BP156+Sheet1!BO156)/694.4</f>
        <v>2.2322868663594471</v>
      </c>
      <c r="FH156" s="712"/>
      <c r="FI156" s="712"/>
      <c r="FJ156" s="712"/>
      <c r="FK156" s="712"/>
      <c r="FL156" s="714">
        <f t="shared" si="632"/>
        <v>40753</v>
      </c>
      <c r="FM156" s="714">
        <f t="shared" si="633"/>
        <v>40851</v>
      </c>
      <c r="FN156" s="712"/>
      <c r="FO156" s="712"/>
      <c r="FP156" s="712"/>
      <c r="FQ156" s="712"/>
      <c r="FR156" s="712"/>
      <c r="FS156" s="725">
        <f t="shared" si="634"/>
        <v>40603</v>
      </c>
      <c r="FT156" s="714">
        <f t="shared" si="635"/>
        <v>40709</v>
      </c>
      <c r="FU156" s="712">
        <f t="shared" si="636"/>
        <v>6518.9048239895692</v>
      </c>
      <c r="FV156" s="714">
        <f t="shared" si="637"/>
        <v>40722</v>
      </c>
      <c r="FW156" s="712">
        <f t="shared" si="638"/>
        <v>3259.4524119947846</v>
      </c>
      <c r="FX156" s="725">
        <f t="shared" si="639"/>
        <v>40851</v>
      </c>
      <c r="FZ156" s="697">
        <f t="shared" si="616"/>
        <v>0</v>
      </c>
      <c r="GA156" s="712" t="str">
        <f t="shared" si="438"/>
        <v/>
      </c>
      <c r="GB156" s="712">
        <f t="shared" si="439"/>
        <v>0</v>
      </c>
      <c r="GC156" s="712" t="str">
        <f t="shared" si="440"/>
        <v/>
      </c>
      <c r="GD156" s="712">
        <f>IF(GA156="P",Lookup!$M$12,IF(GA156="PP",Lookup!$M$13,IF(GA156="PPP",Lookup!$M$14,IF(GA156="T",Lookup!$M$15,IF(GA156="TP",Lookup!$M$16,IF(GA156="TPP",Lookup!$M$17,IF(GA156="TPPP",Lookup!$M$18,0)))))))*FZ156</f>
        <v>0</v>
      </c>
      <c r="GE156" s="712">
        <f t="shared" si="441"/>
        <v>0</v>
      </c>
      <c r="GF156" s="712">
        <f t="shared" si="442"/>
        <v>6858.4117333333379</v>
      </c>
      <c r="GG156" s="712">
        <f t="shared" si="443"/>
        <v>2235.4666666666681</v>
      </c>
      <c r="GH156" s="712"/>
      <c r="GI156" s="712">
        <f t="shared" si="444"/>
        <v>0</v>
      </c>
      <c r="GJ156" s="712" t="str">
        <f t="shared" si="445"/>
        <v/>
      </c>
      <c r="GK156" s="712">
        <f>IF(GA156="P",Lookup!$N$12,IF(GA156="PP",Lookup!$N$13,IF(GA156="PPP",Lookup!$N$14,IF(GA156="T",Lookup!$N$15,IF(GA156="TP",Lookup!$N$16,IF(GA156="TPP",Lookup!$N$17,IF(GA156="TPPP",Lookup!$N$18,0)))))))*FZ156</f>
        <v>0</v>
      </c>
      <c r="GL156" s="712">
        <f t="shared" si="446"/>
        <v>0</v>
      </c>
      <c r="GM156" s="712">
        <f t="shared" si="447"/>
        <v>3200.5921422222186</v>
      </c>
      <c r="GN156" s="712">
        <f t="shared" si="448"/>
        <v>1043.2177777777765</v>
      </c>
      <c r="GO156" s="712"/>
      <c r="GP156" s="712">
        <f t="shared" si="449"/>
        <v>0</v>
      </c>
      <c r="GQ156" s="712" t="str">
        <f t="shared" si="450"/>
        <v/>
      </c>
      <c r="GR156" s="712">
        <f>IF(GA156="P",Lookup!$N$12,IF(GA156="PP",Lookup!$N$13,IF(GA156="PPP",Lookup!$N$14,IF(GA156="T",Lookup!$N$15,IF(GA156="TP",Lookup!$N$16,IF(GA156="TPP",Lookup!$N$17,IF(GA156="TPPP",Lookup!$N$18,0)))))))*FZ156</f>
        <v>0</v>
      </c>
      <c r="GS156" s="697">
        <f t="shared" si="628"/>
        <v>0</v>
      </c>
      <c r="GT156" s="712">
        <f t="shared" si="451"/>
        <v>2774.8966851115042</v>
      </c>
      <c r="GU156" s="712">
        <f t="shared" si="452"/>
        <v>904.46436933230257</v>
      </c>
      <c r="GV156" s="712"/>
      <c r="GW156" s="712">
        <f t="shared" si="453"/>
        <v>0</v>
      </c>
      <c r="GX156" s="712" t="str">
        <f t="shared" si="454"/>
        <v/>
      </c>
      <c r="GY156" s="712">
        <f>IF(GA156="P",Lookup!$N$12,IF(GA156="PP",Lookup!$N$13,IF(GA156="PPP",Lookup!$N$14,IF(GA156="T",Lookup!$N$15,IF(GA156="TP",Lookup!$N$16,IF(GA156="TPP",Lookup!$N$17,IF(GA156="TPPP",Lookup!$N$18,0)))))))*FZ156</f>
        <v>0</v>
      </c>
      <c r="GZ156" s="697">
        <f t="shared" si="629"/>
        <v>0</v>
      </c>
      <c r="HA156" s="712">
        <f t="shared" si="455"/>
        <v>2149.1725930130046</v>
      </c>
      <c r="HB156" s="712">
        <f t="shared" si="456"/>
        <v>700.51257920893238</v>
      </c>
      <c r="HC156" s="712"/>
    </row>
    <row r="157" spans="1:211">
      <c r="A157" s="773" t="s">
        <v>4</v>
      </c>
      <c r="B157" s="708">
        <v>40686</v>
      </c>
      <c r="C157" s="709">
        <v>0.5</v>
      </c>
      <c r="D157" s="675">
        <f t="shared" ref="D157:D220" si="641">IF(AND(B157&gt;=DATE($A$1,7,15),B157&lt;=DATE($A$1,9,15)),200,300)</f>
        <v>300</v>
      </c>
      <c r="E157" s="675">
        <f t="shared" ref="E157:E220" si="642">IF(AND(B157&gt;=DATE($A$1,7,15),B157&lt;=DATE($A$1,9,15)),400,250)</f>
        <v>250</v>
      </c>
      <c r="F157" s="675">
        <v>250</v>
      </c>
      <c r="G157" s="712">
        <f>DH157+Sheet1!CV157</f>
        <v>1780.2029752900874</v>
      </c>
      <c r="H157" s="712">
        <f t="shared" ref="H157:H220" si="643">MAX((G157-113-D157)*CFStoMGD,0)</f>
        <v>883.76000322751247</v>
      </c>
      <c r="I157" s="711">
        <f>MAX(Sheet1!Z157-AJ157+(Sheet1!CW157-E157)*CFStoMGD,0)</f>
        <v>1561.3766666666711</v>
      </c>
      <c r="J157" s="720">
        <f>IF(AND(B157&gt;=Calculation!FS157,B157&lt;=Calculation!FT157),IF(Sheet1!CX157&gt;=Calculation!D157,64.64,0),MAX(Sheet1!Z157-AJ157+(Sheet1!CX157-D157)*CFStoMGD,0))</f>
        <v>64.64</v>
      </c>
      <c r="K157" s="697">
        <f t="shared" ref="K157:K220" si="644">MAX(MIN(H157:J157,64.64),0)</f>
        <v>64.64</v>
      </c>
      <c r="L157" s="712">
        <f>Sheet1!AA157+Sheet1!AB157-Sheet1!L157+(Sheet1!CW157-F157)*CFStoMGD</f>
        <v>1560.1566666666567</v>
      </c>
      <c r="M157" s="712">
        <f t="shared" ref="M157:M220" si="645">1.02*CFStoMGD*G157</f>
        <v>1173.7376672920627</v>
      </c>
      <c r="N157" s="712">
        <f>IF(Sheet1!CW157&gt;=F157,MIN(73,MIN(MAX(L157,0),MAX(M157,0))),0)</f>
        <v>73</v>
      </c>
      <c r="O157" s="721">
        <f>Sheet1!AA157+Sheet1!AB157</f>
        <v>44.699999999989814</v>
      </c>
      <c r="P157" s="721">
        <f t="shared" ref="P157:P220" si="646">U157+V157</f>
        <v>69.150899999984233</v>
      </c>
      <c r="Q157" s="712">
        <f>MIN(N157,Sheet1!AA157+AG157)</f>
        <v>44.699999999989814</v>
      </c>
      <c r="R157" s="712">
        <f t="shared" ref="R157:R220" si="647">IF(AND(B157&gt;=FV157,B157&lt;=FX157),MAX(DR157,DV157),DR157)</f>
        <v>0</v>
      </c>
      <c r="S157" s="721">
        <f>Sheet1!Y157*MGDtoCFS</f>
        <v>51.515099999999997</v>
      </c>
      <c r="T157" s="721">
        <f>Sheet1!Z157*MGDtoCFS</f>
        <v>19.956299999999999</v>
      </c>
      <c r="U157" s="721">
        <f>Sheet1!AA157*MGDtoCFS</f>
        <v>51.669799999990992</v>
      </c>
      <c r="V157" s="721">
        <f>Sheet1!AB157*MGDtoCFS</f>
        <v>17.481099999993244</v>
      </c>
      <c r="W157" s="721">
        <f>Sheet1!L157*MGDtoCFS</f>
        <v>68.563039999999546</v>
      </c>
      <c r="X157" s="697">
        <f t="shared" ref="X157:X220" si="648">AK157+BD157+BY157+CR157</f>
        <v>0</v>
      </c>
      <c r="Y157" s="712">
        <f t="shared" ref="Y157:Y220" si="649">X157*MGDtoCFS</f>
        <v>0</v>
      </c>
      <c r="Z157" s="712">
        <f t="shared" ref="Z157:Z220" si="650">IF(B157&gt;=FS157,IF(B157&lt;=FT157,K157-DR157,0),0)</f>
        <v>64.64</v>
      </c>
      <c r="AA157" s="712">
        <f t="shared" ref="AA157:AA220" si="651">Z157*MGDtoCFS</f>
        <v>99.998080000000002</v>
      </c>
      <c r="AB157" s="712">
        <f>(VLOOKUP(Sheet1!CY157,hhdcap_wcm,4)-(((VLOOKUP(Sheet1!CY157,hhdcap_wcm,3)-Sheet1!CY157)/(VLOOKUP(Sheet1!CY157,hhdcap_wcm,3)-VLOOKUP(Sheet1!CY157,hhdcap_wcm,1)))*(VLOOKUP(Sheet1!CY157,hhdcap_wcm,4)-VLOOKUP(Sheet1!CY157,hhdcap_wcm,2))))</f>
        <v>43217.400000104601</v>
      </c>
      <c r="AC157" s="712">
        <f t="shared" ref="AC157:AC220" si="652">AB157-AB156</f>
        <v>31.800000000243017</v>
      </c>
      <c r="AD157" s="712">
        <f t="shared" ref="AD157:AD220" si="653">(IF(AND(B157&gt;=FS157,B157&lt;FV157),MIN(AR157+BK157+CF157+CY157,FU157),IF(B157=FV157,FW157,IF(AND(B157&gt;FV157,B157&lt;FX157),AR157+BK157+CF157+CY157,IF(B157&gt;=FX157,0,0)))))</f>
        <v>4948.3013929856797</v>
      </c>
      <c r="AE157" s="712">
        <f t="shared" ref="AE157:AE220" si="654">AD157*MGtoAF</f>
        <v>15181.388673680065</v>
      </c>
      <c r="AF157" s="712">
        <f>Sheet1!BA157+Sheet1!BB157+Sheet1!BN157+BT157</f>
        <v>11.1</v>
      </c>
      <c r="AG157" s="712">
        <f t="shared" ref="AG157:AG220" si="655">AF157+(DE157*AF157)</f>
        <v>11.299999999995634</v>
      </c>
      <c r="AH157" s="712">
        <f>Sheet1!BA157+BT157</f>
        <v>0</v>
      </c>
      <c r="AI157" s="712">
        <f>Sheet1!BA157+Sheet1!BB157+BT157</f>
        <v>0</v>
      </c>
      <c r="AJ157" s="712">
        <f>IF((Sheet1!AA157+AG157+AX157+AZ157+BQ157+BS157+CL157+CN157)&lt;=N157,AG157+AX157+AZ157+BQ157+BS157+CL157+CN157,N157-Sheet1!AA157)</f>
        <v>11.299999999995634</v>
      </c>
      <c r="AK157" s="712">
        <f>IF(DR157&lt;K157,0,MAX(Sheet1!AA157+AG157-15/36*K157-N157,Sheet1!ED157,0))</f>
        <v>0</v>
      </c>
      <c r="AL157" s="712">
        <f>IF(OR(B157&gt;=FT157,B157&lt;FS157),0,15/36*K157-MAX(0,64.6-(137.6-(Sheet1!AA157+Sheet1!AB157))))</f>
        <v>26.933333333333334</v>
      </c>
      <c r="AM157" s="712">
        <f>Sheet1!CX157-110</f>
        <v>1704.7916666666667</v>
      </c>
      <c r="AN157" s="712">
        <f>Sheet1!CW157-265</f>
        <v>2398.0208333333335</v>
      </c>
      <c r="AO157" s="712">
        <f t="shared" si="622"/>
        <v>28.300000000010186</v>
      </c>
      <c r="AP157" s="712">
        <f t="shared" ref="AP157:AP220" si="656">IF(OR(AM157-AN157-(AO157*1.547)&lt;0,AN157&gt;350),0,AM157-AN157-(AO157*1.547))</f>
        <v>0</v>
      </c>
      <c r="AQ157" s="712">
        <f t="shared" ref="AQ157:AQ220" si="657">IF(AP157&lt;=0,0,AP157/1.547)</f>
        <v>0</v>
      </c>
      <c r="AR157" s="712">
        <f t="shared" ref="AR157:AR220" si="658">GE157+GG157</f>
        <v>2262.4000000000015</v>
      </c>
      <c r="AS157" s="712"/>
      <c r="AT157" s="712">
        <f ca="1">IF(B157&gt;Summary!$A$1,#N/A,AR157*MGtoAF)</f>
        <v>6941.0432000000046</v>
      </c>
      <c r="AU157" s="712">
        <f>Sheet1!BG157+Sheet1!BH157+Sheet1!BI157-BC157</f>
        <v>0</v>
      </c>
      <c r="AV157" s="712">
        <f t="shared" ref="AV157:AV220" si="659">AU157+(DE157*AU157)</f>
        <v>0</v>
      </c>
      <c r="AW157" s="712">
        <f>IF(Sheet1!EL157="FM",BC157,0)</f>
        <v>0</v>
      </c>
      <c r="AX157" s="712">
        <f t="shared" ref="AX157:AX220" si="660">AW157+(DE157*AW157)</f>
        <v>0</v>
      </c>
      <c r="AY157" s="712">
        <f>IF(Sheet1!EL157="OTHER",BC157,0)</f>
        <v>0</v>
      </c>
      <c r="AZ157" s="712">
        <f t="shared" ref="AZ157:AZ220" si="661">AY157+(DE157*AY157)</f>
        <v>0</v>
      </c>
      <c r="BA157" s="712">
        <f t="shared" ref="BA157:BA220" si="662">MAX(AU157,AW157,AY157)</f>
        <v>0</v>
      </c>
      <c r="BB157" s="712">
        <f t="shared" ref="BB157:BB220" si="663">MAX(AV157,AX157,AZ157)</f>
        <v>0</v>
      </c>
      <c r="BC157" s="712">
        <f>IF(OR(Sheet1!EL157="FM", Sheet1!EL157="OTHER"),SUM(Sheet1!BG157:'Sheet1'!BI157),0)</f>
        <v>0</v>
      </c>
      <c r="BD157" s="697">
        <f>IF(AND($B157&gt;=$FL157,$B157&lt;=$FM157),MAX(AV157,Sheet1!EE157,0),MAX(AV157-(7/36)*$K157,0))</f>
        <v>0</v>
      </c>
      <c r="BE157" s="712">
        <f t="shared" ref="BE157:BE220" si="664">IF(B157&gt;=FS157,IF(B157&lt;=FT157,(7/36)*K157-AV157,0),0)</f>
        <v>12.568888888888889</v>
      </c>
      <c r="BF157" s="697">
        <f t="shared" ref="BF157:BF220" si="665">MAX(BB157-BD157,0)</f>
        <v>0</v>
      </c>
      <c r="BG157" s="697">
        <f>IF(AND($O157&gt;0,Sheet1!EI157=1),(1-($O157-Sheet1!$L157)/$O157)*BB157,0)</f>
        <v>0</v>
      </c>
      <c r="BH157" s="697">
        <f>IF(AND(Sheet1!$L157=0,Sheet1!$L156=0, Calculation!BA157&lt;Sheet1!$EE157-0.1,Sheet1!$EE157=Sheet1!$EE156,Sheet1!$EE157=Sheet1!$EE158),Sheet1!$EE157,BB157-BG157)</f>
        <v>0</v>
      </c>
      <c r="BI157" s="712"/>
      <c r="BJ157" s="712"/>
      <c r="BK157" s="712">
        <f t="shared" ref="BK157:BK220" si="666">GL157+GN157</f>
        <v>1055.7866666666655</v>
      </c>
      <c r="BL157" s="712"/>
      <c r="BM157" s="712">
        <f ca="1">IF(B157&gt;Summary!$A$1,#N/A,BK157*MGtoAF)</f>
        <v>3239.1534933333296</v>
      </c>
      <c r="BN157" s="712">
        <f>Sheet1!BC157+Sheet1!BD157+Sheet1!BE157+Sheet1!BF157-BW157-BX157</f>
        <v>0</v>
      </c>
      <c r="BO157" s="712">
        <f t="shared" ref="BO157:BO220" si="667">BN157+(DE157*BN157)</f>
        <v>0</v>
      </c>
      <c r="BP157" s="712">
        <f>IF(Sheet1!EM157="FM",BX157,0)</f>
        <v>0</v>
      </c>
      <c r="BQ157" s="712">
        <f t="shared" ref="BQ157:BQ220" si="668">BP157+(DE157*BP157)</f>
        <v>0</v>
      </c>
      <c r="BR157" s="712">
        <f>IF(Sheet1!EM157="OTHER",BX157,0)</f>
        <v>0</v>
      </c>
      <c r="BS157" s="712">
        <f t="shared" ref="BS157:BS220" si="669">BR157+(DE157*BR157)</f>
        <v>0</v>
      </c>
      <c r="BT157" s="712">
        <f t="shared" ref="BT157:BT220" si="670">BW157</f>
        <v>0</v>
      </c>
      <c r="BU157" s="712">
        <f t="shared" ref="BU157:BU220" si="671">MAX(BN157,BP157,BR157)</f>
        <v>0</v>
      </c>
      <c r="BV157" s="712">
        <f t="shared" ref="BV157:BV220" si="672">MAX(BO157,BQ157, BS157)</f>
        <v>0</v>
      </c>
      <c r="BW157" s="712">
        <f>IF(Sheet1!EM157="CWA",SUM(Sheet1!BC157:'Sheet1'!BF157),0)</f>
        <v>0</v>
      </c>
      <c r="BX157" s="712">
        <f>IF(OR(Sheet1!EM157="FM", Sheet1!EM157="OTHER"),SUM(Sheet1!BC157:'Sheet1'!BF157),0)</f>
        <v>0</v>
      </c>
      <c r="BY157" s="697">
        <f>IF(AND($B157&gt;=$FL157,$B157&lt;=$FM157),MAX(BV157,Sheet1!EF157,0),MAX(BV157-(7/36)*$K157,0))</f>
        <v>0</v>
      </c>
      <c r="BZ157" s="712">
        <f t="shared" ref="BZ157:BZ220" si="673">IF(B157&gt;=FS157,IF(B157&lt;=FT157,(7/36)*K157-BO157,0),0)</f>
        <v>12.568888888888889</v>
      </c>
      <c r="CA157" s="697">
        <f t="shared" ref="CA157:CA220" si="674">MAX(BV157-BY157,0)</f>
        <v>0</v>
      </c>
      <c r="CB157" s="697">
        <f>IF(AND($O157&gt;0,Sheet1!EJ157=1),(1-($O157-Sheet1!$L157)/$O157)*BV157,0)</f>
        <v>0</v>
      </c>
      <c r="CC157" s="697">
        <f>IF(AND(Sheet1!$L157=0,Sheet1!$L156=0, Calculation!BU157&lt;Sheet1!EF157-0.1,Sheet1!EF157=Sheet1!EF156,Sheet1!EF157=Sheet1!EF158),Sheet1!EF157,BV157-CB157)</f>
        <v>0</v>
      </c>
      <c r="CD157" s="697"/>
      <c r="CE157" s="712"/>
      <c r="CF157" s="712">
        <f t="shared" ref="CF157:CF220" si="675">GS157+GU157</f>
        <v>917.03325822119143</v>
      </c>
      <c r="CG157" s="712"/>
      <c r="CH157" s="712">
        <f ca="1">IF(B157&gt;Summary!$A$1,#N/A,CF157*MGtoAF)</f>
        <v>2813.4580362226152</v>
      </c>
      <c r="CI157" s="712">
        <f>Sheet1!BK157+Sheet1!BL157+Sheet1!BM157-Sheet1!EN157-CQ157</f>
        <v>0</v>
      </c>
      <c r="CJ157" s="712">
        <f t="shared" ref="CJ157:CJ220" si="676">CI157+(DE157*CI157)</f>
        <v>0</v>
      </c>
      <c r="CK157" s="712">
        <f>IF(Sheet1!EN157="FM",CQ157,0)</f>
        <v>0</v>
      </c>
      <c r="CL157" s="712">
        <f t="shared" ref="CL157:CL220" si="677">CK157+(DE157*CK157)</f>
        <v>0</v>
      </c>
      <c r="CM157" s="712">
        <f>IF(Sheet1!EN157="OTHER",CQ157,0)</f>
        <v>0</v>
      </c>
      <c r="CN157" s="712">
        <f t="shared" ref="CN157:CN220" si="678">CM157+(DE157*CM157)</f>
        <v>0</v>
      </c>
      <c r="CO157" s="712">
        <f t="shared" ref="CO157:CO220" si="679">MAX(CI157,CK157)</f>
        <v>0</v>
      </c>
      <c r="CP157" s="712">
        <f t="shared" ref="CP157:CP220" si="680">MAX(CJ157,CL157)</f>
        <v>0</v>
      </c>
      <c r="CQ157" s="712">
        <f>IF(OR(Sheet1!EN157="FM", Sheet1!EN157="OTHER"),SUM(Sheet1!BK157:'Sheet1'!BM157),0)</f>
        <v>0</v>
      </c>
      <c r="CR157" s="697">
        <f>IF(AND($B157&gt;=$FL157,$B157&lt;=$FM157),MAX($CJ157,Sheet1!EG157,0),MAX($CJ157-(7/36)*$K157,0))</f>
        <v>0</v>
      </c>
      <c r="CS157" s="712">
        <f t="shared" ref="CS157:CS220" si="681">IF(B157&gt;=FS157,IF(B157&lt;=FT157,(7/36)*K157-CJ157,0),0)</f>
        <v>12.568888888888889</v>
      </c>
      <c r="CT157" s="697">
        <f t="shared" ref="CT157:CT220" si="682">MAX(CP157-CR157,0)</f>
        <v>0</v>
      </c>
      <c r="CU157" s="697">
        <f>IF(AND($O157&gt;0,Sheet1!EK157=1),(1-($O157-Sheet1!$L157)/$O157)*CP157,0)</f>
        <v>0</v>
      </c>
      <c r="CV157" s="697">
        <f>IF(AND(Sheet1!$L157=0,Sheet1!$L156=0, Calculation!CO157&lt;Sheet1!$EG157-0.1,Sheet1!$EG157=Sheet1!$EG156,Sheet1!$EG157=Sheet1!$EG158),Sheet1!$EG157,CP157-CU157)</f>
        <v>0</v>
      </c>
      <c r="CW157" s="697">
        <f t="shared" si="613"/>
        <v>0</v>
      </c>
      <c r="CX157" s="712">
        <f t="shared" ref="CX157:CX220" si="683">BA157+BU157+CO157</f>
        <v>0</v>
      </c>
      <c r="CY157" s="712">
        <f t="shared" ref="CY157:CY220" si="684">GZ157+HB157</f>
        <v>713.08146809782124</v>
      </c>
      <c r="CZ157" s="712">
        <f t="shared" ref="CZ157:CZ220" si="685">BB157+BV157+CP157</f>
        <v>0</v>
      </c>
      <c r="DA157" s="712">
        <f ca="1">IF(B157&gt;Summary!$A$1,#N/A,CY157*MGtoAF)</f>
        <v>2187.7339441241156</v>
      </c>
      <c r="DB157" s="712">
        <f t="shared" ref="DB157:DB220" si="686">CO157+BU157+BA157</f>
        <v>0</v>
      </c>
      <c r="DC157" s="712">
        <f t="shared" ref="DC157:DC220" si="687">DB157+AF157</f>
        <v>11.1</v>
      </c>
      <c r="DD157" s="712">
        <f>Sheet1!AB157-DC157</f>
        <v>0.19999999999563478</v>
      </c>
      <c r="DE157" s="712">
        <f t="shared" ref="DE157:DE220" si="688">IF(DC157=0,0,DD157/DC157)</f>
        <v>1.8018018017624756E-2</v>
      </c>
      <c r="DF157" s="712">
        <f>(VLOOKUP(Sheet1!CY157,hhdcap_wcm,4)-(((VLOOKUP(Sheet1!CY157,hhdcap_wcm,3)-Sheet1!CY157)/(VLOOKUP(Sheet1!CY157,hhdcap_wcm,3)-VLOOKUP(Sheet1!CY157,hhdcap_wcm,1)))*(VLOOKUP(Sheet1!CY157,hhdcap_wcm,4)-VLOOKUP(Sheet1!CY157,hhdcap_wcm,2))))</f>
        <v>43217.400000104601</v>
      </c>
      <c r="DG157" s="712">
        <f t="shared" ref="DG157:DG220" si="689">DF157-DF156</f>
        <v>31.800000000243017</v>
      </c>
      <c r="DH157" s="712">
        <f t="shared" ref="DH157:DH220" si="690">DG157*AFtoCFS</f>
        <v>16.036308623420581</v>
      </c>
      <c r="DI157" s="712">
        <f>Sheet1!DW157*AFtoMG</f>
        <v>0</v>
      </c>
      <c r="DJ157" s="712">
        <f>Sheet1!DX157*AFtoMG</f>
        <v>0</v>
      </c>
      <c r="DK157" s="712">
        <f>Sheet1!DY157*AFtoMG</f>
        <v>0</v>
      </c>
      <c r="DL157" s="712">
        <f>Sheet1!DZ157*AFtoMG</f>
        <v>0</v>
      </c>
      <c r="DM157" s="712">
        <f t="shared" ref="DM157:DM220" si="691">SUM(DI157:DL157)</f>
        <v>0</v>
      </c>
      <c r="DN157" s="712">
        <f t="shared" ref="DN157:DN220" si="692">DM157*MGtoAF</f>
        <v>0</v>
      </c>
      <c r="DO157" s="712">
        <f t="shared" ref="DO157:DO220" si="693">AD157</f>
        <v>4948.3013929856797</v>
      </c>
      <c r="DP157" s="712">
        <f t="shared" ref="DP157:DP220" si="694">DO157*MGtoAF</f>
        <v>15181.388673680065</v>
      </c>
      <c r="DQ157" s="712"/>
      <c r="DR157" s="697">
        <f>IF(OR(B157&lt;FL157,B157&gt;FM157),(MIN(AV157+BO157+CJ157+MAX(Sheet1!AA157+AG157-73,0),K157)),0)</f>
        <v>0</v>
      </c>
      <c r="DS157" s="712"/>
      <c r="DT157" s="712">
        <f t="shared" ref="DT157:DT220" si="695">CJ157+AV157+BO157</f>
        <v>0</v>
      </c>
      <c r="DU157" s="712"/>
      <c r="DV157" s="712">
        <f>Sheet1!ED157+Sheet1!EE157+Sheet1!EF157+Sheet1!EG157</f>
        <v>8.5</v>
      </c>
      <c r="DW157" s="712"/>
      <c r="DX157" s="697">
        <f t="shared" ref="DX157:DX220" si="696">DR157-BF157-CA157-CT157</f>
        <v>0</v>
      </c>
      <c r="DY157" s="712">
        <f>IF(Sheet1!FN157=1,SUM('Calculations II'!AT157:BA157)+'Calculations II'!BC157+Sheet1!BU157+'Calculations II'!BE157+AF157,SUM('Calculations II'!AT157:BA157)+'Calculations II'!BC157+Sheet1!BU157+'Calculations II'!BE157+AF157)</f>
        <v>48.804864000000002</v>
      </c>
      <c r="DZ157" s="712">
        <f>Sheet1!AA157+Sheet1!AB157+'Calculations II'!BC157</f>
        <v>49.892063999989816</v>
      </c>
      <c r="EA157" s="712"/>
      <c r="EB157" s="712"/>
      <c r="EC157" s="712">
        <f t="shared" ref="EC157:EC220" si="697">B157</f>
        <v>40686</v>
      </c>
      <c r="ED157" s="712">
        <f t="shared" ref="ED157:ED220" si="698">Z157-X157</f>
        <v>64.64</v>
      </c>
      <c r="EE157" s="712">
        <f t="shared" ref="EE157:EE220" si="699">AA157-Y157</f>
        <v>99.998080000000002</v>
      </c>
      <c r="EF157" s="712">
        <f>-(VLOOKUP(Sheet1!BQ157,Lookup!$B$4:$J$236,2)-VLOOKUP(Sheet1!BQ156,Lookup!$B$4:$J$236,2))/1000000</f>
        <v>1.998</v>
      </c>
      <c r="EG157" s="712">
        <f>-(VLOOKUP(Sheet1!BR157,Lookup!$B$4:$J$236,3)-VLOOKUP(Sheet1!BR156,Lookup!$B$4:$J$236,3))/1000000</f>
        <v>1.333</v>
      </c>
      <c r="EH157" s="712">
        <f>-(VLOOKUP(Sheet1!BS157,Lookup!$B$4:$J$236,4)-VLOOKUP(Sheet1!BS156,Lookup!$B$4:$J$236,4))/1000000</f>
        <v>0</v>
      </c>
      <c r="EI157" s="697">
        <f t="shared" ref="EI157:EI220" si="700">EH157+EG157+EF157</f>
        <v>3.331</v>
      </c>
      <c r="EJ157" s="712"/>
      <c r="EK157" s="712"/>
      <c r="EL157" s="712"/>
      <c r="EM157" s="712"/>
      <c r="EN157" s="712"/>
      <c r="EO157" s="712"/>
      <c r="EP157" s="712"/>
      <c r="EQ157" s="712"/>
      <c r="ES157" s="712"/>
      <c r="ET157" s="794" t="e">
        <f t="shared" si="437"/>
        <v>#N/A</v>
      </c>
      <c r="EU157" s="697">
        <v>5000</v>
      </c>
      <c r="EV157" s="795">
        <f t="shared" si="640"/>
        <v>21816.011326424537</v>
      </c>
      <c r="EW157" s="796" t="s">
        <v>757</v>
      </c>
      <c r="EX157" s="796" t="s">
        <v>757</v>
      </c>
      <c r="EY157" s="794">
        <v>0</v>
      </c>
      <c r="EZ157" s="794" t="e">
        <v>#N/A</v>
      </c>
      <c r="FA157" s="712"/>
      <c r="FB157" s="712"/>
      <c r="FC157" s="712"/>
      <c r="FD157" s="712"/>
      <c r="FE157" s="712">
        <f>O157+Sheet1!CO157</f>
        <v>3650.2999999999897</v>
      </c>
      <c r="FF157" s="712">
        <f>IF(Sheet1!AA157+AG157&lt;=Calculation!N157,AG157,Calculation!N157-Sheet1!AA157)</f>
        <v>11.299999999995634</v>
      </c>
      <c r="FG157" s="712">
        <f>(Sheet1!BP157+Sheet1!BO157)/694.4</f>
        <v>1.8544066820276499</v>
      </c>
      <c r="FH157" s="712"/>
      <c r="FI157" s="712"/>
      <c r="FJ157" s="712"/>
      <c r="FK157" s="712"/>
      <c r="FL157" s="714">
        <f t="shared" si="632"/>
        <v>40753</v>
      </c>
      <c r="FM157" s="714">
        <f t="shared" si="633"/>
        <v>40851</v>
      </c>
      <c r="FN157" s="712"/>
      <c r="FO157" s="712"/>
      <c r="FP157" s="712"/>
      <c r="FQ157" s="712"/>
      <c r="FR157" s="712"/>
      <c r="FS157" s="725">
        <f t="shared" si="634"/>
        <v>40603</v>
      </c>
      <c r="FT157" s="714">
        <f t="shared" si="635"/>
        <v>40709</v>
      </c>
      <c r="FU157" s="712">
        <f t="shared" si="636"/>
        <v>6518.9048239895692</v>
      </c>
      <c r="FV157" s="714">
        <f t="shared" si="637"/>
        <v>40722</v>
      </c>
      <c r="FW157" s="712">
        <f t="shared" si="638"/>
        <v>3259.4524119947846</v>
      </c>
      <c r="FX157" s="725">
        <f t="shared" si="639"/>
        <v>40851</v>
      </c>
      <c r="FZ157" s="697">
        <f t="shared" si="616"/>
        <v>0</v>
      </c>
      <c r="GA157" s="712" t="str">
        <f t="shared" ref="GA157:GA220" si="701">CONCATENATE(GC157,GQ157,GJ157,GX157)</f>
        <v/>
      </c>
      <c r="GB157" s="712">
        <f t="shared" ref="GB157:GB220" si="702">IF(GF157&gt;=8333.33,AL157,0)</f>
        <v>0</v>
      </c>
      <c r="GC157" s="712" t="str">
        <f t="shared" ref="GC157:GC220" si="703">IF(AND(GF157&lt;8333.33,FZ157&gt;0),"T","")</f>
        <v/>
      </c>
      <c r="GD157" s="712">
        <f>IF(GA157="P",Lookup!$M$12,IF(GA157="PP",Lookup!$M$13,IF(GA157="PPP",Lookup!$M$14,IF(GA157="T",Lookup!$M$15,IF(GA157="TP",Lookup!$M$16,IF(GA157="TPP",Lookup!$M$17,IF(GA157="TPPP",Lookup!$M$18,0)))))))*FZ157</f>
        <v>0</v>
      </c>
      <c r="GE157" s="712">
        <f t="shared" ref="GE157:GE220" si="704">IF(GC157="T",GD157,0)</f>
        <v>0</v>
      </c>
      <c r="GF157" s="712">
        <f t="shared" ref="GF157:GF220" si="705">GG157*MGtoAF</f>
        <v>6941.0432000000046</v>
      </c>
      <c r="GG157" s="712">
        <f t="shared" ref="GG157:GG220" si="706">(IF(AND(B157&lt;FV157,B157&gt;=FS157),MIN(AR156+AL157-AK157,15/36*FU157),IF(B157=FV157,15/36*FW157,IF(AND(B157&gt;FV157,B157&lt;FX157),MIN(AR156+AL157-AK157,15/36*FW157),IF(B157&gt;=FX157,0,0)))))+DI157</f>
        <v>2262.4000000000015</v>
      </c>
      <c r="GH157" s="712"/>
      <c r="GI157" s="712">
        <f t="shared" ref="GI157:GI220" si="707">IF(GM157&gt;=3888.88,BE157,0)</f>
        <v>0</v>
      </c>
      <c r="GJ157" s="712" t="str">
        <f t="shared" ref="GJ157:GJ220" si="708">IF(AND(GM157&lt;3888.88,FZ157&gt;0),"P","")</f>
        <v/>
      </c>
      <c r="GK157" s="712">
        <f>IF(GA157="P",Lookup!$N$12,IF(GA157="PP",Lookup!$N$13,IF(GA157="PPP",Lookup!$N$14,IF(GA157="T",Lookup!$N$15,IF(GA157="TP",Lookup!$N$16,IF(GA157="TPP",Lookup!$N$17,IF(GA157="TPPP",Lookup!$N$18,0)))))))*FZ157</f>
        <v>0</v>
      </c>
      <c r="GL157" s="712">
        <f t="shared" ref="GL157:GL220" si="709">IF(GJ157="P",GK157,0)</f>
        <v>0</v>
      </c>
      <c r="GM157" s="712">
        <f t="shared" ref="GM157:GM220" si="710">GN157*MGtoAF</f>
        <v>3239.1534933333296</v>
      </c>
      <c r="GN157" s="712">
        <f t="shared" ref="GN157:GN220" si="711">(IF(AND(B157&lt;FV157,B157&gt;=FS157),MIN(BK156+BE157-BD157,7/36*FU157),IF(B157=FV157,7/36*FW157,IF(AND(B157&gt;FV157,B157&lt;FX157),MIN(BK156+BE157-BD157,7/36*FW157),IF(B157&gt;=FX157,0,0)))))+DJ157</f>
        <v>1055.7866666666655</v>
      </c>
      <c r="GO157" s="712"/>
      <c r="GP157" s="712">
        <f t="shared" ref="GP157:GP220" si="712">IF(GT157&gt;=8333.33,BZ157,0)</f>
        <v>0</v>
      </c>
      <c r="GQ157" s="712" t="str">
        <f t="shared" ref="GQ157:GQ220" si="713">IF(AND(GT157&lt;3888.88,FZ157&gt;0),"P","")</f>
        <v/>
      </c>
      <c r="GR157" s="712">
        <f>IF(GA157="P",Lookup!$N$12,IF(GA157="PP",Lookup!$N$13,IF(GA157="PPP",Lookup!$N$14,IF(GA157="T",Lookup!$N$15,IF(GA157="TP",Lookup!$N$16,IF(GA157="TPP",Lookup!$N$17,IF(GA157="TPPP",Lookup!$N$18,0)))))))*FZ157</f>
        <v>0</v>
      </c>
      <c r="GS157" s="697">
        <f t="shared" si="628"/>
        <v>0</v>
      </c>
      <c r="GT157" s="712">
        <f t="shared" ref="GT157:GT220" si="714">GU157*MGtoAF</f>
        <v>2813.4580362226152</v>
      </c>
      <c r="GU157" s="712">
        <f t="shared" ref="GU157:GU220" si="715">IF(AND(B157&lt;FV157,B157&gt;=FS157),MIN(CF156+BZ157-BY157,7/36*FU157),IF(B157=FV157,7/36*FW157,IF(AND(B157&gt;FV157,B157&lt;FX157),MIN(CF156+BZ157-BY157,7/36*FW157),IF(B157&gt;=FX157,0,0))))+DK157</f>
        <v>917.03325822119143</v>
      </c>
      <c r="GV157" s="712"/>
      <c r="GW157" s="712">
        <f t="shared" ref="GW157:GW220" si="716">IF(HA157&gt;=3888.88,CS157,0)</f>
        <v>0</v>
      </c>
      <c r="GX157" s="712" t="str">
        <f t="shared" ref="GX157:GX220" si="717">IF(AND(HA157&lt;3888.88,FZ157&gt;0),"P","")</f>
        <v/>
      </c>
      <c r="GY157" s="712">
        <f>IF(GA157="P",Lookup!$N$12,IF(GA157="PP",Lookup!$N$13,IF(GA157="PPP",Lookup!$N$14,IF(GA157="T",Lookup!$N$15,IF(GA157="TP",Lookup!$N$16,IF(GA157="TPP",Lookup!$N$17,IF(GA157="TPPP",Lookup!$N$18,0)))))))*FZ157</f>
        <v>0</v>
      </c>
      <c r="GZ157" s="697">
        <f t="shared" si="629"/>
        <v>0</v>
      </c>
      <c r="HA157" s="712">
        <f t="shared" ref="HA157:HA220" si="718">HB157*MGtoAF</f>
        <v>2187.7339441241156</v>
      </c>
      <c r="HB157" s="712">
        <f t="shared" ref="HB157:HB220" si="719">(IF(AND(B157&lt;FV157,B157&gt;=FS157),MIN(CY156+CS157-CR157,7/36*FU157),IF(B157=FV157,7/36*FW157,IF(AND(B157&gt;FV157,B157&lt;FX157),MIN(CY156+CS157-CR157,7/36*FW157),IF(B157&gt;=FX157,0,0)))))+DL157</f>
        <v>713.08146809782124</v>
      </c>
      <c r="HC157" s="712"/>
    </row>
    <row r="158" spans="1:211">
      <c r="A158" s="773" t="s">
        <v>5</v>
      </c>
      <c r="B158" s="708">
        <v>40687</v>
      </c>
      <c r="C158" s="719">
        <v>0.5</v>
      </c>
      <c r="D158" s="675">
        <f t="shared" si="641"/>
        <v>300</v>
      </c>
      <c r="E158" s="675">
        <f t="shared" si="642"/>
        <v>250</v>
      </c>
      <c r="F158" s="675">
        <v>250</v>
      </c>
      <c r="G158" s="712">
        <f>DH158+Sheet1!CV158</f>
        <v>1630.0390821986875</v>
      </c>
      <c r="H158" s="712">
        <f t="shared" si="643"/>
        <v>786.69406273323159</v>
      </c>
      <c r="I158" s="711">
        <f>MAX(Sheet1!Z158-AJ158+(Sheet1!CW158-E158)*CFStoMGD,0)</f>
        <v>1315.1946666666668</v>
      </c>
      <c r="J158" s="720">
        <f>IF(AND(B158&gt;=Calculation!FS158,B158&lt;=Calculation!FT158),IF(Sheet1!CX158&gt;=Calculation!D158,64.64,0),MAX(Sheet1!Z158-AJ158+(Sheet1!CX158-D158)*CFStoMGD,0))</f>
        <v>64.64</v>
      </c>
      <c r="K158" s="697">
        <f t="shared" si="644"/>
        <v>64.64</v>
      </c>
      <c r="L158" s="712">
        <f>Sheet1!AA158+Sheet1!AB158-Sheet1!L158+(Sheet1!CW158-F158)*CFStoMGD</f>
        <v>1315.1446666666629</v>
      </c>
      <c r="M158" s="712">
        <f t="shared" si="645"/>
        <v>1074.7304079878963</v>
      </c>
      <c r="N158" s="712">
        <f>IF(Sheet1!CW158&gt;=F158,MIN(73,MIN(MAX(L158,0),MAX(M158,0))),0)</f>
        <v>73</v>
      </c>
      <c r="O158" s="721">
        <f>Sheet1!AA158+Sheet1!AB158</f>
        <v>42.19999999999709</v>
      </c>
      <c r="P158" s="721">
        <f t="shared" si="646"/>
        <v>65.283399999995495</v>
      </c>
      <c r="Q158" s="712">
        <f>MIN(N158,Sheet1!AA158+AG158)</f>
        <v>42.19999999999709</v>
      </c>
      <c r="R158" s="712">
        <f t="shared" si="647"/>
        <v>0</v>
      </c>
      <c r="S158" s="721">
        <f>Sheet1!Y158*MGDtoCFS</f>
        <v>51.576980000000006</v>
      </c>
      <c r="T158" s="721">
        <f>Sheet1!Z158*MGDtoCFS</f>
        <v>13.984879999999999</v>
      </c>
      <c r="U158" s="721">
        <f>Sheet1!AA158*MGDtoCFS</f>
        <v>51.360399999995494</v>
      </c>
      <c r="V158" s="721">
        <f>Sheet1!AB158*MGDtoCFS</f>
        <v>13.923</v>
      </c>
      <c r="W158" s="721">
        <f>Sheet1!L158*MGDtoCFS</f>
        <v>65.298870000001457</v>
      </c>
      <c r="X158" s="697">
        <f t="shared" si="648"/>
        <v>0</v>
      </c>
      <c r="Y158" s="712">
        <f t="shared" si="649"/>
        <v>0</v>
      </c>
      <c r="Z158" s="712">
        <f t="shared" si="650"/>
        <v>64.64</v>
      </c>
      <c r="AA158" s="712">
        <f t="shared" si="651"/>
        <v>99.998080000000002</v>
      </c>
      <c r="AB158" s="712">
        <f>(VLOOKUP(Sheet1!CY158,hhdcap_wcm,4)-(((VLOOKUP(Sheet1!CY158,hhdcap_wcm,3)-Sheet1!CY158)/(VLOOKUP(Sheet1!CY158,hhdcap_wcm,3)-VLOOKUP(Sheet1!CY158,hhdcap_wcm,1)))*(VLOOKUP(Sheet1!CY158,hhdcap_wcm,4)-VLOOKUP(Sheet1!CY158,hhdcap_wcm,2))))</f>
        <v>43397.600000104598</v>
      </c>
      <c r="AC158" s="712">
        <f t="shared" si="652"/>
        <v>180.19999999999709</v>
      </c>
      <c r="AD158" s="712">
        <f t="shared" si="653"/>
        <v>5012.9413929856792</v>
      </c>
      <c r="AE158" s="712">
        <f t="shared" si="654"/>
        <v>15379.704193680063</v>
      </c>
      <c r="AF158" s="712">
        <f>Sheet1!BA158+Sheet1!BB158+Sheet1!BN158+BT158</f>
        <v>8.8000000000000007</v>
      </c>
      <c r="AG158" s="712">
        <f t="shared" si="655"/>
        <v>9</v>
      </c>
      <c r="AH158" s="712">
        <f>Sheet1!BA158+BT158</f>
        <v>0</v>
      </c>
      <c r="AI158" s="712">
        <f>Sheet1!BA158+Sheet1!BB158+BT158</f>
        <v>0</v>
      </c>
      <c r="AJ158" s="712">
        <f>IF((Sheet1!AA158+AG158+AX158+AZ158+BQ158+BS158+CL158+CN158)&lt;=N158,AG158+AX158+AZ158+BQ158+BS158+CL158+CN158,N158-Sheet1!AA158)</f>
        <v>9</v>
      </c>
      <c r="AK158" s="712">
        <f>IF(DR158&lt;K158,0,MAX(Sheet1!AA158+AG158-15/36*K158-N158,Sheet1!ED158,0))</f>
        <v>0</v>
      </c>
      <c r="AL158" s="712">
        <f>IF(OR(B158&gt;=FT158,B158&lt;FS158),0,15/36*K158-MAX(0,64.6-(137.6-(Sheet1!AA158+Sheet1!AB158))))</f>
        <v>26.933333333333334</v>
      </c>
      <c r="AM158" s="712">
        <f>Sheet1!CX158-110</f>
        <v>1446.6666666666667</v>
      </c>
      <c r="AN158" s="712">
        <f>Sheet1!CW158-265</f>
        <v>2019.5833333333335</v>
      </c>
      <c r="AO158" s="712">
        <f t="shared" si="622"/>
        <v>30.80000000000291</v>
      </c>
      <c r="AP158" s="712">
        <f t="shared" si="656"/>
        <v>0</v>
      </c>
      <c r="AQ158" s="712">
        <f t="shared" si="657"/>
        <v>0</v>
      </c>
      <c r="AR158" s="712">
        <f t="shared" si="658"/>
        <v>2289.3333333333348</v>
      </c>
      <c r="AS158" s="712"/>
      <c r="AT158" s="712">
        <f ca="1">IF(B158&gt;Summary!$A$1,#N/A,AR158*MGtoAF)</f>
        <v>7023.6746666666713</v>
      </c>
      <c r="AU158" s="712">
        <f>Sheet1!BG158+Sheet1!BH158+Sheet1!BI158-BC158</f>
        <v>0</v>
      </c>
      <c r="AV158" s="712">
        <f t="shared" si="659"/>
        <v>0</v>
      </c>
      <c r="AW158" s="712">
        <f>IF(Sheet1!EL158="FM",BC158,0)</f>
        <v>0</v>
      </c>
      <c r="AX158" s="712">
        <f t="shared" si="660"/>
        <v>0</v>
      </c>
      <c r="AY158" s="712">
        <f>IF(Sheet1!EL158="OTHER",BC158,0)</f>
        <v>0</v>
      </c>
      <c r="AZ158" s="712">
        <f t="shared" si="661"/>
        <v>0</v>
      </c>
      <c r="BA158" s="712">
        <f t="shared" si="662"/>
        <v>0</v>
      </c>
      <c r="BB158" s="712">
        <f t="shared" si="663"/>
        <v>0</v>
      </c>
      <c r="BC158" s="712">
        <f>IF(OR(Sheet1!EL158="FM", Sheet1!EL158="OTHER"),SUM(Sheet1!BG158:'Sheet1'!BI158),0)</f>
        <v>0</v>
      </c>
      <c r="BD158" s="697">
        <f>IF(AND($B158&gt;=$FL158,$B158&lt;=$FM158),MAX(AV158,Sheet1!EE158,0),MAX(AV158-(7/36)*$K158,0))</f>
        <v>0</v>
      </c>
      <c r="BE158" s="712">
        <f t="shared" si="664"/>
        <v>12.568888888888889</v>
      </c>
      <c r="BF158" s="697">
        <f t="shared" si="665"/>
        <v>0</v>
      </c>
      <c r="BG158" s="697">
        <f>IF(AND($O158&gt;0,Sheet1!EI158=1),(1-($O158-Sheet1!$L158)/$O158)*BB158,0)</f>
        <v>0</v>
      </c>
      <c r="BH158" s="697">
        <f>IF(AND(Sheet1!$L158=0,Sheet1!$L157=0, Calculation!BA158&lt;Sheet1!$EE158-0.1,Sheet1!$EE158=Sheet1!$EE157,Sheet1!$EE158=Sheet1!$EE159),Sheet1!$EE158,BB158-BG158)</f>
        <v>0</v>
      </c>
      <c r="BI158" s="712"/>
      <c r="BJ158" s="712"/>
      <c r="BK158" s="712">
        <f t="shared" si="666"/>
        <v>1068.3555555555545</v>
      </c>
      <c r="BL158" s="712"/>
      <c r="BM158" s="712">
        <f ca="1">IF(B158&gt;Summary!$A$1,#N/A,BK158*MGtoAF)</f>
        <v>3277.714844444441</v>
      </c>
      <c r="BN158" s="712">
        <f>Sheet1!BC158+Sheet1!BD158+Sheet1!BE158+Sheet1!BF158-BW158-BX158</f>
        <v>0</v>
      </c>
      <c r="BO158" s="712">
        <f t="shared" si="667"/>
        <v>0</v>
      </c>
      <c r="BP158" s="712">
        <f>IF(Sheet1!EM158="FM",BX158,0)</f>
        <v>0</v>
      </c>
      <c r="BQ158" s="712">
        <f t="shared" si="668"/>
        <v>0</v>
      </c>
      <c r="BR158" s="712">
        <f>IF(Sheet1!EM158="OTHER",BX158,0)</f>
        <v>0</v>
      </c>
      <c r="BS158" s="712">
        <f t="shared" si="669"/>
        <v>0</v>
      </c>
      <c r="BT158" s="712">
        <f t="shared" si="670"/>
        <v>0</v>
      </c>
      <c r="BU158" s="712">
        <f t="shared" si="671"/>
        <v>0</v>
      </c>
      <c r="BV158" s="712">
        <f t="shared" si="672"/>
        <v>0</v>
      </c>
      <c r="BW158" s="712">
        <f>IF(Sheet1!EM158="CWA",SUM(Sheet1!BC158:'Sheet1'!BF158),0)</f>
        <v>0</v>
      </c>
      <c r="BX158" s="712">
        <f>IF(OR(Sheet1!EM158="FM", Sheet1!EM158="OTHER"),SUM(Sheet1!BC158:'Sheet1'!BF158),0)</f>
        <v>0</v>
      </c>
      <c r="BY158" s="697">
        <f>IF(AND($B158&gt;=$FL158,$B158&lt;=$FM158),MAX(BV158,Sheet1!EF158,0),MAX(BV158-(7/36)*$K158,0))</f>
        <v>0</v>
      </c>
      <c r="BZ158" s="712">
        <f t="shared" si="673"/>
        <v>12.568888888888889</v>
      </c>
      <c r="CA158" s="697">
        <f t="shared" si="674"/>
        <v>0</v>
      </c>
      <c r="CB158" s="697">
        <f>IF(AND($O158&gt;0,Sheet1!EJ158=1),(1-($O158-Sheet1!$L158)/$O158)*BV158,0)</f>
        <v>0</v>
      </c>
      <c r="CC158" s="697">
        <f>IF(AND(Sheet1!$L158=0,Sheet1!$L157=0, Calculation!BU158&lt;Sheet1!EF158-0.1,Sheet1!EF158=Sheet1!EF157,Sheet1!EF158=Sheet1!EF159),Sheet1!EF158,BV158-CB158)</f>
        <v>0</v>
      </c>
      <c r="CD158" s="697"/>
      <c r="CE158" s="712"/>
      <c r="CF158" s="712">
        <f t="shared" si="675"/>
        <v>929.6021471100803</v>
      </c>
      <c r="CG158" s="712"/>
      <c r="CH158" s="712">
        <f ca="1">IF(B158&gt;Summary!$A$1,#N/A,CF158*MGtoAF)</f>
        <v>2852.0193873337266</v>
      </c>
      <c r="CI158" s="712">
        <f>Sheet1!BK158+Sheet1!BL158+Sheet1!BM158-Sheet1!EN158-CQ158</f>
        <v>0</v>
      </c>
      <c r="CJ158" s="712">
        <f t="shared" si="676"/>
        <v>0</v>
      </c>
      <c r="CK158" s="712">
        <f>IF(Sheet1!EN158="FM",CQ158,0)</f>
        <v>0</v>
      </c>
      <c r="CL158" s="712">
        <f t="shared" si="677"/>
        <v>0</v>
      </c>
      <c r="CM158" s="712">
        <f>IF(Sheet1!EN158="OTHER",CQ158,0)</f>
        <v>0</v>
      </c>
      <c r="CN158" s="712">
        <f t="shared" si="678"/>
        <v>0</v>
      </c>
      <c r="CO158" s="712">
        <f t="shared" si="679"/>
        <v>0</v>
      </c>
      <c r="CP158" s="712">
        <f t="shared" si="680"/>
        <v>0</v>
      </c>
      <c r="CQ158" s="712">
        <f>IF(OR(Sheet1!EN158="FM", Sheet1!EN158="OTHER"),SUM(Sheet1!BK158:'Sheet1'!BM158),0)</f>
        <v>0</v>
      </c>
      <c r="CR158" s="697">
        <f>IF(AND($B158&gt;=$FL158,$B158&lt;=$FM158),MAX($CJ158,Sheet1!EG158,0),MAX($CJ158-(7/36)*$K158,0))</f>
        <v>0</v>
      </c>
      <c r="CS158" s="712">
        <f t="shared" si="681"/>
        <v>12.568888888888889</v>
      </c>
      <c r="CT158" s="697">
        <f t="shared" si="682"/>
        <v>0</v>
      </c>
      <c r="CU158" s="697">
        <f>IF(AND($O158&gt;0,Sheet1!EK158=1),(1-($O158-Sheet1!$L158)/$O158)*CP158,0)</f>
        <v>0</v>
      </c>
      <c r="CV158" s="697">
        <f>IF(AND(Sheet1!$L158=0,Sheet1!$L157=0, Calculation!CO158&lt;Sheet1!$EG158-0.1,Sheet1!$EG158=Sheet1!$EG157,Sheet1!$EG158=Sheet1!$EG159),Sheet1!$EG158,CP158-CU158)</f>
        <v>0</v>
      </c>
      <c r="CW158" s="697">
        <f t="shared" si="613"/>
        <v>0</v>
      </c>
      <c r="CX158" s="712">
        <f t="shared" si="683"/>
        <v>0</v>
      </c>
      <c r="CY158" s="712">
        <f t="shared" si="684"/>
        <v>725.65035698671011</v>
      </c>
      <c r="CZ158" s="712">
        <f t="shared" si="685"/>
        <v>0</v>
      </c>
      <c r="DA158" s="712">
        <f ca="1">IF(B158&gt;Summary!$A$1,#N/A,CY158*MGtoAF)</f>
        <v>2226.2952952352266</v>
      </c>
      <c r="DB158" s="712">
        <f t="shared" si="686"/>
        <v>0</v>
      </c>
      <c r="DC158" s="712">
        <f t="shared" si="687"/>
        <v>8.8000000000000007</v>
      </c>
      <c r="DD158" s="712">
        <f>Sheet1!AB158-DC158</f>
        <v>0.19999999999999929</v>
      </c>
      <c r="DE158" s="712">
        <f t="shared" si="688"/>
        <v>2.2727272727272645E-2</v>
      </c>
      <c r="DF158" s="712">
        <f>(VLOOKUP(Sheet1!CY158,hhdcap_wcm,4)-(((VLOOKUP(Sheet1!CY158,hhdcap_wcm,3)-Sheet1!CY158)/(VLOOKUP(Sheet1!CY158,hhdcap_wcm,3)-VLOOKUP(Sheet1!CY158,hhdcap_wcm,1)))*(VLOOKUP(Sheet1!CY158,hhdcap_wcm,4)-VLOOKUP(Sheet1!CY158,hhdcap_wcm,2))))</f>
        <v>43397.600000104598</v>
      </c>
      <c r="DG158" s="712">
        <f t="shared" si="689"/>
        <v>180.19999999999709</v>
      </c>
      <c r="DH158" s="712">
        <f t="shared" si="690"/>
        <v>90.87241553202071</v>
      </c>
      <c r="DI158" s="712">
        <f>Sheet1!DW158*AFtoMG</f>
        <v>0</v>
      </c>
      <c r="DJ158" s="712">
        <f>Sheet1!DX158*AFtoMG</f>
        <v>0</v>
      </c>
      <c r="DK158" s="712">
        <f>Sheet1!DY158*AFtoMG</f>
        <v>0</v>
      </c>
      <c r="DL158" s="712">
        <f>Sheet1!DZ158*AFtoMG</f>
        <v>0</v>
      </c>
      <c r="DM158" s="712">
        <f t="shared" si="691"/>
        <v>0</v>
      </c>
      <c r="DN158" s="712">
        <f t="shared" si="692"/>
        <v>0</v>
      </c>
      <c r="DO158" s="712">
        <f t="shared" si="693"/>
        <v>5012.9413929856792</v>
      </c>
      <c r="DP158" s="712">
        <f t="shared" si="694"/>
        <v>15379.704193680063</v>
      </c>
      <c r="DQ158" s="712"/>
      <c r="DR158" s="697">
        <f>IF(OR(B158&lt;FL158,B158&gt;FM158),(MIN(AV158+BO158+CJ158+MAX(Sheet1!AA158+AG158-73,0),K158)),0)</f>
        <v>0</v>
      </c>
      <c r="DS158" s="712"/>
      <c r="DT158" s="712">
        <f t="shared" si="695"/>
        <v>0</v>
      </c>
      <c r="DU158" s="712"/>
      <c r="DV158" s="712">
        <f>Sheet1!ED158+Sheet1!EE158+Sheet1!EF158+Sheet1!EG158</f>
        <v>8.5</v>
      </c>
      <c r="DW158" s="712"/>
      <c r="DX158" s="697">
        <f t="shared" si="696"/>
        <v>0</v>
      </c>
      <c r="DY158" s="712">
        <f>IF(Sheet1!FN158=1,SUM('Calculations II'!AT158:BA158)+'Calculations II'!BC158+Sheet1!BU158+'Calculations II'!BE158+AF158,SUM('Calculations II'!AT158:BA158)+'Calculations II'!BC158+Sheet1!BU158+'Calculations II'!BE158+AF158)</f>
        <v>49.920447999999993</v>
      </c>
      <c r="DZ158" s="712">
        <f>Sheet1!AA158+Sheet1!AB158+'Calculations II'!BC158</f>
        <v>53.296351999997093</v>
      </c>
      <c r="EA158" s="712"/>
      <c r="EB158" s="712"/>
      <c r="EC158" s="712">
        <f t="shared" si="697"/>
        <v>40687</v>
      </c>
      <c r="ED158" s="712">
        <f t="shared" si="698"/>
        <v>64.64</v>
      </c>
      <c r="EE158" s="712">
        <f t="shared" si="699"/>
        <v>99.998080000000002</v>
      </c>
      <c r="EF158" s="712">
        <f>-(VLOOKUP(Sheet1!BQ158,Lookup!$B$4:$J$236,2)-VLOOKUP(Sheet1!BQ157,Lookup!$B$4:$J$236,2))/1000000</f>
        <v>6.5288000000000004</v>
      </c>
      <c r="EG158" s="712">
        <f>-(VLOOKUP(Sheet1!BR158,Lookup!$B$4:$J$236,3)-VLOOKUP(Sheet1!BR157,Lookup!$B$4:$J$236,3))/1000000</f>
        <v>0</v>
      </c>
      <c r="EH158" s="712">
        <f>-(VLOOKUP(Sheet1!BS158,Lookup!$B$4:$J$236,4)-VLOOKUP(Sheet1!BS157,Lookup!$B$4:$J$236,4))/1000000</f>
        <v>0</v>
      </c>
      <c r="EI158" s="697">
        <f t="shared" si="700"/>
        <v>6.5288000000000004</v>
      </c>
      <c r="EJ158" s="712"/>
      <c r="EK158" s="712"/>
      <c r="EL158" s="712"/>
      <c r="EM158" s="712"/>
      <c r="EN158" s="712"/>
      <c r="EO158" s="712"/>
      <c r="EP158" s="712"/>
      <c r="EQ158" s="712"/>
      <c r="ES158" s="712"/>
      <c r="ET158" s="794" t="e">
        <f t="shared" si="437"/>
        <v>#N/A</v>
      </c>
      <c r="EU158" s="697">
        <v>5000</v>
      </c>
      <c r="EV158" s="795">
        <f t="shared" si="640"/>
        <v>21797.895806424534</v>
      </c>
      <c r="EW158" s="796" t="s">
        <v>757</v>
      </c>
      <c r="EX158" s="796" t="s">
        <v>757</v>
      </c>
      <c r="EY158" s="794">
        <v>0</v>
      </c>
      <c r="EZ158" s="794" t="e">
        <v>#N/A</v>
      </c>
      <c r="FA158" s="712"/>
      <c r="FB158" s="712"/>
      <c r="FC158" s="712"/>
      <c r="FD158" s="712"/>
      <c r="FE158" s="712">
        <f>O158+Sheet1!CO158</f>
        <v>7747.9999999999973</v>
      </c>
      <c r="FF158" s="712">
        <f>IF(Sheet1!AA158+AG158&lt;=Calculation!N158,AG158,Calculation!N158-Sheet1!AA158)</f>
        <v>9</v>
      </c>
      <c r="FG158" s="712">
        <f>(Sheet1!BP158+Sheet1!BO158)/694.4</f>
        <v>2.8438940092165899</v>
      </c>
      <c r="FH158" s="712"/>
      <c r="FI158" s="712"/>
      <c r="FJ158" s="712"/>
      <c r="FK158" s="712"/>
      <c r="FL158" s="714">
        <f t="shared" si="632"/>
        <v>40753</v>
      </c>
      <c r="FM158" s="714">
        <f t="shared" si="633"/>
        <v>40851</v>
      </c>
      <c r="FN158" s="712"/>
      <c r="FO158" s="712"/>
      <c r="FP158" s="712"/>
      <c r="FQ158" s="712"/>
      <c r="FR158" s="712"/>
      <c r="FS158" s="725">
        <f t="shared" si="634"/>
        <v>40603</v>
      </c>
      <c r="FT158" s="714">
        <f t="shared" si="635"/>
        <v>40709</v>
      </c>
      <c r="FU158" s="712">
        <f t="shared" si="636"/>
        <v>6518.9048239895692</v>
      </c>
      <c r="FV158" s="714">
        <f t="shared" si="637"/>
        <v>40722</v>
      </c>
      <c r="FW158" s="712">
        <f t="shared" si="638"/>
        <v>3259.4524119947846</v>
      </c>
      <c r="FX158" s="725">
        <f t="shared" si="639"/>
        <v>40851</v>
      </c>
      <c r="FZ158" s="697">
        <f t="shared" si="616"/>
        <v>0</v>
      </c>
      <c r="GA158" s="712" t="str">
        <f t="shared" si="701"/>
        <v/>
      </c>
      <c r="GB158" s="712">
        <f t="shared" si="702"/>
        <v>0</v>
      </c>
      <c r="GC158" s="712" t="str">
        <f t="shared" si="703"/>
        <v/>
      </c>
      <c r="GD158" s="712">
        <f>IF(GA158="P",Lookup!$M$12,IF(GA158="PP",Lookup!$M$13,IF(GA158="PPP",Lookup!$M$14,IF(GA158="T",Lookup!$M$15,IF(GA158="TP",Lookup!$M$16,IF(GA158="TPP",Lookup!$M$17,IF(GA158="TPPP",Lookup!$M$18,0)))))))*FZ158</f>
        <v>0</v>
      </c>
      <c r="GE158" s="712">
        <f t="shared" si="704"/>
        <v>0</v>
      </c>
      <c r="GF158" s="712">
        <f t="shared" si="705"/>
        <v>7023.6746666666713</v>
      </c>
      <c r="GG158" s="712">
        <f t="shared" si="706"/>
        <v>2289.3333333333348</v>
      </c>
      <c r="GH158" s="712"/>
      <c r="GI158" s="712">
        <f t="shared" si="707"/>
        <v>0</v>
      </c>
      <c r="GJ158" s="712" t="str">
        <f t="shared" si="708"/>
        <v/>
      </c>
      <c r="GK158" s="712">
        <f>IF(GA158="P",Lookup!$N$12,IF(GA158="PP",Lookup!$N$13,IF(GA158="PPP",Lookup!$N$14,IF(GA158="T",Lookup!$N$15,IF(GA158="TP",Lookup!$N$16,IF(GA158="TPP",Lookup!$N$17,IF(GA158="TPPP",Lookup!$N$18,0)))))))*FZ158</f>
        <v>0</v>
      </c>
      <c r="GL158" s="712">
        <f t="shared" si="709"/>
        <v>0</v>
      </c>
      <c r="GM158" s="712">
        <f t="shared" si="710"/>
        <v>3277.714844444441</v>
      </c>
      <c r="GN158" s="712">
        <f t="shared" si="711"/>
        <v>1068.3555555555545</v>
      </c>
      <c r="GO158" s="712"/>
      <c r="GP158" s="712">
        <f t="shared" si="712"/>
        <v>0</v>
      </c>
      <c r="GQ158" s="712" t="str">
        <f t="shared" si="713"/>
        <v/>
      </c>
      <c r="GR158" s="712">
        <f>IF(GA158="P",Lookup!$N$12,IF(GA158="PP",Lookup!$N$13,IF(GA158="PPP",Lookup!$N$14,IF(GA158="T",Lookup!$N$15,IF(GA158="TP",Lookup!$N$16,IF(GA158="TPP",Lookup!$N$17,IF(GA158="TPPP",Lookup!$N$18,0)))))))*FZ158</f>
        <v>0</v>
      </c>
      <c r="GS158" s="697">
        <f t="shared" si="628"/>
        <v>0</v>
      </c>
      <c r="GT158" s="712">
        <f t="shared" si="714"/>
        <v>2852.0193873337266</v>
      </c>
      <c r="GU158" s="712">
        <f t="shared" si="715"/>
        <v>929.6021471100803</v>
      </c>
      <c r="GV158" s="712"/>
      <c r="GW158" s="712">
        <f t="shared" si="716"/>
        <v>0</v>
      </c>
      <c r="GX158" s="712" t="str">
        <f t="shared" si="717"/>
        <v/>
      </c>
      <c r="GY158" s="712">
        <f>IF(GA158="P",Lookup!$N$12,IF(GA158="PP",Lookup!$N$13,IF(GA158="PPP",Lookup!$N$14,IF(GA158="T",Lookup!$N$15,IF(GA158="TP",Lookup!$N$16,IF(GA158="TPP",Lookup!$N$17,IF(GA158="TPPP",Lookup!$N$18,0)))))))*FZ158</f>
        <v>0</v>
      </c>
      <c r="GZ158" s="697">
        <f t="shared" si="629"/>
        <v>0</v>
      </c>
      <c r="HA158" s="712">
        <f t="shared" si="718"/>
        <v>2226.2952952352266</v>
      </c>
      <c r="HB158" s="712">
        <f t="shared" si="719"/>
        <v>725.65035698671011</v>
      </c>
      <c r="HC158" s="712"/>
    </row>
    <row r="159" spans="1:211">
      <c r="A159" s="773" t="s">
        <v>6</v>
      </c>
      <c r="B159" s="708">
        <v>40688</v>
      </c>
      <c r="C159" s="709">
        <v>0.5</v>
      </c>
      <c r="D159" s="675">
        <f t="shared" si="641"/>
        <v>300</v>
      </c>
      <c r="E159" s="675">
        <f t="shared" si="642"/>
        <v>250</v>
      </c>
      <c r="F159" s="675">
        <v>250</v>
      </c>
      <c r="G159" s="712">
        <f>DH159+Sheet1!CV159</f>
        <v>1633.2904689865061</v>
      </c>
      <c r="H159" s="712">
        <f t="shared" si="643"/>
        <v>788.79575915287751</v>
      </c>
      <c r="I159" s="711">
        <f>MAX(Sheet1!Z159-AJ159+(Sheet1!CW159-E159)*CFStoMGD,0)</f>
        <v>1264.2626666666654</v>
      </c>
      <c r="J159" s="720">
        <f>IF(AND(B159&gt;=Calculation!FS159,B159&lt;=Calculation!FT159),IF(Sheet1!CX159&gt;=Calculation!D159,64.64,0),MAX(Sheet1!Z159-AJ159+(Sheet1!CX159-D159)*CFStoMGD,0))</f>
        <v>64.64</v>
      </c>
      <c r="K159" s="697">
        <f t="shared" si="644"/>
        <v>64.64</v>
      </c>
      <c r="L159" s="712">
        <f>Sheet1!AA159+Sheet1!AB159-Sheet1!L159+(Sheet1!CW159-F159)*CFStoMGD</f>
        <v>1265.6826666666807</v>
      </c>
      <c r="M159" s="712">
        <f t="shared" si="645"/>
        <v>1076.8741383359352</v>
      </c>
      <c r="N159" s="712">
        <f>IF(Sheet1!CW159&gt;=F159,MIN(73,MIN(MAX(L159,0),MAX(M159,0))),0)</f>
        <v>73</v>
      </c>
      <c r="O159" s="721">
        <f>Sheet1!AA159+Sheet1!AB159</f>
        <v>43.100000000013097</v>
      </c>
      <c r="P159" s="721">
        <f t="shared" si="646"/>
        <v>66.675700000020257</v>
      </c>
      <c r="Q159" s="712">
        <f>MIN(N159,Sheet1!AA159+AG159)</f>
        <v>43.100000000013097</v>
      </c>
      <c r="R159" s="712">
        <f t="shared" si="647"/>
        <v>0</v>
      </c>
      <c r="S159" s="721">
        <f>Sheet1!Y159*MGDtoCFS</f>
        <v>51.592449999999999</v>
      </c>
      <c r="T159" s="721">
        <f>Sheet1!Z159*MGDtoCFS</f>
        <v>13.458899999999998</v>
      </c>
      <c r="U159" s="721">
        <f>Sheet1!AA159*MGDtoCFS</f>
        <v>51.360400000018004</v>
      </c>
      <c r="V159" s="721">
        <f>Sheet1!AB159*MGDtoCFS</f>
        <v>15.315300000002251</v>
      </c>
      <c r="W159" s="721">
        <f>Sheet1!L159*MGDtoCFS</f>
        <v>66.335359999998758</v>
      </c>
      <c r="X159" s="697">
        <f t="shared" si="648"/>
        <v>0</v>
      </c>
      <c r="Y159" s="712">
        <f t="shared" si="649"/>
        <v>0</v>
      </c>
      <c r="Z159" s="712">
        <f t="shared" si="650"/>
        <v>64.64</v>
      </c>
      <c r="AA159" s="712">
        <f t="shared" si="651"/>
        <v>99.998080000000002</v>
      </c>
      <c r="AB159" s="712">
        <f>(VLOOKUP(Sheet1!CY159,hhdcap_wcm,4)-(((VLOOKUP(Sheet1!CY159,hhdcap_wcm,3)-Sheet1!CY159)/(VLOOKUP(Sheet1!CY159,hhdcap_wcm,3)-VLOOKUP(Sheet1!CY159,hhdcap_wcm,1)))*(VLOOKUP(Sheet1!CY159,hhdcap_wcm,4)-VLOOKUP(Sheet1!CY159,hhdcap_wcm,2))))</f>
        <v>43652.000000104839</v>
      </c>
      <c r="AC159" s="712">
        <f t="shared" si="652"/>
        <v>254.40000000024156</v>
      </c>
      <c r="AD159" s="712">
        <f t="shared" si="653"/>
        <v>5077.5813929856795</v>
      </c>
      <c r="AE159" s="712">
        <f t="shared" si="654"/>
        <v>15578.019713680065</v>
      </c>
      <c r="AF159" s="712">
        <f>Sheet1!BA159+Sheet1!BB159+Sheet1!BN159+BT159</f>
        <v>9.8000000000000007</v>
      </c>
      <c r="AG159" s="712">
        <f t="shared" si="655"/>
        <v>9.9000000000014552</v>
      </c>
      <c r="AH159" s="712">
        <f>Sheet1!BA159+BT159</f>
        <v>0</v>
      </c>
      <c r="AI159" s="712">
        <f>Sheet1!BA159+Sheet1!BB159+BT159</f>
        <v>0</v>
      </c>
      <c r="AJ159" s="712">
        <f>IF((Sheet1!AA159+AG159+AX159+AZ159+BQ159+BS159+CL159+CN159)&lt;=N159,AG159+AX159+AZ159+BQ159+BS159+CL159+CN159,N159-Sheet1!AA159)</f>
        <v>9.9000000000014552</v>
      </c>
      <c r="AK159" s="712">
        <f>IF(DR159&lt;K159,0,MAX(Sheet1!AA159+AG159-15/36*K159-N159,Sheet1!ED159,0))</f>
        <v>0</v>
      </c>
      <c r="AL159" s="712">
        <f>IF(OR(B159&gt;=FT159,B159&lt;FS159),0,15/36*K159-MAX(0,64.6-(137.6-(Sheet1!AA159+Sheet1!AB159))))</f>
        <v>26.933333333333334</v>
      </c>
      <c r="AM159" s="712">
        <f>Sheet1!CX159-110</f>
        <v>1412.8125</v>
      </c>
      <c r="AN159" s="712">
        <f>Sheet1!CW159-265</f>
        <v>1942.7083333333335</v>
      </c>
      <c r="AO159" s="712">
        <f t="shared" si="622"/>
        <v>29.899999999986903</v>
      </c>
      <c r="AP159" s="712">
        <f t="shared" si="656"/>
        <v>0</v>
      </c>
      <c r="AQ159" s="712">
        <f t="shared" si="657"/>
        <v>0</v>
      </c>
      <c r="AR159" s="712">
        <f t="shared" si="658"/>
        <v>2316.2666666666682</v>
      </c>
      <c r="AS159" s="712"/>
      <c r="AT159" s="712">
        <f ca="1">IF(B159&gt;Summary!$A$1,#N/A,AR159*MGtoAF)</f>
        <v>7106.306133333338</v>
      </c>
      <c r="AU159" s="712">
        <f>Sheet1!BG159+Sheet1!BH159+Sheet1!BI159-BC159</f>
        <v>0</v>
      </c>
      <c r="AV159" s="712">
        <f t="shared" si="659"/>
        <v>0</v>
      </c>
      <c r="AW159" s="712">
        <f>IF(Sheet1!EL159="FM",BC159,0)</f>
        <v>0</v>
      </c>
      <c r="AX159" s="712">
        <f t="shared" si="660"/>
        <v>0</v>
      </c>
      <c r="AY159" s="712">
        <f>IF(Sheet1!EL159="OTHER",BC159,0)</f>
        <v>0</v>
      </c>
      <c r="AZ159" s="712">
        <f t="shared" si="661"/>
        <v>0</v>
      </c>
      <c r="BA159" s="712">
        <f t="shared" si="662"/>
        <v>0</v>
      </c>
      <c r="BB159" s="712">
        <f t="shared" si="663"/>
        <v>0</v>
      </c>
      <c r="BC159" s="712">
        <f>IF(OR(Sheet1!EL159="FM", Sheet1!EL159="OTHER"),SUM(Sheet1!BG159:'Sheet1'!BI159),0)</f>
        <v>0</v>
      </c>
      <c r="BD159" s="697">
        <f>IF(AND($B159&gt;=$FL159,$B159&lt;=$FM159),MAX(AV159,Sheet1!EE159,0),MAX(AV159-(7/36)*$K159,0))</f>
        <v>0</v>
      </c>
      <c r="BE159" s="712">
        <f t="shared" si="664"/>
        <v>12.568888888888889</v>
      </c>
      <c r="BF159" s="697">
        <f t="shared" si="665"/>
        <v>0</v>
      </c>
      <c r="BG159" s="697">
        <f>IF(AND($O159&gt;0,Sheet1!EI159=1),(1-($O159-Sheet1!$L159)/$O159)*BB159,0)</f>
        <v>0</v>
      </c>
      <c r="BH159" s="697">
        <f>IF(AND(Sheet1!$L159=0,Sheet1!$L158=0, Calculation!BA159&lt;Sheet1!$EE159-0.1,Sheet1!$EE159=Sheet1!$EE158,Sheet1!$EE159=Sheet1!$EE160),Sheet1!$EE159,BB159-BG159)</f>
        <v>0</v>
      </c>
      <c r="BI159" s="712"/>
      <c r="BJ159" s="712"/>
      <c r="BK159" s="712">
        <f t="shared" si="666"/>
        <v>1080.9244444444435</v>
      </c>
      <c r="BL159" s="712"/>
      <c r="BM159" s="712">
        <f ca="1">IF(B159&gt;Summary!$A$1,#N/A,BK159*MGtoAF)</f>
        <v>3316.2761955555525</v>
      </c>
      <c r="BN159" s="712">
        <f>Sheet1!BC159+Sheet1!BD159+Sheet1!BE159+Sheet1!BF159-BW159-BX159</f>
        <v>0</v>
      </c>
      <c r="BO159" s="712">
        <f t="shared" si="667"/>
        <v>0</v>
      </c>
      <c r="BP159" s="712">
        <f>IF(Sheet1!EM159="FM",BX159,0)</f>
        <v>0</v>
      </c>
      <c r="BQ159" s="712">
        <f t="shared" si="668"/>
        <v>0</v>
      </c>
      <c r="BR159" s="712">
        <f>IF(Sheet1!EM159="OTHER",BX159,0)</f>
        <v>0</v>
      </c>
      <c r="BS159" s="712">
        <f t="shared" si="669"/>
        <v>0</v>
      </c>
      <c r="BT159" s="712">
        <f t="shared" si="670"/>
        <v>0</v>
      </c>
      <c r="BU159" s="712">
        <f t="shared" si="671"/>
        <v>0</v>
      </c>
      <c r="BV159" s="712">
        <f t="shared" si="672"/>
        <v>0</v>
      </c>
      <c r="BW159" s="712">
        <f>IF(Sheet1!EM159="CWA",SUM(Sheet1!BC159:'Sheet1'!BF159),0)</f>
        <v>0</v>
      </c>
      <c r="BX159" s="712">
        <f>IF(OR(Sheet1!EM159="FM", Sheet1!EM159="OTHER"),SUM(Sheet1!BC159:'Sheet1'!BF159),0)</f>
        <v>0</v>
      </c>
      <c r="BY159" s="697">
        <f>IF(AND($B159&gt;=$FL159,$B159&lt;=$FM159),MAX(BV159,Sheet1!EF159,0),MAX(BV159-(7/36)*$K159,0))</f>
        <v>0</v>
      </c>
      <c r="BZ159" s="712">
        <f t="shared" si="673"/>
        <v>12.568888888888889</v>
      </c>
      <c r="CA159" s="697">
        <f t="shared" si="674"/>
        <v>0</v>
      </c>
      <c r="CB159" s="697">
        <f>IF(AND($O159&gt;0,Sheet1!EJ159=1),(1-($O159-Sheet1!$L159)/$O159)*BV159,0)</f>
        <v>0</v>
      </c>
      <c r="CC159" s="697">
        <f>IF(AND(Sheet1!$L159=0,Sheet1!$L158=0, Calculation!BU159&lt;Sheet1!EF159-0.1,Sheet1!EF159=Sheet1!EF158,Sheet1!EF159=Sheet1!EF160),Sheet1!EF159,BV159-CB159)</f>
        <v>0</v>
      </c>
      <c r="CD159" s="697"/>
      <c r="CE159" s="712"/>
      <c r="CF159" s="712">
        <f t="shared" si="675"/>
        <v>942.17103599896916</v>
      </c>
      <c r="CG159" s="712"/>
      <c r="CH159" s="712">
        <f ca="1">IF(B159&gt;Summary!$A$1,#N/A,CF159*MGtoAF)</f>
        <v>2890.5807384448376</v>
      </c>
      <c r="CI159" s="712">
        <f>Sheet1!BK159+Sheet1!BL159+Sheet1!BM159-Sheet1!EN159-CQ159</f>
        <v>0</v>
      </c>
      <c r="CJ159" s="712">
        <f t="shared" si="676"/>
        <v>0</v>
      </c>
      <c r="CK159" s="712">
        <f>IF(Sheet1!EN159="FM",CQ159,0)</f>
        <v>0</v>
      </c>
      <c r="CL159" s="712">
        <f t="shared" si="677"/>
        <v>0</v>
      </c>
      <c r="CM159" s="712">
        <f>IF(Sheet1!EN159="OTHER",CQ159,0)</f>
        <v>0</v>
      </c>
      <c r="CN159" s="712">
        <f t="shared" si="678"/>
        <v>0</v>
      </c>
      <c r="CO159" s="712">
        <f t="shared" si="679"/>
        <v>0</v>
      </c>
      <c r="CP159" s="712">
        <f t="shared" si="680"/>
        <v>0</v>
      </c>
      <c r="CQ159" s="712">
        <f>IF(OR(Sheet1!EN159="FM", Sheet1!EN159="OTHER"),SUM(Sheet1!BK159:'Sheet1'!BM159),0)</f>
        <v>0</v>
      </c>
      <c r="CR159" s="697">
        <f>IF(AND($B159&gt;=$FL159,$B159&lt;=$FM159),MAX($CJ159,Sheet1!EG159,0),MAX($CJ159-(7/36)*$K159,0))</f>
        <v>0</v>
      </c>
      <c r="CS159" s="712">
        <f t="shared" si="681"/>
        <v>12.568888888888889</v>
      </c>
      <c r="CT159" s="697">
        <f t="shared" si="682"/>
        <v>0</v>
      </c>
      <c r="CU159" s="697">
        <f>IF(AND($O159&gt;0,Sheet1!EK159=1),(1-($O159-Sheet1!$L159)/$O159)*CP159,0)</f>
        <v>0</v>
      </c>
      <c r="CV159" s="697">
        <f>IF(AND(Sheet1!$L159=0,Sheet1!$L158=0, Calculation!CO159&lt;Sheet1!$EG159-0.1,Sheet1!$EG159=Sheet1!$EG158,Sheet1!$EG159=Sheet1!$EG160),Sheet1!$EG159,CP159-CU159)</f>
        <v>0</v>
      </c>
      <c r="CW159" s="697">
        <f t="shared" si="613"/>
        <v>0</v>
      </c>
      <c r="CX159" s="712">
        <f t="shared" si="683"/>
        <v>0</v>
      </c>
      <c r="CY159" s="712">
        <f t="shared" si="684"/>
        <v>738.21924587559897</v>
      </c>
      <c r="CZ159" s="712">
        <f t="shared" si="685"/>
        <v>0</v>
      </c>
      <c r="DA159" s="712">
        <f ca="1">IF(B159&gt;Summary!$A$1,#N/A,CY159*MGtoAF)</f>
        <v>2264.8566463463376</v>
      </c>
      <c r="DB159" s="712">
        <f t="shared" si="686"/>
        <v>0</v>
      </c>
      <c r="DC159" s="712">
        <f t="shared" si="687"/>
        <v>9.8000000000000007</v>
      </c>
      <c r="DD159" s="712">
        <f>Sheet1!AB159-DC159</f>
        <v>0.10000000000145448</v>
      </c>
      <c r="DE159" s="712">
        <f t="shared" si="688"/>
        <v>1.0204081632801476E-2</v>
      </c>
      <c r="DF159" s="712">
        <f>(VLOOKUP(Sheet1!CY159,hhdcap_wcm,4)-(((VLOOKUP(Sheet1!CY159,hhdcap_wcm,3)-Sheet1!CY159)/(VLOOKUP(Sheet1!CY159,hhdcap_wcm,3)-VLOOKUP(Sheet1!CY159,hhdcap_wcm,1)))*(VLOOKUP(Sheet1!CY159,hhdcap_wcm,4)-VLOOKUP(Sheet1!CY159,hhdcap_wcm,2))))</f>
        <v>43652.000000104839</v>
      </c>
      <c r="DG159" s="712">
        <f t="shared" si="689"/>
        <v>254.40000000024156</v>
      </c>
      <c r="DH159" s="712">
        <f t="shared" si="690"/>
        <v>128.29046898650606</v>
      </c>
      <c r="DI159" s="712">
        <f>Sheet1!DW159*AFtoMG</f>
        <v>0</v>
      </c>
      <c r="DJ159" s="712">
        <f>Sheet1!DX159*AFtoMG</f>
        <v>0</v>
      </c>
      <c r="DK159" s="712">
        <f>Sheet1!DY159*AFtoMG</f>
        <v>0</v>
      </c>
      <c r="DL159" s="712">
        <f>Sheet1!DZ159*AFtoMG</f>
        <v>0</v>
      </c>
      <c r="DM159" s="712">
        <f t="shared" si="691"/>
        <v>0</v>
      </c>
      <c r="DN159" s="712">
        <f t="shared" si="692"/>
        <v>0</v>
      </c>
      <c r="DO159" s="712">
        <f t="shared" si="693"/>
        <v>5077.5813929856795</v>
      </c>
      <c r="DP159" s="712">
        <f t="shared" si="694"/>
        <v>15578.019713680065</v>
      </c>
      <c r="DQ159" s="712"/>
      <c r="DR159" s="697">
        <f>IF(OR(B159&lt;FL159,B159&gt;FM159),(MIN(AV159+BO159+CJ159+MAX(Sheet1!AA159+AG159-73,0),K159)),0)</f>
        <v>0</v>
      </c>
      <c r="DS159" s="712"/>
      <c r="DT159" s="712">
        <f t="shared" si="695"/>
        <v>0</v>
      </c>
      <c r="DU159" s="712"/>
      <c r="DV159" s="712">
        <f>Sheet1!ED159+Sheet1!EE159+Sheet1!EF159+Sheet1!EG159</f>
        <v>8.5</v>
      </c>
      <c r="DW159" s="712"/>
      <c r="DX159" s="697">
        <f t="shared" si="696"/>
        <v>0</v>
      </c>
      <c r="DY159" s="712">
        <f>IF(Sheet1!FN159=1,SUM('Calculations II'!AT159:BA159)+'Calculations II'!BC159+Sheet1!BU159+'Calculations II'!BE159+AF159,SUM('Calculations II'!AT159:BA159)+'Calculations II'!BC159+Sheet1!BU159+'Calculations II'!BE159+AF159)</f>
        <v>47.124288000000007</v>
      </c>
      <c r="DZ159" s="712">
        <f>Sheet1!AA159+Sheet1!AB159+'Calculations II'!BC159</f>
        <v>50.992640000013097</v>
      </c>
      <c r="EA159" s="712"/>
      <c r="EB159" s="712"/>
      <c r="EC159" s="712">
        <f t="shared" si="697"/>
        <v>40688</v>
      </c>
      <c r="ED159" s="712">
        <f t="shared" si="698"/>
        <v>64.64</v>
      </c>
      <c r="EE159" s="712">
        <f t="shared" si="699"/>
        <v>99.998080000000002</v>
      </c>
      <c r="EF159" s="712">
        <f>-(VLOOKUP(Sheet1!BQ159,Lookup!$B$4:$J$236,2)-VLOOKUP(Sheet1!BQ158,Lookup!$B$4:$J$236,2))/1000000</f>
        <v>0</v>
      </c>
      <c r="EG159" s="712">
        <f>-(VLOOKUP(Sheet1!BR159,Lookup!$B$4:$J$236,3)-VLOOKUP(Sheet1!BR158,Lookup!$B$4:$J$236,3))/1000000</f>
        <v>0</v>
      </c>
      <c r="EH159" s="712">
        <f>-(VLOOKUP(Sheet1!BS159,Lookup!$B$4:$J$236,4)-VLOOKUP(Sheet1!BS158,Lookup!$B$4:$J$236,4))/1000000</f>
        <v>0</v>
      </c>
      <c r="EI159" s="697">
        <f t="shared" si="700"/>
        <v>0</v>
      </c>
      <c r="EJ159" s="712"/>
      <c r="EK159" s="712"/>
      <c r="EL159" s="712"/>
      <c r="EM159" s="712"/>
      <c r="EN159" s="712"/>
      <c r="EO159" s="712"/>
      <c r="EP159" s="712"/>
      <c r="EQ159" s="712"/>
      <c r="ES159" s="712"/>
      <c r="ET159" s="794" t="e">
        <f t="shared" si="437"/>
        <v>#N/A</v>
      </c>
      <c r="EU159" s="697">
        <v>5000</v>
      </c>
      <c r="EV159" s="795">
        <f t="shared" si="640"/>
        <v>21853.980286424776</v>
      </c>
      <c r="EW159" s="796" t="s">
        <v>757</v>
      </c>
      <c r="EX159" s="796" t="s">
        <v>757</v>
      </c>
      <c r="EY159" s="794">
        <v>0</v>
      </c>
      <c r="EZ159" s="794" t="e">
        <v>#N/A</v>
      </c>
      <c r="FA159" s="712"/>
      <c r="FB159" s="712"/>
      <c r="FC159" s="712"/>
      <c r="FD159" s="712"/>
      <c r="FE159" s="712">
        <f>O159+Sheet1!CO159</f>
        <v>5524.1000000000131</v>
      </c>
      <c r="FF159" s="712">
        <f>IF(Sheet1!AA159+AG159&lt;=Calculation!N159,AG159,Calculation!N159-Sheet1!AA159)</f>
        <v>9.9000000000014552</v>
      </c>
      <c r="FG159" s="712">
        <f>(Sheet1!BP159+Sheet1!BO159)/694.4</f>
        <v>1.5711405529953917</v>
      </c>
      <c r="FH159" s="712"/>
      <c r="FI159" s="712"/>
      <c r="FJ159" s="712"/>
      <c r="FK159" s="712"/>
      <c r="FL159" s="714">
        <f t="shared" si="632"/>
        <v>40753</v>
      </c>
      <c r="FM159" s="714">
        <f t="shared" si="633"/>
        <v>40851</v>
      </c>
      <c r="FN159" s="712"/>
      <c r="FO159" s="712"/>
      <c r="FP159" s="712"/>
      <c r="FQ159" s="712"/>
      <c r="FR159" s="712"/>
      <c r="FS159" s="725">
        <f t="shared" si="634"/>
        <v>40603</v>
      </c>
      <c r="FT159" s="714">
        <f t="shared" si="635"/>
        <v>40709</v>
      </c>
      <c r="FU159" s="712">
        <f t="shared" si="636"/>
        <v>6518.9048239895692</v>
      </c>
      <c r="FV159" s="714">
        <f t="shared" si="637"/>
        <v>40722</v>
      </c>
      <c r="FW159" s="712">
        <f t="shared" si="638"/>
        <v>3259.4524119947846</v>
      </c>
      <c r="FX159" s="725">
        <f t="shared" si="639"/>
        <v>40851</v>
      </c>
      <c r="FZ159" s="697">
        <f t="shared" si="616"/>
        <v>0</v>
      </c>
      <c r="GA159" s="712" t="str">
        <f t="shared" si="701"/>
        <v/>
      </c>
      <c r="GB159" s="712">
        <f t="shared" si="702"/>
        <v>0</v>
      </c>
      <c r="GC159" s="712" t="str">
        <f t="shared" si="703"/>
        <v/>
      </c>
      <c r="GD159" s="712">
        <f>IF(GA159="P",Lookup!$M$12,IF(GA159="PP",Lookup!$M$13,IF(GA159="PPP",Lookup!$M$14,IF(GA159="T",Lookup!$M$15,IF(GA159="TP",Lookup!$M$16,IF(GA159="TPP",Lookup!$M$17,IF(GA159="TPPP",Lookup!$M$18,0)))))))*FZ159</f>
        <v>0</v>
      </c>
      <c r="GE159" s="712">
        <f t="shared" si="704"/>
        <v>0</v>
      </c>
      <c r="GF159" s="712">
        <f t="shared" si="705"/>
        <v>7106.306133333338</v>
      </c>
      <c r="GG159" s="712">
        <f t="shared" si="706"/>
        <v>2316.2666666666682</v>
      </c>
      <c r="GH159" s="712"/>
      <c r="GI159" s="712">
        <f t="shared" si="707"/>
        <v>0</v>
      </c>
      <c r="GJ159" s="712" t="str">
        <f t="shared" si="708"/>
        <v/>
      </c>
      <c r="GK159" s="712">
        <f>IF(GA159="P",Lookup!$N$12,IF(GA159="PP",Lookup!$N$13,IF(GA159="PPP",Lookup!$N$14,IF(GA159="T",Lookup!$N$15,IF(GA159="TP",Lookup!$N$16,IF(GA159="TPP",Lookup!$N$17,IF(GA159="TPPP",Lookup!$N$18,0)))))))*FZ159</f>
        <v>0</v>
      </c>
      <c r="GL159" s="712">
        <f t="shared" si="709"/>
        <v>0</v>
      </c>
      <c r="GM159" s="712">
        <f t="shared" si="710"/>
        <v>3316.2761955555525</v>
      </c>
      <c r="GN159" s="712">
        <f t="shared" si="711"/>
        <v>1080.9244444444435</v>
      </c>
      <c r="GO159" s="712"/>
      <c r="GP159" s="712">
        <f t="shared" si="712"/>
        <v>0</v>
      </c>
      <c r="GQ159" s="712" t="str">
        <f t="shared" si="713"/>
        <v/>
      </c>
      <c r="GR159" s="712">
        <f>IF(GA159="P",Lookup!$N$12,IF(GA159="PP",Lookup!$N$13,IF(GA159="PPP",Lookup!$N$14,IF(GA159="T",Lookup!$N$15,IF(GA159="TP",Lookup!$N$16,IF(GA159="TPP",Lookup!$N$17,IF(GA159="TPPP",Lookup!$N$18,0)))))))*FZ159</f>
        <v>0</v>
      </c>
      <c r="GS159" s="697">
        <f t="shared" si="628"/>
        <v>0</v>
      </c>
      <c r="GT159" s="712">
        <f t="shared" si="714"/>
        <v>2890.5807384448376</v>
      </c>
      <c r="GU159" s="712">
        <f t="shared" si="715"/>
        <v>942.17103599896916</v>
      </c>
      <c r="GV159" s="712"/>
      <c r="GW159" s="712">
        <f t="shared" si="716"/>
        <v>0</v>
      </c>
      <c r="GX159" s="712" t="str">
        <f t="shared" si="717"/>
        <v/>
      </c>
      <c r="GY159" s="712">
        <f>IF(GA159="P",Lookup!$N$12,IF(GA159="PP",Lookup!$N$13,IF(GA159="PPP",Lookup!$N$14,IF(GA159="T",Lookup!$N$15,IF(GA159="TP",Lookup!$N$16,IF(GA159="TPP",Lookup!$N$17,IF(GA159="TPPP",Lookup!$N$18,0)))))))*FZ159</f>
        <v>0</v>
      </c>
      <c r="GZ159" s="697">
        <f t="shared" si="629"/>
        <v>0</v>
      </c>
      <c r="HA159" s="712">
        <f t="shared" si="718"/>
        <v>2264.8566463463376</v>
      </c>
      <c r="HB159" s="712">
        <f t="shared" si="719"/>
        <v>738.21924587559897</v>
      </c>
      <c r="HC159" s="712"/>
    </row>
    <row r="160" spans="1:211">
      <c r="A160" s="773" t="s">
        <v>7</v>
      </c>
      <c r="B160" s="708">
        <v>40689</v>
      </c>
      <c r="C160" s="719">
        <v>0.5</v>
      </c>
      <c r="D160" s="675">
        <f t="shared" si="641"/>
        <v>300</v>
      </c>
      <c r="E160" s="675">
        <f t="shared" si="642"/>
        <v>250</v>
      </c>
      <c r="F160" s="675">
        <v>250</v>
      </c>
      <c r="G160" s="712">
        <f>DH160+Sheet1!CV160</f>
        <v>1819.7220121036194</v>
      </c>
      <c r="H160" s="712">
        <f t="shared" si="643"/>
        <v>909.30510862377957</v>
      </c>
      <c r="I160" s="711">
        <f>MAX(Sheet1!Z160-AJ160+(Sheet1!CW160-E160)*CFStoMGD,0)</f>
        <v>1298.3926666666666</v>
      </c>
      <c r="J160" s="720">
        <f>IF(AND(B160&gt;=Calculation!FS160,B160&lt;=Calculation!FT160),IF(Sheet1!CX160&gt;=Calculation!D160,64.64,0),MAX(Sheet1!Z160-AJ160+(Sheet1!CX160-D160)*CFStoMGD,0))</f>
        <v>64.64</v>
      </c>
      <c r="K160" s="697">
        <f t="shared" si="644"/>
        <v>64.64</v>
      </c>
      <c r="L160" s="712">
        <f>Sheet1!AA160+Sheet1!AB160-Sheet1!L160+(Sheet1!CW160-F160)*CFStoMGD</f>
        <v>1299.0126666666624</v>
      </c>
      <c r="M160" s="712">
        <f t="shared" si="645"/>
        <v>1199.7936747962551</v>
      </c>
      <c r="N160" s="712">
        <f>IF(Sheet1!CW160&gt;=F160,MIN(73,MIN(MAX(L160,0),MAX(M160,0))),0)</f>
        <v>73</v>
      </c>
      <c r="O160" s="721">
        <f>Sheet1!AA160+Sheet1!AB160</f>
        <v>46.69999999999709</v>
      </c>
      <c r="P160" s="721">
        <f t="shared" si="646"/>
        <v>72.244899999995496</v>
      </c>
      <c r="Q160" s="712">
        <f>MIN(N160,Sheet1!AA160+AG160)</f>
        <v>46.69999999999709</v>
      </c>
      <c r="R160" s="712">
        <f t="shared" si="647"/>
        <v>0</v>
      </c>
      <c r="S160" s="721">
        <f>Sheet1!Y160*MGDtoCFS</f>
        <v>53.835599999999992</v>
      </c>
      <c r="T160" s="721">
        <f>Sheet1!Z160*MGDtoCFS</f>
        <v>17.9452</v>
      </c>
      <c r="U160" s="721">
        <f>Sheet1!AA160*MGDtoCFS</f>
        <v>53.680899999995496</v>
      </c>
      <c r="V160" s="721">
        <f>Sheet1!AB160*MGDtoCFS</f>
        <v>18.564</v>
      </c>
      <c r="W160" s="721">
        <f>Sheet1!L160*MGDtoCFS</f>
        <v>71.904560000002135</v>
      </c>
      <c r="X160" s="697">
        <f t="shared" si="648"/>
        <v>0</v>
      </c>
      <c r="Y160" s="712">
        <f t="shared" si="649"/>
        <v>0</v>
      </c>
      <c r="Z160" s="712">
        <f t="shared" si="650"/>
        <v>64.64</v>
      </c>
      <c r="AA160" s="712">
        <f t="shared" si="651"/>
        <v>99.998080000000002</v>
      </c>
      <c r="AB160" s="712">
        <f>(VLOOKUP(Sheet1!CY160,hhdcap_wcm,4)-(((VLOOKUP(Sheet1!CY160,hhdcap_wcm,3)-Sheet1!CY160)/(VLOOKUP(Sheet1!CY160,hhdcap_wcm,3)-VLOOKUP(Sheet1!CY160,hhdcap_wcm,1)))*(VLOOKUP(Sheet1!CY160,hhdcap_wcm,4)-VLOOKUP(Sheet1!CY160,hhdcap_wcm,2))))</f>
        <v>44131.500000106316</v>
      </c>
      <c r="AC160" s="712">
        <f t="shared" si="652"/>
        <v>479.50000000147702</v>
      </c>
      <c r="AD160" s="712">
        <f t="shared" si="653"/>
        <v>5142.2213929856798</v>
      </c>
      <c r="AE160" s="712">
        <f t="shared" si="654"/>
        <v>15776.335233680065</v>
      </c>
      <c r="AF160" s="712">
        <f>Sheet1!BA160+Sheet1!BB160+Sheet1!BN160+BT160</f>
        <v>11.9</v>
      </c>
      <c r="AG160" s="712">
        <f t="shared" si="655"/>
        <v>12</v>
      </c>
      <c r="AH160" s="712">
        <f>Sheet1!BA160+BT160</f>
        <v>0</v>
      </c>
      <c r="AI160" s="712">
        <f>Sheet1!BA160+Sheet1!BB160+BT160</f>
        <v>0</v>
      </c>
      <c r="AJ160" s="712">
        <f>IF((Sheet1!AA160+AG160+AX160+AZ160+BQ160+BS160+CL160+CN160)&lt;=N160,AG160+AX160+AZ160+BQ160+BS160+CL160+CN160,N160-Sheet1!AA160)</f>
        <v>12</v>
      </c>
      <c r="AK160" s="712">
        <f>IF(DR160&lt;K160,0,MAX(Sheet1!AA160+AG160-15/36*K160-N160,Sheet1!ED160,0))</f>
        <v>0</v>
      </c>
      <c r="AL160" s="712">
        <f>IF(OR(B160&gt;=FT160,B160&lt;FS160),0,15/36*K160-MAX(0,64.6-(137.6-(Sheet1!AA160+Sheet1!AB160))))</f>
        <v>26.933333333333334</v>
      </c>
      <c r="AM160" s="712">
        <f>Sheet1!CX160-110</f>
        <v>1490.4166666666667</v>
      </c>
      <c r="AN160" s="712">
        <f>Sheet1!CW160-265</f>
        <v>1994.2708333333335</v>
      </c>
      <c r="AO160" s="712">
        <f t="shared" si="622"/>
        <v>26.30000000000291</v>
      </c>
      <c r="AP160" s="712">
        <f t="shared" si="656"/>
        <v>0</v>
      </c>
      <c r="AQ160" s="712">
        <f t="shared" si="657"/>
        <v>0</v>
      </c>
      <c r="AR160" s="712">
        <f t="shared" si="658"/>
        <v>2343.2000000000016</v>
      </c>
      <c r="AS160" s="712"/>
      <c r="AT160" s="712">
        <f ca="1">IF(B160&gt;Summary!$A$1,#N/A,AR160*MGtoAF)</f>
        <v>7188.9376000000047</v>
      </c>
      <c r="AU160" s="712">
        <f>Sheet1!BG160+Sheet1!BH160+Sheet1!BI160-BC160</f>
        <v>0</v>
      </c>
      <c r="AV160" s="712">
        <f t="shared" si="659"/>
        <v>0</v>
      </c>
      <c r="AW160" s="712">
        <f>IF(Sheet1!EL160="FM",BC160,0)</f>
        <v>0</v>
      </c>
      <c r="AX160" s="712">
        <f t="shared" si="660"/>
        <v>0</v>
      </c>
      <c r="AY160" s="712">
        <f>IF(Sheet1!EL160="OTHER",BC160,0)</f>
        <v>0</v>
      </c>
      <c r="AZ160" s="712">
        <f t="shared" si="661"/>
        <v>0</v>
      </c>
      <c r="BA160" s="712">
        <f t="shared" si="662"/>
        <v>0</v>
      </c>
      <c r="BB160" s="712">
        <f t="shared" si="663"/>
        <v>0</v>
      </c>
      <c r="BC160" s="712">
        <f>IF(OR(Sheet1!EL160="FM", Sheet1!EL160="OTHER"),SUM(Sheet1!BG160:'Sheet1'!BI160),0)</f>
        <v>0</v>
      </c>
      <c r="BD160" s="697">
        <f>IF(AND($B160&gt;=$FL160,$B160&lt;=$FM160),MAX(AV160,Sheet1!EE160,0),MAX(AV160-(7/36)*$K160,0))</f>
        <v>0</v>
      </c>
      <c r="BE160" s="712">
        <f t="shared" si="664"/>
        <v>12.568888888888889</v>
      </c>
      <c r="BF160" s="697">
        <f t="shared" si="665"/>
        <v>0</v>
      </c>
      <c r="BG160" s="697">
        <f>IF(AND($O160&gt;0,Sheet1!EI160=1),(1-($O160-Sheet1!$L160)/$O160)*BB160,0)</f>
        <v>0</v>
      </c>
      <c r="BH160" s="697">
        <f>IF(AND(Sheet1!$L160=0,Sheet1!$L159=0, Calculation!BA160&lt;Sheet1!$EE160-0.1,Sheet1!$EE160=Sheet1!$EE159,Sheet1!$EE160=Sheet1!$EE161),Sheet1!$EE160,BB160-BG160)</f>
        <v>0</v>
      </c>
      <c r="BI160" s="712"/>
      <c r="BJ160" s="712"/>
      <c r="BK160" s="712">
        <f t="shared" si="666"/>
        <v>1093.4933333333324</v>
      </c>
      <c r="BL160" s="712"/>
      <c r="BM160" s="712">
        <f ca="1">IF(B160&gt;Summary!$A$1,#N/A,BK160*MGtoAF)</f>
        <v>3354.8375466666639</v>
      </c>
      <c r="BN160" s="712">
        <f>Sheet1!BC160+Sheet1!BD160+Sheet1!BE160+Sheet1!BF160-BW160-BX160</f>
        <v>0</v>
      </c>
      <c r="BO160" s="712">
        <f t="shared" si="667"/>
        <v>0</v>
      </c>
      <c r="BP160" s="712">
        <f>IF(Sheet1!EM160="FM",BX160,0)</f>
        <v>0</v>
      </c>
      <c r="BQ160" s="712">
        <f t="shared" si="668"/>
        <v>0</v>
      </c>
      <c r="BR160" s="712">
        <f>IF(Sheet1!EM160="OTHER",BX160,0)</f>
        <v>0</v>
      </c>
      <c r="BS160" s="712">
        <f t="shared" si="669"/>
        <v>0</v>
      </c>
      <c r="BT160" s="712">
        <f t="shared" si="670"/>
        <v>0</v>
      </c>
      <c r="BU160" s="712">
        <f t="shared" si="671"/>
        <v>0</v>
      </c>
      <c r="BV160" s="712">
        <f t="shared" si="672"/>
        <v>0</v>
      </c>
      <c r="BW160" s="712">
        <f>IF(Sheet1!EM160="CWA",SUM(Sheet1!BC160:'Sheet1'!BF160),0)</f>
        <v>0</v>
      </c>
      <c r="BX160" s="712">
        <f>IF(OR(Sheet1!EM160="FM", Sheet1!EM160="OTHER"),SUM(Sheet1!BC160:'Sheet1'!BF160),0)</f>
        <v>0</v>
      </c>
      <c r="BY160" s="697">
        <f>IF(AND($B160&gt;=$FL160,$B160&lt;=$FM160),MAX(BV160,Sheet1!EF160,0),MAX(BV160-(7/36)*$K160,0))</f>
        <v>0</v>
      </c>
      <c r="BZ160" s="712">
        <f t="shared" si="673"/>
        <v>12.568888888888889</v>
      </c>
      <c r="CA160" s="697">
        <f t="shared" si="674"/>
        <v>0</v>
      </c>
      <c r="CB160" s="697">
        <f>IF(AND($O160&gt;0,Sheet1!EJ160=1),(1-($O160-Sheet1!$L160)/$O160)*BV160,0)</f>
        <v>0</v>
      </c>
      <c r="CC160" s="697">
        <f>IF(AND(Sheet1!$L160=0,Sheet1!$L159=0, Calculation!BU160&lt;Sheet1!EF160-0.1,Sheet1!EF160=Sheet1!EF159,Sheet1!EF160=Sheet1!EF161),Sheet1!EF160,BV160-CB160)</f>
        <v>0</v>
      </c>
      <c r="CD160" s="697"/>
      <c r="CE160" s="712"/>
      <c r="CF160" s="712">
        <f t="shared" si="675"/>
        <v>954.73992488785802</v>
      </c>
      <c r="CG160" s="712"/>
      <c r="CH160" s="712">
        <f ca="1">IF(B160&gt;Summary!$A$1,#N/A,CF160*MGtoAF)</f>
        <v>2929.1420895559486</v>
      </c>
      <c r="CI160" s="712">
        <f>Sheet1!BK160+Sheet1!BL160+Sheet1!BM160-Sheet1!EN160-CQ160</f>
        <v>0</v>
      </c>
      <c r="CJ160" s="712">
        <f t="shared" si="676"/>
        <v>0</v>
      </c>
      <c r="CK160" s="712">
        <f>IF(Sheet1!EN160="FM",CQ160,0)</f>
        <v>0</v>
      </c>
      <c r="CL160" s="712">
        <f t="shared" si="677"/>
        <v>0</v>
      </c>
      <c r="CM160" s="712">
        <f>IF(Sheet1!EN160="OTHER",CQ160,0)</f>
        <v>0</v>
      </c>
      <c r="CN160" s="712">
        <f t="shared" si="678"/>
        <v>0</v>
      </c>
      <c r="CO160" s="712">
        <f t="shared" si="679"/>
        <v>0</v>
      </c>
      <c r="CP160" s="712">
        <f t="shared" si="680"/>
        <v>0</v>
      </c>
      <c r="CQ160" s="712">
        <f>IF(OR(Sheet1!EN160="FM", Sheet1!EN160="OTHER"),SUM(Sheet1!BK160:'Sheet1'!BM160),0)</f>
        <v>0</v>
      </c>
      <c r="CR160" s="697">
        <f>IF(AND($B160&gt;=$FL160,$B160&lt;=$FM160),MAX($CJ160,Sheet1!EG160,0),MAX($CJ160-(7/36)*$K160,0))</f>
        <v>0</v>
      </c>
      <c r="CS160" s="712">
        <f t="shared" si="681"/>
        <v>12.568888888888889</v>
      </c>
      <c r="CT160" s="697">
        <f t="shared" si="682"/>
        <v>0</v>
      </c>
      <c r="CU160" s="697">
        <f>IF(AND($O160&gt;0,Sheet1!EK160=1),(1-($O160-Sheet1!$L160)/$O160)*CP160,0)</f>
        <v>0</v>
      </c>
      <c r="CV160" s="697">
        <f>IF(AND(Sheet1!$L160=0,Sheet1!$L159=0, Calculation!CO160&lt;Sheet1!$EG160-0.1,Sheet1!$EG160=Sheet1!$EG159,Sheet1!$EG160=Sheet1!$EG161),Sheet1!$EG160,CP160-CU160)</f>
        <v>0</v>
      </c>
      <c r="CW160" s="697">
        <f t="shared" si="613"/>
        <v>0</v>
      </c>
      <c r="CX160" s="712">
        <f t="shared" si="683"/>
        <v>0</v>
      </c>
      <c r="CY160" s="712">
        <f t="shared" si="684"/>
        <v>750.78813476448784</v>
      </c>
      <c r="CZ160" s="712">
        <f t="shared" si="685"/>
        <v>0</v>
      </c>
      <c r="DA160" s="712">
        <f ca="1">IF(B160&gt;Summary!$A$1,#N/A,CY160*MGtoAF)</f>
        <v>2303.4179974574486</v>
      </c>
      <c r="DB160" s="712">
        <f t="shared" si="686"/>
        <v>0</v>
      </c>
      <c r="DC160" s="712">
        <f t="shared" si="687"/>
        <v>11.9</v>
      </c>
      <c r="DD160" s="712">
        <f>Sheet1!AB160-DC160</f>
        <v>9.9999999999999645E-2</v>
      </c>
      <c r="DE160" s="712">
        <f t="shared" si="688"/>
        <v>8.4033613445377853E-3</v>
      </c>
      <c r="DF160" s="712">
        <f>(VLOOKUP(Sheet1!CY160,hhdcap_wcm,4)-(((VLOOKUP(Sheet1!CY160,hhdcap_wcm,3)-Sheet1!CY160)/(VLOOKUP(Sheet1!CY160,hhdcap_wcm,3)-VLOOKUP(Sheet1!CY160,hhdcap_wcm,1)))*(VLOOKUP(Sheet1!CY160,hhdcap_wcm,4)-VLOOKUP(Sheet1!CY160,hhdcap_wcm,2))))</f>
        <v>44131.500000106316</v>
      </c>
      <c r="DG160" s="712">
        <f t="shared" si="689"/>
        <v>479.50000000147702</v>
      </c>
      <c r="DH160" s="712">
        <f t="shared" si="690"/>
        <v>241.80534543695256</v>
      </c>
      <c r="DI160" s="712">
        <f>Sheet1!DW160*AFtoMG</f>
        <v>0</v>
      </c>
      <c r="DJ160" s="712">
        <f>Sheet1!DX160*AFtoMG</f>
        <v>0</v>
      </c>
      <c r="DK160" s="712">
        <f>Sheet1!DY160*AFtoMG</f>
        <v>0</v>
      </c>
      <c r="DL160" s="712">
        <f>Sheet1!DZ160*AFtoMG</f>
        <v>0</v>
      </c>
      <c r="DM160" s="712">
        <f t="shared" si="691"/>
        <v>0</v>
      </c>
      <c r="DN160" s="712">
        <f t="shared" si="692"/>
        <v>0</v>
      </c>
      <c r="DO160" s="712">
        <f t="shared" si="693"/>
        <v>5142.2213929856798</v>
      </c>
      <c r="DP160" s="712">
        <f t="shared" si="694"/>
        <v>15776.335233680065</v>
      </c>
      <c r="DQ160" s="712"/>
      <c r="DR160" s="697">
        <f>IF(OR(B160&lt;FL160,B160&gt;FM160),(MIN(AV160+BO160+CJ160+MAX(Sheet1!AA160+AG160-73,0),K160)),0)</f>
        <v>0</v>
      </c>
      <c r="DS160" s="712"/>
      <c r="DT160" s="712">
        <f t="shared" si="695"/>
        <v>0</v>
      </c>
      <c r="DU160" s="712"/>
      <c r="DV160" s="712">
        <f>Sheet1!ED160+Sheet1!EE160+Sheet1!EF160+Sheet1!EG160</f>
        <v>8.5</v>
      </c>
      <c r="DW160" s="712"/>
      <c r="DX160" s="697">
        <f t="shared" si="696"/>
        <v>0</v>
      </c>
      <c r="DY160" s="712">
        <f>IF(Sheet1!FN160=1,SUM('Calculations II'!AT160:BA160)+'Calculations II'!BC160+Sheet1!BU160+'Calculations II'!BE160+AF160,SUM('Calculations II'!AT160:BA160)+'Calculations II'!BC160+Sheet1!BU160+'Calculations II'!BE160+AF160)</f>
        <v>56.217951999999997</v>
      </c>
      <c r="DZ160" s="712">
        <f>Sheet1!AA160+Sheet1!AB160+'Calculations II'!BC160</f>
        <v>53.06076799999709</v>
      </c>
      <c r="EA160" s="712"/>
      <c r="EB160" s="712"/>
      <c r="EC160" s="712">
        <f t="shared" si="697"/>
        <v>40689</v>
      </c>
      <c r="ED160" s="712">
        <f t="shared" si="698"/>
        <v>64.64</v>
      </c>
      <c r="EE160" s="712">
        <f t="shared" si="699"/>
        <v>99.998080000000002</v>
      </c>
      <c r="EF160" s="712">
        <f>-(VLOOKUP(Sheet1!BQ160,Lookup!$B$4:$J$236,2)-VLOOKUP(Sheet1!BQ159,Lookup!$B$4:$J$236,2))/1000000</f>
        <v>-4.3398000000000003</v>
      </c>
      <c r="EG160" s="712">
        <f>-(VLOOKUP(Sheet1!BR160,Lookup!$B$4:$J$236,3)-VLOOKUP(Sheet1!BR159,Lookup!$B$4:$J$236,3))/1000000</f>
        <v>0</v>
      </c>
      <c r="EH160" s="712">
        <f>-(VLOOKUP(Sheet1!BS160,Lookup!$B$4:$J$236,4)-VLOOKUP(Sheet1!BS159,Lookup!$B$4:$J$236,4))/1000000</f>
        <v>0</v>
      </c>
      <c r="EI160" s="697">
        <f t="shared" si="700"/>
        <v>-4.3398000000000003</v>
      </c>
      <c r="EJ160" s="712"/>
      <c r="EK160" s="712"/>
      <c r="EL160" s="712"/>
      <c r="EM160" s="712"/>
      <c r="EN160" s="712"/>
      <c r="EO160" s="712"/>
      <c r="EP160" s="712"/>
      <c r="EQ160" s="712"/>
      <c r="ES160" s="712"/>
      <c r="ET160" s="794" t="e">
        <f t="shared" si="437"/>
        <v>#N/A</v>
      </c>
      <c r="EU160" s="697">
        <v>5000</v>
      </c>
      <c r="EV160" s="795">
        <f t="shared" si="640"/>
        <v>22135.164766426249</v>
      </c>
      <c r="EW160" s="796" t="s">
        <v>757</v>
      </c>
      <c r="EX160" s="796" t="s">
        <v>757</v>
      </c>
      <c r="EY160" s="794">
        <v>0</v>
      </c>
      <c r="EZ160" s="794" t="e">
        <v>#N/A</v>
      </c>
      <c r="FA160" s="712"/>
      <c r="FB160" s="712"/>
      <c r="FC160" s="712"/>
      <c r="FD160" s="712"/>
      <c r="FE160" s="712">
        <f>O160+Sheet1!CO160</f>
        <v>4463.8999999999969</v>
      </c>
      <c r="FF160" s="712">
        <f>IF(Sheet1!AA160+AG160&lt;=Calculation!N160,AG160,Calculation!N160-Sheet1!AA160)</f>
        <v>12</v>
      </c>
      <c r="FG160" s="712">
        <f>(Sheet1!BP160+Sheet1!BO160)/694.4</f>
        <v>2.3798963133640552</v>
      </c>
      <c r="FH160" s="712"/>
      <c r="FI160" s="712"/>
      <c r="FJ160" s="712"/>
      <c r="FK160" s="712"/>
      <c r="FL160" s="714">
        <f t="shared" si="632"/>
        <v>40753</v>
      </c>
      <c r="FM160" s="714">
        <f t="shared" si="633"/>
        <v>40851</v>
      </c>
      <c r="FN160" s="712"/>
      <c r="FO160" s="712"/>
      <c r="FP160" s="712"/>
      <c r="FQ160" s="712"/>
      <c r="FR160" s="712"/>
      <c r="FS160" s="725">
        <f t="shared" si="634"/>
        <v>40603</v>
      </c>
      <c r="FT160" s="714">
        <f t="shared" si="635"/>
        <v>40709</v>
      </c>
      <c r="FU160" s="712">
        <f t="shared" si="636"/>
        <v>6518.9048239895692</v>
      </c>
      <c r="FV160" s="714">
        <f t="shared" si="637"/>
        <v>40722</v>
      </c>
      <c r="FW160" s="712">
        <f t="shared" si="638"/>
        <v>3259.4524119947846</v>
      </c>
      <c r="FX160" s="725">
        <f t="shared" si="639"/>
        <v>40851</v>
      </c>
      <c r="FZ160" s="697">
        <f t="shared" si="616"/>
        <v>0</v>
      </c>
      <c r="GA160" s="712" t="str">
        <f t="shared" si="701"/>
        <v/>
      </c>
      <c r="GB160" s="712">
        <f t="shared" si="702"/>
        <v>0</v>
      </c>
      <c r="GC160" s="712" t="str">
        <f t="shared" si="703"/>
        <v/>
      </c>
      <c r="GD160" s="712">
        <f>IF(GA160="P",Lookup!$M$12,IF(GA160="PP",Lookup!$M$13,IF(GA160="PPP",Lookup!$M$14,IF(GA160="T",Lookup!$M$15,IF(GA160="TP",Lookup!$M$16,IF(GA160="TPP",Lookup!$M$17,IF(GA160="TPPP",Lookup!$M$18,0)))))))*FZ160</f>
        <v>0</v>
      </c>
      <c r="GE160" s="712">
        <f t="shared" si="704"/>
        <v>0</v>
      </c>
      <c r="GF160" s="712">
        <f t="shared" si="705"/>
        <v>7188.9376000000047</v>
      </c>
      <c r="GG160" s="712">
        <f t="shared" si="706"/>
        <v>2343.2000000000016</v>
      </c>
      <c r="GH160" s="712"/>
      <c r="GI160" s="712">
        <f t="shared" si="707"/>
        <v>0</v>
      </c>
      <c r="GJ160" s="712" t="str">
        <f t="shared" si="708"/>
        <v/>
      </c>
      <c r="GK160" s="712">
        <f>IF(GA160="P",Lookup!$N$12,IF(GA160="PP",Lookup!$N$13,IF(GA160="PPP",Lookup!$N$14,IF(GA160="T",Lookup!$N$15,IF(GA160="TP",Lookup!$N$16,IF(GA160="TPP",Lookup!$N$17,IF(GA160="TPPP",Lookup!$N$18,0)))))))*FZ160</f>
        <v>0</v>
      </c>
      <c r="GL160" s="712">
        <f t="shared" si="709"/>
        <v>0</v>
      </c>
      <c r="GM160" s="712">
        <f t="shared" si="710"/>
        <v>3354.8375466666639</v>
      </c>
      <c r="GN160" s="712">
        <f t="shared" si="711"/>
        <v>1093.4933333333324</v>
      </c>
      <c r="GO160" s="712"/>
      <c r="GP160" s="712">
        <f t="shared" si="712"/>
        <v>0</v>
      </c>
      <c r="GQ160" s="712" t="str">
        <f t="shared" si="713"/>
        <v/>
      </c>
      <c r="GR160" s="712">
        <f>IF(GA160="P",Lookup!$N$12,IF(GA160="PP",Lookup!$N$13,IF(GA160="PPP",Lookup!$N$14,IF(GA160="T",Lookup!$N$15,IF(GA160="TP",Lookup!$N$16,IF(GA160="TPP",Lookup!$N$17,IF(GA160="TPPP",Lookup!$N$18,0)))))))*FZ160</f>
        <v>0</v>
      </c>
      <c r="GS160" s="697">
        <f t="shared" si="628"/>
        <v>0</v>
      </c>
      <c r="GT160" s="712">
        <f t="shared" si="714"/>
        <v>2929.1420895559486</v>
      </c>
      <c r="GU160" s="712">
        <f t="shared" si="715"/>
        <v>954.73992488785802</v>
      </c>
      <c r="GV160" s="712"/>
      <c r="GW160" s="712">
        <f t="shared" si="716"/>
        <v>0</v>
      </c>
      <c r="GX160" s="712" t="str">
        <f t="shared" si="717"/>
        <v/>
      </c>
      <c r="GY160" s="712">
        <f>IF(GA160="P",Lookup!$N$12,IF(GA160="PP",Lookup!$N$13,IF(GA160="PPP",Lookup!$N$14,IF(GA160="T",Lookup!$N$15,IF(GA160="TP",Lookup!$N$16,IF(GA160="TPP",Lookup!$N$17,IF(GA160="TPPP",Lookup!$N$18,0)))))))*FZ160</f>
        <v>0</v>
      </c>
      <c r="GZ160" s="697">
        <f t="shared" si="629"/>
        <v>0</v>
      </c>
      <c r="HA160" s="712">
        <f t="shared" si="718"/>
        <v>2303.4179974574486</v>
      </c>
      <c r="HB160" s="712">
        <f t="shared" si="719"/>
        <v>750.78813476448784</v>
      </c>
      <c r="HC160" s="712"/>
    </row>
    <row r="161" spans="1:211">
      <c r="A161" s="773" t="s">
        <v>8</v>
      </c>
      <c r="B161" s="708">
        <v>40690</v>
      </c>
      <c r="C161" s="719">
        <v>0.5</v>
      </c>
      <c r="D161" s="675">
        <f t="shared" si="641"/>
        <v>300</v>
      </c>
      <c r="E161" s="675">
        <f t="shared" si="642"/>
        <v>250</v>
      </c>
      <c r="F161" s="675">
        <v>250</v>
      </c>
      <c r="G161" s="712">
        <f>DH161+Sheet1!CV161</f>
        <v>1751.3136661625022</v>
      </c>
      <c r="H161" s="712">
        <f t="shared" si="643"/>
        <v>865.08595380744134</v>
      </c>
      <c r="I161" s="711">
        <f>MAX(Sheet1!Z161-AJ161+(Sheet1!CW161-E161)*CFStoMGD,0)</f>
        <v>1333.9878192252497</v>
      </c>
      <c r="J161" s="720">
        <f>IF(AND(B161&gt;=Calculation!FS161,B161&lt;=Calculation!FT161),IF(Sheet1!CX161&gt;=Calculation!D161,64.64,0),MAX(Sheet1!Z161-AJ161+(Sheet1!CX161-D161)*CFStoMGD,0))</f>
        <v>64.64</v>
      </c>
      <c r="K161" s="697">
        <f t="shared" si="644"/>
        <v>64.64</v>
      </c>
      <c r="L161" s="712">
        <f>Sheet1!AA161+Sheet1!AB161-Sheet1!L161+(Sheet1!CW161-F161)*CFStoMGD</f>
        <v>1342.1900000000028</v>
      </c>
      <c r="M161" s="712">
        <f t="shared" si="645"/>
        <v>1154.6901368835902</v>
      </c>
      <c r="N161" s="712">
        <f>IF(Sheet1!CW161&gt;=F161,MIN(73,MIN(MAX(L161,0),MAX(M161,0))),0)</f>
        <v>73</v>
      </c>
      <c r="O161" s="721">
        <f>Sheet1!AA161+Sheet1!AB161</f>
        <v>49.370000000002619</v>
      </c>
      <c r="P161" s="721">
        <f t="shared" si="646"/>
        <v>76.375390000004046</v>
      </c>
      <c r="Q161" s="712">
        <f>MIN(N161,Sheet1!AA161+AG161)</f>
        <v>48.812180774751482</v>
      </c>
      <c r="R161" s="712">
        <f t="shared" si="647"/>
        <v>0.55781922525113237</v>
      </c>
      <c r="S161" s="721">
        <f>Sheet1!Y161*MGDtoCFS</f>
        <v>53.680900000000001</v>
      </c>
      <c r="T161" s="721">
        <f>Sheet1!Z161*MGDtoCFS</f>
        <v>17.9452</v>
      </c>
      <c r="U161" s="721">
        <f>Sheet1!AA161*MGDtoCFS</f>
        <v>54.098590000001799</v>
      </c>
      <c r="V161" s="721">
        <f>Sheet1!AB161*MGDtoCFS</f>
        <v>22.27680000000225</v>
      </c>
      <c r="W161" s="721">
        <f>Sheet1!L161*MGDtoCFS</f>
        <v>67.155269999999774</v>
      </c>
      <c r="X161" s="697">
        <f t="shared" si="648"/>
        <v>0</v>
      </c>
      <c r="Y161" s="712">
        <f t="shared" si="649"/>
        <v>0</v>
      </c>
      <c r="Z161" s="712">
        <f t="shared" si="650"/>
        <v>64.082180774748863</v>
      </c>
      <c r="AA161" s="712">
        <f t="shared" si="651"/>
        <v>99.135133658536489</v>
      </c>
      <c r="AB161" s="712">
        <f>(VLOOKUP(Sheet1!CY161,hhdcap_wcm,4)-(((VLOOKUP(Sheet1!CY161,hhdcap_wcm,3)-Sheet1!CY161)/(VLOOKUP(Sheet1!CY161,hhdcap_wcm,3)-VLOOKUP(Sheet1!CY161,hhdcap_wcm,1)))*(VLOOKUP(Sheet1!CY161,hhdcap_wcm,4)-VLOOKUP(Sheet1!CY161,hhdcap_wcm,2))))</f>
        <v>44527.400000106558</v>
      </c>
      <c r="AC161" s="712">
        <f t="shared" si="652"/>
        <v>395.90000000024156</v>
      </c>
      <c r="AD161" s="712">
        <f t="shared" si="653"/>
        <v>5206.3035737604287</v>
      </c>
      <c r="AE161" s="712">
        <f t="shared" si="654"/>
        <v>15972.939364296995</v>
      </c>
      <c r="AF161" s="712">
        <f>Sheet1!BA161+Sheet1!BB161+Sheet1!BN161+BT161</f>
        <v>13.4</v>
      </c>
      <c r="AG161" s="712">
        <f t="shared" si="655"/>
        <v>13.842180774750322</v>
      </c>
      <c r="AH161" s="712">
        <f>Sheet1!BA161+BT161</f>
        <v>0</v>
      </c>
      <c r="AI161" s="712">
        <f>Sheet1!BA161+Sheet1!BB161+BT161</f>
        <v>0</v>
      </c>
      <c r="AJ161" s="712">
        <f>IF((Sheet1!AA161+AG161+AX161+AZ161+BQ161+BS161+CL161+CN161)&lt;=N161,AG161+AX161+AZ161+BQ161+BS161+CL161+CN161,N161-Sheet1!AA161)</f>
        <v>13.842180774750322</v>
      </c>
      <c r="AK161" s="712">
        <f>IF(DR161&lt;K161,0,MAX(Sheet1!AA161+AG161-15/36*K161-N161,Sheet1!ED161,0))</f>
        <v>0</v>
      </c>
      <c r="AL161" s="712">
        <f>IF(OR(B161&gt;=FT161,B161&lt;FS161),0,15/36*K161-MAX(0,64.6-(137.6-(Sheet1!AA161+Sheet1!AB161))))</f>
        <v>26.933333333333334</v>
      </c>
      <c r="AM161" s="712">
        <f>Sheet1!CX161-110</f>
        <v>1467.0833333333333</v>
      </c>
      <c r="AN161" s="712">
        <f>Sheet1!CW161-265</f>
        <v>2052.1875</v>
      </c>
      <c r="AO161" s="712">
        <f t="shared" si="622"/>
        <v>24.187819225248518</v>
      </c>
      <c r="AP161" s="712">
        <f t="shared" si="656"/>
        <v>0</v>
      </c>
      <c r="AQ161" s="712">
        <f t="shared" si="657"/>
        <v>0</v>
      </c>
      <c r="AR161" s="712">
        <f t="shared" si="658"/>
        <v>2370.133333333335</v>
      </c>
      <c r="AS161" s="712"/>
      <c r="AT161" s="712">
        <f ca="1">IF(B161&gt;Summary!$A$1,#N/A,AR161*MGtoAF)</f>
        <v>7271.5690666666724</v>
      </c>
      <c r="AU161" s="712">
        <f>Sheet1!BG161+Sheet1!BH161+Sheet1!BI161-BC161</f>
        <v>0</v>
      </c>
      <c r="AV161" s="712">
        <f t="shared" si="659"/>
        <v>0</v>
      </c>
      <c r="AW161" s="712">
        <f>IF(Sheet1!EL161="FM",BC161,0)</f>
        <v>0</v>
      </c>
      <c r="AX161" s="712">
        <f t="shared" si="660"/>
        <v>0</v>
      </c>
      <c r="AY161" s="712">
        <f>IF(Sheet1!EL161="OTHER",BC161,0)</f>
        <v>0</v>
      </c>
      <c r="AZ161" s="712">
        <f t="shared" si="661"/>
        <v>0</v>
      </c>
      <c r="BA161" s="712">
        <f t="shared" si="662"/>
        <v>0</v>
      </c>
      <c r="BB161" s="712">
        <f t="shared" si="663"/>
        <v>0</v>
      </c>
      <c r="BC161" s="712">
        <f>IF(OR(Sheet1!EL161="FM", Sheet1!EL161="OTHER"),SUM(Sheet1!BG161:'Sheet1'!BI161),0)</f>
        <v>0</v>
      </c>
      <c r="BD161" s="697">
        <f>IF(AND($B161&gt;=$FL161,$B161&lt;=$FM161),MAX(AV161,Sheet1!EE161,0),MAX(AV161-(7/36)*$K161,0))</f>
        <v>0</v>
      </c>
      <c r="BE161" s="712">
        <f t="shared" si="664"/>
        <v>12.568888888888889</v>
      </c>
      <c r="BF161" s="697">
        <f t="shared" si="665"/>
        <v>0</v>
      </c>
      <c r="BG161" s="697">
        <f>IF(AND($O161&gt;0,Sheet1!EI161=1),(1-($O161-Sheet1!$L161)/$O161)*BB161,0)</f>
        <v>0</v>
      </c>
      <c r="BH161" s="697">
        <f>IF(AND(Sheet1!$L161=0,Sheet1!$L160=0, Calculation!BA161&lt;Sheet1!$EE161-0.1,Sheet1!$EE161=Sheet1!$EE160,Sheet1!$EE161=Sheet1!$EE162),Sheet1!$EE161,BB161-BG161)</f>
        <v>0</v>
      </c>
      <c r="BI161" s="712"/>
      <c r="BJ161" s="712"/>
      <c r="BK161" s="712">
        <f t="shared" si="666"/>
        <v>1106.0622222222214</v>
      </c>
      <c r="BL161" s="712"/>
      <c r="BM161" s="712">
        <f ca="1">IF(B161&gt;Summary!$A$1,#N/A,BK161*MGtoAF)</f>
        <v>3393.3988977777753</v>
      </c>
      <c r="BN161" s="712">
        <f>Sheet1!BC161+Sheet1!BD161+Sheet1!BE161+Sheet1!BF161-BW161-BX161</f>
        <v>0.54</v>
      </c>
      <c r="BO161" s="712">
        <f t="shared" si="667"/>
        <v>0.55781922525113237</v>
      </c>
      <c r="BP161" s="712">
        <f>IF(Sheet1!EM161="FM",BX161,0)</f>
        <v>0</v>
      </c>
      <c r="BQ161" s="712">
        <f t="shared" si="668"/>
        <v>0</v>
      </c>
      <c r="BR161" s="712">
        <f>IF(Sheet1!EM161="OTHER",BX161,0)</f>
        <v>0</v>
      </c>
      <c r="BS161" s="712">
        <f t="shared" si="669"/>
        <v>0</v>
      </c>
      <c r="BT161" s="712">
        <f t="shared" si="670"/>
        <v>0</v>
      </c>
      <c r="BU161" s="712">
        <f t="shared" si="671"/>
        <v>0.54</v>
      </c>
      <c r="BV161" s="712">
        <f t="shared" si="672"/>
        <v>0.55781922525113237</v>
      </c>
      <c r="BW161" s="712">
        <f>IF(Sheet1!EM161="CWA",SUM(Sheet1!BC161:'Sheet1'!BF161),0)</f>
        <v>0</v>
      </c>
      <c r="BX161" s="712">
        <f>IF(OR(Sheet1!EM161="FM", Sheet1!EM161="OTHER"),SUM(Sheet1!BC161:'Sheet1'!BF161),0)</f>
        <v>0</v>
      </c>
      <c r="BY161" s="697">
        <f>IF(AND($B161&gt;=$FL161,$B161&lt;=$FM161),MAX(BV161,Sheet1!EF161,0),MAX(BV161-(7/36)*$K161,0))</f>
        <v>0</v>
      </c>
      <c r="BZ161" s="712">
        <f t="shared" si="673"/>
        <v>12.011069663637757</v>
      </c>
      <c r="CA161" s="697">
        <f t="shared" si="674"/>
        <v>0.55781922525113237</v>
      </c>
      <c r="CB161" s="697">
        <f>IF(AND($O161&gt;0,Sheet1!EJ161=1),(1-($O161-Sheet1!$L161)/$O161)*BV161,0)</f>
        <v>0.4904786827658556</v>
      </c>
      <c r="CC161" s="697">
        <f>IF(AND(Sheet1!$L161=0,Sheet1!$L160=0, Calculation!BU161&lt;Sheet1!EF161-0.1,Sheet1!EF161=Sheet1!EF160,Sheet1!EF161=Sheet1!EF162),Sheet1!EF161,BV161-CB161)</f>
        <v>6.7340542485276766E-2</v>
      </c>
      <c r="CD161" s="697"/>
      <c r="CE161" s="712"/>
      <c r="CF161" s="712">
        <f t="shared" si="675"/>
        <v>966.75099455149575</v>
      </c>
      <c r="CG161" s="712"/>
      <c r="CH161" s="712">
        <f ca="1">IF(B161&gt;Summary!$A$1,#N/A,CF161*MGtoAF)</f>
        <v>2965.992051283989</v>
      </c>
      <c r="CI161" s="712">
        <f>Sheet1!BK161+Sheet1!BL161+Sheet1!BM161-Sheet1!EN161-CQ161</f>
        <v>0</v>
      </c>
      <c r="CJ161" s="712">
        <f t="shared" si="676"/>
        <v>0</v>
      </c>
      <c r="CK161" s="712">
        <f>IF(Sheet1!EN161="FM",CQ161,0)</f>
        <v>0</v>
      </c>
      <c r="CL161" s="712">
        <f t="shared" si="677"/>
        <v>0</v>
      </c>
      <c r="CM161" s="712">
        <f>IF(Sheet1!EN161="OTHER",CQ161,0)</f>
        <v>0</v>
      </c>
      <c r="CN161" s="712">
        <f t="shared" si="678"/>
        <v>0</v>
      </c>
      <c r="CO161" s="712">
        <f t="shared" si="679"/>
        <v>0</v>
      </c>
      <c r="CP161" s="712">
        <f t="shared" si="680"/>
        <v>0</v>
      </c>
      <c r="CQ161" s="712">
        <f>IF(OR(Sheet1!EN161="FM", Sheet1!EN161="OTHER"),SUM(Sheet1!BK161:'Sheet1'!BM161),0)</f>
        <v>0</v>
      </c>
      <c r="CR161" s="697">
        <f>IF(AND($B161&gt;=$FL161,$B161&lt;=$FM161),MAX($CJ161,Sheet1!EG161,0),MAX($CJ161-(7/36)*$K161,0))</f>
        <v>0</v>
      </c>
      <c r="CS161" s="712">
        <f t="shared" si="681"/>
        <v>12.568888888888889</v>
      </c>
      <c r="CT161" s="697">
        <f t="shared" si="682"/>
        <v>0</v>
      </c>
      <c r="CU161" s="697">
        <f>IF(AND($O161&gt;0,Sheet1!EK161=1),(1-($O161-Sheet1!$L161)/$O161)*CP161,0)</f>
        <v>0</v>
      </c>
      <c r="CV161" s="697">
        <f>IF(AND(Sheet1!$L161=0,Sheet1!$L160=0, Calculation!CO161&lt;Sheet1!$EG161-0.1,Sheet1!$EG161=Sheet1!$EG160,Sheet1!$EG161=Sheet1!$EG162),Sheet1!$EG161,CP161-CU161)</f>
        <v>0</v>
      </c>
      <c r="CW161" s="697">
        <f t="shared" si="613"/>
        <v>0</v>
      </c>
      <c r="CX161" s="712">
        <f t="shared" si="683"/>
        <v>0.54</v>
      </c>
      <c r="CY161" s="712">
        <f t="shared" si="684"/>
        <v>763.3570236533767</v>
      </c>
      <c r="CZ161" s="712">
        <f t="shared" si="685"/>
        <v>0.55781922525113237</v>
      </c>
      <c r="DA161" s="712">
        <f ca="1">IF(B161&gt;Summary!$A$1,#N/A,CY161*MGtoAF)</f>
        <v>2341.9793485685595</v>
      </c>
      <c r="DB161" s="712">
        <f t="shared" si="686"/>
        <v>0.54</v>
      </c>
      <c r="DC161" s="712">
        <f t="shared" si="687"/>
        <v>13.940000000000001</v>
      </c>
      <c r="DD161" s="712">
        <f>Sheet1!AB161-DC161</f>
        <v>0.46000000000145391</v>
      </c>
      <c r="DE161" s="712">
        <f t="shared" si="688"/>
        <v>3.2998565279874742E-2</v>
      </c>
      <c r="DF161" s="712">
        <f>(VLOOKUP(Sheet1!CY161,hhdcap_wcm,4)-(((VLOOKUP(Sheet1!CY161,hhdcap_wcm,3)-Sheet1!CY161)/(VLOOKUP(Sheet1!CY161,hhdcap_wcm,3)-VLOOKUP(Sheet1!CY161,hhdcap_wcm,1)))*(VLOOKUP(Sheet1!CY161,hhdcap_wcm,4)-VLOOKUP(Sheet1!CY161,hhdcap_wcm,2))))</f>
        <v>44527.400000106558</v>
      </c>
      <c r="DG161" s="712">
        <f t="shared" si="689"/>
        <v>395.90000000024156</v>
      </c>
      <c r="DH161" s="712">
        <f t="shared" si="690"/>
        <v>199.64699949583536</v>
      </c>
      <c r="DI161" s="712">
        <f>Sheet1!DW161*AFtoMG</f>
        <v>0</v>
      </c>
      <c r="DJ161" s="712">
        <f>Sheet1!DX161*AFtoMG</f>
        <v>0</v>
      </c>
      <c r="DK161" s="712">
        <f>Sheet1!DY161*AFtoMG</f>
        <v>0</v>
      </c>
      <c r="DL161" s="712">
        <f>Sheet1!DZ161*AFtoMG</f>
        <v>0</v>
      </c>
      <c r="DM161" s="712">
        <f t="shared" si="691"/>
        <v>0</v>
      </c>
      <c r="DN161" s="712">
        <f t="shared" si="692"/>
        <v>0</v>
      </c>
      <c r="DO161" s="712">
        <f t="shared" si="693"/>
        <v>5206.3035737604287</v>
      </c>
      <c r="DP161" s="712">
        <f t="shared" si="694"/>
        <v>15972.939364296995</v>
      </c>
      <c r="DQ161" s="712"/>
      <c r="DR161" s="697">
        <f>IF(OR(B161&lt;FL161,B161&gt;FM161),(MIN(AV161+BO161+CJ161+MAX(Sheet1!AA161+AG161-73,0),K161)),0)</f>
        <v>0.55781922525113237</v>
      </c>
      <c r="DS161" s="712"/>
      <c r="DT161" s="712">
        <f t="shared" si="695"/>
        <v>0.55781922525113237</v>
      </c>
      <c r="DU161" s="712"/>
      <c r="DV161" s="712">
        <f>Sheet1!ED161+Sheet1!EE161+Sheet1!EF161+Sheet1!EG161</f>
        <v>8.5</v>
      </c>
      <c r="DW161" s="712"/>
      <c r="DX161" s="697">
        <f t="shared" si="696"/>
        <v>0</v>
      </c>
      <c r="DY161" s="712">
        <f>IF(Sheet1!FN161=1,SUM('Calculations II'!AT161:BA161)+'Calculations II'!BC161+Sheet1!BU161+'Calculations II'!BE161+AF161,SUM('Calculations II'!AT161:BA161)+'Calculations II'!BC161+Sheet1!BU161+'Calculations II'!BE161+AF161)</f>
        <v>45.550975999999999</v>
      </c>
      <c r="DZ161" s="712">
        <f>Sheet1!AA161+Sheet1!AB161+'Calculations II'!BC161</f>
        <v>58.138880000002622</v>
      </c>
      <c r="EA161" s="712"/>
      <c r="EB161" s="712"/>
      <c r="EC161" s="712">
        <f t="shared" si="697"/>
        <v>40690</v>
      </c>
      <c r="ED161" s="712">
        <f t="shared" si="698"/>
        <v>64.082180774748863</v>
      </c>
      <c r="EE161" s="712">
        <f t="shared" si="699"/>
        <v>99.135133658536489</v>
      </c>
      <c r="EF161" s="712">
        <f>-(VLOOKUP(Sheet1!BQ161,Lookup!$B$4:$J$236,2)-VLOOKUP(Sheet1!BQ160,Lookup!$B$4:$J$236,2))/1000000</f>
        <v>-5.5365000000000002</v>
      </c>
      <c r="EG161" s="712">
        <f>-(VLOOKUP(Sheet1!BR161,Lookup!$B$4:$J$236,3)-VLOOKUP(Sheet1!BR160,Lookup!$B$4:$J$236,3))/1000000</f>
        <v>-4.8259999999999996</v>
      </c>
      <c r="EH161" s="712">
        <f>-(VLOOKUP(Sheet1!BS161,Lookup!$B$4:$J$236,4)-VLOOKUP(Sheet1!BS160,Lookup!$B$4:$J$236,4))/1000000</f>
        <v>0</v>
      </c>
      <c r="EI161" s="697">
        <f t="shared" si="700"/>
        <v>-10.362500000000001</v>
      </c>
      <c r="EJ161" s="712"/>
      <c r="EK161" s="712"/>
      <c r="EL161" s="712"/>
      <c r="EM161" s="712"/>
      <c r="EN161" s="712"/>
      <c r="EO161" s="712"/>
      <c r="EP161" s="712"/>
      <c r="EQ161" s="712"/>
      <c r="ES161" s="712"/>
      <c r="ET161" s="794" t="e">
        <f t="shared" si="437"/>
        <v>#N/A</v>
      </c>
      <c r="EU161" s="697">
        <v>5000</v>
      </c>
      <c r="EV161" s="795">
        <f t="shared" si="640"/>
        <v>22334.460635809563</v>
      </c>
      <c r="EW161" s="796" t="s">
        <v>757</v>
      </c>
      <c r="EX161" s="796" t="s">
        <v>757</v>
      </c>
      <c r="EY161" s="794">
        <v>0</v>
      </c>
      <c r="EZ161" s="794" t="e">
        <v>#N/A</v>
      </c>
      <c r="FA161" s="712"/>
      <c r="FB161" s="712"/>
      <c r="FC161" s="712"/>
      <c r="FD161" s="712"/>
      <c r="FE161" s="712">
        <f>O161+Sheet1!CO161</f>
        <v>6138.8700000000026</v>
      </c>
      <c r="FF161" s="712">
        <f>IF(Sheet1!AA161+AG161&lt;=Calculation!N161,AG161,Calculation!N161-Sheet1!AA161)</f>
        <v>13.842180774750322</v>
      </c>
      <c r="FG161" s="712">
        <f>(Sheet1!BP161+Sheet1!BO161)/694.4</f>
        <v>1.4182027649769584</v>
      </c>
      <c r="FH161" s="712"/>
      <c r="FI161" s="712"/>
      <c r="FJ161" s="712"/>
      <c r="FK161" s="712"/>
      <c r="FL161" s="714">
        <f t="shared" si="632"/>
        <v>40753</v>
      </c>
      <c r="FM161" s="714">
        <f t="shared" si="633"/>
        <v>40851</v>
      </c>
      <c r="FN161" s="712"/>
      <c r="FO161" s="712"/>
      <c r="FP161" s="712"/>
      <c r="FQ161" s="712"/>
      <c r="FR161" s="712"/>
      <c r="FS161" s="725">
        <f t="shared" si="634"/>
        <v>40603</v>
      </c>
      <c r="FT161" s="714">
        <f t="shared" si="635"/>
        <v>40709</v>
      </c>
      <c r="FU161" s="712">
        <f t="shared" si="636"/>
        <v>6518.9048239895692</v>
      </c>
      <c r="FV161" s="714">
        <f t="shared" si="637"/>
        <v>40722</v>
      </c>
      <c r="FW161" s="712">
        <f t="shared" si="638"/>
        <v>3259.4524119947846</v>
      </c>
      <c r="FX161" s="725">
        <f t="shared" si="639"/>
        <v>40851</v>
      </c>
      <c r="FZ161" s="697">
        <f t="shared" si="616"/>
        <v>0</v>
      </c>
      <c r="GA161" s="712" t="str">
        <f t="shared" si="701"/>
        <v/>
      </c>
      <c r="GB161" s="712">
        <f t="shared" si="702"/>
        <v>0</v>
      </c>
      <c r="GC161" s="712" t="str">
        <f t="shared" si="703"/>
        <v/>
      </c>
      <c r="GD161" s="712">
        <f>IF(GA161="P",Lookup!$M$12,IF(GA161="PP",Lookup!$M$13,IF(GA161="PPP",Lookup!$M$14,IF(GA161="T",Lookup!$M$15,IF(GA161="TP",Lookup!$M$16,IF(GA161="TPP",Lookup!$M$17,IF(GA161="TPPP",Lookup!$M$18,0)))))))*FZ161</f>
        <v>0</v>
      </c>
      <c r="GE161" s="712">
        <f t="shared" si="704"/>
        <v>0</v>
      </c>
      <c r="GF161" s="712">
        <f t="shared" si="705"/>
        <v>7271.5690666666724</v>
      </c>
      <c r="GG161" s="712">
        <f t="shared" si="706"/>
        <v>2370.133333333335</v>
      </c>
      <c r="GH161" s="712"/>
      <c r="GI161" s="712">
        <f t="shared" si="707"/>
        <v>0</v>
      </c>
      <c r="GJ161" s="712" t="str">
        <f t="shared" si="708"/>
        <v/>
      </c>
      <c r="GK161" s="712">
        <f>IF(GA161="P",Lookup!$N$12,IF(GA161="PP",Lookup!$N$13,IF(GA161="PPP",Lookup!$N$14,IF(GA161="T",Lookup!$N$15,IF(GA161="TP",Lookup!$N$16,IF(GA161="TPP",Lookup!$N$17,IF(GA161="TPPP",Lookup!$N$18,0)))))))*FZ161</f>
        <v>0</v>
      </c>
      <c r="GL161" s="712">
        <f t="shared" si="709"/>
        <v>0</v>
      </c>
      <c r="GM161" s="712">
        <f t="shared" si="710"/>
        <v>3393.3988977777753</v>
      </c>
      <c r="GN161" s="712">
        <f t="shared" si="711"/>
        <v>1106.0622222222214</v>
      </c>
      <c r="GO161" s="712"/>
      <c r="GP161" s="712">
        <f t="shared" si="712"/>
        <v>0</v>
      </c>
      <c r="GQ161" s="712" t="str">
        <f t="shared" si="713"/>
        <v/>
      </c>
      <c r="GR161" s="712">
        <f>IF(GA161="P",Lookup!$N$12,IF(GA161="PP",Lookup!$N$13,IF(GA161="PPP",Lookup!$N$14,IF(GA161="T",Lookup!$N$15,IF(GA161="TP",Lookup!$N$16,IF(GA161="TPP",Lookup!$N$17,IF(GA161="TPPP",Lookup!$N$18,0)))))))*FZ161</f>
        <v>0</v>
      </c>
      <c r="GS161" s="697">
        <f t="shared" si="628"/>
        <v>0</v>
      </c>
      <c r="GT161" s="712">
        <f t="shared" si="714"/>
        <v>2965.992051283989</v>
      </c>
      <c r="GU161" s="712">
        <f t="shared" si="715"/>
        <v>966.75099455149575</v>
      </c>
      <c r="GV161" s="712"/>
      <c r="GW161" s="712">
        <f t="shared" si="716"/>
        <v>0</v>
      </c>
      <c r="GX161" s="712" t="str">
        <f t="shared" si="717"/>
        <v/>
      </c>
      <c r="GY161" s="712">
        <f>IF(GA161="P",Lookup!$N$12,IF(GA161="PP",Lookup!$N$13,IF(GA161="PPP",Lookup!$N$14,IF(GA161="T",Lookup!$N$15,IF(GA161="TP",Lookup!$N$16,IF(GA161="TPP",Lookup!$N$17,IF(GA161="TPPP",Lookup!$N$18,0)))))))*FZ161</f>
        <v>0</v>
      </c>
      <c r="GZ161" s="697">
        <f t="shared" si="629"/>
        <v>0</v>
      </c>
      <c r="HA161" s="712">
        <f t="shared" si="718"/>
        <v>2341.9793485685595</v>
      </c>
      <c r="HB161" s="712">
        <f t="shared" si="719"/>
        <v>763.3570236533767</v>
      </c>
      <c r="HC161" s="712"/>
    </row>
    <row r="162" spans="1:211">
      <c r="A162" s="773" t="s">
        <v>9</v>
      </c>
      <c r="B162" s="708">
        <v>40691</v>
      </c>
      <c r="C162" s="709">
        <v>0.5</v>
      </c>
      <c r="D162" s="675">
        <f t="shared" si="641"/>
        <v>300</v>
      </c>
      <c r="E162" s="675">
        <f t="shared" si="642"/>
        <v>250</v>
      </c>
      <c r="F162" s="675">
        <v>250</v>
      </c>
      <c r="G162" s="712">
        <f>DH162+Sheet1!CV162</f>
        <v>1605.688350983605</v>
      </c>
      <c r="H162" s="712">
        <f t="shared" si="643"/>
        <v>770.95375007580219</v>
      </c>
      <c r="I162" s="711">
        <f>MAX(Sheet1!Z162-AJ162+(Sheet1!CW162-E162)*CFStoMGD,0)</f>
        <v>1227.5427937569648</v>
      </c>
      <c r="J162" s="720">
        <f>IF(AND(B162&gt;=Calculation!FS162,B162&lt;=Calculation!FT162),IF(Sheet1!CX162&gt;=Calculation!D162,64.64,0),MAX(Sheet1!Z162-AJ162+(Sheet1!CX162-D162)*CFStoMGD,0))</f>
        <v>64.64</v>
      </c>
      <c r="K162" s="697">
        <f t="shared" si="644"/>
        <v>64.64</v>
      </c>
      <c r="L162" s="712">
        <f>Sheet1!AA162+Sheet1!AB162-Sheet1!L162+(Sheet1!CW162-F162)*CFStoMGD</f>
        <v>1245.1346666666598</v>
      </c>
      <c r="M162" s="712">
        <f t="shared" si="645"/>
        <v>1058.6752890773184</v>
      </c>
      <c r="N162" s="712">
        <f>IF(Sheet1!CW162&gt;=F162,MIN(73,MIN(MAX(L162,0),MAX(M162,0))),0)</f>
        <v>73</v>
      </c>
      <c r="O162" s="721">
        <f>Sheet1!AA162+Sheet1!AB162</f>
        <v>51.709999999991851</v>
      </c>
      <c r="P162" s="721">
        <f t="shared" si="646"/>
        <v>79.995369999987389</v>
      </c>
      <c r="Q162" s="712">
        <f>MIN(N162,Sheet1!AA162+AG162)</f>
        <v>51.471872909690809</v>
      </c>
      <c r="R162" s="712">
        <f t="shared" si="647"/>
        <v>0.23812709030104229</v>
      </c>
      <c r="S162" s="721">
        <f>Sheet1!Y162*MGDtoCFS</f>
        <v>53.758249999999997</v>
      </c>
      <c r="T162" s="721">
        <f>Sheet1!Z162*MGDtoCFS</f>
        <v>27.567539999999997</v>
      </c>
      <c r="U162" s="721">
        <f>Sheet1!AA162*MGDtoCFS</f>
        <v>52.458769999982891</v>
      </c>
      <c r="V162" s="721">
        <f>Sheet1!AB162*MGDtoCFS</f>
        <v>27.536600000004501</v>
      </c>
      <c r="W162" s="721">
        <f>Sheet1!L162*MGDtoCFS</f>
        <v>52.381419999998087</v>
      </c>
      <c r="X162" s="697">
        <f t="shared" si="648"/>
        <v>0</v>
      </c>
      <c r="Y162" s="712">
        <f t="shared" si="649"/>
        <v>0</v>
      </c>
      <c r="Z162" s="712">
        <f t="shared" si="650"/>
        <v>64.401872909698952</v>
      </c>
      <c r="AA162" s="712">
        <f t="shared" si="651"/>
        <v>99.629697391304276</v>
      </c>
      <c r="AB162" s="712">
        <f>(VLOOKUP(Sheet1!CY162,hhdcap_wcm,4)-(((VLOOKUP(Sheet1!CY162,hhdcap_wcm,3)-Sheet1!CY162)/(VLOOKUP(Sheet1!CY162,hhdcap_wcm,3)-VLOOKUP(Sheet1!CY162,hhdcap_wcm,1)))*(VLOOKUP(Sheet1!CY162,hhdcap_wcm,4)-VLOOKUP(Sheet1!CY162,hhdcap_wcm,2))))</f>
        <v>44816.300000107047</v>
      </c>
      <c r="AC162" s="712">
        <f t="shared" si="652"/>
        <v>288.90000000048894</v>
      </c>
      <c r="AD162" s="712">
        <f t="shared" si="653"/>
        <v>5270.7054466701284</v>
      </c>
      <c r="AE162" s="712">
        <f t="shared" si="654"/>
        <v>16170.524310383955</v>
      </c>
      <c r="AF162" s="712">
        <f>Sheet1!BA162+Sheet1!BB162+Sheet1!BN162+BT162</f>
        <v>17.7</v>
      </c>
      <c r="AG162" s="712">
        <f t="shared" si="655"/>
        <v>17.561872909701869</v>
      </c>
      <c r="AH162" s="712">
        <f>Sheet1!BA162+BT162</f>
        <v>0</v>
      </c>
      <c r="AI162" s="712">
        <f>Sheet1!BA162+Sheet1!BB162+BT162</f>
        <v>0</v>
      </c>
      <c r="AJ162" s="712">
        <f>IF((Sheet1!AA162+AG162+AX162+AZ162+BQ162+BS162+CL162+CN162)&lt;=N162,AG162+AX162+AZ162+BQ162+BS162+CL162+CN162,N162-Sheet1!AA162)</f>
        <v>17.561872909701869</v>
      </c>
      <c r="AK162" s="712">
        <f>IF(DR162&lt;K162,0,MAX(Sheet1!AA162+AG162-15/36*K162-N162,Sheet1!ED162,0))</f>
        <v>0</v>
      </c>
      <c r="AL162" s="712">
        <f>IF(OR(B162&gt;=FT162,B162&lt;FS162),0,15/36*K162-MAX(0,64.6-(137.6-(Sheet1!AA162+Sheet1!AB162))))</f>
        <v>26.933333333333334</v>
      </c>
      <c r="AM162" s="712">
        <f>Sheet1!CX162-110</f>
        <v>1343.75</v>
      </c>
      <c r="AN162" s="712">
        <f>Sheet1!CW162-265</f>
        <v>1883.6458333333335</v>
      </c>
      <c r="AO162" s="712">
        <f t="shared" si="622"/>
        <v>21.528127090309191</v>
      </c>
      <c r="AP162" s="712">
        <f t="shared" si="656"/>
        <v>0</v>
      </c>
      <c r="AQ162" s="712">
        <f t="shared" si="657"/>
        <v>0</v>
      </c>
      <c r="AR162" s="712">
        <f t="shared" si="658"/>
        <v>2397.0666666666684</v>
      </c>
      <c r="AS162" s="712"/>
      <c r="AT162" s="712">
        <f ca="1">IF(B162&gt;Summary!$A$1,#N/A,AR162*MGtoAF)</f>
        <v>7354.2005333333391</v>
      </c>
      <c r="AU162" s="712">
        <f>Sheet1!BG162+Sheet1!BH162+Sheet1!BI162-BC162</f>
        <v>0</v>
      </c>
      <c r="AV162" s="712">
        <f t="shared" si="659"/>
        <v>0</v>
      </c>
      <c r="AW162" s="712">
        <f>IF(Sheet1!EL162="FM",BC162,0)</f>
        <v>0</v>
      </c>
      <c r="AX162" s="712">
        <f t="shared" si="660"/>
        <v>0</v>
      </c>
      <c r="AY162" s="712">
        <f>IF(Sheet1!EL162="OTHER",BC162,0)</f>
        <v>0</v>
      </c>
      <c r="AZ162" s="712">
        <f t="shared" si="661"/>
        <v>0</v>
      </c>
      <c r="BA162" s="712">
        <f t="shared" si="662"/>
        <v>0</v>
      </c>
      <c r="BB162" s="712">
        <f t="shared" si="663"/>
        <v>0</v>
      </c>
      <c r="BC162" s="712">
        <f>IF(OR(Sheet1!EL162="FM", Sheet1!EL162="OTHER"),SUM(Sheet1!BG162:'Sheet1'!BI162),0)</f>
        <v>0</v>
      </c>
      <c r="BD162" s="697">
        <f>IF(AND($B162&gt;=$FL162,$B162&lt;=$FM162),MAX(AV162,Sheet1!EE162,0),MAX(AV162-(7/36)*$K162,0))</f>
        <v>0</v>
      </c>
      <c r="BE162" s="712">
        <f t="shared" si="664"/>
        <v>12.568888888888889</v>
      </c>
      <c r="BF162" s="697">
        <f t="shared" si="665"/>
        <v>0</v>
      </c>
      <c r="BG162" s="697">
        <f>IF(AND($O162&gt;0,Sheet1!EI162=1),(1-($O162-Sheet1!$L162)/$O162)*BB162,0)</f>
        <v>0</v>
      </c>
      <c r="BH162" s="697">
        <f>IF(AND(Sheet1!$L162=0,Sheet1!$L161=0, Calculation!BA162&lt;Sheet1!$EE162-0.1,Sheet1!$EE162=Sheet1!$EE161,Sheet1!$EE162=Sheet1!$EE163),Sheet1!$EE162,BB162-BG162)</f>
        <v>0</v>
      </c>
      <c r="BI162" s="712"/>
      <c r="BJ162" s="712"/>
      <c r="BK162" s="712">
        <f t="shared" si="666"/>
        <v>1118.6311111111104</v>
      </c>
      <c r="BL162" s="712"/>
      <c r="BM162" s="712">
        <f ca="1">IF(B162&gt;Summary!$A$1,#N/A,BK162*MGtoAF)</f>
        <v>3431.9602488888868</v>
      </c>
      <c r="BN162" s="712">
        <f>Sheet1!BC162+Sheet1!BD162+Sheet1!BE162+Sheet1!BF162-BW162-BX162</f>
        <v>0.24</v>
      </c>
      <c r="BO162" s="712">
        <f t="shared" si="667"/>
        <v>0.23812709030104229</v>
      </c>
      <c r="BP162" s="712">
        <f>IF(Sheet1!EM162="FM",BX162,0)</f>
        <v>0</v>
      </c>
      <c r="BQ162" s="712">
        <f t="shared" si="668"/>
        <v>0</v>
      </c>
      <c r="BR162" s="712">
        <f>IF(Sheet1!EM162="OTHER",BX162,0)</f>
        <v>0</v>
      </c>
      <c r="BS162" s="712">
        <f t="shared" si="669"/>
        <v>0</v>
      </c>
      <c r="BT162" s="712">
        <f t="shared" si="670"/>
        <v>0</v>
      </c>
      <c r="BU162" s="712">
        <f t="shared" si="671"/>
        <v>0.24</v>
      </c>
      <c r="BV162" s="712">
        <f t="shared" si="672"/>
        <v>0.23812709030104229</v>
      </c>
      <c r="BW162" s="712">
        <f>IF(Sheet1!EM162="CWA",SUM(Sheet1!BC162:'Sheet1'!BF162),0)</f>
        <v>0</v>
      </c>
      <c r="BX162" s="712">
        <f>IF(OR(Sheet1!EM162="FM", Sheet1!EM162="OTHER"),SUM(Sheet1!BC162:'Sheet1'!BF162),0)</f>
        <v>0</v>
      </c>
      <c r="BY162" s="697">
        <f>IF(AND($B162&gt;=$FL162,$B162&lt;=$FM162),MAX(BV162,Sheet1!EF162,0),MAX(BV162-(7/36)*$K162,0))</f>
        <v>0</v>
      </c>
      <c r="BZ162" s="712">
        <f t="shared" si="673"/>
        <v>12.330761798587847</v>
      </c>
      <c r="CA162" s="697">
        <f t="shared" si="674"/>
        <v>0.23812709030104229</v>
      </c>
      <c r="CB162" s="697">
        <f>IF(AND($O162&gt;0,Sheet1!EJ162=1),(1-($O162-Sheet1!$L162)/$O162)*BV162,0)</f>
        <v>0.15592696340348614</v>
      </c>
      <c r="CC162" s="697">
        <f>IF(AND(Sheet1!$L162=0,Sheet1!$L161=0, Calculation!BU162&lt;Sheet1!EF162-0.1,Sheet1!EF162=Sheet1!EF161,Sheet1!EF162=Sheet1!EF163),Sheet1!EF162,BV162-CB162)</f>
        <v>8.2200126897556153E-2</v>
      </c>
      <c r="CD162" s="697"/>
      <c r="CE162" s="712"/>
      <c r="CF162" s="712">
        <f t="shared" si="675"/>
        <v>979.08175635008365</v>
      </c>
      <c r="CG162" s="712"/>
      <c r="CH162" s="712">
        <f ca="1">IF(B162&gt;Summary!$A$1,#N/A,CF162*MGtoAF)</f>
        <v>3003.8228284820566</v>
      </c>
      <c r="CI162" s="712">
        <f>Sheet1!BK162+Sheet1!BL162+Sheet1!BM162-Sheet1!EN162-CQ162</f>
        <v>0</v>
      </c>
      <c r="CJ162" s="712">
        <f t="shared" si="676"/>
        <v>0</v>
      </c>
      <c r="CK162" s="712">
        <f>IF(Sheet1!EN162="FM",CQ162,0)</f>
        <v>0</v>
      </c>
      <c r="CL162" s="712">
        <f t="shared" si="677"/>
        <v>0</v>
      </c>
      <c r="CM162" s="712">
        <f>IF(Sheet1!EN162="OTHER",CQ162,0)</f>
        <v>0</v>
      </c>
      <c r="CN162" s="712">
        <f t="shared" si="678"/>
        <v>0</v>
      </c>
      <c r="CO162" s="712">
        <f t="shared" si="679"/>
        <v>0</v>
      </c>
      <c r="CP162" s="712">
        <f t="shared" si="680"/>
        <v>0</v>
      </c>
      <c r="CQ162" s="712">
        <f>IF(OR(Sheet1!EN162="FM", Sheet1!EN162="OTHER"),SUM(Sheet1!BK162:'Sheet1'!BM162),0)</f>
        <v>0</v>
      </c>
      <c r="CR162" s="697">
        <f>IF(AND($B162&gt;=$FL162,$B162&lt;=$FM162),MAX($CJ162,Sheet1!EG162,0),MAX($CJ162-(7/36)*$K162,0))</f>
        <v>0</v>
      </c>
      <c r="CS162" s="712">
        <f t="shared" si="681"/>
        <v>12.568888888888889</v>
      </c>
      <c r="CT162" s="697">
        <f t="shared" si="682"/>
        <v>0</v>
      </c>
      <c r="CU162" s="697">
        <f>IF(AND($O162&gt;0,Sheet1!EK162=1),(1-($O162-Sheet1!$L162)/$O162)*CP162,0)</f>
        <v>0</v>
      </c>
      <c r="CV162" s="697">
        <f>IF(AND(Sheet1!$L162=0,Sheet1!$L161=0, Calculation!CO162&lt;Sheet1!$EG162-0.1,Sheet1!$EG162=Sheet1!$EG161,Sheet1!$EG162=Sheet1!$EG163),Sheet1!$EG162,CP162-CU162)</f>
        <v>0</v>
      </c>
      <c r="CW162" s="697">
        <f t="shared" si="613"/>
        <v>0</v>
      </c>
      <c r="CX162" s="712">
        <f t="shared" si="683"/>
        <v>0.24</v>
      </c>
      <c r="CY162" s="712">
        <f t="shared" si="684"/>
        <v>775.92591254226556</v>
      </c>
      <c r="CZ162" s="712">
        <f t="shared" si="685"/>
        <v>0.23812709030104229</v>
      </c>
      <c r="DA162" s="712">
        <f ca="1">IF(B162&gt;Summary!$A$1,#N/A,CY162*MGtoAF)</f>
        <v>2380.540699679671</v>
      </c>
      <c r="DB162" s="712">
        <f t="shared" si="686"/>
        <v>0.24</v>
      </c>
      <c r="DC162" s="712">
        <f t="shared" si="687"/>
        <v>17.939999999999998</v>
      </c>
      <c r="DD162" s="712">
        <f>Sheet1!AB162-DC162</f>
        <v>-0.13999999999708734</v>
      </c>
      <c r="DE162" s="712">
        <f t="shared" si="688"/>
        <v>-7.8037904123237105E-3</v>
      </c>
      <c r="DF162" s="712">
        <f>(VLOOKUP(Sheet1!CY162,hhdcap_wcm,4)-(((VLOOKUP(Sheet1!CY162,hhdcap_wcm,3)-Sheet1!CY162)/(VLOOKUP(Sheet1!CY162,hhdcap_wcm,3)-VLOOKUP(Sheet1!CY162,hhdcap_wcm,1)))*(VLOOKUP(Sheet1!CY162,hhdcap_wcm,4)-VLOOKUP(Sheet1!CY162,hhdcap_wcm,2))))</f>
        <v>44816.300000107047</v>
      </c>
      <c r="DG162" s="712">
        <f t="shared" si="689"/>
        <v>288.90000000048894</v>
      </c>
      <c r="DH162" s="712">
        <f t="shared" si="690"/>
        <v>145.68835098360509</v>
      </c>
      <c r="DI162" s="712">
        <f>Sheet1!DW162*AFtoMG</f>
        <v>0</v>
      </c>
      <c r="DJ162" s="712">
        <f>Sheet1!DX162*AFtoMG</f>
        <v>0</v>
      </c>
      <c r="DK162" s="712">
        <f>Sheet1!DY162*AFtoMG</f>
        <v>0</v>
      </c>
      <c r="DL162" s="712">
        <f>Sheet1!DZ162*AFtoMG</f>
        <v>0</v>
      </c>
      <c r="DM162" s="712">
        <f t="shared" si="691"/>
        <v>0</v>
      </c>
      <c r="DN162" s="712">
        <f t="shared" si="692"/>
        <v>0</v>
      </c>
      <c r="DO162" s="712">
        <f t="shared" si="693"/>
        <v>5270.7054466701284</v>
      </c>
      <c r="DP162" s="712">
        <f t="shared" si="694"/>
        <v>16170.524310383955</v>
      </c>
      <c r="DQ162" s="712"/>
      <c r="DR162" s="697">
        <f>IF(OR(B162&lt;FL162,B162&gt;FM162),(MIN(AV162+BO162+CJ162+MAX(Sheet1!AA162+AG162-73,0),K162)),0)</f>
        <v>0.23812709030104229</v>
      </c>
      <c r="DS162" s="712"/>
      <c r="DT162" s="712">
        <f t="shared" si="695"/>
        <v>0.23812709030104229</v>
      </c>
      <c r="DU162" s="712"/>
      <c r="DV162" s="712">
        <f>Sheet1!ED162+Sheet1!EE162+Sheet1!EF162+Sheet1!EG162</f>
        <v>8.5</v>
      </c>
      <c r="DW162" s="712"/>
      <c r="DX162" s="697">
        <f t="shared" si="696"/>
        <v>0</v>
      </c>
      <c r="DY162" s="712">
        <f>IF(Sheet1!FN162=1,SUM('Calculations II'!AT162:BA162)+'Calculations II'!BC162+Sheet1!BU162+'Calculations II'!BE162+AF162,SUM('Calculations II'!AT162:BA162)+'Calculations II'!BC162+Sheet1!BU162+'Calculations II'!BE162+AF162)</f>
        <v>46.928752000000003</v>
      </c>
      <c r="DZ162" s="712">
        <f>Sheet1!AA162+Sheet1!AB162+'Calculations II'!BC162</f>
        <v>55.877359999991853</v>
      </c>
      <c r="EA162" s="712"/>
      <c r="EB162" s="712"/>
      <c r="EC162" s="712">
        <f t="shared" si="697"/>
        <v>40691</v>
      </c>
      <c r="ED162" s="712">
        <f t="shared" si="698"/>
        <v>64.401872909698952</v>
      </c>
      <c r="EE162" s="712">
        <f t="shared" si="699"/>
        <v>99.629697391304276</v>
      </c>
      <c r="EF162" s="712">
        <f>-(VLOOKUP(Sheet1!BQ162,Lookup!$B$4:$J$236,2)-VLOOKUP(Sheet1!BQ161,Lookup!$B$4:$J$236,2))/1000000</f>
        <v>-8.0655000000000001</v>
      </c>
      <c r="EG162" s="712">
        <f>-(VLOOKUP(Sheet1!BR162,Lookup!$B$4:$J$236,3)-VLOOKUP(Sheet1!BR161,Lookup!$B$4:$J$236,3))/1000000</f>
        <v>2.16</v>
      </c>
      <c r="EH162" s="712">
        <f>-(VLOOKUP(Sheet1!BS162,Lookup!$B$4:$J$236,4)-VLOOKUP(Sheet1!BS161,Lookup!$B$4:$J$236,4))/1000000</f>
        <v>0</v>
      </c>
      <c r="EI162" s="697">
        <f t="shared" si="700"/>
        <v>-5.9055</v>
      </c>
      <c r="EJ162" s="712"/>
      <c r="EK162" s="712"/>
      <c r="EL162" s="712"/>
      <c r="EM162" s="712"/>
      <c r="EN162" s="712"/>
      <c r="EO162" s="712"/>
      <c r="EP162" s="712"/>
      <c r="EQ162" s="712"/>
      <c r="ES162" s="712"/>
      <c r="ET162" s="794" t="e">
        <f t="shared" si="437"/>
        <v>#N/A</v>
      </c>
      <c r="EU162" s="697">
        <v>5000</v>
      </c>
      <c r="EV162" s="795">
        <f t="shared" si="640"/>
        <v>22425.775689723094</v>
      </c>
      <c r="EW162" s="796" t="s">
        <v>757</v>
      </c>
      <c r="EX162" s="796" t="s">
        <v>757</v>
      </c>
      <c r="EY162" s="794">
        <v>0</v>
      </c>
      <c r="EZ162" s="794" t="e">
        <v>#N/A</v>
      </c>
      <c r="FA162" s="712"/>
      <c r="FB162" s="712"/>
      <c r="FC162" s="712"/>
      <c r="FD162" s="712"/>
      <c r="FE162" s="712">
        <f>O162+Sheet1!CO162</f>
        <v>2945.7099999999919</v>
      </c>
      <c r="FF162" s="712">
        <f>IF(Sheet1!AA162+AG162&lt;=Calculation!N162,AG162,Calculation!N162-Sheet1!AA162)</f>
        <v>17.561872909701869</v>
      </c>
      <c r="FG162" s="712">
        <f>(Sheet1!BP162+Sheet1!BO162)/694.4</f>
        <v>2.5411866359447006</v>
      </c>
      <c r="FH162" s="712"/>
      <c r="FI162" s="712"/>
      <c r="FJ162" s="712"/>
      <c r="FK162" s="712"/>
      <c r="FL162" s="714">
        <f t="shared" si="632"/>
        <v>40753</v>
      </c>
      <c r="FM162" s="714">
        <f t="shared" si="633"/>
        <v>40851</v>
      </c>
      <c r="FN162" s="712"/>
      <c r="FO162" s="712"/>
      <c r="FP162" s="712"/>
      <c r="FQ162" s="712"/>
      <c r="FR162" s="712"/>
      <c r="FS162" s="725">
        <f t="shared" si="634"/>
        <v>40603</v>
      </c>
      <c r="FT162" s="714">
        <f t="shared" si="635"/>
        <v>40709</v>
      </c>
      <c r="FU162" s="712">
        <f t="shared" si="636"/>
        <v>6518.9048239895692</v>
      </c>
      <c r="FV162" s="714">
        <f t="shared" si="637"/>
        <v>40722</v>
      </c>
      <c r="FW162" s="712">
        <f t="shared" si="638"/>
        <v>3259.4524119947846</v>
      </c>
      <c r="FX162" s="725">
        <f t="shared" si="639"/>
        <v>40851</v>
      </c>
      <c r="FZ162" s="697">
        <f t="shared" si="616"/>
        <v>0</v>
      </c>
      <c r="GA162" s="712" t="str">
        <f t="shared" si="701"/>
        <v/>
      </c>
      <c r="GB162" s="712">
        <f t="shared" si="702"/>
        <v>0</v>
      </c>
      <c r="GC162" s="712" t="str">
        <f t="shared" si="703"/>
        <v/>
      </c>
      <c r="GD162" s="712">
        <f>IF(GA162="P",Lookup!$M$12,IF(GA162="PP",Lookup!$M$13,IF(GA162="PPP",Lookup!$M$14,IF(GA162="T",Lookup!$M$15,IF(GA162="TP",Lookup!$M$16,IF(GA162="TPP",Lookup!$M$17,IF(GA162="TPPP",Lookup!$M$18,0)))))))*FZ162</f>
        <v>0</v>
      </c>
      <c r="GE162" s="712">
        <f t="shared" si="704"/>
        <v>0</v>
      </c>
      <c r="GF162" s="712">
        <f t="shared" si="705"/>
        <v>7354.2005333333391</v>
      </c>
      <c r="GG162" s="712">
        <f t="shared" si="706"/>
        <v>2397.0666666666684</v>
      </c>
      <c r="GH162" s="712"/>
      <c r="GI162" s="712">
        <f t="shared" si="707"/>
        <v>0</v>
      </c>
      <c r="GJ162" s="712" t="str">
        <f t="shared" si="708"/>
        <v/>
      </c>
      <c r="GK162" s="712">
        <f>IF(GA162="P",Lookup!$N$12,IF(GA162="PP",Lookup!$N$13,IF(GA162="PPP",Lookup!$N$14,IF(GA162="T",Lookup!$N$15,IF(GA162="TP",Lookup!$N$16,IF(GA162="TPP",Lookup!$N$17,IF(GA162="TPPP",Lookup!$N$18,0)))))))*FZ162</f>
        <v>0</v>
      </c>
      <c r="GL162" s="712">
        <f t="shared" si="709"/>
        <v>0</v>
      </c>
      <c r="GM162" s="712">
        <f t="shared" si="710"/>
        <v>3431.9602488888868</v>
      </c>
      <c r="GN162" s="712">
        <f t="shared" si="711"/>
        <v>1118.6311111111104</v>
      </c>
      <c r="GO162" s="712"/>
      <c r="GP162" s="712">
        <f t="shared" si="712"/>
        <v>0</v>
      </c>
      <c r="GQ162" s="712" t="str">
        <f t="shared" si="713"/>
        <v/>
      </c>
      <c r="GR162" s="712">
        <f>IF(GA162="P",Lookup!$N$12,IF(GA162="PP",Lookup!$N$13,IF(GA162="PPP",Lookup!$N$14,IF(GA162="T",Lookup!$N$15,IF(GA162="TP",Lookup!$N$16,IF(GA162="TPP",Lookup!$N$17,IF(GA162="TPPP",Lookup!$N$18,0)))))))*FZ162</f>
        <v>0</v>
      </c>
      <c r="GS162" s="697">
        <f t="shared" si="628"/>
        <v>0</v>
      </c>
      <c r="GT162" s="712">
        <f t="shared" si="714"/>
        <v>3003.8228284820566</v>
      </c>
      <c r="GU162" s="712">
        <f t="shared" si="715"/>
        <v>979.08175635008365</v>
      </c>
      <c r="GV162" s="712"/>
      <c r="GW162" s="712">
        <f t="shared" si="716"/>
        <v>0</v>
      </c>
      <c r="GX162" s="712" t="str">
        <f t="shared" si="717"/>
        <v/>
      </c>
      <c r="GY162" s="712">
        <f>IF(GA162="P",Lookup!$N$12,IF(GA162="PP",Lookup!$N$13,IF(GA162="PPP",Lookup!$N$14,IF(GA162="T",Lookup!$N$15,IF(GA162="TP",Lookup!$N$16,IF(GA162="TPP",Lookup!$N$17,IF(GA162="TPPP",Lookup!$N$18,0)))))))*FZ162</f>
        <v>0</v>
      </c>
      <c r="GZ162" s="697">
        <f t="shared" si="629"/>
        <v>0</v>
      </c>
      <c r="HA162" s="712">
        <f t="shared" si="718"/>
        <v>2380.540699679671</v>
      </c>
      <c r="HB162" s="712">
        <f t="shared" si="719"/>
        <v>775.92591254226556</v>
      </c>
      <c r="HC162" s="712"/>
    </row>
    <row r="163" spans="1:211">
      <c r="A163" s="773" t="s">
        <v>3</v>
      </c>
      <c r="B163" s="708">
        <v>40692</v>
      </c>
      <c r="C163" s="719">
        <v>0.5</v>
      </c>
      <c r="D163" s="675">
        <f t="shared" si="641"/>
        <v>300</v>
      </c>
      <c r="E163" s="675">
        <f t="shared" si="642"/>
        <v>250</v>
      </c>
      <c r="F163" s="675">
        <v>250</v>
      </c>
      <c r="G163" s="712">
        <f>DH163+Sheet1!CV163</f>
        <v>1489.5530761478549</v>
      </c>
      <c r="H163" s="712">
        <f t="shared" si="643"/>
        <v>695.88390842197339</v>
      </c>
      <c r="I163" s="711">
        <f>MAX(Sheet1!Z163-AJ163+(Sheet1!CW163-E163)*CFStoMGD,0)</f>
        <v>1186.56</v>
      </c>
      <c r="J163" s="720">
        <f>IF(AND(B163&gt;=Calculation!FS163,B163&lt;=Calculation!FT163),IF(Sheet1!CX163&gt;=Calculation!D163,64.64,0),MAX(Sheet1!Z163-AJ163+(Sheet1!CX163-D163)*CFStoMGD,0))</f>
        <v>64.64</v>
      </c>
      <c r="K163" s="697">
        <f t="shared" si="644"/>
        <v>64.64</v>
      </c>
      <c r="L163" s="712">
        <f>Sheet1!AA163+Sheet1!AB163-Sheet1!L163+(Sheet1!CW163-F163)*CFStoMGD</f>
        <v>1213.7900000000009</v>
      </c>
      <c r="M163" s="712">
        <f t="shared" si="645"/>
        <v>982.10405059041295</v>
      </c>
      <c r="N163" s="712">
        <f>IF(Sheet1!CW163&gt;=F163,MIN(73,MIN(MAX(L163,0),MAX(M163,0))),0)</f>
        <v>73</v>
      </c>
      <c r="O163" s="721">
        <f>Sheet1!AA163+Sheet1!AB163</f>
        <v>52.720000000001164</v>
      </c>
      <c r="P163" s="721">
        <f t="shared" si="646"/>
        <v>81.557840000001804</v>
      </c>
      <c r="Q163" s="712">
        <f>MIN(N163,Sheet1!AA163+AG163)</f>
        <v>52.720000000001164</v>
      </c>
      <c r="R163" s="712">
        <f t="shared" si="647"/>
        <v>0</v>
      </c>
      <c r="S163" s="721">
        <f>Sheet1!Y163*MGDtoCFS</f>
        <v>53.603549999999998</v>
      </c>
      <c r="T163" s="721">
        <f>Sheet1!Z163*MGDtoCFS</f>
        <v>27.552069999999997</v>
      </c>
      <c r="U163" s="721">
        <f>Sheet1!AA163*MGDtoCFS</f>
        <v>53.7118400000018</v>
      </c>
      <c r="V163" s="721">
        <f>Sheet1!AB163*MGDtoCFS</f>
        <v>27.846</v>
      </c>
      <c r="W163" s="721">
        <f>Sheet1!L163*MGDtoCFS</f>
        <v>39.726960000000446</v>
      </c>
      <c r="X163" s="697">
        <f t="shared" si="648"/>
        <v>0</v>
      </c>
      <c r="Y163" s="712">
        <f t="shared" si="649"/>
        <v>0</v>
      </c>
      <c r="Z163" s="712">
        <f t="shared" si="650"/>
        <v>64.64</v>
      </c>
      <c r="AA163" s="712">
        <f t="shared" si="651"/>
        <v>99.998080000000002</v>
      </c>
      <c r="AB163" s="712">
        <f>(VLOOKUP(Sheet1!CY163,hhdcap_wcm,4)-(((VLOOKUP(Sheet1!CY163,hhdcap_wcm,3)-Sheet1!CY163)/(VLOOKUP(Sheet1!CY163,hhdcap_wcm,3)-VLOOKUP(Sheet1!CY163,hhdcap_wcm,1)))*(VLOOKUP(Sheet1!CY163,hhdcap_wcm,4)-VLOOKUP(Sheet1!CY163,hhdcap_wcm,2))))</f>
        <v>44988.100000108243</v>
      </c>
      <c r="AC163" s="712">
        <f t="shared" si="652"/>
        <v>171.80000000119617</v>
      </c>
      <c r="AD163" s="712">
        <f t="shared" si="653"/>
        <v>5335.3454466701278</v>
      </c>
      <c r="AE163" s="712">
        <f t="shared" si="654"/>
        <v>16368.839830383953</v>
      </c>
      <c r="AF163" s="712">
        <f>Sheet1!BA163+Sheet1!BB163+Sheet1!BN163+BT163</f>
        <v>17.899999999999999</v>
      </c>
      <c r="AG163" s="712">
        <f t="shared" si="655"/>
        <v>18</v>
      </c>
      <c r="AH163" s="712">
        <f>Sheet1!BA163+BT163</f>
        <v>0</v>
      </c>
      <c r="AI163" s="712">
        <f>Sheet1!BA163+Sheet1!BB163+BT163</f>
        <v>0</v>
      </c>
      <c r="AJ163" s="712">
        <f>IF((Sheet1!AA163+AG163+AX163+AZ163+BQ163+BS163+CL163+CN163)&lt;=N163,AG163+AX163+AZ163+BQ163+BS163+CL163+CN163,N163-Sheet1!AA163)</f>
        <v>18</v>
      </c>
      <c r="AK163" s="712">
        <f>IF(DR163&lt;K163,0,MAX(Sheet1!AA163+AG163-15/36*K163-N163,Sheet1!ED163,0))</f>
        <v>0</v>
      </c>
      <c r="AL163" s="712">
        <f>IF(OR(B163&gt;=FT163,B163&lt;FS163),0,15/36*K163-MAX(0,64.6-(137.6-(Sheet1!AA163+Sheet1!AB163))))</f>
        <v>26.933333333333334</v>
      </c>
      <c r="AM163" s="712">
        <f>Sheet1!CX163-110</f>
        <v>1269.8958333333333</v>
      </c>
      <c r="AN163" s="712">
        <f>Sheet1!CW163-265</f>
        <v>1820.9375</v>
      </c>
      <c r="AO163" s="712">
        <f t="shared" si="622"/>
        <v>20.279999999998836</v>
      </c>
      <c r="AP163" s="712">
        <f t="shared" si="656"/>
        <v>0</v>
      </c>
      <c r="AQ163" s="712">
        <f t="shared" si="657"/>
        <v>0</v>
      </c>
      <c r="AR163" s="712">
        <f t="shared" si="658"/>
        <v>2424.0000000000018</v>
      </c>
      <c r="AS163" s="712"/>
      <c r="AT163" s="712">
        <f ca="1">IF(B163&gt;Summary!$A$1,#N/A,AR163*MGtoAF)</f>
        <v>7436.8320000000058</v>
      </c>
      <c r="AU163" s="712">
        <f>Sheet1!BG163+Sheet1!BH163+Sheet1!BI163-BC163</f>
        <v>0</v>
      </c>
      <c r="AV163" s="712">
        <f t="shared" si="659"/>
        <v>0</v>
      </c>
      <c r="AW163" s="712">
        <f>IF(Sheet1!EL163="FM",BC163,0)</f>
        <v>0</v>
      </c>
      <c r="AX163" s="712">
        <f t="shared" si="660"/>
        <v>0</v>
      </c>
      <c r="AY163" s="712">
        <f>IF(Sheet1!EL163="OTHER",BC163,0)</f>
        <v>0</v>
      </c>
      <c r="AZ163" s="712">
        <f t="shared" si="661"/>
        <v>0</v>
      </c>
      <c r="BA163" s="712">
        <f t="shared" si="662"/>
        <v>0</v>
      </c>
      <c r="BB163" s="712">
        <f t="shared" si="663"/>
        <v>0</v>
      </c>
      <c r="BC163" s="712">
        <f>IF(OR(Sheet1!EL163="FM", Sheet1!EL163="OTHER"),SUM(Sheet1!BG163:'Sheet1'!BI163),0)</f>
        <v>0</v>
      </c>
      <c r="BD163" s="697">
        <f>IF(AND($B163&gt;=$FL163,$B163&lt;=$FM163),MAX(AV163,Sheet1!EE163,0),MAX(AV163-(7/36)*$K163,0))</f>
        <v>0</v>
      </c>
      <c r="BE163" s="712">
        <f t="shared" si="664"/>
        <v>12.568888888888889</v>
      </c>
      <c r="BF163" s="697">
        <f t="shared" si="665"/>
        <v>0</v>
      </c>
      <c r="BG163" s="697">
        <f>IF(AND($O163&gt;0,Sheet1!EI163=1),(1-($O163-Sheet1!$L163)/$O163)*BB163,0)</f>
        <v>0</v>
      </c>
      <c r="BH163" s="697">
        <f>IF(AND(Sheet1!$L163=0,Sheet1!$L162=0, Calculation!BA163&lt;Sheet1!$EE163-0.1,Sheet1!$EE163=Sheet1!$EE162,Sheet1!$EE163=Sheet1!$EE164),Sheet1!$EE163,BB163-BG163)</f>
        <v>0</v>
      </c>
      <c r="BI163" s="712"/>
      <c r="BJ163" s="712"/>
      <c r="BK163" s="712">
        <f t="shared" si="666"/>
        <v>1131.1999999999994</v>
      </c>
      <c r="BL163" s="712"/>
      <c r="BM163" s="712">
        <f ca="1">IF(B163&gt;Summary!$A$1,#N/A,BK163*MGtoAF)</f>
        <v>3470.5215999999982</v>
      </c>
      <c r="BN163" s="712">
        <f>Sheet1!BC163+Sheet1!BD163+Sheet1!BE163+Sheet1!BF163-BW163-BX163</f>
        <v>0</v>
      </c>
      <c r="BO163" s="712">
        <f t="shared" si="667"/>
        <v>0</v>
      </c>
      <c r="BP163" s="712">
        <f>IF(Sheet1!EM163="FM",BX163,0)</f>
        <v>0</v>
      </c>
      <c r="BQ163" s="712">
        <f t="shared" si="668"/>
        <v>0</v>
      </c>
      <c r="BR163" s="712">
        <f>IF(Sheet1!EM163="OTHER",BX163,0)</f>
        <v>0</v>
      </c>
      <c r="BS163" s="712">
        <f t="shared" si="669"/>
        <v>0</v>
      </c>
      <c r="BT163" s="712">
        <f t="shared" si="670"/>
        <v>0</v>
      </c>
      <c r="BU163" s="712">
        <f t="shared" si="671"/>
        <v>0</v>
      </c>
      <c r="BV163" s="712">
        <f t="shared" si="672"/>
        <v>0</v>
      </c>
      <c r="BW163" s="712">
        <f>IF(Sheet1!EM163="CWA",SUM(Sheet1!BC163:'Sheet1'!BF163),0)</f>
        <v>0</v>
      </c>
      <c r="BX163" s="712">
        <f>IF(OR(Sheet1!EM163="FM", Sheet1!EM163="OTHER"),SUM(Sheet1!BC163:'Sheet1'!BF163),0)</f>
        <v>0</v>
      </c>
      <c r="BY163" s="697">
        <f>IF(AND($B163&gt;=$FL163,$B163&lt;=$FM163),MAX(BV163,Sheet1!EF163,0),MAX(BV163-(7/36)*$K163,0))</f>
        <v>0</v>
      </c>
      <c r="BZ163" s="712">
        <f t="shared" si="673"/>
        <v>12.568888888888889</v>
      </c>
      <c r="CA163" s="697">
        <f t="shared" si="674"/>
        <v>0</v>
      </c>
      <c r="CB163" s="697">
        <f>IF(AND($O163&gt;0,Sheet1!EJ163=1),(1-($O163-Sheet1!$L163)/$O163)*BV163,0)</f>
        <v>0</v>
      </c>
      <c r="CC163" s="697">
        <f>IF(AND(Sheet1!$L163=0,Sheet1!$L162=0, Calculation!BU163&lt;Sheet1!EF163-0.1,Sheet1!EF163=Sheet1!EF162,Sheet1!EF163=Sheet1!EF164),Sheet1!EF163,BV163-CB163)</f>
        <v>0</v>
      </c>
      <c r="CD163" s="697"/>
      <c r="CE163" s="712"/>
      <c r="CF163" s="712">
        <f t="shared" si="675"/>
        <v>991.65064523897252</v>
      </c>
      <c r="CG163" s="712"/>
      <c r="CH163" s="712">
        <f ca="1">IF(B163&gt;Summary!$A$1,#N/A,CF163*MGtoAF)</f>
        <v>3042.3841795931676</v>
      </c>
      <c r="CI163" s="712">
        <f>Sheet1!BK163+Sheet1!BL163+Sheet1!BM163-Sheet1!EN163-CQ163</f>
        <v>0</v>
      </c>
      <c r="CJ163" s="712">
        <f t="shared" si="676"/>
        <v>0</v>
      </c>
      <c r="CK163" s="712">
        <f>IF(Sheet1!EN163="FM",CQ163,0)</f>
        <v>0</v>
      </c>
      <c r="CL163" s="712">
        <f t="shared" si="677"/>
        <v>0</v>
      </c>
      <c r="CM163" s="712">
        <f>IF(Sheet1!EN163="OTHER",CQ163,0)</f>
        <v>0</v>
      </c>
      <c r="CN163" s="712">
        <f t="shared" si="678"/>
        <v>0</v>
      </c>
      <c r="CO163" s="712">
        <f t="shared" si="679"/>
        <v>0</v>
      </c>
      <c r="CP163" s="712">
        <f t="shared" si="680"/>
        <v>0</v>
      </c>
      <c r="CQ163" s="712">
        <f>IF(OR(Sheet1!EN163="FM", Sheet1!EN163="OTHER"),SUM(Sheet1!BK163:'Sheet1'!BM163),0)</f>
        <v>0</v>
      </c>
      <c r="CR163" s="697">
        <f>IF(AND($B163&gt;=$FL163,$B163&lt;=$FM163),MAX($CJ163,Sheet1!EG163,0),MAX($CJ163-(7/36)*$K163,0))</f>
        <v>0</v>
      </c>
      <c r="CS163" s="712">
        <f t="shared" si="681"/>
        <v>12.568888888888889</v>
      </c>
      <c r="CT163" s="697">
        <f t="shared" si="682"/>
        <v>0</v>
      </c>
      <c r="CU163" s="697">
        <f>IF(AND($O163&gt;0,Sheet1!EK163=1),(1-($O163-Sheet1!$L163)/$O163)*CP163,0)</f>
        <v>0</v>
      </c>
      <c r="CV163" s="697">
        <f>IF(AND(Sheet1!$L163=0,Sheet1!$L162=0, Calculation!CO163&lt;Sheet1!$EG163-0.1,Sheet1!$EG163=Sheet1!$EG162,Sheet1!$EG163=Sheet1!$EG164),Sheet1!$EG163,CP163-CU163)</f>
        <v>0</v>
      </c>
      <c r="CW163" s="697">
        <f t="shared" si="613"/>
        <v>0</v>
      </c>
      <c r="CX163" s="712">
        <f t="shared" si="683"/>
        <v>0</v>
      </c>
      <c r="CY163" s="712">
        <f t="shared" si="684"/>
        <v>788.49480143115443</v>
      </c>
      <c r="CZ163" s="712">
        <f t="shared" si="685"/>
        <v>0</v>
      </c>
      <c r="DA163" s="712">
        <f ca="1">IF(B163&gt;Summary!$A$1,#N/A,CY163*MGtoAF)</f>
        <v>2419.102050790782</v>
      </c>
      <c r="DB163" s="712">
        <f t="shared" si="686"/>
        <v>0</v>
      </c>
      <c r="DC163" s="712">
        <f t="shared" si="687"/>
        <v>17.899999999999999</v>
      </c>
      <c r="DD163" s="712">
        <f>Sheet1!AB163-DC163</f>
        <v>0.10000000000000142</v>
      </c>
      <c r="DE163" s="712">
        <f t="shared" si="688"/>
        <v>5.5865921787710297E-3</v>
      </c>
      <c r="DF163" s="712">
        <f>(VLOOKUP(Sheet1!CY163,hhdcap_wcm,4)-(((VLOOKUP(Sheet1!CY163,hhdcap_wcm,3)-Sheet1!CY163)/(VLOOKUP(Sheet1!CY163,hhdcap_wcm,3)-VLOOKUP(Sheet1!CY163,hhdcap_wcm,1)))*(VLOOKUP(Sheet1!CY163,hhdcap_wcm,4)-VLOOKUP(Sheet1!CY163,hhdcap_wcm,2))))</f>
        <v>44988.100000108243</v>
      </c>
      <c r="DG163" s="712">
        <f t="shared" si="689"/>
        <v>171.80000000119617</v>
      </c>
      <c r="DH163" s="712">
        <f t="shared" si="690"/>
        <v>86.636409481188167</v>
      </c>
      <c r="DI163" s="712">
        <f>Sheet1!DW163*AFtoMG</f>
        <v>0</v>
      </c>
      <c r="DJ163" s="712">
        <f>Sheet1!DX163*AFtoMG</f>
        <v>0</v>
      </c>
      <c r="DK163" s="712">
        <f>Sheet1!DY163*AFtoMG</f>
        <v>0</v>
      </c>
      <c r="DL163" s="712">
        <f>Sheet1!DZ163*AFtoMG</f>
        <v>0</v>
      </c>
      <c r="DM163" s="712">
        <f t="shared" si="691"/>
        <v>0</v>
      </c>
      <c r="DN163" s="712">
        <f t="shared" si="692"/>
        <v>0</v>
      </c>
      <c r="DO163" s="712">
        <f t="shared" si="693"/>
        <v>5335.3454466701278</v>
      </c>
      <c r="DP163" s="712">
        <f t="shared" si="694"/>
        <v>16368.839830383953</v>
      </c>
      <c r="DQ163" s="712"/>
      <c r="DR163" s="697">
        <f>IF(OR(B163&lt;FL163,B163&gt;FM163),(MIN(AV163+BO163+CJ163+MAX(Sheet1!AA163+AG163-73,0),K163)),0)</f>
        <v>0</v>
      </c>
      <c r="DS163" s="712"/>
      <c r="DT163" s="712">
        <f t="shared" si="695"/>
        <v>0</v>
      </c>
      <c r="DU163" s="712"/>
      <c r="DV163" s="712">
        <f>Sheet1!ED163+Sheet1!EE163+Sheet1!EF163+Sheet1!EG163</f>
        <v>8.5</v>
      </c>
      <c r="DW163" s="712"/>
      <c r="DX163" s="697">
        <f t="shared" si="696"/>
        <v>0</v>
      </c>
      <c r="DY163" s="712">
        <f>IF(Sheet1!FN163=1,SUM('Calculations II'!AT163:BA163)+'Calculations II'!BC163+Sheet1!BU163+'Calculations II'!BE163+AF163,SUM('Calculations II'!AT163:BA163)+'Calculations II'!BC163+Sheet1!BU163+'Calculations II'!BE163+AF163)</f>
        <v>42.642032</v>
      </c>
      <c r="DZ163" s="712">
        <f>Sheet1!AA163+Sheet1!AB163+'Calculations II'!BC163</f>
        <v>55.967488000001161</v>
      </c>
      <c r="EA163" s="712"/>
      <c r="EB163" s="712"/>
      <c r="EC163" s="712">
        <f t="shared" si="697"/>
        <v>40692</v>
      </c>
      <c r="ED163" s="712">
        <f t="shared" si="698"/>
        <v>64.64</v>
      </c>
      <c r="EE163" s="712">
        <f t="shared" si="699"/>
        <v>99.998080000000002</v>
      </c>
      <c r="EF163" s="712">
        <f>-(VLOOKUP(Sheet1!BQ163,Lookup!$B$4:$J$236,2)-VLOOKUP(Sheet1!BQ162,Lookup!$B$4:$J$236,2))/1000000</f>
        <v>-12.207000000000001</v>
      </c>
      <c r="EG163" s="712">
        <f>-(VLOOKUP(Sheet1!BR163,Lookup!$B$4:$J$236,3)-VLOOKUP(Sheet1!BR162,Lookup!$B$4:$J$236,3))/1000000</f>
        <v>0</v>
      </c>
      <c r="EH163" s="712">
        <f>-(VLOOKUP(Sheet1!BS163,Lookup!$B$4:$J$236,4)-VLOOKUP(Sheet1!BS162,Lookup!$B$4:$J$236,4))/1000000</f>
        <v>0</v>
      </c>
      <c r="EI163" s="697">
        <f t="shared" si="700"/>
        <v>-12.207000000000001</v>
      </c>
      <c r="EJ163" s="712"/>
      <c r="EK163" s="712"/>
      <c r="EL163" s="712"/>
      <c r="EM163" s="712"/>
      <c r="EN163" s="712"/>
      <c r="EO163" s="712"/>
      <c r="EP163" s="712"/>
      <c r="EQ163" s="712"/>
      <c r="ES163" s="712"/>
      <c r="ET163" s="794" t="e">
        <f t="shared" si="437"/>
        <v>#N/A</v>
      </c>
      <c r="EU163" s="697">
        <v>5000</v>
      </c>
      <c r="EV163" s="795">
        <f t="shared" si="640"/>
        <v>22399.26016972429</v>
      </c>
      <c r="EW163" s="796" t="s">
        <v>757</v>
      </c>
      <c r="EX163" s="796" t="s">
        <v>757</v>
      </c>
      <c r="EY163" s="794">
        <v>0</v>
      </c>
      <c r="EZ163" s="794" t="e">
        <v>#N/A</v>
      </c>
      <c r="FA163" s="712"/>
      <c r="FB163" s="712"/>
      <c r="FC163" s="712"/>
      <c r="FD163" s="712"/>
      <c r="FE163" s="712">
        <f>O163+Sheet1!CO163</f>
        <v>2307.920000000001</v>
      </c>
      <c r="FF163" s="712">
        <f>IF(Sheet1!AA163+AG163&lt;=Calculation!N163,AG163,Calculation!N163-Sheet1!AA163)</f>
        <v>18</v>
      </c>
      <c r="FG163" s="712">
        <f>(Sheet1!BP163+Sheet1!BO163)/694.4</f>
        <v>1.5976382488479264</v>
      </c>
      <c r="FH163" s="712"/>
      <c r="FI163" s="712"/>
      <c r="FJ163" s="712"/>
      <c r="FK163" s="712"/>
      <c r="FL163" s="714">
        <f t="shared" si="632"/>
        <v>40753</v>
      </c>
      <c r="FM163" s="714">
        <f t="shared" si="633"/>
        <v>40851</v>
      </c>
      <c r="FN163" s="712"/>
      <c r="FO163" s="712"/>
      <c r="FP163" s="712"/>
      <c r="FQ163" s="712"/>
      <c r="FR163" s="712"/>
      <c r="FS163" s="725">
        <f t="shared" si="634"/>
        <v>40603</v>
      </c>
      <c r="FT163" s="714">
        <f t="shared" si="635"/>
        <v>40709</v>
      </c>
      <c r="FU163" s="712">
        <f t="shared" si="636"/>
        <v>6518.9048239895692</v>
      </c>
      <c r="FV163" s="714">
        <f t="shared" si="637"/>
        <v>40722</v>
      </c>
      <c r="FW163" s="712">
        <f t="shared" si="638"/>
        <v>3259.4524119947846</v>
      </c>
      <c r="FX163" s="725">
        <f t="shared" si="639"/>
        <v>40851</v>
      </c>
      <c r="FZ163" s="697">
        <f t="shared" si="616"/>
        <v>0</v>
      </c>
      <c r="GA163" s="712" t="str">
        <f t="shared" si="701"/>
        <v/>
      </c>
      <c r="GB163" s="712">
        <f t="shared" si="702"/>
        <v>0</v>
      </c>
      <c r="GC163" s="712" t="str">
        <f t="shared" si="703"/>
        <v/>
      </c>
      <c r="GD163" s="712">
        <f>IF(GA163="P",Lookup!$M$12,IF(GA163="PP",Lookup!$M$13,IF(GA163="PPP",Lookup!$M$14,IF(GA163="T",Lookup!$M$15,IF(GA163="TP",Lookup!$M$16,IF(GA163="TPP",Lookup!$M$17,IF(GA163="TPPP",Lookup!$M$18,0)))))))*FZ163</f>
        <v>0</v>
      </c>
      <c r="GE163" s="712">
        <f t="shared" si="704"/>
        <v>0</v>
      </c>
      <c r="GF163" s="712">
        <f t="shared" si="705"/>
        <v>7436.8320000000058</v>
      </c>
      <c r="GG163" s="712">
        <f t="shared" si="706"/>
        <v>2424.0000000000018</v>
      </c>
      <c r="GH163" s="712"/>
      <c r="GI163" s="712">
        <f t="shared" si="707"/>
        <v>0</v>
      </c>
      <c r="GJ163" s="712" t="str">
        <f t="shared" si="708"/>
        <v/>
      </c>
      <c r="GK163" s="712">
        <f>IF(GA163="P",Lookup!$N$12,IF(GA163="PP",Lookup!$N$13,IF(GA163="PPP",Lookup!$N$14,IF(GA163="T",Lookup!$N$15,IF(GA163="TP",Lookup!$N$16,IF(GA163="TPP",Lookup!$N$17,IF(GA163="TPPP",Lookup!$N$18,0)))))))*FZ163</f>
        <v>0</v>
      </c>
      <c r="GL163" s="712">
        <f t="shared" si="709"/>
        <v>0</v>
      </c>
      <c r="GM163" s="712">
        <f t="shared" si="710"/>
        <v>3470.5215999999982</v>
      </c>
      <c r="GN163" s="712">
        <f t="shared" si="711"/>
        <v>1131.1999999999994</v>
      </c>
      <c r="GO163" s="712"/>
      <c r="GP163" s="712">
        <f t="shared" si="712"/>
        <v>0</v>
      </c>
      <c r="GQ163" s="712" t="str">
        <f t="shared" si="713"/>
        <v/>
      </c>
      <c r="GR163" s="712">
        <f>IF(GA163="P",Lookup!$N$12,IF(GA163="PP",Lookup!$N$13,IF(GA163="PPP",Lookup!$N$14,IF(GA163="T",Lookup!$N$15,IF(GA163="TP",Lookup!$N$16,IF(GA163="TPP",Lookup!$N$17,IF(GA163="TPPP",Lookup!$N$18,0)))))))*FZ163</f>
        <v>0</v>
      </c>
      <c r="GS163" s="697">
        <f t="shared" si="628"/>
        <v>0</v>
      </c>
      <c r="GT163" s="712">
        <f t="shared" si="714"/>
        <v>3042.3841795931676</v>
      </c>
      <c r="GU163" s="712">
        <f t="shared" si="715"/>
        <v>991.65064523897252</v>
      </c>
      <c r="GV163" s="712"/>
      <c r="GW163" s="712">
        <f t="shared" si="716"/>
        <v>0</v>
      </c>
      <c r="GX163" s="712" t="str">
        <f t="shared" si="717"/>
        <v/>
      </c>
      <c r="GY163" s="712">
        <f>IF(GA163="P",Lookup!$N$12,IF(GA163="PP",Lookup!$N$13,IF(GA163="PPP",Lookup!$N$14,IF(GA163="T",Lookup!$N$15,IF(GA163="TP",Lookup!$N$16,IF(GA163="TPP",Lookup!$N$17,IF(GA163="TPPP",Lookup!$N$18,0)))))))*FZ163</f>
        <v>0</v>
      </c>
      <c r="GZ163" s="697">
        <f t="shared" si="629"/>
        <v>0</v>
      </c>
      <c r="HA163" s="712">
        <f t="shared" si="718"/>
        <v>2419.102050790782</v>
      </c>
      <c r="HB163" s="712">
        <f t="shared" si="719"/>
        <v>788.49480143115443</v>
      </c>
      <c r="HC163" s="712"/>
    </row>
    <row r="164" spans="1:211">
      <c r="A164" s="773" t="s">
        <v>4</v>
      </c>
      <c r="B164" s="708">
        <v>40693</v>
      </c>
      <c r="C164" s="709">
        <v>0.5</v>
      </c>
      <c r="D164" s="675">
        <f t="shared" si="641"/>
        <v>300</v>
      </c>
      <c r="E164" s="675">
        <f t="shared" si="642"/>
        <v>250</v>
      </c>
      <c r="F164" s="675">
        <v>250</v>
      </c>
      <c r="G164" s="712">
        <f>DH164+Sheet1!CV164</f>
        <v>1442.7193645993436</v>
      </c>
      <c r="H164" s="712">
        <f t="shared" si="643"/>
        <v>665.6105972770157</v>
      </c>
      <c r="I164" s="711">
        <f>MAX(Sheet1!Z164-AJ164+(Sheet1!CW164-E164)*CFStoMGD,0)</f>
        <v>1027.6853333333347</v>
      </c>
      <c r="J164" s="720">
        <f>IF(AND(B164&gt;=Calculation!FS164,B164&lt;=Calculation!FT164),IF(Sheet1!CX164&gt;=Calculation!D164,64.64,0),MAX(Sheet1!Z164-AJ164+(Sheet1!CX164-D164)*CFStoMGD,0))</f>
        <v>64.64</v>
      </c>
      <c r="K164" s="697">
        <f t="shared" si="644"/>
        <v>64.64</v>
      </c>
      <c r="L164" s="712">
        <f>Sheet1!AA164+Sheet1!AB164-Sheet1!L164+(Sheet1!CW164-F164)*CFStoMGD</f>
        <v>1057.6853333333308</v>
      </c>
      <c r="M164" s="712">
        <f t="shared" si="645"/>
        <v>951.2252732225561</v>
      </c>
      <c r="N164" s="712">
        <f>IF(Sheet1!CW164&gt;=F164,MIN(73,MIN(MAX(L164,0),MAX(M164,0))),0)</f>
        <v>73</v>
      </c>
      <c r="O164" s="721">
        <f>Sheet1!AA164+Sheet1!AB164</f>
        <v>52.599999999998545</v>
      </c>
      <c r="P164" s="721">
        <f t="shared" si="646"/>
        <v>81.372199999997747</v>
      </c>
      <c r="Q164" s="712">
        <f>MIN(N164,Sheet1!AA164+AG164)</f>
        <v>52.599999999998545</v>
      </c>
      <c r="R164" s="712">
        <f t="shared" si="647"/>
        <v>0</v>
      </c>
      <c r="S164" s="721">
        <f>Sheet1!Y164*MGDtoCFS</f>
        <v>53.278679999999994</v>
      </c>
      <c r="T164" s="721">
        <f>Sheet1!Z164*MGDtoCFS</f>
        <v>27.443779999999997</v>
      </c>
      <c r="U164" s="721">
        <f>Sheet1!AA164*MGDtoCFS</f>
        <v>53.371499999999997</v>
      </c>
      <c r="V164" s="721">
        <f>Sheet1!AB164*MGDtoCFS</f>
        <v>28.000699999997746</v>
      </c>
      <c r="W164" s="721">
        <f>Sheet1!L164*MGDtoCFS</f>
        <v>35.519120000001465</v>
      </c>
      <c r="X164" s="697">
        <f t="shared" si="648"/>
        <v>0</v>
      </c>
      <c r="Y164" s="712">
        <f t="shared" si="649"/>
        <v>0</v>
      </c>
      <c r="Z164" s="712">
        <f t="shared" si="650"/>
        <v>64.64</v>
      </c>
      <c r="AA164" s="712">
        <f t="shared" si="651"/>
        <v>99.998080000000002</v>
      </c>
      <c r="AB164" s="712">
        <f>(VLOOKUP(Sheet1!CY164,hhdcap_wcm,4)-(((VLOOKUP(Sheet1!CY164,hhdcap_wcm,3)-Sheet1!CY164)/(VLOOKUP(Sheet1!CY164,hhdcap_wcm,3)-VLOOKUP(Sheet1!CY164,hhdcap_wcm,1)))*(VLOOKUP(Sheet1!CY164,hhdcap_wcm,4)-VLOOKUP(Sheet1!CY164,hhdcap_wcm,2))))</f>
        <v>45388.440000108742</v>
      </c>
      <c r="AC164" s="712">
        <f t="shared" si="652"/>
        <v>400.34000000049855</v>
      </c>
      <c r="AD164" s="712">
        <f t="shared" si="653"/>
        <v>5399.9854466701281</v>
      </c>
      <c r="AE164" s="712">
        <f t="shared" si="654"/>
        <v>16567.155350383953</v>
      </c>
      <c r="AF164" s="712">
        <f>Sheet1!BA164+Sheet1!BB164+Sheet1!BN164+BT164</f>
        <v>18</v>
      </c>
      <c r="AG164" s="712">
        <f t="shared" si="655"/>
        <v>18.099999999998545</v>
      </c>
      <c r="AH164" s="712">
        <f>Sheet1!BA164+BT164</f>
        <v>0</v>
      </c>
      <c r="AI164" s="712">
        <f>Sheet1!BA164+Sheet1!BB164+BT164</f>
        <v>0</v>
      </c>
      <c r="AJ164" s="712">
        <f>IF((Sheet1!AA164+AG164+AX164+AZ164+BQ164+BS164+CL164+CN164)&lt;=N164,AG164+AX164+AZ164+BQ164+BS164+CL164+CN164,N164-Sheet1!AA164)</f>
        <v>18.099999999998545</v>
      </c>
      <c r="AK164" s="712">
        <f>IF(DR164&lt;K164,0,MAX(Sheet1!AA164+AG164-15/36*K164-N164,Sheet1!ED164,0))</f>
        <v>0</v>
      </c>
      <c r="AL164" s="712">
        <f>IF(OR(B164&gt;=FT164,B164&lt;FS164),0,15/36*K164-MAX(0,64.6-(137.6-(Sheet1!AA164+Sheet1!AB164))))</f>
        <v>26.933333333333334</v>
      </c>
      <c r="AM164" s="712">
        <f>Sheet1!CX164-110</f>
        <v>1068.4375</v>
      </c>
      <c r="AN164" s="712">
        <f>Sheet1!CW164-265</f>
        <v>1575.4166666666667</v>
      </c>
      <c r="AO164" s="712">
        <f t="shared" si="622"/>
        <v>20.400000000001455</v>
      </c>
      <c r="AP164" s="712">
        <f t="shared" si="656"/>
        <v>0</v>
      </c>
      <c r="AQ164" s="712">
        <f t="shared" si="657"/>
        <v>0</v>
      </c>
      <c r="AR164" s="712">
        <f t="shared" si="658"/>
        <v>2450.9333333333352</v>
      </c>
      <c r="AS164" s="712"/>
      <c r="AT164" s="712">
        <f ca="1">IF(B164&gt;Summary!$A$1,#N/A,AR164*MGtoAF)</f>
        <v>7519.4634666666725</v>
      </c>
      <c r="AU164" s="712">
        <f>Sheet1!BG164+Sheet1!BH164+Sheet1!BI164-BC164</f>
        <v>0</v>
      </c>
      <c r="AV164" s="712">
        <f t="shared" si="659"/>
        <v>0</v>
      </c>
      <c r="AW164" s="712">
        <f>IF(Sheet1!EL164="FM",BC164,0)</f>
        <v>0</v>
      </c>
      <c r="AX164" s="712">
        <f t="shared" si="660"/>
        <v>0</v>
      </c>
      <c r="AY164" s="712">
        <f>IF(Sheet1!EL164="OTHER",BC164,0)</f>
        <v>0</v>
      </c>
      <c r="AZ164" s="712">
        <f t="shared" si="661"/>
        <v>0</v>
      </c>
      <c r="BA164" s="712">
        <f t="shared" si="662"/>
        <v>0</v>
      </c>
      <c r="BB164" s="712">
        <f t="shared" si="663"/>
        <v>0</v>
      </c>
      <c r="BC164" s="712">
        <f>IF(OR(Sheet1!EL164="FM", Sheet1!EL164="OTHER"),SUM(Sheet1!BG164:'Sheet1'!BI164),0)</f>
        <v>0</v>
      </c>
      <c r="BD164" s="697">
        <f>IF(AND($B164&gt;=$FL164,$B164&lt;=$FM164),MAX(AV164,Sheet1!EE164,0),MAX(AV164-(7/36)*$K164,0))</f>
        <v>0</v>
      </c>
      <c r="BE164" s="712">
        <f t="shared" si="664"/>
        <v>12.568888888888889</v>
      </c>
      <c r="BF164" s="697">
        <f t="shared" si="665"/>
        <v>0</v>
      </c>
      <c r="BG164" s="697">
        <f>IF(AND($O164&gt;0,Sheet1!EI164=1),(1-($O164-Sheet1!$L164)/$O164)*BB164,0)</f>
        <v>0</v>
      </c>
      <c r="BH164" s="697">
        <f>IF(AND(Sheet1!$L164=0,Sheet1!$L163=0, Calculation!BA164&lt;Sheet1!$EE164-0.1,Sheet1!$EE164=Sheet1!$EE163,Sheet1!$EE164=Sheet1!$EE165),Sheet1!$EE164,BB164-BG164)</f>
        <v>0</v>
      </c>
      <c r="BI164" s="712"/>
      <c r="BJ164" s="712"/>
      <c r="BK164" s="712">
        <f t="shared" si="666"/>
        <v>1143.7688888888883</v>
      </c>
      <c r="BL164" s="712"/>
      <c r="BM164" s="712">
        <f ca="1">IF(B164&gt;Summary!$A$1,#N/A,BK164*MGtoAF)</f>
        <v>3509.0829511111097</v>
      </c>
      <c r="BN164" s="712">
        <f>Sheet1!BC164+Sheet1!BD164+Sheet1!BE164+Sheet1!BF164-BW164-BX164</f>
        <v>0</v>
      </c>
      <c r="BO164" s="712">
        <f t="shared" si="667"/>
        <v>0</v>
      </c>
      <c r="BP164" s="712">
        <f>IF(Sheet1!EM164="FM",BX164,0)</f>
        <v>0</v>
      </c>
      <c r="BQ164" s="712">
        <f t="shared" si="668"/>
        <v>0</v>
      </c>
      <c r="BR164" s="712">
        <f>IF(Sheet1!EM164="OTHER",BX164,0)</f>
        <v>0</v>
      </c>
      <c r="BS164" s="712">
        <f t="shared" si="669"/>
        <v>0</v>
      </c>
      <c r="BT164" s="712">
        <f t="shared" si="670"/>
        <v>0</v>
      </c>
      <c r="BU164" s="712">
        <f t="shared" si="671"/>
        <v>0</v>
      </c>
      <c r="BV164" s="712">
        <f t="shared" si="672"/>
        <v>0</v>
      </c>
      <c r="BW164" s="712">
        <f>IF(Sheet1!EM164="CWA",SUM(Sheet1!BC164:'Sheet1'!BF164),0)</f>
        <v>0</v>
      </c>
      <c r="BX164" s="712">
        <f>IF(OR(Sheet1!EM164="FM", Sheet1!EM164="OTHER"),SUM(Sheet1!BC164:'Sheet1'!BF164),0)</f>
        <v>0</v>
      </c>
      <c r="BY164" s="697">
        <f>IF(AND($B164&gt;=$FL164,$B164&lt;=$FM164),MAX(BV164,Sheet1!EF164,0),MAX(BV164-(7/36)*$K164,0))</f>
        <v>0</v>
      </c>
      <c r="BZ164" s="712">
        <f t="shared" si="673"/>
        <v>12.568888888888889</v>
      </c>
      <c r="CA164" s="697">
        <f t="shared" si="674"/>
        <v>0</v>
      </c>
      <c r="CB164" s="697">
        <f>IF(AND($O164&gt;0,Sheet1!EJ164=1),(1-($O164-Sheet1!$L164)/$O164)*BV164,0)</f>
        <v>0</v>
      </c>
      <c r="CC164" s="697">
        <f>IF(AND(Sheet1!$L164=0,Sheet1!$L163=0, Calculation!BU164&lt;Sheet1!EF164-0.1,Sheet1!EF164=Sheet1!EF163,Sheet1!EF164=Sheet1!EF165),Sheet1!EF164,BV164-CB164)</f>
        <v>0</v>
      </c>
      <c r="CD164" s="697"/>
      <c r="CE164" s="712"/>
      <c r="CF164" s="712">
        <f t="shared" si="675"/>
        <v>1004.2195341278614</v>
      </c>
      <c r="CG164" s="712"/>
      <c r="CH164" s="712">
        <f ca="1">IF(B164&gt;Summary!$A$1,#N/A,CF164*MGtoAF)</f>
        <v>3080.9455307042786</v>
      </c>
      <c r="CI164" s="712">
        <f>Sheet1!BK164+Sheet1!BL164+Sheet1!BM164-Sheet1!EN164-CQ164</f>
        <v>0</v>
      </c>
      <c r="CJ164" s="712">
        <f t="shared" si="676"/>
        <v>0</v>
      </c>
      <c r="CK164" s="712">
        <f>IF(Sheet1!EN164="FM",CQ164,0)</f>
        <v>0</v>
      </c>
      <c r="CL164" s="712">
        <f t="shared" si="677"/>
        <v>0</v>
      </c>
      <c r="CM164" s="712">
        <f>IF(Sheet1!EN164="OTHER",CQ164,0)</f>
        <v>0</v>
      </c>
      <c r="CN164" s="712">
        <f t="shared" si="678"/>
        <v>0</v>
      </c>
      <c r="CO164" s="712">
        <f t="shared" si="679"/>
        <v>0</v>
      </c>
      <c r="CP164" s="712">
        <f t="shared" si="680"/>
        <v>0</v>
      </c>
      <c r="CQ164" s="712">
        <f>IF(OR(Sheet1!EN164="FM", Sheet1!EN164="OTHER"),SUM(Sheet1!BK164:'Sheet1'!BM164),0)</f>
        <v>0</v>
      </c>
      <c r="CR164" s="697">
        <f>IF(AND($B164&gt;=$FL164,$B164&lt;=$FM164),MAX($CJ164,Sheet1!EG164,0),MAX($CJ164-(7/36)*$K164,0))</f>
        <v>0</v>
      </c>
      <c r="CS164" s="712">
        <f t="shared" si="681"/>
        <v>12.568888888888889</v>
      </c>
      <c r="CT164" s="697">
        <f t="shared" si="682"/>
        <v>0</v>
      </c>
      <c r="CU164" s="697">
        <f>IF(AND($O164&gt;0,Sheet1!EK164=1),(1-($O164-Sheet1!$L164)/$O164)*CP164,0)</f>
        <v>0</v>
      </c>
      <c r="CV164" s="697">
        <f>IF(AND(Sheet1!$L164=0,Sheet1!$L163=0, Calculation!CO164&lt;Sheet1!$EG164-0.1,Sheet1!$EG164=Sheet1!$EG163,Sheet1!$EG164=Sheet1!$EG165),Sheet1!$EG164,CP164-CU164)</f>
        <v>0</v>
      </c>
      <c r="CW164" s="697">
        <f t="shared" si="613"/>
        <v>0</v>
      </c>
      <c r="CX164" s="712">
        <f t="shared" si="683"/>
        <v>0</v>
      </c>
      <c r="CY164" s="712">
        <f t="shared" si="684"/>
        <v>801.06369032004329</v>
      </c>
      <c r="CZ164" s="712">
        <f t="shared" si="685"/>
        <v>0</v>
      </c>
      <c r="DA164" s="712">
        <f ca="1">IF(B164&gt;Summary!$A$1,#N/A,CY164*MGtoAF)</f>
        <v>2457.6634019018929</v>
      </c>
      <c r="DB164" s="712">
        <f t="shared" si="686"/>
        <v>0</v>
      </c>
      <c r="DC164" s="712">
        <f t="shared" si="687"/>
        <v>18</v>
      </c>
      <c r="DD164" s="712">
        <f>Sheet1!AB164-DC164</f>
        <v>9.9999999998544808E-2</v>
      </c>
      <c r="DE164" s="712">
        <f t="shared" si="688"/>
        <v>5.5555555554747116E-3</v>
      </c>
      <c r="DF164" s="712">
        <f>(VLOOKUP(Sheet1!CY164,hhdcap_wcm,4)-(((VLOOKUP(Sheet1!CY164,hhdcap_wcm,3)-Sheet1!CY164)/(VLOOKUP(Sheet1!CY164,hhdcap_wcm,3)-VLOOKUP(Sheet1!CY164,hhdcap_wcm,1)))*(VLOOKUP(Sheet1!CY164,hhdcap_wcm,4)-VLOOKUP(Sheet1!CY164,hhdcap_wcm,2))))</f>
        <v>45388.440000108742</v>
      </c>
      <c r="DG164" s="712">
        <f t="shared" si="689"/>
        <v>400.34000000049855</v>
      </c>
      <c r="DH164" s="712">
        <f t="shared" si="690"/>
        <v>201.88603126601035</v>
      </c>
      <c r="DI164" s="712">
        <f>Sheet1!DW164*AFtoMG</f>
        <v>0</v>
      </c>
      <c r="DJ164" s="712">
        <f>Sheet1!DX164*AFtoMG</f>
        <v>0</v>
      </c>
      <c r="DK164" s="712">
        <f>Sheet1!DY164*AFtoMG</f>
        <v>0</v>
      </c>
      <c r="DL164" s="712">
        <f>Sheet1!DZ164*AFtoMG</f>
        <v>0</v>
      </c>
      <c r="DM164" s="712">
        <f t="shared" si="691"/>
        <v>0</v>
      </c>
      <c r="DN164" s="712">
        <f t="shared" si="692"/>
        <v>0</v>
      </c>
      <c r="DO164" s="712">
        <f t="shared" si="693"/>
        <v>5399.9854466701281</v>
      </c>
      <c r="DP164" s="712">
        <f t="shared" si="694"/>
        <v>16567.155350383953</v>
      </c>
      <c r="DQ164" s="712"/>
      <c r="DR164" s="697">
        <f>IF(OR(B164&lt;FL164,B164&gt;FM164),(MIN(AV164+BO164+CJ164+MAX(Sheet1!AA164+AG164-73,0),K164)),0)</f>
        <v>0</v>
      </c>
      <c r="DS164" s="712"/>
      <c r="DT164" s="712">
        <f t="shared" si="695"/>
        <v>0</v>
      </c>
      <c r="DU164" s="712"/>
      <c r="DV164" s="712">
        <f>Sheet1!ED164+Sheet1!EE164+Sheet1!EF164+Sheet1!EG164</f>
        <v>8.5</v>
      </c>
      <c r="DW164" s="712"/>
      <c r="DX164" s="697">
        <f t="shared" si="696"/>
        <v>0</v>
      </c>
      <c r="DY164" s="712">
        <f>IF(Sheet1!FN164=1,SUM('Calculations II'!AT164:BA164)+'Calculations II'!BC164+Sheet1!BU164+'Calculations II'!BE164+AF164,SUM('Calculations II'!AT164:BA164)+'Calculations II'!BC164+Sheet1!BU164+'Calculations II'!BE164+AF164)</f>
        <v>47.369599999999998</v>
      </c>
      <c r="DZ164" s="712">
        <f>Sheet1!AA164+Sheet1!AB164+'Calculations II'!BC164</f>
        <v>56.662671999998544</v>
      </c>
      <c r="EA164" s="712"/>
      <c r="EB164" s="712"/>
      <c r="EC164" s="712">
        <f t="shared" si="697"/>
        <v>40693</v>
      </c>
      <c r="ED164" s="712">
        <f t="shared" si="698"/>
        <v>64.64</v>
      </c>
      <c r="EE164" s="712">
        <f t="shared" si="699"/>
        <v>99.998080000000002</v>
      </c>
      <c r="EF164" s="712">
        <f>-(VLOOKUP(Sheet1!BQ164,Lookup!$B$4:$J$236,2)-VLOOKUP(Sheet1!BQ163,Lookup!$B$4:$J$236,2))/1000000</f>
        <v>-11.9526</v>
      </c>
      <c r="EG164" s="712">
        <f>-(VLOOKUP(Sheet1!BR164,Lookup!$B$4:$J$236,3)-VLOOKUP(Sheet1!BR163,Lookup!$B$4:$J$236,3))/1000000</f>
        <v>1.333</v>
      </c>
      <c r="EH164" s="712">
        <f>-(VLOOKUP(Sheet1!BS164,Lookup!$B$4:$J$236,4)-VLOOKUP(Sheet1!BS163,Lookup!$B$4:$J$236,4))/1000000</f>
        <v>0</v>
      </c>
      <c r="EI164" s="697">
        <f t="shared" si="700"/>
        <v>-10.6196</v>
      </c>
      <c r="EJ164" s="712"/>
      <c r="EK164" s="712"/>
      <c r="EL164" s="712"/>
      <c r="EM164" s="712"/>
      <c r="EN164" s="712"/>
      <c r="EO164" s="712"/>
      <c r="EP164" s="712"/>
      <c r="EQ164" s="712"/>
      <c r="ES164" s="712"/>
      <c r="ET164" s="794" t="e">
        <f t="shared" si="437"/>
        <v>#N/A</v>
      </c>
      <c r="EU164" s="697">
        <v>5000</v>
      </c>
      <c r="EV164" s="795">
        <f t="shared" si="640"/>
        <v>22601.284649724788</v>
      </c>
      <c r="EW164" s="796" t="s">
        <v>757</v>
      </c>
      <c r="EX164" s="796" t="s">
        <v>757</v>
      </c>
      <c r="EY164" s="794">
        <v>0</v>
      </c>
      <c r="EZ164" s="794" t="e">
        <v>#N/A</v>
      </c>
      <c r="FA164" s="712"/>
      <c r="FB164" s="712"/>
      <c r="FC164" s="712"/>
      <c r="FD164" s="712"/>
      <c r="FE164" s="712">
        <f>O164+Sheet1!CO164</f>
        <v>2873.8999999999987</v>
      </c>
      <c r="FF164" s="712">
        <f>IF(Sheet1!AA164+AG164&lt;=Calculation!N164,AG164,Calculation!N164-Sheet1!AA164)</f>
        <v>18.099999999998545</v>
      </c>
      <c r="FG164" s="712">
        <f>(Sheet1!BP164+Sheet1!BO164)/694.4</f>
        <v>2.7606566820276499</v>
      </c>
      <c r="FH164" s="712"/>
      <c r="FI164" s="712"/>
      <c r="FJ164" s="712"/>
      <c r="FK164" s="712"/>
      <c r="FL164" s="714">
        <f t="shared" si="632"/>
        <v>40753</v>
      </c>
      <c r="FM164" s="714">
        <f t="shared" si="633"/>
        <v>40851</v>
      </c>
      <c r="FN164" s="712"/>
      <c r="FO164" s="712"/>
      <c r="FP164" s="712"/>
      <c r="FQ164" s="712"/>
      <c r="FR164" s="712"/>
      <c r="FS164" s="725">
        <f t="shared" si="634"/>
        <v>40603</v>
      </c>
      <c r="FT164" s="714">
        <f t="shared" si="635"/>
        <v>40709</v>
      </c>
      <c r="FU164" s="712">
        <f t="shared" si="636"/>
        <v>6518.9048239895692</v>
      </c>
      <c r="FV164" s="714">
        <f t="shared" si="637"/>
        <v>40722</v>
      </c>
      <c r="FW164" s="712">
        <f t="shared" si="638"/>
        <v>3259.4524119947846</v>
      </c>
      <c r="FX164" s="725">
        <f t="shared" si="639"/>
        <v>40851</v>
      </c>
      <c r="FZ164" s="697">
        <f t="shared" si="616"/>
        <v>0</v>
      </c>
      <c r="GA164" s="712" t="str">
        <f t="shared" si="701"/>
        <v/>
      </c>
      <c r="GB164" s="712">
        <f t="shared" si="702"/>
        <v>0</v>
      </c>
      <c r="GC164" s="712" t="str">
        <f t="shared" si="703"/>
        <v/>
      </c>
      <c r="GD164" s="712">
        <f>IF(GA164="P",Lookup!$M$12,IF(GA164="PP",Lookup!$M$13,IF(GA164="PPP",Lookup!$M$14,IF(GA164="T",Lookup!$M$15,IF(GA164="TP",Lookup!$M$16,IF(GA164="TPP",Lookup!$M$17,IF(GA164="TPPP",Lookup!$M$18,0)))))))*FZ164</f>
        <v>0</v>
      </c>
      <c r="GE164" s="712">
        <f t="shared" si="704"/>
        <v>0</v>
      </c>
      <c r="GF164" s="712">
        <f t="shared" si="705"/>
        <v>7519.4634666666725</v>
      </c>
      <c r="GG164" s="712">
        <f t="shared" si="706"/>
        <v>2450.9333333333352</v>
      </c>
      <c r="GH164" s="712"/>
      <c r="GI164" s="712">
        <f t="shared" si="707"/>
        <v>0</v>
      </c>
      <c r="GJ164" s="712" t="str">
        <f t="shared" si="708"/>
        <v/>
      </c>
      <c r="GK164" s="712">
        <f>IF(GA164="P",Lookup!$N$12,IF(GA164="PP",Lookup!$N$13,IF(GA164="PPP",Lookup!$N$14,IF(GA164="T",Lookup!$N$15,IF(GA164="TP",Lookup!$N$16,IF(GA164="TPP",Lookup!$N$17,IF(GA164="TPPP",Lookup!$N$18,0)))))))*FZ164</f>
        <v>0</v>
      </c>
      <c r="GL164" s="712">
        <f t="shared" si="709"/>
        <v>0</v>
      </c>
      <c r="GM164" s="712">
        <f t="shared" si="710"/>
        <v>3509.0829511111097</v>
      </c>
      <c r="GN164" s="712">
        <f t="shared" si="711"/>
        <v>1143.7688888888883</v>
      </c>
      <c r="GO164" s="712"/>
      <c r="GP164" s="712">
        <f t="shared" si="712"/>
        <v>0</v>
      </c>
      <c r="GQ164" s="712" t="str">
        <f t="shared" si="713"/>
        <v/>
      </c>
      <c r="GR164" s="712">
        <f>IF(GA164="P",Lookup!$N$12,IF(GA164="PP",Lookup!$N$13,IF(GA164="PPP",Lookup!$N$14,IF(GA164="T",Lookup!$N$15,IF(GA164="TP",Lookup!$N$16,IF(GA164="TPP",Lookup!$N$17,IF(GA164="TPPP",Lookup!$N$18,0)))))))*FZ164</f>
        <v>0</v>
      </c>
      <c r="GS164" s="697">
        <f t="shared" si="628"/>
        <v>0</v>
      </c>
      <c r="GT164" s="712">
        <f t="shared" si="714"/>
        <v>3080.9455307042786</v>
      </c>
      <c r="GU164" s="712">
        <f t="shared" si="715"/>
        <v>1004.2195341278614</v>
      </c>
      <c r="GV164" s="712"/>
      <c r="GW164" s="712">
        <f t="shared" si="716"/>
        <v>0</v>
      </c>
      <c r="GX164" s="712" t="str">
        <f t="shared" si="717"/>
        <v/>
      </c>
      <c r="GY164" s="712">
        <f>IF(GA164="P",Lookup!$N$12,IF(GA164="PP",Lookup!$N$13,IF(GA164="PPP",Lookup!$N$14,IF(GA164="T",Lookup!$N$15,IF(GA164="TP",Lookup!$N$16,IF(GA164="TPP",Lookup!$N$17,IF(GA164="TPPP",Lookup!$N$18,0)))))))*FZ164</f>
        <v>0</v>
      </c>
      <c r="GZ164" s="697">
        <f t="shared" si="629"/>
        <v>0</v>
      </c>
      <c r="HA164" s="712">
        <f t="shared" si="718"/>
        <v>2457.6634019018929</v>
      </c>
      <c r="HB164" s="712">
        <f t="shared" si="719"/>
        <v>801.06369032004329</v>
      </c>
      <c r="HC164" s="712"/>
    </row>
    <row r="165" spans="1:211">
      <c r="A165" s="773" t="s">
        <v>5</v>
      </c>
      <c r="B165" s="708">
        <v>40694</v>
      </c>
      <c r="C165" s="719">
        <v>0.5</v>
      </c>
      <c r="D165" s="675">
        <f t="shared" si="641"/>
        <v>300</v>
      </c>
      <c r="E165" s="675">
        <f t="shared" si="642"/>
        <v>250</v>
      </c>
      <c r="F165" s="675">
        <v>250</v>
      </c>
      <c r="G165" s="712">
        <f>DH165+Sheet1!CV165</f>
        <v>1524.7434442765991</v>
      </c>
      <c r="H165" s="712">
        <f t="shared" si="643"/>
        <v>718.63096238039361</v>
      </c>
      <c r="I165" s="711">
        <f>MAX(Sheet1!Z165-AJ165+(Sheet1!CW165-E165)*CFStoMGD,0)</f>
        <v>1010.9466666666651</v>
      </c>
      <c r="J165" s="720">
        <f>IF(AND(B165&gt;=Calculation!FS165,B165&lt;=Calculation!FT165),IF(Sheet1!CX165&gt;=Calculation!D165,64.64,0),MAX(Sheet1!Z165-AJ165+(Sheet1!CX165-D165)*CFStoMGD,0))</f>
        <v>64.64</v>
      </c>
      <c r="K165" s="697">
        <f t="shared" si="644"/>
        <v>64.64</v>
      </c>
      <c r="L165" s="712">
        <f>Sheet1!AA165+Sheet1!AB165-Sheet1!L165+(Sheet1!CW165-F165)*CFStoMGD</f>
        <v>1046.8666666666779</v>
      </c>
      <c r="M165" s="712">
        <f t="shared" si="645"/>
        <v>1005.3060456280016</v>
      </c>
      <c r="N165" s="712">
        <f>IF(Sheet1!CW165&gt;=F165,MIN(73,MIN(MAX(L165,0),MAX(M165,0))),0)</f>
        <v>73</v>
      </c>
      <c r="O165" s="721">
        <f>Sheet1!AA165+Sheet1!AB165</f>
        <v>52.300000000010186</v>
      </c>
      <c r="P165" s="721">
        <f t="shared" si="646"/>
        <v>80.908100000015764</v>
      </c>
      <c r="Q165" s="712">
        <f>MIN(N165,Sheet1!AA165+AG165)</f>
        <v>52.300000000010186</v>
      </c>
      <c r="R165" s="712">
        <f t="shared" si="647"/>
        <v>0</v>
      </c>
      <c r="S165" s="721">
        <f>Sheet1!Y165*MGDtoCFS</f>
        <v>54.144999999999996</v>
      </c>
      <c r="T165" s="721">
        <f>Sheet1!Z165*MGDtoCFS</f>
        <v>27.072499999999998</v>
      </c>
      <c r="U165" s="721">
        <f>Sheet1!AA165*MGDtoCFS</f>
        <v>53.216800000013507</v>
      </c>
      <c r="V165" s="721">
        <f>Sheet1!AB165*MGDtoCFS</f>
        <v>27.691300000002251</v>
      </c>
      <c r="W165" s="721">
        <f>Sheet1!L165*MGDtoCFS</f>
        <v>25.958659999998197</v>
      </c>
      <c r="X165" s="697">
        <f t="shared" si="648"/>
        <v>0</v>
      </c>
      <c r="Y165" s="712">
        <f t="shared" si="649"/>
        <v>0</v>
      </c>
      <c r="Z165" s="712">
        <f t="shared" si="650"/>
        <v>64.64</v>
      </c>
      <c r="AA165" s="712">
        <f t="shared" si="651"/>
        <v>99.998080000000002</v>
      </c>
      <c r="AB165" s="712">
        <f>(VLOOKUP(Sheet1!CY165,hhdcap_wcm,4)-(((VLOOKUP(Sheet1!CY165,hhdcap_wcm,3)-Sheet1!CY165)/(VLOOKUP(Sheet1!CY165,hhdcap_wcm,3)-VLOOKUP(Sheet1!CY165,hhdcap_wcm,1)))*(VLOOKUP(Sheet1!CY165,hhdcap_wcm,4)-VLOOKUP(Sheet1!CY165,hhdcap_wcm,2))))</f>
        <v>45886.160000109237</v>
      </c>
      <c r="AC165" s="712">
        <f t="shared" si="652"/>
        <v>497.72000000049593</v>
      </c>
      <c r="AD165" s="712">
        <f t="shared" si="653"/>
        <v>5464.6254466701284</v>
      </c>
      <c r="AE165" s="712">
        <f t="shared" si="654"/>
        <v>16765.470870383953</v>
      </c>
      <c r="AF165" s="712">
        <f>Sheet1!BA165+Sheet1!BB165+Sheet1!BN165+BT165</f>
        <v>17.899999999999999</v>
      </c>
      <c r="AG165" s="712">
        <f t="shared" si="655"/>
        <v>17.900000000001455</v>
      </c>
      <c r="AH165" s="712">
        <f>Sheet1!BA165+BT165</f>
        <v>0</v>
      </c>
      <c r="AI165" s="712">
        <f>Sheet1!BA165+Sheet1!BB165+BT165</f>
        <v>0</v>
      </c>
      <c r="AJ165" s="712">
        <f>IF((Sheet1!AA165+AG165+AX165+AZ165+BQ165+BS165+CL165+CN165)&lt;=N165,AG165+AX165+AZ165+BQ165+BS165+CL165+CN165,N165-Sheet1!AA165)</f>
        <v>17.900000000001455</v>
      </c>
      <c r="AK165" s="712">
        <f>IF(DR165&lt;K165,0,MAX(Sheet1!AA165+AG165-15/36*K165-N165,Sheet1!ED165,0))</f>
        <v>0</v>
      </c>
      <c r="AL165" s="712">
        <f>IF(OR(B165&gt;=FT165,B165&lt;FS165),0,15/36*K165-MAX(0,64.6-(137.6-(Sheet1!AA165+Sheet1!AB165))))</f>
        <v>26.933333333333334</v>
      </c>
      <c r="AM165" s="712">
        <f>Sheet1!CX165-110</f>
        <v>1091.6666666666667</v>
      </c>
      <c r="AN165" s="712">
        <f>Sheet1!CW165-265</f>
        <v>1549.5833333333333</v>
      </c>
      <c r="AO165" s="712">
        <f t="shared" si="622"/>
        <v>20.699999999989814</v>
      </c>
      <c r="AP165" s="712">
        <f t="shared" si="656"/>
        <v>0</v>
      </c>
      <c r="AQ165" s="712">
        <f t="shared" si="657"/>
        <v>0</v>
      </c>
      <c r="AR165" s="712">
        <f t="shared" si="658"/>
        <v>2477.8666666666686</v>
      </c>
      <c r="AS165" s="712"/>
      <c r="AT165" s="712">
        <f ca="1">IF(B165&gt;Summary!$A$1,#N/A,AR165*MGtoAF)</f>
        <v>7602.0949333333392</v>
      </c>
      <c r="AU165" s="712">
        <f>Sheet1!BG165+Sheet1!BH165+Sheet1!BI165-BC165</f>
        <v>0</v>
      </c>
      <c r="AV165" s="712">
        <f t="shared" si="659"/>
        <v>0</v>
      </c>
      <c r="AW165" s="712">
        <f>IF(Sheet1!EL165="FM",BC165,0)</f>
        <v>0</v>
      </c>
      <c r="AX165" s="712">
        <f t="shared" si="660"/>
        <v>0</v>
      </c>
      <c r="AY165" s="712">
        <f>IF(Sheet1!EL165="OTHER",BC165,0)</f>
        <v>0</v>
      </c>
      <c r="AZ165" s="712">
        <f t="shared" si="661"/>
        <v>0</v>
      </c>
      <c r="BA165" s="712">
        <f t="shared" si="662"/>
        <v>0</v>
      </c>
      <c r="BB165" s="712">
        <f t="shared" si="663"/>
        <v>0</v>
      </c>
      <c r="BC165" s="712">
        <f>IF(OR(Sheet1!EL165="FM", Sheet1!EL165="OTHER"),SUM(Sheet1!BG165:'Sheet1'!BI165),0)</f>
        <v>0</v>
      </c>
      <c r="BD165" s="697">
        <f>IF(AND($B165&gt;=$FL165,$B165&lt;=$FM165),MAX(AV165,Sheet1!EE165,0),MAX(AV165-(7/36)*$K165,0))</f>
        <v>0</v>
      </c>
      <c r="BE165" s="712">
        <f t="shared" si="664"/>
        <v>12.568888888888889</v>
      </c>
      <c r="BF165" s="697">
        <f t="shared" si="665"/>
        <v>0</v>
      </c>
      <c r="BG165" s="697">
        <f>IF(AND($O165&gt;0,Sheet1!EI165=1),(1-($O165-Sheet1!$L165)/$O165)*BB165,0)</f>
        <v>0</v>
      </c>
      <c r="BH165" s="697">
        <f>IF(AND(Sheet1!$L165=0,Sheet1!$L164=0, Calculation!BA165&lt;Sheet1!$EE165-0.1,Sheet1!$EE165=Sheet1!$EE164,Sheet1!$EE165=Sheet1!$EE166),Sheet1!$EE165,BB165-BG165)</f>
        <v>0</v>
      </c>
      <c r="BI165" s="712"/>
      <c r="BJ165" s="712"/>
      <c r="BK165" s="712">
        <f t="shared" si="666"/>
        <v>1156.3377777777773</v>
      </c>
      <c r="BL165" s="712"/>
      <c r="BM165" s="712">
        <f ca="1">IF(B165&gt;Summary!$A$1,#N/A,BK165*MGtoAF)</f>
        <v>3547.6443022222211</v>
      </c>
      <c r="BN165" s="712">
        <f>Sheet1!BC165+Sheet1!BD165+Sheet1!BE165+Sheet1!BF165-BW165-BX165</f>
        <v>0</v>
      </c>
      <c r="BO165" s="712">
        <f t="shared" si="667"/>
        <v>0</v>
      </c>
      <c r="BP165" s="712">
        <f>IF(Sheet1!EM165="FM",BX165,0)</f>
        <v>0</v>
      </c>
      <c r="BQ165" s="712">
        <f t="shared" si="668"/>
        <v>0</v>
      </c>
      <c r="BR165" s="712">
        <f>IF(Sheet1!EM165="OTHER",BX165,0)</f>
        <v>0</v>
      </c>
      <c r="BS165" s="712">
        <f t="shared" si="669"/>
        <v>0</v>
      </c>
      <c r="BT165" s="712">
        <f t="shared" si="670"/>
        <v>0</v>
      </c>
      <c r="BU165" s="712">
        <f t="shared" si="671"/>
        <v>0</v>
      </c>
      <c r="BV165" s="712">
        <f t="shared" si="672"/>
        <v>0</v>
      </c>
      <c r="BW165" s="712">
        <f>IF(Sheet1!EM165="CWA",SUM(Sheet1!BC165:'Sheet1'!BF165),0)</f>
        <v>0</v>
      </c>
      <c r="BX165" s="712">
        <f>IF(OR(Sheet1!EM165="FM", Sheet1!EM165="OTHER"),SUM(Sheet1!BC165:'Sheet1'!BF165),0)</f>
        <v>0</v>
      </c>
      <c r="BY165" s="697">
        <f>IF(AND($B165&gt;=$FL165,$B165&lt;=$FM165),MAX(BV165,Sheet1!EF165,0),MAX(BV165-(7/36)*$K165,0))</f>
        <v>0</v>
      </c>
      <c r="BZ165" s="712">
        <f t="shared" si="673"/>
        <v>12.568888888888889</v>
      </c>
      <c r="CA165" s="697">
        <f t="shared" si="674"/>
        <v>0</v>
      </c>
      <c r="CB165" s="697">
        <f>IF(AND($O165&gt;0,Sheet1!EJ165=1),(1-($O165-Sheet1!$L165)/$O165)*BV165,0)</f>
        <v>0</v>
      </c>
      <c r="CC165" s="697">
        <f>IF(AND(Sheet1!$L165=0,Sheet1!$L164=0, Calculation!BU165&lt;Sheet1!EF165-0.1,Sheet1!EF165=Sheet1!EF164,Sheet1!EF165=Sheet1!EF166),Sheet1!EF165,BV165-CB165)</f>
        <v>0</v>
      </c>
      <c r="CD165" s="697"/>
      <c r="CE165" s="712"/>
      <c r="CF165" s="712">
        <f t="shared" si="675"/>
        <v>1016.7884230167502</v>
      </c>
      <c r="CG165" s="712"/>
      <c r="CH165" s="712">
        <f ca="1">IF(B165&gt;Summary!$A$1,#N/A,CF165*MGtoAF)</f>
        <v>3119.50688181539</v>
      </c>
      <c r="CI165" s="712">
        <f>Sheet1!BK165+Sheet1!BL165+Sheet1!BM165-Sheet1!EN165-CQ165</f>
        <v>0</v>
      </c>
      <c r="CJ165" s="712">
        <f t="shared" si="676"/>
        <v>0</v>
      </c>
      <c r="CK165" s="712">
        <f>IF(Sheet1!EN165="FM",CQ165,0)</f>
        <v>0</v>
      </c>
      <c r="CL165" s="712">
        <f t="shared" si="677"/>
        <v>0</v>
      </c>
      <c r="CM165" s="712">
        <f>IF(Sheet1!EN165="OTHER",CQ165,0)</f>
        <v>0</v>
      </c>
      <c r="CN165" s="712">
        <f t="shared" si="678"/>
        <v>0</v>
      </c>
      <c r="CO165" s="712">
        <f t="shared" si="679"/>
        <v>0</v>
      </c>
      <c r="CP165" s="712">
        <f t="shared" si="680"/>
        <v>0</v>
      </c>
      <c r="CQ165" s="712">
        <f>IF(OR(Sheet1!EN165="FM", Sheet1!EN165="OTHER"),SUM(Sheet1!BK165:'Sheet1'!BM165),0)</f>
        <v>0</v>
      </c>
      <c r="CR165" s="697">
        <f>IF(AND($B165&gt;=$FL165,$B165&lt;=$FM165),MAX($CJ165,Sheet1!EG165,0),MAX($CJ165-(7/36)*$K165,0))</f>
        <v>0</v>
      </c>
      <c r="CS165" s="712">
        <f t="shared" si="681"/>
        <v>12.568888888888889</v>
      </c>
      <c r="CT165" s="697">
        <f t="shared" si="682"/>
        <v>0</v>
      </c>
      <c r="CU165" s="697">
        <f>IF(AND($O165&gt;0,Sheet1!EK165=1),(1-($O165-Sheet1!$L165)/$O165)*CP165,0)</f>
        <v>0</v>
      </c>
      <c r="CV165" s="697">
        <f>IF(AND(Sheet1!$L165=0,Sheet1!$L164=0, Calculation!CO165&lt;Sheet1!$EG165-0.1,Sheet1!$EG165=Sheet1!$EG164,Sheet1!$EG165=Sheet1!$EG166),Sheet1!$EG165,CP165-CU165)</f>
        <v>0</v>
      </c>
      <c r="CW165" s="697">
        <f t="shared" si="613"/>
        <v>0</v>
      </c>
      <c r="CX165" s="712">
        <f t="shared" si="683"/>
        <v>0</v>
      </c>
      <c r="CY165" s="712">
        <f t="shared" si="684"/>
        <v>813.63257920893216</v>
      </c>
      <c r="CZ165" s="712">
        <f t="shared" si="685"/>
        <v>0</v>
      </c>
      <c r="DA165" s="712">
        <f ca="1">IF(B165&gt;Summary!$A$1,#N/A,CY165*MGtoAF)</f>
        <v>2496.2247530130039</v>
      </c>
      <c r="DB165" s="712">
        <f t="shared" si="686"/>
        <v>0</v>
      </c>
      <c r="DC165" s="712">
        <f t="shared" si="687"/>
        <v>17.899999999999999</v>
      </c>
      <c r="DD165" s="712">
        <f>Sheet1!AB165-DC165</f>
        <v>1.4566126083082054E-12</v>
      </c>
      <c r="DE165" s="712">
        <f t="shared" si="688"/>
        <v>8.1375006050737734E-14</v>
      </c>
      <c r="DF165" s="712">
        <f>(VLOOKUP(Sheet1!CY165,hhdcap_wcm,4)-(((VLOOKUP(Sheet1!CY165,hhdcap_wcm,3)-Sheet1!CY165)/(VLOOKUP(Sheet1!CY165,hhdcap_wcm,3)-VLOOKUP(Sheet1!CY165,hhdcap_wcm,1)))*(VLOOKUP(Sheet1!CY165,hhdcap_wcm,4)-VLOOKUP(Sheet1!CY165,hhdcap_wcm,2))))</f>
        <v>45886.160000109237</v>
      </c>
      <c r="DG165" s="712">
        <f t="shared" si="689"/>
        <v>497.72000000049593</v>
      </c>
      <c r="DH165" s="712">
        <f t="shared" si="690"/>
        <v>250.99344427659904</v>
      </c>
      <c r="DI165" s="712">
        <f>Sheet1!DW165*AFtoMG</f>
        <v>0</v>
      </c>
      <c r="DJ165" s="712">
        <f>Sheet1!DX165*AFtoMG</f>
        <v>0</v>
      </c>
      <c r="DK165" s="712">
        <f>Sheet1!DY165*AFtoMG</f>
        <v>0</v>
      </c>
      <c r="DL165" s="712">
        <f>Sheet1!DZ165*AFtoMG</f>
        <v>0</v>
      </c>
      <c r="DM165" s="712">
        <f t="shared" si="691"/>
        <v>0</v>
      </c>
      <c r="DN165" s="712">
        <f t="shared" si="692"/>
        <v>0</v>
      </c>
      <c r="DO165" s="712">
        <f t="shared" si="693"/>
        <v>5464.6254466701284</v>
      </c>
      <c r="DP165" s="712">
        <f t="shared" si="694"/>
        <v>16765.470870383953</v>
      </c>
      <c r="DQ165" s="712"/>
      <c r="DR165" s="697">
        <f>IF(OR(B165&lt;FL165,B165&gt;FM165),(MIN(AV165+BO165+CJ165+MAX(Sheet1!AA165+AG165-73,0),K165)),0)</f>
        <v>0</v>
      </c>
      <c r="DS165" s="712"/>
      <c r="DT165" s="712">
        <f t="shared" si="695"/>
        <v>0</v>
      </c>
      <c r="DU165" s="712"/>
      <c r="DV165" s="712">
        <f>Sheet1!ED165+Sheet1!EE165+Sheet1!EF165+Sheet1!EG165</f>
        <v>8.5</v>
      </c>
      <c r="DW165" s="712"/>
      <c r="DX165" s="697">
        <f t="shared" si="696"/>
        <v>0</v>
      </c>
      <c r="DY165" s="712">
        <f>IF(Sheet1!FN165=1,SUM('Calculations II'!AT165:BA165)+'Calculations II'!BC165+Sheet1!BU165+'Calculations II'!BE165+AF165,SUM('Calculations II'!AT165:BA165)+'Calculations II'!BC165+Sheet1!BU165+'Calculations II'!BE165+AF165)</f>
        <v>46.367599999999996</v>
      </c>
      <c r="DZ165" s="712">
        <f>Sheet1!AA165+Sheet1!AB165+'Calculations II'!BC165</f>
        <v>52.300000000010186</v>
      </c>
      <c r="EA165" s="712"/>
      <c r="EB165" s="712"/>
      <c r="EC165" s="712">
        <f t="shared" si="697"/>
        <v>40694</v>
      </c>
      <c r="ED165" s="712">
        <f t="shared" si="698"/>
        <v>64.64</v>
      </c>
      <c r="EE165" s="712">
        <f t="shared" si="699"/>
        <v>99.998080000000002</v>
      </c>
      <c r="EF165" s="712">
        <f>-(VLOOKUP(Sheet1!BQ165,Lookup!$B$4:$J$236,2)-VLOOKUP(Sheet1!BQ164,Lookup!$B$4:$J$236,2))/1000000</f>
        <v>-2.4209000000000001</v>
      </c>
      <c r="EG165" s="712">
        <f>-(VLOOKUP(Sheet1!BR165,Lookup!$B$4:$J$236,3)-VLOOKUP(Sheet1!BR164,Lookup!$B$4:$J$236,3))/1000000</f>
        <v>-2.4129999999999998</v>
      </c>
      <c r="EH165" s="712">
        <f>-(VLOOKUP(Sheet1!BS165,Lookup!$B$4:$J$236,4)-VLOOKUP(Sheet1!BS164,Lookup!$B$4:$J$236,4))/1000000</f>
        <v>0</v>
      </c>
      <c r="EI165" s="697">
        <f t="shared" si="700"/>
        <v>-4.8338999999999999</v>
      </c>
      <c r="EJ165" s="712"/>
      <c r="EK165" s="712"/>
      <c r="EL165" s="712"/>
      <c r="EM165" s="712"/>
      <c r="EN165" s="712"/>
      <c r="EO165" s="712"/>
      <c r="EP165" s="712"/>
      <c r="EQ165" s="712"/>
      <c r="ES165" s="712"/>
      <c r="ET165" s="794" t="e">
        <f t="shared" si="437"/>
        <v>#N/A</v>
      </c>
      <c r="EU165" s="697">
        <v>5000</v>
      </c>
      <c r="EV165" s="795">
        <f t="shared" si="640"/>
        <v>22900.689129725284</v>
      </c>
      <c r="EW165" s="796" t="s">
        <v>757</v>
      </c>
      <c r="EX165" s="796" t="s">
        <v>757</v>
      </c>
      <c r="EY165" s="794">
        <v>0</v>
      </c>
      <c r="EZ165" s="794" t="e">
        <v>#N/A</v>
      </c>
      <c r="FA165" s="712"/>
      <c r="FB165" s="712"/>
      <c r="FC165" s="712"/>
      <c r="FD165" s="712"/>
      <c r="FE165" s="712">
        <f>O165+Sheet1!CO165</f>
        <v>52.300000000010186</v>
      </c>
      <c r="FF165" s="712">
        <f>IF(Sheet1!AA165+AG165&lt;=Calculation!N165,AG165,Calculation!N165-Sheet1!AA165)</f>
        <v>17.900000000001455</v>
      </c>
      <c r="FG165" s="712">
        <f>(Sheet1!BP165+Sheet1!BO165)/694.4</f>
        <v>2.035282258064516</v>
      </c>
      <c r="FH165" s="712"/>
      <c r="FI165" s="712"/>
      <c r="FJ165" s="712"/>
      <c r="FK165" s="712"/>
      <c r="FL165" s="714">
        <f t="shared" si="632"/>
        <v>40753</v>
      </c>
      <c r="FM165" s="714">
        <f t="shared" si="633"/>
        <v>40851</v>
      </c>
      <c r="FN165" s="712"/>
      <c r="FO165" s="712"/>
      <c r="FP165" s="712"/>
      <c r="FQ165" s="712"/>
      <c r="FR165" s="712"/>
      <c r="FS165" s="725">
        <f t="shared" si="634"/>
        <v>40603</v>
      </c>
      <c r="FT165" s="714">
        <f t="shared" si="635"/>
        <v>40709</v>
      </c>
      <c r="FU165" s="712">
        <f t="shared" si="636"/>
        <v>6518.9048239895692</v>
      </c>
      <c r="FV165" s="714">
        <f t="shared" si="637"/>
        <v>40722</v>
      </c>
      <c r="FW165" s="712">
        <f t="shared" si="638"/>
        <v>3259.4524119947846</v>
      </c>
      <c r="FX165" s="725">
        <f t="shared" si="639"/>
        <v>40851</v>
      </c>
      <c r="FZ165" s="697">
        <f t="shared" si="616"/>
        <v>0</v>
      </c>
      <c r="GA165" s="712" t="str">
        <f t="shared" si="701"/>
        <v/>
      </c>
      <c r="GB165" s="712">
        <f t="shared" si="702"/>
        <v>0</v>
      </c>
      <c r="GC165" s="712" t="str">
        <f t="shared" si="703"/>
        <v/>
      </c>
      <c r="GD165" s="712">
        <f>IF(GA165="P",Lookup!$M$12,IF(GA165="PP",Lookup!$M$13,IF(GA165="PPP",Lookup!$M$14,IF(GA165="T",Lookup!$M$15,IF(GA165="TP",Lookup!$M$16,IF(GA165="TPP",Lookup!$M$17,IF(GA165="TPPP",Lookup!$M$18,0)))))))*FZ165</f>
        <v>0</v>
      </c>
      <c r="GE165" s="712">
        <f t="shared" si="704"/>
        <v>0</v>
      </c>
      <c r="GF165" s="712">
        <f t="shared" si="705"/>
        <v>7602.0949333333392</v>
      </c>
      <c r="GG165" s="712">
        <f t="shared" si="706"/>
        <v>2477.8666666666686</v>
      </c>
      <c r="GH165" s="712"/>
      <c r="GI165" s="712">
        <f t="shared" si="707"/>
        <v>0</v>
      </c>
      <c r="GJ165" s="712" t="str">
        <f t="shared" si="708"/>
        <v/>
      </c>
      <c r="GK165" s="712">
        <f>IF(GA165="P",Lookup!$N$12,IF(GA165="PP",Lookup!$N$13,IF(GA165="PPP",Lookup!$N$14,IF(GA165="T",Lookup!$N$15,IF(GA165="TP",Lookup!$N$16,IF(GA165="TPP",Lookup!$N$17,IF(GA165="TPPP",Lookup!$N$18,0)))))))*FZ165</f>
        <v>0</v>
      </c>
      <c r="GL165" s="712">
        <f t="shared" si="709"/>
        <v>0</v>
      </c>
      <c r="GM165" s="712">
        <f t="shared" si="710"/>
        <v>3547.6443022222211</v>
      </c>
      <c r="GN165" s="712">
        <f t="shared" si="711"/>
        <v>1156.3377777777773</v>
      </c>
      <c r="GO165" s="712"/>
      <c r="GP165" s="712">
        <f t="shared" si="712"/>
        <v>0</v>
      </c>
      <c r="GQ165" s="712" t="str">
        <f t="shared" si="713"/>
        <v/>
      </c>
      <c r="GR165" s="712">
        <f>IF(GA165="P",Lookup!$N$12,IF(GA165="PP",Lookup!$N$13,IF(GA165="PPP",Lookup!$N$14,IF(GA165="T",Lookup!$N$15,IF(GA165="TP",Lookup!$N$16,IF(GA165="TPP",Lookup!$N$17,IF(GA165="TPPP",Lookup!$N$18,0)))))))*FZ165</f>
        <v>0</v>
      </c>
      <c r="GS165" s="697">
        <f t="shared" si="628"/>
        <v>0</v>
      </c>
      <c r="GT165" s="712">
        <f t="shared" si="714"/>
        <v>3119.50688181539</v>
      </c>
      <c r="GU165" s="712">
        <f t="shared" si="715"/>
        <v>1016.7884230167502</v>
      </c>
      <c r="GV165" s="712"/>
      <c r="GW165" s="712">
        <f t="shared" si="716"/>
        <v>0</v>
      </c>
      <c r="GX165" s="712" t="str">
        <f t="shared" si="717"/>
        <v/>
      </c>
      <c r="GY165" s="712">
        <f>IF(GA165="P",Lookup!$N$12,IF(GA165="PP",Lookup!$N$13,IF(GA165="PPP",Lookup!$N$14,IF(GA165="T",Lookup!$N$15,IF(GA165="TP",Lookup!$N$16,IF(GA165="TPP",Lookup!$N$17,IF(GA165="TPPP",Lookup!$N$18,0)))))))*FZ165</f>
        <v>0</v>
      </c>
      <c r="GZ165" s="697">
        <f t="shared" si="629"/>
        <v>0</v>
      </c>
      <c r="HA165" s="712">
        <f t="shared" si="718"/>
        <v>2496.2247530130039</v>
      </c>
      <c r="HB165" s="712">
        <f t="shared" si="719"/>
        <v>813.63257920893216</v>
      </c>
      <c r="HC165" s="712"/>
    </row>
    <row r="166" spans="1:211">
      <c r="A166" s="773" t="s">
        <v>6</v>
      </c>
      <c r="B166" s="708">
        <v>40695</v>
      </c>
      <c r="C166" s="719">
        <v>0.5</v>
      </c>
      <c r="D166" s="675">
        <f t="shared" si="641"/>
        <v>300</v>
      </c>
      <c r="E166" s="675">
        <f t="shared" si="642"/>
        <v>250</v>
      </c>
      <c r="F166" s="675">
        <v>250</v>
      </c>
      <c r="G166" s="712">
        <f>DH166+Sheet1!CV166</f>
        <v>2066.2361321238541</v>
      </c>
      <c r="H166" s="712">
        <f t="shared" si="643"/>
        <v>1068.6518358048593</v>
      </c>
      <c r="I166" s="711">
        <f>MAX(Sheet1!Z166-AJ166+(Sheet1!CW166-E166)*CFStoMGD,0)</f>
        <v>1207.9133333333332</v>
      </c>
      <c r="J166" s="720">
        <f>IF(AND(B166&gt;=Calculation!FS166,B166&lt;=Calculation!FT166),IF(Sheet1!CX166&gt;=Calculation!D166,64.64,0),MAX(Sheet1!Z166-AJ166+(Sheet1!CX166-D166)*CFStoMGD,0))</f>
        <v>64.64</v>
      </c>
      <c r="K166" s="697">
        <f t="shared" si="644"/>
        <v>64.64</v>
      </c>
      <c r="L166" s="712">
        <f>Sheet1!AA166+Sheet1!AB166-Sheet1!L166+(Sheet1!CW166-F166)*CFStoMGD</f>
        <v>1244.6833333333293</v>
      </c>
      <c r="M166" s="712">
        <f t="shared" si="645"/>
        <v>1362.3273365209566</v>
      </c>
      <c r="N166" s="712">
        <f>IF(Sheet1!CW166&gt;=F166,MIN(73,MIN(MAX(L166,0),MAX(M166,0))),0)</f>
        <v>73</v>
      </c>
      <c r="O166" s="721">
        <f>Sheet1!AA166+Sheet1!AB166</f>
        <v>50.69999999999709</v>
      </c>
      <c r="P166" s="721">
        <f t="shared" si="646"/>
        <v>78.432899999995499</v>
      </c>
      <c r="Q166" s="712">
        <f>MIN(N166,Sheet1!AA166+AG166)</f>
        <v>50.69999999999709</v>
      </c>
      <c r="R166" s="712">
        <f t="shared" si="647"/>
        <v>0</v>
      </c>
      <c r="S166" s="721">
        <f>Sheet1!Y166*MGDtoCFS</f>
        <v>53.371499999999997</v>
      </c>
      <c r="T166" s="721">
        <f>Sheet1!Z166*MGDtoCFS</f>
        <v>27.5366</v>
      </c>
      <c r="U166" s="721">
        <f>Sheet1!AA166*MGDtoCFS</f>
        <v>52.907399999995498</v>
      </c>
      <c r="V166" s="721">
        <f>Sheet1!AB166*MGDtoCFS</f>
        <v>25.525499999999997</v>
      </c>
      <c r="W166" s="721">
        <f>Sheet1!L166*MGDtoCFS</f>
        <v>19.538610000001576</v>
      </c>
      <c r="X166" s="697">
        <f t="shared" si="648"/>
        <v>0</v>
      </c>
      <c r="Y166" s="712">
        <f t="shared" si="649"/>
        <v>0</v>
      </c>
      <c r="Z166" s="712">
        <f t="shared" si="650"/>
        <v>64.64</v>
      </c>
      <c r="AA166" s="712">
        <f t="shared" si="651"/>
        <v>99.998080000000002</v>
      </c>
      <c r="AB166" s="712">
        <f>(VLOOKUP(Sheet1!CY166,hhdcap_wcm,4)-(((VLOOKUP(Sheet1!CY166,hhdcap_wcm,3)-Sheet1!CY166)/(VLOOKUP(Sheet1!CY166,hhdcap_wcm,3)-VLOOKUP(Sheet1!CY166,hhdcap_wcm,1)))*(VLOOKUP(Sheet1!CY166,hhdcap_wcm,4)-VLOOKUP(Sheet1!CY166,hhdcap_wcm,2))))</f>
        <v>46485.99000011084</v>
      </c>
      <c r="AC166" s="712">
        <f t="shared" si="652"/>
        <v>599.83000000160246</v>
      </c>
      <c r="AD166" s="712">
        <f t="shared" si="653"/>
        <v>5529.2654466701279</v>
      </c>
      <c r="AE166" s="712">
        <f t="shared" si="654"/>
        <v>16963.786390383953</v>
      </c>
      <c r="AF166" s="712">
        <f>Sheet1!BA166+Sheet1!BB166+Sheet1!BN166+BT166</f>
        <v>16.3</v>
      </c>
      <c r="AG166" s="712">
        <f t="shared" si="655"/>
        <v>16.5</v>
      </c>
      <c r="AH166" s="712">
        <f>Sheet1!BA166+BT166</f>
        <v>0</v>
      </c>
      <c r="AI166" s="712">
        <f>Sheet1!BA166+Sheet1!BB166+BT166</f>
        <v>0</v>
      </c>
      <c r="AJ166" s="712">
        <f>IF((Sheet1!AA166+AG166+AX166+AZ166+BQ166+BS166+CL166+CN166)&lt;=N166,AG166+AX166+AZ166+BQ166+BS166+CL166+CN166,N166-Sheet1!AA166)</f>
        <v>16.5</v>
      </c>
      <c r="AK166" s="712">
        <f>IF(DR166&lt;K166,0,MAX(Sheet1!AA166+AG166-15/36*K166-N166,Sheet1!ED166,0))</f>
        <v>0</v>
      </c>
      <c r="AL166" s="712">
        <f>IF(OR(B166&gt;=FT166,B166&lt;FS166),0,15/36*K166-MAX(0,64.6-(137.6-(Sheet1!AA166+Sheet1!AB166))))</f>
        <v>26.933333333333334</v>
      </c>
      <c r="AM166" s="712">
        <f>Sheet1!CX166-110</f>
        <v>1593.5416666666667</v>
      </c>
      <c r="AN166" s="712">
        <f>Sheet1!CW166-265</f>
        <v>1851.6666666666665</v>
      </c>
      <c r="AO166" s="712">
        <f t="shared" si="622"/>
        <v>22.30000000000291</v>
      </c>
      <c r="AP166" s="712">
        <f t="shared" si="656"/>
        <v>0</v>
      </c>
      <c r="AQ166" s="712">
        <f t="shared" si="657"/>
        <v>0</v>
      </c>
      <c r="AR166" s="712">
        <f t="shared" si="658"/>
        <v>2504.800000000002</v>
      </c>
      <c r="AS166" s="712"/>
      <c r="AT166" s="712">
        <f ca="1">IF(B166&gt;Summary!$A$1,#N/A,AR166*MGtoAF)</f>
        <v>7684.7264000000059</v>
      </c>
      <c r="AU166" s="712">
        <f>Sheet1!BG166+Sheet1!BH166+Sheet1!BI166-BC166</f>
        <v>0</v>
      </c>
      <c r="AV166" s="712">
        <f t="shared" si="659"/>
        <v>0</v>
      </c>
      <c r="AW166" s="712">
        <f>IF(Sheet1!EL166="FM",BC166,0)</f>
        <v>0</v>
      </c>
      <c r="AX166" s="712">
        <f t="shared" si="660"/>
        <v>0</v>
      </c>
      <c r="AY166" s="712">
        <f>IF(Sheet1!EL166="OTHER",BC166,0)</f>
        <v>0</v>
      </c>
      <c r="AZ166" s="712">
        <f t="shared" si="661"/>
        <v>0</v>
      </c>
      <c r="BA166" s="712">
        <f t="shared" si="662"/>
        <v>0</v>
      </c>
      <c r="BB166" s="712">
        <f t="shared" si="663"/>
        <v>0</v>
      </c>
      <c r="BC166" s="712">
        <f>IF(OR(Sheet1!EL166="FM", Sheet1!EL166="OTHER"),SUM(Sheet1!BG166:'Sheet1'!BI166),0)</f>
        <v>0</v>
      </c>
      <c r="BD166" s="697">
        <f>IF(AND($B166&gt;=$FL166,$B166&lt;=$FM166),MAX(AV166,Sheet1!EE166,0),MAX(AV166-(7/36)*$K166,0))</f>
        <v>0</v>
      </c>
      <c r="BE166" s="712">
        <f t="shared" si="664"/>
        <v>12.568888888888889</v>
      </c>
      <c r="BF166" s="697">
        <f t="shared" si="665"/>
        <v>0</v>
      </c>
      <c r="BG166" s="697">
        <f>IF(AND($O166&gt;0,Sheet1!EI166=1),(1-($O166-Sheet1!$L166)/$O166)*BB166,0)</f>
        <v>0</v>
      </c>
      <c r="BH166" s="697">
        <f>IF(AND(Sheet1!$L166=0,Sheet1!$L165=0, Calculation!BA166&lt;Sheet1!$EE166-0.1,Sheet1!$EE166=Sheet1!$EE165,Sheet1!$EE166=Sheet1!$EE167),Sheet1!$EE166,BB166-BG166)</f>
        <v>0</v>
      </c>
      <c r="BI166" s="712"/>
      <c r="BJ166" s="712"/>
      <c r="BK166" s="712">
        <f t="shared" si="666"/>
        <v>1168.9066666666663</v>
      </c>
      <c r="BL166" s="712"/>
      <c r="BM166" s="712">
        <f ca="1">IF(B166&gt;Summary!$A$1,#N/A,BK166*MGtoAF)</f>
        <v>3586.2056533333321</v>
      </c>
      <c r="BN166" s="712">
        <f>Sheet1!BC166+Sheet1!BD166+Sheet1!BE166+Sheet1!BF166-BW166-BX166</f>
        <v>0</v>
      </c>
      <c r="BO166" s="712">
        <f t="shared" si="667"/>
        <v>0</v>
      </c>
      <c r="BP166" s="712">
        <f>IF(Sheet1!EM166="FM",BX166,0)</f>
        <v>0</v>
      </c>
      <c r="BQ166" s="712">
        <f t="shared" si="668"/>
        <v>0</v>
      </c>
      <c r="BR166" s="712">
        <f>IF(Sheet1!EM166="OTHER",BX166,0)</f>
        <v>0</v>
      </c>
      <c r="BS166" s="712">
        <f t="shared" si="669"/>
        <v>0</v>
      </c>
      <c r="BT166" s="712">
        <f t="shared" si="670"/>
        <v>0</v>
      </c>
      <c r="BU166" s="712">
        <f t="shared" si="671"/>
        <v>0</v>
      </c>
      <c r="BV166" s="712">
        <f t="shared" si="672"/>
        <v>0</v>
      </c>
      <c r="BW166" s="712">
        <f>IF(Sheet1!EM166="CWA",SUM(Sheet1!BC166:'Sheet1'!BF166),0)</f>
        <v>0</v>
      </c>
      <c r="BX166" s="712">
        <f>IF(OR(Sheet1!EM166="FM", Sheet1!EM166="OTHER"),SUM(Sheet1!BC166:'Sheet1'!BF166),0)</f>
        <v>0</v>
      </c>
      <c r="BY166" s="697">
        <f>IF(AND($B166&gt;=$FL166,$B166&lt;=$FM166),MAX(BV166,Sheet1!EF166,0),MAX(BV166-(7/36)*$K166,0))</f>
        <v>0</v>
      </c>
      <c r="BZ166" s="712">
        <f t="shared" si="673"/>
        <v>12.568888888888889</v>
      </c>
      <c r="CA166" s="697">
        <f t="shared" si="674"/>
        <v>0</v>
      </c>
      <c r="CB166" s="697">
        <f>IF(AND($O166&gt;0,Sheet1!EJ166=1),(1-($O166-Sheet1!$L166)/$O166)*BV166,0)</f>
        <v>0</v>
      </c>
      <c r="CC166" s="697">
        <f>IF(AND(Sheet1!$L166=0,Sheet1!$L165=0, Calculation!BU166&lt;Sheet1!EF166-0.1,Sheet1!EF166=Sheet1!EF165,Sheet1!EF166=Sheet1!EF167),Sheet1!EF166,BV166-CB166)</f>
        <v>0</v>
      </c>
      <c r="CD166" s="697"/>
      <c r="CE166" s="712"/>
      <c r="CF166" s="712">
        <f t="shared" si="675"/>
        <v>1029.3573119056391</v>
      </c>
      <c r="CG166" s="712"/>
      <c r="CH166" s="712">
        <f ca="1">IF(B166&gt;Summary!$A$1,#N/A,CF166*MGtoAF)</f>
        <v>3158.068232926501</v>
      </c>
      <c r="CI166" s="712">
        <f>Sheet1!BK166+Sheet1!BL166+Sheet1!BM166-Sheet1!EN166-CQ166</f>
        <v>0</v>
      </c>
      <c r="CJ166" s="712">
        <f t="shared" si="676"/>
        <v>0</v>
      </c>
      <c r="CK166" s="712">
        <f>IF(Sheet1!EN166="FM",CQ166,0)</f>
        <v>0</v>
      </c>
      <c r="CL166" s="712">
        <f t="shared" si="677"/>
        <v>0</v>
      </c>
      <c r="CM166" s="712">
        <f>IF(Sheet1!EN166="OTHER",CQ166,0)</f>
        <v>0</v>
      </c>
      <c r="CN166" s="712">
        <f t="shared" si="678"/>
        <v>0</v>
      </c>
      <c r="CO166" s="712">
        <f t="shared" si="679"/>
        <v>0</v>
      </c>
      <c r="CP166" s="712">
        <f t="shared" si="680"/>
        <v>0</v>
      </c>
      <c r="CQ166" s="712">
        <f>IF(OR(Sheet1!EN166="FM", Sheet1!EN166="OTHER"),SUM(Sheet1!BK166:'Sheet1'!BM166),0)</f>
        <v>0</v>
      </c>
      <c r="CR166" s="697">
        <f>IF(AND($B166&gt;=$FL166,$B166&lt;=$FM166),MAX($CJ166,Sheet1!EG166,0),MAX($CJ166-(7/36)*$K166,0))</f>
        <v>0</v>
      </c>
      <c r="CS166" s="712">
        <f t="shared" si="681"/>
        <v>12.568888888888889</v>
      </c>
      <c r="CT166" s="697">
        <f t="shared" si="682"/>
        <v>0</v>
      </c>
      <c r="CU166" s="697">
        <f>IF(AND($O166&gt;0,Sheet1!EK166=1),(1-($O166-Sheet1!$L166)/$O166)*CP166,0)</f>
        <v>0</v>
      </c>
      <c r="CV166" s="697">
        <f>IF(AND(Sheet1!$L166=0,Sheet1!$L165=0, Calculation!CO166&lt;Sheet1!$EG166-0.1,Sheet1!$EG166=Sheet1!$EG165,Sheet1!$EG166=Sheet1!$EG167),Sheet1!$EG166,CP166-CU166)</f>
        <v>0</v>
      </c>
      <c r="CW166" s="697">
        <f t="shared" si="613"/>
        <v>0</v>
      </c>
      <c r="CX166" s="712">
        <f t="shared" si="683"/>
        <v>0</v>
      </c>
      <c r="CY166" s="712">
        <f t="shared" si="684"/>
        <v>826.20146809782102</v>
      </c>
      <c r="CZ166" s="712">
        <f t="shared" si="685"/>
        <v>0</v>
      </c>
      <c r="DA166" s="712">
        <f ca="1">IF(B166&gt;Summary!$A$1,#N/A,CY166*MGtoAF)</f>
        <v>2534.7861041241149</v>
      </c>
      <c r="DB166" s="712">
        <f t="shared" si="686"/>
        <v>0</v>
      </c>
      <c r="DC166" s="712">
        <f t="shared" si="687"/>
        <v>16.3</v>
      </c>
      <c r="DD166" s="712">
        <f>Sheet1!AB166-DC166</f>
        <v>0.19999999999999929</v>
      </c>
      <c r="DE166" s="712">
        <f t="shared" si="688"/>
        <v>1.2269938650306704E-2</v>
      </c>
      <c r="DF166" s="712">
        <f>(VLOOKUP(Sheet1!CY166,hhdcap_wcm,4)-(((VLOOKUP(Sheet1!CY166,hhdcap_wcm,3)-Sheet1!CY166)/(VLOOKUP(Sheet1!CY166,hhdcap_wcm,3)-VLOOKUP(Sheet1!CY166,hhdcap_wcm,1)))*(VLOOKUP(Sheet1!CY166,hhdcap_wcm,4)-VLOOKUP(Sheet1!CY166,hhdcap_wcm,2))))</f>
        <v>46485.99000011084</v>
      </c>
      <c r="DG166" s="712">
        <f t="shared" si="689"/>
        <v>599.83000000160246</v>
      </c>
      <c r="DH166" s="712">
        <f t="shared" si="690"/>
        <v>302.48613212385396</v>
      </c>
      <c r="DI166" s="712">
        <f>Sheet1!DW166*AFtoMG</f>
        <v>0</v>
      </c>
      <c r="DJ166" s="712">
        <f>Sheet1!DX166*AFtoMG</f>
        <v>0</v>
      </c>
      <c r="DK166" s="712">
        <f>Sheet1!DY166*AFtoMG</f>
        <v>0</v>
      </c>
      <c r="DL166" s="712">
        <f>Sheet1!DZ166*AFtoMG</f>
        <v>0</v>
      </c>
      <c r="DM166" s="712">
        <f t="shared" si="691"/>
        <v>0</v>
      </c>
      <c r="DN166" s="712">
        <f t="shared" si="692"/>
        <v>0</v>
      </c>
      <c r="DO166" s="712">
        <f t="shared" si="693"/>
        <v>5529.2654466701279</v>
      </c>
      <c r="DP166" s="712">
        <f t="shared" si="694"/>
        <v>16963.786390383953</v>
      </c>
      <c r="DQ166" s="712"/>
      <c r="DR166" s="697">
        <f>IF(OR(B166&lt;FL166,B166&gt;FM166),(MIN(AV166+BO166+CJ166+MAX(Sheet1!AA166+AG166-73,0),K166)),0)</f>
        <v>0</v>
      </c>
      <c r="DS166" s="712"/>
      <c r="DT166" s="712">
        <f t="shared" si="695"/>
        <v>0</v>
      </c>
      <c r="DU166" s="712"/>
      <c r="DV166" s="712">
        <f>Sheet1!ED166+Sheet1!EE166+Sheet1!EF166+Sheet1!EG166</f>
        <v>8.5</v>
      </c>
      <c r="DW166" s="712"/>
      <c r="DX166" s="697">
        <f t="shared" si="696"/>
        <v>0</v>
      </c>
      <c r="DY166" s="712">
        <f>IF(Sheet1!FN166=1,SUM('Calculations II'!AT166:BA166)+'Calculations II'!BC166+Sheet1!BU166+'Calculations II'!BE166+AF166,SUM('Calculations II'!AT166:BA166)+'Calculations II'!BC166+Sheet1!BU166+'Calculations II'!BE166+AF166)</f>
        <v>46.866272000000002</v>
      </c>
      <c r="DZ166" s="712">
        <f>Sheet1!AA166+Sheet1!AB166+'Calculations II'!BC166</f>
        <v>50.69999999999709</v>
      </c>
      <c r="EA166" s="712"/>
      <c r="EB166" s="712"/>
      <c r="EC166" s="712">
        <f t="shared" si="697"/>
        <v>40695</v>
      </c>
      <c r="ED166" s="712">
        <f t="shared" si="698"/>
        <v>64.64</v>
      </c>
      <c r="EE166" s="712">
        <f t="shared" si="699"/>
        <v>99.998080000000002</v>
      </c>
      <c r="EF166" s="712">
        <f>-(VLOOKUP(Sheet1!BQ166,Lookup!$B$4:$J$236,2)-VLOOKUP(Sheet1!BQ165,Lookup!$B$4:$J$236,2))/1000000</f>
        <v>-1.3525</v>
      </c>
      <c r="EG166" s="712">
        <f>-(VLOOKUP(Sheet1!BR166,Lookup!$B$4:$J$236,3)-VLOOKUP(Sheet1!BR165,Lookup!$B$4:$J$236,3))/1000000</f>
        <v>-1.35</v>
      </c>
      <c r="EH166" s="712">
        <f>-(VLOOKUP(Sheet1!BS166,Lookup!$B$4:$J$236,4)-VLOOKUP(Sheet1!BS165,Lookup!$B$4:$J$236,4))/1000000</f>
        <v>0</v>
      </c>
      <c r="EI166" s="697">
        <f t="shared" si="700"/>
        <v>-2.7025000000000001</v>
      </c>
      <c r="EJ166" s="712"/>
      <c r="EK166" s="712"/>
      <c r="EL166" s="712"/>
      <c r="EM166" s="712"/>
      <c r="EN166" s="712"/>
      <c r="EO166" s="712"/>
      <c r="EP166" s="712"/>
      <c r="EQ166" s="712"/>
      <c r="ES166" s="712"/>
      <c r="ET166" s="794" t="e">
        <f t="shared" si="437"/>
        <v>#N/A</v>
      </c>
      <c r="EU166" s="697">
        <v>5000</v>
      </c>
      <c r="EV166" s="795">
        <f t="shared" si="640"/>
        <v>23302.203609726886</v>
      </c>
      <c r="EW166" s="796" t="s">
        <v>757</v>
      </c>
      <c r="EX166" s="796" t="s">
        <v>757</v>
      </c>
      <c r="EY166" s="794">
        <v>0</v>
      </c>
      <c r="EZ166" s="794" t="e">
        <v>#N/A</v>
      </c>
      <c r="FA166" s="712"/>
      <c r="FB166" s="712"/>
      <c r="FC166" s="712"/>
      <c r="FD166" s="712"/>
      <c r="FE166" s="712">
        <f>O166+Sheet1!CO166</f>
        <v>50.69999999999709</v>
      </c>
      <c r="FF166" s="712">
        <f>IF(Sheet1!AA166+AG166&lt;=Calculation!N166,AG166,Calculation!N166-Sheet1!AA166)</f>
        <v>16.5</v>
      </c>
      <c r="FG166" s="712">
        <f>(Sheet1!BP166+Sheet1!BO166)/694.4</f>
        <v>1.8424539170506915</v>
      </c>
      <c r="FH166" s="712"/>
      <c r="FI166" s="712"/>
      <c r="FJ166" s="712"/>
      <c r="FK166" s="712"/>
      <c r="FL166" s="714">
        <f t="shared" si="632"/>
        <v>40753</v>
      </c>
      <c r="FM166" s="714">
        <f t="shared" si="633"/>
        <v>40851</v>
      </c>
      <c r="FN166" s="712"/>
      <c r="FO166" s="712"/>
      <c r="FP166" s="712"/>
      <c r="FQ166" s="712"/>
      <c r="FR166" s="712"/>
      <c r="FS166" s="725">
        <f t="shared" si="634"/>
        <v>40603</v>
      </c>
      <c r="FT166" s="714">
        <f t="shared" si="635"/>
        <v>40709</v>
      </c>
      <c r="FU166" s="712">
        <f t="shared" si="636"/>
        <v>6518.9048239895692</v>
      </c>
      <c r="FV166" s="714">
        <f t="shared" si="637"/>
        <v>40722</v>
      </c>
      <c r="FW166" s="712">
        <f t="shared" si="638"/>
        <v>3259.4524119947846</v>
      </c>
      <c r="FX166" s="725">
        <f t="shared" si="639"/>
        <v>40851</v>
      </c>
      <c r="FZ166" s="697">
        <f t="shared" si="616"/>
        <v>0</v>
      </c>
      <c r="GA166" s="712" t="str">
        <f t="shared" si="701"/>
        <v/>
      </c>
      <c r="GB166" s="712">
        <f t="shared" si="702"/>
        <v>0</v>
      </c>
      <c r="GC166" s="712" t="str">
        <f t="shared" si="703"/>
        <v/>
      </c>
      <c r="GD166" s="712">
        <f>IF(GA166="P",Lookup!$M$12,IF(GA166="PP",Lookup!$M$13,IF(GA166="PPP",Lookup!$M$14,IF(GA166="T",Lookup!$M$15,IF(GA166="TP",Lookup!$M$16,IF(GA166="TPP",Lookup!$M$17,IF(GA166="TPPP",Lookup!$M$18,0)))))))*FZ166</f>
        <v>0</v>
      </c>
      <c r="GE166" s="712">
        <f t="shared" si="704"/>
        <v>0</v>
      </c>
      <c r="GF166" s="712">
        <f t="shared" si="705"/>
        <v>7684.7264000000059</v>
      </c>
      <c r="GG166" s="712">
        <f t="shared" si="706"/>
        <v>2504.800000000002</v>
      </c>
      <c r="GH166" s="712"/>
      <c r="GI166" s="712">
        <f t="shared" si="707"/>
        <v>0</v>
      </c>
      <c r="GJ166" s="712" t="str">
        <f t="shared" si="708"/>
        <v/>
      </c>
      <c r="GK166" s="712">
        <f>IF(GA166="P",Lookup!$N$12,IF(GA166="PP",Lookup!$N$13,IF(GA166="PPP",Lookup!$N$14,IF(GA166="T",Lookup!$N$15,IF(GA166="TP",Lookup!$N$16,IF(GA166="TPP",Lookup!$N$17,IF(GA166="TPPP",Lookup!$N$18,0)))))))*FZ166</f>
        <v>0</v>
      </c>
      <c r="GL166" s="712">
        <f t="shared" si="709"/>
        <v>0</v>
      </c>
      <c r="GM166" s="712">
        <f t="shared" si="710"/>
        <v>3586.2056533333321</v>
      </c>
      <c r="GN166" s="712">
        <f t="shared" si="711"/>
        <v>1168.9066666666663</v>
      </c>
      <c r="GO166" s="712"/>
      <c r="GP166" s="712">
        <f t="shared" si="712"/>
        <v>0</v>
      </c>
      <c r="GQ166" s="712" t="str">
        <f t="shared" si="713"/>
        <v/>
      </c>
      <c r="GR166" s="712">
        <f>IF(GA166="P",Lookup!$N$12,IF(GA166="PP",Lookup!$N$13,IF(GA166="PPP",Lookup!$N$14,IF(GA166="T",Lookup!$N$15,IF(GA166="TP",Lookup!$N$16,IF(GA166="TPP",Lookup!$N$17,IF(GA166="TPPP",Lookup!$N$18,0)))))))*FZ166</f>
        <v>0</v>
      </c>
      <c r="GS166" s="697">
        <f t="shared" si="628"/>
        <v>0</v>
      </c>
      <c r="GT166" s="712">
        <f t="shared" si="714"/>
        <v>3158.068232926501</v>
      </c>
      <c r="GU166" s="712">
        <f t="shared" si="715"/>
        <v>1029.3573119056391</v>
      </c>
      <c r="GV166" s="712"/>
      <c r="GW166" s="712">
        <f t="shared" si="716"/>
        <v>0</v>
      </c>
      <c r="GX166" s="712" t="str">
        <f t="shared" si="717"/>
        <v/>
      </c>
      <c r="GY166" s="712">
        <f>IF(GA166="P",Lookup!$N$12,IF(GA166="PP",Lookup!$N$13,IF(GA166="PPP",Lookup!$N$14,IF(GA166="T",Lookup!$N$15,IF(GA166="TP",Lookup!$N$16,IF(GA166="TPP",Lookup!$N$17,IF(GA166="TPPP",Lookup!$N$18,0)))))))*FZ166</f>
        <v>0</v>
      </c>
      <c r="GZ166" s="697">
        <f t="shared" si="629"/>
        <v>0</v>
      </c>
      <c r="HA166" s="712">
        <f t="shared" si="718"/>
        <v>2534.7861041241149</v>
      </c>
      <c r="HB166" s="712">
        <f t="shared" si="719"/>
        <v>826.20146809782102</v>
      </c>
      <c r="HC166" s="712"/>
    </row>
    <row r="167" spans="1:211">
      <c r="A167" s="773" t="s">
        <v>7</v>
      </c>
      <c r="B167" s="708">
        <v>40696</v>
      </c>
      <c r="C167" s="709">
        <v>0.5</v>
      </c>
      <c r="D167" s="675">
        <f t="shared" si="641"/>
        <v>300</v>
      </c>
      <c r="E167" s="675">
        <f t="shared" si="642"/>
        <v>250</v>
      </c>
      <c r="F167" s="675">
        <v>250</v>
      </c>
      <c r="G167" s="712">
        <f>DH167+Sheet1!CV167</f>
        <v>2421.677382753528</v>
      </c>
      <c r="H167" s="712">
        <f t="shared" si="643"/>
        <v>1298.4090602118804</v>
      </c>
      <c r="I167" s="711">
        <f>MAX(Sheet1!Z167-AJ167+(Sheet1!CW167-E167)*CFStoMGD,0)</f>
        <v>1672.8354071510967</v>
      </c>
      <c r="J167" s="720">
        <f>IF(AND(B167&gt;=Calculation!FS167,B167&lt;=Calculation!FT167),IF(Sheet1!CX167&gt;=Calculation!D167,64.64,0),MAX(Sheet1!Z167-AJ167+(Sheet1!CX167-D167)*CFStoMGD,0))</f>
        <v>64.64</v>
      </c>
      <c r="K167" s="697">
        <f t="shared" si="644"/>
        <v>64.64</v>
      </c>
      <c r="L167" s="712">
        <f>Sheet1!AA167+Sheet1!AB167-Sheet1!L167+(Sheet1!CW167-F167)*CFStoMGD</f>
        <v>1719.3373333333341</v>
      </c>
      <c r="M167" s="712">
        <f t="shared" si="645"/>
        <v>1596.6797054161182</v>
      </c>
      <c r="N167" s="712">
        <f>IF(Sheet1!CW167&gt;=F167,MIN(73,MIN(MAX(L167,0),MAX(M167,0))),0)</f>
        <v>73</v>
      </c>
      <c r="O167" s="721">
        <f>Sheet1!AA167+Sheet1!AB167</f>
        <v>50.319999999999709</v>
      </c>
      <c r="P167" s="721">
        <f t="shared" si="646"/>
        <v>77.845039999999543</v>
      </c>
      <c r="Q167" s="712">
        <f>MIN(N167,Sheet1!AA167+AG167)</f>
        <v>45.71192618223769</v>
      </c>
      <c r="R167" s="712">
        <f t="shared" si="647"/>
        <v>4.6080738177620182</v>
      </c>
      <c r="S167" s="721">
        <f>Sheet1!Y167*MGDtoCFS</f>
        <v>51.2057</v>
      </c>
      <c r="T167" s="721">
        <f>Sheet1!Z167*MGDtoCFS</f>
        <v>20.420399999999997</v>
      </c>
      <c r="U167" s="721">
        <f>Sheet1!AA167*MGDtoCFS</f>
        <v>50.617840000001799</v>
      </c>
      <c r="V167" s="721">
        <f>Sheet1!AB167*MGDtoCFS</f>
        <v>27.227199999997747</v>
      </c>
      <c r="W167" s="721">
        <f>Sheet1!L167*MGDtoCFS</f>
        <v>5.584669999998086</v>
      </c>
      <c r="X167" s="697">
        <f t="shared" si="648"/>
        <v>0</v>
      </c>
      <c r="Y167" s="712">
        <f t="shared" si="649"/>
        <v>0</v>
      </c>
      <c r="Z167" s="712">
        <f t="shared" si="650"/>
        <v>60.031926182237981</v>
      </c>
      <c r="AA167" s="712">
        <f t="shared" si="651"/>
        <v>92.869389803922147</v>
      </c>
      <c r="AB167" s="712">
        <f>(VLOOKUP(Sheet1!CY167,hhdcap_wcm,4)-(((VLOOKUP(Sheet1!CY167,hhdcap_wcm,3)-Sheet1!CY167)/(VLOOKUP(Sheet1!CY167,hhdcap_wcm,3)-VLOOKUP(Sheet1!CY167,hhdcap_wcm,1)))*(VLOOKUP(Sheet1!CY167,hhdcap_wcm,4)-VLOOKUP(Sheet1!CY167,hhdcap_wcm,2))))</f>
        <v>46726.450000111086</v>
      </c>
      <c r="AC167" s="712">
        <f t="shared" si="652"/>
        <v>240.46000000024651</v>
      </c>
      <c r="AD167" s="712">
        <f t="shared" si="653"/>
        <v>5589.2973728523666</v>
      </c>
      <c r="AE167" s="712">
        <f t="shared" si="654"/>
        <v>17147.964339911061</v>
      </c>
      <c r="AF167" s="712">
        <f>Sheet1!BA167+Sheet1!BB167+Sheet1!BN167+BT167</f>
        <v>12.8</v>
      </c>
      <c r="AG167" s="712">
        <f t="shared" si="655"/>
        <v>12.991926182236528</v>
      </c>
      <c r="AH167" s="712">
        <f>Sheet1!BA167+BT167</f>
        <v>0</v>
      </c>
      <c r="AI167" s="712">
        <f>Sheet1!BA167+Sheet1!BB167+BT167</f>
        <v>0</v>
      </c>
      <c r="AJ167" s="712">
        <f>IF((Sheet1!AA167+AG167+AX167+AZ167+BQ167+BS167+CL167+CN167)&lt;=N167,AG167+AX167+AZ167+BQ167+BS167+CL167+CN167,N167-Sheet1!AA167)</f>
        <v>12.991926182236528</v>
      </c>
      <c r="AK167" s="712">
        <f>IF(DR167&lt;K167,0,MAX(Sheet1!AA167+AG167-15/36*K167-N167,Sheet1!ED167,0))</f>
        <v>0</v>
      </c>
      <c r="AL167" s="712">
        <f>IF(OR(B167&gt;=FT167,B167&lt;FS167),0,15/36*K167-MAX(0,64.6-(137.6-(Sheet1!AA167+Sheet1!AB167))))</f>
        <v>26.933333333333334</v>
      </c>
      <c r="AM167" s="712">
        <f>Sheet1!CX167-110</f>
        <v>2146.5625</v>
      </c>
      <c r="AN167" s="712">
        <f>Sheet1!CW167-265</f>
        <v>2572.6041666666665</v>
      </c>
      <c r="AO167" s="712">
        <f t="shared" si="622"/>
        <v>27.28807381776231</v>
      </c>
      <c r="AP167" s="712">
        <f t="shared" si="656"/>
        <v>0</v>
      </c>
      <c r="AQ167" s="712">
        <f t="shared" si="657"/>
        <v>0</v>
      </c>
      <c r="AR167" s="712">
        <f t="shared" si="658"/>
        <v>2531.7333333333354</v>
      </c>
      <c r="AS167" s="712"/>
      <c r="AT167" s="712">
        <f ca="1">IF(B167&gt;Summary!$A$1,#N/A,AR167*MGtoAF)</f>
        <v>7767.3578666666735</v>
      </c>
      <c r="AU167" s="712">
        <f>Sheet1!BG167+Sheet1!BH167+Sheet1!BI167-BC167</f>
        <v>0</v>
      </c>
      <c r="AV167" s="712">
        <f t="shared" si="659"/>
        <v>0</v>
      </c>
      <c r="AW167" s="712">
        <f>IF(Sheet1!EL167="FM",BC167,0)</f>
        <v>0</v>
      </c>
      <c r="AX167" s="712">
        <f t="shared" si="660"/>
        <v>0</v>
      </c>
      <c r="AY167" s="712">
        <f>IF(Sheet1!EL167="OTHER",BC167,0)</f>
        <v>0</v>
      </c>
      <c r="AZ167" s="712">
        <f t="shared" si="661"/>
        <v>0</v>
      </c>
      <c r="BA167" s="712">
        <f t="shared" si="662"/>
        <v>0</v>
      </c>
      <c r="BB167" s="712">
        <f t="shared" si="663"/>
        <v>0</v>
      </c>
      <c r="BC167" s="712">
        <f>IF(OR(Sheet1!EL167="FM", Sheet1!EL167="OTHER"),SUM(Sheet1!BG167:'Sheet1'!BI167),0)</f>
        <v>0</v>
      </c>
      <c r="BD167" s="697">
        <f>IF(AND($B167&gt;=$FL167,$B167&lt;=$FM167),MAX(AV167,Sheet1!EE167,0),MAX(AV167-(7/36)*$K167,0))</f>
        <v>0</v>
      </c>
      <c r="BE167" s="712">
        <f t="shared" si="664"/>
        <v>12.568888888888889</v>
      </c>
      <c r="BF167" s="697">
        <f t="shared" si="665"/>
        <v>0</v>
      </c>
      <c r="BG167" s="697">
        <f>IF(AND($O167&gt;0,Sheet1!EI167=1),(1-($O167-Sheet1!$L167)/$O167)*BB167,0)</f>
        <v>0</v>
      </c>
      <c r="BH167" s="697">
        <f>IF(AND(Sheet1!$L167=0,Sheet1!$L166=0, Calculation!BA167&lt;Sheet1!$EE167-0.1,Sheet1!$EE167=Sheet1!$EE166,Sheet1!$EE167=Sheet1!$EE168),Sheet1!$EE167,BB167-BG167)</f>
        <v>0</v>
      </c>
      <c r="BI167" s="712"/>
      <c r="BJ167" s="712"/>
      <c r="BK167" s="712">
        <f t="shared" si="666"/>
        <v>1181.4755555555553</v>
      </c>
      <c r="BL167" s="712"/>
      <c r="BM167" s="712">
        <f ca="1">IF(B167&gt;Summary!$A$1,#N/A,BK167*MGtoAF)</f>
        <v>3624.7670044444435</v>
      </c>
      <c r="BN167" s="712">
        <f>Sheet1!BC167+Sheet1!BD167+Sheet1!BE167+Sheet1!BF167-BW167-BX167</f>
        <v>1.31</v>
      </c>
      <c r="BO167" s="712">
        <f t="shared" si="667"/>
        <v>1.3296424452132696</v>
      </c>
      <c r="BP167" s="712">
        <f>IF(Sheet1!EM167="FM",BX167,0)</f>
        <v>0</v>
      </c>
      <c r="BQ167" s="712">
        <f t="shared" si="668"/>
        <v>0</v>
      </c>
      <c r="BR167" s="712">
        <f>IF(Sheet1!EM167="OTHER",BX167,0)</f>
        <v>0</v>
      </c>
      <c r="BS167" s="712">
        <f t="shared" si="669"/>
        <v>0</v>
      </c>
      <c r="BT167" s="712">
        <f t="shared" si="670"/>
        <v>0</v>
      </c>
      <c r="BU167" s="712">
        <f t="shared" si="671"/>
        <v>1.31</v>
      </c>
      <c r="BV167" s="712">
        <f t="shared" si="672"/>
        <v>1.3296424452132696</v>
      </c>
      <c r="BW167" s="712">
        <f>IF(Sheet1!EM167="CWA",SUM(Sheet1!BC167:'Sheet1'!BF167),0)</f>
        <v>0</v>
      </c>
      <c r="BX167" s="712">
        <f>IF(OR(Sheet1!EM167="FM", Sheet1!EM167="OTHER"),SUM(Sheet1!BC167:'Sheet1'!BF167),0)</f>
        <v>0</v>
      </c>
      <c r="BY167" s="697">
        <f>IF(AND($B167&gt;=$FL167,$B167&lt;=$FM167),MAX(BV167,Sheet1!EF167,0),MAX(BV167-(7/36)*$K167,0))</f>
        <v>0</v>
      </c>
      <c r="BZ167" s="712">
        <f t="shared" si="673"/>
        <v>11.239246443675619</v>
      </c>
      <c r="CA167" s="697">
        <f t="shared" si="674"/>
        <v>1.3296424452132696</v>
      </c>
      <c r="CB167" s="697">
        <f>IF(AND($O167&gt;0,Sheet1!EJ167=1),(1-($O167-Sheet1!$L167)/$O167)*BV167,0)</f>
        <v>0</v>
      </c>
      <c r="CC167" s="697">
        <f>IF(AND(Sheet1!$L167=0,Sheet1!$L166=0, Calculation!BU167&lt;Sheet1!EF167-0.1,Sheet1!EF167=Sheet1!EF166,Sheet1!EF167=Sheet1!EF168),Sheet1!EF167,BV167-CB167)</f>
        <v>1.3296424452132696</v>
      </c>
      <c r="CD167" s="697"/>
      <c r="CE167" s="712"/>
      <c r="CF167" s="712">
        <f t="shared" si="675"/>
        <v>1040.5965583493148</v>
      </c>
      <c r="CG167" s="712"/>
      <c r="CH167" s="712">
        <f ca="1">IF(B167&gt;Summary!$A$1,#N/A,CF167*MGtoAF)</f>
        <v>3192.5502410156978</v>
      </c>
      <c r="CI167" s="712">
        <f>Sheet1!BK167+Sheet1!BL167+Sheet1!BM167-Sheet1!EN167-CQ167</f>
        <v>3.23</v>
      </c>
      <c r="CJ167" s="712">
        <f t="shared" si="676"/>
        <v>3.2784313725487486</v>
      </c>
      <c r="CK167" s="712">
        <f>IF(Sheet1!EN167="FM",CQ167,0)</f>
        <v>0</v>
      </c>
      <c r="CL167" s="712">
        <f t="shared" si="677"/>
        <v>0</v>
      </c>
      <c r="CM167" s="712">
        <f>IF(Sheet1!EN167="OTHER",CQ167,0)</f>
        <v>0</v>
      </c>
      <c r="CN167" s="712">
        <f t="shared" si="678"/>
        <v>0</v>
      </c>
      <c r="CO167" s="712">
        <f t="shared" si="679"/>
        <v>3.23</v>
      </c>
      <c r="CP167" s="712">
        <f t="shared" si="680"/>
        <v>3.2784313725487486</v>
      </c>
      <c r="CQ167" s="712">
        <f>IF(OR(Sheet1!EN167="FM", Sheet1!EN167="OTHER"),SUM(Sheet1!BK167:'Sheet1'!BM167),0)</f>
        <v>0</v>
      </c>
      <c r="CR167" s="697">
        <f>IF(AND($B167&gt;=$FL167,$B167&lt;=$FM167),MAX($CJ167,Sheet1!EG167,0),MAX($CJ167-(7/36)*$K167,0))</f>
        <v>0</v>
      </c>
      <c r="CS167" s="712">
        <f t="shared" si="681"/>
        <v>9.2904575163401404</v>
      </c>
      <c r="CT167" s="697">
        <f t="shared" si="682"/>
        <v>3.2784313725487486</v>
      </c>
      <c r="CU167" s="697">
        <f>IF(AND($O167&gt;0,Sheet1!EK167=1),(1-($O167-Sheet1!$L167)/$O167)*CP167,0)</f>
        <v>0</v>
      </c>
      <c r="CV167" s="697">
        <f>IF(AND(Sheet1!$L167=0,Sheet1!$L166=0, Calculation!CO167&lt;Sheet1!$EG167-0.1,Sheet1!$EG167=Sheet1!$EG166,Sheet1!$EG167=Sheet1!$EG168),Sheet1!$EG167,CP167-CU167)</f>
        <v>3.2784313725487486</v>
      </c>
      <c r="CW167" s="697">
        <f t="shared" si="613"/>
        <v>0</v>
      </c>
      <c r="CX167" s="712">
        <f t="shared" si="683"/>
        <v>4.54</v>
      </c>
      <c r="CY167" s="712">
        <f t="shared" si="684"/>
        <v>835.49192561416112</v>
      </c>
      <c r="CZ167" s="712">
        <f t="shared" si="685"/>
        <v>4.6080738177620182</v>
      </c>
      <c r="DA167" s="712">
        <f ca="1">IF(B167&gt;Summary!$A$1,#N/A,CY167*MGtoAF)</f>
        <v>2563.2892277842466</v>
      </c>
      <c r="DB167" s="712">
        <f t="shared" si="686"/>
        <v>4.54</v>
      </c>
      <c r="DC167" s="712">
        <f t="shared" si="687"/>
        <v>17.34</v>
      </c>
      <c r="DD167" s="712">
        <f>Sheet1!AB167-DC167</f>
        <v>0.25999999999854495</v>
      </c>
      <c r="DE167" s="712">
        <f t="shared" si="688"/>
        <v>1.499423298722866E-2</v>
      </c>
      <c r="DF167" s="712">
        <f>(VLOOKUP(Sheet1!CY167,hhdcap_wcm,4)-(((VLOOKUP(Sheet1!CY167,hhdcap_wcm,3)-Sheet1!CY167)/(VLOOKUP(Sheet1!CY167,hhdcap_wcm,3)-VLOOKUP(Sheet1!CY167,hhdcap_wcm,1)))*(VLOOKUP(Sheet1!CY167,hhdcap_wcm,4)-VLOOKUP(Sheet1!CY167,hhdcap_wcm,2))))</f>
        <v>46726.450000111086</v>
      </c>
      <c r="DG167" s="712">
        <f t="shared" si="689"/>
        <v>240.46000000024651</v>
      </c>
      <c r="DH167" s="712">
        <f t="shared" si="690"/>
        <v>121.26071608686156</v>
      </c>
      <c r="DI167" s="712">
        <f>Sheet1!DW167*AFtoMG</f>
        <v>0</v>
      </c>
      <c r="DJ167" s="712">
        <f>Sheet1!DX167*AFtoMG</f>
        <v>0</v>
      </c>
      <c r="DK167" s="712">
        <f>Sheet1!DY167*AFtoMG</f>
        <v>0</v>
      </c>
      <c r="DL167" s="712">
        <f>Sheet1!DZ167*AFtoMG</f>
        <v>0</v>
      </c>
      <c r="DM167" s="712">
        <f t="shared" si="691"/>
        <v>0</v>
      </c>
      <c r="DN167" s="712">
        <f t="shared" si="692"/>
        <v>0</v>
      </c>
      <c r="DO167" s="712">
        <f t="shared" si="693"/>
        <v>5589.2973728523666</v>
      </c>
      <c r="DP167" s="712">
        <f t="shared" si="694"/>
        <v>17147.964339911061</v>
      </c>
      <c r="DQ167" s="712"/>
      <c r="DR167" s="697">
        <f>IF(OR(B167&lt;FL167,B167&gt;FM167),(MIN(AV167+BO167+CJ167+MAX(Sheet1!AA167+AG167-73,0),K167)),0)</f>
        <v>4.6080738177620182</v>
      </c>
      <c r="DS167" s="712"/>
      <c r="DT167" s="712">
        <f t="shared" si="695"/>
        <v>4.6080738177620182</v>
      </c>
      <c r="DU167" s="712"/>
      <c r="DV167" s="712">
        <f>Sheet1!ED167+Sheet1!EE167+Sheet1!EF167+Sheet1!EG167</f>
        <v>8.5</v>
      </c>
      <c r="DW167" s="712"/>
      <c r="DX167" s="697">
        <f t="shared" si="696"/>
        <v>0</v>
      </c>
      <c r="DY167" s="712">
        <f>IF(Sheet1!FN167=1,SUM('Calculations II'!AT167:BA167)+'Calculations II'!BC167+Sheet1!BU167+'Calculations II'!BE167+AF167,SUM('Calculations II'!AT167:BA167)+'Calculations II'!BC167+Sheet1!BU167+'Calculations II'!BE167+AF167)</f>
        <v>45.485680000000002</v>
      </c>
      <c r="DZ167" s="712">
        <f>Sheet1!AA167+Sheet1!AB167+'Calculations II'!BC167</f>
        <v>50.319999999999709</v>
      </c>
      <c r="EA167" s="712"/>
      <c r="EB167" s="712"/>
      <c r="EC167" s="712">
        <f t="shared" si="697"/>
        <v>40696</v>
      </c>
      <c r="ED167" s="712">
        <f t="shared" si="698"/>
        <v>60.031926182237981</v>
      </c>
      <c r="EE167" s="712">
        <f t="shared" si="699"/>
        <v>92.869389803922147</v>
      </c>
      <c r="EF167" s="712">
        <f>-(VLOOKUP(Sheet1!BQ167,Lookup!$B$4:$J$236,2)-VLOOKUP(Sheet1!BQ166,Lookup!$B$4:$J$236,2))/1000000</f>
        <v>0.8115</v>
      </c>
      <c r="EG167" s="712">
        <f>-(VLOOKUP(Sheet1!BR167,Lookup!$B$4:$J$236,3)-VLOOKUP(Sheet1!BR166,Lookup!$B$4:$J$236,3))/1000000</f>
        <v>0.81</v>
      </c>
      <c r="EH167" s="712">
        <f>-(VLOOKUP(Sheet1!BS167,Lookup!$B$4:$J$236,4)-VLOOKUP(Sheet1!BS166,Lookup!$B$4:$J$236,4))/1000000</f>
        <v>0</v>
      </c>
      <c r="EI167" s="697">
        <f t="shared" si="700"/>
        <v>1.6215000000000002</v>
      </c>
      <c r="EJ167" s="712"/>
      <c r="EK167" s="712"/>
      <c r="EL167" s="712"/>
      <c r="EM167" s="712"/>
      <c r="EN167" s="712"/>
      <c r="EO167" s="712"/>
      <c r="EP167" s="712"/>
      <c r="EQ167" s="712"/>
      <c r="ES167" s="712"/>
      <c r="ET167" s="794" t="e">
        <f t="shared" si="437"/>
        <v>#N/A</v>
      </c>
      <c r="EU167" s="697">
        <v>5000</v>
      </c>
      <c r="EV167" s="795">
        <f t="shared" si="640"/>
        <v>23358.485660200025</v>
      </c>
      <c r="EW167" s="796" t="s">
        <v>757</v>
      </c>
      <c r="EX167" s="796" t="s">
        <v>757</v>
      </c>
      <c r="EY167" s="794">
        <v>0</v>
      </c>
      <c r="EZ167" s="794" t="e">
        <v>#N/A</v>
      </c>
      <c r="FA167" s="712"/>
      <c r="FB167" s="712"/>
      <c r="FC167" s="712"/>
      <c r="FD167" s="712"/>
      <c r="FE167" s="712">
        <f>O167+Sheet1!CO167</f>
        <v>50.319999999999709</v>
      </c>
      <c r="FF167" s="712">
        <f>IF(Sheet1!AA167+AG167&lt;=Calculation!N167,AG167,Calculation!N167-Sheet1!AA167)</f>
        <v>12.991926182236528</v>
      </c>
      <c r="FG167" s="712">
        <f>(Sheet1!BP167+Sheet1!BO167)/694.4</f>
        <v>2.1307603686635943</v>
      </c>
      <c r="FH167" s="712"/>
      <c r="FI167" s="712"/>
      <c r="FJ167" s="712"/>
      <c r="FK167" s="712"/>
      <c r="FL167" s="714">
        <f t="shared" si="632"/>
        <v>40753</v>
      </c>
      <c r="FM167" s="714">
        <f t="shared" si="633"/>
        <v>40851</v>
      </c>
      <c r="FN167" s="712"/>
      <c r="FO167" s="712"/>
      <c r="FP167" s="712"/>
      <c r="FQ167" s="712"/>
      <c r="FR167" s="712"/>
      <c r="FS167" s="725">
        <f t="shared" si="634"/>
        <v>40603</v>
      </c>
      <c r="FT167" s="714">
        <f t="shared" si="635"/>
        <v>40709</v>
      </c>
      <c r="FU167" s="712">
        <f t="shared" si="636"/>
        <v>6518.9048239895692</v>
      </c>
      <c r="FV167" s="714">
        <f t="shared" si="637"/>
        <v>40722</v>
      </c>
      <c r="FW167" s="712">
        <f t="shared" si="638"/>
        <v>3259.4524119947846</v>
      </c>
      <c r="FX167" s="725">
        <f t="shared" si="639"/>
        <v>40851</v>
      </c>
      <c r="FZ167" s="697">
        <f t="shared" si="616"/>
        <v>0</v>
      </c>
      <c r="GA167" s="712" t="str">
        <f t="shared" si="701"/>
        <v/>
      </c>
      <c r="GB167" s="712">
        <f t="shared" si="702"/>
        <v>0</v>
      </c>
      <c r="GC167" s="712" t="str">
        <f t="shared" si="703"/>
        <v/>
      </c>
      <c r="GD167" s="712">
        <f>IF(GA167="P",Lookup!$M$12,IF(GA167="PP",Lookup!$M$13,IF(GA167="PPP",Lookup!$M$14,IF(GA167="T",Lookup!$M$15,IF(GA167="TP",Lookup!$M$16,IF(GA167="TPP",Lookup!$M$17,IF(GA167="TPPP",Lookup!$M$18,0)))))))*FZ167</f>
        <v>0</v>
      </c>
      <c r="GE167" s="712">
        <f t="shared" si="704"/>
        <v>0</v>
      </c>
      <c r="GF167" s="712">
        <f t="shared" si="705"/>
        <v>7767.3578666666735</v>
      </c>
      <c r="GG167" s="712">
        <f t="shared" si="706"/>
        <v>2531.7333333333354</v>
      </c>
      <c r="GH167" s="712"/>
      <c r="GI167" s="712">
        <f t="shared" si="707"/>
        <v>0</v>
      </c>
      <c r="GJ167" s="712" t="str">
        <f t="shared" si="708"/>
        <v/>
      </c>
      <c r="GK167" s="712">
        <f>IF(GA167="P",Lookup!$N$12,IF(GA167="PP",Lookup!$N$13,IF(GA167="PPP",Lookup!$N$14,IF(GA167="T",Lookup!$N$15,IF(GA167="TP",Lookup!$N$16,IF(GA167="TPP",Lookup!$N$17,IF(GA167="TPPP",Lookup!$N$18,0)))))))*FZ167</f>
        <v>0</v>
      </c>
      <c r="GL167" s="712">
        <f t="shared" si="709"/>
        <v>0</v>
      </c>
      <c r="GM167" s="712">
        <f t="shared" si="710"/>
        <v>3624.7670044444435</v>
      </c>
      <c r="GN167" s="712">
        <f t="shared" si="711"/>
        <v>1181.4755555555553</v>
      </c>
      <c r="GO167" s="712"/>
      <c r="GP167" s="712">
        <f t="shared" si="712"/>
        <v>0</v>
      </c>
      <c r="GQ167" s="712" t="str">
        <f t="shared" si="713"/>
        <v/>
      </c>
      <c r="GR167" s="712">
        <f>IF(GA167="P",Lookup!$N$12,IF(GA167="PP",Lookup!$N$13,IF(GA167="PPP",Lookup!$N$14,IF(GA167="T",Lookup!$N$15,IF(GA167="TP",Lookup!$N$16,IF(GA167="TPP",Lookup!$N$17,IF(GA167="TPPP",Lookup!$N$18,0)))))))*FZ167</f>
        <v>0</v>
      </c>
      <c r="GS167" s="697">
        <f t="shared" si="628"/>
        <v>0</v>
      </c>
      <c r="GT167" s="712">
        <f t="shared" si="714"/>
        <v>3192.5502410156978</v>
      </c>
      <c r="GU167" s="712">
        <f t="shared" si="715"/>
        <v>1040.5965583493148</v>
      </c>
      <c r="GV167" s="712"/>
      <c r="GW167" s="712">
        <f t="shared" si="716"/>
        <v>0</v>
      </c>
      <c r="GX167" s="712" t="str">
        <f t="shared" si="717"/>
        <v/>
      </c>
      <c r="GY167" s="712">
        <f>IF(GA167="P",Lookup!$N$12,IF(GA167="PP",Lookup!$N$13,IF(GA167="PPP",Lookup!$N$14,IF(GA167="T",Lookup!$N$15,IF(GA167="TP",Lookup!$N$16,IF(GA167="TPP",Lookup!$N$17,IF(GA167="TPPP",Lookup!$N$18,0)))))))*FZ167</f>
        <v>0</v>
      </c>
      <c r="GZ167" s="697">
        <f t="shared" si="629"/>
        <v>0</v>
      </c>
      <c r="HA167" s="712">
        <f t="shared" si="718"/>
        <v>2563.2892277842466</v>
      </c>
      <c r="HB167" s="712">
        <f t="shared" si="719"/>
        <v>835.49192561416112</v>
      </c>
      <c r="HC167" s="712"/>
    </row>
    <row r="168" spans="1:211">
      <c r="A168" s="773" t="s">
        <v>8</v>
      </c>
      <c r="B168" s="708">
        <v>40697</v>
      </c>
      <c r="C168" s="719">
        <v>0.5</v>
      </c>
      <c r="D168" s="675">
        <f t="shared" si="641"/>
        <v>300</v>
      </c>
      <c r="E168" s="675">
        <f t="shared" si="642"/>
        <v>250</v>
      </c>
      <c r="F168" s="675">
        <v>250</v>
      </c>
      <c r="G168" s="712">
        <f>DH168+Sheet1!CV168</f>
        <v>2369.7844175492924</v>
      </c>
      <c r="H168" s="712">
        <f t="shared" si="643"/>
        <v>1264.8654475038625</v>
      </c>
      <c r="I168" s="711">
        <f>MAX(Sheet1!Z168-AJ168+(Sheet1!CW168-E168)*CFStoMGD,0)</f>
        <v>1776.2858826466934</v>
      </c>
      <c r="J168" s="720">
        <f>IF(AND(B168&gt;=Calculation!FS168,B168&lt;=Calculation!FT168),IF(Sheet1!CX168&gt;=Calculation!D168,64.64,0),MAX(Sheet1!Z168-AJ168+(Sheet1!CX168-D168)*CFStoMGD,0))</f>
        <v>64.64</v>
      </c>
      <c r="K168" s="697">
        <f t="shared" si="644"/>
        <v>64.64</v>
      </c>
      <c r="L168" s="712">
        <f>Sheet1!AA168+Sheet1!AB168-Sheet1!L168+(Sheet1!CW168-F168)*CFStoMGD</f>
        <v>1825.2920000000017</v>
      </c>
      <c r="M168" s="712">
        <f t="shared" si="645"/>
        <v>1562.46522045394</v>
      </c>
      <c r="N168" s="712">
        <f>IF(Sheet1!CW168&gt;=F168,MIN(73,MIN(MAX(L168,0),MAX(M168,0))),0)</f>
        <v>73</v>
      </c>
      <c r="O168" s="721">
        <f>Sheet1!AA168+Sheet1!AB168</f>
        <v>56.580000000001746</v>
      </c>
      <c r="P168" s="721">
        <f t="shared" si="646"/>
        <v>87.529260000002694</v>
      </c>
      <c r="Q168" s="712">
        <f>MIN(N168,Sheet1!AA168+AG168)</f>
        <v>47.486117353311201</v>
      </c>
      <c r="R168" s="712">
        <f t="shared" si="647"/>
        <v>9.0938826466905418</v>
      </c>
      <c r="S168" s="721">
        <f>Sheet1!Y168*MGDtoCFS</f>
        <v>50.555959999999999</v>
      </c>
      <c r="T168" s="721">
        <f>Sheet1!Z168*MGDtoCFS</f>
        <v>35.08596</v>
      </c>
      <c r="U168" s="721">
        <f>Sheet1!AA168*MGDtoCFS</f>
        <v>50.091860000007202</v>
      </c>
      <c r="V168" s="721">
        <f>Sheet1!AB168*MGDtoCFS</f>
        <v>37.437399999995499</v>
      </c>
      <c r="W168" s="721">
        <f>Sheet1!L168*MGDtoCFS</f>
        <v>0</v>
      </c>
      <c r="X168" s="697">
        <f t="shared" si="648"/>
        <v>0</v>
      </c>
      <c r="Y168" s="712">
        <f t="shared" si="649"/>
        <v>0</v>
      </c>
      <c r="Z168" s="712">
        <f t="shared" si="650"/>
        <v>55.546117353309455</v>
      </c>
      <c r="AA168" s="712">
        <f t="shared" si="651"/>
        <v>85.929843545569724</v>
      </c>
      <c r="AB168" s="712">
        <f>(VLOOKUP(Sheet1!CY168,hhdcap_wcm,4)-(((VLOOKUP(Sheet1!CY168,hhdcap_wcm,3)-Sheet1!CY168)/(VLOOKUP(Sheet1!CY168,hhdcap_wcm,3)-VLOOKUP(Sheet1!CY168,hhdcap_wcm,1)))*(VLOOKUP(Sheet1!CY168,hhdcap_wcm,4)-VLOOKUP(Sheet1!CY168,hhdcap_wcm,2))))</f>
        <v>46988.770000111334</v>
      </c>
      <c r="AC168" s="712">
        <f t="shared" si="652"/>
        <v>262.32000000024709</v>
      </c>
      <c r="AD168" s="712">
        <f t="shared" si="653"/>
        <v>5644.8434902056761</v>
      </c>
      <c r="AE168" s="712">
        <f t="shared" si="654"/>
        <v>17318.379827951016</v>
      </c>
      <c r="AF168" s="712">
        <f>Sheet1!BA168+Sheet1!BB168+Sheet1!BN168+BT168</f>
        <v>15</v>
      </c>
      <c r="AG168" s="712">
        <f t="shared" si="655"/>
        <v>15.106117353306548</v>
      </c>
      <c r="AH168" s="712">
        <f>Sheet1!BA168+BT168</f>
        <v>0</v>
      </c>
      <c r="AI168" s="712">
        <f>Sheet1!BA168+Sheet1!BB168+BT168</f>
        <v>0</v>
      </c>
      <c r="AJ168" s="712">
        <f>IF((Sheet1!AA168+AG168+AX168+AZ168+BQ168+BS168+CL168+CN168)&lt;=N168,AG168+AX168+AZ168+BQ168+BS168+CL168+CN168,N168-Sheet1!AA168)</f>
        <v>15.106117353306548</v>
      </c>
      <c r="AK168" s="712">
        <f>IF(DR168&lt;K168,0,MAX(Sheet1!AA168+AG168-15/36*K168-N168,Sheet1!ED168,0))</f>
        <v>0</v>
      </c>
      <c r="AL168" s="712">
        <f>IF(OR(B168&gt;=FT168,B168&lt;FS168),0,15/36*K168-MAX(0,64.6-(137.6-(Sheet1!AA168+Sheet1!AB168))))</f>
        <v>26.933333333333334</v>
      </c>
      <c r="AM168" s="712">
        <f>Sheet1!CX168-110</f>
        <v>2093.3333333333335</v>
      </c>
      <c r="AN168" s="712">
        <f>Sheet1!CW168-265</f>
        <v>2721.25</v>
      </c>
      <c r="AO168" s="712">
        <f t="shared" si="622"/>
        <v>25.513882646688799</v>
      </c>
      <c r="AP168" s="712">
        <f t="shared" si="656"/>
        <v>0</v>
      </c>
      <c r="AQ168" s="712">
        <f t="shared" si="657"/>
        <v>0</v>
      </c>
      <c r="AR168" s="712">
        <f t="shared" si="658"/>
        <v>2558.6666666666688</v>
      </c>
      <c r="AS168" s="712"/>
      <c r="AT168" s="712">
        <f ca="1">IF(B168&gt;Summary!$A$1,#N/A,AR168*MGtoAF)</f>
        <v>7849.9893333333403</v>
      </c>
      <c r="AU168" s="712">
        <f>Sheet1!BG168+Sheet1!BH168+Sheet1!BI168-BC168</f>
        <v>0</v>
      </c>
      <c r="AV168" s="712">
        <f t="shared" si="659"/>
        <v>0</v>
      </c>
      <c r="AW168" s="712">
        <f>IF(Sheet1!EL168="FM",BC168,0)</f>
        <v>0</v>
      </c>
      <c r="AX168" s="712">
        <f t="shared" si="660"/>
        <v>0</v>
      </c>
      <c r="AY168" s="712">
        <f>IF(Sheet1!EL168="OTHER",BC168,0)</f>
        <v>0</v>
      </c>
      <c r="AZ168" s="712">
        <f t="shared" si="661"/>
        <v>0</v>
      </c>
      <c r="BA168" s="712">
        <f t="shared" si="662"/>
        <v>0</v>
      </c>
      <c r="BB168" s="712">
        <f t="shared" si="663"/>
        <v>0</v>
      </c>
      <c r="BC168" s="712">
        <f>IF(OR(Sheet1!EL168="FM", Sheet1!EL168="OTHER"),SUM(Sheet1!BG168:'Sheet1'!BI168),0)</f>
        <v>0</v>
      </c>
      <c r="BD168" s="697">
        <f>IF(AND($B168&gt;=$FL168,$B168&lt;=$FM168),MAX(AV168,Sheet1!EE168,0),MAX(AV168-(7/36)*$K168,0))</f>
        <v>0</v>
      </c>
      <c r="BE168" s="712">
        <f t="shared" si="664"/>
        <v>12.568888888888889</v>
      </c>
      <c r="BF168" s="697">
        <f t="shared" si="665"/>
        <v>0</v>
      </c>
      <c r="BG168" s="697">
        <f>IF(AND($O168&gt;0,Sheet1!EI168=1),(1-($O168-Sheet1!$L168)/$O168)*BB168,0)</f>
        <v>0</v>
      </c>
      <c r="BH168" s="697">
        <f>IF(AND(Sheet1!$L168=0,Sheet1!$L167=0, Calculation!BA168&lt;Sheet1!$EE168-0.1,Sheet1!$EE168=Sheet1!$EE167,Sheet1!$EE168=Sheet1!$EE169),Sheet1!$EE168,BB168-BG168)</f>
        <v>0</v>
      </c>
      <c r="BI168" s="712"/>
      <c r="BJ168" s="712"/>
      <c r="BK168" s="712">
        <f t="shared" si="666"/>
        <v>1194.0444444444443</v>
      </c>
      <c r="BL168" s="712"/>
      <c r="BM168" s="712">
        <f ca="1">IF(B168&gt;Summary!$A$1,#N/A,BK168*MGtoAF)</f>
        <v>3663.3283555555549</v>
      </c>
      <c r="BN168" s="712">
        <f>Sheet1!BC168+Sheet1!BD168+Sheet1!BE168+Sheet1!BF168-BW168-BX168</f>
        <v>2.6100000000000003</v>
      </c>
      <c r="BO168" s="712">
        <f t="shared" si="667"/>
        <v>2.6284644194753395</v>
      </c>
      <c r="BP168" s="712">
        <f>IF(Sheet1!EM168="FM",BX168,0)</f>
        <v>0</v>
      </c>
      <c r="BQ168" s="712">
        <f t="shared" si="668"/>
        <v>0</v>
      </c>
      <c r="BR168" s="712">
        <f>IF(Sheet1!EM168="OTHER",BX168,0)</f>
        <v>0</v>
      </c>
      <c r="BS168" s="712">
        <f t="shared" si="669"/>
        <v>0</v>
      </c>
      <c r="BT168" s="712">
        <f t="shared" si="670"/>
        <v>0</v>
      </c>
      <c r="BU168" s="712">
        <f t="shared" si="671"/>
        <v>2.6100000000000003</v>
      </c>
      <c r="BV168" s="712">
        <f t="shared" si="672"/>
        <v>2.6284644194753395</v>
      </c>
      <c r="BW168" s="712">
        <f>IF(Sheet1!EM168="CWA",SUM(Sheet1!BC168:'Sheet1'!BF168),0)</f>
        <v>0</v>
      </c>
      <c r="BX168" s="712">
        <f>IF(OR(Sheet1!EM168="FM", Sheet1!EM168="OTHER"),SUM(Sheet1!BC168:'Sheet1'!BF168),0)</f>
        <v>0</v>
      </c>
      <c r="BY168" s="697">
        <f>IF(AND($B168&gt;=$FL168,$B168&lt;=$FM168),MAX(BV168,Sheet1!EF168,0),MAX(BV168-(7/36)*$K168,0))</f>
        <v>0</v>
      </c>
      <c r="BZ168" s="712">
        <f t="shared" si="673"/>
        <v>9.94042446941355</v>
      </c>
      <c r="CA168" s="697">
        <f t="shared" si="674"/>
        <v>2.6284644194753395</v>
      </c>
      <c r="CB168" s="697">
        <f>IF(AND($O168&gt;0,Sheet1!EJ168=1),(1-($O168-Sheet1!$L168)/$O168)*BV168,0)</f>
        <v>0</v>
      </c>
      <c r="CC168" s="697">
        <f>IF(AND(Sheet1!$L168=0,Sheet1!$L167=0, Calculation!BU168&lt;Sheet1!EF168-0.1,Sheet1!EF168=Sheet1!EF167,Sheet1!EF168=Sheet1!EF169),Sheet1!EF168,BV168-CB168)</f>
        <v>2.6284644194753395</v>
      </c>
      <c r="CD168" s="697"/>
      <c r="CE168" s="712"/>
      <c r="CF168" s="712">
        <f t="shared" si="675"/>
        <v>1050.5369828187283</v>
      </c>
      <c r="CG168" s="712"/>
      <c r="CH168" s="712">
        <f ca="1">IF(B168&gt;Summary!$A$1,#N/A,CF168*MGtoAF)</f>
        <v>3223.0474632878586</v>
      </c>
      <c r="CI168" s="712">
        <f>Sheet1!BK168+Sheet1!BL168+Sheet1!BM168-Sheet1!EN168-CQ168</f>
        <v>6.42</v>
      </c>
      <c r="CJ168" s="712">
        <f t="shared" si="676"/>
        <v>6.4654182272152019</v>
      </c>
      <c r="CK168" s="712">
        <f>IF(Sheet1!EN168="FM",CQ168,0)</f>
        <v>0</v>
      </c>
      <c r="CL168" s="712">
        <f t="shared" si="677"/>
        <v>0</v>
      </c>
      <c r="CM168" s="712">
        <f>IF(Sheet1!EN168="OTHER",CQ168,0)</f>
        <v>0</v>
      </c>
      <c r="CN168" s="712">
        <f t="shared" si="678"/>
        <v>0</v>
      </c>
      <c r="CO168" s="712">
        <f t="shared" si="679"/>
        <v>6.42</v>
      </c>
      <c r="CP168" s="712">
        <f t="shared" si="680"/>
        <v>6.4654182272152019</v>
      </c>
      <c r="CQ168" s="712">
        <f>IF(OR(Sheet1!EN168="FM", Sheet1!EN168="OTHER"),SUM(Sheet1!BK168:'Sheet1'!BM168),0)</f>
        <v>0</v>
      </c>
      <c r="CR168" s="697">
        <f>IF(AND($B168&gt;=$FL168,$B168&lt;=$FM168),MAX($CJ168,Sheet1!EG168,0),MAX($CJ168-(7/36)*$K168,0))</f>
        <v>0</v>
      </c>
      <c r="CS168" s="712">
        <f t="shared" si="681"/>
        <v>6.1034706616736871</v>
      </c>
      <c r="CT168" s="697">
        <f t="shared" si="682"/>
        <v>6.4654182272152019</v>
      </c>
      <c r="CU168" s="697">
        <f>IF(AND($O168&gt;0,Sheet1!EK168=1),(1-($O168-Sheet1!$L168)/$O168)*CP168,0)</f>
        <v>0</v>
      </c>
      <c r="CV168" s="697">
        <f>IF(AND(Sheet1!$L168=0,Sheet1!$L167=0, Calculation!CO168&lt;Sheet1!$EG168-0.1,Sheet1!$EG168=Sheet1!$EG167,Sheet1!$EG168=Sheet1!$EG169),Sheet1!$EG168,CP168-CU168)</f>
        <v>6.4654182272152019</v>
      </c>
      <c r="CW168" s="697">
        <f t="shared" si="613"/>
        <v>0</v>
      </c>
      <c r="CX168" s="712">
        <f t="shared" si="683"/>
        <v>9.0300000000000011</v>
      </c>
      <c r="CY168" s="712">
        <f t="shared" si="684"/>
        <v>841.59539627583479</v>
      </c>
      <c r="CZ168" s="712">
        <f t="shared" si="685"/>
        <v>9.0938826466905418</v>
      </c>
      <c r="DA168" s="712">
        <f ca="1">IF(B168&gt;Summary!$A$1,#N/A,CY168*MGtoAF)</f>
        <v>2582.0146757742614</v>
      </c>
      <c r="DB168" s="712">
        <f t="shared" si="686"/>
        <v>9.0300000000000011</v>
      </c>
      <c r="DC168" s="712">
        <f t="shared" si="687"/>
        <v>24.03</v>
      </c>
      <c r="DD168" s="712">
        <f>Sheet1!AB168-DC168</f>
        <v>0.16999999999708848</v>
      </c>
      <c r="DE168" s="712">
        <f t="shared" si="688"/>
        <v>7.0744902204364739E-3</v>
      </c>
      <c r="DF168" s="712">
        <f>(VLOOKUP(Sheet1!CY168,hhdcap_wcm,4)-(((VLOOKUP(Sheet1!CY168,hhdcap_wcm,3)-Sheet1!CY168)/(VLOOKUP(Sheet1!CY168,hhdcap_wcm,3)-VLOOKUP(Sheet1!CY168,hhdcap_wcm,1)))*(VLOOKUP(Sheet1!CY168,hhdcap_wcm,4)-VLOOKUP(Sheet1!CY168,hhdcap_wcm,2))))</f>
        <v>46988.770000111334</v>
      </c>
      <c r="DG168" s="712">
        <f t="shared" si="689"/>
        <v>262.32000000024709</v>
      </c>
      <c r="DH168" s="712">
        <f t="shared" si="690"/>
        <v>132.28441754929253</v>
      </c>
      <c r="DI168" s="712">
        <f>Sheet1!DW168*AFtoMG</f>
        <v>0</v>
      </c>
      <c r="DJ168" s="712">
        <f>Sheet1!DX168*AFtoMG</f>
        <v>0</v>
      </c>
      <c r="DK168" s="712">
        <f>Sheet1!DY168*AFtoMG</f>
        <v>0</v>
      </c>
      <c r="DL168" s="712">
        <f>Sheet1!DZ168*AFtoMG</f>
        <v>0</v>
      </c>
      <c r="DM168" s="712">
        <f t="shared" si="691"/>
        <v>0</v>
      </c>
      <c r="DN168" s="712">
        <f t="shared" si="692"/>
        <v>0</v>
      </c>
      <c r="DO168" s="712">
        <f t="shared" si="693"/>
        <v>5644.8434902056761</v>
      </c>
      <c r="DP168" s="712">
        <f t="shared" si="694"/>
        <v>17318.379827951016</v>
      </c>
      <c r="DQ168" s="712"/>
      <c r="DR168" s="697">
        <f>IF(OR(B168&lt;FL168,B168&gt;FM168),(MIN(AV168+BO168+CJ168+MAX(Sheet1!AA168+AG168-73,0),K168)),0)</f>
        <v>9.0938826466905418</v>
      </c>
      <c r="DS168" s="712"/>
      <c r="DT168" s="712">
        <f t="shared" si="695"/>
        <v>9.0938826466905418</v>
      </c>
      <c r="DU168" s="712"/>
      <c r="DV168" s="712">
        <f>Sheet1!ED168+Sheet1!EE168+Sheet1!EF168+Sheet1!EG168</f>
        <v>9</v>
      </c>
      <c r="DW168" s="712"/>
      <c r="DX168" s="697">
        <f t="shared" si="696"/>
        <v>0</v>
      </c>
      <c r="DY168" s="712">
        <f>IF(Sheet1!FN168=1,SUM('Calculations II'!AT168:BA168)+'Calculations II'!BC168+Sheet1!BU168+'Calculations II'!BE168+AF168,SUM('Calculations II'!AT168:BA168)+'Calculations II'!BC168+Sheet1!BU168+'Calculations II'!BE168+AF168)</f>
        <v>50.805023999999996</v>
      </c>
      <c r="DZ168" s="712">
        <f>Sheet1!AA168+Sheet1!AB168+'Calculations II'!BC168</f>
        <v>56.580000000001746</v>
      </c>
      <c r="EA168" s="712"/>
      <c r="EB168" s="712"/>
      <c r="EC168" s="712">
        <f t="shared" si="697"/>
        <v>40697</v>
      </c>
      <c r="ED168" s="712">
        <f t="shared" si="698"/>
        <v>55.546117353309455</v>
      </c>
      <c r="EE168" s="712">
        <f t="shared" si="699"/>
        <v>85.929843545569724</v>
      </c>
      <c r="EF168" s="712">
        <f>-(VLOOKUP(Sheet1!BQ168,Lookup!$B$4:$J$236,2)-VLOOKUP(Sheet1!BQ167,Lookup!$B$4:$J$236,2))/1000000</f>
        <v>2.6947999999999999</v>
      </c>
      <c r="EG168" s="712">
        <f>-(VLOOKUP(Sheet1!BR168,Lookup!$B$4:$J$236,3)-VLOOKUP(Sheet1!BR167,Lookup!$B$4:$J$236,3))/1000000</f>
        <v>2.4194</v>
      </c>
      <c r="EH168" s="712">
        <f>-(VLOOKUP(Sheet1!BS168,Lookup!$B$4:$J$236,4)-VLOOKUP(Sheet1!BS167,Lookup!$B$4:$J$236,4))/1000000</f>
        <v>0</v>
      </c>
      <c r="EI168" s="697">
        <f t="shared" si="700"/>
        <v>5.1142000000000003</v>
      </c>
      <c r="EJ168" s="712"/>
      <c r="EK168" s="712"/>
      <c r="EL168" s="712"/>
      <c r="EM168" s="712"/>
      <c r="EN168" s="712"/>
      <c r="EO168" s="712"/>
      <c r="EP168" s="712"/>
      <c r="EQ168" s="712"/>
      <c r="ES168" s="712"/>
      <c r="ET168" s="794" t="e">
        <f t="shared" si="437"/>
        <v>#N/A</v>
      </c>
      <c r="EU168" s="697">
        <v>5000</v>
      </c>
      <c r="EV168" s="795">
        <f t="shared" si="640"/>
        <v>23450.390172160318</v>
      </c>
      <c r="EW168" s="796" t="s">
        <v>757</v>
      </c>
      <c r="EX168" s="796" t="s">
        <v>757</v>
      </c>
      <c r="EY168" s="794">
        <v>0</v>
      </c>
      <c r="EZ168" s="794" t="e">
        <v>#N/A</v>
      </c>
      <c r="FA168" s="712"/>
      <c r="FB168" s="712"/>
      <c r="FC168" s="712"/>
      <c r="FD168" s="712"/>
      <c r="FE168" s="712">
        <f>O168+Sheet1!CO168</f>
        <v>56.580000000001746</v>
      </c>
      <c r="FF168" s="712">
        <f>IF(Sheet1!AA168+AG168&lt;=Calculation!N168,AG168,Calculation!N168-Sheet1!AA168)</f>
        <v>15.106117353306548</v>
      </c>
      <c r="FG168" s="712">
        <f>(Sheet1!BP168+Sheet1!BO168)/694.4</f>
        <v>2.4320276497695854</v>
      </c>
      <c r="FH168" s="712"/>
      <c r="FI168" s="712"/>
      <c r="FJ168" s="712"/>
      <c r="FK168" s="712"/>
      <c r="FL168" s="714">
        <f t="shared" si="632"/>
        <v>40753</v>
      </c>
      <c r="FM168" s="714">
        <f t="shared" si="633"/>
        <v>40851</v>
      </c>
      <c r="FN168" s="712"/>
      <c r="FO168" s="712"/>
      <c r="FP168" s="712"/>
      <c r="FQ168" s="712"/>
      <c r="FR168" s="712"/>
      <c r="FS168" s="725">
        <f t="shared" si="634"/>
        <v>40603</v>
      </c>
      <c r="FT168" s="714">
        <f t="shared" si="635"/>
        <v>40709</v>
      </c>
      <c r="FU168" s="712">
        <f t="shared" si="636"/>
        <v>6518.9048239895692</v>
      </c>
      <c r="FV168" s="714">
        <f t="shared" si="637"/>
        <v>40722</v>
      </c>
      <c r="FW168" s="712">
        <f t="shared" si="638"/>
        <v>3259.4524119947846</v>
      </c>
      <c r="FX168" s="725">
        <f t="shared" si="639"/>
        <v>40851</v>
      </c>
      <c r="FZ168" s="697">
        <f t="shared" si="616"/>
        <v>0</v>
      </c>
      <c r="GA168" s="712" t="str">
        <f t="shared" si="701"/>
        <v/>
      </c>
      <c r="GB168" s="712">
        <f t="shared" si="702"/>
        <v>0</v>
      </c>
      <c r="GC168" s="712" t="str">
        <f t="shared" si="703"/>
        <v/>
      </c>
      <c r="GD168" s="712">
        <f>IF(GA168="P",Lookup!$M$12,IF(GA168="PP",Lookup!$M$13,IF(GA168="PPP",Lookup!$M$14,IF(GA168="T",Lookup!$M$15,IF(GA168="TP",Lookup!$M$16,IF(GA168="TPP",Lookup!$M$17,IF(GA168="TPPP",Lookup!$M$18,0)))))))*FZ168</f>
        <v>0</v>
      </c>
      <c r="GE168" s="712">
        <f t="shared" si="704"/>
        <v>0</v>
      </c>
      <c r="GF168" s="712">
        <f t="shared" si="705"/>
        <v>7849.9893333333403</v>
      </c>
      <c r="GG168" s="712">
        <f t="shared" si="706"/>
        <v>2558.6666666666688</v>
      </c>
      <c r="GH168" s="712"/>
      <c r="GI168" s="712">
        <f t="shared" si="707"/>
        <v>0</v>
      </c>
      <c r="GJ168" s="712" t="str">
        <f t="shared" si="708"/>
        <v/>
      </c>
      <c r="GK168" s="712">
        <f>IF(GA168="P",Lookup!$N$12,IF(GA168="PP",Lookup!$N$13,IF(GA168="PPP",Lookup!$N$14,IF(GA168="T",Lookup!$N$15,IF(GA168="TP",Lookup!$N$16,IF(GA168="TPP",Lookup!$N$17,IF(GA168="TPPP",Lookup!$N$18,0)))))))*FZ168</f>
        <v>0</v>
      </c>
      <c r="GL168" s="712">
        <f t="shared" si="709"/>
        <v>0</v>
      </c>
      <c r="GM168" s="712">
        <f t="shared" si="710"/>
        <v>3663.3283555555549</v>
      </c>
      <c r="GN168" s="712">
        <f t="shared" si="711"/>
        <v>1194.0444444444443</v>
      </c>
      <c r="GO168" s="712"/>
      <c r="GP168" s="712">
        <f t="shared" si="712"/>
        <v>0</v>
      </c>
      <c r="GQ168" s="712" t="str">
        <f t="shared" si="713"/>
        <v/>
      </c>
      <c r="GR168" s="712">
        <f>IF(GA168="P",Lookup!$N$12,IF(GA168="PP",Lookup!$N$13,IF(GA168="PPP",Lookup!$N$14,IF(GA168="T",Lookup!$N$15,IF(GA168="TP",Lookup!$N$16,IF(GA168="TPP",Lookup!$N$17,IF(GA168="TPPP",Lookup!$N$18,0)))))))*FZ168</f>
        <v>0</v>
      </c>
      <c r="GS168" s="697">
        <f t="shared" si="628"/>
        <v>0</v>
      </c>
      <c r="GT168" s="712">
        <f t="shared" si="714"/>
        <v>3223.0474632878586</v>
      </c>
      <c r="GU168" s="712">
        <f t="shared" si="715"/>
        <v>1050.5369828187283</v>
      </c>
      <c r="GV168" s="712"/>
      <c r="GW168" s="712">
        <f t="shared" si="716"/>
        <v>0</v>
      </c>
      <c r="GX168" s="712" t="str">
        <f t="shared" si="717"/>
        <v/>
      </c>
      <c r="GY168" s="712">
        <f>IF(GA168="P",Lookup!$N$12,IF(GA168="PP",Lookup!$N$13,IF(GA168="PPP",Lookup!$N$14,IF(GA168="T",Lookup!$N$15,IF(GA168="TP",Lookup!$N$16,IF(GA168="TPP",Lookup!$N$17,IF(GA168="TPPP",Lookup!$N$18,0)))))))*FZ168</f>
        <v>0</v>
      </c>
      <c r="GZ168" s="697">
        <f t="shared" si="629"/>
        <v>0</v>
      </c>
      <c r="HA168" s="712">
        <f t="shared" si="718"/>
        <v>2582.0146757742614</v>
      </c>
      <c r="HB168" s="712">
        <f t="shared" si="719"/>
        <v>841.59539627583479</v>
      </c>
      <c r="HC168" s="712"/>
    </row>
    <row r="169" spans="1:211">
      <c r="A169" s="773" t="s">
        <v>9</v>
      </c>
      <c r="B169" s="708">
        <v>40698</v>
      </c>
      <c r="C169" s="709">
        <v>0.5</v>
      </c>
      <c r="D169" s="675">
        <f t="shared" si="641"/>
        <v>300</v>
      </c>
      <c r="E169" s="675">
        <f t="shared" si="642"/>
        <v>250</v>
      </c>
      <c r="F169" s="675">
        <v>250</v>
      </c>
      <c r="G169" s="712">
        <f>DH169+Sheet1!CV169</f>
        <v>2238.5186585987749</v>
      </c>
      <c r="H169" s="712">
        <f t="shared" si="643"/>
        <v>1180.015260918248</v>
      </c>
      <c r="I169" s="711">
        <f>MAX(Sheet1!Z169-AJ169+(Sheet1!CW169-E169)*CFStoMGD,0)</f>
        <v>1502.1797397998448</v>
      </c>
      <c r="J169" s="720">
        <f>IF(AND(B169&gt;=Calculation!FS169,B169&lt;=Calculation!FT169),IF(Sheet1!CX169&gt;=Calculation!D169,64.64,0),MAX(Sheet1!Z169-AJ169+(Sheet1!CX169-D169)*CFStoMGD,0))</f>
        <v>64.64</v>
      </c>
      <c r="K169" s="697">
        <f t="shared" si="644"/>
        <v>64.64</v>
      </c>
      <c r="L169" s="712">
        <f>Sheet1!AA169+Sheet1!AB169-Sheet1!L169+(Sheet1!CW169-F169)*CFStoMGD</f>
        <v>1552.0913333333224</v>
      </c>
      <c r="M169" s="712">
        <f t="shared" si="645"/>
        <v>1475.9180301366132</v>
      </c>
      <c r="N169" s="712">
        <f>IF(Sheet1!CW169&gt;=F169,MIN(73,MIN(MAX(L169,0),MAX(M169,0))),0)</f>
        <v>73</v>
      </c>
      <c r="O169" s="721">
        <f>Sheet1!AA169+Sheet1!AB169</f>
        <v>58.839999999989232</v>
      </c>
      <c r="P169" s="721">
        <f t="shared" si="646"/>
        <v>91.025479999983332</v>
      </c>
      <c r="Q169" s="712">
        <f>MIN(N169,Sheet1!AA169+AG169)</f>
        <v>49.511593533476017</v>
      </c>
      <c r="R169" s="712">
        <f t="shared" si="647"/>
        <v>9.3284064665132149</v>
      </c>
      <c r="S169" s="721">
        <f>Sheet1!Y169*MGDtoCFS</f>
        <v>50.277499999999996</v>
      </c>
      <c r="T169" s="721">
        <f>Sheet1!Z169*MGDtoCFS</f>
        <v>40.222000000000001</v>
      </c>
      <c r="U169" s="721">
        <f>Sheet1!AA169*MGDtoCFS</f>
        <v>50.184679999981086</v>
      </c>
      <c r="V169" s="721">
        <f>Sheet1!AB169*MGDtoCFS</f>
        <v>40.840800000002247</v>
      </c>
      <c r="W169" s="721">
        <f>Sheet1!L169*MGDtoCFS</f>
        <v>0</v>
      </c>
      <c r="X169" s="697">
        <f t="shared" si="648"/>
        <v>0</v>
      </c>
      <c r="Y169" s="712">
        <f t="shared" si="649"/>
        <v>0</v>
      </c>
      <c r="Z169" s="712">
        <f t="shared" si="650"/>
        <v>55.311593533486786</v>
      </c>
      <c r="AA169" s="712">
        <f t="shared" si="651"/>
        <v>85.567035196304047</v>
      </c>
      <c r="AB169" s="712">
        <f>(VLOOKUP(Sheet1!CY169,hhdcap_wcm,4)-(((VLOOKUP(Sheet1!CY169,hhdcap_wcm,3)-Sheet1!CY169)/(VLOOKUP(Sheet1!CY169,hhdcap_wcm,3)-VLOOKUP(Sheet1!CY169,hhdcap_wcm,1)))*(VLOOKUP(Sheet1!CY169,hhdcap_wcm,4)-VLOOKUP(Sheet1!CY169,hhdcap_wcm,2))))</f>
        <v>47473.320000112704</v>
      </c>
      <c r="AC169" s="712">
        <f t="shared" si="652"/>
        <v>484.55000000137079</v>
      </c>
      <c r="AD169" s="712">
        <f t="shared" si="653"/>
        <v>5700.1550837391633</v>
      </c>
      <c r="AE169" s="712">
        <f t="shared" si="654"/>
        <v>17488.075796911755</v>
      </c>
      <c r="AF169" s="712">
        <f>Sheet1!BA169+Sheet1!BB169+Sheet1!BN169+BT169</f>
        <v>16.8</v>
      </c>
      <c r="AG169" s="712">
        <f t="shared" si="655"/>
        <v>17.07159353348824</v>
      </c>
      <c r="AH169" s="712">
        <f>Sheet1!BA169+BT169</f>
        <v>0</v>
      </c>
      <c r="AI169" s="712">
        <f>Sheet1!BA169+Sheet1!BB169+BT169</f>
        <v>0</v>
      </c>
      <c r="AJ169" s="712">
        <f>IF((Sheet1!AA169+AG169+AX169+AZ169+BQ169+BS169+CL169+CN169)&lt;=N169,AG169+AX169+AZ169+BQ169+BS169+CL169+CN169,N169-Sheet1!AA169)</f>
        <v>17.07159353348824</v>
      </c>
      <c r="AK169" s="712">
        <f>IF(DR169&lt;K169,0,MAX(Sheet1!AA169+AG169-15/36*K169-N169,Sheet1!ED169,0))</f>
        <v>0</v>
      </c>
      <c r="AL169" s="712">
        <f>IF(OR(B169&gt;=FT169,B169&lt;FS169),0,15/36*K169-MAX(0,64.6-(137.6-(Sheet1!AA169+Sheet1!AB169))))</f>
        <v>26.933333333333334</v>
      </c>
      <c r="AM169" s="712">
        <f>Sheet1!CX169-110</f>
        <v>1845.8333333333333</v>
      </c>
      <c r="AN169" s="712">
        <f>Sheet1!CW169-265</f>
        <v>2295.1041666666665</v>
      </c>
      <c r="AO169" s="712">
        <f t="shared" si="622"/>
        <v>23.488406466523983</v>
      </c>
      <c r="AP169" s="712">
        <f t="shared" si="656"/>
        <v>0</v>
      </c>
      <c r="AQ169" s="712">
        <f t="shared" si="657"/>
        <v>0</v>
      </c>
      <c r="AR169" s="712">
        <f t="shared" si="658"/>
        <v>2585.6000000000022</v>
      </c>
      <c r="AS169" s="712"/>
      <c r="AT169" s="712">
        <f ca="1">IF(B169&gt;Summary!$A$1,#N/A,AR169*MGtoAF)</f>
        <v>7932.620800000007</v>
      </c>
      <c r="AU169" s="712">
        <f>Sheet1!BG169+Sheet1!BH169+Sheet1!BI169-BC169</f>
        <v>0</v>
      </c>
      <c r="AV169" s="712">
        <f t="shared" si="659"/>
        <v>0</v>
      </c>
      <c r="AW169" s="712">
        <f>IF(Sheet1!EL169="FM",BC169,0)</f>
        <v>0</v>
      </c>
      <c r="AX169" s="712">
        <f t="shared" si="660"/>
        <v>0</v>
      </c>
      <c r="AY169" s="712">
        <f>IF(Sheet1!EL169="OTHER",BC169,0)</f>
        <v>0</v>
      </c>
      <c r="AZ169" s="712">
        <f t="shared" si="661"/>
        <v>0</v>
      </c>
      <c r="BA169" s="712">
        <f t="shared" si="662"/>
        <v>0</v>
      </c>
      <c r="BB169" s="712">
        <f t="shared" si="663"/>
        <v>0</v>
      </c>
      <c r="BC169" s="712">
        <f>IF(OR(Sheet1!EL169="FM", Sheet1!EL169="OTHER"),SUM(Sheet1!BG169:'Sheet1'!BI169),0)</f>
        <v>0</v>
      </c>
      <c r="BD169" s="697">
        <f>IF(AND($B169&gt;=$FL169,$B169&lt;=$FM169),MAX(AV169,Sheet1!EE169,0),MAX(AV169-(7/36)*$K169,0))</f>
        <v>0</v>
      </c>
      <c r="BE169" s="712">
        <f t="shared" si="664"/>
        <v>12.568888888888889</v>
      </c>
      <c r="BF169" s="697">
        <f t="shared" si="665"/>
        <v>0</v>
      </c>
      <c r="BG169" s="697">
        <f>IF(AND($O169&gt;0,Sheet1!EI169=1),(1-($O169-Sheet1!$L169)/$O169)*BB169,0)</f>
        <v>0</v>
      </c>
      <c r="BH169" s="697">
        <f>IF(AND(Sheet1!$L169=0,Sheet1!$L168=0, Calculation!BA169&lt;Sheet1!$EE169-0.1,Sheet1!$EE169=Sheet1!$EE168,Sheet1!$EE169=Sheet1!$EE170),Sheet1!$EE169,BB169-BG169)</f>
        <v>0</v>
      </c>
      <c r="BI169" s="712"/>
      <c r="BJ169" s="712"/>
      <c r="BK169" s="712">
        <f t="shared" si="666"/>
        <v>1206.6133333333332</v>
      </c>
      <c r="BL169" s="712"/>
      <c r="BM169" s="712">
        <f ca="1">IF(B169&gt;Summary!$A$1,#N/A,BK169*MGtoAF)</f>
        <v>3701.8897066666664</v>
      </c>
      <c r="BN169" s="712">
        <f>Sheet1!BC169+Sheet1!BD169+Sheet1!BE169+Sheet1!BF169-BW169-BX169</f>
        <v>2.6500000000000004</v>
      </c>
      <c r="BO169" s="712">
        <f t="shared" si="667"/>
        <v>2.692840646651419</v>
      </c>
      <c r="BP169" s="712">
        <f>IF(Sheet1!EM169="FM",BX169,0)</f>
        <v>0</v>
      </c>
      <c r="BQ169" s="712">
        <f t="shared" si="668"/>
        <v>0</v>
      </c>
      <c r="BR169" s="712">
        <f>IF(Sheet1!EM169="OTHER",BX169,0)</f>
        <v>0</v>
      </c>
      <c r="BS169" s="712">
        <f t="shared" si="669"/>
        <v>0</v>
      </c>
      <c r="BT169" s="712">
        <f t="shared" si="670"/>
        <v>0</v>
      </c>
      <c r="BU169" s="712">
        <f t="shared" si="671"/>
        <v>2.6500000000000004</v>
      </c>
      <c r="BV169" s="712">
        <f t="shared" si="672"/>
        <v>2.692840646651419</v>
      </c>
      <c r="BW169" s="712">
        <f>IF(Sheet1!EM169="CWA",SUM(Sheet1!BC169:'Sheet1'!BF169),0)</f>
        <v>0</v>
      </c>
      <c r="BX169" s="712">
        <f>IF(OR(Sheet1!EM169="FM", Sheet1!EM169="OTHER"),SUM(Sheet1!BC169:'Sheet1'!BF169),0)</f>
        <v>0</v>
      </c>
      <c r="BY169" s="697">
        <f>IF(AND($B169&gt;=$FL169,$B169&lt;=$FM169),MAX(BV169,Sheet1!EF169,0),MAX(BV169-(7/36)*$K169,0))</f>
        <v>0</v>
      </c>
      <c r="BZ169" s="712">
        <f t="shared" si="673"/>
        <v>9.87604824223747</v>
      </c>
      <c r="CA169" s="697">
        <f t="shared" si="674"/>
        <v>2.692840646651419</v>
      </c>
      <c r="CB169" s="697">
        <f>IF(AND($O169&gt;0,Sheet1!EJ169=1),(1-($O169-Sheet1!$L169)/$O169)*BV169,0)</f>
        <v>0</v>
      </c>
      <c r="CC169" s="697">
        <f>IF(AND(Sheet1!$L169=0,Sheet1!$L168=0, Calculation!BU169&lt;Sheet1!EF169-0.1,Sheet1!EF169=Sheet1!EF168,Sheet1!EF169=Sheet1!EF170),Sheet1!EF169,BV169-CB169)</f>
        <v>2.692840646651419</v>
      </c>
      <c r="CD169" s="697"/>
      <c r="CE169" s="712"/>
      <c r="CF169" s="712">
        <f t="shared" si="675"/>
        <v>1060.4130310609657</v>
      </c>
      <c r="CG169" s="712"/>
      <c r="CH169" s="712">
        <f ca="1">IF(B169&gt;Summary!$A$1,#N/A,CF169*MGtoAF)</f>
        <v>3253.3471792950431</v>
      </c>
      <c r="CI169" s="712">
        <f>Sheet1!BK169+Sheet1!BL169+Sheet1!BM169-Sheet1!EN169-CQ169</f>
        <v>6.5299999999999994</v>
      </c>
      <c r="CJ169" s="712">
        <f t="shared" si="676"/>
        <v>6.6355658198617968</v>
      </c>
      <c r="CK169" s="712">
        <f>IF(Sheet1!EN169="FM",CQ169,0)</f>
        <v>0</v>
      </c>
      <c r="CL169" s="712">
        <f t="shared" si="677"/>
        <v>0</v>
      </c>
      <c r="CM169" s="712">
        <f>IF(Sheet1!EN169="OTHER",CQ169,0)</f>
        <v>0</v>
      </c>
      <c r="CN169" s="712">
        <f t="shared" si="678"/>
        <v>0</v>
      </c>
      <c r="CO169" s="712">
        <f t="shared" si="679"/>
        <v>6.5299999999999994</v>
      </c>
      <c r="CP169" s="712">
        <f t="shared" si="680"/>
        <v>6.6355658198617968</v>
      </c>
      <c r="CQ169" s="712">
        <f>IF(OR(Sheet1!EN169="FM", Sheet1!EN169="OTHER"),SUM(Sheet1!BK169:'Sheet1'!BM169),0)</f>
        <v>0</v>
      </c>
      <c r="CR169" s="697">
        <f>IF(AND($B169&gt;=$FL169,$B169&lt;=$FM169),MAX($CJ169,Sheet1!EG169,0),MAX($CJ169-(7/36)*$K169,0))</f>
        <v>0</v>
      </c>
      <c r="CS169" s="712">
        <f t="shared" si="681"/>
        <v>5.9333230690270922</v>
      </c>
      <c r="CT169" s="697">
        <f t="shared" si="682"/>
        <v>6.6355658198617968</v>
      </c>
      <c r="CU169" s="697">
        <f>IF(AND($O169&gt;0,Sheet1!EK169=1),(1-($O169-Sheet1!$L169)/$O169)*CP169,0)</f>
        <v>0</v>
      </c>
      <c r="CV169" s="697">
        <f>IF(AND(Sheet1!$L169=0,Sheet1!$L168=0, Calculation!CO169&lt;Sheet1!$EG169-0.1,Sheet1!$EG169=Sheet1!$EG168,Sheet1!$EG169=Sheet1!$EG170),Sheet1!$EG169,CP169-CU169)</f>
        <v>6.6355658198617968</v>
      </c>
      <c r="CW169" s="697">
        <f t="shared" si="613"/>
        <v>0</v>
      </c>
      <c r="CX169" s="712">
        <f t="shared" si="683"/>
        <v>9.18</v>
      </c>
      <c r="CY169" s="712">
        <f t="shared" si="684"/>
        <v>847.52871934486188</v>
      </c>
      <c r="CZ169" s="712">
        <f t="shared" si="685"/>
        <v>9.3284064665132149</v>
      </c>
      <c r="DA169" s="712">
        <f ca="1">IF(B169&gt;Summary!$A$1,#N/A,CY169*MGtoAF)</f>
        <v>2600.2181109500361</v>
      </c>
      <c r="DB169" s="712">
        <f t="shared" si="686"/>
        <v>9.18</v>
      </c>
      <c r="DC169" s="712">
        <f t="shared" si="687"/>
        <v>25.98</v>
      </c>
      <c r="DD169" s="712">
        <f>Sheet1!AB169-DC169</f>
        <v>0.42000000000145477</v>
      </c>
      <c r="DE169" s="712">
        <f t="shared" si="688"/>
        <v>1.6166281755252299E-2</v>
      </c>
      <c r="DF169" s="712">
        <f>(VLOOKUP(Sheet1!CY169,hhdcap_wcm,4)-(((VLOOKUP(Sheet1!CY169,hhdcap_wcm,3)-Sheet1!CY169)/(VLOOKUP(Sheet1!CY169,hhdcap_wcm,3)-VLOOKUP(Sheet1!CY169,hhdcap_wcm,1)))*(VLOOKUP(Sheet1!CY169,hhdcap_wcm,4)-VLOOKUP(Sheet1!CY169,hhdcap_wcm,2))))</f>
        <v>47473.320000112704</v>
      </c>
      <c r="DG169" s="712">
        <f t="shared" si="689"/>
        <v>484.55000000137079</v>
      </c>
      <c r="DH169" s="712">
        <f t="shared" si="690"/>
        <v>244.35199193210829</v>
      </c>
      <c r="DI169" s="712">
        <f>Sheet1!DW169*AFtoMG</f>
        <v>0</v>
      </c>
      <c r="DJ169" s="712">
        <f>Sheet1!DX169*AFtoMG</f>
        <v>0</v>
      </c>
      <c r="DK169" s="712">
        <f>Sheet1!DY169*AFtoMG</f>
        <v>0</v>
      </c>
      <c r="DL169" s="712">
        <f>Sheet1!DZ169*AFtoMG</f>
        <v>0</v>
      </c>
      <c r="DM169" s="712">
        <f t="shared" si="691"/>
        <v>0</v>
      </c>
      <c r="DN169" s="712">
        <f t="shared" si="692"/>
        <v>0</v>
      </c>
      <c r="DO169" s="712">
        <f t="shared" si="693"/>
        <v>5700.1550837391633</v>
      </c>
      <c r="DP169" s="712">
        <f t="shared" si="694"/>
        <v>17488.075796911755</v>
      </c>
      <c r="DQ169" s="712"/>
      <c r="DR169" s="697">
        <f>IF(OR(B169&lt;FL169,B169&gt;FM169),(MIN(AV169+BO169+CJ169+MAX(Sheet1!AA169+AG169-73,0),K169)),0)</f>
        <v>9.3284064665132149</v>
      </c>
      <c r="DS169" s="712"/>
      <c r="DT169" s="712">
        <f t="shared" si="695"/>
        <v>9.3284064665132149</v>
      </c>
      <c r="DU169" s="712"/>
      <c r="DV169" s="712">
        <f>Sheet1!ED169+Sheet1!EE169+Sheet1!EF169+Sheet1!EG169</f>
        <v>9</v>
      </c>
      <c r="DW169" s="712"/>
      <c r="DX169" s="697">
        <f t="shared" si="696"/>
        <v>0</v>
      </c>
      <c r="DY169" s="712">
        <f>IF(Sheet1!FN169=1,SUM('Calculations II'!AT169:BA169)+'Calculations II'!BC169+Sheet1!BU169+'Calculations II'!BE169+AF169,SUM('Calculations II'!AT169:BA169)+'Calculations II'!BC169+Sheet1!BU169+'Calculations II'!BE169+AF169)</f>
        <v>52.935103999999995</v>
      </c>
      <c r="DZ169" s="712">
        <f>Sheet1!AA169+Sheet1!AB169+'Calculations II'!BC169</f>
        <v>58.839999999989232</v>
      </c>
      <c r="EA169" s="712"/>
      <c r="EB169" s="712"/>
      <c r="EC169" s="712">
        <f t="shared" si="697"/>
        <v>40698</v>
      </c>
      <c r="ED169" s="712">
        <f t="shared" si="698"/>
        <v>55.311593533486786</v>
      </c>
      <c r="EE169" s="712">
        <f t="shared" si="699"/>
        <v>85.567035196304047</v>
      </c>
      <c r="EF169" s="712">
        <f>-(VLOOKUP(Sheet1!BQ169,Lookup!$B$4:$J$236,2)-VLOOKUP(Sheet1!BQ168,Lookup!$B$4:$J$236,2))/1000000</f>
        <v>2.3971</v>
      </c>
      <c r="EG169" s="712">
        <f>-(VLOOKUP(Sheet1!BR169,Lookup!$B$4:$J$236,3)-VLOOKUP(Sheet1!BR168,Lookup!$B$4:$J$236,3))/1000000</f>
        <v>2.3932000000000002</v>
      </c>
      <c r="EH169" s="712">
        <f>-(VLOOKUP(Sheet1!BS169,Lookup!$B$4:$J$236,4)-VLOOKUP(Sheet1!BS168,Lookup!$B$4:$J$236,4))/1000000</f>
        <v>0</v>
      </c>
      <c r="EI169" s="697">
        <f t="shared" si="700"/>
        <v>4.7903000000000002</v>
      </c>
      <c r="EJ169" s="712"/>
      <c r="EK169" s="712"/>
      <c r="EL169" s="712"/>
      <c r="EM169" s="712"/>
      <c r="EN169" s="712"/>
      <c r="EO169" s="712"/>
      <c r="EP169" s="712"/>
      <c r="EQ169" s="712"/>
      <c r="ES169" s="712"/>
      <c r="ET169" s="794" t="e">
        <f t="shared" si="437"/>
        <v>#N/A</v>
      </c>
      <c r="EU169" s="697">
        <v>5000</v>
      </c>
      <c r="EV169" s="795">
        <f t="shared" si="640"/>
        <v>23765.244203200949</v>
      </c>
      <c r="EW169" s="796" t="s">
        <v>757</v>
      </c>
      <c r="EX169" s="796" t="s">
        <v>757</v>
      </c>
      <c r="EY169" s="794">
        <v>0</v>
      </c>
      <c r="EZ169" s="794" t="e">
        <v>#N/A</v>
      </c>
      <c r="FA169" s="712"/>
      <c r="FB169" s="712"/>
      <c r="FC169" s="712"/>
      <c r="FD169" s="712"/>
      <c r="FE169" s="712">
        <f>O169+Sheet1!CO169</f>
        <v>58.839999999989232</v>
      </c>
      <c r="FF169" s="712">
        <f>IF(Sheet1!AA169+AG169&lt;=Calculation!N169,AG169,Calculation!N169-Sheet1!AA169)</f>
        <v>17.07159353348824</v>
      </c>
      <c r="FG169" s="712">
        <f>(Sheet1!BP169+Sheet1!BO169)/694.4</f>
        <v>2.5974942396313367</v>
      </c>
      <c r="FH169" s="712"/>
      <c r="FI169" s="712"/>
      <c r="FJ169" s="712"/>
      <c r="FK169" s="712"/>
      <c r="FL169" s="714">
        <f t="shared" si="632"/>
        <v>40753</v>
      </c>
      <c r="FM169" s="714">
        <f t="shared" si="633"/>
        <v>40851</v>
      </c>
      <c r="FN169" s="712"/>
      <c r="FO169" s="712"/>
      <c r="FP169" s="712"/>
      <c r="FQ169" s="712"/>
      <c r="FR169" s="712"/>
      <c r="FS169" s="725">
        <f t="shared" si="634"/>
        <v>40603</v>
      </c>
      <c r="FT169" s="714">
        <f t="shared" si="635"/>
        <v>40709</v>
      </c>
      <c r="FU169" s="712">
        <f t="shared" si="636"/>
        <v>6518.9048239895692</v>
      </c>
      <c r="FV169" s="714">
        <f t="shared" si="637"/>
        <v>40722</v>
      </c>
      <c r="FW169" s="712">
        <f t="shared" si="638"/>
        <v>3259.4524119947846</v>
      </c>
      <c r="FX169" s="725">
        <f t="shared" si="639"/>
        <v>40851</v>
      </c>
      <c r="FZ169" s="697">
        <f t="shared" si="616"/>
        <v>0</v>
      </c>
      <c r="GA169" s="712" t="str">
        <f t="shared" si="701"/>
        <v/>
      </c>
      <c r="GB169" s="712">
        <f t="shared" si="702"/>
        <v>0</v>
      </c>
      <c r="GC169" s="712" t="str">
        <f t="shared" si="703"/>
        <v/>
      </c>
      <c r="GD169" s="712">
        <f>IF(GA169="P",Lookup!$M$12,IF(GA169="PP",Lookup!$M$13,IF(GA169="PPP",Lookup!$M$14,IF(GA169="T",Lookup!$M$15,IF(GA169="TP",Lookup!$M$16,IF(GA169="TPP",Lookup!$M$17,IF(GA169="TPPP",Lookup!$M$18,0)))))))*FZ169</f>
        <v>0</v>
      </c>
      <c r="GE169" s="712">
        <f t="shared" si="704"/>
        <v>0</v>
      </c>
      <c r="GF169" s="712">
        <f t="shared" si="705"/>
        <v>7932.620800000007</v>
      </c>
      <c r="GG169" s="712">
        <f t="shared" si="706"/>
        <v>2585.6000000000022</v>
      </c>
      <c r="GH169" s="712"/>
      <c r="GI169" s="712">
        <f t="shared" si="707"/>
        <v>0</v>
      </c>
      <c r="GJ169" s="712" t="str">
        <f t="shared" si="708"/>
        <v/>
      </c>
      <c r="GK169" s="712">
        <f>IF(GA169="P",Lookup!$N$12,IF(GA169="PP",Lookup!$N$13,IF(GA169="PPP",Lookup!$N$14,IF(GA169="T",Lookup!$N$15,IF(GA169="TP",Lookup!$N$16,IF(GA169="TPP",Lookup!$N$17,IF(GA169="TPPP",Lookup!$N$18,0)))))))*FZ169</f>
        <v>0</v>
      </c>
      <c r="GL169" s="712">
        <f t="shared" si="709"/>
        <v>0</v>
      </c>
      <c r="GM169" s="712">
        <f t="shared" si="710"/>
        <v>3701.8897066666664</v>
      </c>
      <c r="GN169" s="712">
        <f t="shared" si="711"/>
        <v>1206.6133333333332</v>
      </c>
      <c r="GO169" s="712"/>
      <c r="GP169" s="712">
        <f t="shared" si="712"/>
        <v>0</v>
      </c>
      <c r="GQ169" s="712" t="str">
        <f t="shared" si="713"/>
        <v/>
      </c>
      <c r="GR169" s="712">
        <f>IF(GA169="P",Lookup!$N$12,IF(GA169="PP",Lookup!$N$13,IF(GA169="PPP",Lookup!$N$14,IF(GA169="T",Lookup!$N$15,IF(GA169="TP",Lookup!$N$16,IF(GA169="TPP",Lookup!$N$17,IF(GA169="TPPP",Lookup!$N$18,0)))))))*FZ169</f>
        <v>0</v>
      </c>
      <c r="GS169" s="697">
        <f t="shared" si="628"/>
        <v>0</v>
      </c>
      <c r="GT169" s="712">
        <f t="shared" si="714"/>
        <v>3253.3471792950431</v>
      </c>
      <c r="GU169" s="712">
        <f t="shared" si="715"/>
        <v>1060.4130310609657</v>
      </c>
      <c r="GV169" s="712"/>
      <c r="GW169" s="712">
        <f t="shared" si="716"/>
        <v>0</v>
      </c>
      <c r="GX169" s="712" t="str">
        <f t="shared" si="717"/>
        <v/>
      </c>
      <c r="GY169" s="712">
        <f>IF(GA169="P",Lookup!$N$12,IF(GA169="PP",Lookup!$N$13,IF(GA169="PPP",Lookup!$N$14,IF(GA169="T",Lookup!$N$15,IF(GA169="TP",Lookup!$N$16,IF(GA169="TPP",Lookup!$N$17,IF(GA169="TPPP",Lookup!$N$18,0)))))))*FZ169</f>
        <v>0</v>
      </c>
      <c r="GZ169" s="697">
        <f t="shared" si="629"/>
        <v>0</v>
      </c>
      <c r="HA169" s="712">
        <f t="shared" si="718"/>
        <v>2600.2181109500361</v>
      </c>
      <c r="HB169" s="712">
        <f t="shared" si="719"/>
        <v>847.52871934486188</v>
      </c>
      <c r="HC169" s="712"/>
    </row>
    <row r="170" spans="1:211">
      <c r="A170" s="773" t="s">
        <v>3</v>
      </c>
      <c r="B170" s="708">
        <v>40699</v>
      </c>
      <c r="C170" s="719">
        <v>0.5</v>
      </c>
      <c r="D170" s="675">
        <f t="shared" si="641"/>
        <v>300</v>
      </c>
      <c r="E170" s="675">
        <f t="shared" si="642"/>
        <v>250</v>
      </c>
      <c r="F170" s="675">
        <v>250</v>
      </c>
      <c r="G170" s="712">
        <f>DH170+Sheet1!CV170</f>
        <v>2273.6321230461426</v>
      </c>
      <c r="H170" s="712">
        <f t="shared" si="643"/>
        <v>1202.7126043370265</v>
      </c>
      <c r="I170" s="711">
        <f>MAX(Sheet1!Z170-AJ170+(Sheet1!CW170-E170)*CFStoMGD,0)</f>
        <v>1481.1681870581822</v>
      </c>
      <c r="J170" s="720">
        <f>IF(AND(B170&gt;=Calculation!FS170,B170&lt;=Calculation!FT170),IF(Sheet1!CX170&gt;=Calculation!D170,64.64,0),MAX(Sheet1!Z170-AJ170+(Sheet1!CX170-D170)*CFStoMGD,0))</f>
        <v>64.64</v>
      </c>
      <c r="K170" s="697">
        <f t="shared" si="644"/>
        <v>64.64</v>
      </c>
      <c r="L170" s="712">
        <f>Sheet1!AA170+Sheet1!AB170-Sheet1!L170+(Sheet1!CW170-F170)*CFStoMGD</f>
        <v>1535.4006666666726</v>
      </c>
      <c r="M170" s="712">
        <f t="shared" si="645"/>
        <v>1499.0693204237673</v>
      </c>
      <c r="N170" s="712">
        <f>IF(Sheet1!CW170&gt;=F170,MIN(73,MIN(MAX(L170,0),MAX(M170,0))),0)</f>
        <v>73</v>
      </c>
      <c r="O170" s="721">
        <f>Sheet1!AA170+Sheet1!AB170</f>
        <v>64.100000000005821</v>
      </c>
      <c r="P170" s="721">
        <f t="shared" si="646"/>
        <v>99.162700000009011</v>
      </c>
      <c r="Q170" s="712">
        <f>MIN(N170,Sheet1!AA170+AG170)</f>
        <v>54.762479608487993</v>
      </c>
      <c r="R170" s="712">
        <f t="shared" si="647"/>
        <v>9.3375203915178311</v>
      </c>
      <c r="S170" s="721">
        <f>Sheet1!Y170*MGDtoCFS</f>
        <v>51.60792</v>
      </c>
      <c r="T170" s="721">
        <f>Sheet1!Z170*MGDtoCFS</f>
        <v>48.684089999999998</v>
      </c>
      <c r="U170" s="721">
        <f>Sheet1!AA170*MGDtoCFS</f>
        <v>51.298520000005404</v>
      </c>
      <c r="V170" s="721">
        <f>Sheet1!AB170*MGDtoCFS</f>
        <v>47.8641800000036</v>
      </c>
      <c r="W170" s="721">
        <f>Sheet1!L170*MGDtoCFS</f>
        <v>0</v>
      </c>
      <c r="X170" s="697">
        <f t="shared" si="648"/>
        <v>0</v>
      </c>
      <c r="Y170" s="712">
        <f t="shared" si="649"/>
        <v>0</v>
      </c>
      <c r="Z170" s="712">
        <f t="shared" si="650"/>
        <v>55.302479608482173</v>
      </c>
      <c r="AA170" s="712">
        <f t="shared" si="651"/>
        <v>85.552935954321924</v>
      </c>
      <c r="AB170" s="712">
        <f>(VLOOKUP(Sheet1!CY170,hhdcap_wcm,4)-(((VLOOKUP(Sheet1!CY170,hhdcap_wcm,3)-Sheet1!CY170)/(VLOOKUP(Sheet1!CY170,hhdcap_wcm,3)-VLOOKUP(Sheet1!CY170,hhdcap_wcm,1)))*(VLOOKUP(Sheet1!CY170,hhdcap_wcm,4)-VLOOKUP(Sheet1!CY170,hhdcap_wcm,2))))</f>
        <v>48014.280000113205</v>
      </c>
      <c r="AC170" s="712">
        <f t="shared" si="652"/>
        <v>540.96000000050117</v>
      </c>
      <c r="AD170" s="712">
        <f t="shared" si="653"/>
        <v>5755.4575633476452</v>
      </c>
      <c r="AE170" s="712">
        <f t="shared" si="654"/>
        <v>17657.743804350575</v>
      </c>
      <c r="AF170" s="712">
        <f>Sheet1!BA170+Sheet1!BB170+Sheet1!BN170+BT170</f>
        <v>21.4</v>
      </c>
      <c r="AG170" s="712">
        <f t="shared" si="655"/>
        <v>21.602479608484497</v>
      </c>
      <c r="AH170" s="712">
        <f>Sheet1!BA170+BT170</f>
        <v>0</v>
      </c>
      <c r="AI170" s="712">
        <f>Sheet1!BA170+Sheet1!BB170+BT170</f>
        <v>0</v>
      </c>
      <c r="AJ170" s="712">
        <f>IF((Sheet1!AA170+AG170+AX170+AZ170+BQ170+BS170+CL170+CN170)&lt;=N170,AG170+AX170+AZ170+BQ170+BS170+CL170+CN170,N170-Sheet1!AA170)</f>
        <v>21.602479608484497</v>
      </c>
      <c r="AK170" s="712">
        <f>IF(DR170&lt;K170,0,MAX(Sheet1!AA170+AG170-15/36*K170-N170,Sheet1!ED170,0))</f>
        <v>0</v>
      </c>
      <c r="AL170" s="712">
        <f>IF(OR(B170&gt;=FT170,B170&lt;FS170),0,15/36*K170-MAX(0,64.6-(137.6-(Sheet1!AA170+Sheet1!AB170))))</f>
        <v>26.933333333333334</v>
      </c>
      <c r="AM170" s="712">
        <f>Sheet1!CX170-110</f>
        <v>1836.1458333333333</v>
      </c>
      <c r="AN170" s="712">
        <f>Sheet1!CW170-265</f>
        <v>2261.1458333333335</v>
      </c>
      <c r="AO170" s="712">
        <f t="shared" si="622"/>
        <v>18.237520391512007</v>
      </c>
      <c r="AP170" s="712">
        <f t="shared" si="656"/>
        <v>0</v>
      </c>
      <c r="AQ170" s="712">
        <f t="shared" si="657"/>
        <v>0</v>
      </c>
      <c r="AR170" s="712">
        <f t="shared" si="658"/>
        <v>2612.5333333333356</v>
      </c>
      <c r="AS170" s="712"/>
      <c r="AT170" s="712">
        <f ca="1">IF(B170&gt;Summary!$A$1,#N/A,AR170*MGtoAF)</f>
        <v>8015.2522666666737</v>
      </c>
      <c r="AU170" s="712">
        <f>Sheet1!BG170+Sheet1!BH170+Sheet1!BI170-BC170</f>
        <v>0</v>
      </c>
      <c r="AV170" s="712">
        <f t="shared" si="659"/>
        <v>0</v>
      </c>
      <c r="AW170" s="712">
        <f>IF(Sheet1!EL170="FM",BC170,0)</f>
        <v>0</v>
      </c>
      <c r="AX170" s="712">
        <f t="shared" si="660"/>
        <v>0</v>
      </c>
      <c r="AY170" s="712">
        <f>IF(Sheet1!EL170="OTHER",BC170,0)</f>
        <v>0</v>
      </c>
      <c r="AZ170" s="712">
        <f t="shared" si="661"/>
        <v>0</v>
      </c>
      <c r="BA170" s="712">
        <f t="shared" si="662"/>
        <v>0</v>
      </c>
      <c r="BB170" s="712">
        <f t="shared" si="663"/>
        <v>0</v>
      </c>
      <c r="BC170" s="712">
        <f>IF(OR(Sheet1!EL170="FM", Sheet1!EL170="OTHER"),SUM(Sheet1!BG170:'Sheet1'!BI170),0)</f>
        <v>0</v>
      </c>
      <c r="BD170" s="697">
        <f>IF(AND($B170&gt;=$FL170,$B170&lt;=$FM170),MAX(AV170,Sheet1!EE170,0),MAX(AV170-(7/36)*$K170,0))</f>
        <v>0</v>
      </c>
      <c r="BE170" s="712">
        <f t="shared" si="664"/>
        <v>12.568888888888889</v>
      </c>
      <c r="BF170" s="697">
        <f t="shared" si="665"/>
        <v>0</v>
      </c>
      <c r="BG170" s="697">
        <f>IF(AND($O170&gt;0,Sheet1!EI170=1),(1-($O170-Sheet1!$L170)/$O170)*BB170,0)</f>
        <v>0</v>
      </c>
      <c r="BH170" s="697">
        <f>IF(AND(Sheet1!$L170=0,Sheet1!$L169=0, Calculation!BA170&lt;Sheet1!$EE170-0.1,Sheet1!$EE170=Sheet1!$EE169,Sheet1!$EE170=Sheet1!$EE171),Sheet1!$EE170,BB170-BG170)</f>
        <v>0</v>
      </c>
      <c r="BI170" s="712"/>
      <c r="BJ170" s="712"/>
      <c r="BK170" s="712">
        <f t="shared" si="666"/>
        <v>1219.1822222222222</v>
      </c>
      <c r="BL170" s="712"/>
      <c r="BM170" s="712">
        <f ca="1">IF(B170&gt;Summary!$A$1,#N/A,BK170*MGtoAF)</f>
        <v>3740.4510577777778</v>
      </c>
      <c r="BN170" s="712">
        <f>Sheet1!BC170+Sheet1!BD170+Sheet1!BE170+Sheet1!BF170-BW170-BX170</f>
        <v>2.72</v>
      </c>
      <c r="BO170" s="712">
        <f t="shared" si="667"/>
        <v>2.7457357259382169</v>
      </c>
      <c r="BP170" s="712">
        <f>IF(Sheet1!EM170="FM",BX170,0)</f>
        <v>0</v>
      </c>
      <c r="BQ170" s="712">
        <f t="shared" si="668"/>
        <v>0</v>
      </c>
      <c r="BR170" s="712">
        <f>IF(Sheet1!EM170="OTHER",BX170,0)</f>
        <v>0</v>
      </c>
      <c r="BS170" s="712">
        <f t="shared" si="669"/>
        <v>0</v>
      </c>
      <c r="BT170" s="712">
        <f t="shared" si="670"/>
        <v>0</v>
      </c>
      <c r="BU170" s="712">
        <f t="shared" si="671"/>
        <v>2.72</v>
      </c>
      <c r="BV170" s="712">
        <f t="shared" si="672"/>
        <v>2.7457357259382169</v>
      </c>
      <c r="BW170" s="712">
        <f>IF(Sheet1!EM170="CWA",SUM(Sheet1!BC170:'Sheet1'!BF170),0)</f>
        <v>0</v>
      </c>
      <c r="BX170" s="712">
        <f>IF(OR(Sheet1!EM170="FM", Sheet1!EM170="OTHER"),SUM(Sheet1!BC170:'Sheet1'!BF170),0)</f>
        <v>0</v>
      </c>
      <c r="BY170" s="697">
        <f>IF(AND($B170&gt;=$FL170,$B170&lt;=$FM170),MAX(BV170,Sheet1!EF170,0),MAX(BV170-(7/36)*$K170,0))</f>
        <v>0</v>
      </c>
      <c r="BZ170" s="712">
        <f t="shared" si="673"/>
        <v>9.8231531629506712</v>
      </c>
      <c r="CA170" s="697">
        <f t="shared" si="674"/>
        <v>2.7457357259382169</v>
      </c>
      <c r="CB170" s="697">
        <f>IF(AND($O170&gt;0,Sheet1!EJ170=1),(1-($O170-Sheet1!$L170)/$O170)*BV170,0)</f>
        <v>0</v>
      </c>
      <c r="CC170" s="697">
        <f>IF(AND(Sheet1!$L170=0,Sheet1!$L169=0, Calculation!BU170&lt;Sheet1!EF170-0.1,Sheet1!EF170=Sheet1!EF169,Sheet1!EF170=Sheet1!EF171),Sheet1!EF170,BV170-CB170)</f>
        <v>2.7457357259382169</v>
      </c>
      <c r="CD170" s="697"/>
      <c r="CE170" s="712"/>
      <c r="CF170" s="712">
        <f t="shared" si="675"/>
        <v>1070.2361842239163</v>
      </c>
      <c r="CG170" s="712"/>
      <c r="CH170" s="712">
        <f ca="1">IF(B170&gt;Summary!$A$1,#N/A,CF170*MGtoAF)</f>
        <v>3283.4846131989752</v>
      </c>
      <c r="CI170" s="712">
        <f>Sheet1!BK170+Sheet1!BL170+Sheet1!BM170-Sheet1!EN170-CQ170</f>
        <v>6.5299999999999994</v>
      </c>
      <c r="CJ170" s="712">
        <f t="shared" si="676"/>
        <v>6.5917846655796151</v>
      </c>
      <c r="CK170" s="712">
        <f>IF(Sheet1!EN170="FM",CQ170,0)</f>
        <v>0</v>
      </c>
      <c r="CL170" s="712">
        <f t="shared" si="677"/>
        <v>0</v>
      </c>
      <c r="CM170" s="712">
        <f>IF(Sheet1!EN170="OTHER",CQ170,0)</f>
        <v>0</v>
      </c>
      <c r="CN170" s="712">
        <f t="shared" si="678"/>
        <v>0</v>
      </c>
      <c r="CO170" s="712">
        <f t="shared" si="679"/>
        <v>6.5299999999999994</v>
      </c>
      <c r="CP170" s="712">
        <f t="shared" si="680"/>
        <v>6.5917846655796151</v>
      </c>
      <c r="CQ170" s="712">
        <f>IF(OR(Sheet1!EN170="FM", Sheet1!EN170="OTHER"),SUM(Sheet1!BK170:'Sheet1'!BM170),0)</f>
        <v>0</v>
      </c>
      <c r="CR170" s="697">
        <f>IF(AND($B170&gt;=$FL170,$B170&lt;=$FM170),MAX($CJ170,Sheet1!EG170,0),MAX($CJ170-(7/36)*$K170,0))</f>
        <v>0</v>
      </c>
      <c r="CS170" s="712">
        <f t="shared" si="681"/>
        <v>5.9771042233092739</v>
      </c>
      <c r="CT170" s="697">
        <f t="shared" si="682"/>
        <v>6.5917846655796151</v>
      </c>
      <c r="CU170" s="697">
        <f>IF(AND($O170&gt;0,Sheet1!EK170=1),(1-($O170-Sheet1!$L170)/$O170)*CP170,0)</f>
        <v>0</v>
      </c>
      <c r="CV170" s="697">
        <f>IF(AND(Sheet1!$L170=0,Sheet1!$L169=0, Calculation!CO170&lt;Sheet1!$EG170-0.1,Sheet1!$EG170=Sheet1!$EG169,Sheet1!$EG170=Sheet1!$EG171),Sheet1!$EG170,CP170-CU170)</f>
        <v>6.5917846655796151</v>
      </c>
      <c r="CW170" s="697">
        <f t="shared" si="613"/>
        <v>0</v>
      </c>
      <c r="CX170" s="712">
        <f t="shared" si="683"/>
        <v>9.25</v>
      </c>
      <c r="CY170" s="712">
        <f t="shared" si="684"/>
        <v>853.50582356817119</v>
      </c>
      <c r="CZ170" s="712">
        <f t="shared" si="685"/>
        <v>9.3375203915178311</v>
      </c>
      <c r="DA170" s="712">
        <f ca="1">IF(B170&gt;Summary!$A$1,#N/A,CY170*MGtoAF)</f>
        <v>2618.5558667071491</v>
      </c>
      <c r="DB170" s="712">
        <f t="shared" si="686"/>
        <v>9.25</v>
      </c>
      <c r="DC170" s="712">
        <f t="shared" si="687"/>
        <v>30.65</v>
      </c>
      <c r="DD170" s="712">
        <f>Sheet1!AB170-DC170</f>
        <v>0.29000000000232973</v>
      </c>
      <c r="DE170" s="712">
        <f t="shared" si="688"/>
        <v>9.4616639478737278E-3</v>
      </c>
      <c r="DF170" s="712">
        <f>(VLOOKUP(Sheet1!CY170,hhdcap_wcm,4)-(((VLOOKUP(Sheet1!CY170,hhdcap_wcm,3)-Sheet1!CY170)/(VLOOKUP(Sheet1!CY170,hhdcap_wcm,3)-VLOOKUP(Sheet1!CY170,hhdcap_wcm,1)))*(VLOOKUP(Sheet1!CY170,hhdcap_wcm,4)-VLOOKUP(Sheet1!CY170,hhdcap_wcm,2))))</f>
        <v>48014.280000113205</v>
      </c>
      <c r="DG170" s="712">
        <f t="shared" si="689"/>
        <v>540.96000000050117</v>
      </c>
      <c r="DH170" s="712">
        <f t="shared" si="690"/>
        <v>272.79878971280942</v>
      </c>
      <c r="DI170" s="712">
        <f>Sheet1!DW170*AFtoMG</f>
        <v>0</v>
      </c>
      <c r="DJ170" s="712">
        <f>Sheet1!DX170*AFtoMG</f>
        <v>0</v>
      </c>
      <c r="DK170" s="712">
        <f>Sheet1!DY170*AFtoMG</f>
        <v>0</v>
      </c>
      <c r="DL170" s="712">
        <f>Sheet1!DZ170*AFtoMG</f>
        <v>0</v>
      </c>
      <c r="DM170" s="712">
        <f t="shared" si="691"/>
        <v>0</v>
      </c>
      <c r="DN170" s="712">
        <f t="shared" si="692"/>
        <v>0</v>
      </c>
      <c r="DO170" s="712">
        <f t="shared" si="693"/>
        <v>5755.4575633476452</v>
      </c>
      <c r="DP170" s="712">
        <f t="shared" si="694"/>
        <v>17657.743804350575</v>
      </c>
      <c r="DQ170" s="712"/>
      <c r="DR170" s="697">
        <f>IF(OR(B170&lt;FL170,B170&gt;FM170),(MIN(AV170+BO170+CJ170+MAX(Sheet1!AA170+AG170-73,0),K170)),0)</f>
        <v>9.3375203915178311</v>
      </c>
      <c r="DS170" s="712"/>
      <c r="DT170" s="712">
        <f t="shared" si="695"/>
        <v>9.3375203915178311</v>
      </c>
      <c r="DU170" s="712"/>
      <c r="DV170" s="712">
        <f>Sheet1!ED170+Sheet1!EE170+Sheet1!EF170+Sheet1!EG170</f>
        <v>9</v>
      </c>
      <c r="DW170" s="712"/>
      <c r="DX170" s="697">
        <f t="shared" si="696"/>
        <v>0</v>
      </c>
      <c r="DY170" s="712">
        <f>IF(Sheet1!FN170=1,SUM('Calculations II'!AT170:BA170)+'Calculations II'!BC170+Sheet1!BU170+'Calculations II'!BE170+AF170,SUM('Calculations II'!AT170:BA170)+'Calculations II'!BC170+Sheet1!BU170+'Calculations II'!BE170+AF170)</f>
        <v>52.957472000000003</v>
      </c>
      <c r="DZ170" s="712">
        <f>Sheet1!AA170+Sheet1!AB170+'Calculations II'!BC170</f>
        <v>64.100000000005821</v>
      </c>
      <c r="EA170" s="712"/>
      <c r="EB170" s="712"/>
      <c r="EC170" s="712">
        <f t="shared" si="697"/>
        <v>40699</v>
      </c>
      <c r="ED170" s="712">
        <f t="shared" si="698"/>
        <v>55.302479608482173</v>
      </c>
      <c r="EE170" s="712">
        <f t="shared" si="699"/>
        <v>85.552935954321924</v>
      </c>
      <c r="EF170" s="712">
        <f>-(VLOOKUP(Sheet1!BQ170,Lookup!$B$4:$J$236,2)-VLOOKUP(Sheet1!BQ169,Lookup!$B$4:$J$236,2))/1000000</f>
        <v>-0.52739999999999998</v>
      </c>
      <c r="EG170" s="712">
        <f>-(VLOOKUP(Sheet1!BR170,Lookup!$B$4:$J$236,3)-VLOOKUP(Sheet1!BR169,Lookup!$B$4:$J$236,3))/1000000</f>
        <v>-0.26329999999999998</v>
      </c>
      <c r="EH170" s="712">
        <f>-(VLOOKUP(Sheet1!BS170,Lookup!$B$4:$J$236,4)-VLOOKUP(Sheet1!BS169,Lookup!$B$4:$J$236,4))/1000000</f>
        <v>0</v>
      </c>
      <c r="EI170" s="697">
        <f t="shared" si="700"/>
        <v>-0.79069999999999996</v>
      </c>
      <c r="EJ170" s="712"/>
      <c r="EK170" s="712"/>
      <c r="EL170" s="712"/>
      <c r="EM170" s="712"/>
      <c r="EN170" s="712"/>
      <c r="EO170" s="712"/>
      <c r="EP170" s="712"/>
      <c r="EQ170" s="712"/>
      <c r="ES170" s="712"/>
      <c r="ET170" s="794" t="e">
        <f t="shared" si="437"/>
        <v>#N/A</v>
      </c>
      <c r="EU170" s="697">
        <v>5000</v>
      </c>
      <c r="EV170" s="795">
        <f t="shared" si="640"/>
        <v>24136.53619576263</v>
      </c>
      <c r="EW170" s="796" t="s">
        <v>757</v>
      </c>
      <c r="EX170" s="796" t="s">
        <v>757</v>
      </c>
      <c r="EY170" s="794">
        <v>0</v>
      </c>
      <c r="EZ170" s="794" t="e">
        <v>#N/A</v>
      </c>
      <c r="FA170" s="712"/>
      <c r="FB170" s="712"/>
      <c r="FC170" s="712"/>
      <c r="FD170" s="712"/>
      <c r="FE170" s="712">
        <f>O170+Sheet1!CO170</f>
        <v>64.100000000005821</v>
      </c>
      <c r="FF170" s="712">
        <f>IF(Sheet1!AA170+AG170&lt;=Calculation!N170,AG170,Calculation!N170-Sheet1!AA170)</f>
        <v>21.602479608484497</v>
      </c>
      <c r="FG170" s="712">
        <f>(Sheet1!BP170+Sheet1!BO170)/694.4</f>
        <v>2.2380472350230414</v>
      </c>
      <c r="FH170" s="712"/>
      <c r="FI170" s="712"/>
      <c r="FJ170" s="712"/>
      <c r="FK170" s="712"/>
      <c r="FL170" s="714">
        <f t="shared" si="632"/>
        <v>40753</v>
      </c>
      <c r="FM170" s="714">
        <f t="shared" si="633"/>
        <v>40851</v>
      </c>
      <c r="FN170" s="712"/>
      <c r="FO170" s="712"/>
      <c r="FP170" s="712"/>
      <c r="FQ170" s="712"/>
      <c r="FR170" s="712"/>
      <c r="FS170" s="725">
        <f t="shared" si="634"/>
        <v>40603</v>
      </c>
      <c r="FT170" s="714">
        <f t="shared" si="635"/>
        <v>40709</v>
      </c>
      <c r="FU170" s="712">
        <f t="shared" si="636"/>
        <v>6518.9048239895692</v>
      </c>
      <c r="FV170" s="714">
        <f t="shared" si="637"/>
        <v>40722</v>
      </c>
      <c r="FW170" s="712">
        <f t="shared" si="638"/>
        <v>3259.4524119947846</v>
      </c>
      <c r="FX170" s="725">
        <f t="shared" si="639"/>
        <v>40851</v>
      </c>
      <c r="FZ170" s="697">
        <f t="shared" si="616"/>
        <v>0</v>
      </c>
      <c r="GA170" s="712" t="str">
        <f t="shared" si="701"/>
        <v/>
      </c>
      <c r="GB170" s="712">
        <f t="shared" si="702"/>
        <v>0</v>
      </c>
      <c r="GC170" s="712" t="str">
        <f t="shared" si="703"/>
        <v/>
      </c>
      <c r="GD170" s="712">
        <f>IF(GA170="P",Lookup!$M$12,IF(GA170="PP",Lookup!$M$13,IF(GA170="PPP",Lookup!$M$14,IF(GA170="T",Lookup!$M$15,IF(GA170="TP",Lookup!$M$16,IF(GA170="TPP",Lookup!$M$17,IF(GA170="TPPP",Lookup!$M$18,0)))))))*FZ170</f>
        <v>0</v>
      </c>
      <c r="GE170" s="712">
        <f t="shared" si="704"/>
        <v>0</v>
      </c>
      <c r="GF170" s="712">
        <f t="shared" si="705"/>
        <v>8015.2522666666737</v>
      </c>
      <c r="GG170" s="712">
        <f t="shared" si="706"/>
        <v>2612.5333333333356</v>
      </c>
      <c r="GH170" s="712"/>
      <c r="GI170" s="712">
        <f t="shared" si="707"/>
        <v>0</v>
      </c>
      <c r="GJ170" s="712" t="str">
        <f t="shared" si="708"/>
        <v/>
      </c>
      <c r="GK170" s="712">
        <f>IF(GA170="P",Lookup!$N$12,IF(GA170="PP",Lookup!$N$13,IF(GA170="PPP",Lookup!$N$14,IF(GA170="T",Lookup!$N$15,IF(GA170="TP",Lookup!$N$16,IF(GA170="TPP",Lookup!$N$17,IF(GA170="TPPP",Lookup!$N$18,0)))))))*FZ170</f>
        <v>0</v>
      </c>
      <c r="GL170" s="712">
        <f t="shared" si="709"/>
        <v>0</v>
      </c>
      <c r="GM170" s="712">
        <f t="shared" si="710"/>
        <v>3740.4510577777778</v>
      </c>
      <c r="GN170" s="712">
        <f t="shared" si="711"/>
        <v>1219.1822222222222</v>
      </c>
      <c r="GO170" s="712"/>
      <c r="GP170" s="712">
        <f t="shared" si="712"/>
        <v>0</v>
      </c>
      <c r="GQ170" s="712" t="str">
        <f t="shared" si="713"/>
        <v/>
      </c>
      <c r="GR170" s="712">
        <f>IF(GA170="P",Lookup!$N$12,IF(GA170="PP",Lookup!$N$13,IF(GA170="PPP",Lookup!$N$14,IF(GA170="T",Lookup!$N$15,IF(GA170="TP",Lookup!$N$16,IF(GA170="TPP",Lookup!$N$17,IF(GA170="TPPP",Lookup!$N$18,0)))))))*FZ170</f>
        <v>0</v>
      </c>
      <c r="GS170" s="697">
        <f t="shared" si="628"/>
        <v>0</v>
      </c>
      <c r="GT170" s="712">
        <f t="shared" si="714"/>
        <v>3283.4846131989752</v>
      </c>
      <c r="GU170" s="712">
        <f t="shared" si="715"/>
        <v>1070.2361842239163</v>
      </c>
      <c r="GV170" s="712"/>
      <c r="GW170" s="712">
        <f t="shared" si="716"/>
        <v>0</v>
      </c>
      <c r="GX170" s="712" t="str">
        <f t="shared" si="717"/>
        <v/>
      </c>
      <c r="GY170" s="712">
        <f>IF(GA170="P",Lookup!$N$12,IF(GA170="PP",Lookup!$N$13,IF(GA170="PPP",Lookup!$N$14,IF(GA170="T",Lookup!$N$15,IF(GA170="TP",Lookup!$N$16,IF(GA170="TPP",Lookup!$N$17,IF(GA170="TPPP",Lookup!$N$18,0)))))))*FZ170</f>
        <v>0</v>
      </c>
      <c r="GZ170" s="697">
        <f t="shared" si="629"/>
        <v>0</v>
      </c>
      <c r="HA170" s="712">
        <f t="shared" si="718"/>
        <v>2618.5558667071491</v>
      </c>
      <c r="HB170" s="712">
        <f t="shared" si="719"/>
        <v>853.50582356817119</v>
      </c>
      <c r="HC170" s="712"/>
    </row>
    <row r="171" spans="1:211">
      <c r="A171" s="773" t="s">
        <v>4</v>
      </c>
      <c r="B171" s="708">
        <v>40700</v>
      </c>
      <c r="C171" s="719">
        <v>0.5</v>
      </c>
      <c r="D171" s="675">
        <f t="shared" si="641"/>
        <v>300</v>
      </c>
      <c r="E171" s="675">
        <f t="shared" si="642"/>
        <v>250</v>
      </c>
      <c r="F171" s="675">
        <v>250</v>
      </c>
      <c r="G171" s="712">
        <f>DH171+Sheet1!CV171</f>
        <v>2289.3475794259389</v>
      </c>
      <c r="H171" s="712">
        <f t="shared" si="643"/>
        <v>1212.8710753409268</v>
      </c>
      <c r="I171" s="711">
        <f>MAX(Sheet1!Z171-AJ171+(Sheet1!CW171-E171)*CFStoMGD,0)</f>
        <v>1499.9996339869297</v>
      </c>
      <c r="J171" s="720">
        <f>IF(AND(B171&gt;=Calculation!FS171,B171&lt;=Calculation!FT171),IF(Sheet1!CX171&gt;=Calculation!D171,64.64,0),MAX(Sheet1!Z171-AJ171+(Sheet1!CX171-D171)*CFStoMGD,0))</f>
        <v>64.64</v>
      </c>
      <c r="K171" s="697">
        <f t="shared" si="644"/>
        <v>64.64</v>
      </c>
      <c r="L171" s="712">
        <f>Sheet1!AA171+Sheet1!AB171-Sheet1!L171+(Sheet1!CW171-F171)*CFStoMGD</f>
        <v>1554.4813333333279</v>
      </c>
      <c r="M171" s="712">
        <f t="shared" si="645"/>
        <v>1509.4309608477454</v>
      </c>
      <c r="N171" s="712">
        <f>IF(Sheet1!CW171&gt;=F171,MIN(73,MIN(MAX(L171,0),MAX(M171,0))),0)</f>
        <v>73</v>
      </c>
      <c r="O171" s="721">
        <f>Sheet1!AA171+Sheet1!AB171</f>
        <v>64.259999999994761</v>
      </c>
      <c r="P171" s="721">
        <f t="shared" si="646"/>
        <v>99.410219999991881</v>
      </c>
      <c r="Q171" s="712">
        <f>MIN(N171,Sheet1!AA171+AG171)</f>
        <v>54.921699346400686</v>
      </c>
      <c r="R171" s="712">
        <f t="shared" si="647"/>
        <v>9.3383006535940716</v>
      </c>
      <c r="S171" s="721">
        <f>Sheet1!Y171*MGDtoCFS</f>
        <v>51.360400000000006</v>
      </c>
      <c r="T171" s="721">
        <f>Sheet1!Z171*MGDtoCFS</f>
        <v>48.730499999999999</v>
      </c>
      <c r="U171" s="721">
        <f>Sheet1!AA171*MGDtoCFS</f>
        <v>51.360399999995494</v>
      </c>
      <c r="V171" s="721">
        <f>Sheet1!AB171*MGDtoCFS</f>
        <v>48.049819999996394</v>
      </c>
      <c r="W171" s="721">
        <f>Sheet1!L171*MGDtoCFS</f>
        <v>0</v>
      </c>
      <c r="X171" s="697">
        <f t="shared" si="648"/>
        <v>0</v>
      </c>
      <c r="Y171" s="712">
        <f t="shared" si="649"/>
        <v>0</v>
      </c>
      <c r="Z171" s="712">
        <f t="shared" si="650"/>
        <v>55.301699346405925</v>
      </c>
      <c r="AA171" s="712">
        <f t="shared" si="651"/>
        <v>85.551728888889969</v>
      </c>
      <c r="AB171" s="712">
        <f>(VLOOKUP(Sheet1!CY171,hhdcap_wcm,4)-(((VLOOKUP(Sheet1!CY171,hhdcap_wcm,3)-Sheet1!CY171)/(VLOOKUP(Sheet1!CY171,hhdcap_wcm,3)-VLOOKUP(Sheet1!CY171,hhdcap_wcm,1)))*(VLOOKUP(Sheet1!CY171,hhdcap_wcm,4)-VLOOKUP(Sheet1!CY171,hhdcap_wcm,2))))</f>
        <v>48369.100000114842</v>
      </c>
      <c r="AC171" s="712">
        <f t="shared" si="652"/>
        <v>354.8200000016368</v>
      </c>
      <c r="AD171" s="712">
        <f t="shared" si="653"/>
        <v>5810.7592626940514</v>
      </c>
      <c r="AE171" s="712">
        <f t="shared" si="654"/>
        <v>17827.40941794535</v>
      </c>
      <c r="AF171" s="712">
        <f>Sheet1!BA171+Sheet1!BB171+Sheet1!BN171+BT171</f>
        <v>21.4</v>
      </c>
      <c r="AG171" s="712">
        <f t="shared" si="655"/>
        <v>21.7216993464036</v>
      </c>
      <c r="AH171" s="712">
        <f>Sheet1!BA171+BT171</f>
        <v>0</v>
      </c>
      <c r="AI171" s="712">
        <f>Sheet1!BA171+Sheet1!BB171+BT171</f>
        <v>0</v>
      </c>
      <c r="AJ171" s="712">
        <f>IF((Sheet1!AA171+AG171+AX171+AZ171+BQ171+BS171+CL171+CN171)&lt;=N171,AG171+AX171+AZ171+BQ171+BS171+CL171+CN171,N171-Sheet1!AA171)</f>
        <v>21.7216993464036</v>
      </c>
      <c r="AK171" s="712">
        <f>IF(DR171&lt;K171,0,MAX(Sheet1!AA171+AG171-15/36*K171-N171,Sheet1!ED171,0))</f>
        <v>0</v>
      </c>
      <c r="AL171" s="712">
        <f>IF(OR(B171&gt;=FT171,B171&lt;FS171),0,15/36*K171-MAX(0,64.6-(137.6-(Sheet1!AA171+Sheet1!AB171))))</f>
        <v>26.933333333333334</v>
      </c>
      <c r="AM171" s="712">
        <f>Sheet1!CX171-110</f>
        <v>1932.0833333333333</v>
      </c>
      <c r="AN171" s="712">
        <f>Sheet1!CW171-265</f>
        <v>2290.4166666666665</v>
      </c>
      <c r="AO171" s="712">
        <f t="shared" si="622"/>
        <v>18.078300653599314</v>
      </c>
      <c r="AP171" s="712">
        <f t="shared" si="656"/>
        <v>0</v>
      </c>
      <c r="AQ171" s="712">
        <f t="shared" si="657"/>
        <v>0</v>
      </c>
      <c r="AR171" s="712">
        <f t="shared" si="658"/>
        <v>2639.466666666669</v>
      </c>
      <c r="AS171" s="712"/>
      <c r="AT171" s="712">
        <f ca="1">IF(B171&gt;Summary!$A$1,#N/A,AR171*MGtoAF)</f>
        <v>8097.8837333333404</v>
      </c>
      <c r="AU171" s="712">
        <f>Sheet1!BG171+Sheet1!BH171+Sheet1!BI171-BC171</f>
        <v>0</v>
      </c>
      <c r="AV171" s="712">
        <f t="shared" si="659"/>
        <v>0</v>
      </c>
      <c r="AW171" s="712">
        <f>IF(Sheet1!EL171="FM",BC171,0)</f>
        <v>0</v>
      </c>
      <c r="AX171" s="712">
        <f t="shared" si="660"/>
        <v>0</v>
      </c>
      <c r="AY171" s="712">
        <f>IF(Sheet1!EL171="OTHER",BC171,0)</f>
        <v>0</v>
      </c>
      <c r="AZ171" s="712">
        <f t="shared" si="661"/>
        <v>0</v>
      </c>
      <c r="BA171" s="712">
        <f t="shared" si="662"/>
        <v>0</v>
      </c>
      <c r="BB171" s="712">
        <f t="shared" si="663"/>
        <v>0</v>
      </c>
      <c r="BC171" s="712">
        <f>IF(OR(Sheet1!EL171="FM", Sheet1!EL171="OTHER"),SUM(Sheet1!BG171:'Sheet1'!BI171),0)</f>
        <v>0</v>
      </c>
      <c r="BD171" s="697">
        <f>IF(AND($B171&gt;=$FL171,$B171&lt;=$FM171),MAX(AV171,Sheet1!EE171,0),MAX(AV171-(7/36)*$K171,0))</f>
        <v>0</v>
      </c>
      <c r="BE171" s="712">
        <f t="shared" si="664"/>
        <v>12.568888888888889</v>
      </c>
      <c r="BF171" s="697">
        <f t="shared" si="665"/>
        <v>0</v>
      </c>
      <c r="BG171" s="697">
        <f>IF(AND($O171&gt;0,Sheet1!EI171=1),(1-($O171-Sheet1!$L171)/$O171)*BB171,0)</f>
        <v>0</v>
      </c>
      <c r="BH171" s="697">
        <f>IF(AND(Sheet1!$L171=0,Sheet1!$L170=0, Calculation!BA171&lt;Sheet1!$EE171-0.1,Sheet1!$EE171=Sheet1!$EE170,Sheet1!$EE171=Sheet1!$EE172),Sheet1!$EE171,BB171-BG171)</f>
        <v>0</v>
      </c>
      <c r="BI171" s="712"/>
      <c r="BJ171" s="712"/>
      <c r="BK171" s="712">
        <f t="shared" si="666"/>
        <v>1231.7511111111112</v>
      </c>
      <c r="BL171" s="712"/>
      <c r="BM171" s="712">
        <f ca="1">IF(B171&gt;Summary!$A$1,#N/A,BK171*MGtoAF)</f>
        <v>3779.0124088888892</v>
      </c>
      <c r="BN171" s="712">
        <f>Sheet1!BC171+Sheet1!BD171+Sheet1!BE171+Sheet1!BF171-BW171-BX171</f>
        <v>2.66</v>
      </c>
      <c r="BO171" s="712">
        <f t="shared" si="667"/>
        <v>2.6999869281043729</v>
      </c>
      <c r="BP171" s="712">
        <f>IF(Sheet1!EM171="FM",BX171,0)</f>
        <v>0</v>
      </c>
      <c r="BQ171" s="712">
        <f t="shared" si="668"/>
        <v>0</v>
      </c>
      <c r="BR171" s="712">
        <f>IF(Sheet1!EM171="OTHER",BX171,0)</f>
        <v>0</v>
      </c>
      <c r="BS171" s="712">
        <f t="shared" si="669"/>
        <v>0</v>
      </c>
      <c r="BT171" s="712">
        <f t="shared" si="670"/>
        <v>0</v>
      </c>
      <c r="BU171" s="712">
        <f t="shared" si="671"/>
        <v>2.66</v>
      </c>
      <c r="BV171" s="712">
        <f t="shared" si="672"/>
        <v>2.6999869281043729</v>
      </c>
      <c r="BW171" s="712">
        <f>IF(Sheet1!EM171="CWA",SUM(Sheet1!BC171:'Sheet1'!BF171),0)</f>
        <v>0</v>
      </c>
      <c r="BX171" s="712">
        <f>IF(OR(Sheet1!EM171="FM", Sheet1!EM171="OTHER"),SUM(Sheet1!BC171:'Sheet1'!BF171),0)</f>
        <v>0</v>
      </c>
      <c r="BY171" s="697">
        <f>IF(AND($B171&gt;=$FL171,$B171&lt;=$FM171),MAX(BV171,Sheet1!EF171,0),MAX(BV171-(7/36)*$K171,0))</f>
        <v>0</v>
      </c>
      <c r="BZ171" s="712">
        <f t="shared" si="673"/>
        <v>9.8689019607845161</v>
      </c>
      <c r="CA171" s="697">
        <f t="shared" si="674"/>
        <v>2.6999869281043729</v>
      </c>
      <c r="CB171" s="697">
        <f>IF(AND($O171&gt;0,Sheet1!EJ171=1),(1-($O171-Sheet1!$L171)/$O171)*BV171,0)</f>
        <v>0</v>
      </c>
      <c r="CC171" s="697">
        <f>IF(AND(Sheet1!$L171=0,Sheet1!$L170=0, Calculation!BU171&lt;Sheet1!EF171-0.1,Sheet1!EF171=Sheet1!EF170,Sheet1!EF171=Sheet1!EF172),Sheet1!EF171,BV171-CB171)</f>
        <v>2.6999869281043729</v>
      </c>
      <c r="CD171" s="697"/>
      <c r="CE171" s="712"/>
      <c r="CF171" s="712">
        <f t="shared" si="675"/>
        <v>1080.1050861847009</v>
      </c>
      <c r="CG171" s="712"/>
      <c r="CH171" s="712">
        <f ca="1">IF(B171&gt;Summary!$A$1,#N/A,CF171*MGtoAF)</f>
        <v>3313.7624044146623</v>
      </c>
      <c r="CI171" s="712">
        <f>Sheet1!BK171+Sheet1!BL171+Sheet1!BM171-Sheet1!EN171-CQ171</f>
        <v>6.54</v>
      </c>
      <c r="CJ171" s="712">
        <f t="shared" si="676"/>
        <v>6.6383137254896987</v>
      </c>
      <c r="CK171" s="712">
        <f>IF(Sheet1!EN171="FM",CQ171,0)</f>
        <v>0</v>
      </c>
      <c r="CL171" s="712">
        <f t="shared" si="677"/>
        <v>0</v>
      </c>
      <c r="CM171" s="712">
        <f>IF(Sheet1!EN171="OTHER",CQ171,0)</f>
        <v>0</v>
      </c>
      <c r="CN171" s="712">
        <f t="shared" si="678"/>
        <v>0</v>
      </c>
      <c r="CO171" s="712">
        <f t="shared" si="679"/>
        <v>6.54</v>
      </c>
      <c r="CP171" s="712">
        <f t="shared" si="680"/>
        <v>6.6383137254896987</v>
      </c>
      <c r="CQ171" s="712">
        <f>IF(OR(Sheet1!EN171="FM", Sheet1!EN171="OTHER"),SUM(Sheet1!BK171:'Sheet1'!BM171),0)</f>
        <v>0</v>
      </c>
      <c r="CR171" s="697">
        <f>IF(AND($B171&gt;=$FL171,$B171&lt;=$FM171),MAX($CJ171,Sheet1!EG171,0),MAX($CJ171-(7/36)*$K171,0))</f>
        <v>0</v>
      </c>
      <c r="CS171" s="712">
        <f t="shared" si="681"/>
        <v>5.9305751633991903</v>
      </c>
      <c r="CT171" s="697">
        <f t="shared" si="682"/>
        <v>6.6383137254896987</v>
      </c>
      <c r="CU171" s="697">
        <f>IF(AND($O171&gt;0,Sheet1!EK171=1),(1-($O171-Sheet1!$L171)/$O171)*CP171,0)</f>
        <v>0</v>
      </c>
      <c r="CV171" s="697">
        <f>IF(AND(Sheet1!$L171=0,Sheet1!$L170=0, Calculation!CO171&lt;Sheet1!$EG171-0.1,Sheet1!$EG171=Sheet1!$EG170,Sheet1!$EG171=Sheet1!$EG172),Sheet1!$EG171,CP171-CU171)</f>
        <v>6.6383137254896987</v>
      </c>
      <c r="CW171" s="697">
        <f t="shared" si="613"/>
        <v>0</v>
      </c>
      <c r="CX171" s="712">
        <f t="shared" si="683"/>
        <v>9.1999999999999993</v>
      </c>
      <c r="CY171" s="712">
        <f t="shared" si="684"/>
        <v>859.43639873157042</v>
      </c>
      <c r="CZ171" s="712">
        <f t="shared" si="685"/>
        <v>9.3383006535940716</v>
      </c>
      <c r="DA171" s="712">
        <f ca="1">IF(B171&gt;Summary!$A$1,#N/A,CY171*MGtoAF)</f>
        <v>2636.750871308458</v>
      </c>
      <c r="DB171" s="712">
        <f t="shared" si="686"/>
        <v>9.1999999999999993</v>
      </c>
      <c r="DC171" s="712">
        <f t="shared" si="687"/>
        <v>30.599999999999998</v>
      </c>
      <c r="DD171" s="712">
        <f>Sheet1!AB171-DC171</f>
        <v>0.45999999999767383</v>
      </c>
      <c r="DE171" s="712">
        <f t="shared" si="688"/>
        <v>1.5032679738486075E-2</v>
      </c>
      <c r="DF171" s="712">
        <f>(VLOOKUP(Sheet1!CY171,hhdcap_wcm,4)-(((VLOOKUP(Sheet1!CY171,hhdcap_wcm,3)-Sheet1!CY171)/(VLOOKUP(Sheet1!CY171,hhdcap_wcm,3)-VLOOKUP(Sheet1!CY171,hhdcap_wcm,1)))*(VLOOKUP(Sheet1!CY171,hhdcap_wcm,4)-VLOOKUP(Sheet1!CY171,hhdcap_wcm,2))))</f>
        <v>48369.100000114842</v>
      </c>
      <c r="DG171" s="712">
        <f t="shared" si="689"/>
        <v>354.8200000016368</v>
      </c>
      <c r="DH171" s="712">
        <f t="shared" si="690"/>
        <v>178.93091275927219</v>
      </c>
      <c r="DI171" s="712">
        <f>Sheet1!DW171*AFtoMG</f>
        <v>0</v>
      </c>
      <c r="DJ171" s="712">
        <f>Sheet1!DX171*AFtoMG</f>
        <v>0</v>
      </c>
      <c r="DK171" s="712">
        <f>Sheet1!DY171*AFtoMG</f>
        <v>0</v>
      </c>
      <c r="DL171" s="712">
        <f>Sheet1!DZ171*AFtoMG</f>
        <v>0</v>
      </c>
      <c r="DM171" s="712">
        <f t="shared" si="691"/>
        <v>0</v>
      </c>
      <c r="DN171" s="712">
        <f t="shared" si="692"/>
        <v>0</v>
      </c>
      <c r="DO171" s="712">
        <f t="shared" si="693"/>
        <v>5810.7592626940514</v>
      </c>
      <c r="DP171" s="712">
        <f t="shared" si="694"/>
        <v>17827.40941794535</v>
      </c>
      <c r="DQ171" s="712"/>
      <c r="DR171" s="697">
        <f>IF(OR(B171&lt;FL171,B171&gt;FM171),(MIN(AV171+BO171+CJ171+MAX(Sheet1!AA171+AG171-73,0),K171)),0)</f>
        <v>9.3383006535940716</v>
      </c>
      <c r="DS171" s="712"/>
      <c r="DT171" s="712">
        <f t="shared" si="695"/>
        <v>9.3383006535940716</v>
      </c>
      <c r="DU171" s="712"/>
      <c r="DV171" s="712">
        <f>Sheet1!ED171+Sheet1!EE171+Sheet1!EF171+Sheet1!EG171</f>
        <v>9</v>
      </c>
      <c r="DW171" s="712"/>
      <c r="DX171" s="697">
        <f t="shared" si="696"/>
        <v>0</v>
      </c>
      <c r="DY171" s="712">
        <f>IF(Sheet1!FN171=1,SUM('Calculations II'!AT171:BA171)+'Calculations II'!BC171+Sheet1!BU171+'Calculations II'!BE171+AF171,SUM('Calculations II'!AT171:BA171)+'Calculations II'!BC171+Sheet1!BU171+'Calculations II'!BE171+AF171)</f>
        <v>52.008464000000004</v>
      </c>
      <c r="DZ171" s="712">
        <f>Sheet1!AA171+Sheet1!AB171+'Calculations II'!BC171</f>
        <v>64.259999999994761</v>
      </c>
      <c r="EA171" s="712"/>
      <c r="EB171" s="712"/>
      <c r="EC171" s="712">
        <f t="shared" si="697"/>
        <v>40700</v>
      </c>
      <c r="ED171" s="712">
        <f t="shared" si="698"/>
        <v>55.301699346405925</v>
      </c>
      <c r="EE171" s="712">
        <f t="shared" si="699"/>
        <v>85.551728888889969</v>
      </c>
      <c r="EF171" s="712">
        <f>-(VLOOKUP(Sheet1!BQ171,Lookup!$B$4:$J$236,2)-VLOOKUP(Sheet1!BQ170,Lookup!$B$4:$J$236,2))/1000000</f>
        <v>-0.80130000000000001</v>
      </c>
      <c r="EG171" s="712">
        <f>-(VLOOKUP(Sheet1!BR171,Lookup!$B$4:$J$236,3)-VLOOKUP(Sheet1!BR170,Lookup!$B$4:$J$236,3))/1000000</f>
        <v>-0.79649999999999999</v>
      </c>
      <c r="EH171" s="712">
        <f>-(VLOOKUP(Sheet1!BS171,Lookup!$B$4:$J$236,4)-VLOOKUP(Sheet1!BS170,Lookup!$B$4:$J$236,4))/1000000</f>
        <v>0</v>
      </c>
      <c r="EI171" s="697">
        <f t="shared" si="700"/>
        <v>-1.5977999999999999</v>
      </c>
      <c r="EJ171" s="712"/>
      <c r="EK171" s="712"/>
      <c r="EL171" s="712"/>
      <c r="EM171" s="712"/>
      <c r="EN171" s="712"/>
      <c r="EO171" s="712"/>
      <c r="EP171" s="712"/>
      <c r="EQ171" s="712"/>
      <c r="ES171" s="712"/>
      <c r="ET171" s="794" t="e">
        <f t="shared" si="437"/>
        <v>#N/A</v>
      </c>
      <c r="EU171" s="697">
        <v>5000</v>
      </c>
      <c r="EV171" s="795">
        <f t="shared" si="640"/>
        <v>24321.690582169493</v>
      </c>
      <c r="EW171" s="796" t="s">
        <v>757</v>
      </c>
      <c r="EX171" s="796" t="s">
        <v>757</v>
      </c>
      <c r="EY171" s="794">
        <v>0</v>
      </c>
      <c r="EZ171" s="794" t="e">
        <v>#N/A</v>
      </c>
      <c r="FA171" s="712"/>
      <c r="FB171" s="712"/>
      <c r="FC171" s="712"/>
      <c r="FD171" s="712"/>
      <c r="FE171" s="712">
        <f>O171+Sheet1!CO171</f>
        <v>64.259999999994761</v>
      </c>
      <c r="FF171" s="712">
        <f>IF(Sheet1!AA171+AG171&lt;=Calculation!N171,AG171,Calculation!N171-Sheet1!AA171)</f>
        <v>21.7216993464036</v>
      </c>
      <c r="FG171" s="712">
        <f>(Sheet1!BP171+Sheet1!BO171)/694.4</f>
        <v>3.2111175115207375</v>
      </c>
      <c r="FH171" s="712"/>
      <c r="FI171" s="712"/>
      <c r="FJ171" s="712"/>
      <c r="FK171" s="712"/>
      <c r="FL171" s="714">
        <f t="shared" si="632"/>
        <v>40753</v>
      </c>
      <c r="FM171" s="714">
        <f t="shared" si="633"/>
        <v>40851</v>
      </c>
      <c r="FN171" s="712"/>
      <c r="FO171" s="712"/>
      <c r="FP171" s="712"/>
      <c r="FQ171" s="712"/>
      <c r="FR171" s="712"/>
      <c r="FS171" s="725">
        <f t="shared" si="634"/>
        <v>40603</v>
      </c>
      <c r="FT171" s="714">
        <f t="shared" si="635"/>
        <v>40709</v>
      </c>
      <c r="FU171" s="712">
        <f t="shared" si="636"/>
        <v>6518.9048239895692</v>
      </c>
      <c r="FV171" s="714">
        <f t="shared" si="637"/>
        <v>40722</v>
      </c>
      <c r="FW171" s="712">
        <f t="shared" si="638"/>
        <v>3259.4524119947846</v>
      </c>
      <c r="FX171" s="725">
        <f t="shared" si="639"/>
        <v>40851</v>
      </c>
      <c r="FZ171" s="697">
        <f t="shared" si="616"/>
        <v>0</v>
      </c>
      <c r="GA171" s="712" t="str">
        <f t="shared" si="701"/>
        <v/>
      </c>
      <c r="GB171" s="712">
        <f t="shared" si="702"/>
        <v>0</v>
      </c>
      <c r="GC171" s="712" t="str">
        <f t="shared" si="703"/>
        <v/>
      </c>
      <c r="GD171" s="712">
        <f>IF(GA171="P",Lookup!$M$12,IF(GA171="PP",Lookup!$M$13,IF(GA171="PPP",Lookup!$M$14,IF(GA171="T",Lookup!$M$15,IF(GA171="TP",Lookup!$M$16,IF(GA171="TPP",Lookup!$M$17,IF(GA171="TPPP",Lookup!$M$18,0)))))))*FZ171</f>
        <v>0</v>
      </c>
      <c r="GE171" s="712">
        <f t="shared" si="704"/>
        <v>0</v>
      </c>
      <c r="GF171" s="712">
        <f t="shared" si="705"/>
        <v>8097.8837333333404</v>
      </c>
      <c r="GG171" s="712">
        <f t="shared" si="706"/>
        <v>2639.466666666669</v>
      </c>
      <c r="GH171" s="712"/>
      <c r="GI171" s="712">
        <f t="shared" si="707"/>
        <v>0</v>
      </c>
      <c r="GJ171" s="712" t="str">
        <f t="shared" si="708"/>
        <v/>
      </c>
      <c r="GK171" s="712">
        <f>IF(GA171="P",Lookup!$N$12,IF(GA171="PP",Lookup!$N$13,IF(GA171="PPP",Lookup!$N$14,IF(GA171="T",Lookup!$N$15,IF(GA171="TP",Lookup!$N$16,IF(GA171="TPP",Lookup!$N$17,IF(GA171="TPPP",Lookup!$N$18,0)))))))*FZ171</f>
        <v>0</v>
      </c>
      <c r="GL171" s="712">
        <f t="shared" si="709"/>
        <v>0</v>
      </c>
      <c r="GM171" s="712">
        <f t="shared" si="710"/>
        <v>3779.0124088888892</v>
      </c>
      <c r="GN171" s="712">
        <f t="shared" si="711"/>
        <v>1231.7511111111112</v>
      </c>
      <c r="GO171" s="712"/>
      <c r="GP171" s="712">
        <f t="shared" si="712"/>
        <v>0</v>
      </c>
      <c r="GQ171" s="712" t="str">
        <f t="shared" si="713"/>
        <v/>
      </c>
      <c r="GR171" s="712">
        <f>IF(GA171="P",Lookup!$N$12,IF(GA171="PP",Lookup!$N$13,IF(GA171="PPP",Lookup!$N$14,IF(GA171="T",Lookup!$N$15,IF(GA171="TP",Lookup!$N$16,IF(GA171="TPP",Lookup!$N$17,IF(GA171="TPPP",Lookup!$N$18,0)))))))*FZ171</f>
        <v>0</v>
      </c>
      <c r="GS171" s="697">
        <f t="shared" si="628"/>
        <v>0</v>
      </c>
      <c r="GT171" s="712">
        <f t="shared" si="714"/>
        <v>3313.7624044146623</v>
      </c>
      <c r="GU171" s="712">
        <f t="shared" si="715"/>
        <v>1080.1050861847009</v>
      </c>
      <c r="GV171" s="712"/>
      <c r="GW171" s="712">
        <f t="shared" si="716"/>
        <v>0</v>
      </c>
      <c r="GX171" s="712" t="str">
        <f t="shared" si="717"/>
        <v/>
      </c>
      <c r="GY171" s="712">
        <f>IF(GA171="P",Lookup!$N$12,IF(GA171="PP",Lookup!$N$13,IF(GA171="PPP",Lookup!$N$14,IF(GA171="T",Lookup!$N$15,IF(GA171="TP",Lookup!$N$16,IF(GA171="TPP",Lookup!$N$17,IF(GA171="TPPP",Lookup!$N$18,0)))))))*FZ171</f>
        <v>0</v>
      </c>
      <c r="GZ171" s="697">
        <f t="shared" si="629"/>
        <v>0</v>
      </c>
      <c r="HA171" s="712">
        <f t="shared" si="718"/>
        <v>2636.750871308458</v>
      </c>
      <c r="HB171" s="712">
        <f t="shared" si="719"/>
        <v>859.43639873157042</v>
      </c>
      <c r="HC171" s="712"/>
    </row>
    <row r="172" spans="1:211">
      <c r="A172" s="773" t="s">
        <v>5</v>
      </c>
      <c r="B172" s="708">
        <v>40701</v>
      </c>
      <c r="C172" s="709">
        <v>0.5</v>
      </c>
      <c r="D172" s="675">
        <f t="shared" si="641"/>
        <v>300</v>
      </c>
      <c r="E172" s="675">
        <f t="shared" si="642"/>
        <v>250</v>
      </c>
      <c r="F172" s="675">
        <v>250</v>
      </c>
      <c r="G172" s="712">
        <f>DH172+Sheet1!CV172</f>
        <v>2325.3637165911514</v>
      </c>
      <c r="H172" s="712">
        <f t="shared" si="643"/>
        <v>1236.1519064045201</v>
      </c>
      <c r="I172" s="711">
        <f>MAX(Sheet1!Z172-AJ172+(Sheet1!CW172-E172)*CFStoMGD,0)</f>
        <v>1581.0683352165734</v>
      </c>
      <c r="J172" s="720">
        <f>IF(AND(B172&gt;=Calculation!FS172,B172&lt;=Calculation!FT172),IF(Sheet1!CX172&gt;=Calculation!D172,64.64,0),MAX(Sheet1!Z172-AJ172+(Sheet1!CX172-D172)*CFStoMGD,0))</f>
        <v>64.64</v>
      </c>
      <c r="K172" s="697">
        <f t="shared" si="644"/>
        <v>64.64</v>
      </c>
      <c r="L172" s="712">
        <f>Sheet1!AA172+Sheet1!AB172-Sheet1!L172+(Sheet1!CW172-F172)*CFStoMGD</f>
        <v>1638.0393333333375</v>
      </c>
      <c r="M172" s="712">
        <f t="shared" si="645"/>
        <v>1533.1774085326108</v>
      </c>
      <c r="N172" s="712">
        <f>IF(Sheet1!CW172&gt;=F172,MIN(73,MIN(MAX(L172,0),MAX(M172,0))),0)</f>
        <v>73</v>
      </c>
      <c r="O172" s="721">
        <f>Sheet1!AA172+Sheet1!AB172</f>
        <v>65.200000000004366</v>
      </c>
      <c r="P172" s="721">
        <f t="shared" si="646"/>
        <v>100.86440000000675</v>
      </c>
      <c r="Q172" s="712">
        <f>MIN(N172,Sheet1!AA172+AG172)</f>
        <v>55.970998116765614</v>
      </c>
      <c r="R172" s="712">
        <f t="shared" si="647"/>
        <v>9.2290018832387517</v>
      </c>
      <c r="S172" s="721">
        <f>Sheet1!Y172*MGDtoCFS</f>
        <v>51.283049999999996</v>
      </c>
      <c r="T172" s="721">
        <f>Sheet1!Z172*MGDtoCFS</f>
        <v>48.111699999999999</v>
      </c>
      <c r="U172" s="721">
        <f>Sheet1!AA172*MGDtoCFS</f>
        <v>51.205700000009003</v>
      </c>
      <c r="V172" s="721">
        <f>Sheet1!AB172*MGDtoCFS</f>
        <v>49.658699999997744</v>
      </c>
      <c r="W172" s="721">
        <f>Sheet1!L172*MGDtoCFS</f>
        <v>0</v>
      </c>
      <c r="X172" s="697">
        <f t="shared" si="648"/>
        <v>0</v>
      </c>
      <c r="Y172" s="712">
        <f t="shared" si="649"/>
        <v>0</v>
      </c>
      <c r="Z172" s="712">
        <f t="shared" si="650"/>
        <v>55.410998116761249</v>
      </c>
      <c r="AA172" s="712">
        <f t="shared" si="651"/>
        <v>85.720814086629645</v>
      </c>
      <c r="AB172" s="712">
        <f>(VLOOKUP(Sheet1!CY172,hhdcap_wcm,4)-(((VLOOKUP(Sheet1!CY172,hhdcap_wcm,3)-Sheet1!CY172)/(VLOOKUP(Sheet1!CY172,hhdcap_wcm,3)-VLOOKUP(Sheet1!CY172,hhdcap_wcm,1)))*(VLOOKUP(Sheet1!CY172,hhdcap_wcm,4)-VLOOKUP(Sheet1!CY172,hhdcap_wcm,2))))</f>
        <v>48636.700000115095</v>
      </c>
      <c r="AC172" s="712">
        <f t="shared" si="652"/>
        <v>267.6000000002532</v>
      </c>
      <c r="AD172" s="712">
        <f t="shared" si="653"/>
        <v>5866.1702608108126</v>
      </c>
      <c r="AE172" s="712">
        <f t="shared" si="654"/>
        <v>17997.410360167574</v>
      </c>
      <c r="AF172" s="712">
        <f>Sheet1!BA172+Sheet1!BB172+Sheet1!BN172+BT172</f>
        <v>22.7</v>
      </c>
      <c r="AG172" s="712">
        <f t="shared" si="655"/>
        <v>22.870998116759793</v>
      </c>
      <c r="AH172" s="712">
        <f>Sheet1!BA172+BT172</f>
        <v>0</v>
      </c>
      <c r="AI172" s="712">
        <f>Sheet1!BA172+Sheet1!BB172+BT172</f>
        <v>0</v>
      </c>
      <c r="AJ172" s="712">
        <f>IF((Sheet1!AA172+AG172+AX172+AZ172+BQ172+BS172+CL172+CN172)&lt;=N172,AG172+AX172+AZ172+BQ172+BS172+CL172+CN172,N172-Sheet1!AA172)</f>
        <v>22.870998116759793</v>
      </c>
      <c r="AK172" s="712">
        <f>IF(DR172&lt;K172,0,MAX(Sheet1!AA172+AG172-15/36*K172-N172,Sheet1!ED172,0))</f>
        <v>0</v>
      </c>
      <c r="AL172" s="712">
        <f>IF(OR(B172&gt;=FT172,B172&lt;FS172),0,15/36*K172-MAX(0,64.6-(137.6-(Sheet1!AA172+Sheet1!AB172))))</f>
        <v>26.933333333333334</v>
      </c>
      <c r="AM172" s="712">
        <f>Sheet1!CX172-110</f>
        <v>2015.2083333333335</v>
      </c>
      <c r="AN172" s="712">
        <f>Sheet1!CW172-265</f>
        <v>2418.2291666666665</v>
      </c>
      <c r="AO172" s="712">
        <f t="shared" si="622"/>
        <v>17.029001883234386</v>
      </c>
      <c r="AP172" s="712">
        <f t="shared" si="656"/>
        <v>0</v>
      </c>
      <c r="AQ172" s="712">
        <f t="shared" si="657"/>
        <v>0</v>
      </c>
      <c r="AR172" s="712">
        <f t="shared" si="658"/>
        <v>2666.4000000000024</v>
      </c>
      <c r="AS172" s="712"/>
      <c r="AT172" s="712">
        <f ca="1">IF(B172&gt;Summary!$A$1,#N/A,AR172*MGtoAF)</f>
        <v>8180.5152000000071</v>
      </c>
      <c r="AU172" s="712">
        <f>Sheet1!BG172+Sheet1!BH172+Sheet1!BI172-BC172</f>
        <v>0</v>
      </c>
      <c r="AV172" s="712">
        <f t="shared" si="659"/>
        <v>0</v>
      </c>
      <c r="AW172" s="712">
        <f>IF(Sheet1!EL172="FM",BC172,0)</f>
        <v>0</v>
      </c>
      <c r="AX172" s="712">
        <f t="shared" si="660"/>
        <v>0</v>
      </c>
      <c r="AY172" s="712">
        <f>IF(Sheet1!EL172="OTHER",BC172,0)</f>
        <v>0</v>
      </c>
      <c r="AZ172" s="712">
        <f t="shared" si="661"/>
        <v>0</v>
      </c>
      <c r="BA172" s="712">
        <f t="shared" si="662"/>
        <v>0</v>
      </c>
      <c r="BB172" s="712">
        <f t="shared" si="663"/>
        <v>0</v>
      </c>
      <c r="BC172" s="712">
        <f>IF(OR(Sheet1!EL172="FM", Sheet1!EL172="OTHER"),SUM(Sheet1!BG172:'Sheet1'!BI172),0)</f>
        <v>0</v>
      </c>
      <c r="BD172" s="697">
        <f>IF(AND($B172&gt;=$FL172,$B172&lt;=$FM172),MAX(AV172,Sheet1!EE172,0),MAX(AV172-(7/36)*$K172,0))</f>
        <v>0</v>
      </c>
      <c r="BE172" s="712">
        <f t="shared" si="664"/>
        <v>12.568888888888889</v>
      </c>
      <c r="BF172" s="697">
        <f t="shared" si="665"/>
        <v>0</v>
      </c>
      <c r="BG172" s="697">
        <f>IF(AND($O172&gt;0,Sheet1!EI172=1),(1-($O172-Sheet1!$L172)/$O172)*BB172,0)</f>
        <v>0</v>
      </c>
      <c r="BH172" s="697">
        <f>IF(AND(Sheet1!$L172=0,Sheet1!$L171=0, Calculation!BA172&lt;Sheet1!$EE172-0.1,Sheet1!$EE172=Sheet1!$EE171,Sheet1!$EE172=Sheet1!$EE173),Sheet1!$EE172,BB172-BG172)</f>
        <v>0</v>
      </c>
      <c r="BI172" s="712"/>
      <c r="BJ172" s="712"/>
      <c r="BK172" s="712">
        <f t="shared" si="666"/>
        <v>1244.3200000000002</v>
      </c>
      <c r="BL172" s="712"/>
      <c r="BM172" s="712">
        <f ca="1">IF(B172&gt;Summary!$A$1,#N/A,BK172*MGtoAF)</f>
        <v>3817.5737600000007</v>
      </c>
      <c r="BN172" s="712">
        <f>Sheet1!BC172+Sheet1!BD172+Sheet1!BE172+Sheet1!BF172-BW172-BX172</f>
        <v>2.63</v>
      </c>
      <c r="BO172" s="712">
        <f t="shared" si="667"/>
        <v>2.6498116760827424</v>
      </c>
      <c r="BP172" s="712">
        <f>IF(Sheet1!EM172="FM",BX172,0)</f>
        <v>0</v>
      </c>
      <c r="BQ172" s="712">
        <f t="shared" si="668"/>
        <v>0</v>
      </c>
      <c r="BR172" s="712">
        <f>IF(Sheet1!EM172="OTHER",BX172,0)</f>
        <v>0</v>
      </c>
      <c r="BS172" s="712">
        <f t="shared" si="669"/>
        <v>0</v>
      </c>
      <c r="BT172" s="712">
        <f t="shared" si="670"/>
        <v>0</v>
      </c>
      <c r="BU172" s="712">
        <f t="shared" si="671"/>
        <v>2.63</v>
      </c>
      <c r="BV172" s="712">
        <f t="shared" si="672"/>
        <v>2.6498116760827424</v>
      </c>
      <c r="BW172" s="712">
        <f>IF(Sheet1!EM172="CWA",SUM(Sheet1!BC172:'Sheet1'!BF172),0)</f>
        <v>0</v>
      </c>
      <c r="BX172" s="712">
        <f>IF(OR(Sheet1!EM172="FM", Sheet1!EM172="OTHER"),SUM(Sheet1!BC172:'Sheet1'!BF172),0)</f>
        <v>0</v>
      </c>
      <c r="BY172" s="697">
        <f>IF(AND($B172&gt;=$FL172,$B172&lt;=$FM172),MAX(BV172,Sheet1!EF172,0),MAX(BV172-(7/36)*$K172,0))</f>
        <v>0</v>
      </c>
      <c r="BZ172" s="712">
        <f t="shared" si="673"/>
        <v>9.9190772128061475</v>
      </c>
      <c r="CA172" s="697">
        <f t="shared" si="674"/>
        <v>2.6498116760827424</v>
      </c>
      <c r="CB172" s="697">
        <f>IF(AND($O172&gt;0,Sheet1!EJ172=1),(1-($O172-Sheet1!$L172)/$O172)*BV172,0)</f>
        <v>0</v>
      </c>
      <c r="CC172" s="697">
        <f>IF(AND(Sheet1!$L172=0,Sheet1!$L171=0, Calculation!BU172&lt;Sheet1!EF172-0.1,Sheet1!EF172=Sheet1!EF171,Sheet1!EF172=Sheet1!EF173),Sheet1!EF172,BV172-CB172)</f>
        <v>2.6498116760827424</v>
      </c>
      <c r="CD172" s="697"/>
      <c r="CE172" s="712"/>
      <c r="CF172" s="712">
        <f t="shared" si="675"/>
        <v>1090.024163397507</v>
      </c>
      <c r="CG172" s="712"/>
      <c r="CH172" s="712">
        <f ca="1">IF(B172&gt;Summary!$A$1,#N/A,CF172*MGtoAF)</f>
        <v>3344.1941333035516</v>
      </c>
      <c r="CI172" s="712">
        <f>Sheet1!BK172+Sheet1!BL172+Sheet1!BM172-Sheet1!EN172-CQ172</f>
        <v>6.5299999999999994</v>
      </c>
      <c r="CJ172" s="712">
        <f t="shared" si="676"/>
        <v>6.5791902071560102</v>
      </c>
      <c r="CK172" s="712">
        <f>IF(Sheet1!EN172="FM",CQ172,0)</f>
        <v>0</v>
      </c>
      <c r="CL172" s="712">
        <f t="shared" si="677"/>
        <v>0</v>
      </c>
      <c r="CM172" s="712">
        <f>IF(Sheet1!EN172="OTHER",CQ172,0)</f>
        <v>0</v>
      </c>
      <c r="CN172" s="712">
        <f t="shared" si="678"/>
        <v>0</v>
      </c>
      <c r="CO172" s="712">
        <f t="shared" si="679"/>
        <v>6.5299999999999994</v>
      </c>
      <c r="CP172" s="712">
        <f t="shared" si="680"/>
        <v>6.5791902071560102</v>
      </c>
      <c r="CQ172" s="712">
        <f>IF(OR(Sheet1!EN172="FM", Sheet1!EN172="OTHER"),SUM(Sheet1!BK172:'Sheet1'!BM172),0)</f>
        <v>0</v>
      </c>
      <c r="CR172" s="697">
        <f>IF(AND($B172&gt;=$FL172,$B172&lt;=$FM172),MAX($CJ172,Sheet1!EG172,0),MAX($CJ172-(7/36)*$K172,0))</f>
        <v>0</v>
      </c>
      <c r="CS172" s="712">
        <f t="shared" si="681"/>
        <v>5.9896986817328788</v>
      </c>
      <c r="CT172" s="697">
        <f t="shared" si="682"/>
        <v>6.5791902071560102</v>
      </c>
      <c r="CU172" s="697">
        <f>IF(AND($O172&gt;0,Sheet1!EK172=1),(1-($O172-Sheet1!$L172)/$O172)*CP172,0)</f>
        <v>0</v>
      </c>
      <c r="CV172" s="697">
        <f>IF(AND(Sheet1!$L172=0,Sheet1!$L171=0, Calculation!CO172&lt;Sheet1!$EG172-0.1,Sheet1!$EG172=Sheet1!$EG171,Sheet1!$EG172=Sheet1!$EG173),Sheet1!$EG172,CP172-CU172)</f>
        <v>6.5791902071560102</v>
      </c>
      <c r="CW172" s="697">
        <f t="shared" si="613"/>
        <v>0</v>
      </c>
      <c r="CX172" s="712">
        <f t="shared" si="683"/>
        <v>9.16</v>
      </c>
      <c r="CY172" s="712">
        <f t="shared" si="684"/>
        <v>865.4260974133033</v>
      </c>
      <c r="CZ172" s="712">
        <f t="shared" si="685"/>
        <v>9.2290018832387517</v>
      </c>
      <c r="DA172" s="712">
        <f ca="1">IF(B172&gt;Summary!$A$1,#N/A,CY172*MGtoAF)</f>
        <v>2655.1272668640145</v>
      </c>
      <c r="DB172" s="712">
        <f t="shared" si="686"/>
        <v>9.16</v>
      </c>
      <c r="DC172" s="712">
        <f t="shared" si="687"/>
        <v>31.86</v>
      </c>
      <c r="DD172" s="712">
        <f>Sheet1!AB172-DC172</f>
        <v>0.23999999999854538</v>
      </c>
      <c r="DE172" s="712">
        <f t="shared" si="688"/>
        <v>7.5329566854534019E-3</v>
      </c>
      <c r="DF172" s="712">
        <f>(VLOOKUP(Sheet1!CY172,hhdcap_wcm,4)-(((VLOOKUP(Sheet1!CY172,hhdcap_wcm,3)-Sheet1!CY172)/(VLOOKUP(Sheet1!CY172,hhdcap_wcm,3)-VLOOKUP(Sheet1!CY172,hhdcap_wcm,1)))*(VLOOKUP(Sheet1!CY172,hhdcap_wcm,4)-VLOOKUP(Sheet1!CY172,hhdcap_wcm,2))))</f>
        <v>48636.700000115095</v>
      </c>
      <c r="DG172" s="712">
        <f t="shared" si="689"/>
        <v>267.6000000002532</v>
      </c>
      <c r="DH172" s="712">
        <f t="shared" si="690"/>
        <v>134.9470499244847</v>
      </c>
      <c r="DI172" s="712">
        <f>Sheet1!DW172*AFtoMG</f>
        <v>0</v>
      </c>
      <c r="DJ172" s="712">
        <f>Sheet1!DX172*AFtoMG</f>
        <v>0</v>
      </c>
      <c r="DK172" s="712">
        <f>Sheet1!DY172*AFtoMG</f>
        <v>0</v>
      </c>
      <c r="DL172" s="712">
        <f>Sheet1!DZ172*AFtoMG</f>
        <v>0</v>
      </c>
      <c r="DM172" s="712">
        <f t="shared" si="691"/>
        <v>0</v>
      </c>
      <c r="DN172" s="712">
        <f t="shared" si="692"/>
        <v>0</v>
      </c>
      <c r="DO172" s="712">
        <f t="shared" si="693"/>
        <v>5866.1702608108126</v>
      </c>
      <c r="DP172" s="712">
        <f t="shared" si="694"/>
        <v>17997.410360167574</v>
      </c>
      <c r="DQ172" s="712"/>
      <c r="DR172" s="697">
        <f>IF(OR(B172&lt;FL172,B172&gt;FM172),(MIN(AV172+BO172+CJ172+MAX(Sheet1!AA172+AG172-73,0),K172)),0)</f>
        <v>9.2290018832387517</v>
      </c>
      <c r="DS172" s="712"/>
      <c r="DT172" s="712">
        <f t="shared" si="695"/>
        <v>9.2290018832387517</v>
      </c>
      <c r="DU172" s="712"/>
      <c r="DV172" s="712">
        <f>Sheet1!ED172+Sheet1!EE172+Sheet1!EF172+Sheet1!EG172</f>
        <v>9</v>
      </c>
      <c r="DW172" s="712"/>
      <c r="DX172" s="697">
        <f t="shared" si="696"/>
        <v>0</v>
      </c>
      <c r="DY172" s="712">
        <f>IF(Sheet1!FN172=1,SUM('Calculations II'!AT172:BA172)+'Calculations II'!BC172+Sheet1!BU172+'Calculations II'!BE172+AF172,SUM('Calculations II'!AT172:BA172)+'Calculations II'!BC172+Sheet1!BU172+'Calculations II'!BE172+AF172)</f>
        <v>52.630944</v>
      </c>
      <c r="DZ172" s="712">
        <f>Sheet1!AA172+Sheet1!AB172+'Calculations II'!BC172</f>
        <v>65.200000000004366</v>
      </c>
      <c r="EA172" s="712"/>
      <c r="EB172" s="712"/>
      <c r="EC172" s="712">
        <f t="shared" si="697"/>
        <v>40701</v>
      </c>
      <c r="ED172" s="712">
        <f t="shared" si="698"/>
        <v>55.410998116761249</v>
      </c>
      <c r="EE172" s="712">
        <f t="shared" si="699"/>
        <v>85.720814086629645</v>
      </c>
      <c r="EF172" s="712">
        <f>-(VLOOKUP(Sheet1!BQ172,Lookup!$B$4:$J$236,2)-VLOOKUP(Sheet1!BQ171,Lookup!$B$4:$J$236,2))/1000000</f>
        <v>-1.3354999999999999</v>
      </c>
      <c r="EG172" s="712">
        <f>-(VLOOKUP(Sheet1!BR172,Lookup!$B$4:$J$236,3)-VLOOKUP(Sheet1!BR171,Lookup!$B$4:$J$236,3))/1000000</f>
        <v>-1.5995999999999999</v>
      </c>
      <c r="EH172" s="712">
        <f>-(VLOOKUP(Sheet1!BS172,Lookup!$B$4:$J$236,4)-VLOOKUP(Sheet1!BS171,Lookup!$B$4:$J$236,4))/1000000</f>
        <v>0</v>
      </c>
      <c r="EI172" s="697">
        <f t="shared" si="700"/>
        <v>-2.9350999999999998</v>
      </c>
      <c r="EJ172" s="712"/>
      <c r="EK172" s="712"/>
      <c r="EL172" s="712"/>
      <c r="EM172" s="712"/>
      <c r="EN172" s="712"/>
      <c r="EO172" s="712"/>
      <c r="EP172" s="712"/>
      <c r="EQ172" s="712"/>
      <c r="ES172" s="712"/>
      <c r="ET172" s="794" t="e">
        <f t="shared" si="437"/>
        <v>#N/A</v>
      </c>
      <c r="EU172" s="697">
        <v>5000</v>
      </c>
      <c r="EV172" s="795">
        <f t="shared" si="640"/>
        <v>24419.289639947521</v>
      </c>
      <c r="EW172" s="796" t="s">
        <v>757</v>
      </c>
      <c r="EX172" s="796" t="s">
        <v>757</v>
      </c>
      <c r="EY172" s="794">
        <v>0</v>
      </c>
      <c r="EZ172" s="794" t="e">
        <v>#N/A</v>
      </c>
      <c r="FA172" s="712"/>
      <c r="FB172" s="712"/>
      <c r="FC172" s="712"/>
      <c r="FD172" s="712"/>
      <c r="FE172" s="712">
        <f>O172+Sheet1!CO172</f>
        <v>65.200000000004366</v>
      </c>
      <c r="FF172" s="712">
        <f>IF(Sheet1!AA172+AG172&lt;=Calculation!N172,AG172,Calculation!N172-Sheet1!AA172)</f>
        <v>22.870998116759793</v>
      </c>
      <c r="FG172" s="712">
        <f>(Sheet1!BP172+Sheet1!BO172)/694.4</f>
        <v>1.8335253456221199</v>
      </c>
      <c r="FH172" s="712"/>
      <c r="FI172" s="712"/>
      <c r="FJ172" s="712"/>
      <c r="FK172" s="712"/>
      <c r="FL172" s="714">
        <f t="shared" si="632"/>
        <v>40753</v>
      </c>
      <c r="FM172" s="714">
        <f t="shared" si="633"/>
        <v>40851</v>
      </c>
      <c r="FN172" s="712"/>
      <c r="FO172" s="712"/>
      <c r="FP172" s="712"/>
      <c r="FQ172" s="712"/>
      <c r="FR172" s="712"/>
      <c r="FS172" s="725">
        <f t="shared" si="634"/>
        <v>40603</v>
      </c>
      <c r="FT172" s="714">
        <f t="shared" si="635"/>
        <v>40709</v>
      </c>
      <c r="FU172" s="712">
        <f t="shared" si="636"/>
        <v>6518.9048239895692</v>
      </c>
      <c r="FV172" s="714">
        <f t="shared" si="637"/>
        <v>40722</v>
      </c>
      <c r="FW172" s="712">
        <f t="shared" si="638"/>
        <v>3259.4524119947846</v>
      </c>
      <c r="FX172" s="725">
        <f t="shared" si="639"/>
        <v>40851</v>
      </c>
      <c r="FZ172" s="697">
        <f t="shared" si="616"/>
        <v>0</v>
      </c>
      <c r="GA172" s="712" t="str">
        <f t="shared" si="701"/>
        <v/>
      </c>
      <c r="GB172" s="712">
        <f t="shared" si="702"/>
        <v>0</v>
      </c>
      <c r="GC172" s="712" t="str">
        <f t="shared" si="703"/>
        <v/>
      </c>
      <c r="GD172" s="712">
        <f>IF(GA172="P",Lookup!$M$12,IF(GA172="PP",Lookup!$M$13,IF(GA172="PPP",Lookup!$M$14,IF(GA172="T",Lookup!$M$15,IF(GA172="TP",Lookup!$M$16,IF(GA172="TPP",Lookup!$M$17,IF(GA172="TPPP",Lookup!$M$18,0)))))))*FZ172</f>
        <v>0</v>
      </c>
      <c r="GE172" s="712">
        <f t="shared" si="704"/>
        <v>0</v>
      </c>
      <c r="GF172" s="712">
        <f t="shared" si="705"/>
        <v>8180.5152000000071</v>
      </c>
      <c r="GG172" s="712">
        <f t="shared" si="706"/>
        <v>2666.4000000000024</v>
      </c>
      <c r="GH172" s="712"/>
      <c r="GI172" s="712">
        <f t="shared" si="707"/>
        <v>0</v>
      </c>
      <c r="GJ172" s="712" t="str">
        <f t="shared" si="708"/>
        <v/>
      </c>
      <c r="GK172" s="712">
        <f>IF(GA172="P",Lookup!$N$12,IF(GA172="PP",Lookup!$N$13,IF(GA172="PPP",Lookup!$N$14,IF(GA172="T",Lookup!$N$15,IF(GA172="TP",Lookup!$N$16,IF(GA172="TPP",Lookup!$N$17,IF(GA172="TPPP",Lookup!$N$18,0)))))))*FZ172</f>
        <v>0</v>
      </c>
      <c r="GL172" s="712">
        <f t="shared" si="709"/>
        <v>0</v>
      </c>
      <c r="GM172" s="712">
        <f t="shared" si="710"/>
        <v>3817.5737600000007</v>
      </c>
      <c r="GN172" s="712">
        <f t="shared" si="711"/>
        <v>1244.3200000000002</v>
      </c>
      <c r="GO172" s="712"/>
      <c r="GP172" s="712">
        <f t="shared" si="712"/>
        <v>0</v>
      </c>
      <c r="GQ172" s="712" t="str">
        <f t="shared" si="713"/>
        <v/>
      </c>
      <c r="GR172" s="712">
        <f>IF(GA172="P",Lookup!$N$12,IF(GA172="PP",Lookup!$N$13,IF(GA172="PPP",Lookup!$N$14,IF(GA172="T",Lookup!$N$15,IF(GA172="TP",Lookup!$N$16,IF(GA172="TPP",Lookup!$N$17,IF(GA172="TPPP",Lookup!$N$18,0)))))))*FZ172</f>
        <v>0</v>
      </c>
      <c r="GS172" s="697">
        <f t="shared" si="628"/>
        <v>0</v>
      </c>
      <c r="GT172" s="712">
        <f t="shared" si="714"/>
        <v>3344.1941333035516</v>
      </c>
      <c r="GU172" s="712">
        <f t="shared" si="715"/>
        <v>1090.024163397507</v>
      </c>
      <c r="GV172" s="712"/>
      <c r="GW172" s="712">
        <f t="shared" si="716"/>
        <v>0</v>
      </c>
      <c r="GX172" s="712" t="str">
        <f t="shared" si="717"/>
        <v/>
      </c>
      <c r="GY172" s="712">
        <f>IF(GA172="P",Lookup!$N$12,IF(GA172="PP",Lookup!$N$13,IF(GA172="PPP",Lookup!$N$14,IF(GA172="T",Lookup!$N$15,IF(GA172="TP",Lookup!$N$16,IF(GA172="TPP",Lookup!$N$17,IF(GA172="TPPP",Lookup!$N$18,0)))))))*FZ172</f>
        <v>0</v>
      </c>
      <c r="GZ172" s="697">
        <f t="shared" si="629"/>
        <v>0</v>
      </c>
      <c r="HA172" s="712">
        <f t="shared" si="718"/>
        <v>2655.1272668640145</v>
      </c>
      <c r="HB172" s="712">
        <f t="shared" si="719"/>
        <v>865.4260974133033</v>
      </c>
      <c r="HC172" s="712"/>
    </row>
    <row r="173" spans="1:211">
      <c r="A173" s="773" t="s">
        <v>6</v>
      </c>
      <c r="B173" s="708">
        <v>40702</v>
      </c>
      <c r="C173" s="719">
        <v>0.5</v>
      </c>
      <c r="D173" s="675">
        <f t="shared" si="641"/>
        <v>300</v>
      </c>
      <c r="E173" s="675">
        <f t="shared" si="642"/>
        <v>250</v>
      </c>
      <c r="F173" s="675">
        <v>250</v>
      </c>
      <c r="G173" s="712">
        <f>DH173+Sheet1!CV173</f>
        <v>2359.7629853756953</v>
      </c>
      <c r="H173" s="712">
        <f t="shared" si="643"/>
        <v>1258.3875937468495</v>
      </c>
      <c r="I173" s="711">
        <f>MAX(Sheet1!Z173-AJ173+(Sheet1!CW173-E173)*CFStoMGD,0)</f>
        <v>1651.524444154714</v>
      </c>
      <c r="J173" s="720">
        <f>IF(AND(B173&gt;=Calculation!FS173,B173&lt;=Calculation!FT173),IF(Sheet1!CX173&gt;=Calculation!D173,64.64,0),MAX(Sheet1!Z173-AJ173+(Sheet1!CX173-D173)*CFStoMGD,0))</f>
        <v>64.64</v>
      </c>
      <c r="K173" s="697">
        <f t="shared" si="644"/>
        <v>64.64</v>
      </c>
      <c r="L173" s="712">
        <f>Sheet1!AA173+Sheet1!AB173-Sheet1!L173+(Sheet1!CW173-F173)*CFStoMGD</f>
        <v>1706.5393333333352</v>
      </c>
      <c r="M173" s="712">
        <f t="shared" si="645"/>
        <v>1555.8578096217864</v>
      </c>
      <c r="N173" s="712">
        <f>IF(Sheet1!CW173&gt;=F173,MIN(73,MIN(MAX(L173,0),MAX(M173,0))),0)</f>
        <v>73</v>
      </c>
      <c r="O173" s="721">
        <f>Sheet1!AA173+Sheet1!AB173</f>
        <v>64.010000000002037</v>
      </c>
      <c r="P173" s="721">
        <f t="shared" si="646"/>
        <v>99.023470000003144</v>
      </c>
      <c r="Q173" s="712">
        <f>MIN(N173,Sheet1!AA173+AG173)</f>
        <v>54.864889178619599</v>
      </c>
      <c r="R173" s="712">
        <f t="shared" si="647"/>
        <v>9.1451108213824384</v>
      </c>
      <c r="S173" s="721">
        <f>Sheet1!Y173*MGDtoCFS</f>
        <v>51.917320000000004</v>
      </c>
      <c r="T173" s="721">
        <f>Sheet1!Z173*MGDtoCFS</f>
        <v>47.570249999999994</v>
      </c>
      <c r="U173" s="721">
        <f>Sheet1!AA173*MGDtoCFS</f>
        <v>51.221170000000896</v>
      </c>
      <c r="V173" s="721">
        <f>Sheet1!AB173*MGDtoCFS</f>
        <v>47.802300000002248</v>
      </c>
      <c r="W173" s="721">
        <f>Sheet1!L173*MGDtoCFS</f>
        <v>0</v>
      </c>
      <c r="X173" s="697">
        <f t="shared" si="648"/>
        <v>0</v>
      </c>
      <c r="Y173" s="712">
        <f t="shared" si="649"/>
        <v>0</v>
      </c>
      <c r="Z173" s="712">
        <f t="shared" si="650"/>
        <v>55.494889178617562</v>
      </c>
      <c r="AA173" s="712">
        <f t="shared" si="651"/>
        <v>85.850593559321368</v>
      </c>
      <c r="AB173" s="712">
        <f>(VLOOKUP(Sheet1!CY173,hhdcap_wcm,4)-(((VLOOKUP(Sheet1!CY173,hhdcap_wcm,3)-Sheet1!CY173)/(VLOOKUP(Sheet1!CY173,hhdcap_wcm,3)-VLOOKUP(Sheet1!CY173,hhdcap_wcm,1)))*(VLOOKUP(Sheet1!CY173,hhdcap_wcm,4)-VLOOKUP(Sheet1!CY173,hhdcap_wcm,2))))</f>
        <v>48781.6500001151</v>
      </c>
      <c r="AC173" s="712">
        <f t="shared" si="652"/>
        <v>144.95000000000437</v>
      </c>
      <c r="AD173" s="712">
        <f t="shared" si="653"/>
        <v>5921.6651499894306</v>
      </c>
      <c r="AE173" s="712">
        <f t="shared" si="654"/>
        <v>18167.668680167575</v>
      </c>
      <c r="AF173" s="712">
        <f>Sheet1!BA173+Sheet1!BB173+Sheet1!BN173+BT173</f>
        <v>21.6</v>
      </c>
      <c r="AG173" s="712">
        <f t="shared" si="655"/>
        <v>21.754889178619017</v>
      </c>
      <c r="AH173" s="712">
        <f>Sheet1!BA173+BT173</f>
        <v>0</v>
      </c>
      <c r="AI173" s="712">
        <f>Sheet1!BA173+Sheet1!BB173+BT173</f>
        <v>0</v>
      </c>
      <c r="AJ173" s="712">
        <f>IF((Sheet1!AA173+AG173+AX173+AZ173+BQ173+BS173+CL173+CN173)&lt;=N173,AG173+AX173+AZ173+BQ173+BS173+CL173+CN173,N173-Sheet1!AA173)</f>
        <v>21.754889178619017</v>
      </c>
      <c r="AK173" s="712">
        <f>IF(DR173&lt;K173,0,MAX(Sheet1!AA173+AG173-15/36*K173-N173,Sheet1!ED173,0))</f>
        <v>0</v>
      </c>
      <c r="AL173" s="712">
        <f>IF(OR(B173&gt;=FT173,B173&lt;FS173),0,15/36*K173-MAX(0,64.6-(137.6-(Sheet1!AA173+Sheet1!AB173))))</f>
        <v>26.933333333333334</v>
      </c>
      <c r="AM173" s="712">
        <f>Sheet1!CX173-110</f>
        <v>2104.6875</v>
      </c>
      <c r="AN173" s="712">
        <f>Sheet1!CW173-265</f>
        <v>2526.0416666666665</v>
      </c>
      <c r="AO173" s="712">
        <f t="shared" si="622"/>
        <v>18.135110821380401</v>
      </c>
      <c r="AP173" s="712">
        <f t="shared" si="656"/>
        <v>0</v>
      </c>
      <c r="AQ173" s="712">
        <f t="shared" si="657"/>
        <v>0</v>
      </c>
      <c r="AR173" s="712">
        <f t="shared" si="658"/>
        <v>2693.3333333333358</v>
      </c>
      <c r="AS173" s="712"/>
      <c r="AT173" s="712">
        <f ca="1">IF(B173&gt;Summary!$A$1,#N/A,AR173*MGtoAF)</f>
        <v>8263.1466666666747</v>
      </c>
      <c r="AU173" s="712">
        <f>Sheet1!BG173+Sheet1!BH173+Sheet1!BI173-BC173</f>
        <v>0</v>
      </c>
      <c r="AV173" s="712">
        <f t="shared" si="659"/>
        <v>0</v>
      </c>
      <c r="AW173" s="712">
        <f>IF(Sheet1!EL173="FM",BC173,0)</f>
        <v>0</v>
      </c>
      <c r="AX173" s="712">
        <f t="shared" si="660"/>
        <v>0</v>
      </c>
      <c r="AY173" s="712">
        <f>IF(Sheet1!EL173="OTHER",BC173,0)</f>
        <v>0</v>
      </c>
      <c r="AZ173" s="712">
        <f t="shared" si="661"/>
        <v>0</v>
      </c>
      <c r="BA173" s="712">
        <f t="shared" si="662"/>
        <v>0</v>
      </c>
      <c r="BB173" s="712">
        <f t="shared" si="663"/>
        <v>0</v>
      </c>
      <c r="BC173" s="712">
        <f>IF(OR(Sheet1!EL173="FM", Sheet1!EL173="OTHER"),SUM(Sheet1!BG173:'Sheet1'!BI173),0)</f>
        <v>0</v>
      </c>
      <c r="BD173" s="697">
        <f>IF(AND($B173&gt;=$FL173,$B173&lt;=$FM173),MAX(AV173,Sheet1!EE173,0),MAX(AV173-(7/36)*$K173,0))</f>
        <v>0</v>
      </c>
      <c r="BE173" s="712">
        <f t="shared" si="664"/>
        <v>12.568888888888889</v>
      </c>
      <c r="BF173" s="697">
        <f t="shared" si="665"/>
        <v>0</v>
      </c>
      <c r="BG173" s="697">
        <f>IF(AND($O173&gt;0,Sheet1!EI173=1),(1-($O173-Sheet1!$L173)/$O173)*BB173,0)</f>
        <v>0</v>
      </c>
      <c r="BH173" s="697">
        <f>IF(AND(Sheet1!$L173=0,Sheet1!$L172=0, Calculation!BA173&lt;Sheet1!$EE173-0.1,Sheet1!$EE173=Sheet1!$EE172,Sheet1!$EE173=Sheet1!$EE174),Sheet1!$EE173,BB173-BG173)</f>
        <v>0</v>
      </c>
      <c r="BI173" s="712"/>
      <c r="BJ173" s="712"/>
      <c r="BK173" s="712">
        <f t="shared" si="666"/>
        <v>1256.8888888888891</v>
      </c>
      <c r="BL173" s="712"/>
      <c r="BM173" s="712">
        <f ca="1">IF(B173&gt;Summary!$A$1,#N/A,BK173*MGtoAF)</f>
        <v>3856.1351111111121</v>
      </c>
      <c r="BN173" s="712">
        <f>Sheet1!BC173+Sheet1!BD173+Sheet1!BE173+Sheet1!BF173-BW173-BX173</f>
        <v>2.52</v>
      </c>
      <c r="BO173" s="712">
        <f t="shared" si="667"/>
        <v>2.5380704041722186</v>
      </c>
      <c r="BP173" s="712">
        <f>IF(Sheet1!EM173="FM",BX173,0)</f>
        <v>0</v>
      </c>
      <c r="BQ173" s="712">
        <f t="shared" si="668"/>
        <v>0</v>
      </c>
      <c r="BR173" s="712">
        <f>IF(Sheet1!EM173="OTHER",BX173,0)</f>
        <v>0</v>
      </c>
      <c r="BS173" s="712">
        <f t="shared" si="669"/>
        <v>0</v>
      </c>
      <c r="BT173" s="712">
        <f t="shared" si="670"/>
        <v>0</v>
      </c>
      <c r="BU173" s="712">
        <f t="shared" si="671"/>
        <v>2.52</v>
      </c>
      <c r="BV173" s="712">
        <f t="shared" si="672"/>
        <v>2.5380704041722186</v>
      </c>
      <c r="BW173" s="712">
        <f>IF(Sheet1!EM173="CWA",SUM(Sheet1!BC173:'Sheet1'!BF173),0)</f>
        <v>0</v>
      </c>
      <c r="BX173" s="712">
        <f>IF(OR(Sheet1!EM173="FM", Sheet1!EM173="OTHER"),SUM(Sheet1!BC173:'Sheet1'!BF173),0)</f>
        <v>0</v>
      </c>
      <c r="BY173" s="697">
        <f>IF(AND($B173&gt;=$FL173,$B173&lt;=$FM173),MAX(BV173,Sheet1!EF173,0),MAX(BV173-(7/36)*$K173,0))</f>
        <v>0</v>
      </c>
      <c r="BZ173" s="712">
        <f t="shared" si="673"/>
        <v>10.03081848471667</v>
      </c>
      <c r="CA173" s="697">
        <f t="shared" si="674"/>
        <v>2.5380704041722186</v>
      </c>
      <c r="CB173" s="697">
        <f>IF(AND($O173&gt;0,Sheet1!EJ173=1),(1-($O173-Sheet1!$L173)/$O173)*BV173,0)</f>
        <v>0</v>
      </c>
      <c r="CC173" s="697">
        <f>IF(AND(Sheet1!$L173=0,Sheet1!$L172=0, Calculation!BU173&lt;Sheet1!EF173-0.1,Sheet1!EF173=Sheet1!EF172,Sheet1!EF173=Sheet1!EF174),Sheet1!EF173,BV173-CB173)</f>
        <v>2.5380704041722186</v>
      </c>
      <c r="CD173" s="697"/>
      <c r="CE173" s="712"/>
      <c r="CF173" s="712">
        <f t="shared" si="675"/>
        <v>1100.0549818822237</v>
      </c>
      <c r="CG173" s="712"/>
      <c r="CH173" s="712">
        <f ca="1">IF(B173&gt;Summary!$A$1,#N/A,CF173*MGtoAF)</f>
        <v>3374.9686844146627</v>
      </c>
      <c r="CI173" s="712">
        <f>Sheet1!BK173+Sheet1!BL173+Sheet1!BM173-Sheet1!EN173-CQ173</f>
        <v>6.56</v>
      </c>
      <c r="CJ173" s="712">
        <f t="shared" si="676"/>
        <v>6.6070404172102197</v>
      </c>
      <c r="CK173" s="712">
        <f>IF(Sheet1!EN173="FM",CQ173,0)</f>
        <v>0</v>
      </c>
      <c r="CL173" s="712">
        <f t="shared" si="677"/>
        <v>0</v>
      </c>
      <c r="CM173" s="712">
        <f>IF(Sheet1!EN173="OTHER",CQ173,0)</f>
        <v>0</v>
      </c>
      <c r="CN173" s="712">
        <f t="shared" si="678"/>
        <v>0</v>
      </c>
      <c r="CO173" s="712">
        <f t="shared" si="679"/>
        <v>6.56</v>
      </c>
      <c r="CP173" s="712">
        <f t="shared" si="680"/>
        <v>6.6070404172102197</v>
      </c>
      <c r="CQ173" s="712">
        <f>IF(OR(Sheet1!EN173="FM", Sheet1!EN173="OTHER"),SUM(Sheet1!BK173:'Sheet1'!BM173),0)</f>
        <v>0</v>
      </c>
      <c r="CR173" s="697">
        <f>IF(AND($B173&gt;=$FL173,$B173&lt;=$FM173),MAX($CJ173,Sheet1!EG173,0),MAX($CJ173-(7/36)*$K173,0))</f>
        <v>0</v>
      </c>
      <c r="CS173" s="712">
        <f t="shared" si="681"/>
        <v>5.9618484716786693</v>
      </c>
      <c r="CT173" s="697">
        <f t="shared" si="682"/>
        <v>6.6070404172102197</v>
      </c>
      <c r="CU173" s="697">
        <f>IF(AND($O173&gt;0,Sheet1!EK173=1),(1-($O173-Sheet1!$L173)/$O173)*CP173,0)</f>
        <v>0</v>
      </c>
      <c r="CV173" s="697">
        <f>IF(AND(Sheet1!$L173=0,Sheet1!$L172=0, Calculation!CO173&lt;Sheet1!$EG173-0.1,Sheet1!$EG173=Sheet1!$EG172,Sheet1!$EG173=Sheet1!$EG174),Sheet1!$EG173,CP173-CU173)</f>
        <v>6.6070404172102197</v>
      </c>
      <c r="CW173" s="697">
        <f t="shared" si="613"/>
        <v>0</v>
      </c>
      <c r="CX173" s="712">
        <f t="shared" si="683"/>
        <v>9.08</v>
      </c>
      <c r="CY173" s="712">
        <f t="shared" si="684"/>
        <v>871.38794588498195</v>
      </c>
      <c r="CZ173" s="712">
        <f t="shared" si="685"/>
        <v>9.1451108213824384</v>
      </c>
      <c r="DA173" s="712">
        <f ca="1">IF(B173&gt;Summary!$A$1,#N/A,CY173*MGtoAF)</f>
        <v>2673.4182179751247</v>
      </c>
      <c r="DB173" s="712">
        <f t="shared" si="686"/>
        <v>9.08</v>
      </c>
      <c r="DC173" s="712">
        <f t="shared" si="687"/>
        <v>30.68</v>
      </c>
      <c r="DD173" s="712">
        <f>Sheet1!AB173-DC173</f>
        <v>0.22000000000145548</v>
      </c>
      <c r="DE173" s="712">
        <f t="shared" si="688"/>
        <v>7.1707953064359675E-3</v>
      </c>
      <c r="DF173" s="712">
        <f>(VLOOKUP(Sheet1!CY173,hhdcap_wcm,4)-(((VLOOKUP(Sheet1!CY173,hhdcap_wcm,3)-Sheet1!CY173)/(VLOOKUP(Sheet1!CY173,hhdcap_wcm,3)-VLOOKUP(Sheet1!CY173,hhdcap_wcm,1)))*(VLOOKUP(Sheet1!CY173,hhdcap_wcm,4)-VLOOKUP(Sheet1!CY173,hhdcap_wcm,2))))</f>
        <v>48781.6500001151</v>
      </c>
      <c r="DG173" s="712">
        <f t="shared" si="689"/>
        <v>144.95000000000437</v>
      </c>
      <c r="DH173" s="712">
        <f t="shared" si="690"/>
        <v>73.096318709028921</v>
      </c>
      <c r="DI173" s="712">
        <f>Sheet1!DW173*AFtoMG</f>
        <v>0</v>
      </c>
      <c r="DJ173" s="712">
        <f>Sheet1!DX173*AFtoMG</f>
        <v>0</v>
      </c>
      <c r="DK173" s="712">
        <f>Sheet1!DY173*AFtoMG</f>
        <v>0</v>
      </c>
      <c r="DL173" s="712">
        <f>Sheet1!DZ173*AFtoMG</f>
        <v>0</v>
      </c>
      <c r="DM173" s="712">
        <f t="shared" si="691"/>
        <v>0</v>
      </c>
      <c r="DN173" s="712">
        <f t="shared" si="692"/>
        <v>0</v>
      </c>
      <c r="DO173" s="712">
        <f t="shared" si="693"/>
        <v>5921.6651499894306</v>
      </c>
      <c r="DP173" s="712">
        <f t="shared" si="694"/>
        <v>18167.668680167575</v>
      </c>
      <c r="DQ173" s="712"/>
      <c r="DR173" s="697">
        <f>IF(OR(B173&lt;FL173,B173&gt;FM173),(MIN(AV173+BO173+CJ173+MAX(Sheet1!AA173+AG173-73,0),K173)),0)</f>
        <v>9.1451108213824384</v>
      </c>
      <c r="DS173" s="712"/>
      <c r="DT173" s="712">
        <f t="shared" si="695"/>
        <v>9.1451108213824384</v>
      </c>
      <c r="DU173" s="712"/>
      <c r="DV173" s="712">
        <f>Sheet1!ED173+Sheet1!EE173+Sheet1!EF173+Sheet1!EG173</f>
        <v>9</v>
      </c>
      <c r="DW173" s="712"/>
      <c r="DX173" s="697">
        <f t="shared" si="696"/>
        <v>0</v>
      </c>
      <c r="DY173" s="712">
        <f>IF(Sheet1!FN173=1,SUM('Calculations II'!AT173:BA173)+'Calculations II'!BC173+Sheet1!BU173+'Calculations II'!BE173+AF173,SUM('Calculations II'!AT173:BA173)+'Calculations II'!BC173+Sheet1!BU173+'Calculations II'!BE173+AF173)</f>
        <v>51.533216000000003</v>
      </c>
      <c r="DZ173" s="712">
        <f>Sheet1!AA173+Sheet1!AB173+'Calculations II'!BC173</f>
        <v>64.105616000002044</v>
      </c>
      <c r="EA173" s="712"/>
      <c r="EB173" s="712"/>
      <c r="EC173" s="712">
        <f t="shared" si="697"/>
        <v>40702</v>
      </c>
      <c r="ED173" s="712">
        <f t="shared" si="698"/>
        <v>55.494889178617562</v>
      </c>
      <c r="EE173" s="712">
        <f t="shared" si="699"/>
        <v>85.850593559321368</v>
      </c>
      <c r="EF173" s="712">
        <f>-(VLOOKUP(Sheet1!BQ173,Lookup!$B$4:$J$236,2)-VLOOKUP(Sheet1!BQ172,Lookup!$B$4:$J$236,2))/1000000</f>
        <v>-1.3456999999999999</v>
      </c>
      <c r="EG173" s="712">
        <f>-(VLOOKUP(Sheet1!BR173,Lookup!$B$4:$J$236,3)-VLOOKUP(Sheet1!BR172,Lookup!$B$4:$J$236,3))/1000000</f>
        <v>-1.0731999999999999</v>
      </c>
      <c r="EH173" s="712">
        <f>-(VLOOKUP(Sheet1!BS173,Lookup!$B$4:$J$236,4)-VLOOKUP(Sheet1!BS172,Lookup!$B$4:$J$236,4))/1000000</f>
        <v>0</v>
      </c>
      <c r="EI173" s="697">
        <f t="shared" si="700"/>
        <v>-2.4188999999999998</v>
      </c>
      <c r="EJ173" s="712"/>
      <c r="EK173" s="712"/>
      <c r="EL173" s="712"/>
      <c r="EM173" s="712"/>
      <c r="EN173" s="712"/>
      <c r="EO173" s="712"/>
      <c r="EP173" s="712"/>
      <c r="EQ173" s="712"/>
      <c r="ES173" s="712"/>
      <c r="ET173" s="794" t="e">
        <f t="shared" si="437"/>
        <v>#N/A</v>
      </c>
      <c r="EU173" s="697">
        <v>5000</v>
      </c>
      <c r="EV173" s="795">
        <f t="shared" si="640"/>
        <v>24393.981319947525</v>
      </c>
      <c r="EW173" s="796" t="s">
        <v>757</v>
      </c>
      <c r="EX173" s="796" t="s">
        <v>757</v>
      </c>
      <c r="EY173" s="794">
        <v>0</v>
      </c>
      <c r="EZ173" s="794" t="e">
        <v>#N/A</v>
      </c>
      <c r="FA173" s="712"/>
      <c r="FB173" s="712"/>
      <c r="FC173" s="712"/>
      <c r="FD173" s="712"/>
      <c r="FE173" s="712">
        <f>O173+Sheet1!CO173</f>
        <v>130.41000000000204</v>
      </c>
      <c r="FF173" s="712">
        <f>IF(Sheet1!AA173+AG173&lt;=Calculation!N173,AG173,Calculation!N173-Sheet1!AA173)</f>
        <v>21.754889178619017</v>
      </c>
      <c r="FG173" s="712">
        <f>(Sheet1!BP173+Sheet1!BO173)/694.4</f>
        <v>1.8713997695852536</v>
      </c>
      <c r="FH173" s="712"/>
      <c r="FI173" s="712"/>
      <c r="FJ173" s="712"/>
      <c r="FK173" s="712"/>
      <c r="FL173" s="714">
        <f t="shared" si="632"/>
        <v>40753</v>
      </c>
      <c r="FM173" s="714">
        <f t="shared" si="633"/>
        <v>40851</v>
      </c>
      <c r="FN173" s="712"/>
      <c r="FO173" s="712"/>
      <c r="FP173" s="712"/>
      <c r="FQ173" s="712"/>
      <c r="FR173" s="712"/>
      <c r="FS173" s="725">
        <f t="shared" si="634"/>
        <v>40603</v>
      </c>
      <c r="FT173" s="714">
        <f t="shared" si="635"/>
        <v>40709</v>
      </c>
      <c r="FU173" s="712">
        <f t="shared" si="636"/>
        <v>6518.9048239895692</v>
      </c>
      <c r="FV173" s="714">
        <f t="shared" si="637"/>
        <v>40722</v>
      </c>
      <c r="FW173" s="712">
        <f t="shared" si="638"/>
        <v>3259.4524119947846</v>
      </c>
      <c r="FX173" s="725">
        <f t="shared" si="639"/>
        <v>40851</v>
      </c>
      <c r="FZ173" s="697">
        <f t="shared" si="616"/>
        <v>0</v>
      </c>
      <c r="GA173" s="712" t="str">
        <f t="shared" si="701"/>
        <v/>
      </c>
      <c r="GB173" s="712">
        <f t="shared" si="702"/>
        <v>0</v>
      </c>
      <c r="GC173" s="712" t="str">
        <f t="shared" si="703"/>
        <v/>
      </c>
      <c r="GD173" s="712">
        <f>IF(GA173="P",Lookup!$M$12,IF(GA173="PP",Lookup!$M$13,IF(GA173="PPP",Lookup!$M$14,IF(GA173="T",Lookup!$M$15,IF(GA173="TP",Lookup!$M$16,IF(GA173="TPP",Lookup!$M$17,IF(GA173="TPPP",Lookup!$M$18,0)))))))*FZ173</f>
        <v>0</v>
      </c>
      <c r="GE173" s="712">
        <f t="shared" si="704"/>
        <v>0</v>
      </c>
      <c r="GF173" s="712">
        <f t="shared" si="705"/>
        <v>8263.1466666666747</v>
      </c>
      <c r="GG173" s="712">
        <f t="shared" si="706"/>
        <v>2693.3333333333358</v>
      </c>
      <c r="GH173" s="712"/>
      <c r="GI173" s="712">
        <f t="shared" si="707"/>
        <v>0</v>
      </c>
      <c r="GJ173" s="712" t="str">
        <f t="shared" si="708"/>
        <v/>
      </c>
      <c r="GK173" s="712">
        <f>IF(GA173="P",Lookup!$N$12,IF(GA173="PP",Lookup!$N$13,IF(GA173="PPP",Lookup!$N$14,IF(GA173="T",Lookup!$N$15,IF(GA173="TP",Lookup!$N$16,IF(GA173="TPP",Lookup!$N$17,IF(GA173="TPPP",Lookup!$N$18,0)))))))*FZ173</f>
        <v>0</v>
      </c>
      <c r="GL173" s="712">
        <f t="shared" si="709"/>
        <v>0</v>
      </c>
      <c r="GM173" s="712">
        <f t="shared" si="710"/>
        <v>3856.1351111111121</v>
      </c>
      <c r="GN173" s="712">
        <f t="shared" si="711"/>
        <v>1256.8888888888891</v>
      </c>
      <c r="GO173" s="712"/>
      <c r="GP173" s="712">
        <f t="shared" si="712"/>
        <v>0</v>
      </c>
      <c r="GQ173" s="712" t="str">
        <f t="shared" si="713"/>
        <v/>
      </c>
      <c r="GR173" s="712">
        <f>IF(GA173="P",Lookup!$N$12,IF(GA173="PP",Lookup!$N$13,IF(GA173="PPP",Lookup!$N$14,IF(GA173="T",Lookup!$N$15,IF(GA173="TP",Lookup!$N$16,IF(GA173="TPP",Lookup!$N$17,IF(GA173="TPPP",Lookup!$N$18,0)))))))*FZ173</f>
        <v>0</v>
      </c>
      <c r="GS173" s="697">
        <f t="shared" si="628"/>
        <v>0</v>
      </c>
      <c r="GT173" s="712">
        <f t="shared" si="714"/>
        <v>3374.9686844146627</v>
      </c>
      <c r="GU173" s="712">
        <f t="shared" si="715"/>
        <v>1100.0549818822237</v>
      </c>
      <c r="GV173" s="712"/>
      <c r="GW173" s="712">
        <f t="shared" si="716"/>
        <v>0</v>
      </c>
      <c r="GX173" s="712" t="str">
        <f t="shared" si="717"/>
        <v/>
      </c>
      <c r="GY173" s="712">
        <f>IF(GA173="P",Lookup!$N$12,IF(GA173="PP",Lookup!$N$13,IF(GA173="PPP",Lookup!$N$14,IF(GA173="T",Lookup!$N$15,IF(GA173="TP",Lookup!$N$16,IF(GA173="TPP",Lookup!$N$17,IF(GA173="TPPP",Lookup!$N$18,0)))))))*FZ173</f>
        <v>0</v>
      </c>
      <c r="GZ173" s="697">
        <f t="shared" si="629"/>
        <v>0</v>
      </c>
      <c r="HA173" s="712">
        <f t="shared" si="718"/>
        <v>2673.4182179751247</v>
      </c>
      <c r="HB173" s="712">
        <f t="shared" si="719"/>
        <v>871.38794588498195</v>
      </c>
      <c r="HC173" s="712"/>
    </row>
    <row r="174" spans="1:211">
      <c r="A174" s="773" t="s">
        <v>7</v>
      </c>
      <c r="B174" s="708">
        <v>40703</v>
      </c>
      <c r="C174" s="709">
        <v>0.5</v>
      </c>
      <c r="D174" s="675">
        <f t="shared" si="641"/>
        <v>300</v>
      </c>
      <c r="E174" s="675">
        <f t="shared" si="642"/>
        <v>250</v>
      </c>
      <c r="F174" s="675">
        <v>250</v>
      </c>
      <c r="G174" s="712">
        <f>DH174+Sheet1!CV174</f>
        <v>2081.4649520927865</v>
      </c>
      <c r="H174" s="712">
        <f t="shared" si="643"/>
        <v>1078.4957450327772</v>
      </c>
      <c r="I174" s="711">
        <f>MAX(Sheet1!Z174-AJ174+(Sheet1!CW174-E174)*CFStoMGD,0)</f>
        <v>1600.3460273526539</v>
      </c>
      <c r="J174" s="720">
        <f>IF(AND(B174&gt;=Calculation!FS174,B174&lt;=Calculation!FT174),IF(Sheet1!CX174&gt;=Calculation!D174,64.64,0),MAX(Sheet1!Z174-AJ174+(Sheet1!CX174-D174)*CFStoMGD,0))</f>
        <v>64.64</v>
      </c>
      <c r="K174" s="697">
        <f t="shared" si="644"/>
        <v>64.64</v>
      </c>
      <c r="L174" s="712">
        <f>Sheet1!AA174+Sheet1!AB174-Sheet1!L174+(Sheet1!CW174-F174)*CFStoMGD</f>
        <v>1655.0399999999936</v>
      </c>
      <c r="M174" s="712">
        <f t="shared" si="645"/>
        <v>1372.3681239334328</v>
      </c>
      <c r="N174" s="712">
        <f>IF(Sheet1!CW174&gt;=F174,MIN(73,MIN(MAX(L174,0),MAX(M174,0))),0)</f>
        <v>73</v>
      </c>
      <c r="O174" s="721">
        <f>Sheet1!AA174+Sheet1!AB174</f>
        <v>64.289999999993597</v>
      </c>
      <c r="P174" s="721">
        <f t="shared" si="646"/>
        <v>99.456629999990099</v>
      </c>
      <c r="Q174" s="712">
        <f>MIN(N174,Sheet1!AA174+AG174)</f>
        <v>55.09397264733974</v>
      </c>
      <c r="R174" s="712">
        <f t="shared" si="647"/>
        <v>9.196027352653859</v>
      </c>
      <c r="S174" s="721">
        <f>Sheet1!Y174*MGDtoCFS</f>
        <v>51.515099999999997</v>
      </c>
      <c r="T174" s="721">
        <f>Sheet1!Z174*MGDtoCFS</f>
        <v>48.575799999999994</v>
      </c>
      <c r="U174" s="721">
        <f>Sheet1!AA174*MGDtoCFS</f>
        <v>51.499629999990091</v>
      </c>
      <c r="V174" s="721">
        <f>Sheet1!AB174*MGDtoCFS</f>
        <v>47.957000000000001</v>
      </c>
      <c r="W174" s="721">
        <f>Sheet1!L174*MGDtoCFS</f>
        <v>0</v>
      </c>
      <c r="X174" s="697">
        <f t="shared" si="648"/>
        <v>0</v>
      </c>
      <c r="Y174" s="712">
        <f t="shared" si="649"/>
        <v>0</v>
      </c>
      <c r="Z174" s="712">
        <f t="shared" si="650"/>
        <v>55.443972647346143</v>
      </c>
      <c r="AA174" s="712">
        <f t="shared" si="651"/>
        <v>85.771825685444483</v>
      </c>
      <c r="AB174" s="712">
        <f>(VLOOKUP(Sheet1!CY174,hhdcap_wcm,4)-(((VLOOKUP(Sheet1!CY174,hhdcap_wcm,3)-Sheet1!CY174)/(VLOOKUP(Sheet1!CY174,hhdcap_wcm,3)-VLOOKUP(Sheet1!CY174,hhdcap_wcm,1)))*(VLOOKUP(Sheet1!CY174,hhdcap_wcm,4)-VLOOKUP(Sheet1!CY174,hhdcap_wcm,2))))</f>
        <v>48748.200000115095</v>
      </c>
      <c r="AC174" s="712">
        <f t="shared" si="652"/>
        <v>-33.450000000004366</v>
      </c>
      <c r="AD174" s="712">
        <f t="shared" si="653"/>
        <v>6010.6620706303984</v>
      </c>
      <c r="AE174" s="712">
        <f t="shared" si="654"/>
        <v>18440.711232694062</v>
      </c>
      <c r="AF174" s="712">
        <f>Sheet1!BA174+Sheet1!BB174+Sheet1!BN174+BT174</f>
        <v>21.6</v>
      </c>
      <c r="AG174" s="712">
        <f t="shared" si="655"/>
        <v>21.803972647346143</v>
      </c>
      <c r="AH174" s="712">
        <f>Sheet1!BA174+BT174</f>
        <v>0</v>
      </c>
      <c r="AI174" s="712">
        <f>Sheet1!BA174+Sheet1!BB174+BT174</f>
        <v>0</v>
      </c>
      <c r="AJ174" s="712">
        <f>IF((Sheet1!AA174+AG174+AX174+AZ174+BQ174+BS174+CL174+CN174)&lt;=N174,AG174+AX174+AZ174+BQ174+BS174+CL174+CN174,N174-Sheet1!AA174)</f>
        <v>21.803972647346143</v>
      </c>
      <c r="AK174" s="712">
        <f>IF(DR174&lt;K174,0,MAX(Sheet1!AA174+AG174-15/36*K174-N174,Sheet1!ED174,0))</f>
        <v>0</v>
      </c>
      <c r="AL174" s="712">
        <f>IF(OR(B174&gt;=FT174,B174&lt;FS174),0,15/36*K174-MAX(0,64.6-(137.6-(Sheet1!AA174+Sheet1!AB174))))</f>
        <v>26.933333333333334</v>
      </c>
      <c r="AM174" s="712">
        <f>Sheet1!CX174-110</f>
        <v>1931.9791666666667</v>
      </c>
      <c r="AN174" s="712">
        <f>Sheet1!CW174-265</f>
        <v>2445.9375</v>
      </c>
      <c r="AO174" s="712">
        <f t="shared" si="622"/>
        <v>17.90602735266026</v>
      </c>
      <c r="AP174" s="712">
        <f t="shared" si="656"/>
        <v>0</v>
      </c>
      <c r="AQ174" s="712">
        <f t="shared" si="657"/>
        <v>0</v>
      </c>
      <c r="AR174" s="712">
        <f t="shared" si="658"/>
        <v>2716.2103433289872</v>
      </c>
      <c r="AS174" s="712"/>
      <c r="AT174" s="712">
        <f ca="1">IF(B174&gt;Summary!$A$1,#N/A,AR174*MGtoAF)</f>
        <v>8333.3333333333321</v>
      </c>
      <c r="AU174" s="712">
        <f>Sheet1!BG174+Sheet1!BH174+Sheet1!BI174-BC174</f>
        <v>0</v>
      </c>
      <c r="AV174" s="712">
        <f t="shared" si="659"/>
        <v>0</v>
      </c>
      <c r="AW174" s="712">
        <f>IF(Sheet1!EL174="FM",BC174,0)</f>
        <v>0</v>
      </c>
      <c r="AX174" s="712">
        <f t="shared" si="660"/>
        <v>0</v>
      </c>
      <c r="AY174" s="712">
        <f>IF(Sheet1!EL174="OTHER",BC174,0)</f>
        <v>0</v>
      </c>
      <c r="AZ174" s="712">
        <f t="shared" si="661"/>
        <v>0</v>
      </c>
      <c r="BA174" s="712">
        <f t="shared" si="662"/>
        <v>0</v>
      </c>
      <c r="BB174" s="712">
        <f t="shared" si="663"/>
        <v>0</v>
      </c>
      <c r="BC174" s="712">
        <f>IF(OR(Sheet1!EL174="FM", Sheet1!EL174="OTHER"),SUM(Sheet1!BG174:'Sheet1'!BI174),0)</f>
        <v>0</v>
      </c>
      <c r="BD174" s="697">
        <f>IF(AND($B174&gt;=$FL174,$B174&lt;=$FM174),MAX(AV174,Sheet1!EE174,0),MAX(AV174-(7/36)*$K174,0))</f>
        <v>0</v>
      </c>
      <c r="BE174" s="712">
        <f t="shared" si="664"/>
        <v>12.568888888888889</v>
      </c>
      <c r="BF174" s="697">
        <f t="shared" si="665"/>
        <v>0</v>
      </c>
      <c r="BG174" s="697">
        <f>IF(AND($O174&gt;0,Sheet1!EI174=1),(1-($O174-Sheet1!$L174)/$O174)*BB174,0)</f>
        <v>0</v>
      </c>
      <c r="BH174" s="697">
        <f>IF(AND(Sheet1!$L174=0,Sheet1!$L173=0, Calculation!BA174&lt;Sheet1!$EE174-0.1,Sheet1!$EE174=Sheet1!$EE173,Sheet1!$EE174=Sheet1!$EE175),Sheet1!$EE174,BB174-BG174)</f>
        <v>0</v>
      </c>
      <c r="BI174" s="712"/>
      <c r="BJ174" s="712"/>
      <c r="BK174" s="712">
        <f t="shared" si="666"/>
        <v>1267.5648268868606</v>
      </c>
      <c r="BL174" s="712"/>
      <c r="BM174" s="712">
        <f ca="1">IF(B174&gt;Summary!$A$1,#N/A,BK174*MGtoAF)</f>
        <v>3888.8888888888882</v>
      </c>
      <c r="BN174" s="712">
        <f>Sheet1!BC174+Sheet1!BD174+Sheet1!BE174+Sheet1!BF174-BW174-BX174</f>
        <v>2.5700000000000003</v>
      </c>
      <c r="BO174" s="712">
        <f t="shared" si="667"/>
        <v>2.594268967762944</v>
      </c>
      <c r="BP174" s="712">
        <f>IF(Sheet1!EM174="FM",BX174,0)</f>
        <v>0</v>
      </c>
      <c r="BQ174" s="712">
        <f t="shared" si="668"/>
        <v>0</v>
      </c>
      <c r="BR174" s="712">
        <f>IF(Sheet1!EM174="OTHER",BX174,0)</f>
        <v>0</v>
      </c>
      <c r="BS174" s="712">
        <f t="shared" si="669"/>
        <v>0</v>
      </c>
      <c r="BT174" s="712">
        <f t="shared" si="670"/>
        <v>0</v>
      </c>
      <c r="BU174" s="712">
        <f t="shared" si="671"/>
        <v>2.5700000000000003</v>
      </c>
      <c r="BV174" s="712">
        <f t="shared" si="672"/>
        <v>2.594268967762944</v>
      </c>
      <c r="BW174" s="712">
        <f>IF(Sheet1!EM174="CWA",SUM(Sheet1!BC174:'Sheet1'!BF174),0)</f>
        <v>0</v>
      </c>
      <c r="BX174" s="712">
        <f>IF(OR(Sheet1!EM174="FM", Sheet1!EM174="OTHER"),SUM(Sheet1!BC174:'Sheet1'!BF174),0)</f>
        <v>0</v>
      </c>
      <c r="BY174" s="697">
        <f>IF(AND($B174&gt;=$FL174,$B174&lt;=$FM174),MAX(BV174,Sheet1!EF174,0),MAX(BV174-(7/36)*$K174,0))</f>
        <v>0</v>
      </c>
      <c r="BZ174" s="712">
        <f t="shared" si="673"/>
        <v>9.9746199211259459</v>
      </c>
      <c r="CA174" s="697">
        <f t="shared" si="674"/>
        <v>2.594268967762944</v>
      </c>
      <c r="CB174" s="697">
        <f>IF(AND($O174&gt;0,Sheet1!EJ174=1),(1-($O174-Sheet1!$L174)/$O174)*BV174,0)</f>
        <v>0</v>
      </c>
      <c r="CC174" s="697">
        <f>IF(AND(Sheet1!$L174=0,Sheet1!$L173=0, Calculation!BU174&lt;Sheet1!EF174-0.1,Sheet1!EF174=Sheet1!EF173,Sheet1!EF174=Sheet1!EF175),Sheet1!EF174,BV174-CB174)</f>
        <v>2.594268967762944</v>
      </c>
      <c r="CD174" s="697"/>
      <c r="CE174" s="712"/>
      <c r="CF174" s="712">
        <f t="shared" si="675"/>
        <v>1129.7807129144608</v>
      </c>
      <c r="CG174" s="712"/>
      <c r="CH174" s="712">
        <f ca="1">IF(B174&gt;Summary!$A$1,#N/A,CF174*MGtoAF)</f>
        <v>3466.1672272215656</v>
      </c>
      <c r="CI174" s="712">
        <f>Sheet1!BK174+Sheet1!BL174+Sheet1!BM174-Sheet1!EN174-CQ174</f>
        <v>6.54</v>
      </c>
      <c r="CJ174" s="712">
        <f t="shared" si="676"/>
        <v>6.6017583848909149</v>
      </c>
      <c r="CK174" s="712">
        <f>IF(Sheet1!EN174="FM",CQ174,0)</f>
        <v>0</v>
      </c>
      <c r="CL174" s="712">
        <f t="shared" si="677"/>
        <v>0</v>
      </c>
      <c r="CM174" s="712">
        <f>IF(Sheet1!EN174="OTHER",CQ174,0)</f>
        <v>0</v>
      </c>
      <c r="CN174" s="712">
        <f t="shared" si="678"/>
        <v>0</v>
      </c>
      <c r="CO174" s="712">
        <f t="shared" si="679"/>
        <v>6.54</v>
      </c>
      <c r="CP174" s="712">
        <f t="shared" si="680"/>
        <v>6.6017583848909149</v>
      </c>
      <c r="CQ174" s="712">
        <f>IF(OR(Sheet1!EN174="FM", Sheet1!EN174="OTHER"),SUM(Sheet1!BK174:'Sheet1'!BM174),0)</f>
        <v>0</v>
      </c>
      <c r="CR174" s="697">
        <f>IF(AND($B174&gt;=$FL174,$B174&lt;=$FM174),MAX($CJ174,Sheet1!EG174,0),MAX($CJ174-(7/36)*$K174,0))</f>
        <v>0</v>
      </c>
      <c r="CS174" s="712">
        <f t="shared" si="681"/>
        <v>5.9671305039979741</v>
      </c>
      <c r="CT174" s="697">
        <f t="shared" si="682"/>
        <v>6.6017583848909149</v>
      </c>
      <c r="CU174" s="697">
        <f>IF(AND($O174&gt;0,Sheet1!EK174=1),(1-($O174-Sheet1!$L174)/$O174)*CP174,0)</f>
        <v>0</v>
      </c>
      <c r="CV174" s="697">
        <f>IF(AND(Sheet1!$L174=0,Sheet1!$L173=0, Calculation!CO174&lt;Sheet1!$EG174-0.1,Sheet1!$EG174=Sheet1!$EG173,Sheet1!$EG174=Sheet1!$EG175),Sheet1!$EG174,CP174-CU174)</f>
        <v>6.6017583848909149</v>
      </c>
      <c r="CW174" s="697">
        <f t="shared" si="613"/>
        <v>0</v>
      </c>
      <c r="CX174" s="712">
        <f t="shared" si="683"/>
        <v>9.11</v>
      </c>
      <c r="CY174" s="712">
        <f t="shared" si="684"/>
        <v>897.10618750009098</v>
      </c>
      <c r="CZ174" s="712">
        <f t="shared" si="685"/>
        <v>9.196027352653859</v>
      </c>
      <c r="DA174" s="712">
        <f ca="1">IF(B174&gt;Summary!$A$1,#N/A,CY174*MGtoAF)</f>
        <v>2752.3217832502792</v>
      </c>
      <c r="DB174" s="712">
        <f t="shared" si="686"/>
        <v>9.11</v>
      </c>
      <c r="DC174" s="712">
        <f t="shared" si="687"/>
        <v>30.71</v>
      </c>
      <c r="DD174" s="712">
        <f>Sheet1!AB174-DC174</f>
        <v>0.28999999999999915</v>
      </c>
      <c r="DE174" s="712">
        <f t="shared" si="688"/>
        <v>9.4431781178768853E-3</v>
      </c>
      <c r="DF174" s="712">
        <f>(VLOOKUP(Sheet1!CY174,hhdcap_wcm,4)-(((VLOOKUP(Sheet1!CY174,hhdcap_wcm,3)-Sheet1!CY174)/(VLOOKUP(Sheet1!CY174,hhdcap_wcm,3)-VLOOKUP(Sheet1!CY174,hhdcap_wcm,1)))*(VLOOKUP(Sheet1!CY174,hhdcap_wcm,4)-VLOOKUP(Sheet1!CY174,hhdcap_wcm,2))))</f>
        <v>48748.200000115095</v>
      </c>
      <c r="DG174" s="712">
        <f t="shared" si="689"/>
        <v>-33.450000000004366</v>
      </c>
      <c r="DH174" s="712">
        <f t="shared" si="690"/>
        <v>-16.868381240546828</v>
      </c>
      <c r="DI174" s="712">
        <f>Sheet1!DW174*AFtoMG</f>
        <v>0</v>
      </c>
      <c r="DJ174" s="712">
        <f>Sheet1!DX174*AFtoMG</f>
        <v>0</v>
      </c>
      <c r="DK174" s="712">
        <f>Sheet1!DY174*AFtoMG</f>
        <v>0</v>
      </c>
      <c r="DL174" s="712">
        <f>Sheet1!DZ174*AFtoMG</f>
        <v>0</v>
      </c>
      <c r="DM174" s="712">
        <f t="shared" si="691"/>
        <v>0</v>
      </c>
      <c r="DN174" s="712">
        <f t="shared" si="692"/>
        <v>0</v>
      </c>
      <c r="DO174" s="712">
        <f t="shared" si="693"/>
        <v>6010.6620706303984</v>
      </c>
      <c r="DP174" s="712">
        <f t="shared" si="694"/>
        <v>18440.711232694062</v>
      </c>
      <c r="DQ174" s="712"/>
      <c r="DR174" s="697">
        <f>IF(OR(B174&lt;FL174,B174&gt;FM174),(MIN(AV174+BO174+CJ174+MAX(Sheet1!AA174+AG174-73,0),K174)),0)</f>
        <v>9.196027352653859</v>
      </c>
      <c r="DS174" s="712"/>
      <c r="DT174" s="712">
        <f t="shared" si="695"/>
        <v>9.196027352653859</v>
      </c>
      <c r="DU174" s="712"/>
      <c r="DV174" s="712">
        <f>Sheet1!ED174+Sheet1!EE174+Sheet1!EF174+Sheet1!EG174</f>
        <v>9</v>
      </c>
      <c r="DW174" s="712"/>
      <c r="DX174" s="697">
        <f t="shared" si="696"/>
        <v>0</v>
      </c>
      <c r="DY174" s="712">
        <f>IF(Sheet1!FN174=1,SUM('Calculations II'!AT174:BA174)+'Calculations II'!BC174+Sheet1!BU174+'Calculations II'!BE174+AF174,SUM('Calculations II'!AT174:BA174)+'Calculations II'!BC174+Sheet1!BU174+'Calculations II'!BE174+AF174)</f>
        <v>50.097936000000004</v>
      </c>
      <c r="DZ174" s="712">
        <f>Sheet1!AA174+Sheet1!AB174+'Calculations II'!BC174</f>
        <v>64.289999999993597</v>
      </c>
      <c r="EA174" s="712"/>
      <c r="EB174" s="712"/>
      <c r="EC174" s="712">
        <f t="shared" si="697"/>
        <v>40703</v>
      </c>
      <c r="ED174" s="712">
        <f t="shared" si="698"/>
        <v>55.443972647346143</v>
      </c>
      <c r="EE174" s="712">
        <f t="shared" si="699"/>
        <v>85.771825685444483</v>
      </c>
      <c r="EF174" s="712">
        <f>-(VLOOKUP(Sheet1!BQ174,Lookup!$B$4:$J$236,2)-VLOOKUP(Sheet1!BQ173,Lookup!$B$4:$J$236,2))/1000000</f>
        <v>-1.8935</v>
      </c>
      <c r="EG174" s="712">
        <f>-(VLOOKUP(Sheet1!BR174,Lookup!$B$4:$J$236,3)-VLOOKUP(Sheet1!BR173,Lookup!$B$4:$J$236,3))/1000000</f>
        <v>-1.89</v>
      </c>
      <c r="EH174" s="712">
        <f>-(VLOOKUP(Sheet1!BS174,Lookup!$B$4:$J$236,4)-VLOOKUP(Sheet1!BS173,Lookup!$B$4:$J$236,4))/1000000</f>
        <v>0</v>
      </c>
      <c r="EI174" s="697">
        <f t="shared" si="700"/>
        <v>-3.7835000000000001</v>
      </c>
      <c r="EJ174" s="712"/>
      <c r="EK174" s="712"/>
      <c r="EL174" s="712"/>
      <c r="EM174" s="712"/>
      <c r="EN174" s="712"/>
      <c r="EO174" s="712"/>
      <c r="EP174" s="712"/>
      <c r="EQ174" s="712"/>
      <c r="ES174" s="712"/>
      <c r="ET174" s="794" t="e">
        <f t="shared" ref="ET174:ET237" si="720">VLOOKUP(EZ173,hhdelev_wcm,4) -(((VLOOKUP(EZ173,hhdelev_wcm,3)-EZ173)/(VLOOKUP(EZ173,hhdelev_wcm,3)-VLOOKUP(EZ173,hhdelev_wcm,1)))*(VLOOKUP(EZ173,hhdelev_wcm,4)-VLOOKUP(EZ173,hhdelev_wcm,2)))</f>
        <v>#N/A</v>
      </c>
      <c r="EU174" s="697">
        <v>5000</v>
      </c>
      <c r="EV174" s="795">
        <f t="shared" si="640"/>
        <v>24087.488767421033</v>
      </c>
      <c r="EW174" s="796" t="s">
        <v>757</v>
      </c>
      <c r="EX174" s="796" t="s">
        <v>757</v>
      </c>
      <c r="EY174" s="794">
        <v>0</v>
      </c>
      <c r="EZ174" s="794" t="e">
        <v>#N/A</v>
      </c>
      <c r="FA174" s="712"/>
      <c r="FB174" s="712"/>
      <c r="FC174" s="712"/>
      <c r="FD174" s="712"/>
      <c r="FE174" s="712">
        <f>O174+Sheet1!CO174</f>
        <v>64.289999999993597</v>
      </c>
      <c r="FF174" s="712">
        <f>IF(Sheet1!AA174+AG174&lt;=Calculation!N174,AG174,Calculation!N174-Sheet1!AA174)</f>
        <v>21.803972647346143</v>
      </c>
      <c r="FG174" s="712">
        <f>(Sheet1!BP174+Sheet1!BO174)/694.4</f>
        <v>2.2880184331797233</v>
      </c>
      <c r="FH174" s="712"/>
      <c r="FI174" s="712"/>
      <c r="FJ174" s="712"/>
      <c r="FK174" s="712"/>
      <c r="FL174" s="714">
        <f t="shared" si="632"/>
        <v>40753</v>
      </c>
      <c r="FM174" s="714">
        <f t="shared" si="633"/>
        <v>40851</v>
      </c>
      <c r="FN174" s="712"/>
      <c r="FO174" s="712"/>
      <c r="FP174" s="712"/>
      <c r="FQ174" s="712"/>
      <c r="FR174" s="712"/>
      <c r="FS174" s="725">
        <f t="shared" si="634"/>
        <v>40603</v>
      </c>
      <c r="FT174" s="714">
        <f t="shared" si="635"/>
        <v>40709</v>
      </c>
      <c r="FU174" s="712">
        <f t="shared" si="636"/>
        <v>6518.9048239895692</v>
      </c>
      <c r="FV174" s="714">
        <f t="shared" si="637"/>
        <v>40722</v>
      </c>
      <c r="FW174" s="712">
        <f t="shared" si="638"/>
        <v>3259.4524119947846</v>
      </c>
      <c r="FX174" s="725">
        <f t="shared" si="639"/>
        <v>40851</v>
      </c>
      <c r="FZ174" s="697">
        <f t="shared" si="616"/>
        <v>39.502222222222223</v>
      </c>
      <c r="GA174" s="712" t="str">
        <f t="shared" si="701"/>
        <v>PP</v>
      </c>
      <c r="GB174" s="712">
        <f t="shared" si="702"/>
        <v>26.933333333333334</v>
      </c>
      <c r="GC174" s="712" t="str">
        <f t="shared" si="703"/>
        <v/>
      </c>
      <c r="GD174" s="712">
        <f>IF(GA174="P",Lookup!$M$12,IF(GA174="PP",Lookup!$M$13,IF(GA174="PPP",Lookup!$M$14,IF(GA174="T",Lookup!$M$15,IF(GA174="TP",Lookup!$M$16,IF(GA174="TPP",Lookup!$M$17,IF(GA174="TPPP",Lookup!$M$18,0)))))))*FZ174</f>
        <v>0</v>
      </c>
      <c r="GE174" s="712">
        <f t="shared" si="704"/>
        <v>0</v>
      </c>
      <c r="GF174" s="712">
        <f t="shared" si="705"/>
        <v>8333.3333333333321</v>
      </c>
      <c r="GG174" s="712">
        <f t="shared" si="706"/>
        <v>2716.2103433289872</v>
      </c>
      <c r="GH174" s="712"/>
      <c r="GI174" s="712">
        <f t="shared" si="707"/>
        <v>12.568888888888889</v>
      </c>
      <c r="GJ174" s="712" t="str">
        <f t="shared" si="708"/>
        <v/>
      </c>
      <c r="GK174" s="712">
        <f>IF(GA174="P",Lookup!$N$12,IF(GA174="PP",Lookup!$N$13,IF(GA174="PPP",Lookup!$N$14,IF(GA174="T",Lookup!$N$15,IF(GA174="TP",Lookup!$N$16,IF(GA174="TPP",Lookup!$N$17,IF(GA174="TPPP",Lookup!$N$18,0)))))))*FZ174</f>
        <v>19.751111111111111</v>
      </c>
      <c r="GL174" s="712">
        <f t="shared" si="709"/>
        <v>0</v>
      </c>
      <c r="GM174" s="712">
        <f t="shared" si="710"/>
        <v>3888.8888888888882</v>
      </c>
      <c r="GN174" s="712">
        <f t="shared" si="711"/>
        <v>1267.5648268868606</v>
      </c>
      <c r="GO174" s="712"/>
      <c r="GP174" s="712">
        <f t="shared" si="712"/>
        <v>0</v>
      </c>
      <c r="GQ174" s="712" t="str">
        <f t="shared" si="713"/>
        <v>P</v>
      </c>
      <c r="GR174" s="712">
        <f>IF(GA174="P",Lookup!$N$12,IF(GA174="PP",Lookup!$N$13,IF(GA174="PPP",Lookup!$N$14,IF(GA174="T",Lookup!$N$15,IF(GA174="TP",Lookup!$N$16,IF(GA174="TPP",Lookup!$N$17,IF(GA174="TPPP",Lookup!$N$18,0)))))))*FZ174</f>
        <v>19.751111111111111</v>
      </c>
      <c r="GS174" s="697">
        <f t="shared" si="628"/>
        <v>19.751111111111111</v>
      </c>
      <c r="GT174" s="712">
        <f t="shared" si="714"/>
        <v>3405.5708183326765</v>
      </c>
      <c r="GU174" s="712">
        <f t="shared" si="715"/>
        <v>1110.0296018033496</v>
      </c>
      <c r="GV174" s="712"/>
      <c r="GW174" s="712">
        <f t="shared" si="716"/>
        <v>0</v>
      </c>
      <c r="GX174" s="712" t="str">
        <f t="shared" si="717"/>
        <v>P</v>
      </c>
      <c r="GY174" s="712">
        <f>IF(GA174="P",Lookup!$N$12,IF(GA174="PP",Lookup!$N$13,IF(GA174="PPP",Lookup!$N$14,IF(GA174="T",Lookup!$N$15,IF(GA174="TP",Lookup!$N$16,IF(GA174="TPP",Lookup!$N$17,IF(GA174="TPPP",Lookup!$N$18,0)))))))*FZ174</f>
        <v>19.751111111111111</v>
      </c>
      <c r="GZ174" s="697">
        <f t="shared" si="629"/>
        <v>19.751111111111111</v>
      </c>
      <c r="HA174" s="712">
        <f t="shared" si="718"/>
        <v>2691.7253743613905</v>
      </c>
      <c r="HB174" s="712">
        <f t="shared" si="719"/>
        <v>877.35507638897991</v>
      </c>
      <c r="HC174" s="712"/>
    </row>
    <row r="175" spans="1:211">
      <c r="A175" s="773" t="s">
        <v>8</v>
      </c>
      <c r="B175" s="708">
        <v>40704</v>
      </c>
      <c r="C175" s="719">
        <v>0.5</v>
      </c>
      <c r="D175" s="675">
        <f t="shared" si="641"/>
        <v>300</v>
      </c>
      <c r="E175" s="675">
        <f t="shared" si="642"/>
        <v>250</v>
      </c>
      <c r="F175" s="675">
        <v>250</v>
      </c>
      <c r="G175" s="712">
        <f>DH175+Sheet1!CV175</f>
        <v>1850.3460665659393</v>
      </c>
      <c r="H175" s="712">
        <f t="shared" si="643"/>
        <v>929.10049742822309</v>
      </c>
      <c r="I175" s="711">
        <f>MAX(Sheet1!Z175-AJ175+(Sheet1!CW175-E175)*CFStoMGD,0)</f>
        <v>1352.1078651051814</v>
      </c>
      <c r="J175" s="720">
        <f>IF(AND(B175&gt;=Calculation!FS175,B175&lt;=Calculation!FT175),IF(Sheet1!CX175&gt;=Calculation!D175,64.64,0),MAX(Sheet1!Z175-AJ175+(Sheet1!CX175-D175)*CFStoMGD,0))</f>
        <v>64.64</v>
      </c>
      <c r="K175" s="697">
        <f t="shared" si="644"/>
        <v>64.64</v>
      </c>
      <c r="L175" s="712">
        <f>Sheet1!AA175+Sheet1!AB175-Sheet1!L175+(Sheet1!CW175-F175)*CFStoMGD</f>
        <v>1406.4726666666813</v>
      </c>
      <c r="M175" s="712">
        <f t="shared" si="645"/>
        <v>1219.9849713767876</v>
      </c>
      <c r="N175" s="712">
        <f>IF(Sheet1!CW175&gt;=F175,MIN(73,MIN(MAX(L175,0),MAX(M175,0))),0)</f>
        <v>73</v>
      </c>
      <c r="O175" s="721">
        <f>Sheet1!AA175+Sheet1!AB175</f>
        <v>64.250000000014552</v>
      </c>
      <c r="P175" s="721">
        <f t="shared" si="646"/>
        <v>99.394750000022498</v>
      </c>
      <c r="Q175" s="712">
        <f>MIN(N175,Sheet1!AA175+AG175)</f>
        <v>54.714801561497069</v>
      </c>
      <c r="R175" s="712">
        <f t="shared" si="647"/>
        <v>9.5351984385174831</v>
      </c>
      <c r="S175" s="721">
        <f>Sheet1!Y175*MGDtoCFS</f>
        <v>51.515099999999997</v>
      </c>
      <c r="T175" s="721">
        <f>Sheet1!Z175*MGDtoCFS</f>
        <v>48.575799999999994</v>
      </c>
      <c r="U175" s="721">
        <f>Sheet1!AA175*MGDtoCFS</f>
        <v>51.360400000018004</v>
      </c>
      <c r="V175" s="721">
        <f>Sheet1!AB175*MGDtoCFS</f>
        <v>48.034350000004501</v>
      </c>
      <c r="W175" s="721">
        <f>Sheet1!L175*MGDtoCFS</f>
        <v>0</v>
      </c>
      <c r="X175" s="697">
        <f t="shared" si="648"/>
        <v>0</v>
      </c>
      <c r="Y175" s="712">
        <f t="shared" si="649"/>
        <v>0</v>
      </c>
      <c r="Z175" s="712">
        <f t="shared" si="650"/>
        <v>55.104801561482518</v>
      </c>
      <c r="AA175" s="712">
        <f t="shared" si="651"/>
        <v>85.247128015613455</v>
      </c>
      <c r="AB175" s="712">
        <f>(VLOOKUP(Sheet1!CY175,hhdcap_wcm,4)-(((VLOOKUP(Sheet1!CY175,hhdcap_wcm,3)-Sheet1!CY175)/(VLOOKUP(Sheet1!CY175,hhdcap_wcm,3)-VLOOKUP(Sheet1!CY175,hhdcap_wcm,1)))*(VLOOKUP(Sheet1!CY175,hhdcap_wcm,4)-VLOOKUP(Sheet1!CY175,hhdcap_wcm,2))))</f>
        <v>49105.000000115353</v>
      </c>
      <c r="AC175" s="712">
        <f t="shared" si="652"/>
        <v>356.80000000025757</v>
      </c>
      <c r="AD175" s="712">
        <f t="shared" si="653"/>
        <v>6065.7668721918817</v>
      </c>
      <c r="AE175" s="712">
        <f t="shared" si="654"/>
        <v>18609.772763884692</v>
      </c>
      <c r="AF175" s="712">
        <f>Sheet1!BA175+Sheet1!BB175+Sheet1!BN175+BT175</f>
        <v>21.3</v>
      </c>
      <c r="AG175" s="712">
        <f t="shared" si="655"/>
        <v>21.514801561485424</v>
      </c>
      <c r="AH175" s="712">
        <f>Sheet1!BA175+BT175</f>
        <v>0</v>
      </c>
      <c r="AI175" s="712">
        <f>Sheet1!BA175+Sheet1!BB175+BT175</f>
        <v>0</v>
      </c>
      <c r="AJ175" s="712">
        <f>IF((Sheet1!AA175+AG175+AX175+AZ175+BQ175+BS175+CL175+CN175)&lt;=N175,AG175+AX175+AZ175+BQ175+BS175+CL175+CN175,N175-Sheet1!AA175)</f>
        <v>21.514801561485424</v>
      </c>
      <c r="AK175" s="712">
        <f>IF(DR175&lt;K175,0,MAX(Sheet1!AA175+AG175-15/36*K175-N175,Sheet1!ED175,0))</f>
        <v>0</v>
      </c>
      <c r="AL175" s="712">
        <f>IF(OR(B175&gt;=FT175,B175&lt;FS175),0,15/36*K175-MAX(0,64.6-(137.6-(Sheet1!AA175+Sheet1!AB175))))</f>
        <v>26.933333333333334</v>
      </c>
      <c r="AM175" s="712">
        <f>Sheet1!CX175-110</f>
        <v>1492.7083333333333</v>
      </c>
      <c r="AN175" s="712">
        <f>Sheet1!CW175-265</f>
        <v>2061.4583333333335</v>
      </c>
      <c r="AO175" s="712">
        <f t="shared" si="622"/>
        <v>18.285198438502931</v>
      </c>
      <c r="AP175" s="712">
        <f t="shared" si="656"/>
        <v>0</v>
      </c>
      <c r="AQ175" s="712">
        <f t="shared" si="657"/>
        <v>0</v>
      </c>
      <c r="AR175" s="712">
        <f t="shared" si="658"/>
        <v>2716.2103433289872</v>
      </c>
      <c r="AS175" s="712"/>
      <c r="AT175" s="712">
        <f ca="1">IF(B175&gt;Summary!$A$1,#N/A,AR175*MGtoAF)</f>
        <v>8333.3333333333321</v>
      </c>
      <c r="AU175" s="712">
        <f>Sheet1!BG175+Sheet1!BH175+Sheet1!BI175-BC175</f>
        <v>0</v>
      </c>
      <c r="AV175" s="712">
        <f t="shared" si="659"/>
        <v>0</v>
      </c>
      <c r="AW175" s="712">
        <f>IF(Sheet1!EL175="FM",BC175,0)</f>
        <v>0</v>
      </c>
      <c r="AX175" s="712">
        <f t="shared" si="660"/>
        <v>0</v>
      </c>
      <c r="AY175" s="712">
        <f>IF(Sheet1!EL175="OTHER",BC175,0)</f>
        <v>0</v>
      </c>
      <c r="AZ175" s="712">
        <f t="shared" si="661"/>
        <v>0</v>
      </c>
      <c r="BA175" s="712">
        <f t="shared" si="662"/>
        <v>0</v>
      </c>
      <c r="BB175" s="712">
        <f t="shared" si="663"/>
        <v>0</v>
      </c>
      <c r="BC175" s="712">
        <f>IF(OR(Sheet1!EL175="FM", Sheet1!EL175="OTHER"),SUM(Sheet1!BG175:'Sheet1'!BI175),0)</f>
        <v>0</v>
      </c>
      <c r="BD175" s="697">
        <f>IF(AND($B175&gt;=$FL175,$B175&lt;=$FM175),MAX(AV175,Sheet1!EE175,0),MAX(AV175-(7/36)*$K175,0))</f>
        <v>0</v>
      </c>
      <c r="BE175" s="712">
        <f t="shared" si="664"/>
        <v>12.568888888888889</v>
      </c>
      <c r="BF175" s="697">
        <f t="shared" si="665"/>
        <v>0</v>
      </c>
      <c r="BG175" s="697">
        <f>IF(AND($O175&gt;0,Sheet1!EI175=1),(1-($O175-Sheet1!$L175)/$O175)*BB175,0)</f>
        <v>0</v>
      </c>
      <c r="BH175" s="697">
        <f>IF(AND(Sheet1!$L175=0,Sheet1!$L174=0, Calculation!BA175&lt;Sheet1!$EE175-0.1,Sheet1!$EE175=Sheet1!$EE174,Sheet1!$EE175=Sheet1!$EE176),Sheet1!$EE175,BB175-BG175)</f>
        <v>0</v>
      </c>
      <c r="BI175" s="712"/>
      <c r="BJ175" s="712"/>
      <c r="BK175" s="712">
        <f t="shared" si="666"/>
        <v>1267.5648268868606</v>
      </c>
      <c r="BL175" s="712"/>
      <c r="BM175" s="712">
        <f ca="1">IF(B175&gt;Summary!$A$1,#N/A,BK175*MGtoAF)</f>
        <v>3888.8888888888882</v>
      </c>
      <c r="BN175" s="712">
        <f>Sheet1!BC175+Sheet1!BD175+Sheet1!BE175+Sheet1!BF175-BW175-BX175</f>
        <v>2.5300000000000002</v>
      </c>
      <c r="BO175" s="712">
        <f t="shared" si="667"/>
        <v>2.555513988289114</v>
      </c>
      <c r="BP175" s="712">
        <f>IF(Sheet1!EM175="FM",BX175,0)</f>
        <v>0</v>
      </c>
      <c r="BQ175" s="712">
        <f t="shared" si="668"/>
        <v>0</v>
      </c>
      <c r="BR175" s="712">
        <f>IF(Sheet1!EM175="OTHER",BX175,0)</f>
        <v>0</v>
      </c>
      <c r="BS175" s="712">
        <f t="shared" si="669"/>
        <v>0</v>
      </c>
      <c r="BT175" s="712">
        <f t="shared" si="670"/>
        <v>0</v>
      </c>
      <c r="BU175" s="712">
        <f t="shared" si="671"/>
        <v>2.5300000000000002</v>
      </c>
      <c r="BV175" s="712">
        <f t="shared" si="672"/>
        <v>2.555513988289114</v>
      </c>
      <c r="BW175" s="712">
        <f>IF(Sheet1!EM175="CWA",SUM(Sheet1!BC175:'Sheet1'!BF175),0)</f>
        <v>0</v>
      </c>
      <c r="BX175" s="712">
        <f>IF(OR(Sheet1!EM175="FM", Sheet1!EM175="OTHER"),SUM(Sheet1!BC175:'Sheet1'!BF175),0)</f>
        <v>0</v>
      </c>
      <c r="BY175" s="697">
        <f>IF(AND($B175&gt;=$FL175,$B175&lt;=$FM175),MAX(BV175,Sheet1!EF175,0),MAX(BV175-(7/36)*$K175,0))</f>
        <v>0</v>
      </c>
      <c r="BZ175" s="712">
        <f t="shared" si="673"/>
        <v>10.013374900599775</v>
      </c>
      <c r="CA175" s="697">
        <f t="shared" si="674"/>
        <v>2.555513988289114</v>
      </c>
      <c r="CB175" s="697">
        <f>IF(AND($O175&gt;0,Sheet1!EJ175=1),(1-($O175-Sheet1!$L175)/$O175)*BV175,0)</f>
        <v>0</v>
      </c>
      <c r="CC175" s="697">
        <f>IF(AND(Sheet1!$L175=0,Sheet1!$L174=0, Calculation!BU175&lt;Sheet1!EF175-0.1,Sheet1!EF175=Sheet1!EF174,Sheet1!EF175=Sheet1!EF176),Sheet1!EF175,BV175-CB175)</f>
        <v>2.555513988289114</v>
      </c>
      <c r="CD175" s="697"/>
      <c r="CE175" s="712"/>
      <c r="CF175" s="712">
        <f t="shared" si="675"/>
        <v>1159.5451989261717</v>
      </c>
      <c r="CG175" s="712"/>
      <c r="CH175" s="712">
        <f ca="1">IF(B175&gt;Summary!$A$1,#N/A,CF175*MGtoAF)</f>
        <v>3557.484670305495</v>
      </c>
      <c r="CI175" s="712">
        <f>Sheet1!BK175+Sheet1!BL175+Sheet1!BM175-Sheet1!EN175-CQ175</f>
        <v>6.91</v>
      </c>
      <c r="CJ175" s="712">
        <f t="shared" si="676"/>
        <v>6.9796844502283699</v>
      </c>
      <c r="CK175" s="712">
        <f>IF(Sheet1!EN175="FM",CQ175,0)</f>
        <v>0</v>
      </c>
      <c r="CL175" s="712">
        <f t="shared" si="677"/>
        <v>0</v>
      </c>
      <c r="CM175" s="712">
        <f>IF(Sheet1!EN175="OTHER",CQ175,0)</f>
        <v>0</v>
      </c>
      <c r="CN175" s="712">
        <f t="shared" si="678"/>
        <v>0</v>
      </c>
      <c r="CO175" s="712">
        <f t="shared" si="679"/>
        <v>6.91</v>
      </c>
      <c r="CP175" s="712">
        <f t="shared" si="680"/>
        <v>6.9796844502283699</v>
      </c>
      <c r="CQ175" s="712">
        <f>IF(OR(Sheet1!EN175="FM", Sheet1!EN175="OTHER"),SUM(Sheet1!BK175:'Sheet1'!BM175),0)</f>
        <v>0</v>
      </c>
      <c r="CR175" s="697">
        <f>IF(AND($B175&gt;=$FL175,$B175&lt;=$FM175),MAX($CJ175,Sheet1!EG175,0),MAX($CJ175-(7/36)*$K175,0))</f>
        <v>0</v>
      </c>
      <c r="CS175" s="712">
        <f t="shared" si="681"/>
        <v>5.5892044386605191</v>
      </c>
      <c r="CT175" s="697">
        <f t="shared" si="682"/>
        <v>6.9796844502283699</v>
      </c>
      <c r="CU175" s="697">
        <f>IF(AND($O175&gt;0,Sheet1!EK175=1),(1-($O175-Sheet1!$L175)/$O175)*CP175,0)</f>
        <v>0</v>
      </c>
      <c r="CV175" s="697">
        <f>IF(AND(Sheet1!$L175=0,Sheet1!$L174=0, Calculation!CO175&lt;Sheet1!$EG175-0.1,Sheet1!$EG175=Sheet1!$EG174,Sheet1!$EG175=Sheet1!$EG176),Sheet1!$EG175,CP175-CU175)</f>
        <v>6.9796844502283699</v>
      </c>
      <c r="CW175" s="697">
        <f t="shared" si="613"/>
        <v>0</v>
      </c>
      <c r="CX175" s="712">
        <f t="shared" si="683"/>
        <v>9.4400000000000013</v>
      </c>
      <c r="CY175" s="712">
        <f t="shared" si="684"/>
        <v>922.4465030498626</v>
      </c>
      <c r="CZ175" s="712">
        <f t="shared" si="685"/>
        <v>9.5351984385174831</v>
      </c>
      <c r="DA175" s="712">
        <f ca="1">IF(B175&gt;Summary!$A$1,#N/A,CY175*MGtoAF)</f>
        <v>2830.0658713569787</v>
      </c>
      <c r="DB175" s="712">
        <f t="shared" si="686"/>
        <v>9.4400000000000013</v>
      </c>
      <c r="DC175" s="712">
        <f t="shared" si="687"/>
        <v>30.740000000000002</v>
      </c>
      <c r="DD175" s="712">
        <f>Sheet1!AB175-DC175</f>
        <v>0.31000000000290839</v>
      </c>
      <c r="DE175" s="712">
        <f t="shared" si="688"/>
        <v>1.0084580351428379E-2</v>
      </c>
      <c r="DF175" s="712">
        <f>(VLOOKUP(Sheet1!CY175,hhdcap_wcm,4)-(((VLOOKUP(Sheet1!CY175,hhdcap_wcm,3)-Sheet1!CY175)/(VLOOKUP(Sheet1!CY175,hhdcap_wcm,3)-VLOOKUP(Sheet1!CY175,hhdcap_wcm,1)))*(VLOOKUP(Sheet1!CY175,hhdcap_wcm,4)-VLOOKUP(Sheet1!CY175,hhdcap_wcm,2))))</f>
        <v>49105.000000115353</v>
      </c>
      <c r="DG175" s="712">
        <f t="shared" si="689"/>
        <v>356.80000000025757</v>
      </c>
      <c r="DH175" s="712">
        <f t="shared" si="690"/>
        <v>179.92939989927257</v>
      </c>
      <c r="DI175" s="712">
        <f>Sheet1!DW175*AFtoMG</f>
        <v>0</v>
      </c>
      <c r="DJ175" s="712">
        <f>Sheet1!DX175*AFtoMG</f>
        <v>0</v>
      </c>
      <c r="DK175" s="712">
        <f>Sheet1!DY175*AFtoMG</f>
        <v>0</v>
      </c>
      <c r="DL175" s="712">
        <f>Sheet1!DZ175*AFtoMG</f>
        <v>0</v>
      </c>
      <c r="DM175" s="712">
        <f t="shared" si="691"/>
        <v>0</v>
      </c>
      <c r="DN175" s="712">
        <f t="shared" si="692"/>
        <v>0</v>
      </c>
      <c r="DO175" s="712">
        <f t="shared" si="693"/>
        <v>6065.7668721918817</v>
      </c>
      <c r="DP175" s="712">
        <f t="shared" si="694"/>
        <v>18609.772763884692</v>
      </c>
      <c r="DQ175" s="712"/>
      <c r="DR175" s="697">
        <f>IF(OR(B175&lt;FL175,B175&gt;FM175),(MIN(AV175+BO175+CJ175+MAX(Sheet1!AA175+AG175-73,0),K175)),0)</f>
        <v>9.5351984385174831</v>
      </c>
      <c r="DS175" s="712"/>
      <c r="DT175" s="712">
        <f t="shared" si="695"/>
        <v>9.5351984385174831</v>
      </c>
      <c r="DU175" s="712"/>
      <c r="DV175" s="712">
        <f>Sheet1!ED175+Sheet1!EE175+Sheet1!EF175+Sheet1!EG175</f>
        <v>9.5</v>
      </c>
      <c r="DW175" s="712"/>
      <c r="DX175" s="697">
        <f t="shared" si="696"/>
        <v>0</v>
      </c>
      <c r="DY175" s="712">
        <f>IF(Sheet1!FN175=1,SUM('Calculations II'!AT175:BA175)+'Calculations II'!BC175+Sheet1!BU175+'Calculations II'!BE175+AF175,SUM('Calculations II'!AT175:BA175)+'Calculations II'!BC175+Sheet1!BU175+'Calculations II'!BE175+AF175)</f>
        <v>52.825519999999997</v>
      </c>
      <c r="DZ175" s="712">
        <f>Sheet1!AA175+Sheet1!AB175+'Calculations II'!BC175</f>
        <v>64.250000000014552</v>
      </c>
      <c r="EA175" s="712"/>
      <c r="EB175" s="712"/>
      <c r="EC175" s="712">
        <f t="shared" si="697"/>
        <v>40704</v>
      </c>
      <c r="ED175" s="712">
        <f t="shared" si="698"/>
        <v>55.104801561482518</v>
      </c>
      <c r="EE175" s="712">
        <f t="shared" si="699"/>
        <v>85.247128015613455</v>
      </c>
      <c r="EF175" s="712">
        <f>-(VLOOKUP(Sheet1!BQ175,Lookup!$B$4:$J$236,2)-VLOOKUP(Sheet1!BQ174,Lookup!$B$4:$J$236,2))/1000000</f>
        <v>-0.27379999999999999</v>
      </c>
      <c r="EG175" s="712">
        <f>-(VLOOKUP(Sheet1!BR175,Lookup!$B$4:$J$236,3)-VLOOKUP(Sheet1!BR174,Lookup!$B$4:$J$236,3))/1000000</f>
        <v>-0.27</v>
      </c>
      <c r="EH175" s="712">
        <f>-(VLOOKUP(Sheet1!BS175,Lookup!$B$4:$J$236,4)-VLOOKUP(Sheet1!BS174,Lookup!$B$4:$J$236,4))/1000000</f>
        <v>0</v>
      </c>
      <c r="EI175" s="697">
        <f t="shared" si="700"/>
        <v>-0.54380000000000006</v>
      </c>
      <c r="EJ175" s="712"/>
      <c r="EK175" s="712"/>
      <c r="EL175" s="712"/>
      <c r="EM175" s="712"/>
      <c r="EN175" s="712"/>
      <c r="EO175" s="712"/>
      <c r="EP175" s="712"/>
      <c r="EQ175" s="712"/>
      <c r="ES175" s="712"/>
      <c r="ET175" s="794" t="e">
        <f t="shared" si="720"/>
        <v>#N/A</v>
      </c>
      <c r="EU175" s="697">
        <v>5000</v>
      </c>
      <c r="EV175" s="795">
        <f t="shared" si="640"/>
        <v>24275.227236230661</v>
      </c>
      <c r="EW175" s="796" t="s">
        <v>757</v>
      </c>
      <c r="EX175" s="796" t="s">
        <v>757</v>
      </c>
      <c r="EY175" s="794">
        <v>0</v>
      </c>
      <c r="EZ175" s="794" t="e">
        <v>#N/A</v>
      </c>
      <c r="FA175" s="712"/>
      <c r="FB175" s="712"/>
      <c r="FC175" s="712"/>
      <c r="FD175" s="712"/>
      <c r="FE175" s="712">
        <f>O175+Sheet1!CO175</f>
        <v>64.250000000014552</v>
      </c>
      <c r="FF175" s="712">
        <f>IF(Sheet1!AA175+AG175&lt;=Calculation!N175,AG175,Calculation!N175-Sheet1!AA175)</f>
        <v>21.514801561485424</v>
      </c>
      <c r="FG175" s="712">
        <f>(Sheet1!BP175+Sheet1!BO175)/694.4</f>
        <v>2.4746543778801846</v>
      </c>
      <c r="FH175" s="712"/>
      <c r="FI175" s="712"/>
      <c r="FJ175" s="712"/>
      <c r="FK175" s="712"/>
      <c r="FL175" s="714">
        <f t="shared" si="632"/>
        <v>40753</v>
      </c>
      <c r="FM175" s="714">
        <f t="shared" si="633"/>
        <v>40851</v>
      </c>
      <c r="FN175" s="712"/>
      <c r="FO175" s="712"/>
      <c r="FP175" s="712"/>
      <c r="FQ175" s="712"/>
      <c r="FR175" s="712"/>
      <c r="FS175" s="725">
        <f t="shared" si="634"/>
        <v>40603</v>
      </c>
      <c r="FT175" s="714">
        <f t="shared" si="635"/>
        <v>40709</v>
      </c>
      <c r="FU175" s="712">
        <f t="shared" si="636"/>
        <v>6518.9048239895692</v>
      </c>
      <c r="FV175" s="714">
        <f t="shared" si="637"/>
        <v>40722</v>
      </c>
      <c r="FW175" s="712">
        <f t="shared" si="638"/>
        <v>3259.4524119947846</v>
      </c>
      <c r="FX175" s="725">
        <f t="shared" si="639"/>
        <v>40851</v>
      </c>
      <c r="FZ175" s="697">
        <f t="shared" si="616"/>
        <v>39.502222222222223</v>
      </c>
      <c r="GA175" s="712" t="str">
        <f t="shared" si="701"/>
        <v>PP</v>
      </c>
      <c r="GB175" s="712">
        <f t="shared" si="702"/>
        <v>26.933333333333334</v>
      </c>
      <c r="GC175" s="712" t="str">
        <f t="shared" si="703"/>
        <v/>
      </c>
      <c r="GD175" s="712">
        <f>IF(GA175="P",Lookup!$M$12,IF(GA175="PP",Lookup!$M$13,IF(GA175="PPP",Lookup!$M$14,IF(GA175="T",Lookup!$M$15,IF(GA175="TP",Lookup!$M$16,IF(GA175="TPP",Lookup!$M$17,IF(GA175="TPPP",Lookup!$M$18,0)))))))*FZ175</f>
        <v>0</v>
      </c>
      <c r="GE175" s="712">
        <f t="shared" si="704"/>
        <v>0</v>
      </c>
      <c r="GF175" s="712">
        <f t="shared" si="705"/>
        <v>8333.3333333333321</v>
      </c>
      <c r="GG175" s="712">
        <f t="shared" si="706"/>
        <v>2716.2103433289872</v>
      </c>
      <c r="GH175" s="712"/>
      <c r="GI175" s="712">
        <f t="shared" si="707"/>
        <v>12.568888888888889</v>
      </c>
      <c r="GJ175" s="712" t="str">
        <f t="shared" si="708"/>
        <v/>
      </c>
      <c r="GK175" s="712">
        <f>IF(GA175="P",Lookup!$N$12,IF(GA175="PP",Lookup!$N$13,IF(GA175="PPP",Lookup!$N$14,IF(GA175="T",Lookup!$N$15,IF(GA175="TP",Lookup!$N$16,IF(GA175="TPP",Lookup!$N$17,IF(GA175="TPPP",Lookup!$N$18,0)))))))*FZ175</f>
        <v>19.751111111111111</v>
      </c>
      <c r="GL175" s="712">
        <f t="shared" si="709"/>
        <v>0</v>
      </c>
      <c r="GM175" s="712">
        <f t="shared" si="710"/>
        <v>3888.8888888888882</v>
      </c>
      <c r="GN175" s="712">
        <f t="shared" si="711"/>
        <v>1267.5648268868606</v>
      </c>
      <c r="GO175" s="712"/>
      <c r="GP175" s="712">
        <f t="shared" si="712"/>
        <v>0</v>
      </c>
      <c r="GQ175" s="712" t="str">
        <f t="shared" si="713"/>
        <v>P</v>
      </c>
      <c r="GR175" s="712">
        <f>IF(GA175="P",Lookup!$N$12,IF(GA175="PP",Lookup!$N$13,IF(GA175="PPP",Lookup!$N$14,IF(GA175="T",Lookup!$N$15,IF(GA175="TP",Lookup!$N$16,IF(GA175="TPP",Lookup!$N$17,IF(GA175="TPPP",Lookup!$N$18,0)))))))*FZ175</f>
        <v>19.751111111111111</v>
      </c>
      <c r="GS175" s="697">
        <f t="shared" si="628"/>
        <v>19.751111111111111</v>
      </c>
      <c r="GT175" s="712">
        <f t="shared" si="714"/>
        <v>3496.8882614166055</v>
      </c>
      <c r="GU175" s="712">
        <f t="shared" si="715"/>
        <v>1139.7940878150605</v>
      </c>
      <c r="GV175" s="712"/>
      <c r="GW175" s="712">
        <f t="shared" si="716"/>
        <v>0</v>
      </c>
      <c r="GX175" s="712" t="str">
        <f t="shared" si="717"/>
        <v>P</v>
      </c>
      <c r="GY175" s="712">
        <f>IF(GA175="P",Lookup!$N$12,IF(GA175="PP",Lookup!$N$13,IF(GA175="PPP",Lookup!$N$14,IF(GA175="T",Lookup!$N$15,IF(GA175="TP",Lookup!$N$16,IF(GA175="TPP",Lookup!$N$17,IF(GA175="TPPP",Lookup!$N$18,0)))))))*FZ175</f>
        <v>19.751111111111111</v>
      </c>
      <c r="GZ175" s="697">
        <f t="shared" si="629"/>
        <v>19.751111111111111</v>
      </c>
      <c r="HA175" s="712">
        <f t="shared" si="718"/>
        <v>2769.4694624680897</v>
      </c>
      <c r="HB175" s="712">
        <f t="shared" si="719"/>
        <v>902.69539193875153</v>
      </c>
      <c r="HC175" s="712"/>
    </row>
    <row r="176" spans="1:211">
      <c r="A176" s="773" t="s">
        <v>9</v>
      </c>
      <c r="B176" s="708">
        <v>40705</v>
      </c>
      <c r="C176" s="719">
        <v>0.5</v>
      </c>
      <c r="D176" s="675">
        <f t="shared" si="641"/>
        <v>300</v>
      </c>
      <c r="E176" s="675">
        <f t="shared" si="642"/>
        <v>250</v>
      </c>
      <c r="F176" s="675">
        <v>250</v>
      </c>
      <c r="G176" s="712">
        <f>DH176+Sheet1!CV176</f>
        <v>1727.4842410497477</v>
      </c>
      <c r="H176" s="712">
        <f t="shared" si="643"/>
        <v>849.68261341455684</v>
      </c>
      <c r="I176" s="711">
        <f>MAX(Sheet1!Z176-AJ176+(Sheet1!CW176-E176)*CFStoMGD,0)</f>
        <v>1097.3423953109766</v>
      </c>
      <c r="J176" s="720">
        <f>IF(AND(B176&gt;=Calculation!FS176,B176&lt;=Calculation!FT176),IF(Sheet1!CX176&gt;=Calculation!D176,64.64,0),MAX(Sheet1!Z176-AJ176+(Sheet1!CX176-D176)*CFStoMGD,0))</f>
        <v>64.64</v>
      </c>
      <c r="K176" s="697">
        <f t="shared" si="644"/>
        <v>64.64</v>
      </c>
      <c r="L176" s="712">
        <f>Sheet1!AA176+Sheet1!AB176-Sheet1!L176+(Sheet1!CW176-F176)*CFStoMGD</f>
        <v>1151.715999999984</v>
      </c>
      <c r="M176" s="712">
        <f t="shared" si="645"/>
        <v>1138.9787296828481</v>
      </c>
      <c r="N176" s="712">
        <f>IF(Sheet1!CW176&gt;=F176,MIN(73,MIN(MAX(L176,0),MAX(M176,0))),0)</f>
        <v>73</v>
      </c>
      <c r="O176" s="721">
        <f>Sheet1!AA176+Sheet1!AB176</f>
        <v>64.349999999983993</v>
      </c>
      <c r="P176" s="721">
        <f t="shared" si="646"/>
        <v>99.549449999975238</v>
      </c>
      <c r="Q176" s="712">
        <f>MIN(N176,Sheet1!AA176+AG176)</f>
        <v>54.633604689011733</v>
      </c>
      <c r="R176" s="712">
        <f t="shared" si="647"/>
        <v>9.7163953109722563</v>
      </c>
      <c r="S176" s="721">
        <f>Sheet1!Y176*MGDtoCFS</f>
        <v>51.747150000000005</v>
      </c>
      <c r="T176" s="721">
        <f>Sheet1!Z176*MGDtoCFS</f>
        <v>48.436569999999996</v>
      </c>
      <c r="U176" s="721">
        <f>Sheet1!AA176*MGDtoCFS</f>
        <v>51.515099999981992</v>
      </c>
      <c r="V176" s="721">
        <f>Sheet1!AB176*MGDtoCFS</f>
        <v>48.034349999993246</v>
      </c>
      <c r="W176" s="721">
        <f>Sheet1!L176*MGDtoCFS</f>
        <v>0</v>
      </c>
      <c r="X176" s="697">
        <f t="shared" si="648"/>
        <v>0</v>
      </c>
      <c r="Y176" s="712">
        <f t="shared" si="649"/>
        <v>0</v>
      </c>
      <c r="Z176" s="712">
        <f t="shared" si="650"/>
        <v>54.923604689027741</v>
      </c>
      <c r="AA176" s="712">
        <f t="shared" si="651"/>
        <v>84.966816453925915</v>
      </c>
      <c r="AB176" s="712">
        <f>(VLOOKUP(Sheet1!CY176,hhdcap_wcm,4)-(((VLOOKUP(Sheet1!CY176,hhdcap_wcm,3)-Sheet1!CY176)/(VLOOKUP(Sheet1!CY176,hhdcap_wcm,3)-VLOOKUP(Sheet1!CY176,hhdcap_wcm,1)))*(VLOOKUP(Sheet1!CY176,hhdcap_wcm,4)-VLOOKUP(Sheet1!CY176,hhdcap_wcm,2))))</f>
        <v>49598.240000117003</v>
      </c>
      <c r="AC176" s="712">
        <f t="shared" si="652"/>
        <v>493.24000000164961</v>
      </c>
      <c r="AD176" s="712">
        <f t="shared" si="653"/>
        <v>6120.69047688091</v>
      </c>
      <c r="AE176" s="712">
        <f t="shared" si="654"/>
        <v>18778.278383070632</v>
      </c>
      <c r="AF176" s="712">
        <f>Sheet1!BA176+Sheet1!BB176+Sheet1!BN176+BT176</f>
        <v>21.1</v>
      </c>
      <c r="AG176" s="712">
        <f t="shared" si="655"/>
        <v>21.333604689023378</v>
      </c>
      <c r="AH176" s="712">
        <f>Sheet1!BA176+BT176</f>
        <v>0</v>
      </c>
      <c r="AI176" s="712">
        <f>Sheet1!BA176+Sheet1!BB176+BT176</f>
        <v>0</v>
      </c>
      <c r="AJ176" s="712">
        <f>IF((Sheet1!AA176+AG176+AX176+AZ176+BQ176+BS176+CL176+CN176)&lt;=N176,AG176+AX176+AZ176+BQ176+BS176+CL176+CN176,N176-Sheet1!AA176)</f>
        <v>21.333604689023378</v>
      </c>
      <c r="AK176" s="712">
        <f>IF(DR176&lt;K176,0,MAX(Sheet1!AA176+AG176-15/36*K176-N176,Sheet1!ED176,0))</f>
        <v>0</v>
      </c>
      <c r="AL176" s="712">
        <f>IF(OR(B176&gt;=FT176,B176&lt;FS176),0,15/36*K176-MAX(0,64.6-(137.6-(Sheet1!AA176+Sheet1!AB176))))</f>
        <v>26.933333333333334</v>
      </c>
      <c r="AM176" s="712">
        <f>Sheet1!CX176-110</f>
        <v>1264.5833333333333</v>
      </c>
      <c r="AN176" s="712">
        <f>Sheet1!CW176-265</f>
        <v>1667.1875</v>
      </c>
      <c r="AO176" s="712">
        <f t="shared" si="622"/>
        <v>18.366395310988267</v>
      </c>
      <c r="AP176" s="712">
        <f t="shared" si="656"/>
        <v>0</v>
      </c>
      <c r="AQ176" s="712">
        <f t="shared" si="657"/>
        <v>0</v>
      </c>
      <c r="AR176" s="712">
        <f t="shared" si="658"/>
        <v>2716.2103433289872</v>
      </c>
      <c r="AS176" s="712"/>
      <c r="AT176" s="712">
        <f ca="1">IF(B176&gt;Summary!$A$1,#N/A,AR176*MGtoAF)</f>
        <v>8333.3333333333321</v>
      </c>
      <c r="AU176" s="712">
        <f>Sheet1!BG176+Sheet1!BH176+Sheet1!BI176-BC176</f>
        <v>0</v>
      </c>
      <c r="AV176" s="712">
        <f t="shared" si="659"/>
        <v>0</v>
      </c>
      <c r="AW176" s="712">
        <f>IF(Sheet1!EL176="FM",BC176,0)</f>
        <v>0</v>
      </c>
      <c r="AX176" s="712">
        <f t="shared" si="660"/>
        <v>0</v>
      </c>
      <c r="AY176" s="712">
        <f>IF(Sheet1!EL176="OTHER",BC176,0)</f>
        <v>0</v>
      </c>
      <c r="AZ176" s="712">
        <f t="shared" si="661"/>
        <v>0</v>
      </c>
      <c r="BA176" s="712">
        <f t="shared" si="662"/>
        <v>0</v>
      </c>
      <c r="BB176" s="712">
        <f t="shared" si="663"/>
        <v>0</v>
      </c>
      <c r="BC176" s="712">
        <f>IF(OR(Sheet1!EL176="FM", Sheet1!EL176="OTHER"),SUM(Sheet1!BG176:'Sheet1'!BI176),0)</f>
        <v>0</v>
      </c>
      <c r="BD176" s="697">
        <f>IF(AND($B176&gt;=$FL176,$B176&lt;=$FM176),MAX(AV176,Sheet1!EE176,0),MAX(AV176-(7/36)*$K176,0))</f>
        <v>0</v>
      </c>
      <c r="BE176" s="712">
        <f t="shared" si="664"/>
        <v>12.568888888888889</v>
      </c>
      <c r="BF176" s="697">
        <f t="shared" si="665"/>
        <v>0</v>
      </c>
      <c r="BG176" s="697">
        <f>IF(AND($O176&gt;0,Sheet1!EI176=1),(1-($O176-Sheet1!$L176)/$O176)*BB176,0)</f>
        <v>0</v>
      </c>
      <c r="BH176" s="697">
        <f>IF(AND(Sheet1!$L176=0,Sheet1!$L175=0, Calculation!BA176&lt;Sheet1!$EE176-0.1,Sheet1!$EE176=Sheet1!$EE175,Sheet1!$EE176=Sheet1!$EE177),Sheet1!$EE176,BB176-BG176)</f>
        <v>0</v>
      </c>
      <c r="BI176" s="712"/>
      <c r="BJ176" s="712"/>
      <c r="BK176" s="712">
        <f t="shared" si="666"/>
        <v>1267.5648268868606</v>
      </c>
      <c r="BL176" s="712"/>
      <c r="BM176" s="712">
        <f ca="1">IF(B176&gt;Summary!$A$1,#N/A,BK176*MGtoAF)</f>
        <v>3888.8888888888882</v>
      </c>
      <c r="BN176" s="712">
        <f>Sheet1!BC176+Sheet1!BD176+Sheet1!BE176+Sheet1!BF176-BW176-BX176</f>
        <v>2.58</v>
      </c>
      <c r="BO176" s="712">
        <f t="shared" si="667"/>
        <v>2.6085639856720526</v>
      </c>
      <c r="BP176" s="712">
        <f>IF(Sheet1!EM176="FM",BX176,0)</f>
        <v>0</v>
      </c>
      <c r="BQ176" s="712">
        <f t="shared" si="668"/>
        <v>0</v>
      </c>
      <c r="BR176" s="712">
        <f>IF(Sheet1!EM176="OTHER",BX176,0)</f>
        <v>0</v>
      </c>
      <c r="BS176" s="712">
        <f t="shared" si="669"/>
        <v>0</v>
      </c>
      <c r="BT176" s="712">
        <f t="shared" si="670"/>
        <v>0</v>
      </c>
      <c r="BU176" s="712">
        <f t="shared" si="671"/>
        <v>2.58</v>
      </c>
      <c r="BV176" s="712">
        <f t="shared" si="672"/>
        <v>2.6085639856720526</v>
      </c>
      <c r="BW176" s="712">
        <f>IF(Sheet1!EM176="CWA",SUM(Sheet1!BC176:'Sheet1'!BF176),0)</f>
        <v>0</v>
      </c>
      <c r="BX176" s="712">
        <f>IF(OR(Sheet1!EM176="FM", Sheet1!EM176="OTHER"),SUM(Sheet1!BC176:'Sheet1'!BF176),0)</f>
        <v>0</v>
      </c>
      <c r="BY176" s="697">
        <f>IF(AND($B176&gt;=$FL176,$B176&lt;=$FM176),MAX(BV176,Sheet1!EF176,0),MAX(BV176-(7/36)*$K176,0))</f>
        <v>0</v>
      </c>
      <c r="BZ176" s="712">
        <f t="shared" si="673"/>
        <v>9.9603249032168364</v>
      </c>
      <c r="CA176" s="697">
        <f t="shared" si="674"/>
        <v>2.6085639856720526</v>
      </c>
      <c r="CB176" s="697">
        <f>IF(AND($O176&gt;0,Sheet1!EJ176=1),(1-($O176-Sheet1!$L176)/$O176)*BV176,0)</f>
        <v>0</v>
      </c>
      <c r="CC176" s="697">
        <f>IF(AND(Sheet1!$L176=0,Sheet1!$L175=0, Calculation!BU176&lt;Sheet1!EF176-0.1,Sheet1!EF176=Sheet1!EF175,Sheet1!EF176=Sheet1!EF177),Sheet1!EF176,BV176-CB176)</f>
        <v>2.6085639856720526</v>
      </c>
      <c r="CD176" s="697"/>
      <c r="CE176" s="712"/>
      <c r="CF176" s="712">
        <f t="shared" si="675"/>
        <v>1189.2566349404997</v>
      </c>
      <c r="CG176" s="712"/>
      <c r="CH176" s="712">
        <f ca="1">IF(B176&gt;Summary!$A$1,#N/A,CF176*MGtoAF)</f>
        <v>3648.6393559974531</v>
      </c>
      <c r="CI176" s="712">
        <f>Sheet1!BK176+Sheet1!BL176+Sheet1!BM176-Sheet1!EN176-CQ176</f>
        <v>7.0299999999999994</v>
      </c>
      <c r="CJ176" s="712">
        <f t="shared" si="676"/>
        <v>7.1078313253002046</v>
      </c>
      <c r="CK176" s="712">
        <f>IF(Sheet1!EN176="FM",CQ176,0)</f>
        <v>0</v>
      </c>
      <c r="CL176" s="712">
        <f t="shared" si="677"/>
        <v>0</v>
      </c>
      <c r="CM176" s="712">
        <f>IF(Sheet1!EN176="OTHER",CQ176,0)</f>
        <v>0</v>
      </c>
      <c r="CN176" s="712">
        <f t="shared" si="678"/>
        <v>0</v>
      </c>
      <c r="CO176" s="712">
        <f t="shared" si="679"/>
        <v>7.0299999999999994</v>
      </c>
      <c r="CP176" s="712">
        <f t="shared" si="680"/>
        <v>7.1078313253002046</v>
      </c>
      <c r="CQ176" s="712">
        <f>IF(OR(Sheet1!EN176="FM", Sheet1!EN176="OTHER"),SUM(Sheet1!BK176:'Sheet1'!BM176),0)</f>
        <v>0</v>
      </c>
      <c r="CR176" s="697">
        <f>IF(AND($B176&gt;=$FL176,$B176&lt;=$FM176),MAX($CJ176,Sheet1!EG176,0),MAX($CJ176-(7/36)*$K176,0))</f>
        <v>0</v>
      </c>
      <c r="CS176" s="712">
        <f t="shared" si="681"/>
        <v>5.4610575635886844</v>
      </c>
      <c r="CT176" s="697">
        <f t="shared" si="682"/>
        <v>7.1078313253002046</v>
      </c>
      <c r="CU176" s="697">
        <f>IF(AND($O176&gt;0,Sheet1!EK176=1),(1-($O176-Sheet1!$L176)/$O176)*CP176,0)</f>
        <v>0</v>
      </c>
      <c r="CV176" s="697">
        <f>IF(AND(Sheet1!$L176=0,Sheet1!$L175=0, Calculation!CO176&lt;Sheet1!$EG176-0.1,Sheet1!$EG176=Sheet1!$EG175,Sheet1!$EG176=Sheet1!$EG177),Sheet1!$EG176,CP176-CU176)</f>
        <v>7.1078313253002046</v>
      </c>
      <c r="CW176" s="697">
        <f t="shared" si="613"/>
        <v>0</v>
      </c>
      <c r="CX176" s="712">
        <f t="shared" si="683"/>
        <v>9.61</v>
      </c>
      <c r="CY176" s="712">
        <f t="shared" si="684"/>
        <v>947.6586717245624</v>
      </c>
      <c r="CZ176" s="712">
        <f t="shared" si="685"/>
        <v>9.7163953109722563</v>
      </c>
      <c r="DA176" s="712">
        <f ca="1">IF(B176&gt;Summary!$A$1,#N/A,CY176*MGtoAF)</f>
        <v>2907.4168048509573</v>
      </c>
      <c r="DB176" s="712">
        <f t="shared" si="686"/>
        <v>9.61</v>
      </c>
      <c r="DC176" s="712">
        <f t="shared" si="687"/>
        <v>30.71</v>
      </c>
      <c r="DD176" s="712">
        <f>Sheet1!AB176-DC176</f>
        <v>0.33999999999563357</v>
      </c>
      <c r="DE176" s="712">
        <f t="shared" si="688"/>
        <v>1.107131227598937E-2</v>
      </c>
      <c r="DF176" s="712">
        <f>(VLOOKUP(Sheet1!CY176,hhdcap_wcm,4)-(((VLOOKUP(Sheet1!CY176,hhdcap_wcm,3)-Sheet1!CY176)/(VLOOKUP(Sheet1!CY176,hhdcap_wcm,3)-VLOOKUP(Sheet1!CY176,hhdcap_wcm,1)))*(VLOOKUP(Sheet1!CY176,hhdcap_wcm,4)-VLOOKUP(Sheet1!CY176,hhdcap_wcm,2))))</f>
        <v>49598.240000117003</v>
      </c>
      <c r="DG176" s="712">
        <f t="shared" si="689"/>
        <v>493.24000000164961</v>
      </c>
      <c r="DH176" s="712">
        <f t="shared" si="690"/>
        <v>248.73424104974762</v>
      </c>
      <c r="DI176" s="712">
        <f>Sheet1!DW176*AFtoMG</f>
        <v>0</v>
      </c>
      <c r="DJ176" s="712">
        <f>Sheet1!DX176*AFtoMG</f>
        <v>0</v>
      </c>
      <c r="DK176" s="712">
        <f>Sheet1!DY176*AFtoMG</f>
        <v>0</v>
      </c>
      <c r="DL176" s="712">
        <f>Sheet1!DZ176*AFtoMG</f>
        <v>0</v>
      </c>
      <c r="DM176" s="712">
        <f t="shared" si="691"/>
        <v>0</v>
      </c>
      <c r="DN176" s="712">
        <f t="shared" si="692"/>
        <v>0</v>
      </c>
      <c r="DO176" s="712">
        <f t="shared" si="693"/>
        <v>6120.69047688091</v>
      </c>
      <c r="DP176" s="712">
        <f t="shared" si="694"/>
        <v>18778.278383070632</v>
      </c>
      <c r="DQ176" s="712"/>
      <c r="DR176" s="697">
        <f>IF(OR(B176&lt;FL176,B176&gt;FM176),(MIN(AV176+BO176+CJ176+MAX(Sheet1!AA176+AG176-73,0),K176)),0)</f>
        <v>9.7163953109722563</v>
      </c>
      <c r="DS176" s="712"/>
      <c r="DT176" s="712">
        <f t="shared" si="695"/>
        <v>9.7163953109722563</v>
      </c>
      <c r="DU176" s="712"/>
      <c r="DV176" s="712">
        <f>Sheet1!ED176+Sheet1!EE176+Sheet1!EF176+Sheet1!EG176</f>
        <v>9.5</v>
      </c>
      <c r="DW176" s="712"/>
      <c r="DX176" s="697">
        <f t="shared" si="696"/>
        <v>0</v>
      </c>
      <c r="DY176" s="712">
        <f>IF(Sheet1!FN176=1,SUM('Calculations II'!AT176:BA176)+'Calculations II'!BC176+Sheet1!BU176+'Calculations II'!BE176+AF176,SUM('Calculations II'!AT176:BA176)+'Calculations II'!BC176+Sheet1!BU176+'Calculations II'!BE176+AF176)</f>
        <v>53.069839999999999</v>
      </c>
      <c r="DZ176" s="712">
        <f>Sheet1!AA176+Sheet1!AB176+'Calculations II'!BC176</f>
        <v>64.349999999983993</v>
      </c>
      <c r="EA176" s="712"/>
      <c r="EB176" s="712"/>
      <c r="EC176" s="712">
        <f t="shared" si="697"/>
        <v>40705</v>
      </c>
      <c r="ED176" s="712">
        <f t="shared" si="698"/>
        <v>54.923604689027741</v>
      </c>
      <c r="EE176" s="712">
        <f t="shared" si="699"/>
        <v>84.966816453925915</v>
      </c>
      <c r="EF176" s="712">
        <f>-(VLOOKUP(Sheet1!BQ176,Lookup!$B$4:$J$236,2)-VLOOKUP(Sheet1!BQ175,Lookup!$B$4:$J$236,2))/1000000</f>
        <v>-0.27379999999999999</v>
      </c>
      <c r="EG176" s="712">
        <f>-(VLOOKUP(Sheet1!BR176,Lookup!$B$4:$J$236,3)-VLOOKUP(Sheet1!BR175,Lookup!$B$4:$J$236,3))/1000000</f>
        <v>-0.27339999999999998</v>
      </c>
      <c r="EH176" s="712">
        <f>-(VLOOKUP(Sheet1!BS176,Lookup!$B$4:$J$236,4)-VLOOKUP(Sheet1!BS175,Lookup!$B$4:$J$236,4))/1000000</f>
        <v>0</v>
      </c>
      <c r="EI176" s="697">
        <f t="shared" si="700"/>
        <v>-0.54719999999999991</v>
      </c>
      <c r="EJ176" s="712"/>
      <c r="EK176" s="712"/>
      <c r="EL176" s="712"/>
      <c r="EM176" s="712"/>
      <c r="EN176" s="712"/>
      <c r="EO176" s="712"/>
      <c r="EP176" s="712"/>
      <c r="EQ176" s="712"/>
      <c r="ES176" s="712"/>
      <c r="ET176" s="794" t="e">
        <f t="shared" si="720"/>
        <v>#N/A</v>
      </c>
      <c r="EU176" s="697">
        <v>5000</v>
      </c>
      <c r="EV176" s="795">
        <f t="shared" si="640"/>
        <v>24599.961617046371</v>
      </c>
      <c r="EW176" s="796" t="s">
        <v>757</v>
      </c>
      <c r="EX176" s="796" t="s">
        <v>757</v>
      </c>
      <c r="EY176" s="794">
        <v>0</v>
      </c>
      <c r="EZ176" s="794" t="e">
        <v>#N/A</v>
      </c>
      <c r="FA176" s="712"/>
      <c r="FB176" s="712"/>
      <c r="FC176" s="712"/>
      <c r="FD176" s="712"/>
      <c r="FE176" s="712">
        <f>O176+Sheet1!CO176</f>
        <v>64.349999999983993</v>
      </c>
      <c r="FF176" s="712">
        <f>IF(Sheet1!AA176+AG176&lt;=Calculation!N176,AG176,Calculation!N176-Sheet1!AA176)</f>
        <v>21.333604689023378</v>
      </c>
      <c r="FG176" s="712">
        <f>(Sheet1!BP176+Sheet1!BO176)/694.4</f>
        <v>2.9926555299539168</v>
      </c>
      <c r="FH176" s="712"/>
      <c r="FI176" s="712"/>
      <c r="FJ176" s="712"/>
      <c r="FK176" s="712"/>
      <c r="FL176" s="714">
        <f t="shared" si="632"/>
        <v>40753</v>
      </c>
      <c r="FM176" s="714">
        <f t="shared" si="633"/>
        <v>40851</v>
      </c>
      <c r="FN176" s="712"/>
      <c r="FO176" s="712"/>
      <c r="FP176" s="712"/>
      <c r="FQ176" s="712"/>
      <c r="FR176" s="712"/>
      <c r="FS176" s="725">
        <f t="shared" si="634"/>
        <v>40603</v>
      </c>
      <c r="FT176" s="714">
        <f t="shared" si="635"/>
        <v>40709</v>
      </c>
      <c r="FU176" s="712">
        <f t="shared" si="636"/>
        <v>6518.9048239895692</v>
      </c>
      <c r="FV176" s="714">
        <f t="shared" si="637"/>
        <v>40722</v>
      </c>
      <c r="FW176" s="712">
        <f t="shared" si="638"/>
        <v>3259.4524119947846</v>
      </c>
      <c r="FX176" s="725">
        <f t="shared" si="639"/>
        <v>40851</v>
      </c>
      <c r="FZ176" s="697">
        <f t="shared" si="616"/>
        <v>39.502222222222223</v>
      </c>
      <c r="GA176" s="712" t="str">
        <f t="shared" si="701"/>
        <v>PP</v>
      </c>
      <c r="GB176" s="712">
        <f t="shared" si="702"/>
        <v>26.933333333333334</v>
      </c>
      <c r="GC176" s="712" t="str">
        <f t="shared" si="703"/>
        <v/>
      </c>
      <c r="GD176" s="712">
        <f>IF(GA176="P",Lookup!$M$12,IF(GA176="PP",Lookup!$M$13,IF(GA176="PPP",Lookup!$M$14,IF(GA176="T",Lookup!$M$15,IF(GA176="TP",Lookup!$M$16,IF(GA176="TPP",Lookup!$M$17,IF(GA176="TPPP",Lookup!$M$18,0)))))))*FZ176</f>
        <v>0</v>
      </c>
      <c r="GE176" s="712">
        <f t="shared" si="704"/>
        <v>0</v>
      </c>
      <c r="GF176" s="712">
        <f t="shared" si="705"/>
        <v>8333.3333333333321</v>
      </c>
      <c r="GG176" s="712">
        <f t="shared" si="706"/>
        <v>2716.2103433289872</v>
      </c>
      <c r="GH176" s="712"/>
      <c r="GI176" s="712">
        <f t="shared" si="707"/>
        <v>12.568888888888889</v>
      </c>
      <c r="GJ176" s="712" t="str">
        <f t="shared" si="708"/>
        <v/>
      </c>
      <c r="GK176" s="712">
        <f>IF(GA176="P",Lookup!$N$12,IF(GA176="PP",Lookup!$N$13,IF(GA176="PPP",Lookup!$N$14,IF(GA176="T",Lookup!$N$15,IF(GA176="TP",Lookup!$N$16,IF(GA176="TPP",Lookup!$N$17,IF(GA176="TPPP",Lookup!$N$18,0)))))))*FZ176</f>
        <v>19.751111111111111</v>
      </c>
      <c r="GL176" s="712">
        <f t="shared" si="709"/>
        <v>0</v>
      </c>
      <c r="GM176" s="712">
        <f t="shared" si="710"/>
        <v>3888.8888888888882</v>
      </c>
      <c r="GN176" s="712">
        <f t="shared" si="711"/>
        <v>1267.5648268868606</v>
      </c>
      <c r="GO176" s="712"/>
      <c r="GP176" s="712">
        <f t="shared" si="712"/>
        <v>0</v>
      </c>
      <c r="GQ176" s="712" t="str">
        <f t="shared" si="713"/>
        <v>P</v>
      </c>
      <c r="GR176" s="712">
        <f>IF(GA176="P",Lookup!$N$12,IF(GA176="PP",Lookup!$N$13,IF(GA176="PPP",Lookup!$N$14,IF(GA176="T",Lookup!$N$15,IF(GA176="TP",Lookup!$N$16,IF(GA176="TPP",Lookup!$N$17,IF(GA176="TPPP",Lookup!$N$18,0)))))))*FZ176</f>
        <v>19.751111111111111</v>
      </c>
      <c r="GS176" s="697">
        <f t="shared" si="628"/>
        <v>19.751111111111111</v>
      </c>
      <c r="GT176" s="712">
        <f t="shared" si="714"/>
        <v>3588.042947108564</v>
      </c>
      <c r="GU176" s="712">
        <f t="shared" si="715"/>
        <v>1169.5055238293885</v>
      </c>
      <c r="GV176" s="712"/>
      <c r="GW176" s="712">
        <f t="shared" si="716"/>
        <v>0</v>
      </c>
      <c r="GX176" s="712" t="str">
        <f t="shared" si="717"/>
        <v>P</v>
      </c>
      <c r="GY176" s="712">
        <f>IF(GA176="P",Lookup!$N$12,IF(GA176="PP",Lookup!$N$13,IF(GA176="PPP",Lookup!$N$14,IF(GA176="T",Lookup!$N$15,IF(GA176="TP",Lookup!$N$16,IF(GA176="TPP",Lookup!$N$17,IF(GA176="TPPP",Lookup!$N$18,0)))))))*FZ176</f>
        <v>19.751111111111111</v>
      </c>
      <c r="GZ176" s="697">
        <f t="shared" si="629"/>
        <v>19.751111111111111</v>
      </c>
      <c r="HA176" s="712">
        <f t="shared" si="718"/>
        <v>2846.8203959620687</v>
      </c>
      <c r="HB176" s="712">
        <f t="shared" si="719"/>
        <v>927.90756061345132</v>
      </c>
      <c r="HC176" s="712"/>
    </row>
    <row r="177" spans="1:211">
      <c r="A177" s="773" t="s">
        <v>3</v>
      </c>
      <c r="B177" s="708">
        <v>40706</v>
      </c>
      <c r="C177" s="709">
        <v>0.5</v>
      </c>
      <c r="D177" s="675">
        <f t="shared" si="641"/>
        <v>300</v>
      </c>
      <c r="E177" s="675">
        <f t="shared" si="642"/>
        <v>250</v>
      </c>
      <c r="F177" s="675">
        <v>250</v>
      </c>
      <c r="G177" s="712">
        <f>DH177+Sheet1!CV177</f>
        <v>1570.0189107414312</v>
      </c>
      <c r="H177" s="712">
        <f t="shared" si="643"/>
        <v>747.89702390326113</v>
      </c>
      <c r="I177" s="711">
        <f>MAX(Sheet1!Z177-AJ177+(Sheet1!CW177-E177)*CFStoMGD,0)</f>
        <v>1080.0055003261566</v>
      </c>
      <c r="J177" s="720">
        <f>IF(AND(B177&gt;=Calculation!FS177,B177&lt;=Calculation!FT177),IF(Sheet1!CX177&gt;=Calculation!D177,64.64,0),MAX(Sheet1!Z177-AJ177+(Sheet1!CX177-D177)*CFStoMGD,0))</f>
        <v>64.64</v>
      </c>
      <c r="K177" s="697">
        <f t="shared" si="644"/>
        <v>64.64</v>
      </c>
      <c r="L177" s="712">
        <f>Sheet1!AA177+Sheet1!AB177-Sheet1!L177+(Sheet1!CW177-F177)*CFStoMGD</f>
        <v>1134.4306666666796</v>
      </c>
      <c r="M177" s="712">
        <f t="shared" si="645"/>
        <v>1035.1574283813263</v>
      </c>
      <c r="N177" s="712">
        <f>IF(Sheet1!CW177&gt;=F177,MIN(73,MIN(MAX(L177,0),MAX(M177,0))),0)</f>
        <v>73</v>
      </c>
      <c r="O177" s="721">
        <f>Sheet1!AA177+Sheet1!AB177</f>
        <v>64.100000000013097</v>
      </c>
      <c r="P177" s="721">
        <f t="shared" si="646"/>
        <v>99.162700000020251</v>
      </c>
      <c r="Q177" s="712">
        <f>MIN(N177,Sheet1!AA177+AG177)</f>
        <v>54.465166340521449</v>
      </c>
      <c r="R177" s="712">
        <f t="shared" si="647"/>
        <v>9.6348336594916475</v>
      </c>
      <c r="S177" s="721">
        <f>Sheet1!Y177*MGDtoCFS</f>
        <v>51.60792</v>
      </c>
      <c r="T177" s="721">
        <f>Sheet1!Z177*MGDtoCFS</f>
        <v>47.864179999999998</v>
      </c>
      <c r="U177" s="721">
        <f>Sheet1!AA177*MGDtoCFS</f>
        <v>51.360400000018004</v>
      </c>
      <c r="V177" s="721">
        <f>Sheet1!AB177*MGDtoCFS</f>
        <v>47.802300000002248</v>
      </c>
      <c r="W177" s="721">
        <f>Sheet1!L177*MGDtoCFS</f>
        <v>0</v>
      </c>
      <c r="X177" s="697">
        <f t="shared" si="648"/>
        <v>0</v>
      </c>
      <c r="Y177" s="712">
        <f t="shared" si="649"/>
        <v>0</v>
      </c>
      <c r="Z177" s="712">
        <f t="shared" si="650"/>
        <v>55.005166340508353</v>
      </c>
      <c r="AA177" s="712">
        <f t="shared" si="651"/>
        <v>85.092992328766414</v>
      </c>
      <c r="AB177" s="712">
        <f>(VLOOKUP(Sheet1!CY177,hhdcap_wcm,4)-(((VLOOKUP(Sheet1!CY177,hhdcap_wcm,3)-Sheet1!CY177)/(VLOOKUP(Sheet1!CY177,hhdcap_wcm,3)-VLOOKUP(Sheet1!CY177,hhdcap_wcm,1)))*(VLOOKUP(Sheet1!CY177,hhdcap_wcm,4)-VLOOKUP(Sheet1!CY177,hhdcap_wcm,2))))</f>
        <v>49778.400000117261</v>
      </c>
      <c r="AC177" s="712">
        <f t="shared" si="652"/>
        <v>180.16000000025815</v>
      </c>
      <c r="AD177" s="712">
        <f t="shared" si="653"/>
        <v>6175.6956432214183</v>
      </c>
      <c r="AE177" s="712">
        <f t="shared" si="654"/>
        <v>18947.034233403312</v>
      </c>
      <c r="AF177" s="712">
        <f>Sheet1!BA177+Sheet1!BB177+Sheet1!BN177+BT177</f>
        <v>21.1</v>
      </c>
      <c r="AG177" s="712">
        <f t="shared" si="655"/>
        <v>21.265166340509808</v>
      </c>
      <c r="AH177" s="712">
        <f>Sheet1!BA177+BT177</f>
        <v>0</v>
      </c>
      <c r="AI177" s="712">
        <f>Sheet1!BA177+Sheet1!BB177+BT177</f>
        <v>0</v>
      </c>
      <c r="AJ177" s="712">
        <f>IF((Sheet1!AA177+AG177+AX177+AZ177+BQ177+BS177+CL177+CN177)&lt;=N177,AG177+AX177+AZ177+BQ177+BS177+CL177+CN177,N177-Sheet1!AA177)</f>
        <v>21.265166340509808</v>
      </c>
      <c r="AK177" s="712">
        <f>IF(DR177&lt;K177,0,MAX(Sheet1!AA177+AG177-15/36*K177-N177,Sheet1!ED177,0))</f>
        <v>0</v>
      </c>
      <c r="AL177" s="712">
        <f>IF(OR(B177&gt;=FT177,B177&lt;FS177),0,15/36*K177-MAX(0,64.6-(137.6-(Sheet1!AA177+Sheet1!AB177))))</f>
        <v>26.933333333333334</v>
      </c>
      <c r="AM177" s="712">
        <f>Sheet1!CX177-110</f>
        <v>1263.0208333333333</v>
      </c>
      <c r="AN177" s="712">
        <f>Sheet1!CW177-265</f>
        <v>1640.8333333333333</v>
      </c>
      <c r="AO177" s="712">
        <f t="shared" si="622"/>
        <v>18.534833659478551</v>
      </c>
      <c r="AP177" s="712">
        <f t="shared" si="656"/>
        <v>0</v>
      </c>
      <c r="AQ177" s="712">
        <f t="shared" si="657"/>
        <v>0</v>
      </c>
      <c r="AR177" s="712">
        <f t="shared" si="658"/>
        <v>2716.2103433289872</v>
      </c>
      <c r="AS177" s="712"/>
      <c r="AT177" s="712">
        <f ca="1">IF(B177&gt;Summary!$A$1,#N/A,AR177*MGtoAF)</f>
        <v>8333.3333333333321</v>
      </c>
      <c r="AU177" s="712">
        <f>Sheet1!BG177+Sheet1!BH177+Sheet1!BI177-BC177</f>
        <v>0</v>
      </c>
      <c r="AV177" s="712">
        <f t="shared" si="659"/>
        <v>0</v>
      </c>
      <c r="AW177" s="712">
        <f>IF(Sheet1!EL177="FM",BC177,0)</f>
        <v>0</v>
      </c>
      <c r="AX177" s="712">
        <f t="shared" si="660"/>
        <v>0</v>
      </c>
      <c r="AY177" s="712">
        <f>IF(Sheet1!EL177="OTHER",BC177,0)</f>
        <v>0</v>
      </c>
      <c r="AZ177" s="712">
        <f t="shared" si="661"/>
        <v>0</v>
      </c>
      <c r="BA177" s="712">
        <f t="shared" si="662"/>
        <v>0</v>
      </c>
      <c r="BB177" s="712">
        <f t="shared" si="663"/>
        <v>0</v>
      </c>
      <c r="BC177" s="712">
        <f>IF(OR(Sheet1!EL177="FM", Sheet1!EL177="OTHER"),SUM(Sheet1!BG177:'Sheet1'!BI177),0)</f>
        <v>0</v>
      </c>
      <c r="BD177" s="697">
        <f>IF(AND($B177&gt;=$FL177,$B177&lt;=$FM177),MAX(AV177,Sheet1!EE177,0),MAX(AV177-(7/36)*$K177,0))</f>
        <v>0</v>
      </c>
      <c r="BE177" s="712">
        <f t="shared" si="664"/>
        <v>12.568888888888889</v>
      </c>
      <c r="BF177" s="697">
        <f t="shared" si="665"/>
        <v>0</v>
      </c>
      <c r="BG177" s="697">
        <f>IF(AND($O177&gt;0,Sheet1!EI177=1),(1-($O177-Sheet1!$L177)/$O177)*BB177,0)</f>
        <v>0</v>
      </c>
      <c r="BH177" s="697">
        <f>IF(AND(Sheet1!$L177=0,Sheet1!$L176=0, Calculation!BA177&lt;Sheet1!$EE177-0.1,Sheet1!$EE177=Sheet1!$EE176,Sheet1!$EE177=Sheet1!$EE178),Sheet1!$EE177,BB177-BG177)</f>
        <v>0</v>
      </c>
      <c r="BI177" s="712"/>
      <c r="BJ177" s="712"/>
      <c r="BK177" s="712">
        <f t="shared" si="666"/>
        <v>1267.5648268868606</v>
      </c>
      <c r="BL177" s="712"/>
      <c r="BM177" s="712">
        <f ca="1">IF(B177&gt;Summary!$A$1,#N/A,BK177*MGtoAF)</f>
        <v>3888.8888888888882</v>
      </c>
      <c r="BN177" s="712">
        <f>Sheet1!BC177+Sheet1!BD177+Sheet1!BE177+Sheet1!BF177-BW177-BX177</f>
        <v>2.52</v>
      </c>
      <c r="BO177" s="712">
        <f t="shared" si="667"/>
        <v>2.5397260273973794</v>
      </c>
      <c r="BP177" s="712">
        <f>IF(Sheet1!EM177="FM",BX177,0)</f>
        <v>0</v>
      </c>
      <c r="BQ177" s="712">
        <f t="shared" si="668"/>
        <v>0</v>
      </c>
      <c r="BR177" s="712">
        <f>IF(Sheet1!EM177="OTHER",BX177,0)</f>
        <v>0</v>
      </c>
      <c r="BS177" s="712">
        <f t="shared" si="669"/>
        <v>0</v>
      </c>
      <c r="BT177" s="712">
        <f t="shared" si="670"/>
        <v>0</v>
      </c>
      <c r="BU177" s="712">
        <f t="shared" si="671"/>
        <v>2.52</v>
      </c>
      <c r="BV177" s="712">
        <f t="shared" si="672"/>
        <v>2.5397260273973794</v>
      </c>
      <c r="BW177" s="712">
        <f>IF(Sheet1!EM177="CWA",SUM(Sheet1!BC177:'Sheet1'!BF177),0)</f>
        <v>0</v>
      </c>
      <c r="BX177" s="712">
        <f>IF(OR(Sheet1!EM177="FM", Sheet1!EM177="OTHER"),SUM(Sheet1!BC177:'Sheet1'!BF177),0)</f>
        <v>0</v>
      </c>
      <c r="BY177" s="697">
        <f>IF(AND($B177&gt;=$FL177,$B177&lt;=$FM177),MAX(BV177,Sheet1!EF177,0),MAX(BV177-(7/36)*$K177,0))</f>
        <v>0</v>
      </c>
      <c r="BZ177" s="712">
        <f t="shared" si="673"/>
        <v>10.02916286149151</v>
      </c>
      <c r="CA177" s="697">
        <f t="shared" si="674"/>
        <v>2.5397260273973794</v>
      </c>
      <c r="CB177" s="697">
        <f>IF(AND($O177&gt;0,Sheet1!EJ177=1),(1-($O177-Sheet1!$L177)/$O177)*BV177,0)</f>
        <v>0</v>
      </c>
      <c r="CC177" s="697">
        <f>IF(AND(Sheet1!$L177=0,Sheet1!$L176=0, Calculation!BU177&lt;Sheet1!EF177-0.1,Sheet1!EF177=Sheet1!EF176,Sheet1!EF177=Sheet1!EF178),Sheet1!EF177,BV177-CB177)</f>
        <v>2.5397260273973794</v>
      </c>
      <c r="CD177" s="697"/>
      <c r="CE177" s="712"/>
      <c r="CF177" s="712">
        <f t="shared" si="675"/>
        <v>1219.0369089131025</v>
      </c>
      <c r="CG177" s="712"/>
      <c r="CH177" s="712">
        <f ca="1">IF(B177&gt;Summary!$A$1,#N/A,CF177*MGtoAF)</f>
        <v>3740.0052365453985</v>
      </c>
      <c r="CI177" s="712">
        <f>Sheet1!BK177+Sheet1!BL177+Sheet1!BM177-Sheet1!EN177-CQ177</f>
        <v>7.04</v>
      </c>
      <c r="CJ177" s="712">
        <f t="shared" si="676"/>
        <v>7.0951076320942672</v>
      </c>
      <c r="CK177" s="712">
        <f>IF(Sheet1!EN177="FM",CQ177,0)</f>
        <v>0</v>
      </c>
      <c r="CL177" s="712">
        <f t="shared" si="677"/>
        <v>0</v>
      </c>
      <c r="CM177" s="712">
        <f>IF(Sheet1!EN177="OTHER",CQ177,0)</f>
        <v>0</v>
      </c>
      <c r="CN177" s="712">
        <f t="shared" si="678"/>
        <v>0</v>
      </c>
      <c r="CO177" s="712">
        <f t="shared" si="679"/>
        <v>7.04</v>
      </c>
      <c r="CP177" s="712">
        <f t="shared" si="680"/>
        <v>7.0951076320942672</v>
      </c>
      <c r="CQ177" s="712">
        <f>IF(OR(Sheet1!EN177="FM", Sheet1!EN177="OTHER"),SUM(Sheet1!BK177:'Sheet1'!BM177),0)</f>
        <v>0</v>
      </c>
      <c r="CR177" s="697">
        <f>IF(AND($B177&gt;=$FL177,$B177&lt;=$FM177),MAX($CJ177,Sheet1!EG177,0),MAX($CJ177-(7/36)*$K177,0))</f>
        <v>0</v>
      </c>
      <c r="CS177" s="712">
        <f t="shared" si="681"/>
        <v>5.4737812567946218</v>
      </c>
      <c r="CT177" s="697">
        <f t="shared" si="682"/>
        <v>7.0951076320942672</v>
      </c>
      <c r="CU177" s="697">
        <f>IF(AND($O177&gt;0,Sheet1!EK177=1),(1-($O177-Sheet1!$L177)/$O177)*CP177,0)</f>
        <v>0</v>
      </c>
      <c r="CV177" s="697">
        <f>IF(AND(Sheet1!$L177=0,Sheet1!$L176=0, Calculation!CO177&lt;Sheet1!$EG177-0.1,Sheet1!$EG177=Sheet1!$EG176,Sheet1!$EG177=Sheet1!$EG178),Sheet1!$EG177,CP177-CU177)</f>
        <v>7.0951076320942672</v>
      </c>
      <c r="CW177" s="697">
        <f t="shared" si="613"/>
        <v>0</v>
      </c>
      <c r="CX177" s="712">
        <f t="shared" si="683"/>
        <v>9.56</v>
      </c>
      <c r="CY177" s="712">
        <f t="shared" si="684"/>
        <v>972.88356409246808</v>
      </c>
      <c r="CZ177" s="712">
        <f t="shared" si="685"/>
        <v>9.6348336594916475</v>
      </c>
      <c r="DA177" s="712">
        <f ca="1">IF(B177&gt;Summary!$A$1,#N/A,CY177*MGtoAF)</f>
        <v>2984.8067746356919</v>
      </c>
      <c r="DB177" s="712">
        <f t="shared" si="686"/>
        <v>9.56</v>
      </c>
      <c r="DC177" s="712">
        <f t="shared" si="687"/>
        <v>30.660000000000004</v>
      </c>
      <c r="DD177" s="712">
        <f>Sheet1!AB177-DC177</f>
        <v>0.2400000000014515</v>
      </c>
      <c r="DE177" s="712">
        <f t="shared" si="688"/>
        <v>7.8277886497537981E-3</v>
      </c>
      <c r="DF177" s="712">
        <f>(VLOOKUP(Sheet1!CY177,hhdcap_wcm,4)-(((VLOOKUP(Sheet1!CY177,hhdcap_wcm,3)-Sheet1!CY177)/(VLOOKUP(Sheet1!CY177,hhdcap_wcm,3)-VLOOKUP(Sheet1!CY177,hhdcap_wcm,1)))*(VLOOKUP(Sheet1!CY177,hhdcap_wcm,4)-VLOOKUP(Sheet1!CY177,hhdcap_wcm,2))))</f>
        <v>49778.400000117261</v>
      </c>
      <c r="DG177" s="712">
        <f t="shared" si="689"/>
        <v>180.16000000025815</v>
      </c>
      <c r="DH177" s="712">
        <f t="shared" si="690"/>
        <v>90.852244074764556</v>
      </c>
      <c r="DI177" s="712">
        <f>Sheet1!DW177*AFtoMG</f>
        <v>0</v>
      </c>
      <c r="DJ177" s="712">
        <f>Sheet1!DX177*AFtoMG</f>
        <v>0</v>
      </c>
      <c r="DK177" s="712">
        <f>Sheet1!DY177*AFtoMG</f>
        <v>0</v>
      </c>
      <c r="DL177" s="712">
        <f>Sheet1!DZ177*AFtoMG</f>
        <v>0</v>
      </c>
      <c r="DM177" s="712">
        <f t="shared" si="691"/>
        <v>0</v>
      </c>
      <c r="DN177" s="712">
        <f t="shared" si="692"/>
        <v>0</v>
      </c>
      <c r="DO177" s="712">
        <f t="shared" si="693"/>
        <v>6175.6956432214183</v>
      </c>
      <c r="DP177" s="712">
        <f t="shared" si="694"/>
        <v>18947.034233403312</v>
      </c>
      <c r="DQ177" s="712"/>
      <c r="DR177" s="697">
        <f>IF(OR(B177&lt;FL177,B177&gt;FM177),(MIN(AV177+BO177+CJ177+MAX(Sheet1!AA177+AG177-73,0),K177)),0)</f>
        <v>9.6348336594916475</v>
      </c>
      <c r="DS177" s="712"/>
      <c r="DT177" s="712">
        <f t="shared" si="695"/>
        <v>9.6348336594916475</v>
      </c>
      <c r="DU177" s="712"/>
      <c r="DV177" s="712">
        <f>Sheet1!ED177+Sheet1!EE177+Sheet1!EF177+Sheet1!EG177</f>
        <v>9.5</v>
      </c>
      <c r="DW177" s="712"/>
      <c r="DX177" s="697">
        <f t="shared" si="696"/>
        <v>0</v>
      </c>
      <c r="DY177" s="712">
        <f>IF(Sheet1!FN177=1,SUM('Calculations II'!AT177:BA177)+'Calculations II'!BC177+Sheet1!BU177+'Calculations II'!BE177+AF177,SUM('Calculations II'!AT177:BA177)+'Calculations II'!BC177+Sheet1!BU177+'Calculations II'!BE177+AF177)</f>
        <v>53.827248000000004</v>
      </c>
      <c r="DZ177" s="712">
        <f>Sheet1!AA177+Sheet1!AB177+'Calculations II'!BC177</f>
        <v>64.100000000013097</v>
      </c>
      <c r="EA177" s="712"/>
      <c r="EB177" s="712"/>
      <c r="EC177" s="712">
        <f t="shared" si="697"/>
        <v>40706</v>
      </c>
      <c r="ED177" s="712">
        <f t="shared" si="698"/>
        <v>55.005166340508353</v>
      </c>
      <c r="EE177" s="712">
        <f t="shared" si="699"/>
        <v>85.092992328766414</v>
      </c>
      <c r="EF177" s="712">
        <f>-(VLOOKUP(Sheet1!BQ177,Lookup!$B$4:$J$236,2)-VLOOKUP(Sheet1!BQ176,Lookup!$B$4:$J$236,2))/1000000</f>
        <v>0</v>
      </c>
      <c r="EG177" s="712">
        <f>-(VLOOKUP(Sheet1!BR177,Lookup!$B$4:$J$236,3)-VLOOKUP(Sheet1!BR176,Lookup!$B$4:$J$236,3))/1000000</f>
        <v>0</v>
      </c>
      <c r="EH177" s="712">
        <f>-(VLOOKUP(Sheet1!BS177,Lookup!$B$4:$J$236,4)-VLOOKUP(Sheet1!BS176,Lookup!$B$4:$J$236,4))/1000000</f>
        <v>0</v>
      </c>
      <c r="EI177" s="697">
        <f t="shared" si="700"/>
        <v>0</v>
      </c>
      <c r="EJ177" s="712"/>
      <c r="EK177" s="712"/>
      <c r="EL177" s="712"/>
      <c r="EM177" s="712"/>
      <c r="EN177" s="712"/>
      <c r="EO177" s="712"/>
      <c r="EP177" s="712"/>
      <c r="EQ177" s="712"/>
      <c r="ES177" s="712"/>
      <c r="ET177" s="794" t="e">
        <f t="shared" si="720"/>
        <v>#N/A</v>
      </c>
      <c r="EU177" s="697">
        <v>5000</v>
      </c>
      <c r="EV177" s="795">
        <f t="shared" si="640"/>
        <v>24611.365766713949</v>
      </c>
      <c r="EW177" s="796" t="s">
        <v>757</v>
      </c>
      <c r="EX177" s="796" t="s">
        <v>757</v>
      </c>
      <c r="EY177" s="794">
        <v>0</v>
      </c>
      <c r="EZ177" s="794" t="e">
        <v>#N/A</v>
      </c>
      <c r="FA177" s="712"/>
      <c r="FB177" s="712"/>
      <c r="FC177" s="712"/>
      <c r="FD177" s="712"/>
      <c r="FE177" s="712">
        <f>O177+Sheet1!CO177</f>
        <v>64.100000000013097</v>
      </c>
      <c r="FF177" s="712">
        <f>IF(Sheet1!AA177+AG177&lt;=Calculation!N177,AG177,Calculation!N177-Sheet1!AA177)</f>
        <v>21.265166340509808</v>
      </c>
      <c r="FG177" s="712">
        <f>(Sheet1!BP177+Sheet1!BO177)/694.4</f>
        <v>2.6529377880184333</v>
      </c>
      <c r="FH177" s="712"/>
      <c r="FI177" s="712"/>
      <c r="FJ177" s="712"/>
      <c r="FK177" s="712"/>
      <c r="FL177" s="714">
        <f t="shared" si="632"/>
        <v>40753</v>
      </c>
      <c r="FM177" s="714">
        <f t="shared" si="633"/>
        <v>40851</v>
      </c>
      <c r="FN177" s="712"/>
      <c r="FO177" s="712"/>
      <c r="FP177" s="712"/>
      <c r="FQ177" s="712"/>
      <c r="FR177" s="712"/>
      <c r="FS177" s="725">
        <f t="shared" si="634"/>
        <v>40603</v>
      </c>
      <c r="FT177" s="714">
        <f t="shared" si="635"/>
        <v>40709</v>
      </c>
      <c r="FU177" s="712">
        <f t="shared" si="636"/>
        <v>6518.9048239895692</v>
      </c>
      <c r="FV177" s="714">
        <f t="shared" si="637"/>
        <v>40722</v>
      </c>
      <c r="FW177" s="712">
        <f t="shared" si="638"/>
        <v>3259.4524119947846</v>
      </c>
      <c r="FX177" s="725">
        <f t="shared" si="639"/>
        <v>40851</v>
      </c>
      <c r="FZ177" s="697">
        <f t="shared" si="616"/>
        <v>39.502222222222223</v>
      </c>
      <c r="GA177" s="712" t="str">
        <f t="shared" si="701"/>
        <v>PP</v>
      </c>
      <c r="GB177" s="712">
        <f t="shared" si="702"/>
        <v>26.933333333333334</v>
      </c>
      <c r="GC177" s="712" t="str">
        <f t="shared" si="703"/>
        <v/>
      </c>
      <c r="GD177" s="712">
        <f>IF(GA177="P",Lookup!$M$12,IF(GA177="PP",Lookup!$M$13,IF(GA177="PPP",Lookup!$M$14,IF(GA177="T",Lookup!$M$15,IF(GA177="TP",Lookup!$M$16,IF(GA177="TPP",Lookup!$M$17,IF(GA177="TPPP",Lookup!$M$18,0)))))))*FZ177</f>
        <v>0</v>
      </c>
      <c r="GE177" s="712">
        <f t="shared" si="704"/>
        <v>0</v>
      </c>
      <c r="GF177" s="712">
        <f t="shared" si="705"/>
        <v>8333.3333333333321</v>
      </c>
      <c r="GG177" s="712">
        <f t="shared" si="706"/>
        <v>2716.2103433289872</v>
      </c>
      <c r="GH177" s="712"/>
      <c r="GI177" s="712">
        <f t="shared" si="707"/>
        <v>12.568888888888889</v>
      </c>
      <c r="GJ177" s="712" t="str">
        <f t="shared" si="708"/>
        <v/>
      </c>
      <c r="GK177" s="712">
        <f>IF(GA177="P",Lookup!$N$12,IF(GA177="PP",Lookup!$N$13,IF(GA177="PPP",Lookup!$N$14,IF(GA177="T",Lookup!$N$15,IF(GA177="TP",Lookup!$N$16,IF(GA177="TPP",Lookup!$N$17,IF(GA177="TPPP",Lookup!$N$18,0)))))))*FZ177</f>
        <v>19.751111111111111</v>
      </c>
      <c r="GL177" s="712">
        <f t="shared" si="709"/>
        <v>0</v>
      </c>
      <c r="GM177" s="712">
        <f t="shared" si="710"/>
        <v>3888.8888888888882</v>
      </c>
      <c r="GN177" s="712">
        <f t="shared" si="711"/>
        <v>1267.5648268868606</v>
      </c>
      <c r="GO177" s="712"/>
      <c r="GP177" s="712">
        <f t="shared" si="712"/>
        <v>0</v>
      </c>
      <c r="GQ177" s="712" t="str">
        <f t="shared" si="713"/>
        <v>P</v>
      </c>
      <c r="GR177" s="712">
        <f>IF(GA177="P",Lookup!$N$12,IF(GA177="PP",Lookup!$N$13,IF(GA177="PPP",Lookup!$N$14,IF(GA177="T",Lookup!$N$15,IF(GA177="TP",Lookup!$N$16,IF(GA177="TPP",Lookup!$N$17,IF(GA177="TPPP",Lookup!$N$18,0)))))))*FZ177</f>
        <v>19.751111111111111</v>
      </c>
      <c r="GS177" s="697">
        <f t="shared" si="628"/>
        <v>19.751111111111111</v>
      </c>
      <c r="GT177" s="712">
        <f t="shared" si="714"/>
        <v>3679.4088276565094</v>
      </c>
      <c r="GU177" s="712">
        <f t="shared" si="715"/>
        <v>1199.2857978019913</v>
      </c>
      <c r="GV177" s="712"/>
      <c r="GW177" s="712">
        <f t="shared" si="716"/>
        <v>0</v>
      </c>
      <c r="GX177" s="712" t="str">
        <f t="shared" si="717"/>
        <v>P</v>
      </c>
      <c r="GY177" s="712">
        <f>IF(GA177="P",Lookup!$N$12,IF(GA177="PP",Lookup!$N$13,IF(GA177="PPP",Lookup!$N$14,IF(GA177="T",Lookup!$N$15,IF(GA177="TP",Lookup!$N$16,IF(GA177="TPP",Lookup!$N$17,IF(GA177="TPPP",Lookup!$N$18,0)))))))*FZ177</f>
        <v>19.751111111111111</v>
      </c>
      <c r="GZ177" s="697">
        <f t="shared" si="629"/>
        <v>19.751111111111111</v>
      </c>
      <c r="HA177" s="712">
        <f t="shared" si="718"/>
        <v>2924.2103657468033</v>
      </c>
      <c r="HB177" s="712">
        <f t="shared" si="719"/>
        <v>953.13245298135701</v>
      </c>
      <c r="HC177" s="712"/>
    </row>
    <row r="178" spans="1:211">
      <c r="A178" s="773" t="s">
        <v>4</v>
      </c>
      <c r="B178" s="708">
        <v>40707</v>
      </c>
      <c r="C178" s="719">
        <v>0.5</v>
      </c>
      <c r="D178" s="675">
        <f t="shared" si="641"/>
        <v>300</v>
      </c>
      <c r="E178" s="675">
        <f t="shared" si="642"/>
        <v>250</v>
      </c>
      <c r="F178" s="675">
        <v>250</v>
      </c>
      <c r="G178" s="712">
        <f>DH178+Sheet1!CV178</f>
        <v>1523.6138426626314</v>
      </c>
      <c r="H178" s="712">
        <f t="shared" si="643"/>
        <v>717.90078789712493</v>
      </c>
      <c r="I178" s="711">
        <f>MAX(Sheet1!Z178-AJ178+(Sheet1!CW178-E178)*CFStoMGD,0)</f>
        <v>1057.1730908498839</v>
      </c>
      <c r="J178" s="720">
        <f>IF(AND(B178&gt;=Calculation!FS178,B178&lt;=Calculation!FT178),IF(Sheet1!CX178&gt;=Calculation!D178,64.64,0),MAX(Sheet1!Z178-AJ178+(Sheet1!CX178-D178)*CFStoMGD,0))</f>
        <v>64.64</v>
      </c>
      <c r="K178" s="697">
        <f t="shared" si="644"/>
        <v>64.64</v>
      </c>
      <c r="L178" s="712">
        <f>Sheet1!AA178+Sheet1!AB178-Sheet1!L178+(Sheet1!CW178-F178)*CFStoMGD</f>
        <v>1112.4719999999941</v>
      </c>
      <c r="M178" s="712">
        <f t="shared" si="645"/>
        <v>1004.5612676550675</v>
      </c>
      <c r="N178" s="712">
        <f>IF(Sheet1!CW178&gt;=F178,MIN(73,MIN(MAX(L178,0),MAX(M178,0))),0)</f>
        <v>73</v>
      </c>
      <c r="O178" s="721">
        <f>Sheet1!AA178+Sheet1!AB178</f>
        <v>64.899999999994179</v>
      </c>
      <c r="P178" s="721">
        <f t="shared" si="646"/>
        <v>100.40029999999099</v>
      </c>
      <c r="Q178" s="712">
        <f>MIN(N178,Sheet1!AA178+AG178)</f>
        <v>54.948909150107241</v>
      </c>
      <c r="R178" s="712">
        <f t="shared" si="647"/>
        <v>9.9510908498869401</v>
      </c>
      <c r="S178" s="721">
        <f>Sheet1!Y178*MGDtoCFS</f>
        <v>51.453219999999995</v>
      </c>
      <c r="T178" s="721">
        <f>Sheet1!Z178*MGDtoCFS</f>
        <v>48.653149999999997</v>
      </c>
      <c r="U178" s="721">
        <f>Sheet1!AA178*MGDtoCFS</f>
        <v>51.205699999986493</v>
      </c>
      <c r="V178" s="721">
        <f>Sheet1!AB178*MGDtoCFS</f>
        <v>49.194600000004499</v>
      </c>
      <c r="W178" s="721">
        <f>Sheet1!L178*MGDtoCFS</f>
        <v>0</v>
      </c>
      <c r="X178" s="697">
        <f t="shared" si="648"/>
        <v>0</v>
      </c>
      <c r="Y178" s="712">
        <f t="shared" si="649"/>
        <v>0</v>
      </c>
      <c r="Z178" s="712">
        <f t="shared" si="650"/>
        <v>54.688909150113062</v>
      </c>
      <c r="AA178" s="712">
        <f t="shared" si="651"/>
        <v>84.603742455224904</v>
      </c>
      <c r="AB178" s="712">
        <f>(VLOOKUP(Sheet1!CY178,hhdcap_wcm,4)-(((VLOOKUP(Sheet1!CY178,hhdcap_wcm,3)-Sheet1!CY178)/(VLOOKUP(Sheet1!CY178,hhdcap_wcm,3)-VLOOKUP(Sheet1!CY178,hhdcap_wcm,1)))*(VLOOKUP(Sheet1!CY178,hhdcap_wcm,4)-VLOOKUP(Sheet1!CY178,hhdcap_wcm,2))))</f>
        <v>49969.820000117259</v>
      </c>
      <c r="AC178" s="712">
        <f t="shared" si="652"/>
        <v>191.41999999999825</v>
      </c>
      <c r="AD178" s="712">
        <f t="shared" si="653"/>
        <v>6230.3845523715308</v>
      </c>
      <c r="AE178" s="712">
        <f t="shared" si="654"/>
        <v>19114.819806675856</v>
      </c>
      <c r="AF178" s="712">
        <f>Sheet1!BA178+Sheet1!BB178+Sheet1!BN178+BT178</f>
        <v>21.1</v>
      </c>
      <c r="AG178" s="712">
        <f t="shared" si="655"/>
        <v>21.848909150115968</v>
      </c>
      <c r="AH178" s="712">
        <f>Sheet1!BA178+BT178</f>
        <v>0</v>
      </c>
      <c r="AI178" s="712">
        <f>Sheet1!BA178+Sheet1!BB178+BT178</f>
        <v>0</v>
      </c>
      <c r="AJ178" s="712">
        <f>IF((Sheet1!AA178+AG178+AX178+AZ178+BQ178+BS178+CL178+CN178)&lt;=N178,AG178+AX178+AZ178+BQ178+BS178+CL178+CN178,N178-Sheet1!AA178)</f>
        <v>21.848909150115968</v>
      </c>
      <c r="AK178" s="712">
        <f>IF(DR178&lt;K178,0,MAX(Sheet1!AA178+AG178-15/36*K178-N178,Sheet1!ED178,0))</f>
        <v>0</v>
      </c>
      <c r="AL178" s="712">
        <f>IF(OR(B178&gt;=FT178,B178&lt;FS178),0,15/36*K178-MAX(0,64.6-(137.6-(Sheet1!AA178+Sheet1!AB178))))</f>
        <v>26.933333333333334</v>
      </c>
      <c r="AM178" s="712">
        <f>Sheet1!CX178-110</f>
        <v>1212.2916666666667</v>
      </c>
      <c r="AN178" s="712">
        <f>Sheet1!CW178-265</f>
        <v>1605.625</v>
      </c>
      <c r="AO178" s="712">
        <f t="shared" si="622"/>
        <v>18.051090849892759</v>
      </c>
      <c r="AP178" s="712">
        <f t="shared" si="656"/>
        <v>0</v>
      </c>
      <c r="AQ178" s="712">
        <f t="shared" si="657"/>
        <v>0</v>
      </c>
      <c r="AR178" s="712">
        <f t="shared" si="658"/>
        <v>2716.2103433289872</v>
      </c>
      <c r="AS178" s="712"/>
      <c r="AT178" s="712">
        <f ca="1">IF(B178&gt;Summary!$A$1,#N/A,AR178*MGtoAF)</f>
        <v>8333.3333333333321</v>
      </c>
      <c r="AU178" s="712">
        <f>Sheet1!BG178+Sheet1!BH178+Sheet1!BI178-BC178</f>
        <v>0</v>
      </c>
      <c r="AV178" s="712">
        <f t="shared" si="659"/>
        <v>0</v>
      </c>
      <c r="AW178" s="712">
        <f>IF(Sheet1!EL178="FM",BC178,0)</f>
        <v>0</v>
      </c>
      <c r="AX178" s="712">
        <f t="shared" si="660"/>
        <v>0</v>
      </c>
      <c r="AY178" s="712">
        <f>IF(Sheet1!EL178="OTHER",BC178,0)</f>
        <v>0</v>
      </c>
      <c r="AZ178" s="712">
        <f t="shared" si="661"/>
        <v>0</v>
      </c>
      <c r="BA178" s="712">
        <f t="shared" si="662"/>
        <v>0</v>
      </c>
      <c r="BB178" s="712">
        <f t="shared" si="663"/>
        <v>0</v>
      </c>
      <c r="BC178" s="712">
        <f>IF(OR(Sheet1!EL178="FM", Sheet1!EL178="OTHER"),SUM(Sheet1!BG178:'Sheet1'!BI178),0)</f>
        <v>0</v>
      </c>
      <c r="BD178" s="697">
        <f>IF(AND($B178&gt;=$FL178,$B178&lt;=$FM178),MAX(AV178,Sheet1!EE178,0),MAX(AV178-(7/36)*$K178,0))</f>
        <v>0</v>
      </c>
      <c r="BE178" s="712">
        <f t="shared" si="664"/>
        <v>12.568888888888889</v>
      </c>
      <c r="BF178" s="697">
        <f t="shared" si="665"/>
        <v>0</v>
      </c>
      <c r="BG178" s="697">
        <f>IF(AND($O178&gt;0,Sheet1!EI178=1),(1-($O178-Sheet1!$L178)/$O178)*BB178,0)</f>
        <v>0</v>
      </c>
      <c r="BH178" s="697">
        <f>IF(AND(Sheet1!$L178=0,Sheet1!$L177=0, Calculation!BA178&lt;Sheet1!$EE178-0.1,Sheet1!$EE178=Sheet1!$EE177,Sheet1!$EE178=Sheet1!$EE179),Sheet1!$EE178,BB178-BG178)</f>
        <v>0</v>
      </c>
      <c r="BI178" s="712"/>
      <c r="BJ178" s="712"/>
      <c r="BK178" s="712">
        <f t="shared" si="666"/>
        <v>1267.5648268868606</v>
      </c>
      <c r="BL178" s="712"/>
      <c r="BM178" s="712">
        <f ca="1">IF(B178&gt;Summary!$A$1,#N/A,BK178*MGtoAF)</f>
        <v>3888.8888888888882</v>
      </c>
      <c r="BN178" s="712">
        <f>Sheet1!BC178+Sheet1!BD178+Sheet1!BE178+Sheet1!BF178-BW178-BX178</f>
        <v>2.58</v>
      </c>
      <c r="BO178" s="712">
        <f t="shared" si="667"/>
        <v>2.6715727775971185</v>
      </c>
      <c r="BP178" s="712">
        <f>IF(Sheet1!EM178="FM",BX178,0)</f>
        <v>0</v>
      </c>
      <c r="BQ178" s="712">
        <f t="shared" si="668"/>
        <v>0</v>
      </c>
      <c r="BR178" s="712">
        <f>IF(Sheet1!EM178="OTHER",BX178,0)</f>
        <v>0</v>
      </c>
      <c r="BS178" s="712">
        <f t="shared" si="669"/>
        <v>0</v>
      </c>
      <c r="BT178" s="712">
        <f t="shared" si="670"/>
        <v>0</v>
      </c>
      <c r="BU178" s="712">
        <f t="shared" si="671"/>
        <v>2.58</v>
      </c>
      <c r="BV178" s="712">
        <f t="shared" si="672"/>
        <v>2.6715727775971185</v>
      </c>
      <c r="BW178" s="712">
        <f>IF(Sheet1!EM178="CWA",SUM(Sheet1!BC178:'Sheet1'!BF178),0)</f>
        <v>0</v>
      </c>
      <c r="BX178" s="712">
        <f>IF(OR(Sheet1!EM178="FM", Sheet1!EM178="OTHER"),SUM(Sheet1!BC178:'Sheet1'!BF178),0)</f>
        <v>0</v>
      </c>
      <c r="BY178" s="697">
        <f>IF(AND($B178&gt;=$FL178,$B178&lt;=$FM178),MAX(BV178,Sheet1!EF178,0),MAX(BV178-(7/36)*$K178,0))</f>
        <v>0</v>
      </c>
      <c r="BZ178" s="712">
        <f t="shared" si="673"/>
        <v>9.8973161112917705</v>
      </c>
      <c r="CA178" s="697">
        <f t="shared" si="674"/>
        <v>2.6715727775971185</v>
      </c>
      <c r="CB178" s="697">
        <f>IF(AND($O178&gt;0,Sheet1!EJ178=1),(1-($O178-Sheet1!$L178)/$O178)*BV178,0)</f>
        <v>0</v>
      </c>
      <c r="CC178" s="697">
        <f>IF(AND(Sheet1!$L178=0,Sheet1!$L177=0, Calculation!BU178&lt;Sheet1!EF178-0.1,Sheet1!EF178=Sheet1!EF177,Sheet1!EF178=Sheet1!EF179),Sheet1!EF178,BV178-CB178)</f>
        <v>2.6715727775971185</v>
      </c>
      <c r="CD178" s="697"/>
      <c r="CE178" s="712"/>
      <c r="CF178" s="712">
        <f t="shared" si="675"/>
        <v>1248.6853361355054</v>
      </c>
      <c r="CG178" s="712"/>
      <c r="CH178" s="712">
        <f ca="1">IF(B178&gt;Summary!$A$1,#N/A,CF178*MGtoAF)</f>
        <v>3830.9666112637306</v>
      </c>
      <c r="CI178" s="712">
        <f>Sheet1!BK178+Sheet1!BL178+Sheet1!BM178-Sheet1!EN178-CQ178</f>
        <v>7.0299999999999994</v>
      </c>
      <c r="CJ178" s="712">
        <f t="shared" si="676"/>
        <v>7.2795180722898216</v>
      </c>
      <c r="CK178" s="712">
        <f>IF(Sheet1!EN178="FM",CQ178,0)</f>
        <v>0</v>
      </c>
      <c r="CL178" s="712">
        <f t="shared" si="677"/>
        <v>0</v>
      </c>
      <c r="CM178" s="712">
        <f>IF(Sheet1!EN178="OTHER",CQ178,0)</f>
        <v>0</v>
      </c>
      <c r="CN178" s="712">
        <f t="shared" si="678"/>
        <v>0</v>
      </c>
      <c r="CO178" s="712">
        <f t="shared" si="679"/>
        <v>7.0299999999999994</v>
      </c>
      <c r="CP178" s="712">
        <f t="shared" si="680"/>
        <v>7.2795180722898216</v>
      </c>
      <c r="CQ178" s="712">
        <f>IF(OR(Sheet1!EN178="FM", Sheet1!EN178="OTHER"),SUM(Sheet1!BK178:'Sheet1'!BM178),0)</f>
        <v>0</v>
      </c>
      <c r="CR178" s="697">
        <f>IF(AND($B178&gt;=$FL178,$B178&lt;=$FM178),MAX($CJ178,Sheet1!EG178,0),MAX($CJ178-(7/36)*$K178,0))</f>
        <v>0</v>
      </c>
      <c r="CS178" s="712">
        <f t="shared" si="681"/>
        <v>5.2893708165990674</v>
      </c>
      <c r="CT178" s="697">
        <f t="shared" si="682"/>
        <v>7.2795180722898216</v>
      </c>
      <c r="CU178" s="697">
        <f>IF(AND($O178&gt;0,Sheet1!EK178=1),(1-($O178-Sheet1!$L178)/$O178)*CP178,0)</f>
        <v>0</v>
      </c>
      <c r="CV178" s="697">
        <f>IF(AND(Sheet1!$L178=0,Sheet1!$L177=0, Calculation!CO178&lt;Sheet1!$EG178-0.1,Sheet1!$EG178=Sheet1!$EG177,Sheet1!$EG178=Sheet1!$EG179),Sheet1!$EG178,CP178-CU178)</f>
        <v>7.2795180722898216</v>
      </c>
      <c r="CW178" s="697">
        <f t="shared" si="613"/>
        <v>0</v>
      </c>
      <c r="CX178" s="712">
        <f t="shared" si="683"/>
        <v>9.61</v>
      </c>
      <c r="CY178" s="712">
        <f t="shared" si="684"/>
        <v>997.92404602017825</v>
      </c>
      <c r="CZ178" s="712">
        <f t="shared" si="685"/>
        <v>9.9510908498869401</v>
      </c>
      <c r="DA178" s="712">
        <f ca="1">IF(B178&gt;Summary!$A$1,#N/A,CY178*MGtoAF)</f>
        <v>3061.6309731899069</v>
      </c>
      <c r="DB178" s="712">
        <f t="shared" si="686"/>
        <v>9.61</v>
      </c>
      <c r="DC178" s="712">
        <f t="shared" si="687"/>
        <v>30.71</v>
      </c>
      <c r="DD178" s="712">
        <f>Sheet1!AB178-DC178</f>
        <v>1.0900000000029095</v>
      </c>
      <c r="DE178" s="712">
        <f t="shared" si="688"/>
        <v>3.5493324650045899E-2</v>
      </c>
      <c r="DF178" s="712">
        <f>(VLOOKUP(Sheet1!CY178,hhdcap_wcm,4)-(((VLOOKUP(Sheet1!CY178,hhdcap_wcm,3)-Sheet1!CY178)/(VLOOKUP(Sheet1!CY178,hhdcap_wcm,3)-VLOOKUP(Sheet1!CY178,hhdcap_wcm,1)))*(VLOOKUP(Sheet1!CY178,hhdcap_wcm,4)-VLOOKUP(Sheet1!CY178,hhdcap_wcm,2))))</f>
        <v>49969.820000117259</v>
      </c>
      <c r="DG178" s="712">
        <f t="shared" si="689"/>
        <v>191.41999999999825</v>
      </c>
      <c r="DH178" s="712">
        <f t="shared" si="690"/>
        <v>96.530509329298141</v>
      </c>
      <c r="DI178" s="712">
        <f>Sheet1!DW178*AFtoMG</f>
        <v>0</v>
      </c>
      <c r="DJ178" s="712">
        <f>Sheet1!DX178*AFtoMG</f>
        <v>0</v>
      </c>
      <c r="DK178" s="712">
        <f>Sheet1!DY178*AFtoMG</f>
        <v>0</v>
      </c>
      <c r="DL178" s="712">
        <f>Sheet1!DZ178*AFtoMG</f>
        <v>0</v>
      </c>
      <c r="DM178" s="712">
        <f t="shared" si="691"/>
        <v>0</v>
      </c>
      <c r="DN178" s="712">
        <f t="shared" si="692"/>
        <v>0</v>
      </c>
      <c r="DO178" s="712">
        <f t="shared" si="693"/>
        <v>6230.3845523715308</v>
      </c>
      <c r="DP178" s="712">
        <f t="shared" si="694"/>
        <v>19114.819806675856</v>
      </c>
      <c r="DQ178" s="712"/>
      <c r="DR178" s="697">
        <f>IF(OR(B178&lt;FL178,B178&gt;FM178),(MIN(AV178+BO178+CJ178+MAX(Sheet1!AA178+AG178-73,0),K178)),0)</f>
        <v>9.9510908498869401</v>
      </c>
      <c r="DS178" s="712"/>
      <c r="DT178" s="712">
        <f t="shared" si="695"/>
        <v>9.9510908498869401</v>
      </c>
      <c r="DU178" s="712"/>
      <c r="DV178" s="712">
        <f>Sheet1!ED178+Sheet1!EE178+Sheet1!EF178+Sheet1!EG178</f>
        <v>9.5</v>
      </c>
      <c r="DW178" s="712"/>
      <c r="DX178" s="697">
        <f t="shared" si="696"/>
        <v>0</v>
      </c>
      <c r="DY178" s="712">
        <f>IF(Sheet1!FN178=1,SUM('Calculations II'!AT178:BA178)+'Calculations II'!BC178+Sheet1!BU178+'Calculations II'!BE178+AF178,SUM('Calculations II'!AT178:BA178)+'Calculations II'!BC178+Sheet1!BU178+'Calculations II'!BE178+AF178)</f>
        <v>52.466943999999998</v>
      </c>
      <c r="DZ178" s="712">
        <f>Sheet1!AA178+Sheet1!AB178+'Calculations II'!BC178</f>
        <v>64.899999999994179</v>
      </c>
      <c r="EA178" s="712"/>
      <c r="EB178" s="712"/>
      <c r="EC178" s="712">
        <f t="shared" si="697"/>
        <v>40707</v>
      </c>
      <c r="ED178" s="712">
        <f t="shared" si="698"/>
        <v>54.688909150113062</v>
      </c>
      <c r="EE178" s="712">
        <f t="shared" si="699"/>
        <v>84.603742455224904</v>
      </c>
      <c r="EF178" s="712">
        <f>-(VLOOKUP(Sheet1!BQ178,Lookup!$B$4:$J$236,2)-VLOOKUP(Sheet1!BQ177,Lookup!$B$4:$J$236,2))/1000000</f>
        <v>0</v>
      </c>
      <c r="EG178" s="712">
        <f>-(VLOOKUP(Sheet1!BR178,Lookup!$B$4:$J$236,3)-VLOOKUP(Sheet1!BR177,Lookup!$B$4:$J$236,3))/1000000</f>
        <v>0</v>
      </c>
      <c r="EH178" s="712">
        <f>-(VLOOKUP(Sheet1!BS178,Lookup!$B$4:$J$236,4)-VLOOKUP(Sheet1!BS177,Lookup!$B$4:$J$236,4))/1000000</f>
        <v>0</v>
      </c>
      <c r="EI178" s="697">
        <f t="shared" si="700"/>
        <v>0</v>
      </c>
      <c r="EJ178" s="712"/>
      <c r="EK178" s="712"/>
      <c r="EL178" s="712"/>
      <c r="EM178" s="712"/>
      <c r="EN178" s="712"/>
      <c r="EO178" s="712"/>
      <c r="EP178" s="712"/>
      <c r="EQ178" s="712"/>
      <c r="ES178" s="712"/>
      <c r="ET178" s="794" t="e">
        <f t="shared" si="720"/>
        <v>#N/A</v>
      </c>
      <c r="EU178" s="697">
        <v>5000</v>
      </c>
      <c r="EV178" s="795">
        <f t="shared" si="640"/>
        <v>24635.000193441403</v>
      </c>
      <c r="EW178" s="796" t="s">
        <v>757</v>
      </c>
      <c r="EX178" s="796" t="s">
        <v>757</v>
      </c>
      <c r="EY178" s="794">
        <v>0</v>
      </c>
      <c r="EZ178" s="794" t="e">
        <v>#N/A</v>
      </c>
      <c r="FA178" s="712"/>
      <c r="FB178" s="712"/>
      <c r="FC178" s="712"/>
      <c r="FD178" s="712"/>
      <c r="FE178" s="712">
        <f>O178+Sheet1!CO178</f>
        <v>64.899999999994179</v>
      </c>
      <c r="FF178" s="712">
        <f>IF(Sheet1!AA178+AG178&lt;=Calculation!N178,AG178,Calculation!N178-Sheet1!AA178)</f>
        <v>21.848909150115968</v>
      </c>
      <c r="FG178" s="712">
        <f>(Sheet1!BP178+Sheet1!BO178)/694.4</f>
        <v>2.3531105990783412</v>
      </c>
      <c r="FH178" s="712"/>
      <c r="FI178" s="712"/>
      <c r="FJ178" s="712"/>
      <c r="FK178" s="712"/>
      <c r="FL178" s="714">
        <f t="shared" si="632"/>
        <v>40753</v>
      </c>
      <c r="FM178" s="714">
        <f t="shared" si="633"/>
        <v>40851</v>
      </c>
      <c r="FN178" s="712"/>
      <c r="FO178" s="712"/>
      <c r="FP178" s="712"/>
      <c r="FQ178" s="712"/>
      <c r="FR178" s="712"/>
      <c r="FS178" s="725">
        <f t="shared" si="634"/>
        <v>40603</v>
      </c>
      <c r="FT178" s="714">
        <f t="shared" si="635"/>
        <v>40709</v>
      </c>
      <c r="FU178" s="712">
        <f t="shared" si="636"/>
        <v>6518.9048239895692</v>
      </c>
      <c r="FV178" s="714">
        <f t="shared" si="637"/>
        <v>40722</v>
      </c>
      <c r="FW178" s="712">
        <f t="shared" si="638"/>
        <v>3259.4524119947846</v>
      </c>
      <c r="FX178" s="725">
        <f t="shared" si="639"/>
        <v>40851</v>
      </c>
      <c r="FZ178" s="697">
        <f t="shared" si="616"/>
        <v>39.502222222222223</v>
      </c>
      <c r="GA178" s="712" t="str">
        <f t="shared" si="701"/>
        <v>PP</v>
      </c>
      <c r="GB178" s="712">
        <f t="shared" si="702"/>
        <v>26.933333333333334</v>
      </c>
      <c r="GC178" s="712" t="str">
        <f t="shared" si="703"/>
        <v/>
      </c>
      <c r="GD178" s="712">
        <f>IF(GA178="P",Lookup!$M$12,IF(GA178="PP",Lookup!$M$13,IF(GA178="PPP",Lookup!$M$14,IF(GA178="T",Lookup!$M$15,IF(GA178="TP",Lookup!$M$16,IF(GA178="TPP",Lookup!$M$17,IF(GA178="TPPP",Lookup!$M$18,0)))))))*FZ178</f>
        <v>0</v>
      </c>
      <c r="GE178" s="712">
        <f t="shared" si="704"/>
        <v>0</v>
      </c>
      <c r="GF178" s="712">
        <f t="shared" si="705"/>
        <v>8333.3333333333321</v>
      </c>
      <c r="GG178" s="712">
        <f t="shared" si="706"/>
        <v>2716.2103433289872</v>
      </c>
      <c r="GH178" s="712"/>
      <c r="GI178" s="712">
        <f t="shared" si="707"/>
        <v>12.568888888888889</v>
      </c>
      <c r="GJ178" s="712" t="str">
        <f t="shared" si="708"/>
        <v/>
      </c>
      <c r="GK178" s="712">
        <f>IF(GA178="P",Lookup!$N$12,IF(GA178="PP",Lookup!$N$13,IF(GA178="PPP",Lookup!$N$14,IF(GA178="T",Lookup!$N$15,IF(GA178="TP",Lookup!$N$16,IF(GA178="TPP",Lookup!$N$17,IF(GA178="TPPP",Lookup!$N$18,0)))))))*FZ178</f>
        <v>19.751111111111111</v>
      </c>
      <c r="GL178" s="712">
        <f t="shared" si="709"/>
        <v>0</v>
      </c>
      <c r="GM178" s="712">
        <f t="shared" si="710"/>
        <v>3888.8888888888882</v>
      </c>
      <c r="GN178" s="712">
        <f t="shared" si="711"/>
        <v>1267.5648268868606</v>
      </c>
      <c r="GO178" s="712"/>
      <c r="GP178" s="712">
        <f t="shared" si="712"/>
        <v>0</v>
      </c>
      <c r="GQ178" s="712" t="str">
        <f t="shared" si="713"/>
        <v>P</v>
      </c>
      <c r="GR178" s="712">
        <f>IF(GA178="P",Lookup!$N$12,IF(GA178="PP",Lookup!$N$13,IF(GA178="PPP",Lookup!$N$14,IF(GA178="T",Lookup!$N$15,IF(GA178="TP",Lookup!$N$16,IF(GA178="TPP",Lookup!$N$17,IF(GA178="TPPP",Lookup!$N$18,0)))))))*FZ178</f>
        <v>19.751111111111111</v>
      </c>
      <c r="GS178" s="697">
        <f t="shared" si="628"/>
        <v>19.751111111111111</v>
      </c>
      <c r="GT178" s="712">
        <f t="shared" si="714"/>
        <v>3770.3702023748415</v>
      </c>
      <c r="GU178" s="712">
        <f t="shared" si="715"/>
        <v>1228.9342250243942</v>
      </c>
      <c r="GV178" s="712"/>
      <c r="GW178" s="712">
        <f t="shared" si="716"/>
        <v>0</v>
      </c>
      <c r="GX178" s="712" t="str">
        <f t="shared" si="717"/>
        <v>P</v>
      </c>
      <c r="GY178" s="712">
        <f>IF(GA178="P",Lookup!$N$12,IF(GA178="PP",Lookup!$N$13,IF(GA178="PPP",Lookup!$N$14,IF(GA178="T",Lookup!$N$15,IF(GA178="TP",Lookup!$N$16,IF(GA178="TPP",Lookup!$N$17,IF(GA178="TPPP",Lookup!$N$18,0)))))))*FZ178</f>
        <v>19.751111111111111</v>
      </c>
      <c r="GZ178" s="697">
        <f t="shared" si="629"/>
        <v>19.751111111111111</v>
      </c>
      <c r="HA178" s="712">
        <f t="shared" si="718"/>
        <v>3001.0345643010182</v>
      </c>
      <c r="HB178" s="712">
        <f t="shared" si="719"/>
        <v>978.17293490906718</v>
      </c>
      <c r="HC178" s="712"/>
    </row>
    <row r="179" spans="1:211">
      <c r="A179" s="773" t="s">
        <v>5</v>
      </c>
      <c r="B179" s="708">
        <v>40708</v>
      </c>
      <c r="C179" s="709">
        <v>0.5</v>
      </c>
      <c r="D179" s="675">
        <f t="shared" si="641"/>
        <v>300</v>
      </c>
      <c r="E179" s="675">
        <f t="shared" si="642"/>
        <v>250</v>
      </c>
      <c r="F179" s="675">
        <v>250</v>
      </c>
      <c r="G179" s="712">
        <f>DH179+Sheet1!CV179</f>
        <v>1470.551563288077</v>
      </c>
      <c r="H179" s="712">
        <f t="shared" si="643"/>
        <v>683.60133050941295</v>
      </c>
      <c r="I179" s="711">
        <f>MAX(Sheet1!Z179-AJ179+(Sheet1!CW179-E179)*CFStoMGD,0)</f>
        <v>997.57087410306576</v>
      </c>
      <c r="J179" s="720">
        <f>IF(AND(B179&gt;=Calculation!FS179,B179&lt;=Calculation!FT179),IF(Sheet1!CX179&gt;=Calculation!D179,64.64,0),MAX(Sheet1!Z179-AJ179+(Sheet1!CX179-D179)*CFStoMGD,0))</f>
        <v>64.64</v>
      </c>
      <c r="K179" s="697">
        <f t="shared" si="644"/>
        <v>64.64</v>
      </c>
      <c r="L179" s="712">
        <f>Sheet1!AA179+Sheet1!AB179-Sheet1!L179+(Sheet1!CW179-F179)*CFStoMGD</f>
        <v>1050.2966666666689</v>
      </c>
      <c r="M179" s="712">
        <f t="shared" si="645"/>
        <v>969.5758211196013</v>
      </c>
      <c r="N179" s="712">
        <f>IF(Sheet1!CW179&gt;=F179,MIN(73,MIN(MAX(L179,0),MAX(M179,0))),0)</f>
        <v>73</v>
      </c>
      <c r="O179" s="721">
        <f>Sheet1!AA179+Sheet1!AB179</f>
        <v>63.190000000002328</v>
      </c>
      <c r="P179" s="721">
        <f t="shared" si="646"/>
        <v>97.754930000003597</v>
      </c>
      <c r="Q179" s="712">
        <f>MIN(N179,Sheet1!AA179+AG179)</f>
        <v>53.835792563603114</v>
      </c>
      <c r="R179" s="712">
        <f t="shared" si="647"/>
        <v>9.354207436399216</v>
      </c>
      <c r="S179" s="721">
        <f>Sheet1!Y179*MGDtoCFS</f>
        <v>51.453219999999995</v>
      </c>
      <c r="T179" s="721">
        <f>Sheet1!Z179*MGDtoCFS</f>
        <v>48.12717</v>
      </c>
      <c r="U179" s="721">
        <f>Sheet1!AA179*MGDtoCFS</f>
        <v>51.3449300000036</v>
      </c>
      <c r="V179" s="721">
        <f>Sheet1!AB179*MGDtoCFS</f>
        <v>46.41</v>
      </c>
      <c r="W179" s="721">
        <f>Sheet1!L179*MGDtoCFS</f>
        <v>0</v>
      </c>
      <c r="X179" s="697">
        <f t="shared" si="648"/>
        <v>0</v>
      </c>
      <c r="Y179" s="712">
        <f t="shared" si="649"/>
        <v>0</v>
      </c>
      <c r="Z179" s="712">
        <f t="shared" si="650"/>
        <v>55.285792563600786</v>
      </c>
      <c r="AA179" s="712">
        <f t="shared" si="651"/>
        <v>85.527121095890408</v>
      </c>
      <c r="AB179" s="712">
        <f>(VLOOKUP(Sheet1!CY179,hhdcap_wcm,4)-(((VLOOKUP(Sheet1!CY179,hhdcap_wcm,3)-Sheet1!CY179)/(VLOOKUP(Sheet1!CY179,hhdcap_wcm,3)-VLOOKUP(Sheet1!CY179,hhdcap_wcm,1)))*(VLOOKUP(Sheet1!CY179,hhdcap_wcm,4)-VLOOKUP(Sheet1!CY179,hhdcap_wcm,2))))</f>
        <v>50262.580000117516</v>
      </c>
      <c r="AC179" s="712">
        <f t="shared" si="652"/>
        <v>292.7600000002567</v>
      </c>
      <c r="AD179" s="712">
        <f t="shared" si="653"/>
        <v>6274.6955891111447</v>
      </c>
      <c r="AE179" s="712">
        <f t="shared" si="654"/>
        <v>19250.766067392993</v>
      </c>
      <c r="AF179" s="712">
        <f>Sheet1!BA179+Sheet1!BB179+Sheet1!BN179+BT179</f>
        <v>21.1</v>
      </c>
      <c r="AG179" s="712">
        <f t="shared" si="655"/>
        <v>20.645792563600786</v>
      </c>
      <c r="AH179" s="712">
        <f>Sheet1!BA179+BT179</f>
        <v>0</v>
      </c>
      <c r="AI179" s="712">
        <f>Sheet1!BA179+Sheet1!BB179+BT179</f>
        <v>0</v>
      </c>
      <c r="AJ179" s="712">
        <f>IF((Sheet1!AA179+AG179+AX179+AZ179+BQ179+BS179+CL179+CN179)&lt;=N179,AG179+AX179+AZ179+BQ179+BS179+CL179+CN179,N179-Sheet1!AA179)</f>
        <v>20.645792563600786</v>
      </c>
      <c r="AK179" s="712">
        <f>IF(DR179&lt;K179,0,MAX(Sheet1!AA179+AG179-15/36*K179-N179,Sheet1!ED179,0))</f>
        <v>0</v>
      </c>
      <c r="AL179" s="712">
        <f>IF(OR(B179&gt;=FT179,B179&lt;FS179),0,15/36*K179-MAX(0,64.6-(137.6-(Sheet1!AA179+Sheet1!AB179))))</f>
        <v>26.933333333333334</v>
      </c>
      <c r="AM179" s="712">
        <f>Sheet1!CX179-110</f>
        <v>1098.125</v>
      </c>
      <c r="AN179" s="712">
        <f>Sheet1!CW179-265</f>
        <v>1512.0833333333333</v>
      </c>
      <c r="AO179" s="712">
        <f t="shared" si="622"/>
        <v>19.164207436396886</v>
      </c>
      <c r="AP179" s="712">
        <f t="shared" si="656"/>
        <v>0</v>
      </c>
      <c r="AQ179" s="712">
        <f t="shared" si="657"/>
        <v>0</v>
      </c>
      <c r="AR179" s="712">
        <f t="shared" si="658"/>
        <v>2716.2103433289872</v>
      </c>
      <c r="AS179" s="712"/>
      <c r="AT179" s="712">
        <f ca="1">IF(B179&gt;Summary!$A$1,#N/A,AR179*MGtoAF)</f>
        <v>8333.3333333333321</v>
      </c>
      <c r="AU179" s="712">
        <f>Sheet1!BG179+Sheet1!BH179+Sheet1!BI179-BC179</f>
        <v>0</v>
      </c>
      <c r="AV179" s="712">
        <f t="shared" si="659"/>
        <v>0</v>
      </c>
      <c r="AW179" s="712">
        <f>IF(Sheet1!EL179="FM",BC179,0)</f>
        <v>0</v>
      </c>
      <c r="AX179" s="712">
        <f t="shared" si="660"/>
        <v>0</v>
      </c>
      <c r="AY179" s="712">
        <f>IF(Sheet1!EL179="OTHER",BC179,0)</f>
        <v>0</v>
      </c>
      <c r="AZ179" s="712">
        <f t="shared" si="661"/>
        <v>0</v>
      </c>
      <c r="BA179" s="712">
        <f t="shared" si="662"/>
        <v>0</v>
      </c>
      <c r="BB179" s="712">
        <f t="shared" si="663"/>
        <v>0</v>
      </c>
      <c r="BC179" s="712">
        <f>IF(OR(Sheet1!EL179="FM", Sheet1!EL179="OTHER"),SUM(Sheet1!BG179:'Sheet1'!BI179),0)</f>
        <v>0</v>
      </c>
      <c r="BD179" s="697">
        <f>IF(AND($B179&gt;=$FL179,$B179&lt;=$FM179),MAX(AV179,Sheet1!EE179,0),MAX(AV179-(7/36)*$K179,0))</f>
        <v>0</v>
      </c>
      <c r="BE179" s="712">
        <f t="shared" si="664"/>
        <v>12.568888888888889</v>
      </c>
      <c r="BF179" s="697">
        <f t="shared" si="665"/>
        <v>0</v>
      </c>
      <c r="BG179" s="697">
        <f>IF(AND($O179&gt;0,Sheet1!EI179=1),(1-($O179-Sheet1!$L179)/$O179)*BB179,0)</f>
        <v>0</v>
      </c>
      <c r="BH179" s="697">
        <f>IF(AND(Sheet1!$L179=0,Sheet1!$L178=0, Calculation!BA179&lt;Sheet1!$EE179-0.1,Sheet1!$EE179=Sheet1!$EE178,Sheet1!$EE179=Sheet1!$EE180),Sheet1!$EE179,BB179-BG179)</f>
        <v>0</v>
      </c>
      <c r="BI179" s="712"/>
      <c r="BJ179" s="712"/>
      <c r="BK179" s="712">
        <f t="shared" si="666"/>
        <v>1267.5648268868606</v>
      </c>
      <c r="BL179" s="712"/>
      <c r="BM179" s="712">
        <f ca="1">IF(B179&gt;Summary!$A$1,#N/A,BK179*MGtoAF)</f>
        <v>3888.8888888888882</v>
      </c>
      <c r="BN179" s="712">
        <f>Sheet1!BC179+Sheet1!BD179+Sheet1!BE179+Sheet1!BF179-BW179-BX179</f>
        <v>2.5199999999999996</v>
      </c>
      <c r="BO179" s="712">
        <f t="shared" si="667"/>
        <v>2.4657534246575339</v>
      </c>
      <c r="BP179" s="712">
        <f>IF(Sheet1!EM179="FM",BX179,0)</f>
        <v>0</v>
      </c>
      <c r="BQ179" s="712">
        <f t="shared" si="668"/>
        <v>0</v>
      </c>
      <c r="BR179" s="712">
        <f>IF(Sheet1!EM179="OTHER",BX179,0)</f>
        <v>0</v>
      </c>
      <c r="BS179" s="712">
        <f t="shared" si="669"/>
        <v>0</v>
      </c>
      <c r="BT179" s="712">
        <f t="shared" si="670"/>
        <v>0</v>
      </c>
      <c r="BU179" s="712">
        <f t="shared" si="671"/>
        <v>2.5199999999999996</v>
      </c>
      <c r="BV179" s="712">
        <f t="shared" si="672"/>
        <v>2.4657534246575339</v>
      </c>
      <c r="BW179" s="712">
        <f>IF(Sheet1!EM179="CWA",SUM(Sheet1!BC179:'Sheet1'!BF179),0)</f>
        <v>0</v>
      </c>
      <c r="BX179" s="712">
        <f>IF(OR(Sheet1!EM179="FM", Sheet1!EM179="OTHER"),SUM(Sheet1!BC179:'Sheet1'!BF179),0)</f>
        <v>0</v>
      </c>
      <c r="BY179" s="697">
        <f>IF(AND($B179&gt;=$FL179,$B179&lt;=$FM179),MAX(BV179,Sheet1!EF179,0),MAX(BV179-(7/36)*$K179,0))</f>
        <v>0</v>
      </c>
      <c r="BZ179" s="712">
        <f t="shared" si="673"/>
        <v>10.103135464231356</v>
      </c>
      <c r="CA179" s="697">
        <f t="shared" si="674"/>
        <v>2.4657534246575339</v>
      </c>
      <c r="CB179" s="697">
        <f>IF(AND($O179&gt;0,Sheet1!EJ179=1),(1-($O179-Sheet1!$L179)/$O179)*BV179,0)</f>
        <v>0</v>
      </c>
      <c r="CC179" s="697">
        <f>IF(AND(Sheet1!$L179=0,Sheet1!$L178=0, Calculation!BU179&lt;Sheet1!EF179-0.1,Sheet1!EF179=Sheet1!EF178,Sheet1!EF179=Sheet1!EF180),Sheet1!EF179,BV179-CB179)</f>
        <v>2.4657534246575339</v>
      </c>
      <c r="CD179" s="697"/>
      <c r="CE179" s="712"/>
      <c r="CF179" s="712">
        <f t="shared" si="675"/>
        <v>1267.5648268868606</v>
      </c>
      <c r="CG179" s="712"/>
      <c r="CH179" s="712">
        <f ca="1">IF(B179&gt;Summary!$A$1,#N/A,CF179*MGtoAF)</f>
        <v>3888.8888888888882</v>
      </c>
      <c r="CI179" s="712">
        <f>Sheet1!BK179+Sheet1!BL179+Sheet1!BM179-Sheet1!EN179-CQ179</f>
        <v>7.04</v>
      </c>
      <c r="CJ179" s="712">
        <f t="shared" si="676"/>
        <v>6.8884540117416826</v>
      </c>
      <c r="CK179" s="712">
        <f>IF(Sheet1!EN179="FM",CQ179,0)</f>
        <v>0</v>
      </c>
      <c r="CL179" s="712">
        <f t="shared" si="677"/>
        <v>0</v>
      </c>
      <c r="CM179" s="712">
        <f>IF(Sheet1!EN179="OTHER",CQ179,0)</f>
        <v>0</v>
      </c>
      <c r="CN179" s="712">
        <f t="shared" si="678"/>
        <v>0</v>
      </c>
      <c r="CO179" s="712">
        <f t="shared" si="679"/>
        <v>7.04</v>
      </c>
      <c r="CP179" s="712">
        <f t="shared" si="680"/>
        <v>6.8884540117416826</v>
      </c>
      <c r="CQ179" s="712">
        <f>IF(OR(Sheet1!EN179="FM", Sheet1!EN179="OTHER"),SUM(Sheet1!BK179:'Sheet1'!BM179),0)</f>
        <v>0</v>
      </c>
      <c r="CR179" s="697">
        <f>IF(AND($B179&gt;=$FL179,$B179&lt;=$FM179),MAX($CJ179,Sheet1!EG179,0),MAX($CJ179-(7/36)*$K179,0))</f>
        <v>0</v>
      </c>
      <c r="CS179" s="712">
        <f t="shared" si="681"/>
        <v>5.6804348771472064</v>
      </c>
      <c r="CT179" s="697">
        <f t="shared" si="682"/>
        <v>6.8884540117416826</v>
      </c>
      <c r="CU179" s="697">
        <f>IF(AND($O179&gt;0,Sheet1!EK179=1),(1-($O179-Sheet1!$L179)/$O179)*CP179,0)</f>
        <v>0</v>
      </c>
      <c r="CV179" s="697">
        <f>IF(AND(Sheet1!$L179=0,Sheet1!$L178=0, Calculation!CO179&lt;Sheet1!$EG179-0.1,Sheet1!$EG179=Sheet1!$EG178,Sheet1!$EG179=Sheet1!$EG180),Sheet1!$EG179,CP179-CU179)</f>
        <v>6.8884540117416826</v>
      </c>
      <c r="CW179" s="697">
        <f t="shared" si="613"/>
        <v>0</v>
      </c>
      <c r="CX179" s="712">
        <f t="shared" si="683"/>
        <v>9.5599999999999987</v>
      </c>
      <c r="CY179" s="712">
        <f t="shared" si="684"/>
        <v>1023.3555920084365</v>
      </c>
      <c r="CZ179" s="712">
        <f t="shared" si="685"/>
        <v>9.354207436399216</v>
      </c>
      <c r="DA179" s="712">
        <f ca="1">IF(B179&gt;Summary!$A$1,#N/A,CY179*MGtoAF)</f>
        <v>3139.6549562818832</v>
      </c>
      <c r="DB179" s="712">
        <f t="shared" si="686"/>
        <v>9.5599999999999987</v>
      </c>
      <c r="DC179" s="712">
        <f t="shared" si="687"/>
        <v>30.66</v>
      </c>
      <c r="DD179" s="712">
        <f>Sheet1!AB179-DC179</f>
        <v>-0.66000000000000014</v>
      </c>
      <c r="DE179" s="712">
        <f t="shared" si="688"/>
        <v>-2.1526418786692765E-2</v>
      </c>
      <c r="DF179" s="712">
        <f>(VLOOKUP(Sheet1!CY179,hhdcap_wcm,4)-(((VLOOKUP(Sheet1!CY179,hhdcap_wcm,3)-Sheet1!CY179)/(VLOOKUP(Sheet1!CY179,hhdcap_wcm,3)-VLOOKUP(Sheet1!CY179,hhdcap_wcm,1)))*(VLOOKUP(Sheet1!CY179,hhdcap_wcm,4)-VLOOKUP(Sheet1!CY179,hhdcap_wcm,2))))</f>
        <v>50262.580000117516</v>
      </c>
      <c r="DG179" s="712">
        <f t="shared" si="689"/>
        <v>292.7600000002567</v>
      </c>
      <c r="DH179" s="712">
        <f t="shared" si="690"/>
        <v>147.63489662141032</v>
      </c>
      <c r="DI179" s="712">
        <f>Sheet1!DW179*AFtoMG</f>
        <v>0</v>
      </c>
      <c r="DJ179" s="712">
        <f>Sheet1!DX179*AFtoMG</f>
        <v>0</v>
      </c>
      <c r="DK179" s="712">
        <f>Sheet1!DY179*AFtoMG</f>
        <v>0</v>
      </c>
      <c r="DL179" s="712">
        <f>Sheet1!DZ179*AFtoMG</f>
        <v>0</v>
      </c>
      <c r="DM179" s="712">
        <f t="shared" si="691"/>
        <v>0</v>
      </c>
      <c r="DN179" s="712">
        <f t="shared" si="692"/>
        <v>0</v>
      </c>
      <c r="DO179" s="712">
        <f t="shared" si="693"/>
        <v>6274.6955891111447</v>
      </c>
      <c r="DP179" s="712">
        <f t="shared" si="694"/>
        <v>19250.766067392993</v>
      </c>
      <c r="DQ179" s="712"/>
      <c r="DR179" s="697">
        <f>IF(OR(B179&lt;FL179,B179&gt;FM179),(MIN(AV179+BO179+CJ179+MAX(Sheet1!AA179+AG179-73,0),K179)),0)</f>
        <v>9.354207436399216</v>
      </c>
      <c r="DS179" s="712"/>
      <c r="DT179" s="712">
        <f t="shared" si="695"/>
        <v>9.354207436399216</v>
      </c>
      <c r="DU179" s="712"/>
      <c r="DV179" s="712">
        <f>Sheet1!ED179+Sheet1!EE179+Sheet1!EF179+Sheet1!EG179</f>
        <v>9.5</v>
      </c>
      <c r="DW179" s="712"/>
      <c r="DX179" s="697">
        <f t="shared" si="696"/>
        <v>0</v>
      </c>
      <c r="DY179" s="712">
        <f>IF(Sheet1!FN179=1,SUM('Calculations II'!AT179:BA179)+'Calculations II'!BC179+Sheet1!BU179+'Calculations II'!BE179+AF179,SUM('Calculations II'!AT179:BA179)+'Calculations II'!BC179+Sheet1!BU179+'Calculations II'!BE179+AF179)</f>
        <v>51.736080000000001</v>
      </c>
      <c r="DZ179" s="712">
        <f>Sheet1!AA179+Sheet1!AB179+'Calculations II'!BC179</f>
        <v>63.190000000002328</v>
      </c>
      <c r="EA179" s="712"/>
      <c r="EB179" s="712"/>
      <c r="EC179" s="712">
        <f t="shared" si="697"/>
        <v>40708</v>
      </c>
      <c r="ED179" s="712">
        <f t="shared" si="698"/>
        <v>55.285792563600786</v>
      </c>
      <c r="EE179" s="712">
        <f t="shared" si="699"/>
        <v>85.527121095890408</v>
      </c>
      <c r="EF179" s="712">
        <f>-(VLOOKUP(Sheet1!BQ179,Lookup!$B$4:$J$236,2)-VLOOKUP(Sheet1!BQ178,Lookup!$B$4:$J$236,2))/1000000</f>
        <v>-0.27379999999999999</v>
      </c>
      <c r="EG179" s="712">
        <f>-(VLOOKUP(Sheet1!BR179,Lookup!$B$4:$J$236,3)-VLOOKUP(Sheet1!BR178,Lookup!$B$4:$J$236,3))/1000000</f>
        <v>-0.27339999999999998</v>
      </c>
      <c r="EH179" s="712">
        <f>-(VLOOKUP(Sheet1!BS179,Lookup!$B$4:$J$236,4)-VLOOKUP(Sheet1!BS178,Lookup!$B$4:$J$236,4))/1000000</f>
        <v>0</v>
      </c>
      <c r="EI179" s="697">
        <f t="shared" si="700"/>
        <v>-0.54719999999999991</v>
      </c>
      <c r="EJ179" s="712"/>
      <c r="EK179" s="712"/>
      <c r="EL179" s="712"/>
      <c r="EM179" s="712"/>
      <c r="EN179" s="712"/>
      <c r="EO179" s="712"/>
      <c r="EP179" s="712"/>
      <c r="EQ179" s="712"/>
      <c r="ES179" s="712"/>
      <c r="ET179" s="794" t="e">
        <f t="shared" si="720"/>
        <v>#N/A</v>
      </c>
      <c r="EU179" s="697">
        <v>5000</v>
      </c>
      <c r="EV179" s="795">
        <f t="shared" si="640"/>
        <v>24791.813932724523</v>
      </c>
      <c r="EW179" s="796" t="s">
        <v>757</v>
      </c>
      <c r="EX179" s="796" t="s">
        <v>757</v>
      </c>
      <c r="EY179" s="794">
        <v>0</v>
      </c>
      <c r="EZ179" s="794" t="e">
        <v>#N/A</v>
      </c>
      <c r="FA179" s="712"/>
      <c r="FB179" s="712"/>
      <c r="FC179" s="712"/>
      <c r="FD179" s="712"/>
      <c r="FE179" s="712">
        <f>O179+Sheet1!CO179</f>
        <v>63.190000000002328</v>
      </c>
      <c r="FF179" s="712">
        <f>IF(Sheet1!AA179+AG179&lt;=Calculation!N179,AG179,Calculation!N179-Sheet1!AA179)</f>
        <v>20.645792563600786</v>
      </c>
      <c r="FG179" s="712">
        <f>(Sheet1!BP179+Sheet1!BO179)/694.4</f>
        <v>2.3214285714285716</v>
      </c>
      <c r="FH179" s="712"/>
      <c r="FI179" s="712"/>
      <c r="FJ179" s="712"/>
      <c r="FK179" s="712"/>
      <c r="FL179" s="714">
        <f t="shared" si="632"/>
        <v>40753</v>
      </c>
      <c r="FM179" s="714">
        <f t="shared" si="633"/>
        <v>40851</v>
      </c>
      <c r="FN179" s="712"/>
      <c r="FO179" s="712"/>
      <c r="FP179" s="712"/>
      <c r="FQ179" s="712"/>
      <c r="FR179" s="712"/>
      <c r="FS179" s="725">
        <f t="shared" si="634"/>
        <v>40603</v>
      </c>
      <c r="FT179" s="714">
        <f t="shared" si="635"/>
        <v>40709</v>
      </c>
      <c r="FU179" s="712">
        <f t="shared" si="636"/>
        <v>6518.9048239895692</v>
      </c>
      <c r="FV179" s="714">
        <f t="shared" si="637"/>
        <v>40722</v>
      </c>
      <c r="FW179" s="712">
        <f t="shared" si="638"/>
        <v>3259.4524119947846</v>
      </c>
      <c r="FX179" s="725">
        <f t="shared" si="639"/>
        <v>40851</v>
      </c>
      <c r="FZ179" s="697">
        <f t="shared" si="616"/>
        <v>39.502222222222223</v>
      </c>
      <c r="GA179" s="712" t="str">
        <f t="shared" si="701"/>
        <v>PP</v>
      </c>
      <c r="GB179" s="712">
        <f t="shared" si="702"/>
        <v>26.933333333333334</v>
      </c>
      <c r="GC179" s="712" t="str">
        <f t="shared" si="703"/>
        <v/>
      </c>
      <c r="GD179" s="712">
        <f>IF(GA179="P",Lookup!$M$12,IF(GA179="PP",Lookup!$M$13,IF(GA179="PPP",Lookup!$M$14,IF(GA179="T",Lookup!$M$15,IF(GA179="TP",Lookup!$M$16,IF(GA179="TPP",Lookup!$M$17,IF(GA179="TPPP",Lookup!$M$18,0)))))))*FZ179</f>
        <v>0</v>
      </c>
      <c r="GE179" s="712">
        <f t="shared" si="704"/>
        <v>0</v>
      </c>
      <c r="GF179" s="712">
        <f t="shared" si="705"/>
        <v>8333.3333333333321</v>
      </c>
      <c r="GG179" s="712">
        <f t="shared" si="706"/>
        <v>2716.2103433289872</v>
      </c>
      <c r="GH179" s="712"/>
      <c r="GI179" s="712">
        <f t="shared" si="707"/>
        <v>12.568888888888889</v>
      </c>
      <c r="GJ179" s="712" t="str">
        <f t="shared" si="708"/>
        <v/>
      </c>
      <c r="GK179" s="712">
        <f>IF(GA179="P",Lookup!$N$12,IF(GA179="PP",Lookup!$N$13,IF(GA179="PPP",Lookup!$N$14,IF(GA179="T",Lookup!$N$15,IF(GA179="TP",Lookup!$N$16,IF(GA179="TPP",Lookup!$N$17,IF(GA179="TPPP",Lookup!$N$18,0)))))))*FZ179</f>
        <v>19.751111111111111</v>
      </c>
      <c r="GL179" s="712">
        <f t="shared" si="709"/>
        <v>0</v>
      </c>
      <c r="GM179" s="712">
        <f t="shared" si="710"/>
        <v>3888.8888888888882</v>
      </c>
      <c r="GN179" s="712">
        <f t="shared" si="711"/>
        <v>1267.5648268868606</v>
      </c>
      <c r="GO179" s="712"/>
      <c r="GP179" s="712">
        <f t="shared" si="712"/>
        <v>0</v>
      </c>
      <c r="GQ179" s="712" t="str">
        <f t="shared" si="713"/>
        <v>P</v>
      </c>
      <c r="GR179" s="712">
        <f>IF(GA179="P",Lookup!$N$12,IF(GA179="PP",Lookup!$N$13,IF(GA179="PPP",Lookup!$N$14,IF(GA179="T",Lookup!$N$15,IF(GA179="TP",Lookup!$N$16,IF(GA179="TPP",Lookup!$N$17,IF(GA179="TPPP",Lookup!$N$18,0)))))))*FZ179</f>
        <v>19.751111111111111</v>
      </c>
      <c r="GS179" s="697">
        <f t="shared" si="628"/>
        <v>8.7763552871238062</v>
      </c>
      <c r="GT179" s="712">
        <f t="shared" si="714"/>
        <v>3861.9630308679925</v>
      </c>
      <c r="GU179" s="712">
        <f t="shared" si="715"/>
        <v>1258.7884715997368</v>
      </c>
      <c r="GV179" s="712"/>
      <c r="GW179" s="712">
        <f t="shared" si="716"/>
        <v>0</v>
      </c>
      <c r="GX179" s="712" t="str">
        <f t="shared" si="717"/>
        <v>P</v>
      </c>
      <c r="GY179" s="712">
        <f>IF(GA179="P",Lookup!$N$12,IF(GA179="PP",Lookup!$N$13,IF(GA179="PPP",Lookup!$N$14,IF(GA179="T",Lookup!$N$15,IF(GA179="TP",Lookup!$N$16,IF(GA179="TPP",Lookup!$N$17,IF(GA179="TPPP",Lookup!$N$18,0)))))))*FZ179</f>
        <v>19.751111111111111</v>
      </c>
      <c r="GZ179" s="697">
        <f t="shared" si="629"/>
        <v>19.751111111111111</v>
      </c>
      <c r="HA179" s="712">
        <f t="shared" si="718"/>
        <v>3079.0585473929946</v>
      </c>
      <c r="HB179" s="712">
        <f t="shared" si="719"/>
        <v>1003.6044808973254</v>
      </c>
      <c r="HC179" s="712"/>
    </row>
    <row r="180" spans="1:211">
      <c r="A180" s="773" t="s">
        <v>6</v>
      </c>
      <c r="B180" s="708">
        <v>40709</v>
      </c>
      <c r="C180" s="719">
        <v>0.5</v>
      </c>
      <c r="D180" s="675">
        <f t="shared" si="641"/>
        <v>300</v>
      </c>
      <c r="E180" s="675">
        <f t="shared" si="642"/>
        <v>250</v>
      </c>
      <c r="F180" s="675">
        <v>250</v>
      </c>
      <c r="G180" s="712">
        <f>DH180+Sheet1!CV180</f>
        <v>1506.7019667178592</v>
      </c>
      <c r="H180" s="712">
        <f t="shared" si="643"/>
        <v>706.96895128642416</v>
      </c>
      <c r="I180" s="711">
        <f>MAX(Sheet1!Z180-AJ180+(Sheet1!CW180-E180)*CFStoMGD,0)</f>
        <v>968.67449301597935</v>
      </c>
      <c r="J180" s="720">
        <f>IF(AND(B180&gt;=Calculation!FS180,B180&lt;=Calculation!FT180),IF(Sheet1!CX180&gt;=Calculation!D180,64.64,0),MAX(Sheet1!Z180-AJ180+(Sheet1!CX180-D180)*CFStoMGD,0))</f>
        <v>64.64</v>
      </c>
      <c r="K180" s="697">
        <f t="shared" si="644"/>
        <v>64.64</v>
      </c>
      <c r="L180" s="712">
        <f>Sheet1!AA180+Sheet1!AB180-Sheet1!L180+(Sheet1!CW180-F180)*CFStoMGD</f>
        <v>1021.138666666673</v>
      </c>
      <c r="M180" s="712">
        <f t="shared" si="645"/>
        <v>993.41079431215269</v>
      </c>
      <c r="N180" s="712">
        <f>IF(Sheet1!CW180&gt;=F180,MIN(73,MIN(MAX(L180,0),MAX(M180,0))),0)</f>
        <v>73</v>
      </c>
      <c r="O180" s="721">
        <f>Sheet1!AA180+Sheet1!AB180</f>
        <v>63.120000000006399</v>
      </c>
      <c r="P180" s="721">
        <f t="shared" si="646"/>
        <v>97.64664000000991</v>
      </c>
      <c r="Q180" s="712">
        <f>MIN(N180,Sheet1!AA180+AG180)</f>
        <v>53.464173650693631</v>
      </c>
      <c r="R180" s="712">
        <f t="shared" si="647"/>
        <v>9.6558263493127718</v>
      </c>
      <c r="S180" s="721">
        <f>Sheet1!Y180*MGDtoCFS</f>
        <v>51.592449999999999</v>
      </c>
      <c r="T180" s="721">
        <f>Sheet1!Z180*MGDtoCFS</f>
        <v>47.817769999999996</v>
      </c>
      <c r="U180" s="721">
        <f>Sheet1!AA180*MGDtoCFS</f>
        <v>51.375870000009904</v>
      </c>
      <c r="V180" s="721">
        <f>Sheet1!AB180*MGDtoCFS</f>
        <v>46.270769999999999</v>
      </c>
      <c r="W180" s="721">
        <f>Sheet1!L180*MGDtoCFS</f>
        <v>0</v>
      </c>
      <c r="X180" s="697">
        <f t="shared" si="648"/>
        <v>0</v>
      </c>
      <c r="Y180" s="712">
        <f t="shared" si="649"/>
        <v>0</v>
      </c>
      <c r="Z180" s="712">
        <f t="shared" si="650"/>
        <v>54.984173650687225</v>
      </c>
      <c r="AA180" s="712">
        <f t="shared" si="651"/>
        <v>85.060516637613134</v>
      </c>
      <c r="AB180" s="712">
        <f>(VLOOKUP(Sheet1!CY180,hhdcap_wcm,4)-(((VLOOKUP(Sheet1!CY180,hhdcap_wcm,3)-Sheet1!CY180)/(VLOOKUP(Sheet1!CY180,hhdcap_wcm,3)-VLOOKUP(Sheet1!CY180,hhdcap_wcm,1)))*(VLOOKUP(Sheet1!CY180,hhdcap_wcm,4)-VLOOKUP(Sheet1!CY180,hhdcap_wcm,2))))</f>
        <v>50533.660000119031</v>
      </c>
      <c r="AC180" s="712">
        <f t="shared" si="652"/>
        <v>271.08000000151515</v>
      </c>
      <c r="AD180" s="712">
        <f t="shared" si="653"/>
        <v>6518.9048239895692</v>
      </c>
      <c r="AE180" s="712">
        <f t="shared" si="654"/>
        <v>20000</v>
      </c>
      <c r="AF180" s="712">
        <f>Sheet1!BA180+Sheet1!BB180+Sheet1!BN180+BT180</f>
        <v>20.2</v>
      </c>
      <c r="AG180" s="712">
        <f t="shared" si="655"/>
        <v>20.254173650687228</v>
      </c>
      <c r="AH180" s="712">
        <f>Sheet1!BA180+BT180</f>
        <v>0</v>
      </c>
      <c r="AI180" s="712">
        <f>Sheet1!BA180+Sheet1!BB180+BT180</f>
        <v>0</v>
      </c>
      <c r="AJ180" s="712">
        <f>IF((Sheet1!AA180+AG180+AX180+AZ180+BQ180+BS180+CL180+CN180)&lt;=N180,AG180+AX180+AZ180+BQ180+BS180+CL180+CN180,N180-Sheet1!AA180)</f>
        <v>20.254173650687228</v>
      </c>
      <c r="AK180" s="712">
        <f>IF(DR180&lt;K180,0,MAX(Sheet1!AA180+AG180-15/36*K180-N180,Sheet1!ED180,0))</f>
        <v>0</v>
      </c>
      <c r="AL180" s="712">
        <f>IF(OR(B180&gt;=FT180,B180&lt;FS180),0,15/36*K180-MAX(0,64.6-(137.6-(Sheet1!AA180+Sheet1!AB180))))</f>
        <v>0</v>
      </c>
      <c r="AM180" s="712">
        <f>Sheet1!CX180-110</f>
        <v>1148.5416666666667</v>
      </c>
      <c r="AN180" s="712">
        <f>Sheet1!CW180-265</f>
        <v>1467.0833333333333</v>
      </c>
      <c r="AO180" s="712">
        <f t="shared" si="622"/>
        <v>19.535826349306369</v>
      </c>
      <c r="AP180" s="712">
        <f t="shared" si="656"/>
        <v>0</v>
      </c>
      <c r="AQ180" s="712">
        <f t="shared" si="657"/>
        <v>0</v>
      </c>
      <c r="AR180" s="712">
        <f t="shared" si="658"/>
        <v>2716.2103433289872</v>
      </c>
      <c r="AS180" s="712"/>
      <c r="AT180" s="712">
        <f ca="1">IF(B180&gt;Summary!$A$1,#N/A,AR180*MGtoAF)</f>
        <v>8333.3333333333321</v>
      </c>
      <c r="AU180" s="712">
        <f>Sheet1!BG180+Sheet1!BH180+Sheet1!BI180-BC180</f>
        <v>0</v>
      </c>
      <c r="AV180" s="712">
        <f t="shared" si="659"/>
        <v>0</v>
      </c>
      <c r="AW180" s="712">
        <f>IF(Sheet1!EL180="FM",BC180,0)</f>
        <v>0</v>
      </c>
      <c r="AX180" s="712">
        <f t="shared" si="660"/>
        <v>0</v>
      </c>
      <c r="AY180" s="712">
        <f>IF(Sheet1!EL180="OTHER",BC180,0)</f>
        <v>0</v>
      </c>
      <c r="AZ180" s="712">
        <f t="shared" si="661"/>
        <v>0</v>
      </c>
      <c r="BA180" s="712">
        <f t="shared" si="662"/>
        <v>0</v>
      </c>
      <c r="BB180" s="712">
        <f t="shared" si="663"/>
        <v>0</v>
      </c>
      <c r="BC180" s="712">
        <f>IF(OR(Sheet1!EL180="FM", Sheet1!EL180="OTHER"),SUM(Sheet1!BG180:'Sheet1'!BI180),0)</f>
        <v>0</v>
      </c>
      <c r="BD180" s="697">
        <f>IF(AND($B180&gt;=$FL180,$B180&lt;=$FM180),MAX(AV180,Sheet1!EE180,0),MAX(AV180-(7/36)*$K180,0))</f>
        <v>0</v>
      </c>
      <c r="BE180" s="712">
        <f t="shared" si="664"/>
        <v>12.568888888888889</v>
      </c>
      <c r="BF180" s="697">
        <f t="shared" si="665"/>
        <v>0</v>
      </c>
      <c r="BG180" s="697">
        <f>IF(AND($O180&gt;0,Sheet1!EI180=1),(1-($O180-Sheet1!$L180)/$O180)*BB180,0)</f>
        <v>0</v>
      </c>
      <c r="BH180" s="697">
        <f>IF(AND(Sheet1!$L180=0,Sheet1!$L179=0, Calculation!BA180&lt;Sheet1!$EE180-0.1,Sheet1!$EE180=Sheet1!$EE179,Sheet1!$EE180=Sheet1!$EE181),Sheet1!$EE180,BB180-BG180)</f>
        <v>0</v>
      </c>
      <c r="BI180" s="712"/>
      <c r="BJ180" s="712"/>
      <c r="BK180" s="712">
        <f t="shared" si="666"/>
        <v>1267.5648268868606</v>
      </c>
      <c r="BL180" s="712"/>
      <c r="BM180" s="712">
        <f ca="1">IF(B180&gt;Summary!$A$1,#N/A,BK180*MGtoAF)</f>
        <v>3888.8888888888882</v>
      </c>
      <c r="BN180" s="712">
        <f>Sheet1!BC180+Sheet1!BD180+Sheet1!BE180+Sheet1!BF180-BW180-BX180</f>
        <v>2.58</v>
      </c>
      <c r="BO180" s="712">
        <f t="shared" si="667"/>
        <v>2.5869192088501509</v>
      </c>
      <c r="BP180" s="712">
        <f>IF(Sheet1!EM180="FM",BX180,0)</f>
        <v>0</v>
      </c>
      <c r="BQ180" s="712">
        <f t="shared" si="668"/>
        <v>0</v>
      </c>
      <c r="BR180" s="712">
        <f>IF(Sheet1!EM180="OTHER",BX180,0)</f>
        <v>0</v>
      </c>
      <c r="BS180" s="712">
        <f t="shared" si="669"/>
        <v>0</v>
      </c>
      <c r="BT180" s="712">
        <f t="shared" si="670"/>
        <v>0</v>
      </c>
      <c r="BU180" s="712">
        <f t="shared" si="671"/>
        <v>2.58</v>
      </c>
      <c r="BV180" s="712">
        <f t="shared" si="672"/>
        <v>2.5869192088501509</v>
      </c>
      <c r="BW180" s="712">
        <f>IF(Sheet1!EM180="CWA",SUM(Sheet1!BC180:'Sheet1'!BF180),0)</f>
        <v>0</v>
      </c>
      <c r="BX180" s="712">
        <f>IF(OR(Sheet1!EM180="FM", Sheet1!EM180="OTHER"),SUM(Sheet1!BC180:'Sheet1'!BF180),0)</f>
        <v>0</v>
      </c>
      <c r="BY180" s="697">
        <f>IF(AND($B180&gt;=$FL180,$B180&lt;=$FM180),MAX(BV180,Sheet1!EF180,0),MAX(BV180-(7/36)*$K180,0))</f>
        <v>0</v>
      </c>
      <c r="BZ180" s="712">
        <f t="shared" si="673"/>
        <v>9.9819696800387376</v>
      </c>
      <c r="CA180" s="697">
        <f t="shared" si="674"/>
        <v>2.5869192088501509</v>
      </c>
      <c r="CB180" s="697">
        <f>IF(AND($O180&gt;0,Sheet1!EJ180=1),(1-($O180-Sheet1!$L180)/$O180)*BV180,0)</f>
        <v>0</v>
      </c>
      <c r="CC180" s="697">
        <f>IF(AND(Sheet1!$L180=0,Sheet1!$L179=0, Calculation!BU180&lt;Sheet1!EF180-0.1,Sheet1!EF180=Sheet1!EF179,Sheet1!EF180=Sheet1!EF181),Sheet1!EF180,BV180-CB180)</f>
        <v>2.5869192088501509</v>
      </c>
      <c r="CD180" s="697"/>
      <c r="CE180" s="712"/>
      <c r="CF180" s="712">
        <f t="shared" si="675"/>
        <v>1267.5648268868606</v>
      </c>
      <c r="CG180" s="712"/>
      <c r="CH180" s="712">
        <f ca="1">IF(B180&gt;Summary!$A$1,#N/A,CF180*MGtoAF)</f>
        <v>3888.8888888888882</v>
      </c>
      <c r="CI180" s="712">
        <f>Sheet1!BK180+Sheet1!BL180+Sheet1!BM180-Sheet1!EN180-CQ180</f>
        <v>7.05</v>
      </c>
      <c r="CJ180" s="712">
        <f t="shared" si="676"/>
        <v>7.0689071404626214</v>
      </c>
      <c r="CK180" s="712">
        <f>IF(Sheet1!EN180="FM",CQ180,0)</f>
        <v>0</v>
      </c>
      <c r="CL180" s="712">
        <f t="shared" si="677"/>
        <v>0</v>
      </c>
      <c r="CM180" s="712">
        <f>IF(Sheet1!EN180="OTHER",CQ180,0)</f>
        <v>0</v>
      </c>
      <c r="CN180" s="712">
        <f t="shared" si="678"/>
        <v>0</v>
      </c>
      <c r="CO180" s="712">
        <f t="shared" si="679"/>
        <v>7.05</v>
      </c>
      <c r="CP180" s="712">
        <f t="shared" si="680"/>
        <v>7.0689071404626214</v>
      </c>
      <c r="CQ180" s="712">
        <f>IF(OR(Sheet1!EN180="FM", Sheet1!EN180="OTHER"),SUM(Sheet1!BK180:'Sheet1'!BM180),0)</f>
        <v>0</v>
      </c>
      <c r="CR180" s="697">
        <f>IF(AND($B180&gt;=$FL180,$B180&lt;=$FM180),MAX($CJ180,Sheet1!EG180,0),MAX($CJ180-(7/36)*$K180,0))</f>
        <v>0</v>
      </c>
      <c r="CS180" s="712">
        <f t="shared" si="681"/>
        <v>5.4999817484262676</v>
      </c>
      <c r="CT180" s="697">
        <f t="shared" si="682"/>
        <v>7.0689071404626214</v>
      </c>
      <c r="CU180" s="697">
        <f>IF(AND($O180&gt;0,Sheet1!EK180=1),(1-($O180-Sheet1!$L180)/$O180)*CP180,0)</f>
        <v>0</v>
      </c>
      <c r="CV180" s="697">
        <f>IF(AND(Sheet1!$L180=0,Sheet1!$L179=0, Calculation!CO180&lt;Sheet1!$EG180-0.1,Sheet1!$EG180=Sheet1!$EG179,Sheet1!$EG180=Sheet1!$EG181),Sheet1!$EG180,CP180-CU180)</f>
        <v>7.0689071404626214</v>
      </c>
      <c r="CW180" s="697">
        <f t="shared" si="613"/>
        <v>0</v>
      </c>
      <c r="CX180" s="712">
        <f t="shared" si="683"/>
        <v>9.629999999999999</v>
      </c>
      <c r="CY180" s="712">
        <f t="shared" si="684"/>
        <v>1267.5648268868606</v>
      </c>
      <c r="CZ180" s="712">
        <f t="shared" si="685"/>
        <v>9.6558263493127718</v>
      </c>
      <c r="DA180" s="712">
        <f ca="1">IF(B180&gt;Summary!$A$1,#N/A,CY180*MGtoAF)</f>
        <v>3888.8888888888882</v>
      </c>
      <c r="DB180" s="712">
        <f t="shared" si="686"/>
        <v>9.629999999999999</v>
      </c>
      <c r="DC180" s="712">
        <f t="shared" si="687"/>
        <v>29.83</v>
      </c>
      <c r="DD180" s="712">
        <f>Sheet1!AB180-DC180</f>
        <v>8.0000000000001847E-2</v>
      </c>
      <c r="DE180" s="712">
        <f t="shared" si="688"/>
        <v>2.6818638954073703E-3</v>
      </c>
      <c r="DF180" s="712">
        <f>(VLOOKUP(Sheet1!CY180,hhdcap_wcm,4)-(((VLOOKUP(Sheet1!CY180,hhdcap_wcm,3)-Sheet1!CY180)/(VLOOKUP(Sheet1!CY180,hhdcap_wcm,3)-VLOOKUP(Sheet1!CY180,hhdcap_wcm,1)))*(VLOOKUP(Sheet1!CY180,hhdcap_wcm,4)-VLOOKUP(Sheet1!CY180,hhdcap_wcm,2))))</f>
        <v>50533.660000119031</v>
      </c>
      <c r="DG180" s="712">
        <f t="shared" si="689"/>
        <v>271.08000000151515</v>
      </c>
      <c r="DH180" s="712">
        <f t="shared" si="690"/>
        <v>136.70196671785936</v>
      </c>
      <c r="DI180" s="712">
        <f>Sheet1!DW180*AFtoMG</f>
        <v>0</v>
      </c>
      <c r="DJ180" s="712">
        <f>Sheet1!DX180*AFtoMG</f>
        <v>0</v>
      </c>
      <c r="DK180" s="712">
        <f>Sheet1!DY180*AFtoMG</f>
        <v>0</v>
      </c>
      <c r="DL180" s="712">
        <f>Sheet1!DZ180*AFtoMG</f>
        <v>0</v>
      </c>
      <c r="DM180" s="712">
        <f t="shared" si="691"/>
        <v>0</v>
      </c>
      <c r="DN180" s="712">
        <f t="shared" si="692"/>
        <v>0</v>
      </c>
      <c r="DO180" s="712">
        <f t="shared" si="693"/>
        <v>6518.9048239895692</v>
      </c>
      <c r="DP180" s="712">
        <f t="shared" si="694"/>
        <v>20000</v>
      </c>
      <c r="DQ180" s="712"/>
      <c r="DR180" s="697">
        <f>IF(OR(B180&lt;FL180,B180&gt;FM180),(MIN(AV180+BO180+CJ180+MAX(Sheet1!AA180+AG180-73,0),K180)),0)</f>
        <v>9.6558263493127718</v>
      </c>
      <c r="DS180" s="712"/>
      <c r="DT180" s="712">
        <f t="shared" si="695"/>
        <v>9.6558263493127718</v>
      </c>
      <c r="DU180" s="712"/>
      <c r="DV180" s="712">
        <f>Sheet1!ED180+Sheet1!EE180+Sheet1!EF180+Sheet1!EG180</f>
        <v>9.5</v>
      </c>
      <c r="DW180" s="712"/>
      <c r="DX180" s="697">
        <f t="shared" si="696"/>
        <v>0</v>
      </c>
      <c r="DY180" s="712">
        <f>IF(Sheet1!FN180=1,SUM('Calculations II'!AT180:BA180)+'Calculations II'!BC180+Sheet1!BU180+'Calculations II'!BE180+AF180,SUM('Calculations II'!AT180:BA180)+'Calculations II'!BC180+Sheet1!BU180+'Calculations II'!BE180+AF180)</f>
        <v>52.597382400000001</v>
      </c>
      <c r="DZ180" s="712">
        <f>Sheet1!AA180+Sheet1!AB180+'Calculations II'!BC180</f>
        <v>63.120662400006402</v>
      </c>
      <c r="EA180" s="712"/>
      <c r="EB180" s="712"/>
      <c r="EC180" s="712">
        <f t="shared" si="697"/>
        <v>40709</v>
      </c>
      <c r="ED180" s="712">
        <f t="shared" si="698"/>
        <v>54.984173650687225</v>
      </c>
      <c r="EE180" s="712">
        <f t="shared" si="699"/>
        <v>85.060516637613134</v>
      </c>
      <c r="EF180" s="712">
        <f>-(VLOOKUP(Sheet1!BQ180,Lookup!$B$4:$J$236,2)-VLOOKUP(Sheet1!BQ179,Lookup!$B$4:$J$236,2))/1000000</f>
        <v>-0.82140000000000002</v>
      </c>
      <c r="EG180" s="712">
        <f>-(VLOOKUP(Sheet1!BR180,Lookup!$B$4:$J$236,3)-VLOOKUP(Sheet1!BR179,Lookup!$B$4:$J$236,3))/1000000</f>
        <v>-0.82020000000000004</v>
      </c>
      <c r="EH180" s="712">
        <f>-(VLOOKUP(Sheet1!BS180,Lookup!$B$4:$J$236,4)-VLOOKUP(Sheet1!BS179,Lookup!$B$4:$J$236,4))/1000000</f>
        <v>0</v>
      </c>
      <c r="EI180" s="697">
        <f t="shared" si="700"/>
        <v>-1.6415999999999999</v>
      </c>
      <c r="EJ180" s="712"/>
      <c r="EK180" s="712"/>
      <c r="EL180" s="712"/>
      <c r="EM180" s="712"/>
      <c r="EN180" s="712"/>
      <c r="EO180" s="712"/>
      <c r="EP180" s="712"/>
      <c r="EQ180" s="712"/>
      <c r="ES180" s="712"/>
      <c r="ET180" s="794" t="e">
        <f t="shared" si="720"/>
        <v>#N/A</v>
      </c>
      <c r="EU180" s="697">
        <v>5000</v>
      </c>
      <c r="EV180" s="795">
        <f t="shared" si="640"/>
        <v>24313.660000119031</v>
      </c>
      <c r="EW180" s="796" t="s">
        <v>757</v>
      </c>
      <c r="EX180" s="796" t="s">
        <v>757</v>
      </c>
      <c r="EY180" s="794">
        <v>0</v>
      </c>
      <c r="EZ180" s="794" t="e">
        <v>#N/A</v>
      </c>
      <c r="FA180" s="712"/>
      <c r="FB180" s="712"/>
      <c r="FC180" s="712"/>
      <c r="FD180" s="712"/>
      <c r="FE180" s="712">
        <f>O180+Sheet1!CO180</f>
        <v>63.5800000000064</v>
      </c>
      <c r="FF180" s="712">
        <f>IF(Sheet1!AA180+AG180&lt;=Calculation!N180,AG180,Calculation!N180-Sheet1!AA180)</f>
        <v>20.254173650687228</v>
      </c>
      <c r="FG180" s="712">
        <f>(Sheet1!BP180+Sheet1!BO180)/694.4</f>
        <v>2.5542914746543781</v>
      </c>
      <c r="FH180" s="712"/>
      <c r="FI180" s="712"/>
      <c r="FJ180" s="712"/>
      <c r="FK180" s="712"/>
      <c r="FL180" s="714">
        <f t="shared" si="632"/>
        <v>40753</v>
      </c>
      <c r="FM180" s="714">
        <f t="shared" si="633"/>
        <v>40851</v>
      </c>
      <c r="FN180" s="712"/>
      <c r="FO180" s="712"/>
      <c r="FP180" s="712"/>
      <c r="FQ180" s="712"/>
      <c r="FR180" s="712"/>
      <c r="FS180" s="725">
        <f t="shared" si="634"/>
        <v>40603</v>
      </c>
      <c r="FT180" s="714">
        <f t="shared" si="635"/>
        <v>40709</v>
      </c>
      <c r="FU180" s="712">
        <f t="shared" si="636"/>
        <v>6518.9048239895692</v>
      </c>
      <c r="FV180" s="714">
        <f t="shared" si="637"/>
        <v>40722</v>
      </c>
      <c r="FW180" s="712">
        <f t="shared" si="638"/>
        <v>3259.4524119947846</v>
      </c>
      <c r="FX180" s="725">
        <f t="shared" si="639"/>
        <v>40851</v>
      </c>
      <c r="FZ180" s="697">
        <f t="shared" si="616"/>
        <v>244.25026202988425</v>
      </c>
      <c r="GA180" s="712" t="str">
        <f t="shared" si="701"/>
        <v>P</v>
      </c>
      <c r="GB180" s="712">
        <f t="shared" si="702"/>
        <v>0</v>
      </c>
      <c r="GC180" s="712" t="str">
        <f t="shared" si="703"/>
        <v/>
      </c>
      <c r="GD180" s="712">
        <f>IF(GA180="P",Lookup!$M$12,IF(GA180="PP",Lookup!$M$13,IF(GA180="PPP",Lookup!$M$14,IF(GA180="T",Lookup!$M$15,IF(GA180="TP",Lookup!$M$16,IF(GA180="TPP",Lookup!$M$17,IF(GA180="TPPP",Lookup!$M$18,0)))))))*FZ180</f>
        <v>0</v>
      </c>
      <c r="GE180" s="712">
        <f t="shared" si="704"/>
        <v>0</v>
      </c>
      <c r="GF180" s="712">
        <f t="shared" si="705"/>
        <v>8333.3333333333321</v>
      </c>
      <c r="GG180" s="712">
        <f t="shared" si="706"/>
        <v>2716.2103433289872</v>
      </c>
      <c r="GH180" s="712"/>
      <c r="GI180" s="712">
        <f t="shared" si="707"/>
        <v>12.568888888888889</v>
      </c>
      <c r="GJ180" s="712" t="str">
        <f t="shared" si="708"/>
        <v/>
      </c>
      <c r="GK180" s="712">
        <f>IF(GA180="P",Lookup!$N$12,IF(GA180="PP",Lookup!$N$13,IF(GA180="PPP",Lookup!$N$14,IF(GA180="T",Lookup!$N$15,IF(GA180="TP",Lookup!$N$16,IF(GA180="TPP",Lookup!$N$17,IF(GA180="TPPP",Lookup!$N$18,0)))))))*FZ180</f>
        <v>244.25026202988425</v>
      </c>
      <c r="GL180" s="712">
        <f t="shared" si="709"/>
        <v>0</v>
      </c>
      <c r="GM180" s="712">
        <f t="shared" si="710"/>
        <v>3888.8888888888882</v>
      </c>
      <c r="GN180" s="712">
        <f t="shared" si="711"/>
        <v>1267.5648268868606</v>
      </c>
      <c r="GO180" s="712"/>
      <c r="GP180" s="712">
        <f t="shared" si="712"/>
        <v>0</v>
      </c>
      <c r="GQ180" s="712" t="str">
        <f t="shared" si="713"/>
        <v/>
      </c>
      <c r="GR180" s="712">
        <f>IF(GA180="P",Lookup!$N$12,IF(GA180="PP",Lookup!$N$13,IF(GA180="PPP",Lookup!$N$14,IF(GA180="T",Lookup!$N$15,IF(GA180="TP",Lookup!$N$16,IF(GA180="TPP",Lookup!$N$17,IF(GA180="TPPP",Lookup!$N$18,0)))))))*FZ180</f>
        <v>244.25026202988425</v>
      </c>
      <c r="GS180" s="697">
        <f t="shared" si="628"/>
        <v>0</v>
      </c>
      <c r="GT180" s="712">
        <f t="shared" si="714"/>
        <v>3888.8888888888882</v>
      </c>
      <c r="GU180" s="712">
        <f t="shared" si="715"/>
        <v>1267.5648268868606</v>
      </c>
      <c r="GV180" s="712"/>
      <c r="GW180" s="712">
        <f t="shared" si="716"/>
        <v>0</v>
      </c>
      <c r="GX180" s="712" t="str">
        <f t="shared" si="717"/>
        <v>P</v>
      </c>
      <c r="GY180" s="712">
        <f>IF(GA180="P",Lookup!$N$12,IF(GA180="PP",Lookup!$N$13,IF(GA180="PPP",Lookup!$N$14,IF(GA180="T",Lookup!$N$15,IF(GA180="TP",Lookup!$N$16,IF(GA180="TPP",Lookup!$N$17,IF(GA180="TPPP",Lookup!$N$18,0)))))))*FZ180</f>
        <v>244.25026202988425</v>
      </c>
      <c r="GZ180" s="697">
        <f t="shared" si="629"/>
        <v>238.70925312999793</v>
      </c>
      <c r="HA180" s="712">
        <f t="shared" si="718"/>
        <v>3156.5289002860545</v>
      </c>
      <c r="HB180" s="712">
        <f t="shared" si="719"/>
        <v>1028.8555737568627</v>
      </c>
      <c r="HC180" s="712"/>
    </row>
    <row r="181" spans="1:211">
      <c r="A181" s="773" t="s">
        <v>7</v>
      </c>
      <c r="B181" s="708">
        <v>40710</v>
      </c>
      <c r="C181" s="719">
        <v>0.5</v>
      </c>
      <c r="D181" s="675">
        <f t="shared" si="641"/>
        <v>300</v>
      </c>
      <c r="E181" s="675">
        <f t="shared" si="642"/>
        <v>250</v>
      </c>
      <c r="F181" s="675">
        <v>250</v>
      </c>
      <c r="G181" s="712">
        <f>DH181+Sheet1!CV181</f>
        <v>1366.2825684990376</v>
      </c>
      <c r="H181" s="712">
        <f t="shared" si="643"/>
        <v>616.2018522777779</v>
      </c>
      <c r="I181" s="711">
        <f>MAX(Sheet1!Z181-AJ181+(Sheet1!CW181-E181)*CFStoMGD,0)</f>
        <v>965.2990586334256</v>
      </c>
      <c r="J181" s="720">
        <f>IF(AND(B181&gt;=Calculation!FS181,B181&lt;=Calculation!FT181),IF(Sheet1!CX181&gt;=Calculation!D181,64.64,0),MAX(Sheet1!Z181-AJ181+(Sheet1!CX181-D181)*CFStoMGD,0))</f>
        <v>587.4917253000923</v>
      </c>
      <c r="K181" s="697">
        <f t="shared" si="644"/>
        <v>64.64</v>
      </c>
      <c r="L181" s="712">
        <f>Sheet1!AA181+Sheet1!AB181-Sheet1!L181+(Sheet1!CW181-F181)*CFStoMGD</f>
        <v>1017.9426666666666</v>
      </c>
      <c r="M181" s="712">
        <f t="shared" si="645"/>
        <v>900.82835332333343</v>
      </c>
      <c r="N181" s="712">
        <f>IF(Sheet1!CW181&gt;=F181,MIN(73,MIN(MAX(L181,0),MAX(M181,0))),0)</f>
        <v>73</v>
      </c>
      <c r="O181" s="721">
        <f>Sheet1!AA181+Sheet1!AB181</f>
        <v>62.55</v>
      </c>
      <c r="P181" s="721">
        <f t="shared" si="646"/>
        <v>96.764849999999996</v>
      </c>
      <c r="Q181" s="712">
        <f>MIN(N181,Sheet1!AA181+AG181)</f>
        <v>52.913608033240997</v>
      </c>
      <c r="R181" s="712">
        <f t="shared" si="647"/>
        <v>9.6363919667590014</v>
      </c>
      <c r="S181" s="721">
        <f>Sheet1!Y181*MGDtoCFS</f>
        <v>51.855440000000002</v>
      </c>
      <c r="T181" s="721">
        <f>Sheet1!Z181*MGDtoCFS</f>
        <v>45.358039999999995</v>
      </c>
      <c r="U181" s="721">
        <f>Sheet1!AA181*MGDtoCFS</f>
        <v>51.8245</v>
      </c>
      <c r="V181" s="721">
        <f>Sheet1!AB181*MGDtoCFS</f>
        <v>44.940350000000002</v>
      </c>
      <c r="W181" s="721">
        <f>Sheet1!L181*MGDtoCFS</f>
        <v>0</v>
      </c>
      <c r="X181" s="697">
        <f t="shared" si="648"/>
        <v>0</v>
      </c>
      <c r="Y181" s="712">
        <f t="shared" si="649"/>
        <v>0</v>
      </c>
      <c r="Z181" s="712">
        <f t="shared" si="650"/>
        <v>0</v>
      </c>
      <c r="AA181" s="712">
        <f t="shared" si="651"/>
        <v>0</v>
      </c>
      <c r="AB181" s="712">
        <f>(VLOOKUP(Sheet1!CY181,hhdcap_wcm,4)-(((VLOOKUP(Sheet1!CY181,hhdcap_wcm,3)-Sheet1!CY181)/(VLOOKUP(Sheet1!CY181,hhdcap_wcm,3)-VLOOKUP(Sheet1!CY181,hhdcap_wcm,1)))*(VLOOKUP(Sheet1!CY181,hhdcap_wcm,4)-VLOOKUP(Sheet1!CY181,hhdcap_wcm,2))))</f>
        <v>50613.320000119289</v>
      </c>
      <c r="AC181" s="712">
        <f t="shared" si="652"/>
        <v>79.660000000258151</v>
      </c>
      <c r="AD181" s="712">
        <f t="shared" si="653"/>
        <v>6518.9048239895692</v>
      </c>
      <c r="AE181" s="712">
        <f t="shared" si="654"/>
        <v>20000</v>
      </c>
      <c r="AF181" s="712">
        <f>Sheet1!BA181+Sheet1!BB181+Sheet1!BN181+BT181</f>
        <v>19.3</v>
      </c>
      <c r="AG181" s="712">
        <f t="shared" si="655"/>
        <v>19.413608033240997</v>
      </c>
      <c r="AH181" s="712">
        <f>Sheet1!BA181+BT181</f>
        <v>0</v>
      </c>
      <c r="AI181" s="712">
        <f>Sheet1!BA181+Sheet1!BB181+BT181</f>
        <v>0</v>
      </c>
      <c r="AJ181" s="712">
        <f>IF((Sheet1!AA181+AG181+AX181+AZ181+BQ181+BS181+CL181+CN181)&lt;=N181,AG181+AX181+AZ181+BQ181+BS181+CL181+CN181,N181-Sheet1!AA181)</f>
        <v>19.413608033240997</v>
      </c>
      <c r="AK181" s="712">
        <f>IF(DR181&lt;K181,0,MAX(Sheet1!AA181+AG181-15/36*K181-N181,Sheet1!ED181,0))</f>
        <v>0</v>
      </c>
      <c r="AL181" s="712">
        <f>IF(OR(B181&gt;=FT181,B181&lt;FS181),0,15/36*K181-MAX(0,64.6-(137.6-(Sheet1!AA181+Sheet1!AB181))))</f>
        <v>0</v>
      </c>
      <c r="AM181" s="712">
        <f>Sheet1!CX181-110</f>
        <v>1083.5416666666667</v>
      </c>
      <c r="AN181" s="712">
        <f>Sheet1!CW181-265</f>
        <v>1463.0208333333333</v>
      </c>
      <c r="AO181" s="712">
        <f t="shared" si="622"/>
        <v>20.086391966759003</v>
      </c>
      <c r="AP181" s="712">
        <f t="shared" si="656"/>
        <v>0</v>
      </c>
      <c r="AQ181" s="712">
        <f t="shared" si="657"/>
        <v>0</v>
      </c>
      <c r="AR181" s="712">
        <f t="shared" si="658"/>
        <v>2716.2103433289872</v>
      </c>
      <c r="AS181" s="712"/>
      <c r="AT181" s="712">
        <f ca="1">IF(B181&gt;Summary!$A$1,#N/A,AR181*MGtoAF)</f>
        <v>8333.3333333333321</v>
      </c>
      <c r="AU181" s="712">
        <f>Sheet1!BG181+Sheet1!BH181+Sheet1!BI181-BC181</f>
        <v>0</v>
      </c>
      <c r="AV181" s="712">
        <f t="shared" si="659"/>
        <v>0</v>
      </c>
      <c r="AW181" s="712">
        <f>IF(Sheet1!EL181="FM",BC181,0)</f>
        <v>0</v>
      </c>
      <c r="AX181" s="712">
        <f t="shared" si="660"/>
        <v>0</v>
      </c>
      <c r="AY181" s="712">
        <f>IF(Sheet1!EL181="OTHER",BC181,0)</f>
        <v>0</v>
      </c>
      <c r="AZ181" s="712">
        <f t="shared" si="661"/>
        <v>0</v>
      </c>
      <c r="BA181" s="712">
        <f t="shared" si="662"/>
        <v>0</v>
      </c>
      <c r="BB181" s="712">
        <f t="shared" si="663"/>
        <v>0</v>
      </c>
      <c r="BC181" s="712">
        <f>IF(OR(Sheet1!EL181="FM", Sheet1!EL181="OTHER"),SUM(Sheet1!BG181:'Sheet1'!BI181),0)</f>
        <v>0</v>
      </c>
      <c r="BD181" s="697">
        <f>IF(AND($B181&gt;=$FL181,$B181&lt;=$FM181),MAX(AV181,Sheet1!EE181,0),MAX(AV181-(7/36)*$K181,0))</f>
        <v>0</v>
      </c>
      <c r="BE181" s="712">
        <f t="shared" si="664"/>
        <v>0</v>
      </c>
      <c r="BF181" s="697">
        <f t="shared" si="665"/>
        <v>0</v>
      </c>
      <c r="BG181" s="697">
        <f>IF(AND($O181&gt;0,Sheet1!EI181=1),(1-($O181-Sheet1!$L181)/$O181)*BB181,0)</f>
        <v>0</v>
      </c>
      <c r="BH181" s="697">
        <f>IF(AND(Sheet1!$L181=0,Sheet1!$L180=0, Calculation!BA181&lt;Sheet1!$EE181-0.1,Sheet1!$EE181=Sheet1!$EE180,Sheet1!$EE181=Sheet1!$EE182),Sheet1!$EE181,BB181-BG181)</f>
        <v>0</v>
      </c>
      <c r="BI181" s="712"/>
      <c r="BJ181" s="712"/>
      <c r="BK181" s="712">
        <f t="shared" si="666"/>
        <v>1267.5648268868606</v>
      </c>
      <c r="BL181" s="712"/>
      <c r="BM181" s="712">
        <f ca="1">IF(B181&gt;Summary!$A$1,#N/A,BK181*MGtoAF)</f>
        <v>3888.8888888888882</v>
      </c>
      <c r="BN181" s="712">
        <f>Sheet1!BC181+Sheet1!BD181+Sheet1!BE181+Sheet1!BF181-BW181-BX181</f>
        <v>2.52</v>
      </c>
      <c r="BO181" s="712">
        <f t="shared" si="667"/>
        <v>2.5348337950138502</v>
      </c>
      <c r="BP181" s="712">
        <f>IF(Sheet1!EM181="FM",BX181,0)</f>
        <v>0</v>
      </c>
      <c r="BQ181" s="712">
        <f t="shared" si="668"/>
        <v>0</v>
      </c>
      <c r="BR181" s="712">
        <f>IF(Sheet1!EM181="OTHER",BX181,0)</f>
        <v>0</v>
      </c>
      <c r="BS181" s="712">
        <f t="shared" si="669"/>
        <v>0</v>
      </c>
      <c r="BT181" s="712">
        <f t="shared" si="670"/>
        <v>0</v>
      </c>
      <c r="BU181" s="712">
        <f t="shared" si="671"/>
        <v>2.52</v>
      </c>
      <c r="BV181" s="712">
        <f t="shared" si="672"/>
        <v>2.5348337950138502</v>
      </c>
      <c r="BW181" s="712">
        <f>IF(Sheet1!EM181="CWA",SUM(Sheet1!BC181:'Sheet1'!BF181),0)</f>
        <v>0</v>
      </c>
      <c r="BX181" s="712">
        <f>IF(OR(Sheet1!EM181="FM", Sheet1!EM181="OTHER"),SUM(Sheet1!BC181:'Sheet1'!BF181),0)</f>
        <v>0</v>
      </c>
      <c r="BY181" s="697">
        <f>IF(AND($B181&gt;=$FL181,$B181&lt;=$FM181),MAX(BV181,Sheet1!EF181,0),MAX(BV181-(7/36)*$K181,0))</f>
        <v>0</v>
      </c>
      <c r="BZ181" s="712">
        <f t="shared" si="673"/>
        <v>0</v>
      </c>
      <c r="CA181" s="697">
        <f t="shared" si="674"/>
        <v>2.5348337950138502</v>
      </c>
      <c r="CB181" s="697">
        <f>IF(AND($O181&gt;0,Sheet1!EJ181=1),(1-($O181-Sheet1!$L181)/$O181)*BV181,0)</f>
        <v>0</v>
      </c>
      <c r="CC181" s="697">
        <f>IF(AND(Sheet1!$L181=0,Sheet1!$L180=0, Calculation!BU181&lt;Sheet1!EF181-0.1,Sheet1!EF181=Sheet1!EF180,Sheet1!EF181=Sheet1!EF182),Sheet1!EF181,BV181-CB181)</f>
        <v>2.5348337950138502</v>
      </c>
      <c r="CD181" s="697"/>
      <c r="CE181" s="712"/>
      <c r="CF181" s="712">
        <f t="shared" si="675"/>
        <v>1267.5648268868606</v>
      </c>
      <c r="CG181" s="712"/>
      <c r="CH181" s="712">
        <f ca="1">IF(B181&gt;Summary!$A$1,#N/A,CF181*MGtoAF)</f>
        <v>3888.8888888888882</v>
      </c>
      <c r="CI181" s="712">
        <f>Sheet1!BK181+Sheet1!BL181+Sheet1!BM181-Sheet1!EN181-CQ181</f>
        <v>7.06</v>
      </c>
      <c r="CJ181" s="712">
        <f t="shared" si="676"/>
        <v>7.1015581717451512</v>
      </c>
      <c r="CK181" s="712">
        <f>IF(Sheet1!EN181="FM",CQ181,0)</f>
        <v>0</v>
      </c>
      <c r="CL181" s="712">
        <f t="shared" si="677"/>
        <v>0</v>
      </c>
      <c r="CM181" s="712">
        <f>IF(Sheet1!EN181="OTHER",CQ181,0)</f>
        <v>0</v>
      </c>
      <c r="CN181" s="712">
        <f t="shared" si="678"/>
        <v>0</v>
      </c>
      <c r="CO181" s="712">
        <f t="shared" si="679"/>
        <v>7.06</v>
      </c>
      <c r="CP181" s="712">
        <f t="shared" si="680"/>
        <v>7.1015581717451512</v>
      </c>
      <c r="CQ181" s="712">
        <f>IF(OR(Sheet1!EN181="FM", Sheet1!EN181="OTHER"),SUM(Sheet1!BK181:'Sheet1'!BM181),0)</f>
        <v>0</v>
      </c>
      <c r="CR181" s="697">
        <f>IF(AND($B181&gt;=$FL181,$B181&lt;=$FM181),MAX($CJ181,Sheet1!EG181,0),MAX($CJ181-(7/36)*$K181,0))</f>
        <v>0</v>
      </c>
      <c r="CS181" s="712">
        <f t="shared" si="681"/>
        <v>0</v>
      </c>
      <c r="CT181" s="697">
        <f t="shared" si="682"/>
        <v>7.1015581717451512</v>
      </c>
      <c r="CU181" s="697">
        <f>IF(AND($O181&gt;0,Sheet1!EK181=1),(1-($O181-Sheet1!$L181)/$O181)*CP181,0)</f>
        <v>0</v>
      </c>
      <c r="CV181" s="697">
        <f>IF(AND(Sheet1!$L181=0,Sheet1!$L180=0, Calculation!CO181&lt;Sheet1!$EG181-0.1,Sheet1!$EG181=Sheet1!$EG180,Sheet1!$EG181=Sheet1!$EG182),Sheet1!$EG181,CP181-CU181)</f>
        <v>7.1015581717451512</v>
      </c>
      <c r="CW181" s="697">
        <f t="shared" si="613"/>
        <v>0</v>
      </c>
      <c r="CX181" s="712">
        <f t="shared" si="683"/>
        <v>9.58</v>
      </c>
      <c r="CY181" s="712">
        <f t="shared" si="684"/>
        <v>1267.5648268868606</v>
      </c>
      <c r="CZ181" s="712">
        <f t="shared" si="685"/>
        <v>9.6363919667590014</v>
      </c>
      <c r="DA181" s="712">
        <f ca="1">IF(B181&gt;Summary!$A$1,#N/A,CY181*MGtoAF)</f>
        <v>3888.8888888888882</v>
      </c>
      <c r="DB181" s="712">
        <f t="shared" si="686"/>
        <v>9.58</v>
      </c>
      <c r="DC181" s="712">
        <f t="shared" si="687"/>
        <v>28.880000000000003</v>
      </c>
      <c r="DD181" s="712">
        <f>Sheet1!AB181-DC181</f>
        <v>0.16999999999999815</v>
      </c>
      <c r="DE181" s="712">
        <f t="shared" si="688"/>
        <v>5.8864265927977191E-3</v>
      </c>
      <c r="DF181" s="712">
        <f>(VLOOKUP(Sheet1!CY181,hhdcap_wcm,4)-(((VLOOKUP(Sheet1!CY181,hhdcap_wcm,3)-Sheet1!CY181)/(VLOOKUP(Sheet1!CY181,hhdcap_wcm,3)-VLOOKUP(Sheet1!CY181,hhdcap_wcm,1)))*(VLOOKUP(Sheet1!CY181,hhdcap_wcm,4)-VLOOKUP(Sheet1!CY181,hhdcap_wcm,2))))</f>
        <v>50613.320000119289</v>
      </c>
      <c r="DG181" s="712">
        <f t="shared" si="689"/>
        <v>79.660000000258151</v>
      </c>
      <c r="DH181" s="712">
        <f t="shared" si="690"/>
        <v>40.171457387926445</v>
      </c>
      <c r="DI181" s="712">
        <f>Sheet1!DW181*AFtoMG</f>
        <v>0</v>
      </c>
      <c r="DJ181" s="712">
        <f>Sheet1!DX181*AFtoMG</f>
        <v>0</v>
      </c>
      <c r="DK181" s="712">
        <f>Sheet1!DY181*AFtoMG</f>
        <v>0</v>
      </c>
      <c r="DL181" s="712">
        <f>Sheet1!DZ181*AFtoMG</f>
        <v>0</v>
      </c>
      <c r="DM181" s="712">
        <f t="shared" si="691"/>
        <v>0</v>
      </c>
      <c r="DN181" s="712">
        <f t="shared" si="692"/>
        <v>0</v>
      </c>
      <c r="DO181" s="712">
        <f t="shared" si="693"/>
        <v>6518.9048239895692</v>
      </c>
      <c r="DP181" s="712">
        <f t="shared" si="694"/>
        <v>20000</v>
      </c>
      <c r="DQ181" s="712"/>
      <c r="DR181" s="697">
        <f>IF(OR(B181&lt;FL181,B181&gt;FM181),(MIN(AV181+BO181+CJ181+MAX(Sheet1!AA181+AG181-73,0),K181)),0)</f>
        <v>9.6363919667590014</v>
      </c>
      <c r="DS181" s="712"/>
      <c r="DT181" s="712">
        <f t="shared" si="695"/>
        <v>9.6363919667590014</v>
      </c>
      <c r="DU181" s="712"/>
      <c r="DV181" s="712">
        <f>Sheet1!ED181+Sheet1!EE181+Sheet1!EF181+Sheet1!EG181</f>
        <v>9.5</v>
      </c>
      <c r="DW181" s="712"/>
      <c r="DX181" s="697">
        <f t="shared" si="696"/>
        <v>0</v>
      </c>
      <c r="DY181" s="712">
        <f>IF(Sheet1!FN181=1,SUM('Calculations II'!AT181:BA181)+'Calculations II'!BC181+Sheet1!BU181+'Calculations II'!BE181+AF181,SUM('Calculations II'!AT181:BA181)+'Calculations II'!BC181+Sheet1!BU181+'Calculations II'!BE181+AF181)</f>
        <v>57.266127999999995</v>
      </c>
      <c r="DZ181" s="712">
        <f>Sheet1!AA181+Sheet1!AB181+'Calculations II'!BC181</f>
        <v>62.55</v>
      </c>
      <c r="EA181" s="712"/>
      <c r="EB181" s="712"/>
      <c r="EC181" s="712">
        <f t="shared" si="697"/>
        <v>40710</v>
      </c>
      <c r="ED181" s="712">
        <f t="shared" si="698"/>
        <v>0</v>
      </c>
      <c r="EE181" s="712">
        <f t="shared" si="699"/>
        <v>0</v>
      </c>
      <c r="EF181" s="712">
        <f>-(VLOOKUP(Sheet1!BQ181,Lookup!$B$4:$J$236,2)-VLOOKUP(Sheet1!BQ180,Lookup!$B$4:$J$236,2))/1000000</f>
        <v>-0.27379999999999999</v>
      </c>
      <c r="EG181" s="712">
        <f>-(VLOOKUP(Sheet1!BR181,Lookup!$B$4:$J$236,3)-VLOOKUP(Sheet1!BR180,Lookup!$B$4:$J$236,3))/1000000</f>
        <v>-0.54679999999999995</v>
      </c>
      <c r="EH181" s="712">
        <f>-(VLOOKUP(Sheet1!BS181,Lookup!$B$4:$J$236,4)-VLOOKUP(Sheet1!BS180,Lookup!$B$4:$J$236,4))/1000000</f>
        <v>0</v>
      </c>
      <c r="EI181" s="697">
        <f t="shared" si="700"/>
        <v>-0.8206</v>
      </c>
      <c r="EJ181" s="712"/>
      <c r="EK181" s="712"/>
      <c r="EL181" s="712"/>
      <c r="EM181" s="712"/>
      <c r="EN181" s="712"/>
      <c r="EO181" s="712"/>
      <c r="EP181" s="712"/>
      <c r="EQ181" s="712"/>
      <c r="ES181" s="712"/>
      <c r="ET181" s="794" t="e">
        <f t="shared" si="720"/>
        <v>#N/A</v>
      </c>
      <c r="EU181" s="697">
        <v>5000</v>
      </c>
      <c r="EV181" s="795">
        <f t="shared" si="640"/>
        <v>24393.320000119289</v>
      </c>
      <c r="EW181" s="796" t="s">
        <v>757</v>
      </c>
      <c r="EX181" s="796" t="s">
        <v>757</v>
      </c>
      <c r="EY181" s="794">
        <v>0</v>
      </c>
      <c r="EZ181" s="794" t="e">
        <v>#N/A</v>
      </c>
      <c r="FA181" s="712"/>
      <c r="FB181" s="712"/>
      <c r="FC181" s="712"/>
      <c r="FD181" s="712"/>
      <c r="FE181" s="712">
        <f>O181+Sheet1!CO181</f>
        <v>62.55</v>
      </c>
      <c r="FF181" s="712">
        <f>IF(Sheet1!AA181+AG181&lt;=Calculation!N181,AG181,Calculation!N181-Sheet1!AA181)</f>
        <v>19.413608033240997</v>
      </c>
      <c r="FG181" s="712">
        <f>(Sheet1!BP181+Sheet1!BO181)/694.4</f>
        <v>2.789746543778802</v>
      </c>
      <c r="FH181" s="712"/>
      <c r="FI181" s="712"/>
      <c r="FJ181" s="712"/>
      <c r="FK181" s="712"/>
      <c r="FL181" s="714">
        <f t="shared" si="632"/>
        <v>40753</v>
      </c>
      <c r="FM181" s="714">
        <f t="shared" si="633"/>
        <v>40851</v>
      </c>
      <c r="FN181" s="712"/>
      <c r="FO181" s="712"/>
      <c r="FP181" s="712"/>
      <c r="FQ181" s="712"/>
      <c r="FR181" s="712"/>
      <c r="FS181" s="725">
        <f t="shared" si="634"/>
        <v>40603</v>
      </c>
      <c r="FT181" s="714">
        <f t="shared" si="635"/>
        <v>40709</v>
      </c>
      <c r="FU181" s="712">
        <f t="shared" si="636"/>
        <v>6518.9048239895692</v>
      </c>
      <c r="FV181" s="714">
        <f t="shared" si="637"/>
        <v>40722</v>
      </c>
      <c r="FW181" s="712">
        <f t="shared" si="638"/>
        <v>3259.4524119947846</v>
      </c>
      <c r="FX181" s="725">
        <f t="shared" si="639"/>
        <v>40851</v>
      </c>
      <c r="FZ181" s="697">
        <f t="shared" si="616"/>
        <v>0</v>
      </c>
      <c r="GA181" s="712" t="str">
        <f t="shared" si="701"/>
        <v/>
      </c>
      <c r="GB181" s="712">
        <f t="shared" si="702"/>
        <v>0</v>
      </c>
      <c r="GC181" s="712" t="str">
        <f t="shared" si="703"/>
        <v/>
      </c>
      <c r="GD181" s="712">
        <f>IF(GA181="P",Lookup!$M$12,IF(GA181="PP",Lookup!$M$13,IF(GA181="PPP",Lookup!$M$14,IF(GA181="T",Lookup!$M$15,IF(GA181="TP",Lookup!$M$16,IF(GA181="TPP",Lookup!$M$17,IF(GA181="TPPP",Lookup!$M$18,0)))))))*FZ181</f>
        <v>0</v>
      </c>
      <c r="GE181" s="712">
        <f t="shared" si="704"/>
        <v>0</v>
      </c>
      <c r="GF181" s="712">
        <f t="shared" si="705"/>
        <v>8333.3333333333321</v>
      </c>
      <c r="GG181" s="712">
        <f t="shared" si="706"/>
        <v>2716.2103433289872</v>
      </c>
      <c r="GH181" s="712"/>
      <c r="GI181" s="712">
        <f t="shared" si="707"/>
        <v>0</v>
      </c>
      <c r="GJ181" s="712" t="str">
        <f t="shared" si="708"/>
        <v/>
      </c>
      <c r="GK181" s="712">
        <f>IF(GA181="P",Lookup!$N$12,IF(GA181="PP",Lookup!$N$13,IF(GA181="PPP",Lookup!$N$14,IF(GA181="T",Lookup!$N$15,IF(GA181="TP",Lookup!$N$16,IF(GA181="TPP",Lookup!$N$17,IF(GA181="TPPP",Lookup!$N$18,0)))))))*FZ181</f>
        <v>0</v>
      </c>
      <c r="GL181" s="712">
        <f t="shared" si="709"/>
        <v>0</v>
      </c>
      <c r="GM181" s="712">
        <f t="shared" si="710"/>
        <v>3888.8888888888882</v>
      </c>
      <c r="GN181" s="712">
        <f t="shared" si="711"/>
        <v>1267.5648268868606</v>
      </c>
      <c r="GO181" s="712"/>
      <c r="GP181" s="712">
        <f t="shared" si="712"/>
        <v>0</v>
      </c>
      <c r="GQ181" s="712" t="str">
        <f t="shared" si="713"/>
        <v/>
      </c>
      <c r="GR181" s="712">
        <f>IF(GA181="P",Lookup!$N$12,IF(GA181="PP",Lookup!$N$13,IF(GA181="PPP",Lookup!$N$14,IF(GA181="T",Lookup!$N$15,IF(GA181="TP",Lookup!$N$16,IF(GA181="TPP",Lookup!$N$17,IF(GA181="TPPP",Lookup!$N$18,0)))))))*FZ181</f>
        <v>0</v>
      </c>
      <c r="GS181" s="697">
        <f t="shared" si="628"/>
        <v>0</v>
      </c>
      <c r="GT181" s="712">
        <f t="shared" si="714"/>
        <v>3888.8888888888882</v>
      </c>
      <c r="GU181" s="712">
        <f t="shared" si="715"/>
        <v>1267.5648268868606</v>
      </c>
      <c r="GV181" s="712"/>
      <c r="GW181" s="712">
        <f t="shared" si="716"/>
        <v>0</v>
      </c>
      <c r="GX181" s="712" t="str">
        <f t="shared" si="717"/>
        <v/>
      </c>
      <c r="GY181" s="712">
        <f>IF(GA181="P",Lookup!$N$12,IF(GA181="PP",Lookup!$N$13,IF(GA181="PPP",Lookup!$N$14,IF(GA181="T",Lookup!$N$15,IF(GA181="TP",Lookup!$N$16,IF(GA181="TPP",Lookup!$N$17,IF(GA181="TPPP",Lookup!$N$18,0)))))))*FZ181</f>
        <v>0</v>
      </c>
      <c r="GZ181" s="697">
        <f t="shared" si="629"/>
        <v>0</v>
      </c>
      <c r="HA181" s="712">
        <f t="shared" si="718"/>
        <v>3888.8888888888882</v>
      </c>
      <c r="HB181" s="712">
        <f t="shared" si="719"/>
        <v>1267.5648268868606</v>
      </c>
      <c r="HC181" s="712"/>
    </row>
    <row r="182" spans="1:211">
      <c r="A182" s="773" t="s">
        <v>8</v>
      </c>
      <c r="B182" s="708">
        <v>40711</v>
      </c>
      <c r="C182" s="709">
        <v>0.5</v>
      </c>
      <c r="D182" s="675">
        <f t="shared" si="641"/>
        <v>300</v>
      </c>
      <c r="E182" s="675">
        <f t="shared" si="642"/>
        <v>250</v>
      </c>
      <c r="F182" s="675">
        <v>250</v>
      </c>
      <c r="G182" s="712">
        <f>DH182+Sheet1!CV182</f>
        <v>1204.2788703982528</v>
      </c>
      <c r="H182" s="712">
        <f t="shared" si="643"/>
        <v>511.48266182543063</v>
      </c>
      <c r="I182" s="711">
        <f>MAX(Sheet1!Z182-AJ182+(Sheet1!CW182-E182)*CFStoMGD,0)</f>
        <v>895.77201844805745</v>
      </c>
      <c r="J182" s="720">
        <f>IF(AND(B182&gt;=Calculation!FS182,B182&lt;=Calculation!FT182),IF(Sheet1!CX182&gt;=Calculation!D182,64.64,0),MAX(Sheet1!Z182-AJ182+(Sheet1!CX182-D182)*CFStoMGD,0))</f>
        <v>568.33001844805744</v>
      </c>
      <c r="K182" s="697">
        <f t="shared" si="644"/>
        <v>64.64</v>
      </c>
      <c r="L182" s="712">
        <f>Sheet1!AA182+Sheet1!AB182-Sheet1!L182+(Sheet1!CW182-F182)*CFStoMGD</f>
        <v>947.28866666665726</v>
      </c>
      <c r="M182" s="712">
        <f t="shared" si="645"/>
        <v>794.01477906193929</v>
      </c>
      <c r="N182" s="712">
        <f>IF(Sheet1!CW182&gt;=F182,MIN(73,MIN(MAX(L182,0),MAX(M182,0))),0)</f>
        <v>73</v>
      </c>
      <c r="O182" s="721">
        <f>Sheet1!AA182+Sheet1!AB182</f>
        <v>61.989999999990687</v>
      </c>
      <c r="P182" s="721">
        <f t="shared" si="646"/>
        <v>95.898529999985584</v>
      </c>
      <c r="Q182" s="712">
        <f>MIN(N182,Sheet1!AA182+AG182)</f>
        <v>52.386648218600357</v>
      </c>
      <c r="R182" s="712">
        <f t="shared" si="647"/>
        <v>9.6033517813903284</v>
      </c>
      <c r="S182" s="721">
        <f>Sheet1!Y182*MGDtoCFS</f>
        <v>51.60792</v>
      </c>
      <c r="T182" s="721">
        <f>Sheet1!Z182*MGDtoCFS</f>
        <v>46.038719999999998</v>
      </c>
      <c r="U182" s="721">
        <f>Sheet1!AA182*MGDtoCFS</f>
        <v>51.205699999986493</v>
      </c>
      <c r="V182" s="721">
        <f>Sheet1!AB182*MGDtoCFS</f>
        <v>44.692829999999098</v>
      </c>
      <c r="W182" s="721">
        <f>Sheet1!L182*MGDtoCFS</f>
        <v>0</v>
      </c>
      <c r="X182" s="697">
        <f t="shared" si="648"/>
        <v>0</v>
      </c>
      <c r="Y182" s="712">
        <f t="shared" si="649"/>
        <v>0</v>
      </c>
      <c r="Z182" s="712">
        <f t="shared" si="650"/>
        <v>0</v>
      </c>
      <c r="AA182" s="712">
        <f t="shared" si="651"/>
        <v>0</v>
      </c>
      <c r="AB182" s="712">
        <f>(VLOOKUP(Sheet1!CY182,hhdcap_wcm,4)-(((VLOOKUP(Sheet1!CY182,hhdcap_wcm,3)-Sheet1!CY182)/(VLOOKUP(Sheet1!CY182,hhdcap_wcm,3)-VLOOKUP(Sheet1!CY182,hhdcap_wcm,1)))*(VLOOKUP(Sheet1!CY182,hhdcap_wcm,4)-VLOOKUP(Sheet1!CY182,hhdcap_wcm,2))))</f>
        <v>50499.520000119024</v>
      </c>
      <c r="AC182" s="712">
        <f t="shared" si="652"/>
        <v>-113.80000000026484</v>
      </c>
      <c r="AD182" s="712">
        <f t="shared" si="653"/>
        <v>6518.9048239895692</v>
      </c>
      <c r="AE182" s="712">
        <f t="shared" si="654"/>
        <v>20000</v>
      </c>
      <c r="AF182" s="712">
        <f>Sheet1!BA182+Sheet1!BB182+Sheet1!BN182+BT182</f>
        <v>19.3</v>
      </c>
      <c r="AG182" s="712">
        <f t="shared" si="655"/>
        <v>19.286648218609091</v>
      </c>
      <c r="AH182" s="712">
        <f>Sheet1!BA182+BT182</f>
        <v>0</v>
      </c>
      <c r="AI182" s="712">
        <f>Sheet1!BA182+Sheet1!BB182+BT182</f>
        <v>0</v>
      </c>
      <c r="AJ182" s="712">
        <f>IF((Sheet1!AA182+AG182+AX182+AZ182+BQ182+BS182+CL182+CN182)&lt;=N182,AG182+AX182+AZ182+BQ182+BS182+CL182+CN182,N182-Sheet1!AA182)</f>
        <v>19.286648218609091</v>
      </c>
      <c r="AK182" s="712">
        <f>IF(DR182&lt;K182,0,MAX(Sheet1!AA182+AG182-15/36*K182-N182,Sheet1!ED182,0))</f>
        <v>0</v>
      </c>
      <c r="AL182" s="712">
        <f>IF(OR(B182&gt;=FT182,B182&lt;FS182),0,15/36*K182-MAX(0,64.6-(137.6-(Sheet1!AA182+Sheet1!AB182))))</f>
        <v>0</v>
      </c>
      <c r="AM182" s="712">
        <f>Sheet1!CX182-110</f>
        <v>1053.0208333333333</v>
      </c>
      <c r="AN182" s="712">
        <f>Sheet1!CW182-265</f>
        <v>1354.5833333333333</v>
      </c>
      <c r="AO182" s="712">
        <f t="shared" si="622"/>
        <v>20.613351781399643</v>
      </c>
      <c r="AP182" s="712">
        <f t="shared" si="656"/>
        <v>0</v>
      </c>
      <c r="AQ182" s="712">
        <f t="shared" si="657"/>
        <v>0</v>
      </c>
      <c r="AR182" s="712">
        <f t="shared" si="658"/>
        <v>2716.2103433289872</v>
      </c>
      <c r="AS182" s="712"/>
      <c r="AT182" s="712">
        <f ca="1">IF(B182&gt;Summary!$A$1,#N/A,AR182*MGtoAF)</f>
        <v>8333.3333333333321</v>
      </c>
      <c r="AU182" s="712">
        <f>Sheet1!BG182+Sheet1!BH182+Sheet1!BI182-BC182</f>
        <v>0</v>
      </c>
      <c r="AV182" s="712">
        <f t="shared" si="659"/>
        <v>0</v>
      </c>
      <c r="AW182" s="712">
        <f>IF(Sheet1!EL182="FM",BC182,0)</f>
        <v>0</v>
      </c>
      <c r="AX182" s="712">
        <f t="shared" si="660"/>
        <v>0</v>
      </c>
      <c r="AY182" s="712">
        <f>IF(Sheet1!EL182="OTHER",BC182,0)</f>
        <v>0</v>
      </c>
      <c r="AZ182" s="712">
        <f t="shared" si="661"/>
        <v>0</v>
      </c>
      <c r="BA182" s="712">
        <f t="shared" si="662"/>
        <v>0</v>
      </c>
      <c r="BB182" s="712">
        <f t="shared" si="663"/>
        <v>0</v>
      </c>
      <c r="BC182" s="712">
        <f>IF(OR(Sheet1!EL182="FM", Sheet1!EL182="OTHER"),SUM(Sheet1!BG182:'Sheet1'!BI182),0)</f>
        <v>0</v>
      </c>
      <c r="BD182" s="697">
        <f>IF(AND($B182&gt;=$FL182,$B182&lt;=$FM182),MAX(AV182,Sheet1!EE182,0),MAX(AV182-(7/36)*$K182,0))</f>
        <v>0</v>
      </c>
      <c r="BE182" s="712">
        <f t="shared" si="664"/>
        <v>0</v>
      </c>
      <c r="BF182" s="697">
        <f t="shared" si="665"/>
        <v>0</v>
      </c>
      <c r="BG182" s="697">
        <f>IF(AND($O182&gt;0,Sheet1!EI182=1),(1-($O182-Sheet1!$L182)/$O182)*BB182,0)</f>
        <v>0</v>
      </c>
      <c r="BH182" s="697">
        <f>IF(AND(Sheet1!$L182=0,Sheet1!$L181=0, Calculation!BA182&lt;Sheet1!$EE182-0.1,Sheet1!$EE182=Sheet1!$EE181,Sheet1!$EE182=Sheet1!$EE183),Sheet1!$EE182,BB182-BG182)</f>
        <v>0</v>
      </c>
      <c r="BI182" s="712"/>
      <c r="BJ182" s="712"/>
      <c r="BK182" s="712">
        <f t="shared" si="666"/>
        <v>1267.5648268868606</v>
      </c>
      <c r="BL182" s="712"/>
      <c r="BM182" s="712">
        <f ca="1">IF(B182&gt;Summary!$A$1,#N/A,BK182*MGtoAF)</f>
        <v>3888.8888888888882</v>
      </c>
      <c r="BN182" s="712">
        <f>Sheet1!BC182+Sheet1!BD182+Sheet1!BE182+Sheet1!BF182-BW182-BX182</f>
        <v>2.5700000000000003</v>
      </c>
      <c r="BO182" s="712">
        <f t="shared" si="667"/>
        <v>2.5682220684883608</v>
      </c>
      <c r="BP182" s="712">
        <f>IF(Sheet1!EM182="FM",BX182,0)</f>
        <v>0</v>
      </c>
      <c r="BQ182" s="712">
        <f t="shared" si="668"/>
        <v>0</v>
      </c>
      <c r="BR182" s="712">
        <f>IF(Sheet1!EM182="OTHER",BX182,0)</f>
        <v>0</v>
      </c>
      <c r="BS182" s="712">
        <f t="shared" si="669"/>
        <v>0</v>
      </c>
      <c r="BT182" s="712">
        <f t="shared" si="670"/>
        <v>0</v>
      </c>
      <c r="BU182" s="712">
        <f t="shared" si="671"/>
        <v>2.5700000000000003</v>
      </c>
      <c r="BV182" s="712">
        <f t="shared" si="672"/>
        <v>2.5682220684883608</v>
      </c>
      <c r="BW182" s="712">
        <f>IF(Sheet1!EM182="CWA",SUM(Sheet1!BC182:'Sheet1'!BF182),0)</f>
        <v>0</v>
      </c>
      <c r="BX182" s="712">
        <f>IF(OR(Sheet1!EM182="FM", Sheet1!EM182="OTHER"),SUM(Sheet1!BC182:'Sheet1'!BF182),0)</f>
        <v>0</v>
      </c>
      <c r="BY182" s="697">
        <f>IF(AND($B182&gt;=$FL182,$B182&lt;=$FM182),MAX(BV182,Sheet1!EF182,0),MAX(BV182-(7/36)*$K182,0))</f>
        <v>0</v>
      </c>
      <c r="BZ182" s="712">
        <f t="shared" si="673"/>
        <v>0</v>
      </c>
      <c r="CA182" s="697">
        <f t="shared" si="674"/>
        <v>2.5682220684883608</v>
      </c>
      <c r="CB182" s="697">
        <f>IF(AND($O182&gt;0,Sheet1!EJ182=1),(1-($O182-Sheet1!$L182)/$O182)*BV182,0)</f>
        <v>0</v>
      </c>
      <c r="CC182" s="697">
        <f>IF(AND(Sheet1!$L182=0,Sheet1!$L181=0, Calculation!BU182&lt;Sheet1!EF182-0.1,Sheet1!EF182=Sheet1!EF181,Sheet1!EF182=Sheet1!EF183),Sheet1!EF182,BV182-CB182)</f>
        <v>2.5682220684883608</v>
      </c>
      <c r="CD182" s="697"/>
      <c r="CE182" s="712"/>
      <c r="CF182" s="712">
        <f t="shared" si="675"/>
        <v>1267.5648268868606</v>
      </c>
      <c r="CG182" s="712"/>
      <c r="CH182" s="712">
        <f ca="1">IF(B182&gt;Summary!$A$1,#N/A,CF182*MGtoAF)</f>
        <v>3888.8888888888882</v>
      </c>
      <c r="CI182" s="712">
        <f>Sheet1!BK182+Sheet1!BL182+Sheet1!BM182-Sheet1!EN182-CQ182</f>
        <v>7.04</v>
      </c>
      <c r="CJ182" s="712">
        <f t="shared" si="676"/>
        <v>7.0351297129019681</v>
      </c>
      <c r="CK182" s="712">
        <f>IF(Sheet1!EN182="FM",CQ182,0)</f>
        <v>0</v>
      </c>
      <c r="CL182" s="712">
        <f t="shared" si="677"/>
        <v>0</v>
      </c>
      <c r="CM182" s="712">
        <f>IF(Sheet1!EN182="OTHER",CQ182,0)</f>
        <v>0</v>
      </c>
      <c r="CN182" s="712">
        <f t="shared" si="678"/>
        <v>0</v>
      </c>
      <c r="CO182" s="712">
        <f t="shared" si="679"/>
        <v>7.04</v>
      </c>
      <c r="CP182" s="712">
        <f t="shared" si="680"/>
        <v>7.0351297129019681</v>
      </c>
      <c r="CQ182" s="712">
        <f>IF(OR(Sheet1!EN182="FM", Sheet1!EN182="OTHER"),SUM(Sheet1!BK182:'Sheet1'!BM182),0)</f>
        <v>0</v>
      </c>
      <c r="CR182" s="697">
        <f>IF(AND($B182&gt;=$FL182,$B182&lt;=$FM182),MAX($CJ182,Sheet1!EG182,0),MAX($CJ182-(7/36)*$K182,0))</f>
        <v>0</v>
      </c>
      <c r="CS182" s="712">
        <f t="shared" si="681"/>
        <v>0</v>
      </c>
      <c r="CT182" s="697">
        <f t="shared" si="682"/>
        <v>7.0351297129019681</v>
      </c>
      <c r="CU182" s="697">
        <f>IF(AND($O182&gt;0,Sheet1!EK182=1),(1-($O182-Sheet1!$L182)/$O182)*CP182,0)</f>
        <v>0</v>
      </c>
      <c r="CV182" s="697">
        <f>IF(AND(Sheet1!$L182=0,Sheet1!$L181=0, Calculation!CO182&lt;Sheet1!$EG182-0.1,Sheet1!$EG182=Sheet1!$EG181,Sheet1!$EG182=Sheet1!$EG183),Sheet1!$EG182,CP182-CU182)</f>
        <v>7.0351297129019681</v>
      </c>
      <c r="CW182" s="697">
        <f t="shared" si="613"/>
        <v>0</v>
      </c>
      <c r="CX182" s="712">
        <f t="shared" si="683"/>
        <v>9.61</v>
      </c>
      <c r="CY182" s="712">
        <f t="shared" si="684"/>
        <v>1267.5648268868606</v>
      </c>
      <c r="CZ182" s="712">
        <f t="shared" si="685"/>
        <v>9.6033517813903284</v>
      </c>
      <c r="DA182" s="712">
        <f ca="1">IF(B182&gt;Summary!$A$1,#N/A,CY182*MGtoAF)</f>
        <v>3888.8888888888882</v>
      </c>
      <c r="DB182" s="712">
        <f t="shared" si="686"/>
        <v>9.61</v>
      </c>
      <c r="DC182" s="712">
        <f t="shared" si="687"/>
        <v>28.91</v>
      </c>
      <c r="DD182" s="712">
        <f>Sheet1!AB182-DC182</f>
        <v>-2.0000000000582219E-2</v>
      </c>
      <c r="DE182" s="712">
        <f t="shared" si="688"/>
        <v>-6.918021446067872E-4</v>
      </c>
      <c r="DF182" s="712">
        <f>(VLOOKUP(Sheet1!CY182,hhdcap_wcm,4)-(((VLOOKUP(Sheet1!CY182,hhdcap_wcm,3)-Sheet1!CY182)/(VLOOKUP(Sheet1!CY182,hhdcap_wcm,3)-VLOOKUP(Sheet1!CY182,hhdcap_wcm,1)))*(VLOOKUP(Sheet1!CY182,hhdcap_wcm,4)-VLOOKUP(Sheet1!CY182,hhdcap_wcm,2))))</f>
        <v>50499.520000119024</v>
      </c>
      <c r="DG182" s="712">
        <f t="shared" si="689"/>
        <v>-113.80000000026484</v>
      </c>
      <c r="DH182" s="712">
        <f t="shared" si="690"/>
        <v>-57.387796268413936</v>
      </c>
      <c r="DI182" s="712">
        <f>Sheet1!DW182*AFtoMG</f>
        <v>0</v>
      </c>
      <c r="DJ182" s="712">
        <f>Sheet1!DX182*AFtoMG</f>
        <v>0</v>
      </c>
      <c r="DK182" s="712">
        <f>Sheet1!DY182*AFtoMG</f>
        <v>0</v>
      </c>
      <c r="DL182" s="712">
        <f>Sheet1!DZ182*AFtoMG</f>
        <v>0</v>
      </c>
      <c r="DM182" s="712">
        <f t="shared" si="691"/>
        <v>0</v>
      </c>
      <c r="DN182" s="712">
        <f t="shared" si="692"/>
        <v>0</v>
      </c>
      <c r="DO182" s="712">
        <f t="shared" si="693"/>
        <v>6518.9048239895692</v>
      </c>
      <c r="DP182" s="712">
        <f t="shared" si="694"/>
        <v>20000</v>
      </c>
      <c r="DQ182" s="712"/>
      <c r="DR182" s="697">
        <f>IF(OR(B182&lt;FL182,B182&gt;FM182),(MIN(AV182+BO182+CJ182+MAX(Sheet1!AA182+AG182-73,0),K182)),0)</f>
        <v>9.6033517813903284</v>
      </c>
      <c r="DS182" s="712"/>
      <c r="DT182" s="712">
        <f t="shared" si="695"/>
        <v>9.6033517813903284</v>
      </c>
      <c r="DU182" s="712"/>
      <c r="DV182" s="712">
        <f>Sheet1!ED182+Sheet1!EE182+Sheet1!EF182+Sheet1!EG182</f>
        <v>9.5</v>
      </c>
      <c r="DW182" s="712"/>
      <c r="DX182" s="697">
        <f t="shared" si="696"/>
        <v>0</v>
      </c>
      <c r="DY182" s="712">
        <f>IF(Sheet1!FN182=1,SUM('Calculations II'!AT182:BA182)+'Calculations II'!BC182+Sheet1!BU182+'Calculations II'!BE182+AF182,SUM('Calculations II'!AT182:BA182)+'Calculations II'!BC182+Sheet1!BU182+'Calculations II'!BE182+AF182)</f>
        <v>56.731040000000007</v>
      </c>
      <c r="DZ182" s="712">
        <f>Sheet1!AA182+Sheet1!AB182+'Calculations II'!BC182</f>
        <v>61.989999999990687</v>
      </c>
      <c r="EA182" s="712"/>
      <c r="EB182" s="712"/>
      <c r="EC182" s="712">
        <f t="shared" si="697"/>
        <v>40711</v>
      </c>
      <c r="ED182" s="712">
        <f t="shared" si="698"/>
        <v>0</v>
      </c>
      <c r="EE182" s="712">
        <f t="shared" si="699"/>
        <v>0</v>
      </c>
      <c r="EF182" s="712">
        <f>-(VLOOKUP(Sheet1!BQ182,Lookup!$B$4:$J$236,2)-VLOOKUP(Sheet1!BQ181,Lookup!$B$4:$J$236,2))/1000000</f>
        <v>2.1865999999999999</v>
      </c>
      <c r="EG182" s="712">
        <f>-(VLOOKUP(Sheet1!BR182,Lookup!$B$4:$J$236,3)-VLOOKUP(Sheet1!BR181,Lookup!$B$4:$J$236,3))/1000000</f>
        <v>2.1838000000000002</v>
      </c>
      <c r="EH182" s="712">
        <f>-(VLOOKUP(Sheet1!BS182,Lookup!$B$4:$J$236,4)-VLOOKUP(Sheet1!BS181,Lookup!$B$4:$J$236,4))/1000000</f>
        <v>0</v>
      </c>
      <c r="EI182" s="697">
        <f t="shared" si="700"/>
        <v>4.3704000000000001</v>
      </c>
      <c r="EJ182" s="712"/>
      <c r="EK182" s="712"/>
      <c r="EL182" s="712"/>
      <c r="EM182" s="712"/>
      <c r="EN182" s="712"/>
      <c r="EO182" s="712"/>
      <c r="EP182" s="712"/>
      <c r="EQ182" s="712"/>
      <c r="ES182" s="712"/>
      <c r="ET182" s="794" t="e">
        <f t="shared" si="720"/>
        <v>#N/A</v>
      </c>
      <c r="EU182" s="697">
        <v>5000</v>
      </c>
      <c r="EV182" s="795">
        <f t="shared" si="640"/>
        <v>24279.520000119024</v>
      </c>
      <c r="EW182" s="796" t="s">
        <v>757</v>
      </c>
      <c r="EX182" s="796" t="s">
        <v>757</v>
      </c>
      <c r="EY182" s="794">
        <v>0</v>
      </c>
      <c r="EZ182" s="794" t="e">
        <v>#N/A</v>
      </c>
      <c r="FA182" s="712"/>
      <c r="FB182" s="712"/>
      <c r="FC182" s="712"/>
      <c r="FD182" s="712"/>
      <c r="FE182" s="712">
        <f>O182+Sheet1!CO182</f>
        <v>61.989999999990687</v>
      </c>
      <c r="FF182" s="712">
        <f>IF(Sheet1!AA182+AG182&lt;=Calculation!N182,AG182,Calculation!N182-Sheet1!AA182)</f>
        <v>19.286648218609091</v>
      </c>
      <c r="FG182" s="712">
        <f>(Sheet1!BP182+Sheet1!BO182)/694.4</f>
        <v>3.1584101382488479</v>
      </c>
      <c r="FH182" s="712"/>
      <c r="FI182" s="712"/>
      <c r="FJ182" s="712"/>
      <c r="FK182" s="712"/>
      <c r="FL182" s="714">
        <f t="shared" si="632"/>
        <v>40753</v>
      </c>
      <c r="FM182" s="714">
        <f t="shared" si="633"/>
        <v>40851</v>
      </c>
      <c r="FN182" s="712"/>
      <c r="FO182" s="712"/>
      <c r="FP182" s="712"/>
      <c r="FQ182" s="712"/>
      <c r="FR182" s="712"/>
      <c r="FS182" s="725">
        <f t="shared" si="634"/>
        <v>40603</v>
      </c>
      <c r="FT182" s="714">
        <f t="shared" si="635"/>
        <v>40709</v>
      </c>
      <c r="FU182" s="712">
        <f t="shared" si="636"/>
        <v>6518.9048239895692</v>
      </c>
      <c r="FV182" s="714">
        <f t="shared" si="637"/>
        <v>40722</v>
      </c>
      <c r="FW182" s="712">
        <f t="shared" si="638"/>
        <v>3259.4524119947846</v>
      </c>
      <c r="FX182" s="725">
        <f t="shared" si="639"/>
        <v>40851</v>
      </c>
      <c r="FZ182" s="697">
        <f t="shared" si="616"/>
        <v>0</v>
      </c>
      <c r="GA182" s="712" t="str">
        <f t="shared" si="701"/>
        <v/>
      </c>
      <c r="GB182" s="712">
        <f t="shared" si="702"/>
        <v>0</v>
      </c>
      <c r="GC182" s="712" t="str">
        <f t="shared" si="703"/>
        <v/>
      </c>
      <c r="GD182" s="712">
        <f>IF(GA182="P",Lookup!$M$12,IF(GA182="PP",Lookup!$M$13,IF(GA182="PPP",Lookup!$M$14,IF(GA182="T",Lookup!$M$15,IF(GA182="TP",Lookup!$M$16,IF(GA182="TPP",Lookup!$M$17,IF(GA182="TPPP",Lookup!$M$18,0)))))))*FZ182</f>
        <v>0</v>
      </c>
      <c r="GE182" s="712">
        <f t="shared" si="704"/>
        <v>0</v>
      </c>
      <c r="GF182" s="712">
        <f t="shared" si="705"/>
        <v>8333.3333333333321</v>
      </c>
      <c r="GG182" s="712">
        <f t="shared" si="706"/>
        <v>2716.2103433289872</v>
      </c>
      <c r="GH182" s="712"/>
      <c r="GI182" s="712">
        <f t="shared" si="707"/>
        <v>0</v>
      </c>
      <c r="GJ182" s="712" t="str">
        <f t="shared" si="708"/>
        <v/>
      </c>
      <c r="GK182" s="712">
        <f>IF(GA182="P",Lookup!$N$12,IF(GA182="PP",Lookup!$N$13,IF(GA182="PPP",Lookup!$N$14,IF(GA182="T",Lookup!$N$15,IF(GA182="TP",Lookup!$N$16,IF(GA182="TPP",Lookup!$N$17,IF(GA182="TPPP",Lookup!$N$18,0)))))))*FZ182</f>
        <v>0</v>
      </c>
      <c r="GL182" s="712">
        <f t="shared" si="709"/>
        <v>0</v>
      </c>
      <c r="GM182" s="712">
        <f t="shared" si="710"/>
        <v>3888.8888888888882</v>
      </c>
      <c r="GN182" s="712">
        <f t="shared" si="711"/>
        <v>1267.5648268868606</v>
      </c>
      <c r="GO182" s="712"/>
      <c r="GP182" s="712">
        <f t="shared" si="712"/>
        <v>0</v>
      </c>
      <c r="GQ182" s="712" t="str">
        <f t="shared" si="713"/>
        <v/>
      </c>
      <c r="GR182" s="712">
        <f>IF(GA182="P",Lookup!$N$12,IF(GA182="PP",Lookup!$N$13,IF(GA182="PPP",Lookup!$N$14,IF(GA182="T",Lookup!$N$15,IF(GA182="TP",Lookup!$N$16,IF(GA182="TPP",Lookup!$N$17,IF(GA182="TPPP",Lookup!$N$18,0)))))))*FZ182</f>
        <v>0</v>
      </c>
      <c r="GS182" s="697">
        <f t="shared" si="628"/>
        <v>0</v>
      </c>
      <c r="GT182" s="712">
        <f t="shared" si="714"/>
        <v>3888.8888888888882</v>
      </c>
      <c r="GU182" s="712">
        <f t="shared" si="715"/>
        <v>1267.5648268868606</v>
      </c>
      <c r="GV182" s="712"/>
      <c r="GW182" s="712">
        <f t="shared" si="716"/>
        <v>0</v>
      </c>
      <c r="GX182" s="712" t="str">
        <f t="shared" si="717"/>
        <v/>
      </c>
      <c r="GY182" s="712">
        <f>IF(GA182="P",Lookup!$N$12,IF(GA182="PP",Lookup!$N$13,IF(GA182="PPP",Lookup!$N$14,IF(GA182="T",Lookup!$N$15,IF(GA182="TP",Lookup!$N$16,IF(GA182="TPP",Lookup!$N$17,IF(GA182="TPPP",Lookup!$N$18,0)))))))*FZ182</f>
        <v>0</v>
      </c>
      <c r="GZ182" s="697">
        <f t="shared" si="629"/>
        <v>0</v>
      </c>
      <c r="HA182" s="712">
        <f t="shared" si="718"/>
        <v>3888.8888888888882</v>
      </c>
      <c r="HB182" s="712">
        <f t="shared" si="719"/>
        <v>1267.5648268868606</v>
      </c>
      <c r="HC182" s="712"/>
    </row>
    <row r="183" spans="1:211">
      <c r="A183" s="773" t="s">
        <v>9</v>
      </c>
      <c r="B183" s="708">
        <v>40712</v>
      </c>
      <c r="C183" s="719">
        <v>0.5</v>
      </c>
      <c r="D183" s="675">
        <f t="shared" si="641"/>
        <v>300</v>
      </c>
      <c r="E183" s="675">
        <f t="shared" si="642"/>
        <v>250</v>
      </c>
      <c r="F183" s="675">
        <v>250</v>
      </c>
      <c r="G183" s="712">
        <f>DH183+Sheet1!CV183</f>
        <v>1331.0445306847337</v>
      </c>
      <c r="H183" s="712">
        <f t="shared" si="643"/>
        <v>593.42398463461177</v>
      </c>
      <c r="I183" s="711">
        <f>MAX(Sheet1!Z183-AJ183+(Sheet1!CW183-E183)*CFStoMGD,0)</f>
        <v>1012.6163132363091</v>
      </c>
      <c r="J183" s="720">
        <f>IF(AND(B183&gt;=Calculation!FS183,B183&lt;=Calculation!FT183),IF(Sheet1!CX183&gt;=Calculation!D183,64.64,0),MAX(Sheet1!Z183-AJ183+(Sheet1!CX183-D183)*CFStoMGD,0))</f>
        <v>624.37231323630908</v>
      </c>
      <c r="K183" s="697">
        <f t="shared" si="644"/>
        <v>64.64</v>
      </c>
      <c r="L183" s="712">
        <f>Sheet1!AA183+Sheet1!AB183-Sheet1!L183+(Sheet1!CW183-F183)*CFStoMGD</f>
        <v>1065.2600000000089</v>
      </c>
      <c r="M183" s="712">
        <f t="shared" si="645"/>
        <v>877.59492832730416</v>
      </c>
      <c r="N183" s="712">
        <f>IF(Sheet1!CW183&gt;=F183,MIN(73,MIN(MAX(L183,0),MAX(M183,0))),0)</f>
        <v>73</v>
      </c>
      <c r="O183" s="721">
        <f>Sheet1!AA183+Sheet1!AB183</f>
        <v>62.330000000009022</v>
      </c>
      <c r="P183" s="721">
        <f t="shared" si="646"/>
        <v>96.424510000013953</v>
      </c>
      <c r="Q183" s="712">
        <f>MIN(N183,Sheet1!AA183+AG183)</f>
        <v>52.713686763693758</v>
      </c>
      <c r="R183" s="712">
        <f t="shared" si="647"/>
        <v>9.6163132363152606</v>
      </c>
      <c r="S183" s="721">
        <f>Sheet1!Y183*MGDtoCFS</f>
        <v>51.979199999999999</v>
      </c>
      <c r="T183" s="721">
        <f>Sheet1!Z183*MGDtoCFS</f>
        <v>45.017699999999998</v>
      </c>
      <c r="U183" s="721">
        <f>Sheet1!AA183*MGDtoCFS</f>
        <v>51.515100000004502</v>
      </c>
      <c r="V183" s="721">
        <f>Sheet1!AB183*MGDtoCFS</f>
        <v>44.909410000009451</v>
      </c>
      <c r="W183" s="721">
        <f>Sheet1!L183*MGDtoCFS</f>
        <v>0</v>
      </c>
      <c r="X183" s="697">
        <f t="shared" si="648"/>
        <v>0</v>
      </c>
      <c r="Y183" s="712">
        <f t="shared" si="649"/>
        <v>0</v>
      </c>
      <c r="Z183" s="712">
        <f t="shared" si="650"/>
        <v>0</v>
      </c>
      <c r="AA183" s="712">
        <f t="shared" si="651"/>
        <v>0</v>
      </c>
      <c r="AB183" s="712">
        <f>(VLOOKUP(Sheet1!CY183,hhdcap_wcm,4)-(((VLOOKUP(Sheet1!CY183,hhdcap_wcm,3)-Sheet1!CY183)/(VLOOKUP(Sheet1!CY183,hhdcap_wcm,3)-VLOOKUP(Sheet1!CY183,hhdcap_wcm,1)))*(VLOOKUP(Sheet1!CY183,hhdcap_wcm,4)-VLOOKUP(Sheet1!CY183,hhdcap_wcm,2))))</f>
        <v>50465.380000119025</v>
      </c>
      <c r="AC183" s="712">
        <f t="shared" si="652"/>
        <v>-34.139999999999418</v>
      </c>
      <c r="AD183" s="712">
        <f t="shared" si="653"/>
        <v>6518.9048239895692</v>
      </c>
      <c r="AE183" s="712">
        <f t="shared" si="654"/>
        <v>20000</v>
      </c>
      <c r="AF183" s="712">
        <f>Sheet1!BA183+Sheet1!BB183+Sheet1!BN183+BT183</f>
        <v>19.3</v>
      </c>
      <c r="AG183" s="712">
        <f t="shared" si="655"/>
        <v>19.413686763690851</v>
      </c>
      <c r="AH183" s="712">
        <f>Sheet1!BA183+BT183</f>
        <v>0</v>
      </c>
      <c r="AI183" s="712">
        <f>Sheet1!BA183+Sheet1!BB183+BT183</f>
        <v>0</v>
      </c>
      <c r="AJ183" s="712">
        <f>IF((Sheet1!AA183+AG183+AX183+AZ183+BQ183+BS183+CL183+CN183)&lt;=N183,AG183+AX183+AZ183+BQ183+BS183+CL183+CN183,N183-Sheet1!AA183)</f>
        <v>19.413686763690851</v>
      </c>
      <c r="AK183" s="712">
        <f>IF(DR183&lt;K183,0,MAX(Sheet1!AA183+AG183-15/36*K183-N183,Sheet1!ED183,0))</f>
        <v>0</v>
      </c>
      <c r="AL183" s="712">
        <f>IF(OR(B183&gt;=FT183,B183&lt;FS183),0,15/36*K183-MAX(0,64.6-(137.6-(Sheet1!AA183+Sheet1!AB183))))</f>
        <v>0</v>
      </c>
      <c r="AM183" s="712">
        <f>Sheet1!CX183-110</f>
        <v>1140.9375</v>
      </c>
      <c r="AN183" s="712">
        <f>Sheet1!CW183-265</f>
        <v>1536.5625</v>
      </c>
      <c r="AO183" s="712">
        <f t="shared" si="622"/>
        <v>20.286313236306242</v>
      </c>
      <c r="AP183" s="712">
        <f t="shared" si="656"/>
        <v>0</v>
      </c>
      <c r="AQ183" s="712">
        <f t="shared" si="657"/>
        <v>0</v>
      </c>
      <c r="AR183" s="712">
        <f t="shared" si="658"/>
        <v>2716.2103433289872</v>
      </c>
      <c r="AS183" s="712"/>
      <c r="AT183" s="712">
        <f ca="1">IF(B183&gt;Summary!$A$1,#N/A,AR183*MGtoAF)</f>
        <v>8333.3333333333321</v>
      </c>
      <c r="AU183" s="712">
        <f>Sheet1!BG183+Sheet1!BH183+Sheet1!BI183-BC183</f>
        <v>0</v>
      </c>
      <c r="AV183" s="712">
        <f t="shared" si="659"/>
        <v>0</v>
      </c>
      <c r="AW183" s="712">
        <f>IF(Sheet1!EL183="FM",BC183,0)</f>
        <v>0</v>
      </c>
      <c r="AX183" s="712">
        <f t="shared" si="660"/>
        <v>0</v>
      </c>
      <c r="AY183" s="712">
        <f>IF(Sheet1!EL183="OTHER",BC183,0)</f>
        <v>0</v>
      </c>
      <c r="AZ183" s="712">
        <f t="shared" si="661"/>
        <v>0</v>
      </c>
      <c r="BA183" s="712">
        <f t="shared" si="662"/>
        <v>0</v>
      </c>
      <c r="BB183" s="712">
        <f t="shared" si="663"/>
        <v>0</v>
      </c>
      <c r="BC183" s="712">
        <f>IF(OR(Sheet1!EL183="FM", Sheet1!EL183="OTHER"),SUM(Sheet1!BG183:'Sheet1'!BI183),0)</f>
        <v>0</v>
      </c>
      <c r="BD183" s="697">
        <f>IF(AND($B183&gt;=$FL183,$B183&lt;=$FM183),MAX(AV183,Sheet1!EE183,0),MAX(AV183-(7/36)*$K183,0))</f>
        <v>0</v>
      </c>
      <c r="BE183" s="712">
        <f t="shared" si="664"/>
        <v>0</v>
      </c>
      <c r="BF183" s="697">
        <f t="shared" si="665"/>
        <v>0</v>
      </c>
      <c r="BG183" s="697">
        <f>IF(AND($O183&gt;0,Sheet1!EI183=1),(1-($O183-Sheet1!$L183)/$O183)*BB183,0)</f>
        <v>0</v>
      </c>
      <c r="BH183" s="697">
        <f>IF(AND(Sheet1!$L183=0,Sheet1!$L182=0, Calculation!BA183&lt;Sheet1!$EE183-0.1,Sheet1!$EE183=Sheet1!$EE182,Sheet1!$EE183=Sheet1!$EE184),Sheet1!$EE183,BB183-BG183)</f>
        <v>0</v>
      </c>
      <c r="BI183" s="712"/>
      <c r="BJ183" s="712"/>
      <c r="BK183" s="712">
        <f t="shared" si="666"/>
        <v>1267.5648268868606</v>
      </c>
      <c r="BL183" s="712"/>
      <c r="BM183" s="712">
        <f ca="1">IF(B183&gt;Summary!$A$1,#N/A,BK183*MGtoAF)</f>
        <v>3888.8888888888882</v>
      </c>
      <c r="BN183" s="712">
        <f>Sheet1!BC183+Sheet1!BD183+Sheet1!BE183+Sheet1!BF183-BW183-BX183</f>
        <v>2.5099999999999998</v>
      </c>
      <c r="BO183" s="712">
        <f t="shared" si="667"/>
        <v>2.5247851697857011</v>
      </c>
      <c r="BP183" s="712">
        <f>IF(Sheet1!EM183="FM",BX183,0)</f>
        <v>0</v>
      </c>
      <c r="BQ183" s="712">
        <f t="shared" si="668"/>
        <v>0</v>
      </c>
      <c r="BR183" s="712">
        <f>IF(Sheet1!EM183="OTHER",BX183,0)</f>
        <v>0</v>
      </c>
      <c r="BS183" s="712">
        <f t="shared" si="669"/>
        <v>0</v>
      </c>
      <c r="BT183" s="712">
        <f t="shared" si="670"/>
        <v>0</v>
      </c>
      <c r="BU183" s="712">
        <f t="shared" si="671"/>
        <v>2.5099999999999998</v>
      </c>
      <c r="BV183" s="712">
        <f t="shared" si="672"/>
        <v>2.5247851697857011</v>
      </c>
      <c r="BW183" s="712">
        <f>IF(Sheet1!EM183="CWA",SUM(Sheet1!BC183:'Sheet1'!BF183),0)</f>
        <v>0</v>
      </c>
      <c r="BX183" s="712">
        <f>IF(OR(Sheet1!EM183="FM", Sheet1!EM183="OTHER"),SUM(Sheet1!BC183:'Sheet1'!BF183),0)</f>
        <v>0</v>
      </c>
      <c r="BY183" s="697">
        <f>IF(AND($B183&gt;=$FL183,$B183&lt;=$FM183),MAX(BV183,Sheet1!EF183,0),MAX(BV183-(7/36)*$K183,0))</f>
        <v>0</v>
      </c>
      <c r="BZ183" s="712">
        <f t="shared" si="673"/>
        <v>0</v>
      </c>
      <c r="CA183" s="697">
        <f t="shared" si="674"/>
        <v>2.5247851697857011</v>
      </c>
      <c r="CB183" s="697">
        <f>IF(AND($O183&gt;0,Sheet1!EJ183=1),(1-($O183-Sheet1!$L183)/$O183)*BV183,0)</f>
        <v>0</v>
      </c>
      <c r="CC183" s="697">
        <f>IF(AND(Sheet1!$L183=0,Sheet1!$L182=0, Calculation!BU183&lt;Sheet1!EF183-0.1,Sheet1!EF183=Sheet1!EF182,Sheet1!EF183=Sheet1!EF184),Sheet1!EF183,BV183-CB183)</f>
        <v>2.5247851697857011</v>
      </c>
      <c r="CD183" s="697"/>
      <c r="CE183" s="712"/>
      <c r="CF183" s="712">
        <f t="shared" si="675"/>
        <v>1267.5648268868606</v>
      </c>
      <c r="CG183" s="712"/>
      <c r="CH183" s="712">
        <f ca="1">IF(B183&gt;Summary!$A$1,#N/A,CF183*MGtoAF)</f>
        <v>3888.8888888888882</v>
      </c>
      <c r="CI183" s="712">
        <f>Sheet1!BK183+Sheet1!BL183+Sheet1!BM183-Sheet1!EN183-CQ183</f>
        <v>7.05</v>
      </c>
      <c r="CJ183" s="712">
        <f t="shared" si="676"/>
        <v>7.0915280665295599</v>
      </c>
      <c r="CK183" s="712">
        <f>IF(Sheet1!EN183="FM",CQ183,0)</f>
        <v>0</v>
      </c>
      <c r="CL183" s="712">
        <f t="shared" si="677"/>
        <v>0</v>
      </c>
      <c r="CM183" s="712">
        <f>IF(Sheet1!EN183="OTHER",CQ183,0)</f>
        <v>0</v>
      </c>
      <c r="CN183" s="712">
        <f t="shared" si="678"/>
        <v>0</v>
      </c>
      <c r="CO183" s="712">
        <f t="shared" si="679"/>
        <v>7.05</v>
      </c>
      <c r="CP183" s="712">
        <f t="shared" si="680"/>
        <v>7.0915280665295599</v>
      </c>
      <c r="CQ183" s="712">
        <f>IF(OR(Sheet1!EN183="FM", Sheet1!EN183="OTHER"),SUM(Sheet1!BK183:'Sheet1'!BM183),0)</f>
        <v>0</v>
      </c>
      <c r="CR183" s="697">
        <f>IF(AND($B183&gt;=$FL183,$B183&lt;=$FM183),MAX($CJ183,Sheet1!EG183,0),MAX($CJ183-(7/36)*$K183,0))</f>
        <v>0</v>
      </c>
      <c r="CS183" s="712">
        <f t="shared" si="681"/>
        <v>0</v>
      </c>
      <c r="CT183" s="697">
        <f t="shared" si="682"/>
        <v>7.0915280665295599</v>
      </c>
      <c r="CU183" s="697">
        <f>IF(AND($O183&gt;0,Sheet1!EK183=1),(1-($O183-Sheet1!$L183)/$O183)*CP183,0)</f>
        <v>0</v>
      </c>
      <c r="CV183" s="697">
        <f>IF(AND(Sheet1!$L183=0,Sheet1!$L182=0, Calculation!CO183&lt;Sheet1!$EG183-0.1,Sheet1!$EG183=Sheet1!$EG182,Sheet1!$EG183=Sheet1!$EG184),Sheet1!$EG183,CP183-CU183)</f>
        <v>7.0915280665295599</v>
      </c>
      <c r="CW183" s="697">
        <f t="shared" si="613"/>
        <v>0</v>
      </c>
      <c r="CX183" s="712">
        <f t="shared" si="683"/>
        <v>9.5599999999999987</v>
      </c>
      <c r="CY183" s="712">
        <f t="shared" si="684"/>
        <v>1267.5648268868606</v>
      </c>
      <c r="CZ183" s="712">
        <f t="shared" si="685"/>
        <v>9.6163132363152606</v>
      </c>
      <c r="DA183" s="712">
        <f ca="1">IF(B183&gt;Summary!$A$1,#N/A,CY183*MGtoAF)</f>
        <v>3888.8888888888882</v>
      </c>
      <c r="DB183" s="712">
        <f t="shared" si="686"/>
        <v>9.5599999999999987</v>
      </c>
      <c r="DC183" s="712">
        <f t="shared" si="687"/>
        <v>28.86</v>
      </c>
      <c r="DD183" s="712">
        <f>Sheet1!AB183-DC183</f>
        <v>0.17000000000611237</v>
      </c>
      <c r="DE183" s="712">
        <f t="shared" si="688"/>
        <v>5.8905058907176844E-3</v>
      </c>
      <c r="DF183" s="712">
        <f>(VLOOKUP(Sheet1!CY183,hhdcap_wcm,4)-(((VLOOKUP(Sheet1!CY183,hhdcap_wcm,3)-Sheet1!CY183)/(VLOOKUP(Sheet1!CY183,hhdcap_wcm,3)-VLOOKUP(Sheet1!CY183,hhdcap_wcm,1)))*(VLOOKUP(Sheet1!CY183,hhdcap_wcm,4)-VLOOKUP(Sheet1!CY183,hhdcap_wcm,2))))</f>
        <v>50465.380000119025</v>
      </c>
      <c r="DG183" s="712">
        <f t="shared" si="689"/>
        <v>-34.139999999999418</v>
      </c>
      <c r="DH183" s="712">
        <f t="shared" si="690"/>
        <v>-17.216338880483818</v>
      </c>
      <c r="DI183" s="712">
        <f>Sheet1!DW183*AFtoMG</f>
        <v>0</v>
      </c>
      <c r="DJ183" s="712">
        <f>Sheet1!DX183*AFtoMG</f>
        <v>0</v>
      </c>
      <c r="DK183" s="712">
        <f>Sheet1!DY183*AFtoMG</f>
        <v>0</v>
      </c>
      <c r="DL183" s="712">
        <f>Sheet1!DZ183*AFtoMG</f>
        <v>0</v>
      </c>
      <c r="DM183" s="712">
        <f t="shared" si="691"/>
        <v>0</v>
      </c>
      <c r="DN183" s="712">
        <f t="shared" si="692"/>
        <v>0</v>
      </c>
      <c r="DO183" s="712">
        <f t="shared" si="693"/>
        <v>6518.9048239895692</v>
      </c>
      <c r="DP183" s="712">
        <f t="shared" si="694"/>
        <v>20000</v>
      </c>
      <c r="DQ183" s="712"/>
      <c r="DR183" s="697">
        <f>IF(OR(B183&lt;FL183,B183&gt;FM183),(MIN(AV183+BO183+CJ183+MAX(Sheet1!AA183+AG183-73,0),K183)),0)</f>
        <v>9.6163132363152606</v>
      </c>
      <c r="DS183" s="712"/>
      <c r="DT183" s="712">
        <f t="shared" si="695"/>
        <v>9.6163132363152606</v>
      </c>
      <c r="DU183" s="712"/>
      <c r="DV183" s="712">
        <f>Sheet1!ED183+Sheet1!EE183+Sheet1!EF183+Sheet1!EG183</f>
        <v>9.5</v>
      </c>
      <c r="DW183" s="712"/>
      <c r="DX183" s="697">
        <f t="shared" si="696"/>
        <v>0</v>
      </c>
      <c r="DY183" s="712">
        <f>IF(Sheet1!FN183=1,SUM('Calculations II'!AT183:BA183)+'Calculations II'!BC183+Sheet1!BU183+'Calculations II'!BE183+AF183,SUM('Calculations II'!AT183:BA183)+'Calculations II'!BC183+Sheet1!BU183+'Calculations II'!BE183+AF183)</f>
        <v>58.035600000000002</v>
      </c>
      <c r="DZ183" s="712">
        <f>Sheet1!AA183+Sheet1!AB183+'Calculations II'!BC183</f>
        <v>67.556768000009015</v>
      </c>
      <c r="EA183" s="712"/>
      <c r="EB183" s="712"/>
      <c r="EC183" s="712">
        <f t="shared" si="697"/>
        <v>40712</v>
      </c>
      <c r="ED183" s="712">
        <f t="shared" si="698"/>
        <v>0</v>
      </c>
      <c r="EE183" s="712">
        <f t="shared" si="699"/>
        <v>0</v>
      </c>
      <c r="EF183" s="712">
        <f>-(VLOOKUP(Sheet1!BQ183,Lookup!$B$4:$J$236,2)-VLOOKUP(Sheet1!BQ182,Lookup!$B$4:$J$236,2))/1000000</f>
        <v>2.4350000000000001</v>
      </c>
      <c r="EG183" s="712">
        <f>-(VLOOKUP(Sheet1!BR183,Lookup!$B$4:$J$236,3)-VLOOKUP(Sheet1!BR182,Lookup!$B$4:$J$236,3))/1000000</f>
        <v>2.4300000000000002</v>
      </c>
      <c r="EH183" s="712">
        <f>-(VLOOKUP(Sheet1!BS183,Lookup!$B$4:$J$236,4)-VLOOKUP(Sheet1!BS182,Lookup!$B$4:$J$236,4))/1000000</f>
        <v>0</v>
      </c>
      <c r="EI183" s="697">
        <f t="shared" si="700"/>
        <v>4.8650000000000002</v>
      </c>
      <c r="EJ183" s="712"/>
      <c r="EK183" s="712"/>
      <c r="EL183" s="712"/>
      <c r="EM183" s="712"/>
      <c r="EN183" s="712"/>
      <c r="EO183" s="712"/>
      <c r="EP183" s="712"/>
      <c r="EQ183" s="712"/>
      <c r="ES183" s="712"/>
      <c r="ET183" s="794" t="e">
        <f t="shared" si="720"/>
        <v>#N/A</v>
      </c>
      <c r="EU183" s="697">
        <v>5000</v>
      </c>
      <c r="EV183" s="795">
        <f t="shared" si="640"/>
        <v>24245.380000119025</v>
      </c>
      <c r="EW183" s="796" t="s">
        <v>757</v>
      </c>
      <c r="EX183" s="796" t="s">
        <v>757</v>
      </c>
      <c r="EY183" s="794">
        <v>0</v>
      </c>
      <c r="EZ183" s="794" t="e">
        <v>#N/A</v>
      </c>
      <c r="FA183" s="712"/>
      <c r="FB183" s="712"/>
      <c r="FC183" s="712"/>
      <c r="FD183" s="712"/>
      <c r="FE183" s="712">
        <f>O183+Sheet1!CO183</f>
        <v>3692.0300000000088</v>
      </c>
      <c r="FF183" s="712">
        <f>IF(Sheet1!AA183+AG183&lt;=Calculation!N183,AG183,Calculation!N183-Sheet1!AA183)</f>
        <v>19.413686763690851</v>
      </c>
      <c r="FG183" s="712">
        <f>(Sheet1!BP183+Sheet1!BO183)/694.4</f>
        <v>2.2910426267281108</v>
      </c>
      <c r="FH183" s="712"/>
      <c r="FI183" s="712"/>
      <c r="FJ183" s="712"/>
      <c r="FK183" s="712"/>
      <c r="FL183" s="714">
        <f t="shared" si="632"/>
        <v>40753</v>
      </c>
      <c r="FM183" s="714">
        <f t="shared" si="633"/>
        <v>40851</v>
      </c>
      <c r="FN183" s="712"/>
      <c r="FO183" s="712"/>
      <c r="FP183" s="712"/>
      <c r="FQ183" s="712"/>
      <c r="FR183" s="712"/>
      <c r="FS183" s="725">
        <f t="shared" si="634"/>
        <v>40603</v>
      </c>
      <c r="FT183" s="714">
        <f t="shared" si="635"/>
        <v>40709</v>
      </c>
      <c r="FU183" s="712">
        <f t="shared" si="636"/>
        <v>6518.9048239895692</v>
      </c>
      <c r="FV183" s="714">
        <f t="shared" si="637"/>
        <v>40722</v>
      </c>
      <c r="FW183" s="712">
        <f t="shared" si="638"/>
        <v>3259.4524119947846</v>
      </c>
      <c r="FX183" s="725">
        <f t="shared" si="639"/>
        <v>40851</v>
      </c>
      <c r="FZ183" s="697">
        <f t="shared" si="616"/>
        <v>0</v>
      </c>
      <c r="GA183" s="712" t="str">
        <f t="shared" si="701"/>
        <v/>
      </c>
      <c r="GB183" s="712">
        <f t="shared" si="702"/>
        <v>0</v>
      </c>
      <c r="GC183" s="712" t="str">
        <f t="shared" si="703"/>
        <v/>
      </c>
      <c r="GD183" s="712">
        <f>IF(GA183="P",Lookup!$M$12,IF(GA183="PP",Lookup!$M$13,IF(GA183="PPP",Lookup!$M$14,IF(GA183="T",Lookup!$M$15,IF(GA183="TP",Lookup!$M$16,IF(GA183="TPP",Lookup!$M$17,IF(GA183="TPPP",Lookup!$M$18,0)))))))*FZ183</f>
        <v>0</v>
      </c>
      <c r="GE183" s="712">
        <f t="shared" si="704"/>
        <v>0</v>
      </c>
      <c r="GF183" s="712">
        <f t="shared" si="705"/>
        <v>8333.3333333333321</v>
      </c>
      <c r="GG183" s="712">
        <f t="shared" si="706"/>
        <v>2716.2103433289872</v>
      </c>
      <c r="GH183" s="712"/>
      <c r="GI183" s="712">
        <f t="shared" si="707"/>
        <v>0</v>
      </c>
      <c r="GJ183" s="712" t="str">
        <f t="shared" si="708"/>
        <v/>
      </c>
      <c r="GK183" s="712">
        <f>IF(GA183="P",Lookup!$N$12,IF(GA183="PP",Lookup!$N$13,IF(GA183="PPP",Lookup!$N$14,IF(GA183="T",Lookup!$N$15,IF(GA183="TP",Lookup!$N$16,IF(GA183="TPP",Lookup!$N$17,IF(GA183="TPPP",Lookup!$N$18,0)))))))*FZ183</f>
        <v>0</v>
      </c>
      <c r="GL183" s="712">
        <f t="shared" si="709"/>
        <v>0</v>
      </c>
      <c r="GM183" s="712">
        <f t="shared" si="710"/>
        <v>3888.8888888888882</v>
      </c>
      <c r="GN183" s="712">
        <f t="shared" si="711"/>
        <v>1267.5648268868606</v>
      </c>
      <c r="GO183" s="712"/>
      <c r="GP183" s="712">
        <f t="shared" si="712"/>
        <v>0</v>
      </c>
      <c r="GQ183" s="712" t="str">
        <f t="shared" si="713"/>
        <v/>
      </c>
      <c r="GR183" s="712">
        <f>IF(GA183="P",Lookup!$N$12,IF(GA183="PP",Lookup!$N$13,IF(GA183="PPP",Lookup!$N$14,IF(GA183="T",Lookup!$N$15,IF(GA183="TP",Lookup!$N$16,IF(GA183="TPP",Lookup!$N$17,IF(GA183="TPPP",Lookup!$N$18,0)))))))*FZ183</f>
        <v>0</v>
      </c>
      <c r="GS183" s="697">
        <f t="shared" si="628"/>
        <v>0</v>
      </c>
      <c r="GT183" s="712">
        <f t="shared" si="714"/>
        <v>3888.8888888888882</v>
      </c>
      <c r="GU183" s="712">
        <f t="shared" si="715"/>
        <v>1267.5648268868606</v>
      </c>
      <c r="GV183" s="712"/>
      <c r="GW183" s="712">
        <f t="shared" si="716"/>
        <v>0</v>
      </c>
      <c r="GX183" s="712" t="str">
        <f t="shared" si="717"/>
        <v/>
      </c>
      <c r="GY183" s="712">
        <f>IF(GA183="P",Lookup!$N$12,IF(GA183="PP",Lookup!$N$13,IF(GA183="PPP",Lookup!$N$14,IF(GA183="T",Lookup!$N$15,IF(GA183="TP",Lookup!$N$16,IF(GA183="TPP",Lookup!$N$17,IF(GA183="TPPP",Lookup!$N$18,0)))))))*FZ183</f>
        <v>0</v>
      </c>
      <c r="GZ183" s="697">
        <f t="shared" si="629"/>
        <v>0</v>
      </c>
      <c r="HA183" s="712">
        <f t="shared" si="718"/>
        <v>3888.8888888888882</v>
      </c>
      <c r="HB183" s="712">
        <f t="shared" si="719"/>
        <v>1267.5648268868606</v>
      </c>
      <c r="HC183" s="712"/>
    </row>
    <row r="184" spans="1:211">
      <c r="A184" s="773" t="s">
        <v>3</v>
      </c>
      <c r="B184" s="708">
        <v>40713</v>
      </c>
      <c r="C184" s="709">
        <v>0.5</v>
      </c>
      <c r="D184" s="675">
        <f t="shared" si="641"/>
        <v>300</v>
      </c>
      <c r="E184" s="675">
        <f t="shared" si="642"/>
        <v>250</v>
      </c>
      <c r="F184" s="675">
        <v>250</v>
      </c>
      <c r="G184" s="712">
        <f>DH184+Sheet1!CV184</f>
        <v>1415.4719463265133</v>
      </c>
      <c r="H184" s="712">
        <f t="shared" si="643"/>
        <v>647.99786610545812</v>
      </c>
      <c r="I184" s="711">
        <f>MAX(Sheet1!Z184-AJ184+(Sheet1!CW184-E184)*CFStoMGD,0)</f>
        <v>1051.550562932227</v>
      </c>
      <c r="J184" s="720">
        <f>IF(AND(B184&gt;=Calculation!FS184,B184&lt;=Calculation!FT184),IF(Sheet1!CX184&gt;=Calculation!D184,64.64,0),MAX(Sheet1!Z184-AJ184+(Sheet1!CX184-D184)*CFStoMGD,0))</f>
        <v>610.38256293222696</v>
      </c>
      <c r="K184" s="697">
        <f t="shared" si="644"/>
        <v>64.64</v>
      </c>
      <c r="L184" s="712">
        <f>Sheet1!AA184+Sheet1!AB184-Sheet1!L184+(Sheet1!CW184-F184)*CFStoMGD</f>
        <v>1104.4806666666661</v>
      </c>
      <c r="M184" s="712">
        <f t="shared" si="645"/>
        <v>933.26028742756739</v>
      </c>
      <c r="N184" s="712">
        <f>IF(Sheet1!CW184&gt;=F184,MIN(73,MIN(MAX(L184,0),MAX(M184,0))),0)</f>
        <v>73</v>
      </c>
      <c r="O184" s="721">
        <f>Sheet1!AA184+Sheet1!AB184</f>
        <v>62.429999999999708</v>
      </c>
      <c r="P184" s="721">
        <f t="shared" si="646"/>
        <v>96.579209999999549</v>
      </c>
      <c r="Q184" s="712">
        <f>MIN(N184,Sheet1!AA184+AG184)</f>
        <v>52.760103734439639</v>
      </c>
      <c r="R184" s="712">
        <f t="shared" si="647"/>
        <v>9.6698962655600695</v>
      </c>
      <c r="S184" s="721">
        <f>Sheet1!Y184*MGDtoCFS</f>
        <v>51.2057</v>
      </c>
      <c r="T184" s="721">
        <f>Sheet1!Z184*MGDtoCFS</f>
        <v>44.708299999999994</v>
      </c>
      <c r="U184" s="721">
        <f>Sheet1!AA184*MGDtoCFS</f>
        <v>51.60792</v>
      </c>
      <c r="V184" s="721">
        <f>Sheet1!AB184*MGDtoCFS</f>
        <v>44.971289999999549</v>
      </c>
      <c r="W184" s="721">
        <f>Sheet1!L184*MGDtoCFS</f>
        <v>0</v>
      </c>
      <c r="X184" s="697">
        <f t="shared" si="648"/>
        <v>0</v>
      </c>
      <c r="Y184" s="712">
        <f t="shared" si="649"/>
        <v>0</v>
      </c>
      <c r="Z184" s="712">
        <f t="shared" si="650"/>
        <v>0</v>
      </c>
      <c r="AA184" s="712">
        <f t="shared" si="651"/>
        <v>0</v>
      </c>
      <c r="AB184" s="712">
        <f>(VLOOKUP(Sheet1!CY184,hhdcap_wcm,4)-(((VLOOKUP(Sheet1!CY184,hhdcap_wcm,3)-Sheet1!CY184)/(VLOOKUP(Sheet1!CY184,hhdcap_wcm,3)-VLOOKUP(Sheet1!CY184,hhdcap_wcm,1)))*(VLOOKUP(Sheet1!CY184,hhdcap_wcm,4)-VLOOKUP(Sheet1!CY184,hhdcap_wcm,2))))</f>
        <v>50670.220000119283</v>
      </c>
      <c r="AC184" s="712">
        <f t="shared" si="652"/>
        <v>204.84000000025844</v>
      </c>
      <c r="AD184" s="712">
        <f t="shared" si="653"/>
        <v>6518.9048239895692</v>
      </c>
      <c r="AE184" s="712">
        <f t="shared" si="654"/>
        <v>20000</v>
      </c>
      <c r="AF184" s="712">
        <f>Sheet1!BA184+Sheet1!BB184+Sheet1!BN184+BT184</f>
        <v>19.3</v>
      </c>
      <c r="AG184" s="712">
        <f t="shared" si="655"/>
        <v>19.400103734439639</v>
      </c>
      <c r="AH184" s="712">
        <f>Sheet1!BA184+BT184</f>
        <v>0</v>
      </c>
      <c r="AI184" s="712">
        <f>Sheet1!BA184+Sheet1!BB184+BT184</f>
        <v>0</v>
      </c>
      <c r="AJ184" s="712">
        <f>IF((Sheet1!AA184+AG184+AX184+AZ184+BQ184+BS184+CL184+CN184)&lt;=N184,AG184+AX184+AZ184+BQ184+BS184+CL184+CN184,N184-Sheet1!AA184)</f>
        <v>19.400103734439639</v>
      </c>
      <c r="AK184" s="712">
        <f>IF(DR184&lt;K184,0,MAX(Sheet1!AA184+AG184-15/36*K184-N184,Sheet1!ED184,0))</f>
        <v>0</v>
      </c>
      <c r="AL184" s="712">
        <f>IF(OR(B184&gt;=FT184,B184&lt;FS184),0,15/36*K184-MAX(0,64.6-(137.6-(Sheet1!AA184+Sheet1!AB184))))</f>
        <v>0</v>
      </c>
      <c r="AM184" s="712">
        <f>Sheet1!CX184-110</f>
        <v>1119.5833333333333</v>
      </c>
      <c r="AN184" s="712">
        <f>Sheet1!CW184-265</f>
        <v>1597.0833333333333</v>
      </c>
      <c r="AO184" s="712">
        <f t="shared" si="622"/>
        <v>20.239896265560361</v>
      </c>
      <c r="AP184" s="712">
        <f t="shared" si="656"/>
        <v>0</v>
      </c>
      <c r="AQ184" s="712">
        <f t="shared" si="657"/>
        <v>0</v>
      </c>
      <c r="AR184" s="712">
        <f t="shared" si="658"/>
        <v>2716.2103433289872</v>
      </c>
      <c r="AS184" s="712"/>
      <c r="AT184" s="712">
        <f ca="1">IF(B184&gt;Summary!$A$1,#N/A,AR184*MGtoAF)</f>
        <v>8333.3333333333321</v>
      </c>
      <c r="AU184" s="712">
        <f>Sheet1!BG184+Sheet1!BH184+Sheet1!BI184-BC184</f>
        <v>0</v>
      </c>
      <c r="AV184" s="712">
        <f t="shared" si="659"/>
        <v>0</v>
      </c>
      <c r="AW184" s="712">
        <f>IF(Sheet1!EL184="FM",BC184,0)</f>
        <v>0</v>
      </c>
      <c r="AX184" s="712">
        <f t="shared" si="660"/>
        <v>0</v>
      </c>
      <c r="AY184" s="712">
        <f>IF(Sheet1!EL184="OTHER",BC184,0)</f>
        <v>0</v>
      </c>
      <c r="AZ184" s="712">
        <f t="shared" si="661"/>
        <v>0</v>
      </c>
      <c r="BA184" s="712">
        <f t="shared" si="662"/>
        <v>0</v>
      </c>
      <c r="BB184" s="712">
        <f t="shared" si="663"/>
        <v>0</v>
      </c>
      <c r="BC184" s="712">
        <f>IF(OR(Sheet1!EL184="FM", Sheet1!EL184="OTHER"),SUM(Sheet1!BG184:'Sheet1'!BI184),0)</f>
        <v>0</v>
      </c>
      <c r="BD184" s="697">
        <f>IF(AND($B184&gt;=$FL184,$B184&lt;=$FM184),MAX(AV184,Sheet1!EE184,0),MAX(AV184-(7/36)*$K184,0))</f>
        <v>0</v>
      </c>
      <c r="BE184" s="712">
        <f t="shared" si="664"/>
        <v>0</v>
      </c>
      <c r="BF184" s="697">
        <f t="shared" si="665"/>
        <v>0</v>
      </c>
      <c r="BG184" s="697">
        <f>IF(AND($O184&gt;0,Sheet1!EI184=1),(1-($O184-Sheet1!$L184)/$O184)*BB184,0)</f>
        <v>0</v>
      </c>
      <c r="BH184" s="697">
        <f>IF(AND(Sheet1!$L184=0,Sheet1!$L183=0, Calculation!BA184&lt;Sheet1!$EE184-0.1,Sheet1!$EE184=Sheet1!$EE183,Sheet1!$EE184=Sheet1!$EE185),Sheet1!$EE184,BB184-BG184)</f>
        <v>0</v>
      </c>
      <c r="BI184" s="712"/>
      <c r="BJ184" s="712"/>
      <c r="BK184" s="712">
        <f t="shared" si="666"/>
        <v>1267.5648268868606</v>
      </c>
      <c r="BL184" s="712"/>
      <c r="BM184" s="712">
        <f ca="1">IF(B184&gt;Summary!$A$1,#N/A,BK184*MGtoAF)</f>
        <v>3888.8888888888882</v>
      </c>
      <c r="BN184" s="712">
        <f>Sheet1!BC184+Sheet1!BD184+Sheet1!BE184+Sheet1!BF184-BW184-BX184</f>
        <v>2.5700000000000003</v>
      </c>
      <c r="BO184" s="712">
        <f t="shared" si="667"/>
        <v>2.5833298755186465</v>
      </c>
      <c r="BP184" s="712">
        <f>IF(Sheet1!EM184="FM",BX184,0)</f>
        <v>0</v>
      </c>
      <c r="BQ184" s="712">
        <f t="shared" si="668"/>
        <v>0</v>
      </c>
      <c r="BR184" s="712">
        <f>IF(Sheet1!EM184="OTHER",BX184,0)</f>
        <v>0</v>
      </c>
      <c r="BS184" s="712">
        <f t="shared" si="669"/>
        <v>0</v>
      </c>
      <c r="BT184" s="712">
        <f t="shared" si="670"/>
        <v>0</v>
      </c>
      <c r="BU184" s="712">
        <f t="shared" si="671"/>
        <v>2.5700000000000003</v>
      </c>
      <c r="BV184" s="712">
        <f t="shared" si="672"/>
        <v>2.5833298755186465</v>
      </c>
      <c r="BW184" s="712">
        <f>IF(Sheet1!EM184="CWA",SUM(Sheet1!BC184:'Sheet1'!BF184),0)</f>
        <v>0</v>
      </c>
      <c r="BX184" s="712">
        <f>IF(OR(Sheet1!EM184="FM", Sheet1!EM184="OTHER"),SUM(Sheet1!BC184:'Sheet1'!BF184),0)</f>
        <v>0</v>
      </c>
      <c r="BY184" s="697">
        <f>IF(AND($B184&gt;=$FL184,$B184&lt;=$FM184),MAX(BV184,Sheet1!EF184,0),MAX(BV184-(7/36)*$K184,0))</f>
        <v>0</v>
      </c>
      <c r="BZ184" s="712">
        <f t="shared" si="673"/>
        <v>0</v>
      </c>
      <c r="CA184" s="697">
        <f t="shared" si="674"/>
        <v>2.5833298755186465</v>
      </c>
      <c r="CB184" s="697">
        <f>IF(AND($O184&gt;0,Sheet1!EJ184=1),(1-($O184-Sheet1!$L184)/$O184)*BV184,0)</f>
        <v>0</v>
      </c>
      <c r="CC184" s="697">
        <f>IF(AND(Sheet1!$L184=0,Sheet1!$L183=0, Calculation!BU184&lt;Sheet1!EF184-0.1,Sheet1!EF184=Sheet1!EF183,Sheet1!EF184=Sheet1!EF185),Sheet1!EF184,BV184-CB184)</f>
        <v>2.5833298755186465</v>
      </c>
      <c r="CD184" s="697"/>
      <c r="CE184" s="712"/>
      <c r="CF184" s="712">
        <f t="shared" si="675"/>
        <v>1267.5648268868606</v>
      </c>
      <c r="CG184" s="712"/>
      <c r="CH184" s="712">
        <f ca="1">IF(B184&gt;Summary!$A$1,#N/A,CF184*MGtoAF)</f>
        <v>3888.8888888888882</v>
      </c>
      <c r="CI184" s="712">
        <f>Sheet1!BK184+Sheet1!BL184+Sheet1!BM184-Sheet1!EN184-CQ184</f>
        <v>7.05</v>
      </c>
      <c r="CJ184" s="712">
        <f t="shared" si="676"/>
        <v>7.0865663900414226</v>
      </c>
      <c r="CK184" s="712">
        <f>IF(Sheet1!EN184="FM",CQ184,0)</f>
        <v>0</v>
      </c>
      <c r="CL184" s="712">
        <f t="shared" si="677"/>
        <v>0</v>
      </c>
      <c r="CM184" s="712">
        <f>IF(Sheet1!EN184="OTHER",CQ184,0)</f>
        <v>0</v>
      </c>
      <c r="CN184" s="712">
        <f t="shared" si="678"/>
        <v>0</v>
      </c>
      <c r="CO184" s="712">
        <f t="shared" si="679"/>
        <v>7.05</v>
      </c>
      <c r="CP184" s="712">
        <f t="shared" si="680"/>
        <v>7.0865663900414226</v>
      </c>
      <c r="CQ184" s="712">
        <f>IF(OR(Sheet1!EN184="FM", Sheet1!EN184="OTHER"),SUM(Sheet1!BK184:'Sheet1'!BM184),0)</f>
        <v>0</v>
      </c>
      <c r="CR184" s="697">
        <f>IF(AND($B184&gt;=$FL184,$B184&lt;=$FM184),MAX($CJ184,Sheet1!EG184,0),MAX($CJ184-(7/36)*$K184,0))</f>
        <v>0</v>
      </c>
      <c r="CS184" s="712">
        <f t="shared" si="681"/>
        <v>0</v>
      </c>
      <c r="CT184" s="697">
        <f t="shared" si="682"/>
        <v>7.0865663900414226</v>
      </c>
      <c r="CU184" s="697">
        <f>IF(AND($O184&gt;0,Sheet1!EK184=1),(1-($O184-Sheet1!$L184)/$O184)*CP184,0)</f>
        <v>0</v>
      </c>
      <c r="CV184" s="697">
        <f>IF(AND(Sheet1!$L184=0,Sheet1!$L183=0, Calculation!CO184&lt;Sheet1!$EG184-0.1,Sheet1!$EG184=Sheet1!$EG183,Sheet1!$EG184=Sheet1!$EG185),Sheet1!$EG184,CP184-CU184)</f>
        <v>7.0865663900414226</v>
      </c>
      <c r="CW184" s="697">
        <f t="shared" si="613"/>
        <v>0</v>
      </c>
      <c r="CX184" s="712">
        <f t="shared" si="683"/>
        <v>9.620000000000001</v>
      </c>
      <c r="CY184" s="712">
        <f t="shared" si="684"/>
        <v>1267.5648268868606</v>
      </c>
      <c r="CZ184" s="712">
        <f t="shared" si="685"/>
        <v>9.6698962655600695</v>
      </c>
      <c r="DA184" s="712">
        <f ca="1">IF(B184&gt;Summary!$A$1,#N/A,CY184*MGtoAF)</f>
        <v>3888.8888888888882</v>
      </c>
      <c r="DB184" s="712">
        <f t="shared" si="686"/>
        <v>9.620000000000001</v>
      </c>
      <c r="DC184" s="712">
        <f t="shared" si="687"/>
        <v>28.92</v>
      </c>
      <c r="DD184" s="712">
        <f>Sheet1!AB184-DC184</f>
        <v>0.14999999999970726</v>
      </c>
      <c r="DE184" s="712">
        <f t="shared" si="688"/>
        <v>5.1867219916911216E-3</v>
      </c>
      <c r="DF184" s="712">
        <f>(VLOOKUP(Sheet1!CY184,hhdcap_wcm,4)-(((VLOOKUP(Sheet1!CY184,hhdcap_wcm,3)-Sheet1!CY184)/(VLOOKUP(Sheet1!CY184,hhdcap_wcm,3)-VLOOKUP(Sheet1!CY184,hhdcap_wcm,1)))*(VLOOKUP(Sheet1!CY184,hhdcap_wcm,4)-VLOOKUP(Sheet1!CY184,hhdcap_wcm,2))))</f>
        <v>50670.220000119283</v>
      </c>
      <c r="DG184" s="712">
        <f t="shared" si="689"/>
        <v>204.84000000025844</v>
      </c>
      <c r="DH184" s="712">
        <f t="shared" si="690"/>
        <v>103.29803328303501</v>
      </c>
      <c r="DI184" s="712">
        <f>Sheet1!DW184*AFtoMG</f>
        <v>0</v>
      </c>
      <c r="DJ184" s="712">
        <f>Sheet1!DX184*AFtoMG</f>
        <v>0</v>
      </c>
      <c r="DK184" s="712">
        <f>Sheet1!DY184*AFtoMG</f>
        <v>0</v>
      </c>
      <c r="DL184" s="712">
        <f>Sheet1!DZ184*AFtoMG</f>
        <v>0</v>
      </c>
      <c r="DM184" s="712">
        <f t="shared" si="691"/>
        <v>0</v>
      </c>
      <c r="DN184" s="712">
        <f t="shared" si="692"/>
        <v>0</v>
      </c>
      <c r="DO184" s="712">
        <f t="shared" si="693"/>
        <v>6518.9048239895692</v>
      </c>
      <c r="DP184" s="712">
        <f t="shared" si="694"/>
        <v>20000</v>
      </c>
      <c r="DQ184" s="712"/>
      <c r="DR184" s="697">
        <f>IF(OR(B184&lt;FL184,B184&gt;FM184),(MIN(AV184+BO184+CJ184+MAX(Sheet1!AA184+AG184-73,0),K184)),0)</f>
        <v>9.6698962655600695</v>
      </c>
      <c r="DS184" s="712"/>
      <c r="DT184" s="712">
        <f t="shared" si="695"/>
        <v>9.6698962655600695</v>
      </c>
      <c r="DU184" s="712"/>
      <c r="DV184" s="712">
        <f>Sheet1!ED184+Sheet1!EE184+Sheet1!EF184+Sheet1!EG184</f>
        <v>9.5</v>
      </c>
      <c r="DW184" s="712"/>
      <c r="DX184" s="697">
        <f t="shared" si="696"/>
        <v>0</v>
      </c>
      <c r="DY184" s="712">
        <f>IF(Sheet1!FN184=1,SUM('Calculations II'!AT184:BA184)+'Calculations II'!BC184+Sheet1!BU184+'Calculations II'!BE184+AF184,SUM('Calculations II'!AT184:BA184)+'Calculations II'!BC184+Sheet1!BU184+'Calculations II'!BE184+AF184)</f>
        <v>51.512448000000006</v>
      </c>
      <c r="DZ184" s="712">
        <f>Sheet1!AA184+Sheet1!AB184+'Calculations II'!BC184</f>
        <v>68.576063999999704</v>
      </c>
      <c r="EA184" s="712"/>
      <c r="EB184" s="712"/>
      <c r="EC184" s="712">
        <f t="shared" si="697"/>
        <v>40713</v>
      </c>
      <c r="ED184" s="712">
        <f t="shared" si="698"/>
        <v>0</v>
      </c>
      <c r="EE184" s="712">
        <f t="shared" si="699"/>
        <v>0</v>
      </c>
      <c r="EF184" s="712">
        <f>-(VLOOKUP(Sheet1!BQ184,Lookup!$B$4:$J$236,2)-VLOOKUP(Sheet1!BQ183,Lookup!$B$4:$J$236,2))/1000000</f>
        <v>0.2671</v>
      </c>
      <c r="EG184" s="712">
        <f>-(VLOOKUP(Sheet1!BR184,Lookup!$B$4:$J$236,3)-VLOOKUP(Sheet1!BR183,Lookup!$B$4:$J$236,3))/1000000</f>
        <v>0.2666</v>
      </c>
      <c r="EH184" s="712">
        <f>-(VLOOKUP(Sheet1!BS184,Lookup!$B$4:$J$236,4)-VLOOKUP(Sheet1!BS183,Lookup!$B$4:$J$236,4))/1000000</f>
        <v>0</v>
      </c>
      <c r="EI184" s="697">
        <f t="shared" si="700"/>
        <v>0.53370000000000006</v>
      </c>
      <c r="EJ184" s="712"/>
      <c r="EK184" s="712"/>
      <c r="EL184" s="712"/>
      <c r="EM184" s="712"/>
      <c r="EN184" s="712"/>
      <c r="EO184" s="712"/>
      <c r="EP184" s="712"/>
      <c r="EQ184" s="712"/>
      <c r="ES184" s="712"/>
      <c r="ET184" s="794" t="e">
        <f t="shared" si="720"/>
        <v>#N/A</v>
      </c>
      <c r="EU184" s="697">
        <v>5000</v>
      </c>
      <c r="EV184" s="795">
        <f t="shared" si="640"/>
        <v>24450.220000119283</v>
      </c>
      <c r="EW184" s="796" t="s">
        <v>757</v>
      </c>
      <c r="EX184" s="796" t="s">
        <v>757</v>
      </c>
      <c r="EY184" s="794">
        <v>0</v>
      </c>
      <c r="EZ184" s="794" t="e">
        <v>#N/A</v>
      </c>
      <c r="FA184" s="712"/>
      <c r="FB184" s="712"/>
      <c r="FC184" s="712"/>
      <c r="FD184" s="712"/>
      <c r="FE184" s="712">
        <f>O184+Sheet1!CO184</f>
        <v>4330.53</v>
      </c>
      <c r="FF184" s="712">
        <f>IF(Sheet1!AA184+AG184&lt;=Calculation!N184,AG184,Calculation!N184-Sheet1!AA184)</f>
        <v>19.400103734439639</v>
      </c>
      <c r="FG184" s="712">
        <f>(Sheet1!BP184+Sheet1!BO184)/694.4</f>
        <v>2.9166186635944702</v>
      </c>
      <c r="FH184" s="712"/>
      <c r="FI184" s="712"/>
      <c r="FJ184" s="712"/>
      <c r="FK184" s="712"/>
      <c r="FL184" s="714">
        <f t="shared" si="632"/>
        <v>40753</v>
      </c>
      <c r="FM184" s="714">
        <f t="shared" si="633"/>
        <v>40851</v>
      </c>
      <c r="FN184" s="712"/>
      <c r="FO184" s="712"/>
      <c r="FP184" s="712"/>
      <c r="FQ184" s="712"/>
      <c r="FR184" s="712"/>
      <c r="FS184" s="725">
        <f t="shared" si="634"/>
        <v>40603</v>
      </c>
      <c r="FT184" s="714">
        <f t="shared" si="635"/>
        <v>40709</v>
      </c>
      <c r="FU184" s="712">
        <f t="shared" si="636"/>
        <v>6518.9048239895692</v>
      </c>
      <c r="FV184" s="714">
        <f t="shared" si="637"/>
        <v>40722</v>
      </c>
      <c r="FW184" s="712">
        <f t="shared" si="638"/>
        <v>3259.4524119947846</v>
      </c>
      <c r="FX184" s="725">
        <f t="shared" si="639"/>
        <v>40851</v>
      </c>
      <c r="FZ184" s="697">
        <f t="shared" si="616"/>
        <v>0</v>
      </c>
      <c r="GA184" s="712" t="str">
        <f t="shared" si="701"/>
        <v/>
      </c>
      <c r="GB184" s="712">
        <f t="shared" si="702"/>
        <v>0</v>
      </c>
      <c r="GC184" s="712" t="str">
        <f t="shared" si="703"/>
        <v/>
      </c>
      <c r="GD184" s="712">
        <f>IF(GA184="P",Lookup!$M$12,IF(GA184="PP",Lookup!$M$13,IF(GA184="PPP",Lookup!$M$14,IF(GA184="T",Lookup!$M$15,IF(GA184="TP",Lookup!$M$16,IF(GA184="TPP",Lookup!$M$17,IF(GA184="TPPP",Lookup!$M$18,0)))))))*FZ184</f>
        <v>0</v>
      </c>
      <c r="GE184" s="712">
        <f t="shared" si="704"/>
        <v>0</v>
      </c>
      <c r="GF184" s="712">
        <f t="shared" si="705"/>
        <v>8333.3333333333321</v>
      </c>
      <c r="GG184" s="712">
        <f t="shared" si="706"/>
        <v>2716.2103433289872</v>
      </c>
      <c r="GH184" s="712"/>
      <c r="GI184" s="712">
        <f t="shared" si="707"/>
        <v>0</v>
      </c>
      <c r="GJ184" s="712" t="str">
        <f t="shared" si="708"/>
        <v/>
      </c>
      <c r="GK184" s="712">
        <f>IF(GA184="P",Lookup!$N$12,IF(GA184="PP",Lookup!$N$13,IF(GA184="PPP",Lookup!$N$14,IF(GA184="T",Lookup!$N$15,IF(GA184="TP",Lookup!$N$16,IF(GA184="TPP",Lookup!$N$17,IF(GA184="TPPP",Lookup!$N$18,0)))))))*FZ184</f>
        <v>0</v>
      </c>
      <c r="GL184" s="712">
        <f t="shared" si="709"/>
        <v>0</v>
      </c>
      <c r="GM184" s="712">
        <f t="shared" si="710"/>
        <v>3888.8888888888882</v>
      </c>
      <c r="GN184" s="712">
        <f t="shared" si="711"/>
        <v>1267.5648268868606</v>
      </c>
      <c r="GO184" s="712"/>
      <c r="GP184" s="712">
        <f t="shared" si="712"/>
        <v>0</v>
      </c>
      <c r="GQ184" s="712" t="str">
        <f t="shared" si="713"/>
        <v/>
      </c>
      <c r="GR184" s="712">
        <f>IF(GA184="P",Lookup!$N$12,IF(GA184="PP",Lookup!$N$13,IF(GA184="PPP",Lookup!$N$14,IF(GA184="T",Lookup!$N$15,IF(GA184="TP",Lookup!$N$16,IF(GA184="TPP",Lookup!$N$17,IF(GA184="TPPP",Lookup!$N$18,0)))))))*FZ184</f>
        <v>0</v>
      </c>
      <c r="GS184" s="697">
        <f t="shared" si="628"/>
        <v>0</v>
      </c>
      <c r="GT184" s="712">
        <f t="shared" si="714"/>
        <v>3888.8888888888882</v>
      </c>
      <c r="GU184" s="712">
        <f t="shared" si="715"/>
        <v>1267.5648268868606</v>
      </c>
      <c r="GV184" s="712"/>
      <c r="GW184" s="712">
        <f t="shared" si="716"/>
        <v>0</v>
      </c>
      <c r="GX184" s="712" t="str">
        <f t="shared" si="717"/>
        <v/>
      </c>
      <c r="GY184" s="712">
        <f>IF(GA184="P",Lookup!$N$12,IF(GA184="PP",Lookup!$N$13,IF(GA184="PPP",Lookup!$N$14,IF(GA184="T",Lookup!$N$15,IF(GA184="TP",Lookup!$N$16,IF(GA184="TPP",Lookup!$N$17,IF(GA184="TPPP",Lookup!$N$18,0)))))))*FZ184</f>
        <v>0</v>
      </c>
      <c r="GZ184" s="697">
        <f t="shared" si="629"/>
        <v>0</v>
      </c>
      <c r="HA184" s="712">
        <f t="shared" si="718"/>
        <v>3888.8888888888882</v>
      </c>
      <c r="HB184" s="712">
        <f t="shared" si="719"/>
        <v>1267.5648268868606</v>
      </c>
      <c r="HC184" s="712"/>
    </row>
    <row r="185" spans="1:211">
      <c r="A185" s="773" t="s">
        <v>4</v>
      </c>
      <c r="B185" s="708">
        <v>40714</v>
      </c>
      <c r="C185" s="719">
        <v>0.5</v>
      </c>
      <c r="D185" s="675">
        <f t="shared" si="641"/>
        <v>300</v>
      </c>
      <c r="E185" s="675">
        <f t="shared" si="642"/>
        <v>250</v>
      </c>
      <c r="F185" s="675">
        <v>250</v>
      </c>
      <c r="G185" s="712">
        <f>DH185+Sheet1!CV185</f>
        <v>1349.5652173913043</v>
      </c>
      <c r="H185" s="712">
        <f t="shared" si="643"/>
        <v>605.39575652173903</v>
      </c>
      <c r="I185" s="711">
        <f>MAX(Sheet1!Z185-AJ185+(Sheet1!CW185-E185)*CFStoMGD,0)</f>
        <v>1027.4592287382611</v>
      </c>
      <c r="J185" s="720">
        <f>IF(AND(B185&gt;=Calculation!FS185,B185&lt;=Calculation!FT185),IF(Sheet1!CX185&gt;=Calculation!D185,64.64,0),MAX(Sheet1!Z185-AJ185+(Sheet1!CX185-D185)*CFStoMGD,0))</f>
        <v>633.96322873826114</v>
      </c>
      <c r="K185" s="697">
        <f t="shared" si="644"/>
        <v>64.64</v>
      </c>
      <c r="L185" s="712">
        <f>Sheet1!AA185+Sheet1!AB185-Sheet1!L185+(Sheet1!CW185-F185)*CFStoMGD</f>
        <v>1074.1546666666611</v>
      </c>
      <c r="M185" s="712">
        <f t="shared" si="645"/>
        <v>889.80613565217391</v>
      </c>
      <c r="N185" s="712">
        <f>IF(Sheet1!CW185&gt;=F185,MIN(73,MIN(MAX(L185,0),MAX(M185,0))),0)</f>
        <v>73</v>
      </c>
      <c r="O185" s="721">
        <f>Sheet1!AA185+Sheet1!AB185</f>
        <v>59.599999999995632</v>
      </c>
      <c r="P185" s="721">
        <f t="shared" si="646"/>
        <v>92.201199999993236</v>
      </c>
      <c r="Q185" s="712">
        <f>MIN(N185,Sheet1!AA185+AG185)</f>
        <v>50.025437928405445</v>
      </c>
      <c r="R185" s="712">
        <f t="shared" si="647"/>
        <v>9.5745620715901865</v>
      </c>
      <c r="S185" s="721">
        <f>Sheet1!Y185*MGDtoCFS</f>
        <v>51.8245</v>
      </c>
      <c r="T185" s="721">
        <f>Sheet1!Z185*MGDtoCFS</f>
        <v>44.863</v>
      </c>
      <c r="U185" s="721">
        <f>Sheet1!AA185*MGDtoCFS</f>
        <v>51.515099999999997</v>
      </c>
      <c r="V185" s="721">
        <f>Sheet1!AB185*MGDtoCFS</f>
        <v>40.686099999993246</v>
      </c>
      <c r="W185" s="721">
        <f>Sheet1!L185*MGDtoCFS</f>
        <v>0.97461000000157583</v>
      </c>
      <c r="X185" s="697">
        <f t="shared" si="648"/>
        <v>0</v>
      </c>
      <c r="Y185" s="712">
        <f t="shared" si="649"/>
        <v>0</v>
      </c>
      <c r="Z185" s="712">
        <f t="shared" si="650"/>
        <v>0</v>
      </c>
      <c r="AA185" s="712">
        <f t="shared" si="651"/>
        <v>0</v>
      </c>
      <c r="AB185" s="712">
        <f>(VLOOKUP(Sheet1!CY185,hhdcap_wcm,4)-(((VLOOKUP(Sheet1!CY185,hhdcap_wcm,3)-Sheet1!CY185)/(VLOOKUP(Sheet1!CY185,hhdcap_wcm,3)-VLOOKUP(Sheet1!CY185,hhdcap_wcm,1)))*(VLOOKUP(Sheet1!CY185,hhdcap_wcm,4)-VLOOKUP(Sheet1!CY185,hhdcap_wcm,2))))</f>
        <v>50670.220000119283</v>
      </c>
      <c r="AC185" s="712">
        <f t="shared" si="652"/>
        <v>0</v>
      </c>
      <c r="AD185" s="712">
        <f t="shared" si="653"/>
        <v>6518.9048239895692</v>
      </c>
      <c r="AE185" s="712">
        <f t="shared" si="654"/>
        <v>20000</v>
      </c>
      <c r="AF185" s="712">
        <f>Sheet1!BA185+Sheet1!BB185+Sheet1!BN185+BT185</f>
        <v>16.7</v>
      </c>
      <c r="AG185" s="712">
        <f t="shared" si="655"/>
        <v>16.725437928405448</v>
      </c>
      <c r="AH185" s="712">
        <f>Sheet1!BA185+BT185</f>
        <v>0</v>
      </c>
      <c r="AI185" s="712">
        <f>Sheet1!BA185+Sheet1!BB185+BT185</f>
        <v>0</v>
      </c>
      <c r="AJ185" s="712">
        <f>IF((Sheet1!AA185+AG185+AX185+AZ185+BQ185+BS185+CL185+CN185)&lt;=N185,AG185+AX185+AZ185+BQ185+BS185+CL185+CN185,N185-Sheet1!AA185)</f>
        <v>16.725437928405448</v>
      </c>
      <c r="AK185" s="712">
        <f>IF(DR185&lt;K185,0,MAX(Sheet1!AA185+AG185-15/36*K185-N185,Sheet1!ED185,0))</f>
        <v>0</v>
      </c>
      <c r="AL185" s="712">
        <f>IF(OR(B185&gt;=FT185,B185&lt;FS185),0,15/36*K185-MAX(0,64.6-(137.6-(Sheet1!AA185+Sheet1!AB185))))</f>
        <v>0</v>
      </c>
      <c r="AM185" s="712">
        <f>Sheet1!CX185-110</f>
        <v>1151.7708333333333</v>
      </c>
      <c r="AN185" s="712">
        <f>Sheet1!CW185-265</f>
        <v>1555.5208333333333</v>
      </c>
      <c r="AO185" s="712">
        <f t="shared" si="622"/>
        <v>22.974562071594555</v>
      </c>
      <c r="AP185" s="712">
        <f t="shared" si="656"/>
        <v>0</v>
      </c>
      <c r="AQ185" s="712">
        <f t="shared" si="657"/>
        <v>0</v>
      </c>
      <c r="AR185" s="712">
        <f t="shared" si="658"/>
        <v>2716.2103433289872</v>
      </c>
      <c r="AS185" s="712"/>
      <c r="AT185" s="712">
        <f ca="1">IF(B185&gt;Summary!$A$1,#N/A,AR185*MGtoAF)</f>
        <v>8333.3333333333321</v>
      </c>
      <c r="AU185" s="712">
        <f>Sheet1!BG185+Sheet1!BH185+Sheet1!BI185-BC185</f>
        <v>0</v>
      </c>
      <c r="AV185" s="712">
        <f t="shared" si="659"/>
        <v>0</v>
      </c>
      <c r="AW185" s="712">
        <f>IF(Sheet1!EL185="FM",BC185,0)</f>
        <v>0</v>
      </c>
      <c r="AX185" s="712">
        <f t="shared" si="660"/>
        <v>0</v>
      </c>
      <c r="AY185" s="712">
        <f>IF(Sheet1!EL185="OTHER",BC185,0)</f>
        <v>0</v>
      </c>
      <c r="AZ185" s="712">
        <f t="shared" si="661"/>
        <v>0</v>
      </c>
      <c r="BA185" s="712">
        <f t="shared" si="662"/>
        <v>0</v>
      </c>
      <c r="BB185" s="712">
        <f t="shared" si="663"/>
        <v>0</v>
      </c>
      <c r="BC185" s="712">
        <f>IF(OR(Sheet1!EL185="FM", Sheet1!EL185="OTHER"),SUM(Sheet1!BG185:'Sheet1'!BI185),0)</f>
        <v>0</v>
      </c>
      <c r="BD185" s="697">
        <f>IF(AND($B185&gt;=$FL185,$B185&lt;=$FM185),MAX(AV185,Sheet1!EE185,0),MAX(AV185-(7/36)*$K185,0))</f>
        <v>0</v>
      </c>
      <c r="BE185" s="712">
        <f t="shared" si="664"/>
        <v>0</v>
      </c>
      <c r="BF185" s="697">
        <f t="shared" si="665"/>
        <v>0</v>
      </c>
      <c r="BG185" s="697">
        <f>IF(AND($O185&gt;0,Sheet1!EI185=1),(1-($O185-Sheet1!$L185)/$O185)*BB185,0)</f>
        <v>0</v>
      </c>
      <c r="BH185" s="697">
        <f>IF(AND(Sheet1!$L185=0,Sheet1!$L184=0, Calculation!BA185&lt;Sheet1!$EE185-0.1,Sheet1!$EE185=Sheet1!$EE184,Sheet1!$EE185=Sheet1!$EE186),Sheet1!$EE185,BB185-BG185)</f>
        <v>0</v>
      </c>
      <c r="BI185" s="712"/>
      <c r="BJ185" s="712"/>
      <c r="BK185" s="712">
        <f t="shared" si="666"/>
        <v>1267.5648268868606</v>
      </c>
      <c r="BL185" s="712"/>
      <c r="BM185" s="712">
        <f ca="1">IF(B185&gt;Summary!$A$1,#N/A,BK185*MGtoAF)</f>
        <v>3888.8888888888882</v>
      </c>
      <c r="BN185" s="712">
        <f>Sheet1!BC185+Sheet1!BD185+Sheet1!BE185+Sheet1!BF185-BW185-BX185</f>
        <v>2.5099999999999998</v>
      </c>
      <c r="BO185" s="712">
        <f t="shared" si="667"/>
        <v>2.5138233054070467</v>
      </c>
      <c r="BP185" s="712">
        <f>IF(Sheet1!EM185="FM",BX185,0)</f>
        <v>0</v>
      </c>
      <c r="BQ185" s="712">
        <f t="shared" si="668"/>
        <v>0</v>
      </c>
      <c r="BR185" s="712">
        <f>IF(Sheet1!EM185="OTHER",BX185,0)</f>
        <v>0</v>
      </c>
      <c r="BS185" s="712">
        <f t="shared" si="669"/>
        <v>0</v>
      </c>
      <c r="BT185" s="712">
        <f t="shared" si="670"/>
        <v>0</v>
      </c>
      <c r="BU185" s="712">
        <f t="shared" si="671"/>
        <v>2.5099999999999998</v>
      </c>
      <c r="BV185" s="712">
        <f t="shared" si="672"/>
        <v>2.5138233054070467</v>
      </c>
      <c r="BW185" s="712">
        <f>IF(Sheet1!EM185="CWA",SUM(Sheet1!BC185:'Sheet1'!BF185),0)</f>
        <v>0</v>
      </c>
      <c r="BX185" s="712">
        <f>IF(OR(Sheet1!EM185="FM", Sheet1!EM185="OTHER"),SUM(Sheet1!BC185:'Sheet1'!BF185),0)</f>
        <v>0</v>
      </c>
      <c r="BY185" s="697">
        <f>IF(AND($B185&gt;=$FL185,$B185&lt;=$FM185),MAX(BV185,Sheet1!EF185,0),MAX(BV185-(7/36)*$K185,0))</f>
        <v>0</v>
      </c>
      <c r="BZ185" s="712">
        <f t="shared" si="673"/>
        <v>0</v>
      </c>
      <c r="CA185" s="697">
        <f t="shared" si="674"/>
        <v>2.5138233054070467</v>
      </c>
      <c r="CB185" s="697">
        <f>IF(AND($O185&gt;0,Sheet1!EJ185=1),(1-($O185-Sheet1!$L185)/$O185)*BV185,0)</f>
        <v>0</v>
      </c>
      <c r="CC185" s="697">
        <f>IF(AND(Sheet1!$L185=0,Sheet1!$L184=0, Calculation!BU185&lt;Sheet1!EF185-0.1,Sheet1!EF185=Sheet1!EF184,Sheet1!EF185=Sheet1!EF186),Sheet1!EF185,BV185-CB185)</f>
        <v>2.5138233054070467</v>
      </c>
      <c r="CD185" s="697"/>
      <c r="CE185" s="712"/>
      <c r="CF185" s="712">
        <f t="shared" si="675"/>
        <v>1267.5648268868606</v>
      </c>
      <c r="CG185" s="712"/>
      <c r="CH185" s="712">
        <f ca="1">IF(B185&gt;Summary!$A$1,#N/A,CF185*MGtoAF)</f>
        <v>3888.8888888888882</v>
      </c>
      <c r="CI185" s="712">
        <f>Sheet1!BK185+Sheet1!BL185+Sheet1!BM185-Sheet1!EN185-CQ185</f>
        <v>7.0500000000000007</v>
      </c>
      <c r="CJ185" s="712">
        <f t="shared" si="676"/>
        <v>7.0607387661831398</v>
      </c>
      <c r="CK185" s="712">
        <f>IF(Sheet1!EN185="FM",CQ185,0)</f>
        <v>0</v>
      </c>
      <c r="CL185" s="712">
        <f t="shared" si="677"/>
        <v>0</v>
      </c>
      <c r="CM185" s="712">
        <f>IF(Sheet1!EN185="OTHER",CQ185,0)</f>
        <v>0</v>
      </c>
      <c r="CN185" s="712">
        <f t="shared" si="678"/>
        <v>0</v>
      </c>
      <c r="CO185" s="712">
        <f t="shared" si="679"/>
        <v>7.0500000000000007</v>
      </c>
      <c r="CP185" s="712">
        <f t="shared" si="680"/>
        <v>7.0607387661831398</v>
      </c>
      <c r="CQ185" s="712">
        <f>IF(OR(Sheet1!EN185="FM", Sheet1!EN185="OTHER"),SUM(Sheet1!BK185:'Sheet1'!BM185),0)</f>
        <v>0</v>
      </c>
      <c r="CR185" s="697">
        <f>IF(AND($B185&gt;=$FL185,$B185&lt;=$FM185),MAX($CJ185,Sheet1!EG185,0),MAX($CJ185-(7/36)*$K185,0))</f>
        <v>0</v>
      </c>
      <c r="CS185" s="712">
        <f t="shared" si="681"/>
        <v>0</v>
      </c>
      <c r="CT185" s="697">
        <f t="shared" si="682"/>
        <v>7.0607387661831398</v>
      </c>
      <c r="CU185" s="697">
        <f>IF(AND($O185&gt;0,Sheet1!EK185=1),(1-($O185-Sheet1!$L185)/$O185)*CP185,0)</f>
        <v>0</v>
      </c>
      <c r="CV185" s="697">
        <f>IF(AND(Sheet1!$L185=0,Sheet1!$L184=0, Calculation!CO185&lt;Sheet1!$EG185-0.1,Sheet1!$EG185=Sheet1!$EG184,Sheet1!$EG185=Sheet1!$EG186),Sheet1!$EG185,CP185-CU185)</f>
        <v>7.0607387661831398</v>
      </c>
      <c r="CW185" s="697">
        <f t="shared" si="613"/>
        <v>0</v>
      </c>
      <c r="CX185" s="712">
        <f t="shared" si="683"/>
        <v>9.56</v>
      </c>
      <c r="CY185" s="712">
        <f t="shared" si="684"/>
        <v>1267.5648268868606</v>
      </c>
      <c r="CZ185" s="712">
        <f t="shared" si="685"/>
        <v>9.5745620715901865</v>
      </c>
      <c r="DA185" s="712">
        <f ca="1">IF(B185&gt;Summary!$A$1,#N/A,CY185*MGtoAF)</f>
        <v>3888.8888888888882</v>
      </c>
      <c r="DB185" s="712">
        <f t="shared" si="686"/>
        <v>9.56</v>
      </c>
      <c r="DC185" s="712">
        <f t="shared" si="687"/>
        <v>26.259999999999998</v>
      </c>
      <c r="DD185" s="712">
        <f>Sheet1!AB185-DC185</f>
        <v>3.9999999995636415E-2</v>
      </c>
      <c r="DE185" s="712">
        <f t="shared" si="688"/>
        <v>1.5232292458353548E-3</v>
      </c>
      <c r="DF185" s="712">
        <f>(VLOOKUP(Sheet1!CY185,hhdcap_wcm,4)-(((VLOOKUP(Sheet1!CY185,hhdcap_wcm,3)-Sheet1!CY185)/(VLOOKUP(Sheet1!CY185,hhdcap_wcm,3)-VLOOKUP(Sheet1!CY185,hhdcap_wcm,1)))*(VLOOKUP(Sheet1!CY185,hhdcap_wcm,4)-VLOOKUP(Sheet1!CY185,hhdcap_wcm,2))))</f>
        <v>50670.220000119283</v>
      </c>
      <c r="DG185" s="712">
        <f t="shared" si="689"/>
        <v>0</v>
      </c>
      <c r="DH185" s="712">
        <f t="shared" si="690"/>
        <v>0</v>
      </c>
      <c r="DI185" s="712">
        <f>Sheet1!DW185*AFtoMG</f>
        <v>0</v>
      </c>
      <c r="DJ185" s="712">
        <f>Sheet1!DX185*AFtoMG</f>
        <v>0</v>
      </c>
      <c r="DK185" s="712">
        <f>Sheet1!DY185*AFtoMG</f>
        <v>0</v>
      </c>
      <c r="DL185" s="712">
        <f>Sheet1!DZ185*AFtoMG</f>
        <v>0</v>
      </c>
      <c r="DM185" s="712">
        <f t="shared" si="691"/>
        <v>0</v>
      </c>
      <c r="DN185" s="712">
        <f t="shared" si="692"/>
        <v>0</v>
      </c>
      <c r="DO185" s="712">
        <f t="shared" si="693"/>
        <v>6518.9048239895692</v>
      </c>
      <c r="DP185" s="712">
        <f t="shared" si="694"/>
        <v>20000</v>
      </c>
      <c r="DQ185" s="712"/>
      <c r="DR185" s="697">
        <f>IF(OR(B185&lt;FL185,B185&gt;FM185),(MIN(AV185+BO185+CJ185+MAX(Sheet1!AA185+AG185-73,0),K185)),0)</f>
        <v>9.5745620715901865</v>
      </c>
      <c r="DS185" s="712"/>
      <c r="DT185" s="712">
        <f t="shared" si="695"/>
        <v>9.5745620715901865</v>
      </c>
      <c r="DU185" s="712"/>
      <c r="DV185" s="712">
        <f>Sheet1!ED185+Sheet1!EE185+Sheet1!EF185+Sheet1!EG185</f>
        <v>10.5</v>
      </c>
      <c r="DW185" s="712"/>
      <c r="DX185" s="697">
        <f t="shared" si="696"/>
        <v>0</v>
      </c>
      <c r="DY185" s="712">
        <f>IF(Sheet1!FN185=1,SUM('Calculations II'!AT185:BA185)+'Calculations II'!BC185+Sheet1!BU185+'Calculations II'!BE185+AF185,SUM('Calculations II'!AT185:BA185)+'Calculations II'!BC185+Sheet1!BU185+'Calculations II'!BE185+AF185)</f>
        <v>56.755258560000001</v>
      </c>
      <c r="DZ185" s="712">
        <f>Sheet1!AA185+Sheet1!AB185+'Calculations II'!BC185</f>
        <v>67.759477759995633</v>
      </c>
      <c r="EA185" s="712"/>
      <c r="EB185" s="712"/>
      <c r="EC185" s="712">
        <f t="shared" si="697"/>
        <v>40714</v>
      </c>
      <c r="ED185" s="712">
        <f t="shared" si="698"/>
        <v>0</v>
      </c>
      <c r="EE185" s="712">
        <f t="shared" si="699"/>
        <v>0</v>
      </c>
      <c r="EF185" s="712">
        <f>-(VLOOKUP(Sheet1!BQ185,Lookup!$B$4:$J$236,2)-VLOOKUP(Sheet1!BQ184,Lookup!$B$4:$J$236,2))/1000000</f>
        <v>-4.0673000000000004</v>
      </c>
      <c r="EG185" s="712">
        <f>-(VLOOKUP(Sheet1!BR185,Lookup!$B$4:$J$236,3)-VLOOKUP(Sheet1!BR184,Lookup!$B$4:$J$236,3))/1000000</f>
        <v>-4.0602</v>
      </c>
      <c r="EH185" s="712">
        <f>-(VLOOKUP(Sheet1!BS185,Lookup!$B$4:$J$236,4)-VLOOKUP(Sheet1!BS184,Lookup!$B$4:$J$236,4))/1000000</f>
        <v>0</v>
      </c>
      <c r="EI185" s="697">
        <f t="shared" si="700"/>
        <v>-8.1275000000000013</v>
      </c>
      <c r="EJ185" s="712"/>
      <c r="EK185" s="712"/>
      <c r="EL185" s="712"/>
      <c r="EM185" s="712"/>
      <c r="EN185" s="712"/>
      <c r="EO185" s="712"/>
      <c r="EP185" s="712"/>
      <c r="EQ185" s="712"/>
      <c r="ES185" s="712"/>
      <c r="ET185" s="794" t="e">
        <f t="shared" si="720"/>
        <v>#N/A</v>
      </c>
      <c r="EU185" s="697">
        <v>5000</v>
      </c>
      <c r="EV185" s="795">
        <f t="shared" si="640"/>
        <v>24450.220000119283</v>
      </c>
      <c r="EW185" s="796" t="s">
        <v>757</v>
      </c>
      <c r="EX185" s="796" t="s">
        <v>757</v>
      </c>
      <c r="EY185" s="794">
        <v>0</v>
      </c>
      <c r="EZ185" s="794" t="e">
        <v>#N/A</v>
      </c>
      <c r="FA185" s="712"/>
      <c r="FB185" s="712"/>
      <c r="FC185" s="712"/>
      <c r="FD185" s="712"/>
      <c r="FE185" s="712">
        <f>O185+Sheet1!CO185</f>
        <v>5725.9039999999959</v>
      </c>
      <c r="FF185" s="712">
        <f>IF(Sheet1!AA185+AG185&lt;=Calculation!N185,AG185,Calculation!N185-Sheet1!AA185)</f>
        <v>16.725437928405448</v>
      </c>
      <c r="FG185" s="712">
        <f>(Sheet1!BP185+Sheet1!BO185)/694.4</f>
        <v>2.2701612903225805</v>
      </c>
      <c r="FH185" s="712"/>
      <c r="FI185" s="712"/>
      <c r="FJ185" s="712"/>
      <c r="FK185" s="712"/>
      <c r="FL185" s="714">
        <f t="shared" si="632"/>
        <v>40753</v>
      </c>
      <c r="FM185" s="714">
        <f t="shared" si="633"/>
        <v>40851</v>
      </c>
      <c r="FN185" s="712"/>
      <c r="FO185" s="712"/>
      <c r="FP185" s="712"/>
      <c r="FQ185" s="712"/>
      <c r="FR185" s="712"/>
      <c r="FS185" s="725">
        <f t="shared" si="634"/>
        <v>40603</v>
      </c>
      <c r="FT185" s="714">
        <f t="shared" si="635"/>
        <v>40709</v>
      </c>
      <c r="FU185" s="712">
        <f t="shared" si="636"/>
        <v>6518.9048239895692</v>
      </c>
      <c r="FV185" s="714">
        <f t="shared" si="637"/>
        <v>40722</v>
      </c>
      <c r="FW185" s="712">
        <f t="shared" si="638"/>
        <v>3259.4524119947846</v>
      </c>
      <c r="FX185" s="725">
        <f t="shared" si="639"/>
        <v>40851</v>
      </c>
      <c r="FZ185" s="697">
        <f t="shared" si="616"/>
        <v>0</v>
      </c>
      <c r="GA185" s="712" t="str">
        <f t="shared" si="701"/>
        <v/>
      </c>
      <c r="GB185" s="712">
        <f t="shared" si="702"/>
        <v>0</v>
      </c>
      <c r="GC185" s="712" t="str">
        <f t="shared" si="703"/>
        <v/>
      </c>
      <c r="GD185" s="712">
        <f>IF(GA185="P",Lookup!$M$12,IF(GA185="PP",Lookup!$M$13,IF(GA185="PPP",Lookup!$M$14,IF(GA185="T",Lookup!$M$15,IF(GA185="TP",Lookup!$M$16,IF(GA185="TPP",Lookup!$M$17,IF(GA185="TPPP",Lookup!$M$18,0)))))))*FZ185</f>
        <v>0</v>
      </c>
      <c r="GE185" s="712">
        <f t="shared" si="704"/>
        <v>0</v>
      </c>
      <c r="GF185" s="712">
        <f t="shared" si="705"/>
        <v>8333.3333333333321</v>
      </c>
      <c r="GG185" s="712">
        <f t="shared" si="706"/>
        <v>2716.2103433289872</v>
      </c>
      <c r="GH185" s="712"/>
      <c r="GI185" s="712">
        <f t="shared" si="707"/>
        <v>0</v>
      </c>
      <c r="GJ185" s="712" t="str">
        <f t="shared" si="708"/>
        <v/>
      </c>
      <c r="GK185" s="712">
        <f>IF(GA185="P",Lookup!$N$12,IF(GA185="PP",Lookup!$N$13,IF(GA185="PPP",Lookup!$N$14,IF(GA185="T",Lookup!$N$15,IF(GA185="TP",Lookup!$N$16,IF(GA185="TPP",Lookup!$N$17,IF(GA185="TPPP",Lookup!$N$18,0)))))))*FZ185</f>
        <v>0</v>
      </c>
      <c r="GL185" s="712">
        <f t="shared" si="709"/>
        <v>0</v>
      </c>
      <c r="GM185" s="712">
        <f t="shared" si="710"/>
        <v>3888.8888888888882</v>
      </c>
      <c r="GN185" s="712">
        <f t="shared" si="711"/>
        <v>1267.5648268868606</v>
      </c>
      <c r="GO185" s="712"/>
      <c r="GP185" s="712">
        <f t="shared" si="712"/>
        <v>0</v>
      </c>
      <c r="GQ185" s="712" t="str">
        <f t="shared" si="713"/>
        <v/>
      </c>
      <c r="GR185" s="712">
        <f>IF(GA185="P",Lookup!$N$12,IF(GA185="PP",Lookup!$N$13,IF(GA185="PPP",Lookup!$N$14,IF(GA185="T",Lookup!$N$15,IF(GA185="TP",Lookup!$N$16,IF(GA185="TPP",Lookup!$N$17,IF(GA185="TPPP",Lookup!$N$18,0)))))))*FZ185</f>
        <v>0</v>
      </c>
      <c r="GS185" s="697">
        <f t="shared" si="628"/>
        <v>0</v>
      </c>
      <c r="GT185" s="712">
        <f t="shared" si="714"/>
        <v>3888.8888888888882</v>
      </c>
      <c r="GU185" s="712">
        <f t="shared" si="715"/>
        <v>1267.5648268868606</v>
      </c>
      <c r="GV185" s="712"/>
      <c r="GW185" s="712">
        <f t="shared" si="716"/>
        <v>0</v>
      </c>
      <c r="GX185" s="712" t="str">
        <f t="shared" si="717"/>
        <v/>
      </c>
      <c r="GY185" s="712">
        <f>IF(GA185="P",Lookup!$N$12,IF(GA185="PP",Lookup!$N$13,IF(GA185="PPP",Lookup!$N$14,IF(GA185="T",Lookup!$N$15,IF(GA185="TP",Lookup!$N$16,IF(GA185="TPP",Lookup!$N$17,IF(GA185="TPPP",Lookup!$N$18,0)))))))*FZ185</f>
        <v>0</v>
      </c>
      <c r="GZ185" s="697">
        <f t="shared" si="629"/>
        <v>0</v>
      </c>
      <c r="HA185" s="712">
        <f t="shared" si="718"/>
        <v>3888.8888888888882</v>
      </c>
      <c r="HB185" s="712">
        <f t="shared" si="719"/>
        <v>1267.5648268868606</v>
      </c>
      <c r="HC185" s="712"/>
    </row>
    <row r="186" spans="1:211">
      <c r="A186" s="773" t="s">
        <v>5</v>
      </c>
      <c r="B186" s="708">
        <v>40715</v>
      </c>
      <c r="C186" s="719">
        <v>0.5</v>
      </c>
      <c r="D186" s="675">
        <f t="shared" si="641"/>
        <v>300</v>
      </c>
      <c r="E186" s="675">
        <f t="shared" si="642"/>
        <v>250</v>
      </c>
      <c r="F186" s="675">
        <v>250</v>
      </c>
      <c r="G186" s="712">
        <f>DH186+Sheet1!CV186</f>
        <v>1262.4054462934935</v>
      </c>
      <c r="H186" s="712">
        <f t="shared" si="643"/>
        <v>549.05568048411419</v>
      </c>
      <c r="I186" s="711">
        <f>MAX(Sheet1!Z186-AJ186+(Sheet1!CW186-E186)*CFStoMGD,0)</f>
        <v>993.09620512820436</v>
      </c>
      <c r="J186" s="720">
        <f>IF(AND(B186&gt;=Calculation!FS186,B186&lt;=Calculation!FT186),IF(Sheet1!CX186&gt;=Calculation!D186,64.64,0),MAX(Sheet1!Z186-AJ186+(Sheet1!CX186-D186)*CFStoMGD,0))</f>
        <v>570.31020512820442</v>
      </c>
      <c r="K186" s="697">
        <f t="shared" si="644"/>
        <v>64.64</v>
      </c>
      <c r="L186" s="712">
        <f>Sheet1!AA186+Sheet1!AB186-Sheet1!L186+(Sheet1!CW186-F186)*CFStoMGD</f>
        <v>1036.4613333333355</v>
      </c>
      <c r="M186" s="712">
        <f t="shared" si="645"/>
        <v>832.3392580937965</v>
      </c>
      <c r="N186" s="712">
        <f>IF(Sheet1!CW186&gt;=F186,MIN(73,MIN(MAX(L186,0),MAX(M186,0))),0)</f>
        <v>73</v>
      </c>
      <c r="O186" s="721">
        <f>Sheet1!AA186+Sheet1!AB186</f>
        <v>53.370000000002619</v>
      </c>
      <c r="P186" s="721">
        <f t="shared" si="646"/>
        <v>82.563390000004048</v>
      </c>
      <c r="Q186" s="712">
        <f>MIN(N186,Sheet1!AA186+AG186)</f>
        <v>43.675128205130115</v>
      </c>
      <c r="R186" s="712">
        <f t="shared" si="647"/>
        <v>9.6948717948725047</v>
      </c>
      <c r="S186" s="721">
        <f>Sheet1!Y186*MGDtoCFS</f>
        <v>51.778089999999999</v>
      </c>
      <c r="T186" s="721">
        <f>Sheet1!Z186*MGDtoCFS</f>
        <v>31.0947</v>
      </c>
      <c r="U186" s="721">
        <f>Sheet1!AA186*MGDtoCFS</f>
        <v>51.778090000001797</v>
      </c>
      <c r="V186" s="721">
        <f>Sheet1!AB186*MGDtoCFS</f>
        <v>30.785300000002248</v>
      </c>
      <c r="W186" s="721">
        <f>Sheet1!L186*MGDtoCFS</f>
        <v>0.17017000000090046</v>
      </c>
      <c r="X186" s="697">
        <f t="shared" si="648"/>
        <v>0</v>
      </c>
      <c r="Y186" s="712">
        <f t="shared" si="649"/>
        <v>0</v>
      </c>
      <c r="Z186" s="712">
        <f t="shared" si="650"/>
        <v>0</v>
      </c>
      <c r="AA186" s="712">
        <f t="shared" si="651"/>
        <v>0</v>
      </c>
      <c r="AB186" s="712">
        <f>(VLOOKUP(Sheet1!CY186,hhdcap_wcm,4)-(((VLOOKUP(Sheet1!CY186,hhdcap_wcm,3)-Sheet1!CY186)/(VLOOKUP(Sheet1!CY186,hhdcap_wcm,3)-VLOOKUP(Sheet1!CY186,hhdcap_wcm,1)))*(VLOOKUP(Sheet1!CY186,hhdcap_wcm,4)-VLOOKUP(Sheet1!CY186,hhdcap_wcm,2))))</f>
        <v>50681.600000119281</v>
      </c>
      <c r="AC186" s="712">
        <f t="shared" si="652"/>
        <v>11.379999999997381</v>
      </c>
      <c r="AD186" s="712">
        <f t="shared" si="653"/>
        <v>6518.9048239895692</v>
      </c>
      <c r="AE186" s="712">
        <f t="shared" si="654"/>
        <v>20000</v>
      </c>
      <c r="AF186" s="712">
        <f>Sheet1!BA186+Sheet1!BB186+Sheet1!BN186+BT186</f>
        <v>10.199999999999999</v>
      </c>
      <c r="AG186" s="712">
        <f t="shared" si="655"/>
        <v>10.20512820512895</v>
      </c>
      <c r="AH186" s="712">
        <f>Sheet1!BA186+BT186</f>
        <v>0</v>
      </c>
      <c r="AI186" s="712">
        <f>Sheet1!BA186+Sheet1!BB186+BT186</f>
        <v>0</v>
      </c>
      <c r="AJ186" s="712">
        <f>IF((Sheet1!AA186+AG186+AX186+AZ186+BQ186+BS186+CL186+CN186)&lt;=N186,AG186+AX186+AZ186+BQ186+BS186+CL186+CN186,N186-Sheet1!AA186)</f>
        <v>10.20512820512895</v>
      </c>
      <c r="AK186" s="712">
        <f>IF(DR186&lt;K186,0,MAX(Sheet1!AA186+AG186-15/36*K186-N186,Sheet1!ED186,0))</f>
        <v>0</v>
      </c>
      <c r="AL186" s="712">
        <f>IF(OR(B186&gt;=FT186,B186&lt;FS186),0,15/36*K186-MAX(0,64.6-(137.6-(Sheet1!AA186+Sheet1!AB186))))</f>
        <v>0</v>
      </c>
      <c r="AM186" s="712">
        <f>Sheet1!CX186-110</f>
        <v>1056.9791666666667</v>
      </c>
      <c r="AN186" s="712">
        <f>Sheet1!CW186-265</f>
        <v>1506.0416666666667</v>
      </c>
      <c r="AO186" s="712">
        <f t="shared" si="622"/>
        <v>29.324871794869885</v>
      </c>
      <c r="AP186" s="712">
        <f t="shared" si="656"/>
        <v>0</v>
      </c>
      <c r="AQ186" s="712">
        <f t="shared" si="657"/>
        <v>0</v>
      </c>
      <c r="AR186" s="712">
        <f t="shared" si="658"/>
        <v>2716.2103433289872</v>
      </c>
      <c r="AS186" s="712"/>
      <c r="AT186" s="712">
        <f ca="1">IF(B186&gt;Summary!$A$1,#N/A,AR186*MGtoAF)</f>
        <v>8333.3333333333321</v>
      </c>
      <c r="AU186" s="712">
        <f>Sheet1!BG186+Sheet1!BH186+Sheet1!BI186-BC186</f>
        <v>0</v>
      </c>
      <c r="AV186" s="712">
        <f t="shared" si="659"/>
        <v>0</v>
      </c>
      <c r="AW186" s="712">
        <f>IF(Sheet1!EL186="FM",BC186,0)</f>
        <v>0</v>
      </c>
      <c r="AX186" s="712">
        <f t="shared" si="660"/>
        <v>0</v>
      </c>
      <c r="AY186" s="712">
        <f>IF(Sheet1!EL186="OTHER",BC186,0)</f>
        <v>0</v>
      </c>
      <c r="AZ186" s="712">
        <f t="shared" si="661"/>
        <v>0</v>
      </c>
      <c r="BA186" s="712">
        <f t="shared" si="662"/>
        <v>0</v>
      </c>
      <c r="BB186" s="712">
        <f t="shared" si="663"/>
        <v>0</v>
      </c>
      <c r="BC186" s="712">
        <f>IF(OR(Sheet1!EL186="FM", Sheet1!EL186="OTHER"),SUM(Sheet1!BG186:'Sheet1'!BI186),0)</f>
        <v>0</v>
      </c>
      <c r="BD186" s="697">
        <f>IF(AND($B186&gt;=$FL186,$B186&lt;=$FM186),MAX(AV186,Sheet1!EE186,0),MAX(AV186-(7/36)*$K186,0))</f>
        <v>0</v>
      </c>
      <c r="BE186" s="712">
        <f t="shared" si="664"/>
        <v>0</v>
      </c>
      <c r="BF186" s="697">
        <f t="shared" si="665"/>
        <v>0</v>
      </c>
      <c r="BG186" s="697">
        <f>IF(AND($O186&gt;0,Sheet1!EI186=1),(1-($O186-Sheet1!$L186)/$O186)*BB186,0)</f>
        <v>0</v>
      </c>
      <c r="BH186" s="697">
        <f>IF(AND(Sheet1!$L186=0,Sheet1!$L185=0, Calculation!BA186&lt;Sheet1!$EE186-0.1,Sheet1!$EE186=Sheet1!$EE185,Sheet1!$EE186=Sheet1!$EE187),Sheet1!$EE186,BB186-BG186)</f>
        <v>0</v>
      </c>
      <c r="BI186" s="712"/>
      <c r="BJ186" s="712"/>
      <c r="BK186" s="712">
        <f t="shared" si="666"/>
        <v>1267.5648268868606</v>
      </c>
      <c r="BL186" s="712"/>
      <c r="BM186" s="712">
        <f ca="1">IF(B186&gt;Summary!$A$1,#N/A,BK186*MGtoAF)</f>
        <v>3888.8888888888882</v>
      </c>
      <c r="BN186" s="712">
        <f>Sheet1!BC186+Sheet1!BD186+Sheet1!BE186+Sheet1!BF186-BW186-BX186</f>
        <v>2.63</v>
      </c>
      <c r="BO186" s="712">
        <f t="shared" si="667"/>
        <v>2.6313222724989354</v>
      </c>
      <c r="BP186" s="712">
        <f>IF(Sheet1!EM186="FM",BX186,0)</f>
        <v>0</v>
      </c>
      <c r="BQ186" s="712">
        <f t="shared" si="668"/>
        <v>0</v>
      </c>
      <c r="BR186" s="712">
        <f>IF(Sheet1!EM186="OTHER",BX186,0)</f>
        <v>0</v>
      </c>
      <c r="BS186" s="712">
        <f t="shared" si="669"/>
        <v>0</v>
      </c>
      <c r="BT186" s="712">
        <f t="shared" si="670"/>
        <v>0</v>
      </c>
      <c r="BU186" s="712">
        <f t="shared" si="671"/>
        <v>2.63</v>
      </c>
      <c r="BV186" s="712">
        <f t="shared" si="672"/>
        <v>2.6313222724989354</v>
      </c>
      <c r="BW186" s="712">
        <f>IF(Sheet1!EM186="CWA",SUM(Sheet1!BC186:'Sheet1'!BF186),0)</f>
        <v>0</v>
      </c>
      <c r="BX186" s="712">
        <f>IF(OR(Sheet1!EM186="FM", Sheet1!EM186="OTHER"),SUM(Sheet1!BC186:'Sheet1'!BF186),0)</f>
        <v>0</v>
      </c>
      <c r="BY186" s="697">
        <f>IF(AND($B186&gt;=$FL186,$B186&lt;=$FM186),MAX(BV186,Sheet1!EF186,0),MAX(BV186-(7/36)*$K186,0))</f>
        <v>0</v>
      </c>
      <c r="BZ186" s="712">
        <f t="shared" si="673"/>
        <v>0</v>
      </c>
      <c r="CA186" s="697">
        <f t="shared" si="674"/>
        <v>2.6313222724989354</v>
      </c>
      <c r="CB186" s="697">
        <f>IF(AND($O186&gt;0,Sheet1!EJ186=1),(1-($O186-Sheet1!$L186)/$O186)*BV186,0)</f>
        <v>0</v>
      </c>
      <c r="CC186" s="697">
        <f>IF(AND(Sheet1!$L186=0,Sheet1!$L185=0, Calculation!BU186&lt;Sheet1!EF186-0.1,Sheet1!EF186=Sheet1!EF185,Sheet1!EF186=Sheet1!EF187),Sheet1!EF186,BV186-CB186)</f>
        <v>2.6313222724989354</v>
      </c>
      <c r="CD186" s="697"/>
      <c r="CE186" s="712"/>
      <c r="CF186" s="712">
        <f t="shared" si="675"/>
        <v>1267.5648268868606</v>
      </c>
      <c r="CG186" s="712"/>
      <c r="CH186" s="712">
        <f ca="1">IF(B186&gt;Summary!$A$1,#N/A,CF186*MGtoAF)</f>
        <v>3888.8888888888882</v>
      </c>
      <c r="CI186" s="712">
        <f>Sheet1!BK186+Sheet1!BL186+Sheet1!BM186-Sheet1!EN186-CQ186</f>
        <v>7.0600000000000005</v>
      </c>
      <c r="CJ186" s="712">
        <f t="shared" si="676"/>
        <v>7.0635495223735685</v>
      </c>
      <c r="CK186" s="712">
        <f>IF(Sheet1!EN186="FM",CQ186,0)</f>
        <v>0</v>
      </c>
      <c r="CL186" s="712">
        <f t="shared" si="677"/>
        <v>0</v>
      </c>
      <c r="CM186" s="712">
        <f>IF(Sheet1!EN186="OTHER",CQ186,0)</f>
        <v>0</v>
      </c>
      <c r="CN186" s="712">
        <f t="shared" si="678"/>
        <v>0</v>
      </c>
      <c r="CO186" s="712">
        <f t="shared" si="679"/>
        <v>7.0600000000000005</v>
      </c>
      <c r="CP186" s="712">
        <f t="shared" si="680"/>
        <v>7.0635495223735685</v>
      </c>
      <c r="CQ186" s="712">
        <f>IF(OR(Sheet1!EN186="FM", Sheet1!EN186="OTHER"),SUM(Sheet1!BK186:'Sheet1'!BM186),0)</f>
        <v>0</v>
      </c>
      <c r="CR186" s="697">
        <f>IF(AND($B186&gt;=$FL186,$B186&lt;=$FM186),MAX($CJ186,Sheet1!EG186,0),MAX($CJ186-(7/36)*$K186,0))</f>
        <v>0</v>
      </c>
      <c r="CS186" s="712">
        <f t="shared" si="681"/>
        <v>0</v>
      </c>
      <c r="CT186" s="697">
        <f t="shared" si="682"/>
        <v>7.0635495223735685</v>
      </c>
      <c r="CU186" s="697">
        <f>IF(AND($O186&gt;0,Sheet1!EK186=1),(1-($O186-Sheet1!$L186)/$O186)*CP186,0)</f>
        <v>0</v>
      </c>
      <c r="CV186" s="697">
        <f>IF(AND(Sheet1!$L186=0,Sheet1!$L185=0, Calculation!CO186&lt;Sheet1!$EG186-0.1,Sheet1!$EG186=Sheet1!$EG185,Sheet1!$EG186=Sheet1!$EG187),Sheet1!$EG186,CP186-CU186)</f>
        <v>7.0635495223735685</v>
      </c>
      <c r="CW186" s="697">
        <f t="shared" si="613"/>
        <v>0</v>
      </c>
      <c r="CX186" s="712">
        <f t="shared" si="683"/>
        <v>9.6900000000000013</v>
      </c>
      <c r="CY186" s="712">
        <f t="shared" si="684"/>
        <v>1267.5648268868606</v>
      </c>
      <c r="CZ186" s="712">
        <f t="shared" si="685"/>
        <v>9.6948717948725047</v>
      </c>
      <c r="DA186" s="712">
        <f ca="1">IF(B186&gt;Summary!$A$1,#N/A,CY186*MGtoAF)</f>
        <v>3888.8888888888882</v>
      </c>
      <c r="DB186" s="712">
        <f t="shared" si="686"/>
        <v>9.6900000000000013</v>
      </c>
      <c r="DC186" s="712">
        <f t="shared" si="687"/>
        <v>19.89</v>
      </c>
      <c r="DD186" s="712">
        <f>Sheet1!AB186-DC186</f>
        <v>1.0000000001454623E-2</v>
      </c>
      <c r="DE186" s="712">
        <f t="shared" si="688"/>
        <v>5.0276520872069499E-4</v>
      </c>
      <c r="DF186" s="712">
        <f>(VLOOKUP(Sheet1!CY186,hhdcap_wcm,4)-(((VLOOKUP(Sheet1!CY186,hhdcap_wcm,3)-Sheet1!CY186)/(VLOOKUP(Sheet1!CY186,hhdcap_wcm,3)-VLOOKUP(Sheet1!CY186,hhdcap_wcm,1)))*(VLOOKUP(Sheet1!CY186,hhdcap_wcm,4)-VLOOKUP(Sheet1!CY186,hhdcap_wcm,2))))</f>
        <v>50681.600000119281</v>
      </c>
      <c r="DG186" s="712">
        <f t="shared" si="689"/>
        <v>11.379999999997381</v>
      </c>
      <c r="DH186" s="712">
        <f t="shared" si="690"/>
        <v>5.7387796268267168</v>
      </c>
      <c r="DI186" s="712">
        <f>Sheet1!DW186*AFtoMG</f>
        <v>0</v>
      </c>
      <c r="DJ186" s="712">
        <f>Sheet1!DX186*AFtoMG</f>
        <v>0</v>
      </c>
      <c r="DK186" s="712">
        <f>Sheet1!DY186*AFtoMG</f>
        <v>0</v>
      </c>
      <c r="DL186" s="712">
        <f>Sheet1!DZ186*AFtoMG</f>
        <v>0</v>
      </c>
      <c r="DM186" s="712">
        <f t="shared" si="691"/>
        <v>0</v>
      </c>
      <c r="DN186" s="712">
        <f t="shared" si="692"/>
        <v>0</v>
      </c>
      <c r="DO186" s="712">
        <f t="shared" si="693"/>
        <v>6518.9048239895692</v>
      </c>
      <c r="DP186" s="712">
        <f t="shared" si="694"/>
        <v>20000</v>
      </c>
      <c r="DQ186" s="712"/>
      <c r="DR186" s="697">
        <f>IF(OR(B186&lt;FL186,B186&gt;FM186),(MIN(AV186+BO186+CJ186+MAX(Sheet1!AA186+AG186-73,0),K186)),0)</f>
        <v>9.6948717948725047</v>
      </c>
      <c r="DS186" s="712"/>
      <c r="DT186" s="712">
        <f t="shared" si="695"/>
        <v>9.6948717948725047</v>
      </c>
      <c r="DU186" s="712"/>
      <c r="DV186" s="712">
        <f>Sheet1!ED186+Sheet1!EE186+Sheet1!EF186+Sheet1!EG186</f>
        <v>10.5</v>
      </c>
      <c r="DW186" s="712"/>
      <c r="DX186" s="697">
        <f t="shared" si="696"/>
        <v>0</v>
      </c>
      <c r="DY186" s="712">
        <f>IF(Sheet1!FN186=1,SUM('Calculations II'!AT186:BA186)+'Calculations II'!BC186+Sheet1!BU186+'Calculations II'!BE186+AF186,SUM('Calculations II'!AT186:BA186)+'Calculations II'!BC186+Sheet1!BU186+'Calculations II'!BE186+AF186)</f>
        <v>59.045311999999996</v>
      </c>
      <c r="DZ186" s="712">
        <f>Sheet1!AA186+Sheet1!AB186+'Calculations II'!BC186</f>
        <v>64.159920000002614</v>
      </c>
      <c r="EA186" s="712"/>
      <c r="EB186" s="712"/>
      <c r="EC186" s="712">
        <f t="shared" si="697"/>
        <v>40715</v>
      </c>
      <c r="ED186" s="712">
        <f t="shared" si="698"/>
        <v>0</v>
      </c>
      <c r="EE186" s="712">
        <f t="shared" si="699"/>
        <v>0</v>
      </c>
      <c r="EF186" s="712">
        <f>-(VLOOKUP(Sheet1!BQ186,Lookup!$B$4:$J$236,2)-VLOOKUP(Sheet1!BQ185,Lookup!$B$4:$J$236,2))/1000000</f>
        <v>2.4477000000000002</v>
      </c>
      <c r="EG186" s="712">
        <f>-(VLOOKUP(Sheet1!BR186,Lookup!$B$4:$J$236,3)-VLOOKUP(Sheet1!BR185,Lookup!$B$4:$J$236,3))/1000000</f>
        <v>2.4436</v>
      </c>
      <c r="EH186" s="712">
        <f>-(VLOOKUP(Sheet1!BS186,Lookup!$B$4:$J$236,4)-VLOOKUP(Sheet1!BS185,Lookup!$B$4:$J$236,4))/1000000</f>
        <v>0</v>
      </c>
      <c r="EI186" s="697">
        <f t="shared" si="700"/>
        <v>4.8913000000000002</v>
      </c>
      <c r="EJ186" s="712"/>
      <c r="EK186" s="712"/>
      <c r="EL186" s="712"/>
      <c r="EM186" s="712"/>
      <c r="EN186" s="712"/>
      <c r="EO186" s="712"/>
      <c r="EP186" s="712"/>
      <c r="EQ186" s="712"/>
      <c r="ES186" s="712"/>
      <c r="ET186" s="794" t="e">
        <f t="shared" si="720"/>
        <v>#N/A</v>
      </c>
      <c r="EU186" s="697">
        <v>5000</v>
      </c>
      <c r="EV186" s="795">
        <f t="shared" si="640"/>
        <v>24461.600000119281</v>
      </c>
      <c r="EW186" s="796" t="s">
        <v>757</v>
      </c>
      <c r="EX186" s="796" t="s">
        <v>757</v>
      </c>
      <c r="EY186" s="794">
        <v>0</v>
      </c>
      <c r="EZ186" s="794" t="e">
        <v>#N/A</v>
      </c>
      <c r="FA186" s="712"/>
      <c r="FB186" s="712"/>
      <c r="FC186" s="712"/>
      <c r="FD186" s="712"/>
      <c r="FE186" s="712">
        <f>O186+Sheet1!CO186</f>
        <v>7546.3700000000026</v>
      </c>
      <c r="FF186" s="712">
        <f>IF(Sheet1!AA186+AG186&lt;=Calculation!N186,AG186,Calculation!N186-Sheet1!AA186)</f>
        <v>10.20512820512895</v>
      </c>
      <c r="FG186" s="712">
        <f>(Sheet1!BP186+Sheet1!BO186)/694.4</f>
        <v>3.4255472350230414</v>
      </c>
      <c r="FH186" s="712"/>
      <c r="FI186" s="712"/>
      <c r="FJ186" s="712"/>
      <c r="FK186" s="712"/>
      <c r="FL186" s="714">
        <f t="shared" si="632"/>
        <v>40753</v>
      </c>
      <c r="FM186" s="714">
        <f t="shared" si="633"/>
        <v>40851</v>
      </c>
      <c r="FN186" s="712"/>
      <c r="FO186" s="712"/>
      <c r="FP186" s="712"/>
      <c r="FQ186" s="712"/>
      <c r="FR186" s="712"/>
      <c r="FS186" s="725">
        <f t="shared" si="634"/>
        <v>40603</v>
      </c>
      <c r="FT186" s="714">
        <f t="shared" si="635"/>
        <v>40709</v>
      </c>
      <c r="FU186" s="712">
        <f t="shared" si="636"/>
        <v>6518.9048239895692</v>
      </c>
      <c r="FV186" s="714">
        <f t="shared" si="637"/>
        <v>40722</v>
      </c>
      <c r="FW186" s="712">
        <f t="shared" si="638"/>
        <v>3259.4524119947846</v>
      </c>
      <c r="FX186" s="725">
        <f t="shared" si="639"/>
        <v>40851</v>
      </c>
      <c r="FZ186" s="697">
        <f t="shared" si="616"/>
        <v>0</v>
      </c>
      <c r="GA186" s="712" t="str">
        <f t="shared" si="701"/>
        <v/>
      </c>
      <c r="GB186" s="712">
        <f t="shared" si="702"/>
        <v>0</v>
      </c>
      <c r="GC186" s="712" t="str">
        <f t="shared" si="703"/>
        <v/>
      </c>
      <c r="GD186" s="712">
        <f>IF(GA186="P",Lookup!$M$12,IF(GA186="PP",Lookup!$M$13,IF(GA186="PPP",Lookup!$M$14,IF(GA186="T",Lookup!$M$15,IF(GA186="TP",Lookup!$M$16,IF(GA186="TPP",Lookup!$M$17,IF(GA186="TPPP",Lookup!$M$18,0)))))))*FZ186</f>
        <v>0</v>
      </c>
      <c r="GE186" s="712">
        <f t="shared" si="704"/>
        <v>0</v>
      </c>
      <c r="GF186" s="712">
        <f t="shared" si="705"/>
        <v>8333.3333333333321</v>
      </c>
      <c r="GG186" s="712">
        <f t="shared" si="706"/>
        <v>2716.2103433289872</v>
      </c>
      <c r="GH186" s="712"/>
      <c r="GI186" s="712">
        <f t="shared" si="707"/>
        <v>0</v>
      </c>
      <c r="GJ186" s="712" t="str">
        <f t="shared" si="708"/>
        <v/>
      </c>
      <c r="GK186" s="712">
        <f>IF(GA186="P",Lookup!$N$12,IF(GA186="PP",Lookup!$N$13,IF(GA186="PPP",Lookup!$N$14,IF(GA186="T",Lookup!$N$15,IF(GA186="TP",Lookup!$N$16,IF(GA186="TPP",Lookup!$N$17,IF(GA186="TPPP",Lookup!$N$18,0)))))))*FZ186</f>
        <v>0</v>
      </c>
      <c r="GL186" s="712">
        <f t="shared" si="709"/>
        <v>0</v>
      </c>
      <c r="GM186" s="712">
        <f t="shared" si="710"/>
        <v>3888.8888888888882</v>
      </c>
      <c r="GN186" s="712">
        <f t="shared" si="711"/>
        <v>1267.5648268868606</v>
      </c>
      <c r="GO186" s="712"/>
      <c r="GP186" s="712">
        <f t="shared" si="712"/>
        <v>0</v>
      </c>
      <c r="GQ186" s="712" t="str">
        <f t="shared" si="713"/>
        <v/>
      </c>
      <c r="GR186" s="712">
        <f>IF(GA186="P",Lookup!$N$12,IF(GA186="PP",Lookup!$N$13,IF(GA186="PPP",Lookup!$N$14,IF(GA186="T",Lookup!$N$15,IF(GA186="TP",Lookup!$N$16,IF(GA186="TPP",Lookup!$N$17,IF(GA186="TPPP",Lookup!$N$18,0)))))))*FZ186</f>
        <v>0</v>
      </c>
      <c r="GS186" s="697">
        <f t="shared" si="628"/>
        <v>0</v>
      </c>
      <c r="GT186" s="712">
        <f t="shared" si="714"/>
        <v>3888.8888888888882</v>
      </c>
      <c r="GU186" s="712">
        <f t="shared" si="715"/>
        <v>1267.5648268868606</v>
      </c>
      <c r="GV186" s="712"/>
      <c r="GW186" s="712">
        <f t="shared" si="716"/>
        <v>0</v>
      </c>
      <c r="GX186" s="712" t="str">
        <f t="shared" si="717"/>
        <v/>
      </c>
      <c r="GY186" s="712">
        <f>IF(GA186="P",Lookup!$N$12,IF(GA186="PP",Lookup!$N$13,IF(GA186="PPP",Lookup!$N$14,IF(GA186="T",Lookup!$N$15,IF(GA186="TP",Lookup!$N$16,IF(GA186="TPP",Lookup!$N$17,IF(GA186="TPPP",Lookup!$N$18,0)))))))*FZ186</f>
        <v>0</v>
      </c>
      <c r="GZ186" s="697">
        <f t="shared" si="629"/>
        <v>0</v>
      </c>
      <c r="HA186" s="712">
        <f t="shared" si="718"/>
        <v>3888.8888888888882</v>
      </c>
      <c r="HB186" s="712">
        <f t="shared" si="719"/>
        <v>1267.5648268868606</v>
      </c>
      <c r="HC186" s="712"/>
    </row>
    <row r="187" spans="1:211">
      <c r="A187" s="773" t="s">
        <v>6</v>
      </c>
      <c r="B187" s="708">
        <v>40716</v>
      </c>
      <c r="C187" s="709">
        <v>0.5</v>
      </c>
      <c r="D187" s="675">
        <f t="shared" si="641"/>
        <v>300</v>
      </c>
      <c r="E187" s="675">
        <f t="shared" si="642"/>
        <v>250</v>
      </c>
      <c r="F187" s="675">
        <v>250</v>
      </c>
      <c r="G187" s="712">
        <f>DH187+Sheet1!CV187</f>
        <v>1276.951259619814</v>
      </c>
      <c r="H187" s="712">
        <f t="shared" si="643"/>
        <v>558.45809421824777</v>
      </c>
      <c r="I187" s="711">
        <f>MAX(Sheet1!Z187-AJ187+(Sheet1!CW187-E187)*CFStoMGD,0)</f>
        <v>864.94099038948048</v>
      </c>
      <c r="J187" s="720">
        <f>IF(AND(B187&gt;=Calculation!FS187,B187&lt;=Calculation!FT187),IF(Sheet1!CX187&gt;=Calculation!D187,64.64,0),MAX(Sheet1!Z187-AJ187+(Sheet1!CX187-D187)*CFStoMGD,0))</f>
        <v>521.6756570561472</v>
      </c>
      <c r="K187" s="697">
        <f t="shared" si="644"/>
        <v>64.64</v>
      </c>
      <c r="L187" s="712">
        <f>Sheet1!AA187+Sheet1!AB187-Sheet1!L187+(Sheet1!CW187-F187)*CFStoMGD</f>
        <v>909.7306666666509</v>
      </c>
      <c r="M187" s="712">
        <f t="shared" si="645"/>
        <v>841.92972010261269</v>
      </c>
      <c r="N187" s="712">
        <f>IF(Sheet1!CW187&gt;=F187,MIN(73,MIN(MAX(L187,0),MAX(M187,0))),0)</f>
        <v>73</v>
      </c>
      <c r="O187" s="721">
        <f>Sheet1!AA187+Sheet1!AB187</f>
        <v>54.529999999984284</v>
      </c>
      <c r="P187" s="721">
        <f t="shared" si="646"/>
        <v>84.357909999975675</v>
      </c>
      <c r="Q187" s="712">
        <f>MIN(N187,Sheet1!AA187+AG187)</f>
        <v>44.649676277173363</v>
      </c>
      <c r="R187" s="712">
        <f t="shared" si="647"/>
        <v>9.8803237228109175</v>
      </c>
      <c r="S187" s="721">
        <f>Sheet1!Y187*MGDtoCFS</f>
        <v>52.072019999999995</v>
      </c>
      <c r="T187" s="721">
        <f>Sheet1!Z187*MGDtoCFS</f>
        <v>31.032819999999997</v>
      </c>
      <c r="U187" s="721">
        <f>Sheet1!AA187*MGDtoCFS</f>
        <v>53.108509999980186</v>
      </c>
      <c r="V187" s="721">
        <f>Sheet1!AB187*MGDtoCFS</f>
        <v>31.249399999995497</v>
      </c>
      <c r="W187" s="721">
        <f>Sheet1!L187*MGDtoCFS</f>
        <v>0</v>
      </c>
      <c r="X187" s="697">
        <f t="shared" si="648"/>
        <v>0</v>
      </c>
      <c r="Y187" s="712">
        <f t="shared" si="649"/>
        <v>0</v>
      </c>
      <c r="Z187" s="712">
        <f t="shared" si="650"/>
        <v>0</v>
      </c>
      <c r="AA187" s="712">
        <f t="shared" si="651"/>
        <v>0</v>
      </c>
      <c r="AB187" s="712">
        <f>(VLOOKUP(Sheet1!CY187,hhdcap_wcm,4)-(((VLOOKUP(Sheet1!CY187,hhdcap_wcm,3)-Sheet1!CY187)/(VLOOKUP(Sheet1!CY187,hhdcap_wcm,3)-VLOOKUP(Sheet1!CY187,hhdcap_wcm,1)))*(VLOOKUP(Sheet1!CY187,hhdcap_wcm,4)-VLOOKUP(Sheet1!CY187,hhdcap_wcm,2))))</f>
        <v>50852.300000119285</v>
      </c>
      <c r="AC187" s="712">
        <f t="shared" si="652"/>
        <v>170.70000000000437</v>
      </c>
      <c r="AD187" s="712">
        <f t="shared" si="653"/>
        <v>6518.9048239895692</v>
      </c>
      <c r="AE187" s="712">
        <f t="shared" si="654"/>
        <v>20000</v>
      </c>
      <c r="AF187" s="712">
        <f>Sheet1!BA187+Sheet1!BB187+Sheet1!BN187+BT187</f>
        <v>10.1</v>
      </c>
      <c r="AG187" s="712">
        <f t="shared" si="655"/>
        <v>10.31967627718617</v>
      </c>
      <c r="AH187" s="712">
        <f>Sheet1!BA187+BT187</f>
        <v>0</v>
      </c>
      <c r="AI187" s="712">
        <f>Sheet1!BA187+Sheet1!BB187+BT187</f>
        <v>0</v>
      </c>
      <c r="AJ187" s="712">
        <f>IF((Sheet1!AA187+AG187+AX187+AZ187+BQ187+BS187+CL187+CN187)&lt;=N187,AG187+AX187+AZ187+BQ187+BS187+CL187+CN187,N187-Sheet1!AA187)</f>
        <v>10.31967627718617</v>
      </c>
      <c r="AK187" s="712">
        <f>IF(DR187&lt;K187,0,MAX(Sheet1!AA187+AG187-15/36*K187-N187,Sheet1!ED187,0))</f>
        <v>0</v>
      </c>
      <c r="AL187" s="712">
        <f>IF(OR(B187&gt;=FT187,B187&lt;FS187),0,15/36*K187-MAX(0,64.6-(137.6-(Sheet1!AA187+Sheet1!AB187))))</f>
        <v>0</v>
      </c>
      <c r="AM187" s="712">
        <f>Sheet1!CX187-110</f>
        <v>981.97916666666674</v>
      </c>
      <c r="AN187" s="712">
        <f>Sheet1!CW187-265</f>
        <v>1308.0208333333333</v>
      </c>
      <c r="AO187" s="712">
        <f t="shared" si="622"/>
        <v>28.350323722826637</v>
      </c>
      <c r="AP187" s="712">
        <f t="shared" si="656"/>
        <v>0</v>
      </c>
      <c r="AQ187" s="712">
        <f t="shared" si="657"/>
        <v>0</v>
      </c>
      <c r="AR187" s="712">
        <f t="shared" si="658"/>
        <v>2716.2103433289872</v>
      </c>
      <c r="AS187" s="712"/>
      <c r="AT187" s="712">
        <f ca="1">IF(B187&gt;Summary!$A$1,#N/A,AR187*MGtoAF)</f>
        <v>8333.3333333333321</v>
      </c>
      <c r="AU187" s="712">
        <f>Sheet1!BG187+Sheet1!BH187+Sheet1!BI187-BC187</f>
        <v>0</v>
      </c>
      <c r="AV187" s="712">
        <f t="shared" si="659"/>
        <v>0</v>
      </c>
      <c r="AW187" s="712">
        <f>IF(Sheet1!EL187="FM",BC187,0)</f>
        <v>0</v>
      </c>
      <c r="AX187" s="712">
        <f t="shared" si="660"/>
        <v>0</v>
      </c>
      <c r="AY187" s="712">
        <f>IF(Sheet1!EL187="OTHER",BC187,0)</f>
        <v>0</v>
      </c>
      <c r="AZ187" s="712">
        <f t="shared" si="661"/>
        <v>0</v>
      </c>
      <c r="BA187" s="712">
        <f t="shared" si="662"/>
        <v>0</v>
      </c>
      <c r="BB187" s="712">
        <f t="shared" si="663"/>
        <v>0</v>
      </c>
      <c r="BC187" s="712">
        <f>IF(OR(Sheet1!EL187="FM", Sheet1!EL187="OTHER"),SUM(Sheet1!BG187:'Sheet1'!BI187),0)</f>
        <v>0</v>
      </c>
      <c r="BD187" s="697">
        <f>IF(AND($B187&gt;=$FL187,$B187&lt;=$FM187),MAX(AV187,Sheet1!EE187,0),MAX(AV187-(7/36)*$K187,0))</f>
        <v>0</v>
      </c>
      <c r="BE187" s="712">
        <f t="shared" si="664"/>
        <v>0</v>
      </c>
      <c r="BF187" s="697">
        <f t="shared" si="665"/>
        <v>0</v>
      </c>
      <c r="BG187" s="697">
        <f>IF(AND($O187&gt;0,Sheet1!EI187=1),(1-($O187-Sheet1!$L187)/$O187)*BB187,0)</f>
        <v>0</v>
      </c>
      <c r="BH187" s="697">
        <f>IF(AND(Sheet1!$L187=0,Sheet1!$L186=0, Calculation!BA187&lt;Sheet1!$EE187-0.1,Sheet1!$EE187=Sheet1!$EE186,Sheet1!$EE187=Sheet1!$EE188),Sheet1!$EE187,BB187-BG187)</f>
        <v>0</v>
      </c>
      <c r="BI187" s="712"/>
      <c r="BJ187" s="712"/>
      <c r="BK187" s="712">
        <f t="shared" si="666"/>
        <v>1267.5648268868606</v>
      </c>
      <c r="BL187" s="712"/>
      <c r="BM187" s="712">
        <f ca="1">IF(B187&gt;Summary!$A$1,#N/A,BK187*MGtoAF)</f>
        <v>3888.8888888888882</v>
      </c>
      <c r="BN187" s="712">
        <f>Sheet1!BC187+Sheet1!BD187+Sheet1!BE187+Sheet1!BF187-BW187-BX187</f>
        <v>2.62</v>
      </c>
      <c r="BO187" s="712">
        <f t="shared" si="667"/>
        <v>2.6769853313096803</v>
      </c>
      <c r="BP187" s="712">
        <f>IF(Sheet1!EM187="FM",BX187,0)</f>
        <v>0</v>
      </c>
      <c r="BQ187" s="712">
        <f t="shared" si="668"/>
        <v>0</v>
      </c>
      <c r="BR187" s="712">
        <f>IF(Sheet1!EM187="OTHER",BX187,0)</f>
        <v>0</v>
      </c>
      <c r="BS187" s="712">
        <f t="shared" si="669"/>
        <v>0</v>
      </c>
      <c r="BT187" s="712">
        <f t="shared" si="670"/>
        <v>0</v>
      </c>
      <c r="BU187" s="712">
        <f t="shared" si="671"/>
        <v>2.62</v>
      </c>
      <c r="BV187" s="712">
        <f t="shared" si="672"/>
        <v>2.6769853313096803</v>
      </c>
      <c r="BW187" s="712">
        <f>IF(Sheet1!EM187="CWA",SUM(Sheet1!BC187:'Sheet1'!BF187),0)</f>
        <v>0</v>
      </c>
      <c r="BX187" s="712">
        <f>IF(OR(Sheet1!EM187="FM", Sheet1!EM187="OTHER"),SUM(Sheet1!BC187:'Sheet1'!BF187),0)</f>
        <v>0</v>
      </c>
      <c r="BY187" s="697">
        <f>IF(AND($B187&gt;=$FL187,$B187&lt;=$FM187),MAX(BV187,Sheet1!EF187,0),MAX(BV187-(7/36)*$K187,0))</f>
        <v>0</v>
      </c>
      <c r="BZ187" s="712">
        <f t="shared" si="673"/>
        <v>0</v>
      </c>
      <c r="CA187" s="697">
        <f t="shared" si="674"/>
        <v>2.6769853313096803</v>
      </c>
      <c r="CB187" s="697">
        <f>IF(AND($O187&gt;0,Sheet1!EJ187=1),(1-($O187-Sheet1!$L187)/$O187)*BV187,0)</f>
        <v>0</v>
      </c>
      <c r="CC187" s="697">
        <f>IF(AND(Sheet1!$L187=0,Sheet1!$L186=0, Calculation!BU187&lt;Sheet1!EF187-0.1,Sheet1!EF187=Sheet1!EF186,Sheet1!EF187=Sheet1!EF188),Sheet1!EF187,BV187-CB187)</f>
        <v>2.6769853313096803</v>
      </c>
      <c r="CD187" s="697"/>
      <c r="CE187" s="712"/>
      <c r="CF187" s="712">
        <f t="shared" si="675"/>
        <v>1267.5648268868606</v>
      </c>
      <c r="CG187" s="712"/>
      <c r="CH187" s="712">
        <f ca="1">IF(B187&gt;Summary!$A$1,#N/A,CF187*MGtoAF)</f>
        <v>3888.8888888888882</v>
      </c>
      <c r="CI187" s="712">
        <f>Sheet1!BK187+Sheet1!BL187+Sheet1!BM187-Sheet1!EN187-CQ187</f>
        <v>7.05</v>
      </c>
      <c r="CJ187" s="712">
        <f t="shared" si="676"/>
        <v>7.2033383915012381</v>
      </c>
      <c r="CK187" s="712">
        <f>IF(Sheet1!EN187="FM",CQ187,0)</f>
        <v>0</v>
      </c>
      <c r="CL187" s="712">
        <f t="shared" si="677"/>
        <v>0</v>
      </c>
      <c r="CM187" s="712">
        <f>IF(Sheet1!EN187="OTHER",CQ187,0)</f>
        <v>0</v>
      </c>
      <c r="CN187" s="712">
        <f t="shared" si="678"/>
        <v>0</v>
      </c>
      <c r="CO187" s="712">
        <f t="shared" si="679"/>
        <v>7.05</v>
      </c>
      <c r="CP187" s="712">
        <f t="shared" si="680"/>
        <v>7.2033383915012381</v>
      </c>
      <c r="CQ187" s="712">
        <f>IF(OR(Sheet1!EN187="FM", Sheet1!EN187="OTHER"),SUM(Sheet1!BK187:'Sheet1'!BM187),0)</f>
        <v>0</v>
      </c>
      <c r="CR187" s="697">
        <f>IF(AND($B187&gt;=$FL187,$B187&lt;=$FM187),MAX($CJ187,Sheet1!EG187,0),MAX($CJ187-(7/36)*$K187,0))</f>
        <v>0</v>
      </c>
      <c r="CS187" s="712">
        <f t="shared" si="681"/>
        <v>0</v>
      </c>
      <c r="CT187" s="697">
        <f t="shared" si="682"/>
        <v>7.2033383915012381</v>
      </c>
      <c r="CU187" s="697">
        <f>IF(AND($O187&gt;0,Sheet1!EK187=1),(1-($O187-Sheet1!$L187)/$O187)*CP187,0)</f>
        <v>0</v>
      </c>
      <c r="CV187" s="697">
        <f>IF(AND(Sheet1!$L187=0,Sheet1!$L186=0, Calculation!CO187&lt;Sheet1!$EG187-0.1,Sheet1!$EG187=Sheet1!$EG186,Sheet1!$EG187=Sheet1!$EG188),Sheet1!$EG187,CP187-CU187)</f>
        <v>7.2033383915012381</v>
      </c>
      <c r="CW187" s="697">
        <f t="shared" si="613"/>
        <v>0</v>
      </c>
      <c r="CX187" s="712">
        <f t="shared" si="683"/>
        <v>9.67</v>
      </c>
      <c r="CY187" s="712">
        <f t="shared" si="684"/>
        <v>1267.5648268868606</v>
      </c>
      <c r="CZ187" s="712">
        <f t="shared" si="685"/>
        <v>9.8803237228109175</v>
      </c>
      <c r="DA187" s="712">
        <f ca="1">IF(B187&gt;Summary!$A$1,#N/A,CY187*MGtoAF)</f>
        <v>3888.8888888888882</v>
      </c>
      <c r="DB187" s="712">
        <f t="shared" si="686"/>
        <v>9.67</v>
      </c>
      <c r="DC187" s="712">
        <f t="shared" si="687"/>
        <v>19.77</v>
      </c>
      <c r="DD187" s="712">
        <f>Sheet1!AB187-DC187</f>
        <v>0.42999999999709004</v>
      </c>
      <c r="DE187" s="712">
        <f t="shared" si="688"/>
        <v>2.1750126454076382E-2</v>
      </c>
      <c r="DF187" s="712">
        <f>(VLOOKUP(Sheet1!CY187,hhdcap_wcm,4)-(((VLOOKUP(Sheet1!CY187,hhdcap_wcm,3)-Sheet1!CY187)/(VLOOKUP(Sheet1!CY187,hhdcap_wcm,3)-VLOOKUP(Sheet1!CY187,hhdcap_wcm,1)))*(VLOOKUP(Sheet1!CY187,hhdcap_wcm,4)-VLOOKUP(Sheet1!CY187,hhdcap_wcm,2))))</f>
        <v>50852.300000119285</v>
      </c>
      <c r="DG187" s="712">
        <f t="shared" si="689"/>
        <v>170.70000000000437</v>
      </c>
      <c r="DH187" s="712">
        <f t="shared" si="690"/>
        <v>86.081694402422769</v>
      </c>
      <c r="DI187" s="712">
        <f>Sheet1!DW187*AFtoMG</f>
        <v>0</v>
      </c>
      <c r="DJ187" s="712">
        <f>Sheet1!DX187*AFtoMG</f>
        <v>0</v>
      </c>
      <c r="DK187" s="712">
        <f>Sheet1!DY187*AFtoMG</f>
        <v>0</v>
      </c>
      <c r="DL187" s="712">
        <f>Sheet1!DZ187*AFtoMG</f>
        <v>0</v>
      </c>
      <c r="DM187" s="712">
        <f t="shared" si="691"/>
        <v>0</v>
      </c>
      <c r="DN187" s="712">
        <f t="shared" si="692"/>
        <v>0</v>
      </c>
      <c r="DO187" s="712">
        <f t="shared" si="693"/>
        <v>6518.9048239895692</v>
      </c>
      <c r="DP187" s="712">
        <f t="shared" si="694"/>
        <v>20000</v>
      </c>
      <c r="DQ187" s="712"/>
      <c r="DR187" s="697">
        <f>IF(OR(B187&lt;FL187,B187&gt;FM187),(MIN(AV187+BO187+CJ187+MAX(Sheet1!AA187+AG187-73,0),K187)),0)</f>
        <v>9.8803237228109175</v>
      </c>
      <c r="DS187" s="712"/>
      <c r="DT187" s="712">
        <f t="shared" si="695"/>
        <v>9.8803237228109175</v>
      </c>
      <c r="DU187" s="712"/>
      <c r="DV187" s="712">
        <f>Sheet1!ED187+Sheet1!EE187+Sheet1!EF187+Sheet1!EG187</f>
        <v>10.5</v>
      </c>
      <c r="DW187" s="712"/>
      <c r="DX187" s="697">
        <f t="shared" si="696"/>
        <v>0</v>
      </c>
      <c r="DY187" s="712">
        <f>IF(Sheet1!FN187=1,SUM('Calculations II'!AT187:BA187)+'Calculations II'!BC187+Sheet1!BU187+'Calculations II'!BE187+AF187,SUM('Calculations II'!AT187:BA187)+'Calculations II'!BC187+Sheet1!BU187+'Calculations II'!BE187+AF187)</f>
        <v>62.299322879999998</v>
      </c>
      <c r="DZ187" s="712">
        <f>Sheet1!AA187+Sheet1!AB187+'Calculations II'!BC187</f>
        <v>62.359498879984287</v>
      </c>
      <c r="EA187" s="712"/>
      <c r="EB187" s="712"/>
      <c r="EC187" s="712">
        <f t="shared" si="697"/>
        <v>40716</v>
      </c>
      <c r="ED187" s="712">
        <f t="shared" si="698"/>
        <v>0</v>
      </c>
      <c r="EE187" s="712">
        <f t="shared" si="699"/>
        <v>0</v>
      </c>
      <c r="EF187" s="712">
        <f>-(VLOOKUP(Sheet1!BQ187,Lookup!$B$4:$J$236,2)-VLOOKUP(Sheet1!BQ186,Lookup!$B$4:$J$236,2))/1000000</f>
        <v>1.0820000000000001</v>
      </c>
      <c r="EG187" s="712">
        <f>-(VLOOKUP(Sheet1!BR187,Lookup!$B$4:$J$236,3)-VLOOKUP(Sheet1!BR186,Lookup!$B$4:$J$236,3))/1000000</f>
        <v>1.08</v>
      </c>
      <c r="EH187" s="712">
        <f>-(VLOOKUP(Sheet1!BS187,Lookup!$B$4:$J$236,4)-VLOOKUP(Sheet1!BS186,Lookup!$B$4:$J$236,4))/1000000</f>
        <v>0</v>
      </c>
      <c r="EI187" s="697">
        <f t="shared" si="700"/>
        <v>2.1619999999999999</v>
      </c>
      <c r="EJ187" s="712"/>
      <c r="EK187" s="712"/>
      <c r="EL187" s="712"/>
      <c r="EM187" s="712"/>
      <c r="EN187" s="712"/>
      <c r="EO187" s="712"/>
      <c r="EP187" s="712"/>
      <c r="EQ187" s="712"/>
      <c r="ES187" s="712"/>
      <c r="ET187" s="794" t="e">
        <f t="shared" si="720"/>
        <v>#N/A</v>
      </c>
      <c r="EU187" s="697">
        <v>5000</v>
      </c>
      <c r="EV187" s="795">
        <f t="shared" si="640"/>
        <v>24632.300000119285</v>
      </c>
      <c r="EW187" s="796" t="s">
        <v>757</v>
      </c>
      <c r="EX187" s="796" t="s">
        <v>757</v>
      </c>
      <c r="EY187" s="794">
        <v>0</v>
      </c>
      <c r="EZ187" s="794" t="e">
        <v>#N/A</v>
      </c>
      <c r="FA187" s="712"/>
      <c r="FB187" s="712"/>
      <c r="FC187" s="712"/>
      <c r="FD187" s="712"/>
      <c r="FE187" s="712">
        <f>O187+Sheet1!CO187</f>
        <v>5491.6819999999843</v>
      </c>
      <c r="FF187" s="712">
        <f>IF(Sheet1!AA187+AG187&lt;=Calculation!N187,AG187,Calculation!N187-Sheet1!AA187)</f>
        <v>10.31967627718617</v>
      </c>
      <c r="FG187" s="712">
        <f>(Sheet1!BP187+Sheet1!BO187)/694.4</f>
        <v>2.2538882488479262</v>
      </c>
      <c r="FH187" s="712"/>
      <c r="FI187" s="712"/>
      <c r="FJ187" s="712"/>
      <c r="FK187" s="712"/>
      <c r="FL187" s="714">
        <f t="shared" si="632"/>
        <v>40753</v>
      </c>
      <c r="FM187" s="714">
        <f t="shared" si="633"/>
        <v>40851</v>
      </c>
      <c r="FN187" s="712"/>
      <c r="FO187" s="712"/>
      <c r="FP187" s="712"/>
      <c r="FQ187" s="712"/>
      <c r="FR187" s="712"/>
      <c r="FS187" s="725">
        <f t="shared" si="634"/>
        <v>40603</v>
      </c>
      <c r="FT187" s="714">
        <f t="shared" si="635"/>
        <v>40709</v>
      </c>
      <c r="FU187" s="712">
        <f t="shared" si="636"/>
        <v>6518.9048239895692</v>
      </c>
      <c r="FV187" s="714">
        <f t="shared" si="637"/>
        <v>40722</v>
      </c>
      <c r="FW187" s="712">
        <f t="shared" si="638"/>
        <v>3259.4524119947846</v>
      </c>
      <c r="FX187" s="725">
        <f t="shared" si="639"/>
        <v>40851</v>
      </c>
      <c r="FZ187" s="697">
        <f t="shared" si="616"/>
        <v>0</v>
      </c>
      <c r="GA187" s="712" t="str">
        <f t="shared" si="701"/>
        <v/>
      </c>
      <c r="GB187" s="712">
        <f t="shared" si="702"/>
        <v>0</v>
      </c>
      <c r="GC187" s="712" t="str">
        <f t="shared" si="703"/>
        <v/>
      </c>
      <c r="GD187" s="712">
        <f>IF(GA187="P",Lookup!$M$12,IF(GA187="PP",Lookup!$M$13,IF(GA187="PPP",Lookup!$M$14,IF(GA187="T",Lookup!$M$15,IF(GA187="TP",Lookup!$M$16,IF(GA187="TPP",Lookup!$M$17,IF(GA187="TPPP",Lookup!$M$18,0)))))))*FZ187</f>
        <v>0</v>
      </c>
      <c r="GE187" s="712">
        <f t="shared" si="704"/>
        <v>0</v>
      </c>
      <c r="GF187" s="712">
        <f t="shared" si="705"/>
        <v>8333.3333333333321</v>
      </c>
      <c r="GG187" s="712">
        <f t="shared" si="706"/>
        <v>2716.2103433289872</v>
      </c>
      <c r="GH187" s="712"/>
      <c r="GI187" s="712">
        <f t="shared" si="707"/>
        <v>0</v>
      </c>
      <c r="GJ187" s="712" t="str">
        <f t="shared" si="708"/>
        <v/>
      </c>
      <c r="GK187" s="712">
        <f>IF(GA187="P",Lookup!$N$12,IF(GA187="PP",Lookup!$N$13,IF(GA187="PPP",Lookup!$N$14,IF(GA187="T",Lookup!$N$15,IF(GA187="TP",Lookup!$N$16,IF(GA187="TPP",Lookup!$N$17,IF(GA187="TPPP",Lookup!$N$18,0)))))))*FZ187</f>
        <v>0</v>
      </c>
      <c r="GL187" s="712">
        <f t="shared" si="709"/>
        <v>0</v>
      </c>
      <c r="GM187" s="712">
        <f t="shared" si="710"/>
        <v>3888.8888888888882</v>
      </c>
      <c r="GN187" s="712">
        <f t="shared" si="711"/>
        <v>1267.5648268868606</v>
      </c>
      <c r="GO187" s="712"/>
      <c r="GP187" s="712">
        <f t="shared" si="712"/>
        <v>0</v>
      </c>
      <c r="GQ187" s="712" t="str">
        <f t="shared" si="713"/>
        <v/>
      </c>
      <c r="GR187" s="712">
        <f>IF(GA187="P",Lookup!$N$12,IF(GA187="PP",Lookup!$N$13,IF(GA187="PPP",Lookup!$N$14,IF(GA187="T",Lookup!$N$15,IF(GA187="TP",Lookup!$N$16,IF(GA187="TPP",Lookup!$N$17,IF(GA187="TPPP",Lookup!$N$18,0)))))))*FZ187</f>
        <v>0</v>
      </c>
      <c r="GS187" s="697">
        <f t="shared" si="628"/>
        <v>0</v>
      </c>
      <c r="GT187" s="712">
        <f t="shared" si="714"/>
        <v>3888.8888888888882</v>
      </c>
      <c r="GU187" s="712">
        <f t="shared" si="715"/>
        <v>1267.5648268868606</v>
      </c>
      <c r="GV187" s="712"/>
      <c r="GW187" s="712">
        <f t="shared" si="716"/>
        <v>0</v>
      </c>
      <c r="GX187" s="712" t="str">
        <f t="shared" si="717"/>
        <v/>
      </c>
      <c r="GY187" s="712">
        <f>IF(GA187="P",Lookup!$N$12,IF(GA187="PP",Lookup!$N$13,IF(GA187="PPP",Lookup!$N$14,IF(GA187="T",Lookup!$N$15,IF(GA187="TP",Lookup!$N$16,IF(GA187="TPP",Lookup!$N$17,IF(GA187="TPPP",Lookup!$N$18,0)))))))*FZ187</f>
        <v>0</v>
      </c>
      <c r="GZ187" s="697">
        <f t="shared" si="629"/>
        <v>0</v>
      </c>
      <c r="HA187" s="712">
        <f t="shared" si="718"/>
        <v>3888.8888888888882</v>
      </c>
      <c r="HB187" s="712">
        <f t="shared" si="719"/>
        <v>1267.5648268868606</v>
      </c>
      <c r="HC187" s="712"/>
    </row>
    <row r="188" spans="1:211">
      <c r="A188" s="773" t="s">
        <v>7</v>
      </c>
      <c r="B188" s="708">
        <v>40717</v>
      </c>
      <c r="C188" s="719">
        <v>0.5</v>
      </c>
      <c r="D188" s="675">
        <f t="shared" si="641"/>
        <v>300</v>
      </c>
      <c r="E188" s="675">
        <f t="shared" si="642"/>
        <v>250</v>
      </c>
      <c r="F188" s="675">
        <v>250</v>
      </c>
      <c r="G188" s="712">
        <f>DH188+Sheet1!CV188</f>
        <v>1271.6560328005437</v>
      </c>
      <c r="H188" s="712">
        <f t="shared" si="643"/>
        <v>555.03525960227148</v>
      </c>
      <c r="I188" s="711">
        <f>MAX(Sheet1!Z188-AJ188+(Sheet1!CW188-E188)*CFStoMGD,0)</f>
        <v>939.84185390428206</v>
      </c>
      <c r="J188" s="720">
        <f>IF(AND(B188&gt;=Calculation!FS188,B188&lt;=Calculation!FT188),IF(Sheet1!CX188&gt;=Calculation!D188,64.64,0),MAX(Sheet1!Z188-AJ188+(Sheet1!CX188-D188)*CFStoMGD,0))</f>
        <v>613.74652057094875</v>
      </c>
      <c r="K188" s="697">
        <f t="shared" si="644"/>
        <v>64.64</v>
      </c>
      <c r="L188" s="712">
        <f>Sheet1!AA188+Sheet1!AB188-Sheet1!L188+(Sheet1!CW188-F188)*CFStoMGD</f>
        <v>983.58800000000576</v>
      </c>
      <c r="M188" s="712">
        <f t="shared" si="645"/>
        <v>838.43842879431691</v>
      </c>
      <c r="N188" s="712">
        <f>IF(Sheet1!CW188&gt;=F188,MIN(73,MIN(MAX(L188,0),MAX(M188,0))),0)</f>
        <v>73</v>
      </c>
      <c r="O188" s="721">
        <f>Sheet1!AA188+Sheet1!AB188</f>
        <v>53.580000000005825</v>
      </c>
      <c r="P188" s="721">
        <f t="shared" si="646"/>
        <v>82.888260000008998</v>
      </c>
      <c r="Q188" s="712">
        <f>MIN(N188,Sheet1!AA188+AG188)</f>
        <v>43.766146095723705</v>
      </c>
      <c r="R188" s="712">
        <f t="shared" si="647"/>
        <v>9.8138539042821158</v>
      </c>
      <c r="S188" s="721">
        <f>Sheet1!Y188*MGDtoCFS</f>
        <v>52.133900000000004</v>
      </c>
      <c r="T188" s="721">
        <f>Sheet1!Z188*MGDtoCFS</f>
        <v>30.939999999999998</v>
      </c>
      <c r="U188" s="721">
        <f>Sheet1!AA188*MGDtoCFS</f>
        <v>51.979200000009001</v>
      </c>
      <c r="V188" s="721">
        <f>Sheet1!AB188*MGDtoCFS</f>
        <v>30.90906</v>
      </c>
      <c r="W188" s="721">
        <f>Sheet1!L188*MGDtoCFS</f>
        <v>0</v>
      </c>
      <c r="X188" s="697">
        <f t="shared" si="648"/>
        <v>0</v>
      </c>
      <c r="Y188" s="712">
        <f t="shared" si="649"/>
        <v>0</v>
      </c>
      <c r="Z188" s="712">
        <f t="shared" si="650"/>
        <v>0</v>
      </c>
      <c r="AA188" s="712">
        <f t="shared" si="651"/>
        <v>0</v>
      </c>
      <c r="AB188" s="712">
        <f>(VLOOKUP(Sheet1!CY188,hhdcap_wcm,4)-(((VLOOKUP(Sheet1!CY188,hhdcap_wcm,3)-Sheet1!CY188)/(VLOOKUP(Sheet1!CY188,hhdcap_wcm,3)-VLOOKUP(Sheet1!CY188,hhdcap_wcm,1)))*(VLOOKUP(Sheet1!CY188,hhdcap_wcm,4)-VLOOKUP(Sheet1!CY188,hhdcap_wcm,2))))</f>
        <v>50727.120000119285</v>
      </c>
      <c r="AC188" s="712">
        <f t="shared" si="652"/>
        <v>-125.18000000000029</v>
      </c>
      <c r="AD188" s="712">
        <f t="shared" si="653"/>
        <v>6518.9048239895692</v>
      </c>
      <c r="AE188" s="712">
        <f t="shared" si="654"/>
        <v>20000</v>
      </c>
      <c r="AF188" s="712">
        <f>Sheet1!BA188+Sheet1!BB188+Sheet1!BN188+BT188</f>
        <v>10.1</v>
      </c>
      <c r="AG188" s="712">
        <f t="shared" si="655"/>
        <v>10.166146095717883</v>
      </c>
      <c r="AH188" s="712">
        <f>Sheet1!BA188+BT188</f>
        <v>0</v>
      </c>
      <c r="AI188" s="712">
        <f>Sheet1!BA188+Sheet1!BB188+BT188</f>
        <v>0</v>
      </c>
      <c r="AJ188" s="712">
        <f>IF((Sheet1!AA188+AG188+AX188+AZ188+BQ188+BS188+CL188+CN188)&lt;=N188,AG188+AX188+AZ188+BQ188+BS188+CL188+CN188,N188-Sheet1!AA188)</f>
        <v>10.166146095717883</v>
      </c>
      <c r="AK188" s="712">
        <f>IF(DR188&lt;K188,0,MAX(Sheet1!AA188+AG188-15/36*K188-N188,Sheet1!ED188,0))</f>
        <v>0</v>
      </c>
      <c r="AL188" s="712">
        <f>IF(OR(B188&gt;=FT188,B188&lt;FS188),0,15/36*K188-MAX(0,64.6-(137.6-(Sheet1!AA188+Sheet1!AB188))))</f>
        <v>0</v>
      </c>
      <c r="AM188" s="712">
        <f>Sheet1!CX188-110</f>
        <v>1124.2708333333333</v>
      </c>
      <c r="AN188" s="712">
        <f>Sheet1!CW188-265</f>
        <v>1423.75</v>
      </c>
      <c r="AO188" s="712">
        <f t="shared" si="622"/>
        <v>29.233853904276295</v>
      </c>
      <c r="AP188" s="712">
        <f t="shared" si="656"/>
        <v>0</v>
      </c>
      <c r="AQ188" s="712">
        <f t="shared" si="657"/>
        <v>0</v>
      </c>
      <c r="AR188" s="712">
        <f t="shared" si="658"/>
        <v>2716.2103433289872</v>
      </c>
      <c r="AS188" s="712"/>
      <c r="AT188" s="712">
        <f ca="1">IF(B188&gt;Summary!$A$1,#N/A,AR188*MGtoAF)</f>
        <v>8333.3333333333321</v>
      </c>
      <c r="AU188" s="712">
        <f>Sheet1!BG188+Sheet1!BH188+Sheet1!BI188-BC188</f>
        <v>0</v>
      </c>
      <c r="AV188" s="712">
        <f t="shared" si="659"/>
        <v>0</v>
      </c>
      <c r="AW188" s="712">
        <f>IF(Sheet1!EL188="FM",BC188,0)</f>
        <v>0</v>
      </c>
      <c r="AX188" s="712">
        <f t="shared" si="660"/>
        <v>0</v>
      </c>
      <c r="AY188" s="712">
        <f>IF(Sheet1!EL188="OTHER",BC188,0)</f>
        <v>0</v>
      </c>
      <c r="AZ188" s="712">
        <f t="shared" si="661"/>
        <v>0</v>
      </c>
      <c r="BA188" s="712">
        <f t="shared" si="662"/>
        <v>0</v>
      </c>
      <c r="BB188" s="712">
        <f t="shared" si="663"/>
        <v>0</v>
      </c>
      <c r="BC188" s="712">
        <f>IF(OR(Sheet1!EL188="FM", Sheet1!EL188="OTHER"),SUM(Sheet1!BG188:'Sheet1'!BI188),0)</f>
        <v>0</v>
      </c>
      <c r="BD188" s="697">
        <f>IF(AND($B188&gt;=$FL188,$B188&lt;=$FM188),MAX(AV188,Sheet1!EE188,0),MAX(AV188-(7/36)*$K188,0))</f>
        <v>0</v>
      </c>
      <c r="BE188" s="712">
        <f t="shared" si="664"/>
        <v>0</v>
      </c>
      <c r="BF188" s="697">
        <f t="shared" si="665"/>
        <v>0</v>
      </c>
      <c r="BG188" s="697">
        <f>IF(AND($O188&gt;0,Sheet1!EI188=1),(1-($O188-Sheet1!$L188)/$O188)*BB188,0)</f>
        <v>0</v>
      </c>
      <c r="BH188" s="697">
        <f>IF(AND(Sheet1!$L188=0,Sheet1!$L187=0, Calculation!BA188&lt;Sheet1!$EE188-0.1,Sheet1!$EE188=Sheet1!$EE187,Sheet1!$EE188=Sheet1!$EE189),Sheet1!$EE188,BB188-BG188)</f>
        <v>1</v>
      </c>
      <c r="BI188" s="712"/>
      <c r="BJ188" s="712"/>
      <c r="BK188" s="712">
        <f t="shared" si="666"/>
        <v>1267.5648268868606</v>
      </c>
      <c r="BL188" s="712"/>
      <c r="BM188" s="712">
        <f ca="1">IF(B188&gt;Summary!$A$1,#N/A,BK188*MGtoAF)</f>
        <v>3888.8888888888882</v>
      </c>
      <c r="BN188" s="712">
        <f>Sheet1!BC188+Sheet1!BD188+Sheet1!BE188+Sheet1!BF188-BW188-BX188</f>
        <v>2.7</v>
      </c>
      <c r="BO188" s="712">
        <f t="shared" si="667"/>
        <v>2.7176826196473551</v>
      </c>
      <c r="BP188" s="712">
        <f>IF(Sheet1!EM188="FM",BX188,0)</f>
        <v>0</v>
      </c>
      <c r="BQ188" s="712">
        <f t="shared" si="668"/>
        <v>0</v>
      </c>
      <c r="BR188" s="712">
        <f>IF(Sheet1!EM188="OTHER",BX188,0)</f>
        <v>0</v>
      </c>
      <c r="BS188" s="712">
        <f t="shared" si="669"/>
        <v>0</v>
      </c>
      <c r="BT188" s="712">
        <f t="shared" si="670"/>
        <v>0</v>
      </c>
      <c r="BU188" s="712">
        <f t="shared" si="671"/>
        <v>2.7</v>
      </c>
      <c r="BV188" s="712">
        <f t="shared" si="672"/>
        <v>2.7176826196473551</v>
      </c>
      <c r="BW188" s="712">
        <f>IF(Sheet1!EM188="CWA",SUM(Sheet1!BC188:'Sheet1'!BF188),0)</f>
        <v>0</v>
      </c>
      <c r="BX188" s="712">
        <f>IF(OR(Sheet1!EM188="FM", Sheet1!EM188="OTHER"),SUM(Sheet1!BC188:'Sheet1'!BF188),0)</f>
        <v>0</v>
      </c>
      <c r="BY188" s="697">
        <f>IF(AND($B188&gt;=$FL188,$B188&lt;=$FM188),MAX(BV188,Sheet1!EF188,0),MAX(BV188-(7/36)*$K188,0))</f>
        <v>0</v>
      </c>
      <c r="BZ188" s="712">
        <f t="shared" si="673"/>
        <v>0</v>
      </c>
      <c r="CA188" s="697">
        <f t="shared" si="674"/>
        <v>2.7176826196473551</v>
      </c>
      <c r="CB188" s="697">
        <f>IF(AND($O188&gt;0,Sheet1!EJ188=1),(1-($O188-Sheet1!$L188)/$O188)*BV188,0)</f>
        <v>0</v>
      </c>
      <c r="CC188" s="697">
        <f>IF(AND(Sheet1!$L188=0,Sheet1!$L187=0, Calculation!BU188&lt;Sheet1!EF188-0.1,Sheet1!EF188=Sheet1!EF187,Sheet1!EF188=Sheet1!EF189),Sheet1!EF188,BV188-CB188)</f>
        <v>2.7176826196473551</v>
      </c>
      <c r="CD188" s="697"/>
      <c r="CE188" s="712"/>
      <c r="CF188" s="712">
        <f t="shared" si="675"/>
        <v>1267.5648268868606</v>
      </c>
      <c r="CG188" s="712"/>
      <c r="CH188" s="712">
        <f ca="1">IF(B188&gt;Summary!$A$1,#N/A,CF188*MGtoAF)</f>
        <v>3888.8888888888882</v>
      </c>
      <c r="CI188" s="712">
        <f>Sheet1!BK188+Sheet1!BL188+Sheet1!BM188-Sheet1!EN188-CQ188</f>
        <v>7.05</v>
      </c>
      <c r="CJ188" s="712">
        <f t="shared" si="676"/>
        <v>7.0961712846347602</v>
      </c>
      <c r="CK188" s="712">
        <f>IF(Sheet1!EN188="FM",CQ188,0)</f>
        <v>0</v>
      </c>
      <c r="CL188" s="712">
        <f t="shared" si="677"/>
        <v>0</v>
      </c>
      <c r="CM188" s="712">
        <f>IF(Sheet1!EN188="OTHER",CQ188,0)</f>
        <v>0</v>
      </c>
      <c r="CN188" s="712">
        <f t="shared" si="678"/>
        <v>0</v>
      </c>
      <c r="CO188" s="712">
        <f t="shared" si="679"/>
        <v>7.05</v>
      </c>
      <c r="CP188" s="712">
        <f t="shared" si="680"/>
        <v>7.0961712846347602</v>
      </c>
      <c r="CQ188" s="712">
        <f>IF(OR(Sheet1!EN188="FM", Sheet1!EN188="OTHER"),SUM(Sheet1!BK188:'Sheet1'!BM188),0)</f>
        <v>0</v>
      </c>
      <c r="CR188" s="697">
        <f>IF(AND($B188&gt;=$FL188,$B188&lt;=$FM188),MAX($CJ188,Sheet1!EG188,0),MAX($CJ188-(7/36)*$K188,0))</f>
        <v>0</v>
      </c>
      <c r="CS188" s="712">
        <f t="shared" si="681"/>
        <v>0</v>
      </c>
      <c r="CT188" s="697">
        <f t="shared" si="682"/>
        <v>7.0961712846347602</v>
      </c>
      <c r="CU188" s="697">
        <f>IF(AND($O188&gt;0,Sheet1!EK188=1),(1-($O188-Sheet1!$L188)/$O188)*CP188,0)</f>
        <v>0</v>
      </c>
      <c r="CV188" s="697">
        <f>IF(AND(Sheet1!$L188=0,Sheet1!$L187=0, Calculation!CO188&lt;Sheet1!$EG188-0.1,Sheet1!$EG188=Sheet1!$EG187,Sheet1!$EG188=Sheet1!$EG189),Sheet1!$EG188,CP188-CU188)</f>
        <v>7.0961712846347602</v>
      </c>
      <c r="CW188" s="697">
        <f t="shared" si="613"/>
        <v>0</v>
      </c>
      <c r="CX188" s="712">
        <f t="shared" si="683"/>
        <v>9.75</v>
      </c>
      <c r="CY188" s="712">
        <f t="shared" si="684"/>
        <v>1267.5648268868606</v>
      </c>
      <c r="CZ188" s="712">
        <f t="shared" si="685"/>
        <v>9.8138539042821158</v>
      </c>
      <c r="DA188" s="712">
        <f ca="1">IF(B188&gt;Summary!$A$1,#N/A,CY188*MGtoAF)</f>
        <v>3888.8888888888882</v>
      </c>
      <c r="DB188" s="712">
        <f t="shared" si="686"/>
        <v>9.75</v>
      </c>
      <c r="DC188" s="712">
        <f t="shared" si="687"/>
        <v>19.850000000000001</v>
      </c>
      <c r="DD188" s="712">
        <f>Sheet1!AB188-DC188</f>
        <v>0.12999999999999901</v>
      </c>
      <c r="DE188" s="712">
        <f t="shared" si="688"/>
        <v>6.5491183879092694E-3</v>
      </c>
      <c r="DF188" s="712">
        <f>(VLOOKUP(Sheet1!CY188,hhdcap_wcm,4)-(((VLOOKUP(Sheet1!CY188,hhdcap_wcm,3)-Sheet1!CY188)/(VLOOKUP(Sheet1!CY188,hhdcap_wcm,3)-VLOOKUP(Sheet1!CY188,hhdcap_wcm,1)))*(VLOOKUP(Sheet1!CY188,hhdcap_wcm,4)-VLOOKUP(Sheet1!CY188,hhdcap_wcm,2))))</f>
        <v>50727.120000119285</v>
      </c>
      <c r="DG188" s="712">
        <f t="shared" si="689"/>
        <v>-125.18000000000029</v>
      </c>
      <c r="DH188" s="712">
        <f t="shared" si="690"/>
        <v>-63.126575895108559</v>
      </c>
      <c r="DI188" s="712">
        <f>Sheet1!DW188*AFtoMG</f>
        <v>0</v>
      </c>
      <c r="DJ188" s="712">
        <f>Sheet1!DX188*AFtoMG</f>
        <v>0</v>
      </c>
      <c r="DK188" s="712">
        <f>Sheet1!DY188*AFtoMG</f>
        <v>0</v>
      </c>
      <c r="DL188" s="712">
        <f>Sheet1!DZ188*AFtoMG</f>
        <v>0</v>
      </c>
      <c r="DM188" s="712">
        <f t="shared" si="691"/>
        <v>0</v>
      </c>
      <c r="DN188" s="712">
        <f t="shared" si="692"/>
        <v>0</v>
      </c>
      <c r="DO188" s="712">
        <f t="shared" si="693"/>
        <v>6518.9048239895692</v>
      </c>
      <c r="DP188" s="712">
        <f t="shared" si="694"/>
        <v>20000</v>
      </c>
      <c r="DQ188" s="712"/>
      <c r="DR188" s="697">
        <f>IF(OR(B188&lt;FL188,B188&gt;FM188),(MIN(AV188+BO188+CJ188+MAX(Sheet1!AA188+AG188-73,0),K188)),0)</f>
        <v>9.8138539042821158</v>
      </c>
      <c r="DS188" s="712"/>
      <c r="DT188" s="712">
        <f t="shared" si="695"/>
        <v>9.8138539042821158</v>
      </c>
      <c r="DU188" s="712"/>
      <c r="DV188" s="712">
        <f>Sheet1!ED188+Sheet1!EE188+Sheet1!EF188+Sheet1!EG188</f>
        <v>10.5</v>
      </c>
      <c r="DW188" s="712"/>
      <c r="DX188" s="697">
        <f t="shared" si="696"/>
        <v>0</v>
      </c>
      <c r="DY188" s="712">
        <f>IF(Sheet1!FN188=1,SUM('Calculations II'!AT188:BA188)+'Calculations II'!BC188+Sheet1!BU188+'Calculations II'!BE188+AF188,SUM('Calculations II'!AT188:BA188)+'Calculations II'!BC188+Sheet1!BU188+'Calculations II'!BE188+AF188)</f>
        <v>70.701638079999995</v>
      </c>
      <c r="DZ188" s="712">
        <f>Sheet1!AA188+Sheet1!AB188+'Calculations II'!BC188</f>
        <v>64.359310080005827</v>
      </c>
      <c r="EA188" s="712"/>
      <c r="EB188" s="712"/>
      <c r="EC188" s="712">
        <f t="shared" si="697"/>
        <v>40717</v>
      </c>
      <c r="ED188" s="712">
        <f t="shared" si="698"/>
        <v>0</v>
      </c>
      <c r="EE188" s="712">
        <f t="shared" si="699"/>
        <v>0</v>
      </c>
      <c r="EF188" s="712">
        <f>-(VLOOKUP(Sheet1!BQ188,Lookup!$B$4:$J$236,2)-VLOOKUP(Sheet1!BQ187,Lookup!$B$4:$J$236,2))/1000000</f>
        <v>1.6060000000000001</v>
      </c>
      <c r="EG188" s="712">
        <f>-(VLOOKUP(Sheet1!BR188,Lookup!$B$4:$J$236,3)-VLOOKUP(Sheet1!BR187,Lookup!$B$4:$J$236,3))/1000000</f>
        <v>1.603</v>
      </c>
      <c r="EH188" s="712">
        <f>-(VLOOKUP(Sheet1!BS188,Lookup!$B$4:$J$236,4)-VLOOKUP(Sheet1!BS187,Lookup!$B$4:$J$236,4))/1000000</f>
        <v>0</v>
      </c>
      <c r="EI188" s="697">
        <f t="shared" si="700"/>
        <v>3.2090000000000001</v>
      </c>
      <c r="EJ188" s="712"/>
      <c r="EK188" s="712"/>
      <c r="EL188" s="712"/>
      <c r="EM188" s="712"/>
      <c r="EN188" s="712"/>
      <c r="EO188" s="712"/>
      <c r="EP188" s="712"/>
      <c r="EQ188" s="712"/>
      <c r="ES188" s="712"/>
      <c r="ET188" s="794" t="e">
        <f t="shared" si="720"/>
        <v>#N/A</v>
      </c>
      <c r="EU188" s="697">
        <v>5000</v>
      </c>
      <c r="EV188" s="795">
        <f t="shared" si="640"/>
        <v>24507.120000119285</v>
      </c>
      <c r="EW188" s="796" t="s">
        <v>757</v>
      </c>
      <c r="EX188" s="796" t="s">
        <v>757</v>
      </c>
      <c r="EY188" s="794">
        <v>0</v>
      </c>
      <c r="EZ188" s="794" t="e">
        <v>#N/A</v>
      </c>
      <c r="FA188" s="712"/>
      <c r="FB188" s="712"/>
      <c r="FC188" s="712"/>
      <c r="FD188" s="712"/>
      <c r="FE188" s="712">
        <f>O188+Sheet1!CO188</f>
        <v>7539.212000000005</v>
      </c>
      <c r="FF188" s="712">
        <f>IF(Sheet1!AA188+AG188&lt;=Calculation!N188,AG188,Calculation!N188-Sheet1!AA188)</f>
        <v>10.166146095717883</v>
      </c>
      <c r="FG188" s="712">
        <f>(Sheet1!BP188+Sheet1!BO188)/694.4</f>
        <v>3.3025633640552998</v>
      </c>
      <c r="FH188" s="712"/>
      <c r="FI188" s="712"/>
      <c r="FJ188" s="712"/>
      <c r="FK188" s="712"/>
      <c r="FL188" s="714">
        <f t="shared" si="632"/>
        <v>40753</v>
      </c>
      <c r="FM188" s="714">
        <f t="shared" si="633"/>
        <v>40851</v>
      </c>
      <c r="FN188" s="712"/>
      <c r="FO188" s="712"/>
      <c r="FP188" s="712"/>
      <c r="FQ188" s="712"/>
      <c r="FR188" s="712"/>
      <c r="FS188" s="725">
        <f t="shared" si="634"/>
        <v>40603</v>
      </c>
      <c r="FT188" s="714">
        <f t="shared" si="635"/>
        <v>40709</v>
      </c>
      <c r="FU188" s="712">
        <f t="shared" si="636"/>
        <v>6518.9048239895692</v>
      </c>
      <c r="FV188" s="714">
        <f t="shared" si="637"/>
        <v>40722</v>
      </c>
      <c r="FW188" s="712">
        <f t="shared" si="638"/>
        <v>3259.4524119947846</v>
      </c>
      <c r="FX188" s="725">
        <f t="shared" si="639"/>
        <v>40851</v>
      </c>
      <c r="FZ188" s="697">
        <f t="shared" si="616"/>
        <v>0</v>
      </c>
      <c r="GA188" s="712" t="str">
        <f t="shared" si="701"/>
        <v/>
      </c>
      <c r="GB188" s="712">
        <f t="shared" si="702"/>
        <v>0</v>
      </c>
      <c r="GC188" s="712" t="str">
        <f t="shared" si="703"/>
        <v/>
      </c>
      <c r="GD188" s="712">
        <f>IF(GA188="P",Lookup!$M$12,IF(GA188="PP",Lookup!$M$13,IF(GA188="PPP",Lookup!$M$14,IF(GA188="T",Lookup!$M$15,IF(GA188="TP",Lookup!$M$16,IF(GA188="TPP",Lookup!$M$17,IF(GA188="TPPP",Lookup!$M$18,0)))))))*FZ188</f>
        <v>0</v>
      </c>
      <c r="GE188" s="712">
        <f t="shared" si="704"/>
        <v>0</v>
      </c>
      <c r="GF188" s="712">
        <f t="shared" si="705"/>
        <v>8333.3333333333321</v>
      </c>
      <c r="GG188" s="712">
        <f t="shared" si="706"/>
        <v>2716.2103433289872</v>
      </c>
      <c r="GH188" s="712"/>
      <c r="GI188" s="712">
        <f t="shared" si="707"/>
        <v>0</v>
      </c>
      <c r="GJ188" s="712" t="str">
        <f t="shared" si="708"/>
        <v/>
      </c>
      <c r="GK188" s="712">
        <f>IF(GA188="P",Lookup!$N$12,IF(GA188="PP",Lookup!$N$13,IF(GA188="PPP",Lookup!$N$14,IF(GA188="T",Lookup!$N$15,IF(GA188="TP",Lookup!$N$16,IF(GA188="TPP",Lookup!$N$17,IF(GA188="TPPP",Lookup!$N$18,0)))))))*FZ188</f>
        <v>0</v>
      </c>
      <c r="GL188" s="712">
        <f t="shared" si="709"/>
        <v>0</v>
      </c>
      <c r="GM188" s="712">
        <f t="shared" si="710"/>
        <v>3888.8888888888882</v>
      </c>
      <c r="GN188" s="712">
        <f t="shared" si="711"/>
        <v>1267.5648268868606</v>
      </c>
      <c r="GO188" s="712"/>
      <c r="GP188" s="712">
        <f t="shared" si="712"/>
        <v>0</v>
      </c>
      <c r="GQ188" s="712" t="str">
        <f t="shared" si="713"/>
        <v/>
      </c>
      <c r="GR188" s="712">
        <f>IF(GA188="P",Lookup!$N$12,IF(GA188="PP",Lookup!$N$13,IF(GA188="PPP",Lookup!$N$14,IF(GA188="T",Lookup!$N$15,IF(GA188="TP",Lookup!$N$16,IF(GA188="TPP",Lookup!$N$17,IF(GA188="TPPP",Lookup!$N$18,0)))))))*FZ188</f>
        <v>0</v>
      </c>
      <c r="GS188" s="697">
        <f t="shared" si="628"/>
        <v>0</v>
      </c>
      <c r="GT188" s="712">
        <f t="shared" si="714"/>
        <v>3888.8888888888882</v>
      </c>
      <c r="GU188" s="712">
        <f t="shared" si="715"/>
        <v>1267.5648268868606</v>
      </c>
      <c r="GV188" s="712"/>
      <c r="GW188" s="712">
        <f t="shared" si="716"/>
        <v>0</v>
      </c>
      <c r="GX188" s="712" t="str">
        <f t="shared" si="717"/>
        <v/>
      </c>
      <c r="GY188" s="712">
        <f>IF(GA188="P",Lookup!$N$12,IF(GA188="PP",Lookup!$N$13,IF(GA188="PPP",Lookup!$N$14,IF(GA188="T",Lookup!$N$15,IF(GA188="TP",Lookup!$N$16,IF(GA188="TPP",Lookup!$N$17,IF(GA188="TPPP",Lookup!$N$18,0)))))))*FZ188</f>
        <v>0</v>
      </c>
      <c r="GZ188" s="697">
        <f t="shared" si="629"/>
        <v>0</v>
      </c>
      <c r="HA188" s="712">
        <f t="shared" si="718"/>
        <v>3888.8888888888882</v>
      </c>
      <c r="HB188" s="712">
        <f t="shared" si="719"/>
        <v>1267.5648268868606</v>
      </c>
      <c r="HC188" s="712"/>
    </row>
    <row r="189" spans="1:211">
      <c r="A189" s="773" t="s">
        <v>8</v>
      </c>
      <c r="B189" s="708">
        <v>40718</v>
      </c>
      <c r="C189" s="709">
        <v>0.5</v>
      </c>
      <c r="D189" s="675">
        <f t="shared" si="641"/>
        <v>300</v>
      </c>
      <c r="E189" s="675">
        <f t="shared" si="642"/>
        <v>250</v>
      </c>
      <c r="F189" s="675">
        <v>250</v>
      </c>
      <c r="G189" s="712">
        <f>DH189+Sheet1!CV189</f>
        <v>1231.6542787607716</v>
      </c>
      <c r="H189" s="712">
        <f t="shared" si="643"/>
        <v>529.17812579096278</v>
      </c>
      <c r="I189" s="711">
        <f>MAX(Sheet1!Z189-AJ189+(Sheet1!CW189-E189)*CFStoMGD,0)</f>
        <v>968.38739257873397</v>
      </c>
      <c r="J189" s="720">
        <f>IF(AND(B189&gt;=Calculation!FS189,B189&lt;=Calculation!FT189),IF(Sheet1!CX189&gt;=Calculation!D189,64.64,0),MAX(Sheet1!Z189-AJ189+(Sheet1!CX189-D189)*CFStoMGD,0))</f>
        <v>571.05339257873402</v>
      </c>
      <c r="K189" s="697">
        <f t="shared" si="644"/>
        <v>64.64</v>
      </c>
      <c r="L189" s="712">
        <f>Sheet1!AA189+Sheet1!AB189-Sheet1!L189+(Sheet1!CW189-F189)*CFStoMGD</f>
        <v>1015.3706666666729</v>
      </c>
      <c r="M189" s="712">
        <f t="shared" si="645"/>
        <v>812.06415230678203</v>
      </c>
      <c r="N189" s="712">
        <f>IF(Sheet1!CW189&gt;=F189,MIN(73,MIN(MAX(L189,0),MAX(M189,0))),0)</f>
        <v>73</v>
      </c>
      <c r="O189" s="721">
        <f>Sheet1!AA189+Sheet1!AB189</f>
        <v>55.130000000006405</v>
      </c>
      <c r="P189" s="721">
        <f t="shared" si="646"/>
        <v>85.286110000009899</v>
      </c>
      <c r="Q189" s="712">
        <f>MIN(N189,Sheet1!AA189+AG189)</f>
        <v>44.913274087939051</v>
      </c>
      <c r="R189" s="712">
        <f t="shared" si="647"/>
        <v>10.216725912067352</v>
      </c>
      <c r="S189" s="721">
        <f>Sheet1!Y189*MGDtoCFS</f>
        <v>52.443299999999994</v>
      </c>
      <c r="T189" s="721">
        <f>Sheet1!Z189*MGDtoCFS</f>
        <v>30.321200000000001</v>
      </c>
      <c r="U189" s="721">
        <f>Sheet1!AA189*MGDtoCFS</f>
        <v>51.762620000009903</v>
      </c>
      <c r="V189" s="721">
        <f>Sheet1!AB189*MGDtoCFS</f>
        <v>33.523490000000002</v>
      </c>
      <c r="W189" s="721">
        <f>Sheet1!L189*MGDtoCFS</f>
        <v>0</v>
      </c>
      <c r="X189" s="697">
        <f t="shared" si="648"/>
        <v>0</v>
      </c>
      <c r="Y189" s="712">
        <f t="shared" si="649"/>
        <v>0</v>
      </c>
      <c r="Z189" s="712">
        <f t="shared" si="650"/>
        <v>0</v>
      </c>
      <c r="AA189" s="712">
        <f t="shared" si="651"/>
        <v>0</v>
      </c>
      <c r="AB189" s="712">
        <f>(VLOOKUP(Sheet1!CY189,hhdcap_wcm,4)-(((VLOOKUP(Sheet1!CY189,hhdcap_wcm,3)-Sheet1!CY189)/(VLOOKUP(Sheet1!CY189,hhdcap_wcm,3)-VLOOKUP(Sheet1!CY189,hhdcap_wcm,1)))*(VLOOKUP(Sheet1!CY189,hhdcap_wcm,4)-VLOOKUP(Sheet1!CY189,hhdcap_wcm,2))))</f>
        <v>50658.840000119286</v>
      </c>
      <c r="AC189" s="712">
        <f t="shared" si="652"/>
        <v>-68.279999999998836</v>
      </c>
      <c r="AD189" s="712">
        <f t="shared" si="653"/>
        <v>6518.9048239895692</v>
      </c>
      <c r="AE189" s="712">
        <f t="shared" si="654"/>
        <v>20000</v>
      </c>
      <c r="AF189" s="712">
        <f>Sheet1!BA189+Sheet1!BB189+Sheet1!BN189+BT189</f>
        <v>11.3</v>
      </c>
      <c r="AG189" s="712">
        <f t="shared" si="655"/>
        <v>11.453274087932648</v>
      </c>
      <c r="AH189" s="712">
        <f>Sheet1!BA189+BT189</f>
        <v>0</v>
      </c>
      <c r="AI189" s="712">
        <f>Sheet1!BA189+Sheet1!BB189+BT189</f>
        <v>0</v>
      </c>
      <c r="AJ189" s="712">
        <f>IF((Sheet1!AA189+AG189+AX189+AZ189+BQ189+BS189+CL189+CN189)&lt;=N189,AG189+AX189+AZ189+BQ189+BS189+CL189+CN189,N189-Sheet1!AA189)</f>
        <v>11.453274087932648</v>
      </c>
      <c r="AK189" s="712">
        <f>IF(DR189&lt;K189,0,MAX(Sheet1!AA189+AG189-15/36*K189-N189,Sheet1!ED189,0))</f>
        <v>0</v>
      </c>
      <c r="AL189" s="712">
        <f>IF(OR(B189&gt;=FT189,B189&lt;FS189),0,15/36*K189-MAX(0,64.6-(137.6-(Sheet1!AA189+Sheet1!AB189))))</f>
        <v>0</v>
      </c>
      <c r="AM189" s="712">
        <f>Sheet1!CX189-110</f>
        <v>1060.8333333333333</v>
      </c>
      <c r="AN189" s="712">
        <f>Sheet1!CW189-265</f>
        <v>1470.5208333333333</v>
      </c>
      <c r="AO189" s="712">
        <f t="shared" si="622"/>
        <v>28.086725912060949</v>
      </c>
      <c r="AP189" s="712">
        <f t="shared" si="656"/>
        <v>0</v>
      </c>
      <c r="AQ189" s="712">
        <f t="shared" si="657"/>
        <v>0</v>
      </c>
      <c r="AR189" s="712">
        <f t="shared" si="658"/>
        <v>2716.2103433289872</v>
      </c>
      <c r="AS189" s="712"/>
      <c r="AT189" s="712">
        <f ca="1">IF(B189&gt;Summary!$A$1,#N/A,AR189*MGtoAF)</f>
        <v>8333.3333333333321</v>
      </c>
      <c r="AU189" s="712">
        <f>Sheet1!BG189+Sheet1!BH189+Sheet1!BI189-BC189</f>
        <v>0</v>
      </c>
      <c r="AV189" s="712">
        <f t="shared" si="659"/>
        <v>0</v>
      </c>
      <c r="AW189" s="712">
        <f>IF(Sheet1!EL189="FM",BC189,0)</f>
        <v>0</v>
      </c>
      <c r="AX189" s="712">
        <f t="shared" si="660"/>
        <v>0</v>
      </c>
      <c r="AY189" s="712">
        <f>IF(Sheet1!EL189="OTHER",BC189,0)</f>
        <v>0</v>
      </c>
      <c r="AZ189" s="712">
        <f t="shared" si="661"/>
        <v>0</v>
      </c>
      <c r="BA189" s="712">
        <f t="shared" si="662"/>
        <v>0</v>
      </c>
      <c r="BB189" s="712">
        <f t="shared" si="663"/>
        <v>0</v>
      </c>
      <c r="BC189" s="712">
        <f>IF(OR(Sheet1!EL189="FM", Sheet1!EL189="OTHER"),SUM(Sheet1!BG189:'Sheet1'!BI189),0)</f>
        <v>0</v>
      </c>
      <c r="BD189" s="697">
        <f>IF(AND($B189&gt;=$FL189,$B189&lt;=$FM189),MAX(AV189,Sheet1!EE189,0),MAX(AV189-(7/36)*$K189,0))</f>
        <v>0</v>
      </c>
      <c r="BE189" s="712">
        <f t="shared" si="664"/>
        <v>0</v>
      </c>
      <c r="BF189" s="697">
        <f t="shared" si="665"/>
        <v>0</v>
      </c>
      <c r="BG189" s="697">
        <f>IF(AND($O189&gt;0,Sheet1!EI189=1),(1-($O189-Sheet1!$L189)/$O189)*BB189,0)</f>
        <v>0</v>
      </c>
      <c r="BH189" s="697">
        <f>IF(AND(Sheet1!$L189=0,Sheet1!$L188=0, Calculation!BA189&lt;Sheet1!$EE189-0.1,Sheet1!$EE189=Sheet1!$EE188,Sheet1!$EE189=Sheet1!$EE190),Sheet1!$EE189,BB189-BG189)</f>
        <v>1</v>
      </c>
      <c r="BI189" s="712"/>
      <c r="BJ189" s="712"/>
      <c r="BK189" s="712">
        <f t="shared" si="666"/>
        <v>1267.5648268868606</v>
      </c>
      <c r="BL189" s="712"/>
      <c r="BM189" s="712">
        <f ca="1">IF(B189&gt;Summary!$A$1,#N/A,BK189*MGtoAF)</f>
        <v>3888.8888888888882</v>
      </c>
      <c r="BN189" s="712">
        <f>Sheet1!BC189+Sheet1!BD189+Sheet1!BE189+Sheet1!BF189-BW189-BX189</f>
        <v>2.67</v>
      </c>
      <c r="BO189" s="712">
        <f t="shared" si="667"/>
        <v>2.7062160898035543</v>
      </c>
      <c r="BP189" s="712">
        <f>IF(Sheet1!EM189="FM",BX189,0)</f>
        <v>0</v>
      </c>
      <c r="BQ189" s="712">
        <f t="shared" si="668"/>
        <v>0</v>
      </c>
      <c r="BR189" s="712">
        <f>IF(Sheet1!EM189="OTHER",BX189,0)</f>
        <v>0</v>
      </c>
      <c r="BS189" s="712">
        <f t="shared" si="669"/>
        <v>0</v>
      </c>
      <c r="BT189" s="712">
        <f t="shared" si="670"/>
        <v>0</v>
      </c>
      <c r="BU189" s="712">
        <f t="shared" si="671"/>
        <v>2.67</v>
      </c>
      <c r="BV189" s="712">
        <f t="shared" si="672"/>
        <v>2.7062160898035543</v>
      </c>
      <c r="BW189" s="712">
        <f>IF(Sheet1!EM189="CWA",SUM(Sheet1!BC189:'Sheet1'!BF189),0)</f>
        <v>0</v>
      </c>
      <c r="BX189" s="712">
        <f>IF(OR(Sheet1!EM189="FM", Sheet1!EM189="OTHER"),SUM(Sheet1!BC189:'Sheet1'!BF189),0)</f>
        <v>0</v>
      </c>
      <c r="BY189" s="697">
        <f>IF(AND($B189&gt;=$FL189,$B189&lt;=$FM189),MAX(BV189,Sheet1!EF189,0),MAX(BV189-(7/36)*$K189,0))</f>
        <v>0</v>
      </c>
      <c r="BZ189" s="712">
        <f t="shared" si="673"/>
        <v>0</v>
      </c>
      <c r="CA189" s="697">
        <f t="shared" si="674"/>
        <v>2.7062160898035543</v>
      </c>
      <c r="CB189" s="697">
        <f>IF(AND($O189&gt;0,Sheet1!EJ189=1),(1-($O189-Sheet1!$L189)/$O189)*BV189,0)</f>
        <v>0</v>
      </c>
      <c r="CC189" s="697">
        <f>IF(AND(Sheet1!$L189=0,Sheet1!$L188=0, Calculation!BU189&lt;Sheet1!EF189-0.1,Sheet1!EF189=Sheet1!EF188,Sheet1!EF189=Sheet1!EF190),Sheet1!EF189,BV189-CB189)</f>
        <v>2.7062160898035543</v>
      </c>
      <c r="CD189" s="697"/>
      <c r="CE189" s="712"/>
      <c r="CF189" s="712">
        <f t="shared" si="675"/>
        <v>1267.5648268868606</v>
      </c>
      <c r="CG189" s="712"/>
      <c r="CH189" s="712">
        <f ca="1">IF(B189&gt;Summary!$A$1,#N/A,CF189*MGtoAF)</f>
        <v>3888.8888888888882</v>
      </c>
      <c r="CI189" s="712">
        <f>Sheet1!BK189+Sheet1!BL189+Sheet1!BM189-Sheet1!EN189-CQ189</f>
        <v>7.41</v>
      </c>
      <c r="CJ189" s="712">
        <f t="shared" si="676"/>
        <v>7.5105098222637974</v>
      </c>
      <c r="CK189" s="712">
        <f>IF(Sheet1!EN189="FM",CQ189,0)</f>
        <v>0</v>
      </c>
      <c r="CL189" s="712">
        <f t="shared" si="677"/>
        <v>0</v>
      </c>
      <c r="CM189" s="712">
        <f>IF(Sheet1!EN189="OTHER",CQ189,0)</f>
        <v>0</v>
      </c>
      <c r="CN189" s="712">
        <f t="shared" si="678"/>
        <v>0</v>
      </c>
      <c r="CO189" s="712">
        <f t="shared" si="679"/>
        <v>7.41</v>
      </c>
      <c r="CP189" s="712">
        <f t="shared" si="680"/>
        <v>7.5105098222637974</v>
      </c>
      <c r="CQ189" s="712">
        <f>IF(OR(Sheet1!EN189="FM", Sheet1!EN189="OTHER"),SUM(Sheet1!BK189:'Sheet1'!BM189),0)</f>
        <v>0</v>
      </c>
      <c r="CR189" s="697">
        <f>IF(AND($B189&gt;=$FL189,$B189&lt;=$FM189),MAX($CJ189,Sheet1!EG189,0),MAX($CJ189-(7/36)*$K189,0))</f>
        <v>0</v>
      </c>
      <c r="CS189" s="712">
        <f t="shared" si="681"/>
        <v>0</v>
      </c>
      <c r="CT189" s="697">
        <f t="shared" si="682"/>
        <v>7.5105098222637974</v>
      </c>
      <c r="CU189" s="697">
        <f>IF(AND($O189&gt;0,Sheet1!EK189=1),(1-($O189-Sheet1!$L189)/$O189)*CP189,0)</f>
        <v>0</v>
      </c>
      <c r="CV189" s="697">
        <f>IF(AND(Sheet1!$L189=0,Sheet1!$L188=0, Calculation!CO189&lt;Sheet1!$EG189-0.1,Sheet1!$EG189=Sheet1!$EG188,Sheet1!$EG189=Sheet1!$EG190),Sheet1!$EG189,CP189-CU189)</f>
        <v>7.5105098222637974</v>
      </c>
      <c r="CW189" s="697">
        <f t="shared" si="613"/>
        <v>0</v>
      </c>
      <c r="CX189" s="712">
        <f t="shared" si="683"/>
        <v>10.08</v>
      </c>
      <c r="CY189" s="712">
        <f t="shared" si="684"/>
        <v>1267.5648268868606</v>
      </c>
      <c r="CZ189" s="712">
        <f t="shared" si="685"/>
        <v>10.216725912067352</v>
      </c>
      <c r="DA189" s="712">
        <f ca="1">IF(B189&gt;Summary!$A$1,#N/A,CY189*MGtoAF)</f>
        <v>3888.8888888888882</v>
      </c>
      <c r="DB189" s="712">
        <f t="shared" si="686"/>
        <v>10.08</v>
      </c>
      <c r="DC189" s="712">
        <f t="shared" si="687"/>
        <v>21.380000000000003</v>
      </c>
      <c r="DD189" s="712">
        <f>Sheet1!AB189-DC189</f>
        <v>0.28999999999999915</v>
      </c>
      <c r="DE189" s="712">
        <f t="shared" si="688"/>
        <v>1.3564078578110343E-2</v>
      </c>
      <c r="DF189" s="712">
        <f>(VLOOKUP(Sheet1!CY189,hhdcap_wcm,4)-(((VLOOKUP(Sheet1!CY189,hhdcap_wcm,3)-Sheet1!CY189)/(VLOOKUP(Sheet1!CY189,hhdcap_wcm,3)-VLOOKUP(Sheet1!CY189,hhdcap_wcm,1)))*(VLOOKUP(Sheet1!CY189,hhdcap_wcm,4)-VLOOKUP(Sheet1!CY189,hhdcap_wcm,2))))</f>
        <v>50658.840000119286</v>
      </c>
      <c r="DG189" s="712">
        <f t="shared" si="689"/>
        <v>-68.279999999998836</v>
      </c>
      <c r="DH189" s="712">
        <f t="shared" si="690"/>
        <v>-34.432677760967636</v>
      </c>
      <c r="DI189" s="712">
        <f>Sheet1!DW189*AFtoMG</f>
        <v>0</v>
      </c>
      <c r="DJ189" s="712">
        <f>Sheet1!DX189*AFtoMG</f>
        <v>0</v>
      </c>
      <c r="DK189" s="712">
        <f>Sheet1!DY189*AFtoMG</f>
        <v>0</v>
      </c>
      <c r="DL189" s="712">
        <f>Sheet1!DZ189*AFtoMG</f>
        <v>0</v>
      </c>
      <c r="DM189" s="712">
        <f t="shared" si="691"/>
        <v>0</v>
      </c>
      <c r="DN189" s="712">
        <f t="shared" si="692"/>
        <v>0</v>
      </c>
      <c r="DO189" s="712">
        <f t="shared" si="693"/>
        <v>6518.9048239895692</v>
      </c>
      <c r="DP189" s="712">
        <f t="shared" si="694"/>
        <v>20000</v>
      </c>
      <c r="DQ189" s="712"/>
      <c r="DR189" s="697">
        <f>IF(OR(B189&lt;FL189,B189&gt;FM189),(MIN(AV189+BO189+CJ189+MAX(Sheet1!AA189+AG189-73,0),K189)),0)</f>
        <v>10.216725912067352</v>
      </c>
      <c r="DS189" s="712"/>
      <c r="DT189" s="712">
        <f t="shared" si="695"/>
        <v>10.216725912067352</v>
      </c>
      <c r="DU189" s="712"/>
      <c r="DV189" s="712">
        <f>Sheet1!ED189+Sheet1!EE189+Sheet1!EF189+Sheet1!EG189</f>
        <v>11</v>
      </c>
      <c r="DW189" s="712"/>
      <c r="DX189" s="697">
        <f t="shared" si="696"/>
        <v>0</v>
      </c>
      <c r="DY189" s="712">
        <f>IF(Sheet1!FN189=1,SUM('Calculations II'!AT189:BA189)+'Calculations II'!BC189+Sheet1!BU189+'Calculations II'!BE189+AF189,SUM('Calculations II'!AT189:BA189)+'Calculations II'!BC189+Sheet1!BU189+'Calculations II'!BE189+AF189)</f>
        <v>53.971552639999999</v>
      </c>
      <c r="DZ189" s="712">
        <f>Sheet1!AA189+Sheet1!AB189+'Calculations II'!BC189</f>
        <v>65.869312640006399</v>
      </c>
      <c r="EA189" s="712"/>
      <c r="EB189" s="712"/>
      <c r="EC189" s="712">
        <f t="shared" si="697"/>
        <v>40718</v>
      </c>
      <c r="ED189" s="712">
        <f t="shared" si="698"/>
        <v>0</v>
      </c>
      <c r="EE189" s="712">
        <f t="shared" si="699"/>
        <v>0</v>
      </c>
      <c r="EF189" s="712">
        <f>-(VLOOKUP(Sheet1!BQ189,Lookup!$B$4:$J$236,2)-VLOOKUP(Sheet1!BQ188,Lookup!$B$4:$J$236,2))/1000000</f>
        <v>-0.2671</v>
      </c>
      <c r="EG189" s="712">
        <f>-(VLOOKUP(Sheet1!BR189,Lookup!$B$4:$J$236,3)-VLOOKUP(Sheet1!BR188,Lookup!$B$4:$J$236,3))/1000000</f>
        <v>-0.2666</v>
      </c>
      <c r="EH189" s="712">
        <f>-(VLOOKUP(Sheet1!BS189,Lookup!$B$4:$J$236,4)-VLOOKUP(Sheet1!BS188,Lookup!$B$4:$J$236,4))/1000000</f>
        <v>0</v>
      </c>
      <c r="EI189" s="697">
        <f t="shared" si="700"/>
        <v>-0.53370000000000006</v>
      </c>
      <c r="EJ189" s="712"/>
      <c r="EK189" s="712"/>
      <c r="EL189" s="712"/>
      <c r="EM189" s="712"/>
      <c r="EN189" s="712"/>
      <c r="EO189" s="712"/>
      <c r="EP189" s="712"/>
      <c r="EQ189" s="712"/>
      <c r="ES189" s="712"/>
      <c r="ET189" s="794" t="e">
        <f t="shared" si="720"/>
        <v>#N/A</v>
      </c>
      <c r="EU189" s="697">
        <v>5000</v>
      </c>
      <c r="EV189" s="795">
        <f t="shared" si="640"/>
        <v>24438.840000119286</v>
      </c>
      <c r="EW189" s="796" t="s">
        <v>757</v>
      </c>
      <c r="EX189" s="796" t="s">
        <v>757</v>
      </c>
      <c r="EY189" s="794">
        <v>0</v>
      </c>
      <c r="EZ189" s="794" t="e">
        <v>#N/A</v>
      </c>
      <c r="FA189" s="712"/>
      <c r="FB189" s="712"/>
      <c r="FC189" s="712"/>
      <c r="FD189" s="712"/>
      <c r="FE189" s="712">
        <f>O189+Sheet1!CO189</f>
        <v>7512.9860000000062</v>
      </c>
      <c r="FF189" s="712">
        <f>IF(Sheet1!AA189+AG189&lt;=Calculation!N189,AG189,Calculation!N189-Sheet1!AA189)</f>
        <v>11.453274087932648</v>
      </c>
      <c r="FG189" s="712">
        <f>(Sheet1!BP189+Sheet1!BO189)/694.4</f>
        <v>3.0374423963133639</v>
      </c>
      <c r="FH189" s="712"/>
      <c r="FI189" s="712"/>
      <c r="FJ189" s="712"/>
      <c r="FK189" s="712"/>
      <c r="FL189" s="714">
        <f t="shared" si="632"/>
        <v>40753</v>
      </c>
      <c r="FM189" s="714">
        <f t="shared" si="633"/>
        <v>40851</v>
      </c>
      <c r="FN189" s="712"/>
      <c r="FO189" s="712"/>
      <c r="FP189" s="712"/>
      <c r="FQ189" s="712"/>
      <c r="FR189" s="712"/>
      <c r="FS189" s="725">
        <f t="shared" si="634"/>
        <v>40603</v>
      </c>
      <c r="FT189" s="714">
        <f t="shared" si="635"/>
        <v>40709</v>
      </c>
      <c r="FU189" s="712">
        <f t="shared" si="636"/>
        <v>6518.9048239895692</v>
      </c>
      <c r="FV189" s="714">
        <f t="shared" si="637"/>
        <v>40722</v>
      </c>
      <c r="FW189" s="712">
        <f t="shared" si="638"/>
        <v>3259.4524119947846</v>
      </c>
      <c r="FX189" s="725">
        <f t="shared" si="639"/>
        <v>40851</v>
      </c>
      <c r="FZ189" s="697">
        <f t="shared" si="616"/>
        <v>0</v>
      </c>
      <c r="GA189" s="712" t="str">
        <f t="shared" si="701"/>
        <v/>
      </c>
      <c r="GB189" s="712">
        <f t="shared" si="702"/>
        <v>0</v>
      </c>
      <c r="GC189" s="712" t="str">
        <f t="shared" si="703"/>
        <v/>
      </c>
      <c r="GD189" s="712">
        <f>IF(GA189="P",Lookup!$M$12,IF(GA189="PP",Lookup!$M$13,IF(GA189="PPP",Lookup!$M$14,IF(GA189="T",Lookup!$M$15,IF(GA189="TP",Lookup!$M$16,IF(GA189="TPP",Lookup!$M$17,IF(GA189="TPPP",Lookup!$M$18,0)))))))*FZ189</f>
        <v>0</v>
      </c>
      <c r="GE189" s="712">
        <f t="shared" si="704"/>
        <v>0</v>
      </c>
      <c r="GF189" s="712">
        <f t="shared" si="705"/>
        <v>8333.3333333333321</v>
      </c>
      <c r="GG189" s="712">
        <f t="shared" si="706"/>
        <v>2716.2103433289872</v>
      </c>
      <c r="GH189" s="712"/>
      <c r="GI189" s="712">
        <f t="shared" si="707"/>
        <v>0</v>
      </c>
      <c r="GJ189" s="712" t="str">
        <f t="shared" si="708"/>
        <v/>
      </c>
      <c r="GK189" s="712">
        <f>IF(GA189="P",Lookup!$N$12,IF(GA189="PP",Lookup!$N$13,IF(GA189="PPP",Lookup!$N$14,IF(GA189="T",Lookup!$N$15,IF(GA189="TP",Lookup!$N$16,IF(GA189="TPP",Lookup!$N$17,IF(GA189="TPPP",Lookup!$N$18,0)))))))*FZ189</f>
        <v>0</v>
      </c>
      <c r="GL189" s="712">
        <f t="shared" si="709"/>
        <v>0</v>
      </c>
      <c r="GM189" s="712">
        <f t="shared" si="710"/>
        <v>3888.8888888888882</v>
      </c>
      <c r="GN189" s="712">
        <f t="shared" si="711"/>
        <v>1267.5648268868606</v>
      </c>
      <c r="GO189" s="712"/>
      <c r="GP189" s="712">
        <f t="shared" si="712"/>
        <v>0</v>
      </c>
      <c r="GQ189" s="712" t="str">
        <f t="shared" si="713"/>
        <v/>
      </c>
      <c r="GR189" s="712">
        <f>IF(GA189="P",Lookup!$N$12,IF(GA189="PP",Lookup!$N$13,IF(GA189="PPP",Lookup!$N$14,IF(GA189="T",Lookup!$N$15,IF(GA189="TP",Lookup!$N$16,IF(GA189="TPP",Lookup!$N$17,IF(GA189="TPPP",Lookup!$N$18,0)))))))*FZ189</f>
        <v>0</v>
      </c>
      <c r="GS189" s="697">
        <f t="shared" si="628"/>
        <v>0</v>
      </c>
      <c r="GT189" s="712">
        <f t="shared" si="714"/>
        <v>3888.8888888888882</v>
      </c>
      <c r="GU189" s="712">
        <f t="shared" si="715"/>
        <v>1267.5648268868606</v>
      </c>
      <c r="GV189" s="712"/>
      <c r="GW189" s="712">
        <f t="shared" si="716"/>
        <v>0</v>
      </c>
      <c r="GX189" s="712" t="str">
        <f t="shared" si="717"/>
        <v/>
      </c>
      <c r="GY189" s="712">
        <f>IF(GA189="P",Lookup!$N$12,IF(GA189="PP",Lookup!$N$13,IF(GA189="PPP",Lookup!$N$14,IF(GA189="T",Lookup!$N$15,IF(GA189="TP",Lookup!$N$16,IF(GA189="TPP",Lookup!$N$17,IF(GA189="TPPP",Lookup!$N$18,0)))))))*FZ189</f>
        <v>0</v>
      </c>
      <c r="GZ189" s="697">
        <f t="shared" si="629"/>
        <v>0</v>
      </c>
      <c r="HA189" s="712">
        <f t="shared" si="718"/>
        <v>3888.8888888888882</v>
      </c>
      <c r="HB189" s="712">
        <f t="shared" si="719"/>
        <v>1267.5648268868606</v>
      </c>
      <c r="HC189" s="712"/>
    </row>
    <row r="190" spans="1:211">
      <c r="A190" s="773" t="s">
        <v>9</v>
      </c>
      <c r="B190" s="708">
        <v>40719</v>
      </c>
      <c r="C190" s="719">
        <v>0.5</v>
      </c>
      <c r="D190" s="675">
        <f t="shared" si="641"/>
        <v>300</v>
      </c>
      <c r="E190" s="675">
        <f t="shared" si="642"/>
        <v>250</v>
      </c>
      <c r="F190" s="675">
        <v>250</v>
      </c>
      <c r="G190" s="712">
        <f>DH190+Sheet1!CV190</f>
        <v>1137.0448814926895</v>
      </c>
      <c r="H190" s="712">
        <f t="shared" si="643"/>
        <v>468.02261139687442</v>
      </c>
      <c r="I190" s="711">
        <f>MAX(Sheet1!Z190-AJ190+(Sheet1!CW190-E190)*CFStoMGD,0)</f>
        <v>862.96220029533981</v>
      </c>
      <c r="J190" s="720">
        <f>IF(AND(B190&gt;=Calculation!FS190,B190&lt;=Calculation!FT190),IF(Sheet1!CX190&gt;=Calculation!D190,64.64,0),MAX(Sheet1!Z190-AJ190+(Sheet1!CX190-D190)*CFStoMGD,0))</f>
        <v>490.33953362867328</v>
      </c>
      <c r="K190" s="697">
        <f t="shared" si="644"/>
        <v>64.64</v>
      </c>
      <c r="L190" s="712">
        <f>Sheet1!AA190+Sheet1!AB190-Sheet1!L190+(Sheet1!CW190-F190)*CFStoMGD</f>
        <v>912.01666666665722</v>
      </c>
      <c r="M190" s="712">
        <f t="shared" si="645"/>
        <v>749.68552762481193</v>
      </c>
      <c r="N190" s="712">
        <f>IF(Sheet1!CW190&gt;=F190,MIN(73,MIN(MAX(L190,0),MAX(M190,0))),0)</f>
        <v>73</v>
      </c>
      <c r="O190" s="721">
        <f>Sheet1!AA190+Sheet1!AB190</f>
        <v>59.239999999990687</v>
      </c>
      <c r="P190" s="721">
        <f t="shared" si="646"/>
        <v>91.644279999985599</v>
      </c>
      <c r="Q190" s="712">
        <f>MIN(N190,Sheet1!AA190+AG190)</f>
        <v>48.714466371314487</v>
      </c>
      <c r="R190" s="712">
        <f t="shared" si="647"/>
        <v>10.525533628676202</v>
      </c>
      <c r="S190" s="721">
        <f>Sheet1!Y190*MGDtoCFS</f>
        <v>51.839969999999994</v>
      </c>
      <c r="T190" s="721">
        <f>Sheet1!Z190*MGDtoCFS</f>
        <v>38.613120000000002</v>
      </c>
      <c r="U190" s="721">
        <f>Sheet1!AA190*MGDtoCFS</f>
        <v>52.505179999981088</v>
      </c>
      <c r="V190" s="721">
        <f>Sheet1!AB190*MGDtoCFS</f>
        <v>39.139100000004504</v>
      </c>
      <c r="W190" s="721">
        <f>Sheet1!L190*MGDtoCFS</f>
        <v>0</v>
      </c>
      <c r="X190" s="697">
        <f t="shared" si="648"/>
        <v>0</v>
      </c>
      <c r="Y190" s="712">
        <f t="shared" si="649"/>
        <v>0</v>
      </c>
      <c r="Z190" s="712">
        <f t="shared" si="650"/>
        <v>0</v>
      </c>
      <c r="AA190" s="712">
        <f t="shared" si="651"/>
        <v>0</v>
      </c>
      <c r="AB190" s="712">
        <f>(VLOOKUP(Sheet1!CY190,hhdcap_wcm,4)-(((VLOOKUP(Sheet1!CY190,hhdcap_wcm,3)-Sheet1!CY190)/(VLOOKUP(Sheet1!CY190,hhdcap_wcm,3)-VLOOKUP(Sheet1!CY190,hhdcap_wcm,1)))*(VLOOKUP(Sheet1!CY190,hhdcap_wcm,4)-VLOOKUP(Sheet1!CY190,hhdcap_wcm,2))))</f>
        <v>50613.320000119289</v>
      </c>
      <c r="AC190" s="712">
        <f t="shared" si="652"/>
        <v>-45.519999999996799</v>
      </c>
      <c r="AD190" s="712">
        <f t="shared" si="653"/>
        <v>6518.9048239895692</v>
      </c>
      <c r="AE190" s="712">
        <f t="shared" si="654"/>
        <v>20000</v>
      </c>
      <c r="AF190" s="712">
        <f>Sheet1!BA190+Sheet1!BB190+Sheet1!BN190+BT190</f>
        <v>14.5</v>
      </c>
      <c r="AG190" s="712">
        <f t="shared" si="655"/>
        <v>14.77446637132671</v>
      </c>
      <c r="AH190" s="712">
        <f>Sheet1!BA190+BT190</f>
        <v>0</v>
      </c>
      <c r="AI190" s="712">
        <f>Sheet1!BA190+Sheet1!BB190+BT190</f>
        <v>0</v>
      </c>
      <c r="AJ190" s="712">
        <f>IF((Sheet1!AA190+AG190+AX190+AZ190+BQ190+BS190+CL190+CN190)&lt;=N190,AG190+AX190+AZ190+BQ190+BS190+CL190+CN190,N190-Sheet1!AA190)</f>
        <v>14.77446637132671</v>
      </c>
      <c r="AK190" s="712">
        <f>IF(DR190&lt;K190,0,MAX(Sheet1!AA190+AG190-15/36*K190-N190,Sheet1!ED190,0))</f>
        <v>0</v>
      </c>
      <c r="AL190" s="712">
        <f>IF(OR(B190&gt;=FT190,B190&lt;FS190),0,15/36*K190-MAX(0,64.6-(137.6-(Sheet1!AA190+Sheet1!AB190))))</f>
        <v>0</v>
      </c>
      <c r="AM190" s="712">
        <f>Sheet1!CX190-110</f>
        <v>932.8125</v>
      </c>
      <c r="AN190" s="712">
        <f>Sheet1!CW190-265</f>
        <v>1304.2708333333333</v>
      </c>
      <c r="AO190" s="712">
        <f t="shared" si="622"/>
        <v>24.285533628685513</v>
      </c>
      <c r="AP190" s="712">
        <f t="shared" si="656"/>
        <v>0</v>
      </c>
      <c r="AQ190" s="712">
        <f t="shared" si="657"/>
        <v>0</v>
      </c>
      <c r="AR190" s="712">
        <f t="shared" si="658"/>
        <v>2716.2103433289872</v>
      </c>
      <c r="AS190" s="712"/>
      <c r="AT190" s="712">
        <f ca="1">IF(B190&gt;Summary!$A$1,#N/A,AR190*MGtoAF)</f>
        <v>8333.3333333333321</v>
      </c>
      <c r="AU190" s="712">
        <f>Sheet1!BG190+Sheet1!BH190+Sheet1!BI190-BC190</f>
        <v>0</v>
      </c>
      <c r="AV190" s="712">
        <f t="shared" si="659"/>
        <v>0</v>
      </c>
      <c r="AW190" s="712">
        <f>IF(Sheet1!EL190="FM",BC190,0)</f>
        <v>0</v>
      </c>
      <c r="AX190" s="712">
        <f t="shared" si="660"/>
        <v>0</v>
      </c>
      <c r="AY190" s="712">
        <f>IF(Sheet1!EL190="OTHER",BC190,0)</f>
        <v>0</v>
      </c>
      <c r="AZ190" s="712">
        <f t="shared" si="661"/>
        <v>0</v>
      </c>
      <c r="BA190" s="712">
        <f t="shared" si="662"/>
        <v>0</v>
      </c>
      <c r="BB190" s="712">
        <f t="shared" si="663"/>
        <v>0</v>
      </c>
      <c r="BC190" s="712">
        <f>IF(OR(Sheet1!EL190="FM", Sheet1!EL190="OTHER"),SUM(Sheet1!BG190:'Sheet1'!BI190),0)</f>
        <v>0</v>
      </c>
      <c r="BD190" s="697">
        <f>IF(AND($B190&gt;=$FL190,$B190&lt;=$FM190),MAX(AV190,Sheet1!EE190,0),MAX(AV190-(7/36)*$K190,0))</f>
        <v>0</v>
      </c>
      <c r="BE190" s="712">
        <f t="shared" si="664"/>
        <v>0</v>
      </c>
      <c r="BF190" s="697">
        <f t="shared" si="665"/>
        <v>0</v>
      </c>
      <c r="BG190" s="697">
        <f>IF(AND($O190&gt;0,Sheet1!EI190=1),(1-($O190-Sheet1!$L190)/$O190)*BB190,0)</f>
        <v>0</v>
      </c>
      <c r="BH190" s="697">
        <f>IF(AND(Sheet1!$L190=0,Sheet1!$L189=0, Calculation!BA190&lt;Sheet1!$EE190-0.1,Sheet1!$EE190=Sheet1!$EE189,Sheet1!$EE190=Sheet1!$EE191),Sheet1!$EE190,BB190-BG190)</f>
        <v>1</v>
      </c>
      <c r="BI190" s="712"/>
      <c r="BJ190" s="712"/>
      <c r="BK190" s="712">
        <f t="shared" si="666"/>
        <v>1267.5648268868606</v>
      </c>
      <c r="BL190" s="712"/>
      <c r="BM190" s="712">
        <f ca="1">IF(B190&gt;Summary!$A$1,#N/A,BK190*MGtoAF)</f>
        <v>3888.8888888888882</v>
      </c>
      <c r="BN190" s="712">
        <f>Sheet1!BC190+Sheet1!BD190+Sheet1!BE190+Sheet1!BF190-BW190-BX190</f>
        <v>2.79</v>
      </c>
      <c r="BO190" s="712">
        <f t="shared" si="667"/>
        <v>2.8428111155863118</v>
      </c>
      <c r="BP190" s="712">
        <f>IF(Sheet1!EM190="FM",BX190,0)</f>
        <v>0</v>
      </c>
      <c r="BQ190" s="712">
        <f t="shared" si="668"/>
        <v>0</v>
      </c>
      <c r="BR190" s="712">
        <f>IF(Sheet1!EM190="OTHER",BX190,0)</f>
        <v>0</v>
      </c>
      <c r="BS190" s="712">
        <f t="shared" si="669"/>
        <v>0</v>
      </c>
      <c r="BT190" s="712">
        <f t="shared" si="670"/>
        <v>0</v>
      </c>
      <c r="BU190" s="712">
        <f t="shared" si="671"/>
        <v>2.79</v>
      </c>
      <c r="BV190" s="712">
        <f t="shared" si="672"/>
        <v>2.8428111155863118</v>
      </c>
      <c r="BW190" s="712">
        <f>IF(Sheet1!EM190="CWA",SUM(Sheet1!BC190:'Sheet1'!BF190),0)</f>
        <v>0</v>
      </c>
      <c r="BX190" s="712">
        <f>IF(OR(Sheet1!EM190="FM", Sheet1!EM190="OTHER"),SUM(Sheet1!BC190:'Sheet1'!BF190),0)</f>
        <v>0</v>
      </c>
      <c r="BY190" s="697">
        <f>IF(AND($B190&gt;=$FL190,$B190&lt;=$FM190),MAX(BV190,Sheet1!EF190,0),MAX(BV190-(7/36)*$K190,0))</f>
        <v>0</v>
      </c>
      <c r="BZ190" s="712">
        <f t="shared" si="673"/>
        <v>0</v>
      </c>
      <c r="CA190" s="697">
        <f t="shared" si="674"/>
        <v>2.8428111155863118</v>
      </c>
      <c r="CB190" s="697">
        <f>IF(AND($O190&gt;0,Sheet1!EJ190=1),(1-($O190-Sheet1!$L190)/$O190)*BV190,0)</f>
        <v>0</v>
      </c>
      <c r="CC190" s="697">
        <f>IF(AND(Sheet1!$L190=0,Sheet1!$L189=0, Calculation!BU190&lt;Sheet1!EF190-0.1,Sheet1!EF190=Sheet1!EF189,Sheet1!EF190=Sheet1!EF191),Sheet1!EF190,BV190-CB190)</f>
        <v>2.8428111155863118</v>
      </c>
      <c r="CD190" s="697"/>
      <c r="CE190" s="712"/>
      <c r="CF190" s="712">
        <f t="shared" si="675"/>
        <v>1267.5648268868606</v>
      </c>
      <c r="CG190" s="712"/>
      <c r="CH190" s="712">
        <f ca="1">IF(B190&gt;Summary!$A$1,#N/A,CF190*MGtoAF)</f>
        <v>3888.8888888888882</v>
      </c>
      <c r="CI190" s="712">
        <f>Sheet1!BK190+Sheet1!BL190+Sheet1!BM190-Sheet1!EN190-CQ190</f>
        <v>7.54</v>
      </c>
      <c r="CJ190" s="712">
        <f t="shared" si="676"/>
        <v>7.6827225130898897</v>
      </c>
      <c r="CK190" s="712">
        <f>IF(Sheet1!EN190="FM",CQ190,0)</f>
        <v>0</v>
      </c>
      <c r="CL190" s="712">
        <f t="shared" si="677"/>
        <v>0</v>
      </c>
      <c r="CM190" s="712">
        <f>IF(Sheet1!EN190="OTHER",CQ190,0)</f>
        <v>0</v>
      </c>
      <c r="CN190" s="712">
        <f t="shared" si="678"/>
        <v>0</v>
      </c>
      <c r="CO190" s="712">
        <f t="shared" si="679"/>
        <v>7.54</v>
      </c>
      <c r="CP190" s="712">
        <f t="shared" si="680"/>
        <v>7.6827225130898897</v>
      </c>
      <c r="CQ190" s="712">
        <f>IF(OR(Sheet1!EN190="FM", Sheet1!EN190="OTHER"),SUM(Sheet1!BK190:'Sheet1'!BM190),0)</f>
        <v>0</v>
      </c>
      <c r="CR190" s="697">
        <f>IF(AND($B190&gt;=$FL190,$B190&lt;=$FM190),MAX($CJ190,Sheet1!EG190,0),MAX($CJ190-(7/36)*$K190,0))</f>
        <v>0</v>
      </c>
      <c r="CS190" s="712">
        <f t="shared" si="681"/>
        <v>0</v>
      </c>
      <c r="CT190" s="697">
        <f t="shared" si="682"/>
        <v>7.6827225130898897</v>
      </c>
      <c r="CU190" s="697">
        <f>IF(AND($O190&gt;0,Sheet1!EK190=1),(1-($O190-Sheet1!$L190)/$O190)*CP190,0)</f>
        <v>0</v>
      </c>
      <c r="CV190" s="697">
        <f>IF(AND(Sheet1!$L190=0,Sheet1!$L189=0, Calculation!CO190&lt;Sheet1!$EG190-0.1,Sheet1!$EG190=Sheet1!$EG189,Sheet1!$EG190=Sheet1!$EG191),Sheet1!$EG190,CP190-CU190)</f>
        <v>7.6827225130898897</v>
      </c>
      <c r="CW190" s="697">
        <f t="shared" si="613"/>
        <v>0</v>
      </c>
      <c r="CX190" s="712">
        <f t="shared" si="683"/>
        <v>10.33</v>
      </c>
      <c r="CY190" s="712">
        <f t="shared" si="684"/>
        <v>1267.5648268868606</v>
      </c>
      <c r="CZ190" s="712">
        <f t="shared" si="685"/>
        <v>10.525533628676202</v>
      </c>
      <c r="DA190" s="712">
        <f ca="1">IF(B190&gt;Summary!$A$1,#N/A,CY190*MGtoAF)</f>
        <v>3888.8888888888882</v>
      </c>
      <c r="DB190" s="712">
        <f t="shared" si="686"/>
        <v>10.33</v>
      </c>
      <c r="DC190" s="712">
        <f t="shared" si="687"/>
        <v>24.83</v>
      </c>
      <c r="DD190" s="712">
        <f>Sheet1!AB190-DC190</f>
        <v>0.47000000000291209</v>
      </c>
      <c r="DE190" s="712">
        <f t="shared" si="688"/>
        <v>1.8928715263911079E-2</v>
      </c>
      <c r="DF190" s="712">
        <f>(VLOOKUP(Sheet1!CY190,hhdcap_wcm,4)-(((VLOOKUP(Sheet1!CY190,hhdcap_wcm,3)-Sheet1!CY190)/(VLOOKUP(Sheet1!CY190,hhdcap_wcm,3)-VLOOKUP(Sheet1!CY190,hhdcap_wcm,1)))*(VLOOKUP(Sheet1!CY190,hhdcap_wcm,4)-VLOOKUP(Sheet1!CY190,hhdcap_wcm,2))))</f>
        <v>50613.320000119289</v>
      </c>
      <c r="DG190" s="712">
        <f t="shared" si="689"/>
        <v>-45.519999999996799</v>
      </c>
      <c r="DH190" s="712">
        <f t="shared" si="690"/>
        <v>-22.955118507310537</v>
      </c>
      <c r="DI190" s="712">
        <f>Sheet1!DW190*AFtoMG</f>
        <v>0</v>
      </c>
      <c r="DJ190" s="712">
        <f>Sheet1!DX190*AFtoMG</f>
        <v>0</v>
      </c>
      <c r="DK190" s="712">
        <f>Sheet1!DY190*AFtoMG</f>
        <v>0</v>
      </c>
      <c r="DL190" s="712">
        <f>Sheet1!DZ190*AFtoMG</f>
        <v>0</v>
      </c>
      <c r="DM190" s="712">
        <f t="shared" si="691"/>
        <v>0</v>
      </c>
      <c r="DN190" s="712">
        <f t="shared" si="692"/>
        <v>0</v>
      </c>
      <c r="DO190" s="712">
        <f t="shared" si="693"/>
        <v>6518.9048239895692</v>
      </c>
      <c r="DP190" s="712">
        <f t="shared" si="694"/>
        <v>20000</v>
      </c>
      <c r="DQ190" s="712"/>
      <c r="DR190" s="697">
        <f>IF(OR(B190&lt;FL190,B190&gt;FM190),(MIN(AV190+BO190+CJ190+MAX(Sheet1!AA190+AG190-73,0),K190)),0)</f>
        <v>10.525533628676202</v>
      </c>
      <c r="DS190" s="712"/>
      <c r="DT190" s="712">
        <f t="shared" si="695"/>
        <v>10.525533628676202</v>
      </c>
      <c r="DU190" s="712"/>
      <c r="DV190" s="712">
        <f>Sheet1!ED190+Sheet1!EE190+Sheet1!EF190+Sheet1!EG190</f>
        <v>11</v>
      </c>
      <c r="DW190" s="712"/>
      <c r="DX190" s="697">
        <f t="shared" si="696"/>
        <v>0</v>
      </c>
      <c r="DY190" s="712">
        <f>IF(Sheet1!FN190=1,SUM('Calculations II'!AT190:BA190)+'Calculations II'!BC190+Sheet1!BU190+'Calculations II'!BE190+AF190,SUM('Calculations II'!AT190:BA190)+'Calculations II'!BC190+Sheet1!BU190+'Calculations II'!BE190+AF190)</f>
        <v>53.588642560000004</v>
      </c>
      <c r="DZ190" s="712">
        <f>Sheet1!AA190+Sheet1!AB190+'Calculations II'!BC190</f>
        <v>69.949314559990682</v>
      </c>
      <c r="EA190" s="712"/>
      <c r="EB190" s="712"/>
      <c r="EC190" s="712">
        <f t="shared" si="697"/>
        <v>40719</v>
      </c>
      <c r="ED190" s="712">
        <f t="shared" si="698"/>
        <v>0</v>
      </c>
      <c r="EE190" s="712">
        <f t="shared" si="699"/>
        <v>0</v>
      </c>
      <c r="EF190" s="712">
        <f>-(VLOOKUP(Sheet1!BQ190,Lookup!$B$4:$J$236,2)-VLOOKUP(Sheet1!BQ189,Lookup!$B$4:$J$236,2))/1000000</f>
        <v>-1.8798999999999999</v>
      </c>
      <c r="EG190" s="712">
        <f>-(VLOOKUP(Sheet1!BR190,Lookup!$B$4:$J$236,3)-VLOOKUP(Sheet1!BR189,Lookup!$B$4:$J$236,3))/1000000</f>
        <v>-1.8764000000000001</v>
      </c>
      <c r="EH190" s="712">
        <f>-(VLOOKUP(Sheet1!BS190,Lookup!$B$4:$J$236,4)-VLOOKUP(Sheet1!BS189,Lookup!$B$4:$J$236,4))/1000000</f>
        <v>0</v>
      </c>
      <c r="EI190" s="697">
        <f t="shared" si="700"/>
        <v>-3.7563</v>
      </c>
      <c r="EJ190" s="712"/>
      <c r="EK190" s="712"/>
      <c r="EL190" s="712"/>
      <c r="EM190" s="712"/>
      <c r="EN190" s="712"/>
      <c r="EO190" s="712"/>
      <c r="EP190" s="712"/>
      <c r="EQ190" s="712"/>
      <c r="ES190" s="712"/>
      <c r="ET190" s="794" t="e">
        <f t="shared" si="720"/>
        <v>#N/A</v>
      </c>
      <c r="EU190" s="697">
        <v>5000</v>
      </c>
      <c r="EV190" s="795">
        <f t="shared" si="640"/>
        <v>24393.320000119289</v>
      </c>
      <c r="EW190" s="796" t="s">
        <v>757</v>
      </c>
      <c r="EX190" s="796" t="s">
        <v>757</v>
      </c>
      <c r="EY190" s="794">
        <v>0</v>
      </c>
      <c r="EZ190" s="794" t="e">
        <v>#N/A</v>
      </c>
      <c r="FA190" s="712"/>
      <c r="FB190" s="712"/>
      <c r="FC190" s="712"/>
      <c r="FD190" s="712"/>
      <c r="FE190" s="712">
        <f>O190+Sheet1!CO190</f>
        <v>7496.263999999991</v>
      </c>
      <c r="FF190" s="712">
        <f>IF(Sheet1!AA190+AG190&lt;=Calculation!N190,AG190,Calculation!N190-Sheet1!AA190)</f>
        <v>14.77446637132671</v>
      </c>
      <c r="FG190" s="712">
        <f>(Sheet1!BP190+Sheet1!BO190)/694.4</f>
        <v>2.6196716589861753</v>
      </c>
      <c r="FH190" s="712"/>
      <c r="FI190" s="712"/>
      <c r="FJ190" s="712"/>
      <c r="FK190" s="712"/>
      <c r="FL190" s="714">
        <f t="shared" si="632"/>
        <v>40753</v>
      </c>
      <c r="FM190" s="714">
        <f t="shared" si="633"/>
        <v>40851</v>
      </c>
      <c r="FN190" s="712"/>
      <c r="FO190" s="712"/>
      <c r="FP190" s="712"/>
      <c r="FQ190" s="712"/>
      <c r="FR190" s="712"/>
      <c r="FS190" s="725">
        <f t="shared" si="634"/>
        <v>40603</v>
      </c>
      <c r="FT190" s="714">
        <f t="shared" si="635"/>
        <v>40709</v>
      </c>
      <c r="FU190" s="712">
        <f t="shared" si="636"/>
        <v>6518.9048239895692</v>
      </c>
      <c r="FV190" s="714">
        <f t="shared" si="637"/>
        <v>40722</v>
      </c>
      <c r="FW190" s="712">
        <f t="shared" si="638"/>
        <v>3259.4524119947846</v>
      </c>
      <c r="FX190" s="725">
        <f t="shared" si="639"/>
        <v>40851</v>
      </c>
      <c r="FZ190" s="697">
        <f t="shared" si="616"/>
        <v>0</v>
      </c>
      <c r="GA190" s="712" t="str">
        <f t="shared" si="701"/>
        <v/>
      </c>
      <c r="GB190" s="712">
        <f t="shared" si="702"/>
        <v>0</v>
      </c>
      <c r="GC190" s="712" t="str">
        <f t="shared" si="703"/>
        <v/>
      </c>
      <c r="GD190" s="712">
        <f>IF(GA190="P",Lookup!$M$12,IF(GA190="PP",Lookup!$M$13,IF(GA190="PPP",Lookup!$M$14,IF(GA190="T",Lookup!$M$15,IF(GA190="TP",Lookup!$M$16,IF(GA190="TPP",Lookup!$M$17,IF(GA190="TPPP",Lookup!$M$18,0)))))))*FZ190</f>
        <v>0</v>
      </c>
      <c r="GE190" s="712">
        <f t="shared" si="704"/>
        <v>0</v>
      </c>
      <c r="GF190" s="712">
        <f t="shared" si="705"/>
        <v>8333.3333333333321</v>
      </c>
      <c r="GG190" s="712">
        <f t="shared" si="706"/>
        <v>2716.2103433289872</v>
      </c>
      <c r="GH190" s="712"/>
      <c r="GI190" s="712">
        <f t="shared" si="707"/>
        <v>0</v>
      </c>
      <c r="GJ190" s="712" t="str">
        <f t="shared" si="708"/>
        <v/>
      </c>
      <c r="GK190" s="712">
        <f>IF(GA190="P",Lookup!$N$12,IF(GA190="PP",Lookup!$N$13,IF(GA190="PPP",Lookup!$N$14,IF(GA190="T",Lookup!$N$15,IF(GA190="TP",Lookup!$N$16,IF(GA190="TPP",Lookup!$N$17,IF(GA190="TPPP",Lookup!$N$18,0)))))))*FZ190</f>
        <v>0</v>
      </c>
      <c r="GL190" s="712">
        <f t="shared" si="709"/>
        <v>0</v>
      </c>
      <c r="GM190" s="712">
        <f t="shared" si="710"/>
        <v>3888.8888888888882</v>
      </c>
      <c r="GN190" s="712">
        <f t="shared" si="711"/>
        <v>1267.5648268868606</v>
      </c>
      <c r="GO190" s="712"/>
      <c r="GP190" s="712">
        <f t="shared" si="712"/>
        <v>0</v>
      </c>
      <c r="GQ190" s="712" t="str">
        <f t="shared" si="713"/>
        <v/>
      </c>
      <c r="GR190" s="712">
        <f>IF(GA190="P",Lookup!$N$12,IF(GA190="PP",Lookup!$N$13,IF(GA190="PPP",Lookup!$N$14,IF(GA190="T",Lookup!$N$15,IF(GA190="TP",Lookup!$N$16,IF(GA190="TPP",Lookup!$N$17,IF(GA190="TPPP",Lookup!$N$18,0)))))))*FZ190</f>
        <v>0</v>
      </c>
      <c r="GS190" s="697">
        <f t="shared" si="628"/>
        <v>0</v>
      </c>
      <c r="GT190" s="712">
        <f t="shared" si="714"/>
        <v>3888.8888888888882</v>
      </c>
      <c r="GU190" s="712">
        <f t="shared" si="715"/>
        <v>1267.5648268868606</v>
      </c>
      <c r="GV190" s="712"/>
      <c r="GW190" s="712">
        <f t="shared" si="716"/>
        <v>0</v>
      </c>
      <c r="GX190" s="712" t="str">
        <f t="shared" si="717"/>
        <v/>
      </c>
      <c r="GY190" s="712">
        <f>IF(GA190="P",Lookup!$N$12,IF(GA190="PP",Lookup!$N$13,IF(GA190="PPP",Lookup!$N$14,IF(GA190="T",Lookup!$N$15,IF(GA190="TP",Lookup!$N$16,IF(GA190="TPP",Lookup!$N$17,IF(GA190="TPPP",Lookup!$N$18,0)))))))*FZ190</f>
        <v>0</v>
      </c>
      <c r="GZ190" s="697">
        <f t="shared" si="629"/>
        <v>0</v>
      </c>
      <c r="HA190" s="712">
        <f t="shared" si="718"/>
        <v>3888.8888888888882</v>
      </c>
      <c r="HB190" s="712">
        <f t="shared" si="719"/>
        <v>1267.5648268868606</v>
      </c>
      <c r="HC190" s="712"/>
    </row>
    <row r="191" spans="1:211">
      <c r="A191" s="773" t="s">
        <v>3</v>
      </c>
      <c r="B191" s="708">
        <v>40720</v>
      </c>
      <c r="C191" s="719">
        <v>0.5</v>
      </c>
      <c r="D191" s="675">
        <f t="shared" si="641"/>
        <v>300</v>
      </c>
      <c r="E191" s="675">
        <f t="shared" si="642"/>
        <v>250</v>
      </c>
      <c r="F191" s="675">
        <v>250</v>
      </c>
      <c r="G191" s="712">
        <f>DH191+Sheet1!CV191</f>
        <v>1022.874432676995</v>
      </c>
      <c r="H191" s="712">
        <f t="shared" si="643"/>
        <v>394.22283328240951</v>
      </c>
      <c r="I191" s="711">
        <f>MAX(Sheet1!Z191-AJ191+(Sheet1!CW191-E191)*CFStoMGD,0)</f>
        <v>831.39039805825405</v>
      </c>
      <c r="J191" s="720">
        <f>IF(AND(B191&gt;=Calculation!FS191,B191&lt;=Calculation!FT191),IF(Sheet1!CX191&gt;=Calculation!D191,64.64,0),MAX(Sheet1!Z191-AJ191+(Sheet1!CX191-D191)*CFStoMGD,0))</f>
        <v>489.74106472492082</v>
      </c>
      <c r="K191" s="697">
        <f t="shared" si="644"/>
        <v>64.64</v>
      </c>
      <c r="L191" s="712">
        <f>Sheet1!AA191+Sheet1!AB191-Sheet1!L191+(Sheet1!CW191-F191)*CFStoMGD</f>
        <v>878.55866666667532</v>
      </c>
      <c r="M191" s="712">
        <f t="shared" si="645"/>
        <v>674.40975394805776</v>
      </c>
      <c r="N191" s="712">
        <f>IF(Sheet1!CW191&gt;=F191,MIN(73,MIN(MAX(L191,0),MAX(M191,0))),0)</f>
        <v>73</v>
      </c>
      <c r="O191" s="721">
        <f>Sheet1!AA191+Sheet1!AB191</f>
        <v>57.900000000008731</v>
      </c>
      <c r="P191" s="721">
        <f t="shared" si="646"/>
        <v>89.571300000013508</v>
      </c>
      <c r="Q191" s="712">
        <f>MIN(N191,Sheet1!AA191+AG191)</f>
        <v>47.688268608424174</v>
      </c>
      <c r="R191" s="712">
        <f t="shared" si="647"/>
        <v>10.211731391584557</v>
      </c>
      <c r="S191" s="721">
        <f>Sheet1!Y191*MGDtoCFS</f>
        <v>52.381419999999999</v>
      </c>
      <c r="T191" s="721">
        <f>Sheet1!Z191*MGDtoCFS</f>
        <v>39.015339999999995</v>
      </c>
      <c r="U191" s="721">
        <f>Sheet1!AA191*MGDtoCFS</f>
        <v>51.360400000018004</v>
      </c>
      <c r="V191" s="721">
        <f>Sheet1!AB191*MGDtoCFS</f>
        <v>38.210899999995497</v>
      </c>
      <c r="W191" s="721">
        <f>Sheet1!L191*MGDtoCFS</f>
        <v>0</v>
      </c>
      <c r="X191" s="697">
        <f t="shared" si="648"/>
        <v>0</v>
      </c>
      <c r="Y191" s="712">
        <f t="shared" si="649"/>
        <v>0</v>
      </c>
      <c r="Z191" s="712">
        <f t="shared" si="650"/>
        <v>0</v>
      </c>
      <c r="AA191" s="712">
        <f t="shared" si="651"/>
        <v>0</v>
      </c>
      <c r="AB191" s="712">
        <f>(VLOOKUP(Sheet1!CY191,hhdcap_wcm,4)-(((VLOOKUP(Sheet1!CY191,hhdcap_wcm,3)-Sheet1!CY191)/(VLOOKUP(Sheet1!CY191,hhdcap_wcm,3)-VLOOKUP(Sheet1!CY191,hhdcap_wcm,1)))*(VLOOKUP(Sheet1!CY191,hhdcap_wcm,4)-VLOOKUP(Sheet1!CY191,hhdcap_wcm,2))))</f>
        <v>50341.40000011777</v>
      </c>
      <c r="AC191" s="712">
        <f t="shared" si="652"/>
        <v>-271.92000000151893</v>
      </c>
      <c r="AD191" s="712">
        <f t="shared" si="653"/>
        <v>6518.9048239895692</v>
      </c>
      <c r="AE191" s="712">
        <f t="shared" si="654"/>
        <v>20000</v>
      </c>
      <c r="AF191" s="712">
        <f>Sheet1!BA191+Sheet1!BB191+Sheet1!BN191+BT191</f>
        <v>14.5</v>
      </c>
      <c r="AG191" s="712">
        <f t="shared" si="655"/>
        <v>14.488268608412533</v>
      </c>
      <c r="AH191" s="712">
        <f>Sheet1!BA191+BT191</f>
        <v>0</v>
      </c>
      <c r="AI191" s="712">
        <f>Sheet1!BA191+Sheet1!BB191+BT191</f>
        <v>0</v>
      </c>
      <c r="AJ191" s="712">
        <f>IF((Sheet1!AA191+AG191+AX191+AZ191+BQ191+BS191+CL191+CN191)&lt;=N191,AG191+AX191+AZ191+BQ191+BS191+CL191+CN191,N191-Sheet1!AA191)</f>
        <v>14.488268608412533</v>
      </c>
      <c r="AK191" s="712">
        <f>IF(DR191&lt;K191,0,MAX(Sheet1!AA191+AG191-15/36*K191-N191,Sheet1!ED191,0))</f>
        <v>0</v>
      </c>
      <c r="AL191" s="712">
        <f>IF(OR(B191&gt;=FT191,B191&lt;FS191),0,15/36*K191-MAX(0,64.6-(137.6-(Sheet1!AA191+Sheet1!AB191))))</f>
        <v>0</v>
      </c>
      <c r="AM191" s="712">
        <f>Sheet1!CX191-110</f>
        <v>931.04166666666674</v>
      </c>
      <c r="AN191" s="712">
        <f>Sheet1!CW191-265</f>
        <v>1254.5833333333333</v>
      </c>
      <c r="AO191" s="712">
        <f t="shared" si="622"/>
        <v>25.311731391575826</v>
      </c>
      <c r="AP191" s="712">
        <f t="shared" si="656"/>
        <v>0</v>
      </c>
      <c r="AQ191" s="712">
        <f t="shared" si="657"/>
        <v>0</v>
      </c>
      <c r="AR191" s="712">
        <f t="shared" si="658"/>
        <v>2716.2103433289872</v>
      </c>
      <c r="AS191" s="712"/>
      <c r="AT191" s="712">
        <f ca="1">IF(B191&gt;Summary!$A$1,#N/A,AR191*MGtoAF)</f>
        <v>8333.3333333333321</v>
      </c>
      <c r="AU191" s="712">
        <f>Sheet1!BG191+Sheet1!BH191+Sheet1!BI191-BC191</f>
        <v>0</v>
      </c>
      <c r="AV191" s="712">
        <f t="shared" si="659"/>
        <v>0</v>
      </c>
      <c r="AW191" s="712">
        <f>IF(Sheet1!EL191="FM",BC191,0)</f>
        <v>0</v>
      </c>
      <c r="AX191" s="712">
        <f t="shared" si="660"/>
        <v>0</v>
      </c>
      <c r="AY191" s="712">
        <f>IF(Sheet1!EL191="OTHER",BC191,0)</f>
        <v>0</v>
      </c>
      <c r="AZ191" s="712">
        <f t="shared" si="661"/>
        <v>0</v>
      </c>
      <c r="BA191" s="712">
        <f t="shared" si="662"/>
        <v>0</v>
      </c>
      <c r="BB191" s="712">
        <f t="shared" si="663"/>
        <v>0</v>
      </c>
      <c r="BC191" s="712">
        <f>IF(OR(Sheet1!EL191="FM", Sheet1!EL191="OTHER"),SUM(Sheet1!BG191:'Sheet1'!BI191),0)</f>
        <v>0</v>
      </c>
      <c r="BD191" s="697">
        <f>IF(AND($B191&gt;=$FL191,$B191&lt;=$FM191),MAX(AV191,Sheet1!EE191,0),MAX(AV191-(7/36)*$K191,0))</f>
        <v>0</v>
      </c>
      <c r="BE191" s="712">
        <f t="shared" si="664"/>
        <v>0</v>
      </c>
      <c r="BF191" s="697">
        <f t="shared" si="665"/>
        <v>0</v>
      </c>
      <c r="BG191" s="697">
        <f>IF(AND($O191&gt;0,Sheet1!EI191=1),(1-($O191-Sheet1!$L191)/$O191)*BB191,0)</f>
        <v>0</v>
      </c>
      <c r="BH191" s="697">
        <f>IF(AND(Sheet1!$L191=0,Sheet1!$L190=0, Calculation!BA191&lt;Sheet1!$EE191-0.1,Sheet1!$EE191=Sheet1!$EE190,Sheet1!$EE191=Sheet1!$EE192),Sheet1!$EE191,BB191-BG191)</f>
        <v>1</v>
      </c>
      <c r="BI191" s="712"/>
      <c r="BJ191" s="712"/>
      <c r="BK191" s="712">
        <f t="shared" si="666"/>
        <v>1267.5648268868606</v>
      </c>
      <c r="BL191" s="712"/>
      <c r="BM191" s="712">
        <f ca="1">IF(B191&gt;Summary!$A$1,#N/A,BK191*MGtoAF)</f>
        <v>3888.8888888888882</v>
      </c>
      <c r="BN191" s="712">
        <f>Sheet1!BC191+Sheet1!BD191+Sheet1!BE191+Sheet1!BF191-BW191-BX191</f>
        <v>2.67</v>
      </c>
      <c r="BO191" s="712">
        <f t="shared" si="667"/>
        <v>2.6678398058249284</v>
      </c>
      <c r="BP191" s="712">
        <f>IF(Sheet1!EM191="FM",BX191,0)</f>
        <v>0</v>
      </c>
      <c r="BQ191" s="712">
        <f t="shared" si="668"/>
        <v>0</v>
      </c>
      <c r="BR191" s="712">
        <f>IF(Sheet1!EM191="OTHER",BX191,0)</f>
        <v>0</v>
      </c>
      <c r="BS191" s="712">
        <f t="shared" si="669"/>
        <v>0</v>
      </c>
      <c r="BT191" s="712">
        <f t="shared" si="670"/>
        <v>0</v>
      </c>
      <c r="BU191" s="712">
        <f t="shared" si="671"/>
        <v>2.67</v>
      </c>
      <c r="BV191" s="712">
        <f t="shared" si="672"/>
        <v>2.6678398058249284</v>
      </c>
      <c r="BW191" s="712">
        <f>IF(Sheet1!EM191="CWA",SUM(Sheet1!BC191:'Sheet1'!BF191),0)</f>
        <v>0</v>
      </c>
      <c r="BX191" s="712">
        <f>IF(OR(Sheet1!EM191="FM", Sheet1!EM191="OTHER"),SUM(Sheet1!BC191:'Sheet1'!BF191),0)</f>
        <v>0</v>
      </c>
      <c r="BY191" s="697">
        <f>IF(AND($B191&gt;=$FL191,$B191&lt;=$FM191),MAX(BV191,Sheet1!EF191,0),MAX(BV191-(7/36)*$K191,0))</f>
        <v>0</v>
      </c>
      <c r="BZ191" s="712">
        <f t="shared" si="673"/>
        <v>0</v>
      </c>
      <c r="CA191" s="697">
        <f t="shared" si="674"/>
        <v>2.6678398058249284</v>
      </c>
      <c r="CB191" s="697">
        <f>IF(AND($O191&gt;0,Sheet1!EJ191=1),(1-($O191-Sheet1!$L191)/$O191)*BV191,0)</f>
        <v>0</v>
      </c>
      <c r="CC191" s="697">
        <f>IF(AND(Sheet1!$L191=0,Sheet1!$L190=0, Calculation!BU191&lt;Sheet1!EF191-0.1,Sheet1!EF191=Sheet1!EF190,Sheet1!EF191=Sheet1!EF192),Sheet1!EF191,BV191-CB191)</f>
        <v>2.6678398058249284</v>
      </c>
      <c r="CD191" s="697"/>
      <c r="CE191" s="712"/>
      <c r="CF191" s="712">
        <f t="shared" si="675"/>
        <v>1267.5648268868606</v>
      </c>
      <c r="CG191" s="712"/>
      <c r="CH191" s="712">
        <f ca="1">IF(B191&gt;Summary!$A$1,#N/A,CF191*MGtoAF)</f>
        <v>3888.8888888888882</v>
      </c>
      <c r="CI191" s="712">
        <f>Sheet1!BK191+Sheet1!BL191+Sheet1!BM191-Sheet1!EN191-CQ191</f>
        <v>7.55</v>
      </c>
      <c r="CJ191" s="712">
        <f t="shared" si="676"/>
        <v>7.5438915857596287</v>
      </c>
      <c r="CK191" s="712">
        <f>IF(Sheet1!EN191="FM",CQ191,0)</f>
        <v>0</v>
      </c>
      <c r="CL191" s="712">
        <f t="shared" si="677"/>
        <v>0</v>
      </c>
      <c r="CM191" s="712">
        <f>IF(Sheet1!EN191="OTHER",CQ191,0)</f>
        <v>0</v>
      </c>
      <c r="CN191" s="712">
        <f t="shared" si="678"/>
        <v>0</v>
      </c>
      <c r="CO191" s="712">
        <f t="shared" si="679"/>
        <v>7.55</v>
      </c>
      <c r="CP191" s="712">
        <f t="shared" si="680"/>
        <v>7.5438915857596287</v>
      </c>
      <c r="CQ191" s="712">
        <f>IF(OR(Sheet1!EN191="FM", Sheet1!EN191="OTHER"),SUM(Sheet1!BK191:'Sheet1'!BM191),0)</f>
        <v>0</v>
      </c>
      <c r="CR191" s="697">
        <f>IF(AND($B191&gt;=$FL191,$B191&lt;=$FM191),MAX($CJ191,Sheet1!EG191,0),MAX($CJ191-(7/36)*$K191,0))</f>
        <v>0</v>
      </c>
      <c r="CS191" s="712">
        <f t="shared" si="681"/>
        <v>0</v>
      </c>
      <c r="CT191" s="697">
        <f t="shared" si="682"/>
        <v>7.5438915857596287</v>
      </c>
      <c r="CU191" s="697">
        <f>IF(AND($O191&gt;0,Sheet1!EK191=1),(1-($O191-Sheet1!$L191)/$O191)*CP191,0)</f>
        <v>0</v>
      </c>
      <c r="CV191" s="697">
        <f>IF(AND(Sheet1!$L191=0,Sheet1!$L190=0, Calculation!CO191&lt;Sheet1!$EG191-0.1,Sheet1!$EG191=Sheet1!$EG190,Sheet1!$EG191=Sheet1!$EG192),Sheet1!$EG191,CP191-CU191)</f>
        <v>7.5438915857596287</v>
      </c>
      <c r="CW191" s="697">
        <f t="shared" si="613"/>
        <v>0</v>
      </c>
      <c r="CX191" s="712">
        <f t="shared" si="683"/>
        <v>10.219999999999999</v>
      </c>
      <c r="CY191" s="712">
        <f t="shared" si="684"/>
        <v>1267.5648268868606</v>
      </c>
      <c r="CZ191" s="712">
        <f t="shared" si="685"/>
        <v>10.211731391584557</v>
      </c>
      <c r="DA191" s="712">
        <f ca="1">IF(B191&gt;Summary!$A$1,#N/A,CY191*MGtoAF)</f>
        <v>3888.8888888888882</v>
      </c>
      <c r="DB191" s="712">
        <f t="shared" si="686"/>
        <v>10.219999999999999</v>
      </c>
      <c r="DC191" s="712">
        <f t="shared" si="687"/>
        <v>24.72</v>
      </c>
      <c r="DD191" s="712">
        <f>Sheet1!AB191-DC191</f>
        <v>-2.0000000002909246E-2</v>
      </c>
      <c r="DE191" s="712">
        <f t="shared" si="688"/>
        <v>-8.0906148879082717E-4</v>
      </c>
      <c r="DF191" s="712">
        <f>(VLOOKUP(Sheet1!CY191,hhdcap_wcm,4)-(((VLOOKUP(Sheet1!CY191,hhdcap_wcm,3)-Sheet1!CY191)/(VLOOKUP(Sheet1!CY191,hhdcap_wcm,3)-VLOOKUP(Sheet1!CY191,hhdcap_wcm,1)))*(VLOOKUP(Sheet1!CY191,hhdcap_wcm,4)-VLOOKUP(Sheet1!CY191,hhdcap_wcm,2))))</f>
        <v>50341.40000011777</v>
      </c>
      <c r="DG191" s="712">
        <f t="shared" si="689"/>
        <v>-271.92000000151893</v>
      </c>
      <c r="DH191" s="712">
        <f t="shared" si="690"/>
        <v>-137.12556732300499</v>
      </c>
      <c r="DI191" s="712">
        <f>Sheet1!DW191*AFtoMG</f>
        <v>0</v>
      </c>
      <c r="DJ191" s="712">
        <f>Sheet1!DX191*AFtoMG</f>
        <v>0</v>
      </c>
      <c r="DK191" s="712">
        <f>Sheet1!DY191*AFtoMG</f>
        <v>0</v>
      </c>
      <c r="DL191" s="712">
        <f>Sheet1!DZ191*AFtoMG</f>
        <v>0</v>
      </c>
      <c r="DM191" s="712">
        <f t="shared" si="691"/>
        <v>0</v>
      </c>
      <c r="DN191" s="712">
        <f t="shared" si="692"/>
        <v>0</v>
      </c>
      <c r="DO191" s="712">
        <f t="shared" si="693"/>
        <v>6518.9048239895692</v>
      </c>
      <c r="DP191" s="712">
        <f t="shared" si="694"/>
        <v>20000</v>
      </c>
      <c r="DQ191" s="712"/>
      <c r="DR191" s="697">
        <f>IF(OR(B191&lt;FL191,B191&gt;FM191),(MIN(AV191+BO191+CJ191+MAX(Sheet1!AA191+AG191-73,0),K191)),0)</f>
        <v>10.211731391584557</v>
      </c>
      <c r="DS191" s="712"/>
      <c r="DT191" s="712">
        <f t="shared" si="695"/>
        <v>10.211731391584557</v>
      </c>
      <c r="DU191" s="712"/>
      <c r="DV191" s="712">
        <f>Sheet1!ED191+Sheet1!EE191+Sheet1!EF191+Sheet1!EG191</f>
        <v>11</v>
      </c>
      <c r="DW191" s="712"/>
      <c r="DX191" s="697">
        <f t="shared" si="696"/>
        <v>0</v>
      </c>
      <c r="DY191" s="712">
        <f>IF(Sheet1!FN191=1,SUM('Calculations II'!AT191:BA191)+'Calculations II'!BC191+Sheet1!BU191+'Calculations II'!BE191+AF191,SUM('Calculations II'!AT191:BA191)+'Calculations II'!BC191+Sheet1!BU191+'Calculations II'!BE191+AF191)</f>
        <v>59.047331839999998</v>
      </c>
      <c r="DZ191" s="712">
        <f>Sheet1!AA191+Sheet1!AB191+'Calculations II'!BC191</f>
        <v>68.589315840008737</v>
      </c>
      <c r="EA191" s="712"/>
      <c r="EB191" s="712"/>
      <c r="EC191" s="712">
        <f t="shared" si="697"/>
        <v>40720</v>
      </c>
      <c r="ED191" s="712">
        <f t="shared" si="698"/>
        <v>0</v>
      </c>
      <c r="EE191" s="712">
        <f t="shared" si="699"/>
        <v>0</v>
      </c>
      <c r="EF191" s="712">
        <f>-(VLOOKUP(Sheet1!BQ191,Lookup!$B$4:$J$236,2)-VLOOKUP(Sheet1!BQ190,Lookup!$B$4:$J$236,2))/1000000</f>
        <v>0.8115</v>
      </c>
      <c r="EG191" s="712">
        <f>-(VLOOKUP(Sheet1!BR191,Lookup!$B$4:$J$236,3)-VLOOKUP(Sheet1!BR190,Lookup!$B$4:$J$236,3))/1000000</f>
        <v>0.81</v>
      </c>
      <c r="EH191" s="712">
        <f>-(VLOOKUP(Sheet1!BS191,Lookup!$B$4:$J$236,4)-VLOOKUP(Sheet1!BS190,Lookup!$B$4:$J$236,4))/1000000</f>
        <v>0</v>
      </c>
      <c r="EI191" s="697">
        <f t="shared" si="700"/>
        <v>1.6215000000000002</v>
      </c>
      <c r="EJ191" s="712"/>
      <c r="EK191" s="712"/>
      <c r="EL191" s="712"/>
      <c r="EM191" s="712"/>
      <c r="EN191" s="712"/>
      <c r="EO191" s="712"/>
      <c r="EP191" s="712"/>
      <c r="EQ191" s="712"/>
      <c r="ES191" s="712"/>
      <c r="ET191" s="794" t="e">
        <f t="shared" si="720"/>
        <v>#N/A</v>
      </c>
      <c r="EU191" s="697">
        <v>5000</v>
      </c>
      <c r="EV191" s="795">
        <f t="shared" si="640"/>
        <v>24121.40000011777</v>
      </c>
      <c r="EW191" s="796" t="s">
        <v>757</v>
      </c>
      <c r="EX191" s="796" t="s">
        <v>757</v>
      </c>
      <c r="EY191" s="794">
        <v>0</v>
      </c>
      <c r="EZ191" s="794" t="e">
        <v>#N/A</v>
      </c>
      <c r="FA191" s="712"/>
      <c r="FB191" s="712"/>
      <c r="FC191" s="712"/>
      <c r="FD191" s="712"/>
      <c r="FE191" s="712">
        <f>O191+Sheet1!CO191</f>
        <v>7481.0360000000082</v>
      </c>
      <c r="FF191" s="712">
        <f>IF(Sheet1!AA191+AG191&lt;=Calculation!N191,AG191,Calculation!N191-Sheet1!AA191)</f>
        <v>14.488268608412533</v>
      </c>
      <c r="FG191" s="712">
        <f>(Sheet1!BP191+Sheet1!BO191)/694.4</f>
        <v>3.6615783410138247</v>
      </c>
      <c r="FH191" s="712"/>
      <c r="FI191" s="712"/>
      <c r="FJ191" s="712"/>
      <c r="FK191" s="712"/>
      <c r="FL191" s="714">
        <f t="shared" si="632"/>
        <v>40753</v>
      </c>
      <c r="FM191" s="714">
        <f t="shared" si="633"/>
        <v>40851</v>
      </c>
      <c r="FN191" s="712"/>
      <c r="FO191" s="712"/>
      <c r="FP191" s="712"/>
      <c r="FQ191" s="712"/>
      <c r="FR191" s="712"/>
      <c r="FS191" s="725">
        <f t="shared" si="634"/>
        <v>40603</v>
      </c>
      <c r="FT191" s="714">
        <f t="shared" si="635"/>
        <v>40709</v>
      </c>
      <c r="FU191" s="712">
        <f t="shared" si="636"/>
        <v>6518.9048239895692</v>
      </c>
      <c r="FV191" s="714">
        <f t="shared" si="637"/>
        <v>40722</v>
      </c>
      <c r="FW191" s="712">
        <f t="shared" si="638"/>
        <v>3259.4524119947846</v>
      </c>
      <c r="FX191" s="725">
        <f t="shared" si="639"/>
        <v>40851</v>
      </c>
      <c r="FZ191" s="697">
        <f t="shared" si="616"/>
        <v>0</v>
      </c>
      <c r="GA191" s="712" t="str">
        <f t="shared" si="701"/>
        <v/>
      </c>
      <c r="GB191" s="712">
        <f t="shared" si="702"/>
        <v>0</v>
      </c>
      <c r="GC191" s="712" t="str">
        <f t="shared" si="703"/>
        <v/>
      </c>
      <c r="GD191" s="712">
        <f>IF(GA191="P",Lookup!$M$12,IF(GA191="PP",Lookup!$M$13,IF(GA191="PPP",Lookup!$M$14,IF(GA191="T",Lookup!$M$15,IF(GA191="TP",Lookup!$M$16,IF(GA191="TPP",Lookup!$M$17,IF(GA191="TPPP",Lookup!$M$18,0)))))))*FZ191</f>
        <v>0</v>
      </c>
      <c r="GE191" s="712">
        <f t="shared" si="704"/>
        <v>0</v>
      </c>
      <c r="GF191" s="712">
        <f t="shared" si="705"/>
        <v>8333.3333333333321</v>
      </c>
      <c r="GG191" s="712">
        <f t="shared" si="706"/>
        <v>2716.2103433289872</v>
      </c>
      <c r="GH191" s="712"/>
      <c r="GI191" s="712">
        <f t="shared" si="707"/>
        <v>0</v>
      </c>
      <c r="GJ191" s="712" t="str">
        <f t="shared" si="708"/>
        <v/>
      </c>
      <c r="GK191" s="712">
        <f>IF(GA191="P",Lookup!$N$12,IF(GA191="PP",Lookup!$N$13,IF(GA191="PPP",Lookup!$N$14,IF(GA191="T",Lookup!$N$15,IF(GA191="TP",Lookup!$N$16,IF(GA191="TPP",Lookup!$N$17,IF(GA191="TPPP",Lookup!$N$18,0)))))))*FZ191</f>
        <v>0</v>
      </c>
      <c r="GL191" s="712">
        <f t="shared" si="709"/>
        <v>0</v>
      </c>
      <c r="GM191" s="712">
        <f t="shared" si="710"/>
        <v>3888.8888888888882</v>
      </c>
      <c r="GN191" s="712">
        <f t="shared" si="711"/>
        <v>1267.5648268868606</v>
      </c>
      <c r="GO191" s="712"/>
      <c r="GP191" s="712">
        <f t="shared" si="712"/>
        <v>0</v>
      </c>
      <c r="GQ191" s="712" t="str">
        <f t="shared" si="713"/>
        <v/>
      </c>
      <c r="GR191" s="712">
        <f>IF(GA191="P",Lookup!$N$12,IF(GA191="PP",Lookup!$N$13,IF(GA191="PPP",Lookup!$N$14,IF(GA191="T",Lookup!$N$15,IF(GA191="TP",Lookup!$N$16,IF(GA191="TPP",Lookup!$N$17,IF(GA191="TPPP",Lookup!$N$18,0)))))))*FZ191</f>
        <v>0</v>
      </c>
      <c r="GS191" s="697">
        <f t="shared" si="628"/>
        <v>0</v>
      </c>
      <c r="GT191" s="712">
        <f t="shared" si="714"/>
        <v>3888.8888888888882</v>
      </c>
      <c r="GU191" s="712">
        <f t="shared" si="715"/>
        <v>1267.5648268868606</v>
      </c>
      <c r="GV191" s="712"/>
      <c r="GW191" s="712">
        <f t="shared" si="716"/>
        <v>0</v>
      </c>
      <c r="GX191" s="712" t="str">
        <f t="shared" si="717"/>
        <v/>
      </c>
      <c r="GY191" s="712">
        <f>IF(GA191="P",Lookup!$N$12,IF(GA191="PP",Lookup!$N$13,IF(GA191="PPP",Lookup!$N$14,IF(GA191="T",Lookup!$N$15,IF(GA191="TP",Lookup!$N$16,IF(GA191="TPP",Lookup!$N$17,IF(GA191="TPPP",Lookup!$N$18,0)))))))*FZ191</f>
        <v>0</v>
      </c>
      <c r="GZ191" s="697">
        <f t="shared" si="629"/>
        <v>0</v>
      </c>
      <c r="HA191" s="712">
        <f t="shared" si="718"/>
        <v>3888.8888888888882</v>
      </c>
      <c r="HB191" s="712">
        <f t="shared" si="719"/>
        <v>1267.5648268868606</v>
      </c>
      <c r="HC191" s="712"/>
    </row>
    <row r="192" spans="1:211">
      <c r="A192" s="773" t="s">
        <v>4</v>
      </c>
      <c r="B192" s="708">
        <v>40721</v>
      </c>
      <c r="C192" s="709">
        <v>0.5</v>
      </c>
      <c r="D192" s="675">
        <f t="shared" si="641"/>
        <v>300</v>
      </c>
      <c r="E192" s="675">
        <f t="shared" si="642"/>
        <v>250</v>
      </c>
      <c r="F192" s="675">
        <v>250</v>
      </c>
      <c r="G192" s="712">
        <f>DH192+Sheet1!CV192</f>
        <v>988.94779539113222</v>
      </c>
      <c r="H192" s="712">
        <f t="shared" si="643"/>
        <v>372.29265494082784</v>
      </c>
      <c r="I192" s="711">
        <f>MAX(Sheet1!Z192-AJ192+(Sheet1!CW192-E192)*CFStoMGD,0)</f>
        <v>788.39824999999814</v>
      </c>
      <c r="J192" s="720">
        <f>IF(AND(B192&gt;=Calculation!FS192,B192&lt;=Calculation!FT192),IF(Sheet1!CX192&gt;=Calculation!D192,64.64,0),MAX(Sheet1!Z192-AJ192+(Sheet1!CX192-D192)*CFStoMGD,0))</f>
        <v>412.56378333333157</v>
      </c>
      <c r="K192" s="697">
        <f t="shared" si="644"/>
        <v>64.64</v>
      </c>
      <c r="L192" s="712">
        <f>Sheet1!AA192+Sheet1!AB192-Sheet1!L192+(Sheet1!CW192-F192)*CFStoMGD</f>
        <v>838.21200000000283</v>
      </c>
      <c r="M192" s="712">
        <f t="shared" si="645"/>
        <v>652.04097203964443</v>
      </c>
      <c r="N192" s="712">
        <f>IF(Sheet1!CW192&gt;=F192,MIN(73,MIN(MAX(L192,0),MAX(M192,0))),0)</f>
        <v>73</v>
      </c>
      <c r="O192" s="721">
        <f>Sheet1!AA192+Sheet1!AB192</f>
        <v>59.30000000000291</v>
      </c>
      <c r="P192" s="721">
        <f t="shared" si="646"/>
        <v>91.737100000004503</v>
      </c>
      <c r="Q192" s="712">
        <f>MIN(N192,Sheet1!AA192+AG192)</f>
        <v>49.093750000001734</v>
      </c>
      <c r="R192" s="712">
        <f t="shared" si="647"/>
        <v>10.206250000001173</v>
      </c>
      <c r="S192" s="721">
        <f>Sheet1!Y192*MGDtoCFS</f>
        <v>52.072019999999995</v>
      </c>
      <c r="T192" s="721">
        <f>Sheet1!Z192*MGDtoCFS</f>
        <v>38.025259999999996</v>
      </c>
      <c r="U192" s="721">
        <f>Sheet1!AA192*MGDtoCFS</f>
        <v>52.597999999999999</v>
      </c>
      <c r="V192" s="721">
        <f>Sheet1!AB192*MGDtoCFS</f>
        <v>39.139100000004504</v>
      </c>
      <c r="W192" s="721">
        <f>Sheet1!L192*MGDtoCFS</f>
        <v>0</v>
      </c>
      <c r="X192" s="697">
        <f t="shared" si="648"/>
        <v>0</v>
      </c>
      <c r="Y192" s="712">
        <f t="shared" si="649"/>
        <v>0</v>
      </c>
      <c r="Z192" s="712">
        <f t="shared" si="650"/>
        <v>0</v>
      </c>
      <c r="AA192" s="712">
        <f t="shared" si="651"/>
        <v>0</v>
      </c>
      <c r="AB192" s="712">
        <f>(VLOOKUP(Sheet1!CY192,hhdcap_wcm,4)-(((VLOOKUP(Sheet1!CY192,hhdcap_wcm,3)-Sheet1!CY192)/(VLOOKUP(Sheet1!CY192,hhdcap_wcm,3)-VLOOKUP(Sheet1!CY192,hhdcap_wcm,1)))*(VLOOKUP(Sheet1!CY192,hhdcap_wcm,4)-VLOOKUP(Sheet1!CY192,hhdcap_wcm,2))))</f>
        <v>50262.580000117516</v>
      </c>
      <c r="AC192" s="712">
        <f t="shared" si="652"/>
        <v>-78.820000000254367</v>
      </c>
      <c r="AD192" s="712">
        <f t="shared" si="653"/>
        <v>6518.9048239895692</v>
      </c>
      <c r="AE192" s="712">
        <f t="shared" si="654"/>
        <v>20000</v>
      </c>
      <c r="AF192" s="712">
        <f>Sheet1!BA192+Sheet1!BB192+Sheet1!BN192+BT192</f>
        <v>14.7</v>
      </c>
      <c r="AG192" s="712">
        <f t="shared" si="655"/>
        <v>15.093750000001736</v>
      </c>
      <c r="AH192" s="712">
        <f>Sheet1!BA192+BT192</f>
        <v>0</v>
      </c>
      <c r="AI192" s="712">
        <f>Sheet1!BA192+Sheet1!BB192+BT192</f>
        <v>0</v>
      </c>
      <c r="AJ192" s="712">
        <f>IF((Sheet1!AA192+AG192+AX192+AZ192+BQ192+BS192+CL192+CN192)&lt;=N192,AG192+AX192+AZ192+BQ192+BS192+CL192+CN192,N192-Sheet1!AA192)</f>
        <v>15.093750000001736</v>
      </c>
      <c r="AK192" s="712">
        <f>IF(DR192&lt;K192,0,MAX(Sheet1!AA192+AG192-15/36*K192-N192,Sheet1!ED192,0))</f>
        <v>0</v>
      </c>
      <c r="AL192" s="712">
        <f>IF(OR(B192&gt;=FT192,B192&lt;FS192),0,15/36*K192-MAX(0,64.6-(137.6-(Sheet1!AA192+Sheet1!AB192))))</f>
        <v>0</v>
      </c>
      <c r="AM192" s="712">
        <f>Sheet1!CX192-110</f>
        <v>813.57291666666663</v>
      </c>
      <c r="AN192" s="712">
        <f>Sheet1!CW192-265</f>
        <v>1190</v>
      </c>
      <c r="AO192" s="712">
        <f t="shared" si="622"/>
        <v>23.906249999998266</v>
      </c>
      <c r="AP192" s="712">
        <f t="shared" si="656"/>
        <v>0</v>
      </c>
      <c r="AQ192" s="712">
        <f t="shared" si="657"/>
        <v>0</v>
      </c>
      <c r="AR192" s="712">
        <f t="shared" si="658"/>
        <v>2716.2103433289872</v>
      </c>
      <c r="AS192" s="712"/>
      <c r="AT192" s="712">
        <f ca="1">IF(B192&gt;Summary!$A$1,#N/A,AR192*MGtoAF)</f>
        <v>8333.3333333333321</v>
      </c>
      <c r="AU192" s="712">
        <f>Sheet1!BG192+Sheet1!BH192+Sheet1!BI192-BC192</f>
        <v>0</v>
      </c>
      <c r="AV192" s="712">
        <f t="shared" si="659"/>
        <v>0</v>
      </c>
      <c r="AW192" s="712">
        <f>IF(Sheet1!EL192="FM",BC192,0)</f>
        <v>0</v>
      </c>
      <c r="AX192" s="712">
        <f t="shared" si="660"/>
        <v>0</v>
      </c>
      <c r="AY192" s="712">
        <f>IF(Sheet1!EL192="OTHER",BC192,0)</f>
        <v>0</v>
      </c>
      <c r="AZ192" s="712">
        <f t="shared" si="661"/>
        <v>0</v>
      </c>
      <c r="BA192" s="712">
        <f t="shared" si="662"/>
        <v>0</v>
      </c>
      <c r="BB192" s="712">
        <f t="shared" si="663"/>
        <v>0</v>
      </c>
      <c r="BC192" s="712">
        <f>IF(OR(Sheet1!EL192="FM", Sheet1!EL192="OTHER"),SUM(Sheet1!BG192:'Sheet1'!BI192),0)</f>
        <v>0</v>
      </c>
      <c r="BD192" s="697">
        <f>IF(AND($B192&gt;=$FL192,$B192&lt;=$FM192),MAX(AV192,Sheet1!EE192,0),MAX(AV192-(7/36)*$K192,0))</f>
        <v>0</v>
      </c>
      <c r="BE192" s="712">
        <f t="shared" si="664"/>
        <v>0</v>
      </c>
      <c r="BF192" s="697">
        <f t="shared" si="665"/>
        <v>0</v>
      </c>
      <c r="BG192" s="697">
        <f>IF(AND($O192&gt;0,Sheet1!EI192=1),(1-($O192-Sheet1!$L192)/$O192)*BB192,0)</f>
        <v>0</v>
      </c>
      <c r="BH192" s="697">
        <f>IF(AND(Sheet1!$L192=0,Sheet1!$L191=0, Calculation!BA192&lt;Sheet1!$EE192-0.1,Sheet1!$EE192=Sheet1!$EE191,Sheet1!$EE192=Sheet1!$EE193),Sheet1!$EE192,BB192-BG192)</f>
        <v>1</v>
      </c>
      <c r="BI192" s="712"/>
      <c r="BJ192" s="712"/>
      <c r="BK192" s="712">
        <f t="shared" si="666"/>
        <v>1267.5648268868606</v>
      </c>
      <c r="BL192" s="712"/>
      <c r="BM192" s="712">
        <f ca="1">IF(B192&gt;Summary!$A$1,#N/A,BK192*MGtoAF)</f>
        <v>3888.8888888888882</v>
      </c>
      <c r="BN192" s="712">
        <f>Sheet1!BC192+Sheet1!BD192+Sheet1!BE192+Sheet1!BF192-BW192-BX192</f>
        <v>2.4</v>
      </c>
      <c r="BO192" s="712">
        <f t="shared" si="667"/>
        <v>2.4642857142859977</v>
      </c>
      <c r="BP192" s="712">
        <f>IF(Sheet1!EM192="FM",BX192,0)</f>
        <v>0</v>
      </c>
      <c r="BQ192" s="712">
        <f t="shared" si="668"/>
        <v>0</v>
      </c>
      <c r="BR192" s="712">
        <f>IF(Sheet1!EM192="OTHER",BX192,0)</f>
        <v>0</v>
      </c>
      <c r="BS192" s="712">
        <f t="shared" si="669"/>
        <v>0</v>
      </c>
      <c r="BT192" s="712">
        <f t="shared" si="670"/>
        <v>0</v>
      </c>
      <c r="BU192" s="712">
        <f t="shared" si="671"/>
        <v>2.4</v>
      </c>
      <c r="BV192" s="712">
        <f t="shared" si="672"/>
        <v>2.4642857142859977</v>
      </c>
      <c r="BW192" s="712">
        <f>IF(Sheet1!EM192="CWA",SUM(Sheet1!BC192:'Sheet1'!BF192),0)</f>
        <v>0</v>
      </c>
      <c r="BX192" s="712">
        <f>IF(OR(Sheet1!EM192="FM", Sheet1!EM192="OTHER"),SUM(Sheet1!BC192:'Sheet1'!BF192),0)</f>
        <v>0</v>
      </c>
      <c r="BY192" s="697">
        <f>IF(AND($B192&gt;=$FL192,$B192&lt;=$FM192),MAX(BV192,Sheet1!EF192,0),MAX(BV192-(7/36)*$K192,0))</f>
        <v>0</v>
      </c>
      <c r="BZ192" s="712">
        <f t="shared" si="673"/>
        <v>0</v>
      </c>
      <c r="CA192" s="697">
        <f t="shared" si="674"/>
        <v>2.4642857142859977</v>
      </c>
      <c r="CB192" s="697">
        <f>IF(AND($O192&gt;0,Sheet1!EJ192=1),(1-($O192-Sheet1!$L192)/$O192)*BV192,0)</f>
        <v>0</v>
      </c>
      <c r="CC192" s="697">
        <f>IF(AND(Sheet1!$L192=0,Sheet1!$L191=0, Calculation!BU192&lt;Sheet1!EF192-0.1,Sheet1!EF192=Sheet1!EF191,Sheet1!EF192=Sheet1!EF193),Sheet1!EF192,BV192-CB192)</f>
        <v>2.4642857142859977</v>
      </c>
      <c r="CD192" s="697"/>
      <c r="CE192" s="712"/>
      <c r="CF192" s="712">
        <f t="shared" si="675"/>
        <v>1267.5648268868606</v>
      </c>
      <c r="CG192" s="712"/>
      <c r="CH192" s="712">
        <f ca="1">IF(B192&gt;Summary!$A$1,#N/A,CF192*MGtoAF)</f>
        <v>3888.8888888888882</v>
      </c>
      <c r="CI192" s="712">
        <f>Sheet1!BK192+Sheet1!BL192+Sheet1!BM192-Sheet1!EN192-CQ192</f>
        <v>7.54</v>
      </c>
      <c r="CJ192" s="712">
        <f t="shared" si="676"/>
        <v>7.7419642857151763</v>
      </c>
      <c r="CK192" s="712">
        <f>IF(Sheet1!EN192="FM",CQ192,0)</f>
        <v>0</v>
      </c>
      <c r="CL192" s="712">
        <f t="shared" si="677"/>
        <v>0</v>
      </c>
      <c r="CM192" s="712">
        <f>IF(Sheet1!EN192="OTHER",CQ192,0)</f>
        <v>0</v>
      </c>
      <c r="CN192" s="712">
        <f t="shared" si="678"/>
        <v>0</v>
      </c>
      <c r="CO192" s="712">
        <f t="shared" si="679"/>
        <v>7.54</v>
      </c>
      <c r="CP192" s="712">
        <f t="shared" si="680"/>
        <v>7.7419642857151763</v>
      </c>
      <c r="CQ192" s="712">
        <f>IF(OR(Sheet1!EN192="FM", Sheet1!EN192="OTHER"),SUM(Sheet1!BK192:'Sheet1'!BM192),0)</f>
        <v>0</v>
      </c>
      <c r="CR192" s="697">
        <f>IF(AND($B192&gt;=$FL192,$B192&lt;=$FM192),MAX($CJ192,Sheet1!EG192,0),MAX($CJ192-(7/36)*$K192,0))</f>
        <v>0</v>
      </c>
      <c r="CS192" s="712">
        <f t="shared" si="681"/>
        <v>0</v>
      </c>
      <c r="CT192" s="697">
        <f t="shared" si="682"/>
        <v>7.7419642857151763</v>
      </c>
      <c r="CU192" s="697">
        <f>IF(AND($O192&gt;0,Sheet1!EK192=1),(1-($O192-Sheet1!$L192)/$O192)*CP192,0)</f>
        <v>0</v>
      </c>
      <c r="CV192" s="697">
        <f>IF(AND(Sheet1!$L192=0,Sheet1!$L191=0, Calculation!CO192&lt;Sheet1!$EG192-0.1,Sheet1!$EG192=Sheet1!$EG191,Sheet1!$EG192=Sheet1!$EG193),Sheet1!$EG192,CP192-CU192)</f>
        <v>7.7419642857151763</v>
      </c>
      <c r="CW192" s="697">
        <f t="shared" si="613"/>
        <v>0</v>
      </c>
      <c r="CX192" s="712">
        <f t="shared" si="683"/>
        <v>9.94</v>
      </c>
      <c r="CY192" s="712">
        <f t="shared" si="684"/>
        <v>1267.5648268868606</v>
      </c>
      <c r="CZ192" s="712">
        <f t="shared" si="685"/>
        <v>10.206250000001173</v>
      </c>
      <c r="DA192" s="712">
        <f ca="1">IF(B192&gt;Summary!$A$1,#N/A,CY192*MGtoAF)</f>
        <v>3888.8888888888882</v>
      </c>
      <c r="DB192" s="712">
        <f t="shared" si="686"/>
        <v>9.94</v>
      </c>
      <c r="DC192" s="712">
        <f t="shared" si="687"/>
        <v>24.64</v>
      </c>
      <c r="DD192" s="712">
        <f>Sheet1!AB192-DC192</f>
        <v>0.66000000000290981</v>
      </c>
      <c r="DE192" s="712">
        <f t="shared" si="688"/>
        <v>2.6785714285832377E-2</v>
      </c>
      <c r="DF192" s="712">
        <f>(VLOOKUP(Sheet1!CY192,hhdcap_wcm,4)-(((VLOOKUP(Sheet1!CY192,hhdcap_wcm,3)-Sheet1!CY192)/(VLOOKUP(Sheet1!CY192,hhdcap_wcm,3)-VLOOKUP(Sheet1!CY192,hhdcap_wcm,1)))*(VLOOKUP(Sheet1!CY192,hhdcap_wcm,4)-VLOOKUP(Sheet1!CY192,hhdcap_wcm,2))))</f>
        <v>50262.580000117516</v>
      </c>
      <c r="DG192" s="712">
        <f t="shared" si="689"/>
        <v>-78.820000000254367</v>
      </c>
      <c r="DH192" s="712">
        <f t="shared" si="690"/>
        <v>-39.747856782780815</v>
      </c>
      <c r="DI192" s="712">
        <f>Sheet1!DW192*AFtoMG</f>
        <v>0</v>
      </c>
      <c r="DJ192" s="712">
        <f>Sheet1!DX192*AFtoMG</f>
        <v>0</v>
      </c>
      <c r="DK192" s="712">
        <f>Sheet1!DY192*AFtoMG</f>
        <v>0</v>
      </c>
      <c r="DL192" s="712">
        <f>Sheet1!DZ192*AFtoMG</f>
        <v>0</v>
      </c>
      <c r="DM192" s="712">
        <f t="shared" si="691"/>
        <v>0</v>
      </c>
      <c r="DN192" s="712">
        <f t="shared" si="692"/>
        <v>0</v>
      </c>
      <c r="DO192" s="712">
        <f t="shared" si="693"/>
        <v>6518.9048239895692</v>
      </c>
      <c r="DP192" s="712">
        <f t="shared" si="694"/>
        <v>20000</v>
      </c>
      <c r="DQ192" s="712"/>
      <c r="DR192" s="697">
        <f>IF(OR(B192&lt;FL192,B192&gt;FM192),(MIN(AV192+BO192+CJ192+MAX(Sheet1!AA192+AG192-73,0),K192)),0)</f>
        <v>10.206250000001173</v>
      </c>
      <c r="DS192" s="712"/>
      <c r="DT192" s="712">
        <f t="shared" si="695"/>
        <v>10.206250000001173</v>
      </c>
      <c r="DU192" s="712"/>
      <c r="DV192" s="712">
        <f>Sheet1!ED192+Sheet1!EE192+Sheet1!EF192+Sheet1!EG192</f>
        <v>11</v>
      </c>
      <c r="DW192" s="712"/>
      <c r="DX192" s="697">
        <f t="shared" si="696"/>
        <v>0</v>
      </c>
      <c r="DY192" s="712">
        <f>IF(Sheet1!FN192=1,SUM('Calculations II'!AT192:BA192)+'Calculations II'!BC192+Sheet1!BU192+'Calculations II'!BE192+AF192,SUM('Calculations II'!AT192:BA192)+'Calculations II'!BC192+Sheet1!BU192+'Calculations II'!BE192+AF192)</f>
        <v>56.397664000000006</v>
      </c>
      <c r="DZ192" s="712">
        <f>Sheet1!AA192+Sheet1!AB192+'Calculations II'!BC192</f>
        <v>69.962048000002909</v>
      </c>
      <c r="EA192" s="712"/>
      <c r="EB192" s="712"/>
      <c r="EC192" s="712">
        <f t="shared" si="697"/>
        <v>40721</v>
      </c>
      <c r="ED192" s="712">
        <f t="shared" si="698"/>
        <v>0</v>
      </c>
      <c r="EE192" s="712">
        <f t="shared" si="699"/>
        <v>0</v>
      </c>
      <c r="EF192" s="712">
        <f>-(VLOOKUP(Sheet1!BQ192,Lookup!$B$4:$J$236,2)-VLOOKUP(Sheet1!BQ191,Lookup!$B$4:$J$236,2))/1000000</f>
        <v>-0.54100000000000004</v>
      </c>
      <c r="EG192" s="712">
        <f>-(VLOOKUP(Sheet1!BR192,Lookup!$B$4:$J$236,3)-VLOOKUP(Sheet1!BR191,Lookup!$B$4:$J$236,3))/1000000</f>
        <v>-0.54</v>
      </c>
      <c r="EH192" s="712">
        <f>-(VLOOKUP(Sheet1!BS192,Lookup!$B$4:$J$236,4)-VLOOKUP(Sheet1!BS191,Lookup!$B$4:$J$236,4))/1000000</f>
        <v>0</v>
      </c>
      <c r="EI192" s="697">
        <f t="shared" si="700"/>
        <v>-1.081</v>
      </c>
      <c r="EJ192" s="712"/>
      <c r="EK192" s="712"/>
      <c r="EL192" s="712"/>
      <c r="EM192" s="712"/>
      <c r="EN192" s="712"/>
      <c r="EO192" s="712"/>
      <c r="EP192" s="712"/>
      <c r="EQ192" s="712"/>
      <c r="ES192" s="712"/>
      <c r="ET192" s="794" t="e">
        <f t="shared" si="720"/>
        <v>#N/A</v>
      </c>
      <c r="EU192" s="697">
        <v>5000</v>
      </c>
      <c r="EV192" s="795">
        <f t="shared" si="640"/>
        <v>24042.580000117516</v>
      </c>
      <c r="EW192" s="796" t="s">
        <v>757</v>
      </c>
      <c r="EX192" s="796" t="s">
        <v>757</v>
      </c>
      <c r="EY192" s="794">
        <v>0</v>
      </c>
      <c r="EZ192" s="794" t="e">
        <v>#N/A</v>
      </c>
      <c r="FA192" s="712"/>
      <c r="FB192" s="712"/>
      <c r="FC192" s="712"/>
      <c r="FD192" s="712"/>
      <c r="FE192" s="712">
        <f>O192+Sheet1!CO192</f>
        <v>7463.5000000000027</v>
      </c>
      <c r="FF192" s="712">
        <f>IF(Sheet1!AA192+AG192&lt;=Calculation!N192,AG192,Calculation!N192-Sheet1!AA192)</f>
        <v>15.093750000001736</v>
      </c>
      <c r="FG192" s="712">
        <f>(Sheet1!BP192+Sheet1!BO192)/694.4</f>
        <v>2.5465149769585254</v>
      </c>
      <c r="FH192" s="712"/>
      <c r="FI192" s="712"/>
      <c r="FJ192" s="712"/>
      <c r="FK192" s="712"/>
      <c r="FL192" s="714">
        <f t="shared" si="632"/>
        <v>40753</v>
      </c>
      <c r="FM192" s="714">
        <f t="shared" si="633"/>
        <v>40851</v>
      </c>
      <c r="FN192" s="712"/>
      <c r="FO192" s="712"/>
      <c r="FP192" s="712"/>
      <c r="FQ192" s="712"/>
      <c r="FR192" s="712"/>
      <c r="FS192" s="725">
        <f t="shared" si="634"/>
        <v>40603</v>
      </c>
      <c r="FT192" s="714">
        <f t="shared" si="635"/>
        <v>40709</v>
      </c>
      <c r="FU192" s="712">
        <f t="shared" si="636"/>
        <v>6518.9048239895692</v>
      </c>
      <c r="FV192" s="714">
        <f t="shared" si="637"/>
        <v>40722</v>
      </c>
      <c r="FW192" s="712">
        <f t="shared" si="638"/>
        <v>3259.4524119947846</v>
      </c>
      <c r="FX192" s="725">
        <f t="shared" si="639"/>
        <v>40851</v>
      </c>
      <c r="FZ192" s="697">
        <f t="shared" si="616"/>
        <v>0</v>
      </c>
      <c r="GA192" s="712" t="str">
        <f t="shared" si="701"/>
        <v/>
      </c>
      <c r="GB192" s="712">
        <f t="shared" si="702"/>
        <v>0</v>
      </c>
      <c r="GC192" s="712" t="str">
        <f t="shared" si="703"/>
        <v/>
      </c>
      <c r="GD192" s="712">
        <f>IF(GA192="P",Lookup!$M$12,IF(GA192="PP",Lookup!$M$13,IF(GA192="PPP",Lookup!$M$14,IF(GA192="T",Lookup!$M$15,IF(GA192="TP",Lookup!$M$16,IF(GA192="TPP",Lookup!$M$17,IF(GA192="TPPP",Lookup!$M$18,0)))))))*FZ192</f>
        <v>0</v>
      </c>
      <c r="GE192" s="712">
        <f t="shared" si="704"/>
        <v>0</v>
      </c>
      <c r="GF192" s="712">
        <f t="shared" si="705"/>
        <v>8333.3333333333321</v>
      </c>
      <c r="GG192" s="712">
        <f t="shared" si="706"/>
        <v>2716.2103433289872</v>
      </c>
      <c r="GH192" s="712"/>
      <c r="GI192" s="712">
        <f t="shared" si="707"/>
        <v>0</v>
      </c>
      <c r="GJ192" s="712" t="str">
        <f t="shared" si="708"/>
        <v/>
      </c>
      <c r="GK192" s="712">
        <f>IF(GA192="P",Lookup!$N$12,IF(GA192="PP",Lookup!$N$13,IF(GA192="PPP",Lookup!$N$14,IF(GA192="T",Lookup!$N$15,IF(GA192="TP",Lookup!$N$16,IF(GA192="TPP",Lookup!$N$17,IF(GA192="TPPP",Lookup!$N$18,0)))))))*FZ192</f>
        <v>0</v>
      </c>
      <c r="GL192" s="712">
        <f t="shared" si="709"/>
        <v>0</v>
      </c>
      <c r="GM192" s="712">
        <f t="shared" si="710"/>
        <v>3888.8888888888882</v>
      </c>
      <c r="GN192" s="712">
        <f t="shared" si="711"/>
        <v>1267.5648268868606</v>
      </c>
      <c r="GO192" s="712"/>
      <c r="GP192" s="712">
        <f t="shared" si="712"/>
        <v>0</v>
      </c>
      <c r="GQ192" s="712" t="str">
        <f t="shared" si="713"/>
        <v/>
      </c>
      <c r="GR192" s="712">
        <f>IF(GA192="P",Lookup!$N$12,IF(GA192="PP",Lookup!$N$13,IF(GA192="PPP",Lookup!$N$14,IF(GA192="T",Lookup!$N$15,IF(GA192="TP",Lookup!$N$16,IF(GA192="TPP",Lookup!$N$17,IF(GA192="TPPP",Lookup!$N$18,0)))))))*FZ192</f>
        <v>0</v>
      </c>
      <c r="GS192" s="697">
        <f t="shared" si="628"/>
        <v>0</v>
      </c>
      <c r="GT192" s="712">
        <f t="shared" si="714"/>
        <v>3888.8888888888882</v>
      </c>
      <c r="GU192" s="712">
        <f t="shared" si="715"/>
        <v>1267.5648268868606</v>
      </c>
      <c r="GV192" s="712"/>
      <c r="GW192" s="712">
        <f t="shared" si="716"/>
        <v>0</v>
      </c>
      <c r="GX192" s="712" t="str">
        <f t="shared" si="717"/>
        <v/>
      </c>
      <c r="GY192" s="712">
        <f>IF(GA192="P",Lookup!$N$12,IF(GA192="PP",Lookup!$N$13,IF(GA192="PPP",Lookup!$N$14,IF(GA192="T",Lookup!$N$15,IF(GA192="TP",Lookup!$N$16,IF(GA192="TPP",Lookup!$N$17,IF(GA192="TPPP",Lookup!$N$18,0)))))))*FZ192</f>
        <v>0</v>
      </c>
      <c r="GZ192" s="697">
        <f t="shared" si="629"/>
        <v>0</v>
      </c>
      <c r="HA192" s="712">
        <f t="shared" si="718"/>
        <v>3888.8888888888882</v>
      </c>
      <c r="HB192" s="712">
        <f t="shared" si="719"/>
        <v>1267.5648268868606</v>
      </c>
      <c r="HC192" s="712"/>
    </row>
    <row r="193" spans="1:211">
      <c r="A193" s="773" t="s">
        <v>5</v>
      </c>
      <c r="B193" s="708">
        <v>40722</v>
      </c>
      <c r="C193" s="719">
        <v>0.5</v>
      </c>
      <c r="D193" s="675">
        <f t="shared" si="641"/>
        <v>300</v>
      </c>
      <c r="E193" s="675">
        <f t="shared" si="642"/>
        <v>250</v>
      </c>
      <c r="F193" s="675">
        <v>250</v>
      </c>
      <c r="G193" s="712">
        <f>DH193+Sheet1!CV193</f>
        <v>985.64351334179435</v>
      </c>
      <c r="H193" s="712">
        <f t="shared" si="643"/>
        <v>370.15676702413583</v>
      </c>
      <c r="I193" s="711">
        <f>MAX(Sheet1!Z193-AJ193+(Sheet1!CW193-E193)*CFStoMGD,0)</f>
        <v>666.99218355537971</v>
      </c>
      <c r="J193" s="720">
        <f>IF(AND(B193&gt;=Calculation!FS193,B193&lt;=Calculation!FT193),IF(Sheet1!CX193&gt;=Calculation!D193,64.64,0),MAX(Sheet1!Z193-AJ193+(Sheet1!CX193-D193)*CFStoMGD,0))</f>
        <v>355.18498355537952</v>
      </c>
      <c r="K193" s="697">
        <f t="shared" si="644"/>
        <v>64.64</v>
      </c>
      <c r="L193" s="712">
        <f>Sheet1!AA193+Sheet1!AB193-Sheet1!L193+(Sheet1!CW193-F193)*CFStoMGD</f>
        <v>715.16933333332759</v>
      </c>
      <c r="M193" s="712">
        <f t="shared" si="645"/>
        <v>649.86236636461865</v>
      </c>
      <c r="N193" s="712">
        <f>IF(Sheet1!CW193&gt;=F193,MIN(73,MIN(MAX(L193,0),MAX(M193,0))),0)</f>
        <v>73</v>
      </c>
      <c r="O193" s="721">
        <f>Sheet1!AA193+Sheet1!AB193</f>
        <v>58.399999999994179</v>
      </c>
      <c r="P193" s="721">
        <f t="shared" si="646"/>
        <v>90.344799999990997</v>
      </c>
      <c r="Q193" s="712">
        <f>MIN(N193,Sheet1!AA193+AG193)</f>
        <v>48.277149777953753</v>
      </c>
      <c r="R193" s="712">
        <f t="shared" si="647"/>
        <v>11</v>
      </c>
      <c r="S193" s="721">
        <f>Sheet1!Y193*MGDtoCFS</f>
        <v>52.133900000000004</v>
      </c>
      <c r="T193" s="721">
        <f>Sheet1!Z193*MGDtoCFS</f>
        <v>38.674999999999997</v>
      </c>
      <c r="U193" s="721">
        <f>Sheet1!AA193*MGDtoCFS</f>
        <v>51.8245</v>
      </c>
      <c r="V193" s="721">
        <f>Sheet1!AB193*MGDtoCFS</f>
        <v>38.520299999990996</v>
      </c>
      <c r="W193" s="721">
        <f>Sheet1!L193*MGDtoCFS</f>
        <v>0</v>
      </c>
      <c r="X193" s="697">
        <f t="shared" si="648"/>
        <v>0</v>
      </c>
      <c r="Y193" s="712">
        <f t="shared" si="649"/>
        <v>0</v>
      </c>
      <c r="Z193" s="712">
        <f t="shared" si="650"/>
        <v>0</v>
      </c>
      <c r="AA193" s="712">
        <f t="shared" si="651"/>
        <v>0</v>
      </c>
      <c r="AB193" s="712">
        <f>(VLOOKUP(Sheet1!CY193,hhdcap_wcm,4)-(((VLOOKUP(Sheet1!CY193,hhdcap_wcm,3)-Sheet1!CY193)/(VLOOKUP(Sheet1!CY193,hhdcap_wcm,3)-VLOOKUP(Sheet1!CY193,hhdcap_wcm,1)))*(VLOOKUP(Sheet1!CY193,hhdcap_wcm,4)-VLOOKUP(Sheet1!CY193,hhdcap_wcm,2))))</f>
        <v>50352.660000117772</v>
      </c>
      <c r="AC193" s="712">
        <f t="shared" si="652"/>
        <v>90.080000000256405</v>
      </c>
      <c r="AD193" s="712">
        <f t="shared" si="653"/>
        <v>3259.4524119947846</v>
      </c>
      <c r="AE193" s="712">
        <f>AD193*MGtoAF</f>
        <v>10000</v>
      </c>
      <c r="AF193" s="712">
        <f>Sheet1!BA193+Sheet1!BB193+Sheet1!BN193+BT193</f>
        <v>14.7</v>
      </c>
      <c r="AG193" s="712">
        <f t="shared" si="655"/>
        <v>14.777149777953751</v>
      </c>
      <c r="AH193" s="712">
        <f>Sheet1!BA193+BT193</f>
        <v>0</v>
      </c>
      <c r="AI193" s="712">
        <f>Sheet1!BA193+Sheet1!BB193+BT193</f>
        <v>0</v>
      </c>
      <c r="AJ193" s="712">
        <f>IF((Sheet1!AA193+AG193+AX193+AZ193+BQ193+BS193+CL193+CN193)&lt;=N193,AG193+AX193+AZ193+BQ193+BS193+CL193+CN193,N193-Sheet1!AA193)</f>
        <v>14.777149777953751</v>
      </c>
      <c r="AK193" s="712">
        <f>IF(DR193&lt;K193,0,MAX(Sheet1!AA193+AG193-15/36*K193-N193,Sheet1!ED193,0))</f>
        <v>0</v>
      </c>
      <c r="AL193" s="712">
        <f>IF(OR(B193&gt;=FT193,B193&lt;FS193),0,15/36*K193-MAX(0,64.6-(137.6-(Sheet1!AA193+Sheet1!AB193))))</f>
        <v>0</v>
      </c>
      <c r="AM193" s="712">
        <f>Sheet1!CX193-110</f>
        <v>723.66666666666663</v>
      </c>
      <c r="AN193" s="712">
        <f>Sheet1!CW193-265</f>
        <v>1001.0416666666667</v>
      </c>
      <c r="AO193" s="712">
        <f t="shared" si="622"/>
        <v>24.722850222046247</v>
      </c>
      <c r="AP193" s="712">
        <f t="shared" si="656"/>
        <v>0</v>
      </c>
      <c r="AQ193" s="712">
        <f t="shared" si="657"/>
        <v>0</v>
      </c>
      <c r="AR193" s="712">
        <f t="shared" si="658"/>
        <v>1358.1051716644936</v>
      </c>
      <c r="AS193" s="712"/>
      <c r="AT193" s="712">
        <f ca="1">IF(B193&gt;Summary!$A$1,#N/A,AR193*MGtoAF)</f>
        <v>4166.6666666666661</v>
      </c>
      <c r="AU193" s="712">
        <f>Sheet1!BG193+Sheet1!BH193+Sheet1!BI193-BC193</f>
        <v>0</v>
      </c>
      <c r="AV193" s="712">
        <f t="shared" si="659"/>
        <v>0</v>
      </c>
      <c r="AW193" s="712">
        <f>IF(Sheet1!EL193="FM",BC193,0)</f>
        <v>0</v>
      </c>
      <c r="AX193" s="712">
        <f t="shared" si="660"/>
        <v>0</v>
      </c>
      <c r="AY193" s="712">
        <f>IF(Sheet1!EL193="OTHER",BC193,0)</f>
        <v>0</v>
      </c>
      <c r="AZ193" s="712">
        <f t="shared" si="661"/>
        <v>0</v>
      </c>
      <c r="BA193" s="712">
        <f t="shared" si="662"/>
        <v>0</v>
      </c>
      <c r="BB193" s="712">
        <f t="shared" si="663"/>
        <v>0</v>
      </c>
      <c r="BC193" s="712">
        <f>IF(OR(Sheet1!EL193="FM", Sheet1!EL193="OTHER"),SUM(Sheet1!BG193:'Sheet1'!BI193),0)</f>
        <v>0</v>
      </c>
      <c r="BD193" s="697">
        <f>IF(AND($B193&gt;=$FL193,$B193&lt;=$FM193),MAX(AV193,Sheet1!EE193,0),MAX(AV193-(7/36)*$K193,0))</f>
        <v>0</v>
      </c>
      <c r="BE193" s="712">
        <f t="shared" si="664"/>
        <v>0</v>
      </c>
      <c r="BF193" s="697">
        <f t="shared" si="665"/>
        <v>0</v>
      </c>
      <c r="BG193" s="697">
        <f>IF(AND($O193&gt;0,Sheet1!EI193=1),(1-($O193-Sheet1!$L193)/$O193)*BB193,0)</f>
        <v>0</v>
      </c>
      <c r="BH193" s="697">
        <f>IF(AND(Sheet1!$L193=0,Sheet1!$L192=0, Calculation!BA193&lt;Sheet1!$EE193-0.1,Sheet1!$EE193=Sheet1!$EE192,Sheet1!$EE193=Sheet1!$EE194),Sheet1!$EE193,BB193-BG193)</f>
        <v>1</v>
      </c>
      <c r="BI193" s="712"/>
      <c r="BJ193" s="712"/>
      <c r="BK193" s="712">
        <f t="shared" si="666"/>
        <v>633.7824134434303</v>
      </c>
      <c r="BL193" s="712"/>
      <c r="BM193" s="712">
        <f ca="1">IF(B193&gt;Summary!$A$1,#N/A,BK193*MGtoAF)</f>
        <v>1944.4444444444441</v>
      </c>
      <c r="BN193" s="712">
        <f>Sheet1!BC193+Sheet1!BD193+Sheet1!BE193+Sheet1!BF193-BW193-BX193</f>
        <v>2.52</v>
      </c>
      <c r="BO193" s="712">
        <f t="shared" si="667"/>
        <v>2.5332256762206433</v>
      </c>
      <c r="BP193" s="712">
        <f>IF(Sheet1!EM193="FM",BX193,0)</f>
        <v>0</v>
      </c>
      <c r="BQ193" s="712">
        <f t="shared" si="668"/>
        <v>0</v>
      </c>
      <c r="BR193" s="712">
        <f>IF(Sheet1!EM193="OTHER",BX193,0)</f>
        <v>0</v>
      </c>
      <c r="BS193" s="712">
        <f t="shared" si="669"/>
        <v>0</v>
      </c>
      <c r="BT193" s="712">
        <f t="shared" si="670"/>
        <v>0</v>
      </c>
      <c r="BU193" s="712">
        <f t="shared" si="671"/>
        <v>2.52</v>
      </c>
      <c r="BV193" s="712">
        <f t="shared" si="672"/>
        <v>2.5332256762206433</v>
      </c>
      <c r="BW193" s="712">
        <f>IF(Sheet1!EM193="CWA",SUM(Sheet1!BC193:'Sheet1'!BF193),0)</f>
        <v>0</v>
      </c>
      <c r="BX193" s="712">
        <f>IF(OR(Sheet1!EM193="FM", Sheet1!EM193="OTHER"),SUM(Sheet1!BC193:'Sheet1'!BF193),0)</f>
        <v>0</v>
      </c>
      <c r="BY193" s="697">
        <f>IF(AND($B193&gt;=$FL193,$B193&lt;=$FM193),MAX(BV193,Sheet1!EF193,0),MAX(BV193-(7/36)*$K193,0))</f>
        <v>0</v>
      </c>
      <c r="BZ193" s="712">
        <f t="shared" si="673"/>
        <v>0</v>
      </c>
      <c r="CA193" s="697">
        <f t="shared" si="674"/>
        <v>2.5332256762206433</v>
      </c>
      <c r="CB193" s="697">
        <f>IF(AND($O193&gt;0,Sheet1!EJ193=1),(1-($O193-Sheet1!$L193)/$O193)*BV193,0)</f>
        <v>0</v>
      </c>
      <c r="CC193" s="697">
        <f>IF(AND(Sheet1!$L193=0,Sheet1!$L192=0, Calculation!BU193&lt;Sheet1!EF193-0.1,Sheet1!EF193=Sheet1!EF192,Sheet1!EF193=Sheet1!EF194),Sheet1!EF193,BV193-CB193)</f>
        <v>2.5332256762206433</v>
      </c>
      <c r="CD193" s="697"/>
      <c r="CE193" s="712"/>
      <c r="CF193" s="712">
        <f t="shared" si="675"/>
        <v>633.7824134434303</v>
      </c>
      <c r="CG193" s="712"/>
      <c r="CH193" s="712">
        <f ca="1">IF(B193&gt;Summary!$A$1,#N/A,CF193*MGtoAF)</f>
        <v>1944.4444444444441</v>
      </c>
      <c r="CI193" s="712">
        <f>Sheet1!BK193+Sheet1!BL193+Sheet1!BM193-Sheet1!EN193-CQ193</f>
        <v>7.55</v>
      </c>
      <c r="CJ193" s="712">
        <f t="shared" si="676"/>
        <v>7.5896245458197837</v>
      </c>
      <c r="CK193" s="712">
        <f>IF(Sheet1!EN193="FM",CQ193,0)</f>
        <v>0</v>
      </c>
      <c r="CL193" s="712">
        <f t="shared" si="677"/>
        <v>0</v>
      </c>
      <c r="CM193" s="712">
        <f>IF(Sheet1!EN193="OTHER",CQ193,0)</f>
        <v>0</v>
      </c>
      <c r="CN193" s="712">
        <f t="shared" si="678"/>
        <v>0</v>
      </c>
      <c r="CO193" s="712">
        <f t="shared" si="679"/>
        <v>7.55</v>
      </c>
      <c r="CP193" s="712">
        <f t="shared" si="680"/>
        <v>7.5896245458197837</v>
      </c>
      <c r="CQ193" s="712">
        <f>IF(OR(Sheet1!EN193="FM", Sheet1!EN193="OTHER"),SUM(Sheet1!BK193:'Sheet1'!BM193),0)</f>
        <v>0</v>
      </c>
      <c r="CR193" s="697">
        <f>IF(AND($B193&gt;=$FL193,$B193&lt;=$FM193),MAX($CJ193,Sheet1!EG193,0),MAX($CJ193-(7/36)*$K193,0))</f>
        <v>0</v>
      </c>
      <c r="CS193" s="712">
        <f t="shared" si="681"/>
        <v>0</v>
      </c>
      <c r="CT193" s="697">
        <f t="shared" si="682"/>
        <v>7.5896245458197837</v>
      </c>
      <c r="CU193" s="697">
        <f>IF(AND($O193&gt;0,Sheet1!EK193=1),(1-($O193-Sheet1!$L193)/$O193)*CP193,0)</f>
        <v>0</v>
      </c>
      <c r="CV193" s="697">
        <f>IF(AND(Sheet1!$L193=0,Sheet1!$L192=0, Calculation!CO193&lt;Sheet1!$EG193-0.1,Sheet1!$EG193=Sheet1!$EG192,Sheet1!$EG193=Sheet1!$EG194),Sheet1!$EG193,CP193-CU193)</f>
        <v>7.5896245458197837</v>
      </c>
      <c r="CW193" s="697">
        <f t="shared" si="613"/>
        <v>0</v>
      </c>
      <c r="CX193" s="712">
        <f t="shared" si="683"/>
        <v>10.07</v>
      </c>
      <c r="CY193" s="712">
        <f t="shared" si="684"/>
        <v>633.7824134434303</v>
      </c>
      <c r="CZ193" s="712">
        <f t="shared" si="685"/>
        <v>10.122850222040427</v>
      </c>
      <c r="DA193" s="712">
        <f ca="1">IF(B193&gt;Summary!$A$1,#N/A,CY193*MGtoAF)</f>
        <v>1944.4444444444441</v>
      </c>
      <c r="DB193" s="712">
        <f t="shared" si="686"/>
        <v>10.07</v>
      </c>
      <c r="DC193" s="712">
        <f t="shared" si="687"/>
        <v>24.77</v>
      </c>
      <c r="DD193" s="712">
        <f>Sheet1!AB193-DC193</f>
        <v>0.12999999999417966</v>
      </c>
      <c r="DE193" s="712">
        <f t="shared" si="688"/>
        <v>5.2482842145409637E-3</v>
      </c>
      <c r="DF193" s="712">
        <f>(VLOOKUP(Sheet1!CY193,hhdcap_wcm,4)-(((VLOOKUP(Sheet1!CY193,hhdcap_wcm,3)-Sheet1!CY193)/(VLOOKUP(Sheet1!CY193,hhdcap_wcm,3)-VLOOKUP(Sheet1!CY193,hhdcap_wcm,1)))*(VLOOKUP(Sheet1!CY193,hhdcap_wcm,4)-VLOOKUP(Sheet1!CY193,hhdcap_wcm,2))))</f>
        <v>50352.660000117772</v>
      </c>
      <c r="DG193" s="712">
        <f t="shared" si="689"/>
        <v>90.080000000256405</v>
      </c>
      <c r="DH193" s="712">
        <f t="shared" si="690"/>
        <v>45.42612203744649</v>
      </c>
      <c r="DI193" s="712">
        <f>Sheet1!DW193*AFtoMG</f>
        <v>0</v>
      </c>
      <c r="DJ193" s="712">
        <f>Sheet1!DX193*AFtoMG</f>
        <v>0</v>
      </c>
      <c r="DK193" s="712">
        <f>Sheet1!DY193*AFtoMG</f>
        <v>0</v>
      </c>
      <c r="DL193" s="712">
        <f>Sheet1!DZ193*AFtoMG</f>
        <v>0</v>
      </c>
      <c r="DM193" s="712">
        <f t="shared" si="691"/>
        <v>0</v>
      </c>
      <c r="DN193" s="712">
        <f t="shared" si="692"/>
        <v>0</v>
      </c>
      <c r="DO193" s="712">
        <f t="shared" si="693"/>
        <v>3259.4524119947846</v>
      </c>
      <c r="DP193" s="712">
        <f t="shared" si="694"/>
        <v>10000</v>
      </c>
      <c r="DQ193" s="712"/>
      <c r="DR193" s="697">
        <f>IF(OR(B193&lt;FL193,B193&gt;FM193),(MIN(AV193+BO193+CJ193+MAX(Sheet1!AA193+AG193-73,0),K193)),0)</f>
        <v>10.122850222040427</v>
      </c>
      <c r="DS193" s="712"/>
      <c r="DT193" s="712">
        <f t="shared" si="695"/>
        <v>10.122850222040427</v>
      </c>
      <c r="DU193" s="712"/>
      <c r="DV193" s="712">
        <f>Sheet1!ED193+Sheet1!EE193+Sheet1!EF193+Sheet1!EG193</f>
        <v>11</v>
      </c>
      <c r="DW193" s="712"/>
      <c r="DX193" s="697">
        <f t="shared" si="696"/>
        <v>0</v>
      </c>
      <c r="DY193" s="712">
        <f>IF(Sheet1!FN193=1,SUM('Calculations II'!AT193:BA193)+'Calculations II'!BC193+Sheet1!BU193+'Calculations II'!BE193+AF193,SUM('Calculations II'!AT193:BA193)+'Calculations II'!BC193+Sheet1!BU193+'Calculations II'!BE193+AF193)</f>
        <v>55.622975999999994</v>
      </c>
      <c r="DZ193" s="712">
        <f>Sheet1!AA193+Sheet1!AB193+'Calculations II'!BC193</f>
        <v>69.375679999994176</v>
      </c>
      <c r="EA193" s="712"/>
      <c r="EB193" s="712"/>
      <c r="EC193" s="712">
        <f t="shared" si="697"/>
        <v>40722</v>
      </c>
      <c r="ED193" s="712">
        <f t="shared" si="698"/>
        <v>0</v>
      </c>
      <c r="EE193" s="712">
        <f t="shared" si="699"/>
        <v>0</v>
      </c>
      <c r="EF193" s="712">
        <f>-(VLOOKUP(Sheet1!BQ193,Lookup!$B$4:$J$236,2)-VLOOKUP(Sheet1!BQ192,Lookup!$B$4:$J$236,2))/1000000</f>
        <v>-1.3525</v>
      </c>
      <c r="EG193" s="712">
        <f>-(VLOOKUP(Sheet1!BR193,Lookup!$B$4:$J$236,3)-VLOOKUP(Sheet1!BR192,Lookup!$B$4:$J$236,3))/1000000</f>
        <v>-1.35</v>
      </c>
      <c r="EH193" s="712">
        <f>-(VLOOKUP(Sheet1!BS193,Lookup!$B$4:$J$236,4)-VLOOKUP(Sheet1!BS192,Lookup!$B$4:$J$236,4))/1000000</f>
        <v>0</v>
      </c>
      <c r="EI193" s="697">
        <f t="shared" si="700"/>
        <v>-2.7025000000000001</v>
      </c>
      <c r="EJ193" s="712"/>
      <c r="EK193" s="712"/>
      <c r="EL193" s="712"/>
      <c r="EM193" s="712"/>
      <c r="EN193" s="712"/>
      <c r="EO193" s="712"/>
      <c r="EP193" s="712"/>
      <c r="EQ193" s="712"/>
      <c r="ES193" s="712"/>
      <c r="ET193" s="794" t="e">
        <f t="shared" si="720"/>
        <v>#N/A</v>
      </c>
      <c r="EU193" s="800">
        <v>15000</v>
      </c>
      <c r="EV193" s="795">
        <f t="shared" si="640"/>
        <v>24132.660000117772</v>
      </c>
      <c r="EW193" s="796" t="s">
        <v>757</v>
      </c>
      <c r="EX193" s="796" t="s">
        <v>757</v>
      </c>
      <c r="EY193" s="794">
        <v>0</v>
      </c>
      <c r="EZ193" s="794" t="e">
        <v>#N/A</v>
      </c>
      <c r="FA193" s="712"/>
      <c r="FB193" s="712"/>
      <c r="FC193" s="712"/>
      <c r="FD193" s="712"/>
      <c r="FE193" s="712">
        <f>O193+Sheet1!CO193</f>
        <v>7680.3999999999942</v>
      </c>
      <c r="FF193" s="712">
        <f>IF(Sheet1!AA193+AG193&lt;=Calculation!N193,AG193,Calculation!N193-Sheet1!AA193)</f>
        <v>14.777149777953751</v>
      </c>
      <c r="FG193" s="712">
        <f>(Sheet1!BP193+Sheet1!BO193)/694.4</f>
        <v>3.497983870967742</v>
      </c>
      <c r="FH193" s="712"/>
      <c r="FI193" s="712"/>
      <c r="FJ193" s="712"/>
      <c r="FK193" s="712"/>
      <c r="FL193" s="714">
        <f t="shared" si="632"/>
        <v>40753</v>
      </c>
      <c r="FM193" s="714">
        <f t="shared" si="633"/>
        <v>40851</v>
      </c>
      <c r="FN193" s="712"/>
      <c r="FO193" s="712"/>
      <c r="FP193" s="712"/>
      <c r="FQ193" s="712"/>
      <c r="FR193" s="712"/>
      <c r="FS193" s="725">
        <f t="shared" si="634"/>
        <v>40603</v>
      </c>
      <c r="FT193" s="714">
        <f t="shared" si="635"/>
        <v>40709</v>
      </c>
      <c r="FU193" s="712">
        <f t="shared" si="636"/>
        <v>6518.9048239895692</v>
      </c>
      <c r="FV193" s="714">
        <f t="shared" si="637"/>
        <v>40722</v>
      </c>
      <c r="FW193" s="712">
        <f t="shared" si="638"/>
        <v>3259.4524119947846</v>
      </c>
      <c r="FX193" s="725">
        <f t="shared" si="639"/>
        <v>40851</v>
      </c>
      <c r="FZ193" s="697">
        <f t="shared" si="616"/>
        <v>0</v>
      </c>
      <c r="GA193" s="712" t="str">
        <f t="shared" si="701"/>
        <v/>
      </c>
      <c r="GB193" s="712">
        <f t="shared" si="702"/>
        <v>0</v>
      </c>
      <c r="GC193" s="712" t="str">
        <f t="shared" si="703"/>
        <v/>
      </c>
      <c r="GD193" s="712">
        <f>IF(GA193="P",Lookup!$M$12,IF(GA193="PP",Lookup!$M$13,IF(GA193="PPP",Lookup!$M$14,IF(GA193="T",Lookup!$M$15,IF(GA193="TP",Lookup!$M$16,IF(GA193="TPP",Lookup!$M$17,IF(GA193="TPPP",Lookup!$M$18,0)))))))*FZ193</f>
        <v>0</v>
      </c>
      <c r="GE193" s="712">
        <f t="shared" si="704"/>
        <v>0</v>
      </c>
      <c r="GF193" s="712">
        <f t="shared" si="705"/>
        <v>4166.6666666666661</v>
      </c>
      <c r="GG193" s="712">
        <f t="shared" si="706"/>
        <v>1358.1051716644936</v>
      </c>
      <c r="GH193" s="712"/>
      <c r="GI193" s="712">
        <f t="shared" si="707"/>
        <v>0</v>
      </c>
      <c r="GJ193" s="712" t="str">
        <f t="shared" si="708"/>
        <v/>
      </c>
      <c r="GK193" s="712">
        <f>IF(GA193="P",Lookup!$N$12,IF(GA193="PP",Lookup!$N$13,IF(GA193="PPP",Lookup!$N$14,IF(GA193="T",Lookup!$N$15,IF(GA193="TP",Lookup!$N$16,IF(GA193="TPP",Lookup!$N$17,IF(GA193="TPPP",Lookup!$N$18,0)))))))*FZ193</f>
        <v>0</v>
      </c>
      <c r="GL193" s="712">
        <f t="shared" si="709"/>
        <v>0</v>
      </c>
      <c r="GM193" s="712">
        <f t="shared" si="710"/>
        <v>1944.4444444444441</v>
      </c>
      <c r="GN193" s="712">
        <f t="shared" si="711"/>
        <v>633.7824134434303</v>
      </c>
      <c r="GO193" s="712"/>
      <c r="GP193" s="712">
        <f t="shared" si="712"/>
        <v>0</v>
      </c>
      <c r="GQ193" s="712" t="str">
        <f t="shared" si="713"/>
        <v/>
      </c>
      <c r="GR193" s="712">
        <f>IF(GA193="P",Lookup!$N$12,IF(GA193="PP",Lookup!$N$13,IF(GA193="PPP",Lookup!$N$14,IF(GA193="T",Lookup!$N$15,IF(GA193="TP",Lookup!$N$16,IF(GA193="TPP",Lookup!$N$17,IF(GA193="TPPP",Lookup!$N$18,0)))))))*FZ193</f>
        <v>0</v>
      </c>
      <c r="GS193" s="697">
        <f t="shared" si="628"/>
        <v>0</v>
      </c>
      <c r="GT193" s="712">
        <f t="shared" si="714"/>
        <v>1944.4444444444441</v>
      </c>
      <c r="GU193" s="712">
        <f t="shared" si="715"/>
        <v>633.7824134434303</v>
      </c>
      <c r="GV193" s="712"/>
      <c r="GW193" s="712">
        <f t="shared" si="716"/>
        <v>0</v>
      </c>
      <c r="GX193" s="712" t="str">
        <f t="shared" si="717"/>
        <v/>
      </c>
      <c r="GY193" s="712">
        <f>IF(GA193="P",Lookup!$N$12,IF(GA193="PP",Lookup!$N$13,IF(GA193="PPP",Lookup!$N$14,IF(GA193="T",Lookup!$N$15,IF(GA193="TP",Lookup!$N$16,IF(GA193="TPP",Lookup!$N$17,IF(GA193="TPPP",Lookup!$N$18,0)))))))*FZ193</f>
        <v>0</v>
      </c>
      <c r="GZ193" s="697">
        <f t="shared" si="629"/>
        <v>0</v>
      </c>
      <c r="HA193" s="712">
        <f t="shared" si="718"/>
        <v>1944.4444444444441</v>
      </c>
      <c r="HB193" s="712">
        <f t="shared" si="719"/>
        <v>633.7824134434303</v>
      </c>
      <c r="HC193" s="712"/>
    </row>
    <row r="194" spans="1:211">
      <c r="A194" s="773" t="s">
        <v>6</v>
      </c>
      <c r="B194" s="708">
        <v>40723</v>
      </c>
      <c r="C194" s="709">
        <v>0.5</v>
      </c>
      <c r="D194" s="675">
        <f t="shared" si="641"/>
        <v>300</v>
      </c>
      <c r="E194" s="675">
        <f t="shared" si="642"/>
        <v>250</v>
      </c>
      <c r="F194" s="675">
        <v>250</v>
      </c>
      <c r="G194" s="712">
        <f>DH194+Sheet1!CV194</f>
        <v>1036.4515117636631</v>
      </c>
      <c r="H194" s="712">
        <f t="shared" si="643"/>
        <v>402.99905720403183</v>
      </c>
      <c r="I194" s="711">
        <f>MAX(Sheet1!Z194-AJ194+(Sheet1!CW194-E194)*CFStoMGD,0)</f>
        <v>669.81220885479479</v>
      </c>
      <c r="J194" s="720">
        <f>IF(AND(B194&gt;=Calculation!FS194,B194&lt;=Calculation!FT194),IF(Sheet1!CX194&gt;=Calculation!D194,64.64,0),MAX(Sheet1!Z194-AJ194+(Sheet1!CX194-D194)*CFStoMGD,0))</f>
        <v>377.61920885479492</v>
      </c>
      <c r="K194" s="697">
        <f t="shared" si="644"/>
        <v>64.64</v>
      </c>
      <c r="L194" s="712">
        <f>Sheet1!AA194+Sheet1!AB194-Sheet1!L194+(Sheet1!CW194-F194)*CFStoMGD</f>
        <v>718.07066666666219</v>
      </c>
      <c r="M194" s="712">
        <f t="shared" si="645"/>
        <v>683.36150234811248</v>
      </c>
      <c r="N194" s="712">
        <f>IF(Sheet1!CW194&gt;=F194,MIN(73,MIN(MAX(L194,0),MAX(M194,0))),0)</f>
        <v>73</v>
      </c>
      <c r="O194" s="721">
        <f>Sheet1!AA194+Sheet1!AB194</f>
        <v>57.799999999995634</v>
      </c>
      <c r="P194" s="721">
        <f t="shared" si="646"/>
        <v>89.416599999993252</v>
      </c>
      <c r="Q194" s="712">
        <f>MIN(N194,Sheet1!AA194+AG194)</f>
        <v>47.758457811863053</v>
      </c>
      <c r="R194" s="712">
        <f t="shared" si="647"/>
        <v>11</v>
      </c>
      <c r="S194" s="721">
        <f>Sheet1!Y194*MGDtoCFS</f>
        <v>51.979199999999999</v>
      </c>
      <c r="T194" s="721">
        <f>Sheet1!Z194*MGDtoCFS</f>
        <v>37.437399999999997</v>
      </c>
      <c r="U194" s="721">
        <f>Sheet1!AA194*MGDtoCFS</f>
        <v>51.205699999986493</v>
      </c>
      <c r="V194" s="721">
        <f>Sheet1!AB194*MGDtoCFS</f>
        <v>38.210900000006752</v>
      </c>
      <c r="W194" s="721">
        <f>Sheet1!L194*MGDtoCFS</f>
        <v>0</v>
      </c>
      <c r="X194" s="697">
        <f t="shared" si="648"/>
        <v>0</v>
      </c>
      <c r="Y194" s="712">
        <f t="shared" si="649"/>
        <v>0</v>
      </c>
      <c r="Z194" s="712">
        <f t="shared" si="650"/>
        <v>0</v>
      </c>
      <c r="AA194" s="712">
        <f t="shared" si="651"/>
        <v>0</v>
      </c>
      <c r="AB194" s="712">
        <f>(VLOOKUP(Sheet1!CY194,hhdcap_wcm,4)-(((VLOOKUP(Sheet1!CY194,hhdcap_wcm,3)-Sheet1!CY194)/(VLOOKUP(Sheet1!CY194,hhdcap_wcm,3)-VLOOKUP(Sheet1!CY194,hhdcap_wcm,1)))*(VLOOKUP(Sheet1!CY194,hhdcap_wcm,4)-VLOOKUP(Sheet1!CY194,hhdcap_wcm,2))))</f>
        <v>50476.760000119029</v>
      </c>
      <c r="AC194" s="712">
        <f t="shared" si="652"/>
        <v>124.10000000125729</v>
      </c>
      <c r="AD194" s="712">
        <f t="shared" si="653"/>
        <v>3259.4524119947846</v>
      </c>
      <c r="AE194" s="712">
        <f t="shared" si="654"/>
        <v>10000</v>
      </c>
      <c r="AF194" s="712">
        <f>Sheet1!BA194+Sheet1!BB194+Sheet1!BN194+BT194</f>
        <v>14.7</v>
      </c>
      <c r="AG194" s="712">
        <f t="shared" si="655"/>
        <v>14.658457811871786</v>
      </c>
      <c r="AH194" s="712">
        <f>Sheet1!BA194+BT194</f>
        <v>0</v>
      </c>
      <c r="AI194" s="712">
        <f>Sheet1!BA194+Sheet1!BB194+BT194</f>
        <v>0</v>
      </c>
      <c r="AJ194" s="712">
        <f>IF((Sheet1!AA194+AG194+AX194+AZ194+BQ194+BS194+CL194+CN194)&lt;=N194,AG194+AX194+AZ194+BQ194+BS194+CL194+CN194,N194-Sheet1!AA194)</f>
        <v>14.658457811871786</v>
      </c>
      <c r="AK194" s="712">
        <f>IF(DR194&lt;K194,0,MAX(Sheet1!AA194+AG194-15/36*K194-N194,Sheet1!ED194,0))</f>
        <v>0</v>
      </c>
      <c r="AL194" s="712">
        <f>IF(OR(B194&gt;=FT194,B194&lt;FS194),0,15/36*K194-MAX(0,64.6-(137.6-(Sheet1!AA194+Sheet1!AB194))))</f>
        <v>0</v>
      </c>
      <c r="AM194" s="712">
        <f>Sheet1!CX194-110</f>
        <v>759.42708333333337</v>
      </c>
      <c r="AN194" s="712">
        <f>Sheet1!CW194-265</f>
        <v>1006.4583333333333</v>
      </c>
      <c r="AO194" s="712">
        <f t="shared" si="622"/>
        <v>25.241542188136947</v>
      </c>
      <c r="AP194" s="712">
        <f t="shared" si="656"/>
        <v>0</v>
      </c>
      <c r="AQ194" s="712">
        <f t="shared" si="657"/>
        <v>0</v>
      </c>
      <c r="AR194" s="712">
        <f t="shared" si="658"/>
        <v>1358.1051716644936</v>
      </c>
      <c r="AS194" s="712"/>
      <c r="AT194" s="712">
        <f ca="1">IF(B194&gt;Summary!$A$1,#N/A,AR194*MGtoAF)</f>
        <v>4166.6666666666661</v>
      </c>
      <c r="AU194" s="712">
        <f>Sheet1!BG194+Sheet1!BH194+Sheet1!BI194-BC194</f>
        <v>0</v>
      </c>
      <c r="AV194" s="712">
        <f t="shared" si="659"/>
        <v>0</v>
      </c>
      <c r="AW194" s="712">
        <f>IF(Sheet1!EL194="FM",BC194,0)</f>
        <v>0</v>
      </c>
      <c r="AX194" s="712">
        <f t="shared" si="660"/>
        <v>0</v>
      </c>
      <c r="AY194" s="712">
        <f>IF(Sheet1!EL194="OTHER",BC194,0)</f>
        <v>0</v>
      </c>
      <c r="AZ194" s="712">
        <f t="shared" si="661"/>
        <v>0</v>
      </c>
      <c r="BA194" s="712">
        <f t="shared" si="662"/>
        <v>0</v>
      </c>
      <c r="BB194" s="712">
        <f t="shared" si="663"/>
        <v>0</v>
      </c>
      <c r="BC194" s="712">
        <f>IF(OR(Sheet1!EL194="FM", Sheet1!EL194="OTHER"),SUM(Sheet1!BG194:'Sheet1'!BI194),0)</f>
        <v>0</v>
      </c>
      <c r="BD194" s="697">
        <f>IF(AND($B194&gt;=$FL194,$B194&lt;=$FM194),MAX(AV194,Sheet1!EE194,0),MAX(AV194-(7/36)*$K194,0))</f>
        <v>0</v>
      </c>
      <c r="BE194" s="712">
        <f t="shared" si="664"/>
        <v>0</v>
      </c>
      <c r="BF194" s="697">
        <f t="shared" si="665"/>
        <v>0</v>
      </c>
      <c r="BG194" s="697">
        <f>IF(AND($O194&gt;0,Sheet1!EI194=1),(1-($O194-Sheet1!$L194)/$O194)*BB194,0)</f>
        <v>0</v>
      </c>
      <c r="BH194" s="697">
        <f>IF(AND(Sheet1!$L194=0,Sheet1!$L193=0, Calculation!BA194&lt;Sheet1!$EE194-0.1,Sheet1!$EE194=Sheet1!$EE193,Sheet1!$EE194=Sheet1!$EE195),Sheet1!$EE194,BB194-BG194)</f>
        <v>1</v>
      </c>
      <c r="BI194" s="712"/>
      <c r="BJ194" s="712"/>
      <c r="BK194" s="712">
        <f t="shared" si="666"/>
        <v>633.7824134434303</v>
      </c>
      <c r="BL194" s="712"/>
      <c r="BM194" s="712">
        <f ca="1">IF(B194&gt;Summary!$A$1,#N/A,BK194*MGtoAF)</f>
        <v>1944.4444444444441</v>
      </c>
      <c r="BN194" s="712">
        <f>Sheet1!BC194+Sheet1!BD194+Sheet1!BE194+Sheet1!BF194-BW194-BX194</f>
        <v>2.52</v>
      </c>
      <c r="BO194" s="712">
        <f t="shared" si="667"/>
        <v>2.5128784820351635</v>
      </c>
      <c r="BP194" s="712">
        <f>IF(Sheet1!EM194="FM",BX194,0)</f>
        <v>0</v>
      </c>
      <c r="BQ194" s="712">
        <f t="shared" si="668"/>
        <v>0</v>
      </c>
      <c r="BR194" s="712">
        <f>IF(Sheet1!EM194="OTHER",BX194,0)</f>
        <v>0</v>
      </c>
      <c r="BS194" s="712">
        <f t="shared" si="669"/>
        <v>0</v>
      </c>
      <c r="BT194" s="712">
        <f t="shared" si="670"/>
        <v>0</v>
      </c>
      <c r="BU194" s="712">
        <f t="shared" si="671"/>
        <v>2.52</v>
      </c>
      <c r="BV194" s="712">
        <f t="shared" si="672"/>
        <v>2.5128784820351635</v>
      </c>
      <c r="BW194" s="712">
        <f>IF(Sheet1!EM194="CWA",SUM(Sheet1!BC194:'Sheet1'!BF194),0)</f>
        <v>0</v>
      </c>
      <c r="BX194" s="712">
        <f>IF(OR(Sheet1!EM194="FM", Sheet1!EM194="OTHER"),SUM(Sheet1!BC194:'Sheet1'!BF194),0)</f>
        <v>0</v>
      </c>
      <c r="BY194" s="697">
        <f>IF(AND($B194&gt;=$FL194,$B194&lt;=$FM194),MAX(BV194,Sheet1!EF194,0),MAX(BV194-(7/36)*$K194,0))</f>
        <v>0</v>
      </c>
      <c r="BZ194" s="712">
        <f t="shared" si="673"/>
        <v>0</v>
      </c>
      <c r="CA194" s="697">
        <f t="shared" si="674"/>
        <v>2.5128784820351635</v>
      </c>
      <c r="CB194" s="697">
        <f>IF(AND($O194&gt;0,Sheet1!EJ194=1),(1-($O194-Sheet1!$L194)/$O194)*BV194,0)</f>
        <v>0</v>
      </c>
      <c r="CC194" s="697">
        <f>IF(AND(Sheet1!$L194=0,Sheet1!$L193=0, Calculation!BU194&lt;Sheet1!EF194-0.1,Sheet1!EF194=Sheet1!EF193,Sheet1!EF194=Sheet1!EF195),Sheet1!EF194,BV194-CB194)</f>
        <v>2.5128784820351635</v>
      </c>
      <c r="CD194" s="697"/>
      <c r="CE194" s="712"/>
      <c r="CF194" s="712">
        <f t="shared" si="675"/>
        <v>633.7824134434303</v>
      </c>
      <c r="CG194" s="712"/>
      <c r="CH194" s="712">
        <f ca="1">IF(B194&gt;Summary!$A$1,#N/A,CF194*MGtoAF)</f>
        <v>1944.4444444444441</v>
      </c>
      <c r="CI194" s="712">
        <f>Sheet1!BK194+Sheet1!BL194+Sheet1!BM194-Sheet1!EN194-CQ194</f>
        <v>7.55</v>
      </c>
      <c r="CJ194" s="712">
        <f t="shared" si="676"/>
        <v>7.5286637060974142</v>
      </c>
      <c r="CK194" s="712">
        <f>IF(Sheet1!EN194="FM",CQ194,0)</f>
        <v>0</v>
      </c>
      <c r="CL194" s="712">
        <f t="shared" si="677"/>
        <v>0</v>
      </c>
      <c r="CM194" s="712">
        <f>IF(Sheet1!EN194="OTHER",CQ194,0)</f>
        <v>0</v>
      </c>
      <c r="CN194" s="712">
        <f t="shared" si="678"/>
        <v>0</v>
      </c>
      <c r="CO194" s="712">
        <f t="shared" si="679"/>
        <v>7.55</v>
      </c>
      <c r="CP194" s="712">
        <f t="shared" si="680"/>
        <v>7.5286637060974142</v>
      </c>
      <c r="CQ194" s="712">
        <f>IF(OR(Sheet1!EN194="FM", Sheet1!EN194="OTHER"),SUM(Sheet1!BK194:'Sheet1'!BM194),0)</f>
        <v>0</v>
      </c>
      <c r="CR194" s="697">
        <f>IF(AND($B194&gt;=$FL194,$B194&lt;=$FM194),MAX($CJ194,Sheet1!EG194,0),MAX($CJ194-(7/36)*$K194,0))</f>
        <v>0</v>
      </c>
      <c r="CS194" s="712">
        <f t="shared" si="681"/>
        <v>0</v>
      </c>
      <c r="CT194" s="697">
        <f t="shared" si="682"/>
        <v>7.5286637060974142</v>
      </c>
      <c r="CU194" s="697">
        <f>IF(AND($O194&gt;0,Sheet1!EK194=1),(1-($O194-Sheet1!$L194)/$O194)*CP194,0)</f>
        <v>0</v>
      </c>
      <c r="CV194" s="697">
        <f>IF(AND(Sheet1!$L194=0,Sheet1!$L193=0, Calculation!CO194&lt;Sheet1!$EG194-0.1,Sheet1!$EG194=Sheet1!$EG193,Sheet1!$EG194=Sheet1!$EG195),Sheet1!$EG194,CP194-CU194)</f>
        <v>7.5286637060974142</v>
      </c>
      <c r="CW194" s="697">
        <f t="shared" si="613"/>
        <v>0</v>
      </c>
      <c r="CX194" s="712">
        <f t="shared" si="683"/>
        <v>10.07</v>
      </c>
      <c r="CY194" s="712">
        <f t="shared" si="684"/>
        <v>633.7824134434303</v>
      </c>
      <c r="CZ194" s="712">
        <f t="shared" si="685"/>
        <v>10.041542188132578</v>
      </c>
      <c r="DA194" s="712">
        <f ca="1">IF(B194&gt;Summary!$A$1,#N/A,CY194*MGtoAF)</f>
        <v>1944.4444444444441</v>
      </c>
      <c r="DB194" s="712">
        <f t="shared" si="686"/>
        <v>10.07</v>
      </c>
      <c r="DC194" s="712">
        <f t="shared" si="687"/>
        <v>24.77</v>
      </c>
      <c r="DD194" s="712">
        <f>Sheet1!AB194-DC194</f>
        <v>-6.9999999995633999E-2</v>
      </c>
      <c r="DE194" s="712">
        <f t="shared" si="688"/>
        <v>-2.8259991923953978E-3</v>
      </c>
      <c r="DF194" s="712">
        <f>(VLOOKUP(Sheet1!CY194,hhdcap_wcm,4)-(((VLOOKUP(Sheet1!CY194,hhdcap_wcm,3)-Sheet1!CY194)/(VLOOKUP(Sheet1!CY194,hhdcap_wcm,3)-VLOOKUP(Sheet1!CY194,hhdcap_wcm,1)))*(VLOOKUP(Sheet1!CY194,hhdcap_wcm,4)-VLOOKUP(Sheet1!CY194,hhdcap_wcm,2))))</f>
        <v>50476.760000119029</v>
      </c>
      <c r="DG194" s="712">
        <f t="shared" si="689"/>
        <v>124.10000000125729</v>
      </c>
      <c r="DH194" s="712">
        <f t="shared" si="690"/>
        <v>62.581946546271944</v>
      </c>
      <c r="DI194" s="712">
        <f>Sheet1!DW194*AFtoMG</f>
        <v>0</v>
      </c>
      <c r="DJ194" s="712">
        <f>Sheet1!DX194*AFtoMG</f>
        <v>0</v>
      </c>
      <c r="DK194" s="712">
        <f>Sheet1!DY194*AFtoMG</f>
        <v>0</v>
      </c>
      <c r="DL194" s="712">
        <f>Sheet1!DZ194*AFtoMG</f>
        <v>0</v>
      </c>
      <c r="DM194" s="712">
        <f t="shared" si="691"/>
        <v>0</v>
      </c>
      <c r="DN194" s="712">
        <f t="shared" si="692"/>
        <v>0</v>
      </c>
      <c r="DO194" s="712">
        <f t="shared" si="693"/>
        <v>3259.4524119947846</v>
      </c>
      <c r="DP194" s="712">
        <f t="shared" si="694"/>
        <v>10000</v>
      </c>
      <c r="DQ194" s="712"/>
      <c r="DR194" s="697">
        <f>IF(OR(B194&lt;FL194,B194&gt;FM194),(MIN(AV194+BO194+CJ194+MAX(Sheet1!AA194+AG194-73,0),K194)),0)</f>
        <v>10.041542188132578</v>
      </c>
      <c r="DS194" s="712"/>
      <c r="DT194" s="712">
        <f t="shared" si="695"/>
        <v>10.041542188132578</v>
      </c>
      <c r="DU194" s="712"/>
      <c r="DV194" s="712">
        <f>Sheet1!ED194+Sheet1!EE194+Sheet1!EF194+Sheet1!EG194</f>
        <v>11</v>
      </c>
      <c r="DW194" s="712"/>
      <c r="DX194" s="697">
        <f t="shared" si="696"/>
        <v>0</v>
      </c>
      <c r="DY194" s="712">
        <f>IF(Sheet1!FN194=1,SUM('Calculations II'!AT194:BA194)+'Calculations II'!BC194+Sheet1!BU194+'Calculations II'!BE194+AF194,SUM('Calculations II'!AT194:BA194)+'Calculations II'!BC194+Sheet1!BU194+'Calculations II'!BE194+AF194)</f>
        <v>54.837711999999996</v>
      </c>
      <c r="DZ194" s="712">
        <f>Sheet1!AA194+Sheet1!AB194+'Calculations II'!BC194</f>
        <v>68.627791999995637</v>
      </c>
      <c r="EA194" s="712"/>
      <c r="EB194" s="712"/>
      <c r="EC194" s="712">
        <f t="shared" si="697"/>
        <v>40723</v>
      </c>
      <c r="ED194" s="712">
        <f t="shared" si="698"/>
        <v>0</v>
      </c>
      <c r="EE194" s="712">
        <f t="shared" si="699"/>
        <v>0</v>
      </c>
      <c r="EF194" s="712">
        <f>-(VLOOKUP(Sheet1!BQ194,Lookup!$B$4:$J$236,2)-VLOOKUP(Sheet1!BQ193,Lookup!$B$4:$J$236,2))/1000000</f>
        <v>-1.3591</v>
      </c>
      <c r="EG194" s="712">
        <f>-(VLOOKUP(Sheet1!BR194,Lookup!$B$4:$J$236,3)-VLOOKUP(Sheet1!BR193,Lookup!$B$4:$J$236,3))/1000000</f>
        <v>-1.3568</v>
      </c>
      <c r="EH194" s="712">
        <f>-(VLOOKUP(Sheet1!BS194,Lookup!$B$4:$J$236,4)-VLOOKUP(Sheet1!BS193,Lookup!$B$4:$J$236,4))/1000000</f>
        <v>0</v>
      </c>
      <c r="EI194" s="697">
        <f t="shared" si="700"/>
        <v>-2.7159</v>
      </c>
      <c r="EJ194" s="712"/>
      <c r="EK194" s="712"/>
      <c r="EL194" s="712"/>
      <c r="EM194" s="712"/>
      <c r="EN194" s="712"/>
      <c r="EO194" s="712"/>
      <c r="EP194" s="712"/>
      <c r="EQ194" s="712"/>
      <c r="ES194" s="712"/>
      <c r="ET194" s="794" t="e">
        <f t="shared" si="720"/>
        <v>#N/A</v>
      </c>
      <c r="EU194" s="800">
        <v>15000</v>
      </c>
      <c r="EV194" s="795">
        <f t="shared" si="640"/>
        <v>24256.760000119029</v>
      </c>
      <c r="EW194" s="796" t="s">
        <v>757</v>
      </c>
      <c r="EX194" s="796" t="s">
        <v>757</v>
      </c>
      <c r="EY194" s="794">
        <v>0</v>
      </c>
      <c r="EZ194" s="794" t="e">
        <v>#N/A</v>
      </c>
      <c r="FA194" s="712"/>
      <c r="FB194" s="712"/>
      <c r="FC194" s="712"/>
      <c r="FD194" s="712"/>
      <c r="FE194" s="712">
        <f>O194+Sheet1!CO194</f>
        <v>7577.0999999999958</v>
      </c>
      <c r="FF194" s="712">
        <f>IF(Sheet1!AA194+AG194&lt;=Calculation!N194,AG194,Calculation!N194-Sheet1!AA194)</f>
        <v>14.658457811871786</v>
      </c>
      <c r="FG194" s="712">
        <f>(Sheet1!BP194+Sheet1!BO194)/694.4</f>
        <v>2.572004608294931</v>
      </c>
      <c r="FH194" s="712"/>
      <c r="FI194" s="712"/>
      <c r="FJ194" s="712"/>
      <c r="FK194" s="712"/>
      <c r="FL194" s="714">
        <f t="shared" si="632"/>
        <v>40753</v>
      </c>
      <c r="FM194" s="714">
        <f t="shared" si="633"/>
        <v>40851</v>
      </c>
      <c r="FN194" s="712"/>
      <c r="FO194" s="712"/>
      <c r="FP194" s="712"/>
      <c r="FQ194" s="712"/>
      <c r="FR194" s="712"/>
      <c r="FS194" s="725">
        <f t="shared" si="634"/>
        <v>40603</v>
      </c>
      <c r="FT194" s="714">
        <f t="shared" si="635"/>
        <v>40709</v>
      </c>
      <c r="FU194" s="712">
        <f t="shared" si="636"/>
        <v>6518.9048239895692</v>
      </c>
      <c r="FV194" s="714">
        <f t="shared" si="637"/>
        <v>40722</v>
      </c>
      <c r="FW194" s="712">
        <f t="shared" si="638"/>
        <v>3259.4524119947846</v>
      </c>
      <c r="FX194" s="725">
        <f t="shared" si="639"/>
        <v>40851</v>
      </c>
      <c r="FZ194" s="697">
        <f t="shared" si="616"/>
        <v>0</v>
      </c>
      <c r="GA194" s="712" t="str">
        <f t="shared" si="701"/>
        <v/>
      </c>
      <c r="GB194" s="712">
        <f t="shared" si="702"/>
        <v>0</v>
      </c>
      <c r="GC194" s="712" t="str">
        <f t="shared" si="703"/>
        <v/>
      </c>
      <c r="GD194" s="712">
        <f>IF(GA194="P",Lookup!$M$12,IF(GA194="PP",Lookup!$M$13,IF(GA194="PPP",Lookup!$M$14,IF(GA194="T",Lookup!$M$15,IF(GA194="TP",Lookup!$M$16,IF(GA194="TPP",Lookup!$M$17,IF(GA194="TPPP",Lookup!$M$18,0)))))))*FZ194</f>
        <v>0</v>
      </c>
      <c r="GE194" s="712">
        <f t="shared" si="704"/>
        <v>0</v>
      </c>
      <c r="GF194" s="712">
        <f t="shared" si="705"/>
        <v>4166.6666666666661</v>
      </c>
      <c r="GG194" s="712">
        <f t="shared" si="706"/>
        <v>1358.1051716644936</v>
      </c>
      <c r="GH194" s="712"/>
      <c r="GI194" s="712">
        <f t="shared" si="707"/>
        <v>0</v>
      </c>
      <c r="GJ194" s="712" t="str">
        <f t="shared" si="708"/>
        <v/>
      </c>
      <c r="GK194" s="712">
        <f>IF(GA194="P",Lookup!$N$12,IF(GA194="PP",Lookup!$N$13,IF(GA194="PPP",Lookup!$N$14,IF(GA194="T",Lookup!$N$15,IF(GA194="TP",Lookup!$N$16,IF(GA194="TPP",Lookup!$N$17,IF(GA194="TPPP",Lookup!$N$18,0)))))))*FZ194</f>
        <v>0</v>
      </c>
      <c r="GL194" s="712">
        <f t="shared" si="709"/>
        <v>0</v>
      </c>
      <c r="GM194" s="712">
        <f t="shared" si="710"/>
        <v>1944.4444444444441</v>
      </c>
      <c r="GN194" s="712">
        <f t="shared" si="711"/>
        <v>633.7824134434303</v>
      </c>
      <c r="GO194" s="712"/>
      <c r="GP194" s="712">
        <f t="shared" si="712"/>
        <v>0</v>
      </c>
      <c r="GQ194" s="712" t="str">
        <f t="shared" si="713"/>
        <v/>
      </c>
      <c r="GR194" s="712">
        <f>IF(GA194="P",Lookup!$N$12,IF(GA194="PP",Lookup!$N$13,IF(GA194="PPP",Lookup!$N$14,IF(GA194="T",Lookup!$N$15,IF(GA194="TP",Lookup!$N$16,IF(GA194="TPP",Lookup!$N$17,IF(GA194="TPPP",Lookup!$N$18,0)))))))*FZ194</f>
        <v>0</v>
      </c>
      <c r="GS194" s="697">
        <f t="shared" si="628"/>
        <v>0</v>
      </c>
      <c r="GT194" s="712">
        <f t="shared" si="714"/>
        <v>1944.4444444444441</v>
      </c>
      <c r="GU194" s="712">
        <f t="shared" si="715"/>
        <v>633.7824134434303</v>
      </c>
      <c r="GV194" s="712"/>
      <c r="GW194" s="712">
        <f t="shared" si="716"/>
        <v>0</v>
      </c>
      <c r="GX194" s="712" t="str">
        <f t="shared" si="717"/>
        <v/>
      </c>
      <c r="GY194" s="712">
        <f>IF(GA194="P",Lookup!$N$12,IF(GA194="PP",Lookup!$N$13,IF(GA194="PPP",Lookup!$N$14,IF(GA194="T",Lookup!$N$15,IF(GA194="TP",Lookup!$N$16,IF(GA194="TPP",Lookup!$N$17,IF(GA194="TPPP",Lookup!$N$18,0)))))))*FZ194</f>
        <v>0</v>
      </c>
      <c r="GZ194" s="697">
        <f t="shared" si="629"/>
        <v>0</v>
      </c>
      <c r="HA194" s="712">
        <f t="shared" si="718"/>
        <v>1944.4444444444441</v>
      </c>
      <c r="HB194" s="712">
        <f t="shared" si="719"/>
        <v>633.7824134434303</v>
      </c>
      <c r="HC194" s="712"/>
    </row>
    <row r="195" spans="1:211">
      <c r="A195" s="773" t="s">
        <v>7</v>
      </c>
      <c r="B195" s="708">
        <v>40724</v>
      </c>
      <c r="C195" s="719">
        <v>0.5</v>
      </c>
      <c r="D195" s="675">
        <f t="shared" si="641"/>
        <v>300</v>
      </c>
      <c r="E195" s="675">
        <f t="shared" si="642"/>
        <v>250</v>
      </c>
      <c r="F195" s="675">
        <v>250</v>
      </c>
      <c r="G195" s="712">
        <f>DH195+Sheet1!CV195</f>
        <v>1077.7050143605677</v>
      </c>
      <c r="H195" s="712">
        <f t="shared" si="643"/>
        <v>429.66532128267096</v>
      </c>
      <c r="I195" s="711">
        <f>MAX(Sheet1!Z195-AJ195+(Sheet1!CW195-E195)*CFStoMGD,0)</f>
        <v>740.21614216478281</v>
      </c>
      <c r="J195" s="720">
        <f>IF(AND(B195&gt;=Calculation!FS195,B195&lt;=Calculation!FT195),IF(Sheet1!CX195&gt;=Calculation!D195,64.64,0),MAX(Sheet1!Z195-AJ195+(Sheet1!CX195-D195)*CFStoMGD,0))</f>
        <v>475.16520883144949</v>
      </c>
      <c r="K195" s="697">
        <f t="shared" si="644"/>
        <v>64.64</v>
      </c>
      <c r="L195" s="712">
        <f>Sheet1!AA195+Sheet1!AB195-Sheet1!L195+(Sheet1!CW195-F195)*CFStoMGD</f>
        <v>789.33800000000497</v>
      </c>
      <c r="M195" s="712">
        <f t="shared" si="645"/>
        <v>710.5610917083244</v>
      </c>
      <c r="N195" s="712">
        <f>IF(Sheet1!CW195&gt;=F195,MIN(73,MIN(MAX(L195,0),MAX(M195,0))),0)</f>
        <v>73</v>
      </c>
      <c r="O195" s="721">
        <f>Sheet1!AA195+Sheet1!AB195</f>
        <v>59.310000000004948</v>
      </c>
      <c r="P195" s="721">
        <f t="shared" si="646"/>
        <v>91.752570000007651</v>
      </c>
      <c r="Q195" s="712">
        <f>MIN(N195,Sheet1!AA195+AG195)</f>
        <v>49.111857835223631</v>
      </c>
      <c r="R195" s="712">
        <f t="shared" si="647"/>
        <v>11</v>
      </c>
      <c r="S195" s="721">
        <f>Sheet1!Y195*MGDtoCFS</f>
        <v>52.180309999999992</v>
      </c>
      <c r="T195" s="721">
        <f>Sheet1!Z195*MGDtoCFS</f>
        <v>38.814229999999995</v>
      </c>
      <c r="U195" s="721">
        <f>Sheet1!AA195*MGDtoCFS</f>
        <v>52.922870000009901</v>
      </c>
      <c r="V195" s="721">
        <f>Sheet1!AB195*MGDtoCFS</f>
        <v>38.82969999999775</v>
      </c>
      <c r="W195" s="721">
        <f>Sheet1!L195*MGDtoCFS</f>
        <v>0</v>
      </c>
      <c r="X195" s="697">
        <f t="shared" si="648"/>
        <v>0</v>
      </c>
      <c r="Y195" s="712">
        <f t="shared" si="649"/>
        <v>0</v>
      </c>
      <c r="Z195" s="712">
        <f t="shared" si="650"/>
        <v>0</v>
      </c>
      <c r="AA195" s="712">
        <f t="shared" si="651"/>
        <v>0</v>
      </c>
      <c r="AB195" s="712">
        <f>(VLOOKUP(Sheet1!CY195,hhdcap_wcm,4)-(((VLOOKUP(Sheet1!CY195,hhdcap_wcm,3)-Sheet1!CY195)/(VLOOKUP(Sheet1!CY195,hhdcap_wcm,3)-VLOOKUP(Sheet1!CY195,hhdcap_wcm,1)))*(VLOOKUP(Sheet1!CY195,hhdcap_wcm,4)-VLOOKUP(Sheet1!CY195,hhdcap_wcm,2))))</f>
        <v>50363.920000117774</v>
      </c>
      <c r="AC195" s="712">
        <f t="shared" si="652"/>
        <v>-112.84000000125525</v>
      </c>
      <c r="AD195" s="712">
        <f t="shared" si="653"/>
        <v>3259.4524119947846</v>
      </c>
      <c r="AE195" s="712">
        <f t="shared" si="654"/>
        <v>10000</v>
      </c>
      <c r="AF195" s="712">
        <f>Sheet1!BA195+Sheet1!BB195+Sheet1!BN195+BT195</f>
        <v>14.7</v>
      </c>
      <c r="AG195" s="712">
        <f t="shared" si="655"/>
        <v>14.90185783521723</v>
      </c>
      <c r="AH195" s="712">
        <f>Sheet1!BA195+BT195</f>
        <v>0</v>
      </c>
      <c r="AI195" s="712">
        <f>Sheet1!BA195+Sheet1!BB195+BT195</f>
        <v>0</v>
      </c>
      <c r="AJ195" s="712">
        <f>IF((Sheet1!AA195+AG195+AX195+AZ195+BQ195+BS195+CL195+CN195)&lt;=N195,AG195+AX195+AZ195+BQ195+BS195+CL195+CN195,N195-Sheet1!AA195)</f>
        <v>14.90185783521723</v>
      </c>
      <c r="AK195" s="712">
        <f>IF(DR195&lt;K195,0,MAX(Sheet1!AA195+AG195-15/36*K195-N195,Sheet1!ED195,0))</f>
        <v>0</v>
      </c>
      <c r="AL195" s="712">
        <f>IF(OR(B195&gt;=FT195,B195&lt;FS195),0,15/36*K195-MAX(0,64.6-(137.6-(Sheet1!AA195+Sheet1!AB195))))</f>
        <v>0</v>
      </c>
      <c r="AM195" s="712">
        <f>Sheet1!CX195-110</f>
        <v>909.33333333333337</v>
      </c>
      <c r="AN195" s="712">
        <f>Sheet1!CW195-265</f>
        <v>1114.375</v>
      </c>
      <c r="AO195" s="712">
        <f t="shared" si="622"/>
        <v>23.888142164776369</v>
      </c>
      <c r="AP195" s="712">
        <f t="shared" si="656"/>
        <v>0</v>
      </c>
      <c r="AQ195" s="712">
        <f t="shared" si="657"/>
        <v>0</v>
      </c>
      <c r="AR195" s="712">
        <f t="shared" si="658"/>
        <v>1358.1051716644936</v>
      </c>
      <c r="AS195" s="712"/>
      <c r="AT195" s="712">
        <f ca="1">IF(B195&gt;Summary!$A$1,#N/A,AR195*MGtoAF)</f>
        <v>4166.6666666666661</v>
      </c>
      <c r="AU195" s="712">
        <f>Sheet1!BG195+Sheet1!BH195+Sheet1!BI195-BC195</f>
        <v>0</v>
      </c>
      <c r="AV195" s="712">
        <f t="shared" si="659"/>
        <v>0</v>
      </c>
      <c r="AW195" s="712">
        <f>IF(Sheet1!EL195="FM",BC195,0)</f>
        <v>0</v>
      </c>
      <c r="AX195" s="712">
        <f t="shared" si="660"/>
        <v>0</v>
      </c>
      <c r="AY195" s="712">
        <f>IF(Sheet1!EL195="OTHER",BC195,0)</f>
        <v>0</v>
      </c>
      <c r="AZ195" s="712">
        <f t="shared" si="661"/>
        <v>0</v>
      </c>
      <c r="BA195" s="712">
        <f t="shared" si="662"/>
        <v>0</v>
      </c>
      <c r="BB195" s="712">
        <f t="shared" si="663"/>
        <v>0</v>
      </c>
      <c r="BC195" s="712">
        <f>IF(OR(Sheet1!EL195="FM", Sheet1!EL195="OTHER"),SUM(Sheet1!BG195:'Sheet1'!BI195),0)</f>
        <v>0</v>
      </c>
      <c r="BD195" s="697">
        <f>IF(AND($B195&gt;=$FL195,$B195&lt;=$FM195),MAX(AV195,Sheet1!EE195,0),MAX(AV195-(7/36)*$K195,0))</f>
        <v>0</v>
      </c>
      <c r="BE195" s="712">
        <f t="shared" si="664"/>
        <v>0</v>
      </c>
      <c r="BF195" s="697">
        <f t="shared" si="665"/>
        <v>0</v>
      </c>
      <c r="BG195" s="697">
        <f>IF(AND($O195&gt;0,Sheet1!EI195=1),(1-($O195-Sheet1!$L195)/$O195)*BB195,0)</f>
        <v>0</v>
      </c>
      <c r="BH195" s="697">
        <f>IF(AND(Sheet1!$L195=0,Sheet1!$L194=0, Calculation!BA195&lt;Sheet1!$EE195-0.1,Sheet1!$EE195=Sheet1!$EE194,Sheet1!$EE195=Sheet1!$EE196),Sheet1!$EE195,BB195-BG195)</f>
        <v>0</v>
      </c>
      <c r="BI195" s="712"/>
      <c r="BJ195" s="712"/>
      <c r="BK195" s="712">
        <f t="shared" si="666"/>
        <v>633.7824134434303</v>
      </c>
      <c r="BL195" s="712"/>
      <c r="BM195" s="712">
        <f ca="1">IF(B195&gt;Summary!$A$1,#N/A,BK195*MGtoAF)</f>
        <v>1944.4444444444441</v>
      </c>
      <c r="BN195" s="712">
        <f>Sheet1!BC195+Sheet1!BD195+Sheet1!BE195+Sheet1!BF195-BW195-BX195</f>
        <v>2.52</v>
      </c>
      <c r="BO195" s="712">
        <f t="shared" si="667"/>
        <v>2.5546042003229541</v>
      </c>
      <c r="BP195" s="712">
        <f>IF(Sheet1!EM195="FM",BX195,0)</f>
        <v>0</v>
      </c>
      <c r="BQ195" s="712">
        <f t="shared" si="668"/>
        <v>0</v>
      </c>
      <c r="BR195" s="712">
        <f>IF(Sheet1!EM195="OTHER",BX195,0)</f>
        <v>0</v>
      </c>
      <c r="BS195" s="712">
        <f t="shared" si="669"/>
        <v>0</v>
      </c>
      <c r="BT195" s="712">
        <f t="shared" si="670"/>
        <v>0</v>
      </c>
      <c r="BU195" s="712">
        <f t="shared" si="671"/>
        <v>2.52</v>
      </c>
      <c r="BV195" s="712">
        <f t="shared" si="672"/>
        <v>2.5546042003229541</v>
      </c>
      <c r="BW195" s="712">
        <f>IF(Sheet1!EM195="CWA",SUM(Sheet1!BC195:'Sheet1'!BF195),0)</f>
        <v>0</v>
      </c>
      <c r="BX195" s="712">
        <f>IF(OR(Sheet1!EM195="FM", Sheet1!EM195="OTHER"),SUM(Sheet1!BC195:'Sheet1'!BF195),0)</f>
        <v>0</v>
      </c>
      <c r="BY195" s="697">
        <f>IF(AND($B195&gt;=$FL195,$B195&lt;=$FM195),MAX(BV195,Sheet1!EF195,0),MAX(BV195-(7/36)*$K195,0))</f>
        <v>0</v>
      </c>
      <c r="BZ195" s="712">
        <f t="shared" si="673"/>
        <v>0</v>
      </c>
      <c r="CA195" s="697">
        <f t="shared" si="674"/>
        <v>2.5546042003229541</v>
      </c>
      <c r="CB195" s="697">
        <f>IF(AND($O195&gt;0,Sheet1!EJ195=1),(1-($O195-Sheet1!$L195)/$O195)*BV195,0)</f>
        <v>0</v>
      </c>
      <c r="CC195" s="697">
        <f>IF(AND(Sheet1!$L195=0,Sheet1!$L194=0, Calculation!BU195&lt;Sheet1!EF195-0.1,Sheet1!EF195=Sheet1!EF194,Sheet1!EF195=Sheet1!EF196),Sheet1!EF195,BV195-CB195)</f>
        <v>2.5546042003229541</v>
      </c>
      <c r="CD195" s="697"/>
      <c r="CE195" s="712"/>
      <c r="CF195" s="712">
        <f t="shared" si="675"/>
        <v>633.7824134434303</v>
      </c>
      <c r="CG195" s="712"/>
      <c r="CH195" s="712">
        <f ca="1">IF(B195&gt;Summary!$A$1,#N/A,CF195*MGtoAF)</f>
        <v>1944.4444444444441</v>
      </c>
      <c r="CI195" s="712">
        <f>Sheet1!BK195+Sheet1!BL195+Sheet1!BM195-Sheet1!EN195-CQ195</f>
        <v>7.54</v>
      </c>
      <c r="CJ195" s="712">
        <f t="shared" si="676"/>
        <v>7.6435379644583623</v>
      </c>
      <c r="CK195" s="712">
        <f>IF(Sheet1!EN195="FM",CQ195,0)</f>
        <v>0</v>
      </c>
      <c r="CL195" s="712">
        <f t="shared" si="677"/>
        <v>0</v>
      </c>
      <c r="CM195" s="712">
        <f>IF(Sheet1!EN195="OTHER",CQ195,0)</f>
        <v>0</v>
      </c>
      <c r="CN195" s="712">
        <f t="shared" si="678"/>
        <v>0</v>
      </c>
      <c r="CO195" s="712">
        <f t="shared" si="679"/>
        <v>7.54</v>
      </c>
      <c r="CP195" s="712">
        <f t="shared" si="680"/>
        <v>7.6435379644583623</v>
      </c>
      <c r="CQ195" s="712">
        <f>IF(OR(Sheet1!EN195="FM", Sheet1!EN195="OTHER"),SUM(Sheet1!BK195:'Sheet1'!BM195),0)</f>
        <v>0</v>
      </c>
      <c r="CR195" s="697">
        <f>IF(AND($B195&gt;=$FL195,$B195&lt;=$FM195),MAX($CJ195,Sheet1!EG195,0),MAX($CJ195-(7/36)*$K195,0))</f>
        <v>0</v>
      </c>
      <c r="CS195" s="712">
        <f t="shared" si="681"/>
        <v>0</v>
      </c>
      <c r="CT195" s="697">
        <f t="shared" si="682"/>
        <v>7.6435379644583623</v>
      </c>
      <c r="CU195" s="697">
        <f>IF(AND($O195&gt;0,Sheet1!EK195=1),(1-($O195-Sheet1!$L195)/$O195)*CP195,0)</f>
        <v>0</v>
      </c>
      <c r="CV195" s="697">
        <f>IF(AND(Sheet1!$L195=0,Sheet1!$L194=0, Calculation!CO195&lt;Sheet1!$EG195-0.1,Sheet1!$EG195=Sheet1!$EG194,Sheet1!$EG195=Sheet1!$EG196),Sheet1!$EG195,CP195-CU195)</f>
        <v>7.6435379644583623</v>
      </c>
      <c r="CW195" s="697">
        <f t="shared" si="613"/>
        <v>0</v>
      </c>
      <c r="CX195" s="712">
        <f t="shared" si="683"/>
        <v>10.06</v>
      </c>
      <c r="CY195" s="712">
        <f t="shared" si="684"/>
        <v>633.7824134434303</v>
      </c>
      <c r="CZ195" s="712">
        <f t="shared" si="685"/>
        <v>10.198142164781316</v>
      </c>
      <c r="DA195" s="712">
        <f ca="1">IF(B195&gt;Summary!$A$1,#N/A,CY195*MGtoAF)</f>
        <v>1944.4444444444441</v>
      </c>
      <c r="DB195" s="712">
        <f t="shared" si="686"/>
        <v>10.06</v>
      </c>
      <c r="DC195" s="712">
        <f t="shared" si="687"/>
        <v>24.759999999999998</v>
      </c>
      <c r="DD195" s="712">
        <f>Sheet1!AB195-DC195</f>
        <v>0.3399999999985468</v>
      </c>
      <c r="DE195" s="712">
        <f t="shared" si="688"/>
        <v>1.3731825524981697E-2</v>
      </c>
      <c r="DF195" s="712">
        <f>(VLOOKUP(Sheet1!CY195,hhdcap_wcm,4)-(((VLOOKUP(Sheet1!CY195,hhdcap_wcm,3)-Sheet1!CY195)/(VLOOKUP(Sheet1!CY195,hhdcap_wcm,3)-VLOOKUP(Sheet1!CY195,hhdcap_wcm,1)))*(VLOOKUP(Sheet1!CY195,hhdcap_wcm,4)-VLOOKUP(Sheet1!CY195,hhdcap_wcm,2))))</f>
        <v>50363.920000117774</v>
      </c>
      <c r="DG195" s="712">
        <f t="shared" si="689"/>
        <v>-112.84000000125525</v>
      </c>
      <c r="DH195" s="712">
        <f t="shared" si="690"/>
        <v>-56.903681291606269</v>
      </c>
      <c r="DI195" s="712">
        <f>Sheet1!DW195*AFtoMG</f>
        <v>0</v>
      </c>
      <c r="DJ195" s="712">
        <f>Sheet1!DX195*AFtoMG</f>
        <v>0</v>
      </c>
      <c r="DK195" s="712">
        <f>Sheet1!DY195*AFtoMG</f>
        <v>0</v>
      </c>
      <c r="DL195" s="712">
        <f>Sheet1!DZ195*AFtoMG</f>
        <v>0</v>
      </c>
      <c r="DM195" s="712">
        <f t="shared" si="691"/>
        <v>0</v>
      </c>
      <c r="DN195" s="712">
        <f t="shared" si="692"/>
        <v>0</v>
      </c>
      <c r="DO195" s="712">
        <f t="shared" si="693"/>
        <v>3259.4524119947846</v>
      </c>
      <c r="DP195" s="712">
        <f t="shared" si="694"/>
        <v>10000</v>
      </c>
      <c r="DQ195" s="712"/>
      <c r="DR195" s="697">
        <f>IF(OR(B195&lt;FL195,B195&gt;FM195),(MIN(AV195+BO195+CJ195+MAX(Sheet1!AA195+AG195-73,0),K195)),0)</f>
        <v>10.198142164781316</v>
      </c>
      <c r="DS195" s="712"/>
      <c r="DT195" s="712">
        <f t="shared" si="695"/>
        <v>10.198142164781316</v>
      </c>
      <c r="DU195" s="712"/>
      <c r="DV195" s="712">
        <f>Sheet1!ED195+Sheet1!EE195+Sheet1!EF195+Sheet1!EG195</f>
        <v>11</v>
      </c>
      <c r="DW195" s="712"/>
      <c r="DX195" s="697">
        <f t="shared" si="696"/>
        <v>0</v>
      </c>
      <c r="DY195" s="712">
        <f>IF(Sheet1!FN195=1,SUM('Calculations II'!AT195:BA195)+'Calculations II'!BC195+Sheet1!BU195+'Calculations II'!BE195+AF195,SUM('Calculations II'!AT195:BA195)+'Calculations II'!BC195+Sheet1!BU195+'Calculations II'!BE195+AF195)</f>
        <v>55.753127680000006</v>
      </c>
      <c r="DZ195" s="712">
        <f>Sheet1!AA195+Sheet1!AB195+'Calculations II'!BC195</f>
        <v>69.939319680004957</v>
      </c>
      <c r="EA195" s="712"/>
      <c r="EB195" s="712"/>
      <c r="EC195" s="712">
        <f t="shared" si="697"/>
        <v>40724</v>
      </c>
      <c r="ED195" s="712">
        <f t="shared" si="698"/>
        <v>0</v>
      </c>
      <c r="EE195" s="712">
        <f t="shared" si="699"/>
        <v>0</v>
      </c>
      <c r="EF195" s="712">
        <f>-(VLOOKUP(Sheet1!BQ195,Lookup!$B$4:$J$236,2)-VLOOKUP(Sheet1!BQ194,Lookup!$B$4:$J$236,2))/1000000</f>
        <v>-1.0952</v>
      </c>
      <c r="EG195" s="712">
        <f>-(VLOOKUP(Sheet1!BR195,Lookup!$B$4:$J$236,3)-VLOOKUP(Sheet1!BR194,Lookup!$B$4:$J$236,3))/1000000</f>
        <v>-1.0935999999999999</v>
      </c>
      <c r="EH195" s="712">
        <f>-(VLOOKUP(Sheet1!BS195,Lookup!$B$4:$J$236,4)-VLOOKUP(Sheet1!BS194,Lookup!$B$4:$J$236,4))/1000000</f>
        <v>0</v>
      </c>
      <c r="EI195" s="697">
        <f t="shared" si="700"/>
        <v>-2.1887999999999996</v>
      </c>
      <c r="EJ195" s="712"/>
      <c r="EK195" s="712"/>
      <c r="EL195" s="712"/>
      <c r="EM195" s="712"/>
      <c r="EN195" s="712"/>
      <c r="EO195" s="712"/>
      <c r="EP195" s="712"/>
      <c r="EQ195" s="712"/>
      <c r="ES195" s="712"/>
      <c r="ET195" s="794" t="e">
        <f t="shared" si="720"/>
        <v>#N/A</v>
      </c>
      <c r="EU195" s="800">
        <v>15000</v>
      </c>
      <c r="EV195" s="795">
        <f t="shared" si="640"/>
        <v>24143.920000117774</v>
      </c>
      <c r="EW195" s="796" t="s">
        <v>757</v>
      </c>
      <c r="EX195" s="796" t="s">
        <v>757</v>
      </c>
      <c r="EY195" s="794">
        <v>0</v>
      </c>
      <c r="EZ195" s="794" t="e">
        <v>#N/A</v>
      </c>
      <c r="FA195" s="712"/>
      <c r="FB195" s="712"/>
      <c r="FC195" s="712"/>
      <c r="FD195" s="712"/>
      <c r="FE195" s="712">
        <f>O195+Sheet1!CO195</f>
        <v>7440.7820000000056</v>
      </c>
      <c r="FF195" s="712">
        <f>IF(Sheet1!AA195+AG195&lt;=Calculation!N195,AG195,Calculation!N195-Sheet1!AA195)</f>
        <v>14.90185783521723</v>
      </c>
      <c r="FG195" s="712">
        <f>(Sheet1!BP195+Sheet1!BO195)/694.4</f>
        <v>3.0187211981566819</v>
      </c>
      <c r="FH195" s="712"/>
      <c r="FI195" s="712"/>
      <c r="FJ195" s="712"/>
      <c r="FK195" s="712"/>
      <c r="FL195" s="714">
        <f t="shared" si="632"/>
        <v>40753</v>
      </c>
      <c r="FM195" s="714">
        <f t="shared" si="633"/>
        <v>40851</v>
      </c>
      <c r="FN195" s="712"/>
      <c r="FO195" s="712"/>
      <c r="FP195" s="712"/>
      <c r="FQ195" s="712"/>
      <c r="FR195" s="712"/>
      <c r="FS195" s="725">
        <f t="shared" si="634"/>
        <v>40603</v>
      </c>
      <c r="FT195" s="714">
        <f t="shared" si="635"/>
        <v>40709</v>
      </c>
      <c r="FU195" s="712">
        <f t="shared" si="636"/>
        <v>6518.9048239895692</v>
      </c>
      <c r="FV195" s="714">
        <f t="shared" si="637"/>
        <v>40722</v>
      </c>
      <c r="FW195" s="712">
        <f t="shared" si="638"/>
        <v>3259.4524119947846</v>
      </c>
      <c r="FX195" s="725">
        <f t="shared" si="639"/>
        <v>40851</v>
      </c>
      <c r="FZ195" s="697">
        <f t="shared" si="616"/>
        <v>0</v>
      </c>
      <c r="GA195" s="712" t="str">
        <f t="shared" si="701"/>
        <v/>
      </c>
      <c r="GB195" s="712">
        <f t="shared" si="702"/>
        <v>0</v>
      </c>
      <c r="GC195" s="712" t="str">
        <f t="shared" si="703"/>
        <v/>
      </c>
      <c r="GD195" s="712">
        <f>IF(GA195="P",Lookup!$M$12,IF(GA195="PP",Lookup!$M$13,IF(GA195="PPP",Lookup!$M$14,IF(GA195="T",Lookup!$M$15,IF(GA195="TP",Lookup!$M$16,IF(GA195="TPP",Lookup!$M$17,IF(GA195="TPPP",Lookup!$M$18,0)))))))*FZ195</f>
        <v>0</v>
      </c>
      <c r="GE195" s="712">
        <f t="shared" si="704"/>
        <v>0</v>
      </c>
      <c r="GF195" s="712">
        <f t="shared" si="705"/>
        <v>4166.6666666666661</v>
      </c>
      <c r="GG195" s="712">
        <f t="shared" si="706"/>
        <v>1358.1051716644936</v>
      </c>
      <c r="GH195" s="712"/>
      <c r="GI195" s="712">
        <f t="shared" si="707"/>
        <v>0</v>
      </c>
      <c r="GJ195" s="712" t="str">
        <f t="shared" si="708"/>
        <v/>
      </c>
      <c r="GK195" s="712">
        <f>IF(GA195="P",Lookup!$N$12,IF(GA195="PP",Lookup!$N$13,IF(GA195="PPP",Lookup!$N$14,IF(GA195="T",Lookup!$N$15,IF(GA195="TP",Lookup!$N$16,IF(GA195="TPP",Lookup!$N$17,IF(GA195="TPPP",Lookup!$N$18,0)))))))*FZ195</f>
        <v>0</v>
      </c>
      <c r="GL195" s="712">
        <f t="shared" si="709"/>
        <v>0</v>
      </c>
      <c r="GM195" s="712">
        <f t="shared" si="710"/>
        <v>1944.4444444444441</v>
      </c>
      <c r="GN195" s="712">
        <f t="shared" si="711"/>
        <v>633.7824134434303</v>
      </c>
      <c r="GO195" s="712"/>
      <c r="GP195" s="712">
        <f t="shared" si="712"/>
        <v>0</v>
      </c>
      <c r="GQ195" s="712" t="str">
        <f t="shared" si="713"/>
        <v/>
      </c>
      <c r="GR195" s="712">
        <f>IF(GA195="P",Lookup!$N$12,IF(GA195="PP",Lookup!$N$13,IF(GA195="PPP",Lookup!$N$14,IF(GA195="T",Lookup!$N$15,IF(GA195="TP",Lookup!$N$16,IF(GA195="TPP",Lookup!$N$17,IF(GA195="TPPP",Lookup!$N$18,0)))))))*FZ195</f>
        <v>0</v>
      </c>
      <c r="GS195" s="697">
        <f t="shared" si="628"/>
        <v>0</v>
      </c>
      <c r="GT195" s="712">
        <f t="shared" si="714"/>
        <v>1944.4444444444441</v>
      </c>
      <c r="GU195" s="712">
        <f t="shared" si="715"/>
        <v>633.7824134434303</v>
      </c>
      <c r="GV195" s="712"/>
      <c r="GW195" s="712">
        <f t="shared" si="716"/>
        <v>0</v>
      </c>
      <c r="GX195" s="712" t="str">
        <f t="shared" si="717"/>
        <v/>
      </c>
      <c r="GY195" s="712">
        <f>IF(GA195="P",Lookup!$N$12,IF(GA195="PP",Lookup!$N$13,IF(GA195="PPP",Lookup!$N$14,IF(GA195="T",Lookup!$N$15,IF(GA195="TP",Lookup!$N$16,IF(GA195="TPP",Lookup!$N$17,IF(GA195="TPPP",Lookup!$N$18,0)))))))*FZ195</f>
        <v>0</v>
      </c>
      <c r="GZ195" s="697">
        <f t="shared" si="629"/>
        <v>0</v>
      </c>
      <c r="HA195" s="712">
        <f t="shared" si="718"/>
        <v>1944.4444444444441</v>
      </c>
      <c r="HB195" s="712">
        <f t="shared" si="719"/>
        <v>633.7824134434303</v>
      </c>
      <c r="HC195" s="712"/>
    </row>
    <row r="196" spans="1:211">
      <c r="A196" s="773" t="s">
        <v>8</v>
      </c>
      <c r="B196" s="708">
        <v>40725</v>
      </c>
      <c r="C196" s="719">
        <v>0.5</v>
      </c>
      <c r="D196" s="675">
        <f t="shared" si="641"/>
        <v>300</v>
      </c>
      <c r="E196" s="675">
        <f t="shared" si="642"/>
        <v>250</v>
      </c>
      <c r="F196" s="675">
        <v>250</v>
      </c>
      <c r="G196" s="712">
        <f>DH196+Sheet1!CV196</f>
        <v>984.25212129172053</v>
      </c>
      <c r="H196" s="712">
        <f t="shared" si="643"/>
        <v>369.25737120296816</v>
      </c>
      <c r="I196" s="711">
        <f>MAX(Sheet1!Z196-AJ196+(Sheet1!CW196-E196)*CFStoMGD,0)</f>
        <v>788.86804806014391</v>
      </c>
      <c r="J196" s="720">
        <f>IF(AND(B196&gt;=Calculation!FS196,B196&lt;=Calculation!FT196),IF(Sheet1!CX196&gt;=Calculation!D196,64.64,0),MAX(Sheet1!Z196-AJ196+(Sheet1!CX196-D196)*CFStoMGD,0))</f>
        <v>445.87204806014392</v>
      </c>
      <c r="K196" s="697">
        <f t="shared" si="644"/>
        <v>64.64</v>
      </c>
      <c r="L196" s="712">
        <f>Sheet1!AA196+Sheet1!AB196-Sheet1!L196+(Sheet1!CW196-F196)*CFStoMGD</f>
        <v>822.81666666666729</v>
      </c>
      <c r="M196" s="712">
        <f t="shared" si="645"/>
        <v>648.94498262702757</v>
      </c>
      <c r="N196" s="712">
        <f>IF(Sheet1!CW196&gt;=F196,MIN(73,MIN(MAX(L196,0),MAX(M196,0))),0)</f>
        <v>73</v>
      </c>
      <c r="O196" s="721">
        <f>Sheet1!AA196+Sheet1!AB196</f>
        <v>60.139999999999418</v>
      </c>
      <c r="P196" s="721">
        <f t="shared" si="646"/>
        <v>93.036579999999105</v>
      </c>
      <c r="Q196" s="712">
        <f>MIN(N196,Sheet1!AA196+AG196)</f>
        <v>49.148618606525055</v>
      </c>
      <c r="R196" s="712">
        <f t="shared" si="647"/>
        <v>11</v>
      </c>
      <c r="S196" s="721">
        <f>Sheet1!Y196*MGDtoCFS</f>
        <v>53.619019999999992</v>
      </c>
      <c r="T196" s="721">
        <f>Sheet1!Z196*MGDtoCFS</f>
        <v>38.736879999999999</v>
      </c>
      <c r="U196" s="721">
        <f>Sheet1!AA196*MGDtoCFS</f>
        <v>54.052180000003602</v>
      </c>
      <c r="V196" s="721">
        <f>Sheet1!AB196*MGDtoCFS</f>
        <v>38.984399999995496</v>
      </c>
      <c r="W196" s="721">
        <f>Sheet1!L196*MGDtoCFS</f>
        <v>23.761919999998085</v>
      </c>
      <c r="X196" s="697">
        <f t="shared" si="648"/>
        <v>0</v>
      </c>
      <c r="Y196" s="712">
        <f t="shared" si="649"/>
        <v>0</v>
      </c>
      <c r="Z196" s="712">
        <f t="shared" si="650"/>
        <v>0</v>
      </c>
      <c r="AA196" s="712">
        <f t="shared" si="651"/>
        <v>0</v>
      </c>
      <c r="AB196" s="712">
        <f>(VLOOKUP(Sheet1!CY196,hhdcap_wcm,4)-(((VLOOKUP(Sheet1!CY196,hhdcap_wcm,3)-Sheet1!CY196)/(VLOOKUP(Sheet1!CY196,hhdcap_wcm,3)-VLOOKUP(Sheet1!CY196,hhdcap_wcm,1)))*(VLOOKUP(Sheet1!CY196,hhdcap_wcm,4)-VLOOKUP(Sheet1!CY196,hhdcap_wcm,2))))</f>
        <v>50228.800000117517</v>
      </c>
      <c r="AC196" s="712">
        <f t="shared" si="652"/>
        <v>-135.12000000025728</v>
      </c>
      <c r="AD196" s="712">
        <f t="shared" si="653"/>
        <v>3259.4524119947846</v>
      </c>
      <c r="AE196" s="712">
        <f t="shared" si="654"/>
        <v>10000</v>
      </c>
      <c r="AF196" s="712">
        <f>Sheet1!BA196+Sheet1!BB196+Sheet1!BN196+BT196</f>
        <v>14</v>
      </c>
      <c r="AG196" s="712">
        <f t="shared" si="655"/>
        <v>14.208618606522725</v>
      </c>
      <c r="AH196" s="712">
        <f>Sheet1!BA196+BT196</f>
        <v>0</v>
      </c>
      <c r="AI196" s="712">
        <f>Sheet1!BA196+Sheet1!BB196+BT196</f>
        <v>0</v>
      </c>
      <c r="AJ196" s="712">
        <f>IF((Sheet1!AA196+AG196+AX196+AZ196+BQ196+BS196+CL196+CN196)&lt;=N196,AG196+AX196+AZ196+BQ196+BS196+CL196+CN196,N196-Sheet1!AA196)</f>
        <v>14.208618606522725</v>
      </c>
      <c r="AK196" s="712">
        <f>IF(DR196&lt;K196,0,MAX(Sheet1!AA196+AG196-15/36*K196-N196,Sheet1!ED196,0))</f>
        <v>0</v>
      </c>
      <c r="AL196" s="712">
        <f>IF(OR(B196&gt;=FT196,B196&lt;FS196),0,15/36*K196-MAX(0,64.6-(137.6-(Sheet1!AA196+Sheet1!AB196))))</f>
        <v>0</v>
      </c>
      <c r="AM196" s="712">
        <f>Sheet1!CX196-110</f>
        <v>863.02083333333337</v>
      </c>
      <c r="AN196" s="712">
        <f>Sheet1!CW196-265</f>
        <v>1188.6458333333333</v>
      </c>
      <c r="AO196" s="712">
        <f t="shared" si="622"/>
        <v>23.851381393474945</v>
      </c>
      <c r="AP196" s="712">
        <f t="shared" si="656"/>
        <v>0</v>
      </c>
      <c r="AQ196" s="712">
        <f t="shared" si="657"/>
        <v>0</v>
      </c>
      <c r="AR196" s="712">
        <f t="shared" si="658"/>
        <v>1358.1051716644936</v>
      </c>
      <c r="AS196" s="712"/>
      <c r="AT196" s="712">
        <f ca="1">IF(B196&gt;Summary!$A$1,#N/A,AR196*MGtoAF)</f>
        <v>4166.6666666666661</v>
      </c>
      <c r="AU196" s="712">
        <f>Sheet1!BG196+Sheet1!BH196+Sheet1!BI196-BC196</f>
        <v>0</v>
      </c>
      <c r="AV196" s="712">
        <f t="shared" si="659"/>
        <v>0</v>
      </c>
      <c r="AW196" s="712">
        <f>IF(Sheet1!EL196="FM",BC196,0)</f>
        <v>0</v>
      </c>
      <c r="AX196" s="712">
        <f t="shared" si="660"/>
        <v>0</v>
      </c>
      <c r="AY196" s="712">
        <f>IF(Sheet1!EL196="OTHER",BC196,0)</f>
        <v>0</v>
      </c>
      <c r="AZ196" s="712">
        <f t="shared" si="661"/>
        <v>0</v>
      </c>
      <c r="BA196" s="712">
        <f t="shared" si="662"/>
        <v>0</v>
      </c>
      <c r="BB196" s="712">
        <f t="shared" si="663"/>
        <v>0</v>
      </c>
      <c r="BC196" s="712">
        <f>IF(OR(Sheet1!EL196="FM", Sheet1!EL196="OTHER"),SUM(Sheet1!BG196:'Sheet1'!BI196),0)</f>
        <v>0</v>
      </c>
      <c r="BD196" s="697">
        <f>IF(AND($B196&gt;=$FL196,$B196&lt;=$FM196),MAX(AV196,Sheet1!EE196,0),MAX(AV196-(7/36)*$K196,0))</f>
        <v>0</v>
      </c>
      <c r="BE196" s="712">
        <f t="shared" si="664"/>
        <v>0</v>
      </c>
      <c r="BF196" s="697">
        <f t="shared" si="665"/>
        <v>0</v>
      </c>
      <c r="BG196" s="697">
        <f>IF(AND($O196&gt;0,Sheet1!EI196=1),(1-($O196-Sheet1!$L196)/$O196)*BB196,0)</f>
        <v>0</v>
      </c>
      <c r="BH196" s="697">
        <f>IF(AND(Sheet1!$L196=0,Sheet1!$L195=0, Calculation!BA196&lt;Sheet1!$EE196-0.1,Sheet1!$EE196=Sheet1!$EE195,Sheet1!$EE196=Sheet1!$EE197),Sheet1!$EE196,BB196-BG196)</f>
        <v>0</v>
      </c>
      <c r="BI196" s="712"/>
      <c r="BJ196" s="712"/>
      <c r="BK196" s="712">
        <f t="shared" si="666"/>
        <v>633.7824134434303</v>
      </c>
      <c r="BL196" s="712"/>
      <c r="BM196" s="712">
        <f ca="1">IF(B196&gt;Summary!$A$1,#N/A,BK196*MGtoAF)</f>
        <v>1944.4444444444441</v>
      </c>
      <c r="BN196" s="712">
        <f>Sheet1!BC196+Sheet1!BD196+Sheet1!BE196+Sheet1!BF196-BW196-BX196</f>
        <v>2.5099999999999998</v>
      </c>
      <c r="BO196" s="712">
        <f t="shared" si="667"/>
        <v>2.5474023358837172</v>
      </c>
      <c r="BP196" s="712">
        <f>IF(Sheet1!EM196="FM",BX196,0)</f>
        <v>0</v>
      </c>
      <c r="BQ196" s="712">
        <f t="shared" si="668"/>
        <v>0</v>
      </c>
      <c r="BR196" s="712">
        <f>IF(Sheet1!EM196="OTHER",BX196,0)</f>
        <v>0</v>
      </c>
      <c r="BS196" s="712">
        <f t="shared" si="669"/>
        <v>0</v>
      </c>
      <c r="BT196" s="712">
        <f t="shared" si="670"/>
        <v>0</v>
      </c>
      <c r="BU196" s="712">
        <f t="shared" si="671"/>
        <v>2.5099999999999998</v>
      </c>
      <c r="BV196" s="712">
        <f t="shared" si="672"/>
        <v>2.5474023358837172</v>
      </c>
      <c r="BW196" s="712">
        <f>IF(Sheet1!EM196="CWA",SUM(Sheet1!BC196:'Sheet1'!BF196),0)</f>
        <v>0</v>
      </c>
      <c r="BX196" s="712">
        <f>IF(OR(Sheet1!EM196="FM", Sheet1!EM196="OTHER"),SUM(Sheet1!BC196:'Sheet1'!BF196),0)</f>
        <v>0</v>
      </c>
      <c r="BY196" s="697">
        <f>IF(AND($B196&gt;=$FL196,$B196&lt;=$FM196),MAX(BV196,Sheet1!EF196,0),MAX(BV196-(7/36)*$K196,0))</f>
        <v>0</v>
      </c>
      <c r="BZ196" s="712">
        <f t="shared" si="673"/>
        <v>0</v>
      </c>
      <c r="CA196" s="697">
        <f t="shared" si="674"/>
        <v>2.5474023358837172</v>
      </c>
      <c r="CB196" s="697">
        <f>IF(AND($O196&gt;0,Sheet1!EJ196=1),(1-($O196-Sheet1!$L196)/$O196)*BV196,0)</f>
        <v>0</v>
      </c>
      <c r="CC196" s="697">
        <f>IF(AND(Sheet1!$L196=0,Sheet1!$L195=0, Calculation!BU196&lt;Sheet1!EF196-0.1,Sheet1!EF196=Sheet1!EF195,Sheet1!EF196=Sheet1!EF197),Sheet1!EF196,BV196-CB196)</f>
        <v>2.5474023358837172</v>
      </c>
      <c r="CD196" s="697"/>
      <c r="CE196" s="712"/>
      <c r="CF196" s="712">
        <f t="shared" si="675"/>
        <v>633.7824134434303</v>
      </c>
      <c r="CG196" s="712"/>
      <c r="CH196" s="712">
        <f ca="1">IF(B196&gt;Summary!$A$1,#N/A,CF196*MGtoAF)</f>
        <v>1944.4444444444441</v>
      </c>
      <c r="CI196" s="712">
        <f>Sheet1!BK196+Sheet1!BL196+Sheet1!BM196-Sheet1!EN196-CQ196</f>
        <v>8.32</v>
      </c>
      <c r="CJ196" s="712">
        <f t="shared" si="676"/>
        <v>8.4439790575906493</v>
      </c>
      <c r="CK196" s="712">
        <f>IF(Sheet1!EN196="FM",CQ196,0)</f>
        <v>0</v>
      </c>
      <c r="CL196" s="712">
        <f t="shared" si="677"/>
        <v>0</v>
      </c>
      <c r="CM196" s="712">
        <f>IF(Sheet1!EN196="OTHER",CQ196,0)</f>
        <v>0</v>
      </c>
      <c r="CN196" s="712">
        <f t="shared" si="678"/>
        <v>0</v>
      </c>
      <c r="CO196" s="712">
        <f t="shared" si="679"/>
        <v>8.32</v>
      </c>
      <c r="CP196" s="712">
        <f t="shared" si="680"/>
        <v>8.4439790575906493</v>
      </c>
      <c r="CQ196" s="712">
        <f>IF(OR(Sheet1!EN196="FM", Sheet1!EN196="OTHER"),SUM(Sheet1!BK196:'Sheet1'!BM196),0)</f>
        <v>0</v>
      </c>
      <c r="CR196" s="697">
        <f>IF(AND($B196&gt;=$FL196,$B196&lt;=$FM196),MAX($CJ196,Sheet1!EG196,0),MAX($CJ196-(7/36)*$K196,0))</f>
        <v>0</v>
      </c>
      <c r="CS196" s="712">
        <f t="shared" si="681"/>
        <v>0</v>
      </c>
      <c r="CT196" s="697">
        <f t="shared" si="682"/>
        <v>8.4439790575906493</v>
      </c>
      <c r="CU196" s="697">
        <f>IF(AND($O196&gt;0,Sheet1!EK196=1),(1-($O196-Sheet1!$L196)/$O196)*CP196,0)</f>
        <v>0</v>
      </c>
      <c r="CV196" s="697">
        <f>IF(AND(Sheet1!$L196=0,Sheet1!$L195=0, Calculation!CO196&lt;Sheet1!$EG196-0.1,Sheet1!$EG196=Sheet1!$EG195,Sheet1!$EG196=Sheet1!$EG197),Sheet1!$EG196,CP196-CU196)</f>
        <v>8.4439790575906493</v>
      </c>
      <c r="CW196" s="697">
        <f t="shared" si="613"/>
        <v>0</v>
      </c>
      <c r="CX196" s="712">
        <f t="shared" si="683"/>
        <v>10.83</v>
      </c>
      <c r="CY196" s="712">
        <f t="shared" si="684"/>
        <v>633.7824134434303</v>
      </c>
      <c r="CZ196" s="712">
        <f t="shared" si="685"/>
        <v>10.991381393474366</v>
      </c>
      <c r="DA196" s="712">
        <f ca="1">IF(B196&gt;Summary!$A$1,#N/A,CY196*MGtoAF)</f>
        <v>1944.4444444444441</v>
      </c>
      <c r="DB196" s="712">
        <f t="shared" si="686"/>
        <v>10.83</v>
      </c>
      <c r="DC196" s="712">
        <f t="shared" si="687"/>
        <v>24.83</v>
      </c>
      <c r="DD196" s="712">
        <f>Sheet1!AB196-DC196</f>
        <v>0.36999999999709132</v>
      </c>
      <c r="DE196" s="712">
        <f t="shared" si="688"/>
        <v>1.4901329037337549E-2</v>
      </c>
      <c r="DF196" s="712">
        <f>(VLOOKUP(Sheet1!CY196,hhdcap_wcm,4)-(((VLOOKUP(Sheet1!CY196,hhdcap_wcm,3)-Sheet1!CY196)/(VLOOKUP(Sheet1!CY196,hhdcap_wcm,3)-VLOOKUP(Sheet1!CY196,hhdcap_wcm,1)))*(VLOOKUP(Sheet1!CY196,hhdcap_wcm,4)-VLOOKUP(Sheet1!CY196,hhdcap_wcm,2))))</f>
        <v>50228.800000117517</v>
      </c>
      <c r="DG196" s="712">
        <f t="shared" si="689"/>
        <v>-135.12000000025728</v>
      </c>
      <c r="DH196" s="712">
        <f t="shared" si="690"/>
        <v>-68.139183056105523</v>
      </c>
      <c r="DI196" s="712">
        <f>Sheet1!DW196*AFtoMG</f>
        <v>0</v>
      </c>
      <c r="DJ196" s="712">
        <f>Sheet1!DX196*AFtoMG</f>
        <v>0</v>
      </c>
      <c r="DK196" s="712">
        <f>Sheet1!DY196*AFtoMG</f>
        <v>0</v>
      </c>
      <c r="DL196" s="712">
        <f>Sheet1!DZ196*AFtoMG</f>
        <v>0</v>
      </c>
      <c r="DM196" s="712">
        <f t="shared" si="691"/>
        <v>0</v>
      </c>
      <c r="DN196" s="712">
        <f t="shared" si="692"/>
        <v>0</v>
      </c>
      <c r="DO196" s="712">
        <f t="shared" si="693"/>
        <v>3259.4524119947846</v>
      </c>
      <c r="DP196" s="712">
        <f t="shared" si="694"/>
        <v>10000</v>
      </c>
      <c r="DQ196" s="712"/>
      <c r="DR196" s="697">
        <f>IF(OR(B196&lt;FL196,B196&gt;FM196),(MIN(AV196+BO196+CJ196+MAX(Sheet1!AA196+AG196-73,0),K196)),0)</f>
        <v>10.991381393474366</v>
      </c>
      <c r="DS196" s="712"/>
      <c r="DT196" s="712">
        <f t="shared" si="695"/>
        <v>10.991381393474366</v>
      </c>
      <c r="DU196" s="712"/>
      <c r="DV196" s="712">
        <f>Sheet1!ED196+Sheet1!EE196+Sheet1!EF196+Sheet1!EG196</f>
        <v>11</v>
      </c>
      <c r="DW196" s="712"/>
      <c r="DX196" s="697">
        <f t="shared" si="696"/>
        <v>0</v>
      </c>
      <c r="DY196" s="712">
        <f>IF(Sheet1!FN196=1,SUM('Calculations II'!AT196:BA196)+'Calculations II'!BC196+Sheet1!BU196+'Calculations II'!BE196+AF196,SUM('Calculations II'!AT196:BA196)+'Calculations II'!BC196+Sheet1!BU196+'Calculations II'!BE196+AF196)</f>
        <v>62.101776000000001</v>
      </c>
      <c r="DZ196" s="712">
        <f>Sheet1!AA196+Sheet1!AB196+'Calculations II'!BC196</f>
        <v>70.70772799999942</v>
      </c>
      <c r="EA196" s="712"/>
      <c r="EB196" s="712"/>
      <c r="EC196" s="712">
        <f t="shared" si="697"/>
        <v>40725</v>
      </c>
      <c r="ED196" s="712">
        <f t="shared" si="698"/>
        <v>0</v>
      </c>
      <c r="EE196" s="712">
        <f t="shared" si="699"/>
        <v>0</v>
      </c>
      <c r="EF196" s="712">
        <f>-(VLOOKUP(Sheet1!BQ196,Lookup!$B$4:$J$236,2)-VLOOKUP(Sheet1!BQ195,Lookup!$B$4:$J$236,2))/1000000</f>
        <v>1.9128000000000001</v>
      </c>
      <c r="EG196" s="712">
        <f>-(VLOOKUP(Sheet1!BR196,Lookup!$B$4:$J$236,3)-VLOOKUP(Sheet1!BR195,Lookup!$B$4:$J$236,3))/1000000</f>
        <v>1.9104000000000001</v>
      </c>
      <c r="EH196" s="712">
        <f>-(VLOOKUP(Sheet1!BS196,Lookup!$B$4:$J$236,4)-VLOOKUP(Sheet1!BS195,Lookup!$B$4:$J$236,4))/1000000</f>
        <v>0</v>
      </c>
      <c r="EI196" s="697">
        <f t="shared" si="700"/>
        <v>3.8231999999999999</v>
      </c>
      <c r="EJ196" s="712"/>
      <c r="EK196" s="712"/>
      <c r="EL196" s="712"/>
      <c r="EM196" s="712"/>
      <c r="EN196" s="712"/>
      <c r="EO196" s="712"/>
      <c r="EP196" s="712"/>
      <c r="EQ196" s="712"/>
      <c r="ES196" s="712"/>
      <c r="ET196" s="794" t="e">
        <f t="shared" si="720"/>
        <v>#N/A</v>
      </c>
      <c r="EU196" s="800">
        <v>15000</v>
      </c>
      <c r="EV196" s="795">
        <f t="shared" si="640"/>
        <v>24008.800000117517</v>
      </c>
      <c r="EW196" s="796" t="s">
        <v>757</v>
      </c>
      <c r="EX196" s="796" t="s">
        <v>757</v>
      </c>
      <c r="EY196" s="794">
        <v>0</v>
      </c>
      <c r="EZ196" s="797">
        <v>24155</v>
      </c>
      <c r="FA196" s="712"/>
      <c r="FB196" s="712"/>
      <c r="FC196" s="712"/>
      <c r="FD196" s="712"/>
      <c r="FE196" s="712">
        <f>O196+Sheet1!CO196</f>
        <v>7398.8399999999992</v>
      </c>
      <c r="FF196" s="712">
        <f>IF(Sheet1!AA196+AG196&lt;=Calculation!N196,AG196,Calculation!N196-Sheet1!AA196)</f>
        <v>14.208618606522725</v>
      </c>
      <c r="FG196" s="712">
        <f>(Sheet1!BP196+Sheet1!BO196)/694.4</f>
        <v>3.769153225806452</v>
      </c>
      <c r="FH196" s="712"/>
      <c r="FI196" s="712"/>
      <c r="FJ196" s="712"/>
      <c r="FK196" s="712"/>
      <c r="FL196" s="714">
        <f t="shared" si="632"/>
        <v>40753</v>
      </c>
      <c r="FM196" s="714">
        <f t="shared" si="633"/>
        <v>40851</v>
      </c>
      <c r="FN196" s="712"/>
      <c r="FO196" s="712"/>
      <c r="FP196" s="712"/>
      <c r="FQ196" s="712"/>
      <c r="FR196" s="712"/>
      <c r="FS196" s="725">
        <f t="shared" si="634"/>
        <v>40603</v>
      </c>
      <c r="FT196" s="714">
        <f t="shared" si="635"/>
        <v>40709</v>
      </c>
      <c r="FU196" s="712">
        <f t="shared" si="636"/>
        <v>6518.9048239895692</v>
      </c>
      <c r="FV196" s="714">
        <f t="shared" si="637"/>
        <v>40722</v>
      </c>
      <c r="FW196" s="712">
        <f t="shared" si="638"/>
        <v>3259.4524119947846</v>
      </c>
      <c r="FX196" s="725">
        <f t="shared" si="639"/>
        <v>40851</v>
      </c>
      <c r="FZ196" s="697">
        <f t="shared" si="616"/>
        <v>0</v>
      </c>
      <c r="GA196" s="712" t="str">
        <f t="shared" si="701"/>
        <v/>
      </c>
      <c r="GB196" s="712">
        <f t="shared" si="702"/>
        <v>0</v>
      </c>
      <c r="GC196" s="712" t="str">
        <f t="shared" si="703"/>
        <v/>
      </c>
      <c r="GD196" s="712">
        <f>IF(GA196="P",Lookup!$M$12,IF(GA196="PP",Lookup!$M$13,IF(GA196="PPP",Lookup!$M$14,IF(GA196="T",Lookup!$M$15,IF(GA196="TP",Lookup!$M$16,IF(GA196="TPP",Lookup!$M$17,IF(GA196="TPPP",Lookup!$M$18,0)))))))*FZ196</f>
        <v>0</v>
      </c>
      <c r="GE196" s="712">
        <f t="shared" si="704"/>
        <v>0</v>
      </c>
      <c r="GF196" s="712">
        <f t="shared" si="705"/>
        <v>4166.6666666666661</v>
      </c>
      <c r="GG196" s="712">
        <f t="shared" si="706"/>
        <v>1358.1051716644936</v>
      </c>
      <c r="GH196" s="712"/>
      <c r="GI196" s="712">
        <f t="shared" si="707"/>
        <v>0</v>
      </c>
      <c r="GJ196" s="712" t="str">
        <f t="shared" si="708"/>
        <v/>
      </c>
      <c r="GK196" s="712">
        <f>IF(GA196="P",Lookup!$N$12,IF(GA196="PP",Lookup!$N$13,IF(GA196="PPP",Lookup!$N$14,IF(GA196="T",Lookup!$N$15,IF(GA196="TP",Lookup!$N$16,IF(GA196="TPP",Lookup!$N$17,IF(GA196="TPPP",Lookup!$N$18,0)))))))*FZ196</f>
        <v>0</v>
      </c>
      <c r="GL196" s="712">
        <f t="shared" si="709"/>
        <v>0</v>
      </c>
      <c r="GM196" s="712">
        <f t="shared" si="710"/>
        <v>1944.4444444444441</v>
      </c>
      <c r="GN196" s="712">
        <f t="shared" si="711"/>
        <v>633.7824134434303</v>
      </c>
      <c r="GO196" s="712"/>
      <c r="GP196" s="712">
        <f t="shared" si="712"/>
        <v>0</v>
      </c>
      <c r="GQ196" s="712" t="str">
        <f t="shared" si="713"/>
        <v/>
      </c>
      <c r="GR196" s="712">
        <f>IF(GA196="P",Lookup!$N$12,IF(GA196="PP",Lookup!$N$13,IF(GA196="PPP",Lookup!$N$14,IF(GA196="T",Lookup!$N$15,IF(GA196="TP",Lookup!$N$16,IF(GA196="TPP",Lookup!$N$17,IF(GA196="TPPP",Lookup!$N$18,0)))))))*FZ196</f>
        <v>0</v>
      </c>
      <c r="GS196" s="697">
        <f t="shared" si="628"/>
        <v>0</v>
      </c>
      <c r="GT196" s="712">
        <f t="shared" si="714"/>
        <v>1944.4444444444441</v>
      </c>
      <c r="GU196" s="712">
        <f t="shared" si="715"/>
        <v>633.7824134434303</v>
      </c>
      <c r="GV196" s="712"/>
      <c r="GW196" s="712">
        <f t="shared" si="716"/>
        <v>0</v>
      </c>
      <c r="GX196" s="712" t="str">
        <f t="shared" si="717"/>
        <v/>
      </c>
      <c r="GY196" s="712">
        <f>IF(GA196="P",Lookup!$N$12,IF(GA196="PP",Lookup!$N$13,IF(GA196="PPP",Lookup!$N$14,IF(GA196="T",Lookup!$N$15,IF(GA196="TP",Lookup!$N$16,IF(GA196="TPP",Lookup!$N$17,IF(GA196="TPPP",Lookup!$N$18,0)))))))*FZ196</f>
        <v>0</v>
      </c>
      <c r="GZ196" s="697">
        <f t="shared" si="629"/>
        <v>0</v>
      </c>
      <c r="HA196" s="712">
        <f t="shared" si="718"/>
        <v>1944.4444444444441</v>
      </c>
      <c r="HB196" s="712">
        <f t="shared" si="719"/>
        <v>633.7824134434303</v>
      </c>
      <c r="HC196" s="712"/>
    </row>
    <row r="197" spans="1:211">
      <c r="A197" s="773" t="s">
        <v>9</v>
      </c>
      <c r="B197" s="708">
        <v>40726</v>
      </c>
      <c r="C197" s="709">
        <v>0.5</v>
      </c>
      <c r="D197" s="675">
        <f t="shared" si="641"/>
        <v>300</v>
      </c>
      <c r="E197" s="675">
        <f t="shared" si="642"/>
        <v>250</v>
      </c>
      <c r="F197" s="675">
        <v>250</v>
      </c>
      <c r="G197" s="712">
        <f>DH197+Sheet1!CV197</f>
        <v>855.24268784669619</v>
      </c>
      <c r="H197" s="712">
        <f t="shared" si="643"/>
        <v>285.86567342410439</v>
      </c>
      <c r="I197" s="711">
        <f>MAX(Sheet1!Z197-AJ197+(Sheet1!CW197-E197)*CFStoMGD,0)</f>
        <v>700.94755537612673</v>
      </c>
      <c r="J197" s="720">
        <f>IF(AND(B197&gt;=Calculation!FS197,B197&lt;=Calculation!FT197),IF(Sheet1!CX197&gt;=Calculation!D197,64.64,0),MAX(Sheet1!Z197-AJ197+(Sheet1!CX197-D197)*CFStoMGD,0))</f>
        <v>392.3656220427934</v>
      </c>
      <c r="K197" s="697">
        <f t="shared" si="644"/>
        <v>64.64</v>
      </c>
      <c r="L197" s="712">
        <f>Sheet1!AA197+Sheet1!AB197-Sheet1!L197+(Sheet1!CW197-F197)*CFStoMGD</f>
        <v>711.8873333333222</v>
      </c>
      <c r="M197" s="712">
        <f t="shared" si="645"/>
        <v>563.8854508925865</v>
      </c>
      <c r="N197" s="712">
        <f>IF(Sheet1!CW197&gt;=F197,MIN(73,MIN(MAX(L197,0),MAX(M197,0))),0)</f>
        <v>73</v>
      </c>
      <c r="O197" s="721">
        <f>Sheet1!AA197+Sheet1!AB197</f>
        <v>59.409999999988941</v>
      </c>
      <c r="P197" s="721">
        <f t="shared" si="646"/>
        <v>91.907269999982887</v>
      </c>
      <c r="Q197" s="712">
        <f>MIN(N197,Sheet1!AA197+AG197)</f>
        <v>48.299777957194976</v>
      </c>
      <c r="R197" s="712">
        <f t="shared" si="647"/>
        <v>11.110222042793964</v>
      </c>
      <c r="S197" s="721">
        <f>Sheet1!Y197*MGDtoCFS</f>
        <v>54.144999999999996</v>
      </c>
      <c r="T197" s="721">
        <f>Sheet1!Z197*MGDtoCFS</f>
        <v>38.365600000000001</v>
      </c>
      <c r="U197" s="721">
        <f>Sheet1!AA197*MGDtoCFS</f>
        <v>53.448849999981988</v>
      </c>
      <c r="V197" s="721">
        <f>Sheet1!AB197*MGDtoCFS</f>
        <v>38.458420000000899</v>
      </c>
      <c r="W197" s="721">
        <f>Sheet1!L197*MGDtoCFS</f>
        <v>57.888740000000112</v>
      </c>
      <c r="X197" s="697">
        <f t="shared" si="648"/>
        <v>0</v>
      </c>
      <c r="Y197" s="712">
        <f t="shared" si="649"/>
        <v>0</v>
      </c>
      <c r="Z197" s="712">
        <f t="shared" si="650"/>
        <v>0</v>
      </c>
      <c r="AA197" s="712">
        <f t="shared" si="651"/>
        <v>0</v>
      </c>
      <c r="AB197" s="712">
        <f>(VLOOKUP(Sheet1!CY197,hhdcap_wcm,4)-(((VLOOKUP(Sheet1!CY197,hhdcap_wcm,3)-Sheet1!CY197)/(VLOOKUP(Sheet1!CY197,hhdcap_wcm,3)-VLOOKUP(Sheet1!CY197,hhdcap_wcm,1)))*(VLOOKUP(Sheet1!CY197,hhdcap_wcm,4)-VLOOKUP(Sheet1!CY197,hhdcap_wcm,2))))</f>
        <v>50059.900000117515</v>
      </c>
      <c r="AC197" s="712">
        <f t="shared" si="652"/>
        <v>-168.90000000000146</v>
      </c>
      <c r="AD197" s="712">
        <f t="shared" si="653"/>
        <v>3259.4524119947846</v>
      </c>
      <c r="AE197" s="712">
        <f t="shared" si="654"/>
        <v>10000</v>
      </c>
      <c r="AF197" s="712">
        <f>Sheet1!BA197+Sheet1!BB197+Sheet1!BN197+BT197</f>
        <v>13.7</v>
      </c>
      <c r="AG197" s="712">
        <f t="shared" si="655"/>
        <v>13.74977795720662</v>
      </c>
      <c r="AH197" s="712">
        <f>Sheet1!BA197+BT197</f>
        <v>0</v>
      </c>
      <c r="AI197" s="712">
        <f>Sheet1!BA197+Sheet1!BB197+BT197</f>
        <v>0</v>
      </c>
      <c r="AJ197" s="712">
        <f>IF((Sheet1!AA197+AG197+AX197+AZ197+BQ197+BS197+CL197+CN197)&lt;=N197,AG197+AX197+AZ197+BQ197+BS197+CL197+CN197,N197-Sheet1!AA197)</f>
        <v>13.74977795720662</v>
      </c>
      <c r="AK197" s="712">
        <f>IF(DR197&lt;K197,0,MAX(Sheet1!AA197+AG197-15/36*K197-N197,Sheet1!ED197,0))</f>
        <v>0</v>
      </c>
      <c r="AL197" s="712">
        <f>IF(OR(B197&gt;=FT197,B197&lt;FS197),0,15/36*K197-MAX(0,64.6-(137.6-(Sheet1!AA197+Sheet1!AB197))))</f>
        <v>0</v>
      </c>
      <c r="AM197" s="712">
        <f>Sheet1!CX197-110</f>
        <v>779.90625</v>
      </c>
      <c r="AN197" s="712">
        <f>Sheet1!CW197-265</f>
        <v>1052.2916666666667</v>
      </c>
      <c r="AO197" s="712">
        <f t="shared" si="622"/>
        <v>24.700222042805024</v>
      </c>
      <c r="AP197" s="712">
        <f t="shared" si="656"/>
        <v>0</v>
      </c>
      <c r="AQ197" s="712">
        <f t="shared" si="657"/>
        <v>0</v>
      </c>
      <c r="AR197" s="712">
        <f t="shared" si="658"/>
        <v>1358.1051716644936</v>
      </c>
      <c r="AS197" s="712"/>
      <c r="AT197" s="712">
        <f ca="1">IF(B197&gt;Summary!$A$1,#N/A,AR197*MGtoAF)</f>
        <v>4166.6666666666661</v>
      </c>
      <c r="AU197" s="712">
        <f>Sheet1!BG197+Sheet1!BH197+Sheet1!BI197-BC197</f>
        <v>0</v>
      </c>
      <c r="AV197" s="712">
        <f t="shared" si="659"/>
        <v>0</v>
      </c>
      <c r="AW197" s="712">
        <f>IF(Sheet1!EL197="FM",BC197,0)</f>
        <v>0</v>
      </c>
      <c r="AX197" s="712">
        <f t="shared" si="660"/>
        <v>0</v>
      </c>
      <c r="AY197" s="712">
        <f>IF(Sheet1!EL197="OTHER",BC197,0)</f>
        <v>0</v>
      </c>
      <c r="AZ197" s="712">
        <f t="shared" si="661"/>
        <v>0</v>
      </c>
      <c r="BA197" s="712">
        <f t="shared" si="662"/>
        <v>0</v>
      </c>
      <c r="BB197" s="712">
        <f t="shared" si="663"/>
        <v>0</v>
      </c>
      <c r="BC197" s="712">
        <f>IF(OR(Sheet1!EL197="FM", Sheet1!EL197="OTHER"),SUM(Sheet1!BG197:'Sheet1'!BI197),0)</f>
        <v>0</v>
      </c>
      <c r="BD197" s="697">
        <f>IF(AND($B197&gt;=$FL197,$B197&lt;=$FM197),MAX(AV197,Sheet1!EE197,0),MAX(AV197-(7/36)*$K197,0))</f>
        <v>0</v>
      </c>
      <c r="BE197" s="712">
        <f t="shared" si="664"/>
        <v>0</v>
      </c>
      <c r="BF197" s="697">
        <f t="shared" si="665"/>
        <v>0</v>
      </c>
      <c r="BG197" s="697">
        <f>IF(AND($O197&gt;0,Sheet1!EI197=1),(1-($O197-Sheet1!$L197)/$O197)*BB197,0)</f>
        <v>0</v>
      </c>
      <c r="BH197" s="697">
        <f>IF(AND(Sheet1!$L197=0,Sheet1!$L196=0, Calculation!BA197&lt;Sheet1!$EE197-0.1,Sheet1!$EE197=Sheet1!$EE196,Sheet1!$EE197=Sheet1!$EE198),Sheet1!$EE197,BB197-BG197)</f>
        <v>0</v>
      </c>
      <c r="BI197" s="712"/>
      <c r="BJ197" s="712"/>
      <c r="BK197" s="712">
        <f t="shared" si="666"/>
        <v>633.7824134434303</v>
      </c>
      <c r="BL197" s="712"/>
      <c r="BM197" s="712">
        <f ca="1">IF(B197&gt;Summary!$A$1,#N/A,BK197*MGtoAF)</f>
        <v>1944.4444444444441</v>
      </c>
      <c r="BN197" s="712">
        <f>Sheet1!BC197+Sheet1!BD197+Sheet1!BE197+Sheet1!BF197-BW197-BX197</f>
        <v>2.52</v>
      </c>
      <c r="BO197" s="712">
        <f t="shared" si="667"/>
        <v>2.5291562373839915</v>
      </c>
      <c r="BP197" s="712">
        <f>IF(Sheet1!EM197="FM",BX197,0)</f>
        <v>0</v>
      </c>
      <c r="BQ197" s="712">
        <f t="shared" si="668"/>
        <v>0</v>
      </c>
      <c r="BR197" s="712">
        <f>IF(Sheet1!EM197="OTHER",BX197,0)</f>
        <v>0</v>
      </c>
      <c r="BS197" s="712">
        <f t="shared" si="669"/>
        <v>0</v>
      </c>
      <c r="BT197" s="712">
        <f t="shared" si="670"/>
        <v>0</v>
      </c>
      <c r="BU197" s="712">
        <f t="shared" si="671"/>
        <v>2.52</v>
      </c>
      <c r="BV197" s="712">
        <f t="shared" si="672"/>
        <v>2.5291562373839915</v>
      </c>
      <c r="BW197" s="712">
        <f>IF(Sheet1!EM197="CWA",SUM(Sheet1!BC197:'Sheet1'!BF197),0)</f>
        <v>0</v>
      </c>
      <c r="BX197" s="712">
        <f>IF(OR(Sheet1!EM197="FM", Sheet1!EM197="OTHER"),SUM(Sheet1!BC197:'Sheet1'!BF197),0)</f>
        <v>0</v>
      </c>
      <c r="BY197" s="697">
        <f>IF(AND($B197&gt;=$FL197,$B197&lt;=$FM197),MAX(BV197,Sheet1!EF197,0),MAX(BV197-(7/36)*$K197,0))</f>
        <v>0</v>
      </c>
      <c r="BZ197" s="712">
        <f t="shared" si="673"/>
        <v>0</v>
      </c>
      <c r="CA197" s="697">
        <f t="shared" si="674"/>
        <v>2.5291562373839915</v>
      </c>
      <c r="CB197" s="697">
        <f>IF(AND($O197&gt;0,Sheet1!EJ197=1),(1-($O197-Sheet1!$L197)/$O197)*BV197,0)</f>
        <v>0</v>
      </c>
      <c r="CC197" s="697">
        <f>IF(AND(Sheet1!$L197=0,Sheet1!$L196=0, Calculation!BU197&lt;Sheet1!EF197-0.1,Sheet1!EF197=Sheet1!EF196,Sheet1!EF197=Sheet1!EF198),Sheet1!EF197,BV197-CB197)</f>
        <v>2.5291562373839915</v>
      </c>
      <c r="CD197" s="697"/>
      <c r="CE197" s="712"/>
      <c r="CF197" s="712">
        <f t="shared" si="675"/>
        <v>633.7824134434303</v>
      </c>
      <c r="CG197" s="712"/>
      <c r="CH197" s="712">
        <f ca="1">IF(B197&gt;Summary!$A$1,#N/A,CF197*MGtoAF)</f>
        <v>1944.4444444444441</v>
      </c>
      <c r="CI197" s="712">
        <f>Sheet1!BK197+Sheet1!BL197+Sheet1!BM197-Sheet1!EN197-CQ197</f>
        <v>8.5500000000000007</v>
      </c>
      <c r="CJ197" s="712">
        <f t="shared" si="676"/>
        <v>8.5810658054099722</v>
      </c>
      <c r="CK197" s="712">
        <f>IF(Sheet1!EN197="FM",CQ197,0)</f>
        <v>0</v>
      </c>
      <c r="CL197" s="712">
        <f t="shared" si="677"/>
        <v>0</v>
      </c>
      <c r="CM197" s="712">
        <f>IF(Sheet1!EN197="OTHER",CQ197,0)</f>
        <v>0</v>
      </c>
      <c r="CN197" s="712">
        <f t="shared" si="678"/>
        <v>0</v>
      </c>
      <c r="CO197" s="712">
        <f t="shared" si="679"/>
        <v>8.5500000000000007</v>
      </c>
      <c r="CP197" s="712">
        <f t="shared" si="680"/>
        <v>8.5810658054099722</v>
      </c>
      <c r="CQ197" s="712">
        <f>IF(OR(Sheet1!EN197="FM", Sheet1!EN197="OTHER"),SUM(Sheet1!BK197:'Sheet1'!BM197),0)</f>
        <v>0</v>
      </c>
      <c r="CR197" s="697">
        <f>IF(AND($B197&gt;=$FL197,$B197&lt;=$FM197),MAX($CJ197,Sheet1!EG197,0),MAX($CJ197-(7/36)*$K197,0))</f>
        <v>0</v>
      </c>
      <c r="CS197" s="712">
        <f t="shared" si="681"/>
        <v>0</v>
      </c>
      <c r="CT197" s="697">
        <f t="shared" si="682"/>
        <v>8.5810658054099722</v>
      </c>
      <c r="CU197" s="697">
        <f>IF(AND($O197&gt;0,Sheet1!EK197=1),(1-($O197-Sheet1!$L197)/$O197)*CP197,0)</f>
        <v>0</v>
      </c>
      <c r="CV197" s="697">
        <f>IF(AND(Sheet1!$L197=0,Sheet1!$L196=0, Calculation!CO197&lt;Sheet1!$EG197-0.1,Sheet1!$EG197=Sheet1!$EG196,Sheet1!$EG197=Sheet1!$EG198),Sheet1!$EG197,CP197-CU197)</f>
        <v>8.5810658054099722</v>
      </c>
      <c r="CW197" s="697">
        <f t="shared" si="613"/>
        <v>0</v>
      </c>
      <c r="CX197" s="712">
        <f t="shared" si="683"/>
        <v>11.07</v>
      </c>
      <c r="CY197" s="712">
        <f t="shared" si="684"/>
        <v>633.7824134434303</v>
      </c>
      <c r="CZ197" s="712">
        <f t="shared" si="685"/>
        <v>11.110222042793964</v>
      </c>
      <c r="DA197" s="712">
        <f ca="1">IF(B197&gt;Summary!$A$1,#N/A,CY197*MGtoAF)</f>
        <v>1944.4444444444441</v>
      </c>
      <c r="DB197" s="712">
        <f t="shared" si="686"/>
        <v>11.07</v>
      </c>
      <c r="DC197" s="712">
        <f t="shared" si="687"/>
        <v>24.77</v>
      </c>
      <c r="DD197" s="712">
        <f>Sheet1!AB197-DC197</f>
        <v>9.0000000000582503E-2</v>
      </c>
      <c r="DE197" s="712">
        <f t="shared" si="688"/>
        <v>3.6334275333299356E-3</v>
      </c>
      <c r="DF197" s="712">
        <f>(VLOOKUP(Sheet1!CY197,hhdcap_wcm,4)-(((VLOOKUP(Sheet1!CY197,hhdcap_wcm,3)-Sheet1!CY197)/(VLOOKUP(Sheet1!CY197,hhdcap_wcm,3)-VLOOKUP(Sheet1!CY197,hhdcap_wcm,1)))*(VLOOKUP(Sheet1!CY197,hhdcap_wcm,4)-VLOOKUP(Sheet1!CY197,hhdcap_wcm,2))))</f>
        <v>50059.900000117515</v>
      </c>
      <c r="DG197" s="712">
        <f t="shared" si="689"/>
        <v>-168.90000000000146</v>
      </c>
      <c r="DH197" s="712">
        <f t="shared" si="690"/>
        <v>-85.173978819970472</v>
      </c>
      <c r="DI197" s="712">
        <f>Sheet1!DW197*AFtoMG</f>
        <v>0</v>
      </c>
      <c r="DJ197" s="712">
        <f>Sheet1!DX197*AFtoMG</f>
        <v>0</v>
      </c>
      <c r="DK197" s="712">
        <f>Sheet1!DY197*AFtoMG</f>
        <v>0</v>
      </c>
      <c r="DL197" s="712">
        <f>Sheet1!DZ197*AFtoMG</f>
        <v>0</v>
      </c>
      <c r="DM197" s="712">
        <f t="shared" si="691"/>
        <v>0</v>
      </c>
      <c r="DN197" s="712">
        <f t="shared" si="692"/>
        <v>0</v>
      </c>
      <c r="DO197" s="712">
        <f t="shared" si="693"/>
        <v>3259.4524119947846</v>
      </c>
      <c r="DP197" s="712">
        <f t="shared" si="694"/>
        <v>10000</v>
      </c>
      <c r="DQ197" s="712"/>
      <c r="DR197" s="697">
        <f>IF(OR(B197&lt;FL197,B197&gt;FM197),(MIN(AV197+BO197+CJ197+MAX(Sheet1!AA197+AG197-73,0),K197)),0)</f>
        <v>11.110222042793964</v>
      </c>
      <c r="DS197" s="712"/>
      <c r="DT197" s="712">
        <f t="shared" si="695"/>
        <v>11.110222042793964</v>
      </c>
      <c r="DU197" s="712"/>
      <c r="DV197" s="712">
        <f>Sheet1!ED197+Sheet1!EE197+Sheet1!EF197+Sheet1!EG197</f>
        <v>11</v>
      </c>
      <c r="DW197" s="712"/>
      <c r="DX197" s="697">
        <f t="shared" si="696"/>
        <v>0</v>
      </c>
      <c r="DY197" s="712">
        <f>IF(Sheet1!FN197=1,SUM('Calculations II'!AT197:BA197)+'Calculations II'!BC197+Sheet1!BU197+'Calculations II'!BE197+AF197,SUM('Calculations II'!AT197:BA197)+'Calculations II'!BC197+Sheet1!BU197+'Calculations II'!BE197+AF197)</f>
        <v>63.741440000000011</v>
      </c>
      <c r="DZ197" s="712">
        <f>Sheet1!AA197+Sheet1!AB197+'Calculations II'!BC197</f>
        <v>71.893359999988945</v>
      </c>
      <c r="EA197" s="712"/>
      <c r="EB197" s="712"/>
      <c r="EC197" s="712">
        <f t="shared" si="697"/>
        <v>40726</v>
      </c>
      <c r="ED197" s="712">
        <f t="shared" si="698"/>
        <v>0</v>
      </c>
      <c r="EE197" s="712">
        <f t="shared" si="699"/>
        <v>0</v>
      </c>
      <c r="EF197" s="712">
        <f>-(VLOOKUP(Sheet1!BQ197,Lookup!$B$4:$J$236,2)-VLOOKUP(Sheet1!BQ196,Lookup!$B$4:$J$236,2))/1000000</f>
        <v>2.1644999999999999</v>
      </c>
      <c r="EG197" s="712">
        <f>-(VLOOKUP(Sheet1!BR197,Lookup!$B$4:$J$236,3)-VLOOKUP(Sheet1!BR196,Lookup!$B$4:$J$236,3))/1000000</f>
        <v>2.16</v>
      </c>
      <c r="EH197" s="712">
        <f>-(VLOOKUP(Sheet1!BS197,Lookup!$B$4:$J$236,4)-VLOOKUP(Sheet1!BS196,Lookup!$B$4:$J$236,4))/1000000</f>
        <v>0</v>
      </c>
      <c r="EI197" s="697">
        <f t="shared" si="700"/>
        <v>4.3245000000000005</v>
      </c>
      <c r="EJ197" s="712"/>
      <c r="EK197" s="712"/>
      <c r="EL197" s="712"/>
      <c r="EM197" s="712"/>
      <c r="EN197" s="712"/>
      <c r="EO197" s="712"/>
      <c r="EP197" s="712"/>
      <c r="EQ197" s="712"/>
      <c r="ES197" s="712"/>
      <c r="ET197" s="794">
        <f t="shared" si="720"/>
        <v>1139.3637602179042</v>
      </c>
      <c r="EU197" s="800">
        <v>15000</v>
      </c>
      <c r="EV197" s="795">
        <f t="shared" si="640"/>
        <v>23839.900000117515</v>
      </c>
      <c r="EW197" s="796" t="s">
        <v>757</v>
      </c>
      <c r="EX197" s="796" t="s">
        <v>757</v>
      </c>
      <c r="EY197" s="794">
        <v>0</v>
      </c>
      <c r="EZ197" s="798">
        <v>23816.6000000565</v>
      </c>
      <c r="FA197" s="712"/>
      <c r="FB197" s="712"/>
      <c r="FC197" s="712"/>
      <c r="FD197" s="712"/>
      <c r="FE197" s="712">
        <f>O197+Sheet1!CO197</f>
        <v>8728.4099999999889</v>
      </c>
      <c r="FF197" s="712">
        <f>IF(Sheet1!AA197+AG197&lt;=Calculation!N197,AG197,Calculation!N197-Sheet1!AA197)</f>
        <v>13.74977795720662</v>
      </c>
      <c r="FG197" s="712">
        <f>(Sheet1!BP197+Sheet1!BO197)/694.4</f>
        <v>4.1850518433179724</v>
      </c>
      <c r="FH197" s="712"/>
      <c r="FI197" s="712"/>
      <c r="FJ197" s="712"/>
      <c r="FK197" s="712"/>
      <c r="FL197" s="714">
        <f t="shared" si="632"/>
        <v>40753</v>
      </c>
      <c r="FM197" s="714">
        <f t="shared" si="633"/>
        <v>40851</v>
      </c>
      <c r="FN197" s="712"/>
      <c r="FO197" s="712"/>
      <c r="FP197" s="712"/>
      <c r="FQ197" s="712"/>
      <c r="FR197" s="712"/>
      <c r="FS197" s="725">
        <f t="shared" si="634"/>
        <v>40603</v>
      </c>
      <c r="FT197" s="714">
        <f t="shared" si="635"/>
        <v>40709</v>
      </c>
      <c r="FU197" s="712">
        <f t="shared" si="636"/>
        <v>6518.9048239895692</v>
      </c>
      <c r="FV197" s="714">
        <f t="shared" si="637"/>
        <v>40722</v>
      </c>
      <c r="FW197" s="712">
        <f t="shared" si="638"/>
        <v>3259.4524119947846</v>
      </c>
      <c r="FX197" s="725">
        <f t="shared" si="639"/>
        <v>40851</v>
      </c>
      <c r="FZ197" s="697">
        <f t="shared" si="616"/>
        <v>0</v>
      </c>
      <c r="GA197" s="712" t="str">
        <f t="shared" si="701"/>
        <v/>
      </c>
      <c r="GB197" s="712">
        <f t="shared" si="702"/>
        <v>0</v>
      </c>
      <c r="GC197" s="712" t="str">
        <f t="shared" si="703"/>
        <v/>
      </c>
      <c r="GD197" s="712">
        <f>IF(GA197="P",Lookup!$M$12,IF(GA197="PP",Lookup!$M$13,IF(GA197="PPP",Lookup!$M$14,IF(GA197="T",Lookup!$M$15,IF(GA197="TP",Lookup!$M$16,IF(GA197="TPP",Lookup!$M$17,IF(GA197="TPPP",Lookup!$M$18,0)))))))*FZ197</f>
        <v>0</v>
      </c>
      <c r="GE197" s="712">
        <f t="shared" si="704"/>
        <v>0</v>
      </c>
      <c r="GF197" s="712">
        <f t="shared" si="705"/>
        <v>4166.6666666666661</v>
      </c>
      <c r="GG197" s="712">
        <f t="shared" si="706"/>
        <v>1358.1051716644936</v>
      </c>
      <c r="GH197" s="712"/>
      <c r="GI197" s="712">
        <f t="shared" si="707"/>
        <v>0</v>
      </c>
      <c r="GJ197" s="712" t="str">
        <f t="shared" si="708"/>
        <v/>
      </c>
      <c r="GK197" s="712">
        <f>IF(GA197="P",Lookup!$N$12,IF(GA197="PP",Lookup!$N$13,IF(GA197="PPP",Lookup!$N$14,IF(GA197="T",Lookup!$N$15,IF(GA197="TP",Lookup!$N$16,IF(GA197="TPP",Lookup!$N$17,IF(GA197="TPPP",Lookup!$N$18,0)))))))*FZ197</f>
        <v>0</v>
      </c>
      <c r="GL197" s="712">
        <f t="shared" si="709"/>
        <v>0</v>
      </c>
      <c r="GM197" s="712">
        <f t="shared" si="710"/>
        <v>1944.4444444444441</v>
      </c>
      <c r="GN197" s="712">
        <f t="shared" si="711"/>
        <v>633.7824134434303</v>
      </c>
      <c r="GO197" s="712"/>
      <c r="GP197" s="712">
        <f t="shared" si="712"/>
        <v>0</v>
      </c>
      <c r="GQ197" s="712" t="str">
        <f t="shared" si="713"/>
        <v/>
      </c>
      <c r="GR197" s="712">
        <f>IF(GA197="P",Lookup!$N$12,IF(GA197="PP",Lookup!$N$13,IF(GA197="PPP",Lookup!$N$14,IF(GA197="T",Lookup!$N$15,IF(GA197="TP",Lookup!$N$16,IF(GA197="TPP",Lookup!$N$17,IF(GA197="TPPP",Lookup!$N$18,0)))))))*FZ197</f>
        <v>0</v>
      </c>
      <c r="GS197" s="697">
        <f t="shared" si="628"/>
        <v>0</v>
      </c>
      <c r="GT197" s="712">
        <f t="shared" si="714"/>
        <v>1944.4444444444441</v>
      </c>
      <c r="GU197" s="712">
        <f t="shared" si="715"/>
        <v>633.7824134434303</v>
      </c>
      <c r="GV197" s="712"/>
      <c r="GW197" s="712">
        <f t="shared" si="716"/>
        <v>0</v>
      </c>
      <c r="GX197" s="712" t="str">
        <f t="shared" si="717"/>
        <v/>
      </c>
      <c r="GY197" s="712">
        <f>IF(GA197="P",Lookup!$N$12,IF(GA197="PP",Lookup!$N$13,IF(GA197="PPP",Lookup!$N$14,IF(GA197="T",Lookup!$N$15,IF(GA197="TP",Lookup!$N$16,IF(GA197="TPP",Lookup!$N$17,IF(GA197="TPPP",Lookup!$N$18,0)))))))*FZ197</f>
        <v>0</v>
      </c>
      <c r="GZ197" s="697">
        <f t="shared" si="629"/>
        <v>0</v>
      </c>
      <c r="HA197" s="712">
        <f t="shared" si="718"/>
        <v>1944.4444444444441</v>
      </c>
      <c r="HB197" s="712">
        <f t="shared" si="719"/>
        <v>633.7824134434303</v>
      </c>
      <c r="HC197" s="712"/>
    </row>
    <row r="198" spans="1:211">
      <c r="A198" s="773" t="s">
        <v>3</v>
      </c>
      <c r="B198" s="708">
        <v>40727</v>
      </c>
      <c r="C198" s="719">
        <v>0.5</v>
      </c>
      <c r="D198" s="675">
        <f t="shared" si="641"/>
        <v>300</v>
      </c>
      <c r="E198" s="675">
        <f t="shared" si="642"/>
        <v>250</v>
      </c>
      <c r="F198" s="675">
        <v>250</v>
      </c>
      <c r="G198" s="712">
        <f>DH198+Sheet1!CV198</f>
        <v>887.56517354017865</v>
      </c>
      <c r="H198" s="712">
        <f t="shared" si="643"/>
        <v>306.75892817637146</v>
      </c>
      <c r="I198" s="711">
        <f>MAX(Sheet1!Z198-AJ198+(Sheet1!CW198-E198)*CFStoMGD,0)</f>
        <v>642.45797496972011</v>
      </c>
      <c r="J198" s="720">
        <f>IF(AND(B198&gt;=Calculation!FS198,B198&lt;=Calculation!FT198),IF(Sheet1!CX198&gt;=Calculation!D198,64.64,0),MAX(Sheet1!Z198-AJ198+(Sheet1!CX198-D198)*CFStoMGD,0))</f>
        <v>357.23397496972018</v>
      </c>
      <c r="K198" s="697">
        <f t="shared" si="644"/>
        <v>64.64</v>
      </c>
      <c r="L198" s="712">
        <f>Sheet1!AA198+Sheet1!AB198-Sheet1!L198+(Sheet1!CW198-F198)*CFStoMGD</f>
        <v>690.99200000000815</v>
      </c>
      <c r="M198" s="712">
        <f t="shared" si="645"/>
        <v>585.1965707398989</v>
      </c>
      <c r="N198" s="712">
        <f>IF(Sheet1!CW198&gt;=F198,MIN(73,MIN(MAX(L198,0),MAX(M198,0))),0)</f>
        <v>73</v>
      </c>
      <c r="O198" s="721">
        <f>Sheet1!AA198+Sheet1!AB198</f>
        <v>59.540000000008149</v>
      </c>
      <c r="P198" s="721">
        <f t="shared" si="646"/>
        <v>92.108380000012602</v>
      </c>
      <c r="Q198" s="712">
        <f>MIN(N198,Sheet1!AA198+AG198)</f>
        <v>48.394025030285668</v>
      </c>
      <c r="R198" s="712">
        <f t="shared" si="647"/>
        <v>11.145974969722479</v>
      </c>
      <c r="S198" s="721">
        <f>Sheet1!Y198*MGDtoCFS</f>
        <v>53.990299999999998</v>
      </c>
      <c r="T198" s="721">
        <f>Sheet1!Z198*MGDtoCFS</f>
        <v>38.365600000000001</v>
      </c>
      <c r="U198" s="721">
        <f>Sheet1!AA198*MGDtoCFS</f>
        <v>53.526200000009005</v>
      </c>
      <c r="V198" s="721">
        <f>Sheet1!AB198*MGDtoCFS</f>
        <v>38.582180000003603</v>
      </c>
      <c r="W198" s="721">
        <f>Sheet1!L198*MGDtoCFS</f>
        <v>0</v>
      </c>
      <c r="X198" s="697">
        <f t="shared" si="648"/>
        <v>0</v>
      </c>
      <c r="Y198" s="712">
        <f t="shared" si="649"/>
        <v>0</v>
      </c>
      <c r="Z198" s="712">
        <f t="shared" si="650"/>
        <v>0</v>
      </c>
      <c r="AA198" s="712">
        <f t="shared" si="651"/>
        <v>0</v>
      </c>
      <c r="AB198" s="712">
        <f>(VLOOKUP(Sheet1!CY198,hhdcap_wcm,4)-(((VLOOKUP(Sheet1!CY198,hhdcap_wcm,3)-Sheet1!CY198)/(VLOOKUP(Sheet1!CY198,hhdcap_wcm,3)-VLOOKUP(Sheet1!CY198,hhdcap_wcm,1)))*(VLOOKUP(Sheet1!CY198,hhdcap_wcm,4)-VLOOKUP(Sheet1!CY198,hhdcap_wcm,2))))</f>
        <v>49947.300000117255</v>
      </c>
      <c r="AC198" s="712">
        <f t="shared" si="652"/>
        <v>-112.60000000026048</v>
      </c>
      <c r="AD198" s="712">
        <f t="shared" si="653"/>
        <v>3259.4524119947846</v>
      </c>
      <c r="AE198" s="712">
        <f t="shared" si="654"/>
        <v>10000</v>
      </c>
      <c r="AF198" s="712">
        <f>Sheet1!BA198+Sheet1!BB198+Sheet1!BN198+BT198</f>
        <v>13.7</v>
      </c>
      <c r="AG198" s="712">
        <f t="shared" si="655"/>
        <v>13.794025030279849</v>
      </c>
      <c r="AH198" s="712">
        <f>Sheet1!BA198+BT198</f>
        <v>0</v>
      </c>
      <c r="AI198" s="712">
        <f>Sheet1!BA198+Sheet1!BB198+BT198</f>
        <v>0</v>
      </c>
      <c r="AJ198" s="712">
        <f>IF((Sheet1!AA198+AG198+AX198+AZ198+BQ198+BS198+CL198+CN198)&lt;=N198,AG198+AX198+AZ198+BQ198+BS198+CL198+CN198,N198-Sheet1!AA198)</f>
        <v>13.794025030279849</v>
      </c>
      <c r="AK198" s="712">
        <f>IF(DR198&lt;K198,0,MAX(Sheet1!AA198+AG198-15/36*K198-N198,Sheet1!ED198,0))</f>
        <v>0</v>
      </c>
      <c r="AL198" s="712">
        <f>IF(OR(B198&gt;=FT198,B198&lt;FS198),0,15/36*K198-MAX(0,64.6-(137.6-(Sheet1!AA198+Sheet1!AB198))))</f>
        <v>0</v>
      </c>
      <c r="AM198" s="712">
        <f>Sheet1!CX198-110</f>
        <v>725.625</v>
      </c>
      <c r="AN198" s="712">
        <f>Sheet1!CW198-265</f>
        <v>961.875</v>
      </c>
      <c r="AO198" s="712">
        <f t="shared" si="622"/>
        <v>24.605974969714332</v>
      </c>
      <c r="AP198" s="712">
        <f t="shared" si="656"/>
        <v>0</v>
      </c>
      <c r="AQ198" s="712">
        <f t="shared" si="657"/>
        <v>0</v>
      </c>
      <c r="AR198" s="712">
        <f t="shared" si="658"/>
        <v>1358.1051716644936</v>
      </c>
      <c r="AS198" s="712"/>
      <c r="AT198" s="712">
        <f ca="1">IF(B198&gt;Summary!$A$1,#N/A,AR198*MGtoAF)</f>
        <v>4166.6666666666661</v>
      </c>
      <c r="AU198" s="712">
        <f>Sheet1!BG198+Sheet1!BH198+Sheet1!BI198-BC198</f>
        <v>0</v>
      </c>
      <c r="AV198" s="712">
        <f t="shared" si="659"/>
        <v>0</v>
      </c>
      <c r="AW198" s="712">
        <f>IF(Sheet1!EL198="FM",BC198,0)</f>
        <v>0</v>
      </c>
      <c r="AX198" s="712">
        <f t="shared" si="660"/>
        <v>0</v>
      </c>
      <c r="AY198" s="712">
        <f>IF(Sheet1!EL198="OTHER",BC198,0)</f>
        <v>0</v>
      </c>
      <c r="AZ198" s="712">
        <f t="shared" si="661"/>
        <v>0</v>
      </c>
      <c r="BA198" s="712">
        <f t="shared" si="662"/>
        <v>0</v>
      </c>
      <c r="BB198" s="712">
        <f t="shared" si="663"/>
        <v>0</v>
      </c>
      <c r="BC198" s="712">
        <f>IF(OR(Sheet1!EL198="FM", Sheet1!EL198="OTHER"),SUM(Sheet1!BG198:'Sheet1'!BI198),0)</f>
        <v>0</v>
      </c>
      <c r="BD198" s="697">
        <f>IF(AND($B198&gt;=$FL198,$B198&lt;=$FM198),MAX(AV198,Sheet1!EE198,0),MAX(AV198-(7/36)*$K198,0))</f>
        <v>0</v>
      </c>
      <c r="BE198" s="712">
        <f t="shared" si="664"/>
        <v>0</v>
      </c>
      <c r="BF198" s="697">
        <f t="shared" si="665"/>
        <v>0</v>
      </c>
      <c r="BG198" s="697">
        <f>IF(AND($O198&gt;0,Sheet1!EI198=1),(1-($O198-Sheet1!$L198)/$O198)*BB198,0)</f>
        <v>0</v>
      </c>
      <c r="BH198" s="697">
        <f>IF(AND(Sheet1!$L198=0,Sheet1!$L197=0, Calculation!BA198&lt;Sheet1!$EE198-0.1,Sheet1!$EE198=Sheet1!$EE197,Sheet1!$EE198=Sheet1!$EE199),Sheet1!$EE198,BB198-BG198)</f>
        <v>0</v>
      </c>
      <c r="BI198" s="712"/>
      <c r="BJ198" s="712"/>
      <c r="BK198" s="712">
        <f t="shared" si="666"/>
        <v>633.7824134434303</v>
      </c>
      <c r="BL198" s="712"/>
      <c r="BM198" s="712">
        <f ca="1">IF(B198&gt;Summary!$A$1,#N/A,BK198*MGtoAF)</f>
        <v>1944.4444444444441</v>
      </c>
      <c r="BN198" s="712">
        <f>Sheet1!BC198+Sheet1!BD198+Sheet1!BE198+Sheet1!BF198-BW198-BX198</f>
        <v>2.52</v>
      </c>
      <c r="BO198" s="712">
        <f t="shared" si="667"/>
        <v>2.5372951150587757</v>
      </c>
      <c r="BP198" s="712">
        <f>IF(Sheet1!EM198="FM",BX198,0)</f>
        <v>0</v>
      </c>
      <c r="BQ198" s="712">
        <f t="shared" si="668"/>
        <v>0</v>
      </c>
      <c r="BR198" s="712">
        <f>IF(Sheet1!EM198="OTHER",BX198,0)</f>
        <v>0</v>
      </c>
      <c r="BS198" s="712">
        <f t="shared" si="669"/>
        <v>0</v>
      </c>
      <c r="BT198" s="712">
        <f t="shared" si="670"/>
        <v>0</v>
      </c>
      <c r="BU198" s="712">
        <f t="shared" si="671"/>
        <v>2.52</v>
      </c>
      <c r="BV198" s="712">
        <f t="shared" si="672"/>
        <v>2.5372951150587757</v>
      </c>
      <c r="BW198" s="712">
        <f>IF(Sheet1!EM198="CWA",SUM(Sheet1!BC198:'Sheet1'!BF198),0)</f>
        <v>0</v>
      </c>
      <c r="BX198" s="712">
        <f>IF(OR(Sheet1!EM198="FM", Sheet1!EM198="OTHER"),SUM(Sheet1!BC198:'Sheet1'!BF198),0)</f>
        <v>0</v>
      </c>
      <c r="BY198" s="697">
        <f>IF(AND($B198&gt;=$FL198,$B198&lt;=$FM198),MAX(BV198,Sheet1!EF198,0),MAX(BV198-(7/36)*$K198,0))</f>
        <v>0</v>
      </c>
      <c r="BZ198" s="712">
        <f t="shared" si="673"/>
        <v>0</v>
      </c>
      <c r="CA198" s="697">
        <f t="shared" si="674"/>
        <v>2.5372951150587757</v>
      </c>
      <c r="CB198" s="697">
        <f>IF(AND($O198&gt;0,Sheet1!EJ198=1),(1-($O198-Sheet1!$L198)/$O198)*BV198,0)</f>
        <v>0</v>
      </c>
      <c r="CC198" s="697">
        <f>IF(AND(Sheet1!$L198=0,Sheet1!$L197=0, Calculation!BU198&lt;Sheet1!EF198-0.1,Sheet1!EF198=Sheet1!EF197,Sheet1!EF198=Sheet1!EF199),Sheet1!EF198,BV198-CB198)</f>
        <v>2.5372951150587757</v>
      </c>
      <c r="CD198" s="697"/>
      <c r="CE198" s="712"/>
      <c r="CF198" s="712">
        <f t="shared" si="675"/>
        <v>633.7824134434303</v>
      </c>
      <c r="CG198" s="712"/>
      <c r="CH198" s="712">
        <f ca="1">IF(B198&gt;Summary!$A$1,#N/A,CF198*MGtoAF)</f>
        <v>1944.4444444444441</v>
      </c>
      <c r="CI198" s="712">
        <f>Sheet1!BK198+Sheet1!BL198+Sheet1!BM198-Sheet1!EN198-CQ198</f>
        <v>8.5500000000000007</v>
      </c>
      <c r="CJ198" s="712">
        <f t="shared" si="676"/>
        <v>8.6086798546637038</v>
      </c>
      <c r="CK198" s="712">
        <f>IF(Sheet1!EN198="FM",CQ198,0)</f>
        <v>0</v>
      </c>
      <c r="CL198" s="712">
        <f t="shared" si="677"/>
        <v>0</v>
      </c>
      <c r="CM198" s="712">
        <f>IF(Sheet1!EN198="OTHER",CQ198,0)</f>
        <v>0</v>
      </c>
      <c r="CN198" s="712">
        <f t="shared" si="678"/>
        <v>0</v>
      </c>
      <c r="CO198" s="712">
        <f t="shared" si="679"/>
        <v>8.5500000000000007</v>
      </c>
      <c r="CP198" s="712">
        <f t="shared" si="680"/>
        <v>8.6086798546637038</v>
      </c>
      <c r="CQ198" s="712">
        <f>IF(OR(Sheet1!EN198="FM", Sheet1!EN198="OTHER"),SUM(Sheet1!BK198:'Sheet1'!BM198),0)</f>
        <v>0</v>
      </c>
      <c r="CR198" s="697">
        <f>IF(AND($B198&gt;=$FL198,$B198&lt;=$FM198),MAX($CJ198,Sheet1!EG198,0),MAX($CJ198-(7/36)*$K198,0))</f>
        <v>0</v>
      </c>
      <c r="CS198" s="712">
        <f t="shared" si="681"/>
        <v>0</v>
      </c>
      <c r="CT198" s="697">
        <f t="shared" si="682"/>
        <v>8.6086798546637038</v>
      </c>
      <c r="CU198" s="697">
        <f>IF(AND($O198&gt;0,Sheet1!EK198=1),(1-($O198-Sheet1!$L198)/$O198)*CP198,0)</f>
        <v>0</v>
      </c>
      <c r="CV198" s="697">
        <f>IF(AND(Sheet1!$L198=0,Sheet1!$L197=0, Calculation!CO198&lt;Sheet1!$EG198-0.1,Sheet1!$EG198=Sheet1!$EG197,Sheet1!$EG198=Sheet1!$EG199),Sheet1!$EG198,CP198-CU198)</f>
        <v>8.6086798546637038</v>
      </c>
      <c r="CW198" s="697">
        <f t="shared" si="613"/>
        <v>0</v>
      </c>
      <c r="CX198" s="712">
        <f t="shared" si="683"/>
        <v>11.07</v>
      </c>
      <c r="CY198" s="712">
        <f t="shared" si="684"/>
        <v>633.7824134434303</v>
      </c>
      <c r="CZ198" s="712">
        <f t="shared" si="685"/>
        <v>11.145974969722479</v>
      </c>
      <c r="DA198" s="712">
        <f ca="1">IF(B198&gt;Summary!$A$1,#N/A,CY198*MGtoAF)</f>
        <v>1944.4444444444441</v>
      </c>
      <c r="DB198" s="712">
        <f t="shared" si="686"/>
        <v>11.07</v>
      </c>
      <c r="DC198" s="712">
        <f t="shared" si="687"/>
        <v>24.77</v>
      </c>
      <c r="DD198" s="712">
        <f>Sheet1!AB198-DC198</f>
        <v>0.17000000000232873</v>
      </c>
      <c r="DE198" s="712">
        <f t="shared" si="688"/>
        <v>6.8631408963394725E-3</v>
      </c>
      <c r="DF198" s="712">
        <f>(VLOOKUP(Sheet1!CY198,hhdcap_wcm,4)-(((VLOOKUP(Sheet1!CY198,hhdcap_wcm,3)-Sheet1!CY198)/(VLOOKUP(Sheet1!CY198,hhdcap_wcm,3)-VLOOKUP(Sheet1!CY198,hhdcap_wcm,1)))*(VLOOKUP(Sheet1!CY198,hhdcap_wcm,4)-VLOOKUP(Sheet1!CY198,hhdcap_wcm,2))))</f>
        <v>49947.300000117255</v>
      </c>
      <c r="DG198" s="712">
        <f t="shared" si="689"/>
        <v>-112.60000000026048</v>
      </c>
      <c r="DH198" s="712">
        <f t="shared" si="690"/>
        <v>-56.782652546777847</v>
      </c>
      <c r="DI198" s="712">
        <f>Sheet1!DW198*AFtoMG</f>
        <v>0</v>
      </c>
      <c r="DJ198" s="712">
        <f>Sheet1!DX198*AFtoMG</f>
        <v>0</v>
      </c>
      <c r="DK198" s="712">
        <f>Sheet1!DY198*AFtoMG</f>
        <v>0</v>
      </c>
      <c r="DL198" s="712">
        <f>Sheet1!DZ198*AFtoMG</f>
        <v>0</v>
      </c>
      <c r="DM198" s="712">
        <f t="shared" si="691"/>
        <v>0</v>
      </c>
      <c r="DN198" s="712">
        <f t="shared" si="692"/>
        <v>0</v>
      </c>
      <c r="DO198" s="712">
        <f t="shared" si="693"/>
        <v>3259.4524119947846</v>
      </c>
      <c r="DP198" s="712">
        <f t="shared" si="694"/>
        <v>10000</v>
      </c>
      <c r="DQ198" s="712"/>
      <c r="DR198" s="697">
        <f>IF(OR(B198&lt;FL198,B198&gt;FM198),(MIN(AV198+BO198+CJ198+MAX(Sheet1!AA198+AG198-73,0),K198)),0)</f>
        <v>11.145974969722479</v>
      </c>
      <c r="DS198" s="712"/>
      <c r="DT198" s="712">
        <f t="shared" si="695"/>
        <v>11.145974969722479</v>
      </c>
      <c r="DU198" s="712"/>
      <c r="DV198" s="712">
        <f>Sheet1!ED198+Sheet1!EE198+Sheet1!EF198+Sheet1!EG198</f>
        <v>11</v>
      </c>
      <c r="DW198" s="712"/>
      <c r="DX198" s="697">
        <f t="shared" si="696"/>
        <v>0</v>
      </c>
      <c r="DY198" s="712">
        <f>IF(Sheet1!FN198=1,SUM('Calculations II'!AT198:BA198)+'Calculations II'!BC198+Sheet1!BU198+'Calculations II'!BE198+AF198,SUM('Calculations II'!AT198:BA198)+'Calculations II'!BC198+Sheet1!BU198+'Calculations II'!BE198+AF198)</f>
        <v>61.666736</v>
      </c>
      <c r="DZ198" s="712">
        <f>Sheet1!AA198+Sheet1!AB198+'Calculations II'!BC198</f>
        <v>70.087568000008147</v>
      </c>
      <c r="EA198" s="712"/>
      <c r="EB198" s="712"/>
      <c r="EC198" s="712">
        <f t="shared" si="697"/>
        <v>40727</v>
      </c>
      <c r="ED198" s="712">
        <f t="shared" si="698"/>
        <v>0</v>
      </c>
      <c r="EE198" s="712">
        <f t="shared" si="699"/>
        <v>0</v>
      </c>
      <c r="EF198" s="712">
        <f>-(VLOOKUP(Sheet1!BQ198,Lookup!$B$4:$J$236,2)-VLOOKUP(Sheet1!BQ197,Lookup!$B$4:$J$236,2))/1000000</f>
        <v>1.8731</v>
      </c>
      <c r="EG198" s="712">
        <f>-(VLOOKUP(Sheet1!BR198,Lookup!$B$4:$J$236,3)-VLOOKUP(Sheet1!BR197,Lookup!$B$4:$J$236,3))/1000000</f>
        <v>1.8695999999999999</v>
      </c>
      <c r="EH198" s="712">
        <f>-(VLOOKUP(Sheet1!BS198,Lookup!$B$4:$J$236,4)-VLOOKUP(Sheet1!BS197,Lookup!$B$4:$J$236,4))/1000000</f>
        <v>0</v>
      </c>
      <c r="EI198" s="697">
        <f t="shared" si="700"/>
        <v>3.7427000000000001</v>
      </c>
      <c r="EJ198" s="712"/>
      <c r="EK198" s="712"/>
      <c r="EL198" s="712"/>
      <c r="EM198" s="712"/>
      <c r="EN198" s="712"/>
      <c r="EO198" s="712"/>
      <c r="EP198" s="712"/>
      <c r="EQ198" s="712"/>
      <c r="ES198" s="712"/>
      <c r="ET198" s="794">
        <f t="shared" si="720"/>
        <v>1138.9000000000001</v>
      </c>
      <c r="EU198" s="800">
        <v>15000</v>
      </c>
      <c r="EV198" s="795">
        <f t="shared" si="640"/>
        <v>23727.300000117255</v>
      </c>
      <c r="EW198" s="796" t="s">
        <v>757</v>
      </c>
      <c r="EX198" s="796" t="s">
        <v>757</v>
      </c>
      <c r="EY198" s="794">
        <v>0</v>
      </c>
      <c r="EZ198" s="798">
        <v>23745.200000056335</v>
      </c>
      <c r="FA198" s="712"/>
      <c r="FB198" s="712"/>
      <c r="FC198" s="712"/>
      <c r="FD198" s="712"/>
      <c r="FE198" s="712">
        <f>O198+Sheet1!CO198</f>
        <v>7384.240000000008</v>
      </c>
      <c r="FF198" s="712">
        <f>IF(Sheet1!AA198+AG198&lt;=Calculation!N198,AG198,Calculation!N198-Sheet1!AA198)</f>
        <v>13.794025030279849</v>
      </c>
      <c r="FG198" s="712">
        <f>(Sheet1!BP198+Sheet1!BO198)/694.4</f>
        <v>4.0871255760368665</v>
      </c>
      <c r="FH198" s="712"/>
      <c r="FI198" s="712"/>
      <c r="FJ198" s="712"/>
      <c r="FK198" s="712"/>
      <c r="FL198" s="714">
        <f t="shared" si="632"/>
        <v>40753</v>
      </c>
      <c r="FM198" s="714">
        <f t="shared" si="633"/>
        <v>40851</v>
      </c>
      <c r="FN198" s="712"/>
      <c r="FO198" s="712"/>
      <c r="FP198" s="712"/>
      <c r="FQ198" s="712"/>
      <c r="FR198" s="712"/>
      <c r="FS198" s="725">
        <f t="shared" si="634"/>
        <v>40603</v>
      </c>
      <c r="FT198" s="714">
        <f t="shared" si="635"/>
        <v>40709</v>
      </c>
      <c r="FU198" s="712">
        <f t="shared" si="636"/>
        <v>6518.9048239895692</v>
      </c>
      <c r="FV198" s="714">
        <f t="shared" si="637"/>
        <v>40722</v>
      </c>
      <c r="FW198" s="712">
        <f t="shared" si="638"/>
        <v>3259.4524119947846</v>
      </c>
      <c r="FX198" s="725">
        <f t="shared" si="639"/>
        <v>40851</v>
      </c>
      <c r="FZ198" s="697">
        <f t="shared" si="616"/>
        <v>0</v>
      </c>
      <c r="GA198" s="712" t="str">
        <f t="shared" si="701"/>
        <v/>
      </c>
      <c r="GB198" s="712">
        <f t="shared" si="702"/>
        <v>0</v>
      </c>
      <c r="GC198" s="712" t="str">
        <f t="shared" si="703"/>
        <v/>
      </c>
      <c r="GD198" s="712">
        <f>IF(GA198="P",Lookup!$M$12,IF(GA198="PP",Lookup!$M$13,IF(GA198="PPP",Lookup!$M$14,IF(GA198="T",Lookup!$M$15,IF(GA198="TP",Lookup!$M$16,IF(GA198="TPP",Lookup!$M$17,IF(GA198="TPPP",Lookup!$M$18,0)))))))*FZ198</f>
        <v>0</v>
      </c>
      <c r="GE198" s="712">
        <f t="shared" si="704"/>
        <v>0</v>
      </c>
      <c r="GF198" s="712">
        <f t="shared" si="705"/>
        <v>4166.6666666666661</v>
      </c>
      <c r="GG198" s="712">
        <f t="shared" si="706"/>
        <v>1358.1051716644936</v>
      </c>
      <c r="GH198" s="712"/>
      <c r="GI198" s="712">
        <f t="shared" si="707"/>
        <v>0</v>
      </c>
      <c r="GJ198" s="712" t="str">
        <f t="shared" si="708"/>
        <v/>
      </c>
      <c r="GK198" s="712">
        <f>IF(GA198="P",Lookup!$N$12,IF(GA198="PP",Lookup!$N$13,IF(GA198="PPP",Lookup!$N$14,IF(GA198="T",Lookup!$N$15,IF(GA198="TP",Lookup!$N$16,IF(GA198="TPP",Lookup!$N$17,IF(GA198="TPPP",Lookup!$N$18,0)))))))*FZ198</f>
        <v>0</v>
      </c>
      <c r="GL198" s="712">
        <f t="shared" si="709"/>
        <v>0</v>
      </c>
      <c r="GM198" s="712">
        <f t="shared" si="710"/>
        <v>1944.4444444444441</v>
      </c>
      <c r="GN198" s="712">
        <f t="shared" si="711"/>
        <v>633.7824134434303</v>
      </c>
      <c r="GO198" s="712"/>
      <c r="GP198" s="712">
        <f t="shared" si="712"/>
        <v>0</v>
      </c>
      <c r="GQ198" s="712" t="str">
        <f t="shared" si="713"/>
        <v/>
      </c>
      <c r="GR198" s="712">
        <f>IF(GA198="P",Lookup!$N$12,IF(GA198="PP",Lookup!$N$13,IF(GA198="PPP",Lookup!$N$14,IF(GA198="T",Lookup!$N$15,IF(GA198="TP",Lookup!$N$16,IF(GA198="TPP",Lookup!$N$17,IF(GA198="TPPP",Lookup!$N$18,0)))))))*FZ198</f>
        <v>0</v>
      </c>
      <c r="GS198" s="697">
        <f t="shared" si="628"/>
        <v>0</v>
      </c>
      <c r="GT198" s="712">
        <f t="shared" si="714"/>
        <v>1944.4444444444441</v>
      </c>
      <c r="GU198" s="712">
        <f t="shared" si="715"/>
        <v>633.7824134434303</v>
      </c>
      <c r="GV198" s="712"/>
      <c r="GW198" s="712">
        <f t="shared" si="716"/>
        <v>0</v>
      </c>
      <c r="GX198" s="712" t="str">
        <f t="shared" si="717"/>
        <v/>
      </c>
      <c r="GY198" s="712">
        <f>IF(GA198="P",Lookup!$N$12,IF(GA198="PP",Lookup!$N$13,IF(GA198="PPP",Lookup!$N$14,IF(GA198="T",Lookup!$N$15,IF(GA198="TP",Lookup!$N$16,IF(GA198="TPP",Lookup!$N$17,IF(GA198="TPPP",Lookup!$N$18,0)))))))*FZ198</f>
        <v>0</v>
      </c>
      <c r="GZ198" s="697">
        <f t="shared" si="629"/>
        <v>0</v>
      </c>
      <c r="HA198" s="712">
        <f t="shared" si="718"/>
        <v>1944.4444444444441</v>
      </c>
      <c r="HB198" s="712">
        <f t="shared" si="719"/>
        <v>633.7824134434303</v>
      </c>
      <c r="HC198" s="712"/>
    </row>
    <row r="199" spans="1:211">
      <c r="A199" s="773" t="s">
        <v>4</v>
      </c>
      <c r="B199" s="708">
        <v>40728</v>
      </c>
      <c r="C199" s="709">
        <v>0.5</v>
      </c>
      <c r="D199" s="675">
        <f t="shared" si="641"/>
        <v>300</v>
      </c>
      <c r="E199" s="675">
        <f t="shared" si="642"/>
        <v>250</v>
      </c>
      <c r="F199" s="675">
        <v>250</v>
      </c>
      <c r="G199" s="712">
        <f>DH199+Sheet1!CV199</f>
        <v>817.25207744073066</v>
      </c>
      <c r="H199" s="712">
        <f t="shared" si="643"/>
        <v>261.30854285768828</v>
      </c>
      <c r="I199" s="711">
        <f>MAX(Sheet1!Z199-AJ199+(Sheet1!CW199-E199)*CFStoMGD,0)</f>
        <v>629.29235954500473</v>
      </c>
      <c r="J199" s="720">
        <f>IF(AND(B199&gt;=Calculation!FS199,B199&lt;=Calculation!FT199),IF(Sheet1!CX199&gt;=Calculation!D199,64.64,0),MAX(Sheet1!Z199-AJ199+(Sheet1!CX199-D199)*CFStoMGD,0))</f>
        <v>351.0171595450048</v>
      </c>
      <c r="K199" s="697">
        <f t="shared" si="644"/>
        <v>64.64</v>
      </c>
      <c r="L199" s="712">
        <f>Sheet1!AA199+Sheet1!AB199-Sheet1!L199+(Sheet1!CW199-F199)*CFStoMGD</f>
        <v>681.47466666667094</v>
      </c>
      <c r="M199" s="712">
        <f t="shared" si="645"/>
        <v>538.83717771484203</v>
      </c>
      <c r="N199" s="712">
        <f>IF(Sheet1!CW199&gt;=F199,MIN(73,MIN(MAX(L199,0),MAX(M199,0))),0)</f>
        <v>73</v>
      </c>
      <c r="O199" s="721">
        <f>Sheet1!AA199+Sheet1!AB199</f>
        <v>61.200000000004366</v>
      </c>
      <c r="P199" s="721">
        <f t="shared" si="646"/>
        <v>94.676400000006751</v>
      </c>
      <c r="Q199" s="712">
        <f>MIN(N199,Sheet1!AA199+AG199)</f>
        <v>50.15230712166597</v>
      </c>
      <c r="R199" s="712">
        <f t="shared" si="647"/>
        <v>11.047692878338399</v>
      </c>
      <c r="S199" s="721">
        <f>Sheet1!Y199*MGDtoCFS</f>
        <v>53.835599999999992</v>
      </c>
      <c r="T199" s="721">
        <f>Sheet1!Z199*MGDtoCFS</f>
        <v>38.520299999999999</v>
      </c>
      <c r="U199" s="721">
        <f>Sheet1!AA199*MGDtoCFS</f>
        <v>53.015690000006302</v>
      </c>
      <c r="V199" s="721">
        <f>Sheet1!AB199*MGDtoCFS</f>
        <v>41.660710000000449</v>
      </c>
      <c r="W199" s="721">
        <f>Sheet1!L199*MGDtoCFS</f>
        <v>0</v>
      </c>
      <c r="X199" s="697">
        <f t="shared" si="648"/>
        <v>0</v>
      </c>
      <c r="Y199" s="712">
        <f t="shared" si="649"/>
        <v>0</v>
      </c>
      <c r="Z199" s="712">
        <f t="shared" si="650"/>
        <v>0</v>
      </c>
      <c r="AA199" s="712">
        <f t="shared" si="651"/>
        <v>0</v>
      </c>
      <c r="AB199" s="712">
        <f>(VLOOKUP(Sheet1!CY199,hhdcap_wcm,4)-(((VLOOKUP(Sheet1!CY199,hhdcap_wcm,3)-Sheet1!CY199)/(VLOOKUP(Sheet1!CY199,hhdcap_wcm,3)-VLOOKUP(Sheet1!CY199,hhdcap_wcm,1)))*(VLOOKUP(Sheet1!CY199,hhdcap_wcm,4)-VLOOKUP(Sheet1!CY199,hhdcap_wcm,2))))</f>
        <v>49699.580000117006</v>
      </c>
      <c r="AC199" s="712">
        <f t="shared" si="652"/>
        <v>-247.72000000024855</v>
      </c>
      <c r="AD199" s="712">
        <f t="shared" si="653"/>
        <v>3259.4524119947846</v>
      </c>
      <c r="AE199" s="712">
        <f t="shared" si="654"/>
        <v>10000</v>
      </c>
      <c r="AF199" s="712">
        <f>Sheet1!BA199+Sheet1!BB199+Sheet1!BN199+BT199</f>
        <v>15.9</v>
      </c>
      <c r="AG199" s="712">
        <f t="shared" si="655"/>
        <v>15.882307121661892</v>
      </c>
      <c r="AH199" s="712">
        <f>Sheet1!BA199+BT199</f>
        <v>0</v>
      </c>
      <c r="AI199" s="712">
        <f>Sheet1!BA199+Sheet1!BB199+BT199</f>
        <v>0</v>
      </c>
      <c r="AJ199" s="712">
        <f>IF((Sheet1!AA199+AG199+AX199+AZ199+BQ199+BS199+CL199+CN199)&lt;=N199,AG199+AX199+AZ199+BQ199+BS199+CL199+CN199,N199-Sheet1!AA199)</f>
        <v>15.882307121661892</v>
      </c>
      <c r="AK199" s="712">
        <f>IF(DR199&lt;K199,0,MAX(Sheet1!AA199+AG199-15/36*K199-N199,Sheet1!ED199,0))</f>
        <v>0</v>
      </c>
      <c r="AL199" s="712">
        <f>IF(OR(B199&gt;=FT199,B199&lt;FS199),0,15/36*K199-MAX(0,64.6-(137.6-(Sheet1!AA199+Sheet1!AB199))))</f>
        <v>0</v>
      </c>
      <c r="AM199" s="712">
        <f>Sheet1!CX199-110</f>
        <v>719.08333333333337</v>
      </c>
      <c r="AN199" s="712">
        <f>Sheet1!CW199-265</f>
        <v>944.58333333333326</v>
      </c>
      <c r="AO199" s="712">
        <f t="shared" si="622"/>
        <v>22.84769287833403</v>
      </c>
      <c r="AP199" s="712">
        <f t="shared" si="656"/>
        <v>0</v>
      </c>
      <c r="AQ199" s="712">
        <f t="shared" si="657"/>
        <v>0</v>
      </c>
      <c r="AR199" s="712">
        <f t="shared" si="658"/>
        <v>1358.1051716644936</v>
      </c>
      <c r="AS199" s="712"/>
      <c r="AT199" s="712">
        <f ca="1">IF(B199&gt;Summary!$A$1,#N/A,AR199*MGtoAF)</f>
        <v>4166.6666666666661</v>
      </c>
      <c r="AU199" s="712">
        <f>Sheet1!BG199+Sheet1!BH199+Sheet1!BI199-BC199</f>
        <v>0</v>
      </c>
      <c r="AV199" s="712">
        <f t="shared" si="659"/>
        <v>0</v>
      </c>
      <c r="AW199" s="712">
        <f>IF(Sheet1!EL199="FM",BC199,0)</f>
        <v>0</v>
      </c>
      <c r="AX199" s="712">
        <f t="shared" si="660"/>
        <v>0</v>
      </c>
      <c r="AY199" s="712">
        <f>IF(Sheet1!EL199="OTHER",BC199,0)</f>
        <v>0</v>
      </c>
      <c r="AZ199" s="712">
        <f t="shared" si="661"/>
        <v>0</v>
      </c>
      <c r="BA199" s="712">
        <f t="shared" si="662"/>
        <v>0</v>
      </c>
      <c r="BB199" s="712">
        <f t="shared" si="663"/>
        <v>0</v>
      </c>
      <c r="BC199" s="712">
        <f>IF(OR(Sheet1!EL199="FM", Sheet1!EL199="OTHER"),SUM(Sheet1!BG199:'Sheet1'!BI199),0)</f>
        <v>0</v>
      </c>
      <c r="BD199" s="697">
        <f>IF(AND($B199&gt;=$FL199,$B199&lt;=$FM199),MAX(AV199,Sheet1!EE199,0),MAX(AV199-(7/36)*$K199,0))</f>
        <v>0</v>
      </c>
      <c r="BE199" s="712">
        <f t="shared" si="664"/>
        <v>0</v>
      </c>
      <c r="BF199" s="697">
        <f t="shared" si="665"/>
        <v>0</v>
      </c>
      <c r="BG199" s="697">
        <f>IF(AND($O199&gt;0,Sheet1!EI199=1),(1-($O199-Sheet1!$L199)/$O199)*BB199,0)</f>
        <v>0</v>
      </c>
      <c r="BH199" s="697">
        <f>IF(AND(Sheet1!$L199=0,Sheet1!$L198=0, Calculation!BA199&lt;Sheet1!$EE199-0.1,Sheet1!$EE199=Sheet1!$EE198,Sheet1!$EE199=Sheet1!$EE200),Sheet1!$EE199,BB199-BG199)</f>
        <v>0</v>
      </c>
      <c r="BI199" s="712"/>
      <c r="BJ199" s="712"/>
      <c r="BK199" s="712">
        <f t="shared" si="666"/>
        <v>633.7824134434303</v>
      </c>
      <c r="BL199" s="712"/>
      <c r="BM199" s="712">
        <f ca="1">IF(B199&gt;Summary!$A$1,#N/A,BK199*MGtoAF)</f>
        <v>1944.4444444444441</v>
      </c>
      <c r="BN199" s="712">
        <f>Sheet1!BC199+Sheet1!BD199+Sheet1!BE199+Sheet1!BF199-BW199-BX199</f>
        <v>2.5099999999999998</v>
      </c>
      <c r="BO199" s="712">
        <f t="shared" si="667"/>
        <v>2.5072069732937954</v>
      </c>
      <c r="BP199" s="712">
        <f>IF(Sheet1!EM199="FM",BX199,0)</f>
        <v>0</v>
      </c>
      <c r="BQ199" s="712">
        <f t="shared" si="668"/>
        <v>0</v>
      </c>
      <c r="BR199" s="712">
        <f>IF(Sheet1!EM199="OTHER",BX199,0)</f>
        <v>0</v>
      </c>
      <c r="BS199" s="712">
        <f t="shared" si="669"/>
        <v>0</v>
      </c>
      <c r="BT199" s="712">
        <f t="shared" si="670"/>
        <v>0</v>
      </c>
      <c r="BU199" s="712">
        <f t="shared" si="671"/>
        <v>2.5099999999999998</v>
      </c>
      <c r="BV199" s="712">
        <f t="shared" si="672"/>
        <v>2.5072069732937954</v>
      </c>
      <c r="BW199" s="712">
        <f>IF(Sheet1!EM199="CWA",SUM(Sheet1!BC199:'Sheet1'!BF199),0)</f>
        <v>0</v>
      </c>
      <c r="BX199" s="712">
        <f>IF(OR(Sheet1!EM199="FM", Sheet1!EM199="OTHER"),SUM(Sheet1!BC199:'Sheet1'!BF199),0)</f>
        <v>0</v>
      </c>
      <c r="BY199" s="697">
        <f>IF(AND($B199&gt;=$FL199,$B199&lt;=$FM199),MAX(BV199,Sheet1!EF199,0),MAX(BV199-(7/36)*$K199,0))</f>
        <v>0</v>
      </c>
      <c r="BZ199" s="712">
        <f t="shared" si="673"/>
        <v>0</v>
      </c>
      <c r="CA199" s="697">
        <f t="shared" si="674"/>
        <v>2.5072069732937954</v>
      </c>
      <c r="CB199" s="697">
        <f>IF(AND($O199&gt;0,Sheet1!EJ199=1),(1-($O199-Sheet1!$L199)/$O199)*BV199,0)</f>
        <v>0</v>
      </c>
      <c r="CC199" s="697">
        <f>IF(AND(Sheet1!$L199=0,Sheet1!$L198=0, Calculation!BU199&lt;Sheet1!EF199-0.1,Sheet1!EF199=Sheet1!EF198,Sheet1!EF199=Sheet1!EF200),Sheet1!EF199,BV199-CB199)</f>
        <v>2.5072069732937954</v>
      </c>
      <c r="CD199" s="697"/>
      <c r="CE199" s="712"/>
      <c r="CF199" s="712">
        <f t="shared" si="675"/>
        <v>633.7824134434303</v>
      </c>
      <c r="CG199" s="712"/>
      <c r="CH199" s="712">
        <f ca="1">IF(B199&gt;Summary!$A$1,#N/A,CF199*MGtoAF)</f>
        <v>1944.4444444444441</v>
      </c>
      <c r="CI199" s="712">
        <f>Sheet1!BK199+Sheet1!BL199+Sheet1!BM199-Sheet1!EN199-CQ199</f>
        <v>8.5500000000000007</v>
      </c>
      <c r="CJ199" s="712">
        <f t="shared" si="676"/>
        <v>8.5404859050446031</v>
      </c>
      <c r="CK199" s="712">
        <f>IF(Sheet1!EN199="FM",CQ199,0)</f>
        <v>0</v>
      </c>
      <c r="CL199" s="712">
        <f t="shared" si="677"/>
        <v>0</v>
      </c>
      <c r="CM199" s="712">
        <f>IF(Sheet1!EN199="OTHER",CQ199,0)</f>
        <v>0</v>
      </c>
      <c r="CN199" s="712">
        <f t="shared" si="678"/>
        <v>0</v>
      </c>
      <c r="CO199" s="712">
        <f t="shared" si="679"/>
        <v>8.5500000000000007</v>
      </c>
      <c r="CP199" s="712">
        <f t="shared" si="680"/>
        <v>8.5404859050446031</v>
      </c>
      <c r="CQ199" s="712">
        <f>IF(OR(Sheet1!EN199="FM", Sheet1!EN199="OTHER"),SUM(Sheet1!BK199:'Sheet1'!BM199),0)</f>
        <v>0</v>
      </c>
      <c r="CR199" s="697">
        <f>IF(AND($B199&gt;=$FL199,$B199&lt;=$FM199),MAX($CJ199,Sheet1!EG199,0),MAX($CJ199-(7/36)*$K199,0))</f>
        <v>0</v>
      </c>
      <c r="CS199" s="712">
        <f t="shared" si="681"/>
        <v>0</v>
      </c>
      <c r="CT199" s="697">
        <f t="shared" si="682"/>
        <v>8.5404859050446031</v>
      </c>
      <c r="CU199" s="697">
        <f>IF(AND($O199&gt;0,Sheet1!EK199=1),(1-($O199-Sheet1!$L199)/$O199)*CP199,0)</f>
        <v>0</v>
      </c>
      <c r="CV199" s="697">
        <f>IF(AND(Sheet1!$L199=0,Sheet1!$L198=0, Calculation!CO199&lt;Sheet1!$EG199-0.1,Sheet1!$EG199=Sheet1!$EG198,Sheet1!$EG199=Sheet1!$EG200),Sheet1!$EG199,CP199-CU199)</f>
        <v>8.5404859050446031</v>
      </c>
      <c r="CW199" s="697">
        <f t="shared" si="613"/>
        <v>0</v>
      </c>
      <c r="CX199" s="712">
        <f t="shared" si="683"/>
        <v>11.06</v>
      </c>
      <c r="CY199" s="712">
        <f t="shared" si="684"/>
        <v>633.7824134434303</v>
      </c>
      <c r="CZ199" s="712">
        <f t="shared" si="685"/>
        <v>11.047692878338399</v>
      </c>
      <c r="DA199" s="712">
        <f ca="1">IF(B199&gt;Summary!$A$1,#N/A,CY199*MGtoAF)</f>
        <v>1944.4444444444441</v>
      </c>
      <c r="DB199" s="712">
        <f t="shared" si="686"/>
        <v>11.06</v>
      </c>
      <c r="DC199" s="712">
        <f t="shared" si="687"/>
        <v>26.96</v>
      </c>
      <c r="DD199" s="712">
        <f>Sheet1!AB199-DC199</f>
        <v>-2.9999999999709814E-2</v>
      </c>
      <c r="DE199" s="712">
        <f t="shared" si="688"/>
        <v>-1.1127596439061502E-3</v>
      </c>
      <c r="DF199" s="712">
        <f>(VLOOKUP(Sheet1!CY199,hhdcap_wcm,4)-(((VLOOKUP(Sheet1!CY199,hhdcap_wcm,3)-Sheet1!CY199)/(VLOOKUP(Sheet1!CY199,hhdcap_wcm,3)-VLOOKUP(Sheet1!CY199,hhdcap_wcm,1)))*(VLOOKUP(Sheet1!CY199,hhdcap_wcm,4)-VLOOKUP(Sheet1!CY199,hhdcap_wcm,2))))</f>
        <v>49699.580000117006</v>
      </c>
      <c r="DG199" s="712">
        <f t="shared" si="689"/>
        <v>-247.72000000024855</v>
      </c>
      <c r="DH199" s="712">
        <f t="shared" si="690"/>
        <v>-124.92183560274761</v>
      </c>
      <c r="DI199" s="712">
        <f>Sheet1!DW199*AFtoMG</f>
        <v>0</v>
      </c>
      <c r="DJ199" s="712">
        <f>Sheet1!DX199*AFtoMG</f>
        <v>0</v>
      </c>
      <c r="DK199" s="712">
        <f>Sheet1!DY199*AFtoMG</f>
        <v>0</v>
      </c>
      <c r="DL199" s="712">
        <f>Sheet1!DZ199*AFtoMG</f>
        <v>0</v>
      </c>
      <c r="DM199" s="712">
        <f t="shared" si="691"/>
        <v>0</v>
      </c>
      <c r="DN199" s="712">
        <f t="shared" si="692"/>
        <v>0</v>
      </c>
      <c r="DO199" s="712">
        <f t="shared" si="693"/>
        <v>3259.4524119947846</v>
      </c>
      <c r="DP199" s="712">
        <f t="shared" si="694"/>
        <v>10000</v>
      </c>
      <c r="DQ199" s="712"/>
      <c r="DR199" s="697">
        <f>IF(OR(B199&lt;FL199,B199&gt;FM199),(MIN(AV199+BO199+CJ199+MAX(Sheet1!AA199+AG199-73,0),K199)),0)</f>
        <v>11.047692878338399</v>
      </c>
      <c r="DS199" s="712"/>
      <c r="DT199" s="712">
        <f t="shared" si="695"/>
        <v>11.047692878338399</v>
      </c>
      <c r="DU199" s="712"/>
      <c r="DV199" s="712">
        <f>Sheet1!ED199+Sheet1!EE199+Sheet1!EF199+Sheet1!EG199</f>
        <v>11</v>
      </c>
      <c r="DW199" s="712"/>
      <c r="DX199" s="697">
        <f t="shared" si="696"/>
        <v>0</v>
      </c>
      <c r="DY199" s="712">
        <f>IF(Sheet1!FN199=1,SUM('Calculations II'!AT199:BA199)+'Calculations II'!BC199+Sheet1!BU199+'Calculations II'!BE199+AF199,SUM('Calculations II'!AT199:BA199)+'Calculations II'!BC199+Sheet1!BU199+'Calculations II'!BE199+AF199)</f>
        <v>64.790559999999999</v>
      </c>
      <c r="DZ199" s="712">
        <f>Sheet1!AA199+Sheet1!AB199+'Calculations II'!BC199</f>
        <v>71.748432000004371</v>
      </c>
      <c r="EA199" s="712"/>
      <c r="EB199" s="712"/>
      <c r="EC199" s="712">
        <f t="shared" si="697"/>
        <v>40728</v>
      </c>
      <c r="ED199" s="712">
        <f t="shared" si="698"/>
        <v>0</v>
      </c>
      <c r="EE199" s="712">
        <f t="shared" si="699"/>
        <v>0</v>
      </c>
      <c r="EF199" s="712">
        <f>-(VLOOKUP(Sheet1!BQ199,Lookup!$B$4:$J$236,2)-VLOOKUP(Sheet1!BQ198,Lookup!$B$4:$J$236,2))/1000000</f>
        <v>2.9142999999999999</v>
      </c>
      <c r="EG199" s="712">
        <f>-(VLOOKUP(Sheet1!BR199,Lookup!$B$4:$J$236,3)-VLOOKUP(Sheet1!BR198,Lookup!$B$4:$J$236,3))/1000000</f>
        <v>2.6461999999999999</v>
      </c>
      <c r="EH199" s="712">
        <f>-(VLOOKUP(Sheet1!BS199,Lookup!$B$4:$J$236,4)-VLOOKUP(Sheet1!BS198,Lookup!$B$4:$J$236,4))/1000000</f>
        <v>0</v>
      </c>
      <c r="EI199" s="697">
        <f t="shared" si="700"/>
        <v>5.5604999999999993</v>
      </c>
      <c r="EJ199" s="712"/>
      <c r="EK199" s="712"/>
      <c r="EL199" s="712"/>
      <c r="EM199" s="712"/>
      <c r="EN199" s="712"/>
      <c r="EO199" s="712"/>
      <c r="EP199" s="712"/>
      <c r="EQ199" s="712"/>
      <c r="ES199" s="712"/>
      <c r="ET199" s="794">
        <f t="shared" si="720"/>
        <v>1138.8</v>
      </c>
      <c r="EU199" s="800">
        <v>15000</v>
      </c>
      <c r="EV199" s="795">
        <f t="shared" si="640"/>
        <v>23479.580000117006</v>
      </c>
      <c r="EW199" s="796" t="s">
        <v>757</v>
      </c>
      <c r="EX199" s="796" t="s">
        <v>757</v>
      </c>
      <c r="EY199" s="794">
        <v>0</v>
      </c>
      <c r="EZ199" s="798">
        <v>23673.800000056333</v>
      </c>
      <c r="FA199" s="712"/>
      <c r="FB199" s="712"/>
      <c r="FC199" s="712"/>
      <c r="FD199" s="712"/>
      <c r="FE199" s="712">
        <f>O199+Sheet1!CO199</f>
        <v>7386.5000000000045</v>
      </c>
      <c r="FF199" s="712">
        <f>IF(Sheet1!AA199+AG199&lt;=Calculation!N199,AG199,Calculation!N199-Sheet1!AA199)</f>
        <v>15.882307121661892</v>
      </c>
      <c r="FG199" s="712">
        <f>(Sheet1!BP199+Sheet1!BO199)/694.4</f>
        <v>4.0750288018433185</v>
      </c>
      <c r="FH199" s="712"/>
      <c r="FI199" s="712"/>
      <c r="FJ199" s="712"/>
      <c r="FK199" s="712"/>
      <c r="FL199" s="714">
        <f t="shared" si="632"/>
        <v>40753</v>
      </c>
      <c r="FM199" s="714">
        <f t="shared" si="633"/>
        <v>40851</v>
      </c>
      <c r="FN199" s="712"/>
      <c r="FO199" s="712"/>
      <c r="FP199" s="712"/>
      <c r="FQ199" s="712"/>
      <c r="FR199" s="712"/>
      <c r="FS199" s="725">
        <f t="shared" si="634"/>
        <v>40603</v>
      </c>
      <c r="FT199" s="714">
        <f t="shared" si="635"/>
        <v>40709</v>
      </c>
      <c r="FU199" s="712">
        <f t="shared" si="636"/>
        <v>6518.9048239895692</v>
      </c>
      <c r="FV199" s="714">
        <f t="shared" si="637"/>
        <v>40722</v>
      </c>
      <c r="FW199" s="712">
        <f t="shared" si="638"/>
        <v>3259.4524119947846</v>
      </c>
      <c r="FX199" s="725">
        <f t="shared" si="639"/>
        <v>40851</v>
      </c>
      <c r="FZ199" s="697">
        <f t="shared" si="616"/>
        <v>0</v>
      </c>
      <c r="GA199" s="712" t="str">
        <f t="shared" si="701"/>
        <v/>
      </c>
      <c r="GB199" s="712">
        <f t="shared" si="702"/>
        <v>0</v>
      </c>
      <c r="GC199" s="712" t="str">
        <f t="shared" si="703"/>
        <v/>
      </c>
      <c r="GD199" s="712">
        <f>IF(GA199="P",Lookup!$M$12,IF(GA199="PP",Lookup!$M$13,IF(GA199="PPP",Lookup!$M$14,IF(GA199="T",Lookup!$M$15,IF(GA199="TP",Lookup!$M$16,IF(GA199="TPP",Lookup!$M$17,IF(GA199="TPPP",Lookup!$M$18,0)))))))*FZ199</f>
        <v>0</v>
      </c>
      <c r="GE199" s="712">
        <f t="shared" si="704"/>
        <v>0</v>
      </c>
      <c r="GF199" s="712">
        <f t="shared" si="705"/>
        <v>4166.6666666666661</v>
      </c>
      <c r="GG199" s="712">
        <f t="shared" si="706"/>
        <v>1358.1051716644936</v>
      </c>
      <c r="GH199" s="712"/>
      <c r="GI199" s="712">
        <f t="shared" si="707"/>
        <v>0</v>
      </c>
      <c r="GJ199" s="712" t="str">
        <f t="shared" si="708"/>
        <v/>
      </c>
      <c r="GK199" s="712">
        <f>IF(GA199="P",Lookup!$N$12,IF(GA199="PP",Lookup!$N$13,IF(GA199="PPP",Lookup!$N$14,IF(GA199="T",Lookup!$N$15,IF(GA199="TP",Lookup!$N$16,IF(GA199="TPP",Lookup!$N$17,IF(GA199="TPPP",Lookup!$N$18,0)))))))*FZ199</f>
        <v>0</v>
      </c>
      <c r="GL199" s="712">
        <f t="shared" si="709"/>
        <v>0</v>
      </c>
      <c r="GM199" s="712">
        <f t="shared" si="710"/>
        <v>1944.4444444444441</v>
      </c>
      <c r="GN199" s="712">
        <f t="shared" si="711"/>
        <v>633.7824134434303</v>
      </c>
      <c r="GO199" s="712"/>
      <c r="GP199" s="712">
        <f t="shared" si="712"/>
        <v>0</v>
      </c>
      <c r="GQ199" s="712" t="str">
        <f t="shared" si="713"/>
        <v/>
      </c>
      <c r="GR199" s="712">
        <f>IF(GA199="P",Lookup!$N$12,IF(GA199="PP",Lookup!$N$13,IF(GA199="PPP",Lookup!$N$14,IF(GA199="T",Lookup!$N$15,IF(GA199="TP",Lookup!$N$16,IF(GA199="TPP",Lookup!$N$17,IF(GA199="TPPP",Lookup!$N$18,0)))))))*FZ199</f>
        <v>0</v>
      </c>
      <c r="GS199" s="697">
        <f t="shared" si="628"/>
        <v>0</v>
      </c>
      <c r="GT199" s="712">
        <f t="shared" si="714"/>
        <v>1944.4444444444441</v>
      </c>
      <c r="GU199" s="712">
        <f t="shared" si="715"/>
        <v>633.7824134434303</v>
      </c>
      <c r="GV199" s="712"/>
      <c r="GW199" s="712">
        <f t="shared" si="716"/>
        <v>0</v>
      </c>
      <c r="GX199" s="712" t="str">
        <f t="shared" si="717"/>
        <v/>
      </c>
      <c r="GY199" s="712">
        <f>IF(GA199="P",Lookup!$N$12,IF(GA199="PP",Lookup!$N$13,IF(GA199="PPP",Lookup!$N$14,IF(GA199="T",Lookup!$N$15,IF(GA199="TP",Lookup!$N$16,IF(GA199="TPP",Lookup!$N$17,IF(GA199="TPPP",Lookup!$N$18,0)))))))*FZ199</f>
        <v>0</v>
      </c>
      <c r="GZ199" s="697">
        <f t="shared" si="629"/>
        <v>0</v>
      </c>
      <c r="HA199" s="712">
        <f t="shared" si="718"/>
        <v>1944.4444444444441</v>
      </c>
      <c r="HB199" s="712">
        <f t="shared" si="719"/>
        <v>633.7824134434303</v>
      </c>
      <c r="HC199" s="712"/>
    </row>
    <row r="200" spans="1:211">
      <c r="A200" s="773" t="s">
        <v>5</v>
      </c>
      <c r="B200" s="708">
        <v>40729</v>
      </c>
      <c r="C200" s="719">
        <v>0.5</v>
      </c>
      <c r="D200" s="675">
        <f t="shared" si="641"/>
        <v>300</v>
      </c>
      <c r="E200" s="675">
        <f t="shared" si="642"/>
        <v>250</v>
      </c>
      <c r="F200" s="675">
        <v>250</v>
      </c>
      <c r="G200" s="712">
        <f>DH200+Sheet1!CV200</f>
        <v>761.14775592536387</v>
      </c>
      <c r="H200" s="712">
        <f t="shared" si="643"/>
        <v>225.04270943015518</v>
      </c>
      <c r="I200" s="711">
        <f>MAX(Sheet1!Z200-AJ200+(Sheet1!CW200-E200)*CFStoMGD,0)</f>
        <v>601.53361639096227</v>
      </c>
      <c r="J200" s="720">
        <f>IF(AND(B200&gt;=Calculation!FS200,B200&lt;=Calculation!FT200),IF(Sheet1!CX200&gt;=Calculation!D200,64.64,0),MAX(Sheet1!Z200-AJ200+(Sheet1!CX200-D200)*CFStoMGD,0))</f>
        <v>290.04961639096229</v>
      </c>
      <c r="K200" s="697">
        <f t="shared" si="644"/>
        <v>64.64</v>
      </c>
      <c r="L200" s="712">
        <f>Sheet1!AA200+Sheet1!AB200-Sheet1!L200+(Sheet1!CW200-F200)*CFStoMGD</f>
        <v>660.10866666666777</v>
      </c>
      <c r="M200" s="712">
        <f t="shared" si="645"/>
        <v>501.84602761875834</v>
      </c>
      <c r="N200" s="712">
        <f>IF(Sheet1!CW200&gt;=F200,MIN(73,MIN(MAX(L200,0),MAX(M200,0))),0)</f>
        <v>73</v>
      </c>
      <c r="O200" s="721">
        <f>Sheet1!AA200+Sheet1!AB200</f>
        <v>68.720000000001164</v>
      </c>
      <c r="P200" s="721">
        <f t="shared" si="646"/>
        <v>106.3098400000018</v>
      </c>
      <c r="Q200" s="712">
        <f>MIN(N200,Sheet1!AA200+AG200)</f>
        <v>57.265050275707281</v>
      </c>
      <c r="R200" s="712">
        <f t="shared" si="647"/>
        <v>12.5</v>
      </c>
      <c r="S200" s="721">
        <f>Sheet1!Y200*MGDtoCFS</f>
        <v>53.680900000000001</v>
      </c>
      <c r="T200" s="721">
        <f>Sheet1!Z200*MGDtoCFS</f>
        <v>46.193419999999996</v>
      </c>
      <c r="U200" s="721">
        <f>Sheet1!AA200*MGDtoCFS</f>
        <v>58.089850000004503</v>
      </c>
      <c r="V200" s="721">
        <f>Sheet1!AB200*MGDtoCFS</f>
        <v>48.219989999997296</v>
      </c>
      <c r="W200" s="721">
        <f>Sheet1!L200*MGDtoCFS</f>
        <v>0</v>
      </c>
      <c r="X200" s="697">
        <f t="shared" si="648"/>
        <v>0</v>
      </c>
      <c r="Y200" s="712">
        <f t="shared" si="649"/>
        <v>0</v>
      </c>
      <c r="Z200" s="712">
        <f t="shared" si="650"/>
        <v>0</v>
      </c>
      <c r="AA200" s="712">
        <f t="shared" si="651"/>
        <v>0</v>
      </c>
      <c r="AB200" s="712">
        <f>(VLOOKUP(Sheet1!CY200,hhdcap_wcm,4)-(((VLOOKUP(Sheet1!CY200,hhdcap_wcm,3)-Sheet1!CY200)/(VLOOKUP(Sheet1!CY200,hhdcap_wcm,3)-VLOOKUP(Sheet1!CY200,hhdcap_wcm,1)))*(VLOOKUP(Sheet1!CY200,hhdcap_wcm,4)-VLOOKUP(Sheet1!CY200,hhdcap_wcm,2))))</f>
        <v>49519.420000117003</v>
      </c>
      <c r="AC200" s="712">
        <f t="shared" si="652"/>
        <v>-180.16000000000349</v>
      </c>
      <c r="AD200" s="712">
        <f t="shared" si="653"/>
        <v>3259.4524119947846</v>
      </c>
      <c r="AE200" s="712">
        <f t="shared" si="654"/>
        <v>10000</v>
      </c>
      <c r="AF200" s="712">
        <f>Sheet1!BA200+Sheet1!BB200+Sheet1!BN200+BT200</f>
        <v>19.5</v>
      </c>
      <c r="AG200" s="712">
        <f t="shared" si="655"/>
        <v>19.715050275704375</v>
      </c>
      <c r="AH200" s="712">
        <f>Sheet1!BA200+BT200</f>
        <v>0</v>
      </c>
      <c r="AI200" s="712">
        <f>Sheet1!BA200+Sheet1!BB200+BT200</f>
        <v>0</v>
      </c>
      <c r="AJ200" s="712">
        <f>IF((Sheet1!AA200+AG200+AX200+AZ200+BQ200+BS200+CL200+CN200)&lt;=N200,AG200+AX200+AZ200+BQ200+BS200+CL200+CN200,N200-Sheet1!AA200)</f>
        <v>19.715050275704375</v>
      </c>
      <c r="AK200" s="712">
        <f>IF(DR200&lt;K200,0,MAX(Sheet1!AA200+AG200-15/36*K200-N200,Sheet1!ED200,0))</f>
        <v>0</v>
      </c>
      <c r="AL200" s="712">
        <f>IF(OR(B200&gt;=FT200,B200&lt;FS200),0,15/36*K200-MAX(0,64.6-(137.6-(Sheet1!AA200+Sheet1!AB200))))</f>
        <v>0</v>
      </c>
      <c r="AM200" s="712">
        <f>Sheet1!CX200-110</f>
        <v>623.02083333333337</v>
      </c>
      <c r="AN200" s="712">
        <f>Sheet1!CW200-265</f>
        <v>899.89583333333326</v>
      </c>
      <c r="AO200" s="712">
        <f t="shared" si="622"/>
        <v>15.734949724292719</v>
      </c>
      <c r="AP200" s="712">
        <f t="shared" si="656"/>
        <v>0</v>
      </c>
      <c r="AQ200" s="712">
        <f t="shared" si="657"/>
        <v>0</v>
      </c>
      <c r="AR200" s="712">
        <f t="shared" si="658"/>
        <v>1358.1051716644936</v>
      </c>
      <c r="AS200" s="712"/>
      <c r="AT200" s="712">
        <f ca="1">IF(B200&gt;Summary!$A$1,#N/A,AR200*MGtoAF)</f>
        <v>4166.6666666666661</v>
      </c>
      <c r="AU200" s="712">
        <f>Sheet1!BG200+Sheet1!BH200+Sheet1!BI200-BC200</f>
        <v>0.46</v>
      </c>
      <c r="AV200" s="712">
        <f t="shared" si="659"/>
        <v>0.46507298086276994</v>
      </c>
      <c r="AW200" s="712">
        <f>IF(Sheet1!EL200="FM",BC200,0)</f>
        <v>0</v>
      </c>
      <c r="AX200" s="712">
        <f t="shared" si="660"/>
        <v>0</v>
      </c>
      <c r="AY200" s="712">
        <f>IF(Sheet1!EL200="OTHER",BC200,0)</f>
        <v>0</v>
      </c>
      <c r="AZ200" s="712">
        <f t="shared" si="661"/>
        <v>0</v>
      </c>
      <c r="BA200" s="712">
        <f t="shared" si="662"/>
        <v>0.46</v>
      </c>
      <c r="BB200" s="712">
        <f t="shared" si="663"/>
        <v>0.46507298086276994</v>
      </c>
      <c r="BC200" s="712">
        <f>IF(OR(Sheet1!EL200="FM", Sheet1!EL200="OTHER"),SUM(Sheet1!BG200:'Sheet1'!BI200),0)</f>
        <v>0</v>
      </c>
      <c r="BD200" s="697">
        <f>IF(AND($B200&gt;=$FL200,$B200&lt;=$FM200),MAX(AV200,Sheet1!EE200,0),MAX(AV200-(7/36)*$K200,0))</f>
        <v>0</v>
      </c>
      <c r="BE200" s="712">
        <f t="shared" si="664"/>
        <v>0</v>
      </c>
      <c r="BF200" s="697">
        <f t="shared" si="665"/>
        <v>0.46507298086276994</v>
      </c>
      <c r="BG200" s="697">
        <f>IF(AND($O200&gt;0,Sheet1!EI200=1),(1-($O200-Sheet1!$L200)/$O200)*BB200,0)</f>
        <v>0</v>
      </c>
      <c r="BH200" s="697">
        <f>IF(AND(Sheet1!$L200=0,Sheet1!$L199=0, Calculation!BA200&lt;Sheet1!$EE200-0.1,Sheet1!$EE200=Sheet1!$EE199,Sheet1!$EE200=Sheet1!$EE201),Sheet1!$EE200,BB200-BG200)</f>
        <v>0.46507298086276994</v>
      </c>
      <c r="BI200" s="712"/>
      <c r="BJ200" s="712"/>
      <c r="BK200" s="712">
        <f t="shared" si="666"/>
        <v>633.7824134434303</v>
      </c>
      <c r="BL200" s="712"/>
      <c r="BM200" s="712">
        <f ca="1">IF(B200&gt;Summary!$A$1,#N/A,BK200*MGtoAF)</f>
        <v>1944.4444444444441</v>
      </c>
      <c r="BN200" s="712">
        <f>Sheet1!BC200+Sheet1!BD200+Sheet1!BE200+Sheet1!BF200-BW200-BX200</f>
        <v>2.33</v>
      </c>
      <c r="BO200" s="712">
        <f t="shared" si="667"/>
        <v>2.3556957508918561</v>
      </c>
      <c r="BP200" s="712">
        <f>IF(Sheet1!EM200="FM",BX200,0)</f>
        <v>0</v>
      </c>
      <c r="BQ200" s="712">
        <f t="shared" si="668"/>
        <v>0</v>
      </c>
      <c r="BR200" s="712">
        <f>IF(Sheet1!EM200="OTHER",BX200,0)</f>
        <v>0</v>
      </c>
      <c r="BS200" s="712">
        <f t="shared" si="669"/>
        <v>0</v>
      </c>
      <c r="BT200" s="712">
        <f t="shared" si="670"/>
        <v>0</v>
      </c>
      <c r="BU200" s="712">
        <f t="shared" si="671"/>
        <v>2.33</v>
      </c>
      <c r="BV200" s="712">
        <f t="shared" si="672"/>
        <v>2.3556957508918561</v>
      </c>
      <c r="BW200" s="712">
        <f>IF(Sheet1!EM200="CWA",SUM(Sheet1!BC200:'Sheet1'!BF200),0)</f>
        <v>0</v>
      </c>
      <c r="BX200" s="712">
        <f>IF(OR(Sheet1!EM200="FM", Sheet1!EM200="OTHER"),SUM(Sheet1!BC200:'Sheet1'!BF200),0)</f>
        <v>0</v>
      </c>
      <c r="BY200" s="697">
        <f>IF(AND($B200&gt;=$FL200,$B200&lt;=$FM200),MAX(BV200,Sheet1!EF200,0),MAX(BV200-(7/36)*$K200,0))</f>
        <v>0</v>
      </c>
      <c r="BZ200" s="712">
        <f t="shared" si="673"/>
        <v>0</v>
      </c>
      <c r="CA200" s="697">
        <f t="shared" si="674"/>
        <v>2.3556957508918561</v>
      </c>
      <c r="CB200" s="697">
        <f>IF(AND($O200&gt;0,Sheet1!EJ200=1),(1-($O200-Sheet1!$L200)/$O200)*BV200,0)</f>
        <v>0</v>
      </c>
      <c r="CC200" s="697">
        <f>IF(AND(Sheet1!$L200=0,Sheet1!$L199=0, Calculation!BU200&lt;Sheet1!EF200-0.1,Sheet1!EF200=Sheet1!EF199,Sheet1!EF200=Sheet1!EF201),Sheet1!EF200,BV200-CB200)</f>
        <v>2.3556957508918561</v>
      </c>
      <c r="CD200" s="697"/>
      <c r="CE200" s="712"/>
      <c r="CF200" s="712">
        <f t="shared" si="675"/>
        <v>633.7824134434303</v>
      </c>
      <c r="CG200" s="712"/>
      <c r="CH200" s="712">
        <f ca="1">IF(B200&gt;Summary!$A$1,#N/A,CF200*MGtoAF)</f>
        <v>1944.4444444444441</v>
      </c>
      <c r="CI200" s="712">
        <f>Sheet1!BK200+Sheet1!BL200+Sheet1!BM200-Sheet1!EN200-CQ200</f>
        <v>8.5400000000000009</v>
      </c>
      <c r="CJ200" s="712">
        <f t="shared" si="676"/>
        <v>8.6341809925392514</v>
      </c>
      <c r="CK200" s="712">
        <f>IF(Sheet1!EN200="FM",CQ200,0)</f>
        <v>0</v>
      </c>
      <c r="CL200" s="712">
        <f t="shared" si="677"/>
        <v>0</v>
      </c>
      <c r="CM200" s="712">
        <f>IF(Sheet1!EN200="OTHER",CQ200,0)</f>
        <v>0</v>
      </c>
      <c r="CN200" s="712">
        <f t="shared" si="678"/>
        <v>0</v>
      </c>
      <c r="CO200" s="712">
        <f t="shared" si="679"/>
        <v>8.5400000000000009</v>
      </c>
      <c r="CP200" s="712">
        <f t="shared" si="680"/>
        <v>8.6341809925392514</v>
      </c>
      <c r="CQ200" s="712">
        <f>IF(OR(Sheet1!EN200="FM", Sheet1!EN200="OTHER"),SUM(Sheet1!BK200:'Sheet1'!BM200),0)</f>
        <v>0</v>
      </c>
      <c r="CR200" s="697">
        <f>IF(AND($B200&gt;=$FL200,$B200&lt;=$FM200),MAX($CJ200,Sheet1!EG200,0),MAX($CJ200-(7/36)*$K200,0))</f>
        <v>0</v>
      </c>
      <c r="CS200" s="712">
        <f t="shared" si="681"/>
        <v>0</v>
      </c>
      <c r="CT200" s="697">
        <f t="shared" si="682"/>
        <v>8.6341809925392514</v>
      </c>
      <c r="CU200" s="697">
        <f>IF(AND($O200&gt;0,Sheet1!EK200=1),(1-($O200-Sheet1!$L200)/$O200)*CP200,0)</f>
        <v>0</v>
      </c>
      <c r="CV200" s="697">
        <f>IF(AND(Sheet1!$L200=0,Sheet1!$L199=0, Calculation!CO200&lt;Sheet1!$EG200-0.1,Sheet1!$EG200=Sheet1!$EG199,Sheet1!$EG200=Sheet1!$EG201),Sheet1!$EG200,CP200-CU200)</f>
        <v>8.6341809925392514</v>
      </c>
      <c r="CW200" s="697">
        <f t="shared" ref="CW200:CW263" si="721">CP200-CV200</f>
        <v>0</v>
      </c>
      <c r="CX200" s="712">
        <f t="shared" si="683"/>
        <v>11.330000000000002</v>
      </c>
      <c r="CY200" s="712">
        <f t="shared" si="684"/>
        <v>633.7824134434303</v>
      </c>
      <c r="CZ200" s="712">
        <f t="shared" si="685"/>
        <v>11.454949724293877</v>
      </c>
      <c r="DA200" s="712">
        <f ca="1">IF(B200&gt;Summary!$A$1,#N/A,CY200*MGtoAF)</f>
        <v>1944.4444444444441</v>
      </c>
      <c r="DB200" s="712">
        <f t="shared" si="686"/>
        <v>11.330000000000002</v>
      </c>
      <c r="DC200" s="712">
        <f t="shared" si="687"/>
        <v>30.830000000000002</v>
      </c>
      <c r="DD200" s="712">
        <f>Sheet1!AB200-DC200</f>
        <v>0.33999999999825192</v>
      </c>
      <c r="DE200" s="712">
        <f t="shared" si="688"/>
        <v>1.1028219266891078E-2</v>
      </c>
      <c r="DF200" s="712">
        <f>(VLOOKUP(Sheet1!CY200,hhdcap_wcm,4)-(((VLOOKUP(Sheet1!CY200,hhdcap_wcm,3)-Sheet1!CY200)/(VLOOKUP(Sheet1!CY200,hhdcap_wcm,3)-VLOOKUP(Sheet1!CY200,hhdcap_wcm,1)))*(VLOOKUP(Sheet1!CY200,hhdcap_wcm,4)-VLOOKUP(Sheet1!CY200,hhdcap_wcm,2))))</f>
        <v>49519.420000117003</v>
      </c>
      <c r="DG200" s="712">
        <f t="shared" si="689"/>
        <v>-180.16000000000349</v>
      </c>
      <c r="DH200" s="712">
        <f t="shared" si="690"/>
        <v>-90.852244074636147</v>
      </c>
      <c r="DI200" s="712">
        <f>Sheet1!DW200*AFtoMG</f>
        <v>0</v>
      </c>
      <c r="DJ200" s="712">
        <f>Sheet1!DX200*AFtoMG</f>
        <v>0</v>
      </c>
      <c r="DK200" s="712">
        <f>Sheet1!DY200*AFtoMG</f>
        <v>0</v>
      </c>
      <c r="DL200" s="712">
        <f>Sheet1!DZ200*AFtoMG</f>
        <v>0</v>
      </c>
      <c r="DM200" s="712">
        <f t="shared" si="691"/>
        <v>0</v>
      </c>
      <c r="DN200" s="712">
        <f t="shared" si="692"/>
        <v>0</v>
      </c>
      <c r="DO200" s="712">
        <f t="shared" si="693"/>
        <v>3259.4524119947846</v>
      </c>
      <c r="DP200" s="712">
        <f t="shared" si="694"/>
        <v>10000</v>
      </c>
      <c r="DQ200" s="712"/>
      <c r="DR200" s="697">
        <f>IF(OR(B200&lt;FL200,B200&gt;FM200),(MIN(AV200+BO200+CJ200+MAX(Sheet1!AA200+AG200-73,0),K200)),0)</f>
        <v>11.454949724293877</v>
      </c>
      <c r="DS200" s="712"/>
      <c r="DT200" s="712">
        <f t="shared" si="695"/>
        <v>11.454949724293877</v>
      </c>
      <c r="DU200" s="712"/>
      <c r="DV200" s="712">
        <f>Sheet1!ED200+Sheet1!EE200+Sheet1!EF200+Sheet1!EG200</f>
        <v>12.5</v>
      </c>
      <c r="DW200" s="712"/>
      <c r="DX200" s="697">
        <f t="shared" si="696"/>
        <v>0</v>
      </c>
      <c r="DY200" s="712">
        <f>IF(Sheet1!FN200=1,SUM('Calculations II'!AT200:BA200)+'Calculations II'!BC200+Sheet1!BU200+'Calculations II'!BE200+AF200,SUM('Calculations II'!AT200:BA200)+'Calculations II'!BC200+Sheet1!BU200+'Calculations II'!BE200+AF200)</f>
        <v>67.096896000000015</v>
      </c>
      <c r="DZ200" s="712">
        <f>Sheet1!AA200+Sheet1!AB200+'Calculations II'!BC200</f>
        <v>79.240208000001161</v>
      </c>
      <c r="EA200" s="712"/>
      <c r="EB200" s="712"/>
      <c r="EC200" s="712">
        <f t="shared" si="697"/>
        <v>40729</v>
      </c>
      <c r="ED200" s="712">
        <f t="shared" si="698"/>
        <v>0</v>
      </c>
      <c r="EE200" s="712">
        <f t="shared" si="699"/>
        <v>0</v>
      </c>
      <c r="EF200" s="712">
        <f>-(VLOOKUP(Sheet1!BQ200,Lookup!$B$4:$J$236,2)-VLOOKUP(Sheet1!BQ199,Lookup!$B$4:$J$236,2))/1000000</f>
        <v>0.52739999999999998</v>
      </c>
      <c r="EG200" s="712">
        <f>-(VLOOKUP(Sheet1!BR200,Lookup!$B$4:$J$236,3)-VLOOKUP(Sheet1!BR199,Lookup!$B$4:$J$236,3))/1000000</f>
        <v>0.26329999999999998</v>
      </c>
      <c r="EH200" s="712">
        <f>-(VLOOKUP(Sheet1!BS200,Lookup!$B$4:$J$236,4)-VLOOKUP(Sheet1!BS199,Lookup!$B$4:$J$236,4))/1000000</f>
        <v>0</v>
      </c>
      <c r="EI200" s="697">
        <f t="shared" si="700"/>
        <v>0.79069999999999996</v>
      </c>
      <c r="EJ200" s="712"/>
      <c r="EK200" s="712"/>
      <c r="EL200" s="712"/>
      <c r="EM200" s="712"/>
      <c r="EN200" s="712"/>
      <c r="EO200" s="712"/>
      <c r="EP200" s="712"/>
      <c r="EQ200" s="712"/>
      <c r="ES200" s="712"/>
      <c r="ET200" s="794">
        <f t="shared" si="720"/>
        <v>1138.7</v>
      </c>
      <c r="EU200" s="800">
        <v>15000</v>
      </c>
      <c r="EV200" s="795">
        <f t="shared" si="640"/>
        <v>23299.420000117003</v>
      </c>
      <c r="EW200" s="796" t="s">
        <v>757</v>
      </c>
      <c r="EX200" s="796" t="s">
        <v>757</v>
      </c>
      <c r="EY200" s="794">
        <v>0</v>
      </c>
      <c r="EZ200" s="798">
        <v>23673.800000056333</v>
      </c>
      <c r="FA200" s="712"/>
      <c r="FB200" s="712"/>
      <c r="FC200" s="712"/>
      <c r="FD200" s="712"/>
      <c r="FE200" s="712">
        <f>O200+Sheet1!CO200</f>
        <v>7374.420000000001</v>
      </c>
      <c r="FF200" s="712">
        <f>IF(Sheet1!AA200+AG200&lt;=Calculation!N200,AG200,Calculation!N200-Sheet1!AA200)</f>
        <v>19.715050275704375</v>
      </c>
      <c r="FG200" s="712">
        <f>(Sheet1!BP200+Sheet1!BO200)/694.4</f>
        <v>4.2668490783410142</v>
      </c>
      <c r="FH200" s="712"/>
      <c r="FI200" s="712"/>
      <c r="FJ200" s="712"/>
      <c r="FK200" s="712"/>
      <c r="FL200" s="714">
        <f t="shared" si="632"/>
        <v>40753</v>
      </c>
      <c r="FM200" s="714">
        <f t="shared" si="633"/>
        <v>40851</v>
      </c>
      <c r="FN200" s="712"/>
      <c r="FO200" s="712"/>
      <c r="FP200" s="712"/>
      <c r="FQ200" s="712"/>
      <c r="FR200" s="712"/>
      <c r="FS200" s="725">
        <f t="shared" si="634"/>
        <v>40603</v>
      </c>
      <c r="FT200" s="714">
        <f t="shared" si="635"/>
        <v>40709</v>
      </c>
      <c r="FU200" s="712">
        <f t="shared" si="636"/>
        <v>6518.9048239895692</v>
      </c>
      <c r="FV200" s="714">
        <f t="shared" si="637"/>
        <v>40722</v>
      </c>
      <c r="FW200" s="712">
        <f t="shared" si="638"/>
        <v>3259.4524119947846</v>
      </c>
      <c r="FX200" s="725">
        <f t="shared" si="639"/>
        <v>40851</v>
      </c>
      <c r="FZ200" s="697">
        <f t="shared" ref="FZ200:FZ263" si="722">IF(B200=FT200,AFtoMG*(20000-AE199),GB200+GP200+GI200+GW200)</f>
        <v>0</v>
      </c>
      <c r="GA200" s="712" t="str">
        <f t="shared" si="701"/>
        <v/>
      </c>
      <c r="GB200" s="712">
        <f t="shared" si="702"/>
        <v>0</v>
      </c>
      <c r="GC200" s="712" t="str">
        <f t="shared" si="703"/>
        <v/>
      </c>
      <c r="GD200" s="712">
        <f>IF(GA200="P",Lookup!$M$12,IF(GA200="PP",Lookup!$M$13,IF(GA200="PPP",Lookup!$M$14,IF(GA200="T",Lookup!$M$15,IF(GA200="TP",Lookup!$M$16,IF(GA200="TPP",Lookup!$M$17,IF(GA200="TPPP",Lookup!$M$18,0)))))))*FZ200</f>
        <v>0</v>
      </c>
      <c r="GE200" s="712">
        <f t="shared" si="704"/>
        <v>0</v>
      </c>
      <c r="GF200" s="712">
        <f t="shared" si="705"/>
        <v>4166.6666666666661</v>
      </c>
      <c r="GG200" s="712">
        <f t="shared" si="706"/>
        <v>1358.1051716644936</v>
      </c>
      <c r="GH200" s="712"/>
      <c r="GI200" s="712">
        <f t="shared" si="707"/>
        <v>0</v>
      </c>
      <c r="GJ200" s="712" t="str">
        <f t="shared" si="708"/>
        <v/>
      </c>
      <c r="GK200" s="712">
        <f>IF(GA200="P",Lookup!$N$12,IF(GA200="PP",Lookup!$N$13,IF(GA200="PPP",Lookup!$N$14,IF(GA200="T",Lookup!$N$15,IF(GA200="TP",Lookup!$N$16,IF(GA200="TPP",Lookup!$N$17,IF(GA200="TPPP",Lookup!$N$18,0)))))))*FZ200</f>
        <v>0</v>
      </c>
      <c r="GL200" s="712">
        <f t="shared" si="709"/>
        <v>0</v>
      </c>
      <c r="GM200" s="712">
        <f t="shared" si="710"/>
        <v>1944.4444444444441</v>
      </c>
      <c r="GN200" s="712">
        <f t="shared" si="711"/>
        <v>633.7824134434303</v>
      </c>
      <c r="GO200" s="712"/>
      <c r="GP200" s="712">
        <f t="shared" si="712"/>
        <v>0</v>
      </c>
      <c r="GQ200" s="712" t="str">
        <f t="shared" si="713"/>
        <v/>
      </c>
      <c r="GR200" s="712">
        <f>IF(GA200="P",Lookup!$N$12,IF(GA200="PP",Lookup!$N$13,IF(GA200="PPP",Lookup!$N$14,IF(GA200="T",Lookup!$N$15,IF(GA200="TP",Lookup!$N$16,IF(GA200="TPP",Lookup!$N$17,IF(GA200="TPPP",Lookup!$N$18,0)))))))*FZ200</f>
        <v>0</v>
      </c>
      <c r="GS200" s="697">
        <f t="shared" si="628"/>
        <v>0</v>
      </c>
      <c r="GT200" s="712">
        <f t="shared" si="714"/>
        <v>1944.4444444444441</v>
      </c>
      <c r="GU200" s="712">
        <f t="shared" si="715"/>
        <v>633.7824134434303</v>
      </c>
      <c r="GV200" s="712"/>
      <c r="GW200" s="712">
        <f t="shared" si="716"/>
        <v>0</v>
      </c>
      <c r="GX200" s="712" t="str">
        <f t="shared" si="717"/>
        <v/>
      </c>
      <c r="GY200" s="712">
        <f>IF(GA200="P",Lookup!$N$12,IF(GA200="PP",Lookup!$N$13,IF(GA200="PPP",Lookup!$N$14,IF(GA200="T",Lookup!$N$15,IF(GA200="TP",Lookup!$N$16,IF(GA200="TPP",Lookup!$N$17,IF(GA200="TPPP",Lookup!$N$18,0)))))))*FZ200</f>
        <v>0</v>
      </c>
      <c r="GZ200" s="697">
        <f t="shared" si="629"/>
        <v>0</v>
      </c>
      <c r="HA200" s="712">
        <f t="shared" si="718"/>
        <v>1944.4444444444441</v>
      </c>
      <c r="HB200" s="712">
        <f t="shared" si="719"/>
        <v>633.7824134434303</v>
      </c>
      <c r="HC200" s="712"/>
    </row>
    <row r="201" spans="1:211">
      <c r="A201" s="773" t="s">
        <v>6</v>
      </c>
      <c r="B201" s="708">
        <v>40730</v>
      </c>
      <c r="C201" s="719">
        <v>0.5</v>
      </c>
      <c r="D201" s="675">
        <f t="shared" si="641"/>
        <v>300</v>
      </c>
      <c r="E201" s="675">
        <f t="shared" si="642"/>
        <v>250</v>
      </c>
      <c r="F201" s="675">
        <v>250</v>
      </c>
      <c r="G201" s="712">
        <f>DH201+Sheet1!CV201</f>
        <v>726.1216865091119</v>
      </c>
      <c r="H201" s="712">
        <f t="shared" si="643"/>
        <v>202.40185815948993</v>
      </c>
      <c r="I201" s="711">
        <f>MAX(Sheet1!Z201-AJ201+(Sheet1!CW201-E201)*CFStoMGD,0)</f>
        <v>501.41741677379946</v>
      </c>
      <c r="J201" s="720">
        <f>IF(AND(B201&gt;=Calculation!FS201,B201&lt;=Calculation!FT201),IF(Sheet1!CX201&gt;=Calculation!D201,64.64,0),MAX(Sheet1!Z201-AJ201+(Sheet1!CX201-D201)*CFStoMGD,0))</f>
        <v>241.78008344046617</v>
      </c>
      <c r="K201" s="697">
        <f t="shared" si="644"/>
        <v>64.64</v>
      </c>
      <c r="L201" s="712">
        <f>Sheet1!AA201+Sheet1!AB201-Sheet1!L201+(Sheet1!CW201-F201)*CFStoMGD</f>
        <v>566.77513333332774</v>
      </c>
      <c r="M201" s="712">
        <f t="shared" si="645"/>
        <v>478.75235932267975</v>
      </c>
      <c r="N201" s="712">
        <f>IF(Sheet1!CW201&gt;=F201,MIN(73,MIN(MAX(L201,0),MAX(M201,0))),0)</f>
        <v>73</v>
      </c>
      <c r="O201" s="721">
        <f>Sheet1!AA201+Sheet1!AB201</f>
        <v>77.07999999999447</v>
      </c>
      <c r="P201" s="721">
        <f t="shared" si="646"/>
        <v>119.24275999999143</v>
      </c>
      <c r="Q201" s="712">
        <f>MIN(N201,Sheet1!AA201+AG201)</f>
        <v>65.357716559529734</v>
      </c>
      <c r="R201" s="712">
        <f t="shared" si="647"/>
        <v>12.5</v>
      </c>
      <c r="S201" s="721">
        <f>Sheet1!Y201*MGDtoCFS</f>
        <v>68.191759999999988</v>
      </c>
      <c r="T201" s="721">
        <f>Sheet1!Z201*MGDtoCFS</f>
        <v>51.2057</v>
      </c>
      <c r="U201" s="721">
        <f>Sheet1!AA201*MGDtoCFS</f>
        <v>68.037059999993687</v>
      </c>
      <c r="V201" s="721">
        <f>Sheet1!AB201*MGDtoCFS</f>
        <v>51.205699999997748</v>
      </c>
      <c r="W201" s="721">
        <f>Sheet1!L201*MGDtoCFS</f>
        <v>0</v>
      </c>
      <c r="X201" s="697">
        <f t="shared" si="648"/>
        <v>0</v>
      </c>
      <c r="Y201" s="712">
        <f t="shared" si="649"/>
        <v>0</v>
      </c>
      <c r="Z201" s="712">
        <f t="shared" si="650"/>
        <v>0</v>
      </c>
      <c r="AA201" s="712">
        <f t="shared" si="651"/>
        <v>0</v>
      </c>
      <c r="AB201" s="712">
        <f>(VLOOKUP(Sheet1!CY201,hhdcap_wcm,4)-(((VLOOKUP(Sheet1!CY201,hhdcap_wcm,3)-Sheet1!CY201)/(VLOOKUP(Sheet1!CY201,hhdcap_wcm,3)-VLOOKUP(Sheet1!CY201,hhdcap_wcm,1)))*(VLOOKUP(Sheet1!CY201,hhdcap_wcm,4)-VLOOKUP(Sheet1!CY201,hhdcap_wcm,2))))</f>
        <v>49384.300000116746</v>
      </c>
      <c r="AC201" s="712">
        <f t="shared" si="652"/>
        <v>-135.12000000025728</v>
      </c>
      <c r="AD201" s="712">
        <f t="shared" si="653"/>
        <v>3259.4524119947846</v>
      </c>
      <c r="AE201" s="712">
        <f t="shared" si="654"/>
        <v>10000</v>
      </c>
      <c r="AF201" s="712">
        <f>Sheet1!BA201+Sheet1!BB201+Sheet1!BN201+BT201</f>
        <v>21.1</v>
      </c>
      <c r="AG201" s="712">
        <f t="shared" si="655"/>
        <v>21.377716559533802</v>
      </c>
      <c r="AH201" s="712">
        <f>Sheet1!BA201+BT201</f>
        <v>0</v>
      </c>
      <c r="AI201" s="712">
        <f>Sheet1!BA201+Sheet1!BB201+BT201</f>
        <v>0</v>
      </c>
      <c r="AJ201" s="712">
        <f>IF((Sheet1!AA201+AG201+AX201+AZ201+BQ201+BS201+CL201+CN201)&lt;=N201,AG201+AX201+AZ201+BQ201+BS201+CL201+CN201,N201-Sheet1!AA201)</f>
        <v>21.377716559533802</v>
      </c>
      <c r="AK201" s="712">
        <f>IF(DR201&lt;K201,0,MAX(Sheet1!AA201+AG201-15/36*K201-N201,Sheet1!ED201,0))</f>
        <v>0</v>
      </c>
      <c r="AL201" s="712">
        <f>IF(OR(B201&gt;=FT201,B201&lt;FS201),0,15/36*K201-MAX(0,64.6-(137.6-(Sheet1!AA201+Sheet1!AB201))))</f>
        <v>0</v>
      </c>
      <c r="AM201" s="712">
        <f>Sheet1!CX201-110</f>
        <v>545.90625</v>
      </c>
      <c r="AN201" s="712">
        <f>Sheet1!CW201-265</f>
        <v>742.57291666666663</v>
      </c>
      <c r="AO201" s="712">
        <f t="shared" ref="AO201:AO206" si="723">N201-Q201</f>
        <v>7.6422834404702655</v>
      </c>
      <c r="AP201" s="712">
        <f t="shared" si="656"/>
        <v>0</v>
      </c>
      <c r="AQ201" s="712">
        <f t="shared" si="657"/>
        <v>0</v>
      </c>
      <c r="AR201" s="712">
        <f t="shared" si="658"/>
        <v>1358.1051716644936</v>
      </c>
      <c r="AS201" s="712"/>
      <c r="AT201" s="712">
        <f ca="1">IF(B201&gt;Summary!$A$1,#N/A,AR201*MGtoAF)</f>
        <v>4166.6666666666661</v>
      </c>
      <c r="AU201" s="712">
        <f>Sheet1!BG201+Sheet1!BH201+Sheet1!BI201-BC201</f>
        <v>1.02</v>
      </c>
      <c r="AV201" s="712">
        <f t="shared" si="659"/>
        <v>1.0334251606978424</v>
      </c>
      <c r="AW201" s="712">
        <f>IF(Sheet1!EL201="FM",BC201,0)</f>
        <v>0</v>
      </c>
      <c r="AX201" s="712">
        <f t="shared" si="660"/>
        <v>0</v>
      </c>
      <c r="AY201" s="712">
        <f>IF(Sheet1!EL201="OTHER",BC201,0)</f>
        <v>0</v>
      </c>
      <c r="AZ201" s="712">
        <f t="shared" si="661"/>
        <v>0</v>
      </c>
      <c r="BA201" s="712">
        <f t="shared" si="662"/>
        <v>1.02</v>
      </c>
      <c r="BB201" s="712">
        <f t="shared" si="663"/>
        <v>1.0334251606978424</v>
      </c>
      <c r="BC201" s="712">
        <f>IF(OR(Sheet1!EL201="FM", Sheet1!EL201="OTHER"),SUM(Sheet1!BG201:'Sheet1'!BI201),0)</f>
        <v>0</v>
      </c>
      <c r="BD201" s="697">
        <f>IF(AND($B201&gt;=$FL201,$B201&lt;=$FM201),MAX(AV201,Sheet1!EE201,0),MAX(AV201-(7/36)*$K201,0))</f>
        <v>0</v>
      </c>
      <c r="BE201" s="712">
        <f t="shared" si="664"/>
        <v>0</v>
      </c>
      <c r="BF201" s="697">
        <f t="shared" si="665"/>
        <v>1.0334251606978424</v>
      </c>
      <c r="BG201" s="697">
        <f>IF(AND($O201&gt;0,Sheet1!EI201=1),(1-($O201-Sheet1!$L201)/$O201)*BB201,0)</f>
        <v>0</v>
      </c>
      <c r="BH201" s="697">
        <f>IF(AND(Sheet1!$L201=0,Sheet1!$L200=0, Calculation!BA201&lt;Sheet1!$EE201-0.1,Sheet1!$EE201=Sheet1!$EE200,Sheet1!$EE201=Sheet1!$EE202),Sheet1!$EE201,BB201-BG201)</f>
        <v>2</v>
      </c>
      <c r="BI201" s="712"/>
      <c r="BJ201" s="712"/>
      <c r="BK201" s="712">
        <f t="shared" si="666"/>
        <v>633.7824134434303</v>
      </c>
      <c r="BL201" s="712"/>
      <c r="BM201" s="712">
        <f ca="1">IF(B201&gt;Summary!$A$1,#N/A,BK201*MGtoAF)</f>
        <v>1944.4444444444441</v>
      </c>
      <c r="BN201" s="712">
        <f>Sheet1!BC201+Sheet1!BD201+Sheet1!BE201+Sheet1!BF201-BW201-BX201</f>
        <v>2.0099999999999998</v>
      </c>
      <c r="BO201" s="712">
        <f t="shared" si="667"/>
        <v>2.0364554637281009</v>
      </c>
      <c r="BP201" s="712">
        <f>IF(Sheet1!EM201="FM",BX201,0)</f>
        <v>0</v>
      </c>
      <c r="BQ201" s="712">
        <f t="shared" si="668"/>
        <v>0</v>
      </c>
      <c r="BR201" s="712">
        <f>IF(Sheet1!EM201="OTHER",BX201,0)</f>
        <v>0</v>
      </c>
      <c r="BS201" s="712">
        <f t="shared" si="669"/>
        <v>0</v>
      </c>
      <c r="BT201" s="712">
        <f t="shared" si="670"/>
        <v>0</v>
      </c>
      <c r="BU201" s="712">
        <f t="shared" si="671"/>
        <v>2.0099999999999998</v>
      </c>
      <c r="BV201" s="712">
        <f t="shared" si="672"/>
        <v>2.0364554637281009</v>
      </c>
      <c r="BW201" s="712">
        <f>IF(Sheet1!EM201="CWA",SUM(Sheet1!BC201:'Sheet1'!BF201),0)</f>
        <v>0</v>
      </c>
      <c r="BX201" s="712">
        <f>IF(OR(Sheet1!EM201="FM", Sheet1!EM201="OTHER"),SUM(Sheet1!BC201:'Sheet1'!BF201),0)</f>
        <v>0</v>
      </c>
      <c r="BY201" s="697">
        <f>IF(AND($B201&gt;=$FL201,$B201&lt;=$FM201),MAX(BV201,Sheet1!EF201,0),MAX(BV201-(7/36)*$K201,0))</f>
        <v>0</v>
      </c>
      <c r="BZ201" s="712">
        <f t="shared" si="673"/>
        <v>0</v>
      </c>
      <c r="CA201" s="697">
        <f t="shared" si="674"/>
        <v>2.0364554637281009</v>
      </c>
      <c r="CB201" s="697">
        <f>IF(AND($O201&gt;0,Sheet1!EJ201=1),(1-($O201-Sheet1!$L201)/$O201)*BV201,0)</f>
        <v>0</v>
      </c>
      <c r="CC201" s="697">
        <f>IF(AND(Sheet1!$L201=0,Sheet1!$L200=0, Calculation!BU201&lt;Sheet1!EF201-0.1,Sheet1!EF201=Sheet1!EF200,Sheet1!EF201=Sheet1!EF202),Sheet1!EF201,BV201-CB201)</f>
        <v>2.0364554637281009</v>
      </c>
      <c r="CD201" s="697"/>
      <c r="CE201" s="712"/>
      <c r="CF201" s="712">
        <f t="shared" si="675"/>
        <v>633.7824134434303</v>
      </c>
      <c r="CG201" s="712"/>
      <c r="CH201" s="712">
        <f ca="1">IF(B201&gt;Summary!$A$1,#N/A,CF201*MGtoAF)</f>
        <v>1944.4444444444441</v>
      </c>
      <c r="CI201" s="712">
        <f>Sheet1!BK201+Sheet1!BL201+Sheet1!BM201-Sheet1!EN201-CQ201</f>
        <v>8.5400000000000009</v>
      </c>
      <c r="CJ201" s="712">
        <f t="shared" si="676"/>
        <v>8.6524028160387996</v>
      </c>
      <c r="CK201" s="712">
        <f>IF(Sheet1!EN201="FM",CQ201,0)</f>
        <v>0</v>
      </c>
      <c r="CL201" s="712">
        <f t="shared" si="677"/>
        <v>0</v>
      </c>
      <c r="CM201" s="712">
        <f>IF(Sheet1!EN201="OTHER",CQ201,0)</f>
        <v>0</v>
      </c>
      <c r="CN201" s="712">
        <f t="shared" si="678"/>
        <v>0</v>
      </c>
      <c r="CO201" s="712">
        <f t="shared" si="679"/>
        <v>8.5400000000000009</v>
      </c>
      <c r="CP201" s="712">
        <f t="shared" si="680"/>
        <v>8.6524028160387996</v>
      </c>
      <c r="CQ201" s="712">
        <f>IF(OR(Sheet1!EN201="FM", Sheet1!EN201="OTHER"),SUM(Sheet1!BK201:'Sheet1'!BM201),0)</f>
        <v>0</v>
      </c>
      <c r="CR201" s="697">
        <f>IF(AND($B201&gt;=$FL201,$B201&lt;=$FM201),MAX($CJ201,Sheet1!EG201,0),MAX($CJ201-(7/36)*$K201,0))</f>
        <v>0</v>
      </c>
      <c r="CS201" s="712">
        <f t="shared" si="681"/>
        <v>0</v>
      </c>
      <c r="CT201" s="697">
        <f t="shared" si="682"/>
        <v>8.6524028160387996</v>
      </c>
      <c r="CU201" s="697">
        <f>IF(AND($O201&gt;0,Sheet1!EK201=1),(1-($O201-Sheet1!$L201)/$O201)*CP201,0)</f>
        <v>0</v>
      </c>
      <c r="CV201" s="697">
        <f>IF(AND(Sheet1!$L201=0,Sheet1!$L200=0, Calculation!CO201&lt;Sheet1!$EG201-0.1,Sheet1!$EG201=Sheet1!$EG200,Sheet1!$EG201=Sheet1!$EG202),Sheet1!$EG201,CP201-CU201)</f>
        <v>8.6524028160387996</v>
      </c>
      <c r="CW201" s="697">
        <f t="shared" si="721"/>
        <v>0</v>
      </c>
      <c r="CX201" s="712">
        <f t="shared" si="683"/>
        <v>11.57</v>
      </c>
      <c r="CY201" s="712">
        <f t="shared" si="684"/>
        <v>633.7824134434303</v>
      </c>
      <c r="CZ201" s="712">
        <f t="shared" si="685"/>
        <v>11.722283440464743</v>
      </c>
      <c r="DA201" s="712">
        <f ca="1">IF(B201&gt;Summary!$A$1,#N/A,CY201*MGtoAF)</f>
        <v>1944.4444444444441</v>
      </c>
      <c r="DB201" s="712">
        <f t="shared" si="686"/>
        <v>11.57</v>
      </c>
      <c r="DC201" s="712">
        <f t="shared" si="687"/>
        <v>32.67</v>
      </c>
      <c r="DD201" s="712">
        <f>Sheet1!AB201-DC201</f>
        <v>0.4299999999985431</v>
      </c>
      <c r="DE201" s="712">
        <f t="shared" si="688"/>
        <v>1.3161922252786749E-2</v>
      </c>
      <c r="DF201" s="712">
        <f>(VLOOKUP(Sheet1!CY201,hhdcap_wcm,4)-(((VLOOKUP(Sheet1!CY201,hhdcap_wcm,3)-Sheet1!CY201)/(VLOOKUP(Sheet1!CY201,hhdcap_wcm,3)-VLOOKUP(Sheet1!CY201,hhdcap_wcm,1)))*(VLOOKUP(Sheet1!CY201,hhdcap_wcm,4)-VLOOKUP(Sheet1!CY201,hhdcap_wcm,2))))</f>
        <v>49384.300000116746</v>
      </c>
      <c r="DG201" s="712">
        <f t="shared" si="689"/>
        <v>-135.12000000025728</v>
      </c>
      <c r="DH201" s="712">
        <f t="shared" si="690"/>
        <v>-68.139183056105523</v>
      </c>
      <c r="DI201" s="712">
        <f>Sheet1!DW201*AFtoMG</f>
        <v>0</v>
      </c>
      <c r="DJ201" s="712">
        <f>Sheet1!DX201*AFtoMG</f>
        <v>0</v>
      </c>
      <c r="DK201" s="712">
        <f>Sheet1!DY201*AFtoMG</f>
        <v>0</v>
      </c>
      <c r="DL201" s="712">
        <f>Sheet1!DZ201*AFtoMG</f>
        <v>0</v>
      </c>
      <c r="DM201" s="712">
        <f t="shared" si="691"/>
        <v>0</v>
      </c>
      <c r="DN201" s="712">
        <f t="shared" si="692"/>
        <v>0</v>
      </c>
      <c r="DO201" s="712">
        <f t="shared" si="693"/>
        <v>3259.4524119947846</v>
      </c>
      <c r="DP201" s="712">
        <f t="shared" si="694"/>
        <v>10000</v>
      </c>
      <c r="DQ201" s="712"/>
      <c r="DR201" s="697">
        <f>IF(OR(B201&lt;FL201,B201&gt;FM201),(MIN(AV201+BO201+CJ201+MAX(Sheet1!AA201+AG201-73,0),K201)),0)</f>
        <v>11.722283440464743</v>
      </c>
      <c r="DS201" s="712"/>
      <c r="DT201" s="712">
        <f t="shared" si="695"/>
        <v>11.722283440464743</v>
      </c>
      <c r="DU201" s="712"/>
      <c r="DV201" s="712">
        <f>Sheet1!ED201+Sheet1!EE201+Sheet1!EF201+Sheet1!EG201</f>
        <v>12.5</v>
      </c>
      <c r="DW201" s="712"/>
      <c r="DX201" s="697">
        <f t="shared" si="696"/>
        <v>0</v>
      </c>
      <c r="DY201" s="712">
        <f>IF(Sheet1!FN201=1,SUM('Calculations II'!AT201:BA201)+'Calculations II'!BC201+Sheet1!BU201+'Calculations II'!BE201+AF201,SUM('Calculations II'!AT201:BA201)+'Calculations II'!BC201+Sheet1!BU201+'Calculations II'!BE201+AF201)</f>
        <v>73.855568000000005</v>
      </c>
      <c r="DZ201" s="712">
        <f>Sheet1!AA201+Sheet1!AB201+'Calculations II'!BC201</f>
        <v>87.577599999994476</v>
      </c>
      <c r="EA201" s="712"/>
      <c r="EB201" s="712"/>
      <c r="EC201" s="712">
        <f t="shared" si="697"/>
        <v>40730</v>
      </c>
      <c r="ED201" s="712">
        <f t="shared" si="698"/>
        <v>0</v>
      </c>
      <c r="EE201" s="712">
        <f t="shared" si="699"/>
        <v>0</v>
      </c>
      <c r="EF201" s="712">
        <f>-(VLOOKUP(Sheet1!BQ201,Lookup!$B$4:$J$236,2)-VLOOKUP(Sheet1!BQ200,Lookup!$B$4:$J$236,2))/1000000</f>
        <v>-0.79110000000000003</v>
      </c>
      <c r="EG201" s="712">
        <f>-(VLOOKUP(Sheet1!BR201,Lookup!$B$4:$J$236,3)-VLOOKUP(Sheet1!BR200,Lookup!$B$4:$J$236,3))/1000000</f>
        <v>-0.78990000000000005</v>
      </c>
      <c r="EH201" s="712">
        <f>-(VLOOKUP(Sheet1!BS201,Lookup!$B$4:$J$236,4)-VLOOKUP(Sheet1!BS200,Lookup!$B$4:$J$236,4))/1000000</f>
        <v>0</v>
      </c>
      <c r="EI201" s="697">
        <f t="shared" si="700"/>
        <v>-1.581</v>
      </c>
      <c r="EJ201" s="712"/>
      <c r="EK201" s="712"/>
      <c r="EL201" s="712"/>
      <c r="EM201" s="712"/>
      <c r="EN201" s="712"/>
      <c r="EO201" s="712"/>
      <c r="EP201" s="712"/>
      <c r="EQ201" s="712"/>
      <c r="ES201" s="712"/>
      <c r="ET201" s="794">
        <f t="shared" si="720"/>
        <v>1138.7</v>
      </c>
      <c r="EU201" s="800">
        <v>15000</v>
      </c>
      <c r="EV201" s="795">
        <f t="shared" si="640"/>
        <v>23164.300000116746</v>
      </c>
      <c r="EW201" s="796" t="s">
        <v>757</v>
      </c>
      <c r="EX201" s="796" t="s">
        <v>757</v>
      </c>
      <c r="EY201" s="794">
        <v>0</v>
      </c>
      <c r="EZ201" s="798">
        <v>23602.400000056172</v>
      </c>
      <c r="FA201" s="712"/>
      <c r="FB201" s="712"/>
      <c r="FC201" s="712"/>
      <c r="FD201" s="712"/>
      <c r="FE201" s="712">
        <f>O201+Sheet1!CO201</f>
        <v>7367.0799999999945</v>
      </c>
      <c r="FF201" s="712">
        <f>IF(Sheet1!AA201+AG201&lt;=Calculation!N201,AG201,Calculation!N201-Sheet1!AA201)</f>
        <v>21.377716559533802</v>
      </c>
      <c r="FG201" s="712">
        <f>(Sheet1!BP201+Sheet1!BO201)/694.4</f>
        <v>4.6766993087557607</v>
      </c>
      <c r="FH201" s="712"/>
      <c r="FI201" s="712"/>
      <c r="FJ201" s="712"/>
      <c r="FK201" s="712"/>
      <c r="FL201" s="714">
        <f t="shared" si="632"/>
        <v>40753</v>
      </c>
      <c r="FM201" s="714">
        <f t="shared" si="633"/>
        <v>40851</v>
      </c>
      <c r="FN201" s="712"/>
      <c r="FO201" s="712"/>
      <c r="FP201" s="712"/>
      <c r="FQ201" s="712"/>
      <c r="FR201" s="712"/>
      <c r="FS201" s="725">
        <f t="shared" si="634"/>
        <v>40603</v>
      </c>
      <c r="FT201" s="714">
        <f t="shared" si="635"/>
        <v>40709</v>
      </c>
      <c r="FU201" s="712">
        <f t="shared" si="636"/>
        <v>6518.9048239895692</v>
      </c>
      <c r="FV201" s="714">
        <f t="shared" si="637"/>
        <v>40722</v>
      </c>
      <c r="FW201" s="712">
        <f t="shared" si="638"/>
        <v>3259.4524119947846</v>
      </c>
      <c r="FX201" s="725">
        <f t="shared" si="639"/>
        <v>40851</v>
      </c>
      <c r="FZ201" s="697">
        <f t="shared" si="722"/>
        <v>0</v>
      </c>
      <c r="GA201" s="712" t="str">
        <f t="shared" si="701"/>
        <v/>
      </c>
      <c r="GB201" s="712">
        <f t="shared" si="702"/>
        <v>0</v>
      </c>
      <c r="GC201" s="712" t="str">
        <f t="shared" si="703"/>
        <v/>
      </c>
      <c r="GD201" s="712">
        <f>IF(GA201="P",Lookup!$M$12,IF(GA201="PP",Lookup!$M$13,IF(GA201="PPP",Lookup!$M$14,IF(GA201="T",Lookup!$M$15,IF(GA201="TP",Lookup!$M$16,IF(GA201="TPP",Lookup!$M$17,IF(GA201="TPPP",Lookup!$M$18,0)))))))*FZ201</f>
        <v>0</v>
      </c>
      <c r="GE201" s="712">
        <f t="shared" si="704"/>
        <v>0</v>
      </c>
      <c r="GF201" s="712">
        <f t="shared" si="705"/>
        <v>4166.6666666666661</v>
      </c>
      <c r="GG201" s="712">
        <f t="shared" si="706"/>
        <v>1358.1051716644936</v>
      </c>
      <c r="GH201" s="712"/>
      <c r="GI201" s="712">
        <f t="shared" si="707"/>
        <v>0</v>
      </c>
      <c r="GJ201" s="712" t="str">
        <f t="shared" si="708"/>
        <v/>
      </c>
      <c r="GK201" s="712">
        <f>IF(GA201="P",Lookup!$N$12,IF(GA201="PP",Lookup!$N$13,IF(GA201="PPP",Lookup!$N$14,IF(GA201="T",Lookup!$N$15,IF(GA201="TP",Lookup!$N$16,IF(GA201="TPP",Lookup!$N$17,IF(GA201="TPPP",Lookup!$N$18,0)))))))*FZ201</f>
        <v>0</v>
      </c>
      <c r="GL201" s="712">
        <f t="shared" si="709"/>
        <v>0</v>
      </c>
      <c r="GM201" s="712">
        <f t="shared" si="710"/>
        <v>1944.4444444444441</v>
      </c>
      <c r="GN201" s="712">
        <f t="shared" si="711"/>
        <v>633.7824134434303</v>
      </c>
      <c r="GO201" s="712"/>
      <c r="GP201" s="712">
        <f t="shared" si="712"/>
        <v>0</v>
      </c>
      <c r="GQ201" s="712" t="str">
        <f t="shared" si="713"/>
        <v/>
      </c>
      <c r="GR201" s="712">
        <f>IF(GA201="P",Lookup!$N$12,IF(GA201="PP",Lookup!$N$13,IF(GA201="PPP",Lookup!$N$14,IF(GA201="T",Lookup!$N$15,IF(GA201="TP",Lookup!$N$16,IF(GA201="TPP",Lookup!$N$17,IF(GA201="TPPP",Lookup!$N$18,0)))))))*FZ201</f>
        <v>0</v>
      </c>
      <c r="GS201" s="697">
        <f t="shared" ref="GS201:GS264" si="724">IF(GQ201="P",MIN(GR201,7/36*FU201-GU201),0)</f>
        <v>0</v>
      </c>
      <c r="GT201" s="712">
        <f t="shared" si="714"/>
        <v>1944.4444444444441</v>
      </c>
      <c r="GU201" s="712">
        <f t="shared" si="715"/>
        <v>633.7824134434303</v>
      </c>
      <c r="GV201" s="712"/>
      <c r="GW201" s="712">
        <f t="shared" si="716"/>
        <v>0</v>
      </c>
      <c r="GX201" s="712" t="str">
        <f t="shared" si="717"/>
        <v/>
      </c>
      <c r="GY201" s="712">
        <f>IF(GA201="P",Lookup!$N$12,IF(GA201="PP",Lookup!$N$13,IF(GA201="PPP",Lookup!$N$14,IF(GA201="T",Lookup!$N$15,IF(GA201="TP",Lookup!$N$16,IF(GA201="TPP",Lookup!$N$17,IF(GA201="TPPP",Lookup!$N$18,0)))))))*FZ201</f>
        <v>0</v>
      </c>
      <c r="GZ201" s="697">
        <f t="shared" ref="GZ201:GZ264" si="725">IF(GX201="P",MIN(GY201,7/36*FU201-HB201),0)</f>
        <v>0</v>
      </c>
      <c r="HA201" s="712">
        <f t="shared" si="718"/>
        <v>1944.4444444444441</v>
      </c>
      <c r="HB201" s="712">
        <f t="shared" si="719"/>
        <v>633.7824134434303</v>
      </c>
      <c r="HC201" s="712"/>
    </row>
    <row r="202" spans="1:211">
      <c r="A202" s="773" t="s">
        <v>7</v>
      </c>
      <c r="B202" s="708">
        <v>40731</v>
      </c>
      <c r="C202" s="709">
        <v>0.5</v>
      </c>
      <c r="D202" s="675">
        <f t="shared" si="641"/>
        <v>300</v>
      </c>
      <c r="E202" s="675">
        <f t="shared" si="642"/>
        <v>250</v>
      </c>
      <c r="F202" s="675">
        <v>250</v>
      </c>
      <c r="G202" s="712">
        <f>DH202+Sheet1!CV202</f>
        <v>704.14924685859796</v>
      </c>
      <c r="H202" s="712">
        <f t="shared" si="643"/>
        <v>188.19887316939773</v>
      </c>
      <c r="I202" s="711">
        <f>MAX(Sheet1!Z202-AJ202+(Sheet1!CW202-E202)*CFStoMGD,0)</f>
        <v>493.82758286814243</v>
      </c>
      <c r="J202" s="720">
        <f>IF(AND(B202&gt;=Calculation!FS202,B202&lt;=Calculation!FT202),IF(Sheet1!CX202&gt;=Calculation!D202,64.64,0),MAX(Sheet1!Z202-AJ202+(Sheet1!CX202-D202)*CFStoMGD,0))</f>
        <v>244.98378286814241</v>
      </c>
      <c r="K202" s="697">
        <f t="shared" si="644"/>
        <v>64.64</v>
      </c>
      <c r="L202" s="712">
        <f>Sheet1!AA202+Sheet1!AB202-Sheet1!L202+(Sheet1!CW202-F202)*CFStoMGD</f>
        <v>554.37073333333285</v>
      </c>
      <c r="M202" s="712">
        <f t="shared" si="645"/>
        <v>464.2653146327857</v>
      </c>
      <c r="N202" s="712">
        <f>IF(Sheet1!CW202&gt;=F202,MIN(73,MIN(MAX(L202,0),MAX(M202,0))),0)</f>
        <v>73</v>
      </c>
      <c r="O202" s="721">
        <f>Sheet1!AA202+Sheet1!AB202</f>
        <v>74.14</v>
      </c>
      <c r="P202" s="721">
        <f t="shared" si="646"/>
        <v>114.69458</v>
      </c>
      <c r="Q202" s="712">
        <f>MIN(N202,Sheet1!AA202+AG202)</f>
        <v>62.283150465190886</v>
      </c>
      <c r="R202" s="712">
        <f t="shared" si="647"/>
        <v>12.5</v>
      </c>
      <c r="S202" s="721">
        <f>Sheet1!Y202*MGDtoCFS</f>
        <v>67.758599999999987</v>
      </c>
      <c r="T202" s="721">
        <f>Sheet1!Z202*MGDtoCFS</f>
        <v>49.813400000000001</v>
      </c>
      <c r="U202" s="721">
        <f>Sheet1!AA202*MGDtoCFS</f>
        <v>66.118780000000001</v>
      </c>
      <c r="V202" s="721">
        <f>Sheet1!AB202*MGDtoCFS</f>
        <v>48.575799999999994</v>
      </c>
      <c r="W202" s="721">
        <f>Sheet1!L202*MGDtoCFS</f>
        <v>1.4541800000007878</v>
      </c>
      <c r="X202" s="697">
        <f t="shared" si="648"/>
        <v>0</v>
      </c>
      <c r="Y202" s="712">
        <f t="shared" si="649"/>
        <v>0</v>
      </c>
      <c r="Z202" s="712">
        <f t="shared" si="650"/>
        <v>0</v>
      </c>
      <c r="AA202" s="712">
        <f t="shared" si="651"/>
        <v>0</v>
      </c>
      <c r="AB202" s="712">
        <f>(VLOOKUP(Sheet1!CY202,hhdcap_wcm,4)-(((VLOOKUP(Sheet1!CY202,hhdcap_wcm,3)-Sheet1!CY202)/(VLOOKUP(Sheet1!CY202,hhdcap_wcm,3)-VLOOKUP(Sheet1!CY202,hhdcap_wcm,1)))*(VLOOKUP(Sheet1!CY202,hhdcap_wcm,4)-VLOOKUP(Sheet1!CY202,hhdcap_wcm,2))))</f>
        <v>49205.350000115606</v>
      </c>
      <c r="AC202" s="712">
        <f t="shared" si="652"/>
        <v>-178.95000000113941</v>
      </c>
      <c r="AD202" s="712">
        <f t="shared" si="653"/>
        <v>3259.4524119947846</v>
      </c>
      <c r="AE202" s="712">
        <f t="shared" si="654"/>
        <v>10000</v>
      </c>
      <c r="AF202" s="712">
        <f>Sheet1!BA202+Sheet1!BB202+Sheet1!BN202+BT202</f>
        <v>19.399999999999999</v>
      </c>
      <c r="AG202" s="712">
        <f t="shared" si="655"/>
        <v>19.543150465190887</v>
      </c>
      <c r="AH202" s="712">
        <f>Sheet1!BA202+BT202</f>
        <v>0</v>
      </c>
      <c r="AI202" s="712">
        <f>Sheet1!BA202+Sheet1!BB202+BT202</f>
        <v>0</v>
      </c>
      <c r="AJ202" s="712">
        <f>IF((Sheet1!AA202+AG202+AX202+AZ202+BQ202+BS202+CL202+CN202)&lt;=N202,AG202+AX202+AZ202+BQ202+BS202+CL202+CN202,N202-Sheet1!AA202)</f>
        <v>19.543150465190887</v>
      </c>
      <c r="AK202" s="712">
        <f>IF(DR202&lt;K202,0,MAX(Sheet1!AA202+AG202-15/36*K202-N202,Sheet1!ED202,0))</f>
        <v>0</v>
      </c>
      <c r="AL202" s="712">
        <f>IF(OR(B202&gt;=FT202,B202&lt;FS202),0,15/36*K202-MAX(0,64.6-(137.6-(Sheet1!AA202+Sheet1!AB202))))</f>
        <v>0</v>
      </c>
      <c r="AM202" s="712">
        <f>Sheet1!CX202-110</f>
        <v>549.41666666666663</v>
      </c>
      <c r="AN202" s="712">
        <f>Sheet1!CW202-265</f>
        <v>729.38541666666663</v>
      </c>
      <c r="AO202" s="712">
        <f t="shared" si="723"/>
        <v>10.716849534809114</v>
      </c>
      <c r="AP202" s="712">
        <f t="shared" si="656"/>
        <v>0</v>
      </c>
      <c r="AQ202" s="712">
        <f t="shared" si="657"/>
        <v>0</v>
      </c>
      <c r="AR202" s="712">
        <f t="shared" si="658"/>
        <v>1358.1051716644936</v>
      </c>
      <c r="AS202" s="712"/>
      <c r="AT202" s="712">
        <f ca="1">IF(B202&gt;Summary!$A$1,#N/A,AR202*MGtoAF)</f>
        <v>4166.6666666666661</v>
      </c>
      <c r="AU202" s="712">
        <f>Sheet1!BG202+Sheet1!BH202+Sheet1!BI202-BC202</f>
        <v>1.24</v>
      </c>
      <c r="AV202" s="712">
        <f t="shared" si="659"/>
        <v>1.2491498235482836</v>
      </c>
      <c r="AW202" s="712">
        <f>IF(Sheet1!EL202="FM",BC202,0)</f>
        <v>0</v>
      </c>
      <c r="AX202" s="712">
        <f t="shared" si="660"/>
        <v>0</v>
      </c>
      <c r="AY202" s="712">
        <f>IF(Sheet1!EL202="OTHER",BC202,0)</f>
        <v>0</v>
      </c>
      <c r="AZ202" s="712">
        <f t="shared" si="661"/>
        <v>0</v>
      </c>
      <c r="BA202" s="712">
        <f t="shared" si="662"/>
        <v>1.24</v>
      </c>
      <c r="BB202" s="712">
        <f t="shared" si="663"/>
        <v>1.2491498235482836</v>
      </c>
      <c r="BC202" s="712">
        <f>IF(OR(Sheet1!EL202="FM", Sheet1!EL202="OTHER"),SUM(Sheet1!BG202:'Sheet1'!BI202),0)</f>
        <v>0</v>
      </c>
      <c r="BD202" s="697">
        <f>IF(AND($B202&gt;=$FL202,$B202&lt;=$FM202),MAX(AV202,Sheet1!EE202,0),MAX(AV202-(7/36)*$K202,0))</f>
        <v>0</v>
      </c>
      <c r="BE202" s="712">
        <f t="shared" si="664"/>
        <v>0</v>
      </c>
      <c r="BF202" s="697">
        <f t="shared" si="665"/>
        <v>1.2491498235482836</v>
      </c>
      <c r="BG202" s="697">
        <f>IF(AND($O202&gt;0,Sheet1!EI202=1),(1-($O202-Sheet1!$L202)/$O202)*BB202,0)</f>
        <v>0</v>
      </c>
      <c r="BH202" s="697">
        <f>IF(AND(Sheet1!$L202=0,Sheet1!$L201=0, Calculation!BA202&lt;Sheet1!$EE202-0.1,Sheet1!$EE202=Sheet1!$EE201,Sheet1!$EE202=Sheet1!$EE203),Sheet1!$EE202,BB202-BG202)</f>
        <v>1.2491498235482836</v>
      </c>
      <c r="BI202" s="712"/>
      <c r="BJ202" s="712"/>
      <c r="BK202" s="712">
        <f t="shared" si="666"/>
        <v>633.7824134434303</v>
      </c>
      <c r="BL202" s="712"/>
      <c r="BM202" s="712">
        <f ca="1">IF(B202&gt;Summary!$A$1,#N/A,BK202*MGtoAF)</f>
        <v>1944.4444444444441</v>
      </c>
      <c r="BN202" s="712">
        <f>Sheet1!BC202+Sheet1!BD202+Sheet1!BE202+Sheet1!BF202-BW202-BX202</f>
        <v>2.02</v>
      </c>
      <c r="BO202" s="712">
        <f t="shared" si="667"/>
        <v>2.0349053577157523</v>
      </c>
      <c r="BP202" s="712">
        <f>IF(Sheet1!EM202="FM",BX202,0)</f>
        <v>0</v>
      </c>
      <c r="BQ202" s="712">
        <f t="shared" si="668"/>
        <v>0</v>
      </c>
      <c r="BR202" s="712">
        <f>IF(Sheet1!EM202="OTHER",BX202,0)</f>
        <v>0</v>
      </c>
      <c r="BS202" s="712">
        <f t="shared" si="669"/>
        <v>0</v>
      </c>
      <c r="BT202" s="712">
        <f t="shared" si="670"/>
        <v>0</v>
      </c>
      <c r="BU202" s="712">
        <f t="shared" si="671"/>
        <v>2.02</v>
      </c>
      <c r="BV202" s="712">
        <f t="shared" si="672"/>
        <v>2.0349053577157523</v>
      </c>
      <c r="BW202" s="712">
        <f>IF(Sheet1!EM202="CWA",SUM(Sheet1!BC202:'Sheet1'!BF202),0)</f>
        <v>0</v>
      </c>
      <c r="BX202" s="712">
        <f>IF(OR(Sheet1!EM202="FM", Sheet1!EM202="OTHER"),SUM(Sheet1!BC202:'Sheet1'!BF202),0)</f>
        <v>0</v>
      </c>
      <c r="BY202" s="697">
        <f>IF(AND($B202&gt;=$FL202,$B202&lt;=$FM202),MAX(BV202,Sheet1!EF202,0),MAX(BV202-(7/36)*$K202,0))</f>
        <v>0</v>
      </c>
      <c r="BZ202" s="712">
        <f t="shared" si="673"/>
        <v>0</v>
      </c>
      <c r="CA202" s="697">
        <f t="shared" si="674"/>
        <v>2.0349053577157523</v>
      </c>
      <c r="CB202" s="697">
        <f>IF(AND($O202&gt;0,Sheet1!EJ202=1),(1-($O202-Sheet1!$L202)/$O202)*BV202,0)</f>
        <v>0</v>
      </c>
      <c r="CC202" s="697">
        <f>IF(AND(Sheet1!$L202=0,Sheet1!$L201=0, Calculation!BU202&lt;Sheet1!EF202-0.1,Sheet1!EF202=Sheet1!EF201,Sheet1!EF202=Sheet1!EF203),Sheet1!EF202,BV202-CB202)</f>
        <v>2.0349053577157523</v>
      </c>
      <c r="CD202" s="697"/>
      <c r="CE202" s="712"/>
      <c r="CF202" s="712">
        <f t="shared" si="675"/>
        <v>633.7824134434303</v>
      </c>
      <c r="CG202" s="712"/>
      <c r="CH202" s="712">
        <f ca="1">IF(B202&gt;Summary!$A$1,#N/A,CF202*MGtoAF)</f>
        <v>1944.4444444444441</v>
      </c>
      <c r="CI202" s="712">
        <f>Sheet1!BK202+Sheet1!BL202+Sheet1!BM202-Sheet1!EN202-CQ202</f>
        <v>8.51</v>
      </c>
      <c r="CJ202" s="712">
        <f t="shared" si="676"/>
        <v>8.5727943535450759</v>
      </c>
      <c r="CK202" s="712">
        <f>IF(Sheet1!EN202="FM",CQ202,0)</f>
        <v>0</v>
      </c>
      <c r="CL202" s="712">
        <f t="shared" si="677"/>
        <v>0</v>
      </c>
      <c r="CM202" s="712">
        <f>IF(Sheet1!EN202="OTHER",CQ202,0)</f>
        <v>0</v>
      </c>
      <c r="CN202" s="712">
        <f t="shared" si="678"/>
        <v>0</v>
      </c>
      <c r="CO202" s="712">
        <f t="shared" si="679"/>
        <v>8.51</v>
      </c>
      <c r="CP202" s="712">
        <f t="shared" si="680"/>
        <v>8.5727943535450759</v>
      </c>
      <c r="CQ202" s="712">
        <f>IF(OR(Sheet1!EN202="FM", Sheet1!EN202="OTHER"),SUM(Sheet1!BK202:'Sheet1'!BM202),0)</f>
        <v>0</v>
      </c>
      <c r="CR202" s="697">
        <f>IF(AND($B202&gt;=$FL202,$B202&lt;=$FM202),MAX($CJ202,Sheet1!EG202,0),MAX($CJ202-(7/36)*$K202,0))</f>
        <v>0</v>
      </c>
      <c r="CS202" s="712">
        <f t="shared" si="681"/>
        <v>0</v>
      </c>
      <c r="CT202" s="697">
        <f t="shared" si="682"/>
        <v>8.5727943535450759</v>
      </c>
      <c r="CU202" s="697">
        <f>IF(AND($O202&gt;0,Sheet1!EK202=1),(1-($O202-Sheet1!$L202)/$O202)*CP202,0)</f>
        <v>0</v>
      </c>
      <c r="CV202" s="697">
        <f>IF(AND(Sheet1!$L202=0,Sheet1!$L201=0, Calculation!CO202&lt;Sheet1!$EG202-0.1,Sheet1!$EG202=Sheet1!$EG201,Sheet1!$EG202=Sheet1!$EG203),Sheet1!$EG202,CP202-CU202)</f>
        <v>8.5727943535450759</v>
      </c>
      <c r="CW202" s="697">
        <f t="shared" si="721"/>
        <v>0</v>
      </c>
      <c r="CX202" s="712">
        <f t="shared" si="683"/>
        <v>11.77</v>
      </c>
      <c r="CY202" s="712">
        <f t="shared" si="684"/>
        <v>633.7824134434303</v>
      </c>
      <c r="CZ202" s="712">
        <f t="shared" si="685"/>
        <v>11.856849534809111</v>
      </c>
      <c r="DA202" s="712">
        <f ca="1">IF(B202&gt;Summary!$A$1,#N/A,CY202*MGtoAF)</f>
        <v>1944.4444444444441</v>
      </c>
      <c r="DB202" s="712">
        <f t="shared" si="686"/>
        <v>11.77</v>
      </c>
      <c r="DC202" s="712">
        <f t="shared" si="687"/>
        <v>31.169999999999998</v>
      </c>
      <c r="DD202" s="712">
        <f>Sheet1!AB202-DC202</f>
        <v>0.23000000000000043</v>
      </c>
      <c r="DE202" s="851">
        <f t="shared" si="688"/>
        <v>7.3788899582932447E-3</v>
      </c>
      <c r="DF202" s="712">
        <f>(VLOOKUP(Sheet1!CY202,hhdcap_wcm,4)-(((VLOOKUP(Sheet1!CY202,hhdcap_wcm,3)-Sheet1!CY202)/(VLOOKUP(Sheet1!CY202,hhdcap_wcm,3)-VLOOKUP(Sheet1!CY202,hhdcap_wcm,1)))*(VLOOKUP(Sheet1!CY202,hhdcap_wcm,4)-VLOOKUP(Sheet1!CY202,hhdcap_wcm,2))))</f>
        <v>49205.350000115606</v>
      </c>
      <c r="DG202" s="712">
        <f t="shared" si="689"/>
        <v>-178.95000000113941</v>
      </c>
      <c r="DH202" s="712">
        <f t="shared" si="690"/>
        <v>-90.242057489228131</v>
      </c>
      <c r="DI202" s="712">
        <f>Sheet1!DW202*AFtoMG</f>
        <v>0</v>
      </c>
      <c r="DJ202" s="712">
        <f>Sheet1!DX202*AFtoMG</f>
        <v>0</v>
      </c>
      <c r="DK202" s="712">
        <f>Sheet1!DY202*AFtoMG</f>
        <v>0</v>
      </c>
      <c r="DL202" s="712">
        <f>Sheet1!DZ202*AFtoMG</f>
        <v>0</v>
      </c>
      <c r="DM202" s="712">
        <f t="shared" si="691"/>
        <v>0</v>
      </c>
      <c r="DN202" s="712">
        <f t="shared" si="692"/>
        <v>0</v>
      </c>
      <c r="DO202" s="712">
        <f t="shared" si="693"/>
        <v>3259.4524119947846</v>
      </c>
      <c r="DP202" s="712">
        <f t="shared" si="694"/>
        <v>10000</v>
      </c>
      <c r="DQ202" s="712"/>
      <c r="DR202" s="697">
        <f>IF(OR(B202&lt;FL202,B202&gt;FM202),(MIN(AV202+BO202+CJ202+MAX(Sheet1!AA202+AG202-73,0),K202)),0)</f>
        <v>11.856849534809111</v>
      </c>
      <c r="DS202" s="712"/>
      <c r="DT202" s="712">
        <f t="shared" si="695"/>
        <v>11.856849534809111</v>
      </c>
      <c r="DU202" s="712"/>
      <c r="DV202" s="712">
        <f>Sheet1!ED202+Sheet1!EE202+Sheet1!EF202+Sheet1!EG202</f>
        <v>12.5</v>
      </c>
      <c r="DW202" s="712"/>
      <c r="DX202" s="697">
        <f t="shared" si="696"/>
        <v>0</v>
      </c>
      <c r="DY202" s="712">
        <f>IF(Sheet1!FN202=1,SUM('Calculations II'!AT202:BA202)+'Calculations II'!BC202+Sheet1!BU202+'Calculations II'!BE202+AF202,SUM('Calculations II'!AT202:BA202)+'Calculations II'!BC202+Sheet1!BU202+'Calculations II'!BE202+AF202)</f>
        <v>63.492832</v>
      </c>
      <c r="DZ202" s="712">
        <f>Sheet1!AA202+Sheet1!AB202+'Calculations II'!BC202</f>
        <v>84.613120000000009</v>
      </c>
      <c r="EA202" s="712"/>
      <c r="EB202" s="712"/>
      <c r="EC202" s="712">
        <f t="shared" si="697"/>
        <v>40731</v>
      </c>
      <c r="ED202" s="712">
        <f t="shared" si="698"/>
        <v>0</v>
      </c>
      <c r="EE202" s="712">
        <f t="shared" si="699"/>
        <v>0</v>
      </c>
      <c r="EF202" s="712">
        <f>-(VLOOKUP(Sheet1!BQ202,Lookup!$B$4:$J$236,2)-VLOOKUP(Sheet1!BQ201,Lookup!$B$4:$J$236,2))/1000000</f>
        <v>0.26369999999999999</v>
      </c>
      <c r="EG202" s="712">
        <f>-(VLOOKUP(Sheet1!BR202,Lookup!$B$4:$J$236,3)-VLOOKUP(Sheet1!BR201,Lookup!$B$4:$J$236,3))/1000000</f>
        <v>0.78990000000000005</v>
      </c>
      <c r="EH202" s="712">
        <f>-(VLOOKUP(Sheet1!BS202,Lookup!$B$4:$J$236,4)-VLOOKUP(Sheet1!BS201,Lookup!$B$4:$J$236,4))/1000000</f>
        <v>0</v>
      </c>
      <c r="EI202" s="697">
        <f t="shared" si="700"/>
        <v>1.0536000000000001</v>
      </c>
      <c r="EJ202" s="712"/>
      <c r="EK202" s="712"/>
      <c r="EL202" s="712"/>
      <c r="EM202" s="712"/>
      <c r="EN202" s="712"/>
      <c r="EO202" s="712"/>
      <c r="EP202" s="712"/>
      <c r="EQ202" s="712"/>
      <c r="ES202" s="712"/>
      <c r="ET202" s="794">
        <f t="shared" si="720"/>
        <v>1138.5999999999999</v>
      </c>
      <c r="EU202" s="800">
        <v>15000</v>
      </c>
      <c r="EV202" s="795">
        <f t="shared" si="640"/>
        <v>22985.350000115606</v>
      </c>
      <c r="EW202" s="796" t="s">
        <v>757</v>
      </c>
      <c r="EX202" s="796" t="s">
        <v>757</v>
      </c>
      <c r="EY202" s="794">
        <v>0</v>
      </c>
      <c r="EZ202" s="798">
        <v>23531.00000005617</v>
      </c>
      <c r="FA202" s="712"/>
      <c r="FB202" s="712"/>
      <c r="FC202" s="712"/>
      <c r="FD202" s="712"/>
      <c r="FE202" s="712">
        <f>O202+Sheet1!CO202</f>
        <v>7347.14</v>
      </c>
      <c r="FF202" s="712">
        <f>IF(Sheet1!AA202+AG202&lt;=Calculation!N202,AG202,Calculation!N202-Sheet1!AA202)</f>
        <v>19.543150465190887</v>
      </c>
      <c r="FG202" s="712">
        <f>(Sheet1!BP202+Sheet1!BO202)/694.4</f>
        <v>3.5311059907834101</v>
      </c>
      <c r="FH202" s="712"/>
      <c r="FI202" s="712"/>
      <c r="FJ202" s="712"/>
      <c r="FK202" s="712"/>
      <c r="FL202" s="714">
        <f t="shared" ref="FL202:FL265" si="726">$FL$8</f>
        <v>40753</v>
      </c>
      <c r="FM202" s="714">
        <f t="shared" ref="FM202:FM265" si="727">$FM$8</f>
        <v>40851</v>
      </c>
      <c r="FN202" s="712"/>
      <c r="FO202" s="712"/>
      <c r="FP202" s="712"/>
      <c r="FQ202" s="712"/>
      <c r="FR202" s="712"/>
      <c r="FS202" s="725">
        <f t="shared" ref="FS202:FX217" si="728">FS201</f>
        <v>40603</v>
      </c>
      <c r="FT202" s="714">
        <f t="shared" ref="FT202:FT265" si="729">$FT$8</f>
        <v>40709</v>
      </c>
      <c r="FU202" s="712">
        <f t="shared" si="728"/>
        <v>6518.9048239895692</v>
      </c>
      <c r="FV202" s="714">
        <f t="shared" ref="FV202:FV265" si="730">$FV$8</f>
        <v>40722</v>
      </c>
      <c r="FW202" s="712">
        <f t="shared" si="728"/>
        <v>3259.4524119947846</v>
      </c>
      <c r="FX202" s="725">
        <f t="shared" si="728"/>
        <v>40851</v>
      </c>
      <c r="FZ202" s="697">
        <f t="shared" si="722"/>
        <v>0</v>
      </c>
      <c r="GA202" s="712" t="str">
        <f t="shared" si="701"/>
        <v/>
      </c>
      <c r="GB202" s="712">
        <f t="shared" si="702"/>
        <v>0</v>
      </c>
      <c r="GC202" s="712" t="str">
        <f t="shared" si="703"/>
        <v/>
      </c>
      <c r="GD202" s="712">
        <f>IF(GA202="P",Lookup!$M$12,IF(GA202="PP",Lookup!$M$13,IF(GA202="PPP",Lookup!$M$14,IF(GA202="T",Lookup!$M$15,IF(GA202="TP",Lookup!$M$16,IF(GA202="TPP",Lookup!$M$17,IF(GA202="TPPP",Lookup!$M$18,0)))))))*FZ202</f>
        <v>0</v>
      </c>
      <c r="GE202" s="712">
        <f t="shared" si="704"/>
        <v>0</v>
      </c>
      <c r="GF202" s="712">
        <f t="shared" si="705"/>
        <v>4166.6666666666661</v>
      </c>
      <c r="GG202" s="712">
        <f t="shared" si="706"/>
        <v>1358.1051716644936</v>
      </c>
      <c r="GH202" s="712"/>
      <c r="GI202" s="712">
        <f t="shared" si="707"/>
        <v>0</v>
      </c>
      <c r="GJ202" s="712" t="str">
        <f t="shared" si="708"/>
        <v/>
      </c>
      <c r="GK202" s="712">
        <f>IF(GA202="P",Lookup!$N$12,IF(GA202="PP",Lookup!$N$13,IF(GA202="PPP",Lookup!$N$14,IF(GA202="T",Lookup!$N$15,IF(GA202="TP",Lookup!$N$16,IF(GA202="TPP",Lookup!$N$17,IF(GA202="TPPP",Lookup!$N$18,0)))))))*FZ202</f>
        <v>0</v>
      </c>
      <c r="GL202" s="712">
        <f t="shared" si="709"/>
        <v>0</v>
      </c>
      <c r="GM202" s="712">
        <f t="shared" si="710"/>
        <v>1944.4444444444441</v>
      </c>
      <c r="GN202" s="712">
        <f t="shared" si="711"/>
        <v>633.7824134434303</v>
      </c>
      <c r="GO202" s="712"/>
      <c r="GP202" s="712">
        <f t="shared" si="712"/>
        <v>0</v>
      </c>
      <c r="GQ202" s="712" t="str">
        <f t="shared" si="713"/>
        <v/>
      </c>
      <c r="GR202" s="712">
        <f>IF(GA202="P",Lookup!$N$12,IF(GA202="PP",Lookup!$N$13,IF(GA202="PPP",Lookup!$N$14,IF(GA202="T",Lookup!$N$15,IF(GA202="TP",Lookup!$N$16,IF(GA202="TPP",Lookup!$N$17,IF(GA202="TPPP",Lookup!$N$18,0)))))))*FZ202</f>
        <v>0</v>
      </c>
      <c r="GS202" s="697">
        <f t="shared" si="724"/>
        <v>0</v>
      </c>
      <c r="GT202" s="712">
        <f t="shared" si="714"/>
        <v>1944.4444444444441</v>
      </c>
      <c r="GU202" s="712">
        <f t="shared" si="715"/>
        <v>633.7824134434303</v>
      </c>
      <c r="GV202" s="712"/>
      <c r="GW202" s="712">
        <f t="shared" si="716"/>
        <v>0</v>
      </c>
      <c r="GX202" s="712" t="str">
        <f t="shared" si="717"/>
        <v/>
      </c>
      <c r="GY202" s="712">
        <f>IF(GA202="P",Lookup!$N$12,IF(GA202="PP",Lookup!$N$13,IF(GA202="PPP",Lookup!$N$14,IF(GA202="T",Lookup!$N$15,IF(GA202="TP",Lookup!$N$16,IF(GA202="TPP",Lookup!$N$17,IF(GA202="TPPP",Lookup!$N$18,0)))))))*FZ202</f>
        <v>0</v>
      </c>
      <c r="GZ202" s="697">
        <f t="shared" si="725"/>
        <v>0</v>
      </c>
      <c r="HA202" s="712">
        <f t="shared" si="718"/>
        <v>1944.4444444444441</v>
      </c>
      <c r="HB202" s="712">
        <f t="shared" si="719"/>
        <v>633.7824134434303</v>
      </c>
      <c r="HC202" s="712"/>
    </row>
    <row r="203" spans="1:211">
      <c r="A203" s="773" t="s">
        <v>8</v>
      </c>
      <c r="B203" s="708">
        <v>40732</v>
      </c>
      <c r="C203" s="719">
        <v>0.5</v>
      </c>
      <c r="D203" s="675">
        <f t="shared" si="641"/>
        <v>300</v>
      </c>
      <c r="E203" s="675">
        <f t="shared" si="642"/>
        <v>250</v>
      </c>
      <c r="F203" s="675">
        <v>250</v>
      </c>
      <c r="G203" s="712">
        <f>DH203+Sheet1!CV203</f>
        <v>634.80736258181742</v>
      </c>
      <c r="H203" s="712">
        <f t="shared" si="643"/>
        <v>143.37627917288677</v>
      </c>
      <c r="I203" s="711">
        <f>MAX(Sheet1!Z203-AJ203+(Sheet1!CW203-E203)*CFStoMGD,0)</f>
        <v>509.19588742734339</v>
      </c>
      <c r="J203" s="720">
        <f>IF(AND(B203&gt;=Calculation!FS203,B203&lt;=Calculation!FT203),IF(Sheet1!CX203&gt;=Calculation!D203,64.64,0),MAX(Sheet1!Z203-AJ203+(Sheet1!CX203-D203)*CFStoMGD,0))</f>
        <v>284.53148742734339</v>
      </c>
      <c r="K203" s="697">
        <f t="shared" si="644"/>
        <v>64.64</v>
      </c>
      <c r="L203" s="712">
        <f>Sheet1!AA203+Sheet1!AB203-Sheet1!L203+(Sheet1!CW203-F203)*CFStoMGD</f>
        <v>526.58766666666634</v>
      </c>
      <c r="M203" s="712">
        <f t="shared" si="645"/>
        <v>418.54626875634455</v>
      </c>
      <c r="N203" s="712">
        <f>IF(Sheet1!CW203&gt;=F203,MIN(73,MIN(MAX(L203,0),MAX(M203,0))),0)</f>
        <v>73</v>
      </c>
      <c r="O203" s="721">
        <f>Sheet1!AA203+Sheet1!AB203</f>
        <v>63.16</v>
      </c>
      <c r="P203" s="721">
        <f t="shared" si="646"/>
        <v>97.708519999999993</v>
      </c>
      <c r="Q203" s="712">
        <f>MIN(N203,Sheet1!AA203+AG203)</f>
        <v>49.941779239323267</v>
      </c>
      <c r="R203" s="712">
        <f t="shared" si="647"/>
        <v>14</v>
      </c>
      <c r="S203" s="721">
        <f>Sheet1!Y203*MGDtoCFS</f>
        <v>63.272299999999994</v>
      </c>
      <c r="T203" s="721">
        <f>Sheet1!Z203*MGDtoCFS</f>
        <v>46.41</v>
      </c>
      <c r="U203" s="721">
        <f>Sheet1!AA203*MGDtoCFS</f>
        <v>61.663419999999995</v>
      </c>
      <c r="V203" s="721">
        <f>Sheet1!AB203*MGDtoCFS</f>
        <v>36.045099999999998</v>
      </c>
      <c r="W203" s="721">
        <f>Sheet1!L203*MGDtoCFS</f>
        <v>39.989950000000562</v>
      </c>
      <c r="X203" s="697">
        <f t="shared" si="648"/>
        <v>0</v>
      </c>
      <c r="Y203" s="712">
        <f t="shared" si="649"/>
        <v>0</v>
      </c>
      <c r="Z203" s="712">
        <f t="shared" si="650"/>
        <v>0</v>
      </c>
      <c r="AA203" s="712">
        <f t="shared" si="651"/>
        <v>0</v>
      </c>
      <c r="AB203" s="712">
        <f>(VLOOKUP(Sheet1!CY203,hhdcap_wcm,4)-(((VLOOKUP(Sheet1!CY203,hhdcap_wcm,3)-Sheet1!CY203)/(VLOOKUP(Sheet1!CY203,hhdcap_wcm,3)-VLOOKUP(Sheet1!CY203,hhdcap_wcm,1)))*(VLOOKUP(Sheet1!CY203,hhdcap_wcm,4)-VLOOKUP(Sheet1!CY203,hhdcap_wcm,2))))</f>
        <v>48915.45000011535</v>
      </c>
      <c r="AC203" s="712">
        <f t="shared" si="652"/>
        <v>-289.90000000025611</v>
      </c>
      <c r="AD203" s="712">
        <f t="shared" si="653"/>
        <v>3259.4524119947846</v>
      </c>
      <c r="AE203" s="712">
        <f t="shared" si="654"/>
        <v>10000</v>
      </c>
      <c r="AF203" s="712">
        <f>Sheet1!BA203+Sheet1!BB203+Sheet1!BN203+BT203</f>
        <v>10</v>
      </c>
      <c r="AG203" s="712">
        <f t="shared" si="655"/>
        <v>10.081779239323268</v>
      </c>
      <c r="AH203" s="712">
        <f>Sheet1!BA203+BT203</f>
        <v>0</v>
      </c>
      <c r="AI203" s="712">
        <f>Sheet1!BA203+Sheet1!BB203+BT203</f>
        <v>0</v>
      </c>
      <c r="AJ203" s="712">
        <f>IF((Sheet1!AA203+AG203+AX203+AZ203+BQ203+BS203+CL203+CN203)&lt;=N203,AG203+AX203+AZ203+BQ203+BS203+CL203+CN203,N203-Sheet1!AA203)</f>
        <v>10.081779239323268</v>
      </c>
      <c r="AK203" s="712">
        <f>IF(DR203&lt;K203,0,MAX(Sheet1!AA203+AG203-15/36*K203-N203,Sheet1!ED203,0))</f>
        <v>0</v>
      </c>
      <c r="AL203" s="712">
        <f>IF(OR(B203&gt;=FT203,B203&lt;FS203),0,15/36*K203-MAX(0,64.6-(137.6-(Sheet1!AA203+Sheet1!AB203))))</f>
        <v>0</v>
      </c>
      <c r="AM203" s="712">
        <f>Sheet1!CX203-110</f>
        <v>599.36458333333337</v>
      </c>
      <c r="AN203" s="712">
        <f>Sheet1!CW203-265</f>
        <v>741.92708333333337</v>
      </c>
      <c r="AO203" s="712">
        <f t="shared" si="723"/>
        <v>23.058220760676733</v>
      </c>
      <c r="AP203" s="712">
        <f t="shared" si="656"/>
        <v>0</v>
      </c>
      <c r="AQ203" s="712">
        <f t="shared" si="657"/>
        <v>0</v>
      </c>
      <c r="AR203" s="712">
        <f t="shared" si="658"/>
        <v>1358.1051716644936</v>
      </c>
      <c r="AS203" s="712"/>
      <c r="AT203" s="712">
        <f ca="1">IF(B203&gt;Summary!$A$1,#N/A,AR203*MGtoAF)</f>
        <v>4166.6666666666661</v>
      </c>
      <c r="AU203" s="712">
        <f>Sheet1!BG203+Sheet1!BH203+Sheet1!BI203-BC203</f>
        <v>1.51</v>
      </c>
      <c r="AV203" s="712">
        <f t="shared" si="659"/>
        <v>1.5223486651378133</v>
      </c>
      <c r="AW203" s="712">
        <f>IF(Sheet1!EL203="FM",BC203,0)</f>
        <v>0</v>
      </c>
      <c r="AX203" s="712">
        <f t="shared" si="660"/>
        <v>0</v>
      </c>
      <c r="AY203" s="712">
        <f>IF(Sheet1!EL203="OTHER",BC203,0)</f>
        <v>0</v>
      </c>
      <c r="AZ203" s="712">
        <f t="shared" si="661"/>
        <v>0</v>
      </c>
      <c r="BA203" s="712">
        <f t="shared" si="662"/>
        <v>1.51</v>
      </c>
      <c r="BB203" s="712">
        <f t="shared" si="663"/>
        <v>1.5223486651378133</v>
      </c>
      <c r="BC203" s="712">
        <f>IF(OR(Sheet1!EL203="FM", Sheet1!EL203="OTHER"),SUM(Sheet1!BG203:'Sheet1'!BI203),0)</f>
        <v>0</v>
      </c>
      <c r="BD203" s="697">
        <f>IF(AND($B203&gt;=$FL203,$B203&lt;=$FM203),MAX(AV203,Sheet1!EE203,0),MAX(AV203-(7/36)*$K203,0))</f>
        <v>0</v>
      </c>
      <c r="BE203" s="712">
        <f t="shared" si="664"/>
        <v>0</v>
      </c>
      <c r="BF203" s="697">
        <f t="shared" si="665"/>
        <v>1.5223486651378133</v>
      </c>
      <c r="BG203" s="697">
        <f>IF(AND($O203&gt;0,Sheet1!EI203=1),(1-($O203-Sheet1!$L203)/$O203)*BB203,0)</f>
        <v>0</v>
      </c>
      <c r="BH203" s="697">
        <f>IF(AND(Sheet1!$L203=0,Sheet1!$L202=0, Calculation!BA203&lt;Sheet1!$EE203-0.1,Sheet1!$EE203=Sheet1!$EE202,Sheet1!$EE203=Sheet1!$EE204),Sheet1!$EE203,BB203-BG203)</f>
        <v>1.5223486651378133</v>
      </c>
      <c r="BI203" s="712"/>
      <c r="BJ203" s="712"/>
      <c r="BK203" s="712">
        <f t="shared" si="666"/>
        <v>633.7824134434303</v>
      </c>
      <c r="BL203" s="712"/>
      <c r="BM203" s="712">
        <f ca="1">IF(B203&gt;Summary!$A$1,#N/A,BK203*MGtoAF)</f>
        <v>1944.4444444444441</v>
      </c>
      <c r="BN203" s="712">
        <f>Sheet1!BC203+Sheet1!BD203+Sheet1!BE203+Sheet1!BF203-BW203-BX203</f>
        <v>2.3410000000000002</v>
      </c>
      <c r="BO203" s="712">
        <f t="shared" si="667"/>
        <v>2.3601445199255773</v>
      </c>
      <c r="BP203" s="712">
        <f>IF(Sheet1!EM203="FM",BX203,0)</f>
        <v>0</v>
      </c>
      <c r="BQ203" s="712">
        <f t="shared" si="668"/>
        <v>0</v>
      </c>
      <c r="BR203" s="712">
        <f>IF(Sheet1!EM203="OTHER",BX203,0)</f>
        <v>0</v>
      </c>
      <c r="BS203" s="712">
        <f t="shared" si="669"/>
        <v>0</v>
      </c>
      <c r="BT203" s="712">
        <f t="shared" si="670"/>
        <v>0</v>
      </c>
      <c r="BU203" s="712">
        <f t="shared" si="671"/>
        <v>2.3410000000000002</v>
      </c>
      <c r="BV203" s="712">
        <f t="shared" si="672"/>
        <v>2.3601445199255773</v>
      </c>
      <c r="BW203" s="712">
        <f>IF(Sheet1!EM203="CWA",SUM(Sheet1!BC203:'Sheet1'!BF203),0)</f>
        <v>0</v>
      </c>
      <c r="BX203" s="712">
        <f>IF(OR(Sheet1!EM203="FM", Sheet1!EM203="OTHER"),SUM(Sheet1!BC203:'Sheet1'!BF203),0)</f>
        <v>0</v>
      </c>
      <c r="BY203" s="697">
        <f>IF(AND($B203&gt;=$FL203,$B203&lt;=$FM203),MAX(BV203,Sheet1!EF203,0),MAX(BV203-(7/36)*$K203,0))</f>
        <v>0</v>
      </c>
      <c r="BZ203" s="712">
        <f t="shared" si="673"/>
        <v>0</v>
      </c>
      <c r="CA203" s="697">
        <f t="shared" si="674"/>
        <v>2.3601445199255773</v>
      </c>
      <c r="CB203" s="697">
        <f>IF(AND($O203&gt;0,Sheet1!EJ203=1),(1-($O203-Sheet1!$L203)/$O203)*BV203,0)</f>
        <v>0</v>
      </c>
      <c r="CC203" s="697">
        <f>IF(AND(Sheet1!$L203=0,Sheet1!$L202=0, Calculation!BU203&lt;Sheet1!EF203-0.1,Sheet1!EF203=Sheet1!EF202,Sheet1!EF203=Sheet1!EF204),Sheet1!EF203,BV203-CB203)</f>
        <v>2.3601445199255773</v>
      </c>
      <c r="CD203" s="697"/>
      <c r="CE203" s="712"/>
      <c r="CF203" s="712">
        <f t="shared" si="675"/>
        <v>633.7824134434303</v>
      </c>
      <c r="CG203" s="712"/>
      <c r="CH203" s="712">
        <f ca="1">IF(B203&gt;Summary!$A$1,#N/A,CF203*MGtoAF)</f>
        <v>1944.4444444444441</v>
      </c>
      <c r="CI203" s="712">
        <f>Sheet1!BK203+Sheet1!BL203+Sheet1!BM203-Sheet1!EN203-CQ203</f>
        <v>9.26</v>
      </c>
      <c r="CJ203" s="712">
        <f t="shared" si="676"/>
        <v>9.3357275756133458</v>
      </c>
      <c r="CK203" s="712">
        <f>IF(Sheet1!EN203="FM",CQ203,0)</f>
        <v>0</v>
      </c>
      <c r="CL203" s="712">
        <f t="shared" si="677"/>
        <v>0</v>
      </c>
      <c r="CM203" s="712">
        <f>IF(Sheet1!EN203="OTHER",CQ203,0)</f>
        <v>0</v>
      </c>
      <c r="CN203" s="712">
        <f t="shared" si="678"/>
        <v>0</v>
      </c>
      <c r="CO203" s="712">
        <f t="shared" si="679"/>
        <v>9.26</v>
      </c>
      <c r="CP203" s="712">
        <f t="shared" si="680"/>
        <v>9.3357275756133458</v>
      </c>
      <c r="CQ203" s="712">
        <f>IF(OR(Sheet1!EN203="FM", Sheet1!EN203="OTHER"),SUM(Sheet1!BK203:'Sheet1'!BM203),0)</f>
        <v>0</v>
      </c>
      <c r="CR203" s="697">
        <f>IF(AND($B203&gt;=$FL203,$B203&lt;=$FM203),MAX($CJ203,Sheet1!EG203,0),MAX($CJ203-(7/36)*$K203,0))</f>
        <v>0</v>
      </c>
      <c r="CS203" s="712">
        <f t="shared" si="681"/>
        <v>0</v>
      </c>
      <c r="CT203" s="697">
        <f t="shared" si="682"/>
        <v>9.3357275756133458</v>
      </c>
      <c r="CU203" s="697">
        <f>IF(AND($O203&gt;0,Sheet1!EK203=1),(1-($O203-Sheet1!$L203)/$O203)*CP203,0)</f>
        <v>0</v>
      </c>
      <c r="CV203" s="697">
        <f>IF(AND(Sheet1!$L203=0,Sheet1!$L202=0, Calculation!CO203&lt;Sheet1!$EG203-0.1,Sheet1!$EG203=Sheet1!$EG202,Sheet1!$EG203=Sheet1!$EG204),Sheet1!$EG203,CP203-CU203)</f>
        <v>9.3357275756133458</v>
      </c>
      <c r="CW203" s="697">
        <f t="shared" si="721"/>
        <v>0</v>
      </c>
      <c r="CX203" s="712">
        <f t="shared" si="683"/>
        <v>13.111000000000001</v>
      </c>
      <c r="CY203" s="712">
        <f t="shared" si="684"/>
        <v>633.7824134434303</v>
      </c>
      <c r="CZ203" s="712">
        <f t="shared" si="685"/>
        <v>13.218220760676736</v>
      </c>
      <c r="DA203" s="712">
        <f ca="1">IF(B203&gt;Summary!$A$1,#N/A,CY203*MGtoAF)</f>
        <v>1944.4444444444441</v>
      </c>
      <c r="DB203" s="712">
        <f t="shared" si="686"/>
        <v>13.110999999999999</v>
      </c>
      <c r="DC203" s="712">
        <f t="shared" si="687"/>
        <v>23.110999999999997</v>
      </c>
      <c r="DD203" s="712">
        <f>Sheet1!AB203-DC203</f>
        <v>0.18900000000000361</v>
      </c>
      <c r="DE203" s="851">
        <f t="shared" si="688"/>
        <v>8.1779239323267541E-3</v>
      </c>
      <c r="DF203" s="712">
        <f>(VLOOKUP(Sheet1!CY203,hhdcap_wcm,4)-(((VLOOKUP(Sheet1!CY203,hhdcap_wcm,3)-Sheet1!CY203)/(VLOOKUP(Sheet1!CY203,hhdcap_wcm,3)-VLOOKUP(Sheet1!CY203,hhdcap_wcm,1)))*(VLOOKUP(Sheet1!CY203,hhdcap_wcm,4)-VLOOKUP(Sheet1!CY203,hhdcap_wcm,2))))</f>
        <v>48915.45000011535</v>
      </c>
      <c r="DG203" s="712">
        <f t="shared" si="689"/>
        <v>-289.90000000025611</v>
      </c>
      <c r="DH203" s="712">
        <f t="shared" si="690"/>
        <v>-146.19263741818258</v>
      </c>
      <c r="DI203" s="712">
        <f>Sheet1!DW203*AFtoMG</f>
        <v>0</v>
      </c>
      <c r="DJ203" s="712">
        <f>Sheet1!DX203*AFtoMG</f>
        <v>0</v>
      </c>
      <c r="DK203" s="712">
        <f>Sheet1!DY203*AFtoMG</f>
        <v>0</v>
      </c>
      <c r="DL203" s="712">
        <f>Sheet1!DZ203*AFtoMG</f>
        <v>0</v>
      </c>
      <c r="DM203" s="712">
        <f t="shared" si="691"/>
        <v>0</v>
      </c>
      <c r="DN203" s="712">
        <f t="shared" si="692"/>
        <v>0</v>
      </c>
      <c r="DO203" s="712">
        <f t="shared" si="693"/>
        <v>3259.4524119947846</v>
      </c>
      <c r="DP203" s="712">
        <f t="shared" si="694"/>
        <v>10000</v>
      </c>
      <c r="DQ203" s="712"/>
      <c r="DR203" s="697">
        <f>IF(OR(B203&lt;FL203,B203&gt;FM203),(MIN(AV203+BO203+CJ203+MAX(Sheet1!AA203+AG203-73,0),K203)),0)</f>
        <v>13.218220760676736</v>
      </c>
      <c r="DS203" s="712"/>
      <c r="DT203" s="712">
        <f t="shared" si="695"/>
        <v>13.218220760676736</v>
      </c>
      <c r="DU203" s="712"/>
      <c r="DV203" s="712">
        <f>Sheet1!ED203+Sheet1!EE203+Sheet1!EF203+Sheet1!EG203</f>
        <v>14</v>
      </c>
      <c r="DW203" s="712"/>
      <c r="DX203" s="697">
        <f t="shared" si="696"/>
        <v>0</v>
      </c>
      <c r="DY203" s="712">
        <f>IF(Sheet1!FN203=1,SUM('Calculations II'!AT203:BA203)+'Calculations II'!BC203+Sheet1!BU203+'Calculations II'!BE203+AF203,SUM('Calculations II'!AT203:BA203)+'Calculations II'!BC203+Sheet1!BU203+'Calculations II'!BE203+AF203)</f>
        <v>63.246256000000002</v>
      </c>
      <c r="DZ203" s="712">
        <f>Sheet1!AA203+Sheet1!AB203+'Calculations II'!BC203</f>
        <v>74.278239999999997</v>
      </c>
      <c r="EA203" s="712"/>
      <c r="EB203" s="712"/>
      <c r="EC203" s="712">
        <f t="shared" si="697"/>
        <v>40732</v>
      </c>
      <c r="ED203" s="712">
        <f t="shared" si="698"/>
        <v>0</v>
      </c>
      <c r="EE203" s="712">
        <f t="shared" si="699"/>
        <v>0</v>
      </c>
      <c r="EF203" s="712">
        <f>-(VLOOKUP(Sheet1!BQ203,Lookup!$B$4:$J$236,2)-VLOOKUP(Sheet1!BQ202,Lookup!$B$4:$J$236,2))/1000000</f>
        <v>-3.9826999999999999</v>
      </c>
      <c r="EG203" s="712">
        <f>-(VLOOKUP(Sheet1!BR203,Lookup!$B$4:$J$236,3)-VLOOKUP(Sheet1!BR202,Lookup!$B$4:$J$236,3))/1000000</f>
        <v>-3.9759000000000002</v>
      </c>
      <c r="EH203" s="712">
        <f>-(VLOOKUP(Sheet1!BS203,Lookup!$B$4:$J$236,4)-VLOOKUP(Sheet1!BS202,Lookup!$B$4:$J$236,4))/1000000</f>
        <v>0</v>
      </c>
      <c r="EI203" s="697">
        <f t="shared" si="700"/>
        <v>-7.9586000000000006</v>
      </c>
      <c r="EJ203" s="712"/>
      <c r="EK203" s="712"/>
      <c r="EL203" s="712"/>
      <c r="EM203" s="712"/>
      <c r="EN203" s="712"/>
      <c r="EO203" s="712"/>
      <c r="EP203" s="712"/>
      <c r="EQ203" s="712"/>
      <c r="ET203" s="794">
        <f t="shared" si="720"/>
        <v>1138.5</v>
      </c>
      <c r="EU203" s="800">
        <v>15000</v>
      </c>
      <c r="EV203" s="795">
        <f t="shared" si="640"/>
        <v>22695.45000011535</v>
      </c>
      <c r="EW203" s="796" t="s">
        <v>757</v>
      </c>
      <c r="EX203" s="796" t="s">
        <v>757</v>
      </c>
      <c r="EY203" s="712">
        <f>IF(-(AB203-AE203-EZ203)&gt;0,(AB203-AE203-EZ203)/1.983,0)</f>
        <v>0</v>
      </c>
      <c r="EZ203" s="798">
        <v>23531.00000005617</v>
      </c>
      <c r="FA203" s="712"/>
      <c r="FB203" s="712"/>
      <c r="FC203" s="712"/>
      <c r="FD203" s="712"/>
      <c r="FE203" s="712">
        <f>O203+Sheet1!CO203</f>
        <v>7784.16</v>
      </c>
      <c r="FF203" s="712">
        <f>IF(Sheet1!AA203+AG203&lt;=Calculation!N203,AG203,Calculation!N203-Sheet1!AA203)</f>
        <v>10.081779239323268</v>
      </c>
      <c r="FG203" s="712">
        <f>(Sheet1!BP203+Sheet1!BO203)/694.4</f>
        <v>3.8685195852534564</v>
      </c>
      <c r="FH203" s="712"/>
      <c r="FI203" s="712"/>
      <c r="FJ203" s="712"/>
      <c r="FK203" s="712"/>
      <c r="FL203" s="714">
        <f t="shared" si="726"/>
        <v>40753</v>
      </c>
      <c r="FM203" s="714">
        <f t="shared" si="727"/>
        <v>40851</v>
      </c>
      <c r="FN203" s="712"/>
      <c r="FO203" s="712"/>
      <c r="FP203" s="712"/>
      <c r="FQ203" s="712"/>
      <c r="FR203" s="712"/>
      <c r="FS203" s="725">
        <f t="shared" si="728"/>
        <v>40603</v>
      </c>
      <c r="FT203" s="714">
        <f t="shared" si="729"/>
        <v>40709</v>
      </c>
      <c r="FU203" s="712">
        <f t="shared" si="728"/>
        <v>6518.9048239895692</v>
      </c>
      <c r="FV203" s="714">
        <f t="shared" si="730"/>
        <v>40722</v>
      </c>
      <c r="FW203" s="712">
        <f t="shared" si="728"/>
        <v>3259.4524119947846</v>
      </c>
      <c r="FX203" s="725">
        <f t="shared" si="728"/>
        <v>40851</v>
      </c>
      <c r="FZ203" s="697">
        <f t="shared" si="722"/>
        <v>0</v>
      </c>
      <c r="GA203" s="712" t="str">
        <f t="shared" si="701"/>
        <v/>
      </c>
      <c r="GB203" s="712">
        <f t="shared" si="702"/>
        <v>0</v>
      </c>
      <c r="GC203" s="712" t="str">
        <f t="shared" si="703"/>
        <v/>
      </c>
      <c r="GD203" s="712">
        <f>IF(GA203="P",Lookup!$M$12,IF(GA203="PP",Lookup!$M$13,IF(GA203="PPP",Lookup!$M$14,IF(GA203="T",Lookup!$M$15,IF(GA203="TP",Lookup!$M$16,IF(GA203="TPP",Lookup!$M$17,IF(GA203="TPPP",Lookup!$M$18,0)))))))*FZ203</f>
        <v>0</v>
      </c>
      <c r="GE203" s="712">
        <f t="shared" si="704"/>
        <v>0</v>
      </c>
      <c r="GF203" s="712">
        <f t="shared" si="705"/>
        <v>4166.6666666666661</v>
      </c>
      <c r="GG203" s="712">
        <f t="shared" si="706"/>
        <v>1358.1051716644936</v>
      </c>
      <c r="GH203" s="712"/>
      <c r="GI203" s="712">
        <f t="shared" si="707"/>
        <v>0</v>
      </c>
      <c r="GJ203" s="712" t="str">
        <f t="shared" si="708"/>
        <v/>
      </c>
      <c r="GK203" s="712">
        <f>IF(GA203="P",Lookup!$N$12,IF(GA203="PP",Lookup!$N$13,IF(GA203="PPP",Lookup!$N$14,IF(GA203="T",Lookup!$N$15,IF(GA203="TP",Lookup!$N$16,IF(GA203="TPP",Lookup!$N$17,IF(GA203="TPPP",Lookup!$N$18,0)))))))*FZ203</f>
        <v>0</v>
      </c>
      <c r="GL203" s="712">
        <f t="shared" si="709"/>
        <v>0</v>
      </c>
      <c r="GM203" s="712">
        <f t="shared" si="710"/>
        <v>1944.4444444444441</v>
      </c>
      <c r="GN203" s="712">
        <f t="shared" si="711"/>
        <v>633.7824134434303</v>
      </c>
      <c r="GO203" s="712"/>
      <c r="GP203" s="712">
        <f t="shared" si="712"/>
        <v>0</v>
      </c>
      <c r="GQ203" s="712" t="str">
        <f t="shared" si="713"/>
        <v/>
      </c>
      <c r="GR203" s="712">
        <f>IF(GA203="P",Lookup!$N$12,IF(GA203="PP",Lookup!$N$13,IF(GA203="PPP",Lookup!$N$14,IF(GA203="T",Lookup!$N$15,IF(GA203="TP",Lookup!$N$16,IF(GA203="TPP",Lookup!$N$17,IF(GA203="TPPP",Lookup!$N$18,0)))))))*FZ203</f>
        <v>0</v>
      </c>
      <c r="GS203" s="697">
        <f t="shared" si="724"/>
        <v>0</v>
      </c>
      <c r="GT203" s="712">
        <f t="shared" si="714"/>
        <v>1944.4444444444441</v>
      </c>
      <c r="GU203" s="712">
        <f t="shared" si="715"/>
        <v>633.7824134434303</v>
      </c>
      <c r="GV203" s="712"/>
      <c r="GW203" s="712">
        <f t="shared" si="716"/>
        <v>0</v>
      </c>
      <c r="GX203" s="712" t="str">
        <f t="shared" si="717"/>
        <v/>
      </c>
      <c r="GY203" s="712">
        <f>IF(GA203="P",Lookup!$N$12,IF(GA203="PP",Lookup!$N$13,IF(GA203="PPP",Lookup!$N$14,IF(GA203="T",Lookup!$N$15,IF(GA203="TP",Lookup!$N$16,IF(GA203="TPP",Lookup!$N$17,IF(GA203="TPPP",Lookup!$N$18,0)))))))*FZ203</f>
        <v>0</v>
      </c>
      <c r="GZ203" s="697">
        <f t="shared" si="725"/>
        <v>0</v>
      </c>
      <c r="HA203" s="712">
        <f t="shared" si="718"/>
        <v>1944.4444444444441</v>
      </c>
      <c r="HB203" s="712">
        <f t="shared" si="719"/>
        <v>633.7824134434303</v>
      </c>
      <c r="HC203" s="712"/>
    </row>
    <row r="204" spans="1:211">
      <c r="A204" s="773" t="s">
        <v>9</v>
      </c>
      <c r="B204" s="708">
        <v>40733</v>
      </c>
      <c r="C204" s="709">
        <v>0.5</v>
      </c>
      <c r="D204" s="675">
        <f t="shared" si="641"/>
        <v>300</v>
      </c>
      <c r="E204" s="675">
        <f t="shared" si="642"/>
        <v>250</v>
      </c>
      <c r="F204" s="675">
        <v>250</v>
      </c>
      <c r="G204" s="712">
        <f>DH204+Sheet1!CV204</f>
        <v>540.0165756755988</v>
      </c>
      <c r="H204" s="712">
        <f t="shared" si="643"/>
        <v>82.103514516707065</v>
      </c>
      <c r="I204" s="711">
        <f>MAX(Sheet1!Z204-AJ204+(Sheet1!CW204-E204)*CFStoMGD,0)</f>
        <v>558.95652962515248</v>
      </c>
      <c r="J204" s="720">
        <f>IF(AND(B204&gt;=Calculation!FS204,B204&lt;=Calculation!FT204),IF(Sheet1!CX204&gt;=Calculation!D204,64.64,0),MAX(Sheet1!Z204-AJ204+(Sheet1!CX204-D204)*CFStoMGD,0))</f>
        <v>288.20246295848585</v>
      </c>
      <c r="K204" s="697">
        <f t="shared" si="644"/>
        <v>64.64</v>
      </c>
      <c r="L204" s="712">
        <f>Sheet1!AA204+Sheet1!AB204-Sheet1!L204+(Sheet1!CW204-F204)*CFStoMGD</f>
        <v>570.20000000000471</v>
      </c>
      <c r="M204" s="712">
        <f t="shared" si="645"/>
        <v>356.0480488070412</v>
      </c>
      <c r="N204" s="712">
        <f>IF(Sheet1!CW204&gt;=F204,MIN(73,MIN(MAX(L204,0),MAX(M204,0))),0)</f>
        <v>73</v>
      </c>
      <c r="O204" s="721">
        <f>Sheet1!AA204+Sheet1!AB204</f>
        <v>61.200000000004366</v>
      </c>
      <c r="P204" s="721">
        <f t="shared" si="646"/>
        <v>94.676400000006751</v>
      </c>
      <c r="Q204" s="712">
        <f>MIN(N204,Sheet1!AA204+AG204)</f>
        <v>47.343470374856196</v>
      </c>
      <c r="R204" s="712">
        <f t="shared" si="647"/>
        <v>14</v>
      </c>
      <c r="S204" s="721">
        <f>Sheet1!Y204*MGDtoCFS</f>
        <v>61.80265</v>
      </c>
      <c r="T204" s="721">
        <f>Sheet1!Z204*MGDtoCFS</f>
        <v>30.939999999999998</v>
      </c>
      <c r="U204" s="721">
        <f>Sheet1!AA204*MGDtoCFS</f>
        <v>63.272300000013502</v>
      </c>
      <c r="V204" s="721">
        <f>Sheet1!AB204*MGDtoCFS</f>
        <v>31.404099999993246</v>
      </c>
      <c r="W204" s="721">
        <f>Sheet1!L204*MGDtoCFS</f>
        <v>56.310799999999432</v>
      </c>
      <c r="X204" s="697">
        <f t="shared" si="648"/>
        <v>0</v>
      </c>
      <c r="Y204" s="712">
        <f t="shared" si="649"/>
        <v>0</v>
      </c>
      <c r="Z204" s="712">
        <f t="shared" si="650"/>
        <v>0</v>
      </c>
      <c r="AA204" s="712">
        <f t="shared" si="651"/>
        <v>0</v>
      </c>
      <c r="AB204" s="712">
        <f>(VLOOKUP(Sheet1!CY204,hhdcap_wcm,4)-(((VLOOKUP(Sheet1!CY204,hhdcap_wcm,3)-Sheet1!CY204)/(VLOOKUP(Sheet1!CY204,hhdcap_wcm,3)-VLOOKUP(Sheet1!CY204,hhdcap_wcm,1)))*(VLOOKUP(Sheet1!CY204,hhdcap_wcm,4)-VLOOKUP(Sheet1!CY204,hhdcap_wcm,2))))</f>
        <v>48447.150000114845</v>
      </c>
      <c r="AC204" s="712">
        <f t="shared" si="652"/>
        <v>-468.30000000050495</v>
      </c>
      <c r="AD204" s="712">
        <f t="shared" si="653"/>
        <v>3259.4524119947846</v>
      </c>
      <c r="AE204" s="712">
        <f t="shared" si="654"/>
        <v>10000</v>
      </c>
      <c r="AF204" s="712">
        <f>Sheet1!BA204+Sheet1!BB204+Sheet1!BN204+BT204</f>
        <v>6.3</v>
      </c>
      <c r="AG204" s="712">
        <f t="shared" si="655"/>
        <v>6.4434703748474655</v>
      </c>
      <c r="AH204" s="712">
        <f>Sheet1!BA204+BT204</f>
        <v>0</v>
      </c>
      <c r="AI204" s="712">
        <f>Sheet1!BA204+Sheet1!BB204+BT204</f>
        <v>0</v>
      </c>
      <c r="AJ204" s="712">
        <f>IF((Sheet1!AA204+AG204+AX204+AZ204+BQ204+BS204+CL204+CN204)&lt;=N204,AG204+AX204+AZ204+BQ204+BS204+CL204+CN204,N204-Sheet1!AA204)</f>
        <v>6.4434703748474655</v>
      </c>
      <c r="AK204" s="712">
        <f>IF(DR204&lt;K204,0,MAX(Sheet1!AA204+AG204-15/36*K204-N204,Sheet1!ED204,0))</f>
        <v>0</v>
      </c>
      <c r="AL204" s="712">
        <f>IF(OR(B204&gt;=FT204,B204&lt;FS204),0,15/36*K204-MAX(0,64.6-(137.6-(Sheet1!AA204+Sheet1!AB204))))</f>
        <v>0</v>
      </c>
      <c r="AM204" s="712">
        <f>Sheet1!CX204-110</f>
        <v>614.88541666666663</v>
      </c>
      <c r="AN204" s="712">
        <f>Sheet1!CW204-265</f>
        <v>828.75</v>
      </c>
      <c r="AO204" s="712">
        <f t="shared" si="723"/>
        <v>25.656529625143804</v>
      </c>
      <c r="AP204" s="712">
        <f t="shared" si="656"/>
        <v>0</v>
      </c>
      <c r="AQ204" s="712">
        <f t="shared" si="657"/>
        <v>0</v>
      </c>
      <c r="AR204" s="712">
        <f t="shared" si="658"/>
        <v>1358.1051716644936</v>
      </c>
      <c r="AS204" s="712"/>
      <c r="AT204" s="712">
        <f ca="1">IF(B204&gt;Summary!$A$1,#N/A,AR204*MGtoAF)</f>
        <v>4166.6666666666661</v>
      </c>
      <c r="AU204" s="712">
        <f>Sheet1!BG204+Sheet1!BH204+Sheet1!BI204-BC204</f>
        <v>1.51</v>
      </c>
      <c r="AV204" s="712">
        <f t="shared" si="659"/>
        <v>1.5443873438126465</v>
      </c>
      <c r="AW204" s="712">
        <f>IF(Sheet1!EL204="FM",BC204,0)</f>
        <v>0</v>
      </c>
      <c r="AX204" s="712">
        <f t="shared" si="660"/>
        <v>0</v>
      </c>
      <c r="AY204" s="712">
        <f>IF(Sheet1!EL204="OTHER",BC204,0)</f>
        <v>0</v>
      </c>
      <c r="AZ204" s="712">
        <f t="shared" si="661"/>
        <v>0</v>
      </c>
      <c r="BA204" s="712">
        <f t="shared" si="662"/>
        <v>1.51</v>
      </c>
      <c r="BB204" s="712">
        <f t="shared" si="663"/>
        <v>1.5443873438126465</v>
      </c>
      <c r="BC204" s="712">
        <f>IF(OR(Sheet1!EL204="FM", Sheet1!EL204="OTHER"),SUM(Sheet1!BG204:'Sheet1'!BI204),0)</f>
        <v>0</v>
      </c>
      <c r="BD204" s="697">
        <f>IF(AND($B204&gt;=$FL204,$B204&lt;=$FM204),MAX(AV204,Sheet1!EE204,0),MAX(AV204-(7/36)*$K204,0))</f>
        <v>0</v>
      </c>
      <c r="BE204" s="712">
        <f t="shared" si="664"/>
        <v>0</v>
      </c>
      <c r="BF204" s="697">
        <f t="shared" si="665"/>
        <v>1.5443873438126465</v>
      </c>
      <c r="BG204" s="697">
        <f>IF(AND($O204&gt;0,Sheet1!EI204=1),(1-($O204-Sheet1!$L204)/$O204)*BB204,0)</f>
        <v>0</v>
      </c>
      <c r="BH204" s="697">
        <f>IF(AND(Sheet1!$L204=0,Sheet1!$L203=0, Calculation!BA204&lt;Sheet1!$EE204-0.1,Sheet1!$EE204=Sheet1!$EE203,Sheet1!$EE204=Sheet1!$EE205),Sheet1!$EE204,BB204-BG204)</f>
        <v>1.5443873438126465</v>
      </c>
      <c r="BI204" s="712"/>
      <c r="BJ204" s="712"/>
      <c r="BK204" s="712">
        <f t="shared" si="666"/>
        <v>633.7824134434303</v>
      </c>
      <c r="BL204" s="712"/>
      <c r="BM204" s="712">
        <f ca="1">IF(B204&gt;Summary!$A$1,#N/A,BK204*MGtoAF)</f>
        <v>1944.4444444444441</v>
      </c>
      <c r="BN204" s="712">
        <f>Sheet1!BC204+Sheet1!BD204+Sheet1!BE204+Sheet1!BF204-BW204-BX204</f>
        <v>2.4780000000000002</v>
      </c>
      <c r="BO204" s="712">
        <f t="shared" si="667"/>
        <v>2.5344316807733369</v>
      </c>
      <c r="BP204" s="712">
        <f>IF(Sheet1!EM204="FM",BX204,0)</f>
        <v>0</v>
      </c>
      <c r="BQ204" s="712">
        <f t="shared" si="668"/>
        <v>0</v>
      </c>
      <c r="BR204" s="712">
        <f>IF(Sheet1!EM204="OTHER",BX204,0)</f>
        <v>0</v>
      </c>
      <c r="BS204" s="712">
        <f t="shared" si="669"/>
        <v>0</v>
      </c>
      <c r="BT204" s="712">
        <f t="shared" si="670"/>
        <v>0</v>
      </c>
      <c r="BU204" s="712">
        <f t="shared" si="671"/>
        <v>2.4780000000000002</v>
      </c>
      <c r="BV204" s="712">
        <f t="shared" si="672"/>
        <v>2.5344316807733369</v>
      </c>
      <c r="BW204" s="712">
        <f>IF(Sheet1!EM204="CWA",SUM(Sheet1!BC204:'Sheet1'!BF204),0)</f>
        <v>0</v>
      </c>
      <c r="BX204" s="712">
        <f>IF(OR(Sheet1!EM204="FM", Sheet1!EM204="OTHER"),SUM(Sheet1!BC204:'Sheet1'!BF204),0)</f>
        <v>0</v>
      </c>
      <c r="BY204" s="697">
        <f>IF(AND($B204&gt;=$FL204,$B204&lt;=$FM204),MAX(BV204,Sheet1!EF204,0),MAX(BV204-(7/36)*$K204,0))</f>
        <v>0</v>
      </c>
      <c r="BZ204" s="712">
        <f t="shared" si="673"/>
        <v>0</v>
      </c>
      <c r="CA204" s="697">
        <f t="shared" si="674"/>
        <v>2.5344316807733369</v>
      </c>
      <c r="CB204" s="697">
        <f>IF(AND($O204&gt;0,Sheet1!EJ204=1),(1-($O204-Sheet1!$L204)/$O204)*BV204,0)</f>
        <v>0</v>
      </c>
      <c r="CC204" s="697">
        <f>IF(AND(Sheet1!$L204=0,Sheet1!$L203=0, Calculation!BU204&lt;Sheet1!EF204-0.1,Sheet1!EF204=Sheet1!EF203,Sheet1!EF204=Sheet1!EF205),Sheet1!EF204,BV204-CB204)</f>
        <v>2.5344316807733369</v>
      </c>
      <c r="CD204" s="697"/>
      <c r="CE204" s="712"/>
      <c r="CF204" s="712">
        <f t="shared" si="675"/>
        <v>633.7824134434303</v>
      </c>
      <c r="CG204" s="712"/>
      <c r="CH204" s="712">
        <f ca="1">IF(B204&gt;Summary!$A$1,#N/A,CF204*MGtoAF)</f>
        <v>1944.4444444444441</v>
      </c>
      <c r="CI204" s="712">
        <f>Sheet1!BK204+Sheet1!BL204+Sheet1!BM204-Sheet1!EN204-CQ204</f>
        <v>9.56</v>
      </c>
      <c r="CJ204" s="712">
        <f t="shared" si="676"/>
        <v>9.7777106005621874</v>
      </c>
      <c r="CK204" s="712">
        <f>IF(Sheet1!EN204="FM",CQ204,0)</f>
        <v>0</v>
      </c>
      <c r="CL204" s="712">
        <f t="shared" si="677"/>
        <v>0</v>
      </c>
      <c r="CM204" s="712">
        <f>IF(Sheet1!EN204="OTHER",CQ204,0)</f>
        <v>0</v>
      </c>
      <c r="CN204" s="712">
        <f t="shared" si="678"/>
        <v>0</v>
      </c>
      <c r="CO204" s="712">
        <f t="shared" si="679"/>
        <v>9.56</v>
      </c>
      <c r="CP204" s="712">
        <f t="shared" si="680"/>
        <v>9.7777106005621874</v>
      </c>
      <c r="CQ204" s="712">
        <f>IF(OR(Sheet1!EN204="FM", Sheet1!EN204="OTHER"),SUM(Sheet1!BK204:'Sheet1'!BM204),0)</f>
        <v>0</v>
      </c>
      <c r="CR204" s="697">
        <f>IF(AND($B204&gt;=$FL204,$B204&lt;=$FM204),MAX($CJ204,Sheet1!EG204,0),MAX($CJ204-(7/36)*$K204,0))</f>
        <v>0</v>
      </c>
      <c r="CS204" s="712">
        <f t="shared" si="681"/>
        <v>0</v>
      </c>
      <c r="CT204" s="697">
        <f t="shared" si="682"/>
        <v>9.7777106005621874</v>
      </c>
      <c r="CU204" s="697">
        <f>IF(AND($O204&gt;0,Sheet1!EK204=1),(1-($O204-Sheet1!$L204)/$O204)*CP204,0)</f>
        <v>0</v>
      </c>
      <c r="CV204" s="697">
        <f>IF(AND(Sheet1!$L204=0,Sheet1!$L203=0, Calculation!CO204&lt;Sheet1!$EG204-0.1,Sheet1!$EG204=Sheet1!$EG203,Sheet1!$EG204=Sheet1!$EG205),Sheet1!$EG204,CP204-CU204)</f>
        <v>9.7777106005621874</v>
      </c>
      <c r="CW204" s="697">
        <f t="shared" si="721"/>
        <v>0</v>
      </c>
      <c r="CX204" s="712">
        <f t="shared" si="683"/>
        <v>13.548000000000002</v>
      </c>
      <c r="CY204" s="712">
        <f t="shared" si="684"/>
        <v>633.7824134434303</v>
      </c>
      <c r="CZ204" s="712">
        <f t="shared" si="685"/>
        <v>13.85652962514817</v>
      </c>
      <c r="DA204" s="712">
        <f ca="1">IF(B204&gt;Summary!$A$1,#N/A,CY204*MGtoAF)</f>
        <v>1944.4444444444441</v>
      </c>
      <c r="DB204" s="712">
        <f t="shared" si="686"/>
        <v>13.548</v>
      </c>
      <c r="DC204" s="712">
        <f t="shared" si="687"/>
        <v>19.847999999999999</v>
      </c>
      <c r="DD204" s="712">
        <f>Sheet1!AB204-DC204</f>
        <v>0.45199999999563545</v>
      </c>
      <c r="DE204" s="851">
        <f t="shared" si="688"/>
        <v>2.2773075372613638E-2</v>
      </c>
      <c r="DF204" s="712">
        <f>(VLOOKUP(Sheet1!CY204,hhdcap_wcm,4)-(((VLOOKUP(Sheet1!CY204,hhdcap_wcm,3)-Sheet1!CY204)/(VLOOKUP(Sheet1!CY204,hhdcap_wcm,3)-VLOOKUP(Sheet1!CY204,hhdcap_wcm,1)))*(VLOOKUP(Sheet1!CY204,hhdcap_wcm,4)-VLOOKUP(Sheet1!CY204,hhdcap_wcm,2))))</f>
        <v>48447.150000114845</v>
      </c>
      <c r="DG204" s="712">
        <f t="shared" si="689"/>
        <v>-468.30000000050495</v>
      </c>
      <c r="DH204" s="712">
        <f t="shared" si="690"/>
        <v>-236.15733736787942</v>
      </c>
      <c r="DI204" s="712">
        <f>Sheet1!DW204*AFtoMG</f>
        <v>0</v>
      </c>
      <c r="DJ204" s="712">
        <f>Sheet1!DX204*AFtoMG</f>
        <v>0</v>
      </c>
      <c r="DK204" s="712">
        <f>Sheet1!DY204*AFtoMG</f>
        <v>0</v>
      </c>
      <c r="DL204" s="712">
        <f>Sheet1!DZ204*AFtoMG</f>
        <v>0</v>
      </c>
      <c r="DM204" s="712">
        <f t="shared" si="691"/>
        <v>0</v>
      </c>
      <c r="DN204" s="712">
        <f t="shared" si="692"/>
        <v>0</v>
      </c>
      <c r="DO204" s="712">
        <f t="shared" si="693"/>
        <v>3259.4524119947846</v>
      </c>
      <c r="DP204" s="712">
        <f t="shared" si="694"/>
        <v>10000</v>
      </c>
      <c r="DQ204" s="712"/>
      <c r="DR204" s="697">
        <f>IF(OR(B204&lt;FL204,B204&gt;FM204),(MIN(AV204+BO204+CJ204+MAX(Sheet1!AA204+AG204-73,0),K204)),0)</f>
        <v>13.85652962514817</v>
      </c>
      <c r="DS204" s="712"/>
      <c r="DT204" s="712">
        <f t="shared" si="695"/>
        <v>13.85652962514817</v>
      </c>
      <c r="DU204" s="712"/>
      <c r="DV204" s="712">
        <f>Sheet1!ED204+Sheet1!EE204+Sheet1!EF204+Sheet1!EG204</f>
        <v>14</v>
      </c>
      <c r="DW204" s="712"/>
      <c r="DX204" s="697">
        <f t="shared" si="696"/>
        <v>0</v>
      </c>
      <c r="DY204" s="712">
        <f>IF(Sheet1!FN204=1,SUM('Calculations II'!AT204:BA204)+'Calculations II'!BC204+Sheet1!BU204+'Calculations II'!BE204+AF204,SUM('Calculations II'!AT204:BA204)+'Calculations II'!BC204+Sheet1!BU204+'Calculations II'!BE204+AF204)</f>
        <v>69.297888</v>
      </c>
      <c r="DZ204" s="712">
        <f>Sheet1!AA204+Sheet1!AB204+'Calculations II'!BC204</f>
        <v>75.811680000004372</v>
      </c>
      <c r="EA204" s="712"/>
      <c r="EB204" s="712"/>
      <c r="EC204" s="712">
        <f t="shared" si="697"/>
        <v>40733</v>
      </c>
      <c r="ED204" s="712">
        <f t="shared" si="698"/>
        <v>0</v>
      </c>
      <c r="EE204" s="712">
        <f t="shared" si="699"/>
        <v>0</v>
      </c>
      <c r="EF204" s="712">
        <f>-(VLOOKUP(Sheet1!BQ204,Lookup!$B$4:$J$236,2)-VLOOKUP(Sheet1!BQ203,Lookup!$B$4:$J$236,2))/1000000</f>
        <v>4.5101000000000004</v>
      </c>
      <c r="EG204" s="712">
        <f>-(VLOOKUP(Sheet1!BR204,Lookup!$B$4:$J$236,3)-VLOOKUP(Sheet1!BR203,Lookup!$B$4:$J$236,3))/1000000</f>
        <v>3.9759000000000002</v>
      </c>
      <c r="EH204" s="712">
        <f>-(VLOOKUP(Sheet1!BS204,Lookup!$B$4:$J$236,4)-VLOOKUP(Sheet1!BS203,Lookup!$B$4:$J$236,4))/1000000</f>
        <v>0</v>
      </c>
      <c r="EI204" s="697">
        <f t="shared" si="700"/>
        <v>8.4860000000000007</v>
      </c>
      <c r="EJ204" s="712"/>
      <c r="EK204" s="712"/>
      <c r="EL204" s="712"/>
      <c r="EM204" s="712"/>
      <c r="EN204" s="712"/>
      <c r="EO204" s="712"/>
      <c r="EP204" s="498"/>
      <c r="EQ204" s="712"/>
      <c r="ET204" s="794">
        <f t="shared" si="720"/>
        <v>1138.5</v>
      </c>
      <c r="EU204" s="697">
        <f t="shared" ref="EU204:EU221" si="731">EU203-EY204*1.983</f>
        <v>14987.550000058676</v>
      </c>
      <c r="EV204" s="795">
        <f t="shared" si="640"/>
        <v>22239.600000056169</v>
      </c>
      <c r="EW204" s="796" t="s">
        <v>757</v>
      </c>
      <c r="EX204" s="796" t="s">
        <v>757</v>
      </c>
      <c r="EY204" s="862">
        <f t="shared" ref="EY204:EY221" si="732">-IF(-(AB204-AE204-EZ204-EU203)&gt;0,(AB204-AE204-EZ204-EU203)/1.983,0)</f>
        <v>6.27836608236196</v>
      </c>
      <c r="EZ204" s="798">
        <v>23459.600000056169</v>
      </c>
      <c r="FA204" s="712">
        <v>23459.600000056169</v>
      </c>
      <c r="FB204" s="712"/>
      <c r="FC204" s="712"/>
      <c r="FD204" s="712"/>
      <c r="FE204" s="712">
        <f>O204+Sheet1!CO204</f>
        <v>10208.200000000004</v>
      </c>
      <c r="FF204" s="712">
        <f>IF(Sheet1!AA204+AG204&lt;=Calculation!N204,AG204,Calculation!N204-Sheet1!AA204)</f>
        <v>6.4434703748474655</v>
      </c>
      <c r="FG204" s="712">
        <f>(Sheet1!BP204+Sheet1!BO204)/694.4</f>
        <v>4.4873271889400925</v>
      </c>
      <c r="FH204" s="712"/>
      <c r="FI204" s="712"/>
      <c r="FJ204" s="712"/>
      <c r="FK204" s="712"/>
      <c r="FL204" s="714">
        <f t="shared" si="726"/>
        <v>40753</v>
      </c>
      <c r="FM204" s="714">
        <f t="shared" si="727"/>
        <v>40851</v>
      </c>
      <c r="FN204" s="712"/>
      <c r="FO204" s="712"/>
      <c r="FP204" s="712"/>
      <c r="FQ204" s="712"/>
      <c r="FR204" s="712"/>
      <c r="FS204" s="725">
        <f t="shared" si="728"/>
        <v>40603</v>
      </c>
      <c r="FT204" s="714">
        <f t="shared" si="729"/>
        <v>40709</v>
      </c>
      <c r="FU204" s="712">
        <f t="shared" si="728"/>
        <v>6518.9048239895692</v>
      </c>
      <c r="FV204" s="714">
        <f t="shared" si="730"/>
        <v>40722</v>
      </c>
      <c r="FW204" s="712">
        <f t="shared" si="728"/>
        <v>3259.4524119947846</v>
      </c>
      <c r="FX204" s="725">
        <f t="shared" si="728"/>
        <v>40851</v>
      </c>
      <c r="FZ204" s="697">
        <f t="shared" si="722"/>
        <v>0</v>
      </c>
      <c r="GA204" s="712" t="str">
        <f t="shared" si="701"/>
        <v/>
      </c>
      <c r="GB204" s="712">
        <f t="shared" si="702"/>
        <v>0</v>
      </c>
      <c r="GC204" s="712" t="str">
        <f t="shared" si="703"/>
        <v/>
      </c>
      <c r="GD204" s="712">
        <f>IF(GA204="P",Lookup!$M$12,IF(GA204="PP",Lookup!$M$13,IF(GA204="PPP",Lookup!$M$14,IF(GA204="T",Lookup!$M$15,IF(GA204="TP",Lookup!$M$16,IF(GA204="TPP",Lookup!$M$17,IF(GA204="TPPP",Lookup!$M$18,0)))))))*FZ204</f>
        <v>0</v>
      </c>
      <c r="GE204" s="712">
        <f t="shared" si="704"/>
        <v>0</v>
      </c>
      <c r="GF204" s="712">
        <f t="shared" si="705"/>
        <v>4166.6666666666661</v>
      </c>
      <c r="GG204" s="712">
        <f t="shared" si="706"/>
        <v>1358.1051716644936</v>
      </c>
      <c r="GH204" s="712"/>
      <c r="GI204" s="712">
        <f t="shared" si="707"/>
        <v>0</v>
      </c>
      <c r="GJ204" s="712" t="str">
        <f t="shared" si="708"/>
        <v/>
      </c>
      <c r="GK204" s="712">
        <f>IF(GA204="P",Lookup!$N$12,IF(GA204="PP",Lookup!$N$13,IF(GA204="PPP",Lookup!$N$14,IF(GA204="T",Lookup!$N$15,IF(GA204="TP",Lookup!$N$16,IF(GA204="TPP",Lookup!$N$17,IF(GA204="TPPP",Lookup!$N$18,0)))))))*FZ204</f>
        <v>0</v>
      </c>
      <c r="GL204" s="712">
        <f t="shared" si="709"/>
        <v>0</v>
      </c>
      <c r="GM204" s="712">
        <f t="shared" si="710"/>
        <v>1944.4444444444441</v>
      </c>
      <c r="GN204" s="712">
        <f t="shared" si="711"/>
        <v>633.7824134434303</v>
      </c>
      <c r="GO204" s="712"/>
      <c r="GP204" s="712">
        <f t="shared" si="712"/>
        <v>0</v>
      </c>
      <c r="GQ204" s="712" t="str">
        <f t="shared" si="713"/>
        <v/>
      </c>
      <c r="GR204" s="712">
        <f>IF(GA204="P",Lookup!$N$12,IF(GA204="PP",Lookup!$N$13,IF(GA204="PPP",Lookup!$N$14,IF(GA204="T",Lookup!$N$15,IF(GA204="TP",Lookup!$N$16,IF(GA204="TPP",Lookup!$N$17,IF(GA204="TPPP",Lookup!$N$18,0)))))))*FZ204</f>
        <v>0</v>
      </c>
      <c r="GS204" s="697">
        <f t="shared" si="724"/>
        <v>0</v>
      </c>
      <c r="GT204" s="712">
        <f t="shared" si="714"/>
        <v>1944.4444444444441</v>
      </c>
      <c r="GU204" s="712">
        <f t="shared" si="715"/>
        <v>633.7824134434303</v>
      </c>
      <c r="GV204" s="712"/>
      <c r="GW204" s="712">
        <f t="shared" si="716"/>
        <v>0</v>
      </c>
      <c r="GX204" s="712" t="str">
        <f t="shared" si="717"/>
        <v/>
      </c>
      <c r="GY204" s="712">
        <f>IF(GA204="P",Lookup!$N$12,IF(GA204="PP",Lookup!$N$13,IF(GA204="PPP",Lookup!$N$14,IF(GA204="T",Lookup!$N$15,IF(GA204="TP",Lookup!$N$16,IF(GA204="TPP",Lookup!$N$17,IF(GA204="TPPP",Lookup!$N$18,0)))))))*FZ204</f>
        <v>0</v>
      </c>
      <c r="GZ204" s="697">
        <f t="shared" si="725"/>
        <v>0</v>
      </c>
      <c r="HA204" s="712">
        <f t="shared" si="718"/>
        <v>1944.4444444444441</v>
      </c>
      <c r="HB204" s="712">
        <f t="shared" si="719"/>
        <v>633.7824134434303</v>
      </c>
      <c r="HC204" s="712"/>
    </row>
    <row r="205" spans="1:211">
      <c r="A205" s="773" t="s">
        <v>3</v>
      </c>
      <c r="B205" s="708">
        <v>40734</v>
      </c>
      <c r="C205" s="719">
        <v>0.5</v>
      </c>
      <c r="D205" s="675">
        <f t="shared" si="641"/>
        <v>300</v>
      </c>
      <c r="E205" s="675">
        <f t="shared" si="642"/>
        <v>250</v>
      </c>
      <c r="F205" s="675">
        <v>250</v>
      </c>
      <c r="G205" s="712">
        <f>DH205+Sheet1!CV205</f>
        <v>557.70953101278883</v>
      </c>
      <c r="H205" s="712">
        <f t="shared" si="643"/>
        <v>93.540240846666691</v>
      </c>
      <c r="I205" s="711">
        <f>MAX(Sheet1!Z205-AJ205+(Sheet1!CW205-E205)*CFStoMGD,0)</f>
        <v>486.07813524835132</v>
      </c>
      <c r="J205" s="720">
        <f>IF(AND(B205&gt;=Calculation!FS205,B205&lt;=Calculation!FT205),IF(Sheet1!CX205&gt;=Calculation!D205,64.64,0),MAX(Sheet1!Z205-AJ205+(Sheet1!CX205-D205)*CFStoMGD,0))</f>
        <v>242.5469352483513</v>
      </c>
      <c r="K205" s="697">
        <f t="shared" si="644"/>
        <v>64.64</v>
      </c>
      <c r="L205" s="712">
        <f>Sheet1!AA205+Sheet1!AB205-Sheet1!L205+(Sheet1!CW205-F205)*CFStoMGD</f>
        <v>540.31066666667539</v>
      </c>
      <c r="M205" s="712">
        <f t="shared" si="645"/>
        <v>367.71350966360006</v>
      </c>
      <c r="N205" s="712">
        <f>IF(Sheet1!CW205&gt;=F205,MIN(73,MIN(MAX(L205,0),MAX(M205,0))),0)</f>
        <v>73</v>
      </c>
      <c r="O205" s="721">
        <f>Sheet1!AA205+Sheet1!AB205</f>
        <v>67.900000000008731</v>
      </c>
      <c r="P205" s="721">
        <f t="shared" si="646"/>
        <v>105.04130000001351</v>
      </c>
      <c r="Q205" s="712">
        <f>MIN(N205,Sheet1!AA205+AG205)</f>
        <v>54.37253141831826</v>
      </c>
      <c r="R205" s="712">
        <f t="shared" si="647"/>
        <v>14</v>
      </c>
      <c r="S205" s="721">
        <f>Sheet1!Y205*MGDtoCFS</f>
        <v>63.086660000000002</v>
      </c>
      <c r="T205" s="721">
        <f>Sheet1!Z205*MGDtoCFS</f>
        <v>42.913779999999996</v>
      </c>
      <c r="U205" s="721">
        <f>Sheet1!AA205*MGDtoCFS</f>
        <v>62.344100000004502</v>
      </c>
      <c r="V205" s="721">
        <f>Sheet1!AB205*MGDtoCFS</f>
        <v>42.697200000009005</v>
      </c>
      <c r="W205" s="721">
        <f>Sheet1!L205*MGDtoCFS</f>
        <v>0</v>
      </c>
      <c r="X205" s="697">
        <f t="shared" si="648"/>
        <v>0</v>
      </c>
      <c r="Y205" s="712">
        <f t="shared" si="649"/>
        <v>0</v>
      </c>
      <c r="Z205" s="712">
        <f t="shared" si="650"/>
        <v>0</v>
      </c>
      <c r="AA205" s="712">
        <f t="shared" si="651"/>
        <v>0</v>
      </c>
      <c r="AB205" s="712">
        <f>(VLOOKUP(Sheet1!CY205,hhdcap_wcm,4)-(((VLOOKUP(Sheet1!CY205,hhdcap_wcm,3)-Sheet1!CY205)/(VLOOKUP(Sheet1!CY205,hhdcap_wcm,3)-VLOOKUP(Sheet1!CY205,hhdcap_wcm,1)))*(VLOOKUP(Sheet1!CY205,hhdcap_wcm,4)-VLOOKUP(Sheet1!CY205,hhdcap_wcm,2))))</f>
        <v>48014.280000113205</v>
      </c>
      <c r="AC205" s="712">
        <f t="shared" si="652"/>
        <v>-432.87000000163971</v>
      </c>
      <c r="AD205" s="712">
        <f t="shared" si="653"/>
        <v>3259.4524119947846</v>
      </c>
      <c r="AE205" s="712">
        <f t="shared" si="654"/>
        <v>10000</v>
      </c>
      <c r="AF205" s="712">
        <f>Sheet1!BA205+Sheet1!BB205+Sheet1!BN205+BT205</f>
        <v>14.2</v>
      </c>
      <c r="AG205" s="712">
        <f t="shared" si="655"/>
        <v>14.072531418315354</v>
      </c>
      <c r="AH205" s="712">
        <f>Sheet1!BA205+BT205</f>
        <v>0</v>
      </c>
      <c r="AI205" s="712">
        <f>Sheet1!BA205+Sheet1!BB205+BT205</f>
        <v>0</v>
      </c>
      <c r="AJ205" s="712">
        <f>IF((Sheet1!AA205+AG205+AX205+AZ205+BQ205+BS205+CL205+CN205)&lt;=N205,AG205+AX205+AZ205+BQ205+BS205+CL205+CN205,N205-Sheet1!AA205)</f>
        <v>14.072531418315354</v>
      </c>
      <c r="AK205" s="712">
        <f>IF(DR205&lt;K205,0,MAX(Sheet1!AA205+AG205-15/36*K205-N205,Sheet1!ED205,0))</f>
        <v>0</v>
      </c>
      <c r="AL205" s="712">
        <f>IF(OR(B205&gt;=FT205,B205&lt;FS205),0,15/36*K205-MAX(0,64.6-(137.6-(Sheet1!AA205+Sheet1!AB205))))</f>
        <v>0</v>
      </c>
      <c r="AM205" s="712">
        <f>Sheet1!CX205-110</f>
        <v>544.08333333333337</v>
      </c>
      <c r="AN205" s="712">
        <f>Sheet1!CW205-265</f>
        <v>715.83333333333337</v>
      </c>
      <c r="AO205" s="712">
        <f t="shared" si="723"/>
        <v>18.62746858168174</v>
      </c>
      <c r="AP205" s="712">
        <f t="shared" si="656"/>
        <v>0</v>
      </c>
      <c r="AQ205" s="712">
        <f t="shared" si="657"/>
        <v>0</v>
      </c>
      <c r="AR205" s="712">
        <f t="shared" si="658"/>
        <v>1358.1051716644936</v>
      </c>
      <c r="AS205" s="712"/>
      <c r="AT205" s="712">
        <f ca="1">IF(B205&gt;Summary!$A$1,#N/A,AR205*MGtoAF)</f>
        <v>4166.6666666666661</v>
      </c>
      <c r="AU205" s="712">
        <f>Sheet1!BG205+Sheet1!BH205+Sheet1!BI205-BC205</f>
        <v>1.52</v>
      </c>
      <c r="AV205" s="712">
        <f t="shared" si="659"/>
        <v>1.5063554757633337</v>
      </c>
      <c r="AW205" s="712">
        <f>IF(Sheet1!EL205="FM",BC205,0)</f>
        <v>0</v>
      </c>
      <c r="AX205" s="712">
        <f t="shared" si="660"/>
        <v>0</v>
      </c>
      <c r="AY205" s="712">
        <f>IF(Sheet1!EL205="OTHER",BC205,0)</f>
        <v>0</v>
      </c>
      <c r="AZ205" s="712">
        <f t="shared" si="661"/>
        <v>0</v>
      </c>
      <c r="BA205" s="712">
        <f t="shared" si="662"/>
        <v>1.52</v>
      </c>
      <c r="BB205" s="712">
        <f t="shared" si="663"/>
        <v>1.5063554757633337</v>
      </c>
      <c r="BC205" s="712">
        <f>IF(OR(Sheet1!EL205="FM", Sheet1!EL205="OTHER"),SUM(Sheet1!BG205:'Sheet1'!BI205),0)</f>
        <v>0</v>
      </c>
      <c r="BD205" s="697">
        <f>IF(AND($B205&gt;=$FL205,$B205&lt;=$FM205),MAX(AV205,Sheet1!EE205,0),MAX(AV205-(7/36)*$K205,0))</f>
        <v>0</v>
      </c>
      <c r="BE205" s="712">
        <f t="shared" si="664"/>
        <v>0</v>
      </c>
      <c r="BF205" s="697">
        <f t="shared" si="665"/>
        <v>1.5063554757633337</v>
      </c>
      <c r="BG205" s="697">
        <f>IF(AND($O205&gt;0,Sheet1!EI205=1),(1-($O205-Sheet1!$L205)/$O205)*BB205,0)</f>
        <v>0</v>
      </c>
      <c r="BH205" s="697">
        <f>IF(AND(Sheet1!$L205=0,Sheet1!$L204=0, Calculation!BA205&lt;Sheet1!$EE205-0.1,Sheet1!$EE205=Sheet1!$EE204,Sheet1!$EE205=Sheet1!$EE206),Sheet1!$EE205,BB205-BG205)</f>
        <v>1.5063554757633337</v>
      </c>
      <c r="BI205" s="712"/>
      <c r="BJ205" s="712"/>
      <c r="BK205" s="712">
        <f t="shared" si="666"/>
        <v>633.7824134434303</v>
      </c>
      <c r="BL205" s="712"/>
      <c r="BM205" s="712">
        <f ca="1">IF(B205&gt;Summary!$A$1,#N/A,BK205*MGtoAF)</f>
        <v>1944.4444444444441</v>
      </c>
      <c r="BN205" s="712">
        <f>Sheet1!BC205+Sheet1!BD205+Sheet1!BE205+Sheet1!BF205-BW205-BX205</f>
        <v>2.57</v>
      </c>
      <c r="BO205" s="712">
        <f t="shared" si="667"/>
        <v>2.5469299820472155</v>
      </c>
      <c r="BP205" s="712">
        <f>IF(Sheet1!EM205="FM",BX205,0)</f>
        <v>0</v>
      </c>
      <c r="BQ205" s="712">
        <f t="shared" si="668"/>
        <v>0</v>
      </c>
      <c r="BR205" s="712">
        <f>IF(Sheet1!EM205="OTHER",BX205,0)</f>
        <v>0</v>
      </c>
      <c r="BS205" s="712">
        <f t="shared" si="669"/>
        <v>0</v>
      </c>
      <c r="BT205" s="712">
        <f t="shared" si="670"/>
        <v>0</v>
      </c>
      <c r="BU205" s="712">
        <f t="shared" si="671"/>
        <v>2.57</v>
      </c>
      <c r="BV205" s="712">
        <f t="shared" si="672"/>
        <v>2.5469299820472155</v>
      </c>
      <c r="BW205" s="712">
        <f>IF(Sheet1!EM205="CWA",SUM(Sheet1!BC205:'Sheet1'!BF205),0)</f>
        <v>0</v>
      </c>
      <c r="BX205" s="712">
        <f>IF(OR(Sheet1!EM205="FM", Sheet1!EM205="OTHER"),SUM(Sheet1!BC205:'Sheet1'!BF205),0)</f>
        <v>0</v>
      </c>
      <c r="BY205" s="697">
        <f>IF(AND($B205&gt;=$FL205,$B205&lt;=$FM205),MAX(BV205,Sheet1!EF205,0),MAX(BV205-(7/36)*$K205,0))</f>
        <v>0</v>
      </c>
      <c r="BZ205" s="712">
        <f t="shared" si="673"/>
        <v>0</v>
      </c>
      <c r="CA205" s="697">
        <f t="shared" si="674"/>
        <v>2.5469299820472155</v>
      </c>
      <c r="CB205" s="697">
        <f>IF(AND($O205&gt;0,Sheet1!EJ205=1),(1-($O205-Sheet1!$L205)/$O205)*BV205,0)</f>
        <v>0</v>
      </c>
      <c r="CC205" s="697">
        <f>IF(AND(Sheet1!$L205=0,Sheet1!$L204=0, Calculation!BU205&lt;Sheet1!EF205-0.1,Sheet1!EF205=Sheet1!EF204,Sheet1!EF205=Sheet1!EF206),Sheet1!EF205,BV205-CB205)</f>
        <v>2.5469299820472155</v>
      </c>
      <c r="CD205" s="697"/>
      <c r="CE205" s="712"/>
      <c r="CF205" s="712">
        <f t="shared" si="675"/>
        <v>633.7824134434303</v>
      </c>
      <c r="CG205" s="712"/>
      <c r="CH205" s="712">
        <f ca="1">IF(B205&gt;Summary!$A$1,#N/A,CF205*MGtoAF)</f>
        <v>1944.4444444444441</v>
      </c>
      <c r="CI205" s="712">
        <f>Sheet1!BK205+Sheet1!BL205+Sheet1!BM205-Sheet1!EN205-CQ205</f>
        <v>9.56</v>
      </c>
      <c r="CJ205" s="712">
        <f t="shared" si="676"/>
        <v>9.4741831238799161</v>
      </c>
      <c r="CK205" s="712">
        <f>IF(Sheet1!EN205="FM",CQ205,0)</f>
        <v>0</v>
      </c>
      <c r="CL205" s="712">
        <f t="shared" si="677"/>
        <v>0</v>
      </c>
      <c r="CM205" s="712">
        <f>IF(Sheet1!EN205="OTHER",CQ205,0)</f>
        <v>0</v>
      </c>
      <c r="CN205" s="712">
        <f t="shared" si="678"/>
        <v>0</v>
      </c>
      <c r="CO205" s="712">
        <f t="shared" si="679"/>
        <v>9.56</v>
      </c>
      <c r="CP205" s="712">
        <f t="shared" si="680"/>
        <v>9.4741831238799161</v>
      </c>
      <c r="CQ205" s="712">
        <f>IF(OR(Sheet1!EN205="FM", Sheet1!EN205="OTHER"),SUM(Sheet1!BK205:'Sheet1'!BM205),0)</f>
        <v>0</v>
      </c>
      <c r="CR205" s="697">
        <f>IF(AND($B205&gt;=$FL205,$B205&lt;=$FM205),MAX($CJ205,Sheet1!EG205,0),MAX($CJ205-(7/36)*$K205,0))</f>
        <v>0</v>
      </c>
      <c r="CS205" s="712">
        <f t="shared" si="681"/>
        <v>0</v>
      </c>
      <c r="CT205" s="697">
        <f t="shared" si="682"/>
        <v>9.4741831238799161</v>
      </c>
      <c r="CU205" s="697">
        <f>IF(AND($O205&gt;0,Sheet1!EK205=1),(1-($O205-Sheet1!$L205)/$O205)*CP205,0)</f>
        <v>0</v>
      </c>
      <c r="CV205" s="697">
        <f>IF(AND(Sheet1!$L205=0,Sheet1!$L204=0, Calculation!CO205&lt;Sheet1!$EG205-0.1,Sheet1!$EG205=Sheet1!$EG204,Sheet1!$EG205=Sheet1!$EG206),Sheet1!$EG205,CP205-CU205)</f>
        <v>9.4741831238799161</v>
      </c>
      <c r="CW205" s="697">
        <f t="shared" si="721"/>
        <v>0</v>
      </c>
      <c r="CX205" s="712">
        <f t="shared" si="683"/>
        <v>13.65</v>
      </c>
      <c r="CY205" s="712">
        <f t="shared" si="684"/>
        <v>633.7824134434303</v>
      </c>
      <c r="CZ205" s="712">
        <f t="shared" si="685"/>
        <v>13.527468581690465</v>
      </c>
      <c r="DA205" s="712">
        <f ca="1">IF(B205&gt;Summary!$A$1,#N/A,CY205*MGtoAF)</f>
        <v>1944.4444444444441</v>
      </c>
      <c r="DB205" s="712">
        <f t="shared" si="686"/>
        <v>13.65</v>
      </c>
      <c r="DC205" s="712">
        <f t="shared" si="687"/>
        <v>27.85</v>
      </c>
      <c r="DD205" s="712">
        <f>Sheet1!AB205-DC205</f>
        <v>-0.24999999999418065</v>
      </c>
      <c r="DE205" s="712">
        <f t="shared" si="688"/>
        <v>-8.9766606820172578E-3</v>
      </c>
      <c r="DF205" s="712">
        <f>(VLOOKUP(Sheet1!CY205,hhdcap_wcm,4)-(((VLOOKUP(Sheet1!CY205,hhdcap_wcm,3)-Sheet1!CY205)/(VLOOKUP(Sheet1!CY205,hhdcap_wcm,3)-VLOOKUP(Sheet1!CY205,hhdcap_wcm,1)))*(VLOOKUP(Sheet1!CY205,hhdcap_wcm,4)-VLOOKUP(Sheet1!CY205,hhdcap_wcm,2))))</f>
        <v>48014.280000113205</v>
      </c>
      <c r="DG205" s="712">
        <f t="shared" si="689"/>
        <v>-432.87000000163971</v>
      </c>
      <c r="DH205" s="712">
        <f t="shared" si="690"/>
        <v>-218.29046898721111</v>
      </c>
      <c r="DI205" s="712">
        <f>Sheet1!DW205*AFtoMG</f>
        <v>0</v>
      </c>
      <c r="DJ205" s="712">
        <f>Sheet1!DX205*AFtoMG</f>
        <v>0</v>
      </c>
      <c r="DK205" s="712">
        <f>Sheet1!DY205*AFtoMG</f>
        <v>0</v>
      </c>
      <c r="DL205" s="712">
        <f>Sheet1!DZ205*AFtoMG</f>
        <v>0</v>
      </c>
      <c r="DM205" s="712">
        <f t="shared" si="691"/>
        <v>0</v>
      </c>
      <c r="DN205" s="712">
        <f t="shared" si="692"/>
        <v>0</v>
      </c>
      <c r="DO205" s="712">
        <f t="shared" si="693"/>
        <v>3259.4524119947846</v>
      </c>
      <c r="DP205" s="712">
        <f t="shared" si="694"/>
        <v>10000</v>
      </c>
      <c r="DQ205" s="712"/>
      <c r="DR205" s="697">
        <f>IF(OR(B205&lt;FL205,B205&gt;FM205),(MIN(AV205+BO205+CJ205+MAX(Sheet1!AA205+AG205-73,0),K205)),0)</f>
        <v>13.527468581690465</v>
      </c>
      <c r="DS205" s="712"/>
      <c r="DT205" s="712">
        <f t="shared" si="695"/>
        <v>13.527468581690465</v>
      </c>
      <c r="DU205" s="712"/>
      <c r="DV205" s="712">
        <f>Sheet1!ED205+Sheet1!EE205+Sheet1!EF205+Sheet1!EG205</f>
        <v>14</v>
      </c>
      <c r="DW205" s="712"/>
      <c r="DX205" s="697">
        <f t="shared" si="696"/>
        <v>0</v>
      </c>
      <c r="DY205" s="712">
        <f>IF(Sheet1!FN205=1,SUM('Calculations II'!AT205:BA205)+'Calculations II'!BC205+Sheet1!BU205+'Calculations II'!BE205+AF205,SUM('Calculations II'!AT205:BA205)+'Calculations II'!BC205+Sheet1!BU205+'Calculations II'!BE205+AF205)</f>
        <v>65.066816000000003</v>
      </c>
      <c r="DZ205" s="712">
        <f>Sheet1!AA205+Sheet1!AB205+'Calculations II'!BC205</f>
        <v>88.90009600000873</v>
      </c>
      <c r="EA205" s="712"/>
      <c r="EB205" s="712"/>
      <c r="EC205" s="712">
        <f t="shared" si="697"/>
        <v>40734</v>
      </c>
      <c r="ED205" s="712">
        <f t="shared" si="698"/>
        <v>0</v>
      </c>
      <c r="EE205" s="712">
        <f t="shared" si="699"/>
        <v>0</v>
      </c>
      <c r="EF205" s="712">
        <f>-(VLOOKUP(Sheet1!BQ205,Lookup!$B$4:$J$236,2)-VLOOKUP(Sheet1!BQ204,Lookup!$B$4:$J$236,2))/1000000</f>
        <v>-5.5853000000000002</v>
      </c>
      <c r="EG205" s="712">
        <f>-(VLOOKUP(Sheet1!BR205,Lookup!$B$4:$J$236,3)-VLOOKUP(Sheet1!BR204,Lookup!$B$4:$J$236,3))/1000000</f>
        <v>-5.0491000000000001</v>
      </c>
      <c r="EH205" s="712">
        <f>-(VLOOKUP(Sheet1!BS205,Lookup!$B$4:$J$236,4)-VLOOKUP(Sheet1!BS204,Lookup!$B$4:$J$236,4))/1000000</f>
        <v>0</v>
      </c>
      <c r="EI205" s="697">
        <f t="shared" si="700"/>
        <v>-10.634399999999999</v>
      </c>
      <c r="EJ205" s="712"/>
      <c r="EK205" s="712"/>
      <c r="EL205" s="712"/>
      <c r="EM205" s="712"/>
      <c r="EN205" s="712"/>
      <c r="EO205" s="712"/>
      <c r="EP205" s="498"/>
      <c r="EQ205" s="712"/>
      <c r="ET205" s="794">
        <f t="shared" si="720"/>
        <v>1138.4000000000001</v>
      </c>
      <c r="EU205" s="697">
        <f t="shared" si="731"/>
        <v>14626.080000057194</v>
      </c>
      <c r="EV205" s="795">
        <f t="shared" si="640"/>
        <v>22168.200000056011</v>
      </c>
      <c r="EW205" s="796" t="s">
        <v>757</v>
      </c>
      <c r="EX205" s="796" t="s">
        <v>757</v>
      </c>
      <c r="EY205" s="862">
        <f t="shared" si="732"/>
        <v>182.28441754991519</v>
      </c>
      <c r="EZ205" s="798">
        <v>23388.200000056011</v>
      </c>
      <c r="FA205" s="712">
        <v>23388.200000056011</v>
      </c>
      <c r="FB205" s="712"/>
      <c r="FC205" s="712"/>
      <c r="FD205" s="712"/>
      <c r="FE205" s="712">
        <f>O205+Sheet1!CO205</f>
        <v>14651.300000000008</v>
      </c>
      <c r="FF205" s="712">
        <f>IF(Sheet1!AA205+AG205&lt;=Calculation!N205,AG205,Calculation!N205-Sheet1!AA205)</f>
        <v>14.072531418315354</v>
      </c>
      <c r="FG205" s="712">
        <f>(Sheet1!BP205+Sheet1!BO205)/694.4</f>
        <v>4.5999423963133639</v>
      </c>
      <c r="FH205" s="712"/>
      <c r="FI205" s="712"/>
      <c r="FJ205" s="712"/>
      <c r="FK205" s="712"/>
      <c r="FL205" s="714">
        <f t="shared" si="726"/>
        <v>40753</v>
      </c>
      <c r="FM205" s="714">
        <f t="shared" si="727"/>
        <v>40851</v>
      </c>
      <c r="FN205" s="712"/>
      <c r="FO205" s="712"/>
      <c r="FP205" s="712"/>
      <c r="FQ205" s="712"/>
      <c r="FR205" s="712"/>
      <c r="FS205" s="725">
        <f t="shared" si="728"/>
        <v>40603</v>
      </c>
      <c r="FT205" s="714">
        <f t="shared" si="729"/>
        <v>40709</v>
      </c>
      <c r="FU205" s="712">
        <f t="shared" si="728"/>
        <v>6518.9048239895692</v>
      </c>
      <c r="FV205" s="714">
        <f t="shared" si="730"/>
        <v>40722</v>
      </c>
      <c r="FW205" s="712">
        <f t="shared" si="728"/>
        <v>3259.4524119947846</v>
      </c>
      <c r="FX205" s="725">
        <f t="shared" si="728"/>
        <v>40851</v>
      </c>
      <c r="FZ205" s="697">
        <f t="shared" si="722"/>
        <v>0</v>
      </c>
      <c r="GA205" s="712" t="str">
        <f t="shared" si="701"/>
        <v/>
      </c>
      <c r="GB205" s="712">
        <f t="shared" si="702"/>
        <v>0</v>
      </c>
      <c r="GC205" s="712" t="str">
        <f t="shared" si="703"/>
        <v/>
      </c>
      <c r="GD205" s="712">
        <f>IF(GA205="P",Lookup!$M$12,IF(GA205="PP",Lookup!$M$13,IF(GA205="PPP",Lookup!$M$14,IF(GA205="T",Lookup!$M$15,IF(GA205="TP",Lookup!$M$16,IF(GA205="TPP",Lookup!$M$17,IF(GA205="TPPP",Lookup!$M$18,0)))))))*FZ205</f>
        <v>0</v>
      </c>
      <c r="GE205" s="712">
        <f t="shared" si="704"/>
        <v>0</v>
      </c>
      <c r="GF205" s="712">
        <f t="shared" si="705"/>
        <v>4166.6666666666661</v>
      </c>
      <c r="GG205" s="712">
        <f t="shared" si="706"/>
        <v>1358.1051716644936</v>
      </c>
      <c r="GH205" s="712"/>
      <c r="GI205" s="712">
        <f t="shared" si="707"/>
        <v>0</v>
      </c>
      <c r="GJ205" s="712" t="str">
        <f t="shared" si="708"/>
        <v/>
      </c>
      <c r="GK205" s="712">
        <f>IF(GA205="P",Lookup!$N$12,IF(GA205="PP",Lookup!$N$13,IF(GA205="PPP",Lookup!$N$14,IF(GA205="T",Lookup!$N$15,IF(GA205="TP",Lookup!$N$16,IF(GA205="TPP",Lookup!$N$17,IF(GA205="TPPP",Lookup!$N$18,0)))))))*FZ205</f>
        <v>0</v>
      </c>
      <c r="GL205" s="712">
        <f t="shared" si="709"/>
        <v>0</v>
      </c>
      <c r="GM205" s="712">
        <f t="shared" si="710"/>
        <v>1944.4444444444441</v>
      </c>
      <c r="GN205" s="712">
        <f t="shared" si="711"/>
        <v>633.7824134434303</v>
      </c>
      <c r="GO205" s="712"/>
      <c r="GP205" s="712">
        <f t="shared" si="712"/>
        <v>0</v>
      </c>
      <c r="GQ205" s="712" t="str">
        <f t="shared" si="713"/>
        <v/>
      </c>
      <c r="GR205" s="712">
        <f>IF(GA205="P",Lookup!$N$12,IF(GA205="PP",Lookup!$N$13,IF(GA205="PPP",Lookup!$N$14,IF(GA205="T",Lookup!$N$15,IF(GA205="TP",Lookup!$N$16,IF(GA205="TPP",Lookup!$N$17,IF(GA205="TPPP",Lookup!$N$18,0)))))))*FZ205</f>
        <v>0</v>
      </c>
      <c r="GS205" s="697">
        <f t="shared" si="724"/>
        <v>0</v>
      </c>
      <c r="GT205" s="712">
        <f t="shared" si="714"/>
        <v>1944.4444444444441</v>
      </c>
      <c r="GU205" s="712">
        <f t="shared" si="715"/>
        <v>633.7824134434303</v>
      </c>
      <c r="GV205" s="712"/>
      <c r="GW205" s="712">
        <f t="shared" si="716"/>
        <v>0</v>
      </c>
      <c r="GX205" s="712" t="str">
        <f t="shared" si="717"/>
        <v/>
      </c>
      <c r="GY205" s="712">
        <f>IF(GA205="P",Lookup!$N$12,IF(GA205="PP",Lookup!$N$13,IF(GA205="PPP",Lookup!$N$14,IF(GA205="T",Lookup!$N$15,IF(GA205="TP",Lookup!$N$16,IF(GA205="TPP",Lookup!$N$17,IF(GA205="TPPP",Lookup!$N$18,0)))))))*FZ205</f>
        <v>0</v>
      </c>
      <c r="GZ205" s="697">
        <f t="shared" si="725"/>
        <v>0</v>
      </c>
      <c r="HA205" s="712">
        <f t="shared" si="718"/>
        <v>1944.4444444444441</v>
      </c>
      <c r="HB205" s="712">
        <f t="shared" si="719"/>
        <v>633.7824134434303</v>
      </c>
      <c r="HC205" s="712"/>
    </row>
    <row r="206" spans="1:211">
      <c r="A206" s="773" t="s">
        <v>4</v>
      </c>
      <c r="B206" s="708">
        <v>40735</v>
      </c>
      <c r="C206" s="719">
        <v>0.5</v>
      </c>
      <c r="D206" s="675">
        <f t="shared" si="641"/>
        <v>300</v>
      </c>
      <c r="E206" s="675">
        <f t="shared" si="642"/>
        <v>250</v>
      </c>
      <c r="F206" s="675">
        <v>250</v>
      </c>
      <c r="G206" s="712">
        <f>DH206+Sheet1!CV206</f>
        <v>542.17246596054076</v>
      </c>
      <c r="H206" s="712">
        <f t="shared" si="643"/>
        <v>83.497081996893542</v>
      </c>
      <c r="I206" s="711">
        <f>MAX(Sheet1!Z206-AJ206+(Sheet1!CW206-E206)*CFStoMGD,0)</f>
        <v>473.45716258992877</v>
      </c>
      <c r="J206" s="720">
        <f>IF(AND(B206&gt;=Calculation!FS206,B206&lt;=Calculation!FT206),IF(Sheet1!CX206&gt;=Calculation!D206,64.64,0),MAX(Sheet1!Z206-AJ206+(Sheet1!CX206-D206)*CFStoMGD,0))</f>
        <v>241.39956258992879</v>
      </c>
      <c r="K206" s="697">
        <f t="shared" si="644"/>
        <v>64.64</v>
      </c>
      <c r="L206" s="712">
        <f>Sheet1!AA206+Sheet1!AB206-Sheet1!L206+(Sheet1!CW206-F206)*CFStoMGD</f>
        <v>528.59039999999277</v>
      </c>
      <c r="M206" s="712">
        <f t="shared" si="645"/>
        <v>357.46948763683145</v>
      </c>
      <c r="N206" s="712">
        <f>IF(Sheet1!CW206&gt;=F206,MIN(73,MIN(MAX(L206,0),MAX(M206,0))),0)</f>
        <v>73</v>
      </c>
      <c r="O206" s="721">
        <f>Sheet1!AA206+Sheet1!AB206</f>
        <v>68.999999999992724</v>
      </c>
      <c r="P206" s="721">
        <f t="shared" si="646"/>
        <v>106.74299999998874</v>
      </c>
      <c r="Q206" s="712">
        <f>MIN(N206,Sheet1!AA206+AG206)</f>
        <v>55.253237410065381</v>
      </c>
      <c r="R206" s="712">
        <f t="shared" si="647"/>
        <v>14</v>
      </c>
      <c r="S206" s="721">
        <f>Sheet1!Y206*MGDtoCFS</f>
        <v>63.086660000000002</v>
      </c>
      <c r="T206" s="721">
        <f>Sheet1!Z206*MGDtoCFS</f>
        <v>43.656339999999993</v>
      </c>
      <c r="U206" s="721">
        <f>Sheet1!AA206*MGDtoCFS</f>
        <v>63.272299999990992</v>
      </c>
      <c r="V206" s="721">
        <f>Sheet1!AB206*MGDtoCFS</f>
        <v>43.470699999997748</v>
      </c>
      <c r="W206" s="721">
        <f>Sheet1!L206*MGDtoCFS</f>
        <v>0</v>
      </c>
      <c r="X206" s="697">
        <f t="shared" si="648"/>
        <v>0</v>
      </c>
      <c r="Y206" s="712">
        <f t="shared" si="649"/>
        <v>0</v>
      </c>
      <c r="Z206" s="712">
        <f t="shared" si="650"/>
        <v>0</v>
      </c>
      <c r="AA206" s="712">
        <f t="shared" si="651"/>
        <v>0</v>
      </c>
      <c r="AB206" s="712">
        <f>(VLOOKUP(Sheet1!CY206,hhdcap_wcm,4)-(((VLOOKUP(Sheet1!CY206,hhdcap_wcm,3)-Sheet1!CY206)/(VLOOKUP(Sheet1!CY206,hhdcap_wcm,3)-VLOOKUP(Sheet1!CY206,hhdcap_wcm,1)))*(VLOOKUP(Sheet1!CY206,hhdcap_wcm,4)-VLOOKUP(Sheet1!CY206,hhdcap_wcm,2))))</f>
        <v>47550.600000112958</v>
      </c>
      <c r="AC206" s="712">
        <f t="shared" si="652"/>
        <v>-463.68000000024767</v>
      </c>
      <c r="AD206" s="712">
        <f t="shared" si="653"/>
        <v>3259.4524119947846</v>
      </c>
      <c r="AE206" s="712">
        <f t="shared" si="654"/>
        <v>10000</v>
      </c>
      <c r="AF206" s="712">
        <f>Sheet1!BA206+Sheet1!BB206+Sheet1!BN206+BT206</f>
        <v>14.2</v>
      </c>
      <c r="AG206" s="712">
        <f t="shared" si="655"/>
        <v>14.353237410071198</v>
      </c>
      <c r="AH206" s="712">
        <f>Sheet1!BA206+BT206</f>
        <v>0</v>
      </c>
      <c r="AI206" s="712">
        <f>Sheet1!BA206+Sheet1!BB206+BT206</f>
        <v>0</v>
      </c>
      <c r="AJ206" s="712">
        <f>IF((Sheet1!AA206+AG206+AX206+AZ206+BQ206+BS206+CL206+CN206)&lt;=N206,AG206+AX206+AZ206+BQ206+BS206+CL206+CN206,N206-Sheet1!AA206)</f>
        <v>14.353237410071198</v>
      </c>
      <c r="AK206" s="712">
        <f>IF(DR206&lt;K206,0,MAX(Sheet1!AA206+AG206-15/36*K206-N206,Sheet1!ED206,0))</f>
        <v>0</v>
      </c>
      <c r="AL206" s="712">
        <f>IF(OR(B206&gt;=FT206,B206&lt;FS206),0,15/36*K206-MAX(0,64.6-(137.6-(Sheet1!AA206+Sheet1!AB206))))</f>
        <v>0</v>
      </c>
      <c r="AM206" s="712">
        <f>Sheet1!CX206-110</f>
        <v>542</v>
      </c>
      <c r="AN206" s="712">
        <f>Sheet1!CW206-265</f>
        <v>696</v>
      </c>
      <c r="AO206" s="712">
        <f t="shared" si="723"/>
        <v>17.746762589934619</v>
      </c>
      <c r="AP206" s="712">
        <f t="shared" si="656"/>
        <v>0</v>
      </c>
      <c r="AQ206" s="712">
        <f t="shared" si="657"/>
        <v>0</v>
      </c>
      <c r="AR206" s="712">
        <f t="shared" si="658"/>
        <v>1358.1051716644936</v>
      </c>
      <c r="AS206" s="712"/>
      <c r="AT206" s="712">
        <f ca="1">IF(B206&gt;Summary!$A$1,#N/A,AR206*MGtoAF)</f>
        <v>4166.6666666666661</v>
      </c>
      <c r="AU206" s="712">
        <f>Sheet1!BG206+Sheet1!BH206+Sheet1!BI206-BC206</f>
        <v>1.57</v>
      </c>
      <c r="AV206" s="712">
        <f t="shared" si="659"/>
        <v>1.5869424460430832</v>
      </c>
      <c r="AW206" s="712">
        <f>IF(Sheet1!EL206="FM",BC206,0)</f>
        <v>0</v>
      </c>
      <c r="AX206" s="712">
        <f t="shared" si="660"/>
        <v>0</v>
      </c>
      <c r="AY206" s="712">
        <f>IF(Sheet1!EL206="OTHER",BC206,0)</f>
        <v>0</v>
      </c>
      <c r="AZ206" s="712">
        <f t="shared" si="661"/>
        <v>0</v>
      </c>
      <c r="BA206" s="712">
        <f t="shared" si="662"/>
        <v>1.57</v>
      </c>
      <c r="BB206" s="712">
        <f t="shared" si="663"/>
        <v>1.5869424460430832</v>
      </c>
      <c r="BC206" s="712">
        <f>IF(OR(Sheet1!EL206="FM", Sheet1!EL206="OTHER"),SUM(Sheet1!BG206:'Sheet1'!BI206),0)</f>
        <v>0</v>
      </c>
      <c r="BD206" s="697">
        <f>IF(AND($B206&gt;=$FL206,$B206&lt;=$FM206),MAX(AV206,Sheet1!EE206,0),MAX(AV206-(7/36)*$K206,0))</f>
        <v>0</v>
      </c>
      <c r="BE206" s="712">
        <f t="shared" si="664"/>
        <v>0</v>
      </c>
      <c r="BF206" s="697">
        <f t="shared" si="665"/>
        <v>1.5869424460430832</v>
      </c>
      <c r="BG206" s="697">
        <f>IF(AND($O206&gt;0,Sheet1!EI206=1),(1-($O206-Sheet1!$L206)/$O206)*BB206,0)</f>
        <v>0</v>
      </c>
      <c r="BH206" s="697">
        <f>IF(AND(Sheet1!$L206=0,Sheet1!$L205=0, Calculation!BA206&lt;Sheet1!$EE206-0.1,Sheet1!$EE206=Sheet1!$EE205,Sheet1!$EE206=Sheet1!$EE207),Sheet1!$EE206,BB206-BG206)</f>
        <v>2</v>
      </c>
      <c r="BI206" s="712"/>
      <c r="BJ206" s="712"/>
      <c r="BK206" s="712">
        <f t="shared" si="666"/>
        <v>633.7824134434303</v>
      </c>
      <c r="BL206" s="712"/>
      <c r="BM206" s="712">
        <f ca="1">IF(B206&gt;Summary!$A$1,#N/A,BK206*MGtoAF)</f>
        <v>1944.4444444444441</v>
      </c>
      <c r="BN206" s="712">
        <f>Sheet1!BC206+Sheet1!BD206+Sheet1!BE206+Sheet1!BF206-BW206-BX206</f>
        <v>2.5300000000000002</v>
      </c>
      <c r="BO206" s="712">
        <f t="shared" si="667"/>
        <v>2.5573021582732491</v>
      </c>
      <c r="BP206" s="712">
        <f>IF(Sheet1!EM206="FM",BX206,0)</f>
        <v>0</v>
      </c>
      <c r="BQ206" s="712">
        <f t="shared" si="668"/>
        <v>0</v>
      </c>
      <c r="BR206" s="712">
        <f>IF(Sheet1!EM206="OTHER",BX206,0)</f>
        <v>0</v>
      </c>
      <c r="BS206" s="712">
        <f t="shared" si="669"/>
        <v>0</v>
      </c>
      <c r="BT206" s="712">
        <f t="shared" si="670"/>
        <v>0</v>
      </c>
      <c r="BU206" s="712">
        <f t="shared" si="671"/>
        <v>2.5300000000000002</v>
      </c>
      <c r="BV206" s="712">
        <f t="shared" si="672"/>
        <v>2.5573021582732491</v>
      </c>
      <c r="BW206" s="712">
        <f>IF(Sheet1!EM206="CWA",SUM(Sheet1!BC206:'Sheet1'!BF206),0)</f>
        <v>0</v>
      </c>
      <c r="BX206" s="712">
        <f>IF(OR(Sheet1!EM206="FM", Sheet1!EM206="OTHER"),SUM(Sheet1!BC206:'Sheet1'!BF206),0)</f>
        <v>0</v>
      </c>
      <c r="BY206" s="697">
        <f>IF(AND($B206&gt;=$FL206,$B206&lt;=$FM206),MAX(BV206,Sheet1!EF206,0),MAX(BV206-(7/36)*$K206,0))</f>
        <v>0</v>
      </c>
      <c r="BZ206" s="712">
        <f t="shared" si="673"/>
        <v>0</v>
      </c>
      <c r="CA206" s="697">
        <f t="shared" si="674"/>
        <v>2.5573021582732491</v>
      </c>
      <c r="CB206" s="697">
        <f>IF(AND($O206&gt;0,Sheet1!EJ206=1),(1-($O206-Sheet1!$L206)/$O206)*BV206,0)</f>
        <v>0</v>
      </c>
      <c r="CC206" s="697">
        <f>IF(AND(Sheet1!$L206=0,Sheet1!$L205=0, Calculation!BU206&lt;Sheet1!EF206-0.1,Sheet1!EF206=Sheet1!EF205,Sheet1!EF206=Sheet1!EF207),Sheet1!EF206,BV206-CB206)</f>
        <v>2.5573021582732491</v>
      </c>
      <c r="CD206" s="697"/>
      <c r="CE206" s="712"/>
      <c r="CF206" s="712">
        <f t="shared" si="675"/>
        <v>633.7824134434303</v>
      </c>
      <c r="CG206" s="712"/>
      <c r="CH206" s="712">
        <f ca="1">IF(B206&gt;Summary!$A$1,#N/A,CF206*MGtoAF)</f>
        <v>1944.4444444444441</v>
      </c>
      <c r="CI206" s="712">
        <f>Sheet1!BK206+Sheet1!BL206+Sheet1!BM206-Sheet1!EN206-CQ206</f>
        <v>9.5</v>
      </c>
      <c r="CJ206" s="712">
        <f t="shared" si="676"/>
        <v>9.6025179856110139</v>
      </c>
      <c r="CK206" s="712">
        <f>IF(Sheet1!EN206="FM",CQ206,0)</f>
        <v>0</v>
      </c>
      <c r="CL206" s="712">
        <f t="shared" si="677"/>
        <v>0</v>
      </c>
      <c r="CM206" s="712">
        <f>IF(Sheet1!EN206="OTHER",CQ206,0)</f>
        <v>0</v>
      </c>
      <c r="CN206" s="712">
        <f t="shared" si="678"/>
        <v>0</v>
      </c>
      <c r="CO206" s="712">
        <f t="shared" si="679"/>
        <v>9.5</v>
      </c>
      <c r="CP206" s="712">
        <f t="shared" si="680"/>
        <v>9.6025179856110139</v>
      </c>
      <c r="CQ206" s="712">
        <f>IF(OR(Sheet1!EN206="FM", Sheet1!EN206="OTHER"),SUM(Sheet1!BK206:'Sheet1'!BM206),0)</f>
        <v>0</v>
      </c>
      <c r="CR206" s="697">
        <f>IF(AND($B206&gt;=$FL206,$B206&lt;=$FM206),MAX($CJ206,Sheet1!EG206,0),MAX($CJ206-(7/36)*$K206,0))</f>
        <v>0</v>
      </c>
      <c r="CS206" s="712">
        <f t="shared" si="681"/>
        <v>0</v>
      </c>
      <c r="CT206" s="697">
        <f t="shared" si="682"/>
        <v>9.6025179856110139</v>
      </c>
      <c r="CU206" s="697">
        <f>IF(AND($O206&gt;0,Sheet1!EK206=1),(1-($O206-Sheet1!$L206)/$O206)*CP206,0)</f>
        <v>0</v>
      </c>
      <c r="CV206" s="697">
        <f>IF(AND(Sheet1!$L206=0,Sheet1!$L205=0, Calculation!CO206&lt;Sheet1!$EG206-0.1,Sheet1!$EG206=Sheet1!$EG205,Sheet1!$EG206=Sheet1!$EG207),Sheet1!$EG206,CP206-CU206)</f>
        <v>9.6025179856110139</v>
      </c>
      <c r="CW206" s="697">
        <f t="shared" si="721"/>
        <v>0</v>
      </c>
      <c r="CX206" s="712">
        <f t="shared" si="683"/>
        <v>13.600000000000001</v>
      </c>
      <c r="CY206" s="712">
        <f t="shared" si="684"/>
        <v>633.7824134434303</v>
      </c>
      <c r="CZ206" s="712">
        <f t="shared" si="685"/>
        <v>13.746762589927346</v>
      </c>
      <c r="DA206" s="712">
        <f ca="1">IF(B206&gt;Summary!$A$1,#N/A,CY206*MGtoAF)</f>
        <v>1944.4444444444441</v>
      </c>
      <c r="DB206" s="712">
        <f t="shared" si="686"/>
        <v>13.600000000000001</v>
      </c>
      <c r="DC206" s="712">
        <f t="shared" si="687"/>
        <v>27.8</v>
      </c>
      <c r="DD206" s="712">
        <f>Sheet1!AB206-DC206</f>
        <v>0.2999999999985441</v>
      </c>
      <c r="DE206" s="712">
        <f t="shared" si="688"/>
        <v>1.0791366906422449E-2</v>
      </c>
      <c r="DF206" s="712">
        <f>(VLOOKUP(Sheet1!CY206,hhdcap_wcm,4)-(((VLOOKUP(Sheet1!CY206,hhdcap_wcm,3)-Sheet1!CY206)/(VLOOKUP(Sheet1!CY206,hhdcap_wcm,3)-VLOOKUP(Sheet1!CY206,hhdcap_wcm,1)))*(VLOOKUP(Sheet1!CY206,hhdcap_wcm,4)-VLOOKUP(Sheet1!CY206,hhdcap_wcm,2))))</f>
        <v>47550.600000112958</v>
      </c>
      <c r="DG206" s="712">
        <f t="shared" si="689"/>
        <v>-463.68000000024767</v>
      </c>
      <c r="DH206" s="712">
        <f t="shared" si="690"/>
        <v>-233.82753403945921</v>
      </c>
      <c r="DI206" s="712">
        <f>Sheet1!DW206*AFtoMG</f>
        <v>0</v>
      </c>
      <c r="DJ206" s="712">
        <f>Sheet1!DX206*AFtoMG</f>
        <v>0</v>
      </c>
      <c r="DK206" s="712">
        <f>Sheet1!DY206*AFtoMG</f>
        <v>0</v>
      </c>
      <c r="DL206" s="712">
        <f>Sheet1!DZ206*AFtoMG</f>
        <v>0</v>
      </c>
      <c r="DM206" s="712">
        <f t="shared" si="691"/>
        <v>0</v>
      </c>
      <c r="DN206" s="712">
        <f t="shared" si="692"/>
        <v>0</v>
      </c>
      <c r="DO206" s="712">
        <f t="shared" si="693"/>
        <v>3259.4524119947846</v>
      </c>
      <c r="DP206" s="712">
        <f t="shared" si="694"/>
        <v>10000</v>
      </c>
      <c r="DQ206" s="712"/>
      <c r="DR206" s="697">
        <f>IF(OR(B206&lt;FL206,B206&gt;FM206),(MIN(AV206+BO206+CJ206+MAX(Sheet1!AA206+AG206-73,0),K206)),0)</f>
        <v>13.746762589927346</v>
      </c>
      <c r="DS206" s="712"/>
      <c r="DT206" s="712">
        <f t="shared" si="695"/>
        <v>13.746762589927346</v>
      </c>
      <c r="DU206" s="712"/>
      <c r="DV206" s="712">
        <f>Sheet1!ED206+Sheet1!EE206+Sheet1!EF206+Sheet1!EG206</f>
        <v>14</v>
      </c>
      <c r="DW206" s="712"/>
      <c r="DX206" s="697">
        <f t="shared" si="696"/>
        <v>0</v>
      </c>
      <c r="DY206" s="712">
        <f>IF(Sheet1!FN206=1,SUM('Calculations II'!AT206:BA206)+'Calculations II'!BC206+Sheet1!BU206+'Calculations II'!BE206+AF206,SUM('Calculations II'!AT206:BA206)+'Calculations II'!BC206+Sheet1!BU206+'Calculations II'!BE206+AF206)</f>
        <v>57.564416000000008</v>
      </c>
      <c r="DZ206" s="712">
        <f>Sheet1!AA206+Sheet1!AB206+'Calculations II'!BC206</f>
        <v>82.291055999992722</v>
      </c>
      <c r="EA206" s="712"/>
      <c r="EB206" s="712"/>
      <c r="EC206" s="712">
        <f t="shared" si="697"/>
        <v>40735</v>
      </c>
      <c r="ED206" s="712">
        <f t="shared" si="698"/>
        <v>0</v>
      </c>
      <c r="EE206" s="712">
        <f t="shared" si="699"/>
        <v>0</v>
      </c>
      <c r="EF206" s="712">
        <f>-(VLOOKUP(Sheet1!BQ206,Lookup!$B$4:$J$236,2)-VLOOKUP(Sheet1!BQ205,Lookup!$B$4:$J$236,2))/1000000</f>
        <v>-5.1791999999999998</v>
      </c>
      <c r="EG206" s="712">
        <f>-(VLOOKUP(Sheet1!BR206,Lookup!$B$4:$J$236,3)-VLOOKUP(Sheet1!BR205,Lookup!$B$4:$J$236,3))/1000000</f>
        <v>-4.8940000000000001</v>
      </c>
      <c r="EH206" s="712">
        <f>-(VLOOKUP(Sheet1!BS206,Lookup!$B$4:$J$236,4)-VLOOKUP(Sheet1!BS205,Lookup!$B$4:$J$236,4))/1000000</f>
        <v>0</v>
      </c>
      <c r="EI206" s="697">
        <f t="shared" si="700"/>
        <v>-10.0732</v>
      </c>
      <c r="EJ206" s="712"/>
      <c r="EK206" s="712"/>
      <c r="EL206" s="712"/>
      <c r="EM206" s="712"/>
      <c r="EN206" s="712"/>
      <c r="EO206" s="712"/>
      <c r="EP206" s="498"/>
      <c r="EQ206" s="712"/>
      <c r="ET206" s="794">
        <f t="shared" si="720"/>
        <v>1138.3</v>
      </c>
      <c r="EU206" s="697">
        <f t="shared" si="731"/>
        <v>14162.400000056947</v>
      </c>
      <c r="EV206" s="795">
        <f t="shared" si="640"/>
        <v>22168.200000056011</v>
      </c>
      <c r="EW206" s="796" t="s">
        <v>757</v>
      </c>
      <c r="EX206" s="796" t="s">
        <v>757</v>
      </c>
      <c r="EY206" s="862">
        <f t="shared" si="732"/>
        <v>233.82753403945924</v>
      </c>
      <c r="EZ206" s="798">
        <v>23388.200000056011</v>
      </c>
      <c r="FA206" s="712">
        <v>23388.200000056011</v>
      </c>
      <c r="FB206" s="712"/>
      <c r="FC206" s="712"/>
      <c r="FD206" s="712"/>
      <c r="FE206" s="712">
        <f>O206+Sheet1!CO206</f>
        <v>9298.8999999999924</v>
      </c>
      <c r="FF206" s="712">
        <f>IF(Sheet1!AA206+AG206&lt;=Calculation!N206,AG206,Calculation!N206-Sheet1!AA206)</f>
        <v>14.353237410071198</v>
      </c>
      <c r="FG206" s="712">
        <f>(Sheet1!BP206+Sheet1!BO206)/694.4</f>
        <v>4.0639400921658986</v>
      </c>
      <c r="FH206" s="712"/>
      <c r="FI206" s="712"/>
      <c r="FJ206" s="712"/>
      <c r="FK206" s="712"/>
      <c r="FL206" s="714">
        <f t="shared" si="726"/>
        <v>40753</v>
      </c>
      <c r="FM206" s="714">
        <f t="shared" si="727"/>
        <v>40851</v>
      </c>
      <c r="FN206" s="712"/>
      <c r="FO206" s="712"/>
      <c r="FP206" s="712"/>
      <c r="FQ206" s="712"/>
      <c r="FR206" s="712"/>
      <c r="FS206" s="725">
        <f t="shared" si="728"/>
        <v>40603</v>
      </c>
      <c r="FT206" s="714">
        <f t="shared" si="729"/>
        <v>40709</v>
      </c>
      <c r="FU206" s="712">
        <f t="shared" si="728"/>
        <v>6518.9048239895692</v>
      </c>
      <c r="FV206" s="714">
        <f t="shared" si="730"/>
        <v>40722</v>
      </c>
      <c r="FW206" s="712">
        <f t="shared" si="728"/>
        <v>3259.4524119947846</v>
      </c>
      <c r="FX206" s="725">
        <f t="shared" si="728"/>
        <v>40851</v>
      </c>
      <c r="FZ206" s="697">
        <f t="shared" si="722"/>
        <v>0</v>
      </c>
      <c r="GA206" s="712" t="str">
        <f t="shared" si="701"/>
        <v/>
      </c>
      <c r="GB206" s="712">
        <f t="shared" si="702"/>
        <v>0</v>
      </c>
      <c r="GC206" s="712" t="str">
        <f t="shared" si="703"/>
        <v/>
      </c>
      <c r="GD206" s="712">
        <f>IF(GA206="P",Lookup!$M$12,IF(GA206="PP",Lookup!$M$13,IF(GA206="PPP",Lookup!$M$14,IF(GA206="T",Lookup!$M$15,IF(GA206="TP",Lookup!$M$16,IF(GA206="TPP",Lookup!$M$17,IF(GA206="TPPP",Lookup!$M$18,0)))))))*FZ206</f>
        <v>0</v>
      </c>
      <c r="GE206" s="712">
        <f t="shared" si="704"/>
        <v>0</v>
      </c>
      <c r="GF206" s="712">
        <f t="shared" si="705"/>
        <v>4166.6666666666661</v>
      </c>
      <c r="GG206" s="712">
        <f t="shared" si="706"/>
        <v>1358.1051716644936</v>
      </c>
      <c r="GH206" s="712"/>
      <c r="GI206" s="712">
        <f t="shared" si="707"/>
        <v>0</v>
      </c>
      <c r="GJ206" s="712" t="str">
        <f t="shared" si="708"/>
        <v/>
      </c>
      <c r="GK206" s="712">
        <f>IF(GA206="P",Lookup!$N$12,IF(GA206="PP",Lookup!$N$13,IF(GA206="PPP",Lookup!$N$14,IF(GA206="T",Lookup!$N$15,IF(GA206="TP",Lookup!$N$16,IF(GA206="TPP",Lookup!$N$17,IF(GA206="TPPP",Lookup!$N$18,0)))))))*FZ206</f>
        <v>0</v>
      </c>
      <c r="GL206" s="712">
        <f t="shared" si="709"/>
        <v>0</v>
      </c>
      <c r="GM206" s="712">
        <f t="shared" si="710"/>
        <v>1944.4444444444441</v>
      </c>
      <c r="GN206" s="712">
        <f t="shared" si="711"/>
        <v>633.7824134434303</v>
      </c>
      <c r="GO206" s="712"/>
      <c r="GP206" s="712">
        <f t="shared" si="712"/>
        <v>0</v>
      </c>
      <c r="GQ206" s="712" t="str">
        <f t="shared" si="713"/>
        <v/>
      </c>
      <c r="GR206" s="712">
        <f>IF(GA206="P",Lookup!$N$12,IF(GA206="PP",Lookup!$N$13,IF(GA206="PPP",Lookup!$N$14,IF(GA206="T",Lookup!$N$15,IF(GA206="TP",Lookup!$N$16,IF(GA206="TPP",Lookup!$N$17,IF(GA206="TPPP",Lookup!$N$18,0)))))))*FZ206</f>
        <v>0</v>
      </c>
      <c r="GS206" s="697">
        <f t="shared" si="724"/>
        <v>0</v>
      </c>
      <c r="GT206" s="712">
        <f t="shared" si="714"/>
        <v>1944.4444444444441</v>
      </c>
      <c r="GU206" s="712">
        <f t="shared" si="715"/>
        <v>633.7824134434303</v>
      </c>
      <c r="GV206" s="712"/>
      <c r="GW206" s="712">
        <f t="shared" si="716"/>
        <v>0</v>
      </c>
      <c r="GX206" s="712" t="str">
        <f t="shared" si="717"/>
        <v/>
      </c>
      <c r="GY206" s="712">
        <f>IF(GA206="P",Lookup!$N$12,IF(GA206="PP",Lookup!$N$13,IF(GA206="PPP",Lookup!$N$14,IF(GA206="T",Lookup!$N$15,IF(GA206="TP",Lookup!$N$16,IF(GA206="TPP",Lookup!$N$17,IF(GA206="TPPP",Lookup!$N$18,0)))))))*FZ206</f>
        <v>0</v>
      </c>
      <c r="GZ206" s="697">
        <f t="shared" si="725"/>
        <v>0</v>
      </c>
      <c r="HA206" s="712">
        <f t="shared" si="718"/>
        <v>1944.4444444444441</v>
      </c>
      <c r="HB206" s="712">
        <f t="shared" si="719"/>
        <v>633.7824134434303</v>
      </c>
      <c r="HC206" s="712"/>
    </row>
    <row r="207" spans="1:211">
      <c r="A207" s="773" t="s">
        <v>5</v>
      </c>
      <c r="B207" s="708">
        <v>40736</v>
      </c>
      <c r="C207" s="709">
        <v>0.5</v>
      </c>
      <c r="D207" s="675">
        <f t="shared" si="641"/>
        <v>300</v>
      </c>
      <c r="E207" s="675">
        <f t="shared" si="642"/>
        <v>250</v>
      </c>
      <c r="F207" s="675">
        <v>250</v>
      </c>
      <c r="G207" s="712">
        <f>DH207+Sheet1!CV207</f>
        <v>536.33677563556967</v>
      </c>
      <c r="H207" s="712">
        <f t="shared" si="643"/>
        <v>79.72489177083223</v>
      </c>
      <c r="I207" s="711">
        <f>MAX(Sheet1!Z207-AJ207+(Sheet1!CW207-E207)*CFStoMGD,0)</f>
        <v>491.57718636741572</v>
      </c>
      <c r="J207" s="720">
        <f>IF(AND(B207&gt;=Calculation!FS207,B207&lt;=Calculation!FT207),IF(Sheet1!CX207&gt;=Calculation!D207,64.64,0),MAX(Sheet1!Z207-AJ207+(Sheet1!CX207-D207)*CFStoMGD,0))</f>
        <v>257.50631970074903</v>
      </c>
      <c r="K207" s="697">
        <f t="shared" si="644"/>
        <v>64.64</v>
      </c>
      <c r="L207" s="712">
        <f>Sheet1!AA207+Sheet1!AB207-Sheet1!L207+(Sheet1!CW207-F207)*CFStoMGD</f>
        <v>530.82506666666666</v>
      </c>
      <c r="M207" s="712">
        <f t="shared" si="645"/>
        <v>353.62185360624886</v>
      </c>
      <c r="N207" s="712">
        <f>IF(Sheet1!CW207&gt;=F207,MIN(73,MIN(MAX(L207,0),MAX(M207,0))),0)</f>
        <v>73</v>
      </c>
      <c r="O207" s="721">
        <f>Sheet1!AA207+Sheet1!AB207</f>
        <v>61</v>
      </c>
      <c r="P207" s="721">
        <f t="shared" si="646"/>
        <v>94.36699999999999</v>
      </c>
      <c r="Q207" s="712">
        <f>MIN(N207,Sheet1!AA207+AG207)</f>
        <v>47.24788029925385</v>
      </c>
      <c r="R207" s="712">
        <f t="shared" si="647"/>
        <v>14</v>
      </c>
      <c r="S207" s="721">
        <f>Sheet1!Y207*MGDtoCFS</f>
        <v>63.427</v>
      </c>
      <c r="T207" s="721">
        <f>Sheet1!Z207*MGDtoCFS</f>
        <v>43.625399999999999</v>
      </c>
      <c r="U207" s="721">
        <f>Sheet1!AA207*MGDtoCFS</f>
        <v>63.117600000004501</v>
      </c>
      <c r="V207" s="721">
        <f>Sheet1!AB207*MGDtoCFS</f>
        <v>31.249399999995497</v>
      </c>
      <c r="W207" s="721">
        <f>Sheet1!L207*MGDtoCFS</f>
        <v>0</v>
      </c>
      <c r="X207" s="697">
        <f t="shared" si="648"/>
        <v>0</v>
      </c>
      <c r="Y207" s="712">
        <f t="shared" si="649"/>
        <v>0</v>
      </c>
      <c r="Z207" s="712">
        <f t="shared" si="650"/>
        <v>0</v>
      </c>
      <c r="AA207" s="712">
        <f t="shared" si="651"/>
        <v>0</v>
      </c>
      <c r="AB207" s="712">
        <f>(VLOOKUP(Sheet1!CY207,hhdcap_wcm,4)-(((VLOOKUP(Sheet1!CY207,hhdcap_wcm,3)-Sheet1!CY207)/(VLOOKUP(Sheet1!CY207,hhdcap_wcm,3)-VLOOKUP(Sheet1!CY207,hhdcap_wcm,1)))*(VLOOKUP(Sheet1!CY207,hhdcap_wcm,4)-VLOOKUP(Sheet1!CY207,hhdcap_wcm,2))))</f>
        <v>47076.210000111336</v>
      </c>
      <c r="AC207" s="712">
        <f t="shared" si="652"/>
        <v>-474.39000000162196</v>
      </c>
      <c r="AD207" s="712">
        <f t="shared" si="653"/>
        <v>3259.4524119947846</v>
      </c>
      <c r="AE207" s="712">
        <f t="shared" si="654"/>
        <v>10000</v>
      </c>
      <c r="AF207" s="712">
        <f>Sheet1!BA207+Sheet1!BB207+Sheet1!BN207+BT207</f>
        <v>6.4</v>
      </c>
      <c r="AG207" s="712">
        <f t="shared" si="655"/>
        <v>6.4478802992509419</v>
      </c>
      <c r="AH207" s="712">
        <f>Sheet1!BA207+BT207</f>
        <v>0</v>
      </c>
      <c r="AI207" s="712">
        <f>Sheet1!BA207+Sheet1!BB207+BT207</f>
        <v>0</v>
      </c>
      <c r="AJ207" s="712">
        <f>IF((Sheet1!AA207+AG207+AX207+AZ207+BQ207+BS207+CL207+CN207)&lt;=N207,AG207+AX207+AZ207+BQ207+BS207+CL207+CN207,N207-Sheet1!AA207)</f>
        <v>6.4478802992509419</v>
      </c>
      <c r="AK207" s="712">
        <f>IF(DR207&lt;K207,0,MAX(Sheet1!AA207+AG207-15/36*K207-N207,Sheet1!ED207,0))</f>
        <v>0</v>
      </c>
      <c r="AL207" s="712">
        <f>IF(OR(B207&gt;=FT207,B207&lt;FS207),0,15/36*K207-MAX(0,64.6-(137.6-(Sheet1!AA207+Sheet1!AB207))))</f>
        <v>0</v>
      </c>
      <c r="AM207" s="712">
        <f>Sheet1!CX207-110</f>
        <v>554.71875</v>
      </c>
      <c r="AN207" s="712">
        <f>Sheet1!CW207-265</f>
        <v>711.83333333333337</v>
      </c>
      <c r="AO207" s="712">
        <f t="shared" ref="AO207:AO270" si="733">N207-Q207</f>
        <v>25.75211970074615</v>
      </c>
      <c r="AP207" s="712">
        <f t="shared" si="656"/>
        <v>0</v>
      </c>
      <c r="AQ207" s="712">
        <f t="shared" si="657"/>
        <v>0</v>
      </c>
      <c r="AR207" s="712">
        <f t="shared" si="658"/>
        <v>1358.1051716644936</v>
      </c>
      <c r="AS207" s="712"/>
      <c r="AT207" s="712">
        <f ca="1">IF(B207&gt;Summary!$A$1,#N/A,AR207*MGtoAF)</f>
        <v>4166.6666666666661</v>
      </c>
      <c r="AU207" s="712">
        <f>Sheet1!BG207+Sheet1!BH207+Sheet1!BI207-BC207</f>
        <v>1.56</v>
      </c>
      <c r="AV207" s="712">
        <f t="shared" si="659"/>
        <v>1.571670822942417</v>
      </c>
      <c r="AW207" s="712">
        <f>IF(Sheet1!EL207="FM",BC207,0)</f>
        <v>0</v>
      </c>
      <c r="AX207" s="712">
        <f t="shared" si="660"/>
        <v>0</v>
      </c>
      <c r="AY207" s="712">
        <f>IF(Sheet1!EL207="OTHER",BC207,0)</f>
        <v>0</v>
      </c>
      <c r="AZ207" s="712">
        <f t="shared" si="661"/>
        <v>0</v>
      </c>
      <c r="BA207" s="712">
        <f t="shared" si="662"/>
        <v>1.56</v>
      </c>
      <c r="BB207" s="712">
        <f t="shared" si="663"/>
        <v>1.571670822942417</v>
      </c>
      <c r="BC207" s="712">
        <f>IF(OR(Sheet1!EL207="FM", Sheet1!EL207="OTHER"),SUM(Sheet1!BG207:'Sheet1'!BI207),0)</f>
        <v>0</v>
      </c>
      <c r="BD207" s="697">
        <f>IF(AND($B207&gt;=$FL207,$B207&lt;=$FM207),MAX(AV207,Sheet1!EE207,0),MAX(AV207-(7/36)*$K207,0))</f>
        <v>0</v>
      </c>
      <c r="BE207" s="712">
        <f t="shared" si="664"/>
        <v>0</v>
      </c>
      <c r="BF207" s="697">
        <f t="shared" si="665"/>
        <v>1.571670822942417</v>
      </c>
      <c r="BG207" s="697">
        <f>IF(AND($O207&gt;0,Sheet1!EI207=1),(1-($O207-Sheet1!$L207)/$O207)*BB207,0)</f>
        <v>0</v>
      </c>
      <c r="BH207" s="697">
        <f>IF(AND(Sheet1!$L207=0,Sheet1!$L206=0, Calculation!BA207&lt;Sheet1!$EE207-0.1,Sheet1!$EE207=Sheet1!$EE206,Sheet1!$EE207=Sheet1!$EE208),Sheet1!$EE207,BB207-BG207)</f>
        <v>2</v>
      </c>
      <c r="BI207" s="712"/>
      <c r="BJ207" s="712"/>
      <c r="BK207" s="712">
        <f t="shared" si="666"/>
        <v>633.7824134434303</v>
      </c>
      <c r="BL207" s="712"/>
      <c r="BM207" s="712">
        <f ca="1">IF(B207&gt;Summary!$A$1,#N/A,BK207*MGtoAF)</f>
        <v>1944.4444444444441</v>
      </c>
      <c r="BN207" s="712">
        <f>Sheet1!BC207+Sheet1!BD207+Sheet1!BE207+Sheet1!BF207-BW207-BX207</f>
        <v>2.5499999999999998</v>
      </c>
      <c r="BO207" s="712">
        <f t="shared" si="667"/>
        <v>2.5690773067327966</v>
      </c>
      <c r="BP207" s="712">
        <f>IF(Sheet1!EM207="FM",BX207,0)</f>
        <v>0</v>
      </c>
      <c r="BQ207" s="712">
        <f t="shared" si="668"/>
        <v>0</v>
      </c>
      <c r="BR207" s="712">
        <f>IF(Sheet1!EM207="OTHER",BX207,0)</f>
        <v>0</v>
      </c>
      <c r="BS207" s="712">
        <f t="shared" si="669"/>
        <v>0</v>
      </c>
      <c r="BT207" s="712">
        <f t="shared" si="670"/>
        <v>0</v>
      </c>
      <c r="BU207" s="712">
        <f t="shared" si="671"/>
        <v>2.5499999999999998</v>
      </c>
      <c r="BV207" s="712">
        <f t="shared" si="672"/>
        <v>2.5690773067327966</v>
      </c>
      <c r="BW207" s="712">
        <f>IF(Sheet1!EM207="CWA",SUM(Sheet1!BC207:'Sheet1'!BF207),0)</f>
        <v>0</v>
      </c>
      <c r="BX207" s="712">
        <f>IF(OR(Sheet1!EM207="FM", Sheet1!EM207="OTHER"),SUM(Sheet1!BC207:'Sheet1'!BF207),0)</f>
        <v>0</v>
      </c>
      <c r="BY207" s="697">
        <f>IF(AND($B207&gt;=$FL207,$B207&lt;=$FM207),MAX(BV207,Sheet1!EF207,0),MAX(BV207-(7/36)*$K207,0))</f>
        <v>0</v>
      </c>
      <c r="BZ207" s="712">
        <f t="shared" si="673"/>
        <v>0</v>
      </c>
      <c r="CA207" s="697">
        <f t="shared" si="674"/>
        <v>2.5690773067327966</v>
      </c>
      <c r="CB207" s="697">
        <f>IF(AND($O207&gt;0,Sheet1!EJ207=1),(1-($O207-Sheet1!$L207)/$O207)*BV207,0)</f>
        <v>0</v>
      </c>
      <c r="CC207" s="697">
        <f>IF(AND(Sheet1!$L207=0,Sheet1!$L206=0, Calculation!BU207&lt;Sheet1!EF207-0.1,Sheet1!EF207=Sheet1!EF206,Sheet1!EF207=Sheet1!EF208),Sheet1!EF207,BV207-CB207)</f>
        <v>2.5690773067327966</v>
      </c>
      <c r="CD207" s="697"/>
      <c r="CE207" s="712"/>
      <c r="CF207" s="712">
        <f t="shared" si="675"/>
        <v>633.7824134434303</v>
      </c>
      <c r="CG207" s="712"/>
      <c r="CH207" s="712">
        <f ca="1">IF(B207&gt;Summary!$A$1,#N/A,CF207*MGtoAF)</f>
        <v>1944.4444444444441</v>
      </c>
      <c r="CI207" s="712">
        <f>Sheet1!BK207+Sheet1!BL207+Sheet1!BM207-Sheet1!EN207-CQ207</f>
        <v>9.5399999999999991</v>
      </c>
      <c r="CJ207" s="712">
        <f t="shared" si="676"/>
        <v>9.6113715710709329</v>
      </c>
      <c r="CK207" s="712">
        <f>IF(Sheet1!EN207="FM",CQ207,0)</f>
        <v>0</v>
      </c>
      <c r="CL207" s="712">
        <f t="shared" si="677"/>
        <v>0</v>
      </c>
      <c r="CM207" s="712">
        <f>IF(Sheet1!EN207="OTHER",CQ207,0)</f>
        <v>0</v>
      </c>
      <c r="CN207" s="712">
        <f t="shared" si="678"/>
        <v>0</v>
      </c>
      <c r="CO207" s="712">
        <f t="shared" si="679"/>
        <v>9.5399999999999991</v>
      </c>
      <c r="CP207" s="712">
        <f t="shared" si="680"/>
        <v>9.6113715710709329</v>
      </c>
      <c r="CQ207" s="712">
        <f>IF(OR(Sheet1!EN207="FM", Sheet1!EN207="OTHER"),SUM(Sheet1!BK207:'Sheet1'!BM207),0)</f>
        <v>0</v>
      </c>
      <c r="CR207" s="697">
        <f>IF(AND($B207&gt;=$FL207,$B207&lt;=$FM207),MAX($CJ207,Sheet1!EG207,0),MAX($CJ207-(7/36)*$K207,0))</f>
        <v>0</v>
      </c>
      <c r="CS207" s="712">
        <f t="shared" si="681"/>
        <v>0</v>
      </c>
      <c r="CT207" s="697">
        <f t="shared" si="682"/>
        <v>9.6113715710709329</v>
      </c>
      <c r="CU207" s="697">
        <f>IF(AND($O207&gt;0,Sheet1!EK207=1),(1-($O207-Sheet1!$L207)/$O207)*CP207,0)</f>
        <v>0</v>
      </c>
      <c r="CV207" s="697">
        <f>IF(AND(Sheet1!$L207=0,Sheet1!$L206=0, Calculation!CO207&lt;Sheet1!$EG207-0.1,Sheet1!$EG207=Sheet1!$EG206,Sheet1!$EG207=Sheet1!$EG208),Sheet1!$EG207,CP207-CU207)</f>
        <v>9.6113715710709329</v>
      </c>
      <c r="CW207" s="697">
        <f t="shared" si="721"/>
        <v>0</v>
      </c>
      <c r="CX207" s="712">
        <f t="shared" si="683"/>
        <v>13.649999999999999</v>
      </c>
      <c r="CY207" s="712">
        <f t="shared" si="684"/>
        <v>633.7824134434303</v>
      </c>
      <c r="CZ207" s="712">
        <f t="shared" si="685"/>
        <v>13.752119700746146</v>
      </c>
      <c r="DA207" s="712">
        <f ca="1">IF(B207&gt;Summary!$A$1,#N/A,CY207*MGtoAF)</f>
        <v>1944.4444444444441</v>
      </c>
      <c r="DB207" s="712">
        <f t="shared" si="686"/>
        <v>13.65</v>
      </c>
      <c r="DC207" s="712">
        <f t="shared" si="687"/>
        <v>20.05</v>
      </c>
      <c r="DD207" s="712">
        <f>Sheet1!AB207-DC207</f>
        <v>0.14999999999708891</v>
      </c>
      <c r="DE207" s="712">
        <f t="shared" si="688"/>
        <v>7.4812967579595459E-3</v>
      </c>
      <c r="DF207" s="712">
        <f>(VLOOKUP(Sheet1!CY207,hhdcap_wcm,4)-(((VLOOKUP(Sheet1!CY207,hhdcap_wcm,3)-Sheet1!CY207)/(VLOOKUP(Sheet1!CY207,hhdcap_wcm,3)-VLOOKUP(Sheet1!CY207,hhdcap_wcm,1)))*(VLOOKUP(Sheet1!CY207,hhdcap_wcm,4)-VLOOKUP(Sheet1!CY207,hhdcap_wcm,2))))</f>
        <v>47076.210000111336</v>
      </c>
      <c r="DG207" s="712">
        <f t="shared" si="689"/>
        <v>-474.39000000162196</v>
      </c>
      <c r="DH207" s="712">
        <f t="shared" si="690"/>
        <v>-239.22844175573468</v>
      </c>
      <c r="DI207" s="712">
        <f>Sheet1!DW207*AFtoMG</f>
        <v>0</v>
      </c>
      <c r="DJ207" s="712">
        <f>Sheet1!DX207*AFtoMG</f>
        <v>0</v>
      </c>
      <c r="DK207" s="712">
        <f>Sheet1!DY207*AFtoMG</f>
        <v>0</v>
      </c>
      <c r="DL207" s="712">
        <f>Sheet1!DZ207*AFtoMG</f>
        <v>0</v>
      </c>
      <c r="DM207" s="712">
        <f t="shared" si="691"/>
        <v>0</v>
      </c>
      <c r="DN207" s="712">
        <f t="shared" si="692"/>
        <v>0</v>
      </c>
      <c r="DO207" s="712">
        <f t="shared" si="693"/>
        <v>3259.4524119947846</v>
      </c>
      <c r="DP207" s="712">
        <f t="shared" si="694"/>
        <v>10000</v>
      </c>
      <c r="DQ207" s="712"/>
      <c r="DR207" s="697">
        <f>IF(OR(B207&lt;FL207,B207&gt;FM207),(MIN(AV207+BO207+CJ207+MAX(Sheet1!AA207+AG207-73,0),K207)),0)</f>
        <v>13.752119700746146</v>
      </c>
      <c r="DS207" s="712"/>
      <c r="DT207" s="712">
        <f t="shared" si="695"/>
        <v>13.752119700746146</v>
      </c>
      <c r="DU207" s="712"/>
      <c r="DV207" s="712">
        <f>Sheet1!ED207+Sheet1!EE207+Sheet1!EF207+Sheet1!EG207</f>
        <v>14</v>
      </c>
      <c r="DW207" s="712"/>
      <c r="DX207" s="697">
        <f t="shared" si="696"/>
        <v>0</v>
      </c>
      <c r="DY207" s="712">
        <f>IF(Sheet1!FN207=1,SUM('Calculations II'!AT207:BA207)+'Calculations II'!BC207+Sheet1!BU207+'Calculations II'!BE207+AF207,SUM('Calculations II'!AT207:BA207)+'Calculations II'!BC207+Sheet1!BU207+'Calculations II'!BE207+AF207)</f>
        <v>56.23368</v>
      </c>
      <c r="DZ207" s="712">
        <f>Sheet1!AA207+Sheet1!AB207+'Calculations II'!BC207</f>
        <v>68.367615999999998</v>
      </c>
      <c r="EA207" s="712"/>
      <c r="EB207" s="712"/>
      <c r="EC207" s="712">
        <f t="shared" si="697"/>
        <v>40736</v>
      </c>
      <c r="ED207" s="712">
        <f t="shared" si="698"/>
        <v>0</v>
      </c>
      <c r="EE207" s="712">
        <f t="shared" si="699"/>
        <v>0</v>
      </c>
      <c r="EF207" s="712">
        <f>-(VLOOKUP(Sheet1!BQ207,Lookup!$B$4:$J$236,2)-VLOOKUP(Sheet1!BQ206,Lookup!$B$4:$J$236,2))/1000000</f>
        <v>1.3724000000000001</v>
      </c>
      <c r="EG207" s="712">
        <f>-(VLOOKUP(Sheet1!BR207,Lookup!$B$4:$J$236,3)-VLOOKUP(Sheet1!BR206,Lookup!$B$4:$J$236,3))/1000000</f>
        <v>1.367</v>
      </c>
      <c r="EH207" s="712">
        <f>-(VLOOKUP(Sheet1!BS207,Lookup!$B$4:$J$236,4)-VLOOKUP(Sheet1!BS206,Lookup!$B$4:$J$236,4))/1000000</f>
        <v>0</v>
      </c>
      <c r="EI207" s="697">
        <f t="shared" si="700"/>
        <v>2.7393999999999998</v>
      </c>
      <c r="EJ207" s="712"/>
      <c r="EK207" s="712"/>
      <c r="EL207" s="712"/>
      <c r="EM207" s="712"/>
      <c r="EN207" s="712"/>
      <c r="EO207" s="712"/>
      <c r="EP207" s="498"/>
      <c r="EQ207" s="712"/>
      <c r="ET207" s="794">
        <f t="shared" si="720"/>
        <v>1138.3</v>
      </c>
      <c r="EU207" s="697">
        <f t="shared" si="731"/>
        <v>13759.410000055326</v>
      </c>
      <c r="EV207" s="795">
        <f t="shared" si="640"/>
        <v>22096.80000005601</v>
      </c>
      <c r="EW207" s="796" t="s">
        <v>757</v>
      </c>
      <c r="EX207" s="796" t="s">
        <v>757</v>
      </c>
      <c r="EY207" s="862">
        <f t="shared" si="732"/>
        <v>203.22239031851765</v>
      </c>
      <c r="EZ207" s="798">
        <v>23316.80000005601</v>
      </c>
      <c r="FA207" s="712">
        <v>23316.80000005601</v>
      </c>
      <c r="FB207" s="712"/>
      <c r="FC207" s="712"/>
      <c r="FD207" s="712"/>
      <c r="FE207" s="712">
        <f>O207+Sheet1!CO207</f>
        <v>5177.3999999999996</v>
      </c>
      <c r="FF207" s="712">
        <f>IF(Sheet1!AA207+AG207&lt;=Calculation!N207,AG207,Calculation!N207-Sheet1!AA207)</f>
        <v>6.4478802992509419</v>
      </c>
      <c r="FG207" s="712">
        <f>(Sheet1!BP207+Sheet1!BO207)/694.4</f>
        <v>3.0591589861751149</v>
      </c>
      <c r="FH207" s="712"/>
      <c r="FI207" s="712"/>
      <c r="FJ207" s="712"/>
      <c r="FK207" s="712"/>
      <c r="FL207" s="714">
        <f t="shared" si="726"/>
        <v>40753</v>
      </c>
      <c r="FM207" s="714">
        <f t="shared" si="727"/>
        <v>40851</v>
      </c>
      <c r="FN207" s="712"/>
      <c r="FO207" s="712"/>
      <c r="FP207" s="712"/>
      <c r="FQ207" s="712"/>
      <c r="FR207" s="712"/>
      <c r="FS207" s="725">
        <f t="shared" si="728"/>
        <v>40603</v>
      </c>
      <c r="FT207" s="714">
        <f t="shared" si="729"/>
        <v>40709</v>
      </c>
      <c r="FU207" s="712">
        <f t="shared" si="728"/>
        <v>6518.9048239895692</v>
      </c>
      <c r="FV207" s="714">
        <f t="shared" si="730"/>
        <v>40722</v>
      </c>
      <c r="FW207" s="712">
        <f t="shared" si="728"/>
        <v>3259.4524119947846</v>
      </c>
      <c r="FX207" s="725">
        <f t="shared" si="728"/>
        <v>40851</v>
      </c>
      <c r="FZ207" s="697">
        <f t="shared" si="722"/>
        <v>0</v>
      </c>
      <c r="GA207" s="712" t="str">
        <f t="shared" si="701"/>
        <v/>
      </c>
      <c r="GB207" s="712">
        <f t="shared" si="702"/>
        <v>0</v>
      </c>
      <c r="GC207" s="712" t="str">
        <f t="shared" si="703"/>
        <v/>
      </c>
      <c r="GD207" s="712">
        <f>IF(GA207="P",Lookup!$M$12,IF(GA207="PP",Lookup!$M$13,IF(GA207="PPP",Lookup!$M$14,IF(GA207="T",Lookup!$M$15,IF(GA207="TP",Lookup!$M$16,IF(GA207="TPP",Lookup!$M$17,IF(GA207="TPPP",Lookup!$M$18,0)))))))*FZ207</f>
        <v>0</v>
      </c>
      <c r="GE207" s="712">
        <f t="shared" si="704"/>
        <v>0</v>
      </c>
      <c r="GF207" s="712">
        <f t="shared" si="705"/>
        <v>4166.6666666666661</v>
      </c>
      <c r="GG207" s="712">
        <f t="shared" si="706"/>
        <v>1358.1051716644936</v>
      </c>
      <c r="GH207" s="712"/>
      <c r="GI207" s="712">
        <f t="shared" si="707"/>
        <v>0</v>
      </c>
      <c r="GJ207" s="712" t="str">
        <f t="shared" si="708"/>
        <v/>
      </c>
      <c r="GK207" s="712">
        <f>IF(GA207="P",Lookup!$N$12,IF(GA207="PP",Lookup!$N$13,IF(GA207="PPP",Lookup!$N$14,IF(GA207="T",Lookup!$N$15,IF(GA207="TP",Lookup!$N$16,IF(GA207="TPP",Lookup!$N$17,IF(GA207="TPPP",Lookup!$N$18,0)))))))*FZ207</f>
        <v>0</v>
      </c>
      <c r="GL207" s="712">
        <f t="shared" si="709"/>
        <v>0</v>
      </c>
      <c r="GM207" s="712">
        <f t="shared" si="710"/>
        <v>1944.4444444444441</v>
      </c>
      <c r="GN207" s="712">
        <f t="shared" si="711"/>
        <v>633.7824134434303</v>
      </c>
      <c r="GO207" s="712"/>
      <c r="GP207" s="712">
        <f t="shared" si="712"/>
        <v>0</v>
      </c>
      <c r="GQ207" s="712" t="str">
        <f t="shared" si="713"/>
        <v/>
      </c>
      <c r="GR207" s="712">
        <f>IF(GA207="P",Lookup!$N$12,IF(GA207="PP",Lookup!$N$13,IF(GA207="PPP",Lookup!$N$14,IF(GA207="T",Lookup!$N$15,IF(GA207="TP",Lookup!$N$16,IF(GA207="TPP",Lookup!$N$17,IF(GA207="TPPP",Lookup!$N$18,0)))))))*FZ207</f>
        <v>0</v>
      </c>
      <c r="GS207" s="697">
        <f t="shared" si="724"/>
        <v>0</v>
      </c>
      <c r="GT207" s="712">
        <f t="shared" si="714"/>
        <v>1944.4444444444441</v>
      </c>
      <c r="GU207" s="712">
        <f t="shared" si="715"/>
        <v>633.7824134434303</v>
      </c>
      <c r="GV207" s="712"/>
      <c r="GW207" s="712">
        <f t="shared" si="716"/>
        <v>0</v>
      </c>
      <c r="GX207" s="712" t="str">
        <f t="shared" si="717"/>
        <v/>
      </c>
      <c r="GY207" s="712">
        <f>IF(GA207="P",Lookup!$N$12,IF(GA207="PP",Lookup!$N$13,IF(GA207="PPP",Lookup!$N$14,IF(GA207="T",Lookup!$N$15,IF(GA207="TP",Lookup!$N$16,IF(GA207="TPP",Lookup!$N$17,IF(GA207="TPPP",Lookup!$N$18,0)))))))*FZ207</f>
        <v>0</v>
      </c>
      <c r="GZ207" s="697">
        <f t="shared" si="725"/>
        <v>0</v>
      </c>
      <c r="HA207" s="712">
        <f t="shared" si="718"/>
        <v>1944.4444444444441</v>
      </c>
      <c r="HB207" s="712">
        <f t="shared" si="719"/>
        <v>633.7824134434303</v>
      </c>
      <c r="HC207" s="712"/>
    </row>
    <row r="208" spans="1:211">
      <c r="A208" s="773" t="s">
        <v>6</v>
      </c>
      <c r="B208" s="708">
        <v>40737</v>
      </c>
      <c r="C208" s="719">
        <v>0.5</v>
      </c>
      <c r="D208" s="675">
        <f t="shared" si="641"/>
        <v>300</v>
      </c>
      <c r="E208" s="675">
        <f t="shared" si="642"/>
        <v>250</v>
      </c>
      <c r="F208" s="675">
        <v>250</v>
      </c>
      <c r="G208" s="712">
        <f>DH208+Sheet1!CV208</f>
        <v>573.16417812261477</v>
      </c>
      <c r="H208" s="712">
        <f t="shared" si="643"/>
        <v>103.53012473845818</v>
      </c>
      <c r="I208" s="711">
        <f>MAX(Sheet1!Z208-AJ208+(Sheet1!CW208-E208)*CFStoMGD,0)</f>
        <v>494.31823433533634</v>
      </c>
      <c r="J208" s="720">
        <f>IF(AND(B208&gt;=Calculation!FS208,B208&lt;=Calculation!FT208),IF(Sheet1!CX208&gt;=Calculation!D208,64.64,0),MAX(Sheet1!Z208-AJ208+(Sheet1!CX208-D208)*CFStoMGD,0))</f>
        <v>203.79510100200307</v>
      </c>
      <c r="K208" s="697">
        <f t="shared" si="644"/>
        <v>64.64</v>
      </c>
      <c r="L208" s="712">
        <f>Sheet1!AA208+Sheet1!AB208-Sheet1!L208+(Sheet1!CW208-F208)*CFStoMGD</f>
        <v>541.06773333333035</v>
      </c>
      <c r="M208" s="712">
        <f t="shared" si="645"/>
        <v>377.90319123322735</v>
      </c>
      <c r="N208" s="712">
        <f>IF(Sheet1!CW208&gt;=F208,MIN(73,MIN(MAX(L208,0),MAX(M208,0))),0)</f>
        <v>73</v>
      </c>
      <c r="O208" s="721">
        <f>Sheet1!AA208+Sheet1!AB208</f>
        <v>60.19999999999709</v>
      </c>
      <c r="P208" s="721">
        <f t="shared" si="646"/>
        <v>93.129399999995499</v>
      </c>
      <c r="Q208" s="712">
        <f>MIN(N208,Sheet1!AA208+AG208)</f>
        <v>46.649498997991088</v>
      </c>
      <c r="R208" s="712">
        <f t="shared" si="647"/>
        <v>14</v>
      </c>
      <c r="S208" s="721">
        <f>Sheet1!Y208*MGDtoCFS</f>
        <v>63.272299999999994</v>
      </c>
      <c r="T208" s="721">
        <f>Sheet1!Z208*MGDtoCFS</f>
        <v>30.475899999999996</v>
      </c>
      <c r="U208" s="721">
        <f>Sheet1!AA208*MGDtoCFS</f>
        <v>62.498799999990993</v>
      </c>
      <c r="V208" s="721">
        <f>Sheet1!AB208*MGDtoCFS</f>
        <v>30.630600000004502</v>
      </c>
      <c r="W208" s="721">
        <f>Sheet1!L208*MGDtoCFS</f>
        <v>0</v>
      </c>
      <c r="X208" s="697">
        <f t="shared" si="648"/>
        <v>0</v>
      </c>
      <c r="Y208" s="712">
        <f t="shared" si="649"/>
        <v>0</v>
      </c>
      <c r="Z208" s="712">
        <f t="shared" si="650"/>
        <v>0</v>
      </c>
      <c r="AA208" s="712">
        <f t="shared" si="651"/>
        <v>0</v>
      </c>
      <c r="AB208" s="712">
        <f>(VLOOKUP(Sheet1!CY208,hhdcap_wcm,4)-(((VLOOKUP(Sheet1!CY208,hhdcap_wcm,3)-Sheet1!CY208)/(VLOOKUP(Sheet1!CY208,hhdcap_wcm,3)-VLOOKUP(Sheet1!CY208,hhdcap_wcm,1)))*(VLOOKUP(Sheet1!CY208,hhdcap_wcm,4)-VLOOKUP(Sheet1!CY208,hhdcap_wcm,2))))</f>
        <v>46846.68000011109</v>
      </c>
      <c r="AC208" s="712">
        <f t="shared" si="652"/>
        <v>-229.53000000024622</v>
      </c>
      <c r="AD208" s="712">
        <f t="shared" si="653"/>
        <v>3259.4524119947846</v>
      </c>
      <c r="AE208" s="712">
        <f t="shared" si="654"/>
        <v>10000</v>
      </c>
      <c r="AF208" s="712">
        <f>Sheet1!BA208+Sheet1!BB208+Sheet1!BN208+BT208</f>
        <v>6.3</v>
      </c>
      <c r="AG208" s="712">
        <f t="shared" si="655"/>
        <v>6.24949899799691</v>
      </c>
      <c r="AH208" s="712">
        <f>Sheet1!BA208+BT208</f>
        <v>0</v>
      </c>
      <c r="AI208" s="712">
        <f>Sheet1!BA208+Sheet1!BB208+BT208</f>
        <v>0</v>
      </c>
      <c r="AJ208" s="712">
        <f>IF((Sheet1!AA208+AG208+AX208+AZ208+BQ208+BS208+CL208+CN208)&lt;=N208,AG208+AX208+AZ208+BQ208+BS208+CL208+CN208,N208-Sheet1!AA208)</f>
        <v>6.24949899799691</v>
      </c>
      <c r="AK208" s="712">
        <f>IF(DR208&lt;K208,0,MAX(Sheet1!AA208+AG208-15/36*K208-N208,Sheet1!ED208,0))</f>
        <v>0</v>
      </c>
      <c r="AL208" s="712">
        <f>IF(OR(B208&gt;=FT208,B208&lt;FS208),0,15/36*K208-MAX(0,64.6-(137.6-(Sheet1!AA208+Sheet1!AB208))))</f>
        <v>0</v>
      </c>
      <c r="AM208" s="712">
        <f>Sheet1!CX208-110</f>
        <v>484.46875</v>
      </c>
      <c r="AN208" s="712">
        <f>Sheet1!CW208-265</f>
        <v>728.91666666666663</v>
      </c>
      <c r="AO208" s="712">
        <f t="shared" si="733"/>
        <v>26.350501002008912</v>
      </c>
      <c r="AP208" s="712">
        <f t="shared" si="656"/>
        <v>0</v>
      </c>
      <c r="AQ208" s="712">
        <f t="shared" si="657"/>
        <v>0</v>
      </c>
      <c r="AR208" s="712">
        <f t="shared" si="658"/>
        <v>1358.1051716644936</v>
      </c>
      <c r="AS208" s="712"/>
      <c r="AT208" s="712">
        <f ca="1">IF(B208&gt;Summary!$A$1,#N/A,AR208*MGtoAF)</f>
        <v>4166.6666666666661</v>
      </c>
      <c r="AU208" s="712">
        <f>Sheet1!BG208+Sheet1!BH208+Sheet1!BI208-BC208</f>
        <v>1.57</v>
      </c>
      <c r="AV208" s="712">
        <f t="shared" si="659"/>
        <v>1.5574148296595476</v>
      </c>
      <c r="AW208" s="712">
        <f>IF(Sheet1!EL208="FM",BC208,0)</f>
        <v>0</v>
      </c>
      <c r="AX208" s="712">
        <f t="shared" si="660"/>
        <v>0</v>
      </c>
      <c r="AY208" s="712">
        <f>IF(Sheet1!EL208="OTHER",BC208,0)</f>
        <v>0</v>
      </c>
      <c r="AZ208" s="712">
        <f t="shared" si="661"/>
        <v>0</v>
      </c>
      <c r="BA208" s="712">
        <f t="shared" si="662"/>
        <v>1.57</v>
      </c>
      <c r="BB208" s="712">
        <f t="shared" si="663"/>
        <v>1.5574148296595476</v>
      </c>
      <c r="BC208" s="712">
        <f>IF(OR(Sheet1!EL208="FM", Sheet1!EL208="OTHER"),SUM(Sheet1!BG208:'Sheet1'!BI208),0)</f>
        <v>0</v>
      </c>
      <c r="BD208" s="697">
        <f>IF(AND($B208&gt;=$FL208,$B208&lt;=$FM208),MAX(AV208,Sheet1!EE208,0),MAX(AV208-(7/36)*$K208,0))</f>
        <v>0</v>
      </c>
      <c r="BE208" s="712">
        <f t="shared" si="664"/>
        <v>0</v>
      </c>
      <c r="BF208" s="697">
        <f t="shared" si="665"/>
        <v>1.5574148296595476</v>
      </c>
      <c r="BG208" s="697">
        <f>IF(AND($O208&gt;0,Sheet1!EI208=1),(1-($O208-Sheet1!$L208)/$O208)*BB208,0)</f>
        <v>0</v>
      </c>
      <c r="BH208" s="697">
        <f>IF(AND(Sheet1!$L208=0,Sheet1!$L207=0, Calculation!BA208&lt;Sheet1!$EE208-0.1,Sheet1!$EE208=Sheet1!$EE207,Sheet1!$EE208=Sheet1!$EE209),Sheet1!$EE208,BB208-BG208)</f>
        <v>2</v>
      </c>
      <c r="BI208" s="712"/>
      <c r="BJ208" s="712"/>
      <c r="BK208" s="712">
        <f t="shared" si="666"/>
        <v>633.7824134434303</v>
      </c>
      <c r="BL208" s="712"/>
      <c r="BM208" s="712">
        <f ca="1">IF(B208&gt;Summary!$A$1,#N/A,BK208*MGtoAF)</f>
        <v>1944.4444444444441</v>
      </c>
      <c r="BN208" s="712">
        <f>Sheet1!BC208+Sheet1!BD208+Sheet1!BE208+Sheet1!BF208-BW208-BX208</f>
        <v>2.54</v>
      </c>
      <c r="BO208" s="712">
        <f t="shared" si="667"/>
        <v>2.5196392785574844</v>
      </c>
      <c r="BP208" s="712">
        <f>IF(Sheet1!EM208="FM",BX208,0)</f>
        <v>0</v>
      </c>
      <c r="BQ208" s="712">
        <f t="shared" si="668"/>
        <v>0</v>
      </c>
      <c r="BR208" s="712">
        <f>IF(Sheet1!EM208="OTHER",BX208,0)</f>
        <v>0</v>
      </c>
      <c r="BS208" s="712">
        <f t="shared" si="669"/>
        <v>0</v>
      </c>
      <c r="BT208" s="712">
        <f t="shared" si="670"/>
        <v>0</v>
      </c>
      <c r="BU208" s="712">
        <f t="shared" si="671"/>
        <v>2.54</v>
      </c>
      <c r="BV208" s="712">
        <f t="shared" si="672"/>
        <v>2.5196392785574844</v>
      </c>
      <c r="BW208" s="712">
        <f>IF(Sheet1!EM208="CWA",SUM(Sheet1!BC208:'Sheet1'!BF208),0)</f>
        <v>0</v>
      </c>
      <c r="BX208" s="712">
        <f>IF(OR(Sheet1!EM208="FM", Sheet1!EM208="OTHER"),SUM(Sheet1!BC208:'Sheet1'!BF208),0)</f>
        <v>0</v>
      </c>
      <c r="BY208" s="697">
        <f>IF(AND($B208&gt;=$FL208,$B208&lt;=$FM208),MAX(BV208,Sheet1!EF208,0),MAX(BV208-(7/36)*$K208,0))</f>
        <v>0</v>
      </c>
      <c r="BZ208" s="712">
        <f t="shared" si="673"/>
        <v>0</v>
      </c>
      <c r="CA208" s="697">
        <f t="shared" si="674"/>
        <v>2.5196392785574844</v>
      </c>
      <c r="CB208" s="697">
        <f>IF(AND($O208&gt;0,Sheet1!EJ208=1),(1-($O208-Sheet1!$L208)/$O208)*BV208,0)</f>
        <v>0</v>
      </c>
      <c r="CC208" s="697">
        <f>IF(AND(Sheet1!$L208=0,Sheet1!$L207=0, Calculation!BU208&lt;Sheet1!EF208-0.1,Sheet1!EF208=Sheet1!EF207,Sheet1!EF208=Sheet1!EF209),Sheet1!EF208,BV208-CB208)</f>
        <v>2.5196392785574844</v>
      </c>
      <c r="CD208" s="697"/>
      <c r="CE208" s="712"/>
      <c r="CF208" s="712">
        <f t="shared" si="675"/>
        <v>633.7824134434303</v>
      </c>
      <c r="CG208" s="712"/>
      <c r="CH208" s="712">
        <f ca="1">IF(B208&gt;Summary!$A$1,#N/A,CF208*MGtoAF)</f>
        <v>1944.4444444444441</v>
      </c>
      <c r="CI208" s="712">
        <f>Sheet1!BK208+Sheet1!BL208+Sheet1!BM208-Sheet1!EN208-CQ208</f>
        <v>9.5500000000000007</v>
      </c>
      <c r="CJ208" s="712">
        <f t="shared" si="676"/>
        <v>9.4734468937889673</v>
      </c>
      <c r="CK208" s="712">
        <f>IF(Sheet1!EN208="FM",CQ208,0)</f>
        <v>0</v>
      </c>
      <c r="CL208" s="712">
        <f t="shared" si="677"/>
        <v>0</v>
      </c>
      <c r="CM208" s="712">
        <f>IF(Sheet1!EN208="OTHER",CQ208,0)</f>
        <v>0</v>
      </c>
      <c r="CN208" s="712">
        <f t="shared" si="678"/>
        <v>0</v>
      </c>
      <c r="CO208" s="712">
        <f t="shared" si="679"/>
        <v>9.5500000000000007</v>
      </c>
      <c r="CP208" s="712">
        <f t="shared" si="680"/>
        <v>9.4734468937889673</v>
      </c>
      <c r="CQ208" s="712">
        <f>IF(OR(Sheet1!EN208="FM", Sheet1!EN208="OTHER"),SUM(Sheet1!BK208:'Sheet1'!BM208),0)</f>
        <v>0</v>
      </c>
      <c r="CR208" s="697">
        <f>IF(AND($B208&gt;=$FL208,$B208&lt;=$FM208),MAX($CJ208,Sheet1!EG208,0),MAX($CJ208-(7/36)*$K208,0))</f>
        <v>0</v>
      </c>
      <c r="CS208" s="712">
        <f t="shared" si="681"/>
        <v>0</v>
      </c>
      <c r="CT208" s="697">
        <f t="shared" si="682"/>
        <v>9.4734468937889673</v>
      </c>
      <c r="CU208" s="697">
        <f>IF(AND($O208&gt;0,Sheet1!EK208=1),(1-($O208-Sheet1!$L208)/$O208)*CP208,0)</f>
        <v>0</v>
      </c>
      <c r="CV208" s="697">
        <f>IF(AND(Sheet1!$L208=0,Sheet1!$L207=0, Calculation!CO208&lt;Sheet1!$EG208-0.1,Sheet1!$EG208=Sheet1!$EG207,Sheet1!$EG208=Sheet1!$EG209),Sheet1!$EG208,CP208-CU208)</f>
        <v>9.4734468937889673</v>
      </c>
      <c r="CW208" s="697">
        <f t="shared" si="721"/>
        <v>0</v>
      </c>
      <c r="CX208" s="712">
        <f t="shared" si="683"/>
        <v>13.66</v>
      </c>
      <c r="CY208" s="712">
        <f t="shared" si="684"/>
        <v>633.7824134434303</v>
      </c>
      <c r="CZ208" s="712">
        <f t="shared" si="685"/>
        <v>13.550501002005999</v>
      </c>
      <c r="DA208" s="712">
        <f ca="1">IF(B208&gt;Summary!$A$1,#N/A,CY208*MGtoAF)</f>
        <v>1944.4444444444441</v>
      </c>
      <c r="DB208" s="712">
        <f t="shared" si="686"/>
        <v>13.66</v>
      </c>
      <c r="DC208" s="712">
        <f t="shared" si="687"/>
        <v>19.96</v>
      </c>
      <c r="DD208" s="712">
        <f>Sheet1!AB208-DC208</f>
        <v>-0.15999999999709047</v>
      </c>
      <c r="DE208" s="712">
        <f t="shared" si="688"/>
        <v>-8.0160320639824888E-3</v>
      </c>
      <c r="DF208" s="712">
        <f>(VLOOKUP(Sheet1!CY208,hhdcap_wcm,4)-(((VLOOKUP(Sheet1!CY208,hhdcap_wcm,3)-Sheet1!CY208)/(VLOOKUP(Sheet1!CY208,hhdcap_wcm,3)-VLOOKUP(Sheet1!CY208,hhdcap_wcm,1)))*(VLOOKUP(Sheet1!CY208,hhdcap_wcm,4)-VLOOKUP(Sheet1!CY208,hhdcap_wcm,2))))</f>
        <v>46846.68000011109</v>
      </c>
      <c r="DG208" s="712">
        <f t="shared" si="689"/>
        <v>-229.53000000024622</v>
      </c>
      <c r="DH208" s="712">
        <f t="shared" si="690"/>
        <v>-115.74886535564609</v>
      </c>
      <c r="DI208" s="712">
        <f>Sheet1!DW208*AFtoMG</f>
        <v>0</v>
      </c>
      <c r="DJ208" s="712">
        <f>Sheet1!DX208*AFtoMG</f>
        <v>0</v>
      </c>
      <c r="DK208" s="712">
        <f>Sheet1!DY208*AFtoMG</f>
        <v>0</v>
      </c>
      <c r="DL208" s="712">
        <f>Sheet1!DZ208*AFtoMG</f>
        <v>0</v>
      </c>
      <c r="DM208" s="712">
        <f t="shared" si="691"/>
        <v>0</v>
      </c>
      <c r="DN208" s="712">
        <f t="shared" si="692"/>
        <v>0</v>
      </c>
      <c r="DO208" s="712">
        <f t="shared" si="693"/>
        <v>3259.4524119947846</v>
      </c>
      <c r="DP208" s="712">
        <f t="shared" si="694"/>
        <v>10000</v>
      </c>
      <c r="DQ208" s="712"/>
      <c r="DR208" s="697">
        <f>IF(OR(B208&lt;FL208,B208&gt;FM208),(MIN(AV208+BO208+CJ208+MAX(Sheet1!AA208+AG208-73,0),K208)),0)</f>
        <v>13.550501002005999</v>
      </c>
      <c r="DS208" s="712"/>
      <c r="DT208" s="712">
        <f t="shared" si="695"/>
        <v>13.550501002005999</v>
      </c>
      <c r="DU208" s="712"/>
      <c r="DV208" s="712">
        <f>Sheet1!ED208+Sheet1!EE208+Sheet1!EF208+Sheet1!EG208</f>
        <v>14</v>
      </c>
      <c r="DW208" s="712"/>
      <c r="DX208" s="697">
        <f t="shared" si="696"/>
        <v>0</v>
      </c>
      <c r="DY208" s="712">
        <f>IF(Sheet1!FN208=1,SUM('Calculations II'!AT208:BA208)+'Calculations II'!BC208+Sheet1!BU208+'Calculations II'!BE208+AF208,SUM('Calculations II'!AT208:BA208)+'Calculations II'!BC208+Sheet1!BU208+'Calculations II'!BE208+AF208)</f>
        <v>52.694127999999999</v>
      </c>
      <c r="DZ208" s="712">
        <f>Sheet1!AA208+Sheet1!AB208+'Calculations II'!BC208</f>
        <v>70.379503999997098</v>
      </c>
      <c r="EA208" s="712"/>
      <c r="EB208" s="712"/>
      <c r="EC208" s="712">
        <f t="shared" si="697"/>
        <v>40737</v>
      </c>
      <c r="ED208" s="712">
        <f t="shared" si="698"/>
        <v>0</v>
      </c>
      <c r="EE208" s="712">
        <f t="shared" si="699"/>
        <v>0</v>
      </c>
      <c r="EF208" s="712">
        <f>-(VLOOKUP(Sheet1!BQ208,Lookup!$B$4:$J$236,2)-VLOOKUP(Sheet1!BQ207,Lookup!$B$4:$J$236,2))/1000000</f>
        <v>-1.9268000000000001</v>
      </c>
      <c r="EG208" s="712">
        <f>-(VLOOKUP(Sheet1!BR208,Lookup!$B$4:$J$236,3)-VLOOKUP(Sheet1!BR207,Lookup!$B$4:$J$236,3))/1000000</f>
        <v>-2.1974</v>
      </c>
      <c r="EH208" s="712">
        <f>-(VLOOKUP(Sheet1!BS208,Lookup!$B$4:$J$236,4)-VLOOKUP(Sheet1!BS207,Lookup!$B$4:$J$236,4))/1000000</f>
        <v>0</v>
      </c>
      <c r="EI208" s="697">
        <f t="shared" si="700"/>
        <v>-4.1242000000000001</v>
      </c>
      <c r="EJ208" s="712"/>
      <c r="EK208" s="712"/>
      <c r="EL208" s="712"/>
      <c r="EM208" s="712"/>
      <c r="EN208" s="712"/>
      <c r="EO208" s="712"/>
      <c r="EP208" s="498"/>
      <c r="EQ208" s="712"/>
      <c r="ET208" s="794">
        <f t="shared" si="720"/>
        <v>1138.2</v>
      </c>
      <c r="EU208" s="697">
        <f t="shared" si="731"/>
        <v>13601.280000055242</v>
      </c>
      <c r="EV208" s="795">
        <f t="shared" si="640"/>
        <v>22025.400000055848</v>
      </c>
      <c r="EW208" s="796" t="s">
        <v>757</v>
      </c>
      <c r="EX208" s="796" t="s">
        <v>757</v>
      </c>
      <c r="EY208" s="862">
        <f t="shared" si="732"/>
        <v>79.742813918348304</v>
      </c>
      <c r="EZ208" s="798">
        <v>23245.400000055848</v>
      </c>
      <c r="FA208" s="712">
        <v>23245.400000055848</v>
      </c>
      <c r="FB208" s="712"/>
      <c r="FC208" s="712"/>
      <c r="FD208" s="712"/>
      <c r="FE208" s="712">
        <f>O208+Sheet1!CO208</f>
        <v>7129.2999999999975</v>
      </c>
      <c r="FF208" s="712">
        <f>IF(Sheet1!AA208+AG208&lt;=Calculation!N208,AG208,Calculation!N208-Sheet1!AA208)</f>
        <v>6.24949899799691</v>
      </c>
      <c r="FG208" s="712">
        <f>(Sheet1!BP208+Sheet1!BO208)/694.4</f>
        <v>3.3057315668202767</v>
      </c>
      <c r="FH208" s="712"/>
      <c r="FI208" s="712"/>
      <c r="FJ208" s="712"/>
      <c r="FK208" s="712"/>
      <c r="FL208" s="714">
        <f t="shared" si="726"/>
        <v>40753</v>
      </c>
      <c r="FM208" s="714">
        <f t="shared" si="727"/>
        <v>40851</v>
      </c>
      <c r="FN208" s="712"/>
      <c r="FO208" s="712"/>
      <c r="FP208" s="712"/>
      <c r="FQ208" s="712"/>
      <c r="FR208" s="712"/>
      <c r="FS208" s="725">
        <f t="shared" si="728"/>
        <v>40603</v>
      </c>
      <c r="FT208" s="714">
        <f t="shared" si="729"/>
        <v>40709</v>
      </c>
      <c r="FU208" s="712">
        <f t="shared" si="728"/>
        <v>6518.9048239895692</v>
      </c>
      <c r="FV208" s="714">
        <f t="shared" si="730"/>
        <v>40722</v>
      </c>
      <c r="FW208" s="712">
        <f t="shared" si="728"/>
        <v>3259.4524119947846</v>
      </c>
      <c r="FX208" s="725">
        <f t="shared" si="728"/>
        <v>40851</v>
      </c>
      <c r="FZ208" s="697">
        <f t="shared" si="722"/>
        <v>0</v>
      </c>
      <c r="GA208" s="712" t="str">
        <f t="shared" si="701"/>
        <v/>
      </c>
      <c r="GB208" s="712">
        <f t="shared" si="702"/>
        <v>0</v>
      </c>
      <c r="GC208" s="712" t="str">
        <f t="shared" si="703"/>
        <v/>
      </c>
      <c r="GD208" s="712">
        <f>IF(GA208="P",Lookup!$M$12,IF(GA208="PP",Lookup!$M$13,IF(GA208="PPP",Lookup!$M$14,IF(GA208="T",Lookup!$M$15,IF(GA208="TP",Lookup!$M$16,IF(GA208="TPP",Lookup!$M$17,IF(GA208="TPPP",Lookup!$M$18,0)))))))*FZ208</f>
        <v>0</v>
      </c>
      <c r="GE208" s="712">
        <f t="shared" si="704"/>
        <v>0</v>
      </c>
      <c r="GF208" s="712">
        <f t="shared" si="705"/>
        <v>4166.6666666666661</v>
      </c>
      <c r="GG208" s="712">
        <f t="shared" si="706"/>
        <v>1358.1051716644936</v>
      </c>
      <c r="GH208" s="712"/>
      <c r="GI208" s="712">
        <f t="shared" si="707"/>
        <v>0</v>
      </c>
      <c r="GJ208" s="712" t="str">
        <f t="shared" si="708"/>
        <v/>
      </c>
      <c r="GK208" s="712">
        <f>IF(GA208="P",Lookup!$N$12,IF(GA208="PP",Lookup!$N$13,IF(GA208="PPP",Lookup!$N$14,IF(GA208="T",Lookup!$N$15,IF(GA208="TP",Lookup!$N$16,IF(GA208="TPP",Lookup!$N$17,IF(GA208="TPPP",Lookup!$N$18,0)))))))*FZ208</f>
        <v>0</v>
      </c>
      <c r="GL208" s="712">
        <f t="shared" si="709"/>
        <v>0</v>
      </c>
      <c r="GM208" s="712">
        <f t="shared" si="710"/>
        <v>1944.4444444444441</v>
      </c>
      <c r="GN208" s="712">
        <f t="shared" si="711"/>
        <v>633.7824134434303</v>
      </c>
      <c r="GO208" s="712"/>
      <c r="GP208" s="712">
        <f t="shared" si="712"/>
        <v>0</v>
      </c>
      <c r="GQ208" s="712" t="str">
        <f t="shared" si="713"/>
        <v/>
      </c>
      <c r="GR208" s="712">
        <f>IF(GA208="P",Lookup!$N$12,IF(GA208="PP",Lookup!$N$13,IF(GA208="PPP",Lookup!$N$14,IF(GA208="T",Lookup!$N$15,IF(GA208="TP",Lookup!$N$16,IF(GA208="TPP",Lookup!$N$17,IF(GA208="TPPP",Lookup!$N$18,0)))))))*FZ208</f>
        <v>0</v>
      </c>
      <c r="GS208" s="697">
        <f t="shared" si="724"/>
        <v>0</v>
      </c>
      <c r="GT208" s="712">
        <f t="shared" si="714"/>
        <v>1944.4444444444441</v>
      </c>
      <c r="GU208" s="712">
        <f t="shared" si="715"/>
        <v>633.7824134434303</v>
      </c>
      <c r="GV208" s="712"/>
      <c r="GW208" s="712">
        <f t="shared" si="716"/>
        <v>0</v>
      </c>
      <c r="GX208" s="712" t="str">
        <f t="shared" si="717"/>
        <v/>
      </c>
      <c r="GY208" s="712">
        <f>IF(GA208="P",Lookup!$N$12,IF(GA208="PP",Lookup!$N$13,IF(GA208="PPP",Lookup!$N$14,IF(GA208="T",Lookup!$N$15,IF(GA208="TP",Lookup!$N$16,IF(GA208="TPP",Lookup!$N$17,IF(GA208="TPPP",Lookup!$N$18,0)))))))*FZ208</f>
        <v>0</v>
      </c>
      <c r="GZ208" s="697">
        <f t="shared" si="725"/>
        <v>0</v>
      </c>
      <c r="HA208" s="712">
        <f t="shared" si="718"/>
        <v>1944.4444444444441</v>
      </c>
      <c r="HB208" s="712">
        <f t="shared" si="719"/>
        <v>633.7824134434303</v>
      </c>
      <c r="HC208" s="712"/>
    </row>
    <row r="209" spans="1:211">
      <c r="A209" s="773" t="s">
        <v>7</v>
      </c>
      <c r="B209" s="708">
        <v>40738</v>
      </c>
      <c r="C209" s="709">
        <v>0.5</v>
      </c>
      <c r="D209" s="675">
        <f t="shared" si="641"/>
        <v>300</v>
      </c>
      <c r="E209" s="675">
        <f t="shared" si="642"/>
        <v>250</v>
      </c>
      <c r="F209" s="675">
        <v>250</v>
      </c>
      <c r="G209" s="712">
        <f>DH209+Sheet1!CV209</f>
        <v>546.68387818193605</v>
      </c>
      <c r="H209" s="712">
        <f t="shared" si="643"/>
        <v>86.413258856803466</v>
      </c>
      <c r="I209" s="711">
        <f>MAX(Sheet1!Z209-AJ209+(Sheet1!CW209-E209)*CFStoMGD,0)</f>
        <v>394.99625672043078</v>
      </c>
      <c r="J209" s="720">
        <f>IF(AND(B209&gt;=Calculation!FS209,B209&lt;=Calculation!FT209),IF(Sheet1!CX209&gt;=Calculation!D209,64.64,0),MAX(Sheet1!Z209-AJ209+(Sheet1!CX209-D209)*CFStoMGD,0))</f>
        <v>155.28959005376421</v>
      </c>
      <c r="K209" s="697">
        <f t="shared" si="644"/>
        <v>64.64</v>
      </c>
      <c r="L209" s="712">
        <f>Sheet1!AA209+Sheet1!AB209-Sheet1!L209+(Sheet1!CW209-F209)*CFStoMGD</f>
        <v>443.00833333333094</v>
      </c>
      <c r="M209" s="712">
        <f t="shared" si="645"/>
        <v>360.44398803393955</v>
      </c>
      <c r="N209" s="712">
        <f>IF(Sheet1!CW209&gt;=F209,MIN(73,MIN(MAX(L209,0),MAX(M209,0))),0)</f>
        <v>73</v>
      </c>
      <c r="O209" s="721">
        <f>Sheet1!AA209+Sheet1!AB209</f>
        <v>61.059999999997672</v>
      </c>
      <c r="P209" s="721">
        <f t="shared" si="646"/>
        <v>94.459819999996398</v>
      </c>
      <c r="Q209" s="712">
        <f>MIN(N209,Sheet1!AA209+AG209)</f>
        <v>47.572076612902464</v>
      </c>
      <c r="R209" s="712">
        <f t="shared" si="647"/>
        <v>13.5</v>
      </c>
      <c r="S209" s="721">
        <f>Sheet1!Y209*MGDtoCFS</f>
        <v>63.365119999999997</v>
      </c>
      <c r="T209" s="721">
        <f>Sheet1!Z209*MGDtoCFS</f>
        <v>30.352139999999999</v>
      </c>
      <c r="U209" s="721">
        <f>Sheet1!AA209*MGDtoCFS</f>
        <v>63.427</v>
      </c>
      <c r="V209" s="721">
        <f>Sheet1!AB209*MGDtoCFS</f>
        <v>31.032819999996395</v>
      </c>
      <c r="W209" s="721">
        <f>Sheet1!L209*MGDtoCFS</f>
        <v>0</v>
      </c>
      <c r="X209" s="697">
        <f t="shared" si="648"/>
        <v>0</v>
      </c>
      <c r="Y209" s="712">
        <f t="shared" si="649"/>
        <v>0</v>
      </c>
      <c r="Z209" s="712">
        <f t="shared" si="650"/>
        <v>0</v>
      </c>
      <c r="AA209" s="712">
        <f t="shared" si="651"/>
        <v>0</v>
      </c>
      <c r="AB209" s="712">
        <f>(VLOOKUP(Sheet1!CY209,hhdcap_wcm,4)-(((VLOOKUP(Sheet1!CY209,hhdcap_wcm,3)-Sheet1!CY209)/(VLOOKUP(Sheet1!CY209,hhdcap_wcm,3)-VLOOKUP(Sheet1!CY209,hhdcap_wcm,1)))*(VLOOKUP(Sheet1!CY209,hhdcap_wcm,4)-VLOOKUP(Sheet1!CY209,hhdcap_wcm,2))))</f>
        <v>46715.520000111086</v>
      </c>
      <c r="AC209" s="712">
        <f t="shared" si="652"/>
        <v>-131.16000000000349</v>
      </c>
      <c r="AD209" s="712">
        <f t="shared" si="653"/>
        <v>3259.4524119947846</v>
      </c>
      <c r="AE209" s="712">
        <f t="shared" si="654"/>
        <v>10000</v>
      </c>
      <c r="AF209" s="712">
        <f>Sheet1!BA209+Sheet1!BB209+Sheet1!BN209+BT209</f>
        <v>6.5</v>
      </c>
      <c r="AG209" s="712">
        <f t="shared" si="655"/>
        <v>6.5720766129024621</v>
      </c>
      <c r="AH209" s="712">
        <f>Sheet1!BA209+BT209</f>
        <v>0</v>
      </c>
      <c r="AI209" s="712">
        <f>Sheet1!BA209+Sheet1!BB209+BT209</f>
        <v>0</v>
      </c>
      <c r="AJ209" s="712">
        <f>IF((Sheet1!AA209+AG209+AX209+AZ209+BQ209+BS209+CL209+CN209)&lt;=N209,AG209+AX209+AZ209+BQ209+BS209+CL209+CN209,N209-Sheet1!AA209)</f>
        <v>6.5720766129024621</v>
      </c>
      <c r="AK209" s="712">
        <f>IF(DR209&lt;K209,0,MAX(Sheet1!AA209+AG209-15/36*K209-N209,Sheet1!ED209,0))</f>
        <v>0</v>
      </c>
      <c r="AL209" s="712">
        <f>IF(OR(B209&gt;=FT209,B209&lt;FS209),0,15/36*K209-MAX(0,64.6-(137.6-(Sheet1!AA209+Sheet1!AB209))))</f>
        <v>0</v>
      </c>
      <c r="AM209" s="712">
        <f>Sheet1!CX209-110</f>
        <v>410.05208333333337</v>
      </c>
      <c r="AN209" s="712">
        <f>Sheet1!CW209-265</f>
        <v>575.88541666666663</v>
      </c>
      <c r="AO209" s="712">
        <f t="shared" si="733"/>
        <v>25.427923387097536</v>
      </c>
      <c r="AP209" s="712">
        <f t="shared" si="656"/>
        <v>0</v>
      </c>
      <c r="AQ209" s="712">
        <f t="shared" si="657"/>
        <v>0</v>
      </c>
      <c r="AR209" s="712">
        <f t="shared" si="658"/>
        <v>1358.1051716644936</v>
      </c>
      <c r="AS209" s="712"/>
      <c r="AT209" s="712">
        <f ca="1">IF(B209&gt;Summary!$A$1,#N/A,AR209*MGtoAF)</f>
        <v>4166.6666666666661</v>
      </c>
      <c r="AU209" s="712">
        <f>Sheet1!BG209+Sheet1!BH209+Sheet1!BI209-BC209</f>
        <v>1.57</v>
      </c>
      <c r="AV209" s="712">
        <f t="shared" si="659"/>
        <v>1.5874092741933639</v>
      </c>
      <c r="AW209" s="712">
        <f>IF(Sheet1!EL209="FM",BC209,0)</f>
        <v>0</v>
      </c>
      <c r="AX209" s="712">
        <f t="shared" si="660"/>
        <v>0</v>
      </c>
      <c r="AY209" s="712">
        <f>IF(Sheet1!EL209="OTHER",BC209,0)</f>
        <v>0</v>
      </c>
      <c r="AZ209" s="712">
        <f t="shared" si="661"/>
        <v>0</v>
      </c>
      <c r="BA209" s="712">
        <f t="shared" si="662"/>
        <v>1.57</v>
      </c>
      <c r="BB209" s="712">
        <f t="shared" si="663"/>
        <v>1.5874092741933639</v>
      </c>
      <c r="BC209" s="712">
        <f>IF(OR(Sheet1!EL209="FM", Sheet1!EL209="OTHER"),SUM(Sheet1!BG209:'Sheet1'!BI209),0)</f>
        <v>0</v>
      </c>
      <c r="BD209" s="697">
        <f>IF(AND($B209&gt;=$FL209,$B209&lt;=$FM209),MAX(AV209,Sheet1!EE209,0),MAX(AV209-(7/36)*$K209,0))</f>
        <v>0</v>
      </c>
      <c r="BE209" s="712">
        <f t="shared" si="664"/>
        <v>0</v>
      </c>
      <c r="BF209" s="697">
        <f t="shared" si="665"/>
        <v>1.5874092741933639</v>
      </c>
      <c r="BG209" s="697">
        <f>IF(AND($O209&gt;0,Sheet1!EI209=1),(1-($O209-Sheet1!$L209)/$O209)*BB209,0)</f>
        <v>0</v>
      </c>
      <c r="BH209" s="697">
        <f>IF(AND(Sheet1!$L209=0,Sheet1!$L208=0, Calculation!BA209&lt;Sheet1!$EE209-0.1,Sheet1!$EE209=Sheet1!$EE208,Sheet1!$EE209=Sheet1!$EE210),Sheet1!$EE209,BB209-BG209)</f>
        <v>2</v>
      </c>
      <c r="BI209" s="712"/>
      <c r="BJ209" s="712"/>
      <c r="BK209" s="712">
        <f t="shared" si="666"/>
        <v>633.7824134434303</v>
      </c>
      <c r="BL209" s="712"/>
      <c r="BM209" s="712">
        <f ca="1">IF(B209&gt;Summary!$A$1,#N/A,BK209*MGtoAF)</f>
        <v>1944.4444444444441</v>
      </c>
      <c r="BN209" s="712">
        <f>Sheet1!BC209+Sheet1!BD209+Sheet1!BE209+Sheet1!BF209-BW209-BX209</f>
        <v>2.2400000000000002</v>
      </c>
      <c r="BO209" s="712">
        <f t="shared" si="667"/>
        <v>2.2648387096771563</v>
      </c>
      <c r="BP209" s="712">
        <f>IF(Sheet1!EM209="FM",BX209,0)</f>
        <v>0</v>
      </c>
      <c r="BQ209" s="712">
        <f t="shared" si="668"/>
        <v>0</v>
      </c>
      <c r="BR209" s="712">
        <f>IF(Sheet1!EM209="OTHER",BX209,0)</f>
        <v>0</v>
      </c>
      <c r="BS209" s="712">
        <f t="shared" si="669"/>
        <v>0</v>
      </c>
      <c r="BT209" s="712">
        <f t="shared" si="670"/>
        <v>0</v>
      </c>
      <c r="BU209" s="712">
        <f t="shared" si="671"/>
        <v>2.2400000000000002</v>
      </c>
      <c r="BV209" s="712">
        <f t="shared" si="672"/>
        <v>2.2648387096771563</v>
      </c>
      <c r="BW209" s="712">
        <f>IF(Sheet1!EM209="CWA",SUM(Sheet1!BC209:'Sheet1'!BF209),0)</f>
        <v>0</v>
      </c>
      <c r="BX209" s="712">
        <f>IF(OR(Sheet1!EM209="FM", Sheet1!EM209="OTHER"),SUM(Sheet1!BC209:'Sheet1'!BF209),0)</f>
        <v>0</v>
      </c>
      <c r="BY209" s="697">
        <f>IF(AND($B209&gt;=$FL209,$B209&lt;=$FM209),MAX(BV209,Sheet1!EF209,0),MAX(BV209-(7/36)*$K209,0))</f>
        <v>0</v>
      </c>
      <c r="BZ209" s="712">
        <f t="shared" si="673"/>
        <v>0</v>
      </c>
      <c r="CA209" s="697">
        <f t="shared" si="674"/>
        <v>2.2648387096771563</v>
      </c>
      <c r="CB209" s="697">
        <f>IF(AND($O209&gt;0,Sheet1!EJ209=1),(1-($O209-Sheet1!$L209)/$O209)*BV209,0)</f>
        <v>0</v>
      </c>
      <c r="CC209" s="697">
        <f>IF(AND(Sheet1!$L209=0,Sheet1!$L208=0, Calculation!BU209&lt;Sheet1!EF209-0.1,Sheet1!EF209=Sheet1!EF208,Sheet1!EF209=Sheet1!EF210),Sheet1!EF209,BV209-CB209)</f>
        <v>2.2648387096771563</v>
      </c>
      <c r="CD209" s="697"/>
      <c r="CE209" s="712"/>
      <c r="CF209" s="712">
        <f t="shared" si="675"/>
        <v>633.7824134434303</v>
      </c>
      <c r="CG209" s="712"/>
      <c r="CH209" s="712">
        <f ca="1">IF(B209&gt;Summary!$A$1,#N/A,CF209*MGtoAF)</f>
        <v>1944.4444444444441</v>
      </c>
      <c r="CI209" s="712">
        <f>Sheet1!BK209+Sheet1!BL209+Sheet1!BM209-Sheet1!EN209-CQ209</f>
        <v>9.5300000000000011</v>
      </c>
      <c r="CJ209" s="712">
        <f t="shared" si="676"/>
        <v>9.6356754032246883</v>
      </c>
      <c r="CK209" s="712">
        <f>IF(Sheet1!EN209="FM",CQ209,0)</f>
        <v>0</v>
      </c>
      <c r="CL209" s="712">
        <f t="shared" si="677"/>
        <v>0</v>
      </c>
      <c r="CM209" s="712">
        <f>IF(Sheet1!EN209="OTHER",CQ209,0)</f>
        <v>0</v>
      </c>
      <c r="CN209" s="712">
        <f t="shared" si="678"/>
        <v>0</v>
      </c>
      <c r="CO209" s="712">
        <f t="shared" si="679"/>
        <v>9.5300000000000011</v>
      </c>
      <c r="CP209" s="712">
        <f t="shared" si="680"/>
        <v>9.6356754032246883</v>
      </c>
      <c r="CQ209" s="712">
        <f>IF(OR(Sheet1!EN209="FM", Sheet1!EN209="OTHER"),SUM(Sheet1!BK209:'Sheet1'!BM209),0)</f>
        <v>0</v>
      </c>
      <c r="CR209" s="697">
        <f>IF(AND($B209&gt;=$FL209,$B209&lt;=$FM209),MAX($CJ209,Sheet1!EG209,0),MAX($CJ209-(7/36)*$K209,0))</f>
        <v>0</v>
      </c>
      <c r="CS209" s="712">
        <f t="shared" si="681"/>
        <v>0</v>
      </c>
      <c r="CT209" s="697">
        <f t="shared" si="682"/>
        <v>9.6356754032246883</v>
      </c>
      <c r="CU209" s="697">
        <f>IF(AND($O209&gt;0,Sheet1!EK209=1),(1-($O209-Sheet1!$L209)/$O209)*CP209,0)</f>
        <v>0</v>
      </c>
      <c r="CV209" s="697">
        <f>IF(AND(Sheet1!$L209=0,Sheet1!$L208=0, Calculation!CO209&lt;Sheet1!$EG209-0.1,Sheet1!$EG209=Sheet1!$EG208,Sheet1!$EG209=Sheet1!$EG210),Sheet1!$EG209,CP209-CU209)</f>
        <v>9.6356754032246883</v>
      </c>
      <c r="CW209" s="697">
        <f t="shared" si="721"/>
        <v>0</v>
      </c>
      <c r="CX209" s="712">
        <f t="shared" si="683"/>
        <v>13.340000000000002</v>
      </c>
      <c r="CY209" s="712">
        <f t="shared" si="684"/>
        <v>633.7824134434303</v>
      </c>
      <c r="CZ209" s="712">
        <f t="shared" si="685"/>
        <v>13.487923387095208</v>
      </c>
      <c r="DA209" s="712">
        <f ca="1">IF(B209&gt;Summary!$A$1,#N/A,CY209*MGtoAF)</f>
        <v>1944.4444444444441</v>
      </c>
      <c r="DB209" s="712">
        <f t="shared" si="686"/>
        <v>13.340000000000002</v>
      </c>
      <c r="DC209" s="712">
        <f t="shared" si="687"/>
        <v>19.840000000000003</v>
      </c>
      <c r="DD209" s="712">
        <f>Sheet1!AB209-DC209</f>
        <v>0.21999999999766828</v>
      </c>
      <c r="DE209" s="712">
        <f t="shared" si="688"/>
        <v>1.1088709677301826E-2</v>
      </c>
      <c r="DF209" s="712">
        <f>(VLOOKUP(Sheet1!CY209,hhdcap_wcm,4)-(((VLOOKUP(Sheet1!CY209,hhdcap_wcm,3)-Sheet1!CY209)/(VLOOKUP(Sheet1!CY209,hhdcap_wcm,3)-VLOOKUP(Sheet1!CY209,hhdcap_wcm,1)))*(VLOOKUP(Sheet1!CY209,hhdcap_wcm,4)-VLOOKUP(Sheet1!CY209,hhdcap_wcm,2))))</f>
        <v>46715.520000111086</v>
      </c>
      <c r="DG209" s="712">
        <f t="shared" si="689"/>
        <v>-131.16000000000349</v>
      </c>
      <c r="DH209" s="712">
        <f t="shared" si="690"/>
        <v>-66.142208774585711</v>
      </c>
      <c r="DI209" s="712">
        <f>Sheet1!DW209*AFtoMG</f>
        <v>0</v>
      </c>
      <c r="DJ209" s="712">
        <f>Sheet1!DX209*AFtoMG</f>
        <v>0</v>
      </c>
      <c r="DK209" s="712">
        <f>Sheet1!DY209*AFtoMG</f>
        <v>0</v>
      </c>
      <c r="DL209" s="712">
        <f>Sheet1!DZ209*AFtoMG</f>
        <v>0</v>
      </c>
      <c r="DM209" s="712">
        <f t="shared" si="691"/>
        <v>0</v>
      </c>
      <c r="DN209" s="712">
        <f t="shared" si="692"/>
        <v>0</v>
      </c>
      <c r="DO209" s="712">
        <f t="shared" si="693"/>
        <v>3259.4524119947846</v>
      </c>
      <c r="DP209" s="712">
        <f t="shared" si="694"/>
        <v>10000</v>
      </c>
      <c r="DQ209" s="712"/>
      <c r="DR209" s="697">
        <f>IF(OR(B209&lt;FL209,B209&gt;FM209),(MIN(AV209+BO209+CJ209+MAX(Sheet1!AA209+AG209-73,0),K209)),0)</f>
        <v>13.487923387095208</v>
      </c>
      <c r="DS209" s="712"/>
      <c r="DT209" s="712">
        <f t="shared" si="695"/>
        <v>13.487923387095208</v>
      </c>
      <c r="DU209" s="712"/>
      <c r="DV209" s="712">
        <f>Sheet1!ED209+Sheet1!EE209+Sheet1!EF209+Sheet1!EG209</f>
        <v>13.5</v>
      </c>
      <c r="DW209" s="712"/>
      <c r="DX209" s="697">
        <f t="shared" si="696"/>
        <v>0</v>
      </c>
      <c r="DY209" s="712">
        <f>IF(Sheet1!FN209=1,SUM('Calculations II'!AT209:BA209)+'Calculations II'!BC209+Sheet1!BU209+'Calculations II'!BE209+AF209,SUM('Calculations II'!AT209:BA209)+'Calculations II'!BC209+Sheet1!BU209+'Calculations II'!BE209+AF209)</f>
        <v>49.556496000000003</v>
      </c>
      <c r="DZ209" s="712">
        <f>Sheet1!AA209+Sheet1!AB209+'Calculations II'!BC209</f>
        <v>79.322079999997669</v>
      </c>
      <c r="EA209" s="712"/>
      <c r="EB209" s="712"/>
      <c r="EC209" s="712">
        <f t="shared" si="697"/>
        <v>40738</v>
      </c>
      <c r="ED209" s="712">
        <f t="shared" si="698"/>
        <v>0</v>
      </c>
      <c r="EE209" s="712">
        <f t="shared" si="699"/>
        <v>0</v>
      </c>
      <c r="EF209" s="712">
        <f>-(VLOOKUP(Sheet1!BQ209,Lookup!$B$4:$J$236,2)-VLOOKUP(Sheet1!BQ208,Lookup!$B$4:$J$236,2))/1000000</f>
        <v>2.4744000000000002</v>
      </c>
      <c r="EG209" s="712">
        <f>-(VLOOKUP(Sheet1!BR209,Lookup!$B$4:$J$236,3)-VLOOKUP(Sheet1!BR208,Lookup!$B$4:$J$236,3))/1000000</f>
        <v>2.7442000000000002</v>
      </c>
      <c r="EH209" s="712">
        <f>-(VLOOKUP(Sheet1!BS209,Lookup!$B$4:$J$236,4)-VLOOKUP(Sheet1!BS208,Lookup!$B$4:$J$236,4))/1000000</f>
        <v>0</v>
      </c>
      <c r="EI209" s="697">
        <f t="shared" si="700"/>
        <v>5.2186000000000003</v>
      </c>
      <c r="EJ209" s="712"/>
      <c r="EK209" s="712"/>
      <c r="EL209" s="712"/>
      <c r="EM209" s="712"/>
      <c r="EN209" s="712"/>
      <c r="EO209" s="712"/>
      <c r="EP209" s="498"/>
      <c r="EQ209" s="712"/>
      <c r="ET209" s="794">
        <f t="shared" si="720"/>
        <v>1138.0999999999999</v>
      </c>
      <c r="EU209" s="697">
        <f t="shared" si="731"/>
        <v>13470.120000055238</v>
      </c>
      <c r="EV209" s="795">
        <f t="shared" si="640"/>
        <v>22025.400000055848</v>
      </c>
      <c r="EW209" s="796" t="s">
        <v>757</v>
      </c>
      <c r="EX209" s="796" t="s">
        <v>757</v>
      </c>
      <c r="EY209" s="862">
        <f t="shared" si="732"/>
        <v>66.142208774585725</v>
      </c>
      <c r="EZ209" s="798">
        <v>23245.400000055848</v>
      </c>
      <c r="FA209" s="712">
        <v>23245.400000055848</v>
      </c>
      <c r="FB209" s="712"/>
      <c r="FC209" s="712"/>
      <c r="FD209" s="712"/>
      <c r="FE209" s="712">
        <f>O209+Sheet1!CO209</f>
        <v>12743.059999999998</v>
      </c>
      <c r="FF209" s="712">
        <f>IF(Sheet1!AA209+AG209&lt;=Calculation!N209,AG209,Calculation!N209-Sheet1!AA209)</f>
        <v>6.5720766129024621</v>
      </c>
      <c r="FG209" s="712">
        <f>(Sheet1!BP209+Sheet1!BO209)/694.4</f>
        <v>3.0145449308755765</v>
      </c>
      <c r="FH209" s="712"/>
      <c r="FI209" s="712"/>
      <c r="FJ209" s="712"/>
      <c r="FK209" s="712"/>
      <c r="FL209" s="714">
        <f t="shared" si="726"/>
        <v>40753</v>
      </c>
      <c r="FM209" s="714">
        <f t="shared" si="727"/>
        <v>40851</v>
      </c>
      <c r="FN209" s="712"/>
      <c r="FO209" s="712"/>
      <c r="FP209" s="712"/>
      <c r="FQ209" s="712"/>
      <c r="FR209" s="712"/>
      <c r="FS209" s="725">
        <f t="shared" si="728"/>
        <v>40603</v>
      </c>
      <c r="FT209" s="714">
        <f t="shared" si="729"/>
        <v>40709</v>
      </c>
      <c r="FU209" s="712">
        <f t="shared" si="728"/>
        <v>6518.9048239895692</v>
      </c>
      <c r="FV209" s="714">
        <f t="shared" si="730"/>
        <v>40722</v>
      </c>
      <c r="FW209" s="712">
        <f t="shared" si="728"/>
        <v>3259.4524119947846</v>
      </c>
      <c r="FX209" s="725">
        <f t="shared" si="728"/>
        <v>40851</v>
      </c>
      <c r="FZ209" s="697">
        <f t="shared" si="722"/>
        <v>0</v>
      </c>
      <c r="GA209" s="712" t="str">
        <f t="shared" si="701"/>
        <v/>
      </c>
      <c r="GB209" s="712">
        <f t="shared" si="702"/>
        <v>0</v>
      </c>
      <c r="GC209" s="712" t="str">
        <f t="shared" si="703"/>
        <v/>
      </c>
      <c r="GD209" s="712">
        <f>IF(GA209="P",Lookup!$M$12,IF(GA209="PP",Lookup!$M$13,IF(GA209="PPP",Lookup!$M$14,IF(GA209="T",Lookup!$M$15,IF(GA209="TP",Lookup!$M$16,IF(GA209="TPP",Lookup!$M$17,IF(GA209="TPPP",Lookup!$M$18,0)))))))*FZ209</f>
        <v>0</v>
      </c>
      <c r="GE209" s="712">
        <f t="shared" si="704"/>
        <v>0</v>
      </c>
      <c r="GF209" s="712">
        <f t="shared" si="705"/>
        <v>4166.6666666666661</v>
      </c>
      <c r="GG209" s="712">
        <f t="shared" si="706"/>
        <v>1358.1051716644936</v>
      </c>
      <c r="GH209" s="712"/>
      <c r="GI209" s="712">
        <f t="shared" si="707"/>
        <v>0</v>
      </c>
      <c r="GJ209" s="712" t="str">
        <f t="shared" si="708"/>
        <v/>
      </c>
      <c r="GK209" s="712">
        <f>IF(GA209="P",Lookup!$N$12,IF(GA209="PP",Lookup!$N$13,IF(GA209="PPP",Lookup!$N$14,IF(GA209="T",Lookup!$N$15,IF(GA209="TP",Lookup!$N$16,IF(GA209="TPP",Lookup!$N$17,IF(GA209="TPPP",Lookup!$N$18,0)))))))*FZ209</f>
        <v>0</v>
      </c>
      <c r="GL209" s="712">
        <f t="shared" si="709"/>
        <v>0</v>
      </c>
      <c r="GM209" s="712">
        <f t="shared" si="710"/>
        <v>1944.4444444444441</v>
      </c>
      <c r="GN209" s="712">
        <f t="shared" si="711"/>
        <v>633.7824134434303</v>
      </c>
      <c r="GO209" s="712"/>
      <c r="GP209" s="712">
        <f t="shared" si="712"/>
        <v>0</v>
      </c>
      <c r="GQ209" s="712" t="str">
        <f t="shared" si="713"/>
        <v/>
      </c>
      <c r="GR209" s="712">
        <f>IF(GA209="P",Lookup!$N$12,IF(GA209="PP",Lookup!$N$13,IF(GA209="PPP",Lookup!$N$14,IF(GA209="T",Lookup!$N$15,IF(GA209="TP",Lookup!$N$16,IF(GA209="TPP",Lookup!$N$17,IF(GA209="TPPP",Lookup!$N$18,0)))))))*FZ209</f>
        <v>0</v>
      </c>
      <c r="GS209" s="697">
        <f t="shared" si="724"/>
        <v>0</v>
      </c>
      <c r="GT209" s="712">
        <f t="shared" si="714"/>
        <v>1944.4444444444441</v>
      </c>
      <c r="GU209" s="712">
        <f t="shared" si="715"/>
        <v>633.7824134434303</v>
      </c>
      <c r="GV209" s="712"/>
      <c r="GW209" s="712">
        <f t="shared" si="716"/>
        <v>0</v>
      </c>
      <c r="GX209" s="712" t="str">
        <f t="shared" si="717"/>
        <v/>
      </c>
      <c r="GY209" s="712">
        <f>IF(GA209="P",Lookup!$N$12,IF(GA209="PP",Lookup!$N$13,IF(GA209="PPP",Lookup!$N$14,IF(GA209="T",Lookup!$N$15,IF(GA209="TP",Lookup!$N$16,IF(GA209="TPP",Lookup!$N$17,IF(GA209="TPPP",Lookup!$N$18,0)))))))*FZ209</f>
        <v>0</v>
      </c>
      <c r="GZ209" s="697">
        <f t="shared" si="725"/>
        <v>0</v>
      </c>
      <c r="HA209" s="712">
        <f t="shared" si="718"/>
        <v>1944.4444444444441</v>
      </c>
      <c r="HB209" s="712">
        <f t="shared" si="719"/>
        <v>633.7824134434303</v>
      </c>
      <c r="HC209" s="712"/>
    </row>
    <row r="210" spans="1:211">
      <c r="A210" s="773" t="s">
        <v>8</v>
      </c>
      <c r="B210" s="708">
        <v>40739</v>
      </c>
      <c r="C210" s="719">
        <v>0.5</v>
      </c>
      <c r="D210" s="675">
        <f t="shared" si="641"/>
        <v>200</v>
      </c>
      <c r="E210" s="675">
        <f t="shared" si="642"/>
        <v>400</v>
      </c>
      <c r="F210" s="675">
        <v>250</v>
      </c>
      <c r="G210" s="712">
        <f>DH210+Sheet1!CV210</f>
        <v>496.73535924914614</v>
      </c>
      <c r="H210" s="712">
        <f t="shared" si="643"/>
        <v>118.76653621864806</v>
      </c>
      <c r="I210" s="711">
        <f>MAX(Sheet1!Z210-AJ210+(Sheet1!CW210-E210)*CFStoMGD,0)</f>
        <v>297.25430457056677</v>
      </c>
      <c r="J210" s="720">
        <f>IF(AND(B210&gt;=Calculation!FS210,B210&lt;=Calculation!FT210),IF(Sheet1!CX210&gt;=Calculation!D210,64.64,0),MAX(Sheet1!Z210-AJ210+(Sheet1!CX210-D210)*CFStoMGD,0))</f>
        <v>232.86343790390006</v>
      </c>
      <c r="K210" s="697">
        <f t="shared" si="644"/>
        <v>64.64</v>
      </c>
      <c r="L210" s="712">
        <f>Sheet1!AA210+Sheet1!AB210-Sheet1!L210+(Sheet1!CW210-F210)*CFStoMGD</f>
        <v>441.94440000001049</v>
      </c>
      <c r="M210" s="712">
        <f t="shared" si="645"/>
        <v>327.51153094302106</v>
      </c>
      <c r="N210" s="712">
        <f>IF(Sheet1!CW210&gt;=F210,MIN(73,MIN(MAX(L210,0),MAX(M210,0))),0)</f>
        <v>73</v>
      </c>
      <c r="O210" s="721">
        <f>Sheet1!AA210+Sheet1!AB210</f>
        <v>60.730000000010477</v>
      </c>
      <c r="P210" s="721">
        <f t="shared" si="646"/>
        <v>93.949310000016197</v>
      </c>
      <c r="Q210" s="712">
        <f>MIN(N210,Sheet1!AA210+AG210)</f>
        <v>47.50009542944138</v>
      </c>
      <c r="R210" s="712">
        <f t="shared" si="647"/>
        <v>13.5</v>
      </c>
      <c r="S210" s="721">
        <f>Sheet1!Y210*MGDtoCFS</f>
        <v>62.916490000000003</v>
      </c>
      <c r="T210" s="721">
        <f>Sheet1!Z210*MGDtoCFS</f>
        <v>30.49137</v>
      </c>
      <c r="U210" s="721">
        <f>Sheet1!AA210*MGDtoCFS</f>
        <v>63.1021300000126</v>
      </c>
      <c r="V210" s="721">
        <f>Sheet1!AB210*MGDtoCFS</f>
        <v>30.8471800000036</v>
      </c>
      <c r="W210" s="721">
        <f>Sheet1!L210*MGDtoCFS</f>
        <v>0</v>
      </c>
      <c r="X210" s="697">
        <f t="shared" si="648"/>
        <v>0</v>
      </c>
      <c r="Y210" s="712">
        <f t="shared" si="649"/>
        <v>0</v>
      </c>
      <c r="Z210" s="712">
        <f t="shared" si="650"/>
        <v>0</v>
      </c>
      <c r="AA210" s="712">
        <f t="shared" si="651"/>
        <v>0</v>
      </c>
      <c r="AB210" s="712">
        <f>(VLOOKUP(Sheet1!CY210,hhdcap_wcm,4)-(((VLOOKUP(Sheet1!CY210,hhdcap_wcm,3)-Sheet1!CY210)/(VLOOKUP(Sheet1!CY210,hhdcap_wcm,3)-VLOOKUP(Sheet1!CY210,hhdcap_wcm,1)))*(VLOOKUP(Sheet1!CY210,hhdcap_wcm,4)-VLOOKUP(Sheet1!CY210,hhdcap_wcm,2))))</f>
        <v>46431.340000110838</v>
      </c>
      <c r="AC210" s="712">
        <f t="shared" si="652"/>
        <v>-284.18000000024767</v>
      </c>
      <c r="AD210" s="712">
        <f t="shared" si="653"/>
        <v>3259.4524119947846</v>
      </c>
      <c r="AE210" s="712">
        <f t="shared" si="654"/>
        <v>10000</v>
      </c>
      <c r="AF210" s="712">
        <f>Sheet1!BA210+Sheet1!BB210+Sheet1!BN210+BT210</f>
        <v>6.7</v>
      </c>
      <c r="AG210" s="712">
        <f t="shared" si="655"/>
        <v>6.7100954294332293</v>
      </c>
      <c r="AH210" s="712">
        <f>Sheet1!BA210+BT210</f>
        <v>0</v>
      </c>
      <c r="AI210" s="712">
        <f>Sheet1!BA210+Sheet1!BB210+BT210</f>
        <v>0</v>
      </c>
      <c r="AJ210" s="712">
        <f>IF((Sheet1!AA210+AG210+AX210+AZ210+BQ210+BS210+CL210+CN210)&lt;=N210,AG210+AX210+AZ210+BQ210+BS210+CL210+CN210,N210-Sheet1!AA210)</f>
        <v>6.7100954294332293</v>
      </c>
      <c r="AK210" s="712">
        <f>IF(DR210&lt;K210,0,MAX(Sheet1!AA210+AG210-15/36*K210-N210,Sheet1!ED210,0))</f>
        <v>0</v>
      </c>
      <c r="AL210" s="712">
        <f>IF(OR(B210&gt;=FT210,B210&lt;FS210),0,15/36*K210-MAX(0,64.6-(137.6-(Sheet1!AA210+Sheet1!AB210))))</f>
        <v>0</v>
      </c>
      <c r="AM210" s="712">
        <f>Sheet1!CX210-110</f>
        <v>430.13541666666663</v>
      </c>
      <c r="AN210" s="712">
        <f>Sheet1!CW210-265</f>
        <v>574.75</v>
      </c>
      <c r="AO210" s="712">
        <f t="shared" si="733"/>
        <v>25.49990457055862</v>
      </c>
      <c r="AP210" s="712">
        <f t="shared" si="656"/>
        <v>0</v>
      </c>
      <c r="AQ210" s="712">
        <f t="shared" si="657"/>
        <v>0</v>
      </c>
      <c r="AR210" s="712">
        <f t="shared" si="658"/>
        <v>1358.1051716644936</v>
      </c>
      <c r="AS210" s="712"/>
      <c r="AT210" s="712">
        <f ca="1">IF(B210&gt;Summary!$A$1,#N/A,AR210*MGtoAF)</f>
        <v>4166.6666666666661</v>
      </c>
      <c r="AU210" s="712">
        <f>Sheet1!BG210+Sheet1!BH210+Sheet1!BI210-BC210</f>
        <v>1.58</v>
      </c>
      <c r="AV210" s="712">
        <f t="shared" si="659"/>
        <v>1.5823807132096273</v>
      </c>
      <c r="AW210" s="712">
        <f>IF(Sheet1!EL210="FM",BC210,0)</f>
        <v>0</v>
      </c>
      <c r="AX210" s="712">
        <f t="shared" si="660"/>
        <v>0</v>
      </c>
      <c r="AY210" s="712">
        <f>IF(Sheet1!EL210="OTHER",BC210,0)</f>
        <v>0</v>
      </c>
      <c r="AZ210" s="712">
        <f t="shared" si="661"/>
        <v>0</v>
      </c>
      <c r="BA210" s="712">
        <f t="shared" si="662"/>
        <v>1.58</v>
      </c>
      <c r="BB210" s="712">
        <f t="shared" si="663"/>
        <v>1.5823807132096273</v>
      </c>
      <c r="BC210" s="712">
        <f>IF(OR(Sheet1!EL210="FM", Sheet1!EL210="OTHER"),SUM(Sheet1!BG210:'Sheet1'!BI210),0)</f>
        <v>0</v>
      </c>
      <c r="BD210" s="697">
        <f>IF(AND($B210&gt;=$FL210,$B210&lt;=$FM210),MAX(AV210,Sheet1!EE210,0),MAX(AV210-(7/36)*$K210,0))</f>
        <v>0</v>
      </c>
      <c r="BE210" s="712">
        <f t="shared" si="664"/>
        <v>0</v>
      </c>
      <c r="BF210" s="697">
        <f t="shared" si="665"/>
        <v>1.5823807132096273</v>
      </c>
      <c r="BG210" s="697">
        <f>IF(AND($O210&gt;0,Sheet1!EI210=1),(1-($O210-Sheet1!$L210)/$O210)*BB210,0)</f>
        <v>0</v>
      </c>
      <c r="BH210" s="697">
        <f>IF(AND(Sheet1!$L210=0,Sheet1!$L209=0, Calculation!BA210&lt;Sheet1!$EE210-0.1,Sheet1!$EE210=Sheet1!$EE209,Sheet1!$EE210=Sheet1!$EE211),Sheet1!$EE210,BB210-BG210)</f>
        <v>2</v>
      </c>
      <c r="BI210" s="712"/>
      <c r="BJ210" s="712"/>
      <c r="BK210" s="712">
        <f t="shared" si="666"/>
        <v>633.7824134434303</v>
      </c>
      <c r="BL210" s="712"/>
      <c r="BM210" s="712">
        <f ca="1">IF(B210&gt;Summary!$A$1,#N/A,BK210*MGtoAF)</f>
        <v>1944.4444444444441</v>
      </c>
      <c r="BN210" s="712">
        <f>Sheet1!BC210+Sheet1!BD210+Sheet1!BE210+Sheet1!BF210-BW210-BX210</f>
        <v>2.09</v>
      </c>
      <c r="BO210" s="712">
        <f t="shared" si="667"/>
        <v>2.0931491712709627</v>
      </c>
      <c r="BP210" s="712">
        <f>IF(Sheet1!EM210="FM",BX210,0)</f>
        <v>0</v>
      </c>
      <c r="BQ210" s="712">
        <f t="shared" si="668"/>
        <v>0</v>
      </c>
      <c r="BR210" s="712">
        <f>IF(Sheet1!EM210="OTHER",BX210,0)</f>
        <v>0</v>
      </c>
      <c r="BS210" s="712">
        <f t="shared" si="669"/>
        <v>0</v>
      </c>
      <c r="BT210" s="712">
        <f t="shared" si="670"/>
        <v>0</v>
      </c>
      <c r="BU210" s="712">
        <f t="shared" si="671"/>
        <v>2.09</v>
      </c>
      <c r="BV210" s="712">
        <f t="shared" si="672"/>
        <v>2.0931491712709627</v>
      </c>
      <c r="BW210" s="712">
        <f>IF(Sheet1!EM210="CWA",SUM(Sheet1!BC210:'Sheet1'!BF210),0)</f>
        <v>0</v>
      </c>
      <c r="BX210" s="712">
        <f>IF(OR(Sheet1!EM210="FM", Sheet1!EM210="OTHER"),SUM(Sheet1!BC210:'Sheet1'!BF210),0)</f>
        <v>0</v>
      </c>
      <c r="BY210" s="697">
        <f>IF(AND($B210&gt;=$FL210,$B210&lt;=$FM210),MAX(BV210,Sheet1!EF210,0),MAX(BV210-(7/36)*$K210,0))</f>
        <v>0</v>
      </c>
      <c r="BZ210" s="712">
        <f t="shared" si="673"/>
        <v>0</v>
      </c>
      <c r="CA210" s="697">
        <f t="shared" si="674"/>
        <v>2.0931491712709627</v>
      </c>
      <c r="CB210" s="697">
        <f>IF(AND($O210&gt;0,Sheet1!EJ210=1),(1-($O210-Sheet1!$L210)/$O210)*BV210,0)</f>
        <v>0</v>
      </c>
      <c r="CC210" s="697">
        <f>IF(AND(Sheet1!$L210=0,Sheet1!$L209=0, Calculation!BU210&lt;Sheet1!EF210-0.1,Sheet1!EF210=Sheet1!EF209,Sheet1!EF210=Sheet1!EF211),Sheet1!EF210,BV210-CB210)</f>
        <v>2.0931491712709627</v>
      </c>
      <c r="CD210" s="697"/>
      <c r="CE210" s="712"/>
      <c r="CF210" s="712">
        <f t="shared" si="675"/>
        <v>633.7824134434303</v>
      </c>
      <c r="CG210" s="712"/>
      <c r="CH210" s="712">
        <f ca="1">IF(B210&gt;Summary!$A$1,#N/A,CF210*MGtoAF)</f>
        <v>1944.4444444444441</v>
      </c>
      <c r="CI210" s="712">
        <f>Sheet1!BK210+Sheet1!BL210+Sheet1!BM210-Sheet1!EN210-CQ210</f>
        <v>9.5399999999999991</v>
      </c>
      <c r="CJ210" s="712">
        <f t="shared" si="676"/>
        <v>9.5543746860885079</v>
      </c>
      <c r="CK210" s="712">
        <f>IF(Sheet1!EN210="FM",CQ210,0)</f>
        <v>0</v>
      </c>
      <c r="CL210" s="712">
        <f t="shared" si="677"/>
        <v>0</v>
      </c>
      <c r="CM210" s="712">
        <f>IF(Sheet1!EN210="OTHER",CQ210,0)</f>
        <v>0</v>
      </c>
      <c r="CN210" s="712">
        <f t="shared" si="678"/>
        <v>0</v>
      </c>
      <c r="CO210" s="712">
        <f t="shared" si="679"/>
        <v>9.5399999999999991</v>
      </c>
      <c r="CP210" s="712">
        <f t="shared" si="680"/>
        <v>9.5543746860885079</v>
      </c>
      <c r="CQ210" s="712">
        <f>IF(OR(Sheet1!EN210="FM", Sheet1!EN210="OTHER"),SUM(Sheet1!BK210:'Sheet1'!BM210),0)</f>
        <v>0</v>
      </c>
      <c r="CR210" s="697">
        <f>IF(AND($B210&gt;=$FL210,$B210&lt;=$FM210),MAX($CJ210,Sheet1!EG210,0),MAX($CJ210-(7/36)*$K210,0))</f>
        <v>0</v>
      </c>
      <c r="CS210" s="712">
        <f t="shared" si="681"/>
        <v>0</v>
      </c>
      <c r="CT210" s="697">
        <f t="shared" si="682"/>
        <v>9.5543746860885079</v>
      </c>
      <c r="CU210" s="697">
        <f>IF(AND($O210&gt;0,Sheet1!EK210=1),(1-($O210-Sheet1!$L210)/$O210)*CP210,0)</f>
        <v>0</v>
      </c>
      <c r="CV210" s="697">
        <f>IF(AND(Sheet1!$L210=0,Sheet1!$L209=0, Calculation!CO210&lt;Sheet1!$EG210-0.1,Sheet1!$EG210=Sheet1!$EG209,Sheet1!$EG210=Sheet1!$EG211),Sheet1!$EG210,CP210-CU210)</f>
        <v>9.5543746860885079</v>
      </c>
      <c r="CW210" s="697">
        <f t="shared" si="721"/>
        <v>0</v>
      </c>
      <c r="CX210" s="712">
        <f t="shared" si="683"/>
        <v>13.209999999999999</v>
      </c>
      <c r="CY210" s="712">
        <f t="shared" si="684"/>
        <v>633.7824134434303</v>
      </c>
      <c r="CZ210" s="712">
        <f t="shared" si="685"/>
        <v>13.229904570569097</v>
      </c>
      <c r="DA210" s="712">
        <f ca="1">IF(B210&gt;Summary!$A$1,#N/A,CY210*MGtoAF)</f>
        <v>1944.4444444444441</v>
      </c>
      <c r="DB210" s="712">
        <f t="shared" si="686"/>
        <v>13.209999999999999</v>
      </c>
      <c r="DC210" s="712">
        <f t="shared" si="687"/>
        <v>19.91</v>
      </c>
      <c r="DD210" s="712">
        <f>Sheet1!AB210-DC210</f>
        <v>3.0000000002328164E-2</v>
      </c>
      <c r="DE210" s="712">
        <f t="shared" si="688"/>
        <v>1.5067805124223087E-3</v>
      </c>
      <c r="DF210" s="712">
        <f>(VLOOKUP(Sheet1!CY210,hhdcap_wcm,4)-(((VLOOKUP(Sheet1!CY210,hhdcap_wcm,3)-Sheet1!CY210)/(VLOOKUP(Sheet1!CY210,hhdcap_wcm,3)-VLOOKUP(Sheet1!CY210,hhdcap_wcm,1)))*(VLOOKUP(Sheet1!CY210,hhdcap_wcm,4)-VLOOKUP(Sheet1!CY210,hhdcap_wcm,2))))</f>
        <v>46431.340000110838</v>
      </c>
      <c r="DG210" s="712">
        <f t="shared" si="689"/>
        <v>-284.18000000024767</v>
      </c>
      <c r="DH210" s="712">
        <f t="shared" si="690"/>
        <v>-143.30811901172348</v>
      </c>
      <c r="DI210" s="712">
        <f>Sheet1!DW210*AFtoMG</f>
        <v>0</v>
      </c>
      <c r="DJ210" s="712">
        <f>Sheet1!DX210*AFtoMG</f>
        <v>0</v>
      </c>
      <c r="DK210" s="712">
        <f>Sheet1!DY210*AFtoMG</f>
        <v>0</v>
      </c>
      <c r="DL210" s="712">
        <f>Sheet1!DZ210*AFtoMG</f>
        <v>0</v>
      </c>
      <c r="DM210" s="712">
        <f t="shared" si="691"/>
        <v>0</v>
      </c>
      <c r="DN210" s="712">
        <f t="shared" si="692"/>
        <v>0</v>
      </c>
      <c r="DO210" s="712">
        <f t="shared" si="693"/>
        <v>3259.4524119947846</v>
      </c>
      <c r="DP210" s="712">
        <f t="shared" si="694"/>
        <v>10000</v>
      </c>
      <c r="DQ210" s="712"/>
      <c r="DR210" s="697">
        <f>IF(OR(B210&lt;FL210,B210&gt;FM210),(MIN(AV210+BO210+CJ210+MAX(Sheet1!AA210+AG210-73,0),K210)),0)</f>
        <v>13.229904570569097</v>
      </c>
      <c r="DS210" s="712"/>
      <c r="DT210" s="712">
        <f t="shared" si="695"/>
        <v>13.229904570569097</v>
      </c>
      <c r="DU210" s="712"/>
      <c r="DV210" s="712">
        <f>Sheet1!ED210+Sheet1!EE210+Sheet1!EF210+Sheet1!EG210</f>
        <v>13.5</v>
      </c>
      <c r="DW210" s="712"/>
      <c r="DX210" s="697">
        <f t="shared" si="696"/>
        <v>0</v>
      </c>
      <c r="DY210" s="712">
        <f>IF(Sheet1!FN210=1,SUM('Calculations II'!AT210:BA210)+'Calculations II'!BC210+Sheet1!BU210+'Calculations II'!BE210+AF210,SUM('Calculations II'!AT210:BA210)+'Calculations II'!BC210+Sheet1!BU210+'Calculations II'!BE210+AF210)</f>
        <v>49.978704</v>
      </c>
      <c r="DZ210" s="712">
        <f>Sheet1!AA210+Sheet1!AB210+'Calculations II'!BC210</f>
        <v>80.134720000010475</v>
      </c>
      <c r="EA210" s="712"/>
      <c r="EB210" s="712"/>
      <c r="EC210" s="712">
        <f t="shared" si="697"/>
        <v>40739</v>
      </c>
      <c r="ED210" s="712">
        <f t="shared" si="698"/>
        <v>0</v>
      </c>
      <c r="EE210" s="712">
        <f t="shared" si="699"/>
        <v>0</v>
      </c>
      <c r="EF210" s="712">
        <f>-(VLOOKUP(Sheet1!BQ210,Lookup!$B$4:$J$236,2)-VLOOKUP(Sheet1!BQ209,Lookup!$B$4:$J$236,2))/1000000</f>
        <v>1.9067000000000001</v>
      </c>
      <c r="EG210" s="712">
        <f>-(VLOOKUP(Sheet1!BR210,Lookup!$B$4:$J$236,3)-VLOOKUP(Sheet1!BR209,Lookup!$B$4:$J$236,3))/1000000</f>
        <v>1.6302000000000001</v>
      </c>
      <c r="EH210" s="712">
        <f>-(VLOOKUP(Sheet1!BS210,Lookup!$B$4:$J$236,4)-VLOOKUP(Sheet1!BS209,Lookup!$B$4:$J$236,4))/1000000</f>
        <v>0</v>
      </c>
      <c r="EI210" s="697">
        <f t="shared" si="700"/>
        <v>3.5369000000000002</v>
      </c>
      <c r="EJ210" s="712"/>
      <c r="EK210" s="712"/>
      <c r="EL210" s="712"/>
      <c r="EM210" s="712"/>
      <c r="EN210" s="712"/>
      <c r="EO210" s="712"/>
      <c r="EP210" s="498"/>
      <c r="EQ210" s="712"/>
      <c r="ET210" s="794">
        <f t="shared" si="720"/>
        <v>1138.0999999999999</v>
      </c>
      <c r="EU210" s="697">
        <f t="shared" si="731"/>
        <v>13257.340000054992</v>
      </c>
      <c r="EV210" s="795">
        <f t="shared" si="640"/>
        <v>21954.000000055847</v>
      </c>
      <c r="EW210" s="796" t="s">
        <v>757</v>
      </c>
      <c r="EX210" s="796" t="s">
        <v>757</v>
      </c>
      <c r="EY210" s="862">
        <f t="shared" si="732"/>
        <v>107.30206757450641</v>
      </c>
      <c r="EZ210" s="798">
        <v>23174.000000055847</v>
      </c>
      <c r="FA210" s="712">
        <v>23174.000000055847</v>
      </c>
      <c r="FB210" s="712"/>
      <c r="FC210" s="712"/>
      <c r="FD210" s="712"/>
      <c r="FE210" s="712">
        <f>O210+Sheet1!CO210</f>
        <v>13536.23000000001</v>
      </c>
      <c r="FF210" s="712">
        <f>IF(Sheet1!AA210+AG210&lt;=Calculation!N210,AG210,Calculation!N210-Sheet1!AA210)</f>
        <v>6.7100954294332293</v>
      </c>
      <c r="FG210" s="712">
        <f>(Sheet1!BP210+Sheet1!BO210)/694.4</f>
        <v>3.4442684331797233</v>
      </c>
      <c r="FH210" s="712"/>
      <c r="FI210" s="712"/>
      <c r="FJ210" s="712"/>
      <c r="FK210" s="712"/>
      <c r="FL210" s="714">
        <f t="shared" si="726"/>
        <v>40753</v>
      </c>
      <c r="FM210" s="714">
        <f t="shared" si="727"/>
        <v>40851</v>
      </c>
      <c r="FN210" s="712"/>
      <c r="FO210" s="712"/>
      <c r="FP210" s="712"/>
      <c r="FQ210" s="712"/>
      <c r="FR210" s="712"/>
      <c r="FS210" s="725">
        <f t="shared" si="728"/>
        <v>40603</v>
      </c>
      <c r="FT210" s="714">
        <f t="shared" si="729"/>
        <v>40709</v>
      </c>
      <c r="FU210" s="712">
        <f t="shared" si="728"/>
        <v>6518.9048239895692</v>
      </c>
      <c r="FV210" s="714">
        <f t="shared" si="730"/>
        <v>40722</v>
      </c>
      <c r="FW210" s="712">
        <f t="shared" si="728"/>
        <v>3259.4524119947846</v>
      </c>
      <c r="FX210" s="725">
        <f t="shared" si="728"/>
        <v>40851</v>
      </c>
      <c r="FZ210" s="697">
        <f t="shared" si="722"/>
        <v>0</v>
      </c>
      <c r="GA210" s="712" t="str">
        <f t="shared" si="701"/>
        <v/>
      </c>
      <c r="GB210" s="712">
        <f t="shared" si="702"/>
        <v>0</v>
      </c>
      <c r="GC210" s="712" t="str">
        <f t="shared" si="703"/>
        <v/>
      </c>
      <c r="GD210" s="712">
        <f>IF(GA210="P",Lookup!$M$12,IF(GA210="PP",Lookup!$M$13,IF(GA210="PPP",Lookup!$M$14,IF(GA210="T",Lookup!$M$15,IF(GA210="TP",Lookup!$M$16,IF(GA210="TPP",Lookup!$M$17,IF(GA210="TPPP",Lookup!$M$18,0)))))))*FZ210</f>
        <v>0</v>
      </c>
      <c r="GE210" s="712">
        <f t="shared" si="704"/>
        <v>0</v>
      </c>
      <c r="GF210" s="712">
        <f t="shared" si="705"/>
        <v>4166.6666666666661</v>
      </c>
      <c r="GG210" s="712">
        <f t="shared" si="706"/>
        <v>1358.1051716644936</v>
      </c>
      <c r="GH210" s="712"/>
      <c r="GI210" s="712">
        <f t="shared" si="707"/>
        <v>0</v>
      </c>
      <c r="GJ210" s="712" t="str">
        <f t="shared" si="708"/>
        <v/>
      </c>
      <c r="GK210" s="712">
        <f>IF(GA210="P",Lookup!$N$12,IF(GA210="PP",Lookup!$N$13,IF(GA210="PPP",Lookup!$N$14,IF(GA210="T",Lookup!$N$15,IF(GA210="TP",Lookup!$N$16,IF(GA210="TPP",Lookup!$N$17,IF(GA210="TPPP",Lookup!$N$18,0)))))))*FZ210</f>
        <v>0</v>
      </c>
      <c r="GL210" s="712">
        <f t="shared" si="709"/>
        <v>0</v>
      </c>
      <c r="GM210" s="712">
        <f t="shared" si="710"/>
        <v>1944.4444444444441</v>
      </c>
      <c r="GN210" s="712">
        <f t="shared" si="711"/>
        <v>633.7824134434303</v>
      </c>
      <c r="GO210" s="712"/>
      <c r="GP210" s="712">
        <f t="shared" si="712"/>
        <v>0</v>
      </c>
      <c r="GQ210" s="712" t="str">
        <f t="shared" si="713"/>
        <v/>
      </c>
      <c r="GR210" s="712">
        <f>IF(GA210="P",Lookup!$N$12,IF(GA210="PP",Lookup!$N$13,IF(GA210="PPP",Lookup!$N$14,IF(GA210="T",Lookup!$N$15,IF(GA210="TP",Lookup!$N$16,IF(GA210="TPP",Lookup!$N$17,IF(GA210="TPPP",Lookup!$N$18,0)))))))*FZ210</f>
        <v>0</v>
      </c>
      <c r="GS210" s="697">
        <f t="shared" si="724"/>
        <v>0</v>
      </c>
      <c r="GT210" s="712">
        <f t="shared" si="714"/>
        <v>1944.4444444444441</v>
      </c>
      <c r="GU210" s="712">
        <f t="shared" si="715"/>
        <v>633.7824134434303</v>
      </c>
      <c r="GV210" s="712"/>
      <c r="GW210" s="712">
        <f t="shared" si="716"/>
        <v>0</v>
      </c>
      <c r="GX210" s="712" t="str">
        <f t="shared" si="717"/>
        <v/>
      </c>
      <c r="GY210" s="712">
        <f>IF(GA210="P",Lookup!$N$12,IF(GA210="PP",Lookup!$N$13,IF(GA210="PPP",Lookup!$N$14,IF(GA210="T",Lookup!$N$15,IF(GA210="TP",Lookup!$N$16,IF(GA210="TPP",Lookup!$N$17,IF(GA210="TPPP",Lookup!$N$18,0)))))))*FZ210</f>
        <v>0</v>
      </c>
      <c r="GZ210" s="697">
        <f t="shared" si="725"/>
        <v>0</v>
      </c>
      <c r="HA210" s="712">
        <f t="shared" si="718"/>
        <v>1944.4444444444441</v>
      </c>
      <c r="HB210" s="712">
        <f t="shared" si="719"/>
        <v>633.7824134434303</v>
      </c>
      <c r="HC210" s="712"/>
    </row>
    <row r="211" spans="1:211">
      <c r="A211" s="773" t="s">
        <v>9</v>
      </c>
      <c r="B211" s="708">
        <v>40740</v>
      </c>
      <c r="C211" s="719">
        <v>0.5</v>
      </c>
      <c r="D211" s="675">
        <f t="shared" si="641"/>
        <v>200</v>
      </c>
      <c r="E211" s="675">
        <f t="shared" si="642"/>
        <v>400</v>
      </c>
      <c r="F211" s="675">
        <v>250</v>
      </c>
      <c r="G211" s="712">
        <f>DH211+Sheet1!CV211</f>
        <v>543.77287377478865</v>
      </c>
      <c r="H211" s="712">
        <f t="shared" si="643"/>
        <v>149.17158560802338</v>
      </c>
      <c r="I211" s="711">
        <f>MAX(Sheet1!Z211-AJ211+(Sheet1!CW211-E211)*CFStoMGD,0)</f>
        <v>318.32689792085841</v>
      </c>
      <c r="J211" s="720">
        <f>IF(AND(B211&gt;=Calculation!FS211,B211&lt;=Calculation!FT211),IF(Sheet1!CX211&gt;=Calculation!D211,64.64,0),MAX(Sheet1!Z211-AJ211+(Sheet1!CX211-D211)*CFStoMGD,0))</f>
        <v>245.72809792085846</v>
      </c>
      <c r="K211" s="697">
        <f t="shared" si="644"/>
        <v>64.64</v>
      </c>
      <c r="L211" s="712">
        <f>Sheet1!AA211+Sheet1!AB211-Sheet1!L211+(Sheet1!CW211-F211)*CFStoMGD</f>
        <v>462.53613333333385</v>
      </c>
      <c r="M211" s="712">
        <f t="shared" si="645"/>
        <v>358.52468132018384</v>
      </c>
      <c r="N211" s="712">
        <f>IF(Sheet1!CW211&gt;=F211,MIN(73,MIN(MAX(L211,0),MAX(M211,0))),0)</f>
        <v>73</v>
      </c>
      <c r="O211" s="721">
        <f>Sheet1!AA211+Sheet1!AB211</f>
        <v>60.610000000000582</v>
      </c>
      <c r="P211" s="721">
        <f t="shared" si="646"/>
        <v>93.7636700000009</v>
      </c>
      <c r="Q211" s="712">
        <f>MIN(N211,Sheet1!AA211+AG211)</f>
        <v>47.149235412475434</v>
      </c>
      <c r="R211" s="712">
        <f t="shared" si="647"/>
        <v>14</v>
      </c>
      <c r="S211" s="721">
        <f>Sheet1!Y211*MGDtoCFS</f>
        <v>63.117599999999996</v>
      </c>
      <c r="T211" s="721">
        <f>Sheet1!Z211*MGDtoCFS</f>
        <v>30.785299999999996</v>
      </c>
      <c r="U211" s="721">
        <f>Sheet1!AA211*MGDtoCFS</f>
        <v>62.823670000000895</v>
      </c>
      <c r="V211" s="721">
        <f>Sheet1!AB211*MGDtoCFS</f>
        <v>30.939999999999998</v>
      </c>
      <c r="W211" s="721">
        <f>Sheet1!L211*MGDtoCFS</f>
        <v>0</v>
      </c>
      <c r="X211" s="697">
        <f t="shared" si="648"/>
        <v>0</v>
      </c>
      <c r="Y211" s="712">
        <f t="shared" si="649"/>
        <v>0</v>
      </c>
      <c r="Z211" s="712">
        <f t="shared" si="650"/>
        <v>0</v>
      </c>
      <c r="AA211" s="712">
        <f t="shared" si="651"/>
        <v>0</v>
      </c>
      <c r="AB211" s="712">
        <f>(VLOOKUP(Sheet1!CY211,hhdcap_wcm,4)-(((VLOOKUP(Sheet1!CY211,hhdcap_wcm,3)-Sheet1!CY211)/(VLOOKUP(Sheet1!CY211,hhdcap_wcm,3)-VLOOKUP(Sheet1!CY211,hhdcap_wcm,1)))*(VLOOKUP(Sheet1!CY211,hhdcap_wcm,4)-VLOOKUP(Sheet1!CY211,hhdcap_wcm,2))))</f>
        <v>46201.810000110592</v>
      </c>
      <c r="AC211" s="712">
        <f t="shared" si="652"/>
        <v>-229.53000000024622</v>
      </c>
      <c r="AD211" s="712">
        <f t="shared" si="653"/>
        <v>3259.4524119947846</v>
      </c>
      <c r="AE211" s="712">
        <f t="shared" si="654"/>
        <v>10000</v>
      </c>
      <c r="AF211" s="712">
        <f>Sheet1!BA211+Sheet1!BB211+Sheet1!BN211+BT211</f>
        <v>6.5</v>
      </c>
      <c r="AG211" s="712">
        <f t="shared" si="655"/>
        <v>6.5392354124748495</v>
      </c>
      <c r="AH211" s="712">
        <f>Sheet1!BA211+BT211</f>
        <v>0</v>
      </c>
      <c r="AI211" s="712">
        <f>Sheet1!BA211+Sheet1!BB211+BT211</f>
        <v>0</v>
      </c>
      <c r="AJ211" s="712">
        <f>IF((Sheet1!AA211+AG211+AX211+AZ211+BQ211+BS211+CL211+CN211)&lt;=N211,AG211+AX211+AZ211+BQ211+BS211+CL211+CN211,N211-Sheet1!AA211)</f>
        <v>6.5392354124748495</v>
      </c>
      <c r="AK211" s="712">
        <f>IF(DR211&lt;K211,0,MAX(Sheet1!AA211+AG211-15/36*K211-N211,Sheet1!ED211,0))</f>
        <v>0</v>
      </c>
      <c r="AL211" s="712">
        <f>IF(OR(B211&gt;=FT211,B211&lt;FS211),0,15/36*K211-MAX(0,64.6-(137.6-(Sheet1!AA211+Sheet1!AB211))))</f>
        <v>0</v>
      </c>
      <c r="AM211" s="712">
        <f>Sheet1!CX211-110</f>
        <v>449.47916666666663</v>
      </c>
      <c r="AN211" s="712">
        <f>Sheet1!CW211-265</f>
        <v>606.79166666666663</v>
      </c>
      <c r="AO211" s="712">
        <f t="shared" si="733"/>
        <v>25.850764587524566</v>
      </c>
      <c r="AP211" s="712">
        <f t="shared" si="656"/>
        <v>0</v>
      </c>
      <c r="AQ211" s="712">
        <f t="shared" si="657"/>
        <v>0</v>
      </c>
      <c r="AR211" s="712">
        <f t="shared" si="658"/>
        <v>1358.1051716644936</v>
      </c>
      <c r="AS211" s="712"/>
      <c r="AT211" s="712">
        <f ca="1">IF(B211&gt;Summary!$A$1,#N/A,AR211*MGtoAF)</f>
        <v>4166.6666666666661</v>
      </c>
      <c r="AU211" s="712">
        <f>Sheet1!BG211+Sheet1!BH211+Sheet1!BI211-BC211</f>
        <v>1.58</v>
      </c>
      <c r="AV211" s="712">
        <f t="shared" si="659"/>
        <v>1.5895372233400404</v>
      </c>
      <c r="AW211" s="712">
        <f>IF(Sheet1!EL211="FM",BC211,0)</f>
        <v>0</v>
      </c>
      <c r="AX211" s="712">
        <f t="shared" si="660"/>
        <v>0</v>
      </c>
      <c r="AY211" s="712">
        <f>IF(Sheet1!EL211="OTHER",BC211,0)</f>
        <v>0</v>
      </c>
      <c r="AZ211" s="712">
        <f t="shared" si="661"/>
        <v>0</v>
      </c>
      <c r="BA211" s="712">
        <f t="shared" si="662"/>
        <v>1.58</v>
      </c>
      <c r="BB211" s="712">
        <f t="shared" si="663"/>
        <v>1.5895372233400404</v>
      </c>
      <c r="BC211" s="712">
        <f>IF(OR(Sheet1!EL211="FM", Sheet1!EL211="OTHER"),SUM(Sheet1!BG211:'Sheet1'!BI211),0)</f>
        <v>0</v>
      </c>
      <c r="BD211" s="697">
        <f>IF(AND($B211&gt;=$FL211,$B211&lt;=$FM211),MAX(AV211,Sheet1!EE211,0),MAX(AV211-(7/36)*$K211,0))</f>
        <v>0</v>
      </c>
      <c r="BE211" s="712">
        <f t="shared" si="664"/>
        <v>0</v>
      </c>
      <c r="BF211" s="697">
        <f t="shared" si="665"/>
        <v>1.5895372233400404</v>
      </c>
      <c r="BG211" s="697">
        <f>IF(AND($O211&gt;0,Sheet1!EI211=1),(1-($O211-Sheet1!$L211)/$O211)*BB211,0)</f>
        <v>0</v>
      </c>
      <c r="BH211" s="697">
        <f>IF(AND(Sheet1!$L211=0,Sheet1!$L210=0, Calculation!BA211&lt;Sheet1!$EE211-0.1,Sheet1!$EE211=Sheet1!$EE210,Sheet1!$EE211=Sheet1!$EE212),Sheet1!$EE211,BB211-BG211)</f>
        <v>2</v>
      </c>
      <c r="BI211" s="712"/>
      <c r="BJ211" s="712"/>
      <c r="BK211" s="712">
        <f t="shared" si="666"/>
        <v>633.7824134434303</v>
      </c>
      <c r="BL211" s="712"/>
      <c r="BM211" s="712">
        <f ca="1">IF(B211&gt;Summary!$A$1,#N/A,BK211*MGtoAF)</f>
        <v>1944.4444444444441</v>
      </c>
      <c r="BN211" s="712">
        <f>Sheet1!BC211+Sheet1!BD211+Sheet1!BE211+Sheet1!BF211-BW211-BX211</f>
        <v>2.2599999999999998</v>
      </c>
      <c r="BO211" s="712">
        <f t="shared" si="667"/>
        <v>2.2736418511066399</v>
      </c>
      <c r="BP211" s="712">
        <f>IF(Sheet1!EM211="FM",BX211,0)</f>
        <v>0</v>
      </c>
      <c r="BQ211" s="712">
        <f t="shared" si="668"/>
        <v>0</v>
      </c>
      <c r="BR211" s="712">
        <f>IF(Sheet1!EM211="OTHER",BX211,0)</f>
        <v>0</v>
      </c>
      <c r="BS211" s="712">
        <f t="shared" si="669"/>
        <v>0</v>
      </c>
      <c r="BT211" s="712">
        <f t="shared" si="670"/>
        <v>0</v>
      </c>
      <c r="BU211" s="712">
        <f t="shared" si="671"/>
        <v>2.2599999999999998</v>
      </c>
      <c r="BV211" s="712">
        <f t="shared" si="672"/>
        <v>2.2736418511066399</v>
      </c>
      <c r="BW211" s="712">
        <f>IF(Sheet1!EM211="CWA",SUM(Sheet1!BC211:'Sheet1'!BF211),0)</f>
        <v>0</v>
      </c>
      <c r="BX211" s="712">
        <f>IF(OR(Sheet1!EM211="FM", Sheet1!EM211="OTHER"),SUM(Sheet1!BC211:'Sheet1'!BF211),0)</f>
        <v>0</v>
      </c>
      <c r="BY211" s="697">
        <f>IF(AND($B211&gt;=$FL211,$B211&lt;=$FM211),MAX(BV211,Sheet1!EF211,0),MAX(BV211-(7/36)*$K211,0))</f>
        <v>0</v>
      </c>
      <c r="BZ211" s="712">
        <f t="shared" si="673"/>
        <v>0</v>
      </c>
      <c r="CA211" s="697">
        <f t="shared" si="674"/>
        <v>2.2736418511066399</v>
      </c>
      <c r="CB211" s="697">
        <f>IF(AND($O211&gt;0,Sheet1!EJ211=1),(1-($O211-Sheet1!$L211)/$O211)*BV211,0)</f>
        <v>0</v>
      </c>
      <c r="CC211" s="697">
        <f>IF(AND(Sheet1!$L211=0,Sheet1!$L210=0, Calculation!BU211&lt;Sheet1!EF211-0.1,Sheet1!EF211=Sheet1!EF210,Sheet1!EF211=Sheet1!EF212),Sheet1!EF211,BV211-CB211)</f>
        <v>2.2736418511066399</v>
      </c>
      <c r="CD211" s="697"/>
      <c r="CE211" s="712"/>
      <c r="CF211" s="712">
        <f t="shared" si="675"/>
        <v>633.7824134434303</v>
      </c>
      <c r="CG211" s="712"/>
      <c r="CH211" s="712">
        <f ca="1">IF(B211&gt;Summary!$A$1,#N/A,CF211*MGtoAF)</f>
        <v>1944.4444444444441</v>
      </c>
      <c r="CI211" s="712">
        <f>Sheet1!BK211+Sheet1!BL211+Sheet1!BM211-Sheet1!EN211-CQ211</f>
        <v>9.5399999999999991</v>
      </c>
      <c r="CJ211" s="712">
        <f t="shared" si="676"/>
        <v>9.5975855130784709</v>
      </c>
      <c r="CK211" s="712">
        <f>IF(Sheet1!EN211="FM",CQ211,0)</f>
        <v>0</v>
      </c>
      <c r="CL211" s="712">
        <f t="shared" si="677"/>
        <v>0</v>
      </c>
      <c r="CM211" s="712">
        <f>IF(Sheet1!EN211="OTHER",CQ211,0)</f>
        <v>0</v>
      </c>
      <c r="CN211" s="712">
        <f t="shared" si="678"/>
        <v>0</v>
      </c>
      <c r="CO211" s="712">
        <f t="shared" si="679"/>
        <v>9.5399999999999991</v>
      </c>
      <c r="CP211" s="712">
        <f t="shared" si="680"/>
        <v>9.5975855130784709</v>
      </c>
      <c r="CQ211" s="712">
        <f>IF(OR(Sheet1!EN211="FM", Sheet1!EN211="OTHER"),SUM(Sheet1!BK211:'Sheet1'!BM211),0)</f>
        <v>0</v>
      </c>
      <c r="CR211" s="697">
        <f>IF(AND($B211&gt;=$FL211,$B211&lt;=$FM211),MAX($CJ211,Sheet1!EG211,0),MAX($CJ211-(7/36)*$K211,0))</f>
        <v>0</v>
      </c>
      <c r="CS211" s="712">
        <f t="shared" si="681"/>
        <v>0</v>
      </c>
      <c r="CT211" s="697">
        <f t="shared" si="682"/>
        <v>9.5975855130784709</v>
      </c>
      <c r="CU211" s="697">
        <f>IF(AND($O211&gt;0,Sheet1!EK211=1),(1-($O211-Sheet1!$L211)/$O211)*CP211,0)</f>
        <v>0</v>
      </c>
      <c r="CV211" s="697">
        <f>IF(AND(Sheet1!$L211=0,Sheet1!$L210=0, Calculation!CO211&lt;Sheet1!$EG211-0.1,Sheet1!$EG211=Sheet1!$EG210,Sheet1!$EG211=Sheet1!$EG212),Sheet1!$EG211,CP211-CU211)</f>
        <v>9.5975855130784709</v>
      </c>
      <c r="CW211" s="697">
        <f t="shared" si="721"/>
        <v>0</v>
      </c>
      <c r="CX211" s="712">
        <f t="shared" si="683"/>
        <v>13.379999999999999</v>
      </c>
      <c r="CY211" s="712">
        <f t="shared" si="684"/>
        <v>633.7824134434303</v>
      </c>
      <c r="CZ211" s="712">
        <f t="shared" si="685"/>
        <v>13.460764587525151</v>
      </c>
      <c r="DA211" s="712">
        <f ca="1">IF(B211&gt;Summary!$A$1,#N/A,CY211*MGtoAF)</f>
        <v>1944.4444444444441</v>
      </c>
      <c r="DB211" s="712">
        <f t="shared" si="686"/>
        <v>13.379999999999999</v>
      </c>
      <c r="DC211" s="712">
        <f t="shared" si="687"/>
        <v>19.88</v>
      </c>
      <c r="DD211" s="712">
        <f>Sheet1!AB211-DC211</f>
        <v>0.12000000000000099</v>
      </c>
      <c r="DE211" s="712">
        <f t="shared" si="688"/>
        <v>6.0362173038229876E-3</v>
      </c>
      <c r="DF211" s="712">
        <f>(VLOOKUP(Sheet1!CY211,hhdcap_wcm,4)-(((VLOOKUP(Sheet1!CY211,hhdcap_wcm,3)-Sheet1!CY211)/(VLOOKUP(Sheet1!CY211,hhdcap_wcm,3)-VLOOKUP(Sheet1!CY211,hhdcap_wcm,1)))*(VLOOKUP(Sheet1!CY211,hhdcap_wcm,4)-VLOOKUP(Sheet1!CY211,hhdcap_wcm,2))))</f>
        <v>46201.810000110592</v>
      </c>
      <c r="DG211" s="712">
        <f t="shared" si="689"/>
        <v>-229.53000000024622</v>
      </c>
      <c r="DH211" s="712">
        <f t="shared" si="690"/>
        <v>-115.74886535564609</v>
      </c>
      <c r="DI211" s="712">
        <f>Sheet1!DW211*AFtoMG</f>
        <v>0</v>
      </c>
      <c r="DJ211" s="712">
        <f>Sheet1!DX211*AFtoMG</f>
        <v>0</v>
      </c>
      <c r="DK211" s="712">
        <f>Sheet1!DY211*AFtoMG</f>
        <v>0</v>
      </c>
      <c r="DL211" s="712">
        <f>Sheet1!DZ211*AFtoMG</f>
        <v>0</v>
      </c>
      <c r="DM211" s="712">
        <f t="shared" si="691"/>
        <v>0</v>
      </c>
      <c r="DN211" s="712">
        <f t="shared" si="692"/>
        <v>0</v>
      </c>
      <c r="DO211" s="712">
        <f t="shared" si="693"/>
        <v>3259.4524119947846</v>
      </c>
      <c r="DP211" s="712">
        <f t="shared" si="694"/>
        <v>10000</v>
      </c>
      <c r="DQ211" s="712"/>
      <c r="DR211" s="697">
        <f>IF(OR(B211&lt;FL211,B211&gt;FM211),(MIN(AV211+BO211+CJ211+MAX(Sheet1!AA211+AG211-73,0),K211)),0)</f>
        <v>13.460764587525151</v>
      </c>
      <c r="DS211" s="712"/>
      <c r="DT211" s="712">
        <f t="shared" si="695"/>
        <v>13.460764587525151</v>
      </c>
      <c r="DU211" s="712"/>
      <c r="DV211" s="712">
        <f>Sheet1!ED211+Sheet1!EE211+Sheet1!EF211+Sheet1!EG211</f>
        <v>14</v>
      </c>
      <c r="DW211" s="712"/>
      <c r="DX211" s="697">
        <f t="shared" si="696"/>
        <v>0</v>
      </c>
      <c r="DY211" s="712">
        <f>IF(Sheet1!FN211=1,SUM('Calculations II'!AT211:BA211)+'Calculations II'!BC211+Sheet1!BU211+'Calculations II'!BE211+AF211,SUM('Calculations II'!AT211:BA211)+'Calculations II'!BC211+Sheet1!BU211+'Calculations II'!BE211+AF211)</f>
        <v>47.790112000000001</v>
      </c>
      <c r="DZ211" s="712">
        <f>Sheet1!AA211+Sheet1!AB211+'Calculations II'!BC211</f>
        <v>70.034512000000575</v>
      </c>
      <c r="EA211" s="712"/>
      <c r="EB211" s="712"/>
      <c r="EC211" s="712">
        <f t="shared" si="697"/>
        <v>40740</v>
      </c>
      <c r="ED211" s="712">
        <f t="shared" si="698"/>
        <v>0</v>
      </c>
      <c r="EE211" s="712">
        <f t="shared" si="699"/>
        <v>0</v>
      </c>
      <c r="EF211" s="712">
        <f>-(VLOOKUP(Sheet1!BQ211,Lookup!$B$4:$J$236,2)-VLOOKUP(Sheet1!BQ210,Lookup!$B$4:$J$236,2))/1000000</f>
        <v>-4.3811</v>
      </c>
      <c r="EG211" s="712">
        <f>-(VLOOKUP(Sheet1!BR211,Lookup!$B$4:$J$236,3)-VLOOKUP(Sheet1!BR210,Lookup!$B$4:$J$236,3))/1000000</f>
        <v>-4.3743999999999996</v>
      </c>
      <c r="EH211" s="712">
        <f>-(VLOOKUP(Sheet1!BS211,Lookup!$B$4:$J$236,4)-VLOOKUP(Sheet1!BS210,Lookup!$B$4:$J$236,4))/1000000</f>
        <v>0</v>
      </c>
      <c r="EI211" s="697">
        <f t="shared" si="700"/>
        <v>-8.7554999999999996</v>
      </c>
      <c r="EJ211" s="712"/>
      <c r="EK211" s="712"/>
      <c r="EL211" s="712"/>
      <c r="EM211" s="712"/>
      <c r="EN211" s="712"/>
      <c r="EO211" s="712"/>
      <c r="EP211" s="498"/>
      <c r="EQ211" s="712"/>
      <c r="ET211" s="794">
        <f t="shared" si="720"/>
        <v>1138</v>
      </c>
      <c r="EU211" s="697">
        <f t="shared" si="731"/>
        <v>13097.310000056234</v>
      </c>
      <c r="EV211" s="795">
        <f t="shared" si="640"/>
        <v>21884.500000054359</v>
      </c>
      <c r="EW211" s="796" t="s">
        <v>757</v>
      </c>
      <c r="EX211" s="796" t="s">
        <v>757</v>
      </c>
      <c r="EY211" s="862">
        <f t="shared" si="732"/>
        <v>80.700958143599735</v>
      </c>
      <c r="EZ211" s="798">
        <v>23104.500000054359</v>
      </c>
      <c r="FA211" s="712">
        <v>23104.500000054359</v>
      </c>
      <c r="FB211" s="712"/>
      <c r="FC211" s="712"/>
      <c r="FD211" s="712"/>
      <c r="FE211" s="712">
        <f>O211+Sheet1!CO211</f>
        <v>6605.4100000000008</v>
      </c>
      <c r="FF211" s="712">
        <f>IF(Sheet1!AA211+AG211&lt;=Calculation!N211,AG211,Calculation!N211-Sheet1!AA211)</f>
        <v>6.5392354124748495</v>
      </c>
      <c r="FG211" s="712">
        <f>(Sheet1!BP211+Sheet1!BO211)/694.4</f>
        <v>2.5702764976958528</v>
      </c>
      <c r="FH211" s="712"/>
      <c r="FI211" s="712"/>
      <c r="FJ211" s="712"/>
      <c r="FK211" s="712"/>
      <c r="FL211" s="714">
        <f t="shared" si="726"/>
        <v>40753</v>
      </c>
      <c r="FM211" s="714">
        <f t="shared" si="727"/>
        <v>40851</v>
      </c>
      <c r="FN211" s="712"/>
      <c r="FO211" s="712"/>
      <c r="FP211" s="712"/>
      <c r="FQ211" s="712"/>
      <c r="FR211" s="712"/>
      <c r="FS211" s="725">
        <f t="shared" si="728"/>
        <v>40603</v>
      </c>
      <c r="FT211" s="714">
        <f t="shared" si="729"/>
        <v>40709</v>
      </c>
      <c r="FU211" s="712">
        <f t="shared" si="728"/>
        <v>6518.9048239895692</v>
      </c>
      <c r="FV211" s="714">
        <f t="shared" si="730"/>
        <v>40722</v>
      </c>
      <c r="FW211" s="712">
        <f t="shared" si="728"/>
        <v>3259.4524119947846</v>
      </c>
      <c r="FX211" s="725">
        <f t="shared" si="728"/>
        <v>40851</v>
      </c>
      <c r="FZ211" s="697">
        <f t="shared" si="722"/>
        <v>0</v>
      </c>
      <c r="GA211" s="712" t="str">
        <f t="shared" si="701"/>
        <v/>
      </c>
      <c r="GB211" s="712">
        <f t="shared" si="702"/>
        <v>0</v>
      </c>
      <c r="GC211" s="712" t="str">
        <f t="shared" si="703"/>
        <v/>
      </c>
      <c r="GD211" s="712">
        <f>IF(GA211="P",Lookup!$M$12,IF(GA211="PP",Lookup!$M$13,IF(GA211="PPP",Lookup!$M$14,IF(GA211="T",Lookup!$M$15,IF(GA211="TP",Lookup!$M$16,IF(GA211="TPP",Lookup!$M$17,IF(GA211="TPPP",Lookup!$M$18,0)))))))*FZ211</f>
        <v>0</v>
      </c>
      <c r="GE211" s="712">
        <f t="shared" si="704"/>
        <v>0</v>
      </c>
      <c r="GF211" s="712">
        <f t="shared" si="705"/>
        <v>4166.6666666666661</v>
      </c>
      <c r="GG211" s="712">
        <f t="shared" si="706"/>
        <v>1358.1051716644936</v>
      </c>
      <c r="GH211" s="712"/>
      <c r="GI211" s="712">
        <f t="shared" si="707"/>
        <v>0</v>
      </c>
      <c r="GJ211" s="712" t="str">
        <f t="shared" si="708"/>
        <v/>
      </c>
      <c r="GK211" s="712">
        <f>IF(GA211="P",Lookup!$N$12,IF(GA211="PP",Lookup!$N$13,IF(GA211="PPP",Lookup!$N$14,IF(GA211="T",Lookup!$N$15,IF(GA211="TP",Lookup!$N$16,IF(GA211="TPP",Lookup!$N$17,IF(GA211="TPPP",Lookup!$N$18,0)))))))*FZ211</f>
        <v>0</v>
      </c>
      <c r="GL211" s="712">
        <f t="shared" si="709"/>
        <v>0</v>
      </c>
      <c r="GM211" s="712">
        <f t="shared" si="710"/>
        <v>1944.4444444444441</v>
      </c>
      <c r="GN211" s="712">
        <f t="shared" si="711"/>
        <v>633.7824134434303</v>
      </c>
      <c r="GO211" s="712"/>
      <c r="GP211" s="712">
        <f t="shared" si="712"/>
        <v>0</v>
      </c>
      <c r="GQ211" s="712" t="str">
        <f t="shared" si="713"/>
        <v/>
      </c>
      <c r="GR211" s="712">
        <f>IF(GA211="P",Lookup!$N$12,IF(GA211="PP",Lookup!$N$13,IF(GA211="PPP",Lookup!$N$14,IF(GA211="T",Lookup!$N$15,IF(GA211="TP",Lookup!$N$16,IF(GA211="TPP",Lookup!$N$17,IF(GA211="TPPP",Lookup!$N$18,0)))))))*FZ211</f>
        <v>0</v>
      </c>
      <c r="GS211" s="697">
        <f t="shared" si="724"/>
        <v>0</v>
      </c>
      <c r="GT211" s="712">
        <f t="shared" si="714"/>
        <v>1944.4444444444441</v>
      </c>
      <c r="GU211" s="712">
        <f t="shared" si="715"/>
        <v>633.7824134434303</v>
      </c>
      <c r="GV211" s="712"/>
      <c r="GW211" s="712">
        <f t="shared" si="716"/>
        <v>0</v>
      </c>
      <c r="GX211" s="712" t="str">
        <f t="shared" si="717"/>
        <v/>
      </c>
      <c r="GY211" s="712">
        <f>IF(GA211="P",Lookup!$N$12,IF(GA211="PP",Lookup!$N$13,IF(GA211="PPP",Lookup!$N$14,IF(GA211="T",Lookup!$N$15,IF(GA211="TP",Lookup!$N$16,IF(GA211="TPP",Lookup!$N$17,IF(GA211="TPPP",Lookup!$N$18,0)))))))*FZ211</f>
        <v>0</v>
      </c>
      <c r="GZ211" s="697">
        <f t="shared" si="725"/>
        <v>0</v>
      </c>
      <c r="HA211" s="712">
        <f t="shared" si="718"/>
        <v>1944.4444444444441</v>
      </c>
      <c r="HB211" s="712">
        <f t="shared" si="719"/>
        <v>633.7824134434303</v>
      </c>
      <c r="HC211" s="712"/>
    </row>
    <row r="212" spans="1:211">
      <c r="A212" s="773" t="s">
        <v>3</v>
      </c>
      <c r="B212" s="708">
        <v>40741</v>
      </c>
      <c r="C212" s="709">
        <v>0.5</v>
      </c>
      <c r="D212" s="675">
        <f t="shared" si="641"/>
        <v>200</v>
      </c>
      <c r="E212" s="675">
        <f t="shared" si="642"/>
        <v>400</v>
      </c>
      <c r="F212" s="675">
        <v>250</v>
      </c>
      <c r="G212" s="712">
        <f>DH212+Sheet1!CV212</f>
        <v>510.73474533466697</v>
      </c>
      <c r="H212" s="712">
        <f t="shared" si="643"/>
        <v>127.81573938432872</v>
      </c>
      <c r="I212" s="711">
        <f>MAX(Sheet1!Z212-AJ212+(Sheet1!CW212-E212)*CFStoMGD,0)</f>
        <v>320.58723687374822</v>
      </c>
      <c r="J212" s="720">
        <f>IF(AND(B212&gt;=Calculation!FS212,B212&lt;=Calculation!FT212),IF(Sheet1!CX212&gt;=Calculation!D212,64.64,0),MAX(Sheet1!Z212-AJ212+(Sheet1!CX212-D212)*CFStoMGD,0))</f>
        <v>250.5875035404149</v>
      </c>
      <c r="K212" s="697">
        <f t="shared" si="644"/>
        <v>64.64</v>
      </c>
      <c r="L212" s="712">
        <f>Sheet1!AA212+Sheet1!AB212-Sheet1!L212+(Sheet1!CW212-F212)*CFStoMGD</f>
        <v>459.79879999999827</v>
      </c>
      <c r="M212" s="712">
        <f t="shared" si="645"/>
        <v>336.74171817201534</v>
      </c>
      <c r="N212" s="712">
        <f>IF(Sheet1!CW212&gt;=F212,MIN(73,MIN(MAX(L212,0),MAX(M212,0))),0)</f>
        <v>73</v>
      </c>
      <c r="O212" s="721">
        <f>Sheet1!AA212+Sheet1!AB212</f>
        <v>56.059999999997672</v>
      </c>
      <c r="P212" s="721">
        <f t="shared" si="646"/>
        <v>86.724819999996399</v>
      </c>
      <c r="Q212" s="712">
        <f>MIN(N212,Sheet1!AA212+AG212)</f>
        <v>42.331563126251773</v>
      </c>
      <c r="R212" s="712">
        <f t="shared" si="647"/>
        <v>14</v>
      </c>
      <c r="S212" s="721">
        <f>Sheet1!Y212*MGDtoCFS</f>
        <v>55.846699999999998</v>
      </c>
      <c r="T212" s="721">
        <f>Sheet1!Z212*MGDtoCFS</f>
        <v>30.939999999999998</v>
      </c>
      <c r="U212" s="721">
        <f>Sheet1!AA212*MGDtoCFS</f>
        <v>55.692</v>
      </c>
      <c r="V212" s="721">
        <f>Sheet1!AB212*MGDtoCFS</f>
        <v>31.032819999996395</v>
      </c>
      <c r="W212" s="721">
        <f>Sheet1!L212*MGDtoCFS</f>
        <v>0.21657999999909952</v>
      </c>
      <c r="X212" s="697">
        <f t="shared" si="648"/>
        <v>0</v>
      </c>
      <c r="Y212" s="712">
        <f t="shared" si="649"/>
        <v>0</v>
      </c>
      <c r="Z212" s="712">
        <f t="shared" si="650"/>
        <v>0</v>
      </c>
      <c r="AA212" s="712">
        <f t="shared" si="651"/>
        <v>0</v>
      </c>
      <c r="AB212" s="712">
        <f>(VLOOKUP(Sheet1!CY212,hhdcap_wcm,4)-(((VLOOKUP(Sheet1!CY212,hhdcap_wcm,3)-Sheet1!CY212)/(VLOOKUP(Sheet1!CY212,hhdcap_wcm,3)-VLOOKUP(Sheet1!CY212,hhdcap_wcm,1)))*(VLOOKUP(Sheet1!CY212,hhdcap_wcm,4)-VLOOKUP(Sheet1!CY212,hhdcap_wcm,2))))</f>
        <v>45907.800000109237</v>
      </c>
      <c r="AC212" s="712">
        <f t="shared" si="652"/>
        <v>-294.01000000135537</v>
      </c>
      <c r="AD212" s="712">
        <f t="shared" si="653"/>
        <v>3259.4524119947846</v>
      </c>
      <c r="AE212" s="712">
        <f t="shared" si="654"/>
        <v>10000</v>
      </c>
      <c r="AF212" s="712">
        <f>Sheet1!BA212+Sheet1!BB212+Sheet1!BN212+BT212</f>
        <v>6.3</v>
      </c>
      <c r="AG212" s="712">
        <f t="shared" si="655"/>
        <v>6.3315631262517709</v>
      </c>
      <c r="AH212" s="712">
        <f>Sheet1!BA212+BT212</f>
        <v>0</v>
      </c>
      <c r="AI212" s="712">
        <f>Sheet1!BA212+Sheet1!BB212+BT212</f>
        <v>0</v>
      </c>
      <c r="AJ212" s="712">
        <f>IF((Sheet1!AA212+AG212+AX212+AZ212+BQ212+BS212+CL212+CN212)&lt;=N212,AG212+AX212+AZ212+BQ212+BS212+CL212+CN212,N212-Sheet1!AA212)</f>
        <v>6.3315631262517709</v>
      </c>
      <c r="AK212" s="712">
        <f>IF(DR212&lt;K212,0,MAX(Sheet1!AA212+AG212-15/36*K212-N212,Sheet1!ED212,0))</f>
        <v>0</v>
      </c>
      <c r="AL212" s="712">
        <f>IF(OR(B212&gt;=FT212,B212&lt;FS212),0,15/36*K212-MAX(0,64.6-(137.6-(Sheet1!AA212+Sheet1!AB212))))</f>
        <v>0</v>
      </c>
      <c r="AM212" s="712">
        <f>Sheet1!CX212-110</f>
        <v>456.52083333333337</v>
      </c>
      <c r="AN212" s="712">
        <f>Sheet1!CW212-265</f>
        <v>609.8125</v>
      </c>
      <c r="AO212" s="712">
        <f t="shared" si="733"/>
        <v>30.668436873748227</v>
      </c>
      <c r="AP212" s="712">
        <f t="shared" si="656"/>
        <v>0</v>
      </c>
      <c r="AQ212" s="712">
        <f t="shared" si="657"/>
        <v>0</v>
      </c>
      <c r="AR212" s="712">
        <f t="shared" si="658"/>
        <v>1358.1051716644936</v>
      </c>
      <c r="AS212" s="712"/>
      <c r="AT212" s="712">
        <f ca="1">IF(B212&gt;Summary!$A$1,#N/A,AR212*MGtoAF)</f>
        <v>4166.6666666666661</v>
      </c>
      <c r="AU212" s="712">
        <f>Sheet1!BG212+Sheet1!BH212+Sheet1!BI212-BC212</f>
        <v>1.58</v>
      </c>
      <c r="AV212" s="712">
        <f t="shared" si="659"/>
        <v>1.5879158316631425</v>
      </c>
      <c r="AW212" s="712">
        <f>IF(Sheet1!EL212="FM",BC212,0)</f>
        <v>0</v>
      </c>
      <c r="AX212" s="712">
        <f t="shared" si="660"/>
        <v>0</v>
      </c>
      <c r="AY212" s="712">
        <f>IF(Sheet1!EL212="OTHER",BC212,0)</f>
        <v>0</v>
      </c>
      <c r="AZ212" s="712">
        <f t="shared" si="661"/>
        <v>0</v>
      </c>
      <c r="BA212" s="712">
        <f t="shared" si="662"/>
        <v>1.58</v>
      </c>
      <c r="BB212" s="712">
        <f t="shared" si="663"/>
        <v>1.5879158316631425</v>
      </c>
      <c r="BC212" s="712">
        <f>IF(OR(Sheet1!EL212="FM", Sheet1!EL212="OTHER"),SUM(Sheet1!BG212:'Sheet1'!BI212),0)</f>
        <v>0</v>
      </c>
      <c r="BD212" s="697">
        <f>IF(AND($B212&gt;=$FL212,$B212&lt;=$FM212),MAX(AV212,Sheet1!EE212,0),MAX(AV212-(7/36)*$K212,0))</f>
        <v>0</v>
      </c>
      <c r="BE212" s="712">
        <f t="shared" si="664"/>
        <v>0</v>
      </c>
      <c r="BF212" s="697">
        <f t="shared" si="665"/>
        <v>1.5879158316631425</v>
      </c>
      <c r="BG212" s="697">
        <f>IF(AND($O212&gt;0,Sheet1!EI212=1),(1-($O212-Sheet1!$L212)/$O212)*BB212,0)</f>
        <v>0</v>
      </c>
      <c r="BH212" s="697">
        <f>IF(AND(Sheet1!$L212=0,Sheet1!$L211=0, Calculation!BA212&lt;Sheet1!$EE212-0.1,Sheet1!$EE212=Sheet1!$EE211,Sheet1!$EE212=Sheet1!$EE213),Sheet1!$EE212,BB212-BG212)</f>
        <v>1.5879158316631425</v>
      </c>
      <c r="BI212" s="712"/>
      <c r="BJ212" s="712"/>
      <c r="BK212" s="712">
        <f t="shared" si="666"/>
        <v>633.7824134434303</v>
      </c>
      <c r="BL212" s="712"/>
      <c r="BM212" s="712">
        <f ca="1">IF(B212&gt;Summary!$A$1,#N/A,BK212*MGtoAF)</f>
        <v>1944.4444444444441</v>
      </c>
      <c r="BN212" s="712">
        <f>Sheet1!BC212+Sheet1!BD212+Sheet1!BE212+Sheet1!BF212-BW212-BX212</f>
        <v>2.54</v>
      </c>
      <c r="BO212" s="712">
        <f t="shared" si="667"/>
        <v>2.5527254509015078</v>
      </c>
      <c r="BP212" s="712">
        <f>IF(Sheet1!EM212="FM",BX212,0)</f>
        <v>0</v>
      </c>
      <c r="BQ212" s="712">
        <f t="shared" si="668"/>
        <v>0</v>
      </c>
      <c r="BR212" s="712">
        <f>IF(Sheet1!EM212="OTHER",BX212,0)</f>
        <v>0</v>
      </c>
      <c r="BS212" s="712">
        <f t="shared" si="669"/>
        <v>0</v>
      </c>
      <c r="BT212" s="712">
        <f t="shared" si="670"/>
        <v>0</v>
      </c>
      <c r="BU212" s="712">
        <f t="shared" si="671"/>
        <v>2.54</v>
      </c>
      <c r="BV212" s="712">
        <f t="shared" si="672"/>
        <v>2.5527254509015078</v>
      </c>
      <c r="BW212" s="712">
        <f>IF(Sheet1!EM212="CWA",SUM(Sheet1!BC212:'Sheet1'!BF212),0)</f>
        <v>0</v>
      </c>
      <c r="BX212" s="712">
        <f>IF(OR(Sheet1!EM212="FM", Sheet1!EM212="OTHER"),SUM(Sheet1!BC212:'Sheet1'!BF212),0)</f>
        <v>0</v>
      </c>
      <c r="BY212" s="697">
        <f>IF(AND($B212&gt;=$FL212,$B212&lt;=$FM212),MAX(BV212,Sheet1!EF212,0),MAX(BV212-(7/36)*$K212,0))</f>
        <v>0</v>
      </c>
      <c r="BZ212" s="712">
        <f t="shared" si="673"/>
        <v>0</v>
      </c>
      <c r="CA212" s="697">
        <f t="shared" si="674"/>
        <v>2.5527254509015078</v>
      </c>
      <c r="CB212" s="697">
        <f>IF(AND($O212&gt;0,Sheet1!EJ212=1),(1-($O212-Sheet1!$L212)/$O212)*BV212,0)</f>
        <v>0</v>
      </c>
      <c r="CC212" s="697">
        <f>IF(AND(Sheet1!$L212=0,Sheet1!$L211=0, Calculation!BU212&lt;Sheet1!EF212-0.1,Sheet1!EF212=Sheet1!EF211,Sheet1!EF212=Sheet1!EF213),Sheet1!EF212,BV212-CB212)</f>
        <v>2.5527254509015078</v>
      </c>
      <c r="CD212" s="697"/>
      <c r="CE212" s="712"/>
      <c r="CF212" s="712">
        <f t="shared" si="675"/>
        <v>633.7824134434303</v>
      </c>
      <c r="CG212" s="712"/>
      <c r="CH212" s="712">
        <f ca="1">IF(B212&gt;Summary!$A$1,#N/A,CF212*MGtoAF)</f>
        <v>1944.4444444444441</v>
      </c>
      <c r="CI212" s="712">
        <f>Sheet1!BK212+Sheet1!BL212+Sheet1!BM212-Sheet1!EN212-CQ212</f>
        <v>9.5399999999999991</v>
      </c>
      <c r="CJ212" s="712">
        <f t="shared" si="676"/>
        <v>9.5877955911812531</v>
      </c>
      <c r="CK212" s="712">
        <f>IF(Sheet1!EN212="FM",CQ212,0)</f>
        <v>0</v>
      </c>
      <c r="CL212" s="712">
        <f t="shared" si="677"/>
        <v>0</v>
      </c>
      <c r="CM212" s="712">
        <f>IF(Sheet1!EN212="OTHER",CQ212,0)</f>
        <v>0</v>
      </c>
      <c r="CN212" s="712">
        <f t="shared" si="678"/>
        <v>0</v>
      </c>
      <c r="CO212" s="712">
        <f t="shared" si="679"/>
        <v>9.5399999999999991</v>
      </c>
      <c r="CP212" s="712">
        <f t="shared" si="680"/>
        <v>9.5877955911812531</v>
      </c>
      <c r="CQ212" s="712">
        <f>IF(OR(Sheet1!EN212="FM", Sheet1!EN212="OTHER"),SUM(Sheet1!BK212:'Sheet1'!BM212),0)</f>
        <v>0</v>
      </c>
      <c r="CR212" s="697">
        <f>IF(AND($B212&gt;=$FL212,$B212&lt;=$FM212),MAX($CJ212,Sheet1!EG212,0),MAX($CJ212-(7/36)*$K212,0))</f>
        <v>0</v>
      </c>
      <c r="CS212" s="712">
        <f t="shared" si="681"/>
        <v>0</v>
      </c>
      <c r="CT212" s="697">
        <f t="shared" si="682"/>
        <v>9.5877955911812531</v>
      </c>
      <c r="CU212" s="697">
        <f>IF(AND($O212&gt;0,Sheet1!EK212=1),(1-($O212-Sheet1!$L212)/$O212)*CP212,0)</f>
        <v>0</v>
      </c>
      <c r="CV212" s="697">
        <f>IF(AND(Sheet1!$L212=0,Sheet1!$L211=0, Calculation!CO212&lt;Sheet1!$EG212-0.1,Sheet1!$EG212=Sheet1!$EG211,Sheet1!$EG212=Sheet1!$EG213),Sheet1!$EG212,CP212-CU212)</f>
        <v>9.5877955911812531</v>
      </c>
      <c r="CW212" s="697">
        <f t="shared" si="721"/>
        <v>0</v>
      </c>
      <c r="CX212" s="712">
        <f t="shared" si="683"/>
        <v>13.66</v>
      </c>
      <c r="CY212" s="712">
        <f t="shared" si="684"/>
        <v>633.7824134434303</v>
      </c>
      <c r="CZ212" s="712">
        <f t="shared" si="685"/>
        <v>13.728436873745903</v>
      </c>
      <c r="DA212" s="712">
        <f ca="1">IF(B212&gt;Summary!$A$1,#N/A,CY212*MGtoAF)</f>
        <v>1944.4444444444441</v>
      </c>
      <c r="DB212" s="712">
        <f t="shared" si="686"/>
        <v>13.659999999999998</v>
      </c>
      <c r="DC212" s="712">
        <f t="shared" si="687"/>
        <v>19.959999999999997</v>
      </c>
      <c r="DD212" s="712">
        <f>Sheet1!AB212-DC212</f>
        <v>9.9999999997674394E-2</v>
      </c>
      <c r="DE212" s="712">
        <f t="shared" si="688"/>
        <v>5.0100200399636474E-3</v>
      </c>
      <c r="DF212" s="712">
        <f>(VLOOKUP(Sheet1!CY212,hhdcap_wcm,4)-(((VLOOKUP(Sheet1!CY212,hhdcap_wcm,3)-Sheet1!CY212)/(VLOOKUP(Sheet1!CY212,hhdcap_wcm,3)-VLOOKUP(Sheet1!CY212,hhdcap_wcm,1)))*(VLOOKUP(Sheet1!CY212,hhdcap_wcm,4)-VLOOKUP(Sheet1!CY212,hhdcap_wcm,2))))</f>
        <v>45907.800000109237</v>
      </c>
      <c r="DG212" s="712">
        <f t="shared" si="689"/>
        <v>-294.01000000135537</v>
      </c>
      <c r="DH212" s="712">
        <f t="shared" si="690"/>
        <v>-148.265254665333</v>
      </c>
      <c r="DI212" s="712">
        <f>Sheet1!DW212*AFtoMG</f>
        <v>0</v>
      </c>
      <c r="DJ212" s="712">
        <f>Sheet1!DX212*AFtoMG</f>
        <v>0</v>
      </c>
      <c r="DK212" s="712">
        <f>Sheet1!DY212*AFtoMG</f>
        <v>0</v>
      </c>
      <c r="DL212" s="712">
        <f>Sheet1!DZ212*AFtoMG</f>
        <v>0</v>
      </c>
      <c r="DM212" s="712">
        <f t="shared" si="691"/>
        <v>0</v>
      </c>
      <c r="DN212" s="712">
        <f t="shared" si="692"/>
        <v>0</v>
      </c>
      <c r="DO212" s="712">
        <f t="shared" si="693"/>
        <v>3259.4524119947846</v>
      </c>
      <c r="DP212" s="712">
        <f t="shared" si="694"/>
        <v>10000</v>
      </c>
      <c r="DQ212" s="712"/>
      <c r="DR212" s="697">
        <f>IF(OR(B212&lt;FL212,B212&gt;FM212),(MIN(AV212+BO212+CJ212+MAX(Sheet1!AA212+AG212-73,0),K212)),0)</f>
        <v>13.728436873745903</v>
      </c>
      <c r="DS212" s="712"/>
      <c r="DT212" s="712">
        <f t="shared" si="695"/>
        <v>13.728436873745903</v>
      </c>
      <c r="DU212" s="712"/>
      <c r="DV212" s="712">
        <f>Sheet1!ED212+Sheet1!EE212+Sheet1!EF212+Sheet1!EG212</f>
        <v>14</v>
      </c>
      <c r="DW212" s="712"/>
      <c r="DX212" s="697">
        <f t="shared" si="696"/>
        <v>0</v>
      </c>
      <c r="DY212" s="712">
        <f>IF(Sheet1!FN212=1,SUM('Calculations II'!AT212:BA212)+'Calculations II'!BC212+Sheet1!BU212+'Calculations II'!BE212+AF212,SUM('Calculations II'!AT212:BA212)+'Calculations II'!BC212+Sheet1!BU212+'Calculations II'!BE212+AF212)</f>
        <v>51.644544000000003</v>
      </c>
      <c r="DZ212" s="712">
        <f>Sheet1!AA212+Sheet1!AB212+'Calculations II'!BC212</f>
        <v>67.043599999997667</v>
      </c>
      <c r="EA212" s="712"/>
      <c r="EB212" s="712"/>
      <c r="EC212" s="712">
        <f t="shared" si="697"/>
        <v>40741</v>
      </c>
      <c r="ED212" s="712">
        <f t="shared" si="698"/>
        <v>0</v>
      </c>
      <c r="EE212" s="712">
        <f t="shared" si="699"/>
        <v>0</v>
      </c>
      <c r="EF212" s="712">
        <f>-(VLOOKUP(Sheet1!BQ212,Lookup!$B$4:$J$236,2)-VLOOKUP(Sheet1!BQ211,Lookup!$B$4:$J$236,2))/1000000</f>
        <v>-0.5544</v>
      </c>
      <c r="EG212" s="712">
        <f>-(VLOOKUP(Sheet1!BR212,Lookup!$B$4:$J$236,3)-VLOOKUP(Sheet1!BR211,Lookup!$B$4:$J$236,3))/1000000</f>
        <v>-0.27679999999999999</v>
      </c>
      <c r="EH212" s="712">
        <f>-(VLOOKUP(Sheet1!BS212,Lookup!$B$4:$J$236,4)-VLOOKUP(Sheet1!BS211,Lookup!$B$4:$J$236,4))/1000000</f>
        <v>0</v>
      </c>
      <c r="EI212" s="697">
        <f t="shared" si="700"/>
        <v>-0.83119999999999994</v>
      </c>
      <c r="EJ212" s="712"/>
      <c r="EK212" s="712"/>
      <c r="EL212" s="712"/>
      <c r="EM212" s="712"/>
      <c r="EN212" s="712"/>
      <c r="EO212" s="712"/>
      <c r="EP212" s="498"/>
      <c r="EQ212" s="712"/>
      <c r="ET212" s="794">
        <f t="shared" si="720"/>
        <v>1137.9000000000001</v>
      </c>
      <c r="EU212" s="697">
        <f t="shared" si="731"/>
        <v>12803.300000054878</v>
      </c>
      <c r="EV212" s="795">
        <f t="shared" si="640"/>
        <v>21884.500000054359</v>
      </c>
      <c r="EW212" s="796" t="s">
        <v>757</v>
      </c>
      <c r="EX212" s="796" t="s">
        <v>757</v>
      </c>
      <c r="EY212" s="862">
        <f t="shared" si="732"/>
        <v>148.265254665333</v>
      </c>
      <c r="EZ212" s="798">
        <v>23104.500000054359</v>
      </c>
      <c r="FA212" s="712">
        <v>23104.500000054359</v>
      </c>
      <c r="FB212" s="712"/>
      <c r="FC212" s="712"/>
      <c r="FD212" s="712"/>
      <c r="FE212" s="712">
        <f>O212+Sheet1!CO212</f>
        <v>7683.5599999999977</v>
      </c>
      <c r="FF212" s="712">
        <f>IF(Sheet1!AA212+AG212&lt;=Calculation!N212,AG212,Calculation!N212-Sheet1!AA212)</f>
        <v>6.3315631262517709</v>
      </c>
      <c r="FG212" s="712">
        <f>(Sheet1!BP212+Sheet1!BO212)/694.4</f>
        <v>2.9076900921658986</v>
      </c>
      <c r="FH212" s="712"/>
      <c r="FI212" s="712"/>
      <c r="FJ212" s="712"/>
      <c r="FK212" s="712"/>
      <c r="FL212" s="714">
        <f t="shared" si="726"/>
        <v>40753</v>
      </c>
      <c r="FM212" s="714">
        <f t="shared" si="727"/>
        <v>40851</v>
      </c>
      <c r="FN212" s="712"/>
      <c r="FO212" s="712"/>
      <c r="FP212" s="712"/>
      <c r="FQ212" s="712"/>
      <c r="FR212" s="712"/>
      <c r="FS212" s="725">
        <f t="shared" si="728"/>
        <v>40603</v>
      </c>
      <c r="FT212" s="714">
        <f t="shared" si="729"/>
        <v>40709</v>
      </c>
      <c r="FU212" s="712">
        <f t="shared" si="728"/>
        <v>6518.9048239895692</v>
      </c>
      <c r="FV212" s="714">
        <f t="shared" si="730"/>
        <v>40722</v>
      </c>
      <c r="FW212" s="712">
        <f t="shared" si="728"/>
        <v>3259.4524119947846</v>
      </c>
      <c r="FX212" s="725">
        <f t="shared" si="728"/>
        <v>40851</v>
      </c>
      <c r="FZ212" s="697">
        <f t="shared" si="722"/>
        <v>0</v>
      </c>
      <c r="GA212" s="712" t="str">
        <f t="shared" si="701"/>
        <v/>
      </c>
      <c r="GB212" s="712">
        <f t="shared" si="702"/>
        <v>0</v>
      </c>
      <c r="GC212" s="712" t="str">
        <f t="shared" si="703"/>
        <v/>
      </c>
      <c r="GD212" s="712">
        <f>IF(GA212="P",Lookup!$M$12,IF(GA212="PP",Lookup!$M$13,IF(GA212="PPP",Lookup!$M$14,IF(GA212="T",Lookup!$M$15,IF(GA212="TP",Lookup!$M$16,IF(GA212="TPP",Lookup!$M$17,IF(GA212="TPPP",Lookup!$M$18,0)))))))*FZ212</f>
        <v>0</v>
      </c>
      <c r="GE212" s="712">
        <f t="shared" si="704"/>
        <v>0</v>
      </c>
      <c r="GF212" s="712">
        <f t="shared" si="705"/>
        <v>4166.6666666666661</v>
      </c>
      <c r="GG212" s="712">
        <f t="shared" si="706"/>
        <v>1358.1051716644936</v>
      </c>
      <c r="GH212" s="712"/>
      <c r="GI212" s="712">
        <f t="shared" si="707"/>
        <v>0</v>
      </c>
      <c r="GJ212" s="712" t="str">
        <f t="shared" si="708"/>
        <v/>
      </c>
      <c r="GK212" s="712">
        <f>IF(GA212="P",Lookup!$N$12,IF(GA212="PP",Lookup!$N$13,IF(GA212="PPP",Lookup!$N$14,IF(GA212="T",Lookup!$N$15,IF(GA212="TP",Lookup!$N$16,IF(GA212="TPP",Lookup!$N$17,IF(GA212="TPPP",Lookup!$N$18,0)))))))*FZ212</f>
        <v>0</v>
      </c>
      <c r="GL212" s="712">
        <f t="shared" si="709"/>
        <v>0</v>
      </c>
      <c r="GM212" s="712">
        <f t="shared" si="710"/>
        <v>1944.4444444444441</v>
      </c>
      <c r="GN212" s="712">
        <f t="shared" si="711"/>
        <v>633.7824134434303</v>
      </c>
      <c r="GO212" s="712"/>
      <c r="GP212" s="712">
        <f t="shared" si="712"/>
        <v>0</v>
      </c>
      <c r="GQ212" s="712" t="str">
        <f t="shared" si="713"/>
        <v/>
      </c>
      <c r="GR212" s="712">
        <f>IF(GA212="P",Lookup!$N$12,IF(GA212="PP",Lookup!$N$13,IF(GA212="PPP",Lookup!$N$14,IF(GA212="T",Lookup!$N$15,IF(GA212="TP",Lookup!$N$16,IF(GA212="TPP",Lookup!$N$17,IF(GA212="TPPP",Lookup!$N$18,0)))))))*FZ212</f>
        <v>0</v>
      </c>
      <c r="GS212" s="697">
        <f t="shared" si="724"/>
        <v>0</v>
      </c>
      <c r="GT212" s="712">
        <f t="shared" si="714"/>
        <v>1944.4444444444441</v>
      </c>
      <c r="GU212" s="712">
        <f t="shared" si="715"/>
        <v>633.7824134434303</v>
      </c>
      <c r="GV212" s="712"/>
      <c r="GW212" s="712">
        <f t="shared" si="716"/>
        <v>0</v>
      </c>
      <c r="GX212" s="712" t="str">
        <f t="shared" si="717"/>
        <v/>
      </c>
      <c r="GY212" s="712">
        <f>IF(GA212="P",Lookup!$N$12,IF(GA212="PP",Lookup!$N$13,IF(GA212="PPP",Lookup!$N$14,IF(GA212="T",Lookup!$N$15,IF(GA212="TP",Lookup!$N$16,IF(GA212="TPP",Lookup!$N$17,IF(GA212="TPPP",Lookup!$N$18,0)))))))*FZ212</f>
        <v>0</v>
      </c>
      <c r="GZ212" s="697">
        <f t="shared" si="725"/>
        <v>0</v>
      </c>
      <c r="HA212" s="712">
        <f t="shared" si="718"/>
        <v>1944.4444444444441</v>
      </c>
      <c r="HB212" s="712">
        <f t="shared" si="719"/>
        <v>633.7824134434303</v>
      </c>
      <c r="HC212" s="712"/>
    </row>
    <row r="213" spans="1:211">
      <c r="A213" s="773" t="s">
        <v>4</v>
      </c>
      <c r="B213" s="708">
        <v>40742</v>
      </c>
      <c r="C213" s="719">
        <v>0.5</v>
      </c>
      <c r="D213" s="675">
        <f t="shared" si="641"/>
        <v>200</v>
      </c>
      <c r="E213" s="675">
        <f t="shared" si="642"/>
        <v>400</v>
      </c>
      <c r="F213" s="675">
        <v>250</v>
      </c>
      <c r="G213" s="712">
        <f>DH213+Sheet1!CV213</f>
        <v>465.95923684627735</v>
      </c>
      <c r="H213" s="712">
        <f t="shared" si="643"/>
        <v>98.872850697433677</v>
      </c>
      <c r="I213" s="711">
        <f>MAX(Sheet1!Z213-AJ213+(Sheet1!CW213-E213)*CFStoMGD,0)</f>
        <v>313.23968868778252</v>
      </c>
      <c r="J213" s="720">
        <f>IF(AND(B213&gt;=Calculation!FS213,B213&lt;=Calculation!FT213),IF(Sheet1!CX213&gt;=Calculation!D213,64.64,0),MAX(Sheet1!Z213-AJ213+(Sheet1!CX213-D213)*CFStoMGD,0))</f>
        <v>248.60642202111583</v>
      </c>
      <c r="K213" s="697">
        <f t="shared" si="644"/>
        <v>64.64</v>
      </c>
      <c r="L213" s="712">
        <f>Sheet1!AA213+Sheet1!AB213-Sheet1!L213+(Sheet1!CW213-F213)*CFStoMGD</f>
        <v>456.88719999999796</v>
      </c>
      <c r="M213" s="712">
        <f t="shared" si="645"/>
        <v>307.21997171138236</v>
      </c>
      <c r="N213" s="712">
        <f>IF(Sheet1!CW213&gt;=F213,MIN(73,MIN(MAX(L213,0),MAX(M213,0))),0)</f>
        <v>73</v>
      </c>
      <c r="O213" s="721">
        <f>Sheet1!AA213+Sheet1!AB213</f>
        <v>60.239999999997963</v>
      </c>
      <c r="P213" s="721">
        <f t="shared" si="646"/>
        <v>93.191279999996851</v>
      </c>
      <c r="Q213" s="712">
        <f>MIN(N213,Sheet1!AA213+AG213)</f>
        <v>46.54751131221456</v>
      </c>
      <c r="R213" s="712">
        <f t="shared" si="647"/>
        <v>14</v>
      </c>
      <c r="S213" s="721">
        <f>Sheet1!Y213*MGDtoCFS</f>
        <v>55.537299999999995</v>
      </c>
      <c r="T213" s="721">
        <f>Sheet1!Z213*MGDtoCFS</f>
        <v>30.785299999999996</v>
      </c>
      <c r="U213" s="721">
        <f>Sheet1!AA213*MGDtoCFS</f>
        <v>62.189399999995494</v>
      </c>
      <c r="V213" s="721">
        <f>Sheet1!AB213*MGDtoCFS</f>
        <v>31.00188000000135</v>
      </c>
      <c r="W213" s="721">
        <f>Sheet1!L213*MGDtoCFS</f>
        <v>0</v>
      </c>
      <c r="X213" s="697">
        <f t="shared" si="648"/>
        <v>0</v>
      </c>
      <c r="Y213" s="712">
        <f t="shared" si="649"/>
        <v>0</v>
      </c>
      <c r="Z213" s="712">
        <f t="shared" si="650"/>
        <v>0</v>
      </c>
      <c r="AA213" s="712">
        <f t="shared" si="651"/>
        <v>0</v>
      </c>
      <c r="AB213" s="712">
        <f>(VLOOKUP(Sheet1!CY213,hhdcap_wcm,4)-(((VLOOKUP(Sheet1!CY213,hhdcap_wcm,3)-Sheet1!CY213)/(VLOOKUP(Sheet1!CY213,hhdcap_wcm,3)-VLOOKUP(Sheet1!CY213,hhdcap_wcm,1)))*(VLOOKUP(Sheet1!CY213,hhdcap_wcm,4)-VLOOKUP(Sheet1!CY213,hhdcap_wcm,2))))</f>
        <v>45518.280000108738</v>
      </c>
      <c r="AC213" s="712">
        <f t="shared" si="652"/>
        <v>-389.52000000049884</v>
      </c>
      <c r="AD213" s="712">
        <f t="shared" si="653"/>
        <v>3259.4524119947846</v>
      </c>
      <c r="AE213" s="712">
        <f t="shared" si="654"/>
        <v>10000</v>
      </c>
      <c r="AF213" s="712">
        <f>Sheet1!BA213+Sheet1!BB213+Sheet1!BN213+BT213</f>
        <v>6.3</v>
      </c>
      <c r="AG213" s="712">
        <f t="shared" si="655"/>
        <v>6.3475113122174704</v>
      </c>
      <c r="AH213" s="712">
        <f>Sheet1!BA213+BT213</f>
        <v>0</v>
      </c>
      <c r="AI213" s="712">
        <f>Sheet1!BA213+Sheet1!BB213+BT213</f>
        <v>0</v>
      </c>
      <c r="AJ213" s="712">
        <f>IF((Sheet1!AA213+AG213+AX213+AZ213+BQ213+BS213+CL213+CN213)&lt;=N213,AG213+AX213+AZ213+BQ213+BS213+CL213+CN213,N213-Sheet1!AA213)</f>
        <v>6.3475113122174704</v>
      </c>
      <c r="AK213" s="712">
        <f>IF(DR213&lt;K213,0,MAX(Sheet1!AA213+AG213-15/36*K213-N213,Sheet1!ED213,0))</f>
        <v>0</v>
      </c>
      <c r="AL213" s="712">
        <f>IF(OR(B213&gt;=FT213,B213&lt;FS213),0,15/36*K213-MAX(0,64.6-(137.6-(Sheet1!AA213+Sheet1!AB213))))</f>
        <v>0</v>
      </c>
      <c r="AM213" s="712">
        <f>Sheet1!CX213-110</f>
        <v>453.63541666666663</v>
      </c>
      <c r="AN213" s="712">
        <f>Sheet1!CW213-265</f>
        <v>598.625</v>
      </c>
      <c r="AO213" s="712">
        <f t="shared" si="733"/>
        <v>26.45248868778544</v>
      </c>
      <c r="AP213" s="712">
        <f>IF(OR(AM213-AN213-(AO213*1.547)&lt;0,AN213&gt;350),0,AM213-AN213-(AO213*1.547))</f>
        <v>0</v>
      </c>
      <c r="AQ213" s="712">
        <f t="shared" si="657"/>
        <v>0</v>
      </c>
      <c r="AR213" s="712">
        <f t="shared" si="658"/>
        <v>1358.1051716644936</v>
      </c>
      <c r="AS213" s="712"/>
      <c r="AT213" s="712">
        <f ca="1">IF(B213&gt;Summary!$A$1,#N/A,AR213*MGtoAF)</f>
        <v>4166.6666666666661</v>
      </c>
      <c r="AU213" s="712">
        <f>Sheet1!BG213+Sheet1!BH213+Sheet1!BI213-BC213</f>
        <v>1.5</v>
      </c>
      <c r="AV213" s="712">
        <f t="shared" si="659"/>
        <v>1.511312217194636</v>
      </c>
      <c r="AW213" s="712">
        <f>IF(Sheet1!EL213="FM",BC213,0)</f>
        <v>0</v>
      </c>
      <c r="AX213" s="712">
        <f t="shared" si="660"/>
        <v>0</v>
      </c>
      <c r="AY213" s="712">
        <f>IF(Sheet1!EL213="OTHER",BC213,0)</f>
        <v>0</v>
      </c>
      <c r="AZ213" s="712">
        <f t="shared" si="661"/>
        <v>0</v>
      </c>
      <c r="BA213" s="712">
        <f t="shared" si="662"/>
        <v>1.5</v>
      </c>
      <c r="BB213" s="712">
        <f t="shared" si="663"/>
        <v>1.511312217194636</v>
      </c>
      <c r="BC213" s="712">
        <f>IF(OR(Sheet1!EL213="FM", Sheet1!EL213="OTHER"),SUM(Sheet1!BG213:'Sheet1'!BI213),0)</f>
        <v>0</v>
      </c>
      <c r="BD213" s="697">
        <f>IF(AND($B213&gt;=$FL213,$B213&lt;=$FM213),MAX(AV213,Sheet1!EE213,0),MAX(AV213-(7/36)*$K213,0))</f>
        <v>0</v>
      </c>
      <c r="BE213" s="712">
        <f t="shared" si="664"/>
        <v>0</v>
      </c>
      <c r="BF213" s="697">
        <f t="shared" si="665"/>
        <v>1.511312217194636</v>
      </c>
      <c r="BG213" s="697">
        <f>IF(AND($O213&gt;0,Sheet1!EI213=1),(1-($O213-Sheet1!$L213)/$O213)*BB213,0)</f>
        <v>0</v>
      </c>
      <c r="BH213" s="697">
        <f>IF(AND(Sheet1!$L213=0,Sheet1!$L212=0, Calculation!BA213&lt;Sheet1!$EE213-0.1,Sheet1!$EE213=Sheet1!$EE212,Sheet1!$EE213=Sheet1!$EE214),Sheet1!$EE213,BB213-BG213)</f>
        <v>1.511312217194636</v>
      </c>
      <c r="BI213" s="712"/>
      <c r="BJ213" s="712"/>
      <c r="BK213" s="712">
        <f t="shared" si="666"/>
        <v>633.7824134434303</v>
      </c>
      <c r="BL213" s="712"/>
      <c r="BM213" s="712">
        <f ca="1">IF(B213&gt;Summary!$A$1,#N/A,BK213*MGtoAF)</f>
        <v>1944.4444444444441</v>
      </c>
      <c r="BN213" s="712">
        <f>Sheet1!BC213+Sheet1!BD213+Sheet1!BE213+Sheet1!BF213-BW213-BX213</f>
        <v>2.5600000000000005</v>
      </c>
      <c r="BO213" s="712">
        <f t="shared" si="667"/>
        <v>2.5793061840121791</v>
      </c>
      <c r="BP213" s="712">
        <f>IF(Sheet1!EM213="FM",BX213,0)</f>
        <v>0</v>
      </c>
      <c r="BQ213" s="712">
        <f t="shared" si="668"/>
        <v>0</v>
      </c>
      <c r="BR213" s="712">
        <f>IF(Sheet1!EM213="OTHER",BX213,0)</f>
        <v>0</v>
      </c>
      <c r="BS213" s="712">
        <f t="shared" si="669"/>
        <v>0</v>
      </c>
      <c r="BT213" s="712">
        <f t="shared" si="670"/>
        <v>0</v>
      </c>
      <c r="BU213" s="712">
        <f t="shared" si="671"/>
        <v>2.5600000000000005</v>
      </c>
      <c r="BV213" s="712">
        <f t="shared" si="672"/>
        <v>2.5793061840121791</v>
      </c>
      <c r="BW213" s="712">
        <f>IF(Sheet1!EM213="CWA",SUM(Sheet1!BC213:'Sheet1'!BF213),0)</f>
        <v>0</v>
      </c>
      <c r="BX213" s="712">
        <f>IF(OR(Sheet1!EM213="FM", Sheet1!EM213="OTHER"),SUM(Sheet1!BC213:'Sheet1'!BF213),0)</f>
        <v>0</v>
      </c>
      <c r="BY213" s="697">
        <f>IF(AND($B213&gt;=$FL213,$B213&lt;=$FM213),MAX(BV213,Sheet1!EF213,0),MAX(BV213-(7/36)*$K213,0))</f>
        <v>0</v>
      </c>
      <c r="BZ213" s="712">
        <f t="shared" si="673"/>
        <v>0</v>
      </c>
      <c r="CA213" s="697">
        <f t="shared" si="674"/>
        <v>2.5793061840121791</v>
      </c>
      <c r="CB213" s="697">
        <f>IF(AND($O213&gt;0,Sheet1!EJ213=1),(1-($O213-Sheet1!$L213)/$O213)*BV213,0)</f>
        <v>0</v>
      </c>
      <c r="CC213" s="697">
        <f>IF(AND(Sheet1!$L213=0,Sheet1!$L212=0, Calculation!BU213&lt;Sheet1!EF213-0.1,Sheet1!EF213=Sheet1!EF212,Sheet1!EF213=Sheet1!EF214),Sheet1!EF213,BV213-CB213)</f>
        <v>2.5793061840121791</v>
      </c>
      <c r="CD213" s="697"/>
      <c r="CE213" s="712"/>
      <c r="CF213" s="712">
        <f t="shared" si="675"/>
        <v>633.7824134434303</v>
      </c>
      <c r="CG213" s="712"/>
      <c r="CH213" s="712">
        <f ca="1">IF(B213&gt;Summary!$A$1,#N/A,CF213*MGtoAF)</f>
        <v>1944.4444444444441</v>
      </c>
      <c r="CI213" s="712">
        <f>Sheet1!BK213+Sheet1!BL213+Sheet1!BM213-Sheet1!EN213-CQ213</f>
        <v>9.5300000000000011</v>
      </c>
      <c r="CJ213" s="712">
        <f t="shared" si="676"/>
        <v>9.6018702865765881</v>
      </c>
      <c r="CK213" s="712">
        <f>IF(Sheet1!EN213="FM",CQ213,0)</f>
        <v>0</v>
      </c>
      <c r="CL213" s="712">
        <f t="shared" si="677"/>
        <v>0</v>
      </c>
      <c r="CM213" s="712">
        <f>IF(Sheet1!EN213="OTHER",CQ213,0)</f>
        <v>0</v>
      </c>
      <c r="CN213" s="712">
        <f t="shared" si="678"/>
        <v>0</v>
      </c>
      <c r="CO213" s="712">
        <f t="shared" si="679"/>
        <v>9.5300000000000011</v>
      </c>
      <c r="CP213" s="712">
        <f t="shared" si="680"/>
        <v>9.6018702865765881</v>
      </c>
      <c r="CQ213" s="712">
        <f>IF(OR(Sheet1!EN213="FM", Sheet1!EN213="OTHER"),SUM(Sheet1!BK213:'Sheet1'!BM213),0)</f>
        <v>0</v>
      </c>
      <c r="CR213" s="697">
        <f>IF(AND($B213&gt;=$FL213,$B213&lt;=$FM213),MAX($CJ213,Sheet1!EG213,0),MAX($CJ213-(7/36)*$K213,0))</f>
        <v>0</v>
      </c>
      <c r="CS213" s="712">
        <f t="shared" si="681"/>
        <v>0</v>
      </c>
      <c r="CT213" s="697">
        <f t="shared" si="682"/>
        <v>9.6018702865765881</v>
      </c>
      <c r="CU213" s="697">
        <f>IF(AND($O213&gt;0,Sheet1!EK213=1),(1-($O213-Sheet1!$L213)/$O213)*CP213,0)</f>
        <v>0</v>
      </c>
      <c r="CV213" s="697">
        <f>IF(AND(Sheet1!$L213=0,Sheet1!$L212=0, Calculation!CO213&lt;Sheet1!$EG213-0.1,Sheet1!$EG213=Sheet1!$EG212,Sheet1!$EG213=Sheet1!$EG214),Sheet1!$EG213,CP213-CU213)</f>
        <v>9.6018702865765881</v>
      </c>
      <c r="CW213" s="697">
        <f t="shared" si="721"/>
        <v>0</v>
      </c>
      <c r="CX213" s="712">
        <f t="shared" si="683"/>
        <v>13.590000000000002</v>
      </c>
      <c r="CY213" s="712">
        <f t="shared" si="684"/>
        <v>633.7824134434303</v>
      </c>
      <c r="CZ213" s="712">
        <f t="shared" si="685"/>
        <v>13.692488687783403</v>
      </c>
      <c r="DA213" s="712">
        <f ca="1">IF(B213&gt;Summary!$A$1,#N/A,CY213*MGtoAF)</f>
        <v>1944.4444444444441</v>
      </c>
      <c r="DB213" s="712">
        <f t="shared" si="686"/>
        <v>13.590000000000002</v>
      </c>
      <c r="DC213" s="712">
        <f t="shared" si="687"/>
        <v>19.89</v>
      </c>
      <c r="DD213" s="712">
        <f>Sheet1!AB213-DC213</f>
        <v>0.15000000000087255</v>
      </c>
      <c r="DE213" s="712">
        <f t="shared" si="688"/>
        <v>7.5414781297572925E-3</v>
      </c>
      <c r="DF213" s="712">
        <f>(VLOOKUP(Sheet1!CY213,hhdcap_wcm,4)-(((VLOOKUP(Sheet1!CY213,hhdcap_wcm,3)-Sheet1!CY213)/(VLOOKUP(Sheet1!CY213,hhdcap_wcm,3)-VLOOKUP(Sheet1!CY213,hhdcap_wcm,1)))*(VLOOKUP(Sheet1!CY213,hhdcap_wcm,4)-VLOOKUP(Sheet1!CY213,hhdcap_wcm,2))))</f>
        <v>45518.280000108738</v>
      </c>
      <c r="DG213" s="712">
        <f t="shared" si="689"/>
        <v>-389.52000000049884</v>
      </c>
      <c r="DH213" s="712">
        <f t="shared" si="690"/>
        <v>-196.42965204261159</v>
      </c>
      <c r="DI213" s="712">
        <f>Sheet1!DW213*AFtoMG</f>
        <v>0</v>
      </c>
      <c r="DJ213" s="712">
        <f>Sheet1!DX213*AFtoMG</f>
        <v>0</v>
      </c>
      <c r="DK213" s="712">
        <f>Sheet1!DY213*AFtoMG</f>
        <v>0</v>
      </c>
      <c r="DL213" s="712">
        <f>Sheet1!DZ213*AFtoMG</f>
        <v>0</v>
      </c>
      <c r="DM213" s="712">
        <f t="shared" si="691"/>
        <v>0</v>
      </c>
      <c r="DN213" s="712">
        <f t="shared" si="692"/>
        <v>0</v>
      </c>
      <c r="DO213" s="712">
        <f t="shared" si="693"/>
        <v>3259.4524119947846</v>
      </c>
      <c r="DP213" s="712">
        <f t="shared" si="694"/>
        <v>10000</v>
      </c>
      <c r="DQ213" s="712"/>
      <c r="DR213" s="697">
        <f>IF(OR(B213&lt;FL213,B213&gt;FM213),(MIN(AV213+BO213+CJ213+MAX(Sheet1!AA213+AG213-73,0),K213)),0)</f>
        <v>13.692488687783403</v>
      </c>
      <c r="DS213" s="712"/>
      <c r="DT213" s="712">
        <f t="shared" si="695"/>
        <v>13.692488687783403</v>
      </c>
      <c r="DU213" s="712"/>
      <c r="DV213" s="712">
        <f>Sheet1!ED213+Sheet1!EE213+Sheet1!EF213+Sheet1!EG213</f>
        <v>14</v>
      </c>
      <c r="DW213" s="712"/>
      <c r="DX213" s="697">
        <f t="shared" si="696"/>
        <v>0</v>
      </c>
      <c r="DY213" s="712">
        <f>IF(Sheet1!FN213=1,SUM('Calculations II'!AT213:BA213)+'Calculations II'!BC213+Sheet1!BU213+'Calculations II'!BE213+AF213,SUM('Calculations II'!AT213:BA213)+'Calculations II'!BC213+Sheet1!BU213+'Calculations II'!BE213+AF213)</f>
        <v>56.070976000000002</v>
      </c>
      <c r="DZ213" s="712">
        <f>Sheet1!AA213+Sheet1!AB213+'Calculations II'!BC213</f>
        <v>83.824607999997966</v>
      </c>
      <c r="EA213" s="712"/>
      <c r="EB213" s="712"/>
      <c r="EC213" s="712">
        <f t="shared" si="697"/>
        <v>40742</v>
      </c>
      <c r="ED213" s="712">
        <f t="shared" si="698"/>
        <v>0</v>
      </c>
      <c r="EE213" s="712">
        <f t="shared" si="699"/>
        <v>0</v>
      </c>
      <c r="EF213" s="712">
        <f>-(VLOOKUP(Sheet1!BQ213,Lookup!$B$4:$J$236,2)-VLOOKUP(Sheet1!BQ212,Lookup!$B$4:$J$236,2))/1000000</f>
        <v>3.5764</v>
      </c>
      <c r="EG213" s="712">
        <f>-(VLOOKUP(Sheet1!BR213,Lookup!$B$4:$J$236,3)-VLOOKUP(Sheet1!BR212,Lookup!$B$4:$J$236,3))/1000000</f>
        <v>3.2944</v>
      </c>
      <c r="EH213" s="712">
        <f>-(VLOOKUP(Sheet1!BS213,Lookup!$B$4:$J$236,4)-VLOOKUP(Sheet1!BS212,Lookup!$B$4:$J$236,4))/1000000</f>
        <v>0</v>
      </c>
      <c r="EI213" s="697">
        <f t="shared" si="700"/>
        <v>6.8708</v>
      </c>
      <c r="EJ213" s="712"/>
      <c r="EK213" s="712"/>
      <c r="EL213" s="712"/>
      <c r="EM213" s="712"/>
      <c r="EN213" s="712"/>
      <c r="EO213" s="712"/>
      <c r="EP213" s="498"/>
      <c r="EQ213" s="712"/>
      <c r="ET213" s="794">
        <f t="shared" si="720"/>
        <v>1137.9000000000001</v>
      </c>
      <c r="EU213" s="697">
        <f t="shared" si="731"/>
        <v>12483.280000054536</v>
      </c>
      <c r="EV213" s="795">
        <f t="shared" si="640"/>
        <v>21815.000000054202</v>
      </c>
      <c r="EW213" s="796" t="s">
        <v>757</v>
      </c>
      <c r="EX213" s="796" t="s">
        <v>757</v>
      </c>
      <c r="EY213" s="862">
        <f t="shared" si="732"/>
        <v>161.38174483123672</v>
      </c>
      <c r="EZ213" s="798">
        <v>23035.000000054202</v>
      </c>
      <c r="FA213" s="712">
        <v>23035.000000054202</v>
      </c>
      <c r="FB213" s="712"/>
      <c r="FC213" s="712"/>
      <c r="FD213" s="712"/>
      <c r="FE213" s="712">
        <f>O213+Sheet1!CO213</f>
        <v>16438.439999999999</v>
      </c>
      <c r="FF213" s="712">
        <f>IF(Sheet1!AA213+AG213&lt;=Calculation!N213,AG213,Calculation!N213-Sheet1!AA213)</f>
        <v>6.3475113122174704</v>
      </c>
      <c r="FG213" s="712">
        <f>(Sheet1!BP213+Sheet1!BO213)/694.4</f>
        <v>3.3888248847926268</v>
      </c>
      <c r="FH213" s="712"/>
      <c r="FI213" s="712"/>
      <c r="FJ213" s="712"/>
      <c r="FK213" s="712"/>
      <c r="FL213" s="714">
        <f t="shared" si="726"/>
        <v>40753</v>
      </c>
      <c r="FM213" s="714">
        <f t="shared" si="727"/>
        <v>40851</v>
      </c>
      <c r="FN213" s="712"/>
      <c r="FO213" s="712"/>
      <c r="FP213" s="712"/>
      <c r="FQ213" s="712"/>
      <c r="FR213" s="712"/>
      <c r="FS213" s="725">
        <f t="shared" si="728"/>
        <v>40603</v>
      </c>
      <c r="FT213" s="714">
        <f t="shared" si="729"/>
        <v>40709</v>
      </c>
      <c r="FU213" s="712">
        <f t="shared" si="728"/>
        <v>6518.9048239895692</v>
      </c>
      <c r="FV213" s="714">
        <f t="shared" si="730"/>
        <v>40722</v>
      </c>
      <c r="FW213" s="712">
        <f t="shared" si="728"/>
        <v>3259.4524119947846</v>
      </c>
      <c r="FX213" s="725">
        <f t="shared" si="728"/>
        <v>40851</v>
      </c>
      <c r="FZ213" s="697">
        <f t="shared" si="722"/>
        <v>0</v>
      </c>
      <c r="GA213" s="712" t="str">
        <f t="shared" si="701"/>
        <v/>
      </c>
      <c r="GB213" s="712">
        <f t="shared" si="702"/>
        <v>0</v>
      </c>
      <c r="GC213" s="712" t="str">
        <f t="shared" si="703"/>
        <v/>
      </c>
      <c r="GD213" s="712">
        <f>IF(GA213="P",Lookup!$M$12,IF(GA213="PP",Lookup!$M$13,IF(GA213="PPP",Lookup!$M$14,IF(GA213="T",Lookup!$M$15,IF(GA213="TP",Lookup!$M$16,IF(GA213="TPP",Lookup!$M$17,IF(GA213="TPPP",Lookup!$M$18,0)))))))*FZ213</f>
        <v>0</v>
      </c>
      <c r="GE213" s="712">
        <f t="shared" si="704"/>
        <v>0</v>
      </c>
      <c r="GF213" s="712">
        <f t="shared" si="705"/>
        <v>4166.6666666666661</v>
      </c>
      <c r="GG213" s="712">
        <f t="shared" si="706"/>
        <v>1358.1051716644936</v>
      </c>
      <c r="GH213" s="712"/>
      <c r="GI213" s="712">
        <f t="shared" si="707"/>
        <v>0</v>
      </c>
      <c r="GJ213" s="712" t="str">
        <f t="shared" si="708"/>
        <v/>
      </c>
      <c r="GK213" s="712">
        <f>IF(GA213="P",Lookup!$N$12,IF(GA213="PP",Lookup!$N$13,IF(GA213="PPP",Lookup!$N$14,IF(GA213="T",Lookup!$N$15,IF(GA213="TP",Lookup!$N$16,IF(GA213="TPP",Lookup!$N$17,IF(GA213="TPPP",Lookup!$N$18,0)))))))*FZ213</f>
        <v>0</v>
      </c>
      <c r="GL213" s="712">
        <f t="shared" si="709"/>
        <v>0</v>
      </c>
      <c r="GM213" s="712">
        <f t="shared" si="710"/>
        <v>1944.4444444444441</v>
      </c>
      <c r="GN213" s="712">
        <f t="shared" si="711"/>
        <v>633.7824134434303</v>
      </c>
      <c r="GO213" s="712"/>
      <c r="GP213" s="712">
        <f t="shared" si="712"/>
        <v>0</v>
      </c>
      <c r="GQ213" s="712" t="str">
        <f t="shared" si="713"/>
        <v/>
      </c>
      <c r="GR213" s="712">
        <f>IF(GA213="P",Lookup!$N$12,IF(GA213="PP",Lookup!$N$13,IF(GA213="PPP",Lookup!$N$14,IF(GA213="T",Lookup!$N$15,IF(GA213="TP",Lookup!$N$16,IF(GA213="TPP",Lookup!$N$17,IF(GA213="TPPP",Lookup!$N$18,0)))))))*FZ213</f>
        <v>0</v>
      </c>
      <c r="GS213" s="697">
        <f t="shared" si="724"/>
        <v>0</v>
      </c>
      <c r="GT213" s="712">
        <f t="shared" si="714"/>
        <v>1944.4444444444441</v>
      </c>
      <c r="GU213" s="712">
        <f t="shared" si="715"/>
        <v>633.7824134434303</v>
      </c>
      <c r="GV213" s="712"/>
      <c r="GW213" s="712">
        <f t="shared" si="716"/>
        <v>0</v>
      </c>
      <c r="GX213" s="712" t="str">
        <f t="shared" si="717"/>
        <v/>
      </c>
      <c r="GY213" s="712">
        <f>IF(GA213="P",Lookup!$N$12,IF(GA213="PP",Lookup!$N$13,IF(GA213="PPP",Lookup!$N$14,IF(GA213="T",Lookup!$N$15,IF(GA213="TP",Lookup!$N$16,IF(GA213="TPP",Lookup!$N$17,IF(GA213="TPPP",Lookup!$N$18,0)))))))*FZ213</f>
        <v>0</v>
      </c>
      <c r="GZ213" s="697">
        <f t="shared" si="725"/>
        <v>0</v>
      </c>
      <c r="HA213" s="712">
        <f t="shared" si="718"/>
        <v>1944.4444444444441</v>
      </c>
      <c r="HB213" s="712">
        <f t="shared" si="719"/>
        <v>633.7824134434303</v>
      </c>
      <c r="HC213" s="712"/>
    </row>
    <row r="214" spans="1:211">
      <c r="A214" s="773" t="s">
        <v>5</v>
      </c>
      <c r="B214" s="708">
        <v>40743</v>
      </c>
      <c r="C214" s="709">
        <v>0.5</v>
      </c>
      <c r="D214" s="675">
        <f t="shared" si="641"/>
        <v>200</v>
      </c>
      <c r="E214" s="675">
        <f t="shared" si="642"/>
        <v>400</v>
      </c>
      <c r="F214" s="675">
        <v>250</v>
      </c>
      <c r="G214" s="712">
        <f>DH214+Sheet1!CV214</f>
        <v>442.78433350118246</v>
      </c>
      <c r="H214" s="712">
        <f t="shared" si="643"/>
        <v>83.892593175164336</v>
      </c>
      <c r="I214" s="711">
        <f>MAX(Sheet1!Z214-AJ214+(Sheet1!CW214-E214)*CFStoMGD,0)</f>
        <v>321.52643257918504</v>
      </c>
      <c r="J214" s="720">
        <f>IF(AND(B214&gt;=Calculation!FS214,B214&lt;=Calculation!FT214),IF(Sheet1!CX214&gt;=Calculation!D214,64.64,0),MAX(Sheet1!Z214-AJ214+(Sheet1!CX214-D214)*CFStoMGD,0))</f>
        <v>263.19556591251836</v>
      </c>
      <c r="K214" s="697">
        <f t="shared" si="644"/>
        <v>64.64</v>
      </c>
      <c r="L214" s="712">
        <f>Sheet1!AA214+Sheet1!AB214-Sheet1!L214+(Sheet1!CW214-F214)*CFStoMGD</f>
        <v>465.5695999999985</v>
      </c>
      <c r="M214" s="712">
        <f t="shared" si="645"/>
        <v>291.94010903866763</v>
      </c>
      <c r="N214" s="712">
        <f>IF(Sheet1!CW214&gt;=F214,MIN(73,MIN(MAX(L214,0),MAX(M214,0))),0)</f>
        <v>73</v>
      </c>
      <c r="O214" s="721">
        <f>Sheet1!AA214+Sheet1!AB214</f>
        <v>60.599999999998545</v>
      </c>
      <c r="P214" s="721">
        <f t="shared" si="646"/>
        <v>93.748199999997738</v>
      </c>
      <c r="Q214" s="712">
        <f>MIN(N214,Sheet1!AA214+AG214)</f>
        <v>47.003167420812034</v>
      </c>
      <c r="R214" s="712">
        <f t="shared" si="647"/>
        <v>14</v>
      </c>
      <c r="S214" s="721">
        <f>Sheet1!Y214*MGDtoCFS</f>
        <v>62.777259999999991</v>
      </c>
      <c r="T214" s="721">
        <f>Sheet1!Z214*MGDtoCFS</f>
        <v>30.661539999999999</v>
      </c>
      <c r="U214" s="721">
        <f>Sheet1!AA214*MGDtoCFS</f>
        <v>62.962899999995493</v>
      </c>
      <c r="V214" s="721">
        <f>Sheet1!AB214*MGDtoCFS</f>
        <v>30.785300000002248</v>
      </c>
      <c r="W214" s="721">
        <f>Sheet1!L214*MGDtoCFS</f>
        <v>0</v>
      </c>
      <c r="X214" s="697">
        <f t="shared" si="648"/>
        <v>0</v>
      </c>
      <c r="Y214" s="712">
        <f t="shared" si="649"/>
        <v>0</v>
      </c>
      <c r="Z214" s="712">
        <f t="shared" si="650"/>
        <v>0</v>
      </c>
      <c r="AA214" s="712">
        <f t="shared" si="651"/>
        <v>0</v>
      </c>
      <c r="AB214" s="712">
        <f>(VLOOKUP(Sheet1!CY214,hhdcap_wcm,4)-(((VLOOKUP(Sheet1!CY214,hhdcap_wcm,3)-Sheet1!CY214)/(VLOOKUP(Sheet1!CY214,hhdcap_wcm,3)-VLOOKUP(Sheet1!CY214,hhdcap_wcm,1)))*(VLOOKUP(Sheet1!CY214,hhdcap_wcm,4)-VLOOKUP(Sheet1!CY214,hhdcap_wcm,2))))</f>
        <v>45020.560000108249</v>
      </c>
      <c r="AC214" s="712">
        <f t="shared" si="652"/>
        <v>-497.72000000048865</v>
      </c>
      <c r="AD214" s="712">
        <f t="shared" si="653"/>
        <v>3259.4524119947846</v>
      </c>
      <c r="AE214" s="712">
        <f t="shared" si="654"/>
        <v>10000</v>
      </c>
      <c r="AF214" s="712">
        <f>Sheet1!BA214+Sheet1!BB214+Sheet1!BN214+BT214</f>
        <v>6.3</v>
      </c>
      <c r="AG214" s="712">
        <f t="shared" si="655"/>
        <v>6.3031674208149404</v>
      </c>
      <c r="AH214" s="712">
        <f>Sheet1!BA214+BT214</f>
        <v>0</v>
      </c>
      <c r="AI214" s="712">
        <f>Sheet1!BA214+Sheet1!BB214+BT214</f>
        <v>0</v>
      </c>
      <c r="AJ214" s="712">
        <f>IF((Sheet1!AA214+AG214+AX214+AZ214+BQ214+BS214+CL214+CN214)&lt;=N214,AG214+AX214+AZ214+BQ214+BS214+CL214+CN214,N214-Sheet1!AA214)</f>
        <v>6.3031674208149404</v>
      </c>
      <c r="AK214" s="712">
        <f>IF(DR214&lt;K214,0,MAX(Sheet1!AA214+AG214-15/36*K214-N214,Sheet1!ED214,0))</f>
        <v>0</v>
      </c>
      <c r="AL214" s="712">
        <f>IF(OR(B214&gt;=FT214,B214&lt;FS214),0,15/36*K214-MAX(0,64.6-(137.6-(Sheet1!AA214+Sheet1!AB214))))</f>
        <v>0</v>
      </c>
      <c r="AM214" s="712">
        <f>Sheet1!CX214-110</f>
        <v>476.26041666666663</v>
      </c>
      <c r="AN214" s="712">
        <f>Sheet1!CW214-265</f>
        <v>611.5</v>
      </c>
      <c r="AO214" s="712">
        <f t="shared" si="733"/>
        <v>25.996832579187966</v>
      </c>
      <c r="AP214" s="712">
        <f t="shared" si="656"/>
        <v>0</v>
      </c>
      <c r="AQ214" s="712">
        <f t="shared" si="657"/>
        <v>0</v>
      </c>
      <c r="AR214" s="712">
        <f t="shared" si="658"/>
        <v>1358.1051716644936</v>
      </c>
      <c r="AS214" s="712"/>
      <c r="AT214" s="712">
        <f ca="1">IF(B214&gt;Summary!$A$1,#N/A,AR214*MGtoAF)</f>
        <v>4166.6666666666661</v>
      </c>
      <c r="AU214" s="712">
        <f>Sheet1!BG214+Sheet1!BH214+Sheet1!BI214-BC214</f>
        <v>1.5</v>
      </c>
      <c r="AV214" s="712">
        <f t="shared" si="659"/>
        <v>1.500754147813081</v>
      </c>
      <c r="AW214" s="712">
        <f>IF(Sheet1!EL214="FM",BC214,0)</f>
        <v>0</v>
      </c>
      <c r="AX214" s="712">
        <f t="shared" si="660"/>
        <v>0</v>
      </c>
      <c r="AY214" s="712">
        <f>IF(Sheet1!EL214="OTHER",BC214,0)</f>
        <v>0</v>
      </c>
      <c r="AZ214" s="712">
        <f t="shared" si="661"/>
        <v>0</v>
      </c>
      <c r="BA214" s="712">
        <f t="shared" si="662"/>
        <v>1.5</v>
      </c>
      <c r="BB214" s="712">
        <f t="shared" si="663"/>
        <v>1.500754147813081</v>
      </c>
      <c r="BC214" s="712">
        <f>IF(OR(Sheet1!EL214="FM", Sheet1!EL214="OTHER"),SUM(Sheet1!BG214:'Sheet1'!BI214),0)</f>
        <v>0</v>
      </c>
      <c r="BD214" s="697">
        <f>IF(AND($B214&gt;=$FL214,$B214&lt;=$FM214),MAX(AV214,Sheet1!EE214,0),MAX(AV214-(7/36)*$K214,0))</f>
        <v>0</v>
      </c>
      <c r="BE214" s="712">
        <f t="shared" si="664"/>
        <v>0</v>
      </c>
      <c r="BF214" s="697">
        <f t="shared" si="665"/>
        <v>1.500754147813081</v>
      </c>
      <c r="BG214" s="697">
        <f>IF(AND($O214&gt;0,Sheet1!EI214=1),(1-($O214-Sheet1!$L214)/$O214)*BB214,0)</f>
        <v>0</v>
      </c>
      <c r="BH214" s="697">
        <f>IF(AND(Sheet1!$L214=0,Sheet1!$L213=0, Calculation!BA214&lt;Sheet1!$EE214-0.1,Sheet1!$EE214=Sheet1!$EE213,Sheet1!$EE214=Sheet1!$EE215),Sheet1!$EE214,BB214-BG214)</f>
        <v>2</v>
      </c>
      <c r="BI214" s="712"/>
      <c r="BJ214" s="712"/>
      <c r="BK214" s="712">
        <f t="shared" si="666"/>
        <v>633.7824134434303</v>
      </c>
      <c r="BL214" s="712"/>
      <c r="BM214" s="712">
        <f ca="1">IF(B214&gt;Summary!$A$1,#N/A,BK214*MGtoAF)</f>
        <v>1944.4444444444441</v>
      </c>
      <c r="BN214" s="712">
        <f>Sheet1!BC214+Sheet1!BD214+Sheet1!BE214+Sheet1!BF214-BW214-BX214</f>
        <v>2.5600000000000005</v>
      </c>
      <c r="BO214" s="712">
        <f t="shared" si="667"/>
        <v>2.5612870789343254</v>
      </c>
      <c r="BP214" s="712">
        <f>IF(Sheet1!EM214="FM",BX214,0)</f>
        <v>0</v>
      </c>
      <c r="BQ214" s="712">
        <f t="shared" si="668"/>
        <v>0</v>
      </c>
      <c r="BR214" s="712">
        <f>IF(Sheet1!EM214="OTHER",BX214,0)</f>
        <v>0</v>
      </c>
      <c r="BS214" s="712">
        <f t="shared" si="669"/>
        <v>0</v>
      </c>
      <c r="BT214" s="712">
        <f t="shared" si="670"/>
        <v>0</v>
      </c>
      <c r="BU214" s="712">
        <f t="shared" si="671"/>
        <v>2.5600000000000005</v>
      </c>
      <c r="BV214" s="712">
        <f t="shared" si="672"/>
        <v>2.5612870789343254</v>
      </c>
      <c r="BW214" s="712">
        <f>IF(Sheet1!EM214="CWA",SUM(Sheet1!BC214:'Sheet1'!BF214),0)</f>
        <v>0</v>
      </c>
      <c r="BX214" s="712">
        <f>IF(OR(Sheet1!EM214="FM", Sheet1!EM214="OTHER"),SUM(Sheet1!BC214:'Sheet1'!BF214),0)</f>
        <v>0</v>
      </c>
      <c r="BY214" s="697">
        <f>IF(AND($B214&gt;=$FL214,$B214&lt;=$FM214),MAX(BV214,Sheet1!EF214,0),MAX(BV214-(7/36)*$K214,0))</f>
        <v>0</v>
      </c>
      <c r="BZ214" s="712">
        <f t="shared" si="673"/>
        <v>0</v>
      </c>
      <c r="CA214" s="697">
        <f t="shared" si="674"/>
        <v>2.5612870789343254</v>
      </c>
      <c r="CB214" s="697">
        <f>IF(AND($O214&gt;0,Sheet1!EJ214=1),(1-($O214-Sheet1!$L214)/$O214)*BV214,0)</f>
        <v>0</v>
      </c>
      <c r="CC214" s="697">
        <f>IF(AND(Sheet1!$L214=0,Sheet1!$L213=0, Calculation!BU214&lt;Sheet1!EF214-0.1,Sheet1!EF214=Sheet1!EF213,Sheet1!EF214=Sheet1!EF215),Sheet1!EF214,BV214-CB214)</f>
        <v>2.5612870789343254</v>
      </c>
      <c r="CD214" s="697"/>
      <c r="CE214" s="712"/>
      <c r="CF214" s="712">
        <f t="shared" si="675"/>
        <v>633.7824134434303</v>
      </c>
      <c r="CG214" s="712"/>
      <c r="CH214" s="712">
        <f ca="1">IF(B214&gt;Summary!$A$1,#N/A,CF214*MGtoAF)</f>
        <v>1944.4444444444441</v>
      </c>
      <c r="CI214" s="712">
        <f>Sheet1!BK214+Sheet1!BL214+Sheet1!BM214-Sheet1!EN214-CQ214</f>
        <v>9.5300000000000011</v>
      </c>
      <c r="CJ214" s="712">
        <f t="shared" si="676"/>
        <v>9.5347913524391092</v>
      </c>
      <c r="CK214" s="712">
        <f>IF(Sheet1!EN214="FM",CQ214,0)</f>
        <v>0</v>
      </c>
      <c r="CL214" s="712">
        <f t="shared" si="677"/>
        <v>0</v>
      </c>
      <c r="CM214" s="712">
        <f>IF(Sheet1!EN214="OTHER",CQ214,0)</f>
        <v>0</v>
      </c>
      <c r="CN214" s="712">
        <f t="shared" si="678"/>
        <v>0</v>
      </c>
      <c r="CO214" s="712">
        <f t="shared" si="679"/>
        <v>9.5300000000000011</v>
      </c>
      <c r="CP214" s="712">
        <f t="shared" si="680"/>
        <v>9.5347913524391092</v>
      </c>
      <c r="CQ214" s="712">
        <f>IF(OR(Sheet1!EN214="FM", Sheet1!EN214="OTHER"),SUM(Sheet1!BK214:'Sheet1'!BM214),0)</f>
        <v>0</v>
      </c>
      <c r="CR214" s="697">
        <f>IF(AND($B214&gt;=$FL214,$B214&lt;=$FM214),MAX($CJ214,Sheet1!EG214,0),MAX($CJ214-(7/36)*$K214,0))</f>
        <v>0</v>
      </c>
      <c r="CS214" s="712">
        <f t="shared" si="681"/>
        <v>0</v>
      </c>
      <c r="CT214" s="697">
        <f t="shared" si="682"/>
        <v>9.5347913524391092</v>
      </c>
      <c r="CU214" s="697">
        <f>IF(AND($O214&gt;0,Sheet1!EK214=1),(1-($O214-Sheet1!$L214)/$O214)*CP214,0)</f>
        <v>0</v>
      </c>
      <c r="CV214" s="697">
        <f>IF(AND(Sheet1!$L214=0,Sheet1!$L213=0, Calculation!CO214&lt;Sheet1!$EG214-0.1,Sheet1!$EG214=Sheet1!$EG213,Sheet1!$EG214=Sheet1!$EG215),Sheet1!$EG214,CP214-CU214)</f>
        <v>9.5347913524391092</v>
      </c>
      <c r="CW214" s="697">
        <f t="shared" si="721"/>
        <v>0</v>
      </c>
      <c r="CX214" s="712">
        <f t="shared" si="683"/>
        <v>13.590000000000002</v>
      </c>
      <c r="CY214" s="712">
        <f t="shared" si="684"/>
        <v>633.7824134434303</v>
      </c>
      <c r="CZ214" s="712">
        <f t="shared" si="685"/>
        <v>13.596832579186515</v>
      </c>
      <c r="DA214" s="712">
        <f ca="1">IF(B214&gt;Summary!$A$1,#N/A,CY214*MGtoAF)</f>
        <v>1944.4444444444441</v>
      </c>
      <c r="DB214" s="712">
        <f t="shared" si="686"/>
        <v>13.590000000000002</v>
      </c>
      <c r="DC214" s="712">
        <f t="shared" si="687"/>
        <v>19.89</v>
      </c>
      <c r="DD214" s="712">
        <f>Sheet1!AB214-DC214</f>
        <v>1.0000000001454623E-2</v>
      </c>
      <c r="DE214" s="712">
        <f t="shared" si="688"/>
        <v>5.0276520872069499E-4</v>
      </c>
      <c r="DF214" s="712">
        <f>(VLOOKUP(Sheet1!CY214,hhdcap_wcm,4)-(((VLOOKUP(Sheet1!CY214,hhdcap_wcm,3)-Sheet1!CY214)/(VLOOKUP(Sheet1!CY214,hhdcap_wcm,3)-VLOOKUP(Sheet1!CY214,hhdcap_wcm,1)))*(VLOOKUP(Sheet1!CY214,hhdcap_wcm,4)-VLOOKUP(Sheet1!CY214,hhdcap_wcm,2))))</f>
        <v>45020.560000108249</v>
      </c>
      <c r="DG214" s="712">
        <f t="shared" si="689"/>
        <v>-497.72000000048865</v>
      </c>
      <c r="DH214" s="712">
        <f t="shared" si="690"/>
        <v>-250.99344427659534</v>
      </c>
      <c r="DI214" s="712">
        <f>Sheet1!DW214*AFtoMG</f>
        <v>0</v>
      </c>
      <c r="DJ214" s="712">
        <f>Sheet1!DX214*AFtoMG</f>
        <v>0</v>
      </c>
      <c r="DK214" s="712">
        <f>Sheet1!DY214*AFtoMG</f>
        <v>0</v>
      </c>
      <c r="DL214" s="712">
        <f>Sheet1!DZ214*AFtoMG</f>
        <v>0</v>
      </c>
      <c r="DM214" s="712">
        <f t="shared" si="691"/>
        <v>0</v>
      </c>
      <c r="DN214" s="712">
        <f t="shared" si="692"/>
        <v>0</v>
      </c>
      <c r="DO214" s="712">
        <f t="shared" si="693"/>
        <v>3259.4524119947846</v>
      </c>
      <c r="DP214" s="712">
        <f t="shared" si="694"/>
        <v>10000</v>
      </c>
      <c r="DQ214" s="712"/>
      <c r="DR214" s="697">
        <f>IF(OR(B214&lt;FL214,B214&gt;FM214),(MIN(AV214+BO214+CJ214+MAX(Sheet1!AA214+AG214-73,0),K214)),0)</f>
        <v>13.596832579186515</v>
      </c>
      <c r="DS214" s="712"/>
      <c r="DT214" s="712">
        <f t="shared" si="695"/>
        <v>13.596832579186517</v>
      </c>
      <c r="DU214" s="712"/>
      <c r="DV214" s="712">
        <f>Sheet1!ED214+Sheet1!EE214+Sheet1!EF214+Sheet1!EG214</f>
        <v>14</v>
      </c>
      <c r="DW214" s="712"/>
      <c r="DX214" s="697">
        <f t="shared" si="696"/>
        <v>0</v>
      </c>
      <c r="DY214" s="712">
        <f>IF(Sheet1!FN214=1,SUM('Calculations II'!AT214:BA214)+'Calculations II'!BC214+Sheet1!BU214+'Calculations II'!BE214+AF214,SUM('Calculations II'!AT214:BA214)+'Calculations II'!BC214+Sheet1!BU214+'Calculations II'!BE214+AF214)</f>
        <v>50.480518400000001</v>
      </c>
      <c r="DZ214" s="712">
        <f>Sheet1!AA214+Sheet1!AB214+'Calculations II'!BC214</f>
        <v>73.357766399998539</v>
      </c>
      <c r="EA214" s="712"/>
      <c r="EB214" s="712"/>
      <c r="EC214" s="712">
        <f t="shared" si="697"/>
        <v>40743</v>
      </c>
      <c r="ED214" s="712">
        <f t="shared" si="698"/>
        <v>0</v>
      </c>
      <c r="EE214" s="712">
        <f t="shared" si="699"/>
        <v>0</v>
      </c>
      <c r="EF214" s="712">
        <f>-(VLOOKUP(Sheet1!BQ214,Lookup!$B$4:$J$236,2)-VLOOKUP(Sheet1!BQ213,Lookup!$B$4:$J$236,2))/1000000</f>
        <v>0.27379999999999999</v>
      </c>
      <c r="EG214" s="712">
        <f>-(VLOOKUP(Sheet1!BR214,Lookup!$B$4:$J$236,3)-VLOOKUP(Sheet1!BR213,Lookup!$B$4:$J$236,3))/1000000</f>
        <v>0.54679999999999995</v>
      </c>
      <c r="EH214" s="712">
        <f>-(VLOOKUP(Sheet1!BS214,Lookup!$B$4:$J$236,4)-VLOOKUP(Sheet1!BS213,Lookup!$B$4:$J$236,4))/1000000</f>
        <v>0</v>
      </c>
      <c r="EI214" s="697">
        <f t="shared" si="700"/>
        <v>0.8206</v>
      </c>
      <c r="EJ214" s="712"/>
      <c r="EK214" s="712"/>
      <c r="EL214" s="712"/>
      <c r="EM214" s="712"/>
      <c r="EN214" s="712"/>
      <c r="EO214" s="712"/>
      <c r="EP214" s="498"/>
      <c r="EQ214" s="712"/>
      <c r="ET214" s="794">
        <f t="shared" si="720"/>
        <v>1137.8</v>
      </c>
      <c r="EU214" s="697">
        <f t="shared" si="731"/>
        <v>11985.560000054047</v>
      </c>
      <c r="EV214" s="795">
        <f t="shared" ref="EV214:EV273" si="734">IF(DF214-AE214-EU214-1220&lt;0,0,DF214-AE214-EU214-1220)</f>
        <v>21815.000000054202</v>
      </c>
      <c r="EW214" s="796" t="s">
        <v>757</v>
      </c>
      <c r="EX214" s="796" t="s">
        <v>757</v>
      </c>
      <c r="EY214" s="862">
        <f t="shared" si="732"/>
        <v>250.99344427659537</v>
      </c>
      <c r="EZ214" s="798">
        <v>23035.000000054202</v>
      </c>
      <c r="FA214" s="712">
        <v>23035.000000054202</v>
      </c>
      <c r="FB214" s="712"/>
      <c r="FC214" s="712"/>
      <c r="FD214" s="712"/>
      <c r="FE214" s="712">
        <f>O214+Sheet1!CO214</f>
        <v>8920.159999999998</v>
      </c>
      <c r="FF214" s="712">
        <f>IF(Sheet1!AA214+AG214&lt;=Calculation!N214,AG214,Calculation!N214-Sheet1!AA214)</f>
        <v>6.3031674208149404</v>
      </c>
      <c r="FG214" s="712">
        <f>(Sheet1!BP214+Sheet1!BO214)/694.4</f>
        <v>2.508064516129032</v>
      </c>
      <c r="FH214" s="712"/>
      <c r="FI214" s="712"/>
      <c r="FJ214" s="712"/>
      <c r="FK214" s="712"/>
      <c r="FL214" s="714">
        <f t="shared" si="726"/>
        <v>40753</v>
      </c>
      <c r="FM214" s="714">
        <f t="shared" si="727"/>
        <v>40851</v>
      </c>
      <c r="FN214" s="712"/>
      <c r="FO214" s="712"/>
      <c r="FP214" s="712"/>
      <c r="FQ214" s="712"/>
      <c r="FR214" s="712"/>
      <c r="FS214" s="725">
        <f t="shared" si="728"/>
        <v>40603</v>
      </c>
      <c r="FT214" s="714">
        <f t="shared" si="729"/>
        <v>40709</v>
      </c>
      <c r="FU214" s="712">
        <f t="shared" si="728"/>
        <v>6518.9048239895692</v>
      </c>
      <c r="FV214" s="714">
        <f t="shared" si="730"/>
        <v>40722</v>
      </c>
      <c r="FW214" s="712">
        <f t="shared" si="728"/>
        <v>3259.4524119947846</v>
      </c>
      <c r="FX214" s="725">
        <f t="shared" si="728"/>
        <v>40851</v>
      </c>
      <c r="FZ214" s="697">
        <f t="shared" si="722"/>
        <v>0</v>
      </c>
      <c r="GA214" s="712" t="str">
        <f t="shared" si="701"/>
        <v/>
      </c>
      <c r="GB214" s="712">
        <f t="shared" si="702"/>
        <v>0</v>
      </c>
      <c r="GC214" s="712" t="str">
        <f t="shared" si="703"/>
        <v/>
      </c>
      <c r="GD214" s="712">
        <f>IF(GA214="P",Lookup!$M$12,IF(GA214="PP",Lookup!$M$13,IF(GA214="PPP",Lookup!$M$14,IF(GA214="T",Lookup!$M$15,IF(GA214="TP",Lookup!$M$16,IF(GA214="TPP",Lookup!$M$17,IF(GA214="TPPP",Lookup!$M$18,0)))))))*FZ214</f>
        <v>0</v>
      </c>
      <c r="GE214" s="712">
        <f t="shared" si="704"/>
        <v>0</v>
      </c>
      <c r="GF214" s="712">
        <f t="shared" si="705"/>
        <v>4166.6666666666661</v>
      </c>
      <c r="GG214" s="712">
        <f t="shared" si="706"/>
        <v>1358.1051716644936</v>
      </c>
      <c r="GH214" s="712"/>
      <c r="GI214" s="712">
        <f t="shared" si="707"/>
        <v>0</v>
      </c>
      <c r="GJ214" s="712" t="str">
        <f t="shared" si="708"/>
        <v/>
      </c>
      <c r="GK214" s="712">
        <f>IF(GA214="P",Lookup!$N$12,IF(GA214="PP",Lookup!$N$13,IF(GA214="PPP",Lookup!$N$14,IF(GA214="T",Lookup!$N$15,IF(GA214="TP",Lookup!$N$16,IF(GA214="TPP",Lookup!$N$17,IF(GA214="TPPP",Lookup!$N$18,0)))))))*FZ214</f>
        <v>0</v>
      </c>
      <c r="GL214" s="712">
        <f t="shared" si="709"/>
        <v>0</v>
      </c>
      <c r="GM214" s="712">
        <f t="shared" si="710"/>
        <v>1944.4444444444441</v>
      </c>
      <c r="GN214" s="712">
        <f t="shared" si="711"/>
        <v>633.7824134434303</v>
      </c>
      <c r="GO214" s="712"/>
      <c r="GP214" s="712">
        <f t="shared" si="712"/>
        <v>0</v>
      </c>
      <c r="GQ214" s="712" t="str">
        <f t="shared" si="713"/>
        <v/>
      </c>
      <c r="GR214" s="712">
        <f>IF(GA214="P",Lookup!$N$12,IF(GA214="PP",Lookup!$N$13,IF(GA214="PPP",Lookup!$N$14,IF(GA214="T",Lookup!$N$15,IF(GA214="TP",Lookup!$N$16,IF(GA214="TPP",Lookup!$N$17,IF(GA214="TPPP",Lookup!$N$18,0)))))))*FZ214</f>
        <v>0</v>
      </c>
      <c r="GS214" s="697">
        <f t="shared" si="724"/>
        <v>0</v>
      </c>
      <c r="GT214" s="712">
        <f t="shared" si="714"/>
        <v>1944.4444444444441</v>
      </c>
      <c r="GU214" s="712">
        <f t="shared" si="715"/>
        <v>633.7824134434303</v>
      </c>
      <c r="GV214" s="712"/>
      <c r="GW214" s="712">
        <f t="shared" si="716"/>
        <v>0</v>
      </c>
      <c r="GX214" s="712" t="str">
        <f t="shared" si="717"/>
        <v/>
      </c>
      <c r="GY214" s="712">
        <f>IF(GA214="P",Lookup!$N$12,IF(GA214="PP",Lookup!$N$13,IF(GA214="PPP",Lookup!$N$14,IF(GA214="T",Lookup!$N$15,IF(GA214="TP",Lookup!$N$16,IF(GA214="TPP",Lookup!$N$17,IF(GA214="TPPP",Lookup!$N$18,0)))))))*FZ214</f>
        <v>0</v>
      </c>
      <c r="GZ214" s="697">
        <f t="shared" si="725"/>
        <v>0</v>
      </c>
      <c r="HA214" s="712">
        <f t="shared" si="718"/>
        <v>1944.4444444444441</v>
      </c>
      <c r="HB214" s="712">
        <f t="shared" si="719"/>
        <v>633.7824134434303</v>
      </c>
      <c r="HC214" s="712"/>
    </row>
    <row r="215" spans="1:211">
      <c r="A215" s="773" t="s">
        <v>6</v>
      </c>
      <c r="B215" s="708">
        <v>40744</v>
      </c>
      <c r="C215" s="719">
        <v>0.5</v>
      </c>
      <c r="D215" s="675">
        <f t="shared" si="641"/>
        <v>200</v>
      </c>
      <c r="E215" s="675">
        <f t="shared" si="642"/>
        <v>400</v>
      </c>
      <c r="F215" s="675">
        <v>250</v>
      </c>
      <c r="G215" s="712">
        <f>DH215+Sheet1!CV215</f>
        <v>444.81307782747672</v>
      </c>
      <c r="H215" s="712">
        <f t="shared" si="643"/>
        <v>85.203973507680942</v>
      </c>
      <c r="I215" s="711">
        <f>MAX(Sheet1!Z215-AJ215+(Sheet1!CW215-E215)*CFStoMGD,0)</f>
        <v>321.84136591251837</v>
      </c>
      <c r="J215" s="720">
        <f>IF(AND(B215&gt;=Calculation!FS215,B215&lt;=Calculation!FT215),IF(Sheet1!CX215&gt;=Calculation!D215,64.64,0),MAX(Sheet1!Z215-AJ215+(Sheet1!CX215-D215)*CFStoMGD,0))</f>
        <v>258.98569924585172</v>
      </c>
      <c r="K215" s="697">
        <f t="shared" si="644"/>
        <v>64.64</v>
      </c>
      <c r="L215" s="712">
        <f>Sheet1!AA215+Sheet1!AB215-Sheet1!L215+(Sheet1!CW215-F215)*CFStoMGD</f>
        <v>465.39453333333182</v>
      </c>
      <c r="M215" s="712">
        <f t="shared" si="645"/>
        <v>293.27771697783459</v>
      </c>
      <c r="N215" s="712">
        <f>IF(Sheet1!CW215&gt;=F215,MIN(73,MIN(MAX(L215,0),MAX(M215,0))),0)</f>
        <v>73</v>
      </c>
      <c r="O215" s="721">
        <f>Sheet1!AA215+Sheet1!AB215</f>
        <v>60.599999999998545</v>
      </c>
      <c r="P215" s="721">
        <f t="shared" si="646"/>
        <v>93.748199999997738</v>
      </c>
      <c r="Q215" s="712">
        <f>MIN(N215,Sheet1!AA215+AG215)</f>
        <v>47.003167420812034</v>
      </c>
      <c r="R215" s="712">
        <f t="shared" si="647"/>
        <v>14</v>
      </c>
      <c r="S215" s="721">
        <f>Sheet1!Y215*MGDtoCFS</f>
        <v>63.225889999999993</v>
      </c>
      <c r="T215" s="721">
        <f>Sheet1!Z215*MGDtoCFS</f>
        <v>31.419569999999997</v>
      </c>
      <c r="U215" s="721">
        <f>Sheet1!AA215*MGDtoCFS</f>
        <v>62.962899999995493</v>
      </c>
      <c r="V215" s="721">
        <f>Sheet1!AB215*MGDtoCFS</f>
        <v>30.785300000002248</v>
      </c>
      <c r="W215" s="721">
        <f>Sheet1!L215*MGDtoCFS</f>
        <v>0</v>
      </c>
      <c r="X215" s="697">
        <f t="shared" si="648"/>
        <v>0</v>
      </c>
      <c r="Y215" s="712">
        <f t="shared" si="649"/>
        <v>0</v>
      </c>
      <c r="Z215" s="712">
        <f t="shared" si="650"/>
        <v>0</v>
      </c>
      <c r="AA215" s="712">
        <f t="shared" si="651"/>
        <v>0</v>
      </c>
      <c r="AB215" s="712">
        <f>(VLOOKUP(Sheet1!CY215,hhdcap_wcm,4)-(((VLOOKUP(Sheet1!CY215,hhdcap_wcm,3)-Sheet1!CY215)/(VLOOKUP(Sheet1!CY215,hhdcap_wcm,3)-VLOOKUP(Sheet1!CY215,hhdcap_wcm,1)))*(VLOOKUP(Sheet1!CY215,hhdcap_wcm,4)-VLOOKUP(Sheet1!CY215,hhdcap_wcm,2))))</f>
        <v>44538.100000106802</v>
      </c>
      <c r="AC215" s="712">
        <f t="shared" si="652"/>
        <v>-482.46000000144704</v>
      </c>
      <c r="AD215" s="712">
        <f t="shared" si="653"/>
        <v>3259.4524119947846</v>
      </c>
      <c r="AE215" s="712">
        <f t="shared" si="654"/>
        <v>10000</v>
      </c>
      <c r="AF215" s="712">
        <f>Sheet1!BA215+Sheet1!BB215+Sheet1!BN215+BT215</f>
        <v>6.3</v>
      </c>
      <c r="AG215" s="712">
        <f t="shared" si="655"/>
        <v>6.3031674208149404</v>
      </c>
      <c r="AH215" s="712">
        <f>Sheet1!BA215+BT215</f>
        <v>0</v>
      </c>
      <c r="AI215" s="712">
        <f>Sheet1!BA215+Sheet1!BB215+BT215</f>
        <v>0</v>
      </c>
      <c r="AJ215" s="712">
        <f>IF((Sheet1!AA215+AG215+AX215+AZ215+BQ215+BS215+CL215+CN215)&lt;=N215,AG215+AX215+AZ215+BQ215+BS215+CL215+CN215,N215-Sheet1!AA215)</f>
        <v>6.3031674208149404</v>
      </c>
      <c r="AK215" s="712">
        <f>IF(DR215&lt;K215,0,MAX(Sheet1!AA215+AG215-15/36*K215-N215,Sheet1!ED215,0))</f>
        <v>0</v>
      </c>
      <c r="AL215" s="712">
        <f>IF(OR(B215&gt;=FT215,B215&lt;FS215),0,15/36*K215-MAX(0,64.6-(137.6-(Sheet1!AA215+Sheet1!AB215))))</f>
        <v>0</v>
      </c>
      <c r="AM215" s="712">
        <f>Sheet1!CX215-110</f>
        <v>468.98958333333337</v>
      </c>
      <c r="AN215" s="712">
        <f>Sheet1!CW215-265</f>
        <v>611.22916666666663</v>
      </c>
      <c r="AO215" s="712">
        <f t="shared" si="733"/>
        <v>25.996832579187966</v>
      </c>
      <c r="AP215" s="712">
        <f t="shared" si="656"/>
        <v>0</v>
      </c>
      <c r="AQ215" s="712">
        <f t="shared" si="657"/>
        <v>0</v>
      </c>
      <c r="AR215" s="712">
        <f t="shared" si="658"/>
        <v>1358.1051716644936</v>
      </c>
      <c r="AS215" s="712"/>
      <c r="AT215" s="712">
        <f ca="1">IF(B215&gt;Summary!$A$1,#N/A,AR215*MGtoAF)</f>
        <v>4166.6666666666661</v>
      </c>
      <c r="AU215" s="712">
        <f>Sheet1!BG215+Sheet1!BH215+Sheet1!BI215-BC215</f>
        <v>1.5</v>
      </c>
      <c r="AV215" s="712">
        <f t="shared" si="659"/>
        <v>1.500754147813081</v>
      </c>
      <c r="AW215" s="712">
        <f>IF(Sheet1!EL215="FM",BC215,0)</f>
        <v>0</v>
      </c>
      <c r="AX215" s="712">
        <f t="shared" si="660"/>
        <v>0</v>
      </c>
      <c r="AY215" s="712">
        <f>IF(Sheet1!EL215="OTHER",BC215,0)</f>
        <v>0</v>
      </c>
      <c r="AZ215" s="712">
        <f t="shared" si="661"/>
        <v>0</v>
      </c>
      <c r="BA215" s="712">
        <f t="shared" si="662"/>
        <v>1.5</v>
      </c>
      <c r="BB215" s="712">
        <f t="shared" si="663"/>
        <v>1.500754147813081</v>
      </c>
      <c r="BC215" s="712">
        <f>IF(OR(Sheet1!EL215="FM", Sheet1!EL215="OTHER"),SUM(Sheet1!BG215:'Sheet1'!BI215),0)</f>
        <v>0</v>
      </c>
      <c r="BD215" s="697">
        <f>IF(AND($B215&gt;=$FL215,$B215&lt;=$FM215),MAX(AV215,Sheet1!EE215,0),MAX(AV215-(7/36)*$K215,0))</f>
        <v>0</v>
      </c>
      <c r="BE215" s="712">
        <f t="shared" si="664"/>
        <v>0</v>
      </c>
      <c r="BF215" s="697">
        <f t="shared" si="665"/>
        <v>1.500754147813081</v>
      </c>
      <c r="BG215" s="697">
        <f>IF(AND($O215&gt;0,Sheet1!EI215=1),(1-($O215-Sheet1!$L215)/$O215)*BB215,0)</f>
        <v>0</v>
      </c>
      <c r="BH215" s="697">
        <f>IF(AND(Sheet1!$L215=0,Sheet1!$L214=0, Calculation!BA215&lt;Sheet1!$EE215-0.1,Sheet1!$EE215=Sheet1!$EE214,Sheet1!$EE215=Sheet1!$EE216),Sheet1!$EE215,BB215-BG215)</f>
        <v>2</v>
      </c>
      <c r="BI215" s="712"/>
      <c r="BJ215" s="712"/>
      <c r="BK215" s="712">
        <f t="shared" si="666"/>
        <v>633.7824134434303</v>
      </c>
      <c r="BL215" s="712"/>
      <c r="BM215" s="712">
        <f ca="1">IF(B215&gt;Summary!$A$1,#N/A,BK215*MGtoAF)</f>
        <v>1944.4444444444441</v>
      </c>
      <c r="BN215" s="712">
        <f>Sheet1!BC215+Sheet1!BD215+Sheet1!BE215+Sheet1!BF215-BW215-BX215</f>
        <v>2.5499999999999998</v>
      </c>
      <c r="BO215" s="712">
        <f t="shared" si="667"/>
        <v>2.5512820512822376</v>
      </c>
      <c r="BP215" s="712">
        <f>IF(Sheet1!EM215="FM",BX215,0)</f>
        <v>0</v>
      </c>
      <c r="BQ215" s="712">
        <f t="shared" si="668"/>
        <v>0</v>
      </c>
      <c r="BR215" s="712">
        <f>IF(Sheet1!EM215="OTHER",BX215,0)</f>
        <v>0</v>
      </c>
      <c r="BS215" s="712">
        <f t="shared" si="669"/>
        <v>0</v>
      </c>
      <c r="BT215" s="712">
        <f t="shared" si="670"/>
        <v>0</v>
      </c>
      <c r="BU215" s="712">
        <f t="shared" si="671"/>
        <v>2.5499999999999998</v>
      </c>
      <c r="BV215" s="712">
        <f t="shared" si="672"/>
        <v>2.5512820512822376</v>
      </c>
      <c r="BW215" s="712">
        <f>IF(Sheet1!EM215="CWA",SUM(Sheet1!BC215:'Sheet1'!BF215),0)</f>
        <v>0</v>
      </c>
      <c r="BX215" s="712">
        <f>IF(OR(Sheet1!EM215="FM", Sheet1!EM215="OTHER"),SUM(Sheet1!BC215:'Sheet1'!BF215),0)</f>
        <v>0</v>
      </c>
      <c r="BY215" s="697">
        <f>IF(AND($B215&gt;=$FL215,$B215&lt;=$FM215),MAX(BV215,Sheet1!EF215,0),MAX(BV215-(7/36)*$K215,0))</f>
        <v>0</v>
      </c>
      <c r="BZ215" s="712">
        <f t="shared" si="673"/>
        <v>0</v>
      </c>
      <c r="CA215" s="697">
        <f t="shared" si="674"/>
        <v>2.5512820512822376</v>
      </c>
      <c r="CB215" s="697">
        <f>IF(AND($O215&gt;0,Sheet1!EJ215=1),(1-($O215-Sheet1!$L215)/$O215)*BV215,0)</f>
        <v>0</v>
      </c>
      <c r="CC215" s="697">
        <f>IF(AND(Sheet1!$L215=0,Sheet1!$L214=0, Calculation!BU215&lt;Sheet1!EF215-0.1,Sheet1!EF215=Sheet1!EF214,Sheet1!EF215=Sheet1!EF216),Sheet1!EF215,BV215-CB215)</f>
        <v>2.5512820512822376</v>
      </c>
      <c r="CD215" s="697"/>
      <c r="CE215" s="712"/>
      <c r="CF215" s="712">
        <f t="shared" si="675"/>
        <v>633.7824134434303</v>
      </c>
      <c r="CG215" s="712"/>
      <c r="CH215" s="712">
        <f ca="1">IF(B215&gt;Summary!$A$1,#N/A,CF215*MGtoAF)</f>
        <v>1944.4444444444441</v>
      </c>
      <c r="CI215" s="712">
        <f>Sheet1!BK215+Sheet1!BL215+Sheet1!BM215-Sheet1!EN215-CQ215</f>
        <v>9.5400000000000009</v>
      </c>
      <c r="CJ215" s="712">
        <f t="shared" si="676"/>
        <v>9.5447963800911957</v>
      </c>
      <c r="CK215" s="712">
        <f>IF(Sheet1!EN215="FM",CQ215,0)</f>
        <v>0</v>
      </c>
      <c r="CL215" s="712">
        <f t="shared" si="677"/>
        <v>0</v>
      </c>
      <c r="CM215" s="712">
        <f>IF(Sheet1!EN215="OTHER",CQ215,0)</f>
        <v>0</v>
      </c>
      <c r="CN215" s="712">
        <f t="shared" si="678"/>
        <v>0</v>
      </c>
      <c r="CO215" s="712">
        <f t="shared" si="679"/>
        <v>9.5400000000000009</v>
      </c>
      <c r="CP215" s="712">
        <f t="shared" si="680"/>
        <v>9.5447963800911957</v>
      </c>
      <c r="CQ215" s="712">
        <f>IF(OR(Sheet1!EN215="FM", Sheet1!EN215="OTHER"),SUM(Sheet1!BK215:'Sheet1'!BM215),0)</f>
        <v>0</v>
      </c>
      <c r="CR215" s="697">
        <f>IF(AND($B215&gt;=$FL215,$B215&lt;=$FM215),MAX($CJ215,Sheet1!EG215,0),MAX($CJ215-(7/36)*$K215,0))</f>
        <v>0</v>
      </c>
      <c r="CS215" s="712">
        <f t="shared" si="681"/>
        <v>0</v>
      </c>
      <c r="CT215" s="697">
        <f t="shared" si="682"/>
        <v>9.5447963800911957</v>
      </c>
      <c r="CU215" s="697">
        <f>IF(AND($O215&gt;0,Sheet1!EK215=1),(1-($O215-Sheet1!$L215)/$O215)*CP215,0)</f>
        <v>0</v>
      </c>
      <c r="CV215" s="697">
        <f>IF(AND(Sheet1!$L215=0,Sheet1!$L214=0, Calculation!CO215&lt;Sheet1!$EG215-0.1,Sheet1!$EG215=Sheet1!$EG214,Sheet1!$EG215=Sheet1!$EG216),Sheet1!$EG215,CP215-CU215)</f>
        <v>9.5447963800911957</v>
      </c>
      <c r="CW215" s="697">
        <f t="shared" si="721"/>
        <v>0</v>
      </c>
      <c r="CX215" s="712">
        <f t="shared" si="683"/>
        <v>13.59</v>
      </c>
      <c r="CY215" s="712">
        <f t="shared" si="684"/>
        <v>633.7824134434303</v>
      </c>
      <c r="CZ215" s="712">
        <f t="shared" si="685"/>
        <v>13.596832579186515</v>
      </c>
      <c r="DA215" s="712">
        <f ca="1">IF(B215&gt;Summary!$A$1,#N/A,CY215*MGtoAF)</f>
        <v>1944.4444444444441</v>
      </c>
      <c r="DB215" s="712">
        <f t="shared" si="686"/>
        <v>13.59</v>
      </c>
      <c r="DC215" s="712">
        <f t="shared" si="687"/>
        <v>19.89</v>
      </c>
      <c r="DD215" s="712">
        <f>Sheet1!AB215-DC215</f>
        <v>1.0000000001454623E-2</v>
      </c>
      <c r="DE215" s="712">
        <f t="shared" si="688"/>
        <v>5.0276520872069499E-4</v>
      </c>
      <c r="DF215" s="712">
        <f>(VLOOKUP(Sheet1!CY215,hhdcap_wcm,4)-(((VLOOKUP(Sheet1!CY215,hhdcap_wcm,3)-Sheet1!CY215)/(VLOOKUP(Sheet1!CY215,hhdcap_wcm,3)-VLOOKUP(Sheet1!CY215,hhdcap_wcm,1)))*(VLOOKUP(Sheet1!CY215,hhdcap_wcm,4)-VLOOKUP(Sheet1!CY215,hhdcap_wcm,2))))</f>
        <v>44538.100000106802</v>
      </c>
      <c r="DG215" s="712">
        <f t="shared" si="689"/>
        <v>-482.46000000144704</v>
      </c>
      <c r="DH215" s="712">
        <f t="shared" si="690"/>
        <v>-243.29803328363437</v>
      </c>
      <c r="DI215" s="712">
        <f>Sheet1!DW215*AFtoMG</f>
        <v>0</v>
      </c>
      <c r="DJ215" s="712">
        <f>Sheet1!DX215*AFtoMG</f>
        <v>0</v>
      </c>
      <c r="DK215" s="712">
        <f>Sheet1!DY215*AFtoMG</f>
        <v>0</v>
      </c>
      <c r="DL215" s="712">
        <f>Sheet1!DZ215*AFtoMG</f>
        <v>0</v>
      </c>
      <c r="DM215" s="712">
        <f t="shared" si="691"/>
        <v>0</v>
      </c>
      <c r="DN215" s="712">
        <f t="shared" si="692"/>
        <v>0</v>
      </c>
      <c r="DO215" s="712">
        <f t="shared" si="693"/>
        <v>3259.4524119947846</v>
      </c>
      <c r="DP215" s="712">
        <f t="shared" si="694"/>
        <v>10000</v>
      </c>
      <c r="DQ215" s="712"/>
      <c r="DR215" s="697">
        <f>IF(OR(B215&lt;FL215,B215&gt;FM215),(MIN(AV215+BO215+CJ215+MAX(Sheet1!AA215+AG215-73,0),K215)),0)</f>
        <v>13.596832579186515</v>
      </c>
      <c r="DS215" s="712"/>
      <c r="DT215" s="712">
        <f t="shared" si="695"/>
        <v>13.596832579186515</v>
      </c>
      <c r="DU215" s="712"/>
      <c r="DV215" s="712">
        <f>Sheet1!ED215+Sheet1!EE215+Sheet1!EF215+Sheet1!EG215</f>
        <v>14</v>
      </c>
      <c r="DW215" s="712"/>
      <c r="DX215" s="697">
        <f t="shared" si="696"/>
        <v>0</v>
      </c>
      <c r="DY215" s="712">
        <f>IF(Sheet1!FN215=1,SUM('Calculations II'!AT215:BA215)+'Calculations II'!BC215+Sheet1!BU215+'Calculations II'!BE215+AF215,SUM('Calculations II'!AT215:BA215)+'Calculations II'!BC215+Sheet1!BU215+'Calculations II'!BE215+AF215)</f>
        <v>51.701679999999996</v>
      </c>
      <c r="DZ215" s="712">
        <f>Sheet1!AA215+Sheet1!AB215+'Calculations II'!BC215</f>
        <v>67.310255999998546</v>
      </c>
      <c r="EA215" s="712"/>
      <c r="EB215" s="712"/>
      <c r="EC215" s="712">
        <f t="shared" si="697"/>
        <v>40744</v>
      </c>
      <c r="ED215" s="712">
        <f t="shared" si="698"/>
        <v>0</v>
      </c>
      <c r="EE215" s="712">
        <f t="shared" si="699"/>
        <v>0</v>
      </c>
      <c r="EF215" s="712">
        <f>-(VLOOKUP(Sheet1!BQ215,Lookup!$B$4:$J$236,2)-VLOOKUP(Sheet1!BQ214,Lookup!$B$4:$J$236,2))/1000000</f>
        <v>-0.82140000000000002</v>
      </c>
      <c r="EG215" s="712">
        <f>-(VLOOKUP(Sheet1!BR215,Lookup!$B$4:$J$236,3)-VLOOKUP(Sheet1!BR214,Lookup!$B$4:$J$236,3))/1000000</f>
        <v>-0.82020000000000004</v>
      </c>
      <c r="EH215" s="712">
        <f>-(VLOOKUP(Sheet1!BS215,Lookup!$B$4:$J$236,4)-VLOOKUP(Sheet1!BS214,Lookup!$B$4:$J$236,4))/1000000</f>
        <v>0</v>
      </c>
      <c r="EI215" s="697">
        <f t="shared" si="700"/>
        <v>-1.6415999999999999</v>
      </c>
      <c r="EJ215" s="712"/>
      <c r="EK215" s="712"/>
      <c r="EL215" s="712"/>
      <c r="EM215" s="712"/>
      <c r="EN215" s="712"/>
      <c r="EO215" s="712"/>
      <c r="EP215" s="498"/>
      <c r="EQ215" s="712"/>
      <c r="ET215" s="794">
        <f t="shared" si="720"/>
        <v>1137.8</v>
      </c>
      <c r="EU215" s="697">
        <f t="shared" si="731"/>
        <v>11572.6000000526</v>
      </c>
      <c r="EV215" s="795">
        <f t="shared" si="734"/>
        <v>21745.500000054202</v>
      </c>
      <c r="EW215" s="796" t="s">
        <v>757</v>
      </c>
      <c r="EX215" s="796" t="s">
        <v>757</v>
      </c>
      <c r="EY215" s="862">
        <f t="shared" si="732"/>
        <v>208.25012607233839</v>
      </c>
      <c r="EZ215" s="798">
        <v>22965.500000054202</v>
      </c>
      <c r="FA215" s="712">
        <v>22965.500000054202</v>
      </c>
      <c r="FB215" s="712"/>
      <c r="FC215" s="712"/>
      <c r="FD215" s="712"/>
      <c r="FE215" s="712">
        <f>O215+Sheet1!CO215</f>
        <v>4720.4999999999982</v>
      </c>
      <c r="FF215" s="712">
        <f>IF(Sheet1!AA215+AG215&lt;=Calculation!N215,AG215,Calculation!N215-Sheet1!AA215)</f>
        <v>6.3031674208149404</v>
      </c>
      <c r="FG215" s="712">
        <f>(Sheet1!BP215+Sheet1!BO215)/694.4</f>
        <v>3.5129608294930876</v>
      </c>
      <c r="FH215" s="712"/>
      <c r="FI215" s="712"/>
      <c r="FJ215" s="712"/>
      <c r="FK215" s="712"/>
      <c r="FL215" s="714">
        <f t="shared" si="726"/>
        <v>40753</v>
      </c>
      <c r="FM215" s="714">
        <f t="shared" si="727"/>
        <v>40851</v>
      </c>
      <c r="FN215" s="712"/>
      <c r="FO215" s="712"/>
      <c r="FP215" s="712"/>
      <c r="FQ215" s="712"/>
      <c r="FR215" s="712"/>
      <c r="FS215" s="725">
        <f t="shared" si="728"/>
        <v>40603</v>
      </c>
      <c r="FT215" s="714">
        <f t="shared" si="729"/>
        <v>40709</v>
      </c>
      <c r="FU215" s="712">
        <f t="shared" si="728"/>
        <v>6518.9048239895692</v>
      </c>
      <c r="FV215" s="714">
        <f t="shared" si="730"/>
        <v>40722</v>
      </c>
      <c r="FW215" s="712">
        <f t="shared" si="728"/>
        <v>3259.4524119947846</v>
      </c>
      <c r="FX215" s="725">
        <f t="shared" si="728"/>
        <v>40851</v>
      </c>
      <c r="FZ215" s="697">
        <f t="shared" si="722"/>
        <v>0</v>
      </c>
      <c r="GA215" s="712" t="str">
        <f t="shared" si="701"/>
        <v/>
      </c>
      <c r="GB215" s="712">
        <f t="shared" si="702"/>
        <v>0</v>
      </c>
      <c r="GC215" s="712" t="str">
        <f t="shared" si="703"/>
        <v/>
      </c>
      <c r="GD215" s="712">
        <f>IF(GA215="P",Lookup!$M$12,IF(GA215="PP",Lookup!$M$13,IF(GA215="PPP",Lookup!$M$14,IF(GA215="T",Lookup!$M$15,IF(GA215="TP",Lookup!$M$16,IF(GA215="TPP",Lookup!$M$17,IF(GA215="TPPP",Lookup!$M$18,0)))))))*FZ215</f>
        <v>0</v>
      </c>
      <c r="GE215" s="712">
        <f t="shared" si="704"/>
        <v>0</v>
      </c>
      <c r="GF215" s="712">
        <f t="shared" si="705"/>
        <v>4166.6666666666661</v>
      </c>
      <c r="GG215" s="712">
        <f t="shared" si="706"/>
        <v>1358.1051716644936</v>
      </c>
      <c r="GH215" s="712"/>
      <c r="GI215" s="712">
        <f t="shared" si="707"/>
        <v>0</v>
      </c>
      <c r="GJ215" s="712" t="str">
        <f t="shared" si="708"/>
        <v/>
      </c>
      <c r="GK215" s="712">
        <f>IF(GA215="P",Lookup!$N$12,IF(GA215="PP",Lookup!$N$13,IF(GA215="PPP",Lookup!$N$14,IF(GA215="T",Lookup!$N$15,IF(GA215="TP",Lookup!$N$16,IF(GA215="TPP",Lookup!$N$17,IF(GA215="TPPP",Lookup!$N$18,0)))))))*FZ215</f>
        <v>0</v>
      </c>
      <c r="GL215" s="712">
        <f t="shared" si="709"/>
        <v>0</v>
      </c>
      <c r="GM215" s="712">
        <f t="shared" si="710"/>
        <v>1944.4444444444441</v>
      </c>
      <c r="GN215" s="712">
        <f t="shared" si="711"/>
        <v>633.7824134434303</v>
      </c>
      <c r="GO215" s="712"/>
      <c r="GP215" s="712">
        <f t="shared" si="712"/>
        <v>0</v>
      </c>
      <c r="GQ215" s="712" t="str">
        <f t="shared" si="713"/>
        <v/>
      </c>
      <c r="GR215" s="712">
        <f>IF(GA215="P",Lookup!$N$12,IF(GA215="PP",Lookup!$N$13,IF(GA215="PPP",Lookup!$N$14,IF(GA215="T",Lookup!$N$15,IF(GA215="TP",Lookup!$N$16,IF(GA215="TPP",Lookup!$N$17,IF(GA215="TPPP",Lookup!$N$18,0)))))))*FZ215</f>
        <v>0</v>
      </c>
      <c r="GS215" s="697">
        <f t="shared" si="724"/>
        <v>0</v>
      </c>
      <c r="GT215" s="712">
        <f t="shared" si="714"/>
        <v>1944.4444444444441</v>
      </c>
      <c r="GU215" s="712">
        <f t="shared" si="715"/>
        <v>633.7824134434303</v>
      </c>
      <c r="GV215" s="712"/>
      <c r="GW215" s="712">
        <f t="shared" si="716"/>
        <v>0</v>
      </c>
      <c r="GX215" s="712" t="str">
        <f t="shared" si="717"/>
        <v/>
      </c>
      <c r="GY215" s="712">
        <f>IF(GA215="P",Lookup!$N$12,IF(GA215="PP",Lookup!$N$13,IF(GA215="PPP",Lookup!$N$14,IF(GA215="T",Lookup!$N$15,IF(GA215="TP",Lookup!$N$16,IF(GA215="TPP",Lookup!$N$17,IF(GA215="TPPP",Lookup!$N$18,0)))))))*FZ215</f>
        <v>0</v>
      </c>
      <c r="GZ215" s="697">
        <f t="shared" si="725"/>
        <v>0</v>
      </c>
      <c r="HA215" s="712">
        <f t="shared" si="718"/>
        <v>1944.4444444444441</v>
      </c>
      <c r="HB215" s="712">
        <f t="shared" si="719"/>
        <v>633.7824134434303</v>
      </c>
      <c r="HC215" s="712"/>
    </row>
    <row r="216" spans="1:211">
      <c r="A216" s="773" t="s">
        <v>7</v>
      </c>
      <c r="B216" s="708">
        <v>40745</v>
      </c>
      <c r="C216" s="719">
        <v>0.5</v>
      </c>
      <c r="D216" s="675">
        <f t="shared" si="641"/>
        <v>200</v>
      </c>
      <c r="E216" s="675">
        <f t="shared" si="642"/>
        <v>400</v>
      </c>
      <c r="F216" s="675">
        <v>250</v>
      </c>
      <c r="G216" s="712">
        <f>DH216+Sheet1!CV216</f>
        <v>455.12361321206095</v>
      </c>
      <c r="H216" s="712">
        <f t="shared" si="643"/>
        <v>91.86870358027619</v>
      </c>
      <c r="I216" s="711">
        <f>MAX(Sheet1!Z216-AJ216+(Sheet1!CW216-E216)*CFStoMGD,0)</f>
        <v>315.68982503770735</v>
      </c>
      <c r="J216" s="720">
        <f>IF(AND(B216&gt;=Calculation!FS216,B216&lt;=Calculation!FT216),IF(Sheet1!CX216&gt;=Calculation!D216,64.64,0),MAX(Sheet1!Z216-AJ216+(Sheet1!CX216-D216)*CFStoMGD,0))</f>
        <v>263.37182503770737</v>
      </c>
      <c r="K216" s="697">
        <f t="shared" si="644"/>
        <v>64.64</v>
      </c>
      <c r="L216" s="712">
        <f>Sheet1!AA216+Sheet1!AB216-Sheet1!L216+(Sheet1!CW216-F216)*CFStoMGD</f>
        <v>459.69466666666727</v>
      </c>
      <c r="M216" s="712">
        <f t="shared" si="645"/>
        <v>300.07574165188174</v>
      </c>
      <c r="N216" s="712">
        <f>IF(Sheet1!CW216&gt;=F216,MIN(73,MIN(MAX(L216,0),MAX(M216,0))),0)</f>
        <v>73</v>
      </c>
      <c r="O216" s="721">
        <f>Sheet1!AA216+Sheet1!AB216</f>
        <v>60.610000000000582</v>
      </c>
      <c r="P216" s="721">
        <f t="shared" si="646"/>
        <v>93.7636700000009</v>
      </c>
      <c r="Q216" s="712">
        <f>MIN(N216,Sheet1!AA216+AG216)</f>
        <v>46.944841628959857</v>
      </c>
      <c r="R216" s="712">
        <f t="shared" si="647"/>
        <v>14</v>
      </c>
      <c r="S216" s="721">
        <f>Sheet1!Y216*MGDtoCFS</f>
        <v>63.117599999999996</v>
      </c>
      <c r="T216" s="721">
        <f>Sheet1!Z216*MGDtoCFS</f>
        <v>30.785299999999996</v>
      </c>
      <c r="U216" s="721">
        <f>Sheet1!AA216*MGDtoCFS</f>
        <v>62.823670000000895</v>
      </c>
      <c r="V216" s="721">
        <f>Sheet1!AB216*MGDtoCFS</f>
        <v>30.939999999999998</v>
      </c>
      <c r="W216" s="721">
        <f>Sheet1!L216*MGDtoCFS</f>
        <v>0</v>
      </c>
      <c r="X216" s="697">
        <f t="shared" si="648"/>
        <v>0</v>
      </c>
      <c r="Y216" s="712">
        <f t="shared" si="649"/>
        <v>0</v>
      </c>
      <c r="Z216" s="712">
        <f t="shared" si="650"/>
        <v>0</v>
      </c>
      <c r="AA216" s="712">
        <f t="shared" si="651"/>
        <v>0</v>
      </c>
      <c r="AB216" s="712">
        <f>(VLOOKUP(Sheet1!CY216,hhdcap_wcm,4)-(((VLOOKUP(Sheet1!CY216,hhdcap_wcm,3)-Sheet1!CY216)/(VLOOKUP(Sheet1!CY216,hhdcap_wcm,3)-VLOOKUP(Sheet1!CY216,hhdcap_wcm,1)))*(VLOOKUP(Sheet1!CY216,hhdcap_wcm,4)-VLOOKUP(Sheet1!CY216,hhdcap_wcm,2))))</f>
        <v>44067.300000106319</v>
      </c>
      <c r="AC216" s="712">
        <f t="shared" si="652"/>
        <v>-470.80000000048312</v>
      </c>
      <c r="AD216" s="712">
        <f t="shared" si="653"/>
        <v>3259.4524119947846</v>
      </c>
      <c r="AE216" s="712">
        <f t="shared" si="654"/>
        <v>10000</v>
      </c>
      <c r="AF216" s="712">
        <f>Sheet1!BA216+Sheet1!BB216+Sheet1!BN216+BT216</f>
        <v>6.3</v>
      </c>
      <c r="AG216" s="712">
        <f t="shared" si="655"/>
        <v>6.3348416289592757</v>
      </c>
      <c r="AH216" s="712">
        <f>Sheet1!BA216+BT216</f>
        <v>0</v>
      </c>
      <c r="AI216" s="712">
        <f>Sheet1!BA216+Sheet1!BB216+BT216</f>
        <v>0</v>
      </c>
      <c r="AJ216" s="712">
        <f>IF((Sheet1!AA216+AG216+AX216+AZ216+BQ216+BS216+CL216+CN216)&lt;=N216,AG216+AX216+AZ216+BQ216+BS216+CL216+CN216,N216-Sheet1!AA216)</f>
        <v>6.3348416289592757</v>
      </c>
      <c r="AK216" s="712">
        <f>IF(DR216&lt;K216,0,MAX(Sheet1!AA216+AG216-15/36*K216-N216,Sheet1!ED216,0))</f>
        <v>0</v>
      </c>
      <c r="AL216" s="712">
        <f>IF(OR(B216&gt;=FT216,B216&lt;FS216),0,15/36*K216-MAX(0,64.6-(137.6-(Sheet1!AA216+Sheet1!AB216))))</f>
        <v>0</v>
      </c>
      <c r="AM216" s="712">
        <f>Sheet1!CX216-110</f>
        <v>476.45833333333337</v>
      </c>
      <c r="AN216" s="712">
        <f>Sheet1!CW216-265</f>
        <v>602.39583333333337</v>
      </c>
      <c r="AO216" s="712">
        <f t="shared" si="733"/>
        <v>26.055158371040143</v>
      </c>
      <c r="AP216" s="712">
        <f t="shared" si="656"/>
        <v>0</v>
      </c>
      <c r="AQ216" s="712">
        <f t="shared" si="657"/>
        <v>0</v>
      </c>
      <c r="AR216" s="712">
        <f t="shared" si="658"/>
        <v>1358.1051716644936</v>
      </c>
      <c r="AS216" s="712"/>
      <c r="AT216" s="712">
        <f ca="1">IF(B216&gt;Summary!$A$1,#N/A,AR216*MGtoAF)</f>
        <v>4166.6666666666661</v>
      </c>
      <c r="AU216" s="712">
        <f>Sheet1!BG216+Sheet1!BH216+Sheet1!BI216-BC216</f>
        <v>1.51</v>
      </c>
      <c r="AV216" s="712">
        <f t="shared" si="659"/>
        <v>1.5183509301156359</v>
      </c>
      <c r="AW216" s="712">
        <f>IF(Sheet1!EL216="FM",BC216,0)</f>
        <v>0</v>
      </c>
      <c r="AX216" s="712">
        <f t="shared" si="660"/>
        <v>0</v>
      </c>
      <c r="AY216" s="712">
        <f>IF(Sheet1!EL216="OTHER",BC216,0)</f>
        <v>0</v>
      </c>
      <c r="AZ216" s="712">
        <f t="shared" si="661"/>
        <v>0</v>
      </c>
      <c r="BA216" s="712">
        <f t="shared" si="662"/>
        <v>1.51</v>
      </c>
      <c r="BB216" s="712">
        <f t="shared" si="663"/>
        <v>1.5183509301156359</v>
      </c>
      <c r="BC216" s="712">
        <f>IF(OR(Sheet1!EL216="FM", Sheet1!EL216="OTHER"),SUM(Sheet1!BG216:'Sheet1'!BI216),0)</f>
        <v>0</v>
      </c>
      <c r="BD216" s="697">
        <f>IF(AND($B216&gt;=$FL216,$B216&lt;=$FM216),MAX(AV216,Sheet1!EE216,0),MAX(AV216-(7/36)*$K216,0))</f>
        <v>0</v>
      </c>
      <c r="BE216" s="712">
        <f t="shared" si="664"/>
        <v>0</v>
      </c>
      <c r="BF216" s="697">
        <f t="shared" si="665"/>
        <v>1.5183509301156359</v>
      </c>
      <c r="BG216" s="697">
        <f>IF(AND($O216&gt;0,Sheet1!EI216=1),(1-($O216-Sheet1!$L216)/$O216)*BB216,0)</f>
        <v>0</v>
      </c>
      <c r="BH216" s="697">
        <f>IF(AND(Sheet1!$L216=0,Sheet1!$L215=0, Calculation!BA216&lt;Sheet1!$EE216-0.1,Sheet1!$EE216=Sheet1!$EE215,Sheet1!$EE216=Sheet1!$EE217),Sheet1!$EE216,BB216-BG216)</f>
        <v>2</v>
      </c>
      <c r="BI216" s="712"/>
      <c r="BJ216" s="712"/>
      <c r="BK216" s="712">
        <f t="shared" si="666"/>
        <v>633.7824134434303</v>
      </c>
      <c r="BL216" s="712"/>
      <c r="BM216" s="712">
        <f ca="1">IF(B216&gt;Summary!$A$1,#N/A,BK216*MGtoAF)</f>
        <v>1944.4444444444441</v>
      </c>
      <c r="BN216" s="712">
        <f>Sheet1!BC216+Sheet1!BD216+Sheet1!BE216+Sheet1!BF216-BW216-BX216</f>
        <v>2.5500000000000003</v>
      </c>
      <c r="BO216" s="712">
        <f t="shared" si="667"/>
        <v>2.5641025641025643</v>
      </c>
      <c r="BP216" s="712">
        <f>IF(Sheet1!EM216="FM",BX216,0)</f>
        <v>0</v>
      </c>
      <c r="BQ216" s="712">
        <f t="shared" si="668"/>
        <v>0</v>
      </c>
      <c r="BR216" s="712">
        <f>IF(Sheet1!EM216="OTHER",BX216,0)</f>
        <v>0</v>
      </c>
      <c r="BS216" s="712">
        <f t="shared" si="669"/>
        <v>0</v>
      </c>
      <c r="BT216" s="712">
        <f t="shared" si="670"/>
        <v>0</v>
      </c>
      <c r="BU216" s="712">
        <f t="shared" si="671"/>
        <v>2.5500000000000003</v>
      </c>
      <c r="BV216" s="712">
        <f t="shared" si="672"/>
        <v>2.5641025641025643</v>
      </c>
      <c r="BW216" s="712">
        <f>IF(Sheet1!EM216="CWA",SUM(Sheet1!BC216:'Sheet1'!BF216),0)</f>
        <v>0</v>
      </c>
      <c r="BX216" s="712">
        <f>IF(OR(Sheet1!EM216="FM", Sheet1!EM216="OTHER"),SUM(Sheet1!BC216:'Sheet1'!BF216),0)</f>
        <v>0</v>
      </c>
      <c r="BY216" s="697">
        <f>IF(AND($B216&gt;=$FL216,$B216&lt;=$FM216),MAX(BV216,Sheet1!EF216,0),MAX(BV216-(7/36)*$K216,0))</f>
        <v>0</v>
      </c>
      <c r="BZ216" s="712">
        <f t="shared" si="673"/>
        <v>0</v>
      </c>
      <c r="CA216" s="697">
        <f t="shared" si="674"/>
        <v>2.5641025641025643</v>
      </c>
      <c r="CB216" s="697">
        <f>IF(AND($O216&gt;0,Sheet1!EJ216=1),(1-($O216-Sheet1!$L216)/$O216)*BV216,0)</f>
        <v>0</v>
      </c>
      <c r="CC216" s="697">
        <f>IF(AND(Sheet1!$L216=0,Sheet1!$L215=0, Calculation!BU216&lt;Sheet1!EF216-0.1,Sheet1!EF216=Sheet1!EF215,Sheet1!EF216=Sheet1!EF217),Sheet1!EF216,BV216-CB216)</f>
        <v>2.5641025641025643</v>
      </c>
      <c r="CD216" s="697"/>
      <c r="CE216" s="712"/>
      <c r="CF216" s="712">
        <f t="shared" si="675"/>
        <v>633.7824134434303</v>
      </c>
      <c r="CG216" s="712"/>
      <c r="CH216" s="712">
        <f ca="1">IF(B216&gt;Summary!$A$1,#N/A,CF216*MGtoAF)</f>
        <v>1944.4444444444441</v>
      </c>
      <c r="CI216" s="712">
        <f>Sheet1!BK216+Sheet1!BL216+Sheet1!BM216-Sheet1!EN216-CQ216</f>
        <v>9.5299999999999994</v>
      </c>
      <c r="CJ216" s="712">
        <f t="shared" si="676"/>
        <v>9.5827048768225236</v>
      </c>
      <c r="CK216" s="712">
        <f>IF(Sheet1!EN216="FM",CQ216,0)</f>
        <v>0</v>
      </c>
      <c r="CL216" s="712">
        <f t="shared" si="677"/>
        <v>0</v>
      </c>
      <c r="CM216" s="712">
        <f>IF(Sheet1!EN216="OTHER",CQ216,0)</f>
        <v>0</v>
      </c>
      <c r="CN216" s="712">
        <f t="shared" si="678"/>
        <v>0</v>
      </c>
      <c r="CO216" s="712">
        <f t="shared" si="679"/>
        <v>9.5299999999999994</v>
      </c>
      <c r="CP216" s="712">
        <f t="shared" si="680"/>
        <v>9.5827048768225236</v>
      </c>
      <c r="CQ216" s="712">
        <f>IF(OR(Sheet1!EN216="FM", Sheet1!EN216="OTHER"),SUM(Sheet1!BK216:'Sheet1'!BM216),0)</f>
        <v>0</v>
      </c>
      <c r="CR216" s="697">
        <f>IF(AND($B216&gt;=$FL216,$B216&lt;=$FM216),MAX($CJ216,Sheet1!EG216,0),MAX($CJ216-(7/36)*$K216,0))</f>
        <v>0</v>
      </c>
      <c r="CS216" s="712">
        <f t="shared" si="681"/>
        <v>0</v>
      </c>
      <c r="CT216" s="697">
        <f t="shared" si="682"/>
        <v>9.5827048768225236</v>
      </c>
      <c r="CU216" s="697">
        <f>IF(AND($O216&gt;0,Sheet1!EK216=1),(1-($O216-Sheet1!$L216)/$O216)*CP216,0)</f>
        <v>0</v>
      </c>
      <c r="CV216" s="697">
        <f>IF(AND(Sheet1!$L216=0,Sheet1!$L215=0, Calculation!CO216&lt;Sheet1!$EG216-0.1,Sheet1!$EG216=Sheet1!$EG215,Sheet1!$EG216=Sheet1!$EG217),Sheet1!$EG216,CP216-CU216)</f>
        <v>9.5827048768225236</v>
      </c>
      <c r="CW216" s="697">
        <f t="shared" si="721"/>
        <v>0</v>
      </c>
      <c r="CX216" s="712">
        <f t="shared" si="683"/>
        <v>13.59</v>
      </c>
      <c r="CY216" s="712">
        <f t="shared" si="684"/>
        <v>633.7824134434303</v>
      </c>
      <c r="CZ216" s="712">
        <f t="shared" si="685"/>
        <v>13.665158371040723</v>
      </c>
      <c r="DA216" s="712">
        <f ca="1">IF(B216&gt;Summary!$A$1,#N/A,CY216*MGtoAF)</f>
        <v>1944.4444444444441</v>
      </c>
      <c r="DB216" s="712">
        <f t="shared" si="686"/>
        <v>13.59</v>
      </c>
      <c r="DC216" s="712">
        <f t="shared" si="687"/>
        <v>19.89</v>
      </c>
      <c r="DD216" s="712">
        <f>Sheet1!AB216-DC216</f>
        <v>0.10999999999999943</v>
      </c>
      <c r="DE216" s="712">
        <f t="shared" si="688"/>
        <v>5.5304172951231492E-3</v>
      </c>
      <c r="DF216" s="712">
        <f>(VLOOKUP(Sheet1!CY216,hhdcap_wcm,4)-(((VLOOKUP(Sheet1!CY216,hhdcap_wcm,3)-Sheet1!CY216)/(VLOOKUP(Sheet1!CY216,hhdcap_wcm,3)-VLOOKUP(Sheet1!CY216,hhdcap_wcm,1)))*(VLOOKUP(Sheet1!CY216,hhdcap_wcm,4)-VLOOKUP(Sheet1!CY216,hhdcap_wcm,2))))</f>
        <v>44067.300000106319</v>
      </c>
      <c r="DG216" s="712">
        <f t="shared" si="689"/>
        <v>-470.80000000048312</v>
      </c>
      <c r="DH216" s="712">
        <f t="shared" si="690"/>
        <v>-237.41805345460568</v>
      </c>
      <c r="DI216" s="712">
        <f>Sheet1!DW216*AFtoMG</f>
        <v>0</v>
      </c>
      <c r="DJ216" s="712">
        <f>Sheet1!DX216*AFtoMG</f>
        <v>0</v>
      </c>
      <c r="DK216" s="712">
        <f>Sheet1!DY216*AFtoMG</f>
        <v>0</v>
      </c>
      <c r="DL216" s="712">
        <f>Sheet1!DZ216*AFtoMG</f>
        <v>0</v>
      </c>
      <c r="DM216" s="712">
        <f t="shared" si="691"/>
        <v>0</v>
      </c>
      <c r="DN216" s="712">
        <f t="shared" si="692"/>
        <v>0</v>
      </c>
      <c r="DO216" s="712">
        <f t="shared" si="693"/>
        <v>3259.4524119947846</v>
      </c>
      <c r="DP216" s="712">
        <f t="shared" si="694"/>
        <v>10000</v>
      </c>
      <c r="DQ216" s="712"/>
      <c r="DR216" s="697">
        <f>IF(OR(B216&lt;FL216,B216&gt;FM216),(MIN(AV216+BO216+CJ216+MAX(Sheet1!AA216+AG216-73,0),K216)),0)</f>
        <v>13.665158371040723</v>
      </c>
      <c r="DS216" s="712"/>
      <c r="DT216" s="712">
        <f t="shared" si="695"/>
        <v>13.665158371040723</v>
      </c>
      <c r="DU216" s="712"/>
      <c r="DV216" s="712">
        <f>Sheet1!ED216+Sheet1!EE216+Sheet1!EF216+Sheet1!EG216</f>
        <v>14</v>
      </c>
      <c r="DW216" s="712"/>
      <c r="DX216" s="697">
        <f t="shared" si="696"/>
        <v>0</v>
      </c>
      <c r="DY216" s="712">
        <f>IF(Sheet1!FN216=1,SUM('Calculations II'!AT216:BA216)+'Calculations II'!BC216+Sheet1!BU216+'Calculations II'!BE216+AF216,SUM('Calculations II'!AT216:BA216)+'Calculations II'!BC216+Sheet1!BU216+'Calculations II'!BE216+AF216)</f>
        <v>49.275947199999997</v>
      </c>
      <c r="DZ216" s="712">
        <f>Sheet1!AA216+Sheet1!AB216+'Calculations II'!BC216</f>
        <v>66.850283200000575</v>
      </c>
      <c r="EA216" s="712"/>
      <c r="EB216" s="712"/>
      <c r="EC216" s="712">
        <f t="shared" si="697"/>
        <v>40745</v>
      </c>
      <c r="ED216" s="712">
        <f t="shared" si="698"/>
        <v>0</v>
      </c>
      <c r="EE216" s="712">
        <f t="shared" si="699"/>
        <v>0</v>
      </c>
      <c r="EF216" s="712">
        <f>-(VLOOKUP(Sheet1!BQ216,Lookup!$B$4:$J$236,2)-VLOOKUP(Sheet1!BQ215,Lookup!$B$4:$J$236,2))/1000000</f>
        <v>-1.369</v>
      </c>
      <c r="EG216" s="712">
        <f>-(VLOOKUP(Sheet1!BR216,Lookup!$B$4:$J$236,3)-VLOOKUP(Sheet1!BR215,Lookup!$B$4:$J$236,3))/1000000</f>
        <v>-1.6404000000000001</v>
      </c>
      <c r="EH216" s="712">
        <f>-(VLOOKUP(Sheet1!BS216,Lookup!$B$4:$J$236,4)-VLOOKUP(Sheet1!BS215,Lookup!$B$4:$J$236,4))/1000000</f>
        <v>0</v>
      </c>
      <c r="EI216" s="697">
        <f t="shared" si="700"/>
        <v>-3.0094000000000003</v>
      </c>
      <c r="EJ216" s="712"/>
      <c r="EK216" s="712"/>
      <c r="EL216" s="712"/>
      <c r="EM216" s="712"/>
      <c r="EN216" s="712"/>
      <c r="EO216" s="712"/>
      <c r="EP216" s="498"/>
      <c r="EQ216" s="712"/>
      <c r="ET216" s="794">
        <f t="shared" si="720"/>
        <v>1137.7</v>
      </c>
      <c r="EU216" s="697">
        <f t="shared" si="731"/>
        <v>11171.300000052273</v>
      </c>
      <c r="EV216" s="795">
        <f t="shared" si="734"/>
        <v>21676.000000054046</v>
      </c>
      <c r="EW216" s="796" t="s">
        <v>757</v>
      </c>
      <c r="EX216" s="796" t="s">
        <v>757</v>
      </c>
      <c r="EY216" s="862">
        <f t="shared" si="732"/>
        <v>202.37014624323081</v>
      </c>
      <c r="EZ216" s="798">
        <v>22896.000000054046</v>
      </c>
      <c r="FA216" s="712">
        <v>22896.000000054046</v>
      </c>
      <c r="FB216" s="712"/>
      <c r="FC216" s="712"/>
      <c r="FD216" s="712"/>
      <c r="FE216" s="712">
        <f>O216+Sheet1!CO216</f>
        <v>4394.1400000000003</v>
      </c>
      <c r="FF216" s="712">
        <f>IF(Sheet1!AA216+AG216&lt;=Calculation!N216,AG216,Calculation!N216-Sheet1!AA216)</f>
        <v>6.3348416289592757</v>
      </c>
      <c r="FG216" s="712">
        <f>(Sheet1!BP216+Sheet1!BO216)/694.4</f>
        <v>3.2355990783410142</v>
      </c>
      <c r="FH216" s="712"/>
      <c r="FI216" s="712"/>
      <c r="FJ216" s="712"/>
      <c r="FK216" s="712"/>
      <c r="FL216" s="714">
        <f t="shared" si="726"/>
        <v>40753</v>
      </c>
      <c r="FM216" s="714">
        <f t="shared" si="727"/>
        <v>40851</v>
      </c>
      <c r="FN216" s="712"/>
      <c r="FO216" s="712"/>
      <c r="FP216" s="712"/>
      <c r="FQ216" s="712"/>
      <c r="FR216" s="712"/>
      <c r="FS216" s="725">
        <f t="shared" si="728"/>
        <v>40603</v>
      </c>
      <c r="FT216" s="714">
        <f t="shared" si="729"/>
        <v>40709</v>
      </c>
      <c r="FU216" s="712">
        <f t="shared" si="728"/>
        <v>6518.9048239895692</v>
      </c>
      <c r="FV216" s="714">
        <f t="shared" si="730"/>
        <v>40722</v>
      </c>
      <c r="FW216" s="712">
        <f t="shared" si="728"/>
        <v>3259.4524119947846</v>
      </c>
      <c r="FX216" s="725">
        <f t="shared" si="728"/>
        <v>40851</v>
      </c>
      <c r="FZ216" s="697">
        <f t="shared" si="722"/>
        <v>0</v>
      </c>
      <c r="GA216" s="712" t="str">
        <f t="shared" si="701"/>
        <v/>
      </c>
      <c r="GB216" s="712">
        <f t="shared" si="702"/>
        <v>0</v>
      </c>
      <c r="GC216" s="712" t="str">
        <f t="shared" si="703"/>
        <v/>
      </c>
      <c r="GD216" s="712">
        <f>IF(GA216="P",Lookup!$M$12,IF(GA216="PP",Lookup!$M$13,IF(GA216="PPP",Lookup!$M$14,IF(GA216="T",Lookup!$M$15,IF(GA216="TP",Lookup!$M$16,IF(GA216="TPP",Lookup!$M$17,IF(GA216="TPPP",Lookup!$M$18,0)))))))*FZ216</f>
        <v>0</v>
      </c>
      <c r="GE216" s="712">
        <f t="shared" si="704"/>
        <v>0</v>
      </c>
      <c r="GF216" s="712">
        <f t="shared" si="705"/>
        <v>4166.6666666666661</v>
      </c>
      <c r="GG216" s="712">
        <f t="shared" si="706"/>
        <v>1358.1051716644936</v>
      </c>
      <c r="GH216" s="712"/>
      <c r="GI216" s="712">
        <f t="shared" si="707"/>
        <v>0</v>
      </c>
      <c r="GJ216" s="712" t="str">
        <f t="shared" si="708"/>
        <v/>
      </c>
      <c r="GK216" s="712">
        <f>IF(GA216="P",Lookup!$N$12,IF(GA216="PP",Lookup!$N$13,IF(GA216="PPP",Lookup!$N$14,IF(GA216="T",Lookup!$N$15,IF(GA216="TP",Lookup!$N$16,IF(GA216="TPP",Lookup!$N$17,IF(GA216="TPPP",Lookup!$N$18,0)))))))*FZ216</f>
        <v>0</v>
      </c>
      <c r="GL216" s="712">
        <f t="shared" si="709"/>
        <v>0</v>
      </c>
      <c r="GM216" s="712">
        <f t="shared" si="710"/>
        <v>1944.4444444444441</v>
      </c>
      <c r="GN216" s="712">
        <f t="shared" si="711"/>
        <v>633.7824134434303</v>
      </c>
      <c r="GO216" s="712"/>
      <c r="GP216" s="712">
        <f t="shared" si="712"/>
        <v>0</v>
      </c>
      <c r="GQ216" s="712" t="str">
        <f t="shared" si="713"/>
        <v/>
      </c>
      <c r="GR216" s="712">
        <f>IF(GA216="P",Lookup!$N$12,IF(GA216="PP",Lookup!$N$13,IF(GA216="PPP",Lookup!$N$14,IF(GA216="T",Lookup!$N$15,IF(GA216="TP",Lookup!$N$16,IF(GA216="TPP",Lookup!$N$17,IF(GA216="TPPP",Lookup!$N$18,0)))))))*FZ216</f>
        <v>0</v>
      </c>
      <c r="GS216" s="697">
        <f t="shared" si="724"/>
        <v>0</v>
      </c>
      <c r="GT216" s="712">
        <f t="shared" si="714"/>
        <v>1944.4444444444441</v>
      </c>
      <c r="GU216" s="712">
        <f t="shared" si="715"/>
        <v>633.7824134434303</v>
      </c>
      <c r="GV216" s="712"/>
      <c r="GW216" s="712">
        <f t="shared" si="716"/>
        <v>0</v>
      </c>
      <c r="GX216" s="712" t="str">
        <f t="shared" si="717"/>
        <v/>
      </c>
      <c r="GY216" s="712">
        <f>IF(GA216="P",Lookup!$N$12,IF(GA216="PP",Lookup!$N$13,IF(GA216="PPP",Lookup!$N$14,IF(GA216="T",Lookup!$N$15,IF(GA216="TP",Lookup!$N$16,IF(GA216="TPP",Lookup!$N$17,IF(GA216="TPPP",Lookup!$N$18,0)))))))*FZ216</f>
        <v>0</v>
      </c>
      <c r="GZ216" s="697">
        <f t="shared" si="725"/>
        <v>0</v>
      </c>
      <c r="HA216" s="712">
        <f t="shared" si="718"/>
        <v>1944.4444444444441</v>
      </c>
      <c r="HB216" s="712">
        <f t="shared" si="719"/>
        <v>633.7824134434303</v>
      </c>
      <c r="HC216" s="712"/>
    </row>
    <row r="217" spans="1:211">
      <c r="A217" s="773" t="s">
        <v>8</v>
      </c>
      <c r="B217" s="708">
        <v>40746</v>
      </c>
      <c r="C217" s="709">
        <v>0.5</v>
      </c>
      <c r="D217" s="675">
        <f t="shared" si="641"/>
        <v>200</v>
      </c>
      <c r="E217" s="675">
        <f t="shared" si="642"/>
        <v>400</v>
      </c>
      <c r="F217" s="675">
        <v>250</v>
      </c>
      <c r="G217" s="712">
        <f>DH217+Sheet1!CV217</f>
        <v>429.43671205170023</v>
      </c>
      <c r="H217" s="712">
        <f t="shared" si="643"/>
        <v>75.264690670219025</v>
      </c>
      <c r="I217" s="711">
        <f>MAX(Sheet1!Z217-AJ217+(Sheet1!CW217-E217)*CFStoMGD,0)</f>
        <v>320.65979718309859</v>
      </c>
      <c r="J217" s="720">
        <f>IF(AND(B217&gt;=Calculation!FS217,B217&lt;=Calculation!FT217),IF(Sheet1!CX217&gt;=Calculation!D217,64.64,0),MAX(Sheet1!Z217-AJ217+(Sheet1!CX217-D217)*CFStoMGD,0))</f>
        <v>265.64846384976528</v>
      </c>
      <c r="K217" s="697">
        <f t="shared" si="644"/>
        <v>64.64</v>
      </c>
      <c r="L217" s="712">
        <f>Sheet1!AA217+Sheet1!AB217-Sheet1!L217+(Sheet1!CW217-F217)*CFStoMGD</f>
        <v>463.92359999999968</v>
      </c>
      <c r="M217" s="712">
        <f t="shared" si="645"/>
        <v>283.13964848362343</v>
      </c>
      <c r="N217" s="712">
        <f>IF(Sheet1!CW217&gt;=F217,MIN(73,MIN(MAX(L217,0),MAX(M217,0))),0)</f>
        <v>73</v>
      </c>
      <c r="O217" s="721">
        <f>Sheet1!AA217+Sheet1!AB217</f>
        <v>60.889999999999418</v>
      </c>
      <c r="P217" s="721">
        <f t="shared" si="646"/>
        <v>94.196829999999096</v>
      </c>
      <c r="Q217" s="712">
        <f>MIN(N217,Sheet1!AA217+AG217)</f>
        <v>46.523802816900826</v>
      </c>
      <c r="R217" s="712">
        <f t="shared" si="647"/>
        <v>15</v>
      </c>
      <c r="S217" s="721">
        <f>Sheet1!Y217*MGDtoCFS</f>
        <v>63.427</v>
      </c>
      <c r="T217" s="721">
        <f>Sheet1!Z217*MGDtoCFS</f>
        <v>30.785299999999996</v>
      </c>
      <c r="U217" s="721">
        <f>Sheet1!AA217*MGDtoCFS</f>
        <v>63.256829999999098</v>
      </c>
      <c r="V217" s="721">
        <f>Sheet1!AB217*MGDtoCFS</f>
        <v>30.939999999999998</v>
      </c>
      <c r="W217" s="721">
        <f>Sheet1!L217*MGDtoCFS</f>
        <v>0.49503999999954973</v>
      </c>
      <c r="X217" s="697">
        <f t="shared" si="648"/>
        <v>0</v>
      </c>
      <c r="Y217" s="712">
        <f t="shared" si="649"/>
        <v>0</v>
      </c>
      <c r="Z217" s="712">
        <f t="shared" si="650"/>
        <v>0</v>
      </c>
      <c r="AA217" s="712">
        <f t="shared" si="651"/>
        <v>0</v>
      </c>
      <c r="AB217" s="712">
        <f>(VLOOKUP(Sheet1!CY217,hhdcap_wcm,4)-(((VLOOKUP(Sheet1!CY217,hhdcap_wcm,3)-Sheet1!CY217)/(VLOOKUP(Sheet1!CY217,hhdcap_wcm,3)-VLOOKUP(Sheet1!CY217,hhdcap_wcm,1)))*(VLOOKUP(Sheet1!CY217,hhdcap_wcm,4)-VLOOKUP(Sheet1!CY217,hhdcap_wcm,2))))</f>
        <v>43535.400000104841</v>
      </c>
      <c r="AC217" s="712">
        <f t="shared" si="652"/>
        <v>-531.90000000147847</v>
      </c>
      <c r="AD217" s="712">
        <f t="shared" si="653"/>
        <v>3259.4524119947846</v>
      </c>
      <c r="AE217" s="712">
        <f t="shared" si="654"/>
        <v>10000</v>
      </c>
      <c r="AF217" s="712">
        <f>Sheet1!BA217+Sheet1!BB217+Sheet1!BN217+BT217</f>
        <v>5.6</v>
      </c>
      <c r="AG217" s="712">
        <f t="shared" si="655"/>
        <v>5.6338028169014081</v>
      </c>
      <c r="AH217" s="712">
        <f>Sheet1!BA217+BT217</f>
        <v>0</v>
      </c>
      <c r="AI217" s="712">
        <f>Sheet1!BA217+Sheet1!BB217+BT217</f>
        <v>0</v>
      </c>
      <c r="AJ217" s="712">
        <f>IF((Sheet1!AA217+AG217+AX217+AZ217+BQ217+BS217+CL217+CN217)&lt;=N217,AG217+AX217+AZ217+BQ217+BS217+CL217+CN217,N217-Sheet1!AA217)</f>
        <v>5.6338028169014081</v>
      </c>
      <c r="AK217" s="712">
        <f>IF(DR217&lt;K217,0,MAX(Sheet1!AA217+AG217-15/36*K217-N217,Sheet1!ED217,0))</f>
        <v>0</v>
      </c>
      <c r="AL217" s="712">
        <f>IF(OR(B217&gt;=FT217,B217&lt;FS217),0,15/36*K217-MAX(0,64.6-(137.6-(Sheet1!AA217+Sheet1!AB217))))</f>
        <v>0</v>
      </c>
      <c r="AM217" s="712">
        <f>Sheet1!CX217-110</f>
        <v>478.89583333333337</v>
      </c>
      <c r="AN217" s="712">
        <f>Sheet1!CW217-265</f>
        <v>609</v>
      </c>
      <c r="AO217" s="712">
        <f t="shared" si="733"/>
        <v>26.476197183099174</v>
      </c>
      <c r="AP217" s="712">
        <f t="shared" si="656"/>
        <v>0</v>
      </c>
      <c r="AQ217" s="712">
        <f t="shared" si="657"/>
        <v>0</v>
      </c>
      <c r="AR217" s="712">
        <f t="shared" si="658"/>
        <v>1358.1051716644936</v>
      </c>
      <c r="AS217" s="712"/>
      <c r="AT217" s="712">
        <f ca="1">IF(B217&gt;Summary!$A$1,#N/A,AR217*MGtoAF)</f>
        <v>4166.6666666666661</v>
      </c>
      <c r="AU217" s="712">
        <f>Sheet1!BG217+Sheet1!BH217+Sheet1!BI217-BC217</f>
        <v>1.5</v>
      </c>
      <c r="AV217" s="712">
        <f t="shared" si="659"/>
        <v>1.5090543259557345</v>
      </c>
      <c r="AW217" s="712">
        <f>IF(Sheet1!EL217="FM",BC217,0)</f>
        <v>0</v>
      </c>
      <c r="AX217" s="712">
        <f t="shared" si="660"/>
        <v>0</v>
      </c>
      <c r="AY217" s="712">
        <f>IF(Sheet1!EL217="OTHER",BC217,0)</f>
        <v>0</v>
      </c>
      <c r="AZ217" s="712">
        <f t="shared" si="661"/>
        <v>0</v>
      </c>
      <c r="BA217" s="712">
        <f t="shared" si="662"/>
        <v>1.5</v>
      </c>
      <c r="BB217" s="712">
        <f t="shared" si="663"/>
        <v>1.5090543259557345</v>
      </c>
      <c r="BC217" s="712">
        <f>IF(OR(Sheet1!EL217="FM", Sheet1!EL217="OTHER"),SUM(Sheet1!BG217:'Sheet1'!BI217),0)</f>
        <v>0</v>
      </c>
      <c r="BD217" s="697">
        <f>IF(AND($B217&gt;=$FL217,$B217&lt;=$FM217),MAX(AV217,Sheet1!EE217,0),MAX(AV217-(7/36)*$K217,0))</f>
        <v>0</v>
      </c>
      <c r="BE217" s="712">
        <f t="shared" si="664"/>
        <v>0</v>
      </c>
      <c r="BF217" s="697">
        <f t="shared" si="665"/>
        <v>1.5090543259557345</v>
      </c>
      <c r="BG217" s="697">
        <f>IF(AND($O217&gt;0,Sheet1!EI217=1),(1-($O217-Sheet1!$L217)/$O217)*BB217,0)</f>
        <v>0</v>
      </c>
      <c r="BH217" s="697">
        <f>IF(AND(Sheet1!$L217=0,Sheet1!$L216=0, Calculation!BA217&lt;Sheet1!$EE217-0.1,Sheet1!$EE217=Sheet1!$EE216,Sheet1!$EE217=Sheet1!$EE218),Sheet1!$EE217,BB217-BG217)</f>
        <v>1.5090543259557345</v>
      </c>
      <c r="BI217" s="712"/>
      <c r="BJ217" s="712"/>
      <c r="BK217" s="712">
        <f t="shared" si="666"/>
        <v>633.7824134434303</v>
      </c>
      <c r="BL217" s="712"/>
      <c r="BM217" s="712">
        <f ca="1">IF(B217&gt;Summary!$A$1,#N/A,BK217*MGtoAF)</f>
        <v>1944.4444444444441</v>
      </c>
      <c r="BN217" s="712">
        <f>Sheet1!BC217+Sheet1!BD217+Sheet1!BE217+Sheet1!BF217-BW217-BX217</f>
        <v>2.86</v>
      </c>
      <c r="BO217" s="712">
        <f t="shared" si="667"/>
        <v>2.8772635814889336</v>
      </c>
      <c r="BP217" s="712">
        <f>IF(Sheet1!EM217="FM",BX217,0)</f>
        <v>0</v>
      </c>
      <c r="BQ217" s="712">
        <f t="shared" si="668"/>
        <v>0</v>
      </c>
      <c r="BR217" s="712">
        <f>IF(Sheet1!EM217="OTHER",BX217,0)</f>
        <v>0</v>
      </c>
      <c r="BS217" s="712">
        <f t="shared" si="669"/>
        <v>0</v>
      </c>
      <c r="BT217" s="712">
        <f t="shared" si="670"/>
        <v>0</v>
      </c>
      <c r="BU217" s="712">
        <f t="shared" si="671"/>
        <v>2.86</v>
      </c>
      <c r="BV217" s="712">
        <f t="shared" si="672"/>
        <v>2.8772635814889336</v>
      </c>
      <c r="BW217" s="712">
        <f>IF(Sheet1!EM217="CWA",SUM(Sheet1!BC217:'Sheet1'!BF217),0)</f>
        <v>0</v>
      </c>
      <c r="BX217" s="712">
        <f>IF(OR(Sheet1!EM217="FM", Sheet1!EM217="OTHER"),SUM(Sheet1!BC217:'Sheet1'!BF217),0)</f>
        <v>0</v>
      </c>
      <c r="BY217" s="697">
        <f>IF(AND($B217&gt;=$FL217,$B217&lt;=$FM217),MAX(BV217,Sheet1!EF217,0),MAX(BV217-(7/36)*$K217,0))</f>
        <v>0</v>
      </c>
      <c r="BZ217" s="712">
        <f t="shared" si="673"/>
        <v>0</v>
      </c>
      <c r="CA217" s="697">
        <f t="shared" si="674"/>
        <v>2.8772635814889336</v>
      </c>
      <c r="CB217" s="697">
        <f>IF(AND($O217&gt;0,Sheet1!EJ217=1),(1-($O217-Sheet1!$L217)/$O217)*BV217,0)</f>
        <v>0</v>
      </c>
      <c r="CC217" s="697">
        <f>IF(AND(Sheet1!$L217=0,Sheet1!$L216=0, Calculation!BU217&lt;Sheet1!EF217-0.1,Sheet1!EF217=Sheet1!EF216,Sheet1!EF217=Sheet1!EF218),Sheet1!EF217,BV217-CB217)</f>
        <v>2.8772635814889336</v>
      </c>
      <c r="CD217" s="697"/>
      <c r="CE217" s="712"/>
      <c r="CF217" s="712">
        <f t="shared" si="675"/>
        <v>633.7824134434303</v>
      </c>
      <c r="CG217" s="712"/>
      <c r="CH217" s="712">
        <f ca="1">IF(B217&gt;Summary!$A$1,#N/A,CF217*MGtoAF)</f>
        <v>1944.4444444444441</v>
      </c>
      <c r="CI217" s="712">
        <f>Sheet1!BK217+Sheet1!BL217+Sheet1!BM217-Sheet1!EN217-CQ217</f>
        <v>9.92</v>
      </c>
      <c r="CJ217" s="712">
        <f t="shared" si="676"/>
        <v>9.9798792756539232</v>
      </c>
      <c r="CK217" s="712">
        <f>IF(Sheet1!EN217="FM",CQ217,0)</f>
        <v>0</v>
      </c>
      <c r="CL217" s="712">
        <f t="shared" si="677"/>
        <v>0</v>
      </c>
      <c r="CM217" s="712">
        <f>IF(Sheet1!EN217="OTHER",CQ217,0)</f>
        <v>0</v>
      </c>
      <c r="CN217" s="712">
        <f t="shared" si="678"/>
        <v>0</v>
      </c>
      <c r="CO217" s="712">
        <f t="shared" si="679"/>
        <v>9.92</v>
      </c>
      <c r="CP217" s="712">
        <f t="shared" si="680"/>
        <v>9.9798792756539232</v>
      </c>
      <c r="CQ217" s="712">
        <f>IF(OR(Sheet1!EN217="FM", Sheet1!EN217="OTHER"),SUM(Sheet1!BK217:'Sheet1'!BM217),0)</f>
        <v>0</v>
      </c>
      <c r="CR217" s="697">
        <f>IF(AND($B217&gt;=$FL217,$B217&lt;=$FM217),MAX($CJ217,Sheet1!EG217,0),MAX($CJ217-(7/36)*$K217,0))</f>
        <v>0</v>
      </c>
      <c r="CS217" s="712">
        <f t="shared" si="681"/>
        <v>0</v>
      </c>
      <c r="CT217" s="697">
        <f t="shared" si="682"/>
        <v>9.9798792756539232</v>
      </c>
      <c r="CU217" s="697">
        <f>IF(AND($O217&gt;0,Sheet1!EK217=1),(1-($O217-Sheet1!$L217)/$O217)*CP217,0)</f>
        <v>0</v>
      </c>
      <c r="CV217" s="697">
        <f>IF(AND(Sheet1!$L217=0,Sheet1!$L216=0, Calculation!CO217&lt;Sheet1!$EG217-0.1,Sheet1!$EG217=Sheet1!$EG216,Sheet1!$EG217=Sheet1!$EG218),Sheet1!$EG217,CP217-CU217)</f>
        <v>9.9798792756539232</v>
      </c>
      <c r="CW217" s="697">
        <f t="shared" si="721"/>
        <v>0</v>
      </c>
      <c r="CX217" s="712">
        <f t="shared" si="683"/>
        <v>14.28</v>
      </c>
      <c r="CY217" s="712">
        <f t="shared" si="684"/>
        <v>633.7824134434303</v>
      </c>
      <c r="CZ217" s="712">
        <f t="shared" si="685"/>
        <v>14.366197183098592</v>
      </c>
      <c r="DA217" s="712">
        <f ca="1">IF(B217&gt;Summary!$A$1,#N/A,CY217*MGtoAF)</f>
        <v>1944.4444444444441</v>
      </c>
      <c r="DB217" s="712">
        <f t="shared" si="686"/>
        <v>14.28</v>
      </c>
      <c r="DC217" s="712">
        <f t="shared" si="687"/>
        <v>19.88</v>
      </c>
      <c r="DD217" s="712">
        <f>Sheet1!AB217-DC217</f>
        <v>0.12000000000000099</v>
      </c>
      <c r="DE217" s="712">
        <f t="shared" si="688"/>
        <v>6.0362173038229876E-3</v>
      </c>
      <c r="DF217" s="712">
        <f>(VLOOKUP(Sheet1!CY217,hhdcap_wcm,4)-(((VLOOKUP(Sheet1!CY217,hhdcap_wcm,3)-Sheet1!CY217)/(VLOOKUP(Sheet1!CY217,hhdcap_wcm,3)-VLOOKUP(Sheet1!CY217,hhdcap_wcm,1)))*(VLOOKUP(Sheet1!CY217,hhdcap_wcm,4)-VLOOKUP(Sheet1!CY217,hhdcap_wcm,2))))</f>
        <v>43535.400000104841</v>
      </c>
      <c r="DG217" s="712">
        <f t="shared" si="689"/>
        <v>-531.90000000147847</v>
      </c>
      <c r="DH217" s="712">
        <f t="shared" si="690"/>
        <v>-268.2299546149664</v>
      </c>
      <c r="DI217" s="712">
        <f>Sheet1!DW217*AFtoMG</f>
        <v>0</v>
      </c>
      <c r="DJ217" s="712">
        <f>Sheet1!DX217*AFtoMG</f>
        <v>0</v>
      </c>
      <c r="DK217" s="712">
        <f>Sheet1!DY217*AFtoMG</f>
        <v>0</v>
      </c>
      <c r="DL217" s="712">
        <f>Sheet1!DZ217*AFtoMG</f>
        <v>0</v>
      </c>
      <c r="DM217" s="712">
        <f t="shared" si="691"/>
        <v>0</v>
      </c>
      <c r="DN217" s="712">
        <f t="shared" si="692"/>
        <v>0</v>
      </c>
      <c r="DO217" s="712">
        <f t="shared" si="693"/>
        <v>3259.4524119947846</v>
      </c>
      <c r="DP217" s="712">
        <f t="shared" si="694"/>
        <v>10000</v>
      </c>
      <c r="DQ217" s="712"/>
      <c r="DR217" s="697">
        <f>IF(OR(B217&lt;FL217,B217&gt;FM217),(MIN(AV217+BO217+CJ217+MAX(Sheet1!AA217+AG217-73,0),K217)),0)</f>
        <v>14.366197183098592</v>
      </c>
      <c r="DS217" s="712"/>
      <c r="DT217" s="712">
        <f t="shared" si="695"/>
        <v>14.366197183098592</v>
      </c>
      <c r="DU217" s="712"/>
      <c r="DV217" s="712">
        <f>Sheet1!ED217+Sheet1!EE217+Sheet1!EF217+Sheet1!EG217</f>
        <v>15</v>
      </c>
      <c r="DW217" s="712"/>
      <c r="DX217" s="697">
        <f t="shared" si="696"/>
        <v>0</v>
      </c>
      <c r="DY217" s="712">
        <f>IF(Sheet1!FN217=1,SUM('Calculations II'!AT217:BA217)+'Calculations II'!BC217+Sheet1!BU217+'Calculations II'!BE217+AF217,SUM('Calculations II'!AT217:BA217)+'Calculations II'!BC217+Sheet1!BU217+'Calculations II'!BE217+AF217)</f>
        <v>57.629248000000004</v>
      </c>
      <c r="DZ217" s="712">
        <f>Sheet1!AA217+Sheet1!AB217+'Calculations II'!BC217</f>
        <v>66.884575999999413</v>
      </c>
      <c r="EA217" s="712"/>
      <c r="EB217" s="712"/>
      <c r="EC217" s="712">
        <f t="shared" si="697"/>
        <v>40746</v>
      </c>
      <c r="ED217" s="712">
        <f t="shared" si="698"/>
        <v>0</v>
      </c>
      <c r="EE217" s="712">
        <f t="shared" si="699"/>
        <v>0</v>
      </c>
      <c r="EF217" s="712">
        <f>-(VLOOKUP(Sheet1!BQ217,Lookup!$B$4:$J$236,2)-VLOOKUP(Sheet1!BQ216,Lookup!$B$4:$J$236,2))/1000000</f>
        <v>2.7342</v>
      </c>
      <c r="EG217" s="712">
        <f>-(VLOOKUP(Sheet1!BR217,Lookup!$B$4:$J$236,3)-VLOOKUP(Sheet1!BR216,Lookup!$B$4:$J$236,3))/1000000</f>
        <v>3.0005999999999999</v>
      </c>
      <c r="EH217" s="712">
        <f>-(VLOOKUP(Sheet1!BS217,Lookup!$B$4:$J$236,4)-VLOOKUP(Sheet1!BS216,Lookup!$B$4:$J$236,4))/1000000</f>
        <v>0</v>
      </c>
      <c r="EI217" s="697">
        <f t="shared" si="700"/>
        <v>5.7347999999999999</v>
      </c>
      <c r="EJ217" s="712"/>
      <c r="EK217" s="712"/>
      <c r="EL217" s="712"/>
      <c r="EM217" s="712"/>
      <c r="EN217" s="712"/>
      <c r="EO217" s="712"/>
      <c r="EP217" s="498"/>
      <c r="EQ217" s="712"/>
      <c r="ET217" s="794">
        <f t="shared" si="720"/>
        <v>1137.5999999999999</v>
      </c>
      <c r="EU217" s="697">
        <f t="shared" si="731"/>
        <v>10639.400000050795</v>
      </c>
      <c r="EV217" s="795">
        <f t="shared" si="734"/>
        <v>21676.000000054046</v>
      </c>
      <c r="EW217" s="796" t="s">
        <v>757</v>
      </c>
      <c r="EX217" s="796" t="s">
        <v>757</v>
      </c>
      <c r="EY217" s="862">
        <f t="shared" si="732"/>
        <v>268.22995461496646</v>
      </c>
      <c r="EZ217" s="798">
        <v>22896.000000054046</v>
      </c>
      <c r="FA217" s="712">
        <v>22896.000000054046</v>
      </c>
      <c r="FB217" s="712"/>
      <c r="FC217" s="712"/>
      <c r="FD217" s="712"/>
      <c r="FE217" s="712">
        <f>O217+Sheet1!CO217</f>
        <v>4223.7899999999991</v>
      </c>
      <c r="FF217" s="712">
        <f>IF(Sheet1!AA217+AG217&lt;=Calculation!N217,AG217,Calculation!N217-Sheet1!AA217)</f>
        <v>5.6338028169014081</v>
      </c>
      <c r="FG217" s="712">
        <f>(Sheet1!BP217+Sheet1!BO217)/694.4</f>
        <v>3.7759216589861753</v>
      </c>
      <c r="FH217" s="712"/>
      <c r="FI217" s="712"/>
      <c r="FJ217" s="712"/>
      <c r="FK217" s="712"/>
      <c r="FL217" s="714">
        <f t="shared" si="726"/>
        <v>40753</v>
      </c>
      <c r="FM217" s="714">
        <f t="shared" si="727"/>
        <v>40851</v>
      </c>
      <c r="FN217" s="712"/>
      <c r="FO217" s="712"/>
      <c r="FP217" s="712"/>
      <c r="FQ217" s="712"/>
      <c r="FR217" s="712"/>
      <c r="FS217" s="725">
        <f t="shared" si="728"/>
        <v>40603</v>
      </c>
      <c r="FT217" s="714">
        <f t="shared" si="729"/>
        <v>40709</v>
      </c>
      <c r="FU217" s="712">
        <f t="shared" si="728"/>
        <v>6518.9048239895692</v>
      </c>
      <c r="FV217" s="714">
        <f t="shared" si="730"/>
        <v>40722</v>
      </c>
      <c r="FW217" s="712">
        <f t="shared" si="728"/>
        <v>3259.4524119947846</v>
      </c>
      <c r="FX217" s="725">
        <f t="shared" si="728"/>
        <v>40851</v>
      </c>
      <c r="FZ217" s="697">
        <f t="shared" si="722"/>
        <v>0</v>
      </c>
      <c r="GA217" s="712" t="str">
        <f t="shared" si="701"/>
        <v/>
      </c>
      <c r="GB217" s="712">
        <f t="shared" si="702"/>
        <v>0</v>
      </c>
      <c r="GC217" s="712" t="str">
        <f t="shared" si="703"/>
        <v/>
      </c>
      <c r="GD217" s="712">
        <f>IF(GA217="P",Lookup!$M$12,IF(GA217="PP",Lookup!$M$13,IF(GA217="PPP",Lookup!$M$14,IF(GA217="T",Lookup!$M$15,IF(GA217="TP",Lookup!$M$16,IF(GA217="TPP",Lookup!$M$17,IF(GA217="TPPP",Lookup!$M$18,0)))))))*FZ217</f>
        <v>0</v>
      </c>
      <c r="GE217" s="712">
        <f t="shared" si="704"/>
        <v>0</v>
      </c>
      <c r="GF217" s="712">
        <f t="shared" si="705"/>
        <v>4166.6666666666661</v>
      </c>
      <c r="GG217" s="712">
        <f t="shared" si="706"/>
        <v>1358.1051716644936</v>
      </c>
      <c r="GH217" s="712"/>
      <c r="GI217" s="712">
        <f t="shared" si="707"/>
        <v>0</v>
      </c>
      <c r="GJ217" s="712" t="str">
        <f t="shared" si="708"/>
        <v/>
      </c>
      <c r="GK217" s="712">
        <f>IF(GA217="P",Lookup!$N$12,IF(GA217="PP",Lookup!$N$13,IF(GA217="PPP",Lookup!$N$14,IF(GA217="T",Lookup!$N$15,IF(GA217="TP",Lookup!$N$16,IF(GA217="TPP",Lookup!$N$17,IF(GA217="TPPP",Lookup!$N$18,0)))))))*FZ217</f>
        <v>0</v>
      </c>
      <c r="GL217" s="712">
        <f t="shared" si="709"/>
        <v>0</v>
      </c>
      <c r="GM217" s="712">
        <f t="shared" si="710"/>
        <v>1944.4444444444441</v>
      </c>
      <c r="GN217" s="712">
        <f t="shared" si="711"/>
        <v>633.7824134434303</v>
      </c>
      <c r="GO217" s="712"/>
      <c r="GP217" s="712">
        <f t="shared" si="712"/>
        <v>0</v>
      </c>
      <c r="GQ217" s="712" t="str">
        <f t="shared" si="713"/>
        <v/>
      </c>
      <c r="GR217" s="712">
        <f>IF(GA217="P",Lookup!$N$12,IF(GA217="PP",Lookup!$N$13,IF(GA217="PPP",Lookup!$N$14,IF(GA217="T",Lookup!$N$15,IF(GA217="TP",Lookup!$N$16,IF(GA217="TPP",Lookup!$N$17,IF(GA217="TPPP",Lookup!$N$18,0)))))))*FZ217</f>
        <v>0</v>
      </c>
      <c r="GS217" s="697">
        <f t="shared" si="724"/>
        <v>0</v>
      </c>
      <c r="GT217" s="712">
        <f t="shared" si="714"/>
        <v>1944.4444444444441</v>
      </c>
      <c r="GU217" s="712">
        <f t="shared" si="715"/>
        <v>633.7824134434303</v>
      </c>
      <c r="GV217" s="712"/>
      <c r="GW217" s="712">
        <f t="shared" si="716"/>
        <v>0</v>
      </c>
      <c r="GX217" s="712" t="str">
        <f t="shared" si="717"/>
        <v/>
      </c>
      <c r="GY217" s="712">
        <f>IF(GA217="P",Lookup!$N$12,IF(GA217="PP",Lookup!$N$13,IF(GA217="PPP",Lookup!$N$14,IF(GA217="T",Lookup!$N$15,IF(GA217="TP",Lookup!$N$16,IF(GA217="TPP",Lookup!$N$17,IF(GA217="TPPP",Lookup!$N$18,0)))))))*FZ217</f>
        <v>0</v>
      </c>
      <c r="GZ217" s="697">
        <f t="shared" si="725"/>
        <v>0</v>
      </c>
      <c r="HA217" s="712">
        <f t="shared" si="718"/>
        <v>1944.4444444444441</v>
      </c>
      <c r="HB217" s="712">
        <f t="shared" si="719"/>
        <v>633.7824134434303</v>
      </c>
      <c r="HC217" s="712"/>
    </row>
    <row r="218" spans="1:211">
      <c r="A218" s="773" t="s">
        <v>9</v>
      </c>
      <c r="B218" s="708">
        <v>40747</v>
      </c>
      <c r="C218" s="719">
        <v>0.5</v>
      </c>
      <c r="D218" s="675">
        <f t="shared" si="641"/>
        <v>200</v>
      </c>
      <c r="E218" s="675">
        <f t="shared" si="642"/>
        <v>400</v>
      </c>
      <c r="F218" s="675">
        <v>250</v>
      </c>
      <c r="G218" s="712">
        <f>DH218+Sheet1!CV218</f>
        <v>409.34644478039252</v>
      </c>
      <c r="H218" s="712">
        <f t="shared" si="643"/>
        <v>62.278341906045718</v>
      </c>
      <c r="I218" s="711">
        <f>MAX(Sheet1!Z218-AJ218+(Sheet1!CW218-E218)*CFStoMGD,0)</f>
        <v>316.7962331658303</v>
      </c>
      <c r="J218" s="720">
        <f>IF(AND(B218&gt;=Calculation!FS218,B218&lt;=Calculation!FT218),IF(Sheet1!CX218&gt;=Calculation!D218,64.64,0),MAX(Sheet1!Z218-AJ218+(Sheet1!CX218-D218)*CFStoMGD,0))</f>
        <v>263.46823316583033</v>
      </c>
      <c r="K218" s="697">
        <f t="shared" si="644"/>
        <v>62.278341906045718</v>
      </c>
      <c r="L218" s="712">
        <f>Sheet1!AA218+Sheet1!AB218-Sheet1!L218+(Sheet1!CW218-F218)*CFStoMGD</f>
        <v>459.09959999999506</v>
      </c>
      <c r="M218" s="712">
        <f t="shared" si="645"/>
        <v>269.89357274416665</v>
      </c>
      <c r="N218" s="712">
        <f>IF(Sheet1!CW218&gt;=F218,MIN(73,MIN(MAX(L218,0),MAX(M218,0))),0)</f>
        <v>73</v>
      </c>
      <c r="O218" s="721">
        <f>Sheet1!AA218+Sheet1!AB218</f>
        <v>60.189999999995052</v>
      </c>
      <c r="P218" s="721">
        <f t="shared" si="646"/>
        <v>93.113929999992337</v>
      </c>
      <c r="Q218" s="712">
        <f>MIN(N218,Sheet1!AA218+AG218)</f>
        <v>45.663366834169111</v>
      </c>
      <c r="R218" s="712">
        <f t="shared" si="647"/>
        <v>15</v>
      </c>
      <c r="S218" s="721">
        <f>Sheet1!Y218*MGDtoCFS</f>
        <v>63.24136</v>
      </c>
      <c r="T218" s="721">
        <f>Sheet1!Z218*MGDtoCFS</f>
        <v>31.125640000000001</v>
      </c>
      <c r="U218" s="721">
        <f>Sheet1!AA218*MGDtoCFS</f>
        <v>62.4833299999991</v>
      </c>
      <c r="V218" s="721">
        <f>Sheet1!AB218*MGDtoCFS</f>
        <v>30.630599999993244</v>
      </c>
      <c r="W218" s="721">
        <f>Sheet1!L218*MGDtoCFS</f>
        <v>0</v>
      </c>
      <c r="X218" s="697">
        <f t="shared" si="648"/>
        <v>0</v>
      </c>
      <c r="Y218" s="712">
        <f t="shared" si="649"/>
        <v>0</v>
      </c>
      <c r="Z218" s="712">
        <f t="shared" si="650"/>
        <v>0</v>
      </c>
      <c r="AA218" s="712">
        <f t="shared" si="651"/>
        <v>0</v>
      </c>
      <c r="AB218" s="712">
        <f>(VLOOKUP(Sheet1!CY218,hhdcap_wcm,4)-(((VLOOKUP(Sheet1!CY218,hhdcap_wcm,3)-Sheet1!CY218)/(VLOOKUP(Sheet1!CY218,hhdcap_wcm,3)-VLOOKUP(Sheet1!CY218,hhdcap_wcm,1)))*(VLOOKUP(Sheet1!CY218,hhdcap_wcm,4)-VLOOKUP(Sheet1!CY218,hhdcap_wcm,2))))</f>
        <v>42963.000000104359</v>
      </c>
      <c r="AC218" s="712">
        <f t="shared" si="652"/>
        <v>-572.40000000048167</v>
      </c>
      <c r="AD218" s="712">
        <f t="shared" si="653"/>
        <v>3259.4524119947846</v>
      </c>
      <c r="AE218" s="712">
        <f t="shared" si="654"/>
        <v>10000</v>
      </c>
      <c r="AF218" s="712">
        <f>Sheet1!BA218+Sheet1!BB218+Sheet1!BN218+BT218</f>
        <v>5.3</v>
      </c>
      <c r="AG218" s="712">
        <f t="shared" si="655"/>
        <v>5.2733668341696918</v>
      </c>
      <c r="AH218" s="712">
        <f>Sheet1!BA218+BT218</f>
        <v>0</v>
      </c>
      <c r="AI218" s="712">
        <f>Sheet1!BA218+Sheet1!BB218+BT218</f>
        <v>0</v>
      </c>
      <c r="AJ218" s="712">
        <f>IF((Sheet1!AA218+AG218+AX218+AZ218+BQ218+BS218+CL218+CN218)&lt;=N218,AG218+AX218+AZ218+BQ218+BS218+CL218+CN218,N218-Sheet1!AA218)</f>
        <v>5.2733668341696918</v>
      </c>
      <c r="AK218" s="712">
        <f>IF(DR218&lt;K218,0,MAX(Sheet1!AA218+AG218-15/36*K218-N218,Sheet1!ED218,0))</f>
        <v>0</v>
      </c>
      <c r="AL218" s="712">
        <f>IF(OR(B218&gt;=FT218,B218&lt;FS218),0,15/36*K218-MAX(0,64.6-(137.6-(Sheet1!AA218+Sheet1!AB218))))</f>
        <v>0</v>
      </c>
      <c r="AM218" s="712">
        <f>Sheet1!CX218-110</f>
        <v>474.625</v>
      </c>
      <c r="AN218" s="712">
        <f>Sheet1!CW218-265</f>
        <v>602.125</v>
      </c>
      <c r="AO218" s="712">
        <f t="shared" si="733"/>
        <v>27.336633165830889</v>
      </c>
      <c r="AP218" s="712">
        <f t="shared" si="656"/>
        <v>0</v>
      </c>
      <c r="AQ218" s="712">
        <f t="shared" si="657"/>
        <v>0</v>
      </c>
      <c r="AR218" s="712">
        <f t="shared" si="658"/>
        <v>1358.1051716644936</v>
      </c>
      <c r="AS218" s="712"/>
      <c r="AT218" s="712">
        <f ca="1">IF(B218&gt;Summary!$A$1,#N/A,AR218*MGtoAF)</f>
        <v>4166.6666666666661</v>
      </c>
      <c r="AU218" s="712">
        <f>Sheet1!BG218+Sheet1!BH218+Sheet1!BI218-BC218</f>
        <v>1.51</v>
      </c>
      <c r="AV218" s="712">
        <f t="shared" si="659"/>
        <v>1.5024120603011764</v>
      </c>
      <c r="AW218" s="712">
        <f>IF(Sheet1!EL218="FM",BC218,0)</f>
        <v>0</v>
      </c>
      <c r="AX218" s="712">
        <f t="shared" si="660"/>
        <v>0</v>
      </c>
      <c r="AY218" s="712">
        <f>IF(Sheet1!EL218="OTHER",BC218,0)</f>
        <v>0</v>
      </c>
      <c r="AZ218" s="712">
        <f t="shared" si="661"/>
        <v>0</v>
      </c>
      <c r="BA218" s="712">
        <f t="shared" si="662"/>
        <v>1.51</v>
      </c>
      <c r="BB218" s="712">
        <f t="shared" si="663"/>
        <v>1.5024120603011764</v>
      </c>
      <c r="BC218" s="712">
        <f>IF(OR(Sheet1!EL218="FM", Sheet1!EL218="OTHER"),SUM(Sheet1!BG218:'Sheet1'!BI218),0)</f>
        <v>0</v>
      </c>
      <c r="BD218" s="697">
        <f>IF(AND($B218&gt;=$FL218,$B218&lt;=$FM218),MAX(AV218,Sheet1!EE218,0),MAX(AV218-(7/36)*$K218,0))</f>
        <v>0</v>
      </c>
      <c r="BE218" s="712">
        <f t="shared" si="664"/>
        <v>0</v>
      </c>
      <c r="BF218" s="697">
        <f t="shared" si="665"/>
        <v>1.5024120603011764</v>
      </c>
      <c r="BG218" s="697">
        <f>IF(AND($O218&gt;0,Sheet1!EI218=1),(1-($O218-Sheet1!$L218)/$O218)*BB218,0)</f>
        <v>0</v>
      </c>
      <c r="BH218" s="697">
        <f>IF(AND(Sheet1!$L218=0,Sheet1!$L217=0, Calculation!BA218&lt;Sheet1!$EE218-0.1,Sheet1!$EE218=Sheet1!$EE217,Sheet1!$EE218=Sheet1!$EE219),Sheet1!$EE218,BB218-BG218)</f>
        <v>1.5024120603011764</v>
      </c>
      <c r="BI218" s="712"/>
      <c r="BJ218" s="712"/>
      <c r="BK218" s="712">
        <f t="shared" si="666"/>
        <v>633.7824134434303</v>
      </c>
      <c r="BL218" s="712"/>
      <c r="BM218" s="712">
        <f ca="1">IF(B218&gt;Summary!$A$1,#N/A,BK218*MGtoAF)</f>
        <v>1944.4444444444441</v>
      </c>
      <c r="BN218" s="712">
        <f>Sheet1!BC218+Sheet1!BD218+Sheet1!BE218+Sheet1!BF218-BW218-BX218</f>
        <v>3.05</v>
      </c>
      <c r="BO218" s="712">
        <f t="shared" si="667"/>
        <v>3.034673366833502</v>
      </c>
      <c r="BP218" s="712">
        <f>IF(Sheet1!EM218="FM",BX218,0)</f>
        <v>0</v>
      </c>
      <c r="BQ218" s="712">
        <f t="shared" si="668"/>
        <v>0</v>
      </c>
      <c r="BR218" s="712">
        <f>IF(Sheet1!EM218="OTHER",BX218,0)</f>
        <v>0</v>
      </c>
      <c r="BS218" s="712">
        <f t="shared" si="669"/>
        <v>0</v>
      </c>
      <c r="BT218" s="712">
        <f t="shared" si="670"/>
        <v>0</v>
      </c>
      <c r="BU218" s="712">
        <f t="shared" si="671"/>
        <v>3.05</v>
      </c>
      <c r="BV218" s="712">
        <f t="shared" si="672"/>
        <v>3.034673366833502</v>
      </c>
      <c r="BW218" s="712">
        <f>IF(Sheet1!EM218="CWA",SUM(Sheet1!BC218:'Sheet1'!BF218),0)</f>
        <v>0</v>
      </c>
      <c r="BX218" s="712">
        <f>IF(OR(Sheet1!EM218="FM", Sheet1!EM218="OTHER"),SUM(Sheet1!BC218:'Sheet1'!BF218),0)</f>
        <v>0</v>
      </c>
      <c r="BY218" s="697">
        <f>IF(AND($B218&gt;=$FL218,$B218&lt;=$FM218),MAX(BV218,Sheet1!EF218,0),MAX(BV218-(7/36)*$K218,0))</f>
        <v>0</v>
      </c>
      <c r="BZ218" s="712">
        <f t="shared" si="673"/>
        <v>0</v>
      </c>
      <c r="CA218" s="697">
        <f t="shared" si="674"/>
        <v>3.034673366833502</v>
      </c>
      <c r="CB218" s="697">
        <f>IF(AND($O218&gt;0,Sheet1!EJ218=1),(1-($O218-Sheet1!$L218)/$O218)*BV218,0)</f>
        <v>0</v>
      </c>
      <c r="CC218" s="697">
        <f>IF(AND(Sheet1!$L218=0,Sheet1!$L217=0, Calculation!BU218&lt;Sheet1!EF218-0.1,Sheet1!EF218=Sheet1!EF217,Sheet1!EF218=Sheet1!EF219),Sheet1!EF218,BV218-CB218)</f>
        <v>3.034673366833502</v>
      </c>
      <c r="CD218" s="697"/>
      <c r="CE218" s="712"/>
      <c r="CF218" s="712">
        <f t="shared" si="675"/>
        <v>633.7824134434303</v>
      </c>
      <c r="CG218" s="712"/>
      <c r="CH218" s="712">
        <f ca="1">IF(B218&gt;Summary!$A$1,#N/A,CF218*MGtoAF)</f>
        <v>1944.4444444444441</v>
      </c>
      <c r="CI218" s="712">
        <f>Sheet1!BK218+Sheet1!BL218+Sheet1!BM218-Sheet1!EN218-CQ218</f>
        <v>10.039999999999999</v>
      </c>
      <c r="CJ218" s="712">
        <f t="shared" si="676"/>
        <v>9.9895477386912646</v>
      </c>
      <c r="CK218" s="712">
        <f>IF(Sheet1!EN218="FM",CQ218,0)</f>
        <v>0</v>
      </c>
      <c r="CL218" s="712">
        <f t="shared" si="677"/>
        <v>0</v>
      </c>
      <c r="CM218" s="712">
        <f>IF(Sheet1!EN218="OTHER",CQ218,0)</f>
        <v>0</v>
      </c>
      <c r="CN218" s="712">
        <f t="shared" si="678"/>
        <v>0</v>
      </c>
      <c r="CO218" s="712">
        <f t="shared" si="679"/>
        <v>10.039999999999999</v>
      </c>
      <c r="CP218" s="712">
        <f t="shared" si="680"/>
        <v>9.9895477386912646</v>
      </c>
      <c r="CQ218" s="712">
        <f>IF(OR(Sheet1!EN218="FM", Sheet1!EN218="OTHER"),SUM(Sheet1!BK218:'Sheet1'!BM218),0)</f>
        <v>0</v>
      </c>
      <c r="CR218" s="800">
        <f>IF(K218=0,CJ218,IF(CJ218&gt;(7/36)*$K218,CJ218-MIN(CJ218,K218-AV218-BO218),0))</f>
        <v>0</v>
      </c>
      <c r="CS218" s="712">
        <f t="shared" si="681"/>
        <v>0</v>
      </c>
      <c r="CT218" s="697">
        <f t="shared" si="682"/>
        <v>9.9895477386912646</v>
      </c>
      <c r="CU218" s="697">
        <f>IF(AND($O218&gt;0,Sheet1!EK218=1),(1-($O218-Sheet1!$L218)/$O218)*CP218,0)</f>
        <v>0</v>
      </c>
      <c r="CV218" s="697">
        <f>IF(AND(Sheet1!$L218=0,Sheet1!$L217=0, Calculation!CO218&lt;Sheet1!$EG218-0.1,Sheet1!$EG218=Sheet1!$EG217,Sheet1!$EG218=Sheet1!$EG219),Sheet1!$EG218,CP218-CU218)</f>
        <v>9.9895477386912646</v>
      </c>
      <c r="CW218" s="697">
        <f t="shared" si="721"/>
        <v>0</v>
      </c>
      <c r="CX218" s="712">
        <f t="shared" si="683"/>
        <v>14.599999999999998</v>
      </c>
      <c r="CY218" s="712">
        <f t="shared" si="684"/>
        <v>633.7824134434303</v>
      </c>
      <c r="CZ218" s="712">
        <f t="shared" si="685"/>
        <v>14.526633165825942</v>
      </c>
      <c r="DA218" s="712">
        <f ca="1">IF(B218&gt;Summary!$A$1,#N/A,CY218*MGtoAF)</f>
        <v>1944.4444444444441</v>
      </c>
      <c r="DB218" s="712">
        <f t="shared" si="686"/>
        <v>14.6</v>
      </c>
      <c r="DC218" s="712">
        <f t="shared" si="687"/>
        <v>19.899999999999999</v>
      </c>
      <c r="DD218" s="712">
        <f>Sheet1!AB218-DC218</f>
        <v>-0.10000000000436415</v>
      </c>
      <c r="DE218" s="712">
        <f t="shared" si="688"/>
        <v>-5.0251256283600082E-3</v>
      </c>
      <c r="DF218" s="712">
        <f>(VLOOKUP(Sheet1!CY218,hhdcap_wcm,4)-(((VLOOKUP(Sheet1!CY218,hhdcap_wcm,3)-Sheet1!CY218)/(VLOOKUP(Sheet1!CY218,hhdcap_wcm,3)-VLOOKUP(Sheet1!CY218,hhdcap_wcm,1)))*(VLOOKUP(Sheet1!CY218,hhdcap_wcm,4)-VLOOKUP(Sheet1!CY218,hhdcap_wcm,2))))</f>
        <v>42963.000000104359</v>
      </c>
      <c r="DG218" s="712">
        <f t="shared" si="689"/>
        <v>-572.40000000048167</v>
      </c>
      <c r="DH218" s="712">
        <f t="shared" si="690"/>
        <v>-288.65355521960748</v>
      </c>
      <c r="DI218" s="712">
        <f>Sheet1!DW218*AFtoMG</f>
        <v>0</v>
      </c>
      <c r="DJ218" s="712">
        <f>Sheet1!DX218*AFtoMG</f>
        <v>0</v>
      </c>
      <c r="DK218" s="712">
        <f>Sheet1!DY218*AFtoMG</f>
        <v>0</v>
      </c>
      <c r="DL218" s="712">
        <f>Sheet1!DZ218*AFtoMG</f>
        <v>0</v>
      </c>
      <c r="DM218" s="712">
        <f t="shared" si="691"/>
        <v>0</v>
      </c>
      <c r="DN218" s="712">
        <f t="shared" si="692"/>
        <v>0</v>
      </c>
      <c r="DO218" s="712">
        <f t="shared" si="693"/>
        <v>3259.4524119947846</v>
      </c>
      <c r="DP218" s="712">
        <f t="shared" si="694"/>
        <v>10000</v>
      </c>
      <c r="DQ218" s="712"/>
      <c r="DR218" s="697">
        <f>IF(OR(B218&lt;FL218,B218&gt;FM218),(MIN(AV218+BO218+CJ218+MAX(Sheet1!AA218+AG218-73,0),K218)),0)</f>
        <v>14.526633165825942</v>
      </c>
      <c r="DS218" s="712"/>
      <c r="DT218" s="712">
        <f t="shared" si="695"/>
        <v>14.526633165825944</v>
      </c>
      <c r="DU218" s="712"/>
      <c r="DV218" s="712">
        <f>Sheet1!ED218+Sheet1!EE218+Sheet1!EF218+Sheet1!EG218</f>
        <v>15</v>
      </c>
      <c r="DW218" s="712"/>
      <c r="DX218" s="697">
        <f t="shared" si="696"/>
        <v>0</v>
      </c>
      <c r="DY218" s="712">
        <f>IF(Sheet1!FN218=1,SUM('Calculations II'!AT218:BA218)+'Calculations II'!BC218+Sheet1!BU218+'Calculations II'!BE218+AF218,SUM('Calculations II'!AT218:BA218)+'Calculations II'!BC218+Sheet1!BU218+'Calculations II'!BE218+AF218)</f>
        <v>58.717776000000001</v>
      </c>
      <c r="DZ218" s="712">
        <f>Sheet1!AA218+Sheet1!AB218+'Calculations II'!BC218</f>
        <v>70.911807999995048</v>
      </c>
      <c r="EA218" s="712"/>
      <c r="EB218" s="712"/>
      <c r="EC218" s="712">
        <f t="shared" si="697"/>
        <v>40747</v>
      </c>
      <c r="ED218" s="712">
        <f t="shared" si="698"/>
        <v>0</v>
      </c>
      <c r="EE218" s="712">
        <f t="shared" si="699"/>
        <v>0</v>
      </c>
      <c r="EF218" s="712">
        <f>-(VLOOKUP(Sheet1!BQ218,Lookup!$B$4:$J$236,2)-VLOOKUP(Sheet1!BQ217,Lookup!$B$4:$J$236,2))/1000000</f>
        <v>1.353</v>
      </c>
      <c r="EG218" s="712">
        <f>-(VLOOKUP(Sheet1!BR218,Lookup!$B$4:$J$236,3)-VLOOKUP(Sheet1!BR217,Lookup!$B$4:$J$236,3))/1000000</f>
        <v>1.08</v>
      </c>
      <c r="EH218" s="712">
        <f>-(VLOOKUP(Sheet1!BS218,Lookup!$B$4:$J$236,4)-VLOOKUP(Sheet1!BS217,Lookup!$B$4:$J$236,4))/1000000</f>
        <v>0</v>
      </c>
      <c r="EI218" s="697">
        <f t="shared" si="700"/>
        <v>2.4329999999999998</v>
      </c>
      <c r="EJ218" s="712"/>
      <c r="EK218" s="712"/>
      <c r="EL218" s="712"/>
      <c r="EM218" s="712"/>
      <c r="EN218" s="712"/>
      <c r="EO218" s="712"/>
      <c r="EP218" s="498"/>
      <c r="EQ218" s="712"/>
      <c r="ET218" s="794">
        <f t="shared" si="720"/>
        <v>1137.5999999999999</v>
      </c>
      <c r="EU218" s="697">
        <f t="shared" si="731"/>
        <v>10136.500000050313</v>
      </c>
      <c r="EV218" s="795">
        <f t="shared" si="734"/>
        <v>21606.500000054046</v>
      </c>
      <c r="EW218" s="796" t="s">
        <v>757</v>
      </c>
      <c r="EX218" s="796" t="s">
        <v>758</v>
      </c>
      <c r="EY218" s="862">
        <f t="shared" si="732"/>
        <v>253.60564800831148</v>
      </c>
      <c r="EZ218" s="798">
        <v>22826.500000054046</v>
      </c>
      <c r="FA218" s="712">
        <v>22826.500000054046</v>
      </c>
      <c r="FB218" s="712"/>
      <c r="FC218" s="712"/>
      <c r="FD218" s="712"/>
      <c r="FE218" s="712">
        <f>O218+Sheet1!CO218</f>
        <v>7505.8899999999949</v>
      </c>
      <c r="FF218" s="712">
        <f>IF(Sheet1!AA218+AG218&lt;=Calculation!N218,AG218,Calculation!N218-Sheet1!AA218)</f>
        <v>5.2733668341696918</v>
      </c>
      <c r="FG218" s="712">
        <f>(Sheet1!BP218+Sheet1!BO218)/694.4</f>
        <v>4.2295506912442402</v>
      </c>
      <c r="FH218" s="712"/>
      <c r="FI218" s="712"/>
      <c r="FJ218" s="712"/>
      <c r="FK218" s="712"/>
      <c r="FL218" s="714">
        <f t="shared" si="726"/>
        <v>40753</v>
      </c>
      <c r="FM218" s="714">
        <f t="shared" si="727"/>
        <v>40851</v>
      </c>
      <c r="FN218" s="712"/>
      <c r="FO218" s="712"/>
      <c r="FP218" s="712"/>
      <c r="FQ218" s="712"/>
      <c r="FR218" s="712"/>
      <c r="FS218" s="725">
        <f t="shared" ref="FS218:FX233" si="735">FS217</f>
        <v>40603</v>
      </c>
      <c r="FT218" s="714">
        <f t="shared" si="729"/>
        <v>40709</v>
      </c>
      <c r="FU218" s="712">
        <f t="shared" si="735"/>
        <v>6518.9048239895692</v>
      </c>
      <c r="FV218" s="714">
        <f t="shared" si="730"/>
        <v>40722</v>
      </c>
      <c r="FW218" s="712">
        <f t="shared" si="735"/>
        <v>3259.4524119947846</v>
      </c>
      <c r="FX218" s="725">
        <f t="shared" si="735"/>
        <v>40851</v>
      </c>
      <c r="FZ218" s="697">
        <f t="shared" si="722"/>
        <v>0</v>
      </c>
      <c r="GA218" s="712" t="str">
        <f t="shared" si="701"/>
        <v/>
      </c>
      <c r="GB218" s="712">
        <f t="shared" si="702"/>
        <v>0</v>
      </c>
      <c r="GC218" s="712" t="str">
        <f t="shared" si="703"/>
        <v/>
      </c>
      <c r="GD218" s="712">
        <f>IF(GA218="P",Lookup!$M$12,IF(GA218="PP",Lookup!$M$13,IF(GA218="PPP",Lookup!$M$14,IF(GA218="T",Lookup!$M$15,IF(GA218="TP",Lookup!$M$16,IF(GA218="TPP",Lookup!$M$17,IF(GA218="TPPP",Lookup!$M$18,0)))))))*FZ218</f>
        <v>0</v>
      </c>
      <c r="GE218" s="712">
        <f t="shared" si="704"/>
        <v>0</v>
      </c>
      <c r="GF218" s="712">
        <f t="shared" si="705"/>
        <v>4166.6666666666661</v>
      </c>
      <c r="GG218" s="712">
        <f t="shared" si="706"/>
        <v>1358.1051716644936</v>
      </c>
      <c r="GH218" s="712"/>
      <c r="GI218" s="712">
        <f t="shared" si="707"/>
        <v>0</v>
      </c>
      <c r="GJ218" s="712" t="str">
        <f t="shared" si="708"/>
        <v/>
      </c>
      <c r="GK218" s="712">
        <f>IF(GA218="P",Lookup!$N$12,IF(GA218="PP",Lookup!$N$13,IF(GA218="PPP",Lookup!$N$14,IF(GA218="T",Lookup!$N$15,IF(GA218="TP",Lookup!$N$16,IF(GA218="TPP",Lookup!$N$17,IF(GA218="TPPP",Lookup!$N$18,0)))))))*FZ218</f>
        <v>0</v>
      </c>
      <c r="GL218" s="712">
        <f t="shared" si="709"/>
        <v>0</v>
      </c>
      <c r="GM218" s="712">
        <f t="shared" si="710"/>
        <v>1944.4444444444441</v>
      </c>
      <c r="GN218" s="712">
        <f t="shared" si="711"/>
        <v>633.7824134434303</v>
      </c>
      <c r="GO218" s="712"/>
      <c r="GP218" s="712">
        <f t="shared" si="712"/>
        <v>0</v>
      </c>
      <c r="GQ218" s="712" t="str">
        <f t="shared" si="713"/>
        <v/>
      </c>
      <c r="GR218" s="712">
        <f>IF(GA218="P",Lookup!$N$12,IF(GA218="PP",Lookup!$N$13,IF(GA218="PPP",Lookup!$N$14,IF(GA218="T",Lookup!$N$15,IF(GA218="TP",Lookup!$N$16,IF(GA218="TPP",Lookup!$N$17,IF(GA218="TPPP",Lookup!$N$18,0)))))))*FZ218</f>
        <v>0</v>
      </c>
      <c r="GS218" s="697">
        <f t="shared" si="724"/>
        <v>0</v>
      </c>
      <c r="GT218" s="712">
        <f t="shared" si="714"/>
        <v>1944.4444444444441</v>
      </c>
      <c r="GU218" s="712">
        <f t="shared" si="715"/>
        <v>633.7824134434303</v>
      </c>
      <c r="GV218" s="712"/>
      <c r="GW218" s="712">
        <f t="shared" si="716"/>
        <v>0</v>
      </c>
      <c r="GX218" s="712" t="str">
        <f t="shared" si="717"/>
        <v/>
      </c>
      <c r="GY218" s="712">
        <f>IF(GA218="P",Lookup!$N$12,IF(GA218="PP",Lookup!$N$13,IF(GA218="PPP",Lookup!$N$14,IF(GA218="T",Lookup!$N$15,IF(GA218="TP",Lookup!$N$16,IF(GA218="TPP",Lookup!$N$17,IF(GA218="TPPP",Lookup!$N$18,0)))))))*FZ218</f>
        <v>0</v>
      </c>
      <c r="GZ218" s="697">
        <f t="shared" si="725"/>
        <v>0</v>
      </c>
      <c r="HA218" s="712">
        <f t="shared" si="718"/>
        <v>1944.4444444444441</v>
      </c>
      <c r="HB218" s="712">
        <f t="shared" si="719"/>
        <v>633.7824134434303</v>
      </c>
      <c r="HC218" s="712"/>
    </row>
    <row r="219" spans="1:211">
      <c r="A219" s="773" t="s">
        <v>3</v>
      </c>
      <c r="B219" s="708">
        <v>40748</v>
      </c>
      <c r="C219" s="709">
        <v>0.5</v>
      </c>
      <c r="D219" s="675">
        <f t="shared" si="641"/>
        <v>200</v>
      </c>
      <c r="E219" s="675">
        <f t="shared" si="642"/>
        <v>400</v>
      </c>
      <c r="F219" s="675">
        <v>250</v>
      </c>
      <c r="G219" s="712">
        <f>DH219+Sheet1!CV219</f>
        <v>401.34341906101986</v>
      </c>
      <c r="H219" s="712">
        <f t="shared" si="643"/>
        <v>57.105186081043236</v>
      </c>
      <c r="I219" s="711">
        <f>MAX(Sheet1!Z219-AJ219+(Sheet1!CW219-E219)*CFStoMGD,0)</f>
        <v>312.22574942181973</v>
      </c>
      <c r="J219" s="720">
        <f>IF(AND(B219&gt;=Calculation!FS219,B219&lt;=Calculation!FT219),IF(Sheet1!CX219&gt;=Calculation!D219,64.64,0),MAX(Sheet1!Z219-AJ219+(Sheet1!CX219-D219)*CFStoMGD,0))</f>
        <v>263.11281608848634</v>
      </c>
      <c r="K219" s="697">
        <f t="shared" si="644"/>
        <v>57.105186081043236</v>
      </c>
      <c r="L219" s="712">
        <f>Sheet1!AA219+Sheet1!AB219-Sheet1!L219+(Sheet1!CW219-F219)*CFStoMGD</f>
        <v>455.0670666666748</v>
      </c>
      <c r="M219" s="712">
        <f t="shared" si="645"/>
        <v>264.61695380266411</v>
      </c>
      <c r="N219" s="712">
        <f>IF(Sheet1!CW219&gt;=F219,MIN(73,MIN(MAX(L219,0),MAX(M219,0))),0)</f>
        <v>73</v>
      </c>
      <c r="O219" s="721">
        <f>Sheet1!AA219+Sheet1!AB219</f>
        <v>60.790000000008149</v>
      </c>
      <c r="P219" s="721">
        <f t="shared" si="646"/>
        <v>94.042130000012605</v>
      </c>
      <c r="Q219" s="712">
        <f>MIN(N219,Sheet1!AA219+AG219)</f>
        <v>46.141317244853951</v>
      </c>
      <c r="R219" s="712">
        <f t="shared" si="647"/>
        <v>15</v>
      </c>
      <c r="S219" s="721">
        <f>Sheet1!Y219*MGDtoCFS</f>
        <v>63.086660000000002</v>
      </c>
      <c r="T219" s="721">
        <f>Sheet1!Z219*MGDtoCFS</f>
        <v>31.295809999999999</v>
      </c>
      <c r="U219" s="721">
        <f>Sheet1!AA219*MGDtoCFS</f>
        <v>63.148540000010804</v>
      </c>
      <c r="V219" s="721">
        <f>Sheet1!AB219*MGDtoCFS</f>
        <v>30.893590000001801</v>
      </c>
      <c r="W219" s="721">
        <f>Sheet1!L219*MGDtoCFS</f>
        <v>0</v>
      </c>
      <c r="X219" s="697">
        <f t="shared" si="648"/>
        <v>0</v>
      </c>
      <c r="Y219" s="712">
        <f t="shared" si="649"/>
        <v>0</v>
      </c>
      <c r="Z219" s="712">
        <f t="shared" si="650"/>
        <v>0</v>
      </c>
      <c r="AA219" s="712">
        <f t="shared" si="651"/>
        <v>0</v>
      </c>
      <c r="AB219" s="712">
        <f>(VLOOKUP(Sheet1!CY219,hhdcap_wcm,4)-(((VLOOKUP(Sheet1!CY219,hhdcap_wcm,3)-Sheet1!CY219)/(VLOOKUP(Sheet1!CY219,hhdcap_wcm,3)-VLOOKUP(Sheet1!CY219,hhdcap_wcm,1)))*(VLOOKUP(Sheet1!CY219,hhdcap_wcm,4)-VLOOKUP(Sheet1!CY219,hhdcap_wcm,2))))</f>
        <v>42374.730000102361</v>
      </c>
      <c r="AC219" s="712">
        <f t="shared" si="652"/>
        <v>-588.27000000199769</v>
      </c>
      <c r="AD219" s="712">
        <f t="shared" si="653"/>
        <v>3259.4524119947846</v>
      </c>
      <c r="AE219" s="712">
        <f t="shared" si="654"/>
        <v>10000</v>
      </c>
      <c r="AF219" s="712">
        <f>Sheet1!BA219+Sheet1!BB219+Sheet1!BN219+BT219</f>
        <v>5.3</v>
      </c>
      <c r="AG219" s="712">
        <f t="shared" si="655"/>
        <v>5.3213172448469672</v>
      </c>
      <c r="AH219" s="712">
        <f>Sheet1!BA219+BT219</f>
        <v>0</v>
      </c>
      <c r="AI219" s="712">
        <f>Sheet1!BA219+Sheet1!BB219+BT219</f>
        <v>0</v>
      </c>
      <c r="AJ219" s="712">
        <f>IF((Sheet1!AA219+AG219+AX219+AZ219+BQ219+BS219+CL219+CN219)&lt;=N219,AG219+AX219+AZ219+BQ219+BS219+CL219+CN219,N219-Sheet1!AA219)</f>
        <v>5.3213172448469672</v>
      </c>
      <c r="AK219" s="712">
        <f>IF(DR219&lt;K219,0,MAX(Sheet1!AA219+AG219-15/36*K219-N219,Sheet1!ED219,0))</f>
        <v>0</v>
      </c>
      <c r="AL219" s="712">
        <f>IF(OR(B219&gt;=FT219,B219&lt;FS219),0,15/36*K219-MAX(0,64.6-(137.6-(Sheet1!AA219+Sheet1!AB219))))</f>
        <v>0</v>
      </c>
      <c r="AM219" s="712">
        <f>Sheet1!CX219-110</f>
        <v>473.97916666666663</v>
      </c>
      <c r="AN219" s="712">
        <f>Sheet1!CW219-265</f>
        <v>594.95833333333337</v>
      </c>
      <c r="AO219" s="712">
        <f t="shared" si="733"/>
        <v>26.858682755146049</v>
      </c>
      <c r="AP219" s="712">
        <f t="shared" si="656"/>
        <v>0</v>
      </c>
      <c r="AQ219" s="712">
        <f t="shared" si="657"/>
        <v>0</v>
      </c>
      <c r="AR219" s="712">
        <f t="shared" si="658"/>
        <v>1358.1051716644936</v>
      </c>
      <c r="AS219" s="712"/>
      <c r="AT219" s="712">
        <f ca="1">IF(B219&gt;Summary!$A$1,#N/A,AR219*MGtoAF)</f>
        <v>4166.6666666666661</v>
      </c>
      <c r="AU219" s="712">
        <f>Sheet1!BG219+Sheet1!BH219+Sheet1!BI219-BC219</f>
        <v>1.51</v>
      </c>
      <c r="AV219" s="712">
        <f t="shared" si="659"/>
        <v>1.5160734037205512</v>
      </c>
      <c r="AW219" s="712">
        <f>IF(Sheet1!EL219="FM",BC219,0)</f>
        <v>0</v>
      </c>
      <c r="AX219" s="712">
        <f t="shared" si="660"/>
        <v>0</v>
      </c>
      <c r="AY219" s="712">
        <f>IF(Sheet1!EL219="OTHER",BC219,0)</f>
        <v>0</v>
      </c>
      <c r="AZ219" s="712">
        <f t="shared" si="661"/>
        <v>0</v>
      </c>
      <c r="BA219" s="712">
        <f t="shared" si="662"/>
        <v>1.51</v>
      </c>
      <c r="BB219" s="712">
        <f t="shared" si="663"/>
        <v>1.5160734037205512</v>
      </c>
      <c r="BC219" s="712">
        <f>IF(OR(Sheet1!EL219="FM", Sheet1!EL219="OTHER"),SUM(Sheet1!BG219:'Sheet1'!BI219),0)</f>
        <v>0</v>
      </c>
      <c r="BD219" s="697">
        <f>IF(AND($B219&gt;=$FL219,$B219&lt;=$FM219),MAX(AV219,Sheet1!EE219,0),MAX(AV219-(7/36)*$K219,0))</f>
        <v>0</v>
      </c>
      <c r="BE219" s="712">
        <f t="shared" si="664"/>
        <v>0</v>
      </c>
      <c r="BF219" s="697">
        <f t="shared" si="665"/>
        <v>1.5160734037205512</v>
      </c>
      <c r="BG219" s="697">
        <f>IF(AND($O219&gt;0,Sheet1!EI219=1),(1-($O219-Sheet1!$L219)/$O219)*BB219,0)</f>
        <v>0</v>
      </c>
      <c r="BH219" s="697">
        <f>IF(AND(Sheet1!$L219=0,Sheet1!$L218=0, Calculation!BA219&lt;Sheet1!$EE219-0.1,Sheet1!$EE219=Sheet1!$EE218,Sheet1!$EE219=Sheet1!$EE220),Sheet1!$EE219,BB219-BG219)</f>
        <v>2</v>
      </c>
      <c r="BI219" s="712"/>
      <c r="BJ219" s="712"/>
      <c r="BK219" s="712">
        <f t="shared" si="666"/>
        <v>633.7824134434303</v>
      </c>
      <c r="BL219" s="712"/>
      <c r="BM219" s="712">
        <f ca="1">IF(B219&gt;Summary!$A$1,#N/A,BK219*MGtoAF)</f>
        <v>1944.4444444444441</v>
      </c>
      <c r="BN219" s="712">
        <f>Sheet1!BC219+Sheet1!BD219+Sheet1!BE219+Sheet1!BF219-BW219-BX219</f>
        <v>3.04</v>
      </c>
      <c r="BO219" s="712">
        <f t="shared" si="667"/>
        <v>3.0522272498744871</v>
      </c>
      <c r="BP219" s="712">
        <f>IF(Sheet1!EM219="FM",BX219,0)</f>
        <v>0</v>
      </c>
      <c r="BQ219" s="712">
        <f t="shared" si="668"/>
        <v>0</v>
      </c>
      <c r="BR219" s="712">
        <f>IF(Sheet1!EM219="OTHER",BX219,0)</f>
        <v>0</v>
      </c>
      <c r="BS219" s="712">
        <f t="shared" si="669"/>
        <v>0</v>
      </c>
      <c r="BT219" s="712">
        <f t="shared" si="670"/>
        <v>0</v>
      </c>
      <c r="BU219" s="712">
        <f t="shared" si="671"/>
        <v>3.04</v>
      </c>
      <c r="BV219" s="712">
        <f t="shared" si="672"/>
        <v>3.0522272498744871</v>
      </c>
      <c r="BW219" s="712">
        <f>IF(Sheet1!EM219="CWA",SUM(Sheet1!BC219:'Sheet1'!BF219),0)</f>
        <v>0</v>
      </c>
      <c r="BX219" s="712">
        <f>IF(OR(Sheet1!EM219="FM", Sheet1!EM219="OTHER"),SUM(Sheet1!BC219:'Sheet1'!BF219),0)</f>
        <v>0</v>
      </c>
      <c r="BY219" s="697">
        <f>IF(AND($B219&gt;=$FL219,$B219&lt;=$FM219),MAX(BV219,Sheet1!EF219,0),MAX(BV219-(7/36)*$K219,0))</f>
        <v>0</v>
      </c>
      <c r="BZ219" s="712">
        <f t="shared" si="673"/>
        <v>0</v>
      </c>
      <c r="CA219" s="697">
        <f t="shared" si="674"/>
        <v>3.0522272498744871</v>
      </c>
      <c r="CB219" s="697">
        <f>IF(AND($O219&gt;0,Sheet1!EJ219=1),(1-($O219-Sheet1!$L219)/$O219)*BV219,0)</f>
        <v>0</v>
      </c>
      <c r="CC219" s="697">
        <f>IF(AND(Sheet1!$L219=0,Sheet1!$L218=0, Calculation!BU219&lt;Sheet1!EF219-0.1,Sheet1!EF219=Sheet1!EF218,Sheet1!EF219=Sheet1!EF220),Sheet1!EF219,BV219-CB219)</f>
        <v>3.0522272498744871</v>
      </c>
      <c r="CD219" s="697"/>
      <c r="CE219" s="712"/>
      <c r="CF219" s="712">
        <f t="shared" si="675"/>
        <v>633.7824134434303</v>
      </c>
      <c r="CG219" s="712"/>
      <c r="CH219" s="712">
        <f ca="1">IF(B219&gt;Summary!$A$1,#N/A,CF219*MGtoAF)</f>
        <v>1944.4444444444441</v>
      </c>
      <c r="CI219" s="712">
        <f>Sheet1!BK219+Sheet1!BL219+Sheet1!BM219-Sheet1!EN219-CQ219</f>
        <v>10.039999999999999</v>
      </c>
      <c r="CJ219" s="712">
        <f t="shared" si="676"/>
        <v>10.080382101559161</v>
      </c>
      <c r="CK219" s="712">
        <f>IF(Sheet1!EN219="FM",CQ219,0)</f>
        <v>0</v>
      </c>
      <c r="CL219" s="712">
        <f t="shared" si="677"/>
        <v>0</v>
      </c>
      <c r="CM219" s="712">
        <f>IF(Sheet1!EN219="OTHER",CQ219,0)</f>
        <v>0</v>
      </c>
      <c r="CN219" s="712">
        <f t="shared" si="678"/>
        <v>0</v>
      </c>
      <c r="CO219" s="712">
        <f t="shared" si="679"/>
        <v>10.039999999999999</v>
      </c>
      <c r="CP219" s="712">
        <f t="shared" si="680"/>
        <v>10.080382101559161</v>
      </c>
      <c r="CQ219" s="712">
        <f>IF(OR(Sheet1!EN219="FM", Sheet1!EN219="OTHER"),SUM(Sheet1!BK219:'Sheet1'!BM219),0)</f>
        <v>0</v>
      </c>
      <c r="CR219" s="800">
        <f t="shared" ref="CR219:CR233" si="736">IF(K219=0,CJ219,IF(CJ219&gt;(7/36)*$K219,CJ219-MIN(CJ219,K219-AV219-BO219),0))</f>
        <v>0</v>
      </c>
      <c r="CS219" s="712">
        <f t="shared" si="681"/>
        <v>0</v>
      </c>
      <c r="CT219" s="697">
        <f t="shared" si="682"/>
        <v>10.080382101559161</v>
      </c>
      <c r="CU219" s="697">
        <f>IF(AND($O219&gt;0,Sheet1!EK219=1),(1-($O219-Sheet1!$L219)/$O219)*CP219,0)</f>
        <v>0</v>
      </c>
      <c r="CV219" s="697">
        <f>IF(AND(Sheet1!$L219=0,Sheet1!$L218=0, Calculation!CO219&lt;Sheet1!$EG219-0.1,Sheet1!$EG219=Sheet1!$EG218,Sheet1!$EG219=Sheet1!$EG220),Sheet1!$EG219,CP219-CU219)</f>
        <v>10.080382101559161</v>
      </c>
      <c r="CW219" s="697">
        <f t="shared" si="721"/>
        <v>0</v>
      </c>
      <c r="CX219" s="712">
        <f t="shared" si="683"/>
        <v>14.59</v>
      </c>
      <c r="CY219" s="712">
        <f t="shared" si="684"/>
        <v>633.7824134434303</v>
      </c>
      <c r="CZ219" s="712">
        <f t="shared" si="685"/>
        <v>14.6486827551542</v>
      </c>
      <c r="DA219" s="712">
        <f ca="1">IF(B219&gt;Summary!$A$1,#N/A,CY219*MGtoAF)</f>
        <v>1944.4444444444441</v>
      </c>
      <c r="DB219" s="712">
        <f t="shared" si="686"/>
        <v>14.589999999999998</v>
      </c>
      <c r="DC219" s="712">
        <f t="shared" si="687"/>
        <v>19.889999999999997</v>
      </c>
      <c r="DD219" s="712">
        <f>Sheet1!AB219-DC219</f>
        <v>8.0000000001167137E-2</v>
      </c>
      <c r="DE219" s="712">
        <f t="shared" si="688"/>
        <v>4.0221216692391728E-3</v>
      </c>
      <c r="DF219" s="712">
        <f>(VLOOKUP(Sheet1!CY219,hhdcap_wcm,4)-(((VLOOKUP(Sheet1!CY219,hhdcap_wcm,3)-Sheet1!CY219)/(VLOOKUP(Sheet1!CY219,hhdcap_wcm,3)-VLOOKUP(Sheet1!CY219,hhdcap_wcm,1)))*(VLOOKUP(Sheet1!CY219,hhdcap_wcm,4)-VLOOKUP(Sheet1!CY219,hhdcap_wcm,2))))</f>
        <v>42374.730000102361</v>
      </c>
      <c r="DG219" s="712">
        <f t="shared" si="689"/>
        <v>-588.27000000199769</v>
      </c>
      <c r="DH219" s="712">
        <f t="shared" si="690"/>
        <v>-296.65658093898014</v>
      </c>
      <c r="DI219" s="712">
        <f>Sheet1!DW219*AFtoMG</f>
        <v>0</v>
      </c>
      <c r="DJ219" s="712">
        <f>Sheet1!DX219*AFtoMG</f>
        <v>0</v>
      </c>
      <c r="DK219" s="712">
        <f>Sheet1!DY219*AFtoMG</f>
        <v>0</v>
      </c>
      <c r="DL219" s="712">
        <f>Sheet1!DZ219*AFtoMG</f>
        <v>0</v>
      </c>
      <c r="DM219" s="712">
        <f t="shared" si="691"/>
        <v>0</v>
      </c>
      <c r="DN219" s="712">
        <f t="shared" si="692"/>
        <v>0</v>
      </c>
      <c r="DO219" s="712">
        <f t="shared" si="693"/>
        <v>3259.4524119947846</v>
      </c>
      <c r="DP219" s="712">
        <f t="shared" si="694"/>
        <v>10000</v>
      </c>
      <c r="DQ219" s="712"/>
      <c r="DR219" s="697">
        <f>IF(OR(B219&lt;FL219,B219&gt;FM219),(MIN(AV219+BO219+CJ219+MAX(Sheet1!AA219+AG219-73,0),K219)),0)</f>
        <v>14.6486827551542</v>
      </c>
      <c r="DS219" s="712"/>
      <c r="DT219" s="712">
        <f t="shared" si="695"/>
        <v>14.6486827551542</v>
      </c>
      <c r="DU219" s="712"/>
      <c r="DV219" s="712">
        <f>Sheet1!ED219+Sheet1!EE219+Sheet1!EF219+Sheet1!EG219</f>
        <v>15</v>
      </c>
      <c r="DW219" s="712"/>
      <c r="DX219" s="697">
        <f t="shared" si="696"/>
        <v>0</v>
      </c>
      <c r="DY219" s="712">
        <f>IF(Sheet1!FN219=1,SUM('Calculations II'!AT219:BA219)+'Calculations II'!BC219+Sheet1!BU219+'Calculations II'!BE219+AF219,SUM('Calculations II'!AT219:BA219)+'Calculations II'!BC219+Sheet1!BU219+'Calculations II'!BE219+AF219)</f>
        <v>63.359439999999999</v>
      </c>
      <c r="DZ219" s="712">
        <f>Sheet1!AA219+Sheet1!AB219+'Calculations II'!BC219</f>
        <v>73.789312000008152</v>
      </c>
      <c r="EA219" s="712"/>
      <c r="EB219" s="712"/>
      <c r="EC219" s="712">
        <f t="shared" si="697"/>
        <v>40748</v>
      </c>
      <c r="ED219" s="712">
        <f t="shared" si="698"/>
        <v>0</v>
      </c>
      <c r="EE219" s="712">
        <f t="shared" si="699"/>
        <v>0</v>
      </c>
      <c r="EF219" s="712">
        <f>-(VLOOKUP(Sheet1!BQ219,Lookup!$B$4:$J$236,2)-VLOOKUP(Sheet1!BQ218,Lookup!$B$4:$J$236,2))/1000000</f>
        <v>2.1503999999999999</v>
      </c>
      <c r="EG219" s="712">
        <f>-(VLOOKUP(Sheet1!BR219,Lookup!$B$4:$J$236,3)-VLOOKUP(Sheet1!BR218,Lookup!$B$4:$J$236,3))/1000000</f>
        <v>2.1463999999999999</v>
      </c>
      <c r="EH219" s="712">
        <f>-(VLOOKUP(Sheet1!BS219,Lookup!$B$4:$J$236,4)-VLOOKUP(Sheet1!BS218,Lookup!$B$4:$J$236,4))/1000000</f>
        <v>0</v>
      </c>
      <c r="EI219" s="697">
        <f t="shared" si="700"/>
        <v>4.2967999999999993</v>
      </c>
      <c r="EJ219" s="712"/>
      <c r="EK219" s="712"/>
      <c r="EL219" s="712"/>
      <c r="EM219" s="712"/>
      <c r="EN219" s="712"/>
      <c r="EO219" s="712"/>
      <c r="EP219" s="498"/>
      <c r="EQ219" s="712"/>
      <c r="ET219" s="794">
        <f t="shared" si="720"/>
        <v>1137.5</v>
      </c>
      <c r="EU219" s="697">
        <f t="shared" si="731"/>
        <v>9617.7300000483156</v>
      </c>
      <c r="EV219" s="795">
        <f t="shared" si="734"/>
        <v>21537.000000054046</v>
      </c>
      <c r="EW219" s="796" t="s">
        <v>757</v>
      </c>
      <c r="EX219" s="796" t="s">
        <v>758</v>
      </c>
      <c r="EY219" s="862">
        <f t="shared" si="732"/>
        <v>261.60867372768416</v>
      </c>
      <c r="EZ219" s="798">
        <v>22757.000000054046</v>
      </c>
      <c r="FA219" s="712">
        <v>22757.000000054046</v>
      </c>
      <c r="FB219" s="712"/>
      <c r="FC219" s="712"/>
      <c r="FD219" s="712"/>
      <c r="FE219" s="712">
        <f>O219+Sheet1!CO219</f>
        <v>9088.0900000000074</v>
      </c>
      <c r="FF219" s="712">
        <f>IF(Sheet1!AA219+AG219&lt;=Calculation!N219,AG219,Calculation!N219-Sheet1!AA219)</f>
        <v>5.3213172448469672</v>
      </c>
      <c r="FG219" s="712">
        <f>(Sheet1!BP219+Sheet1!BO219)/694.4</f>
        <v>4.2868663594470053</v>
      </c>
      <c r="FH219" s="712"/>
      <c r="FI219" s="712"/>
      <c r="FJ219" s="712"/>
      <c r="FK219" s="712"/>
      <c r="FL219" s="714">
        <f t="shared" si="726"/>
        <v>40753</v>
      </c>
      <c r="FM219" s="714">
        <f t="shared" si="727"/>
        <v>40851</v>
      </c>
      <c r="FN219" s="712"/>
      <c r="FO219" s="712"/>
      <c r="FP219" s="712"/>
      <c r="FQ219" s="712"/>
      <c r="FR219" s="712"/>
      <c r="FS219" s="725">
        <f t="shared" si="735"/>
        <v>40603</v>
      </c>
      <c r="FT219" s="714">
        <f t="shared" si="729"/>
        <v>40709</v>
      </c>
      <c r="FU219" s="712">
        <f t="shared" si="735"/>
        <v>6518.9048239895692</v>
      </c>
      <c r="FV219" s="714">
        <f t="shared" si="730"/>
        <v>40722</v>
      </c>
      <c r="FW219" s="712">
        <f t="shared" si="735"/>
        <v>3259.4524119947846</v>
      </c>
      <c r="FX219" s="725">
        <f t="shared" si="735"/>
        <v>40851</v>
      </c>
      <c r="FZ219" s="697">
        <f t="shared" si="722"/>
        <v>0</v>
      </c>
      <c r="GA219" s="712" t="str">
        <f t="shared" si="701"/>
        <v/>
      </c>
      <c r="GB219" s="712">
        <f t="shared" si="702"/>
        <v>0</v>
      </c>
      <c r="GC219" s="712" t="str">
        <f t="shared" si="703"/>
        <v/>
      </c>
      <c r="GD219" s="712">
        <f>IF(GA219="P",Lookup!$M$12,IF(GA219="PP",Lookup!$M$13,IF(GA219="PPP",Lookup!$M$14,IF(GA219="T",Lookup!$M$15,IF(GA219="TP",Lookup!$M$16,IF(GA219="TPP",Lookup!$M$17,IF(GA219="TPPP",Lookup!$M$18,0)))))))*FZ219</f>
        <v>0</v>
      </c>
      <c r="GE219" s="712">
        <f t="shared" si="704"/>
        <v>0</v>
      </c>
      <c r="GF219" s="712">
        <f t="shared" si="705"/>
        <v>4166.6666666666661</v>
      </c>
      <c r="GG219" s="712">
        <f t="shared" si="706"/>
        <v>1358.1051716644936</v>
      </c>
      <c r="GH219" s="712"/>
      <c r="GI219" s="712">
        <f t="shared" si="707"/>
        <v>0</v>
      </c>
      <c r="GJ219" s="712" t="str">
        <f t="shared" si="708"/>
        <v/>
      </c>
      <c r="GK219" s="712">
        <f>IF(GA219="P",Lookup!$N$12,IF(GA219="PP",Lookup!$N$13,IF(GA219="PPP",Lookup!$N$14,IF(GA219="T",Lookup!$N$15,IF(GA219="TP",Lookup!$N$16,IF(GA219="TPP",Lookup!$N$17,IF(GA219="TPPP",Lookup!$N$18,0)))))))*FZ219</f>
        <v>0</v>
      </c>
      <c r="GL219" s="712">
        <f t="shared" si="709"/>
        <v>0</v>
      </c>
      <c r="GM219" s="712">
        <f t="shared" si="710"/>
        <v>1944.4444444444441</v>
      </c>
      <c r="GN219" s="712">
        <f t="shared" si="711"/>
        <v>633.7824134434303</v>
      </c>
      <c r="GO219" s="712"/>
      <c r="GP219" s="712">
        <f t="shared" si="712"/>
        <v>0</v>
      </c>
      <c r="GQ219" s="712" t="str">
        <f t="shared" si="713"/>
        <v/>
      </c>
      <c r="GR219" s="712">
        <f>IF(GA219="P",Lookup!$N$12,IF(GA219="PP",Lookup!$N$13,IF(GA219="PPP",Lookup!$N$14,IF(GA219="T",Lookup!$N$15,IF(GA219="TP",Lookup!$N$16,IF(GA219="TPP",Lookup!$N$17,IF(GA219="TPPP",Lookup!$N$18,0)))))))*FZ219</f>
        <v>0</v>
      </c>
      <c r="GS219" s="697">
        <f t="shared" si="724"/>
        <v>0</v>
      </c>
      <c r="GT219" s="712">
        <f t="shared" si="714"/>
        <v>1944.4444444444441</v>
      </c>
      <c r="GU219" s="712">
        <f t="shared" si="715"/>
        <v>633.7824134434303</v>
      </c>
      <c r="GV219" s="712"/>
      <c r="GW219" s="712">
        <f t="shared" si="716"/>
        <v>0</v>
      </c>
      <c r="GX219" s="712" t="str">
        <f t="shared" si="717"/>
        <v/>
      </c>
      <c r="GY219" s="712">
        <f>IF(GA219="P",Lookup!$N$12,IF(GA219="PP",Lookup!$N$13,IF(GA219="PPP",Lookup!$N$14,IF(GA219="T",Lookup!$N$15,IF(GA219="TP",Lookup!$N$16,IF(GA219="TPP",Lookup!$N$17,IF(GA219="TPPP",Lookup!$N$18,0)))))))*FZ219</f>
        <v>0</v>
      </c>
      <c r="GZ219" s="697">
        <f t="shared" si="725"/>
        <v>0</v>
      </c>
      <c r="HA219" s="712">
        <f t="shared" si="718"/>
        <v>1944.4444444444441</v>
      </c>
      <c r="HB219" s="712">
        <f t="shared" si="719"/>
        <v>633.7824134434303</v>
      </c>
      <c r="HC219" s="712"/>
    </row>
    <row r="220" spans="1:211">
      <c r="A220" s="773" t="s">
        <v>4</v>
      </c>
      <c r="B220" s="708">
        <v>40749</v>
      </c>
      <c r="C220" s="719">
        <v>0.5</v>
      </c>
      <c r="D220" s="675">
        <f t="shared" si="641"/>
        <v>200</v>
      </c>
      <c r="E220" s="675">
        <f t="shared" si="642"/>
        <v>400</v>
      </c>
      <c r="F220" s="675">
        <v>250</v>
      </c>
      <c r="G220" s="712">
        <f>DH220+Sheet1!CV220</f>
        <v>386.27332324736687</v>
      </c>
      <c r="H220" s="712">
        <f t="shared" si="643"/>
        <v>47.363876147097947</v>
      </c>
      <c r="I220" s="711">
        <f>MAX(Sheet1!Z220-AJ220+(Sheet1!CW220-E220)*CFStoMGD,0)</f>
        <v>327.80778658618368</v>
      </c>
      <c r="J220" s="720">
        <f>IF(AND(B220&gt;=Calculation!FS220,B220&lt;=Calculation!FT220),IF(Sheet1!CX220&gt;=Calculation!D220,64.64,0),MAX(Sheet1!Z220-AJ220+(Sheet1!CX220-D220)*CFStoMGD,0))</f>
        <v>258.20531991951702</v>
      </c>
      <c r="K220" s="697">
        <f t="shared" si="644"/>
        <v>47.363876147097947</v>
      </c>
      <c r="L220" s="712">
        <f>Sheet1!AA220+Sheet1!AB220-Sheet1!L220+(Sheet1!CW220-F220)*CFStoMGD</f>
        <v>470.44446666666346</v>
      </c>
      <c r="M220" s="712">
        <f t="shared" si="645"/>
        <v>254.68081767003991</v>
      </c>
      <c r="N220" s="712">
        <f>IF(Sheet1!CW220&gt;=F220,MIN(73,MIN(MAX(L220,0),MAX(M220,0))),0)</f>
        <v>73</v>
      </c>
      <c r="O220" s="721">
        <f>Sheet1!AA220+Sheet1!AB220</f>
        <v>60.269999999996799</v>
      </c>
      <c r="P220" s="721">
        <f t="shared" si="646"/>
        <v>93.237689999995041</v>
      </c>
      <c r="Q220" s="712">
        <f>MIN(N220,Sheet1!AA220+AG220)</f>
        <v>45.836680080479482</v>
      </c>
      <c r="R220" s="712">
        <f t="shared" si="647"/>
        <v>15</v>
      </c>
      <c r="S220" s="721">
        <f>Sheet1!Y220*MGDtoCFS</f>
        <v>63.566230000000004</v>
      </c>
      <c r="T220" s="721">
        <f>Sheet1!Z220*MGDtoCFS</f>
        <v>30.69248</v>
      </c>
      <c r="U220" s="721">
        <f>Sheet1!AA220*MGDtoCFS</f>
        <v>62.792729999994592</v>
      </c>
      <c r="V220" s="721">
        <f>Sheet1!AB220*MGDtoCFS</f>
        <v>30.444960000000449</v>
      </c>
      <c r="W220" s="721">
        <f>Sheet1!L220*MGDtoCFS</f>
        <v>0</v>
      </c>
      <c r="X220" s="697">
        <f t="shared" si="648"/>
        <v>0</v>
      </c>
      <c r="Y220" s="712">
        <f t="shared" si="649"/>
        <v>0</v>
      </c>
      <c r="Z220" s="712">
        <f t="shared" si="650"/>
        <v>0</v>
      </c>
      <c r="AA220" s="712">
        <f t="shared" si="651"/>
        <v>0</v>
      </c>
      <c r="AB220" s="712">
        <f>(VLOOKUP(Sheet1!CY220,hhdcap_wcm,4)-(((VLOOKUP(Sheet1!CY220,hhdcap_wcm,3)-Sheet1!CY220)/(VLOOKUP(Sheet1!CY220,hhdcap_wcm,3)-VLOOKUP(Sheet1!CY220,hhdcap_wcm,1)))*(VLOOKUP(Sheet1!CY220,hhdcap_wcm,4)-VLOOKUP(Sheet1!CY220,hhdcap_wcm,2))))</f>
        <v>41798.88000010189</v>
      </c>
      <c r="AC220" s="712">
        <f t="shared" si="652"/>
        <v>-575.85000000047148</v>
      </c>
      <c r="AD220" s="712">
        <f t="shared" si="653"/>
        <v>3259.4524119947846</v>
      </c>
      <c r="AE220" s="712">
        <f t="shared" si="654"/>
        <v>10000</v>
      </c>
      <c r="AF220" s="712">
        <f>Sheet1!BA220+Sheet1!BB220+Sheet1!BN220+BT220</f>
        <v>5.3</v>
      </c>
      <c r="AG220" s="712">
        <f t="shared" si="655"/>
        <v>5.2466800804829754</v>
      </c>
      <c r="AH220" s="712">
        <f>Sheet1!BA220+BT220</f>
        <v>0</v>
      </c>
      <c r="AI220" s="712">
        <f>Sheet1!BA220+Sheet1!BB220+BT220</f>
        <v>0</v>
      </c>
      <c r="AJ220" s="712">
        <f>IF((Sheet1!AA220+AG220+AX220+AZ220+BQ220+BS220+CL220+CN220)&lt;=N220,AG220+AX220+AZ220+BQ220+BS220+CL220+CN220,N220-Sheet1!AA220)</f>
        <v>5.2466800804829754</v>
      </c>
      <c r="AK220" s="712">
        <f>IF(DR220&lt;K220,0,MAX(Sheet1!AA220+AG220-15/36*K220-N220,Sheet1!ED220,0))</f>
        <v>0</v>
      </c>
      <c r="AL220" s="712">
        <f>IF(OR(B220&gt;=FT220,B220&lt;FS220),0,15/36*K220-MAX(0,64.6-(137.6-(Sheet1!AA220+Sheet1!AB220))))</f>
        <v>0</v>
      </c>
      <c r="AM220" s="712">
        <f>Sheet1!CX220-110</f>
        <v>466.875</v>
      </c>
      <c r="AN220" s="712">
        <f>Sheet1!CW220-265</f>
        <v>619.55208333333337</v>
      </c>
      <c r="AO220" s="712">
        <f t="shared" si="733"/>
        <v>27.163319919520518</v>
      </c>
      <c r="AP220" s="712">
        <f t="shared" si="656"/>
        <v>0</v>
      </c>
      <c r="AQ220" s="712">
        <f t="shared" si="657"/>
        <v>0</v>
      </c>
      <c r="AR220" s="712">
        <f t="shared" si="658"/>
        <v>1358.1051716644936</v>
      </c>
      <c r="AS220" s="712"/>
      <c r="AT220" s="712">
        <f ca="1">IF(B220&gt;Summary!$A$1,#N/A,AR220*MGtoAF)</f>
        <v>4166.6666666666661</v>
      </c>
      <c r="AU220" s="712">
        <f>Sheet1!BG220+Sheet1!BH220+Sheet1!BI220-BC220</f>
        <v>1.5</v>
      </c>
      <c r="AV220" s="712">
        <f t="shared" si="659"/>
        <v>1.4849094567404646</v>
      </c>
      <c r="AW220" s="712">
        <f>IF(Sheet1!EL220="FM",BC220,0)</f>
        <v>0</v>
      </c>
      <c r="AX220" s="712">
        <f t="shared" si="660"/>
        <v>0</v>
      </c>
      <c r="AY220" s="712">
        <f>IF(Sheet1!EL220="OTHER",BC220,0)</f>
        <v>0</v>
      </c>
      <c r="AZ220" s="712">
        <f t="shared" si="661"/>
        <v>0</v>
      </c>
      <c r="BA220" s="712">
        <f t="shared" si="662"/>
        <v>1.5</v>
      </c>
      <c r="BB220" s="712">
        <f t="shared" si="663"/>
        <v>1.4849094567404646</v>
      </c>
      <c r="BC220" s="712">
        <f>IF(OR(Sheet1!EL220="FM", Sheet1!EL220="OTHER"),SUM(Sheet1!BG220:'Sheet1'!BI220),0)</f>
        <v>0</v>
      </c>
      <c r="BD220" s="697">
        <f>IF(AND($B220&gt;=$FL220,$B220&lt;=$FM220),MAX(AV220,Sheet1!EE220,0),MAX(AV220-(7/36)*$K220,0))</f>
        <v>0</v>
      </c>
      <c r="BE220" s="712">
        <f t="shared" si="664"/>
        <v>0</v>
      </c>
      <c r="BF220" s="697">
        <f t="shared" si="665"/>
        <v>1.4849094567404646</v>
      </c>
      <c r="BG220" s="697">
        <f>IF(AND($O220&gt;0,Sheet1!EI220=1),(1-($O220-Sheet1!$L220)/$O220)*BB220,0)</f>
        <v>0</v>
      </c>
      <c r="BH220" s="697">
        <f>IF(AND(Sheet1!$L220=0,Sheet1!$L219=0, Calculation!BA220&lt;Sheet1!$EE220-0.1,Sheet1!$EE220=Sheet1!$EE219,Sheet1!$EE220=Sheet1!$EE221),Sheet1!$EE220,BB220-BG220)</f>
        <v>2</v>
      </c>
      <c r="BI220" s="712"/>
      <c r="BJ220" s="712"/>
      <c r="BK220" s="712">
        <f t="shared" si="666"/>
        <v>633.7824134434303</v>
      </c>
      <c r="BL220" s="712"/>
      <c r="BM220" s="712">
        <f ca="1">IF(B220&gt;Summary!$A$1,#N/A,BK220*MGtoAF)</f>
        <v>1944.4444444444441</v>
      </c>
      <c r="BN220" s="712">
        <f>Sheet1!BC220+Sheet1!BD220+Sheet1!BE220+Sheet1!BF220-BW220-BX220</f>
        <v>3.04</v>
      </c>
      <c r="BO220" s="712">
        <f t="shared" si="667"/>
        <v>3.0094164989940086</v>
      </c>
      <c r="BP220" s="712">
        <f>IF(Sheet1!EM220="FM",BX220,0)</f>
        <v>0</v>
      </c>
      <c r="BQ220" s="712">
        <f t="shared" si="668"/>
        <v>0</v>
      </c>
      <c r="BR220" s="712">
        <f>IF(Sheet1!EM220="OTHER",BX220,0)</f>
        <v>0</v>
      </c>
      <c r="BS220" s="712">
        <f t="shared" si="669"/>
        <v>0</v>
      </c>
      <c r="BT220" s="712">
        <f t="shared" si="670"/>
        <v>0</v>
      </c>
      <c r="BU220" s="712">
        <f t="shared" si="671"/>
        <v>3.04</v>
      </c>
      <c r="BV220" s="712">
        <f t="shared" si="672"/>
        <v>3.0094164989940086</v>
      </c>
      <c r="BW220" s="712">
        <f>IF(Sheet1!EM220="CWA",SUM(Sheet1!BC220:'Sheet1'!BF220),0)</f>
        <v>0</v>
      </c>
      <c r="BX220" s="712">
        <f>IF(OR(Sheet1!EM220="FM", Sheet1!EM220="OTHER"),SUM(Sheet1!BC220:'Sheet1'!BF220),0)</f>
        <v>0</v>
      </c>
      <c r="BY220" s="697">
        <f>IF(AND($B220&gt;=$FL220,$B220&lt;=$FM220),MAX(BV220,Sheet1!EF220,0),MAX(BV220-(7/36)*$K220,0))</f>
        <v>0</v>
      </c>
      <c r="BZ220" s="712">
        <f t="shared" si="673"/>
        <v>0</v>
      </c>
      <c r="CA220" s="697">
        <f t="shared" si="674"/>
        <v>3.0094164989940086</v>
      </c>
      <c r="CB220" s="697">
        <f>IF(AND($O220&gt;0,Sheet1!EJ220=1),(1-($O220-Sheet1!$L220)/$O220)*BV220,0)</f>
        <v>0</v>
      </c>
      <c r="CC220" s="697">
        <f>IF(AND(Sheet1!$L220=0,Sheet1!$L219=0, Calculation!BU220&lt;Sheet1!EF220-0.1,Sheet1!EF220=Sheet1!EF219,Sheet1!EF220=Sheet1!EF221),Sheet1!EF220,BV220-CB220)</f>
        <v>3.0094164989940086</v>
      </c>
      <c r="CD220" s="697"/>
      <c r="CE220" s="712"/>
      <c r="CF220" s="712">
        <f t="shared" si="675"/>
        <v>633.7824134434303</v>
      </c>
      <c r="CG220" s="712"/>
      <c r="CH220" s="712">
        <f ca="1">IF(B220&gt;Summary!$A$1,#N/A,CF220*MGtoAF)</f>
        <v>1944.4444444444441</v>
      </c>
      <c r="CI220" s="712">
        <f>Sheet1!BK220+Sheet1!BL220+Sheet1!BM220-Sheet1!EN220-CQ220</f>
        <v>10.039999999999999</v>
      </c>
      <c r="CJ220" s="712">
        <f t="shared" si="676"/>
        <v>9.9389939637828419</v>
      </c>
      <c r="CK220" s="712">
        <f>IF(Sheet1!EN220="FM",CQ220,0)</f>
        <v>0</v>
      </c>
      <c r="CL220" s="712">
        <f t="shared" si="677"/>
        <v>0</v>
      </c>
      <c r="CM220" s="712">
        <f>IF(Sheet1!EN220="OTHER",CQ220,0)</f>
        <v>0</v>
      </c>
      <c r="CN220" s="712">
        <f t="shared" si="678"/>
        <v>0</v>
      </c>
      <c r="CO220" s="712">
        <f t="shared" si="679"/>
        <v>10.039999999999999</v>
      </c>
      <c r="CP220" s="712">
        <f t="shared" si="680"/>
        <v>9.9389939637828419</v>
      </c>
      <c r="CQ220" s="712">
        <f>IF(OR(Sheet1!EN220="FM", Sheet1!EN220="OTHER"),SUM(Sheet1!BK220:'Sheet1'!BM220),0)</f>
        <v>0</v>
      </c>
      <c r="CR220" s="800">
        <f t="shared" si="736"/>
        <v>0</v>
      </c>
      <c r="CS220" s="712">
        <f t="shared" si="681"/>
        <v>0</v>
      </c>
      <c r="CT220" s="697">
        <f t="shared" si="682"/>
        <v>9.9389939637828419</v>
      </c>
      <c r="CU220" s="697">
        <f>IF(AND($O220&gt;0,Sheet1!EK220=1),(1-($O220-Sheet1!$L220)/$O220)*CP220,0)</f>
        <v>0</v>
      </c>
      <c r="CV220" s="697">
        <f>IF(AND(Sheet1!$L220=0,Sheet1!$L219=0, Calculation!CO220&lt;Sheet1!$EG220-0.1,Sheet1!$EG220=Sheet1!$EG219,Sheet1!$EG220=Sheet1!$EG221),Sheet1!$EG220,CP220-CU220)</f>
        <v>9.9389939637828419</v>
      </c>
      <c r="CW220" s="697">
        <f t="shared" si="721"/>
        <v>0</v>
      </c>
      <c r="CX220" s="712">
        <f t="shared" si="683"/>
        <v>14.579999999999998</v>
      </c>
      <c r="CY220" s="712">
        <f t="shared" si="684"/>
        <v>633.7824134434303</v>
      </c>
      <c r="CZ220" s="712">
        <f t="shared" si="685"/>
        <v>14.433319919517315</v>
      </c>
      <c r="DA220" s="712">
        <f ca="1">IF(B220&gt;Summary!$A$1,#N/A,CY220*MGtoAF)</f>
        <v>1944.4444444444441</v>
      </c>
      <c r="DB220" s="712">
        <f t="shared" si="686"/>
        <v>14.579999999999998</v>
      </c>
      <c r="DC220" s="712">
        <f t="shared" si="687"/>
        <v>19.88</v>
      </c>
      <c r="DD220" s="712">
        <f>Sheet1!AB220-DC220</f>
        <v>-0.19999999999970797</v>
      </c>
      <c r="DE220" s="712">
        <f t="shared" si="688"/>
        <v>-1.006036217302354E-2</v>
      </c>
      <c r="DF220" s="712">
        <f>(VLOOKUP(Sheet1!CY220,hhdcap_wcm,4)-(((VLOOKUP(Sheet1!CY220,hhdcap_wcm,3)-Sheet1!CY220)/(VLOOKUP(Sheet1!CY220,hhdcap_wcm,3)-VLOOKUP(Sheet1!CY220,hhdcap_wcm,1)))*(VLOOKUP(Sheet1!CY220,hhdcap_wcm,4)-VLOOKUP(Sheet1!CY220,hhdcap_wcm,2))))</f>
        <v>41798.88000010189</v>
      </c>
      <c r="DG220" s="712">
        <f t="shared" si="689"/>
        <v>-575.85000000047148</v>
      </c>
      <c r="DH220" s="712">
        <f t="shared" si="690"/>
        <v>-290.39334341929975</v>
      </c>
      <c r="DI220" s="712">
        <f>Sheet1!DW220*AFtoMG</f>
        <v>0</v>
      </c>
      <c r="DJ220" s="712">
        <f>Sheet1!DX220*AFtoMG</f>
        <v>0</v>
      </c>
      <c r="DK220" s="712">
        <f>Sheet1!DY220*AFtoMG</f>
        <v>0</v>
      </c>
      <c r="DL220" s="712">
        <f>Sheet1!DZ220*AFtoMG</f>
        <v>0</v>
      </c>
      <c r="DM220" s="712">
        <f t="shared" si="691"/>
        <v>0</v>
      </c>
      <c r="DN220" s="712">
        <f t="shared" si="692"/>
        <v>0</v>
      </c>
      <c r="DO220" s="712">
        <f t="shared" si="693"/>
        <v>3259.4524119947846</v>
      </c>
      <c r="DP220" s="712">
        <f t="shared" si="694"/>
        <v>10000</v>
      </c>
      <c r="DQ220" s="712"/>
      <c r="DR220" s="697">
        <f>IF(OR(B220&lt;FL220,B220&gt;FM220),(MIN(AV220+BO220+CJ220+MAX(Sheet1!AA220+AG220-73,0),K220)),0)</f>
        <v>14.433319919517315</v>
      </c>
      <c r="DS220" s="712"/>
      <c r="DT220" s="712">
        <f t="shared" si="695"/>
        <v>14.433319919517315</v>
      </c>
      <c r="DU220" s="712"/>
      <c r="DV220" s="712">
        <f>Sheet1!ED220+Sheet1!EE220+Sheet1!EF220+Sheet1!EG220</f>
        <v>15</v>
      </c>
      <c r="DW220" s="712"/>
      <c r="DX220" s="697">
        <f t="shared" si="696"/>
        <v>0</v>
      </c>
      <c r="DY220" s="712">
        <f>IF(Sheet1!FN220=1,SUM('Calculations II'!AT220:BA220)+'Calculations II'!BC220+Sheet1!BU220+'Calculations II'!BE220+AF220,SUM('Calculations II'!AT220:BA220)+'Calculations II'!BC220+Sheet1!BU220+'Calculations II'!BE220+AF220)</f>
        <v>54.464576000000001</v>
      </c>
      <c r="DZ220" s="712">
        <f>Sheet1!AA220+Sheet1!AB220+'Calculations II'!BC220</f>
        <v>73.530815999996804</v>
      </c>
      <c r="EA220" s="712"/>
      <c r="EB220" s="712"/>
      <c r="EC220" s="712">
        <f t="shared" si="697"/>
        <v>40749</v>
      </c>
      <c r="ED220" s="712">
        <f t="shared" si="698"/>
        <v>0</v>
      </c>
      <c r="EE220" s="712">
        <f t="shared" si="699"/>
        <v>0</v>
      </c>
      <c r="EF220" s="712">
        <f>-(VLOOKUP(Sheet1!BQ220,Lookup!$B$4:$J$236,2)-VLOOKUP(Sheet1!BQ219,Lookup!$B$4:$J$236,2))/1000000</f>
        <v>0</v>
      </c>
      <c r="EG220" s="712">
        <f>-(VLOOKUP(Sheet1!BR220,Lookup!$B$4:$J$236,3)-VLOOKUP(Sheet1!BR219,Lookup!$B$4:$J$236,3))/1000000</f>
        <v>0</v>
      </c>
      <c r="EH220" s="712">
        <f>-(VLOOKUP(Sheet1!BS220,Lookup!$B$4:$J$236,4)-VLOOKUP(Sheet1!BS219,Lookup!$B$4:$J$236,4))/1000000</f>
        <v>0</v>
      </c>
      <c r="EI220" s="697">
        <f t="shared" si="700"/>
        <v>0</v>
      </c>
      <c r="EJ220" s="712"/>
      <c r="EK220" s="712"/>
      <c r="EL220" s="712"/>
      <c r="EM220" s="712"/>
      <c r="EN220" s="712"/>
      <c r="EO220" s="712"/>
      <c r="EP220" s="498"/>
      <c r="EQ220" s="712"/>
      <c r="ET220" s="794">
        <f t="shared" si="720"/>
        <v>1137.4000000000001</v>
      </c>
      <c r="EU220" s="697">
        <f t="shared" si="731"/>
        <v>9041.8800000478441</v>
      </c>
      <c r="EV220" s="795">
        <f t="shared" si="734"/>
        <v>21537.000000054046</v>
      </c>
      <c r="EW220" s="796" t="s">
        <v>757</v>
      </c>
      <c r="EX220" s="796" t="s">
        <v>758</v>
      </c>
      <c r="EY220" s="862">
        <f t="shared" si="732"/>
        <v>290.39334341929975</v>
      </c>
      <c r="EZ220" s="798">
        <v>22757.000000054046</v>
      </c>
      <c r="FA220" s="712">
        <v>22757.000000054046</v>
      </c>
      <c r="FB220" s="712"/>
      <c r="FC220" s="712"/>
      <c r="FD220" s="712"/>
      <c r="FE220" s="712">
        <f>O220+Sheet1!CO220</f>
        <v>9269.1699999999964</v>
      </c>
      <c r="FF220" s="712">
        <f>IF(Sheet1!AA220+AG220&lt;=Calculation!N220,AG220,Calculation!N220-Sheet1!AA220)</f>
        <v>5.2466800804829754</v>
      </c>
      <c r="FG220" s="712">
        <f>(Sheet1!BP220+Sheet1!BO220)/694.4</f>
        <v>3.1911002304147469</v>
      </c>
      <c r="FH220" s="712"/>
      <c r="FI220" s="712"/>
      <c r="FJ220" s="712"/>
      <c r="FK220" s="712"/>
      <c r="FL220" s="714">
        <f t="shared" si="726"/>
        <v>40753</v>
      </c>
      <c r="FM220" s="714">
        <f t="shared" si="727"/>
        <v>40851</v>
      </c>
      <c r="FN220" s="712"/>
      <c r="FO220" s="712"/>
      <c r="FP220" s="712"/>
      <c r="FQ220" s="712"/>
      <c r="FR220" s="712"/>
      <c r="FS220" s="725">
        <f t="shared" si="735"/>
        <v>40603</v>
      </c>
      <c r="FT220" s="714">
        <f t="shared" si="729"/>
        <v>40709</v>
      </c>
      <c r="FU220" s="712">
        <f t="shared" si="735"/>
        <v>6518.9048239895692</v>
      </c>
      <c r="FV220" s="714">
        <f t="shared" si="730"/>
        <v>40722</v>
      </c>
      <c r="FW220" s="712">
        <f t="shared" si="735"/>
        <v>3259.4524119947846</v>
      </c>
      <c r="FX220" s="725">
        <f t="shared" si="735"/>
        <v>40851</v>
      </c>
      <c r="FZ220" s="697">
        <f t="shared" si="722"/>
        <v>0</v>
      </c>
      <c r="GA220" s="712" t="str">
        <f t="shared" si="701"/>
        <v/>
      </c>
      <c r="GB220" s="712">
        <f t="shared" si="702"/>
        <v>0</v>
      </c>
      <c r="GC220" s="712" t="str">
        <f t="shared" si="703"/>
        <v/>
      </c>
      <c r="GD220" s="712">
        <f>IF(GA220="P",Lookup!$M$12,IF(GA220="PP",Lookup!$M$13,IF(GA220="PPP",Lookup!$M$14,IF(GA220="T",Lookup!$M$15,IF(GA220="TP",Lookup!$M$16,IF(GA220="TPP",Lookup!$M$17,IF(GA220="TPPP",Lookup!$M$18,0)))))))*FZ220</f>
        <v>0</v>
      </c>
      <c r="GE220" s="712">
        <f t="shared" si="704"/>
        <v>0</v>
      </c>
      <c r="GF220" s="712">
        <f t="shared" si="705"/>
        <v>4166.6666666666661</v>
      </c>
      <c r="GG220" s="712">
        <f t="shared" si="706"/>
        <v>1358.1051716644936</v>
      </c>
      <c r="GH220" s="712"/>
      <c r="GI220" s="712">
        <f t="shared" si="707"/>
        <v>0</v>
      </c>
      <c r="GJ220" s="712" t="str">
        <f t="shared" si="708"/>
        <v/>
      </c>
      <c r="GK220" s="712">
        <f>IF(GA220="P",Lookup!$N$12,IF(GA220="PP",Lookup!$N$13,IF(GA220="PPP",Lookup!$N$14,IF(GA220="T",Lookup!$N$15,IF(GA220="TP",Lookup!$N$16,IF(GA220="TPP",Lookup!$N$17,IF(GA220="TPPP",Lookup!$N$18,0)))))))*FZ220</f>
        <v>0</v>
      </c>
      <c r="GL220" s="712">
        <f t="shared" si="709"/>
        <v>0</v>
      </c>
      <c r="GM220" s="712">
        <f t="shared" si="710"/>
        <v>1944.4444444444441</v>
      </c>
      <c r="GN220" s="712">
        <f t="shared" si="711"/>
        <v>633.7824134434303</v>
      </c>
      <c r="GO220" s="712"/>
      <c r="GP220" s="712">
        <f t="shared" si="712"/>
        <v>0</v>
      </c>
      <c r="GQ220" s="712" t="str">
        <f t="shared" si="713"/>
        <v/>
      </c>
      <c r="GR220" s="712">
        <f>IF(GA220="P",Lookup!$N$12,IF(GA220="PP",Lookup!$N$13,IF(GA220="PPP",Lookup!$N$14,IF(GA220="T",Lookup!$N$15,IF(GA220="TP",Lookup!$N$16,IF(GA220="TPP",Lookup!$N$17,IF(GA220="TPPP",Lookup!$N$18,0)))))))*FZ220</f>
        <v>0</v>
      </c>
      <c r="GS220" s="697">
        <f t="shared" si="724"/>
        <v>0</v>
      </c>
      <c r="GT220" s="712">
        <f t="shared" si="714"/>
        <v>1944.4444444444441</v>
      </c>
      <c r="GU220" s="712">
        <f t="shared" si="715"/>
        <v>633.7824134434303</v>
      </c>
      <c r="GV220" s="712"/>
      <c r="GW220" s="712">
        <f t="shared" si="716"/>
        <v>0</v>
      </c>
      <c r="GX220" s="712" t="str">
        <f t="shared" si="717"/>
        <v/>
      </c>
      <c r="GY220" s="712">
        <f>IF(GA220="P",Lookup!$N$12,IF(GA220="PP",Lookup!$N$13,IF(GA220="PPP",Lookup!$N$14,IF(GA220="T",Lookup!$N$15,IF(GA220="TP",Lookup!$N$16,IF(GA220="TPP",Lookup!$N$17,IF(GA220="TPPP",Lookup!$N$18,0)))))))*FZ220</f>
        <v>0</v>
      </c>
      <c r="GZ220" s="697">
        <f t="shared" si="725"/>
        <v>0</v>
      </c>
      <c r="HA220" s="712">
        <f t="shared" si="718"/>
        <v>1944.4444444444441</v>
      </c>
      <c r="HB220" s="712">
        <f t="shared" si="719"/>
        <v>633.7824134434303</v>
      </c>
      <c r="HC220" s="712"/>
    </row>
    <row r="221" spans="1:211">
      <c r="A221" s="773" t="s">
        <v>5</v>
      </c>
      <c r="B221" s="708">
        <v>40750</v>
      </c>
      <c r="C221" s="719">
        <v>0.5</v>
      </c>
      <c r="D221" s="675">
        <f t="shared" ref="D221:D284" si="737">IF(AND(B221&gt;=DATE($A$1,7,15),B221&lt;=DATE($A$1,9,15)),200,300)</f>
        <v>200</v>
      </c>
      <c r="E221" s="675">
        <f t="shared" ref="E221:E284" si="738">IF(AND(B221&gt;=DATE($A$1,7,15),B221&lt;=DATE($A$1,9,15)),400,250)</f>
        <v>400</v>
      </c>
      <c r="F221" s="675">
        <v>250</v>
      </c>
      <c r="G221" s="712">
        <f>DH221+Sheet1!CV221</f>
        <v>387.57034795678652</v>
      </c>
      <c r="H221" s="712">
        <f t="shared" ref="H221:H284" si="739">MAX((G221-113-D221)*CFStoMGD,0)</f>
        <v>48.202272919266804</v>
      </c>
      <c r="I221" s="711">
        <f>MAX(Sheet1!Z221-AJ221+(Sheet1!CW221-E221)*CFStoMGD,0)</f>
        <v>249.77736136136139</v>
      </c>
      <c r="J221" s="720">
        <f>IF(AND(B221&gt;=Calculation!FS221,B221&lt;=Calculation!FT221),IF(Sheet1!CX221&gt;=Calculation!D221,64.64,0),MAX(Sheet1!Z221-AJ221+(Sheet1!CX221-D221)*CFStoMGD,0))</f>
        <v>177.5488946946947</v>
      </c>
      <c r="K221" s="697">
        <f t="shared" ref="K221:K284" si="740">MAX(MIN(H221:J221,64.64),0)</f>
        <v>48.202272919266804</v>
      </c>
      <c r="L221" s="712">
        <f>Sheet1!AA221+Sheet1!AB221-Sheet1!L221+(Sheet1!CW221-F221)*CFStoMGD</f>
        <v>393.22266666666667</v>
      </c>
      <c r="M221" s="712">
        <f t="shared" ref="M221:M284" si="741">1.02*CFStoMGD*G221</f>
        <v>255.53598237765215</v>
      </c>
      <c r="N221" s="712">
        <f>IF(Sheet1!CW221&gt;=F221,MIN(73,MIN(MAX(L221,0),MAX(M221,0))),0)</f>
        <v>73</v>
      </c>
      <c r="O221" s="721">
        <f>Sheet1!AA221+Sheet1!AB221</f>
        <v>61</v>
      </c>
      <c r="P221" s="721">
        <f t="shared" ref="P221:P284" si="742">U221+V221</f>
        <v>94.36699999999999</v>
      </c>
      <c r="Q221" s="712">
        <f>MIN(N221,Sheet1!AA221+AG221)</f>
        <v>46.305305305305303</v>
      </c>
      <c r="R221" s="712">
        <f t="shared" ref="R221:R284" si="743">IF(AND(B221&gt;=FV221,B221&lt;=FX221),MAX(DR221,DV221),DR221)</f>
        <v>15</v>
      </c>
      <c r="S221" s="721">
        <f>Sheet1!Y221*MGDtoCFS</f>
        <v>63.071190000000001</v>
      </c>
      <c r="T221" s="721">
        <f>Sheet1!Z221*MGDtoCFS</f>
        <v>30.661539999999999</v>
      </c>
      <c r="U221" s="721">
        <f>Sheet1!AA221*MGDtoCFS</f>
        <v>63.427</v>
      </c>
      <c r="V221" s="721">
        <f>Sheet1!AB221*MGDtoCFS</f>
        <v>30.939999999999998</v>
      </c>
      <c r="W221" s="721">
        <f>Sheet1!L221*MGDtoCFS</f>
        <v>0</v>
      </c>
      <c r="X221" s="697">
        <f t="shared" ref="X221:X284" si="744">AK221+BD221+BY221+CR221</f>
        <v>0</v>
      </c>
      <c r="Y221" s="712">
        <f t="shared" ref="Y221:Y284" si="745">X221*MGDtoCFS</f>
        <v>0</v>
      </c>
      <c r="Z221" s="712">
        <f t="shared" ref="Z221:Z284" si="746">IF(B221&gt;=FS221,IF(B221&lt;=FT221,K221-DR221,0),0)</f>
        <v>0</v>
      </c>
      <c r="AA221" s="712">
        <f t="shared" ref="AA221:AA284" si="747">Z221*MGDtoCFS</f>
        <v>0</v>
      </c>
      <c r="AB221" s="712">
        <f>(VLOOKUP(Sheet1!CY221,hhdcap_wcm,4)-(((VLOOKUP(Sheet1!CY221,hhdcap_wcm,3)-Sheet1!CY221)/(VLOOKUP(Sheet1!CY221,hhdcap_wcm,3)-VLOOKUP(Sheet1!CY221,hhdcap_wcm,1)))*(VLOOKUP(Sheet1!CY221,hhdcap_wcm,4)-VLOOKUP(Sheet1!CY221,hhdcap_wcm,2))))</f>
        <v>41488.680000100198</v>
      </c>
      <c r="AC221" s="712">
        <f t="shared" ref="AC221:AC284" si="748">AB221-AB220</f>
        <v>-310.20000000169239</v>
      </c>
      <c r="AD221" s="712">
        <f t="shared" ref="AD221:AD284" si="749">(IF(AND(B221&gt;=FS221,B221&lt;FV221),MIN(AR221+BK221+CF221+CY221,FU221),IF(B221=FV221,FW221,IF(AND(B221&gt;FV221,B221&lt;FX221),AR221+BK221+CF221+CY221,IF(B221&gt;=FX221,0,0)))))</f>
        <v>3259.4524119947846</v>
      </c>
      <c r="AE221" s="712">
        <f t="shared" ref="AE221:AE284" si="750">AD221*MGtoAF</f>
        <v>10000</v>
      </c>
      <c r="AF221" s="712">
        <f>Sheet1!BA221+Sheet1!BB221+Sheet1!BN221+BT221</f>
        <v>5.3</v>
      </c>
      <c r="AG221" s="712">
        <f t="shared" ref="AG221:AG284" si="751">AF221+(DE221*AF221)</f>
        <v>5.3053053053053061</v>
      </c>
      <c r="AH221" s="712">
        <f>Sheet1!BA221+BT221</f>
        <v>0</v>
      </c>
      <c r="AI221" s="712">
        <f>Sheet1!BA221+Sheet1!BB221+BT221</f>
        <v>0</v>
      </c>
      <c r="AJ221" s="712">
        <f>IF((Sheet1!AA221+AG221+AX221+AZ221+BQ221+BS221+CL221+CN221)&lt;=N221,AG221+AX221+AZ221+BQ221+BS221+CL221+CN221,N221-Sheet1!AA221)</f>
        <v>5.3053053053053061</v>
      </c>
      <c r="AK221" s="712">
        <f>IF(DR221&lt;K221,0,MAX(Sheet1!AA221+AG221-15/36*K221-N221,Sheet1!ED221,0))</f>
        <v>0</v>
      </c>
      <c r="AL221" s="712">
        <f>IF(OR(B221&gt;=FT221,B221&lt;FS221),0,15/36*K221-MAX(0,64.6-(137.6-(Sheet1!AA221+Sheet1!AB221))))</f>
        <v>0</v>
      </c>
      <c r="AM221" s="712">
        <f>Sheet1!CX221-110</f>
        <v>342.21875</v>
      </c>
      <c r="AN221" s="712">
        <f>Sheet1!CW221-265</f>
        <v>498.95833333333337</v>
      </c>
      <c r="AO221" s="712">
        <f t="shared" si="733"/>
        <v>26.694694694694697</v>
      </c>
      <c r="AP221" s="712">
        <f t="shared" ref="AP221:AP284" si="752">IF(OR(AM221-AN221-(AO221*1.547)&lt;0,AN221&gt;350),0,AM221-AN221-(AO221*1.547))</f>
        <v>0</v>
      </c>
      <c r="AQ221" s="712">
        <f t="shared" ref="AQ221:AQ284" si="753">IF(AP221&lt;=0,0,AP221/1.547)</f>
        <v>0</v>
      </c>
      <c r="AR221" s="712">
        <f t="shared" ref="AR221:AR284" si="754">GE221+GG221</f>
        <v>1358.1051716644936</v>
      </c>
      <c r="AS221" s="712"/>
      <c r="AT221" s="712">
        <f ca="1">IF(B221&gt;Summary!$A$1,#N/A,AR221*MGtoAF)</f>
        <v>4166.6666666666661</v>
      </c>
      <c r="AU221" s="712">
        <f>Sheet1!BG221+Sheet1!BH221+Sheet1!BI221-BC221</f>
        <v>1.58</v>
      </c>
      <c r="AV221" s="712">
        <f t="shared" ref="AV221:AV284" si="755">AU221+(DE221*AU221)</f>
        <v>1.5815815815815819</v>
      </c>
      <c r="AW221" s="712">
        <f>IF(Sheet1!EL221="FM",BC221,0)</f>
        <v>0</v>
      </c>
      <c r="AX221" s="712">
        <f t="shared" ref="AX221:AX284" si="756">AW221+(DE221*AW221)</f>
        <v>0</v>
      </c>
      <c r="AY221" s="712">
        <f>IF(Sheet1!EL221="OTHER",BC221,0)</f>
        <v>0</v>
      </c>
      <c r="AZ221" s="712">
        <f t="shared" ref="AZ221:AZ284" si="757">AY221+(DE221*AY221)</f>
        <v>0</v>
      </c>
      <c r="BA221" s="712">
        <f t="shared" ref="BA221:BA284" si="758">MAX(AU221,AW221,AY221)</f>
        <v>1.58</v>
      </c>
      <c r="BB221" s="712">
        <f t="shared" ref="BB221:BB284" si="759">MAX(AV221,AX221,AZ221)</f>
        <v>1.5815815815815819</v>
      </c>
      <c r="BC221" s="712">
        <f>IF(OR(Sheet1!EL221="FM", Sheet1!EL221="OTHER"),SUM(Sheet1!BG221:'Sheet1'!BI221),0)</f>
        <v>0</v>
      </c>
      <c r="BD221" s="697">
        <f>IF(AND($B221&gt;=$FL221,$B221&lt;=$FM221),MAX(AV221,Sheet1!EE221,0),MAX(AV221-(7/36)*$K221,0))</f>
        <v>0</v>
      </c>
      <c r="BE221" s="712">
        <f t="shared" ref="BE221:BE284" si="760">IF(B221&gt;=FS221,IF(B221&lt;=FT221,(7/36)*K221-AV221,0),0)</f>
        <v>0</v>
      </c>
      <c r="BF221" s="697">
        <f t="shared" ref="BF221:BF284" si="761">MAX(BB221-BD221,0)</f>
        <v>1.5815815815815819</v>
      </c>
      <c r="BG221" s="697">
        <f>IF(AND($O221&gt;0,Sheet1!EI221=1),(1-($O221-Sheet1!$L221)/$O221)*BB221,0)</f>
        <v>0</v>
      </c>
      <c r="BH221" s="697">
        <f>IF(AND(Sheet1!$L221=0,Sheet1!$L220=0, Calculation!BA221&lt;Sheet1!$EE221-0.1,Sheet1!$EE221=Sheet1!$EE220,Sheet1!$EE221=Sheet1!$EE222),Sheet1!$EE221,BB221-BG221)</f>
        <v>2</v>
      </c>
      <c r="BI221" s="712"/>
      <c r="BJ221" s="712"/>
      <c r="BK221" s="712">
        <f t="shared" ref="BK221:BK284" si="762">GL221+GN221</f>
        <v>633.7824134434303</v>
      </c>
      <c r="BL221" s="712"/>
      <c r="BM221" s="712">
        <f ca="1">IF(B221&gt;Summary!$A$1,#N/A,BK221*MGtoAF)</f>
        <v>1944.4444444444441</v>
      </c>
      <c r="BN221" s="712">
        <f>Sheet1!BC221+Sheet1!BD221+Sheet1!BE221+Sheet1!BF221-BW221-BX221</f>
        <v>3.0599999999999996</v>
      </c>
      <c r="BO221" s="712">
        <f t="shared" ref="BO221:BO284" si="763">BN221+(DE221*BN221)</f>
        <v>3.0630630630630633</v>
      </c>
      <c r="BP221" s="712">
        <f>IF(Sheet1!EM221="FM",BX221,0)</f>
        <v>0</v>
      </c>
      <c r="BQ221" s="712">
        <f t="shared" ref="BQ221:BQ284" si="764">BP221+(DE221*BP221)</f>
        <v>0</v>
      </c>
      <c r="BR221" s="712">
        <f>IF(Sheet1!EM221="OTHER",BX221,0)</f>
        <v>0</v>
      </c>
      <c r="BS221" s="712">
        <f t="shared" ref="BS221:BS284" si="765">BR221+(DE221*BR221)</f>
        <v>0</v>
      </c>
      <c r="BT221" s="712">
        <f t="shared" ref="BT221:BT284" si="766">BW221</f>
        <v>0</v>
      </c>
      <c r="BU221" s="712">
        <f t="shared" ref="BU221:BU284" si="767">MAX(BN221,BP221,BR221)</f>
        <v>3.0599999999999996</v>
      </c>
      <c r="BV221" s="712">
        <f t="shared" ref="BV221:BV284" si="768">MAX(BO221,BQ221, BS221)</f>
        <v>3.0630630630630633</v>
      </c>
      <c r="BW221" s="712">
        <f>IF(Sheet1!EM221="CWA",SUM(Sheet1!BC221:'Sheet1'!BF221),0)</f>
        <v>0</v>
      </c>
      <c r="BX221" s="712">
        <f>IF(OR(Sheet1!EM221="FM", Sheet1!EM221="OTHER"),SUM(Sheet1!BC221:'Sheet1'!BF221),0)</f>
        <v>0</v>
      </c>
      <c r="BY221" s="697">
        <f>IF(AND($B221&gt;=$FL221,$B221&lt;=$FM221),MAX(BV221,Sheet1!EF221,0),MAX(BV221-(7/36)*$K221,0))</f>
        <v>0</v>
      </c>
      <c r="BZ221" s="712">
        <f t="shared" ref="BZ221:BZ284" si="769">IF(B221&gt;=FS221,IF(B221&lt;=FT221,(7/36)*K221-BO221,0),0)</f>
        <v>0</v>
      </c>
      <c r="CA221" s="697">
        <f t="shared" ref="CA221:CA284" si="770">MAX(BV221-BY221,0)</f>
        <v>3.0630630630630633</v>
      </c>
      <c r="CB221" s="697">
        <f>IF(AND($O221&gt;0,Sheet1!EJ221=1),(1-($O221-Sheet1!$L221)/$O221)*BV221,0)</f>
        <v>0</v>
      </c>
      <c r="CC221" s="697">
        <f>IF(AND(Sheet1!$L221=0,Sheet1!$L220=0, Calculation!BU221&lt;Sheet1!EF221-0.1,Sheet1!EF221=Sheet1!EF220,Sheet1!EF221=Sheet1!EF222),Sheet1!EF221,BV221-CB221)</f>
        <v>3.0630630630630633</v>
      </c>
      <c r="CD221" s="697"/>
      <c r="CE221" s="712"/>
      <c r="CF221" s="712">
        <f t="shared" ref="CF221:CF284" si="771">GS221+GU221</f>
        <v>633.7824134434303</v>
      </c>
      <c r="CG221" s="712"/>
      <c r="CH221" s="712">
        <f ca="1">IF(B221&gt;Summary!$A$1,#N/A,CF221*MGtoAF)</f>
        <v>1944.4444444444441</v>
      </c>
      <c r="CI221" s="712">
        <f>Sheet1!BK221+Sheet1!BL221+Sheet1!BM221-Sheet1!EN221-CQ221</f>
        <v>10.039999999999999</v>
      </c>
      <c r="CJ221" s="712">
        <f t="shared" ref="CJ221:CJ284" si="772">CI221+(DE221*CI221)</f>
        <v>10.05005005005005</v>
      </c>
      <c r="CK221" s="712">
        <f>IF(Sheet1!EN221="FM",CQ221,0)</f>
        <v>0</v>
      </c>
      <c r="CL221" s="712">
        <f t="shared" ref="CL221:CL284" si="773">CK221+(DE221*CK221)</f>
        <v>0</v>
      </c>
      <c r="CM221" s="712">
        <f>IF(Sheet1!EN221="OTHER",CQ221,0)</f>
        <v>0</v>
      </c>
      <c r="CN221" s="712">
        <f t="shared" ref="CN221:CN284" si="774">CM221+(DE221*CM221)</f>
        <v>0</v>
      </c>
      <c r="CO221" s="712">
        <f t="shared" ref="CO221:CO284" si="775">MAX(CI221,CK221)</f>
        <v>10.039999999999999</v>
      </c>
      <c r="CP221" s="712">
        <f t="shared" ref="CP221:CP284" si="776">MAX(CJ221,CL221)</f>
        <v>10.05005005005005</v>
      </c>
      <c r="CQ221" s="712">
        <f>IF(OR(Sheet1!EN221="FM", Sheet1!EN221="OTHER"),SUM(Sheet1!BK221:'Sheet1'!BM221),0)</f>
        <v>0</v>
      </c>
      <c r="CR221" s="800">
        <f t="shared" si="736"/>
        <v>0</v>
      </c>
      <c r="CS221" s="712">
        <f t="shared" ref="CS221:CS284" si="777">IF(B221&gt;=FS221,IF(B221&lt;=FT221,(7/36)*K221-CJ221,0),0)</f>
        <v>0</v>
      </c>
      <c r="CT221" s="697">
        <f t="shared" ref="CT221:CT284" si="778">MAX(CP221-CR221,0)</f>
        <v>10.05005005005005</v>
      </c>
      <c r="CU221" s="697">
        <f>IF(AND($O221&gt;0,Sheet1!EK221=1),(1-($O221-Sheet1!$L221)/$O221)*CP221,0)</f>
        <v>0</v>
      </c>
      <c r="CV221" s="697">
        <f>IF(AND(Sheet1!$L221=0,Sheet1!$L220=0, Calculation!CO221&lt;Sheet1!$EG221-0.1,Sheet1!$EG221=Sheet1!$EG220,Sheet1!$EG221=Sheet1!$EG222),Sheet1!$EG221,CP221-CU221)</f>
        <v>10.05005005005005</v>
      </c>
      <c r="CW221" s="697">
        <f t="shared" si="721"/>
        <v>0</v>
      </c>
      <c r="CX221" s="712">
        <f t="shared" ref="CX221:CX284" si="779">BA221+BU221+CO221</f>
        <v>14.68</v>
      </c>
      <c r="CY221" s="712">
        <f t="shared" ref="CY221:CY284" si="780">GZ221+HB221</f>
        <v>633.7824134434303</v>
      </c>
      <c r="CZ221" s="712">
        <f t="shared" ref="CZ221:CZ284" si="781">BB221+BV221+CP221</f>
        <v>14.694694694694695</v>
      </c>
      <c r="DA221" s="712">
        <f ca="1">IF(B221&gt;Summary!$A$1,#N/A,CY221*MGtoAF)</f>
        <v>1944.4444444444441</v>
      </c>
      <c r="DB221" s="712">
        <f t="shared" ref="DB221:DB284" si="782">CO221+BU221+BA221</f>
        <v>14.679999999999998</v>
      </c>
      <c r="DC221" s="712">
        <f t="shared" ref="DC221:DC284" si="783">DB221+AF221</f>
        <v>19.979999999999997</v>
      </c>
      <c r="DD221" s="712">
        <f>Sheet1!AB221-DC221</f>
        <v>2.0000000000003126E-2</v>
      </c>
      <c r="DE221" s="712">
        <f t="shared" ref="DE221:DE284" si="784">IF(DC221=0,0,DD221/DC221)</f>
        <v>1.0010010010011576E-3</v>
      </c>
      <c r="DF221" s="712">
        <f>(VLOOKUP(Sheet1!CY221,hhdcap_wcm,4)-(((VLOOKUP(Sheet1!CY221,hhdcap_wcm,3)-Sheet1!CY221)/(VLOOKUP(Sheet1!CY221,hhdcap_wcm,3)-VLOOKUP(Sheet1!CY221,hhdcap_wcm,1)))*(VLOOKUP(Sheet1!CY221,hhdcap_wcm,4)-VLOOKUP(Sheet1!CY221,hhdcap_wcm,2))))</f>
        <v>41488.680000100198</v>
      </c>
      <c r="DG221" s="712">
        <f t="shared" ref="DG221:DG284" si="785">DF221-DF220</f>
        <v>-310.20000000169239</v>
      </c>
      <c r="DH221" s="712">
        <f t="shared" ref="DH221:DH284" si="786">DG221*AFtoCFS</f>
        <v>-156.42965204321348</v>
      </c>
      <c r="DI221" s="712">
        <f>Sheet1!DW221*AFtoMG</f>
        <v>0</v>
      </c>
      <c r="DJ221" s="712">
        <f>Sheet1!DX221*AFtoMG</f>
        <v>0</v>
      </c>
      <c r="DK221" s="712">
        <f>Sheet1!DY221*AFtoMG</f>
        <v>0</v>
      </c>
      <c r="DL221" s="712">
        <f>Sheet1!DZ221*AFtoMG</f>
        <v>0</v>
      </c>
      <c r="DM221" s="712">
        <f t="shared" ref="DM221:DM284" si="787">SUM(DI221:DL221)</f>
        <v>0</v>
      </c>
      <c r="DN221" s="712">
        <f t="shared" ref="DN221:DN284" si="788">DM221*MGtoAF</f>
        <v>0</v>
      </c>
      <c r="DO221" s="712">
        <f t="shared" ref="DO221:DO284" si="789">AD221</f>
        <v>3259.4524119947846</v>
      </c>
      <c r="DP221" s="712">
        <f t="shared" ref="DP221:DP284" si="790">DO221*MGtoAF</f>
        <v>10000</v>
      </c>
      <c r="DQ221" s="712"/>
      <c r="DR221" s="697">
        <f>IF(OR(B221&lt;FL221,B221&gt;FM221),(MIN(AV221+BO221+CJ221+MAX(Sheet1!AA221+AG221-73,0),K221)),0)</f>
        <v>14.694694694694695</v>
      </c>
      <c r="DS221" s="712"/>
      <c r="DT221" s="712">
        <f t="shared" ref="DT221:DT284" si="791">CJ221+AV221+BO221</f>
        <v>14.694694694694695</v>
      </c>
      <c r="DU221" s="712"/>
      <c r="DV221" s="712">
        <f>Sheet1!ED221+Sheet1!EE221+Sheet1!EF221+Sheet1!EG221</f>
        <v>15</v>
      </c>
      <c r="DW221" s="712"/>
      <c r="DX221" s="697">
        <f t="shared" ref="DX221:DX284" si="792">DR221-BF221-CA221-CT221</f>
        <v>0</v>
      </c>
      <c r="DY221" s="712">
        <f>IF(Sheet1!FN221=1,SUM('Calculations II'!AT221:BA221)+'Calculations II'!BC221+Sheet1!BU221+'Calculations II'!BE221+AF221,SUM('Calculations II'!AT221:BA221)+'Calculations II'!BC221+Sheet1!BU221+'Calculations II'!BE221+AF221)</f>
        <v>54.780656</v>
      </c>
      <c r="DZ221" s="712">
        <f>Sheet1!AA221+Sheet1!AB221+'Calculations II'!BC221</f>
        <v>71.322063999999997</v>
      </c>
      <c r="EA221" s="712"/>
      <c r="EB221" s="712"/>
      <c r="EC221" s="712">
        <f t="shared" ref="EC221:EC284" si="793">B221</f>
        <v>40750</v>
      </c>
      <c r="ED221" s="712">
        <f t="shared" ref="ED221:ED284" si="794">Z221-X221</f>
        <v>0</v>
      </c>
      <c r="EE221" s="712">
        <f t="shared" ref="EE221:EE284" si="795">AA221-Y221</f>
        <v>0</v>
      </c>
      <c r="EF221" s="712">
        <f>-(VLOOKUP(Sheet1!BQ221,Lookup!$B$4:$J$236,2)-VLOOKUP(Sheet1!BQ220,Lookup!$B$4:$J$236,2))/1000000</f>
        <v>-2.4209000000000001</v>
      </c>
      <c r="EG221" s="712">
        <f>-(VLOOKUP(Sheet1!BR221,Lookup!$B$4:$J$236,3)-VLOOKUP(Sheet1!BR220,Lookup!$B$4:$J$236,3))/1000000</f>
        <v>-2.4163999999999999</v>
      </c>
      <c r="EH221" s="712">
        <f>-(VLOOKUP(Sheet1!BS221,Lookup!$B$4:$J$236,4)-VLOOKUP(Sheet1!BS220,Lookup!$B$4:$J$236,4))/1000000</f>
        <v>0</v>
      </c>
      <c r="EI221" s="697">
        <f t="shared" ref="EI221:EI249" si="796">EH221+EG221+EF221</f>
        <v>-4.8372999999999999</v>
      </c>
      <c r="EJ221" s="712"/>
      <c r="EK221" s="712"/>
      <c r="EL221" s="712"/>
      <c r="EM221" s="712"/>
      <c r="EN221" s="712"/>
      <c r="EO221" s="712"/>
      <c r="EP221" s="498"/>
      <c r="EQ221" s="712"/>
      <c r="ET221" s="794">
        <f t="shared" si="720"/>
        <v>1137.4000000000001</v>
      </c>
      <c r="EU221" s="697">
        <f t="shared" si="731"/>
        <v>8801.1800000463118</v>
      </c>
      <c r="EV221" s="795">
        <f t="shared" si="734"/>
        <v>21467.500000053886</v>
      </c>
      <c r="EW221" s="796" t="s">
        <v>757</v>
      </c>
      <c r="EX221" s="796" t="s">
        <v>757</v>
      </c>
      <c r="EY221" s="862">
        <f t="shared" si="732"/>
        <v>121.38174483183677</v>
      </c>
      <c r="EZ221" s="798">
        <v>22687.500000053886</v>
      </c>
      <c r="FA221" s="712">
        <v>22687.500000053886</v>
      </c>
      <c r="FB221" s="712"/>
      <c r="FC221" s="712"/>
      <c r="FD221" s="712"/>
      <c r="FE221" s="712">
        <f>O221+Sheet1!CO221</f>
        <v>7229.1</v>
      </c>
      <c r="FF221" s="712">
        <f>IF(Sheet1!AA221+AG221&lt;=Calculation!N221,AG221,Calculation!N221-Sheet1!AA221)</f>
        <v>5.3053053053053061</v>
      </c>
      <c r="FG221" s="712">
        <f>(Sheet1!BP221+Sheet1!BO221)/694.4</f>
        <v>3.0704205069124422</v>
      </c>
      <c r="FH221" s="712"/>
      <c r="FI221" s="712"/>
      <c r="FJ221" s="712"/>
      <c r="FK221" s="712"/>
      <c r="FL221" s="714">
        <f t="shared" si="726"/>
        <v>40753</v>
      </c>
      <c r="FM221" s="714">
        <f t="shared" si="727"/>
        <v>40851</v>
      </c>
      <c r="FN221" s="712"/>
      <c r="FO221" s="712"/>
      <c r="FP221" s="712"/>
      <c r="FQ221" s="712"/>
      <c r="FR221" s="712"/>
      <c r="FS221" s="725">
        <f t="shared" si="735"/>
        <v>40603</v>
      </c>
      <c r="FT221" s="714">
        <f t="shared" si="729"/>
        <v>40709</v>
      </c>
      <c r="FU221" s="712">
        <f t="shared" si="735"/>
        <v>6518.9048239895692</v>
      </c>
      <c r="FV221" s="714">
        <f t="shared" si="730"/>
        <v>40722</v>
      </c>
      <c r="FW221" s="712">
        <f t="shared" si="735"/>
        <v>3259.4524119947846</v>
      </c>
      <c r="FX221" s="725">
        <f t="shared" si="735"/>
        <v>40851</v>
      </c>
      <c r="FZ221" s="697">
        <f t="shared" si="722"/>
        <v>0</v>
      </c>
      <c r="GA221" s="712" t="str">
        <f t="shared" ref="GA221:GA284" si="797">CONCATENATE(GC221,GQ221,GJ221,GX221)</f>
        <v/>
      </c>
      <c r="GB221" s="712">
        <f t="shared" ref="GB221:GB284" si="798">IF(GF221&gt;=8333.33,AL221,0)</f>
        <v>0</v>
      </c>
      <c r="GC221" s="712" t="str">
        <f t="shared" ref="GC221:GC284" si="799">IF(AND(GF221&lt;8333.33,FZ221&gt;0),"T","")</f>
        <v/>
      </c>
      <c r="GD221" s="712">
        <f>IF(GA221="P",Lookup!$M$12,IF(GA221="PP",Lookup!$M$13,IF(GA221="PPP",Lookup!$M$14,IF(GA221="T",Lookup!$M$15,IF(GA221="TP",Lookup!$M$16,IF(GA221="TPP",Lookup!$M$17,IF(GA221="TPPP",Lookup!$M$18,0)))))))*FZ221</f>
        <v>0</v>
      </c>
      <c r="GE221" s="712">
        <f t="shared" ref="GE221:GE284" si="800">IF(GC221="T",GD221,0)</f>
        <v>0</v>
      </c>
      <c r="GF221" s="712">
        <f t="shared" ref="GF221:GF284" si="801">GG221*MGtoAF</f>
        <v>4166.6666666666661</v>
      </c>
      <c r="GG221" s="712">
        <f t="shared" ref="GG221:GG284" si="802">(IF(AND(B221&lt;FV221,B221&gt;=FS221),MIN(AR220+AL221-AK221,15/36*FU221),IF(B221=FV221,15/36*FW221,IF(AND(B221&gt;FV221,B221&lt;FX221),MIN(AR220+AL221-AK221,15/36*FW221),IF(B221&gt;=FX221,0,0)))))+DI221</f>
        <v>1358.1051716644936</v>
      </c>
      <c r="GH221" s="712"/>
      <c r="GI221" s="712">
        <f t="shared" ref="GI221:GI284" si="803">IF(GM221&gt;=3888.88,BE221,0)</f>
        <v>0</v>
      </c>
      <c r="GJ221" s="712" t="str">
        <f t="shared" ref="GJ221:GJ284" si="804">IF(AND(GM221&lt;3888.88,FZ221&gt;0),"P","")</f>
        <v/>
      </c>
      <c r="GK221" s="712">
        <f>IF(GA221="P",Lookup!$N$12,IF(GA221="PP",Lookup!$N$13,IF(GA221="PPP",Lookup!$N$14,IF(GA221="T",Lookup!$N$15,IF(GA221="TP",Lookup!$N$16,IF(GA221="TPP",Lookup!$N$17,IF(GA221="TPPP",Lookup!$N$18,0)))))))*FZ221</f>
        <v>0</v>
      </c>
      <c r="GL221" s="712">
        <f t="shared" ref="GL221:GL284" si="805">IF(GJ221="P",GK221,0)</f>
        <v>0</v>
      </c>
      <c r="GM221" s="712">
        <f t="shared" ref="GM221:GM284" si="806">GN221*MGtoAF</f>
        <v>1944.4444444444441</v>
      </c>
      <c r="GN221" s="712">
        <f t="shared" ref="GN221:GN284" si="807">(IF(AND(B221&lt;FV221,B221&gt;=FS221),MIN(BK220+BE221-BD221,7/36*FU221),IF(B221=FV221,7/36*FW221,IF(AND(B221&gt;FV221,B221&lt;FX221),MIN(BK220+BE221-BD221,7/36*FW221),IF(B221&gt;=FX221,0,0)))))+DJ221</f>
        <v>633.7824134434303</v>
      </c>
      <c r="GO221" s="712"/>
      <c r="GP221" s="712">
        <f t="shared" ref="GP221:GP284" si="808">IF(GT221&gt;=8333.33,BZ221,0)</f>
        <v>0</v>
      </c>
      <c r="GQ221" s="712" t="str">
        <f t="shared" ref="GQ221:GQ284" si="809">IF(AND(GT221&lt;3888.88,FZ221&gt;0),"P","")</f>
        <v/>
      </c>
      <c r="GR221" s="712">
        <f>IF(GA221="P",Lookup!$N$12,IF(GA221="PP",Lookup!$N$13,IF(GA221="PPP",Lookup!$N$14,IF(GA221="T",Lookup!$N$15,IF(GA221="TP",Lookup!$N$16,IF(GA221="TPP",Lookup!$N$17,IF(GA221="TPPP",Lookup!$N$18,0)))))))*FZ221</f>
        <v>0</v>
      </c>
      <c r="GS221" s="697">
        <f t="shared" si="724"/>
        <v>0</v>
      </c>
      <c r="GT221" s="712">
        <f t="shared" ref="GT221:GT284" si="810">GU221*MGtoAF</f>
        <v>1944.4444444444441</v>
      </c>
      <c r="GU221" s="712">
        <f t="shared" ref="GU221:GU284" si="811">IF(AND(B221&lt;FV221,B221&gt;=FS221),MIN(CF220+BZ221-BY221,7/36*FU221),IF(B221=FV221,7/36*FW221,IF(AND(B221&gt;FV221,B221&lt;FX221),MIN(CF220+BZ221-BY221,7/36*FW221),IF(B221&gt;=FX221,0,0))))+DK221</f>
        <v>633.7824134434303</v>
      </c>
      <c r="GV221" s="712"/>
      <c r="GW221" s="712">
        <f t="shared" ref="GW221:GW284" si="812">IF(HA221&gt;=3888.88,CS221,0)</f>
        <v>0</v>
      </c>
      <c r="GX221" s="712" t="str">
        <f t="shared" ref="GX221:GX284" si="813">IF(AND(HA221&lt;3888.88,FZ221&gt;0),"P","")</f>
        <v/>
      </c>
      <c r="GY221" s="712">
        <f>IF(GA221="P",Lookup!$N$12,IF(GA221="PP",Lookup!$N$13,IF(GA221="PPP",Lookup!$N$14,IF(GA221="T",Lookup!$N$15,IF(GA221="TP",Lookup!$N$16,IF(GA221="TPP",Lookup!$N$17,IF(GA221="TPPP",Lookup!$N$18,0)))))))*FZ221</f>
        <v>0</v>
      </c>
      <c r="GZ221" s="697">
        <f t="shared" si="725"/>
        <v>0</v>
      </c>
      <c r="HA221" s="712">
        <f t="shared" ref="HA221:HA284" si="814">HB221*MGtoAF</f>
        <v>1944.4444444444441</v>
      </c>
      <c r="HB221" s="712">
        <f t="shared" ref="HB221:HB284" si="815">(IF(AND(B221&lt;FV221,B221&gt;=FS221),MIN(CY220+CS221-CR221,7/36*FU221),IF(B221=FV221,7/36*FW221,IF(AND(B221&gt;FV221,B221&lt;FX221),MIN(CY220+CS221-CR221,7/36*FW221),IF(B221&gt;=FX221,0,0)))))+DL221</f>
        <v>633.7824134434303</v>
      </c>
      <c r="HC221" s="712"/>
    </row>
    <row r="222" spans="1:211">
      <c r="A222" s="773" t="s">
        <v>6</v>
      </c>
      <c r="B222" s="708">
        <v>40751</v>
      </c>
      <c r="C222" s="709">
        <v>0.5</v>
      </c>
      <c r="D222" s="675">
        <f t="shared" si="737"/>
        <v>200</v>
      </c>
      <c r="E222" s="675">
        <f t="shared" si="738"/>
        <v>400</v>
      </c>
      <c r="F222" s="675">
        <v>250</v>
      </c>
      <c r="G222" s="712">
        <f>DH222+Sheet1!CV222</f>
        <v>339.11472516377245</v>
      </c>
      <c r="H222" s="712">
        <f t="shared" si="739"/>
        <v>16.880558345862511</v>
      </c>
      <c r="I222" s="711">
        <f>MAX(Sheet1!Z222-AJ222+(Sheet1!CW222-E222)*CFStoMGD,0)</f>
        <v>207.19761477405436</v>
      </c>
      <c r="J222" s="720">
        <f>IF(AND(B222&gt;=Calculation!FS222,B222&lt;=Calculation!FT222),IF(Sheet1!CX222&gt;=Calculation!D222,64.64,0),MAX(Sheet1!Z222-AJ222+(Sheet1!CX222-D222)*CFStoMGD,0))</f>
        <v>152.61048144072106</v>
      </c>
      <c r="K222" s="697">
        <f t="shared" si="740"/>
        <v>16.880558345862511</v>
      </c>
      <c r="L222" s="712">
        <f>Sheet1!AA222+Sheet1!AB222-Sheet1!L222+(Sheet1!CW222-F222)*CFStoMGD</f>
        <v>350.24473333333299</v>
      </c>
      <c r="M222" s="712">
        <f t="shared" si="741"/>
        <v>223.58783351277978</v>
      </c>
      <c r="N222" s="712">
        <f>IF(Sheet1!CW222&gt;=F222,MIN(73,MIN(MAX(L222,0),MAX(M222,0))),0)</f>
        <v>73</v>
      </c>
      <c r="O222" s="721">
        <f>Sheet1!AA222+Sheet1!AB222</f>
        <v>60.569999999999709</v>
      </c>
      <c r="P222" s="721">
        <f t="shared" si="742"/>
        <v>93.701789999999548</v>
      </c>
      <c r="Q222" s="712">
        <f>MIN(N222,Sheet1!AA222+AG222)</f>
        <v>45.77711855928127</v>
      </c>
      <c r="R222" s="712">
        <f t="shared" si="743"/>
        <v>15</v>
      </c>
      <c r="S222" s="721">
        <f>Sheet1!Y222*MGDtoCFS</f>
        <v>63.071190000000001</v>
      </c>
      <c r="T222" s="721">
        <f>Sheet1!Z222*MGDtoCFS</f>
        <v>30.661539999999999</v>
      </c>
      <c r="U222" s="721">
        <f>Sheet1!AA222*MGDtoCFS</f>
        <v>62.5606800000036</v>
      </c>
      <c r="V222" s="721">
        <f>Sheet1!AB222*MGDtoCFS</f>
        <v>31.141109999995948</v>
      </c>
      <c r="W222" s="721">
        <f>Sheet1!L222*MGDtoCFS</f>
        <v>0</v>
      </c>
      <c r="X222" s="697">
        <f t="shared" si="744"/>
        <v>0</v>
      </c>
      <c r="Y222" s="712">
        <f t="shared" si="745"/>
        <v>0</v>
      </c>
      <c r="Z222" s="712">
        <f t="shared" si="746"/>
        <v>0</v>
      </c>
      <c r="AA222" s="712">
        <f t="shared" si="747"/>
        <v>0</v>
      </c>
      <c r="AB222" s="712">
        <f>(VLOOKUP(Sheet1!CY222,hhdcap_wcm,4)-(((VLOOKUP(Sheet1!CY222,hhdcap_wcm,3)-Sheet1!CY222)/(VLOOKUP(Sheet1!CY222,hhdcap_wcm,3)-VLOOKUP(Sheet1!CY222,hhdcap_wcm,1)))*(VLOOKUP(Sheet1!CY222,hhdcap_wcm,4)-VLOOKUP(Sheet1!CY222,hhdcap_wcm,2))))</f>
        <v>41199.720000099958</v>
      </c>
      <c r="AC222" s="712">
        <f t="shared" si="748"/>
        <v>-288.96000000023923</v>
      </c>
      <c r="AD222" s="712">
        <f t="shared" si="749"/>
        <v>3259.4524119947846</v>
      </c>
      <c r="AE222" s="712">
        <f t="shared" si="750"/>
        <v>10000</v>
      </c>
      <c r="AF222" s="712">
        <f>Sheet1!BA222+Sheet1!BB222+Sheet1!BN222+BT222</f>
        <v>5.3</v>
      </c>
      <c r="AG222" s="712">
        <f t="shared" si="751"/>
        <v>5.3371185592789443</v>
      </c>
      <c r="AH222" s="712">
        <f>Sheet1!BA222+BT222</f>
        <v>0</v>
      </c>
      <c r="AI222" s="712">
        <f>Sheet1!BA222+Sheet1!BB222+BT222</f>
        <v>0</v>
      </c>
      <c r="AJ222" s="712">
        <f>IF((Sheet1!AA222+AG222+AX222+AZ222+BQ222+BS222+CL222+CN222)&lt;=N222,AG222+AX222+AZ222+BQ222+BS222+CL222+CN222,N222-Sheet1!AA222)</f>
        <v>5.3371185592789443</v>
      </c>
      <c r="AK222" s="712">
        <f>IF(DR222&lt;K222,0,MAX(Sheet1!AA222+AG222-15/36*K222-N222,Sheet1!ED222,0))</f>
        <v>0</v>
      </c>
      <c r="AL222" s="712">
        <f>IF(OR(B222&gt;=FT222,B222&lt;FS222),0,15/36*K222-MAX(0,64.6-(137.6-(Sheet1!AA222+Sheet1!AB222))))</f>
        <v>0</v>
      </c>
      <c r="AM222" s="712">
        <f>Sheet1!CX222-110</f>
        <v>303.6875</v>
      </c>
      <c r="AN222" s="712">
        <f>Sheet1!CW222-265</f>
        <v>433.13541666666663</v>
      </c>
      <c r="AO222" s="712">
        <f t="shared" si="733"/>
        <v>27.22288144071873</v>
      </c>
      <c r="AP222" s="712">
        <f t="shared" si="752"/>
        <v>0</v>
      </c>
      <c r="AQ222" s="712">
        <f t="shared" si="753"/>
        <v>0</v>
      </c>
      <c r="AR222" s="712">
        <f t="shared" si="754"/>
        <v>1358.1051716644936</v>
      </c>
      <c r="AS222" s="712"/>
      <c r="AT222" s="712">
        <f ca="1">IF(B222&gt;Summary!$A$1,#N/A,AR222*MGtoAF)</f>
        <v>4166.6666666666661</v>
      </c>
      <c r="AU222" s="712">
        <f>Sheet1!BG222+Sheet1!BH222+Sheet1!BI222-BC222</f>
        <v>1.59</v>
      </c>
      <c r="AV222" s="712">
        <f t="shared" si="755"/>
        <v>1.6011355677836836</v>
      </c>
      <c r="AW222" s="712">
        <f>IF(Sheet1!EL222="FM",BC222,0)</f>
        <v>0</v>
      </c>
      <c r="AX222" s="712">
        <f t="shared" si="756"/>
        <v>0</v>
      </c>
      <c r="AY222" s="712">
        <f>IF(Sheet1!EL222="OTHER",BC222,0)</f>
        <v>0</v>
      </c>
      <c r="AZ222" s="712">
        <f t="shared" si="757"/>
        <v>0</v>
      </c>
      <c r="BA222" s="712">
        <f t="shared" si="758"/>
        <v>1.59</v>
      </c>
      <c r="BB222" s="712">
        <f t="shared" si="759"/>
        <v>1.6011355677836836</v>
      </c>
      <c r="BC222" s="712">
        <f>IF(OR(Sheet1!EL222="FM", Sheet1!EL222="OTHER"),SUM(Sheet1!BG222:'Sheet1'!BI222),0)</f>
        <v>0</v>
      </c>
      <c r="BD222" s="697">
        <f>IF(AND($B222&gt;=$FL222,$B222&lt;=$FM222),MAX(AV222,Sheet1!EE222,0),MAX(AV222-(7/36)*$K222,0))</f>
        <v>0</v>
      </c>
      <c r="BE222" s="712">
        <f t="shared" si="760"/>
        <v>0</v>
      </c>
      <c r="BF222" s="697">
        <f t="shared" si="761"/>
        <v>1.6011355677836836</v>
      </c>
      <c r="BG222" s="697">
        <f>IF(AND($O222&gt;0,Sheet1!EI222=1),(1-($O222-Sheet1!$L222)/$O222)*BB222,0)</f>
        <v>0</v>
      </c>
      <c r="BH222" s="697">
        <f>IF(AND(Sheet1!$L222=0,Sheet1!$L221=0, Calculation!BA222&lt;Sheet1!$EE222-0.1,Sheet1!$EE222=Sheet1!$EE221,Sheet1!$EE222=Sheet1!$EE223),Sheet1!$EE222,BB222-BG222)</f>
        <v>2</v>
      </c>
      <c r="BI222" s="712"/>
      <c r="BJ222" s="712"/>
      <c r="BK222" s="712">
        <f t="shared" si="762"/>
        <v>633.7824134434303</v>
      </c>
      <c r="BL222" s="712"/>
      <c r="BM222" s="712">
        <f ca="1">IF(B222&gt;Summary!$A$1,#N/A,BK222*MGtoAF)</f>
        <v>1944.4444444444441</v>
      </c>
      <c r="BN222" s="712">
        <f>Sheet1!BC222+Sheet1!BD222+Sheet1!BE222+Sheet1!BF222-BW222-BX222</f>
        <v>3.05</v>
      </c>
      <c r="BO222" s="712">
        <f t="shared" si="763"/>
        <v>3.0713606803397702</v>
      </c>
      <c r="BP222" s="712">
        <f>IF(Sheet1!EM222="FM",BX222,0)</f>
        <v>0</v>
      </c>
      <c r="BQ222" s="712">
        <f t="shared" si="764"/>
        <v>0</v>
      </c>
      <c r="BR222" s="712">
        <f>IF(Sheet1!EM222="OTHER",BX222,0)</f>
        <v>0</v>
      </c>
      <c r="BS222" s="712">
        <f t="shared" si="765"/>
        <v>0</v>
      </c>
      <c r="BT222" s="712">
        <f t="shared" si="766"/>
        <v>0</v>
      </c>
      <c r="BU222" s="712">
        <f t="shared" si="767"/>
        <v>3.05</v>
      </c>
      <c r="BV222" s="712">
        <f t="shared" si="768"/>
        <v>3.0713606803397702</v>
      </c>
      <c r="BW222" s="712">
        <f>IF(Sheet1!EM222="CWA",SUM(Sheet1!BC222:'Sheet1'!BF222),0)</f>
        <v>0</v>
      </c>
      <c r="BX222" s="712">
        <f>IF(OR(Sheet1!EM222="FM", Sheet1!EM222="OTHER"),SUM(Sheet1!BC222:'Sheet1'!BF222),0)</f>
        <v>0</v>
      </c>
      <c r="BY222" s="697">
        <f>IF(AND($B222&gt;=$FL222,$B222&lt;=$FM222),MAX(BV222,Sheet1!EF222,0),MAX(BV222-(7/36)*$K222,0))</f>
        <v>0</v>
      </c>
      <c r="BZ222" s="712">
        <f t="shared" si="769"/>
        <v>0</v>
      </c>
      <c r="CA222" s="697">
        <f t="shared" si="770"/>
        <v>3.0713606803397702</v>
      </c>
      <c r="CB222" s="697">
        <f>IF(AND($O222&gt;0,Sheet1!EJ222=1),(1-($O222-Sheet1!$L222)/$O222)*BV222,0)</f>
        <v>0</v>
      </c>
      <c r="CC222" s="697">
        <f>IF(AND(Sheet1!$L222=0,Sheet1!$L221=0, Calculation!BU222&lt;Sheet1!EF222-0.1,Sheet1!EF222=Sheet1!EF221,Sheet1!EF222=Sheet1!EF223),Sheet1!EF222,BV222-CB222)</f>
        <v>3.0713606803397702</v>
      </c>
      <c r="CD222" s="697"/>
      <c r="CE222" s="712"/>
      <c r="CF222" s="712">
        <f t="shared" si="771"/>
        <v>633.7824134434303</v>
      </c>
      <c r="CG222" s="712"/>
      <c r="CH222" s="712">
        <f ca="1">IF(B222&gt;Summary!$A$1,#N/A,CF222*MGtoAF)</f>
        <v>1944.4444444444441</v>
      </c>
      <c r="CI222" s="712">
        <f>Sheet1!BK222+Sheet1!BL222+Sheet1!BM222-Sheet1!EN222-CQ222</f>
        <v>10.050000000000001</v>
      </c>
      <c r="CJ222" s="712">
        <f t="shared" si="772"/>
        <v>10.120385192594981</v>
      </c>
      <c r="CK222" s="712">
        <f>IF(Sheet1!EN222="FM",CQ222,0)</f>
        <v>0</v>
      </c>
      <c r="CL222" s="712">
        <f t="shared" si="773"/>
        <v>0</v>
      </c>
      <c r="CM222" s="712">
        <f>IF(Sheet1!EN222="OTHER",CQ222,0)</f>
        <v>0</v>
      </c>
      <c r="CN222" s="712">
        <f t="shared" si="774"/>
        <v>0</v>
      </c>
      <c r="CO222" s="712">
        <f t="shared" si="775"/>
        <v>10.050000000000001</v>
      </c>
      <c r="CP222" s="712">
        <f t="shared" si="776"/>
        <v>10.120385192594981</v>
      </c>
      <c r="CQ222" s="712">
        <f>IF(OR(Sheet1!EN222="FM", Sheet1!EN222="OTHER"),SUM(Sheet1!BK222:'Sheet1'!BM222),0)</f>
        <v>0</v>
      </c>
      <c r="CR222" s="800">
        <f t="shared" si="736"/>
        <v>0</v>
      </c>
      <c r="CS222" s="712">
        <f t="shared" si="777"/>
        <v>0</v>
      </c>
      <c r="CT222" s="697">
        <f t="shared" si="778"/>
        <v>10.120385192594981</v>
      </c>
      <c r="CU222" s="697">
        <f>IF(AND($O222&gt;0,Sheet1!EK222=1),(1-($O222-Sheet1!$L222)/$O222)*CP222,0)</f>
        <v>0</v>
      </c>
      <c r="CV222" s="697">
        <f>IF(AND(Sheet1!$L222=0,Sheet1!$L221=0, Calculation!CO222&lt;Sheet1!$EG222-0.1,Sheet1!$EG222=Sheet1!$EG221,Sheet1!$EG222=Sheet1!$EG223),Sheet1!$EG222,CP222-CU222)</f>
        <v>10.120385192594981</v>
      </c>
      <c r="CW222" s="697">
        <f t="shared" si="721"/>
        <v>0</v>
      </c>
      <c r="CX222" s="712">
        <f t="shared" si="779"/>
        <v>14.690000000000001</v>
      </c>
      <c r="CY222" s="712">
        <f t="shared" si="780"/>
        <v>633.7824134434303</v>
      </c>
      <c r="CZ222" s="712">
        <f t="shared" si="781"/>
        <v>14.792881440718435</v>
      </c>
      <c r="DA222" s="712">
        <f ca="1">IF(B222&gt;Summary!$A$1,#N/A,CY222*MGtoAF)</f>
        <v>1944.4444444444441</v>
      </c>
      <c r="DB222" s="712">
        <f t="shared" si="782"/>
        <v>14.690000000000001</v>
      </c>
      <c r="DC222" s="712">
        <f t="shared" si="783"/>
        <v>19.990000000000002</v>
      </c>
      <c r="DD222" s="712">
        <f>Sheet1!AB222-DC222</f>
        <v>0.13999999999737867</v>
      </c>
      <c r="DE222" s="712">
        <f t="shared" si="784"/>
        <v>7.0035017507443049E-3</v>
      </c>
      <c r="DF222" s="712">
        <f>(VLOOKUP(Sheet1!CY222,hhdcap_wcm,4)-(((VLOOKUP(Sheet1!CY222,hhdcap_wcm,3)-Sheet1!CY222)/(VLOOKUP(Sheet1!CY222,hhdcap_wcm,3)-VLOOKUP(Sheet1!CY222,hhdcap_wcm,1)))*(VLOOKUP(Sheet1!CY222,hhdcap_wcm,4)-VLOOKUP(Sheet1!CY222,hhdcap_wcm,2))))</f>
        <v>41199.720000099958</v>
      </c>
      <c r="DG222" s="712">
        <f t="shared" si="785"/>
        <v>-288.96000000023923</v>
      </c>
      <c r="DH222" s="712">
        <f t="shared" si="786"/>
        <v>-145.71860816956087</v>
      </c>
      <c r="DI222" s="712">
        <f>Sheet1!DW222*AFtoMG</f>
        <v>0</v>
      </c>
      <c r="DJ222" s="712">
        <f>Sheet1!DX222*AFtoMG</f>
        <v>0</v>
      </c>
      <c r="DK222" s="712">
        <f>Sheet1!DY222*AFtoMG</f>
        <v>0</v>
      </c>
      <c r="DL222" s="712">
        <f>Sheet1!DZ222*AFtoMG</f>
        <v>0</v>
      </c>
      <c r="DM222" s="712">
        <f t="shared" si="787"/>
        <v>0</v>
      </c>
      <c r="DN222" s="712">
        <f t="shared" si="788"/>
        <v>0</v>
      </c>
      <c r="DO222" s="712">
        <f t="shared" si="789"/>
        <v>3259.4524119947846</v>
      </c>
      <c r="DP222" s="712">
        <f t="shared" si="790"/>
        <v>10000</v>
      </c>
      <c r="DQ222" s="712"/>
      <c r="DR222" s="697">
        <f>IF(OR(B222&lt;FL222,B222&gt;FM222),(MIN(AV222+BO222+CJ222+MAX(Sheet1!AA222+AG222-73,0),K222)),0)</f>
        <v>14.792881440718435</v>
      </c>
      <c r="DS222" s="712"/>
      <c r="DT222" s="712">
        <f t="shared" si="791"/>
        <v>14.792881440718435</v>
      </c>
      <c r="DU222" s="712"/>
      <c r="DV222" s="712">
        <f>Sheet1!ED222+Sheet1!EE222+Sheet1!EF222+Sheet1!EG222</f>
        <v>15</v>
      </c>
      <c r="DW222" s="712"/>
      <c r="DX222" s="697">
        <f t="shared" si="792"/>
        <v>0</v>
      </c>
      <c r="DY222" s="712">
        <f>IF(Sheet1!FN222=1,SUM('Calculations II'!AT222:BA222)+'Calculations II'!BC222+Sheet1!BU222+'Calculations II'!BE222+AF222,SUM('Calculations II'!AT222:BA222)+'Calculations II'!BC222+Sheet1!BU222+'Calculations II'!BE222+AF222)</f>
        <v>59.187039999999996</v>
      </c>
      <c r="DZ222" s="712">
        <f>Sheet1!AA222+Sheet1!AB222+'Calculations II'!BC222</f>
        <v>69.360479999999711</v>
      </c>
      <c r="EA222" s="712"/>
      <c r="EB222" s="712"/>
      <c r="EC222" s="712">
        <f t="shared" si="793"/>
        <v>40751</v>
      </c>
      <c r="ED222" s="712">
        <f t="shared" si="794"/>
        <v>0</v>
      </c>
      <c r="EE222" s="712">
        <f t="shared" si="795"/>
        <v>0</v>
      </c>
      <c r="EF222" s="712">
        <f>-(VLOOKUP(Sheet1!BQ222,Lookup!$B$4:$J$236,2)-VLOOKUP(Sheet1!BQ221,Lookup!$B$4:$J$236,2))/1000000</f>
        <v>-0.54100000000000004</v>
      </c>
      <c r="EG222" s="712">
        <f>-(VLOOKUP(Sheet1!BR222,Lookup!$B$4:$J$236,3)-VLOOKUP(Sheet1!BR221,Lookup!$B$4:$J$236,3))/1000000</f>
        <v>-0.54</v>
      </c>
      <c r="EH222" s="712">
        <f>-(VLOOKUP(Sheet1!BS222,Lookup!$B$4:$J$236,4)-VLOOKUP(Sheet1!BS221,Lookup!$B$4:$J$236,4))/1000000</f>
        <v>0</v>
      </c>
      <c r="EI222" s="697">
        <f t="shared" si="796"/>
        <v>-1.081</v>
      </c>
      <c r="EJ222" s="712"/>
      <c r="EK222" s="712"/>
      <c r="EL222" s="712"/>
      <c r="EM222" s="712"/>
      <c r="EN222" s="712"/>
      <c r="EO222" s="712"/>
      <c r="EP222" s="712"/>
      <c r="EQ222" s="712"/>
      <c r="ET222" s="794">
        <f t="shared" si="720"/>
        <v>1137.3</v>
      </c>
      <c r="EU222" s="697">
        <v>8785</v>
      </c>
      <c r="EV222" s="795">
        <f t="shared" si="734"/>
        <v>21194.720000099958</v>
      </c>
      <c r="EW222" s="796" t="s">
        <v>757</v>
      </c>
      <c r="EX222" s="796" t="s">
        <v>757</v>
      </c>
      <c r="EY222" s="862">
        <v>0</v>
      </c>
      <c r="EZ222" s="798">
        <v>22687.500000053886</v>
      </c>
      <c r="FA222" s="712"/>
      <c r="FB222" s="712"/>
      <c r="FC222" s="712"/>
      <c r="FD222" s="712"/>
      <c r="FE222" s="712">
        <f>O222+Sheet1!CO222</f>
        <v>6165.07</v>
      </c>
      <c r="FF222" s="712">
        <f>IF(Sheet1!AA222+AG222&lt;=Calculation!N222,AG222,Calculation!N222-Sheet1!AA222)</f>
        <v>5.3371185592789443</v>
      </c>
      <c r="FG222" s="712">
        <f>(Sheet1!BP222+Sheet1!BO222)/694.4</f>
        <v>3.9648617511520734</v>
      </c>
      <c r="FH222" s="712"/>
      <c r="FI222" s="712"/>
      <c r="FJ222" s="712"/>
      <c r="FK222" s="712"/>
      <c r="FL222" s="714">
        <f t="shared" si="726"/>
        <v>40753</v>
      </c>
      <c r="FM222" s="714">
        <f t="shared" si="727"/>
        <v>40851</v>
      </c>
      <c r="FN222" s="712"/>
      <c r="FO222" s="712"/>
      <c r="FP222" s="712"/>
      <c r="FQ222" s="712"/>
      <c r="FR222" s="712"/>
      <c r="FS222" s="725">
        <f t="shared" si="735"/>
        <v>40603</v>
      </c>
      <c r="FT222" s="714">
        <f t="shared" si="729"/>
        <v>40709</v>
      </c>
      <c r="FU222" s="712">
        <f t="shared" si="735"/>
        <v>6518.9048239895692</v>
      </c>
      <c r="FV222" s="714">
        <f t="shared" si="730"/>
        <v>40722</v>
      </c>
      <c r="FW222" s="712">
        <f t="shared" si="735"/>
        <v>3259.4524119947846</v>
      </c>
      <c r="FX222" s="725">
        <f t="shared" si="735"/>
        <v>40851</v>
      </c>
      <c r="FZ222" s="697">
        <f t="shared" si="722"/>
        <v>0</v>
      </c>
      <c r="GA222" s="712" t="str">
        <f t="shared" si="797"/>
        <v/>
      </c>
      <c r="GB222" s="712">
        <f t="shared" si="798"/>
        <v>0</v>
      </c>
      <c r="GC222" s="712" t="str">
        <f t="shared" si="799"/>
        <v/>
      </c>
      <c r="GD222" s="712">
        <f>IF(GA222="P",Lookup!$M$12,IF(GA222="PP",Lookup!$M$13,IF(GA222="PPP",Lookup!$M$14,IF(GA222="T",Lookup!$M$15,IF(GA222="TP",Lookup!$M$16,IF(GA222="TPP",Lookup!$M$17,IF(GA222="TPPP",Lookup!$M$18,0)))))))*FZ222</f>
        <v>0</v>
      </c>
      <c r="GE222" s="712">
        <f t="shared" si="800"/>
        <v>0</v>
      </c>
      <c r="GF222" s="712">
        <f t="shared" si="801"/>
        <v>4166.6666666666661</v>
      </c>
      <c r="GG222" s="712">
        <f t="shared" si="802"/>
        <v>1358.1051716644936</v>
      </c>
      <c r="GH222" s="712"/>
      <c r="GI222" s="712">
        <f t="shared" si="803"/>
        <v>0</v>
      </c>
      <c r="GJ222" s="712" t="str">
        <f t="shared" si="804"/>
        <v/>
      </c>
      <c r="GK222" s="712">
        <f>IF(GA222="P",Lookup!$N$12,IF(GA222="PP",Lookup!$N$13,IF(GA222="PPP",Lookup!$N$14,IF(GA222="T",Lookup!$N$15,IF(GA222="TP",Lookup!$N$16,IF(GA222="TPP",Lookup!$N$17,IF(GA222="TPPP",Lookup!$N$18,0)))))))*FZ222</f>
        <v>0</v>
      </c>
      <c r="GL222" s="712">
        <f t="shared" si="805"/>
        <v>0</v>
      </c>
      <c r="GM222" s="712">
        <f t="shared" si="806"/>
        <v>1944.4444444444441</v>
      </c>
      <c r="GN222" s="712">
        <f t="shared" si="807"/>
        <v>633.7824134434303</v>
      </c>
      <c r="GO222" s="712"/>
      <c r="GP222" s="712">
        <f t="shared" si="808"/>
        <v>0</v>
      </c>
      <c r="GQ222" s="712" t="str">
        <f t="shared" si="809"/>
        <v/>
      </c>
      <c r="GR222" s="712">
        <f>IF(GA222="P",Lookup!$N$12,IF(GA222="PP",Lookup!$N$13,IF(GA222="PPP",Lookup!$N$14,IF(GA222="T",Lookup!$N$15,IF(GA222="TP",Lookup!$N$16,IF(GA222="TPP",Lookup!$N$17,IF(GA222="TPPP",Lookup!$N$18,0)))))))*FZ222</f>
        <v>0</v>
      </c>
      <c r="GS222" s="697">
        <f t="shared" si="724"/>
        <v>0</v>
      </c>
      <c r="GT222" s="712">
        <f t="shared" si="810"/>
        <v>1944.4444444444441</v>
      </c>
      <c r="GU222" s="712">
        <f t="shared" si="811"/>
        <v>633.7824134434303</v>
      </c>
      <c r="GV222" s="712"/>
      <c r="GW222" s="712">
        <f t="shared" si="812"/>
        <v>0</v>
      </c>
      <c r="GX222" s="712" t="str">
        <f t="shared" si="813"/>
        <v/>
      </c>
      <c r="GY222" s="712">
        <f>IF(GA222="P",Lookup!$N$12,IF(GA222="PP",Lookup!$N$13,IF(GA222="PPP",Lookup!$N$14,IF(GA222="T",Lookup!$N$15,IF(GA222="TP",Lookup!$N$16,IF(GA222="TPP",Lookup!$N$17,IF(GA222="TPPP",Lookup!$N$18,0)))))))*FZ222</f>
        <v>0</v>
      </c>
      <c r="GZ222" s="697">
        <f t="shared" si="725"/>
        <v>0</v>
      </c>
      <c r="HA222" s="712">
        <f t="shared" si="814"/>
        <v>1944.4444444444441</v>
      </c>
      <c r="HB222" s="712">
        <f t="shared" si="815"/>
        <v>633.7824134434303</v>
      </c>
      <c r="HC222" s="712"/>
    </row>
    <row r="223" spans="1:211">
      <c r="A223" s="773" t="s">
        <v>7</v>
      </c>
      <c r="B223" s="708">
        <v>40752</v>
      </c>
      <c r="C223" s="719">
        <v>0.5</v>
      </c>
      <c r="D223" s="675">
        <f t="shared" si="737"/>
        <v>200</v>
      </c>
      <c r="E223" s="675">
        <f t="shared" si="738"/>
        <v>400</v>
      </c>
      <c r="F223" s="675">
        <v>250</v>
      </c>
      <c r="G223" s="712">
        <f>DH223+Sheet1!CV223</f>
        <v>341.26979324244292</v>
      </c>
      <c r="H223" s="712">
        <f t="shared" si="739"/>
        <v>18.273594351915101</v>
      </c>
      <c r="I223" s="711">
        <f>MAX(Sheet1!Z223-AJ223+(Sheet1!CW223-E223)*CFStoMGD,0)</f>
        <v>149.77622217359496</v>
      </c>
      <c r="J223" s="720">
        <f>IF(AND(B223&gt;=Calculation!FS223,B223&lt;=Calculation!FT223),IF(Sheet1!CX223&gt;=Calculation!D223,64.64,0),MAX(Sheet1!Z223-AJ223+(Sheet1!CX223-D223)*CFStoMGD,0))</f>
        <v>97.384155506928295</v>
      </c>
      <c r="K223" s="697">
        <f t="shared" si="740"/>
        <v>18.273594351915101</v>
      </c>
      <c r="L223" s="712">
        <f>Sheet1!AA223+Sheet1!AB223-Sheet1!L223+(Sheet1!CW223-F223)*CFStoMGD</f>
        <v>299.29193333332836</v>
      </c>
      <c r="M223" s="712">
        <f t="shared" si="741"/>
        <v>225.0087302389534</v>
      </c>
      <c r="N223" s="712">
        <f>IF(Sheet1!CW223&gt;=F223,MIN(73,MIN(MAX(L223,0),MAX(M223,0))),0)</f>
        <v>73</v>
      </c>
      <c r="O223" s="721">
        <f>Sheet1!AA223+Sheet1!AB223</f>
        <v>64.439999999995052</v>
      </c>
      <c r="P223" s="721">
        <f t="shared" si="742"/>
        <v>99.688679999992345</v>
      </c>
      <c r="Q223" s="712">
        <f>MIN(N223,Sheet1!AA223+AG223)</f>
        <v>49.515711159730778</v>
      </c>
      <c r="R223" s="712">
        <f t="shared" si="743"/>
        <v>15</v>
      </c>
      <c r="S223" s="721">
        <f>Sheet1!Y223*MGDtoCFS</f>
        <v>63.009309999999992</v>
      </c>
      <c r="T223" s="721">
        <f>Sheet1!Z223*MGDtoCFS</f>
        <v>31.063759999999995</v>
      </c>
      <c r="U223" s="721">
        <f>Sheet1!AA223*MGDtoCFS</f>
        <v>63.922039999988293</v>
      </c>
      <c r="V223" s="721">
        <f>Sheet1!AB223*MGDtoCFS</f>
        <v>35.766640000004053</v>
      </c>
      <c r="W223" s="721">
        <f>Sheet1!L223*MGDtoCFS</f>
        <v>0</v>
      </c>
      <c r="X223" s="697">
        <f t="shared" si="744"/>
        <v>0</v>
      </c>
      <c r="Y223" s="712">
        <f t="shared" si="745"/>
        <v>0</v>
      </c>
      <c r="Z223" s="712">
        <f t="shared" si="746"/>
        <v>0</v>
      </c>
      <c r="AA223" s="712">
        <f t="shared" si="747"/>
        <v>0</v>
      </c>
      <c r="AB223" s="712">
        <f>(VLOOKUP(Sheet1!CY223,hhdcap_wcm,4)-(((VLOOKUP(Sheet1!CY223,hhdcap_wcm,3)-Sheet1!CY223)/(VLOOKUP(Sheet1!CY223,hhdcap_wcm,3)-VLOOKUP(Sheet1!CY223,hhdcap_wcm,1)))*(VLOOKUP(Sheet1!CY223,hhdcap_wcm,4)-VLOOKUP(Sheet1!CY223,hhdcap_wcm,2))))</f>
        <v>41044.920000099723</v>
      </c>
      <c r="AC223" s="712">
        <f t="shared" si="748"/>
        <v>-154.80000000023574</v>
      </c>
      <c r="AD223" s="712">
        <f t="shared" si="749"/>
        <v>3259.4524119947846</v>
      </c>
      <c r="AE223" s="712">
        <f t="shared" si="750"/>
        <v>10000</v>
      </c>
      <c r="AF223" s="712">
        <f>Sheet1!BA223+Sheet1!BB223+Sheet1!BN223+BT223</f>
        <v>8.1</v>
      </c>
      <c r="AG223" s="712">
        <f t="shared" si="751"/>
        <v>8.1957111597383463</v>
      </c>
      <c r="AH223" s="712">
        <f>Sheet1!BA223+BT223</f>
        <v>0</v>
      </c>
      <c r="AI223" s="712">
        <f>Sheet1!BA223+Sheet1!BB223+BT223</f>
        <v>0</v>
      </c>
      <c r="AJ223" s="712">
        <f>IF((Sheet1!AA223+AG223+AX223+AZ223+BQ223+BS223+CL223+CN223)&lt;=N223,AG223+AX223+AZ223+BQ223+BS223+CL223+CN223,N223-Sheet1!AA223)</f>
        <v>8.1957111597383463</v>
      </c>
      <c r="AK223" s="712">
        <f>IF(DR223&lt;K223,0,MAX(Sheet1!AA223+AG223-15/36*K223-N223,Sheet1!ED223,0))</f>
        <v>0</v>
      </c>
      <c r="AL223" s="712">
        <f>IF(OR(B223&gt;=FT223,B223&lt;FS223),0,15/36*K223-MAX(0,64.6-(137.6-(Sheet1!AA223+Sheet1!AB223))))</f>
        <v>0</v>
      </c>
      <c r="AM223" s="712">
        <f>Sheet1!CX223-110</f>
        <v>222.27083333333331</v>
      </c>
      <c r="AN223" s="712">
        <f>Sheet1!CW223-265</f>
        <v>348.32291666666663</v>
      </c>
      <c r="AO223" s="712">
        <f t="shared" si="733"/>
        <v>23.484288840269222</v>
      </c>
      <c r="AP223" s="712">
        <f t="shared" si="752"/>
        <v>0</v>
      </c>
      <c r="AQ223" s="712">
        <f t="shared" si="753"/>
        <v>0</v>
      </c>
      <c r="AR223" s="712">
        <f t="shared" si="754"/>
        <v>1358.1051716644936</v>
      </c>
      <c r="AS223" s="712"/>
      <c r="AT223" s="712">
        <f ca="1">IF(B223&gt;Summary!$A$1,#N/A,AR223*MGtoAF)</f>
        <v>4166.6666666666661</v>
      </c>
      <c r="AU223" s="712">
        <f>Sheet1!BG223+Sheet1!BH223+Sheet1!BI223-BC223</f>
        <v>1.6</v>
      </c>
      <c r="AV223" s="712">
        <f t="shared" si="755"/>
        <v>1.6189059080964638</v>
      </c>
      <c r="AW223" s="712">
        <f>IF(Sheet1!EL223="FM",BC223,0)</f>
        <v>0</v>
      </c>
      <c r="AX223" s="712">
        <f t="shared" si="756"/>
        <v>0</v>
      </c>
      <c r="AY223" s="712">
        <f>IF(Sheet1!EL223="OTHER",BC223,0)</f>
        <v>0</v>
      </c>
      <c r="AZ223" s="712">
        <f t="shared" si="757"/>
        <v>0</v>
      </c>
      <c r="BA223" s="712">
        <f t="shared" si="758"/>
        <v>1.6</v>
      </c>
      <c r="BB223" s="712">
        <f t="shared" si="759"/>
        <v>1.6189059080964638</v>
      </c>
      <c r="BC223" s="712">
        <f>IF(OR(Sheet1!EL223="FM", Sheet1!EL223="OTHER"),SUM(Sheet1!BG223:'Sheet1'!BI223),0)</f>
        <v>0</v>
      </c>
      <c r="BD223" s="697">
        <f>IF(AND($B223&gt;=$FL223,$B223&lt;=$FM223),MAX(AV223,Sheet1!EE223,0),MAX(AV223-(7/36)*$K223,0))</f>
        <v>0</v>
      </c>
      <c r="BE223" s="712">
        <f t="shared" si="760"/>
        <v>0</v>
      </c>
      <c r="BF223" s="697">
        <f t="shared" si="761"/>
        <v>1.6189059080964638</v>
      </c>
      <c r="BG223" s="697">
        <f>IF(AND($O223&gt;0,Sheet1!EI223=1),(1-($O223-Sheet1!$L223)/$O223)*BB223,0)</f>
        <v>0</v>
      </c>
      <c r="BH223" s="697">
        <f>IF(AND(Sheet1!$L223=0,Sheet1!$L222=0, Calculation!BA223&lt;Sheet1!$EE223-0.1,Sheet1!$EE223=Sheet1!$EE222,Sheet1!$EE223=Sheet1!$EE224),Sheet1!$EE223,BB223-BG223)</f>
        <v>2</v>
      </c>
      <c r="BI223" s="712"/>
      <c r="BJ223" s="712"/>
      <c r="BK223" s="712">
        <f t="shared" si="762"/>
        <v>633.7824134434303</v>
      </c>
      <c r="BL223" s="712"/>
      <c r="BM223" s="712">
        <f ca="1">IF(B223&gt;Summary!$A$1,#N/A,BK223*MGtoAF)</f>
        <v>1944.4444444444441</v>
      </c>
      <c r="BN223" s="712">
        <f>Sheet1!BC223+Sheet1!BD223+Sheet1!BE223+Sheet1!BF223-BW223-BX223</f>
        <v>3.1100000000000003</v>
      </c>
      <c r="BO223" s="712">
        <f t="shared" si="763"/>
        <v>3.1467483588625016</v>
      </c>
      <c r="BP223" s="712">
        <f>IF(Sheet1!EM223="FM",BX223,0)</f>
        <v>0</v>
      </c>
      <c r="BQ223" s="712">
        <f t="shared" si="764"/>
        <v>0</v>
      </c>
      <c r="BR223" s="712">
        <f>IF(Sheet1!EM223="OTHER",BX223,0)</f>
        <v>0</v>
      </c>
      <c r="BS223" s="712">
        <f t="shared" si="765"/>
        <v>0</v>
      </c>
      <c r="BT223" s="712">
        <f t="shared" si="766"/>
        <v>0</v>
      </c>
      <c r="BU223" s="712">
        <f t="shared" si="767"/>
        <v>3.1100000000000003</v>
      </c>
      <c r="BV223" s="712">
        <f t="shared" si="768"/>
        <v>3.1467483588625016</v>
      </c>
      <c r="BW223" s="712">
        <f>IF(Sheet1!EM223="CWA",SUM(Sheet1!BC223:'Sheet1'!BF223),0)</f>
        <v>0</v>
      </c>
      <c r="BX223" s="712">
        <f>IF(OR(Sheet1!EM223="FM", Sheet1!EM223="OTHER"),SUM(Sheet1!BC223:'Sheet1'!BF223),0)</f>
        <v>0</v>
      </c>
      <c r="BY223" s="697">
        <f>IF(AND($B223&gt;=$FL223,$B223&lt;=$FM223),MAX(BV223,Sheet1!EF223,0),MAX(BV223-(7/36)*$K223,0))</f>
        <v>0</v>
      </c>
      <c r="BZ223" s="712">
        <f t="shared" si="769"/>
        <v>0</v>
      </c>
      <c r="CA223" s="697">
        <f t="shared" si="770"/>
        <v>3.1467483588625016</v>
      </c>
      <c r="CB223" s="697">
        <f>IF(AND($O223&gt;0,Sheet1!EJ223=1),(1-($O223-Sheet1!$L223)/$O223)*BV223,0)</f>
        <v>0</v>
      </c>
      <c r="CC223" s="697">
        <f>IF(AND(Sheet1!$L223=0,Sheet1!$L222=0, Calculation!BU223&lt;Sheet1!EF223-0.1,Sheet1!EF223=Sheet1!EF222,Sheet1!EF223=Sheet1!EF224),Sheet1!EF223,BV223-CB223)</f>
        <v>3.1467483588625016</v>
      </c>
      <c r="CD223" s="697"/>
      <c r="CE223" s="712"/>
      <c r="CF223" s="712">
        <f t="shared" si="771"/>
        <v>633.7824134434303</v>
      </c>
      <c r="CG223" s="712"/>
      <c r="CH223" s="712">
        <f ca="1">IF(B223&gt;Summary!$A$1,#N/A,CF223*MGtoAF)</f>
        <v>1944.4444444444441</v>
      </c>
      <c r="CI223" s="712">
        <f>Sheet1!BK223+Sheet1!BL223+Sheet1!BM223-Sheet1!EN223-CQ223</f>
        <v>10.039999999999999</v>
      </c>
      <c r="CJ223" s="712">
        <f t="shared" si="772"/>
        <v>10.158634573305308</v>
      </c>
      <c r="CK223" s="712">
        <f>IF(Sheet1!EN223="FM",CQ223,0)</f>
        <v>0</v>
      </c>
      <c r="CL223" s="712">
        <f t="shared" si="773"/>
        <v>0</v>
      </c>
      <c r="CM223" s="712">
        <f>IF(Sheet1!EN223="OTHER",CQ223,0)</f>
        <v>0</v>
      </c>
      <c r="CN223" s="712">
        <f t="shared" si="774"/>
        <v>0</v>
      </c>
      <c r="CO223" s="712">
        <f t="shared" si="775"/>
        <v>10.039999999999999</v>
      </c>
      <c r="CP223" s="712">
        <f t="shared" si="776"/>
        <v>10.158634573305308</v>
      </c>
      <c r="CQ223" s="712">
        <f>IF(OR(Sheet1!EN223="FM", Sheet1!EN223="OTHER"),SUM(Sheet1!BK223:'Sheet1'!BM223),0)</f>
        <v>0</v>
      </c>
      <c r="CR223" s="800">
        <f t="shared" si="736"/>
        <v>0</v>
      </c>
      <c r="CS223" s="712">
        <f t="shared" si="777"/>
        <v>0</v>
      </c>
      <c r="CT223" s="697">
        <f t="shared" si="778"/>
        <v>10.158634573305308</v>
      </c>
      <c r="CU223" s="697">
        <f>IF(AND($O223&gt;0,Sheet1!EK223=1),(1-($O223-Sheet1!$L223)/$O223)*CP223,0)</f>
        <v>0</v>
      </c>
      <c r="CV223" s="697">
        <f>IF(AND(Sheet1!$L223=0,Sheet1!$L222=0, Calculation!CO223&lt;Sheet1!$EG223-0.1,Sheet1!$EG223=Sheet1!$EG222,Sheet1!$EG223=Sheet1!$EG224),Sheet1!$EG223,CP223-CU223)</f>
        <v>10.158634573305308</v>
      </c>
      <c r="CW223" s="697">
        <f t="shared" si="721"/>
        <v>0</v>
      </c>
      <c r="CX223" s="712">
        <f t="shared" si="779"/>
        <v>14.75</v>
      </c>
      <c r="CY223" s="712">
        <f t="shared" si="780"/>
        <v>633.7824134434303</v>
      </c>
      <c r="CZ223" s="712">
        <f t="shared" si="781"/>
        <v>14.924288840264275</v>
      </c>
      <c r="DA223" s="712">
        <f ca="1">IF(B223&gt;Summary!$A$1,#N/A,CY223*MGtoAF)</f>
        <v>1944.4444444444441</v>
      </c>
      <c r="DB223" s="712">
        <f t="shared" si="782"/>
        <v>14.749999999999998</v>
      </c>
      <c r="DC223" s="712">
        <f t="shared" si="783"/>
        <v>22.849999999999998</v>
      </c>
      <c r="DD223" s="712">
        <f>Sheet1!AB223-DC223</f>
        <v>0.27000000000262148</v>
      </c>
      <c r="DE223" s="712">
        <f t="shared" si="784"/>
        <v>1.1816192560289781E-2</v>
      </c>
      <c r="DF223" s="712">
        <f>(VLOOKUP(Sheet1!CY223,hhdcap_wcm,4)-(((VLOOKUP(Sheet1!CY223,hhdcap_wcm,3)-Sheet1!CY223)/(VLOOKUP(Sheet1!CY223,hhdcap_wcm,3)-VLOOKUP(Sheet1!CY223,hhdcap_wcm,1)))*(VLOOKUP(Sheet1!CY223,hhdcap_wcm,4)-VLOOKUP(Sheet1!CY223,hhdcap_wcm,2))))</f>
        <v>41044.920000099723</v>
      </c>
      <c r="DG223" s="712">
        <f t="shared" si="785"/>
        <v>-154.80000000023574</v>
      </c>
      <c r="DH223" s="712">
        <f t="shared" si="786"/>
        <v>-78.063540090890427</v>
      </c>
      <c r="DI223" s="712">
        <f>Sheet1!DW223*AFtoMG</f>
        <v>0</v>
      </c>
      <c r="DJ223" s="712">
        <f>Sheet1!DX223*AFtoMG</f>
        <v>0</v>
      </c>
      <c r="DK223" s="712">
        <f>Sheet1!DY223*AFtoMG</f>
        <v>0</v>
      </c>
      <c r="DL223" s="712">
        <f>Sheet1!DZ223*AFtoMG</f>
        <v>0</v>
      </c>
      <c r="DM223" s="712">
        <f t="shared" si="787"/>
        <v>0</v>
      </c>
      <c r="DN223" s="712">
        <f t="shared" si="788"/>
        <v>0</v>
      </c>
      <c r="DO223" s="712">
        <f t="shared" si="789"/>
        <v>3259.4524119947846</v>
      </c>
      <c r="DP223" s="712">
        <f t="shared" si="790"/>
        <v>10000</v>
      </c>
      <c r="DQ223" s="712"/>
      <c r="DR223" s="697">
        <f>IF(OR(B223&lt;FL223,B223&gt;FM223),(MIN(AV223+BO223+CJ223+MAX(Sheet1!AA223+AG223-73,0),K223)),0)</f>
        <v>14.924288840264275</v>
      </c>
      <c r="DS223" s="712"/>
      <c r="DT223" s="712">
        <f t="shared" si="791"/>
        <v>14.924288840264273</v>
      </c>
      <c r="DU223" s="712"/>
      <c r="DV223" s="712">
        <f>Sheet1!ED223+Sheet1!EE223+Sheet1!EF223+Sheet1!EG223</f>
        <v>15</v>
      </c>
      <c r="DW223" s="712"/>
      <c r="DX223" s="697">
        <f t="shared" si="792"/>
        <v>0</v>
      </c>
      <c r="DY223" s="712">
        <f>IF(Sheet1!FN223=1,SUM('Calculations II'!AT223:BA223)+'Calculations II'!BC223+Sheet1!BU223+'Calculations II'!BE223+AF223,SUM('Calculations II'!AT223:BA223)+'Calculations II'!BC223+Sheet1!BU223+'Calculations II'!BE223+AF223)</f>
        <v>59.561872000000001</v>
      </c>
      <c r="DZ223" s="712">
        <f>Sheet1!AA223+Sheet1!AB223+'Calculations II'!BC223</f>
        <v>77.086799999995051</v>
      </c>
      <c r="EA223" s="712"/>
      <c r="EB223" s="712"/>
      <c r="EC223" s="712">
        <f t="shared" si="793"/>
        <v>40752</v>
      </c>
      <c r="ED223" s="712">
        <f t="shared" si="794"/>
        <v>0</v>
      </c>
      <c r="EE223" s="712">
        <f t="shared" si="795"/>
        <v>0</v>
      </c>
      <c r="EF223" s="712">
        <f>-(VLOOKUP(Sheet1!BQ223,Lookup!$B$4:$J$236,2)-VLOOKUP(Sheet1!BQ222,Lookup!$B$4:$J$236,2))/1000000</f>
        <v>2.4277000000000002</v>
      </c>
      <c r="EG223" s="712">
        <f>-(VLOOKUP(Sheet1!BR223,Lookup!$B$4:$J$236,3)-VLOOKUP(Sheet1!BR222,Lookup!$B$4:$J$236,3))/1000000</f>
        <v>2.4232</v>
      </c>
      <c r="EH223" s="712">
        <f>-(VLOOKUP(Sheet1!BS223,Lookup!$B$4:$J$236,4)-VLOOKUP(Sheet1!BS222,Lookup!$B$4:$J$236,4))/1000000</f>
        <v>0</v>
      </c>
      <c r="EI223" s="697">
        <f t="shared" si="796"/>
        <v>4.8509000000000002</v>
      </c>
      <c r="EJ223" s="712"/>
      <c r="EK223" s="712"/>
      <c r="EL223" s="712"/>
      <c r="EM223" s="712"/>
      <c r="EN223" s="712"/>
      <c r="EO223" s="712"/>
      <c r="EP223" s="712"/>
      <c r="EQ223" s="712"/>
      <c r="ET223" s="794">
        <f t="shared" si="720"/>
        <v>1137.3</v>
      </c>
      <c r="EU223" s="697">
        <v>8785</v>
      </c>
      <c r="EV223" s="795">
        <f t="shared" si="734"/>
        <v>21039.920000099723</v>
      </c>
      <c r="EW223" s="796" t="s">
        <v>757</v>
      </c>
      <c r="EX223" s="796" t="s">
        <v>757</v>
      </c>
      <c r="EY223" s="712">
        <v>0</v>
      </c>
      <c r="EZ223" s="798">
        <v>22618.000000053886</v>
      </c>
      <c r="FA223" s="712"/>
      <c r="FB223" s="712"/>
      <c r="FC223" s="712"/>
      <c r="FD223" s="712"/>
      <c r="FE223" s="712">
        <f>O223+Sheet1!CO223</f>
        <v>8846.9399999999951</v>
      </c>
      <c r="FF223" s="712">
        <f>IF(Sheet1!AA223+AG223&lt;=Calculation!N223,AG223,Calculation!N223-Sheet1!AA223)</f>
        <v>8.1957111597383463</v>
      </c>
      <c r="FG223" s="712">
        <f>(Sheet1!BP223+Sheet1!BO223)/694.4</f>
        <v>3.7641129032258069</v>
      </c>
      <c r="FH223" s="712"/>
      <c r="FI223" s="712"/>
      <c r="FJ223" s="712"/>
      <c r="FK223" s="712"/>
      <c r="FL223" s="714">
        <f t="shared" si="726"/>
        <v>40753</v>
      </c>
      <c r="FM223" s="714">
        <f t="shared" si="727"/>
        <v>40851</v>
      </c>
      <c r="FN223" s="712"/>
      <c r="FO223" s="712"/>
      <c r="FP223" s="712"/>
      <c r="FQ223" s="712"/>
      <c r="FR223" s="712"/>
      <c r="FS223" s="725">
        <f t="shared" si="735"/>
        <v>40603</v>
      </c>
      <c r="FT223" s="714">
        <f t="shared" si="729"/>
        <v>40709</v>
      </c>
      <c r="FU223" s="712">
        <f t="shared" si="735"/>
        <v>6518.9048239895692</v>
      </c>
      <c r="FV223" s="714">
        <f t="shared" si="730"/>
        <v>40722</v>
      </c>
      <c r="FW223" s="712">
        <f t="shared" si="735"/>
        <v>3259.4524119947846</v>
      </c>
      <c r="FX223" s="725">
        <f t="shared" si="735"/>
        <v>40851</v>
      </c>
      <c r="FZ223" s="697">
        <f t="shared" si="722"/>
        <v>0</v>
      </c>
      <c r="GA223" s="712" t="str">
        <f t="shared" si="797"/>
        <v/>
      </c>
      <c r="GB223" s="712">
        <f t="shared" si="798"/>
        <v>0</v>
      </c>
      <c r="GC223" s="712" t="str">
        <f t="shared" si="799"/>
        <v/>
      </c>
      <c r="GD223" s="712">
        <f>IF(GA223="P",Lookup!$M$12,IF(GA223="PP",Lookup!$M$13,IF(GA223="PPP",Lookup!$M$14,IF(GA223="T",Lookup!$M$15,IF(GA223="TP",Lookup!$M$16,IF(GA223="TPP",Lookup!$M$17,IF(GA223="TPPP",Lookup!$M$18,0)))))))*FZ223</f>
        <v>0</v>
      </c>
      <c r="GE223" s="712">
        <f t="shared" si="800"/>
        <v>0</v>
      </c>
      <c r="GF223" s="712">
        <f t="shared" si="801"/>
        <v>4166.6666666666661</v>
      </c>
      <c r="GG223" s="712">
        <f t="shared" si="802"/>
        <v>1358.1051716644936</v>
      </c>
      <c r="GH223" s="712"/>
      <c r="GI223" s="712">
        <f t="shared" si="803"/>
        <v>0</v>
      </c>
      <c r="GJ223" s="712" t="str">
        <f t="shared" si="804"/>
        <v/>
      </c>
      <c r="GK223" s="712">
        <f>IF(GA223="P",Lookup!$N$12,IF(GA223="PP",Lookup!$N$13,IF(GA223="PPP",Lookup!$N$14,IF(GA223="T",Lookup!$N$15,IF(GA223="TP",Lookup!$N$16,IF(GA223="TPP",Lookup!$N$17,IF(GA223="TPPP",Lookup!$N$18,0)))))))*FZ223</f>
        <v>0</v>
      </c>
      <c r="GL223" s="712">
        <f t="shared" si="805"/>
        <v>0</v>
      </c>
      <c r="GM223" s="712">
        <f t="shared" si="806"/>
        <v>1944.4444444444441</v>
      </c>
      <c r="GN223" s="712">
        <f t="shared" si="807"/>
        <v>633.7824134434303</v>
      </c>
      <c r="GO223" s="712"/>
      <c r="GP223" s="712">
        <f t="shared" si="808"/>
        <v>0</v>
      </c>
      <c r="GQ223" s="712" t="str">
        <f t="shared" si="809"/>
        <v/>
      </c>
      <c r="GR223" s="712">
        <f>IF(GA223="P",Lookup!$N$12,IF(GA223="PP",Lookup!$N$13,IF(GA223="PPP",Lookup!$N$14,IF(GA223="T",Lookup!$N$15,IF(GA223="TP",Lookup!$N$16,IF(GA223="TPP",Lookup!$N$17,IF(GA223="TPPP",Lookup!$N$18,0)))))))*FZ223</f>
        <v>0</v>
      </c>
      <c r="GS223" s="697">
        <f t="shared" si="724"/>
        <v>0</v>
      </c>
      <c r="GT223" s="712">
        <f t="shared" si="810"/>
        <v>1944.4444444444441</v>
      </c>
      <c r="GU223" s="712">
        <f t="shared" si="811"/>
        <v>633.7824134434303</v>
      </c>
      <c r="GV223" s="712"/>
      <c r="GW223" s="712">
        <f t="shared" si="812"/>
        <v>0</v>
      </c>
      <c r="GX223" s="712" t="str">
        <f t="shared" si="813"/>
        <v/>
      </c>
      <c r="GY223" s="712">
        <f>IF(GA223="P",Lookup!$N$12,IF(GA223="PP",Lookup!$N$13,IF(GA223="PPP",Lookup!$N$14,IF(GA223="T",Lookup!$N$15,IF(GA223="TP",Lookup!$N$16,IF(GA223="TPP",Lookup!$N$17,IF(GA223="TPPP",Lookup!$N$18,0)))))))*FZ223</f>
        <v>0</v>
      </c>
      <c r="GZ223" s="697">
        <f t="shared" si="725"/>
        <v>0</v>
      </c>
      <c r="HA223" s="712">
        <f t="shared" si="814"/>
        <v>1944.4444444444441</v>
      </c>
      <c r="HB223" s="712">
        <f t="shared" si="815"/>
        <v>633.7824134434303</v>
      </c>
      <c r="HC223" s="712"/>
    </row>
    <row r="224" spans="1:211">
      <c r="A224" s="773" t="s">
        <v>8</v>
      </c>
      <c r="B224" s="708">
        <v>40753</v>
      </c>
      <c r="C224" s="709">
        <v>0.5</v>
      </c>
      <c r="D224" s="675">
        <f t="shared" si="737"/>
        <v>200</v>
      </c>
      <c r="E224" s="675">
        <f t="shared" si="738"/>
        <v>400</v>
      </c>
      <c r="F224" s="675">
        <v>250</v>
      </c>
      <c r="G224" s="712">
        <f>DH224+Sheet1!CV224</f>
        <v>322.03277861825637</v>
      </c>
      <c r="H224" s="712">
        <f t="shared" si="739"/>
        <v>5.8387880988409195</v>
      </c>
      <c r="I224" s="711">
        <f>MAX(Sheet1!Z224-AJ224+(Sheet1!CW224-E224)*CFStoMGD,0)</f>
        <v>108.45362456140353</v>
      </c>
      <c r="J224" s="720">
        <f>IF(AND(B224&gt;=Calculation!FS224,B224&lt;=Calculation!FT224),IF(Sheet1!CX224&gt;=Calculation!D224,64.64,0),MAX(Sheet1!Z224-AJ224+(Sheet1!CX224-D224)*CFStoMGD,0))</f>
        <v>66.282757894736847</v>
      </c>
      <c r="K224" s="697">
        <f t="shared" si="740"/>
        <v>5.8387880988409195</v>
      </c>
      <c r="L224" s="712">
        <f>Sheet1!AA224+Sheet1!AB224-Sheet1!L224+(Sheet1!CW224-F224)*CFStoMGD</f>
        <v>252.08546666667192</v>
      </c>
      <c r="M224" s="712">
        <f t="shared" si="741"/>
        <v>212.32522786081773</v>
      </c>
      <c r="N224" s="712">
        <f>IF(Sheet1!CW224&gt;=F224,MIN(73,MIN(MAX(L224,0),MAX(M224,0))),0)</f>
        <v>73</v>
      </c>
      <c r="O224" s="721">
        <f>Sheet1!AA224+Sheet1!AB224</f>
        <v>61.990000000005239</v>
      </c>
      <c r="P224" s="721">
        <f t="shared" si="742"/>
        <v>95.898530000008094</v>
      </c>
      <c r="Q224" s="712">
        <f>MIN(N224,Sheet1!AA224+AG224)</f>
        <v>46.851842105268396</v>
      </c>
      <c r="R224" s="712">
        <f t="shared" si="743"/>
        <v>16</v>
      </c>
      <c r="S224" s="721">
        <f>Sheet1!Y224*MGDtoCFS</f>
        <v>62.901019999999988</v>
      </c>
      <c r="T224" s="721">
        <f>Sheet1!Z224*MGDtoCFS</f>
        <v>33.925709999999995</v>
      </c>
      <c r="U224" s="721">
        <f>Sheet1!AA224*MGDtoCFS</f>
        <v>62.251280000008101</v>
      </c>
      <c r="V224" s="721">
        <f>Sheet1!AB224*MGDtoCFS</f>
        <v>33.64725</v>
      </c>
      <c r="W224" s="721">
        <f>Sheet1!L224*MGDtoCFS</f>
        <v>0</v>
      </c>
      <c r="X224" s="697">
        <f t="shared" si="744"/>
        <v>15.299369795895922</v>
      </c>
      <c r="Y224" s="712">
        <f t="shared" si="745"/>
        <v>23.668125074250991</v>
      </c>
      <c r="Z224" s="712">
        <f t="shared" si="746"/>
        <v>0</v>
      </c>
      <c r="AA224" s="712">
        <f t="shared" si="747"/>
        <v>0</v>
      </c>
      <c r="AB224" s="712">
        <f>(VLOOKUP(Sheet1!CY224,hhdcap_wcm,4)-(((VLOOKUP(Sheet1!CY224,hhdcap_wcm,3)-Sheet1!CY224)/(VLOOKUP(Sheet1!CY224,hhdcap_wcm,3)-VLOOKUP(Sheet1!CY224,hhdcap_wcm,1)))*(VLOOKUP(Sheet1!CY224,hhdcap_wcm,4)-VLOOKUP(Sheet1!CY224,hhdcap_wcm,2))))</f>
        <v>40962.360000099725</v>
      </c>
      <c r="AC224" s="712">
        <f t="shared" si="748"/>
        <v>-82.559999999997672</v>
      </c>
      <c r="AD224" s="712">
        <f t="shared" si="749"/>
        <v>3244.1530421988887</v>
      </c>
      <c r="AE224" s="712">
        <f t="shared" si="750"/>
        <v>9953.0615334661907</v>
      </c>
      <c r="AF224" s="712">
        <f>Sheet1!BA224+Sheet1!BB224+Sheet1!BN224+BT224</f>
        <v>6.7</v>
      </c>
      <c r="AG224" s="712">
        <f t="shared" si="751"/>
        <v>6.6118421052631584</v>
      </c>
      <c r="AH224" s="712">
        <f>Sheet1!BA224+BT224</f>
        <v>0</v>
      </c>
      <c r="AI224" s="712">
        <f>Sheet1!BA224+Sheet1!BB224+BT224</f>
        <v>0</v>
      </c>
      <c r="AJ224" s="712">
        <f>IF((Sheet1!AA224+AG224+AX224+AZ224+BQ224+BS224+CL224+CN224)&lt;=N224,AG224+AX224+AZ224+BQ224+BS224+CL224+CN224,N224-Sheet1!AA224)</f>
        <v>6.6118421052631584</v>
      </c>
      <c r="AK224" s="712">
        <f>IF(DR224&lt;K224,0,MAX(Sheet1!AA224+AG224-15/36*K224-N224,Sheet1!ED224,0))</f>
        <v>0</v>
      </c>
      <c r="AL224" s="712">
        <f>IF(OR(B224&gt;=FT224,B224&lt;FS224),0,15/36*K224-MAX(0,64.6-(137.6-(Sheet1!AA224+Sheet1!AB224))))</f>
        <v>0</v>
      </c>
      <c r="AM224" s="712">
        <f>Sheet1!CX224-110</f>
        <v>168.84375</v>
      </c>
      <c r="AN224" s="712">
        <f>Sheet1!CW224-265</f>
        <v>279.08333333333337</v>
      </c>
      <c r="AO224" s="712">
        <f t="shared" si="733"/>
        <v>26.148157894731604</v>
      </c>
      <c r="AP224" s="712">
        <f t="shared" si="752"/>
        <v>0</v>
      </c>
      <c r="AQ224" s="712">
        <f t="shared" si="753"/>
        <v>0</v>
      </c>
      <c r="AR224" s="712">
        <f t="shared" si="754"/>
        <v>1358.1051716644936</v>
      </c>
      <c r="AS224" s="712"/>
      <c r="AT224" s="712">
        <f ca="1">IF(B224&gt;Summary!$A$1,#N/A,AR224*MGtoAF)</f>
        <v>4166.6666666666661</v>
      </c>
      <c r="AU224" s="712">
        <f>Sheet1!BG224+Sheet1!BH224+Sheet1!BI224-BC224</f>
        <v>1.59</v>
      </c>
      <c r="AV224" s="712">
        <f t="shared" si="755"/>
        <v>1.5690789473684212</v>
      </c>
      <c r="AW224" s="712">
        <f>IF(Sheet1!EL224="FM",BC224,0)</f>
        <v>0</v>
      </c>
      <c r="AX224" s="712">
        <f t="shared" si="756"/>
        <v>0</v>
      </c>
      <c r="AY224" s="712">
        <f>IF(Sheet1!EL224="OTHER",BC224,0)</f>
        <v>0</v>
      </c>
      <c r="AZ224" s="712">
        <f t="shared" si="757"/>
        <v>0</v>
      </c>
      <c r="BA224" s="712">
        <f t="shared" si="758"/>
        <v>1.59</v>
      </c>
      <c r="BB224" s="712">
        <f t="shared" si="759"/>
        <v>1.5690789473684212</v>
      </c>
      <c r="BC224" s="712">
        <f>IF(OR(Sheet1!EL224="FM", Sheet1!EL224="OTHER"),SUM(Sheet1!BG224:'Sheet1'!BI224),0)</f>
        <v>0</v>
      </c>
      <c r="BD224" s="697">
        <f>IF(AND($B224&gt;=$FL224,$B224&lt;=$FM224),MAX(AV224,Sheet1!EE224,0),MAX(AV224-(7/36)*$K224,0))</f>
        <v>2</v>
      </c>
      <c r="BE224" s="712">
        <f t="shared" si="760"/>
        <v>0</v>
      </c>
      <c r="BF224" s="697">
        <f t="shared" si="761"/>
        <v>0</v>
      </c>
      <c r="BG224" s="697">
        <f>IF(AND($O224&gt;0,Sheet1!EI224=1),(1-($O224-Sheet1!$L224)/$O224)*BB224,0)</f>
        <v>0</v>
      </c>
      <c r="BH224" s="697">
        <f>IF(AND(Sheet1!$L224=0,Sheet1!$L223=0, Calculation!BA224&lt;Sheet1!$EE224-0.1,Sheet1!$EE224=Sheet1!$EE223,Sheet1!$EE224=Sheet1!$EE225),Sheet1!$EE224,BB224-BG224)</f>
        <v>2</v>
      </c>
      <c r="BI224" s="712"/>
      <c r="BJ224" s="712"/>
      <c r="BK224" s="712">
        <f t="shared" si="762"/>
        <v>631.7824134434303</v>
      </c>
      <c r="BL224" s="712"/>
      <c r="BM224" s="712">
        <f ca="1">IF(B224&gt;Summary!$A$1,#N/A,BK224*MGtoAF)</f>
        <v>1938.3084444444441</v>
      </c>
      <c r="BN224" s="712">
        <f>Sheet1!BC224+Sheet1!BD224+Sheet1!BE224+Sheet1!BF224-BW224-BX224</f>
        <v>3.71</v>
      </c>
      <c r="BO224" s="712">
        <f t="shared" si="763"/>
        <v>3.6611842105263159</v>
      </c>
      <c r="BP224" s="712">
        <f>IF(Sheet1!EM224="FM",BX224,0)</f>
        <v>0</v>
      </c>
      <c r="BQ224" s="712">
        <f t="shared" si="764"/>
        <v>0</v>
      </c>
      <c r="BR224" s="712">
        <f>IF(Sheet1!EM224="OTHER",BX224,0)</f>
        <v>0</v>
      </c>
      <c r="BS224" s="712">
        <f t="shared" si="765"/>
        <v>0</v>
      </c>
      <c r="BT224" s="712">
        <f t="shared" si="766"/>
        <v>0</v>
      </c>
      <c r="BU224" s="712">
        <f t="shared" si="767"/>
        <v>3.71</v>
      </c>
      <c r="BV224" s="712">
        <f t="shared" si="768"/>
        <v>3.6611842105263159</v>
      </c>
      <c r="BW224" s="712">
        <f>IF(Sheet1!EM224="CWA",SUM(Sheet1!BC224:'Sheet1'!BF224),0)</f>
        <v>0</v>
      </c>
      <c r="BX224" s="712">
        <f>IF(OR(Sheet1!EM224="FM", Sheet1!EM224="OTHER"),SUM(Sheet1!BC224:'Sheet1'!BF224),0)</f>
        <v>0</v>
      </c>
      <c r="BY224" s="697">
        <f>IF(AND($B224&gt;=$FL224,$B224&lt;=$FM224),MAX(BV224,Sheet1!EF224,0),MAX(BV224-(7/36)*$K224,0))</f>
        <v>4</v>
      </c>
      <c r="BZ224" s="712">
        <f t="shared" si="769"/>
        <v>0</v>
      </c>
      <c r="CA224" s="697">
        <f t="shared" si="770"/>
        <v>0</v>
      </c>
      <c r="CB224" s="697">
        <f>IF(AND($O224&gt;0,Sheet1!EJ224=1),(1-($O224-Sheet1!$L224)/$O224)*BV224,0)</f>
        <v>0</v>
      </c>
      <c r="CC224" s="697">
        <f>IF(AND(Sheet1!$L224=0,Sheet1!$L223=0, Calculation!BU224&lt;Sheet1!EF224-0.1,Sheet1!EF224=Sheet1!EF223,Sheet1!EF224=Sheet1!EF225),Sheet1!EF224,BV224-CB224)</f>
        <v>3.6611842105263159</v>
      </c>
      <c r="CD224" s="697"/>
      <c r="CE224" s="712"/>
      <c r="CF224" s="712">
        <f t="shared" si="771"/>
        <v>629.7824134434303</v>
      </c>
      <c r="CG224" s="712"/>
      <c r="CH224" s="712">
        <f ca="1">IF(B224&gt;Summary!$A$1,#N/A,CF224*MGtoAF)</f>
        <v>1932.1724444444442</v>
      </c>
      <c r="CI224" s="712">
        <f>Sheet1!BK224+Sheet1!BL224+Sheet1!BM224-Sheet1!EN224-CQ224</f>
        <v>10.039999999999999</v>
      </c>
      <c r="CJ224" s="712">
        <f t="shared" si="772"/>
        <v>9.9078947368421044</v>
      </c>
      <c r="CK224" s="712">
        <f>IF(Sheet1!EN224="FM",CQ224,0)</f>
        <v>0</v>
      </c>
      <c r="CL224" s="712">
        <f t="shared" si="773"/>
        <v>0</v>
      </c>
      <c r="CM224" s="712">
        <f>IF(Sheet1!EN224="OTHER",CQ224,0)</f>
        <v>0</v>
      </c>
      <c r="CN224" s="712">
        <f t="shared" si="774"/>
        <v>0</v>
      </c>
      <c r="CO224" s="712">
        <f t="shared" si="775"/>
        <v>10.039999999999999</v>
      </c>
      <c r="CP224" s="712">
        <f t="shared" si="776"/>
        <v>9.9078947368421044</v>
      </c>
      <c r="CQ224" s="712">
        <f>IF(OR(Sheet1!EN224="FM", Sheet1!EN224="OTHER"),SUM(Sheet1!BK224:'Sheet1'!BM224),0)</f>
        <v>0</v>
      </c>
      <c r="CR224" s="800">
        <f t="shared" si="736"/>
        <v>9.2993697958959221</v>
      </c>
      <c r="CS224" s="712">
        <f t="shared" si="777"/>
        <v>0</v>
      </c>
      <c r="CT224" s="697">
        <f t="shared" si="778"/>
        <v>0.60852494094618237</v>
      </c>
      <c r="CU224" s="697">
        <f>IF(AND($O224&gt;0,Sheet1!EK224=1),(1-($O224-Sheet1!$L224)/$O224)*CP224,0)</f>
        <v>0</v>
      </c>
      <c r="CV224" s="697">
        <f>IF(AND(Sheet1!$L224=0,Sheet1!$L223=0, Calculation!CO224&lt;Sheet1!$EG224-0.1,Sheet1!$EG224=Sheet1!$EG223,Sheet1!$EG224=Sheet1!$EG225),Sheet1!$EG224,CP224-CU224)</f>
        <v>9.9078947368421044</v>
      </c>
      <c r="CW224" s="697">
        <f t="shared" si="721"/>
        <v>0</v>
      </c>
      <c r="CX224" s="712">
        <f t="shared" si="779"/>
        <v>15.34</v>
      </c>
      <c r="CY224" s="712">
        <f t="shared" si="780"/>
        <v>624.48304364753437</v>
      </c>
      <c r="CZ224" s="712">
        <f t="shared" si="781"/>
        <v>15.138157894736842</v>
      </c>
      <c r="DA224" s="712">
        <f ca="1">IF(B224&gt;Summary!$A$1,#N/A,CY224*MGtoAF)</f>
        <v>1915.9139779106356</v>
      </c>
      <c r="DB224" s="712">
        <f t="shared" si="782"/>
        <v>15.34</v>
      </c>
      <c r="DC224" s="712">
        <f t="shared" si="783"/>
        <v>22.04</v>
      </c>
      <c r="DD224" s="712">
        <f>Sheet1!AB224-DC224</f>
        <v>-0.28999999999999915</v>
      </c>
      <c r="DE224" s="712">
        <f t="shared" si="784"/>
        <v>-1.3157894736842066E-2</v>
      </c>
      <c r="DF224" s="712">
        <f>(VLOOKUP(Sheet1!CY224,hhdcap_wcm,4)-(((VLOOKUP(Sheet1!CY224,hhdcap_wcm,3)-Sheet1!CY224)/(VLOOKUP(Sheet1!CY224,hhdcap_wcm,3)-VLOOKUP(Sheet1!CY224,hhdcap_wcm,1)))*(VLOOKUP(Sheet1!CY224,hhdcap_wcm,4)-VLOOKUP(Sheet1!CY224,hhdcap_wcm,2))))</f>
        <v>40962.360000099725</v>
      </c>
      <c r="DG224" s="712">
        <f t="shared" si="785"/>
        <v>-82.559999999997672</v>
      </c>
      <c r="DH224" s="712">
        <f t="shared" si="786"/>
        <v>-41.63388804841032</v>
      </c>
      <c r="DI224" s="712">
        <f>Sheet1!DW224*AFtoMG</f>
        <v>0</v>
      </c>
      <c r="DJ224" s="712">
        <f>Sheet1!DX224*AFtoMG</f>
        <v>0</v>
      </c>
      <c r="DK224" s="712">
        <f>Sheet1!DY224*AFtoMG</f>
        <v>0</v>
      </c>
      <c r="DL224" s="712">
        <f>Sheet1!DZ224*AFtoMG</f>
        <v>0</v>
      </c>
      <c r="DM224" s="712">
        <f t="shared" si="787"/>
        <v>0</v>
      </c>
      <c r="DN224" s="712">
        <f t="shared" si="788"/>
        <v>0</v>
      </c>
      <c r="DO224" s="712">
        <f t="shared" si="789"/>
        <v>3244.1530421988887</v>
      </c>
      <c r="DP224" s="712">
        <f t="shared" si="790"/>
        <v>9953.0615334661907</v>
      </c>
      <c r="DQ224" s="712"/>
      <c r="DR224" s="697">
        <f>IF(OR(B224&lt;FL224,B224&gt;FM224),(MIN(AV224+BO224+CJ224+MAX(Sheet1!AA224+AG224-73,0),K224)),0)</f>
        <v>0</v>
      </c>
      <c r="DS224" s="712"/>
      <c r="DT224" s="712">
        <f t="shared" si="791"/>
        <v>15.138157894736842</v>
      </c>
      <c r="DU224" s="712"/>
      <c r="DV224" s="712">
        <f>Sheet1!ED224+Sheet1!EE224+Sheet1!EF224+Sheet1!EG224</f>
        <v>16</v>
      </c>
      <c r="DW224" s="712"/>
      <c r="DX224" s="697">
        <v>0</v>
      </c>
      <c r="DY224" s="712">
        <f>IF(Sheet1!FN224=1,SUM('Calculations II'!AT224:BA224)+'Calculations II'!BC224+Sheet1!BU224+'Calculations II'!BE224+AF224,SUM('Calculations II'!AT224:BA224)+'Calculations II'!BC224+Sheet1!BU224+'Calculations II'!BE224+AF224)</f>
        <v>65.657200000000003</v>
      </c>
      <c r="DZ224" s="712">
        <f>Sheet1!AA224+Sheet1!AB224+'Calculations II'!BC224</f>
        <v>77.888608000005235</v>
      </c>
      <c r="EA224" s="712"/>
      <c r="EB224" s="712"/>
      <c r="EC224" s="712">
        <f t="shared" si="793"/>
        <v>40753</v>
      </c>
      <c r="ED224" s="712">
        <f t="shared" si="794"/>
        <v>-15.299369795895922</v>
      </c>
      <c r="EE224" s="712">
        <f t="shared" si="795"/>
        <v>-23.668125074250991</v>
      </c>
      <c r="EF224" s="712">
        <f>-(VLOOKUP(Sheet1!BQ224,Lookup!$B$4:$J$236,2)-VLOOKUP(Sheet1!BQ223,Lookup!$B$4:$J$236,2))/1000000</f>
        <v>-1.0751999999999999</v>
      </c>
      <c r="EG224" s="712">
        <f>-(VLOOKUP(Sheet1!BR224,Lookup!$B$4:$J$236,3)-VLOOKUP(Sheet1!BR223,Lookup!$B$4:$J$236,3))/1000000</f>
        <v>-1.0731999999999999</v>
      </c>
      <c r="EH224" s="712">
        <f>-(VLOOKUP(Sheet1!BS224,Lookup!$B$4:$J$236,4)-VLOOKUP(Sheet1!BS223,Lookup!$B$4:$J$236,4))/1000000</f>
        <v>0</v>
      </c>
      <c r="EI224" s="697">
        <f t="shared" si="796"/>
        <v>-2.1483999999999996</v>
      </c>
      <c r="EJ224" s="712"/>
      <c r="EK224" s="712"/>
      <c r="EL224" s="712"/>
      <c r="EM224" s="712"/>
      <c r="EN224" s="712"/>
      <c r="EO224" s="712"/>
      <c r="EP224" s="712"/>
      <c r="EQ224" s="712"/>
      <c r="ET224" s="794">
        <f t="shared" si="720"/>
        <v>1137.2</v>
      </c>
      <c r="EU224" s="697">
        <v>8785</v>
      </c>
      <c r="EV224" s="795">
        <f t="shared" si="734"/>
        <v>21004.298466633532</v>
      </c>
      <c r="EW224" s="796" t="s">
        <v>757</v>
      </c>
      <c r="EX224" s="796" t="s">
        <v>757</v>
      </c>
      <c r="EY224" s="712">
        <v>0</v>
      </c>
      <c r="EZ224" s="798">
        <v>22548.500000053729</v>
      </c>
      <c r="FA224" s="712"/>
      <c r="FB224" s="712"/>
      <c r="FC224" s="712"/>
      <c r="FD224" s="712"/>
      <c r="FE224" s="712">
        <f>O224+Sheet1!CO224</f>
        <v>11102.690000000006</v>
      </c>
      <c r="FF224" s="712">
        <f>IF(Sheet1!AA224+AG224&lt;=Calculation!N224,AG224,Calculation!N224-Sheet1!AA224)</f>
        <v>6.6118421052631584</v>
      </c>
      <c r="FG224" s="712">
        <f>(Sheet1!BP224+Sheet1!BO224)/694.4</f>
        <v>4.3109158986175116</v>
      </c>
      <c r="FH224" s="712"/>
      <c r="FI224" s="712"/>
      <c r="FJ224" s="712"/>
      <c r="FK224" s="712"/>
      <c r="FL224" s="714">
        <f t="shared" si="726"/>
        <v>40753</v>
      </c>
      <c r="FM224" s="714">
        <f t="shared" si="727"/>
        <v>40851</v>
      </c>
      <c r="FN224" s="712"/>
      <c r="FO224" s="712"/>
      <c r="FP224" s="712"/>
      <c r="FQ224" s="712"/>
      <c r="FR224" s="712"/>
      <c r="FS224" s="725">
        <f t="shared" si="735"/>
        <v>40603</v>
      </c>
      <c r="FT224" s="714">
        <f t="shared" si="729"/>
        <v>40709</v>
      </c>
      <c r="FU224" s="712">
        <f t="shared" si="735"/>
        <v>6518.9048239895692</v>
      </c>
      <c r="FV224" s="714">
        <f t="shared" si="730"/>
        <v>40722</v>
      </c>
      <c r="FW224" s="712">
        <f t="shared" si="735"/>
        <v>3259.4524119947846</v>
      </c>
      <c r="FX224" s="725">
        <f t="shared" si="735"/>
        <v>40851</v>
      </c>
      <c r="FZ224" s="697">
        <f t="shared" si="722"/>
        <v>0</v>
      </c>
      <c r="GA224" s="712" t="str">
        <f t="shared" si="797"/>
        <v/>
      </c>
      <c r="GB224" s="712">
        <f t="shared" si="798"/>
        <v>0</v>
      </c>
      <c r="GC224" s="712" t="str">
        <f t="shared" si="799"/>
        <v/>
      </c>
      <c r="GD224" s="712">
        <f>IF(GA224="P",Lookup!$M$12,IF(GA224="PP",Lookup!$M$13,IF(GA224="PPP",Lookup!$M$14,IF(GA224="T",Lookup!$M$15,IF(GA224="TP",Lookup!$M$16,IF(GA224="TPP",Lookup!$M$17,IF(GA224="TPPP",Lookup!$M$18,0)))))))*FZ224</f>
        <v>0</v>
      </c>
      <c r="GE224" s="712">
        <f t="shared" si="800"/>
        <v>0</v>
      </c>
      <c r="GF224" s="712">
        <f t="shared" si="801"/>
        <v>4166.6666666666661</v>
      </c>
      <c r="GG224" s="712">
        <f t="shared" si="802"/>
        <v>1358.1051716644936</v>
      </c>
      <c r="GH224" s="712"/>
      <c r="GI224" s="712">
        <f t="shared" si="803"/>
        <v>0</v>
      </c>
      <c r="GJ224" s="712" t="str">
        <f t="shared" si="804"/>
        <v/>
      </c>
      <c r="GK224" s="712">
        <f>IF(GA224="P",Lookup!$N$12,IF(GA224="PP",Lookup!$N$13,IF(GA224="PPP",Lookup!$N$14,IF(GA224="T",Lookup!$N$15,IF(GA224="TP",Lookup!$N$16,IF(GA224="TPP",Lookup!$N$17,IF(GA224="TPPP",Lookup!$N$18,0)))))))*FZ224</f>
        <v>0</v>
      </c>
      <c r="GL224" s="712">
        <f t="shared" si="805"/>
        <v>0</v>
      </c>
      <c r="GM224" s="712">
        <f t="shared" si="806"/>
        <v>1938.3084444444441</v>
      </c>
      <c r="GN224" s="712">
        <f t="shared" si="807"/>
        <v>631.7824134434303</v>
      </c>
      <c r="GO224" s="712"/>
      <c r="GP224" s="712">
        <f t="shared" si="808"/>
        <v>0</v>
      </c>
      <c r="GQ224" s="712" t="str">
        <f t="shared" si="809"/>
        <v/>
      </c>
      <c r="GR224" s="712">
        <f>IF(GA224="P",Lookup!$N$12,IF(GA224="PP",Lookup!$N$13,IF(GA224="PPP",Lookup!$N$14,IF(GA224="T",Lookup!$N$15,IF(GA224="TP",Lookup!$N$16,IF(GA224="TPP",Lookup!$N$17,IF(GA224="TPPP",Lookup!$N$18,0)))))))*FZ224</f>
        <v>0</v>
      </c>
      <c r="GS224" s="697">
        <f t="shared" si="724"/>
        <v>0</v>
      </c>
      <c r="GT224" s="712">
        <f t="shared" si="810"/>
        <v>1932.1724444444442</v>
      </c>
      <c r="GU224" s="712">
        <f t="shared" si="811"/>
        <v>629.7824134434303</v>
      </c>
      <c r="GV224" s="712"/>
      <c r="GW224" s="712">
        <f t="shared" si="812"/>
        <v>0</v>
      </c>
      <c r="GX224" s="712" t="str">
        <f t="shared" si="813"/>
        <v/>
      </c>
      <c r="GY224" s="712">
        <f>IF(GA224="P",Lookup!$N$12,IF(GA224="PP",Lookup!$N$13,IF(GA224="PPP",Lookup!$N$14,IF(GA224="T",Lookup!$N$15,IF(GA224="TP",Lookup!$N$16,IF(GA224="TPP",Lookup!$N$17,IF(GA224="TPPP",Lookup!$N$18,0)))))))*FZ224</f>
        <v>0</v>
      </c>
      <c r="GZ224" s="697">
        <f t="shared" si="725"/>
        <v>0</v>
      </c>
      <c r="HA224" s="712">
        <f t="shared" si="814"/>
        <v>1915.9139779106356</v>
      </c>
      <c r="HB224" s="712">
        <f t="shared" si="815"/>
        <v>624.48304364753437</v>
      </c>
      <c r="HC224" s="712"/>
    </row>
    <row r="225" spans="1:211">
      <c r="A225" s="773" t="s">
        <v>9</v>
      </c>
      <c r="B225" s="708">
        <v>40754</v>
      </c>
      <c r="C225" s="719">
        <v>0.5</v>
      </c>
      <c r="D225" s="675">
        <f t="shared" si="737"/>
        <v>200</v>
      </c>
      <c r="E225" s="675">
        <f t="shared" si="738"/>
        <v>400</v>
      </c>
      <c r="F225" s="675">
        <v>250</v>
      </c>
      <c r="G225" s="712">
        <f>DH225+Sheet1!CV225</f>
        <v>312.11611195158969</v>
      </c>
      <c r="H225" s="712">
        <f t="shared" si="739"/>
        <v>0</v>
      </c>
      <c r="I225" s="711">
        <f>MAX(Sheet1!Z225-AJ225+(Sheet1!CW225-E225)*CFStoMGD,0)</f>
        <v>80.427586377335729</v>
      </c>
      <c r="J225" s="720">
        <f>IF(AND(B225&gt;=Calculation!FS225,B225&lt;=Calculation!FT225),IF(Sheet1!CX225&gt;=Calculation!D225,64.64,0),MAX(Sheet1!Z225-AJ225+(Sheet1!CX225-D225)*CFStoMGD,0))</f>
        <v>58.288386377335733</v>
      </c>
      <c r="K225" s="697">
        <f t="shared" si="740"/>
        <v>0</v>
      </c>
      <c r="L225" s="712">
        <f>Sheet1!AA225+Sheet1!AB225-Sheet1!L225+(Sheet1!CW225-F225)*CFStoMGD</f>
        <v>224.55286666666666</v>
      </c>
      <c r="M225" s="712">
        <f t="shared" si="741"/>
        <v>205.78689186081775</v>
      </c>
      <c r="N225" s="712">
        <f>IF(Sheet1!CW225&gt;=F225,MIN(73,MIN(MAX(L225,0),MAX(M225,0))),0)</f>
        <v>73</v>
      </c>
      <c r="O225" s="721">
        <f>Sheet1!AA225+Sheet1!AB225</f>
        <v>63</v>
      </c>
      <c r="P225" s="721">
        <f t="shared" si="742"/>
        <v>97.460999999999999</v>
      </c>
      <c r="Q225" s="712">
        <f>MIN(N225,Sheet1!AA225+AG225)</f>
        <v>47.365280289330926</v>
      </c>
      <c r="R225" s="712">
        <f t="shared" si="743"/>
        <v>16</v>
      </c>
      <c r="S225" s="721">
        <f>Sheet1!Y225*MGDtoCFS</f>
        <v>63.566230000000004</v>
      </c>
      <c r="T225" s="721">
        <f>Sheet1!Z225*MGDtoCFS</f>
        <v>34.343399999999995</v>
      </c>
      <c r="U225" s="721">
        <f>Sheet1!AA225*MGDtoCFS</f>
        <v>63.427</v>
      </c>
      <c r="V225" s="721">
        <f>Sheet1!AB225*MGDtoCFS</f>
        <v>34.033999999999999</v>
      </c>
      <c r="W225" s="721">
        <f>Sheet1!L225*MGDtoCFS</f>
        <v>0</v>
      </c>
      <c r="X225" s="697">
        <f t="shared" si="744"/>
        <v>16.053345388788426</v>
      </c>
      <c r="Y225" s="712">
        <f t="shared" si="745"/>
        <v>24.834525316455693</v>
      </c>
      <c r="Z225" s="712">
        <f t="shared" si="746"/>
        <v>0</v>
      </c>
      <c r="AA225" s="712">
        <f t="shared" si="747"/>
        <v>0</v>
      </c>
      <c r="AB225" s="712">
        <f>(VLOOKUP(Sheet1!CY225,hhdcap_wcm,4)-(((VLOOKUP(Sheet1!CY225,hhdcap_wcm,3)-Sheet1!CY225)/(VLOOKUP(Sheet1!CY225,hhdcap_wcm,3)-VLOOKUP(Sheet1!CY225,hhdcap_wcm,1)))*(VLOOKUP(Sheet1!CY225,hhdcap_wcm,4)-VLOOKUP(Sheet1!CY225,hhdcap_wcm,2))))</f>
        <v>40879.800000099727</v>
      </c>
      <c r="AC225" s="712">
        <f t="shared" si="748"/>
        <v>-82.559999999997672</v>
      </c>
      <c r="AD225" s="712">
        <f t="shared" si="749"/>
        <v>3228.0996968101003</v>
      </c>
      <c r="AE225" s="712">
        <f t="shared" si="750"/>
        <v>9903.8098698133872</v>
      </c>
      <c r="AF225" s="712">
        <f>Sheet1!BA225+Sheet1!BB225+Sheet1!BN225+BT225</f>
        <v>6.4</v>
      </c>
      <c r="AG225" s="712">
        <f t="shared" si="751"/>
        <v>6.365280289330923</v>
      </c>
      <c r="AH225" s="712">
        <f>Sheet1!BA225+BT225</f>
        <v>0</v>
      </c>
      <c r="AI225" s="712">
        <f>Sheet1!BA225+Sheet1!BB225+BT225</f>
        <v>0</v>
      </c>
      <c r="AJ225" s="712">
        <f>IF((Sheet1!AA225+AG225+AX225+AZ225+BQ225+BS225+CL225+CN225)&lt;=N225,AG225+AX225+AZ225+BQ225+BS225+CL225+CN225,N225-Sheet1!AA225)</f>
        <v>6.365280289330923</v>
      </c>
      <c r="AK225" s="712">
        <f>IF(DR225&lt;K225,0,MAX(Sheet1!AA225+AG225-15/36*K225-N225,Sheet1!ED225,0))</f>
        <v>0</v>
      </c>
      <c r="AL225" s="712">
        <f>IF(OR(B225&gt;=FT225,B225&lt;FS225),0,15/36*K225-MAX(0,64.6-(137.6-(Sheet1!AA225+Sheet1!AB225))))</f>
        <v>0</v>
      </c>
      <c r="AM225" s="712">
        <f>Sheet1!CX225-110</f>
        <v>155.67708333333331</v>
      </c>
      <c r="AN225" s="712">
        <f>Sheet1!CW225-265</f>
        <v>234.92708333333331</v>
      </c>
      <c r="AO225" s="712">
        <f t="shared" si="733"/>
        <v>25.634719710669074</v>
      </c>
      <c r="AP225" s="712">
        <f t="shared" si="752"/>
        <v>0</v>
      </c>
      <c r="AQ225" s="712">
        <f t="shared" si="753"/>
        <v>0</v>
      </c>
      <c r="AR225" s="712">
        <f t="shared" si="754"/>
        <v>1358.1051716644936</v>
      </c>
      <c r="AS225" s="712"/>
      <c r="AT225" s="712">
        <f ca="1">IF(B225&gt;Summary!$A$1,#N/A,AR225*MGtoAF)</f>
        <v>4166.6666666666661</v>
      </c>
      <c r="AU225" s="712">
        <f>Sheet1!BG225+Sheet1!BH225+Sheet1!BI225-BC225</f>
        <v>1.59</v>
      </c>
      <c r="AV225" s="712">
        <f t="shared" si="755"/>
        <v>1.5813743218806513</v>
      </c>
      <c r="AW225" s="712">
        <f>IF(Sheet1!EL225="FM",BC225,0)</f>
        <v>0</v>
      </c>
      <c r="AX225" s="712">
        <f t="shared" si="756"/>
        <v>0</v>
      </c>
      <c r="AY225" s="712">
        <f>IF(Sheet1!EL225="OTHER",BC225,0)</f>
        <v>0</v>
      </c>
      <c r="AZ225" s="712">
        <f t="shared" si="757"/>
        <v>0</v>
      </c>
      <c r="BA225" s="712">
        <f t="shared" si="758"/>
        <v>1.59</v>
      </c>
      <c r="BB225" s="712">
        <f t="shared" si="759"/>
        <v>1.5813743218806513</v>
      </c>
      <c r="BC225" s="712">
        <f>IF(OR(Sheet1!EL225="FM", Sheet1!EL225="OTHER"),SUM(Sheet1!BG225:'Sheet1'!BI225),0)</f>
        <v>0</v>
      </c>
      <c r="BD225" s="697">
        <f>IF(AND($B225&gt;=$FL225,$B225&lt;=$FM225),MAX(AV225,Sheet1!EE225,0),MAX(AV225-(7/36)*$K225,0))</f>
        <v>2</v>
      </c>
      <c r="BE225" s="712">
        <f t="shared" si="760"/>
        <v>0</v>
      </c>
      <c r="BF225" s="697">
        <f t="shared" si="761"/>
        <v>0</v>
      </c>
      <c r="BG225" s="697">
        <f>IF(AND($O225&gt;0,Sheet1!EI225=1),(1-($O225-Sheet1!$L225)/$O225)*BB225,0)</f>
        <v>0</v>
      </c>
      <c r="BH225" s="697">
        <f>IF(AND(Sheet1!$L225=0,Sheet1!$L224=0, Calculation!BA225&lt;Sheet1!$EE225-0.1,Sheet1!$EE225=Sheet1!$EE224,Sheet1!$EE225=Sheet1!$EE226),Sheet1!$EE225,BB225-BG225)</f>
        <v>2</v>
      </c>
      <c r="BI225" s="712"/>
      <c r="BJ225" s="712"/>
      <c r="BK225" s="712">
        <f t="shared" si="762"/>
        <v>629.7824134434303</v>
      </c>
      <c r="BL225" s="712"/>
      <c r="BM225" s="712">
        <f ca="1">IF(B225&gt;Summary!$A$1,#N/A,BK225*MGtoAF)</f>
        <v>1932.1724444444442</v>
      </c>
      <c r="BN225" s="712">
        <f>Sheet1!BC225+Sheet1!BD225+Sheet1!BE225+Sheet1!BF225-BW225-BX225</f>
        <v>4.09</v>
      </c>
      <c r="BO225" s="712">
        <f t="shared" si="763"/>
        <v>4.0678119349005426</v>
      </c>
      <c r="BP225" s="712">
        <f>IF(Sheet1!EM225="FM",BX225,0)</f>
        <v>0</v>
      </c>
      <c r="BQ225" s="712">
        <f t="shared" si="764"/>
        <v>0</v>
      </c>
      <c r="BR225" s="712">
        <f>IF(Sheet1!EM225="OTHER",BX225,0)</f>
        <v>0</v>
      </c>
      <c r="BS225" s="712">
        <f t="shared" si="765"/>
        <v>0</v>
      </c>
      <c r="BT225" s="712">
        <f t="shared" si="766"/>
        <v>0</v>
      </c>
      <c r="BU225" s="712">
        <f t="shared" si="767"/>
        <v>4.09</v>
      </c>
      <c r="BV225" s="712">
        <f t="shared" si="768"/>
        <v>4.0678119349005426</v>
      </c>
      <c r="BW225" s="712">
        <f>IF(Sheet1!EM225="CWA",SUM(Sheet1!BC225:'Sheet1'!BF225),0)</f>
        <v>0</v>
      </c>
      <c r="BX225" s="712">
        <f>IF(OR(Sheet1!EM225="FM", Sheet1!EM225="OTHER"),SUM(Sheet1!BC225:'Sheet1'!BF225),0)</f>
        <v>0</v>
      </c>
      <c r="BY225" s="697">
        <f>IF(AND($B225&gt;=$FL225,$B225&lt;=$FM225),MAX(BV225,Sheet1!EF225,0),MAX(BV225-(7/36)*$K225,0))</f>
        <v>4.0678119349005426</v>
      </c>
      <c r="BZ225" s="712">
        <f t="shared" si="769"/>
        <v>0</v>
      </c>
      <c r="CA225" s="697">
        <f t="shared" si="770"/>
        <v>0</v>
      </c>
      <c r="CB225" s="697">
        <f>IF(AND($O225&gt;0,Sheet1!EJ225=1),(1-($O225-Sheet1!$L225)/$O225)*BV225,0)</f>
        <v>0</v>
      </c>
      <c r="CC225" s="697">
        <f>IF(AND(Sheet1!$L225=0,Sheet1!$L224=0, Calculation!BU225&lt;Sheet1!EF225-0.1,Sheet1!EF225=Sheet1!EF224,Sheet1!EF225=Sheet1!EF226),Sheet1!EF225,BV225-CB225)</f>
        <v>4.0678119349005426</v>
      </c>
      <c r="CD225" s="697"/>
      <c r="CE225" s="712"/>
      <c r="CF225" s="712">
        <f t="shared" si="771"/>
        <v>625.71460150852977</v>
      </c>
      <c r="CG225" s="712"/>
      <c r="CH225" s="712">
        <f ca="1">IF(B225&gt;Summary!$A$1,#N/A,CF225*MGtoAF)</f>
        <v>1919.6923974281694</v>
      </c>
      <c r="CI225" s="712">
        <f>Sheet1!BK225+Sheet1!BL225+Sheet1!BM225-Sheet1!EN225-CQ225</f>
        <v>10.039999999999999</v>
      </c>
      <c r="CJ225" s="712">
        <f t="shared" si="772"/>
        <v>9.9855334538878839</v>
      </c>
      <c r="CK225" s="712">
        <f>IF(Sheet1!EN225="FM",CQ225,0)</f>
        <v>0</v>
      </c>
      <c r="CL225" s="712">
        <f t="shared" si="773"/>
        <v>0</v>
      </c>
      <c r="CM225" s="712">
        <f>IF(Sheet1!EN225="OTHER",CQ225,0)</f>
        <v>0</v>
      </c>
      <c r="CN225" s="712">
        <f t="shared" si="774"/>
        <v>0</v>
      </c>
      <c r="CO225" s="712">
        <f t="shared" si="775"/>
        <v>10.039999999999999</v>
      </c>
      <c r="CP225" s="712">
        <f t="shared" si="776"/>
        <v>9.9855334538878839</v>
      </c>
      <c r="CQ225" s="712">
        <f>IF(OR(Sheet1!EN225="FM", Sheet1!EN225="OTHER"),SUM(Sheet1!BK225:'Sheet1'!BM225),0)</f>
        <v>0</v>
      </c>
      <c r="CR225" s="800">
        <f t="shared" si="736"/>
        <v>9.9855334538878839</v>
      </c>
      <c r="CS225" s="712">
        <f t="shared" si="777"/>
        <v>0</v>
      </c>
      <c r="CT225" s="697">
        <f t="shared" si="778"/>
        <v>0</v>
      </c>
      <c r="CU225" s="697">
        <f>IF(AND($O225&gt;0,Sheet1!EK225=1),(1-($O225-Sheet1!$L225)/$O225)*CP225,0)</f>
        <v>0</v>
      </c>
      <c r="CV225" s="697">
        <f>IF(AND(Sheet1!$L225=0,Sheet1!$L224=0, Calculation!CO225&lt;Sheet1!$EG225-0.1,Sheet1!$EG225=Sheet1!$EG224,Sheet1!$EG225=Sheet1!$EG226),Sheet1!$EG225,CP225-CU225)</f>
        <v>9.9855334538878839</v>
      </c>
      <c r="CW225" s="697">
        <f t="shared" si="721"/>
        <v>0</v>
      </c>
      <c r="CX225" s="712">
        <f t="shared" si="779"/>
        <v>15.719999999999999</v>
      </c>
      <c r="CY225" s="712">
        <f t="shared" si="780"/>
        <v>614.49751019364646</v>
      </c>
      <c r="CZ225" s="712">
        <f t="shared" si="781"/>
        <v>15.634719710669078</v>
      </c>
      <c r="DA225" s="712">
        <f ca="1">IF(B225&gt;Summary!$A$1,#N/A,CY225*MGtoAF)</f>
        <v>1885.2783612741073</v>
      </c>
      <c r="DB225" s="712">
        <f t="shared" si="782"/>
        <v>15.719999999999999</v>
      </c>
      <c r="DC225" s="712">
        <f t="shared" si="783"/>
        <v>22.119999999999997</v>
      </c>
      <c r="DD225" s="712">
        <f>Sheet1!AB225-DC225</f>
        <v>-0.11999999999999744</v>
      </c>
      <c r="DE225" s="712">
        <f t="shared" si="784"/>
        <v>-5.4249547920432843E-3</v>
      </c>
      <c r="DF225" s="712">
        <f>(VLOOKUP(Sheet1!CY225,hhdcap_wcm,4)-(((VLOOKUP(Sheet1!CY225,hhdcap_wcm,3)-Sheet1!CY225)/(VLOOKUP(Sheet1!CY225,hhdcap_wcm,3)-VLOOKUP(Sheet1!CY225,hhdcap_wcm,1)))*(VLOOKUP(Sheet1!CY225,hhdcap_wcm,4)-VLOOKUP(Sheet1!CY225,hhdcap_wcm,2))))</f>
        <v>40879.800000099727</v>
      </c>
      <c r="DG225" s="712">
        <f t="shared" si="785"/>
        <v>-82.559999999997672</v>
      </c>
      <c r="DH225" s="712">
        <f t="shared" si="786"/>
        <v>-41.63388804841032</v>
      </c>
      <c r="DI225" s="712">
        <f>Sheet1!DW225*AFtoMG</f>
        <v>0</v>
      </c>
      <c r="DJ225" s="712">
        <f>Sheet1!DX225*AFtoMG</f>
        <v>0</v>
      </c>
      <c r="DK225" s="712">
        <f>Sheet1!DY225*AFtoMG</f>
        <v>0</v>
      </c>
      <c r="DL225" s="712">
        <f>Sheet1!DZ225*AFtoMG</f>
        <v>0</v>
      </c>
      <c r="DM225" s="712">
        <f t="shared" si="787"/>
        <v>0</v>
      </c>
      <c r="DN225" s="712">
        <f t="shared" si="788"/>
        <v>0</v>
      </c>
      <c r="DO225" s="712">
        <f t="shared" si="789"/>
        <v>3228.0996968101003</v>
      </c>
      <c r="DP225" s="712">
        <f t="shared" si="790"/>
        <v>9903.8098698133872</v>
      </c>
      <c r="DQ225" s="712"/>
      <c r="DR225" s="697">
        <f>IF(OR(B225&lt;FL225,B225&gt;FM225),(MIN(AV225+BO225+CJ225+MAX(Sheet1!AA225+AG225-73,0),K225)),0)</f>
        <v>0</v>
      </c>
      <c r="DS225" s="712"/>
      <c r="DT225" s="712">
        <f t="shared" si="791"/>
        <v>15.634719710669078</v>
      </c>
      <c r="DU225" s="712"/>
      <c r="DV225" s="712">
        <f>Sheet1!ED225+Sheet1!EE225+Sheet1!EF225+Sheet1!EG225</f>
        <v>16</v>
      </c>
      <c r="DW225" s="712"/>
      <c r="DX225" s="697">
        <f t="shared" si="792"/>
        <v>0</v>
      </c>
      <c r="DY225" s="712">
        <f>IF(Sheet1!FN225=1,SUM('Calculations II'!AT225:BA225)+'Calculations II'!BC225+Sheet1!BU225+'Calculations II'!BE225+AF225,SUM('Calculations II'!AT225:BA225)+'Calculations II'!BC225+Sheet1!BU225+'Calculations II'!BE225+AF225)</f>
        <v>65.231088000000014</v>
      </c>
      <c r="DZ225" s="712">
        <f>Sheet1!AA225+Sheet1!AB225+'Calculations II'!BC225</f>
        <v>78.096384</v>
      </c>
      <c r="EA225" s="712"/>
      <c r="EB225" s="712"/>
      <c r="EC225" s="712">
        <f t="shared" si="793"/>
        <v>40754</v>
      </c>
      <c r="ED225" s="712">
        <f t="shared" si="794"/>
        <v>-16.053345388788426</v>
      </c>
      <c r="EE225" s="712">
        <f t="shared" si="795"/>
        <v>-24.834525316455693</v>
      </c>
      <c r="EF225" s="712">
        <f>-(VLOOKUP(Sheet1!BQ225,Lookup!$B$4:$J$236,2)-VLOOKUP(Sheet1!BQ224,Lookup!$B$4:$J$236,2))/1000000</f>
        <v>1.0751999999999999</v>
      </c>
      <c r="EG225" s="712">
        <f>-(VLOOKUP(Sheet1!BR225,Lookup!$B$4:$J$236,3)-VLOOKUP(Sheet1!BR224,Lookup!$B$4:$J$236,3))/1000000</f>
        <v>1.0731999999999999</v>
      </c>
      <c r="EH225" s="712">
        <f>-(VLOOKUP(Sheet1!BS225,Lookup!$B$4:$J$236,4)-VLOOKUP(Sheet1!BS224,Lookup!$B$4:$J$236,4))/1000000</f>
        <v>0</v>
      </c>
      <c r="EI225" s="697">
        <f t="shared" si="796"/>
        <v>2.1483999999999996</v>
      </c>
      <c r="EJ225" s="712"/>
      <c r="EK225" s="712"/>
      <c r="EL225" s="712"/>
      <c r="EM225" s="712"/>
      <c r="EN225" s="712"/>
      <c r="EO225" s="712"/>
      <c r="EP225" s="712"/>
      <c r="EQ225" s="712"/>
      <c r="ET225" s="794">
        <f t="shared" si="720"/>
        <v>1137.0999999999999</v>
      </c>
      <c r="EU225" s="697">
        <v>8785</v>
      </c>
      <c r="EV225" s="795">
        <f t="shared" si="734"/>
        <v>20970.99013028634</v>
      </c>
      <c r="EW225" s="796" t="s">
        <v>757</v>
      </c>
      <c r="EX225" s="796" t="s">
        <v>758</v>
      </c>
      <c r="EY225" s="712">
        <v>0</v>
      </c>
      <c r="EZ225" s="798">
        <v>22548.500000053729</v>
      </c>
      <c r="FA225" s="712"/>
      <c r="FB225" s="712"/>
      <c r="FC225" s="712"/>
      <c r="FD225" s="712"/>
      <c r="FE225" s="712">
        <f>O225+Sheet1!CO225</f>
        <v>10546.6</v>
      </c>
      <c r="FF225" s="712">
        <f>IF(Sheet1!AA225+AG225&lt;=Calculation!N225,AG225,Calculation!N225-Sheet1!AA225)</f>
        <v>6.365280289330923</v>
      </c>
      <c r="FG225" s="712">
        <f>(Sheet1!BP225+Sheet1!BO225)/694.4</f>
        <v>4.2564804147465436</v>
      </c>
      <c r="FH225" s="712"/>
      <c r="FI225" s="712"/>
      <c r="FJ225" s="712"/>
      <c r="FK225" s="712"/>
      <c r="FL225" s="714">
        <f t="shared" si="726"/>
        <v>40753</v>
      </c>
      <c r="FM225" s="714">
        <f t="shared" si="727"/>
        <v>40851</v>
      </c>
      <c r="FN225" s="712"/>
      <c r="FO225" s="712"/>
      <c r="FP225" s="712"/>
      <c r="FQ225" s="712"/>
      <c r="FR225" s="712"/>
      <c r="FS225" s="725">
        <f t="shared" si="735"/>
        <v>40603</v>
      </c>
      <c r="FT225" s="714">
        <f t="shared" si="729"/>
        <v>40709</v>
      </c>
      <c r="FU225" s="712">
        <f t="shared" si="735"/>
        <v>6518.9048239895692</v>
      </c>
      <c r="FV225" s="714">
        <f t="shared" si="730"/>
        <v>40722</v>
      </c>
      <c r="FW225" s="712">
        <f t="shared" si="735"/>
        <v>3259.4524119947846</v>
      </c>
      <c r="FX225" s="725">
        <f t="shared" si="735"/>
        <v>40851</v>
      </c>
      <c r="FZ225" s="697">
        <f t="shared" si="722"/>
        <v>0</v>
      </c>
      <c r="GA225" s="712" t="str">
        <f t="shared" si="797"/>
        <v/>
      </c>
      <c r="GB225" s="712">
        <f t="shared" si="798"/>
        <v>0</v>
      </c>
      <c r="GC225" s="712" t="str">
        <f t="shared" si="799"/>
        <v/>
      </c>
      <c r="GD225" s="712">
        <f>IF(GA225="P",Lookup!$M$12,IF(GA225="PP",Lookup!$M$13,IF(GA225="PPP",Lookup!$M$14,IF(GA225="T",Lookup!$M$15,IF(GA225="TP",Lookup!$M$16,IF(GA225="TPP",Lookup!$M$17,IF(GA225="TPPP",Lookup!$M$18,0)))))))*FZ225</f>
        <v>0</v>
      </c>
      <c r="GE225" s="712">
        <f t="shared" si="800"/>
        <v>0</v>
      </c>
      <c r="GF225" s="712">
        <f t="shared" si="801"/>
        <v>4166.6666666666661</v>
      </c>
      <c r="GG225" s="712">
        <f t="shared" si="802"/>
        <v>1358.1051716644936</v>
      </c>
      <c r="GH225" s="712"/>
      <c r="GI225" s="712">
        <f t="shared" si="803"/>
        <v>0</v>
      </c>
      <c r="GJ225" s="712" t="str">
        <f t="shared" si="804"/>
        <v/>
      </c>
      <c r="GK225" s="712">
        <f>IF(GA225="P",Lookup!$N$12,IF(GA225="PP",Lookup!$N$13,IF(GA225="PPP",Lookup!$N$14,IF(GA225="T",Lookup!$N$15,IF(GA225="TP",Lookup!$N$16,IF(GA225="TPP",Lookup!$N$17,IF(GA225="TPPP",Lookup!$N$18,0)))))))*FZ225</f>
        <v>0</v>
      </c>
      <c r="GL225" s="712">
        <f t="shared" si="805"/>
        <v>0</v>
      </c>
      <c r="GM225" s="712">
        <f t="shared" si="806"/>
        <v>1932.1724444444442</v>
      </c>
      <c r="GN225" s="712">
        <f t="shared" si="807"/>
        <v>629.7824134434303</v>
      </c>
      <c r="GO225" s="712"/>
      <c r="GP225" s="712">
        <f t="shared" si="808"/>
        <v>0</v>
      </c>
      <c r="GQ225" s="712" t="str">
        <f t="shared" si="809"/>
        <v/>
      </c>
      <c r="GR225" s="712">
        <f>IF(GA225="P",Lookup!$N$12,IF(GA225="PP",Lookup!$N$13,IF(GA225="PPP",Lookup!$N$14,IF(GA225="T",Lookup!$N$15,IF(GA225="TP",Lookup!$N$16,IF(GA225="TPP",Lookup!$N$17,IF(GA225="TPPP",Lookup!$N$18,0)))))))*FZ225</f>
        <v>0</v>
      </c>
      <c r="GS225" s="697">
        <f t="shared" si="724"/>
        <v>0</v>
      </c>
      <c r="GT225" s="712">
        <f t="shared" si="810"/>
        <v>1919.6923974281694</v>
      </c>
      <c r="GU225" s="712">
        <f t="shared" si="811"/>
        <v>625.71460150852977</v>
      </c>
      <c r="GV225" s="712"/>
      <c r="GW225" s="712">
        <f t="shared" si="812"/>
        <v>0</v>
      </c>
      <c r="GX225" s="712" t="str">
        <f t="shared" si="813"/>
        <v/>
      </c>
      <c r="GY225" s="712">
        <f>IF(GA225="P",Lookup!$N$12,IF(GA225="PP",Lookup!$N$13,IF(GA225="PPP",Lookup!$N$14,IF(GA225="T",Lookup!$N$15,IF(GA225="TP",Lookup!$N$16,IF(GA225="TPP",Lookup!$N$17,IF(GA225="TPPP",Lookup!$N$18,0)))))))*FZ225</f>
        <v>0</v>
      </c>
      <c r="GZ225" s="697">
        <f t="shared" si="725"/>
        <v>0</v>
      </c>
      <c r="HA225" s="712">
        <f t="shared" si="814"/>
        <v>1885.2783612741073</v>
      </c>
      <c r="HB225" s="712">
        <f t="shared" si="815"/>
        <v>614.49751019364646</v>
      </c>
      <c r="HC225" s="712"/>
    </row>
    <row r="226" spans="1:211">
      <c r="A226" s="773" t="s">
        <v>3</v>
      </c>
      <c r="B226" s="708">
        <v>40755</v>
      </c>
      <c r="C226" s="719">
        <v>0.5</v>
      </c>
      <c r="D226" s="675">
        <f t="shared" si="737"/>
        <v>200</v>
      </c>
      <c r="E226" s="675">
        <f t="shared" si="738"/>
        <v>400</v>
      </c>
      <c r="F226" s="675">
        <v>250</v>
      </c>
      <c r="G226" s="712">
        <f>DH226+Sheet1!CV226</f>
        <v>306.91187594541731</v>
      </c>
      <c r="H226" s="712">
        <f t="shared" si="739"/>
        <v>0</v>
      </c>
      <c r="I226" s="711">
        <f>MAX(Sheet1!Z226-AJ226+(Sheet1!CW226-E226)*CFStoMGD,0)</f>
        <v>76.869825942684756</v>
      </c>
      <c r="J226" s="720">
        <f>IF(AND(B226&gt;=Calculation!FS226,B226&lt;=Calculation!FT226),IF(Sheet1!CX226&gt;=Calculation!D226,64.64,0),MAX(Sheet1!Z226-AJ226+(Sheet1!CX226-D226)*CFStoMGD,0))</f>
        <v>57.935692609351449</v>
      </c>
      <c r="K226" s="697">
        <f t="shared" si="740"/>
        <v>0</v>
      </c>
      <c r="L226" s="712">
        <f>Sheet1!AA226+Sheet1!AB226-Sheet1!L226+(Sheet1!CW226-F226)*CFStoMGD</f>
        <v>221.32086666666666</v>
      </c>
      <c r="M226" s="712">
        <f t="shared" si="741"/>
        <v>202.3555933433401</v>
      </c>
      <c r="N226" s="712">
        <f>IF(Sheet1!CW226&gt;=F226,MIN(73,MIN(MAX(L226,0),MAX(M226,0))),0)</f>
        <v>73</v>
      </c>
      <c r="O226" s="721">
        <f>Sheet1!AA226+Sheet1!AB226</f>
        <v>63</v>
      </c>
      <c r="P226" s="721">
        <f t="shared" si="742"/>
        <v>97.460999999999999</v>
      </c>
      <c r="Q226" s="712">
        <f>MIN(N226,Sheet1!AA226+AG226)</f>
        <v>47.371040723981899</v>
      </c>
      <c r="R226" s="712">
        <f t="shared" si="743"/>
        <v>16</v>
      </c>
      <c r="S226" s="721">
        <f>Sheet1!Y226*MGDtoCFS</f>
        <v>63.24136</v>
      </c>
      <c r="T226" s="721">
        <f>Sheet1!Z226*MGDtoCFS</f>
        <v>33.84836</v>
      </c>
      <c r="U226" s="721">
        <f>Sheet1!AA226*MGDtoCFS</f>
        <v>63.427</v>
      </c>
      <c r="V226" s="721">
        <f>Sheet1!AB226*MGDtoCFS</f>
        <v>34.033999999999999</v>
      </c>
      <c r="W226" s="721">
        <f>Sheet1!L226*MGDtoCFS</f>
        <v>0</v>
      </c>
      <c r="X226" s="697">
        <f t="shared" si="744"/>
        <v>16.056108597285068</v>
      </c>
      <c r="Y226" s="712">
        <f t="shared" si="745"/>
        <v>24.838799999999999</v>
      </c>
      <c r="Z226" s="712">
        <f t="shared" si="746"/>
        <v>0</v>
      </c>
      <c r="AA226" s="712">
        <f t="shared" si="747"/>
        <v>0</v>
      </c>
      <c r="AB226" s="712">
        <f>(VLOOKUP(Sheet1!CY226,hhdcap_wcm,4)-(((VLOOKUP(Sheet1!CY226,hhdcap_wcm,3)-Sheet1!CY226)/(VLOOKUP(Sheet1!CY226,hhdcap_wcm,3)-VLOOKUP(Sheet1!CY226,hhdcap_wcm,1)))*(VLOOKUP(Sheet1!CY226,hhdcap_wcm,4)-VLOOKUP(Sheet1!CY226,hhdcap_wcm,2))))</f>
        <v>40786.92000009949</v>
      </c>
      <c r="AC226" s="712">
        <f t="shared" si="748"/>
        <v>-92.880000000237487</v>
      </c>
      <c r="AD226" s="712">
        <f t="shared" si="749"/>
        <v>3212.0435882128149</v>
      </c>
      <c r="AE226" s="712">
        <f t="shared" si="750"/>
        <v>9854.5497286369173</v>
      </c>
      <c r="AF226" s="712">
        <f>Sheet1!BA226+Sheet1!BB226+Sheet1!BN226+BT226</f>
        <v>6.4</v>
      </c>
      <c r="AG226" s="712">
        <f t="shared" si="751"/>
        <v>6.3710407239819</v>
      </c>
      <c r="AH226" s="712">
        <f>Sheet1!BA226+BT226</f>
        <v>0</v>
      </c>
      <c r="AI226" s="712">
        <f>Sheet1!BA226+Sheet1!BB226+BT226</f>
        <v>0</v>
      </c>
      <c r="AJ226" s="712">
        <f>IF((Sheet1!AA226+AG226+AX226+AZ226+BQ226+BS226+CL226+CN226)&lt;=N226,AG226+AX226+AZ226+BQ226+BS226+CL226+CN226,N226-Sheet1!AA226)</f>
        <v>6.3710407239819</v>
      </c>
      <c r="AK226" s="712">
        <f>IF(DR226&lt;K226,0,MAX(Sheet1!AA226+AG226-15/36*K226-N226,Sheet1!ED226,0))</f>
        <v>0</v>
      </c>
      <c r="AL226" s="712">
        <f>IF(OR(B226&gt;=FT226,B226&lt;FS226),0,15/36*K226-MAX(0,64.6-(137.6-(Sheet1!AA226+Sheet1!AB226))))</f>
        <v>0</v>
      </c>
      <c r="AM226" s="712">
        <f>Sheet1!CX226-110</f>
        <v>155.63541666666669</v>
      </c>
      <c r="AN226" s="712">
        <f>Sheet1!CW226-265</f>
        <v>229.92708333333331</v>
      </c>
      <c r="AO226" s="712">
        <f t="shared" si="733"/>
        <v>25.628959276018101</v>
      </c>
      <c r="AP226" s="712">
        <f t="shared" si="752"/>
        <v>0</v>
      </c>
      <c r="AQ226" s="712">
        <f t="shared" si="753"/>
        <v>0</v>
      </c>
      <c r="AR226" s="712">
        <f t="shared" si="754"/>
        <v>1358.1051716644936</v>
      </c>
      <c r="AS226" s="712"/>
      <c r="AT226" s="712">
        <f ca="1">IF(B226&gt;Summary!$A$1,#N/A,AR226*MGtoAF)</f>
        <v>4166.6666666666661</v>
      </c>
      <c r="AU226" s="712">
        <f>Sheet1!BG226+Sheet1!BH226+Sheet1!BI226-BC226</f>
        <v>1.58</v>
      </c>
      <c r="AV226" s="712">
        <f t="shared" si="755"/>
        <v>1.5728506787330316</v>
      </c>
      <c r="AW226" s="712">
        <f>IF(Sheet1!EL226="FM",BC226,0)</f>
        <v>0</v>
      </c>
      <c r="AX226" s="712">
        <f t="shared" si="756"/>
        <v>0</v>
      </c>
      <c r="AY226" s="712">
        <f>IF(Sheet1!EL226="OTHER",BC226,0)</f>
        <v>0</v>
      </c>
      <c r="AZ226" s="712">
        <f t="shared" si="757"/>
        <v>0</v>
      </c>
      <c r="BA226" s="712">
        <f t="shared" si="758"/>
        <v>1.58</v>
      </c>
      <c r="BB226" s="712">
        <f t="shared" si="759"/>
        <v>1.5728506787330316</v>
      </c>
      <c r="BC226" s="712">
        <f>IF(OR(Sheet1!EL226="FM", Sheet1!EL226="OTHER"),SUM(Sheet1!BG226:'Sheet1'!BI226),0)</f>
        <v>0</v>
      </c>
      <c r="BD226" s="697">
        <f>IF(AND($B226&gt;=$FL226,$B226&lt;=$FM226),MAX(AV226,Sheet1!EE226,0),MAX(AV226-(7/36)*$K226,0))</f>
        <v>2</v>
      </c>
      <c r="BE226" s="712">
        <f t="shared" si="760"/>
        <v>0</v>
      </c>
      <c r="BF226" s="697">
        <f t="shared" si="761"/>
        <v>0</v>
      </c>
      <c r="BG226" s="697">
        <f>IF(AND($O226&gt;0,Sheet1!EI226=1),(1-($O226-Sheet1!$L226)/$O226)*BB226,0)</f>
        <v>0</v>
      </c>
      <c r="BH226" s="697">
        <f>IF(AND(Sheet1!$L226=0,Sheet1!$L225=0, Calculation!BA226&lt;Sheet1!$EE226-0.1,Sheet1!$EE226=Sheet1!$EE225,Sheet1!$EE226=Sheet1!$EE227),Sheet1!$EE226,BB226-BG226)</f>
        <v>2</v>
      </c>
      <c r="BI226" s="712"/>
      <c r="BJ226" s="712"/>
      <c r="BK226" s="712">
        <f t="shared" si="762"/>
        <v>627.7824134434303</v>
      </c>
      <c r="BL226" s="712"/>
      <c r="BM226" s="712">
        <f ca="1">IF(B226&gt;Summary!$A$1,#N/A,BK226*MGtoAF)</f>
        <v>1926.0364444444442</v>
      </c>
      <c r="BN226" s="712">
        <f>Sheet1!BC226+Sheet1!BD226+Sheet1!BE226+Sheet1!BF226-BW226-BX226</f>
        <v>4.08</v>
      </c>
      <c r="BO226" s="712">
        <f t="shared" si="763"/>
        <v>4.0615384615384613</v>
      </c>
      <c r="BP226" s="712">
        <f>IF(Sheet1!EM226="FM",BX226,0)</f>
        <v>0</v>
      </c>
      <c r="BQ226" s="712">
        <f t="shared" si="764"/>
        <v>0</v>
      </c>
      <c r="BR226" s="712">
        <f>IF(Sheet1!EM226="OTHER",BX226,0)</f>
        <v>0</v>
      </c>
      <c r="BS226" s="712">
        <f t="shared" si="765"/>
        <v>0</v>
      </c>
      <c r="BT226" s="712">
        <f t="shared" si="766"/>
        <v>0</v>
      </c>
      <c r="BU226" s="712">
        <f t="shared" si="767"/>
        <v>4.08</v>
      </c>
      <c r="BV226" s="712">
        <f t="shared" si="768"/>
        <v>4.0615384615384613</v>
      </c>
      <c r="BW226" s="712">
        <f>IF(Sheet1!EM226="CWA",SUM(Sheet1!BC226:'Sheet1'!BF226),0)</f>
        <v>0</v>
      </c>
      <c r="BX226" s="712">
        <f>IF(OR(Sheet1!EM226="FM", Sheet1!EM226="OTHER"),SUM(Sheet1!BC226:'Sheet1'!BF226),0)</f>
        <v>0</v>
      </c>
      <c r="BY226" s="697">
        <f>IF(AND($B226&gt;=$FL226,$B226&lt;=$FM226),MAX(BV226,Sheet1!EF226,0),MAX(BV226-(7/36)*$K226,0))</f>
        <v>4.0615384615384613</v>
      </c>
      <c r="BZ226" s="712">
        <f t="shared" si="769"/>
        <v>0</v>
      </c>
      <c r="CA226" s="697">
        <f t="shared" si="770"/>
        <v>0</v>
      </c>
      <c r="CB226" s="697">
        <f>IF(AND($O226&gt;0,Sheet1!EJ226=1),(1-($O226-Sheet1!$L226)/$O226)*BV226,0)</f>
        <v>0</v>
      </c>
      <c r="CC226" s="697">
        <f>IF(AND(Sheet1!$L226=0,Sheet1!$L225=0, Calculation!BU226&lt;Sheet1!EF226-0.1,Sheet1!EF226=Sheet1!EF225,Sheet1!EF226=Sheet1!EF227),Sheet1!EF226,BV226-CB226)</f>
        <v>4.0615384615384613</v>
      </c>
      <c r="CD226" s="697"/>
      <c r="CE226" s="712"/>
      <c r="CF226" s="712">
        <f t="shared" si="771"/>
        <v>621.65306304699129</v>
      </c>
      <c r="CG226" s="712"/>
      <c r="CH226" s="712">
        <f ca="1">IF(B226&gt;Summary!$A$1,#N/A,CF226*MGtoAF)</f>
        <v>1907.2315974281694</v>
      </c>
      <c r="CI226" s="712">
        <f>Sheet1!BK226+Sheet1!BL226+Sheet1!BM226-Sheet1!EN226-CQ226</f>
        <v>10.039999999999999</v>
      </c>
      <c r="CJ226" s="712">
        <f t="shared" si="772"/>
        <v>9.9945701357466046</v>
      </c>
      <c r="CK226" s="712">
        <f>IF(Sheet1!EN226="FM",CQ226,0)</f>
        <v>0</v>
      </c>
      <c r="CL226" s="712">
        <f t="shared" si="773"/>
        <v>0</v>
      </c>
      <c r="CM226" s="712">
        <f>IF(Sheet1!EN226="OTHER",CQ226,0)</f>
        <v>0</v>
      </c>
      <c r="CN226" s="712">
        <f t="shared" si="774"/>
        <v>0</v>
      </c>
      <c r="CO226" s="712">
        <f t="shared" si="775"/>
        <v>10.039999999999999</v>
      </c>
      <c r="CP226" s="712">
        <f t="shared" si="776"/>
        <v>9.9945701357466046</v>
      </c>
      <c r="CQ226" s="712">
        <f>IF(OR(Sheet1!EN226="FM", Sheet1!EN226="OTHER"),SUM(Sheet1!BK226:'Sheet1'!BM226),0)</f>
        <v>0</v>
      </c>
      <c r="CR226" s="800">
        <f>IF(K226=0,CJ226,IF(CJ226&gt;(7/36)*$K226,CJ226-MIN(CJ226,K226-AV226-BO226),0))</f>
        <v>9.9945701357466046</v>
      </c>
      <c r="CS226" s="712">
        <f t="shared" si="777"/>
        <v>0</v>
      </c>
      <c r="CT226" s="697">
        <f t="shared" si="778"/>
        <v>0</v>
      </c>
      <c r="CU226" s="697">
        <f>IF(AND($O226&gt;0,Sheet1!EK226=1),(1-($O226-Sheet1!$L226)/$O226)*CP226,0)</f>
        <v>0</v>
      </c>
      <c r="CV226" s="697">
        <f>IF(AND(Sheet1!$L226=0,Sheet1!$L225=0, Calculation!CO226&lt;Sheet1!$EG226-0.1,Sheet1!$EG226=Sheet1!$EG225,Sheet1!$EG226=Sheet1!$EG227),Sheet1!$EG226,CP226-CU226)</f>
        <v>9.9945701357466046</v>
      </c>
      <c r="CW226" s="697">
        <f t="shared" si="721"/>
        <v>0</v>
      </c>
      <c r="CX226" s="712">
        <f t="shared" si="779"/>
        <v>15.7</v>
      </c>
      <c r="CY226" s="712">
        <f t="shared" si="780"/>
        <v>604.50294005789988</v>
      </c>
      <c r="CZ226" s="712">
        <f t="shared" si="781"/>
        <v>15.628959276018097</v>
      </c>
      <c r="DA226" s="712">
        <f ca="1">IF(B226&gt;Summary!$A$1,#N/A,CY226*MGtoAF)</f>
        <v>1854.6150200976369</v>
      </c>
      <c r="DB226" s="712">
        <f t="shared" si="782"/>
        <v>15.7</v>
      </c>
      <c r="DC226" s="712">
        <f t="shared" si="783"/>
        <v>22.1</v>
      </c>
      <c r="DD226" s="712">
        <f>Sheet1!AB226-DC226</f>
        <v>-0.10000000000000142</v>
      </c>
      <c r="DE226" s="712">
        <f t="shared" si="784"/>
        <v>-4.524886877828118E-3</v>
      </c>
      <c r="DF226" s="712">
        <f>(VLOOKUP(Sheet1!CY226,hhdcap_wcm,4)-(((VLOOKUP(Sheet1!CY226,hhdcap_wcm,3)-Sheet1!CY226)/(VLOOKUP(Sheet1!CY226,hhdcap_wcm,3)-VLOOKUP(Sheet1!CY226,hhdcap_wcm,1)))*(VLOOKUP(Sheet1!CY226,hhdcap_wcm,4)-VLOOKUP(Sheet1!CY226,hhdcap_wcm,2))))</f>
        <v>40786.92000009949</v>
      </c>
      <c r="DG226" s="712">
        <f t="shared" si="785"/>
        <v>-92.880000000237487</v>
      </c>
      <c r="DH226" s="712">
        <f t="shared" si="786"/>
        <v>-46.838124054582693</v>
      </c>
      <c r="DI226" s="712">
        <f>Sheet1!DW226*AFtoMG</f>
        <v>0</v>
      </c>
      <c r="DJ226" s="712">
        <f>Sheet1!DX226*AFtoMG</f>
        <v>0</v>
      </c>
      <c r="DK226" s="712">
        <f>Sheet1!DY226*AFtoMG</f>
        <v>0</v>
      </c>
      <c r="DL226" s="712">
        <f>Sheet1!DZ226*AFtoMG</f>
        <v>0</v>
      </c>
      <c r="DM226" s="712">
        <f t="shared" si="787"/>
        <v>0</v>
      </c>
      <c r="DN226" s="712">
        <f t="shared" si="788"/>
        <v>0</v>
      </c>
      <c r="DO226" s="712">
        <f t="shared" si="789"/>
        <v>3212.0435882128149</v>
      </c>
      <c r="DP226" s="712">
        <f t="shared" si="790"/>
        <v>9854.5497286369173</v>
      </c>
      <c r="DQ226" s="712"/>
      <c r="DR226" s="697">
        <f>IF(OR(B226&lt;FL226,B226&gt;FM226),(MIN(AV226+BO226+CJ226+MAX(Sheet1!AA226+AG226-73,0),K226)),0)</f>
        <v>0</v>
      </c>
      <c r="DS226" s="712"/>
      <c r="DT226" s="712">
        <f t="shared" si="791"/>
        <v>15.628959276018097</v>
      </c>
      <c r="DU226" s="712"/>
      <c r="DV226" s="712">
        <f>Sheet1!ED226+Sheet1!EE226+Sheet1!EF226+Sheet1!EG226</f>
        <v>16</v>
      </c>
      <c r="DW226" s="712"/>
      <c r="DX226" s="697">
        <f t="shared" si="792"/>
        <v>0</v>
      </c>
      <c r="DY226" s="712">
        <f>IF(Sheet1!FN226=1,SUM('Calculations II'!AT226:BA226)+'Calculations II'!BC226+Sheet1!BU226+'Calculations II'!BE226+AF226,SUM('Calculations II'!AT226:BA226)+'Calculations II'!BC226+Sheet1!BU226+'Calculations II'!BE226+AF226)</f>
        <v>58.113776000000001</v>
      </c>
      <c r="DZ226" s="712">
        <f>Sheet1!AA226+Sheet1!AB226+'Calculations II'!BC226</f>
        <v>76.441103999999996</v>
      </c>
      <c r="EA226" s="712"/>
      <c r="EB226" s="712"/>
      <c r="EC226" s="712">
        <f t="shared" si="793"/>
        <v>40755</v>
      </c>
      <c r="ED226" s="712">
        <f t="shared" si="794"/>
        <v>-16.056108597285068</v>
      </c>
      <c r="EE226" s="712">
        <f t="shared" si="795"/>
        <v>-24.838799999999999</v>
      </c>
      <c r="EF226" s="712">
        <f>-(VLOOKUP(Sheet1!BQ226,Lookup!$B$4:$J$236,2)-VLOOKUP(Sheet1!BQ225,Lookup!$B$4:$J$236,2))/1000000</f>
        <v>1.6026</v>
      </c>
      <c r="EG226" s="712">
        <f>-(VLOOKUP(Sheet1!BR226,Lookup!$B$4:$J$236,3)-VLOOKUP(Sheet1!BR225,Lookup!$B$4:$J$236,3))/1000000</f>
        <v>1.333</v>
      </c>
      <c r="EH226" s="712">
        <f>-(VLOOKUP(Sheet1!BS226,Lookup!$B$4:$J$236,4)-VLOOKUP(Sheet1!BS225,Lookup!$B$4:$J$236,4))/1000000</f>
        <v>0</v>
      </c>
      <c r="EI226" s="697">
        <f t="shared" si="796"/>
        <v>2.9356</v>
      </c>
      <c r="EJ226" s="712"/>
      <c r="EK226" s="712"/>
      <c r="EL226" s="712"/>
      <c r="EM226" s="712"/>
      <c r="EN226" s="712"/>
      <c r="EO226" s="712"/>
      <c r="EP226" s="712"/>
      <c r="EQ226" s="712"/>
      <c r="ET226" s="794">
        <f t="shared" si="720"/>
        <v>1137.0999999999999</v>
      </c>
      <c r="EU226" s="697">
        <v>8785</v>
      </c>
      <c r="EV226" s="795">
        <f t="shared" si="734"/>
        <v>20927.370271462572</v>
      </c>
      <c r="EW226" s="796" t="s">
        <v>757</v>
      </c>
      <c r="EX226" s="796" t="s">
        <v>758</v>
      </c>
      <c r="EY226" s="712">
        <v>0</v>
      </c>
      <c r="EZ226" s="798">
        <v>22479.000000053729</v>
      </c>
      <c r="FA226" s="712"/>
      <c r="FB226" s="712"/>
      <c r="FC226" s="712"/>
      <c r="FD226" s="712"/>
      <c r="FE226" s="712">
        <f>O226+Sheet1!CO226</f>
        <v>9397.1</v>
      </c>
      <c r="FF226" s="712">
        <f>IF(Sheet1!AA226+AG226&lt;=Calculation!N226,AG226,Calculation!N226-Sheet1!AA226)</f>
        <v>6.3710407239819</v>
      </c>
      <c r="FG226" s="712">
        <f>(Sheet1!BP226+Sheet1!BO226)/694.4</f>
        <v>4.1408410138248852</v>
      </c>
      <c r="FH226" s="712"/>
      <c r="FI226" s="712"/>
      <c r="FJ226" s="712"/>
      <c r="FK226" s="712"/>
      <c r="FL226" s="714">
        <f t="shared" si="726"/>
        <v>40753</v>
      </c>
      <c r="FM226" s="714">
        <f t="shared" si="727"/>
        <v>40851</v>
      </c>
      <c r="FN226" s="712"/>
      <c r="FO226" s="712"/>
      <c r="FP226" s="712"/>
      <c r="FQ226" s="712"/>
      <c r="FR226" s="712"/>
      <c r="FS226" s="725">
        <f t="shared" si="735"/>
        <v>40603</v>
      </c>
      <c r="FT226" s="714">
        <f t="shared" si="729"/>
        <v>40709</v>
      </c>
      <c r="FU226" s="712">
        <f t="shared" si="735"/>
        <v>6518.9048239895692</v>
      </c>
      <c r="FV226" s="714">
        <f t="shared" si="730"/>
        <v>40722</v>
      </c>
      <c r="FW226" s="712">
        <f t="shared" si="735"/>
        <v>3259.4524119947846</v>
      </c>
      <c r="FX226" s="725">
        <f t="shared" si="735"/>
        <v>40851</v>
      </c>
      <c r="FZ226" s="697">
        <f t="shared" si="722"/>
        <v>0</v>
      </c>
      <c r="GA226" s="712" t="str">
        <f t="shared" si="797"/>
        <v/>
      </c>
      <c r="GB226" s="712">
        <f t="shared" si="798"/>
        <v>0</v>
      </c>
      <c r="GC226" s="712" t="str">
        <f t="shared" si="799"/>
        <v/>
      </c>
      <c r="GD226" s="712">
        <f>IF(GA226="P",Lookup!$M$12,IF(GA226="PP",Lookup!$M$13,IF(GA226="PPP",Lookup!$M$14,IF(GA226="T",Lookup!$M$15,IF(GA226="TP",Lookup!$M$16,IF(GA226="TPP",Lookup!$M$17,IF(GA226="TPPP",Lookup!$M$18,0)))))))*FZ226</f>
        <v>0</v>
      </c>
      <c r="GE226" s="712">
        <f t="shared" si="800"/>
        <v>0</v>
      </c>
      <c r="GF226" s="712">
        <f t="shared" si="801"/>
        <v>4166.6666666666661</v>
      </c>
      <c r="GG226" s="712">
        <f t="shared" si="802"/>
        <v>1358.1051716644936</v>
      </c>
      <c r="GH226" s="712"/>
      <c r="GI226" s="712">
        <f t="shared" si="803"/>
        <v>0</v>
      </c>
      <c r="GJ226" s="712" t="str">
        <f t="shared" si="804"/>
        <v/>
      </c>
      <c r="GK226" s="712">
        <f>IF(GA226="P",Lookup!$N$12,IF(GA226="PP",Lookup!$N$13,IF(GA226="PPP",Lookup!$N$14,IF(GA226="T",Lookup!$N$15,IF(GA226="TP",Lookup!$N$16,IF(GA226="TPP",Lookup!$N$17,IF(GA226="TPPP",Lookup!$N$18,0)))))))*FZ226</f>
        <v>0</v>
      </c>
      <c r="GL226" s="712">
        <f t="shared" si="805"/>
        <v>0</v>
      </c>
      <c r="GM226" s="712">
        <f t="shared" si="806"/>
        <v>1926.0364444444442</v>
      </c>
      <c r="GN226" s="712">
        <f t="shared" si="807"/>
        <v>627.7824134434303</v>
      </c>
      <c r="GO226" s="712"/>
      <c r="GP226" s="712">
        <f t="shared" si="808"/>
        <v>0</v>
      </c>
      <c r="GQ226" s="712" t="str">
        <f t="shared" si="809"/>
        <v/>
      </c>
      <c r="GR226" s="712">
        <f>IF(GA226="P",Lookup!$N$12,IF(GA226="PP",Lookup!$N$13,IF(GA226="PPP",Lookup!$N$14,IF(GA226="T",Lookup!$N$15,IF(GA226="TP",Lookup!$N$16,IF(GA226="TPP",Lookup!$N$17,IF(GA226="TPPP",Lookup!$N$18,0)))))))*FZ226</f>
        <v>0</v>
      </c>
      <c r="GS226" s="697">
        <f t="shared" si="724"/>
        <v>0</v>
      </c>
      <c r="GT226" s="712">
        <f t="shared" si="810"/>
        <v>1907.2315974281694</v>
      </c>
      <c r="GU226" s="712">
        <f t="shared" si="811"/>
        <v>621.65306304699129</v>
      </c>
      <c r="GV226" s="712"/>
      <c r="GW226" s="712">
        <f t="shared" si="812"/>
        <v>0</v>
      </c>
      <c r="GX226" s="712" t="str">
        <f t="shared" si="813"/>
        <v/>
      </c>
      <c r="GY226" s="712">
        <f>IF(GA226="P",Lookup!$N$12,IF(GA226="PP",Lookup!$N$13,IF(GA226="PPP",Lookup!$N$14,IF(GA226="T",Lookup!$N$15,IF(GA226="TP",Lookup!$N$16,IF(GA226="TPP",Lookup!$N$17,IF(GA226="TPPP",Lookup!$N$18,0)))))))*FZ226</f>
        <v>0</v>
      </c>
      <c r="GZ226" s="697">
        <f t="shared" si="725"/>
        <v>0</v>
      </c>
      <c r="HA226" s="712">
        <f t="shared" si="814"/>
        <v>1854.6150200976369</v>
      </c>
      <c r="HB226" s="712">
        <f t="shared" si="815"/>
        <v>604.50294005789988</v>
      </c>
      <c r="HC226" s="712"/>
    </row>
    <row r="227" spans="1:211">
      <c r="A227" s="773" t="s">
        <v>4</v>
      </c>
      <c r="B227" s="708">
        <v>40756</v>
      </c>
      <c r="C227" s="709">
        <v>0.5</v>
      </c>
      <c r="D227" s="675">
        <f t="shared" si="737"/>
        <v>200</v>
      </c>
      <c r="E227" s="675">
        <f t="shared" si="738"/>
        <v>400</v>
      </c>
      <c r="F227" s="675">
        <v>250</v>
      </c>
      <c r="G227" s="712">
        <f>DH227+Sheet1!CV227</f>
        <v>292.42687846623983</v>
      </c>
      <c r="H227" s="712">
        <f t="shared" si="739"/>
        <v>0</v>
      </c>
      <c r="I227" s="711">
        <f>MAX(Sheet1!Z227-AJ227+(Sheet1!CW227-E227)*CFStoMGD,0)</f>
        <v>68.05095257731854</v>
      </c>
      <c r="J227" s="720">
        <f>IF(AND(B227&gt;=Calculation!FS227,B227&lt;=Calculation!FT227),IF(Sheet1!CX227&gt;=Calculation!D227,64.64,0),MAX(Sheet1!Z227-AJ227+(Sheet1!CX227-D227)*CFStoMGD,0))</f>
        <v>48.490619243985215</v>
      </c>
      <c r="K227" s="697">
        <f t="shared" si="740"/>
        <v>0</v>
      </c>
      <c r="L227" s="712">
        <f>Sheet1!AA227+Sheet1!AB227-Sheet1!L227+(Sheet1!CW227-F227)*CFStoMGD</f>
        <v>215.76920000000581</v>
      </c>
      <c r="M227" s="712">
        <f t="shared" si="741"/>
        <v>192.80522892538897</v>
      </c>
      <c r="N227" s="712">
        <f>IF(Sheet1!CW227&gt;=F227,MIN(73,MIN(MAX(L227,0),MAX(M227,0))),0)</f>
        <v>73</v>
      </c>
      <c r="O227" s="721">
        <f>Sheet1!AA227+Sheet1!AB227</f>
        <v>64.350000000005821</v>
      </c>
      <c r="P227" s="721">
        <f t="shared" si="742"/>
        <v>99.549450000009003</v>
      </c>
      <c r="Q227" s="712">
        <f>MIN(N227,Sheet1!AA227+AG227)</f>
        <v>48.928247422684365</v>
      </c>
      <c r="R227" s="712">
        <f t="shared" si="743"/>
        <v>16</v>
      </c>
      <c r="S227" s="721">
        <f>Sheet1!Y227*MGDtoCFS</f>
        <v>63.550759999999997</v>
      </c>
      <c r="T227" s="721">
        <f>Sheet1!Z227*MGDtoCFS</f>
        <v>34.374339999999997</v>
      </c>
      <c r="U227" s="721">
        <f>Sheet1!AA227*MGDtoCFS</f>
        <v>62.344100000004502</v>
      </c>
      <c r="V227" s="721">
        <f>Sheet1!AB227*MGDtoCFS</f>
        <v>37.205350000004501</v>
      </c>
      <c r="W227" s="721">
        <f>Sheet1!L227*MGDtoCFS</f>
        <v>0</v>
      </c>
      <c r="X227" s="697">
        <f t="shared" si="744"/>
        <v>15.957195876289864</v>
      </c>
      <c r="Y227" s="712">
        <f t="shared" si="745"/>
        <v>24.685782020620419</v>
      </c>
      <c r="Z227" s="712">
        <f t="shared" si="746"/>
        <v>0</v>
      </c>
      <c r="AA227" s="712">
        <f t="shared" si="747"/>
        <v>0</v>
      </c>
      <c r="AB227" s="712">
        <f>(VLOOKUP(Sheet1!CY227,hhdcap_wcm,4)-(((VLOOKUP(Sheet1!CY227,hhdcap_wcm,3)-Sheet1!CY227)/(VLOOKUP(Sheet1!CY227,hhdcap_wcm,3)-VLOOKUP(Sheet1!CY227,hhdcap_wcm,1)))*(VLOOKUP(Sheet1!CY227,hhdcap_wcm,4)-VLOOKUP(Sheet1!CY227,hhdcap_wcm,2))))</f>
        <v>40684.320000098043</v>
      </c>
      <c r="AC227" s="712">
        <f t="shared" si="748"/>
        <v>-102.60000000144646</v>
      </c>
      <c r="AD227" s="712">
        <f t="shared" si="749"/>
        <v>3196.086392336525</v>
      </c>
      <c r="AE227" s="712">
        <f t="shared" si="750"/>
        <v>9805.5930516884582</v>
      </c>
      <c r="AF227" s="712">
        <f>Sheet1!BA227+Sheet1!BB227+Sheet1!BN227+BT227</f>
        <v>8.6999999999999993</v>
      </c>
      <c r="AG227" s="712">
        <f t="shared" si="751"/>
        <v>8.6282474226814561</v>
      </c>
      <c r="AH227" s="712">
        <f>Sheet1!BA227+BT227</f>
        <v>0</v>
      </c>
      <c r="AI227" s="712">
        <f>Sheet1!BA227+Sheet1!BB227+BT227</f>
        <v>0</v>
      </c>
      <c r="AJ227" s="712">
        <f>IF((Sheet1!AA227+AG227+AX227+AZ227+BQ227+BS227+CL227+CN227)&lt;=N227,AG227+AX227+AZ227+BQ227+BS227+CL227+CN227,N227-Sheet1!AA227)</f>
        <v>8.6282474226814561</v>
      </c>
      <c r="AK227" s="712">
        <f>IF(DR227&lt;K227,0,MAX(Sheet1!AA227+AG227-15/36*K227-N227,Sheet1!ED227,0))</f>
        <v>0</v>
      </c>
      <c r="AL227" s="712">
        <f>IF(OR(B227&gt;=FT227,B227&lt;FS227),0,15/36*K227-MAX(0,64.6-(137.6-(Sheet1!AA227+Sheet1!AB227))))</f>
        <v>0</v>
      </c>
      <c r="AM227" s="712">
        <f>Sheet1!CX227-110</f>
        <v>143.98958333333334</v>
      </c>
      <c r="AN227" s="712">
        <f>Sheet1!CW227-265</f>
        <v>219.25</v>
      </c>
      <c r="AO227" s="712">
        <f t="shared" si="733"/>
        <v>24.071752577315635</v>
      </c>
      <c r="AP227" s="712">
        <f t="shared" si="752"/>
        <v>0</v>
      </c>
      <c r="AQ227" s="712">
        <f t="shared" si="753"/>
        <v>0</v>
      </c>
      <c r="AR227" s="712">
        <f t="shared" si="754"/>
        <v>1358.1051716644936</v>
      </c>
      <c r="AS227" s="712"/>
      <c r="AT227" s="712">
        <f ca="1">IF(B227&gt;Summary!$A$1,#N/A,AR227*MGtoAF)</f>
        <v>4166.6666666666661</v>
      </c>
      <c r="AU227" s="712">
        <f>Sheet1!BG227+Sheet1!BH227+Sheet1!BI227-BC227</f>
        <v>1.51</v>
      </c>
      <c r="AV227" s="712">
        <f t="shared" si="755"/>
        <v>1.4975463917527585</v>
      </c>
      <c r="AW227" s="712">
        <f>IF(Sheet1!EL227="FM",BC227,0)</f>
        <v>0</v>
      </c>
      <c r="AX227" s="712">
        <f t="shared" si="756"/>
        <v>0</v>
      </c>
      <c r="AY227" s="712">
        <f>IF(Sheet1!EL227="OTHER",BC227,0)</f>
        <v>0</v>
      </c>
      <c r="AZ227" s="712">
        <f t="shared" si="757"/>
        <v>0</v>
      </c>
      <c r="BA227" s="712">
        <f t="shared" si="758"/>
        <v>1.51</v>
      </c>
      <c r="BB227" s="712">
        <f t="shared" si="759"/>
        <v>1.4975463917527585</v>
      </c>
      <c r="BC227" s="712">
        <f>IF(OR(Sheet1!EL227="FM", Sheet1!EL227="OTHER"),SUM(Sheet1!BG227:'Sheet1'!BI227),0)</f>
        <v>0</v>
      </c>
      <c r="BD227" s="697">
        <f>IF(AND($B227&gt;=$FL227,$B227&lt;=$FM227),MAX(AV227,Sheet1!EE227,0),MAX(AV227-(7/36)*$K227,0))</f>
        <v>2</v>
      </c>
      <c r="BE227" s="712">
        <f t="shared" si="760"/>
        <v>0</v>
      </c>
      <c r="BF227" s="697">
        <f t="shared" si="761"/>
        <v>0</v>
      </c>
      <c r="BG227" s="697">
        <f>IF(AND($O227&gt;0,Sheet1!EI227=1),(1-($O227-Sheet1!$L227)/$O227)*BB227,0)</f>
        <v>0</v>
      </c>
      <c r="BH227" s="697">
        <f>IF(AND(Sheet1!$L227=0,Sheet1!$L226=0, Calculation!BA227&lt;Sheet1!$EE227-0.1,Sheet1!$EE227=Sheet1!$EE226,Sheet1!$EE227=Sheet1!$EE228),Sheet1!$EE227,BB227-BG227)</f>
        <v>2</v>
      </c>
      <c r="BI227" s="712"/>
      <c r="BJ227" s="712"/>
      <c r="BK227" s="712">
        <f t="shared" si="762"/>
        <v>625.7824134434303</v>
      </c>
      <c r="BL227" s="712"/>
      <c r="BM227" s="712">
        <f ca="1">IF(B227&gt;Summary!$A$1,#N/A,BK227*MGtoAF)</f>
        <v>1919.9004444444442</v>
      </c>
      <c r="BN227" s="712">
        <f>Sheet1!BC227+Sheet1!BD227+Sheet1!BE227+Sheet1!BF227-BW227-BX227</f>
        <v>4</v>
      </c>
      <c r="BO227" s="712">
        <f t="shared" si="763"/>
        <v>3.9670103092788307</v>
      </c>
      <c r="BP227" s="712">
        <f>IF(Sheet1!EM227="FM",BX227,0)</f>
        <v>0</v>
      </c>
      <c r="BQ227" s="712">
        <f t="shared" si="764"/>
        <v>0</v>
      </c>
      <c r="BR227" s="712">
        <f>IF(Sheet1!EM227="OTHER",BX227,0)</f>
        <v>0</v>
      </c>
      <c r="BS227" s="712">
        <f t="shared" si="765"/>
        <v>0</v>
      </c>
      <c r="BT227" s="712">
        <f t="shared" si="766"/>
        <v>0</v>
      </c>
      <c r="BU227" s="712">
        <f t="shared" si="767"/>
        <v>4</v>
      </c>
      <c r="BV227" s="712">
        <f t="shared" si="768"/>
        <v>3.9670103092788307</v>
      </c>
      <c r="BW227" s="712">
        <f>IF(Sheet1!EM227="CWA",SUM(Sheet1!BC227:'Sheet1'!BF227),0)</f>
        <v>0</v>
      </c>
      <c r="BX227" s="712">
        <f>IF(OR(Sheet1!EM227="FM", Sheet1!EM227="OTHER"),SUM(Sheet1!BC227:'Sheet1'!BF227),0)</f>
        <v>0</v>
      </c>
      <c r="BY227" s="697">
        <f>IF(AND($B227&gt;=$FL227,$B227&lt;=$FM227),MAX(BV227,Sheet1!EF227,0),MAX(BV227-(7/36)*$K227,0))</f>
        <v>4</v>
      </c>
      <c r="BZ227" s="712">
        <f t="shared" si="769"/>
        <v>0</v>
      </c>
      <c r="CA227" s="697">
        <f t="shared" si="770"/>
        <v>0</v>
      </c>
      <c r="CB227" s="697">
        <f>IF(AND($O227&gt;0,Sheet1!EJ227=1),(1-($O227-Sheet1!$L227)/$O227)*BV227,0)</f>
        <v>0</v>
      </c>
      <c r="CC227" s="697">
        <f>IF(AND(Sheet1!$L227=0,Sheet1!$L226=0, Calculation!BU227&lt;Sheet1!EF227-0.1,Sheet1!EF227=Sheet1!EF226,Sheet1!EF227=Sheet1!EF228),Sheet1!EF227,BV227-CB227)</f>
        <v>3.9670103092788307</v>
      </c>
      <c r="CD227" s="697"/>
      <c r="CE227" s="712"/>
      <c r="CF227" s="712">
        <f t="shared" si="771"/>
        <v>617.65306304699129</v>
      </c>
      <c r="CG227" s="712"/>
      <c r="CH227" s="712">
        <f ca="1">IF(B227&gt;Summary!$A$1,#N/A,CF227*MGtoAF)</f>
        <v>1894.9595974281692</v>
      </c>
      <c r="CI227" s="712">
        <f>Sheet1!BK227+Sheet1!BL227+Sheet1!BM227-Sheet1!EN227-CQ227</f>
        <v>10.039999999999999</v>
      </c>
      <c r="CJ227" s="712">
        <f t="shared" si="772"/>
        <v>9.9571958762898642</v>
      </c>
      <c r="CK227" s="712">
        <f>IF(Sheet1!EN227="FM",CQ227,0)</f>
        <v>0</v>
      </c>
      <c r="CL227" s="712">
        <f t="shared" si="773"/>
        <v>0</v>
      </c>
      <c r="CM227" s="712">
        <f>IF(Sheet1!EN227="OTHER",CQ227,0)</f>
        <v>0</v>
      </c>
      <c r="CN227" s="712">
        <f t="shared" si="774"/>
        <v>0</v>
      </c>
      <c r="CO227" s="712">
        <f t="shared" si="775"/>
        <v>10.039999999999999</v>
      </c>
      <c r="CP227" s="712">
        <f t="shared" si="776"/>
        <v>9.9571958762898642</v>
      </c>
      <c r="CQ227" s="712">
        <f>IF(OR(Sheet1!EN227="FM", Sheet1!EN227="OTHER"),SUM(Sheet1!BK227:'Sheet1'!BM227),0)</f>
        <v>0</v>
      </c>
      <c r="CR227" s="800">
        <f t="shared" si="736"/>
        <v>9.9571958762898642</v>
      </c>
      <c r="CS227" s="712">
        <f t="shared" si="777"/>
        <v>0</v>
      </c>
      <c r="CT227" s="697">
        <f t="shared" si="778"/>
        <v>0</v>
      </c>
      <c r="CU227" s="697">
        <f>IF(AND($O227&gt;0,Sheet1!EK227=1),(1-($O227-Sheet1!$L227)/$O227)*CP227,0)</f>
        <v>0</v>
      </c>
      <c r="CV227" s="697">
        <f>IF(AND(Sheet1!$L227=0,Sheet1!$L226=0, Calculation!CO227&lt;Sheet1!$EG227-0.1,Sheet1!$EG227=Sheet1!$EG226,Sheet1!$EG227=Sheet1!$EG228),Sheet1!$EG227,CP227-CU227)</f>
        <v>9.9571958762898642</v>
      </c>
      <c r="CW227" s="697">
        <f t="shared" si="721"/>
        <v>0</v>
      </c>
      <c r="CX227" s="712">
        <f t="shared" si="779"/>
        <v>15.549999999999999</v>
      </c>
      <c r="CY227" s="712">
        <f t="shared" si="780"/>
        <v>594.54574418160996</v>
      </c>
      <c r="CZ227" s="712">
        <f t="shared" si="781"/>
        <v>15.421752577321453</v>
      </c>
      <c r="DA227" s="712">
        <f ca="1">IF(B227&gt;Summary!$A$1,#N/A,CY227*MGtoAF)</f>
        <v>1824.0663431491794</v>
      </c>
      <c r="DB227" s="712">
        <f t="shared" si="782"/>
        <v>15.549999999999999</v>
      </c>
      <c r="DC227" s="712">
        <f t="shared" si="783"/>
        <v>24.25</v>
      </c>
      <c r="DD227" s="712">
        <f>Sheet1!AB227-DC227</f>
        <v>-0.19999999999708962</v>
      </c>
      <c r="DE227" s="712">
        <f t="shared" si="784"/>
        <v>-8.2474226802923545E-3</v>
      </c>
      <c r="DF227" s="712">
        <f>(VLOOKUP(Sheet1!CY227,hhdcap_wcm,4)-(((VLOOKUP(Sheet1!CY227,hhdcap_wcm,3)-Sheet1!CY227)/(VLOOKUP(Sheet1!CY227,hhdcap_wcm,3)-VLOOKUP(Sheet1!CY227,hhdcap_wcm,1)))*(VLOOKUP(Sheet1!CY227,hhdcap_wcm,4)-VLOOKUP(Sheet1!CY227,hhdcap_wcm,2))))</f>
        <v>40684.320000098043</v>
      </c>
      <c r="DG227" s="712">
        <f t="shared" si="785"/>
        <v>-102.60000000144646</v>
      </c>
      <c r="DH227" s="712">
        <f t="shared" si="786"/>
        <v>-51.739788200426851</v>
      </c>
      <c r="DI227" s="712">
        <f>Sheet1!DW227*AFtoMG</f>
        <v>0</v>
      </c>
      <c r="DJ227" s="712">
        <f>Sheet1!DX227*AFtoMG</f>
        <v>0</v>
      </c>
      <c r="DK227" s="712">
        <f>Sheet1!DY227*AFtoMG</f>
        <v>0</v>
      </c>
      <c r="DL227" s="712">
        <f>Sheet1!DZ227*AFtoMG</f>
        <v>0</v>
      </c>
      <c r="DM227" s="712">
        <f t="shared" si="787"/>
        <v>0</v>
      </c>
      <c r="DN227" s="712">
        <f t="shared" si="788"/>
        <v>0</v>
      </c>
      <c r="DO227" s="712">
        <f t="shared" si="789"/>
        <v>3196.086392336525</v>
      </c>
      <c r="DP227" s="712">
        <f t="shared" si="790"/>
        <v>9805.5930516884582</v>
      </c>
      <c r="DQ227" s="712"/>
      <c r="DR227" s="697">
        <f>IF(OR(B227&lt;FL227,B227&gt;FM227),(MIN(AV227+BO227+CJ227+MAX(Sheet1!AA227+AG227-73,0),K227)),0)</f>
        <v>0</v>
      </c>
      <c r="DS227" s="712"/>
      <c r="DT227" s="712">
        <f t="shared" si="791"/>
        <v>15.421752577321453</v>
      </c>
      <c r="DU227" s="712"/>
      <c r="DV227" s="712">
        <f>Sheet1!ED227+Sheet1!EE227+Sheet1!EF227+Sheet1!EG227</f>
        <v>16</v>
      </c>
      <c r="DW227" s="712"/>
      <c r="DX227" s="697">
        <f t="shared" si="792"/>
        <v>0</v>
      </c>
      <c r="DY227" s="712">
        <f>IF(Sheet1!FN227=1,SUM('Calculations II'!AT227:BA227)+'Calculations II'!BC227+Sheet1!BU227+'Calculations II'!BE227+AF227,SUM('Calculations II'!AT227:BA227)+'Calculations II'!BC227+Sheet1!BU227+'Calculations II'!BE227+AF227)</f>
        <v>66.966943999999998</v>
      </c>
      <c r="DZ227" s="712">
        <f>Sheet1!AA227+Sheet1!AB227+'Calculations II'!BC227</f>
        <v>77.756976000005821</v>
      </c>
      <c r="EA227" s="712"/>
      <c r="EB227" s="712"/>
      <c r="EC227" s="712">
        <f t="shared" si="793"/>
        <v>40756</v>
      </c>
      <c r="ED227" s="712">
        <f t="shared" si="794"/>
        <v>-15.957195876289864</v>
      </c>
      <c r="EE227" s="712">
        <f t="shared" si="795"/>
        <v>-24.685782020620419</v>
      </c>
      <c r="EF227" s="712">
        <f>-(VLOOKUP(Sheet1!BQ227,Lookup!$B$4:$J$236,2)-VLOOKUP(Sheet1!BQ226,Lookup!$B$4:$J$236,2))/1000000</f>
        <v>0.53420000000000001</v>
      </c>
      <c r="EG227" s="712">
        <f>-(VLOOKUP(Sheet1!BR227,Lookup!$B$4:$J$236,3)-VLOOKUP(Sheet1!BR226,Lookup!$B$4:$J$236,3))/1000000</f>
        <v>0.5333</v>
      </c>
      <c r="EH227" s="712">
        <f>-(VLOOKUP(Sheet1!BS227,Lookup!$B$4:$J$236,4)-VLOOKUP(Sheet1!BS226,Lookup!$B$4:$J$236,4))/1000000</f>
        <v>0</v>
      </c>
      <c r="EI227" s="697">
        <f t="shared" si="796"/>
        <v>1.0674999999999999</v>
      </c>
      <c r="EJ227" s="712"/>
      <c r="EK227" s="712"/>
      <c r="EL227" s="712"/>
      <c r="EM227" s="712"/>
      <c r="EN227" s="712"/>
      <c r="EO227" s="712"/>
      <c r="EP227" s="712"/>
      <c r="EQ227" s="712"/>
      <c r="ET227" s="794">
        <f t="shared" si="720"/>
        <v>1137</v>
      </c>
      <c r="EU227" s="697">
        <v>8785</v>
      </c>
      <c r="EV227" s="795">
        <f t="shared" si="734"/>
        <v>20873.726948409585</v>
      </c>
      <c r="EW227" s="796" t="s">
        <v>757</v>
      </c>
      <c r="EX227" s="796" t="s">
        <v>758</v>
      </c>
      <c r="EY227" s="712">
        <v>0</v>
      </c>
      <c r="EZ227" s="798">
        <v>22343.600000052182</v>
      </c>
      <c r="FA227" s="712"/>
      <c r="FB227" s="712"/>
      <c r="FC227" s="712"/>
      <c r="FD227" s="712"/>
      <c r="FE227" s="712">
        <f>O227+Sheet1!CO227</f>
        <v>9374.7500000000055</v>
      </c>
      <c r="FF227" s="712">
        <f>IF(Sheet1!AA227+AG227&lt;=Calculation!N227,AG227,Calculation!N227-Sheet1!AA227)</f>
        <v>8.6282474226814561</v>
      </c>
      <c r="FG227" s="712">
        <f>(Sheet1!BP227+Sheet1!BO227)/694.4</f>
        <v>4.3843605990783407</v>
      </c>
      <c r="FH227" s="712"/>
      <c r="FI227" s="712"/>
      <c r="FJ227" s="712"/>
      <c r="FK227" s="712"/>
      <c r="FL227" s="714">
        <f t="shared" si="726"/>
        <v>40753</v>
      </c>
      <c r="FM227" s="714">
        <f t="shared" si="727"/>
        <v>40851</v>
      </c>
      <c r="FN227" s="712"/>
      <c r="FO227" s="712"/>
      <c r="FP227" s="712"/>
      <c r="FQ227" s="712"/>
      <c r="FR227" s="712"/>
      <c r="FS227" s="725">
        <f t="shared" si="735"/>
        <v>40603</v>
      </c>
      <c r="FT227" s="714">
        <f t="shared" si="729"/>
        <v>40709</v>
      </c>
      <c r="FU227" s="712">
        <f t="shared" si="735"/>
        <v>6518.9048239895692</v>
      </c>
      <c r="FV227" s="714">
        <f t="shared" si="730"/>
        <v>40722</v>
      </c>
      <c r="FW227" s="712">
        <f t="shared" si="735"/>
        <v>3259.4524119947846</v>
      </c>
      <c r="FX227" s="725">
        <f t="shared" si="735"/>
        <v>40851</v>
      </c>
      <c r="FZ227" s="697">
        <f t="shared" si="722"/>
        <v>0</v>
      </c>
      <c r="GA227" s="712" t="str">
        <f t="shared" si="797"/>
        <v/>
      </c>
      <c r="GB227" s="712">
        <f t="shared" si="798"/>
        <v>0</v>
      </c>
      <c r="GC227" s="712" t="str">
        <f t="shared" si="799"/>
        <v/>
      </c>
      <c r="GD227" s="712">
        <f>IF(GA227="P",Lookup!$M$12,IF(GA227="PP",Lookup!$M$13,IF(GA227="PPP",Lookup!$M$14,IF(GA227="T",Lookup!$M$15,IF(GA227="TP",Lookup!$M$16,IF(GA227="TPP",Lookup!$M$17,IF(GA227="TPPP",Lookup!$M$18,0)))))))*FZ227</f>
        <v>0</v>
      </c>
      <c r="GE227" s="712">
        <f t="shared" si="800"/>
        <v>0</v>
      </c>
      <c r="GF227" s="712">
        <f t="shared" si="801"/>
        <v>4166.6666666666661</v>
      </c>
      <c r="GG227" s="712">
        <f t="shared" si="802"/>
        <v>1358.1051716644936</v>
      </c>
      <c r="GH227" s="712"/>
      <c r="GI227" s="712">
        <f t="shared" si="803"/>
        <v>0</v>
      </c>
      <c r="GJ227" s="712" t="str">
        <f t="shared" si="804"/>
        <v/>
      </c>
      <c r="GK227" s="712">
        <f>IF(GA227="P",Lookup!$N$12,IF(GA227="PP",Lookup!$N$13,IF(GA227="PPP",Lookup!$N$14,IF(GA227="T",Lookup!$N$15,IF(GA227="TP",Lookup!$N$16,IF(GA227="TPP",Lookup!$N$17,IF(GA227="TPPP",Lookup!$N$18,0)))))))*FZ227</f>
        <v>0</v>
      </c>
      <c r="GL227" s="712">
        <f t="shared" si="805"/>
        <v>0</v>
      </c>
      <c r="GM227" s="712">
        <f t="shared" si="806"/>
        <v>1919.9004444444442</v>
      </c>
      <c r="GN227" s="712">
        <f t="shared" si="807"/>
        <v>625.7824134434303</v>
      </c>
      <c r="GO227" s="712"/>
      <c r="GP227" s="712">
        <f t="shared" si="808"/>
        <v>0</v>
      </c>
      <c r="GQ227" s="712" t="str">
        <f t="shared" si="809"/>
        <v/>
      </c>
      <c r="GR227" s="712">
        <f>IF(GA227="P",Lookup!$N$12,IF(GA227="PP",Lookup!$N$13,IF(GA227="PPP",Lookup!$N$14,IF(GA227="T",Lookup!$N$15,IF(GA227="TP",Lookup!$N$16,IF(GA227="TPP",Lookup!$N$17,IF(GA227="TPPP",Lookup!$N$18,0)))))))*FZ227</f>
        <v>0</v>
      </c>
      <c r="GS227" s="697">
        <f t="shared" si="724"/>
        <v>0</v>
      </c>
      <c r="GT227" s="712">
        <f t="shared" si="810"/>
        <v>1894.9595974281692</v>
      </c>
      <c r="GU227" s="712">
        <f t="shared" si="811"/>
        <v>617.65306304699129</v>
      </c>
      <c r="GV227" s="712"/>
      <c r="GW227" s="712">
        <f t="shared" si="812"/>
        <v>0</v>
      </c>
      <c r="GX227" s="712" t="str">
        <f t="shared" si="813"/>
        <v/>
      </c>
      <c r="GY227" s="712">
        <f>IF(GA227="P",Lookup!$N$12,IF(GA227="PP",Lookup!$N$13,IF(GA227="PPP",Lookup!$N$14,IF(GA227="T",Lookup!$N$15,IF(GA227="TP",Lookup!$N$16,IF(GA227="TPP",Lookup!$N$17,IF(GA227="TPPP",Lookup!$N$18,0)))))))*FZ227</f>
        <v>0</v>
      </c>
      <c r="GZ227" s="697">
        <f t="shared" si="725"/>
        <v>0</v>
      </c>
      <c r="HA227" s="712">
        <f t="shared" si="814"/>
        <v>1824.0663431491794</v>
      </c>
      <c r="HB227" s="712">
        <f t="shared" si="815"/>
        <v>594.54574418160996</v>
      </c>
      <c r="HC227" s="712"/>
    </row>
    <row r="228" spans="1:211">
      <c r="A228" s="773" t="s">
        <v>5</v>
      </c>
      <c r="B228" s="708">
        <v>40757</v>
      </c>
      <c r="C228" s="719">
        <v>0.5</v>
      </c>
      <c r="D228" s="675">
        <f t="shared" si="737"/>
        <v>200</v>
      </c>
      <c r="E228" s="675">
        <f t="shared" si="738"/>
        <v>400</v>
      </c>
      <c r="F228" s="675">
        <v>250</v>
      </c>
      <c r="G228" s="712">
        <f>DH228+Sheet1!CV228</f>
        <v>280.71406959141206</v>
      </c>
      <c r="H228" s="712">
        <f t="shared" si="739"/>
        <v>0</v>
      </c>
      <c r="I228" s="711">
        <f>MAX(Sheet1!Z228-AJ228+(Sheet1!CW228-E228)*CFStoMGD,0)</f>
        <v>52.001586311505719</v>
      </c>
      <c r="J228" s="720">
        <f>IF(AND(B228&gt;=Calculation!FS228,B228&lt;=Calculation!FT228),IF(Sheet1!CX228&gt;=Calculation!D228,64.64,0),MAX(Sheet1!Z228-AJ228+(Sheet1!CX228-D228)*CFStoMGD,0))</f>
        <v>40.851186311505742</v>
      </c>
      <c r="K228" s="697">
        <f t="shared" si="740"/>
        <v>0</v>
      </c>
      <c r="L228" s="712">
        <f>Sheet1!AA228+Sheet1!AB228-Sheet1!L228+(Sheet1!CW228-F228)*CFStoMGD</f>
        <v>200.70926666666955</v>
      </c>
      <c r="M228" s="712">
        <f t="shared" si="741"/>
        <v>185.08264607556654</v>
      </c>
      <c r="N228" s="712">
        <f>IF(Sheet1!CW228&gt;=F228,MIN(73,MIN(MAX(L228,0),MAX(M228,0))),0)</f>
        <v>73</v>
      </c>
      <c r="O228" s="721">
        <f>Sheet1!AA228+Sheet1!AB228</f>
        <v>67.80000000000291</v>
      </c>
      <c r="P228" s="721">
        <f t="shared" si="742"/>
        <v>104.88660000000451</v>
      </c>
      <c r="Q228" s="712">
        <f>MIN(N228,Sheet1!AA228+AG228)</f>
        <v>51.887680355163837</v>
      </c>
      <c r="R228" s="712">
        <f t="shared" si="743"/>
        <v>16</v>
      </c>
      <c r="S228" s="721">
        <f>Sheet1!Y228*MGDtoCFS</f>
        <v>63.365119999999997</v>
      </c>
      <c r="T228" s="721">
        <f>Sheet1!Z228*MGDtoCFS</f>
        <v>41.985579999999999</v>
      </c>
      <c r="U228" s="721">
        <f>Sheet1!AA228*MGDtoCFS</f>
        <v>63.117600000004501</v>
      </c>
      <c r="V228" s="721">
        <f>Sheet1!AB228*MGDtoCFS</f>
        <v>41.768999999999998</v>
      </c>
      <c r="W228" s="721">
        <f>Sheet1!L228*MGDtoCFS</f>
        <v>0</v>
      </c>
      <c r="X228" s="697">
        <f t="shared" si="744"/>
        <v>16.104328523862375</v>
      </c>
      <c r="Y228" s="712">
        <f t="shared" si="745"/>
        <v>24.913396226415092</v>
      </c>
      <c r="Z228" s="712">
        <f t="shared" si="746"/>
        <v>0</v>
      </c>
      <c r="AA228" s="712">
        <f t="shared" si="747"/>
        <v>0</v>
      </c>
      <c r="AB228" s="712">
        <f>(VLOOKUP(Sheet1!CY228,hhdcap_wcm,4)-(((VLOOKUP(Sheet1!CY228,hhdcap_wcm,3)-Sheet1!CY228)/(VLOOKUP(Sheet1!CY228,hhdcap_wcm,3)-VLOOKUP(Sheet1!CY228,hhdcap_wcm,1)))*(VLOOKUP(Sheet1!CY228,hhdcap_wcm,4)-VLOOKUP(Sheet1!CY228,hhdcap_wcm,2))))</f>
        <v>40582.620000097813</v>
      </c>
      <c r="AC228" s="712">
        <f t="shared" si="748"/>
        <v>-101.70000000022992</v>
      </c>
      <c r="AD228" s="712">
        <f t="shared" si="749"/>
        <v>3179.9820638126625</v>
      </c>
      <c r="AE228" s="712">
        <f t="shared" si="750"/>
        <v>9756.1849717772493</v>
      </c>
      <c r="AF228" s="712">
        <f>Sheet1!BA228+Sheet1!BB228+Sheet1!BN228+BT228</f>
        <v>11.1</v>
      </c>
      <c r="AG228" s="712">
        <f t="shared" si="751"/>
        <v>11.087680355160931</v>
      </c>
      <c r="AH228" s="712">
        <f>Sheet1!BA228+BT228</f>
        <v>0</v>
      </c>
      <c r="AI228" s="712">
        <f>Sheet1!BA228+Sheet1!BB228+BT228</f>
        <v>0</v>
      </c>
      <c r="AJ228" s="712">
        <f>IF((Sheet1!AA228+AG228+AX228+AZ228+BQ228+BS228+CL228+CN228)&lt;=N228,AG228+AX228+AZ228+BQ228+BS228+CL228+CN228,N228-Sheet1!AA228)</f>
        <v>11.087680355160931</v>
      </c>
      <c r="AK228" s="712">
        <f>IF(DR228&lt;K228,0,MAX(Sheet1!AA228+AG228-15/36*K228-N228,Sheet1!ED228,0))</f>
        <v>0</v>
      </c>
      <c r="AL228" s="712">
        <f>IF(OR(B228&gt;=FT228,B228&lt;FS228),0,15/36*K228-MAX(0,64.6-(137.6-(Sheet1!AA228+Sheet1!AB228))))</f>
        <v>0</v>
      </c>
      <c r="AM228" s="712">
        <f>Sheet1!CX228-110</f>
        <v>128.36458333333334</v>
      </c>
      <c r="AN228" s="712">
        <f>Sheet1!CW228-265</f>
        <v>190.61458333333331</v>
      </c>
      <c r="AO228" s="712">
        <f t="shared" si="733"/>
        <v>21.112319644836163</v>
      </c>
      <c r="AP228" s="712">
        <f t="shared" si="752"/>
        <v>0</v>
      </c>
      <c r="AQ228" s="712">
        <f t="shared" si="753"/>
        <v>0</v>
      </c>
      <c r="AR228" s="712">
        <f t="shared" si="754"/>
        <v>1358.1051716644936</v>
      </c>
      <c r="AS228" s="712"/>
      <c r="AT228" s="712">
        <f ca="1">IF(B228&gt;Summary!$A$1,#N/A,AR228*MGtoAF)</f>
        <v>4166.6666666666661</v>
      </c>
      <c r="AU228" s="712">
        <f>Sheet1!BG228+Sheet1!BH228+Sheet1!BI228-BC228</f>
        <v>1.81</v>
      </c>
      <c r="AV228" s="712">
        <f t="shared" si="755"/>
        <v>1.8079911209766926</v>
      </c>
      <c r="AW228" s="712">
        <f>IF(Sheet1!EL228="FM",BC228,0)</f>
        <v>0</v>
      </c>
      <c r="AX228" s="712">
        <f t="shared" si="756"/>
        <v>0</v>
      </c>
      <c r="AY228" s="712">
        <f>IF(Sheet1!EL228="OTHER",BC228,0)</f>
        <v>0</v>
      </c>
      <c r="AZ228" s="712">
        <f t="shared" si="757"/>
        <v>0</v>
      </c>
      <c r="BA228" s="712">
        <f t="shared" si="758"/>
        <v>1.81</v>
      </c>
      <c r="BB228" s="712">
        <f t="shared" si="759"/>
        <v>1.8079911209766926</v>
      </c>
      <c r="BC228" s="712">
        <f>IF(OR(Sheet1!EL228="FM", Sheet1!EL228="OTHER"),SUM(Sheet1!BG228:'Sheet1'!BI228),0)</f>
        <v>0</v>
      </c>
      <c r="BD228" s="697">
        <f>IF(AND($B228&gt;=$FL228,$B228&lt;=$FM228),MAX(AV228,Sheet1!EE228,0),MAX(AV228-(7/36)*$K228,0))</f>
        <v>2</v>
      </c>
      <c r="BE228" s="712">
        <f t="shared" si="760"/>
        <v>0</v>
      </c>
      <c r="BF228" s="697">
        <f t="shared" si="761"/>
        <v>0</v>
      </c>
      <c r="BG228" s="697">
        <f>IF(AND($O228&gt;0,Sheet1!EI228=1),(1-($O228-Sheet1!$L228)/$O228)*BB228,0)</f>
        <v>0</v>
      </c>
      <c r="BH228" s="697">
        <f>IF(AND(Sheet1!$L228=0,Sheet1!$L227=0, Calculation!BA228&lt;Sheet1!$EE228-0.1,Sheet1!$EE228=Sheet1!$EE227,Sheet1!$EE228=Sheet1!$EE229),Sheet1!$EE228,BB228-BG228)</f>
        <v>2</v>
      </c>
      <c r="BI228" s="712"/>
      <c r="BJ228" s="712"/>
      <c r="BK228" s="712">
        <f t="shared" si="762"/>
        <v>623.7824134434303</v>
      </c>
      <c r="BL228" s="712"/>
      <c r="BM228" s="712">
        <f ca="1">IF(B228&gt;Summary!$A$1,#N/A,BK228*MGtoAF)</f>
        <v>1913.7644444444443</v>
      </c>
      <c r="BN228" s="712">
        <f>Sheet1!BC228+Sheet1!BD228+Sheet1!BE228+Sheet1!BF228-BW228-BX228</f>
        <v>4.08</v>
      </c>
      <c r="BO228" s="712">
        <f t="shared" si="763"/>
        <v>4.0754716981132075</v>
      </c>
      <c r="BP228" s="712">
        <f>IF(Sheet1!EM228="FM",BX228,0)</f>
        <v>0</v>
      </c>
      <c r="BQ228" s="712">
        <f t="shared" si="764"/>
        <v>0</v>
      </c>
      <c r="BR228" s="712">
        <f>IF(Sheet1!EM228="OTHER",BX228,0)</f>
        <v>0</v>
      </c>
      <c r="BS228" s="712">
        <f t="shared" si="765"/>
        <v>0</v>
      </c>
      <c r="BT228" s="712">
        <f t="shared" si="766"/>
        <v>0</v>
      </c>
      <c r="BU228" s="712">
        <f t="shared" si="767"/>
        <v>4.08</v>
      </c>
      <c r="BV228" s="712">
        <f t="shared" si="768"/>
        <v>4.0754716981132075</v>
      </c>
      <c r="BW228" s="712">
        <f>IF(Sheet1!EM228="CWA",SUM(Sheet1!BC228:'Sheet1'!BF228),0)</f>
        <v>0</v>
      </c>
      <c r="BX228" s="712">
        <f>IF(OR(Sheet1!EM228="FM", Sheet1!EM228="OTHER"),SUM(Sheet1!BC228:'Sheet1'!BF228),0)</f>
        <v>0</v>
      </c>
      <c r="BY228" s="697">
        <f>IF(AND($B228&gt;=$FL228,$B228&lt;=$FM228),MAX(BV228,Sheet1!EF228,0),MAX(BV228-(7/36)*$K228,0))</f>
        <v>4.0754716981132075</v>
      </c>
      <c r="BZ228" s="712">
        <f t="shared" si="769"/>
        <v>0</v>
      </c>
      <c r="CA228" s="697">
        <f t="shared" si="770"/>
        <v>0</v>
      </c>
      <c r="CB228" s="697">
        <f>IF(AND($O228&gt;0,Sheet1!EJ228=1),(1-($O228-Sheet1!$L228)/$O228)*BV228,0)</f>
        <v>0</v>
      </c>
      <c r="CC228" s="697">
        <f>IF(AND(Sheet1!$L228=0,Sheet1!$L227=0, Calculation!BU228&lt;Sheet1!EF228-0.1,Sheet1!EF228=Sheet1!EF227,Sheet1!EF228=Sheet1!EF229),Sheet1!EF228,BV228-CB228)</f>
        <v>4.0754716981132075</v>
      </c>
      <c r="CD228" s="697"/>
      <c r="CE228" s="712"/>
      <c r="CF228" s="712">
        <f t="shared" si="771"/>
        <v>613.57759134887806</v>
      </c>
      <c r="CG228" s="712"/>
      <c r="CH228" s="712">
        <f ca="1">IF(B228&gt;Summary!$A$1,#N/A,CF228*MGtoAF)</f>
        <v>1882.4560502583579</v>
      </c>
      <c r="CI228" s="712">
        <f>Sheet1!BK228+Sheet1!BL228+Sheet1!BM228-Sheet1!EN228-CQ228</f>
        <v>10.039999999999999</v>
      </c>
      <c r="CJ228" s="712">
        <f t="shared" si="772"/>
        <v>10.028856825749166</v>
      </c>
      <c r="CK228" s="712">
        <f>IF(Sheet1!EN228="FM",CQ228,0)</f>
        <v>0</v>
      </c>
      <c r="CL228" s="712">
        <f t="shared" si="773"/>
        <v>0</v>
      </c>
      <c r="CM228" s="712">
        <f>IF(Sheet1!EN228="OTHER",CQ228,0)</f>
        <v>0</v>
      </c>
      <c r="CN228" s="712">
        <f t="shared" si="774"/>
        <v>0</v>
      </c>
      <c r="CO228" s="712">
        <f t="shared" si="775"/>
        <v>10.039999999999999</v>
      </c>
      <c r="CP228" s="712">
        <f t="shared" si="776"/>
        <v>10.028856825749166</v>
      </c>
      <c r="CQ228" s="712">
        <f>IF(OR(Sheet1!EN228="FM", Sheet1!EN228="OTHER"),SUM(Sheet1!BK228:'Sheet1'!BM228),0)</f>
        <v>0</v>
      </c>
      <c r="CR228" s="800">
        <f t="shared" si="736"/>
        <v>10.028856825749166</v>
      </c>
      <c r="CS228" s="712">
        <f t="shared" si="777"/>
        <v>0</v>
      </c>
      <c r="CT228" s="697">
        <f t="shared" si="778"/>
        <v>0</v>
      </c>
      <c r="CU228" s="697">
        <f>IF(AND($O228&gt;0,Sheet1!EK228=1),(1-($O228-Sheet1!$L228)/$O228)*CP228,0)</f>
        <v>0</v>
      </c>
      <c r="CV228" s="697">
        <f>IF(AND(Sheet1!$L228=0,Sheet1!$L227=0, Calculation!CO228&lt;Sheet1!$EG228-0.1,Sheet1!$EG228=Sheet1!$EG227,Sheet1!$EG228=Sheet1!$EG229),Sheet1!$EG228,CP228-CU228)</f>
        <v>10.028856825749166</v>
      </c>
      <c r="CW228" s="697">
        <f t="shared" si="721"/>
        <v>0</v>
      </c>
      <c r="CX228" s="712">
        <f t="shared" si="779"/>
        <v>15.93</v>
      </c>
      <c r="CY228" s="712">
        <f t="shared" si="780"/>
        <v>584.51688735586083</v>
      </c>
      <c r="CZ228" s="712">
        <f t="shared" si="781"/>
        <v>15.912319644839066</v>
      </c>
      <c r="DA228" s="712">
        <f ca="1">IF(B228&gt;Summary!$A$1,#N/A,CY228*MGtoAF)</f>
        <v>1793.2978104077811</v>
      </c>
      <c r="DB228" s="712">
        <f t="shared" si="782"/>
        <v>15.93</v>
      </c>
      <c r="DC228" s="712">
        <f t="shared" si="783"/>
        <v>27.03</v>
      </c>
      <c r="DD228" s="712">
        <f>Sheet1!AB228-DC228</f>
        <v>-3.0000000000001137E-2</v>
      </c>
      <c r="DE228" s="712">
        <f t="shared" si="784"/>
        <v>-1.1098779134295648E-3</v>
      </c>
      <c r="DF228" s="712">
        <f>(VLOOKUP(Sheet1!CY228,hhdcap_wcm,4)-(((VLOOKUP(Sheet1!CY228,hhdcap_wcm,3)-Sheet1!CY228)/(VLOOKUP(Sheet1!CY228,hhdcap_wcm,3)-VLOOKUP(Sheet1!CY228,hhdcap_wcm,1)))*(VLOOKUP(Sheet1!CY228,hhdcap_wcm,4)-VLOOKUP(Sheet1!CY228,hhdcap_wcm,2))))</f>
        <v>40582.620000097813</v>
      </c>
      <c r="DG228" s="712">
        <f t="shared" si="785"/>
        <v>-101.70000000022992</v>
      </c>
      <c r="DH228" s="712">
        <f t="shared" si="786"/>
        <v>-51.285930408587951</v>
      </c>
      <c r="DI228" s="712">
        <f>Sheet1!DW228*AFtoMG</f>
        <v>0</v>
      </c>
      <c r="DJ228" s="712">
        <f>Sheet1!DX228*AFtoMG</f>
        <v>0</v>
      </c>
      <c r="DK228" s="712">
        <f>Sheet1!DY228*AFtoMG</f>
        <v>0</v>
      </c>
      <c r="DL228" s="712">
        <f>Sheet1!DZ228*AFtoMG</f>
        <v>0</v>
      </c>
      <c r="DM228" s="712">
        <f t="shared" si="787"/>
        <v>0</v>
      </c>
      <c r="DN228" s="712">
        <f t="shared" si="788"/>
        <v>0</v>
      </c>
      <c r="DO228" s="712">
        <f t="shared" si="789"/>
        <v>3179.9820638126625</v>
      </c>
      <c r="DP228" s="712">
        <f t="shared" si="790"/>
        <v>9756.1849717772493</v>
      </c>
      <c r="DQ228" s="712"/>
      <c r="DR228" s="697">
        <f>IF(OR(B228&lt;FL228,B228&gt;FM228),(MIN(AV228+BO228+CJ228+MAX(Sheet1!AA228+AG228-73,0),K228)),0)</f>
        <v>0</v>
      </c>
      <c r="DS228" s="712"/>
      <c r="DT228" s="712">
        <f t="shared" si="791"/>
        <v>15.912319644839066</v>
      </c>
      <c r="DU228" s="712"/>
      <c r="DV228" s="712">
        <f>Sheet1!ED228+Sheet1!EE228+Sheet1!EF228+Sheet1!EG228</f>
        <v>16</v>
      </c>
      <c r="DW228" s="712"/>
      <c r="DX228" s="697">
        <f t="shared" si="792"/>
        <v>0</v>
      </c>
      <c r="DY228" s="712">
        <f>IF(Sheet1!FN228=1,SUM('Calculations II'!AT228:BA228)+'Calculations II'!BC228+Sheet1!BU228+'Calculations II'!BE228+AF228,SUM('Calculations II'!AT228:BA228)+'Calculations II'!BC228+Sheet1!BU228+'Calculations II'!BE228+AF228)</f>
        <v>64.50034368</v>
      </c>
      <c r="DZ228" s="712">
        <f>Sheet1!AA228+Sheet1!AB228+'Calculations II'!BC228</f>
        <v>81.929095680002916</v>
      </c>
      <c r="EA228" s="712"/>
      <c r="EB228" s="712"/>
      <c r="EC228" s="712">
        <f t="shared" si="793"/>
        <v>40757</v>
      </c>
      <c r="ED228" s="712">
        <f t="shared" si="794"/>
        <v>-16.104328523862375</v>
      </c>
      <c r="EE228" s="712">
        <f t="shared" si="795"/>
        <v>-24.913396226415092</v>
      </c>
      <c r="EF228" s="712">
        <f>-(VLOOKUP(Sheet1!BQ228,Lookup!$B$4:$J$236,2)-VLOOKUP(Sheet1!BQ227,Lookup!$B$4:$J$236,2))/1000000</f>
        <v>-1.3354999999999999</v>
      </c>
      <c r="EG228" s="712">
        <f>-(VLOOKUP(Sheet1!BR228,Lookup!$B$4:$J$236,3)-VLOOKUP(Sheet1!BR227,Lookup!$B$4:$J$236,3))/1000000</f>
        <v>-1.0665</v>
      </c>
      <c r="EH228" s="712">
        <f>-(VLOOKUP(Sheet1!BS228,Lookup!$B$4:$J$236,4)-VLOOKUP(Sheet1!BS227,Lookup!$B$4:$J$236,4))/1000000</f>
        <v>0</v>
      </c>
      <c r="EI228" s="697">
        <f t="shared" si="796"/>
        <v>-2.4020000000000001</v>
      </c>
      <c r="EJ228" s="712"/>
      <c r="EK228" s="712"/>
      <c r="EL228" s="712"/>
      <c r="EM228" s="712"/>
      <c r="EN228" s="712"/>
      <c r="EO228" s="712"/>
      <c r="EP228" s="712"/>
      <c r="EQ228" s="712"/>
      <c r="ET228" s="794">
        <f t="shared" si="720"/>
        <v>1136.8</v>
      </c>
      <c r="EU228" s="697">
        <v>8785</v>
      </c>
      <c r="EV228" s="795">
        <f t="shared" si="734"/>
        <v>20821.435028320564</v>
      </c>
      <c r="EW228" s="796" t="s">
        <v>757</v>
      </c>
      <c r="EX228" s="796" t="s">
        <v>758</v>
      </c>
      <c r="EY228" s="712">
        <v>0</v>
      </c>
      <c r="EZ228" s="798">
        <v>22208.200000052031</v>
      </c>
      <c r="FA228" s="712"/>
      <c r="FB228" s="712"/>
      <c r="FC228" s="712"/>
      <c r="FD228" s="712"/>
      <c r="FE228" s="712">
        <f>O228+Sheet1!CO228</f>
        <v>9879.6720000000023</v>
      </c>
      <c r="FF228" s="712">
        <f>IF(Sheet1!AA228+AG228&lt;=Calculation!N228,AG228,Calculation!N228-Sheet1!AA228)</f>
        <v>11.087680355160931</v>
      </c>
      <c r="FG228" s="712">
        <f>(Sheet1!BP228+Sheet1!BO228)/694.4</f>
        <v>4.1554291474654379</v>
      </c>
      <c r="FH228" s="712"/>
      <c r="FI228" s="712"/>
      <c r="FJ228" s="712"/>
      <c r="FK228" s="712"/>
      <c r="FL228" s="714">
        <f t="shared" si="726"/>
        <v>40753</v>
      </c>
      <c r="FM228" s="714">
        <f t="shared" si="727"/>
        <v>40851</v>
      </c>
      <c r="FN228" s="712"/>
      <c r="FO228" s="712"/>
      <c r="FP228" s="712"/>
      <c r="FQ228" s="712"/>
      <c r="FR228" s="712"/>
      <c r="FS228" s="725">
        <f t="shared" si="735"/>
        <v>40603</v>
      </c>
      <c r="FT228" s="714">
        <f t="shared" si="729"/>
        <v>40709</v>
      </c>
      <c r="FU228" s="712">
        <f t="shared" si="735"/>
        <v>6518.9048239895692</v>
      </c>
      <c r="FV228" s="714">
        <f t="shared" si="730"/>
        <v>40722</v>
      </c>
      <c r="FW228" s="712">
        <f t="shared" si="735"/>
        <v>3259.4524119947846</v>
      </c>
      <c r="FX228" s="725">
        <f t="shared" si="735"/>
        <v>40851</v>
      </c>
      <c r="FZ228" s="697">
        <f t="shared" si="722"/>
        <v>0</v>
      </c>
      <c r="GA228" s="712" t="str">
        <f t="shared" si="797"/>
        <v/>
      </c>
      <c r="GB228" s="712">
        <f t="shared" si="798"/>
        <v>0</v>
      </c>
      <c r="GC228" s="712" t="str">
        <f t="shared" si="799"/>
        <v/>
      </c>
      <c r="GD228" s="712">
        <f>IF(GA228="P",Lookup!$M$12,IF(GA228="PP",Lookup!$M$13,IF(GA228="PPP",Lookup!$M$14,IF(GA228="T",Lookup!$M$15,IF(GA228="TP",Lookup!$M$16,IF(GA228="TPP",Lookup!$M$17,IF(GA228="TPPP",Lookup!$M$18,0)))))))*FZ228</f>
        <v>0</v>
      </c>
      <c r="GE228" s="712">
        <f t="shared" si="800"/>
        <v>0</v>
      </c>
      <c r="GF228" s="712">
        <f t="shared" si="801"/>
        <v>4166.6666666666661</v>
      </c>
      <c r="GG228" s="712">
        <f t="shared" si="802"/>
        <v>1358.1051716644936</v>
      </c>
      <c r="GH228" s="712"/>
      <c r="GI228" s="712">
        <f t="shared" si="803"/>
        <v>0</v>
      </c>
      <c r="GJ228" s="712" t="str">
        <f t="shared" si="804"/>
        <v/>
      </c>
      <c r="GK228" s="712">
        <f>IF(GA228="P",Lookup!$N$12,IF(GA228="PP",Lookup!$N$13,IF(GA228="PPP",Lookup!$N$14,IF(GA228="T",Lookup!$N$15,IF(GA228="TP",Lookup!$N$16,IF(GA228="TPP",Lookup!$N$17,IF(GA228="TPPP",Lookup!$N$18,0)))))))*FZ228</f>
        <v>0</v>
      </c>
      <c r="GL228" s="712">
        <f t="shared" si="805"/>
        <v>0</v>
      </c>
      <c r="GM228" s="712">
        <f t="shared" si="806"/>
        <v>1913.7644444444443</v>
      </c>
      <c r="GN228" s="712">
        <f t="shared" si="807"/>
        <v>623.7824134434303</v>
      </c>
      <c r="GO228" s="712"/>
      <c r="GP228" s="712">
        <f t="shared" si="808"/>
        <v>0</v>
      </c>
      <c r="GQ228" s="712" t="str">
        <f t="shared" si="809"/>
        <v/>
      </c>
      <c r="GR228" s="712">
        <f>IF(GA228="P",Lookup!$N$12,IF(GA228="PP",Lookup!$N$13,IF(GA228="PPP",Lookup!$N$14,IF(GA228="T",Lookup!$N$15,IF(GA228="TP",Lookup!$N$16,IF(GA228="TPP",Lookup!$N$17,IF(GA228="TPPP",Lookup!$N$18,0)))))))*FZ228</f>
        <v>0</v>
      </c>
      <c r="GS228" s="697">
        <f t="shared" si="724"/>
        <v>0</v>
      </c>
      <c r="GT228" s="712">
        <f t="shared" si="810"/>
        <v>1882.4560502583579</v>
      </c>
      <c r="GU228" s="712">
        <f t="shared" si="811"/>
        <v>613.57759134887806</v>
      </c>
      <c r="GV228" s="712"/>
      <c r="GW228" s="712">
        <f t="shared" si="812"/>
        <v>0</v>
      </c>
      <c r="GX228" s="712" t="str">
        <f t="shared" si="813"/>
        <v/>
      </c>
      <c r="GY228" s="712">
        <f>IF(GA228="P",Lookup!$N$12,IF(GA228="PP",Lookup!$N$13,IF(GA228="PPP",Lookup!$N$14,IF(GA228="T",Lookup!$N$15,IF(GA228="TP",Lookup!$N$16,IF(GA228="TPP",Lookup!$N$17,IF(GA228="TPPP",Lookup!$N$18,0)))))))*FZ228</f>
        <v>0</v>
      </c>
      <c r="GZ228" s="697">
        <f t="shared" si="725"/>
        <v>0</v>
      </c>
      <c r="HA228" s="712">
        <f t="shared" si="814"/>
        <v>1793.2978104077811</v>
      </c>
      <c r="HB228" s="712">
        <f t="shared" si="815"/>
        <v>584.51688735586083</v>
      </c>
      <c r="HC228" s="712"/>
    </row>
    <row r="229" spans="1:211">
      <c r="A229" s="773" t="s">
        <v>6</v>
      </c>
      <c r="B229" s="708">
        <v>40758</v>
      </c>
      <c r="C229" s="709">
        <v>0.5</v>
      </c>
      <c r="D229" s="675">
        <f t="shared" si="737"/>
        <v>200</v>
      </c>
      <c r="E229" s="675">
        <f t="shared" si="738"/>
        <v>400</v>
      </c>
      <c r="F229" s="675">
        <v>250</v>
      </c>
      <c r="G229" s="712">
        <f>DH229+Sheet1!CV229</f>
        <v>272.96406959152944</v>
      </c>
      <c r="H229" s="712">
        <f t="shared" si="739"/>
        <v>0</v>
      </c>
      <c r="I229" s="711">
        <f>MAX(Sheet1!Z229-AJ229+(Sheet1!CW229-E229)*CFStoMGD,0)</f>
        <v>37.771001208128787</v>
      </c>
      <c r="J229" s="720">
        <f>IF(AND(B229&gt;=Calculation!FS229,B229&lt;=Calculation!FT229),IF(Sheet1!CX229&gt;=Calculation!D229,64.64,0),MAX(Sheet1!Z229-AJ229+(Sheet1!CX229-D229)*CFStoMGD,0))</f>
        <v>30.19600120812877</v>
      </c>
      <c r="K229" s="697">
        <f t="shared" si="740"/>
        <v>0</v>
      </c>
      <c r="L229" s="712">
        <f>Sheet1!AA229+Sheet1!AB229-Sheet1!L229+(Sheet1!CW229-F229)*CFStoMGD</f>
        <v>193.64253333332459</v>
      </c>
      <c r="M229" s="712">
        <f t="shared" si="741"/>
        <v>179.97285407564394</v>
      </c>
      <c r="N229" s="712">
        <f>IF(Sheet1!CW229&gt;=F229,MIN(73,MIN(MAX(L229,0),MAX(M229,0))),0)</f>
        <v>73</v>
      </c>
      <c r="O229" s="721">
        <f>Sheet1!AA229+Sheet1!AB229</f>
        <v>71.849999999991269</v>
      </c>
      <c r="P229" s="721">
        <f t="shared" si="742"/>
        <v>111.15194999998648</v>
      </c>
      <c r="Q229" s="712">
        <f>MIN(N229,Sheet1!AA229+AG229)</f>
        <v>56.011532125198741</v>
      </c>
      <c r="R229" s="712">
        <f t="shared" si="743"/>
        <v>16</v>
      </c>
      <c r="S229" s="721">
        <f>Sheet1!Y229*MGDtoCFS</f>
        <v>63.210419999999999</v>
      </c>
      <c r="T229" s="721">
        <f>Sheet1!Z229*MGDtoCFS</f>
        <v>41.846350000000001</v>
      </c>
      <c r="U229" s="721">
        <f>Sheet1!AA229*MGDtoCFS</f>
        <v>64.819299999990989</v>
      </c>
      <c r="V229" s="721">
        <f>Sheet1!AB229*MGDtoCFS</f>
        <v>46.332649999995496</v>
      </c>
      <c r="W229" s="721">
        <f>Sheet1!L229*MGDtoCFS</f>
        <v>0</v>
      </c>
      <c r="X229" s="697">
        <f t="shared" si="744"/>
        <v>15.933904448104084</v>
      </c>
      <c r="Y229" s="712">
        <f t="shared" si="745"/>
        <v>24.649750181217016</v>
      </c>
      <c r="Z229" s="712">
        <f t="shared" si="746"/>
        <v>0</v>
      </c>
      <c r="AA229" s="712">
        <f t="shared" si="747"/>
        <v>0</v>
      </c>
      <c r="AB229" s="712">
        <f>(VLOOKUP(Sheet1!CY229,hhdcap_wcm,4)-(((VLOOKUP(Sheet1!CY229,hhdcap_wcm,3)-Sheet1!CY229)/(VLOOKUP(Sheet1!CY229,hhdcap_wcm,3)-VLOOKUP(Sheet1!CY229,hhdcap_wcm,1)))*(VLOOKUP(Sheet1!CY229,hhdcap_wcm,4)-VLOOKUP(Sheet1!CY229,hhdcap_wcm,2))))</f>
        <v>40480.920000097816</v>
      </c>
      <c r="AC229" s="712">
        <f t="shared" si="748"/>
        <v>-101.69999999999709</v>
      </c>
      <c r="AD229" s="712">
        <f t="shared" si="749"/>
        <v>3164.0481593645582</v>
      </c>
      <c r="AE229" s="712">
        <f t="shared" si="750"/>
        <v>9707.2997529304648</v>
      </c>
      <c r="AF229" s="712">
        <f>Sheet1!BA229+Sheet1!BB229+Sheet1!BN229+BT229</f>
        <v>14.3</v>
      </c>
      <c r="AG229" s="712">
        <f t="shared" si="751"/>
        <v>14.11153212520456</v>
      </c>
      <c r="AH229" s="712">
        <f>Sheet1!BA229+BT229</f>
        <v>0</v>
      </c>
      <c r="AI229" s="712">
        <f>Sheet1!BA229+Sheet1!BB229+BT229</f>
        <v>0</v>
      </c>
      <c r="AJ229" s="712">
        <f>IF((Sheet1!AA229+AG229+AX229+AZ229+BQ229+BS229+CL229+CN229)&lt;=N229,AG229+AX229+AZ229+BQ229+BS229+CL229+CN229,N229-Sheet1!AA229)</f>
        <v>14.11153212520456</v>
      </c>
      <c r="AK229" s="712">
        <f>IF(DR229&lt;K229,0,MAX(Sheet1!AA229+AG229-15/36*K229-N229,Sheet1!ED229,0))</f>
        <v>0</v>
      </c>
      <c r="AL229" s="712">
        <f>IF(OR(B229&gt;=FT229,B229&lt;FS229),0,15/36*K229-MAX(0,64.6-(137.6-(Sheet1!AA229+Sheet1!AB229))))</f>
        <v>0</v>
      </c>
      <c r="AM229" s="712">
        <f>Sheet1!CX229-110</f>
        <v>116.69791666666666</v>
      </c>
      <c r="AN229" s="712">
        <f>Sheet1!CW229-265</f>
        <v>173.41666666666669</v>
      </c>
      <c r="AO229" s="712">
        <f t="shared" si="733"/>
        <v>16.988467874801259</v>
      </c>
      <c r="AP229" s="712">
        <f t="shared" si="752"/>
        <v>0</v>
      </c>
      <c r="AQ229" s="712">
        <f t="shared" si="753"/>
        <v>0</v>
      </c>
      <c r="AR229" s="712">
        <f t="shared" si="754"/>
        <v>1358.1051716644936</v>
      </c>
      <c r="AS229" s="712"/>
      <c r="AT229" s="712">
        <f ca="1">IF(B229&gt;Summary!$A$1,#N/A,AR229*MGtoAF)</f>
        <v>4166.6666666666661</v>
      </c>
      <c r="AU229" s="712">
        <f>Sheet1!BG229+Sheet1!BH229+Sheet1!BI229-BC229</f>
        <v>1.93</v>
      </c>
      <c r="AV229" s="712">
        <f t="shared" si="755"/>
        <v>1.9045634266884475</v>
      </c>
      <c r="AW229" s="712">
        <f>IF(Sheet1!EL229="FM",BC229,0)</f>
        <v>0</v>
      </c>
      <c r="AX229" s="712">
        <f t="shared" si="756"/>
        <v>0</v>
      </c>
      <c r="AY229" s="712">
        <f>IF(Sheet1!EL229="OTHER",BC229,0)</f>
        <v>0</v>
      </c>
      <c r="AZ229" s="712">
        <f t="shared" si="757"/>
        <v>0</v>
      </c>
      <c r="BA229" s="712">
        <f t="shared" si="758"/>
        <v>1.93</v>
      </c>
      <c r="BB229" s="712">
        <f t="shared" si="759"/>
        <v>1.9045634266884475</v>
      </c>
      <c r="BC229" s="712">
        <f>IF(OR(Sheet1!EL229="FM", Sheet1!EL229="OTHER"),SUM(Sheet1!BG229:'Sheet1'!BI229),0)</f>
        <v>0</v>
      </c>
      <c r="BD229" s="697">
        <f>IF(AND($B229&gt;=$FL229,$B229&lt;=$FM229),MAX(AV229,Sheet1!EE229,0),MAX(AV229-(7/36)*$K229,0))</f>
        <v>2</v>
      </c>
      <c r="BE229" s="712">
        <f t="shared" si="760"/>
        <v>0</v>
      </c>
      <c r="BF229" s="697">
        <f t="shared" si="761"/>
        <v>0</v>
      </c>
      <c r="BG229" s="697">
        <f>IF(AND($O229&gt;0,Sheet1!EI229=1),(1-($O229-Sheet1!$L229)/$O229)*BB229,0)</f>
        <v>0</v>
      </c>
      <c r="BH229" s="697">
        <f>IF(AND(Sheet1!$L229=0,Sheet1!$L228=0, Calculation!BA229&lt;Sheet1!$EE229-0.1,Sheet1!$EE229=Sheet1!$EE228,Sheet1!$EE229=Sheet1!$EE230),Sheet1!$EE229,BB229-BG229)</f>
        <v>1.9045634266884475</v>
      </c>
      <c r="BI229" s="712"/>
      <c r="BJ229" s="712"/>
      <c r="BK229" s="712">
        <f t="shared" si="762"/>
        <v>621.7824134434303</v>
      </c>
      <c r="BL229" s="712"/>
      <c r="BM229" s="712">
        <f ca="1">IF(B229&gt;Summary!$A$1,#N/A,BK229*MGtoAF)</f>
        <v>1907.6284444444443</v>
      </c>
      <c r="BN229" s="712">
        <f>Sheet1!BC229+Sheet1!BD229+Sheet1!BE229+Sheet1!BF229-BW229-BX229</f>
        <v>4.07</v>
      </c>
      <c r="BO229" s="712">
        <f t="shared" si="763"/>
        <v>4.0163591433274517</v>
      </c>
      <c r="BP229" s="712">
        <f>IF(Sheet1!EM229="FM",BX229,0)</f>
        <v>0</v>
      </c>
      <c r="BQ229" s="712">
        <f t="shared" si="764"/>
        <v>0</v>
      </c>
      <c r="BR229" s="712">
        <f>IF(Sheet1!EM229="OTHER",BX229,0)</f>
        <v>0</v>
      </c>
      <c r="BS229" s="712">
        <f t="shared" si="765"/>
        <v>0</v>
      </c>
      <c r="BT229" s="712">
        <f t="shared" si="766"/>
        <v>0</v>
      </c>
      <c r="BU229" s="712">
        <f t="shared" si="767"/>
        <v>4.07</v>
      </c>
      <c r="BV229" s="712">
        <f t="shared" si="768"/>
        <v>4.0163591433274517</v>
      </c>
      <c r="BW229" s="712">
        <f>IF(Sheet1!EM229="CWA",SUM(Sheet1!BC229:'Sheet1'!BF229),0)</f>
        <v>0</v>
      </c>
      <c r="BX229" s="712">
        <f>IF(OR(Sheet1!EM229="FM", Sheet1!EM229="OTHER"),SUM(Sheet1!BC229:'Sheet1'!BF229),0)</f>
        <v>0</v>
      </c>
      <c r="BY229" s="697">
        <f>IF(AND($B229&gt;=$FL229,$B229&lt;=$FM229),MAX(BV229,Sheet1!EF229,0),MAX(BV229-(7/36)*$K229,0))</f>
        <v>4.0163591433274517</v>
      </c>
      <c r="BZ229" s="712">
        <f t="shared" si="769"/>
        <v>0</v>
      </c>
      <c r="CA229" s="697">
        <f t="shared" si="770"/>
        <v>0</v>
      </c>
      <c r="CB229" s="697">
        <f>IF(AND($O229&gt;0,Sheet1!EJ229=1),(1-($O229-Sheet1!$L229)/$O229)*BV229,0)</f>
        <v>0</v>
      </c>
      <c r="CC229" s="697">
        <f>IF(AND(Sheet1!$L229=0,Sheet1!$L228=0, Calculation!BU229&lt;Sheet1!EF229-0.1,Sheet1!EF229=Sheet1!EF228,Sheet1!EF229=Sheet1!EF230),Sheet1!EF229,BV229-CB229)</f>
        <v>4.0163591433274517</v>
      </c>
      <c r="CD229" s="697"/>
      <c r="CE229" s="712"/>
      <c r="CF229" s="712">
        <f t="shared" si="771"/>
        <v>609.5612322055506</v>
      </c>
      <c r="CG229" s="712"/>
      <c r="CH229" s="712">
        <f ca="1">IF(B229&gt;Summary!$A$1,#N/A,CF229*MGtoAF)</f>
        <v>1870.1338604066293</v>
      </c>
      <c r="CI229" s="712">
        <f>Sheet1!BK229+Sheet1!BL229+Sheet1!BM229-Sheet1!EN229-CQ229</f>
        <v>10.050000000000001</v>
      </c>
      <c r="CJ229" s="712">
        <f t="shared" si="772"/>
        <v>9.9175453047766311</v>
      </c>
      <c r="CK229" s="712">
        <f>IF(Sheet1!EN229="FM",CQ229,0)</f>
        <v>0</v>
      </c>
      <c r="CL229" s="712">
        <f t="shared" si="773"/>
        <v>0</v>
      </c>
      <c r="CM229" s="712">
        <f>IF(Sheet1!EN229="OTHER",CQ229,0)</f>
        <v>0</v>
      </c>
      <c r="CN229" s="712">
        <f t="shared" si="774"/>
        <v>0</v>
      </c>
      <c r="CO229" s="712">
        <f t="shared" si="775"/>
        <v>10.050000000000001</v>
      </c>
      <c r="CP229" s="712">
        <f t="shared" si="776"/>
        <v>9.9175453047766311</v>
      </c>
      <c r="CQ229" s="712">
        <f>IF(OR(Sheet1!EN229="FM", Sheet1!EN229="OTHER"),SUM(Sheet1!BK229:'Sheet1'!BM229),0)</f>
        <v>0</v>
      </c>
      <c r="CR229" s="800">
        <f t="shared" si="736"/>
        <v>9.9175453047766311</v>
      </c>
      <c r="CS229" s="712">
        <f t="shared" si="777"/>
        <v>0</v>
      </c>
      <c r="CT229" s="697">
        <f t="shared" si="778"/>
        <v>0</v>
      </c>
      <c r="CU229" s="697">
        <f>IF(AND($O229&gt;0,Sheet1!EK229=1),(1-($O229-Sheet1!$L229)/$O229)*CP229,0)</f>
        <v>0</v>
      </c>
      <c r="CV229" s="697">
        <f>IF(AND(Sheet1!$L229=0,Sheet1!$L228=0, Calculation!CO229&lt;Sheet1!$EG229-0.1,Sheet1!$EG229=Sheet1!$EG228,Sheet1!$EG229=Sheet1!$EG230),Sheet1!$EG229,CP229-CU229)</f>
        <v>9.9175453047766311</v>
      </c>
      <c r="CW229" s="697">
        <f t="shared" si="721"/>
        <v>0</v>
      </c>
      <c r="CX229" s="712">
        <f t="shared" si="779"/>
        <v>16.05</v>
      </c>
      <c r="CY229" s="712">
        <f t="shared" si="780"/>
        <v>574.59934205108425</v>
      </c>
      <c r="CZ229" s="712">
        <f t="shared" si="781"/>
        <v>15.838467874792531</v>
      </c>
      <c r="DA229" s="712">
        <f ca="1">IF(B229&gt;Summary!$A$1,#N/A,CY229*MGtoAF)</f>
        <v>1762.8707814127265</v>
      </c>
      <c r="DB229" s="712">
        <f t="shared" si="782"/>
        <v>16.05</v>
      </c>
      <c r="DC229" s="712">
        <f t="shared" si="783"/>
        <v>30.35</v>
      </c>
      <c r="DD229" s="712">
        <f>Sheet1!AB229-DC229</f>
        <v>-0.4000000000029118</v>
      </c>
      <c r="DE229" s="712">
        <f t="shared" si="784"/>
        <v>-1.3179571664016863E-2</v>
      </c>
      <c r="DF229" s="712">
        <f>(VLOOKUP(Sheet1!CY229,hhdcap_wcm,4)-(((VLOOKUP(Sheet1!CY229,hhdcap_wcm,3)-Sheet1!CY229)/(VLOOKUP(Sheet1!CY229,hhdcap_wcm,3)-VLOOKUP(Sheet1!CY229,hhdcap_wcm,1)))*(VLOOKUP(Sheet1!CY229,hhdcap_wcm,4)-VLOOKUP(Sheet1!CY229,hhdcap_wcm,2))))</f>
        <v>40480.920000097816</v>
      </c>
      <c r="DG229" s="712">
        <f t="shared" si="785"/>
        <v>-101.69999999999709</v>
      </c>
      <c r="DH229" s="712">
        <f t="shared" si="786"/>
        <v>-51.285930408470534</v>
      </c>
      <c r="DI229" s="712">
        <f>Sheet1!DW229*AFtoMG</f>
        <v>0</v>
      </c>
      <c r="DJ229" s="712">
        <f>Sheet1!DX229*AFtoMG</f>
        <v>0</v>
      </c>
      <c r="DK229" s="712">
        <f>Sheet1!DY229*AFtoMG</f>
        <v>0</v>
      </c>
      <c r="DL229" s="712">
        <f>Sheet1!DZ229*AFtoMG</f>
        <v>0</v>
      </c>
      <c r="DM229" s="712">
        <f t="shared" si="787"/>
        <v>0</v>
      </c>
      <c r="DN229" s="712">
        <f t="shared" si="788"/>
        <v>0</v>
      </c>
      <c r="DO229" s="712">
        <f t="shared" si="789"/>
        <v>3164.0481593645582</v>
      </c>
      <c r="DP229" s="712">
        <f t="shared" si="790"/>
        <v>9707.2997529304648</v>
      </c>
      <c r="DQ229" s="712"/>
      <c r="DR229" s="697">
        <f>IF(OR(B229&lt;FL229,B229&gt;FM229),(MIN(AV229+BO229+CJ229+MAX(Sheet1!AA229+AG229-73,0),K229)),0)</f>
        <v>0</v>
      </c>
      <c r="DS229" s="712"/>
      <c r="DT229" s="712">
        <f t="shared" si="791"/>
        <v>15.838467874792531</v>
      </c>
      <c r="DU229" s="712"/>
      <c r="DV229" s="712">
        <f>Sheet1!ED229+Sheet1!EE229+Sheet1!EF229+Sheet1!EG229</f>
        <v>16</v>
      </c>
      <c r="DW229" s="712"/>
      <c r="DX229" s="697">
        <f t="shared" si="792"/>
        <v>0</v>
      </c>
      <c r="DY229" s="712">
        <f>IF(Sheet1!FN229=1,SUM('Calculations II'!AT229:BA229)+'Calculations II'!BC229+Sheet1!BU229+'Calculations II'!BE229+AF229,SUM('Calculations II'!AT229:BA229)+'Calculations II'!BC229+Sheet1!BU229+'Calculations II'!BE229+AF229)</f>
        <v>79.625184000000004</v>
      </c>
      <c r="DZ229" s="712">
        <f>Sheet1!AA229+Sheet1!AB229+'Calculations II'!BC229</f>
        <v>89.437727999991267</v>
      </c>
      <c r="EA229" s="712"/>
      <c r="EB229" s="712"/>
      <c r="EC229" s="712">
        <f t="shared" si="793"/>
        <v>40758</v>
      </c>
      <c r="ED229" s="712">
        <f t="shared" si="794"/>
        <v>-15.933904448104084</v>
      </c>
      <c r="EE229" s="712">
        <f t="shared" si="795"/>
        <v>-24.649750181217016</v>
      </c>
      <c r="EF229" s="712">
        <f>-(VLOOKUP(Sheet1!BQ229,Lookup!$B$4:$J$236,2)-VLOOKUP(Sheet1!BQ228,Lookup!$B$4:$J$236,2))/1000000</f>
        <v>2.3902999999999999</v>
      </c>
      <c r="EG229" s="712">
        <f>-(VLOOKUP(Sheet1!BR229,Lookup!$B$4:$J$236,3)-VLOOKUP(Sheet1!BR228,Lookup!$B$4:$J$236,3))/1000000</f>
        <v>2.1229</v>
      </c>
      <c r="EH229" s="712">
        <f>-(VLOOKUP(Sheet1!BS229,Lookup!$B$4:$J$236,4)-VLOOKUP(Sheet1!BS228,Lookup!$B$4:$J$236,4))/1000000</f>
        <v>0</v>
      </c>
      <c r="EI229" s="697">
        <f t="shared" si="796"/>
        <v>4.5131999999999994</v>
      </c>
      <c r="EJ229" s="712"/>
      <c r="EK229" s="712"/>
      <c r="EL229" s="712"/>
      <c r="EM229" s="712"/>
      <c r="EN229" s="712"/>
      <c r="EO229" s="712"/>
      <c r="EP229" s="712"/>
      <c r="EQ229" s="712"/>
      <c r="ET229" s="794">
        <f t="shared" si="720"/>
        <v>1136.5999999999999</v>
      </c>
      <c r="EU229" s="697">
        <v>8785</v>
      </c>
      <c r="EV229" s="795">
        <f t="shared" si="734"/>
        <v>20768.620247167353</v>
      </c>
      <c r="EW229" s="796" t="s">
        <v>757</v>
      </c>
      <c r="EX229" s="796" t="s">
        <v>758</v>
      </c>
      <c r="EY229" s="712">
        <v>0</v>
      </c>
      <c r="EZ229" s="798">
        <v>22072.80000005203</v>
      </c>
      <c r="FA229" s="712"/>
      <c r="FB229" s="712"/>
      <c r="FC229" s="712"/>
      <c r="FD229" s="712"/>
      <c r="FE229" s="712">
        <f>O229+Sheet1!CO229</f>
        <v>12285.549999999992</v>
      </c>
      <c r="FF229" s="712">
        <f>IF(Sheet1!AA229+AG229&lt;=Calculation!N229,AG229,Calculation!N229-Sheet1!AA229)</f>
        <v>14.11153212520456</v>
      </c>
      <c r="FG229" s="712">
        <f>(Sheet1!BP229+Sheet1!BO229)/694.4</f>
        <v>4.9158986175115205</v>
      </c>
      <c r="FH229" s="712"/>
      <c r="FI229" s="712"/>
      <c r="FJ229" s="712"/>
      <c r="FK229" s="712"/>
      <c r="FL229" s="714">
        <f t="shared" si="726"/>
        <v>40753</v>
      </c>
      <c r="FM229" s="714">
        <f t="shared" si="727"/>
        <v>40851</v>
      </c>
      <c r="FN229" s="712"/>
      <c r="FO229" s="712"/>
      <c r="FP229" s="712"/>
      <c r="FQ229" s="712"/>
      <c r="FR229" s="712"/>
      <c r="FS229" s="725">
        <f t="shared" si="735"/>
        <v>40603</v>
      </c>
      <c r="FT229" s="714">
        <f t="shared" si="729"/>
        <v>40709</v>
      </c>
      <c r="FU229" s="712">
        <f t="shared" si="735"/>
        <v>6518.9048239895692</v>
      </c>
      <c r="FV229" s="714">
        <f t="shared" si="730"/>
        <v>40722</v>
      </c>
      <c r="FW229" s="712">
        <f t="shared" si="735"/>
        <v>3259.4524119947846</v>
      </c>
      <c r="FX229" s="725">
        <f t="shared" si="735"/>
        <v>40851</v>
      </c>
      <c r="FZ229" s="697">
        <f t="shared" si="722"/>
        <v>0</v>
      </c>
      <c r="GA229" s="712" t="str">
        <f t="shared" si="797"/>
        <v/>
      </c>
      <c r="GB229" s="712">
        <f t="shared" si="798"/>
        <v>0</v>
      </c>
      <c r="GC229" s="712" t="str">
        <f t="shared" si="799"/>
        <v/>
      </c>
      <c r="GD229" s="712">
        <f>IF(GA229="P",Lookup!$M$12,IF(GA229="PP",Lookup!$M$13,IF(GA229="PPP",Lookup!$M$14,IF(GA229="T",Lookup!$M$15,IF(GA229="TP",Lookup!$M$16,IF(GA229="TPP",Lookup!$M$17,IF(GA229="TPPP",Lookup!$M$18,0)))))))*FZ229</f>
        <v>0</v>
      </c>
      <c r="GE229" s="712">
        <f t="shared" si="800"/>
        <v>0</v>
      </c>
      <c r="GF229" s="712">
        <f t="shared" si="801"/>
        <v>4166.6666666666661</v>
      </c>
      <c r="GG229" s="712">
        <f t="shared" si="802"/>
        <v>1358.1051716644936</v>
      </c>
      <c r="GH229" s="712"/>
      <c r="GI229" s="712">
        <f t="shared" si="803"/>
        <v>0</v>
      </c>
      <c r="GJ229" s="712" t="str">
        <f t="shared" si="804"/>
        <v/>
      </c>
      <c r="GK229" s="712">
        <f>IF(GA229="P",Lookup!$N$12,IF(GA229="PP",Lookup!$N$13,IF(GA229="PPP",Lookup!$N$14,IF(GA229="T",Lookup!$N$15,IF(GA229="TP",Lookup!$N$16,IF(GA229="TPP",Lookup!$N$17,IF(GA229="TPPP",Lookup!$N$18,0)))))))*FZ229</f>
        <v>0</v>
      </c>
      <c r="GL229" s="712">
        <f t="shared" si="805"/>
        <v>0</v>
      </c>
      <c r="GM229" s="712">
        <f t="shared" si="806"/>
        <v>1907.6284444444443</v>
      </c>
      <c r="GN229" s="712">
        <f t="shared" si="807"/>
        <v>621.7824134434303</v>
      </c>
      <c r="GO229" s="712"/>
      <c r="GP229" s="712">
        <f t="shared" si="808"/>
        <v>0</v>
      </c>
      <c r="GQ229" s="712" t="str">
        <f t="shared" si="809"/>
        <v/>
      </c>
      <c r="GR229" s="712">
        <f>IF(GA229="P",Lookup!$N$12,IF(GA229="PP",Lookup!$N$13,IF(GA229="PPP",Lookup!$N$14,IF(GA229="T",Lookup!$N$15,IF(GA229="TP",Lookup!$N$16,IF(GA229="TPP",Lookup!$N$17,IF(GA229="TPPP",Lookup!$N$18,0)))))))*FZ229</f>
        <v>0</v>
      </c>
      <c r="GS229" s="697">
        <f t="shared" si="724"/>
        <v>0</v>
      </c>
      <c r="GT229" s="712">
        <f t="shared" si="810"/>
        <v>1870.1338604066293</v>
      </c>
      <c r="GU229" s="712">
        <f t="shared" si="811"/>
        <v>609.5612322055506</v>
      </c>
      <c r="GV229" s="712"/>
      <c r="GW229" s="712">
        <f t="shared" si="812"/>
        <v>0</v>
      </c>
      <c r="GX229" s="712" t="str">
        <f t="shared" si="813"/>
        <v/>
      </c>
      <c r="GY229" s="712">
        <f>IF(GA229="P",Lookup!$N$12,IF(GA229="PP",Lookup!$N$13,IF(GA229="PPP",Lookup!$N$14,IF(GA229="T",Lookup!$N$15,IF(GA229="TP",Lookup!$N$16,IF(GA229="TPP",Lookup!$N$17,IF(GA229="TPPP",Lookup!$N$18,0)))))))*FZ229</f>
        <v>0</v>
      </c>
      <c r="GZ229" s="697">
        <f t="shared" si="725"/>
        <v>0</v>
      </c>
      <c r="HA229" s="712">
        <f t="shared" si="814"/>
        <v>1762.8707814127265</v>
      </c>
      <c r="HB229" s="712">
        <f t="shared" si="815"/>
        <v>574.59934205108425</v>
      </c>
      <c r="HC229" s="712"/>
    </row>
    <row r="230" spans="1:211">
      <c r="A230" s="773" t="s">
        <v>7</v>
      </c>
      <c r="B230" s="708">
        <v>40759</v>
      </c>
      <c r="C230" s="719">
        <v>0.5</v>
      </c>
      <c r="D230" s="675">
        <f t="shared" si="737"/>
        <v>200</v>
      </c>
      <c r="E230" s="675">
        <f t="shared" si="738"/>
        <v>400</v>
      </c>
      <c r="F230" s="675">
        <v>250</v>
      </c>
      <c r="G230" s="712">
        <f>DH230+Sheet1!CV230</f>
        <v>272.79021684316649</v>
      </c>
      <c r="H230" s="712">
        <f t="shared" si="739"/>
        <v>0</v>
      </c>
      <c r="I230" s="711">
        <f>MAX(Sheet1!Z230-AJ230+(Sheet1!CW230-E230)*CFStoMGD,0)</f>
        <v>21.781518883415448</v>
      </c>
      <c r="J230" s="720">
        <f>IF(AND(B230&gt;=Calculation!FS230,B230&lt;=Calculation!FT230),IF(Sheet1!CX230&gt;=Calculation!D230,64.64,0),MAX(Sheet1!Z230-AJ230+(Sheet1!CX230-D230)*CFStoMGD,0))</f>
        <v>27.228785550082101</v>
      </c>
      <c r="K230" s="697">
        <f t="shared" si="740"/>
        <v>0</v>
      </c>
      <c r="L230" s="712">
        <f>Sheet1!AA230+Sheet1!AB230-Sheet1!L230+(Sheet1!CW230-F230)*CFStoMGD</f>
        <v>184.20833333333334</v>
      </c>
      <c r="M230" s="712">
        <f t="shared" si="741"/>
        <v>179.85822809077129</v>
      </c>
      <c r="N230" s="712">
        <f>IF(Sheet1!CW230&gt;=F230,MIN(73,MIN(MAX(L230,0),MAX(M230,0))),0)</f>
        <v>73</v>
      </c>
      <c r="O230" s="721">
        <f>Sheet1!AA230+Sheet1!AB230</f>
        <v>79</v>
      </c>
      <c r="P230" s="721">
        <f t="shared" si="742"/>
        <v>122.21299999999999</v>
      </c>
      <c r="Q230" s="712">
        <f>MIN(N230,Sheet1!AA230+AG230)</f>
        <v>62.656814449917896</v>
      </c>
      <c r="R230" s="712">
        <f t="shared" si="743"/>
        <v>16</v>
      </c>
      <c r="S230" s="721">
        <f>Sheet1!Y230*MGDtoCFS</f>
        <v>65.298869999999994</v>
      </c>
      <c r="T230" s="721">
        <f>Sheet1!Z230*MGDtoCFS</f>
        <v>52.891929999999995</v>
      </c>
      <c r="U230" s="721">
        <f>Sheet1!AA230*MGDtoCFS</f>
        <v>64.974000000000004</v>
      </c>
      <c r="V230" s="721">
        <f>Sheet1!AB230*MGDtoCFS</f>
        <v>57.238999999999997</v>
      </c>
      <c r="W230" s="721">
        <f>Sheet1!L230*MGDtoCFS</f>
        <v>0</v>
      </c>
      <c r="X230" s="697">
        <f t="shared" si="744"/>
        <v>16.343185550082104</v>
      </c>
      <c r="Y230" s="712">
        <f t="shared" si="745"/>
        <v>25.282908045977013</v>
      </c>
      <c r="Z230" s="712">
        <f t="shared" si="746"/>
        <v>0</v>
      </c>
      <c r="AA230" s="712">
        <f t="shared" si="747"/>
        <v>0</v>
      </c>
      <c r="AB230" s="712">
        <f>(VLOOKUP(Sheet1!CY230,hhdcap_wcm,4)-(((VLOOKUP(Sheet1!CY230,hhdcap_wcm,3)-Sheet1!CY230)/(VLOOKUP(Sheet1!CY230,hhdcap_wcm,3)-VLOOKUP(Sheet1!CY230,hhdcap_wcm,1)))*(VLOOKUP(Sheet1!CY230,hhdcap_wcm,4)-VLOOKUP(Sheet1!CY230,hhdcap_wcm,2))))</f>
        <v>40358.880000097815</v>
      </c>
      <c r="AC230" s="712">
        <f t="shared" si="748"/>
        <v>-122.04000000000087</v>
      </c>
      <c r="AD230" s="712">
        <f t="shared" si="749"/>
        <v>3147.7049738144765</v>
      </c>
      <c r="AE230" s="712">
        <f t="shared" si="750"/>
        <v>9657.1588596628135</v>
      </c>
      <c r="AF230" s="712">
        <f>Sheet1!BA230+Sheet1!BB230+Sheet1!BN230+BT230</f>
        <v>20.399999999999999</v>
      </c>
      <c r="AG230" s="712">
        <f t="shared" si="751"/>
        <v>20.656814449917896</v>
      </c>
      <c r="AH230" s="712">
        <f>Sheet1!BA230+BT230</f>
        <v>0</v>
      </c>
      <c r="AI230" s="712">
        <f>Sheet1!BA230+Sheet1!BB230+BT230</f>
        <v>0</v>
      </c>
      <c r="AJ230" s="712">
        <f>IF((Sheet1!AA230+AG230+AX230+AZ230+BQ230+BS230+CL230+CN230)&lt;=N230,AG230+AX230+AZ230+BQ230+BS230+CL230+CN230,N230-Sheet1!AA230)</f>
        <v>20.656814449917896</v>
      </c>
      <c r="AK230" s="712">
        <f>IF(DR230&lt;K230,0,MAX(Sheet1!AA230+AG230-15/36*K230-N230,Sheet1!ED230,0))</f>
        <v>0</v>
      </c>
      <c r="AL230" s="712">
        <f>IF(OR(B230&gt;=FT230,B230&lt;FS230),0,15/36*K230-MAX(0,64.6-(137.6-(Sheet1!AA230+Sheet1!AB230))))</f>
        <v>0</v>
      </c>
      <c r="AM230" s="712">
        <f>Sheet1!CX230-110</f>
        <v>111.1875</v>
      </c>
      <c r="AN230" s="712">
        <f>Sheet1!CW230-265</f>
        <v>147.76041666666669</v>
      </c>
      <c r="AO230" s="712">
        <f t="shared" si="733"/>
        <v>10.343185550082104</v>
      </c>
      <c r="AP230" s="712">
        <f t="shared" si="752"/>
        <v>0</v>
      </c>
      <c r="AQ230" s="712">
        <f t="shared" si="753"/>
        <v>0</v>
      </c>
      <c r="AR230" s="712">
        <f t="shared" si="754"/>
        <v>1358.1051716644936</v>
      </c>
      <c r="AS230" s="712"/>
      <c r="AT230" s="712">
        <f ca="1">IF(B230&gt;Summary!$A$1,#N/A,AR230*MGtoAF)</f>
        <v>4166.6666666666661</v>
      </c>
      <c r="AU230" s="712">
        <f>Sheet1!BG230+Sheet1!BH230+Sheet1!BI230-BC230</f>
        <v>2.0299999999999998</v>
      </c>
      <c r="AV230" s="712">
        <f t="shared" si="755"/>
        <v>2.0555555555555554</v>
      </c>
      <c r="AW230" s="712">
        <f>IF(Sheet1!EL230="FM",BC230,0)</f>
        <v>0</v>
      </c>
      <c r="AX230" s="712">
        <f t="shared" si="756"/>
        <v>0</v>
      </c>
      <c r="AY230" s="712">
        <f>IF(Sheet1!EL230="OTHER",BC230,0)</f>
        <v>0</v>
      </c>
      <c r="AZ230" s="712">
        <f t="shared" si="757"/>
        <v>0</v>
      </c>
      <c r="BA230" s="712">
        <f t="shared" si="758"/>
        <v>2.0299999999999998</v>
      </c>
      <c r="BB230" s="712">
        <f t="shared" si="759"/>
        <v>2.0555555555555554</v>
      </c>
      <c r="BC230" s="712">
        <f>IF(OR(Sheet1!EL230="FM", Sheet1!EL230="OTHER"),SUM(Sheet1!BG230:'Sheet1'!BI230),0)</f>
        <v>0</v>
      </c>
      <c r="BD230" s="697">
        <f>IF(AND($B230&gt;=$FL230,$B230&lt;=$FM230),MAX(AV230,Sheet1!EE230,0),MAX(AV230-(7/36)*$K230,0))</f>
        <v>2.0555555555555554</v>
      </c>
      <c r="BE230" s="712">
        <f t="shared" si="760"/>
        <v>0</v>
      </c>
      <c r="BF230" s="697">
        <f t="shared" si="761"/>
        <v>0</v>
      </c>
      <c r="BG230" s="697">
        <f>IF(AND($O230&gt;0,Sheet1!EI230=1),(1-($O230-Sheet1!$L230)/$O230)*BB230,0)</f>
        <v>0</v>
      </c>
      <c r="BH230" s="697">
        <f>IF(AND(Sheet1!$L230=0,Sheet1!$L229=0, Calculation!BA230&lt;Sheet1!$EE230-0.1,Sheet1!$EE230=Sheet1!$EE229,Sheet1!$EE230=Sheet1!$EE231),Sheet1!$EE230,BB230-BG230)</f>
        <v>2.0555555555555554</v>
      </c>
      <c r="BI230" s="712"/>
      <c r="BJ230" s="712"/>
      <c r="BK230" s="712">
        <f t="shared" si="762"/>
        <v>619.72685788787476</v>
      </c>
      <c r="BL230" s="712"/>
      <c r="BM230" s="712">
        <f ca="1">IF(B230&gt;Summary!$A$1,#N/A,BK230*MGtoAF)</f>
        <v>1901.3219999999999</v>
      </c>
      <c r="BN230" s="712">
        <f>Sheet1!BC230+Sheet1!BD230+Sheet1!BE230+Sheet1!BF230-BW230-BX230</f>
        <v>4.08</v>
      </c>
      <c r="BO230" s="712">
        <f t="shared" si="763"/>
        <v>4.1313628899835795</v>
      </c>
      <c r="BP230" s="712">
        <f>IF(Sheet1!EM230="FM",BX230,0)</f>
        <v>0</v>
      </c>
      <c r="BQ230" s="712">
        <f t="shared" si="764"/>
        <v>0</v>
      </c>
      <c r="BR230" s="712">
        <f>IF(Sheet1!EM230="OTHER",BX230,0)</f>
        <v>0</v>
      </c>
      <c r="BS230" s="712">
        <f t="shared" si="765"/>
        <v>0</v>
      </c>
      <c r="BT230" s="712">
        <f t="shared" si="766"/>
        <v>0</v>
      </c>
      <c r="BU230" s="712">
        <f t="shared" si="767"/>
        <v>4.08</v>
      </c>
      <c r="BV230" s="712">
        <f t="shared" si="768"/>
        <v>4.1313628899835795</v>
      </c>
      <c r="BW230" s="712">
        <f>IF(Sheet1!EM230="CWA",SUM(Sheet1!BC230:'Sheet1'!BF230),0)</f>
        <v>0</v>
      </c>
      <c r="BX230" s="712">
        <f>IF(OR(Sheet1!EM230="FM", Sheet1!EM230="OTHER"),SUM(Sheet1!BC230:'Sheet1'!BF230),0)</f>
        <v>0</v>
      </c>
      <c r="BY230" s="697">
        <f>IF(AND($B230&gt;=$FL230,$B230&lt;=$FM230),MAX(BV230,Sheet1!EF230,0),MAX(BV230-(7/36)*$K230,0))</f>
        <v>4.1313628899835795</v>
      </c>
      <c r="BZ230" s="712">
        <f t="shared" si="769"/>
        <v>0</v>
      </c>
      <c r="CA230" s="697">
        <f t="shared" si="770"/>
        <v>0</v>
      </c>
      <c r="CB230" s="697">
        <f>IF(AND($O230&gt;0,Sheet1!EJ230=1),(1-($O230-Sheet1!$L230)/$O230)*BV230,0)</f>
        <v>0</v>
      </c>
      <c r="CC230" s="697">
        <f>IF(AND(Sheet1!$L230=0,Sheet1!$L229=0, Calculation!BU230&lt;Sheet1!EF230-0.1,Sheet1!EF230=Sheet1!EF229,Sheet1!EF230=Sheet1!EF231),Sheet1!EF230,BV230-CB230)</f>
        <v>4.1313628899835795</v>
      </c>
      <c r="CD230" s="697"/>
      <c r="CE230" s="712"/>
      <c r="CF230" s="712">
        <f t="shared" si="771"/>
        <v>605.42986931556698</v>
      </c>
      <c r="CG230" s="712"/>
      <c r="CH230" s="712">
        <f ca="1">IF(B230&gt;Summary!$A$1,#N/A,CF230*MGtoAF)</f>
        <v>1857.4588390601596</v>
      </c>
      <c r="CI230" s="712">
        <f>Sheet1!BK230+Sheet1!BL230+Sheet1!BM230-Sheet1!EN230-CQ230</f>
        <v>10.030000000000001</v>
      </c>
      <c r="CJ230" s="712">
        <f t="shared" si="772"/>
        <v>10.156267104542968</v>
      </c>
      <c r="CK230" s="712">
        <f>IF(Sheet1!EN230="FM",CQ230,0)</f>
        <v>0</v>
      </c>
      <c r="CL230" s="712">
        <f t="shared" si="773"/>
        <v>0</v>
      </c>
      <c r="CM230" s="712">
        <f>IF(Sheet1!EN230="OTHER",CQ230,0)</f>
        <v>0</v>
      </c>
      <c r="CN230" s="712">
        <f t="shared" si="774"/>
        <v>0</v>
      </c>
      <c r="CO230" s="712">
        <f t="shared" si="775"/>
        <v>10.030000000000001</v>
      </c>
      <c r="CP230" s="712">
        <f t="shared" si="776"/>
        <v>10.156267104542968</v>
      </c>
      <c r="CQ230" s="712">
        <f>IF(OR(Sheet1!EN230="FM", Sheet1!EN230="OTHER"),SUM(Sheet1!BK230:'Sheet1'!BM230),0)</f>
        <v>0</v>
      </c>
      <c r="CR230" s="800">
        <f t="shared" si="736"/>
        <v>10.156267104542968</v>
      </c>
      <c r="CS230" s="712">
        <f t="shared" si="777"/>
        <v>0</v>
      </c>
      <c r="CT230" s="697">
        <f t="shared" si="778"/>
        <v>0</v>
      </c>
      <c r="CU230" s="697">
        <f>IF(AND($O230&gt;0,Sheet1!EK230=1),(1-($O230-Sheet1!$L230)/$O230)*CP230,0)</f>
        <v>0</v>
      </c>
      <c r="CV230" s="697">
        <f>IF(AND(Sheet1!$L230=0,Sheet1!$L229=0, Calculation!CO230&lt;Sheet1!$EG230-0.1,Sheet1!$EG230=Sheet1!$EG229,Sheet1!$EG230=Sheet1!$EG231),Sheet1!$EG230,CP230-CU230)</f>
        <v>10.156267104542968</v>
      </c>
      <c r="CW230" s="697">
        <f t="shared" si="721"/>
        <v>0</v>
      </c>
      <c r="CX230" s="712">
        <f t="shared" si="779"/>
        <v>16.14</v>
      </c>
      <c r="CY230" s="712">
        <f t="shared" si="780"/>
        <v>564.44307494654129</v>
      </c>
      <c r="CZ230" s="712">
        <f t="shared" si="781"/>
        <v>16.343185550082104</v>
      </c>
      <c r="DA230" s="712">
        <f ca="1">IF(B230&gt;Summary!$A$1,#N/A,CY230*MGtoAF)</f>
        <v>1731.7113539359887</v>
      </c>
      <c r="DB230" s="712">
        <f t="shared" si="782"/>
        <v>16.14</v>
      </c>
      <c r="DC230" s="712">
        <f t="shared" si="783"/>
        <v>36.54</v>
      </c>
      <c r="DD230" s="712">
        <f>Sheet1!AB230-DC230</f>
        <v>0.46000000000000085</v>
      </c>
      <c r="DE230" s="712">
        <f t="shared" si="784"/>
        <v>1.2588943623426406E-2</v>
      </c>
      <c r="DF230" s="712">
        <f>(VLOOKUP(Sheet1!CY230,hhdcap_wcm,4)-(((VLOOKUP(Sheet1!CY230,hhdcap_wcm,3)-Sheet1!CY230)/(VLOOKUP(Sheet1!CY230,hhdcap_wcm,3)-VLOOKUP(Sheet1!CY230,hhdcap_wcm,1)))*(VLOOKUP(Sheet1!CY230,hhdcap_wcm,4)-VLOOKUP(Sheet1!CY230,hhdcap_wcm,2))))</f>
        <v>40358.880000097815</v>
      </c>
      <c r="DG230" s="712">
        <f t="shared" si="785"/>
        <v>-122.04000000000087</v>
      </c>
      <c r="DH230" s="712">
        <f t="shared" si="786"/>
        <v>-61.543116490166845</v>
      </c>
      <c r="DI230" s="712">
        <f>Sheet1!DW230*AFtoMG</f>
        <v>0</v>
      </c>
      <c r="DJ230" s="712">
        <f>Sheet1!DX230*AFtoMG</f>
        <v>0</v>
      </c>
      <c r="DK230" s="712">
        <f>Sheet1!DY230*AFtoMG</f>
        <v>0</v>
      </c>
      <c r="DL230" s="712">
        <f>Sheet1!DZ230*AFtoMG</f>
        <v>0</v>
      </c>
      <c r="DM230" s="712">
        <f t="shared" si="787"/>
        <v>0</v>
      </c>
      <c r="DN230" s="712">
        <f t="shared" si="788"/>
        <v>0</v>
      </c>
      <c r="DO230" s="712">
        <f t="shared" si="789"/>
        <v>3147.7049738144765</v>
      </c>
      <c r="DP230" s="712">
        <f t="shared" si="790"/>
        <v>9657.1588596628135</v>
      </c>
      <c r="DQ230" s="712"/>
      <c r="DR230" s="697">
        <f>IF(OR(B230&lt;FL230,B230&gt;FM230),(MIN(AV230+BO230+CJ230+MAX(Sheet1!AA230+AG230-73,0),K230)),0)</f>
        <v>0</v>
      </c>
      <c r="DS230" s="712"/>
      <c r="DT230" s="712">
        <f t="shared" si="791"/>
        <v>16.343185550082104</v>
      </c>
      <c r="DU230" s="712"/>
      <c r="DV230" s="712">
        <f>Sheet1!ED230+Sheet1!EE230+Sheet1!EF230+Sheet1!EG230</f>
        <v>16</v>
      </c>
      <c r="DW230" s="712"/>
      <c r="DX230" s="697">
        <f t="shared" si="792"/>
        <v>0</v>
      </c>
      <c r="DY230" s="712">
        <f>IF(Sheet1!FN230=1,SUM('Calculations II'!AT230:BA230)+'Calculations II'!BC230+Sheet1!BU230+'Calculations II'!BE230+AF230,SUM('Calculations II'!AT230:BA230)+'Calculations II'!BC230+Sheet1!BU230+'Calculations II'!BE230+AF230)</f>
        <v>77.102512000000004</v>
      </c>
      <c r="DZ230" s="712">
        <f>Sheet1!AA230+Sheet1!AB230+'Calculations II'!BC230</f>
        <v>94.451487999999998</v>
      </c>
      <c r="EA230" s="712"/>
      <c r="EB230" s="712"/>
      <c r="EC230" s="712">
        <f t="shared" si="793"/>
        <v>40759</v>
      </c>
      <c r="ED230" s="712">
        <f t="shared" si="794"/>
        <v>-16.343185550082104</v>
      </c>
      <c r="EE230" s="712">
        <f t="shared" si="795"/>
        <v>-25.282908045977013</v>
      </c>
      <c r="EF230" s="712">
        <f>-(VLOOKUP(Sheet1!BQ230,Lookup!$B$4:$J$236,2)-VLOOKUP(Sheet1!BQ229,Lookup!$B$4:$J$236,2))/1000000</f>
        <v>-1.3219000000000001</v>
      </c>
      <c r="EG230" s="712">
        <f>-(VLOOKUP(Sheet1!BR230,Lookup!$B$4:$J$236,3)-VLOOKUP(Sheet1!BR229,Lookup!$B$4:$J$236,3))/1000000</f>
        <v>-1.3230999999999999</v>
      </c>
      <c r="EH230" s="712">
        <f>-(VLOOKUP(Sheet1!BS230,Lookup!$B$4:$J$236,4)-VLOOKUP(Sheet1!BS229,Lookup!$B$4:$J$236,4))/1000000</f>
        <v>0</v>
      </c>
      <c r="EI230" s="697">
        <f t="shared" si="796"/>
        <v>-2.645</v>
      </c>
      <c r="EJ230" s="712"/>
      <c r="EK230" s="712"/>
      <c r="EL230" s="712"/>
      <c r="EM230" s="712"/>
      <c r="EN230" s="712"/>
      <c r="EO230" s="712"/>
      <c r="EP230" s="712"/>
      <c r="EQ230" s="712"/>
      <c r="ET230" s="794">
        <f t="shared" si="720"/>
        <v>1136.4000000000001</v>
      </c>
      <c r="EU230" s="697">
        <v>8785</v>
      </c>
      <c r="EV230" s="795">
        <f t="shared" si="734"/>
        <v>20696.721140435002</v>
      </c>
      <c r="EW230" s="796" t="s">
        <v>757</v>
      </c>
      <c r="EX230" s="796" t="s">
        <v>758</v>
      </c>
      <c r="EY230" s="712">
        <v>0</v>
      </c>
      <c r="EZ230" s="798">
        <v>21937.400000051875</v>
      </c>
      <c r="FA230" s="712"/>
      <c r="FB230" s="712"/>
      <c r="FC230" s="712"/>
      <c r="FD230" s="712"/>
      <c r="FE230" s="712">
        <f>O230+Sheet1!CO230</f>
        <v>10809.2</v>
      </c>
      <c r="FF230" s="712">
        <f>IF(Sheet1!AA230+AG230&lt;=Calculation!N230,AG230,Calculation!N230-Sheet1!AA230)</f>
        <v>20.656814449917896</v>
      </c>
      <c r="FG230" s="712">
        <f>(Sheet1!BP230+Sheet1!BO230)/694.4</f>
        <v>4.4827188940092171</v>
      </c>
      <c r="FH230" s="712"/>
      <c r="FI230" s="712"/>
      <c r="FJ230" s="712"/>
      <c r="FK230" s="712"/>
      <c r="FL230" s="714">
        <f t="shared" si="726"/>
        <v>40753</v>
      </c>
      <c r="FM230" s="714">
        <f t="shared" si="727"/>
        <v>40851</v>
      </c>
      <c r="FN230" s="712"/>
      <c r="FO230" s="712"/>
      <c r="FP230" s="712"/>
      <c r="FQ230" s="712"/>
      <c r="FR230" s="712"/>
      <c r="FS230" s="725">
        <f t="shared" si="735"/>
        <v>40603</v>
      </c>
      <c r="FT230" s="714">
        <f t="shared" si="729"/>
        <v>40709</v>
      </c>
      <c r="FU230" s="712">
        <f t="shared" si="735"/>
        <v>6518.9048239895692</v>
      </c>
      <c r="FV230" s="714">
        <f t="shared" si="730"/>
        <v>40722</v>
      </c>
      <c r="FW230" s="712">
        <f t="shared" si="735"/>
        <v>3259.4524119947846</v>
      </c>
      <c r="FX230" s="725">
        <f t="shared" si="735"/>
        <v>40851</v>
      </c>
      <c r="FZ230" s="697">
        <f t="shared" si="722"/>
        <v>0</v>
      </c>
      <c r="GA230" s="712" t="str">
        <f t="shared" si="797"/>
        <v/>
      </c>
      <c r="GB230" s="712">
        <f t="shared" si="798"/>
        <v>0</v>
      </c>
      <c r="GC230" s="712" t="str">
        <f t="shared" si="799"/>
        <v/>
      </c>
      <c r="GD230" s="712">
        <f>IF(GA230="P",Lookup!$M$12,IF(GA230="PP",Lookup!$M$13,IF(GA230="PPP",Lookup!$M$14,IF(GA230="T",Lookup!$M$15,IF(GA230="TP",Lookup!$M$16,IF(GA230="TPP",Lookup!$M$17,IF(GA230="TPPP",Lookup!$M$18,0)))))))*FZ230</f>
        <v>0</v>
      </c>
      <c r="GE230" s="712">
        <f t="shared" si="800"/>
        <v>0</v>
      </c>
      <c r="GF230" s="712">
        <f t="shared" si="801"/>
        <v>4166.6666666666661</v>
      </c>
      <c r="GG230" s="712">
        <f t="shared" si="802"/>
        <v>1358.1051716644936</v>
      </c>
      <c r="GH230" s="712"/>
      <c r="GI230" s="712">
        <f t="shared" si="803"/>
        <v>0</v>
      </c>
      <c r="GJ230" s="712" t="str">
        <f t="shared" si="804"/>
        <v/>
      </c>
      <c r="GK230" s="712">
        <f>IF(GA230="P",Lookup!$N$12,IF(GA230="PP",Lookup!$N$13,IF(GA230="PPP",Lookup!$N$14,IF(GA230="T",Lookup!$N$15,IF(GA230="TP",Lookup!$N$16,IF(GA230="TPP",Lookup!$N$17,IF(GA230="TPPP",Lookup!$N$18,0)))))))*FZ230</f>
        <v>0</v>
      </c>
      <c r="GL230" s="712">
        <f t="shared" si="805"/>
        <v>0</v>
      </c>
      <c r="GM230" s="712">
        <f t="shared" si="806"/>
        <v>1901.3219999999999</v>
      </c>
      <c r="GN230" s="712">
        <f t="shared" si="807"/>
        <v>619.72685788787476</v>
      </c>
      <c r="GO230" s="712"/>
      <c r="GP230" s="712">
        <f t="shared" si="808"/>
        <v>0</v>
      </c>
      <c r="GQ230" s="712" t="str">
        <f t="shared" si="809"/>
        <v/>
      </c>
      <c r="GR230" s="712">
        <f>IF(GA230="P",Lookup!$N$12,IF(GA230="PP",Lookup!$N$13,IF(GA230="PPP",Lookup!$N$14,IF(GA230="T",Lookup!$N$15,IF(GA230="TP",Lookup!$N$16,IF(GA230="TPP",Lookup!$N$17,IF(GA230="TPPP",Lookup!$N$18,0)))))))*FZ230</f>
        <v>0</v>
      </c>
      <c r="GS230" s="697">
        <f t="shared" si="724"/>
        <v>0</v>
      </c>
      <c r="GT230" s="712">
        <f t="shared" si="810"/>
        <v>1857.4588390601596</v>
      </c>
      <c r="GU230" s="712">
        <f t="shared" si="811"/>
        <v>605.42986931556698</v>
      </c>
      <c r="GV230" s="712"/>
      <c r="GW230" s="712">
        <f t="shared" si="812"/>
        <v>0</v>
      </c>
      <c r="GX230" s="712" t="str">
        <f t="shared" si="813"/>
        <v/>
      </c>
      <c r="GY230" s="712">
        <f>IF(GA230="P",Lookup!$N$12,IF(GA230="PP",Lookup!$N$13,IF(GA230="PPP",Lookup!$N$14,IF(GA230="T",Lookup!$N$15,IF(GA230="TP",Lookup!$N$16,IF(GA230="TPP",Lookup!$N$17,IF(GA230="TPPP",Lookup!$N$18,0)))))))*FZ230</f>
        <v>0</v>
      </c>
      <c r="GZ230" s="697">
        <f t="shared" si="725"/>
        <v>0</v>
      </c>
      <c r="HA230" s="712">
        <f t="shared" si="814"/>
        <v>1731.7113539359887</v>
      </c>
      <c r="HB230" s="712">
        <f t="shared" si="815"/>
        <v>564.44307494654129</v>
      </c>
      <c r="HC230" s="712"/>
    </row>
    <row r="231" spans="1:211">
      <c r="A231" s="773" t="s">
        <v>8</v>
      </c>
      <c r="B231" s="708">
        <v>40760</v>
      </c>
      <c r="C231" s="719">
        <v>0.5</v>
      </c>
      <c r="D231" s="675">
        <f t="shared" si="737"/>
        <v>200</v>
      </c>
      <c r="E231" s="675">
        <f t="shared" si="738"/>
        <v>400</v>
      </c>
      <c r="F231" s="675">
        <v>250</v>
      </c>
      <c r="G231" s="712">
        <f>DH231+Sheet1!CV231</f>
        <v>261.37821482584491</v>
      </c>
      <c r="H231" s="712">
        <f t="shared" si="739"/>
        <v>0</v>
      </c>
      <c r="I231" s="711">
        <f>MAX(Sheet1!Z231-AJ231+(Sheet1!CW231-E231)*CFStoMGD,0)</f>
        <v>27.362306724722139</v>
      </c>
      <c r="J231" s="720">
        <f>IF(AND(B231&gt;=Calculation!FS231,B231&lt;=Calculation!FT231),IF(Sheet1!CX231&gt;=Calculation!D231,64.64,0),MAX(Sheet1!Z231-AJ231+(Sheet1!CX231-D231)*CFStoMGD,0))</f>
        <v>32.991373391388812</v>
      </c>
      <c r="K231" s="697">
        <f t="shared" si="740"/>
        <v>0</v>
      </c>
      <c r="L231" s="712">
        <f>Sheet1!AA231+Sheet1!AB231-Sheet1!L231+(Sheet1!CW231-F231)*CFStoMGD</f>
        <v>191.210666666669</v>
      </c>
      <c r="M231" s="712">
        <f t="shared" si="741"/>
        <v>172.33397562469469</v>
      </c>
      <c r="N231" s="712">
        <f>IF(Sheet1!CW231&gt;=F231,MIN(73,MIN(MAX(L231,0),MAX(M231,0))),0)</f>
        <v>73</v>
      </c>
      <c r="O231" s="721">
        <f>Sheet1!AA231+Sheet1!AB231</f>
        <v>86.440000000002328</v>
      </c>
      <c r="P231" s="721">
        <f t="shared" si="742"/>
        <v>133.72268000000361</v>
      </c>
      <c r="Q231" s="712">
        <f>MIN(N231,Sheet1!AA231+AG231)</f>
        <v>68.168359941947429</v>
      </c>
      <c r="R231" s="712">
        <f t="shared" si="743"/>
        <v>20</v>
      </c>
      <c r="S231" s="721">
        <f>Sheet1!Y231*MGDtoCFS</f>
        <v>65.267929999999993</v>
      </c>
      <c r="T231" s="721">
        <f>Sheet1!Z231*MGDtoCFS</f>
        <v>66.397239999999996</v>
      </c>
      <c r="U231" s="721">
        <f>Sheet1!AA231*MGDtoCFS</f>
        <v>69.305600000004503</v>
      </c>
      <c r="V231" s="721">
        <f>Sheet1!AB231*MGDtoCFS</f>
        <v>64.417079999999103</v>
      </c>
      <c r="W231" s="721">
        <f>Sheet1!L231*MGDtoCFS</f>
        <v>0</v>
      </c>
      <c r="X231" s="697">
        <f t="shared" si="744"/>
        <v>19.593526850507821</v>
      </c>
      <c r="Y231" s="712">
        <f t="shared" si="745"/>
        <v>30.311186037735599</v>
      </c>
      <c r="Z231" s="712">
        <f t="shared" si="746"/>
        <v>0</v>
      </c>
      <c r="AA231" s="712">
        <f t="shared" si="747"/>
        <v>0</v>
      </c>
      <c r="AB231" s="712">
        <f>(VLOOKUP(Sheet1!CY231,hhdcap_wcm,4)-(((VLOOKUP(Sheet1!CY231,hhdcap_wcm,3)-Sheet1!CY231)/(VLOOKUP(Sheet1!CY231,hhdcap_wcm,3)-VLOOKUP(Sheet1!CY231,hhdcap_wcm,1)))*(VLOOKUP(Sheet1!CY231,hhdcap_wcm,4)-VLOOKUP(Sheet1!CY231,hhdcap_wcm,2))))</f>
        <v>40191.075000097466</v>
      </c>
      <c r="AC231" s="712">
        <f t="shared" si="748"/>
        <v>-167.80500000034954</v>
      </c>
      <c r="AD231" s="712">
        <f t="shared" si="749"/>
        <v>3128.1114469639688</v>
      </c>
      <c r="AE231" s="712">
        <f t="shared" si="750"/>
        <v>9597.045919285456</v>
      </c>
      <c r="AF231" s="712">
        <f>Sheet1!BA231+Sheet1!BB231+Sheet1!BN231+BT231</f>
        <v>23.2</v>
      </c>
      <c r="AG231" s="712">
        <f t="shared" si="751"/>
        <v>23.368359941944519</v>
      </c>
      <c r="AH231" s="712">
        <f>Sheet1!BA231+BT231</f>
        <v>0</v>
      </c>
      <c r="AI231" s="712">
        <f>Sheet1!BA231+Sheet1!BB231+BT231</f>
        <v>0</v>
      </c>
      <c r="AJ231" s="712">
        <f>IF((Sheet1!AA231+AG231+AX231+AZ231+BQ231+BS231+CL231+CN231)&lt;=N231,AG231+AX231+AZ231+BQ231+BS231+CL231+CN231,N231-Sheet1!AA231)</f>
        <v>23.368359941944519</v>
      </c>
      <c r="AK231" s="712">
        <f>IF(DR231&lt;K231,0,MAX(Sheet1!AA231+AG231-15/36*K231-N231,Sheet1!ED231,0))</f>
        <v>0</v>
      </c>
      <c r="AL231" s="712">
        <f>IF(OR(B231&gt;=FT231,B231&lt;FS231),0,15/36*K231-MAX(0,64.6-(137.6-(Sheet1!AA231+Sheet1!AB231))))</f>
        <v>0</v>
      </c>
      <c r="AM231" s="712">
        <f>Sheet1!CX231-110</f>
        <v>110.79166666666666</v>
      </c>
      <c r="AN231" s="712">
        <f>Sheet1!CW231-265</f>
        <v>147.08333333333331</v>
      </c>
      <c r="AO231" s="712">
        <f t="shared" si="733"/>
        <v>4.8316400580525709</v>
      </c>
      <c r="AP231" s="712">
        <f t="shared" si="752"/>
        <v>0</v>
      </c>
      <c r="AQ231" s="712">
        <f t="shared" si="753"/>
        <v>0</v>
      </c>
      <c r="AR231" s="712">
        <f t="shared" si="754"/>
        <v>1358.1051716644936</v>
      </c>
      <c r="AS231" s="712"/>
      <c r="AT231" s="712">
        <f ca="1">IF(B231&gt;Summary!$A$1,#N/A,AR231*MGtoAF)</f>
        <v>4166.6666666666661</v>
      </c>
      <c r="AU231" s="712">
        <f>Sheet1!BG231+Sheet1!BH231+Sheet1!BI231-BC231</f>
        <v>1.93</v>
      </c>
      <c r="AV231" s="712">
        <f t="shared" si="755"/>
        <v>1.9440058055152121</v>
      </c>
      <c r="AW231" s="712">
        <f>IF(Sheet1!EL231="FM",BC231,0)</f>
        <v>0</v>
      </c>
      <c r="AX231" s="712">
        <f t="shared" si="756"/>
        <v>0</v>
      </c>
      <c r="AY231" s="712">
        <f>IF(Sheet1!EL231="OTHER",BC231,0)</f>
        <v>0</v>
      </c>
      <c r="AZ231" s="712">
        <f t="shared" si="757"/>
        <v>0</v>
      </c>
      <c r="BA231" s="712">
        <f t="shared" si="758"/>
        <v>1.93</v>
      </c>
      <c r="BB231" s="712">
        <f t="shared" si="759"/>
        <v>1.9440058055152121</v>
      </c>
      <c r="BC231" s="712">
        <f>IF(OR(Sheet1!EL231="FM", Sheet1!EL231="OTHER"),SUM(Sheet1!BG231:'Sheet1'!BI231),0)</f>
        <v>0</v>
      </c>
      <c r="BD231" s="697">
        <f>IF(AND($B231&gt;=$FL231,$B231&lt;=$FM231),MAX(AV231,Sheet1!EE231,0),MAX(AV231-(7/36)*$K231,0))</f>
        <v>3</v>
      </c>
      <c r="BE231" s="712">
        <f t="shared" si="760"/>
        <v>0</v>
      </c>
      <c r="BF231" s="697">
        <f t="shared" si="761"/>
        <v>0</v>
      </c>
      <c r="BG231" s="697">
        <f>IF(AND($O231&gt;0,Sheet1!EI231=1),(1-($O231-Sheet1!$L231)/$O231)*BB231,0)</f>
        <v>0</v>
      </c>
      <c r="BH231" s="697">
        <f>IF(AND(Sheet1!$L231=0,Sheet1!$L230=0, Calculation!BA231&lt;Sheet1!$EE231-0.1,Sheet1!$EE231=Sheet1!$EE230,Sheet1!$EE231=Sheet1!$EE232),Sheet1!$EE231,BB231-BG231)</f>
        <v>1.9440058055152121</v>
      </c>
      <c r="BI231" s="712"/>
      <c r="BJ231" s="712"/>
      <c r="BK231" s="712">
        <f t="shared" si="762"/>
        <v>616.72685788787476</v>
      </c>
      <c r="BL231" s="712"/>
      <c r="BM231" s="712">
        <f ca="1">IF(B231&gt;Summary!$A$1,#N/A,BK231*MGtoAF)</f>
        <v>1892.1179999999997</v>
      </c>
      <c r="BN231" s="712">
        <f>Sheet1!BC231+Sheet1!BD231+Sheet1!BE231+Sheet1!BF231-BW231-BX231</f>
        <v>4.7</v>
      </c>
      <c r="BO231" s="712">
        <f t="shared" si="763"/>
        <v>4.7341074020318636</v>
      </c>
      <c r="BP231" s="712">
        <f>IF(Sheet1!EM231="FM",BX231,0)</f>
        <v>0</v>
      </c>
      <c r="BQ231" s="712">
        <f t="shared" si="764"/>
        <v>0</v>
      </c>
      <c r="BR231" s="712">
        <f>IF(Sheet1!EM231="OTHER",BX231,0)</f>
        <v>0</v>
      </c>
      <c r="BS231" s="712">
        <f t="shared" si="765"/>
        <v>0</v>
      </c>
      <c r="BT231" s="712">
        <f t="shared" si="766"/>
        <v>0</v>
      </c>
      <c r="BU231" s="712">
        <f t="shared" si="767"/>
        <v>4.7</v>
      </c>
      <c r="BV231" s="712">
        <f t="shared" si="768"/>
        <v>4.7341074020318636</v>
      </c>
      <c r="BW231" s="712">
        <f>IF(Sheet1!EM231="CWA",SUM(Sheet1!BC231:'Sheet1'!BF231),0)</f>
        <v>0</v>
      </c>
      <c r="BX231" s="712">
        <f>IF(OR(Sheet1!EM231="FM", Sheet1!EM231="OTHER"),SUM(Sheet1!BC231:'Sheet1'!BF231),0)</f>
        <v>0</v>
      </c>
      <c r="BY231" s="697">
        <f>IF(AND($B231&gt;=$FL231,$B231&lt;=$FM231),MAX(BV231,Sheet1!EF231,0),MAX(BV231-(7/36)*$K231,0))</f>
        <v>5</v>
      </c>
      <c r="BZ231" s="712">
        <f t="shared" si="769"/>
        <v>0</v>
      </c>
      <c r="CA231" s="697">
        <f t="shared" si="770"/>
        <v>0</v>
      </c>
      <c r="CB231" s="697">
        <f>IF(AND($O231&gt;0,Sheet1!EJ231=1),(1-($O231-Sheet1!$L231)/$O231)*BV231,0)</f>
        <v>0</v>
      </c>
      <c r="CC231" s="697">
        <f>IF(AND(Sheet1!$L231=0,Sheet1!$L230=0, Calculation!BU231&lt;Sheet1!EF231-0.1,Sheet1!EF231=Sheet1!EF230,Sheet1!EF231=Sheet1!EF232),Sheet1!EF231,BV231-CB231)</f>
        <v>4.7341074020318636</v>
      </c>
      <c r="CD231" s="697"/>
      <c r="CE231" s="712"/>
      <c r="CF231" s="712">
        <f t="shared" si="771"/>
        <v>600.42986931556698</v>
      </c>
      <c r="CG231" s="712"/>
      <c r="CH231" s="712">
        <f ca="1">IF(B231&gt;Summary!$A$1,#N/A,CF231*MGtoAF)</f>
        <v>1842.1188390601594</v>
      </c>
      <c r="CI231" s="712">
        <f>Sheet1!BK231+Sheet1!BL231+Sheet1!BM231-Sheet1!EN231-CQ231</f>
        <v>11.51</v>
      </c>
      <c r="CJ231" s="712">
        <f t="shared" si="772"/>
        <v>11.59352685050782</v>
      </c>
      <c r="CK231" s="712">
        <f>IF(Sheet1!EN231="FM",CQ231,0)</f>
        <v>0</v>
      </c>
      <c r="CL231" s="712">
        <f t="shared" si="773"/>
        <v>0</v>
      </c>
      <c r="CM231" s="712">
        <f>IF(Sheet1!EN231="OTHER",CQ231,0)</f>
        <v>0</v>
      </c>
      <c r="CN231" s="712">
        <f t="shared" si="774"/>
        <v>0</v>
      </c>
      <c r="CO231" s="712">
        <f t="shared" si="775"/>
        <v>11.51</v>
      </c>
      <c r="CP231" s="712">
        <f t="shared" si="776"/>
        <v>11.59352685050782</v>
      </c>
      <c r="CQ231" s="712">
        <f>IF(OR(Sheet1!EN231="FM", Sheet1!EN231="OTHER"),SUM(Sheet1!BK231:'Sheet1'!BM231),0)</f>
        <v>0</v>
      </c>
      <c r="CR231" s="800">
        <f t="shared" si="736"/>
        <v>11.59352685050782</v>
      </c>
      <c r="CS231" s="712">
        <f t="shared" si="777"/>
        <v>0</v>
      </c>
      <c r="CT231" s="697">
        <f t="shared" si="778"/>
        <v>0</v>
      </c>
      <c r="CU231" s="697">
        <f>IF(AND($O231&gt;0,Sheet1!EK231=1),(1-($O231-Sheet1!$L231)/$O231)*CP231,0)</f>
        <v>0</v>
      </c>
      <c r="CV231" s="697">
        <f>IF(AND(Sheet1!$L231=0,Sheet1!$L230=0, Calculation!CO231&lt;Sheet1!$EG231-0.1,Sheet1!$EG231=Sheet1!$EG230,Sheet1!$EG231=Sheet1!$EG232),Sheet1!$EG231,CP231-CU231)</f>
        <v>11.59352685050782</v>
      </c>
      <c r="CW231" s="697">
        <f t="shared" si="721"/>
        <v>0</v>
      </c>
      <c r="CX231" s="712">
        <f t="shared" si="779"/>
        <v>18.14</v>
      </c>
      <c r="CY231" s="712">
        <f t="shared" si="780"/>
        <v>552.84954809603346</v>
      </c>
      <c r="CZ231" s="712">
        <f t="shared" si="781"/>
        <v>18.271640058054896</v>
      </c>
      <c r="DA231" s="712">
        <f ca="1">IF(B231&gt;Summary!$A$1,#N/A,CY231*MGtoAF)</f>
        <v>1696.1424135586308</v>
      </c>
      <c r="DB231" s="712">
        <f t="shared" si="782"/>
        <v>18.14</v>
      </c>
      <c r="DC231" s="712">
        <f t="shared" si="783"/>
        <v>41.34</v>
      </c>
      <c r="DD231" s="712">
        <f>Sheet1!AB231-DC231</f>
        <v>0.29999999999941451</v>
      </c>
      <c r="DE231" s="712">
        <f t="shared" si="784"/>
        <v>7.2568940493327166E-3</v>
      </c>
      <c r="DF231" s="712">
        <f>(VLOOKUP(Sheet1!CY231,hhdcap_wcm,4)-(((VLOOKUP(Sheet1!CY231,hhdcap_wcm,3)-Sheet1!CY231)/(VLOOKUP(Sheet1!CY231,hhdcap_wcm,3)-VLOOKUP(Sheet1!CY231,hhdcap_wcm,1)))*(VLOOKUP(Sheet1!CY231,hhdcap_wcm,4)-VLOOKUP(Sheet1!CY231,hhdcap_wcm,2))))</f>
        <v>40191.075000097466</v>
      </c>
      <c r="DG231" s="712">
        <f t="shared" si="785"/>
        <v>-167.80500000034954</v>
      </c>
      <c r="DH231" s="712">
        <f t="shared" si="786"/>
        <v>-84.621785174155079</v>
      </c>
      <c r="DI231" s="712">
        <f>Sheet1!DW231*AFtoMG</f>
        <v>0</v>
      </c>
      <c r="DJ231" s="712">
        <f>Sheet1!DX231*AFtoMG</f>
        <v>0</v>
      </c>
      <c r="DK231" s="712">
        <f>Sheet1!DY231*AFtoMG</f>
        <v>0</v>
      </c>
      <c r="DL231" s="712">
        <f>Sheet1!DZ231*AFtoMG</f>
        <v>0</v>
      </c>
      <c r="DM231" s="712">
        <f t="shared" si="787"/>
        <v>0</v>
      </c>
      <c r="DN231" s="712">
        <f t="shared" si="788"/>
        <v>0</v>
      </c>
      <c r="DO231" s="712">
        <f t="shared" si="789"/>
        <v>3128.1114469639688</v>
      </c>
      <c r="DP231" s="712">
        <f t="shared" si="790"/>
        <v>9597.045919285456</v>
      </c>
      <c r="DQ231" s="712"/>
      <c r="DR231" s="697">
        <f>IF(OR(B231&lt;FL231,B231&gt;FM231),(MIN(AV231+BO231+CJ231+MAX(Sheet1!AA231+AG231-73,0),K231)),0)</f>
        <v>0</v>
      </c>
      <c r="DS231" s="712"/>
      <c r="DT231" s="712">
        <f t="shared" si="791"/>
        <v>18.271640058054896</v>
      </c>
      <c r="DU231" s="712"/>
      <c r="DV231" s="712">
        <f>Sheet1!ED231+Sheet1!EE231+Sheet1!EF231+Sheet1!EG231</f>
        <v>20</v>
      </c>
      <c r="DW231" s="712"/>
      <c r="DX231" s="697">
        <f t="shared" si="792"/>
        <v>0</v>
      </c>
      <c r="DY231" s="712">
        <f>IF(Sheet1!FN231=1,SUM('Calculations II'!AT231:BA231)+'Calculations II'!BC231+Sheet1!BU231+'Calculations II'!BE231+AF231,SUM('Calculations II'!AT231:BA231)+'Calculations II'!BC231+Sheet1!BU231+'Calculations II'!BE231+AF231)</f>
        <v>69.100237440000001</v>
      </c>
      <c r="DZ231" s="712">
        <f>Sheet1!AA231+Sheet1!AB231+'Calculations II'!BC231</f>
        <v>97.479293440002323</v>
      </c>
      <c r="EA231" s="712"/>
      <c r="EB231" s="712"/>
      <c r="EC231" s="712">
        <f t="shared" si="793"/>
        <v>40760</v>
      </c>
      <c r="ED231" s="712">
        <f t="shared" si="794"/>
        <v>-19.593526850507821</v>
      </c>
      <c r="EE231" s="712">
        <f t="shared" si="795"/>
        <v>-30.311186037735599</v>
      </c>
      <c r="EF231" s="712">
        <f>-(VLOOKUP(Sheet1!BQ231,Lookup!$B$4:$J$236,2)-VLOOKUP(Sheet1!BQ230,Lookup!$B$4:$J$236,2))/1000000</f>
        <v>-4.8388999999999998</v>
      </c>
      <c r="EG231" s="712">
        <f>-(VLOOKUP(Sheet1!BR231,Lookup!$B$4:$J$236,3)-VLOOKUP(Sheet1!BR230,Lookup!$B$4:$J$236,3))/1000000</f>
        <v>-4.5628000000000002</v>
      </c>
      <c r="EH231" s="712">
        <f>-(VLOOKUP(Sheet1!BS231,Lookup!$B$4:$J$236,4)-VLOOKUP(Sheet1!BS230,Lookup!$B$4:$J$236,4))/1000000</f>
        <v>0</v>
      </c>
      <c r="EI231" s="697">
        <f t="shared" si="796"/>
        <v>-9.4016999999999999</v>
      </c>
      <c r="EJ231" s="712"/>
      <c r="EK231" s="712"/>
      <c r="EL231" s="712"/>
      <c r="EM231" s="712"/>
      <c r="EN231" s="712"/>
      <c r="EO231" s="712"/>
      <c r="EP231" s="712"/>
      <c r="EQ231" s="712"/>
      <c r="ET231" s="794">
        <f t="shared" si="720"/>
        <v>1136.2</v>
      </c>
      <c r="EU231" s="697">
        <v>8785</v>
      </c>
      <c r="EV231" s="795">
        <f t="shared" si="734"/>
        <v>20589.029080812012</v>
      </c>
      <c r="EW231" s="796" t="s">
        <v>757</v>
      </c>
      <c r="EX231" s="796" t="s">
        <v>758</v>
      </c>
      <c r="EY231" s="712">
        <v>0</v>
      </c>
      <c r="EZ231" s="798">
        <v>21802.000000051721</v>
      </c>
      <c r="FA231" s="712"/>
      <c r="FB231" s="712"/>
      <c r="FC231" s="712"/>
      <c r="FD231" s="712"/>
      <c r="FE231" s="712">
        <f>O231+Sheet1!CO231</f>
        <v>7752.6160000000018</v>
      </c>
      <c r="FF231" s="712">
        <f>IF(Sheet1!AA231+AG231&lt;=Calculation!N231,AG231,Calculation!N231-Sheet1!AA231)</f>
        <v>23.368359941944519</v>
      </c>
      <c r="FG231" s="712">
        <f>(Sheet1!BP231+Sheet1!BO231)/694.4</f>
        <v>3.8258928571428572</v>
      </c>
      <c r="FH231" s="712"/>
      <c r="FI231" s="712"/>
      <c r="FJ231" s="712"/>
      <c r="FK231" s="712"/>
      <c r="FL231" s="714">
        <f t="shared" si="726"/>
        <v>40753</v>
      </c>
      <c r="FM231" s="714">
        <f t="shared" si="727"/>
        <v>40851</v>
      </c>
      <c r="FN231" s="712"/>
      <c r="FO231" s="712"/>
      <c r="FP231" s="712"/>
      <c r="FQ231" s="712"/>
      <c r="FR231" s="712"/>
      <c r="FS231" s="725">
        <f t="shared" si="735"/>
        <v>40603</v>
      </c>
      <c r="FT231" s="714">
        <f t="shared" si="729"/>
        <v>40709</v>
      </c>
      <c r="FU231" s="712">
        <f t="shared" si="735"/>
        <v>6518.9048239895692</v>
      </c>
      <c r="FV231" s="714">
        <f t="shared" si="730"/>
        <v>40722</v>
      </c>
      <c r="FW231" s="712">
        <f t="shared" si="735"/>
        <v>3259.4524119947846</v>
      </c>
      <c r="FX231" s="725">
        <f t="shared" si="735"/>
        <v>40851</v>
      </c>
      <c r="FZ231" s="697">
        <f t="shared" si="722"/>
        <v>0</v>
      </c>
      <c r="GA231" s="712" t="str">
        <f t="shared" si="797"/>
        <v/>
      </c>
      <c r="GB231" s="712">
        <f t="shared" si="798"/>
        <v>0</v>
      </c>
      <c r="GC231" s="712" t="str">
        <f t="shared" si="799"/>
        <v/>
      </c>
      <c r="GD231" s="712">
        <f>IF(GA231="P",Lookup!$M$12,IF(GA231="PP",Lookup!$M$13,IF(GA231="PPP",Lookup!$M$14,IF(GA231="T",Lookup!$M$15,IF(GA231="TP",Lookup!$M$16,IF(GA231="TPP",Lookup!$M$17,IF(GA231="TPPP",Lookup!$M$18,0)))))))*FZ231</f>
        <v>0</v>
      </c>
      <c r="GE231" s="712">
        <f t="shared" si="800"/>
        <v>0</v>
      </c>
      <c r="GF231" s="712">
        <f t="shared" si="801"/>
        <v>4166.6666666666661</v>
      </c>
      <c r="GG231" s="712">
        <f t="shared" si="802"/>
        <v>1358.1051716644936</v>
      </c>
      <c r="GH231" s="712"/>
      <c r="GI231" s="712">
        <f t="shared" si="803"/>
        <v>0</v>
      </c>
      <c r="GJ231" s="712" t="str">
        <f t="shared" si="804"/>
        <v/>
      </c>
      <c r="GK231" s="712">
        <f>IF(GA231="P",Lookup!$N$12,IF(GA231="PP",Lookup!$N$13,IF(GA231="PPP",Lookup!$N$14,IF(GA231="T",Lookup!$N$15,IF(GA231="TP",Lookup!$N$16,IF(GA231="TPP",Lookup!$N$17,IF(GA231="TPPP",Lookup!$N$18,0)))))))*FZ231</f>
        <v>0</v>
      </c>
      <c r="GL231" s="712">
        <f t="shared" si="805"/>
        <v>0</v>
      </c>
      <c r="GM231" s="712">
        <f t="shared" si="806"/>
        <v>1892.1179999999997</v>
      </c>
      <c r="GN231" s="712">
        <f t="shared" si="807"/>
        <v>616.72685788787476</v>
      </c>
      <c r="GO231" s="712"/>
      <c r="GP231" s="712">
        <f t="shared" si="808"/>
        <v>0</v>
      </c>
      <c r="GQ231" s="712" t="str">
        <f t="shared" si="809"/>
        <v/>
      </c>
      <c r="GR231" s="712">
        <f>IF(GA231="P",Lookup!$N$12,IF(GA231="PP",Lookup!$N$13,IF(GA231="PPP",Lookup!$N$14,IF(GA231="T",Lookup!$N$15,IF(GA231="TP",Lookup!$N$16,IF(GA231="TPP",Lookup!$N$17,IF(GA231="TPPP",Lookup!$N$18,0)))))))*FZ231</f>
        <v>0</v>
      </c>
      <c r="GS231" s="697">
        <f t="shared" si="724"/>
        <v>0</v>
      </c>
      <c r="GT231" s="712">
        <f t="shared" si="810"/>
        <v>1842.1188390601594</v>
      </c>
      <c r="GU231" s="712">
        <f t="shared" si="811"/>
        <v>600.42986931556698</v>
      </c>
      <c r="GV231" s="712"/>
      <c r="GW231" s="712">
        <f t="shared" si="812"/>
        <v>0</v>
      </c>
      <c r="GX231" s="712" t="str">
        <f t="shared" si="813"/>
        <v/>
      </c>
      <c r="GY231" s="712">
        <f>IF(GA231="P",Lookup!$N$12,IF(GA231="PP",Lookup!$N$13,IF(GA231="PPP",Lookup!$N$14,IF(GA231="T",Lookup!$N$15,IF(GA231="TP",Lookup!$N$16,IF(GA231="TPP",Lookup!$N$17,IF(GA231="TPPP",Lookup!$N$18,0)))))))*FZ231</f>
        <v>0</v>
      </c>
      <c r="GZ231" s="697">
        <f t="shared" si="725"/>
        <v>0</v>
      </c>
      <c r="HA231" s="712">
        <f t="shared" si="814"/>
        <v>1696.1424135586308</v>
      </c>
      <c r="HB231" s="712">
        <f t="shared" si="815"/>
        <v>552.84954809603346</v>
      </c>
      <c r="HC231" s="712"/>
    </row>
    <row r="232" spans="1:211">
      <c r="A232" s="773" t="s">
        <v>9</v>
      </c>
      <c r="B232" s="708">
        <v>40761</v>
      </c>
      <c r="C232" s="709">
        <v>0.5</v>
      </c>
      <c r="D232" s="675">
        <f t="shared" si="737"/>
        <v>200</v>
      </c>
      <c r="E232" s="675">
        <f t="shared" si="738"/>
        <v>400</v>
      </c>
      <c r="F232" s="675">
        <v>250</v>
      </c>
      <c r="G232" s="712">
        <f>DH232+Sheet1!CV232</f>
        <v>261.37821482596235</v>
      </c>
      <c r="H232" s="712">
        <f t="shared" si="739"/>
        <v>0</v>
      </c>
      <c r="I232" s="711">
        <f>MAX(Sheet1!Z232-AJ232+(Sheet1!CW232-E232)*CFStoMGD,0)</f>
        <v>28.610483825898317</v>
      </c>
      <c r="J232" s="720">
        <f>IF(AND(B232&gt;=Calculation!FS232,B232&lt;=Calculation!FT232),IF(Sheet1!CX232&gt;=Calculation!D232,64.64,0),MAX(Sheet1!Z232-AJ232+(Sheet1!CX232-D232)*CFStoMGD,0))</f>
        <v>37.915950492564988</v>
      </c>
      <c r="K232" s="697">
        <f t="shared" si="740"/>
        <v>0</v>
      </c>
      <c r="L232" s="712">
        <f>Sheet1!AA232+Sheet1!AB232-Sheet1!L232+(Sheet1!CW232-F232)*CFStoMGD</f>
        <v>186.0764000000035</v>
      </c>
      <c r="M232" s="712">
        <f t="shared" si="741"/>
        <v>172.33397562477211</v>
      </c>
      <c r="N232" s="712">
        <f>IF(Sheet1!CW232&gt;=F232,MIN(73,MIN(MAX(L232,0),MAX(M232,0))),0)</f>
        <v>73</v>
      </c>
      <c r="O232" s="721">
        <f>Sheet1!AA232+Sheet1!AB232</f>
        <v>82.410000000003492</v>
      </c>
      <c r="P232" s="721">
        <f t="shared" si="742"/>
        <v>127.4882700000054</v>
      </c>
      <c r="Q232" s="712">
        <f>MIN(N232,Sheet1!AA232+AG232)</f>
        <v>63.845916174101681</v>
      </c>
      <c r="R232" s="712">
        <f t="shared" si="743"/>
        <v>21</v>
      </c>
      <c r="S232" s="721">
        <f>Sheet1!Y232*MGDtoCFS</f>
        <v>71.007300000000001</v>
      </c>
      <c r="T232" s="721">
        <f>Sheet1!Z232*MGDtoCFS</f>
        <v>62.266749999999995</v>
      </c>
      <c r="U232" s="721">
        <f>Sheet1!AA232*MGDtoCFS</f>
        <v>70.388499999999993</v>
      </c>
      <c r="V232" s="721">
        <f>Sheet1!AB232*MGDtoCFS</f>
        <v>57.0997700000054</v>
      </c>
      <c r="W232" s="721">
        <f>Sheet1!L232*MGDtoCFS</f>
        <v>0</v>
      </c>
      <c r="X232" s="697">
        <f t="shared" si="744"/>
        <v>20.939720580334281</v>
      </c>
      <c r="Y232" s="712">
        <f t="shared" si="745"/>
        <v>32.393747737777133</v>
      </c>
      <c r="Z232" s="712">
        <f t="shared" si="746"/>
        <v>0</v>
      </c>
      <c r="AA232" s="712">
        <f t="shared" si="747"/>
        <v>0</v>
      </c>
      <c r="AB232" s="712">
        <f>(VLOOKUP(Sheet1!CY232,hhdcap_wcm,4)-(((VLOOKUP(Sheet1!CY232,hhdcap_wcm,3)-Sheet1!CY232)/(VLOOKUP(Sheet1!CY232,hhdcap_wcm,3)-VLOOKUP(Sheet1!CY232,hhdcap_wcm,1)))*(VLOOKUP(Sheet1!CY232,hhdcap_wcm,4)-VLOOKUP(Sheet1!CY232,hhdcap_wcm,2))))</f>
        <v>40023.270000097349</v>
      </c>
      <c r="AC232" s="712">
        <f t="shared" si="748"/>
        <v>-167.80500000011671</v>
      </c>
      <c r="AD232" s="712">
        <f t="shared" si="749"/>
        <v>3107.1717263836345</v>
      </c>
      <c r="AE232" s="712">
        <f t="shared" si="750"/>
        <v>9532.8028565449913</v>
      </c>
      <c r="AF232" s="712">
        <f>Sheet1!BA232+Sheet1!BB232+Sheet1!BN232+BT232</f>
        <v>18.5</v>
      </c>
      <c r="AG232" s="712">
        <f t="shared" si="751"/>
        <v>18.345916174101681</v>
      </c>
      <c r="AH232" s="712">
        <f>Sheet1!BA232+BT232</f>
        <v>0</v>
      </c>
      <c r="AI232" s="712">
        <f>Sheet1!BA232+Sheet1!BB232+BT232</f>
        <v>0</v>
      </c>
      <c r="AJ232" s="712">
        <f>IF((Sheet1!AA232+AG232+AX232+AZ232+BQ232+BS232+CL232+CN232)&lt;=N232,AG232+AX232+AZ232+BQ232+BS232+CL232+CN232,N232-Sheet1!AA232)</f>
        <v>18.345916174101681</v>
      </c>
      <c r="AK232" s="712">
        <f>IF(DR232&lt;K232,0,MAX(Sheet1!AA232+AG232-15/36*K232-N232,Sheet1!ED232,0))</f>
        <v>0</v>
      </c>
      <c r="AL232" s="712">
        <f>IF(OR(B232&gt;=FT232,B232&lt;FS232),0,15/36*K232-MAX(0,64.6-(137.6-(Sheet1!AA232+Sheet1!AB232))))</f>
        <v>0</v>
      </c>
      <c r="AM232" s="712">
        <f>Sheet1!CX232-110</f>
        <v>114.77083333333334</v>
      </c>
      <c r="AN232" s="712">
        <f>Sheet1!CW232-265</f>
        <v>145.375</v>
      </c>
      <c r="AO232" s="712">
        <f t="shared" si="733"/>
        <v>9.1540838258983186</v>
      </c>
      <c r="AP232" s="712">
        <f t="shared" si="752"/>
        <v>0</v>
      </c>
      <c r="AQ232" s="712">
        <f t="shared" si="753"/>
        <v>0</v>
      </c>
      <c r="AR232" s="712">
        <f t="shared" si="754"/>
        <v>1358.1051716644936</v>
      </c>
      <c r="AS232" s="712"/>
      <c r="AT232" s="712">
        <f ca="1">IF(B232&gt;Summary!$A$1,#N/A,AR232*MGtoAF)</f>
        <v>4166.6666666666661</v>
      </c>
      <c r="AU232" s="712">
        <f>Sheet1!BG232+Sheet1!BH232+Sheet1!BI232-BC232</f>
        <v>1.95</v>
      </c>
      <c r="AV232" s="712">
        <f t="shared" si="755"/>
        <v>1.933758731864772</v>
      </c>
      <c r="AW232" s="712">
        <f>IF(Sheet1!EL232="FM",BC232,0)</f>
        <v>0</v>
      </c>
      <c r="AX232" s="712">
        <f t="shared" si="756"/>
        <v>0</v>
      </c>
      <c r="AY232" s="712">
        <f>IF(Sheet1!EL232="OTHER",BC232,0)</f>
        <v>0</v>
      </c>
      <c r="AZ232" s="712">
        <f t="shared" si="757"/>
        <v>0</v>
      </c>
      <c r="BA232" s="712">
        <f t="shared" si="758"/>
        <v>1.95</v>
      </c>
      <c r="BB232" s="712">
        <f t="shared" si="759"/>
        <v>1.933758731864772</v>
      </c>
      <c r="BC232" s="712">
        <f>IF(OR(Sheet1!EL232="FM", Sheet1!EL232="OTHER"),SUM(Sheet1!BG232:'Sheet1'!BI232),0)</f>
        <v>0</v>
      </c>
      <c r="BD232" s="697">
        <f>IF(AND($B232&gt;=$FL232,$B232&lt;=$FM232),MAX(AV232,Sheet1!EE232,0),MAX(AV232-(7/36)*$K232,0))</f>
        <v>3</v>
      </c>
      <c r="BE232" s="712">
        <f t="shared" si="760"/>
        <v>0</v>
      </c>
      <c r="BF232" s="697">
        <f t="shared" si="761"/>
        <v>0</v>
      </c>
      <c r="BG232" s="697">
        <f>IF(AND($O232&gt;0,Sheet1!EI232=1),(1-($O232-Sheet1!$L232)/$O232)*BB232,0)</f>
        <v>0</v>
      </c>
      <c r="BH232" s="697">
        <f>IF(AND(Sheet1!$L232=0,Sheet1!$L231=0, Calculation!BA232&lt;Sheet1!$EE232-0.1,Sheet1!$EE232=Sheet1!$EE231,Sheet1!$EE232=Sheet1!$EE233),Sheet1!$EE232,BB232-BG232)</f>
        <v>3</v>
      </c>
      <c r="BI232" s="712"/>
      <c r="BJ232" s="712"/>
      <c r="BK232" s="712">
        <f t="shared" si="762"/>
        <v>613.72685788787476</v>
      </c>
      <c r="BL232" s="712"/>
      <c r="BM232" s="712">
        <f ca="1">IF(B232&gt;Summary!$A$1,#N/A,BK232*MGtoAF)</f>
        <v>1882.9139999999998</v>
      </c>
      <c r="BN232" s="712">
        <f>Sheet1!BC232+Sheet1!BD232+Sheet1!BE232+Sheet1!BF232-BW232-BX232</f>
        <v>4.7300000000000004</v>
      </c>
      <c r="BO232" s="712">
        <f t="shared" si="763"/>
        <v>4.6906045137027546</v>
      </c>
      <c r="BP232" s="712">
        <f>IF(Sheet1!EM232="FM",BX232,0)</f>
        <v>0</v>
      </c>
      <c r="BQ232" s="712">
        <f t="shared" si="764"/>
        <v>0</v>
      </c>
      <c r="BR232" s="712">
        <f>IF(Sheet1!EM232="OTHER",BX232,0)</f>
        <v>0</v>
      </c>
      <c r="BS232" s="712">
        <f t="shared" si="765"/>
        <v>0</v>
      </c>
      <c r="BT232" s="712">
        <f t="shared" si="766"/>
        <v>0</v>
      </c>
      <c r="BU232" s="712">
        <f t="shared" si="767"/>
        <v>4.7300000000000004</v>
      </c>
      <c r="BV232" s="712">
        <f t="shared" si="768"/>
        <v>4.6906045137027546</v>
      </c>
      <c r="BW232" s="712">
        <f>IF(Sheet1!EM232="CWA",SUM(Sheet1!BC232:'Sheet1'!BF232),0)</f>
        <v>0</v>
      </c>
      <c r="BX232" s="712">
        <f>IF(OR(Sheet1!EM232="FM", Sheet1!EM232="OTHER"),SUM(Sheet1!BC232:'Sheet1'!BF232),0)</f>
        <v>0</v>
      </c>
      <c r="BY232" s="697">
        <f>IF(AND($B232&gt;=$FL232,$B232&lt;=$FM232),MAX(BV232,Sheet1!EF232,0),MAX(BV232-(7/36)*$K232,0))</f>
        <v>6</v>
      </c>
      <c r="BZ232" s="712">
        <f t="shared" si="769"/>
        <v>0</v>
      </c>
      <c r="CA232" s="697">
        <f t="shared" si="770"/>
        <v>0</v>
      </c>
      <c r="CB232" s="697">
        <f>IF(AND($O232&gt;0,Sheet1!EJ232=1),(1-($O232-Sheet1!$L232)/$O232)*BV232,0)</f>
        <v>0</v>
      </c>
      <c r="CC232" s="697">
        <f>IF(AND(Sheet1!$L232=0,Sheet1!$L231=0, Calculation!BU232&lt;Sheet1!EF232-0.1,Sheet1!EF232=Sheet1!EF231,Sheet1!EF232=Sheet1!EF233),Sheet1!EF232,BV232-CB232)</f>
        <v>4.6906045137027546</v>
      </c>
      <c r="CD232" s="697"/>
      <c r="CE232" s="712"/>
      <c r="CF232" s="712">
        <f t="shared" si="771"/>
        <v>594.42986931556698</v>
      </c>
      <c r="CG232" s="712"/>
      <c r="CH232" s="712">
        <f ca="1">IF(B232&gt;Summary!$A$1,#N/A,CF232*MGtoAF)</f>
        <v>1823.7108390601595</v>
      </c>
      <c r="CI232" s="712">
        <f>Sheet1!BK232+Sheet1!BL232+Sheet1!BM232-Sheet1!EN232-CQ232</f>
        <v>12.04</v>
      </c>
      <c r="CJ232" s="712">
        <f t="shared" si="772"/>
        <v>11.939720580334283</v>
      </c>
      <c r="CK232" s="712">
        <f>IF(Sheet1!EN232="FM",CQ232,0)</f>
        <v>0</v>
      </c>
      <c r="CL232" s="712">
        <f t="shared" si="773"/>
        <v>0</v>
      </c>
      <c r="CM232" s="712">
        <f>IF(Sheet1!EN232="OTHER",CQ232,0)</f>
        <v>0</v>
      </c>
      <c r="CN232" s="712">
        <f t="shared" si="774"/>
        <v>0</v>
      </c>
      <c r="CO232" s="712">
        <f t="shared" si="775"/>
        <v>12.04</v>
      </c>
      <c r="CP232" s="712">
        <f t="shared" si="776"/>
        <v>11.939720580334283</v>
      </c>
      <c r="CQ232" s="712">
        <f>IF(OR(Sheet1!EN232="FM", Sheet1!EN232="OTHER"),SUM(Sheet1!BK232:'Sheet1'!BM232),0)</f>
        <v>0</v>
      </c>
      <c r="CR232" s="800">
        <f t="shared" si="736"/>
        <v>11.939720580334283</v>
      </c>
      <c r="CS232" s="712">
        <f t="shared" si="777"/>
        <v>0</v>
      </c>
      <c r="CT232" s="697">
        <f t="shared" si="778"/>
        <v>0</v>
      </c>
      <c r="CU232" s="697">
        <f>IF(AND($O232&gt;0,Sheet1!EK232=1),(1-($O232-Sheet1!$L232)/$O232)*CP232,0)</f>
        <v>0</v>
      </c>
      <c r="CV232" s="697">
        <f>IF(AND(Sheet1!$L232=0,Sheet1!$L231=0, Calculation!CO232&lt;Sheet1!$EG232-0.1,Sheet1!$EG232=Sheet1!$EG231,Sheet1!$EG232=Sheet1!$EG233),Sheet1!$EG232,CP232-CU232)</f>
        <v>11.939720580334283</v>
      </c>
      <c r="CW232" s="697">
        <f t="shared" si="721"/>
        <v>0</v>
      </c>
      <c r="CX232" s="712">
        <f t="shared" si="779"/>
        <v>18.72</v>
      </c>
      <c r="CY232" s="712">
        <f t="shared" si="780"/>
        <v>540.90982751569913</v>
      </c>
      <c r="CZ232" s="712">
        <f t="shared" si="781"/>
        <v>18.564083825901811</v>
      </c>
      <c r="DA232" s="712">
        <f ca="1">IF(B232&gt;Summary!$A$1,#N/A,CY232*MGtoAF)</f>
        <v>1659.5113508181651</v>
      </c>
      <c r="DB232" s="712">
        <f t="shared" si="782"/>
        <v>18.72</v>
      </c>
      <c r="DC232" s="712">
        <f t="shared" si="783"/>
        <v>37.22</v>
      </c>
      <c r="DD232" s="712">
        <f>Sheet1!AB232-DC232</f>
        <v>-0.3099999999965064</v>
      </c>
      <c r="DE232" s="712">
        <f t="shared" si="784"/>
        <v>-8.3288554539630959E-3</v>
      </c>
      <c r="DF232" s="712">
        <f>(VLOOKUP(Sheet1!CY232,hhdcap_wcm,4)-(((VLOOKUP(Sheet1!CY232,hhdcap_wcm,3)-Sheet1!CY232)/(VLOOKUP(Sheet1!CY232,hhdcap_wcm,3)-VLOOKUP(Sheet1!CY232,hhdcap_wcm,1)))*(VLOOKUP(Sheet1!CY232,hhdcap_wcm,4)-VLOOKUP(Sheet1!CY232,hhdcap_wcm,2))))</f>
        <v>40023.270000097349</v>
      </c>
      <c r="DG232" s="712">
        <f t="shared" si="785"/>
        <v>-167.80500000011671</v>
      </c>
      <c r="DH232" s="712">
        <f t="shared" si="786"/>
        <v>-84.621785174037669</v>
      </c>
      <c r="DI232" s="712">
        <f>Sheet1!DW232*AFtoMG</f>
        <v>0</v>
      </c>
      <c r="DJ232" s="712">
        <f>Sheet1!DX232*AFtoMG</f>
        <v>0</v>
      </c>
      <c r="DK232" s="712">
        <f>Sheet1!DY232*AFtoMG</f>
        <v>0</v>
      </c>
      <c r="DL232" s="712">
        <f>Sheet1!DZ232*AFtoMG</f>
        <v>0</v>
      </c>
      <c r="DM232" s="712">
        <f t="shared" si="787"/>
        <v>0</v>
      </c>
      <c r="DN232" s="712">
        <f t="shared" si="788"/>
        <v>0</v>
      </c>
      <c r="DO232" s="712">
        <f t="shared" si="789"/>
        <v>3107.1717263836345</v>
      </c>
      <c r="DP232" s="712">
        <f t="shared" si="790"/>
        <v>9532.8028565449913</v>
      </c>
      <c r="DQ232" s="712"/>
      <c r="DR232" s="697">
        <f>IF(OR(B232&lt;FL232,B232&gt;FM232),(MIN(AV232+BO232+CJ232+MAX(Sheet1!AA232+AG232-73,0),K232)),0)</f>
        <v>0</v>
      </c>
      <c r="DS232" s="712"/>
      <c r="DT232" s="712">
        <f t="shared" si="791"/>
        <v>18.564083825901811</v>
      </c>
      <c r="DU232" s="712"/>
      <c r="DV232" s="712">
        <f>Sheet1!ED232+Sheet1!EE232+Sheet1!EF232+Sheet1!EG232</f>
        <v>21</v>
      </c>
      <c r="DW232" s="712"/>
      <c r="DX232" s="697">
        <f t="shared" si="792"/>
        <v>0</v>
      </c>
      <c r="DY232" s="712">
        <f>IF(Sheet1!FN232=1,SUM('Calculations II'!AT232:BA232)+'Calculations II'!BC232+Sheet1!BU232+'Calculations II'!BE232+AF232,SUM('Calculations II'!AT232:BA232)+'Calculations II'!BC232+Sheet1!BU232+'Calculations II'!BE232+AF232)</f>
        <v>66.832704000000007</v>
      </c>
      <c r="DZ232" s="712">
        <f>Sheet1!AA232+Sheet1!AB232+'Calculations II'!BC232</f>
        <v>91.17441600000349</v>
      </c>
      <c r="EA232" s="712"/>
      <c r="EB232" s="712"/>
      <c r="EC232" s="712">
        <f t="shared" si="793"/>
        <v>40761</v>
      </c>
      <c r="ED232" s="712">
        <f t="shared" si="794"/>
        <v>-20.939720580334281</v>
      </c>
      <c r="EE232" s="712">
        <f t="shared" si="795"/>
        <v>-32.393747737777133</v>
      </c>
      <c r="EF232" s="712">
        <f>-(VLOOKUP(Sheet1!BQ232,Lookup!$B$4:$J$236,2)-VLOOKUP(Sheet1!BQ231,Lookup!$B$4:$J$236,2))/1000000</f>
        <v>-3.008</v>
      </c>
      <c r="EG232" s="712">
        <f>-(VLOOKUP(Sheet1!BR232,Lookup!$B$4:$J$236,3)-VLOOKUP(Sheet1!BR231,Lookup!$B$4:$J$236,3))/1000000</f>
        <v>-3.004</v>
      </c>
      <c r="EH232" s="712">
        <f>-(VLOOKUP(Sheet1!BS232,Lookup!$B$4:$J$236,4)-VLOOKUP(Sheet1!BS231,Lookup!$B$4:$J$236,4))/1000000</f>
        <v>0</v>
      </c>
      <c r="EI232" s="697">
        <f t="shared" si="796"/>
        <v>-6.0120000000000005</v>
      </c>
      <c r="EJ232" s="712"/>
      <c r="EK232" s="712"/>
      <c r="EL232" s="712"/>
      <c r="EM232" s="712"/>
      <c r="EN232" s="712"/>
      <c r="EO232" s="712"/>
      <c r="EP232" s="712"/>
      <c r="EQ232" s="712"/>
      <c r="ET232" s="794">
        <f t="shared" si="720"/>
        <v>1136</v>
      </c>
      <c r="EU232" s="697">
        <v>8785</v>
      </c>
      <c r="EV232" s="795">
        <f t="shared" si="734"/>
        <v>20485.467143552356</v>
      </c>
      <c r="EW232" s="796" t="s">
        <v>757</v>
      </c>
      <c r="EX232" s="796" t="s">
        <v>758</v>
      </c>
      <c r="EY232" s="712">
        <v>0</v>
      </c>
      <c r="EZ232" s="798">
        <v>21670.600000050043</v>
      </c>
      <c r="FA232" s="712"/>
      <c r="FB232" s="712"/>
      <c r="FC232" s="712"/>
      <c r="FD232" s="712"/>
      <c r="FE232" s="712">
        <f>O232+Sheet1!CO232</f>
        <v>6168.8100000000031</v>
      </c>
      <c r="FF232" s="712">
        <f>IF(Sheet1!AA232+AG232&lt;=Calculation!N232,AG232,Calculation!N232-Sheet1!AA232)</f>
        <v>18.345916174101681</v>
      </c>
      <c r="FG232" s="712">
        <f>(Sheet1!BP232+Sheet1!BO232)/694.4</f>
        <v>4.4406682027649769</v>
      </c>
      <c r="FH232" s="712"/>
      <c r="FI232" s="712"/>
      <c r="FJ232" s="712"/>
      <c r="FK232" s="712"/>
      <c r="FL232" s="714">
        <f t="shared" si="726"/>
        <v>40753</v>
      </c>
      <c r="FM232" s="714">
        <f t="shared" si="727"/>
        <v>40851</v>
      </c>
      <c r="FN232" s="712"/>
      <c r="FO232" s="712"/>
      <c r="FP232" s="712"/>
      <c r="FQ232" s="712"/>
      <c r="FR232" s="712"/>
      <c r="FS232" s="725">
        <f t="shared" si="735"/>
        <v>40603</v>
      </c>
      <c r="FT232" s="714">
        <f t="shared" si="729"/>
        <v>40709</v>
      </c>
      <c r="FU232" s="712">
        <f t="shared" si="735"/>
        <v>6518.9048239895692</v>
      </c>
      <c r="FV232" s="714">
        <f t="shared" si="730"/>
        <v>40722</v>
      </c>
      <c r="FW232" s="712">
        <f t="shared" si="735"/>
        <v>3259.4524119947846</v>
      </c>
      <c r="FX232" s="725">
        <f t="shared" si="735"/>
        <v>40851</v>
      </c>
      <c r="FZ232" s="697">
        <f t="shared" si="722"/>
        <v>0</v>
      </c>
      <c r="GA232" s="712" t="str">
        <f t="shared" si="797"/>
        <v/>
      </c>
      <c r="GB232" s="712">
        <f t="shared" si="798"/>
        <v>0</v>
      </c>
      <c r="GC232" s="712" t="str">
        <f t="shared" si="799"/>
        <v/>
      </c>
      <c r="GD232" s="712">
        <f>IF(GA232="P",Lookup!$M$12,IF(GA232="PP",Lookup!$M$13,IF(GA232="PPP",Lookup!$M$14,IF(GA232="T",Lookup!$M$15,IF(GA232="TP",Lookup!$M$16,IF(GA232="TPP",Lookup!$M$17,IF(GA232="TPPP",Lookup!$M$18,0)))))))*FZ232</f>
        <v>0</v>
      </c>
      <c r="GE232" s="712">
        <f t="shared" si="800"/>
        <v>0</v>
      </c>
      <c r="GF232" s="712">
        <f t="shared" si="801"/>
        <v>4166.6666666666661</v>
      </c>
      <c r="GG232" s="712">
        <f t="shared" si="802"/>
        <v>1358.1051716644936</v>
      </c>
      <c r="GH232" s="712"/>
      <c r="GI232" s="712">
        <f t="shared" si="803"/>
        <v>0</v>
      </c>
      <c r="GJ232" s="712" t="str">
        <f t="shared" si="804"/>
        <v/>
      </c>
      <c r="GK232" s="712">
        <f>IF(GA232="P",Lookup!$N$12,IF(GA232="PP",Lookup!$N$13,IF(GA232="PPP",Lookup!$N$14,IF(GA232="T",Lookup!$N$15,IF(GA232="TP",Lookup!$N$16,IF(GA232="TPP",Lookup!$N$17,IF(GA232="TPPP",Lookup!$N$18,0)))))))*FZ232</f>
        <v>0</v>
      </c>
      <c r="GL232" s="712">
        <f t="shared" si="805"/>
        <v>0</v>
      </c>
      <c r="GM232" s="712">
        <f t="shared" si="806"/>
        <v>1882.9139999999998</v>
      </c>
      <c r="GN232" s="712">
        <f t="shared" si="807"/>
        <v>613.72685788787476</v>
      </c>
      <c r="GO232" s="712"/>
      <c r="GP232" s="712">
        <f t="shared" si="808"/>
        <v>0</v>
      </c>
      <c r="GQ232" s="712" t="str">
        <f t="shared" si="809"/>
        <v/>
      </c>
      <c r="GR232" s="712">
        <f>IF(GA232="P",Lookup!$N$12,IF(GA232="PP",Lookup!$N$13,IF(GA232="PPP",Lookup!$N$14,IF(GA232="T",Lookup!$N$15,IF(GA232="TP",Lookup!$N$16,IF(GA232="TPP",Lookup!$N$17,IF(GA232="TPPP",Lookup!$N$18,0)))))))*FZ232</f>
        <v>0</v>
      </c>
      <c r="GS232" s="697">
        <f t="shared" si="724"/>
        <v>0</v>
      </c>
      <c r="GT232" s="712">
        <f t="shared" si="810"/>
        <v>1823.7108390601595</v>
      </c>
      <c r="GU232" s="712">
        <f t="shared" si="811"/>
        <v>594.42986931556698</v>
      </c>
      <c r="GV232" s="712"/>
      <c r="GW232" s="712">
        <f t="shared" si="812"/>
        <v>0</v>
      </c>
      <c r="GX232" s="712" t="str">
        <f t="shared" si="813"/>
        <v/>
      </c>
      <c r="GY232" s="712">
        <f>IF(GA232="P",Lookup!$N$12,IF(GA232="PP",Lookup!$N$13,IF(GA232="PPP",Lookup!$N$14,IF(GA232="T",Lookup!$N$15,IF(GA232="TP",Lookup!$N$16,IF(GA232="TPP",Lookup!$N$17,IF(GA232="TPPP",Lookup!$N$18,0)))))))*FZ232</f>
        <v>0</v>
      </c>
      <c r="GZ232" s="697">
        <f t="shared" si="725"/>
        <v>0</v>
      </c>
      <c r="HA232" s="712">
        <f t="shared" si="814"/>
        <v>1659.5113508181651</v>
      </c>
      <c r="HB232" s="712">
        <f t="shared" si="815"/>
        <v>540.90982751569913</v>
      </c>
      <c r="HC232" s="712"/>
    </row>
    <row r="233" spans="1:211">
      <c r="A233" s="773" t="s">
        <v>3</v>
      </c>
      <c r="B233" s="708">
        <v>40762</v>
      </c>
      <c r="C233" s="719">
        <v>0.5</v>
      </c>
      <c r="D233" s="675">
        <f t="shared" si="737"/>
        <v>200</v>
      </c>
      <c r="E233" s="675">
        <f t="shared" si="738"/>
        <v>400</v>
      </c>
      <c r="F233" s="675">
        <v>250</v>
      </c>
      <c r="G233" s="712">
        <f>DH233+Sheet1!CV233</f>
        <v>258.81391830559789</v>
      </c>
      <c r="H233" s="712">
        <f t="shared" si="739"/>
        <v>0</v>
      </c>
      <c r="I233" s="711">
        <f>MAX(Sheet1!Z233-AJ233+(Sheet1!CW233-E233)*CFStoMGD,0)</f>
        <v>29.458285524127064</v>
      </c>
      <c r="J233" s="720">
        <f>IF(AND(B233&gt;=Calculation!FS233,B233&lt;=Calculation!FT233),IF(Sheet1!CX233&gt;=Calculation!D233,64.64,0),MAX(Sheet1!Z233-AJ233+(Sheet1!CX233-D233)*CFStoMGD,0))</f>
        <v>40.359552190793735</v>
      </c>
      <c r="K233" s="697">
        <f t="shared" si="740"/>
        <v>0</v>
      </c>
      <c r="L233" s="712">
        <f>Sheet1!AA233+Sheet1!AB233-Sheet1!L233+(Sheet1!CW233-F233)*CFStoMGD</f>
        <v>184.08959999999564</v>
      </c>
      <c r="M233" s="712">
        <f t="shared" si="741"/>
        <v>170.64326312859325</v>
      </c>
      <c r="N233" s="712">
        <f>IF(Sheet1!CW233&gt;=F233,MIN(73,MIN(MAX(L233,0),MAX(M233,0))),0)</f>
        <v>73</v>
      </c>
      <c r="O233" s="721">
        <f>Sheet1!AA233+Sheet1!AB233</f>
        <v>75.049999999995634</v>
      </c>
      <c r="P233" s="721">
        <f t="shared" si="742"/>
        <v>116.10234999999324</v>
      </c>
      <c r="Q233" s="712">
        <f>MIN(N233,Sheet1!AA233+AG233)</f>
        <v>57.861314475870024</v>
      </c>
      <c r="R233" s="712">
        <f t="shared" si="743"/>
        <v>21</v>
      </c>
      <c r="S233" s="721">
        <f>Sheet1!Y233*MGDtoCFS</f>
        <v>71.100120000000004</v>
      </c>
      <c r="T233" s="721">
        <f>Sheet1!Z233*MGDtoCFS</f>
        <v>46.085129999999999</v>
      </c>
      <c r="U233" s="721">
        <f>Sheet1!AA233*MGDtoCFS</f>
        <v>70.311149999995493</v>
      </c>
      <c r="V233" s="721">
        <f>Sheet1!AB233*MGDtoCFS</f>
        <v>45.791199999997744</v>
      </c>
      <c r="W233" s="721">
        <f>Sheet1!L233*MGDtoCFS</f>
        <v>0</v>
      </c>
      <c r="X233" s="697">
        <f t="shared" si="744"/>
        <v>20.879400998335523</v>
      </c>
      <c r="Y233" s="712">
        <f t="shared" si="745"/>
        <v>32.300433344425052</v>
      </c>
      <c r="Z233" s="712">
        <f t="shared" si="746"/>
        <v>0</v>
      </c>
      <c r="AA233" s="712">
        <f t="shared" si="747"/>
        <v>0</v>
      </c>
      <c r="AB233" s="712">
        <f>(VLOOKUP(Sheet1!CY233,hhdcap_wcm,4)-(((VLOOKUP(Sheet1!CY233,hhdcap_wcm,3)-Sheet1!CY233)/(VLOOKUP(Sheet1!CY233,hhdcap_wcm,3)-VLOOKUP(Sheet1!CY233,hhdcap_wcm,1)))*(VLOOKUP(Sheet1!CY233,hhdcap_wcm,4)-VLOOKUP(Sheet1!CY233,hhdcap_wcm,2))))</f>
        <v>39850.38000009735</v>
      </c>
      <c r="AC233" s="712">
        <f t="shared" si="748"/>
        <v>-172.88999999999942</v>
      </c>
      <c r="AD233" s="712">
        <f t="shared" si="749"/>
        <v>3086.2923253852987</v>
      </c>
      <c r="AE233" s="712">
        <f t="shared" si="750"/>
        <v>9468.7448542820966</v>
      </c>
      <c r="AF233" s="712">
        <f>Sheet1!BA233+Sheet1!BB233+Sheet1!BN233+BT233</f>
        <v>12.6</v>
      </c>
      <c r="AG233" s="712">
        <f t="shared" si="751"/>
        <v>12.411314475872935</v>
      </c>
      <c r="AH233" s="712">
        <f>Sheet1!BA233+BT233</f>
        <v>0</v>
      </c>
      <c r="AI233" s="712">
        <f>Sheet1!BA233+Sheet1!BB233+BT233</f>
        <v>0</v>
      </c>
      <c r="AJ233" s="712">
        <f>IF((Sheet1!AA233+AG233+AX233+AZ233+BQ233+BS233+CL233+CN233)&lt;=N233,AG233+AX233+AZ233+BQ233+BS233+CL233+CN233,N233-Sheet1!AA233)</f>
        <v>12.411314475872935</v>
      </c>
      <c r="AK233" s="712">
        <f>IF(DR233&lt;K233,0,MAX(Sheet1!AA233+AG233-15/36*K233-N233,Sheet1!ED233,0))</f>
        <v>0</v>
      </c>
      <c r="AL233" s="712">
        <f>IF(OR(B233&gt;=FT233,B233&lt;FS233),0,15/36*K233-MAX(0,64.6-(137.6-(Sheet1!AA233+Sheet1!AB233))))</f>
        <v>0</v>
      </c>
      <c r="AM233" s="712">
        <f>Sheet1!CX233-110</f>
        <v>125.55208333333334</v>
      </c>
      <c r="AN233" s="712">
        <f>Sheet1!CW233-265</f>
        <v>153.6875</v>
      </c>
      <c r="AO233" s="712">
        <f t="shared" si="733"/>
        <v>15.138685524129976</v>
      </c>
      <c r="AP233" s="712">
        <f t="shared" si="752"/>
        <v>0</v>
      </c>
      <c r="AQ233" s="712">
        <f t="shared" si="753"/>
        <v>0</v>
      </c>
      <c r="AR233" s="712">
        <f t="shared" si="754"/>
        <v>1358.1051716644936</v>
      </c>
      <c r="AS233" s="712"/>
      <c r="AT233" s="712">
        <f ca="1">IF(B233&gt;Summary!$A$1,#N/A,AR233*MGtoAF)</f>
        <v>4166.6666666666661</v>
      </c>
      <c r="AU233" s="712">
        <f>Sheet1!BG233+Sheet1!BH233+Sheet1!BI233-BC233</f>
        <v>1.95</v>
      </c>
      <c r="AV233" s="712">
        <f t="shared" si="755"/>
        <v>1.9207986688850971</v>
      </c>
      <c r="AW233" s="712">
        <f>IF(Sheet1!EL233="FM",BC233,0)</f>
        <v>0</v>
      </c>
      <c r="AX233" s="712">
        <f t="shared" si="756"/>
        <v>0</v>
      </c>
      <c r="AY233" s="712">
        <f>IF(Sheet1!EL233="OTHER",BC233,0)</f>
        <v>0</v>
      </c>
      <c r="AZ233" s="712">
        <f t="shared" si="757"/>
        <v>0</v>
      </c>
      <c r="BA233" s="712">
        <f t="shared" si="758"/>
        <v>1.95</v>
      </c>
      <c r="BB233" s="712">
        <f t="shared" si="759"/>
        <v>1.9207986688850971</v>
      </c>
      <c r="BC233" s="712">
        <f>IF(OR(Sheet1!EL233="FM", Sheet1!EL233="OTHER"),SUM(Sheet1!BG233:'Sheet1'!BI233),0)</f>
        <v>0</v>
      </c>
      <c r="BD233" s="697">
        <f>IF(AND($B233&gt;=$FL233,$B233&lt;=$FM233),MAX(AV233,Sheet1!EE233,0),MAX(AV233-(7/36)*$K233,0))</f>
        <v>3</v>
      </c>
      <c r="BE233" s="712">
        <f t="shared" si="760"/>
        <v>0</v>
      </c>
      <c r="BF233" s="697">
        <f t="shared" si="761"/>
        <v>0</v>
      </c>
      <c r="BG233" s="697">
        <f>IF(AND($O233&gt;0,Sheet1!EI233=1),(1-($O233-Sheet1!$L233)/$O233)*BB233,0)</f>
        <v>0</v>
      </c>
      <c r="BH233" s="697">
        <f>IF(AND(Sheet1!$L233=0,Sheet1!$L232=0, Calculation!BA233&lt;Sheet1!$EE233-0.1,Sheet1!$EE233=Sheet1!$EE232,Sheet1!$EE233=Sheet1!$EE234),Sheet1!$EE233,BB233-BG233)</f>
        <v>3</v>
      </c>
      <c r="BI233" s="712"/>
      <c r="BJ233" s="712"/>
      <c r="BK233" s="712">
        <f t="shared" si="762"/>
        <v>610.72685788787476</v>
      </c>
      <c r="BL233" s="712"/>
      <c r="BM233" s="712">
        <f ca="1">IF(B233&gt;Summary!$A$1,#N/A,BK233*MGtoAF)</f>
        <v>1873.7099999999998</v>
      </c>
      <c r="BN233" s="712">
        <f>Sheet1!BC233+Sheet1!BD233+Sheet1!BE233+Sheet1!BF233-BW233-BX233</f>
        <v>3.4400000000000004</v>
      </c>
      <c r="BO233" s="712">
        <f t="shared" si="763"/>
        <v>3.388485856904992</v>
      </c>
      <c r="BP233" s="712">
        <f>IF(Sheet1!EM233="FM",BX233,0)</f>
        <v>0</v>
      </c>
      <c r="BQ233" s="712">
        <f t="shared" si="764"/>
        <v>0</v>
      </c>
      <c r="BR233" s="712">
        <f>IF(Sheet1!EM233="OTHER",BX233,0)</f>
        <v>0</v>
      </c>
      <c r="BS233" s="712">
        <f t="shared" si="765"/>
        <v>0</v>
      </c>
      <c r="BT233" s="712">
        <f t="shared" si="766"/>
        <v>0</v>
      </c>
      <c r="BU233" s="712">
        <f t="shared" si="767"/>
        <v>3.4400000000000004</v>
      </c>
      <c r="BV233" s="712">
        <f t="shared" si="768"/>
        <v>3.388485856904992</v>
      </c>
      <c r="BW233" s="712">
        <f>IF(Sheet1!EM233="CWA",SUM(Sheet1!BC233:'Sheet1'!BF233),0)</f>
        <v>0</v>
      </c>
      <c r="BX233" s="712">
        <f>IF(OR(Sheet1!EM233="FM", Sheet1!EM233="OTHER"),SUM(Sheet1!BC233:'Sheet1'!BF233),0)</f>
        <v>0</v>
      </c>
      <c r="BY233" s="697">
        <f>IF(AND($B233&gt;=$FL233,$B233&lt;=$FM233),MAX(BV233,Sheet1!EF233,0),MAX(BV233-(7/36)*$K233,0))</f>
        <v>6</v>
      </c>
      <c r="BZ233" s="712">
        <f t="shared" si="769"/>
        <v>0</v>
      </c>
      <c r="CA233" s="697">
        <f t="shared" si="770"/>
        <v>0</v>
      </c>
      <c r="CB233" s="697">
        <f>IF(AND($O233&gt;0,Sheet1!EJ233=1),(1-($O233-Sheet1!$L233)/$O233)*BV233,0)</f>
        <v>0</v>
      </c>
      <c r="CC233" s="697">
        <f>IF(AND(Sheet1!$L233=0,Sheet1!$L232=0, Calculation!BU233&lt;Sheet1!EF233-0.1,Sheet1!EF233=Sheet1!EF232,Sheet1!EF233=Sheet1!EF234),Sheet1!EF233,BV233-CB233)</f>
        <v>3.388485856904992</v>
      </c>
      <c r="CD233" s="697"/>
      <c r="CE233" s="712"/>
      <c r="CF233" s="712">
        <f t="shared" si="771"/>
        <v>588.42986931556698</v>
      </c>
      <c r="CG233" s="712"/>
      <c r="CH233" s="712">
        <f ca="1">IF(B233&gt;Summary!$A$1,#N/A,CF233*MGtoAF)</f>
        <v>1805.3028390601596</v>
      </c>
      <c r="CI233" s="712">
        <f>Sheet1!BK233+Sheet1!BL233+Sheet1!BM233-Sheet1!EN233-CQ233</f>
        <v>12.059999999999999</v>
      </c>
      <c r="CJ233" s="712">
        <f t="shared" si="772"/>
        <v>11.879400998335523</v>
      </c>
      <c r="CK233" s="712">
        <f>IF(Sheet1!EN233="FM",CQ233,0)</f>
        <v>0</v>
      </c>
      <c r="CL233" s="712">
        <f t="shared" si="773"/>
        <v>0</v>
      </c>
      <c r="CM233" s="712">
        <f>IF(Sheet1!EN233="OTHER",CQ233,0)</f>
        <v>0</v>
      </c>
      <c r="CN233" s="712">
        <f t="shared" si="774"/>
        <v>0</v>
      </c>
      <c r="CO233" s="712">
        <f t="shared" si="775"/>
        <v>12.059999999999999</v>
      </c>
      <c r="CP233" s="712">
        <f t="shared" si="776"/>
        <v>11.879400998335523</v>
      </c>
      <c r="CQ233" s="712">
        <f>IF(OR(Sheet1!EN233="FM", Sheet1!EN233="OTHER"),SUM(Sheet1!BK233:'Sheet1'!BM233),0)</f>
        <v>0</v>
      </c>
      <c r="CR233" s="800">
        <f t="shared" si="736"/>
        <v>11.879400998335523</v>
      </c>
      <c r="CS233" s="712">
        <f t="shared" si="777"/>
        <v>0</v>
      </c>
      <c r="CT233" s="697">
        <f t="shared" si="778"/>
        <v>0</v>
      </c>
      <c r="CU233" s="697">
        <f>IF(AND($O233&gt;0,Sheet1!EK233=1),(1-($O233-Sheet1!$L233)/$O233)*CP233,0)</f>
        <v>0</v>
      </c>
      <c r="CV233" s="697">
        <f>IF(AND(Sheet1!$L233=0,Sheet1!$L232=0, Calculation!CO233&lt;Sheet1!$EG233-0.1,Sheet1!$EG233=Sheet1!$EG232,Sheet1!$EG233=Sheet1!$EG234),Sheet1!$EG233,CP233-CU233)</f>
        <v>11.879400998335523</v>
      </c>
      <c r="CW233" s="697">
        <f t="shared" si="721"/>
        <v>0</v>
      </c>
      <c r="CX233" s="712">
        <f t="shared" si="779"/>
        <v>17.45</v>
      </c>
      <c r="CY233" s="712">
        <f t="shared" si="780"/>
        <v>529.03042651736359</v>
      </c>
      <c r="CZ233" s="712">
        <f t="shared" si="781"/>
        <v>17.18868552412561</v>
      </c>
      <c r="DA233" s="712">
        <f ca="1">IF(B233&gt;Summary!$A$1,#N/A,CY233*MGtoAF)</f>
        <v>1623.0653485552716</v>
      </c>
      <c r="DB233" s="712">
        <f t="shared" si="782"/>
        <v>17.45</v>
      </c>
      <c r="DC233" s="712">
        <f t="shared" si="783"/>
        <v>30.049999999999997</v>
      </c>
      <c r="DD233" s="712">
        <f>Sheet1!AB233-DC233</f>
        <v>-0.45000000000145235</v>
      </c>
      <c r="DE233" s="712">
        <f t="shared" si="784"/>
        <v>-1.4975041597386102E-2</v>
      </c>
      <c r="DF233" s="712">
        <f>(VLOOKUP(Sheet1!CY233,hhdcap_wcm,4)-(((VLOOKUP(Sheet1!CY233,hhdcap_wcm,3)-Sheet1!CY233)/(VLOOKUP(Sheet1!CY233,hhdcap_wcm,3)-VLOOKUP(Sheet1!CY233,hhdcap_wcm,1)))*(VLOOKUP(Sheet1!CY233,hhdcap_wcm,4)-VLOOKUP(Sheet1!CY233,hhdcap_wcm,2))))</f>
        <v>39850.38000009735</v>
      </c>
      <c r="DG233" s="712">
        <f t="shared" si="785"/>
        <v>-172.88999999999942</v>
      </c>
      <c r="DH233" s="712">
        <f t="shared" si="786"/>
        <v>-87.18608169440212</v>
      </c>
      <c r="DI233" s="712">
        <f>Sheet1!DW233*AFtoMG</f>
        <v>0</v>
      </c>
      <c r="DJ233" s="712">
        <f>Sheet1!DX233*AFtoMG</f>
        <v>0</v>
      </c>
      <c r="DK233" s="712">
        <f>Sheet1!DY233*AFtoMG</f>
        <v>0</v>
      </c>
      <c r="DL233" s="712">
        <f>Sheet1!DZ233*AFtoMG</f>
        <v>0</v>
      </c>
      <c r="DM233" s="712">
        <f t="shared" si="787"/>
        <v>0</v>
      </c>
      <c r="DN233" s="712">
        <f t="shared" si="788"/>
        <v>0</v>
      </c>
      <c r="DO233" s="712">
        <f t="shared" si="789"/>
        <v>3086.2923253852987</v>
      </c>
      <c r="DP233" s="712">
        <f t="shared" si="790"/>
        <v>9468.7448542820966</v>
      </c>
      <c r="DQ233" s="712"/>
      <c r="DR233" s="697">
        <f>IF(OR(B233&lt;FL233,B233&gt;FM233),(MIN(AV233+BO233+CJ233+MAX(Sheet1!AA233+AG233-73,0),K233)),0)</f>
        <v>0</v>
      </c>
      <c r="DS233" s="712"/>
      <c r="DT233" s="712">
        <f t="shared" si="791"/>
        <v>17.188685524125614</v>
      </c>
      <c r="DU233" s="712"/>
      <c r="DV233" s="712">
        <f>Sheet1!ED233+Sheet1!EE233+Sheet1!EF233+Sheet1!EG233</f>
        <v>21</v>
      </c>
      <c r="DW233" s="712"/>
      <c r="DX233" s="697">
        <f t="shared" si="792"/>
        <v>0</v>
      </c>
      <c r="DY233" s="712">
        <f>IF(Sheet1!FN233=1,SUM('Calculations II'!AT233:BA233)+'Calculations II'!BC233+Sheet1!BU233+'Calculations II'!BE233+AF233,SUM('Calculations II'!AT233:BA233)+'Calculations II'!BC233+Sheet1!BU233+'Calculations II'!BE233+AF233)</f>
        <v>67.700561919999998</v>
      </c>
      <c r="DZ233" s="712">
        <f>Sheet1!AA233+Sheet1!AB233+'Calculations II'!BC233</f>
        <v>83.519457919995631</v>
      </c>
      <c r="EA233" s="712"/>
      <c r="EB233" s="712"/>
      <c r="EC233" s="712">
        <f t="shared" si="793"/>
        <v>40762</v>
      </c>
      <c r="ED233" s="712">
        <f t="shared" si="794"/>
        <v>-20.879400998335523</v>
      </c>
      <c r="EE233" s="712">
        <f t="shared" si="795"/>
        <v>-32.300433344425052</v>
      </c>
      <c r="EF233" s="712">
        <f>-(VLOOKUP(Sheet1!BQ233,Lookup!$B$4:$J$236,2)-VLOOKUP(Sheet1!BQ232,Lookup!$B$4:$J$236,2))/1000000</f>
        <v>1.0952</v>
      </c>
      <c r="EG233" s="712">
        <f>-(VLOOKUP(Sheet1!BR233,Lookup!$B$4:$J$236,3)-VLOOKUP(Sheet1!BR232,Lookup!$B$4:$J$236,3))/1000000</f>
        <v>1.0935999999999999</v>
      </c>
      <c r="EH233" s="712">
        <f>-(VLOOKUP(Sheet1!BS233,Lookup!$B$4:$J$236,4)-VLOOKUP(Sheet1!BS232,Lookup!$B$4:$J$236,4))/1000000</f>
        <v>0</v>
      </c>
      <c r="EI233" s="697">
        <f t="shared" si="796"/>
        <v>2.1887999999999996</v>
      </c>
      <c r="EJ233" s="712"/>
      <c r="EK233" s="712"/>
      <c r="EL233" s="712"/>
      <c r="EM233" s="712"/>
      <c r="EN233" s="712"/>
      <c r="EO233" s="712"/>
      <c r="EP233" s="712"/>
      <c r="EQ233" s="712"/>
      <c r="ET233" s="794">
        <f t="shared" si="720"/>
        <v>1135.8</v>
      </c>
      <c r="EU233" s="697">
        <v>8785</v>
      </c>
      <c r="EV233" s="795">
        <f t="shared" si="734"/>
        <v>20376.635145815253</v>
      </c>
      <c r="EW233" s="796" t="s">
        <v>757</v>
      </c>
      <c r="EX233" s="796" t="s">
        <v>758</v>
      </c>
      <c r="EY233" s="712">
        <v>0</v>
      </c>
      <c r="EZ233" s="798">
        <v>21539.200000049896</v>
      </c>
      <c r="FA233" s="712"/>
      <c r="FB233" s="712"/>
      <c r="FC233" s="712"/>
      <c r="FD233" s="712"/>
      <c r="FE233" s="712">
        <f>O233+Sheet1!CO233</f>
        <v>5956.6179999999958</v>
      </c>
      <c r="FF233" s="712">
        <f>IF(Sheet1!AA233+AG233&lt;=Calculation!N233,AG233,Calculation!N233-Sheet1!AA233)</f>
        <v>12.411314475872935</v>
      </c>
      <c r="FG233" s="712">
        <f>(Sheet1!BP233+Sheet1!BO233)/694.4</f>
        <v>4.4192108294930872</v>
      </c>
      <c r="FH233" s="712"/>
      <c r="FI233" s="712"/>
      <c r="FJ233" s="712"/>
      <c r="FK233" s="712"/>
      <c r="FL233" s="714">
        <f t="shared" si="726"/>
        <v>40753</v>
      </c>
      <c r="FM233" s="714">
        <f t="shared" si="727"/>
        <v>40851</v>
      </c>
      <c r="FN233" s="712"/>
      <c r="FO233" s="712"/>
      <c r="FP233" s="712"/>
      <c r="FQ233" s="712"/>
      <c r="FR233" s="712"/>
      <c r="FS233" s="725">
        <f t="shared" si="735"/>
        <v>40603</v>
      </c>
      <c r="FT233" s="714">
        <f t="shared" si="729"/>
        <v>40709</v>
      </c>
      <c r="FU233" s="712">
        <f t="shared" si="735"/>
        <v>6518.9048239895692</v>
      </c>
      <c r="FV233" s="714">
        <f t="shared" si="730"/>
        <v>40722</v>
      </c>
      <c r="FW233" s="712">
        <f t="shared" si="735"/>
        <v>3259.4524119947846</v>
      </c>
      <c r="FX233" s="725">
        <f t="shared" si="735"/>
        <v>40851</v>
      </c>
      <c r="FZ233" s="697">
        <f t="shared" si="722"/>
        <v>0</v>
      </c>
      <c r="GA233" s="712" t="str">
        <f t="shared" si="797"/>
        <v/>
      </c>
      <c r="GB233" s="712">
        <f t="shared" si="798"/>
        <v>0</v>
      </c>
      <c r="GC233" s="712" t="str">
        <f t="shared" si="799"/>
        <v/>
      </c>
      <c r="GD233" s="712">
        <f>IF(GA233="P",Lookup!$M$12,IF(GA233="PP",Lookup!$M$13,IF(GA233="PPP",Lookup!$M$14,IF(GA233="T",Lookup!$M$15,IF(GA233="TP",Lookup!$M$16,IF(GA233="TPP",Lookup!$M$17,IF(GA233="TPPP",Lookup!$M$18,0)))))))*FZ233</f>
        <v>0</v>
      </c>
      <c r="GE233" s="712">
        <f t="shared" si="800"/>
        <v>0</v>
      </c>
      <c r="GF233" s="712">
        <f t="shared" si="801"/>
        <v>4166.6666666666661</v>
      </c>
      <c r="GG233" s="712">
        <f t="shared" si="802"/>
        <v>1358.1051716644936</v>
      </c>
      <c r="GH233" s="712"/>
      <c r="GI233" s="712">
        <f t="shared" si="803"/>
        <v>0</v>
      </c>
      <c r="GJ233" s="712" t="str">
        <f t="shared" si="804"/>
        <v/>
      </c>
      <c r="GK233" s="712">
        <f>IF(GA233="P",Lookup!$N$12,IF(GA233="PP",Lookup!$N$13,IF(GA233="PPP",Lookup!$N$14,IF(GA233="T",Lookup!$N$15,IF(GA233="TP",Lookup!$N$16,IF(GA233="TPP",Lookup!$N$17,IF(GA233="TPPP",Lookup!$N$18,0)))))))*FZ233</f>
        <v>0</v>
      </c>
      <c r="GL233" s="712">
        <f t="shared" si="805"/>
        <v>0</v>
      </c>
      <c r="GM233" s="712">
        <f t="shared" si="806"/>
        <v>1873.7099999999998</v>
      </c>
      <c r="GN233" s="712">
        <f t="shared" si="807"/>
        <v>610.72685788787476</v>
      </c>
      <c r="GO233" s="712"/>
      <c r="GP233" s="712">
        <f t="shared" si="808"/>
        <v>0</v>
      </c>
      <c r="GQ233" s="712" t="str">
        <f t="shared" si="809"/>
        <v/>
      </c>
      <c r="GR233" s="712">
        <f>IF(GA233="P",Lookup!$N$12,IF(GA233="PP",Lookup!$N$13,IF(GA233="PPP",Lookup!$N$14,IF(GA233="T",Lookup!$N$15,IF(GA233="TP",Lookup!$N$16,IF(GA233="TPP",Lookup!$N$17,IF(GA233="TPPP",Lookup!$N$18,0)))))))*FZ233</f>
        <v>0</v>
      </c>
      <c r="GS233" s="697">
        <f t="shared" si="724"/>
        <v>0</v>
      </c>
      <c r="GT233" s="712">
        <f t="shared" si="810"/>
        <v>1805.3028390601596</v>
      </c>
      <c r="GU233" s="712">
        <f t="shared" si="811"/>
        <v>588.42986931556698</v>
      </c>
      <c r="GV233" s="712"/>
      <c r="GW233" s="712">
        <f t="shared" si="812"/>
        <v>0</v>
      </c>
      <c r="GX233" s="712" t="str">
        <f t="shared" si="813"/>
        <v/>
      </c>
      <c r="GY233" s="712">
        <f>IF(GA233="P",Lookup!$N$12,IF(GA233="PP",Lookup!$N$13,IF(GA233="PPP",Lookup!$N$14,IF(GA233="T",Lookup!$N$15,IF(GA233="TP",Lookup!$N$16,IF(GA233="TPP",Lookup!$N$17,IF(GA233="TPPP",Lookup!$N$18,0)))))))*FZ233</f>
        <v>0</v>
      </c>
      <c r="GZ233" s="697">
        <f t="shared" si="725"/>
        <v>0</v>
      </c>
      <c r="HA233" s="712">
        <f t="shared" si="814"/>
        <v>1623.0653485552716</v>
      </c>
      <c r="HB233" s="712">
        <f t="shared" si="815"/>
        <v>529.03042651736359</v>
      </c>
      <c r="HC233" s="712"/>
    </row>
    <row r="234" spans="1:211">
      <c r="A234" s="773" t="s">
        <v>4</v>
      </c>
      <c r="B234" s="708">
        <v>40763</v>
      </c>
      <c r="C234" s="709">
        <v>0.5</v>
      </c>
      <c r="D234" s="675">
        <f t="shared" si="737"/>
        <v>200</v>
      </c>
      <c r="E234" s="675">
        <f t="shared" si="738"/>
        <v>400</v>
      </c>
      <c r="F234" s="675">
        <v>250</v>
      </c>
      <c r="G234" s="712">
        <f>DH234+Sheet1!CV234</f>
        <v>296.14151538062134</v>
      </c>
      <c r="H234" s="712">
        <f t="shared" si="739"/>
        <v>0</v>
      </c>
      <c r="I234" s="711">
        <f>MAX(Sheet1!Z234-AJ234+(Sheet1!CW234-E234)*CFStoMGD,0)</f>
        <v>25.525179545455135</v>
      </c>
      <c r="J234" s="720">
        <f>IF(AND(B234&gt;=Calculation!FS234,B234&lt;=Calculation!FT234),IF(Sheet1!CX234&gt;=Calculation!D234,64.64,0),MAX(Sheet1!Z234-AJ234+(Sheet1!CX234-D234)*CFStoMGD,0))</f>
        <v>31.201379545455133</v>
      </c>
      <c r="K234" s="697">
        <f t="shared" si="740"/>
        <v>0</v>
      </c>
      <c r="L234" s="712">
        <f>Sheet1!AA234+Sheet1!AB234-Sheet1!L234+(Sheet1!CW234-F234)*CFStoMGD</f>
        <v>186.31159999999852</v>
      </c>
      <c r="M234" s="712">
        <f t="shared" si="741"/>
        <v>195.25439305287432</v>
      </c>
      <c r="N234" s="712">
        <f>IF(Sheet1!CW234&gt;=F234,MIN(73,MIN(MAX(L234,0),MAX(M234,0))),0)</f>
        <v>73</v>
      </c>
      <c r="O234" s="721">
        <f>Sheet1!AA234+Sheet1!AB234</f>
        <v>80.099999999998545</v>
      </c>
      <c r="P234" s="721">
        <f t="shared" si="742"/>
        <v>123.91469999999774</v>
      </c>
      <c r="Q234" s="712">
        <f>MIN(N234,Sheet1!AA234+AG234)</f>
        <v>60.626420454544864</v>
      </c>
      <c r="R234" s="712">
        <f t="shared" si="743"/>
        <v>20</v>
      </c>
      <c r="S234" s="721">
        <f>Sheet1!Y234*MGDtoCFS</f>
        <v>71.332169999999991</v>
      </c>
      <c r="T234" s="721">
        <f>Sheet1!Z234*MGDtoCFS</f>
        <v>45.868549999999999</v>
      </c>
      <c r="U234" s="721">
        <f>Sheet1!AA234*MGDtoCFS</f>
        <v>73.095749999999995</v>
      </c>
      <c r="V234" s="721">
        <f>Sheet1!AB234*MGDtoCFS</f>
        <v>50.818949999997749</v>
      </c>
      <c r="W234" s="721">
        <f>Sheet1!L234*MGDtoCFS</f>
        <v>0</v>
      </c>
      <c r="X234" s="697">
        <f t="shared" si="744"/>
        <v>20.484659090908536</v>
      </c>
      <c r="Y234" s="712">
        <f t="shared" si="745"/>
        <v>31.689767613635503</v>
      </c>
      <c r="Z234" s="712">
        <f t="shared" si="746"/>
        <v>0</v>
      </c>
      <c r="AA234" s="712">
        <f t="shared" si="747"/>
        <v>0</v>
      </c>
      <c r="AB234" s="712">
        <f>(VLOOKUP(Sheet1!CY234,hhdcap_wcm,4)-(((VLOOKUP(Sheet1!CY234,hhdcap_wcm,3)-Sheet1!CY234)/(VLOOKUP(Sheet1!CY234,hhdcap_wcm,3)-VLOOKUP(Sheet1!CY234,hhdcap_wcm,1)))*(VLOOKUP(Sheet1!CY234,hhdcap_wcm,4)-VLOOKUP(Sheet1!CY234,hhdcap_wcm,2))))</f>
        <v>39779.190000097122</v>
      </c>
      <c r="AC234" s="712">
        <f t="shared" si="748"/>
        <v>-71.190000000227883</v>
      </c>
      <c r="AD234" s="712">
        <f t="shared" si="749"/>
        <v>3065.8076662943904</v>
      </c>
      <c r="AE234" s="712">
        <f t="shared" si="750"/>
        <v>9405.8979201911898</v>
      </c>
      <c r="AF234" s="712">
        <f>Sheet1!BA234+Sheet1!BB234+Sheet1!BN234+BT234</f>
        <v>12.9</v>
      </c>
      <c r="AG234" s="712">
        <f t="shared" si="751"/>
        <v>13.376420454544862</v>
      </c>
      <c r="AH234" s="712">
        <f>Sheet1!BA234+BT234</f>
        <v>0</v>
      </c>
      <c r="AI234" s="712">
        <f>Sheet1!BA234+Sheet1!BB234+BT234</f>
        <v>0</v>
      </c>
      <c r="AJ234" s="712">
        <f>IF((Sheet1!AA234+AG234+AX234+AZ234+BQ234+BS234+CL234+CN234)&lt;=N234,AG234+AX234+AZ234+BQ234+BS234+CL234+CN234,N234-Sheet1!AA234)</f>
        <v>13.376420454544862</v>
      </c>
      <c r="AK234" s="712">
        <f>IF(DR234&lt;K234,0,MAX(Sheet1!AA234+AG234-15/36*K234-N234,Sheet1!ED234,0))</f>
        <v>0</v>
      </c>
      <c r="AL234" s="712">
        <f>IF(OR(B234&gt;=FT234,B234&lt;FS234),0,15/36*K234-MAX(0,64.6-(137.6-(Sheet1!AA234+Sheet1!AB234))))</f>
        <v>0</v>
      </c>
      <c r="AM234" s="712">
        <f>Sheet1!CX234-110</f>
        <v>113.09375</v>
      </c>
      <c r="AN234" s="712">
        <f>Sheet1!CW234-265</f>
        <v>149.3125</v>
      </c>
      <c r="AO234" s="712">
        <f t="shared" si="733"/>
        <v>12.373579545455136</v>
      </c>
      <c r="AP234" s="712">
        <f t="shared" si="752"/>
        <v>0</v>
      </c>
      <c r="AQ234" s="712">
        <f t="shared" si="753"/>
        <v>0</v>
      </c>
      <c r="AR234" s="712">
        <f t="shared" si="754"/>
        <v>1358.1051716644936</v>
      </c>
      <c r="AS234" s="712"/>
      <c r="AT234" s="712">
        <f ca="1">IF(B234&gt;Summary!$A$1,#N/A,AR234*MGtoAF)</f>
        <v>4166.6666666666661</v>
      </c>
      <c r="AU234" s="712">
        <f>Sheet1!BG234+Sheet1!BH234+Sheet1!BI234-BC234</f>
        <v>1.98</v>
      </c>
      <c r="AV234" s="712">
        <f t="shared" si="755"/>
        <v>2.0531249999999091</v>
      </c>
      <c r="AW234" s="712">
        <f>IF(Sheet1!EL234="FM",BC234,0)</f>
        <v>0</v>
      </c>
      <c r="AX234" s="712">
        <f t="shared" si="756"/>
        <v>0</v>
      </c>
      <c r="AY234" s="712">
        <f>IF(Sheet1!EL234="OTHER",BC234,0)</f>
        <v>0</v>
      </c>
      <c r="AZ234" s="712">
        <f t="shared" si="757"/>
        <v>0</v>
      </c>
      <c r="BA234" s="712">
        <f t="shared" si="758"/>
        <v>1.98</v>
      </c>
      <c r="BB234" s="712">
        <f t="shared" si="759"/>
        <v>2.0531249999999091</v>
      </c>
      <c r="BC234" s="712">
        <f>IF(OR(Sheet1!EL234="FM", Sheet1!EL234="OTHER"),SUM(Sheet1!BG234:'Sheet1'!BI234),0)</f>
        <v>0</v>
      </c>
      <c r="BD234" s="697">
        <f>IF(AND($B234&gt;=$FL234,$B234&lt;=$FM234),MAX(AV234,Sheet1!EE234,0),MAX(AV234-(7/36)*$K234,0))</f>
        <v>3</v>
      </c>
      <c r="BE234" s="712">
        <f t="shared" si="760"/>
        <v>0</v>
      </c>
      <c r="BF234" s="697">
        <f t="shared" si="761"/>
        <v>0</v>
      </c>
      <c r="BG234" s="697">
        <f>IF(AND($O234&gt;0,Sheet1!EI234=1),(1-($O234-Sheet1!$L234)/$O234)*BB234,0)</f>
        <v>0</v>
      </c>
      <c r="BH234" s="697">
        <f>IF(AND(Sheet1!$L234=0,Sheet1!$L233=0, Calculation!BA234&lt;Sheet1!$EE234-0.1,Sheet1!$EE234=Sheet1!$EE233,Sheet1!$EE234=Sheet1!$EE235),Sheet1!$EE234,BB234-BG234)</f>
        <v>3</v>
      </c>
      <c r="BI234" s="712"/>
      <c r="BJ234" s="712"/>
      <c r="BK234" s="712">
        <f t="shared" si="762"/>
        <v>607.72685788787476</v>
      </c>
      <c r="BL234" s="712"/>
      <c r="BM234" s="712">
        <f ca="1">IF(B234&gt;Summary!$A$1,#N/A,BK234*MGtoAF)</f>
        <v>1864.5059999999999</v>
      </c>
      <c r="BN234" s="712">
        <f>Sheet1!BC234+Sheet1!BD234+Sheet1!BE234+Sheet1!BF234-BW234-BX234</f>
        <v>4.76</v>
      </c>
      <c r="BO234" s="712">
        <f t="shared" si="763"/>
        <v>4.9357954545452358</v>
      </c>
      <c r="BP234" s="712">
        <f>IF(Sheet1!EM234="FM",BX234,0)</f>
        <v>0</v>
      </c>
      <c r="BQ234" s="712">
        <f t="shared" si="764"/>
        <v>0</v>
      </c>
      <c r="BR234" s="712">
        <f>IF(Sheet1!EM234="OTHER",BX234,0)</f>
        <v>0</v>
      </c>
      <c r="BS234" s="712">
        <f t="shared" si="765"/>
        <v>0</v>
      </c>
      <c r="BT234" s="712">
        <f t="shared" si="766"/>
        <v>0</v>
      </c>
      <c r="BU234" s="712">
        <f t="shared" si="767"/>
        <v>4.76</v>
      </c>
      <c r="BV234" s="712">
        <f t="shared" si="768"/>
        <v>4.9357954545452358</v>
      </c>
      <c r="BW234" s="712">
        <f>IF(Sheet1!EM234="CWA",SUM(Sheet1!BC234:'Sheet1'!BF234),0)</f>
        <v>0</v>
      </c>
      <c r="BX234" s="712">
        <f>IF(OR(Sheet1!EM234="FM", Sheet1!EM234="OTHER"),SUM(Sheet1!BC234:'Sheet1'!BF234),0)</f>
        <v>0</v>
      </c>
      <c r="BY234" s="697">
        <f>IF(AND($B234&gt;=$FL234,$B234&lt;=$FM234),MAX(BV234,Sheet1!EF234,0),MAX(BV234-(7/36)*$K234,0))</f>
        <v>5</v>
      </c>
      <c r="BZ234" s="712">
        <f t="shared" si="769"/>
        <v>0</v>
      </c>
      <c r="CA234" s="697">
        <f t="shared" si="770"/>
        <v>0</v>
      </c>
      <c r="CB234" s="697">
        <f>IF(AND($O234&gt;0,Sheet1!EJ234=1),(1-($O234-Sheet1!$L234)/$O234)*BV234,0)</f>
        <v>0</v>
      </c>
      <c r="CC234" s="697">
        <f>IF(AND(Sheet1!$L234=0,Sheet1!$L233=0, Calculation!BU234&lt;Sheet1!EF234-0.1,Sheet1!EF234=Sheet1!EF233,Sheet1!EF234=Sheet1!EF235),Sheet1!EF234,BV234-CB234)</f>
        <v>4.9357954545452358</v>
      </c>
      <c r="CD234" s="697"/>
      <c r="CE234" s="712"/>
      <c r="CF234" s="712">
        <f t="shared" si="771"/>
        <v>583.42986931556698</v>
      </c>
      <c r="CG234" s="712"/>
      <c r="CH234" s="712">
        <f ca="1">IF(B234&gt;Summary!$A$1,#N/A,CF234*MGtoAF)</f>
        <v>1789.9628390601595</v>
      </c>
      <c r="CI234" s="712">
        <f>Sheet1!BK234+Sheet1!BL234+Sheet1!BM234-Sheet1!EN234-CQ234</f>
        <v>12.04</v>
      </c>
      <c r="CJ234" s="712">
        <f t="shared" si="772"/>
        <v>12.484659090908536</v>
      </c>
      <c r="CK234" s="712">
        <f>IF(Sheet1!EN234="FM",CQ234,0)</f>
        <v>0</v>
      </c>
      <c r="CL234" s="712">
        <f t="shared" si="773"/>
        <v>0</v>
      </c>
      <c r="CM234" s="712">
        <f>IF(Sheet1!EN234="OTHER",CQ234,0)</f>
        <v>0</v>
      </c>
      <c r="CN234" s="712">
        <f t="shared" si="774"/>
        <v>0</v>
      </c>
      <c r="CO234" s="712">
        <f t="shared" si="775"/>
        <v>12.04</v>
      </c>
      <c r="CP234" s="712">
        <f t="shared" si="776"/>
        <v>12.484659090908536</v>
      </c>
      <c r="CQ234" s="712">
        <f>IF(OR(Sheet1!EN234="FM", Sheet1!EN234="OTHER"),SUM(Sheet1!BK234:'Sheet1'!BM234),0)</f>
        <v>0</v>
      </c>
      <c r="CR234" s="697">
        <f>IF(AND($B234&gt;=$FL234,$B234&lt;=$FM234),MAX($CJ234,Sheet1!EG234,0),MAX($CJ234-(7/36)*$K234,0))</f>
        <v>12.484659090908536</v>
      </c>
      <c r="CS234" s="712">
        <f t="shared" si="777"/>
        <v>0</v>
      </c>
      <c r="CT234" s="697">
        <f t="shared" si="778"/>
        <v>0</v>
      </c>
      <c r="CU234" s="697">
        <f>IF(AND($O234&gt;0,Sheet1!EK234=1),(1-($O234-Sheet1!$L234)/$O234)*CP234,0)</f>
        <v>0</v>
      </c>
      <c r="CV234" s="697">
        <f>IF(AND(Sheet1!$L234=0,Sheet1!$L233=0, Calculation!CO234&lt;Sheet1!$EG234-0.1,Sheet1!$EG234=Sheet1!$EG233,Sheet1!$EG234=Sheet1!$EG235),Sheet1!$EG234,CP234-CU234)</f>
        <v>12.484659090908536</v>
      </c>
      <c r="CW234" s="697">
        <f t="shared" si="721"/>
        <v>0</v>
      </c>
      <c r="CX234" s="712">
        <f t="shared" si="779"/>
        <v>18.78</v>
      </c>
      <c r="CY234" s="712">
        <f t="shared" si="780"/>
        <v>516.54576742645509</v>
      </c>
      <c r="CZ234" s="712">
        <f t="shared" si="781"/>
        <v>19.473579545453681</v>
      </c>
      <c r="DA234" s="712">
        <f ca="1">IF(B234&gt;Summary!$A$1,#N/A,CY234*MGtoAF)</f>
        <v>1584.7624144643642</v>
      </c>
      <c r="DB234" s="712">
        <f t="shared" si="782"/>
        <v>18.779999999999998</v>
      </c>
      <c r="DC234" s="712">
        <f t="shared" si="783"/>
        <v>31.68</v>
      </c>
      <c r="DD234" s="712">
        <f>Sheet1!AB234-DC234</f>
        <v>1.1699999999985451</v>
      </c>
      <c r="DE234" s="712">
        <f t="shared" si="784"/>
        <v>3.6931818181772255E-2</v>
      </c>
      <c r="DF234" s="712">
        <f>(VLOOKUP(Sheet1!CY234,hhdcap_wcm,4)-(((VLOOKUP(Sheet1!CY234,hhdcap_wcm,3)-Sheet1!CY234)/(VLOOKUP(Sheet1!CY234,hhdcap_wcm,3)-VLOOKUP(Sheet1!CY234,hhdcap_wcm,1)))*(VLOOKUP(Sheet1!CY234,hhdcap_wcm,4)-VLOOKUP(Sheet1!CY234,hhdcap_wcm,2))))</f>
        <v>39779.190000097122</v>
      </c>
      <c r="DG234" s="712">
        <f t="shared" si="785"/>
        <v>-71.190000000227883</v>
      </c>
      <c r="DH234" s="712">
        <f t="shared" si="786"/>
        <v>-35.900151286045322</v>
      </c>
      <c r="DI234" s="712">
        <f>Sheet1!DW234*AFtoMG</f>
        <v>0</v>
      </c>
      <c r="DJ234" s="712">
        <f>Sheet1!DX234*AFtoMG</f>
        <v>0</v>
      </c>
      <c r="DK234" s="712">
        <f>Sheet1!DY234*AFtoMG</f>
        <v>0</v>
      </c>
      <c r="DL234" s="712">
        <f>Sheet1!DZ234*AFtoMG</f>
        <v>0</v>
      </c>
      <c r="DM234" s="712">
        <f t="shared" si="787"/>
        <v>0</v>
      </c>
      <c r="DN234" s="712">
        <f t="shared" si="788"/>
        <v>0</v>
      </c>
      <c r="DO234" s="712">
        <f t="shared" si="789"/>
        <v>3065.8076662943904</v>
      </c>
      <c r="DP234" s="712">
        <f t="shared" si="790"/>
        <v>9405.8979201911898</v>
      </c>
      <c r="DQ234" s="712"/>
      <c r="DR234" s="697">
        <f>IF(OR(B234&lt;FL234,B234&gt;FM234),(MIN(AV234+BO234+CJ234+MAX(Sheet1!AA234+AG234-73,0),K234)),0)</f>
        <v>0</v>
      </c>
      <c r="DS234" s="712"/>
      <c r="DT234" s="712">
        <f t="shared" si="791"/>
        <v>19.473579545453681</v>
      </c>
      <c r="DU234" s="712"/>
      <c r="DV234" s="712">
        <f>Sheet1!ED234+Sheet1!EE234+Sheet1!EF234+Sheet1!EG234</f>
        <v>20</v>
      </c>
      <c r="DW234" s="712"/>
      <c r="DX234" s="697">
        <f t="shared" si="792"/>
        <v>0</v>
      </c>
      <c r="DY234" s="712">
        <f>IF(Sheet1!FN234=1,SUM('Calculations II'!AT234:BA234)+'Calculations II'!BC234+Sheet1!BU234+'Calculations II'!BE234+AF234,SUM('Calculations II'!AT234:BA234)+'Calculations II'!BC234+Sheet1!BU234+'Calculations II'!BE234+AF234)</f>
        <v>70.044880000000006</v>
      </c>
      <c r="DZ234" s="712">
        <f>Sheet1!AA234+Sheet1!AB234+'Calculations II'!BC234</f>
        <v>89.253071999998554</v>
      </c>
      <c r="EA234" s="712"/>
      <c r="EB234" s="712"/>
      <c r="EC234" s="712">
        <f t="shared" si="793"/>
        <v>40763</v>
      </c>
      <c r="ED234" s="712">
        <f t="shared" si="794"/>
        <v>-20.484659090908536</v>
      </c>
      <c r="EE234" s="712">
        <f t="shared" si="795"/>
        <v>-31.689767613635503</v>
      </c>
      <c r="EF234" s="712">
        <f>-(VLOOKUP(Sheet1!BQ234,Lookup!$B$4:$J$236,2)-VLOOKUP(Sheet1!BQ233,Lookup!$B$4:$J$236,2))/1000000</f>
        <v>1.9128000000000001</v>
      </c>
      <c r="EG234" s="712">
        <f>-(VLOOKUP(Sheet1!BR234,Lookup!$B$4:$J$236,3)-VLOOKUP(Sheet1!BR233,Lookup!$B$4:$J$236,3))/1000000</f>
        <v>1.9104000000000001</v>
      </c>
      <c r="EH234" s="712">
        <f>-(VLOOKUP(Sheet1!BS234,Lookup!$B$4:$J$236,4)-VLOOKUP(Sheet1!BS233,Lookup!$B$4:$J$236,4))/1000000</f>
        <v>0</v>
      </c>
      <c r="EI234" s="697">
        <f t="shared" si="796"/>
        <v>3.8231999999999999</v>
      </c>
      <c r="EJ234" s="712"/>
      <c r="EK234" s="712"/>
      <c r="EL234" s="712"/>
      <c r="EM234" s="712"/>
      <c r="EN234" s="712"/>
      <c r="EO234" s="712"/>
      <c r="EP234" s="712"/>
      <c r="EQ234" s="712"/>
      <c r="ET234" s="794">
        <f t="shared" si="720"/>
        <v>1135.5999999999999</v>
      </c>
      <c r="EU234" s="697">
        <v>8785</v>
      </c>
      <c r="EV234" s="795">
        <f t="shared" si="734"/>
        <v>20368.292079905932</v>
      </c>
      <c r="EW234" s="796" t="s">
        <v>757</v>
      </c>
      <c r="EX234" s="796" t="s">
        <v>758</v>
      </c>
      <c r="EY234" s="712">
        <v>0</v>
      </c>
      <c r="EZ234" s="798">
        <v>21407.800000049894</v>
      </c>
      <c r="FA234" s="712"/>
      <c r="FB234" s="712"/>
      <c r="FC234" s="712"/>
      <c r="FD234" s="712"/>
      <c r="FE234" s="712">
        <f>O234+Sheet1!CO234</f>
        <v>6436.3999999999987</v>
      </c>
      <c r="FF234" s="712">
        <f>IF(Sheet1!AA234+AG234&lt;=Calculation!N234,AG234,Calculation!N234-Sheet1!AA234)</f>
        <v>13.376420454544862</v>
      </c>
      <c r="FG234" s="712">
        <f>(Sheet1!BP234+Sheet1!BO234)/694.4</f>
        <v>4.2667050691244244</v>
      </c>
      <c r="FH234" s="712"/>
      <c r="FI234" s="712"/>
      <c r="FJ234" s="712"/>
      <c r="FK234" s="712"/>
      <c r="FL234" s="714">
        <f t="shared" si="726"/>
        <v>40753</v>
      </c>
      <c r="FM234" s="714">
        <f t="shared" si="727"/>
        <v>40851</v>
      </c>
      <c r="FN234" s="712"/>
      <c r="FO234" s="712"/>
      <c r="FP234" s="712"/>
      <c r="FQ234" s="712"/>
      <c r="FR234" s="712"/>
      <c r="FS234" s="725">
        <f t="shared" ref="FS234:FX249" si="816">FS233</f>
        <v>40603</v>
      </c>
      <c r="FT234" s="714">
        <f t="shared" si="729"/>
        <v>40709</v>
      </c>
      <c r="FU234" s="712">
        <f t="shared" si="816"/>
        <v>6518.9048239895692</v>
      </c>
      <c r="FV234" s="714">
        <f t="shared" si="730"/>
        <v>40722</v>
      </c>
      <c r="FW234" s="712">
        <f t="shared" si="816"/>
        <v>3259.4524119947846</v>
      </c>
      <c r="FX234" s="725">
        <f t="shared" si="816"/>
        <v>40851</v>
      </c>
      <c r="FZ234" s="697">
        <f t="shared" si="722"/>
        <v>0</v>
      </c>
      <c r="GA234" s="712" t="str">
        <f t="shared" si="797"/>
        <v/>
      </c>
      <c r="GB234" s="712">
        <f t="shared" si="798"/>
        <v>0</v>
      </c>
      <c r="GC234" s="712" t="str">
        <f t="shared" si="799"/>
        <v/>
      </c>
      <c r="GD234" s="712">
        <f>IF(GA234="P",Lookup!$M$12,IF(GA234="PP",Lookup!$M$13,IF(GA234="PPP",Lookup!$M$14,IF(GA234="T",Lookup!$M$15,IF(GA234="TP",Lookup!$M$16,IF(GA234="TPP",Lookup!$M$17,IF(GA234="TPPP",Lookup!$M$18,0)))))))*FZ234</f>
        <v>0</v>
      </c>
      <c r="GE234" s="712">
        <f t="shared" si="800"/>
        <v>0</v>
      </c>
      <c r="GF234" s="712">
        <f t="shared" si="801"/>
        <v>4166.6666666666661</v>
      </c>
      <c r="GG234" s="712">
        <f t="shared" si="802"/>
        <v>1358.1051716644936</v>
      </c>
      <c r="GH234" s="712"/>
      <c r="GI234" s="712">
        <f t="shared" si="803"/>
        <v>0</v>
      </c>
      <c r="GJ234" s="712" t="str">
        <f t="shared" si="804"/>
        <v/>
      </c>
      <c r="GK234" s="712">
        <f>IF(GA234="P",Lookup!$N$12,IF(GA234="PP",Lookup!$N$13,IF(GA234="PPP",Lookup!$N$14,IF(GA234="T",Lookup!$N$15,IF(GA234="TP",Lookup!$N$16,IF(GA234="TPP",Lookup!$N$17,IF(GA234="TPPP",Lookup!$N$18,0)))))))*FZ234</f>
        <v>0</v>
      </c>
      <c r="GL234" s="712">
        <f t="shared" si="805"/>
        <v>0</v>
      </c>
      <c r="GM234" s="712">
        <f t="shared" si="806"/>
        <v>1864.5059999999999</v>
      </c>
      <c r="GN234" s="712">
        <f t="shared" si="807"/>
        <v>607.72685788787476</v>
      </c>
      <c r="GO234" s="712"/>
      <c r="GP234" s="712">
        <f t="shared" si="808"/>
        <v>0</v>
      </c>
      <c r="GQ234" s="712" t="str">
        <f t="shared" si="809"/>
        <v/>
      </c>
      <c r="GR234" s="712">
        <f>IF(GA234="P",Lookup!$N$12,IF(GA234="PP",Lookup!$N$13,IF(GA234="PPP",Lookup!$N$14,IF(GA234="T",Lookup!$N$15,IF(GA234="TP",Lookup!$N$16,IF(GA234="TPP",Lookup!$N$17,IF(GA234="TPPP",Lookup!$N$18,0)))))))*FZ234</f>
        <v>0</v>
      </c>
      <c r="GS234" s="697">
        <f t="shared" si="724"/>
        <v>0</v>
      </c>
      <c r="GT234" s="712">
        <f t="shared" si="810"/>
        <v>1789.9628390601595</v>
      </c>
      <c r="GU234" s="712">
        <f t="shared" si="811"/>
        <v>583.42986931556698</v>
      </c>
      <c r="GV234" s="712"/>
      <c r="GW234" s="712">
        <f t="shared" si="812"/>
        <v>0</v>
      </c>
      <c r="GX234" s="712" t="str">
        <f t="shared" si="813"/>
        <v/>
      </c>
      <c r="GY234" s="712">
        <f>IF(GA234="P",Lookup!$N$12,IF(GA234="PP",Lookup!$N$13,IF(GA234="PPP",Lookup!$N$14,IF(GA234="T",Lookup!$N$15,IF(GA234="TP",Lookup!$N$16,IF(GA234="TPP",Lookup!$N$17,IF(GA234="TPPP",Lookup!$N$18,0)))))))*FZ234</f>
        <v>0</v>
      </c>
      <c r="GZ234" s="697">
        <f t="shared" si="725"/>
        <v>0</v>
      </c>
      <c r="HA234" s="712">
        <f t="shared" si="814"/>
        <v>1584.7624144643642</v>
      </c>
      <c r="HB234" s="712">
        <f t="shared" si="815"/>
        <v>516.54576742645509</v>
      </c>
      <c r="HC234" s="712"/>
    </row>
    <row r="235" spans="1:211">
      <c r="A235" s="773" t="s">
        <v>5</v>
      </c>
      <c r="B235" s="708">
        <v>40764</v>
      </c>
      <c r="C235" s="719">
        <v>0.5</v>
      </c>
      <c r="D235" s="675">
        <f t="shared" si="737"/>
        <v>200</v>
      </c>
      <c r="E235" s="675">
        <f t="shared" si="738"/>
        <v>400</v>
      </c>
      <c r="F235" s="675">
        <v>250</v>
      </c>
      <c r="G235" s="712">
        <f>DH235+Sheet1!CV235</f>
        <v>227.90393343351406</v>
      </c>
      <c r="H235" s="712">
        <f t="shared" si="739"/>
        <v>0</v>
      </c>
      <c r="I235" s="711">
        <f>MAX(Sheet1!Z235-AJ235+(Sheet1!CW235-E235)*CFStoMGD,0)</f>
        <v>15.706011275546144</v>
      </c>
      <c r="J235" s="720">
        <f>IF(AND(B235&gt;=Calculation!FS235,B235&lt;=Calculation!FT235),IF(Sheet1!CX235&gt;=Calculation!D235,64.64,0),MAX(Sheet1!Z235-AJ235+(Sheet1!CX235-D235)*CFStoMGD,0))</f>
        <v>27.092077942212818</v>
      </c>
      <c r="K235" s="697">
        <f t="shared" si="740"/>
        <v>0</v>
      </c>
      <c r="L235" s="712">
        <f>Sheet1!AA235+Sheet1!AB235-Sheet1!L235+(Sheet1!CW235-F235)*CFStoMGD</f>
        <v>170.25666666666666</v>
      </c>
      <c r="M235" s="712">
        <f t="shared" si="741"/>
        <v>150.26344462285195</v>
      </c>
      <c r="N235" s="712">
        <f>IF(Sheet1!CW235&gt;=F235,MIN(73,MIN(MAX(L235,0),MAX(M235,0))),0)</f>
        <v>73</v>
      </c>
      <c r="O235" s="721">
        <f>Sheet1!AA235+Sheet1!AB235</f>
        <v>77</v>
      </c>
      <c r="P235" s="721">
        <f t="shared" si="742"/>
        <v>119.119</v>
      </c>
      <c r="Q235" s="712">
        <f>MIN(N235,Sheet1!AA235+AG235)</f>
        <v>58.530655391120504</v>
      </c>
      <c r="R235" s="712">
        <f t="shared" si="743"/>
        <v>20</v>
      </c>
      <c r="S235" s="721">
        <f>Sheet1!Y235*MGDtoCFS</f>
        <v>70.960889999999992</v>
      </c>
      <c r="T235" s="721">
        <f>Sheet1!Z235*MGDtoCFS</f>
        <v>50.958179999999992</v>
      </c>
      <c r="U235" s="721">
        <f>Sheet1!AA235*MGDtoCFS</f>
        <v>69.614999999999995</v>
      </c>
      <c r="V235" s="721">
        <f>Sheet1!AB235*MGDtoCFS</f>
        <v>49.503999999999998</v>
      </c>
      <c r="W235" s="721">
        <f>Sheet1!L235*MGDtoCFS</f>
        <v>0</v>
      </c>
      <c r="X235" s="697">
        <f t="shared" si="744"/>
        <v>20</v>
      </c>
      <c r="Y235" s="712">
        <f t="shared" si="745"/>
        <v>30.939999999999998</v>
      </c>
      <c r="Z235" s="712">
        <f t="shared" si="746"/>
        <v>0</v>
      </c>
      <c r="AA235" s="712">
        <f t="shared" si="747"/>
        <v>0</v>
      </c>
      <c r="AB235" s="712">
        <f>(VLOOKUP(Sheet1!CY235,hhdcap_wcm,4)-(((VLOOKUP(Sheet1!CY235,hhdcap_wcm,3)-Sheet1!CY235)/(VLOOKUP(Sheet1!CY235,hhdcap_wcm,3)-VLOOKUP(Sheet1!CY235,hhdcap_wcm,1)))*(VLOOKUP(Sheet1!CY235,hhdcap_wcm,4)-VLOOKUP(Sheet1!CY235,hhdcap_wcm,2))))</f>
        <v>39587.64000009578</v>
      </c>
      <c r="AC235" s="712">
        <f t="shared" si="748"/>
        <v>-191.55000000134169</v>
      </c>
      <c r="AD235" s="712">
        <f t="shared" si="749"/>
        <v>3045.8076662943904</v>
      </c>
      <c r="AE235" s="712">
        <f t="shared" si="750"/>
        <v>9344.5379201911892</v>
      </c>
      <c r="AF235" s="712">
        <f>Sheet1!BA235+Sheet1!BB235+Sheet1!BN235+BT235</f>
        <v>14</v>
      </c>
      <c r="AG235" s="712">
        <f t="shared" si="751"/>
        <v>13.530655391120508</v>
      </c>
      <c r="AH235" s="712">
        <f>Sheet1!BA235+BT235</f>
        <v>0</v>
      </c>
      <c r="AI235" s="712">
        <f>Sheet1!BA235+Sheet1!BB235+BT235</f>
        <v>0</v>
      </c>
      <c r="AJ235" s="712">
        <f>IF((Sheet1!AA235+AG235+AX235+AZ235+BQ235+BS235+CL235+CN235)&lt;=N235,AG235+AX235+AZ235+BQ235+BS235+CL235+CN235,N235-Sheet1!AA235)</f>
        <v>13.530655391120508</v>
      </c>
      <c r="AK235" s="712">
        <f>IF(DR235&lt;K235,0,MAX(Sheet1!AA235+AG235-15/36*K235-N235,Sheet1!ED235,0))</f>
        <v>0</v>
      </c>
      <c r="AL235" s="712">
        <f>IF(OR(B235&gt;=FT235,B235&lt;FS235),0,15/36*K235-MAX(0,64.6-(137.6-(Sheet1!AA235+Sheet1!AB235))))</f>
        <v>0</v>
      </c>
      <c r="AM235" s="712">
        <f>Sheet1!CX235-110</f>
        <v>101.88541666666666</v>
      </c>
      <c r="AN235" s="712">
        <f>Sheet1!CW235-265</f>
        <v>129.27083333333331</v>
      </c>
      <c r="AO235" s="712">
        <f t="shared" si="733"/>
        <v>14.469344608879496</v>
      </c>
      <c r="AP235" s="712">
        <f t="shared" si="752"/>
        <v>0</v>
      </c>
      <c r="AQ235" s="712">
        <f t="shared" si="753"/>
        <v>0</v>
      </c>
      <c r="AR235" s="712">
        <f t="shared" si="754"/>
        <v>1358.1051716644936</v>
      </c>
      <c r="AS235" s="712"/>
      <c r="AT235" s="712">
        <f ca="1">IF(B235&gt;Summary!$A$1,#N/A,AR235*MGtoAF)</f>
        <v>4166.6666666666661</v>
      </c>
      <c r="AU235" s="712">
        <f>Sheet1!BG235+Sheet1!BH235+Sheet1!BI235-BC235</f>
        <v>1.97</v>
      </c>
      <c r="AV235" s="712">
        <f t="shared" si="755"/>
        <v>1.9039565086076715</v>
      </c>
      <c r="AW235" s="712">
        <f>IF(Sheet1!EL235="FM",BC235,0)</f>
        <v>0</v>
      </c>
      <c r="AX235" s="712">
        <f t="shared" si="756"/>
        <v>0</v>
      </c>
      <c r="AY235" s="712">
        <f>IF(Sheet1!EL235="OTHER",BC235,0)</f>
        <v>0</v>
      </c>
      <c r="AZ235" s="712">
        <f t="shared" si="757"/>
        <v>0</v>
      </c>
      <c r="BA235" s="712">
        <f t="shared" si="758"/>
        <v>1.97</v>
      </c>
      <c r="BB235" s="712">
        <f t="shared" si="759"/>
        <v>1.9039565086076715</v>
      </c>
      <c r="BC235" s="712">
        <f>IF(OR(Sheet1!EL235="FM", Sheet1!EL235="OTHER"),SUM(Sheet1!BG235:'Sheet1'!BI235),0)</f>
        <v>0</v>
      </c>
      <c r="BD235" s="697">
        <f>IF(AND($B235&gt;=$FL235,$B235&lt;=$FM235),MAX(AV235,Sheet1!EE235,0),MAX(AV235-(7/36)*$K235,0))</f>
        <v>3</v>
      </c>
      <c r="BE235" s="712">
        <f t="shared" si="760"/>
        <v>0</v>
      </c>
      <c r="BF235" s="697">
        <f t="shared" si="761"/>
        <v>0</v>
      </c>
      <c r="BG235" s="697">
        <f>IF(AND($O235&gt;0,Sheet1!EI235=1),(1-($O235-Sheet1!$L235)/$O235)*BB235,0)</f>
        <v>0</v>
      </c>
      <c r="BH235" s="697">
        <f>IF(AND(Sheet1!$L235=0,Sheet1!$L234=0, Calculation!BA235&lt;Sheet1!$EE235-0.1,Sheet1!$EE235=Sheet1!$EE234,Sheet1!$EE235=Sheet1!$EE236),Sheet1!$EE235,BB235-BG235)</f>
        <v>3</v>
      </c>
      <c r="BI235" s="712"/>
      <c r="BJ235" s="712"/>
      <c r="BK235" s="712">
        <f t="shared" si="762"/>
        <v>604.72685788787476</v>
      </c>
      <c r="BL235" s="712"/>
      <c r="BM235" s="712">
        <f ca="1">IF(B235&gt;Summary!$A$1,#N/A,BK235*MGtoAF)</f>
        <v>1855.3019999999997</v>
      </c>
      <c r="BN235" s="712">
        <f>Sheet1!BC235+Sheet1!BD235+Sheet1!BE235+Sheet1!BF235-BW235-BX235</f>
        <v>5.0799999999999992</v>
      </c>
      <c r="BO235" s="712">
        <f t="shared" si="763"/>
        <v>4.9096949562065832</v>
      </c>
      <c r="BP235" s="712">
        <f>IF(Sheet1!EM235="FM",BX235,0)</f>
        <v>0</v>
      </c>
      <c r="BQ235" s="712">
        <f t="shared" si="764"/>
        <v>0</v>
      </c>
      <c r="BR235" s="712">
        <f>IF(Sheet1!EM235="OTHER",BX235,0)</f>
        <v>0</v>
      </c>
      <c r="BS235" s="712">
        <f t="shared" si="765"/>
        <v>0</v>
      </c>
      <c r="BT235" s="712">
        <f t="shared" si="766"/>
        <v>0</v>
      </c>
      <c r="BU235" s="712">
        <f t="shared" si="767"/>
        <v>5.0799999999999992</v>
      </c>
      <c r="BV235" s="712">
        <f t="shared" si="768"/>
        <v>4.9096949562065832</v>
      </c>
      <c r="BW235" s="712">
        <f>IF(Sheet1!EM235="CWA",SUM(Sheet1!BC235:'Sheet1'!BF235),0)</f>
        <v>0</v>
      </c>
      <c r="BX235" s="712">
        <f>IF(OR(Sheet1!EM235="FM", Sheet1!EM235="OTHER"),SUM(Sheet1!BC235:'Sheet1'!BF235),0)</f>
        <v>0</v>
      </c>
      <c r="BY235" s="697">
        <f>IF(AND($B235&gt;=$FL235,$B235&lt;=$FM235),MAX(BV235,Sheet1!EF235,0),MAX(BV235-(7/36)*$K235,0))</f>
        <v>5</v>
      </c>
      <c r="BZ235" s="712">
        <f t="shared" si="769"/>
        <v>0</v>
      </c>
      <c r="CA235" s="697">
        <f t="shared" si="770"/>
        <v>0</v>
      </c>
      <c r="CB235" s="697">
        <f>IF(AND($O235&gt;0,Sheet1!EJ235=1),(1-($O235-Sheet1!$L235)/$O235)*BV235,0)</f>
        <v>0</v>
      </c>
      <c r="CC235" s="697">
        <f>IF(AND(Sheet1!$L235=0,Sheet1!$L234=0, Calculation!BU235&lt;Sheet1!EF235-0.1,Sheet1!EF235=Sheet1!EF234,Sheet1!EF235=Sheet1!EF236),Sheet1!EF235,BV235-CB235)</f>
        <v>4.9096949562065832</v>
      </c>
      <c r="CD235" s="697"/>
      <c r="CE235" s="712"/>
      <c r="CF235" s="712">
        <f t="shared" si="771"/>
        <v>578.42986931556698</v>
      </c>
      <c r="CG235" s="712"/>
      <c r="CH235" s="712">
        <f ca="1">IF(B235&gt;Summary!$A$1,#N/A,CF235*MGtoAF)</f>
        <v>1774.6228390601595</v>
      </c>
      <c r="CI235" s="712">
        <f>Sheet1!BK235+Sheet1!BL235+Sheet1!BM235-Sheet1!EN235-CQ235</f>
        <v>12.059999999999999</v>
      </c>
      <c r="CJ235" s="712">
        <f t="shared" si="772"/>
        <v>11.655693144065236</v>
      </c>
      <c r="CK235" s="712">
        <f>IF(Sheet1!EN235="FM",CQ235,0)</f>
        <v>0</v>
      </c>
      <c r="CL235" s="712">
        <f t="shared" si="773"/>
        <v>0</v>
      </c>
      <c r="CM235" s="712">
        <f>IF(Sheet1!EN235="OTHER",CQ235,0)</f>
        <v>0</v>
      </c>
      <c r="CN235" s="712">
        <f t="shared" si="774"/>
        <v>0</v>
      </c>
      <c r="CO235" s="712">
        <f t="shared" si="775"/>
        <v>12.059999999999999</v>
      </c>
      <c r="CP235" s="712">
        <f t="shared" si="776"/>
        <v>11.655693144065236</v>
      </c>
      <c r="CQ235" s="712">
        <f>IF(OR(Sheet1!EN235="FM", Sheet1!EN235="OTHER"),SUM(Sheet1!BK235:'Sheet1'!BM235),0)</f>
        <v>0</v>
      </c>
      <c r="CR235" s="697">
        <f>IF(AND($B235&gt;=$FL235,$B235&lt;=$FM235),MAX($CJ235,Sheet1!EG235,0),MAX($CJ235-(7/36)*$K235,0))</f>
        <v>12</v>
      </c>
      <c r="CS235" s="712">
        <f t="shared" si="777"/>
        <v>0</v>
      </c>
      <c r="CT235" s="697">
        <f t="shared" si="778"/>
        <v>0</v>
      </c>
      <c r="CU235" s="697">
        <f>IF(AND($O235&gt;0,Sheet1!EK235=1),(1-($O235-Sheet1!$L235)/$O235)*CP235,0)</f>
        <v>0</v>
      </c>
      <c r="CV235" s="697">
        <f>IF(AND(Sheet1!$L235=0,Sheet1!$L234=0, Calculation!CO235&lt;Sheet1!$EG235-0.1,Sheet1!$EG235=Sheet1!$EG234,Sheet1!$EG235=Sheet1!$EG236),Sheet1!$EG235,CP235-CU235)</f>
        <v>11.655693144065236</v>
      </c>
      <c r="CW235" s="697">
        <f t="shared" si="721"/>
        <v>0</v>
      </c>
      <c r="CX235" s="712">
        <f t="shared" si="779"/>
        <v>19.11</v>
      </c>
      <c r="CY235" s="712">
        <f t="shared" si="780"/>
        <v>504.54576742645509</v>
      </c>
      <c r="CZ235" s="712">
        <f t="shared" si="781"/>
        <v>18.469344608879489</v>
      </c>
      <c r="DA235" s="712">
        <f ca="1">IF(B235&gt;Summary!$A$1,#N/A,CY235*MGtoAF)</f>
        <v>1547.9464144643641</v>
      </c>
      <c r="DB235" s="712">
        <f t="shared" si="782"/>
        <v>19.109999999999996</v>
      </c>
      <c r="DC235" s="712">
        <f t="shared" si="783"/>
        <v>33.11</v>
      </c>
      <c r="DD235" s="712">
        <f>Sheet1!AB235-DC235</f>
        <v>-1.1099999999999994</v>
      </c>
      <c r="DE235" s="712">
        <f t="shared" si="784"/>
        <v>-3.3524614919963738E-2</v>
      </c>
      <c r="DF235" s="712">
        <f>(VLOOKUP(Sheet1!CY235,hhdcap_wcm,4)-(((VLOOKUP(Sheet1!CY235,hhdcap_wcm,3)-Sheet1!CY235)/(VLOOKUP(Sheet1!CY235,hhdcap_wcm,3)-VLOOKUP(Sheet1!CY235,hhdcap_wcm,1)))*(VLOOKUP(Sheet1!CY235,hhdcap_wcm,4)-VLOOKUP(Sheet1!CY235,hhdcap_wcm,2))))</f>
        <v>39587.64000009578</v>
      </c>
      <c r="DG235" s="712">
        <f t="shared" si="785"/>
        <v>-191.55000000134169</v>
      </c>
      <c r="DH235" s="712">
        <f t="shared" si="786"/>
        <v>-96.596066566485959</v>
      </c>
      <c r="DI235" s="712">
        <f>Sheet1!DW235*AFtoMG</f>
        <v>0</v>
      </c>
      <c r="DJ235" s="712">
        <f>Sheet1!DX235*AFtoMG</f>
        <v>0</v>
      </c>
      <c r="DK235" s="712">
        <f>Sheet1!DY235*AFtoMG</f>
        <v>0</v>
      </c>
      <c r="DL235" s="712">
        <f>Sheet1!DZ235*AFtoMG</f>
        <v>0</v>
      </c>
      <c r="DM235" s="712">
        <f t="shared" si="787"/>
        <v>0</v>
      </c>
      <c r="DN235" s="712">
        <f t="shared" si="788"/>
        <v>0</v>
      </c>
      <c r="DO235" s="712">
        <f t="shared" si="789"/>
        <v>3045.8076662943904</v>
      </c>
      <c r="DP235" s="712">
        <f t="shared" si="790"/>
        <v>9344.5379201911892</v>
      </c>
      <c r="DQ235" s="712"/>
      <c r="DR235" s="697">
        <f>IF(OR(B235&lt;FL235,B235&gt;FM235),(MIN(AV235+BO235+CJ235+MAX(Sheet1!AA235+AG235-73,0),K235)),0)</f>
        <v>0</v>
      </c>
      <c r="DS235" s="712"/>
      <c r="DT235" s="712">
        <f t="shared" si="791"/>
        <v>18.469344608879489</v>
      </c>
      <c r="DU235" s="712"/>
      <c r="DV235" s="712">
        <f>Sheet1!ED235+Sheet1!EE235+Sheet1!EF235+Sheet1!EG235</f>
        <v>20</v>
      </c>
      <c r="DW235" s="712"/>
      <c r="DX235" s="697">
        <f t="shared" si="792"/>
        <v>0</v>
      </c>
      <c r="DY235" s="712">
        <f>IF(Sheet1!FN235=1,SUM('Calculations II'!AT235:BA235)+'Calculations II'!BC235+Sheet1!BU235+'Calculations II'!BE235+AF235,SUM('Calculations II'!AT235:BA235)+'Calculations II'!BC235+Sheet1!BU235+'Calculations II'!BE235+AF235)</f>
        <v>65.867248000000004</v>
      </c>
      <c r="DZ235" s="712">
        <f>Sheet1!AA235+Sheet1!AB235+'Calculations II'!BC235</f>
        <v>86.635471999999993</v>
      </c>
      <c r="EA235" s="712"/>
      <c r="EB235" s="712"/>
      <c r="EC235" s="712">
        <f t="shared" si="793"/>
        <v>40764</v>
      </c>
      <c r="ED235" s="712">
        <f t="shared" si="794"/>
        <v>-20</v>
      </c>
      <c r="EE235" s="712">
        <f t="shared" si="795"/>
        <v>-30.939999999999998</v>
      </c>
      <c r="EF235" s="712">
        <f>-(VLOOKUP(Sheet1!BQ235,Lookup!$B$4:$J$236,2)-VLOOKUP(Sheet1!BQ234,Lookup!$B$4:$J$236,2))/1000000</f>
        <v>-1.0913999999999999</v>
      </c>
      <c r="EG235" s="712">
        <f>-(VLOOKUP(Sheet1!BR235,Lookup!$B$4:$J$236,3)-VLOOKUP(Sheet1!BR234,Lookup!$B$4:$J$236,3))/1000000</f>
        <v>-1.0902000000000001</v>
      </c>
      <c r="EH235" s="712">
        <f>-(VLOOKUP(Sheet1!BS235,Lookup!$B$4:$J$236,4)-VLOOKUP(Sheet1!BS234,Lookup!$B$4:$J$236,4))/1000000</f>
        <v>0</v>
      </c>
      <c r="EI235" s="697">
        <f t="shared" si="796"/>
        <v>-2.1816</v>
      </c>
      <c r="EJ235" s="712"/>
      <c r="EK235" s="712"/>
      <c r="EL235" s="712"/>
      <c r="EM235" s="712"/>
      <c r="EN235" s="712"/>
      <c r="EO235" s="712"/>
      <c r="EP235" s="712"/>
      <c r="EQ235" s="712"/>
      <c r="ET235" s="794">
        <f t="shared" si="720"/>
        <v>1135.4000000000001</v>
      </c>
      <c r="EU235" s="697">
        <v>8785</v>
      </c>
      <c r="EV235" s="795">
        <f t="shared" si="734"/>
        <v>20238.102079904591</v>
      </c>
      <c r="EW235" s="796" t="s">
        <v>757</v>
      </c>
      <c r="EX235" s="796" t="s">
        <v>758</v>
      </c>
      <c r="EY235" s="712">
        <f t="shared" ref="EY235:EY272" si="817">-IF(-(AB235-AE235-EZ235-EU234)&gt;0,(AB235-AE235-EZ235-EU234)/1.983,0)</f>
        <v>0</v>
      </c>
      <c r="EZ235" s="798">
        <v>21276.400000049747</v>
      </c>
      <c r="FA235" s="712"/>
      <c r="FB235" s="712"/>
      <c r="FC235" s="712"/>
      <c r="FD235" s="712"/>
      <c r="FE235" s="712">
        <f>O235+Sheet1!CO235</f>
        <v>6768.3</v>
      </c>
      <c r="FF235" s="712">
        <f>IF(Sheet1!AA235+AG235&lt;=Calculation!N235,AG235,Calculation!N235-Sheet1!AA235)</f>
        <v>13.530655391120508</v>
      </c>
      <c r="FG235" s="712">
        <f>(Sheet1!BP235+Sheet1!BO235)/694.4</f>
        <v>4.209677419354839</v>
      </c>
      <c r="FH235" s="712"/>
      <c r="FI235" s="712"/>
      <c r="FJ235" s="712"/>
      <c r="FK235" s="712"/>
      <c r="FL235" s="714">
        <f t="shared" si="726"/>
        <v>40753</v>
      </c>
      <c r="FM235" s="714">
        <f t="shared" si="727"/>
        <v>40851</v>
      </c>
      <c r="FN235" s="712"/>
      <c r="FO235" s="712"/>
      <c r="FP235" s="712"/>
      <c r="FQ235" s="712"/>
      <c r="FR235" s="712"/>
      <c r="FS235" s="725">
        <f t="shared" si="816"/>
        <v>40603</v>
      </c>
      <c r="FT235" s="714">
        <f t="shared" si="729"/>
        <v>40709</v>
      </c>
      <c r="FU235" s="712">
        <f t="shared" si="816"/>
        <v>6518.9048239895692</v>
      </c>
      <c r="FV235" s="714">
        <f t="shared" si="730"/>
        <v>40722</v>
      </c>
      <c r="FW235" s="712">
        <f t="shared" si="816"/>
        <v>3259.4524119947846</v>
      </c>
      <c r="FX235" s="725">
        <f t="shared" si="816"/>
        <v>40851</v>
      </c>
      <c r="FZ235" s="697">
        <f t="shared" si="722"/>
        <v>0</v>
      </c>
      <c r="GA235" s="712" t="str">
        <f t="shared" si="797"/>
        <v/>
      </c>
      <c r="GB235" s="712">
        <f t="shared" si="798"/>
        <v>0</v>
      </c>
      <c r="GC235" s="712" t="str">
        <f t="shared" si="799"/>
        <v/>
      </c>
      <c r="GD235" s="712">
        <f>IF(GA235="P",Lookup!$M$12,IF(GA235="PP",Lookup!$M$13,IF(GA235="PPP",Lookup!$M$14,IF(GA235="T",Lookup!$M$15,IF(GA235="TP",Lookup!$M$16,IF(GA235="TPP",Lookup!$M$17,IF(GA235="TPPP",Lookup!$M$18,0)))))))*FZ235</f>
        <v>0</v>
      </c>
      <c r="GE235" s="712">
        <f t="shared" si="800"/>
        <v>0</v>
      </c>
      <c r="GF235" s="712">
        <f t="shared" si="801"/>
        <v>4166.6666666666661</v>
      </c>
      <c r="GG235" s="712">
        <f t="shared" si="802"/>
        <v>1358.1051716644936</v>
      </c>
      <c r="GH235" s="712"/>
      <c r="GI235" s="712">
        <f t="shared" si="803"/>
        <v>0</v>
      </c>
      <c r="GJ235" s="712" t="str">
        <f t="shared" si="804"/>
        <v/>
      </c>
      <c r="GK235" s="712">
        <f>IF(GA235="P",Lookup!$N$12,IF(GA235="PP",Lookup!$N$13,IF(GA235="PPP",Lookup!$N$14,IF(GA235="T",Lookup!$N$15,IF(GA235="TP",Lookup!$N$16,IF(GA235="TPP",Lookup!$N$17,IF(GA235="TPPP",Lookup!$N$18,0)))))))*FZ235</f>
        <v>0</v>
      </c>
      <c r="GL235" s="712">
        <f t="shared" si="805"/>
        <v>0</v>
      </c>
      <c r="GM235" s="712">
        <f t="shared" si="806"/>
        <v>1855.3019999999997</v>
      </c>
      <c r="GN235" s="712">
        <f t="shared" si="807"/>
        <v>604.72685788787476</v>
      </c>
      <c r="GO235" s="712"/>
      <c r="GP235" s="712">
        <f t="shared" si="808"/>
        <v>0</v>
      </c>
      <c r="GQ235" s="712" t="str">
        <f t="shared" si="809"/>
        <v/>
      </c>
      <c r="GR235" s="712">
        <f>IF(GA235="P",Lookup!$N$12,IF(GA235="PP",Lookup!$N$13,IF(GA235="PPP",Lookup!$N$14,IF(GA235="T",Lookup!$N$15,IF(GA235="TP",Lookup!$N$16,IF(GA235="TPP",Lookup!$N$17,IF(GA235="TPPP",Lookup!$N$18,0)))))))*FZ235</f>
        <v>0</v>
      </c>
      <c r="GS235" s="697">
        <f t="shared" si="724"/>
        <v>0</v>
      </c>
      <c r="GT235" s="712">
        <f t="shared" si="810"/>
        <v>1774.6228390601595</v>
      </c>
      <c r="GU235" s="712">
        <f t="shared" si="811"/>
        <v>578.42986931556698</v>
      </c>
      <c r="GV235" s="712"/>
      <c r="GW235" s="712">
        <f t="shared" si="812"/>
        <v>0</v>
      </c>
      <c r="GX235" s="712" t="str">
        <f t="shared" si="813"/>
        <v/>
      </c>
      <c r="GY235" s="712">
        <f>IF(GA235="P",Lookup!$N$12,IF(GA235="PP",Lookup!$N$13,IF(GA235="PPP",Lookup!$N$14,IF(GA235="T",Lookup!$N$15,IF(GA235="TP",Lookup!$N$16,IF(GA235="TPP",Lookup!$N$17,IF(GA235="TPPP",Lookup!$N$18,0)))))))*FZ235</f>
        <v>0</v>
      </c>
      <c r="GZ235" s="697">
        <f t="shared" si="725"/>
        <v>0</v>
      </c>
      <c r="HA235" s="712">
        <f t="shared" si="814"/>
        <v>1547.9464144643641</v>
      </c>
      <c r="HB235" s="712">
        <f t="shared" si="815"/>
        <v>504.54576742645509</v>
      </c>
      <c r="HC235" s="712"/>
    </row>
    <row r="236" spans="1:211">
      <c r="A236" s="773" t="s">
        <v>6</v>
      </c>
      <c r="B236" s="708">
        <v>40765</v>
      </c>
      <c r="C236" s="719">
        <v>0.5</v>
      </c>
      <c r="D236" s="675">
        <f t="shared" si="737"/>
        <v>200</v>
      </c>
      <c r="E236" s="675">
        <f t="shared" si="738"/>
        <v>400</v>
      </c>
      <c r="F236" s="675">
        <v>250</v>
      </c>
      <c r="G236" s="712">
        <f>DH236+Sheet1!CV236</f>
        <v>235.57211296004601</v>
      </c>
      <c r="H236" s="712">
        <f t="shared" si="739"/>
        <v>0</v>
      </c>
      <c r="I236" s="711">
        <f>MAX(Sheet1!Z236-AJ236+(Sheet1!CW236-E236)*CFStoMGD,0)</f>
        <v>9.1908899304518208</v>
      </c>
      <c r="J236" s="720">
        <f>IF(AND(B236&gt;=Calculation!FS236,B236&lt;=Calculation!FT236),IF(Sheet1!CX236&gt;=Calculation!D236,64.64,0),MAX(Sheet1!Z236-AJ236+(Sheet1!CX236-D236)*CFStoMGD,0))</f>
        <v>21.634089930451818</v>
      </c>
      <c r="K236" s="697">
        <f t="shared" si="740"/>
        <v>0</v>
      </c>
      <c r="L236" s="712">
        <f>Sheet1!AA236+Sheet1!AB236-Sheet1!L236+(Sheet1!CW236-F236)*CFStoMGD</f>
        <v>166.81900000000292</v>
      </c>
      <c r="M236" s="712">
        <f t="shared" si="741"/>
        <v>155.31929009372124</v>
      </c>
      <c r="N236" s="712">
        <f>IF(Sheet1!CW236&gt;=F236,MIN(73,MIN(MAX(L236,0),MAX(M236,0))),0)</f>
        <v>73</v>
      </c>
      <c r="O236" s="721">
        <f>Sheet1!AA236+Sheet1!AB236</f>
        <v>79.05000000000291</v>
      </c>
      <c r="P236" s="721">
        <f t="shared" si="742"/>
        <v>122.29035000000451</v>
      </c>
      <c r="Q236" s="712">
        <f>MIN(N236,Sheet1!AA236+AG236)</f>
        <v>60.348110069554004</v>
      </c>
      <c r="R236" s="712">
        <f t="shared" si="743"/>
        <v>20</v>
      </c>
      <c r="S236" s="721">
        <f>Sheet1!Y236*MGDtoCFS</f>
        <v>70.960889999999992</v>
      </c>
      <c r="T236" s="721">
        <f>Sheet1!Z236*MGDtoCFS</f>
        <v>50.478610000000003</v>
      </c>
      <c r="U236" s="721">
        <f>Sheet1!AA236*MGDtoCFS</f>
        <v>71.316700000009007</v>
      </c>
      <c r="V236" s="721">
        <f>Sheet1!AB236*MGDtoCFS</f>
        <v>50.973649999995494</v>
      </c>
      <c r="W236" s="721">
        <f>Sheet1!L236*MGDtoCFS</f>
        <v>0</v>
      </c>
      <c r="X236" s="697">
        <f t="shared" si="744"/>
        <v>20.016238282430145</v>
      </c>
      <c r="Y236" s="712">
        <f t="shared" si="745"/>
        <v>30.965120622919432</v>
      </c>
      <c r="Z236" s="712">
        <f t="shared" si="746"/>
        <v>0</v>
      </c>
      <c r="AA236" s="712">
        <f t="shared" si="747"/>
        <v>0</v>
      </c>
      <c r="AB236" s="712">
        <f>(VLOOKUP(Sheet1!CY236,hhdcap_wcm,4)-(((VLOOKUP(Sheet1!CY236,hhdcap_wcm,3)-Sheet1!CY236)/(VLOOKUP(Sheet1!CY236,hhdcap_wcm,3)-VLOOKUP(Sheet1!CY236,hhdcap_wcm,1)))*(VLOOKUP(Sheet1!CY236,hhdcap_wcm,4)-VLOOKUP(Sheet1!CY236,hhdcap_wcm,2))))</f>
        <v>39427.160000095551</v>
      </c>
      <c r="AC236" s="712">
        <f t="shared" si="748"/>
        <v>-160.48000000022876</v>
      </c>
      <c r="AD236" s="712">
        <f t="shared" si="749"/>
        <v>3025.7914280119599</v>
      </c>
      <c r="AE236" s="712">
        <f t="shared" si="750"/>
        <v>9283.1281011406936</v>
      </c>
      <c r="AF236" s="712">
        <f>Sheet1!BA236+Sheet1!BB236+Sheet1!BN236+BT236</f>
        <v>14.3</v>
      </c>
      <c r="AG236" s="712">
        <f t="shared" si="751"/>
        <v>14.248110069548183</v>
      </c>
      <c r="AH236" s="712">
        <f>Sheet1!BA236+BT236</f>
        <v>0</v>
      </c>
      <c r="AI236" s="712">
        <f>Sheet1!BA236+Sheet1!BB236+BT236</f>
        <v>0</v>
      </c>
      <c r="AJ236" s="712">
        <f>IF((Sheet1!AA236+AG236+AX236+AZ236+BQ236+BS236+CL236+CN236)&lt;=N236,AG236+AX236+AZ236+BQ236+BS236+CL236+CN236,N236-Sheet1!AA236)</f>
        <v>14.248110069548183</v>
      </c>
      <c r="AK236" s="712">
        <f>IF(DR236&lt;K236,0,MAX(Sheet1!AA236+AG236-15/36*K236-N236,Sheet1!ED236,0))</f>
        <v>0</v>
      </c>
      <c r="AL236" s="712">
        <f>IF(OR(B236&gt;=FT236,B236&lt;FS236),0,15/36*K236-MAX(0,64.6-(137.6-(Sheet1!AA236+Sheet1!AB236))))</f>
        <v>0</v>
      </c>
      <c r="AM236" s="712">
        <f>Sheet1!CX236-110</f>
        <v>95.03125</v>
      </c>
      <c r="AN236" s="712">
        <f>Sheet1!CW236-265</f>
        <v>120.78125</v>
      </c>
      <c r="AO236" s="712">
        <f t="shared" si="733"/>
        <v>12.651889930445996</v>
      </c>
      <c r="AP236" s="712">
        <f t="shared" si="752"/>
        <v>0</v>
      </c>
      <c r="AQ236" s="712">
        <f t="shared" si="753"/>
        <v>0</v>
      </c>
      <c r="AR236" s="712">
        <f t="shared" si="754"/>
        <v>1358.1051716644936</v>
      </c>
      <c r="AS236" s="712"/>
      <c r="AT236" s="712">
        <f ca="1">IF(B236&gt;Summary!$A$1,#N/A,AR236*MGtoAF)</f>
        <v>4166.6666666666661</v>
      </c>
      <c r="AU236" s="712">
        <f>Sheet1!BG236+Sheet1!BH236+Sheet1!BI236-BC236</f>
        <v>1.99</v>
      </c>
      <c r="AV236" s="712">
        <f t="shared" si="755"/>
        <v>1.9827789537343274</v>
      </c>
      <c r="AW236" s="712">
        <f>IF(Sheet1!EL236="FM",BC236,0)</f>
        <v>0</v>
      </c>
      <c r="AX236" s="712">
        <f t="shared" si="756"/>
        <v>0</v>
      </c>
      <c r="AY236" s="712">
        <f>IF(Sheet1!EL236="OTHER",BC236,0)</f>
        <v>0</v>
      </c>
      <c r="AZ236" s="712">
        <f t="shared" si="757"/>
        <v>0</v>
      </c>
      <c r="BA236" s="712">
        <f t="shared" si="758"/>
        <v>1.99</v>
      </c>
      <c r="BB236" s="712">
        <f t="shared" si="759"/>
        <v>1.9827789537343274</v>
      </c>
      <c r="BC236" s="712">
        <f>IF(OR(Sheet1!EL236="FM", Sheet1!EL236="OTHER"),SUM(Sheet1!BG236:'Sheet1'!BI236),0)</f>
        <v>0</v>
      </c>
      <c r="BD236" s="697">
        <f>IF(AND($B236&gt;=$FL236,$B236&lt;=$FM236),MAX(AV236,Sheet1!EE236,0),MAX(AV236-(7/36)*$K236,0))</f>
        <v>3</v>
      </c>
      <c r="BE236" s="712">
        <f t="shared" si="760"/>
        <v>0</v>
      </c>
      <c r="BF236" s="697">
        <f t="shared" si="761"/>
        <v>0</v>
      </c>
      <c r="BG236" s="697">
        <f>IF(AND($O236&gt;0,Sheet1!EI236=1),(1-($O236-Sheet1!$L236)/$O236)*BB236,0)</f>
        <v>0</v>
      </c>
      <c r="BH236" s="697">
        <f>IF(AND(Sheet1!$L236=0,Sheet1!$L235=0, Calculation!BA236&lt;Sheet1!$EE236-0.1,Sheet1!$EE236=Sheet1!$EE235,Sheet1!$EE236=Sheet1!$EE237),Sheet1!$EE236,BB236-BG236)</f>
        <v>3</v>
      </c>
      <c r="BI236" s="712"/>
      <c r="BJ236" s="712"/>
      <c r="BK236" s="712">
        <f t="shared" si="762"/>
        <v>601.72685788787476</v>
      </c>
      <c r="BL236" s="712"/>
      <c r="BM236" s="712">
        <f ca="1">IF(B236&gt;Summary!$A$1,#N/A,BK236*MGtoAF)</f>
        <v>1846.0979999999997</v>
      </c>
      <c r="BN236" s="712">
        <f>Sheet1!BC236+Sheet1!BD236+Sheet1!BE236+Sheet1!BF236-BW236-BX236</f>
        <v>4.7199999999999989</v>
      </c>
      <c r="BO236" s="712">
        <f t="shared" si="763"/>
        <v>4.7028726942844337</v>
      </c>
      <c r="BP236" s="712">
        <f>IF(Sheet1!EM236="FM",BX236,0)</f>
        <v>0</v>
      </c>
      <c r="BQ236" s="712">
        <f t="shared" si="764"/>
        <v>0</v>
      </c>
      <c r="BR236" s="712">
        <f>IF(Sheet1!EM236="OTHER",BX236,0)</f>
        <v>0</v>
      </c>
      <c r="BS236" s="712">
        <f t="shared" si="765"/>
        <v>0</v>
      </c>
      <c r="BT236" s="712">
        <f t="shared" si="766"/>
        <v>0</v>
      </c>
      <c r="BU236" s="712">
        <f t="shared" si="767"/>
        <v>4.7199999999999989</v>
      </c>
      <c r="BV236" s="712">
        <f t="shared" si="768"/>
        <v>4.7028726942844337</v>
      </c>
      <c r="BW236" s="712">
        <f>IF(Sheet1!EM236="CWA",SUM(Sheet1!BC236:'Sheet1'!BF236),0)</f>
        <v>0</v>
      </c>
      <c r="BX236" s="712">
        <f>IF(OR(Sheet1!EM236="FM", Sheet1!EM236="OTHER"),SUM(Sheet1!BC236:'Sheet1'!BF236),0)</f>
        <v>0</v>
      </c>
      <c r="BY236" s="697">
        <f>IF(AND($B236&gt;=$FL236,$B236&lt;=$FM236),MAX(BV236,Sheet1!EF236,0),MAX(BV236-(7/36)*$K236,0))</f>
        <v>5</v>
      </c>
      <c r="BZ236" s="712">
        <f t="shared" si="769"/>
        <v>0</v>
      </c>
      <c r="CA236" s="697">
        <f t="shared" si="770"/>
        <v>0</v>
      </c>
      <c r="CB236" s="697">
        <f>IF(AND($O236&gt;0,Sheet1!EJ236=1),(1-($O236-Sheet1!$L236)/$O236)*BV236,0)</f>
        <v>0</v>
      </c>
      <c r="CC236" s="697">
        <f>IF(AND(Sheet1!$L236=0,Sheet1!$L235=0, Calculation!BU236&lt;Sheet1!EF236-0.1,Sheet1!EF236=Sheet1!EF235,Sheet1!EF236=Sheet1!EF237),Sheet1!EF236,BV236-CB236)</f>
        <v>5</v>
      </c>
      <c r="CD236" s="697"/>
      <c r="CE236" s="712"/>
      <c r="CF236" s="712">
        <f t="shared" si="771"/>
        <v>573.42986931556698</v>
      </c>
      <c r="CG236" s="712"/>
      <c r="CH236" s="712">
        <f ca="1">IF(B236&gt;Summary!$A$1,#N/A,CF236*MGtoAF)</f>
        <v>1759.2828390601594</v>
      </c>
      <c r="CI236" s="712">
        <f>Sheet1!BK236+Sheet1!BL236+Sheet1!BM236-Sheet1!EN236-CQ236</f>
        <v>12.06</v>
      </c>
      <c r="CJ236" s="712">
        <f t="shared" si="772"/>
        <v>12.016238282430146</v>
      </c>
      <c r="CK236" s="712">
        <f>IF(Sheet1!EN236="FM",CQ236,0)</f>
        <v>0</v>
      </c>
      <c r="CL236" s="712">
        <f t="shared" si="773"/>
        <v>0</v>
      </c>
      <c r="CM236" s="712">
        <f>IF(Sheet1!EN236="OTHER",CQ236,0)</f>
        <v>0</v>
      </c>
      <c r="CN236" s="712">
        <f t="shared" si="774"/>
        <v>0</v>
      </c>
      <c r="CO236" s="712">
        <f t="shared" si="775"/>
        <v>12.06</v>
      </c>
      <c r="CP236" s="712">
        <f t="shared" si="776"/>
        <v>12.016238282430146</v>
      </c>
      <c r="CQ236" s="712">
        <f>IF(OR(Sheet1!EN236="FM", Sheet1!EN236="OTHER"),SUM(Sheet1!BK236:'Sheet1'!BM236),0)</f>
        <v>0</v>
      </c>
      <c r="CR236" s="697">
        <f>IF(AND($B236&gt;=$FL236,$B236&lt;=$FM236),MAX($CJ236,Sheet1!EG236,0),MAX($CJ236-(7/36)*$K236,0))</f>
        <v>12.016238282430146</v>
      </c>
      <c r="CS236" s="712">
        <f t="shared" si="777"/>
        <v>0</v>
      </c>
      <c r="CT236" s="697">
        <f t="shared" si="778"/>
        <v>0</v>
      </c>
      <c r="CU236" s="697">
        <f>IF(AND($O236&gt;0,Sheet1!EK236=1),(1-($O236-Sheet1!$L236)/$O236)*CP236,0)</f>
        <v>0</v>
      </c>
      <c r="CV236" s="697">
        <f>IF(AND(Sheet1!$L236=0,Sheet1!$L235=0, Calculation!CO236&lt;Sheet1!$EG236-0.1,Sheet1!$EG236=Sheet1!$EG235,Sheet1!$EG236=Sheet1!$EG237),Sheet1!$EG236,CP236-CU236)</f>
        <v>12.016238282430146</v>
      </c>
      <c r="CW236" s="697">
        <f t="shared" si="721"/>
        <v>0</v>
      </c>
      <c r="CX236" s="712">
        <f t="shared" si="779"/>
        <v>18.77</v>
      </c>
      <c r="CY236" s="712">
        <f t="shared" si="780"/>
        <v>492.52952914402493</v>
      </c>
      <c r="CZ236" s="712">
        <f t="shared" si="781"/>
        <v>18.701889930448907</v>
      </c>
      <c r="DA236" s="712">
        <f ca="1">IF(B236&gt;Summary!$A$1,#N/A,CY236*MGtoAF)</f>
        <v>1511.0805954138684</v>
      </c>
      <c r="DB236" s="712">
        <f t="shared" si="782"/>
        <v>18.77</v>
      </c>
      <c r="DC236" s="712">
        <f t="shared" si="783"/>
        <v>33.07</v>
      </c>
      <c r="DD236" s="712">
        <f>Sheet1!AB236-DC236</f>
        <v>-0.12000000000291067</v>
      </c>
      <c r="DE236" s="712">
        <f t="shared" si="784"/>
        <v>-3.6286664651621007E-3</v>
      </c>
      <c r="DF236" s="712">
        <f>(VLOOKUP(Sheet1!CY236,hhdcap_wcm,4)-(((VLOOKUP(Sheet1!CY236,hhdcap_wcm,3)-Sheet1!CY236)/(VLOOKUP(Sheet1!CY236,hhdcap_wcm,3)-VLOOKUP(Sheet1!CY236,hhdcap_wcm,1)))*(VLOOKUP(Sheet1!CY236,hhdcap_wcm,4)-VLOOKUP(Sheet1!CY236,hhdcap_wcm,2))))</f>
        <v>39427.160000095551</v>
      </c>
      <c r="DG236" s="712">
        <f t="shared" si="785"/>
        <v>-160.48000000022876</v>
      </c>
      <c r="DH236" s="712">
        <f t="shared" si="786"/>
        <v>-80.927887039953973</v>
      </c>
      <c r="DI236" s="712">
        <f>Sheet1!DW236*AFtoMG</f>
        <v>0</v>
      </c>
      <c r="DJ236" s="712">
        <f>Sheet1!DX236*AFtoMG</f>
        <v>0</v>
      </c>
      <c r="DK236" s="712">
        <f>Sheet1!DY236*AFtoMG</f>
        <v>0</v>
      </c>
      <c r="DL236" s="712">
        <f>Sheet1!DZ236*AFtoMG</f>
        <v>0</v>
      </c>
      <c r="DM236" s="712">
        <f t="shared" si="787"/>
        <v>0</v>
      </c>
      <c r="DN236" s="712">
        <f t="shared" si="788"/>
        <v>0</v>
      </c>
      <c r="DO236" s="712">
        <f t="shared" si="789"/>
        <v>3025.7914280119599</v>
      </c>
      <c r="DP236" s="712">
        <f t="shared" si="790"/>
        <v>9283.1281011406936</v>
      </c>
      <c r="DQ236" s="712"/>
      <c r="DR236" s="697">
        <f>IF(OR(B236&lt;FL236,B236&gt;FM236),(MIN(AV236+BO236+CJ236+MAX(Sheet1!AA236+AG236-73,0),K236)),0)</f>
        <v>0</v>
      </c>
      <c r="DS236" s="712"/>
      <c r="DT236" s="712">
        <f t="shared" si="791"/>
        <v>18.701889930448907</v>
      </c>
      <c r="DU236" s="712"/>
      <c r="DV236" s="712">
        <f>Sheet1!ED236+Sheet1!EE236+Sheet1!EF236+Sheet1!EG236</f>
        <v>20</v>
      </c>
      <c r="DW236" s="712"/>
      <c r="DX236" s="697">
        <f t="shared" si="792"/>
        <v>0</v>
      </c>
      <c r="DY236" s="712">
        <f>IF(Sheet1!FN236=1,SUM('Calculations II'!AT236:BA236)+'Calculations II'!BC236+Sheet1!BU236+'Calculations II'!BE236+AF236,SUM('Calculations II'!AT236:BA236)+'Calculations II'!BC236+Sheet1!BU236+'Calculations II'!BE236+AF236)</f>
        <v>67.868880000000004</v>
      </c>
      <c r="DZ236" s="712">
        <f>Sheet1!AA236+Sheet1!AB236+'Calculations II'!BC236</f>
        <v>88.955904000002917</v>
      </c>
      <c r="EA236" s="712"/>
      <c r="EB236" s="712"/>
      <c r="EC236" s="712">
        <f t="shared" si="793"/>
        <v>40765</v>
      </c>
      <c r="ED236" s="712">
        <f t="shared" si="794"/>
        <v>-20.016238282430145</v>
      </c>
      <c r="EE236" s="712">
        <f t="shared" si="795"/>
        <v>-30.965120622919432</v>
      </c>
      <c r="EF236" s="712">
        <f>-(VLOOKUP(Sheet1!BQ236,Lookup!$B$4:$J$236,2)-VLOOKUP(Sheet1!BQ235,Lookup!$B$4:$J$236,2))/1000000</f>
        <v>-0.54759999999999998</v>
      </c>
      <c r="EG236" s="712">
        <f>-(VLOOKUP(Sheet1!BR236,Lookup!$B$4:$J$236,3)-VLOOKUP(Sheet1!BR235,Lookup!$B$4:$J$236,3))/1000000</f>
        <v>-0.54679999999999995</v>
      </c>
      <c r="EH236" s="712">
        <f>-(VLOOKUP(Sheet1!BS236,Lookup!$B$4:$J$236,4)-VLOOKUP(Sheet1!BS235,Lookup!$B$4:$J$236,4))/1000000</f>
        <v>0</v>
      </c>
      <c r="EI236" s="697">
        <f t="shared" si="796"/>
        <v>-1.0943999999999998</v>
      </c>
      <c r="EJ236" s="712"/>
      <c r="EK236" s="712"/>
      <c r="EL236" s="712"/>
      <c r="EM236" s="712"/>
      <c r="EN236" s="712"/>
      <c r="EO236" s="712"/>
      <c r="EP236" s="712"/>
      <c r="EQ236" s="712"/>
      <c r="ET236" s="794">
        <f t="shared" si="720"/>
        <v>1135.2</v>
      </c>
      <c r="EU236" s="697">
        <v>8785</v>
      </c>
      <c r="EV236" s="795">
        <f t="shared" si="734"/>
        <v>20139.031898954858</v>
      </c>
      <c r="EW236" s="796" t="s">
        <v>757</v>
      </c>
      <c r="EX236" s="796" t="s">
        <v>758</v>
      </c>
      <c r="EY236" s="712">
        <f t="shared" si="817"/>
        <v>0</v>
      </c>
      <c r="EZ236" s="798">
        <v>21145.000000049597</v>
      </c>
      <c r="FA236" s="712"/>
      <c r="FB236" s="712"/>
      <c r="FC236" s="712"/>
      <c r="FD236" s="712"/>
      <c r="FE236" s="712">
        <f>O236+Sheet1!CO236</f>
        <v>6958.1500000000033</v>
      </c>
      <c r="FF236" s="712">
        <f>IF(Sheet1!AA236+AG236&lt;=Calculation!N236,AG236,Calculation!N236-Sheet1!AA236)</f>
        <v>14.248110069548183</v>
      </c>
      <c r="FG236" s="712">
        <f>(Sheet1!BP236+Sheet1!BO236)/694.4</f>
        <v>4.2851382488479262</v>
      </c>
      <c r="FH236" s="712"/>
      <c r="FI236" s="712"/>
      <c r="FJ236" s="712"/>
      <c r="FK236" s="712"/>
      <c r="FL236" s="714">
        <f t="shared" si="726"/>
        <v>40753</v>
      </c>
      <c r="FM236" s="714">
        <f t="shared" si="727"/>
        <v>40851</v>
      </c>
      <c r="FN236" s="712"/>
      <c r="FO236" s="712"/>
      <c r="FP236" s="712"/>
      <c r="FQ236" s="712"/>
      <c r="FR236" s="712"/>
      <c r="FS236" s="725">
        <f t="shared" si="816"/>
        <v>40603</v>
      </c>
      <c r="FT236" s="714">
        <f t="shared" si="729"/>
        <v>40709</v>
      </c>
      <c r="FU236" s="712">
        <f t="shared" si="816"/>
        <v>6518.9048239895692</v>
      </c>
      <c r="FV236" s="714">
        <f t="shared" si="730"/>
        <v>40722</v>
      </c>
      <c r="FW236" s="712">
        <f t="shared" si="816"/>
        <v>3259.4524119947846</v>
      </c>
      <c r="FX236" s="725">
        <f t="shared" si="816"/>
        <v>40851</v>
      </c>
      <c r="FZ236" s="697">
        <f t="shared" si="722"/>
        <v>0</v>
      </c>
      <c r="GA236" s="712" t="str">
        <f t="shared" si="797"/>
        <v/>
      </c>
      <c r="GB236" s="712">
        <f t="shared" si="798"/>
        <v>0</v>
      </c>
      <c r="GC236" s="712" t="str">
        <f t="shared" si="799"/>
        <v/>
      </c>
      <c r="GD236" s="712">
        <f>IF(GA236="P",Lookup!$M$12,IF(GA236="PP",Lookup!$M$13,IF(GA236="PPP",Lookup!$M$14,IF(GA236="T",Lookup!$M$15,IF(GA236="TP",Lookup!$M$16,IF(GA236="TPP",Lookup!$M$17,IF(GA236="TPPP",Lookup!$M$18,0)))))))*FZ236</f>
        <v>0</v>
      </c>
      <c r="GE236" s="712">
        <f t="shared" si="800"/>
        <v>0</v>
      </c>
      <c r="GF236" s="712">
        <f t="shared" si="801"/>
        <v>4166.6666666666661</v>
      </c>
      <c r="GG236" s="712">
        <f t="shared" si="802"/>
        <v>1358.1051716644936</v>
      </c>
      <c r="GH236" s="712"/>
      <c r="GI236" s="712">
        <f t="shared" si="803"/>
        <v>0</v>
      </c>
      <c r="GJ236" s="712" t="str">
        <f t="shared" si="804"/>
        <v/>
      </c>
      <c r="GK236" s="712">
        <f>IF(GA236="P",Lookup!$N$12,IF(GA236="PP",Lookup!$N$13,IF(GA236="PPP",Lookup!$N$14,IF(GA236="T",Lookup!$N$15,IF(GA236="TP",Lookup!$N$16,IF(GA236="TPP",Lookup!$N$17,IF(GA236="TPPP",Lookup!$N$18,0)))))))*FZ236</f>
        <v>0</v>
      </c>
      <c r="GL236" s="712">
        <f t="shared" si="805"/>
        <v>0</v>
      </c>
      <c r="GM236" s="712">
        <f t="shared" si="806"/>
        <v>1846.0979999999997</v>
      </c>
      <c r="GN236" s="712">
        <f t="shared" si="807"/>
        <v>601.72685788787476</v>
      </c>
      <c r="GO236" s="712"/>
      <c r="GP236" s="712">
        <f t="shared" si="808"/>
        <v>0</v>
      </c>
      <c r="GQ236" s="712" t="str">
        <f t="shared" si="809"/>
        <v/>
      </c>
      <c r="GR236" s="712">
        <f>IF(GA236="P",Lookup!$N$12,IF(GA236="PP",Lookup!$N$13,IF(GA236="PPP",Lookup!$N$14,IF(GA236="T",Lookup!$N$15,IF(GA236="TP",Lookup!$N$16,IF(GA236="TPP",Lookup!$N$17,IF(GA236="TPPP",Lookup!$N$18,0)))))))*FZ236</f>
        <v>0</v>
      </c>
      <c r="GS236" s="697">
        <f t="shared" si="724"/>
        <v>0</v>
      </c>
      <c r="GT236" s="712">
        <f t="shared" si="810"/>
        <v>1759.2828390601594</v>
      </c>
      <c r="GU236" s="712">
        <f t="shared" si="811"/>
        <v>573.42986931556698</v>
      </c>
      <c r="GV236" s="712"/>
      <c r="GW236" s="712">
        <f t="shared" si="812"/>
        <v>0</v>
      </c>
      <c r="GX236" s="712" t="str">
        <f t="shared" si="813"/>
        <v/>
      </c>
      <c r="GY236" s="712">
        <f>IF(GA236="P",Lookup!$N$12,IF(GA236="PP",Lookup!$N$13,IF(GA236="PPP",Lookup!$N$14,IF(GA236="T",Lookup!$N$15,IF(GA236="TP",Lookup!$N$16,IF(GA236="TPP",Lookup!$N$17,IF(GA236="TPPP",Lookup!$N$18,0)))))))*FZ236</f>
        <v>0</v>
      </c>
      <c r="GZ236" s="697">
        <f t="shared" si="725"/>
        <v>0</v>
      </c>
      <c r="HA236" s="712">
        <f t="shared" si="814"/>
        <v>1511.0805954138684</v>
      </c>
      <c r="HB236" s="712">
        <f t="shared" si="815"/>
        <v>492.52952914402493</v>
      </c>
      <c r="HC236" s="712"/>
    </row>
    <row r="237" spans="1:211">
      <c r="A237" s="773" t="s">
        <v>7</v>
      </c>
      <c r="B237" s="708">
        <v>40766</v>
      </c>
      <c r="C237" s="709">
        <v>0.5</v>
      </c>
      <c r="D237" s="675">
        <f t="shared" si="737"/>
        <v>200</v>
      </c>
      <c r="E237" s="675">
        <f t="shared" si="738"/>
        <v>400</v>
      </c>
      <c r="F237" s="675">
        <v>250</v>
      </c>
      <c r="G237" s="712">
        <f>DH237+Sheet1!CV237</f>
        <v>229.50510590003904</v>
      </c>
      <c r="H237" s="712">
        <f t="shared" si="739"/>
        <v>0</v>
      </c>
      <c r="I237" s="711">
        <f>MAX(Sheet1!Z237-AJ237+(Sheet1!CW237-E237)*CFStoMGD,0)</f>
        <v>2.4987441860465012</v>
      </c>
      <c r="J237" s="720">
        <f>IF(AND(B237&gt;=Calculation!FS237,B237&lt;=Calculation!FT237),IF(Sheet1!CX237&gt;=Calculation!D237,64.64,0),MAX(Sheet1!Z237-AJ237+(Sheet1!CX237-D237)*CFStoMGD,0))</f>
        <v>16.78014418604652</v>
      </c>
      <c r="K237" s="697">
        <f t="shared" si="740"/>
        <v>0</v>
      </c>
      <c r="L237" s="712">
        <f>Sheet1!AA237+Sheet1!AB237-Sheet1!L237+(Sheet1!CW237-F237)*CFStoMGD</f>
        <v>158.08866666666142</v>
      </c>
      <c r="M237" s="712">
        <f t="shared" si="741"/>
        <v>151.31914246286095</v>
      </c>
      <c r="N237" s="712">
        <f>IF(Sheet1!CW237&gt;=F237,MIN(73,MIN(MAX(L237,0),MAX(M237,0))),0)</f>
        <v>73</v>
      </c>
      <c r="O237" s="721">
        <f>Sheet1!AA237+Sheet1!AB237</f>
        <v>77.759999999994761</v>
      </c>
      <c r="P237" s="721">
        <f t="shared" si="742"/>
        <v>120.29471999999188</v>
      </c>
      <c r="Q237" s="712">
        <f>MIN(N237,Sheet1!AA237+AG237)</f>
        <v>59.849922480614914</v>
      </c>
      <c r="R237" s="712">
        <f t="shared" si="743"/>
        <v>20</v>
      </c>
      <c r="S237" s="721">
        <f>Sheet1!Y237*MGDtoCFS</f>
        <v>70.837130000000002</v>
      </c>
      <c r="T237" s="721">
        <f>Sheet1!Z237*MGDtoCFS</f>
        <v>51.391339999999992</v>
      </c>
      <c r="U237" s="721">
        <f>Sheet1!AA237*MGDtoCFS</f>
        <v>70.790719999991893</v>
      </c>
      <c r="V237" s="721">
        <f>Sheet1!AB237*MGDtoCFS</f>
        <v>49.503999999999998</v>
      </c>
      <c r="W237" s="721">
        <f>Sheet1!L237*MGDtoCFS</f>
        <v>0</v>
      </c>
      <c r="X237" s="697">
        <f t="shared" si="744"/>
        <v>20</v>
      </c>
      <c r="Y237" s="712">
        <f t="shared" si="745"/>
        <v>30.939999999999998</v>
      </c>
      <c r="Z237" s="712">
        <f t="shared" si="746"/>
        <v>0</v>
      </c>
      <c r="AA237" s="712">
        <f t="shared" si="747"/>
        <v>0</v>
      </c>
      <c r="AB237" s="712">
        <f>(VLOOKUP(Sheet1!CY237,hhdcap_wcm,4)-(((VLOOKUP(Sheet1!CY237,hhdcap_wcm,3)-Sheet1!CY237)/(VLOOKUP(Sheet1!CY237,hhdcap_wcm,3)-VLOOKUP(Sheet1!CY237,hhdcap_wcm,1)))*(VLOOKUP(Sheet1!CY237,hhdcap_wcm,4)-VLOOKUP(Sheet1!CY237,hhdcap_wcm,2))))</f>
        <v>39276.710000095329</v>
      </c>
      <c r="AC237" s="712">
        <f t="shared" si="748"/>
        <v>-150.45000000022264</v>
      </c>
      <c r="AD237" s="712">
        <f t="shared" si="749"/>
        <v>3005.7914280119599</v>
      </c>
      <c r="AE237" s="712">
        <f t="shared" si="750"/>
        <v>9221.768101140693</v>
      </c>
      <c r="AF237" s="712">
        <f>Sheet1!BA237+Sheet1!BB237+Sheet1!BN237+BT237</f>
        <v>14.2</v>
      </c>
      <c r="AG237" s="712">
        <f t="shared" si="751"/>
        <v>14.089922480620155</v>
      </c>
      <c r="AH237" s="712">
        <f>Sheet1!BA237+BT237</f>
        <v>0</v>
      </c>
      <c r="AI237" s="712">
        <f>Sheet1!BA237+Sheet1!BB237+BT237</f>
        <v>0</v>
      </c>
      <c r="AJ237" s="712">
        <f>IF((Sheet1!AA237+AG237+AX237+AZ237+BQ237+BS237+CL237+CN237)&lt;=N237,AG237+AX237+AZ237+BQ237+BS237+CL237+CN237,N237-Sheet1!AA237)</f>
        <v>14.089922480620155</v>
      </c>
      <c r="AK237" s="712">
        <f>IF(DR237&lt;K237,0,MAX(Sheet1!AA237+AG237-15/36*K237-N237,Sheet1!ED237,0))</f>
        <v>0</v>
      </c>
      <c r="AL237" s="712">
        <f>IF(OR(B237&gt;=FT237,B237&lt;FS237),0,15/36*K237-MAX(0,64.6-(137.6-(Sheet1!AA237+Sheet1!AB237))))</f>
        <v>0</v>
      </c>
      <c r="AM237" s="712">
        <f>Sheet1!CX237-110</f>
        <v>86.364583333333343</v>
      </c>
      <c r="AN237" s="712">
        <f>Sheet1!CW237-265</f>
        <v>109.27083333333331</v>
      </c>
      <c r="AO237" s="712">
        <f t="shared" si="733"/>
        <v>13.150077519385086</v>
      </c>
      <c r="AP237" s="712">
        <f t="shared" si="752"/>
        <v>0</v>
      </c>
      <c r="AQ237" s="712">
        <f t="shared" si="753"/>
        <v>0</v>
      </c>
      <c r="AR237" s="712">
        <f t="shared" si="754"/>
        <v>1358.1051716644936</v>
      </c>
      <c r="AS237" s="712"/>
      <c r="AT237" s="712">
        <f ca="1">IF(B237&gt;Summary!$A$1,#N/A,AR237*MGtoAF)</f>
        <v>4166.6666666666661</v>
      </c>
      <c r="AU237" s="712">
        <f>Sheet1!BG237+Sheet1!BH237+Sheet1!BI237-BC237</f>
        <v>1.98</v>
      </c>
      <c r="AV237" s="712">
        <f t="shared" si="755"/>
        <v>1.9646511627906977</v>
      </c>
      <c r="AW237" s="712">
        <f>IF(Sheet1!EL237="FM",BC237,0)</f>
        <v>0</v>
      </c>
      <c r="AX237" s="712">
        <f t="shared" si="756"/>
        <v>0</v>
      </c>
      <c r="AY237" s="712">
        <f>IF(Sheet1!EL237="OTHER",BC237,0)</f>
        <v>0</v>
      </c>
      <c r="AZ237" s="712">
        <f t="shared" si="757"/>
        <v>0</v>
      </c>
      <c r="BA237" s="712">
        <f t="shared" si="758"/>
        <v>1.98</v>
      </c>
      <c r="BB237" s="712">
        <f t="shared" si="759"/>
        <v>1.9646511627906977</v>
      </c>
      <c r="BC237" s="712">
        <f>IF(OR(Sheet1!EL237="FM", Sheet1!EL237="OTHER"),SUM(Sheet1!BG237:'Sheet1'!BI237),0)</f>
        <v>0</v>
      </c>
      <c r="BD237" s="697">
        <f>IF(AND($B237&gt;=$FL237,$B237&lt;=$FM237),MAX(AV237,Sheet1!EE237,0),MAX(AV237-(7/36)*$K237,0))</f>
        <v>3</v>
      </c>
      <c r="BE237" s="712">
        <f t="shared" si="760"/>
        <v>0</v>
      </c>
      <c r="BF237" s="697">
        <f t="shared" si="761"/>
        <v>0</v>
      </c>
      <c r="BG237" s="697">
        <f>IF(AND($O237&gt;0,Sheet1!EI237=1),(1-($O237-Sheet1!$L237)/$O237)*BB237,0)</f>
        <v>0</v>
      </c>
      <c r="BH237" s="697">
        <f>IF(AND(Sheet1!$L237=0,Sheet1!$L236=0, Calculation!BA237&lt;Sheet1!$EE237-0.1,Sheet1!$EE237=Sheet1!$EE236,Sheet1!$EE237=Sheet1!$EE238),Sheet1!$EE237,BB237-BG237)</f>
        <v>1.9646511627906977</v>
      </c>
      <c r="BI237" s="712"/>
      <c r="BJ237" s="712"/>
      <c r="BK237" s="712">
        <f t="shared" si="762"/>
        <v>598.72685788787476</v>
      </c>
      <c r="BL237" s="712"/>
      <c r="BM237" s="712">
        <f ca="1">IF(B237&gt;Summary!$A$1,#N/A,BK237*MGtoAF)</f>
        <v>1836.8939999999998</v>
      </c>
      <c r="BN237" s="712">
        <f>Sheet1!BC237+Sheet1!BD237+Sheet1!BE237+Sheet1!BF237-BW237-BX237</f>
        <v>4.0199999999999996</v>
      </c>
      <c r="BO237" s="712">
        <f t="shared" si="763"/>
        <v>3.988837209302325</v>
      </c>
      <c r="BP237" s="712">
        <f>IF(Sheet1!EM237="FM",BX237,0)</f>
        <v>0</v>
      </c>
      <c r="BQ237" s="712">
        <f t="shared" si="764"/>
        <v>0</v>
      </c>
      <c r="BR237" s="712">
        <f>IF(Sheet1!EM237="OTHER",BX237,0)</f>
        <v>0</v>
      </c>
      <c r="BS237" s="712">
        <f t="shared" si="765"/>
        <v>0</v>
      </c>
      <c r="BT237" s="712">
        <f t="shared" si="766"/>
        <v>0</v>
      </c>
      <c r="BU237" s="712">
        <f t="shared" si="767"/>
        <v>4.0199999999999996</v>
      </c>
      <c r="BV237" s="712">
        <f t="shared" si="768"/>
        <v>3.988837209302325</v>
      </c>
      <c r="BW237" s="712">
        <f>IF(Sheet1!EM237="CWA",SUM(Sheet1!BC237:'Sheet1'!BF237),0)</f>
        <v>0</v>
      </c>
      <c r="BX237" s="712">
        <f>IF(OR(Sheet1!EM237="FM", Sheet1!EM237="OTHER"),SUM(Sheet1!BC237:'Sheet1'!BF237),0)</f>
        <v>0</v>
      </c>
      <c r="BY237" s="697">
        <f>IF(AND($B237&gt;=$FL237,$B237&lt;=$FM237),MAX(BV237,Sheet1!EF237,0),MAX(BV237-(7/36)*$K237,0))</f>
        <v>5</v>
      </c>
      <c r="BZ237" s="712">
        <f t="shared" si="769"/>
        <v>0</v>
      </c>
      <c r="CA237" s="697">
        <f t="shared" si="770"/>
        <v>0</v>
      </c>
      <c r="CB237" s="697">
        <f>IF(AND($O237&gt;0,Sheet1!EJ237=1),(1-($O237-Sheet1!$L237)/$O237)*BV237,0)</f>
        <v>0</v>
      </c>
      <c r="CC237" s="697">
        <f>IF(AND(Sheet1!$L237=0,Sheet1!$L236=0, Calculation!BU237&lt;Sheet1!EF237-0.1,Sheet1!EF237=Sheet1!EF236,Sheet1!EF237=Sheet1!EF238),Sheet1!EF237,BV237-CB237)</f>
        <v>5</v>
      </c>
      <c r="CD237" s="697"/>
      <c r="CE237" s="712"/>
      <c r="CF237" s="712">
        <f t="shared" si="771"/>
        <v>568.42986931556698</v>
      </c>
      <c r="CG237" s="712"/>
      <c r="CH237" s="712">
        <f ca="1">IF(B237&gt;Summary!$A$1,#N/A,CF237*MGtoAF)</f>
        <v>1743.9428390601595</v>
      </c>
      <c r="CI237" s="712">
        <f>Sheet1!BK237+Sheet1!BL237+Sheet1!BM237-Sheet1!EN237-CQ237</f>
        <v>12.05</v>
      </c>
      <c r="CJ237" s="712">
        <f t="shared" si="772"/>
        <v>11.956589147286822</v>
      </c>
      <c r="CK237" s="712">
        <f>IF(Sheet1!EN237="FM",CQ237,0)</f>
        <v>0</v>
      </c>
      <c r="CL237" s="712">
        <f t="shared" si="773"/>
        <v>0</v>
      </c>
      <c r="CM237" s="712">
        <f>IF(Sheet1!EN237="OTHER",CQ237,0)</f>
        <v>0</v>
      </c>
      <c r="CN237" s="712">
        <f t="shared" si="774"/>
        <v>0</v>
      </c>
      <c r="CO237" s="712">
        <f t="shared" si="775"/>
        <v>12.05</v>
      </c>
      <c r="CP237" s="712">
        <f t="shared" si="776"/>
        <v>11.956589147286822</v>
      </c>
      <c r="CQ237" s="712">
        <f>IF(OR(Sheet1!EN237="FM", Sheet1!EN237="OTHER"),SUM(Sheet1!BK237:'Sheet1'!BM237),0)</f>
        <v>0</v>
      </c>
      <c r="CR237" s="697">
        <f>IF(AND($B237&gt;=$FL237,$B237&lt;=$FM237),MAX($CJ237,Sheet1!EG237,0),MAX($CJ237-(7/36)*$K237,0))</f>
        <v>12</v>
      </c>
      <c r="CS237" s="712">
        <f t="shared" si="777"/>
        <v>0</v>
      </c>
      <c r="CT237" s="697">
        <f t="shared" si="778"/>
        <v>0</v>
      </c>
      <c r="CU237" s="697">
        <f>IF(AND($O237&gt;0,Sheet1!EK237=1),(1-($O237-Sheet1!$L237)/$O237)*CP237,0)</f>
        <v>0</v>
      </c>
      <c r="CV237" s="697">
        <f>IF(AND(Sheet1!$L237=0,Sheet1!$L236=0, Calculation!CO237&lt;Sheet1!$EG237-0.1,Sheet1!$EG237=Sheet1!$EG236,Sheet1!$EG237=Sheet1!$EG238),Sheet1!$EG237,CP237-CU237)</f>
        <v>11.956589147286822</v>
      </c>
      <c r="CW237" s="697">
        <f t="shared" si="721"/>
        <v>0</v>
      </c>
      <c r="CX237" s="712">
        <f t="shared" si="779"/>
        <v>18.05</v>
      </c>
      <c r="CY237" s="712">
        <f t="shared" si="780"/>
        <v>480.52952914402493</v>
      </c>
      <c r="CZ237" s="712">
        <f t="shared" si="781"/>
        <v>17.910077519379847</v>
      </c>
      <c r="DA237" s="712">
        <f ca="1">IF(B237&gt;Summary!$A$1,#N/A,CY237*MGtoAF)</f>
        <v>1474.2645954138686</v>
      </c>
      <c r="DB237" s="712">
        <f t="shared" si="782"/>
        <v>18.05</v>
      </c>
      <c r="DC237" s="712">
        <f t="shared" si="783"/>
        <v>32.25</v>
      </c>
      <c r="DD237" s="712">
        <f>Sheet1!AB237-DC237</f>
        <v>-0.25</v>
      </c>
      <c r="DE237" s="712">
        <f t="shared" si="784"/>
        <v>-7.7519379844961239E-3</v>
      </c>
      <c r="DF237" s="712">
        <f>(VLOOKUP(Sheet1!CY237,hhdcap_wcm,4)-(((VLOOKUP(Sheet1!CY237,hhdcap_wcm,3)-Sheet1!CY237)/(VLOOKUP(Sheet1!CY237,hhdcap_wcm,3)-VLOOKUP(Sheet1!CY237,hhdcap_wcm,1)))*(VLOOKUP(Sheet1!CY237,hhdcap_wcm,4)-VLOOKUP(Sheet1!CY237,hhdcap_wcm,2))))</f>
        <v>39276.710000095329</v>
      </c>
      <c r="DG237" s="712">
        <f t="shared" si="785"/>
        <v>-150.45000000022264</v>
      </c>
      <c r="DH237" s="712">
        <f t="shared" si="786"/>
        <v>-75.869894099960973</v>
      </c>
      <c r="DI237" s="712">
        <f>Sheet1!DW237*AFtoMG</f>
        <v>0</v>
      </c>
      <c r="DJ237" s="712">
        <f>Sheet1!DX237*AFtoMG</f>
        <v>0</v>
      </c>
      <c r="DK237" s="712">
        <f>Sheet1!DY237*AFtoMG</f>
        <v>0</v>
      </c>
      <c r="DL237" s="712">
        <f>Sheet1!DZ237*AFtoMG</f>
        <v>0</v>
      </c>
      <c r="DM237" s="712">
        <f t="shared" si="787"/>
        <v>0</v>
      </c>
      <c r="DN237" s="712">
        <f t="shared" si="788"/>
        <v>0</v>
      </c>
      <c r="DO237" s="712">
        <f t="shared" si="789"/>
        <v>3005.7914280119599</v>
      </c>
      <c r="DP237" s="712">
        <f t="shared" si="790"/>
        <v>9221.768101140693</v>
      </c>
      <c r="DQ237" s="712"/>
      <c r="DR237" s="697">
        <f>IF(OR(B237&lt;FL237,B237&gt;FM237),(MIN(AV237+BO237+CJ237+MAX(Sheet1!AA237+AG237-73,0),K237)),0)</f>
        <v>0</v>
      </c>
      <c r="DS237" s="712"/>
      <c r="DT237" s="712">
        <f t="shared" si="791"/>
        <v>17.910077519379847</v>
      </c>
      <c r="DU237" s="712"/>
      <c r="DV237" s="712">
        <f>Sheet1!ED237+Sheet1!EE237+Sheet1!EF237+Sheet1!EG237</f>
        <v>20</v>
      </c>
      <c r="DW237" s="712"/>
      <c r="DX237" s="697">
        <f t="shared" si="792"/>
        <v>0</v>
      </c>
      <c r="DY237" s="712">
        <f>IF(Sheet1!FN237=1,SUM('Calculations II'!AT237:BA237)+'Calculations II'!BC237+Sheet1!BU237+'Calculations II'!BE237+AF237,SUM('Calculations II'!AT237:BA237)+'Calculations II'!BC237+Sheet1!BU237+'Calculations II'!BE237+AF237)</f>
        <v>67.567632000000003</v>
      </c>
      <c r="DZ237" s="712">
        <f>Sheet1!AA237+Sheet1!AB237+'Calculations II'!BC237</f>
        <v>87.470639999994759</v>
      </c>
      <c r="EA237" s="712"/>
      <c r="EB237" s="712"/>
      <c r="EC237" s="712">
        <f t="shared" si="793"/>
        <v>40766</v>
      </c>
      <c r="ED237" s="712">
        <f t="shared" si="794"/>
        <v>-20</v>
      </c>
      <c r="EE237" s="712">
        <f t="shared" si="795"/>
        <v>-30.939999999999998</v>
      </c>
      <c r="EF237" s="712">
        <f>-(VLOOKUP(Sheet1!BQ237,Lookup!$B$4:$J$236,2)-VLOOKUP(Sheet1!BQ236,Lookup!$B$4:$J$236,2))/1000000</f>
        <v>-0.82140000000000002</v>
      </c>
      <c r="EG237" s="712">
        <f>-(VLOOKUP(Sheet1!BR237,Lookup!$B$4:$J$236,3)-VLOOKUP(Sheet1!BR236,Lookup!$B$4:$J$236,3))/1000000</f>
        <v>-0.82020000000000004</v>
      </c>
      <c r="EH237" s="712">
        <f>-(VLOOKUP(Sheet1!BS237,Lookup!$B$4:$J$236,4)-VLOOKUP(Sheet1!BS236,Lookup!$B$4:$J$236,4))/1000000</f>
        <v>0</v>
      </c>
      <c r="EI237" s="697">
        <f t="shared" si="796"/>
        <v>-1.6415999999999999</v>
      </c>
      <c r="EJ237" s="712"/>
      <c r="EK237" s="712"/>
      <c r="EL237" s="712"/>
      <c r="EM237" s="712"/>
      <c r="EN237" s="712"/>
      <c r="EO237" s="712"/>
      <c r="EP237" s="712"/>
      <c r="EQ237" s="712"/>
      <c r="ET237" s="794">
        <f t="shared" si="720"/>
        <v>1135</v>
      </c>
      <c r="EU237" s="697">
        <v>8785</v>
      </c>
      <c r="EV237" s="795">
        <f t="shared" si="734"/>
        <v>20049.941898954636</v>
      </c>
      <c r="EW237" s="796" t="s">
        <v>757</v>
      </c>
      <c r="EX237" s="796" t="s">
        <v>758</v>
      </c>
      <c r="EY237" s="712">
        <f t="shared" si="817"/>
        <v>0</v>
      </c>
      <c r="EZ237" s="798">
        <v>21017.000000048167</v>
      </c>
      <c r="FA237" s="712"/>
      <c r="FB237" s="712"/>
      <c r="FC237" s="712"/>
      <c r="FD237" s="712"/>
      <c r="FE237" s="712">
        <f>O237+Sheet1!CO237</f>
        <v>6821.2599999999948</v>
      </c>
      <c r="FF237" s="712">
        <f>IF(Sheet1!AA237+AG237&lt;=Calculation!N237,AG237,Calculation!N237-Sheet1!AA237)</f>
        <v>14.089922480620155</v>
      </c>
      <c r="FG237" s="712">
        <f>(Sheet1!BP237+Sheet1!BO237)/694.4</f>
        <v>4.1588421658986174</v>
      </c>
      <c r="FH237" s="712"/>
      <c r="FI237" s="712"/>
      <c r="FJ237" s="712"/>
      <c r="FK237" s="712"/>
      <c r="FL237" s="714">
        <f t="shared" si="726"/>
        <v>40753</v>
      </c>
      <c r="FM237" s="714">
        <f t="shared" si="727"/>
        <v>40851</v>
      </c>
      <c r="FN237" s="712"/>
      <c r="FO237" s="712"/>
      <c r="FP237" s="712"/>
      <c r="FQ237" s="712"/>
      <c r="FR237" s="712"/>
      <c r="FS237" s="725">
        <f t="shared" si="816"/>
        <v>40603</v>
      </c>
      <c r="FT237" s="714">
        <f t="shared" si="729"/>
        <v>40709</v>
      </c>
      <c r="FU237" s="712">
        <f t="shared" si="816"/>
        <v>6518.9048239895692</v>
      </c>
      <c r="FV237" s="714">
        <f t="shared" si="730"/>
        <v>40722</v>
      </c>
      <c r="FW237" s="712">
        <f t="shared" si="816"/>
        <v>3259.4524119947846</v>
      </c>
      <c r="FX237" s="725">
        <f t="shared" si="816"/>
        <v>40851</v>
      </c>
      <c r="FZ237" s="697">
        <f t="shared" si="722"/>
        <v>0</v>
      </c>
      <c r="GA237" s="712" t="str">
        <f t="shared" si="797"/>
        <v/>
      </c>
      <c r="GB237" s="712">
        <f t="shared" si="798"/>
        <v>0</v>
      </c>
      <c r="GC237" s="712" t="str">
        <f t="shared" si="799"/>
        <v/>
      </c>
      <c r="GD237" s="712">
        <f>IF(GA237="P",Lookup!$M$12,IF(GA237="PP",Lookup!$M$13,IF(GA237="PPP",Lookup!$M$14,IF(GA237="T",Lookup!$M$15,IF(GA237="TP",Lookup!$M$16,IF(GA237="TPP",Lookup!$M$17,IF(GA237="TPPP",Lookup!$M$18,0)))))))*FZ237</f>
        <v>0</v>
      </c>
      <c r="GE237" s="712">
        <f t="shared" si="800"/>
        <v>0</v>
      </c>
      <c r="GF237" s="712">
        <f t="shared" si="801"/>
        <v>4166.6666666666661</v>
      </c>
      <c r="GG237" s="712">
        <f t="shared" si="802"/>
        <v>1358.1051716644936</v>
      </c>
      <c r="GH237" s="712"/>
      <c r="GI237" s="712">
        <f t="shared" si="803"/>
        <v>0</v>
      </c>
      <c r="GJ237" s="712" t="str">
        <f t="shared" si="804"/>
        <v/>
      </c>
      <c r="GK237" s="712">
        <f>IF(GA237="P",Lookup!$N$12,IF(GA237="PP",Lookup!$N$13,IF(GA237="PPP",Lookup!$N$14,IF(GA237="T",Lookup!$N$15,IF(GA237="TP",Lookup!$N$16,IF(GA237="TPP",Lookup!$N$17,IF(GA237="TPPP",Lookup!$N$18,0)))))))*FZ237</f>
        <v>0</v>
      </c>
      <c r="GL237" s="712">
        <f t="shared" si="805"/>
        <v>0</v>
      </c>
      <c r="GM237" s="712">
        <f t="shared" si="806"/>
        <v>1836.8939999999998</v>
      </c>
      <c r="GN237" s="712">
        <f t="shared" si="807"/>
        <v>598.72685788787476</v>
      </c>
      <c r="GO237" s="712"/>
      <c r="GP237" s="712">
        <f t="shared" si="808"/>
        <v>0</v>
      </c>
      <c r="GQ237" s="712" t="str">
        <f t="shared" si="809"/>
        <v/>
      </c>
      <c r="GR237" s="712">
        <f>IF(GA237="P",Lookup!$N$12,IF(GA237="PP",Lookup!$N$13,IF(GA237="PPP",Lookup!$N$14,IF(GA237="T",Lookup!$N$15,IF(GA237="TP",Lookup!$N$16,IF(GA237="TPP",Lookup!$N$17,IF(GA237="TPPP",Lookup!$N$18,0)))))))*FZ237</f>
        <v>0</v>
      </c>
      <c r="GS237" s="697">
        <f t="shared" si="724"/>
        <v>0</v>
      </c>
      <c r="GT237" s="712">
        <f t="shared" si="810"/>
        <v>1743.9428390601595</v>
      </c>
      <c r="GU237" s="712">
        <f t="shared" si="811"/>
        <v>568.42986931556698</v>
      </c>
      <c r="GV237" s="712"/>
      <c r="GW237" s="712">
        <f t="shared" si="812"/>
        <v>0</v>
      </c>
      <c r="GX237" s="712" t="str">
        <f t="shared" si="813"/>
        <v/>
      </c>
      <c r="GY237" s="712">
        <f>IF(GA237="P",Lookup!$N$12,IF(GA237="PP",Lookup!$N$13,IF(GA237="PPP",Lookup!$N$14,IF(GA237="T",Lookup!$N$15,IF(GA237="TP",Lookup!$N$16,IF(GA237="TPP",Lookup!$N$17,IF(GA237="TPPP",Lookup!$N$18,0)))))))*FZ237</f>
        <v>0</v>
      </c>
      <c r="GZ237" s="697">
        <f t="shared" si="725"/>
        <v>0</v>
      </c>
      <c r="HA237" s="712">
        <f t="shared" si="814"/>
        <v>1474.2645954138686</v>
      </c>
      <c r="HB237" s="712">
        <f t="shared" si="815"/>
        <v>480.52952914402493</v>
      </c>
      <c r="HC237" s="712"/>
    </row>
    <row r="238" spans="1:211">
      <c r="A238" s="773" t="s">
        <v>8</v>
      </c>
      <c r="B238" s="708">
        <v>40767</v>
      </c>
      <c r="C238" s="719">
        <v>0.5</v>
      </c>
      <c r="D238" s="675">
        <f t="shared" si="737"/>
        <v>200</v>
      </c>
      <c r="E238" s="675">
        <f t="shared" si="738"/>
        <v>400</v>
      </c>
      <c r="F238" s="675">
        <v>250</v>
      </c>
      <c r="G238" s="712">
        <f>DH238+Sheet1!CV238</f>
        <v>226.60476550680511</v>
      </c>
      <c r="H238" s="712">
        <f t="shared" si="739"/>
        <v>0</v>
      </c>
      <c r="I238" s="711">
        <f>MAX(Sheet1!Z238-AJ238+(Sheet1!CW238-E238)*CFStoMGD,0)</f>
        <v>0</v>
      </c>
      <c r="J238" s="720">
        <f>IF(AND(B238&gt;=Calculation!FS238,B238&lt;=Calculation!FT238),IF(Sheet1!CX238&gt;=Calculation!D238,64.64,0),MAX(Sheet1!Z238-AJ238+(Sheet1!CX238-D238)*CFStoMGD,0))</f>
        <v>16.569905692347589</v>
      </c>
      <c r="K238" s="697">
        <f t="shared" si="740"/>
        <v>0</v>
      </c>
      <c r="L238" s="712">
        <f>Sheet1!AA238+Sheet1!AB238-Sheet1!L238+(Sheet1!CW238-F238)*CFStoMGD</f>
        <v>146.06140000000232</v>
      </c>
      <c r="M238" s="712">
        <f t="shared" si="741"/>
        <v>149.40686683207082</v>
      </c>
      <c r="N238" s="712">
        <f>IF(Sheet1!CW238&gt;=F238,MIN(73,MIN(MAX(L238,0),MAX(M238,0))),0)</f>
        <v>73</v>
      </c>
      <c r="O238" s="721">
        <f>Sheet1!AA238+Sheet1!AB238</f>
        <v>72.190000000002328</v>
      </c>
      <c r="P238" s="721">
        <f t="shared" si="742"/>
        <v>111.6779300000036</v>
      </c>
      <c r="Q238" s="712">
        <f>MIN(N238,Sheet1!AA238+AG238)</f>
        <v>54.302827640985157</v>
      </c>
      <c r="R238" s="712">
        <f t="shared" si="743"/>
        <v>18</v>
      </c>
      <c r="S238" s="721">
        <f>Sheet1!Y238*MGDtoCFS</f>
        <v>71.084649999999996</v>
      </c>
      <c r="T238" s="721">
        <f>Sheet1!Z238*MGDtoCFS</f>
        <v>38.891579999999998</v>
      </c>
      <c r="U238" s="721">
        <f>Sheet1!AA238*MGDtoCFS</f>
        <v>72.925579999999101</v>
      </c>
      <c r="V238" s="721">
        <f>Sheet1!AB238*MGDtoCFS</f>
        <v>38.752350000004498</v>
      </c>
      <c r="W238" s="721">
        <f>Sheet1!L238*MGDtoCFS</f>
        <v>0</v>
      </c>
      <c r="X238" s="697">
        <f t="shared" si="744"/>
        <v>18.291401906276135</v>
      </c>
      <c r="Y238" s="712">
        <f t="shared" si="745"/>
        <v>28.296798749009181</v>
      </c>
      <c r="Z238" s="712">
        <f t="shared" si="746"/>
        <v>0</v>
      </c>
      <c r="AA238" s="712">
        <f t="shared" si="747"/>
        <v>0</v>
      </c>
      <c r="AB238" s="712">
        <f>(VLOOKUP(Sheet1!CY238,hhdcap_wcm,4)-(((VLOOKUP(Sheet1!CY238,hhdcap_wcm,3)-Sheet1!CY238)/(VLOOKUP(Sheet1!CY238,hhdcap_wcm,3)-VLOOKUP(Sheet1!CY238,hhdcap_wcm,1)))*(VLOOKUP(Sheet1!CY238,hhdcap_wcm,4)-VLOOKUP(Sheet1!CY238,hhdcap_wcm,2))))</f>
        <v>39136.290000095323</v>
      </c>
      <c r="AC238" s="712">
        <f t="shared" si="748"/>
        <v>-140.42000000000553</v>
      </c>
      <c r="AD238" s="712">
        <f t="shared" si="749"/>
        <v>2987.5000261056839</v>
      </c>
      <c r="AE238" s="712">
        <f t="shared" si="750"/>
        <v>9165.6500800922386</v>
      </c>
      <c r="AF238" s="712">
        <f>Sheet1!BA238+Sheet1!BB238+Sheet1!BN238+BT238</f>
        <v>7.2</v>
      </c>
      <c r="AG238" s="712">
        <f t="shared" si="751"/>
        <v>7.162827640985741</v>
      </c>
      <c r="AH238" s="712">
        <f>Sheet1!BA238+BT238</f>
        <v>0</v>
      </c>
      <c r="AI238" s="712">
        <f>Sheet1!BA238+Sheet1!BB238+BT238</f>
        <v>0</v>
      </c>
      <c r="AJ238" s="712">
        <f>IF((Sheet1!AA238+AG238+AX238+AZ238+BQ238+BS238+CL238+CN238)&lt;=N238,AG238+AX238+AZ238+BQ238+BS238+CL238+CN238,N238-Sheet1!AA238)</f>
        <v>7.162827640985741</v>
      </c>
      <c r="AK238" s="712">
        <f>IF(DR238&lt;K238,0,MAX(Sheet1!AA238+AG238-15/36*K238-N238,Sheet1!ED238,0))</f>
        <v>0</v>
      </c>
      <c r="AL238" s="712">
        <f>IF(OR(B238&gt;=FT238,B238&lt;FS238),0,15/36*K238-MAX(0,64.6-(137.6-(Sheet1!AA238+Sheet1!AB238))))</f>
        <v>0</v>
      </c>
      <c r="AM238" s="712">
        <f>Sheet1!CX238-110</f>
        <v>87.822916666666657</v>
      </c>
      <c r="AN238" s="712">
        <f>Sheet1!CW238-265</f>
        <v>99.28125</v>
      </c>
      <c r="AO238" s="712">
        <f t="shared" si="733"/>
        <v>18.697172359014843</v>
      </c>
      <c r="AP238" s="712">
        <f t="shared" si="752"/>
        <v>0</v>
      </c>
      <c r="AQ238" s="712">
        <f t="shared" si="753"/>
        <v>0</v>
      </c>
      <c r="AR238" s="712">
        <f t="shared" si="754"/>
        <v>1358.1051716644936</v>
      </c>
      <c r="AS238" s="712"/>
      <c r="AT238" s="712">
        <f ca="1">IF(B238&gt;Summary!$A$1,#N/A,AR238*MGtoAF)</f>
        <v>4166.6666666666661</v>
      </c>
      <c r="AU238" s="712">
        <f>Sheet1!BG238+Sheet1!BH238+Sheet1!BI238-BC238</f>
        <v>1.98</v>
      </c>
      <c r="AV238" s="712">
        <f t="shared" si="755"/>
        <v>1.9697776012710788</v>
      </c>
      <c r="AW238" s="712">
        <f>IF(Sheet1!EL238="FM",BC238,0)</f>
        <v>0</v>
      </c>
      <c r="AX238" s="712">
        <f t="shared" si="756"/>
        <v>0</v>
      </c>
      <c r="AY238" s="712">
        <f>IF(Sheet1!EL238="OTHER",BC238,0)</f>
        <v>0</v>
      </c>
      <c r="AZ238" s="712">
        <f t="shared" si="757"/>
        <v>0</v>
      </c>
      <c r="BA238" s="712">
        <f t="shared" si="758"/>
        <v>1.98</v>
      </c>
      <c r="BB238" s="712">
        <f t="shared" si="759"/>
        <v>1.9697776012710788</v>
      </c>
      <c r="BC238" s="712">
        <f>IF(OR(Sheet1!EL238="FM", Sheet1!EL238="OTHER"),SUM(Sheet1!BG238:'Sheet1'!BI238),0)</f>
        <v>0</v>
      </c>
      <c r="BD238" s="697">
        <f>IF(AND($B238&gt;=$FL238,$B238&lt;=$FM238),MAX(AV238,Sheet1!EE238,0),MAX(AV238-(7/36)*$K238,0))</f>
        <v>2</v>
      </c>
      <c r="BE238" s="712">
        <f t="shared" si="760"/>
        <v>0</v>
      </c>
      <c r="BF238" s="697">
        <f t="shared" si="761"/>
        <v>0</v>
      </c>
      <c r="BG238" s="697">
        <f>IF(AND($O238&gt;0,Sheet1!EI238=1),(1-($O238-Sheet1!$L238)/$O238)*BB238,0)</f>
        <v>0</v>
      </c>
      <c r="BH238" s="697">
        <f>IF(AND(Sheet1!$L238=0,Sheet1!$L237=0, Calculation!BA238&lt;Sheet1!$EE238-0.1,Sheet1!$EE238=Sheet1!$EE237,Sheet1!$EE238=Sheet1!$EE239),Sheet1!$EE238,BB238-BG238)</f>
        <v>1.9697776012710788</v>
      </c>
      <c r="BI238" s="712"/>
      <c r="BJ238" s="712"/>
      <c r="BK238" s="712">
        <f t="shared" si="762"/>
        <v>596.72685788787476</v>
      </c>
      <c r="BL238" s="712"/>
      <c r="BM238" s="712">
        <f ca="1">IF(B238&gt;Summary!$A$1,#N/A,BK238*MGtoAF)</f>
        <v>1830.7579999999998</v>
      </c>
      <c r="BN238" s="712">
        <f>Sheet1!BC238+Sheet1!BD238+Sheet1!BE238+Sheet1!BF238-BW238-BX238</f>
        <v>4.6500000000000004</v>
      </c>
      <c r="BO238" s="712">
        <f t="shared" si="763"/>
        <v>4.6259928514699578</v>
      </c>
      <c r="BP238" s="712">
        <f>IF(Sheet1!EM238="FM",BX238,0)</f>
        <v>0</v>
      </c>
      <c r="BQ238" s="712">
        <f t="shared" si="764"/>
        <v>0</v>
      </c>
      <c r="BR238" s="712">
        <f>IF(Sheet1!EM238="OTHER",BX238,0)</f>
        <v>0</v>
      </c>
      <c r="BS238" s="712">
        <f t="shared" si="765"/>
        <v>0</v>
      </c>
      <c r="BT238" s="712">
        <f t="shared" si="766"/>
        <v>0</v>
      </c>
      <c r="BU238" s="712">
        <f t="shared" si="767"/>
        <v>4.6500000000000004</v>
      </c>
      <c r="BV238" s="712">
        <f t="shared" si="768"/>
        <v>4.6259928514699578</v>
      </c>
      <c r="BW238" s="712">
        <f>IF(Sheet1!EM238="CWA",SUM(Sheet1!BC238:'Sheet1'!BF238),0)</f>
        <v>0</v>
      </c>
      <c r="BX238" s="712">
        <f>IF(OR(Sheet1!EM238="FM", Sheet1!EM238="OTHER"),SUM(Sheet1!BC238:'Sheet1'!BF238),0)</f>
        <v>0</v>
      </c>
      <c r="BY238" s="697">
        <f>IF(AND($B238&gt;=$FL238,$B238&lt;=$FM238),MAX(BV238,Sheet1!EF238,0),MAX(BV238-(7/36)*$K238,0))</f>
        <v>5</v>
      </c>
      <c r="BZ238" s="712">
        <f t="shared" si="769"/>
        <v>0</v>
      </c>
      <c r="CA238" s="697">
        <f t="shared" si="770"/>
        <v>0</v>
      </c>
      <c r="CB238" s="697">
        <f>IF(AND($O238&gt;0,Sheet1!EJ238=1),(1-($O238-Sheet1!$L238)/$O238)*BV238,0)</f>
        <v>0</v>
      </c>
      <c r="CC238" s="697">
        <f>IF(AND(Sheet1!$L238=0,Sheet1!$L237=0, Calculation!BU238&lt;Sheet1!EF238-0.1,Sheet1!EF238=Sheet1!EF237,Sheet1!EF238=Sheet1!EF239),Sheet1!EF238,BV238-CB238)</f>
        <v>5</v>
      </c>
      <c r="CD238" s="697"/>
      <c r="CE238" s="712"/>
      <c r="CF238" s="712">
        <f t="shared" si="771"/>
        <v>563.42986931556698</v>
      </c>
      <c r="CG238" s="712"/>
      <c r="CH238" s="712">
        <f ca="1">IF(B238&gt;Summary!$A$1,#N/A,CF238*MGtoAF)</f>
        <v>1728.6028390601596</v>
      </c>
      <c r="CI238" s="712">
        <f>Sheet1!BK238+Sheet1!BL238+Sheet1!BM238-Sheet1!EN238-CQ238</f>
        <v>11.35</v>
      </c>
      <c r="CJ238" s="712">
        <f t="shared" si="772"/>
        <v>11.291401906276134</v>
      </c>
      <c r="CK238" s="712">
        <f>IF(Sheet1!EN238="FM",CQ238,0)</f>
        <v>0</v>
      </c>
      <c r="CL238" s="712">
        <f t="shared" si="773"/>
        <v>0</v>
      </c>
      <c r="CM238" s="712">
        <f>IF(Sheet1!EN238="OTHER",CQ238,0)</f>
        <v>0</v>
      </c>
      <c r="CN238" s="712">
        <f t="shared" si="774"/>
        <v>0</v>
      </c>
      <c r="CO238" s="712">
        <f t="shared" si="775"/>
        <v>11.35</v>
      </c>
      <c r="CP238" s="712">
        <f t="shared" si="776"/>
        <v>11.291401906276134</v>
      </c>
      <c r="CQ238" s="712">
        <f>IF(OR(Sheet1!EN238="FM", Sheet1!EN238="OTHER"),SUM(Sheet1!BK238:'Sheet1'!BM238),0)</f>
        <v>0</v>
      </c>
      <c r="CR238" s="697">
        <f>IF(AND($B238&gt;=$FL238,$B238&lt;=$FM238),MAX($CJ238,Sheet1!EG238,0),MAX($CJ238-(7/36)*$K238,0))</f>
        <v>11.291401906276134</v>
      </c>
      <c r="CS238" s="712">
        <f t="shared" si="777"/>
        <v>0</v>
      </c>
      <c r="CT238" s="697">
        <f t="shared" si="778"/>
        <v>0</v>
      </c>
      <c r="CU238" s="697">
        <f>IF(AND($O238&gt;0,Sheet1!EK238=1),(1-($O238-Sheet1!$L238)/$O238)*CP238,0)</f>
        <v>0</v>
      </c>
      <c r="CV238" s="697">
        <f>IF(AND(Sheet1!$L238=0,Sheet1!$L237=0, Calculation!CO238&lt;Sheet1!$EG238-0.1,Sheet1!$EG238=Sheet1!$EG237,Sheet1!$EG238=Sheet1!$EG239),Sheet1!$EG238,CP238-CU238)</f>
        <v>11.291401906276134</v>
      </c>
      <c r="CW238" s="697">
        <f t="shared" si="721"/>
        <v>0</v>
      </c>
      <c r="CX238" s="712">
        <f t="shared" si="779"/>
        <v>17.98</v>
      </c>
      <c r="CY238" s="712">
        <f t="shared" si="780"/>
        <v>469.23812723774881</v>
      </c>
      <c r="CZ238" s="712">
        <f t="shared" si="781"/>
        <v>17.887172359017171</v>
      </c>
      <c r="DA238" s="712">
        <f ca="1">IF(B238&gt;Summary!$A$1,#N/A,CY238*MGtoAF)</f>
        <v>1439.6225743654134</v>
      </c>
      <c r="DB238" s="712">
        <f t="shared" si="782"/>
        <v>17.98</v>
      </c>
      <c r="DC238" s="712">
        <f t="shared" si="783"/>
        <v>25.18</v>
      </c>
      <c r="DD238" s="712">
        <f>Sheet1!AB238-DC238</f>
        <v>-0.12999999999708933</v>
      </c>
      <c r="DE238" s="712">
        <f t="shared" si="784"/>
        <v>-5.1628276408693143E-3</v>
      </c>
      <c r="DF238" s="712">
        <f>(VLOOKUP(Sheet1!CY238,hhdcap_wcm,4)-(((VLOOKUP(Sheet1!CY238,hhdcap_wcm,3)-Sheet1!CY238)/(VLOOKUP(Sheet1!CY238,hhdcap_wcm,3)-VLOOKUP(Sheet1!CY238,hhdcap_wcm,1)))*(VLOOKUP(Sheet1!CY238,hhdcap_wcm,4)-VLOOKUP(Sheet1!CY238,hhdcap_wcm,2))))</f>
        <v>39136.290000095323</v>
      </c>
      <c r="DG238" s="712">
        <f t="shared" si="785"/>
        <v>-140.42000000000553</v>
      </c>
      <c r="DH238" s="712">
        <f t="shared" si="786"/>
        <v>-70.811901159861577</v>
      </c>
      <c r="DI238" s="712">
        <f>Sheet1!DW238*AFtoMG</f>
        <v>0</v>
      </c>
      <c r="DJ238" s="712">
        <f>Sheet1!DX238*AFtoMG</f>
        <v>0</v>
      </c>
      <c r="DK238" s="712">
        <f>Sheet1!DY238*AFtoMG</f>
        <v>0</v>
      </c>
      <c r="DL238" s="712">
        <f>Sheet1!DZ238*AFtoMG</f>
        <v>0</v>
      </c>
      <c r="DM238" s="712">
        <f t="shared" si="787"/>
        <v>0</v>
      </c>
      <c r="DN238" s="712">
        <f t="shared" si="788"/>
        <v>0</v>
      </c>
      <c r="DO238" s="712">
        <f t="shared" si="789"/>
        <v>2987.5000261056839</v>
      </c>
      <c r="DP238" s="712">
        <f t="shared" si="790"/>
        <v>9165.6500800922386</v>
      </c>
      <c r="DQ238" s="712"/>
      <c r="DR238" s="697">
        <f>IF(OR(B238&lt;FL238,B238&gt;FM238),(MIN(AV238+BO238+CJ238+MAX(Sheet1!AA238+AG238-73,0),K238)),0)</f>
        <v>0</v>
      </c>
      <c r="DS238" s="712"/>
      <c r="DT238" s="712">
        <f t="shared" si="791"/>
        <v>17.887172359017171</v>
      </c>
      <c r="DU238" s="712"/>
      <c r="DV238" s="712">
        <f>Sheet1!ED238+Sheet1!EE238+Sheet1!EF238+Sheet1!EG238</f>
        <v>18</v>
      </c>
      <c r="DW238" s="712"/>
      <c r="DX238" s="697">
        <f t="shared" si="792"/>
        <v>0</v>
      </c>
      <c r="DY238" s="712">
        <f>IF(Sheet1!FN238=1,SUM('Calculations II'!AT238:BA238)+'Calculations II'!BC238+Sheet1!BU238+'Calculations II'!BE238+AF238,SUM('Calculations II'!AT238:BA238)+'Calculations II'!BC238+Sheet1!BU238+'Calculations II'!BE238+AF238)</f>
        <v>68.056432000000001</v>
      </c>
      <c r="DZ238" s="712">
        <f>Sheet1!AA238+Sheet1!AB238+'Calculations II'!BC238</f>
        <v>81.865504000002332</v>
      </c>
      <c r="EA238" s="712"/>
      <c r="EB238" s="712"/>
      <c r="EC238" s="712">
        <f t="shared" si="793"/>
        <v>40767</v>
      </c>
      <c r="ED238" s="712">
        <f t="shared" si="794"/>
        <v>-18.291401906276135</v>
      </c>
      <c r="EE238" s="712">
        <f t="shared" si="795"/>
        <v>-28.296798749009181</v>
      </c>
      <c r="EF238" s="712">
        <f>-(VLOOKUP(Sheet1!BQ238,Lookup!$B$4:$J$236,2)-VLOOKUP(Sheet1!BQ237,Lookup!$B$4:$J$236,2))/1000000</f>
        <v>3.0019</v>
      </c>
      <c r="EG238" s="712">
        <f>-(VLOOKUP(Sheet1!BR238,Lookup!$B$4:$J$236,3)-VLOOKUP(Sheet1!BR237,Lookup!$B$4:$J$236,3))/1000000</f>
        <v>2.9971999999999999</v>
      </c>
      <c r="EH238" s="712">
        <f>-(VLOOKUP(Sheet1!BS238,Lookup!$B$4:$J$236,4)-VLOOKUP(Sheet1!BS237,Lookup!$B$4:$J$236,4))/1000000</f>
        <v>0</v>
      </c>
      <c r="EI238" s="697">
        <f t="shared" si="796"/>
        <v>5.9991000000000003</v>
      </c>
      <c r="EJ238" s="712"/>
      <c r="EK238" s="712"/>
      <c r="EL238" s="712"/>
      <c r="EM238" s="712"/>
      <c r="EN238" s="712"/>
      <c r="EO238" s="712"/>
      <c r="EP238" s="712"/>
      <c r="EQ238" s="712"/>
      <c r="ET238" s="794">
        <f t="shared" ref="ET238:ET301" si="818">VLOOKUP(EZ237,hhdelev_wcm,4) -(((VLOOKUP(EZ237,hhdelev_wcm,3)-EZ237)/(VLOOKUP(EZ237,hhdelev_wcm,3)-VLOOKUP(EZ237,hhdelev_wcm,1)))*(VLOOKUP(EZ237,hhdelev_wcm,4)-VLOOKUP(EZ237,hhdelev_wcm,2)))</f>
        <v>1134.8</v>
      </c>
      <c r="EU238" s="697">
        <v>8785</v>
      </c>
      <c r="EV238" s="795">
        <f t="shared" si="734"/>
        <v>19965.639920003086</v>
      </c>
      <c r="EW238" s="796" t="s">
        <v>757</v>
      </c>
      <c r="EX238" s="796" t="s">
        <v>758</v>
      </c>
      <c r="EY238" s="712">
        <f t="shared" si="817"/>
        <v>0</v>
      </c>
      <c r="EZ238" s="798">
        <v>20889.000000048021</v>
      </c>
      <c r="FA238" s="712"/>
      <c r="FB238" s="712"/>
      <c r="FC238" s="712"/>
      <c r="FD238" s="712"/>
      <c r="FE238" s="712">
        <f>O238+Sheet1!CO238</f>
        <v>6791.2900000000027</v>
      </c>
      <c r="FF238" s="712">
        <f>IF(Sheet1!AA238+AG238&lt;=Calculation!N238,AG238,Calculation!N238-Sheet1!AA238)</f>
        <v>7.162827640985741</v>
      </c>
      <c r="FG238" s="712">
        <f>(Sheet1!BP238+Sheet1!BO238)/694.4</f>
        <v>3.9668778801843319</v>
      </c>
      <c r="FH238" s="712"/>
      <c r="FI238" s="712"/>
      <c r="FJ238" s="712"/>
      <c r="FK238" s="712"/>
      <c r="FL238" s="714">
        <f t="shared" si="726"/>
        <v>40753</v>
      </c>
      <c r="FM238" s="714">
        <f t="shared" si="727"/>
        <v>40851</v>
      </c>
      <c r="FN238" s="712"/>
      <c r="FO238" s="712"/>
      <c r="FP238" s="712"/>
      <c r="FQ238" s="712"/>
      <c r="FR238" s="712"/>
      <c r="FS238" s="725">
        <f t="shared" si="816"/>
        <v>40603</v>
      </c>
      <c r="FT238" s="714">
        <f t="shared" si="729"/>
        <v>40709</v>
      </c>
      <c r="FU238" s="712">
        <f t="shared" si="816"/>
        <v>6518.9048239895692</v>
      </c>
      <c r="FV238" s="714">
        <f t="shared" si="730"/>
        <v>40722</v>
      </c>
      <c r="FW238" s="712">
        <f t="shared" si="816"/>
        <v>3259.4524119947846</v>
      </c>
      <c r="FX238" s="725">
        <f t="shared" si="816"/>
        <v>40851</v>
      </c>
      <c r="FZ238" s="697">
        <f t="shared" si="722"/>
        <v>0</v>
      </c>
      <c r="GA238" s="712" t="str">
        <f t="shared" si="797"/>
        <v/>
      </c>
      <c r="GB238" s="712">
        <f t="shared" si="798"/>
        <v>0</v>
      </c>
      <c r="GC238" s="712" t="str">
        <f t="shared" si="799"/>
        <v/>
      </c>
      <c r="GD238" s="712">
        <f>IF(GA238="P",Lookup!$M$12,IF(GA238="PP",Lookup!$M$13,IF(GA238="PPP",Lookup!$M$14,IF(GA238="T",Lookup!$M$15,IF(GA238="TP",Lookup!$M$16,IF(GA238="TPP",Lookup!$M$17,IF(GA238="TPPP",Lookup!$M$18,0)))))))*FZ238</f>
        <v>0</v>
      </c>
      <c r="GE238" s="712">
        <f t="shared" si="800"/>
        <v>0</v>
      </c>
      <c r="GF238" s="712">
        <f t="shared" si="801"/>
        <v>4166.6666666666661</v>
      </c>
      <c r="GG238" s="712">
        <f t="shared" si="802"/>
        <v>1358.1051716644936</v>
      </c>
      <c r="GH238" s="712"/>
      <c r="GI238" s="712">
        <f t="shared" si="803"/>
        <v>0</v>
      </c>
      <c r="GJ238" s="712" t="str">
        <f t="shared" si="804"/>
        <v/>
      </c>
      <c r="GK238" s="712">
        <f>IF(GA238="P",Lookup!$N$12,IF(GA238="PP",Lookup!$N$13,IF(GA238="PPP",Lookup!$N$14,IF(GA238="T",Lookup!$N$15,IF(GA238="TP",Lookup!$N$16,IF(GA238="TPP",Lookup!$N$17,IF(GA238="TPPP",Lookup!$N$18,0)))))))*FZ238</f>
        <v>0</v>
      </c>
      <c r="GL238" s="712">
        <f t="shared" si="805"/>
        <v>0</v>
      </c>
      <c r="GM238" s="712">
        <f t="shared" si="806"/>
        <v>1830.7579999999998</v>
      </c>
      <c r="GN238" s="712">
        <f t="shared" si="807"/>
        <v>596.72685788787476</v>
      </c>
      <c r="GO238" s="712"/>
      <c r="GP238" s="712">
        <f t="shared" si="808"/>
        <v>0</v>
      </c>
      <c r="GQ238" s="712" t="str">
        <f t="shared" si="809"/>
        <v/>
      </c>
      <c r="GR238" s="712">
        <f>IF(GA238="P",Lookup!$N$12,IF(GA238="PP",Lookup!$N$13,IF(GA238="PPP",Lookup!$N$14,IF(GA238="T",Lookup!$N$15,IF(GA238="TP",Lookup!$N$16,IF(GA238="TPP",Lookup!$N$17,IF(GA238="TPPP",Lookup!$N$18,0)))))))*FZ238</f>
        <v>0</v>
      </c>
      <c r="GS238" s="697">
        <f t="shared" si="724"/>
        <v>0</v>
      </c>
      <c r="GT238" s="712">
        <f t="shared" si="810"/>
        <v>1728.6028390601596</v>
      </c>
      <c r="GU238" s="712">
        <f t="shared" si="811"/>
        <v>563.42986931556698</v>
      </c>
      <c r="GV238" s="712"/>
      <c r="GW238" s="712">
        <f t="shared" si="812"/>
        <v>0</v>
      </c>
      <c r="GX238" s="712" t="str">
        <f t="shared" si="813"/>
        <v/>
      </c>
      <c r="GY238" s="712">
        <f>IF(GA238="P",Lookup!$N$12,IF(GA238="PP",Lookup!$N$13,IF(GA238="PPP",Lookup!$N$14,IF(GA238="T",Lookup!$N$15,IF(GA238="TP",Lookup!$N$16,IF(GA238="TPP",Lookup!$N$17,IF(GA238="TPPP",Lookup!$N$18,0)))))))*FZ238</f>
        <v>0</v>
      </c>
      <c r="GZ238" s="697">
        <f t="shared" si="725"/>
        <v>0</v>
      </c>
      <c r="HA238" s="712">
        <f t="shared" si="814"/>
        <v>1439.6225743654134</v>
      </c>
      <c r="HB238" s="712">
        <f t="shared" si="815"/>
        <v>469.23812723774881</v>
      </c>
      <c r="HC238" s="712"/>
    </row>
    <row r="239" spans="1:211">
      <c r="A239" s="773" t="s">
        <v>9</v>
      </c>
      <c r="B239" s="708">
        <v>40768</v>
      </c>
      <c r="C239" s="709">
        <v>0.5</v>
      </c>
      <c r="D239" s="675">
        <f t="shared" si="737"/>
        <v>200</v>
      </c>
      <c r="E239" s="675">
        <f t="shared" si="738"/>
        <v>400</v>
      </c>
      <c r="F239" s="675">
        <v>250</v>
      </c>
      <c r="G239" s="712">
        <f>DH239+Sheet1!CV239</f>
        <v>216.07211296004971</v>
      </c>
      <c r="H239" s="712">
        <f t="shared" si="739"/>
        <v>0</v>
      </c>
      <c r="I239" s="711">
        <f>MAX(Sheet1!Z239-AJ239+(Sheet1!CW239-E239)*CFStoMGD,0)</f>
        <v>0</v>
      </c>
      <c r="J239" s="720">
        <f>IF(AND(B239&gt;=Calculation!FS239,B239&lt;=Calculation!FT239),IF(Sheet1!CX239&gt;=Calculation!D239,64.64,0),MAX(Sheet1!Z239-AJ239+(Sheet1!CX239-D239)*CFStoMGD,0))</f>
        <v>19.212344210665602</v>
      </c>
      <c r="K239" s="697">
        <f t="shared" si="740"/>
        <v>0</v>
      </c>
      <c r="L239" s="712">
        <f>Sheet1!AA239+Sheet1!AB239-Sheet1!L239+(Sheet1!CW239-F239)*CFStoMGD</f>
        <v>143.12033333333335</v>
      </c>
      <c r="M239" s="712">
        <f t="shared" si="741"/>
        <v>142.46239409372365</v>
      </c>
      <c r="N239" s="712">
        <f>IF(Sheet1!CW239&gt;=F239,MIN(73,MIN(MAX(L239,0),MAX(M239,0))),0)</f>
        <v>73</v>
      </c>
      <c r="O239" s="721">
        <f>Sheet1!AA239+Sheet1!AB239</f>
        <v>67</v>
      </c>
      <c r="P239" s="721">
        <f t="shared" si="742"/>
        <v>103.649</v>
      </c>
      <c r="Q239" s="712">
        <f>MIN(N239,Sheet1!AA239+AG239)</f>
        <v>49.764589122667729</v>
      </c>
      <c r="R239" s="712">
        <f t="shared" si="743"/>
        <v>18</v>
      </c>
      <c r="S239" s="721">
        <f>Sheet1!Y239*MGDtoCFS</f>
        <v>68.191759999999988</v>
      </c>
      <c r="T239" s="721">
        <f>Sheet1!Z239*MGDtoCFS</f>
        <v>38.582180000000001</v>
      </c>
      <c r="U239" s="721">
        <f>Sheet1!AA239*MGDtoCFS</f>
        <v>66.521000000000001</v>
      </c>
      <c r="V239" s="721">
        <f>Sheet1!AB239*MGDtoCFS</f>
        <v>37.128</v>
      </c>
      <c r="W239" s="721">
        <f>Sheet1!L239*MGDtoCFS</f>
        <v>0</v>
      </c>
      <c r="X239" s="697">
        <f t="shared" si="744"/>
        <v>18</v>
      </c>
      <c r="Y239" s="712">
        <f t="shared" si="745"/>
        <v>27.846</v>
      </c>
      <c r="Z239" s="712">
        <f t="shared" si="746"/>
        <v>0</v>
      </c>
      <c r="AA239" s="712">
        <f t="shared" si="747"/>
        <v>0</v>
      </c>
      <c r="AB239" s="712">
        <f>(VLOOKUP(Sheet1!CY239,hhdcap_wcm,4)-(((VLOOKUP(Sheet1!CY239,hhdcap_wcm,3)-Sheet1!CY239)/(VLOOKUP(Sheet1!CY239,hhdcap_wcm,3)-VLOOKUP(Sheet1!CY239,hhdcap_wcm,1)))*(VLOOKUP(Sheet1!CY239,hhdcap_wcm,4)-VLOOKUP(Sheet1!CY239,hhdcap_wcm,2))))</f>
        <v>38975.810000095102</v>
      </c>
      <c r="AC239" s="712">
        <f t="shared" si="748"/>
        <v>-160.48000000022148</v>
      </c>
      <c r="AD239" s="712">
        <f t="shared" si="749"/>
        <v>2969.5000261056839</v>
      </c>
      <c r="AE239" s="712">
        <f t="shared" si="750"/>
        <v>9110.4260800922384</v>
      </c>
      <c r="AF239" s="712">
        <f>Sheet1!BA239+Sheet1!BB239+Sheet1!BN239+BT239</f>
        <v>7.1</v>
      </c>
      <c r="AG239" s="712">
        <f t="shared" si="751"/>
        <v>6.7645891226677257</v>
      </c>
      <c r="AH239" s="712">
        <f>Sheet1!BA239+BT239</f>
        <v>0</v>
      </c>
      <c r="AI239" s="712">
        <f>Sheet1!BA239+Sheet1!BB239+BT239</f>
        <v>0</v>
      </c>
      <c r="AJ239" s="712">
        <f>IF((Sheet1!AA239+AG239+AX239+AZ239+BQ239+BS239+CL239+CN239)&lt;=N239,AG239+AX239+AZ239+BQ239+BS239+CL239+CN239,N239-Sheet1!AA239)</f>
        <v>6.7645891226677257</v>
      </c>
      <c r="AK239" s="712">
        <f>IF(DR239&lt;K239,0,MAX(Sheet1!AA239+AG239-15/36*K239-N239,Sheet1!ED239,0))</f>
        <v>0</v>
      </c>
      <c r="AL239" s="712">
        <f>IF(OR(B239&gt;=FT239,B239&lt;FS239),0,15/36*K239-MAX(0,64.6-(137.6-(Sheet1!AA239+Sheet1!AB239))))</f>
        <v>0</v>
      </c>
      <c r="AM239" s="712">
        <f>Sheet1!CX239-110</f>
        <v>91.604166666666657</v>
      </c>
      <c r="AN239" s="712">
        <f>Sheet1!CW239-265</f>
        <v>102.76041666666669</v>
      </c>
      <c r="AO239" s="712">
        <f t="shared" si="733"/>
        <v>23.235410877332271</v>
      </c>
      <c r="AP239" s="712">
        <f t="shared" si="752"/>
        <v>0</v>
      </c>
      <c r="AQ239" s="712">
        <f t="shared" si="753"/>
        <v>0</v>
      </c>
      <c r="AR239" s="712">
        <f t="shared" si="754"/>
        <v>1358.1051716644936</v>
      </c>
      <c r="AS239" s="712"/>
      <c r="AT239" s="712">
        <f ca="1">IF(B239&gt;Summary!$A$1,#N/A,AR239*MGtoAF)</f>
        <v>4166.6666666666661</v>
      </c>
      <c r="AU239" s="712">
        <f>Sheet1!BG239+Sheet1!BH239+Sheet1!BI239-BC239</f>
        <v>1.99</v>
      </c>
      <c r="AV239" s="712">
        <f t="shared" si="755"/>
        <v>1.8959904724096865</v>
      </c>
      <c r="AW239" s="712">
        <f>IF(Sheet1!EL239="FM",BC239,0)</f>
        <v>0</v>
      </c>
      <c r="AX239" s="712">
        <f t="shared" si="756"/>
        <v>0</v>
      </c>
      <c r="AY239" s="712">
        <f>IF(Sheet1!EL239="OTHER",BC239,0)</f>
        <v>0</v>
      </c>
      <c r="AZ239" s="712">
        <f t="shared" si="757"/>
        <v>0</v>
      </c>
      <c r="BA239" s="712">
        <f t="shared" si="758"/>
        <v>1.99</v>
      </c>
      <c r="BB239" s="712">
        <f t="shared" si="759"/>
        <v>1.8959904724096865</v>
      </c>
      <c r="BC239" s="712">
        <f>IF(OR(Sheet1!EL239="FM", Sheet1!EL239="OTHER"),SUM(Sheet1!BG239:'Sheet1'!BI239),0)</f>
        <v>0</v>
      </c>
      <c r="BD239" s="697">
        <f>IF(AND($B239&gt;=$FL239,$B239&lt;=$FM239),MAX(AV239,Sheet1!EE239,0),MAX(AV239-(7/36)*$K239,0))</f>
        <v>2</v>
      </c>
      <c r="BE239" s="712">
        <f t="shared" si="760"/>
        <v>0</v>
      </c>
      <c r="BF239" s="697">
        <f t="shared" si="761"/>
        <v>0</v>
      </c>
      <c r="BG239" s="697">
        <f>IF(AND($O239&gt;0,Sheet1!EI239=1),(1-($O239-Sheet1!$L239)/$O239)*BB239,0)</f>
        <v>0</v>
      </c>
      <c r="BH239" s="697">
        <f>IF(AND(Sheet1!$L239=0,Sheet1!$L238=0, Calculation!BA239&lt;Sheet1!$EE239-0.1,Sheet1!$EE239=Sheet1!$EE238,Sheet1!$EE239=Sheet1!$EE240),Sheet1!$EE239,BB239-BG239)</f>
        <v>1.8959904724096865</v>
      </c>
      <c r="BI239" s="712"/>
      <c r="BJ239" s="712"/>
      <c r="BK239" s="712">
        <f t="shared" si="762"/>
        <v>594.72685788787476</v>
      </c>
      <c r="BL239" s="712"/>
      <c r="BM239" s="712">
        <f ca="1">IF(B239&gt;Summary!$A$1,#N/A,BK239*MGtoAF)</f>
        <v>1824.6219999999998</v>
      </c>
      <c r="BN239" s="712">
        <f>Sheet1!BC239+Sheet1!BD239+Sheet1!BE239+Sheet1!BF239-BW239-BX239</f>
        <v>5.0600000000000005</v>
      </c>
      <c r="BO239" s="712">
        <f t="shared" si="763"/>
        <v>4.8209606986899569</v>
      </c>
      <c r="BP239" s="712">
        <f>IF(Sheet1!EM239="FM",BX239,0)</f>
        <v>0</v>
      </c>
      <c r="BQ239" s="712">
        <f t="shared" si="764"/>
        <v>0</v>
      </c>
      <c r="BR239" s="712">
        <f>IF(Sheet1!EM239="OTHER",BX239,0)</f>
        <v>0</v>
      </c>
      <c r="BS239" s="712">
        <f t="shared" si="765"/>
        <v>0</v>
      </c>
      <c r="BT239" s="712">
        <f t="shared" si="766"/>
        <v>0</v>
      </c>
      <c r="BU239" s="712">
        <f t="shared" si="767"/>
        <v>5.0600000000000005</v>
      </c>
      <c r="BV239" s="712">
        <f t="shared" si="768"/>
        <v>4.8209606986899569</v>
      </c>
      <c r="BW239" s="712">
        <f>IF(Sheet1!EM239="CWA",SUM(Sheet1!BC239:'Sheet1'!BF239),0)</f>
        <v>0</v>
      </c>
      <c r="BX239" s="712">
        <f>IF(OR(Sheet1!EM239="FM", Sheet1!EM239="OTHER"),SUM(Sheet1!BC239:'Sheet1'!BF239),0)</f>
        <v>0</v>
      </c>
      <c r="BY239" s="697">
        <f>IF(AND($B239&gt;=$FL239,$B239&lt;=$FM239),MAX(BV239,Sheet1!EF239,0),MAX(BV239-(7/36)*$K239,0))</f>
        <v>5</v>
      </c>
      <c r="BZ239" s="712">
        <f t="shared" si="769"/>
        <v>0</v>
      </c>
      <c r="CA239" s="697">
        <f t="shared" si="770"/>
        <v>0</v>
      </c>
      <c r="CB239" s="697">
        <f>IF(AND($O239&gt;0,Sheet1!EJ239=1),(1-($O239-Sheet1!$L239)/$O239)*BV239,0)</f>
        <v>0</v>
      </c>
      <c r="CC239" s="697">
        <f>IF(AND(Sheet1!$L239=0,Sheet1!$L238=0, Calculation!BU239&lt;Sheet1!EF239-0.1,Sheet1!EF239=Sheet1!EF238,Sheet1!EF239=Sheet1!EF240),Sheet1!EF239,BV239-CB239)</f>
        <v>4.8209606986899569</v>
      </c>
      <c r="CD239" s="697"/>
      <c r="CE239" s="712"/>
      <c r="CF239" s="712">
        <f t="shared" si="771"/>
        <v>558.42986931556698</v>
      </c>
      <c r="CG239" s="712"/>
      <c r="CH239" s="712">
        <f ca="1">IF(B239&gt;Summary!$A$1,#N/A,CF239*MGtoAF)</f>
        <v>1713.2628390601594</v>
      </c>
      <c r="CI239" s="712">
        <f>Sheet1!BK239+Sheet1!BL239+Sheet1!BM239-Sheet1!EN239-CQ239</f>
        <v>11.04</v>
      </c>
      <c r="CJ239" s="712">
        <f t="shared" si="772"/>
        <v>10.518459706232631</v>
      </c>
      <c r="CK239" s="712">
        <f>IF(Sheet1!EN239="FM",CQ239,0)</f>
        <v>0</v>
      </c>
      <c r="CL239" s="712">
        <f t="shared" si="773"/>
        <v>0</v>
      </c>
      <c r="CM239" s="712">
        <f>IF(Sheet1!EN239="OTHER",CQ239,0)</f>
        <v>0</v>
      </c>
      <c r="CN239" s="712">
        <f t="shared" si="774"/>
        <v>0</v>
      </c>
      <c r="CO239" s="712">
        <f t="shared" si="775"/>
        <v>11.04</v>
      </c>
      <c r="CP239" s="712">
        <f t="shared" si="776"/>
        <v>10.518459706232631</v>
      </c>
      <c r="CQ239" s="712">
        <f>IF(OR(Sheet1!EN239="FM", Sheet1!EN239="OTHER"),SUM(Sheet1!BK239:'Sheet1'!BM239),0)</f>
        <v>0</v>
      </c>
      <c r="CR239" s="697">
        <f>IF(AND($B239&gt;=$FL239,$B239&lt;=$FM239),MAX($CJ239,Sheet1!EG239,0),MAX($CJ239-(7/36)*$K239,0))</f>
        <v>11</v>
      </c>
      <c r="CS239" s="712">
        <f t="shared" si="777"/>
        <v>0</v>
      </c>
      <c r="CT239" s="697">
        <f t="shared" si="778"/>
        <v>0</v>
      </c>
      <c r="CU239" s="697">
        <f>IF(AND($O239&gt;0,Sheet1!EK239=1),(1-($O239-Sheet1!$L239)/$O239)*CP239,0)</f>
        <v>0</v>
      </c>
      <c r="CV239" s="697">
        <f>IF(AND(Sheet1!$L239=0,Sheet1!$L238=0, Calculation!CO239&lt;Sheet1!$EG239-0.1,Sheet1!$EG239=Sheet1!$EG238,Sheet1!$EG239=Sheet1!$EG240),Sheet1!$EG239,CP239-CU239)</f>
        <v>10.518459706232631</v>
      </c>
      <c r="CW239" s="697">
        <f t="shared" si="721"/>
        <v>0</v>
      </c>
      <c r="CX239" s="712">
        <f t="shared" si="779"/>
        <v>18.09</v>
      </c>
      <c r="CY239" s="712">
        <f t="shared" si="780"/>
        <v>458.23812723774881</v>
      </c>
      <c r="CZ239" s="712">
        <f t="shared" si="781"/>
        <v>17.235410877332274</v>
      </c>
      <c r="DA239" s="712">
        <f ca="1">IF(B239&gt;Summary!$A$1,#N/A,CY239*MGtoAF)</f>
        <v>1405.8745743654133</v>
      </c>
      <c r="DB239" s="712">
        <f t="shared" si="782"/>
        <v>18.09</v>
      </c>
      <c r="DC239" s="712">
        <f t="shared" si="783"/>
        <v>25.189999999999998</v>
      </c>
      <c r="DD239" s="712">
        <f>Sheet1!AB239-DC239</f>
        <v>-1.1899999999999977</v>
      </c>
      <c r="DE239" s="712">
        <f t="shared" si="784"/>
        <v>-4.7240968638348466E-2</v>
      </c>
      <c r="DF239" s="712">
        <f>(VLOOKUP(Sheet1!CY239,hhdcap_wcm,4)-(((VLOOKUP(Sheet1!CY239,hhdcap_wcm,3)-Sheet1!CY239)/(VLOOKUP(Sheet1!CY239,hhdcap_wcm,3)-VLOOKUP(Sheet1!CY239,hhdcap_wcm,1)))*(VLOOKUP(Sheet1!CY239,hhdcap_wcm,4)-VLOOKUP(Sheet1!CY239,hhdcap_wcm,2))))</f>
        <v>38975.810000095102</v>
      </c>
      <c r="DG239" s="712">
        <f t="shared" si="785"/>
        <v>-160.48000000022148</v>
      </c>
      <c r="DH239" s="712">
        <f t="shared" si="786"/>
        <v>-80.927887039950306</v>
      </c>
      <c r="DI239" s="712">
        <f>Sheet1!DW239*AFtoMG</f>
        <v>0</v>
      </c>
      <c r="DJ239" s="712">
        <f>Sheet1!DX239*AFtoMG</f>
        <v>0</v>
      </c>
      <c r="DK239" s="712">
        <f>Sheet1!DY239*AFtoMG</f>
        <v>0</v>
      </c>
      <c r="DL239" s="712">
        <f>Sheet1!DZ239*AFtoMG</f>
        <v>0</v>
      </c>
      <c r="DM239" s="712">
        <f t="shared" si="787"/>
        <v>0</v>
      </c>
      <c r="DN239" s="712">
        <f t="shared" si="788"/>
        <v>0</v>
      </c>
      <c r="DO239" s="712">
        <f t="shared" si="789"/>
        <v>2969.5000261056839</v>
      </c>
      <c r="DP239" s="712">
        <f t="shared" si="790"/>
        <v>9110.4260800922384</v>
      </c>
      <c r="DQ239" s="712"/>
      <c r="DR239" s="697">
        <f>IF(OR(B239&lt;FL239,B239&gt;FM239),(MIN(AV239+BO239+CJ239+MAX(Sheet1!AA239+AG239-73,0),K239)),0)</f>
        <v>0</v>
      </c>
      <c r="DS239" s="712"/>
      <c r="DT239" s="712">
        <f t="shared" si="791"/>
        <v>17.235410877332274</v>
      </c>
      <c r="DU239" s="712"/>
      <c r="DV239" s="712">
        <f>Sheet1!ED239+Sheet1!EE239+Sheet1!EF239+Sheet1!EG239</f>
        <v>18</v>
      </c>
      <c r="DW239" s="712"/>
      <c r="DX239" s="697">
        <f t="shared" si="792"/>
        <v>0</v>
      </c>
      <c r="DY239" s="712">
        <f>IF(Sheet1!FN239=1,SUM('Calculations II'!AT239:BA239)+'Calculations II'!BC239+Sheet1!BU239+'Calculations II'!BE239+AF239,SUM('Calculations II'!AT239:BA239)+'Calculations II'!BC239+Sheet1!BU239+'Calculations II'!BE239+AF239)</f>
        <v>64.414912000000001</v>
      </c>
      <c r="DZ239" s="712">
        <f>Sheet1!AA239+Sheet1!AB239+'Calculations II'!BC239</f>
        <v>76.673776000000004</v>
      </c>
      <c r="EA239" s="712"/>
      <c r="EB239" s="712"/>
      <c r="EC239" s="712">
        <f t="shared" si="793"/>
        <v>40768</v>
      </c>
      <c r="ED239" s="712">
        <f t="shared" si="794"/>
        <v>-18</v>
      </c>
      <c r="EE239" s="712">
        <f t="shared" si="795"/>
        <v>-27.846</v>
      </c>
      <c r="EF239" s="712">
        <f>-(VLOOKUP(Sheet1!BQ239,Lookup!$B$4:$J$236,2)-VLOOKUP(Sheet1!BQ238,Lookup!$B$4:$J$236,2))/1000000</f>
        <v>2.4277000000000002</v>
      </c>
      <c r="EG239" s="712">
        <f>-(VLOOKUP(Sheet1!BR239,Lookup!$B$4:$J$236,3)-VLOOKUP(Sheet1!BR238,Lookup!$B$4:$J$236,3))/1000000</f>
        <v>2.4232</v>
      </c>
      <c r="EH239" s="712">
        <f>-(VLOOKUP(Sheet1!BS239,Lookup!$B$4:$J$236,4)-VLOOKUP(Sheet1!BS238,Lookup!$B$4:$J$236,4))/1000000</f>
        <v>0</v>
      </c>
      <c r="EI239" s="697">
        <f t="shared" si="796"/>
        <v>4.8509000000000002</v>
      </c>
      <c r="EJ239" s="712"/>
      <c r="EK239" s="712"/>
      <c r="EL239" s="712"/>
      <c r="EM239" s="712"/>
      <c r="EN239" s="712"/>
      <c r="EO239" s="712"/>
      <c r="EP239" s="712"/>
      <c r="EQ239" s="712"/>
      <c r="ET239" s="794">
        <f t="shared" si="818"/>
        <v>1134.5999999999999</v>
      </c>
      <c r="EU239" s="697">
        <v>8785</v>
      </c>
      <c r="EV239" s="795">
        <f t="shared" si="734"/>
        <v>19860.383920002863</v>
      </c>
      <c r="EW239" s="796" t="s">
        <v>757</v>
      </c>
      <c r="EX239" s="796" t="s">
        <v>758</v>
      </c>
      <c r="EY239" s="712">
        <f t="shared" si="817"/>
        <v>0</v>
      </c>
      <c r="EZ239" s="798">
        <v>20761.000000048021</v>
      </c>
      <c r="FA239" s="712"/>
      <c r="FB239" s="712"/>
      <c r="FC239" s="712"/>
      <c r="FD239" s="712"/>
      <c r="FE239" s="712">
        <f>O239+Sheet1!CO239</f>
        <v>6784.9</v>
      </c>
      <c r="FF239" s="712">
        <f>IF(Sheet1!AA239+AG239&lt;=Calculation!N239,AG239,Calculation!N239-Sheet1!AA239)</f>
        <v>6.7645891226677257</v>
      </c>
      <c r="FG239" s="712">
        <f>(Sheet1!BP239+Sheet1!BO239)/694.4</f>
        <v>4.2065092165898621</v>
      </c>
      <c r="FH239" s="712"/>
      <c r="FI239" s="712"/>
      <c r="FJ239" s="712"/>
      <c r="FK239" s="712"/>
      <c r="FL239" s="714">
        <f t="shared" si="726"/>
        <v>40753</v>
      </c>
      <c r="FM239" s="714">
        <f t="shared" si="727"/>
        <v>40851</v>
      </c>
      <c r="FN239" s="712"/>
      <c r="FO239" s="712"/>
      <c r="FP239" s="712"/>
      <c r="FQ239" s="712"/>
      <c r="FR239" s="712"/>
      <c r="FS239" s="725">
        <f t="shared" si="816"/>
        <v>40603</v>
      </c>
      <c r="FT239" s="714">
        <f t="shared" si="729"/>
        <v>40709</v>
      </c>
      <c r="FU239" s="712">
        <f t="shared" si="816"/>
        <v>6518.9048239895692</v>
      </c>
      <c r="FV239" s="714">
        <f t="shared" si="730"/>
        <v>40722</v>
      </c>
      <c r="FW239" s="712">
        <f t="shared" si="816"/>
        <v>3259.4524119947846</v>
      </c>
      <c r="FX239" s="725">
        <f t="shared" si="816"/>
        <v>40851</v>
      </c>
      <c r="FZ239" s="697">
        <f t="shared" si="722"/>
        <v>0</v>
      </c>
      <c r="GA239" s="712" t="str">
        <f t="shared" si="797"/>
        <v/>
      </c>
      <c r="GB239" s="712">
        <f t="shared" si="798"/>
        <v>0</v>
      </c>
      <c r="GC239" s="712" t="str">
        <f t="shared" si="799"/>
        <v/>
      </c>
      <c r="GD239" s="712">
        <f>IF(GA239="P",Lookup!$M$12,IF(GA239="PP",Lookup!$M$13,IF(GA239="PPP",Lookup!$M$14,IF(GA239="T",Lookup!$M$15,IF(GA239="TP",Lookup!$M$16,IF(GA239="TPP",Lookup!$M$17,IF(GA239="TPPP",Lookup!$M$18,0)))))))*FZ239</f>
        <v>0</v>
      </c>
      <c r="GE239" s="712">
        <f t="shared" si="800"/>
        <v>0</v>
      </c>
      <c r="GF239" s="712">
        <f t="shared" si="801"/>
        <v>4166.6666666666661</v>
      </c>
      <c r="GG239" s="712">
        <f t="shared" si="802"/>
        <v>1358.1051716644936</v>
      </c>
      <c r="GH239" s="712"/>
      <c r="GI239" s="712">
        <f t="shared" si="803"/>
        <v>0</v>
      </c>
      <c r="GJ239" s="712" t="str">
        <f t="shared" si="804"/>
        <v/>
      </c>
      <c r="GK239" s="712">
        <f>IF(GA239="P",Lookup!$N$12,IF(GA239="PP",Lookup!$N$13,IF(GA239="PPP",Lookup!$N$14,IF(GA239="T",Lookup!$N$15,IF(GA239="TP",Lookup!$N$16,IF(GA239="TPP",Lookup!$N$17,IF(GA239="TPPP",Lookup!$N$18,0)))))))*FZ239</f>
        <v>0</v>
      </c>
      <c r="GL239" s="712">
        <f t="shared" si="805"/>
        <v>0</v>
      </c>
      <c r="GM239" s="712">
        <f t="shared" si="806"/>
        <v>1824.6219999999998</v>
      </c>
      <c r="GN239" s="712">
        <f t="shared" si="807"/>
        <v>594.72685788787476</v>
      </c>
      <c r="GO239" s="712"/>
      <c r="GP239" s="712">
        <f t="shared" si="808"/>
        <v>0</v>
      </c>
      <c r="GQ239" s="712" t="str">
        <f t="shared" si="809"/>
        <v/>
      </c>
      <c r="GR239" s="712">
        <f>IF(GA239="P",Lookup!$N$12,IF(GA239="PP",Lookup!$N$13,IF(GA239="PPP",Lookup!$N$14,IF(GA239="T",Lookup!$N$15,IF(GA239="TP",Lookup!$N$16,IF(GA239="TPP",Lookup!$N$17,IF(GA239="TPPP",Lookup!$N$18,0)))))))*FZ239</f>
        <v>0</v>
      </c>
      <c r="GS239" s="697">
        <f t="shared" si="724"/>
        <v>0</v>
      </c>
      <c r="GT239" s="712">
        <f t="shared" si="810"/>
        <v>1713.2628390601594</v>
      </c>
      <c r="GU239" s="712">
        <f t="shared" si="811"/>
        <v>558.42986931556698</v>
      </c>
      <c r="GV239" s="712"/>
      <c r="GW239" s="712">
        <f t="shared" si="812"/>
        <v>0</v>
      </c>
      <c r="GX239" s="712" t="str">
        <f t="shared" si="813"/>
        <v/>
      </c>
      <c r="GY239" s="712">
        <f>IF(GA239="P",Lookup!$N$12,IF(GA239="PP",Lookup!$N$13,IF(GA239="PPP",Lookup!$N$14,IF(GA239="T",Lookup!$N$15,IF(GA239="TP",Lookup!$N$16,IF(GA239="TPP",Lookup!$N$17,IF(GA239="TPPP",Lookup!$N$18,0)))))))*FZ239</f>
        <v>0</v>
      </c>
      <c r="GZ239" s="697">
        <f t="shared" si="725"/>
        <v>0</v>
      </c>
      <c r="HA239" s="712">
        <f t="shared" si="814"/>
        <v>1405.8745743654133</v>
      </c>
      <c r="HB239" s="712">
        <f t="shared" si="815"/>
        <v>458.23812723774881</v>
      </c>
      <c r="HC239" s="712"/>
    </row>
    <row r="240" spans="1:211">
      <c r="A240" s="773" t="s">
        <v>3</v>
      </c>
      <c r="B240" s="708">
        <v>40769</v>
      </c>
      <c r="C240" s="719">
        <v>0.5</v>
      </c>
      <c r="D240" s="675">
        <f t="shared" si="737"/>
        <v>200</v>
      </c>
      <c r="E240" s="675">
        <f t="shared" si="738"/>
        <v>400</v>
      </c>
      <c r="F240" s="675">
        <v>250</v>
      </c>
      <c r="G240" s="712">
        <f>DH240+Sheet1!CV240</f>
        <v>212.2714321734754</v>
      </c>
      <c r="H240" s="712">
        <f t="shared" si="739"/>
        <v>0</v>
      </c>
      <c r="I240" s="711">
        <f>MAX(Sheet1!Z240-AJ240+(Sheet1!CW240-E240)*CFStoMGD,0)</f>
        <v>0</v>
      </c>
      <c r="J240" s="720">
        <f>IF(AND(B240&gt;=Calculation!FS240,B240&lt;=Calculation!FT240),IF(Sheet1!CX240&gt;=Calculation!D240,64.64,0),MAX(Sheet1!Z240-AJ240+(Sheet1!CX240-D240)*CFStoMGD,0))</f>
        <v>11.637869841269847</v>
      </c>
      <c r="K240" s="697">
        <f t="shared" si="740"/>
        <v>0</v>
      </c>
      <c r="L240" s="712">
        <f>Sheet1!AA240+Sheet1!AB240-Sheet1!L240+(Sheet1!CW240-F240)*CFStoMGD</f>
        <v>145.6996</v>
      </c>
      <c r="M240" s="712">
        <f t="shared" si="741"/>
        <v>139.95649883207321</v>
      </c>
      <c r="N240" s="712">
        <f>IF(Sheet1!CW240&gt;=F240,MIN(73,MIN(MAX(L240,0),MAX(M240,0))),0)</f>
        <v>73</v>
      </c>
      <c r="O240" s="721">
        <f>Sheet1!AA240+Sheet1!AB240</f>
        <v>71</v>
      </c>
      <c r="P240" s="721">
        <f t="shared" si="742"/>
        <v>109.83699999999999</v>
      </c>
      <c r="Q240" s="712">
        <f>MIN(N240,Sheet1!AA240+AG240)</f>
        <v>52.325396825396822</v>
      </c>
      <c r="R240" s="712">
        <f t="shared" si="743"/>
        <v>18</v>
      </c>
      <c r="S240" s="721">
        <f>Sheet1!Y240*MGDtoCFS</f>
        <v>68.346459999999993</v>
      </c>
      <c r="T240" s="721">
        <f>Sheet1!Z240*MGDtoCFS</f>
        <v>38.721409999999999</v>
      </c>
      <c r="U240" s="721">
        <f>Sheet1!AA240*MGDtoCFS</f>
        <v>69.614999999999995</v>
      </c>
      <c r="V240" s="721">
        <f>Sheet1!AB240*MGDtoCFS</f>
        <v>40.222000000000001</v>
      </c>
      <c r="W240" s="721">
        <f>Sheet1!L240*MGDtoCFS</f>
        <v>0</v>
      </c>
      <c r="X240" s="697">
        <f t="shared" si="744"/>
        <v>18.674603174603178</v>
      </c>
      <c r="Y240" s="712">
        <f t="shared" si="745"/>
        <v>28.889611111111115</v>
      </c>
      <c r="Z240" s="712">
        <f t="shared" si="746"/>
        <v>0</v>
      </c>
      <c r="AA240" s="712">
        <f t="shared" si="747"/>
        <v>0</v>
      </c>
      <c r="AB240" s="712">
        <f>(VLOOKUP(Sheet1!CY240,hhdcap_wcm,4)-(((VLOOKUP(Sheet1!CY240,hhdcap_wcm,3)-Sheet1!CY240)/(VLOOKUP(Sheet1!CY240,hhdcap_wcm,3)-VLOOKUP(Sheet1!CY240,hhdcap_wcm,1)))*(VLOOKUP(Sheet1!CY240,hhdcap_wcm,4)-VLOOKUP(Sheet1!CY240,hhdcap_wcm,2))))</f>
        <v>38835.390000095103</v>
      </c>
      <c r="AC240" s="712">
        <f t="shared" si="748"/>
        <v>-140.41999999999825</v>
      </c>
      <c r="AD240" s="712">
        <f t="shared" si="749"/>
        <v>2950.825422931081</v>
      </c>
      <c r="AE240" s="712">
        <f t="shared" si="750"/>
        <v>9053.1323975525574</v>
      </c>
      <c r="AF240" s="712">
        <f>Sheet1!BA240+Sheet1!BB240+Sheet1!BN240+BT240</f>
        <v>7.1</v>
      </c>
      <c r="AG240" s="712">
        <f t="shared" si="751"/>
        <v>7.325396825396826</v>
      </c>
      <c r="AH240" s="712">
        <f>Sheet1!BA240+BT240</f>
        <v>0</v>
      </c>
      <c r="AI240" s="712">
        <f>Sheet1!BA240+Sheet1!BB240+BT240</f>
        <v>0</v>
      </c>
      <c r="AJ240" s="712">
        <f>IF((Sheet1!AA240+AG240+AX240+AZ240+BQ240+BS240+CL240+CN240)&lt;=N240,AG240+AX240+AZ240+BQ240+BS240+CL240+CN240,N240-Sheet1!AA240)</f>
        <v>7.325396825396826</v>
      </c>
      <c r="AK240" s="712">
        <f>IF(DR240&lt;K240,0,MAX(Sheet1!AA240+AG240-15/36*K240-N240,Sheet1!ED240,0))</f>
        <v>0</v>
      </c>
      <c r="AL240" s="712">
        <f>IF(OR(B240&gt;=FT240,B240&lt;FS240),0,15/36*K240-MAX(0,64.6-(137.6-(Sheet1!AA240+Sheet1!AB240))))</f>
        <v>0</v>
      </c>
      <c r="AM240" s="712">
        <f>Sheet1!CX240-110</f>
        <v>80.614583333333343</v>
      </c>
      <c r="AN240" s="712">
        <f>Sheet1!CW240-265</f>
        <v>100.5625</v>
      </c>
      <c r="AO240" s="712">
        <f t="shared" si="733"/>
        <v>20.674603174603178</v>
      </c>
      <c r="AP240" s="712">
        <f t="shared" si="752"/>
        <v>0</v>
      </c>
      <c r="AQ240" s="712">
        <f t="shared" si="753"/>
        <v>0</v>
      </c>
      <c r="AR240" s="712">
        <f t="shared" si="754"/>
        <v>1358.1051716644936</v>
      </c>
      <c r="AS240" s="712"/>
      <c r="AT240" s="712">
        <f ca="1">IF(B240&gt;Summary!$A$1,#N/A,AR240*MGtoAF)</f>
        <v>4166.6666666666661</v>
      </c>
      <c r="AU240" s="712">
        <f>Sheet1!BG240+Sheet1!BH240+Sheet1!BI240-BC240</f>
        <v>1.99</v>
      </c>
      <c r="AV240" s="712">
        <f t="shared" si="755"/>
        <v>2.0531746031746034</v>
      </c>
      <c r="AW240" s="712">
        <f>IF(Sheet1!EL240="FM",BC240,0)</f>
        <v>0</v>
      </c>
      <c r="AX240" s="712">
        <f t="shared" si="756"/>
        <v>0</v>
      </c>
      <c r="AY240" s="712">
        <f>IF(Sheet1!EL240="OTHER",BC240,0)</f>
        <v>0</v>
      </c>
      <c r="AZ240" s="712">
        <f t="shared" si="757"/>
        <v>0</v>
      </c>
      <c r="BA240" s="712">
        <f t="shared" si="758"/>
        <v>1.99</v>
      </c>
      <c r="BB240" s="712">
        <f t="shared" si="759"/>
        <v>2.0531746031746034</v>
      </c>
      <c r="BC240" s="712">
        <f>IF(OR(Sheet1!EL240="FM", Sheet1!EL240="OTHER"),SUM(Sheet1!BG240:'Sheet1'!BI240),0)</f>
        <v>0</v>
      </c>
      <c r="BD240" s="697">
        <f>IF(AND($B240&gt;=$FL240,$B240&lt;=$FM240),MAX(AV240,Sheet1!EE240,0),MAX(AV240-(7/36)*$K240,0))</f>
        <v>2.0531746031746034</v>
      </c>
      <c r="BE240" s="712">
        <f t="shared" si="760"/>
        <v>0</v>
      </c>
      <c r="BF240" s="697">
        <f t="shared" si="761"/>
        <v>0</v>
      </c>
      <c r="BG240" s="697">
        <f>IF(AND($O240&gt;0,Sheet1!EI240=1),(1-($O240-Sheet1!$L240)/$O240)*BB240,0)</f>
        <v>0</v>
      </c>
      <c r="BH240" s="697">
        <f>IF(AND(Sheet1!$L240=0,Sheet1!$L239=0, Calculation!BA240&lt;Sheet1!$EE240-0.1,Sheet1!$EE240=Sheet1!$EE239,Sheet1!$EE240=Sheet1!$EE241),Sheet1!$EE240,BB240-BG240)</f>
        <v>2.0531746031746034</v>
      </c>
      <c r="BI240" s="712"/>
      <c r="BJ240" s="712"/>
      <c r="BK240" s="712">
        <f t="shared" si="762"/>
        <v>592.67368328470013</v>
      </c>
      <c r="BL240" s="712"/>
      <c r="BM240" s="712">
        <f ca="1">IF(B240&gt;Summary!$A$1,#N/A,BK240*MGtoAF)</f>
        <v>1818.32286031746</v>
      </c>
      <c r="BN240" s="712">
        <f>Sheet1!BC240+Sheet1!BD240+Sheet1!BE240+Sheet1!BF240-BW240-BX240</f>
        <v>5.0600000000000005</v>
      </c>
      <c r="BO240" s="712">
        <f t="shared" si="763"/>
        <v>5.2206349206349216</v>
      </c>
      <c r="BP240" s="712">
        <f>IF(Sheet1!EM240="FM",BX240,0)</f>
        <v>0</v>
      </c>
      <c r="BQ240" s="712">
        <f t="shared" si="764"/>
        <v>0</v>
      </c>
      <c r="BR240" s="712">
        <f>IF(Sheet1!EM240="OTHER",BX240,0)</f>
        <v>0</v>
      </c>
      <c r="BS240" s="712">
        <f t="shared" si="765"/>
        <v>0</v>
      </c>
      <c r="BT240" s="712">
        <f t="shared" si="766"/>
        <v>0</v>
      </c>
      <c r="BU240" s="712">
        <f t="shared" si="767"/>
        <v>5.0600000000000005</v>
      </c>
      <c r="BV240" s="712">
        <f t="shared" si="768"/>
        <v>5.2206349206349216</v>
      </c>
      <c r="BW240" s="712">
        <f>IF(Sheet1!EM240="CWA",SUM(Sheet1!BC240:'Sheet1'!BF240),0)</f>
        <v>0</v>
      </c>
      <c r="BX240" s="712">
        <f>IF(OR(Sheet1!EM240="FM", Sheet1!EM240="OTHER"),SUM(Sheet1!BC240:'Sheet1'!BF240),0)</f>
        <v>0</v>
      </c>
      <c r="BY240" s="697">
        <f>IF(AND($B240&gt;=$FL240,$B240&lt;=$FM240),MAX(BV240,Sheet1!EF240,0),MAX(BV240-(7/36)*$K240,0))</f>
        <v>5.2206349206349216</v>
      </c>
      <c r="BZ240" s="712">
        <f t="shared" si="769"/>
        <v>0</v>
      </c>
      <c r="CA240" s="697">
        <f t="shared" si="770"/>
        <v>0</v>
      </c>
      <c r="CB240" s="697">
        <f>IF(AND($O240&gt;0,Sheet1!EJ240=1),(1-($O240-Sheet1!$L240)/$O240)*BV240,0)</f>
        <v>0</v>
      </c>
      <c r="CC240" s="697">
        <f>IF(AND(Sheet1!$L240=0,Sheet1!$L239=0, Calculation!BU240&lt;Sheet1!EF240-0.1,Sheet1!EF240=Sheet1!EF239,Sheet1!EF240=Sheet1!EF241),Sheet1!EF240,BV240-CB240)</f>
        <v>5.2206349206349216</v>
      </c>
      <c r="CD240" s="697"/>
      <c r="CE240" s="712"/>
      <c r="CF240" s="712">
        <f t="shared" si="771"/>
        <v>553.20923439493208</v>
      </c>
      <c r="CG240" s="712"/>
      <c r="CH240" s="712">
        <f ca="1">IF(B240&gt;Summary!$A$1,#N/A,CF240*MGtoAF)</f>
        <v>1697.2459311236516</v>
      </c>
      <c r="CI240" s="712">
        <f>Sheet1!BK240+Sheet1!BL240+Sheet1!BM240-Sheet1!EN240-CQ240</f>
        <v>11.05</v>
      </c>
      <c r="CJ240" s="712">
        <f t="shared" si="772"/>
        <v>11.400793650793654</v>
      </c>
      <c r="CK240" s="712">
        <f>IF(Sheet1!EN240="FM",CQ240,0)</f>
        <v>0</v>
      </c>
      <c r="CL240" s="712">
        <f t="shared" si="773"/>
        <v>0</v>
      </c>
      <c r="CM240" s="712">
        <f>IF(Sheet1!EN240="OTHER",CQ240,0)</f>
        <v>0</v>
      </c>
      <c r="CN240" s="712">
        <f t="shared" si="774"/>
        <v>0</v>
      </c>
      <c r="CO240" s="712">
        <f t="shared" si="775"/>
        <v>11.05</v>
      </c>
      <c r="CP240" s="712">
        <f t="shared" si="776"/>
        <v>11.400793650793654</v>
      </c>
      <c r="CQ240" s="712">
        <f>IF(OR(Sheet1!EN240="FM", Sheet1!EN240="OTHER"),SUM(Sheet1!BK240:'Sheet1'!BM240),0)</f>
        <v>0</v>
      </c>
      <c r="CR240" s="697">
        <f>IF(AND($B240&gt;=$FL240,$B240&lt;=$FM240),MAX($CJ240,Sheet1!EG240,0),MAX($CJ240-(7/36)*$K240,0))</f>
        <v>11.400793650793654</v>
      </c>
      <c r="CS240" s="712">
        <f t="shared" si="777"/>
        <v>0</v>
      </c>
      <c r="CT240" s="697">
        <f t="shared" si="778"/>
        <v>0</v>
      </c>
      <c r="CU240" s="697">
        <f>IF(AND($O240&gt;0,Sheet1!EK240=1),(1-($O240-Sheet1!$L240)/$O240)*CP240,0)</f>
        <v>0</v>
      </c>
      <c r="CV240" s="697">
        <f>IF(AND(Sheet1!$L240=0,Sheet1!$L239=0, Calculation!CO240&lt;Sheet1!$EG240-0.1,Sheet1!$EG240=Sheet1!$EG239,Sheet1!$EG240=Sheet1!$EG241),Sheet1!$EG240,CP240-CU240)</f>
        <v>11.400793650793654</v>
      </c>
      <c r="CW240" s="697">
        <f t="shared" si="721"/>
        <v>0</v>
      </c>
      <c r="CX240" s="712">
        <f t="shared" si="779"/>
        <v>18.100000000000001</v>
      </c>
      <c r="CY240" s="712">
        <f t="shared" si="780"/>
        <v>446.83733358695514</v>
      </c>
      <c r="CZ240" s="712">
        <f t="shared" si="781"/>
        <v>18.674603174603178</v>
      </c>
      <c r="DA240" s="712">
        <f ca="1">IF(B240&gt;Summary!$A$1,#N/A,CY240*MGtoAF)</f>
        <v>1370.8969394447784</v>
      </c>
      <c r="DB240" s="712">
        <f t="shared" si="782"/>
        <v>18.099999999999998</v>
      </c>
      <c r="DC240" s="712">
        <f t="shared" si="783"/>
        <v>25.199999999999996</v>
      </c>
      <c r="DD240" s="712">
        <f>Sheet1!AB240-DC240</f>
        <v>0.80000000000000426</v>
      </c>
      <c r="DE240" s="712">
        <f t="shared" si="784"/>
        <v>3.1746031746031918E-2</v>
      </c>
      <c r="DF240" s="712">
        <f>(VLOOKUP(Sheet1!CY240,hhdcap_wcm,4)-(((VLOOKUP(Sheet1!CY240,hhdcap_wcm,3)-Sheet1!CY240)/(VLOOKUP(Sheet1!CY240,hhdcap_wcm,3)-VLOOKUP(Sheet1!CY240,hhdcap_wcm,1)))*(VLOOKUP(Sheet1!CY240,hhdcap_wcm,4)-VLOOKUP(Sheet1!CY240,hhdcap_wcm,2))))</f>
        <v>38835.390000095103</v>
      </c>
      <c r="DG240" s="712">
        <f t="shared" si="785"/>
        <v>-140.41999999999825</v>
      </c>
      <c r="DH240" s="712">
        <f t="shared" si="786"/>
        <v>-70.811901159857911</v>
      </c>
      <c r="DI240" s="712">
        <f>Sheet1!DW240*AFtoMG</f>
        <v>0</v>
      </c>
      <c r="DJ240" s="712">
        <f>Sheet1!DX240*AFtoMG</f>
        <v>0</v>
      </c>
      <c r="DK240" s="712">
        <f>Sheet1!DY240*AFtoMG</f>
        <v>0</v>
      </c>
      <c r="DL240" s="712">
        <f>Sheet1!DZ240*AFtoMG</f>
        <v>0</v>
      </c>
      <c r="DM240" s="712">
        <f t="shared" si="787"/>
        <v>0</v>
      </c>
      <c r="DN240" s="712">
        <f t="shared" si="788"/>
        <v>0</v>
      </c>
      <c r="DO240" s="712">
        <f t="shared" si="789"/>
        <v>2950.825422931081</v>
      </c>
      <c r="DP240" s="712">
        <f t="shared" si="790"/>
        <v>9053.1323975525574</v>
      </c>
      <c r="DQ240" s="712"/>
      <c r="DR240" s="697">
        <f>IF(OR(B240&lt;FL240,B240&gt;FM240),(MIN(AV240+BO240+CJ240+MAX(Sheet1!AA240+AG240-73,0),K240)),0)</f>
        <v>0</v>
      </c>
      <c r="DS240" s="712"/>
      <c r="DT240" s="712">
        <f t="shared" si="791"/>
        <v>18.674603174603178</v>
      </c>
      <c r="DU240" s="712"/>
      <c r="DV240" s="712">
        <f>Sheet1!ED240+Sheet1!EE240+Sheet1!EF240+Sheet1!EG240</f>
        <v>18</v>
      </c>
      <c r="DW240" s="712"/>
      <c r="DX240" s="697">
        <f t="shared" si="792"/>
        <v>0</v>
      </c>
      <c r="DY240" s="712">
        <f>IF(Sheet1!FN240=1,SUM('Calculations II'!AT240:BA240)+'Calculations II'!BC240+Sheet1!BU240+'Calculations II'!BE240+AF240,SUM('Calculations II'!AT240:BA240)+'Calculations II'!BC240+Sheet1!BU240+'Calculations II'!BE240+AF240)</f>
        <v>62.273648000000001</v>
      </c>
      <c r="DZ240" s="712">
        <f>Sheet1!AA240+Sheet1!AB240+'Calculations II'!BC240</f>
        <v>80.806111999999999</v>
      </c>
      <c r="EA240" s="712"/>
      <c r="EB240" s="712"/>
      <c r="EC240" s="712">
        <f t="shared" si="793"/>
        <v>40769</v>
      </c>
      <c r="ED240" s="712">
        <f t="shared" si="794"/>
        <v>-18.674603174603178</v>
      </c>
      <c r="EE240" s="712">
        <f t="shared" si="795"/>
        <v>-28.889611111111115</v>
      </c>
      <c r="EF240" s="712">
        <f>-(VLOOKUP(Sheet1!BQ240,Lookup!$B$4:$J$236,2)-VLOOKUP(Sheet1!BQ239,Lookup!$B$4:$J$236,2))/1000000</f>
        <v>1.3354999999999999</v>
      </c>
      <c r="EG240" s="712">
        <f>-(VLOOKUP(Sheet1!BR240,Lookup!$B$4:$J$236,3)-VLOOKUP(Sheet1!BR239,Lookup!$B$4:$J$236,3))/1000000</f>
        <v>1.333</v>
      </c>
      <c r="EH240" s="712">
        <f>-(VLOOKUP(Sheet1!BS240,Lookup!$B$4:$J$236,4)-VLOOKUP(Sheet1!BS239,Lookup!$B$4:$J$236,4))/1000000</f>
        <v>0</v>
      </c>
      <c r="EI240" s="697">
        <f t="shared" si="796"/>
        <v>2.6684999999999999</v>
      </c>
      <c r="EJ240" s="712"/>
      <c r="EK240" s="712"/>
      <c r="EL240" s="712"/>
      <c r="EM240" s="712"/>
      <c r="EN240" s="712"/>
      <c r="EO240" s="712"/>
      <c r="EP240" s="712"/>
      <c r="EQ240" s="712"/>
      <c r="ET240" s="794">
        <f t="shared" si="818"/>
        <v>1134.4000000000001</v>
      </c>
      <c r="EU240" s="697">
        <v>8785</v>
      </c>
      <c r="EV240" s="795">
        <f t="shared" si="734"/>
        <v>19777.257602542544</v>
      </c>
      <c r="EW240" s="796" t="s">
        <v>757</v>
      </c>
      <c r="EX240" s="796" t="s">
        <v>758</v>
      </c>
      <c r="EY240" s="712">
        <f t="shared" si="817"/>
        <v>0</v>
      </c>
      <c r="EZ240" s="798">
        <v>20633.000000047876</v>
      </c>
      <c r="FA240" s="712"/>
      <c r="FB240" s="712"/>
      <c r="FC240" s="712"/>
      <c r="FD240" s="712"/>
      <c r="FE240" s="712">
        <f>O240+Sheet1!CO240</f>
        <v>6880.8</v>
      </c>
      <c r="FF240" s="712">
        <f>IF(Sheet1!AA240+AG240&lt;=Calculation!N240,AG240,Calculation!N240-Sheet1!AA240)</f>
        <v>7.325396825396826</v>
      </c>
      <c r="FG240" s="712">
        <f>(Sheet1!BP240+Sheet1!BO240)/694.4</f>
        <v>4.1926843317972349</v>
      </c>
      <c r="FH240" s="712"/>
      <c r="FI240" s="712"/>
      <c r="FJ240" s="712"/>
      <c r="FK240" s="712"/>
      <c r="FL240" s="714">
        <f t="shared" si="726"/>
        <v>40753</v>
      </c>
      <c r="FM240" s="714">
        <f t="shared" si="727"/>
        <v>40851</v>
      </c>
      <c r="FN240" s="712"/>
      <c r="FO240" s="712"/>
      <c r="FP240" s="712"/>
      <c r="FQ240" s="712"/>
      <c r="FR240" s="712"/>
      <c r="FS240" s="725">
        <f t="shared" si="816"/>
        <v>40603</v>
      </c>
      <c r="FT240" s="714">
        <f t="shared" si="729"/>
        <v>40709</v>
      </c>
      <c r="FU240" s="712">
        <f t="shared" si="816"/>
        <v>6518.9048239895692</v>
      </c>
      <c r="FV240" s="714">
        <f t="shared" si="730"/>
        <v>40722</v>
      </c>
      <c r="FW240" s="712">
        <f t="shared" si="816"/>
        <v>3259.4524119947846</v>
      </c>
      <c r="FX240" s="725">
        <f t="shared" si="816"/>
        <v>40851</v>
      </c>
      <c r="FZ240" s="697">
        <f t="shared" si="722"/>
        <v>0</v>
      </c>
      <c r="GA240" s="712" t="str">
        <f t="shared" si="797"/>
        <v/>
      </c>
      <c r="GB240" s="712">
        <f t="shared" si="798"/>
        <v>0</v>
      </c>
      <c r="GC240" s="712" t="str">
        <f t="shared" si="799"/>
        <v/>
      </c>
      <c r="GD240" s="712">
        <f>IF(GA240="P",Lookup!$M$12,IF(GA240="PP",Lookup!$M$13,IF(GA240="PPP",Lookup!$M$14,IF(GA240="T",Lookup!$M$15,IF(GA240="TP",Lookup!$M$16,IF(GA240="TPP",Lookup!$M$17,IF(GA240="TPPP",Lookup!$M$18,0)))))))*FZ240</f>
        <v>0</v>
      </c>
      <c r="GE240" s="712">
        <f t="shared" si="800"/>
        <v>0</v>
      </c>
      <c r="GF240" s="712">
        <f t="shared" si="801"/>
        <v>4166.6666666666661</v>
      </c>
      <c r="GG240" s="712">
        <f t="shared" si="802"/>
        <v>1358.1051716644936</v>
      </c>
      <c r="GH240" s="712"/>
      <c r="GI240" s="712">
        <f t="shared" si="803"/>
        <v>0</v>
      </c>
      <c r="GJ240" s="712" t="str">
        <f t="shared" si="804"/>
        <v/>
      </c>
      <c r="GK240" s="712">
        <f>IF(GA240="P",Lookup!$N$12,IF(GA240="PP",Lookup!$N$13,IF(GA240="PPP",Lookup!$N$14,IF(GA240="T",Lookup!$N$15,IF(GA240="TP",Lookup!$N$16,IF(GA240="TPP",Lookup!$N$17,IF(GA240="TPPP",Lookup!$N$18,0)))))))*FZ240</f>
        <v>0</v>
      </c>
      <c r="GL240" s="712">
        <f t="shared" si="805"/>
        <v>0</v>
      </c>
      <c r="GM240" s="712">
        <f t="shared" si="806"/>
        <v>1818.32286031746</v>
      </c>
      <c r="GN240" s="712">
        <f t="shared" si="807"/>
        <v>592.67368328470013</v>
      </c>
      <c r="GO240" s="712"/>
      <c r="GP240" s="712">
        <f t="shared" si="808"/>
        <v>0</v>
      </c>
      <c r="GQ240" s="712" t="str">
        <f t="shared" si="809"/>
        <v/>
      </c>
      <c r="GR240" s="712">
        <f>IF(GA240="P",Lookup!$N$12,IF(GA240="PP",Lookup!$N$13,IF(GA240="PPP",Lookup!$N$14,IF(GA240="T",Lookup!$N$15,IF(GA240="TP",Lookup!$N$16,IF(GA240="TPP",Lookup!$N$17,IF(GA240="TPPP",Lookup!$N$18,0)))))))*FZ240</f>
        <v>0</v>
      </c>
      <c r="GS240" s="697">
        <f t="shared" si="724"/>
        <v>0</v>
      </c>
      <c r="GT240" s="712">
        <f t="shared" si="810"/>
        <v>1697.2459311236516</v>
      </c>
      <c r="GU240" s="712">
        <f t="shared" si="811"/>
        <v>553.20923439493208</v>
      </c>
      <c r="GV240" s="712"/>
      <c r="GW240" s="712">
        <f t="shared" si="812"/>
        <v>0</v>
      </c>
      <c r="GX240" s="712" t="str">
        <f t="shared" si="813"/>
        <v/>
      </c>
      <c r="GY240" s="712">
        <f>IF(GA240="P",Lookup!$N$12,IF(GA240="PP",Lookup!$N$13,IF(GA240="PPP",Lookup!$N$14,IF(GA240="T",Lookup!$N$15,IF(GA240="TP",Lookup!$N$16,IF(GA240="TPP",Lookup!$N$17,IF(GA240="TPPP",Lookup!$N$18,0)))))))*FZ240</f>
        <v>0</v>
      </c>
      <c r="GZ240" s="697">
        <f t="shared" si="725"/>
        <v>0</v>
      </c>
      <c r="HA240" s="712">
        <f t="shared" si="814"/>
        <v>1370.8969394447784</v>
      </c>
      <c r="HB240" s="712">
        <f t="shared" si="815"/>
        <v>446.83733358695514</v>
      </c>
      <c r="HC240" s="712"/>
    </row>
    <row r="241" spans="1:211">
      <c r="A241" s="773" t="s">
        <v>4</v>
      </c>
      <c r="B241" s="708">
        <v>40770</v>
      </c>
      <c r="C241" s="719">
        <v>0.5</v>
      </c>
      <c r="D241" s="675">
        <f t="shared" si="737"/>
        <v>200</v>
      </c>
      <c r="E241" s="675">
        <f t="shared" si="738"/>
        <v>400</v>
      </c>
      <c r="F241" s="675">
        <v>250</v>
      </c>
      <c r="G241" s="712">
        <f>DH241+Sheet1!CV241</f>
        <v>219.15374432665934</v>
      </c>
      <c r="H241" s="712">
        <f t="shared" si="739"/>
        <v>0</v>
      </c>
      <c r="I241" s="711">
        <f>MAX(Sheet1!Z241-AJ241+(Sheet1!CW241-E241)*CFStoMGD,0)</f>
        <v>0</v>
      </c>
      <c r="J241" s="720">
        <f>IF(AND(B241&gt;=Calculation!FS241,B241&lt;=Calculation!FT241),IF(Sheet1!CX241&gt;=Calculation!D241,64.64,0),MAX(Sheet1!Z241-AJ241+(Sheet1!CX241-D241)*CFStoMGD,0))</f>
        <v>0</v>
      </c>
      <c r="K241" s="697">
        <f t="shared" si="740"/>
        <v>0</v>
      </c>
      <c r="L241" s="712">
        <f>Sheet1!AA241+Sheet1!AB241-Sheet1!L241+(Sheet1!CW241-F241)*CFStoMGD</f>
        <v>131.25026666666781</v>
      </c>
      <c r="M241" s="712">
        <f t="shared" si="741"/>
        <v>144.49419993940765</v>
      </c>
      <c r="N241" s="712">
        <f>IF(Sheet1!CW241&gt;=F241,MIN(73,MIN(MAX(L241,0),MAX(M241,0))),0)</f>
        <v>73</v>
      </c>
      <c r="O241" s="721">
        <f>Sheet1!AA241+Sheet1!AB241</f>
        <v>71.970000000001164</v>
      </c>
      <c r="P241" s="721">
        <f t="shared" si="742"/>
        <v>111.3375900000018</v>
      </c>
      <c r="Q241" s="712">
        <f>MIN(N241,Sheet1!AA241+AG241)</f>
        <v>54.801364465525438</v>
      </c>
      <c r="R241" s="712">
        <f t="shared" si="743"/>
        <v>17</v>
      </c>
      <c r="S241" s="721">
        <f>Sheet1!Y241*MGDtoCFS</f>
        <v>68.114409999999992</v>
      </c>
      <c r="T241" s="721">
        <f>Sheet1!Z241*MGDtoCFS</f>
        <v>38.736879999999999</v>
      </c>
      <c r="U241" s="721">
        <f>Sheet1!AA241*MGDtoCFS</f>
        <v>69.522180000003601</v>
      </c>
      <c r="V241" s="721">
        <f>Sheet1!AB241*MGDtoCFS</f>
        <v>41.815409999998195</v>
      </c>
      <c r="W241" s="721">
        <f>Sheet1!L241*MGDtoCFS</f>
        <v>0</v>
      </c>
      <c r="X241" s="697">
        <f t="shared" si="744"/>
        <v>17.309416271433598</v>
      </c>
      <c r="Y241" s="712">
        <f t="shared" si="745"/>
        <v>26.777666971907774</v>
      </c>
      <c r="Z241" s="712">
        <f t="shared" si="746"/>
        <v>0</v>
      </c>
      <c r="AA241" s="712">
        <f t="shared" si="747"/>
        <v>0</v>
      </c>
      <c r="AB241" s="712">
        <f>(VLOOKUP(Sheet1!CY241,hhdcap_wcm,4)-(((VLOOKUP(Sheet1!CY241,hhdcap_wcm,3)-Sheet1!CY241)/(VLOOKUP(Sheet1!CY241,hhdcap_wcm,3)-VLOOKUP(Sheet1!CY241,hhdcap_wcm,1)))*(VLOOKUP(Sheet1!CY241,hhdcap_wcm,4)-VLOOKUP(Sheet1!CY241,hhdcap_wcm,2))))</f>
        <v>38725.060000094869</v>
      </c>
      <c r="AC241" s="712">
        <f t="shared" si="748"/>
        <v>-110.33000000023458</v>
      </c>
      <c r="AD241" s="712">
        <f t="shared" si="749"/>
        <v>2933.5160066596472</v>
      </c>
      <c r="AE241" s="712">
        <f t="shared" si="750"/>
        <v>9000.0271084317974</v>
      </c>
      <c r="AF241" s="712">
        <f>Sheet1!BA241+Sheet1!BB241+Sheet1!BN241+BT241</f>
        <v>10</v>
      </c>
      <c r="AG241" s="712">
        <f t="shared" si="751"/>
        <v>9.8613644655231063</v>
      </c>
      <c r="AH241" s="712">
        <f>Sheet1!BA241+BT241</f>
        <v>0</v>
      </c>
      <c r="AI241" s="712">
        <f>Sheet1!BA241+Sheet1!BB241+BT241</f>
        <v>0</v>
      </c>
      <c r="AJ241" s="712">
        <f>IF((Sheet1!AA241+AG241+AX241+AZ241+BQ241+BS241+CL241+CN241)&lt;=N241,AG241+AX241+AZ241+BQ241+BS241+CL241+CN241,N241-Sheet1!AA241)</f>
        <v>9.8613644655231063</v>
      </c>
      <c r="AK241" s="712">
        <f>IF(DR241&lt;K241,0,MAX(Sheet1!AA241+AG241-15/36*K241-N241,Sheet1!ED241,0))</f>
        <v>0</v>
      </c>
      <c r="AL241" s="712">
        <f>IF(OR(B241&gt;=FT241,B241&lt;FS241),0,15/36*K241-MAX(0,64.6-(137.6-(Sheet1!AA241+Sheet1!AB241))))</f>
        <v>0</v>
      </c>
      <c r="AM241" s="712">
        <f>Sheet1!CX241-110</f>
        <v>64.270833333333343</v>
      </c>
      <c r="AN241" s="712">
        <f>Sheet1!CW241-265</f>
        <v>76.708333333333314</v>
      </c>
      <c r="AO241" s="712">
        <f t="shared" si="733"/>
        <v>18.198635534474562</v>
      </c>
      <c r="AP241" s="712">
        <f t="shared" si="752"/>
        <v>0</v>
      </c>
      <c r="AQ241" s="712">
        <f t="shared" si="753"/>
        <v>0</v>
      </c>
      <c r="AR241" s="712">
        <f t="shared" si="754"/>
        <v>1358.1051716644936</v>
      </c>
      <c r="AS241" s="712"/>
      <c r="AT241" s="712">
        <f ca="1">IF(B241&gt;Summary!$A$1,#N/A,AR241*MGtoAF)</f>
        <v>4166.6666666666661</v>
      </c>
      <c r="AU241" s="712">
        <f>Sheet1!BG241+Sheet1!BH241+Sheet1!BI241-BC241</f>
        <v>1.98</v>
      </c>
      <c r="AV241" s="712">
        <f t="shared" si="755"/>
        <v>1.9525501641735752</v>
      </c>
      <c r="AW241" s="712">
        <f>IF(Sheet1!EL241="FM",BC241,0)</f>
        <v>0</v>
      </c>
      <c r="AX241" s="712">
        <f t="shared" si="756"/>
        <v>0</v>
      </c>
      <c r="AY241" s="712">
        <f>IF(Sheet1!EL241="OTHER",BC241,0)</f>
        <v>0</v>
      </c>
      <c r="AZ241" s="712">
        <f t="shared" si="757"/>
        <v>0</v>
      </c>
      <c r="BA241" s="712">
        <f t="shared" si="758"/>
        <v>1.98</v>
      </c>
      <c r="BB241" s="712">
        <f t="shared" si="759"/>
        <v>1.9525501641735752</v>
      </c>
      <c r="BC241" s="712">
        <f>IF(OR(Sheet1!EL241="FM", Sheet1!EL241="OTHER"),SUM(Sheet1!BG241:'Sheet1'!BI241),0)</f>
        <v>0</v>
      </c>
      <c r="BD241" s="697">
        <f>IF(AND($B241&gt;=$FL241,$B241&lt;=$FM241),MAX(AV241,Sheet1!EE241,0),MAX(AV241-(7/36)*$K241,0))</f>
        <v>2</v>
      </c>
      <c r="BE241" s="712">
        <f t="shared" si="760"/>
        <v>0</v>
      </c>
      <c r="BF241" s="697">
        <f t="shared" si="761"/>
        <v>0</v>
      </c>
      <c r="BG241" s="697">
        <f>IF(AND($O241&gt;0,Sheet1!EI241=1),(1-($O241-Sheet1!$L241)/$O241)*BB241,0)</f>
        <v>0</v>
      </c>
      <c r="BH241" s="697">
        <f>IF(AND(Sheet1!$L241=0,Sheet1!$L240=0, Calculation!BA241&lt;Sheet1!$EE241-0.1,Sheet1!$EE241=Sheet1!$EE240,Sheet1!$EE241=Sheet1!$EE242),Sheet1!$EE241,BB241-BG241)</f>
        <v>1.9525501641735752</v>
      </c>
      <c r="BI241" s="712"/>
      <c r="BJ241" s="712"/>
      <c r="BK241" s="712">
        <f t="shared" si="762"/>
        <v>590.67368328470013</v>
      </c>
      <c r="BL241" s="712"/>
      <c r="BM241" s="712">
        <f ca="1">IF(B241&gt;Summary!$A$1,#N/A,BK241*MGtoAF)</f>
        <v>1812.1868603174601</v>
      </c>
      <c r="BN241" s="712">
        <f>Sheet1!BC241+Sheet1!BD241+Sheet1!BE241+Sheet1!BF241-BW241-BX241</f>
        <v>4.37</v>
      </c>
      <c r="BO241" s="712">
        <f t="shared" si="763"/>
        <v>4.309416271433598</v>
      </c>
      <c r="BP241" s="712">
        <f>IF(Sheet1!EM241="FM",BX241,0)</f>
        <v>0</v>
      </c>
      <c r="BQ241" s="712">
        <f t="shared" si="764"/>
        <v>0</v>
      </c>
      <c r="BR241" s="712">
        <f>IF(Sheet1!EM241="OTHER",BX241,0)</f>
        <v>0</v>
      </c>
      <c r="BS241" s="712">
        <f t="shared" si="765"/>
        <v>0</v>
      </c>
      <c r="BT241" s="712">
        <f t="shared" si="766"/>
        <v>0</v>
      </c>
      <c r="BU241" s="712">
        <f t="shared" si="767"/>
        <v>4.37</v>
      </c>
      <c r="BV241" s="712">
        <f t="shared" si="768"/>
        <v>4.309416271433598</v>
      </c>
      <c r="BW241" s="712">
        <f>IF(Sheet1!EM241="CWA",SUM(Sheet1!BC241:'Sheet1'!BF241),0)</f>
        <v>0</v>
      </c>
      <c r="BX241" s="712">
        <f>IF(OR(Sheet1!EM241="FM", Sheet1!EM241="OTHER"),SUM(Sheet1!BC241:'Sheet1'!BF241),0)</f>
        <v>0</v>
      </c>
      <c r="BY241" s="697">
        <f>IF(AND($B241&gt;=$FL241,$B241&lt;=$FM241),MAX(BV241,Sheet1!EF241,0),MAX(BV241-(7/36)*$K241,0))</f>
        <v>4.309416271433598</v>
      </c>
      <c r="BZ241" s="712">
        <f t="shared" si="769"/>
        <v>0</v>
      </c>
      <c r="CA241" s="697">
        <f t="shared" si="770"/>
        <v>0</v>
      </c>
      <c r="CB241" s="697">
        <f>IF(AND($O241&gt;0,Sheet1!EJ241=1),(1-($O241-Sheet1!$L241)/$O241)*BV241,0)</f>
        <v>0</v>
      </c>
      <c r="CC241" s="697">
        <f>IF(AND(Sheet1!$L241=0,Sheet1!$L240=0, Calculation!BU241&lt;Sheet1!EF241-0.1,Sheet1!EF241=Sheet1!EF240,Sheet1!EF241=Sheet1!EF242),Sheet1!EF241,BV241-CB241)</f>
        <v>4.309416271433598</v>
      </c>
      <c r="CD241" s="697"/>
      <c r="CE241" s="712"/>
      <c r="CF241" s="712">
        <f t="shared" si="771"/>
        <v>548.89981812349845</v>
      </c>
      <c r="CG241" s="712"/>
      <c r="CH241" s="712">
        <f ca="1">IF(B241&gt;Summary!$A$1,#N/A,CF241*MGtoAF)</f>
        <v>1684.0246420028932</v>
      </c>
      <c r="CI241" s="712">
        <f>Sheet1!BK241+Sheet1!BL241+Sheet1!BM241-Sheet1!EN241-CQ241</f>
        <v>11.059999999999999</v>
      </c>
      <c r="CJ241" s="712">
        <f t="shared" si="772"/>
        <v>10.906669098868555</v>
      </c>
      <c r="CK241" s="712">
        <f>IF(Sheet1!EN241="FM",CQ241,0)</f>
        <v>0</v>
      </c>
      <c r="CL241" s="712">
        <f t="shared" si="773"/>
        <v>0</v>
      </c>
      <c r="CM241" s="712">
        <f>IF(Sheet1!EN241="OTHER",CQ241,0)</f>
        <v>0</v>
      </c>
      <c r="CN241" s="712">
        <f t="shared" si="774"/>
        <v>0</v>
      </c>
      <c r="CO241" s="712">
        <f t="shared" si="775"/>
        <v>11.059999999999999</v>
      </c>
      <c r="CP241" s="712">
        <f t="shared" si="776"/>
        <v>10.906669098868555</v>
      </c>
      <c r="CQ241" s="712">
        <f>IF(OR(Sheet1!EN241="FM", Sheet1!EN241="OTHER"),SUM(Sheet1!BK241:'Sheet1'!BM241),0)</f>
        <v>0</v>
      </c>
      <c r="CR241" s="697">
        <f>IF(AND($B241&gt;=$FL241,$B241&lt;=$FM241),MAX($CJ241,Sheet1!EG241,0),MAX($CJ241-(7/36)*$K241,0))</f>
        <v>11</v>
      </c>
      <c r="CS241" s="712">
        <f t="shared" si="777"/>
        <v>0</v>
      </c>
      <c r="CT241" s="697">
        <f t="shared" si="778"/>
        <v>0</v>
      </c>
      <c r="CU241" s="697">
        <f>IF(AND($O241&gt;0,Sheet1!EK241=1),(1-($O241-Sheet1!$L241)/$O241)*CP241,0)</f>
        <v>0</v>
      </c>
      <c r="CV241" s="697">
        <f>IF(AND(Sheet1!$L241=0,Sheet1!$L240=0, Calculation!CO241&lt;Sheet1!$EG241-0.1,Sheet1!$EG241=Sheet1!$EG240,Sheet1!$EG241=Sheet1!$EG242),Sheet1!$EG241,CP241-CU241)</f>
        <v>10.906669098868555</v>
      </c>
      <c r="CW241" s="697">
        <f t="shared" si="721"/>
        <v>0</v>
      </c>
      <c r="CX241" s="712">
        <f t="shared" si="779"/>
        <v>17.409999999999997</v>
      </c>
      <c r="CY241" s="712">
        <f t="shared" si="780"/>
        <v>435.83733358695514</v>
      </c>
      <c r="CZ241" s="712">
        <f t="shared" si="781"/>
        <v>17.168635534475726</v>
      </c>
      <c r="DA241" s="712">
        <f ca="1">IF(B241&gt;Summary!$A$1,#N/A,CY241*MGtoAF)</f>
        <v>1337.1489394447783</v>
      </c>
      <c r="DB241" s="712">
        <f t="shared" si="782"/>
        <v>17.41</v>
      </c>
      <c r="DC241" s="712">
        <f t="shared" si="783"/>
        <v>27.41</v>
      </c>
      <c r="DD241" s="712">
        <f>Sheet1!AB241-DC241</f>
        <v>-0.3800000000011643</v>
      </c>
      <c r="DE241" s="712">
        <f t="shared" si="784"/>
        <v>-1.386355344768932E-2</v>
      </c>
      <c r="DF241" s="712">
        <f>(VLOOKUP(Sheet1!CY241,hhdcap_wcm,4)-(((VLOOKUP(Sheet1!CY241,hhdcap_wcm,3)-Sheet1!CY241)/(VLOOKUP(Sheet1!CY241,hhdcap_wcm,3)-VLOOKUP(Sheet1!CY241,hhdcap_wcm,1)))*(VLOOKUP(Sheet1!CY241,hhdcap_wcm,4)-VLOOKUP(Sheet1!CY241,hhdcap_wcm,2))))</f>
        <v>38725.060000094869</v>
      </c>
      <c r="DG241" s="712">
        <f t="shared" si="785"/>
        <v>-110.33000000023458</v>
      </c>
      <c r="DH241" s="712">
        <f t="shared" si="786"/>
        <v>-55.637922340007343</v>
      </c>
      <c r="DI241" s="712">
        <f>Sheet1!DW241*AFtoMG</f>
        <v>0</v>
      </c>
      <c r="DJ241" s="712">
        <f>Sheet1!DX241*AFtoMG</f>
        <v>0</v>
      </c>
      <c r="DK241" s="712">
        <f>Sheet1!DY241*AFtoMG</f>
        <v>0</v>
      </c>
      <c r="DL241" s="712">
        <f>Sheet1!DZ241*AFtoMG</f>
        <v>0</v>
      </c>
      <c r="DM241" s="712">
        <f t="shared" si="787"/>
        <v>0</v>
      </c>
      <c r="DN241" s="712">
        <f t="shared" si="788"/>
        <v>0</v>
      </c>
      <c r="DO241" s="712">
        <f t="shared" si="789"/>
        <v>2933.5160066596472</v>
      </c>
      <c r="DP241" s="712">
        <f t="shared" si="790"/>
        <v>9000.0271084317974</v>
      </c>
      <c r="DQ241" s="712"/>
      <c r="DR241" s="697">
        <f>IF(OR(B241&lt;FL241,B241&gt;FM241),(MIN(AV241+BO241+CJ241+MAX(Sheet1!AA241+AG241-73,0),K241)),0)</f>
        <v>0</v>
      </c>
      <c r="DS241" s="712"/>
      <c r="DT241" s="712">
        <f t="shared" si="791"/>
        <v>17.168635534475726</v>
      </c>
      <c r="DU241" s="712"/>
      <c r="DV241" s="712">
        <f>Sheet1!ED241+Sheet1!EE241+Sheet1!EF241+Sheet1!EG241</f>
        <v>17</v>
      </c>
      <c r="DW241" s="712"/>
      <c r="DX241" s="697">
        <f t="shared" si="792"/>
        <v>0</v>
      </c>
      <c r="DY241" s="712">
        <f>IF(Sheet1!FN241=1,SUM('Calculations II'!AT241:BA241)+'Calculations II'!BC241+Sheet1!BU241+'Calculations II'!BE241+AF241,SUM('Calculations II'!AT241:BA241)+'Calculations II'!BC241+Sheet1!BU241+'Calculations II'!BE241+AF241)</f>
        <v>69.438559999999995</v>
      </c>
      <c r="DZ241" s="712">
        <f>Sheet1!AA241+Sheet1!AB241+'Calculations II'!BC241</f>
        <v>84.687072000001166</v>
      </c>
      <c r="EA241" s="712"/>
      <c r="EB241" s="712"/>
      <c r="EC241" s="712">
        <f t="shared" si="793"/>
        <v>40770</v>
      </c>
      <c r="ED241" s="712">
        <f t="shared" si="794"/>
        <v>-17.309416271433598</v>
      </c>
      <c r="EE241" s="712">
        <f t="shared" si="795"/>
        <v>-26.777666971907774</v>
      </c>
      <c r="EF241" s="712">
        <f>-(VLOOKUP(Sheet1!BQ241,Lookup!$B$4:$J$236,2)-VLOOKUP(Sheet1!BQ240,Lookup!$B$4:$J$236,2))/1000000</f>
        <v>0</v>
      </c>
      <c r="EG241" s="712">
        <f>-(VLOOKUP(Sheet1!BR241,Lookup!$B$4:$J$236,3)-VLOOKUP(Sheet1!BR240,Lookup!$B$4:$J$236,3))/1000000</f>
        <v>0</v>
      </c>
      <c r="EH241" s="712">
        <f>-(VLOOKUP(Sheet1!BS241,Lookup!$B$4:$J$236,4)-VLOOKUP(Sheet1!BS240,Lookup!$B$4:$J$236,4))/1000000</f>
        <v>0</v>
      </c>
      <c r="EI241" s="697">
        <f t="shared" si="796"/>
        <v>0</v>
      </c>
      <c r="EJ241" s="712"/>
      <c r="EK241" s="712"/>
      <c r="EL241" s="712"/>
      <c r="EM241" s="712"/>
      <c r="EN241" s="712"/>
      <c r="EO241" s="712"/>
      <c r="EP241" s="712"/>
      <c r="EQ241" s="712"/>
      <c r="ET241" s="794">
        <f t="shared" si="818"/>
        <v>1134.2</v>
      </c>
      <c r="EU241" s="697">
        <v>8785</v>
      </c>
      <c r="EV241" s="795">
        <f t="shared" si="734"/>
        <v>19720.032891663071</v>
      </c>
      <c r="EW241" s="796" t="s">
        <v>757</v>
      </c>
      <c r="EX241" s="796" t="s">
        <v>758</v>
      </c>
      <c r="EY241" s="712">
        <f t="shared" si="817"/>
        <v>0</v>
      </c>
      <c r="EZ241" s="798">
        <v>20505.00000004773</v>
      </c>
      <c r="FA241" s="712"/>
      <c r="FB241" s="712"/>
      <c r="FC241" s="712"/>
      <c r="FD241" s="712"/>
      <c r="FE241" s="712">
        <f>O241+Sheet1!CO241</f>
        <v>8903.27</v>
      </c>
      <c r="FF241" s="712">
        <f>IF(Sheet1!AA241+AG241&lt;=Calculation!N241,AG241,Calculation!N241-Sheet1!AA241)</f>
        <v>9.8613644655231063</v>
      </c>
      <c r="FG241" s="712">
        <f>(Sheet1!BP241+Sheet1!BO241)/694.4</f>
        <v>4.4635656682027651</v>
      </c>
      <c r="FH241" s="712"/>
      <c r="FI241" s="712"/>
      <c r="FJ241" s="712"/>
      <c r="FK241" s="712"/>
      <c r="FL241" s="714">
        <f t="shared" si="726"/>
        <v>40753</v>
      </c>
      <c r="FM241" s="714">
        <f t="shared" si="727"/>
        <v>40851</v>
      </c>
      <c r="FN241" s="712"/>
      <c r="FO241" s="712"/>
      <c r="FP241" s="712"/>
      <c r="FQ241" s="712"/>
      <c r="FR241" s="712"/>
      <c r="FS241" s="725">
        <f t="shared" si="816"/>
        <v>40603</v>
      </c>
      <c r="FT241" s="714">
        <f t="shared" si="729"/>
        <v>40709</v>
      </c>
      <c r="FU241" s="712">
        <f t="shared" si="816"/>
        <v>6518.9048239895692</v>
      </c>
      <c r="FV241" s="714">
        <f t="shared" si="730"/>
        <v>40722</v>
      </c>
      <c r="FW241" s="712">
        <f t="shared" si="816"/>
        <v>3259.4524119947846</v>
      </c>
      <c r="FX241" s="725">
        <f t="shared" si="816"/>
        <v>40851</v>
      </c>
      <c r="FZ241" s="697">
        <f t="shared" si="722"/>
        <v>0</v>
      </c>
      <c r="GA241" s="712" t="str">
        <f t="shared" si="797"/>
        <v/>
      </c>
      <c r="GB241" s="712">
        <f t="shared" si="798"/>
        <v>0</v>
      </c>
      <c r="GC241" s="712" t="str">
        <f t="shared" si="799"/>
        <v/>
      </c>
      <c r="GD241" s="712">
        <f>IF(GA241="P",Lookup!$M$12,IF(GA241="PP",Lookup!$M$13,IF(GA241="PPP",Lookup!$M$14,IF(GA241="T",Lookup!$M$15,IF(GA241="TP",Lookup!$M$16,IF(GA241="TPP",Lookup!$M$17,IF(GA241="TPPP",Lookup!$M$18,0)))))))*FZ241</f>
        <v>0</v>
      </c>
      <c r="GE241" s="712">
        <f t="shared" si="800"/>
        <v>0</v>
      </c>
      <c r="GF241" s="712">
        <f t="shared" si="801"/>
        <v>4166.6666666666661</v>
      </c>
      <c r="GG241" s="712">
        <f t="shared" si="802"/>
        <v>1358.1051716644936</v>
      </c>
      <c r="GH241" s="712"/>
      <c r="GI241" s="712">
        <f t="shared" si="803"/>
        <v>0</v>
      </c>
      <c r="GJ241" s="712" t="str">
        <f t="shared" si="804"/>
        <v/>
      </c>
      <c r="GK241" s="712">
        <f>IF(GA241="P",Lookup!$N$12,IF(GA241="PP",Lookup!$N$13,IF(GA241="PPP",Lookup!$N$14,IF(GA241="T",Lookup!$N$15,IF(GA241="TP",Lookup!$N$16,IF(GA241="TPP",Lookup!$N$17,IF(GA241="TPPP",Lookup!$N$18,0)))))))*FZ241</f>
        <v>0</v>
      </c>
      <c r="GL241" s="712">
        <f t="shared" si="805"/>
        <v>0</v>
      </c>
      <c r="GM241" s="712">
        <f t="shared" si="806"/>
        <v>1812.1868603174601</v>
      </c>
      <c r="GN241" s="712">
        <f t="shared" si="807"/>
        <v>590.67368328470013</v>
      </c>
      <c r="GO241" s="712"/>
      <c r="GP241" s="712">
        <f t="shared" si="808"/>
        <v>0</v>
      </c>
      <c r="GQ241" s="712" t="str">
        <f t="shared" si="809"/>
        <v/>
      </c>
      <c r="GR241" s="712">
        <f>IF(GA241="P",Lookup!$N$12,IF(GA241="PP",Lookup!$N$13,IF(GA241="PPP",Lookup!$N$14,IF(GA241="T",Lookup!$N$15,IF(GA241="TP",Lookup!$N$16,IF(GA241="TPP",Lookup!$N$17,IF(GA241="TPPP",Lookup!$N$18,0)))))))*FZ241</f>
        <v>0</v>
      </c>
      <c r="GS241" s="697">
        <f t="shared" si="724"/>
        <v>0</v>
      </c>
      <c r="GT241" s="712">
        <f t="shared" si="810"/>
        <v>1684.0246420028932</v>
      </c>
      <c r="GU241" s="712">
        <f t="shared" si="811"/>
        <v>548.89981812349845</v>
      </c>
      <c r="GV241" s="712"/>
      <c r="GW241" s="712">
        <f t="shared" si="812"/>
        <v>0</v>
      </c>
      <c r="GX241" s="712" t="str">
        <f t="shared" si="813"/>
        <v/>
      </c>
      <c r="GY241" s="712">
        <f>IF(GA241="P",Lookup!$N$12,IF(GA241="PP",Lookup!$N$13,IF(GA241="PPP",Lookup!$N$14,IF(GA241="T",Lookup!$N$15,IF(GA241="TP",Lookup!$N$16,IF(GA241="TPP",Lookup!$N$17,IF(GA241="TPPP",Lookup!$N$18,0)))))))*FZ241</f>
        <v>0</v>
      </c>
      <c r="GZ241" s="697">
        <f t="shared" si="725"/>
        <v>0</v>
      </c>
      <c r="HA241" s="712">
        <f t="shared" si="814"/>
        <v>1337.1489394447783</v>
      </c>
      <c r="HB241" s="712">
        <f t="shared" si="815"/>
        <v>435.83733358695514</v>
      </c>
      <c r="HC241" s="712"/>
    </row>
    <row r="242" spans="1:211">
      <c r="A242" s="773" t="s">
        <v>5</v>
      </c>
      <c r="B242" s="708">
        <v>40771</v>
      </c>
      <c r="C242" s="709">
        <v>0.5</v>
      </c>
      <c r="D242" s="675">
        <f t="shared" si="737"/>
        <v>200</v>
      </c>
      <c r="E242" s="675">
        <f t="shared" si="738"/>
        <v>400</v>
      </c>
      <c r="F242" s="675">
        <v>250</v>
      </c>
      <c r="G242" s="712">
        <f>DH242+Sheet1!CV242</f>
        <v>208.0479072105158</v>
      </c>
      <c r="H242" s="712">
        <f t="shared" si="739"/>
        <v>0</v>
      </c>
      <c r="I242" s="711">
        <f>MAX(Sheet1!Z242-AJ242+(Sheet1!CW242-E242)*CFStoMGD,0)</f>
        <v>0</v>
      </c>
      <c r="J242" s="720">
        <f>IF(AND(B242&gt;=Calculation!FS242,B242&lt;=Calculation!FT242),IF(Sheet1!CX242&gt;=Calculation!D242,64.64,0),MAX(Sheet1!Z242-AJ242+(Sheet1!CX242-D242)*CFStoMGD,0))</f>
        <v>0</v>
      </c>
      <c r="K242" s="697">
        <f t="shared" si="740"/>
        <v>0</v>
      </c>
      <c r="L242" s="712">
        <f>Sheet1!AA242+Sheet1!AB242-Sheet1!L242+(Sheet1!CW242-F242)*CFStoMGD</f>
        <v>134.26886666666491</v>
      </c>
      <c r="M242" s="712">
        <f t="shared" si="741"/>
        <v>137.17181056529498</v>
      </c>
      <c r="N242" s="712">
        <f>IF(Sheet1!CW242&gt;=F242,MIN(73,MIN(MAX(L242,0),MAX(M242,0))),0)</f>
        <v>73</v>
      </c>
      <c r="O242" s="721">
        <f>Sheet1!AA242+Sheet1!AB242</f>
        <v>79.169999999998254</v>
      </c>
      <c r="P242" s="721">
        <f t="shared" si="742"/>
        <v>122.4759899999973</v>
      </c>
      <c r="Q242" s="712">
        <f>MIN(N242,Sheet1!AA242+AG242)</f>
        <v>61.619703588142727</v>
      </c>
      <c r="R242" s="712">
        <f t="shared" si="743"/>
        <v>17</v>
      </c>
      <c r="S242" s="721">
        <f>Sheet1!Y242*MGDtoCFS</f>
        <v>71.579689999999999</v>
      </c>
      <c r="T242" s="721">
        <f>Sheet1!Z242*MGDtoCFS</f>
        <v>49.503999999999998</v>
      </c>
      <c r="U242" s="721">
        <f>Sheet1!AA242*MGDtoCFS</f>
        <v>72.322249999999997</v>
      </c>
      <c r="V242" s="721">
        <f>Sheet1!AB242*MGDtoCFS</f>
        <v>50.153739999997299</v>
      </c>
      <c r="W242" s="721">
        <f>Sheet1!L242*MGDtoCFS</f>
        <v>0</v>
      </c>
      <c r="X242" s="697">
        <f t="shared" si="744"/>
        <v>17.587900156005404</v>
      </c>
      <c r="Y242" s="712">
        <f t="shared" si="745"/>
        <v>27.208481541340358</v>
      </c>
      <c r="Z242" s="712">
        <f t="shared" si="746"/>
        <v>0</v>
      </c>
      <c r="AA242" s="712">
        <f t="shared" si="747"/>
        <v>0</v>
      </c>
      <c r="AB242" s="712">
        <f>(VLOOKUP(Sheet1!CY242,hhdcap_wcm,4)-(((VLOOKUP(Sheet1!CY242,hhdcap_wcm,3)-Sheet1!CY242)/(VLOOKUP(Sheet1!CY242,hhdcap_wcm,3)-VLOOKUP(Sheet1!CY242,hhdcap_wcm,1)))*(VLOOKUP(Sheet1!CY242,hhdcap_wcm,4)-VLOOKUP(Sheet1!CY242,hhdcap_wcm,2))))</f>
        <v>38576.430000093322</v>
      </c>
      <c r="AC242" s="712">
        <f t="shared" si="748"/>
        <v>-148.63000000154716</v>
      </c>
      <c r="AD242" s="712">
        <f t="shared" si="749"/>
        <v>2915.9281065036421</v>
      </c>
      <c r="AE242" s="712">
        <f t="shared" si="750"/>
        <v>8946.0674307531735</v>
      </c>
      <c r="AF242" s="712">
        <f>Sheet1!BA242+Sheet1!BB242+Sheet1!BN242+BT242</f>
        <v>14.7</v>
      </c>
      <c r="AG242" s="712">
        <f t="shared" si="751"/>
        <v>14.869703588142725</v>
      </c>
      <c r="AH242" s="712">
        <f>Sheet1!BA242+BT242</f>
        <v>0</v>
      </c>
      <c r="AI242" s="712">
        <f>Sheet1!BA242+Sheet1!BB242+BT242</f>
        <v>0</v>
      </c>
      <c r="AJ242" s="712">
        <f>IF((Sheet1!AA242+AG242+AX242+AZ242+BQ242+BS242+CL242+CN242)&lt;=N242,AG242+AX242+AZ242+BQ242+BS242+CL242+CN242,N242-Sheet1!AA242)</f>
        <v>14.869703588142725</v>
      </c>
      <c r="AK242" s="712">
        <f>IF(DR242&lt;K242,0,MAX(Sheet1!AA242+AG242-15/36*K242-N242,Sheet1!ED242,0))</f>
        <v>0</v>
      </c>
      <c r="AL242" s="712">
        <f>IF(OR(B242&gt;=FT242,B242&lt;FS242),0,15/36*K242-MAX(0,64.6-(137.6-(Sheet1!AA242+Sheet1!AB242))))</f>
        <v>0</v>
      </c>
      <c r="AM242" s="712">
        <f>Sheet1!CX242-110</f>
        <v>63.041666666666657</v>
      </c>
      <c r="AN242" s="712">
        <f>Sheet1!CW242-265</f>
        <v>70.239583333333314</v>
      </c>
      <c r="AO242" s="712">
        <f t="shared" si="733"/>
        <v>11.380296411857273</v>
      </c>
      <c r="AP242" s="712">
        <f t="shared" si="752"/>
        <v>0</v>
      </c>
      <c r="AQ242" s="712">
        <f t="shared" si="753"/>
        <v>0</v>
      </c>
      <c r="AR242" s="712">
        <f t="shared" si="754"/>
        <v>1358.1051716644936</v>
      </c>
      <c r="AS242" s="712"/>
      <c r="AT242" s="712">
        <f ca="1">IF(B242&gt;Summary!$A$1,#N/A,AR242*MGtoAF)</f>
        <v>4166.6666666666661</v>
      </c>
      <c r="AU242" s="712">
        <f>Sheet1!BG242+Sheet1!BH242+Sheet1!BI242-BC242</f>
        <v>1.94</v>
      </c>
      <c r="AV242" s="712">
        <f t="shared" si="755"/>
        <v>1.9623962558501284</v>
      </c>
      <c r="AW242" s="712">
        <f>IF(Sheet1!EL242="FM",BC242,0)</f>
        <v>0</v>
      </c>
      <c r="AX242" s="712">
        <f t="shared" si="756"/>
        <v>0</v>
      </c>
      <c r="AY242" s="712">
        <f>IF(Sheet1!EL242="OTHER",BC242,0)</f>
        <v>0</v>
      </c>
      <c r="AZ242" s="712">
        <f t="shared" si="757"/>
        <v>0</v>
      </c>
      <c r="BA242" s="712">
        <f t="shared" si="758"/>
        <v>1.94</v>
      </c>
      <c r="BB242" s="712">
        <f t="shared" si="759"/>
        <v>1.9623962558501284</v>
      </c>
      <c r="BC242" s="712">
        <f>IF(OR(Sheet1!EL242="FM", Sheet1!EL242="OTHER"),SUM(Sheet1!BG242:'Sheet1'!BI242),0)</f>
        <v>0</v>
      </c>
      <c r="BD242" s="697">
        <f>IF(AND($B242&gt;=$FL242,$B242&lt;=$FM242),MAX(AV242,Sheet1!EE242,0),MAX(AV242-(7/36)*$K242,0))</f>
        <v>2</v>
      </c>
      <c r="BE242" s="712">
        <f t="shared" si="760"/>
        <v>0</v>
      </c>
      <c r="BF242" s="697">
        <f t="shared" si="761"/>
        <v>0</v>
      </c>
      <c r="BG242" s="697">
        <f>IF(AND($O242&gt;0,Sheet1!EI242=1),(1-($O242-Sheet1!$L242)/$O242)*BB242,0)</f>
        <v>0</v>
      </c>
      <c r="BH242" s="697">
        <f>IF(AND(Sheet1!$L242=0,Sheet1!$L241=0, Calculation!BA242&lt;Sheet1!$EE242-0.1,Sheet1!$EE242=Sheet1!$EE241,Sheet1!$EE242=Sheet1!$EE243),Sheet1!$EE242,BB242-BG242)</f>
        <v>1.9623962558501284</v>
      </c>
      <c r="BI242" s="712"/>
      <c r="BJ242" s="712"/>
      <c r="BK242" s="712">
        <f t="shared" si="762"/>
        <v>588.67368328470013</v>
      </c>
      <c r="BL242" s="712"/>
      <c r="BM242" s="712">
        <f ca="1">IF(B242&gt;Summary!$A$1,#N/A,BK242*MGtoAF)</f>
        <v>1806.0508603174601</v>
      </c>
      <c r="BN242" s="712">
        <f>Sheet1!BC242+Sheet1!BD242+Sheet1!BE242+Sheet1!BF242-BW242-BX242</f>
        <v>4.3600000000000003</v>
      </c>
      <c r="BO242" s="712">
        <f t="shared" si="763"/>
        <v>4.4103338533538974</v>
      </c>
      <c r="BP242" s="712">
        <f>IF(Sheet1!EM242="FM",BX242,0)</f>
        <v>0</v>
      </c>
      <c r="BQ242" s="712">
        <f t="shared" si="764"/>
        <v>0</v>
      </c>
      <c r="BR242" s="712">
        <f>IF(Sheet1!EM242="OTHER",BX242,0)</f>
        <v>0</v>
      </c>
      <c r="BS242" s="712">
        <f t="shared" si="765"/>
        <v>0</v>
      </c>
      <c r="BT242" s="712">
        <f t="shared" si="766"/>
        <v>0</v>
      </c>
      <c r="BU242" s="712">
        <f t="shared" si="767"/>
        <v>4.3600000000000003</v>
      </c>
      <c r="BV242" s="712">
        <f t="shared" si="768"/>
        <v>4.4103338533538974</v>
      </c>
      <c r="BW242" s="712">
        <f>IF(Sheet1!EM242="CWA",SUM(Sheet1!BC242:'Sheet1'!BF242),0)</f>
        <v>0</v>
      </c>
      <c r="BX242" s="712">
        <f>IF(OR(Sheet1!EM242="FM", Sheet1!EM242="OTHER"),SUM(Sheet1!BC242:'Sheet1'!BF242),0)</f>
        <v>0</v>
      </c>
      <c r="BY242" s="697">
        <f>IF(AND($B242&gt;=$FL242,$B242&lt;=$FM242),MAX(BV242,Sheet1!EF242,0),MAX(BV242-(7/36)*$K242,0))</f>
        <v>4.4103338533538974</v>
      </c>
      <c r="BZ242" s="712">
        <f t="shared" si="769"/>
        <v>0</v>
      </c>
      <c r="CA242" s="697">
        <f t="shared" si="770"/>
        <v>0</v>
      </c>
      <c r="CB242" s="697">
        <f>IF(AND($O242&gt;0,Sheet1!EJ242=1),(1-($O242-Sheet1!$L242)/$O242)*BV242,0)</f>
        <v>0</v>
      </c>
      <c r="CC242" s="697">
        <f>IF(AND(Sheet1!$L242=0,Sheet1!$L241=0, Calculation!BU242&lt;Sheet1!EF242-0.1,Sheet1!EF242=Sheet1!EF241,Sheet1!EF242=Sheet1!EF243),Sheet1!EF242,BV242-CB242)</f>
        <v>4.4103338533538974</v>
      </c>
      <c r="CD242" s="697"/>
      <c r="CE242" s="712"/>
      <c r="CF242" s="712">
        <f t="shared" si="771"/>
        <v>544.48948427014454</v>
      </c>
      <c r="CG242" s="712"/>
      <c r="CH242" s="712">
        <f ca="1">IF(B242&gt;Summary!$A$1,#N/A,CF242*MGtoAF)</f>
        <v>1670.4937377408035</v>
      </c>
      <c r="CI242" s="712">
        <f>Sheet1!BK242+Sheet1!BL242+Sheet1!BM242-Sheet1!EN242-CQ242</f>
        <v>11.05</v>
      </c>
      <c r="CJ242" s="712">
        <f t="shared" si="772"/>
        <v>11.177566302651506</v>
      </c>
      <c r="CK242" s="712">
        <f>IF(Sheet1!EN242="FM",CQ242,0)</f>
        <v>0</v>
      </c>
      <c r="CL242" s="712">
        <f t="shared" si="773"/>
        <v>0</v>
      </c>
      <c r="CM242" s="712">
        <f>IF(Sheet1!EN242="OTHER",CQ242,0)</f>
        <v>0</v>
      </c>
      <c r="CN242" s="712">
        <f t="shared" si="774"/>
        <v>0</v>
      </c>
      <c r="CO242" s="712">
        <f t="shared" si="775"/>
        <v>11.05</v>
      </c>
      <c r="CP242" s="712">
        <f t="shared" si="776"/>
        <v>11.177566302651506</v>
      </c>
      <c r="CQ242" s="712">
        <f>IF(OR(Sheet1!EN242="FM", Sheet1!EN242="OTHER"),SUM(Sheet1!BK242:'Sheet1'!BM242),0)</f>
        <v>0</v>
      </c>
      <c r="CR242" s="697">
        <f>IF(AND($B242&gt;=$FL242,$B242&lt;=$FM242),MAX($CJ242,Sheet1!EG242,0),MAX($CJ242-(7/36)*$K242,0))</f>
        <v>11.177566302651506</v>
      </c>
      <c r="CS242" s="712">
        <f t="shared" si="777"/>
        <v>0</v>
      </c>
      <c r="CT242" s="697">
        <f t="shared" si="778"/>
        <v>0</v>
      </c>
      <c r="CU242" s="697">
        <f>IF(AND($O242&gt;0,Sheet1!EK242=1),(1-($O242-Sheet1!$L242)/$O242)*CP242,0)</f>
        <v>0</v>
      </c>
      <c r="CV242" s="697">
        <f>IF(AND(Sheet1!$L242=0,Sheet1!$L241=0, Calculation!CO242&lt;Sheet1!$EG242-0.1,Sheet1!$EG242=Sheet1!$EG241,Sheet1!$EG242=Sheet1!$EG243),Sheet1!$EG242,CP242-CU242)</f>
        <v>11.177566302651506</v>
      </c>
      <c r="CW242" s="697">
        <f t="shared" si="721"/>
        <v>0</v>
      </c>
      <c r="CX242" s="712">
        <f t="shared" si="779"/>
        <v>17.350000000000001</v>
      </c>
      <c r="CY242" s="712">
        <f t="shared" si="780"/>
        <v>424.65976728430365</v>
      </c>
      <c r="CZ242" s="712">
        <f t="shared" si="781"/>
        <v>17.550296411855534</v>
      </c>
      <c r="DA242" s="712">
        <f ca="1">IF(B242&gt;Summary!$A$1,#N/A,CY242*MGtoAF)</f>
        <v>1302.8561660282437</v>
      </c>
      <c r="DB242" s="712">
        <f t="shared" si="782"/>
        <v>17.350000000000001</v>
      </c>
      <c r="DC242" s="712">
        <f t="shared" si="783"/>
        <v>32.049999999999997</v>
      </c>
      <c r="DD242" s="712">
        <f>Sheet1!AB242-DC242</f>
        <v>0.36999999999825661</v>
      </c>
      <c r="DE242" s="712">
        <f t="shared" si="784"/>
        <v>1.1544461778416743E-2</v>
      </c>
      <c r="DF242" s="712">
        <f>(VLOOKUP(Sheet1!CY242,hhdcap_wcm,4)-(((VLOOKUP(Sheet1!CY242,hhdcap_wcm,3)-Sheet1!CY242)/(VLOOKUP(Sheet1!CY242,hhdcap_wcm,3)-VLOOKUP(Sheet1!CY242,hhdcap_wcm,1)))*(VLOOKUP(Sheet1!CY242,hhdcap_wcm,4)-VLOOKUP(Sheet1!CY242,hhdcap_wcm,2))))</f>
        <v>38576.430000093322</v>
      </c>
      <c r="DG242" s="712">
        <f t="shared" si="785"/>
        <v>-148.63000000154716</v>
      </c>
      <c r="DH242" s="712">
        <f t="shared" si="786"/>
        <v>-74.952092789484183</v>
      </c>
      <c r="DI242" s="712">
        <f>Sheet1!DW242*AFtoMG</f>
        <v>0</v>
      </c>
      <c r="DJ242" s="712">
        <f>Sheet1!DX242*AFtoMG</f>
        <v>0</v>
      </c>
      <c r="DK242" s="712">
        <f>Sheet1!DY242*AFtoMG</f>
        <v>0</v>
      </c>
      <c r="DL242" s="712">
        <f>Sheet1!DZ242*AFtoMG</f>
        <v>0</v>
      </c>
      <c r="DM242" s="712">
        <f t="shared" si="787"/>
        <v>0</v>
      </c>
      <c r="DN242" s="712">
        <f t="shared" si="788"/>
        <v>0</v>
      </c>
      <c r="DO242" s="712">
        <f t="shared" si="789"/>
        <v>2915.9281065036421</v>
      </c>
      <c r="DP242" s="712">
        <f t="shared" si="790"/>
        <v>8946.0674307531735</v>
      </c>
      <c r="DQ242" s="712"/>
      <c r="DR242" s="697">
        <f>IF(OR(B242&lt;FL242,B242&gt;FM242),(MIN(AV242+BO242+CJ242+MAX(Sheet1!AA242+AG242-73,0),K242)),0)</f>
        <v>0</v>
      </c>
      <c r="DS242" s="712"/>
      <c r="DT242" s="712">
        <f t="shared" si="791"/>
        <v>17.550296411855534</v>
      </c>
      <c r="DU242" s="712"/>
      <c r="DV242" s="712">
        <f>Sheet1!ED242+Sheet1!EE242+Sheet1!EF242+Sheet1!EG242</f>
        <v>17</v>
      </c>
      <c r="DW242" s="712"/>
      <c r="DX242" s="697">
        <f t="shared" si="792"/>
        <v>0</v>
      </c>
      <c r="DY242" s="712">
        <f>IF(Sheet1!FN242=1,SUM('Calculations II'!AT242:BA242)+'Calculations II'!BC242+Sheet1!BU242+'Calculations II'!BE242+AF242,SUM('Calculations II'!AT242:BA242)+'Calculations II'!BC242+Sheet1!BU242+'Calculations II'!BE242+AF242)</f>
        <v>69.465583999999993</v>
      </c>
      <c r="DZ242" s="712">
        <f>Sheet1!AA242+Sheet1!AB242+'Calculations II'!BC242</f>
        <v>92.647535999998254</v>
      </c>
      <c r="EA242" s="712"/>
      <c r="EB242" s="712"/>
      <c r="EC242" s="712">
        <f t="shared" si="793"/>
        <v>40771</v>
      </c>
      <c r="ED242" s="712">
        <f t="shared" si="794"/>
        <v>-17.587900156005404</v>
      </c>
      <c r="EE242" s="712">
        <f t="shared" si="795"/>
        <v>-27.208481541340358</v>
      </c>
      <c r="EF242" s="712">
        <f>-(VLOOKUP(Sheet1!BQ242,Lookup!$B$4:$J$236,2)-VLOOKUP(Sheet1!BQ241,Lookup!$B$4:$J$236,2))/1000000</f>
        <v>-1.0684</v>
      </c>
      <c r="EG242" s="712">
        <f>-(VLOOKUP(Sheet1!BR242,Lookup!$B$4:$J$236,3)-VLOOKUP(Sheet1!BR241,Lookup!$B$4:$J$236,3))/1000000</f>
        <v>-1.0668</v>
      </c>
      <c r="EH242" s="712">
        <f>-(VLOOKUP(Sheet1!BS242,Lookup!$B$4:$J$236,4)-VLOOKUP(Sheet1!BS241,Lookup!$B$4:$J$236,4))/1000000</f>
        <v>0</v>
      </c>
      <c r="EI242" s="697">
        <f t="shared" si="796"/>
        <v>-2.1352000000000002</v>
      </c>
      <c r="EJ242" s="712"/>
      <c r="EK242" s="712"/>
      <c r="EL242" s="712"/>
      <c r="EM242" s="712"/>
      <c r="EN242" s="712"/>
      <c r="EO242" s="712"/>
      <c r="EP242" s="712"/>
      <c r="EQ242" s="712"/>
      <c r="ET242" s="794">
        <f t="shared" si="818"/>
        <v>1134</v>
      </c>
      <c r="EU242" s="697">
        <v>8785</v>
      </c>
      <c r="EV242" s="795">
        <f t="shared" si="734"/>
        <v>19625.362569340148</v>
      </c>
      <c r="EW242" s="796" t="s">
        <v>757</v>
      </c>
      <c r="EX242" s="796" t="s">
        <v>758</v>
      </c>
      <c r="EY242" s="712">
        <f t="shared" si="817"/>
        <v>0</v>
      </c>
      <c r="EZ242" s="798">
        <v>20380.800000046172</v>
      </c>
      <c r="FA242" s="712"/>
      <c r="FB242" s="712"/>
      <c r="FC242" s="712"/>
      <c r="FD242" s="712"/>
      <c r="FE242" s="712">
        <f>O242+Sheet1!CO242</f>
        <v>9438.5699999999979</v>
      </c>
      <c r="FF242" s="712">
        <f>IF(Sheet1!AA242+AG242&lt;=Calculation!N242,AG242,Calculation!N242-Sheet1!AA242)</f>
        <v>14.869703588142725</v>
      </c>
      <c r="FG242" s="712">
        <f>(Sheet1!BP242+Sheet1!BO242)/694.4</f>
        <v>4.1254320276497696</v>
      </c>
      <c r="FH242" s="712"/>
      <c r="FI242" s="712"/>
      <c r="FJ242" s="712"/>
      <c r="FK242" s="712"/>
      <c r="FL242" s="714">
        <f t="shared" si="726"/>
        <v>40753</v>
      </c>
      <c r="FM242" s="714">
        <f t="shared" si="727"/>
        <v>40851</v>
      </c>
      <c r="FN242" s="712"/>
      <c r="FO242" s="712"/>
      <c r="FP242" s="712"/>
      <c r="FQ242" s="712"/>
      <c r="FR242" s="712"/>
      <c r="FS242" s="725">
        <f t="shared" si="816"/>
        <v>40603</v>
      </c>
      <c r="FT242" s="714">
        <f t="shared" si="729"/>
        <v>40709</v>
      </c>
      <c r="FU242" s="712">
        <f t="shared" si="816"/>
        <v>6518.9048239895692</v>
      </c>
      <c r="FV242" s="714">
        <f t="shared" si="730"/>
        <v>40722</v>
      </c>
      <c r="FW242" s="712">
        <f t="shared" si="816"/>
        <v>3259.4524119947846</v>
      </c>
      <c r="FX242" s="725">
        <f t="shared" si="816"/>
        <v>40851</v>
      </c>
      <c r="FZ242" s="697">
        <f t="shared" si="722"/>
        <v>0</v>
      </c>
      <c r="GA242" s="712" t="str">
        <f t="shared" si="797"/>
        <v/>
      </c>
      <c r="GB242" s="712">
        <f t="shared" si="798"/>
        <v>0</v>
      </c>
      <c r="GC242" s="712" t="str">
        <f t="shared" si="799"/>
        <v/>
      </c>
      <c r="GD242" s="712">
        <f>IF(GA242="P",Lookup!$M$12,IF(GA242="PP",Lookup!$M$13,IF(GA242="PPP",Lookup!$M$14,IF(GA242="T",Lookup!$M$15,IF(GA242="TP",Lookup!$M$16,IF(GA242="TPP",Lookup!$M$17,IF(GA242="TPPP",Lookup!$M$18,0)))))))*FZ242</f>
        <v>0</v>
      </c>
      <c r="GE242" s="712">
        <f t="shared" si="800"/>
        <v>0</v>
      </c>
      <c r="GF242" s="712">
        <f t="shared" si="801"/>
        <v>4166.6666666666661</v>
      </c>
      <c r="GG242" s="712">
        <f t="shared" si="802"/>
        <v>1358.1051716644936</v>
      </c>
      <c r="GH242" s="712"/>
      <c r="GI242" s="712">
        <f t="shared" si="803"/>
        <v>0</v>
      </c>
      <c r="GJ242" s="712" t="str">
        <f t="shared" si="804"/>
        <v/>
      </c>
      <c r="GK242" s="712">
        <f>IF(GA242="P",Lookup!$N$12,IF(GA242="PP",Lookup!$N$13,IF(GA242="PPP",Lookup!$N$14,IF(GA242="T",Lookup!$N$15,IF(GA242="TP",Lookup!$N$16,IF(GA242="TPP",Lookup!$N$17,IF(GA242="TPPP",Lookup!$N$18,0)))))))*FZ242</f>
        <v>0</v>
      </c>
      <c r="GL242" s="712">
        <f t="shared" si="805"/>
        <v>0</v>
      </c>
      <c r="GM242" s="712">
        <f t="shared" si="806"/>
        <v>1806.0508603174601</v>
      </c>
      <c r="GN242" s="712">
        <f t="shared" si="807"/>
        <v>588.67368328470013</v>
      </c>
      <c r="GO242" s="712"/>
      <c r="GP242" s="712">
        <f t="shared" si="808"/>
        <v>0</v>
      </c>
      <c r="GQ242" s="712" t="str">
        <f t="shared" si="809"/>
        <v/>
      </c>
      <c r="GR242" s="712">
        <f>IF(GA242="P",Lookup!$N$12,IF(GA242="PP",Lookup!$N$13,IF(GA242="PPP",Lookup!$N$14,IF(GA242="T",Lookup!$N$15,IF(GA242="TP",Lookup!$N$16,IF(GA242="TPP",Lookup!$N$17,IF(GA242="TPPP",Lookup!$N$18,0)))))))*FZ242</f>
        <v>0</v>
      </c>
      <c r="GS242" s="697">
        <f t="shared" si="724"/>
        <v>0</v>
      </c>
      <c r="GT242" s="712">
        <f t="shared" si="810"/>
        <v>1670.4937377408035</v>
      </c>
      <c r="GU242" s="712">
        <f t="shared" si="811"/>
        <v>544.48948427014454</v>
      </c>
      <c r="GV242" s="712"/>
      <c r="GW242" s="712">
        <f t="shared" si="812"/>
        <v>0</v>
      </c>
      <c r="GX242" s="712" t="str">
        <f t="shared" si="813"/>
        <v/>
      </c>
      <c r="GY242" s="712">
        <f>IF(GA242="P",Lookup!$N$12,IF(GA242="PP",Lookup!$N$13,IF(GA242="PPP",Lookup!$N$14,IF(GA242="T",Lookup!$N$15,IF(GA242="TP",Lookup!$N$16,IF(GA242="TPP",Lookup!$N$17,IF(GA242="TPPP",Lookup!$N$18,0)))))))*FZ242</f>
        <v>0</v>
      </c>
      <c r="GZ242" s="697">
        <f t="shared" si="725"/>
        <v>0</v>
      </c>
      <c r="HA242" s="712">
        <f t="shared" si="814"/>
        <v>1302.8561660282437</v>
      </c>
      <c r="HB242" s="712">
        <f t="shared" si="815"/>
        <v>424.65976728430365</v>
      </c>
      <c r="HC242" s="712"/>
    </row>
    <row r="243" spans="1:211">
      <c r="A243" s="773" t="s">
        <v>6</v>
      </c>
      <c r="B243" s="708">
        <v>40772</v>
      </c>
      <c r="C243" s="719">
        <v>0.5</v>
      </c>
      <c r="D243" s="675">
        <f t="shared" si="737"/>
        <v>200</v>
      </c>
      <c r="E243" s="675">
        <f t="shared" si="738"/>
        <v>400</v>
      </c>
      <c r="F243" s="675">
        <v>250</v>
      </c>
      <c r="G243" s="712">
        <f>DH243+Sheet1!CV243</f>
        <v>200.68910741301133</v>
      </c>
      <c r="H243" s="712">
        <f t="shared" si="739"/>
        <v>0</v>
      </c>
      <c r="I243" s="711">
        <f>MAX(Sheet1!Z243-AJ243+(Sheet1!CW243-E243)*CFStoMGD,0)</f>
        <v>0</v>
      </c>
      <c r="J243" s="720">
        <f>IF(AND(B243&gt;=Calculation!FS243,B243&lt;=Calculation!FT243),IF(Sheet1!CX243&gt;=Calculation!D243,64.64,0),MAX(Sheet1!Z243-AJ243+(Sheet1!CX243-D243)*CFStoMGD,0))</f>
        <v>0</v>
      </c>
      <c r="K243" s="697">
        <f t="shared" si="740"/>
        <v>0</v>
      </c>
      <c r="L243" s="712">
        <f>Sheet1!AA243+Sheet1!AB243-Sheet1!L243+(Sheet1!CW243-F243)*CFStoMGD</f>
        <v>123.77093333333393</v>
      </c>
      <c r="M243" s="712">
        <f t="shared" si="741"/>
        <v>132.31994781240593</v>
      </c>
      <c r="N243" s="712">
        <f>IF(Sheet1!CW243&gt;=F243,MIN(73,MIN(MAX(L243,0),MAX(M243,0))),0)</f>
        <v>73</v>
      </c>
      <c r="O243" s="721">
        <f>Sheet1!AA243+Sheet1!AB243</f>
        <v>74.860000000000582</v>
      </c>
      <c r="P243" s="721">
        <f t="shared" si="742"/>
        <v>115.80842000000089</v>
      </c>
      <c r="Q243" s="712">
        <f>MIN(N243,Sheet1!AA243+AG243)</f>
        <v>57.621755485892358</v>
      </c>
      <c r="R243" s="712">
        <f t="shared" si="743"/>
        <v>18</v>
      </c>
      <c r="S243" s="721">
        <f>Sheet1!Y243*MGDtoCFS</f>
        <v>71.749859999999998</v>
      </c>
      <c r="T243" s="721">
        <f>Sheet1!Z243*MGDtoCFS</f>
        <v>49.101779999999998</v>
      </c>
      <c r="U243" s="721">
        <f>Sheet1!AA243*MGDtoCFS</f>
        <v>68.547569999996398</v>
      </c>
      <c r="V243" s="721">
        <f>Sheet1!AB243*MGDtoCFS</f>
        <v>47.260850000004503</v>
      </c>
      <c r="W243" s="721">
        <f>Sheet1!L243*MGDtoCFS</f>
        <v>0</v>
      </c>
      <c r="X243" s="697">
        <f t="shared" si="744"/>
        <v>18</v>
      </c>
      <c r="Y243" s="712">
        <f t="shared" si="745"/>
        <v>27.846</v>
      </c>
      <c r="Z243" s="712">
        <f t="shared" si="746"/>
        <v>0</v>
      </c>
      <c r="AA243" s="712">
        <f t="shared" si="747"/>
        <v>0</v>
      </c>
      <c r="AB243" s="712">
        <f>(VLOOKUP(Sheet1!CY243,hhdcap_wcm,4)-(((VLOOKUP(Sheet1!CY243,hhdcap_wcm,3)-Sheet1!CY243)/(VLOOKUP(Sheet1!CY243,hhdcap_wcm,3)-VLOOKUP(Sheet1!CY243,hhdcap_wcm,1)))*(VLOOKUP(Sheet1!CY243,hhdcap_wcm,4)-VLOOKUP(Sheet1!CY243,hhdcap_wcm,2))))</f>
        <v>38428.080000093323</v>
      </c>
      <c r="AC243" s="712">
        <f t="shared" si="748"/>
        <v>-148.34999999999854</v>
      </c>
      <c r="AD243" s="712">
        <f t="shared" si="749"/>
        <v>2897.9281065036421</v>
      </c>
      <c r="AE243" s="712">
        <f t="shared" si="750"/>
        <v>8890.8434307531734</v>
      </c>
      <c r="AF243" s="712">
        <f>Sheet1!BA243+Sheet1!BB243+Sheet1!BN243+BT243</f>
        <v>13.9</v>
      </c>
      <c r="AG243" s="712">
        <f t="shared" si="751"/>
        <v>13.311755485894686</v>
      </c>
      <c r="AH243" s="712">
        <f>Sheet1!BA243+BT243</f>
        <v>0</v>
      </c>
      <c r="AI243" s="712">
        <f>Sheet1!BA243+Sheet1!BB243+BT243</f>
        <v>0</v>
      </c>
      <c r="AJ243" s="712">
        <f>IF((Sheet1!AA243+AG243+AX243+AZ243+BQ243+BS243+CL243+CN243)&lt;=N243,AG243+AX243+AZ243+BQ243+BS243+CL243+CN243,N243-Sheet1!AA243)</f>
        <v>13.311755485894686</v>
      </c>
      <c r="AK243" s="712">
        <f>IF(DR243&lt;K243,0,MAX(Sheet1!AA243+AG243-15/36*K243-N243,Sheet1!ED243,0))</f>
        <v>0</v>
      </c>
      <c r="AL243" s="712">
        <f>IF(OR(B243&gt;=FT243,B243&lt;FS243),0,15/36*K243-MAX(0,64.6-(137.6-(Sheet1!AA243+Sheet1!AB243))))</f>
        <v>0</v>
      </c>
      <c r="AM243" s="712">
        <f>Sheet1!CX243-110</f>
        <v>57.395833333333343</v>
      </c>
      <c r="AN243" s="712">
        <f>Sheet1!CW243-265</f>
        <v>60.666666666666686</v>
      </c>
      <c r="AO243" s="712">
        <f t="shared" si="733"/>
        <v>15.378244514107642</v>
      </c>
      <c r="AP243" s="712">
        <f t="shared" si="752"/>
        <v>0</v>
      </c>
      <c r="AQ243" s="712">
        <f t="shared" si="753"/>
        <v>0</v>
      </c>
      <c r="AR243" s="712">
        <f t="shared" si="754"/>
        <v>1358.1051716644936</v>
      </c>
      <c r="AS243" s="712"/>
      <c r="AT243" s="712">
        <f ca="1">IF(B243&gt;Summary!$A$1,#N/A,AR243*MGtoAF)</f>
        <v>4166.6666666666661</v>
      </c>
      <c r="AU243" s="712">
        <f>Sheet1!BG243+Sheet1!BH243+Sheet1!BI243-BC243</f>
        <v>1.93</v>
      </c>
      <c r="AV243" s="712">
        <f t="shared" si="755"/>
        <v>1.8483228840127153</v>
      </c>
      <c r="AW243" s="712">
        <f>IF(Sheet1!EL243="FM",BC243,0)</f>
        <v>0</v>
      </c>
      <c r="AX243" s="712">
        <f t="shared" si="756"/>
        <v>0</v>
      </c>
      <c r="AY243" s="712">
        <f>IF(Sheet1!EL243="OTHER",BC243,0)</f>
        <v>0</v>
      </c>
      <c r="AZ243" s="712">
        <f t="shared" si="757"/>
        <v>0</v>
      </c>
      <c r="BA243" s="712">
        <f t="shared" si="758"/>
        <v>1.93</v>
      </c>
      <c r="BB243" s="712">
        <f t="shared" si="759"/>
        <v>1.8483228840127153</v>
      </c>
      <c r="BC243" s="712">
        <f>IF(OR(Sheet1!EL243="FM", Sheet1!EL243="OTHER"),SUM(Sheet1!BG243:'Sheet1'!BI243),0)</f>
        <v>0</v>
      </c>
      <c r="BD243" s="697">
        <f>IF(AND($B243&gt;=$FL243,$B243&lt;=$FM243),MAX(AV243,Sheet1!EE243,0),MAX(AV243-(7/36)*$K243,0))</f>
        <v>2</v>
      </c>
      <c r="BE243" s="712">
        <f t="shared" si="760"/>
        <v>0</v>
      </c>
      <c r="BF243" s="697">
        <f t="shared" si="761"/>
        <v>0</v>
      </c>
      <c r="BG243" s="697">
        <f>IF(AND($O243&gt;0,Sheet1!EI243=1),(1-($O243-Sheet1!$L243)/$O243)*BB243,0)</f>
        <v>0</v>
      </c>
      <c r="BH243" s="697">
        <f>IF(AND(Sheet1!$L243=0,Sheet1!$L242=0, Calculation!BA243&lt;Sheet1!$EE243-0.1,Sheet1!$EE243=Sheet1!$EE242,Sheet1!$EE243=Sheet1!$EE244),Sheet1!$EE243,BB243-BG243)</f>
        <v>1.8483228840127153</v>
      </c>
      <c r="BI243" s="712"/>
      <c r="BJ243" s="712"/>
      <c r="BK243" s="712">
        <f t="shared" si="762"/>
        <v>586.67368328470013</v>
      </c>
      <c r="BL243" s="712"/>
      <c r="BM243" s="712">
        <f ca="1">IF(B243&gt;Summary!$A$1,#N/A,BK243*MGtoAF)</f>
        <v>1799.9148603174601</v>
      </c>
      <c r="BN243" s="712">
        <f>Sheet1!BC243+Sheet1!BD243+Sheet1!BE243+Sheet1!BF243-BW243-BX243</f>
        <v>5.01</v>
      </c>
      <c r="BO243" s="712">
        <f t="shared" si="763"/>
        <v>4.7979780564267891</v>
      </c>
      <c r="BP243" s="712">
        <f>IF(Sheet1!EM243="FM",BX243,0)</f>
        <v>0</v>
      </c>
      <c r="BQ243" s="712">
        <f t="shared" si="764"/>
        <v>0</v>
      </c>
      <c r="BR243" s="712">
        <f>IF(Sheet1!EM243="OTHER",BX243,0)</f>
        <v>0</v>
      </c>
      <c r="BS243" s="712">
        <f t="shared" si="765"/>
        <v>0</v>
      </c>
      <c r="BT243" s="712">
        <f t="shared" si="766"/>
        <v>0</v>
      </c>
      <c r="BU243" s="712">
        <f t="shared" si="767"/>
        <v>5.01</v>
      </c>
      <c r="BV243" s="712">
        <f t="shared" si="768"/>
        <v>4.7979780564267891</v>
      </c>
      <c r="BW243" s="712">
        <f>IF(Sheet1!EM243="CWA",SUM(Sheet1!BC243:'Sheet1'!BF243),0)</f>
        <v>0</v>
      </c>
      <c r="BX243" s="712">
        <f>IF(OR(Sheet1!EM243="FM", Sheet1!EM243="OTHER"),SUM(Sheet1!BC243:'Sheet1'!BF243),0)</f>
        <v>0</v>
      </c>
      <c r="BY243" s="697">
        <f>IF(AND($B243&gt;=$FL243,$B243&lt;=$FM243),MAX(BV243,Sheet1!EF243,0),MAX(BV243-(7/36)*$K243,0))</f>
        <v>5</v>
      </c>
      <c r="BZ243" s="712">
        <f t="shared" si="769"/>
        <v>0</v>
      </c>
      <c r="CA243" s="697">
        <f t="shared" si="770"/>
        <v>0</v>
      </c>
      <c r="CB243" s="697">
        <f>IF(AND($O243&gt;0,Sheet1!EJ243=1),(1-($O243-Sheet1!$L243)/$O243)*BV243,0)</f>
        <v>0</v>
      </c>
      <c r="CC243" s="697">
        <f>IF(AND(Sheet1!$L243=0,Sheet1!$L242=0, Calculation!BU243&lt;Sheet1!EF243-0.1,Sheet1!EF243=Sheet1!EF242,Sheet1!EF243=Sheet1!EF244),Sheet1!EF243,BV243-CB243)</f>
        <v>4.7979780564267891</v>
      </c>
      <c r="CD243" s="697"/>
      <c r="CE243" s="712"/>
      <c r="CF243" s="712">
        <f t="shared" si="771"/>
        <v>539.48948427014454</v>
      </c>
      <c r="CG243" s="712"/>
      <c r="CH243" s="712">
        <f ca="1">IF(B243&gt;Summary!$A$1,#N/A,CF243*MGtoAF)</f>
        <v>1655.1537377408035</v>
      </c>
      <c r="CI243" s="712">
        <f>Sheet1!BK243+Sheet1!BL243+Sheet1!BM243-Sheet1!EN243-CQ243</f>
        <v>11.059999999999999</v>
      </c>
      <c r="CJ243" s="712">
        <f t="shared" si="772"/>
        <v>10.59194357366872</v>
      </c>
      <c r="CK243" s="712">
        <f>IF(Sheet1!EN243="FM",CQ243,0)</f>
        <v>0</v>
      </c>
      <c r="CL243" s="712">
        <f t="shared" si="773"/>
        <v>0</v>
      </c>
      <c r="CM243" s="712">
        <f>IF(Sheet1!EN243="OTHER",CQ243,0)</f>
        <v>0</v>
      </c>
      <c r="CN243" s="712">
        <f t="shared" si="774"/>
        <v>0</v>
      </c>
      <c r="CO243" s="712">
        <f t="shared" si="775"/>
        <v>11.059999999999999</v>
      </c>
      <c r="CP243" s="712">
        <f t="shared" si="776"/>
        <v>10.59194357366872</v>
      </c>
      <c r="CQ243" s="712">
        <f>IF(OR(Sheet1!EN243="FM", Sheet1!EN243="OTHER"),SUM(Sheet1!BK243:'Sheet1'!BM243),0)</f>
        <v>0</v>
      </c>
      <c r="CR243" s="697">
        <f>IF(AND($B243&gt;=$FL243,$B243&lt;=$FM243),MAX($CJ243,Sheet1!EG243,0),MAX($CJ243-(7/36)*$K243,0))</f>
        <v>11</v>
      </c>
      <c r="CS243" s="712">
        <f t="shared" si="777"/>
        <v>0</v>
      </c>
      <c r="CT243" s="697">
        <f t="shared" si="778"/>
        <v>0</v>
      </c>
      <c r="CU243" s="697">
        <f>IF(AND($O243&gt;0,Sheet1!EK243=1),(1-($O243-Sheet1!$L243)/$O243)*CP243,0)</f>
        <v>0</v>
      </c>
      <c r="CV243" s="697">
        <f>IF(AND(Sheet1!$L243=0,Sheet1!$L242=0, Calculation!CO243&lt;Sheet1!$EG243-0.1,Sheet1!$EG243=Sheet1!$EG242,Sheet1!$EG243=Sheet1!$EG244),Sheet1!$EG243,CP243-CU243)</f>
        <v>10.59194357366872</v>
      </c>
      <c r="CW243" s="697">
        <f t="shared" si="721"/>
        <v>0</v>
      </c>
      <c r="CX243" s="712">
        <f t="shared" si="779"/>
        <v>18</v>
      </c>
      <c r="CY243" s="712">
        <f t="shared" si="780"/>
        <v>413.65976728430365</v>
      </c>
      <c r="CZ243" s="712">
        <f t="shared" si="781"/>
        <v>17.238244514108224</v>
      </c>
      <c r="DA243" s="712">
        <f ca="1">IF(B243&gt;Summary!$A$1,#N/A,CY243*MGtoAF)</f>
        <v>1269.1081660282437</v>
      </c>
      <c r="DB243" s="712">
        <f t="shared" si="782"/>
        <v>18</v>
      </c>
      <c r="DC243" s="712">
        <f t="shared" si="783"/>
        <v>31.9</v>
      </c>
      <c r="DD243" s="712">
        <f>Sheet1!AB243-DC243</f>
        <v>-1.3499999999970882</v>
      </c>
      <c r="DE243" s="712">
        <f t="shared" si="784"/>
        <v>-4.2319749216209665E-2</v>
      </c>
      <c r="DF243" s="712">
        <f>(VLOOKUP(Sheet1!CY243,hhdcap_wcm,4)-(((VLOOKUP(Sheet1!CY243,hhdcap_wcm,3)-Sheet1!CY243)/(VLOOKUP(Sheet1!CY243,hhdcap_wcm,3)-VLOOKUP(Sheet1!CY243,hhdcap_wcm,1)))*(VLOOKUP(Sheet1!CY243,hhdcap_wcm,4)-VLOOKUP(Sheet1!CY243,hhdcap_wcm,2))))</f>
        <v>38428.080000093323</v>
      </c>
      <c r="DG243" s="712">
        <f t="shared" si="785"/>
        <v>-148.34999999999854</v>
      </c>
      <c r="DH243" s="712">
        <f t="shared" si="786"/>
        <v>-74.810892586988672</v>
      </c>
      <c r="DI243" s="712">
        <f>Sheet1!DW243*AFtoMG</f>
        <v>0</v>
      </c>
      <c r="DJ243" s="712">
        <f>Sheet1!DX243*AFtoMG</f>
        <v>0</v>
      </c>
      <c r="DK243" s="712">
        <f>Sheet1!DY243*AFtoMG</f>
        <v>0</v>
      </c>
      <c r="DL243" s="712">
        <f>Sheet1!DZ243*AFtoMG</f>
        <v>0</v>
      </c>
      <c r="DM243" s="712">
        <f t="shared" si="787"/>
        <v>0</v>
      </c>
      <c r="DN243" s="712">
        <f t="shared" si="788"/>
        <v>0</v>
      </c>
      <c r="DO243" s="712">
        <f t="shared" si="789"/>
        <v>2897.9281065036421</v>
      </c>
      <c r="DP243" s="712">
        <f t="shared" si="790"/>
        <v>8890.8434307531734</v>
      </c>
      <c r="DQ243" s="712"/>
      <c r="DR243" s="697">
        <f>IF(OR(B243&lt;FL243,B243&gt;FM243),(MIN(AV243+BO243+CJ243+MAX(Sheet1!AA243+AG243-73,0),K243)),0)</f>
        <v>0</v>
      </c>
      <c r="DS243" s="712"/>
      <c r="DT243" s="712">
        <f t="shared" si="791"/>
        <v>17.238244514108224</v>
      </c>
      <c r="DU243" s="712"/>
      <c r="DV243" s="712">
        <f>Sheet1!ED243+Sheet1!EE243+Sheet1!EF243+Sheet1!EG243</f>
        <v>18</v>
      </c>
      <c r="DW243" s="712"/>
      <c r="DX243" s="697">
        <f t="shared" si="792"/>
        <v>0</v>
      </c>
      <c r="DY243" s="712">
        <f>IF(Sheet1!FN243=1,SUM('Calculations II'!AT243:BA243)+'Calculations II'!BC243+Sheet1!BU243+'Calculations II'!BE243+AF243,SUM('Calculations II'!AT243:BA243)+'Calculations II'!BC243+Sheet1!BU243+'Calculations II'!BE243+AF243)</f>
        <v>73.917152000000002</v>
      </c>
      <c r="DZ243" s="712">
        <f>Sheet1!AA243+Sheet1!AB243+'Calculations II'!BC243</f>
        <v>87.284176000000585</v>
      </c>
      <c r="EA243" s="712"/>
      <c r="EB243" s="712"/>
      <c r="EC243" s="712">
        <f t="shared" si="793"/>
        <v>40772</v>
      </c>
      <c r="ED243" s="712">
        <f t="shared" si="794"/>
        <v>-18</v>
      </c>
      <c r="EE243" s="712">
        <f t="shared" si="795"/>
        <v>-27.846</v>
      </c>
      <c r="EF243" s="712">
        <f>-(VLOOKUP(Sheet1!BQ243,Lookup!$B$4:$J$236,2)-VLOOKUP(Sheet1!BQ242,Lookup!$B$4:$J$236,2))/1000000</f>
        <v>1.3354999999999999</v>
      </c>
      <c r="EG243" s="712">
        <f>-(VLOOKUP(Sheet1!BR243,Lookup!$B$4:$J$236,3)-VLOOKUP(Sheet1!BR242,Lookup!$B$4:$J$236,3))/1000000</f>
        <v>1.0668</v>
      </c>
      <c r="EH243" s="712">
        <f>-(VLOOKUP(Sheet1!BS243,Lookup!$B$4:$J$236,4)-VLOOKUP(Sheet1!BS242,Lookup!$B$4:$J$236,4))/1000000</f>
        <v>0</v>
      </c>
      <c r="EI243" s="697">
        <f t="shared" si="796"/>
        <v>2.4022999999999999</v>
      </c>
      <c r="EJ243" s="712"/>
      <c r="EK243" s="712"/>
      <c r="EL243" s="712"/>
      <c r="EM243" s="712"/>
      <c r="EN243" s="712"/>
      <c r="EO243" s="712"/>
      <c r="EP243" s="712"/>
      <c r="EQ243" s="712"/>
      <c r="ET243" s="794">
        <f t="shared" si="818"/>
        <v>1133.8</v>
      </c>
      <c r="EU243" s="697">
        <v>8785</v>
      </c>
      <c r="EV243" s="795">
        <f t="shared" si="734"/>
        <v>19532.236569340152</v>
      </c>
      <c r="EW243" s="796" t="s">
        <v>757</v>
      </c>
      <c r="EX243" s="796" t="s">
        <v>758</v>
      </c>
      <c r="EY243" s="712">
        <f t="shared" si="817"/>
        <v>0</v>
      </c>
      <c r="EZ243" s="798">
        <v>20256.60000004603</v>
      </c>
      <c r="FA243" s="712"/>
      <c r="FB243" s="712"/>
      <c r="FC243" s="712"/>
      <c r="FD243" s="712"/>
      <c r="FE243" s="712">
        <f>O243+Sheet1!CO243</f>
        <v>8702.76</v>
      </c>
      <c r="FF243" s="712">
        <f>IF(Sheet1!AA243+AG243&lt;=Calculation!N243,AG243,Calculation!N243-Sheet1!AA243)</f>
        <v>13.311755485894686</v>
      </c>
      <c r="FG243" s="712">
        <f>(Sheet1!BP243+Sheet1!BO243)/694.4</f>
        <v>5.1719470046082954</v>
      </c>
      <c r="FH243" s="712"/>
      <c r="FI243" s="712"/>
      <c r="FJ243" s="712"/>
      <c r="FK243" s="712"/>
      <c r="FL243" s="714">
        <f t="shared" si="726"/>
        <v>40753</v>
      </c>
      <c r="FM243" s="714">
        <f t="shared" si="727"/>
        <v>40851</v>
      </c>
      <c r="FN243" s="712"/>
      <c r="FO243" s="712"/>
      <c r="FP243" s="712"/>
      <c r="FQ243" s="712"/>
      <c r="FR243" s="712"/>
      <c r="FS243" s="725">
        <f t="shared" si="816"/>
        <v>40603</v>
      </c>
      <c r="FT243" s="714">
        <f t="shared" si="729"/>
        <v>40709</v>
      </c>
      <c r="FU243" s="712">
        <f t="shared" si="816"/>
        <v>6518.9048239895692</v>
      </c>
      <c r="FV243" s="714">
        <f t="shared" si="730"/>
        <v>40722</v>
      </c>
      <c r="FW243" s="712">
        <f t="shared" si="816"/>
        <v>3259.4524119947846</v>
      </c>
      <c r="FX243" s="725">
        <f t="shared" si="816"/>
        <v>40851</v>
      </c>
      <c r="FZ243" s="697">
        <f t="shared" si="722"/>
        <v>0</v>
      </c>
      <c r="GA243" s="712" t="str">
        <f t="shared" si="797"/>
        <v/>
      </c>
      <c r="GB243" s="712">
        <f t="shared" si="798"/>
        <v>0</v>
      </c>
      <c r="GC243" s="712" t="str">
        <f t="shared" si="799"/>
        <v/>
      </c>
      <c r="GD243" s="712">
        <f>IF(GA243="P",Lookup!$M$12,IF(GA243="PP",Lookup!$M$13,IF(GA243="PPP",Lookup!$M$14,IF(GA243="T",Lookup!$M$15,IF(GA243="TP",Lookup!$M$16,IF(GA243="TPP",Lookup!$M$17,IF(GA243="TPPP",Lookup!$M$18,0)))))))*FZ243</f>
        <v>0</v>
      </c>
      <c r="GE243" s="712">
        <f t="shared" si="800"/>
        <v>0</v>
      </c>
      <c r="GF243" s="712">
        <f t="shared" si="801"/>
        <v>4166.6666666666661</v>
      </c>
      <c r="GG243" s="712">
        <f t="shared" si="802"/>
        <v>1358.1051716644936</v>
      </c>
      <c r="GH243" s="712"/>
      <c r="GI243" s="712">
        <f t="shared" si="803"/>
        <v>0</v>
      </c>
      <c r="GJ243" s="712" t="str">
        <f t="shared" si="804"/>
        <v/>
      </c>
      <c r="GK243" s="712">
        <f>IF(GA243="P",Lookup!$N$12,IF(GA243="PP",Lookup!$N$13,IF(GA243="PPP",Lookup!$N$14,IF(GA243="T",Lookup!$N$15,IF(GA243="TP",Lookup!$N$16,IF(GA243="TPP",Lookup!$N$17,IF(GA243="TPPP",Lookup!$N$18,0)))))))*FZ243</f>
        <v>0</v>
      </c>
      <c r="GL243" s="712">
        <f t="shared" si="805"/>
        <v>0</v>
      </c>
      <c r="GM243" s="712">
        <f t="shared" si="806"/>
        <v>1799.9148603174601</v>
      </c>
      <c r="GN243" s="712">
        <f t="shared" si="807"/>
        <v>586.67368328470013</v>
      </c>
      <c r="GO243" s="712"/>
      <c r="GP243" s="712">
        <f t="shared" si="808"/>
        <v>0</v>
      </c>
      <c r="GQ243" s="712" t="str">
        <f t="shared" si="809"/>
        <v/>
      </c>
      <c r="GR243" s="712">
        <f>IF(GA243="P",Lookup!$N$12,IF(GA243="PP",Lookup!$N$13,IF(GA243="PPP",Lookup!$N$14,IF(GA243="T",Lookup!$N$15,IF(GA243="TP",Lookup!$N$16,IF(GA243="TPP",Lookup!$N$17,IF(GA243="TPPP",Lookup!$N$18,0)))))))*FZ243</f>
        <v>0</v>
      </c>
      <c r="GS243" s="697">
        <f t="shared" si="724"/>
        <v>0</v>
      </c>
      <c r="GT243" s="712">
        <f t="shared" si="810"/>
        <v>1655.1537377408035</v>
      </c>
      <c r="GU243" s="712">
        <f t="shared" si="811"/>
        <v>539.48948427014454</v>
      </c>
      <c r="GV243" s="712"/>
      <c r="GW243" s="712">
        <f t="shared" si="812"/>
        <v>0</v>
      </c>
      <c r="GX243" s="712" t="str">
        <f t="shared" si="813"/>
        <v/>
      </c>
      <c r="GY243" s="712">
        <f>IF(GA243="P",Lookup!$N$12,IF(GA243="PP",Lookup!$N$13,IF(GA243="PPP",Lookup!$N$14,IF(GA243="T",Lookup!$N$15,IF(GA243="TP",Lookup!$N$16,IF(GA243="TPP",Lookup!$N$17,IF(GA243="TPPP",Lookup!$N$18,0)))))))*FZ243</f>
        <v>0</v>
      </c>
      <c r="GZ243" s="697">
        <f t="shared" si="725"/>
        <v>0</v>
      </c>
      <c r="HA243" s="712">
        <f t="shared" si="814"/>
        <v>1269.1081660282437</v>
      </c>
      <c r="HB243" s="712">
        <f t="shared" si="815"/>
        <v>413.65976728430365</v>
      </c>
      <c r="HC243" s="712"/>
    </row>
    <row r="244" spans="1:211">
      <c r="A244" s="773" t="s">
        <v>7</v>
      </c>
      <c r="B244" s="708">
        <v>40773</v>
      </c>
      <c r="C244" s="709">
        <v>0.5</v>
      </c>
      <c r="D244" s="675">
        <f t="shared" si="737"/>
        <v>200</v>
      </c>
      <c r="E244" s="675">
        <f t="shared" si="738"/>
        <v>400</v>
      </c>
      <c r="F244" s="675">
        <v>250</v>
      </c>
      <c r="G244" s="712">
        <f>DH244+Sheet1!CV244</f>
        <v>195.17650025202994</v>
      </c>
      <c r="H244" s="712">
        <f t="shared" si="739"/>
        <v>0</v>
      </c>
      <c r="I244" s="711">
        <f>MAX(Sheet1!Z244-AJ244+(Sheet1!CW244-E244)*CFStoMGD,0)</f>
        <v>0</v>
      </c>
      <c r="J244" s="720">
        <f>IF(AND(B244&gt;=Calculation!FS244,B244&lt;=Calculation!FT244),IF(Sheet1!CX244&gt;=Calculation!D244,64.64,0),MAX(Sheet1!Z244-AJ244+(Sheet1!CX244-D244)*CFStoMGD,0))</f>
        <v>0</v>
      </c>
      <c r="K244" s="697">
        <f t="shared" si="740"/>
        <v>0</v>
      </c>
      <c r="L244" s="712">
        <f>Sheet1!AA244+Sheet1!AB244-Sheet1!L244+(Sheet1!CW244-F244)*CFStoMGD</f>
        <v>120.25513333333335</v>
      </c>
      <c r="M244" s="712">
        <f t="shared" si="741"/>
        <v>128.68533155817039</v>
      </c>
      <c r="N244" s="712">
        <f>IF(Sheet1!CW244&gt;=F244,MIN(73,MIN(MAX(L244,0),MAX(M244,0))),0)</f>
        <v>73</v>
      </c>
      <c r="O244" s="721">
        <f>Sheet1!AA244+Sheet1!AB244</f>
        <v>79</v>
      </c>
      <c r="P244" s="721">
        <f t="shared" si="742"/>
        <v>122.21299999999999</v>
      </c>
      <c r="Q244" s="712">
        <f>MIN(N244,Sheet1!AA244+AG244)</f>
        <v>60.843941248470017</v>
      </c>
      <c r="R244" s="712">
        <f t="shared" si="743"/>
        <v>18</v>
      </c>
      <c r="S244" s="721">
        <f>Sheet1!Y244*MGDtoCFS</f>
        <v>71.301230000000004</v>
      </c>
      <c r="T244" s="721">
        <f>Sheet1!Z244*MGDtoCFS</f>
        <v>49.736049999999999</v>
      </c>
      <c r="U244" s="721">
        <f>Sheet1!AA244*MGDtoCFS</f>
        <v>71.161999999999992</v>
      </c>
      <c r="V244" s="721">
        <f>Sheet1!AB244*MGDtoCFS</f>
        <v>51.050999999999995</v>
      </c>
      <c r="W244" s="721">
        <f>Sheet1!L244*MGDtoCFS</f>
        <v>0</v>
      </c>
      <c r="X244" s="697">
        <f t="shared" si="744"/>
        <v>18.207160342717263</v>
      </c>
      <c r="Y244" s="712">
        <f t="shared" si="745"/>
        <v>28.166477050183605</v>
      </c>
      <c r="Z244" s="712">
        <f t="shared" si="746"/>
        <v>0</v>
      </c>
      <c r="AA244" s="712">
        <f t="shared" si="747"/>
        <v>0</v>
      </c>
      <c r="AB244" s="712">
        <f>(VLOOKUP(Sheet1!CY244,hhdcap_wcm,4)-(((VLOOKUP(Sheet1!CY244,hhdcap_wcm,3)-Sheet1!CY244)/(VLOOKUP(Sheet1!CY244,hhdcap_wcm,3)-VLOOKUP(Sheet1!CY244,hhdcap_wcm,1)))*(VLOOKUP(Sheet1!CY244,hhdcap_wcm,4)-VLOOKUP(Sheet1!CY244,hhdcap_wcm,2))))</f>
        <v>38289.620000093098</v>
      </c>
      <c r="AC244" s="712">
        <f t="shared" si="748"/>
        <v>-138.46000000022468</v>
      </c>
      <c r="AD244" s="712">
        <f t="shared" si="749"/>
        <v>2879.7209461609245</v>
      </c>
      <c r="AE244" s="712">
        <f t="shared" si="750"/>
        <v>8834.9838628217167</v>
      </c>
      <c r="AF244" s="712">
        <f>Sheet1!BA244+Sheet1!BB244+Sheet1!BN244+BT244</f>
        <v>14.7</v>
      </c>
      <c r="AG244" s="712">
        <f t="shared" si="751"/>
        <v>14.843941248470015</v>
      </c>
      <c r="AH244" s="712">
        <f>Sheet1!BA244+BT244</f>
        <v>0</v>
      </c>
      <c r="AI244" s="712">
        <f>Sheet1!BA244+Sheet1!BB244+BT244</f>
        <v>0</v>
      </c>
      <c r="AJ244" s="712">
        <f>IF((Sheet1!AA244+AG244+AX244+AZ244+BQ244+BS244+CL244+CN244)&lt;=N244,AG244+AX244+AZ244+BQ244+BS244+CL244+CN244,N244-Sheet1!AA244)</f>
        <v>14.843941248470015</v>
      </c>
      <c r="AK244" s="712">
        <f>IF(DR244&lt;K244,0,MAX(Sheet1!AA244+AG244-15/36*K244-N244,Sheet1!ED244,0))</f>
        <v>0</v>
      </c>
      <c r="AL244" s="712">
        <f>IF(OR(B244&gt;=FT244,B244&lt;FS244),0,15/36*K244-MAX(0,64.6-(137.6-(Sheet1!AA244+Sheet1!AB244))))</f>
        <v>0</v>
      </c>
      <c r="AM244" s="712">
        <f>Sheet1!CX244-110</f>
        <v>47.604166666666657</v>
      </c>
      <c r="AN244" s="712">
        <f>Sheet1!CW244-265</f>
        <v>48.822916666666686</v>
      </c>
      <c r="AO244" s="712">
        <f t="shared" si="733"/>
        <v>12.156058751529983</v>
      </c>
      <c r="AP244" s="712">
        <f t="shared" si="752"/>
        <v>0</v>
      </c>
      <c r="AQ244" s="712">
        <f t="shared" si="753"/>
        <v>0</v>
      </c>
      <c r="AR244" s="712">
        <f t="shared" si="754"/>
        <v>1358.1051716644936</v>
      </c>
      <c r="AS244" s="712"/>
      <c r="AT244" s="712">
        <f ca="1">IF(B244&gt;Summary!$A$1,#N/A,AR244*MGtoAF)</f>
        <v>4166.6666666666661</v>
      </c>
      <c r="AU244" s="712">
        <f>Sheet1!BG244+Sheet1!BH244+Sheet1!BI244-BC244</f>
        <v>1.93</v>
      </c>
      <c r="AV244" s="712">
        <f t="shared" si="755"/>
        <v>1.9488984088127299</v>
      </c>
      <c r="AW244" s="712">
        <f>IF(Sheet1!EL244="FM",BC244,0)</f>
        <v>0</v>
      </c>
      <c r="AX244" s="712">
        <f t="shared" si="756"/>
        <v>0</v>
      </c>
      <c r="AY244" s="712">
        <f>IF(Sheet1!EL244="OTHER",BC244,0)</f>
        <v>0</v>
      </c>
      <c r="AZ244" s="712">
        <f t="shared" si="757"/>
        <v>0</v>
      </c>
      <c r="BA244" s="712">
        <f t="shared" si="758"/>
        <v>1.93</v>
      </c>
      <c r="BB244" s="712">
        <f t="shared" si="759"/>
        <v>1.9488984088127299</v>
      </c>
      <c r="BC244" s="712">
        <f>IF(OR(Sheet1!EL244="FM", Sheet1!EL244="OTHER"),SUM(Sheet1!BG244:'Sheet1'!BI244),0)</f>
        <v>0</v>
      </c>
      <c r="BD244" s="697">
        <f>IF(AND($B244&gt;=$FL244,$B244&lt;=$FM244),MAX(AV244,Sheet1!EE244,0),MAX(AV244-(7/36)*$K244,0))</f>
        <v>2</v>
      </c>
      <c r="BE244" s="712">
        <f t="shared" si="760"/>
        <v>0</v>
      </c>
      <c r="BF244" s="697">
        <f t="shared" si="761"/>
        <v>0</v>
      </c>
      <c r="BG244" s="697">
        <f>IF(AND($O244&gt;0,Sheet1!EI244=1),(1-($O244-Sheet1!$L244)/$O244)*BB244,0)</f>
        <v>0</v>
      </c>
      <c r="BH244" s="697">
        <f>IF(AND(Sheet1!$L244=0,Sheet1!$L243=0, Calculation!BA244&lt;Sheet1!$EE244-0.1,Sheet1!$EE244=Sheet1!$EE243,Sheet1!$EE244=Sheet1!$EE245),Sheet1!$EE244,BB244-BG244)</f>
        <v>1.9488984088127299</v>
      </c>
      <c r="BI244" s="712"/>
      <c r="BJ244" s="712"/>
      <c r="BK244" s="712">
        <f t="shared" si="762"/>
        <v>584.67368328470013</v>
      </c>
      <c r="BL244" s="712"/>
      <c r="BM244" s="712">
        <f ca="1">IF(B244&gt;Summary!$A$1,#N/A,BK244*MGtoAF)</f>
        <v>1793.7788603174599</v>
      </c>
      <c r="BN244" s="712">
        <f>Sheet1!BC244+Sheet1!BD244+Sheet1!BE244+Sheet1!BF244-BW244-BX244</f>
        <v>5.01</v>
      </c>
      <c r="BO244" s="712">
        <f t="shared" si="763"/>
        <v>5.0590575275397809</v>
      </c>
      <c r="BP244" s="712">
        <f>IF(Sheet1!EM244="FM",BX244,0)</f>
        <v>0</v>
      </c>
      <c r="BQ244" s="712">
        <f t="shared" si="764"/>
        <v>0</v>
      </c>
      <c r="BR244" s="712">
        <f>IF(Sheet1!EM244="OTHER",BX244,0)</f>
        <v>0</v>
      </c>
      <c r="BS244" s="712">
        <f t="shared" si="765"/>
        <v>0</v>
      </c>
      <c r="BT244" s="712">
        <f t="shared" si="766"/>
        <v>0</v>
      </c>
      <c r="BU244" s="712">
        <f t="shared" si="767"/>
        <v>5.01</v>
      </c>
      <c r="BV244" s="712">
        <f t="shared" si="768"/>
        <v>5.0590575275397809</v>
      </c>
      <c r="BW244" s="712">
        <f>IF(Sheet1!EM244="CWA",SUM(Sheet1!BC244:'Sheet1'!BF244),0)</f>
        <v>0</v>
      </c>
      <c r="BX244" s="712">
        <f>IF(OR(Sheet1!EM244="FM", Sheet1!EM244="OTHER"),SUM(Sheet1!BC244:'Sheet1'!BF244),0)</f>
        <v>0</v>
      </c>
      <c r="BY244" s="697">
        <f>IF(AND($B244&gt;=$FL244,$B244&lt;=$FM244),MAX(BV244,Sheet1!EF244,0),MAX(BV244-(7/36)*$K244,0))</f>
        <v>5.0590575275397809</v>
      </c>
      <c r="BZ244" s="712">
        <f t="shared" si="769"/>
        <v>0</v>
      </c>
      <c r="CA244" s="697">
        <f t="shared" si="770"/>
        <v>0</v>
      </c>
      <c r="CB244" s="697">
        <f>IF(AND($O244&gt;0,Sheet1!EJ244=1),(1-($O244-Sheet1!$L244)/$O244)*BV244,0)</f>
        <v>0</v>
      </c>
      <c r="CC244" s="697">
        <f>IF(AND(Sheet1!$L244=0,Sheet1!$L243=0, Calculation!BU244&lt;Sheet1!EF244-0.1,Sheet1!EF244=Sheet1!EF243,Sheet1!EF244=Sheet1!EF245),Sheet1!EF244,BV244-CB244)</f>
        <v>5.0590575275397809</v>
      </c>
      <c r="CD244" s="697"/>
      <c r="CE244" s="712"/>
      <c r="CF244" s="712">
        <f t="shared" si="771"/>
        <v>534.43042674260471</v>
      </c>
      <c r="CG244" s="712"/>
      <c r="CH244" s="712">
        <f ca="1">IF(B244&gt;Summary!$A$1,#N/A,CF244*MGtoAF)</f>
        <v>1639.6325492463113</v>
      </c>
      <c r="CI244" s="712">
        <f>Sheet1!BK244+Sheet1!BL244+Sheet1!BM244-Sheet1!EN244-CQ244</f>
        <v>11.04</v>
      </c>
      <c r="CJ244" s="712">
        <f t="shared" si="772"/>
        <v>11.148102815177481</v>
      </c>
      <c r="CK244" s="712">
        <f>IF(Sheet1!EN244="FM",CQ244,0)</f>
        <v>0</v>
      </c>
      <c r="CL244" s="712">
        <f t="shared" si="773"/>
        <v>0</v>
      </c>
      <c r="CM244" s="712">
        <f>IF(Sheet1!EN244="OTHER",CQ244,0)</f>
        <v>0</v>
      </c>
      <c r="CN244" s="712">
        <f t="shared" si="774"/>
        <v>0</v>
      </c>
      <c r="CO244" s="712">
        <f t="shared" si="775"/>
        <v>11.04</v>
      </c>
      <c r="CP244" s="712">
        <f t="shared" si="776"/>
        <v>11.148102815177481</v>
      </c>
      <c r="CQ244" s="712">
        <f>IF(OR(Sheet1!EN244="FM", Sheet1!EN244="OTHER"),SUM(Sheet1!BK244:'Sheet1'!BM244),0)</f>
        <v>0</v>
      </c>
      <c r="CR244" s="697">
        <f>IF(AND($B244&gt;=$FL244,$B244&lt;=$FM244),MAX($CJ244,Sheet1!EG244,0),MAX($CJ244-(7/36)*$K244,0))</f>
        <v>11.148102815177481</v>
      </c>
      <c r="CS244" s="712">
        <f t="shared" si="777"/>
        <v>0</v>
      </c>
      <c r="CT244" s="697">
        <f t="shared" si="778"/>
        <v>0</v>
      </c>
      <c r="CU244" s="697">
        <f>IF(AND($O244&gt;0,Sheet1!EK244=1),(1-($O244-Sheet1!$L244)/$O244)*CP244,0)</f>
        <v>0</v>
      </c>
      <c r="CV244" s="697">
        <f>IF(AND(Sheet1!$L244=0,Sheet1!$L243=0, Calculation!CO244&lt;Sheet1!$EG244-0.1,Sheet1!$EG244=Sheet1!$EG243,Sheet1!$EG244=Sheet1!$EG245),Sheet1!$EG244,CP244-CU244)</f>
        <v>11.148102815177481</v>
      </c>
      <c r="CW244" s="697">
        <f t="shared" si="721"/>
        <v>0</v>
      </c>
      <c r="CX244" s="712">
        <f t="shared" si="779"/>
        <v>17.979999999999997</v>
      </c>
      <c r="CY244" s="712">
        <f t="shared" si="780"/>
        <v>402.51166446912617</v>
      </c>
      <c r="CZ244" s="712">
        <f t="shared" si="781"/>
        <v>18.15605875152999</v>
      </c>
      <c r="DA244" s="712">
        <f ca="1">IF(B244&gt;Summary!$A$1,#N/A,CY244*MGtoAF)</f>
        <v>1234.9057865912791</v>
      </c>
      <c r="DB244" s="712">
        <f t="shared" si="782"/>
        <v>17.979999999999997</v>
      </c>
      <c r="DC244" s="712">
        <f t="shared" si="783"/>
        <v>32.679999999999993</v>
      </c>
      <c r="DD244" s="712">
        <f>Sheet1!AB244-DC244</f>
        <v>0.32000000000000739</v>
      </c>
      <c r="DE244" s="712">
        <f t="shared" si="784"/>
        <v>9.7919216646269111E-3</v>
      </c>
      <c r="DF244" s="712">
        <f>(VLOOKUP(Sheet1!CY244,hhdcap_wcm,4)-(((VLOOKUP(Sheet1!CY244,hhdcap_wcm,3)-Sheet1!CY244)/(VLOOKUP(Sheet1!CY244,hhdcap_wcm,3)-VLOOKUP(Sheet1!CY244,hhdcap_wcm,1)))*(VLOOKUP(Sheet1!CY244,hhdcap_wcm,4)-VLOOKUP(Sheet1!CY244,hhdcap_wcm,2))))</f>
        <v>38289.620000093098</v>
      </c>
      <c r="DG244" s="712">
        <f t="shared" si="785"/>
        <v>-138.46000000022468</v>
      </c>
      <c r="DH244" s="712">
        <f t="shared" si="786"/>
        <v>-69.823499747970075</v>
      </c>
      <c r="DI244" s="712">
        <f>Sheet1!DW244*AFtoMG</f>
        <v>0</v>
      </c>
      <c r="DJ244" s="712">
        <f>Sheet1!DX244*AFtoMG</f>
        <v>0</v>
      </c>
      <c r="DK244" s="712">
        <f>Sheet1!DY244*AFtoMG</f>
        <v>0</v>
      </c>
      <c r="DL244" s="712">
        <f>Sheet1!DZ244*AFtoMG</f>
        <v>0</v>
      </c>
      <c r="DM244" s="712">
        <f t="shared" si="787"/>
        <v>0</v>
      </c>
      <c r="DN244" s="712">
        <f t="shared" si="788"/>
        <v>0</v>
      </c>
      <c r="DO244" s="712">
        <f t="shared" si="789"/>
        <v>2879.7209461609245</v>
      </c>
      <c r="DP244" s="712">
        <f t="shared" si="790"/>
        <v>8834.9838628217167</v>
      </c>
      <c r="DQ244" s="712"/>
      <c r="DR244" s="697">
        <f>IF(OR(B244&lt;FL244,B244&gt;FM244),(MIN(AV244+BO244+CJ244+MAX(Sheet1!AA244+AG244-73,0),K244)),0)</f>
        <v>0</v>
      </c>
      <c r="DS244" s="712"/>
      <c r="DT244" s="712">
        <f t="shared" si="791"/>
        <v>18.15605875152999</v>
      </c>
      <c r="DU244" s="712"/>
      <c r="DV244" s="712">
        <f>Sheet1!ED244+Sheet1!EE244+Sheet1!EF244+Sheet1!EG244</f>
        <v>18</v>
      </c>
      <c r="DW244" s="712"/>
      <c r="DX244" s="697">
        <f t="shared" si="792"/>
        <v>0</v>
      </c>
      <c r="DY244" s="712">
        <f>IF(Sheet1!FN244=1,SUM('Calculations II'!AT244:BA244)+'Calculations II'!BC244+Sheet1!BU244+'Calculations II'!BE244+AF244,SUM('Calculations II'!AT244:BA244)+'Calculations II'!BC244+Sheet1!BU244+'Calculations II'!BE244+AF244)</f>
        <v>67.655184000000006</v>
      </c>
      <c r="DZ244" s="712">
        <f>Sheet1!AA244+Sheet1!AB244+'Calculations II'!BC244</f>
        <v>91.115296000000001</v>
      </c>
      <c r="EA244" s="712"/>
      <c r="EB244" s="712"/>
      <c r="EC244" s="712">
        <f t="shared" si="793"/>
        <v>40773</v>
      </c>
      <c r="ED244" s="712">
        <f t="shared" si="794"/>
        <v>-18.207160342717263</v>
      </c>
      <c r="EE244" s="712">
        <f t="shared" si="795"/>
        <v>-28.166477050183605</v>
      </c>
      <c r="EF244" s="712">
        <f>-(VLOOKUP(Sheet1!BQ244,Lookup!$B$4:$J$236,2)-VLOOKUP(Sheet1!BQ243,Lookup!$B$4:$J$236,2))/1000000</f>
        <v>-2.4073000000000002</v>
      </c>
      <c r="EG244" s="712">
        <f>-(VLOOKUP(Sheet1!BR244,Lookup!$B$4:$J$236,3)-VLOOKUP(Sheet1!BR243,Lookup!$B$4:$J$236,3))/1000000</f>
        <v>-2.1362000000000001</v>
      </c>
      <c r="EH244" s="712">
        <f>-(VLOOKUP(Sheet1!BS244,Lookup!$B$4:$J$236,4)-VLOOKUP(Sheet1!BS243,Lookup!$B$4:$J$236,4))/1000000</f>
        <v>0</v>
      </c>
      <c r="EI244" s="697">
        <f t="shared" si="796"/>
        <v>-4.5434999999999999</v>
      </c>
      <c r="EJ244" s="712"/>
      <c r="EK244" s="712"/>
      <c r="EL244" s="712"/>
      <c r="EM244" s="712"/>
      <c r="EN244" s="712"/>
      <c r="EO244" s="712"/>
      <c r="EP244" s="712"/>
      <c r="EQ244" s="712"/>
      <c r="ET244" s="794">
        <f t="shared" si="818"/>
        <v>1133.5999999999999</v>
      </c>
      <c r="EU244" s="697">
        <v>8785</v>
      </c>
      <c r="EV244" s="795">
        <f t="shared" si="734"/>
        <v>19449.63613727138</v>
      </c>
      <c r="EW244" s="796" t="s">
        <v>757</v>
      </c>
      <c r="EX244" s="796" t="s">
        <v>758</v>
      </c>
      <c r="EY244" s="712">
        <f t="shared" si="817"/>
        <v>0</v>
      </c>
      <c r="EZ244" s="798">
        <v>20132.400000046033</v>
      </c>
      <c r="FA244" s="712"/>
      <c r="FB244" s="712"/>
      <c r="FC244" s="712"/>
      <c r="FD244" s="712"/>
      <c r="FE244" s="712">
        <f>O244+Sheet1!CO244</f>
        <v>8492.4</v>
      </c>
      <c r="FF244" s="712">
        <f>IF(Sheet1!AA244+AG244&lt;=Calculation!N244,AG244,Calculation!N244-Sheet1!AA244)</f>
        <v>14.843941248470015</v>
      </c>
      <c r="FG244" s="712">
        <f>(Sheet1!BP244+Sheet1!BO244)/694.4</f>
        <v>5.0113767281105996</v>
      </c>
      <c r="FH244" s="712"/>
      <c r="FI244" s="712"/>
      <c r="FJ244" s="712"/>
      <c r="FK244" s="712"/>
      <c r="FL244" s="714">
        <f t="shared" si="726"/>
        <v>40753</v>
      </c>
      <c r="FM244" s="714">
        <f t="shared" si="727"/>
        <v>40851</v>
      </c>
      <c r="FN244" s="712"/>
      <c r="FO244" s="712"/>
      <c r="FP244" s="712"/>
      <c r="FQ244" s="712"/>
      <c r="FR244" s="712"/>
      <c r="FS244" s="725">
        <f t="shared" si="816"/>
        <v>40603</v>
      </c>
      <c r="FT244" s="714">
        <f t="shared" si="729"/>
        <v>40709</v>
      </c>
      <c r="FU244" s="712">
        <f t="shared" si="816"/>
        <v>6518.9048239895692</v>
      </c>
      <c r="FV244" s="714">
        <f t="shared" si="730"/>
        <v>40722</v>
      </c>
      <c r="FW244" s="712">
        <f t="shared" si="816"/>
        <v>3259.4524119947846</v>
      </c>
      <c r="FX244" s="725">
        <f t="shared" si="816"/>
        <v>40851</v>
      </c>
      <c r="FZ244" s="697">
        <f t="shared" si="722"/>
        <v>0</v>
      </c>
      <c r="GA244" s="712" t="str">
        <f t="shared" si="797"/>
        <v/>
      </c>
      <c r="GB244" s="712">
        <f t="shared" si="798"/>
        <v>0</v>
      </c>
      <c r="GC244" s="712" t="str">
        <f t="shared" si="799"/>
        <v/>
      </c>
      <c r="GD244" s="712">
        <f>IF(GA244="P",Lookup!$M$12,IF(GA244="PP",Lookup!$M$13,IF(GA244="PPP",Lookup!$M$14,IF(GA244="T",Lookup!$M$15,IF(GA244="TP",Lookup!$M$16,IF(GA244="TPP",Lookup!$M$17,IF(GA244="TPPP",Lookup!$M$18,0)))))))*FZ244</f>
        <v>0</v>
      </c>
      <c r="GE244" s="712">
        <f t="shared" si="800"/>
        <v>0</v>
      </c>
      <c r="GF244" s="712">
        <f t="shared" si="801"/>
        <v>4166.6666666666661</v>
      </c>
      <c r="GG244" s="712">
        <f t="shared" si="802"/>
        <v>1358.1051716644936</v>
      </c>
      <c r="GH244" s="712"/>
      <c r="GI244" s="712">
        <f t="shared" si="803"/>
        <v>0</v>
      </c>
      <c r="GJ244" s="712" t="str">
        <f t="shared" si="804"/>
        <v/>
      </c>
      <c r="GK244" s="712">
        <f>IF(GA244="P",Lookup!$N$12,IF(GA244="PP",Lookup!$N$13,IF(GA244="PPP",Lookup!$N$14,IF(GA244="T",Lookup!$N$15,IF(GA244="TP",Lookup!$N$16,IF(GA244="TPP",Lookup!$N$17,IF(GA244="TPPP",Lookup!$N$18,0)))))))*FZ244</f>
        <v>0</v>
      </c>
      <c r="GL244" s="712">
        <f t="shared" si="805"/>
        <v>0</v>
      </c>
      <c r="GM244" s="712">
        <f t="shared" si="806"/>
        <v>1793.7788603174599</v>
      </c>
      <c r="GN244" s="712">
        <f t="shared" si="807"/>
        <v>584.67368328470013</v>
      </c>
      <c r="GO244" s="712"/>
      <c r="GP244" s="712">
        <f t="shared" si="808"/>
        <v>0</v>
      </c>
      <c r="GQ244" s="712" t="str">
        <f t="shared" si="809"/>
        <v/>
      </c>
      <c r="GR244" s="712">
        <f>IF(GA244="P",Lookup!$N$12,IF(GA244="PP",Lookup!$N$13,IF(GA244="PPP",Lookup!$N$14,IF(GA244="T",Lookup!$N$15,IF(GA244="TP",Lookup!$N$16,IF(GA244="TPP",Lookup!$N$17,IF(GA244="TPPP",Lookup!$N$18,0)))))))*FZ244</f>
        <v>0</v>
      </c>
      <c r="GS244" s="697">
        <f t="shared" si="724"/>
        <v>0</v>
      </c>
      <c r="GT244" s="712">
        <f t="shared" si="810"/>
        <v>1639.6325492463113</v>
      </c>
      <c r="GU244" s="712">
        <f t="shared" si="811"/>
        <v>534.43042674260471</v>
      </c>
      <c r="GV244" s="712"/>
      <c r="GW244" s="712">
        <f t="shared" si="812"/>
        <v>0</v>
      </c>
      <c r="GX244" s="712" t="str">
        <f t="shared" si="813"/>
        <v/>
      </c>
      <c r="GY244" s="712">
        <f>IF(GA244="P",Lookup!$N$12,IF(GA244="PP",Lookup!$N$13,IF(GA244="PPP",Lookup!$N$14,IF(GA244="T",Lookup!$N$15,IF(GA244="TP",Lookup!$N$16,IF(GA244="TPP",Lookup!$N$17,IF(GA244="TPPP",Lookup!$N$18,0)))))))*FZ244</f>
        <v>0</v>
      </c>
      <c r="GZ244" s="697">
        <f t="shared" si="725"/>
        <v>0</v>
      </c>
      <c r="HA244" s="712">
        <f t="shared" si="814"/>
        <v>1234.9057865912791</v>
      </c>
      <c r="HB244" s="712">
        <f t="shared" si="815"/>
        <v>402.51166446912617</v>
      </c>
      <c r="HC244" s="712"/>
    </row>
    <row r="245" spans="1:211">
      <c r="A245" s="773" t="s">
        <v>8</v>
      </c>
      <c r="B245" s="708">
        <v>40774</v>
      </c>
      <c r="C245" s="719">
        <v>0.5</v>
      </c>
      <c r="D245" s="675">
        <f t="shared" si="737"/>
        <v>200</v>
      </c>
      <c r="E245" s="675">
        <f t="shared" si="738"/>
        <v>400</v>
      </c>
      <c r="F245" s="675">
        <v>250</v>
      </c>
      <c r="G245" s="712">
        <f>DH245+Sheet1!CV245</f>
        <v>194.49338124054202</v>
      </c>
      <c r="H245" s="712">
        <f t="shared" si="739"/>
        <v>0</v>
      </c>
      <c r="I245" s="711">
        <f>MAX(Sheet1!Z245-AJ245+(Sheet1!CW245-E245)*CFStoMGD,0)</f>
        <v>0</v>
      </c>
      <c r="J245" s="720">
        <f>IF(AND(B245&gt;=Calculation!FS245,B245&lt;=Calculation!FT245),IF(Sheet1!CX245&gt;=Calculation!D245,64.64,0),MAX(Sheet1!Z245-AJ245+(Sheet1!CX245-D245)*CFStoMGD,0))</f>
        <v>0</v>
      </c>
      <c r="K245" s="697">
        <f t="shared" si="740"/>
        <v>0</v>
      </c>
      <c r="L245" s="712">
        <f>Sheet1!AA245+Sheet1!AB245-Sheet1!L245+(Sheet1!CW245-F245)*CFStoMGD</f>
        <v>118.33179999999359</v>
      </c>
      <c r="M245" s="712">
        <f t="shared" si="741"/>
        <v>128.23493206656408</v>
      </c>
      <c r="N245" s="712">
        <f>IF(Sheet1!CW245&gt;=F245,MIN(73,MIN(MAX(L245,0),MAX(M245,0))),0)</f>
        <v>73</v>
      </c>
      <c r="O245" s="721">
        <f>Sheet1!AA245+Sheet1!AB245</f>
        <v>81.789999999993597</v>
      </c>
      <c r="P245" s="721">
        <f t="shared" si="742"/>
        <v>126.52912999999009</v>
      </c>
      <c r="Q245" s="712">
        <f>MIN(N245,Sheet1!AA245+AG245)</f>
        <v>62.553571428565022</v>
      </c>
      <c r="R245" s="712">
        <f t="shared" si="743"/>
        <v>19.5</v>
      </c>
      <c r="S245" s="721">
        <f>Sheet1!Y245*MGDtoCFS</f>
        <v>71.595159999999993</v>
      </c>
      <c r="T245" s="721">
        <f>Sheet1!Z245*MGDtoCFS</f>
        <v>54.39251999999999</v>
      </c>
      <c r="U245" s="721">
        <f>Sheet1!AA245*MGDtoCFS</f>
        <v>71.997379999990088</v>
      </c>
      <c r="V245" s="721">
        <f>Sheet1!AB245*MGDtoCFS</f>
        <v>54.531749999999995</v>
      </c>
      <c r="W245" s="721">
        <f>Sheet1!L245*MGDtoCFS</f>
        <v>0</v>
      </c>
      <c r="X245" s="697">
        <f t="shared" si="744"/>
        <v>19.5</v>
      </c>
      <c r="Y245" s="712">
        <f t="shared" si="745"/>
        <v>30.166499999999999</v>
      </c>
      <c r="Z245" s="712">
        <f t="shared" si="746"/>
        <v>0</v>
      </c>
      <c r="AA245" s="712">
        <f t="shared" si="747"/>
        <v>0</v>
      </c>
      <c r="AB245" s="712">
        <f>(VLOOKUP(Sheet1!CY245,hhdcap_wcm,4)-(((VLOOKUP(Sheet1!CY245,hhdcap_wcm,3)-Sheet1!CY245)/(VLOOKUP(Sheet1!CY245,hhdcap_wcm,3)-VLOOKUP(Sheet1!CY245,hhdcap_wcm,1)))*(VLOOKUP(Sheet1!CY245,hhdcap_wcm,4)-VLOOKUP(Sheet1!CY245,hhdcap_wcm,2))))</f>
        <v>38131.380000093093</v>
      </c>
      <c r="AC245" s="712">
        <f t="shared" si="748"/>
        <v>-158.24000000000524</v>
      </c>
      <c r="AD245" s="712">
        <f t="shared" si="749"/>
        <v>2860.2209461609245</v>
      </c>
      <c r="AE245" s="712">
        <f t="shared" si="750"/>
        <v>8775.1578628217176</v>
      </c>
      <c r="AF245" s="712">
        <f>Sheet1!BA245+Sheet1!BB245+Sheet1!BN245+BT245</f>
        <v>15.9</v>
      </c>
      <c r="AG245" s="712">
        <f t="shared" si="751"/>
        <v>16.013571428571428</v>
      </c>
      <c r="AH245" s="712">
        <f>Sheet1!BA245+BT245</f>
        <v>0</v>
      </c>
      <c r="AI245" s="712">
        <f>Sheet1!BA245+Sheet1!BB245+BT245</f>
        <v>0</v>
      </c>
      <c r="AJ245" s="712">
        <f>IF((Sheet1!AA245+AG245+AX245+AZ245+BQ245+BS245+CL245+CN245)&lt;=N245,AG245+AX245+AZ245+BQ245+BS245+CL245+CN245,N245-Sheet1!AA245)</f>
        <v>16.013571428571428</v>
      </c>
      <c r="AK245" s="712">
        <f>IF(DR245&lt;K245,0,MAX(Sheet1!AA245+AG245-15/36*K245-N245,Sheet1!ED245,0))</f>
        <v>0</v>
      </c>
      <c r="AL245" s="712">
        <f>IF(OR(B245&gt;=FT245,B245&lt;FS245),0,15/36*K245-MAX(0,64.6-(137.6-(Sheet1!AA245+Sheet1!AB245))))</f>
        <v>0</v>
      </c>
      <c r="AM245" s="712">
        <f>Sheet1!CX245-110</f>
        <v>51.03125</v>
      </c>
      <c r="AN245" s="712">
        <f>Sheet1!CW245-265</f>
        <v>41.53125</v>
      </c>
      <c r="AO245" s="712">
        <f t="shared" si="733"/>
        <v>10.446428571434978</v>
      </c>
      <c r="AP245" s="712">
        <f t="shared" si="752"/>
        <v>0</v>
      </c>
      <c r="AQ245" s="712">
        <f t="shared" si="753"/>
        <v>0</v>
      </c>
      <c r="AR245" s="712">
        <f t="shared" si="754"/>
        <v>1358.1051716644936</v>
      </c>
      <c r="AS245" s="712"/>
      <c r="AT245" s="712">
        <f ca="1">IF(B245&gt;Summary!$A$1,#N/A,AR245*MGtoAF)</f>
        <v>4166.6666666666661</v>
      </c>
      <c r="AU245" s="712">
        <f>Sheet1!BG245+Sheet1!BH245+Sheet1!BI245-BC245</f>
        <v>1.93</v>
      </c>
      <c r="AV245" s="712">
        <f t="shared" si="755"/>
        <v>1.9437857142857142</v>
      </c>
      <c r="AW245" s="712">
        <f>IF(Sheet1!EL245="FM",BC245,0)</f>
        <v>0</v>
      </c>
      <c r="AX245" s="712">
        <f t="shared" si="756"/>
        <v>0</v>
      </c>
      <c r="AY245" s="712">
        <f>IF(Sheet1!EL245="OTHER",BC245,0)</f>
        <v>0</v>
      </c>
      <c r="AZ245" s="712">
        <f t="shared" si="757"/>
        <v>0</v>
      </c>
      <c r="BA245" s="712">
        <f t="shared" si="758"/>
        <v>1.93</v>
      </c>
      <c r="BB245" s="712">
        <f t="shared" si="759"/>
        <v>1.9437857142857142</v>
      </c>
      <c r="BC245" s="712">
        <f>IF(OR(Sheet1!EL245="FM", Sheet1!EL245="OTHER"),SUM(Sheet1!BG245:'Sheet1'!BI245),0)</f>
        <v>0</v>
      </c>
      <c r="BD245" s="697">
        <f>IF(AND($B245&gt;=$FL245,$B245&lt;=$FM245),MAX(AV245,Sheet1!EE245,0),MAX(AV245-(7/36)*$K245,0))</f>
        <v>2</v>
      </c>
      <c r="BE245" s="712">
        <f t="shared" si="760"/>
        <v>0</v>
      </c>
      <c r="BF245" s="697">
        <f t="shared" si="761"/>
        <v>0</v>
      </c>
      <c r="BG245" s="697">
        <f>IF(AND($O245&gt;0,Sheet1!EI245=1),(1-($O245-Sheet1!$L245)/$O245)*BB245,0)</f>
        <v>0</v>
      </c>
      <c r="BH245" s="697">
        <f>IF(AND(Sheet1!$L245=0,Sheet1!$L244=0, Calculation!BA245&lt;Sheet1!$EE245-0.1,Sheet1!$EE245=Sheet1!$EE244,Sheet1!$EE245=Sheet1!$EE246),Sheet1!$EE245,BB245-BG245)</f>
        <v>1.9437857142857142</v>
      </c>
      <c r="BI245" s="712"/>
      <c r="BJ245" s="712"/>
      <c r="BK245" s="712">
        <f t="shared" si="762"/>
        <v>582.67368328470013</v>
      </c>
      <c r="BL245" s="712"/>
      <c r="BM245" s="712">
        <f ca="1">IF(B245&gt;Summary!$A$1,#N/A,BK245*MGtoAF)</f>
        <v>1787.64286031746</v>
      </c>
      <c r="BN245" s="712">
        <f>Sheet1!BC245+Sheet1!BD245+Sheet1!BE245+Sheet1!BF245-BW245-BX245</f>
        <v>5.3599999999999994</v>
      </c>
      <c r="BO245" s="712">
        <f t="shared" si="763"/>
        <v>5.3982857142857137</v>
      </c>
      <c r="BP245" s="712">
        <f>IF(Sheet1!EM245="FM",BX245,0)</f>
        <v>0</v>
      </c>
      <c r="BQ245" s="712">
        <f t="shared" si="764"/>
        <v>0</v>
      </c>
      <c r="BR245" s="712">
        <f>IF(Sheet1!EM245="OTHER",BX245,0)</f>
        <v>0</v>
      </c>
      <c r="BS245" s="712">
        <f t="shared" si="765"/>
        <v>0</v>
      </c>
      <c r="BT245" s="712">
        <f t="shared" si="766"/>
        <v>0</v>
      </c>
      <c r="BU245" s="712">
        <f t="shared" si="767"/>
        <v>5.3599999999999994</v>
      </c>
      <c r="BV245" s="712">
        <f t="shared" si="768"/>
        <v>5.3982857142857137</v>
      </c>
      <c r="BW245" s="712">
        <f>IF(Sheet1!EM245="CWA",SUM(Sheet1!BC245:'Sheet1'!BF245),0)</f>
        <v>0</v>
      </c>
      <c r="BX245" s="712">
        <f>IF(OR(Sheet1!EM245="FM", Sheet1!EM245="OTHER"),SUM(Sheet1!BC245:'Sheet1'!BF245),0)</f>
        <v>0</v>
      </c>
      <c r="BY245" s="697">
        <f>IF(AND($B245&gt;=$FL245,$B245&lt;=$FM245),MAX(BV245,Sheet1!EF245,0),MAX(BV245-(7/36)*$K245,0))</f>
        <v>5.5</v>
      </c>
      <c r="BZ245" s="712">
        <f t="shared" si="769"/>
        <v>0</v>
      </c>
      <c r="CA245" s="697">
        <f t="shared" si="770"/>
        <v>0</v>
      </c>
      <c r="CB245" s="697">
        <f>IF(AND($O245&gt;0,Sheet1!EJ245=1),(1-($O245-Sheet1!$L245)/$O245)*BV245,0)</f>
        <v>0</v>
      </c>
      <c r="CC245" s="697">
        <f>IF(AND(Sheet1!$L245=0,Sheet1!$L244=0, Calculation!BU245&lt;Sheet1!EF245-0.1,Sheet1!EF245=Sheet1!EF244,Sheet1!EF245=Sheet1!EF246),Sheet1!EF245,BV245-CB245)</f>
        <v>5.3982857142857137</v>
      </c>
      <c r="CD245" s="697"/>
      <c r="CE245" s="712"/>
      <c r="CF245" s="712">
        <f t="shared" si="771"/>
        <v>528.93042674260471</v>
      </c>
      <c r="CG245" s="712"/>
      <c r="CH245" s="712">
        <f ca="1">IF(B245&gt;Summary!$A$1,#N/A,CF245*MGtoAF)</f>
        <v>1622.7585492463113</v>
      </c>
      <c r="CI245" s="712">
        <f>Sheet1!BK245+Sheet1!BL245+Sheet1!BM245-Sheet1!EN245-CQ245</f>
        <v>11.809999999999999</v>
      </c>
      <c r="CJ245" s="712">
        <f t="shared" si="772"/>
        <v>11.894357142857142</v>
      </c>
      <c r="CK245" s="712">
        <f>IF(Sheet1!EN245="FM",CQ245,0)</f>
        <v>0</v>
      </c>
      <c r="CL245" s="712">
        <f t="shared" si="773"/>
        <v>0</v>
      </c>
      <c r="CM245" s="712">
        <f>IF(Sheet1!EN245="OTHER",CQ245,0)</f>
        <v>0</v>
      </c>
      <c r="CN245" s="712">
        <f t="shared" si="774"/>
        <v>0</v>
      </c>
      <c r="CO245" s="712">
        <f t="shared" si="775"/>
        <v>11.809999999999999</v>
      </c>
      <c r="CP245" s="712">
        <f t="shared" si="776"/>
        <v>11.894357142857142</v>
      </c>
      <c r="CQ245" s="712">
        <f>IF(OR(Sheet1!EN245="FM", Sheet1!EN245="OTHER"),SUM(Sheet1!BK245:'Sheet1'!BM245),0)</f>
        <v>0</v>
      </c>
      <c r="CR245" s="697">
        <f>IF(AND($B245&gt;=$FL245,$B245&lt;=$FM245),MAX($CJ245,Sheet1!EG245,0),MAX($CJ245-(7/36)*$K245,0))</f>
        <v>12</v>
      </c>
      <c r="CS245" s="712">
        <f t="shared" si="777"/>
        <v>0</v>
      </c>
      <c r="CT245" s="697">
        <f t="shared" si="778"/>
        <v>0</v>
      </c>
      <c r="CU245" s="697">
        <f>IF(AND($O245&gt;0,Sheet1!EK245=1),(1-($O245-Sheet1!$L245)/$O245)*CP245,0)</f>
        <v>0</v>
      </c>
      <c r="CV245" s="697">
        <f>IF(AND(Sheet1!$L245=0,Sheet1!$L244=0, Calculation!CO245&lt;Sheet1!$EG245-0.1,Sheet1!$EG245=Sheet1!$EG244,Sheet1!$EG245=Sheet1!$EG246),Sheet1!$EG245,CP245-CU245)</f>
        <v>11.894357142857142</v>
      </c>
      <c r="CW245" s="697">
        <f t="shared" si="721"/>
        <v>0</v>
      </c>
      <c r="CX245" s="712">
        <f t="shared" si="779"/>
        <v>19.099999999999998</v>
      </c>
      <c r="CY245" s="712">
        <f t="shared" si="780"/>
        <v>390.51166446912617</v>
      </c>
      <c r="CZ245" s="712">
        <f t="shared" si="781"/>
        <v>19.236428571428569</v>
      </c>
      <c r="DA245" s="712">
        <f ca="1">IF(B245&gt;Summary!$A$1,#N/A,CY245*MGtoAF)</f>
        <v>1198.0897865912791</v>
      </c>
      <c r="DB245" s="712">
        <f t="shared" si="782"/>
        <v>19.099999999999998</v>
      </c>
      <c r="DC245" s="712">
        <f t="shared" si="783"/>
        <v>35</v>
      </c>
      <c r="DD245" s="712">
        <f>Sheet1!AB245-DC245</f>
        <v>0.25</v>
      </c>
      <c r="DE245" s="712">
        <f t="shared" si="784"/>
        <v>7.1428571428571426E-3</v>
      </c>
      <c r="DF245" s="712">
        <f>(VLOOKUP(Sheet1!CY245,hhdcap_wcm,4)-(((VLOOKUP(Sheet1!CY245,hhdcap_wcm,3)-Sheet1!CY245)/(VLOOKUP(Sheet1!CY245,hhdcap_wcm,3)-VLOOKUP(Sheet1!CY245,hhdcap_wcm,1)))*(VLOOKUP(Sheet1!CY245,hhdcap_wcm,4)-VLOOKUP(Sheet1!CY245,hhdcap_wcm,2))))</f>
        <v>38131.380000093093</v>
      </c>
      <c r="DG245" s="712">
        <f t="shared" si="785"/>
        <v>-158.24000000000524</v>
      </c>
      <c r="DH245" s="712">
        <f t="shared" si="786"/>
        <v>-79.798285426124664</v>
      </c>
      <c r="DI245" s="712">
        <f>Sheet1!DW245*AFtoMG</f>
        <v>0</v>
      </c>
      <c r="DJ245" s="712">
        <f>Sheet1!DX245*AFtoMG</f>
        <v>0</v>
      </c>
      <c r="DK245" s="712">
        <f>Sheet1!DY245*AFtoMG</f>
        <v>0</v>
      </c>
      <c r="DL245" s="712">
        <f>Sheet1!DZ245*AFtoMG</f>
        <v>0</v>
      </c>
      <c r="DM245" s="712">
        <f t="shared" si="787"/>
        <v>0</v>
      </c>
      <c r="DN245" s="712">
        <f t="shared" si="788"/>
        <v>0</v>
      </c>
      <c r="DO245" s="712">
        <f t="shared" si="789"/>
        <v>2860.2209461609245</v>
      </c>
      <c r="DP245" s="712">
        <f t="shared" si="790"/>
        <v>8775.1578628217176</v>
      </c>
      <c r="DQ245" s="712"/>
      <c r="DR245" s="697">
        <f>IF(OR(B245&lt;FL245,B245&gt;FM245),(MIN(AV245+BO245+CJ245+MAX(Sheet1!AA245+AG245-73,0),K245)),0)</f>
        <v>0</v>
      </c>
      <c r="DS245" s="712"/>
      <c r="DT245" s="712">
        <f t="shared" si="791"/>
        <v>19.236428571428569</v>
      </c>
      <c r="DU245" s="712"/>
      <c r="DV245" s="712">
        <f>Sheet1!ED245+Sheet1!EE245+Sheet1!EF245+Sheet1!EG245</f>
        <v>19.5</v>
      </c>
      <c r="DW245" s="712"/>
      <c r="DX245" s="697">
        <f t="shared" si="792"/>
        <v>0</v>
      </c>
      <c r="DY245" s="712">
        <f>IF(Sheet1!FN245=1,SUM('Calculations II'!AT245:BA245)+'Calculations II'!BC245+Sheet1!BU245+'Calculations II'!BE245+AF245,SUM('Calculations II'!AT245:BA245)+'Calculations II'!BC245+Sheet1!BU245+'Calculations II'!BE245+AF245)</f>
        <v>71.472560000000016</v>
      </c>
      <c r="DZ245" s="712">
        <f>Sheet1!AA245+Sheet1!AB245+'Calculations II'!BC245</f>
        <v>95.0071839999936</v>
      </c>
      <c r="EA245" s="712"/>
      <c r="EB245" s="712"/>
      <c r="EC245" s="712">
        <f t="shared" si="793"/>
        <v>40774</v>
      </c>
      <c r="ED245" s="712">
        <f t="shared" si="794"/>
        <v>-19.5</v>
      </c>
      <c r="EE245" s="712">
        <f t="shared" si="795"/>
        <v>-30.166499999999999</v>
      </c>
      <c r="EF245" s="712">
        <f>-(VLOOKUP(Sheet1!BQ245,Lookup!$B$4:$J$236,2)-VLOOKUP(Sheet1!BQ244,Lookup!$B$4:$J$236,2))/1000000</f>
        <v>-1.623</v>
      </c>
      <c r="EG245" s="712">
        <f>-(VLOOKUP(Sheet1!BR245,Lookup!$B$4:$J$236,3)-VLOOKUP(Sheet1!BR244,Lookup!$B$4:$J$236,3))/1000000</f>
        <v>-1.62</v>
      </c>
      <c r="EH245" s="712">
        <f>-(VLOOKUP(Sheet1!BS245,Lookup!$B$4:$J$236,4)-VLOOKUP(Sheet1!BS244,Lookup!$B$4:$J$236,4))/1000000</f>
        <v>0</v>
      </c>
      <c r="EI245" s="697">
        <f t="shared" si="796"/>
        <v>-3.2430000000000003</v>
      </c>
      <c r="EJ245" s="712"/>
      <c r="EK245" s="712"/>
      <c r="EL245" s="712"/>
      <c r="EM245" s="712"/>
      <c r="EN245" s="712"/>
      <c r="EO245" s="712"/>
      <c r="EP245" s="712"/>
      <c r="EQ245" s="712"/>
      <c r="ET245" s="794">
        <f t="shared" si="818"/>
        <v>1133.4000000000001</v>
      </c>
      <c r="EU245" s="697">
        <v>8785</v>
      </c>
      <c r="EV245" s="795">
        <f t="shared" si="734"/>
        <v>19351.222137271376</v>
      </c>
      <c r="EW245" s="796" t="s">
        <v>757</v>
      </c>
      <c r="EX245" s="796" t="s">
        <v>758</v>
      </c>
      <c r="EY245" s="712">
        <f t="shared" si="817"/>
        <v>0</v>
      </c>
      <c r="EZ245" s="798">
        <v>20070.300000045889</v>
      </c>
      <c r="FA245" s="712"/>
      <c r="FB245" s="712"/>
      <c r="FC245" s="712"/>
      <c r="FD245" s="712"/>
      <c r="FE245" s="712">
        <f>O245+Sheet1!CO245</f>
        <v>9260.389999999994</v>
      </c>
      <c r="FF245" s="712">
        <f>IF(Sheet1!AA245+AG245&lt;=Calculation!N245,AG245,Calculation!N245-Sheet1!AA245)</f>
        <v>16.013571428571428</v>
      </c>
      <c r="FG245" s="712">
        <f>(Sheet1!BP245+Sheet1!BO245)/694.4</f>
        <v>4.336693548387097</v>
      </c>
      <c r="FH245" s="712"/>
      <c r="FI245" s="712"/>
      <c r="FJ245" s="712"/>
      <c r="FK245" s="712"/>
      <c r="FL245" s="714">
        <f t="shared" si="726"/>
        <v>40753</v>
      </c>
      <c r="FM245" s="714">
        <f t="shared" si="727"/>
        <v>40851</v>
      </c>
      <c r="FN245" s="712"/>
      <c r="FO245" s="712"/>
      <c r="FP245" s="712"/>
      <c r="FQ245" s="712"/>
      <c r="FR245" s="712"/>
      <c r="FS245" s="725">
        <f t="shared" si="816"/>
        <v>40603</v>
      </c>
      <c r="FT245" s="714">
        <f t="shared" si="729"/>
        <v>40709</v>
      </c>
      <c r="FU245" s="712">
        <f t="shared" si="816"/>
        <v>6518.9048239895692</v>
      </c>
      <c r="FV245" s="714">
        <f t="shared" si="730"/>
        <v>40722</v>
      </c>
      <c r="FW245" s="712">
        <f t="shared" si="816"/>
        <v>3259.4524119947846</v>
      </c>
      <c r="FX245" s="725">
        <f t="shared" si="816"/>
        <v>40851</v>
      </c>
      <c r="FZ245" s="697">
        <f t="shared" si="722"/>
        <v>0</v>
      </c>
      <c r="GA245" s="712" t="str">
        <f t="shared" si="797"/>
        <v/>
      </c>
      <c r="GB245" s="712">
        <f t="shared" si="798"/>
        <v>0</v>
      </c>
      <c r="GC245" s="712" t="str">
        <f t="shared" si="799"/>
        <v/>
      </c>
      <c r="GD245" s="712">
        <f>IF(GA245="P",Lookup!$M$12,IF(GA245="PP",Lookup!$M$13,IF(GA245="PPP",Lookup!$M$14,IF(GA245="T",Lookup!$M$15,IF(GA245="TP",Lookup!$M$16,IF(GA245="TPP",Lookup!$M$17,IF(GA245="TPPP",Lookup!$M$18,0)))))))*FZ245</f>
        <v>0</v>
      </c>
      <c r="GE245" s="712">
        <f t="shared" si="800"/>
        <v>0</v>
      </c>
      <c r="GF245" s="712">
        <f t="shared" si="801"/>
        <v>4166.6666666666661</v>
      </c>
      <c r="GG245" s="712">
        <f t="shared" si="802"/>
        <v>1358.1051716644936</v>
      </c>
      <c r="GH245" s="712"/>
      <c r="GI245" s="712">
        <f t="shared" si="803"/>
        <v>0</v>
      </c>
      <c r="GJ245" s="712" t="str">
        <f t="shared" si="804"/>
        <v/>
      </c>
      <c r="GK245" s="712">
        <f>IF(GA245="P",Lookup!$N$12,IF(GA245="PP",Lookup!$N$13,IF(GA245="PPP",Lookup!$N$14,IF(GA245="T",Lookup!$N$15,IF(GA245="TP",Lookup!$N$16,IF(GA245="TPP",Lookup!$N$17,IF(GA245="TPPP",Lookup!$N$18,0)))))))*FZ245</f>
        <v>0</v>
      </c>
      <c r="GL245" s="712">
        <f t="shared" si="805"/>
        <v>0</v>
      </c>
      <c r="GM245" s="712">
        <f t="shared" si="806"/>
        <v>1787.64286031746</v>
      </c>
      <c r="GN245" s="712">
        <f t="shared" si="807"/>
        <v>582.67368328470013</v>
      </c>
      <c r="GO245" s="712"/>
      <c r="GP245" s="712">
        <f t="shared" si="808"/>
        <v>0</v>
      </c>
      <c r="GQ245" s="712" t="str">
        <f t="shared" si="809"/>
        <v/>
      </c>
      <c r="GR245" s="712">
        <f>IF(GA245="P",Lookup!$N$12,IF(GA245="PP",Lookup!$N$13,IF(GA245="PPP",Lookup!$N$14,IF(GA245="T",Lookup!$N$15,IF(GA245="TP",Lookup!$N$16,IF(GA245="TPP",Lookup!$N$17,IF(GA245="TPPP",Lookup!$N$18,0)))))))*FZ245</f>
        <v>0</v>
      </c>
      <c r="GS245" s="697">
        <f t="shared" si="724"/>
        <v>0</v>
      </c>
      <c r="GT245" s="712">
        <f t="shared" si="810"/>
        <v>1622.7585492463113</v>
      </c>
      <c r="GU245" s="712">
        <f t="shared" si="811"/>
        <v>528.93042674260471</v>
      </c>
      <c r="GV245" s="712"/>
      <c r="GW245" s="712">
        <f t="shared" si="812"/>
        <v>0</v>
      </c>
      <c r="GX245" s="712" t="str">
        <f t="shared" si="813"/>
        <v/>
      </c>
      <c r="GY245" s="712">
        <f>IF(GA245="P",Lookup!$N$12,IF(GA245="PP",Lookup!$N$13,IF(GA245="PPP",Lookup!$N$14,IF(GA245="T",Lookup!$N$15,IF(GA245="TP",Lookup!$N$16,IF(GA245="TPP",Lookup!$N$17,IF(GA245="TPPP",Lookup!$N$18,0)))))))*FZ245</f>
        <v>0</v>
      </c>
      <c r="GZ245" s="697">
        <f t="shared" si="725"/>
        <v>0</v>
      </c>
      <c r="HA245" s="712">
        <f t="shared" si="814"/>
        <v>1198.0897865912791</v>
      </c>
      <c r="HB245" s="712">
        <f t="shared" si="815"/>
        <v>390.51166446912617</v>
      </c>
      <c r="HC245" s="712"/>
    </row>
    <row r="246" spans="1:211">
      <c r="A246" s="773" t="s">
        <v>9</v>
      </c>
      <c r="B246" s="708">
        <v>40775</v>
      </c>
      <c r="C246" s="719">
        <v>0.5</v>
      </c>
      <c r="D246" s="675">
        <f t="shared" si="737"/>
        <v>200</v>
      </c>
      <c r="E246" s="675">
        <f t="shared" si="738"/>
        <v>400</v>
      </c>
      <c r="F246" s="675">
        <v>250</v>
      </c>
      <c r="G246" s="712">
        <f>DH246+Sheet1!CV246</f>
        <v>195.13098840129959</v>
      </c>
      <c r="H246" s="712">
        <f t="shared" si="739"/>
        <v>0</v>
      </c>
      <c r="I246" s="711">
        <f>MAX(Sheet1!Z246-AJ246+(Sheet1!CW246-E246)*CFStoMGD,0)</f>
        <v>0</v>
      </c>
      <c r="J246" s="720">
        <f>IF(AND(B246&gt;=Calculation!FS246,B246&lt;=Calculation!FT246),IF(Sheet1!CX246&gt;=Calculation!D246,64.64,0),MAX(Sheet1!Z246-AJ246+(Sheet1!CX246-D246)*CFStoMGD,0))</f>
        <v>0</v>
      </c>
      <c r="K246" s="697">
        <f t="shared" si="740"/>
        <v>0</v>
      </c>
      <c r="L246" s="712">
        <f>Sheet1!AA246+Sheet1!AB246-Sheet1!L246+(Sheet1!CW246-F246)*CFStoMGD</f>
        <v>120.05460000001165</v>
      </c>
      <c r="M246" s="712">
        <f t="shared" si="741"/>
        <v>128.65532432065206</v>
      </c>
      <c r="N246" s="712">
        <f>IF(Sheet1!CW246&gt;=F246,MIN(73,MIN(MAX(L246,0),MAX(M246,0))),0)</f>
        <v>73</v>
      </c>
      <c r="O246" s="721">
        <f>Sheet1!AA246+Sheet1!AB246</f>
        <v>80.200000000011642</v>
      </c>
      <c r="P246" s="721">
        <f t="shared" si="742"/>
        <v>124.06940000001801</v>
      </c>
      <c r="Q246" s="712">
        <f>MIN(N246,Sheet1!AA246+AG246)</f>
        <v>60.569350057024515</v>
      </c>
      <c r="R246" s="712">
        <f t="shared" si="743"/>
        <v>20</v>
      </c>
      <c r="S246" s="721">
        <f>Sheet1!Y246*MGDtoCFS</f>
        <v>71.718919999999997</v>
      </c>
      <c r="T246" s="721">
        <f>Sheet1!Z246*MGDtoCFS</f>
        <v>54.098589999999994</v>
      </c>
      <c r="U246" s="721">
        <f>Sheet1!AA246*MGDtoCFS</f>
        <v>70.481320000018911</v>
      </c>
      <c r="V246" s="721">
        <f>Sheet1!AB246*MGDtoCFS</f>
        <v>53.588079999999096</v>
      </c>
      <c r="W246" s="721">
        <f>Sheet1!L246*MGDtoCFS</f>
        <v>0</v>
      </c>
      <c r="X246" s="697">
        <f t="shared" si="744"/>
        <v>20</v>
      </c>
      <c r="Y246" s="712">
        <f t="shared" si="745"/>
        <v>30.939999999999998</v>
      </c>
      <c r="Z246" s="712">
        <f t="shared" si="746"/>
        <v>0</v>
      </c>
      <c r="AA246" s="712">
        <f t="shared" si="747"/>
        <v>0</v>
      </c>
      <c r="AB246" s="712">
        <f>(VLOOKUP(Sheet1!CY246,hhdcap_wcm,4)-(((VLOOKUP(Sheet1!CY246,hhdcap_wcm,3)-Sheet1!CY246)/(VLOOKUP(Sheet1!CY246,hhdcap_wcm,3)-VLOOKUP(Sheet1!CY246,hhdcap_wcm,1)))*(VLOOKUP(Sheet1!CY246,hhdcap_wcm,4)-VLOOKUP(Sheet1!CY246,hhdcap_wcm,2))))</f>
        <v>37963.25000009287</v>
      </c>
      <c r="AC246" s="712">
        <f t="shared" si="748"/>
        <v>-168.13000000022294</v>
      </c>
      <c r="AD246" s="712">
        <f t="shared" si="749"/>
        <v>2840.2209461609245</v>
      </c>
      <c r="AE246" s="712">
        <f t="shared" si="750"/>
        <v>8713.797862821717</v>
      </c>
      <c r="AF246" s="712">
        <f>Sheet1!BA246+Sheet1!BB246+Sheet1!BN246+BT246</f>
        <v>15.2</v>
      </c>
      <c r="AG246" s="712">
        <f t="shared" si="751"/>
        <v>15.009350057012291</v>
      </c>
      <c r="AH246" s="712">
        <f>Sheet1!BA246+BT246</f>
        <v>0</v>
      </c>
      <c r="AI246" s="712">
        <f>Sheet1!BA246+Sheet1!BB246+BT246</f>
        <v>0</v>
      </c>
      <c r="AJ246" s="712">
        <f>IF((Sheet1!AA246+AG246+AX246+AZ246+BQ246+BS246+CL246+CN246)&lt;=N246,AG246+AX246+AZ246+BQ246+BS246+CL246+CN246,N246-Sheet1!AA246)</f>
        <v>15.009350057012291</v>
      </c>
      <c r="AK246" s="712">
        <f>IF(DR246&lt;K246,0,MAX(Sheet1!AA246+AG246-15/36*K246-N246,Sheet1!ED246,0))</f>
        <v>0</v>
      </c>
      <c r="AL246" s="712">
        <f>IF(OR(B246&gt;=FT246,B246&lt;FS246),0,15/36*K246-MAX(0,64.6-(137.6-(Sheet1!AA246+Sheet1!AB246))))</f>
        <v>0</v>
      </c>
      <c r="AM246" s="712">
        <f>Sheet1!CX246-110</f>
        <v>57.229166666666657</v>
      </c>
      <c r="AN246" s="712">
        <f>Sheet1!CW246-265</f>
        <v>46.65625</v>
      </c>
      <c r="AO246" s="712">
        <f t="shared" si="733"/>
        <v>12.430649942975485</v>
      </c>
      <c r="AP246" s="712">
        <f t="shared" si="752"/>
        <v>0</v>
      </c>
      <c r="AQ246" s="712">
        <f t="shared" si="753"/>
        <v>0</v>
      </c>
      <c r="AR246" s="712">
        <f t="shared" si="754"/>
        <v>1358.1051716644936</v>
      </c>
      <c r="AS246" s="712"/>
      <c r="AT246" s="712">
        <f ca="1">IF(B246&gt;Summary!$A$1,#N/A,AR246*MGtoAF)</f>
        <v>4166.6666666666661</v>
      </c>
      <c r="AU246" s="712">
        <f>Sheet1!BG246+Sheet1!BH246+Sheet1!BI246-BC246</f>
        <v>2</v>
      </c>
      <c r="AV246" s="712">
        <f t="shared" si="755"/>
        <v>1.9749144811858279</v>
      </c>
      <c r="AW246" s="712">
        <f>IF(Sheet1!EL246="FM",BC246,0)</f>
        <v>0</v>
      </c>
      <c r="AX246" s="712">
        <f t="shared" si="756"/>
        <v>0</v>
      </c>
      <c r="AY246" s="712">
        <f>IF(Sheet1!EL246="OTHER",BC246,0)</f>
        <v>0</v>
      </c>
      <c r="AZ246" s="712">
        <f t="shared" si="757"/>
        <v>0</v>
      </c>
      <c r="BA246" s="712">
        <f t="shared" si="758"/>
        <v>2</v>
      </c>
      <c r="BB246" s="712">
        <f t="shared" si="759"/>
        <v>1.9749144811858279</v>
      </c>
      <c r="BC246" s="712">
        <f>IF(OR(Sheet1!EL246="FM", Sheet1!EL246="OTHER"),SUM(Sheet1!BG246:'Sheet1'!BI246),0)</f>
        <v>0</v>
      </c>
      <c r="BD246" s="697">
        <f>IF(AND($B246&gt;=$FL246,$B246&lt;=$FM246),MAX(AV246,Sheet1!EE246,0),MAX(AV246-(7/36)*$K246,0))</f>
        <v>2</v>
      </c>
      <c r="BE246" s="712">
        <f t="shared" si="760"/>
        <v>0</v>
      </c>
      <c r="BF246" s="697">
        <f t="shared" si="761"/>
        <v>0</v>
      </c>
      <c r="BG246" s="697">
        <f>IF(AND($O246&gt;0,Sheet1!EI246=1),(1-($O246-Sheet1!$L246)/$O246)*BB246,0)</f>
        <v>0</v>
      </c>
      <c r="BH246" s="697">
        <f>IF(AND(Sheet1!$L246=0,Sheet1!$L245=0, Calculation!BA246&lt;Sheet1!$EE246-0.1,Sheet1!$EE246=Sheet1!$EE245,Sheet1!$EE246=Sheet1!$EE247),Sheet1!$EE246,BB246-BG246)</f>
        <v>1.9749144811858279</v>
      </c>
      <c r="BI246" s="712"/>
      <c r="BJ246" s="712"/>
      <c r="BK246" s="712">
        <f t="shared" si="762"/>
        <v>580.67368328470013</v>
      </c>
      <c r="BL246" s="712"/>
      <c r="BM246" s="712">
        <f ca="1">IF(B246&gt;Summary!$A$1,#N/A,BK246*MGtoAF)</f>
        <v>1781.50686031746</v>
      </c>
      <c r="BN246" s="712">
        <f>Sheet1!BC246+Sheet1!BD246+Sheet1!BE246+Sheet1!BF246-BW246-BX246</f>
        <v>5.82</v>
      </c>
      <c r="BO246" s="712">
        <f t="shared" si="763"/>
        <v>5.7470011402507595</v>
      </c>
      <c r="BP246" s="712">
        <f>IF(Sheet1!EM246="FM",BX246,0)</f>
        <v>0</v>
      </c>
      <c r="BQ246" s="712">
        <f t="shared" si="764"/>
        <v>0</v>
      </c>
      <c r="BR246" s="712">
        <f>IF(Sheet1!EM246="OTHER",BX246,0)</f>
        <v>0</v>
      </c>
      <c r="BS246" s="712">
        <f t="shared" si="765"/>
        <v>0</v>
      </c>
      <c r="BT246" s="712">
        <f t="shared" si="766"/>
        <v>0</v>
      </c>
      <c r="BU246" s="712">
        <f t="shared" si="767"/>
        <v>5.82</v>
      </c>
      <c r="BV246" s="712">
        <f t="shared" si="768"/>
        <v>5.7470011402507595</v>
      </c>
      <c r="BW246" s="712">
        <f>IF(Sheet1!EM246="CWA",SUM(Sheet1!BC246:'Sheet1'!BF246),0)</f>
        <v>0</v>
      </c>
      <c r="BX246" s="712">
        <f>IF(OR(Sheet1!EM246="FM", Sheet1!EM246="OTHER"),SUM(Sheet1!BC246:'Sheet1'!BF246),0)</f>
        <v>0</v>
      </c>
      <c r="BY246" s="697">
        <f>IF(AND($B246&gt;=$FL246,$B246&lt;=$FM246),MAX(BV246,Sheet1!EF246,0),MAX(BV246-(7/36)*$K246,0))</f>
        <v>6</v>
      </c>
      <c r="BZ246" s="712">
        <f t="shared" si="769"/>
        <v>0</v>
      </c>
      <c r="CA246" s="697">
        <f t="shared" si="770"/>
        <v>0</v>
      </c>
      <c r="CB246" s="697">
        <f>IF(AND($O246&gt;0,Sheet1!EJ246=1),(1-($O246-Sheet1!$L246)/$O246)*BV246,0)</f>
        <v>0</v>
      </c>
      <c r="CC246" s="697">
        <f>IF(AND(Sheet1!$L246=0,Sheet1!$L245=0, Calculation!BU246&lt;Sheet1!EF246-0.1,Sheet1!EF246=Sheet1!EF245,Sheet1!EF246=Sheet1!EF247),Sheet1!EF246,BV246-CB246)</f>
        <v>5.7470011402507595</v>
      </c>
      <c r="CD246" s="697"/>
      <c r="CE246" s="712"/>
      <c r="CF246" s="712">
        <f t="shared" si="771"/>
        <v>522.93042674260471</v>
      </c>
      <c r="CG246" s="712"/>
      <c r="CH246" s="712">
        <f ca="1">IF(B246&gt;Summary!$A$1,#N/A,CF246*MGtoAF)</f>
        <v>1604.3505492463112</v>
      </c>
      <c r="CI246" s="712">
        <f>Sheet1!BK246+Sheet1!BL246+Sheet1!BM246-Sheet1!EN246-CQ246</f>
        <v>12.059999999999999</v>
      </c>
      <c r="CJ246" s="712">
        <f t="shared" si="772"/>
        <v>11.90873432155054</v>
      </c>
      <c r="CK246" s="712">
        <f>IF(Sheet1!EN246="FM",CQ246,0)</f>
        <v>0</v>
      </c>
      <c r="CL246" s="712">
        <f t="shared" si="773"/>
        <v>0</v>
      </c>
      <c r="CM246" s="712">
        <f>IF(Sheet1!EN246="OTHER",CQ246,0)</f>
        <v>0</v>
      </c>
      <c r="CN246" s="712">
        <f t="shared" si="774"/>
        <v>0</v>
      </c>
      <c r="CO246" s="712">
        <f t="shared" si="775"/>
        <v>12.059999999999999</v>
      </c>
      <c r="CP246" s="712">
        <f t="shared" si="776"/>
        <v>11.90873432155054</v>
      </c>
      <c r="CQ246" s="712">
        <f>IF(OR(Sheet1!EN246="FM", Sheet1!EN246="OTHER"),SUM(Sheet1!BK246:'Sheet1'!BM246),0)</f>
        <v>0</v>
      </c>
      <c r="CR246" s="697">
        <f>IF(AND($B246&gt;=$FL246,$B246&lt;=$FM246),MAX($CJ246,Sheet1!EG246,0),MAX($CJ246-(7/36)*$K246,0))</f>
        <v>12</v>
      </c>
      <c r="CS246" s="712">
        <f t="shared" si="777"/>
        <v>0</v>
      </c>
      <c r="CT246" s="697">
        <f t="shared" si="778"/>
        <v>0</v>
      </c>
      <c r="CU246" s="697">
        <f>IF(AND($O246&gt;0,Sheet1!EK246=1),(1-($O246-Sheet1!$L246)/$O246)*CP246,0)</f>
        <v>0</v>
      </c>
      <c r="CV246" s="697">
        <f>IF(AND(Sheet1!$L246=0,Sheet1!$L245=0, Calculation!CO246&lt;Sheet1!$EG246-0.1,Sheet1!$EG246=Sheet1!$EG245,Sheet1!$EG246=Sheet1!$EG247),Sheet1!$EG246,CP246-CU246)</f>
        <v>11.90873432155054</v>
      </c>
      <c r="CW246" s="697">
        <f t="shared" si="721"/>
        <v>0</v>
      </c>
      <c r="CX246" s="712">
        <f t="shared" si="779"/>
        <v>19.88</v>
      </c>
      <c r="CY246" s="712">
        <f t="shared" si="780"/>
        <v>378.51166446912617</v>
      </c>
      <c r="CZ246" s="712">
        <f t="shared" si="781"/>
        <v>19.630649942987127</v>
      </c>
      <c r="DA246" s="712">
        <f ca="1">IF(B246&gt;Summary!$A$1,#N/A,CY246*MGtoAF)</f>
        <v>1161.2737865912791</v>
      </c>
      <c r="DB246" s="712">
        <f t="shared" si="782"/>
        <v>19.88</v>
      </c>
      <c r="DC246" s="712">
        <f t="shared" si="783"/>
        <v>35.08</v>
      </c>
      <c r="DD246" s="712">
        <f>Sheet1!AB246-DC246</f>
        <v>-0.44000000000058037</v>
      </c>
      <c r="DE246" s="712">
        <f t="shared" si="784"/>
        <v>-1.25427594070861E-2</v>
      </c>
      <c r="DF246" s="712">
        <f>(VLOOKUP(Sheet1!CY246,hhdcap_wcm,4)-(((VLOOKUP(Sheet1!CY246,hhdcap_wcm,3)-Sheet1!CY246)/(VLOOKUP(Sheet1!CY246,hhdcap_wcm,3)-VLOOKUP(Sheet1!CY246,hhdcap_wcm,1)))*(VLOOKUP(Sheet1!CY246,hhdcap_wcm,4)-VLOOKUP(Sheet1!CY246,hhdcap_wcm,2))))</f>
        <v>37963.25000009287</v>
      </c>
      <c r="DG246" s="712">
        <f t="shared" si="785"/>
        <v>-168.13000000022294</v>
      </c>
      <c r="DH246" s="712">
        <f t="shared" si="786"/>
        <v>-84.785678265367082</v>
      </c>
      <c r="DI246" s="712">
        <f>Sheet1!DW246*AFtoMG</f>
        <v>0</v>
      </c>
      <c r="DJ246" s="712">
        <f>Sheet1!DX246*AFtoMG</f>
        <v>0</v>
      </c>
      <c r="DK246" s="712">
        <f>Sheet1!DY246*AFtoMG</f>
        <v>0</v>
      </c>
      <c r="DL246" s="712">
        <f>Sheet1!DZ246*AFtoMG</f>
        <v>0</v>
      </c>
      <c r="DM246" s="712">
        <f t="shared" si="787"/>
        <v>0</v>
      </c>
      <c r="DN246" s="712">
        <f t="shared" si="788"/>
        <v>0</v>
      </c>
      <c r="DO246" s="712">
        <f t="shared" si="789"/>
        <v>2840.2209461609245</v>
      </c>
      <c r="DP246" s="712">
        <f t="shared" si="790"/>
        <v>8713.797862821717</v>
      </c>
      <c r="DQ246" s="712"/>
      <c r="DR246" s="697">
        <f>IF(OR(B246&lt;FL246,B246&gt;FM246),(MIN(AV246+BO246+CJ246+MAX(Sheet1!AA246+AG246-73,0),K246)),0)</f>
        <v>0</v>
      </c>
      <c r="DS246" s="712"/>
      <c r="DT246" s="712">
        <f t="shared" si="791"/>
        <v>19.630649942987127</v>
      </c>
      <c r="DU246" s="712"/>
      <c r="DV246" s="712">
        <f>Sheet1!ED246+Sheet1!EE246+Sheet1!EF246+Sheet1!EG246</f>
        <v>20</v>
      </c>
      <c r="DW246" s="712"/>
      <c r="DX246" s="697">
        <f t="shared" si="792"/>
        <v>0</v>
      </c>
      <c r="DY246" s="712">
        <f>IF(Sheet1!FN246=1,SUM('Calculations II'!AT246:BA246)+'Calculations II'!BC246+Sheet1!BU246+'Calculations II'!BE246+AF246,SUM('Calculations II'!AT246:BA246)+'Calculations II'!BC246+Sheet1!BU246+'Calculations II'!BE246+AF246)</f>
        <v>70.861103999999997</v>
      </c>
      <c r="DZ246" s="712">
        <f>Sheet1!AA246+Sheet1!AB246+'Calculations II'!BC246</f>
        <v>89.437600000011642</v>
      </c>
      <c r="EA246" s="712"/>
      <c r="EB246" s="712"/>
      <c r="EC246" s="712">
        <f t="shared" si="793"/>
        <v>40775</v>
      </c>
      <c r="ED246" s="712">
        <f t="shared" si="794"/>
        <v>-20</v>
      </c>
      <c r="EE246" s="712">
        <f t="shared" si="795"/>
        <v>-30.939999999999998</v>
      </c>
      <c r="EF246" s="712">
        <f>-(VLOOKUP(Sheet1!BQ246,Lookup!$B$4:$J$236,2)-VLOOKUP(Sheet1!BQ245,Lookup!$B$4:$J$236,2))/1000000</f>
        <v>0.54100000000000004</v>
      </c>
      <c r="EG246" s="712">
        <f>-(VLOOKUP(Sheet1!BR246,Lookup!$B$4:$J$236,3)-VLOOKUP(Sheet1!BR245,Lookup!$B$4:$J$236,3))/1000000</f>
        <v>0.54</v>
      </c>
      <c r="EH246" s="712">
        <f>-(VLOOKUP(Sheet1!BS246,Lookup!$B$4:$J$236,4)-VLOOKUP(Sheet1!BS245,Lookup!$B$4:$J$236,4))/1000000</f>
        <v>0</v>
      </c>
      <c r="EI246" s="697">
        <f t="shared" si="796"/>
        <v>1.081</v>
      </c>
      <c r="EJ246" s="712"/>
      <c r="EK246" s="712"/>
      <c r="EL246" s="712"/>
      <c r="EM246" s="712"/>
      <c r="EN246" s="712"/>
      <c r="EO246" s="712"/>
      <c r="EP246" s="712"/>
      <c r="EQ246" s="712"/>
      <c r="ET246" s="794">
        <f t="shared" si="818"/>
        <v>1133.3</v>
      </c>
      <c r="EU246" s="697">
        <v>8785</v>
      </c>
      <c r="EV246" s="795">
        <f t="shared" si="734"/>
        <v>19244.452137271153</v>
      </c>
      <c r="EW246" s="796" t="s">
        <v>757</v>
      </c>
      <c r="EX246" s="796" t="s">
        <v>758</v>
      </c>
      <c r="EY246" s="712">
        <f t="shared" si="817"/>
        <v>0</v>
      </c>
      <c r="EZ246" s="798">
        <v>19946.100000045746</v>
      </c>
      <c r="FA246" s="712"/>
      <c r="FB246" s="712"/>
      <c r="FC246" s="712"/>
      <c r="FD246" s="712"/>
      <c r="FE246" s="712">
        <f>O246+Sheet1!CO246</f>
        <v>6495.2000000000116</v>
      </c>
      <c r="FF246" s="712">
        <f>IF(Sheet1!AA246+AG246&lt;=Calculation!N246,AG246,Calculation!N246-Sheet1!AA246)</f>
        <v>15.009350057012291</v>
      </c>
      <c r="FG246" s="712">
        <f>(Sheet1!BP246+Sheet1!BO246)/694.4</f>
        <v>4.830645161290323</v>
      </c>
      <c r="FH246" s="712"/>
      <c r="FI246" s="712"/>
      <c r="FJ246" s="712"/>
      <c r="FK246" s="712"/>
      <c r="FL246" s="714">
        <f t="shared" si="726"/>
        <v>40753</v>
      </c>
      <c r="FM246" s="714">
        <f t="shared" si="727"/>
        <v>40851</v>
      </c>
      <c r="FN246" s="712"/>
      <c r="FO246" s="712"/>
      <c r="FP246" s="712"/>
      <c r="FQ246" s="712"/>
      <c r="FR246" s="712"/>
      <c r="FS246" s="725">
        <f t="shared" si="816"/>
        <v>40603</v>
      </c>
      <c r="FT246" s="714">
        <f t="shared" si="729"/>
        <v>40709</v>
      </c>
      <c r="FU246" s="712">
        <f t="shared" si="816"/>
        <v>6518.9048239895692</v>
      </c>
      <c r="FV246" s="714">
        <f t="shared" si="730"/>
        <v>40722</v>
      </c>
      <c r="FW246" s="712">
        <f t="shared" si="816"/>
        <v>3259.4524119947846</v>
      </c>
      <c r="FX246" s="725">
        <f t="shared" si="816"/>
        <v>40851</v>
      </c>
      <c r="FZ246" s="697">
        <f t="shared" si="722"/>
        <v>0</v>
      </c>
      <c r="GA246" s="712" t="str">
        <f t="shared" si="797"/>
        <v/>
      </c>
      <c r="GB246" s="712">
        <f t="shared" si="798"/>
        <v>0</v>
      </c>
      <c r="GC246" s="712" t="str">
        <f t="shared" si="799"/>
        <v/>
      </c>
      <c r="GD246" s="712">
        <f>IF(GA246="P",Lookup!$M$12,IF(GA246="PP",Lookup!$M$13,IF(GA246="PPP",Lookup!$M$14,IF(GA246="T",Lookup!$M$15,IF(GA246="TP",Lookup!$M$16,IF(GA246="TPP",Lookup!$M$17,IF(GA246="TPPP",Lookup!$M$18,0)))))))*FZ246</f>
        <v>0</v>
      </c>
      <c r="GE246" s="712">
        <f t="shared" si="800"/>
        <v>0</v>
      </c>
      <c r="GF246" s="712">
        <f t="shared" si="801"/>
        <v>4166.6666666666661</v>
      </c>
      <c r="GG246" s="712">
        <f t="shared" si="802"/>
        <v>1358.1051716644936</v>
      </c>
      <c r="GH246" s="712"/>
      <c r="GI246" s="712">
        <f t="shared" si="803"/>
        <v>0</v>
      </c>
      <c r="GJ246" s="712" t="str">
        <f t="shared" si="804"/>
        <v/>
      </c>
      <c r="GK246" s="712">
        <f>IF(GA246="P",Lookup!$N$12,IF(GA246="PP",Lookup!$N$13,IF(GA246="PPP",Lookup!$N$14,IF(GA246="T",Lookup!$N$15,IF(GA246="TP",Lookup!$N$16,IF(GA246="TPP",Lookup!$N$17,IF(GA246="TPPP",Lookup!$N$18,0)))))))*FZ246</f>
        <v>0</v>
      </c>
      <c r="GL246" s="712">
        <f t="shared" si="805"/>
        <v>0</v>
      </c>
      <c r="GM246" s="712">
        <f t="shared" si="806"/>
        <v>1781.50686031746</v>
      </c>
      <c r="GN246" s="712">
        <f t="shared" si="807"/>
        <v>580.67368328470013</v>
      </c>
      <c r="GO246" s="712"/>
      <c r="GP246" s="712">
        <f t="shared" si="808"/>
        <v>0</v>
      </c>
      <c r="GQ246" s="712" t="str">
        <f t="shared" si="809"/>
        <v/>
      </c>
      <c r="GR246" s="712">
        <f>IF(GA246="P",Lookup!$N$12,IF(GA246="PP",Lookup!$N$13,IF(GA246="PPP",Lookup!$N$14,IF(GA246="T",Lookup!$N$15,IF(GA246="TP",Lookup!$N$16,IF(GA246="TPP",Lookup!$N$17,IF(GA246="TPPP",Lookup!$N$18,0)))))))*FZ246</f>
        <v>0</v>
      </c>
      <c r="GS246" s="697">
        <f t="shared" si="724"/>
        <v>0</v>
      </c>
      <c r="GT246" s="712">
        <f t="shared" si="810"/>
        <v>1604.3505492463112</v>
      </c>
      <c r="GU246" s="712">
        <f t="shared" si="811"/>
        <v>522.93042674260471</v>
      </c>
      <c r="GV246" s="712"/>
      <c r="GW246" s="712">
        <f t="shared" si="812"/>
        <v>0</v>
      </c>
      <c r="GX246" s="712" t="str">
        <f t="shared" si="813"/>
        <v/>
      </c>
      <c r="GY246" s="712">
        <f>IF(GA246="P",Lookup!$N$12,IF(GA246="PP",Lookup!$N$13,IF(GA246="PPP",Lookup!$N$14,IF(GA246="T",Lookup!$N$15,IF(GA246="TP",Lookup!$N$16,IF(GA246="TPP",Lookup!$N$17,IF(GA246="TPPP",Lookup!$N$18,0)))))))*FZ246</f>
        <v>0</v>
      </c>
      <c r="GZ246" s="697">
        <f t="shared" si="725"/>
        <v>0</v>
      </c>
      <c r="HA246" s="712">
        <f t="shared" si="814"/>
        <v>1161.2737865912791</v>
      </c>
      <c r="HB246" s="712">
        <f t="shared" si="815"/>
        <v>378.51166446912617</v>
      </c>
      <c r="HC246" s="712"/>
    </row>
    <row r="247" spans="1:211">
      <c r="A247" s="773" t="s">
        <v>3</v>
      </c>
      <c r="B247" s="708">
        <v>40776</v>
      </c>
      <c r="C247" s="709">
        <v>0.5</v>
      </c>
      <c r="D247" s="675">
        <f t="shared" si="737"/>
        <v>200</v>
      </c>
      <c r="E247" s="675">
        <f t="shared" si="738"/>
        <v>400</v>
      </c>
      <c r="F247" s="675">
        <v>250</v>
      </c>
      <c r="G247" s="712">
        <f>DH247+Sheet1!CV247</f>
        <v>190.22692889550058</v>
      </c>
      <c r="H247" s="712">
        <f t="shared" si="739"/>
        <v>0</v>
      </c>
      <c r="I247" s="711">
        <f>MAX(Sheet1!Z247-AJ247+(Sheet1!CW247-E247)*CFStoMGD,0)</f>
        <v>0</v>
      </c>
      <c r="J247" s="720">
        <f>IF(AND(B247&gt;=Calculation!FS247,B247&lt;=Calculation!FT247),IF(Sheet1!CX247&gt;=Calculation!D247,64.64,0),MAX(Sheet1!Z247-AJ247+(Sheet1!CX247-D247)*CFStoMGD,0))</f>
        <v>0</v>
      </c>
      <c r="K247" s="697">
        <f t="shared" si="740"/>
        <v>0</v>
      </c>
      <c r="L247" s="712">
        <f>Sheet1!AA247+Sheet1!AB247-Sheet1!L247+(Sheet1!CW247-F247)*CFStoMGD</f>
        <v>120.33486666665502</v>
      </c>
      <c r="M247" s="712">
        <f t="shared" si="741"/>
        <v>125.42194057481261</v>
      </c>
      <c r="N247" s="712">
        <f>IF(Sheet1!CW247&gt;=F247,MIN(73,MIN(MAX(L247,0),MAX(M247,0))),0)</f>
        <v>73</v>
      </c>
      <c r="O247" s="721">
        <f>Sheet1!AA247+Sheet1!AB247</f>
        <v>81.799999999988358</v>
      </c>
      <c r="P247" s="721">
        <f t="shared" si="742"/>
        <v>126.54459999998198</v>
      </c>
      <c r="Q247" s="712">
        <f>MIN(N247,Sheet1!AA247+AG247)</f>
        <v>61.533910073977779</v>
      </c>
      <c r="R247" s="712">
        <f t="shared" si="743"/>
        <v>20</v>
      </c>
      <c r="S247" s="721">
        <f>Sheet1!Y247*MGDtoCFS</f>
        <v>71.007300000000001</v>
      </c>
      <c r="T247" s="721">
        <f>Sheet1!Z247*MGDtoCFS</f>
        <v>53.912950000000002</v>
      </c>
      <c r="U247" s="721">
        <f>Sheet1!AA247*MGDtoCFS</f>
        <v>71.842679999981087</v>
      </c>
      <c r="V247" s="721">
        <f>Sheet1!AB247*MGDtoCFS</f>
        <v>54.701920000000896</v>
      </c>
      <c r="W247" s="721">
        <f>Sheet1!L247*MGDtoCFS</f>
        <v>0</v>
      </c>
      <c r="X247" s="697">
        <f t="shared" si="744"/>
        <v>20.266089926010576</v>
      </c>
      <c r="Y247" s="712">
        <f t="shared" si="745"/>
        <v>31.35164111553836</v>
      </c>
      <c r="Z247" s="712">
        <f t="shared" si="746"/>
        <v>0</v>
      </c>
      <c r="AA247" s="712">
        <f t="shared" si="747"/>
        <v>0</v>
      </c>
      <c r="AB247" s="712">
        <f>(VLOOKUP(Sheet1!CY247,hhdcap_wcm,4)-(((VLOOKUP(Sheet1!CY247,hhdcap_wcm,3)-Sheet1!CY247)/(VLOOKUP(Sheet1!CY247,hhdcap_wcm,3)-VLOOKUP(Sheet1!CY247,hhdcap_wcm,1)))*(VLOOKUP(Sheet1!CY247,hhdcap_wcm,4)-VLOOKUP(Sheet1!CY247,hhdcap_wcm,2))))</f>
        <v>37785.230000092648</v>
      </c>
      <c r="AC247" s="712">
        <f t="shared" si="748"/>
        <v>-178.02000000022235</v>
      </c>
      <c r="AD247" s="712">
        <f t="shared" si="749"/>
        <v>2819.9548562349141</v>
      </c>
      <c r="AE247" s="712">
        <f t="shared" si="750"/>
        <v>8651.6214989287164</v>
      </c>
      <c r="AF247" s="712">
        <f>Sheet1!BA247+Sheet1!BB247+Sheet1!BN247+BT247</f>
        <v>15</v>
      </c>
      <c r="AG247" s="712">
        <f t="shared" si="751"/>
        <v>15.093910073990003</v>
      </c>
      <c r="AH247" s="712">
        <f>Sheet1!BA247+BT247</f>
        <v>0</v>
      </c>
      <c r="AI247" s="712">
        <f>Sheet1!BA247+Sheet1!BB247+BT247</f>
        <v>0</v>
      </c>
      <c r="AJ247" s="712">
        <f>IF((Sheet1!AA247+AG247+AX247+AZ247+BQ247+BS247+CL247+CN247)&lt;=N247,AG247+AX247+AZ247+BQ247+BS247+CL247+CN247,N247-Sheet1!AA247)</f>
        <v>15.093910073990003</v>
      </c>
      <c r="AK247" s="712">
        <f>IF(DR247&lt;K247,0,MAX(Sheet1!AA247+AG247-15/36*K247-N247,Sheet1!ED247,0))</f>
        <v>0</v>
      </c>
      <c r="AL247" s="712">
        <f>IF(OR(B247&gt;=FT247,B247&lt;FS247),0,15/36*K247-MAX(0,64.6-(137.6-(Sheet1!AA247+Sheet1!AB247))))</f>
        <v>0</v>
      </c>
      <c r="AM247" s="712">
        <f>Sheet1!CX247-110</f>
        <v>56.59375</v>
      </c>
      <c r="AN247" s="712">
        <f>Sheet1!CW247-265</f>
        <v>44.614583333333314</v>
      </c>
      <c r="AO247" s="712">
        <f t="shared" si="733"/>
        <v>11.466089926022221</v>
      </c>
      <c r="AP247" s="712">
        <f t="shared" si="752"/>
        <v>0</v>
      </c>
      <c r="AQ247" s="712">
        <f t="shared" si="753"/>
        <v>0</v>
      </c>
      <c r="AR247" s="712">
        <f t="shared" si="754"/>
        <v>1358.1051716644936</v>
      </c>
      <c r="AS247" s="712"/>
      <c r="AT247" s="712">
        <f ca="1">IF(B247&gt;Summary!$A$1,#N/A,AR247*MGtoAF)</f>
        <v>4166.6666666666661</v>
      </c>
      <c r="AU247" s="712">
        <f>Sheet1!BG247+Sheet1!BH247+Sheet1!BI247-BC247</f>
        <v>2.0099999999999998</v>
      </c>
      <c r="AV247" s="712">
        <f t="shared" si="755"/>
        <v>2.0225839499146603</v>
      </c>
      <c r="AW247" s="712">
        <f>IF(Sheet1!EL247="FM",BC247,0)</f>
        <v>0</v>
      </c>
      <c r="AX247" s="712">
        <f t="shared" si="756"/>
        <v>0</v>
      </c>
      <c r="AY247" s="712">
        <f>IF(Sheet1!EL247="OTHER",BC247,0)</f>
        <v>0</v>
      </c>
      <c r="AZ247" s="712">
        <f t="shared" si="757"/>
        <v>0</v>
      </c>
      <c r="BA247" s="712">
        <f t="shared" si="758"/>
        <v>2.0099999999999998</v>
      </c>
      <c r="BB247" s="712">
        <f t="shared" si="759"/>
        <v>2.0225839499146603</v>
      </c>
      <c r="BC247" s="712">
        <f>IF(OR(Sheet1!EL247="FM", Sheet1!EL247="OTHER"),SUM(Sheet1!BG247:'Sheet1'!BI247),0)</f>
        <v>0</v>
      </c>
      <c r="BD247" s="697">
        <f>IF(AND($B247&gt;=$FL247,$B247&lt;=$FM247),MAX(AV247,Sheet1!EE247,0),MAX(AV247-(7/36)*$K247,0))</f>
        <v>2.0225839499146603</v>
      </c>
      <c r="BE247" s="712">
        <f t="shared" si="760"/>
        <v>0</v>
      </c>
      <c r="BF247" s="697">
        <f t="shared" si="761"/>
        <v>0</v>
      </c>
      <c r="BG247" s="697">
        <f>IF(AND($O247&gt;0,Sheet1!EI247=1),(1-($O247-Sheet1!$L247)/$O247)*BB247,0)</f>
        <v>0</v>
      </c>
      <c r="BH247" s="697">
        <f>IF(AND(Sheet1!$L247=0,Sheet1!$L246=0, Calculation!BA247&lt;Sheet1!$EE247-0.1,Sheet1!$EE247=Sheet1!$EE246,Sheet1!$EE247=Sheet1!$EE248),Sheet1!$EE247,BB247-BG247)</f>
        <v>2.0225839499146603</v>
      </c>
      <c r="BI247" s="712"/>
      <c r="BJ247" s="712"/>
      <c r="BK247" s="712">
        <f t="shared" si="762"/>
        <v>578.6510993347855</v>
      </c>
      <c r="BL247" s="712"/>
      <c r="BM247" s="712">
        <f ca="1">IF(B247&gt;Summary!$A$1,#N/A,BK247*MGtoAF)</f>
        <v>1775.3015727591219</v>
      </c>
      <c r="BN247" s="712">
        <f>Sheet1!BC247+Sheet1!BD247+Sheet1!BE247+Sheet1!BF247-BW247-BX247</f>
        <v>6.07</v>
      </c>
      <c r="BO247" s="712">
        <f t="shared" si="763"/>
        <v>6.1080022766079551</v>
      </c>
      <c r="BP247" s="712">
        <f>IF(Sheet1!EM247="FM",BX247,0)</f>
        <v>0</v>
      </c>
      <c r="BQ247" s="712">
        <f t="shared" si="764"/>
        <v>0</v>
      </c>
      <c r="BR247" s="712">
        <f>IF(Sheet1!EM247="OTHER",BX247,0)</f>
        <v>0</v>
      </c>
      <c r="BS247" s="712">
        <f t="shared" si="765"/>
        <v>0</v>
      </c>
      <c r="BT247" s="712">
        <f t="shared" si="766"/>
        <v>0</v>
      </c>
      <c r="BU247" s="712">
        <f t="shared" si="767"/>
        <v>6.07</v>
      </c>
      <c r="BV247" s="712">
        <f t="shared" si="768"/>
        <v>6.1080022766079551</v>
      </c>
      <c r="BW247" s="712">
        <f>IF(Sheet1!EM247="CWA",SUM(Sheet1!BC247:'Sheet1'!BF247),0)</f>
        <v>0</v>
      </c>
      <c r="BX247" s="712">
        <f>IF(OR(Sheet1!EM247="FM", Sheet1!EM247="OTHER"),SUM(Sheet1!BC247:'Sheet1'!BF247),0)</f>
        <v>0</v>
      </c>
      <c r="BY247" s="697">
        <f>IF(AND($B247&gt;=$FL247,$B247&lt;=$FM247),MAX(BV247,Sheet1!EF247,0),MAX(BV247-(7/36)*$K247,0))</f>
        <v>6.1080022766079551</v>
      </c>
      <c r="BZ247" s="712">
        <f t="shared" si="769"/>
        <v>0</v>
      </c>
      <c r="CA247" s="697">
        <f t="shared" si="770"/>
        <v>0</v>
      </c>
      <c r="CB247" s="697">
        <f>IF(AND($O247&gt;0,Sheet1!EJ247=1),(1-($O247-Sheet1!$L247)/$O247)*BV247,0)</f>
        <v>0</v>
      </c>
      <c r="CC247" s="697">
        <f>IF(AND(Sheet1!$L247=0,Sheet1!$L246=0, Calculation!BU247&lt;Sheet1!EF247-0.1,Sheet1!EF247=Sheet1!EF246,Sheet1!EF247=Sheet1!EF248),Sheet1!EF247,BV247-CB247)</f>
        <v>6.1080022766079551</v>
      </c>
      <c r="CD247" s="697"/>
      <c r="CE247" s="712"/>
      <c r="CF247" s="712">
        <f t="shared" si="771"/>
        <v>516.82242446599673</v>
      </c>
      <c r="CG247" s="712"/>
      <c r="CH247" s="712">
        <f ca="1">IF(B247&gt;Summary!$A$1,#N/A,CF247*MGtoAF)</f>
        <v>1585.6111982616781</v>
      </c>
      <c r="CI247" s="712">
        <f>Sheet1!BK247+Sheet1!BL247+Sheet1!BM247-Sheet1!EN247-CQ247</f>
        <v>12.059999999999999</v>
      </c>
      <c r="CJ247" s="712">
        <f t="shared" si="772"/>
        <v>12.135503699487961</v>
      </c>
      <c r="CK247" s="712">
        <f>IF(Sheet1!EN247="FM",CQ247,0)</f>
        <v>0</v>
      </c>
      <c r="CL247" s="712">
        <f t="shared" si="773"/>
        <v>0</v>
      </c>
      <c r="CM247" s="712">
        <f>IF(Sheet1!EN247="OTHER",CQ247,0)</f>
        <v>0</v>
      </c>
      <c r="CN247" s="712">
        <f t="shared" si="774"/>
        <v>0</v>
      </c>
      <c r="CO247" s="712">
        <f t="shared" si="775"/>
        <v>12.059999999999999</v>
      </c>
      <c r="CP247" s="712">
        <f t="shared" si="776"/>
        <v>12.135503699487961</v>
      </c>
      <c r="CQ247" s="712">
        <f>IF(OR(Sheet1!EN247="FM", Sheet1!EN247="OTHER"),SUM(Sheet1!BK247:'Sheet1'!BM247),0)</f>
        <v>0</v>
      </c>
      <c r="CR247" s="697">
        <f>IF(AND($B247&gt;=$FL247,$B247&lt;=$FM247),MAX($CJ247,Sheet1!EG247,0),MAX($CJ247-(7/36)*$K247,0))</f>
        <v>12.135503699487961</v>
      </c>
      <c r="CS247" s="712">
        <f t="shared" si="777"/>
        <v>0</v>
      </c>
      <c r="CT247" s="697">
        <f t="shared" si="778"/>
        <v>0</v>
      </c>
      <c r="CU247" s="697">
        <f>IF(AND($O247&gt;0,Sheet1!EK247=1),(1-($O247-Sheet1!$L247)/$O247)*CP247,0)</f>
        <v>0</v>
      </c>
      <c r="CV247" s="697">
        <f>IF(AND(Sheet1!$L247=0,Sheet1!$L246=0, Calculation!CO247&lt;Sheet1!$EG247-0.1,Sheet1!$EG247=Sheet1!$EG246,Sheet1!$EG247=Sheet1!$EG248),Sheet1!$EG247,CP247-CU247)</f>
        <v>12.135503699487961</v>
      </c>
      <c r="CW247" s="697">
        <f t="shared" si="721"/>
        <v>0</v>
      </c>
      <c r="CX247" s="712">
        <f t="shared" si="779"/>
        <v>20.14</v>
      </c>
      <c r="CY247" s="712">
        <f t="shared" si="780"/>
        <v>366.3761607696382</v>
      </c>
      <c r="CZ247" s="712">
        <f t="shared" si="781"/>
        <v>20.266089926010576</v>
      </c>
      <c r="DA247" s="712">
        <f ca="1">IF(B247&gt;Summary!$A$1,#N/A,CY247*MGtoAF)</f>
        <v>1124.0420612412499</v>
      </c>
      <c r="DB247" s="712">
        <f t="shared" si="782"/>
        <v>20.14</v>
      </c>
      <c r="DC247" s="712">
        <f t="shared" si="783"/>
        <v>35.14</v>
      </c>
      <c r="DD247" s="712">
        <f>Sheet1!AB247-DC247</f>
        <v>0.22000000000058151</v>
      </c>
      <c r="DE247" s="712">
        <f t="shared" si="784"/>
        <v>6.2606715993335661E-3</v>
      </c>
      <c r="DF247" s="712">
        <f>(VLOOKUP(Sheet1!CY247,hhdcap_wcm,4)-(((VLOOKUP(Sheet1!CY247,hhdcap_wcm,3)-Sheet1!CY247)/(VLOOKUP(Sheet1!CY247,hhdcap_wcm,3)-VLOOKUP(Sheet1!CY247,hhdcap_wcm,1)))*(VLOOKUP(Sheet1!CY247,hhdcap_wcm,4)-VLOOKUP(Sheet1!CY247,hhdcap_wcm,2))))</f>
        <v>37785.230000092648</v>
      </c>
      <c r="DG247" s="712">
        <f t="shared" si="785"/>
        <v>-178.02000000022235</v>
      </c>
      <c r="DH247" s="712">
        <f t="shared" si="786"/>
        <v>-89.773071104499408</v>
      </c>
      <c r="DI247" s="712">
        <f>Sheet1!DW247*AFtoMG</f>
        <v>0</v>
      </c>
      <c r="DJ247" s="712">
        <f>Sheet1!DX247*AFtoMG</f>
        <v>0</v>
      </c>
      <c r="DK247" s="712">
        <f>Sheet1!DY247*AFtoMG</f>
        <v>0</v>
      </c>
      <c r="DL247" s="712">
        <f>Sheet1!DZ247*AFtoMG</f>
        <v>0</v>
      </c>
      <c r="DM247" s="712">
        <f t="shared" si="787"/>
        <v>0</v>
      </c>
      <c r="DN247" s="712">
        <f t="shared" si="788"/>
        <v>0</v>
      </c>
      <c r="DO247" s="712">
        <f t="shared" si="789"/>
        <v>2819.9548562349141</v>
      </c>
      <c r="DP247" s="712">
        <f t="shared" si="790"/>
        <v>8651.6214989287164</v>
      </c>
      <c r="DQ247" s="712"/>
      <c r="DR247" s="697">
        <f>IF(OR(B247&lt;FL247,B247&gt;FM247),(MIN(AV247+BO247+CJ247+MAX(Sheet1!AA247+AG247-73,0),K247)),0)</f>
        <v>0</v>
      </c>
      <c r="DS247" s="712"/>
      <c r="DT247" s="712">
        <f t="shared" si="791"/>
        <v>20.266089926010576</v>
      </c>
      <c r="DU247" s="712"/>
      <c r="DV247" s="712">
        <f>Sheet1!ED247+Sheet1!EE247+Sheet1!EF247+Sheet1!EG247</f>
        <v>20</v>
      </c>
      <c r="DW247" s="712"/>
      <c r="DX247" s="697">
        <f t="shared" si="792"/>
        <v>0</v>
      </c>
      <c r="DY247" s="712">
        <f>IF(Sheet1!FN247=1,SUM('Calculations II'!AT247:BA247)+'Calculations II'!BC247+Sheet1!BU247+'Calculations II'!BE247+AF247,SUM('Calculations II'!AT247:BA247)+'Calculations II'!BC247+Sheet1!BU247+'Calculations II'!BE247+AF247)</f>
        <v>71.868704000000008</v>
      </c>
      <c r="DZ247" s="712">
        <f>Sheet1!AA247+Sheet1!AB247+'Calculations II'!BC247</f>
        <v>91.050847999988363</v>
      </c>
      <c r="EA247" s="712"/>
      <c r="EB247" s="712"/>
      <c r="EC247" s="712">
        <f t="shared" si="793"/>
        <v>40776</v>
      </c>
      <c r="ED247" s="712">
        <f t="shared" si="794"/>
        <v>-20.266089926010576</v>
      </c>
      <c r="EE247" s="712">
        <f t="shared" si="795"/>
        <v>-31.35164111553836</v>
      </c>
      <c r="EF247" s="712">
        <f>-(VLOOKUP(Sheet1!BQ247,Lookup!$B$4:$J$236,2)-VLOOKUP(Sheet1!BQ246,Lookup!$B$4:$J$236,2))/1000000</f>
        <v>1.3525</v>
      </c>
      <c r="EG247" s="712">
        <f>-(VLOOKUP(Sheet1!BR247,Lookup!$B$4:$J$236,3)-VLOOKUP(Sheet1!BR246,Lookup!$B$4:$J$236,3))/1000000</f>
        <v>1.35</v>
      </c>
      <c r="EH247" s="712">
        <f>-(VLOOKUP(Sheet1!BS247,Lookup!$B$4:$J$236,4)-VLOOKUP(Sheet1!BS246,Lookup!$B$4:$J$236,4))/1000000</f>
        <v>0</v>
      </c>
      <c r="EI247" s="697">
        <f t="shared" si="796"/>
        <v>2.7025000000000001</v>
      </c>
      <c r="EJ247" s="712"/>
      <c r="EK247" s="712"/>
      <c r="EL247" s="712"/>
      <c r="EM247" s="712"/>
      <c r="EN247" s="712"/>
      <c r="EO247" s="712"/>
      <c r="EP247" s="712"/>
      <c r="EQ247" s="712"/>
      <c r="ET247" s="794">
        <f t="shared" si="818"/>
        <v>1133.0999999999999</v>
      </c>
      <c r="EU247" s="697">
        <v>8785</v>
      </c>
      <c r="EV247" s="795">
        <f t="shared" si="734"/>
        <v>19128.60850116393</v>
      </c>
      <c r="EW247" s="796" t="s">
        <v>757</v>
      </c>
      <c r="EX247" s="796" t="s">
        <v>758</v>
      </c>
      <c r="EY247" s="712">
        <f t="shared" si="817"/>
        <v>0</v>
      </c>
      <c r="EZ247" s="798">
        <v>19823.600000044495</v>
      </c>
      <c r="FA247" s="712"/>
      <c r="FB247" s="712"/>
      <c r="FC247" s="712"/>
      <c r="FD247" s="712"/>
      <c r="FE247" s="712">
        <f>O247+Sheet1!CO247</f>
        <v>6505.9999999999882</v>
      </c>
      <c r="FF247" s="712">
        <f>IF(Sheet1!AA247+AG247&lt;=Calculation!N247,AG247,Calculation!N247-Sheet1!AA247)</f>
        <v>15.093910073990003</v>
      </c>
      <c r="FG247" s="712">
        <f>(Sheet1!BP247+Sheet1!BO247)/694.4</f>
        <v>5.3666474654377883</v>
      </c>
      <c r="FH247" s="712"/>
      <c r="FI247" s="712"/>
      <c r="FJ247" s="712"/>
      <c r="FK247" s="712"/>
      <c r="FL247" s="714">
        <f t="shared" si="726"/>
        <v>40753</v>
      </c>
      <c r="FM247" s="714">
        <f t="shared" si="727"/>
        <v>40851</v>
      </c>
      <c r="FN247" s="712"/>
      <c r="FO247" s="712"/>
      <c r="FP247" s="712"/>
      <c r="FQ247" s="712"/>
      <c r="FR247" s="712"/>
      <c r="FS247" s="725">
        <f t="shared" si="816"/>
        <v>40603</v>
      </c>
      <c r="FT247" s="714">
        <f t="shared" si="729"/>
        <v>40709</v>
      </c>
      <c r="FU247" s="712">
        <f t="shared" si="816"/>
        <v>6518.9048239895692</v>
      </c>
      <c r="FV247" s="714">
        <f t="shared" si="730"/>
        <v>40722</v>
      </c>
      <c r="FW247" s="712">
        <f t="shared" si="816"/>
        <v>3259.4524119947846</v>
      </c>
      <c r="FX247" s="725">
        <f t="shared" si="816"/>
        <v>40851</v>
      </c>
      <c r="FZ247" s="697">
        <f t="shared" si="722"/>
        <v>0</v>
      </c>
      <c r="GA247" s="712" t="str">
        <f t="shared" si="797"/>
        <v/>
      </c>
      <c r="GB247" s="712">
        <f t="shared" si="798"/>
        <v>0</v>
      </c>
      <c r="GC247" s="712" t="str">
        <f t="shared" si="799"/>
        <v/>
      </c>
      <c r="GD247" s="712">
        <f>IF(GA247="P",Lookup!$M$12,IF(GA247="PP",Lookup!$M$13,IF(GA247="PPP",Lookup!$M$14,IF(GA247="T",Lookup!$M$15,IF(GA247="TP",Lookup!$M$16,IF(GA247="TPP",Lookup!$M$17,IF(GA247="TPPP",Lookup!$M$18,0)))))))*FZ247</f>
        <v>0</v>
      </c>
      <c r="GE247" s="712">
        <f t="shared" si="800"/>
        <v>0</v>
      </c>
      <c r="GF247" s="712">
        <f t="shared" si="801"/>
        <v>4166.6666666666661</v>
      </c>
      <c r="GG247" s="712">
        <f t="shared" si="802"/>
        <v>1358.1051716644936</v>
      </c>
      <c r="GH247" s="712"/>
      <c r="GI247" s="712">
        <f t="shared" si="803"/>
        <v>0</v>
      </c>
      <c r="GJ247" s="712" t="str">
        <f t="shared" si="804"/>
        <v/>
      </c>
      <c r="GK247" s="712">
        <f>IF(GA247="P",Lookup!$N$12,IF(GA247="PP",Lookup!$N$13,IF(GA247="PPP",Lookup!$N$14,IF(GA247="T",Lookup!$N$15,IF(GA247="TP",Lookup!$N$16,IF(GA247="TPP",Lookup!$N$17,IF(GA247="TPPP",Lookup!$N$18,0)))))))*FZ247</f>
        <v>0</v>
      </c>
      <c r="GL247" s="712">
        <f t="shared" si="805"/>
        <v>0</v>
      </c>
      <c r="GM247" s="712">
        <f t="shared" si="806"/>
        <v>1775.3015727591219</v>
      </c>
      <c r="GN247" s="712">
        <f t="shared" si="807"/>
        <v>578.6510993347855</v>
      </c>
      <c r="GO247" s="712"/>
      <c r="GP247" s="712">
        <f t="shared" si="808"/>
        <v>0</v>
      </c>
      <c r="GQ247" s="712" t="str">
        <f t="shared" si="809"/>
        <v/>
      </c>
      <c r="GR247" s="712">
        <f>IF(GA247="P",Lookup!$N$12,IF(GA247="PP",Lookup!$N$13,IF(GA247="PPP",Lookup!$N$14,IF(GA247="T",Lookup!$N$15,IF(GA247="TP",Lookup!$N$16,IF(GA247="TPP",Lookup!$N$17,IF(GA247="TPPP",Lookup!$N$18,0)))))))*FZ247</f>
        <v>0</v>
      </c>
      <c r="GS247" s="697">
        <f t="shared" si="724"/>
        <v>0</v>
      </c>
      <c r="GT247" s="712">
        <f t="shared" si="810"/>
        <v>1585.6111982616781</v>
      </c>
      <c r="GU247" s="712">
        <f t="shared" si="811"/>
        <v>516.82242446599673</v>
      </c>
      <c r="GV247" s="712"/>
      <c r="GW247" s="712">
        <f t="shared" si="812"/>
        <v>0</v>
      </c>
      <c r="GX247" s="712" t="str">
        <f t="shared" si="813"/>
        <v/>
      </c>
      <c r="GY247" s="712">
        <f>IF(GA247="P",Lookup!$N$12,IF(GA247="PP",Lookup!$N$13,IF(GA247="PPP",Lookup!$N$14,IF(GA247="T",Lookup!$N$15,IF(GA247="TP",Lookup!$N$16,IF(GA247="TPP",Lookup!$N$17,IF(GA247="TPPP",Lookup!$N$18,0)))))))*FZ247</f>
        <v>0</v>
      </c>
      <c r="GZ247" s="697">
        <f t="shared" si="725"/>
        <v>0</v>
      </c>
      <c r="HA247" s="712">
        <f t="shared" si="814"/>
        <v>1124.0420612412499</v>
      </c>
      <c r="HB247" s="712">
        <f t="shared" si="815"/>
        <v>366.3761607696382</v>
      </c>
      <c r="HC247" s="712"/>
    </row>
    <row r="248" spans="1:211">
      <c r="A248" s="773" t="s">
        <v>4</v>
      </c>
      <c r="B248" s="708">
        <v>40777</v>
      </c>
      <c r="C248" s="719">
        <v>0.5</v>
      </c>
      <c r="D248" s="675">
        <f t="shared" si="737"/>
        <v>200</v>
      </c>
      <c r="E248" s="675">
        <f t="shared" si="738"/>
        <v>400</v>
      </c>
      <c r="F248" s="675">
        <v>250</v>
      </c>
      <c r="G248" s="712">
        <f>DH248+Sheet1!CV248</f>
        <v>195.83698940932283</v>
      </c>
      <c r="H248" s="712">
        <f t="shared" si="739"/>
        <v>0</v>
      </c>
      <c r="I248" s="711">
        <f>MAX(Sheet1!Z248-AJ248+(Sheet1!CW248-E248)*CFStoMGD,0)</f>
        <v>0</v>
      </c>
      <c r="J248" s="720">
        <f>IF(AND(B248&gt;=Calculation!FS248,B248&lt;=Calculation!FT248),IF(Sheet1!CX248&gt;=Calculation!D248,64.64,0),MAX(Sheet1!Z248-AJ248+(Sheet1!CX248-D248)*CFStoMGD,0))</f>
        <v>0</v>
      </c>
      <c r="K248" s="697">
        <f t="shared" si="740"/>
        <v>0</v>
      </c>
      <c r="L248" s="712">
        <f>Sheet1!AA248+Sheet1!AB248-Sheet1!L248+(Sheet1!CW248-F248)*CFStoMGD</f>
        <v>122.1958000000064</v>
      </c>
      <c r="M248" s="712">
        <f t="shared" si="741"/>
        <v>129.12081055327002</v>
      </c>
      <c r="N248" s="712">
        <f>IF(Sheet1!CW248&gt;=F248,MIN(73,MIN(MAX(L248,0),MAX(M248,0))),0)</f>
        <v>73</v>
      </c>
      <c r="O248" s="721">
        <f>Sheet1!AA248+Sheet1!AB248</f>
        <v>81.210000000006403</v>
      </c>
      <c r="P248" s="721">
        <f t="shared" si="742"/>
        <v>125.63187000000991</v>
      </c>
      <c r="Q248" s="712">
        <f>MIN(N248,Sheet1!AA248+AG248)</f>
        <v>62.012309007988158</v>
      </c>
      <c r="R248" s="712">
        <f t="shared" si="743"/>
        <v>19.5</v>
      </c>
      <c r="S248" s="721">
        <f>Sheet1!Y248*MGDtoCFS</f>
        <v>71.131059999999991</v>
      </c>
      <c r="T248" s="721">
        <f>Sheet1!Z248*MGDtoCFS</f>
        <v>54.361579999999996</v>
      </c>
      <c r="U248" s="721">
        <f>Sheet1!AA248*MGDtoCFS</f>
        <v>71.873620000009907</v>
      </c>
      <c r="V248" s="721">
        <f>Sheet1!AB248*MGDtoCFS</f>
        <v>53.758249999999997</v>
      </c>
      <c r="W248" s="721">
        <f>Sheet1!L248*MGDtoCFS</f>
        <v>0</v>
      </c>
      <c r="X248" s="697">
        <f t="shared" si="744"/>
        <v>19.5</v>
      </c>
      <c r="Y248" s="712">
        <f t="shared" si="745"/>
        <v>30.166499999999999</v>
      </c>
      <c r="Z248" s="712">
        <f t="shared" si="746"/>
        <v>0</v>
      </c>
      <c r="AA248" s="712">
        <f t="shared" si="747"/>
        <v>0</v>
      </c>
      <c r="AB248" s="712">
        <f>(VLOOKUP(Sheet1!CY248,hhdcap_wcm,4)-(((VLOOKUP(Sheet1!CY248,hhdcap_wcm,3)-Sheet1!CY248)/(VLOOKUP(Sheet1!CY248,hhdcap_wcm,3)-VLOOKUP(Sheet1!CY248,hhdcap_wcm,1)))*(VLOOKUP(Sheet1!CY248,hhdcap_wcm,4)-VLOOKUP(Sheet1!CY248,hhdcap_wcm,2))))</f>
        <v>37618.500000091335</v>
      </c>
      <c r="AC248" s="712">
        <f t="shared" si="748"/>
        <v>-166.73000000131287</v>
      </c>
      <c r="AD248" s="712">
        <f t="shared" si="749"/>
        <v>2800.4548562349141</v>
      </c>
      <c r="AE248" s="712">
        <f t="shared" si="750"/>
        <v>8591.7954989287173</v>
      </c>
      <c r="AF248" s="712">
        <f>Sheet1!BA248+Sheet1!BB248+Sheet1!BN248+BT248</f>
        <v>15.7</v>
      </c>
      <c r="AG248" s="712">
        <f t="shared" si="751"/>
        <v>15.552309007981757</v>
      </c>
      <c r="AH248" s="712">
        <f>Sheet1!BA248+BT248</f>
        <v>0</v>
      </c>
      <c r="AI248" s="712">
        <f>Sheet1!BA248+Sheet1!BB248+BT248</f>
        <v>0</v>
      </c>
      <c r="AJ248" s="712">
        <f>IF((Sheet1!AA248+AG248+AX248+AZ248+BQ248+BS248+CL248+CN248)&lt;=N248,AG248+AX248+AZ248+BQ248+BS248+CL248+CN248,N248-Sheet1!AA248)</f>
        <v>15.552309007981757</v>
      </c>
      <c r="AK248" s="712">
        <f>IF(DR248&lt;K248,0,MAX(Sheet1!AA248+AG248-15/36*K248-N248,Sheet1!ED248,0))</f>
        <v>0</v>
      </c>
      <c r="AL248" s="712">
        <f>IF(OR(B248&gt;=FT248,B248&lt;FS248),0,15/36*K248-MAX(0,64.6-(137.6-(Sheet1!AA248+Sheet1!AB248))))</f>
        <v>0</v>
      </c>
      <c r="AM248" s="712">
        <f>Sheet1!CX248-110</f>
        <v>48.260416666666657</v>
      </c>
      <c r="AN248" s="712">
        <f>Sheet1!CW248-265</f>
        <v>48.40625</v>
      </c>
      <c r="AO248" s="712">
        <f t="shared" si="733"/>
        <v>10.987690992011842</v>
      </c>
      <c r="AP248" s="712">
        <f t="shared" si="752"/>
        <v>0</v>
      </c>
      <c r="AQ248" s="712">
        <f t="shared" si="753"/>
        <v>0</v>
      </c>
      <c r="AR248" s="712">
        <f t="shared" si="754"/>
        <v>1358.1051716644936</v>
      </c>
      <c r="AS248" s="712"/>
      <c r="AT248" s="712">
        <f ca="1">IF(B248&gt;Summary!$A$1,#N/A,AR248*MGtoAF)</f>
        <v>4166.6666666666661</v>
      </c>
      <c r="AU248" s="712">
        <f>Sheet1!BG248+Sheet1!BH248+Sheet1!BI248-BC248</f>
        <v>1.99</v>
      </c>
      <c r="AV248" s="712">
        <f t="shared" si="755"/>
        <v>1.9712799315849487</v>
      </c>
      <c r="AW248" s="712">
        <f>IF(Sheet1!EL248="FM",BC248,0)</f>
        <v>0</v>
      </c>
      <c r="AX248" s="712">
        <f t="shared" si="756"/>
        <v>0</v>
      </c>
      <c r="AY248" s="712">
        <f>IF(Sheet1!EL248="OTHER",BC248,0)</f>
        <v>0</v>
      </c>
      <c r="AZ248" s="712">
        <f t="shared" si="757"/>
        <v>0</v>
      </c>
      <c r="BA248" s="712">
        <f t="shared" si="758"/>
        <v>1.99</v>
      </c>
      <c r="BB248" s="712">
        <f t="shared" si="759"/>
        <v>1.9712799315849487</v>
      </c>
      <c r="BC248" s="712">
        <f>IF(OR(Sheet1!EL248="FM", Sheet1!EL248="OTHER"),SUM(Sheet1!BG248:'Sheet1'!BI248),0)</f>
        <v>0</v>
      </c>
      <c r="BD248" s="697">
        <f>IF(AND($B248&gt;=$FL248,$B248&lt;=$FM248),MAX(AV248,Sheet1!EE248,0),MAX(AV248-(7/36)*$K248,0))</f>
        <v>2</v>
      </c>
      <c r="BE248" s="712">
        <f t="shared" si="760"/>
        <v>0</v>
      </c>
      <c r="BF248" s="697">
        <f t="shared" si="761"/>
        <v>0</v>
      </c>
      <c r="BG248" s="697">
        <f>IF(AND($O248&gt;0,Sheet1!EI248=1),(1-($O248-Sheet1!$L248)/$O248)*BB248,0)</f>
        <v>0</v>
      </c>
      <c r="BH248" s="697">
        <f>IF(AND(Sheet1!$L248=0,Sheet1!$L247=0, Calculation!BA248&lt;Sheet1!$EE248-0.1,Sheet1!$EE248=Sheet1!$EE247,Sheet1!$EE248=Sheet1!$EE249),Sheet1!$EE248,BB248-BG248)</f>
        <v>1.9712799315849487</v>
      </c>
      <c r="BI248" s="712"/>
      <c r="BJ248" s="712"/>
      <c r="BK248" s="712">
        <f t="shared" si="762"/>
        <v>576.6510993347855</v>
      </c>
      <c r="BL248" s="712"/>
      <c r="BM248" s="712">
        <f ca="1">IF(B248&gt;Summary!$A$1,#N/A,BK248*MGtoAF)</f>
        <v>1769.1655727591219</v>
      </c>
      <c r="BN248" s="712">
        <f>Sheet1!BC248+Sheet1!BD248+Sheet1!BE248+Sheet1!BF248-BW248-BX248</f>
        <v>5.33</v>
      </c>
      <c r="BO248" s="712">
        <f t="shared" si="763"/>
        <v>5.2798603192702398</v>
      </c>
      <c r="BP248" s="712">
        <f>IF(Sheet1!EM248="FM",BX248,0)</f>
        <v>0</v>
      </c>
      <c r="BQ248" s="712">
        <f t="shared" si="764"/>
        <v>0</v>
      </c>
      <c r="BR248" s="712">
        <f>IF(Sheet1!EM248="OTHER",BX248,0)</f>
        <v>0</v>
      </c>
      <c r="BS248" s="712">
        <f t="shared" si="765"/>
        <v>0</v>
      </c>
      <c r="BT248" s="712">
        <f t="shared" si="766"/>
        <v>0</v>
      </c>
      <c r="BU248" s="712">
        <f t="shared" si="767"/>
        <v>5.33</v>
      </c>
      <c r="BV248" s="712">
        <f t="shared" si="768"/>
        <v>5.2798603192702398</v>
      </c>
      <c r="BW248" s="712">
        <f>IF(Sheet1!EM248="CWA",SUM(Sheet1!BC248:'Sheet1'!BF248),0)</f>
        <v>0</v>
      </c>
      <c r="BX248" s="712">
        <f>IF(OR(Sheet1!EM248="FM", Sheet1!EM248="OTHER"),SUM(Sheet1!BC248:'Sheet1'!BF248),0)</f>
        <v>0</v>
      </c>
      <c r="BY248" s="697">
        <f>IF(AND($B248&gt;=$FL248,$B248&lt;=$FM248),MAX(BV248,Sheet1!EF248,0),MAX(BV248-(7/36)*$K248,0))</f>
        <v>5.5</v>
      </c>
      <c r="BZ248" s="712">
        <f t="shared" si="769"/>
        <v>0</v>
      </c>
      <c r="CA248" s="697">
        <f t="shared" si="770"/>
        <v>0</v>
      </c>
      <c r="CB248" s="697">
        <f>IF(AND($O248&gt;0,Sheet1!EJ248=1),(1-($O248-Sheet1!$L248)/$O248)*BV248,0)</f>
        <v>0</v>
      </c>
      <c r="CC248" s="697">
        <f>IF(AND(Sheet1!$L248=0,Sheet1!$L247=0, Calculation!BU248&lt;Sheet1!EF248-0.1,Sheet1!EF248=Sheet1!EF247,Sheet1!EF248=Sheet1!EF249),Sheet1!EF248,BV248-CB248)</f>
        <v>5.2798603192702398</v>
      </c>
      <c r="CD248" s="697"/>
      <c r="CE248" s="712"/>
      <c r="CF248" s="712">
        <f t="shared" si="771"/>
        <v>511.32242446599673</v>
      </c>
      <c r="CG248" s="712"/>
      <c r="CH248" s="712">
        <f ca="1">IF(B248&gt;Summary!$A$1,#N/A,CF248*MGtoAF)</f>
        <v>1568.737198261678</v>
      </c>
      <c r="CI248" s="712">
        <f>Sheet1!BK248+Sheet1!BL248+Sheet1!BM248-Sheet1!EN248-CQ248</f>
        <v>12.059999999999999</v>
      </c>
      <c r="CJ248" s="712">
        <f t="shared" si="772"/>
        <v>11.946550741163055</v>
      </c>
      <c r="CK248" s="712">
        <f>IF(Sheet1!EN248="FM",CQ248,0)</f>
        <v>0</v>
      </c>
      <c r="CL248" s="712">
        <f t="shared" si="773"/>
        <v>0</v>
      </c>
      <c r="CM248" s="712">
        <f>IF(Sheet1!EN248="OTHER",CQ248,0)</f>
        <v>0</v>
      </c>
      <c r="CN248" s="712">
        <f t="shared" si="774"/>
        <v>0</v>
      </c>
      <c r="CO248" s="712">
        <f t="shared" si="775"/>
        <v>12.059999999999999</v>
      </c>
      <c r="CP248" s="712">
        <f t="shared" si="776"/>
        <v>11.946550741163055</v>
      </c>
      <c r="CQ248" s="712">
        <f>IF(OR(Sheet1!EN248="FM", Sheet1!EN248="OTHER"),SUM(Sheet1!BK248:'Sheet1'!BM248),0)</f>
        <v>0</v>
      </c>
      <c r="CR248" s="697">
        <f>IF(AND($B248&gt;=$FL248,$B248&lt;=$FM248),MAX($CJ248,Sheet1!EG248,0),MAX($CJ248-(7/36)*$K248,0))</f>
        <v>12</v>
      </c>
      <c r="CS248" s="712">
        <f t="shared" si="777"/>
        <v>0</v>
      </c>
      <c r="CT248" s="697">
        <f t="shared" si="778"/>
        <v>0</v>
      </c>
      <c r="CU248" s="697">
        <f>IF(AND($O248&gt;0,Sheet1!EK248=1),(1-($O248-Sheet1!$L248)/$O248)*CP248,0)</f>
        <v>0</v>
      </c>
      <c r="CV248" s="697">
        <f>IF(AND(Sheet1!$L248=0,Sheet1!$L247=0, Calculation!CO248&lt;Sheet1!$EG248-0.1,Sheet1!$EG248=Sheet1!$EG247,Sheet1!$EG248=Sheet1!$EG249),Sheet1!$EG248,CP248-CU248)</f>
        <v>11.946550741163055</v>
      </c>
      <c r="CW248" s="697">
        <f t="shared" si="721"/>
        <v>0</v>
      </c>
      <c r="CX248" s="712">
        <f t="shared" si="779"/>
        <v>19.38</v>
      </c>
      <c r="CY248" s="712">
        <f t="shared" si="780"/>
        <v>354.3761607696382</v>
      </c>
      <c r="CZ248" s="712">
        <f t="shared" si="781"/>
        <v>19.197690992018245</v>
      </c>
      <c r="DA248" s="712">
        <f ca="1">IF(B248&gt;Summary!$A$1,#N/A,CY248*MGtoAF)</f>
        <v>1087.2260612412501</v>
      </c>
      <c r="DB248" s="712">
        <f t="shared" si="782"/>
        <v>19.38</v>
      </c>
      <c r="DC248" s="712">
        <f t="shared" si="783"/>
        <v>35.08</v>
      </c>
      <c r="DD248" s="712">
        <f>Sheet1!AB248-DC248</f>
        <v>-0.32999999999999829</v>
      </c>
      <c r="DE248" s="712">
        <f t="shared" si="784"/>
        <v>-9.4070695553021191E-3</v>
      </c>
      <c r="DF248" s="712">
        <f>(VLOOKUP(Sheet1!CY248,hhdcap_wcm,4)-(((VLOOKUP(Sheet1!CY248,hhdcap_wcm,3)-Sheet1!CY248)/(VLOOKUP(Sheet1!CY248,hhdcap_wcm,3)-VLOOKUP(Sheet1!CY248,hhdcap_wcm,1)))*(VLOOKUP(Sheet1!CY248,hhdcap_wcm,4)-VLOOKUP(Sheet1!CY248,hhdcap_wcm,2))))</f>
        <v>37618.500000091335</v>
      </c>
      <c r="DG248" s="712">
        <f t="shared" si="785"/>
        <v>-166.73000000131287</v>
      </c>
      <c r="DH248" s="712">
        <f t="shared" si="786"/>
        <v>-84.079677257343846</v>
      </c>
      <c r="DI248" s="712">
        <f>Sheet1!DW248*AFtoMG</f>
        <v>0</v>
      </c>
      <c r="DJ248" s="712">
        <f>Sheet1!DX248*AFtoMG</f>
        <v>0</v>
      </c>
      <c r="DK248" s="712">
        <f>Sheet1!DY248*AFtoMG</f>
        <v>0</v>
      </c>
      <c r="DL248" s="712">
        <f>Sheet1!DZ248*AFtoMG</f>
        <v>0</v>
      </c>
      <c r="DM248" s="712">
        <f t="shared" si="787"/>
        <v>0</v>
      </c>
      <c r="DN248" s="712">
        <f t="shared" si="788"/>
        <v>0</v>
      </c>
      <c r="DO248" s="712">
        <f t="shared" si="789"/>
        <v>2800.4548562349141</v>
      </c>
      <c r="DP248" s="712">
        <f t="shared" si="790"/>
        <v>8591.7954989287173</v>
      </c>
      <c r="DQ248" s="712"/>
      <c r="DR248" s="697">
        <f>IF(OR(B248&lt;FL248,B248&gt;FM248),(MIN(AV248+BO248+CJ248+MAX(Sheet1!AA248+AG248-73,0),K248)),0)</f>
        <v>0</v>
      </c>
      <c r="DS248" s="712"/>
      <c r="DT248" s="712">
        <f t="shared" si="791"/>
        <v>19.197690992018245</v>
      </c>
      <c r="DU248" s="712"/>
      <c r="DV248" s="712">
        <f>Sheet1!ED248+Sheet1!EE248+Sheet1!EF248+Sheet1!EG248</f>
        <v>19.5</v>
      </c>
      <c r="DW248" s="712"/>
      <c r="DX248" s="697">
        <f t="shared" si="792"/>
        <v>0</v>
      </c>
      <c r="DY248" s="712">
        <f>IF(Sheet1!FN248=1,SUM('Calculations II'!AT248:BA248)+'Calculations II'!BC248+Sheet1!BU248+'Calculations II'!BE248+AF248,SUM('Calculations II'!AT248:BA248)+'Calculations II'!BC248+Sheet1!BU248+'Calculations II'!BE248+AF248)</f>
        <v>65.256687999999997</v>
      </c>
      <c r="DZ248" s="712">
        <f>Sheet1!AA248+Sheet1!AB248+'Calculations II'!BC248</f>
        <v>90.236352000006406</v>
      </c>
      <c r="EA248" s="712"/>
      <c r="EB248" s="712"/>
      <c r="EC248" s="712">
        <f t="shared" si="793"/>
        <v>40777</v>
      </c>
      <c r="ED248" s="712">
        <f t="shared" si="794"/>
        <v>-19.5</v>
      </c>
      <c r="EE248" s="712">
        <f t="shared" si="795"/>
        <v>-30.166499999999999</v>
      </c>
      <c r="EF248" s="712">
        <f>-(VLOOKUP(Sheet1!BQ248,Lookup!$B$4:$J$236,2)-VLOOKUP(Sheet1!BQ247,Lookup!$B$4:$J$236,2))/1000000</f>
        <v>-2.1640000000000001</v>
      </c>
      <c r="EG248" s="712">
        <f>-(VLOOKUP(Sheet1!BR248,Lookup!$B$4:$J$236,3)-VLOOKUP(Sheet1!BR247,Lookup!$B$4:$J$236,3))/1000000</f>
        <v>-2.16</v>
      </c>
      <c r="EH248" s="712">
        <f>-(VLOOKUP(Sheet1!BS248,Lookup!$B$4:$J$236,4)-VLOOKUP(Sheet1!BS247,Lookup!$B$4:$J$236,4))/1000000</f>
        <v>0</v>
      </c>
      <c r="EI248" s="697">
        <f t="shared" si="796"/>
        <v>-4.3239999999999998</v>
      </c>
      <c r="EJ248" s="712"/>
      <c r="EK248" s="712"/>
      <c r="EL248" s="712"/>
      <c r="EM248" s="712"/>
      <c r="EN248" s="712"/>
      <c r="EO248" s="712"/>
      <c r="EP248" s="712"/>
      <c r="EQ248" s="712"/>
      <c r="ET248" s="794">
        <f t="shared" si="818"/>
        <v>1132.9000000000001</v>
      </c>
      <c r="EU248" s="697">
        <v>8785</v>
      </c>
      <c r="EV248" s="795">
        <f t="shared" si="734"/>
        <v>19021.704501162618</v>
      </c>
      <c r="EW248" s="796" t="s">
        <v>757</v>
      </c>
      <c r="EX248" s="796" t="s">
        <v>758</v>
      </c>
      <c r="EY248" s="712">
        <f t="shared" si="817"/>
        <v>0</v>
      </c>
      <c r="EZ248" s="798">
        <v>19702.800000044357</v>
      </c>
      <c r="FA248" s="712"/>
      <c r="FB248" s="712"/>
      <c r="FC248" s="712"/>
      <c r="FD248" s="712"/>
      <c r="FE248" s="712">
        <f>O248+Sheet1!CO248</f>
        <v>6349.5100000000066</v>
      </c>
      <c r="FF248" s="712">
        <f>IF(Sheet1!AA248+AG248&lt;=Calculation!N248,AG248,Calculation!N248-Sheet1!AA248)</f>
        <v>15.552309007981757</v>
      </c>
      <c r="FG248" s="712">
        <f>(Sheet1!BP248+Sheet1!BO248)/694.4</f>
        <v>3.9703341013824884</v>
      </c>
      <c r="FH248" s="712"/>
      <c r="FI248" s="712"/>
      <c r="FJ248" s="712"/>
      <c r="FK248" s="712"/>
      <c r="FL248" s="714">
        <f t="shared" si="726"/>
        <v>40753</v>
      </c>
      <c r="FM248" s="714">
        <f t="shared" si="727"/>
        <v>40851</v>
      </c>
      <c r="FN248" s="712"/>
      <c r="FO248" s="712"/>
      <c r="FP248" s="712"/>
      <c r="FQ248" s="712"/>
      <c r="FR248" s="712"/>
      <c r="FS248" s="725">
        <f t="shared" si="816"/>
        <v>40603</v>
      </c>
      <c r="FT248" s="714">
        <f t="shared" si="729"/>
        <v>40709</v>
      </c>
      <c r="FU248" s="712">
        <f t="shared" si="816"/>
        <v>6518.9048239895692</v>
      </c>
      <c r="FV248" s="714">
        <f t="shared" si="730"/>
        <v>40722</v>
      </c>
      <c r="FW248" s="712">
        <f t="shared" si="816"/>
        <v>3259.4524119947846</v>
      </c>
      <c r="FX248" s="725">
        <f t="shared" si="816"/>
        <v>40851</v>
      </c>
      <c r="FZ248" s="697">
        <f t="shared" si="722"/>
        <v>0</v>
      </c>
      <c r="GA248" s="712" t="str">
        <f t="shared" si="797"/>
        <v/>
      </c>
      <c r="GB248" s="712">
        <f t="shared" si="798"/>
        <v>0</v>
      </c>
      <c r="GC248" s="712" t="str">
        <f t="shared" si="799"/>
        <v/>
      </c>
      <c r="GD248" s="712">
        <f>IF(GA248="P",Lookup!$M$12,IF(GA248="PP",Lookup!$M$13,IF(GA248="PPP",Lookup!$M$14,IF(GA248="T",Lookup!$M$15,IF(GA248="TP",Lookup!$M$16,IF(GA248="TPP",Lookup!$M$17,IF(GA248="TPPP",Lookup!$M$18,0)))))))*FZ248</f>
        <v>0</v>
      </c>
      <c r="GE248" s="712">
        <f t="shared" si="800"/>
        <v>0</v>
      </c>
      <c r="GF248" s="712">
        <f t="shared" si="801"/>
        <v>4166.6666666666661</v>
      </c>
      <c r="GG248" s="712">
        <f t="shared" si="802"/>
        <v>1358.1051716644936</v>
      </c>
      <c r="GH248" s="712"/>
      <c r="GI248" s="712">
        <f t="shared" si="803"/>
        <v>0</v>
      </c>
      <c r="GJ248" s="712" t="str">
        <f t="shared" si="804"/>
        <v/>
      </c>
      <c r="GK248" s="712">
        <f>IF(GA248="P",Lookup!$N$12,IF(GA248="PP",Lookup!$N$13,IF(GA248="PPP",Lookup!$N$14,IF(GA248="T",Lookup!$N$15,IF(GA248="TP",Lookup!$N$16,IF(GA248="TPP",Lookup!$N$17,IF(GA248="TPPP",Lookup!$N$18,0)))))))*FZ248</f>
        <v>0</v>
      </c>
      <c r="GL248" s="712">
        <f t="shared" si="805"/>
        <v>0</v>
      </c>
      <c r="GM248" s="712">
        <f t="shared" si="806"/>
        <v>1769.1655727591219</v>
      </c>
      <c r="GN248" s="712">
        <f t="shared" si="807"/>
        <v>576.6510993347855</v>
      </c>
      <c r="GO248" s="712"/>
      <c r="GP248" s="712">
        <f t="shared" si="808"/>
        <v>0</v>
      </c>
      <c r="GQ248" s="712" t="str">
        <f t="shared" si="809"/>
        <v/>
      </c>
      <c r="GR248" s="712">
        <f>IF(GA248="P",Lookup!$N$12,IF(GA248="PP",Lookup!$N$13,IF(GA248="PPP",Lookup!$N$14,IF(GA248="T",Lookup!$N$15,IF(GA248="TP",Lookup!$N$16,IF(GA248="TPP",Lookup!$N$17,IF(GA248="TPPP",Lookup!$N$18,0)))))))*FZ248</f>
        <v>0</v>
      </c>
      <c r="GS248" s="697">
        <f t="shared" si="724"/>
        <v>0</v>
      </c>
      <c r="GT248" s="712">
        <f t="shared" si="810"/>
        <v>1568.737198261678</v>
      </c>
      <c r="GU248" s="712">
        <f t="shared" si="811"/>
        <v>511.32242446599673</v>
      </c>
      <c r="GV248" s="712"/>
      <c r="GW248" s="712">
        <f t="shared" si="812"/>
        <v>0</v>
      </c>
      <c r="GX248" s="712" t="str">
        <f t="shared" si="813"/>
        <v/>
      </c>
      <c r="GY248" s="712">
        <f>IF(GA248="P",Lookup!$N$12,IF(GA248="PP",Lookup!$N$13,IF(GA248="PPP",Lookup!$N$14,IF(GA248="T",Lookup!$N$15,IF(GA248="TP",Lookup!$N$16,IF(GA248="TPP",Lookup!$N$17,IF(GA248="TPPP",Lookup!$N$18,0)))))))*FZ248</f>
        <v>0</v>
      </c>
      <c r="GZ248" s="697">
        <f t="shared" si="725"/>
        <v>0</v>
      </c>
      <c r="HA248" s="712">
        <f t="shared" si="814"/>
        <v>1087.2260612412501</v>
      </c>
      <c r="HB248" s="712">
        <f t="shared" si="815"/>
        <v>354.3761607696382</v>
      </c>
      <c r="HC248" s="712"/>
    </row>
    <row r="249" spans="1:211">
      <c r="A249" s="773" t="s">
        <v>5</v>
      </c>
      <c r="B249" s="708">
        <v>40778</v>
      </c>
      <c r="C249" s="709">
        <v>0.5</v>
      </c>
      <c r="D249" s="675">
        <f t="shared" si="737"/>
        <v>200</v>
      </c>
      <c r="E249" s="675">
        <f t="shared" si="738"/>
        <v>400</v>
      </c>
      <c r="F249" s="675">
        <v>250</v>
      </c>
      <c r="G249" s="712">
        <f>DH249+Sheet1!CV249</f>
        <v>235.66553202207854</v>
      </c>
      <c r="H249" s="712">
        <f t="shared" si="739"/>
        <v>0</v>
      </c>
      <c r="I249" s="711">
        <f>MAX(Sheet1!Z249-AJ249+(Sheet1!CW249-E249)*CFStoMGD,0)</f>
        <v>0</v>
      </c>
      <c r="J249" s="720">
        <f>IF(AND(B249&gt;=Calculation!FS249,B249&lt;=Calculation!FT249),IF(Sheet1!CX249&gt;=Calculation!D249,64.64,0),MAX(Sheet1!Z249-AJ249+(Sheet1!CX249-D249)*CFStoMGD,0))</f>
        <v>0</v>
      </c>
      <c r="K249" s="697">
        <f t="shared" si="740"/>
        <v>0</v>
      </c>
      <c r="L249" s="712">
        <f>Sheet1!AA249+Sheet1!AB249-Sheet1!L249+(Sheet1!CW249-F249)*CFStoMGD</f>
        <v>120.05293333333334</v>
      </c>
      <c r="M249" s="712">
        <f t="shared" si="741"/>
        <v>155.380883897053</v>
      </c>
      <c r="N249" s="712">
        <f>IF(Sheet1!CW249&gt;=F249,MIN(73,MIN(MAX(L249,0),MAX(M249,0))),0)</f>
        <v>73</v>
      </c>
      <c r="O249" s="721">
        <f>Sheet1!AA249+Sheet1!AB249</f>
        <v>77</v>
      </c>
      <c r="P249" s="721">
        <f t="shared" si="742"/>
        <v>119.119</v>
      </c>
      <c r="Q249" s="712">
        <f>MIN(N249,Sheet1!AA249+AG249)</f>
        <v>59.940472339048853</v>
      </c>
      <c r="R249" s="712">
        <f t="shared" si="743"/>
        <v>19.5</v>
      </c>
      <c r="S249" s="721">
        <f>Sheet1!Y249*MGDtoCFS</f>
        <v>70.89900999999999</v>
      </c>
      <c r="T249" s="721">
        <f>Sheet1!Z249*MGDtoCFS</f>
        <v>53.959360000000004</v>
      </c>
      <c r="U249" s="721">
        <f>Sheet1!AA249*MGDtoCFS</f>
        <v>71.161999999999992</v>
      </c>
      <c r="V249" s="721">
        <f>Sheet1!AB249*MGDtoCFS</f>
        <v>47.957000000000001</v>
      </c>
      <c r="W249" s="721">
        <f>Sheet1!L249*MGDtoCFS</f>
        <v>0</v>
      </c>
      <c r="X249" s="697">
        <f>AK249+BD249+BY249+CR249</f>
        <v>19.5</v>
      </c>
      <c r="Y249" s="712">
        <f t="shared" si="745"/>
        <v>30.166499999999999</v>
      </c>
      <c r="Z249" s="712">
        <f t="shared" si="746"/>
        <v>0</v>
      </c>
      <c r="AA249" s="712">
        <f t="shared" si="747"/>
        <v>0</v>
      </c>
      <c r="AB249" s="712">
        <f>(VLOOKUP(Sheet1!CY249,hhdcap_wcm,4)-(((VLOOKUP(Sheet1!CY249,hhdcap_wcm,3)-Sheet1!CY249)/(VLOOKUP(Sheet1!CY249,hhdcap_wcm,3)-VLOOKUP(Sheet1!CY249,hhdcap_wcm,1)))*(VLOOKUP(Sheet1!CY249,hhdcap_wcm,4)-VLOOKUP(Sheet1!CY249,hhdcap_wcm,2))))</f>
        <v>37530.750000091117</v>
      </c>
      <c r="AC249" s="712">
        <f t="shared" si="748"/>
        <v>-87.750000000218279</v>
      </c>
      <c r="AD249" s="712">
        <f t="shared" si="749"/>
        <v>2780.9548562349141</v>
      </c>
      <c r="AE249" s="712">
        <f t="shared" si="750"/>
        <v>8531.9694989287163</v>
      </c>
      <c r="AF249" s="712">
        <f>Sheet1!BA249+Sheet1!BB249+Sheet1!BN249+BT249</f>
        <v>13.9</v>
      </c>
      <c r="AG249" s="712">
        <f t="shared" si="751"/>
        <v>13.940472339048851</v>
      </c>
      <c r="AH249" s="712">
        <f>Sheet1!BA249+BT249</f>
        <v>0</v>
      </c>
      <c r="AI249" s="712">
        <f>Sheet1!BA249+Sheet1!BB249+BT249</f>
        <v>0</v>
      </c>
      <c r="AJ249" s="712">
        <f>IF((Sheet1!AA249+AG249+AX249+AZ249+BQ249+BS249+CL249+CN249)&lt;=N249,AG249+AX249+AZ249+BQ249+BS249+CL249+CN249,N249-Sheet1!AA249)</f>
        <v>13.940472339048851</v>
      </c>
      <c r="AK249" s="712">
        <f>IF(DR249&lt;K249,0,MAX(Sheet1!AA249+AG249-15/36*K249-N249,Sheet1!ED249,0))</f>
        <v>0</v>
      </c>
      <c r="AL249" s="712">
        <f>IF(OR(B249&gt;=FT249,B249&lt;FS249),0,15/36*K249-MAX(0,64.6-(137.6-(Sheet1!AA249+Sheet1!AB249))))</f>
        <v>0</v>
      </c>
      <c r="AM249" s="712">
        <f>Sheet1!CX249-110</f>
        <v>56.572916666666657</v>
      </c>
      <c r="AN249" s="712">
        <f>Sheet1!CW249-265</f>
        <v>51.604166666666686</v>
      </c>
      <c r="AO249" s="712">
        <f t="shared" si="733"/>
        <v>13.059527660951147</v>
      </c>
      <c r="AP249" s="712">
        <f t="shared" si="752"/>
        <v>0</v>
      </c>
      <c r="AQ249" s="712">
        <f t="shared" si="753"/>
        <v>0</v>
      </c>
      <c r="AR249" s="712">
        <f t="shared" si="754"/>
        <v>1358.1051716644936</v>
      </c>
      <c r="AS249" s="712"/>
      <c r="AT249" s="712">
        <f ca="1">IF(B249&gt;Summary!$A$1,#N/A,AR249*MGtoAF)</f>
        <v>4166.6666666666661</v>
      </c>
      <c r="AU249" s="712">
        <f>Sheet1!BG249+Sheet1!BH249+Sheet1!BI249-BC249</f>
        <v>1.98</v>
      </c>
      <c r="AV249" s="712">
        <f t="shared" si="755"/>
        <v>1.98576512455516</v>
      </c>
      <c r="AW249" s="712">
        <f>IF(Sheet1!EL249="FM",BC249,0)</f>
        <v>0</v>
      </c>
      <c r="AX249" s="712">
        <f t="shared" si="756"/>
        <v>0</v>
      </c>
      <c r="AY249" s="712">
        <f>IF(Sheet1!EL249="OTHER",BC249,0)</f>
        <v>0</v>
      </c>
      <c r="AZ249" s="712">
        <f t="shared" si="757"/>
        <v>0</v>
      </c>
      <c r="BA249" s="712">
        <f t="shared" si="758"/>
        <v>1.98</v>
      </c>
      <c r="BB249" s="712">
        <f t="shared" si="759"/>
        <v>1.98576512455516</v>
      </c>
      <c r="BC249" s="712">
        <f>IF(OR(Sheet1!EL249="FM", Sheet1!EL249="OTHER"),SUM(Sheet1!BG249:'Sheet1'!BI249),0)</f>
        <v>0</v>
      </c>
      <c r="BD249" s="697">
        <f>IF(AND($B249&gt;=$FL249,$B249&lt;=$FM249),MAX(AV249,Sheet1!EE249,0),MAX(AV249-(7/36)*$K249,0))</f>
        <v>2</v>
      </c>
      <c r="BE249" s="712">
        <f t="shared" si="760"/>
        <v>0</v>
      </c>
      <c r="BF249" s="697">
        <f t="shared" si="761"/>
        <v>0</v>
      </c>
      <c r="BG249" s="697">
        <f>IF(AND($O249&gt;0,Sheet1!EI249=1),(1-($O249-Sheet1!$L249)/$O249)*BB249,0)</f>
        <v>0</v>
      </c>
      <c r="BH249" s="697">
        <f>IF(AND(Sheet1!$L249=0,Sheet1!$L248=0, Calculation!BA249&lt;Sheet1!$EE249-0.1,Sheet1!$EE249=Sheet1!$EE248,Sheet1!$EE249=Sheet1!$EE250),Sheet1!$EE249,BB249-BG249)</f>
        <v>1.98576512455516</v>
      </c>
      <c r="BI249" s="712"/>
      <c r="BJ249" s="712"/>
      <c r="BK249" s="712">
        <f t="shared" si="762"/>
        <v>574.6510993347855</v>
      </c>
      <c r="BL249" s="712"/>
      <c r="BM249" s="712">
        <f ca="1">IF(B249&gt;Summary!$A$1,#N/A,BK249*MGtoAF)</f>
        <v>1763.0295727591219</v>
      </c>
      <c r="BN249" s="712">
        <f>Sheet1!BC249+Sheet1!BD249+Sheet1!BE249+Sheet1!BF249-BW249-BX249</f>
        <v>3.6799999999999997</v>
      </c>
      <c r="BO249" s="712">
        <f t="shared" si="763"/>
        <v>3.6907149789712062</v>
      </c>
      <c r="BP249" s="712">
        <f>IF(Sheet1!EM249="FM",BX249,0)</f>
        <v>0</v>
      </c>
      <c r="BQ249" s="712">
        <f t="shared" si="764"/>
        <v>0</v>
      </c>
      <c r="BR249" s="712">
        <f>IF(Sheet1!EM249="OTHER",BX249,0)</f>
        <v>0</v>
      </c>
      <c r="BS249" s="712">
        <f t="shared" si="765"/>
        <v>0</v>
      </c>
      <c r="BT249" s="712">
        <f t="shared" si="766"/>
        <v>0</v>
      </c>
      <c r="BU249" s="712">
        <f t="shared" si="767"/>
        <v>3.6799999999999997</v>
      </c>
      <c r="BV249" s="712">
        <f t="shared" si="768"/>
        <v>3.6907149789712062</v>
      </c>
      <c r="BW249" s="712">
        <f>IF(Sheet1!EM249="CWA",SUM(Sheet1!BC249:'Sheet1'!BF249),0)</f>
        <v>0</v>
      </c>
      <c r="BX249" s="712">
        <f>IF(OR(Sheet1!EM249="FM", Sheet1!EM249="OTHER"),SUM(Sheet1!BC249:'Sheet1'!BF249),0)</f>
        <v>0</v>
      </c>
      <c r="BY249" s="697">
        <f>IF(AND($B249&gt;=$FL249,$B249&lt;=$FM249),MAX(BV249,Sheet1!EF249,0),MAX(BV249-(7/36)*$K249,0))</f>
        <v>5.5</v>
      </c>
      <c r="BZ249" s="712">
        <f t="shared" si="769"/>
        <v>0</v>
      </c>
      <c r="CA249" s="697">
        <f t="shared" si="770"/>
        <v>0</v>
      </c>
      <c r="CB249" s="697">
        <f>IF(AND($O249&gt;0,Sheet1!EJ249=1),(1-($O249-Sheet1!$L249)/$O249)*BV249,0)</f>
        <v>0</v>
      </c>
      <c r="CC249" s="697">
        <f>IF(AND(Sheet1!$L249=0,Sheet1!$L248=0, Calculation!BU249&lt;Sheet1!EF249-0.1,Sheet1!EF249=Sheet1!EF248,Sheet1!EF249=Sheet1!EF250),Sheet1!EF249,BV249-CB249)</f>
        <v>5.5</v>
      </c>
      <c r="CD249" s="697"/>
      <c r="CE249" s="712"/>
      <c r="CF249" s="712">
        <f t="shared" si="771"/>
        <v>505.82242446599673</v>
      </c>
      <c r="CG249" s="712"/>
      <c r="CH249" s="712">
        <f ca="1">IF(B249&gt;Summary!$A$1,#N/A,CF249*MGtoAF)</f>
        <v>1551.863198261678</v>
      </c>
      <c r="CI249" s="712">
        <f>Sheet1!BK249+Sheet1!BL249+Sheet1!BM249-Sheet1!EN249-CQ249</f>
        <v>11.350000000000001</v>
      </c>
      <c r="CJ249" s="712">
        <f t="shared" si="772"/>
        <v>11.383047557424781</v>
      </c>
      <c r="CK249" s="712">
        <f>IF(Sheet1!EN249="FM",CQ249,0)</f>
        <v>0</v>
      </c>
      <c r="CL249" s="712">
        <f t="shared" si="773"/>
        <v>0</v>
      </c>
      <c r="CM249" s="712">
        <f>IF(Sheet1!EN249="OTHER",CQ249,0)</f>
        <v>0</v>
      </c>
      <c r="CN249" s="712">
        <f t="shared" si="774"/>
        <v>0</v>
      </c>
      <c r="CO249" s="712">
        <f t="shared" si="775"/>
        <v>11.350000000000001</v>
      </c>
      <c r="CP249" s="712">
        <f t="shared" si="776"/>
        <v>11.383047557424781</v>
      </c>
      <c r="CQ249" s="712">
        <f>IF(OR(Sheet1!EN249="FM", Sheet1!EN249="OTHER"),SUM(Sheet1!BK249:'Sheet1'!BM249),0)</f>
        <v>0</v>
      </c>
      <c r="CR249" s="697">
        <f>IF(AND($B249&gt;=$FL249,$B249&lt;=$FM249),MAX($CJ249,Sheet1!EG249,0),MAX($CJ249-(7/36)*$K249,0))</f>
        <v>12</v>
      </c>
      <c r="CS249" s="712">
        <f t="shared" si="777"/>
        <v>0</v>
      </c>
      <c r="CT249" s="697">
        <f t="shared" si="778"/>
        <v>0</v>
      </c>
      <c r="CU249" s="697">
        <f>IF(AND($O249&gt;0,Sheet1!EK249=1),(1-($O249-Sheet1!$L249)/$O249)*CP249,0)</f>
        <v>0</v>
      </c>
      <c r="CV249" s="697">
        <f>IF(AND(Sheet1!$L249=0,Sheet1!$L248=0, Calculation!CO249&lt;Sheet1!$EG249-0.1,Sheet1!$EG249=Sheet1!$EG248,Sheet1!$EG249=Sheet1!$EG250),Sheet1!$EG249,CP249-CU249)</f>
        <v>12</v>
      </c>
      <c r="CW249" s="874">
        <f t="shared" si="721"/>
        <v>-0.61695244257521864</v>
      </c>
      <c r="CX249" s="712">
        <f t="shared" si="779"/>
        <v>17.010000000000002</v>
      </c>
      <c r="CY249" s="712">
        <f t="shared" si="780"/>
        <v>342.3761607696382</v>
      </c>
      <c r="CZ249" s="712">
        <f t="shared" si="781"/>
        <v>17.059527660951147</v>
      </c>
      <c r="DA249" s="712">
        <f ca="1">IF(B249&gt;Summary!$A$1,#N/A,CY249*MGtoAF)</f>
        <v>1050.4100612412501</v>
      </c>
      <c r="DB249" s="712">
        <f t="shared" si="782"/>
        <v>17.010000000000002</v>
      </c>
      <c r="DC249" s="712">
        <f t="shared" si="783"/>
        <v>30.910000000000004</v>
      </c>
      <c r="DD249" s="712">
        <f>Sheet1!AB249-DC249</f>
        <v>8.9999999999996305E-2</v>
      </c>
      <c r="DE249" s="712">
        <f t="shared" si="784"/>
        <v>2.9116790682625782E-3</v>
      </c>
      <c r="DF249" s="712">
        <f>(VLOOKUP(Sheet1!CY249,hhdcap_wcm,4)-(((VLOOKUP(Sheet1!CY249,hhdcap_wcm,3)-Sheet1!CY249)/(VLOOKUP(Sheet1!CY249,hhdcap_wcm,3)-VLOOKUP(Sheet1!CY249,hhdcap_wcm,1)))*(VLOOKUP(Sheet1!CY249,hhdcap_wcm,4)-VLOOKUP(Sheet1!CY249,hhdcap_wcm,2))))</f>
        <v>37530.750000091117</v>
      </c>
      <c r="DG249" s="712">
        <f t="shared" si="785"/>
        <v>-87.750000000218279</v>
      </c>
      <c r="DH249" s="712">
        <f t="shared" si="786"/>
        <v>-44.251134644588134</v>
      </c>
      <c r="DI249" s="712">
        <f>Sheet1!DW249*AFtoMG</f>
        <v>0</v>
      </c>
      <c r="DJ249" s="712">
        <f>Sheet1!DX249*AFtoMG</f>
        <v>0</v>
      </c>
      <c r="DK249" s="712">
        <f>Sheet1!DY249*AFtoMG</f>
        <v>0</v>
      </c>
      <c r="DL249" s="712">
        <f>Sheet1!DZ249*AFtoMG</f>
        <v>0</v>
      </c>
      <c r="DM249" s="712">
        <f t="shared" si="787"/>
        <v>0</v>
      </c>
      <c r="DN249" s="712">
        <f t="shared" si="788"/>
        <v>0</v>
      </c>
      <c r="DO249" s="712">
        <f t="shared" si="789"/>
        <v>2780.9548562349141</v>
      </c>
      <c r="DP249" s="712">
        <f t="shared" si="790"/>
        <v>8531.9694989287163</v>
      </c>
      <c r="DQ249" s="712"/>
      <c r="DR249" s="697">
        <f>IF(OR(B249&lt;FL249,B249&gt;FM249),(MIN(AV249+BO249+CJ249+MAX(Sheet1!AA249+AG249-73,0),K249)),0)</f>
        <v>0</v>
      </c>
      <c r="DS249" s="712"/>
      <c r="DT249" s="712">
        <f t="shared" si="791"/>
        <v>17.059527660951147</v>
      </c>
      <c r="DU249" s="712"/>
      <c r="DV249" s="712">
        <f>Sheet1!ED249+Sheet1!EE249+Sheet1!EF249+Sheet1!EG249</f>
        <v>19.5</v>
      </c>
      <c r="DW249" s="712"/>
      <c r="DX249" s="697">
        <f t="shared" si="792"/>
        <v>0</v>
      </c>
      <c r="DY249" s="712">
        <f>IF(Sheet1!FN249=1,SUM('Calculations II'!AT249:BA249)+'Calculations II'!BC249+Sheet1!BU249+'Calculations II'!BE249+AF249,SUM('Calculations II'!AT249:BA249)+'Calculations II'!BC249+Sheet1!BU249+'Calculations II'!BE249+AF249)</f>
        <v>61.096367999999998</v>
      </c>
      <c r="DZ249" s="712">
        <f>Sheet1!AA249+Sheet1!AB249+'Calculations II'!BC249</f>
        <v>84.979904000000005</v>
      </c>
      <c r="EA249" s="712"/>
      <c r="EB249" s="712"/>
      <c r="EC249" s="712">
        <f t="shared" si="793"/>
        <v>40778</v>
      </c>
      <c r="ED249" s="712">
        <f t="shared" si="794"/>
        <v>-19.5</v>
      </c>
      <c r="EE249" s="712">
        <f t="shared" si="795"/>
        <v>-30.166499999999999</v>
      </c>
      <c r="EF249" s="712">
        <f ca="1">IF(B249=TODAY(),0,-(VLOOKUP(Sheet1!BQ249,Lookup!$B$4:$J$236,2)-VLOOKUP(Sheet1!BQ248,Lookup!$B$4:$J$236,2))/1000000)</f>
        <v>-3.0051999999999999</v>
      </c>
      <c r="EG249" s="712">
        <f ca="1">IF(B249=TODAY(),0,-(VLOOKUP(Sheet1!BR249,Lookup!$B$4:$J$236,3)-VLOOKUP(Sheet1!BR248,Lookup!$B$4:$J$236,3))/1000000)</f>
        <v>-3.0005999999999999</v>
      </c>
      <c r="EH249" s="712">
        <f>-(VLOOKUP(Sheet1!BS249,Lookup!$B$4:$J$236,4)-VLOOKUP(Sheet1!BS248,Lookup!$B$4:$J$236,4))/1000000</f>
        <v>0</v>
      </c>
      <c r="EI249" s="697">
        <f t="shared" ca="1" si="796"/>
        <v>-6.0057999999999998</v>
      </c>
      <c r="EJ249" s="712"/>
      <c r="EK249" s="712"/>
      <c r="EL249" s="712"/>
      <c r="EM249" s="712"/>
      <c r="EN249" s="712"/>
      <c r="EO249" s="712"/>
      <c r="EP249" s="712"/>
      <c r="EQ249" s="712"/>
      <c r="ET249" s="794">
        <f t="shared" si="818"/>
        <v>1132.7</v>
      </c>
      <c r="EU249" s="697">
        <v>8785</v>
      </c>
      <c r="EV249" s="795">
        <f t="shared" si="734"/>
        <v>18993.7805011624</v>
      </c>
      <c r="EW249" s="796" t="s">
        <v>757</v>
      </c>
      <c r="EX249" s="796" t="s">
        <v>758</v>
      </c>
      <c r="EY249" s="712">
        <f t="shared" si="817"/>
        <v>0</v>
      </c>
      <c r="EZ249" s="798">
        <v>19582.000000044223</v>
      </c>
      <c r="FA249" s="712"/>
      <c r="FB249" s="712"/>
      <c r="FC249" s="712"/>
      <c r="FD249" s="712"/>
      <c r="FE249" s="712">
        <f>O249+Sheet1!CO249</f>
        <v>5618.6</v>
      </c>
      <c r="FF249" s="712">
        <f>IF(Sheet1!AA249+AG249&lt;=Calculation!N249,AG249,Calculation!N249-Sheet1!AA249)</f>
        <v>13.940472339048851</v>
      </c>
      <c r="FG249" s="712">
        <f>(Sheet1!BP249+Sheet1!BO249)/694.4</f>
        <v>3.2828341013824893</v>
      </c>
      <c r="FH249" s="712"/>
      <c r="FI249" s="712"/>
      <c r="FJ249" s="712"/>
      <c r="FK249" s="712"/>
      <c r="FL249" s="714">
        <f t="shared" si="726"/>
        <v>40753</v>
      </c>
      <c r="FM249" s="714">
        <f t="shared" si="727"/>
        <v>40851</v>
      </c>
      <c r="FN249" s="712"/>
      <c r="FO249" s="712"/>
      <c r="FP249" s="712"/>
      <c r="FQ249" s="712"/>
      <c r="FR249" s="712"/>
      <c r="FS249" s="725">
        <f t="shared" si="816"/>
        <v>40603</v>
      </c>
      <c r="FT249" s="714">
        <f t="shared" si="729"/>
        <v>40709</v>
      </c>
      <c r="FU249" s="712">
        <f t="shared" si="816"/>
        <v>6518.9048239895692</v>
      </c>
      <c r="FV249" s="714">
        <f t="shared" si="730"/>
        <v>40722</v>
      </c>
      <c r="FW249" s="712">
        <f t="shared" si="816"/>
        <v>3259.4524119947846</v>
      </c>
      <c r="FX249" s="725">
        <f t="shared" si="816"/>
        <v>40851</v>
      </c>
      <c r="FZ249" s="697">
        <f t="shared" si="722"/>
        <v>0</v>
      </c>
      <c r="GA249" s="712" t="str">
        <f t="shared" si="797"/>
        <v/>
      </c>
      <c r="GB249" s="712">
        <f t="shared" si="798"/>
        <v>0</v>
      </c>
      <c r="GC249" s="712" t="str">
        <f t="shared" si="799"/>
        <v/>
      </c>
      <c r="GD249" s="712">
        <f>IF(GA249="P",Lookup!$M$12,IF(GA249="PP",Lookup!$M$13,IF(GA249="PPP",Lookup!$M$14,IF(GA249="T",Lookup!$M$15,IF(GA249="TP",Lookup!$M$16,IF(GA249="TPP",Lookup!$M$17,IF(GA249="TPPP",Lookup!$M$18,0)))))))*FZ249</f>
        <v>0</v>
      </c>
      <c r="GE249" s="712">
        <f t="shared" si="800"/>
        <v>0</v>
      </c>
      <c r="GF249" s="712">
        <f t="shared" si="801"/>
        <v>4166.6666666666661</v>
      </c>
      <c r="GG249" s="712">
        <f t="shared" si="802"/>
        <v>1358.1051716644936</v>
      </c>
      <c r="GH249" s="712"/>
      <c r="GI249" s="712">
        <f t="shared" si="803"/>
        <v>0</v>
      </c>
      <c r="GJ249" s="712" t="str">
        <f t="shared" si="804"/>
        <v/>
      </c>
      <c r="GK249" s="712">
        <f>IF(GA249="P",Lookup!$N$12,IF(GA249="PP",Lookup!$N$13,IF(GA249="PPP",Lookup!$N$14,IF(GA249="T",Lookup!$N$15,IF(GA249="TP",Lookup!$N$16,IF(GA249="TPP",Lookup!$N$17,IF(GA249="TPPP",Lookup!$N$18,0)))))))*FZ249</f>
        <v>0</v>
      </c>
      <c r="GL249" s="712">
        <f t="shared" si="805"/>
        <v>0</v>
      </c>
      <c r="GM249" s="712">
        <f t="shared" si="806"/>
        <v>1763.0295727591219</v>
      </c>
      <c r="GN249" s="712">
        <f t="shared" si="807"/>
        <v>574.6510993347855</v>
      </c>
      <c r="GO249" s="712"/>
      <c r="GP249" s="712">
        <f t="shared" si="808"/>
        <v>0</v>
      </c>
      <c r="GQ249" s="712" t="str">
        <f t="shared" si="809"/>
        <v/>
      </c>
      <c r="GR249" s="712">
        <f>IF(GA249="P",Lookup!$N$12,IF(GA249="PP",Lookup!$N$13,IF(GA249="PPP",Lookup!$N$14,IF(GA249="T",Lookup!$N$15,IF(GA249="TP",Lookup!$N$16,IF(GA249="TPP",Lookup!$N$17,IF(GA249="TPPP",Lookup!$N$18,0)))))))*FZ249</f>
        <v>0</v>
      </c>
      <c r="GS249" s="697">
        <f t="shared" si="724"/>
        <v>0</v>
      </c>
      <c r="GT249" s="712">
        <f t="shared" si="810"/>
        <v>1551.863198261678</v>
      </c>
      <c r="GU249" s="712">
        <f t="shared" si="811"/>
        <v>505.82242446599673</v>
      </c>
      <c r="GV249" s="712"/>
      <c r="GW249" s="712">
        <f t="shared" si="812"/>
        <v>0</v>
      </c>
      <c r="GX249" s="712" t="str">
        <f t="shared" si="813"/>
        <v/>
      </c>
      <c r="GY249" s="712">
        <f>IF(GA249="P",Lookup!$N$12,IF(GA249="PP",Lookup!$N$13,IF(GA249="PPP",Lookup!$N$14,IF(GA249="T",Lookup!$N$15,IF(GA249="TP",Lookup!$N$16,IF(GA249="TPP",Lookup!$N$17,IF(GA249="TPPP",Lookup!$N$18,0)))))))*FZ249</f>
        <v>0</v>
      </c>
      <c r="GZ249" s="697">
        <f t="shared" si="725"/>
        <v>0</v>
      </c>
      <c r="HA249" s="712">
        <f t="shared" si="814"/>
        <v>1050.4100612412501</v>
      </c>
      <c r="HB249" s="712">
        <f t="shared" si="815"/>
        <v>342.3761607696382</v>
      </c>
      <c r="HC249" s="712"/>
    </row>
    <row r="250" spans="1:211">
      <c r="A250" s="773" t="s">
        <v>6</v>
      </c>
      <c r="B250" s="708">
        <v>40779</v>
      </c>
      <c r="C250" s="719">
        <v>0.5</v>
      </c>
      <c r="D250" s="675">
        <f t="shared" si="737"/>
        <v>200</v>
      </c>
      <c r="E250" s="675">
        <f t="shared" si="738"/>
        <v>400</v>
      </c>
      <c r="F250" s="675">
        <v>250</v>
      </c>
      <c r="G250" s="712">
        <f>DH250+Sheet1!CV250</f>
        <v>186.2481089258699</v>
      </c>
      <c r="H250" s="712">
        <f t="shared" si="739"/>
        <v>0</v>
      </c>
      <c r="I250" s="711">
        <f>MAX(Sheet1!Z250-AJ250+(Sheet1!CW250-E250)*CFStoMGD,0)</f>
        <v>0</v>
      </c>
      <c r="J250" s="720">
        <f>IF(AND(B250&gt;=Calculation!FS250,B250&lt;=Calculation!FT250),IF(Sheet1!CX250&gt;=Calculation!D250,64.64,0),MAX(Sheet1!Z250-AJ250+(Sheet1!CX250-D250)*CFStoMGD,0))</f>
        <v>0</v>
      </c>
      <c r="K250" s="697">
        <f t="shared" si="740"/>
        <v>0</v>
      </c>
      <c r="L250" s="712">
        <f>Sheet1!AA250+Sheet1!AB250-Sheet1!L250+(Sheet1!CW250-F250)*CFStoMGD</f>
        <v>117.51593333332752</v>
      </c>
      <c r="M250" s="712">
        <f t="shared" si="741"/>
        <v>122.79859316187596</v>
      </c>
      <c r="N250" s="712">
        <f>IF(Sheet1!CW250&gt;=F250,MIN(73,MIN(MAX(L250,0),MAX(M250,0))),0)</f>
        <v>73</v>
      </c>
      <c r="O250" s="721">
        <f>Sheet1!AA250+Sheet1!AB250</f>
        <v>73.149999999994179</v>
      </c>
      <c r="P250" s="721">
        <f t="shared" si="742"/>
        <v>113.16304999999099</v>
      </c>
      <c r="Q250" s="712">
        <f>MIN(N250,Sheet1!AA250+AG250)</f>
        <v>55.680135520678917</v>
      </c>
      <c r="R250" s="712">
        <f t="shared" si="743"/>
        <v>19.5</v>
      </c>
      <c r="S250" s="721">
        <f>Sheet1!Y250*MGDtoCFS</f>
        <v>64.633659999999992</v>
      </c>
      <c r="T250" s="721">
        <f>Sheet1!Z250*MGDtoCFS</f>
        <v>38.644059999999996</v>
      </c>
      <c r="U250" s="721">
        <f>Sheet1!AA250*MGDtoCFS</f>
        <v>69.460299999990994</v>
      </c>
      <c r="V250" s="721">
        <f>Sheet1!AB250*MGDtoCFS</f>
        <v>43.702749999999995</v>
      </c>
      <c r="W250" s="721">
        <f>Sheet1!L250*MGDtoCFS</f>
        <v>0</v>
      </c>
      <c r="X250" s="697">
        <f t="shared" si="744"/>
        <v>19.5</v>
      </c>
      <c r="Y250" s="712">
        <f t="shared" si="745"/>
        <v>30.166499999999999</v>
      </c>
      <c r="Z250" s="712">
        <f t="shared" si="746"/>
        <v>0</v>
      </c>
      <c r="AA250" s="712">
        <f t="shared" si="747"/>
        <v>0</v>
      </c>
      <c r="AB250" s="712">
        <f>(VLOOKUP(Sheet1!CY250,hhdcap_wcm,4)-(((VLOOKUP(Sheet1!CY250,hhdcap_wcm,3)-Sheet1!CY250)/(VLOOKUP(Sheet1!CY250,hhdcap_wcm,3)-VLOOKUP(Sheet1!CY250,hhdcap_wcm,1)))*(VLOOKUP(Sheet1!CY250,hhdcap_wcm,4)-VLOOKUP(Sheet1!CY250,hhdcap_wcm,2))))</f>
        <v>37384.500000091117</v>
      </c>
      <c r="AC250" s="712">
        <f t="shared" si="748"/>
        <v>-146.25</v>
      </c>
      <c r="AD250" s="712">
        <f t="shared" si="749"/>
        <v>2761.4548562349141</v>
      </c>
      <c r="AE250" s="712">
        <f t="shared" si="750"/>
        <v>8472.1434989287172</v>
      </c>
      <c r="AF250" s="712">
        <f>Sheet1!BA250+Sheet1!BB250+Sheet1!BN250+BT250</f>
        <v>10.7</v>
      </c>
      <c r="AG250" s="712">
        <f t="shared" si="751"/>
        <v>10.780135520684736</v>
      </c>
      <c r="AH250" s="712">
        <f>Sheet1!BA250+BT250</f>
        <v>0</v>
      </c>
      <c r="AI250" s="712">
        <f>Sheet1!BA250+Sheet1!BB250+BT250</f>
        <v>0</v>
      </c>
      <c r="AJ250" s="712">
        <f>IF((Sheet1!AA250+AG250+AX250+AZ250+BQ250+BS250+CL250+CN250)&lt;=N250,AG250+AX250+AZ250+BQ250+BS250+CL250+CN250,N250-Sheet1!AA250)</f>
        <v>10.780135520684736</v>
      </c>
      <c r="AK250" s="712">
        <f>IF(DR250&lt;K250,0,MAX(Sheet1!AA250+AG250-15/36*K250-N250,Sheet1!ED250,0))</f>
        <v>0</v>
      </c>
      <c r="AL250" s="712">
        <f>IF(OR(B250&gt;=FT250,B250&lt;FS250),0,15/36*K250-MAX(0,64.6-(137.6-(Sheet1!AA250+Sheet1!AB250))))</f>
        <v>0</v>
      </c>
      <c r="AM250" s="712">
        <f>Sheet1!CX250-110</f>
        <v>53.46875</v>
      </c>
      <c r="AN250" s="712">
        <f>Sheet1!CW250-265</f>
        <v>53.635416666666686</v>
      </c>
      <c r="AO250" s="712">
        <f t="shared" si="733"/>
        <v>17.319864479321083</v>
      </c>
      <c r="AP250" s="712">
        <f t="shared" si="752"/>
        <v>0</v>
      </c>
      <c r="AQ250" s="712">
        <f t="shared" si="753"/>
        <v>0</v>
      </c>
      <c r="AR250" s="712">
        <f t="shared" si="754"/>
        <v>1358.1051716644936</v>
      </c>
      <c r="AS250" s="712"/>
      <c r="AT250" s="712">
        <f ca="1">IF(B250&gt;Summary!$A$1,#N/A,AR250*MGtoAF)</f>
        <v>4166.6666666666661</v>
      </c>
      <c r="AU250" s="712">
        <f>Sheet1!BG250+Sheet1!BH250+Sheet1!BI250-BC250</f>
        <v>1.93</v>
      </c>
      <c r="AV250" s="712">
        <f t="shared" si="755"/>
        <v>1.9444543509272467</v>
      </c>
      <c r="AW250" s="712">
        <f>IF(Sheet1!EL250="FM",BC250,0)</f>
        <v>0</v>
      </c>
      <c r="AX250" s="712">
        <f t="shared" si="756"/>
        <v>0</v>
      </c>
      <c r="AY250" s="712">
        <f>IF(Sheet1!EL250="OTHER",BC250,0)</f>
        <v>0</v>
      </c>
      <c r="AZ250" s="712">
        <f t="shared" si="757"/>
        <v>0</v>
      </c>
      <c r="BA250" s="712">
        <f t="shared" si="758"/>
        <v>1.93</v>
      </c>
      <c r="BB250" s="712">
        <f t="shared" si="759"/>
        <v>1.9444543509272467</v>
      </c>
      <c r="BC250" s="712">
        <f>IF(OR(Sheet1!EL250="FM", Sheet1!EL250="OTHER"),SUM(Sheet1!BG250:'Sheet1'!BI250),0)</f>
        <v>0</v>
      </c>
      <c r="BD250" s="697">
        <f>IF(AND($B250&gt;=$FL250,$B250&lt;=$FM250),MAX(AV250,Sheet1!EE250,0),MAX(AV250-(7/36)*$K250,0))</f>
        <v>2</v>
      </c>
      <c r="BE250" s="712">
        <f t="shared" si="760"/>
        <v>0</v>
      </c>
      <c r="BF250" s="697">
        <f t="shared" si="761"/>
        <v>0</v>
      </c>
      <c r="BG250" s="697">
        <f>IF(AND($O250&gt;0,Sheet1!EI250=1),(1-($O250-Sheet1!$L250)/$O250)*BB250,0)</f>
        <v>0</v>
      </c>
      <c r="BH250" s="697">
        <f>IF(AND(Sheet1!$L250=0,Sheet1!$L249=0, Calculation!BA250&lt;Sheet1!$EE250-0.1,Sheet1!$EE250=Sheet1!$EE249,Sheet1!$EE250=Sheet1!$EE251),Sheet1!$EE250,BB250-BG250)</f>
        <v>1.9444543509272467</v>
      </c>
      <c r="BI250" s="712"/>
      <c r="BJ250" s="712"/>
      <c r="BK250" s="712">
        <f t="shared" si="762"/>
        <v>572.6510993347855</v>
      </c>
      <c r="BL250" s="712"/>
      <c r="BM250" s="712">
        <f ca="1">IF(B250&gt;Summary!$A$1,#N/A,BK250*MGtoAF)</f>
        <v>1756.893572759122</v>
      </c>
      <c r="BN250" s="712">
        <f>Sheet1!BC250+Sheet1!BD250+Sheet1!BE250+Sheet1!BF250-BW250-BX250</f>
        <v>3.8899999999999997</v>
      </c>
      <c r="BO250" s="712">
        <f t="shared" si="763"/>
        <v>3.9191333808844506</v>
      </c>
      <c r="BP250" s="712">
        <f>IF(Sheet1!EM250="FM",BX250,0)</f>
        <v>0</v>
      </c>
      <c r="BQ250" s="712">
        <f t="shared" si="764"/>
        <v>0</v>
      </c>
      <c r="BR250" s="712">
        <f>IF(Sheet1!EM250="OTHER",BX250,0)</f>
        <v>0</v>
      </c>
      <c r="BS250" s="712">
        <f t="shared" si="765"/>
        <v>0</v>
      </c>
      <c r="BT250" s="712">
        <f t="shared" si="766"/>
        <v>0</v>
      </c>
      <c r="BU250" s="712">
        <f t="shared" si="767"/>
        <v>3.8899999999999997</v>
      </c>
      <c r="BV250" s="712">
        <f t="shared" si="768"/>
        <v>3.9191333808844506</v>
      </c>
      <c r="BW250" s="712">
        <f>IF(Sheet1!EM250="CWA",SUM(Sheet1!BC250:'Sheet1'!BF250),0)</f>
        <v>0</v>
      </c>
      <c r="BX250" s="712">
        <f>IF(OR(Sheet1!EM250="FM", Sheet1!EM250="OTHER"),SUM(Sheet1!BC250:'Sheet1'!BF250),0)</f>
        <v>0</v>
      </c>
      <c r="BY250" s="697">
        <f>IF(AND($B250&gt;=$FL250,$B250&lt;=$FM250),MAX(BV250,Sheet1!EF250,0),MAX(BV250-(7/36)*$K250,0))</f>
        <v>5.5</v>
      </c>
      <c r="BZ250" s="712">
        <f t="shared" si="769"/>
        <v>0</v>
      </c>
      <c r="CA250" s="697">
        <f t="shared" si="770"/>
        <v>0</v>
      </c>
      <c r="CB250" s="697">
        <f>IF(AND($O250&gt;0,Sheet1!EJ250=1),(1-($O250-Sheet1!$L250)/$O250)*BV250,0)</f>
        <v>0</v>
      </c>
      <c r="CC250" s="697">
        <f>IF(AND(Sheet1!$L250=0,Sheet1!$L249=0, Calculation!BU250&lt;Sheet1!EF250-0.1,Sheet1!EF250=Sheet1!EF249,Sheet1!EF250=Sheet1!EF251),Sheet1!EF250,BV250-CB250)</f>
        <v>5.5</v>
      </c>
      <c r="CD250" s="697"/>
      <c r="CE250" s="712"/>
      <c r="CF250" s="712">
        <f t="shared" si="771"/>
        <v>500.32242446599673</v>
      </c>
      <c r="CG250" s="712"/>
      <c r="CH250" s="712">
        <f ca="1">IF(B250&gt;Summary!$A$1,#N/A,CF250*MGtoAF)</f>
        <v>1534.989198261678</v>
      </c>
      <c r="CI250" s="712">
        <f>Sheet1!BK250+Sheet1!BL250+Sheet1!BM250-Sheet1!EN250-CQ250</f>
        <v>11.52</v>
      </c>
      <c r="CJ250" s="712">
        <f t="shared" si="772"/>
        <v>11.606276747503566</v>
      </c>
      <c r="CK250" s="712">
        <f>IF(Sheet1!EN250="FM",CQ250,0)</f>
        <v>0</v>
      </c>
      <c r="CL250" s="712">
        <f t="shared" si="773"/>
        <v>0</v>
      </c>
      <c r="CM250" s="712">
        <f>IF(Sheet1!EN250="OTHER",CQ250,0)</f>
        <v>0</v>
      </c>
      <c r="CN250" s="712">
        <f t="shared" si="774"/>
        <v>0</v>
      </c>
      <c r="CO250" s="712">
        <f t="shared" si="775"/>
        <v>11.52</v>
      </c>
      <c r="CP250" s="712">
        <f t="shared" si="776"/>
        <v>11.606276747503566</v>
      </c>
      <c r="CQ250" s="712">
        <f>IF(OR(Sheet1!EN250="FM", Sheet1!EN250="OTHER"),SUM(Sheet1!BK250:'Sheet1'!BM250),0)</f>
        <v>0</v>
      </c>
      <c r="CR250" s="697">
        <f>IF(AND($B250&gt;=$FL250,$B250&lt;=$FM250),MAX($CJ250,Sheet1!EG250,0),MAX($CJ250-(7/36)*$K250,0))</f>
        <v>12</v>
      </c>
      <c r="CS250" s="712">
        <f t="shared" si="777"/>
        <v>0</v>
      </c>
      <c r="CT250" s="697">
        <f t="shared" si="778"/>
        <v>0</v>
      </c>
      <c r="CU250" s="697">
        <f>IF(AND($O250&gt;0,Sheet1!EK250=1),(1-($O250-Sheet1!$L250)/$O250)*CP250,0)</f>
        <v>0</v>
      </c>
      <c r="CV250" s="697">
        <f>IF(AND(Sheet1!$L250=0,Sheet1!$L249=0, Calculation!CO250&lt;Sheet1!$EG250-0.1,Sheet1!$EG250=Sheet1!$EG249,Sheet1!$EG250=Sheet1!$EG251),Sheet1!$EG250,CP250-CU250)</f>
        <v>12</v>
      </c>
      <c r="CW250" s="874">
        <f t="shared" si="721"/>
        <v>-0.39372325249643403</v>
      </c>
      <c r="CX250" s="712">
        <f t="shared" si="779"/>
        <v>17.34</v>
      </c>
      <c r="CY250" s="712">
        <f t="shared" si="780"/>
        <v>330.3761607696382</v>
      </c>
      <c r="CZ250" s="712">
        <f t="shared" si="781"/>
        <v>17.469864479315262</v>
      </c>
      <c r="DA250" s="712">
        <f ca="1">IF(B250&gt;Summary!$A$1,#N/A,CY250*MGtoAF)</f>
        <v>1013.5940612412501</v>
      </c>
      <c r="DB250" s="712">
        <f t="shared" si="782"/>
        <v>17.34</v>
      </c>
      <c r="DC250" s="712">
        <f t="shared" si="783"/>
        <v>28.04</v>
      </c>
      <c r="DD250" s="712">
        <f>Sheet1!AB250-DC250</f>
        <v>0.21000000000000085</v>
      </c>
      <c r="DE250" s="712">
        <f t="shared" si="784"/>
        <v>7.4893009985734973E-3</v>
      </c>
      <c r="DF250" s="712">
        <f>(VLOOKUP(Sheet1!CY250,hhdcap_wcm,4)-(((VLOOKUP(Sheet1!CY250,hhdcap_wcm,3)-Sheet1!CY250)/(VLOOKUP(Sheet1!CY250,hhdcap_wcm,3)-VLOOKUP(Sheet1!CY250,hhdcap_wcm,1)))*(VLOOKUP(Sheet1!CY250,hhdcap_wcm,4)-VLOOKUP(Sheet1!CY250,hhdcap_wcm,2))))</f>
        <v>37384.500000091117</v>
      </c>
      <c r="DG250" s="712">
        <f t="shared" si="785"/>
        <v>-146.25</v>
      </c>
      <c r="DH250" s="712">
        <f t="shared" si="786"/>
        <v>-73.7518910741301</v>
      </c>
      <c r="DI250" s="712">
        <f>Sheet1!DW250*AFtoMG</f>
        <v>0</v>
      </c>
      <c r="DJ250" s="712">
        <f>Sheet1!DX250*AFtoMG</f>
        <v>0</v>
      </c>
      <c r="DK250" s="712">
        <f>Sheet1!DY250*AFtoMG</f>
        <v>0</v>
      </c>
      <c r="DL250" s="712">
        <f>Sheet1!DZ250*AFtoMG</f>
        <v>0</v>
      </c>
      <c r="DM250" s="712">
        <f t="shared" si="787"/>
        <v>0</v>
      </c>
      <c r="DN250" s="712">
        <f t="shared" si="788"/>
        <v>0</v>
      </c>
      <c r="DO250" s="712">
        <f t="shared" si="789"/>
        <v>2761.4548562349141</v>
      </c>
      <c r="DP250" s="712">
        <f t="shared" si="790"/>
        <v>8472.1434989287172</v>
      </c>
      <c r="DQ250" s="712"/>
      <c r="DR250" s="697">
        <f>IF(OR(B250&lt;FL250,B250&gt;FM250),(MIN(AV250+BO250+CJ250+MAX(Sheet1!AA250+AG250-73,0),K250)),0)</f>
        <v>0</v>
      </c>
      <c r="DS250" s="712"/>
      <c r="DT250" s="712">
        <f t="shared" si="791"/>
        <v>17.469864479315262</v>
      </c>
      <c r="DU250" s="712"/>
      <c r="DV250" s="712">
        <f>Sheet1!ED250+Sheet1!EE250+Sheet1!EF250+Sheet1!EG250</f>
        <v>19.5</v>
      </c>
      <c r="DW250" s="712"/>
      <c r="DX250" s="697">
        <f t="shared" si="792"/>
        <v>0</v>
      </c>
      <c r="DY250" s="712">
        <f>IF(Sheet1!FN250=1,SUM('Calculations II'!AT250:BA250)+'Calculations II'!BC250+Sheet1!BU250+'Calculations II'!BE250+AF250,SUM('Calculations II'!AT250:BA250)+'Calculations II'!BC250+Sheet1!BU250+'Calculations II'!BE250+AF250)</f>
        <v>67.914880000000011</v>
      </c>
      <c r="DZ250" s="712">
        <f>Sheet1!AA250+Sheet1!AB250+'Calculations II'!BC250</f>
        <v>82.253103999994181</v>
      </c>
      <c r="EA250" s="712"/>
      <c r="EB250" s="712"/>
      <c r="EC250" s="712">
        <f t="shared" si="793"/>
        <v>40779</v>
      </c>
      <c r="ED250" s="712">
        <f t="shared" si="794"/>
        <v>-19.5</v>
      </c>
      <c r="EE250" s="712">
        <f t="shared" si="795"/>
        <v>-30.166499999999999</v>
      </c>
      <c r="EF250" s="712">
        <f ca="1">IF(B250=TODAY(),0,-(VLOOKUP(Sheet1!BQ250,Lookup!$B$4:$J$236,2)-VLOOKUP(Sheet1!BQ249,Lookup!$B$4:$J$236,2))/1000000)</f>
        <v>2.4641999999999999</v>
      </c>
      <c r="EG250" s="712">
        <f ca="1">IF(B250=TODAY(),0,-(VLOOKUP(Sheet1!BR250,Lookup!$B$4:$J$236,3)-VLOOKUP(Sheet1!BR249,Lookup!$B$4:$J$236,3))/1000000)</f>
        <v>2.4605999999999999</v>
      </c>
      <c r="EH250" s="712">
        <f>-(VLOOKUP(Sheet1!BS250,Lookup!$B$4:$J$236,4)-VLOOKUP(Sheet1!BS249,Lookup!$B$4:$J$236,4))/1000000</f>
        <v>0</v>
      </c>
      <c r="EI250" s="697">
        <f t="shared" ref="EI250:EI313" ca="1" si="819">EH250+EG250+EF250</f>
        <v>4.9247999999999994</v>
      </c>
      <c r="EJ250" s="712"/>
      <c r="EK250" s="712"/>
      <c r="EL250" s="712"/>
      <c r="EM250" s="712"/>
      <c r="EN250" s="712"/>
      <c r="EO250" s="712"/>
      <c r="EP250" s="712"/>
      <c r="EQ250" s="712"/>
      <c r="ET250" s="794">
        <f t="shared" si="818"/>
        <v>1132.5</v>
      </c>
      <c r="EU250" s="697">
        <v>8785</v>
      </c>
      <c r="EV250" s="795">
        <f t="shared" si="734"/>
        <v>18907.356501162401</v>
      </c>
      <c r="EW250" s="796" t="s">
        <v>757</v>
      </c>
      <c r="EX250" s="796" t="s">
        <v>758</v>
      </c>
      <c r="EY250" s="712">
        <f t="shared" si="817"/>
        <v>0</v>
      </c>
      <c r="EZ250" s="798">
        <v>19461.200000044086</v>
      </c>
      <c r="FA250" s="712"/>
      <c r="FB250" s="712"/>
      <c r="FC250" s="712"/>
      <c r="FD250" s="712"/>
      <c r="FE250" s="712">
        <f>O250+Sheet1!CO250</f>
        <v>6394.7499999999945</v>
      </c>
      <c r="FF250" s="712">
        <f>IF(Sheet1!AA250+AG250&lt;=Calculation!N250,AG250,Calculation!N250-Sheet1!AA250)</f>
        <v>10.780135520684736</v>
      </c>
      <c r="FG250" s="712">
        <f>(Sheet1!BP250+Sheet1!BO250)/694.4</f>
        <v>4.5653801843317972</v>
      </c>
      <c r="FH250" s="712"/>
      <c r="FI250" s="712"/>
      <c r="FJ250" s="712"/>
      <c r="FK250" s="712"/>
      <c r="FL250" s="714">
        <f t="shared" si="726"/>
        <v>40753</v>
      </c>
      <c r="FM250" s="714">
        <f t="shared" si="727"/>
        <v>40851</v>
      </c>
      <c r="FN250" s="712"/>
      <c r="FO250" s="712"/>
      <c r="FP250" s="712"/>
      <c r="FQ250" s="712"/>
      <c r="FR250" s="712"/>
      <c r="FS250" s="725">
        <f t="shared" ref="FS250:FX265" si="820">FS249</f>
        <v>40603</v>
      </c>
      <c r="FT250" s="714">
        <f t="shared" si="729"/>
        <v>40709</v>
      </c>
      <c r="FU250" s="712">
        <f t="shared" si="820"/>
        <v>6518.9048239895692</v>
      </c>
      <c r="FV250" s="714">
        <f t="shared" si="730"/>
        <v>40722</v>
      </c>
      <c r="FW250" s="712">
        <f t="shared" si="820"/>
        <v>3259.4524119947846</v>
      </c>
      <c r="FX250" s="725">
        <f t="shared" si="820"/>
        <v>40851</v>
      </c>
      <c r="FZ250" s="697">
        <f t="shared" si="722"/>
        <v>0</v>
      </c>
      <c r="GA250" s="712" t="str">
        <f t="shared" si="797"/>
        <v/>
      </c>
      <c r="GB250" s="712">
        <f t="shared" si="798"/>
        <v>0</v>
      </c>
      <c r="GC250" s="712" t="str">
        <f t="shared" si="799"/>
        <v/>
      </c>
      <c r="GD250" s="712">
        <f>IF(GA250="P",Lookup!$M$12,IF(GA250="PP",Lookup!$M$13,IF(GA250="PPP",Lookup!$M$14,IF(GA250="T",Lookup!$M$15,IF(GA250="TP",Lookup!$M$16,IF(GA250="TPP",Lookup!$M$17,IF(GA250="TPPP",Lookup!$M$18,0)))))))*FZ250</f>
        <v>0</v>
      </c>
      <c r="GE250" s="712">
        <f t="shared" si="800"/>
        <v>0</v>
      </c>
      <c r="GF250" s="712">
        <f t="shared" si="801"/>
        <v>4166.6666666666661</v>
      </c>
      <c r="GG250" s="712">
        <f t="shared" si="802"/>
        <v>1358.1051716644936</v>
      </c>
      <c r="GH250" s="712"/>
      <c r="GI250" s="712">
        <f t="shared" si="803"/>
        <v>0</v>
      </c>
      <c r="GJ250" s="712" t="str">
        <f t="shared" si="804"/>
        <v/>
      </c>
      <c r="GK250" s="712">
        <f>IF(GA250="P",Lookup!$N$12,IF(GA250="PP",Lookup!$N$13,IF(GA250="PPP",Lookup!$N$14,IF(GA250="T",Lookup!$N$15,IF(GA250="TP",Lookup!$N$16,IF(GA250="TPP",Lookup!$N$17,IF(GA250="TPPP",Lookup!$N$18,0)))))))*FZ250</f>
        <v>0</v>
      </c>
      <c r="GL250" s="712">
        <f t="shared" si="805"/>
        <v>0</v>
      </c>
      <c r="GM250" s="712">
        <f t="shared" si="806"/>
        <v>1756.893572759122</v>
      </c>
      <c r="GN250" s="712">
        <f t="shared" si="807"/>
        <v>572.6510993347855</v>
      </c>
      <c r="GO250" s="712"/>
      <c r="GP250" s="712">
        <f t="shared" si="808"/>
        <v>0</v>
      </c>
      <c r="GQ250" s="712" t="str">
        <f t="shared" si="809"/>
        <v/>
      </c>
      <c r="GR250" s="712">
        <f>IF(GA250="P",Lookup!$N$12,IF(GA250="PP",Lookup!$N$13,IF(GA250="PPP",Lookup!$N$14,IF(GA250="T",Lookup!$N$15,IF(GA250="TP",Lookup!$N$16,IF(GA250="TPP",Lookup!$N$17,IF(GA250="TPPP",Lookup!$N$18,0)))))))*FZ250</f>
        <v>0</v>
      </c>
      <c r="GS250" s="697">
        <f t="shared" si="724"/>
        <v>0</v>
      </c>
      <c r="GT250" s="712">
        <f t="shared" si="810"/>
        <v>1534.989198261678</v>
      </c>
      <c r="GU250" s="712">
        <f t="shared" si="811"/>
        <v>500.32242446599673</v>
      </c>
      <c r="GV250" s="712"/>
      <c r="GW250" s="712">
        <f t="shared" si="812"/>
        <v>0</v>
      </c>
      <c r="GX250" s="712" t="str">
        <f t="shared" si="813"/>
        <v/>
      </c>
      <c r="GY250" s="712">
        <f>IF(GA250="P",Lookup!$N$12,IF(GA250="PP",Lookup!$N$13,IF(GA250="PPP",Lookup!$N$14,IF(GA250="T",Lookup!$N$15,IF(GA250="TP",Lookup!$N$16,IF(GA250="TPP",Lookup!$N$17,IF(GA250="TPPP",Lookup!$N$18,0)))))))*FZ250</f>
        <v>0</v>
      </c>
      <c r="GZ250" s="697">
        <f t="shared" si="725"/>
        <v>0</v>
      </c>
      <c r="HA250" s="712">
        <f t="shared" si="814"/>
        <v>1013.5940612412501</v>
      </c>
      <c r="HB250" s="712">
        <f t="shared" si="815"/>
        <v>330.3761607696382</v>
      </c>
      <c r="HC250" s="712"/>
    </row>
    <row r="251" spans="1:211">
      <c r="A251" s="773" t="s">
        <v>7</v>
      </c>
      <c r="B251" s="708">
        <v>40780</v>
      </c>
      <c r="C251" s="719">
        <v>0.5</v>
      </c>
      <c r="D251" s="675">
        <f t="shared" si="737"/>
        <v>200</v>
      </c>
      <c r="E251" s="675">
        <f t="shared" si="738"/>
        <v>400</v>
      </c>
      <c r="F251" s="675">
        <v>250</v>
      </c>
      <c r="G251" s="712">
        <f>DH251+Sheet1!CV251</f>
        <v>181.33131618748081</v>
      </c>
      <c r="H251" s="712">
        <f t="shared" si="739"/>
        <v>0</v>
      </c>
      <c r="I251" s="711">
        <f>MAX(Sheet1!Z251-AJ251+(Sheet1!CW251-E251)*CFStoMGD,0)</f>
        <v>0</v>
      </c>
      <c r="J251" s="720">
        <f>IF(AND(B251&gt;=Calculation!FS251,B251&lt;=Calculation!FT251),IF(Sheet1!CX251&gt;=Calculation!D251,64.64,0),MAX(Sheet1!Z251-AJ251+(Sheet1!CX251-D251)*CFStoMGD,0))</f>
        <v>0</v>
      </c>
      <c r="K251" s="697">
        <f t="shared" si="740"/>
        <v>0</v>
      </c>
      <c r="L251" s="712">
        <f>Sheet1!AA251+Sheet1!AB251-Sheet1!L251+(Sheet1!CW251-F251)*CFStoMGD</f>
        <v>110.09600000000756</v>
      </c>
      <c r="M251" s="712">
        <f t="shared" si="741"/>
        <v>119.55681403925935</v>
      </c>
      <c r="N251" s="712">
        <f>IF(Sheet1!CW251&gt;=F251,MIN(73,MIN(MAX(L251,0),MAX(M251,0))),0)</f>
        <v>73</v>
      </c>
      <c r="O251" s="721">
        <f>Sheet1!AA251+Sheet1!AB251</f>
        <v>78.180000000007567</v>
      </c>
      <c r="P251" s="721">
        <f t="shared" si="742"/>
        <v>120.9444600000117</v>
      </c>
      <c r="Q251" s="712">
        <f>MIN(N251,Sheet1!AA251+AG251)</f>
        <v>59.45482890950619</v>
      </c>
      <c r="R251" s="712">
        <f t="shared" si="743"/>
        <v>19.5</v>
      </c>
      <c r="S251" s="721">
        <f>Sheet1!Y251*MGDtoCFS</f>
        <v>73.080280000000002</v>
      </c>
      <c r="T251" s="721">
        <f>Sheet1!Z251*MGDtoCFS</f>
        <v>46.224359999999997</v>
      </c>
      <c r="U251" s="721">
        <f>Sheet1!AA251*MGDtoCFS</f>
        <v>72.941050000013504</v>
      </c>
      <c r="V251" s="721">
        <f>Sheet1!AB251*MGDtoCFS</f>
        <v>48.003409999998198</v>
      </c>
      <c r="W251" s="721">
        <f>Sheet1!L251*MGDtoCFS</f>
        <v>0</v>
      </c>
      <c r="X251" s="697">
        <f t="shared" si="744"/>
        <v>19.5</v>
      </c>
      <c r="Y251" s="712">
        <f t="shared" si="745"/>
        <v>30.166499999999999</v>
      </c>
      <c r="Z251" s="712">
        <f t="shared" si="746"/>
        <v>0</v>
      </c>
      <c r="AA251" s="712">
        <f t="shared" si="747"/>
        <v>0</v>
      </c>
      <c r="AB251" s="712">
        <f>(VLOOKUP(Sheet1!CY251,hhdcap_wcm,4)-(((VLOOKUP(Sheet1!CY251,hhdcap_wcm,3)-Sheet1!CY251)/(VLOOKUP(Sheet1!CY251,hhdcap_wcm,3)-VLOOKUP(Sheet1!CY251,hhdcap_wcm,1)))*(VLOOKUP(Sheet1!CY251,hhdcap_wcm,4)-VLOOKUP(Sheet1!CY251,hhdcap_wcm,2))))</f>
        <v>37228.500000090891</v>
      </c>
      <c r="AC251" s="712">
        <f t="shared" si="748"/>
        <v>-156.00000000022555</v>
      </c>
      <c r="AD251" s="712">
        <f t="shared" si="749"/>
        <v>2741.9548562349141</v>
      </c>
      <c r="AE251" s="712">
        <f t="shared" si="750"/>
        <v>8412.3174989287163</v>
      </c>
      <c r="AF251" s="712">
        <f>Sheet1!BA251+Sheet1!BB251+Sheet1!BN251+BT251</f>
        <v>12.4</v>
      </c>
      <c r="AG251" s="712">
        <f t="shared" si="751"/>
        <v>12.304828909497459</v>
      </c>
      <c r="AH251" s="712">
        <f>Sheet1!BA251+BT251</f>
        <v>0</v>
      </c>
      <c r="AI251" s="712">
        <f>Sheet1!BA251+Sheet1!BB251+BT251</f>
        <v>0</v>
      </c>
      <c r="AJ251" s="712">
        <f>IF((Sheet1!AA251+AG251+AX251+AZ251+BQ251+BS251+CL251+CN251)&lt;=N251,AG251+AX251+AZ251+BQ251+BS251+CL251+CN251,N251-Sheet1!AA251)</f>
        <v>12.304828909497459</v>
      </c>
      <c r="AK251" s="712">
        <f>IF(DR251&lt;K251,0,MAX(Sheet1!AA251+AG251-15/36*K251-N251,Sheet1!ED251,0))</f>
        <v>0</v>
      </c>
      <c r="AL251" s="712">
        <f>IF(OR(B251&gt;=FT251,B251&lt;FS251),0,15/36*K251-MAX(0,64.6-(137.6-(Sheet1!AA251+Sheet1!AB251))))</f>
        <v>0</v>
      </c>
      <c r="AM251" s="712">
        <f>Sheet1!CX251-110</f>
        <v>43.260416666666657</v>
      </c>
      <c r="AN251" s="712">
        <f>Sheet1!CW251-265</f>
        <v>34.375</v>
      </c>
      <c r="AO251" s="712">
        <f t="shared" si="733"/>
        <v>13.54517109049381</v>
      </c>
      <c r="AP251" s="712">
        <f t="shared" si="752"/>
        <v>0</v>
      </c>
      <c r="AQ251" s="712">
        <f t="shared" si="753"/>
        <v>0</v>
      </c>
      <c r="AR251" s="712">
        <f t="shared" si="754"/>
        <v>1358.1051716644936</v>
      </c>
      <c r="AS251" s="712"/>
      <c r="AT251" s="712">
        <f ca="1">IF(B251&gt;Summary!$A$1,#N/A,AR251*MGtoAF)</f>
        <v>4166.6666666666661</v>
      </c>
      <c r="AU251" s="712">
        <f>Sheet1!BG251+Sheet1!BH251+Sheet1!BI251-BC251</f>
        <v>1.98</v>
      </c>
      <c r="AV251" s="712">
        <f t="shared" si="755"/>
        <v>1.9648033258713684</v>
      </c>
      <c r="AW251" s="712">
        <f>IF(Sheet1!EL251="FM",BC251,0)</f>
        <v>0</v>
      </c>
      <c r="AX251" s="712">
        <f t="shared" si="756"/>
        <v>0</v>
      </c>
      <c r="AY251" s="712">
        <f>IF(Sheet1!EL251="OTHER",BC251,0)</f>
        <v>0</v>
      </c>
      <c r="AZ251" s="712">
        <f t="shared" si="757"/>
        <v>0</v>
      </c>
      <c r="BA251" s="712">
        <f t="shared" si="758"/>
        <v>1.98</v>
      </c>
      <c r="BB251" s="712">
        <f t="shared" si="759"/>
        <v>1.9648033258713684</v>
      </c>
      <c r="BC251" s="712">
        <f>IF(OR(Sheet1!EL251="FM", Sheet1!EL251="OTHER"),SUM(Sheet1!BG251:'Sheet1'!BI251),0)</f>
        <v>0</v>
      </c>
      <c r="BD251" s="697">
        <f>IF(AND($B251&gt;=$FL251,$B251&lt;=$FM251),MAX(AV251,Sheet1!EE251,0),MAX(AV251-(7/36)*$K251,0))</f>
        <v>2</v>
      </c>
      <c r="BE251" s="712">
        <f t="shared" si="760"/>
        <v>0</v>
      </c>
      <c r="BF251" s="697">
        <f t="shared" si="761"/>
        <v>0</v>
      </c>
      <c r="BG251" s="697">
        <f>IF(AND($O251&gt;0,Sheet1!EI251=1),(1-($O251-Sheet1!$L251)/$O251)*BB251,0)</f>
        <v>0</v>
      </c>
      <c r="BH251" s="697">
        <f>IF(AND(Sheet1!$L251=0,Sheet1!$L250=0, Calculation!BA251&lt;Sheet1!$EE251-0.1,Sheet1!$EE251=Sheet1!$EE250,Sheet1!$EE251=Sheet1!$EE252),Sheet1!$EE251,BB251-BG251)</f>
        <v>1.9648033258713684</v>
      </c>
      <c r="BI251" s="712"/>
      <c r="BJ251" s="712"/>
      <c r="BK251" s="712">
        <f t="shared" si="762"/>
        <v>570.6510993347855</v>
      </c>
      <c r="BL251" s="712"/>
      <c r="BM251" s="712">
        <f ca="1">IF(B251&gt;Summary!$A$1,#N/A,BK251*MGtoAF)</f>
        <v>1750.757572759122</v>
      </c>
      <c r="BN251" s="712">
        <f>Sheet1!BC251+Sheet1!BD251+Sheet1!BE251+Sheet1!BF251-BW251-BX251</f>
        <v>4.84</v>
      </c>
      <c r="BO251" s="712">
        <f t="shared" si="763"/>
        <v>4.8028525743522339</v>
      </c>
      <c r="BP251" s="712">
        <f>IF(Sheet1!EM251="FM",BX251,0)</f>
        <v>0</v>
      </c>
      <c r="BQ251" s="712">
        <f t="shared" si="764"/>
        <v>0</v>
      </c>
      <c r="BR251" s="712">
        <f>IF(Sheet1!EM251="OTHER",BX251,0)</f>
        <v>0</v>
      </c>
      <c r="BS251" s="712">
        <f t="shared" si="765"/>
        <v>0</v>
      </c>
      <c r="BT251" s="712">
        <f t="shared" si="766"/>
        <v>0</v>
      </c>
      <c r="BU251" s="712">
        <f t="shared" si="767"/>
        <v>4.84</v>
      </c>
      <c r="BV251" s="712">
        <f t="shared" si="768"/>
        <v>4.8028525743522339</v>
      </c>
      <c r="BW251" s="712">
        <f>IF(Sheet1!EM251="CWA",SUM(Sheet1!BC251:'Sheet1'!BF251),0)</f>
        <v>0</v>
      </c>
      <c r="BX251" s="712">
        <f>IF(OR(Sheet1!EM251="FM", Sheet1!EM251="OTHER"),SUM(Sheet1!BC251:'Sheet1'!BF251),0)</f>
        <v>0</v>
      </c>
      <c r="BY251" s="697">
        <f>IF(AND($B251&gt;=$FL251,$B251&lt;=$FM251),MAX(BV251,Sheet1!EF251,0),MAX(BV251-(7/36)*$K251,0))</f>
        <v>5.5</v>
      </c>
      <c r="BZ251" s="712">
        <f t="shared" si="769"/>
        <v>0</v>
      </c>
      <c r="CA251" s="697">
        <f t="shared" si="770"/>
        <v>0</v>
      </c>
      <c r="CB251" s="697">
        <f>IF(AND($O251&gt;0,Sheet1!EJ251=1),(1-($O251-Sheet1!$L251)/$O251)*BV251,0)</f>
        <v>0</v>
      </c>
      <c r="CC251" s="697">
        <f>IF(AND(Sheet1!$L251=0,Sheet1!$L250=0, Calculation!BU251&lt;Sheet1!EF251-0.1,Sheet1!EF251=Sheet1!EF250,Sheet1!EF251=Sheet1!EF252),Sheet1!EF251,BV251-CB251)</f>
        <v>4.8028525743522339</v>
      </c>
      <c r="CD251" s="697"/>
      <c r="CE251" s="712"/>
      <c r="CF251" s="712">
        <f t="shared" si="771"/>
        <v>494.82242446599673</v>
      </c>
      <c r="CG251" s="712"/>
      <c r="CH251" s="712">
        <f ca="1">IF(B251&gt;Summary!$A$1,#N/A,CF251*MGtoAF)</f>
        <v>1518.115198261678</v>
      </c>
      <c r="CI251" s="712">
        <f>Sheet1!BK251+Sheet1!BL251+Sheet1!BM251-Sheet1!EN251-CQ251</f>
        <v>12.05</v>
      </c>
      <c r="CJ251" s="712">
        <f t="shared" si="772"/>
        <v>11.957515190277773</v>
      </c>
      <c r="CK251" s="712">
        <f>IF(Sheet1!EN251="FM",CQ251,0)</f>
        <v>0</v>
      </c>
      <c r="CL251" s="712">
        <f t="shared" si="773"/>
        <v>0</v>
      </c>
      <c r="CM251" s="712">
        <f>IF(Sheet1!EN251="OTHER",CQ251,0)</f>
        <v>0</v>
      </c>
      <c r="CN251" s="712">
        <f t="shared" si="774"/>
        <v>0</v>
      </c>
      <c r="CO251" s="712">
        <f t="shared" si="775"/>
        <v>12.05</v>
      </c>
      <c r="CP251" s="712">
        <f t="shared" si="776"/>
        <v>11.957515190277773</v>
      </c>
      <c r="CQ251" s="712">
        <f>IF(OR(Sheet1!EN251="FM", Sheet1!EN251="OTHER"),SUM(Sheet1!BK251:'Sheet1'!BM251),0)</f>
        <v>0</v>
      </c>
      <c r="CR251" s="697">
        <f>IF(AND($B251&gt;=$FL251,$B251&lt;=$FM251),MAX($CJ251,Sheet1!EG251,0),MAX($CJ251-(7/36)*$K251,0))</f>
        <v>12</v>
      </c>
      <c r="CS251" s="712">
        <f t="shared" si="777"/>
        <v>0</v>
      </c>
      <c r="CT251" s="697">
        <f t="shared" si="778"/>
        <v>0</v>
      </c>
      <c r="CU251" s="697">
        <f>IF(AND($O251&gt;0,Sheet1!EK251=1),(1-($O251-Sheet1!$L251)/$O251)*CP251,0)</f>
        <v>0</v>
      </c>
      <c r="CV251" s="697">
        <f>IF(AND(Sheet1!$L251=0,Sheet1!$L250=0, Calculation!CO251&lt;Sheet1!$EG251-0.1,Sheet1!$EG251=Sheet1!$EG250,Sheet1!$EG251=Sheet1!$EG252),Sheet1!$EG251,CP251-CU251)</f>
        <v>11.957515190277773</v>
      </c>
      <c r="CW251" s="697">
        <f t="shared" si="721"/>
        <v>0</v>
      </c>
      <c r="CX251" s="712">
        <f t="shared" si="779"/>
        <v>18.87</v>
      </c>
      <c r="CY251" s="712">
        <f t="shared" si="780"/>
        <v>318.3761607696382</v>
      </c>
      <c r="CZ251" s="712">
        <f t="shared" si="781"/>
        <v>18.725171090501377</v>
      </c>
      <c r="DA251" s="712">
        <f ca="1">IF(B251&gt;Summary!$A$1,#N/A,CY251*MGtoAF)</f>
        <v>976.77806124125004</v>
      </c>
      <c r="DB251" s="712">
        <f t="shared" si="782"/>
        <v>18.87</v>
      </c>
      <c r="DC251" s="712">
        <f t="shared" si="783"/>
        <v>31.270000000000003</v>
      </c>
      <c r="DD251" s="712">
        <f>Sheet1!AB251-DC251</f>
        <v>-0.24000000000116728</v>
      </c>
      <c r="DE251" s="712">
        <f t="shared" si="784"/>
        <v>-7.6750879437533504E-3</v>
      </c>
      <c r="DF251" s="712">
        <f>(VLOOKUP(Sheet1!CY251,hhdcap_wcm,4)-(((VLOOKUP(Sheet1!CY251,hhdcap_wcm,3)-Sheet1!CY251)/(VLOOKUP(Sheet1!CY251,hhdcap_wcm,3)-VLOOKUP(Sheet1!CY251,hhdcap_wcm,1)))*(VLOOKUP(Sheet1!CY251,hhdcap_wcm,4)-VLOOKUP(Sheet1!CY251,hhdcap_wcm,2))))</f>
        <v>37228.500000090891</v>
      </c>
      <c r="DG251" s="712">
        <f t="shared" si="785"/>
        <v>-156.00000000022555</v>
      </c>
      <c r="DH251" s="712">
        <f t="shared" si="786"/>
        <v>-78.668683812519177</v>
      </c>
      <c r="DI251" s="712">
        <f>Sheet1!DW251*AFtoMG</f>
        <v>0</v>
      </c>
      <c r="DJ251" s="712">
        <f>Sheet1!DX251*AFtoMG</f>
        <v>0</v>
      </c>
      <c r="DK251" s="712">
        <f>Sheet1!DY251*AFtoMG</f>
        <v>0</v>
      </c>
      <c r="DL251" s="712">
        <f>Sheet1!DZ251*AFtoMG</f>
        <v>0</v>
      </c>
      <c r="DM251" s="712">
        <f t="shared" si="787"/>
        <v>0</v>
      </c>
      <c r="DN251" s="712">
        <f t="shared" si="788"/>
        <v>0</v>
      </c>
      <c r="DO251" s="712">
        <f t="shared" si="789"/>
        <v>2741.9548562349141</v>
      </c>
      <c r="DP251" s="712">
        <f t="shared" si="790"/>
        <v>8412.3174989287163</v>
      </c>
      <c r="DQ251" s="712"/>
      <c r="DR251" s="697">
        <f>IF(OR(B251&lt;FL251,B251&gt;FM251),(MIN(AV251+BO251+CJ251+MAX(Sheet1!AA251+AG251-73,0),K251)),0)</f>
        <v>0</v>
      </c>
      <c r="DS251" s="712"/>
      <c r="DT251" s="712">
        <f t="shared" si="791"/>
        <v>18.725171090501377</v>
      </c>
      <c r="DU251" s="712"/>
      <c r="DV251" s="712">
        <f>Sheet1!ED251+Sheet1!EE251+Sheet1!EF251+Sheet1!EG251</f>
        <v>19.5</v>
      </c>
      <c r="DW251" s="712"/>
      <c r="DX251" s="697">
        <f t="shared" si="792"/>
        <v>0</v>
      </c>
      <c r="DY251" s="712">
        <f>IF(Sheet1!FN251=1,SUM('Calculations II'!AT251:BA251)+'Calculations II'!BC251+Sheet1!BU251+'Calculations II'!BE251+AF251,SUM('Calculations II'!AT251:BA251)+'Calculations II'!BC251+Sheet1!BU251+'Calculations II'!BE251+AF251)</f>
        <v>71.310297599999998</v>
      </c>
      <c r="DZ251" s="712">
        <f>Sheet1!AA251+Sheet1!AB251+'Calculations II'!BC251</f>
        <v>87.284601600007562</v>
      </c>
      <c r="EA251" s="712"/>
      <c r="EB251" s="712"/>
      <c r="EC251" s="712">
        <f t="shared" si="793"/>
        <v>40780</v>
      </c>
      <c r="ED251" s="712">
        <f t="shared" si="794"/>
        <v>-19.5</v>
      </c>
      <c r="EE251" s="712">
        <f t="shared" si="795"/>
        <v>-30.166499999999999</v>
      </c>
      <c r="EF251" s="712">
        <f ca="1">IF(B251=TODAY(),0,-(VLOOKUP(Sheet1!BQ251,Lookup!$B$4:$J$236,2)-VLOOKUP(Sheet1!BQ250,Lookup!$B$4:$J$236,2))/1000000)</f>
        <v>2.1640000000000001</v>
      </c>
      <c r="EG251" s="712">
        <f ca="1">IF(B251=TODAY(),0,-(VLOOKUP(Sheet1!BR251,Lookup!$B$4:$J$236,3)-VLOOKUP(Sheet1!BR250,Lookup!$B$4:$J$236,3))/1000000)</f>
        <v>2.16</v>
      </c>
      <c r="EH251" s="712">
        <f>-(VLOOKUP(Sheet1!BS251,Lookup!$B$4:$J$236,4)-VLOOKUP(Sheet1!BS250,Lookup!$B$4:$J$236,4))/1000000</f>
        <v>0</v>
      </c>
      <c r="EI251" s="697">
        <f t="shared" ca="1" si="819"/>
        <v>4.3239999999999998</v>
      </c>
      <c r="EJ251" s="712"/>
      <c r="EK251" s="712"/>
      <c r="EL251" s="712"/>
      <c r="EM251" s="712"/>
      <c r="EN251" s="712"/>
      <c r="EO251" s="712"/>
      <c r="EP251" s="712"/>
      <c r="EQ251" s="712"/>
      <c r="ET251" s="794">
        <f t="shared" si="818"/>
        <v>1132.3</v>
      </c>
      <c r="EU251" s="697">
        <v>8785</v>
      </c>
      <c r="EV251" s="795">
        <f t="shared" si="734"/>
        <v>18811.182501162177</v>
      </c>
      <c r="EW251" s="796" t="s">
        <v>757</v>
      </c>
      <c r="EX251" s="796" t="s">
        <v>758</v>
      </c>
      <c r="EY251" s="712">
        <f t="shared" si="817"/>
        <v>0</v>
      </c>
      <c r="EZ251" s="798">
        <v>19340.400000043948</v>
      </c>
      <c r="FA251" s="712"/>
      <c r="FB251" s="712"/>
      <c r="FC251" s="712"/>
      <c r="FD251" s="712"/>
      <c r="FE251" s="712">
        <f>O251+Sheet1!CO251</f>
        <v>6400.8200000000079</v>
      </c>
      <c r="FF251" s="712">
        <f>IF(Sheet1!AA251+AG251&lt;=Calculation!N251,AG251,Calculation!N251-Sheet1!AA251)</f>
        <v>12.304828909497459</v>
      </c>
      <c r="FG251" s="712">
        <f>(Sheet1!BP251+Sheet1!BO251)/694.4</f>
        <v>4.0547235023041477</v>
      </c>
      <c r="FH251" s="712"/>
      <c r="FI251" s="712"/>
      <c r="FJ251" s="712"/>
      <c r="FK251" s="712"/>
      <c r="FL251" s="714">
        <f t="shared" si="726"/>
        <v>40753</v>
      </c>
      <c r="FM251" s="714">
        <f t="shared" si="727"/>
        <v>40851</v>
      </c>
      <c r="FN251" s="712"/>
      <c r="FO251" s="712"/>
      <c r="FP251" s="712"/>
      <c r="FQ251" s="712"/>
      <c r="FR251" s="712"/>
      <c r="FS251" s="725">
        <f t="shared" si="820"/>
        <v>40603</v>
      </c>
      <c r="FT251" s="714">
        <f t="shared" si="729"/>
        <v>40709</v>
      </c>
      <c r="FU251" s="712">
        <f t="shared" si="820"/>
        <v>6518.9048239895692</v>
      </c>
      <c r="FV251" s="714">
        <f t="shared" si="730"/>
        <v>40722</v>
      </c>
      <c r="FW251" s="712">
        <f t="shared" si="820"/>
        <v>3259.4524119947846</v>
      </c>
      <c r="FX251" s="725">
        <f t="shared" si="820"/>
        <v>40851</v>
      </c>
      <c r="FZ251" s="697">
        <f t="shared" si="722"/>
        <v>0</v>
      </c>
      <c r="GA251" s="712" t="str">
        <f t="shared" si="797"/>
        <v/>
      </c>
      <c r="GB251" s="712">
        <f t="shared" si="798"/>
        <v>0</v>
      </c>
      <c r="GC251" s="712" t="str">
        <f t="shared" si="799"/>
        <v/>
      </c>
      <c r="GD251" s="712">
        <f>IF(GA251="P",Lookup!$M$12,IF(GA251="PP",Lookup!$M$13,IF(GA251="PPP",Lookup!$M$14,IF(GA251="T",Lookup!$M$15,IF(GA251="TP",Lookup!$M$16,IF(GA251="TPP",Lookup!$M$17,IF(GA251="TPPP",Lookup!$M$18,0)))))))*FZ251</f>
        <v>0</v>
      </c>
      <c r="GE251" s="712">
        <f t="shared" si="800"/>
        <v>0</v>
      </c>
      <c r="GF251" s="712">
        <f t="shared" si="801"/>
        <v>4166.6666666666661</v>
      </c>
      <c r="GG251" s="712">
        <f t="shared" si="802"/>
        <v>1358.1051716644936</v>
      </c>
      <c r="GH251" s="712"/>
      <c r="GI251" s="712">
        <f t="shared" si="803"/>
        <v>0</v>
      </c>
      <c r="GJ251" s="712" t="str">
        <f t="shared" si="804"/>
        <v/>
      </c>
      <c r="GK251" s="712">
        <f>IF(GA251="P",Lookup!$N$12,IF(GA251="PP",Lookup!$N$13,IF(GA251="PPP",Lookup!$N$14,IF(GA251="T",Lookup!$N$15,IF(GA251="TP",Lookup!$N$16,IF(GA251="TPP",Lookup!$N$17,IF(GA251="TPPP",Lookup!$N$18,0)))))))*FZ251</f>
        <v>0</v>
      </c>
      <c r="GL251" s="712">
        <f t="shared" si="805"/>
        <v>0</v>
      </c>
      <c r="GM251" s="712">
        <f t="shared" si="806"/>
        <v>1750.757572759122</v>
      </c>
      <c r="GN251" s="712">
        <f t="shared" si="807"/>
        <v>570.6510993347855</v>
      </c>
      <c r="GO251" s="712"/>
      <c r="GP251" s="712">
        <f t="shared" si="808"/>
        <v>0</v>
      </c>
      <c r="GQ251" s="712" t="str">
        <f t="shared" si="809"/>
        <v/>
      </c>
      <c r="GR251" s="712">
        <f>IF(GA251="P",Lookup!$N$12,IF(GA251="PP",Lookup!$N$13,IF(GA251="PPP",Lookup!$N$14,IF(GA251="T",Lookup!$N$15,IF(GA251="TP",Lookup!$N$16,IF(GA251="TPP",Lookup!$N$17,IF(GA251="TPPP",Lookup!$N$18,0)))))))*FZ251</f>
        <v>0</v>
      </c>
      <c r="GS251" s="697">
        <f t="shared" si="724"/>
        <v>0</v>
      </c>
      <c r="GT251" s="712">
        <f t="shared" si="810"/>
        <v>1518.115198261678</v>
      </c>
      <c r="GU251" s="712">
        <f t="shared" si="811"/>
        <v>494.82242446599673</v>
      </c>
      <c r="GV251" s="712"/>
      <c r="GW251" s="712">
        <f t="shared" si="812"/>
        <v>0</v>
      </c>
      <c r="GX251" s="712" t="str">
        <f t="shared" si="813"/>
        <v/>
      </c>
      <c r="GY251" s="712">
        <f>IF(GA251="P",Lookup!$N$12,IF(GA251="PP",Lookup!$N$13,IF(GA251="PPP",Lookup!$N$14,IF(GA251="T",Lookup!$N$15,IF(GA251="TP",Lookup!$N$16,IF(GA251="TPP",Lookup!$N$17,IF(GA251="TPPP",Lookup!$N$18,0)))))))*FZ251</f>
        <v>0</v>
      </c>
      <c r="GZ251" s="697">
        <f t="shared" si="725"/>
        <v>0</v>
      </c>
      <c r="HA251" s="712">
        <f t="shared" si="814"/>
        <v>976.77806124125004</v>
      </c>
      <c r="HB251" s="712">
        <f t="shared" si="815"/>
        <v>318.3761607696382</v>
      </c>
      <c r="HC251" s="712"/>
    </row>
    <row r="252" spans="1:211">
      <c r="A252" s="773" t="s">
        <v>8</v>
      </c>
      <c r="B252" s="708">
        <v>40781</v>
      </c>
      <c r="C252" s="709">
        <v>0.5</v>
      </c>
      <c r="D252" s="675">
        <f t="shared" si="737"/>
        <v>200</v>
      </c>
      <c r="E252" s="675">
        <f t="shared" si="738"/>
        <v>400</v>
      </c>
      <c r="F252" s="675">
        <v>250</v>
      </c>
      <c r="G252" s="712">
        <f>DH252+Sheet1!CV252</f>
        <v>166.91439737760047</v>
      </c>
      <c r="H252" s="712">
        <f t="shared" si="739"/>
        <v>0</v>
      </c>
      <c r="I252" s="711">
        <f>MAX(Sheet1!Z252-AJ252+(Sheet1!CW252-E252)*CFStoMGD,0)</f>
        <v>0</v>
      </c>
      <c r="J252" s="720">
        <f>IF(AND(B252&gt;=Calculation!FS252,B252&lt;=Calculation!FT252),IF(Sheet1!CX252&gt;=Calculation!D252,64.64,0),MAX(Sheet1!Z252-AJ252+(Sheet1!CX252-D252)*CFStoMGD,0))</f>
        <v>0</v>
      </c>
      <c r="K252" s="697">
        <f t="shared" si="740"/>
        <v>0</v>
      </c>
      <c r="L252" s="712">
        <f>Sheet1!AA252+Sheet1!AB252-Sheet1!L252+(Sheet1!CW252-F252)*CFStoMGD</f>
        <v>106.81293333333888</v>
      </c>
      <c r="M252" s="712">
        <f t="shared" si="741"/>
        <v>110.05133579417857</v>
      </c>
      <c r="N252" s="712">
        <f>IF(Sheet1!CW252&gt;=F252,MIN(73,MIN(MAX(L252,0),MAX(M252,0))),0)</f>
        <v>73</v>
      </c>
      <c r="O252" s="721">
        <f>Sheet1!AA252+Sheet1!AB252</f>
        <v>79.92000000000553</v>
      </c>
      <c r="P252" s="721">
        <f t="shared" si="742"/>
        <v>123.63624000000856</v>
      </c>
      <c r="Q252" s="712">
        <f>MIN(N252,Sheet1!AA252+AG252)</f>
        <v>60.977966101698939</v>
      </c>
      <c r="R252" s="712">
        <f t="shared" si="743"/>
        <v>19</v>
      </c>
      <c r="S252" s="721">
        <f>Sheet1!Y252*MGDtoCFS</f>
        <v>73.85378</v>
      </c>
      <c r="T252" s="721">
        <f>Sheet1!Z252*MGDtoCFS</f>
        <v>51.12834999999999</v>
      </c>
      <c r="U252" s="721">
        <f>Sheet1!AA252*MGDtoCFS</f>
        <v>72.786350000004504</v>
      </c>
      <c r="V252" s="721">
        <f>Sheet1!AB252*MGDtoCFS</f>
        <v>50.849890000004052</v>
      </c>
      <c r="W252" s="721">
        <f>Sheet1!L252*MGDtoCFS</f>
        <v>0</v>
      </c>
      <c r="X252" s="697">
        <f t="shared" si="744"/>
        <v>19</v>
      </c>
      <c r="Y252" s="712">
        <f t="shared" si="745"/>
        <v>29.392999999999997</v>
      </c>
      <c r="Z252" s="712">
        <f t="shared" si="746"/>
        <v>0</v>
      </c>
      <c r="AA252" s="712">
        <f t="shared" si="747"/>
        <v>0</v>
      </c>
      <c r="AB252" s="712">
        <f>(VLOOKUP(Sheet1!CY252,hhdcap_wcm,4)-(((VLOOKUP(Sheet1!CY252,hhdcap_wcm,3)-Sheet1!CY252)/(VLOOKUP(Sheet1!CY252,hhdcap_wcm,3)-VLOOKUP(Sheet1!CY252,hhdcap_wcm,1)))*(VLOOKUP(Sheet1!CY252,hhdcap_wcm,4)-VLOOKUP(Sheet1!CY252,hhdcap_wcm,2))))</f>
        <v>37053.000000090673</v>
      </c>
      <c r="AC252" s="712">
        <f t="shared" si="748"/>
        <v>-175.50000000021828</v>
      </c>
      <c r="AD252" s="712">
        <f t="shared" si="749"/>
        <v>2722.9548562349141</v>
      </c>
      <c r="AE252" s="712">
        <f t="shared" si="750"/>
        <v>8354.0254989287168</v>
      </c>
      <c r="AF252" s="712">
        <f>Sheet1!BA252+Sheet1!BB252+Sheet1!BN252+BT252</f>
        <v>14</v>
      </c>
      <c r="AG252" s="712">
        <f t="shared" si="751"/>
        <v>13.927966101696025</v>
      </c>
      <c r="AH252" s="712">
        <f>Sheet1!BA252+BT252</f>
        <v>0</v>
      </c>
      <c r="AI252" s="712">
        <f>Sheet1!BA252+Sheet1!BB252+BT252</f>
        <v>0</v>
      </c>
      <c r="AJ252" s="712">
        <f>IF((Sheet1!AA252+AG252+AX252+AZ252+BQ252+BS252+CL252+CN252)&lt;=N252,AG252+AX252+AZ252+BQ252+BS252+CL252+CN252,N252-Sheet1!AA252)</f>
        <v>13.927966101696025</v>
      </c>
      <c r="AK252" s="712">
        <f>IF(DR252&lt;K252,0,MAX(Sheet1!AA252+AG252-15/36*K252-N252,Sheet1!ED252,0))</f>
        <v>0</v>
      </c>
      <c r="AL252" s="712">
        <f>IF(OR(B252&gt;=FT252,B252&lt;FS252),0,15/36*K252-MAX(0,64.6-(137.6-(Sheet1!AA252+Sheet1!AB252))))</f>
        <v>0</v>
      </c>
      <c r="AM252" s="712">
        <f>Sheet1!CX252-110</f>
        <v>36.229166666666657</v>
      </c>
      <c r="AN252" s="712">
        <f>Sheet1!CW252-265</f>
        <v>26.604166666666686</v>
      </c>
      <c r="AO252" s="712">
        <f t="shared" si="733"/>
        <v>12.022033898301061</v>
      </c>
      <c r="AP252" s="712">
        <f t="shared" si="752"/>
        <v>0</v>
      </c>
      <c r="AQ252" s="712">
        <f t="shared" si="753"/>
        <v>0</v>
      </c>
      <c r="AR252" s="712">
        <f t="shared" si="754"/>
        <v>1358.1051716644936</v>
      </c>
      <c r="AS252" s="712"/>
      <c r="AT252" s="712">
        <f ca="1">IF(B252&gt;Summary!$A$1,#N/A,AR252*MGtoAF)</f>
        <v>4166.6666666666661</v>
      </c>
      <c r="AU252" s="712">
        <f>Sheet1!BG252+Sheet1!BH252+Sheet1!BI252-BC252</f>
        <v>1.99</v>
      </c>
      <c r="AV252" s="712">
        <f t="shared" si="755"/>
        <v>1.979760895883935</v>
      </c>
      <c r="AW252" s="712">
        <f>IF(Sheet1!EL252="FM",BC252,0)</f>
        <v>0</v>
      </c>
      <c r="AX252" s="712">
        <f t="shared" si="756"/>
        <v>0</v>
      </c>
      <c r="AY252" s="712">
        <f>IF(Sheet1!EL252="OTHER",BC252,0)</f>
        <v>0</v>
      </c>
      <c r="AZ252" s="712">
        <f t="shared" si="757"/>
        <v>0</v>
      </c>
      <c r="BA252" s="712">
        <f t="shared" si="758"/>
        <v>1.99</v>
      </c>
      <c r="BB252" s="712">
        <f t="shared" si="759"/>
        <v>1.979760895883935</v>
      </c>
      <c r="BC252" s="712">
        <f>IF(OR(Sheet1!EL252="FM", Sheet1!EL252="OTHER"),SUM(Sheet1!BG252:'Sheet1'!BI252),0)</f>
        <v>0</v>
      </c>
      <c r="BD252" s="697">
        <f>IF(AND($B252&gt;=$FL252,$B252&lt;=$FM252),MAX(AV252,Sheet1!EE252,0),MAX(AV252-(7/36)*$K252,0))</f>
        <v>2</v>
      </c>
      <c r="BE252" s="712">
        <f t="shared" si="760"/>
        <v>0</v>
      </c>
      <c r="BF252" s="697">
        <f t="shared" si="761"/>
        <v>0</v>
      </c>
      <c r="BG252" s="697">
        <f>IF(AND($O252&gt;0,Sheet1!EI252=1),(1-($O252-Sheet1!$L252)/$O252)*BB252,0)</f>
        <v>0</v>
      </c>
      <c r="BH252" s="697">
        <f>IF(AND(Sheet1!$L252=0,Sheet1!$L251=0, Calculation!BA252&lt;Sheet1!$EE252-0.1,Sheet1!$EE252=Sheet1!$EE251,Sheet1!$EE252=Sheet1!$EE253),Sheet1!$EE252,BB252-BG252)</f>
        <v>1.979760895883935</v>
      </c>
      <c r="BI252" s="712"/>
      <c r="BJ252" s="712"/>
      <c r="BK252" s="712">
        <f t="shared" si="762"/>
        <v>568.6510993347855</v>
      </c>
      <c r="BL252" s="712"/>
      <c r="BM252" s="712">
        <f ca="1">IF(B252&gt;Summary!$A$1,#N/A,BK252*MGtoAF)</f>
        <v>1744.621572759122</v>
      </c>
      <c r="BN252" s="712">
        <f>Sheet1!BC252+Sheet1!BD252+Sheet1!BE252+Sheet1!BF252-BW252-BX252</f>
        <v>5</v>
      </c>
      <c r="BO252" s="712">
        <f t="shared" si="763"/>
        <v>4.9742736077485805</v>
      </c>
      <c r="BP252" s="712">
        <f>IF(Sheet1!EM252="FM",BX252,0)</f>
        <v>0</v>
      </c>
      <c r="BQ252" s="712">
        <f t="shared" si="764"/>
        <v>0</v>
      </c>
      <c r="BR252" s="712">
        <f>IF(Sheet1!EM252="OTHER",BX252,0)</f>
        <v>0</v>
      </c>
      <c r="BS252" s="712">
        <f t="shared" si="765"/>
        <v>0</v>
      </c>
      <c r="BT252" s="712">
        <f t="shared" si="766"/>
        <v>0</v>
      </c>
      <c r="BU252" s="712">
        <f t="shared" si="767"/>
        <v>5</v>
      </c>
      <c r="BV252" s="712">
        <f t="shared" si="768"/>
        <v>4.9742736077485805</v>
      </c>
      <c r="BW252" s="712">
        <f>IF(Sheet1!EM252="CWA",SUM(Sheet1!BC252:'Sheet1'!BF252),0)</f>
        <v>0</v>
      </c>
      <c r="BX252" s="712">
        <f>IF(OR(Sheet1!EM252="FM", Sheet1!EM252="OTHER"),SUM(Sheet1!BC252:'Sheet1'!BF252),0)</f>
        <v>0</v>
      </c>
      <c r="BY252" s="697">
        <f>IF(AND($B252&gt;=$FL252,$B252&lt;=$FM252),MAX(BV252,Sheet1!EF252,0),MAX(BV252-(7/36)*$K252,0))</f>
        <v>5</v>
      </c>
      <c r="BZ252" s="712">
        <f t="shared" si="769"/>
        <v>0</v>
      </c>
      <c r="CA252" s="697">
        <f t="shared" si="770"/>
        <v>0</v>
      </c>
      <c r="CB252" s="697">
        <f>IF(AND($O252&gt;0,Sheet1!EJ252=1),(1-($O252-Sheet1!$L252)/$O252)*BV252,0)</f>
        <v>0</v>
      </c>
      <c r="CC252" s="697">
        <f>IF(AND(Sheet1!$L252=0,Sheet1!$L251=0, Calculation!BU252&lt;Sheet1!EF252-0.1,Sheet1!EF252=Sheet1!EF251,Sheet1!EF252=Sheet1!EF253),Sheet1!EF252,BV252-CB252)</f>
        <v>4.9742736077485805</v>
      </c>
      <c r="CD252" s="697"/>
      <c r="CE252" s="712"/>
      <c r="CF252" s="712">
        <f t="shared" si="771"/>
        <v>489.82242446599673</v>
      </c>
      <c r="CG252" s="712"/>
      <c r="CH252" s="712">
        <f ca="1">IF(B252&gt;Summary!$A$1,#N/A,CF252*MGtoAF)</f>
        <v>1502.775198261678</v>
      </c>
      <c r="CI252" s="712">
        <f>Sheet1!BK252+Sheet1!BL252+Sheet1!BM252-Sheet1!EN252-CQ252</f>
        <v>12.05</v>
      </c>
      <c r="CJ252" s="712">
        <f t="shared" si="772"/>
        <v>11.98799939467408</v>
      </c>
      <c r="CK252" s="712">
        <f>IF(Sheet1!EN252="FM",CQ252,0)</f>
        <v>0</v>
      </c>
      <c r="CL252" s="712">
        <f t="shared" si="773"/>
        <v>0</v>
      </c>
      <c r="CM252" s="712">
        <f>IF(Sheet1!EN252="OTHER",CQ252,0)</f>
        <v>0</v>
      </c>
      <c r="CN252" s="712">
        <f t="shared" si="774"/>
        <v>0</v>
      </c>
      <c r="CO252" s="712">
        <f t="shared" si="775"/>
        <v>12.05</v>
      </c>
      <c r="CP252" s="712">
        <f t="shared" si="776"/>
        <v>11.98799939467408</v>
      </c>
      <c r="CQ252" s="712">
        <f>IF(OR(Sheet1!EN252="FM", Sheet1!EN252="OTHER"),SUM(Sheet1!BK252:'Sheet1'!BM252),0)</f>
        <v>0</v>
      </c>
      <c r="CR252" s="697">
        <f>IF(AND($B252&gt;=$FL252,$B252&lt;=$FM252),MAX($CJ252,Sheet1!EG252,0),MAX($CJ252-(7/36)*$K252,0))</f>
        <v>12</v>
      </c>
      <c r="CS252" s="712">
        <f t="shared" si="777"/>
        <v>0</v>
      </c>
      <c r="CT252" s="697">
        <f t="shared" si="778"/>
        <v>0</v>
      </c>
      <c r="CU252" s="697">
        <f>IF(AND($O252&gt;0,Sheet1!EK252=1),(1-($O252-Sheet1!$L252)/$O252)*CP252,0)</f>
        <v>0</v>
      </c>
      <c r="CV252" s="697">
        <f>IF(AND(Sheet1!$L252=0,Sheet1!$L251=0, Calculation!CO252&lt;Sheet1!$EG252-0.1,Sheet1!$EG252=Sheet1!$EG251,Sheet1!$EG252=Sheet1!$EG253),Sheet1!$EG252,CP252-CU252)</f>
        <v>11.98799939467408</v>
      </c>
      <c r="CW252" s="697">
        <f t="shared" si="721"/>
        <v>0</v>
      </c>
      <c r="CX252" s="712">
        <f t="shared" si="779"/>
        <v>19.04</v>
      </c>
      <c r="CY252" s="712">
        <f t="shared" si="780"/>
        <v>306.3761607696382</v>
      </c>
      <c r="CZ252" s="712">
        <f t="shared" si="781"/>
        <v>18.942033898306597</v>
      </c>
      <c r="DA252" s="712">
        <f ca="1">IF(B252&gt;Summary!$A$1,#N/A,CY252*MGtoAF)</f>
        <v>939.96206124125001</v>
      </c>
      <c r="DB252" s="712">
        <f t="shared" si="782"/>
        <v>19.04</v>
      </c>
      <c r="DC252" s="712">
        <f t="shared" si="783"/>
        <v>33.04</v>
      </c>
      <c r="DD252" s="712">
        <f>Sheet1!AB252-DC252</f>
        <v>-0.1699999999973798</v>
      </c>
      <c r="DE252" s="712">
        <f t="shared" si="784"/>
        <v>-5.1452784502838923E-3</v>
      </c>
      <c r="DF252" s="712">
        <f>(VLOOKUP(Sheet1!CY252,hhdcap_wcm,4)-(((VLOOKUP(Sheet1!CY252,hhdcap_wcm,3)-Sheet1!CY252)/(VLOOKUP(Sheet1!CY252,hhdcap_wcm,3)-VLOOKUP(Sheet1!CY252,hhdcap_wcm,1)))*(VLOOKUP(Sheet1!CY252,hhdcap_wcm,4)-VLOOKUP(Sheet1!CY252,hhdcap_wcm,2))))</f>
        <v>37053.000000090673</v>
      </c>
      <c r="DG252" s="712">
        <f t="shared" si="785"/>
        <v>-175.50000000021828</v>
      </c>
      <c r="DH252" s="712">
        <f t="shared" si="786"/>
        <v>-88.502269289066192</v>
      </c>
      <c r="DI252" s="712">
        <f>Sheet1!DW252*AFtoMG</f>
        <v>0</v>
      </c>
      <c r="DJ252" s="712">
        <f>Sheet1!DX252*AFtoMG</f>
        <v>0</v>
      </c>
      <c r="DK252" s="712">
        <f>Sheet1!DY252*AFtoMG</f>
        <v>0</v>
      </c>
      <c r="DL252" s="712">
        <f>Sheet1!DZ252*AFtoMG</f>
        <v>0</v>
      </c>
      <c r="DM252" s="712">
        <f t="shared" si="787"/>
        <v>0</v>
      </c>
      <c r="DN252" s="712">
        <f t="shared" si="788"/>
        <v>0</v>
      </c>
      <c r="DO252" s="712">
        <f t="shared" si="789"/>
        <v>2722.9548562349141</v>
      </c>
      <c r="DP252" s="712">
        <f t="shared" si="790"/>
        <v>8354.0254989287168</v>
      </c>
      <c r="DQ252" s="712"/>
      <c r="DR252" s="697">
        <f>IF(OR(B252&lt;FL252,B252&gt;FM252),(MIN(AV252+BO252+CJ252+MAX(Sheet1!AA252+AG252-73,0),K252)),0)</f>
        <v>0</v>
      </c>
      <c r="DS252" s="712"/>
      <c r="DT252" s="712">
        <f t="shared" si="791"/>
        <v>18.942033898306597</v>
      </c>
      <c r="DU252" s="712"/>
      <c r="DV252" s="712">
        <f>Sheet1!ED252+Sheet1!EE252+Sheet1!EF252+Sheet1!EG252</f>
        <v>19</v>
      </c>
      <c r="DW252" s="712"/>
      <c r="DX252" s="697">
        <f t="shared" si="792"/>
        <v>0</v>
      </c>
      <c r="DY252" s="712">
        <f>IF(Sheet1!FN252=1,SUM('Calculations II'!AT252:BA252)+'Calculations II'!BC252+Sheet1!BU252+'Calculations II'!BE252+AF252,SUM('Calculations II'!AT252:BA252)+'Calculations II'!BC252+Sheet1!BU252+'Calculations II'!BE252+AF252)</f>
        <v>70.461078399999991</v>
      </c>
      <c r="DZ252" s="712">
        <f>Sheet1!AA252+Sheet1!AB252+'Calculations II'!BC252</f>
        <v>88.990790400005523</v>
      </c>
      <c r="EA252" s="712"/>
      <c r="EB252" s="712"/>
      <c r="EC252" s="712">
        <f t="shared" si="793"/>
        <v>40781</v>
      </c>
      <c r="ED252" s="712">
        <f t="shared" si="794"/>
        <v>-19</v>
      </c>
      <c r="EE252" s="712">
        <f t="shared" si="795"/>
        <v>-29.392999999999997</v>
      </c>
      <c r="EF252" s="712">
        <f ca="1">IF(B252=TODAY(),0,-(VLOOKUP(Sheet1!BQ252,Lookup!$B$4:$J$236,2)-VLOOKUP(Sheet1!BQ251,Lookup!$B$4:$J$236,2))/1000000)</f>
        <v>0.80810000000000004</v>
      </c>
      <c r="EG252" s="712">
        <f ca="1">IF(B252=TODAY(),0,-(VLOOKUP(Sheet1!BR252,Lookup!$B$4:$J$236,3)-VLOOKUP(Sheet1!BR251,Lookup!$B$4:$J$236,3))/1000000)</f>
        <v>0.80659999999999998</v>
      </c>
      <c r="EH252" s="712">
        <f>-(VLOOKUP(Sheet1!BS252,Lookup!$B$4:$J$236,4)-VLOOKUP(Sheet1!BS251,Lookup!$B$4:$J$236,4))/1000000</f>
        <v>0</v>
      </c>
      <c r="EI252" s="697">
        <f t="shared" ca="1" si="819"/>
        <v>1.6147</v>
      </c>
      <c r="EJ252" s="712"/>
      <c r="EK252" s="712"/>
      <c r="EL252" s="712"/>
      <c r="EM252" s="712"/>
      <c r="EN252" s="712"/>
      <c r="EO252" s="712"/>
      <c r="EP252" s="712"/>
      <c r="EQ252" s="712"/>
      <c r="ET252" s="794">
        <f t="shared" si="818"/>
        <v>1132.0999999999999</v>
      </c>
      <c r="EU252" s="697">
        <v>8785</v>
      </c>
      <c r="EV252" s="795">
        <f t="shared" si="734"/>
        <v>18693.974501161956</v>
      </c>
      <c r="EW252" s="796" t="s">
        <v>757</v>
      </c>
      <c r="EX252" s="796" t="s">
        <v>758</v>
      </c>
      <c r="EY252" s="712">
        <f t="shared" si="817"/>
        <v>0</v>
      </c>
      <c r="EZ252" s="798">
        <v>19221.500000042564</v>
      </c>
      <c r="FA252" s="712"/>
      <c r="FB252" s="712"/>
      <c r="FC252" s="712"/>
      <c r="FD252" s="712"/>
      <c r="FE252" s="712">
        <f>O252+Sheet1!CO252</f>
        <v>6379.0800000000054</v>
      </c>
      <c r="FF252" s="712">
        <f>IF(Sheet1!AA252+AG252&lt;=Calculation!N252,AG252,Calculation!N252-Sheet1!AA252)</f>
        <v>13.927966101696025</v>
      </c>
      <c r="FG252" s="712">
        <f>(Sheet1!BP252+Sheet1!BO252)/694.4</f>
        <v>5.0565956221198158</v>
      </c>
      <c r="FH252" s="712"/>
      <c r="FI252" s="712"/>
      <c r="FJ252" s="712"/>
      <c r="FK252" s="712"/>
      <c r="FL252" s="714">
        <f t="shared" si="726"/>
        <v>40753</v>
      </c>
      <c r="FM252" s="714">
        <f t="shared" si="727"/>
        <v>40851</v>
      </c>
      <c r="FN252" s="712"/>
      <c r="FO252" s="712"/>
      <c r="FP252" s="712"/>
      <c r="FQ252" s="712"/>
      <c r="FR252" s="712"/>
      <c r="FS252" s="725">
        <f t="shared" si="820"/>
        <v>40603</v>
      </c>
      <c r="FT252" s="714">
        <f t="shared" si="729"/>
        <v>40709</v>
      </c>
      <c r="FU252" s="712">
        <f t="shared" si="820"/>
        <v>6518.9048239895692</v>
      </c>
      <c r="FV252" s="714">
        <f t="shared" si="730"/>
        <v>40722</v>
      </c>
      <c r="FW252" s="712">
        <f t="shared" si="820"/>
        <v>3259.4524119947846</v>
      </c>
      <c r="FX252" s="725">
        <f t="shared" si="820"/>
        <v>40851</v>
      </c>
      <c r="FZ252" s="697">
        <f t="shared" si="722"/>
        <v>0</v>
      </c>
      <c r="GA252" s="712" t="str">
        <f t="shared" si="797"/>
        <v/>
      </c>
      <c r="GB252" s="712">
        <f t="shared" si="798"/>
        <v>0</v>
      </c>
      <c r="GC252" s="712" t="str">
        <f t="shared" si="799"/>
        <v/>
      </c>
      <c r="GD252" s="712">
        <f>IF(GA252="P",Lookup!$M$12,IF(GA252="PP",Lookup!$M$13,IF(GA252="PPP",Lookup!$M$14,IF(GA252="T",Lookup!$M$15,IF(GA252="TP",Lookup!$M$16,IF(GA252="TPP",Lookup!$M$17,IF(GA252="TPPP",Lookup!$M$18,0)))))))*FZ252</f>
        <v>0</v>
      </c>
      <c r="GE252" s="712">
        <f t="shared" si="800"/>
        <v>0</v>
      </c>
      <c r="GF252" s="712">
        <f t="shared" si="801"/>
        <v>4166.6666666666661</v>
      </c>
      <c r="GG252" s="712">
        <f t="shared" si="802"/>
        <v>1358.1051716644936</v>
      </c>
      <c r="GH252" s="712"/>
      <c r="GI252" s="712">
        <f t="shared" si="803"/>
        <v>0</v>
      </c>
      <c r="GJ252" s="712" t="str">
        <f t="shared" si="804"/>
        <v/>
      </c>
      <c r="GK252" s="712">
        <f>IF(GA252="P",Lookup!$N$12,IF(GA252="PP",Lookup!$N$13,IF(GA252="PPP",Lookup!$N$14,IF(GA252="T",Lookup!$N$15,IF(GA252="TP",Lookup!$N$16,IF(GA252="TPP",Lookup!$N$17,IF(GA252="TPPP",Lookup!$N$18,0)))))))*FZ252</f>
        <v>0</v>
      </c>
      <c r="GL252" s="712">
        <f t="shared" si="805"/>
        <v>0</v>
      </c>
      <c r="GM252" s="712">
        <f t="shared" si="806"/>
        <v>1744.621572759122</v>
      </c>
      <c r="GN252" s="712">
        <f t="shared" si="807"/>
        <v>568.6510993347855</v>
      </c>
      <c r="GO252" s="712"/>
      <c r="GP252" s="712">
        <f t="shared" si="808"/>
        <v>0</v>
      </c>
      <c r="GQ252" s="712" t="str">
        <f t="shared" si="809"/>
        <v/>
      </c>
      <c r="GR252" s="712">
        <f>IF(GA252="P",Lookup!$N$12,IF(GA252="PP",Lookup!$N$13,IF(GA252="PPP",Lookup!$N$14,IF(GA252="T",Lookup!$N$15,IF(GA252="TP",Lookup!$N$16,IF(GA252="TPP",Lookup!$N$17,IF(GA252="TPPP",Lookup!$N$18,0)))))))*FZ252</f>
        <v>0</v>
      </c>
      <c r="GS252" s="697">
        <f t="shared" si="724"/>
        <v>0</v>
      </c>
      <c r="GT252" s="712">
        <f t="shared" si="810"/>
        <v>1502.775198261678</v>
      </c>
      <c r="GU252" s="712">
        <f t="shared" si="811"/>
        <v>489.82242446599673</v>
      </c>
      <c r="GV252" s="712"/>
      <c r="GW252" s="712">
        <f t="shared" si="812"/>
        <v>0</v>
      </c>
      <c r="GX252" s="712" t="str">
        <f t="shared" si="813"/>
        <v/>
      </c>
      <c r="GY252" s="712">
        <f>IF(GA252="P",Lookup!$N$12,IF(GA252="PP",Lookup!$N$13,IF(GA252="PPP",Lookup!$N$14,IF(GA252="T",Lookup!$N$15,IF(GA252="TP",Lookup!$N$16,IF(GA252="TPP",Lookup!$N$17,IF(GA252="TPPP",Lookup!$N$18,0)))))))*FZ252</f>
        <v>0</v>
      </c>
      <c r="GZ252" s="697">
        <f t="shared" si="725"/>
        <v>0</v>
      </c>
      <c r="HA252" s="712">
        <f t="shared" si="814"/>
        <v>939.96206124125001</v>
      </c>
      <c r="HB252" s="712">
        <f t="shared" si="815"/>
        <v>306.3761607696382</v>
      </c>
      <c r="HC252" s="712"/>
    </row>
    <row r="253" spans="1:211">
      <c r="A253" s="773" t="s">
        <v>9</v>
      </c>
      <c r="B253" s="708">
        <v>40782</v>
      </c>
      <c r="C253" s="719">
        <v>0.5</v>
      </c>
      <c r="D253" s="675">
        <f t="shared" si="737"/>
        <v>200</v>
      </c>
      <c r="E253" s="675">
        <f t="shared" si="738"/>
        <v>400</v>
      </c>
      <c r="F253" s="675">
        <v>250</v>
      </c>
      <c r="G253" s="712">
        <f>DH253+Sheet1!CV253</f>
        <v>171.33131618759455</v>
      </c>
      <c r="H253" s="712">
        <f t="shared" si="739"/>
        <v>0</v>
      </c>
      <c r="I253" s="711">
        <f>MAX(Sheet1!Z253-AJ253+(Sheet1!CW253-E253)*CFStoMGD,0)</f>
        <v>0</v>
      </c>
      <c r="J253" s="720">
        <f>IF(AND(B253&gt;=Calculation!FS253,B253&lt;=Calculation!FT253),IF(Sheet1!CX253&gt;=Calculation!D253,64.64,0),MAX(Sheet1!Z253-AJ253+(Sheet1!CX253-D253)*CFStoMGD,0))</f>
        <v>0</v>
      </c>
      <c r="K253" s="697">
        <f t="shared" si="740"/>
        <v>0</v>
      </c>
      <c r="L253" s="712">
        <f>Sheet1!AA253+Sheet1!AB253-Sheet1!L253+(Sheet1!CW253-F253)*CFStoMGD</f>
        <v>101.24626666665938</v>
      </c>
      <c r="M253" s="712">
        <f t="shared" si="741"/>
        <v>112.96353403933435</v>
      </c>
      <c r="N253" s="712">
        <f>IF(Sheet1!CW253&gt;=F253,MIN(73,MIN(MAX(L253,0),MAX(M253,0))),0)</f>
        <v>73</v>
      </c>
      <c r="O253" s="721">
        <f>Sheet1!AA253+Sheet1!AB253</f>
        <v>80.749999999992724</v>
      </c>
      <c r="P253" s="721">
        <f t="shared" si="742"/>
        <v>124.92024999998873</v>
      </c>
      <c r="Q253" s="712">
        <f>MIN(N253,Sheet1!AA253+AG253)</f>
        <v>61.50063463281316</v>
      </c>
      <c r="R253" s="712">
        <f t="shared" si="743"/>
        <v>19.5</v>
      </c>
      <c r="S253" s="721">
        <f>Sheet1!Y253*MGDtoCFS</f>
        <v>73.621729999999999</v>
      </c>
      <c r="T253" s="721">
        <f>Sheet1!Z253*MGDtoCFS</f>
        <v>51.917320000000004</v>
      </c>
      <c r="U253" s="721">
        <f>Sheet1!AA253*MGDtoCFS</f>
        <v>74.101299999990985</v>
      </c>
      <c r="V253" s="721">
        <f>Sheet1!AB253*MGDtoCFS</f>
        <v>50.818949999997749</v>
      </c>
      <c r="W253" s="721">
        <f>Sheet1!L253*MGDtoCFS</f>
        <v>0</v>
      </c>
      <c r="X253" s="697">
        <f t="shared" si="744"/>
        <v>19.5</v>
      </c>
      <c r="Y253" s="712">
        <f t="shared" si="745"/>
        <v>30.166499999999999</v>
      </c>
      <c r="Z253" s="712">
        <f t="shared" si="746"/>
        <v>0</v>
      </c>
      <c r="AA253" s="712">
        <f t="shared" si="747"/>
        <v>0</v>
      </c>
      <c r="AB253" s="712">
        <f>(VLOOKUP(Sheet1!CY253,hhdcap_wcm,4)-(((VLOOKUP(Sheet1!CY253,hhdcap_wcm,3)-Sheet1!CY253)/(VLOOKUP(Sheet1!CY253,hhdcap_wcm,3)-VLOOKUP(Sheet1!CY253,hhdcap_wcm,1)))*(VLOOKUP(Sheet1!CY253,hhdcap_wcm,4)-VLOOKUP(Sheet1!CY253,hhdcap_wcm,2))))</f>
        <v>36897.000000090673</v>
      </c>
      <c r="AC253" s="712">
        <f t="shared" si="748"/>
        <v>-156</v>
      </c>
      <c r="AD253" s="712">
        <f t="shared" si="749"/>
        <v>2703.4548562349141</v>
      </c>
      <c r="AE253" s="712">
        <f t="shared" si="750"/>
        <v>8294.1994989287159</v>
      </c>
      <c r="AF253" s="712">
        <f>Sheet1!BA253+Sheet1!BB253+Sheet1!BN253+BT253</f>
        <v>13.7</v>
      </c>
      <c r="AG253" s="712">
        <f t="shared" si="751"/>
        <v>13.600634632818979</v>
      </c>
      <c r="AH253" s="712">
        <f>Sheet1!BA253+BT253</f>
        <v>0</v>
      </c>
      <c r="AI253" s="712">
        <f>Sheet1!BA253+Sheet1!BB253+BT253</f>
        <v>0</v>
      </c>
      <c r="AJ253" s="712">
        <f>IF((Sheet1!AA253+AG253+AX253+AZ253+BQ253+BS253+CL253+CN253)&lt;=N253,AG253+AX253+AZ253+BQ253+BS253+CL253+CN253,N253-Sheet1!AA253)</f>
        <v>13.600634632818979</v>
      </c>
      <c r="AK253" s="712">
        <f>IF(DR253&lt;K253,0,MAX(Sheet1!AA253+AG253-15/36*K253-N253,Sheet1!ED253,0))</f>
        <v>0</v>
      </c>
      <c r="AL253" s="712">
        <f>IF(OR(B253&gt;=FT253,B253&lt;FS253),0,15/36*K253-MAX(0,64.6-(137.6-(Sheet1!AA253+Sheet1!AB253))))</f>
        <v>0</v>
      </c>
      <c r="AM253" s="712">
        <f>Sheet1!CX253-110</f>
        <v>29.697916666666657</v>
      </c>
      <c r="AN253" s="712">
        <f>Sheet1!CW253-265</f>
        <v>16.708333333333314</v>
      </c>
      <c r="AO253" s="712">
        <f t="shared" si="733"/>
        <v>11.49936536718684</v>
      </c>
      <c r="AP253" s="712">
        <f t="shared" si="752"/>
        <v>0</v>
      </c>
      <c r="AQ253" s="712">
        <f t="shared" si="753"/>
        <v>0</v>
      </c>
      <c r="AR253" s="712">
        <f t="shared" si="754"/>
        <v>1358.1051716644936</v>
      </c>
      <c r="AS253" s="712"/>
      <c r="AT253" s="712">
        <f ca="1">IF(B253&gt;Summary!$A$1,#N/A,AR253*MGtoAF)</f>
        <v>4166.6666666666661</v>
      </c>
      <c r="AU253" s="712">
        <f>Sheet1!BG253+Sheet1!BH253+Sheet1!BI253-BC253</f>
        <v>2</v>
      </c>
      <c r="AV253" s="712">
        <f t="shared" si="755"/>
        <v>1.9854941069808729</v>
      </c>
      <c r="AW253" s="712">
        <f>IF(Sheet1!EL253="FM",BC253,0)</f>
        <v>0</v>
      </c>
      <c r="AX253" s="712">
        <f t="shared" si="756"/>
        <v>0</v>
      </c>
      <c r="AY253" s="712">
        <f>IF(Sheet1!EL253="OTHER",BC253,0)</f>
        <v>0</v>
      </c>
      <c r="AZ253" s="712">
        <f t="shared" si="757"/>
        <v>0</v>
      </c>
      <c r="BA253" s="712">
        <f t="shared" si="758"/>
        <v>2</v>
      </c>
      <c r="BB253" s="712">
        <f t="shared" si="759"/>
        <v>1.9854941069808729</v>
      </c>
      <c r="BC253" s="712">
        <f>IF(OR(Sheet1!EL253="FM", Sheet1!EL253="OTHER"),SUM(Sheet1!BG253:'Sheet1'!BI253),0)</f>
        <v>0</v>
      </c>
      <c r="BD253" s="697">
        <f>IF(AND($B253&gt;=$FL253,$B253&lt;=$FM253),MAX(AV253,Sheet1!EE253,0),MAX(AV253-(7/36)*$K253,0))</f>
        <v>2</v>
      </c>
      <c r="BE253" s="712">
        <f t="shared" si="760"/>
        <v>0</v>
      </c>
      <c r="BF253" s="697">
        <f t="shared" si="761"/>
        <v>0</v>
      </c>
      <c r="BG253" s="697">
        <f>IF(AND($O253&gt;0,Sheet1!EI253=1),(1-($O253-Sheet1!$L253)/$O253)*BB253,0)</f>
        <v>0</v>
      </c>
      <c r="BH253" s="697">
        <f>IF(AND(Sheet1!$L253=0,Sheet1!$L252=0, Calculation!BA253&lt;Sheet1!$EE253-0.1,Sheet1!$EE253=Sheet1!$EE252,Sheet1!$EE253=Sheet1!$EE254),Sheet1!$EE253,BB253-BG253)</f>
        <v>1.9854941069808729</v>
      </c>
      <c r="BI253" s="712"/>
      <c r="BJ253" s="712"/>
      <c r="BK253" s="712">
        <f t="shared" si="762"/>
        <v>566.6510993347855</v>
      </c>
      <c r="BL253" s="712"/>
      <c r="BM253" s="712">
        <f ca="1">IF(B253&gt;Summary!$A$1,#N/A,BK253*MGtoAF)</f>
        <v>1738.4855727591219</v>
      </c>
      <c r="BN253" s="712">
        <f>Sheet1!BC253+Sheet1!BD253+Sheet1!BE253+Sheet1!BF253-BW253-BX253</f>
        <v>5.34</v>
      </c>
      <c r="BO253" s="712">
        <f t="shared" si="763"/>
        <v>5.30126926563893</v>
      </c>
      <c r="BP253" s="712">
        <f>IF(Sheet1!EM253="FM",BX253,0)</f>
        <v>0</v>
      </c>
      <c r="BQ253" s="712">
        <f t="shared" si="764"/>
        <v>0</v>
      </c>
      <c r="BR253" s="712">
        <f>IF(Sheet1!EM253="OTHER",BX253,0)</f>
        <v>0</v>
      </c>
      <c r="BS253" s="712">
        <f t="shared" si="765"/>
        <v>0</v>
      </c>
      <c r="BT253" s="712">
        <f t="shared" si="766"/>
        <v>0</v>
      </c>
      <c r="BU253" s="712">
        <f t="shared" si="767"/>
        <v>5.34</v>
      </c>
      <c r="BV253" s="712">
        <f t="shared" si="768"/>
        <v>5.30126926563893</v>
      </c>
      <c r="BW253" s="712">
        <f>IF(Sheet1!EM253="CWA",SUM(Sheet1!BC253:'Sheet1'!BF253),0)</f>
        <v>0</v>
      </c>
      <c r="BX253" s="712">
        <f>IF(OR(Sheet1!EM253="FM", Sheet1!EM253="OTHER"),SUM(Sheet1!BC253:'Sheet1'!BF253),0)</f>
        <v>0</v>
      </c>
      <c r="BY253" s="697">
        <f>IF(AND($B253&gt;=$FL253,$B253&lt;=$FM253),MAX(BV253,Sheet1!EF253,0),MAX(BV253-(7/36)*$K253,0))</f>
        <v>5.5</v>
      </c>
      <c r="BZ253" s="712">
        <f t="shared" si="769"/>
        <v>0</v>
      </c>
      <c r="CA253" s="697">
        <f t="shared" si="770"/>
        <v>0</v>
      </c>
      <c r="CB253" s="697">
        <f>IF(AND($O253&gt;0,Sheet1!EJ253=1),(1-($O253-Sheet1!$L253)/$O253)*BV253,0)</f>
        <v>0</v>
      </c>
      <c r="CC253" s="697">
        <f>IF(AND(Sheet1!$L253=0,Sheet1!$L252=0, Calculation!BU253&lt;Sheet1!EF253-0.1,Sheet1!EF253=Sheet1!EF252,Sheet1!EF253=Sheet1!EF254),Sheet1!EF253,BV253-CB253)</f>
        <v>5.30126926563893</v>
      </c>
      <c r="CD253" s="697"/>
      <c r="CE253" s="712"/>
      <c r="CF253" s="712">
        <f t="shared" si="771"/>
        <v>484.32242446599673</v>
      </c>
      <c r="CG253" s="712"/>
      <c r="CH253" s="712">
        <f ca="1">IF(B253&gt;Summary!$A$1,#N/A,CF253*MGtoAF)</f>
        <v>1485.901198261678</v>
      </c>
      <c r="CI253" s="712">
        <f>Sheet1!BK253+Sheet1!BL253+Sheet1!BM253-Sheet1!EN253-CQ253</f>
        <v>12.05</v>
      </c>
      <c r="CJ253" s="712">
        <f t="shared" si="772"/>
        <v>11.96260199455976</v>
      </c>
      <c r="CK253" s="712">
        <f>IF(Sheet1!EN253="FM",CQ253,0)</f>
        <v>0</v>
      </c>
      <c r="CL253" s="712">
        <f t="shared" si="773"/>
        <v>0</v>
      </c>
      <c r="CM253" s="712">
        <f>IF(Sheet1!EN253="OTHER",CQ253,0)</f>
        <v>0</v>
      </c>
      <c r="CN253" s="712">
        <f t="shared" si="774"/>
        <v>0</v>
      </c>
      <c r="CO253" s="712">
        <f t="shared" si="775"/>
        <v>12.05</v>
      </c>
      <c r="CP253" s="712">
        <f t="shared" si="776"/>
        <v>11.96260199455976</v>
      </c>
      <c r="CQ253" s="712">
        <f>IF(OR(Sheet1!EN253="FM", Sheet1!EN253="OTHER"),SUM(Sheet1!BK253:'Sheet1'!BM253),0)</f>
        <v>0</v>
      </c>
      <c r="CR253" s="697">
        <f>IF(AND($B253&gt;=$FL253,$B253&lt;=$FM253),MAX($CJ253,Sheet1!EG253,0),MAX($CJ253-(7/36)*$K253,0))</f>
        <v>12</v>
      </c>
      <c r="CS253" s="712">
        <f t="shared" si="777"/>
        <v>0</v>
      </c>
      <c r="CT253" s="697">
        <f t="shared" si="778"/>
        <v>0</v>
      </c>
      <c r="CU253" s="697">
        <f>IF(AND($O253&gt;0,Sheet1!EK253=1),(1-($O253-Sheet1!$L253)/$O253)*CP253,0)</f>
        <v>0</v>
      </c>
      <c r="CV253" s="697">
        <f>IF(AND(Sheet1!$L253=0,Sheet1!$L252=0, Calculation!CO253&lt;Sheet1!$EG253-0.1,Sheet1!$EG253=Sheet1!$EG252,Sheet1!$EG253=Sheet1!$EG254),Sheet1!$EG253,CP253-CU253)</f>
        <v>11.96260199455976</v>
      </c>
      <c r="CW253" s="697">
        <f t="shared" si="721"/>
        <v>0</v>
      </c>
      <c r="CX253" s="712">
        <f t="shared" si="779"/>
        <v>19.39</v>
      </c>
      <c r="CY253" s="712">
        <f t="shared" si="780"/>
        <v>294.3761607696382</v>
      </c>
      <c r="CZ253" s="712">
        <f t="shared" si="781"/>
        <v>19.249365367179564</v>
      </c>
      <c r="DA253" s="712">
        <f ca="1">IF(B253&gt;Summary!$A$1,#N/A,CY253*MGtoAF)</f>
        <v>903.14606124124998</v>
      </c>
      <c r="DB253" s="712">
        <f t="shared" si="782"/>
        <v>19.39</v>
      </c>
      <c r="DC253" s="712">
        <f t="shared" si="783"/>
        <v>33.090000000000003</v>
      </c>
      <c r="DD253" s="712">
        <f>Sheet1!AB253-DC253</f>
        <v>-0.2400000000014586</v>
      </c>
      <c r="DE253" s="712">
        <f t="shared" si="784"/>
        <v>-7.2529465095635716E-3</v>
      </c>
      <c r="DF253" s="712">
        <f>(VLOOKUP(Sheet1!CY253,hhdcap_wcm,4)-(((VLOOKUP(Sheet1!CY253,hhdcap_wcm,3)-Sheet1!CY253)/(VLOOKUP(Sheet1!CY253,hhdcap_wcm,3)-VLOOKUP(Sheet1!CY253,hhdcap_wcm,1)))*(VLOOKUP(Sheet1!CY253,hhdcap_wcm,4)-VLOOKUP(Sheet1!CY253,hhdcap_wcm,2))))</f>
        <v>36897.000000090673</v>
      </c>
      <c r="DG253" s="712">
        <f t="shared" si="785"/>
        <v>-156</v>
      </c>
      <c r="DH253" s="712">
        <f t="shared" si="786"/>
        <v>-78.668683812405433</v>
      </c>
      <c r="DI253" s="712">
        <f>Sheet1!DW253*AFtoMG</f>
        <v>0</v>
      </c>
      <c r="DJ253" s="712">
        <f>Sheet1!DX253*AFtoMG</f>
        <v>0</v>
      </c>
      <c r="DK253" s="712">
        <f>Sheet1!DY253*AFtoMG</f>
        <v>0</v>
      </c>
      <c r="DL253" s="712">
        <f>Sheet1!DZ253*AFtoMG</f>
        <v>0</v>
      </c>
      <c r="DM253" s="712">
        <f t="shared" si="787"/>
        <v>0</v>
      </c>
      <c r="DN253" s="712">
        <f t="shared" si="788"/>
        <v>0</v>
      </c>
      <c r="DO253" s="712">
        <f t="shared" si="789"/>
        <v>2703.4548562349141</v>
      </c>
      <c r="DP253" s="712">
        <f t="shared" si="790"/>
        <v>8294.1994989287159</v>
      </c>
      <c r="DQ253" s="712"/>
      <c r="DR253" s="697">
        <f>IF(OR(B253&lt;FL253,B253&gt;FM253),(MIN(AV253+BO253+CJ253+MAX(Sheet1!AA253+AG253-73,0),K253)),0)</f>
        <v>0</v>
      </c>
      <c r="DS253" s="712"/>
      <c r="DT253" s="712">
        <f t="shared" si="791"/>
        <v>19.249365367179564</v>
      </c>
      <c r="DU253" s="712"/>
      <c r="DV253" s="712">
        <f>Sheet1!ED253+Sheet1!EE253+Sheet1!EF253+Sheet1!EG253</f>
        <v>19.5</v>
      </c>
      <c r="DW253" s="712"/>
      <c r="DX253" s="697">
        <f t="shared" si="792"/>
        <v>0</v>
      </c>
      <c r="DY253" s="712">
        <f>IF(Sheet1!FN253=1,SUM('Calculations II'!AT253:BA253)+'Calculations II'!BC253+Sheet1!BU253+'Calculations II'!BE253+AF253,SUM('Calculations II'!AT253:BA253)+'Calculations II'!BC253+Sheet1!BU253+'Calculations II'!BE253+AF253)</f>
        <v>69.690960000000004</v>
      </c>
      <c r="DZ253" s="712">
        <f>Sheet1!AA253+Sheet1!AB253+'Calculations II'!BC253</f>
        <v>89.854543999992728</v>
      </c>
      <c r="EA253" s="712"/>
      <c r="EB253" s="712"/>
      <c r="EC253" s="712">
        <f t="shared" si="793"/>
        <v>40782</v>
      </c>
      <c r="ED253" s="712">
        <f t="shared" si="794"/>
        <v>-19.5</v>
      </c>
      <c r="EE253" s="712">
        <f t="shared" si="795"/>
        <v>-30.166499999999999</v>
      </c>
      <c r="EF253" s="712">
        <f ca="1">IF(B253=TODAY(),0,-(VLOOKUP(Sheet1!BQ253,Lookup!$B$4:$J$236,2)-VLOOKUP(Sheet1!BQ252,Lookup!$B$4:$J$236,2))/1000000)</f>
        <v>0.53420000000000001</v>
      </c>
      <c r="EG253" s="712">
        <f ca="1">IF(B253=TODAY(),0,-(VLOOKUP(Sheet1!BR253,Lookup!$B$4:$J$236,3)-VLOOKUP(Sheet1!BR252,Lookup!$B$4:$J$236,3))/1000000)</f>
        <v>0.2666</v>
      </c>
      <c r="EH253" s="712">
        <f>-(VLOOKUP(Sheet1!BS253,Lookup!$B$4:$J$236,4)-VLOOKUP(Sheet1!BS252,Lookup!$B$4:$J$236,4))/1000000</f>
        <v>0</v>
      </c>
      <c r="EI253" s="697">
        <f t="shared" ca="1" si="819"/>
        <v>0.80079999999999996</v>
      </c>
      <c r="EJ253" s="712"/>
      <c r="EK253" s="712"/>
      <c r="EL253" s="712"/>
      <c r="EM253" s="712"/>
      <c r="EN253" s="712"/>
      <c r="EO253" s="712"/>
      <c r="EP253" s="712"/>
      <c r="EQ253" s="712"/>
      <c r="ET253" s="794">
        <f t="shared" si="818"/>
        <v>1131.9000000000001</v>
      </c>
      <c r="EU253" s="697">
        <v>8785</v>
      </c>
      <c r="EV253" s="795">
        <f t="shared" si="734"/>
        <v>18597.800501161957</v>
      </c>
      <c r="EW253" s="796" t="s">
        <v>757</v>
      </c>
      <c r="EX253" s="796" t="s">
        <v>758</v>
      </c>
      <c r="EY253" s="712">
        <f t="shared" si="817"/>
        <v>0</v>
      </c>
      <c r="EZ253" s="798">
        <v>19163.00000004243</v>
      </c>
      <c r="FA253" s="712"/>
      <c r="FB253" s="712"/>
      <c r="FC253" s="712"/>
      <c r="FD253" s="712"/>
      <c r="FE253" s="712">
        <f>O253+Sheet1!CO253</f>
        <v>6403.3499999999931</v>
      </c>
      <c r="FF253" s="712">
        <f>IF(Sheet1!AA253+AG253&lt;=Calculation!N253,AG253,Calculation!N253-Sheet1!AA253)</f>
        <v>13.600634632818979</v>
      </c>
      <c r="FG253" s="712">
        <f>(Sheet1!BP253+Sheet1!BO253)/694.4</f>
        <v>4.4396601382488479</v>
      </c>
      <c r="FH253" s="712"/>
      <c r="FI253" s="712"/>
      <c r="FJ253" s="712"/>
      <c r="FK253" s="712"/>
      <c r="FL253" s="714">
        <f t="shared" si="726"/>
        <v>40753</v>
      </c>
      <c r="FM253" s="714">
        <f t="shared" si="727"/>
        <v>40851</v>
      </c>
      <c r="FN253" s="712"/>
      <c r="FO253" s="712"/>
      <c r="FP253" s="712"/>
      <c r="FQ253" s="712"/>
      <c r="FR253" s="712"/>
      <c r="FS253" s="725">
        <f t="shared" si="820"/>
        <v>40603</v>
      </c>
      <c r="FT253" s="714">
        <f t="shared" si="729"/>
        <v>40709</v>
      </c>
      <c r="FU253" s="712">
        <f t="shared" si="820"/>
        <v>6518.9048239895692</v>
      </c>
      <c r="FV253" s="714">
        <f t="shared" si="730"/>
        <v>40722</v>
      </c>
      <c r="FW253" s="712">
        <f t="shared" si="820"/>
        <v>3259.4524119947846</v>
      </c>
      <c r="FX253" s="725">
        <f t="shared" si="820"/>
        <v>40851</v>
      </c>
      <c r="FZ253" s="697">
        <f t="shared" si="722"/>
        <v>0</v>
      </c>
      <c r="GA253" s="712" t="str">
        <f t="shared" si="797"/>
        <v/>
      </c>
      <c r="GB253" s="712">
        <f t="shared" si="798"/>
        <v>0</v>
      </c>
      <c r="GC253" s="712" t="str">
        <f t="shared" si="799"/>
        <v/>
      </c>
      <c r="GD253" s="712">
        <f>IF(GA253="P",Lookup!$M$12,IF(GA253="PP",Lookup!$M$13,IF(GA253="PPP",Lookup!$M$14,IF(GA253="T",Lookup!$M$15,IF(GA253="TP",Lookup!$M$16,IF(GA253="TPP",Lookup!$M$17,IF(GA253="TPPP",Lookup!$M$18,0)))))))*FZ253</f>
        <v>0</v>
      </c>
      <c r="GE253" s="712">
        <f t="shared" si="800"/>
        <v>0</v>
      </c>
      <c r="GF253" s="712">
        <f t="shared" si="801"/>
        <v>4166.6666666666661</v>
      </c>
      <c r="GG253" s="712">
        <f t="shared" si="802"/>
        <v>1358.1051716644936</v>
      </c>
      <c r="GH253" s="712"/>
      <c r="GI253" s="712">
        <f t="shared" si="803"/>
        <v>0</v>
      </c>
      <c r="GJ253" s="712" t="str">
        <f t="shared" si="804"/>
        <v/>
      </c>
      <c r="GK253" s="712">
        <f>IF(GA253="P",Lookup!$N$12,IF(GA253="PP",Lookup!$N$13,IF(GA253="PPP",Lookup!$N$14,IF(GA253="T",Lookup!$N$15,IF(GA253="TP",Lookup!$N$16,IF(GA253="TPP",Lookup!$N$17,IF(GA253="TPPP",Lookup!$N$18,0)))))))*FZ253</f>
        <v>0</v>
      </c>
      <c r="GL253" s="712">
        <f t="shared" si="805"/>
        <v>0</v>
      </c>
      <c r="GM253" s="712">
        <f t="shared" si="806"/>
        <v>1738.4855727591219</v>
      </c>
      <c r="GN253" s="712">
        <f t="shared" si="807"/>
        <v>566.6510993347855</v>
      </c>
      <c r="GO253" s="712"/>
      <c r="GP253" s="712">
        <f t="shared" si="808"/>
        <v>0</v>
      </c>
      <c r="GQ253" s="712" t="str">
        <f t="shared" si="809"/>
        <v/>
      </c>
      <c r="GR253" s="712">
        <f>IF(GA253="P",Lookup!$N$12,IF(GA253="PP",Lookup!$N$13,IF(GA253="PPP",Lookup!$N$14,IF(GA253="T",Lookup!$N$15,IF(GA253="TP",Lookup!$N$16,IF(GA253="TPP",Lookup!$N$17,IF(GA253="TPPP",Lookup!$N$18,0)))))))*FZ253</f>
        <v>0</v>
      </c>
      <c r="GS253" s="697">
        <f t="shared" si="724"/>
        <v>0</v>
      </c>
      <c r="GT253" s="712">
        <f t="shared" si="810"/>
        <v>1485.901198261678</v>
      </c>
      <c r="GU253" s="712">
        <f t="shared" si="811"/>
        <v>484.32242446599673</v>
      </c>
      <c r="GV253" s="712"/>
      <c r="GW253" s="712">
        <f t="shared" si="812"/>
        <v>0</v>
      </c>
      <c r="GX253" s="712" t="str">
        <f t="shared" si="813"/>
        <v/>
      </c>
      <c r="GY253" s="712">
        <f>IF(GA253="P",Lookup!$N$12,IF(GA253="PP",Lookup!$N$13,IF(GA253="PPP",Lookup!$N$14,IF(GA253="T",Lookup!$N$15,IF(GA253="TP",Lookup!$N$16,IF(GA253="TPP",Lookup!$N$17,IF(GA253="TPPP",Lookup!$N$18,0)))))))*FZ253</f>
        <v>0</v>
      </c>
      <c r="GZ253" s="697">
        <f t="shared" si="725"/>
        <v>0</v>
      </c>
      <c r="HA253" s="712">
        <f t="shared" si="814"/>
        <v>903.14606124124998</v>
      </c>
      <c r="HB253" s="712">
        <f t="shared" si="815"/>
        <v>294.3761607696382</v>
      </c>
      <c r="HC253" s="712"/>
    </row>
    <row r="254" spans="1:211">
      <c r="A254" s="773" t="s">
        <v>3</v>
      </c>
      <c r="B254" s="708">
        <v>40783</v>
      </c>
      <c r="C254" s="709">
        <v>0.5</v>
      </c>
      <c r="D254" s="675">
        <f t="shared" si="737"/>
        <v>200</v>
      </c>
      <c r="E254" s="675">
        <f t="shared" si="738"/>
        <v>400</v>
      </c>
      <c r="F254" s="675">
        <v>250</v>
      </c>
      <c r="G254" s="712">
        <f>DH254+Sheet1!CV254</f>
        <v>166.48512354940937</v>
      </c>
      <c r="H254" s="712">
        <f t="shared" si="739"/>
        <v>0</v>
      </c>
      <c r="I254" s="711">
        <f>MAX(Sheet1!Z254-AJ254+(Sheet1!CW254-E254)*CFStoMGD,0)</f>
        <v>0</v>
      </c>
      <c r="J254" s="720">
        <f>IF(AND(B254&gt;=Calculation!FS254,B254&lt;=Calculation!FT254),IF(Sheet1!CX254&gt;=Calculation!D254,64.64,0),MAX(Sheet1!Z254-AJ254+(Sheet1!CX254-D254)*CFStoMGD,0))</f>
        <v>0</v>
      </c>
      <c r="K254" s="697">
        <f t="shared" si="740"/>
        <v>0</v>
      </c>
      <c r="L254" s="712">
        <f>Sheet1!AA254+Sheet1!AB254-Sheet1!L254+(Sheet1!CW254-F254)*CFStoMGD</f>
        <v>95.190399999999997</v>
      </c>
      <c r="M254" s="712">
        <f t="shared" si="741"/>
        <v>109.76830353958498</v>
      </c>
      <c r="N254" s="712">
        <f>IF(Sheet1!CW254&gt;=F254,MIN(73,MIN(MAX(L254,0),MAX(M254,0))),0)</f>
        <v>73</v>
      </c>
      <c r="O254" s="721">
        <f>Sheet1!AA254+Sheet1!AB254</f>
        <v>80</v>
      </c>
      <c r="P254" s="721">
        <f t="shared" si="742"/>
        <v>123.75999999999999</v>
      </c>
      <c r="Q254" s="712">
        <f>MIN(N254,Sheet1!AA254+AG254)</f>
        <v>60.48773841961853</v>
      </c>
      <c r="R254" s="712">
        <f t="shared" si="743"/>
        <v>19.5</v>
      </c>
      <c r="S254" s="721">
        <f>Sheet1!Y254*MGDtoCFS</f>
        <v>73.467029999999994</v>
      </c>
      <c r="T254" s="721">
        <f>Sheet1!Z254*MGDtoCFS</f>
        <v>51.004589999999993</v>
      </c>
      <c r="U254" s="721">
        <f>Sheet1!AA254*MGDtoCFS</f>
        <v>72.709000000000003</v>
      </c>
      <c r="V254" s="721">
        <f>Sheet1!AB254*MGDtoCFS</f>
        <v>51.050999999999995</v>
      </c>
      <c r="W254" s="721">
        <f>Sheet1!L254*MGDtoCFS</f>
        <v>0</v>
      </c>
      <c r="X254" s="697">
        <f t="shared" si="744"/>
        <v>19.539055404178022</v>
      </c>
      <c r="Y254" s="712">
        <f t="shared" si="745"/>
        <v>30.226918710263398</v>
      </c>
      <c r="Z254" s="712">
        <f t="shared" si="746"/>
        <v>0</v>
      </c>
      <c r="AA254" s="712">
        <f t="shared" si="747"/>
        <v>0</v>
      </c>
      <c r="AB254" s="712">
        <f>(VLOOKUP(Sheet1!CY254,hhdcap_wcm,4)-(((VLOOKUP(Sheet1!CY254,hhdcap_wcm,3)-Sheet1!CY254)/(VLOOKUP(Sheet1!CY254,hhdcap_wcm,3)-VLOOKUP(Sheet1!CY254,hhdcap_wcm,1)))*(VLOOKUP(Sheet1!CY254,hhdcap_wcm,4)-VLOOKUP(Sheet1!CY254,hhdcap_wcm,2))))</f>
        <v>36731.390000089152</v>
      </c>
      <c r="AC254" s="712">
        <f t="shared" si="748"/>
        <v>-165.61000000152126</v>
      </c>
      <c r="AD254" s="712">
        <f t="shared" si="749"/>
        <v>2683.9158008307359</v>
      </c>
      <c r="AE254" s="712">
        <f t="shared" si="750"/>
        <v>8234.2536769486978</v>
      </c>
      <c r="AF254" s="712">
        <f>Sheet1!BA254+Sheet1!BB254+Sheet1!BN254+BT254</f>
        <v>13.5</v>
      </c>
      <c r="AG254" s="712">
        <f t="shared" si="751"/>
        <v>13.487738419618529</v>
      </c>
      <c r="AH254" s="712">
        <f>Sheet1!BA254+BT254</f>
        <v>0</v>
      </c>
      <c r="AI254" s="712">
        <f>Sheet1!BA254+Sheet1!BB254+BT254</f>
        <v>0</v>
      </c>
      <c r="AJ254" s="712">
        <f>IF((Sheet1!AA254+AG254+AX254+AZ254+BQ254+BS254+CL254+CN254)&lt;=N254,AG254+AX254+AZ254+BQ254+BS254+CL254+CN254,N254-Sheet1!AA254)</f>
        <v>13.487738419618529</v>
      </c>
      <c r="AK254" s="851">
        <f>IF(DR254&lt;K254,0,MAX(Sheet1!AA254+AG254-15/36*K254-N254,Sheet1!ED254,0))</f>
        <v>0</v>
      </c>
      <c r="AL254" s="712">
        <f>IF(OR(B254&gt;=FT254,B254&lt;FS254),0,15/36*K254-MAX(0,64.6-(137.6-(Sheet1!AA254+Sheet1!AB254))))</f>
        <v>0</v>
      </c>
      <c r="AM254" s="712">
        <f>Sheet1!CX254-110</f>
        <v>29.520833333333343</v>
      </c>
      <c r="AN254" s="712">
        <f>Sheet1!CW254-265</f>
        <v>8.5</v>
      </c>
      <c r="AO254" s="712">
        <f t="shared" si="733"/>
        <v>12.51226158038147</v>
      </c>
      <c r="AP254" s="851">
        <v>0</v>
      </c>
      <c r="AQ254" s="712">
        <f t="shared" si="753"/>
        <v>0</v>
      </c>
      <c r="AR254" s="712">
        <f>GE254+GG254-AQ254</f>
        <v>1358.1051716644936</v>
      </c>
      <c r="AS254" s="712"/>
      <c r="AT254" s="712">
        <f ca="1">IF(B254&gt;Summary!$A$1,#N/A,AR254*MGtoAF)</f>
        <v>4166.6666666666661</v>
      </c>
      <c r="AU254" s="712">
        <f>Sheet1!BG254+Sheet1!BH254+Sheet1!BI254-BC254</f>
        <v>1.98</v>
      </c>
      <c r="AV254" s="712">
        <f t="shared" si="755"/>
        <v>1.9782016348773841</v>
      </c>
      <c r="AW254" s="712">
        <f>IF(Sheet1!EL254="FM",BC254,0)</f>
        <v>0</v>
      </c>
      <c r="AX254" s="712">
        <f t="shared" si="756"/>
        <v>0</v>
      </c>
      <c r="AY254" s="712">
        <f>IF(Sheet1!EL254="OTHER",BC254,0)</f>
        <v>0</v>
      </c>
      <c r="AZ254" s="712">
        <f t="shared" si="757"/>
        <v>0</v>
      </c>
      <c r="BA254" s="712">
        <f t="shared" si="758"/>
        <v>1.98</v>
      </c>
      <c r="BB254" s="712">
        <f t="shared" si="759"/>
        <v>1.9782016348773841</v>
      </c>
      <c r="BC254" s="712">
        <f>IF(OR(Sheet1!EL254="FM", Sheet1!EL254="OTHER"),SUM(Sheet1!BG254:'Sheet1'!BI254),0)</f>
        <v>0</v>
      </c>
      <c r="BD254" s="697">
        <f>IF(AND($B254&gt;=$FL254,$B254&lt;=$FM254),MAX(AV254,Sheet1!EE254,0),MAX(AV254-(7/36)*$K254,0))</f>
        <v>2</v>
      </c>
      <c r="BE254" s="712">
        <f t="shared" si="760"/>
        <v>0</v>
      </c>
      <c r="BF254" s="697">
        <f t="shared" si="761"/>
        <v>0</v>
      </c>
      <c r="BG254" s="697">
        <f>IF(AND($O254&gt;0,Sheet1!EI254=1),(1-($O254-Sheet1!$L254)/$O254)*BB254,0)</f>
        <v>0</v>
      </c>
      <c r="BH254" s="697">
        <f>IF(AND(Sheet1!$L254=0,Sheet1!$L253=0, Calculation!BA254&lt;Sheet1!$EE254-0.1,Sheet1!$EE254=Sheet1!$EE253,Sheet1!$EE254=Sheet1!$EE255),Sheet1!$EE254,BB254-BG254)</f>
        <v>1.9782016348773841</v>
      </c>
      <c r="BI254" s="712"/>
      <c r="BJ254" s="712"/>
      <c r="BK254" s="712">
        <f t="shared" si="762"/>
        <v>564.6510993347855</v>
      </c>
      <c r="BL254" s="712"/>
      <c r="BM254" s="712">
        <f ca="1">IF(B254&gt;Summary!$A$1,#N/A,BK254*MGtoAF)</f>
        <v>1732.3495727591219</v>
      </c>
      <c r="BN254" s="712">
        <f>Sheet1!BC254+Sheet1!BD254+Sheet1!BE254+Sheet1!BF254-BW254-BX254</f>
        <v>5.5</v>
      </c>
      <c r="BO254" s="712">
        <f t="shared" si="763"/>
        <v>5.4950045413260673</v>
      </c>
      <c r="BP254" s="712">
        <f>IF(Sheet1!EM254="FM",BX254,0)</f>
        <v>0</v>
      </c>
      <c r="BQ254" s="712">
        <f t="shared" si="764"/>
        <v>0</v>
      </c>
      <c r="BR254" s="712">
        <f>IF(Sheet1!EM254="OTHER",BX254,0)</f>
        <v>0</v>
      </c>
      <c r="BS254" s="712">
        <f t="shared" si="765"/>
        <v>0</v>
      </c>
      <c r="BT254" s="712">
        <f t="shared" si="766"/>
        <v>0</v>
      </c>
      <c r="BU254" s="712">
        <f t="shared" si="767"/>
        <v>5.5</v>
      </c>
      <c r="BV254" s="712">
        <f t="shared" si="768"/>
        <v>5.4950045413260673</v>
      </c>
      <c r="BW254" s="712">
        <f>IF(Sheet1!EM254="CWA",SUM(Sheet1!BC254:'Sheet1'!BF254),0)</f>
        <v>0</v>
      </c>
      <c r="BX254" s="712">
        <f>IF(OR(Sheet1!EM254="FM", Sheet1!EM254="OTHER"),SUM(Sheet1!BC254:'Sheet1'!BF254),0)</f>
        <v>0</v>
      </c>
      <c r="BY254" s="697">
        <f>IF(AND($B254&gt;=$FL254,$B254&lt;=$FM254),MAX(BV254,Sheet1!EF254,0),MAX(BV254-(7/36)*$K254,0))</f>
        <v>5.5</v>
      </c>
      <c r="BZ254" s="712">
        <f t="shared" si="769"/>
        <v>0</v>
      </c>
      <c r="CA254" s="697">
        <f t="shared" si="770"/>
        <v>0</v>
      </c>
      <c r="CB254" s="697">
        <f>IF(AND($O254&gt;0,Sheet1!EJ254=1),(1-($O254-Sheet1!$L254)/$O254)*BV254,0)</f>
        <v>0</v>
      </c>
      <c r="CC254" s="697">
        <f>IF(AND(Sheet1!$L254=0,Sheet1!$L253=0, Calculation!BU254&lt;Sheet1!EF254-0.1,Sheet1!EF254=Sheet1!EF253,Sheet1!EF254=Sheet1!EF255),Sheet1!EF254,BV254-CB254)</f>
        <v>5.4950045413260673</v>
      </c>
      <c r="CD254" s="697"/>
      <c r="CE254" s="712"/>
      <c r="CF254" s="712">
        <f t="shared" si="771"/>
        <v>478.82242446599673</v>
      </c>
      <c r="CG254" s="712"/>
      <c r="CH254" s="712">
        <f ca="1">IF(B254&gt;Summary!$A$1,#N/A,CF254*MGtoAF)</f>
        <v>1469.027198261678</v>
      </c>
      <c r="CI254" s="712">
        <f>Sheet1!BK254+Sheet1!BL254+Sheet1!BM254-Sheet1!EN254-CQ254</f>
        <v>12.05</v>
      </c>
      <c r="CJ254" s="712">
        <f t="shared" si="772"/>
        <v>12.03905540417802</v>
      </c>
      <c r="CK254" s="712">
        <f>IF(Sheet1!EN254="FM",CQ254,0)</f>
        <v>0</v>
      </c>
      <c r="CL254" s="712">
        <f t="shared" si="773"/>
        <v>0</v>
      </c>
      <c r="CM254" s="712">
        <f>IF(Sheet1!EN254="OTHER",CQ254,0)</f>
        <v>0</v>
      </c>
      <c r="CN254" s="712">
        <f t="shared" si="774"/>
        <v>0</v>
      </c>
      <c r="CO254" s="712">
        <f t="shared" si="775"/>
        <v>12.05</v>
      </c>
      <c r="CP254" s="712">
        <f t="shared" si="776"/>
        <v>12.03905540417802</v>
      </c>
      <c r="CQ254" s="712">
        <f>IF(OR(Sheet1!EN254="FM", Sheet1!EN254="OTHER"),SUM(Sheet1!BK254:'Sheet1'!BM254),0)</f>
        <v>0</v>
      </c>
      <c r="CR254" s="697">
        <f>IF(AND($B254&gt;=$FL254,$B254&lt;=$FM254),MAX($CJ254,Sheet1!EG254,0),MAX($CJ254-(7/36)*$K254,0))</f>
        <v>12.03905540417802</v>
      </c>
      <c r="CS254" s="712">
        <f t="shared" si="777"/>
        <v>0</v>
      </c>
      <c r="CT254" s="697">
        <f t="shared" si="778"/>
        <v>0</v>
      </c>
      <c r="CU254" s="697">
        <f>IF(AND($O254&gt;0,Sheet1!EK254=1),(1-($O254-Sheet1!$L254)/$O254)*CP254,0)</f>
        <v>0</v>
      </c>
      <c r="CV254" s="697">
        <f>IF(AND(Sheet1!$L254=0,Sheet1!$L253=0, Calculation!CO254&lt;Sheet1!$EG254-0.1,Sheet1!$EG254=Sheet1!$EG253,Sheet1!$EG254=Sheet1!$EG255),Sheet1!$EG254,CP254-CU254)</f>
        <v>12.03905540417802</v>
      </c>
      <c r="CW254" s="697">
        <f t="shared" si="721"/>
        <v>0</v>
      </c>
      <c r="CX254" s="712">
        <f t="shared" si="779"/>
        <v>19.53</v>
      </c>
      <c r="CY254" s="712">
        <f t="shared" si="780"/>
        <v>282.33710536546016</v>
      </c>
      <c r="CZ254" s="712">
        <f t="shared" si="781"/>
        <v>19.51226158038147</v>
      </c>
      <c r="DA254" s="712">
        <f ca="1">IF(B254&gt;Summary!$A$1,#N/A,CY254*MGtoAF)</f>
        <v>866.21023926123178</v>
      </c>
      <c r="DB254" s="712">
        <f t="shared" si="782"/>
        <v>19.53</v>
      </c>
      <c r="DC254" s="712">
        <f t="shared" si="783"/>
        <v>33.03</v>
      </c>
      <c r="DD254" s="712">
        <f>Sheet1!AB254-DC254</f>
        <v>-3.0000000000001137E-2</v>
      </c>
      <c r="DE254" s="712">
        <f t="shared" si="784"/>
        <v>-9.082652134423595E-4</v>
      </c>
      <c r="DF254" s="851">
        <f>(VLOOKUP(Sheet1!CY254,hhdcap_wcm,4)-(((VLOOKUP(Sheet1!CY254,hhdcap_wcm,3)-Sheet1!CY254)/(VLOOKUP(Sheet1!CY254,hhdcap_wcm,3)-VLOOKUP(Sheet1!CY254,hhdcap_wcm,1)))*(VLOOKUP(Sheet1!CY254,hhdcap_wcm,4)-VLOOKUP(Sheet1!CY254,hhdcap_wcm,2))))</f>
        <v>36731.390000089152</v>
      </c>
      <c r="DG254" s="712">
        <f t="shared" si="785"/>
        <v>-165.61000000152126</v>
      </c>
      <c r="DH254" s="712">
        <f t="shared" si="786"/>
        <v>-83.514876450590634</v>
      </c>
      <c r="DI254" s="712">
        <f>Sheet1!DW254*AFtoMG</f>
        <v>0</v>
      </c>
      <c r="DJ254" s="712">
        <f>Sheet1!DX254*AFtoMG</f>
        <v>0</v>
      </c>
      <c r="DK254" s="712">
        <f>Sheet1!DY254*AFtoMG</f>
        <v>0</v>
      </c>
      <c r="DL254" s="712">
        <f>Sheet1!DZ254*AFtoMG</f>
        <v>0</v>
      </c>
      <c r="DM254" s="712">
        <f t="shared" si="787"/>
        <v>0</v>
      </c>
      <c r="DN254" s="712">
        <f t="shared" si="788"/>
        <v>0</v>
      </c>
      <c r="DO254" s="712">
        <f t="shared" si="789"/>
        <v>2683.9158008307359</v>
      </c>
      <c r="DP254" s="712">
        <f t="shared" si="790"/>
        <v>8234.2536769486978</v>
      </c>
      <c r="DQ254" s="712"/>
      <c r="DR254" s="697">
        <f>IF(OR(B254&lt;FL254,B254&gt;FM254),(MIN(AV254+BO254+CJ254+MAX(Sheet1!AA254+AG254-73,0),K254)),0)</f>
        <v>0</v>
      </c>
      <c r="DS254" s="712"/>
      <c r="DT254" s="712">
        <f t="shared" si="791"/>
        <v>19.512261580381473</v>
      </c>
      <c r="DU254" s="712"/>
      <c r="DV254" s="712">
        <f>Sheet1!ED254+Sheet1!EE254+Sheet1!EF254+Sheet1!EG254</f>
        <v>19.5</v>
      </c>
      <c r="DW254" s="712"/>
      <c r="DX254" s="697">
        <f t="shared" si="792"/>
        <v>0</v>
      </c>
      <c r="DY254" s="712">
        <f>IF(Sheet1!FN254=1,SUM('Calculations II'!AT254:BA254)+'Calculations II'!BC254+Sheet1!BU254+'Calculations II'!BE254+AF254,SUM('Calculations II'!AT254:BA254)+'Calculations II'!BC254+Sheet1!BU254+'Calculations II'!BE254+AF254)</f>
        <v>67.662096000000005</v>
      </c>
      <c r="DZ254" s="712">
        <f>Sheet1!AA254+Sheet1!AB254+'Calculations II'!BC254</f>
        <v>89.121392</v>
      </c>
      <c r="EA254" s="712"/>
      <c r="EB254" s="712"/>
      <c r="EC254" s="712">
        <f t="shared" si="793"/>
        <v>40783</v>
      </c>
      <c r="ED254" s="712">
        <f t="shared" si="794"/>
        <v>-19.539055404178022</v>
      </c>
      <c r="EE254" s="712">
        <f t="shared" si="795"/>
        <v>-30.226918710263398</v>
      </c>
      <c r="EF254" s="712">
        <f ca="1">IF(B254=TODAY(),0,-(VLOOKUP(Sheet1!BQ254,Lookup!$B$4:$J$236,2)-VLOOKUP(Sheet1!BQ253,Lookup!$B$4:$J$236,2))/1000000)</f>
        <v>-0.53420000000000001</v>
      </c>
      <c r="EG254" s="712">
        <f ca="1">IF(B254=TODAY(),0,-(VLOOKUP(Sheet1!BR254,Lookup!$B$4:$J$236,3)-VLOOKUP(Sheet1!BR253,Lookup!$B$4:$J$236,3))/1000000)</f>
        <v>-0.2666</v>
      </c>
      <c r="EH254" s="712">
        <f>-(VLOOKUP(Sheet1!BS254,Lookup!$B$4:$J$236,4)-VLOOKUP(Sheet1!BS253,Lookup!$B$4:$J$236,4))/1000000</f>
        <v>0</v>
      </c>
      <c r="EI254" s="697">
        <f t="shared" ca="1" si="819"/>
        <v>-0.80079999999999996</v>
      </c>
      <c r="EJ254" s="712"/>
      <c r="EK254" s="712"/>
      <c r="EL254" s="712"/>
      <c r="EM254" s="712"/>
      <c r="EN254" s="712"/>
      <c r="EO254" s="712"/>
      <c r="EP254" s="712"/>
      <c r="EQ254" s="712"/>
      <c r="ET254" s="794">
        <f t="shared" si="818"/>
        <v>1131.8</v>
      </c>
      <c r="EU254" s="697">
        <v>8785</v>
      </c>
      <c r="EV254" s="795">
        <f t="shared" si="734"/>
        <v>18492.136323140454</v>
      </c>
      <c r="EW254" s="796" t="s">
        <v>757</v>
      </c>
      <c r="EX254" s="796" t="s">
        <v>758</v>
      </c>
      <c r="EY254" s="712">
        <f t="shared" si="817"/>
        <v>0</v>
      </c>
      <c r="EZ254" s="798">
        <v>19046.000000042299</v>
      </c>
      <c r="FA254" s="712"/>
      <c r="FB254" s="712"/>
      <c r="FC254" s="712"/>
      <c r="FD254" s="712"/>
      <c r="FE254" s="712">
        <f>O254+Sheet1!CO254</f>
        <v>6414.3</v>
      </c>
      <c r="FF254" s="712">
        <f>IF(Sheet1!AA254+AG254&lt;=Calculation!N254,AG254,Calculation!N254-Sheet1!AA254)</f>
        <v>13.487738419618529</v>
      </c>
      <c r="FG254" s="712">
        <f>(Sheet1!BP254+Sheet1!BO254)/694.4</f>
        <v>4.7173099078341014</v>
      </c>
      <c r="FH254" s="712"/>
      <c r="FI254" s="712"/>
      <c r="FJ254" s="712"/>
      <c r="FK254" s="712"/>
      <c r="FL254" s="714">
        <f t="shared" si="726"/>
        <v>40753</v>
      </c>
      <c r="FM254" s="714">
        <f t="shared" si="727"/>
        <v>40851</v>
      </c>
      <c r="FN254" s="712"/>
      <c r="FO254" s="712"/>
      <c r="FP254" s="712"/>
      <c r="FQ254" s="712"/>
      <c r="FR254" s="712"/>
      <c r="FS254" s="725">
        <f t="shared" si="820"/>
        <v>40603</v>
      </c>
      <c r="FT254" s="714">
        <f t="shared" si="729"/>
        <v>40709</v>
      </c>
      <c r="FU254" s="712">
        <f t="shared" si="820"/>
        <v>6518.9048239895692</v>
      </c>
      <c r="FV254" s="714">
        <f t="shared" si="730"/>
        <v>40722</v>
      </c>
      <c r="FW254" s="712">
        <f t="shared" si="820"/>
        <v>3259.4524119947846</v>
      </c>
      <c r="FX254" s="725">
        <f t="shared" si="820"/>
        <v>40851</v>
      </c>
      <c r="FZ254" s="697">
        <f t="shared" si="722"/>
        <v>0</v>
      </c>
      <c r="GA254" s="712" t="str">
        <f t="shared" si="797"/>
        <v/>
      </c>
      <c r="GB254" s="712">
        <f t="shared" si="798"/>
        <v>0</v>
      </c>
      <c r="GC254" s="712" t="str">
        <f t="shared" si="799"/>
        <v/>
      </c>
      <c r="GD254" s="712">
        <f>IF(GA254="P",Lookup!$M$12,IF(GA254="PP",Lookup!$M$13,IF(GA254="PPP",Lookup!$M$14,IF(GA254="T",Lookup!$M$15,IF(GA254="TP",Lookup!$M$16,IF(GA254="TPP",Lookup!$M$17,IF(GA254="TPPP",Lookup!$M$18,0)))))))*FZ254</f>
        <v>0</v>
      </c>
      <c r="GE254" s="712">
        <f t="shared" si="800"/>
        <v>0</v>
      </c>
      <c r="GF254" s="712">
        <f t="shared" si="801"/>
        <v>4166.6666666666661</v>
      </c>
      <c r="GG254" s="712">
        <f t="shared" si="802"/>
        <v>1358.1051716644936</v>
      </c>
      <c r="GH254" s="712"/>
      <c r="GI254" s="712">
        <f t="shared" si="803"/>
        <v>0</v>
      </c>
      <c r="GJ254" s="712" t="str">
        <f t="shared" si="804"/>
        <v/>
      </c>
      <c r="GK254" s="712">
        <f>IF(GA254="P",Lookup!$N$12,IF(GA254="PP",Lookup!$N$13,IF(GA254="PPP",Lookup!$N$14,IF(GA254="T",Lookup!$N$15,IF(GA254="TP",Lookup!$N$16,IF(GA254="TPP",Lookup!$N$17,IF(GA254="TPPP",Lookup!$N$18,0)))))))*FZ254</f>
        <v>0</v>
      </c>
      <c r="GL254" s="712">
        <f t="shared" si="805"/>
        <v>0</v>
      </c>
      <c r="GM254" s="712">
        <f t="shared" si="806"/>
        <v>1732.3495727591219</v>
      </c>
      <c r="GN254" s="712">
        <f t="shared" si="807"/>
        <v>564.6510993347855</v>
      </c>
      <c r="GO254" s="712"/>
      <c r="GP254" s="712">
        <f t="shared" si="808"/>
        <v>0</v>
      </c>
      <c r="GQ254" s="712" t="str">
        <f t="shared" si="809"/>
        <v/>
      </c>
      <c r="GR254" s="712">
        <f>IF(GA254="P",Lookup!$N$12,IF(GA254="PP",Lookup!$N$13,IF(GA254="PPP",Lookup!$N$14,IF(GA254="T",Lookup!$N$15,IF(GA254="TP",Lookup!$N$16,IF(GA254="TPP",Lookup!$N$17,IF(GA254="TPPP",Lookup!$N$18,0)))))))*FZ254</f>
        <v>0</v>
      </c>
      <c r="GS254" s="697">
        <f t="shared" si="724"/>
        <v>0</v>
      </c>
      <c r="GT254" s="712">
        <f t="shared" si="810"/>
        <v>1469.027198261678</v>
      </c>
      <c r="GU254" s="712">
        <f t="shared" si="811"/>
        <v>478.82242446599673</v>
      </c>
      <c r="GV254" s="712"/>
      <c r="GW254" s="712">
        <f t="shared" si="812"/>
        <v>0</v>
      </c>
      <c r="GX254" s="712" t="str">
        <f t="shared" si="813"/>
        <v/>
      </c>
      <c r="GY254" s="712">
        <f>IF(GA254="P",Lookup!$N$12,IF(GA254="PP",Lookup!$N$13,IF(GA254="PPP",Lookup!$N$14,IF(GA254="T",Lookup!$N$15,IF(GA254="TP",Lookup!$N$16,IF(GA254="TPP",Lookup!$N$17,IF(GA254="TPPP",Lookup!$N$18,0)))))))*FZ254</f>
        <v>0</v>
      </c>
      <c r="GZ254" s="697">
        <f t="shared" si="725"/>
        <v>0</v>
      </c>
      <c r="HA254" s="712">
        <f t="shared" si="814"/>
        <v>866.21023926123178</v>
      </c>
      <c r="HB254" s="712">
        <f t="shared" si="815"/>
        <v>282.33710536546016</v>
      </c>
      <c r="HC254" s="712"/>
    </row>
    <row r="255" spans="1:211">
      <c r="A255" s="773" t="s">
        <v>4</v>
      </c>
      <c r="B255" s="708">
        <v>40784</v>
      </c>
      <c r="C255" s="719">
        <v>0.5</v>
      </c>
      <c r="D255" s="675">
        <f t="shared" si="737"/>
        <v>200</v>
      </c>
      <c r="E255" s="675">
        <f t="shared" si="738"/>
        <v>400</v>
      </c>
      <c r="F255" s="675">
        <v>250</v>
      </c>
      <c r="G255" s="712">
        <f>DH255+Sheet1!CV255</f>
        <v>164.77162128077867</v>
      </c>
      <c r="H255" s="712">
        <f t="shared" si="739"/>
        <v>0</v>
      </c>
      <c r="I255" s="711">
        <f>MAX(Sheet1!Z255-AJ255+(Sheet1!CW255-E255)*CFStoMGD,0)</f>
        <v>0</v>
      </c>
      <c r="J255" s="720">
        <f>IF(AND(B255&gt;=Calculation!FS255,B255&lt;=Calculation!FT255),IF(Sheet1!CX255&gt;=Calculation!D255,64.64,0),MAX(Sheet1!Z255-AJ255+(Sheet1!CX255-D255)*CFStoMGD,0))</f>
        <v>0</v>
      </c>
      <c r="K255" s="697">
        <f t="shared" si="740"/>
        <v>0</v>
      </c>
      <c r="L255" s="712">
        <f>Sheet1!AA255+Sheet1!AB255-Sheet1!L255+(Sheet1!CW255-F255)*CFStoMGD</f>
        <v>96.921866666660833</v>
      </c>
      <c r="M255" s="712">
        <f t="shared" si="741"/>
        <v>108.63854351581324</v>
      </c>
      <c r="N255" s="712">
        <f>IF(Sheet1!CW255&gt;=F255,MIN(73,MIN(MAX(L255,0),MAX(M255,0))),0)</f>
        <v>73</v>
      </c>
      <c r="O255" s="721">
        <f>Sheet1!AA255+Sheet1!AB255</f>
        <v>79.899999999994179</v>
      </c>
      <c r="P255" s="721">
        <f t="shared" si="742"/>
        <v>123.60529999999099</v>
      </c>
      <c r="Q255" s="712">
        <f>MIN(N255,Sheet1!AA255+AG255)</f>
        <v>61.072745098033067</v>
      </c>
      <c r="R255" s="712">
        <f t="shared" si="743"/>
        <v>18.5</v>
      </c>
      <c r="S255" s="721">
        <f>Sheet1!Y255*MGDtoCFS</f>
        <v>73.467029999999994</v>
      </c>
      <c r="T255" s="721">
        <f>Sheet1!Z255*MGDtoCFS</f>
        <v>51.592449999999999</v>
      </c>
      <c r="U255" s="721">
        <f>Sheet1!AA255*MGDtoCFS</f>
        <v>72.384129999990094</v>
      </c>
      <c r="V255" s="721">
        <f>Sheet1!AB255*MGDtoCFS</f>
        <v>51.221170000000896</v>
      </c>
      <c r="W255" s="721">
        <f>Sheet1!L255*MGDtoCFS</f>
        <v>0</v>
      </c>
      <c r="X255" s="697">
        <f t="shared" si="744"/>
        <v>18.859631975867568</v>
      </c>
      <c r="Y255" s="712">
        <f t="shared" si="745"/>
        <v>29.175850666667127</v>
      </c>
      <c r="Z255" s="712">
        <f t="shared" si="746"/>
        <v>0</v>
      </c>
      <c r="AA255" s="712">
        <f t="shared" si="747"/>
        <v>0</v>
      </c>
      <c r="AB255" s="712">
        <f>(VLOOKUP(Sheet1!CY255,hhdcap_wcm,4)-(((VLOOKUP(Sheet1!CY255,hhdcap_wcm,3)-Sheet1!CY255)/(VLOOKUP(Sheet1!CY255,hhdcap_wcm,3)-VLOOKUP(Sheet1!CY255,hhdcap_wcm,1)))*(VLOOKUP(Sheet1!CY255,hhdcap_wcm,4)-VLOOKUP(Sheet1!CY255,hhdcap_wcm,2))))</f>
        <v>36529.580000088936</v>
      </c>
      <c r="AC255" s="712">
        <f t="shared" si="748"/>
        <v>-201.81000000021595</v>
      </c>
      <c r="AD255" s="712">
        <f t="shared" si="749"/>
        <v>2665.0561688548682</v>
      </c>
      <c r="AE255" s="712">
        <f t="shared" si="750"/>
        <v>8176.3923260467363</v>
      </c>
      <c r="AF255" s="712">
        <f>Sheet1!BA255+Sheet1!BB255+Sheet1!BN255+BT255</f>
        <v>14.3</v>
      </c>
      <c r="AG255" s="712">
        <f t="shared" si="751"/>
        <v>14.282745098039468</v>
      </c>
      <c r="AH255" s="712">
        <f>Sheet1!BA255+BT255</f>
        <v>0</v>
      </c>
      <c r="AI255" s="712">
        <f>Sheet1!BA255+Sheet1!BB255+BT255</f>
        <v>0</v>
      </c>
      <c r="AJ255" s="712">
        <f>IF((Sheet1!AA255+AG255+AX255+AZ255+BQ255+BS255+CL255+CN255)&lt;=N255,AG255+AX255+AZ255+BQ255+BS255+CL255+CN255,N255-Sheet1!AA255)</f>
        <v>14.282745098039468</v>
      </c>
      <c r="AK255" s="851">
        <f>IF(DR255&lt;K255,0,MAX(Sheet1!AA255+AG255-15/36*K255-N255,Sheet1!ED255,0))</f>
        <v>0</v>
      </c>
      <c r="AL255" s="712">
        <f>IF(OR(B255&gt;=FT255,B255&lt;FS255),0,15/36*K255-MAX(0,64.6-(137.6-(Sheet1!AA255+Sheet1!AB255))))</f>
        <v>0</v>
      </c>
      <c r="AM255" s="712">
        <f>Sheet1!CX255-110</f>
        <v>42.770833333333343</v>
      </c>
      <c r="AN255" s="712">
        <f>Sheet1!CW255-265</f>
        <v>11.333333333333314</v>
      </c>
      <c r="AO255" s="712">
        <f t="shared" si="733"/>
        <v>11.927254901966933</v>
      </c>
      <c r="AP255" s="851">
        <v>0</v>
      </c>
      <c r="AQ255" s="712">
        <f t="shared" si="753"/>
        <v>0</v>
      </c>
      <c r="AR255" s="712">
        <f t="shared" ref="AR255:AR282" si="821">GE255+GG255-AQ255</f>
        <v>1358.1051716644936</v>
      </c>
      <c r="AS255" s="712"/>
      <c r="AT255" s="712">
        <f ca="1">IF(B255&gt;Summary!$A$1,#N/A,AR255*MGtoAF)</f>
        <v>4166.6666666666661</v>
      </c>
      <c r="AU255" s="712">
        <f>Sheet1!BG255+Sheet1!BH255+Sheet1!BI255-BC255</f>
        <v>1.97</v>
      </c>
      <c r="AV255" s="712">
        <f t="shared" si="755"/>
        <v>1.9676229260935489</v>
      </c>
      <c r="AW255" s="712">
        <f>IF(Sheet1!EL255="FM",BC255,0)</f>
        <v>0</v>
      </c>
      <c r="AX255" s="712">
        <f t="shared" si="756"/>
        <v>0</v>
      </c>
      <c r="AY255" s="712">
        <f>IF(Sheet1!EL255="OTHER",BC255,0)</f>
        <v>0</v>
      </c>
      <c r="AZ255" s="712">
        <f t="shared" si="757"/>
        <v>0</v>
      </c>
      <c r="BA255" s="712">
        <f t="shared" si="758"/>
        <v>1.97</v>
      </c>
      <c r="BB255" s="712">
        <f t="shared" si="759"/>
        <v>1.9676229260935489</v>
      </c>
      <c r="BC255" s="712">
        <f>IF(OR(Sheet1!EL255="FM", Sheet1!EL255="OTHER"),SUM(Sheet1!BG255:'Sheet1'!BI255),0)</f>
        <v>0</v>
      </c>
      <c r="BD255" s="697">
        <f>IF(AND($B255&gt;=$FL255,$B255&lt;=$FM255),MAX(AV255,Sheet1!EE255,0),MAX(AV255-(7/36)*$K255,0))</f>
        <v>2</v>
      </c>
      <c r="BE255" s="712">
        <f t="shared" si="760"/>
        <v>0</v>
      </c>
      <c r="BF255" s="697">
        <f t="shared" si="761"/>
        <v>0</v>
      </c>
      <c r="BG255" s="697">
        <f>IF(AND($O255&gt;0,Sheet1!EI255=1),(1-($O255-Sheet1!$L255)/$O255)*BB255,0)</f>
        <v>0</v>
      </c>
      <c r="BH255" s="697">
        <f>IF(AND(Sheet1!$L255=0,Sheet1!$L254=0, Calculation!BA255&lt;Sheet1!$EE255-0.1,Sheet1!$EE255=Sheet1!$EE254,Sheet1!$EE255=Sheet1!$EE256),Sheet1!$EE255,BB255-BG255)</f>
        <v>1.9676229260935489</v>
      </c>
      <c r="BI255" s="712"/>
      <c r="BJ255" s="712"/>
      <c r="BK255" s="712">
        <f t="shared" si="762"/>
        <v>562.6510993347855</v>
      </c>
      <c r="BL255" s="712"/>
      <c r="BM255" s="712">
        <f ca="1">IF(B255&gt;Summary!$A$1,#N/A,BK255*MGtoAF)</f>
        <v>1726.2135727591219</v>
      </c>
      <c r="BN255" s="712">
        <f>Sheet1!BC255+Sheet1!BD255+Sheet1!BE255+Sheet1!BF255-BW255-BX255</f>
        <v>4.8299999999999992</v>
      </c>
      <c r="BO255" s="712">
        <f t="shared" si="763"/>
        <v>4.8241719457014414</v>
      </c>
      <c r="BP255" s="712">
        <f>IF(Sheet1!EM255="FM",BX255,0)</f>
        <v>0</v>
      </c>
      <c r="BQ255" s="712">
        <f t="shared" si="764"/>
        <v>0</v>
      </c>
      <c r="BR255" s="712">
        <f>IF(Sheet1!EM255="OTHER",BX255,0)</f>
        <v>0</v>
      </c>
      <c r="BS255" s="712">
        <f t="shared" si="765"/>
        <v>0</v>
      </c>
      <c r="BT255" s="712">
        <f t="shared" si="766"/>
        <v>0</v>
      </c>
      <c r="BU255" s="712">
        <f t="shared" si="767"/>
        <v>4.8299999999999992</v>
      </c>
      <c r="BV255" s="712">
        <f t="shared" si="768"/>
        <v>4.8241719457014414</v>
      </c>
      <c r="BW255" s="712">
        <f>IF(Sheet1!EM255="CWA",SUM(Sheet1!BC255:'Sheet1'!BF255),0)</f>
        <v>0</v>
      </c>
      <c r="BX255" s="712">
        <f>IF(OR(Sheet1!EM255="FM", Sheet1!EM255="OTHER"),SUM(Sheet1!BC255:'Sheet1'!BF255),0)</f>
        <v>0</v>
      </c>
      <c r="BY255" s="697">
        <f>IF(AND($B255&gt;=$FL255,$B255&lt;=$FM255),MAX(BV255,Sheet1!EF255,0),MAX(BV255-(7/36)*$K255,0))</f>
        <v>4.8241719457014414</v>
      </c>
      <c r="BZ255" s="712">
        <f t="shared" si="769"/>
        <v>0</v>
      </c>
      <c r="CA255" s="697">
        <f t="shared" si="770"/>
        <v>0</v>
      </c>
      <c r="CB255" s="697">
        <f>IF(AND($O255&gt;0,Sheet1!EJ255=1),(1-($O255-Sheet1!$L255)/$O255)*BV255,0)</f>
        <v>0</v>
      </c>
      <c r="CC255" s="697">
        <f>IF(AND(Sheet1!$L255=0,Sheet1!$L254=0, Calculation!BU255&lt;Sheet1!EF255-0.1,Sheet1!EF255=Sheet1!EF254,Sheet1!EF255=Sheet1!EF256),Sheet1!EF255,BV255-CB255)</f>
        <v>4.8241719457014414</v>
      </c>
      <c r="CD255" s="697"/>
      <c r="CE255" s="712"/>
      <c r="CF255" s="712">
        <f t="shared" si="771"/>
        <v>473.9982525202953</v>
      </c>
      <c r="CG255" s="712"/>
      <c r="CH255" s="712">
        <f ca="1">IF(B255&gt;Summary!$A$1,#N/A,CF255*MGtoAF)</f>
        <v>1454.2266387322659</v>
      </c>
      <c r="CI255" s="712">
        <f>Sheet1!BK255+Sheet1!BL255+Sheet1!BM255-Sheet1!EN255-CQ255</f>
        <v>12.05</v>
      </c>
      <c r="CJ255" s="712">
        <f t="shared" si="772"/>
        <v>12.035460030166126</v>
      </c>
      <c r="CK255" s="712">
        <f>IF(Sheet1!EN255="FM",CQ255,0)</f>
        <v>0</v>
      </c>
      <c r="CL255" s="712">
        <f t="shared" si="773"/>
        <v>0</v>
      </c>
      <c r="CM255" s="712">
        <f>IF(Sheet1!EN255="OTHER",CQ255,0)</f>
        <v>0</v>
      </c>
      <c r="CN255" s="712">
        <f t="shared" si="774"/>
        <v>0</v>
      </c>
      <c r="CO255" s="712">
        <f t="shared" si="775"/>
        <v>12.05</v>
      </c>
      <c r="CP255" s="712">
        <f t="shared" si="776"/>
        <v>12.035460030166126</v>
      </c>
      <c r="CQ255" s="712">
        <f>IF(OR(Sheet1!EN255="FM", Sheet1!EN255="OTHER"),SUM(Sheet1!BK255:'Sheet1'!BM255),0)</f>
        <v>0</v>
      </c>
      <c r="CR255" s="697">
        <f>IF(AND($B255&gt;=$FL255,$B255&lt;=$FM255),MAX($CJ255,Sheet1!EG255,0),MAX($CJ255-(7/36)*$K255,0))</f>
        <v>12.035460030166126</v>
      </c>
      <c r="CS255" s="712">
        <f t="shared" si="777"/>
        <v>0</v>
      </c>
      <c r="CT255" s="697">
        <f t="shared" si="778"/>
        <v>0</v>
      </c>
      <c r="CU255" s="697">
        <f>IF(AND($O255&gt;0,Sheet1!EK255=1),(1-($O255-Sheet1!$L255)/$O255)*CP255,0)</f>
        <v>0</v>
      </c>
      <c r="CV255" s="697">
        <f>IF(AND(Sheet1!$L255=0,Sheet1!$L254=0, Calculation!CO255&lt;Sheet1!$EG255-0.1,Sheet1!$EG255=Sheet1!$EG254,Sheet1!$EG255=Sheet1!$EG256),Sheet1!$EG255,CP255-CU255)</f>
        <v>12.035460030166126</v>
      </c>
      <c r="CW255" s="697">
        <f t="shared" si="721"/>
        <v>0</v>
      </c>
      <c r="CX255" s="712">
        <f t="shared" si="779"/>
        <v>18.850000000000001</v>
      </c>
      <c r="CY255" s="712">
        <f t="shared" si="780"/>
        <v>270.30164533529404</v>
      </c>
      <c r="CZ255" s="712">
        <f t="shared" si="781"/>
        <v>18.827254901961116</v>
      </c>
      <c r="DA255" s="712">
        <f ca="1">IF(B255&gt;Summary!$A$1,#N/A,CY255*MGtoAF)</f>
        <v>829.28544788868214</v>
      </c>
      <c r="DB255" s="712">
        <f t="shared" si="782"/>
        <v>18.849999999999998</v>
      </c>
      <c r="DC255" s="712">
        <f t="shared" si="783"/>
        <v>33.15</v>
      </c>
      <c r="DD255" s="712">
        <f>Sheet1!AB255-DC255</f>
        <v>-3.9999999999416502E-2</v>
      </c>
      <c r="DE255" s="712">
        <f t="shared" si="784"/>
        <v>-1.2066365007365461E-3</v>
      </c>
      <c r="DF255" s="712">
        <f>(VLOOKUP(Sheet1!CY255,hhdcap_wcm,4)-(((VLOOKUP(Sheet1!CY255,hhdcap_wcm,3)-Sheet1!CY255)/(VLOOKUP(Sheet1!CY255,hhdcap_wcm,3)-VLOOKUP(Sheet1!CY255,hhdcap_wcm,1)))*(VLOOKUP(Sheet1!CY255,hhdcap_wcm,4)-VLOOKUP(Sheet1!CY255,hhdcap_wcm,2))))</f>
        <v>36529.580000088936</v>
      </c>
      <c r="DG255" s="712">
        <f t="shared" si="785"/>
        <v>-201.81000000021595</v>
      </c>
      <c r="DH255" s="712">
        <f t="shared" si="786"/>
        <v>-101.77004538588801</v>
      </c>
      <c r="DI255" s="712">
        <f>Sheet1!DW255*AFtoMG</f>
        <v>0</v>
      </c>
      <c r="DJ255" s="712">
        <f>Sheet1!DX255*AFtoMG</f>
        <v>0</v>
      </c>
      <c r="DK255" s="712">
        <f>Sheet1!DY255*AFtoMG</f>
        <v>0</v>
      </c>
      <c r="DL255" s="712">
        <f>Sheet1!DZ255*AFtoMG</f>
        <v>0</v>
      </c>
      <c r="DM255" s="712">
        <f t="shared" si="787"/>
        <v>0</v>
      </c>
      <c r="DN255" s="712">
        <f t="shared" si="788"/>
        <v>0</v>
      </c>
      <c r="DO255" s="712">
        <f t="shared" si="789"/>
        <v>2665.0561688548682</v>
      </c>
      <c r="DP255" s="712">
        <f t="shared" si="790"/>
        <v>8176.3923260467363</v>
      </c>
      <c r="DQ255" s="712"/>
      <c r="DR255" s="697">
        <f>IF(OR(B255&lt;FL255,B255&gt;FM255),(MIN(AV255+BO255+CJ255+MAX(Sheet1!AA255+AG255-73,0),K255)),0)</f>
        <v>0</v>
      </c>
      <c r="DS255" s="712"/>
      <c r="DT255" s="712">
        <f t="shared" si="791"/>
        <v>18.827254901961116</v>
      </c>
      <c r="DU255" s="712"/>
      <c r="DV255" s="712">
        <f>Sheet1!ED255+Sheet1!EE255+Sheet1!EF255+Sheet1!EG255</f>
        <v>18.5</v>
      </c>
      <c r="DW255" s="712"/>
      <c r="DX255" s="697">
        <f t="shared" si="792"/>
        <v>0</v>
      </c>
      <c r="DY255" s="712">
        <f>IF(Sheet1!FN255=1,SUM('Calculations II'!AT255:BA255)+'Calculations II'!BC255+Sheet1!BU255+'Calculations II'!BE255+AF255,SUM('Calculations II'!AT255:BA255)+'Calculations II'!BC255+Sheet1!BU255+'Calculations II'!BE255+AF255)</f>
        <v>65.818479999999994</v>
      </c>
      <c r="DZ255" s="712">
        <f>Sheet1!AA255+Sheet1!AB255+'Calculations II'!BC255</f>
        <v>89.190447999994177</v>
      </c>
      <c r="EA255" s="712"/>
      <c r="EB255" s="712"/>
      <c r="EC255" s="712">
        <f t="shared" si="793"/>
        <v>40784</v>
      </c>
      <c r="ED255" s="712">
        <f t="shared" si="794"/>
        <v>-18.859631975867568</v>
      </c>
      <c r="EE255" s="712">
        <f t="shared" si="795"/>
        <v>-29.175850666667127</v>
      </c>
      <c r="EF255" s="712">
        <f ca="1">IF(B255=TODAY(),0,-(VLOOKUP(Sheet1!BQ255,Lookup!$B$4:$J$236,2)-VLOOKUP(Sheet1!BQ254,Lookup!$B$4:$J$236,2))/1000000)</f>
        <v>-1.8900999999999999</v>
      </c>
      <c r="EG255" s="712">
        <f ca="1">IF(B255=TODAY(),0,-(VLOOKUP(Sheet1!BR255,Lookup!$B$4:$J$236,3)-VLOOKUP(Sheet1!BR254,Lookup!$B$4:$J$236,3))/1000000)</f>
        <v>-1.8866000000000001</v>
      </c>
      <c r="EH255" s="712">
        <f>-(VLOOKUP(Sheet1!BS255,Lookup!$B$4:$J$236,4)-VLOOKUP(Sheet1!BS254,Lookup!$B$4:$J$236,4))/1000000</f>
        <v>0</v>
      </c>
      <c r="EI255" s="697">
        <f t="shared" ca="1" si="819"/>
        <v>-3.7766999999999999</v>
      </c>
      <c r="EJ255" s="712"/>
      <c r="EK255" s="712"/>
      <c r="EL255" s="712"/>
      <c r="EM255" s="712"/>
      <c r="EN255" s="712"/>
      <c r="EO255" s="712"/>
      <c r="EP255" s="712"/>
      <c r="EQ255" s="712"/>
      <c r="ET255" s="794">
        <f t="shared" si="818"/>
        <v>1131.5999999999999</v>
      </c>
      <c r="EU255" s="697">
        <v>8785</v>
      </c>
      <c r="EV255" s="795">
        <f t="shared" si="734"/>
        <v>18348.187674042201</v>
      </c>
      <c r="EW255" s="796" t="s">
        <v>757</v>
      </c>
      <c r="EX255" s="796" t="s">
        <v>758</v>
      </c>
      <c r="EY255" s="712">
        <f t="shared" si="817"/>
        <v>0</v>
      </c>
      <c r="EZ255" s="798">
        <v>18929.000000042299</v>
      </c>
      <c r="FA255" s="712"/>
      <c r="FB255" s="712"/>
      <c r="FC255" s="712"/>
      <c r="FD255" s="712"/>
      <c r="FE255" s="712">
        <f>O255+Sheet1!CO255</f>
        <v>6531.599999999994</v>
      </c>
      <c r="FF255" s="712">
        <f>IF(Sheet1!AA255+AG255&lt;=Calculation!N255,AG255,Calculation!N255-Sheet1!AA255)</f>
        <v>14.282745098039468</v>
      </c>
      <c r="FG255" s="712">
        <f>(Sheet1!BP255+Sheet1!BO255)/694.4</f>
        <v>3.9834389400921659</v>
      </c>
      <c r="FH255" s="712"/>
      <c r="FI255" s="712"/>
      <c r="FJ255" s="712"/>
      <c r="FK255" s="712"/>
      <c r="FL255" s="714">
        <f t="shared" si="726"/>
        <v>40753</v>
      </c>
      <c r="FM255" s="714">
        <f t="shared" si="727"/>
        <v>40851</v>
      </c>
      <c r="FN255" s="712"/>
      <c r="FO255" s="712"/>
      <c r="FP255" s="712"/>
      <c r="FQ255" s="712"/>
      <c r="FR255" s="712"/>
      <c r="FS255" s="725">
        <f t="shared" si="820"/>
        <v>40603</v>
      </c>
      <c r="FT255" s="714">
        <f t="shared" si="729"/>
        <v>40709</v>
      </c>
      <c r="FU255" s="712">
        <f t="shared" si="820"/>
        <v>6518.9048239895692</v>
      </c>
      <c r="FV255" s="714">
        <f t="shared" si="730"/>
        <v>40722</v>
      </c>
      <c r="FW255" s="712">
        <f t="shared" si="820"/>
        <v>3259.4524119947846</v>
      </c>
      <c r="FX255" s="725">
        <f t="shared" si="820"/>
        <v>40851</v>
      </c>
      <c r="FZ255" s="697">
        <f t="shared" si="722"/>
        <v>0</v>
      </c>
      <c r="GA255" s="712" t="str">
        <f t="shared" si="797"/>
        <v/>
      </c>
      <c r="GB255" s="712">
        <f t="shared" si="798"/>
        <v>0</v>
      </c>
      <c r="GC255" s="712" t="str">
        <f t="shared" si="799"/>
        <v/>
      </c>
      <c r="GD255" s="712">
        <f>IF(GA255="P",Lookup!$M$12,IF(GA255="PP",Lookup!$M$13,IF(GA255="PPP",Lookup!$M$14,IF(GA255="T",Lookup!$M$15,IF(GA255="TP",Lookup!$M$16,IF(GA255="TPP",Lookup!$M$17,IF(GA255="TPPP",Lookup!$M$18,0)))))))*FZ255</f>
        <v>0</v>
      </c>
      <c r="GE255" s="712">
        <f t="shared" si="800"/>
        <v>0</v>
      </c>
      <c r="GF255" s="712">
        <f t="shared" si="801"/>
        <v>4166.6666666666661</v>
      </c>
      <c r="GG255" s="712">
        <f t="shared" si="802"/>
        <v>1358.1051716644936</v>
      </c>
      <c r="GH255" s="712"/>
      <c r="GI255" s="712">
        <f t="shared" si="803"/>
        <v>0</v>
      </c>
      <c r="GJ255" s="712" t="str">
        <f t="shared" si="804"/>
        <v/>
      </c>
      <c r="GK255" s="712">
        <f>IF(GA255="P",Lookup!$N$12,IF(GA255="PP",Lookup!$N$13,IF(GA255="PPP",Lookup!$N$14,IF(GA255="T",Lookup!$N$15,IF(GA255="TP",Lookup!$N$16,IF(GA255="TPP",Lookup!$N$17,IF(GA255="TPPP",Lookup!$N$18,0)))))))*FZ255</f>
        <v>0</v>
      </c>
      <c r="GL255" s="712">
        <f t="shared" si="805"/>
        <v>0</v>
      </c>
      <c r="GM255" s="712">
        <f t="shared" si="806"/>
        <v>1726.2135727591219</v>
      </c>
      <c r="GN255" s="712">
        <f t="shared" si="807"/>
        <v>562.6510993347855</v>
      </c>
      <c r="GO255" s="712"/>
      <c r="GP255" s="712">
        <f t="shared" si="808"/>
        <v>0</v>
      </c>
      <c r="GQ255" s="712" t="str">
        <f t="shared" si="809"/>
        <v/>
      </c>
      <c r="GR255" s="712">
        <f>IF(GA255="P",Lookup!$N$12,IF(GA255="PP",Lookup!$N$13,IF(GA255="PPP",Lookup!$N$14,IF(GA255="T",Lookup!$N$15,IF(GA255="TP",Lookup!$N$16,IF(GA255="TPP",Lookup!$N$17,IF(GA255="TPPP",Lookup!$N$18,0)))))))*FZ255</f>
        <v>0</v>
      </c>
      <c r="GS255" s="697">
        <f t="shared" si="724"/>
        <v>0</v>
      </c>
      <c r="GT255" s="712">
        <f t="shared" si="810"/>
        <v>1454.2266387322659</v>
      </c>
      <c r="GU255" s="712">
        <f t="shared" si="811"/>
        <v>473.9982525202953</v>
      </c>
      <c r="GV255" s="712"/>
      <c r="GW255" s="712">
        <f t="shared" si="812"/>
        <v>0</v>
      </c>
      <c r="GX255" s="712" t="str">
        <f t="shared" si="813"/>
        <v/>
      </c>
      <c r="GY255" s="712">
        <f>IF(GA255="P",Lookup!$N$12,IF(GA255="PP",Lookup!$N$13,IF(GA255="PPP",Lookup!$N$14,IF(GA255="T",Lookup!$N$15,IF(GA255="TP",Lookup!$N$16,IF(GA255="TPP",Lookup!$N$17,IF(GA255="TPPP",Lookup!$N$18,0)))))))*FZ255</f>
        <v>0</v>
      </c>
      <c r="GZ255" s="697">
        <f t="shared" si="725"/>
        <v>0</v>
      </c>
      <c r="HA255" s="712">
        <f t="shared" si="814"/>
        <v>829.28544788868214</v>
      </c>
      <c r="HB255" s="712">
        <f t="shared" si="815"/>
        <v>270.30164533529404</v>
      </c>
      <c r="HC255" s="712"/>
    </row>
    <row r="256" spans="1:211">
      <c r="A256" s="773" t="s">
        <v>5</v>
      </c>
      <c r="B256" s="708">
        <v>40785</v>
      </c>
      <c r="C256" s="719">
        <v>0.5</v>
      </c>
      <c r="D256" s="675">
        <f t="shared" si="737"/>
        <v>200</v>
      </c>
      <c r="E256" s="675">
        <f t="shared" si="738"/>
        <v>400</v>
      </c>
      <c r="F256" s="675">
        <v>250</v>
      </c>
      <c r="G256" s="712">
        <f>DH256+Sheet1!CV256</f>
        <v>161.6913767018533</v>
      </c>
      <c r="H256" s="712">
        <f t="shared" si="739"/>
        <v>0</v>
      </c>
      <c r="I256" s="711">
        <f>MAX(Sheet1!Z256-AJ256+(Sheet1!CW256-E256)*CFStoMGD,0)</f>
        <v>0</v>
      </c>
      <c r="J256" s="720">
        <f>IF(AND(B256&gt;=Calculation!FS256,B256&lt;=Calculation!FT256),IF(Sheet1!CX256&gt;=Calculation!D256,64.64,0),MAX(Sheet1!Z256-AJ256+(Sheet1!CX256-D256)*CFStoMGD,0))</f>
        <v>0</v>
      </c>
      <c r="K256" s="697">
        <f t="shared" si="740"/>
        <v>0</v>
      </c>
      <c r="L256" s="712">
        <f>Sheet1!AA256+Sheet1!AB256-Sheet1!L256+(Sheet1!CW256-F256)*CFStoMGD</f>
        <v>117.24080000000174</v>
      </c>
      <c r="M256" s="712">
        <f t="shared" si="741"/>
        <v>106.60765201807953</v>
      </c>
      <c r="N256" s="712">
        <f>IF(Sheet1!CW256&gt;=F256,MIN(73,MIN(MAX(L256,0),MAX(M256,0))),0)</f>
        <v>73</v>
      </c>
      <c r="O256" s="721">
        <f>Sheet1!AA256+Sheet1!AB256</f>
        <v>83.830000000001746</v>
      </c>
      <c r="P256" s="721">
        <f t="shared" si="742"/>
        <v>129.68501000000271</v>
      </c>
      <c r="Q256" s="712">
        <f>MIN(N256,Sheet1!AA256+AG256)</f>
        <v>66.589861687416956</v>
      </c>
      <c r="R256" s="712">
        <f t="shared" si="743"/>
        <v>18.5</v>
      </c>
      <c r="S256" s="721">
        <f>Sheet1!Y256*MGDtoCFS</f>
        <v>73.142160000000004</v>
      </c>
      <c r="T256" s="721">
        <f>Sheet1!Z256*MGDtoCFS</f>
        <v>50.958179999999992</v>
      </c>
      <c r="U256" s="721">
        <f>Sheet1!AA256*MGDtoCFS</f>
        <v>73.467030000008094</v>
      </c>
      <c r="V256" s="721">
        <f>Sheet1!AB256*MGDtoCFS</f>
        <v>56.217979999994597</v>
      </c>
      <c r="W256" s="721">
        <f>Sheet1!L256*MGDtoCFS</f>
        <v>0</v>
      </c>
      <c r="X256" s="697">
        <f t="shared" si="744"/>
        <v>18.5</v>
      </c>
      <c r="Y256" s="712">
        <f t="shared" si="745"/>
        <v>28.619499999999999</v>
      </c>
      <c r="Z256" s="712">
        <f t="shared" si="746"/>
        <v>0</v>
      </c>
      <c r="AA256" s="712">
        <f t="shared" si="747"/>
        <v>0</v>
      </c>
      <c r="AB256" s="712">
        <f>(VLOOKUP(Sheet1!CY256,hhdcap_wcm,4)-(((VLOOKUP(Sheet1!CY256,hhdcap_wcm,3)-Sheet1!CY256)/(VLOOKUP(Sheet1!CY256,hhdcap_wcm,3)-VLOOKUP(Sheet1!CY256,hhdcap_wcm,1)))*(VLOOKUP(Sheet1!CY256,hhdcap_wcm,4)-VLOOKUP(Sheet1!CY256,hhdcap_wcm,2))))</f>
        <v>36298.940000088711</v>
      </c>
      <c r="AC256" s="712">
        <f t="shared" si="748"/>
        <v>-230.64000000022497</v>
      </c>
      <c r="AD256" s="712">
        <f t="shared" si="749"/>
        <v>2646.5561688548682</v>
      </c>
      <c r="AE256" s="712">
        <f t="shared" si="750"/>
        <v>8119.6343260467356</v>
      </c>
      <c r="AF256" s="712">
        <f>Sheet1!BA256+Sheet1!BB256+Sheet1!BN256+BT256</f>
        <v>19</v>
      </c>
      <c r="AG256" s="712">
        <f t="shared" si="751"/>
        <v>19.099861687411721</v>
      </c>
      <c r="AH256" s="712">
        <f>Sheet1!BA256+BT256</f>
        <v>0</v>
      </c>
      <c r="AI256" s="712">
        <f>Sheet1!BA256+Sheet1!BB256+BT256</f>
        <v>0</v>
      </c>
      <c r="AJ256" s="712">
        <f>IF((Sheet1!AA256+AG256+AX256+AZ256+BQ256+BS256+CL256+CN256)&lt;=N256,AG256+AX256+AZ256+BQ256+BS256+CL256+CN256,N256-Sheet1!AA256)</f>
        <v>19.099861687411721</v>
      </c>
      <c r="AK256" s="851">
        <f>IF(DR256&lt;K256,0,MAX(Sheet1!AA256+AG256-15/36*K256-N256,Sheet1!ED256,0))</f>
        <v>0</v>
      </c>
      <c r="AL256" s="712">
        <f>IF(OR(B256&gt;=FT256,B256&lt;FS256),0,15/36*K256-MAX(0,64.6-(137.6-(Sheet1!AA256+Sheet1!AB256))))</f>
        <v>0</v>
      </c>
      <c r="AM256" s="712">
        <f>Sheet1!CX256-110</f>
        <v>51.239583333333343</v>
      </c>
      <c r="AN256" s="712">
        <f>Sheet1!CW256-265</f>
        <v>36.6875</v>
      </c>
      <c r="AO256" s="712">
        <f t="shared" si="733"/>
        <v>6.4101383125830438</v>
      </c>
      <c r="AP256" s="851">
        <v>0</v>
      </c>
      <c r="AQ256" s="712">
        <f t="shared" si="753"/>
        <v>0</v>
      </c>
      <c r="AR256" s="712">
        <f t="shared" si="821"/>
        <v>1358.1051716644936</v>
      </c>
      <c r="AS256" s="712"/>
      <c r="AT256" s="712">
        <f ca="1">IF(B256&gt;Summary!$A$1,#N/A,AR256*MGtoAF)</f>
        <v>4166.6666666666661</v>
      </c>
      <c r="AU256" s="712">
        <f>Sheet1!BG256+Sheet1!BH256+Sheet1!BI256-BC256</f>
        <v>1.92</v>
      </c>
      <c r="AV256" s="712">
        <f t="shared" si="755"/>
        <v>1.9300912863068684</v>
      </c>
      <c r="AW256" s="712">
        <f>IF(Sheet1!EL256="FM",BC256,0)</f>
        <v>0</v>
      </c>
      <c r="AX256" s="712">
        <f t="shared" si="756"/>
        <v>0</v>
      </c>
      <c r="AY256" s="712">
        <f>IF(Sheet1!EL256="OTHER",BC256,0)</f>
        <v>0</v>
      </c>
      <c r="AZ256" s="712">
        <f t="shared" si="757"/>
        <v>0</v>
      </c>
      <c r="BA256" s="712">
        <f t="shared" si="758"/>
        <v>1.92</v>
      </c>
      <c r="BB256" s="712">
        <f t="shared" si="759"/>
        <v>1.9300912863068684</v>
      </c>
      <c r="BC256" s="712">
        <f>IF(OR(Sheet1!EL256="FM", Sheet1!EL256="OTHER"),SUM(Sheet1!BG256:'Sheet1'!BI256),0)</f>
        <v>0</v>
      </c>
      <c r="BD256" s="697">
        <f>IF(AND($B256&gt;=$FL256,$B256&lt;=$FM256),MAX(AV256,Sheet1!EE256,0),MAX(AV256-(7/36)*$K256,0))</f>
        <v>2</v>
      </c>
      <c r="BE256" s="712">
        <f t="shared" si="760"/>
        <v>0</v>
      </c>
      <c r="BF256" s="697">
        <f t="shared" si="761"/>
        <v>0</v>
      </c>
      <c r="BG256" s="697">
        <f>IF(AND($O256&gt;0,Sheet1!EI256=1),(1-($O256-Sheet1!$L256)/$O256)*BB256,0)</f>
        <v>0</v>
      </c>
      <c r="BH256" s="697">
        <f>IF(AND(Sheet1!$L256=0,Sheet1!$L255=0, Calculation!BA256&lt;Sheet1!$EE256-0.1,Sheet1!$EE256=Sheet1!$EE255,Sheet1!$EE256=Sheet1!$EE257),Sheet1!$EE256,BB256-BG256)</f>
        <v>1.9300912863068684</v>
      </c>
      <c r="BI256" s="712"/>
      <c r="BJ256" s="712"/>
      <c r="BK256" s="712">
        <f t="shared" si="762"/>
        <v>560.6510993347855</v>
      </c>
      <c r="BL256" s="712"/>
      <c r="BM256" s="712">
        <f ca="1">IF(B256&gt;Summary!$A$1,#N/A,BK256*MGtoAF)</f>
        <v>1720.0775727591219</v>
      </c>
      <c r="BN256" s="712">
        <f>Sheet1!BC256+Sheet1!BD256+Sheet1!BE256+Sheet1!BF256-BW256-BX256</f>
        <v>3.62</v>
      </c>
      <c r="BO256" s="712">
        <f t="shared" si="763"/>
        <v>3.639026279391075</v>
      </c>
      <c r="BP256" s="712">
        <f>IF(Sheet1!EM256="FM",BX256,0)</f>
        <v>0</v>
      </c>
      <c r="BQ256" s="712">
        <f t="shared" si="764"/>
        <v>0</v>
      </c>
      <c r="BR256" s="712">
        <f>IF(Sheet1!EM256="OTHER",BX256,0)</f>
        <v>0</v>
      </c>
      <c r="BS256" s="712">
        <f t="shared" si="765"/>
        <v>0</v>
      </c>
      <c r="BT256" s="712">
        <f t="shared" si="766"/>
        <v>0</v>
      </c>
      <c r="BU256" s="712">
        <f t="shared" si="767"/>
        <v>3.62</v>
      </c>
      <c r="BV256" s="712">
        <f t="shared" si="768"/>
        <v>3.639026279391075</v>
      </c>
      <c r="BW256" s="712">
        <f>IF(Sheet1!EM256="CWA",SUM(Sheet1!BC256:'Sheet1'!BF256),0)</f>
        <v>0</v>
      </c>
      <c r="BX256" s="712">
        <f>IF(OR(Sheet1!EM256="FM", Sheet1!EM256="OTHER"),SUM(Sheet1!BC256:'Sheet1'!BF256),0)</f>
        <v>0</v>
      </c>
      <c r="BY256" s="697">
        <f>IF(AND($B256&gt;=$FL256,$B256&lt;=$FM256),MAX(BV256,Sheet1!EF256,0),MAX(BV256-(7/36)*$K256,0))</f>
        <v>4.5</v>
      </c>
      <c r="BZ256" s="712">
        <f t="shared" si="769"/>
        <v>0</v>
      </c>
      <c r="CA256" s="697">
        <f t="shared" si="770"/>
        <v>0</v>
      </c>
      <c r="CB256" s="697">
        <f>IF(AND($O256&gt;0,Sheet1!EJ256=1),(1-($O256-Sheet1!$L256)/$O256)*BV256,0)</f>
        <v>0</v>
      </c>
      <c r="CC256" s="697">
        <f>IF(AND(Sheet1!$L256=0,Sheet1!$L255=0, Calculation!BU256&lt;Sheet1!EF256-0.1,Sheet1!EF256=Sheet1!EF255,Sheet1!EF256=Sheet1!EF257),Sheet1!EF256,BV256-CB256)</f>
        <v>4.5</v>
      </c>
      <c r="CD256" s="697"/>
      <c r="CE256" s="712"/>
      <c r="CF256" s="712">
        <f t="shared" si="771"/>
        <v>469.4982525202953</v>
      </c>
      <c r="CG256" s="712"/>
      <c r="CH256" s="712">
        <f ca="1">IF(B256&gt;Summary!$A$1,#N/A,CF256*MGtoAF)</f>
        <v>1440.4206387322661</v>
      </c>
      <c r="CI256" s="712">
        <f>Sheet1!BK256+Sheet1!BL256+Sheet1!BM256-Sheet1!EN256-CQ256</f>
        <v>11.61</v>
      </c>
      <c r="CJ256" s="712">
        <f t="shared" si="772"/>
        <v>11.671020746886844</v>
      </c>
      <c r="CK256" s="712">
        <f>IF(Sheet1!EN256="FM",CQ256,0)</f>
        <v>0</v>
      </c>
      <c r="CL256" s="712">
        <f t="shared" si="773"/>
        <v>0</v>
      </c>
      <c r="CM256" s="712">
        <f>IF(Sheet1!EN256="OTHER",CQ256,0)</f>
        <v>0</v>
      </c>
      <c r="CN256" s="712">
        <f t="shared" si="774"/>
        <v>0</v>
      </c>
      <c r="CO256" s="712">
        <f t="shared" si="775"/>
        <v>11.61</v>
      </c>
      <c r="CP256" s="712">
        <f t="shared" si="776"/>
        <v>11.671020746886844</v>
      </c>
      <c r="CQ256" s="712">
        <f>IF(OR(Sheet1!EN256="FM", Sheet1!EN256="OTHER"),SUM(Sheet1!BK256:'Sheet1'!BM256),0)</f>
        <v>0</v>
      </c>
      <c r="CR256" s="697">
        <f>IF(AND($B256&gt;=$FL256,$B256&lt;=$FM256),MAX($CJ256,Sheet1!EG256,0),MAX($CJ256-(7/36)*$K256,0))</f>
        <v>12</v>
      </c>
      <c r="CS256" s="712">
        <f t="shared" si="777"/>
        <v>0</v>
      </c>
      <c r="CT256" s="697">
        <f t="shared" si="778"/>
        <v>0</v>
      </c>
      <c r="CU256" s="697">
        <f>IF(AND($O256&gt;0,Sheet1!EK256=1),(1-($O256-Sheet1!$L256)/$O256)*CP256,0)</f>
        <v>0</v>
      </c>
      <c r="CV256" s="697">
        <f>IF(AND(Sheet1!$L256=0,Sheet1!$L255=0, Calculation!CO256&lt;Sheet1!$EG256-0.1,Sheet1!$EG256=Sheet1!$EG255,Sheet1!$EG256=Sheet1!$EG257),Sheet1!$EG256,CP256-CU256)</f>
        <v>11.671020746886844</v>
      </c>
      <c r="CW256" s="697">
        <f t="shared" si="721"/>
        <v>0</v>
      </c>
      <c r="CX256" s="712">
        <f t="shared" si="779"/>
        <v>17.149999999999999</v>
      </c>
      <c r="CY256" s="712">
        <f t="shared" si="780"/>
        <v>258.30164533529404</v>
      </c>
      <c r="CZ256" s="712">
        <f t="shared" si="781"/>
        <v>17.24013831258479</v>
      </c>
      <c r="DA256" s="712">
        <f ca="1">IF(B256&gt;Summary!$A$1,#N/A,CY256*MGtoAF)</f>
        <v>792.46944788868211</v>
      </c>
      <c r="DB256" s="712">
        <f t="shared" si="782"/>
        <v>17.149999999999999</v>
      </c>
      <c r="DC256" s="712">
        <f t="shared" si="783"/>
        <v>36.15</v>
      </c>
      <c r="DD256" s="712">
        <f>Sheet1!AB256-DC256</f>
        <v>0.18999999999650896</v>
      </c>
      <c r="DE256" s="712">
        <f t="shared" si="784"/>
        <v>5.2558782848273573E-3</v>
      </c>
      <c r="DF256" s="712">
        <f>(VLOOKUP(Sheet1!CY256,hhdcap_wcm,4)-(((VLOOKUP(Sheet1!CY256,hhdcap_wcm,3)-Sheet1!CY256)/(VLOOKUP(Sheet1!CY256,hhdcap_wcm,3)-VLOOKUP(Sheet1!CY256,hhdcap_wcm,1)))*(VLOOKUP(Sheet1!CY256,hhdcap_wcm,4)-VLOOKUP(Sheet1!CY256,hhdcap_wcm,2))))</f>
        <v>36298.940000088711</v>
      </c>
      <c r="DG256" s="712">
        <f t="shared" si="785"/>
        <v>-230.64000000022497</v>
      </c>
      <c r="DH256" s="712">
        <f t="shared" si="786"/>
        <v>-116.30862329814671</v>
      </c>
      <c r="DI256" s="712">
        <f>Sheet1!DW256*AFtoMG</f>
        <v>0</v>
      </c>
      <c r="DJ256" s="712">
        <f>Sheet1!DX256*AFtoMG</f>
        <v>0</v>
      </c>
      <c r="DK256" s="712">
        <f>Sheet1!DY256*AFtoMG</f>
        <v>0</v>
      </c>
      <c r="DL256" s="712">
        <f>Sheet1!DZ256*AFtoMG</f>
        <v>0</v>
      </c>
      <c r="DM256" s="712">
        <f t="shared" si="787"/>
        <v>0</v>
      </c>
      <c r="DN256" s="712">
        <f t="shared" si="788"/>
        <v>0</v>
      </c>
      <c r="DO256" s="712">
        <f t="shared" si="789"/>
        <v>2646.5561688548682</v>
      </c>
      <c r="DP256" s="712">
        <f t="shared" si="790"/>
        <v>8119.6343260467356</v>
      </c>
      <c r="DQ256" s="712"/>
      <c r="DR256" s="697">
        <f>IF(OR(B256&lt;FL256,B256&gt;FM256),(MIN(AV256+BO256+CJ256+MAX(Sheet1!AA256+AG256-73,0),K256)),0)</f>
        <v>0</v>
      </c>
      <c r="DS256" s="712"/>
      <c r="DT256" s="712">
        <f t="shared" si="791"/>
        <v>17.24013831258479</v>
      </c>
      <c r="DU256" s="712"/>
      <c r="DV256" s="712">
        <f>Sheet1!ED256+Sheet1!EE256+Sheet1!EF256+Sheet1!EG256</f>
        <v>18.5</v>
      </c>
      <c r="DW256" s="712"/>
      <c r="DX256" s="697">
        <f t="shared" si="792"/>
        <v>0</v>
      </c>
      <c r="DY256" s="712">
        <f>IF(Sheet1!FN256=1,SUM('Calculations II'!AT256:BA256)+'Calculations II'!BC256+Sheet1!BU256+'Calculations II'!BE256+AF256,SUM('Calculations II'!AT256:BA256)+'Calculations II'!BC256+Sheet1!BU256+'Calculations II'!BE256+AF256)</f>
        <v>67.015936000000011</v>
      </c>
      <c r="DZ256" s="712">
        <f>Sheet1!AA256+Sheet1!AB256+'Calculations II'!BC256</f>
        <v>94.763632000001749</v>
      </c>
      <c r="EA256" s="712"/>
      <c r="EB256" s="712"/>
      <c r="EC256" s="712">
        <f t="shared" si="793"/>
        <v>40785</v>
      </c>
      <c r="ED256" s="712">
        <f t="shared" si="794"/>
        <v>-18.5</v>
      </c>
      <c r="EE256" s="712">
        <f t="shared" si="795"/>
        <v>-28.619499999999999</v>
      </c>
      <c r="EF256" s="712">
        <f ca="1">IF(B256=TODAY(),0,-(VLOOKUP(Sheet1!BQ256,Lookup!$B$4:$J$236,2)-VLOOKUP(Sheet1!BQ255,Lookup!$B$4:$J$236,2))/1000000)</f>
        <v>-4.6516000000000002</v>
      </c>
      <c r="EG256" s="712">
        <f ca="1">IF(B256=TODAY(),0,-(VLOOKUP(Sheet1!BR256,Lookup!$B$4:$J$236,3)-VLOOKUP(Sheet1!BR255,Lookup!$B$4:$J$236,3))/1000000)</f>
        <v>-4.6444000000000001</v>
      </c>
      <c r="EH256" s="712">
        <f>-(VLOOKUP(Sheet1!BS256,Lookup!$B$4:$J$236,4)-VLOOKUP(Sheet1!BS255,Lookup!$B$4:$J$236,4))/1000000</f>
        <v>0</v>
      </c>
      <c r="EI256" s="697">
        <f t="shared" ca="1" si="819"/>
        <v>-9.2959999999999994</v>
      </c>
      <c r="EJ256" s="712"/>
      <c r="EK256" s="712"/>
      <c r="EL256" s="712"/>
      <c r="EM256" s="712"/>
      <c r="EN256" s="712"/>
      <c r="EO256" s="712"/>
      <c r="EP256" s="712"/>
      <c r="EQ256" s="712"/>
      <c r="ET256" s="794">
        <f t="shared" si="818"/>
        <v>1131.4000000000001</v>
      </c>
      <c r="EU256" s="697">
        <v>8785</v>
      </c>
      <c r="EV256" s="795">
        <f t="shared" si="734"/>
        <v>18174.305674041974</v>
      </c>
      <c r="EW256" s="796" t="s">
        <v>757</v>
      </c>
      <c r="EX256" s="796" t="s">
        <v>758</v>
      </c>
      <c r="EY256" s="712">
        <f t="shared" si="817"/>
        <v>0</v>
      </c>
      <c r="EZ256" s="798">
        <v>18812.000000042164</v>
      </c>
      <c r="FA256" s="712"/>
      <c r="FB256" s="712"/>
      <c r="FC256" s="712"/>
      <c r="FD256" s="712"/>
      <c r="FE256" s="712">
        <f>O256+Sheet1!CO256</f>
        <v>7676.6300000000019</v>
      </c>
      <c r="FF256" s="712">
        <f>IF(Sheet1!AA256+AG256&lt;=Calculation!N256,AG256,Calculation!N256-Sheet1!AA256)</f>
        <v>19.099861687411721</v>
      </c>
      <c r="FG256" s="712">
        <f>(Sheet1!BP256+Sheet1!BO256)/694.4</f>
        <v>3.3626152073732718</v>
      </c>
      <c r="FH256" s="712"/>
      <c r="FI256" s="712"/>
      <c r="FJ256" s="712"/>
      <c r="FK256" s="712"/>
      <c r="FL256" s="714">
        <f t="shared" si="726"/>
        <v>40753</v>
      </c>
      <c r="FM256" s="714">
        <f t="shared" si="727"/>
        <v>40851</v>
      </c>
      <c r="FN256" s="712"/>
      <c r="FO256" s="712"/>
      <c r="FP256" s="712"/>
      <c r="FQ256" s="712"/>
      <c r="FR256" s="712"/>
      <c r="FS256" s="725">
        <f t="shared" si="820"/>
        <v>40603</v>
      </c>
      <c r="FT256" s="714">
        <f t="shared" si="729"/>
        <v>40709</v>
      </c>
      <c r="FU256" s="712">
        <f t="shared" si="820"/>
        <v>6518.9048239895692</v>
      </c>
      <c r="FV256" s="714">
        <f t="shared" si="730"/>
        <v>40722</v>
      </c>
      <c r="FW256" s="712">
        <f t="shared" si="820"/>
        <v>3259.4524119947846</v>
      </c>
      <c r="FX256" s="725">
        <f t="shared" si="820"/>
        <v>40851</v>
      </c>
      <c r="FZ256" s="697">
        <f t="shared" si="722"/>
        <v>0</v>
      </c>
      <c r="GA256" s="712" t="str">
        <f t="shared" si="797"/>
        <v/>
      </c>
      <c r="GB256" s="712">
        <f t="shared" si="798"/>
        <v>0</v>
      </c>
      <c r="GC256" s="712" t="str">
        <f t="shared" si="799"/>
        <v/>
      </c>
      <c r="GD256" s="712">
        <f>IF(GA256="P",Lookup!$M$12,IF(GA256="PP",Lookup!$M$13,IF(GA256="PPP",Lookup!$M$14,IF(GA256="T",Lookup!$M$15,IF(GA256="TP",Lookup!$M$16,IF(GA256="TPP",Lookup!$M$17,IF(GA256="TPPP",Lookup!$M$18,0)))))))*FZ256</f>
        <v>0</v>
      </c>
      <c r="GE256" s="712">
        <f t="shared" si="800"/>
        <v>0</v>
      </c>
      <c r="GF256" s="712">
        <f t="shared" si="801"/>
        <v>4166.6666666666661</v>
      </c>
      <c r="GG256" s="712">
        <f t="shared" si="802"/>
        <v>1358.1051716644936</v>
      </c>
      <c r="GH256" s="712"/>
      <c r="GI256" s="712">
        <f t="shared" si="803"/>
        <v>0</v>
      </c>
      <c r="GJ256" s="712" t="str">
        <f t="shared" si="804"/>
        <v/>
      </c>
      <c r="GK256" s="712">
        <f>IF(GA256="P",Lookup!$N$12,IF(GA256="PP",Lookup!$N$13,IF(GA256="PPP",Lookup!$N$14,IF(GA256="T",Lookup!$N$15,IF(GA256="TP",Lookup!$N$16,IF(GA256="TPP",Lookup!$N$17,IF(GA256="TPPP",Lookup!$N$18,0)))))))*FZ256</f>
        <v>0</v>
      </c>
      <c r="GL256" s="712">
        <f t="shared" si="805"/>
        <v>0</v>
      </c>
      <c r="GM256" s="712">
        <f t="shared" si="806"/>
        <v>1720.0775727591219</v>
      </c>
      <c r="GN256" s="712">
        <f t="shared" si="807"/>
        <v>560.6510993347855</v>
      </c>
      <c r="GO256" s="712"/>
      <c r="GP256" s="712">
        <f t="shared" si="808"/>
        <v>0</v>
      </c>
      <c r="GQ256" s="712" t="str">
        <f t="shared" si="809"/>
        <v/>
      </c>
      <c r="GR256" s="712">
        <f>IF(GA256="P",Lookup!$N$12,IF(GA256="PP",Lookup!$N$13,IF(GA256="PPP",Lookup!$N$14,IF(GA256="T",Lookup!$N$15,IF(GA256="TP",Lookup!$N$16,IF(GA256="TPP",Lookup!$N$17,IF(GA256="TPPP",Lookup!$N$18,0)))))))*FZ256</f>
        <v>0</v>
      </c>
      <c r="GS256" s="697">
        <f t="shared" si="724"/>
        <v>0</v>
      </c>
      <c r="GT256" s="712">
        <f t="shared" si="810"/>
        <v>1440.4206387322661</v>
      </c>
      <c r="GU256" s="712">
        <f t="shared" si="811"/>
        <v>469.4982525202953</v>
      </c>
      <c r="GV256" s="712"/>
      <c r="GW256" s="712">
        <f t="shared" si="812"/>
        <v>0</v>
      </c>
      <c r="GX256" s="712" t="str">
        <f t="shared" si="813"/>
        <v/>
      </c>
      <c r="GY256" s="712">
        <f>IF(GA256="P",Lookup!$N$12,IF(GA256="PP",Lookup!$N$13,IF(GA256="PPP",Lookup!$N$14,IF(GA256="T",Lookup!$N$15,IF(GA256="TP",Lookup!$N$16,IF(GA256="TPP",Lookup!$N$17,IF(GA256="TPPP",Lookup!$N$18,0)))))))*FZ256</f>
        <v>0</v>
      </c>
      <c r="GZ256" s="697">
        <f t="shared" si="725"/>
        <v>0</v>
      </c>
      <c r="HA256" s="712">
        <f t="shared" si="814"/>
        <v>792.46944788868211</v>
      </c>
      <c r="HB256" s="712">
        <f t="shared" si="815"/>
        <v>258.30164533529404</v>
      </c>
      <c r="HC256" s="712"/>
    </row>
    <row r="257" spans="1:211">
      <c r="A257" s="773" t="s">
        <v>6</v>
      </c>
      <c r="B257" s="708">
        <v>40786</v>
      </c>
      <c r="C257" s="709">
        <v>0.5</v>
      </c>
      <c r="D257" s="675">
        <f t="shared" si="737"/>
        <v>200</v>
      </c>
      <c r="E257" s="675">
        <f t="shared" si="738"/>
        <v>400</v>
      </c>
      <c r="F257" s="675">
        <v>250</v>
      </c>
      <c r="G257" s="712">
        <f>DH257+Sheet1!CV257</f>
        <v>159.91256933927895</v>
      </c>
      <c r="H257" s="712">
        <f t="shared" si="739"/>
        <v>0</v>
      </c>
      <c r="I257" s="711">
        <f>MAX(Sheet1!Z257-AJ257+(Sheet1!CW257-E257)*CFStoMGD,0)</f>
        <v>0</v>
      </c>
      <c r="J257" s="720">
        <f>IF(AND(B257&gt;=Calculation!FS257,B257&lt;=Calculation!FT257),IF(Sheet1!CX257&gt;=Calculation!D257,64.64,0),MAX(Sheet1!Z257-AJ257+(Sheet1!CX257-D257)*CFStoMGD,0))</f>
        <v>6.6328342897130845</v>
      </c>
      <c r="K257" s="697">
        <f t="shared" si="740"/>
        <v>0</v>
      </c>
      <c r="L257" s="712">
        <f>Sheet1!AA257+Sheet1!AB257-Sheet1!L257+(Sheet1!CW257-F257)*CFStoMGD</f>
        <v>103.93</v>
      </c>
      <c r="M257" s="712">
        <f t="shared" si="741"/>
        <v>105.43483451732811</v>
      </c>
      <c r="N257" s="712">
        <f>IF(Sheet1!CW257&gt;=F257,MIN(73,MIN(MAX(L257,0),MAX(M257,0))),0)</f>
        <v>73</v>
      </c>
      <c r="O257" s="721">
        <f>Sheet1!AA257+Sheet1!AB257</f>
        <v>74.64</v>
      </c>
      <c r="P257" s="721">
        <f t="shared" si="742"/>
        <v>115.46807999999999</v>
      </c>
      <c r="Q257" s="712">
        <f>MIN(N257,Sheet1!AA257+AG257)</f>
        <v>59.680965710286912</v>
      </c>
      <c r="R257" s="712">
        <f t="shared" si="743"/>
        <v>17</v>
      </c>
      <c r="S257" s="721">
        <f>Sheet1!Y257*MGDtoCFS</f>
        <v>72.832759999999993</v>
      </c>
      <c r="T257" s="721">
        <f>Sheet1!Z257*MGDtoCFS</f>
        <v>57.238999999999997</v>
      </c>
      <c r="U257" s="721">
        <f>Sheet1!AA257*MGDtoCFS</f>
        <v>71.316699999999997</v>
      </c>
      <c r="V257" s="721">
        <f>Sheet1!AB257*MGDtoCFS</f>
        <v>44.151379999999996</v>
      </c>
      <c r="W257" s="721">
        <f>Sheet1!L257*MGDtoCFS</f>
        <v>0</v>
      </c>
      <c r="X257" s="697">
        <f t="shared" si="744"/>
        <v>17.075178446466062</v>
      </c>
      <c r="Y257" s="712">
        <f t="shared" si="745"/>
        <v>26.415301056682996</v>
      </c>
      <c r="Z257" s="712">
        <f t="shared" si="746"/>
        <v>0</v>
      </c>
      <c r="AA257" s="712">
        <f t="shared" si="747"/>
        <v>0</v>
      </c>
      <c r="AB257" s="712">
        <f>(VLOOKUP(Sheet1!CY257,hhdcap_wcm,4)-(((VLOOKUP(Sheet1!CY257,hhdcap_wcm,3)-Sheet1!CY257)/(VLOOKUP(Sheet1!CY257,hhdcap_wcm,3)-VLOOKUP(Sheet1!CY257,hhdcap_wcm,1)))*(VLOOKUP(Sheet1!CY257,hhdcap_wcm,4)-VLOOKUP(Sheet1!CY257,hhdcap_wcm,2))))</f>
        <v>36077.910000088501</v>
      </c>
      <c r="AC257" s="712">
        <f t="shared" si="748"/>
        <v>-221.03000000020984</v>
      </c>
      <c r="AD257" s="712">
        <f t="shared" si="749"/>
        <v>2629.4809904084022</v>
      </c>
      <c r="AE257" s="712">
        <f t="shared" si="750"/>
        <v>8067.2476785729787</v>
      </c>
      <c r="AF257" s="712">
        <f>Sheet1!BA257+Sheet1!BB257+Sheet1!BN257+BT257</f>
        <v>13.6</v>
      </c>
      <c r="AG257" s="712">
        <f t="shared" si="751"/>
        <v>13.580965710286915</v>
      </c>
      <c r="AH257" s="712">
        <f>Sheet1!BA257+BT257</f>
        <v>0</v>
      </c>
      <c r="AI257" s="712">
        <f>Sheet1!BA257+Sheet1!BB257+BT257</f>
        <v>0</v>
      </c>
      <c r="AJ257" s="712">
        <f>IF((Sheet1!AA257+AG257+AX257+AZ257+BQ257+BS257+CL257+CN257)&lt;=N257,AG257+AX257+AZ257+BQ257+BS257+CL257+CN257,N257-Sheet1!AA257)</f>
        <v>13.580965710286915</v>
      </c>
      <c r="AK257" s="851">
        <f>IF(DR257&lt;K257,0,MAX(Sheet1!AA257+AG257-15/36*K257-N257,Sheet1!ED257,0))</f>
        <v>0</v>
      </c>
      <c r="AL257" s="712">
        <f>IF(OR(B257&gt;=FT257,B257&lt;FS257),0,15/36*K257-MAX(0,64.6-(137.6-(Sheet1!AA257+Sheet1!AB257))))</f>
        <v>0</v>
      </c>
      <c r="AM257" s="712">
        <f>Sheet1!CX257-110</f>
        <v>64.03125</v>
      </c>
      <c r="AN257" s="712">
        <f>Sheet1!CW257-265</f>
        <v>30.3125</v>
      </c>
      <c r="AO257" s="712">
        <f t="shared" si="733"/>
        <v>13.319034289713088</v>
      </c>
      <c r="AP257" s="851">
        <v>0</v>
      </c>
      <c r="AQ257" s="712">
        <f t="shared" si="753"/>
        <v>0</v>
      </c>
      <c r="AR257" s="712">
        <f t="shared" si="821"/>
        <v>1358.1051716644936</v>
      </c>
      <c r="AS257" s="712"/>
      <c r="AT257" s="712">
        <f ca="1">IF(B257&gt;Summary!$A$1,#N/A,AR257*MGtoAF)</f>
        <v>4166.6666666666661</v>
      </c>
      <c r="AU257" s="712">
        <f>Sheet1!BG257+Sheet1!BH257+Sheet1!BI257-BC257</f>
        <v>1.84</v>
      </c>
      <c r="AV257" s="712">
        <f t="shared" si="755"/>
        <v>1.8374247725682296</v>
      </c>
      <c r="AW257" s="712">
        <f>IF(Sheet1!EL257="FM",BC257,0)</f>
        <v>0</v>
      </c>
      <c r="AX257" s="712">
        <f t="shared" si="756"/>
        <v>0</v>
      </c>
      <c r="AY257" s="712">
        <f>IF(Sheet1!EL257="OTHER",BC257,0)</f>
        <v>0</v>
      </c>
      <c r="AZ257" s="712">
        <f t="shared" si="757"/>
        <v>0</v>
      </c>
      <c r="BA257" s="712">
        <f t="shared" si="758"/>
        <v>1.84</v>
      </c>
      <c r="BB257" s="712">
        <f t="shared" si="759"/>
        <v>1.8374247725682296</v>
      </c>
      <c r="BC257" s="712">
        <f>IF(OR(Sheet1!EL257="FM", Sheet1!EL257="OTHER"),SUM(Sheet1!BG257:'Sheet1'!BI257),0)</f>
        <v>0</v>
      </c>
      <c r="BD257" s="697">
        <f>IF(AND($B257&gt;=$FL257,$B257&lt;=$FM257),MAX(AV257,Sheet1!EE257,0),MAX(AV257-(7/36)*$K257,0))</f>
        <v>2</v>
      </c>
      <c r="BE257" s="712">
        <f t="shared" si="760"/>
        <v>0</v>
      </c>
      <c r="BF257" s="697">
        <f t="shared" si="761"/>
        <v>0</v>
      </c>
      <c r="BG257" s="697">
        <f>IF(AND($O257&gt;0,Sheet1!EI257=1),(1-($O257-Sheet1!$L257)/$O257)*BB257,0)</f>
        <v>0</v>
      </c>
      <c r="BH257" s="697">
        <f>IF(AND(Sheet1!$L257=0,Sheet1!$L256=0, Calculation!BA257&lt;Sheet1!$EE257-0.1,Sheet1!$EE257=Sheet1!$EE256,Sheet1!$EE257=Sheet1!$EE258),Sheet1!$EE257,BB257-BG257)</f>
        <v>2</v>
      </c>
      <c r="BI257" s="712"/>
      <c r="BJ257" s="712"/>
      <c r="BK257" s="712">
        <f t="shared" si="762"/>
        <v>558.6510993347855</v>
      </c>
      <c r="BL257" s="712"/>
      <c r="BM257" s="712">
        <f ca="1">IF(B257&gt;Summary!$A$1,#N/A,BK257*MGtoAF)</f>
        <v>1713.941572759122</v>
      </c>
      <c r="BN257" s="712">
        <f>Sheet1!BC257+Sheet1!BD257+Sheet1!BE257+Sheet1!BF257-BW257-BX257</f>
        <v>2.5499999999999998</v>
      </c>
      <c r="BO257" s="712">
        <f t="shared" si="763"/>
        <v>2.5464310706787963</v>
      </c>
      <c r="BP257" s="712">
        <f>IF(Sheet1!EM257="FM",BX257,0)</f>
        <v>0</v>
      </c>
      <c r="BQ257" s="712">
        <f t="shared" si="764"/>
        <v>0</v>
      </c>
      <c r="BR257" s="712">
        <f>IF(Sheet1!EM257="OTHER",BX257,0)</f>
        <v>0</v>
      </c>
      <c r="BS257" s="712">
        <f t="shared" si="765"/>
        <v>0</v>
      </c>
      <c r="BT257" s="712">
        <f t="shared" si="766"/>
        <v>0</v>
      </c>
      <c r="BU257" s="712">
        <f t="shared" si="767"/>
        <v>2.5499999999999998</v>
      </c>
      <c r="BV257" s="712">
        <f t="shared" si="768"/>
        <v>2.5464310706787963</v>
      </c>
      <c r="BW257" s="712">
        <f>IF(Sheet1!EM257="CWA",SUM(Sheet1!BC257:'Sheet1'!BF257),0)</f>
        <v>0</v>
      </c>
      <c r="BX257" s="712">
        <f>IF(OR(Sheet1!EM257="FM", Sheet1!EM257="OTHER"),SUM(Sheet1!BC257:'Sheet1'!BF257),0)</f>
        <v>0</v>
      </c>
      <c r="BY257" s="697">
        <f>IF(AND($B257&gt;=$FL257,$B257&lt;=$FM257),MAX(BV257,Sheet1!EF257,0),MAX(BV257-(7/36)*$K257,0))</f>
        <v>4.5</v>
      </c>
      <c r="BZ257" s="712">
        <f t="shared" si="769"/>
        <v>0</v>
      </c>
      <c r="CA257" s="697">
        <f t="shared" si="770"/>
        <v>0</v>
      </c>
      <c r="CB257" s="697">
        <f>IF(AND($O257&gt;0,Sheet1!EJ257=1),(1-($O257-Sheet1!$L257)/$O257)*BV257,0)</f>
        <v>0</v>
      </c>
      <c r="CC257" s="697">
        <f>IF(AND(Sheet1!$L257=0,Sheet1!$L256=0, Calculation!BU257&lt;Sheet1!EF257-0.1,Sheet1!EF257=Sheet1!EF256,Sheet1!EF257=Sheet1!EF258),Sheet1!EF257,BV257-CB257)</f>
        <v>4.5</v>
      </c>
      <c r="CD257" s="697"/>
      <c r="CE257" s="712"/>
      <c r="CF257" s="712">
        <f t="shared" si="771"/>
        <v>464.9982525202953</v>
      </c>
      <c r="CG257" s="712"/>
      <c r="CH257" s="712">
        <f ca="1">IF(B257&gt;Summary!$A$1,#N/A,CF257*MGtoAF)</f>
        <v>1426.614638732266</v>
      </c>
      <c r="CI257" s="712">
        <f>Sheet1!BK257+Sheet1!BL257+Sheet1!BM257-Sheet1!EN257-CQ257</f>
        <v>10.59</v>
      </c>
      <c r="CJ257" s="712">
        <f t="shared" si="772"/>
        <v>10.57517844646606</v>
      </c>
      <c r="CK257" s="712">
        <f>IF(Sheet1!EN257="FM",CQ257,0)</f>
        <v>0</v>
      </c>
      <c r="CL257" s="712">
        <f t="shared" si="773"/>
        <v>0</v>
      </c>
      <c r="CM257" s="712">
        <f>IF(Sheet1!EN257="OTHER",CQ257,0)</f>
        <v>0</v>
      </c>
      <c r="CN257" s="712">
        <f t="shared" si="774"/>
        <v>0</v>
      </c>
      <c r="CO257" s="712">
        <f t="shared" si="775"/>
        <v>10.59</v>
      </c>
      <c r="CP257" s="712">
        <f t="shared" si="776"/>
        <v>10.57517844646606</v>
      </c>
      <c r="CQ257" s="712">
        <f>IF(OR(Sheet1!EN257="FM", Sheet1!EN257="OTHER"),SUM(Sheet1!BK257:'Sheet1'!BM257),0)</f>
        <v>0</v>
      </c>
      <c r="CR257" s="697">
        <f>IF(AND($B257&gt;=$FL257,$B257&lt;=$FM257),MAX($CJ257,Sheet1!EG257,0),MAX($CJ257-(7/36)*$K257,0))</f>
        <v>10.57517844646606</v>
      </c>
      <c r="CS257" s="712">
        <f t="shared" si="777"/>
        <v>0</v>
      </c>
      <c r="CT257" s="697">
        <f t="shared" si="778"/>
        <v>0</v>
      </c>
      <c r="CU257" s="697">
        <f>IF(AND($O257&gt;0,Sheet1!EK257=1),(1-($O257-Sheet1!$L257)/$O257)*CP257,0)</f>
        <v>0</v>
      </c>
      <c r="CV257" s="697">
        <f>IF(AND(Sheet1!$L257=0,Sheet1!$L256=0, Calculation!CO257&lt;Sheet1!$EG257-0.1,Sheet1!$EG257=Sheet1!$EG256,Sheet1!$EG257=Sheet1!$EG258),Sheet1!$EG257,CP257-CU257)</f>
        <v>10.57517844646606</v>
      </c>
      <c r="CW257" s="697">
        <f t="shared" si="721"/>
        <v>0</v>
      </c>
      <c r="CX257" s="712">
        <f t="shared" si="779"/>
        <v>14.98</v>
      </c>
      <c r="CY257" s="712">
        <f t="shared" si="780"/>
        <v>247.72646688882799</v>
      </c>
      <c r="CZ257" s="712">
        <f t="shared" si="781"/>
        <v>14.959034289713085</v>
      </c>
      <c r="DA257" s="712">
        <f ca="1">IF(B257&gt;Summary!$A$1,#N/A,CY257*MGtoAF)</f>
        <v>760.02480041492424</v>
      </c>
      <c r="DB257" s="712">
        <f t="shared" si="782"/>
        <v>14.98</v>
      </c>
      <c r="DC257" s="712">
        <f t="shared" si="783"/>
        <v>28.58</v>
      </c>
      <c r="DD257" s="712">
        <f>Sheet1!AB257-DC257</f>
        <v>-3.9999999999999147E-2</v>
      </c>
      <c r="DE257" s="712">
        <f t="shared" si="784"/>
        <v>-1.3995801259621815E-3</v>
      </c>
      <c r="DF257" s="712">
        <f>(VLOOKUP(Sheet1!CY257,hhdcap_wcm,4)-(((VLOOKUP(Sheet1!CY257,hhdcap_wcm,3)-Sheet1!CY257)/(VLOOKUP(Sheet1!CY257,hhdcap_wcm,3)-VLOOKUP(Sheet1!CY257,hhdcap_wcm,1)))*(VLOOKUP(Sheet1!CY257,hhdcap_wcm,4)-VLOOKUP(Sheet1!CY257,hhdcap_wcm,2))))</f>
        <v>36077.910000088501</v>
      </c>
      <c r="DG257" s="712">
        <f t="shared" si="785"/>
        <v>-221.03000000020984</v>
      </c>
      <c r="DH257" s="712">
        <f t="shared" si="786"/>
        <v>-111.46243066072104</v>
      </c>
      <c r="DI257" s="712">
        <f>Sheet1!DW257*AFtoMG</f>
        <v>0</v>
      </c>
      <c r="DJ257" s="712">
        <f>Sheet1!DX257*AFtoMG</f>
        <v>0</v>
      </c>
      <c r="DK257" s="712">
        <f>Sheet1!DY257*AFtoMG</f>
        <v>0</v>
      </c>
      <c r="DL257" s="712">
        <f>Sheet1!DZ257*AFtoMG</f>
        <v>0</v>
      </c>
      <c r="DM257" s="712">
        <f t="shared" si="787"/>
        <v>0</v>
      </c>
      <c r="DN257" s="712">
        <f t="shared" si="788"/>
        <v>0</v>
      </c>
      <c r="DO257" s="712">
        <f t="shared" si="789"/>
        <v>2629.4809904084022</v>
      </c>
      <c r="DP257" s="712">
        <f t="shared" si="790"/>
        <v>8067.2476785729787</v>
      </c>
      <c r="DQ257" s="712"/>
      <c r="DR257" s="697">
        <f>IF(OR(B257&lt;FL257,B257&gt;FM257),(MIN(AV257+BO257+CJ257+MAX(Sheet1!AA257+AG257-73,0),K257)),0)</f>
        <v>0</v>
      </c>
      <c r="DS257" s="712"/>
      <c r="DT257" s="712">
        <f t="shared" si="791"/>
        <v>14.959034289713086</v>
      </c>
      <c r="DU257" s="712"/>
      <c r="DV257" s="712">
        <f>Sheet1!ED257+Sheet1!EE257+Sheet1!EF257+Sheet1!EG257</f>
        <v>17</v>
      </c>
      <c r="DW257" s="712"/>
      <c r="DX257" s="697">
        <f t="shared" si="792"/>
        <v>0</v>
      </c>
      <c r="DY257" s="712">
        <f>IF(Sheet1!FN257=1,SUM('Calculations II'!AT257:BA257)+'Calculations II'!BC257+Sheet1!BU257+'Calculations II'!BE257+AF257,SUM('Calculations II'!AT257:BA257)+'Calculations II'!BC257+Sheet1!BU257+'Calculations II'!BE257+AF257)</f>
        <v>67.696783999999994</v>
      </c>
      <c r="DZ257" s="712">
        <f>Sheet1!AA257+Sheet1!AB257+'Calculations II'!BC257</f>
        <v>84.548208000000002</v>
      </c>
      <c r="EA257" s="712"/>
      <c r="EB257" s="712"/>
      <c r="EC257" s="712">
        <f t="shared" si="793"/>
        <v>40786</v>
      </c>
      <c r="ED257" s="712">
        <f t="shared" si="794"/>
        <v>-17.075178446466062</v>
      </c>
      <c r="EE257" s="712">
        <f t="shared" si="795"/>
        <v>-26.415301056682996</v>
      </c>
      <c r="EF257" s="712">
        <f ca="1">IF(B257=TODAY(),0,-(VLOOKUP(Sheet1!BQ257,Lookup!$B$4:$J$236,2)-VLOOKUP(Sheet1!BQ256,Lookup!$B$4:$J$236,2))/1000000)</f>
        <v>-0.2772</v>
      </c>
      <c r="EG257" s="712">
        <f ca="1">IF(B257=TODAY(),0,-(VLOOKUP(Sheet1!BR257,Lookup!$B$4:$J$236,3)-VLOOKUP(Sheet1!BR256,Lookup!$B$4:$J$236,3))/1000000)</f>
        <v>-0.27679999999999999</v>
      </c>
      <c r="EH257" s="712">
        <f>-(VLOOKUP(Sheet1!BS257,Lookup!$B$4:$J$236,4)-VLOOKUP(Sheet1!BS256,Lookup!$B$4:$J$236,4))/1000000</f>
        <v>0</v>
      </c>
      <c r="EI257" s="697">
        <f t="shared" ca="1" si="819"/>
        <v>-0.55400000000000005</v>
      </c>
      <c r="EJ257" s="712"/>
      <c r="EK257" s="712"/>
      <c r="EL257" s="712"/>
      <c r="EM257" s="712"/>
      <c r="EN257" s="712"/>
      <c r="EO257" s="712"/>
      <c r="EP257" s="712"/>
      <c r="EQ257" s="712"/>
      <c r="ET257" s="794">
        <f t="shared" si="818"/>
        <v>1131.2</v>
      </c>
      <c r="EU257" s="697">
        <v>8785</v>
      </c>
      <c r="EV257" s="795">
        <f t="shared" si="734"/>
        <v>18005.662321515523</v>
      </c>
      <c r="EW257" s="796" t="s">
        <v>757</v>
      </c>
      <c r="EX257" s="796" t="s">
        <v>758</v>
      </c>
      <c r="EY257" s="712">
        <f t="shared" si="817"/>
        <v>0</v>
      </c>
      <c r="EZ257" s="798">
        <v>18695.000000042033</v>
      </c>
      <c r="FA257" s="712"/>
      <c r="FB257" s="712"/>
      <c r="FC257" s="712"/>
      <c r="FD257" s="712"/>
      <c r="FE257" s="712">
        <f>O257+Sheet1!CO257</f>
        <v>6955.34</v>
      </c>
      <c r="FF257" s="712">
        <f>IF(Sheet1!AA257+AG257&lt;=Calculation!N257,AG257,Calculation!N257-Sheet1!AA257)</f>
        <v>13.580965710286915</v>
      </c>
      <c r="FG257" s="712">
        <f>(Sheet1!BP257+Sheet1!BO257)/694.4</f>
        <v>3.7590725806451615</v>
      </c>
      <c r="FH257" s="712"/>
      <c r="FI257" s="712"/>
      <c r="FJ257" s="712"/>
      <c r="FK257" s="712"/>
      <c r="FL257" s="714">
        <f t="shared" si="726"/>
        <v>40753</v>
      </c>
      <c r="FM257" s="714">
        <f t="shared" si="727"/>
        <v>40851</v>
      </c>
      <c r="FN257" s="712"/>
      <c r="FO257" s="712"/>
      <c r="FP257" s="712"/>
      <c r="FQ257" s="712"/>
      <c r="FR257" s="712"/>
      <c r="FS257" s="725">
        <f t="shared" si="820"/>
        <v>40603</v>
      </c>
      <c r="FT257" s="714">
        <f t="shared" si="729"/>
        <v>40709</v>
      </c>
      <c r="FU257" s="712">
        <f t="shared" si="820"/>
        <v>6518.9048239895692</v>
      </c>
      <c r="FV257" s="714">
        <f t="shared" si="730"/>
        <v>40722</v>
      </c>
      <c r="FW257" s="712">
        <f t="shared" si="820"/>
        <v>3259.4524119947846</v>
      </c>
      <c r="FX257" s="725">
        <f t="shared" si="820"/>
        <v>40851</v>
      </c>
      <c r="FZ257" s="697">
        <f t="shared" si="722"/>
        <v>0</v>
      </c>
      <c r="GA257" s="712" t="str">
        <f t="shared" si="797"/>
        <v/>
      </c>
      <c r="GB257" s="712">
        <f t="shared" si="798"/>
        <v>0</v>
      </c>
      <c r="GC257" s="712" t="str">
        <f t="shared" si="799"/>
        <v/>
      </c>
      <c r="GD257" s="712">
        <f>IF(GA257="P",Lookup!$M$12,IF(GA257="PP",Lookup!$M$13,IF(GA257="PPP",Lookup!$M$14,IF(GA257="T",Lookup!$M$15,IF(GA257="TP",Lookup!$M$16,IF(GA257="TPP",Lookup!$M$17,IF(GA257="TPPP",Lookup!$M$18,0)))))))*FZ257</f>
        <v>0</v>
      </c>
      <c r="GE257" s="712">
        <f t="shared" si="800"/>
        <v>0</v>
      </c>
      <c r="GF257" s="712">
        <f t="shared" si="801"/>
        <v>4166.6666666666661</v>
      </c>
      <c r="GG257" s="712">
        <f t="shared" si="802"/>
        <v>1358.1051716644936</v>
      </c>
      <c r="GH257" s="712"/>
      <c r="GI257" s="712">
        <f t="shared" si="803"/>
        <v>0</v>
      </c>
      <c r="GJ257" s="712" t="str">
        <f t="shared" si="804"/>
        <v/>
      </c>
      <c r="GK257" s="712">
        <f>IF(GA257="P",Lookup!$N$12,IF(GA257="PP",Lookup!$N$13,IF(GA257="PPP",Lookup!$N$14,IF(GA257="T",Lookup!$N$15,IF(GA257="TP",Lookup!$N$16,IF(GA257="TPP",Lookup!$N$17,IF(GA257="TPPP",Lookup!$N$18,0)))))))*FZ257</f>
        <v>0</v>
      </c>
      <c r="GL257" s="712">
        <f t="shared" si="805"/>
        <v>0</v>
      </c>
      <c r="GM257" s="712">
        <f t="shared" si="806"/>
        <v>1713.941572759122</v>
      </c>
      <c r="GN257" s="712">
        <f t="shared" si="807"/>
        <v>558.6510993347855</v>
      </c>
      <c r="GO257" s="712"/>
      <c r="GP257" s="712">
        <f t="shared" si="808"/>
        <v>0</v>
      </c>
      <c r="GQ257" s="712" t="str">
        <f t="shared" si="809"/>
        <v/>
      </c>
      <c r="GR257" s="712">
        <f>IF(GA257="P",Lookup!$N$12,IF(GA257="PP",Lookup!$N$13,IF(GA257="PPP",Lookup!$N$14,IF(GA257="T",Lookup!$N$15,IF(GA257="TP",Lookup!$N$16,IF(GA257="TPP",Lookup!$N$17,IF(GA257="TPPP",Lookup!$N$18,0)))))))*FZ257</f>
        <v>0</v>
      </c>
      <c r="GS257" s="697">
        <f t="shared" si="724"/>
        <v>0</v>
      </c>
      <c r="GT257" s="712">
        <f t="shared" si="810"/>
        <v>1426.614638732266</v>
      </c>
      <c r="GU257" s="712">
        <f t="shared" si="811"/>
        <v>464.9982525202953</v>
      </c>
      <c r="GV257" s="712"/>
      <c r="GW257" s="712">
        <f t="shared" si="812"/>
        <v>0</v>
      </c>
      <c r="GX257" s="712" t="str">
        <f t="shared" si="813"/>
        <v/>
      </c>
      <c r="GY257" s="712">
        <f>IF(GA257="P",Lookup!$N$12,IF(GA257="PP",Lookup!$N$13,IF(GA257="PPP",Lookup!$N$14,IF(GA257="T",Lookup!$N$15,IF(GA257="TP",Lookup!$N$16,IF(GA257="TPP",Lookup!$N$17,IF(GA257="TPPP",Lookup!$N$18,0)))))))*FZ257</f>
        <v>0</v>
      </c>
      <c r="GZ257" s="697">
        <f t="shared" si="725"/>
        <v>0</v>
      </c>
      <c r="HA257" s="712">
        <f t="shared" si="814"/>
        <v>760.02480041492424</v>
      </c>
      <c r="HB257" s="712">
        <f t="shared" si="815"/>
        <v>247.72646688882799</v>
      </c>
      <c r="HC257" s="712"/>
    </row>
    <row r="258" spans="1:211">
      <c r="A258" s="773" t="s">
        <v>7</v>
      </c>
      <c r="B258" s="708">
        <v>40787</v>
      </c>
      <c r="C258" s="719">
        <v>0.5</v>
      </c>
      <c r="D258" s="675">
        <f t="shared" si="737"/>
        <v>200</v>
      </c>
      <c r="E258" s="675">
        <f t="shared" si="738"/>
        <v>400</v>
      </c>
      <c r="F258" s="675">
        <v>250</v>
      </c>
      <c r="G258" s="712">
        <f>DH258+Sheet1!CV258</f>
        <v>158.61113212293156</v>
      </c>
      <c r="H258" s="712">
        <f t="shared" si="739"/>
        <v>0</v>
      </c>
      <c r="I258" s="711">
        <f>MAX(Sheet1!Z258-AJ258+(Sheet1!CW258-E258)*CFStoMGD,0)</f>
        <v>0</v>
      </c>
      <c r="J258" s="720">
        <f>IF(AND(B258&gt;=Calculation!FS258,B258&lt;=Calculation!FT258),IF(Sheet1!CX258&gt;=Calculation!D258,64.64,0),MAX(Sheet1!Z258-AJ258+(Sheet1!CX258-D258)*CFStoMGD,0))</f>
        <v>1.9656857142857103</v>
      </c>
      <c r="K258" s="697">
        <f t="shared" si="740"/>
        <v>0</v>
      </c>
      <c r="L258" s="712">
        <f>Sheet1!AA258+Sheet1!AB258-Sheet1!L258+(Sheet1!CW258-F258)*CFStoMGD</f>
        <v>113.66013333333335</v>
      </c>
      <c r="M258" s="712">
        <f t="shared" si="741"/>
        <v>104.57676052034823</v>
      </c>
      <c r="N258" s="712">
        <f>IF(Sheet1!CW258&gt;=F258,MIN(73,MIN(MAX(L258,0),MAX(M258,0))),0)</f>
        <v>73</v>
      </c>
      <c r="O258" s="721">
        <f>Sheet1!AA258+Sheet1!AB258</f>
        <v>71.900000000000006</v>
      </c>
      <c r="P258" s="721">
        <f t="shared" si="742"/>
        <v>111.22929999999999</v>
      </c>
      <c r="Q258" s="712">
        <f>MIN(N258,Sheet1!AA258+AG258)</f>
        <v>54.599047619047617</v>
      </c>
      <c r="R258" s="712">
        <f t="shared" si="743"/>
        <v>17</v>
      </c>
      <c r="S258" s="721">
        <f>Sheet1!Y258*MGDtoCFS</f>
        <v>67.139799999999994</v>
      </c>
      <c r="T258" s="721">
        <f>Sheet1!Z258*MGDtoCFS</f>
        <v>31.435040000000001</v>
      </c>
      <c r="U258" s="721">
        <f>Sheet1!AA258*MGDtoCFS</f>
        <v>70.434910000000002</v>
      </c>
      <c r="V258" s="721">
        <f>Sheet1!AB258*MGDtoCFS</f>
        <v>40.79439</v>
      </c>
      <c r="W258" s="721">
        <f>Sheet1!L258*MGDtoCFS</f>
        <v>0</v>
      </c>
      <c r="X258" s="697">
        <f t="shared" si="744"/>
        <v>17.960884353741498</v>
      </c>
      <c r="Y258" s="712">
        <f t="shared" si="745"/>
        <v>27.785488095238097</v>
      </c>
      <c r="Z258" s="712">
        <f t="shared" si="746"/>
        <v>0</v>
      </c>
      <c r="AA258" s="712">
        <f t="shared" si="747"/>
        <v>0</v>
      </c>
      <c r="AB258" s="712">
        <f>(VLOOKUP(Sheet1!CY258,hhdcap_wcm,4)-(((VLOOKUP(Sheet1!CY258,hhdcap_wcm,3)-Sheet1!CY258)/(VLOOKUP(Sheet1!CY258,hhdcap_wcm,3)-VLOOKUP(Sheet1!CY258,hhdcap_wcm,1)))*(VLOOKUP(Sheet1!CY258,hhdcap_wcm,4)-VLOOKUP(Sheet1!CY258,hhdcap_wcm,2))))</f>
        <v>35818.440000088274</v>
      </c>
      <c r="AC258" s="712">
        <f t="shared" si="748"/>
        <v>-259.47000000022672</v>
      </c>
      <c r="AD258" s="712">
        <f t="shared" si="749"/>
        <v>2611.520106054661</v>
      </c>
      <c r="AE258" s="712">
        <f t="shared" si="750"/>
        <v>8012.1436853757004</v>
      </c>
      <c r="AF258" s="712">
        <f>Sheet1!BA258+Sheet1!BB258+Sheet1!BN258+BT258</f>
        <v>9.1</v>
      </c>
      <c r="AG258" s="712">
        <f t="shared" si="751"/>
        <v>9.0690476190476179</v>
      </c>
      <c r="AH258" s="712">
        <f>Sheet1!BA258+BT258</f>
        <v>0</v>
      </c>
      <c r="AI258" s="712">
        <f>Sheet1!BA258+Sheet1!BB258+BT258</f>
        <v>0</v>
      </c>
      <c r="AJ258" s="712">
        <f>IF((Sheet1!AA258+AG258+AX258+AZ258+BQ258+BS258+CL258+CN258)&lt;=N258,AG258+AX258+AZ258+BQ258+BS258+CL258+CN258,N258-Sheet1!AA258)</f>
        <v>9.0690476190476179</v>
      </c>
      <c r="AK258" s="851">
        <f>IF(DR258&lt;K258,0,MAX(Sheet1!AA258+AG258-15/36*K258-N258,Sheet1!ED258,0))</f>
        <v>0</v>
      </c>
      <c r="AL258" s="712">
        <f>IF(OR(B258&gt;=FT258,B258&lt;FS258),0,15/36*K258-MAX(0,64.6-(137.6-(Sheet1!AA258+Sheet1!AB258))))</f>
        <v>0</v>
      </c>
      <c r="AM258" s="712">
        <f>Sheet1!CX258-110</f>
        <v>75.635416666666657</v>
      </c>
      <c r="AN258" s="712">
        <f>Sheet1!CW258-265</f>
        <v>49.604166666666686</v>
      </c>
      <c r="AO258" s="712">
        <f t="shared" si="733"/>
        <v>18.400952380952383</v>
      </c>
      <c r="AP258" s="851">
        <f t="shared" ref="AP258" si="822">IF(OR(AM258-AN258-(AO258*1.547)&lt;0,AN258&gt;350),0,AM258-AN258-(AO258*1.547))</f>
        <v>0</v>
      </c>
      <c r="AQ258" s="712">
        <f t="shared" si="753"/>
        <v>0</v>
      </c>
      <c r="AR258" s="712">
        <f t="shared" si="821"/>
        <v>1358.1051716644936</v>
      </c>
      <c r="AS258" s="712"/>
      <c r="AT258" s="712">
        <f ca="1">IF(B258&gt;Summary!$A$1,#N/A,AR258*MGtoAF)</f>
        <v>4166.6666666666661</v>
      </c>
      <c r="AU258" s="712">
        <f>Sheet1!BG258+Sheet1!BH258+Sheet1!BI258-BC258</f>
        <v>1.89</v>
      </c>
      <c r="AV258" s="712">
        <f t="shared" si="755"/>
        <v>1.8835714285714285</v>
      </c>
      <c r="AW258" s="712">
        <f>IF(Sheet1!EL258="FM",BC258,0)</f>
        <v>0</v>
      </c>
      <c r="AX258" s="712">
        <f t="shared" si="756"/>
        <v>0</v>
      </c>
      <c r="AY258" s="712">
        <f>IF(Sheet1!EL258="OTHER",BC258,0)</f>
        <v>0</v>
      </c>
      <c r="AZ258" s="712">
        <f t="shared" si="757"/>
        <v>0</v>
      </c>
      <c r="BA258" s="712">
        <f t="shared" si="758"/>
        <v>1.89</v>
      </c>
      <c r="BB258" s="712">
        <f t="shared" si="759"/>
        <v>1.8835714285714285</v>
      </c>
      <c r="BC258" s="712">
        <f>IF(OR(Sheet1!EL258="FM", Sheet1!EL258="OTHER"),SUM(Sheet1!BG258:'Sheet1'!BI258),0)</f>
        <v>0</v>
      </c>
      <c r="BD258" s="697">
        <f>IF(AND($B258&gt;=$FL258,$B258&lt;=$FM258),MAX(AV258,Sheet1!EE258,0),MAX(AV258-(7/36)*$K258,0))</f>
        <v>2</v>
      </c>
      <c r="BE258" s="712">
        <f t="shared" si="760"/>
        <v>0</v>
      </c>
      <c r="BF258" s="697">
        <f t="shared" si="761"/>
        <v>0</v>
      </c>
      <c r="BG258" s="697">
        <f>IF(AND($O258&gt;0,Sheet1!EI258=1),(1-($O258-Sheet1!$L258)/$O258)*BB258,0)</f>
        <v>0</v>
      </c>
      <c r="BH258" s="697">
        <f>IF(AND(Sheet1!$L258=0,Sheet1!$L257=0, Calculation!BA258&lt;Sheet1!$EE258-0.1,Sheet1!$EE258=Sheet1!$EE257,Sheet1!$EE258=Sheet1!$EE259),Sheet1!$EE258,BB258-BG258)</f>
        <v>2</v>
      </c>
      <c r="BI258" s="712"/>
      <c r="BJ258" s="712"/>
      <c r="BK258" s="712">
        <f t="shared" si="762"/>
        <v>556.6510993347855</v>
      </c>
      <c r="BL258" s="712"/>
      <c r="BM258" s="712">
        <f ca="1">IF(B258&gt;Summary!$A$1,#N/A,BK258*MGtoAF)</f>
        <v>1707.805572759122</v>
      </c>
      <c r="BN258" s="712">
        <f>Sheet1!BC258+Sheet1!BD258+Sheet1!BE258+Sheet1!BF258-BW258-BX258</f>
        <v>3.97</v>
      </c>
      <c r="BO258" s="712">
        <f t="shared" si="763"/>
        <v>3.9564965986394558</v>
      </c>
      <c r="BP258" s="712">
        <f>IF(Sheet1!EM258="FM",BX258,0)</f>
        <v>0</v>
      </c>
      <c r="BQ258" s="712">
        <f t="shared" si="764"/>
        <v>0</v>
      </c>
      <c r="BR258" s="712">
        <f>IF(Sheet1!EM258="OTHER",BX258,0)</f>
        <v>0</v>
      </c>
      <c r="BS258" s="712">
        <f t="shared" si="765"/>
        <v>0</v>
      </c>
      <c r="BT258" s="712">
        <f t="shared" si="766"/>
        <v>0</v>
      </c>
      <c r="BU258" s="712">
        <f t="shared" si="767"/>
        <v>3.97</v>
      </c>
      <c r="BV258" s="712">
        <f t="shared" si="768"/>
        <v>3.9564965986394558</v>
      </c>
      <c r="BW258" s="712">
        <f>IF(Sheet1!EM258="CWA",SUM(Sheet1!BC258:'Sheet1'!BF258),0)</f>
        <v>0</v>
      </c>
      <c r="BX258" s="712">
        <f>IF(OR(Sheet1!EM258="FM", Sheet1!EM258="OTHER"),SUM(Sheet1!BC258:'Sheet1'!BF258),0)</f>
        <v>0</v>
      </c>
      <c r="BY258" s="697">
        <f>IF(AND($B258&gt;=$FL258,$B258&lt;=$FM258),MAX(BV258,Sheet1!EF258,0),MAX(BV258-(7/36)*$K258,0))</f>
        <v>4.5</v>
      </c>
      <c r="BZ258" s="712">
        <f t="shared" si="769"/>
        <v>0</v>
      </c>
      <c r="CA258" s="697">
        <f t="shared" si="770"/>
        <v>0</v>
      </c>
      <c r="CB258" s="697">
        <f>IF(AND($O258&gt;0,Sheet1!EJ258=1),(1-($O258-Sheet1!$L258)/$O258)*BV258,0)</f>
        <v>0</v>
      </c>
      <c r="CC258" s="697">
        <f>IF(AND(Sheet1!$L258=0,Sheet1!$L257=0, Calculation!BU258&lt;Sheet1!EF258-0.1,Sheet1!EF258=Sheet1!EF257,Sheet1!EF258=Sheet1!EF259),Sheet1!EF258,BV258-CB258)</f>
        <v>4.5</v>
      </c>
      <c r="CD258" s="697"/>
      <c r="CE258" s="712"/>
      <c r="CF258" s="712">
        <f t="shared" si="771"/>
        <v>460.4982525202953</v>
      </c>
      <c r="CG258" s="712"/>
      <c r="CH258" s="712">
        <f ca="1">IF(B258&gt;Summary!$A$1,#N/A,CF258*MGtoAF)</f>
        <v>1412.808638732266</v>
      </c>
      <c r="CI258" s="712">
        <f>Sheet1!BK258+Sheet1!BL258+Sheet1!BM258-Sheet1!EN258-CQ258</f>
        <v>11.5</v>
      </c>
      <c r="CJ258" s="712">
        <f t="shared" si="772"/>
        <v>11.460884353741497</v>
      </c>
      <c r="CK258" s="712">
        <f>IF(Sheet1!EN258="FM",CQ258,0)</f>
        <v>0</v>
      </c>
      <c r="CL258" s="712">
        <f t="shared" si="773"/>
        <v>0</v>
      </c>
      <c r="CM258" s="712">
        <f>IF(Sheet1!EN258="OTHER",CQ258,0)</f>
        <v>0</v>
      </c>
      <c r="CN258" s="712">
        <f t="shared" si="774"/>
        <v>0</v>
      </c>
      <c r="CO258" s="712">
        <f t="shared" si="775"/>
        <v>11.5</v>
      </c>
      <c r="CP258" s="712">
        <f t="shared" si="776"/>
        <v>11.460884353741497</v>
      </c>
      <c r="CQ258" s="712">
        <f>IF(OR(Sheet1!EN258="FM", Sheet1!EN258="OTHER"),SUM(Sheet1!BK258:'Sheet1'!BM258),0)</f>
        <v>0</v>
      </c>
      <c r="CR258" s="697">
        <f>IF(AND($B258&gt;=$FL258,$B258&lt;=$FM258),MAX($CJ258,Sheet1!EG258,0),MAX($CJ258-(7/36)*$K258,0))</f>
        <v>11.460884353741497</v>
      </c>
      <c r="CS258" s="712">
        <f t="shared" si="777"/>
        <v>0</v>
      </c>
      <c r="CT258" s="697">
        <f t="shared" si="778"/>
        <v>0</v>
      </c>
      <c r="CU258" s="697">
        <f>IF(AND($O258&gt;0,Sheet1!EK258=1),(1-($O258-Sheet1!$L258)/$O258)*CP258,0)</f>
        <v>0</v>
      </c>
      <c r="CV258" s="697">
        <f>IF(AND(Sheet1!$L258=0,Sheet1!$L257=0, Calculation!CO258&lt;Sheet1!$EG258-0.1,Sheet1!$EG258=Sheet1!$EG257,Sheet1!$EG258=Sheet1!$EG259),Sheet1!$EG258,CP258-CU258)</f>
        <v>11.460884353741497</v>
      </c>
      <c r="CW258" s="697">
        <f t="shared" si="721"/>
        <v>0</v>
      </c>
      <c r="CX258" s="712">
        <f t="shared" si="779"/>
        <v>17.36</v>
      </c>
      <c r="CY258" s="712">
        <f t="shared" si="780"/>
        <v>236.26558253508648</v>
      </c>
      <c r="CZ258" s="712">
        <f t="shared" si="781"/>
        <v>17.300952380952381</v>
      </c>
      <c r="DA258" s="712">
        <f ca="1">IF(B258&gt;Summary!$A$1,#N/A,CY258*MGtoAF)</f>
        <v>724.86280721764535</v>
      </c>
      <c r="DB258" s="712">
        <f t="shared" si="782"/>
        <v>17.36</v>
      </c>
      <c r="DC258" s="712">
        <f t="shared" si="783"/>
        <v>26.46</v>
      </c>
      <c r="DD258" s="712">
        <f>Sheet1!AB258-DC258</f>
        <v>-8.9999999999999858E-2</v>
      </c>
      <c r="DE258" s="712">
        <f t="shared" si="784"/>
        <v>-3.4013605442176817E-3</v>
      </c>
      <c r="DF258" s="712">
        <f>(VLOOKUP(Sheet1!CY258,hhdcap_wcm,4)-(((VLOOKUP(Sheet1!CY258,hhdcap_wcm,3)-Sheet1!CY258)/(VLOOKUP(Sheet1!CY258,hhdcap_wcm,3)-VLOOKUP(Sheet1!CY258,hhdcap_wcm,1)))*(VLOOKUP(Sheet1!CY258,hhdcap_wcm,4)-VLOOKUP(Sheet1!CY258,hhdcap_wcm,2))))</f>
        <v>35818.440000088274</v>
      </c>
      <c r="DG258" s="712">
        <f t="shared" si="785"/>
        <v>-259.47000000022672</v>
      </c>
      <c r="DH258" s="712">
        <f t="shared" si="786"/>
        <v>-130.84720121040175</v>
      </c>
      <c r="DI258" s="712">
        <f>Sheet1!DW258*AFtoMG</f>
        <v>0</v>
      </c>
      <c r="DJ258" s="712">
        <f>Sheet1!DX258*AFtoMG</f>
        <v>0</v>
      </c>
      <c r="DK258" s="712">
        <f>Sheet1!DY258*AFtoMG</f>
        <v>0</v>
      </c>
      <c r="DL258" s="712">
        <f>Sheet1!DZ258*AFtoMG</f>
        <v>0</v>
      </c>
      <c r="DM258" s="712">
        <f t="shared" si="787"/>
        <v>0</v>
      </c>
      <c r="DN258" s="712">
        <f t="shared" si="788"/>
        <v>0</v>
      </c>
      <c r="DO258" s="712">
        <f t="shared" si="789"/>
        <v>2611.520106054661</v>
      </c>
      <c r="DP258" s="712">
        <f t="shared" si="790"/>
        <v>8012.1436853757004</v>
      </c>
      <c r="DQ258" s="712"/>
      <c r="DR258" s="697">
        <f>IF(OR(B258&lt;FL258,B258&gt;FM258),(MIN(AV258+BO258+CJ258+MAX(Sheet1!AA258+AG258-73,0),K258)),0)</f>
        <v>0</v>
      </c>
      <c r="DS258" s="712"/>
      <c r="DT258" s="712">
        <f t="shared" si="791"/>
        <v>17.300952380952381</v>
      </c>
      <c r="DU258" s="712"/>
      <c r="DV258" s="712">
        <f>Sheet1!ED258+Sheet1!EE258+Sheet1!EF258+Sheet1!EG258</f>
        <v>17</v>
      </c>
      <c r="DW258" s="712"/>
      <c r="DX258" s="697">
        <f t="shared" si="792"/>
        <v>0</v>
      </c>
      <c r="DY258" s="712">
        <f>IF(Sheet1!FN258=1,SUM('Calculations II'!AT258:BA258)+'Calculations II'!BC258+Sheet1!BU258+'Calculations II'!BE258+AF258,SUM('Calculations II'!AT258:BA258)+'Calculations II'!BC258+Sheet1!BU258+'Calculations II'!BE258+AF258)</f>
        <v>66.416944000000001</v>
      </c>
      <c r="DZ258" s="712">
        <f>Sheet1!AA258+Sheet1!AB258+'Calculations II'!BC258</f>
        <v>81.694160000000011</v>
      </c>
      <c r="EA258" s="712"/>
      <c r="EB258" s="712"/>
      <c r="EC258" s="712">
        <f t="shared" si="793"/>
        <v>40787</v>
      </c>
      <c r="ED258" s="712">
        <f t="shared" si="794"/>
        <v>-17.960884353741498</v>
      </c>
      <c r="EE258" s="712">
        <f t="shared" si="795"/>
        <v>-27.785488095238097</v>
      </c>
      <c r="EF258" s="712">
        <f ca="1">IF(B258=TODAY(),0,-(VLOOKUP(Sheet1!BQ258,Lookup!$B$4:$J$236,2)-VLOOKUP(Sheet1!BQ257,Lookup!$B$4:$J$236,2))/1000000)</f>
        <v>1.9301999999999999</v>
      </c>
      <c r="EG258" s="712">
        <f ca="1">IF(B258=TODAY(),0,-(VLOOKUP(Sheet1!BR258,Lookup!$B$4:$J$236,3)-VLOOKUP(Sheet1!BR257,Lookup!$B$4:$J$236,3))/1000000)</f>
        <v>1.9274</v>
      </c>
      <c r="EH258" s="712">
        <f>-(VLOOKUP(Sheet1!BS258,Lookup!$B$4:$J$236,4)-VLOOKUP(Sheet1!BS257,Lookup!$B$4:$J$236,4))/1000000</f>
        <v>0</v>
      </c>
      <c r="EI258" s="697">
        <f t="shared" ca="1" si="819"/>
        <v>3.8575999999999997</v>
      </c>
      <c r="EJ258" s="712"/>
      <c r="EK258" s="712"/>
      <c r="EL258" s="712"/>
      <c r="EM258" s="712"/>
      <c r="EN258" s="712"/>
      <c r="EO258" s="712"/>
      <c r="EP258" s="712"/>
      <c r="EQ258" s="712"/>
      <c r="ET258" s="794">
        <f t="shared" si="818"/>
        <v>1131</v>
      </c>
      <c r="EU258" s="697">
        <v>8785</v>
      </c>
      <c r="EV258" s="795">
        <f t="shared" si="734"/>
        <v>17801.296314712574</v>
      </c>
      <c r="EW258" s="796" t="s">
        <v>757</v>
      </c>
      <c r="EX258" s="796" t="s">
        <v>758</v>
      </c>
      <c r="EY258" s="712">
        <f t="shared" si="817"/>
        <v>0</v>
      </c>
      <c r="EZ258" s="798">
        <v>18524.300000040752</v>
      </c>
      <c r="FA258" s="712"/>
      <c r="FB258" s="712"/>
      <c r="FC258" s="712"/>
      <c r="FD258" s="712"/>
      <c r="FE258" s="712">
        <f>O258+Sheet1!CO258</f>
        <v>6873.4</v>
      </c>
      <c r="FF258" s="712">
        <f>IF(Sheet1!AA258+AG258&lt;=Calculation!N258,AG258,Calculation!N258-Sheet1!AA258)</f>
        <v>9.0690476190476179</v>
      </c>
      <c r="FG258" s="712">
        <f>(Sheet1!BP258+Sheet1!BO258)/694.4</f>
        <v>4.2543202764976957</v>
      </c>
      <c r="FH258" s="712"/>
      <c r="FI258" s="712"/>
      <c r="FJ258" s="712"/>
      <c r="FK258" s="712"/>
      <c r="FL258" s="714">
        <f t="shared" si="726"/>
        <v>40753</v>
      </c>
      <c r="FM258" s="714">
        <f t="shared" si="727"/>
        <v>40851</v>
      </c>
      <c r="FN258" s="712"/>
      <c r="FO258" s="712"/>
      <c r="FP258" s="712"/>
      <c r="FQ258" s="712"/>
      <c r="FR258" s="712"/>
      <c r="FS258" s="725">
        <f t="shared" si="820"/>
        <v>40603</v>
      </c>
      <c r="FT258" s="714">
        <f t="shared" si="729"/>
        <v>40709</v>
      </c>
      <c r="FU258" s="712">
        <f t="shared" si="820"/>
        <v>6518.9048239895692</v>
      </c>
      <c r="FV258" s="714">
        <f t="shared" si="730"/>
        <v>40722</v>
      </c>
      <c r="FW258" s="712">
        <f t="shared" si="820"/>
        <v>3259.4524119947846</v>
      </c>
      <c r="FX258" s="725">
        <f t="shared" si="820"/>
        <v>40851</v>
      </c>
      <c r="FZ258" s="697">
        <f t="shared" si="722"/>
        <v>0</v>
      </c>
      <c r="GA258" s="712" t="str">
        <f t="shared" si="797"/>
        <v/>
      </c>
      <c r="GB258" s="712">
        <f t="shared" si="798"/>
        <v>0</v>
      </c>
      <c r="GC258" s="712" t="str">
        <f t="shared" si="799"/>
        <v/>
      </c>
      <c r="GD258" s="712">
        <f>IF(GA258="P",Lookup!$M$12,IF(GA258="PP",Lookup!$M$13,IF(GA258="PPP",Lookup!$M$14,IF(GA258="T",Lookup!$M$15,IF(GA258="TP",Lookup!$M$16,IF(GA258="TPP",Lookup!$M$17,IF(GA258="TPPP",Lookup!$M$18,0)))))))*FZ258</f>
        <v>0</v>
      </c>
      <c r="GE258" s="712">
        <f t="shared" si="800"/>
        <v>0</v>
      </c>
      <c r="GF258" s="712">
        <f t="shared" si="801"/>
        <v>4166.6666666666661</v>
      </c>
      <c r="GG258" s="712">
        <f t="shared" si="802"/>
        <v>1358.1051716644936</v>
      </c>
      <c r="GH258" s="712"/>
      <c r="GI258" s="712">
        <f t="shared" si="803"/>
        <v>0</v>
      </c>
      <c r="GJ258" s="712" t="str">
        <f t="shared" si="804"/>
        <v/>
      </c>
      <c r="GK258" s="712">
        <f>IF(GA258="P",Lookup!$N$12,IF(GA258="PP",Lookup!$N$13,IF(GA258="PPP",Lookup!$N$14,IF(GA258="T",Lookup!$N$15,IF(GA258="TP",Lookup!$N$16,IF(GA258="TPP",Lookup!$N$17,IF(GA258="TPPP",Lookup!$N$18,0)))))))*FZ258</f>
        <v>0</v>
      </c>
      <c r="GL258" s="712">
        <f t="shared" si="805"/>
        <v>0</v>
      </c>
      <c r="GM258" s="712">
        <f t="shared" si="806"/>
        <v>1707.805572759122</v>
      </c>
      <c r="GN258" s="712">
        <f t="shared" si="807"/>
        <v>556.6510993347855</v>
      </c>
      <c r="GO258" s="712"/>
      <c r="GP258" s="712">
        <f t="shared" si="808"/>
        <v>0</v>
      </c>
      <c r="GQ258" s="712" t="str">
        <f t="shared" si="809"/>
        <v/>
      </c>
      <c r="GR258" s="712">
        <f>IF(GA258="P",Lookup!$N$12,IF(GA258="PP",Lookup!$N$13,IF(GA258="PPP",Lookup!$N$14,IF(GA258="T",Lookup!$N$15,IF(GA258="TP",Lookup!$N$16,IF(GA258="TPP",Lookup!$N$17,IF(GA258="TPPP",Lookup!$N$18,0)))))))*FZ258</f>
        <v>0</v>
      </c>
      <c r="GS258" s="697">
        <f t="shared" si="724"/>
        <v>0</v>
      </c>
      <c r="GT258" s="712">
        <f t="shared" si="810"/>
        <v>1412.808638732266</v>
      </c>
      <c r="GU258" s="712">
        <f t="shared" si="811"/>
        <v>460.4982525202953</v>
      </c>
      <c r="GV258" s="712"/>
      <c r="GW258" s="712">
        <f t="shared" si="812"/>
        <v>0</v>
      </c>
      <c r="GX258" s="712" t="str">
        <f t="shared" si="813"/>
        <v/>
      </c>
      <c r="GY258" s="712">
        <f>IF(GA258="P",Lookup!$N$12,IF(GA258="PP",Lookup!$N$13,IF(GA258="PPP",Lookup!$N$14,IF(GA258="T",Lookup!$N$15,IF(GA258="TP",Lookup!$N$16,IF(GA258="TPP",Lookup!$N$17,IF(GA258="TPPP",Lookup!$N$18,0)))))))*FZ258</f>
        <v>0</v>
      </c>
      <c r="GZ258" s="697">
        <f t="shared" si="725"/>
        <v>0</v>
      </c>
      <c r="HA258" s="712">
        <f t="shared" si="814"/>
        <v>724.86280721764535</v>
      </c>
      <c r="HB258" s="712">
        <f t="shared" si="815"/>
        <v>236.26558253508648</v>
      </c>
      <c r="HC258" s="712"/>
    </row>
    <row r="259" spans="1:211">
      <c r="A259" s="773" t="s">
        <v>8</v>
      </c>
      <c r="B259" s="708">
        <v>40788</v>
      </c>
      <c r="C259" s="709">
        <v>0.5</v>
      </c>
      <c r="D259" s="675">
        <f t="shared" si="737"/>
        <v>200</v>
      </c>
      <c r="E259" s="675">
        <f t="shared" si="738"/>
        <v>400</v>
      </c>
      <c r="F259" s="675">
        <v>250</v>
      </c>
      <c r="G259" s="712">
        <f>DH259+Sheet1!CV259</f>
        <v>165.58093797196426</v>
      </c>
      <c r="H259" s="712">
        <f t="shared" si="739"/>
        <v>0</v>
      </c>
      <c r="I259" s="711">
        <f>MAX(Sheet1!Z259-AJ259+(Sheet1!CW259-E259)*CFStoMGD,0)</f>
        <v>0</v>
      </c>
      <c r="J259" s="720">
        <f>IF(AND(B259&gt;=Calculation!FS259,B259&lt;=Calculation!FT259),IF(Sheet1!CX259&gt;=Calculation!D259,64.64,0),MAX(Sheet1!Z259-AJ259+(Sheet1!CX259-D259)*CFStoMGD,0))</f>
        <v>16.560729488432717</v>
      </c>
      <c r="K259" s="697">
        <f t="shared" si="740"/>
        <v>0</v>
      </c>
      <c r="L259" s="712">
        <f>Sheet1!AA259+Sheet1!AB259-Sheet1!L259+(Sheet1!CW259-F259)*CFStoMGD</f>
        <v>123.86133333333335</v>
      </c>
      <c r="M259" s="712">
        <f t="shared" si="741"/>
        <v>109.17214867117926</v>
      </c>
      <c r="N259" s="712">
        <f>IF(Sheet1!CW259&gt;=F259,MIN(73,MIN(MAX(L259,0),MAX(M259,0))),0)</f>
        <v>73</v>
      </c>
      <c r="O259" s="721">
        <f>Sheet1!AA259+Sheet1!AB259</f>
        <v>76.930000000000007</v>
      </c>
      <c r="P259" s="721">
        <f t="shared" si="742"/>
        <v>119.01070999999999</v>
      </c>
      <c r="Q259" s="712">
        <f>MIN(N259,Sheet1!AA259+AG259)</f>
        <v>59.851137178233955</v>
      </c>
      <c r="R259" s="712">
        <f t="shared" si="743"/>
        <v>17</v>
      </c>
      <c r="S259" s="721">
        <f>Sheet1!Y259*MGDtoCFS</f>
        <v>72.353189999999998</v>
      </c>
      <c r="T259" s="721">
        <f>Sheet1!Z259*MGDtoCFS</f>
        <v>48.436569999999996</v>
      </c>
      <c r="U259" s="721">
        <f>Sheet1!AA259*MGDtoCFS</f>
        <v>71.564219999999992</v>
      </c>
      <c r="V259" s="721">
        <f>Sheet1!AB259*MGDtoCFS</f>
        <v>47.446489999999997</v>
      </c>
      <c r="W259" s="721">
        <f>Sheet1!L259*MGDtoCFS</f>
        <v>0</v>
      </c>
      <c r="X259" s="697">
        <f t="shared" si="744"/>
        <v>17.442864125122192</v>
      </c>
      <c r="Y259" s="712">
        <f t="shared" si="745"/>
        <v>26.984110801564029</v>
      </c>
      <c r="Z259" s="712">
        <f t="shared" si="746"/>
        <v>0</v>
      </c>
      <c r="AA259" s="712">
        <f t="shared" si="747"/>
        <v>0</v>
      </c>
      <c r="AB259" s="712">
        <f>(VLOOKUP(Sheet1!CY259,hhdcap_wcm,4)-(((VLOOKUP(Sheet1!CY259,hhdcap_wcm,3)-Sheet1!CY259)/(VLOOKUP(Sheet1!CY259,hhdcap_wcm,3)-VLOOKUP(Sheet1!CY259,hhdcap_wcm,1)))*(VLOOKUP(Sheet1!CY259,hhdcap_wcm,4)-VLOOKUP(Sheet1!CY259,hhdcap_wcm,2))))</f>
        <v>35534.040000086679</v>
      </c>
      <c r="AC259" s="712">
        <f t="shared" si="748"/>
        <v>-284.40000000159489</v>
      </c>
      <c r="AD259" s="712">
        <f t="shared" si="749"/>
        <v>2594.0772419295386</v>
      </c>
      <c r="AE259" s="712">
        <f t="shared" si="750"/>
        <v>7958.6289782398244</v>
      </c>
      <c r="AF259" s="712">
        <f>Sheet1!BA259+Sheet1!BB259+Sheet1!BN259+BT259</f>
        <v>13.6</v>
      </c>
      <c r="AG259" s="712">
        <f t="shared" si="751"/>
        <v>13.591137178233954</v>
      </c>
      <c r="AH259" s="712">
        <f>Sheet1!BA259+BT259</f>
        <v>0</v>
      </c>
      <c r="AI259" s="712">
        <f>Sheet1!BA259+Sheet1!BB259+BT259</f>
        <v>0</v>
      </c>
      <c r="AJ259" s="712">
        <f>IF((Sheet1!AA259+AG259+AX259+AZ259+BQ259+BS259+CL259+CN259)&lt;=N259,AG259+AX259+AZ259+BQ259+BS259+CL259+CN259,N259-Sheet1!AA259)</f>
        <v>13.591137178233954</v>
      </c>
      <c r="AK259" s="851">
        <f>IF(DR259&lt;K259,0,MAX(Sheet1!AA259+AG259-15/36*K259-N259,Sheet1!ED259,0))</f>
        <v>0</v>
      </c>
      <c r="AL259" s="712">
        <f>IF(OR(B259&gt;=FT259,B259&lt;FS259),0,15/36*K259-MAX(0,64.6-(137.6-(Sheet1!AA259+Sheet1!AB259))))</f>
        <v>0</v>
      </c>
      <c r="AM259" s="712">
        <f>Sheet1!CX259-110</f>
        <v>88.208333333333343</v>
      </c>
      <c r="AN259" s="712">
        <f>Sheet1!CW259-265</f>
        <v>57.604166666666686</v>
      </c>
      <c r="AO259" s="712">
        <f t="shared" si="733"/>
        <v>13.148862821766045</v>
      </c>
      <c r="AP259" s="851">
        <v>0</v>
      </c>
      <c r="AQ259" s="712">
        <f t="shared" si="753"/>
        <v>0</v>
      </c>
      <c r="AR259" s="712">
        <f t="shared" si="821"/>
        <v>1358.1051716644936</v>
      </c>
      <c r="AS259" s="712"/>
      <c r="AT259" s="712">
        <f ca="1">IF(B259&gt;Summary!$A$1,#N/A,AR259*MGtoAF)</f>
        <v>4166.6666666666661</v>
      </c>
      <c r="AU259" s="712">
        <f>Sheet1!BG259+Sheet1!BH259+Sheet1!BI259-BC259</f>
        <v>1.92</v>
      </c>
      <c r="AV259" s="712">
        <f t="shared" si="755"/>
        <v>1.918748778103617</v>
      </c>
      <c r="AW259" s="712">
        <f>IF(Sheet1!EL259="FM",BC259,0)</f>
        <v>0</v>
      </c>
      <c r="AX259" s="712">
        <f t="shared" si="756"/>
        <v>0</v>
      </c>
      <c r="AY259" s="712">
        <f>IF(Sheet1!EL259="OTHER",BC259,0)</f>
        <v>0</v>
      </c>
      <c r="AZ259" s="712">
        <f t="shared" si="757"/>
        <v>0</v>
      </c>
      <c r="BA259" s="712">
        <f t="shared" si="758"/>
        <v>1.92</v>
      </c>
      <c r="BB259" s="712">
        <f t="shared" si="759"/>
        <v>1.918748778103617</v>
      </c>
      <c r="BC259" s="712">
        <f>IF(OR(Sheet1!EL259="FM", Sheet1!EL259="OTHER"),SUM(Sheet1!BG259:'Sheet1'!BI259),0)</f>
        <v>0</v>
      </c>
      <c r="BD259" s="697">
        <f>IF(AND($B259&gt;=$FL259,$B259&lt;=$FM259),MAX(AV259,Sheet1!EE259,0),MAX(AV259-(7/36)*$K259,0))</f>
        <v>2</v>
      </c>
      <c r="BE259" s="712">
        <f t="shared" si="760"/>
        <v>0</v>
      </c>
      <c r="BF259" s="697">
        <f t="shared" si="761"/>
        <v>0</v>
      </c>
      <c r="BG259" s="697">
        <f>IF(AND($O259&gt;0,Sheet1!EI259=1),(1-($O259-Sheet1!$L259)/$O259)*BB259,0)</f>
        <v>0</v>
      </c>
      <c r="BH259" s="697">
        <f>IF(AND(Sheet1!$L259=0,Sheet1!$L258=0, Calculation!BA259&lt;Sheet1!$EE259-0.1,Sheet1!$EE259=Sheet1!$EE258,Sheet1!$EE259=Sheet1!$EE260),Sheet1!$EE259,BB259-BG259)</f>
        <v>1.918748778103617</v>
      </c>
      <c r="BI259" s="712"/>
      <c r="BJ259" s="712"/>
      <c r="BK259" s="712">
        <f t="shared" si="762"/>
        <v>554.6510993347855</v>
      </c>
      <c r="BL259" s="712"/>
      <c r="BM259" s="712">
        <f ca="1">IF(B259&gt;Summary!$A$1,#N/A,BK259*MGtoAF)</f>
        <v>1701.669572759122</v>
      </c>
      <c r="BN259" s="712">
        <f>Sheet1!BC259+Sheet1!BD259+Sheet1!BE259+Sheet1!BF259-BW259-BX259</f>
        <v>4.22</v>
      </c>
      <c r="BO259" s="712">
        <f t="shared" si="763"/>
        <v>4.217249918540241</v>
      </c>
      <c r="BP259" s="712">
        <f>IF(Sheet1!EM259="FM",BX259,0)</f>
        <v>0</v>
      </c>
      <c r="BQ259" s="712">
        <f t="shared" si="764"/>
        <v>0</v>
      </c>
      <c r="BR259" s="712">
        <f>IF(Sheet1!EM259="OTHER",BX259,0)</f>
        <v>0</v>
      </c>
      <c r="BS259" s="712">
        <f t="shared" si="765"/>
        <v>0</v>
      </c>
      <c r="BT259" s="712">
        <f t="shared" si="766"/>
        <v>0</v>
      </c>
      <c r="BU259" s="712">
        <f t="shared" si="767"/>
        <v>4.22</v>
      </c>
      <c r="BV259" s="712">
        <f t="shared" si="768"/>
        <v>4.217249918540241</v>
      </c>
      <c r="BW259" s="712">
        <f>IF(Sheet1!EM259="CWA",SUM(Sheet1!BC259:'Sheet1'!BF259),0)</f>
        <v>0</v>
      </c>
      <c r="BX259" s="712">
        <f>IF(OR(Sheet1!EM259="FM", Sheet1!EM259="OTHER"),SUM(Sheet1!BC259:'Sheet1'!BF259),0)</f>
        <v>0</v>
      </c>
      <c r="BY259" s="697">
        <f>IF(AND($B259&gt;=$FL259,$B259&lt;=$FM259),MAX(BV259,Sheet1!EF259,0),MAX(BV259-(7/36)*$K259,0))</f>
        <v>4.5</v>
      </c>
      <c r="BZ259" s="712">
        <f t="shared" si="769"/>
        <v>0</v>
      </c>
      <c r="CA259" s="697">
        <f t="shared" si="770"/>
        <v>0</v>
      </c>
      <c r="CB259" s="697">
        <f>IF(AND($O259&gt;0,Sheet1!EJ259=1),(1-($O259-Sheet1!$L259)/$O259)*BV259,0)</f>
        <v>0</v>
      </c>
      <c r="CC259" s="697">
        <f>IF(AND(Sheet1!$L259=0,Sheet1!$L258=0, Calculation!BU259&lt;Sheet1!EF259-0.1,Sheet1!EF259=Sheet1!EF258,Sheet1!EF259=Sheet1!EF260),Sheet1!EF259,BV259-CB259)</f>
        <v>4.217249918540241</v>
      </c>
      <c r="CD259" s="697"/>
      <c r="CE259" s="712"/>
      <c r="CF259" s="712">
        <f t="shared" si="771"/>
        <v>455.9982525202953</v>
      </c>
      <c r="CG259" s="712"/>
      <c r="CH259" s="712">
        <f ca="1">IF(B259&gt;Summary!$A$1,#N/A,CF259*MGtoAF)</f>
        <v>1399.002638732266</v>
      </c>
      <c r="CI259" s="712">
        <f>Sheet1!BK259+Sheet1!BL259+Sheet1!BM259-Sheet1!EN259-CQ259</f>
        <v>10.95</v>
      </c>
      <c r="CJ259" s="712">
        <f t="shared" si="772"/>
        <v>10.94286412512219</v>
      </c>
      <c r="CK259" s="712">
        <f>IF(Sheet1!EN259="FM",CQ259,0)</f>
        <v>0</v>
      </c>
      <c r="CL259" s="712">
        <f t="shared" si="773"/>
        <v>0</v>
      </c>
      <c r="CM259" s="712">
        <f>IF(Sheet1!EN259="OTHER",CQ259,0)</f>
        <v>0</v>
      </c>
      <c r="CN259" s="712">
        <f t="shared" si="774"/>
        <v>0</v>
      </c>
      <c r="CO259" s="712">
        <f t="shared" si="775"/>
        <v>10.95</v>
      </c>
      <c r="CP259" s="712">
        <f t="shared" si="776"/>
        <v>10.94286412512219</v>
      </c>
      <c r="CQ259" s="712">
        <f>IF(OR(Sheet1!EN259="FM", Sheet1!EN259="OTHER"),SUM(Sheet1!BK259:'Sheet1'!BM259),0)</f>
        <v>0</v>
      </c>
      <c r="CR259" s="697">
        <f>IF(AND($B259&gt;=$FL259,$B259&lt;=$FM259),MAX($CJ259,Sheet1!EG259,0),MAX($CJ259-(7/36)*$K259,0))</f>
        <v>10.94286412512219</v>
      </c>
      <c r="CS259" s="712">
        <f t="shared" si="777"/>
        <v>0</v>
      </c>
      <c r="CT259" s="697">
        <f t="shared" si="778"/>
        <v>0</v>
      </c>
      <c r="CU259" s="697">
        <f>IF(AND($O259&gt;0,Sheet1!EK259=1),(1-($O259-Sheet1!$L259)/$O259)*CP259,0)</f>
        <v>0</v>
      </c>
      <c r="CV259" s="697">
        <f>IF(AND(Sheet1!$L259=0,Sheet1!$L258=0, Calculation!CO259&lt;Sheet1!$EG259-0.1,Sheet1!$EG259=Sheet1!$EG258,Sheet1!$EG259=Sheet1!$EG260),Sheet1!$EG259,CP259-CU259)</f>
        <v>10.94286412512219</v>
      </c>
      <c r="CW259" s="697">
        <f t="shared" si="721"/>
        <v>0</v>
      </c>
      <c r="CX259" s="712">
        <f t="shared" si="779"/>
        <v>17.09</v>
      </c>
      <c r="CY259" s="712">
        <f t="shared" si="780"/>
        <v>225.3227184099643</v>
      </c>
      <c r="CZ259" s="712">
        <f t="shared" si="781"/>
        <v>17.078862821766048</v>
      </c>
      <c r="DA259" s="712">
        <f ca="1">IF(B259&gt;Summary!$A$1,#N/A,CY259*MGtoAF)</f>
        <v>691.29010008177045</v>
      </c>
      <c r="DB259" s="712">
        <f t="shared" si="782"/>
        <v>17.089999999999996</v>
      </c>
      <c r="DC259" s="712">
        <f t="shared" si="783"/>
        <v>30.689999999999998</v>
      </c>
      <c r="DD259" s="712">
        <f>Sheet1!AB259-DC259</f>
        <v>-1.9999999999996021E-2</v>
      </c>
      <c r="DE259" s="712">
        <f t="shared" si="784"/>
        <v>-6.5167807103278018E-4</v>
      </c>
      <c r="DF259" s="712">
        <f>(VLOOKUP(Sheet1!CY259,hhdcap_wcm,4)-(((VLOOKUP(Sheet1!CY259,hhdcap_wcm,3)-Sheet1!CY259)/(VLOOKUP(Sheet1!CY259,hhdcap_wcm,3)-VLOOKUP(Sheet1!CY259,hhdcap_wcm,1)))*(VLOOKUP(Sheet1!CY259,hhdcap_wcm,4)-VLOOKUP(Sheet1!CY259,hhdcap_wcm,2))))</f>
        <v>35534.040000086679</v>
      </c>
      <c r="DG259" s="712">
        <f t="shared" si="785"/>
        <v>-284.40000000159489</v>
      </c>
      <c r="DH259" s="712">
        <f t="shared" si="786"/>
        <v>-143.41906202803574</v>
      </c>
      <c r="DI259" s="712">
        <f>Sheet1!DW259*AFtoMG</f>
        <v>0</v>
      </c>
      <c r="DJ259" s="712">
        <f>Sheet1!DX259*AFtoMG</f>
        <v>0</v>
      </c>
      <c r="DK259" s="712">
        <f>Sheet1!DY259*AFtoMG</f>
        <v>0</v>
      </c>
      <c r="DL259" s="712">
        <f>Sheet1!DZ259*AFtoMG</f>
        <v>0</v>
      </c>
      <c r="DM259" s="712">
        <f t="shared" si="787"/>
        <v>0</v>
      </c>
      <c r="DN259" s="712">
        <f t="shared" si="788"/>
        <v>0</v>
      </c>
      <c r="DO259" s="712">
        <f t="shared" si="789"/>
        <v>2594.0772419295386</v>
      </c>
      <c r="DP259" s="712">
        <f t="shared" si="790"/>
        <v>7958.6289782398244</v>
      </c>
      <c r="DQ259" s="712"/>
      <c r="DR259" s="697">
        <f>IF(OR(B259&lt;FL259,B259&gt;FM259),(MIN(AV259+BO259+CJ259+MAX(Sheet1!AA259+AG259-73,0),K259)),0)</f>
        <v>0</v>
      </c>
      <c r="DS259" s="712"/>
      <c r="DT259" s="712">
        <f t="shared" si="791"/>
        <v>17.078862821766048</v>
      </c>
      <c r="DU259" s="712"/>
      <c r="DV259" s="712">
        <f>Sheet1!ED259+Sheet1!EE259+Sheet1!EF259+Sheet1!EG259</f>
        <v>17</v>
      </c>
      <c r="DW259" s="712"/>
      <c r="DX259" s="697">
        <f t="shared" si="792"/>
        <v>0</v>
      </c>
      <c r="DY259" s="712">
        <f>IF(Sheet1!FN259=1,SUM('Calculations II'!AT259:BA259)+'Calculations II'!BC259+Sheet1!BU259+'Calculations II'!BE259+AF259,SUM('Calculations II'!AT259:BA259)+'Calculations II'!BC259+Sheet1!BU259+'Calculations II'!BE259+AF259)</f>
        <v>65.709983999999992</v>
      </c>
      <c r="DZ259" s="712">
        <f>Sheet1!AA259+Sheet1!AB259+'Calculations II'!BC259</f>
        <v>85.964128000000002</v>
      </c>
      <c r="EA259" s="712"/>
      <c r="EB259" s="712"/>
      <c r="EC259" s="712">
        <f t="shared" si="793"/>
        <v>40788</v>
      </c>
      <c r="ED259" s="712">
        <f t="shared" si="794"/>
        <v>-17.442864125122192</v>
      </c>
      <c r="EE259" s="712">
        <f t="shared" si="795"/>
        <v>-26.984110801564029</v>
      </c>
      <c r="EF259" s="712">
        <f ca="1">IF(B259=TODAY(),0,-(VLOOKUP(Sheet1!BQ259,Lookup!$B$4:$J$236,2)-VLOOKUP(Sheet1!BQ258,Lookup!$B$4:$J$236,2))/1000000)</f>
        <v>-0.82140000000000002</v>
      </c>
      <c r="EG259" s="712">
        <f ca="1">IF(B259=TODAY(),0,-(VLOOKUP(Sheet1!BR259,Lookup!$B$4:$J$236,3)-VLOOKUP(Sheet1!BR258,Lookup!$B$4:$J$236,3))/1000000)</f>
        <v>-0.82020000000000004</v>
      </c>
      <c r="EH259" s="712">
        <f>-(VLOOKUP(Sheet1!BS259,Lookup!$B$4:$J$236,4)-VLOOKUP(Sheet1!BS258,Lookup!$B$4:$J$236,4))/1000000</f>
        <v>0</v>
      </c>
      <c r="EI259" s="697">
        <f t="shared" ca="1" si="819"/>
        <v>-1.6415999999999999</v>
      </c>
      <c r="EJ259" s="712"/>
      <c r="EK259" s="712"/>
      <c r="EL259" s="712"/>
      <c r="EM259" s="712"/>
      <c r="EN259" s="712"/>
      <c r="EO259" s="712"/>
      <c r="EP259" s="712"/>
      <c r="EQ259" s="712"/>
      <c r="ET259" s="794">
        <f t="shared" si="818"/>
        <v>1130.7</v>
      </c>
      <c r="EU259" s="697">
        <v>8785</v>
      </c>
      <c r="EV259" s="795">
        <f t="shared" si="734"/>
        <v>17570.411021846856</v>
      </c>
      <c r="EW259" s="796" t="s">
        <v>757</v>
      </c>
      <c r="EX259" s="796" t="s">
        <v>757</v>
      </c>
      <c r="EY259" s="712">
        <f t="shared" si="817"/>
        <v>0</v>
      </c>
      <c r="EZ259" s="798">
        <v>18296.700000040495</v>
      </c>
      <c r="FA259" s="712"/>
      <c r="FB259" s="712"/>
      <c r="FC259" s="712"/>
      <c r="FD259" s="712"/>
      <c r="FE259" s="712">
        <f>O259+Sheet1!CO259</f>
        <v>6350.63</v>
      </c>
      <c r="FF259" s="712">
        <f>IF(Sheet1!AA259+AG259&lt;=Calculation!N259,AG259,Calculation!N259-Sheet1!AA259)</f>
        <v>13.591137178233954</v>
      </c>
      <c r="FG259" s="712">
        <f>(Sheet1!BP259+Sheet1!BO259)/694.4</f>
        <v>4.1044066820276495</v>
      </c>
      <c r="FH259" s="712"/>
      <c r="FI259" s="712"/>
      <c r="FJ259" s="712"/>
      <c r="FK259" s="712"/>
      <c r="FL259" s="714">
        <f t="shared" si="726"/>
        <v>40753</v>
      </c>
      <c r="FM259" s="714">
        <f t="shared" si="727"/>
        <v>40851</v>
      </c>
      <c r="FN259" s="712"/>
      <c r="FO259" s="712"/>
      <c r="FP259" s="712"/>
      <c r="FQ259" s="712"/>
      <c r="FR259" s="712"/>
      <c r="FS259" s="725">
        <f t="shared" si="820"/>
        <v>40603</v>
      </c>
      <c r="FT259" s="714">
        <f t="shared" si="729"/>
        <v>40709</v>
      </c>
      <c r="FU259" s="712">
        <f t="shared" si="820"/>
        <v>6518.9048239895692</v>
      </c>
      <c r="FV259" s="714">
        <f t="shared" si="730"/>
        <v>40722</v>
      </c>
      <c r="FW259" s="712">
        <f t="shared" si="820"/>
        <v>3259.4524119947846</v>
      </c>
      <c r="FX259" s="725">
        <f t="shared" si="820"/>
        <v>40851</v>
      </c>
      <c r="FZ259" s="697">
        <f t="shared" si="722"/>
        <v>0</v>
      </c>
      <c r="GA259" s="712" t="str">
        <f t="shared" si="797"/>
        <v/>
      </c>
      <c r="GB259" s="712">
        <f t="shared" si="798"/>
        <v>0</v>
      </c>
      <c r="GC259" s="712" t="str">
        <f t="shared" si="799"/>
        <v/>
      </c>
      <c r="GD259" s="712">
        <f>IF(GA259="P",Lookup!$M$12,IF(GA259="PP",Lookup!$M$13,IF(GA259="PPP",Lookup!$M$14,IF(GA259="T",Lookup!$M$15,IF(GA259="TP",Lookup!$M$16,IF(GA259="TPP",Lookup!$M$17,IF(GA259="TPPP",Lookup!$M$18,0)))))))*FZ259</f>
        <v>0</v>
      </c>
      <c r="GE259" s="712">
        <f t="shared" si="800"/>
        <v>0</v>
      </c>
      <c r="GF259" s="712">
        <f t="shared" si="801"/>
        <v>4166.6666666666661</v>
      </c>
      <c r="GG259" s="712">
        <f t="shared" si="802"/>
        <v>1358.1051716644936</v>
      </c>
      <c r="GH259" s="712"/>
      <c r="GI259" s="712">
        <f t="shared" si="803"/>
        <v>0</v>
      </c>
      <c r="GJ259" s="712" t="str">
        <f t="shared" si="804"/>
        <v/>
      </c>
      <c r="GK259" s="712">
        <f>IF(GA259="P",Lookup!$N$12,IF(GA259="PP",Lookup!$N$13,IF(GA259="PPP",Lookup!$N$14,IF(GA259="T",Lookup!$N$15,IF(GA259="TP",Lookup!$N$16,IF(GA259="TPP",Lookup!$N$17,IF(GA259="TPPP",Lookup!$N$18,0)))))))*FZ259</f>
        <v>0</v>
      </c>
      <c r="GL259" s="712">
        <f t="shared" si="805"/>
        <v>0</v>
      </c>
      <c r="GM259" s="712">
        <f t="shared" si="806"/>
        <v>1701.669572759122</v>
      </c>
      <c r="GN259" s="712">
        <f t="shared" si="807"/>
        <v>554.6510993347855</v>
      </c>
      <c r="GO259" s="712"/>
      <c r="GP259" s="712">
        <f t="shared" si="808"/>
        <v>0</v>
      </c>
      <c r="GQ259" s="712" t="str">
        <f t="shared" si="809"/>
        <v/>
      </c>
      <c r="GR259" s="712">
        <f>IF(GA259="P",Lookup!$N$12,IF(GA259="PP",Lookup!$N$13,IF(GA259="PPP",Lookup!$N$14,IF(GA259="T",Lookup!$N$15,IF(GA259="TP",Lookup!$N$16,IF(GA259="TPP",Lookup!$N$17,IF(GA259="TPPP",Lookup!$N$18,0)))))))*FZ259</f>
        <v>0</v>
      </c>
      <c r="GS259" s="697">
        <f t="shared" si="724"/>
        <v>0</v>
      </c>
      <c r="GT259" s="712">
        <f t="shared" si="810"/>
        <v>1399.002638732266</v>
      </c>
      <c r="GU259" s="712">
        <f t="shared" si="811"/>
        <v>455.9982525202953</v>
      </c>
      <c r="GV259" s="712"/>
      <c r="GW259" s="712">
        <f t="shared" si="812"/>
        <v>0</v>
      </c>
      <c r="GX259" s="712" t="str">
        <f t="shared" si="813"/>
        <v/>
      </c>
      <c r="GY259" s="712">
        <f>IF(GA259="P",Lookup!$N$12,IF(GA259="PP",Lookup!$N$13,IF(GA259="PPP",Lookup!$N$14,IF(GA259="T",Lookup!$N$15,IF(GA259="TP",Lookup!$N$16,IF(GA259="TPP",Lookup!$N$17,IF(GA259="TPPP",Lookup!$N$18,0)))))))*FZ259</f>
        <v>0</v>
      </c>
      <c r="GZ259" s="697">
        <f t="shared" si="725"/>
        <v>0</v>
      </c>
      <c r="HA259" s="712">
        <f t="shared" si="814"/>
        <v>691.29010008177045</v>
      </c>
      <c r="HB259" s="712">
        <f t="shared" si="815"/>
        <v>225.3227184099643</v>
      </c>
      <c r="HC259" s="712"/>
    </row>
    <row r="260" spans="1:211">
      <c r="A260" s="773" t="s">
        <v>9</v>
      </c>
      <c r="B260" s="708">
        <v>40789</v>
      </c>
      <c r="C260" s="719">
        <v>0.5</v>
      </c>
      <c r="D260" s="675">
        <f t="shared" si="737"/>
        <v>200</v>
      </c>
      <c r="E260" s="675">
        <f t="shared" si="738"/>
        <v>400</v>
      </c>
      <c r="F260" s="675">
        <v>250</v>
      </c>
      <c r="G260" s="712">
        <f>DH260+Sheet1!CV260</f>
        <v>156.21741048905088</v>
      </c>
      <c r="H260" s="712">
        <f t="shared" si="739"/>
        <v>0</v>
      </c>
      <c r="I260" s="711">
        <f>MAX(Sheet1!Z260-AJ260+(Sheet1!CW260-E260)*CFStoMGD,0)</f>
        <v>0</v>
      </c>
      <c r="J260" s="720">
        <f>IF(AND(B260&gt;=Calculation!FS260,B260&lt;=Calculation!FT260),IF(Sheet1!CX260&gt;=Calculation!D260,64.64,0),MAX(Sheet1!Z260-AJ260+(Sheet1!CX260-D260)*CFStoMGD,0))</f>
        <v>17.48860272154171</v>
      </c>
      <c r="K260" s="697">
        <f t="shared" si="740"/>
        <v>0</v>
      </c>
      <c r="L260" s="712">
        <f>Sheet1!AA260+Sheet1!AB260-Sheet1!L260+(Sheet1!CW260-F260)*CFStoMGD</f>
        <v>124.99333333332054</v>
      </c>
      <c r="M260" s="712">
        <f t="shared" si="741"/>
        <v>102.99851282292494</v>
      </c>
      <c r="N260" s="712">
        <f>IF(Sheet1!CW260&gt;=F260,MIN(73,MIN(MAX(L260,0),MAX(M260,0))),0)</f>
        <v>73</v>
      </c>
      <c r="O260" s="721">
        <f>Sheet1!AA260+Sheet1!AB260</f>
        <v>74.829999999987194</v>
      </c>
      <c r="P260" s="721">
        <f t="shared" si="742"/>
        <v>115.76200999998018</v>
      </c>
      <c r="Q260" s="712">
        <f>MIN(N260,Sheet1!AA260+AG260)</f>
        <v>57.631397278449555</v>
      </c>
      <c r="R260" s="712">
        <f t="shared" si="743"/>
        <v>18</v>
      </c>
      <c r="S260" s="721">
        <f>Sheet1!Y260*MGDtoCFS</f>
        <v>70.666960000000003</v>
      </c>
      <c r="T260" s="721">
        <f>Sheet1!Z260*MGDtoCFS</f>
        <v>46.440939999999998</v>
      </c>
      <c r="U260" s="721">
        <f>Sheet1!AA260*MGDtoCFS</f>
        <v>69.769699999986486</v>
      </c>
      <c r="V260" s="721">
        <f>Sheet1!AB260*MGDtoCFS</f>
        <v>45.992309999993694</v>
      </c>
      <c r="W260" s="721">
        <f>Sheet1!L260*MGDtoCFS</f>
        <v>0</v>
      </c>
      <c r="X260" s="697">
        <f t="shared" si="744"/>
        <v>18</v>
      </c>
      <c r="Y260" s="712">
        <f t="shared" si="745"/>
        <v>27.846</v>
      </c>
      <c r="Z260" s="712">
        <f t="shared" si="746"/>
        <v>0</v>
      </c>
      <c r="AA260" s="712">
        <f t="shared" si="747"/>
        <v>0</v>
      </c>
      <c r="AB260" s="712">
        <f>(VLOOKUP(Sheet1!CY260,hhdcap_wcm,4)-(((VLOOKUP(Sheet1!CY260,hhdcap_wcm,3)-Sheet1!CY260)/(VLOOKUP(Sheet1!CY260,hhdcap_wcm,3)-VLOOKUP(Sheet1!CY260,hhdcap_wcm,1)))*(VLOOKUP(Sheet1!CY260,hhdcap_wcm,4)-VLOOKUP(Sheet1!CY260,hhdcap_wcm,2))))</f>
        <v>35231.320000086467</v>
      </c>
      <c r="AC260" s="712">
        <f t="shared" si="748"/>
        <v>-302.72000000021217</v>
      </c>
      <c r="AD260" s="712">
        <f t="shared" si="749"/>
        <v>2576.0772419295386</v>
      </c>
      <c r="AE260" s="712">
        <f t="shared" si="750"/>
        <v>7903.4049782398242</v>
      </c>
      <c r="AF260" s="712">
        <f>Sheet1!BA260+Sheet1!BB260+Sheet1!BN260+BT260</f>
        <v>12.7</v>
      </c>
      <c r="AG260" s="712">
        <f t="shared" si="751"/>
        <v>12.531397278458289</v>
      </c>
      <c r="AH260" s="712">
        <f>Sheet1!BA260+BT260</f>
        <v>0</v>
      </c>
      <c r="AI260" s="712">
        <f>Sheet1!BA260+Sheet1!BB260+BT260</f>
        <v>0</v>
      </c>
      <c r="AJ260" s="712">
        <f>IF((Sheet1!AA260+AG260+AX260+AZ260+BQ260+BS260+CL260+CN260)&lt;=N260,AG260+AX260+AZ260+BQ260+BS260+CL260+CN260,N260-Sheet1!AA260)</f>
        <v>12.531397278458289</v>
      </c>
      <c r="AK260" s="851">
        <f>IF(DR260&lt;K260,0,MAX(Sheet1!AA260+AG260-15/36*K260-N260,Sheet1!ED260,0))</f>
        <v>0</v>
      </c>
      <c r="AL260" s="712">
        <f>IF(OR(B260&gt;=FT260,B260&lt;FS260),0,15/36*K260-MAX(0,64.6-(137.6-(Sheet1!AA260+Sheet1!AB260))))</f>
        <v>0</v>
      </c>
      <c r="AM260" s="712">
        <f>Sheet1!CX260-110</f>
        <v>90</v>
      </c>
      <c r="AN260" s="712">
        <f>Sheet1!CW260-265</f>
        <v>62.604166666666686</v>
      </c>
      <c r="AO260" s="712">
        <f t="shared" si="733"/>
        <v>15.368602721550445</v>
      </c>
      <c r="AP260" s="851">
        <v>0</v>
      </c>
      <c r="AQ260" s="712">
        <f t="shared" si="753"/>
        <v>0</v>
      </c>
      <c r="AR260" s="712">
        <f t="shared" si="821"/>
        <v>1358.1051716644936</v>
      </c>
      <c r="AS260" s="712"/>
      <c r="AT260" s="712">
        <f ca="1">IF(B260&gt;Summary!$A$1,#N/A,AR260*MGtoAF)</f>
        <v>4166.6666666666661</v>
      </c>
      <c r="AU260" s="712">
        <f>Sheet1!BG260+Sheet1!BH260+Sheet1!BI260-BC260</f>
        <v>1.98</v>
      </c>
      <c r="AV260" s="712">
        <f t="shared" si="755"/>
        <v>1.9537139064053082</v>
      </c>
      <c r="AW260" s="712">
        <f>IF(Sheet1!EL260="FM",BC260,0)</f>
        <v>0</v>
      </c>
      <c r="AX260" s="712">
        <f t="shared" si="756"/>
        <v>0</v>
      </c>
      <c r="AY260" s="712">
        <f>IF(Sheet1!EL260="OTHER",BC260,0)</f>
        <v>0</v>
      </c>
      <c r="AZ260" s="712">
        <f t="shared" si="757"/>
        <v>0</v>
      </c>
      <c r="BA260" s="712">
        <f t="shared" si="758"/>
        <v>1.98</v>
      </c>
      <c r="BB260" s="712">
        <f t="shared" si="759"/>
        <v>1.9537139064053082</v>
      </c>
      <c r="BC260" s="712">
        <f>IF(OR(Sheet1!EL260="FM", Sheet1!EL260="OTHER"),SUM(Sheet1!BG260:'Sheet1'!BI260),0)</f>
        <v>0</v>
      </c>
      <c r="BD260" s="697">
        <f>IF(AND($B260&gt;=$FL260,$B260&lt;=$FM260),MAX(AV260,Sheet1!EE260,0),MAX(AV260-(7/36)*$K260,0))</f>
        <v>2</v>
      </c>
      <c r="BE260" s="712">
        <f t="shared" si="760"/>
        <v>0</v>
      </c>
      <c r="BF260" s="697">
        <f t="shared" si="761"/>
        <v>0</v>
      </c>
      <c r="BG260" s="697">
        <f>IF(AND($O260&gt;0,Sheet1!EI260=1),(1-($O260-Sheet1!$L260)/$O260)*BB260,0)</f>
        <v>0</v>
      </c>
      <c r="BH260" s="697">
        <f>IF(AND(Sheet1!$L260=0,Sheet1!$L259=0, Calculation!BA260&lt;Sheet1!$EE260-0.1,Sheet1!$EE260=Sheet1!$EE259,Sheet1!$EE260=Sheet1!$EE261),Sheet1!$EE260,BB260-BG260)</f>
        <v>1.9537139064053082</v>
      </c>
      <c r="BI260" s="712"/>
      <c r="BJ260" s="712"/>
      <c r="BK260" s="712">
        <f t="shared" si="762"/>
        <v>552.6510993347855</v>
      </c>
      <c r="BL260" s="712"/>
      <c r="BM260" s="712">
        <f ca="1">IF(B260&gt;Summary!$A$1,#N/A,BK260*MGtoAF)</f>
        <v>1695.5335727591219</v>
      </c>
      <c r="BN260" s="712">
        <f>Sheet1!BC260+Sheet1!BD260+Sheet1!BE260+Sheet1!BF260-BW260-BX260</f>
        <v>4.9000000000000004</v>
      </c>
      <c r="BO260" s="712">
        <f t="shared" si="763"/>
        <v>4.8349485562555605</v>
      </c>
      <c r="BP260" s="712">
        <f>IF(Sheet1!EM260="FM",BX260,0)</f>
        <v>0</v>
      </c>
      <c r="BQ260" s="712">
        <f t="shared" si="764"/>
        <v>0</v>
      </c>
      <c r="BR260" s="712">
        <f>IF(Sheet1!EM260="OTHER",BX260,0)</f>
        <v>0</v>
      </c>
      <c r="BS260" s="712">
        <f t="shared" si="765"/>
        <v>0</v>
      </c>
      <c r="BT260" s="712">
        <f t="shared" si="766"/>
        <v>0</v>
      </c>
      <c r="BU260" s="712">
        <f t="shared" si="767"/>
        <v>4.9000000000000004</v>
      </c>
      <c r="BV260" s="712">
        <f t="shared" si="768"/>
        <v>4.8349485562555605</v>
      </c>
      <c r="BW260" s="712">
        <f>IF(Sheet1!EM260="CWA",SUM(Sheet1!BC260:'Sheet1'!BF260),0)</f>
        <v>0</v>
      </c>
      <c r="BX260" s="712">
        <f>IF(OR(Sheet1!EM260="FM", Sheet1!EM260="OTHER"),SUM(Sheet1!BC260:'Sheet1'!BF260),0)</f>
        <v>0</v>
      </c>
      <c r="BY260" s="697">
        <f>IF(AND($B260&gt;=$FL260,$B260&lt;=$FM260),MAX(BV260,Sheet1!EF260,0),MAX(BV260-(7/36)*$K260,0))</f>
        <v>5.5</v>
      </c>
      <c r="BZ260" s="712">
        <f t="shared" si="769"/>
        <v>0</v>
      </c>
      <c r="CA260" s="697">
        <f t="shared" si="770"/>
        <v>0</v>
      </c>
      <c r="CB260" s="697">
        <f>IF(AND($O260&gt;0,Sheet1!EJ260=1),(1-($O260-Sheet1!$L260)/$O260)*BV260,0)</f>
        <v>0</v>
      </c>
      <c r="CC260" s="697">
        <f>IF(AND(Sheet1!$L260=0,Sheet1!$L259=0, Calculation!BU260&lt;Sheet1!EF260-0.1,Sheet1!EF260=Sheet1!EF259,Sheet1!EF260=Sheet1!EF261),Sheet1!EF260,BV260-CB260)</f>
        <v>4.8349485562555605</v>
      </c>
      <c r="CD260" s="697"/>
      <c r="CE260" s="712"/>
      <c r="CF260" s="712">
        <f t="shared" si="771"/>
        <v>450.4982525202953</v>
      </c>
      <c r="CG260" s="712"/>
      <c r="CH260" s="712">
        <f ca="1">IF(B260&gt;Summary!$A$1,#N/A,CF260*MGtoAF)</f>
        <v>1382.1286387322659</v>
      </c>
      <c r="CI260" s="712">
        <f>Sheet1!BK260+Sheet1!BL260+Sheet1!BM260-Sheet1!EN260-CQ260</f>
        <v>10.55</v>
      </c>
      <c r="CJ260" s="712">
        <f t="shared" si="772"/>
        <v>10.40994025887677</v>
      </c>
      <c r="CK260" s="712">
        <f>IF(Sheet1!EN260="FM",CQ260,0)</f>
        <v>0</v>
      </c>
      <c r="CL260" s="712">
        <f t="shared" si="773"/>
        <v>0</v>
      </c>
      <c r="CM260" s="712">
        <f>IF(Sheet1!EN260="OTHER",CQ260,0)</f>
        <v>0</v>
      </c>
      <c r="CN260" s="712">
        <f t="shared" si="774"/>
        <v>0</v>
      </c>
      <c r="CO260" s="712">
        <f t="shared" si="775"/>
        <v>10.55</v>
      </c>
      <c r="CP260" s="712">
        <f t="shared" si="776"/>
        <v>10.40994025887677</v>
      </c>
      <c r="CQ260" s="712">
        <f>IF(OR(Sheet1!EN260="FM", Sheet1!EN260="OTHER"),SUM(Sheet1!BK260:'Sheet1'!BM260),0)</f>
        <v>0</v>
      </c>
      <c r="CR260" s="697">
        <f>IF(AND($B260&gt;=$FL260,$B260&lt;=$FM260),MAX($CJ260,Sheet1!EG260,0),MAX($CJ260-(7/36)*$K260,0))</f>
        <v>10.5</v>
      </c>
      <c r="CS260" s="712">
        <f t="shared" si="777"/>
        <v>0</v>
      </c>
      <c r="CT260" s="697">
        <f t="shared" si="778"/>
        <v>0</v>
      </c>
      <c r="CU260" s="697">
        <f>IF(AND($O260&gt;0,Sheet1!EK260=1),(1-($O260-Sheet1!$L260)/$O260)*CP260,0)</f>
        <v>0</v>
      </c>
      <c r="CV260" s="697">
        <f>IF(AND(Sheet1!$L260=0,Sheet1!$L259=0, Calculation!CO260&lt;Sheet1!$EG260-0.1,Sheet1!$EG260=Sheet1!$EG259,Sheet1!$EG260=Sheet1!$EG261),Sheet1!$EG260,CP260-CU260)</f>
        <v>10.40994025887677</v>
      </c>
      <c r="CW260" s="697">
        <f t="shared" si="721"/>
        <v>0</v>
      </c>
      <c r="CX260" s="712">
        <f t="shared" si="779"/>
        <v>17.43</v>
      </c>
      <c r="CY260" s="712">
        <f t="shared" si="780"/>
        <v>214.8227184099643</v>
      </c>
      <c r="CZ260" s="712">
        <f t="shared" si="781"/>
        <v>17.19860272153764</v>
      </c>
      <c r="DA260" s="712">
        <f ca="1">IF(B260&gt;Summary!$A$1,#N/A,CY260*MGtoAF)</f>
        <v>659.07610008177051</v>
      </c>
      <c r="DB260" s="712">
        <f t="shared" si="782"/>
        <v>17.43</v>
      </c>
      <c r="DC260" s="712">
        <f t="shared" si="783"/>
        <v>30.13</v>
      </c>
      <c r="DD260" s="712">
        <f>Sheet1!AB260-DC260</f>
        <v>-0.40000000000407354</v>
      </c>
      <c r="DE260" s="712">
        <f t="shared" si="784"/>
        <v>-1.3275804845803967E-2</v>
      </c>
      <c r="DF260" s="712">
        <f>(VLOOKUP(Sheet1!CY260,hhdcap_wcm,4)-(((VLOOKUP(Sheet1!CY260,hhdcap_wcm,3)-Sheet1!CY260)/(VLOOKUP(Sheet1!CY260,hhdcap_wcm,3)-VLOOKUP(Sheet1!CY260,hhdcap_wcm,1)))*(VLOOKUP(Sheet1!CY260,hhdcap_wcm,4)-VLOOKUP(Sheet1!CY260,hhdcap_wcm,2))))</f>
        <v>35231.320000086467</v>
      </c>
      <c r="DG260" s="712">
        <f t="shared" si="785"/>
        <v>-302.72000000021217</v>
      </c>
      <c r="DH260" s="712">
        <f t="shared" si="786"/>
        <v>-152.65758951094912</v>
      </c>
      <c r="DI260" s="712">
        <f>Sheet1!DW260*AFtoMG</f>
        <v>0</v>
      </c>
      <c r="DJ260" s="712">
        <f>Sheet1!DX260*AFtoMG</f>
        <v>0</v>
      </c>
      <c r="DK260" s="712">
        <f>Sheet1!DY260*AFtoMG</f>
        <v>0</v>
      </c>
      <c r="DL260" s="712">
        <f>Sheet1!DZ260*AFtoMG</f>
        <v>0</v>
      </c>
      <c r="DM260" s="712">
        <f t="shared" si="787"/>
        <v>0</v>
      </c>
      <c r="DN260" s="712">
        <f t="shared" si="788"/>
        <v>0</v>
      </c>
      <c r="DO260" s="712">
        <f t="shared" si="789"/>
        <v>2576.0772419295386</v>
      </c>
      <c r="DP260" s="712">
        <f t="shared" si="790"/>
        <v>7903.4049782398242</v>
      </c>
      <c r="DQ260" s="712"/>
      <c r="DR260" s="697">
        <f>IF(OR(B260&lt;FL260,B260&gt;FM260),(MIN(AV260+BO260+CJ260+MAX(Sheet1!AA260+AG260-73,0),K260)),0)</f>
        <v>0</v>
      </c>
      <c r="DS260" s="712"/>
      <c r="DT260" s="712">
        <f t="shared" si="791"/>
        <v>17.19860272153764</v>
      </c>
      <c r="DU260" s="712"/>
      <c r="DV260" s="712">
        <f>Sheet1!ED260+Sheet1!EE260+Sheet1!EF260+Sheet1!EG260</f>
        <v>18</v>
      </c>
      <c r="DW260" s="712"/>
      <c r="DX260" s="697">
        <f t="shared" si="792"/>
        <v>0</v>
      </c>
      <c r="DY260" s="712">
        <f>IF(Sheet1!FN260=1,SUM('Calculations II'!AT260:BA260)+'Calculations II'!BC260+Sheet1!BU260+'Calculations II'!BE260+AF260,SUM('Calculations II'!AT260:BA260)+'Calculations II'!BC260+Sheet1!BU260+'Calculations II'!BE260+AF260)</f>
        <v>67.854784000000009</v>
      </c>
      <c r="DZ260" s="712">
        <f>Sheet1!AA260+Sheet1!AB260+'Calculations II'!BC260</f>
        <v>83.895807999987198</v>
      </c>
      <c r="EA260" s="712"/>
      <c r="EB260" s="712"/>
      <c r="EC260" s="712">
        <f t="shared" si="793"/>
        <v>40789</v>
      </c>
      <c r="ED260" s="712">
        <f t="shared" si="794"/>
        <v>-18</v>
      </c>
      <c r="EE260" s="712">
        <f t="shared" si="795"/>
        <v>-27.846</v>
      </c>
      <c r="EF260" s="712">
        <f ca="1">IF(B260=TODAY(),0,-(VLOOKUP(Sheet1!BQ260,Lookup!$B$4:$J$236,2)-VLOOKUP(Sheet1!BQ259,Lookup!$B$4:$J$236,2))/1000000)</f>
        <v>1.0952</v>
      </c>
      <c r="EG260" s="712">
        <f ca="1">IF(B260=TODAY(),0,-(VLOOKUP(Sheet1!BR260,Lookup!$B$4:$J$236,3)-VLOOKUP(Sheet1!BR259,Lookup!$B$4:$J$236,3))/1000000)</f>
        <v>1.0935999999999999</v>
      </c>
      <c r="EH260" s="712">
        <f>-(VLOOKUP(Sheet1!BS260,Lookup!$B$4:$J$236,4)-VLOOKUP(Sheet1!BS259,Lookup!$B$4:$J$236,4))/1000000</f>
        <v>0</v>
      </c>
      <c r="EI260" s="697">
        <f t="shared" ca="1" si="819"/>
        <v>2.1887999999999996</v>
      </c>
      <c r="EJ260" s="712"/>
      <c r="EK260" s="712"/>
      <c r="EL260" s="712"/>
      <c r="EM260" s="712"/>
      <c r="EN260" s="712"/>
      <c r="EO260" s="712"/>
      <c r="EP260" s="712"/>
      <c r="EQ260" s="712"/>
      <c r="ET260" s="794">
        <f t="shared" si="818"/>
        <v>1130.3</v>
      </c>
      <c r="EU260" s="697">
        <v>8785</v>
      </c>
      <c r="EV260" s="795">
        <f t="shared" si="734"/>
        <v>17322.915021846642</v>
      </c>
      <c r="EW260" s="796" t="s">
        <v>757</v>
      </c>
      <c r="EX260" s="796" t="s">
        <v>757</v>
      </c>
      <c r="EY260" s="712">
        <f t="shared" si="817"/>
        <v>0</v>
      </c>
      <c r="EZ260" s="798">
        <v>18126.000000040367</v>
      </c>
      <c r="FA260" s="712"/>
      <c r="FB260" s="712"/>
      <c r="FC260" s="712"/>
      <c r="FD260" s="712"/>
      <c r="FE260" s="712">
        <f>O260+Sheet1!CO260</f>
        <v>6370.529999999987</v>
      </c>
      <c r="FF260" s="712">
        <f>IF(Sheet1!AA260+AG260&lt;=Calculation!N260,AG260,Calculation!N260-Sheet1!AA260)</f>
        <v>12.531397278458289</v>
      </c>
      <c r="FG260" s="712">
        <f>(Sheet1!BP260+Sheet1!BO260)/694.4</f>
        <v>4.1477534562211984</v>
      </c>
      <c r="FH260" s="712"/>
      <c r="FI260" s="712"/>
      <c r="FJ260" s="712"/>
      <c r="FK260" s="712"/>
      <c r="FL260" s="714">
        <f t="shared" si="726"/>
        <v>40753</v>
      </c>
      <c r="FM260" s="714">
        <f t="shared" si="727"/>
        <v>40851</v>
      </c>
      <c r="FN260" s="712"/>
      <c r="FO260" s="712"/>
      <c r="FP260" s="712"/>
      <c r="FQ260" s="712"/>
      <c r="FR260" s="712"/>
      <c r="FS260" s="725">
        <f t="shared" si="820"/>
        <v>40603</v>
      </c>
      <c r="FT260" s="714">
        <f t="shared" si="729"/>
        <v>40709</v>
      </c>
      <c r="FU260" s="712">
        <f t="shared" si="820"/>
        <v>6518.9048239895692</v>
      </c>
      <c r="FV260" s="714">
        <f t="shared" si="730"/>
        <v>40722</v>
      </c>
      <c r="FW260" s="712">
        <f t="shared" si="820"/>
        <v>3259.4524119947846</v>
      </c>
      <c r="FX260" s="725">
        <f t="shared" si="820"/>
        <v>40851</v>
      </c>
      <c r="FZ260" s="697">
        <f t="shared" si="722"/>
        <v>0</v>
      </c>
      <c r="GA260" s="712" t="str">
        <f t="shared" si="797"/>
        <v/>
      </c>
      <c r="GB260" s="712">
        <f t="shared" si="798"/>
        <v>0</v>
      </c>
      <c r="GC260" s="712" t="str">
        <f t="shared" si="799"/>
        <v/>
      </c>
      <c r="GD260" s="712">
        <f>IF(GA260="P",Lookup!$M$12,IF(GA260="PP",Lookup!$M$13,IF(GA260="PPP",Lookup!$M$14,IF(GA260="T",Lookup!$M$15,IF(GA260="TP",Lookup!$M$16,IF(GA260="TPP",Lookup!$M$17,IF(GA260="TPPP",Lookup!$M$18,0)))))))*FZ260</f>
        <v>0</v>
      </c>
      <c r="GE260" s="712">
        <f t="shared" si="800"/>
        <v>0</v>
      </c>
      <c r="GF260" s="712">
        <f t="shared" si="801"/>
        <v>4166.6666666666661</v>
      </c>
      <c r="GG260" s="712">
        <f t="shared" si="802"/>
        <v>1358.1051716644936</v>
      </c>
      <c r="GH260" s="712"/>
      <c r="GI260" s="712">
        <f t="shared" si="803"/>
        <v>0</v>
      </c>
      <c r="GJ260" s="712" t="str">
        <f t="shared" si="804"/>
        <v/>
      </c>
      <c r="GK260" s="712">
        <f>IF(GA260="P",Lookup!$N$12,IF(GA260="PP",Lookup!$N$13,IF(GA260="PPP",Lookup!$N$14,IF(GA260="T",Lookup!$N$15,IF(GA260="TP",Lookup!$N$16,IF(GA260="TPP",Lookup!$N$17,IF(GA260="TPPP",Lookup!$N$18,0)))))))*FZ260</f>
        <v>0</v>
      </c>
      <c r="GL260" s="712">
        <f t="shared" si="805"/>
        <v>0</v>
      </c>
      <c r="GM260" s="712">
        <f t="shared" si="806"/>
        <v>1695.5335727591219</v>
      </c>
      <c r="GN260" s="712">
        <f t="shared" si="807"/>
        <v>552.6510993347855</v>
      </c>
      <c r="GO260" s="712"/>
      <c r="GP260" s="712">
        <f t="shared" si="808"/>
        <v>0</v>
      </c>
      <c r="GQ260" s="712" t="str">
        <f t="shared" si="809"/>
        <v/>
      </c>
      <c r="GR260" s="712">
        <f>IF(GA260="P",Lookup!$N$12,IF(GA260="PP",Lookup!$N$13,IF(GA260="PPP",Lookup!$N$14,IF(GA260="T",Lookup!$N$15,IF(GA260="TP",Lookup!$N$16,IF(GA260="TPP",Lookup!$N$17,IF(GA260="TPPP",Lookup!$N$18,0)))))))*FZ260</f>
        <v>0</v>
      </c>
      <c r="GS260" s="697">
        <f t="shared" si="724"/>
        <v>0</v>
      </c>
      <c r="GT260" s="712">
        <f t="shared" si="810"/>
        <v>1382.1286387322659</v>
      </c>
      <c r="GU260" s="712">
        <f t="shared" si="811"/>
        <v>450.4982525202953</v>
      </c>
      <c r="GV260" s="712"/>
      <c r="GW260" s="712">
        <f t="shared" si="812"/>
        <v>0</v>
      </c>
      <c r="GX260" s="712" t="str">
        <f t="shared" si="813"/>
        <v/>
      </c>
      <c r="GY260" s="712">
        <f>IF(GA260="P",Lookup!$N$12,IF(GA260="PP",Lookup!$N$13,IF(GA260="PPP",Lookup!$N$14,IF(GA260="T",Lookup!$N$15,IF(GA260="TP",Lookup!$N$16,IF(GA260="TPP",Lookup!$N$17,IF(GA260="TPPP",Lookup!$N$18,0)))))))*FZ260</f>
        <v>0</v>
      </c>
      <c r="GZ260" s="697">
        <f t="shared" si="725"/>
        <v>0</v>
      </c>
      <c r="HA260" s="712">
        <f t="shared" si="814"/>
        <v>659.07610008177051</v>
      </c>
      <c r="HB260" s="712">
        <f t="shared" si="815"/>
        <v>214.8227184099643</v>
      </c>
      <c r="HC260" s="712"/>
    </row>
    <row r="261" spans="1:211">
      <c r="A261" s="773" t="s">
        <v>3</v>
      </c>
      <c r="B261" s="708">
        <v>40790</v>
      </c>
      <c r="C261" s="719">
        <v>0.5</v>
      </c>
      <c r="D261" s="675">
        <f t="shared" si="737"/>
        <v>200</v>
      </c>
      <c r="E261" s="675">
        <f t="shared" si="738"/>
        <v>400</v>
      </c>
      <c r="F261" s="675">
        <v>250</v>
      </c>
      <c r="G261" s="712">
        <f>DH261+Sheet1!CV261</f>
        <v>155.7174104889408</v>
      </c>
      <c r="H261" s="712">
        <f t="shared" si="739"/>
        <v>0</v>
      </c>
      <c r="I261" s="711">
        <f>MAX(Sheet1!Z261-AJ261+(Sheet1!CW261-E261)*CFStoMGD,0)</f>
        <v>0</v>
      </c>
      <c r="J261" s="720">
        <f>IF(AND(B261&gt;=Calculation!FS261,B261&lt;=Calculation!FT261),IF(Sheet1!CX261&gt;=Calculation!D261,64.64,0),MAX(Sheet1!Z261-AJ261+(Sheet1!CX261-D261)*CFStoMGD,0))</f>
        <v>17.320630121815697</v>
      </c>
      <c r="K261" s="697">
        <f t="shared" si="740"/>
        <v>0</v>
      </c>
      <c r="L261" s="712">
        <f>Sheet1!AA261+Sheet1!AB261-Sheet1!L261+(Sheet1!CW261-F261)*CFStoMGD</f>
        <v>125.30860000000641</v>
      </c>
      <c r="M261" s="712">
        <f t="shared" si="741"/>
        <v>102.66884882285237</v>
      </c>
      <c r="N261" s="712">
        <f>IF(Sheet1!CW261&gt;=F261,MIN(73,MIN(MAX(L261,0),MAX(M261,0))),0)</f>
        <v>73</v>
      </c>
      <c r="O261" s="721">
        <f>Sheet1!AA261+Sheet1!AB261</f>
        <v>75.960000000006403</v>
      </c>
      <c r="P261" s="721">
        <f t="shared" si="742"/>
        <v>117.51012000000991</v>
      </c>
      <c r="Q261" s="712">
        <f>MIN(N261,Sheet1!AA261+AG261)</f>
        <v>58.089036544856214</v>
      </c>
      <c r="R261" s="712">
        <f t="shared" si="743"/>
        <v>18</v>
      </c>
      <c r="S261" s="721">
        <f>Sheet1!Y261*MGDtoCFS</f>
        <v>69.89345999999999</v>
      </c>
      <c r="T261" s="721">
        <f>Sheet1!Z261*MGDtoCFS</f>
        <v>46.471879999999999</v>
      </c>
      <c r="U261" s="721">
        <f>Sheet1!AA261*MGDtoCFS</f>
        <v>70.759780000008107</v>
      </c>
      <c r="V261" s="721">
        <f>Sheet1!AB261*MGDtoCFS</f>
        <v>46.750340000001799</v>
      </c>
      <c r="W261" s="721">
        <f>Sheet1!L261*MGDtoCFS</f>
        <v>0</v>
      </c>
      <c r="X261" s="697">
        <f t="shared" si="744"/>
        <v>18.082019933555223</v>
      </c>
      <c r="Y261" s="712">
        <f t="shared" si="745"/>
        <v>27.972884837209929</v>
      </c>
      <c r="Z261" s="712">
        <f t="shared" si="746"/>
        <v>0</v>
      </c>
      <c r="AA261" s="712">
        <f t="shared" si="747"/>
        <v>0</v>
      </c>
      <c r="AB261" s="712">
        <f>(VLOOKUP(Sheet1!CY261,hhdcap_wcm,4)-(((VLOOKUP(Sheet1!CY261,hhdcap_wcm,3)-Sheet1!CY261)/(VLOOKUP(Sheet1!CY261,hhdcap_wcm,3)-VLOOKUP(Sheet1!CY261,hhdcap_wcm,1)))*(VLOOKUP(Sheet1!CY261,hhdcap_wcm,4)-VLOOKUP(Sheet1!CY261,hhdcap_wcm,2))))</f>
        <v>34928.600000086037</v>
      </c>
      <c r="AC261" s="712">
        <f t="shared" si="748"/>
        <v>-302.72000000043045</v>
      </c>
      <c r="AD261" s="712">
        <f t="shared" si="749"/>
        <v>2557.9952219959832</v>
      </c>
      <c r="AE261" s="712">
        <f t="shared" si="750"/>
        <v>7847.9293410836763</v>
      </c>
      <c r="AF261" s="712">
        <f>Sheet1!BA261+Sheet1!BB261+Sheet1!BN261+BT261</f>
        <v>12.3</v>
      </c>
      <c r="AG261" s="712">
        <f t="shared" si="751"/>
        <v>12.349036544850975</v>
      </c>
      <c r="AH261" s="712">
        <f>Sheet1!BA261+BT261</f>
        <v>0</v>
      </c>
      <c r="AI261" s="712">
        <f>Sheet1!BA261+Sheet1!BB261+BT261</f>
        <v>0</v>
      </c>
      <c r="AJ261" s="712">
        <f>IF((Sheet1!AA261+AG261+AX261+AZ261+BQ261+BS261+CL261+CN261)&lt;=N261,AG261+AX261+AZ261+BQ261+BS261+CL261+CN261,N261-Sheet1!AA261)</f>
        <v>12.349036544850975</v>
      </c>
      <c r="AK261" s="851">
        <f>IF(DR261&lt;K261,0,MAX(Sheet1!AA261+AG261-15/36*K261-N261,Sheet1!ED261,0))</f>
        <v>0</v>
      </c>
      <c r="AL261" s="712">
        <f>IF(OR(B261&gt;=FT261,B261&lt;FS261),0,15/36*K261-MAX(0,64.6-(137.6-(Sheet1!AA261+Sheet1!AB261))))</f>
        <v>0</v>
      </c>
      <c r="AM261" s="712">
        <f>Sheet1!CX261-110</f>
        <v>89.427083333333343</v>
      </c>
      <c r="AN261" s="712">
        <f>Sheet1!CW261-265</f>
        <v>61.34375</v>
      </c>
      <c r="AO261" s="712">
        <f t="shared" si="733"/>
        <v>14.910963455143786</v>
      </c>
      <c r="AP261" s="851">
        <v>0</v>
      </c>
      <c r="AQ261" s="712">
        <f t="shared" si="753"/>
        <v>0</v>
      </c>
      <c r="AR261" s="712">
        <f t="shared" si="821"/>
        <v>1358.1051716644936</v>
      </c>
      <c r="AS261" s="712"/>
      <c r="AT261" s="712">
        <f ca="1">IF(B261&gt;Summary!$A$1,#N/A,AR261*MGtoAF)</f>
        <v>4166.6666666666661</v>
      </c>
      <c r="AU261" s="712">
        <f>Sheet1!BG261+Sheet1!BH261+Sheet1!BI261-BC261</f>
        <v>1.98</v>
      </c>
      <c r="AV261" s="712">
        <f t="shared" si="755"/>
        <v>1.9878936877077178</v>
      </c>
      <c r="AW261" s="712">
        <f>IF(Sheet1!EL261="FM",BC261,0)</f>
        <v>0</v>
      </c>
      <c r="AX261" s="712">
        <f t="shared" si="756"/>
        <v>0</v>
      </c>
      <c r="AY261" s="712">
        <f>IF(Sheet1!EL261="OTHER",BC261,0)</f>
        <v>0</v>
      </c>
      <c r="AZ261" s="712">
        <f t="shared" si="757"/>
        <v>0</v>
      </c>
      <c r="BA261" s="712">
        <f t="shared" si="758"/>
        <v>1.98</v>
      </c>
      <c r="BB261" s="712">
        <f t="shared" si="759"/>
        <v>1.9878936877077178</v>
      </c>
      <c r="BC261" s="712">
        <f>IF(OR(Sheet1!EL261="FM", Sheet1!EL261="OTHER"),SUM(Sheet1!BG261:'Sheet1'!BI261),0)</f>
        <v>0</v>
      </c>
      <c r="BD261" s="697">
        <f>IF(AND($B261&gt;=$FL261,$B261&lt;=$FM261),MAX(AV261,Sheet1!EE261,0),MAX(AV261-(7/36)*$K261,0))</f>
        <v>2</v>
      </c>
      <c r="BE261" s="712">
        <f t="shared" si="760"/>
        <v>0</v>
      </c>
      <c r="BF261" s="697">
        <f t="shared" si="761"/>
        <v>0</v>
      </c>
      <c r="BG261" s="697">
        <f>IF(AND($O261&gt;0,Sheet1!EI261=1),(1-($O261-Sheet1!$L261)/$O261)*BB261,0)</f>
        <v>0</v>
      </c>
      <c r="BH261" s="697">
        <f>IF(AND(Sheet1!$L261=0,Sheet1!$L260=0, Calculation!BA261&lt;Sheet1!$EE261-0.1,Sheet1!$EE261=Sheet1!$EE260,Sheet1!$EE261=Sheet1!$EE262),Sheet1!$EE261,BB261-BG261)</f>
        <v>1.9878936877077178</v>
      </c>
      <c r="BI261" s="712"/>
      <c r="BJ261" s="712"/>
      <c r="BK261" s="712">
        <f t="shared" si="762"/>
        <v>550.6510993347855</v>
      </c>
      <c r="BL261" s="712"/>
      <c r="BM261" s="712">
        <f ca="1">IF(B261&gt;Summary!$A$1,#N/A,BK261*MGtoAF)</f>
        <v>1689.3975727591219</v>
      </c>
      <c r="BN261" s="712">
        <f>Sheet1!BC261+Sheet1!BD261+Sheet1!BE261+Sheet1!BF261-BW261-BX261</f>
        <v>5.2799999999999994</v>
      </c>
      <c r="BO261" s="712">
        <f t="shared" si="763"/>
        <v>5.3010498338872472</v>
      </c>
      <c r="BP261" s="712">
        <f>IF(Sheet1!EM261="FM",BX261,0)</f>
        <v>0</v>
      </c>
      <c r="BQ261" s="712">
        <f t="shared" si="764"/>
        <v>0</v>
      </c>
      <c r="BR261" s="712">
        <f>IF(Sheet1!EM261="OTHER",BX261,0)</f>
        <v>0</v>
      </c>
      <c r="BS261" s="712">
        <f t="shared" si="765"/>
        <v>0</v>
      </c>
      <c r="BT261" s="712">
        <f t="shared" si="766"/>
        <v>0</v>
      </c>
      <c r="BU261" s="712">
        <f t="shared" si="767"/>
        <v>5.2799999999999994</v>
      </c>
      <c r="BV261" s="712">
        <f t="shared" si="768"/>
        <v>5.3010498338872472</v>
      </c>
      <c r="BW261" s="712">
        <f>IF(Sheet1!EM261="CWA",SUM(Sheet1!BC261:'Sheet1'!BF261),0)</f>
        <v>0</v>
      </c>
      <c r="BX261" s="712">
        <f>IF(OR(Sheet1!EM261="FM", Sheet1!EM261="OTHER"),SUM(Sheet1!BC261:'Sheet1'!BF261),0)</f>
        <v>0</v>
      </c>
      <c r="BY261" s="697">
        <f>IF(AND($B261&gt;=$FL261,$B261&lt;=$FM261),MAX(BV261,Sheet1!EF261,0),MAX(BV261-(7/36)*$K261,0))</f>
        <v>5.5</v>
      </c>
      <c r="BZ261" s="712">
        <f t="shared" si="769"/>
        <v>0</v>
      </c>
      <c r="CA261" s="697">
        <f t="shared" si="770"/>
        <v>0</v>
      </c>
      <c r="CB261" s="697">
        <f>IF(AND($O261&gt;0,Sheet1!EJ261=1),(1-($O261-Sheet1!$L261)/$O261)*BV261,0)</f>
        <v>0</v>
      </c>
      <c r="CC261" s="697">
        <f>IF(AND(Sheet1!$L261=0,Sheet1!$L260=0, Calculation!BU261&lt;Sheet1!EF261-0.1,Sheet1!EF261=Sheet1!EF260,Sheet1!EF261=Sheet1!EF262),Sheet1!EF261,BV261-CB261)</f>
        <v>5.5</v>
      </c>
      <c r="CD261" s="697"/>
      <c r="CE261" s="712"/>
      <c r="CF261" s="712">
        <f t="shared" si="771"/>
        <v>444.9982525202953</v>
      </c>
      <c r="CG261" s="712"/>
      <c r="CH261" s="712">
        <f ca="1">IF(B261&gt;Summary!$A$1,#N/A,CF261*MGtoAF)</f>
        <v>1365.2546387322659</v>
      </c>
      <c r="CI261" s="712">
        <f>Sheet1!BK261+Sheet1!BL261+Sheet1!BM261-Sheet1!EN261-CQ261</f>
        <v>10.54</v>
      </c>
      <c r="CJ261" s="712">
        <f t="shared" si="772"/>
        <v>10.582019933555225</v>
      </c>
      <c r="CK261" s="712">
        <f>IF(Sheet1!EN261="FM",CQ261,0)</f>
        <v>0</v>
      </c>
      <c r="CL261" s="712">
        <f t="shared" si="773"/>
        <v>0</v>
      </c>
      <c r="CM261" s="712">
        <f>IF(Sheet1!EN261="OTHER",CQ261,0)</f>
        <v>0</v>
      </c>
      <c r="CN261" s="712">
        <f t="shared" si="774"/>
        <v>0</v>
      </c>
      <c r="CO261" s="712">
        <f t="shared" si="775"/>
        <v>10.54</v>
      </c>
      <c r="CP261" s="712">
        <f t="shared" si="776"/>
        <v>10.582019933555225</v>
      </c>
      <c r="CQ261" s="712">
        <f>IF(OR(Sheet1!EN261="FM", Sheet1!EN261="OTHER"),SUM(Sheet1!BK261:'Sheet1'!BM261),0)</f>
        <v>0</v>
      </c>
      <c r="CR261" s="697">
        <f>IF(AND($B261&gt;=$FL261,$B261&lt;=$FM261),MAX($CJ261,Sheet1!EG261,0),MAX($CJ261-(7/36)*$K261,0))</f>
        <v>10.582019933555225</v>
      </c>
      <c r="CS261" s="712">
        <f t="shared" si="777"/>
        <v>0</v>
      </c>
      <c r="CT261" s="697">
        <f t="shared" si="778"/>
        <v>0</v>
      </c>
      <c r="CU261" s="697">
        <f>IF(AND($O261&gt;0,Sheet1!EK261=1),(1-($O261-Sheet1!$L261)/$O261)*CP261,0)</f>
        <v>0</v>
      </c>
      <c r="CV261" s="697">
        <f>IF(AND(Sheet1!$L261=0,Sheet1!$L260=0, Calculation!CO261&lt;Sheet1!$EG261-0.1,Sheet1!$EG261=Sheet1!$EG260,Sheet1!$EG261=Sheet1!$EG262),Sheet1!$EG261,CP261-CU261)</f>
        <v>10.582019933555225</v>
      </c>
      <c r="CW261" s="697">
        <f t="shared" si="721"/>
        <v>0</v>
      </c>
      <c r="CX261" s="712">
        <f t="shared" si="779"/>
        <v>17.799999999999997</v>
      </c>
      <c r="CY261" s="712">
        <f t="shared" si="780"/>
        <v>204.24069847640908</v>
      </c>
      <c r="CZ261" s="712">
        <f t="shared" si="781"/>
        <v>17.870963455150189</v>
      </c>
      <c r="DA261" s="712">
        <f ca="1">IF(B261&gt;Summary!$A$1,#N/A,CY261*MGtoAF)</f>
        <v>626.6104629256231</v>
      </c>
      <c r="DB261" s="712">
        <f t="shared" si="782"/>
        <v>17.799999999999997</v>
      </c>
      <c r="DC261" s="712">
        <f t="shared" si="783"/>
        <v>30.099999999999998</v>
      </c>
      <c r="DD261" s="712">
        <f>Sheet1!AB261-DC261</f>
        <v>0.12000000000116628</v>
      </c>
      <c r="DE261" s="712">
        <f t="shared" si="784"/>
        <v>3.9867109634938967E-3</v>
      </c>
      <c r="DF261" s="712">
        <f>(VLOOKUP(Sheet1!CY261,hhdcap_wcm,4)-(((VLOOKUP(Sheet1!CY261,hhdcap_wcm,3)-Sheet1!CY261)/(VLOOKUP(Sheet1!CY261,hhdcap_wcm,3)-VLOOKUP(Sheet1!CY261,hhdcap_wcm,1)))*(VLOOKUP(Sheet1!CY261,hhdcap_wcm,4)-VLOOKUP(Sheet1!CY261,hhdcap_wcm,2))))</f>
        <v>34928.600000086037</v>
      </c>
      <c r="DG261" s="712">
        <f t="shared" si="785"/>
        <v>-302.72000000043045</v>
      </c>
      <c r="DH261" s="712">
        <f t="shared" si="786"/>
        <v>-152.6575895110592</v>
      </c>
      <c r="DI261" s="712">
        <f>Sheet1!DW261*AFtoMG</f>
        <v>0</v>
      </c>
      <c r="DJ261" s="712">
        <f>Sheet1!DX261*AFtoMG</f>
        <v>0</v>
      </c>
      <c r="DK261" s="712">
        <f>Sheet1!DY261*AFtoMG</f>
        <v>0</v>
      </c>
      <c r="DL261" s="712">
        <f>Sheet1!DZ261*AFtoMG</f>
        <v>0</v>
      </c>
      <c r="DM261" s="712">
        <f t="shared" si="787"/>
        <v>0</v>
      </c>
      <c r="DN261" s="712">
        <f t="shared" si="788"/>
        <v>0</v>
      </c>
      <c r="DO261" s="712">
        <f t="shared" si="789"/>
        <v>2557.9952219959832</v>
      </c>
      <c r="DP261" s="712">
        <f t="shared" si="790"/>
        <v>7847.9293410836763</v>
      </c>
      <c r="DQ261" s="712"/>
      <c r="DR261" s="697">
        <f>IF(OR(B261&lt;FL261,B261&gt;FM261),(MIN(AV261+BO261+CJ261+MAX(Sheet1!AA261+AG261-73,0),K261)),0)</f>
        <v>0</v>
      </c>
      <c r="DS261" s="712"/>
      <c r="DT261" s="712">
        <f t="shared" si="791"/>
        <v>17.870963455150189</v>
      </c>
      <c r="DU261" s="712"/>
      <c r="DV261" s="712">
        <f>Sheet1!ED261+Sheet1!EE261+Sheet1!EF261+Sheet1!EG261</f>
        <v>18</v>
      </c>
      <c r="DW261" s="712"/>
      <c r="DX261" s="697">
        <f t="shared" si="792"/>
        <v>0</v>
      </c>
      <c r="DY261" s="712">
        <f>IF(Sheet1!FN261=1,SUM('Calculations II'!AT261:BA261)+'Calculations II'!BC261+Sheet1!BU261+'Calculations II'!BE261+AF261,SUM('Calculations II'!AT261:BA261)+'Calculations II'!BC261+Sheet1!BU261+'Calculations II'!BE261+AF261)</f>
        <v>68.474879999999999</v>
      </c>
      <c r="DZ261" s="712">
        <f>Sheet1!AA261+Sheet1!AB261+'Calculations II'!BC261</f>
        <v>85.039488000006401</v>
      </c>
      <c r="EA261" s="712"/>
      <c r="EB261" s="712"/>
      <c r="EC261" s="712">
        <f t="shared" si="793"/>
        <v>40790</v>
      </c>
      <c r="ED261" s="712">
        <f t="shared" si="794"/>
        <v>-18.082019933555223</v>
      </c>
      <c r="EE261" s="712">
        <f t="shared" si="795"/>
        <v>-27.972884837209929</v>
      </c>
      <c r="EF261" s="712">
        <f ca="1">IF(B261=TODAY(),0,-(VLOOKUP(Sheet1!BQ261,Lookup!$B$4:$J$236,2)-VLOOKUP(Sheet1!BQ260,Lookup!$B$4:$J$236,2))/1000000)</f>
        <v>1.6428</v>
      </c>
      <c r="EG261" s="712">
        <f ca="1">IF(B261=TODAY(),0,-(VLOOKUP(Sheet1!BR261,Lookup!$B$4:$J$236,3)-VLOOKUP(Sheet1!BR260,Lookup!$B$4:$J$236,3))/1000000)</f>
        <v>1.6404000000000001</v>
      </c>
      <c r="EH261" s="712">
        <f>-(VLOOKUP(Sheet1!BS261,Lookup!$B$4:$J$236,4)-VLOOKUP(Sheet1!BS260,Lookup!$B$4:$J$236,4))/1000000</f>
        <v>0</v>
      </c>
      <c r="EI261" s="697">
        <f t="shared" ca="1" si="819"/>
        <v>3.2831999999999999</v>
      </c>
      <c r="EJ261" s="712"/>
      <c r="EK261" s="712"/>
      <c r="EL261" s="712"/>
      <c r="EM261" s="712"/>
      <c r="EN261" s="712"/>
      <c r="EO261" s="712"/>
      <c r="EP261" s="712"/>
      <c r="EQ261" s="712"/>
      <c r="ET261" s="794">
        <f t="shared" si="818"/>
        <v>1130</v>
      </c>
      <c r="EU261" s="697">
        <v>8785</v>
      </c>
      <c r="EV261" s="795">
        <f t="shared" si="734"/>
        <v>17075.67065900236</v>
      </c>
      <c r="EW261" s="796" t="s">
        <v>757</v>
      </c>
      <c r="EX261" s="796" t="s">
        <v>758</v>
      </c>
      <c r="EY261" s="712">
        <f t="shared" si="817"/>
        <v>0</v>
      </c>
      <c r="EZ261" s="798">
        <v>17959.800000039173</v>
      </c>
      <c r="FA261" s="712"/>
      <c r="FB261" s="712"/>
      <c r="FC261" s="712"/>
      <c r="FD261" s="712"/>
      <c r="FE261" s="712">
        <f>O261+Sheet1!CO261</f>
        <v>6381.1600000000062</v>
      </c>
      <c r="FF261" s="712">
        <f>IF(Sheet1!AA261+AG261&lt;=Calculation!N261,AG261,Calculation!N261-Sheet1!AA261)</f>
        <v>12.349036544850975</v>
      </c>
      <c r="FG261" s="712">
        <f>(Sheet1!BP261+Sheet1!BO261)/694.4</f>
        <v>4.3932891705069119</v>
      </c>
      <c r="FH261" s="712"/>
      <c r="FI261" s="712"/>
      <c r="FJ261" s="712"/>
      <c r="FK261" s="712"/>
      <c r="FL261" s="714">
        <f t="shared" si="726"/>
        <v>40753</v>
      </c>
      <c r="FM261" s="714">
        <f t="shared" si="727"/>
        <v>40851</v>
      </c>
      <c r="FN261" s="712"/>
      <c r="FO261" s="712"/>
      <c r="FP261" s="712"/>
      <c r="FQ261" s="712"/>
      <c r="FR261" s="712"/>
      <c r="FS261" s="725">
        <f t="shared" si="820"/>
        <v>40603</v>
      </c>
      <c r="FT261" s="714">
        <f t="shared" si="729"/>
        <v>40709</v>
      </c>
      <c r="FU261" s="712">
        <f t="shared" si="820"/>
        <v>6518.9048239895692</v>
      </c>
      <c r="FV261" s="714">
        <f t="shared" si="730"/>
        <v>40722</v>
      </c>
      <c r="FW261" s="712">
        <f t="shared" si="820"/>
        <v>3259.4524119947846</v>
      </c>
      <c r="FX261" s="725">
        <f t="shared" si="820"/>
        <v>40851</v>
      </c>
      <c r="FZ261" s="697">
        <f t="shared" si="722"/>
        <v>0</v>
      </c>
      <c r="GA261" s="712" t="str">
        <f t="shared" si="797"/>
        <v/>
      </c>
      <c r="GB261" s="712">
        <f t="shared" si="798"/>
        <v>0</v>
      </c>
      <c r="GC261" s="712" t="str">
        <f t="shared" si="799"/>
        <v/>
      </c>
      <c r="GD261" s="712">
        <f>IF(GA261="P",Lookup!$M$12,IF(GA261="PP",Lookup!$M$13,IF(GA261="PPP",Lookup!$M$14,IF(GA261="T",Lookup!$M$15,IF(GA261="TP",Lookup!$M$16,IF(GA261="TPP",Lookup!$M$17,IF(GA261="TPPP",Lookup!$M$18,0)))))))*FZ261</f>
        <v>0</v>
      </c>
      <c r="GE261" s="712">
        <f t="shared" si="800"/>
        <v>0</v>
      </c>
      <c r="GF261" s="712">
        <f t="shared" si="801"/>
        <v>4166.6666666666661</v>
      </c>
      <c r="GG261" s="712">
        <f t="shared" si="802"/>
        <v>1358.1051716644936</v>
      </c>
      <c r="GH261" s="712"/>
      <c r="GI261" s="712">
        <f t="shared" si="803"/>
        <v>0</v>
      </c>
      <c r="GJ261" s="712" t="str">
        <f t="shared" si="804"/>
        <v/>
      </c>
      <c r="GK261" s="712">
        <f>IF(GA261="P",Lookup!$N$12,IF(GA261="PP",Lookup!$N$13,IF(GA261="PPP",Lookup!$N$14,IF(GA261="T",Lookup!$N$15,IF(GA261="TP",Lookup!$N$16,IF(GA261="TPP",Lookup!$N$17,IF(GA261="TPPP",Lookup!$N$18,0)))))))*FZ261</f>
        <v>0</v>
      </c>
      <c r="GL261" s="712">
        <f t="shared" si="805"/>
        <v>0</v>
      </c>
      <c r="GM261" s="712">
        <f t="shared" si="806"/>
        <v>1689.3975727591219</v>
      </c>
      <c r="GN261" s="712">
        <f t="shared" si="807"/>
        <v>550.6510993347855</v>
      </c>
      <c r="GO261" s="712"/>
      <c r="GP261" s="712">
        <f t="shared" si="808"/>
        <v>0</v>
      </c>
      <c r="GQ261" s="712" t="str">
        <f t="shared" si="809"/>
        <v/>
      </c>
      <c r="GR261" s="712">
        <f>IF(GA261="P",Lookup!$N$12,IF(GA261="PP",Lookup!$N$13,IF(GA261="PPP",Lookup!$N$14,IF(GA261="T",Lookup!$N$15,IF(GA261="TP",Lookup!$N$16,IF(GA261="TPP",Lookup!$N$17,IF(GA261="TPPP",Lookup!$N$18,0)))))))*FZ261</f>
        <v>0</v>
      </c>
      <c r="GS261" s="697">
        <f t="shared" si="724"/>
        <v>0</v>
      </c>
      <c r="GT261" s="712">
        <f t="shared" si="810"/>
        <v>1365.2546387322659</v>
      </c>
      <c r="GU261" s="712">
        <f t="shared" si="811"/>
        <v>444.9982525202953</v>
      </c>
      <c r="GV261" s="712"/>
      <c r="GW261" s="712">
        <f t="shared" si="812"/>
        <v>0</v>
      </c>
      <c r="GX261" s="712" t="str">
        <f t="shared" si="813"/>
        <v/>
      </c>
      <c r="GY261" s="712">
        <f>IF(GA261="P",Lookup!$N$12,IF(GA261="PP",Lookup!$N$13,IF(GA261="PPP",Lookup!$N$14,IF(GA261="T",Lookup!$N$15,IF(GA261="TP",Lookup!$N$16,IF(GA261="TPP",Lookup!$N$17,IF(GA261="TPPP",Lookup!$N$18,0)))))))*FZ261</f>
        <v>0</v>
      </c>
      <c r="GZ261" s="697">
        <f t="shared" si="725"/>
        <v>0</v>
      </c>
      <c r="HA261" s="712">
        <f t="shared" si="814"/>
        <v>626.6104629256231</v>
      </c>
      <c r="HB261" s="712">
        <f t="shared" si="815"/>
        <v>204.24069847640908</v>
      </c>
      <c r="HC261" s="712"/>
    </row>
    <row r="262" spans="1:211">
      <c r="A262" s="773" t="s">
        <v>4</v>
      </c>
      <c r="B262" s="708">
        <v>40791</v>
      </c>
      <c r="C262" s="709">
        <v>0.5</v>
      </c>
      <c r="D262" s="675">
        <f t="shared" si="737"/>
        <v>200</v>
      </c>
      <c r="E262" s="675">
        <f t="shared" si="738"/>
        <v>400</v>
      </c>
      <c r="F262" s="675">
        <v>250</v>
      </c>
      <c r="G262" s="712">
        <f>DH262+Sheet1!CV262</f>
        <v>156.0346696916842</v>
      </c>
      <c r="H262" s="712">
        <f t="shared" si="739"/>
        <v>0</v>
      </c>
      <c r="I262" s="711">
        <f>MAX(Sheet1!Z262-AJ262+(Sheet1!CW262-E262)*CFStoMGD,0)</f>
        <v>0</v>
      </c>
      <c r="J262" s="720">
        <f>IF(AND(B262&gt;=Calculation!FS262,B262&lt;=Calculation!FT262),IF(Sheet1!CX262&gt;=Calculation!D262,64.64,0),MAX(Sheet1!Z262-AJ262+(Sheet1!CX262-D262)*CFStoMGD,0))</f>
        <v>16.35135301418439</v>
      </c>
      <c r="K262" s="697">
        <f t="shared" si="740"/>
        <v>0</v>
      </c>
      <c r="L262" s="712">
        <f>Sheet1!AA262+Sheet1!AB262-Sheet1!L262+(Sheet1!CW262-F262)*CFStoMGD</f>
        <v>122.5214000000035</v>
      </c>
      <c r="M262" s="712">
        <f t="shared" si="741"/>
        <v>102.87802669847876</v>
      </c>
      <c r="N262" s="712">
        <f>IF(Sheet1!CW262&gt;=F262,MIN(73,MIN(MAX(L262,0),MAX(M262,0))),0)</f>
        <v>73</v>
      </c>
      <c r="O262" s="721">
        <f>Sheet1!AA262+Sheet1!AB262</f>
        <v>74.910000000003492</v>
      </c>
      <c r="P262" s="721">
        <f t="shared" si="742"/>
        <v>115.88577000000541</v>
      </c>
      <c r="Q262" s="712">
        <f>MIN(N262,Sheet1!AA262+AG262)</f>
        <v>58.01738031915243</v>
      </c>
      <c r="R262" s="712">
        <f t="shared" si="743"/>
        <v>18</v>
      </c>
      <c r="S262" s="721">
        <f>Sheet1!Y262*MGDtoCFS</f>
        <v>70.465849999999989</v>
      </c>
      <c r="T262" s="721">
        <f>Sheet1!Z262*MGDtoCFS</f>
        <v>46.425469999999997</v>
      </c>
      <c r="U262" s="721">
        <f>Sheet1!AA262*MGDtoCFS</f>
        <v>69.862520000005404</v>
      </c>
      <c r="V262" s="721">
        <f>Sheet1!AB262*MGDtoCFS</f>
        <v>46.023249999999997</v>
      </c>
      <c r="W262" s="721">
        <f>Sheet1!L262*MGDtoCFS</f>
        <v>0</v>
      </c>
      <c r="X262" s="697">
        <f t="shared" si="744"/>
        <v>18</v>
      </c>
      <c r="Y262" s="712">
        <f t="shared" si="745"/>
        <v>27.846</v>
      </c>
      <c r="Z262" s="712">
        <f t="shared" si="746"/>
        <v>0</v>
      </c>
      <c r="AA262" s="712">
        <f t="shared" si="747"/>
        <v>0</v>
      </c>
      <c r="AB262" s="712">
        <f>(VLOOKUP(Sheet1!CY262,hhdcap_wcm,4)-(((VLOOKUP(Sheet1!CY262,hhdcap_wcm,3)-Sheet1!CY262)/(VLOOKUP(Sheet1!CY262,hhdcap_wcm,3)-VLOOKUP(Sheet1!CY262,hhdcap_wcm,1)))*(VLOOKUP(Sheet1!CY262,hhdcap_wcm,4)-VLOOKUP(Sheet1!CY262,hhdcap_wcm,2))))</f>
        <v>34628.740000084646</v>
      </c>
      <c r="AC262" s="712">
        <f t="shared" si="748"/>
        <v>-299.86000000139029</v>
      </c>
      <c r="AD262" s="712">
        <f t="shared" si="749"/>
        <v>2539.9952219959832</v>
      </c>
      <c r="AE262" s="712">
        <f t="shared" si="750"/>
        <v>7792.705341083677</v>
      </c>
      <c r="AF262" s="712">
        <f>Sheet1!BA262+Sheet1!BB262+Sheet1!BN262+BT262</f>
        <v>13</v>
      </c>
      <c r="AG262" s="712">
        <f t="shared" si="751"/>
        <v>12.857380319148938</v>
      </c>
      <c r="AH262" s="712">
        <f>Sheet1!BA262+BT262</f>
        <v>0</v>
      </c>
      <c r="AI262" s="712">
        <f>Sheet1!BA262+Sheet1!BB262+BT262</f>
        <v>0</v>
      </c>
      <c r="AJ262" s="712">
        <f>IF((Sheet1!AA262+AG262+AX262+AZ262+BQ262+BS262+CL262+CN262)&lt;=N262,AG262+AX262+AZ262+BQ262+BS262+CL262+CN262,N262-Sheet1!AA262)</f>
        <v>12.857380319148938</v>
      </c>
      <c r="AK262" s="851">
        <f>IF(DR262&lt;K262,0,MAX(Sheet1!AA262+AG262-15/36*K262-N262,Sheet1!ED262,0))</f>
        <v>0</v>
      </c>
      <c r="AL262" s="712">
        <f>IF(OR(B262&gt;=FT262,B262&lt;FS262),0,15/36*K262-MAX(0,64.6-(137.6-(Sheet1!AA262+Sheet1!AB262))))</f>
        <v>0</v>
      </c>
      <c r="AM262" s="712">
        <f>Sheet1!CX262-110</f>
        <v>88.760416666666657</v>
      </c>
      <c r="AN262" s="712">
        <f>Sheet1!CW262-265</f>
        <v>58.65625</v>
      </c>
      <c r="AO262" s="712">
        <f t="shared" si="733"/>
        <v>14.98261968084757</v>
      </c>
      <c r="AP262" s="851">
        <v>0</v>
      </c>
      <c r="AQ262" s="712">
        <f t="shared" si="753"/>
        <v>0</v>
      </c>
      <c r="AR262" s="712">
        <f t="shared" si="821"/>
        <v>1358.1051716644936</v>
      </c>
      <c r="AS262" s="712"/>
      <c r="AT262" s="712">
        <f ca="1">IF(B262&gt;Summary!$A$1,#N/A,AR262*MGtoAF)</f>
        <v>4166.6666666666661</v>
      </c>
      <c r="AU262" s="712">
        <f>Sheet1!BG262+Sheet1!BH262+Sheet1!BI262-BC262</f>
        <v>1.99</v>
      </c>
      <c r="AV262" s="712">
        <f t="shared" si="755"/>
        <v>1.9681682180851066</v>
      </c>
      <c r="AW262" s="712">
        <f>IF(Sheet1!EL262="FM",BC262,0)</f>
        <v>0</v>
      </c>
      <c r="AX262" s="712">
        <f t="shared" si="756"/>
        <v>0</v>
      </c>
      <c r="AY262" s="712">
        <f>IF(Sheet1!EL262="OTHER",BC262,0)</f>
        <v>0</v>
      </c>
      <c r="AZ262" s="712">
        <f t="shared" si="757"/>
        <v>0</v>
      </c>
      <c r="BA262" s="712">
        <f t="shared" si="758"/>
        <v>1.99</v>
      </c>
      <c r="BB262" s="712">
        <f t="shared" si="759"/>
        <v>1.9681682180851066</v>
      </c>
      <c r="BC262" s="712">
        <f>IF(OR(Sheet1!EL262="FM", Sheet1!EL262="OTHER"),SUM(Sheet1!BG262:'Sheet1'!BI262),0)</f>
        <v>0</v>
      </c>
      <c r="BD262" s="697">
        <f>IF(AND($B262&gt;=$FL262,$B262&lt;=$FM262),MAX(AV262,Sheet1!EE262,0),MAX(AV262-(7/36)*$K262,0))</f>
        <v>2</v>
      </c>
      <c r="BE262" s="712">
        <f t="shared" si="760"/>
        <v>0</v>
      </c>
      <c r="BF262" s="697">
        <f t="shared" si="761"/>
        <v>0</v>
      </c>
      <c r="BG262" s="697">
        <f>IF(AND($O262&gt;0,Sheet1!EI262=1),(1-($O262-Sheet1!$L262)/$O262)*BB262,0)</f>
        <v>0</v>
      </c>
      <c r="BH262" s="697">
        <f>IF(AND(Sheet1!$L262=0,Sheet1!$L261=0, Calculation!BA262&lt;Sheet1!$EE262-0.1,Sheet1!$EE262=Sheet1!$EE261,Sheet1!$EE262=Sheet1!$EE263),Sheet1!$EE262,BB262-BG262)</f>
        <v>1.9681682180851066</v>
      </c>
      <c r="BI262" s="712"/>
      <c r="BJ262" s="712"/>
      <c r="BK262" s="712">
        <f t="shared" si="762"/>
        <v>548.6510993347855</v>
      </c>
      <c r="BL262" s="712"/>
      <c r="BM262" s="712">
        <f ca="1">IF(B262&gt;Summary!$A$1,#N/A,BK262*MGtoAF)</f>
        <v>1683.2615727591219</v>
      </c>
      <c r="BN262" s="712">
        <f>Sheet1!BC262+Sheet1!BD262+Sheet1!BE262+Sheet1!BF262-BW262-BX262</f>
        <v>4.55</v>
      </c>
      <c r="BO262" s="712">
        <f t="shared" si="763"/>
        <v>4.5000831117021276</v>
      </c>
      <c r="BP262" s="712">
        <f>IF(Sheet1!EM262="FM",BX262,0)</f>
        <v>0</v>
      </c>
      <c r="BQ262" s="712">
        <f t="shared" si="764"/>
        <v>0</v>
      </c>
      <c r="BR262" s="712">
        <f>IF(Sheet1!EM262="OTHER",BX262,0)</f>
        <v>0</v>
      </c>
      <c r="BS262" s="712">
        <f t="shared" si="765"/>
        <v>0</v>
      </c>
      <c r="BT262" s="712">
        <f t="shared" si="766"/>
        <v>0</v>
      </c>
      <c r="BU262" s="712">
        <f t="shared" si="767"/>
        <v>4.55</v>
      </c>
      <c r="BV262" s="712">
        <f t="shared" si="768"/>
        <v>4.5000831117021276</v>
      </c>
      <c r="BW262" s="712">
        <f>IF(Sheet1!EM262="CWA",SUM(Sheet1!BC262:'Sheet1'!BF262),0)</f>
        <v>0</v>
      </c>
      <c r="BX262" s="712">
        <f>IF(OR(Sheet1!EM262="FM", Sheet1!EM262="OTHER"),SUM(Sheet1!BC262:'Sheet1'!BF262),0)</f>
        <v>0</v>
      </c>
      <c r="BY262" s="697">
        <f>IF(AND($B262&gt;=$FL262,$B262&lt;=$FM262),MAX(BV262,Sheet1!EF262,0),MAX(BV262-(7/36)*$K262,0))</f>
        <v>5.5</v>
      </c>
      <c r="BZ262" s="712">
        <f t="shared" si="769"/>
        <v>0</v>
      </c>
      <c r="CA262" s="697">
        <f t="shared" si="770"/>
        <v>0</v>
      </c>
      <c r="CB262" s="697">
        <f>IF(AND($O262&gt;0,Sheet1!EJ262=1),(1-($O262-Sheet1!$L262)/$O262)*BV262,0)</f>
        <v>0</v>
      </c>
      <c r="CC262" s="697">
        <f>IF(AND(Sheet1!$L262=0,Sheet1!$L261=0, Calculation!BU262&lt;Sheet1!EF262-0.1,Sheet1!EF262=Sheet1!EF261,Sheet1!EF262=Sheet1!EF263),Sheet1!EF262,BV262-CB262)</f>
        <v>4.5000831117021276</v>
      </c>
      <c r="CD262" s="697"/>
      <c r="CE262" s="712"/>
      <c r="CF262" s="712">
        <f t="shared" si="771"/>
        <v>439.4982525202953</v>
      </c>
      <c r="CG262" s="712"/>
      <c r="CH262" s="712">
        <f ca="1">IF(B262&gt;Summary!$A$1,#N/A,CF262*MGtoAF)</f>
        <v>1348.3806387322661</v>
      </c>
      <c r="CI262" s="712">
        <f>Sheet1!BK262+Sheet1!BL262+Sheet1!BM262-Sheet1!EN262-CQ262</f>
        <v>10.54</v>
      </c>
      <c r="CJ262" s="712">
        <f t="shared" si="772"/>
        <v>10.42436835106383</v>
      </c>
      <c r="CK262" s="712">
        <f>IF(Sheet1!EN262="FM",CQ262,0)</f>
        <v>0</v>
      </c>
      <c r="CL262" s="712">
        <f t="shared" si="773"/>
        <v>0</v>
      </c>
      <c r="CM262" s="712">
        <f>IF(Sheet1!EN262="OTHER",CQ262,0)</f>
        <v>0</v>
      </c>
      <c r="CN262" s="712">
        <f t="shared" si="774"/>
        <v>0</v>
      </c>
      <c r="CO262" s="712">
        <f t="shared" si="775"/>
        <v>10.54</v>
      </c>
      <c r="CP262" s="712">
        <f t="shared" si="776"/>
        <v>10.42436835106383</v>
      </c>
      <c r="CQ262" s="712">
        <f>IF(OR(Sheet1!EN262="FM", Sheet1!EN262="OTHER"),SUM(Sheet1!BK262:'Sheet1'!BM262),0)</f>
        <v>0</v>
      </c>
      <c r="CR262" s="697">
        <f>IF(AND($B262&gt;=$FL262,$B262&lt;=$FM262),MAX($CJ262,Sheet1!EG262,0),MAX($CJ262-(7/36)*$K262,0))</f>
        <v>10.5</v>
      </c>
      <c r="CS262" s="712">
        <f t="shared" si="777"/>
        <v>0</v>
      </c>
      <c r="CT262" s="697">
        <f t="shared" si="778"/>
        <v>0</v>
      </c>
      <c r="CU262" s="697">
        <f>IF(AND($O262&gt;0,Sheet1!EK262=1),(1-($O262-Sheet1!$L262)/$O262)*CP262,0)</f>
        <v>0</v>
      </c>
      <c r="CV262" s="697">
        <f>IF(AND(Sheet1!$L262=0,Sheet1!$L261=0, Calculation!CO262&lt;Sheet1!$EG262-0.1,Sheet1!$EG262=Sheet1!$EG261,Sheet1!$EG262=Sheet1!$EG263),Sheet1!$EG262,CP262-CU262)</f>
        <v>10.42436835106383</v>
      </c>
      <c r="CW262" s="697">
        <f t="shared" si="721"/>
        <v>0</v>
      </c>
      <c r="CX262" s="712">
        <f t="shared" si="779"/>
        <v>17.079999999999998</v>
      </c>
      <c r="CY262" s="712">
        <f t="shared" si="780"/>
        <v>193.74069847640908</v>
      </c>
      <c r="CZ262" s="712">
        <f t="shared" si="781"/>
        <v>16.892619680851062</v>
      </c>
      <c r="DA262" s="712">
        <f ca="1">IF(B262&gt;Summary!$A$1,#N/A,CY262*MGtoAF)</f>
        <v>594.39646292562304</v>
      </c>
      <c r="DB262" s="712">
        <f t="shared" si="782"/>
        <v>17.079999999999998</v>
      </c>
      <c r="DC262" s="712">
        <f t="shared" si="783"/>
        <v>30.08</v>
      </c>
      <c r="DD262" s="712">
        <f>Sheet1!AB262-DC262</f>
        <v>-0.32999999999999829</v>
      </c>
      <c r="DE262" s="712">
        <f t="shared" si="784"/>
        <v>-1.0970744680851009E-2</v>
      </c>
      <c r="DF262" s="712">
        <f>(VLOOKUP(Sheet1!CY262,hhdcap_wcm,4)-(((VLOOKUP(Sheet1!CY262,hhdcap_wcm,3)-Sheet1!CY262)/(VLOOKUP(Sheet1!CY262,hhdcap_wcm,3)-VLOOKUP(Sheet1!CY262,hhdcap_wcm,1)))*(VLOOKUP(Sheet1!CY262,hhdcap_wcm,4)-VLOOKUP(Sheet1!CY262,hhdcap_wcm,2))))</f>
        <v>34628.740000084646</v>
      </c>
      <c r="DG262" s="712">
        <f t="shared" si="785"/>
        <v>-299.86000000139029</v>
      </c>
      <c r="DH262" s="712">
        <f t="shared" si="786"/>
        <v>-151.2153303083158</v>
      </c>
      <c r="DI262" s="712">
        <f>Sheet1!DW262*AFtoMG</f>
        <v>0</v>
      </c>
      <c r="DJ262" s="712">
        <f>Sheet1!DX262*AFtoMG</f>
        <v>0</v>
      </c>
      <c r="DK262" s="712">
        <f>Sheet1!DY262*AFtoMG</f>
        <v>0</v>
      </c>
      <c r="DL262" s="712">
        <f>Sheet1!DZ262*AFtoMG</f>
        <v>0</v>
      </c>
      <c r="DM262" s="712">
        <f t="shared" si="787"/>
        <v>0</v>
      </c>
      <c r="DN262" s="712">
        <f t="shared" si="788"/>
        <v>0</v>
      </c>
      <c r="DO262" s="712">
        <f t="shared" si="789"/>
        <v>2539.9952219959832</v>
      </c>
      <c r="DP262" s="712">
        <f t="shared" si="790"/>
        <v>7792.705341083677</v>
      </c>
      <c r="DQ262" s="712"/>
      <c r="DR262" s="697">
        <f>IF(OR(B262&lt;FL262,B262&gt;FM262),(MIN(AV262+BO262+CJ262+MAX(Sheet1!AA262+AG262-73,0),K262)),0)</f>
        <v>0</v>
      </c>
      <c r="DS262" s="712"/>
      <c r="DT262" s="712">
        <f t="shared" si="791"/>
        <v>16.892619680851062</v>
      </c>
      <c r="DU262" s="712"/>
      <c r="DV262" s="712">
        <f>Sheet1!ED262+Sheet1!EE262+Sheet1!EF262+Sheet1!EG262</f>
        <v>18</v>
      </c>
      <c r="DW262" s="712"/>
      <c r="DX262" s="697">
        <f t="shared" si="792"/>
        <v>0</v>
      </c>
      <c r="DY262" s="712">
        <f>IF(Sheet1!FN262=1,SUM('Calculations II'!AT262:BA262)+'Calculations II'!BC262+Sheet1!BU262+'Calculations II'!BE262+AF262,SUM('Calculations II'!AT262:BA262)+'Calculations II'!BC262+Sheet1!BU262+'Calculations II'!BE262+AF262)</f>
        <v>70.953168000000005</v>
      </c>
      <c r="DZ262" s="712">
        <f>Sheet1!AA262+Sheet1!AB262+'Calculations II'!BC262</f>
        <v>83.986176000003496</v>
      </c>
      <c r="EA262" s="712"/>
      <c r="EB262" s="712"/>
      <c r="EC262" s="712">
        <f t="shared" si="793"/>
        <v>40791</v>
      </c>
      <c r="ED262" s="712">
        <f t="shared" si="794"/>
        <v>-18</v>
      </c>
      <c r="EE262" s="712">
        <f t="shared" si="795"/>
        <v>-27.846</v>
      </c>
      <c r="EF262" s="712">
        <f ca="1">IF(B262=TODAY(),0,-(VLOOKUP(Sheet1!BQ262,Lookup!$B$4:$J$236,2)-VLOOKUP(Sheet1!BQ261,Lookup!$B$4:$J$236,2))/1000000)</f>
        <v>0</v>
      </c>
      <c r="EG262" s="712">
        <f ca="1">IF(B262=TODAY(),0,-(VLOOKUP(Sheet1!BR262,Lookup!$B$4:$J$236,3)-VLOOKUP(Sheet1!BR261,Lookup!$B$4:$J$236,3))/1000000)</f>
        <v>0</v>
      </c>
      <c r="EH262" s="712">
        <f>-(VLOOKUP(Sheet1!BS262,Lookup!$B$4:$J$236,4)-VLOOKUP(Sheet1!BS261,Lookup!$B$4:$J$236,4))/1000000</f>
        <v>0</v>
      </c>
      <c r="EI262" s="697">
        <f t="shared" ca="1" si="819"/>
        <v>0</v>
      </c>
      <c r="EJ262" s="712"/>
      <c r="EK262" s="712"/>
      <c r="EL262" s="712"/>
      <c r="EM262" s="712"/>
      <c r="EN262" s="712"/>
      <c r="EO262" s="712"/>
      <c r="EP262" s="712"/>
      <c r="EQ262" s="712"/>
      <c r="ET262" s="794">
        <f t="shared" si="818"/>
        <v>1129.7</v>
      </c>
      <c r="EU262" s="697">
        <v>8785</v>
      </c>
      <c r="EV262" s="795">
        <f t="shared" si="734"/>
        <v>16831.034659000969</v>
      </c>
      <c r="EW262" s="796" t="s">
        <v>757</v>
      </c>
      <c r="EX262" s="796" t="s">
        <v>758</v>
      </c>
      <c r="EY262" s="712">
        <f t="shared" si="817"/>
        <v>0</v>
      </c>
      <c r="EZ262" s="798">
        <v>17738.200000038923</v>
      </c>
      <c r="FA262" s="712"/>
      <c r="FB262" s="712"/>
      <c r="FC262" s="712"/>
      <c r="FD262" s="712"/>
      <c r="FE262" s="712">
        <f>O262+Sheet1!CO262</f>
        <v>6377.8100000000031</v>
      </c>
      <c r="FF262" s="712">
        <f>IF(Sheet1!AA262+AG262&lt;=Calculation!N262,AG262,Calculation!N262-Sheet1!AA262)</f>
        <v>12.857380319148938</v>
      </c>
      <c r="FG262" s="712">
        <f>(Sheet1!BP262+Sheet1!BO262)/694.4</f>
        <v>4.3660714285714288</v>
      </c>
      <c r="FH262" s="712"/>
      <c r="FI262" s="712"/>
      <c r="FJ262" s="712"/>
      <c r="FK262" s="712"/>
      <c r="FL262" s="714">
        <f t="shared" si="726"/>
        <v>40753</v>
      </c>
      <c r="FM262" s="714">
        <f t="shared" si="727"/>
        <v>40851</v>
      </c>
      <c r="FN262" s="712"/>
      <c r="FO262" s="712"/>
      <c r="FP262" s="712"/>
      <c r="FQ262" s="712"/>
      <c r="FR262" s="712"/>
      <c r="FS262" s="725">
        <f t="shared" si="820"/>
        <v>40603</v>
      </c>
      <c r="FT262" s="714">
        <f t="shared" si="729"/>
        <v>40709</v>
      </c>
      <c r="FU262" s="712">
        <f t="shared" si="820"/>
        <v>6518.9048239895692</v>
      </c>
      <c r="FV262" s="714">
        <f t="shared" si="730"/>
        <v>40722</v>
      </c>
      <c r="FW262" s="712">
        <f t="shared" si="820"/>
        <v>3259.4524119947846</v>
      </c>
      <c r="FX262" s="725">
        <f t="shared" si="820"/>
        <v>40851</v>
      </c>
      <c r="FZ262" s="697">
        <f t="shared" si="722"/>
        <v>0</v>
      </c>
      <c r="GA262" s="712" t="str">
        <f t="shared" si="797"/>
        <v/>
      </c>
      <c r="GB262" s="712">
        <f t="shared" si="798"/>
        <v>0</v>
      </c>
      <c r="GC262" s="712" t="str">
        <f t="shared" si="799"/>
        <v/>
      </c>
      <c r="GD262" s="712">
        <f>IF(GA262="P",Lookup!$M$12,IF(GA262="PP",Lookup!$M$13,IF(GA262="PPP",Lookup!$M$14,IF(GA262="T",Lookup!$M$15,IF(GA262="TP",Lookup!$M$16,IF(GA262="TPP",Lookup!$M$17,IF(GA262="TPPP",Lookup!$M$18,0)))))))*FZ262</f>
        <v>0</v>
      </c>
      <c r="GE262" s="712">
        <f t="shared" si="800"/>
        <v>0</v>
      </c>
      <c r="GF262" s="712">
        <f t="shared" si="801"/>
        <v>4166.6666666666661</v>
      </c>
      <c r="GG262" s="712">
        <f t="shared" si="802"/>
        <v>1358.1051716644936</v>
      </c>
      <c r="GH262" s="712"/>
      <c r="GI262" s="712">
        <f t="shared" si="803"/>
        <v>0</v>
      </c>
      <c r="GJ262" s="712" t="str">
        <f t="shared" si="804"/>
        <v/>
      </c>
      <c r="GK262" s="712">
        <f>IF(GA262="P",Lookup!$N$12,IF(GA262="PP",Lookup!$N$13,IF(GA262="PPP",Lookup!$N$14,IF(GA262="T",Lookup!$N$15,IF(GA262="TP",Lookup!$N$16,IF(GA262="TPP",Lookup!$N$17,IF(GA262="TPPP",Lookup!$N$18,0)))))))*FZ262</f>
        <v>0</v>
      </c>
      <c r="GL262" s="712">
        <f t="shared" si="805"/>
        <v>0</v>
      </c>
      <c r="GM262" s="712">
        <f t="shared" si="806"/>
        <v>1683.2615727591219</v>
      </c>
      <c r="GN262" s="712">
        <f t="shared" si="807"/>
        <v>548.6510993347855</v>
      </c>
      <c r="GO262" s="712"/>
      <c r="GP262" s="712">
        <f t="shared" si="808"/>
        <v>0</v>
      </c>
      <c r="GQ262" s="712" t="str">
        <f t="shared" si="809"/>
        <v/>
      </c>
      <c r="GR262" s="712">
        <f>IF(GA262="P",Lookup!$N$12,IF(GA262="PP",Lookup!$N$13,IF(GA262="PPP",Lookup!$N$14,IF(GA262="T",Lookup!$N$15,IF(GA262="TP",Lookup!$N$16,IF(GA262="TPP",Lookup!$N$17,IF(GA262="TPPP",Lookup!$N$18,0)))))))*FZ262</f>
        <v>0</v>
      </c>
      <c r="GS262" s="697">
        <f t="shared" si="724"/>
        <v>0</v>
      </c>
      <c r="GT262" s="712">
        <f t="shared" si="810"/>
        <v>1348.3806387322661</v>
      </c>
      <c r="GU262" s="712">
        <f t="shared" si="811"/>
        <v>439.4982525202953</v>
      </c>
      <c r="GV262" s="712"/>
      <c r="GW262" s="712">
        <f t="shared" si="812"/>
        <v>0</v>
      </c>
      <c r="GX262" s="712" t="str">
        <f t="shared" si="813"/>
        <v/>
      </c>
      <c r="GY262" s="712">
        <f>IF(GA262="P",Lookup!$N$12,IF(GA262="PP",Lookup!$N$13,IF(GA262="PPP",Lookup!$N$14,IF(GA262="T",Lookup!$N$15,IF(GA262="TP",Lookup!$N$16,IF(GA262="TPP",Lookup!$N$17,IF(GA262="TPPP",Lookup!$N$18,0)))))))*FZ262</f>
        <v>0</v>
      </c>
      <c r="GZ262" s="697">
        <f t="shared" si="725"/>
        <v>0</v>
      </c>
      <c r="HA262" s="712">
        <f t="shared" si="814"/>
        <v>594.39646292562304</v>
      </c>
      <c r="HB262" s="712">
        <f t="shared" si="815"/>
        <v>193.74069847640908</v>
      </c>
      <c r="HC262" s="712"/>
    </row>
    <row r="263" spans="1:211">
      <c r="A263" s="773" t="s">
        <v>5</v>
      </c>
      <c r="B263" s="708">
        <v>40792</v>
      </c>
      <c r="C263" s="719">
        <v>0.5</v>
      </c>
      <c r="D263" s="675">
        <f t="shared" si="737"/>
        <v>200</v>
      </c>
      <c r="E263" s="675">
        <f t="shared" si="738"/>
        <v>400</v>
      </c>
      <c r="F263" s="675">
        <v>250</v>
      </c>
      <c r="G263" s="712">
        <f>DH263+Sheet1!CV263</f>
        <v>150.98524962167542</v>
      </c>
      <c r="H263" s="712">
        <f t="shared" si="739"/>
        <v>0</v>
      </c>
      <c r="I263" s="711">
        <f>MAX(Sheet1!Z263-AJ263+(Sheet1!CW263-E263)*CFStoMGD,0)</f>
        <v>0</v>
      </c>
      <c r="J263" s="720">
        <f>IF(AND(B263&gt;=Calculation!FS263,B263&lt;=Calculation!FT263),IF(Sheet1!CX263&gt;=Calculation!D263,64.64,0),MAX(Sheet1!Z263-AJ263+(Sheet1!CX263-D263)*CFStoMGD,0))</f>
        <v>9.0535001203363805</v>
      </c>
      <c r="K263" s="697">
        <f t="shared" si="740"/>
        <v>0</v>
      </c>
      <c r="L263" s="712">
        <f>Sheet1!AA263+Sheet1!AB263-Sheet1!L263+(Sheet1!CW263-F263)*CFStoMGD</f>
        <v>128.34439999999825</v>
      </c>
      <c r="M263" s="712">
        <f t="shared" si="741"/>
        <v>99.548802662560021</v>
      </c>
      <c r="N263" s="712">
        <f>IF(Sheet1!CW263&gt;=F263,MIN(73,MIN(MAX(L263,0),MAX(M263,0))),0)</f>
        <v>73</v>
      </c>
      <c r="O263" s="721">
        <f>Sheet1!AA263+Sheet1!AB263</f>
        <v>79.419999999998254</v>
      </c>
      <c r="P263" s="721">
        <f t="shared" si="742"/>
        <v>122.8627399999973</v>
      </c>
      <c r="Q263" s="712">
        <f>MIN(N263,Sheet1!AA263+AG263)</f>
        <v>62.090433212994036</v>
      </c>
      <c r="R263" s="712">
        <f t="shared" si="743"/>
        <v>17.5</v>
      </c>
      <c r="S263" s="721">
        <f>Sheet1!Y263*MGDtoCFS</f>
        <v>70.202860000000001</v>
      </c>
      <c r="T263" s="721">
        <f>Sheet1!Z263*MGDtoCFS</f>
        <v>46.827689999999997</v>
      </c>
      <c r="U263" s="721">
        <f>Sheet1!AA263*MGDtoCFS</f>
        <v>71.471399999995498</v>
      </c>
      <c r="V263" s="721">
        <f>Sheet1!AB263*MGDtoCFS</f>
        <v>51.391340000001797</v>
      </c>
      <c r="W263" s="721">
        <f>Sheet1!L263*MGDtoCFS</f>
        <v>0</v>
      </c>
      <c r="X263" s="697">
        <f t="shared" si="744"/>
        <v>17.513670276775336</v>
      </c>
      <c r="Y263" s="712">
        <f t="shared" si="745"/>
        <v>27.093647918171445</v>
      </c>
      <c r="Z263" s="712">
        <f t="shared" si="746"/>
        <v>0</v>
      </c>
      <c r="AA263" s="712">
        <f t="shared" si="747"/>
        <v>0</v>
      </c>
      <c r="AB263" s="712">
        <f>(VLOOKUP(Sheet1!CY263,hhdcap_wcm,4)-(((VLOOKUP(Sheet1!CY263,hhdcap_wcm,3)-Sheet1!CY263)/(VLOOKUP(Sheet1!CY263,hhdcap_wcm,3)-VLOOKUP(Sheet1!CY263,hhdcap_wcm,1)))*(VLOOKUP(Sheet1!CY263,hhdcap_wcm,4)-VLOOKUP(Sheet1!CY263,hhdcap_wcm,2))))</f>
        <v>34320.850000084429</v>
      </c>
      <c r="AC263" s="712">
        <f t="shared" si="748"/>
        <v>-307.8900000002177</v>
      </c>
      <c r="AD263" s="712">
        <f t="shared" si="749"/>
        <v>2000.8815517192081</v>
      </c>
      <c r="AE263" s="712">
        <f t="shared" si="750"/>
        <v>6138.7046006745304</v>
      </c>
      <c r="AF263" s="712">
        <f>Sheet1!BA263+Sheet1!BB263+Sheet1!BN263+BT263</f>
        <v>15.9</v>
      </c>
      <c r="AG263" s="712">
        <f t="shared" si="751"/>
        <v>15.890433212996946</v>
      </c>
      <c r="AH263" s="712">
        <f>Sheet1!BA263+BT263</f>
        <v>0</v>
      </c>
      <c r="AI263" s="712">
        <f>Sheet1!BA263+Sheet1!BB263+BT263</f>
        <v>0</v>
      </c>
      <c r="AJ263" s="712">
        <f>IF((Sheet1!AA263+AG263+AX263+AZ263+BQ263+BS263+CL263+CN263)&lt;=N263,AG263+AX263+AZ263+BQ263+BS263+CL263+CN263,N263-Sheet1!AA263)</f>
        <v>15.890433212996946</v>
      </c>
      <c r="AK263" s="851">
        <f>IF(DR263&lt;K263,0,MAX(Sheet1!AA263+AG263-15/36*K263-N263,Sheet1!ED263,0))</f>
        <v>0</v>
      </c>
      <c r="AL263" s="712">
        <f>IF(OR(B263&gt;=FT263,B263&lt;FS263),0,15/36*K263-MAX(0,64.6-(137.6-(Sheet1!AA263+Sheet1!AB263))))</f>
        <v>0</v>
      </c>
      <c r="AM263" s="712">
        <f>Sheet1!CX263-110</f>
        <v>81.760416666666657</v>
      </c>
      <c r="AN263" s="712">
        <f>Sheet1!CW263-265</f>
        <v>60.6875</v>
      </c>
      <c r="AO263" s="712">
        <f t="shared" si="733"/>
        <v>10.909566787005964</v>
      </c>
      <c r="AP263" s="851">
        <v>0</v>
      </c>
      <c r="AQ263" s="712">
        <f t="shared" si="753"/>
        <v>0</v>
      </c>
      <c r="AR263" s="712">
        <f t="shared" si="821"/>
        <v>836.50517166449356</v>
      </c>
      <c r="AS263" s="712"/>
      <c r="AT263" s="712">
        <f ca="1">IF(B263&gt;Summary!$A$1,#N/A,AR263*MGtoAF)</f>
        <v>2566.3978666666662</v>
      </c>
      <c r="AU263" s="712">
        <f>Sheet1!BG263+Sheet1!BH263+Sheet1!BI263-BC263</f>
        <v>1.99</v>
      </c>
      <c r="AV263" s="712">
        <f t="shared" si="755"/>
        <v>1.9888026474128253</v>
      </c>
      <c r="AW263" s="712">
        <f>IF(Sheet1!EL263="FM",BC263,0)</f>
        <v>0</v>
      </c>
      <c r="AX263" s="712">
        <f t="shared" si="756"/>
        <v>0</v>
      </c>
      <c r="AY263" s="712">
        <f>IF(Sheet1!EL263="OTHER",BC263,0)</f>
        <v>0</v>
      </c>
      <c r="AZ263" s="712">
        <f t="shared" si="757"/>
        <v>0</v>
      </c>
      <c r="BA263" s="712">
        <f t="shared" si="758"/>
        <v>1.99</v>
      </c>
      <c r="BB263" s="712">
        <f t="shared" si="759"/>
        <v>1.9888026474128253</v>
      </c>
      <c r="BC263" s="712">
        <f>IF(OR(Sheet1!EL263="FM", Sheet1!EL263="OTHER"),SUM(Sheet1!BG263:'Sheet1'!BI263),0)</f>
        <v>0</v>
      </c>
      <c r="BD263" s="697">
        <f>IF(AND($B263&gt;=$FL263,$B263&lt;=$FM263),MAX(AV263,Sheet1!EE263,0),MAX(AV263-(7/36)*$K263,0))</f>
        <v>2</v>
      </c>
      <c r="BE263" s="712">
        <f t="shared" si="760"/>
        <v>0</v>
      </c>
      <c r="BF263" s="697">
        <f t="shared" si="761"/>
        <v>0</v>
      </c>
      <c r="BG263" s="697">
        <f>IF(AND($O263&gt;0,Sheet1!EI263=1),(1-($O263-Sheet1!$L263)/$O263)*BB263,0)</f>
        <v>0</v>
      </c>
      <c r="BH263" s="697">
        <f>IF(AND(Sheet1!$L263=0,Sheet1!$L262=0, Calculation!BA263&lt;Sheet1!$EE263-0.1,Sheet1!$EE263=Sheet1!$EE262,Sheet1!$EE263=Sheet1!$EE264),Sheet1!$EE263,BB263-BG263)</f>
        <v>1.9888026474128253</v>
      </c>
      <c r="BI263" s="712"/>
      <c r="BJ263" s="712"/>
      <c r="BK263" s="712">
        <f t="shared" si="762"/>
        <v>546.6510993347855</v>
      </c>
      <c r="BL263" s="712"/>
      <c r="BM263" s="712">
        <f ca="1">IF(B263&gt;Summary!$A$1,#N/A,BK263*MGtoAF)</f>
        <v>1677.125572759122</v>
      </c>
      <c r="BN263" s="712">
        <f>Sheet1!BC263+Sheet1!BD263+Sheet1!BE263+Sheet1!BF263-BW263-BX263</f>
        <v>4.83</v>
      </c>
      <c r="BO263" s="712">
        <f t="shared" si="763"/>
        <v>4.8270938628160538</v>
      </c>
      <c r="BP263" s="712">
        <f>IF(Sheet1!EM263="FM",BX263,0)</f>
        <v>0</v>
      </c>
      <c r="BQ263" s="712">
        <f t="shared" si="764"/>
        <v>0</v>
      </c>
      <c r="BR263" s="712">
        <f>IF(Sheet1!EM263="OTHER",BX263,0)</f>
        <v>0</v>
      </c>
      <c r="BS263" s="712">
        <f t="shared" si="765"/>
        <v>0</v>
      </c>
      <c r="BT263" s="712">
        <f t="shared" si="766"/>
        <v>0</v>
      </c>
      <c r="BU263" s="712">
        <f t="shared" si="767"/>
        <v>4.83</v>
      </c>
      <c r="BV263" s="712">
        <f t="shared" si="768"/>
        <v>4.8270938628160538</v>
      </c>
      <c r="BW263" s="712">
        <f>IF(Sheet1!EM263="CWA",SUM(Sheet1!BC263:'Sheet1'!BF263),0)</f>
        <v>0</v>
      </c>
      <c r="BX263" s="712">
        <f>IF(OR(Sheet1!EM263="FM", Sheet1!EM263="OTHER"),SUM(Sheet1!BC263:'Sheet1'!BF263),0)</f>
        <v>0</v>
      </c>
      <c r="BY263" s="697">
        <f>IF(AND($B263&gt;=$FL263,$B263&lt;=$FM263),MAX(BV263,Sheet1!EF263,0),MAX(BV263-(7/36)*$K263,0))</f>
        <v>5</v>
      </c>
      <c r="BZ263" s="712">
        <f t="shared" si="769"/>
        <v>0</v>
      </c>
      <c r="CA263" s="697">
        <f t="shared" si="770"/>
        <v>0</v>
      </c>
      <c r="CB263" s="697">
        <f>IF(AND($O263&gt;0,Sheet1!EJ263=1),(1-($O263-Sheet1!$L263)/$O263)*BV263,0)</f>
        <v>0</v>
      </c>
      <c r="CC263" s="697">
        <f>IF(AND(Sheet1!$L263=0,Sheet1!$L262=0, Calculation!BU263&lt;Sheet1!EF263-0.1,Sheet1!EF263=Sheet1!EF262,Sheet1!EF263=Sheet1!EF264),Sheet1!EF263,BV263-CB263)</f>
        <v>4.8270938628160538</v>
      </c>
      <c r="CD263" s="697"/>
      <c r="CE263" s="712"/>
      <c r="CF263" s="712">
        <f t="shared" si="771"/>
        <v>434.4982525202953</v>
      </c>
      <c r="CG263" s="712"/>
      <c r="CH263" s="712">
        <f ca="1">IF(B263&gt;Summary!$A$1,#N/A,CF263*MGtoAF)</f>
        <v>1333.040638732266</v>
      </c>
      <c r="CI263" s="712">
        <f>Sheet1!BK263+Sheet1!BL263+Sheet1!BM263-Sheet1!EN263-CQ263</f>
        <v>10.52</v>
      </c>
      <c r="CJ263" s="712">
        <f t="shared" si="772"/>
        <v>10.513670276775338</v>
      </c>
      <c r="CK263" s="712">
        <f>IF(Sheet1!EN263="FM",CQ263,0)</f>
        <v>0</v>
      </c>
      <c r="CL263" s="712">
        <f t="shared" si="773"/>
        <v>0</v>
      </c>
      <c r="CM263" s="712">
        <f>IF(Sheet1!EN263="OTHER",CQ263,0)</f>
        <v>0</v>
      </c>
      <c r="CN263" s="712">
        <f t="shared" si="774"/>
        <v>0</v>
      </c>
      <c r="CO263" s="712">
        <f t="shared" si="775"/>
        <v>10.52</v>
      </c>
      <c r="CP263" s="712">
        <f t="shared" si="776"/>
        <v>10.513670276775338</v>
      </c>
      <c r="CQ263" s="712">
        <f>IF(OR(Sheet1!EN263="FM", Sheet1!EN263="OTHER"),SUM(Sheet1!BK263:'Sheet1'!BM263),0)</f>
        <v>0</v>
      </c>
      <c r="CR263" s="697">
        <f>IF(AND($B263&gt;=$FL263,$B263&lt;=$FM263),MAX($CJ263,Sheet1!EG263,0),MAX($CJ263-(7/36)*$K263,0))</f>
        <v>10.513670276775338</v>
      </c>
      <c r="CS263" s="712">
        <f t="shared" si="777"/>
        <v>0</v>
      </c>
      <c r="CT263" s="697">
        <f t="shared" si="778"/>
        <v>0</v>
      </c>
      <c r="CU263" s="697">
        <f>IF(AND($O263&gt;0,Sheet1!EK263=1),(1-($O263-Sheet1!$L263)/$O263)*CP263,0)</f>
        <v>0</v>
      </c>
      <c r="CV263" s="697">
        <f>IF(AND(Sheet1!$L263=0,Sheet1!$L262=0, Calculation!CO263&lt;Sheet1!$EG263-0.1,Sheet1!$EG263=Sheet1!$EG262,Sheet1!$EG263=Sheet1!$EG264),Sheet1!$EG263,CP263-CU263)</f>
        <v>10.513670276775338</v>
      </c>
      <c r="CW263" s="697">
        <f t="shared" si="721"/>
        <v>0</v>
      </c>
      <c r="CX263" s="712">
        <f t="shared" si="779"/>
        <v>17.34</v>
      </c>
      <c r="CY263" s="712">
        <f t="shared" si="780"/>
        <v>183.22702819963374</v>
      </c>
      <c r="CZ263" s="712">
        <f t="shared" si="781"/>
        <v>17.329566787004218</v>
      </c>
      <c r="DA263" s="712">
        <f ca="1">IF(B263&gt;Summary!$A$1,#N/A,CY263*MGtoAF)</f>
        <v>562.14052251647627</v>
      </c>
      <c r="DB263" s="712">
        <f t="shared" si="782"/>
        <v>17.34</v>
      </c>
      <c r="DC263" s="712">
        <f t="shared" si="783"/>
        <v>33.24</v>
      </c>
      <c r="DD263" s="712">
        <f>Sheet1!AB263-DC263</f>
        <v>-1.9999999998837836E-2</v>
      </c>
      <c r="DE263" s="712">
        <f t="shared" si="784"/>
        <v>-6.0168471717322002E-4</v>
      </c>
      <c r="DF263" s="712">
        <f>(VLOOKUP(Sheet1!CY263,hhdcap_wcm,4)-(((VLOOKUP(Sheet1!CY263,hhdcap_wcm,3)-Sheet1!CY263)/(VLOOKUP(Sheet1!CY263,hhdcap_wcm,3)-VLOOKUP(Sheet1!CY263,hhdcap_wcm,1)))*(VLOOKUP(Sheet1!CY263,hhdcap_wcm,4)-VLOOKUP(Sheet1!CY263,hhdcap_wcm,2))))</f>
        <v>34320.850000084429</v>
      </c>
      <c r="DG263" s="712">
        <f t="shared" si="785"/>
        <v>-307.8900000002177</v>
      </c>
      <c r="DH263" s="712">
        <f t="shared" si="786"/>
        <v>-155.26475037832458</v>
      </c>
      <c r="DI263" s="712">
        <f>Sheet1!DW263*AFtoMG</f>
        <v>-521.6</v>
      </c>
      <c r="DJ263" s="712">
        <f>Sheet1!DX263*AFtoMG</f>
        <v>0</v>
      </c>
      <c r="DK263" s="712">
        <f>Sheet1!DY263*AFtoMG</f>
        <v>0</v>
      </c>
      <c r="DL263" s="712">
        <f>Sheet1!DZ263*AFtoMG</f>
        <v>0</v>
      </c>
      <c r="DM263" s="712">
        <f t="shared" si="787"/>
        <v>-521.6</v>
      </c>
      <c r="DN263" s="712">
        <f t="shared" si="788"/>
        <v>-1600.2688000000001</v>
      </c>
      <c r="DO263" s="712">
        <f t="shared" si="789"/>
        <v>2000.8815517192081</v>
      </c>
      <c r="DP263" s="712">
        <f t="shared" si="790"/>
        <v>6138.7046006745304</v>
      </c>
      <c r="DQ263" s="712"/>
      <c r="DR263" s="697">
        <f>IF(OR(B263&lt;FL263,B263&gt;FM263),(MIN(AV263+BO263+CJ263+MAX(Sheet1!AA263+AG263-73,0),K263)),0)</f>
        <v>0</v>
      </c>
      <c r="DS263" s="712"/>
      <c r="DT263" s="712">
        <f t="shared" si="791"/>
        <v>17.329566787004218</v>
      </c>
      <c r="DU263" s="712"/>
      <c r="DV263" s="712">
        <f>Sheet1!ED263+Sheet1!EE263+Sheet1!EF263+Sheet1!EG263</f>
        <v>17.5</v>
      </c>
      <c r="DW263" s="712"/>
      <c r="DX263" s="697">
        <f t="shared" si="792"/>
        <v>0</v>
      </c>
      <c r="DY263" s="712">
        <f>IF(Sheet1!FN263=1,SUM('Calculations II'!AT263:BA263)+'Calculations II'!BC263+Sheet1!BU263+'Calculations II'!BE263+AF263,SUM('Calculations II'!AT263:BA263)+'Calculations II'!BC263+Sheet1!BU263+'Calculations II'!BE263+AF263)</f>
        <v>68.662672000000001</v>
      </c>
      <c r="DZ263" s="712">
        <f>Sheet1!AA263+Sheet1!AB263+'Calculations II'!BC263</f>
        <v>86.943423999998259</v>
      </c>
      <c r="EA263" s="712"/>
      <c r="EB263" s="712"/>
      <c r="EC263" s="712">
        <f t="shared" si="793"/>
        <v>40792</v>
      </c>
      <c r="ED263" s="712">
        <f t="shared" si="794"/>
        <v>-17.513670276775336</v>
      </c>
      <c r="EE263" s="712">
        <f t="shared" si="795"/>
        <v>-27.093647918171445</v>
      </c>
      <c r="EF263" s="712">
        <f ca="1">IF(B263=TODAY(),0,-(VLOOKUP(Sheet1!BQ263,Lookup!$B$4:$J$236,2)-VLOOKUP(Sheet1!BQ262,Lookup!$B$4:$J$236,2))/1000000)</f>
        <v>2.4344999999999999</v>
      </c>
      <c r="EG263" s="712">
        <f ca="1">IF(B263=TODAY(),0,-(VLOOKUP(Sheet1!BR263,Lookup!$B$4:$J$236,3)-VLOOKUP(Sheet1!BR262,Lookup!$B$4:$J$236,3))/1000000)</f>
        <v>2.16</v>
      </c>
      <c r="EH263" s="712">
        <f>-(VLOOKUP(Sheet1!BS263,Lookup!$B$4:$J$236,4)-VLOOKUP(Sheet1!BS262,Lookup!$B$4:$J$236,4))/1000000</f>
        <v>0</v>
      </c>
      <c r="EI263" s="697">
        <f t="shared" ca="1" si="819"/>
        <v>4.5945</v>
      </c>
      <c r="EJ263" s="712"/>
      <c r="EK263" s="712"/>
      <c r="EL263" s="712"/>
      <c r="EM263" s="712"/>
      <c r="EN263" s="712"/>
      <c r="EO263" s="712"/>
      <c r="EP263" s="712"/>
      <c r="EQ263" s="712"/>
      <c r="ET263" s="794">
        <f t="shared" si="818"/>
        <v>1129.3</v>
      </c>
      <c r="EU263" s="697">
        <f>EU262-EY263+1600</f>
        <v>10385</v>
      </c>
      <c r="EV263" s="795">
        <f t="shared" si="734"/>
        <v>16577.145399409899</v>
      </c>
      <c r="EW263" s="796" t="s">
        <v>757</v>
      </c>
      <c r="EX263" s="796" t="s">
        <v>758</v>
      </c>
      <c r="EY263" s="712">
        <f t="shared" si="817"/>
        <v>0</v>
      </c>
      <c r="EZ263" s="798">
        <v>17572.000000038795</v>
      </c>
      <c r="FA263" s="712"/>
      <c r="FB263" s="712"/>
      <c r="FC263" s="712"/>
      <c r="FD263" s="712"/>
      <c r="FE263" s="712">
        <f>O263+Sheet1!CO263</f>
        <v>5304.0199999999986</v>
      </c>
      <c r="FF263" s="712">
        <f>IF(Sheet1!AA263+AG263&lt;=Calculation!N263,AG263,Calculation!N263-Sheet1!AA263)</f>
        <v>15.890433212996946</v>
      </c>
      <c r="FG263" s="712">
        <f>(Sheet1!BP263+Sheet1!BO263)/694.4</f>
        <v>4.7811059907834101</v>
      </c>
      <c r="FH263" s="712"/>
      <c r="FI263" s="712"/>
      <c r="FJ263" s="712"/>
      <c r="FK263" s="712"/>
      <c r="FL263" s="714">
        <f t="shared" si="726"/>
        <v>40753</v>
      </c>
      <c r="FM263" s="714">
        <f t="shared" si="727"/>
        <v>40851</v>
      </c>
      <c r="FN263" s="712"/>
      <c r="FO263" s="712"/>
      <c r="FP263" s="712"/>
      <c r="FQ263" s="712"/>
      <c r="FR263" s="712"/>
      <c r="FS263" s="725">
        <f t="shared" si="820"/>
        <v>40603</v>
      </c>
      <c r="FT263" s="714">
        <f t="shared" si="729"/>
        <v>40709</v>
      </c>
      <c r="FU263" s="712">
        <f t="shared" si="820"/>
        <v>6518.9048239895692</v>
      </c>
      <c r="FV263" s="714">
        <f t="shared" si="730"/>
        <v>40722</v>
      </c>
      <c r="FW263" s="712">
        <f t="shared" si="820"/>
        <v>3259.4524119947846</v>
      </c>
      <c r="FX263" s="725">
        <f t="shared" si="820"/>
        <v>40851</v>
      </c>
      <c r="FZ263" s="697">
        <f t="shared" si="722"/>
        <v>0</v>
      </c>
      <c r="GA263" s="712" t="str">
        <f t="shared" si="797"/>
        <v/>
      </c>
      <c r="GB263" s="712">
        <f t="shared" si="798"/>
        <v>0</v>
      </c>
      <c r="GC263" s="712" t="str">
        <f t="shared" si="799"/>
        <v/>
      </c>
      <c r="GD263" s="712">
        <f>IF(GA263="P",Lookup!$M$12,IF(GA263="PP",Lookup!$M$13,IF(GA263="PPP",Lookup!$M$14,IF(GA263="T",Lookup!$M$15,IF(GA263="TP",Lookup!$M$16,IF(GA263="TPP",Lookup!$M$17,IF(GA263="TPPP",Lookup!$M$18,0)))))))*FZ263</f>
        <v>0</v>
      </c>
      <c r="GE263" s="712">
        <f t="shared" si="800"/>
        <v>0</v>
      </c>
      <c r="GF263" s="712">
        <f t="shared" si="801"/>
        <v>2566.3978666666662</v>
      </c>
      <c r="GG263" s="712">
        <f t="shared" si="802"/>
        <v>836.50517166449356</v>
      </c>
      <c r="GH263" s="712"/>
      <c r="GI263" s="712">
        <f t="shared" si="803"/>
        <v>0</v>
      </c>
      <c r="GJ263" s="712" t="str">
        <f t="shared" si="804"/>
        <v/>
      </c>
      <c r="GK263" s="712">
        <f>IF(GA263="P",Lookup!$N$12,IF(GA263="PP",Lookup!$N$13,IF(GA263="PPP",Lookup!$N$14,IF(GA263="T",Lookup!$N$15,IF(GA263="TP",Lookup!$N$16,IF(GA263="TPP",Lookup!$N$17,IF(GA263="TPPP",Lookup!$N$18,0)))))))*FZ263</f>
        <v>0</v>
      </c>
      <c r="GL263" s="712">
        <f t="shared" si="805"/>
        <v>0</v>
      </c>
      <c r="GM263" s="712">
        <f t="shared" si="806"/>
        <v>1677.125572759122</v>
      </c>
      <c r="GN263" s="712">
        <f t="shared" si="807"/>
        <v>546.6510993347855</v>
      </c>
      <c r="GO263" s="712"/>
      <c r="GP263" s="712">
        <f t="shared" si="808"/>
        <v>0</v>
      </c>
      <c r="GQ263" s="712" t="str">
        <f t="shared" si="809"/>
        <v/>
      </c>
      <c r="GR263" s="712">
        <f>IF(GA263="P",Lookup!$N$12,IF(GA263="PP",Lookup!$N$13,IF(GA263="PPP",Lookup!$N$14,IF(GA263="T",Lookup!$N$15,IF(GA263="TP",Lookup!$N$16,IF(GA263="TPP",Lookup!$N$17,IF(GA263="TPPP",Lookup!$N$18,0)))))))*FZ263</f>
        <v>0</v>
      </c>
      <c r="GS263" s="697">
        <f t="shared" si="724"/>
        <v>0</v>
      </c>
      <c r="GT263" s="712">
        <f t="shared" si="810"/>
        <v>1333.040638732266</v>
      </c>
      <c r="GU263" s="712">
        <f t="shared" si="811"/>
        <v>434.4982525202953</v>
      </c>
      <c r="GV263" s="712"/>
      <c r="GW263" s="712">
        <f t="shared" si="812"/>
        <v>0</v>
      </c>
      <c r="GX263" s="712" t="str">
        <f t="shared" si="813"/>
        <v/>
      </c>
      <c r="GY263" s="712">
        <f>IF(GA263="P",Lookup!$N$12,IF(GA263="PP",Lookup!$N$13,IF(GA263="PPP",Lookup!$N$14,IF(GA263="T",Lookup!$N$15,IF(GA263="TP",Lookup!$N$16,IF(GA263="TPP",Lookup!$N$17,IF(GA263="TPPP",Lookup!$N$18,0)))))))*FZ263</f>
        <v>0</v>
      </c>
      <c r="GZ263" s="697">
        <f t="shared" si="725"/>
        <v>0</v>
      </c>
      <c r="HA263" s="712">
        <f t="shared" si="814"/>
        <v>562.14052251647627</v>
      </c>
      <c r="HB263" s="712">
        <f t="shared" si="815"/>
        <v>183.22702819963374</v>
      </c>
      <c r="HC263" s="712"/>
    </row>
    <row r="264" spans="1:211">
      <c r="A264" s="773" t="s">
        <v>6</v>
      </c>
      <c r="B264" s="708">
        <v>40793</v>
      </c>
      <c r="C264" s="709">
        <v>0.5</v>
      </c>
      <c r="D264" s="675">
        <f t="shared" si="737"/>
        <v>200</v>
      </c>
      <c r="E264" s="675">
        <f t="shared" si="738"/>
        <v>400</v>
      </c>
      <c r="F264" s="675">
        <v>250</v>
      </c>
      <c r="G264" s="712">
        <f>DH264+Sheet1!CV264</f>
        <v>146.15525718587199</v>
      </c>
      <c r="H264" s="712">
        <f t="shared" si="739"/>
        <v>0</v>
      </c>
      <c r="I264" s="711">
        <f>MAX(Sheet1!Z264-AJ264+(Sheet1!CW264-E264)*CFStoMGD,0)</f>
        <v>0</v>
      </c>
      <c r="J264" s="720">
        <f>IF(AND(B264&gt;=Calculation!FS264,B264&lt;=Calculation!FT264),IF(Sheet1!CX264&gt;=Calculation!D264,64.64,0),MAX(Sheet1!Z264-AJ264+(Sheet1!CX264-D264)*CFStoMGD,0))</f>
        <v>6.5060973729117144</v>
      </c>
      <c r="K264" s="697">
        <f t="shared" si="740"/>
        <v>0</v>
      </c>
      <c r="L264" s="712">
        <f>Sheet1!AA264+Sheet1!AB264-Sheet1!L264+(Sheet1!CW264-F264)*CFStoMGD</f>
        <v>122.28926666665589</v>
      </c>
      <c r="M264" s="712">
        <f t="shared" si="741"/>
        <v>96.364253409846611</v>
      </c>
      <c r="N264" s="712">
        <f>IF(Sheet1!CW264&gt;=F264,MIN(73,MIN(MAX(L264,0),MAX(M264,0))),0)</f>
        <v>73</v>
      </c>
      <c r="O264" s="721">
        <f>Sheet1!AA264+Sheet1!AB264</f>
        <v>86.339999999989232</v>
      </c>
      <c r="P264" s="721">
        <f t="shared" si="742"/>
        <v>133.56797999998332</v>
      </c>
      <c r="Q264" s="712">
        <f>MIN(N264,Sheet1!AA264+AG264)</f>
        <v>68.84996929374681</v>
      </c>
      <c r="R264" s="712">
        <f t="shared" si="743"/>
        <v>17.5</v>
      </c>
      <c r="S264" s="721">
        <f>Sheet1!Y264*MGDtoCFS</f>
        <v>73.621729999999999</v>
      </c>
      <c r="T264" s="721">
        <f>Sheet1!Z264*MGDtoCFS</f>
        <v>63.04025</v>
      </c>
      <c r="U264" s="721">
        <f>Sheet1!AA264*MGDtoCFS</f>
        <v>73.420619999987395</v>
      </c>
      <c r="V264" s="721">
        <f>Sheet1!AB264*MGDtoCFS</f>
        <v>60.147359999995942</v>
      </c>
      <c r="W264" s="721">
        <f>Sheet1!L264*MGDtoCFS</f>
        <v>0</v>
      </c>
      <c r="X264" s="697">
        <f t="shared" si="744"/>
        <v>17.524155578300583</v>
      </c>
      <c r="Y264" s="712">
        <f t="shared" si="745"/>
        <v>27.109868679630999</v>
      </c>
      <c r="Z264" s="712">
        <f t="shared" si="746"/>
        <v>0</v>
      </c>
      <c r="AA264" s="712">
        <f t="shared" si="747"/>
        <v>0</v>
      </c>
      <c r="AB264" s="712">
        <f>(VLOOKUP(Sheet1!CY264,hhdcap_wcm,4)-(((VLOOKUP(Sheet1!CY264,hhdcap_wcm,3)-Sheet1!CY264)/(VLOOKUP(Sheet1!CY264,hhdcap_wcm,3)-VLOOKUP(Sheet1!CY264,hhdcap_wcm,1)))*(VLOOKUP(Sheet1!CY264,hhdcap_wcm,4)-VLOOKUP(Sheet1!CY264,hhdcap_wcm,2))))</f>
        <v>34003.630000084013</v>
      </c>
      <c r="AC264" s="712">
        <f t="shared" si="748"/>
        <v>-317.22000000041589</v>
      </c>
      <c r="AD264" s="712">
        <f t="shared" si="749"/>
        <v>1983.3573961409074</v>
      </c>
      <c r="AE264" s="712">
        <f t="shared" si="750"/>
        <v>6084.9404913603039</v>
      </c>
      <c r="AF264" s="712">
        <f>Sheet1!BA264+Sheet1!BB264+Sheet1!BN264+BT264</f>
        <v>21.5</v>
      </c>
      <c r="AG264" s="712">
        <f t="shared" si="751"/>
        <v>21.389969293754959</v>
      </c>
      <c r="AH264" s="712">
        <f>Sheet1!BA264+BT264</f>
        <v>0</v>
      </c>
      <c r="AI264" s="712">
        <f>Sheet1!BA264+Sheet1!BB264+BT264</f>
        <v>0</v>
      </c>
      <c r="AJ264" s="712">
        <f>IF((Sheet1!AA264+AG264+AX264+AZ264+BQ264+BS264+CL264+CN264)&lt;=N264,AG264+AX264+AZ264+BQ264+BS264+CL264+CN264,N264-Sheet1!AA264)</f>
        <v>21.389969293754959</v>
      </c>
      <c r="AK264" s="851">
        <f>IF(DR264&lt;K264,0,MAX(Sheet1!AA264+AG264-15/36*K264-N264,Sheet1!ED264,0))</f>
        <v>0</v>
      </c>
      <c r="AL264" s="712">
        <f>IF(OR(B264&gt;=FT264,B264&lt;FS264),0,15/36*K264-MAX(0,64.6-(137.6-(Sheet1!AA264+Sheet1!AB264))))</f>
        <v>0</v>
      </c>
      <c r="AM264" s="712">
        <f>Sheet1!CX264-110</f>
        <v>70.114583333333343</v>
      </c>
      <c r="AN264" s="712">
        <f>Sheet1!CW264-265</f>
        <v>40.614583333333314</v>
      </c>
      <c r="AO264" s="712">
        <f t="shared" si="733"/>
        <v>4.1500307062531903</v>
      </c>
      <c r="AP264" s="851">
        <v>0</v>
      </c>
      <c r="AQ264" s="712">
        <f t="shared" si="753"/>
        <v>0</v>
      </c>
      <c r="AR264" s="712">
        <f t="shared" si="821"/>
        <v>836.50517166449356</v>
      </c>
      <c r="AS264" s="712"/>
      <c r="AT264" s="712">
        <f ca="1">IF(B264&gt;Summary!$A$1,#N/A,AR264*MGtoAF)</f>
        <v>2566.3978666666662</v>
      </c>
      <c r="AU264" s="712">
        <f>Sheet1!BG264+Sheet1!BH264+Sheet1!BI264-BC264</f>
        <v>2.0099999999999998</v>
      </c>
      <c r="AV264" s="712">
        <f t="shared" si="755"/>
        <v>1.9997134083929051</v>
      </c>
      <c r="AW264" s="712">
        <f>IF(Sheet1!EL264="FM",BC264,0)</f>
        <v>0</v>
      </c>
      <c r="AX264" s="712">
        <f t="shared" si="756"/>
        <v>0</v>
      </c>
      <c r="AY264" s="712">
        <f>IF(Sheet1!EL264="OTHER",BC264,0)</f>
        <v>0</v>
      </c>
      <c r="AZ264" s="712">
        <f t="shared" si="757"/>
        <v>0</v>
      </c>
      <c r="BA264" s="712">
        <f t="shared" si="758"/>
        <v>2.0099999999999998</v>
      </c>
      <c r="BB264" s="712">
        <f t="shared" si="759"/>
        <v>1.9997134083929051</v>
      </c>
      <c r="BC264" s="712">
        <f>IF(OR(Sheet1!EL264="FM", Sheet1!EL264="OTHER"),SUM(Sheet1!BG264:'Sheet1'!BI264),0)</f>
        <v>0</v>
      </c>
      <c r="BD264" s="697">
        <f>IF(AND($B264&gt;=$FL264,$B264&lt;=$FM264),MAX(AV264,Sheet1!EE264,0),MAX(AV264-(7/36)*$K264,0))</f>
        <v>2</v>
      </c>
      <c r="BE264" s="712">
        <f t="shared" si="760"/>
        <v>0</v>
      </c>
      <c r="BF264" s="697">
        <f t="shared" si="761"/>
        <v>0</v>
      </c>
      <c r="BG264" s="697">
        <f>IF(AND($O264&gt;0,Sheet1!EI264=1),(1-($O264-Sheet1!$L264)/$O264)*BB264,0)</f>
        <v>0</v>
      </c>
      <c r="BH264" s="697">
        <f>IF(AND(Sheet1!$L264=0,Sheet1!$L263=0, Calculation!BA264&lt;Sheet1!$EE264-0.1,Sheet1!$EE264=Sheet1!$EE263,Sheet1!$EE264=Sheet1!$EE265),Sheet1!$EE264,BB264-BG264)</f>
        <v>1.9997134083929051</v>
      </c>
      <c r="BI264" s="712"/>
      <c r="BJ264" s="712"/>
      <c r="BK264" s="712">
        <f t="shared" si="762"/>
        <v>544.6510993347855</v>
      </c>
      <c r="BL264" s="712"/>
      <c r="BM264" s="712">
        <f ca="1">IF(B264&gt;Summary!$A$1,#N/A,BK264*MGtoAF)</f>
        <v>1670.989572759122</v>
      </c>
      <c r="BN264" s="712">
        <f>Sheet1!BC264+Sheet1!BD264+Sheet1!BE264+Sheet1!BF264-BW264-BX264</f>
        <v>5.05</v>
      </c>
      <c r="BO264" s="712">
        <f t="shared" si="763"/>
        <v>5.0241555783005829</v>
      </c>
      <c r="BP264" s="712">
        <f>IF(Sheet1!EM264="FM",BX264,0)</f>
        <v>0</v>
      </c>
      <c r="BQ264" s="712">
        <f t="shared" si="764"/>
        <v>0</v>
      </c>
      <c r="BR264" s="712">
        <f>IF(Sheet1!EM264="OTHER",BX264,0)</f>
        <v>0</v>
      </c>
      <c r="BS264" s="712">
        <f t="shared" si="765"/>
        <v>0</v>
      </c>
      <c r="BT264" s="712">
        <f t="shared" si="766"/>
        <v>0</v>
      </c>
      <c r="BU264" s="712">
        <f t="shared" si="767"/>
        <v>5.05</v>
      </c>
      <c r="BV264" s="712">
        <f t="shared" si="768"/>
        <v>5.0241555783005829</v>
      </c>
      <c r="BW264" s="712">
        <f>IF(Sheet1!EM264="CWA",SUM(Sheet1!BC264:'Sheet1'!BF264),0)</f>
        <v>0</v>
      </c>
      <c r="BX264" s="712">
        <f>IF(OR(Sheet1!EM264="FM", Sheet1!EM264="OTHER"),SUM(Sheet1!BC264:'Sheet1'!BF264),0)</f>
        <v>0</v>
      </c>
      <c r="BY264" s="697">
        <f>IF(AND($B264&gt;=$FL264,$B264&lt;=$FM264),MAX(BV264,Sheet1!EF264,0),MAX(BV264-(7/36)*$K264,0))</f>
        <v>5.0241555783005829</v>
      </c>
      <c r="BZ264" s="712">
        <f t="shared" si="769"/>
        <v>0</v>
      </c>
      <c r="CA264" s="697">
        <f t="shared" si="770"/>
        <v>0</v>
      </c>
      <c r="CB264" s="697">
        <f>IF(AND($O264&gt;0,Sheet1!EJ264=1),(1-($O264-Sheet1!$L264)/$O264)*BV264,0)</f>
        <v>0</v>
      </c>
      <c r="CC264" s="697">
        <f>IF(AND(Sheet1!$L264=0,Sheet1!$L263=0, Calculation!BU264&lt;Sheet1!EF264-0.1,Sheet1!EF264=Sheet1!EF263,Sheet1!EF264=Sheet1!EF265),Sheet1!EF264,BV264-CB264)</f>
        <v>5.0241555783005829</v>
      </c>
      <c r="CD264" s="697"/>
      <c r="CE264" s="712"/>
      <c r="CF264" s="712">
        <f t="shared" si="771"/>
        <v>429.47409694199473</v>
      </c>
      <c r="CG264" s="712"/>
      <c r="CH264" s="712">
        <f ca="1">IF(B264&gt;Summary!$A$1,#N/A,CF264*MGtoAF)</f>
        <v>1317.6265294180398</v>
      </c>
      <c r="CI264" s="712">
        <f>Sheet1!BK264+Sheet1!BL264+Sheet1!BM264-Sheet1!EN264-CQ264</f>
        <v>10.52</v>
      </c>
      <c r="CJ264" s="712">
        <f t="shared" si="772"/>
        <v>10.466161719548937</v>
      </c>
      <c r="CK264" s="712">
        <f>IF(Sheet1!EN264="FM",CQ264,0)</f>
        <v>0</v>
      </c>
      <c r="CL264" s="712">
        <f t="shared" si="773"/>
        <v>0</v>
      </c>
      <c r="CM264" s="712">
        <f>IF(Sheet1!EN264="OTHER",CQ264,0)</f>
        <v>0</v>
      </c>
      <c r="CN264" s="712">
        <f t="shared" si="774"/>
        <v>0</v>
      </c>
      <c r="CO264" s="712">
        <f t="shared" si="775"/>
        <v>10.52</v>
      </c>
      <c r="CP264" s="712">
        <f t="shared" si="776"/>
        <v>10.466161719548937</v>
      </c>
      <c r="CQ264" s="712">
        <f>IF(OR(Sheet1!EN264="FM", Sheet1!EN264="OTHER"),SUM(Sheet1!BK264:'Sheet1'!BM264),0)</f>
        <v>0</v>
      </c>
      <c r="CR264" s="697">
        <f>IF(AND($B264&gt;=$FL264,$B264&lt;=$FM264),MAX($CJ264,Sheet1!EG264,0),MAX($CJ264-(7/36)*$K264,0))</f>
        <v>10.5</v>
      </c>
      <c r="CS264" s="712">
        <f t="shared" si="777"/>
        <v>0</v>
      </c>
      <c r="CT264" s="697">
        <f t="shared" si="778"/>
        <v>0</v>
      </c>
      <c r="CU264" s="697">
        <f>IF(AND($O264&gt;0,Sheet1!EK264=1),(1-($O264-Sheet1!$L264)/$O264)*CP264,0)</f>
        <v>0</v>
      </c>
      <c r="CV264" s="697">
        <f>IF(AND(Sheet1!$L264=0,Sheet1!$L263=0, Calculation!CO264&lt;Sheet1!$EG264-0.1,Sheet1!$EG264=Sheet1!$EG263,Sheet1!$EG264=Sheet1!$EG265),Sheet1!$EG264,CP264-CU264)</f>
        <v>10.466161719548937</v>
      </c>
      <c r="CW264" s="697">
        <f t="shared" ref="CW264:CW274" si="823">CP264-CV264</f>
        <v>0</v>
      </c>
      <c r="CX264" s="712">
        <f t="shared" si="779"/>
        <v>17.579999999999998</v>
      </c>
      <c r="CY264" s="712">
        <f t="shared" si="780"/>
        <v>172.72702819963374</v>
      </c>
      <c r="CZ264" s="712">
        <f t="shared" si="781"/>
        <v>17.490030706242425</v>
      </c>
      <c r="DA264" s="712">
        <f ca="1">IF(B264&gt;Summary!$A$1,#N/A,CY264*MGtoAF)</f>
        <v>529.92652251647633</v>
      </c>
      <c r="DB264" s="712">
        <f t="shared" si="782"/>
        <v>17.579999999999998</v>
      </c>
      <c r="DC264" s="712">
        <f t="shared" si="783"/>
        <v>39.08</v>
      </c>
      <c r="DD264" s="712">
        <f>Sheet1!AB264-DC264</f>
        <v>-0.20000000000261764</v>
      </c>
      <c r="DE264" s="712">
        <f t="shared" si="784"/>
        <v>-5.1177072672113008E-3</v>
      </c>
      <c r="DF264" s="712">
        <f>(VLOOKUP(Sheet1!CY264,hhdcap_wcm,4)-(((VLOOKUP(Sheet1!CY264,hhdcap_wcm,3)-Sheet1!CY264)/(VLOOKUP(Sheet1!CY264,hhdcap_wcm,3)-VLOOKUP(Sheet1!CY264,hhdcap_wcm,1)))*(VLOOKUP(Sheet1!CY264,hhdcap_wcm,4)-VLOOKUP(Sheet1!CY264,hhdcap_wcm,2))))</f>
        <v>34003.630000084013</v>
      </c>
      <c r="DG264" s="712">
        <f t="shared" si="785"/>
        <v>-317.22000000041589</v>
      </c>
      <c r="DH264" s="712">
        <f t="shared" si="786"/>
        <v>-159.96974281412801</v>
      </c>
      <c r="DI264" s="712">
        <f>Sheet1!DW264*AFtoMG</f>
        <v>0</v>
      </c>
      <c r="DJ264" s="712">
        <f>Sheet1!DX264*AFtoMG</f>
        <v>0</v>
      </c>
      <c r="DK264" s="712">
        <f>Sheet1!DY264*AFtoMG</f>
        <v>0</v>
      </c>
      <c r="DL264" s="712">
        <f>Sheet1!DZ264*AFtoMG</f>
        <v>0</v>
      </c>
      <c r="DM264" s="712">
        <f t="shared" si="787"/>
        <v>0</v>
      </c>
      <c r="DN264" s="712">
        <f t="shared" si="788"/>
        <v>0</v>
      </c>
      <c r="DO264" s="712">
        <f t="shared" si="789"/>
        <v>1983.3573961409074</v>
      </c>
      <c r="DP264" s="712">
        <f t="shared" si="790"/>
        <v>6084.9404913603039</v>
      </c>
      <c r="DQ264" s="712"/>
      <c r="DR264" s="697">
        <f>IF(OR(B264&lt;FL264,B264&gt;FM264),(MIN(AV264+BO264+CJ264+MAX(Sheet1!AA264+AG264-73,0),K264)),0)</f>
        <v>0</v>
      </c>
      <c r="DS264" s="712"/>
      <c r="DT264" s="712">
        <f t="shared" si="791"/>
        <v>17.490030706242425</v>
      </c>
      <c r="DU264" s="712"/>
      <c r="DV264" s="712">
        <f>Sheet1!ED264+Sheet1!EE264+Sheet1!EF264+Sheet1!EG264</f>
        <v>17.5</v>
      </c>
      <c r="DW264" s="712"/>
      <c r="DX264" s="697">
        <f t="shared" si="792"/>
        <v>0</v>
      </c>
      <c r="DY264" s="712">
        <f>IF(Sheet1!FN264=1,SUM('Calculations II'!AT264:BA264)+'Calculations II'!BC264+Sheet1!BU264+'Calculations II'!BE264+AF264,SUM('Calculations II'!AT264:BA264)+'Calculations II'!BC264+Sheet1!BU264+'Calculations II'!BE264+AF264)</f>
        <v>72.04907200000001</v>
      </c>
      <c r="DZ264" s="712">
        <f>Sheet1!AA264+Sheet1!AB264+'Calculations II'!BC264</f>
        <v>96.661919999989237</v>
      </c>
      <c r="EA264" s="712"/>
      <c r="EB264" s="712"/>
      <c r="EC264" s="712">
        <f t="shared" si="793"/>
        <v>40793</v>
      </c>
      <c r="ED264" s="712">
        <f t="shared" si="794"/>
        <v>-17.524155578300583</v>
      </c>
      <c r="EE264" s="712">
        <f t="shared" si="795"/>
        <v>-27.109868679630999</v>
      </c>
      <c r="EF264" s="712">
        <f ca="1">IF(B264=TODAY(),0,-(VLOOKUP(Sheet1!BQ264,Lookup!$B$4:$J$236,2)-VLOOKUP(Sheet1!BQ263,Lookup!$B$4:$J$236,2))/1000000)</f>
        <v>-0.27050000000000002</v>
      </c>
      <c r="EG264" s="712">
        <f ca="1">IF(B264=TODAY(),0,-(VLOOKUP(Sheet1!BR264,Lookup!$B$4:$J$236,3)-VLOOKUP(Sheet1!BR263,Lookup!$B$4:$J$236,3))/1000000)</f>
        <v>0</v>
      </c>
      <c r="EH264" s="712">
        <f>-(VLOOKUP(Sheet1!BS264,Lookup!$B$4:$J$236,4)-VLOOKUP(Sheet1!BS263,Lookup!$B$4:$J$236,4))/1000000</f>
        <v>0</v>
      </c>
      <c r="EI264" s="697">
        <f t="shared" ca="1" si="819"/>
        <v>-0.27050000000000002</v>
      </c>
      <c r="EJ264" s="712"/>
      <c r="EK264" s="712"/>
      <c r="EL264" s="712"/>
      <c r="EM264" s="712"/>
      <c r="EN264" s="712"/>
      <c r="EO264" s="712"/>
      <c r="EP264" s="712"/>
      <c r="EQ264" s="712"/>
      <c r="ET264" s="794">
        <f t="shared" si="818"/>
        <v>1129</v>
      </c>
      <c r="EU264" s="697">
        <f>EU263-EY264</f>
        <v>10385</v>
      </c>
      <c r="EV264" s="795">
        <f t="shared" si="734"/>
        <v>16313.68950872371</v>
      </c>
      <c r="EW264" s="796" t="s">
        <v>757</v>
      </c>
      <c r="EX264" s="796" t="s">
        <v>758</v>
      </c>
      <c r="EY264" s="712">
        <f t="shared" si="817"/>
        <v>0</v>
      </c>
      <c r="EZ264" s="798">
        <v>17409.700000037763</v>
      </c>
      <c r="FA264" s="712"/>
      <c r="FB264" s="712"/>
      <c r="FC264" s="712"/>
      <c r="FD264" s="712"/>
      <c r="FE264" s="712">
        <f>O264+Sheet1!CO264</f>
        <v>7254.3399999999892</v>
      </c>
      <c r="FF264" s="712">
        <f>IF(Sheet1!AA264+AG264&lt;=Calculation!N264,AG264,Calculation!N264-Sheet1!AA264)</f>
        <v>21.389969293754959</v>
      </c>
      <c r="FG264" s="712">
        <f>(Sheet1!BP264+Sheet1!BO264)/694.4</f>
        <v>4.163306451612903</v>
      </c>
      <c r="FH264" s="712"/>
      <c r="FI264" s="712"/>
      <c r="FJ264" s="712"/>
      <c r="FK264" s="712"/>
      <c r="FL264" s="714">
        <f t="shared" si="726"/>
        <v>40753</v>
      </c>
      <c r="FM264" s="714">
        <f t="shared" si="727"/>
        <v>40851</v>
      </c>
      <c r="FN264" s="712"/>
      <c r="FO264" s="712"/>
      <c r="FP264" s="712"/>
      <c r="FQ264" s="712"/>
      <c r="FR264" s="712"/>
      <c r="FS264" s="725">
        <f t="shared" si="820"/>
        <v>40603</v>
      </c>
      <c r="FT264" s="714">
        <f t="shared" si="729"/>
        <v>40709</v>
      </c>
      <c r="FU264" s="712">
        <f t="shared" si="820"/>
        <v>6518.9048239895692</v>
      </c>
      <c r="FV264" s="714">
        <f t="shared" si="730"/>
        <v>40722</v>
      </c>
      <c r="FW264" s="712">
        <f t="shared" si="820"/>
        <v>3259.4524119947846</v>
      </c>
      <c r="FX264" s="725">
        <f t="shared" si="820"/>
        <v>40851</v>
      </c>
      <c r="FZ264" s="697">
        <f t="shared" ref="FZ264:FZ327" si="824">IF(B264=FT264,AFtoMG*(20000-AE263),GB264+GP264+GI264+GW264)</f>
        <v>0</v>
      </c>
      <c r="GA264" s="712" t="str">
        <f t="shared" si="797"/>
        <v/>
      </c>
      <c r="GB264" s="712">
        <f t="shared" si="798"/>
        <v>0</v>
      </c>
      <c r="GC264" s="712" t="str">
        <f t="shared" si="799"/>
        <v/>
      </c>
      <c r="GD264" s="712">
        <f>IF(GA264="P",Lookup!$M$12,IF(GA264="PP",Lookup!$M$13,IF(GA264="PPP",Lookup!$M$14,IF(GA264="T",Lookup!$M$15,IF(GA264="TP",Lookup!$M$16,IF(GA264="TPP",Lookup!$M$17,IF(GA264="TPPP",Lookup!$M$18,0)))))))*FZ264</f>
        <v>0</v>
      </c>
      <c r="GE264" s="712">
        <f t="shared" si="800"/>
        <v>0</v>
      </c>
      <c r="GF264" s="712">
        <f t="shared" si="801"/>
        <v>2566.3978666666662</v>
      </c>
      <c r="GG264" s="712">
        <f t="shared" si="802"/>
        <v>836.50517166449356</v>
      </c>
      <c r="GH264" s="712"/>
      <c r="GI264" s="712">
        <f t="shared" si="803"/>
        <v>0</v>
      </c>
      <c r="GJ264" s="712" t="str">
        <f t="shared" si="804"/>
        <v/>
      </c>
      <c r="GK264" s="712">
        <f>IF(GA264="P",Lookup!$N$12,IF(GA264="PP",Lookup!$N$13,IF(GA264="PPP",Lookup!$N$14,IF(GA264="T",Lookup!$N$15,IF(GA264="TP",Lookup!$N$16,IF(GA264="TPP",Lookup!$N$17,IF(GA264="TPPP",Lookup!$N$18,0)))))))*FZ264</f>
        <v>0</v>
      </c>
      <c r="GL264" s="712">
        <f t="shared" si="805"/>
        <v>0</v>
      </c>
      <c r="GM264" s="712">
        <f t="shared" si="806"/>
        <v>1670.989572759122</v>
      </c>
      <c r="GN264" s="712">
        <f t="shared" si="807"/>
        <v>544.6510993347855</v>
      </c>
      <c r="GO264" s="712"/>
      <c r="GP264" s="712">
        <f t="shared" si="808"/>
        <v>0</v>
      </c>
      <c r="GQ264" s="712" t="str">
        <f t="shared" si="809"/>
        <v/>
      </c>
      <c r="GR264" s="712">
        <f>IF(GA264="P",Lookup!$N$12,IF(GA264="PP",Lookup!$N$13,IF(GA264="PPP",Lookup!$N$14,IF(GA264="T",Lookup!$N$15,IF(GA264="TP",Lookup!$N$16,IF(GA264="TPP",Lookup!$N$17,IF(GA264="TPPP",Lookup!$N$18,0)))))))*FZ264</f>
        <v>0</v>
      </c>
      <c r="GS264" s="697">
        <f t="shared" si="724"/>
        <v>0</v>
      </c>
      <c r="GT264" s="712">
        <f t="shared" si="810"/>
        <v>1317.6265294180398</v>
      </c>
      <c r="GU264" s="712">
        <f t="shared" si="811"/>
        <v>429.47409694199473</v>
      </c>
      <c r="GV264" s="712"/>
      <c r="GW264" s="712">
        <f t="shared" si="812"/>
        <v>0</v>
      </c>
      <c r="GX264" s="712" t="str">
        <f t="shared" si="813"/>
        <v/>
      </c>
      <c r="GY264" s="712">
        <f>IF(GA264="P",Lookup!$N$12,IF(GA264="PP",Lookup!$N$13,IF(GA264="PPP",Lookup!$N$14,IF(GA264="T",Lookup!$N$15,IF(GA264="TP",Lookup!$N$16,IF(GA264="TPP",Lookup!$N$17,IF(GA264="TPPP",Lookup!$N$18,0)))))))*FZ264</f>
        <v>0</v>
      </c>
      <c r="GZ264" s="697">
        <f t="shared" si="725"/>
        <v>0</v>
      </c>
      <c r="HA264" s="712">
        <f t="shared" si="814"/>
        <v>529.92652251647633</v>
      </c>
      <c r="HB264" s="712">
        <f t="shared" si="815"/>
        <v>172.72702819963374</v>
      </c>
      <c r="HC264" s="712"/>
    </row>
    <row r="265" spans="1:211">
      <c r="A265" s="773" t="s">
        <v>7</v>
      </c>
      <c r="B265" s="708">
        <v>40794</v>
      </c>
      <c r="C265" s="719">
        <v>0.5</v>
      </c>
      <c r="D265" s="675">
        <f t="shared" si="737"/>
        <v>200</v>
      </c>
      <c r="E265" s="675">
        <f t="shared" si="738"/>
        <v>400</v>
      </c>
      <c r="F265" s="675">
        <v>250</v>
      </c>
      <c r="G265" s="712">
        <f>DH265+Sheet1!CV265</f>
        <v>151.41345183990185</v>
      </c>
      <c r="H265" s="712">
        <f t="shared" si="739"/>
        <v>0</v>
      </c>
      <c r="I265" s="711">
        <f>MAX(Sheet1!Z265-AJ265+(Sheet1!CW265-E265)*CFStoMGD,0)</f>
        <v>0</v>
      </c>
      <c r="J265" s="720">
        <f>IF(AND(B265&gt;=Calculation!FS265,B265&lt;=Calculation!FT265),IF(Sheet1!CX265&gt;=Calculation!D265,64.64,0),MAX(Sheet1!Z265-AJ265+(Sheet1!CX265-D265)*CFStoMGD,0))</f>
        <v>8.5889091039019014</v>
      </c>
      <c r="K265" s="697">
        <f t="shared" si="740"/>
        <v>0</v>
      </c>
      <c r="L265" s="712">
        <f>Sheet1!AA265+Sheet1!AB265-Sheet1!L265+(Sheet1!CW265-F265)*CFStoMGD</f>
        <v>116.16520000000902</v>
      </c>
      <c r="M265" s="712">
        <f t="shared" si="741"/>
        <v>99.831128374698807</v>
      </c>
      <c r="N265" s="712">
        <f>IF(Sheet1!CW265&gt;=F265,MIN(73,MIN(MAX(L265,0),MAX(M265,0))),0)</f>
        <v>73</v>
      </c>
      <c r="O265" s="721">
        <f>Sheet1!AA265+Sheet1!AB265</f>
        <v>84.330000000009022</v>
      </c>
      <c r="P265" s="721">
        <f t="shared" si="742"/>
        <v>130.45851000001394</v>
      </c>
      <c r="Q265" s="712">
        <f>MIN(N265,Sheet1!AA265+AG265)</f>
        <v>66.87162422943608</v>
      </c>
      <c r="R265" s="712">
        <f t="shared" si="743"/>
        <v>17.5</v>
      </c>
      <c r="S265" s="721">
        <f>Sheet1!Y265*MGDtoCFS</f>
        <v>73.931129999999996</v>
      </c>
      <c r="T265" s="721">
        <f>Sheet1!Z265*MGDtoCFS</f>
        <v>60.410349999999994</v>
      </c>
      <c r="U265" s="721">
        <f>Sheet1!AA265*MGDtoCFS</f>
        <v>72.910110000007194</v>
      </c>
      <c r="V265" s="721">
        <f>Sheet1!AB265*MGDtoCFS</f>
        <v>57.548400000006751</v>
      </c>
      <c r="W265" s="721">
        <f>Sheet1!L265*MGDtoCFS</f>
        <v>0</v>
      </c>
      <c r="X265" s="697">
        <f t="shared" si="744"/>
        <v>17.5</v>
      </c>
      <c r="Y265" s="712">
        <f t="shared" si="745"/>
        <v>27.072499999999998</v>
      </c>
      <c r="Z265" s="712">
        <f t="shared" si="746"/>
        <v>0</v>
      </c>
      <c r="AA265" s="712">
        <f t="shared" si="747"/>
        <v>0</v>
      </c>
      <c r="AB265" s="712">
        <f>(VLOOKUP(Sheet1!CY265,hhdcap_wcm,4)-(((VLOOKUP(Sheet1!CY265,hhdcap_wcm,3)-Sheet1!CY265)/(VLOOKUP(Sheet1!CY265,hhdcap_wcm,3)-VLOOKUP(Sheet1!CY265,hhdcap_wcm,1)))*(VLOOKUP(Sheet1!CY265,hhdcap_wcm,4)-VLOOKUP(Sheet1!CY265,hhdcap_wcm,2))))</f>
        <v>33698.820000082538</v>
      </c>
      <c r="AC265" s="712">
        <f t="shared" si="748"/>
        <v>-304.81000000147469</v>
      </c>
      <c r="AD265" s="712">
        <f t="shared" si="749"/>
        <v>1965.8573961409074</v>
      </c>
      <c r="AE265" s="712">
        <f t="shared" si="750"/>
        <v>6031.2504913603043</v>
      </c>
      <c r="AF265" s="712">
        <f>Sheet1!BA265+Sheet1!BB265+Sheet1!BN265+BT265</f>
        <v>19.8</v>
      </c>
      <c r="AG265" s="712">
        <f t="shared" si="751"/>
        <v>19.741624229431423</v>
      </c>
      <c r="AH265" s="712">
        <f>Sheet1!BA265+BT265</f>
        <v>0</v>
      </c>
      <c r="AI265" s="712">
        <f>Sheet1!BA265+Sheet1!BB265+BT265</f>
        <v>0</v>
      </c>
      <c r="AJ265" s="712">
        <f>IF((Sheet1!AA265+AG265+AX265+AZ265+BQ265+BS265+CL265+CN265)&lt;=N265,AG265+AX265+AZ265+BQ265+BS265+CL265+CN265,N265-Sheet1!AA265)</f>
        <v>19.741624229431423</v>
      </c>
      <c r="AK265" s="851">
        <f>IF(DR265&lt;K265,0,MAX(Sheet1!AA265+AG265-15/36*K265-N265,Sheet1!ED265,0))</f>
        <v>0</v>
      </c>
      <c r="AL265" s="712">
        <f>IF(OR(B265&gt;=FT265,B265&lt;FS265),0,15/36*K265-MAX(0,64.6-(137.6-(Sheet1!AA265+Sheet1!AB265))))</f>
        <v>0</v>
      </c>
      <c r="AM265" s="712">
        <f>Sheet1!CX265-110</f>
        <v>73.416666666666657</v>
      </c>
      <c r="AN265" s="712">
        <f>Sheet1!CW265-265</f>
        <v>34.25</v>
      </c>
      <c r="AO265" s="712">
        <f t="shared" si="733"/>
        <v>6.1283757705639204</v>
      </c>
      <c r="AP265" s="851">
        <v>0</v>
      </c>
      <c r="AQ265" s="712">
        <f t="shared" si="753"/>
        <v>0</v>
      </c>
      <c r="AR265" s="712">
        <f t="shared" si="821"/>
        <v>836.50517166449356</v>
      </c>
      <c r="AS265" s="712"/>
      <c r="AT265" s="712">
        <f ca="1">IF(B265&gt;Summary!$A$1,#N/A,AR265*MGtoAF)</f>
        <v>2566.3978666666662</v>
      </c>
      <c r="AU265" s="712">
        <f>Sheet1!BG265+Sheet1!BH265+Sheet1!BI265-BC265</f>
        <v>2</v>
      </c>
      <c r="AV265" s="712">
        <f t="shared" si="755"/>
        <v>1.9941034575183256</v>
      </c>
      <c r="AW265" s="712">
        <f>IF(Sheet1!EL265="FM",BC265,0)</f>
        <v>0</v>
      </c>
      <c r="AX265" s="712">
        <f t="shared" si="756"/>
        <v>0</v>
      </c>
      <c r="AY265" s="712">
        <f>IF(Sheet1!EL265="OTHER",BC265,0)</f>
        <v>0</v>
      </c>
      <c r="AZ265" s="712">
        <f t="shared" si="757"/>
        <v>0</v>
      </c>
      <c r="BA265" s="712">
        <f t="shared" si="758"/>
        <v>2</v>
      </c>
      <c r="BB265" s="712">
        <f t="shared" si="759"/>
        <v>1.9941034575183256</v>
      </c>
      <c r="BC265" s="712">
        <f>IF(OR(Sheet1!EL265="FM", Sheet1!EL265="OTHER"),SUM(Sheet1!BG265:'Sheet1'!BI265),0)</f>
        <v>0</v>
      </c>
      <c r="BD265" s="697">
        <f>IF(AND($B265&gt;=$FL265,$B265&lt;=$FM265),MAX(AV265,Sheet1!EE265,0),MAX(AV265-(7/36)*$K265,0))</f>
        <v>2</v>
      </c>
      <c r="BE265" s="712">
        <f t="shared" si="760"/>
        <v>0</v>
      </c>
      <c r="BF265" s="697">
        <f t="shared" si="761"/>
        <v>0</v>
      </c>
      <c r="BG265" s="697">
        <f>IF(AND($O265&gt;0,Sheet1!EI265=1),(1-($O265-Sheet1!$L265)/$O265)*BB265,0)</f>
        <v>0</v>
      </c>
      <c r="BH265" s="697">
        <f>IF(AND(Sheet1!$L265=0,Sheet1!$L264=0, Calculation!BA265&lt;Sheet1!$EE265-0.1,Sheet1!$EE265=Sheet1!$EE264,Sheet1!$EE265=Sheet1!$EE266),Sheet1!$EE265,BB265-BG265)</f>
        <v>1.9941034575183256</v>
      </c>
      <c r="BI265" s="712"/>
      <c r="BJ265" s="712"/>
      <c r="BK265" s="712">
        <f t="shared" si="762"/>
        <v>542.6510993347855</v>
      </c>
      <c r="BL265" s="712"/>
      <c r="BM265" s="712">
        <f ca="1">IF(B265&gt;Summary!$A$1,#N/A,BK265*MGtoAF)</f>
        <v>1664.853572759122</v>
      </c>
      <c r="BN265" s="712">
        <f>Sheet1!BC265+Sheet1!BD265+Sheet1!BE265+Sheet1!BF265-BW265-BX265</f>
        <v>5</v>
      </c>
      <c r="BO265" s="712">
        <f t="shared" si="763"/>
        <v>4.985258643795814</v>
      </c>
      <c r="BP265" s="712">
        <f>IF(Sheet1!EM265="FM",BX265,0)</f>
        <v>0</v>
      </c>
      <c r="BQ265" s="712">
        <f t="shared" si="764"/>
        <v>0</v>
      </c>
      <c r="BR265" s="712">
        <f>IF(Sheet1!EM265="OTHER",BX265,0)</f>
        <v>0</v>
      </c>
      <c r="BS265" s="712">
        <f t="shared" si="765"/>
        <v>0</v>
      </c>
      <c r="BT265" s="712">
        <f t="shared" si="766"/>
        <v>0</v>
      </c>
      <c r="BU265" s="712">
        <f t="shared" si="767"/>
        <v>5</v>
      </c>
      <c r="BV265" s="712">
        <f t="shared" si="768"/>
        <v>4.985258643795814</v>
      </c>
      <c r="BW265" s="712">
        <f>IF(Sheet1!EM265="CWA",SUM(Sheet1!BC265:'Sheet1'!BF265),0)</f>
        <v>0</v>
      </c>
      <c r="BX265" s="712">
        <f>IF(OR(Sheet1!EM265="FM", Sheet1!EM265="OTHER"),SUM(Sheet1!BC265:'Sheet1'!BF265),0)</f>
        <v>0</v>
      </c>
      <c r="BY265" s="697">
        <f>IF(AND($B265&gt;=$FL265,$B265&lt;=$FM265),MAX(BV265,Sheet1!EF265,0),MAX(BV265-(7/36)*$K265,0))</f>
        <v>5</v>
      </c>
      <c r="BZ265" s="712">
        <f t="shared" si="769"/>
        <v>0</v>
      </c>
      <c r="CA265" s="697">
        <f t="shared" si="770"/>
        <v>0</v>
      </c>
      <c r="CB265" s="697">
        <f>IF(AND($O265&gt;0,Sheet1!EJ265=1),(1-($O265-Sheet1!$L265)/$O265)*BV265,0)</f>
        <v>0</v>
      </c>
      <c r="CC265" s="697">
        <f>IF(AND(Sheet1!$L265=0,Sheet1!$L264=0, Calculation!BU265&lt;Sheet1!EF265-0.1,Sheet1!EF265=Sheet1!EF264,Sheet1!EF265=Sheet1!EF266),Sheet1!EF265,BV265-CB265)</f>
        <v>4.985258643795814</v>
      </c>
      <c r="CD265" s="697"/>
      <c r="CE265" s="712"/>
      <c r="CF265" s="712">
        <f t="shared" si="771"/>
        <v>424.47409694199473</v>
      </c>
      <c r="CG265" s="712"/>
      <c r="CH265" s="712">
        <f ca="1">IF(B265&gt;Summary!$A$1,#N/A,CF265*MGtoAF)</f>
        <v>1302.2865294180399</v>
      </c>
      <c r="CI265" s="712">
        <f>Sheet1!BK265+Sheet1!BL265+Sheet1!BM265-Sheet1!EN265-CQ265</f>
        <v>10.51</v>
      </c>
      <c r="CJ265" s="712">
        <f t="shared" si="772"/>
        <v>10.479013669258801</v>
      </c>
      <c r="CK265" s="712">
        <f>IF(Sheet1!EN265="FM",CQ265,0)</f>
        <v>0</v>
      </c>
      <c r="CL265" s="712">
        <f t="shared" si="773"/>
        <v>0</v>
      </c>
      <c r="CM265" s="712">
        <f>IF(Sheet1!EN265="OTHER",CQ265,0)</f>
        <v>0</v>
      </c>
      <c r="CN265" s="712">
        <f t="shared" si="774"/>
        <v>0</v>
      </c>
      <c r="CO265" s="712">
        <f t="shared" si="775"/>
        <v>10.51</v>
      </c>
      <c r="CP265" s="712">
        <f t="shared" si="776"/>
        <v>10.479013669258801</v>
      </c>
      <c r="CQ265" s="712">
        <f>IF(OR(Sheet1!EN265="FM", Sheet1!EN265="OTHER"),SUM(Sheet1!BK265:'Sheet1'!BM265),0)</f>
        <v>0</v>
      </c>
      <c r="CR265" s="697">
        <f>IF(AND($B265&gt;=$FL265,$B265&lt;=$FM265),MAX($CJ265,Sheet1!EG265,0),MAX($CJ265-(7/36)*$K265,0))</f>
        <v>10.5</v>
      </c>
      <c r="CS265" s="712">
        <f t="shared" si="777"/>
        <v>0</v>
      </c>
      <c r="CT265" s="697">
        <f t="shared" si="778"/>
        <v>0</v>
      </c>
      <c r="CU265" s="697">
        <f>IF(AND($O265&gt;0,Sheet1!EK265=1),(1-($O265-Sheet1!$L265)/$O265)*CP265,0)</f>
        <v>0</v>
      </c>
      <c r="CV265" s="697">
        <f>IF(AND(Sheet1!$L265=0,Sheet1!$L264=0, Calculation!CO265&lt;Sheet1!$EG265-0.1,Sheet1!$EG265=Sheet1!$EG264,Sheet1!$EG265=Sheet1!$EG266),Sheet1!$EG265,CP265-CU265)</f>
        <v>10.479013669258801</v>
      </c>
      <c r="CW265" s="697">
        <f t="shared" si="823"/>
        <v>0</v>
      </c>
      <c r="CX265" s="712">
        <f t="shared" si="779"/>
        <v>17.509999999999998</v>
      </c>
      <c r="CY265" s="712">
        <f t="shared" si="780"/>
        <v>162.22702819963374</v>
      </c>
      <c r="CZ265" s="712">
        <f t="shared" si="781"/>
        <v>17.458375770572943</v>
      </c>
      <c r="DA265" s="712">
        <f ca="1">IF(B265&gt;Summary!$A$1,#N/A,CY265*MGtoAF)</f>
        <v>497.71252251647633</v>
      </c>
      <c r="DB265" s="712">
        <f t="shared" si="782"/>
        <v>17.509999999999998</v>
      </c>
      <c r="DC265" s="712">
        <f t="shared" si="783"/>
        <v>37.31</v>
      </c>
      <c r="DD265" s="712">
        <f>Sheet1!AB265-DC265</f>
        <v>-0.1099999999956367</v>
      </c>
      <c r="DE265" s="712">
        <f t="shared" si="784"/>
        <v>-2.9482712408372205E-3</v>
      </c>
      <c r="DF265" s="712">
        <f>(VLOOKUP(Sheet1!CY265,hhdcap_wcm,4)-(((VLOOKUP(Sheet1!CY265,hhdcap_wcm,3)-Sheet1!CY265)/(VLOOKUP(Sheet1!CY265,hhdcap_wcm,3)-VLOOKUP(Sheet1!CY265,hhdcap_wcm,1)))*(VLOOKUP(Sheet1!CY265,hhdcap_wcm,4)-VLOOKUP(Sheet1!CY265,hhdcap_wcm,2))))</f>
        <v>33698.820000082538</v>
      </c>
      <c r="DG265" s="712">
        <f t="shared" si="785"/>
        <v>-304.81000000147469</v>
      </c>
      <c r="DH265" s="712">
        <f t="shared" si="786"/>
        <v>-153.71154816009815</v>
      </c>
      <c r="DI265" s="712">
        <f>Sheet1!DW265*AFtoMG</f>
        <v>0</v>
      </c>
      <c r="DJ265" s="712">
        <f>Sheet1!DX265*AFtoMG</f>
        <v>0</v>
      </c>
      <c r="DK265" s="712">
        <f>Sheet1!DY265*AFtoMG</f>
        <v>0</v>
      </c>
      <c r="DL265" s="712">
        <f>Sheet1!DZ265*AFtoMG</f>
        <v>0</v>
      </c>
      <c r="DM265" s="712">
        <f t="shared" si="787"/>
        <v>0</v>
      </c>
      <c r="DN265" s="712">
        <f t="shared" si="788"/>
        <v>0</v>
      </c>
      <c r="DO265" s="712">
        <f t="shared" si="789"/>
        <v>1965.8573961409074</v>
      </c>
      <c r="DP265" s="712">
        <f t="shared" si="790"/>
        <v>6031.2504913603043</v>
      </c>
      <c r="DQ265" s="712"/>
      <c r="DR265" s="697">
        <f>IF(OR(B265&lt;FL265,B265&gt;FM265),(MIN(AV265+BO265+CJ265+MAX(Sheet1!AA265+AG265-73,0),K265)),0)</f>
        <v>0</v>
      </c>
      <c r="DS265" s="712"/>
      <c r="DT265" s="712">
        <f t="shared" si="791"/>
        <v>17.458375770572943</v>
      </c>
      <c r="DU265" s="712"/>
      <c r="DV265" s="712">
        <f>Sheet1!ED265+Sheet1!EE265+Sheet1!EF265+Sheet1!EG265</f>
        <v>17.5</v>
      </c>
      <c r="DW265" s="712"/>
      <c r="DX265" s="697">
        <f t="shared" si="792"/>
        <v>0</v>
      </c>
      <c r="DY265" s="712">
        <f>IF(Sheet1!FN265=1,SUM('Calculations II'!AT265:BA265)+'Calculations II'!BC265+Sheet1!BU265+'Calculations II'!BE265+AF265,SUM('Calculations II'!AT265:BA265)+'Calculations II'!BC265+Sheet1!BU265+'Calculations II'!BE265+AF265)</f>
        <v>70.536912000000001</v>
      </c>
      <c r="DZ265" s="712">
        <f>Sheet1!AA265+Sheet1!AB265+'Calculations II'!BC265</f>
        <v>93.021552000009024</v>
      </c>
      <c r="EA265" s="712"/>
      <c r="EB265" s="712"/>
      <c r="EC265" s="712">
        <f t="shared" si="793"/>
        <v>40794</v>
      </c>
      <c r="ED265" s="712">
        <f t="shared" si="794"/>
        <v>-17.5</v>
      </c>
      <c r="EE265" s="712">
        <f t="shared" si="795"/>
        <v>-27.072499999999998</v>
      </c>
      <c r="EF265" s="712">
        <f ca="1">IF(B265=TODAY(),0,-(VLOOKUP(Sheet1!BQ265,Lookup!$B$4:$J$236,2)-VLOOKUP(Sheet1!BQ264,Lookup!$B$4:$J$236,2))/1000000)</f>
        <v>-3.8068</v>
      </c>
      <c r="EG265" s="712">
        <f ca="1">IF(B265=TODAY(),0,-(VLOOKUP(Sheet1!BR265,Lookup!$B$4:$J$236,3)-VLOOKUP(Sheet1!BR264,Lookup!$B$4:$J$236,3))/1000000)</f>
        <v>-3.5270000000000001</v>
      </c>
      <c r="EH265" s="712">
        <f>-(VLOOKUP(Sheet1!BS265,Lookup!$B$4:$J$236,4)-VLOOKUP(Sheet1!BS264,Lookup!$B$4:$J$236,4))/1000000</f>
        <v>0</v>
      </c>
      <c r="EI265" s="697">
        <f t="shared" ca="1" si="819"/>
        <v>-7.3338000000000001</v>
      </c>
      <c r="EJ265" s="712"/>
      <c r="EK265" s="712"/>
      <c r="EL265" s="712"/>
      <c r="EM265" s="712"/>
      <c r="EN265" s="712"/>
      <c r="EO265" s="712"/>
      <c r="EP265" s="712"/>
      <c r="EQ265" s="712"/>
      <c r="ET265" s="794">
        <f t="shared" si="818"/>
        <v>1128.7</v>
      </c>
      <c r="EU265" s="697">
        <f>EU264-EY265</f>
        <v>10385</v>
      </c>
      <c r="EV265" s="795">
        <f t="shared" si="734"/>
        <v>16062.569508722234</v>
      </c>
      <c r="EW265" s="796" t="s">
        <v>757</v>
      </c>
      <c r="EX265" s="796" t="s">
        <v>757</v>
      </c>
      <c r="EY265" s="712">
        <f t="shared" si="817"/>
        <v>0</v>
      </c>
      <c r="EZ265" s="798">
        <v>17193.300000037518</v>
      </c>
      <c r="FA265" s="712"/>
      <c r="FB265" s="712"/>
      <c r="FC265" s="712"/>
      <c r="FD265" s="712"/>
      <c r="FE265" s="712">
        <f>O265+Sheet1!CO265</f>
        <v>6120.1300000000092</v>
      </c>
      <c r="FF265" s="712">
        <f>IF(Sheet1!AA265+AG265&lt;=Calculation!N265,AG265,Calculation!N265-Sheet1!AA265)</f>
        <v>19.741624229431423</v>
      </c>
      <c r="FG265" s="712">
        <f>(Sheet1!BP265+Sheet1!BO265)/694.4</f>
        <v>3.8037154377880187</v>
      </c>
      <c r="FH265" s="712"/>
      <c r="FI265" s="712"/>
      <c r="FJ265" s="712"/>
      <c r="FK265" s="712"/>
      <c r="FL265" s="714">
        <f t="shared" si="726"/>
        <v>40753</v>
      </c>
      <c r="FM265" s="714">
        <f t="shared" si="727"/>
        <v>40851</v>
      </c>
      <c r="FN265" s="712"/>
      <c r="FO265" s="712"/>
      <c r="FP265" s="712"/>
      <c r="FQ265" s="712"/>
      <c r="FR265" s="712"/>
      <c r="FS265" s="725">
        <f t="shared" si="820"/>
        <v>40603</v>
      </c>
      <c r="FT265" s="714">
        <f t="shared" si="729"/>
        <v>40709</v>
      </c>
      <c r="FU265" s="712">
        <f t="shared" si="820"/>
        <v>6518.9048239895692</v>
      </c>
      <c r="FV265" s="714">
        <f t="shared" si="730"/>
        <v>40722</v>
      </c>
      <c r="FW265" s="712">
        <f t="shared" si="820"/>
        <v>3259.4524119947846</v>
      </c>
      <c r="FX265" s="725">
        <f t="shared" si="820"/>
        <v>40851</v>
      </c>
      <c r="FZ265" s="697">
        <f t="shared" si="824"/>
        <v>0</v>
      </c>
      <c r="GA265" s="712" t="str">
        <f t="shared" si="797"/>
        <v/>
      </c>
      <c r="GB265" s="712">
        <f t="shared" si="798"/>
        <v>0</v>
      </c>
      <c r="GC265" s="712" t="str">
        <f t="shared" si="799"/>
        <v/>
      </c>
      <c r="GD265" s="712">
        <f>IF(GA265="P",Lookup!$M$12,IF(GA265="PP",Lookup!$M$13,IF(GA265="PPP",Lookup!$M$14,IF(GA265="T",Lookup!$M$15,IF(GA265="TP",Lookup!$M$16,IF(GA265="TPP",Lookup!$M$17,IF(GA265="TPPP",Lookup!$M$18,0)))))))*FZ265</f>
        <v>0</v>
      </c>
      <c r="GE265" s="712">
        <f t="shared" si="800"/>
        <v>0</v>
      </c>
      <c r="GF265" s="712">
        <f t="shared" si="801"/>
        <v>2566.3978666666662</v>
      </c>
      <c r="GG265" s="712">
        <f t="shared" si="802"/>
        <v>836.50517166449356</v>
      </c>
      <c r="GH265" s="712"/>
      <c r="GI265" s="712">
        <f t="shared" si="803"/>
        <v>0</v>
      </c>
      <c r="GJ265" s="712" t="str">
        <f t="shared" si="804"/>
        <v/>
      </c>
      <c r="GK265" s="712">
        <f>IF(GA265="P",Lookup!$N$12,IF(GA265="PP",Lookup!$N$13,IF(GA265="PPP",Lookup!$N$14,IF(GA265="T",Lookup!$N$15,IF(GA265="TP",Lookup!$N$16,IF(GA265="TPP",Lookup!$N$17,IF(GA265="TPPP",Lookup!$N$18,0)))))))*FZ265</f>
        <v>0</v>
      </c>
      <c r="GL265" s="712">
        <f t="shared" si="805"/>
        <v>0</v>
      </c>
      <c r="GM265" s="712">
        <f t="shared" si="806"/>
        <v>1664.853572759122</v>
      </c>
      <c r="GN265" s="712">
        <f t="shared" si="807"/>
        <v>542.6510993347855</v>
      </c>
      <c r="GO265" s="712"/>
      <c r="GP265" s="712">
        <f t="shared" si="808"/>
        <v>0</v>
      </c>
      <c r="GQ265" s="712" t="str">
        <f t="shared" si="809"/>
        <v/>
      </c>
      <c r="GR265" s="712">
        <f>IF(GA265="P",Lookup!$N$12,IF(GA265="PP",Lookup!$N$13,IF(GA265="PPP",Lookup!$N$14,IF(GA265="T",Lookup!$N$15,IF(GA265="TP",Lookup!$N$16,IF(GA265="TPP",Lookup!$N$17,IF(GA265="TPPP",Lookup!$N$18,0)))))))*FZ265</f>
        <v>0</v>
      </c>
      <c r="GS265" s="697">
        <f t="shared" ref="GS265:GS328" si="825">IF(GQ265="P",MIN(GR265,7/36*FU265-GU265),0)</f>
        <v>0</v>
      </c>
      <c r="GT265" s="712">
        <f t="shared" si="810"/>
        <v>1302.2865294180399</v>
      </c>
      <c r="GU265" s="712">
        <f t="shared" si="811"/>
        <v>424.47409694199473</v>
      </c>
      <c r="GV265" s="712"/>
      <c r="GW265" s="712">
        <f t="shared" si="812"/>
        <v>0</v>
      </c>
      <c r="GX265" s="712" t="str">
        <f t="shared" si="813"/>
        <v/>
      </c>
      <c r="GY265" s="712">
        <f>IF(GA265="P",Lookup!$N$12,IF(GA265="PP",Lookup!$N$13,IF(GA265="PPP",Lookup!$N$14,IF(GA265="T",Lookup!$N$15,IF(GA265="TP",Lookup!$N$16,IF(GA265="TPP",Lookup!$N$17,IF(GA265="TPPP",Lookup!$N$18,0)))))))*FZ265</f>
        <v>0</v>
      </c>
      <c r="GZ265" s="697">
        <f t="shared" ref="GZ265:GZ328" si="826">IF(GX265="P",MIN(GY265,7/36*FU265-HB265),0)</f>
        <v>0</v>
      </c>
      <c r="HA265" s="712">
        <f t="shared" si="814"/>
        <v>497.71252251647633</v>
      </c>
      <c r="HB265" s="712">
        <f t="shared" si="815"/>
        <v>162.22702819963374</v>
      </c>
      <c r="HC265" s="712"/>
    </row>
    <row r="266" spans="1:211">
      <c r="A266" s="773" t="s">
        <v>8</v>
      </c>
      <c r="B266" s="708">
        <v>40795</v>
      </c>
      <c r="C266" s="719">
        <v>0.5</v>
      </c>
      <c r="D266" s="675">
        <f t="shared" si="737"/>
        <v>200</v>
      </c>
      <c r="E266" s="675">
        <f t="shared" si="738"/>
        <v>400</v>
      </c>
      <c r="F266" s="675">
        <v>250</v>
      </c>
      <c r="G266" s="712">
        <f>DH266+Sheet1!CV266</f>
        <v>150.94005294997086</v>
      </c>
      <c r="H266" s="712">
        <f t="shared" si="739"/>
        <v>0</v>
      </c>
      <c r="I266" s="711">
        <f>MAX(Sheet1!Z266-AJ266+(Sheet1!CW266-E266)*CFStoMGD,0)</f>
        <v>0</v>
      </c>
      <c r="J266" s="720">
        <f>IF(AND(B266&gt;=Calculation!FS266,B266&lt;=Calculation!FT266),IF(Sheet1!CX266&gt;=Calculation!D266,64.64,0),MAX(Sheet1!Z266-AJ266+(Sheet1!CX266-D266)*CFStoMGD,0))</f>
        <v>9.0323429274292657</v>
      </c>
      <c r="K266" s="697">
        <f t="shared" si="740"/>
        <v>0</v>
      </c>
      <c r="L266" s="712">
        <f>Sheet1!AA266+Sheet1!AB266-Sheet1!L266+(Sheet1!CW266-F266)*CFStoMGD</f>
        <v>117.13499999999476</v>
      </c>
      <c r="M266" s="712">
        <f t="shared" si="741"/>
        <v>99.519003231398386</v>
      </c>
      <c r="N266" s="712">
        <f>IF(Sheet1!CW266&gt;=F266,MIN(73,MIN(MAX(L266,0),MAX(M266,0))),0)</f>
        <v>73</v>
      </c>
      <c r="O266" s="721">
        <f>Sheet1!AA266+Sheet1!AB266</f>
        <v>79.259999999994761</v>
      </c>
      <c r="P266" s="721">
        <f t="shared" si="742"/>
        <v>122.61521999999189</v>
      </c>
      <c r="Q266" s="712">
        <f>MIN(N266,Sheet1!AA266+AG266)</f>
        <v>62.050590405898824</v>
      </c>
      <c r="R266" s="712">
        <f t="shared" si="743"/>
        <v>17</v>
      </c>
      <c r="S266" s="721">
        <f>Sheet1!Y266*MGDtoCFS</f>
        <v>71.796269999999993</v>
      </c>
      <c r="T266" s="721">
        <f>Sheet1!Z266*MGDtoCFS</f>
        <v>46.023249999999997</v>
      </c>
      <c r="U266" s="721">
        <f>Sheet1!AA266*MGDtoCFS</f>
        <v>72.33771999999189</v>
      </c>
      <c r="V266" s="721">
        <f>Sheet1!AB266*MGDtoCFS</f>
        <v>50.277499999999996</v>
      </c>
      <c r="W266" s="721">
        <f>Sheet1!L266*MGDtoCFS</f>
        <v>0</v>
      </c>
      <c r="X266" s="697">
        <f t="shared" si="744"/>
        <v>17.230627306273064</v>
      </c>
      <c r="Y266" s="712">
        <f t="shared" si="745"/>
        <v>26.655780442804428</v>
      </c>
      <c r="Z266" s="712">
        <f t="shared" si="746"/>
        <v>0</v>
      </c>
      <c r="AA266" s="712">
        <f t="shared" si="747"/>
        <v>0</v>
      </c>
      <c r="AB266" s="712">
        <f>(VLOOKUP(Sheet1!CY266,hhdcap_wcm,4)-(((VLOOKUP(Sheet1!CY266,hhdcap_wcm,3)-Sheet1!CY266)/(VLOOKUP(Sheet1!CY266,hhdcap_wcm,3)-VLOOKUP(Sheet1!CY266,hhdcap_wcm,1)))*(VLOOKUP(Sheet1!CY266,hhdcap_wcm,4)-VLOOKUP(Sheet1!CY266,hhdcap_wcm,2))))</f>
        <v>33395.55000008233</v>
      </c>
      <c r="AC266" s="712">
        <f t="shared" si="748"/>
        <v>-303.2700000002078</v>
      </c>
      <c r="AD266" s="712">
        <f t="shared" si="749"/>
        <v>1948.6267688346345</v>
      </c>
      <c r="AE266" s="712">
        <f t="shared" si="750"/>
        <v>5978.3869267846585</v>
      </c>
      <c r="AF266" s="712">
        <f>Sheet1!BA266+Sheet1!BB266+Sheet1!BN266+BT266</f>
        <v>15.3</v>
      </c>
      <c r="AG266" s="712">
        <f t="shared" si="751"/>
        <v>15.290590405904062</v>
      </c>
      <c r="AH266" s="712">
        <f>Sheet1!BA266+BT266</f>
        <v>0</v>
      </c>
      <c r="AI266" s="712">
        <f>Sheet1!BA266+Sheet1!BB266+BT266</f>
        <v>0</v>
      </c>
      <c r="AJ266" s="712">
        <f>IF((Sheet1!AA266+AG266+AX266+AZ266+BQ266+BS266+CL266+CN266)&lt;=N266,AG266+AX266+AZ266+BQ266+BS266+CL266+CN266,N266-Sheet1!AA266)</f>
        <v>15.290590405904062</v>
      </c>
      <c r="AK266" s="851">
        <f>IF(DR266&lt;K266,0,MAX(Sheet1!AA266+AG266-15/36*K266-N266,Sheet1!ED266,0))</f>
        <v>0</v>
      </c>
      <c r="AL266" s="712">
        <f>IF(OR(B266&gt;=FT266,B266&lt;FS266),0,15/36*K266-MAX(0,64.6-(137.6-(Sheet1!AA266+Sheet1!AB266))))</f>
        <v>0</v>
      </c>
      <c r="AM266" s="712">
        <f>Sheet1!CX266-110</f>
        <v>81.604166666666657</v>
      </c>
      <c r="AN266" s="712">
        <f>Sheet1!CW266-265</f>
        <v>43.59375</v>
      </c>
      <c r="AO266" s="712">
        <f t="shared" si="733"/>
        <v>10.949409594101176</v>
      </c>
      <c r="AP266" s="851">
        <v>0</v>
      </c>
      <c r="AQ266" s="712">
        <f t="shared" si="753"/>
        <v>0</v>
      </c>
      <c r="AR266" s="712">
        <f t="shared" si="821"/>
        <v>836.50517166449356</v>
      </c>
      <c r="AS266" s="712"/>
      <c r="AT266" s="712">
        <f ca="1">IF(B266&gt;Summary!$A$1,#N/A,AR266*MGtoAF)</f>
        <v>2566.3978666666662</v>
      </c>
      <c r="AU266" s="712">
        <f>Sheet1!BG266+Sheet1!BH266+Sheet1!BI266-BC266</f>
        <v>1.98</v>
      </c>
      <c r="AV266" s="712">
        <f t="shared" si="755"/>
        <v>1.9787822878228785</v>
      </c>
      <c r="AW266" s="712">
        <f>IF(Sheet1!EL266="FM",BC266,0)</f>
        <v>0</v>
      </c>
      <c r="AX266" s="712">
        <f t="shared" si="756"/>
        <v>0</v>
      </c>
      <c r="AY266" s="712">
        <f>IF(Sheet1!EL266="OTHER",BC266,0)</f>
        <v>0</v>
      </c>
      <c r="AZ266" s="712">
        <f t="shared" si="757"/>
        <v>0</v>
      </c>
      <c r="BA266" s="712">
        <f t="shared" si="758"/>
        <v>1.98</v>
      </c>
      <c r="BB266" s="712">
        <f t="shared" si="759"/>
        <v>1.9787822878228785</v>
      </c>
      <c r="BC266" s="712">
        <f>IF(OR(Sheet1!EL266="FM", Sheet1!EL266="OTHER"),SUM(Sheet1!BG266:'Sheet1'!BI266),0)</f>
        <v>0</v>
      </c>
      <c r="BD266" s="697">
        <f>IF(AND($B266&gt;=$FL266,$B266&lt;=$FM266),MAX(AV266,Sheet1!EE266,0),MAX(AV266-(7/36)*$K266,0))</f>
        <v>2</v>
      </c>
      <c r="BE266" s="712">
        <f t="shared" si="760"/>
        <v>0</v>
      </c>
      <c r="BF266" s="697">
        <f t="shared" si="761"/>
        <v>0</v>
      </c>
      <c r="BG266" s="697">
        <f>IF(AND($O266&gt;0,Sheet1!EI266=1),(1-($O266-Sheet1!$L266)/$O266)*BB266,0)</f>
        <v>0</v>
      </c>
      <c r="BH266" s="697">
        <f>IF(AND(Sheet1!$L266=0,Sheet1!$L265=0, Calculation!BA266&lt;Sheet1!$EE266-0.1,Sheet1!$EE266=Sheet1!$EE265,Sheet1!$EE266=Sheet1!$EE267),Sheet1!$EE266,BB266-BG266)</f>
        <v>1.9787822878228785</v>
      </c>
      <c r="BI266" s="712"/>
      <c r="BJ266" s="712"/>
      <c r="BK266" s="712">
        <f t="shared" si="762"/>
        <v>540.6510993347855</v>
      </c>
      <c r="BL266" s="712"/>
      <c r="BM266" s="712">
        <f ca="1">IF(B266&gt;Summary!$A$1,#N/A,BK266*MGtoAF)</f>
        <v>1658.717572759122</v>
      </c>
      <c r="BN266" s="712">
        <f>Sheet1!BC266+Sheet1!BD266+Sheet1!BE266+Sheet1!BF266-BW266-BX266</f>
        <v>5.0600000000000005</v>
      </c>
      <c r="BO266" s="712">
        <f t="shared" si="763"/>
        <v>5.0568880688806903</v>
      </c>
      <c r="BP266" s="712">
        <f>IF(Sheet1!EM266="FM",BX266,0)</f>
        <v>0</v>
      </c>
      <c r="BQ266" s="712">
        <f t="shared" si="764"/>
        <v>0</v>
      </c>
      <c r="BR266" s="712">
        <f>IF(Sheet1!EM266="OTHER",BX266,0)</f>
        <v>0</v>
      </c>
      <c r="BS266" s="712">
        <f t="shared" si="765"/>
        <v>0</v>
      </c>
      <c r="BT266" s="712">
        <f t="shared" si="766"/>
        <v>0</v>
      </c>
      <c r="BU266" s="712">
        <f t="shared" si="767"/>
        <v>5.0600000000000005</v>
      </c>
      <c r="BV266" s="712">
        <f t="shared" si="768"/>
        <v>5.0568880688806903</v>
      </c>
      <c r="BW266" s="712">
        <f>IF(Sheet1!EM266="CWA",SUM(Sheet1!BC266:'Sheet1'!BF266),0)</f>
        <v>0</v>
      </c>
      <c r="BX266" s="712">
        <f>IF(OR(Sheet1!EM266="FM", Sheet1!EM266="OTHER"),SUM(Sheet1!BC266:'Sheet1'!BF266),0)</f>
        <v>0</v>
      </c>
      <c r="BY266" s="697">
        <f>IF(AND($B266&gt;=$FL266,$B266&lt;=$FM266),MAX(BV266,Sheet1!EF266,0),MAX(BV266-(7/36)*$K266,0))</f>
        <v>5.0568880688806903</v>
      </c>
      <c r="BZ266" s="712">
        <f t="shared" si="769"/>
        <v>0</v>
      </c>
      <c r="CA266" s="697">
        <f t="shared" si="770"/>
        <v>0</v>
      </c>
      <c r="CB266" s="697">
        <f>IF(AND($O266&gt;0,Sheet1!EJ266=1),(1-($O266-Sheet1!$L266)/$O266)*BV266,0)</f>
        <v>0</v>
      </c>
      <c r="CC266" s="697">
        <f>IF(AND(Sheet1!$L266=0,Sheet1!$L265=0, Calculation!BU266&lt;Sheet1!EF266-0.1,Sheet1!EF266=Sheet1!EF265,Sheet1!EF266=Sheet1!EF267),Sheet1!EF266,BV266-CB266)</f>
        <v>5.0568880688806903</v>
      </c>
      <c r="CD266" s="697"/>
      <c r="CE266" s="712"/>
      <c r="CF266" s="712">
        <f t="shared" si="771"/>
        <v>419.41720887311402</v>
      </c>
      <c r="CG266" s="712"/>
      <c r="CH266" s="712">
        <f ca="1">IF(B266&gt;Summary!$A$1,#N/A,CF266*MGtoAF)</f>
        <v>1286.7719968227138</v>
      </c>
      <c r="CI266" s="712">
        <f>Sheet1!BK266+Sheet1!BL266+Sheet1!BM266-Sheet1!EN266-CQ266</f>
        <v>10.18</v>
      </c>
      <c r="CJ266" s="712">
        <f t="shared" si="772"/>
        <v>10.173739237392375</v>
      </c>
      <c r="CK266" s="712">
        <f>IF(Sheet1!EN266="FM",CQ266,0)</f>
        <v>0</v>
      </c>
      <c r="CL266" s="712">
        <f t="shared" si="773"/>
        <v>0</v>
      </c>
      <c r="CM266" s="712">
        <f>IF(Sheet1!EN266="OTHER",CQ266,0)</f>
        <v>0</v>
      </c>
      <c r="CN266" s="712">
        <f t="shared" si="774"/>
        <v>0</v>
      </c>
      <c r="CO266" s="712">
        <f t="shared" si="775"/>
        <v>10.18</v>
      </c>
      <c r="CP266" s="712">
        <f t="shared" si="776"/>
        <v>10.173739237392375</v>
      </c>
      <c r="CQ266" s="712">
        <f>IF(OR(Sheet1!EN266="FM", Sheet1!EN266="OTHER"),SUM(Sheet1!BK266:'Sheet1'!BM266),0)</f>
        <v>0</v>
      </c>
      <c r="CR266" s="697">
        <f>IF(AND($B266&gt;=$FL266,$B266&lt;=$FM266),MAX($CJ266,Sheet1!EG266,0),MAX($CJ266-(7/36)*$K266,0))</f>
        <v>10.173739237392375</v>
      </c>
      <c r="CS266" s="712">
        <f t="shared" si="777"/>
        <v>0</v>
      </c>
      <c r="CT266" s="697">
        <f t="shared" si="778"/>
        <v>0</v>
      </c>
      <c r="CU266" s="697">
        <f>IF(AND($O266&gt;0,Sheet1!EK266=1),(1-($O266-Sheet1!$L266)/$O266)*CP266,0)</f>
        <v>0</v>
      </c>
      <c r="CV266" s="697">
        <f>IF(AND(Sheet1!$L266=0,Sheet1!$L265=0, Calculation!CO266&lt;Sheet1!$EG266-0.1,Sheet1!$EG266=Sheet1!$EG265,Sheet1!$EG266=Sheet1!$EG267),Sheet1!$EG266,CP266-CU266)</f>
        <v>10.173739237392375</v>
      </c>
      <c r="CW266" s="697">
        <f t="shared" si="823"/>
        <v>0</v>
      </c>
      <c r="CX266" s="712">
        <f t="shared" si="779"/>
        <v>17.22</v>
      </c>
      <c r="CY266" s="712">
        <f t="shared" si="780"/>
        <v>152.05328896224137</v>
      </c>
      <c r="CZ266" s="712">
        <f t="shared" si="781"/>
        <v>17.209409594095945</v>
      </c>
      <c r="DA266" s="712">
        <f ca="1">IF(B266&gt;Summary!$A$1,#N/A,CY266*MGtoAF)</f>
        <v>466.49949053615654</v>
      </c>
      <c r="DB266" s="712">
        <f t="shared" si="782"/>
        <v>17.22</v>
      </c>
      <c r="DC266" s="712">
        <f t="shared" si="783"/>
        <v>32.519999999999996</v>
      </c>
      <c r="DD266" s="712">
        <f>Sheet1!AB266-DC266</f>
        <v>-1.9999999999996021E-2</v>
      </c>
      <c r="DE266" s="712">
        <f t="shared" si="784"/>
        <v>-6.1500615006137834E-4</v>
      </c>
      <c r="DF266" s="712">
        <f>(VLOOKUP(Sheet1!CY266,hhdcap_wcm,4)-(((VLOOKUP(Sheet1!CY266,hhdcap_wcm,3)-Sheet1!CY266)/(VLOOKUP(Sheet1!CY266,hhdcap_wcm,3)-VLOOKUP(Sheet1!CY266,hhdcap_wcm,1)))*(VLOOKUP(Sheet1!CY266,hhdcap_wcm,4)-VLOOKUP(Sheet1!CY266,hhdcap_wcm,2))))</f>
        <v>33395.55000008233</v>
      </c>
      <c r="DG266" s="712">
        <f t="shared" si="785"/>
        <v>-303.2700000002078</v>
      </c>
      <c r="DH266" s="712">
        <f t="shared" si="786"/>
        <v>-152.93494705002914</v>
      </c>
      <c r="DI266" s="712">
        <f>Sheet1!DW266*AFtoMG</f>
        <v>0</v>
      </c>
      <c r="DJ266" s="712">
        <f>Sheet1!DX266*AFtoMG</f>
        <v>0</v>
      </c>
      <c r="DK266" s="712">
        <f>Sheet1!DY266*AFtoMG</f>
        <v>0</v>
      </c>
      <c r="DL266" s="712">
        <f>Sheet1!DZ266*AFtoMG</f>
        <v>0</v>
      </c>
      <c r="DM266" s="712">
        <f t="shared" si="787"/>
        <v>0</v>
      </c>
      <c r="DN266" s="712">
        <f t="shared" si="788"/>
        <v>0</v>
      </c>
      <c r="DO266" s="712">
        <f t="shared" si="789"/>
        <v>1948.6267688346345</v>
      </c>
      <c r="DP266" s="712">
        <f t="shared" si="790"/>
        <v>5978.3869267846585</v>
      </c>
      <c r="DQ266" s="712"/>
      <c r="DR266" s="697">
        <f>IF(OR(B266&lt;FL266,B266&gt;FM266),(MIN(AV266+BO266+CJ266+MAX(Sheet1!AA266+AG266-73,0),K266)),0)</f>
        <v>0</v>
      </c>
      <c r="DS266" s="712"/>
      <c r="DT266" s="712">
        <f t="shared" si="791"/>
        <v>17.209409594095945</v>
      </c>
      <c r="DU266" s="712"/>
      <c r="DV266" s="712">
        <f>Sheet1!ED266+Sheet1!EE266+Sheet1!EF266+Sheet1!EG266</f>
        <v>17</v>
      </c>
      <c r="DW266" s="712"/>
      <c r="DX266" s="697">
        <f t="shared" si="792"/>
        <v>0</v>
      </c>
      <c r="DY266" s="712">
        <f>IF(Sheet1!FN266=1,SUM('Calculations II'!AT266:BA266)+'Calculations II'!BC266+Sheet1!BU266+'Calculations II'!BE266+AF266,SUM('Calculations II'!AT266:BA266)+'Calculations II'!BC266+Sheet1!BU266+'Calculations II'!BE266+AF266)</f>
        <v>69.806864000000004</v>
      </c>
      <c r="DZ266" s="712">
        <f>Sheet1!AA266+Sheet1!AB266+'Calculations II'!BC266</f>
        <v>79.259999999994761</v>
      </c>
      <c r="EA266" s="712"/>
      <c r="EB266" s="712"/>
      <c r="EC266" s="712">
        <f t="shared" si="793"/>
        <v>40795</v>
      </c>
      <c r="ED266" s="712">
        <f t="shared" si="794"/>
        <v>-17.230627306273064</v>
      </c>
      <c r="EE266" s="712">
        <f t="shared" si="795"/>
        <v>-26.655780442804428</v>
      </c>
      <c r="EF266" s="712">
        <f ca="1">IF(B266=TODAY(),0,-(VLOOKUP(Sheet1!BQ266,Lookup!$B$4:$J$236,2)-VLOOKUP(Sheet1!BQ265,Lookup!$B$4:$J$236,2))/1000000)</f>
        <v>-2.4811999999999999</v>
      </c>
      <c r="EG266" s="712">
        <f ca="1">IF(B266=TODAY(),0,-(VLOOKUP(Sheet1!BR266,Lookup!$B$4:$J$236,3)-VLOOKUP(Sheet1!BR265,Lookup!$B$4:$J$236,3))/1000000)</f>
        <v>-2.7509999999999999</v>
      </c>
      <c r="EH266" s="712">
        <f>-(VLOOKUP(Sheet1!BS266,Lookup!$B$4:$J$236,4)-VLOOKUP(Sheet1!BS265,Lookup!$B$4:$J$236,4))/1000000</f>
        <v>0</v>
      </c>
      <c r="EI266" s="697">
        <f t="shared" ca="1" si="819"/>
        <v>-5.2321999999999997</v>
      </c>
      <c r="EJ266" s="712"/>
      <c r="EK266" s="712"/>
      <c r="EL266" s="712"/>
      <c r="EM266" s="712"/>
      <c r="EN266" s="712"/>
      <c r="EO266" s="712"/>
      <c r="EP266" s="712"/>
      <c r="EQ266" s="712"/>
      <c r="ET266" s="794">
        <f t="shared" si="818"/>
        <v>1128.3</v>
      </c>
      <c r="EU266" s="697">
        <f>EU265-EY266</f>
        <v>10385</v>
      </c>
      <c r="EV266" s="795">
        <f t="shared" si="734"/>
        <v>15812.16307329767</v>
      </c>
      <c r="EW266" s="796" t="s">
        <v>757</v>
      </c>
      <c r="EX266" s="796" t="s">
        <v>757</v>
      </c>
      <c r="EY266" s="712">
        <f t="shared" si="817"/>
        <v>0</v>
      </c>
      <c r="EZ266" s="798">
        <v>17031.000000037395</v>
      </c>
      <c r="FA266" s="712"/>
      <c r="FB266" s="712"/>
      <c r="FC266" s="712"/>
      <c r="FD266" s="712"/>
      <c r="FE266" s="712">
        <f>O266+Sheet1!CO266</f>
        <v>79.259999999994761</v>
      </c>
      <c r="FF266" s="712">
        <f>IF(Sheet1!AA266+AG266&lt;=Calculation!N266,AG266,Calculation!N266-Sheet1!AA266)</f>
        <v>15.290590405904062</v>
      </c>
      <c r="FG266" s="712">
        <f>(Sheet1!BP266+Sheet1!BO266)/694.4</f>
        <v>4.6401209677419359</v>
      </c>
      <c r="FH266" s="712"/>
      <c r="FI266" s="712"/>
      <c r="FJ266" s="712"/>
      <c r="FK266" s="712"/>
      <c r="FL266" s="714">
        <f t="shared" ref="FL266:FL329" si="827">$FL$8</f>
        <v>40753</v>
      </c>
      <c r="FM266" s="714">
        <f t="shared" ref="FM266:FM329" si="828">$FM$8</f>
        <v>40851</v>
      </c>
      <c r="FN266" s="712"/>
      <c r="FO266" s="712"/>
      <c r="FP266" s="712"/>
      <c r="FQ266" s="712"/>
      <c r="FR266" s="712"/>
      <c r="FS266" s="725">
        <f t="shared" ref="FS266:FX281" si="829">FS265</f>
        <v>40603</v>
      </c>
      <c r="FT266" s="714">
        <f t="shared" ref="FT266:FT329" si="830">$FT$8</f>
        <v>40709</v>
      </c>
      <c r="FU266" s="712">
        <f t="shared" si="829"/>
        <v>6518.9048239895692</v>
      </c>
      <c r="FV266" s="714">
        <f t="shared" ref="FV266:FV329" si="831">$FV$8</f>
        <v>40722</v>
      </c>
      <c r="FW266" s="712">
        <f t="shared" si="829"/>
        <v>3259.4524119947846</v>
      </c>
      <c r="FX266" s="725">
        <f t="shared" si="829"/>
        <v>40851</v>
      </c>
      <c r="FZ266" s="697">
        <f t="shared" si="824"/>
        <v>0</v>
      </c>
      <c r="GA266" s="712" t="str">
        <f t="shared" si="797"/>
        <v/>
      </c>
      <c r="GB266" s="712">
        <f t="shared" si="798"/>
        <v>0</v>
      </c>
      <c r="GC266" s="712" t="str">
        <f t="shared" si="799"/>
        <v/>
      </c>
      <c r="GD266" s="712">
        <f>IF(GA266="P",Lookup!$M$12,IF(GA266="PP",Lookup!$M$13,IF(GA266="PPP",Lookup!$M$14,IF(GA266="T",Lookup!$M$15,IF(GA266="TP",Lookup!$M$16,IF(GA266="TPP",Lookup!$M$17,IF(GA266="TPPP",Lookup!$M$18,0)))))))*FZ266</f>
        <v>0</v>
      </c>
      <c r="GE266" s="712">
        <f t="shared" si="800"/>
        <v>0</v>
      </c>
      <c r="GF266" s="712">
        <f t="shared" si="801"/>
        <v>2566.3978666666662</v>
      </c>
      <c r="GG266" s="712">
        <f t="shared" si="802"/>
        <v>836.50517166449356</v>
      </c>
      <c r="GH266" s="712"/>
      <c r="GI266" s="712">
        <f t="shared" si="803"/>
        <v>0</v>
      </c>
      <c r="GJ266" s="712" t="str">
        <f t="shared" si="804"/>
        <v/>
      </c>
      <c r="GK266" s="712">
        <f>IF(GA266="P",Lookup!$N$12,IF(GA266="PP",Lookup!$N$13,IF(GA266="PPP",Lookup!$N$14,IF(GA266="T",Lookup!$N$15,IF(GA266="TP",Lookup!$N$16,IF(GA266="TPP",Lookup!$N$17,IF(GA266="TPPP",Lookup!$N$18,0)))))))*FZ266</f>
        <v>0</v>
      </c>
      <c r="GL266" s="712">
        <f t="shared" si="805"/>
        <v>0</v>
      </c>
      <c r="GM266" s="712">
        <f t="shared" si="806"/>
        <v>1658.717572759122</v>
      </c>
      <c r="GN266" s="712">
        <f t="shared" si="807"/>
        <v>540.6510993347855</v>
      </c>
      <c r="GO266" s="712"/>
      <c r="GP266" s="712">
        <f t="shared" si="808"/>
        <v>0</v>
      </c>
      <c r="GQ266" s="712" t="str">
        <f t="shared" si="809"/>
        <v/>
      </c>
      <c r="GR266" s="712">
        <f>IF(GA266="P",Lookup!$N$12,IF(GA266="PP",Lookup!$N$13,IF(GA266="PPP",Lookup!$N$14,IF(GA266="T",Lookup!$N$15,IF(GA266="TP",Lookup!$N$16,IF(GA266="TPP",Lookup!$N$17,IF(GA266="TPPP",Lookup!$N$18,0)))))))*FZ266</f>
        <v>0</v>
      </c>
      <c r="GS266" s="697">
        <f t="shared" si="825"/>
        <v>0</v>
      </c>
      <c r="GT266" s="712">
        <f t="shared" si="810"/>
        <v>1286.7719968227138</v>
      </c>
      <c r="GU266" s="712">
        <f t="shared" si="811"/>
        <v>419.41720887311402</v>
      </c>
      <c r="GV266" s="712"/>
      <c r="GW266" s="712">
        <f t="shared" si="812"/>
        <v>0</v>
      </c>
      <c r="GX266" s="712" t="str">
        <f t="shared" si="813"/>
        <v/>
      </c>
      <c r="GY266" s="712">
        <f>IF(GA266="P",Lookup!$N$12,IF(GA266="PP",Lookup!$N$13,IF(GA266="PPP",Lookup!$N$14,IF(GA266="T",Lookup!$N$15,IF(GA266="TP",Lookup!$N$16,IF(GA266="TPP",Lookup!$N$17,IF(GA266="TPPP",Lookup!$N$18,0)))))))*FZ266</f>
        <v>0</v>
      </c>
      <c r="GZ266" s="697">
        <f t="shared" si="826"/>
        <v>0</v>
      </c>
      <c r="HA266" s="712">
        <f t="shared" si="814"/>
        <v>466.49949053615654</v>
      </c>
      <c r="HB266" s="712">
        <f t="shared" si="815"/>
        <v>152.05328896224137</v>
      </c>
      <c r="HC266" s="712"/>
    </row>
    <row r="267" spans="1:211">
      <c r="A267" s="773" t="s">
        <v>9</v>
      </c>
      <c r="B267" s="708">
        <v>40796</v>
      </c>
      <c r="C267" s="709">
        <v>0.5</v>
      </c>
      <c r="D267" s="675">
        <f t="shared" si="737"/>
        <v>200</v>
      </c>
      <c r="E267" s="675">
        <f t="shared" si="738"/>
        <v>400</v>
      </c>
      <c r="F267" s="675">
        <v>250</v>
      </c>
      <c r="G267" s="712">
        <f>DH267+Sheet1!CV267</f>
        <v>140.67126828017339</v>
      </c>
      <c r="H267" s="712">
        <f t="shared" si="739"/>
        <v>0</v>
      </c>
      <c r="I267" s="711">
        <f>MAX(Sheet1!Z267-AJ267+(Sheet1!CW267-E267)*CFStoMGD,0)</f>
        <v>0</v>
      </c>
      <c r="J267" s="720">
        <f>IF(AND(B267&gt;=Calculation!FS267,B267&lt;=Calculation!FT267),IF(Sheet1!CX267&gt;=Calculation!D267,64.64,0),MAX(Sheet1!Z267-AJ267+(Sheet1!CX267-D267)*CFStoMGD,0))</f>
        <v>7.5663750714694196</v>
      </c>
      <c r="K267" s="697">
        <f t="shared" si="740"/>
        <v>0</v>
      </c>
      <c r="L267" s="712">
        <f>Sheet1!AA267+Sheet1!AB267-Sheet1!L267+(Sheet1!CW267-F267)*CFStoMGD</f>
        <v>115.14260000000291</v>
      </c>
      <c r="M267" s="712">
        <f t="shared" si="741"/>
        <v>92.74850597263017</v>
      </c>
      <c r="N267" s="712">
        <f>IF(Sheet1!CW267&gt;=F267,MIN(73,MIN(MAX(L267,0),MAX(M267,0))),0)</f>
        <v>73</v>
      </c>
      <c r="O267" s="721">
        <f>Sheet1!AA267+Sheet1!AB267</f>
        <v>81.55000000000291</v>
      </c>
      <c r="P267" s="721">
        <f t="shared" si="742"/>
        <v>126.1578500000045</v>
      </c>
      <c r="Q267" s="712">
        <f>MIN(N267,Sheet1!AA267+AG267)</f>
        <v>64.560291595200169</v>
      </c>
      <c r="R267" s="712">
        <f t="shared" si="743"/>
        <v>17</v>
      </c>
      <c r="S267" s="721">
        <f>Sheet1!Y267*MGDtoCFS</f>
        <v>72.167549999999991</v>
      </c>
      <c r="T267" s="721">
        <f>Sheet1!Z267*MGDtoCFS</f>
        <v>53.108509999999995</v>
      </c>
      <c r="U267" s="721">
        <f>Sheet1!AA267*MGDtoCFS</f>
        <v>72.012850000004505</v>
      </c>
      <c r="V267" s="721">
        <f>Sheet1!AB267*MGDtoCFS</f>
        <v>54.144999999999996</v>
      </c>
      <c r="W267" s="721">
        <f>Sheet1!L267*MGDtoCFS</f>
        <v>0</v>
      </c>
      <c r="X267" s="697">
        <f t="shared" si="744"/>
        <v>17.048599199542593</v>
      </c>
      <c r="Y267" s="712">
        <f t="shared" si="745"/>
        <v>26.374182961692391</v>
      </c>
      <c r="Z267" s="712">
        <f t="shared" si="746"/>
        <v>0</v>
      </c>
      <c r="AA267" s="712">
        <f t="shared" si="747"/>
        <v>0</v>
      </c>
      <c r="AB267" s="712">
        <f>(VLOOKUP(Sheet1!CY267,hhdcap_wcm,4)-(((VLOOKUP(Sheet1!CY267,hhdcap_wcm,3)-Sheet1!CY267)/(VLOOKUP(Sheet1!CY267,hhdcap_wcm,3)-VLOOKUP(Sheet1!CY267,hhdcap_wcm,1)))*(VLOOKUP(Sheet1!CY267,hhdcap_wcm,4)-VLOOKUP(Sheet1!CY267,hhdcap_wcm,2))))</f>
        <v>33073.900000081914</v>
      </c>
      <c r="AC267" s="712">
        <f t="shared" si="748"/>
        <v>-321.65000000041618</v>
      </c>
      <c r="AD267" s="712">
        <f t="shared" si="749"/>
        <v>1931.5781696350916</v>
      </c>
      <c r="AE267" s="712">
        <f t="shared" si="750"/>
        <v>5926.0818244404609</v>
      </c>
      <c r="AF267" s="712">
        <f>Sheet1!BA267+Sheet1!BB267+Sheet1!BN267+BT267</f>
        <v>18</v>
      </c>
      <c r="AG267" s="712">
        <f t="shared" si="751"/>
        <v>18.010291595197252</v>
      </c>
      <c r="AH267" s="712">
        <f>Sheet1!BA267+BT267</f>
        <v>0</v>
      </c>
      <c r="AI267" s="712">
        <f>Sheet1!BA267+Sheet1!BB267+BT267</f>
        <v>0</v>
      </c>
      <c r="AJ267" s="712">
        <f>IF((Sheet1!AA267+AG267+AX267+AZ267+BQ267+BS267+CL267+CN267)&lt;=N267,AG267+AX267+AZ267+BQ267+BS267+CL267+CN267,N267-Sheet1!AA267)</f>
        <v>18.010291595197252</v>
      </c>
      <c r="AK267" s="712">
        <f>IF(DR267&lt;K267,0,MAX(Sheet1!AA267+AG267-15/36*K267-N267,Sheet1!ED267,0))</f>
        <v>0</v>
      </c>
      <c r="AL267" s="712">
        <f>IF(OR(B267&gt;=FT267,B267&lt;FS267),0,15/36*K267-MAX(0,64.6-(137.6-(Sheet1!AA267+Sheet1!AB267))))</f>
        <v>0</v>
      </c>
      <c r="AM267" s="712">
        <f>Sheet1!CX267-110</f>
        <v>76.458333333333343</v>
      </c>
      <c r="AN267" s="712">
        <f>Sheet1!CW267-265</f>
        <v>36.96875</v>
      </c>
      <c r="AO267" s="712">
        <f t="shared" si="733"/>
        <v>8.4397084047998305</v>
      </c>
      <c r="AP267" s="851">
        <v>0</v>
      </c>
      <c r="AQ267" s="712">
        <f t="shared" si="753"/>
        <v>0</v>
      </c>
      <c r="AR267" s="712">
        <f t="shared" si="821"/>
        <v>836.50517166449356</v>
      </c>
      <c r="AS267" s="712"/>
      <c r="AT267" s="712">
        <f ca="1">IF(B267&gt;Summary!$A$1,#N/A,AR267*MGtoAF)</f>
        <v>2566.3978666666662</v>
      </c>
      <c r="AU267" s="712">
        <f>Sheet1!BG267+Sheet1!BH267+Sheet1!BI267-BC267</f>
        <v>1.94</v>
      </c>
      <c r="AV267" s="712">
        <f t="shared" si="755"/>
        <v>1.9411092052601484</v>
      </c>
      <c r="AW267" s="712">
        <f>IF(Sheet1!EL267="FM",BC267,0)</f>
        <v>0</v>
      </c>
      <c r="AX267" s="712">
        <f t="shared" si="756"/>
        <v>0</v>
      </c>
      <c r="AY267" s="712">
        <f>IF(Sheet1!EL267="OTHER",BC267,0)</f>
        <v>0</v>
      </c>
      <c r="AZ267" s="712">
        <f t="shared" si="757"/>
        <v>0</v>
      </c>
      <c r="BA267" s="712">
        <f t="shared" si="758"/>
        <v>1.94</v>
      </c>
      <c r="BB267" s="712">
        <f t="shared" si="759"/>
        <v>1.9411092052601484</v>
      </c>
      <c r="BC267" s="712">
        <f>IF(OR(Sheet1!EL267="FM", Sheet1!EL267="OTHER"),SUM(Sheet1!BG267:'Sheet1'!BI267),0)</f>
        <v>0</v>
      </c>
      <c r="BD267" s="697">
        <f>IF(AND($B267&gt;=$FL267,$B267&lt;=$FM267),MAX(AV267,Sheet1!EE267,0),MAX(AV267-(7/36)*$K267,0))</f>
        <v>2</v>
      </c>
      <c r="BE267" s="712">
        <f t="shared" si="760"/>
        <v>0</v>
      </c>
      <c r="BF267" s="697">
        <f t="shared" si="761"/>
        <v>0</v>
      </c>
      <c r="BG267" s="697">
        <f>IF(AND($O267&gt;0,Sheet1!EI267=1),(1-($O267-Sheet1!$L267)/$O267)*BB267,0)</f>
        <v>0</v>
      </c>
      <c r="BH267" s="697">
        <f>IF(AND(Sheet1!$L267=0,Sheet1!$L266=0, Calculation!BA267&lt;Sheet1!$EE267-0.1,Sheet1!$EE267=Sheet1!$EE266,Sheet1!$EE267=Sheet1!$EE268),Sheet1!$EE267,BB267-BG267)</f>
        <v>1.9411092052601484</v>
      </c>
      <c r="BI267" s="712"/>
      <c r="BJ267" s="712"/>
      <c r="BK267" s="712">
        <f t="shared" si="762"/>
        <v>538.6510993347855</v>
      </c>
      <c r="BL267" s="712"/>
      <c r="BM267" s="712">
        <f ca="1">IF(B267&gt;Summary!$A$1,#N/A,BK267*MGtoAF)</f>
        <v>1652.5815727591219</v>
      </c>
      <c r="BN267" s="712">
        <f>Sheet1!BC267+Sheet1!BD267+Sheet1!BE267+Sheet1!BF267-BW267-BX267</f>
        <v>5</v>
      </c>
      <c r="BO267" s="712">
        <f t="shared" si="763"/>
        <v>5.0028587764436816</v>
      </c>
      <c r="BP267" s="712">
        <f>IF(Sheet1!EM267="FM",BX267,0)</f>
        <v>0</v>
      </c>
      <c r="BQ267" s="712">
        <f t="shared" si="764"/>
        <v>0</v>
      </c>
      <c r="BR267" s="712">
        <f>IF(Sheet1!EM267="OTHER",BX267,0)</f>
        <v>0</v>
      </c>
      <c r="BS267" s="712">
        <f t="shared" si="765"/>
        <v>0</v>
      </c>
      <c r="BT267" s="712">
        <f t="shared" si="766"/>
        <v>0</v>
      </c>
      <c r="BU267" s="712">
        <f t="shared" si="767"/>
        <v>5</v>
      </c>
      <c r="BV267" s="712">
        <f t="shared" si="768"/>
        <v>5.0028587764436816</v>
      </c>
      <c r="BW267" s="712">
        <f>IF(Sheet1!EM267="CWA",SUM(Sheet1!BC267:'Sheet1'!BF267),0)</f>
        <v>0</v>
      </c>
      <c r="BX267" s="712">
        <f>IF(OR(Sheet1!EM267="FM", Sheet1!EM267="OTHER"),SUM(Sheet1!BC267:'Sheet1'!BF267),0)</f>
        <v>0</v>
      </c>
      <c r="BY267" s="697">
        <f>IF(AND($B267&gt;=$FL267,$B267&lt;=$FM267),MAX(BV267,Sheet1!EF267,0),MAX(BV267-(7/36)*$K267,0))</f>
        <v>5.0028587764436816</v>
      </c>
      <c r="BZ267" s="712">
        <f t="shared" si="769"/>
        <v>0</v>
      </c>
      <c r="CA267" s="697">
        <f t="shared" si="770"/>
        <v>0</v>
      </c>
      <c r="CB267" s="697">
        <f>IF(AND($O267&gt;0,Sheet1!EJ267=1),(1-($O267-Sheet1!$L267)/$O267)*BV267,0)</f>
        <v>0</v>
      </c>
      <c r="CC267" s="697">
        <f>IF(AND(Sheet1!$L267=0,Sheet1!$L266=0, Calculation!BU267&lt;Sheet1!EF267-0.1,Sheet1!EF267=Sheet1!EF266,Sheet1!EF267=Sheet1!EF268),Sheet1!EF267,BV267-CB267)</f>
        <v>5.0028587764436816</v>
      </c>
      <c r="CD267" s="697"/>
      <c r="CE267" s="712"/>
      <c r="CF267" s="712">
        <f t="shared" si="771"/>
        <v>414.41435009667032</v>
      </c>
      <c r="CG267" s="712"/>
      <c r="CH267" s="712">
        <f ca="1">IF(B267&gt;Summary!$A$1,#N/A,CF267*MGtoAF)</f>
        <v>1271.4232260965846</v>
      </c>
      <c r="CI267" s="712">
        <f>Sheet1!BK267+Sheet1!BL267+Sheet1!BM267-Sheet1!EN267-CQ267</f>
        <v>10.039999999999999</v>
      </c>
      <c r="CJ267" s="712">
        <f t="shared" si="772"/>
        <v>10.045740423098911</v>
      </c>
      <c r="CK267" s="712">
        <f>IF(Sheet1!EN267="FM",CQ267,0)</f>
        <v>0</v>
      </c>
      <c r="CL267" s="712">
        <f t="shared" si="773"/>
        <v>0</v>
      </c>
      <c r="CM267" s="712">
        <f>IF(Sheet1!EN267="OTHER",CQ267,0)</f>
        <v>0</v>
      </c>
      <c r="CN267" s="712">
        <f t="shared" si="774"/>
        <v>0</v>
      </c>
      <c r="CO267" s="712">
        <f t="shared" si="775"/>
        <v>10.039999999999999</v>
      </c>
      <c r="CP267" s="712">
        <f t="shared" si="776"/>
        <v>10.045740423098911</v>
      </c>
      <c r="CQ267" s="712">
        <f>IF(OR(Sheet1!EN267="FM", Sheet1!EN267="OTHER"),SUM(Sheet1!BK267:'Sheet1'!BM267),0)</f>
        <v>0</v>
      </c>
      <c r="CR267" s="697">
        <f>IF(AND($B267&gt;=$FL267,$B267&lt;=$FM267),MAX($CJ267,Sheet1!EG267,0),MAX($CJ267-(7/36)*$K267,0))</f>
        <v>10.045740423098911</v>
      </c>
      <c r="CS267" s="712">
        <f t="shared" si="777"/>
        <v>0</v>
      </c>
      <c r="CT267" s="697">
        <f t="shared" si="778"/>
        <v>0</v>
      </c>
      <c r="CU267" s="697">
        <f>IF(AND($O267&gt;0,Sheet1!EK267=1),(1-($O267-Sheet1!$L267)/$O267)*CP267,0)</f>
        <v>0</v>
      </c>
      <c r="CV267" s="697">
        <f>IF(AND(Sheet1!$L267=0,Sheet1!$L266=0, Calculation!CO267&lt;Sheet1!$EG267-0.1,Sheet1!$EG267=Sheet1!$EG266,Sheet1!$EG267=Sheet1!$EG268),Sheet1!$EG267,CP267-CU267)</f>
        <v>10.045740423098911</v>
      </c>
      <c r="CW267" s="697">
        <f t="shared" si="823"/>
        <v>0</v>
      </c>
      <c r="CX267" s="712">
        <f t="shared" si="779"/>
        <v>16.979999999999997</v>
      </c>
      <c r="CY267" s="712">
        <f t="shared" si="780"/>
        <v>142.00754853914245</v>
      </c>
      <c r="CZ267" s="712">
        <f t="shared" si="781"/>
        <v>16.989708404802741</v>
      </c>
      <c r="DA267" s="712">
        <f ca="1">IF(B267&gt;Summary!$A$1,#N/A,CY267*MGtoAF)</f>
        <v>435.67915891808906</v>
      </c>
      <c r="DB267" s="712">
        <f t="shared" si="782"/>
        <v>16.98</v>
      </c>
      <c r="DC267" s="712">
        <f t="shared" si="783"/>
        <v>34.980000000000004</v>
      </c>
      <c r="DD267" s="712">
        <f>Sheet1!AB267-DC267</f>
        <v>1.9999999999996021E-2</v>
      </c>
      <c r="DE267" s="712">
        <f t="shared" si="784"/>
        <v>5.7175528873630696E-4</v>
      </c>
      <c r="DF267" s="712">
        <f>(VLOOKUP(Sheet1!CY267,hhdcap_wcm,4)-(((VLOOKUP(Sheet1!CY267,hhdcap_wcm,3)-Sheet1!CY267)/(VLOOKUP(Sheet1!CY267,hhdcap_wcm,3)-VLOOKUP(Sheet1!CY267,hhdcap_wcm,1)))*(VLOOKUP(Sheet1!CY267,hhdcap_wcm,4)-VLOOKUP(Sheet1!CY267,hhdcap_wcm,2))))</f>
        <v>33073.900000081914</v>
      </c>
      <c r="DG267" s="712">
        <f t="shared" si="785"/>
        <v>-321.65000000041618</v>
      </c>
      <c r="DH267" s="712">
        <f t="shared" si="786"/>
        <v>-162.20373171982661</v>
      </c>
      <c r="DI267" s="712">
        <f>Sheet1!DW267*AFtoMG</f>
        <v>0</v>
      </c>
      <c r="DJ267" s="712">
        <f>Sheet1!DX267*AFtoMG</f>
        <v>0</v>
      </c>
      <c r="DK267" s="712">
        <f>Sheet1!DY267*AFtoMG</f>
        <v>0</v>
      </c>
      <c r="DL267" s="712">
        <f>Sheet1!DZ267*AFtoMG</f>
        <v>0</v>
      </c>
      <c r="DM267" s="712">
        <f t="shared" si="787"/>
        <v>0</v>
      </c>
      <c r="DN267" s="712">
        <f t="shared" si="788"/>
        <v>0</v>
      </c>
      <c r="DO267" s="712">
        <f t="shared" si="789"/>
        <v>1931.5781696350916</v>
      </c>
      <c r="DP267" s="712">
        <f t="shared" si="790"/>
        <v>5926.0818244404609</v>
      </c>
      <c r="DQ267" s="712"/>
      <c r="DR267" s="697">
        <f>IF(OR(B267&lt;FL267,B267&gt;FM267),(MIN(AV267+BO267+CJ267+MAX(Sheet1!AA267+AG267-73,0),K267)),0)</f>
        <v>0</v>
      </c>
      <c r="DS267" s="712"/>
      <c r="DT267" s="712">
        <f t="shared" si="791"/>
        <v>16.989708404802741</v>
      </c>
      <c r="DU267" s="712"/>
      <c r="DV267" s="712">
        <f>Sheet1!ED267+Sheet1!EE267+Sheet1!EF267+Sheet1!EG267</f>
        <v>17</v>
      </c>
      <c r="DW267" s="712"/>
      <c r="DX267" s="697">
        <f t="shared" si="792"/>
        <v>0</v>
      </c>
      <c r="DY267" s="712">
        <f>IF(Sheet1!FN267=1,SUM('Calculations II'!AT267:BA267)+'Calculations II'!BC267+Sheet1!BU267+'Calculations II'!BE267+AF267,SUM('Calculations II'!AT267:BA267)+'Calculations II'!BC267+Sheet1!BU267+'Calculations II'!BE267+AF267)</f>
        <v>70.461552000000012</v>
      </c>
      <c r="DZ267" s="712">
        <f>Sheet1!AA267+Sheet1!AB267+'Calculations II'!BC267</f>
        <v>81.55000000000291</v>
      </c>
      <c r="EA267" s="712"/>
      <c r="EB267" s="712"/>
      <c r="EC267" s="712">
        <f t="shared" si="793"/>
        <v>40796</v>
      </c>
      <c r="ED267" s="712">
        <f t="shared" si="794"/>
        <v>-17.048599199542593</v>
      </c>
      <c r="EE267" s="712">
        <f t="shared" si="795"/>
        <v>-26.374182961692391</v>
      </c>
      <c r="EF267" s="712">
        <f ca="1">IF(B267=TODAY(),0,-(VLOOKUP(Sheet1!BQ267,Lookup!$B$4:$J$236,2)-VLOOKUP(Sheet1!BQ266,Lookup!$B$4:$J$236,2))/1000000)</f>
        <v>6.8289999999999997</v>
      </c>
      <c r="EG267" s="712">
        <f ca="1">IF(B267=TODAY(),0,-(VLOOKUP(Sheet1!BR267,Lookup!$B$4:$J$236,3)-VLOOKUP(Sheet1!BR266,Lookup!$B$4:$J$236,3))/1000000)</f>
        <v>6.8179999999999996</v>
      </c>
      <c r="EH267" s="712">
        <f>-(VLOOKUP(Sheet1!BS267,Lookup!$B$4:$J$236,4)-VLOOKUP(Sheet1!BS266,Lookup!$B$4:$J$236,4))/1000000</f>
        <v>0</v>
      </c>
      <c r="EI267" s="697">
        <f t="shared" ca="1" si="819"/>
        <v>13.646999999999998</v>
      </c>
      <c r="EJ267" s="712"/>
      <c r="EK267" s="712"/>
      <c r="EL267" s="712"/>
      <c r="EM267" s="712"/>
      <c r="EN267" s="712"/>
      <c r="EO267" s="712"/>
      <c r="EP267" s="712"/>
      <c r="EQ267" s="712"/>
      <c r="ET267" s="794">
        <f t="shared" si="818"/>
        <v>1128</v>
      </c>
      <c r="EU267" s="697">
        <f>EU266-EY267</f>
        <v>10329.638515181583</v>
      </c>
      <c r="EV267" s="795">
        <f t="shared" si="734"/>
        <v>15598.179660459871</v>
      </c>
      <c r="EW267" s="796" t="s">
        <v>757</v>
      </c>
      <c r="EX267" s="796" t="s">
        <v>757</v>
      </c>
      <c r="EY267" s="712">
        <f t="shared" si="817"/>
        <v>55.361484818417694</v>
      </c>
      <c r="EZ267" s="798">
        <v>16872.600000036375</v>
      </c>
      <c r="FA267" s="712"/>
      <c r="FB267" s="712"/>
      <c r="FC267" s="712"/>
      <c r="FD267" s="712"/>
      <c r="FE267" s="712">
        <f>O267+Sheet1!CO267</f>
        <v>81.55000000000291</v>
      </c>
      <c r="FF267" s="712">
        <f>IF(Sheet1!AA267+AG267&lt;=Calculation!N267,AG267,Calculation!N267-Sheet1!AA267)</f>
        <v>18.010291595197252</v>
      </c>
      <c r="FG267" s="712">
        <f>(Sheet1!BP267+Sheet1!BO267)/694.4</f>
        <v>4.3922811059907838</v>
      </c>
      <c r="FH267" s="712"/>
      <c r="FI267" s="712"/>
      <c r="FJ267" s="712"/>
      <c r="FK267" s="712"/>
      <c r="FL267" s="714">
        <f t="shared" si="827"/>
        <v>40753</v>
      </c>
      <c r="FM267" s="714">
        <f t="shared" si="828"/>
        <v>40851</v>
      </c>
      <c r="FN267" s="712"/>
      <c r="FO267" s="712"/>
      <c r="FP267" s="712"/>
      <c r="FQ267" s="712"/>
      <c r="FR267" s="712"/>
      <c r="FS267" s="725">
        <f t="shared" si="829"/>
        <v>40603</v>
      </c>
      <c r="FT267" s="714">
        <f t="shared" si="830"/>
        <v>40709</v>
      </c>
      <c r="FU267" s="712">
        <f t="shared" si="829"/>
        <v>6518.9048239895692</v>
      </c>
      <c r="FV267" s="714">
        <f t="shared" si="831"/>
        <v>40722</v>
      </c>
      <c r="FW267" s="712">
        <f t="shared" si="829"/>
        <v>3259.4524119947846</v>
      </c>
      <c r="FX267" s="725">
        <f t="shared" si="829"/>
        <v>40851</v>
      </c>
      <c r="FZ267" s="697">
        <f t="shared" si="824"/>
        <v>0</v>
      </c>
      <c r="GA267" s="712" t="str">
        <f t="shared" si="797"/>
        <v/>
      </c>
      <c r="GB267" s="712">
        <f t="shared" si="798"/>
        <v>0</v>
      </c>
      <c r="GC267" s="712" t="str">
        <f t="shared" si="799"/>
        <v/>
      </c>
      <c r="GD267" s="712">
        <f>IF(GA267="P",Lookup!$M$12,IF(GA267="PP",Lookup!$M$13,IF(GA267="PPP",Lookup!$M$14,IF(GA267="T",Lookup!$M$15,IF(GA267="TP",Lookup!$M$16,IF(GA267="TPP",Lookup!$M$17,IF(GA267="TPPP",Lookup!$M$18,0)))))))*FZ267</f>
        <v>0</v>
      </c>
      <c r="GE267" s="712">
        <f t="shared" si="800"/>
        <v>0</v>
      </c>
      <c r="GF267" s="712">
        <f t="shared" si="801"/>
        <v>2566.3978666666662</v>
      </c>
      <c r="GG267" s="712">
        <f t="shared" si="802"/>
        <v>836.50517166449356</v>
      </c>
      <c r="GH267" s="712"/>
      <c r="GI267" s="712">
        <f t="shared" si="803"/>
        <v>0</v>
      </c>
      <c r="GJ267" s="712" t="str">
        <f t="shared" si="804"/>
        <v/>
      </c>
      <c r="GK267" s="712">
        <f>IF(GA267="P",Lookup!$N$12,IF(GA267="PP",Lookup!$N$13,IF(GA267="PPP",Lookup!$N$14,IF(GA267="T",Lookup!$N$15,IF(GA267="TP",Lookup!$N$16,IF(GA267="TPP",Lookup!$N$17,IF(GA267="TPPP",Lookup!$N$18,0)))))))*FZ267</f>
        <v>0</v>
      </c>
      <c r="GL267" s="712">
        <f t="shared" si="805"/>
        <v>0</v>
      </c>
      <c r="GM267" s="712">
        <f t="shared" si="806"/>
        <v>1652.5815727591219</v>
      </c>
      <c r="GN267" s="712">
        <f t="shared" si="807"/>
        <v>538.6510993347855</v>
      </c>
      <c r="GO267" s="712"/>
      <c r="GP267" s="712">
        <f t="shared" si="808"/>
        <v>0</v>
      </c>
      <c r="GQ267" s="712" t="str">
        <f t="shared" si="809"/>
        <v/>
      </c>
      <c r="GR267" s="712">
        <f>IF(GA267="P",Lookup!$N$12,IF(GA267="PP",Lookup!$N$13,IF(GA267="PPP",Lookup!$N$14,IF(GA267="T",Lookup!$N$15,IF(GA267="TP",Lookup!$N$16,IF(GA267="TPP",Lookup!$N$17,IF(GA267="TPPP",Lookup!$N$18,0)))))))*FZ267</f>
        <v>0</v>
      </c>
      <c r="GS267" s="697">
        <f t="shared" si="825"/>
        <v>0</v>
      </c>
      <c r="GT267" s="712">
        <f t="shared" si="810"/>
        <v>1271.4232260965846</v>
      </c>
      <c r="GU267" s="712">
        <f t="shared" si="811"/>
        <v>414.41435009667032</v>
      </c>
      <c r="GV267" s="712"/>
      <c r="GW267" s="712">
        <f t="shared" si="812"/>
        <v>0</v>
      </c>
      <c r="GX267" s="712" t="str">
        <f t="shared" si="813"/>
        <v/>
      </c>
      <c r="GY267" s="712">
        <f>IF(GA267="P",Lookup!$N$12,IF(GA267="PP",Lookup!$N$13,IF(GA267="PPP",Lookup!$N$14,IF(GA267="T",Lookup!$N$15,IF(GA267="TP",Lookup!$N$16,IF(GA267="TPP",Lookup!$N$17,IF(GA267="TPPP",Lookup!$N$18,0)))))))*FZ267</f>
        <v>0</v>
      </c>
      <c r="GZ267" s="697">
        <f t="shared" si="826"/>
        <v>0</v>
      </c>
      <c r="HA267" s="712">
        <f t="shared" si="814"/>
        <v>435.67915891808906</v>
      </c>
      <c r="HB267" s="712">
        <f t="shared" si="815"/>
        <v>142.00754853914245</v>
      </c>
      <c r="HC267" s="712"/>
    </row>
    <row r="268" spans="1:211">
      <c r="A268" s="773" t="s">
        <v>3</v>
      </c>
      <c r="B268" s="708">
        <v>40797</v>
      </c>
      <c r="C268" s="719">
        <v>0.5</v>
      </c>
      <c r="D268" s="675">
        <f t="shared" si="737"/>
        <v>200</v>
      </c>
      <c r="E268" s="675">
        <f t="shared" si="738"/>
        <v>400</v>
      </c>
      <c r="F268" s="675">
        <v>250</v>
      </c>
      <c r="G268" s="712">
        <f>DH268+Sheet1!CV268</f>
        <v>142.43627080108089</v>
      </c>
      <c r="H268" s="712">
        <f t="shared" si="739"/>
        <v>0</v>
      </c>
      <c r="I268" s="711">
        <f>MAX(Sheet1!Z268-AJ268+(Sheet1!CW268-E268)*CFStoMGD,0)</f>
        <v>0</v>
      </c>
      <c r="J268" s="720">
        <f>IF(AND(B268&gt;=Calculation!FS268,B268&lt;=Calculation!FT268),IF(Sheet1!CX268&gt;=Calculation!D268,64.64,0),MAX(Sheet1!Z268-AJ268+(Sheet1!CX268-D268)*CFStoMGD,0))</f>
        <v>8.1774328102702913</v>
      </c>
      <c r="K268" s="697">
        <f t="shared" si="740"/>
        <v>0</v>
      </c>
      <c r="L268" s="712">
        <f>Sheet1!AA268+Sheet1!AB268-Sheet1!L268+(Sheet1!CW268-F268)*CFStoMGD</f>
        <v>115.71306666666811</v>
      </c>
      <c r="M268" s="712">
        <f t="shared" si="741"/>
        <v>93.912221554735069</v>
      </c>
      <c r="N268" s="712">
        <f>IF(Sheet1!CW268&gt;=F268,MIN(73,MIN(MAX(L268,0),MAX(M268,0))),0)</f>
        <v>73</v>
      </c>
      <c r="O268" s="721">
        <f>Sheet1!AA268+Sheet1!AB268</f>
        <v>81.400000000001455</v>
      </c>
      <c r="P268" s="721">
        <f t="shared" si="742"/>
        <v>125.92580000000224</v>
      </c>
      <c r="Q268" s="712">
        <f>MIN(N268,Sheet1!AA268+AG268)</f>
        <v>64.422967189729704</v>
      </c>
      <c r="R268" s="712">
        <f t="shared" si="743"/>
        <v>17</v>
      </c>
      <c r="S268" s="721">
        <f>Sheet1!Y268*MGDtoCFS</f>
        <v>71.780799999999999</v>
      </c>
      <c r="T268" s="721">
        <f>Sheet1!Z268*MGDtoCFS</f>
        <v>54.377049999999997</v>
      </c>
      <c r="U268" s="721">
        <f>Sheet1!AA268*MGDtoCFS</f>
        <v>71.93549999999999</v>
      </c>
      <c r="V268" s="721">
        <f>Sheet1!AB268*MGDtoCFS</f>
        <v>53.99030000000225</v>
      </c>
      <c r="W268" s="721">
        <f>Sheet1!L268*MGDtoCFS</f>
        <v>0</v>
      </c>
      <c r="X268" s="697">
        <f t="shared" si="744"/>
        <v>17.068216833095789</v>
      </c>
      <c r="Y268" s="712">
        <f t="shared" si="745"/>
        <v>26.404531440799186</v>
      </c>
      <c r="Z268" s="712">
        <f t="shared" si="746"/>
        <v>0</v>
      </c>
      <c r="AA268" s="712">
        <f t="shared" si="747"/>
        <v>0</v>
      </c>
      <c r="AB268" s="712">
        <f>(VLOOKUP(Sheet1!CY268,hhdcap_wcm,4)-(((VLOOKUP(Sheet1!CY268,hhdcap_wcm,3)-Sheet1!CY268)/(VLOOKUP(Sheet1!CY268,hhdcap_wcm,3)-VLOOKUP(Sheet1!CY268,hhdcap_wcm,1)))*(VLOOKUP(Sheet1!CY268,hhdcap_wcm,4)-VLOOKUP(Sheet1!CY268,hhdcap_wcm,2))))</f>
        <v>32755.750000080458</v>
      </c>
      <c r="AC268" s="712">
        <f t="shared" si="748"/>
        <v>-318.15000000145665</v>
      </c>
      <c r="AD268" s="712">
        <f t="shared" si="749"/>
        <v>1914.509952801996</v>
      </c>
      <c r="AE268" s="712">
        <f t="shared" si="750"/>
        <v>5873.7165351965241</v>
      </c>
      <c r="AF268" s="712">
        <f>Sheet1!BA268+Sheet1!BB268+Sheet1!BN268+BT268</f>
        <v>18</v>
      </c>
      <c r="AG268" s="712">
        <f t="shared" si="751"/>
        <v>17.922967189729707</v>
      </c>
      <c r="AH268" s="712">
        <f>Sheet1!BA268+BT268</f>
        <v>0</v>
      </c>
      <c r="AI268" s="712">
        <f>Sheet1!BA268+Sheet1!BB268+BT268</f>
        <v>0</v>
      </c>
      <c r="AJ268" s="712">
        <f>IF((Sheet1!AA268+AG268+AX268+AZ268+BQ268+BS268+CL268+CN268)&lt;=N268,AG268+AX268+AZ268+BQ268+BS268+CL268+CN268,N268-Sheet1!AA268)</f>
        <v>17.922967189729707</v>
      </c>
      <c r="AK268" s="712">
        <f>IF(DR268&lt;K268,0,MAX(Sheet1!AA268+AG268-15/36*K268-N268,Sheet1!ED268,0))</f>
        <v>0</v>
      </c>
      <c r="AL268" s="712">
        <f>IF(OR(B268&gt;=FT268,B268&lt;FS268),0,15/36*K268-MAX(0,64.6-(137.6-(Sheet1!AA268+Sheet1!AB268))))</f>
        <v>0</v>
      </c>
      <c r="AM268" s="712">
        <f>Sheet1!CX268-110</f>
        <v>76</v>
      </c>
      <c r="AN268" s="712">
        <f>Sheet1!CW268-265</f>
        <v>38.083333333333314</v>
      </c>
      <c r="AO268" s="712">
        <f t="shared" si="733"/>
        <v>8.5770328102702962</v>
      </c>
      <c r="AP268" s="851">
        <v>0</v>
      </c>
      <c r="AQ268" s="712">
        <f t="shared" si="753"/>
        <v>0</v>
      </c>
      <c r="AR268" s="712">
        <f t="shared" si="821"/>
        <v>836.50517166449356</v>
      </c>
      <c r="AS268" s="712"/>
      <c r="AT268" s="712">
        <f ca="1">IF(B268&gt;Summary!$A$1,#N/A,AR268*MGtoAF)</f>
        <v>2566.3978666666662</v>
      </c>
      <c r="AU268" s="712">
        <f>Sheet1!BG268+Sheet1!BH268+Sheet1!BI268-BC268</f>
        <v>1.93</v>
      </c>
      <c r="AV268" s="712">
        <f t="shared" si="755"/>
        <v>1.9217403708987963</v>
      </c>
      <c r="AW268" s="712">
        <f>IF(Sheet1!EL268="FM",BC268,0)</f>
        <v>0</v>
      </c>
      <c r="AX268" s="712">
        <f t="shared" si="756"/>
        <v>0</v>
      </c>
      <c r="AY268" s="712">
        <f>IF(Sheet1!EL268="OTHER",BC268,0)</f>
        <v>0</v>
      </c>
      <c r="AZ268" s="712">
        <f t="shared" si="757"/>
        <v>0</v>
      </c>
      <c r="BA268" s="712">
        <f t="shared" si="758"/>
        <v>1.93</v>
      </c>
      <c r="BB268" s="712">
        <f t="shared" si="759"/>
        <v>1.9217403708987963</v>
      </c>
      <c r="BC268" s="712">
        <f>IF(OR(Sheet1!EL268="FM", Sheet1!EL268="OTHER"),SUM(Sheet1!BG268:'Sheet1'!BI268),0)</f>
        <v>0</v>
      </c>
      <c r="BD268" s="697">
        <f>IF(AND($B268&gt;=$FL268,$B268&lt;=$FM268),MAX(AV268,Sheet1!EE268,0),MAX(AV268-(7/36)*$K268,0))</f>
        <v>2</v>
      </c>
      <c r="BE268" s="712">
        <f t="shared" si="760"/>
        <v>0</v>
      </c>
      <c r="BF268" s="697">
        <f t="shared" si="761"/>
        <v>0</v>
      </c>
      <c r="BG268" s="697">
        <f>IF(AND($O268&gt;0,Sheet1!EI268=1),(1-($O268-Sheet1!$L268)/$O268)*BB268,0)</f>
        <v>0</v>
      </c>
      <c r="BH268" s="697">
        <f>IF(AND(Sheet1!$L268=0,Sheet1!$L267=0, Calculation!BA268&lt;Sheet1!$EE268-0.1,Sheet1!$EE268=Sheet1!$EE267,Sheet1!$EE268=Sheet1!$EE269),Sheet1!$EE268,BB268-BG268)</f>
        <v>1.9217403708987963</v>
      </c>
      <c r="BI268" s="712"/>
      <c r="BJ268" s="712"/>
      <c r="BK268" s="712">
        <f t="shared" si="762"/>
        <v>536.6510993347855</v>
      </c>
      <c r="BL268" s="712"/>
      <c r="BM268" s="712">
        <f ca="1">IF(B268&gt;Summary!$A$1,#N/A,BK268*MGtoAF)</f>
        <v>1646.4455727591219</v>
      </c>
      <c r="BN268" s="712">
        <f>Sheet1!BC268+Sheet1!BD268+Sheet1!BE268+Sheet1!BF268-BW268-BX268</f>
        <v>5.09</v>
      </c>
      <c r="BO268" s="712">
        <f t="shared" si="763"/>
        <v>5.0682168330957893</v>
      </c>
      <c r="BP268" s="712">
        <f>IF(Sheet1!EM268="FM",BX268,0)</f>
        <v>0</v>
      </c>
      <c r="BQ268" s="712">
        <f t="shared" si="764"/>
        <v>0</v>
      </c>
      <c r="BR268" s="712">
        <f>IF(Sheet1!EM268="OTHER",BX268,0)</f>
        <v>0</v>
      </c>
      <c r="BS268" s="712">
        <f t="shared" si="765"/>
        <v>0</v>
      </c>
      <c r="BT268" s="712">
        <f t="shared" si="766"/>
        <v>0</v>
      </c>
      <c r="BU268" s="712">
        <f t="shared" si="767"/>
        <v>5.09</v>
      </c>
      <c r="BV268" s="712">
        <f t="shared" si="768"/>
        <v>5.0682168330957893</v>
      </c>
      <c r="BW268" s="712">
        <f>IF(Sheet1!EM268="CWA",SUM(Sheet1!BC268:'Sheet1'!BF268),0)</f>
        <v>0</v>
      </c>
      <c r="BX268" s="712">
        <f>IF(OR(Sheet1!EM268="FM", Sheet1!EM268="OTHER"),SUM(Sheet1!BC268:'Sheet1'!BF268),0)</f>
        <v>0</v>
      </c>
      <c r="BY268" s="697">
        <f>IF(AND($B268&gt;=$FL268,$B268&lt;=$FM268),MAX(BV268,Sheet1!EF268,0),MAX(BV268-(7/36)*$K268,0))</f>
        <v>5.0682168330957893</v>
      </c>
      <c r="BZ268" s="712">
        <f t="shared" si="769"/>
        <v>0</v>
      </c>
      <c r="CA268" s="697">
        <f t="shared" si="770"/>
        <v>0</v>
      </c>
      <c r="CB268" s="697">
        <f>IF(AND($O268&gt;0,Sheet1!EJ268=1),(1-($O268-Sheet1!$L268)/$O268)*BV268,0)</f>
        <v>0</v>
      </c>
      <c r="CC268" s="697">
        <f>IF(AND(Sheet1!$L268=0,Sheet1!$L267=0, Calculation!BU268&lt;Sheet1!EF268-0.1,Sheet1!EF268=Sheet1!EF267,Sheet1!EF268=Sheet1!EF269),Sheet1!EF268,BV268-CB268)</f>
        <v>5.0682168330957893</v>
      </c>
      <c r="CD268" s="697"/>
      <c r="CE268" s="712"/>
      <c r="CF268" s="712">
        <f t="shared" si="771"/>
        <v>409.34613326357453</v>
      </c>
      <c r="CG268" s="712"/>
      <c r="CH268" s="712">
        <f ca="1">IF(B268&gt;Summary!$A$1,#N/A,CF268*MGtoAF)</f>
        <v>1255.8739368526467</v>
      </c>
      <c r="CI268" s="712">
        <f>Sheet1!BK268+Sheet1!BL268+Sheet1!BM268-Sheet1!EN268-CQ268</f>
        <v>10.030000000000001</v>
      </c>
      <c r="CJ268" s="712">
        <f t="shared" si="772"/>
        <v>9.9870756062771662</v>
      </c>
      <c r="CK268" s="712">
        <f>IF(Sheet1!EN268="FM",CQ268,0)</f>
        <v>0</v>
      </c>
      <c r="CL268" s="712">
        <f t="shared" si="773"/>
        <v>0</v>
      </c>
      <c r="CM268" s="712">
        <f>IF(Sheet1!EN268="OTHER",CQ268,0)</f>
        <v>0</v>
      </c>
      <c r="CN268" s="712">
        <f t="shared" si="774"/>
        <v>0</v>
      </c>
      <c r="CO268" s="712">
        <f t="shared" si="775"/>
        <v>10.030000000000001</v>
      </c>
      <c r="CP268" s="712">
        <f t="shared" si="776"/>
        <v>9.9870756062771662</v>
      </c>
      <c r="CQ268" s="712">
        <f>IF(OR(Sheet1!EN268="FM", Sheet1!EN268="OTHER"),SUM(Sheet1!BK268:'Sheet1'!BM268),0)</f>
        <v>0</v>
      </c>
      <c r="CR268" s="697">
        <f>IF(AND($B268&gt;=$FL268,$B268&lt;=$FM268),MAX($CJ268,Sheet1!EG268,0),MAX($CJ268-(7/36)*$K268,0))</f>
        <v>10</v>
      </c>
      <c r="CS268" s="712">
        <f t="shared" si="777"/>
        <v>0</v>
      </c>
      <c r="CT268" s="697">
        <f t="shared" si="778"/>
        <v>0</v>
      </c>
      <c r="CU268" s="697">
        <f>IF(AND($O268&gt;0,Sheet1!EK268=1),(1-($O268-Sheet1!$L268)/$O268)*CP268,0)</f>
        <v>0</v>
      </c>
      <c r="CV268" s="697">
        <f>IF(AND(Sheet1!$L268=0,Sheet1!$L267=0, Calculation!CO268&lt;Sheet1!$EG268-0.1,Sheet1!$EG268=Sheet1!$EG267,Sheet1!$EG268=Sheet1!$EG269),Sheet1!$EG268,CP268-CU268)</f>
        <v>9.9870756062771662</v>
      </c>
      <c r="CW268" s="697">
        <f t="shared" si="823"/>
        <v>0</v>
      </c>
      <c r="CX268" s="712">
        <f t="shared" si="779"/>
        <v>17.05</v>
      </c>
      <c r="CY268" s="712">
        <f t="shared" si="780"/>
        <v>132.00754853914245</v>
      </c>
      <c r="CZ268" s="712">
        <f t="shared" si="781"/>
        <v>16.977032810271751</v>
      </c>
      <c r="DA268" s="712">
        <f ca="1">IF(B268&gt;Summary!$A$1,#N/A,CY268*MGtoAF)</f>
        <v>404.99915891808905</v>
      </c>
      <c r="DB268" s="712">
        <f t="shared" si="782"/>
        <v>17.05</v>
      </c>
      <c r="DC268" s="712">
        <f t="shared" si="783"/>
        <v>35.049999999999997</v>
      </c>
      <c r="DD268" s="712">
        <f>Sheet1!AB268-DC268</f>
        <v>-0.14999999999854197</v>
      </c>
      <c r="DE268" s="712">
        <f t="shared" si="784"/>
        <v>-4.2796005705718109E-3</v>
      </c>
      <c r="DF268" s="712">
        <f>(VLOOKUP(Sheet1!CY268,hhdcap_wcm,4)-(((VLOOKUP(Sheet1!CY268,hhdcap_wcm,3)-Sheet1!CY268)/(VLOOKUP(Sheet1!CY268,hhdcap_wcm,3)-VLOOKUP(Sheet1!CY268,hhdcap_wcm,1)))*(VLOOKUP(Sheet1!CY268,hhdcap_wcm,4)-VLOOKUP(Sheet1!CY268,hhdcap_wcm,2))))</f>
        <v>32755.750000080458</v>
      </c>
      <c r="DG268" s="712">
        <f t="shared" si="785"/>
        <v>-318.15000000145665</v>
      </c>
      <c r="DH268" s="712">
        <f t="shared" si="786"/>
        <v>-160.43872919891911</v>
      </c>
      <c r="DI268" s="712">
        <f>Sheet1!DW268*AFtoMG</f>
        <v>0</v>
      </c>
      <c r="DJ268" s="712">
        <f>Sheet1!DX268*AFtoMG</f>
        <v>0</v>
      </c>
      <c r="DK268" s="712">
        <f>Sheet1!DY268*AFtoMG</f>
        <v>0</v>
      </c>
      <c r="DL268" s="712">
        <f>Sheet1!DZ268*AFtoMG</f>
        <v>0</v>
      </c>
      <c r="DM268" s="712">
        <f t="shared" si="787"/>
        <v>0</v>
      </c>
      <c r="DN268" s="712">
        <f t="shared" si="788"/>
        <v>0</v>
      </c>
      <c r="DO268" s="712">
        <f t="shared" si="789"/>
        <v>1914.509952801996</v>
      </c>
      <c r="DP268" s="712">
        <f t="shared" si="790"/>
        <v>5873.7165351965241</v>
      </c>
      <c r="DQ268" s="712"/>
      <c r="DR268" s="697">
        <f>IF(OR(B268&lt;FL268,B268&gt;FM268),(MIN(AV268+BO268+CJ268+MAX(Sheet1!AA268+AG268-73,0),K268)),0)</f>
        <v>0</v>
      </c>
      <c r="DS268" s="712"/>
      <c r="DT268" s="712">
        <f t="shared" si="791"/>
        <v>16.977032810271751</v>
      </c>
      <c r="DU268" s="712"/>
      <c r="DV268" s="712">
        <f>Sheet1!ED268+Sheet1!EE268+Sheet1!EF268+Sheet1!EG268</f>
        <v>17</v>
      </c>
      <c r="DW268" s="712"/>
      <c r="DX268" s="697">
        <f t="shared" si="792"/>
        <v>0</v>
      </c>
      <c r="DY268" s="712">
        <f>IF(Sheet1!FN268=1,SUM('Calculations II'!AT268:BA268)+'Calculations II'!BC268+Sheet1!BU268+'Calculations II'!BE268+AF268,SUM('Calculations II'!AT268:BA268)+'Calculations II'!BC268+Sheet1!BU268+'Calculations II'!BE268+AF268)</f>
        <v>74.594095999999993</v>
      </c>
      <c r="DZ268" s="712">
        <f>Sheet1!AA268+Sheet1!AB268+'Calculations II'!BC268</f>
        <v>91.02064000000145</v>
      </c>
      <c r="EA268" s="712"/>
      <c r="EB268" s="712"/>
      <c r="EC268" s="712">
        <f t="shared" si="793"/>
        <v>40797</v>
      </c>
      <c r="ED268" s="712">
        <f t="shared" si="794"/>
        <v>-17.068216833095789</v>
      </c>
      <c r="EE268" s="712">
        <f t="shared" si="795"/>
        <v>-26.404531440799186</v>
      </c>
      <c r="EF268" s="712">
        <f ca="1">IF(B268=TODAY(),0,-(VLOOKUP(Sheet1!BQ268,Lookup!$B$4:$J$236,2)-VLOOKUP(Sheet1!BQ267,Lookup!$B$4:$J$236,2))/1000000)</f>
        <v>0.53420000000000001</v>
      </c>
      <c r="EG268" s="712">
        <f ca="1">IF(B268=TODAY(),0,-(VLOOKUP(Sheet1!BR268,Lookup!$B$4:$J$236,3)-VLOOKUP(Sheet1!BR267,Lookup!$B$4:$J$236,3))/1000000)</f>
        <v>0.53320000000000001</v>
      </c>
      <c r="EH268" s="712">
        <f>-(VLOOKUP(Sheet1!BS268,Lookup!$B$4:$J$236,4)-VLOOKUP(Sheet1!BS267,Lookup!$B$4:$J$236,4))/1000000</f>
        <v>0</v>
      </c>
      <c r="EI268" s="697">
        <f t="shared" ca="1" si="819"/>
        <v>1.0674000000000001</v>
      </c>
      <c r="EJ268" s="712"/>
      <c r="EK268" s="712"/>
      <c r="EL268" s="712"/>
      <c r="EM268" s="712"/>
      <c r="EN268" s="712"/>
      <c r="EO268" s="712"/>
      <c r="EP268" s="712"/>
      <c r="EQ268" s="712"/>
      <c r="ET268" s="794">
        <f t="shared" si="818"/>
        <v>1127.7</v>
      </c>
      <c r="EU268" s="697">
        <f>EU267-EY268</f>
        <v>10274.668746985019</v>
      </c>
      <c r="EV268" s="795">
        <f t="shared" si="734"/>
        <v>15387.364717898916</v>
      </c>
      <c r="EW268" s="796" t="s">
        <v>757</v>
      </c>
      <c r="EX268" s="796" t="s">
        <v>757</v>
      </c>
      <c r="EY268" s="712">
        <f t="shared" si="817"/>
        <v>54.969768196563855</v>
      </c>
      <c r="EZ268" s="798">
        <v>16661.400000036137</v>
      </c>
      <c r="FA268" s="712"/>
      <c r="FB268" s="712"/>
      <c r="FC268" s="712"/>
      <c r="FD268" s="712"/>
      <c r="FE268" s="712">
        <f>O268+Sheet1!CO268</f>
        <v>6762.4000000000015</v>
      </c>
      <c r="FF268" s="712">
        <f>IF(Sheet1!AA268+AG268&lt;=Calculation!N268,AG268,Calculation!N268-Sheet1!AA268)</f>
        <v>17.922967189729707</v>
      </c>
      <c r="FG268" s="712">
        <f>(Sheet1!BP268+Sheet1!BO268)/694.4</f>
        <v>4.2158698156682028</v>
      </c>
      <c r="FH268" s="712"/>
      <c r="FI268" s="712"/>
      <c r="FJ268" s="712"/>
      <c r="FK268" s="712"/>
      <c r="FL268" s="714">
        <f t="shared" si="827"/>
        <v>40753</v>
      </c>
      <c r="FM268" s="714">
        <f t="shared" si="828"/>
        <v>40851</v>
      </c>
      <c r="FN268" s="712"/>
      <c r="FO268" s="712"/>
      <c r="FP268" s="712"/>
      <c r="FQ268" s="712"/>
      <c r="FR268" s="712"/>
      <c r="FS268" s="725">
        <f t="shared" si="829"/>
        <v>40603</v>
      </c>
      <c r="FT268" s="714">
        <f t="shared" si="830"/>
        <v>40709</v>
      </c>
      <c r="FU268" s="712">
        <f t="shared" si="829"/>
        <v>6518.9048239895692</v>
      </c>
      <c r="FV268" s="714">
        <f t="shared" si="831"/>
        <v>40722</v>
      </c>
      <c r="FW268" s="712">
        <f t="shared" si="829"/>
        <v>3259.4524119947846</v>
      </c>
      <c r="FX268" s="725">
        <f t="shared" si="829"/>
        <v>40851</v>
      </c>
      <c r="FZ268" s="697">
        <f t="shared" si="824"/>
        <v>0</v>
      </c>
      <c r="GA268" s="712" t="str">
        <f t="shared" si="797"/>
        <v/>
      </c>
      <c r="GB268" s="712">
        <f t="shared" si="798"/>
        <v>0</v>
      </c>
      <c r="GC268" s="712" t="str">
        <f t="shared" si="799"/>
        <v/>
      </c>
      <c r="GD268" s="712">
        <f>IF(GA268="P",Lookup!$M$12,IF(GA268="PP",Lookup!$M$13,IF(GA268="PPP",Lookup!$M$14,IF(GA268="T",Lookup!$M$15,IF(GA268="TP",Lookup!$M$16,IF(GA268="TPP",Lookup!$M$17,IF(GA268="TPPP",Lookup!$M$18,0)))))))*FZ268</f>
        <v>0</v>
      </c>
      <c r="GE268" s="712">
        <f t="shared" si="800"/>
        <v>0</v>
      </c>
      <c r="GF268" s="712">
        <f t="shared" si="801"/>
        <v>2566.3978666666662</v>
      </c>
      <c r="GG268" s="712">
        <f t="shared" si="802"/>
        <v>836.50517166449356</v>
      </c>
      <c r="GH268" s="712"/>
      <c r="GI268" s="712">
        <f t="shared" si="803"/>
        <v>0</v>
      </c>
      <c r="GJ268" s="712" t="str">
        <f t="shared" si="804"/>
        <v/>
      </c>
      <c r="GK268" s="712">
        <f>IF(GA268="P",Lookup!$N$12,IF(GA268="PP",Lookup!$N$13,IF(GA268="PPP",Lookup!$N$14,IF(GA268="T",Lookup!$N$15,IF(GA268="TP",Lookup!$N$16,IF(GA268="TPP",Lookup!$N$17,IF(GA268="TPPP",Lookup!$N$18,0)))))))*FZ268</f>
        <v>0</v>
      </c>
      <c r="GL268" s="712">
        <f t="shared" si="805"/>
        <v>0</v>
      </c>
      <c r="GM268" s="712">
        <f t="shared" si="806"/>
        <v>1646.4455727591219</v>
      </c>
      <c r="GN268" s="712">
        <f t="shared" si="807"/>
        <v>536.6510993347855</v>
      </c>
      <c r="GO268" s="712"/>
      <c r="GP268" s="712">
        <f t="shared" si="808"/>
        <v>0</v>
      </c>
      <c r="GQ268" s="712" t="str">
        <f t="shared" si="809"/>
        <v/>
      </c>
      <c r="GR268" s="712">
        <f>IF(GA268="P",Lookup!$N$12,IF(GA268="PP",Lookup!$N$13,IF(GA268="PPP",Lookup!$N$14,IF(GA268="T",Lookup!$N$15,IF(GA268="TP",Lookup!$N$16,IF(GA268="TPP",Lookup!$N$17,IF(GA268="TPPP",Lookup!$N$18,0)))))))*FZ268</f>
        <v>0</v>
      </c>
      <c r="GS268" s="697">
        <f t="shared" si="825"/>
        <v>0</v>
      </c>
      <c r="GT268" s="712">
        <f t="shared" si="810"/>
        <v>1255.8739368526467</v>
      </c>
      <c r="GU268" s="712">
        <f t="shared" si="811"/>
        <v>409.34613326357453</v>
      </c>
      <c r="GV268" s="712"/>
      <c r="GW268" s="712">
        <f t="shared" si="812"/>
        <v>0</v>
      </c>
      <c r="GX268" s="712" t="str">
        <f t="shared" si="813"/>
        <v/>
      </c>
      <c r="GY268" s="712">
        <f>IF(GA268="P",Lookup!$N$12,IF(GA268="PP",Lookup!$N$13,IF(GA268="PPP",Lookup!$N$14,IF(GA268="T",Lookup!$N$15,IF(GA268="TP",Lookup!$N$16,IF(GA268="TPP",Lookup!$N$17,IF(GA268="TPPP",Lookup!$N$18,0)))))))*FZ268</f>
        <v>0</v>
      </c>
      <c r="GZ268" s="697">
        <f t="shared" si="826"/>
        <v>0</v>
      </c>
      <c r="HA268" s="712">
        <f t="shared" si="814"/>
        <v>404.99915891808905</v>
      </c>
      <c r="HB268" s="712">
        <f t="shared" si="815"/>
        <v>132.00754853914245</v>
      </c>
      <c r="HC268" s="712"/>
    </row>
    <row r="269" spans="1:211">
      <c r="A269" s="773" t="s">
        <v>4</v>
      </c>
      <c r="B269" s="708">
        <v>40798</v>
      </c>
      <c r="C269" s="709">
        <v>0.5</v>
      </c>
      <c r="D269" s="675">
        <f t="shared" si="737"/>
        <v>200</v>
      </c>
      <c r="E269" s="675">
        <f t="shared" si="738"/>
        <v>400</v>
      </c>
      <c r="F269" s="675">
        <v>250</v>
      </c>
      <c r="G269" s="712">
        <f>DH269+Sheet1!CV269</f>
        <v>136.64227181028375</v>
      </c>
      <c r="H269" s="712">
        <f t="shared" si="739"/>
        <v>0</v>
      </c>
      <c r="I269" s="711">
        <f>MAX(Sheet1!Z269-AJ269+(Sheet1!CW269-E269)*CFStoMGD,0)</f>
        <v>0</v>
      </c>
      <c r="J269" s="720">
        <f>IF(AND(B269&gt;=Calculation!FS269,B269&lt;=Calculation!FT269),IF(Sheet1!CX269&gt;=Calculation!D269,64.64,0),MAX(Sheet1!Z269-AJ269+(Sheet1!CX269-D269)*CFStoMGD,0))</f>
        <v>4.533218856762856</v>
      </c>
      <c r="K269" s="697">
        <f t="shared" si="740"/>
        <v>0</v>
      </c>
      <c r="L269" s="712">
        <f>Sheet1!AA269+Sheet1!AB269-Sheet1!L269+(Sheet1!CW269-F269)*CFStoMGD</f>
        <v>115.40653333333714</v>
      </c>
      <c r="M269" s="712">
        <f t="shared" si="741"/>
        <v>90.092075788130771</v>
      </c>
      <c r="N269" s="712">
        <f>IF(Sheet1!CW269&gt;=F269,MIN(73,MIN(MAX(L269,0),MAX(M269,0))),0)</f>
        <v>73</v>
      </c>
      <c r="O269" s="721">
        <f>Sheet1!AA269+Sheet1!AB269</f>
        <v>82.090000000003783</v>
      </c>
      <c r="P269" s="721">
        <f t="shared" si="742"/>
        <v>126.99323000000585</v>
      </c>
      <c r="Q269" s="712">
        <f>MIN(N269,Sheet1!AA269+AG269)</f>
        <v>65.60104780991081</v>
      </c>
      <c r="R269" s="712">
        <f t="shared" si="743"/>
        <v>16</v>
      </c>
      <c r="S269" s="721">
        <f>Sheet1!Y269*MGDtoCFS</f>
        <v>72.21396</v>
      </c>
      <c r="T269" s="721">
        <f>Sheet1!Z269*MGDtoCFS</f>
        <v>54.67098</v>
      </c>
      <c r="U269" s="721">
        <f>Sheet1!AA269*MGDtoCFS</f>
        <v>72.430540000010808</v>
      </c>
      <c r="V269" s="721">
        <f>Sheet1!AB269*MGDtoCFS</f>
        <v>54.562689999995044</v>
      </c>
      <c r="W269" s="721">
        <f>Sheet1!L269*MGDtoCFS</f>
        <v>0</v>
      </c>
      <c r="X269" s="697">
        <f t="shared" si="744"/>
        <v>16.540166046377152</v>
      </c>
      <c r="Y269" s="712">
        <f t="shared" si="745"/>
        <v>25.587636873745453</v>
      </c>
      <c r="Z269" s="712">
        <f t="shared" si="746"/>
        <v>0</v>
      </c>
      <c r="AA269" s="712">
        <f t="shared" si="747"/>
        <v>0</v>
      </c>
      <c r="AB269" s="712">
        <f>(VLOOKUP(Sheet1!CY269,hhdcap_wcm,4)-(((VLOOKUP(Sheet1!CY269,hhdcap_wcm,3)-Sheet1!CY269)/(VLOOKUP(Sheet1!CY269,hhdcap_wcm,3)-VLOOKUP(Sheet1!CY269,hhdcap_wcm,1)))*(VLOOKUP(Sheet1!CY269,hhdcap_wcm,4)-VLOOKUP(Sheet1!CY269,hhdcap_wcm,2))))</f>
        <v>32439.00000008025</v>
      </c>
      <c r="AC269" s="712">
        <f t="shared" si="748"/>
        <v>-316.75000000020736</v>
      </c>
      <c r="AD269" s="712">
        <f t="shared" si="749"/>
        <v>1897.9697867556188</v>
      </c>
      <c r="AE269" s="712">
        <f t="shared" si="750"/>
        <v>5822.9713057662384</v>
      </c>
      <c r="AF269" s="712">
        <f>Sheet1!BA269+Sheet1!BB269+Sheet1!BN269+BT269</f>
        <v>18.600000000000001</v>
      </c>
      <c r="AG269" s="712">
        <f t="shared" si="751"/>
        <v>18.781047809903821</v>
      </c>
      <c r="AH269" s="712">
        <f>Sheet1!BA269+BT269</f>
        <v>0</v>
      </c>
      <c r="AI269" s="712">
        <f>Sheet1!BA269+Sheet1!BB269+BT269</f>
        <v>0</v>
      </c>
      <c r="AJ269" s="712">
        <f>IF((Sheet1!AA269+AG269+AX269+AZ269+BQ269+BS269+CL269+CN269)&lt;=N269,AG269+AX269+AZ269+BQ269+BS269+CL269+CN269,N269-Sheet1!AA269)</f>
        <v>18.781047809903821</v>
      </c>
      <c r="AK269" s="712">
        <f>IF(DR269&lt;K269,0,MAX(Sheet1!AA269+AG269-15/36*K269-N269,Sheet1!ED269,0))</f>
        <v>0</v>
      </c>
      <c r="AL269" s="712">
        <f>IF(OR(B269&gt;=FT269,B269&lt;FS269),0,15/36*K269-MAX(0,64.6-(137.6-(Sheet1!AA269+Sheet1!AB269))))</f>
        <v>0</v>
      </c>
      <c r="AM269" s="712">
        <f>Sheet1!CX269-110</f>
        <v>71.395833333333343</v>
      </c>
      <c r="AN269" s="712">
        <f>Sheet1!CW269-265</f>
        <v>36.541666666666686</v>
      </c>
      <c r="AO269" s="712">
        <f t="shared" si="733"/>
        <v>7.3989521900891901</v>
      </c>
      <c r="AP269" s="851">
        <v>0</v>
      </c>
      <c r="AQ269" s="712">
        <f t="shared" si="753"/>
        <v>0</v>
      </c>
      <c r="AR269" s="712">
        <f t="shared" si="821"/>
        <v>836.50517166449356</v>
      </c>
      <c r="AS269" s="712"/>
      <c r="AT269" s="712">
        <f ca="1">IF(B269&gt;Summary!$A$1,#N/A,AR269*MGtoAF)</f>
        <v>2566.3978666666662</v>
      </c>
      <c r="AU269" s="712">
        <f>Sheet1!BG269+Sheet1!BH269+Sheet1!BI269-BC269</f>
        <v>1.93</v>
      </c>
      <c r="AV269" s="712">
        <f t="shared" si="755"/>
        <v>1.9487861437158265</v>
      </c>
      <c r="AW269" s="712">
        <f>IF(Sheet1!EL269="FM",BC269,0)</f>
        <v>0</v>
      </c>
      <c r="AX269" s="712">
        <f t="shared" si="756"/>
        <v>0</v>
      </c>
      <c r="AY269" s="712">
        <f>IF(Sheet1!EL269="OTHER",BC269,0)</f>
        <v>0</v>
      </c>
      <c r="AZ269" s="712">
        <f t="shared" si="757"/>
        <v>0</v>
      </c>
      <c r="BA269" s="712">
        <f t="shared" si="758"/>
        <v>1.93</v>
      </c>
      <c r="BB269" s="712">
        <f t="shared" si="759"/>
        <v>1.9487861437158265</v>
      </c>
      <c r="BC269" s="712">
        <f>IF(OR(Sheet1!EL269="FM", Sheet1!EL269="OTHER"),SUM(Sheet1!BG269:'Sheet1'!BI269),0)</f>
        <v>0</v>
      </c>
      <c r="BD269" s="697">
        <f>IF(AND($B269&gt;=$FL269,$B269&lt;=$FM269),MAX(AV269,Sheet1!EE269,0),MAX(AV269-(7/36)*$K269,0))</f>
        <v>2</v>
      </c>
      <c r="BE269" s="712">
        <f t="shared" si="760"/>
        <v>0</v>
      </c>
      <c r="BF269" s="697">
        <f t="shared" si="761"/>
        <v>0</v>
      </c>
      <c r="BG269" s="697">
        <f>IF(AND($O269&gt;0,Sheet1!EI269=1),(1-($O269-Sheet1!$L269)/$O269)*BB269,0)</f>
        <v>0</v>
      </c>
      <c r="BH269" s="697">
        <f>IF(AND(Sheet1!$L269=0,Sheet1!$L268=0, Calculation!BA269&lt;Sheet1!$EE269-0.1,Sheet1!$EE269=Sheet1!$EE268,Sheet1!$EE269=Sheet1!$EE270),Sheet1!$EE269,BB269-BG269)</f>
        <v>1.9487861437158265</v>
      </c>
      <c r="BI269" s="712"/>
      <c r="BJ269" s="712"/>
      <c r="BK269" s="712">
        <f t="shared" si="762"/>
        <v>534.6510993347855</v>
      </c>
      <c r="BL269" s="712"/>
      <c r="BM269" s="712">
        <f ca="1">IF(B269&gt;Summary!$A$1,#N/A,BK269*MGtoAF)</f>
        <v>1640.3095727591219</v>
      </c>
      <c r="BN269" s="712">
        <f>Sheet1!BC269+Sheet1!BD269+Sheet1!BE269+Sheet1!BF269-BW269-BX269</f>
        <v>4.3600000000000003</v>
      </c>
      <c r="BO269" s="712">
        <f t="shared" si="763"/>
        <v>4.4024391640419713</v>
      </c>
      <c r="BP269" s="712">
        <f>IF(Sheet1!EM269="FM",BX269,0)</f>
        <v>0</v>
      </c>
      <c r="BQ269" s="712">
        <f t="shared" si="764"/>
        <v>0</v>
      </c>
      <c r="BR269" s="712">
        <f>IF(Sheet1!EM269="OTHER",BX269,0)</f>
        <v>0</v>
      </c>
      <c r="BS269" s="712">
        <f t="shared" si="765"/>
        <v>0</v>
      </c>
      <c r="BT269" s="712">
        <f t="shared" si="766"/>
        <v>0</v>
      </c>
      <c r="BU269" s="712">
        <f t="shared" si="767"/>
        <v>4.3600000000000003</v>
      </c>
      <c r="BV269" s="712">
        <f t="shared" si="768"/>
        <v>4.4024391640419713</v>
      </c>
      <c r="BW269" s="712">
        <f>IF(Sheet1!EM269="CWA",SUM(Sheet1!BC269:'Sheet1'!BF269),0)</f>
        <v>0</v>
      </c>
      <c r="BX269" s="712">
        <f>IF(OR(Sheet1!EM269="FM", Sheet1!EM269="OTHER"),SUM(Sheet1!BC269:'Sheet1'!BF269),0)</f>
        <v>0</v>
      </c>
      <c r="BY269" s="697">
        <f>IF(AND($B269&gt;=$FL269,$B269&lt;=$FM269),MAX(BV269,Sheet1!EF269,0),MAX(BV269-(7/36)*$K269,0))</f>
        <v>4.4024391640419713</v>
      </c>
      <c r="BZ269" s="712">
        <f t="shared" si="769"/>
        <v>0</v>
      </c>
      <c r="CA269" s="697">
        <f t="shared" si="770"/>
        <v>0</v>
      </c>
      <c r="CB269" s="697">
        <f>IF(AND($O269&gt;0,Sheet1!EJ269=1),(1-($O269-Sheet1!$L269)/$O269)*BV269,0)</f>
        <v>0</v>
      </c>
      <c r="CC269" s="697">
        <f>IF(AND(Sheet1!$L269=0,Sheet1!$L268=0, Calculation!BU269&lt;Sheet1!EF269-0.1,Sheet1!EF269=Sheet1!EF268,Sheet1!EF269=Sheet1!EF270),Sheet1!EF269,BV269-CB269)</f>
        <v>4.4024391640419713</v>
      </c>
      <c r="CD269" s="697"/>
      <c r="CE269" s="712"/>
      <c r="CF269" s="712">
        <f t="shared" si="771"/>
        <v>404.94369409953254</v>
      </c>
      <c r="CG269" s="712"/>
      <c r="CH269" s="712">
        <f ca="1">IF(B269&gt;Summary!$A$1,#N/A,CF269*MGtoAF)</f>
        <v>1242.3672534973659</v>
      </c>
      <c r="CI269" s="712">
        <f>Sheet1!BK269+Sheet1!BL269+Sheet1!BM269-Sheet1!EN269-CQ269</f>
        <v>10.039999999999999</v>
      </c>
      <c r="CJ269" s="712">
        <f t="shared" si="772"/>
        <v>10.13772688233518</v>
      </c>
      <c r="CK269" s="712">
        <f>IF(Sheet1!EN269="FM",CQ269,0)</f>
        <v>0</v>
      </c>
      <c r="CL269" s="712">
        <f t="shared" si="773"/>
        <v>0</v>
      </c>
      <c r="CM269" s="712">
        <f>IF(Sheet1!EN269="OTHER",CQ269,0)</f>
        <v>0</v>
      </c>
      <c r="CN269" s="712">
        <f t="shared" si="774"/>
        <v>0</v>
      </c>
      <c r="CO269" s="712">
        <f t="shared" si="775"/>
        <v>10.039999999999999</v>
      </c>
      <c r="CP269" s="712">
        <f t="shared" si="776"/>
        <v>10.13772688233518</v>
      </c>
      <c r="CQ269" s="712">
        <f>IF(OR(Sheet1!EN269="FM", Sheet1!EN269="OTHER"),SUM(Sheet1!BK269:'Sheet1'!BM269),0)</f>
        <v>0</v>
      </c>
      <c r="CR269" s="697">
        <f>IF(AND($B269&gt;=$FL269,$B269&lt;=$FM269),MAX($CJ269,Sheet1!EG269,0),MAX($CJ269-(7/36)*$K269,0))</f>
        <v>10.13772688233518</v>
      </c>
      <c r="CS269" s="712">
        <f t="shared" si="777"/>
        <v>0</v>
      </c>
      <c r="CT269" s="697">
        <f t="shared" si="778"/>
        <v>0</v>
      </c>
      <c r="CU269" s="697">
        <f>IF(AND($O269&gt;0,Sheet1!EK269=1),(1-($O269-Sheet1!$L269)/$O269)*CP269,0)</f>
        <v>0</v>
      </c>
      <c r="CV269" s="697">
        <f>IF(AND(Sheet1!$L269=0,Sheet1!$L268=0, Calculation!CO269&lt;Sheet1!$EG269-0.1,Sheet1!$EG269=Sheet1!$EG268,Sheet1!$EG269=Sheet1!$EG270),Sheet1!$EG269,CP269-CU269)</f>
        <v>10.13772688233518</v>
      </c>
      <c r="CW269" s="697">
        <f t="shared" si="823"/>
        <v>0</v>
      </c>
      <c r="CX269" s="712">
        <f t="shared" si="779"/>
        <v>16.329999999999998</v>
      </c>
      <c r="CY269" s="712">
        <f t="shared" si="780"/>
        <v>121.86982165680726</v>
      </c>
      <c r="CZ269" s="712">
        <f t="shared" si="781"/>
        <v>16.488952190092977</v>
      </c>
      <c r="DA269" s="712">
        <f ca="1">IF(B269&gt;Summary!$A$1,#N/A,CY269*MGtoAF)</f>
        <v>373.89661284308471</v>
      </c>
      <c r="DB269" s="712">
        <f t="shared" si="782"/>
        <v>16.329999999999998</v>
      </c>
      <c r="DC269" s="712">
        <f t="shared" si="783"/>
        <v>34.93</v>
      </c>
      <c r="DD269" s="712">
        <f>Sheet1!AB269-DC269</f>
        <v>0.33999999999679886</v>
      </c>
      <c r="DE269" s="712">
        <f t="shared" si="784"/>
        <v>9.733753220635525E-3</v>
      </c>
      <c r="DF269" s="712">
        <f>(VLOOKUP(Sheet1!CY269,hhdcap_wcm,4)-(((VLOOKUP(Sheet1!CY269,hhdcap_wcm,3)-Sheet1!CY269)/(VLOOKUP(Sheet1!CY269,hhdcap_wcm,3)-VLOOKUP(Sheet1!CY269,hhdcap_wcm,1)))*(VLOOKUP(Sheet1!CY269,hhdcap_wcm,4)-VLOOKUP(Sheet1!CY269,hhdcap_wcm,2))))</f>
        <v>32439.00000008025</v>
      </c>
      <c r="DG269" s="712">
        <f t="shared" si="785"/>
        <v>-316.75000000020736</v>
      </c>
      <c r="DH269" s="712">
        <f t="shared" si="786"/>
        <v>-159.73272818971625</v>
      </c>
      <c r="DI269" s="712">
        <f>Sheet1!DW269*AFtoMG</f>
        <v>0</v>
      </c>
      <c r="DJ269" s="712">
        <f>Sheet1!DX269*AFtoMG</f>
        <v>0</v>
      </c>
      <c r="DK269" s="712">
        <f>Sheet1!DY269*AFtoMG</f>
        <v>0</v>
      </c>
      <c r="DL269" s="712">
        <f>Sheet1!DZ269*AFtoMG</f>
        <v>0</v>
      </c>
      <c r="DM269" s="712">
        <f t="shared" si="787"/>
        <v>0</v>
      </c>
      <c r="DN269" s="712">
        <f t="shared" si="788"/>
        <v>0</v>
      </c>
      <c r="DO269" s="712">
        <f t="shared" si="789"/>
        <v>1897.9697867556188</v>
      </c>
      <c r="DP269" s="712">
        <f t="shared" si="790"/>
        <v>5822.9713057662384</v>
      </c>
      <c r="DQ269" s="712"/>
      <c r="DR269" s="697">
        <f>IF(OR(B269&lt;FL269,B269&gt;FM269),(MIN(AV269+BO269+CJ269+MAX(Sheet1!AA269+AG269-73,0),K269)),0)</f>
        <v>0</v>
      </c>
      <c r="DS269" s="712"/>
      <c r="DT269" s="712">
        <f t="shared" si="791"/>
        <v>16.488952190092977</v>
      </c>
      <c r="DU269" s="712"/>
      <c r="DV269" s="712">
        <f>Sheet1!ED269+Sheet1!EE269+Sheet1!EF269+Sheet1!EG269</f>
        <v>16</v>
      </c>
      <c r="DW269" s="712"/>
      <c r="DX269" s="697">
        <f t="shared" si="792"/>
        <v>0</v>
      </c>
      <c r="DY269" s="712">
        <f>IF(Sheet1!FN269=1,SUM('Calculations II'!AT269:BA269)+'Calculations II'!BC269+Sheet1!BU269+'Calculations II'!BE269+AF269,SUM('Calculations II'!AT269:BA269)+'Calculations II'!BC269+Sheet1!BU269+'Calculations II'!BE269+AF269)</f>
        <v>60.476009599999998</v>
      </c>
      <c r="DZ269" s="712">
        <f>Sheet1!AA269+Sheet1!AB269+'Calculations II'!BC269</f>
        <v>82.098121600003779</v>
      </c>
      <c r="EA269" s="712"/>
      <c r="EB269" s="712"/>
      <c r="EC269" s="712">
        <f t="shared" si="793"/>
        <v>40798</v>
      </c>
      <c r="ED269" s="712">
        <f t="shared" si="794"/>
        <v>-16.540166046377152</v>
      </c>
      <c r="EE269" s="712">
        <f t="shared" si="795"/>
        <v>-25.587636873745453</v>
      </c>
      <c r="EF269" s="712">
        <f ca="1">IF(B269=TODAY(),0,-(VLOOKUP(Sheet1!BQ269,Lookup!$B$4:$J$236,2)-VLOOKUP(Sheet1!BQ268,Lookup!$B$4:$J$236,2))/1000000)</f>
        <v>-1.8867</v>
      </c>
      <c r="EG269" s="712">
        <f ca="1">IF(B269=TODAY(),0,-(VLOOKUP(Sheet1!BR269,Lookup!$B$4:$J$236,3)-VLOOKUP(Sheet1!BR268,Lookup!$B$4:$J$236,3))/1000000)</f>
        <v>-1.8832</v>
      </c>
      <c r="EH269" s="712">
        <f>-(VLOOKUP(Sheet1!BS269,Lookup!$B$4:$J$236,4)-VLOOKUP(Sheet1!BS268,Lookup!$B$4:$J$236,4))/1000000</f>
        <v>0</v>
      </c>
      <c r="EI269" s="697">
        <f t="shared" ca="1" si="819"/>
        <v>-3.7698999999999998</v>
      </c>
      <c r="EJ269" s="712"/>
      <c r="EK269" s="712"/>
      <c r="EL269" s="712"/>
      <c r="EM269" s="712"/>
      <c r="EN269" s="712"/>
      <c r="EO269" s="712"/>
      <c r="EP269" s="712"/>
      <c r="EQ269" s="712"/>
      <c r="ER269" s="697">
        <f>EU268-ES269</f>
        <v>10193.155861101497</v>
      </c>
      <c r="ES269" s="712">
        <f>-IF(-(AB269-AE269-EZ269-EU268)&gt;0,(AB269-AE269-EZ269-EU268)/1.983,0)</f>
        <v>81.512885883520838</v>
      </c>
      <c r="ET269" s="794">
        <f t="shared" si="818"/>
        <v>1127.3</v>
      </c>
      <c r="EU269" s="697">
        <f t="shared" ref="EU269:EU279" si="832">EU268-EY269</f>
        <v>10193.155861101497</v>
      </c>
      <c r="EV269" s="795">
        <f t="shared" si="734"/>
        <v>15202.872833212517</v>
      </c>
      <c r="EW269" s="796" t="s">
        <v>757</v>
      </c>
      <c r="EX269" s="796" t="s">
        <v>757</v>
      </c>
      <c r="EY269" s="712">
        <f t="shared" si="817"/>
        <v>81.512885883520838</v>
      </c>
      <c r="EZ269" s="798">
        <v>16503.000000036016</v>
      </c>
      <c r="FA269" s="712"/>
      <c r="FB269" s="712"/>
      <c r="FC269" s="712"/>
      <c r="FD269" s="712"/>
      <c r="FE269" s="712">
        <f>O269+Sheet1!CO269</f>
        <v>87.730000000003784</v>
      </c>
      <c r="FF269" s="712">
        <f>IF(Sheet1!AA269+AG269&lt;=Calculation!N269,AG269,Calculation!N269-Sheet1!AA269)</f>
        <v>18.781047809903821</v>
      </c>
      <c r="FG269" s="712">
        <f>(Sheet1!BP269+Sheet1!BO269)/694.4</f>
        <v>4.0960541474654386</v>
      </c>
      <c r="FH269" s="712"/>
      <c r="FI269" s="712"/>
      <c r="FJ269" s="712"/>
      <c r="FK269" s="712"/>
      <c r="FL269" s="714">
        <f t="shared" si="827"/>
        <v>40753</v>
      </c>
      <c r="FM269" s="714">
        <f t="shared" si="828"/>
        <v>40851</v>
      </c>
      <c r="FN269" s="712"/>
      <c r="FO269" s="712"/>
      <c r="FP269" s="712"/>
      <c r="FQ269" s="712"/>
      <c r="FR269" s="712"/>
      <c r="FS269" s="725">
        <f t="shared" si="829"/>
        <v>40603</v>
      </c>
      <c r="FT269" s="714">
        <f t="shared" si="830"/>
        <v>40709</v>
      </c>
      <c r="FU269" s="712">
        <f t="shared" si="829"/>
        <v>6518.9048239895692</v>
      </c>
      <c r="FV269" s="714">
        <f t="shared" si="831"/>
        <v>40722</v>
      </c>
      <c r="FW269" s="712">
        <f t="shared" si="829"/>
        <v>3259.4524119947846</v>
      </c>
      <c r="FX269" s="725">
        <f t="shared" si="829"/>
        <v>40851</v>
      </c>
      <c r="FZ269" s="697">
        <f t="shared" si="824"/>
        <v>0</v>
      </c>
      <c r="GA269" s="712" t="str">
        <f t="shared" si="797"/>
        <v/>
      </c>
      <c r="GB269" s="712">
        <f t="shared" si="798"/>
        <v>0</v>
      </c>
      <c r="GC269" s="712" t="str">
        <f t="shared" si="799"/>
        <v/>
      </c>
      <c r="GD269" s="712">
        <f>IF(GA269="P",Lookup!$M$12,IF(GA269="PP",Lookup!$M$13,IF(GA269="PPP",Lookup!$M$14,IF(GA269="T",Lookup!$M$15,IF(GA269="TP",Lookup!$M$16,IF(GA269="TPP",Lookup!$M$17,IF(GA269="TPPP",Lookup!$M$18,0)))))))*FZ269</f>
        <v>0</v>
      </c>
      <c r="GE269" s="712">
        <f t="shared" si="800"/>
        <v>0</v>
      </c>
      <c r="GF269" s="712">
        <f t="shared" si="801"/>
        <v>2566.3978666666662</v>
      </c>
      <c r="GG269" s="712">
        <f t="shared" si="802"/>
        <v>836.50517166449356</v>
      </c>
      <c r="GH269" s="712"/>
      <c r="GI269" s="712">
        <f t="shared" si="803"/>
        <v>0</v>
      </c>
      <c r="GJ269" s="712" t="str">
        <f t="shared" si="804"/>
        <v/>
      </c>
      <c r="GK269" s="712">
        <f>IF(GA269="P",Lookup!$N$12,IF(GA269="PP",Lookup!$N$13,IF(GA269="PPP",Lookup!$N$14,IF(GA269="T",Lookup!$N$15,IF(GA269="TP",Lookup!$N$16,IF(GA269="TPP",Lookup!$N$17,IF(GA269="TPPP",Lookup!$N$18,0)))))))*FZ269</f>
        <v>0</v>
      </c>
      <c r="GL269" s="712">
        <f t="shared" si="805"/>
        <v>0</v>
      </c>
      <c r="GM269" s="712">
        <f t="shared" si="806"/>
        <v>1640.3095727591219</v>
      </c>
      <c r="GN269" s="712">
        <f t="shared" si="807"/>
        <v>534.6510993347855</v>
      </c>
      <c r="GO269" s="712"/>
      <c r="GP269" s="712">
        <f t="shared" si="808"/>
        <v>0</v>
      </c>
      <c r="GQ269" s="712" t="str">
        <f t="shared" si="809"/>
        <v/>
      </c>
      <c r="GR269" s="712">
        <f>IF(GA269="P",Lookup!$N$12,IF(GA269="PP",Lookup!$N$13,IF(GA269="PPP",Lookup!$N$14,IF(GA269="T",Lookup!$N$15,IF(GA269="TP",Lookup!$N$16,IF(GA269="TPP",Lookup!$N$17,IF(GA269="TPPP",Lookup!$N$18,0)))))))*FZ269</f>
        <v>0</v>
      </c>
      <c r="GS269" s="697">
        <f t="shared" si="825"/>
        <v>0</v>
      </c>
      <c r="GT269" s="712">
        <f t="shared" si="810"/>
        <v>1242.3672534973659</v>
      </c>
      <c r="GU269" s="712">
        <f t="shared" si="811"/>
        <v>404.94369409953254</v>
      </c>
      <c r="GV269" s="712"/>
      <c r="GW269" s="712">
        <f t="shared" si="812"/>
        <v>0</v>
      </c>
      <c r="GX269" s="712" t="str">
        <f t="shared" si="813"/>
        <v/>
      </c>
      <c r="GY269" s="712">
        <f>IF(GA269="P",Lookup!$N$12,IF(GA269="PP",Lookup!$N$13,IF(GA269="PPP",Lookup!$N$14,IF(GA269="T",Lookup!$N$15,IF(GA269="TP",Lookup!$N$16,IF(GA269="TPP",Lookup!$N$17,IF(GA269="TPPP",Lookup!$N$18,0)))))))*FZ269</f>
        <v>0</v>
      </c>
      <c r="GZ269" s="697">
        <f t="shared" si="826"/>
        <v>0</v>
      </c>
      <c r="HA269" s="712">
        <f t="shared" si="814"/>
        <v>373.89661284308471</v>
      </c>
      <c r="HB269" s="712">
        <f t="shared" si="815"/>
        <v>121.86982165680726</v>
      </c>
      <c r="HC269" s="712"/>
    </row>
    <row r="270" spans="1:211">
      <c r="A270" s="773" t="s">
        <v>5</v>
      </c>
      <c r="B270" s="708">
        <v>40799</v>
      </c>
      <c r="C270" s="719">
        <v>0.5</v>
      </c>
      <c r="D270" s="675">
        <f t="shared" si="737"/>
        <v>200</v>
      </c>
      <c r="E270" s="675">
        <f t="shared" si="738"/>
        <v>400</v>
      </c>
      <c r="F270" s="675">
        <v>250</v>
      </c>
      <c r="G270" s="712">
        <f>DH270+Sheet1!CV270</f>
        <v>135.39485627815992</v>
      </c>
      <c r="H270" s="712">
        <f t="shared" si="739"/>
        <v>0</v>
      </c>
      <c r="I270" s="711">
        <f>MAX(Sheet1!Z270-AJ270+(Sheet1!CW270-E270)*CFStoMGD,0)</f>
        <v>0</v>
      </c>
      <c r="J270" s="720">
        <f>IF(AND(B270&gt;=Calculation!FS270,B270&lt;=Calculation!FT270),IF(Sheet1!CX270&gt;=Calculation!D270,64.64,0),MAX(Sheet1!Z270-AJ270+(Sheet1!CX270-D270)*CFStoMGD,0))</f>
        <v>0</v>
      </c>
      <c r="K270" s="697">
        <f t="shared" si="740"/>
        <v>0</v>
      </c>
      <c r="L270" s="712">
        <f>Sheet1!AA270+Sheet1!AB270-Sheet1!L270+(Sheet1!CW270-F270)*CFStoMGD</f>
        <v>109.02366666666578</v>
      </c>
      <c r="M270" s="712">
        <f t="shared" si="741"/>
        <v>89.269619800166623</v>
      </c>
      <c r="N270" s="712">
        <f>IF(Sheet1!CW270&gt;=F270,MIN(73,MIN(MAX(L270,0),MAX(M270,0))),0)</f>
        <v>73</v>
      </c>
      <c r="O270" s="721">
        <f>Sheet1!AA270+Sheet1!AB270</f>
        <v>80.709999999999127</v>
      </c>
      <c r="P270" s="721">
        <f t="shared" si="742"/>
        <v>124.85836999999864</v>
      </c>
      <c r="Q270" s="712">
        <f>MIN(N270,Sheet1!AA270+AG270)</f>
        <v>64.87377320765529</v>
      </c>
      <c r="R270" s="712">
        <f t="shared" si="743"/>
        <v>16</v>
      </c>
      <c r="S270" s="721">
        <f>Sheet1!Y270*MGDtoCFS</f>
        <v>71.765329999999992</v>
      </c>
      <c r="T270" s="721">
        <f>Sheet1!Z270*MGDtoCFS</f>
        <v>54.206879999999998</v>
      </c>
      <c r="U270" s="721">
        <f>Sheet1!AA270*MGDtoCFS</f>
        <v>71.285760000002696</v>
      </c>
      <c r="V270" s="721">
        <f>Sheet1!AB270*MGDtoCFS</f>
        <v>53.572609999995947</v>
      </c>
      <c r="W270" s="721">
        <f>Sheet1!L270*MGDtoCFS</f>
        <v>0</v>
      </c>
      <c r="X270" s="697">
        <f t="shared" si="744"/>
        <v>16.015932590688074</v>
      </c>
      <c r="Y270" s="712">
        <f t="shared" si="745"/>
        <v>24.77664771779445</v>
      </c>
      <c r="Z270" s="712">
        <f t="shared" si="746"/>
        <v>0</v>
      </c>
      <c r="AA270" s="712">
        <f t="shared" si="747"/>
        <v>0</v>
      </c>
      <c r="AB270" s="712">
        <f>(VLOOKUP(Sheet1!CY270,hhdcap_wcm,4)-(((VLOOKUP(Sheet1!CY270,hhdcap_wcm,3)-Sheet1!CY270)/(VLOOKUP(Sheet1!CY270,hhdcap_wcm,3)-VLOOKUP(Sheet1!CY270,hhdcap_wcm,1)))*(VLOOKUP(Sheet1!CY270,hhdcap_wcm,4)-VLOOKUP(Sheet1!CY270,hhdcap_wcm,2))))</f>
        <v>32140.350000079841</v>
      </c>
      <c r="AC270" s="712">
        <f t="shared" si="748"/>
        <v>-298.65000000040891</v>
      </c>
      <c r="AD270" s="712">
        <f t="shared" si="749"/>
        <v>1881.9538541649308</v>
      </c>
      <c r="AE270" s="712">
        <f t="shared" si="750"/>
        <v>5773.8344245780081</v>
      </c>
      <c r="AF270" s="712">
        <f>Sheet1!BA270+Sheet1!BB270+Sheet1!BN270+BT270</f>
        <v>19</v>
      </c>
      <c r="AG270" s="712">
        <f t="shared" si="751"/>
        <v>18.793773207653537</v>
      </c>
      <c r="AH270" s="712">
        <f>Sheet1!BA270+BT270</f>
        <v>0</v>
      </c>
      <c r="AI270" s="712">
        <f>Sheet1!BA270+Sheet1!BB270+BT270</f>
        <v>0</v>
      </c>
      <c r="AJ270" s="712">
        <f>IF((Sheet1!AA270+AG270+AX270+AZ270+BQ270+BS270+CL270+CN270)&lt;=N270,AG270+AX270+AZ270+BQ270+BS270+CL270+CN270,N270-Sheet1!AA270)</f>
        <v>18.793773207653537</v>
      </c>
      <c r="AK270" s="712">
        <f>IF(DR270&lt;K270,0,MAX(Sheet1!AA270+AG270-15/36*K270-N270,Sheet1!ED270,0))</f>
        <v>0</v>
      </c>
      <c r="AL270" s="712">
        <f>IF(OR(B270&gt;=FT270,B270&lt;FS270),0,15/36*K270-MAX(0,64.6-(137.6-(Sheet1!AA270+Sheet1!AB270))))</f>
        <v>0</v>
      </c>
      <c r="AM270" s="712">
        <f>Sheet1!CX270-110</f>
        <v>60.260416666666657</v>
      </c>
      <c r="AN270" s="712">
        <f>Sheet1!CW270-265</f>
        <v>28.802083333333314</v>
      </c>
      <c r="AO270" s="712">
        <f t="shared" si="733"/>
        <v>8.1262267923447098</v>
      </c>
      <c r="AP270" s="851">
        <v>0</v>
      </c>
      <c r="AQ270" s="712">
        <f t="shared" si="753"/>
        <v>0</v>
      </c>
      <c r="AR270" s="712">
        <f t="shared" si="821"/>
        <v>836.50517166449356</v>
      </c>
      <c r="AS270" s="712"/>
      <c r="AT270" s="712">
        <f ca="1">IF(B270&gt;Summary!$A$1,#N/A,AR270*MGtoAF)</f>
        <v>2566.3978666666662</v>
      </c>
      <c r="AU270" s="712">
        <f>Sheet1!BG270+Sheet1!BH270+Sheet1!BI270-BC270</f>
        <v>1.91</v>
      </c>
      <c r="AV270" s="712">
        <f t="shared" si="755"/>
        <v>1.889268780348329</v>
      </c>
      <c r="AW270" s="712">
        <f>IF(Sheet1!EL270="FM",BC270,0)</f>
        <v>0</v>
      </c>
      <c r="AX270" s="712">
        <f t="shared" si="756"/>
        <v>0</v>
      </c>
      <c r="AY270" s="712">
        <f>IF(Sheet1!EL270="OTHER",BC270,0)</f>
        <v>0</v>
      </c>
      <c r="AZ270" s="712">
        <f t="shared" si="757"/>
        <v>0</v>
      </c>
      <c r="BA270" s="712">
        <f t="shared" si="758"/>
        <v>1.91</v>
      </c>
      <c r="BB270" s="712">
        <f t="shared" si="759"/>
        <v>1.889268780348329</v>
      </c>
      <c r="BC270" s="712">
        <f>IF(OR(Sheet1!EL270="FM", Sheet1!EL270="OTHER"),SUM(Sheet1!BG270:'Sheet1'!BI270),0)</f>
        <v>0</v>
      </c>
      <c r="BD270" s="697">
        <f>IF(AND($B270&gt;=$FL270,$B270&lt;=$FM270),MAX(AV270,Sheet1!EE270,0),MAX(AV270-(7/36)*$K270,0))</f>
        <v>2</v>
      </c>
      <c r="BE270" s="712">
        <f t="shared" si="760"/>
        <v>0</v>
      </c>
      <c r="BF270" s="697">
        <f t="shared" si="761"/>
        <v>0</v>
      </c>
      <c r="BG270" s="697">
        <f>IF(AND($O270&gt;0,Sheet1!EI270=1),(1-($O270-Sheet1!$L270)/$O270)*BB270,0)</f>
        <v>0</v>
      </c>
      <c r="BH270" s="697">
        <f>IF(AND(Sheet1!$L270=0,Sheet1!$L269=0, Calculation!BA270&lt;Sheet1!$EE270-0.1,Sheet1!$EE270=Sheet1!$EE269,Sheet1!$EE270=Sheet1!$EE271),Sheet1!$EE270,BB270-BG270)</f>
        <v>1.889268780348329</v>
      </c>
      <c r="BI270" s="712"/>
      <c r="BJ270" s="712"/>
      <c r="BK270" s="712">
        <f t="shared" si="762"/>
        <v>532.6510993347855</v>
      </c>
      <c r="BL270" s="712"/>
      <c r="BM270" s="712">
        <f ca="1">IF(B270&gt;Summary!$A$1,#N/A,BK270*MGtoAF)</f>
        <v>1634.173572759122</v>
      </c>
      <c r="BN270" s="712">
        <f>Sheet1!BC270+Sheet1!BD270+Sheet1!BE270+Sheet1!BF270-BW270-BX270</f>
        <v>4.0600000000000005</v>
      </c>
      <c r="BO270" s="712">
        <f t="shared" si="763"/>
        <v>4.0159325906880721</v>
      </c>
      <c r="BP270" s="712">
        <f>IF(Sheet1!EM270="FM",BX270,0)</f>
        <v>0</v>
      </c>
      <c r="BQ270" s="712">
        <f t="shared" si="764"/>
        <v>0</v>
      </c>
      <c r="BR270" s="712">
        <f>IF(Sheet1!EM270="OTHER",BX270,0)</f>
        <v>0</v>
      </c>
      <c r="BS270" s="712">
        <f t="shared" si="765"/>
        <v>0</v>
      </c>
      <c r="BT270" s="712">
        <f t="shared" si="766"/>
        <v>0</v>
      </c>
      <c r="BU270" s="712">
        <f t="shared" si="767"/>
        <v>4.0600000000000005</v>
      </c>
      <c r="BV270" s="712">
        <f t="shared" si="768"/>
        <v>4.0159325906880721</v>
      </c>
      <c r="BW270" s="712">
        <f>IF(Sheet1!EM270="CWA",SUM(Sheet1!BC270:'Sheet1'!BF270),0)</f>
        <v>0</v>
      </c>
      <c r="BX270" s="712">
        <f>IF(OR(Sheet1!EM270="FM", Sheet1!EM270="OTHER"),SUM(Sheet1!BC270:'Sheet1'!BF270),0)</f>
        <v>0</v>
      </c>
      <c r="BY270" s="697">
        <f>IF(AND($B270&gt;=$FL270,$B270&lt;=$FM270),MAX(BV270,Sheet1!EF270,0),MAX(BV270-(7/36)*$K270,0))</f>
        <v>4.0159325906880721</v>
      </c>
      <c r="BZ270" s="712">
        <f t="shared" si="769"/>
        <v>0</v>
      </c>
      <c r="CA270" s="697">
        <f t="shared" si="770"/>
        <v>0</v>
      </c>
      <c r="CB270" s="697">
        <f>IF(AND($O270&gt;0,Sheet1!EJ270=1),(1-($O270-Sheet1!$L270)/$O270)*BV270,0)</f>
        <v>0</v>
      </c>
      <c r="CC270" s="697">
        <f>IF(AND(Sheet1!$L270=0,Sheet1!$L269=0, Calculation!BU270&lt;Sheet1!EF270-0.1,Sheet1!EF270=Sheet1!EF269,Sheet1!EF270=Sheet1!EF271),Sheet1!EF270,BV270-CB270)</f>
        <v>4.0159325906880721</v>
      </c>
      <c r="CD270" s="697"/>
      <c r="CE270" s="712"/>
      <c r="CF270" s="712">
        <f t="shared" si="771"/>
        <v>400.92776150884447</v>
      </c>
      <c r="CG270" s="712"/>
      <c r="CH270" s="712">
        <f ca="1">IF(B270&gt;Summary!$A$1,#N/A,CF270*MGtoAF)</f>
        <v>1230.0463723091348</v>
      </c>
      <c r="CI270" s="712">
        <f>Sheet1!BK270+Sheet1!BL270+Sheet1!BM270-Sheet1!EN270-CQ270</f>
        <v>10.039999999999999</v>
      </c>
      <c r="CJ270" s="712">
        <f t="shared" si="772"/>
        <v>9.9310254213074458</v>
      </c>
      <c r="CK270" s="712">
        <f>IF(Sheet1!EN270="FM",CQ270,0)</f>
        <v>0</v>
      </c>
      <c r="CL270" s="712">
        <f t="shared" si="773"/>
        <v>0</v>
      </c>
      <c r="CM270" s="712">
        <f>IF(Sheet1!EN270="OTHER",CQ270,0)</f>
        <v>0</v>
      </c>
      <c r="CN270" s="712">
        <f t="shared" si="774"/>
        <v>0</v>
      </c>
      <c r="CO270" s="712">
        <f t="shared" si="775"/>
        <v>10.039999999999999</v>
      </c>
      <c r="CP270" s="712">
        <f t="shared" si="776"/>
        <v>9.9310254213074458</v>
      </c>
      <c r="CQ270" s="712">
        <f>IF(OR(Sheet1!EN270="FM", Sheet1!EN270="OTHER"),SUM(Sheet1!BK270:'Sheet1'!BM270),0)</f>
        <v>0</v>
      </c>
      <c r="CR270" s="697">
        <f>IF(AND($B270&gt;=$FL270,$B270&lt;=$FM270),MAX($CJ270,Sheet1!EG270,0),MAX($CJ270-(7/36)*$K270,0))</f>
        <v>10</v>
      </c>
      <c r="CS270" s="712">
        <f t="shared" si="777"/>
        <v>0</v>
      </c>
      <c r="CT270" s="697">
        <f t="shared" si="778"/>
        <v>0</v>
      </c>
      <c r="CU270" s="697">
        <f>IF(AND($O270&gt;0,Sheet1!EK270=1),(1-($O270-Sheet1!$L270)/$O270)*CP270,0)</f>
        <v>0</v>
      </c>
      <c r="CV270" s="697">
        <f>IF(AND(Sheet1!$L270=0,Sheet1!$L269=0, Calculation!CO270&lt;Sheet1!$EG270-0.1,Sheet1!$EG270=Sheet1!$EG269,Sheet1!$EG270=Sheet1!$EG271),Sheet1!$EG270,CP270-CU270)</f>
        <v>9.9310254213074458</v>
      </c>
      <c r="CW270" s="697">
        <f t="shared" si="823"/>
        <v>0</v>
      </c>
      <c r="CX270" s="712">
        <f t="shared" si="779"/>
        <v>16.009999999999998</v>
      </c>
      <c r="CY270" s="712">
        <f t="shared" si="780"/>
        <v>111.86982165680726</v>
      </c>
      <c r="CZ270" s="712">
        <f t="shared" si="781"/>
        <v>15.836226792343847</v>
      </c>
      <c r="DA270" s="712">
        <f ca="1">IF(B270&gt;Summary!$A$1,#N/A,CY270*MGtoAF)</f>
        <v>343.2166128430847</v>
      </c>
      <c r="DB270" s="712">
        <f t="shared" si="782"/>
        <v>16.009999999999998</v>
      </c>
      <c r="DC270" s="712">
        <f t="shared" si="783"/>
        <v>35.01</v>
      </c>
      <c r="DD270" s="712">
        <f>Sheet1!AB270-DC270</f>
        <v>-0.38000000000261736</v>
      </c>
      <c r="DE270" s="712">
        <f t="shared" si="784"/>
        <v>-1.0854041702445512E-2</v>
      </c>
      <c r="DF270" s="712">
        <f>(VLOOKUP(Sheet1!CY270,hhdcap_wcm,4)-(((VLOOKUP(Sheet1!CY270,hhdcap_wcm,3)-Sheet1!CY270)/(VLOOKUP(Sheet1!CY270,hhdcap_wcm,3)-VLOOKUP(Sheet1!CY270,hhdcap_wcm,1)))*(VLOOKUP(Sheet1!CY270,hhdcap_wcm,4)-VLOOKUP(Sheet1!CY270,hhdcap_wcm,2))))</f>
        <v>32140.350000079841</v>
      </c>
      <c r="DG270" s="712">
        <f t="shared" si="785"/>
        <v>-298.65000000040891</v>
      </c>
      <c r="DH270" s="712">
        <f t="shared" si="786"/>
        <v>-150.60514372184008</v>
      </c>
      <c r="DI270" s="712">
        <f>Sheet1!DW270*AFtoMG</f>
        <v>0</v>
      </c>
      <c r="DJ270" s="712">
        <f>Sheet1!DX270*AFtoMG</f>
        <v>0</v>
      </c>
      <c r="DK270" s="712">
        <f>Sheet1!DY270*AFtoMG</f>
        <v>0</v>
      </c>
      <c r="DL270" s="712">
        <f>Sheet1!DZ270*AFtoMG</f>
        <v>0</v>
      </c>
      <c r="DM270" s="712">
        <f t="shared" si="787"/>
        <v>0</v>
      </c>
      <c r="DN270" s="712">
        <f t="shared" si="788"/>
        <v>0</v>
      </c>
      <c r="DO270" s="712">
        <f t="shared" si="789"/>
        <v>1881.9538541649308</v>
      </c>
      <c r="DP270" s="712">
        <f t="shared" si="790"/>
        <v>5773.8344245780081</v>
      </c>
      <c r="DQ270" s="712"/>
      <c r="DR270" s="697">
        <f>IF(OR(B270&lt;FL270,B270&gt;FM270),(MIN(AV270+BO270+CJ270+MAX(Sheet1!AA270+AG270-73,0),K270)),0)</f>
        <v>0</v>
      </c>
      <c r="DS270" s="712"/>
      <c r="DT270" s="712">
        <f t="shared" si="791"/>
        <v>15.836226792343847</v>
      </c>
      <c r="DU270" s="712"/>
      <c r="DV270" s="712">
        <f>Sheet1!ED270+Sheet1!EE270+Sheet1!EF270+Sheet1!EG270</f>
        <v>16</v>
      </c>
      <c r="DW270" s="712"/>
      <c r="DX270" s="697">
        <f t="shared" si="792"/>
        <v>0</v>
      </c>
      <c r="DY270" s="712">
        <f>IF(Sheet1!FN270=1,SUM('Calculations II'!AT270:BA270)+'Calculations II'!BC270+Sheet1!BU270+'Calculations II'!BE270+AF270,SUM('Calculations II'!AT270:BA270)+'Calculations II'!BC270+Sheet1!BU270+'Calculations II'!BE270+AF270)</f>
        <v>61.368127999999999</v>
      </c>
      <c r="DZ270" s="712">
        <f>Sheet1!AA270+Sheet1!AB270+'Calculations II'!BC270</f>
        <v>80.709999999999127</v>
      </c>
      <c r="EA270" s="712"/>
      <c r="EB270" s="712"/>
      <c r="EC270" s="712">
        <f t="shared" si="793"/>
        <v>40799</v>
      </c>
      <c r="ED270" s="712">
        <f t="shared" si="794"/>
        <v>-16.015932590688074</v>
      </c>
      <c r="EE270" s="712">
        <f t="shared" si="795"/>
        <v>-24.77664771779445</v>
      </c>
      <c r="EF270" s="712">
        <f ca="1">IF(B270=TODAY(),0,-(VLOOKUP(Sheet1!BQ270,Lookup!$B$4:$J$236,2)-VLOOKUP(Sheet1!BQ269,Lookup!$B$4:$J$236,2))/1000000)</f>
        <v>-1.3525</v>
      </c>
      <c r="EG270" s="712">
        <f ca="1">IF(B270=TODAY(),0,-(VLOOKUP(Sheet1!BR270,Lookup!$B$4:$J$236,3)-VLOOKUP(Sheet1!BR269,Lookup!$B$4:$J$236,3))/1000000)</f>
        <v>-1.08</v>
      </c>
      <c r="EH270" s="712">
        <f>-(VLOOKUP(Sheet1!BS270,Lookup!$B$4:$J$236,4)-VLOOKUP(Sheet1!BS269,Lookup!$B$4:$J$236,4))/1000000</f>
        <v>0</v>
      </c>
      <c r="EI270" s="697">
        <f t="shared" ca="1" si="819"/>
        <v>-2.4325000000000001</v>
      </c>
      <c r="EJ270" s="712"/>
      <c r="EK270" s="712"/>
      <c r="EL270" s="712"/>
      <c r="EM270" s="712"/>
      <c r="EN270" s="712"/>
      <c r="EO270" s="712"/>
      <c r="EP270" s="712"/>
      <c r="EQ270" s="712"/>
      <c r="ER270" s="697">
        <f t="shared" ref="ER270:ER302" si="833">ER269-ES270</f>
        <v>10105.137562748088</v>
      </c>
      <c r="ES270" s="712">
        <f t="shared" ref="ES270:ES302" si="834">-IF(-(AB270-AE270-EZ270-ER269)&gt;0,(AB270-AE270-EZ270-ER269)/1.983,0)</f>
        <v>88.018298353409008</v>
      </c>
      <c r="ET270" s="794">
        <f t="shared" si="818"/>
        <v>1127</v>
      </c>
      <c r="EU270" s="697">
        <f t="shared" si="832"/>
        <v>10105.137562748088</v>
      </c>
      <c r="EV270" s="795">
        <f t="shared" si="734"/>
        <v>15041.378012753747</v>
      </c>
      <c r="EW270" s="796" t="s">
        <v>757</v>
      </c>
      <c r="EX270" s="796" t="s">
        <v>757</v>
      </c>
      <c r="EY270" s="712">
        <f t="shared" si="817"/>
        <v>88.018298353409008</v>
      </c>
      <c r="EZ270" s="798">
        <v>16347.900000035148</v>
      </c>
      <c r="FA270" s="712"/>
      <c r="FB270" s="712"/>
      <c r="FC270" s="712"/>
      <c r="FD270" s="712"/>
      <c r="FE270" s="712">
        <f>O270+Sheet1!CO270</f>
        <v>80.709999999999127</v>
      </c>
      <c r="FF270" s="712">
        <f>IF(Sheet1!AA270+AG270&lt;=Calculation!N270,AG270,Calculation!N270-Sheet1!AA270)</f>
        <v>18.793773207653537</v>
      </c>
      <c r="FG270" s="712">
        <f>(Sheet1!BP270+Sheet1!BO270)/694.4</f>
        <v>3.3479262672811063</v>
      </c>
      <c r="FH270" s="712"/>
      <c r="FI270" s="712"/>
      <c r="FJ270" s="712"/>
      <c r="FK270" s="712"/>
      <c r="FL270" s="714">
        <f t="shared" si="827"/>
        <v>40753</v>
      </c>
      <c r="FM270" s="714">
        <f t="shared" si="828"/>
        <v>40851</v>
      </c>
      <c r="FN270" s="712"/>
      <c r="FO270" s="712"/>
      <c r="FP270" s="712"/>
      <c r="FQ270" s="712"/>
      <c r="FR270" s="712"/>
      <c r="FS270" s="725">
        <f t="shared" si="829"/>
        <v>40603</v>
      </c>
      <c r="FT270" s="714">
        <f t="shared" si="830"/>
        <v>40709</v>
      </c>
      <c r="FU270" s="712">
        <f t="shared" si="829"/>
        <v>6518.9048239895692</v>
      </c>
      <c r="FV270" s="714">
        <f t="shared" si="831"/>
        <v>40722</v>
      </c>
      <c r="FW270" s="712">
        <f t="shared" si="829"/>
        <v>3259.4524119947846</v>
      </c>
      <c r="FX270" s="725">
        <f t="shared" si="829"/>
        <v>40851</v>
      </c>
      <c r="FZ270" s="697">
        <f t="shared" si="824"/>
        <v>0</v>
      </c>
      <c r="GA270" s="712" t="str">
        <f t="shared" si="797"/>
        <v/>
      </c>
      <c r="GB270" s="712">
        <f t="shared" si="798"/>
        <v>0</v>
      </c>
      <c r="GC270" s="712" t="str">
        <f t="shared" si="799"/>
        <v/>
      </c>
      <c r="GD270" s="712">
        <f>IF(GA270="P",Lookup!$M$12,IF(GA270="PP",Lookup!$M$13,IF(GA270="PPP",Lookup!$M$14,IF(GA270="T",Lookup!$M$15,IF(GA270="TP",Lookup!$M$16,IF(GA270="TPP",Lookup!$M$17,IF(GA270="TPPP",Lookup!$M$18,0)))))))*FZ270</f>
        <v>0</v>
      </c>
      <c r="GE270" s="712">
        <f t="shared" si="800"/>
        <v>0</v>
      </c>
      <c r="GF270" s="712">
        <f t="shared" si="801"/>
        <v>2566.3978666666662</v>
      </c>
      <c r="GG270" s="712">
        <f t="shared" si="802"/>
        <v>836.50517166449356</v>
      </c>
      <c r="GH270" s="712"/>
      <c r="GI270" s="712">
        <f t="shared" si="803"/>
        <v>0</v>
      </c>
      <c r="GJ270" s="712" t="str">
        <f t="shared" si="804"/>
        <v/>
      </c>
      <c r="GK270" s="712">
        <f>IF(GA270="P",Lookup!$N$12,IF(GA270="PP",Lookup!$N$13,IF(GA270="PPP",Lookup!$N$14,IF(GA270="T",Lookup!$N$15,IF(GA270="TP",Lookup!$N$16,IF(GA270="TPP",Lookup!$N$17,IF(GA270="TPPP",Lookup!$N$18,0)))))))*FZ270</f>
        <v>0</v>
      </c>
      <c r="GL270" s="712">
        <f t="shared" si="805"/>
        <v>0</v>
      </c>
      <c r="GM270" s="712">
        <f t="shared" si="806"/>
        <v>1634.173572759122</v>
      </c>
      <c r="GN270" s="712">
        <f t="shared" si="807"/>
        <v>532.6510993347855</v>
      </c>
      <c r="GO270" s="712"/>
      <c r="GP270" s="712">
        <f t="shared" si="808"/>
        <v>0</v>
      </c>
      <c r="GQ270" s="712" t="str">
        <f t="shared" si="809"/>
        <v/>
      </c>
      <c r="GR270" s="712">
        <f>IF(GA270="P",Lookup!$N$12,IF(GA270="PP",Lookup!$N$13,IF(GA270="PPP",Lookup!$N$14,IF(GA270="T",Lookup!$N$15,IF(GA270="TP",Lookup!$N$16,IF(GA270="TPP",Lookup!$N$17,IF(GA270="TPPP",Lookup!$N$18,0)))))))*FZ270</f>
        <v>0</v>
      </c>
      <c r="GS270" s="697">
        <f t="shared" si="825"/>
        <v>0</v>
      </c>
      <c r="GT270" s="712">
        <f t="shared" si="810"/>
        <v>1230.0463723091348</v>
      </c>
      <c r="GU270" s="712">
        <f t="shared" si="811"/>
        <v>400.92776150884447</v>
      </c>
      <c r="GV270" s="712"/>
      <c r="GW270" s="712">
        <f t="shared" si="812"/>
        <v>0</v>
      </c>
      <c r="GX270" s="712" t="str">
        <f t="shared" si="813"/>
        <v/>
      </c>
      <c r="GY270" s="712">
        <f>IF(GA270="P",Lookup!$N$12,IF(GA270="PP",Lookup!$N$13,IF(GA270="PPP",Lookup!$N$14,IF(GA270="T",Lookup!$N$15,IF(GA270="TP",Lookup!$N$16,IF(GA270="TPP",Lookup!$N$17,IF(GA270="TPPP",Lookup!$N$18,0)))))))*FZ270</f>
        <v>0</v>
      </c>
      <c r="GZ270" s="697">
        <f t="shared" si="826"/>
        <v>0</v>
      </c>
      <c r="HA270" s="712">
        <f t="shared" si="814"/>
        <v>343.2166128430847</v>
      </c>
      <c r="HB270" s="712">
        <f t="shared" si="815"/>
        <v>111.86982165680726</v>
      </c>
      <c r="HC270" s="712"/>
    </row>
    <row r="271" spans="1:211">
      <c r="A271" s="773" t="s">
        <v>6</v>
      </c>
      <c r="B271" s="708">
        <v>40800</v>
      </c>
      <c r="C271" s="719">
        <v>0.5</v>
      </c>
      <c r="D271" s="675">
        <f t="shared" si="737"/>
        <v>200</v>
      </c>
      <c r="E271" s="675">
        <f t="shared" si="738"/>
        <v>400</v>
      </c>
      <c r="F271" s="675">
        <v>250</v>
      </c>
      <c r="G271" s="712">
        <f>DH271+Sheet1!CV271</f>
        <v>141.34757942443176</v>
      </c>
      <c r="H271" s="712">
        <f t="shared" si="739"/>
        <v>0</v>
      </c>
      <c r="I271" s="711">
        <f>MAX(Sheet1!Z271-AJ271+(Sheet1!CW271-E271)*CFStoMGD,0)</f>
        <v>0</v>
      </c>
      <c r="J271" s="720">
        <f>IF(AND(B271&gt;=Calculation!FS271,B271&lt;=Calculation!FT271),IF(Sheet1!CX271&gt;=Calculation!D271,64.64,0),MAX(Sheet1!Z271-AJ271+(Sheet1!CX271-D271)*CFStoMGD,0))</f>
        <v>0</v>
      </c>
      <c r="K271" s="697">
        <f t="shared" si="740"/>
        <v>0</v>
      </c>
      <c r="L271" s="712">
        <f>Sheet1!AA271+Sheet1!AB271-Sheet1!L271+(Sheet1!CW271-F271)*CFStoMGD</f>
        <v>108.0224</v>
      </c>
      <c r="M271" s="712">
        <f t="shared" si="741"/>
        <v>93.19441684675175</v>
      </c>
      <c r="N271" s="712">
        <f>IF(Sheet1!CW271&gt;=F271,MIN(73,MIN(MAX(L271,0),MAX(M271,0))),0)</f>
        <v>73</v>
      </c>
      <c r="O271" s="721">
        <f>Sheet1!AA271+Sheet1!AB271</f>
        <v>81.52000000000001</v>
      </c>
      <c r="P271" s="721">
        <f t="shared" si="742"/>
        <v>126.11144</v>
      </c>
      <c r="Q271" s="712">
        <f>MIN(N271,Sheet1!AA271+AG271)</f>
        <v>66.310470723306551</v>
      </c>
      <c r="R271" s="712">
        <f t="shared" si="743"/>
        <v>16</v>
      </c>
      <c r="S271" s="721">
        <f>Sheet1!Y271*MGDtoCFS</f>
        <v>72.198489999999993</v>
      </c>
      <c r="T271" s="721">
        <f>Sheet1!Z271*MGDtoCFS</f>
        <v>54.361579999999996</v>
      </c>
      <c r="U271" s="721">
        <f>Sheet1!AA271*MGDtoCFS</f>
        <v>71.966440000000006</v>
      </c>
      <c r="V271" s="721">
        <f>Sheet1!AB271*MGDtoCFS</f>
        <v>54.144999999999996</v>
      </c>
      <c r="W271" s="721">
        <f>Sheet1!L271*MGDtoCFS</f>
        <v>0</v>
      </c>
      <c r="X271" s="697">
        <f t="shared" si="744"/>
        <v>16</v>
      </c>
      <c r="Y271" s="712">
        <f t="shared" si="745"/>
        <v>24.751999999999999</v>
      </c>
      <c r="Z271" s="712">
        <f t="shared" si="746"/>
        <v>0</v>
      </c>
      <c r="AA271" s="712">
        <f t="shared" si="747"/>
        <v>0</v>
      </c>
      <c r="AB271" s="712">
        <f>(VLOOKUP(Sheet1!CY271,hhdcap_wcm,4)-(((VLOOKUP(Sheet1!CY271,hhdcap_wcm,3)-Sheet1!CY271)/(VLOOKUP(Sheet1!CY271,hhdcap_wcm,3)-VLOOKUP(Sheet1!CY271,hhdcap_wcm,1)))*(VLOOKUP(Sheet1!CY271,hhdcap_wcm,4)-VLOOKUP(Sheet1!CY271,hhdcap_wcm,2))))</f>
        <v>31854.000000078489</v>
      </c>
      <c r="AC271" s="712">
        <f t="shared" si="748"/>
        <v>-286.35000000135187</v>
      </c>
      <c r="AD271" s="712">
        <f t="shared" si="749"/>
        <v>1865.9538541649308</v>
      </c>
      <c r="AE271" s="712">
        <f t="shared" si="750"/>
        <v>5724.7464245780075</v>
      </c>
      <c r="AF271" s="712">
        <f>Sheet1!BA271+Sheet1!BB271+Sheet1!BN271+BT271</f>
        <v>19.7</v>
      </c>
      <c r="AG271" s="712">
        <f t="shared" si="751"/>
        <v>19.790470723306544</v>
      </c>
      <c r="AH271" s="712">
        <f>Sheet1!BA271+BT271</f>
        <v>0</v>
      </c>
      <c r="AI271" s="712">
        <f>Sheet1!BA271+Sheet1!BB271+BT271</f>
        <v>0</v>
      </c>
      <c r="AJ271" s="712">
        <f>IF((Sheet1!AA271+AG271+AX271+AZ271+BQ271+BS271+CL271+CN271)&lt;=N271,AG271+AX271+AZ271+BQ271+BS271+CL271+CN271,N271-Sheet1!AA271)</f>
        <v>19.790470723306544</v>
      </c>
      <c r="AK271" s="712">
        <f>IF(DR271&lt;K271,0,MAX(Sheet1!AA271+AG271-15/36*K271-N271,Sheet1!ED271,0))</f>
        <v>0</v>
      </c>
      <c r="AL271" s="712">
        <f>IF(OR(B271&gt;=FT271,B271&lt;FS271),0,15/36*K271-MAX(0,64.6-(137.6-(Sheet1!AA271+Sheet1!AB271))))</f>
        <v>0</v>
      </c>
      <c r="AM271" s="712">
        <f>Sheet1!CX271-110</f>
        <v>59.916666666666657</v>
      </c>
      <c r="AN271" s="712">
        <f>Sheet1!CW271-265</f>
        <v>26</v>
      </c>
      <c r="AO271" s="712">
        <f t="shared" ref="AO271:AO334" si="835">N271-Q271</f>
        <v>6.6895292766934489</v>
      </c>
      <c r="AP271" s="851">
        <v>0</v>
      </c>
      <c r="AQ271" s="712">
        <f t="shared" si="753"/>
        <v>0</v>
      </c>
      <c r="AR271" s="712">
        <f t="shared" si="821"/>
        <v>836.50517166449356</v>
      </c>
      <c r="AS271" s="712"/>
      <c r="AT271" s="712">
        <f ca="1">IF(B271&gt;Summary!$A$1,#N/A,AR271*MGtoAF)</f>
        <v>2566.3978666666662</v>
      </c>
      <c r="AU271" s="712">
        <f>Sheet1!BG271+Sheet1!BH271+Sheet1!BI271-BC271</f>
        <v>1.99</v>
      </c>
      <c r="AV271" s="712">
        <f t="shared" si="755"/>
        <v>1.999138920780712</v>
      </c>
      <c r="AW271" s="712">
        <f>IF(Sheet1!EL271="FM",BC271,0)</f>
        <v>0</v>
      </c>
      <c r="AX271" s="712">
        <f t="shared" si="756"/>
        <v>0</v>
      </c>
      <c r="AY271" s="712">
        <f>IF(Sheet1!EL271="OTHER",BC271,0)</f>
        <v>0</v>
      </c>
      <c r="AZ271" s="712">
        <f t="shared" si="757"/>
        <v>0</v>
      </c>
      <c r="BA271" s="712">
        <f t="shared" si="758"/>
        <v>1.99</v>
      </c>
      <c r="BB271" s="712">
        <f t="shared" si="759"/>
        <v>1.999138920780712</v>
      </c>
      <c r="BC271" s="712">
        <f>IF(OR(Sheet1!EL271="FM", Sheet1!EL271="OTHER"),SUM(Sheet1!BG271:'Sheet1'!BI271),0)</f>
        <v>0</v>
      </c>
      <c r="BD271" s="697">
        <f>IF(AND($B271&gt;=$FL271,$B271&lt;=$FM271),MAX(AV271,Sheet1!EE271,0),MAX(AV271-(7/36)*$K271,0))</f>
        <v>2</v>
      </c>
      <c r="BE271" s="712">
        <f t="shared" si="760"/>
        <v>0</v>
      </c>
      <c r="BF271" s="697">
        <f t="shared" si="761"/>
        <v>0</v>
      </c>
      <c r="BG271" s="697">
        <f>IF(AND($O271&gt;0,Sheet1!EI271=1),(1-($O271-Sheet1!$L271)/$O271)*BB271,0)</f>
        <v>0</v>
      </c>
      <c r="BH271" s="697">
        <f>IF(AND(Sheet1!$L271=0,Sheet1!$L270=0, Calculation!BA271&lt;Sheet1!$EE271-0.1,Sheet1!$EE271=Sheet1!$EE270,Sheet1!$EE271=Sheet1!$EE272),Sheet1!$EE271,BB271-BG271)</f>
        <v>1.999138920780712</v>
      </c>
      <c r="BI271" s="712"/>
      <c r="BJ271" s="712"/>
      <c r="BK271" s="712">
        <f t="shared" si="762"/>
        <v>530.6510993347855</v>
      </c>
      <c r="BL271" s="712"/>
      <c r="BM271" s="712">
        <f ca="1">IF(B271&gt;Summary!$A$1,#N/A,BK271*MGtoAF)</f>
        <v>1628.037572759122</v>
      </c>
      <c r="BN271" s="712">
        <f>Sheet1!BC271+Sheet1!BD271+Sheet1!BE271+Sheet1!BF271-BW271-BX271</f>
        <v>3.21</v>
      </c>
      <c r="BO271" s="712">
        <f t="shared" si="763"/>
        <v>3.2247416762342138</v>
      </c>
      <c r="BP271" s="712">
        <f>IF(Sheet1!EM271="FM",BX271,0)</f>
        <v>0</v>
      </c>
      <c r="BQ271" s="712">
        <f t="shared" si="764"/>
        <v>0</v>
      </c>
      <c r="BR271" s="712">
        <f>IF(Sheet1!EM271="OTHER",BX271,0)</f>
        <v>0</v>
      </c>
      <c r="BS271" s="712">
        <f t="shared" si="765"/>
        <v>0</v>
      </c>
      <c r="BT271" s="712">
        <f t="shared" si="766"/>
        <v>0</v>
      </c>
      <c r="BU271" s="712">
        <f t="shared" si="767"/>
        <v>3.21</v>
      </c>
      <c r="BV271" s="712">
        <f t="shared" si="768"/>
        <v>3.2247416762342138</v>
      </c>
      <c r="BW271" s="712">
        <f>IF(Sheet1!EM271="CWA",SUM(Sheet1!BC271:'Sheet1'!BF271),0)</f>
        <v>0</v>
      </c>
      <c r="BX271" s="712">
        <f>IF(OR(Sheet1!EM271="FM", Sheet1!EM271="OTHER"),SUM(Sheet1!BC271:'Sheet1'!BF271),0)</f>
        <v>0</v>
      </c>
      <c r="BY271" s="697">
        <f>IF(AND($B271&gt;=$FL271,$B271&lt;=$FM271),MAX(BV271,Sheet1!EF271,0),MAX(BV271-(7/36)*$K271,0))</f>
        <v>4</v>
      </c>
      <c r="BZ271" s="712">
        <f t="shared" si="769"/>
        <v>0</v>
      </c>
      <c r="CA271" s="697">
        <f t="shared" si="770"/>
        <v>0</v>
      </c>
      <c r="CB271" s="697">
        <f>IF(AND($O271&gt;0,Sheet1!EJ271=1),(1-($O271-Sheet1!$L271)/$O271)*BV271,0)</f>
        <v>0</v>
      </c>
      <c r="CC271" s="697">
        <f>IF(AND(Sheet1!$L271=0,Sheet1!$L270=0, Calculation!BU271&lt;Sheet1!EF271-0.1,Sheet1!EF271=Sheet1!EF270,Sheet1!EF271=Sheet1!EF272),Sheet1!EF271,BV271-CB271)</f>
        <v>4</v>
      </c>
      <c r="CD271" s="697"/>
      <c r="CE271" s="712"/>
      <c r="CF271" s="712">
        <f t="shared" si="771"/>
        <v>396.92776150884447</v>
      </c>
      <c r="CG271" s="712"/>
      <c r="CH271" s="712">
        <f ca="1">IF(B271&gt;Summary!$A$1,#N/A,CF271*MGtoAF)</f>
        <v>1217.7743723091348</v>
      </c>
      <c r="CI271" s="712">
        <f>Sheet1!BK271+Sheet1!BL271+Sheet1!BM271-Sheet1!EN271-CQ271</f>
        <v>9.94</v>
      </c>
      <c r="CJ271" s="712">
        <f t="shared" si="772"/>
        <v>9.9856486796785315</v>
      </c>
      <c r="CK271" s="712">
        <f>IF(Sheet1!EN271="FM",CQ271,0)</f>
        <v>0</v>
      </c>
      <c r="CL271" s="712">
        <f t="shared" si="773"/>
        <v>0</v>
      </c>
      <c r="CM271" s="712">
        <f>IF(Sheet1!EN271="OTHER",CQ271,0)</f>
        <v>0</v>
      </c>
      <c r="CN271" s="712">
        <f t="shared" si="774"/>
        <v>0</v>
      </c>
      <c r="CO271" s="712">
        <f t="shared" si="775"/>
        <v>9.94</v>
      </c>
      <c r="CP271" s="712">
        <f t="shared" si="776"/>
        <v>9.9856486796785315</v>
      </c>
      <c r="CQ271" s="712">
        <f>IF(OR(Sheet1!EN271="FM", Sheet1!EN271="OTHER"),SUM(Sheet1!BK271:'Sheet1'!BM271),0)</f>
        <v>0</v>
      </c>
      <c r="CR271" s="697">
        <f>IF(AND($B271&gt;=$FL271,$B271&lt;=$FM271),MAX($CJ271,Sheet1!EG271,0),MAX($CJ271-(7/36)*$K271,0))</f>
        <v>10</v>
      </c>
      <c r="CS271" s="712">
        <f t="shared" si="777"/>
        <v>0</v>
      </c>
      <c r="CT271" s="697">
        <f t="shared" si="778"/>
        <v>0</v>
      </c>
      <c r="CU271" s="697">
        <f>IF(AND($O271&gt;0,Sheet1!EK271=1),(1-($O271-Sheet1!$L271)/$O271)*CP271,0)</f>
        <v>0</v>
      </c>
      <c r="CV271" s="697">
        <f>IF(AND(Sheet1!$L271=0,Sheet1!$L270=0, Calculation!CO271&lt;Sheet1!$EG271-0.1,Sheet1!$EG271=Sheet1!$EG270,Sheet1!$EG271=Sheet1!$EG272),Sheet1!$EG271,CP271-CU271)</f>
        <v>9.9856486796785315</v>
      </c>
      <c r="CW271" s="697">
        <f t="shared" si="823"/>
        <v>0</v>
      </c>
      <c r="CX271" s="712">
        <f t="shared" si="779"/>
        <v>15.14</v>
      </c>
      <c r="CY271" s="712">
        <f t="shared" si="780"/>
        <v>101.86982165680726</v>
      </c>
      <c r="CZ271" s="712">
        <f t="shared" si="781"/>
        <v>15.209529276693457</v>
      </c>
      <c r="DA271" s="712">
        <f ca="1">IF(B271&gt;Summary!$A$1,#N/A,CY271*MGtoAF)</f>
        <v>312.5366128430847</v>
      </c>
      <c r="DB271" s="712">
        <f t="shared" si="782"/>
        <v>15.139999999999999</v>
      </c>
      <c r="DC271" s="712">
        <f t="shared" si="783"/>
        <v>34.839999999999996</v>
      </c>
      <c r="DD271" s="712">
        <f>Sheet1!AB271-DC271</f>
        <v>0.16000000000000369</v>
      </c>
      <c r="DE271" s="712">
        <f t="shared" si="784"/>
        <v>4.5924225028703709E-3</v>
      </c>
      <c r="DF271" s="712">
        <f>(VLOOKUP(Sheet1!CY271,hhdcap_wcm,4)-(((VLOOKUP(Sheet1!CY271,hhdcap_wcm,3)-Sheet1!CY271)/(VLOOKUP(Sheet1!CY271,hhdcap_wcm,3)-VLOOKUP(Sheet1!CY271,hhdcap_wcm,1)))*(VLOOKUP(Sheet1!CY271,hhdcap_wcm,4)-VLOOKUP(Sheet1!CY271,hhdcap_wcm,2))))</f>
        <v>31854.000000078489</v>
      </c>
      <c r="DG271" s="712">
        <f t="shared" si="785"/>
        <v>-286.35000000135187</v>
      </c>
      <c r="DH271" s="712">
        <f t="shared" si="786"/>
        <v>-144.40242057556824</v>
      </c>
      <c r="DI271" s="712">
        <f>Sheet1!DW271*AFtoMG</f>
        <v>0</v>
      </c>
      <c r="DJ271" s="712">
        <f>Sheet1!DX271*AFtoMG</f>
        <v>0</v>
      </c>
      <c r="DK271" s="712">
        <f>Sheet1!DY271*AFtoMG</f>
        <v>0</v>
      </c>
      <c r="DL271" s="712">
        <f>Sheet1!DZ271*AFtoMG</f>
        <v>0</v>
      </c>
      <c r="DM271" s="712">
        <f t="shared" si="787"/>
        <v>0</v>
      </c>
      <c r="DN271" s="712">
        <f t="shared" si="788"/>
        <v>0</v>
      </c>
      <c r="DO271" s="712">
        <f t="shared" si="789"/>
        <v>1865.9538541649308</v>
      </c>
      <c r="DP271" s="712">
        <f t="shared" si="790"/>
        <v>5724.7464245780075</v>
      </c>
      <c r="DQ271" s="712"/>
      <c r="DR271" s="697">
        <f>IF(OR(B271&lt;FL271,B271&gt;FM271),(MIN(AV271+BO271+CJ271+MAX(Sheet1!AA271+AG271-73,0),K271)),0)</f>
        <v>0</v>
      </c>
      <c r="DS271" s="712"/>
      <c r="DT271" s="712">
        <f t="shared" si="791"/>
        <v>15.209529276693457</v>
      </c>
      <c r="DU271" s="712"/>
      <c r="DV271" s="712">
        <f>Sheet1!ED271+Sheet1!EE271+Sheet1!EF271+Sheet1!EG271</f>
        <v>16</v>
      </c>
      <c r="DW271" s="712"/>
      <c r="DX271" s="697">
        <f t="shared" si="792"/>
        <v>0</v>
      </c>
      <c r="DY271" s="712">
        <f>IF(Sheet1!FN271=1,SUM('Calculations II'!AT271:BA271)+'Calculations II'!BC271+Sheet1!BU271+'Calculations II'!BE271+AF271,SUM('Calculations II'!AT271:BA271)+'Calculations II'!BC271+Sheet1!BU271+'Calculations II'!BE271+AF271)</f>
        <v>62.332639999999998</v>
      </c>
      <c r="DZ271" s="712">
        <f>Sheet1!AA271+Sheet1!AB271+'Calculations II'!BC271</f>
        <v>81.52000000000001</v>
      </c>
      <c r="EA271" s="712"/>
      <c r="EB271" s="712"/>
      <c r="EC271" s="712">
        <f t="shared" si="793"/>
        <v>40800</v>
      </c>
      <c r="ED271" s="712">
        <f t="shared" si="794"/>
        <v>-16</v>
      </c>
      <c r="EE271" s="712">
        <f t="shared" si="795"/>
        <v>-24.751999999999999</v>
      </c>
      <c r="EF271" s="712">
        <f ca="1">IF(B271=TODAY(),0,-(VLOOKUP(Sheet1!BQ271,Lookup!$B$4:$J$236,2)-VLOOKUP(Sheet1!BQ270,Lookup!$B$4:$J$236,2))/1000000)</f>
        <v>-1.6428</v>
      </c>
      <c r="EG271" s="712">
        <f ca="1">IF(B271=TODAY(),0,-(VLOOKUP(Sheet1!BR271,Lookup!$B$4:$J$236,3)-VLOOKUP(Sheet1!BR270,Lookup!$B$4:$J$236,3))/1000000)</f>
        <v>-1.637</v>
      </c>
      <c r="EH271" s="712">
        <f>-(VLOOKUP(Sheet1!BS271,Lookup!$B$4:$J$236,4)-VLOOKUP(Sheet1!BS270,Lookup!$B$4:$J$236,4))/1000000</f>
        <v>0</v>
      </c>
      <c r="EI271" s="697">
        <f t="shared" ca="1" si="819"/>
        <v>-3.2797999999999998</v>
      </c>
      <c r="EJ271" s="712"/>
      <c r="EK271" s="712"/>
      <c r="EL271" s="712"/>
      <c r="EM271" s="712"/>
      <c r="EN271" s="712"/>
      <c r="EO271" s="712"/>
      <c r="EP271" s="712"/>
      <c r="EQ271" s="712"/>
      <c r="ER271" s="697">
        <f t="shared" si="833"/>
        <v>10046.144124884991</v>
      </c>
      <c r="ES271" s="712">
        <f t="shared" si="834"/>
        <v>58.993437863096112</v>
      </c>
      <c r="ET271" s="794">
        <f t="shared" si="818"/>
        <v>1126.7</v>
      </c>
      <c r="EU271" s="697">
        <f t="shared" si="832"/>
        <v>10046.144124884991</v>
      </c>
      <c r="EV271" s="795">
        <f t="shared" si="734"/>
        <v>14863.109450615491</v>
      </c>
      <c r="EW271" s="796" t="s">
        <v>757</v>
      </c>
      <c r="EX271" s="796" t="s">
        <v>757</v>
      </c>
      <c r="EY271" s="712">
        <f t="shared" si="817"/>
        <v>58.993437863096112</v>
      </c>
      <c r="EZ271" s="798">
        <v>16141.100000034914</v>
      </c>
      <c r="FA271" s="712"/>
      <c r="FB271" s="712"/>
      <c r="FC271" s="712"/>
      <c r="FD271" s="712"/>
      <c r="FE271" s="712">
        <f>O271+Sheet1!CO271</f>
        <v>81.52000000000001</v>
      </c>
      <c r="FF271" s="712">
        <f>IF(Sheet1!AA271+AG271&lt;=Calculation!N271,AG271,Calculation!N271-Sheet1!AA271)</f>
        <v>19.790470723306544</v>
      </c>
      <c r="FG271" s="712">
        <f>(Sheet1!BP271+Sheet1!BO271)/694.4</f>
        <v>3.4177707373271895</v>
      </c>
      <c r="FH271" s="712"/>
      <c r="FI271" s="712"/>
      <c r="FJ271" s="712"/>
      <c r="FK271" s="712"/>
      <c r="FL271" s="714">
        <f t="shared" si="827"/>
        <v>40753</v>
      </c>
      <c r="FM271" s="714">
        <f t="shared" si="828"/>
        <v>40851</v>
      </c>
      <c r="FN271" s="712"/>
      <c r="FO271" s="712"/>
      <c r="FP271" s="712"/>
      <c r="FQ271" s="712"/>
      <c r="FR271" s="712"/>
      <c r="FS271" s="725">
        <f t="shared" si="829"/>
        <v>40603</v>
      </c>
      <c r="FT271" s="714">
        <f t="shared" si="830"/>
        <v>40709</v>
      </c>
      <c r="FU271" s="712">
        <f t="shared" si="829"/>
        <v>6518.9048239895692</v>
      </c>
      <c r="FV271" s="714">
        <f t="shared" si="831"/>
        <v>40722</v>
      </c>
      <c r="FW271" s="712">
        <f t="shared" si="829"/>
        <v>3259.4524119947846</v>
      </c>
      <c r="FX271" s="725">
        <f t="shared" si="829"/>
        <v>40851</v>
      </c>
      <c r="FZ271" s="697">
        <f t="shared" si="824"/>
        <v>0</v>
      </c>
      <c r="GA271" s="712" t="str">
        <f t="shared" si="797"/>
        <v/>
      </c>
      <c r="GB271" s="712">
        <f t="shared" si="798"/>
        <v>0</v>
      </c>
      <c r="GC271" s="712" t="str">
        <f t="shared" si="799"/>
        <v/>
      </c>
      <c r="GD271" s="712">
        <f>IF(GA271="P",Lookup!$M$12,IF(GA271="PP",Lookup!$M$13,IF(GA271="PPP",Lookup!$M$14,IF(GA271="T",Lookup!$M$15,IF(GA271="TP",Lookup!$M$16,IF(GA271="TPP",Lookup!$M$17,IF(GA271="TPPP",Lookup!$M$18,0)))))))*FZ271</f>
        <v>0</v>
      </c>
      <c r="GE271" s="712">
        <f t="shared" si="800"/>
        <v>0</v>
      </c>
      <c r="GF271" s="712">
        <f t="shared" si="801"/>
        <v>2566.3978666666662</v>
      </c>
      <c r="GG271" s="712">
        <f t="shared" si="802"/>
        <v>836.50517166449356</v>
      </c>
      <c r="GH271" s="712"/>
      <c r="GI271" s="712">
        <f t="shared" si="803"/>
        <v>0</v>
      </c>
      <c r="GJ271" s="712" t="str">
        <f t="shared" si="804"/>
        <v/>
      </c>
      <c r="GK271" s="712">
        <f>IF(GA271="P",Lookup!$N$12,IF(GA271="PP",Lookup!$N$13,IF(GA271="PPP",Lookup!$N$14,IF(GA271="T",Lookup!$N$15,IF(GA271="TP",Lookup!$N$16,IF(GA271="TPP",Lookup!$N$17,IF(GA271="TPPP",Lookup!$N$18,0)))))))*FZ271</f>
        <v>0</v>
      </c>
      <c r="GL271" s="712">
        <f t="shared" si="805"/>
        <v>0</v>
      </c>
      <c r="GM271" s="712">
        <f t="shared" si="806"/>
        <v>1628.037572759122</v>
      </c>
      <c r="GN271" s="712">
        <f t="shared" si="807"/>
        <v>530.6510993347855</v>
      </c>
      <c r="GO271" s="712"/>
      <c r="GP271" s="712">
        <f t="shared" si="808"/>
        <v>0</v>
      </c>
      <c r="GQ271" s="712" t="str">
        <f t="shared" si="809"/>
        <v/>
      </c>
      <c r="GR271" s="712">
        <f>IF(GA271="P",Lookup!$N$12,IF(GA271="PP",Lookup!$N$13,IF(GA271="PPP",Lookup!$N$14,IF(GA271="T",Lookup!$N$15,IF(GA271="TP",Lookup!$N$16,IF(GA271="TPP",Lookup!$N$17,IF(GA271="TPPP",Lookup!$N$18,0)))))))*FZ271</f>
        <v>0</v>
      </c>
      <c r="GS271" s="697">
        <f t="shared" si="825"/>
        <v>0</v>
      </c>
      <c r="GT271" s="712">
        <f t="shared" si="810"/>
        <v>1217.7743723091348</v>
      </c>
      <c r="GU271" s="712">
        <f t="shared" si="811"/>
        <v>396.92776150884447</v>
      </c>
      <c r="GV271" s="712"/>
      <c r="GW271" s="712">
        <f t="shared" si="812"/>
        <v>0</v>
      </c>
      <c r="GX271" s="712" t="str">
        <f t="shared" si="813"/>
        <v/>
      </c>
      <c r="GY271" s="712">
        <f>IF(GA271="P",Lookup!$N$12,IF(GA271="PP",Lookup!$N$13,IF(GA271="PPP",Lookup!$N$14,IF(GA271="T",Lookup!$N$15,IF(GA271="TP",Lookup!$N$16,IF(GA271="TPP",Lookup!$N$17,IF(GA271="TPPP",Lookup!$N$18,0)))))))*FZ271</f>
        <v>0</v>
      </c>
      <c r="GZ271" s="697">
        <f t="shared" si="826"/>
        <v>0</v>
      </c>
      <c r="HA271" s="712">
        <f t="shared" si="814"/>
        <v>312.5366128430847</v>
      </c>
      <c r="HB271" s="712">
        <f t="shared" si="815"/>
        <v>101.86982165680726</v>
      </c>
      <c r="HC271" s="712"/>
    </row>
    <row r="272" spans="1:211">
      <c r="A272" s="773" t="s">
        <v>7</v>
      </c>
      <c r="B272" s="708">
        <v>40801</v>
      </c>
      <c r="C272" s="709">
        <v>0.5</v>
      </c>
      <c r="D272" s="675">
        <f t="shared" si="737"/>
        <v>200</v>
      </c>
      <c r="E272" s="675">
        <f t="shared" si="738"/>
        <v>400</v>
      </c>
      <c r="F272" s="675">
        <v>250</v>
      </c>
      <c r="G272" s="712">
        <f>DH272+Sheet1!CV272</f>
        <v>137.05824508310607</v>
      </c>
      <c r="H272" s="712">
        <f t="shared" si="739"/>
        <v>0</v>
      </c>
      <c r="I272" s="711">
        <f>MAX(Sheet1!Z272-AJ272+(Sheet1!CW272-E272)*CFStoMGD,0)</f>
        <v>0</v>
      </c>
      <c r="J272" s="720">
        <f>IF(AND(B272&gt;=Calculation!FS272,B272&lt;=Calculation!FT272),IF(Sheet1!CX272&gt;=Calculation!D272,64.64,0),MAX(Sheet1!Z272-AJ272+(Sheet1!CX272-D272)*CFStoMGD,0))</f>
        <v>0</v>
      </c>
      <c r="K272" s="697">
        <f t="shared" si="740"/>
        <v>0</v>
      </c>
      <c r="L272" s="712">
        <f>Sheet1!AA272+Sheet1!AB272-Sheet1!L272+(Sheet1!CW272-F272)*CFStoMGD</f>
        <v>105.92206666668207</v>
      </c>
      <c r="M272" s="712">
        <f t="shared" si="741"/>
        <v>90.366338614154159</v>
      </c>
      <c r="N272" s="712">
        <f>IF(Sheet1!CW272&gt;=F272,MIN(73,MIN(MAX(L272,0),MAX(M272,0))),0)</f>
        <v>73</v>
      </c>
      <c r="O272" s="721">
        <f>Sheet1!AA272+Sheet1!AB272</f>
        <v>79.790000000015425</v>
      </c>
      <c r="P272" s="721">
        <f t="shared" si="742"/>
        <v>123.43513000002386</v>
      </c>
      <c r="Q272" s="712">
        <f>MIN(N272,Sheet1!AA272+AG272)</f>
        <v>65.306438356177878</v>
      </c>
      <c r="R272" s="712">
        <f t="shared" si="743"/>
        <v>16</v>
      </c>
      <c r="S272" s="721">
        <f>Sheet1!Y272*MGDtoCFS</f>
        <v>71.61063</v>
      </c>
      <c r="T272" s="721">
        <f>Sheet1!Z272*MGDtoCFS</f>
        <v>54.144999999999996</v>
      </c>
      <c r="U272" s="721">
        <f>Sheet1!AA272*MGDtoCFS</f>
        <v>72.848230000017111</v>
      </c>
      <c r="V272" s="721">
        <f>Sheet1!AB272*MGDtoCFS</f>
        <v>50.58690000000675</v>
      </c>
      <c r="W272" s="721">
        <f>Sheet1!L272*MGDtoCFS</f>
        <v>0</v>
      </c>
      <c r="X272" s="697">
        <f t="shared" si="744"/>
        <v>16</v>
      </c>
      <c r="Y272" s="712">
        <f t="shared" si="745"/>
        <v>24.751999999999999</v>
      </c>
      <c r="Z272" s="712">
        <f t="shared" si="746"/>
        <v>0</v>
      </c>
      <c r="AA272" s="712">
        <f t="shared" si="747"/>
        <v>0</v>
      </c>
      <c r="AB272" s="712">
        <f>(VLOOKUP(Sheet1!CY272,hhdcap_wcm,4)-(((VLOOKUP(Sheet1!CY272,hhdcap_wcm,3)-Sheet1!CY272)/(VLOOKUP(Sheet1!CY272,hhdcap_wcm,3)-VLOOKUP(Sheet1!CY272,hhdcap_wcm,1)))*(VLOOKUP(Sheet1!CY272,hhdcap_wcm,4)-VLOOKUP(Sheet1!CY272,hhdcap_wcm,2))))</f>
        <v>31559.640000078289</v>
      </c>
      <c r="AC272" s="712">
        <f t="shared" si="748"/>
        <v>-294.36000000020067</v>
      </c>
      <c r="AD272" s="712">
        <f t="shared" si="749"/>
        <v>1849.9538541649308</v>
      </c>
      <c r="AE272" s="712">
        <f t="shared" si="750"/>
        <v>5675.6584245780077</v>
      </c>
      <c r="AF272" s="712">
        <f>Sheet1!BA272+Sheet1!BB272+Sheet1!BN272+BT272</f>
        <v>18.3</v>
      </c>
      <c r="AG272" s="712">
        <f t="shared" si="751"/>
        <v>18.216438356166815</v>
      </c>
      <c r="AH272" s="712">
        <f>Sheet1!BA272+BT272</f>
        <v>0</v>
      </c>
      <c r="AI272" s="712">
        <f>Sheet1!BA272+Sheet1!BB272+BT272</f>
        <v>0</v>
      </c>
      <c r="AJ272" s="712">
        <f>IF((Sheet1!AA272+AG272+AX272+AZ272+BQ272+BS272+CL272+CN272)&lt;=N272,AG272+AX272+AZ272+BQ272+BS272+CL272+CN272,N272-Sheet1!AA272)</f>
        <v>18.216438356166815</v>
      </c>
      <c r="AK272" s="712">
        <f>IF(DR272&lt;K272,0,MAX(Sheet1!AA272+AG272-15/36*K272-N272,Sheet1!ED272,0))</f>
        <v>0</v>
      </c>
      <c r="AL272" s="712">
        <f>IF(OR(B272&gt;=FT272,B272&lt;FS272),0,15/36*K272-MAX(0,64.6-(137.6-(Sheet1!AA272+Sheet1!AB272))))</f>
        <v>0</v>
      </c>
      <c r="AM272" s="712">
        <f>Sheet1!CX272-110</f>
        <v>63.65625</v>
      </c>
      <c r="AN272" s="712">
        <f>Sheet1!CW272-265</f>
        <v>25.427083333333314</v>
      </c>
      <c r="AO272" s="712">
        <f t="shared" si="835"/>
        <v>7.6935616438221217</v>
      </c>
      <c r="AP272" s="851">
        <v>0</v>
      </c>
      <c r="AQ272" s="712">
        <f t="shared" si="753"/>
        <v>0</v>
      </c>
      <c r="AR272" s="712">
        <f t="shared" si="821"/>
        <v>836.50517166449356</v>
      </c>
      <c r="AS272" s="712"/>
      <c r="AT272" s="712">
        <f ca="1">IF(B272&gt;Summary!$A$1,#N/A,AR272*MGtoAF)</f>
        <v>2566.3978666666662</v>
      </c>
      <c r="AU272" s="712">
        <f>Sheet1!BG272+Sheet1!BH272+Sheet1!BI272-BC272</f>
        <v>1.98</v>
      </c>
      <c r="AV272" s="712">
        <f t="shared" si="755"/>
        <v>1.9709589041098521</v>
      </c>
      <c r="AW272" s="712">
        <f>IF(Sheet1!EL272="FM",BC272,0)</f>
        <v>0</v>
      </c>
      <c r="AX272" s="712">
        <f t="shared" si="756"/>
        <v>0</v>
      </c>
      <c r="AY272" s="712">
        <f>IF(Sheet1!EL272="OTHER",BC272,0)</f>
        <v>0</v>
      </c>
      <c r="AZ272" s="712">
        <f t="shared" si="757"/>
        <v>0</v>
      </c>
      <c r="BA272" s="712">
        <f t="shared" si="758"/>
        <v>1.98</v>
      </c>
      <c r="BB272" s="712">
        <f t="shared" si="759"/>
        <v>1.9709589041098521</v>
      </c>
      <c r="BC272" s="712">
        <f>IF(OR(Sheet1!EL272="FM", Sheet1!EL272="OTHER"),SUM(Sheet1!BG272:'Sheet1'!BI272),0)</f>
        <v>0</v>
      </c>
      <c r="BD272" s="697">
        <f>IF(AND($B272&gt;=$FL272,$B272&lt;=$FM272),MAX(AV272,Sheet1!EE272,0),MAX(AV272-(7/36)*$K272,0))</f>
        <v>2</v>
      </c>
      <c r="BE272" s="712">
        <f t="shared" si="760"/>
        <v>0</v>
      </c>
      <c r="BF272" s="697">
        <f t="shared" si="761"/>
        <v>0</v>
      </c>
      <c r="BG272" s="697">
        <f>IF(AND($O272&gt;0,Sheet1!EI272=1),(1-($O272-Sheet1!$L272)/$O272)*BB272,0)</f>
        <v>0</v>
      </c>
      <c r="BH272" s="697">
        <f>IF(AND(Sheet1!$L272=0,Sheet1!$L271=0, Calculation!BA272&lt;Sheet1!$EE272-0.1,Sheet1!$EE272=Sheet1!$EE271,Sheet1!$EE272=Sheet1!$EE273),Sheet1!$EE272,BB272-BG272)</f>
        <v>1.9709589041098521</v>
      </c>
      <c r="BI272" s="712"/>
      <c r="BJ272" s="712"/>
      <c r="BK272" s="712">
        <f t="shared" si="762"/>
        <v>528.6510993347855</v>
      </c>
      <c r="BL272" s="712"/>
      <c r="BM272" s="712">
        <f ca="1">IF(B272&gt;Summary!$A$1,#N/A,BK272*MGtoAF)</f>
        <v>1621.901572759122</v>
      </c>
      <c r="BN272" s="712">
        <f>Sheet1!BC272+Sheet1!BD272+Sheet1!BE272+Sheet1!BF272-BW272-BX272</f>
        <v>2.5499999999999998</v>
      </c>
      <c r="BO272" s="712">
        <f t="shared" si="763"/>
        <v>2.5383561643839001</v>
      </c>
      <c r="BP272" s="712">
        <f>IF(Sheet1!EM272="FM",BX272,0)</f>
        <v>0</v>
      </c>
      <c r="BQ272" s="712">
        <f t="shared" si="764"/>
        <v>0</v>
      </c>
      <c r="BR272" s="712">
        <f>IF(Sheet1!EM272="OTHER",BX272,0)</f>
        <v>0</v>
      </c>
      <c r="BS272" s="712">
        <f t="shared" si="765"/>
        <v>0</v>
      </c>
      <c r="BT272" s="712">
        <f t="shared" si="766"/>
        <v>0</v>
      </c>
      <c r="BU272" s="712">
        <f t="shared" si="767"/>
        <v>2.5499999999999998</v>
      </c>
      <c r="BV272" s="712">
        <f t="shared" si="768"/>
        <v>2.5383561643839001</v>
      </c>
      <c r="BW272" s="712">
        <f>IF(Sheet1!EM272="CWA",SUM(Sheet1!BC272:'Sheet1'!BF272),0)</f>
        <v>0</v>
      </c>
      <c r="BX272" s="712">
        <f>IF(OR(Sheet1!EM272="FM", Sheet1!EM272="OTHER"),SUM(Sheet1!BC272:'Sheet1'!BF272),0)</f>
        <v>0</v>
      </c>
      <c r="BY272" s="697">
        <f>IF(AND($B272&gt;=$FL272,$B272&lt;=$FM272),MAX(BV272,Sheet1!EF272,0),MAX(BV272-(7/36)*$K272,0))</f>
        <v>4</v>
      </c>
      <c r="BZ272" s="712">
        <f t="shared" si="769"/>
        <v>0</v>
      </c>
      <c r="CA272" s="697">
        <f t="shared" si="770"/>
        <v>0</v>
      </c>
      <c r="CB272" s="697">
        <f>IF(AND($O272&gt;0,Sheet1!EJ272=1),(1-($O272-Sheet1!$L272)/$O272)*BV272,0)</f>
        <v>0</v>
      </c>
      <c r="CC272" s="697">
        <f>IF(AND(Sheet1!$L272=0,Sheet1!$L271=0, Calculation!BU272&lt;Sheet1!EF272-0.1,Sheet1!EF272=Sheet1!EF271,Sheet1!EF272=Sheet1!EF273),Sheet1!EF272,BV272-CB272)</f>
        <v>2.5383561643839001</v>
      </c>
      <c r="CD272" s="697"/>
      <c r="CE272" s="712"/>
      <c r="CF272" s="712">
        <f t="shared" si="771"/>
        <v>392.92776150884447</v>
      </c>
      <c r="CG272" s="712"/>
      <c r="CH272" s="712">
        <f ca="1">IF(B272&gt;Summary!$A$1,#N/A,CF272*MGtoAF)</f>
        <v>1205.5023723091349</v>
      </c>
      <c r="CI272" s="712">
        <f>Sheet1!BK272+Sheet1!BL272+Sheet1!BM272-Sheet1!EN272-CQ272</f>
        <v>10.02</v>
      </c>
      <c r="CJ272" s="712">
        <f t="shared" si="772"/>
        <v>9.9742465753437966</v>
      </c>
      <c r="CK272" s="712">
        <f>IF(Sheet1!EN272="FM",CQ272,0)</f>
        <v>0</v>
      </c>
      <c r="CL272" s="712">
        <f t="shared" si="773"/>
        <v>0</v>
      </c>
      <c r="CM272" s="712">
        <f>IF(Sheet1!EN272="OTHER",CQ272,0)</f>
        <v>0</v>
      </c>
      <c r="CN272" s="712">
        <f t="shared" si="774"/>
        <v>0</v>
      </c>
      <c r="CO272" s="712">
        <f t="shared" si="775"/>
        <v>10.02</v>
      </c>
      <c r="CP272" s="712">
        <f t="shared" si="776"/>
        <v>9.9742465753437966</v>
      </c>
      <c r="CQ272" s="712">
        <f>IF(OR(Sheet1!EN272="FM", Sheet1!EN272="OTHER"),SUM(Sheet1!BK272:'Sheet1'!BM272),0)</f>
        <v>0</v>
      </c>
      <c r="CR272" s="697">
        <f>IF(AND($B272&gt;=$FL272,$B272&lt;=$FM272),MAX($CJ272,Sheet1!EG272,0),MAX($CJ272-(7/36)*$K272,0))</f>
        <v>10</v>
      </c>
      <c r="CS272" s="712">
        <f t="shared" si="777"/>
        <v>0</v>
      </c>
      <c r="CT272" s="697">
        <f t="shared" si="778"/>
        <v>0</v>
      </c>
      <c r="CU272" s="697">
        <f>IF(AND($O272&gt;0,Sheet1!EK272=1),(1-($O272-Sheet1!$L272)/$O272)*CP272,0)</f>
        <v>0</v>
      </c>
      <c r="CV272" s="697">
        <f>IF(AND(Sheet1!$L272=0,Sheet1!$L271=0, Calculation!CO272&lt;Sheet1!$EG272-0.1,Sheet1!$EG272=Sheet1!$EG271,Sheet1!$EG272=Sheet1!$EG273),Sheet1!$EG272,CP272-CU272)</f>
        <v>9.9742465753437966</v>
      </c>
      <c r="CW272" s="697">
        <f t="shared" si="823"/>
        <v>0</v>
      </c>
      <c r="CX272" s="712">
        <f t="shared" si="779"/>
        <v>14.549999999999999</v>
      </c>
      <c r="CY272" s="712">
        <f t="shared" si="780"/>
        <v>91.869821656807261</v>
      </c>
      <c r="CZ272" s="712">
        <f t="shared" si="781"/>
        <v>14.483561643837549</v>
      </c>
      <c r="DA272" s="712">
        <f ca="1">IF(B272&gt;Summary!$A$1,#N/A,CY272*MGtoAF)</f>
        <v>281.85661284308469</v>
      </c>
      <c r="DB272" s="712">
        <f t="shared" si="782"/>
        <v>14.55</v>
      </c>
      <c r="DC272" s="712">
        <f t="shared" si="783"/>
        <v>32.85</v>
      </c>
      <c r="DD272" s="712">
        <f>Sheet1!AB272-DC272</f>
        <v>-0.14999999999563585</v>
      </c>
      <c r="DE272" s="712">
        <f t="shared" si="784"/>
        <v>-4.566210045529249E-3</v>
      </c>
      <c r="DF272" s="712">
        <f>(VLOOKUP(Sheet1!CY272,hhdcap_wcm,4)-(((VLOOKUP(Sheet1!CY272,hhdcap_wcm,3)-Sheet1!CY272)/(VLOOKUP(Sheet1!CY272,hhdcap_wcm,3)-VLOOKUP(Sheet1!CY272,hhdcap_wcm,1)))*(VLOOKUP(Sheet1!CY272,hhdcap_wcm,4)-VLOOKUP(Sheet1!CY272,hhdcap_wcm,2))))</f>
        <v>31559.640000078289</v>
      </c>
      <c r="DG272" s="712">
        <f t="shared" si="785"/>
        <v>-294.36000000020067</v>
      </c>
      <c r="DH272" s="712">
        <f t="shared" si="786"/>
        <v>-148.44175491689393</v>
      </c>
      <c r="DI272" s="712">
        <f>Sheet1!DW272*AFtoMG</f>
        <v>0</v>
      </c>
      <c r="DJ272" s="712">
        <f>Sheet1!DX272*AFtoMG</f>
        <v>0</v>
      </c>
      <c r="DK272" s="712">
        <f>Sheet1!DY272*AFtoMG</f>
        <v>0</v>
      </c>
      <c r="DL272" s="712">
        <f>Sheet1!DZ272*AFtoMG</f>
        <v>0</v>
      </c>
      <c r="DM272" s="712">
        <f t="shared" si="787"/>
        <v>0</v>
      </c>
      <c r="DN272" s="712">
        <f t="shared" si="788"/>
        <v>0</v>
      </c>
      <c r="DO272" s="712">
        <f t="shared" si="789"/>
        <v>1849.9538541649308</v>
      </c>
      <c r="DP272" s="712">
        <f t="shared" si="790"/>
        <v>5675.6584245780077</v>
      </c>
      <c r="DQ272" s="712"/>
      <c r="DR272" s="697">
        <f>IF(OR(B272&lt;FL272,B272&gt;FM272),(MIN(AV272+BO272+CJ272+MAX(Sheet1!AA272+AG272-73,0),K272)),0)</f>
        <v>0</v>
      </c>
      <c r="DS272" s="712"/>
      <c r="DT272" s="712">
        <f t="shared" si="791"/>
        <v>14.483561643837549</v>
      </c>
      <c r="DU272" s="712"/>
      <c r="DV272" s="712">
        <f>Sheet1!ED272+Sheet1!EE272+Sheet1!EF272+Sheet1!EG272</f>
        <v>16</v>
      </c>
      <c r="DW272" s="712"/>
      <c r="DX272" s="697">
        <f t="shared" si="792"/>
        <v>0</v>
      </c>
      <c r="DY272" s="712">
        <f>IF(Sheet1!FN272=1,SUM('Calculations II'!AT272:BA272)+'Calculations II'!BC272+Sheet1!BU272+'Calculations II'!BE272+AF272,SUM('Calculations II'!AT272:BA272)+'Calculations II'!BC272+Sheet1!BU272+'Calculations II'!BE272+AF272)</f>
        <v>59.226991999999996</v>
      </c>
      <c r="DZ272" s="712">
        <f>Sheet1!AA272+Sheet1!AB272+'Calculations II'!BC272</f>
        <v>80.315600000015422</v>
      </c>
      <c r="EA272" s="712"/>
      <c r="EB272" s="712"/>
      <c r="EC272" s="712">
        <f t="shared" si="793"/>
        <v>40801</v>
      </c>
      <c r="ED272" s="712">
        <f t="shared" si="794"/>
        <v>-16</v>
      </c>
      <c r="EE272" s="712">
        <f t="shared" si="795"/>
        <v>-24.751999999999999</v>
      </c>
      <c r="EF272" s="712">
        <f ca="1">IF(B272=TODAY(),0,-(VLOOKUP(Sheet1!BQ272,Lookup!$B$4:$J$236,2)-VLOOKUP(Sheet1!BQ271,Lookup!$B$4:$J$236,2))/1000000)</f>
        <v>-1.9268000000000001</v>
      </c>
      <c r="EG272" s="712">
        <f ca="1">IF(B272=TODAY(),0,-(VLOOKUP(Sheet1!BR272,Lookup!$B$4:$J$236,3)-VLOOKUP(Sheet1!BR271,Lookup!$B$4:$J$236,3))/1000000)</f>
        <v>-2.1974</v>
      </c>
      <c r="EH272" s="712">
        <f>-(VLOOKUP(Sheet1!BS272,Lookup!$B$4:$J$236,4)-VLOOKUP(Sheet1!BS271,Lookup!$B$4:$J$236,4))/1000000</f>
        <v>0</v>
      </c>
      <c r="EI272" s="697">
        <f t="shared" ca="1" si="819"/>
        <v>-4.1242000000000001</v>
      </c>
      <c r="EJ272" s="712"/>
      <c r="EK272" s="712"/>
      <c r="EL272" s="712"/>
      <c r="EM272" s="712"/>
      <c r="EN272" s="712"/>
      <c r="EO272" s="712"/>
      <c r="EP272" s="712"/>
      <c r="EQ272" s="712"/>
      <c r="ER272" s="697">
        <f t="shared" si="833"/>
        <v>9971.4277610829213</v>
      </c>
      <c r="ES272" s="712">
        <f t="shared" si="834"/>
        <v>74.716363802070092</v>
      </c>
      <c r="ET272" s="794">
        <f t="shared" si="818"/>
        <v>1126.3</v>
      </c>
      <c r="EU272" s="697">
        <f t="shared" si="832"/>
        <v>9971.4277610829213</v>
      </c>
      <c r="EV272" s="795">
        <f t="shared" si="734"/>
        <v>14692.553814417361</v>
      </c>
      <c r="EW272" s="796" t="s">
        <v>757</v>
      </c>
      <c r="EX272" s="796" t="s">
        <v>757</v>
      </c>
      <c r="EY272" s="712">
        <f t="shared" si="817"/>
        <v>74.716363802070092</v>
      </c>
      <c r="EZ272" s="798">
        <v>15986.000000034795</v>
      </c>
      <c r="FA272" s="712"/>
      <c r="FB272" s="712"/>
      <c r="FC272" s="712"/>
      <c r="FD272" s="712"/>
      <c r="FE272" s="712">
        <f>O272+Sheet1!CO272</f>
        <v>444.79000000001543</v>
      </c>
      <c r="FF272" s="712">
        <f>IF(Sheet1!AA272+AG272&lt;=Calculation!N272,AG272,Calculation!N272-Sheet1!AA272)</f>
        <v>18.216438356166815</v>
      </c>
      <c r="FG272" s="712">
        <f>(Sheet1!BP272+Sheet1!BO272)/694.4</f>
        <v>3.3703917050691246</v>
      </c>
      <c r="FH272" s="712"/>
      <c r="FI272" s="712"/>
      <c r="FJ272" s="712"/>
      <c r="FK272" s="712"/>
      <c r="FL272" s="714">
        <f t="shared" si="827"/>
        <v>40753</v>
      </c>
      <c r="FM272" s="714">
        <f t="shared" si="828"/>
        <v>40851</v>
      </c>
      <c r="FN272" s="712"/>
      <c r="FO272" s="712"/>
      <c r="FP272" s="712"/>
      <c r="FQ272" s="712"/>
      <c r="FR272" s="712"/>
      <c r="FS272" s="725">
        <f t="shared" si="829"/>
        <v>40603</v>
      </c>
      <c r="FT272" s="714">
        <f t="shared" si="830"/>
        <v>40709</v>
      </c>
      <c r="FU272" s="712">
        <f t="shared" si="829"/>
        <v>6518.9048239895692</v>
      </c>
      <c r="FV272" s="714">
        <f t="shared" si="831"/>
        <v>40722</v>
      </c>
      <c r="FW272" s="712">
        <f t="shared" si="829"/>
        <v>3259.4524119947846</v>
      </c>
      <c r="FX272" s="725">
        <f t="shared" si="829"/>
        <v>40851</v>
      </c>
      <c r="FZ272" s="697">
        <f t="shared" si="824"/>
        <v>0</v>
      </c>
      <c r="GA272" s="712" t="str">
        <f t="shared" si="797"/>
        <v/>
      </c>
      <c r="GB272" s="712">
        <f t="shared" si="798"/>
        <v>0</v>
      </c>
      <c r="GC272" s="712" t="str">
        <f t="shared" si="799"/>
        <v/>
      </c>
      <c r="GD272" s="712">
        <f>IF(GA272="P",Lookup!$M$12,IF(GA272="PP",Lookup!$M$13,IF(GA272="PPP",Lookup!$M$14,IF(GA272="T",Lookup!$M$15,IF(GA272="TP",Lookup!$M$16,IF(GA272="TPP",Lookup!$M$17,IF(GA272="TPPP",Lookup!$M$18,0)))))))*FZ272</f>
        <v>0</v>
      </c>
      <c r="GE272" s="712">
        <f t="shared" si="800"/>
        <v>0</v>
      </c>
      <c r="GF272" s="712">
        <f t="shared" si="801"/>
        <v>2566.3978666666662</v>
      </c>
      <c r="GG272" s="712">
        <f t="shared" si="802"/>
        <v>836.50517166449356</v>
      </c>
      <c r="GH272" s="712"/>
      <c r="GI272" s="712">
        <f t="shared" si="803"/>
        <v>0</v>
      </c>
      <c r="GJ272" s="712" t="str">
        <f t="shared" si="804"/>
        <v/>
      </c>
      <c r="GK272" s="712">
        <f>IF(GA272="P",Lookup!$N$12,IF(GA272="PP",Lookup!$N$13,IF(GA272="PPP",Lookup!$N$14,IF(GA272="T",Lookup!$N$15,IF(GA272="TP",Lookup!$N$16,IF(GA272="TPP",Lookup!$N$17,IF(GA272="TPPP",Lookup!$N$18,0)))))))*FZ272</f>
        <v>0</v>
      </c>
      <c r="GL272" s="712">
        <f t="shared" si="805"/>
        <v>0</v>
      </c>
      <c r="GM272" s="712">
        <f t="shared" si="806"/>
        <v>1621.901572759122</v>
      </c>
      <c r="GN272" s="712">
        <f t="shared" si="807"/>
        <v>528.6510993347855</v>
      </c>
      <c r="GO272" s="712"/>
      <c r="GP272" s="712">
        <f t="shared" si="808"/>
        <v>0</v>
      </c>
      <c r="GQ272" s="712" t="str">
        <f t="shared" si="809"/>
        <v/>
      </c>
      <c r="GR272" s="712">
        <f>IF(GA272="P",Lookup!$N$12,IF(GA272="PP",Lookup!$N$13,IF(GA272="PPP",Lookup!$N$14,IF(GA272="T",Lookup!$N$15,IF(GA272="TP",Lookup!$N$16,IF(GA272="TPP",Lookup!$N$17,IF(GA272="TPPP",Lookup!$N$18,0)))))))*FZ272</f>
        <v>0</v>
      </c>
      <c r="GS272" s="697">
        <f t="shared" si="825"/>
        <v>0</v>
      </c>
      <c r="GT272" s="712">
        <f t="shared" si="810"/>
        <v>1205.5023723091349</v>
      </c>
      <c r="GU272" s="712">
        <f t="shared" si="811"/>
        <v>392.92776150884447</v>
      </c>
      <c r="GV272" s="712"/>
      <c r="GW272" s="712">
        <f t="shared" si="812"/>
        <v>0</v>
      </c>
      <c r="GX272" s="712" t="str">
        <f t="shared" si="813"/>
        <v/>
      </c>
      <c r="GY272" s="712">
        <f>IF(GA272="P",Lookup!$N$12,IF(GA272="PP",Lookup!$N$13,IF(GA272="PPP",Lookup!$N$14,IF(GA272="T",Lookup!$N$15,IF(GA272="TP",Lookup!$N$16,IF(GA272="TPP",Lookup!$N$17,IF(GA272="TPPP",Lookup!$N$18,0)))))))*FZ272</f>
        <v>0</v>
      </c>
      <c r="GZ272" s="697">
        <f t="shared" si="826"/>
        <v>0</v>
      </c>
      <c r="HA272" s="712">
        <f t="shared" si="814"/>
        <v>281.85661284308469</v>
      </c>
      <c r="HB272" s="712">
        <f t="shared" si="815"/>
        <v>91.869821656807261</v>
      </c>
      <c r="HC272" s="712"/>
    </row>
    <row r="273" spans="1:211">
      <c r="A273" s="773" t="s">
        <v>8</v>
      </c>
      <c r="B273" s="708">
        <v>40802</v>
      </c>
      <c r="C273" s="719">
        <v>0.5</v>
      </c>
      <c r="D273" s="675">
        <f t="shared" si="737"/>
        <v>300</v>
      </c>
      <c r="E273" s="675">
        <f t="shared" si="738"/>
        <v>250</v>
      </c>
      <c r="F273" s="675">
        <v>250</v>
      </c>
      <c r="G273" s="712">
        <f>DH273+Sheet1!CV273</f>
        <v>147.9456001006522</v>
      </c>
      <c r="H273" s="712">
        <f t="shared" si="739"/>
        <v>0</v>
      </c>
      <c r="I273" s="711">
        <f>MAX(Sheet1!Z273-AJ273+(Sheet1!CW273-E273)*CFStoMGD,0)</f>
        <v>42.036668892114932</v>
      </c>
      <c r="J273" s="720">
        <f>IF(AND(B273&gt;=Calculation!FS273,B273&lt;=Calculation!FT273),IF(Sheet1!CX273&gt;=Calculation!D273,64.64,0),MAX(Sheet1!Z273-AJ273+(Sheet1!CX273-D273)*CFStoMGD,0))</f>
        <v>0</v>
      </c>
      <c r="K273" s="697">
        <f t="shared" si="740"/>
        <v>0</v>
      </c>
      <c r="L273" s="712">
        <f>Sheet1!AA273+Sheet1!AB273-Sheet1!L273+(Sheet1!CW273-F273)*CFStoMGD</f>
        <v>101.46713333332025</v>
      </c>
      <c r="M273" s="712">
        <f t="shared" si="741"/>
        <v>97.544676623162815</v>
      </c>
      <c r="N273" s="712">
        <f>IF(Sheet1!CW273&gt;=F273,MIN(73,MIN(MAX(L273,0),MAX(M273,0))),0)</f>
        <v>73</v>
      </c>
      <c r="O273" s="721">
        <f>Sheet1!AA273+Sheet1!AB273</f>
        <v>74.149999999986903</v>
      </c>
      <c r="P273" s="721">
        <f t="shared" si="742"/>
        <v>114.71004999997973</v>
      </c>
      <c r="Q273" s="712">
        <f>MIN(N273,Sheet1!AA273+AG273)</f>
        <v>60.670464441206775</v>
      </c>
      <c r="R273" s="712">
        <f t="shared" si="743"/>
        <v>13</v>
      </c>
      <c r="S273" s="721">
        <f>Sheet1!Y273*MGDtoCFS</f>
        <v>71.316699999999997</v>
      </c>
      <c r="T273" s="721">
        <f>Sheet1!Z273*MGDtoCFS</f>
        <v>44.615479999999998</v>
      </c>
      <c r="U273" s="721">
        <f>Sheet1!AA273*MGDtoCFS</f>
        <v>72.012849999981981</v>
      </c>
      <c r="V273" s="721">
        <f>Sheet1!AB273*MGDtoCFS</f>
        <v>42.69719999999775</v>
      </c>
      <c r="W273" s="721">
        <f>Sheet1!L273*MGDtoCFS</f>
        <v>0</v>
      </c>
      <c r="X273" s="697">
        <f t="shared" si="744"/>
        <v>13.526705370100988</v>
      </c>
      <c r="Y273" s="712">
        <f t="shared" si="745"/>
        <v>20.925813207546227</v>
      </c>
      <c r="Z273" s="712">
        <f t="shared" si="746"/>
        <v>0</v>
      </c>
      <c r="AA273" s="712">
        <f t="shared" si="747"/>
        <v>0</v>
      </c>
      <c r="AB273" s="712">
        <f>(VLOOKUP(Sheet1!CY273,hhdcap_wcm,4)-(((VLOOKUP(Sheet1!CY273,hhdcap_wcm,3)-Sheet1!CY273)/(VLOOKUP(Sheet1!CY273,hhdcap_wcm,3)-VLOOKUP(Sheet1!CY273,hhdcap_wcm,1)))*(VLOOKUP(Sheet1!CY273,hhdcap_wcm,4)-VLOOKUP(Sheet1!CY273,hhdcap_wcm,2))))</f>
        <v>31202.840000077882</v>
      </c>
      <c r="AC273" s="712">
        <f t="shared" si="748"/>
        <v>-356.80000000040673</v>
      </c>
      <c r="AD273" s="712">
        <f t="shared" si="749"/>
        <v>1836.4271487948299</v>
      </c>
      <c r="AE273" s="712">
        <f t="shared" si="750"/>
        <v>5634.1584925025381</v>
      </c>
      <c r="AF273" s="712">
        <f>Sheet1!BA273+Sheet1!BB273+Sheet1!BN273+BT273</f>
        <v>14.1</v>
      </c>
      <c r="AG273" s="712">
        <f t="shared" si="751"/>
        <v>14.120464441218415</v>
      </c>
      <c r="AH273" s="712">
        <f>Sheet1!BA273+BT273</f>
        <v>0</v>
      </c>
      <c r="AI273" s="712">
        <f>Sheet1!BA273+Sheet1!BB273+BT273</f>
        <v>0</v>
      </c>
      <c r="AJ273" s="712">
        <f>IF((Sheet1!AA273+AG273+AX273+AZ273+BQ273+BS273+CL273+CN273)&lt;=N273,AG273+AX273+AZ273+BQ273+BS273+CL273+CN273,N273-Sheet1!AA273)</f>
        <v>14.120464441218415</v>
      </c>
      <c r="AK273" s="712">
        <f>IF(DR273&lt;K273,0,MAX(Sheet1!AA273+AG273-15/36*K273-N273,Sheet1!ED273,0))</f>
        <v>0</v>
      </c>
      <c r="AL273" s="712">
        <f>IF(OR(B273&gt;=FT273,B273&lt;FS273),0,15/36*K273-MAX(0,64.6-(137.6-(Sheet1!AA273+Sheet1!AB273))))</f>
        <v>0</v>
      </c>
      <c r="AM273" s="712">
        <f>Sheet1!CX273-110</f>
        <v>105.91666666666666</v>
      </c>
      <c r="AN273" s="712">
        <f>Sheet1!CW273-265</f>
        <v>27.260416666666686</v>
      </c>
      <c r="AO273" s="712">
        <f t="shared" si="835"/>
        <v>12.329535558793225</v>
      </c>
      <c r="AP273" s="851">
        <v>0</v>
      </c>
      <c r="AQ273" s="712">
        <f t="shared" si="753"/>
        <v>0</v>
      </c>
      <c r="AR273" s="712">
        <f t="shared" si="821"/>
        <v>836.50517166449356</v>
      </c>
      <c r="AS273" s="712"/>
      <c r="AT273" s="712">
        <f ca="1">IF(B273&gt;Summary!$A$1,#N/A,AR273*MGtoAF)</f>
        <v>2566.3978666666662</v>
      </c>
      <c r="AU273" s="712">
        <f>Sheet1!BG273+Sheet1!BH273+Sheet1!BI273-BC273</f>
        <v>1.95</v>
      </c>
      <c r="AV273" s="712">
        <f t="shared" si="755"/>
        <v>1.9528301886791424</v>
      </c>
      <c r="AW273" s="712">
        <f>IF(Sheet1!EL273="FM",BC273,0)</f>
        <v>0</v>
      </c>
      <c r="AX273" s="712">
        <f t="shared" si="756"/>
        <v>0</v>
      </c>
      <c r="AY273" s="712">
        <f>IF(Sheet1!EL273="OTHER",BC273,0)</f>
        <v>0</v>
      </c>
      <c r="AZ273" s="712">
        <f t="shared" si="757"/>
        <v>0</v>
      </c>
      <c r="BA273" s="712">
        <f t="shared" si="758"/>
        <v>1.95</v>
      </c>
      <c r="BB273" s="712">
        <f t="shared" si="759"/>
        <v>1.9528301886791424</v>
      </c>
      <c r="BC273" s="712">
        <f>IF(OR(Sheet1!EL273="FM", Sheet1!EL273="OTHER"),SUM(Sheet1!BG273:'Sheet1'!BI273),0)</f>
        <v>0</v>
      </c>
      <c r="BD273" s="697">
        <f>IF(AND($B273&gt;=$FL273,$B273&lt;=$FM273),MAX(AV273,Sheet1!EE273,0),MAX(AV273-(7/36)*$K273,0))</f>
        <v>2</v>
      </c>
      <c r="BE273" s="712">
        <f t="shared" si="760"/>
        <v>0</v>
      </c>
      <c r="BF273" s="697">
        <f t="shared" si="761"/>
        <v>0</v>
      </c>
      <c r="BG273" s="697">
        <f>IF(AND($O273&gt;0,Sheet1!EI273=1),(1-($O273-Sheet1!$L273)/$O273)*BB273,0)</f>
        <v>0</v>
      </c>
      <c r="BH273" s="697">
        <f>IF(AND(Sheet1!$L273=0,Sheet1!$L272=0, Calculation!BA273&lt;Sheet1!$EE273-0.1,Sheet1!$EE273=Sheet1!$EE272,Sheet1!$EE273=Sheet1!$EE274),Sheet1!$EE273,BB273-BG273)</f>
        <v>1.9528301886791424</v>
      </c>
      <c r="BI273" s="712"/>
      <c r="BJ273" s="712"/>
      <c r="BK273" s="712">
        <f t="shared" si="762"/>
        <v>526.6510993347855</v>
      </c>
      <c r="BL273" s="712"/>
      <c r="BM273" s="712">
        <f ca="1">IF(B273&gt;Summary!$A$1,#N/A,BK273*MGtoAF)</f>
        <v>1615.7655727591221</v>
      </c>
      <c r="BN273" s="712">
        <f>Sheet1!BC273+Sheet1!BD273+Sheet1!BE273+Sheet1!BF273-BW273-BX273</f>
        <v>2.5</v>
      </c>
      <c r="BO273" s="712">
        <f t="shared" si="763"/>
        <v>2.5036284470245413</v>
      </c>
      <c r="BP273" s="712">
        <f>IF(Sheet1!EM273="FM",BX273,0)</f>
        <v>0</v>
      </c>
      <c r="BQ273" s="712">
        <f t="shared" si="764"/>
        <v>0</v>
      </c>
      <c r="BR273" s="712">
        <f>IF(Sheet1!EM273="OTHER",BX273,0)</f>
        <v>0</v>
      </c>
      <c r="BS273" s="712">
        <f t="shared" si="765"/>
        <v>0</v>
      </c>
      <c r="BT273" s="712">
        <f t="shared" si="766"/>
        <v>0</v>
      </c>
      <c r="BU273" s="712">
        <f t="shared" si="767"/>
        <v>2.5</v>
      </c>
      <c r="BV273" s="712">
        <f t="shared" si="768"/>
        <v>2.5036284470245413</v>
      </c>
      <c r="BW273" s="712">
        <f>IF(Sheet1!EM273="CWA",SUM(Sheet1!BC273:'Sheet1'!BF273),0)</f>
        <v>0</v>
      </c>
      <c r="BX273" s="712">
        <f>IF(OR(Sheet1!EM273="FM", Sheet1!EM273="OTHER"),SUM(Sheet1!BC273:'Sheet1'!BF273),0)</f>
        <v>0</v>
      </c>
      <c r="BY273" s="697">
        <f>IF(AND($B273&gt;=$FL273,$B273&lt;=$FM273),MAX(BV273,Sheet1!EF273,0),MAX(BV273-(7/36)*$K273,0))</f>
        <v>2.5036284470245413</v>
      </c>
      <c r="BZ273" s="712">
        <f t="shared" si="769"/>
        <v>0</v>
      </c>
      <c r="CA273" s="697">
        <f t="shared" si="770"/>
        <v>0</v>
      </c>
      <c r="CB273" s="697">
        <f>IF(AND($O273&gt;0,Sheet1!EJ273=1),(1-($O273-Sheet1!$L273)/$O273)*BV273,0)</f>
        <v>0</v>
      </c>
      <c r="CC273" s="697">
        <f>IF(AND(Sheet1!$L273=0,Sheet1!$L272=0, Calculation!BU273&lt;Sheet1!EF273-0.1,Sheet1!EF273=Sheet1!EF272,Sheet1!EF273=Sheet1!EF274),Sheet1!EF273,BV273-CB273)</f>
        <v>2.5036284470245413</v>
      </c>
      <c r="CD273" s="697"/>
      <c r="CE273" s="712"/>
      <c r="CF273" s="712">
        <f t="shared" si="771"/>
        <v>390.42413306181993</v>
      </c>
      <c r="CG273" s="712"/>
      <c r="CH273" s="712">
        <f ca="1">IF(B273&gt;Summary!$A$1,#N/A,CF273*MGtoAF)</f>
        <v>1197.8212402336635</v>
      </c>
      <c r="CI273" s="712">
        <f>Sheet1!BK273+Sheet1!BL273+Sheet1!BM273-Sheet1!EN273-CQ273</f>
        <v>9.01</v>
      </c>
      <c r="CJ273" s="712">
        <f t="shared" si="772"/>
        <v>9.0230769230764469</v>
      </c>
      <c r="CK273" s="712">
        <f>IF(Sheet1!EN273="FM",CQ273,0)</f>
        <v>0</v>
      </c>
      <c r="CL273" s="712">
        <f t="shared" si="773"/>
        <v>0</v>
      </c>
      <c r="CM273" s="712">
        <f>IF(Sheet1!EN273="OTHER",CQ273,0)</f>
        <v>0</v>
      </c>
      <c r="CN273" s="712">
        <f t="shared" si="774"/>
        <v>0</v>
      </c>
      <c r="CO273" s="712">
        <f t="shared" si="775"/>
        <v>9.01</v>
      </c>
      <c r="CP273" s="712">
        <f t="shared" si="776"/>
        <v>9.0230769230764469</v>
      </c>
      <c r="CQ273" s="712">
        <f>IF(OR(Sheet1!EN273="FM", Sheet1!EN273="OTHER"),SUM(Sheet1!BK273:'Sheet1'!BM273),0)</f>
        <v>0</v>
      </c>
      <c r="CR273" s="697">
        <f>IF(AND($B273&gt;=$FL273,$B273&lt;=$FM273),MAX($CJ273,Sheet1!EG273,0),MAX($CJ273-(7/36)*$K273,0))</f>
        <v>9.0230769230764469</v>
      </c>
      <c r="CS273" s="712">
        <f t="shared" si="777"/>
        <v>0</v>
      </c>
      <c r="CT273" s="697">
        <f t="shared" si="778"/>
        <v>0</v>
      </c>
      <c r="CU273" s="697">
        <f>IF(AND($O273&gt;0,Sheet1!EK273=1),(1-($O273-Sheet1!$L273)/$O273)*CP273,0)</f>
        <v>0</v>
      </c>
      <c r="CV273" s="697">
        <f>IF(AND(Sheet1!$L273=0,Sheet1!$L272=0, Calculation!CO273&lt;Sheet1!$EG273-0.1,Sheet1!$EG273=Sheet1!$EG272,Sheet1!$EG273=Sheet1!$EG274),Sheet1!$EG273,CP273-CU273)</f>
        <v>9.0230769230764469</v>
      </c>
      <c r="CW273" s="697">
        <f t="shared" si="823"/>
        <v>0</v>
      </c>
      <c r="CX273" s="712">
        <f t="shared" si="779"/>
        <v>13.46</v>
      </c>
      <c r="CY273" s="712">
        <f t="shared" si="780"/>
        <v>82.846744733730816</v>
      </c>
      <c r="CZ273" s="712">
        <f t="shared" si="781"/>
        <v>13.479535558780132</v>
      </c>
      <c r="DA273" s="712">
        <f ca="1">IF(B273&gt;Summary!$A$1,#N/A,CY273*MGtoAF)</f>
        <v>254.17381284308615</v>
      </c>
      <c r="DB273" s="712">
        <f t="shared" si="782"/>
        <v>13.459999999999999</v>
      </c>
      <c r="DC273" s="712">
        <f t="shared" si="783"/>
        <v>27.56</v>
      </c>
      <c r="DD273" s="712">
        <f>Sheet1!AB273-DC273</f>
        <v>3.9999999998546087E-2</v>
      </c>
      <c r="DE273" s="712">
        <f t="shared" si="784"/>
        <v>1.4513788098166214E-3</v>
      </c>
      <c r="DF273" s="712">
        <f>(VLOOKUP(Sheet1!CY273,hhdcap_wcm,4)-(((VLOOKUP(Sheet1!CY273,hhdcap_wcm,3)-Sheet1!CY273)/(VLOOKUP(Sheet1!CY273,hhdcap_wcm,3)-VLOOKUP(Sheet1!CY273,hhdcap_wcm,1)))*(VLOOKUP(Sheet1!CY273,hhdcap_wcm,4)-VLOOKUP(Sheet1!CY273,hhdcap_wcm,2))))</f>
        <v>31202.840000077882</v>
      </c>
      <c r="DG273" s="712">
        <f t="shared" si="785"/>
        <v>-356.80000000040673</v>
      </c>
      <c r="DH273" s="712">
        <f t="shared" si="786"/>
        <v>-179.9293998993478</v>
      </c>
      <c r="DI273" s="712">
        <f>Sheet1!DW273*AFtoMG</f>
        <v>0</v>
      </c>
      <c r="DJ273" s="712">
        <f>Sheet1!DX273*AFtoMG</f>
        <v>0</v>
      </c>
      <c r="DK273" s="712">
        <f>Sheet1!DY273*AFtoMG</f>
        <v>0</v>
      </c>
      <c r="DL273" s="712">
        <f>Sheet1!DZ273*AFtoMG</f>
        <v>0</v>
      </c>
      <c r="DM273" s="712">
        <f t="shared" si="787"/>
        <v>0</v>
      </c>
      <c r="DN273" s="712">
        <f t="shared" si="788"/>
        <v>0</v>
      </c>
      <c r="DO273" s="712">
        <f t="shared" si="789"/>
        <v>1836.4271487948299</v>
      </c>
      <c r="DP273" s="712">
        <f t="shared" si="790"/>
        <v>5634.1584925025381</v>
      </c>
      <c r="DQ273" s="712"/>
      <c r="DR273" s="697">
        <f>IF(OR(B273&lt;FL273,B273&gt;FM273),(MIN(AV273+BO273+CJ273+MAX(Sheet1!AA273+AG273-73,0),K273)),0)</f>
        <v>0</v>
      </c>
      <c r="DS273" s="712"/>
      <c r="DT273" s="712">
        <f t="shared" si="791"/>
        <v>13.47953555878013</v>
      </c>
      <c r="DU273" s="712"/>
      <c r="DV273" s="712">
        <f>Sheet1!ED273+Sheet1!EE273+Sheet1!EF273+Sheet1!EG273</f>
        <v>13</v>
      </c>
      <c r="DW273" s="712"/>
      <c r="DX273" s="697">
        <f t="shared" si="792"/>
        <v>0</v>
      </c>
      <c r="DY273" s="712">
        <f>IF(Sheet1!FN273=1,SUM('Calculations II'!AT273:BA273)+'Calculations II'!BC273+Sheet1!BU273+'Calculations II'!BE273+AF273,SUM('Calculations II'!AT273:BA273)+'Calculations II'!BC273+Sheet1!BU273+'Calculations II'!BE273+AF273)</f>
        <v>58.433024000000003</v>
      </c>
      <c r="DZ273" s="712">
        <f>Sheet1!AA273+Sheet1!AB273+'Calculations II'!BC273</f>
        <v>74.149999999986903</v>
      </c>
      <c r="EA273" s="712"/>
      <c r="EB273" s="712"/>
      <c r="EC273" s="712">
        <f t="shared" si="793"/>
        <v>40802</v>
      </c>
      <c r="ED273" s="712">
        <f t="shared" si="794"/>
        <v>-13.526705370100988</v>
      </c>
      <c r="EE273" s="712">
        <f t="shared" si="795"/>
        <v>-20.925813207546227</v>
      </c>
      <c r="EF273" s="712">
        <f ca="1">IF(B273=TODAY(),0,-(VLOOKUP(Sheet1!BQ273,Lookup!$B$4:$J$236,2)-VLOOKUP(Sheet1!BQ272,Lookup!$B$4:$J$236,2))/1000000)</f>
        <v>-0.83160000000000001</v>
      </c>
      <c r="EG273" s="712">
        <f ca="1">IF(B273=TODAY(),0,-(VLOOKUP(Sheet1!BR273,Lookup!$B$4:$J$236,3)-VLOOKUP(Sheet1!BR272,Lookup!$B$4:$J$236,3))/1000000)</f>
        <v>-0.55359999999999998</v>
      </c>
      <c r="EH273" s="712">
        <f>-(VLOOKUP(Sheet1!BS273,Lookup!$B$4:$J$236,4)-VLOOKUP(Sheet1!BS272,Lookup!$B$4:$J$236,4))/1000000</f>
        <v>0</v>
      </c>
      <c r="EI273" s="697">
        <f t="shared" ca="1" si="819"/>
        <v>-1.3852</v>
      </c>
      <c r="EJ273" s="712"/>
      <c r="EK273" s="712"/>
      <c r="EL273" s="712"/>
      <c r="EM273" s="712"/>
      <c r="EN273" s="712"/>
      <c r="EO273" s="712"/>
      <c r="EP273" s="712"/>
      <c r="EQ273" s="712"/>
      <c r="ER273" s="697">
        <f t="shared" si="833"/>
        <v>9851.6364078094048</v>
      </c>
      <c r="ES273" s="712">
        <f t="shared" si="834"/>
        <v>119.79135327351619</v>
      </c>
      <c r="ET273" s="794">
        <f t="shared" si="818"/>
        <v>1126</v>
      </c>
      <c r="EU273" s="697" t="e">
        <f t="shared" si="832"/>
        <v>#N/A</v>
      </c>
      <c r="EV273" s="795" t="e">
        <f t="shared" si="734"/>
        <v>#N/A</v>
      </c>
      <c r="EW273" s="796" t="s">
        <v>757</v>
      </c>
      <c r="EX273" s="796" t="s">
        <v>757</v>
      </c>
      <c r="EY273" s="794" t="e">
        <v>#N/A</v>
      </c>
      <c r="EZ273" s="798">
        <v>15834.800000033805</v>
      </c>
      <c r="FA273" s="712"/>
      <c r="FB273" s="712"/>
      <c r="FC273" s="712"/>
      <c r="FD273" s="712"/>
      <c r="FE273" s="712">
        <f>O273+Sheet1!CO273</f>
        <v>74.149999999986903</v>
      </c>
      <c r="FF273" s="712">
        <f>IF(Sheet1!AA273+AG273&lt;=Calculation!N273,AG273,Calculation!N273-Sheet1!AA273)</f>
        <v>14.120464441218415</v>
      </c>
      <c r="FG273" s="712">
        <f>(Sheet1!BP273+Sheet1!BO273)/694.4</f>
        <v>3.4963997695852536</v>
      </c>
      <c r="FH273" s="712"/>
      <c r="FI273" s="712"/>
      <c r="FJ273" s="712"/>
      <c r="FK273" s="712"/>
      <c r="FL273" s="714">
        <f t="shared" si="827"/>
        <v>40753</v>
      </c>
      <c r="FM273" s="714">
        <f t="shared" si="828"/>
        <v>40851</v>
      </c>
      <c r="FN273" s="712"/>
      <c r="FO273" s="712"/>
      <c r="FP273" s="712"/>
      <c r="FQ273" s="712"/>
      <c r="FR273" s="712"/>
      <c r="FS273" s="725">
        <f t="shared" si="829"/>
        <v>40603</v>
      </c>
      <c r="FT273" s="714">
        <f t="shared" si="830"/>
        <v>40709</v>
      </c>
      <c r="FU273" s="712">
        <f t="shared" si="829"/>
        <v>6518.9048239895692</v>
      </c>
      <c r="FV273" s="714">
        <f t="shared" si="831"/>
        <v>40722</v>
      </c>
      <c r="FW273" s="712">
        <f t="shared" si="829"/>
        <v>3259.4524119947846</v>
      </c>
      <c r="FX273" s="725">
        <f t="shared" si="829"/>
        <v>40851</v>
      </c>
      <c r="FZ273" s="697">
        <f t="shared" si="824"/>
        <v>0</v>
      </c>
      <c r="GA273" s="712" t="str">
        <f t="shared" si="797"/>
        <v/>
      </c>
      <c r="GB273" s="712">
        <f t="shared" si="798"/>
        <v>0</v>
      </c>
      <c r="GC273" s="712" t="str">
        <f t="shared" si="799"/>
        <v/>
      </c>
      <c r="GD273" s="712">
        <f>IF(GA273="P",Lookup!$M$12,IF(GA273="PP",Lookup!$M$13,IF(GA273="PPP",Lookup!$M$14,IF(GA273="T",Lookup!$M$15,IF(GA273="TP",Lookup!$M$16,IF(GA273="TPP",Lookup!$M$17,IF(GA273="TPPP",Lookup!$M$18,0)))))))*FZ273</f>
        <v>0</v>
      </c>
      <c r="GE273" s="712">
        <f t="shared" si="800"/>
        <v>0</v>
      </c>
      <c r="GF273" s="712">
        <f t="shared" si="801"/>
        <v>2566.3978666666662</v>
      </c>
      <c r="GG273" s="712">
        <f t="shared" si="802"/>
        <v>836.50517166449356</v>
      </c>
      <c r="GH273" s="712"/>
      <c r="GI273" s="712">
        <f t="shared" si="803"/>
        <v>0</v>
      </c>
      <c r="GJ273" s="712" t="str">
        <f t="shared" si="804"/>
        <v/>
      </c>
      <c r="GK273" s="712">
        <f>IF(GA273="P",Lookup!$N$12,IF(GA273="PP",Lookup!$N$13,IF(GA273="PPP",Lookup!$N$14,IF(GA273="T",Lookup!$N$15,IF(GA273="TP",Lookup!$N$16,IF(GA273="TPP",Lookup!$N$17,IF(GA273="TPPP",Lookup!$N$18,0)))))))*FZ273</f>
        <v>0</v>
      </c>
      <c r="GL273" s="712">
        <f t="shared" si="805"/>
        <v>0</v>
      </c>
      <c r="GM273" s="712">
        <f t="shared" si="806"/>
        <v>1615.7655727591221</v>
      </c>
      <c r="GN273" s="712">
        <f t="shared" si="807"/>
        <v>526.6510993347855</v>
      </c>
      <c r="GO273" s="712"/>
      <c r="GP273" s="712">
        <f t="shared" si="808"/>
        <v>0</v>
      </c>
      <c r="GQ273" s="712" t="str">
        <f t="shared" si="809"/>
        <v/>
      </c>
      <c r="GR273" s="712">
        <f>IF(GA273="P",Lookup!$N$12,IF(GA273="PP",Lookup!$N$13,IF(GA273="PPP",Lookup!$N$14,IF(GA273="T",Lookup!$N$15,IF(GA273="TP",Lookup!$N$16,IF(GA273="TPP",Lookup!$N$17,IF(GA273="TPPP",Lookup!$N$18,0)))))))*FZ273</f>
        <v>0</v>
      </c>
      <c r="GS273" s="697">
        <f t="shared" si="825"/>
        <v>0</v>
      </c>
      <c r="GT273" s="712">
        <f t="shared" si="810"/>
        <v>1197.8212402336635</v>
      </c>
      <c r="GU273" s="712">
        <f t="shared" si="811"/>
        <v>390.42413306181993</v>
      </c>
      <c r="GV273" s="712"/>
      <c r="GW273" s="712">
        <f t="shared" si="812"/>
        <v>0</v>
      </c>
      <c r="GX273" s="712" t="str">
        <f t="shared" si="813"/>
        <v/>
      </c>
      <c r="GY273" s="712">
        <f>IF(GA273="P",Lookup!$N$12,IF(GA273="PP",Lookup!$N$13,IF(GA273="PPP",Lookup!$N$14,IF(GA273="T",Lookup!$N$15,IF(GA273="TP",Lookup!$N$16,IF(GA273="TPP",Lookup!$N$17,IF(GA273="TPPP",Lookup!$N$18,0)))))))*FZ273</f>
        <v>0</v>
      </c>
      <c r="GZ273" s="697">
        <f t="shared" si="826"/>
        <v>0</v>
      </c>
      <c r="HA273" s="712">
        <f t="shared" si="814"/>
        <v>254.17381284308615</v>
      </c>
      <c r="HB273" s="712">
        <f t="shared" si="815"/>
        <v>82.846744733730816</v>
      </c>
      <c r="HC273" s="712"/>
    </row>
    <row r="274" spans="1:211">
      <c r="A274" s="773" t="s">
        <v>9</v>
      </c>
      <c r="B274" s="708">
        <v>40803</v>
      </c>
      <c r="C274" s="709">
        <v>0.5</v>
      </c>
      <c r="D274" s="675">
        <f t="shared" si="737"/>
        <v>300</v>
      </c>
      <c r="E274" s="675">
        <f t="shared" si="738"/>
        <v>250</v>
      </c>
      <c r="F274" s="675">
        <v>250</v>
      </c>
      <c r="G274" s="712">
        <f>DH274+Sheet1!CV274</f>
        <v>162.28189611617577</v>
      </c>
      <c r="H274" s="712">
        <f t="shared" si="739"/>
        <v>0</v>
      </c>
      <c r="I274" s="711">
        <f>MAX(Sheet1!Z274-AJ274+(Sheet1!CW274-E274)*CFStoMGD,0)</f>
        <v>87.870564789319332</v>
      </c>
      <c r="J274" s="720">
        <f>IF(AND(B274&gt;=Calculation!FS274,B274&lt;=Calculation!FT274),IF(Sheet1!CX274&gt;=Calculation!D274,64.64,0),MAX(Sheet1!Z274-AJ274+(Sheet1!CX274-D274)*CFStoMGD,0))</f>
        <v>0</v>
      </c>
      <c r="K274" s="697">
        <f t="shared" si="740"/>
        <v>0</v>
      </c>
      <c r="L274" s="712">
        <f>Sheet1!AA274+Sheet1!AB274-Sheet1!L274+(Sheet1!CW274-F274)*CFStoMGD</f>
        <v>143.18873333334062</v>
      </c>
      <c r="M274" s="712">
        <f t="shared" si="741"/>
        <v>106.99699800248594</v>
      </c>
      <c r="N274" s="712">
        <f>IF(Sheet1!CW274&gt;=F274,MIN(73,MIN(MAX(L274,0),MAX(M274,0))),0)</f>
        <v>73</v>
      </c>
      <c r="O274" s="721">
        <f>Sheet1!AA274+Sheet1!AB274</f>
        <v>69.250000000007276</v>
      </c>
      <c r="P274" s="721">
        <f t="shared" si="742"/>
        <v>107.12975000001126</v>
      </c>
      <c r="Q274" s="712">
        <f>MIN(N274,Sheet1!AA274+AG274)</f>
        <v>56.218168544019832</v>
      </c>
      <c r="R274" s="712">
        <f t="shared" si="743"/>
        <v>13</v>
      </c>
      <c r="S274" s="721">
        <f>Sheet1!Y274*MGDtoCFS</f>
        <v>71.873620000000003</v>
      </c>
      <c r="T274" s="721">
        <f>Sheet1!Z274*MGDtoCFS</f>
        <v>38.365600000000001</v>
      </c>
      <c r="U274" s="721">
        <f>Sheet1!AA274*MGDtoCFS</f>
        <v>70.156450000009002</v>
      </c>
      <c r="V274" s="721">
        <f>Sheet1!AB274*MGDtoCFS</f>
        <v>36.973300000002247</v>
      </c>
      <c r="W274" s="721">
        <f>Sheet1!L274*MGDtoCFS</f>
        <v>0</v>
      </c>
      <c r="X274" s="697">
        <f t="shared" si="744"/>
        <v>13.067584480601424</v>
      </c>
      <c r="Y274" s="712">
        <f t="shared" si="745"/>
        <v>20.2155531914904</v>
      </c>
      <c r="Z274" s="712">
        <f t="shared" si="746"/>
        <v>0</v>
      </c>
      <c r="AA274" s="712">
        <f t="shared" si="747"/>
        <v>0</v>
      </c>
      <c r="AB274" s="712">
        <f>(VLOOKUP(Sheet1!CY274,hhdcap_wcm,4)-(((VLOOKUP(Sheet1!CY274,hhdcap_wcm,3)-Sheet1!CY274)/(VLOOKUP(Sheet1!CY274,hhdcap_wcm,3)-VLOOKUP(Sheet1!CY274,hhdcap_wcm,1)))*(VLOOKUP(Sheet1!CY274,hhdcap_wcm,4)-VLOOKUP(Sheet1!CY274,hhdcap_wcm,2))))</f>
        <v>30807.460000076258</v>
      </c>
      <c r="AC274" s="712">
        <f t="shared" si="748"/>
        <v>-395.38000000162356</v>
      </c>
      <c r="AD274" s="712">
        <f t="shared" si="749"/>
        <v>1823.3595643142285</v>
      </c>
      <c r="AE274" s="712">
        <f t="shared" si="750"/>
        <v>5594.0671433160533</v>
      </c>
      <c r="AF274" s="712">
        <f>Sheet1!BA274+Sheet1!BB274+Sheet1!BN274+BT274</f>
        <v>10.9</v>
      </c>
      <c r="AG274" s="712">
        <f t="shared" si="751"/>
        <v>10.868168544014013</v>
      </c>
      <c r="AH274" s="712">
        <f>Sheet1!BA274+BT274</f>
        <v>0</v>
      </c>
      <c r="AI274" s="712">
        <f>Sheet1!BA274+Sheet1!BB274+BT274</f>
        <v>0</v>
      </c>
      <c r="AJ274" s="712">
        <f>IF((Sheet1!AA274+AG274+AX274+AZ274+BQ274+BS274+CL274+CN274)&lt;=N274,AG274+AX274+AZ274+BQ274+BS274+CL274+CN274,N274-Sheet1!AA274)</f>
        <v>10.868168544014013</v>
      </c>
      <c r="AK274" s="712">
        <f>IF(DR274&lt;K274,0,MAX(Sheet1!AA274+AG274-15/36*K274-N274,Sheet1!ED274,0))</f>
        <v>0</v>
      </c>
      <c r="AL274" s="712">
        <f>IF(OR(B274&gt;=FT274,B274&lt;FS274),0,15/36*K274-MAX(0,64.6-(137.6-(Sheet1!AA274+Sheet1!AB274))))</f>
        <v>0</v>
      </c>
      <c r="AM274" s="712">
        <f>Sheet1!CX274-110</f>
        <v>151</v>
      </c>
      <c r="AN274" s="712">
        <f>Sheet1!CW274-265</f>
        <v>99.385416666666686</v>
      </c>
      <c r="AO274" s="712">
        <f t="shared" si="835"/>
        <v>16.781831455980168</v>
      </c>
      <c r="AP274" s="851">
        <v>0</v>
      </c>
      <c r="AQ274" s="712">
        <f t="shared" si="753"/>
        <v>0</v>
      </c>
      <c r="AR274" s="712">
        <f t="shared" si="821"/>
        <v>836.50517166449356</v>
      </c>
      <c r="AS274" s="712"/>
      <c r="AT274" s="712">
        <f ca="1">IF(B274&gt;Summary!$A$1,#N/A,AR274*MGtoAF)</f>
        <v>2566.3978666666662</v>
      </c>
      <c r="AU274" s="712">
        <f>Sheet1!BG274+Sheet1!BH274+Sheet1!BI274-BC274</f>
        <v>1.97</v>
      </c>
      <c r="AV274" s="712">
        <f t="shared" si="755"/>
        <v>1.9642469753860188</v>
      </c>
      <c r="AW274" s="712">
        <f>IF(Sheet1!EL274="FM",BC274,0)</f>
        <v>0</v>
      </c>
      <c r="AX274" s="712">
        <f t="shared" si="756"/>
        <v>0</v>
      </c>
      <c r="AY274" s="712">
        <f>IF(Sheet1!EL274="OTHER",BC274,0)</f>
        <v>0</v>
      </c>
      <c r="AZ274" s="712">
        <f t="shared" si="757"/>
        <v>0</v>
      </c>
      <c r="BA274" s="712">
        <f t="shared" si="758"/>
        <v>1.97</v>
      </c>
      <c r="BB274" s="712">
        <f t="shared" si="759"/>
        <v>1.9642469753860188</v>
      </c>
      <c r="BC274" s="712">
        <f>IF(OR(Sheet1!EL274="FM", Sheet1!EL274="OTHER"),SUM(Sheet1!BG274:'Sheet1'!BI274),0)</f>
        <v>0</v>
      </c>
      <c r="BD274" s="697">
        <f>IF(AND($B274&gt;=$FL274,$B274&lt;=$FM274),MAX(AV274,Sheet1!EE274,0),MAX(AV274-(7/36)*$K274,0))</f>
        <v>2</v>
      </c>
      <c r="BE274" s="712">
        <f t="shared" si="760"/>
        <v>0</v>
      </c>
      <c r="BF274" s="697">
        <f t="shared" si="761"/>
        <v>0</v>
      </c>
      <c r="BG274" s="697">
        <f>IF(AND($O274&gt;0,Sheet1!EI274=1),(1-($O274-Sheet1!$L274)/$O274)*BB274,0)</f>
        <v>0</v>
      </c>
      <c r="BH274" s="697">
        <f>IF(AND(Sheet1!$L274=0,Sheet1!$L273=0, Calculation!BA274&lt;Sheet1!$EE274-0.1,Sheet1!$EE274=Sheet1!$EE273,Sheet1!$EE274=Sheet1!$EE275),Sheet1!$EE274,BB274-BG274)</f>
        <v>1.9642469753860188</v>
      </c>
      <c r="BI274" s="712"/>
      <c r="BJ274" s="712"/>
      <c r="BK274" s="712">
        <f t="shared" si="762"/>
        <v>524.6510993347855</v>
      </c>
      <c r="BL274" s="712"/>
      <c r="BM274" s="712">
        <f ca="1">IF(B274&gt;Summary!$A$1,#N/A,BK274*MGtoAF)</f>
        <v>1609.6295727591219</v>
      </c>
      <c r="BN274" s="712">
        <f>Sheet1!BC274+Sheet1!BD274+Sheet1!BE274+Sheet1!BF274-BW274-BX274</f>
        <v>2.5599999999999996</v>
      </c>
      <c r="BO274" s="712">
        <f t="shared" si="763"/>
        <v>2.552523988318887</v>
      </c>
      <c r="BP274" s="712">
        <f>IF(Sheet1!EM274="FM",BX274,0)</f>
        <v>0</v>
      </c>
      <c r="BQ274" s="712">
        <f t="shared" si="764"/>
        <v>0</v>
      </c>
      <c r="BR274" s="712">
        <f>IF(Sheet1!EM274="OTHER",BX274,0)</f>
        <v>0</v>
      </c>
      <c r="BS274" s="712">
        <f t="shared" si="765"/>
        <v>0</v>
      </c>
      <c r="BT274" s="712">
        <f t="shared" si="766"/>
        <v>0</v>
      </c>
      <c r="BU274" s="712">
        <f t="shared" si="767"/>
        <v>2.5599999999999996</v>
      </c>
      <c r="BV274" s="712">
        <f t="shared" si="768"/>
        <v>2.552523988318887</v>
      </c>
      <c r="BW274" s="712">
        <f>IF(Sheet1!EM274="CWA",SUM(Sheet1!BC274:'Sheet1'!BF274),0)</f>
        <v>0</v>
      </c>
      <c r="BX274" s="712">
        <f>IF(OR(Sheet1!EM274="FM", Sheet1!EM274="OTHER"),SUM(Sheet1!BC274:'Sheet1'!BF274),0)</f>
        <v>0</v>
      </c>
      <c r="BY274" s="697">
        <f>IF(AND($B274&gt;=$FL274,$B274&lt;=$FM274),MAX(BV274,Sheet1!EF274,0),MAX(BV274-(7/36)*$K274,0))</f>
        <v>2.552523988318887</v>
      </c>
      <c r="BZ274" s="712">
        <f t="shared" si="769"/>
        <v>0</v>
      </c>
      <c r="CA274" s="697">
        <f t="shared" si="770"/>
        <v>0</v>
      </c>
      <c r="CB274" s="697">
        <f>IF(AND($O274&gt;0,Sheet1!EJ274=1),(1-($O274-Sheet1!$L274)/$O274)*BV274,0)</f>
        <v>0</v>
      </c>
      <c r="CC274" s="697">
        <f>IF(AND(Sheet1!$L274=0,Sheet1!$L273=0, Calculation!BU274&lt;Sheet1!EF274-0.1,Sheet1!EF274=Sheet1!EF273,Sheet1!EF274=Sheet1!EF275),Sheet1!EF274,BV274-CB274)</f>
        <v>2.552523988318887</v>
      </c>
      <c r="CD274" s="697"/>
      <c r="CE274" s="712"/>
      <c r="CF274" s="712">
        <f t="shared" si="771"/>
        <v>387.87160907350102</v>
      </c>
      <c r="CG274" s="712"/>
      <c r="CH274" s="712">
        <f ca="1">IF(B274&gt;Summary!$A$1,#N/A,CF274*MGtoAF)</f>
        <v>1189.9900966375012</v>
      </c>
      <c r="CI274" s="712">
        <f>Sheet1!BK274+Sheet1!BL274+Sheet1!BM274-Sheet1!EN274-CQ274</f>
        <v>8.5399999999999991</v>
      </c>
      <c r="CJ274" s="712">
        <f t="shared" si="772"/>
        <v>8.5150604922825366</v>
      </c>
      <c r="CK274" s="712">
        <f>IF(Sheet1!EN274="FM",CQ274,0)</f>
        <v>0</v>
      </c>
      <c r="CL274" s="712">
        <f t="shared" si="773"/>
        <v>0</v>
      </c>
      <c r="CM274" s="712">
        <f>IF(Sheet1!EN274="OTHER",CQ274,0)</f>
        <v>0</v>
      </c>
      <c r="CN274" s="712">
        <f t="shared" si="774"/>
        <v>0</v>
      </c>
      <c r="CO274" s="712">
        <f t="shared" si="775"/>
        <v>8.5399999999999991</v>
      </c>
      <c r="CP274" s="712">
        <f t="shared" si="776"/>
        <v>8.5150604922825366</v>
      </c>
      <c r="CQ274" s="712">
        <f>IF(OR(Sheet1!EN274="FM", Sheet1!EN274="OTHER"),SUM(Sheet1!BK274:'Sheet1'!BM274),0)</f>
        <v>0</v>
      </c>
      <c r="CR274" s="697">
        <f>IF(AND($B274&gt;=$FL274,$B274&lt;=$FM274),MAX($CJ274,Sheet1!EG274,0),MAX($CJ274-(7/36)*$K274,0))</f>
        <v>8.5150604922825366</v>
      </c>
      <c r="CS274" s="712">
        <f t="shared" si="777"/>
        <v>0</v>
      </c>
      <c r="CT274" s="697">
        <f t="shared" si="778"/>
        <v>0</v>
      </c>
      <c r="CU274" s="697">
        <f>IF(AND($O274&gt;0,Sheet1!EK274=1),(1-($O274-Sheet1!$L274)/$O274)*CP274,0)</f>
        <v>0</v>
      </c>
      <c r="CV274" s="697">
        <f>IF(AND(Sheet1!$L274=0,Sheet1!$L273=0, Calculation!CO274&lt;Sheet1!$EG274-0.1,Sheet1!$EG274=Sheet1!$EG273,Sheet1!$EG274=Sheet1!$EG275),Sheet1!$EG274,CP274-CU274)</f>
        <v>8.5150604922825366</v>
      </c>
      <c r="CW274" s="697">
        <f t="shared" si="823"/>
        <v>0</v>
      </c>
      <c r="CX274" s="712">
        <f t="shared" si="779"/>
        <v>13.069999999999999</v>
      </c>
      <c r="CY274" s="712">
        <f t="shared" si="780"/>
        <v>74.331684241448272</v>
      </c>
      <c r="CZ274" s="712">
        <f t="shared" si="781"/>
        <v>13.031831455987442</v>
      </c>
      <c r="DA274" s="712">
        <f ca="1">IF(B274&gt;Summary!$A$1,#N/A,CY274*MGtoAF)</f>
        <v>228.04960725276331</v>
      </c>
      <c r="DB274" s="712">
        <f t="shared" si="782"/>
        <v>13.069999999999999</v>
      </c>
      <c r="DC274" s="712">
        <f t="shared" si="783"/>
        <v>23.97</v>
      </c>
      <c r="DD274" s="712">
        <f>Sheet1!AB274-DC274</f>
        <v>-6.9999999998543672E-2</v>
      </c>
      <c r="DE274" s="712">
        <f t="shared" si="784"/>
        <v>-2.9203170629346548E-3</v>
      </c>
      <c r="DF274" s="712">
        <f>(VLOOKUP(Sheet1!CY274,hhdcap_wcm,4)-(((VLOOKUP(Sheet1!CY274,hhdcap_wcm,3)-Sheet1!CY274)/(VLOOKUP(Sheet1!CY274,hhdcap_wcm,3)-VLOOKUP(Sheet1!CY274,hhdcap_wcm,1)))*(VLOOKUP(Sheet1!CY274,hhdcap_wcm,4)-VLOOKUP(Sheet1!CY274,hhdcap_wcm,2))))</f>
        <v>30807.460000076258</v>
      </c>
      <c r="DG274" s="712">
        <f t="shared" si="785"/>
        <v>-395.38000000162356</v>
      </c>
      <c r="DH274" s="712">
        <f t="shared" si="786"/>
        <v>-199.38477055049091</v>
      </c>
      <c r="DI274" s="712">
        <f>Sheet1!DW274*AFtoMG</f>
        <v>0</v>
      </c>
      <c r="DJ274" s="712">
        <f>Sheet1!DX274*AFtoMG</f>
        <v>0</v>
      </c>
      <c r="DK274" s="712">
        <f>Sheet1!DY274*AFtoMG</f>
        <v>0</v>
      </c>
      <c r="DL274" s="712">
        <f>Sheet1!DZ274*AFtoMG</f>
        <v>0</v>
      </c>
      <c r="DM274" s="712">
        <f t="shared" si="787"/>
        <v>0</v>
      </c>
      <c r="DN274" s="712">
        <f t="shared" si="788"/>
        <v>0</v>
      </c>
      <c r="DO274" s="712">
        <f t="shared" si="789"/>
        <v>1823.3595643142285</v>
      </c>
      <c r="DP274" s="712">
        <f t="shared" si="790"/>
        <v>5594.0671433160533</v>
      </c>
      <c r="DQ274" s="712"/>
      <c r="DR274" s="697">
        <f>IF(OR(B274&lt;FL274,B274&gt;FM274),(MIN(AV274+BO274+CJ274+MAX(Sheet1!AA274+AG274-73,0),K274)),0)</f>
        <v>0</v>
      </c>
      <c r="DS274" s="712"/>
      <c r="DT274" s="712">
        <f t="shared" si="791"/>
        <v>13.031831455987442</v>
      </c>
      <c r="DU274" s="712"/>
      <c r="DV274" s="712">
        <f>Sheet1!ED274+Sheet1!EE274+Sheet1!EF274+Sheet1!EG274</f>
        <v>13</v>
      </c>
      <c r="DW274" s="712"/>
      <c r="DX274" s="697">
        <f t="shared" si="792"/>
        <v>0</v>
      </c>
      <c r="DY274" s="712">
        <f>IF(Sheet1!FN274=1,SUM('Calculations II'!AT274:BA274)+'Calculations II'!BC274+Sheet1!BU274+'Calculations II'!BE274+AF274,SUM('Calculations II'!AT274:BA274)+'Calculations II'!BC274+Sheet1!BU274+'Calculations II'!BE274+AF274)</f>
        <v>54.623936</v>
      </c>
      <c r="DZ274" s="712">
        <f>Sheet1!AA274+Sheet1!AB274+'Calculations II'!BC274</f>
        <v>69.250000000007276</v>
      </c>
      <c r="EA274" s="712"/>
      <c r="EB274" s="712"/>
      <c r="EC274" s="712">
        <f t="shared" si="793"/>
        <v>40803</v>
      </c>
      <c r="ED274" s="712">
        <f t="shared" si="794"/>
        <v>-13.067584480601424</v>
      </c>
      <c r="EE274" s="712">
        <f t="shared" si="795"/>
        <v>-20.2155531914904</v>
      </c>
      <c r="EF274" s="712">
        <f ca="1">IF(B274=TODAY(),0,-(VLOOKUP(Sheet1!BQ274,Lookup!$B$4:$J$236,2)-VLOOKUP(Sheet1!BQ273,Lookup!$B$4:$J$236,2))/1000000)</f>
        <v>-0.83160000000000001</v>
      </c>
      <c r="EG274" s="712">
        <f ca="1">IF(B274=TODAY(),0,-(VLOOKUP(Sheet1!BR274,Lookup!$B$4:$J$236,3)-VLOOKUP(Sheet1!BR273,Lookup!$B$4:$J$236,3))/1000000)</f>
        <v>-0.83040000000000003</v>
      </c>
      <c r="EH274" s="712">
        <f>-(VLOOKUP(Sheet1!BS274,Lookup!$B$4:$J$236,4)-VLOOKUP(Sheet1!BS273,Lookup!$B$4:$J$236,4))/1000000</f>
        <v>0</v>
      </c>
      <c r="EI274" s="697">
        <f t="shared" ca="1" si="819"/>
        <v>-1.6619999999999999</v>
      </c>
      <c r="EJ274" s="712"/>
      <c r="EK274" s="712"/>
      <c r="EL274" s="712"/>
      <c r="EM274" s="712"/>
      <c r="EN274" s="712"/>
      <c r="EO274" s="712"/>
      <c r="EP274" s="712"/>
      <c r="EQ274" s="712"/>
      <c r="ER274" s="697">
        <f t="shared" si="833"/>
        <v>9663.9190345956431</v>
      </c>
      <c r="ES274" s="712">
        <f t="shared" si="834"/>
        <v>187.71737321376244</v>
      </c>
      <c r="ET274" s="794">
        <f t="shared" si="818"/>
        <v>1125.7</v>
      </c>
      <c r="EU274" s="697" t="e">
        <f t="shared" si="832"/>
        <v>#N/A</v>
      </c>
      <c r="EV274" s="795" t="e">
        <f t="shared" ref="EV274:EV327" si="836">IF(DF274-AE274-EU274-1220&lt;0,0,DF274-AE274-EU274-1220)</f>
        <v>#N/A</v>
      </c>
      <c r="EW274" s="796" t="s">
        <v>757</v>
      </c>
      <c r="EX274" s="796" t="s">
        <v>757</v>
      </c>
      <c r="EY274" s="794" t="e">
        <v>#N/A</v>
      </c>
      <c r="EZ274" s="798">
        <v>15734.000000033691</v>
      </c>
      <c r="FA274" s="712"/>
      <c r="FB274" s="712"/>
      <c r="FC274" s="712"/>
      <c r="FD274" s="712"/>
      <c r="FE274" s="712">
        <f>O274+Sheet1!CO274</f>
        <v>69.250000000007276</v>
      </c>
      <c r="FF274" s="712">
        <f>IF(Sheet1!AA274+AG274&lt;=Calculation!N274,AG274,Calculation!N274-Sheet1!AA274)</f>
        <v>10.868168544014013</v>
      </c>
      <c r="FG274" s="712">
        <f>(Sheet1!BP274+Sheet1!BO274)/694.4</f>
        <v>2.8571428571428572</v>
      </c>
      <c r="FH274" s="712"/>
      <c r="FI274" s="712"/>
      <c r="FJ274" s="712"/>
      <c r="FK274" s="712"/>
      <c r="FL274" s="714">
        <f t="shared" si="827"/>
        <v>40753</v>
      </c>
      <c r="FM274" s="714">
        <f t="shared" si="828"/>
        <v>40851</v>
      </c>
      <c r="FN274" s="712"/>
      <c r="FO274" s="712"/>
      <c r="FP274" s="712"/>
      <c r="FQ274" s="712"/>
      <c r="FR274" s="712"/>
      <c r="FS274" s="725">
        <f t="shared" si="829"/>
        <v>40603</v>
      </c>
      <c r="FT274" s="714">
        <f t="shared" si="830"/>
        <v>40709</v>
      </c>
      <c r="FU274" s="712">
        <f t="shared" si="829"/>
        <v>6518.9048239895692</v>
      </c>
      <c r="FV274" s="714">
        <f t="shared" si="831"/>
        <v>40722</v>
      </c>
      <c r="FW274" s="712">
        <f t="shared" si="829"/>
        <v>3259.4524119947846</v>
      </c>
      <c r="FX274" s="725">
        <f t="shared" si="829"/>
        <v>40851</v>
      </c>
      <c r="FZ274" s="697">
        <f t="shared" si="824"/>
        <v>0</v>
      </c>
      <c r="GA274" s="712" t="str">
        <f t="shared" si="797"/>
        <v/>
      </c>
      <c r="GB274" s="712">
        <f t="shared" si="798"/>
        <v>0</v>
      </c>
      <c r="GC274" s="712" t="str">
        <f t="shared" si="799"/>
        <v/>
      </c>
      <c r="GD274" s="712">
        <f>IF(GA274="P",Lookup!$M$12,IF(GA274="PP",Lookup!$M$13,IF(GA274="PPP",Lookup!$M$14,IF(GA274="T",Lookup!$M$15,IF(GA274="TP",Lookup!$M$16,IF(GA274="TPP",Lookup!$M$17,IF(GA274="TPPP",Lookup!$M$18,0)))))))*FZ274</f>
        <v>0</v>
      </c>
      <c r="GE274" s="712">
        <f t="shared" si="800"/>
        <v>0</v>
      </c>
      <c r="GF274" s="712">
        <f t="shared" si="801"/>
        <v>2566.3978666666662</v>
      </c>
      <c r="GG274" s="712">
        <f t="shared" si="802"/>
        <v>836.50517166449356</v>
      </c>
      <c r="GH274" s="712"/>
      <c r="GI274" s="712">
        <f t="shared" si="803"/>
        <v>0</v>
      </c>
      <c r="GJ274" s="712" t="str">
        <f t="shared" si="804"/>
        <v/>
      </c>
      <c r="GK274" s="712">
        <f>IF(GA274="P",Lookup!$N$12,IF(GA274="PP",Lookup!$N$13,IF(GA274="PPP",Lookup!$N$14,IF(GA274="T",Lookup!$N$15,IF(GA274="TP",Lookup!$N$16,IF(GA274="TPP",Lookup!$N$17,IF(GA274="TPPP",Lookup!$N$18,0)))))))*FZ274</f>
        <v>0</v>
      </c>
      <c r="GL274" s="712">
        <f t="shared" si="805"/>
        <v>0</v>
      </c>
      <c r="GM274" s="712">
        <f t="shared" si="806"/>
        <v>1609.6295727591219</v>
      </c>
      <c r="GN274" s="712">
        <f t="shared" si="807"/>
        <v>524.6510993347855</v>
      </c>
      <c r="GO274" s="712"/>
      <c r="GP274" s="712">
        <f t="shared" si="808"/>
        <v>0</v>
      </c>
      <c r="GQ274" s="712" t="str">
        <f t="shared" si="809"/>
        <v/>
      </c>
      <c r="GR274" s="712">
        <f>IF(GA274="P",Lookup!$N$12,IF(GA274="PP",Lookup!$N$13,IF(GA274="PPP",Lookup!$N$14,IF(GA274="T",Lookup!$N$15,IF(GA274="TP",Lookup!$N$16,IF(GA274="TPP",Lookup!$N$17,IF(GA274="TPPP",Lookup!$N$18,0)))))))*FZ274</f>
        <v>0</v>
      </c>
      <c r="GS274" s="697">
        <f t="shared" si="825"/>
        <v>0</v>
      </c>
      <c r="GT274" s="712">
        <f t="shared" si="810"/>
        <v>1189.9900966375012</v>
      </c>
      <c r="GU274" s="712">
        <f t="shared" si="811"/>
        <v>387.87160907350102</v>
      </c>
      <c r="GV274" s="712"/>
      <c r="GW274" s="712">
        <f t="shared" si="812"/>
        <v>0</v>
      </c>
      <c r="GX274" s="712" t="str">
        <f t="shared" si="813"/>
        <v/>
      </c>
      <c r="GY274" s="712">
        <f>IF(GA274="P",Lookup!$N$12,IF(GA274="PP",Lookup!$N$13,IF(GA274="PPP",Lookup!$N$14,IF(GA274="T",Lookup!$N$15,IF(GA274="TP",Lookup!$N$16,IF(GA274="TPP",Lookup!$N$17,IF(GA274="TPPP",Lookup!$N$18,0)))))))*FZ274</f>
        <v>0</v>
      </c>
      <c r="GZ274" s="697">
        <f t="shared" si="826"/>
        <v>0</v>
      </c>
      <c r="HA274" s="712">
        <f t="shared" si="814"/>
        <v>228.04960725276331</v>
      </c>
      <c r="HB274" s="712">
        <f t="shared" si="815"/>
        <v>74.331684241448272</v>
      </c>
      <c r="HC274" s="712"/>
    </row>
    <row r="275" spans="1:211">
      <c r="A275" s="773" t="s">
        <v>3</v>
      </c>
      <c r="B275" s="708">
        <v>40804</v>
      </c>
      <c r="C275" s="719">
        <v>0.5</v>
      </c>
      <c r="D275" s="675">
        <f t="shared" si="737"/>
        <v>300</v>
      </c>
      <c r="E275" s="675">
        <f t="shared" si="738"/>
        <v>250</v>
      </c>
      <c r="F275" s="675">
        <v>250</v>
      </c>
      <c r="G275" s="712">
        <f>DH275+Sheet1!CV275</f>
        <v>228.46261976792849</v>
      </c>
      <c r="H275" s="712">
        <f t="shared" si="739"/>
        <v>0</v>
      </c>
      <c r="I275" s="711">
        <f>MAX(Sheet1!Z275-AJ275+(Sheet1!CW275-E275)*CFStoMGD,0)</f>
        <v>122.52051208499283</v>
      </c>
      <c r="J275" s="720">
        <f>IF(AND(B275&gt;=Calculation!FS275,B275&lt;=Calculation!FT275),IF(Sheet1!CX275&gt;=Calculation!D275,64.64,0),MAX(Sheet1!Z275-AJ275+(Sheet1!CX275-D275)*CFStoMGD,0))</f>
        <v>7.36704541832618</v>
      </c>
      <c r="K275" s="697">
        <f t="shared" si="740"/>
        <v>0</v>
      </c>
      <c r="L275" s="712">
        <f>Sheet1!AA275+Sheet1!AB275-Sheet1!L275+(Sheet1!CW275-F275)*CFStoMGD</f>
        <v>165.43686666667392</v>
      </c>
      <c r="M275" s="712">
        <f t="shared" si="741"/>
        <v>150.63180216634876</v>
      </c>
      <c r="N275" s="712">
        <f>IF(Sheet1!CW275&gt;=F275,MIN(73,MIN(MAX(L275,0),MAX(M275,0))),0)</f>
        <v>73</v>
      </c>
      <c r="O275" s="721">
        <f>Sheet1!AA275+Sheet1!AB275</f>
        <v>56.000000000007276</v>
      </c>
      <c r="P275" s="721">
        <f t="shared" si="742"/>
        <v>86.632000000011246</v>
      </c>
      <c r="Q275" s="712">
        <f>MIN(N275,Sheet1!AA275+AG275)</f>
        <v>43.13635458167964</v>
      </c>
      <c r="R275" s="712">
        <f t="shared" si="743"/>
        <v>13</v>
      </c>
      <c r="S275" s="721">
        <f>Sheet1!Y275*MGDtoCFS</f>
        <v>55.862169999999999</v>
      </c>
      <c r="T275" s="721">
        <f>Sheet1!Z275*MGDtoCFS</f>
        <v>31.125640000000001</v>
      </c>
      <c r="U275" s="721">
        <f>Sheet1!AA275*MGDtoCFS</f>
        <v>55.846700000009001</v>
      </c>
      <c r="V275" s="721">
        <f>Sheet1!AB275*MGDtoCFS</f>
        <v>30.785300000002248</v>
      </c>
      <c r="W275" s="721">
        <f>Sheet1!L275*MGDtoCFS</f>
        <v>0</v>
      </c>
      <c r="X275" s="697">
        <f t="shared" si="744"/>
        <v>13</v>
      </c>
      <c r="Y275" s="712">
        <f t="shared" si="745"/>
        <v>20.111000000000001</v>
      </c>
      <c r="Z275" s="712">
        <f t="shared" si="746"/>
        <v>0</v>
      </c>
      <c r="AA275" s="712">
        <f t="shared" si="747"/>
        <v>0</v>
      </c>
      <c r="AB275" s="712">
        <f>(VLOOKUP(Sheet1!CY275,hhdcap_wcm,4)-(((VLOOKUP(Sheet1!CY275,hhdcap_wcm,3)-Sheet1!CY275)/(VLOOKUP(Sheet1!CY275,hhdcap_wcm,3)-VLOOKUP(Sheet1!CY275,hhdcap_wcm,1)))*(VLOOKUP(Sheet1!CY275,hhdcap_wcm,4)-VLOOKUP(Sheet1!CY275,hhdcap_wcm,2))))</f>
        <v>30544.060000076061</v>
      </c>
      <c r="AC275" s="712">
        <f t="shared" si="748"/>
        <v>-263.40000000019791</v>
      </c>
      <c r="AD275" s="712">
        <f t="shared" si="749"/>
        <v>1810.3595643142285</v>
      </c>
      <c r="AE275" s="712">
        <f t="shared" si="750"/>
        <v>5554.1831433160532</v>
      </c>
      <c r="AF275" s="712">
        <f>Sheet1!BA275+Sheet1!BB275+Sheet1!BN275+BT275</f>
        <v>7.1</v>
      </c>
      <c r="AG275" s="712">
        <f t="shared" si="751"/>
        <v>7.0363545816738213</v>
      </c>
      <c r="AH275" s="712">
        <f>Sheet1!BA275+BT275</f>
        <v>0</v>
      </c>
      <c r="AI275" s="712">
        <f>Sheet1!BA275+Sheet1!BB275+BT275</f>
        <v>0</v>
      </c>
      <c r="AJ275" s="712">
        <f>IF((Sheet1!AA275+AG275+AX275+AZ275+BQ275+BS275+CL275+CN275)&lt;=N275,AG275+AX275+AZ275+BQ275+BS275+CL275+CN275,N275-Sheet1!AA275)</f>
        <v>7.0363545816738213</v>
      </c>
      <c r="AK275" s="712">
        <f>IF(DR275&lt;K275,0,MAX(Sheet1!AA275+AG275-15/36*K275-N275,Sheet1!ED275,0))</f>
        <v>0</v>
      </c>
      <c r="AL275" s="712">
        <f>IF(OR(B275&gt;=FT275,B275&lt;FS275),0,15/36*K275-MAX(0,64.6-(137.6-(Sheet1!AA275+Sheet1!AB275))))</f>
        <v>0</v>
      </c>
      <c r="AM275" s="712">
        <f>Sheet1!CX275-110</f>
        <v>181.15625</v>
      </c>
      <c r="AN275" s="712">
        <f>Sheet1!CW275-265</f>
        <v>154.30208333333331</v>
      </c>
      <c r="AO275" s="712">
        <f t="shared" si="835"/>
        <v>29.86364541832036</v>
      </c>
      <c r="AP275" s="851">
        <v>0</v>
      </c>
      <c r="AQ275" s="712">
        <f t="shared" si="753"/>
        <v>0</v>
      </c>
      <c r="AR275" s="712">
        <f t="shared" si="821"/>
        <v>836.50517166449356</v>
      </c>
      <c r="AS275" s="712"/>
      <c r="AT275" s="712">
        <f ca="1">IF(B275&gt;Summary!$A$1,#N/A,AR275*MGtoAF)</f>
        <v>2566.3978666666662</v>
      </c>
      <c r="AU275" s="712">
        <f>Sheet1!BG275+Sheet1!BH275+Sheet1!BI275-BC275</f>
        <v>1.94</v>
      </c>
      <c r="AV275" s="712">
        <f t="shared" si="755"/>
        <v>1.9226095617531287</v>
      </c>
      <c r="AW275" s="712">
        <f>IF(Sheet1!EL275="FM",BC275,0)</f>
        <v>0</v>
      </c>
      <c r="AX275" s="712">
        <f t="shared" si="756"/>
        <v>0</v>
      </c>
      <c r="AY275" s="712">
        <f>IF(Sheet1!EL275="OTHER",BC275,0)</f>
        <v>0</v>
      </c>
      <c r="AZ275" s="712">
        <f t="shared" si="757"/>
        <v>0</v>
      </c>
      <c r="BA275" s="712">
        <f t="shared" si="758"/>
        <v>1.94</v>
      </c>
      <c r="BB275" s="712">
        <f t="shared" si="759"/>
        <v>1.9226095617531287</v>
      </c>
      <c r="BC275" s="712">
        <f>IF(OR(Sheet1!EL275="FM", Sheet1!EL275="OTHER"),SUM(Sheet1!BG275:'Sheet1'!BI275),0)</f>
        <v>0</v>
      </c>
      <c r="BD275" s="697">
        <f>IF(AND($B275&gt;=$FL275,$B275&lt;=$FM275),MAX(AV275,Sheet1!EE275,0),MAX(AV275-(7/36)*$K275,0))</f>
        <v>2</v>
      </c>
      <c r="BE275" s="712">
        <f t="shared" si="760"/>
        <v>0</v>
      </c>
      <c r="BF275" s="697">
        <f t="shared" si="761"/>
        <v>0</v>
      </c>
      <c r="BG275" s="697">
        <f>IF(AND($O275&gt;0,Sheet1!EI275=1),(1-($O275-Sheet1!$L275)/$O275)*BB275,0)</f>
        <v>0</v>
      </c>
      <c r="BH275" s="697">
        <f>IF(AND(Sheet1!$L275=0,Sheet1!$L274=0, Calculation!BA275&lt;Sheet1!$EE275-0.1,Sheet1!$EE275=Sheet1!$EE274,Sheet1!$EE275=Sheet1!$EE276),Sheet1!$EE275,BB275-BG275)</f>
        <v>1.9226095617531287</v>
      </c>
      <c r="BI275" s="712"/>
      <c r="BJ275" s="712"/>
      <c r="BK275" s="712">
        <f t="shared" si="762"/>
        <v>522.6510993347855</v>
      </c>
      <c r="BL275" s="712"/>
      <c r="BM275" s="712">
        <f ca="1">IF(B275&gt;Summary!$A$1,#N/A,BK275*MGtoAF)</f>
        <v>1603.4935727591219</v>
      </c>
      <c r="BN275" s="712">
        <f>Sheet1!BC275+Sheet1!BD275+Sheet1!BE275+Sheet1!BF275-BW275-BX275</f>
        <v>2.4900000000000002</v>
      </c>
      <c r="BO275" s="712">
        <f t="shared" si="763"/>
        <v>2.4676792828687066</v>
      </c>
      <c r="BP275" s="712">
        <f>IF(Sheet1!EM275="FM",BX275,0)</f>
        <v>0</v>
      </c>
      <c r="BQ275" s="712">
        <f t="shared" si="764"/>
        <v>0</v>
      </c>
      <c r="BR275" s="712">
        <f>IF(Sheet1!EM275="OTHER",BX275,0)</f>
        <v>0</v>
      </c>
      <c r="BS275" s="712">
        <f t="shared" si="765"/>
        <v>0</v>
      </c>
      <c r="BT275" s="712">
        <f t="shared" si="766"/>
        <v>0</v>
      </c>
      <c r="BU275" s="712">
        <f t="shared" si="767"/>
        <v>2.4900000000000002</v>
      </c>
      <c r="BV275" s="712">
        <f t="shared" si="768"/>
        <v>2.4676792828687066</v>
      </c>
      <c r="BW275" s="712">
        <f>IF(Sheet1!EM275="CWA",SUM(Sheet1!BC275:'Sheet1'!BF275),0)</f>
        <v>0</v>
      </c>
      <c r="BX275" s="712">
        <f>IF(OR(Sheet1!EM275="FM", Sheet1!EM275="OTHER"),SUM(Sheet1!BC275:'Sheet1'!BF275),0)</f>
        <v>0</v>
      </c>
      <c r="BY275" s="697">
        <f>IF(AND($B275&gt;=$FL275,$B275&lt;=$FM275),MAX(BV275,Sheet1!EF275,0),MAX(BV275-(7/36)*$K275,0))</f>
        <v>2.5</v>
      </c>
      <c r="BZ275" s="712">
        <f t="shared" si="769"/>
        <v>0</v>
      </c>
      <c r="CA275" s="697">
        <f t="shared" si="770"/>
        <v>0</v>
      </c>
      <c r="CB275" s="697">
        <f>IF(AND($O275&gt;0,Sheet1!EJ275=1),(1-($O275-Sheet1!$L275)/$O275)*BV275,0)</f>
        <v>0</v>
      </c>
      <c r="CC275" s="697">
        <f>IF(AND(Sheet1!$L275=0,Sheet1!$L274=0, Calculation!BU275&lt;Sheet1!EF275-0.1,Sheet1!EF275=Sheet1!EF274,Sheet1!EF275=Sheet1!EF276),Sheet1!EF275,BV275-CB275)</f>
        <v>2.4676792828687066</v>
      </c>
      <c r="CD275" s="697"/>
      <c r="CE275" s="712"/>
      <c r="CF275" s="712">
        <f t="shared" si="771"/>
        <v>385.37160907350102</v>
      </c>
      <c r="CG275" s="712"/>
      <c r="CH275" s="712">
        <f ca="1">IF(B275&gt;Summary!$A$1,#N/A,CF275*MGtoAF)</f>
        <v>1182.3200966375011</v>
      </c>
      <c r="CI275" s="712">
        <f>Sheet1!BK275+Sheet1!BL275+Sheet1!BM275-Sheet1!EN275-CQ275</f>
        <v>8.5500000000000007</v>
      </c>
      <c r="CJ275" s="712">
        <f t="shared" si="772"/>
        <v>8.4733565737058001</v>
      </c>
      <c r="CK275" s="712">
        <f>IF(Sheet1!EN275="FM",CQ275,0)</f>
        <v>0</v>
      </c>
      <c r="CL275" s="712">
        <f t="shared" si="773"/>
        <v>0</v>
      </c>
      <c r="CM275" s="712">
        <f>IF(Sheet1!EN275="OTHER",CQ275,0)</f>
        <v>0</v>
      </c>
      <c r="CN275" s="712">
        <f t="shared" si="774"/>
        <v>0</v>
      </c>
      <c r="CO275" s="712">
        <f t="shared" si="775"/>
        <v>8.5500000000000007</v>
      </c>
      <c r="CP275" s="712">
        <f t="shared" si="776"/>
        <v>8.4733565737058001</v>
      </c>
      <c r="CQ275" s="712">
        <f>IF(OR(Sheet1!EN275="FM", Sheet1!EN275="OTHER"),SUM(Sheet1!BK275:'Sheet1'!BM275),0)</f>
        <v>0</v>
      </c>
      <c r="CR275" s="697">
        <f>IF(AND($B275&gt;=$FL275,$B275&lt;=$FM275),MAX($CJ275,Sheet1!EG275,0),MAX($CJ275-(7/36)*$K275,0))</f>
        <v>8.5</v>
      </c>
      <c r="CS275" s="712">
        <f t="shared" si="777"/>
        <v>0</v>
      </c>
      <c r="CT275" s="697">
        <f t="shared" si="778"/>
        <v>0</v>
      </c>
      <c r="CU275" s="697">
        <f>IF(AND($O275&gt;0,Sheet1!EK275=1),(1-($O275-Sheet1!$L275)/$O275)*CP275,0)</f>
        <v>0</v>
      </c>
      <c r="CV275" s="697">
        <f>IF(AND(Sheet1!$L275=0,Sheet1!$L274=0, Calculation!CO275&lt;Sheet1!$EG275-0.1,Sheet1!$EG275=Sheet1!$EG274,Sheet1!$EG275=Sheet1!$EG276),Sheet1!$EG275,CP275-CU275)</f>
        <v>8.4733565737058001</v>
      </c>
      <c r="CW275" s="697">
        <f>CP275-CV275</f>
        <v>0</v>
      </c>
      <c r="CX275" s="712">
        <f t="shared" si="779"/>
        <v>12.98</v>
      </c>
      <c r="CY275" s="712">
        <f t="shared" si="780"/>
        <v>65.831684241448272</v>
      </c>
      <c r="CZ275" s="712">
        <f t="shared" si="781"/>
        <v>12.863645418327636</v>
      </c>
      <c r="DA275" s="712">
        <f ca="1">IF(B275&gt;Summary!$A$1,#N/A,CY275*MGtoAF)</f>
        <v>201.97160725276331</v>
      </c>
      <c r="DB275" s="712">
        <f t="shared" si="782"/>
        <v>12.98</v>
      </c>
      <c r="DC275" s="712">
        <f t="shared" si="783"/>
        <v>20.079999999999998</v>
      </c>
      <c r="DD275" s="712">
        <f>Sheet1!AB275-DC275</f>
        <v>-0.1799999999985431</v>
      </c>
      <c r="DE275" s="712">
        <f t="shared" si="784"/>
        <v>-8.9641434262222666E-3</v>
      </c>
      <c r="DF275" s="712">
        <f>(VLOOKUP(Sheet1!CY275,hhdcap_wcm,4)-(((VLOOKUP(Sheet1!CY275,hhdcap_wcm,3)-Sheet1!CY275)/(VLOOKUP(Sheet1!CY275,hhdcap_wcm,3)-VLOOKUP(Sheet1!CY275,hhdcap_wcm,1)))*(VLOOKUP(Sheet1!CY275,hhdcap_wcm,4)-VLOOKUP(Sheet1!CY275,hhdcap_wcm,2))))</f>
        <v>30544.060000076061</v>
      </c>
      <c r="DG275" s="712">
        <f t="shared" si="785"/>
        <v>-263.40000000019791</v>
      </c>
      <c r="DH275" s="712">
        <f t="shared" si="786"/>
        <v>-132.8290468987382</v>
      </c>
      <c r="DI275" s="712">
        <f>Sheet1!DW275*AFtoMG</f>
        <v>0</v>
      </c>
      <c r="DJ275" s="712">
        <f>Sheet1!DX275*AFtoMG</f>
        <v>0</v>
      </c>
      <c r="DK275" s="712">
        <f>Sheet1!DY275*AFtoMG</f>
        <v>0</v>
      </c>
      <c r="DL275" s="712">
        <f>Sheet1!DZ275*AFtoMG</f>
        <v>0</v>
      </c>
      <c r="DM275" s="712">
        <f t="shared" si="787"/>
        <v>0</v>
      </c>
      <c r="DN275" s="712">
        <f t="shared" si="788"/>
        <v>0</v>
      </c>
      <c r="DO275" s="712">
        <f t="shared" si="789"/>
        <v>1810.3595643142285</v>
      </c>
      <c r="DP275" s="712">
        <f t="shared" si="790"/>
        <v>5554.1831433160532</v>
      </c>
      <c r="DQ275" s="712"/>
      <c r="DR275" s="697">
        <f>IF(OR(B275&lt;FL275,B275&gt;FM275),(MIN(AV275+BO275+CJ275+MAX(Sheet1!AA275+AG275-73,0),K275)),0)</f>
        <v>0</v>
      </c>
      <c r="DS275" s="712"/>
      <c r="DT275" s="712">
        <f t="shared" si="791"/>
        <v>12.863645418327636</v>
      </c>
      <c r="DU275" s="712"/>
      <c r="DV275" s="712">
        <f>Sheet1!ED275+Sheet1!EE275+Sheet1!EF275+Sheet1!EG275</f>
        <v>13</v>
      </c>
      <c r="DW275" s="712"/>
      <c r="DX275" s="697">
        <f t="shared" si="792"/>
        <v>0</v>
      </c>
      <c r="DY275" s="712">
        <f>IF(Sheet1!FN275=1,SUM('Calculations II'!AT275:BA275)+'Calculations II'!BC275+Sheet1!BU275+'Calculations II'!BE275+AF275,SUM('Calculations II'!AT275:BA275)+'Calculations II'!BC275+Sheet1!BU275+'Calculations II'!BE275+AF275)</f>
        <v>52.798320000000004</v>
      </c>
      <c r="DZ275" s="712">
        <f>Sheet1!AA275+Sheet1!AB275+'Calculations II'!BC275</f>
        <v>56.000000000007276</v>
      </c>
      <c r="EA275" s="712"/>
      <c r="EB275" s="712"/>
      <c r="EC275" s="712">
        <f t="shared" si="793"/>
        <v>40804</v>
      </c>
      <c r="ED275" s="712">
        <f t="shared" si="794"/>
        <v>-13</v>
      </c>
      <c r="EE275" s="712">
        <f t="shared" si="795"/>
        <v>-20.111000000000001</v>
      </c>
      <c r="EF275" s="712">
        <f ca="1">IF(B275=TODAY(),0,-(VLOOKUP(Sheet1!BQ275,Lookup!$B$4:$J$236,2)-VLOOKUP(Sheet1!BQ274,Lookup!$B$4:$J$236,2))/1000000)</f>
        <v>5.5027999999999997</v>
      </c>
      <c r="EG275" s="712">
        <f ca="1">IF(B275=TODAY(),0,-(VLOOKUP(Sheet1!BR275,Lookup!$B$4:$J$236,3)-VLOOKUP(Sheet1!BR274,Lookup!$B$4:$J$236,3))/1000000)</f>
        <v>5.2183999999999999</v>
      </c>
      <c r="EH275" s="712">
        <f>-(VLOOKUP(Sheet1!BS275,Lookup!$B$4:$J$236,4)-VLOOKUP(Sheet1!BS274,Lookup!$B$4:$J$236,4))/1000000</f>
        <v>0</v>
      </c>
      <c r="EI275" s="697">
        <f t="shared" ca="1" si="819"/>
        <v>10.7212</v>
      </c>
      <c r="EJ275" s="712"/>
      <c r="EK275" s="712"/>
      <c r="EL275" s="712"/>
      <c r="EM275" s="712"/>
      <c r="EN275" s="712"/>
      <c r="EO275" s="712"/>
      <c r="EP275" s="712"/>
      <c r="EQ275" s="712"/>
      <c r="ER275" s="697">
        <f t="shared" si="833"/>
        <v>9534.397008438702</v>
      </c>
      <c r="ES275" s="712">
        <f t="shared" si="834"/>
        <v>129.5220261569408</v>
      </c>
      <c r="ET275" s="794">
        <f t="shared" si="818"/>
        <v>1125.5</v>
      </c>
      <c r="EU275" s="697" t="e">
        <f t="shared" si="832"/>
        <v>#N/A</v>
      </c>
      <c r="EV275" s="795" t="e">
        <f t="shared" si="836"/>
        <v>#N/A</v>
      </c>
      <c r="EW275" s="796" t="s">
        <v>757</v>
      </c>
      <c r="EX275" s="796" t="s">
        <v>757</v>
      </c>
      <c r="EY275" s="794" t="e">
        <v>#N/A</v>
      </c>
      <c r="EZ275" s="798">
        <v>15582.800000033576</v>
      </c>
      <c r="FA275" s="712"/>
      <c r="FB275" s="712"/>
      <c r="FC275" s="712"/>
      <c r="FD275" s="712"/>
      <c r="FE275" s="712">
        <f>O275+Sheet1!CO275</f>
        <v>56.000000000007276</v>
      </c>
      <c r="FF275" s="712">
        <f>IF(Sheet1!AA275+AG275&lt;=Calculation!N275,AG275,Calculation!N275-Sheet1!AA275)</f>
        <v>7.0363545816738213</v>
      </c>
      <c r="FG275" s="712">
        <f>(Sheet1!BP275+Sheet1!BO275)/694.4</f>
        <v>2.8038594470046085</v>
      </c>
      <c r="FH275" s="712"/>
      <c r="FI275" s="712"/>
      <c r="FJ275" s="712"/>
      <c r="FK275" s="712"/>
      <c r="FL275" s="714">
        <f t="shared" si="827"/>
        <v>40753</v>
      </c>
      <c r="FM275" s="714">
        <f t="shared" si="828"/>
        <v>40851</v>
      </c>
      <c r="FN275" s="712"/>
      <c r="FO275" s="712"/>
      <c r="FP275" s="712"/>
      <c r="FQ275" s="712"/>
      <c r="FR275" s="712"/>
      <c r="FS275" s="725">
        <f t="shared" si="829"/>
        <v>40603</v>
      </c>
      <c r="FT275" s="714">
        <f t="shared" si="830"/>
        <v>40709</v>
      </c>
      <c r="FU275" s="712">
        <f t="shared" si="829"/>
        <v>6518.9048239895692</v>
      </c>
      <c r="FV275" s="714">
        <f t="shared" si="831"/>
        <v>40722</v>
      </c>
      <c r="FW275" s="712">
        <f t="shared" si="829"/>
        <v>3259.4524119947846</v>
      </c>
      <c r="FX275" s="725">
        <f t="shared" si="829"/>
        <v>40851</v>
      </c>
      <c r="FZ275" s="697">
        <f t="shared" si="824"/>
        <v>0</v>
      </c>
      <c r="GA275" s="712" t="str">
        <f t="shared" si="797"/>
        <v/>
      </c>
      <c r="GB275" s="712">
        <f t="shared" si="798"/>
        <v>0</v>
      </c>
      <c r="GC275" s="712" t="str">
        <f t="shared" si="799"/>
        <v/>
      </c>
      <c r="GD275" s="712">
        <f>IF(GA275="P",Lookup!$M$12,IF(GA275="PP",Lookup!$M$13,IF(GA275="PPP",Lookup!$M$14,IF(GA275="T",Lookup!$M$15,IF(GA275="TP",Lookup!$M$16,IF(GA275="TPP",Lookup!$M$17,IF(GA275="TPPP",Lookup!$M$18,0)))))))*FZ275</f>
        <v>0</v>
      </c>
      <c r="GE275" s="712">
        <f t="shared" si="800"/>
        <v>0</v>
      </c>
      <c r="GF275" s="712">
        <f t="shared" si="801"/>
        <v>2566.3978666666662</v>
      </c>
      <c r="GG275" s="712">
        <f t="shared" si="802"/>
        <v>836.50517166449356</v>
      </c>
      <c r="GH275" s="712"/>
      <c r="GI275" s="712">
        <f t="shared" si="803"/>
        <v>0</v>
      </c>
      <c r="GJ275" s="712" t="str">
        <f t="shared" si="804"/>
        <v/>
      </c>
      <c r="GK275" s="712">
        <f>IF(GA275="P",Lookup!$N$12,IF(GA275="PP",Lookup!$N$13,IF(GA275="PPP",Lookup!$N$14,IF(GA275="T",Lookup!$N$15,IF(GA275="TP",Lookup!$N$16,IF(GA275="TPP",Lookup!$N$17,IF(GA275="TPPP",Lookup!$N$18,0)))))))*FZ275</f>
        <v>0</v>
      </c>
      <c r="GL275" s="712">
        <f t="shared" si="805"/>
        <v>0</v>
      </c>
      <c r="GM275" s="712">
        <f t="shared" si="806"/>
        <v>1603.4935727591219</v>
      </c>
      <c r="GN275" s="712">
        <f t="shared" si="807"/>
        <v>522.6510993347855</v>
      </c>
      <c r="GO275" s="712"/>
      <c r="GP275" s="712">
        <f t="shared" si="808"/>
        <v>0</v>
      </c>
      <c r="GQ275" s="712" t="str">
        <f t="shared" si="809"/>
        <v/>
      </c>
      <c r="GR275" s="712">
        <f>IF(GA275="P",Lookup!$N$12,IF(GA275="PP",Lookup!$N$13,IF(GA275="PPP",Lookup!$N$14,IF(GA275="T",Lookup!$N$15,IF(GA275="TP",Lookup!$N$16,IF(GA275="TPP",Lookup!$N$17,IF(GA275="TPPP",Lookup!$N$18,0)))))))*FZ275</f>
        <v>0</v>
      </c>
      <c r="GS275" s="697">
        <f t="shared" si="825"/>
        <v>0</v>
      </c>
      <c r="GT275" s="712">
        <f t="shared" si="810"/>
        <v>1182.3200966375011</v>
      </c>
      <c r="GU275" s="712">
        <f t="shared" si="811"/>
        <v>385.37160907350102</v>
      </c>
      <c r="GV275" s="712"/>
      <c r="GW275" s="712">
        <f t="shared" si="812"/>
        <v>0</v>
      </c>
      <c r="GX275" s="712" t="str">
        <f t="shared" si="813"/>
        <v/>
      </c>
      <c r="GY275" s="712">
        <f>IF(GA275="P",Lookup!$N$12,IF(GA275="PP",Lookup!$N$13,IF(GA275="PPP",Lookup!$N$14,IF(GA275="T",Lookup!$N$15,IF(GA275="TP",Lookup!$N$16,IF(GA275="TPP",Lookup!$N$17,IF(GA275="TPPP",Lookup!$N$18,0)))))))*FZ275</f>
        <v>0</v>
      </c>
      <c r="GZ275" s="697">
        <f t="shared" si="826"/>
        <v>0</v>
      </c>
      <c r="HA275" s="712">
        <f t="shared" si="814"/>
        <v>201.97160725276331</v>
      </c>
      <c r="HB275" s="712">
        <f t="shared" si="815"/>
        <v>65.831684241448272</v>
      </c>
      <c r="HC275" s="712"/>
    </row>
    <row r="276" spans="1:211">
      <c r="A276" s="773" t="s">
        <v>4</v>
      </c>
      <c r="B276" s="708">
        <v>40805</v>
      </c>
      <c r="C276" s="719">
        <v>0.5</v>
      </c>
      <c r="D276" s="675">
        <f t="shared" si="737"/>
        <v>300</v>
      </c>
      <c r="E276" s="675">
        <f t="shared" si="738"/>
        <v>250</v>
      </c>
      <c r="F276" s="675">
        <v>250</v>
      </c>
      <c r="G276" s="712">
        <f>DH276+Sheet1!CV276</f>
        <v>232.39636913700397</v>
      </c>
      <c r="H276" s="712">
        <f t="shared" si="739"/>
        <v>0</v>
      </c>
      <c r="I276" s="711">
        <f>MAX(Sheet1!Z276-AJ276+(Sheet1!CW276-E276)*CFStoMGD,0)</f>
        <v>131.60041626016417</v>
      </c>
      <c r="J276" s="720">
        <f>IF(AND(B276&gt;=Calculation!FS276,B276&lt;=Calculation!FT276),IF(Sheet1!CX276&gt;=Calculation!D276,64.64,0),MAX(Sheet1!Z276-AJ276+(Sheet1!CX276-D276)*CFStoMGD,0))</f>
        <v>0</v>
      </c>
      <c r="K276" s="697">
        <f t="shared" si="740"/>
        <v>0</v>
      </c>
      <c r="L276" s="712">
        <f>Sheet1!AA276+Sheet1!AB276-Sheet1!L276+(Sheet1!CW276-F276)*CFStoMGD</f>
        <v>188.3210666666518</v>
      </c>
      <c r="M276" s="712">
        <f t="shared" si="741"/>
        <v>153.22543327036257</v>
      </c>
      <c r="N276" s="712">
        <f>IF(Sheet1!CW276&gt;=F276,MIN(73,MIN(MAX(L276,0),MAX(M276,0))),0)</f>
        <v>73</v>
      </c>
      <c r="O276" s="721">
        <f>Sheet1!AA276+Sheet1!AB276</f>
        <v>64.319999999985157</v>
      </c>
      <c r="P276" s="721">
        <f t="shared" si="742"/>
        <v>99.503039999977034</v>
      </c>
      <c r="Q276" s="712">
        <f>MIN(N276,Sheet1!AA276+AG276)</f>
        <v>51.860650406490848</v>
      </c>
      <c r="R276" s="712">
        <f t="shared" si="743"/>
        <v>13</v>
      </c>
      <c r="S276" s="721">
        <f>Sheet1!Y276*MGDtoCFS</f>
        <v>55.784820000000003</v>
      </c>
      <c r="T276" s="721">
        <f>Sheet1!Z276*MGDtoCFS</f>
        <v>30.414019999999997</v>
      </c>
      <c r="U276" s="721">
        <f>Sheet1!AA276*MGDtoCFS</f>
        <v>61.570599999981987</v>
      </c>
      <c r="V276" s="721">
        <f>Sheet1!AB276*MGDtoCFS</f>
        <v>37.932439999995047</v>
      </c>
      <c r="W276" s="721">
        <f>Sheet1!L276*MGDtoCFS</f>
        <v>0</v>
      </c>
      <c r="X276" s="697">
        <f t="shared" si="744"/>
        <v>13.053934959348149</v>
      </c>
      <c r="Y276" s="712">
        <f t="shared" si="745"/>
        <v>20.194437382111587</v>
      </c>
      <c r="Z276" s="712">
        <f t="shared" si="746"/>
        <v>0</v>
      </c>
      <c r="AA276" s="712">
        <f t="shared" si="747"/>
        <v>0</v>
      </c>
      <c r="AB276" s="712">
        <f>(VLOOKUP(Sheet1!CY276,hhdcap_wcm,4)-(((VLOOKUP(Sheet1!CY276,hhdcap_wcm,3)-Sheet1!CY276)/(VLOOKUP(Sheet1!CY276,hhdcap_wcm,3)-VLOOKUP(Sheet1!CY276,hhdcap_wcm,1)))*(VLOOKUP(Sheet1!CY276,hhdcap_wcm,4)-VLOOKUP(Sheet1!CY276,hhdcap_wcm,2))))</f>
        <v>30289.700000074739</v>
      </c>
      <c r="AC276" s="712">
        <f t="shared" si="748"/>
        <v>-254.36000000132117</v>
      </c>
      <c r="AD276" s="712">
        <f t="shared" si="749"/>
        <v>1797.3056293548802</v>
      </c>
      <c r="AE276" s="712">
        <f t="shared" si="750"/>
        <v>5514.1336708607723</v>
      </c>
      <c r="AF276" s="712">
        <f>Sheet1!BA276+Sheet1!BB276+Sheet1!BN276+BT276</f>
        <v>12.1</v>
      </c>
      <c r="AG276" s="712">
        <f t="shared" si="751"/>
        <v>12.060650406502489</v>
      </c>
      <c r="AH276" s="712">
        <f>Sheet1!BA276+BT276</f>
        <v>0</v>
      </c>
      <c r="AI276" s="712">
        <f>Sheet1!BA276+Sheet1!BB276+BT276</f>
        <v>0</v>
      </c>
      <c r="AJ276" s="712">
        <f>IF((Sheet1!AA276+AG276+AX276+AZ276+BQ276+BS276+CL276+CN276)&lt;=N276,AG276+AX276+AZ276+BQ276+BS276+CL276+CN276,N276-Sheet1!AA276)</f>
        <v>12.060650406502489</v>
      </c>
      <c r="AK276" s="712">
        <f>IF(DR276&lt;K276,0,MAX(Sheet1!AA276+AG276-15/36*K276-N276,Sheet1!ED276,0))</f>
        <v>0</v>
      </c>
      <c r="AL276" s="712">
        <f>IF(OR(B276&gt;=FT276,B276&lt;FS276),0,15/36*K276-MAX(0,64.6-(137.6-(Sheet1!AA276+Sheet1!AB276))))</f>
        <v>0</v>
      </c>
      <c r="AM276" s="712">
        <f>Sheet1!CX276-110</f>
        <v>170.25</v>
      </c>
      <c r="AN276" s="712">
        <f>Sheet1!CW276-265</f>
        <v>176.83333333333331</v>
      </c>
      <c r="AO276" s="712">
        <f t="shared" si="835"/>
        <v>21.139349593509152</v>
      </c>
      <c r="AP276" s="851">
        <v>0</v>
      </c>
      <c r="AQ276" s="712">
        <f t="shared" si="753"/>
        <v>0</v>
      </c>
      <c r="AR276" s="712">
        <f t="shared" si="821"/>
        <v>836.50517166449356</v>
      </c>
      <c r="AS276" s="712"/>
      <c r="AT276" s="712">
        <f ca="1">IF(B276&gt;Summary!$A$1,#N/A,AR276*MGtoAF)</f>
        <v>2566.3978666666662</v>
      </c>
      <c r="AU276" s="712">
        <f>Sheet1!BG276+Sheet1!BH276+Sheet1!BI276-BC276</f>
        <v>1.41</v>
      </c>
      <c r="AV276" s="712">
        <f t="shared" si="755"/>
        <v>1.4054146341461577</v>
      </c>
      <c r="AW276" s="712">
        <f>IF(Sheet1!EL276="FM",BC276,0)</f>
        <v>0</v>
      </c>
      <c r="AX276" s="712">
        <f t="shared" si="756"/>
        <v>0</v>
      </c>
      <c r="AY276" s="712">
        <f>IF(Sheet1!EL276="OTHER",BC276,0)</f>
        <v>0</v>
      </c>
      <c r="AZ276" s="712">
        <f t="shared" si="757"/>
        <v>0</v>
      </c>
      <c r="BA276" s="712">
        <f t="shared" si="758"/>
        <v>1.41</v>
      </c>
      <c r="BB276" s="712">
        <f t="shared" si="759"/>
        <v>1.4054146341461577</v>
      </c>
      <c r="BC276" s="712">
        <f>IF(OR(Sheet1!EL276="FM", Sheet1!EL276="OTHER"),SUM(Sheet1!BG276:'Sheet1'!BI276),0)</f>
        <v>0</v>
      </c>
      <c r="BD276" s="697">
        <f>IF(AND($B276&gt;=$FL276,$B276&lt;=$FM276),MAX(AV276,Sheet1!EE276,0),MAX(AV276-(7/36)*$K276,0))</f>
        <v>2</v>
      </c>
      <c r="BE276" s="712">
        <f t="shared" si="760"/>
        <v>0</v>
      </c>
      <c r="BF276" s="697">
        <f t="shared" si="761"/>
        <v>0</v>
      </c>
      <c r="BG276" s="697">
        <f>IF(AND($O276&gt;0,Sheet1!EI276=1),(1-($O276-Sheet1!$L276)/$O276)*BB276,0)</f>
        <v>0</v>
      </c>
      <c r="BH276" s="697">
        <f>IF(AND(Sheet1!$L276=0,Sheet1!$L275=0, Calculation!BA276&lt;Sheet1!$EE276-0.1,Sheet1!$EE276=Sheet1!$EE275,Sheet1!$EE276=Sheet1!$EE277),Sheet1!$EE276,BB276-BG276)</f>
        <v>2</v>
      </c>
      <c r="BI276" s="712"/>
      <c r="BJ276" s="712"/>
      <c r="BK276" s="712">
        <f t="shared" si="762"/>
        <v>520.6510993347855</v>
      </c>
      <c r="BL276" s="712"/>
      <c r="BM276" s="712">
        <f ca="1">IF(B276&gt;Summary!$A$1,#N/A,BK276*MGtoAF)</f>
        <v>1597.3575727591219</v>
      </c>
      <c r="BN276" s="712">
        <f>Sheet1!BC276+Sheet1!BD276+Sheet1!BE276+Sheet1!BF276-BW276-BX276</f>
        <v>2.5599999999999996</v>
      </c>
      <c r="BO276" s="712">
        <f t="shared" si="763"/>
        <v>2.5516747967476339</v>
      </c>
      <c r="BP276" s="712">
        <f>IF(Sheet1!EM276="FM",BX276,0)</f>
        <v>0</v>
      </c>
      <c r="BQ276" s="712">
        <f t="shared" si="764"/>
        <v>0</v>
      </c>
      <c r="BR276" s="712">
        <f>IF(Sheet1!EM276="OTHER",BX276,0)</f>
        <v>0</v>
      </c>
      <c r="BS276" s="712">
        <f t="shared" si="765"/>
        <v>0</v>
      </c>
      <c r="BT276" s="712">
        <f t="shared" si="766"/>
        <v>0</v>
      </c>
      <c r="BU276" s="712">
        <f t="shared" si="767"/>
        <v>2.5599999999999996</v>
      </c>
      <c r="BV276" s="712">
        <f t="shared" si="768"/>
        <v>2.5516747967476339</v>
      </c>
      <c r="BW276" s="712">
        <f>IF(Sheet1!EM276="CWA",SUM(Sheet1!BC276:'Sheet1'!BF276),0)</f>
        <v>0</v>
      </c>
      <c r="BX276" s="712">
        <f>IF(OR(Sheet1!EM276="FM", Sheet1!EM276="OTHER"),SUM(Sheet1!BC276:'Sheet1'!BF276),0)</f>
        <v>0</v>
      </c>
      <c r="BY276" s="697">
        <f>IF(AND($B276&gt;=$FL276,$B276&lt;=$FM276),MAX(BV276,Sheet1!EF276,0),MAX(BV276-(7/36)*$K276,0))</f>
        <v>2.5516747967476339</v>
      </c>
      <c r="BZ276" s="712">
        <f t="shared" si="769"/>
        <v>0</v>
      </c>
      <c r="CA276" s="697">
        <f t="shared" si="770"/>
        <v>0</v>
      </c>
      <c r="CB276" s="697">
        <f>IF(AND($O276&gt;0,Sheet1!EJ276=1),(1-($O276-Sheet1!$L276)/$O276)*BV276,0)</f>
        <v>0</v>
      </c>
      <c r="CC276" s="697">
        <f>IF(AND(Sheet1!$L276=0,Sheet1!$L275=0, Calculation!BU276&lt;Sheet1!EF276-0.1,Sheet1!EF276=Sheet1!EF275,Sheet1!EF276=Sheet1!EF277),Sheet1!EF276,BV276-CB276)</f>
        <v>2.5516747967476339</v>
      </c>
      <c r="CD276" s="697"/>
      <c r="CE276" s="712"/>
      <c r="CF276" s="712">
        <f t="shared" si="771"/>
        <v>382.81993427675337</v>
      </c>
      <c r="CG276" s="712"/>
      <c r="CH276" s="712">
        <f ca="1">IF(B276&gt;Summary!$A$1,#N/A,CF276*MGtoAF)</f>
        <v>1174.4915583610793</v>
      </c>
      <c r="CI276" s="712">
        <f>Sheet1!BK276+Sheet1!BL276+Sheet1!BM276-Sheet1!EN276-CQ276</f>
        <v>8.5300000000000011</v>
      </c>
      <c r="CJ276" s="712">
        <f t="shared" si="772"/>
        <v>8.5022601626005159</v>
      </c>
      <c r="CK276" s="712">
        <f>IF(Sheet1!EN276="FM",CQ276,0)</f>
        <v>0</v>
      </c>
      <c r="CL276" s="712">
        <f t="shared" si="773"/>
        <v>0</v>
      </c>
      <c r="CM276" s="712">
        <f>IF(Sheet1!EN276="OTHER",CQ276,0)</f>
        <v>0</v>
      </c>
      <c r="CN276" s="712">
        <f t="shared" si="774"/>
        <v>0</v>
      </c>
      <c r="CO276" s="712">
        <f t="shared" si="775"/>
        <v>8.5300000000000011</v>
      </c>
      <c r="CP276" s="712">
        <f t="shared" si="776"/>
        <v>8.5022601626005159</v>
      </c>
      <c r="CQ276" s="712">
        <f>IF(OR(Sheet1!EN276="FM", Sheet1!EN276="OTHER"),SUM(Sheet1!BK276:'Sheet1'!BM276),0)</f>
        <v>0</v>
      </c>
      <c r="CR276" s="697">
        <f>IF(AND($B276&gt;=$FL276,$B276&lt;=$FM276),MAX($CJ276,Sheet1!EG276,0),MAX($CJ276-(7/36)*$K276,0))</f>
        <v>8.5022601626005159</v>
      </c>
      <c r="CS276" s="712">
        <f t="shared" si="777"/>
        <v>0</v>
      </c>
      <c r="CT276" s="697">
        <f t="shared" si="778"/>
        <v>0</v>
      </c>
      <c r="CU276" s="697">
        <f>IF(AND($O276&gt;0,Sheet1!EK276=1),(1-($O276-Sheet1!$L276)/$O276)*CP276,0)</f>
        <v>0</v>
      </c>
      <c r="CV276" s="697">
        <f>IF(AND(Sheet1!$L276=0,Sheet1!$L275=0, Calculation!CO276&lt;Sheet1!$EG276-0.1,Sheet1!$EG276=Sheet1!$EG275,Sheet1!$EG276=Sheet1!$EG277),Sheet1!$EG276,CP276-CU276)</f>
        <v>8.5022601626005159</v>
      </c>
      <c r="CW276" s="697">
        <f t="shared" ref="CW276:CW327" si="837">CP276-CV276</f>
        <v>0</v>
      </c>
      <c r="CX276" s="712">
        <f t="shared" si="779"/>
        <v>12.5</v>
      </c>
      <c r="CY276" s="712">
        <f t="shared" si="780"/>
        <v>57.329424078847758</v>
      </c>
      <c r="CZ276" s="712">
        <f t="shared" si="781"/>
        <v>12.459349593494307</v>
      </c>
      <c r="DA276" s="712">
        <f ca="1">IF(B276&gt;Summary!$A$1,#N/A,CY276*MGtoAF)</f>
        <v>175.88667307390492</v>
      </c>
      <c r="DB276" s="712">
        <f t="shared" si="782"/>
        <v>12.5</v>
      </c>
      <c r="DC276" s="712">
        <f t="shared" si="783"/>
        <v>24.6</v>
      </c>
      <c r="DD276" s="712">
        <f>Sheet1!AB276-DC276</f>
        <v>-8.0000000003202842E-2</v>
      </c>
      <c r="DE276" s="712">
        <f t="shared" si="784"/>
        <v>-3.2520325204553999E-3</v>
      </c>
      <c r="DF276" s="712">
        <f>(VLOOKUP(Sheet1!CY276,hhdcap_wcm,4)-(((VLOOKUP(Sheet1!CY276,hhdcap_wcm,3)-Sheet1!CY276)/(VLOOKUP(Sheet1!CY276,hhdcap_wcm,3)-VLOOKUP(Sheet1!CY276,hhdcap_wcm,1)))*(VLOOKUP(Sheet1!CY276,hhdcap_wcm,4)-VLOOKUP(Sheet1!CY276,hhdcap_wcm,2))))</f>
        <v>30289.700000074739</v>
      </c>
      <c r="DG276" s="712">
        <f t="shared" si="785"/>
        <v>-254.36000000132117</v>
      </c>
      <c r="DH276" s="712">
        <f t="shared" si="786"/>
        <v>-128.27029752966271</v>
      </c>
      <c r="DI276" s="712">
        <f>Sheet1!DW276*AFtoMG</f>
        <v>0</v>
      </c>
      <c r="DJ276" s="712">
        <f>Sheet1!DX276*AFtoMG</f>
        <v>0</v>
      </c>
      <c r="DK276" s="712">
        <f>Sheet1!DY276*AFtoMG</f>
        <v>0</v>
      </c>
      <c r="DL276" s="712">
        <f>Sheet1!DZ276*AFtoMG</f>
        <v>0</v>
      </c>
      <c r="DM276" s="712">
        <f t="shared" si="787"/>
        <v>0</v>
      </c>
      <c r="DN276" s="712">
        <f t="shared" si="788"/>
        <v>0</v>
      </c>
      <c r="DO276" s="712">
        <f t="shared" si="789"/>
        <v>1797.3056293548802</v>
      </c>
      <c r="DP276" s="712">
        <f t="shared" si="790"/>
        <v>5514.1336708607723</v>
      </c>
      <c r="DQ276" s="712"/>
      <c r="DR276" s="697">
        <f>IF(OR(B276&lt;FL276,B276&gt;FM276),(MIN(AV276+BO276+CJ276+MAX(Sheet1!AA276+AG276-73,0),K276)),0)</f>
        <v>0</v>
      </c>
      <c r="DS276" s="712"/>
      <c r="DT276" s="712">
        <f t="shared" si="791"/>
        <v>12.459349593494307</v>
      </c>
      <c r="DU276" s="712"/>
      <c r="DV276" s="712">
        <f>Sheet1!ED276+Sheet1!EE276+Sheet1!EF276+Sheet1!EG276</f>
        <v>13</v>
      </c>
      <c r="DW276" s="712"/>
      <c r="DX276" s="697">
        <f t="shared" si="792"/>
        <v>0</v>
      </c>
      <c r="DY276" s="712">
        <f>IF(Sheet1!FN276=1,SUM('Calculations II'!AT276:BA276)+'Calculations II'!BC276+Sheet1!BU276+'Calculations II'!BE276+AF276,SUM('Calculations II'!AT276:BA276)+'Calculations II'!BC276+Sheet1!BU276+'Calculations II'!BE276+AF276)</f>
        <v>55.217952000000004</v>
      </c>
      <c r="DZ276" s="712">
        <f>Sheet1!AA276+Sheet1!AB276+'Calculations II'!BC276</f>
        <v>64.319999999985157</v>
      </c>
      <c r="EA276" s="712"/>
      <c r="EB276" s="712"/>
      <c r="EC276" s="712">
        <f t="shared" si="793"/>
        <v>40805</v>
      </c>
      <c r="ED276" s="712">
        <f t="shared" si="794"/>
        <v>-13.053934959348149</v>
      </c>
      <c r="EE276" s="712">
        <f t="shared" si="795"/>
        <v>-20.194437382111587</v>
      </c>
      <c r="EF276" s="712">
        <f ca="1">IF(B276=TODAY(),0,-(VLOOKUP(Sheet1!BQ276,Lookup!$B$4:$J$236,2)-VLOOKUP(Sheet1!BQ275,Lookup!$B$4:$J$236,2))/1000000)</f>
        <v>1.8939999999999999</v>
      </c>
      <c r="EG276" s="712">
        <f ca="1">IF(B276=TODAY(),0,-(VLOOKUP(Sheet1!BR276,Lookup!$B$4:$J$236,3)-VLOOKUP(Sheet1!BR275,Lookup!$B$4:$J$236,3))/1000000)</f>
        <v>1.89</v>
      </c>
      <c r="EH276" s="712">
        <f>-(VLOOKUP(Sheet1!BS276,Lookup!$B$4:$J$236,4)-VLOOKUP(Sheet1!BS275,Lookup!$B$4:$J$236,4))/1000000</f>
        <v>0</v>
      </c>
      <c r="EI276" s="697">
        <f t="shared" ca="1" si="819"/>
        <v>3.7839999999999998</v>
      </c>
      <c r="EJ276" s="712"/>
      <c r="EK276" s="712"/>
      <c r="EL276" s="712"/>
      <c r="EM276" s="712"/>
      <c r="EN276" s="712"/>
      <c r="EO276" s="712"/>
      <c r="EP276" s="712"/>
      <c r="EQ276" s="712"/>
      <c r="ER276" s="697">
        <f t="shared" si="833"/>
        <v>9437.7602564178233</v>
      </c>
      <c r="ES276" s="712">
        <f t="shared" si="834"/>
        <v>96.636752020878177</v>
      </c>
      <c r="ET276" s="794">
        <f t="shared" si="818"/>
        <v>1125.2</v>
      </c>
      <c r="EU276" s="697" t="e">
        <f t="shared" si="832"/>
        <v>#N/A</v>
      </c>
      <c r="EV276" s="795" t="e">
        <f t="shared" si="836"/>
        <v>#N/A</v>
      </c>
      <c r="EW276" s="796" t="s">
        <v>757</v>
      </c>
      <c r="EX276" s="796" t="s">
        <v>757</v>
      </c>
      <c r="EY276" s="794" t="e">
        <v>#N/A</v>
      </c>
      <c r="EZ276" s="798">
        <v>15432.800000032665</v>
      </c>
      <c r="FA276" s="712"/>
      <c r="FB276" s="712"/>
      <c r="FC276" s="712"/>
      <c r="FD276" s="712"/>
      <c r="FE276" s="712">
        <f>O276+Sheet1!CO276</f>
        <v>64.319999999985157</v>
      </c>
      <c r="FF276" s="712">
        <f>IF(Sheet1!AA276+AG276&lt;=Calculation!N276,AG276,Calculation!N276-Sheet1!AA276)</f>
        <v>12.060650406502489</v>
      </c>
      <c r="FG276" s="712">
        <f>(Sheet1!BP276+Sheet1!BO276)/694.4</f>
        <v>2.460685483870968</v>
      </c>
      <c r="FH276" s="712"/>
      <c r="FI276" s="712"/>
      <c r="FJ276" s="712"/>
      <c r="FK276" s="712"/>
      <c r="FL276" s="714">
        <f t="shared" si="827"/>
        <v>40753</v>
      </c>
      <c r="FM276" s="714">
        <f t="shared" si="828"/>
        <v>40851</v>
      </c>
      <c r="FN276" s="712"/>
      <c r="FO276" s="712"/>
      <c r="FP276" s="712"/>
      <c r="FQ276" s="712"/>
      <c r="FR276" s="712"/>
      <c r="FS276" s="725">
        <f t="shared" si="829"/>
        <v>40603</v>
      </c>
      <c r="FT276" s="714">
        <f t="shared" si="830"/>
        <v>40709</v>
      </c>
      <c r="FU276" s="712">
        <f t="shared" si="829"/>
        <v>6518.9048239895692</v>
      </c>
      <c r="FV276" s="714">
        <f t="shared" si="831"/>
        <v>40722</v>
      </c>
      <c r="FW276" s="712">
        <f t="shared" si="829"/>
        <v>3259.4524119947846</v>
      </c>
      <c r="FX276" s="725">
        <f t="shared" si="829"/>
        <v>40851</v>
      </c>
      <c r="FZ276" s="697">
        <f t="shared" si="824"/>
        <v>0</v>
      </c>
      <c r="GA276" s="712" t="str">
        <f t="shared" si="797"/>
        <v/>
      </c>
      <c r="GB276" s="712">
        <f t="shared" si="798"/>
        <v>0</v>
      </c>
      <c r="GC276" s="712" t="str">
        <f t="shared" si="799"/>
        <v/>
      </c>
      <c r="GD276" s="712">
        <f>IF(GA276="P",Lookup!$M$12,IF(GA276="PP",Lookup!$M$13,IF(GA276="PPP",Lookup!$M$14,IF(GA276="T",Lookup!$M$15,IF(GA276="TP",Lookup!$M$16,IF(GA276="TPP",Lookup!$M$17,IF(GA276="TPPP",Lookup!$M$18,0)))))))*FZ276</f>
        <v>0</v>
      </c>
      <c r="GE276" s="712">
        <f t="shared" si="800"/>
        <v>0</v>
      </c>
      <c r="GF276" s="712">
        <f t="shared" si="801"/>
        <v>2566.3978666666662</v>
      </c>
      <c r="GG276" s="712">
        <f t="shared" si="802"/>
        <v>836.50517166449356</v>
      </c>
      <c r="GH276" s="712"/>
      <c r="GI276" s="712">
        <f t="shared" si="803"/>
        <v>0</v>
      </c>
      <c r="GJ276" s="712" t="str">
        <f t="shared" si="804"/>
        <v/>
      </c>
      <c r="GK276" s="712">
        <f>IF(GA276="P",Lookup!$N$12,IF(GA276="PP",Lookup!$N$13,IF(GA276="PPP",Lookup!$N$14,IF(GA276="T",Lookup!$N$15,IF(GA276="TP",Lookup!$N$16,IF(GA276="TPP",Lookup!$N$17,IF(GA276="TPPP",Lookup!$N$18,0)))))))*FZ276</f>
        <v>0</v>
      </c>
      <c r="GL276" s="712">
        <f t="shared" si="805"/>
        <v>0</v>
      </c>
      <c r="GM276" s="712">
        <f t="shared" si="806"/>
        <v>1597.3575727591219</v>
      </c>
      <c r="GN276" s="712">
        <f t="shared" si="807"/>
        <v>520.6510993347855</v>
      </c>
      <c r="GO276" s="712"/>
      <c r="GP276" s="712">
        <f t="shared" si="808"/>
        <v>0</v>
      </c>
      <c r="GQ276" s="712" t="str">
        <f t="shared" si="809"/>
        <v/>
      </c>
      <c r="GR276" s="712">
        <f>IF(GA276="P",Lookup!$N$12,IF(GA276="PP",Lookup!$N$13,IF(GA276="PPP",Lookup!$N$14,IF(GA276="T",Lookup!$N$15,IF(GA276="TP",Lookup!$N$16,IF(GA276="TPP",Lookup!$N$17,IF(GA276="TPPP",Lookup!$N$18,0)))))))*FZ276</f>
        <v>0</v>
      </c>
      <c r="GS276" s="697">
        <f t="shared" si="825"/>
        <v>0</v>
      </c>
      <c r="GT276" s="712">
        <f t="shared" si="810"/>
        <v>1174.4915583610793</v>
      </c>
      <c r="GU276" s="712">
        <f t="shared" si="811"/>
        <v>382.81993427675337</v>
      </c>
      <c r="GV276" s="712"/>
      <c r="GW276" s="712">
        <f t="shared" si="812"/>
        <v>0</v>
      </c>
      <c r="GX276" s="712" t="str">
        <f t="shared" si="813"/>
        <v/>
      </c>
      <c r="GY276" s="712">
        <f>IF(GA276="P",Lookup!$N$12,IF(GA276="PP",Lookup!$N$13,IF(GA276="PPP",Lookup!$N$14,IF(GA276="T",Lookup!$N$15,IF(GA276="TP",Lookup!$N$16,IF(GA276="TPP",Lookup!$N$17,IF(GA276="TPPP",Lookup!$N$18,0)))))))*FZ276</f>
        <v>0</v>
      </c>
      <c r="GZ276" s="697">
        <f t="shared" si="826"/>
        <v>0</v>
      </c>
      <c r="HA276" s="712">
        <f t="shared" si="814"/>
        <v>175.88667307390492</v>
      </c>
      <c r="HB276" s="712">
        <f t="shared" si="815"/>
        <v>57.329424078847758</v>
      </c>
      <c r="HC276" s="712"/>
    </row>
    <row r="277" spans="1:211">
      <c r="A277" s="773" t="s">
        <v>5</v>
      </c>
      <c r="B277" s="708">
        <v>40806</v>
      </c>
      <c r="C277" s="709">
        <v>0.5</v>
      </c>
      <c r="D277" s="675">
        <f t="shared" si="737"/>
        <v>300</v>
      </c>
      <c r="E277" s="675">
        <f t="shared" si="738"/>
        <v>250</v>
      </c>
      <c r="F277" s="675">
        <v>250</v>
      </c>
      <c r="G277" s="712">
        <f>DH277+Sheet1!CV277</f>
        <v>180.84442763469778</v>
      </c>
      <c r="H277" s="712">
        <f t="shared" si="739"/>
        <v>0</v>
      </c>
      <c r="I277" s="711">
        <f>MAX(Sheet1!Z277-AJ277+(Sheet1!CW277-E277)*CFStoMGD,0)</f>
        <v>108.04623433667705</v>
      </c>
      <c r="J277" s="720">
        <f>IF(AND(B277&gt;=Calculation!FS277,B277&lt;=Calculation!FT277),IF(Sheet1!CX277&gt;=Calculation!D277,64.64,0),MAX(Sheet1!Z277-AJ277+(Sheet1!CX277-D277)*CFStoMGD,0))</f>
        <v>0</v>
      </c>
      <c r="K277" s="697">
        <f t="shared" si="740"/>
        <v>0</v>
      </c>
      <c r="L277" s="712">
        <f>Sheet1!AA277+Sheet1!AB277-Sheet1!L277+(Sheet1!CW277-F277)*CFStoMGD</f>
        <v>166.64593333333741</v>
      </c>
      <c r="M277" s="712">
        <f t="shared" si="741"/>
        <v>119.23579478353003</v>
      </c>
      <c r="N277" s="712">
        <f>IF(Sheet1!CW277&gt;=F277,MIN(73,MIN(MAX(L277,0),MAX(M277,0))),0)</f>
        <v>73</v>
      </c>
      <c r="O277" s="721">
        <f>Sheet1!AA277+Sheet1!AB277</f>
        <v>70.770000000004075</v>
      </c>
      <c r="P277" s="721">
        <f t="shared" si="742"/>
        <v>109.48119000000629</v>
      </c>
      <c r="Q277" s="712">
        <f>MIN(N277,Sheet1!AA277+AG277)</f>
        <v>58.659698996659202</v>
      </c>
      <c r="R277" s="712">
        <f t="shared" si="743"/>
        <v>13</v>
      </c>
      <c r="S277" s="721">
        <f>Sheet1!Y277*MGDtoCFS</f>
        <v>53.897480000000002</v>
      </c>
      <c r="T277" s="721">
        <f>Sheet1!Z277*MGDtoCFS</f>
        <v>55.738410000000002</v>
      </c>
      <c r="U277" s="721">
        <f>Sheet1!AA277*MGDtoCFS</f>
        <v>53.835600000004497</v>
      </c>
      <c r="V277" s="721">
        <f>Sheet1!AB277*MGDtoCFS</f>
        <v>55.645590000001796</v>
      </c>
      <c r="W277" s="721">
        <f>Sheet1!L277*MGDtoCFS</f>
        <v>0</v>
      </c>
      <c r="X277" s="697">
        <f t="shared" si="744"/>
        <v>13.037617056856543</v>
      </c>
      <c r="Y277" s="712">
        <f t="shared" si="745"/>
        <v>20.169193586957071</v>
      </c>
      <c r="Z277" s="712">
        <f t="shared" si="746"/>
        <v>0</v>
      </c>
      <c r="AA277" s="712">
        <f t="shared" si="747"/>
        <v>0</v>
      </c>
      <c r="AB277" s="712">
        <f>(VLOOKUP(Sheet1!CY277,hhdcap_wcm,4)-(((VLOOKUP(Sheet1!CY277,hhdcap_wcm,3)-Sheet1!CY277)/(VLOOKUP(Sheet1!CY277,hhdcap_wcm,3)-VLOOKUP(Sheet1!CY277,hhdcap_wcm,1)))*(VLOOKUP(Sheet1!CY277,hhdcap_wcm,4)-VLOOKUP(Sheet1!CY277,hhdcap_wcm,2))))</f>
        <v>29891.800000074345</v>
      </c>
      <c r="AC277" s="712">
        <f t="shared" si="748"/>
        <v>-397.90000000039436</v>
      </c>
      <c r="AD277" s="712">
        <f t="shared" si="749"/>
        <v>1588.6680122980238</v>
      </c>
      <c r="AE277" s="712">
        <f t="shared" si="750"/>
        <v>4874.033461730337</v>
      </c>
      <c r="AF277" s="712">
        <f>Sheet1!BA277+Sheet1!BB277+Sheet1!BN277+BT277</f>
        <v>23.8</v>
      </c>
      <c r="AG277" s="712">
        <f t="shared" si="751"/>
        <v>23.859698996656288</v>
      </c>
      <c r="AH277" s="712">
        <f>Sheet1!BA277+BT277</f>
        <v>0</v>
      </c>
      <c r="AI277" s="712">
        <f>Sheet1!BA277+Sheet1!BB277+BT277</f>
        <v>0</v>
      </c>
      <c r="AJ277" s="712">
        <f>IF((Sheet1!AA277+AG277+AX277+AZ277+BQ277+BS277+CL277+CN277)&lt;=N277,AG277+AX277+AZ277+BQ277+BS277+CL277+CN277,N277-Sheet1!AA277)</f>
        <v>23.859698996656288</v>
      </c>
      <c r="AK277" s="712">
        <f>IF(DR277&lt;K277,0,MAX(Sheet1!AA277+AG277-15/36*K277-N277,Sheet1!ED277,0))</f>
        <v>0</v>
      </c>
      <c r="AL277" s="712">
        <f>IF(OR(B277&gt;=FT277,B277&lt;FS277),0,15/36*K277-MAX(0,64.6-(137.6-(Sheet1!AA277+Sheet1!AB277))))</f>
        <v>0</v>
      </c>
      <c r="AM277" s="712">
        <f>Sheet1!CX277-110</f>
        <v>168.28125</v>
      </c>
      <c r="AN277" s="712">
        <f>Sheet1!CW277-265</f>
        <v>133.32291666666669</v>
      </c>
      <c r="AO277" s="712">
        <f t="shared" si="835"/>
        <v>14.340301003340798</v>
      </c>
      <c r="AP277" s="851">
        <v>0</v>
      </c>
      <c r="AQ277" s="712">
        <f t="shared" si="753"/>
        <v>0</v>
      </c>
      <c r="AR277" s="712">
        <f t="shared" si="821"/>
        <v>640.90517166449354</v>
      </c>
      <c r="AS277" s="712"/>
      <c r="AT277" s="712">
        <f ca="1">IF(B277&gt;Summary!$A$1,#N/A,AR277*MGtoAF)</f>
        <v>1966.2970666666663</v>
      </c>
      <c r="AU277" s="712">
        <f>Sheet1!BG277+Sheet1!BH277+Sheet1!BI277-BC277</f>
        <v>1.07</v>
      </c>
      <c r="AV277" s="712">
        <f t="shared" si="755"/>
        <v>1.0726839464883291</v>
      </c>
      <c r="AW277" s="712">
        <f>IF(Sheet1!EL277="FM",BC277,0)</f>
        <v>0</v>
      </c>
      <c r="AX277" s="712">
        <f t="shared" si="756"/>
        <v>0</v>
      </c>
      <c r="AY277" s="712">
        <f>IF(Sheet1!EL277="OTHER",BC277,0)</f>
        <v>0</v>
      </c>
      <c r="AZ277" s="712">
        <f t="shared" si="757"/>
        <v>0</v>
      </c>
      <c r="BA277" s="712">
        <f t="shared" si="758"/>
        <v>1.07</v>
      </c>
      <c r="BB277" s="712">
        <f t="shared" si="759"/>
        <v>1.0726839464883291</v>
      </c>
      <c r="BC277" s="712">
        <f>IF(OR(Sheet1!EL277="FM", Sheet1!EL277="OTHER"),SUM(Sheet1!BG277:'Sheet1'!BI277),0)</f>
        <v>0</v>
      </c>
      <c r="BD277" s="697">
        <f>IF(AND($B277&gt;=$FL277,$B277&lt;=$FM277),MAX(AV277,Sheet1!EE277,0),MAX(AV277-(7/36)*$K277,0))</f>
        <v>2</v>
      </c>
      <c r="BE277" s="712">
        <f t="shared" si="760"/>
        <v>0</v>
      </c>
      <c r="BF277" s="697">
        <f t="shared" si="761"/>
        <v>0</v>
      </c>
      <c r="BG277" s="697">
        <f>IF(AND($O277&gt;0,Sheet1!EI277=1),(1-($O277-Sheet1!$L277)/$O277)*BB277,0)</f>
        <v>0</v>
      </c>
      <c r="BH277" s="697">
        <f>IF(AND(Sheet1!$L277=0,Sheet1!$L276=0, Calculation!BA277&lt;Sheet1!$EE277-0.1,Sheet1!$EE277=Sheet1!$EE276,Sheet1!$EE277=Sheet1!$EE278),Sheet1!$EE277,BB277-BG277)</f>
        <v>2</v>
      </c>
      <c r="BI277" s="712"/>
      <c r="BJ277" s="712"/>
      <c r="BK277" s="712">
        <f t="shared" si="762"/>
        <v>518.6510993347855</v>
      </c>
      <c r="BL277" s="712"/>
      <c r="BM277" s="712">
        <f ca="1">IF(B277&gt;Summary!$A$1,#N/A,BK277*MGtoAF)</f>
        <v>1591.221572759122</v>
      </c>
      <c r="BN277" s="712">
        <f>Sheet1!BC277+Sheet1!BD277+Sheet1!BE277+Sheet1!BF277-BW277-BX277</f>
        <v>2.5</v>
      </c>
      <c r="BO277" s="712">
        <f t="shared" si="763"/>
        <v>2.5062709030101145</v>
      </c>
      <c r="BP277" s="712">
        <f>IF(Sheet1!EM277="FM",BX277,0)</f>
        <v>0</v>
      </c>
      <c r="BQ277" s="712">
        <f t="shared" si="764"/>
        <v>0</v>
      </c>
      <c r="BR277" s="712">
        <f>IF(Sheet1!EM277="OTHER",BX277,0)</f>
        <v>0</v>
      </c>
      <c r="BS277" s="712">
        <f t="shared" si="765"/>
        <v>0</v>
      </c>
      <c r="BT277" s="712">
        <f t="shared" si="766"/>
        <v>0</v>
      </c>
      <c r="BU277" s="712">
        <f t="shared" si="767"/>
        <v>2.5</v>
      </c>
      <c r="BV277" s="712">
        <f t="shared" si="768"/>
        <v>2.5062709030101145</v>
      </c>
      <c r="BW277" s="712">
        <f>IF(Sheet1!EM277="CWA",SUM(Sheet1!BC277:'Sheet1'!BF277),0)</f>
        <v>0</v>
      </c>
      <c r="BX277" s="712">
        <f>IF(OR(Sheet1!EM277="FM", Sheet1!EM277="OTHER"),SUM(Sheet1!BC277:'Sheet1'!BF277),0)</f>
        <v>0</v>
      </c>
      <c r="BY277" s="697">
        <f>IF(AND($B277&gt;=$FL277,$B277&lt;=$FM277),MAX(BV277,Sheet1!EF277,0),MAX(BV277-(7/36)*$K277,0))</f>
        <v>2.5062709030101145</v>
      </c>
      <c r="BZ277" s="712">
        <f t="shared" si="769"/>
        <v>0</v>
      </c>
      <c r="CA277" s="697">
        <f t="shared" si="770"/>
        <v>0</v>
      </c>
      <c r="CB277" s="697">
        <f>IF(AND($O277&gt;0,Sheet1!EJ277=1),(1-($O277-Sheet1!$L277)/$O277)*BV277,0)</f>
        <v>0</v>
      </c>
      <c r="CC277" s="697">
        <f>IF(AND(Sheet1!$L277=0,Sheet1!$L276=0, Calculation!BU277&lt;Sheet1!EF277-0.1,Sheet1!EF277=Sheet1!EF276,Sheet1!EF277=Sheet1!EF278),Sheet1!EF277,BV277-CB277)</f>
        <v>2.5062709030101145</v>
      </c>
      <c r="CD277" s="697"/>
      <c r="CE277" s="712"/>
      <c r="CF277" s="712">
        <f t="shared" si="771"/>
        <v>179.3183633737433</v>
      </c>
      <c r="CG277" s="712"/>
      <c r="CH277" s="712">
        <f ca="1">IF(B277&gt;Summary!$A$1,#N/A,CF277*MGtoAF)</f>
        <v>550.14873883064445</v>
      </c>
      <c r="CI277" s="712">
        <f>Sheet1!BK277+Sheet1!BL277+Sheet1!BM277-Sheet1!EN277-CQ277</f>
        <v>8.51</v>
      </c>
      <c r="CJ277" s="712">
        <f t="shared" si="772"/>
        <v>8.5313461538464299</v>
      </c>
      <c r="CK277" s="712">
        <f>IF(Sheet1!EN277="FM",CQ277,0)</f>
        <v>0</v>
      </c>
      <c r="CL277" s="712">
        <f t="shared" si="773"/>
        <v>0</v>
      </c>
      <c r="CM277" s="712">
        <f>IF(Sheet1!EN277="OTHER",CQ277,0)</f>
        <v>0</v>
      </c>
      <c r="CN277" s="712">
        <f t="shared" si="774"/>
        <v>0</v>
      </c>
      <c r="CO277" s="712">
        <f t="shared" si="775"/>
        <v>8.51</v>
      </c>
      <c r="CP277" s="712">
        <f t="shared" si="776"/>
        <v>8.5313461538464299</v>
      </c>
      <c r="CQ277" s="712">
        <f>IF(OR(Sheet1!EN277="FM", Sheet1!EN277="OTHER"),SUM(Sheet1!BK277:'Sheet1'!BM277),0)</f>
        <v>0</v>
      </c>
      <c r="CR277" s="697">
        <f>IF(AND($B277&gt;=$FL277,$B277&lt;=$FM277),MAX($CJ277,Sheet1!EG277,0),MAX($CJ277-(7/36)*$K277,0))</f>
        <v>8.5313461538464299</v>
      </c>
      <c r="CS277" s="712">
        <f t="shared" si="777"/>
        <v>0</v>
      </c>
      <c r="CT277" s="697">
        <f t="shared" si="778"/>
        <v>0</v>
      </c>
      <c r="CU277" s="697">
        <f>IF(AND($O277&gt;0,Sheet1!EK277=1),(1-($O277-Sheet1!$L277)/$O277)*CP277,0)</f>
        <v>0</v>
      </c>
      <c r="CV277" s="697">
        <f>IF(AND(Sheet1!$L277=0,Sheet1!$L276=0, Calculation!CO277&lt;Sheet1!$EG277-0.1,Sheet1!$EG277=Sheet1!$EG276,Sheet1!$EG277=Sheet1!$EG278),Sheet1!$EG277,CP277-CU277)</f>
        <v>8.5313461538464299</v>
      </c>
      <c r="CW277" s="697">
        <f t="shared" si="837"/>
        <v>0</v>
      </c>
      <c r="CX277" s="712">
        <f t="shared" si="779"/>
        <v>12.08</v>
      </c>
      <c r="CY277" s="712">
        <f t="shared" si="780"/>
        <v>249.79337792500132</v>
      </c>
      <c r="CZ277" s="712">
        <f t="shared" si="781"/>
        <v>12.110301003344873</v>
      </c>
      <c r="DA277" s="712">
        <f ca="1">IF(B277&gt;Summary!$A$1,#N/A,CY277*MGtoAF)</f>
        <v>766.36608347390404</v>
      </c>
      <c r="DB277" s="712">
        <f t="shared" si="782"/>
        <v>12.08</v>
      </c>
      <c r="DC277" s="712">
        <f t="shared" si="783"/>
        <v>35.880000000000003</v>
      </c>
      <c r="DD277" s="712">
        <f>Sheet1!AB277-DC277</f>
        <v>9.0000000001161595E-2</v>
      </c>
      <c r="DE277" s="712">
        <f t="shared" si="784"/>
        <v>2.5083612040457523E-3</v>
      </c>
      <c r="DF277" s="712">
        <f>(VLOOKUP(Sheet1!CY277,hhdcap_wcm,4)-(((VLOOKUP(Sheet1!CY277,hhdcap_wcm,3)-Sheet1!CY277)/(VLOOKUP(Sheet1!CY277,hhdcap_wcm,3)-VLOOKUP(Sheet1!CY277,hhdcap_wcm,1)))*(VLOOKUP(Sheet1!CY277,hhdcap_wcm,4)-VLOOKUP(Sheet1!CY277,hhdcap_wcm,2))))</f>
        <v>29891.800000074345</v>
      </c>
      <c r="DG277" s="712">
        <f t="shared" si="785"/>
        <v>-397.90000000039436</v>
      </c>
      <c r="DH277" s="712">
        <f t="shared" si="786"/>
        <v>-200.65557236530222</v>
      </c>
      <c r="DI277" s="712">
        <f>Sheet1!DW277*AFtoMG</f>
        <v>-195.6</v>
      </c>
      <c r="DJ277" s="712">
        <f>Sheet1!DX277*AFtoMG</f>
        <v>0</v>
      </c>
      <c r="DK277" s="712">
        <f>Sheet1!DY277*AFtoMG</f>
        <v>-200.99529999999999</v>
      </c>
      <c r="DL277" s="712">
        <f>Sheet1!DZ277*AFtoMG</f>
        <v>200.99529999999999</v>
      </c>
      <c r="DM277" s="712">
        <f t="shared" si="787"/>
        <v>-195.59999999999997</v>
      </c>
      <c r="DN277" s="712">
        <f t="shared" si="788"/>
        <v>-600.10079999999994</v>
      </c>
      <c r="DO277" s="712">
        <f t="shared" si="789"/>
        <v>1588.6680122980238</v>
      </c>
      <c r="DP277" s="712">
        <f t="shared" si="790"/>
        <v>4874.033461730337</v>
      </c>
      <c r="DQ277" s="712"/>
      <c r="DR277" s="697">
        <f>IF(OR(B277&lt;FL277,B277&gt;FM277),(MIN(AV277+BO277+CJ277+MAX(Sheet1!AA277+AG277-73,0),K277)),0)</f>
        <v>0</v>
      </c>
      <c r="DS277" s="712"/>
      <c r="DT277" s="712">
        <f t="shared" si="791"/>
        <v>12.110301003344873</v>
      </c>
      <c r="DU277" s="712"/>
      <c r="DV277" s="712">
        <f>Sheet1!ED277+Sheet1!EE277+Sheet1!EF277+Sheet1!EG277</f>
        <v>13</v>
      </c>
      <c r="DW277" s="712"/>
      <c r="DX277" s="697">
        <f t="shared" si="792"/>
        <v>0</v>
      </c>
      <c r="DY277" s="712">
        <f>IF(Sheet1!FN277=1,SUM('Calculations II'!AT277:BA277)+'Calculations II'!BC277+Sheet1!BU277+'Calculations II'!BE277+AF277,SUM('Calculations II'!AT277:BA277)+'Calculations II'!BC277+Sheet1!BU277+'Calculations II'!BE277+AF277)</f>
        <v>54.204208000000001</v>
      </c>
      <c r="DZ277" s="712">
        <f>Sheet1!AA277+Sheet1!AB277+'Calculations II'!BC277</f>
        <v>70.770000000004075</v>
      </c>
      <c r="EA277" s="712"/>
      <c r="EB277" s="712"/>
      <c r="EC277" s="712">
        <f t="shared" si="793"/>
        <v>40806</v>
      </c>
      <c r="ED277" s="712">
        <f t="shared" si="794"/>
        <v>-13.037617056856543</v>
      </c>
      <c r="EE277" s="712">
        <f t="shared" si="795"/>
        <v>-20.169193586957071</v>
      </c>
      <c r="EF277" s="712">
        <f ca="1">IF(B277=TODAY(),0,-(VLOOKUP(Sheet1!BQ277,Lookup!$B$4:$J$236,2)-VLOOKUP(Sheet1!BQ276,Lookup!$B$4:$J$236,2))/1000000)</f>
        <v>-2.1640000000000001</v>
      </c>
      <c r="EG277" s="712">
        <f ca="1">IF(B277=TODAY(),0,-(VLOOKUP(Sheet1!BR277,Lookup!$B$4:$J$236,3)-VLOOKUP(Sheet1!BR276,Lookup!$B$4:$J$236,3))/1000000)</f>
        <v>-2.16</v>
      </c>
      <c r="EH277" s="712">
        <f>-(VLOOKUP(Sheet1!BS277,Lookup!$B$4:$J$236,4)-VLOOKUP(Sheet1!BS276,Lookup!$B$4:$J$236,4))/1000000</f>
        <v>0</v>
      </c>
      <c r="EI277" s="697">
        <f t="shared" ca="1" si="819"/>
        <v>-4.3239999999999998</v>
      </c>
      <c r="EJ277" s="712"/>
      <c r="EK277" s="712"/>
      <c r="EL277" s="712"/>
      <c r="EM277" s="712"/>
      <c r="EN277" s="712"/>
      <c r="EO277" s="712"/>
      <c r="EP277" s="712"/>
      <c r="EQ277" s="712"/>
      <c r="ER277" s="697">
        <f t="shared" si="833"/>
        <v>9437.7602564178233</v>
      </c>
      <c r="ES277" s="712">
        <f t="shared" si="834"/>
        <v>0</v>
      </c>
      <c r="ET277" s="794">
        <f t="shared" si="818"/>
        <v>1124.9000000000001</v>
      </c>
      <c r="EU277" s="697" t="e">
        <f t="shared" si="832"/>
        <v>#N/A</v>
      </c>
      <c r="EV277" s="795" t="e">
        <f t="shared" si="836"/>
        <v>#N/A</v>
      </c>
      <c r="EW277" s="796" t="s">
        <v>757</v>
      </c>
      <c r="EX277" s="796" t="s">
        <v>757</v>
      </c>
      <c r="EY277" s="794" t="e">
        <v>#N/A</v>
      </c>
      <c r="EZ277" s="798">
        <v>15334.400000032554</v>
      </c>
      <c r="FA277" s="712"/>
      <c r="FB277" s="712"/>
      <c r="FC277" s="712"/>
      <c r="FD277" s="712"/>
      <c r="FE277" s="712">
        <f>O277+Sheet1!CO277</f>
        <v>70.770000000004075</v>
      </c>
      <c r="FF277" s="712">
        <f>IF(Sheet1!AA277+AG277&lt;=Calculation!N277,AG277,Calculation!N277-Sheet1!AA277)</f>
        <v>23.859698996656288</v>
      </c>
      <c r="FG277" s="712">
        <f>(Sheet1!BP277+Sheet1!BO277)/694.4</f>
        <v>2.9791186635944698</v>
      </c>
      <c r="FH277" s="712"/>
      <c r="FI277" s="712"/>
      <c r="FJ277" s="712"/>
      <c r="FK277" s="712"/>
      <c r="FL277" s="714">
        <f t="shared" si="827"/>
        <v>40753</v>
      </c>
      <c r="FM277" s="714">
        <f t="shared" si="828"/>
        <v>40851</v>
      </c>
      <c r="FN277" s="712"/>
      <c r="FO277" s="712"/>
      <c r="FP277" s="712"/>
      <c r="FQ277" s="712"/>
      <c r="FR277" s="712"/>
      <c r="FS277" s="725">
        <f t="shared" si="829"/>
        <v>40603</v>
      </c>
      <c r="FT277" s="714">
        <f t="shared" si="830"/>
        <v>40709</v>
      </c>
      <c r="FU277" s="712">
        <f t="shared" si="829"/>
        <v>6518.9048239895692</v>
      </c>
      <c r="FV277" s="714">
        <f t="shared" si="831"/>
        <v>40722</v>
      </c>
      <c r="FW277" s="712">
        <f t="shared" si="829"/>
        <v>3259.4524119947846</v>
      </c>
      <c r="FX277" s="725">
        <f t="shared" si="829"/>
        <v>40851</v>
      </c>
      <c r="FZ277" s="697">
        <f t="shared" si="824"/>
        <v>0</v>
      </c>
      <c r="GA277" s="712" t="str">
        <f t="shared" si="797"/>
        <v/>
      </c>
      <c r="GB277" s="712">
        <f t="shared" si="798"/>
        <v>0</v>
      </c>
      <c r="GC277" s="712" t="str">
        <f t="shared" si="799"/>
        <v/>
      </c>
      <c r="GD277" s="712">
        <f>IF(GA277="P",Lookup!$M$12,IF(GA277="PP",Lookup!$M$13,IF(GA277="PPP",Lookup!$M$14,IF(GA277="T",Lookup!$M$15,IF(GA277="TP",Lookup!$M$16,IF(GA277="TPP",Lookup!$M$17,IF(GA277="TPPP",Lookup!$M$18,0)))))))*FZ277</f>
        <v>0</v>
      </c>
      <c r="GE277" s="712">
        <f t="shared" si="800"/>
        <v>0</v>
      </c>
      <c r="GF277" s="712">
        <f t="shared" si="801"/>
        <v>1966.2970666666663</v>
      </c>
      <c r="GG277" s="712">
        <f t="shared" si="802"/>
        <v>640.90517166449354</v>
      </c>
      <c r="GH277" s="712"/>
      <c r="GI277" s="712">
        <f t="shared" si="803"/>
        <v>0</v>
      </c>
      <c r="GJ277" s="712" t="str">
        <f t="shared" si="804"/>
        <v/>
      </c>
      <c r="GK277" s="712">
        <f>IF(GA277="P",Lookup!$N$12,IF(GA277="PP",Lookup!$N$13,IF(GA277="PPP",Lookup!$N$14,IF(GA277="T",Lookup!$N$15,IF(GA277="TP",Lookup!$N$16,IF(GA277="TPP",Lookup!$N$17,IF(GA277="TPPP",Lookup!$N$18,0)))))))*FZ277</f>
        <v>0</v>
      </c>
      <c r="GL277" s="712">
        <f t="shared" si="805"/>
        <v>0</v>
      </c>
      <c r="GM277" s="712">
        <f t="shared" si="806"/>
        <v>1591.221572759122</v>
      </c>
      <c r="GN277" s="712">
        <f t="shared" si="807"/>
        <v>518.6510993347855</v>
      </c>
      <c r="GO277" s="712"/>
      <c r="GP277" s="712">
        <f t="shared" si="808"/>
        <v>0</v>
      </c>
      <c r="GQ277" s="712" t="str">
        <f t="shared" si="809"/>
        <v/>
      </c>
      <c r="GR277" s="712">
        <f>IF(GA277="P",Lookup!$N$12,IF(GA277="PP",Lookup!$N$13,IF(GA277="PPP",Lookup!$N$14,IF(GA277="T",Lookup!$N$15,IF(GA277="TP",Lookup!$N$16,IF(GA277="TPP",Lookup!$N$17,IF(GA277="TPPP",Lookup!$N$18,0)))))))*FZ277</f>
        <v>0</v>
      </c>
      <c r="GS277" s="697">
        <f t="shared" si="825"/>
        <v>0</v>
      </c>
      <c r="GT277" s="712">
        <f t="shared" si="810"/>
        <v>550.14873883064445</v>
      </c>
      <c r="GU277" s="712">
        <f t="shared" si="811"/>
        <v>179.3183633737433</v>
      </c>
      <c r="GV277" s="712"/>
      <c r="GW277" s="712">
        <f t="shared" si="812"/>
        <v>0</v>
      </c>
      <c r="GX277" s="712" t="str">
        <f t="shared" si="813"/>
        <v/>
      </c>
      <c r="GY277" s="712">
        <f>IF(GA277="P",Lookup!$N$12,IF(GA277="PP",Lookup!$N$13,IF(GA277="PPP",Lookup!$N$14,IF(GA277="T",Lookup!$N$15,IF(GA277="TP",Lookup!$N$16,IF(GA277="TPP",Lookup!$N$17,IF(GA277="TPPP",Lookup!$N$18,0)))))))*FZ277</f>
        <v>0</v>
      </c>
      <c r="GZ277" s="697">
        <f t="shared" si="826"/>
        <v>0</v>
      </c>
      <c r="HA277" s="712">
        <f t="shared" si="814"/>
        <v>766.36608347390404</v>
      </c>
      <c r="HB277" s="712">
        <f t="shared" si="815"/>
        <v>249.79337792500132</v>
      </c>
      <c r="HC277" s="712"/>
    </row>
    <row r="278" spans="1:211">
      <c r="A278" s="773" t="s">
        <v>6</v>
      </c>
      <c r="B278" s="708">
        <v>40807</v>
      </c>
      <c r="C278" s="719">
        <v>0.5</v>
      </c>
      <c r="D278" s="675">
        <f t="shared" si="737"/>
        <v>300</v>
      </c>
      <c r="E278" s="675">
        <f t="shared" si="738"/>
        <v>250</v>
      </c>
      <c r="F278" s="675">
        <v>250</v>
      </c>
      <c r="G278" s="712">
        <f>DH278+Sheet1!CV278</f>
        <v>172.45675743746546</v>
      </c>
      <c r="H278" s="712">
        <f t="shared" si="739"/>
        <v>0</v>
      </c>
      <c r="I278" s="711">
        <f>MAX(Sheet1!Z278-AJ278+(Sheet1!CW278-E278)*CFStoMGD,0)</f>
        <v>130.41201455725798</v>
      </c>
      <c r="J278" s="720">
        <f>IF(AND(B278&gt;=Calculation!FS278,B278&lt;=Calculation!FT278),IF(Sheet1!CX278&gt;=Calculation!D278,64.64,0),MAX(Sheet1!Z278-AJ278+(Sheet1!CX278-D278)*CFStoMGD,0))</f>
        <v>35.249814557257963</v>
      </c>
      <c r="K278" s="697">
        <f t="shared" si="740"/>
        <v>0</v>
      </c>
      <c r="L278" s="712">
        <f>Sheet1!AA278+Sheet1!AB278-Sheet1!L278+(Sheet1!CW278-F278)*CFStoMGD</f>
        <v>189.50553333333772</v>
      </c>
      <c r="M278" s="712">
        <f t="shared" si="741"/>
        <v>113.70556896772923</v>
      </c>
      <c r="N278" s="712">
        <f>IF(Sheet1!CW278&gt;=F278,MIN(73,MIN(MAX(L278,0),MAX(M278,0))),0)</f>
        <v>73</v>
      </c>
      <c r="O278" s="721">
        <f>Sheet1!AA278+Sheet1!AB278</f>
        <v>71.450000000004366</v>
      </c>
      <c r="P278" s="721">
        <f t="shared" si="742"/>
        <v>110.53315000000674</v>
      </c>
      <c r="Q278" s="712">
        <f>MIN(N278,Sheet1!AA278+AG278)</f>
        <v>59.313518776083527</v>
      </c>
      <c r="R278" s="712">
        <f t="shared" si="743"/>
        <v>13</v>
      </c>
      <c r="S278" s="721">
        <f>Sheet1!Y278*MGDtoCFS</f>
        <v>53.974829999999997</v>
      </c>
      <c r="T278" s="721">
        <f>Sheet1!Z278*MGDtoCFS</f>
        <v>55.89311</v>
      </c>
      <c r="U278" s="721">
        <f>Sheet1!AA278*MGDtoCFS</f>
        <v>54.980380000012602</v>
      </c>
      <c r="V278" s="721">
        <f>Sheet1!AB278*MGDtoCFS</f>
        <v>55.552769999994148</v>
      </c>
      <c r="W278" s="721">
        <f>Sheet1!L278*MGDtoCFS</f>
        <v>0</v>
      </c>
      <c r="X278" s="697">
        <f t="shared" si="744"/>
        <v>13.077660639776301</v>
      </c>
      <c r="Y278" s="712">
        <f t="shared" si="745"/>
        <v>20.231141009733935</v>
      </c>
      <c r="Z278" s="712">
        <f t="shared" si="746"/>
        <v>0</v>
      </c>
      <c r="AA278" s="712">
        <f t="shared" si="747"/>
        <v>0</v>
      </c>
      <c r="AB278" s="712">
        <f>(VLOOKUP(Sheet1!CY278,hhdcap_wcm,4)-(((VLOOKUP(Sheet1!CY278,hhdcap_wcm,3)-Sheet1!CY278)/(VLOOKUP(Sheet1!CY278,hhdcap_wcm,3)-VLOOKUP(Sheet1!CY278,hhdcap_wcm,1)))*(VLOOKUP(Sheet1!CY278,hhdcap_wcm,4)-VLOOKUP(Sheet1!CY278,hhdcap_wcm,2))))</f>
        <v>29356.800000072839</v>
      </c>
      <c r="AC278" s="712">
        <f t="shared" si="748"/>
        <v>-535.00000000150612</v>
      </c>
      <c r="AD278" s="712">
        <f t="shared" si="749"/>
        <v>1575.5903516582475</v>
      </c>
      <c r="AE278" s="712">
        <f t="shared" si="750"/>
        <v>4833.9111988875038</v>
      </c>
      <c r="AF278" s="712">
        <f>Sheet1!BA278+Sheet1!BB278+Sheet1!BN278+BT278</f>
        <v>23.8</v>
      </c>
      <c r="AG278" s="712">
        <f t="shared" si="751"/>
        <v>23.773518776075381</v>
      </c>
      <c r="AH278" s="712">
        <f>Sheet1!BA278+BT278</f>
        <v>0</v>
      </c>
      <c r="AI278" s="712">
        <f>Sheet1!BA278+Sheet1!BB278+BT278</f>
        <v>0</v>
      </c>
      <c r="AJ278" s="712">
        <f>IF((Sheet1!AA278+AG278+AX278+AZ278+BQ278+BS278+CL278+CN278)&lt;=N278,AG278+AX278+AZ278+BQ278+BS278+CL278+CN278,N278-Sheet1!AA278)</f>
        <v>23.773518776075381</v>
      </c>
      <c r="AK278" s="712">
        <f>IF(DR278&lt;K278,0,MAX(Sheet1!AA278+AG278-15/36*K278-N278,Sheet1!ED278,0))</f>
        <v>0</v>
      </c>
      <c r="AL278" s="712">
        <f>IF(OR(B278&gt;=FT278,B278&lt;FS278),0,15/36*K278-MAX(0,64.6-(137.6-(Sheet1!AA278+Sheet1!AB278))))</f>
        <v>0</v>
      </c>
      <c r="AM278" s="712">
        <f>Sheet1!CX278-110</f>
        <v>225.41666666666669</v>
      </c>
      <c r="AN278" s="712">
        <f>Sheet1!CW278-265</f>
        <v>167.63541666666669</v>
      </c>
      <c r="AO278" s="712">
        <f t="shared" si="835"/>
        <v>13.686481223916473</v>
      </c>
      <c r="AP278" s="851">
        <v>0</v>
      </c>
      <c r="AQ278" s="712">
        <f t="shared" si="753"/>
        <v>0</v>
      </c>
      <c r="AR278" s="712">
        <f t="shared" si="821"/>
        <v>640.90517166449354</v>
      </c>
      <c r="AS278" s="712"/>
      <c r="AT278" s="712">
        <f ca="1">IF(B278&gt;Summary!$A$1,#N/A,AR278*MGtoAF)</f>
        <v>1966.2970666666663</v>
      </c>
      <c r="AU278" s="712">
        <f>Sheet1!BG278+Sheet1!BH278+Sheet1!BI278-BC278</f>
        <v>1.06</v>
      </c>
      <c r="AV278" s="712">
        <f t="shared" si="755"/>
        <v>1.0588205841445337</v>
      </c>
      <c r="AW278" s="712">
        <f>IF(Sheet1!EL278="FM",BC278,0)</f>
        <v>0</v>
      </c>
      <c r="AX278" s="712">
        <f t="shared" si="756"/>
        <v>0</v>
      </c>
      <c r="AY278" s="712">
        <f>IF(Sheet1!EL278="OTHER",BC278,0)</f>
        <v>0</v>
      </c>
      <c r="AZ278" s="712">
        <f t="shared" si="757"/>
        <v>0</v>
      </c>
      <c r="BA278" s="712">
        <f t="shared" si="758"/>
        <v>1.06</v>
      </c>
      <c r="BB278" s="712">
        <f t="shared" si="759"/>
        <v>1.0588205841445337</v>
      </c>
      <c r="BC278" s="712">
        <f>IF(OR(Sheet1!EL278="FM", Sheet1!EL278="OTHER"),SUM(Sheet1!BG278:'Sheet1'!BI278),0)</f>
        <v>0</v>
      </c>
      <c r="BD278" s="697">
        <f>IF(AND($B278&gt;=$FL278,$B278&lt;=$FM278),MAX(AV278,Sheet1!EE278,0),MAX(AV278-(7/36)*$K278,0))</f>
        <v>2</v>
      </c>
      <c r="BE278" s="712">
        <f t="shared" si="760"/>
        <v>0</v>
      </c>
      <c r="BF278" s="697">
        <f t="shared" si="761"/>
        <v>0</v>
      </c>
      <c r="BG278" s="697">
        <f>IF(AND($O278&gt;0,Sheet1!EI278=1),(1-($O278-Sheet1!$L278)/$O278)*BB278,0)</f>
        <v>0</v>
      </c>
      <c r="BH278" s="697">
        <f>IF(AND(Sheet1!$L278=0,Sheet1!$L277=0, Calculation!BA278&lt;Sheet1!$EE278-0.1,Sheet1!$EE278=Sheet1!$EE277,Sheet1!$EE278=Sheet1!$EE279),Sheet1!$EE278,BB278-BG278)</f>
        <v>2</v>
      </c>
      <c r="BI278" s="712"/>
      <c r="BJ278" s="712"/>
      <c r="BK278" s="712">
        <f t="shared" si="762"/>
        <v>516.6510993347855</v>
      </c>
      <c r="BL278" s="712"/>
      <c r="BM278" s="712">
        <f ca="1">IF(B278&gt;Summary!$A$1,#N/A,BK278*MGtoAF)</f>
        <v>1585.085572759122</v>
      </c>
      <c r="BN278" s="712">
        <f>Sheet1!BC278+Sheet1!BD278+Sheet1!BE278+Sheet1!BF278-BW278-BX278</f>
        <v>2.57</v>
      </c>
      <c r="BO278" s="712">
        <f t="shared" si="763"/>
        <v>2.5671404728787279</v>
      </c>
      <c r="BP278" s="712">
        <f>IF(Sheet1!EM278="FM",BX278,0)</f>
        <v>0</v>
      </c>
      <c r="BQ278" s="712">
        <f t="shared" si="764"/>
        <v>0</v>
      </c>
      <c r="BR278" s="712">
        <f>IF(Sheet1!EM278="OTHER",BX278,0)</f>
        <v>0</v>
      </c>
      <c r="BS278" s="712">
        <f t="shared" si="765"/>
        <v>0</v>
      </c>
      <c r="BT278" s="712">
        <f t="shared" si="766"/>
        <v>0</v>
      </c>
      <c r="BU278" s="712">
        <f t="shared" si="767"/>
        <v>2.57</v>
      </c>
      <c r="BV278" s="712">
        <f t="shared" si="768"/>
        <v>2.5671404728787279</v>
      </c>
      <c r="BW278" s="712">
        <f>IF(Sheet1!EM278="CWA",SUM(Sheet1!BC278:'Sheet1'!BF278),0)</f>
        <v>0</v>
      </c>
      <c r="BX278" s="712">
        <f>IF(OR(Sheet1!EM278="FM", Sheet1!EM278="OTHER"),SUM(Sheet1!BC278:'Sheet1'!BF278),0)</f>
        <v>0</v>
      </c>
      <c r="BY278" s="697">
        <f>IF(AND($B278&gt;=$FL278,$B278&lt;=$FM278),MAX(BV278,Sheet1!EF278,0),MAX(BV278-(7/36)*$K278,0))</f>
        <v>2.5671404728787279</v>
      </c>
      <c r="BZ278" s="712">
        <f t="shared" si="769"/>
        <v>0</v>
      </c>
      <c r="CA278" s="697">
        <f t="shared" si="770"/>
        <v>0</v>
      </c>
      <c r="CB278" s="697">
        <f>IF(AND($O278&gt;0,Sheet1!EJ278=1),(1-($O278-Sheet1!$L278)/$O278)*BV278,0)</f>
        <v>0</v>
      </c>
      <c r="CC278" s="697">
        <f>IF(AND(Sheet1!$L278=0,Sheet1!$L277=0, Calculation!BU278&lt;Sheet1!EF278-0.1,Sheet1!EF278=Sheet1!EF277,Sheet1!EF278=Sheet1!EF279),Sheet1!EF278,BV278-CB278)</f>
        <v>2.5671404728787279</v>
      </c>
      <c r="CD278" s="697"/>
      <c r="CE278" s="712"/>
      <c r="CF278" s="712">
        <f t="shared" si="771"/>
        <v>176.75122290086458</v>
      </c>
      <c r="CG278" s="712"/>
      <c r="CH278" s="712">
        <f ca="1">IF(B278&gt;Summary!$A$1,#N/A,CF278*MGtoAF)</f>
        <v>542.27275185985252</v>
      </c>
      <c r="CI278" s="712">
        <f>Sheet1!BK278+Sheet1!BL278+Sheet1!BM278-Sheet1!EN278-CQ278</f>
        <v>8.52</v>
      </c>
      <c r="CJ278" s="712">
        <f t="shared" si="772"/>
        <v>8.5105201668975727</v>
      </c>
      <c r="CK278" s="712">
        <f>IF(Sheet1!EN278="FM",CQ278,0)</f>
        <v>0</v>
      </c>
      <c r="CL278" s="712">
        <f t="shared" si="773"/>
        <v>0</v>
      </c>
      <c r="CM278" s="712">
        <f>IF(Sheet1!EN278="OTHER",CQ278,0)</f>
        <v>0</v>
      </c>
      <c r="CN278" s="712">
        <f t="shared" si="774"/>
        <v>0</v>
      </c>
      <c r="CO278" s="712">
        <f t="shared" si="775"/>
        <v>8.52</v>
      </c>
      <c r="CP278" s="712">
        <f t="shared" si="776"/>
        <v>8.5105201668975727</v>
      </c>
      <c r="CQ278" s="712">
        <f>IF(OR(Sheet1!EN278="FM", Sheet1!EN278="OTHER"),SUM(Sheet1!BK278:'Sheet1'!BM278),0)</f>
        <v>0</v>
      </c>
      <c r="CR278" s="697">
        <f>IF(AND($B278&gt;=$FL278,$B278&lt;=$FM278),MAX($CJ278,Sheet1!EG278,0),MAX($CJ278-(7/36)*$K278,0))</f>
        <v>8.5105201668975727</v>
      </c>
      <c r="CS278" s="712">
        <f t="shared" si="777"/>
        <v>0</v>
      </c>
      <c r="CT278" s="697">
        <f t="shared" si="778"/>
        <v>0</v>
      </c>
      <c r="CU278" s="697">
        <f>IF(AND($O278&gt;0,Sheet1!EK278=1),(1-($O278-Sheet1!$L278)/$O278)*CP278,0)</f>
        <v>0</v>
      </c>
      <c r="CV278" s="697">
        <f>IF(AND(Sheet1!$L278=0,Sheet1!$L277=0, Calculation!CO278&lt;Sheet1!$EG278-0.1,Sheet1!$EG278=Sheet1!$EG277,Sheet1!$EG278=Sheet1!$EG279),Sheet1!$EG278,CP278-CU278)</f>
        <v>8.5105201668975727</v>
      </c>
      <c r="CW278" s="697">
        <f t="shared" si="837"/>
        <v>0</v>
      </c>
      <c r="CX278" s="712">
        <f t="shared" si="779"/>
        <v>12.149999999999999</v>
      </c>
      <c r="CY278" s="712">
        <f t="shared" si="780"/>
        <v>241.28285775810375</v>
      </c>
      <c r="CZ278" s="712">
        <f t="shared" si="781"/>
        <v>12.136481223920836</v>
      </c>
      <c r="DA278" s="712">
        <f ca="1">IF(B278&gt;Summary!$A$1,#N/A,CY278*MGtoAF)</f>
        <v>740.25580760186233</v>
      </c>
      <c r="DB278" s="712">
        <f t="shared" si="782"/>
        <v>12.15</v>
      </c>
      <c r="DC278" s="712">
        <f t="shared" si="783"/>
        <v>35.950000000000003</v>
      </c>
      <c r="DD278" s="712">
        <f>Sheet1!AB278-DC278</f>
        <v>-4.000000000378634E-2</v>
      </c>
      <c r="DE278" s="712">
        <f t="shared" si="784"/>
        <v>-1.1126564674210386E-3</v>
      </c>
      <c r="DF278" s="712">
        <f>(VLOOKUP(Sheet1!CY278,hhdcap_wcm,4)-(((VLOOKUP(Sheet1!CY278,hhdcap_wcm,3)-Sheet1!CY278)/(VLOOKUP(Sheet1!CY278,hhdcap_wcm,3)-VLOOKUP(Sheet1!CY278,hhdcap_wcm,1)))*(VLOOKUP(Sheet1!CY278,hhdcap_wcm,4)-VLOOKUP(Sheet1!CY278,hhdcap_wcm,2))))</f>
        <v>29356.800000072839</v>
      </c>
      <c r="DG278" s="712">
        <f t="shared" si="785"/>
        <v>-535.00000000150612</v>
      </c>
      <c r="DH278" s="712">
        <f t="shared" si="786"/>
        <v>-269.79324256253454</v>
      </c>
      <c r="DI278" s="712">
        <f>Sheet1!DW278*AFtoMG</f>
        <v>0</v>
      </c>
      <c r="DJ278" s="712">
        <f>Sheet1!DX278*AFtoMG</f>
        <v>0</v>
      </c>
      <c r="DK278" s="712">
        <f>Sheet1!DY278*AFtoMG</f>
        <v>0</v>
      </c>
      <c r="DL278" s="712">
        <f>Sheet1!DZ278*AFtoMG</f>
        <v>0</v>
      </c>
      <c r="DM278" s="712">
        <f t="shared" si="787"/>
        <v>0</v>
      </c>
      <c r="DN278" s="712">
        <f t="shared" si="788"/>
        <v>0</v>
      </c>
      <c r="DO278" s="712">
        <f t="shared" si="789"/>
        <v>1575.5903516582475</v>
      </c>
      <c r="DP278" s="712">
        <f t="shared" si="790"/>
        <v>4833.9111988875038</v>
      </c>
      <c r="DQ278" s="712"/>
      <c r="DR278" s="697">
        <f>IF(OR(B278&lt;FL278,B278&gt;FM278),(MIN(AV278+BO278+CJ278+MAX(Sheet1!AA278+AG278-73,0),K278)),0)</f>
        <v>0</v>
      </c>
      <c r="DS278" s="712"/>
      <c r="DT278" s="712">
        <f t="shared" si="791"/>
        <v>12.136481223920836</v>
      </c>
      <c r="DU278" s="712"/>
      <c r="DV278" s="712">
        <f>Sheet1!ED278+Sheet1!EE278+Sheet1!EF278+Sheet1!EG278</f>
        <v>13</v>
      </c>
      <c r="DW278" s="712"/>
      <c r="DX278" s="697">
        <f t="shared" si="792"/>
        <v>0</v>
      </c>
      <c r="DY278" s="712">
        <f>IF(Sheet1!FN278=1,SUM('Calculations II'!AT278:BA278)+'Calculations II'!BC278+Sheet1!BU278+'Calculations II'!BE278+AF278,SUM('Calculations II'!AT278:BA278)+'Calculations II'!BC278+Sheet1!BU278+'Calculations II'!BE278+AF278)</f>
        <v>59.106256000000002</v>
      </c>
      <c r="DZ278" s="712">
        <f>Sheet1!AA278+Sheet1!AB278+'Calculations II'!BC278</f>
        <v>71.450000000004366</v>
      </c>
      <c r="EA278" s="712"/>
      <c r="EB278" s="712"/>
      <c r="EC278" s="712">
        <f t="shared" si="793"/>
        <v>40807</v>
      </c>
      <c r="ED278" s="712">
        <f t="shared" si="794"/>
        <v>-13.077660639776301</v>
      </c>
      <c r="EE278" s="712">
        <f t="shared" si="795"/>
        <v>-20.231141009733935</v>
      </c>
      <c r="EF278" s="712">
        <f ca="1">IF(B278=TODAY(),0,-(VLOOKUP(Sheet1!BQ278,Lookup!$B$4:$J$236,2)-VLOOKUP(Sheet1!BQ277,Lookup!$B$4:$J$236,2))/1000000)</f>
        <v>-0.54759999999999998</v>
      </c>
      <c r="EG278" s="712">
        <f ca="1">IF(B278=TODAY(),0,-(VLOOKUP(Sheet1!BR278,Lookup!$B$4:$J$236,3)-VLOOKUP(Sheet1!BR277,Lookup!$B$4:$J$236,3))/1000000)</f>
        <v>-0.54679999999999995</v>
      </c>
      <c r="EH278" s="712">
        <f>-(VLOOKUP(Sheet1!BS278,Lookup!$B$4:$J$236,4)-VLOOKUP(Sheet1!BS277,Lookup!$B$4:$J$236,4))/1000000</f>
        <v>0</v>
      </c>
      <c r="EI278" s="697">
        <f t="shared" ca="1" si="819"/>
        <v>-1.0943999999999998</v>
      </c>
      <c r="EJ278" s="712"/>
      <c r="EK278" s="712"/>
      <c r="EL278" s="712"/>
      <c r="EM278" s="712"/>
      <c r="EN278" s="712"/>
      <c r="EO278" s="712"/>
      <c r="EP278" s="712"/>
      <c r="EQ278" s="712"/>
      <c r="ER278" s="697">
        <f t="shared" si="833"/>
        <v>9386.4887207320298</v>
      </c>
      <c r="ES278" s="712">
        <f t="shared" si="834"/>
        <v>51.271535685794269</v>
      </c>
      <c r="ET278" s="794">
        <f t="shared" si="818"/>
        <v>1124.7</v>
      </c>
      <c r="EU278" s="697" t="e">
        <f t="shared" si="832"/>
        <v>#N/A</v>
      </c>
      <c r="EV278" s="795" t="e">
        <f t="shared" si="836"/>
        <v>#N/A</v>
      </c>
      <c r="EW278" s="796" t="s">
        <v>757</v>
      </c>
      <c r="EX278" s="796" t="s">
        <v>757</v>
      </c>
      <c r="EY278" s="794" t="e">
        <v>#N/A</v>
      </c>
      <c r="EZ278" s="798">
        <v>15186.800000032441</v>
      </c>
      <c r="FA278" s="712"/>
      <c r="FB278" s="712"/>
      <c r="FC278" s="712"/>
      <c r="FD278" s="712"/>
      <c r="FE278" s="712">
        <f>O278+Sheet1!CO278</f>
        <v>71.450000000004366</v>
      </c>
      <c r="FF278" s="712">
        <f>IF(Sheet1!AA278+AG278&lt;=Calculation!N278,AG278,Calculation!N278-Sheet1!AA278)</f>
        <v>23.773518776075381</v>
      </c>
      <c r="FG278" s="712">
        <f>(Sheet1!BP278+Sheet1!BO278)/694.4</f>
        <v>2.8696716589861753</v>
      </c>
      <c r="FH278" s="712"/>
      <c r="FI278" s="712"/>
      <c r="FJ278" s="712"/>
      <c r="FK278" s="712"/>
      <c r="FL278" s="714">
        <f t="shared" si="827"/>
        <v>40753</v>
      </c>
      <c r="FM278" s="714">
        <f t="shared" si="828"/>
        <v>40851</v>
      </c>
      <c r="FN278" s="712"/>
      <c r="FO278" s="712"/>
      <c r="FP278" s="712"/>
      <c r="FQ278" s="712"/>
      <c r="FR278" s="712"/>
      <c r="FS278" s="725">
        <f t="shared" si="829"/>
        <v>40603</v>
      </c>
      <c r="FT278" s="714">
        <f t="shared" si="830"/>
        <v>40709</v>
      </c>
      <c r="FU278" s="712">
        <f t="shared" si="829"/>
        <v>6518.9048239895692</v>
      </c>
      <c r="FV278" s="714">
        <f t="shared" si="831"/>
        <v>40722</v>
      </c>
      <c r="FW278" s="712">
        <f t="shared" si="829"/>
        <v>3259.4524119947846</v>
      </c>
      <c r="FX278" s="725">
        <f t="shared" si="829"/>
        <v>40851</v>
      </c>
      <c r="FZ278" s="697">
        <f t="shared" si="824"/>
        <v>0</v>
      </c>
      <c r="GA278" s="712" t="str">
        <f t="shared" si="797"/>
        <v/>
      </c>
      <c r="GB278" s="712">
        <f t="shared" si="798"/>
        <v>0</v>
      </c>
      <c r="GC278" s="712" t="str">
        <f t="shared" si="799"/>
        <v/>
      </c>
      <c r="GD278" s="712">
        <f>IF(GA278="P",Lookup!$M$12,IF(GA278="PP",Lookup!$M$13,IF(GA278="PPP",Lookup!$M$14,IF(GA278="T",Lookup!$M$15,IF(GA278="TP",Lookup!$M$16,IF(GA278="TPP",Lookup!$M$17,IF(GA278="TPPP",Lookup!$M$18,0)))))))*FZ278</f>
        <v>0</v>
      </c>
      <c r="GE278" s="712">
        <f t="shared" si="800"/>
        <v>0</v>
      </c>
      <c r="GF278" s="712">
        <f t="shared" si="801"/>
        <v>1966.2970666666663</v>
      </c>
      <c r="GG278" s="712">
        <f t="shared" si="802"/>
        <v>640.90517166449354</v>
      </c>
      <c r="GH278" s="712"/>
      <c r="GI278" s="712">
        <f t="shared" si="803"/>
        <v>0</v>
      </c>
      <c r="GJ278" s="712" t="str">
        <f t="shared" si="804"/>
        <v/>
      </c>
      <c r="GK278" s="712">
        <f>IF(GA278="P",Lookup!$N$12,IF(GA278="PP",Lookup!$N$13,IF(GA278="PPP",Lookup!$N$14,IF(GA278="T",Lookup!$N$15,IF(GA278="TP",Lookup!$N$16,IF(GA278="TPP",Lookup!$N$17,IF(GA278="TPPP",Lookup!$N$18,0)))))))*FZ278</f>
        <v>0</v>
      </c>
      <c r="GL278" s="712">
        <f t="shared" si="805"/>
        <v>0</v>
      </c>
      <c r="GM278" s="712">
        <f t="shared" si="806"/>
        <v>1585.085572759122</v>
      </c>
      <c r="GN278" s="712">
        <f t="shared" si="807"/>
        <v>516.6510993347855</v>
      </c>
      <c r="GO278" s="712"/>
      <c r="GP278" s="712">
        <f t="shared" si="808"/>
        <v>0</v>
      </c>
      <c r="GQ278" s="712" t="str">
        <f t="shared" si="809"/>
        <v/>
      </c>
      <c r="GR278" s="712">
        <f>IF(GA278="P",Lookup!$N$12,IF(GA278="PP",Lookup!$N$13,IF(GA278="PPP",Lookup!$N$14,IF(GA278="T",Lookup!$N$15,IF(GA278="TP",Lookup!$N$16,IF(GA278="TPP",Lookup!$N$17,IF(GA278="TPPP",Lookup!$N$18,0)))))))*FZ278</f>
        <v>0</v>
      </c>
      <c r="GS278" s="697">
        <f t="shared" si="825"/>
        <v>0</v>
      </c>
      <c r="GT278" s="712">
        <f t="shared" si="810"/>
        <v>542.27275185985252</v>
      </c>
      <c r="GU278" s="712">
        <f t="shared" si="811"/>
        <v>176.75122290086458</v>
      </c>
      <c r="GV278" s="712"/>
      <c r="GW278" s="712">
        <f t="shared" si="812"/>
        <v>0</v>
      </c>
      <c r="GX278" s="712" t="str">
        <f t="shared" si="813"/>
        <v/>
      </c>
      <c r="GY278" s="712">
        <f>IF(GA278="P",Lookup!$N$12,IF(GA278="PP",Lookup!$N$13,IF(GA278="PPP",Lookup!$N$14,IF(GA278="T",Lookup!$N$15,IF(GA278="TP",Lookup!$N$16,IF(GA278="TPP",Lookup!$N$17,IF(GA278="TPPP",Lookup!$N$18,0)))))))*FZ278</f>
        <v>0</v>
      </c>
      <c r="GZ278" s="697">
        <f t="shared" si="826"/>
        <v>0</v>
      </c>
      <c r="HA278" s="712">
        <f t="shared" si="814"/>
        <v>740.25580760186233</v>
      </c>
      <c r="HB278" s="712">
        <f t="shared" si="815"/>
        <v>241.28285775810375</v>
      </c>
      <c r="HC278" s="712"/>
    </row>
    <row r="279" spans="1:211">
      <c r="A279" s="773" t="s">
        <v>7</v>
      </c>
      <c r="B279" s="708">
        <v>40808</v>
      </c>
      <c r="C279" s="709">
        <v>0.5</v>
      </c>
      <c r="D279" s="675">
        <f t="shared" si="737"/>
        <v>300</v>
      </c>
      <c r="E279" s="675">
        <f t="shared" si="738"/>
        <v>250</v>
      </c>
      <c r="F279" s="675">
        <v>250</v>
      </c>
      <c r="G279" s="712">
        <f>DH279+Sheet1!CV279</f>
        <v>167.06234241019791</v>
      </c>
      <c r="H279" s="712">
        <f t="shared" si="739"/>
        <v>0</v>
      </c>
      <c r="I279" s="711">
        <f>MAX(Sheet1!Z279-AJ279+(Sheet1!CW279-E279)*CFStoMGD,0)</f>
        <v>159.19919045113517</v>
      </c>
      <c r="J279" s="720">
        <f>IF(AND(B279&gt;=Calculation!FS279,B279&lt;=Calculation!FT279),IF(Sheet1!CX279&gt;=Calculation!D279,64.64,0),MAX(Sheet1!Z279-AJ279+(Sheet1!CX279-D279)*CFStoMGD,0))</f>
        <v>62.622990451135159</v>
      </c>
      <c r="K279" s="697">
        <f t="shared" si="740"/>
        <v>0</v>
      </c>
      <c r="L279" s="712">
        <f>Sheet1!AA279+Sheet1!AB279-Sheet1!L279+(Sheet1!CW279-F279)*CFStoMGD</f>
        <v>216.1865333333281</v>
      </c>
      <c r="M279" s="712">
        <f t="shared" si="741"/>
        <v>110.14888009663098</v>
      </c>
      <c r="N279" s="712">
        <f>IF(Sheet1!CW279&gt;=F279,MIN(73,MIN(MAX(L279,0),MAX(M279,0))),0)</f>
        <v>73</v>
      </c>
      <c r="O279" s="721">
        <f>Sheet1!AA279+Sheet1!AB279</f>
        <v>70.759999999994761</v>
      </c>
      <c r="P279" s="721">
        <f t="shared" si="742"/>
        <v>109.46571999999189</v>
      </c>
      <c r="Q279" s="712">
        <f>MIN(N279,Sheet1!AA279+AG279)</f>
        <v>58.54734288219295</v>
      </c>
      <c r="R279" s="712">
        <f t="shared" si="743"/>
        <v>13</v>
      </c>
      <c r="S279" s="721">
        <f>Sheet1!Y279*MGDtoCFS</f>
        <v>55.181490000000004</v>
      </c>
      <c r="T279" s="721">
        <f>Sheet1!Z279*MGDtoCFS</f>
        <v>55.784820000000003</v>
      </c>
      <c r="U279" s="721">
        <f>Sheet1!AA279*MGDtoCFS</f>
        <v>56.094219999991893</v>
      </c>
      <c r="V279" s="721">
        <f>Sheet1!AB279*MGDtoCFS</f>
        <v>53.371499999999997</v>
      </c>
      <c r="W279" s="721">
        <f>Sheet1!L279*MGDtoCFS</f>
        <v>0</v>
      </c>
      <c r="X279" s="697">
        <f t="shared" si="744"/>
        <v>13.143671441099094</v>
      </c>
      <c r="Y279" s="712">
        <f t="shared" si="745"/>
        <v>20.333259719380298</v>
      </c>
      <c r="Z279" s="712">
        <f t="shared" si="746"/>
        <v>0</v>
      </c>
      <c r="AA279" s="712">
        <f t="shared" si="747"/>
        <v>0</v>
      </c>
      <c r="AB279" s="712">
        <f>(VLOOKUP(Sheet1!CY279,hhdcap_wcm,4)-(((VLOOKUP(Sheet1!CY279,hhdcap_wcm,3)-Sheet1!CY279)/(VLOOKUP(Sheet1!CY279,hhdcap_wcm,3)-VLOOKUP(Sheet1!CY279,hhdcap_wcm,1)))*(VLOOKUP(Sheet1!CY279,hhdcap_wcm,4)-VLOOKUP(Sheet1!CY279,hhdcap_wcm,2))))</f>
        <v>28734.840000072261</v>
      </c>
      <c r="AC279" s="712">
        <f t="shared" si="748"/>
        <v>-621.96000000057757</v>
      </c>
      <c r="AD279" s="712">
        <f t="shared" si="749"/>
        <v>1562.4466802171482</v>
      </c>
      <c r="AE279" s="712">
        <f t="shared" si="750"/>
        <v>4793.5864149062108</v>
      </c>
      <c r="AF279" s="712">
        <f>Sheet1!BA279+Sheet1!BB279+Sheet1!BN279+BT279</f>
        <v>22.1</v>
      </c>
      <c r="AG279" s="712">
        <f t="shared" si="751"/>
        <v>22.287342882198189</v>
      </c>
      <c r="AH279" s="712">
        <f>Sheet1!BA279+BT279</f>
        <v>0</v>
      </c>
      <c r="AI279" s="712">
        <f>Sheet1!BA279+Sheet1!BB279+BT279</f>
        <v>0</v>
      </c>
      <c r="AJ279" s="712">
        <f>IF((Sheet1!AA279+AG279+AX279+AZ279+BQ279+BS279+CL279+CN279)&lt;=N279,AG279+AX279+AZ279+BQ279+BS279+CL279+CN279,N279-Sheet1!AA279)</f>
        <v>22.287342882198189</v>
      </c>
      <c r="AK279" s="712">
        <f>IF(DR279&lt;K279,0,MAX(Sheet1!AA279+AG279-15/36*K279-N279,Sheet1!ED279,0))</f>
        <v>0</v>
      </c>
      <c r="AL279" s="712">
        <f>IF(OR(B279&gt;=FT279,B279&lt;FS279),0,15/36*K279-MAX(0,64.6-(137.6-(Sheet1!AA279+Sheet1!AB279))))</f>
        <v>0</v>
      </c>
      <c r="AM279" s="712">
        <f>Sheet1!CX279-110</f>
        <v>265.57291666666669</v>
      </c>
      <c r="AN279" s="712">
        <f>Sheet1!CW279-265</f>
        <v>209.97916666666669</v>
      </c>
      <c r="AO279" s="712">
        <f t="shared" si="835"/>
        <v>14.45265711780705</v>
      </c>
      <c r="AP279" s="851">
        <v>0</v>
      </c>
      <c r="AQ279" s="712">
        <f t="shared" si="753"/>
        <v>0</v>
      </c>
      <c r="AR279" s="712">
        <f t="shared" si="821"/>
        <v>640.90517166449354</v>
      </c>
      <c r="AS279" s="712"/>
      <c r="AT279" s="712">
        <f ca="1">IF(B279&gt;Summary!$A$1,#N/A,AR279*MGtoAF)</f>
        <v>1966.2970666666663</v>
      </c>
      <c r="AU279" s="712">
        <f>Sheet1!BG279+Sheet1!BH279+Sheet1!BI279-BC279</f>
        <v>1.06</v>
      </c>
      <c r="AV279" s="712">
        <f t="shared" si="755"/>
        <v>1.0689856767027186</v>
      </c>
      <c r="AW279" s="712">
        <f>IF(Sheet1!EL279="FM",BC279,0)</f>
        <v>0</v>
      </c>
      <c r="AX279" s="712">
        <f t="shared" si="756"/>
        <v>0</v>
      </c>
      <c r="AY279" s="712">
        <f>IF(Sheet1!EL279="OTHER",BC279,0)</f>
        <v>0</v>
      </c>
      <c r="AZ279" s="712">
        <f t="shared" si="757"/>
        <v>0</v>
      </c>
      <c r="BA279" s="712">
        <f t="shared" si="758"/>
        <v>1.06</v>
      </c>
      <c r="BB279" s="712">
        <f t="shared" si="759"/>
        <v>1.0689856767027186</v>
      </c>
      <c r="BC279" s="712">
        <f>IF(OR(Sheet1!EL279="FM", Sheet1!EL279="OTHER"),SUM(Sheet1!BG279:'Sheet1'!BI279),0)</f>
        <v>0</v>
      </c>
      <c r="BD279" s="697">
        <f>IF(AND($B279&gt;=$FL279,$B279&lt;=$FM279),MAX(AV279,Sheet1!EE279,0),MAX(AV279-(7/36)*$K279,0))</f>
        <v>2</v>
      </c>
      <c r="BE279" s="712">
        <f t="shared" si="760"/>
        <v>0</v>
      </c>
      <c r="BF279" s="697">
        <f t="shared" si="761"/>
        <v>0</v>
      </c>
      <c r="BG279" s="697">
        <f>IF(AND($O279&gt;0,Sheet1!EI279=1),(1-($O279-Sheet1!$L279)/$O279)*BB279,0)</f>
        <v>0</v>
      </c>
      <c r="BH279" s="697">
        <f>IF(AND(Sheet1!$L279=0,Sheet1!$L278=0, Calculation!BA279&lt;Sheet1!$EE279-0.1,Sheet1!$EE279=Sheet1!$EE278,Sheet1!$EE279=Sheet1!$EE280),Sheet1!$EE279,BB279-BG279)</f>
        <v>2</v>
      </c>
      <c r="BI279" s="712"/>
      <c r="BJ279" s="712"/>
      <c r="BK279" s="712">
        <f t="shared" si="762"/>
        <v>514.6510993347855</v>
      </c>
      <c r="BL279" s="712"/>
      <c r="BM279" s="712">
        <f ca="1">IF(B279&gt;Summary!$A$1,#N/A,BK279*MGtoAF)</f>
        <v>1578.949572759122</v>
      </c>
      <c r="BN279" s="712">
        <f>Sheet1!BC279+Sheet1!BD279+Sheet1!BE279+Sheet1!BF279-BW279-BX279</f>
        <v>2.5</v>
      </c>
      <c r="BO279" s="712">
        <f t="shared" si="763"/>
        <v>2.5211926337328268</v>
      </c>
      <c r="BP279" s="712">
        <f>IF(Sheet1!EM279="FM",BX279,0)</f>
        <v>0</v>
      </c>
      <c r="BQ279" s="712">
        <f t="shared" si="764"/>
        <v>0</v>
      </c>
      <c r="BR279" s="712">
        <f>IF(Sheet1!EM279="OTHER",BX279,0)</f>
        <v>0</v>
      </c>
      <c r="BS279" s="712">
        <f t="shared" si="765"/>
        <v>0</v>
      </c>
      <c r="BT279" s="712">
        <f t="shared" si="766"/>
        <v>0</v>
      </c>
      <c r="BU279" s="712">
        <f t="shared" si="767"/>
        <v>2.5</v>
      </c>
      <c r="BV279" s="712">
        <f t="shared" si="768"/>
        <v>2.5211926337328268</v>
      </c>
      <c r="BW279" s="712">
        <f>IF(Sheet1!EM279="CWA",SUM(Sheet1!BC279:'Sheet1'!BF279),0)</f>
        <v>0</v>
      </c>
      <c r="BX279" s="712">
        <f>IF(OR(Sheet1!EM279="FM", Sheet1!EM279="OTHER"),SUM(Sheet1!BC279:'Sheet1'!BF279),0)</f>
        <v>0</v>
      </c>
      <c r="BY279" s="697">
        <f>IF(AND($B279&gt;=$FL279,$B279&lt;=$FM279),MAX(BV279,Sheet1!EF279,0),MAX(BV279-(7/36)*$K279,0))</f>
        <v>2.5211926337328268</v>
      </c>
      <c r="BZ279" s="712">
        <f t="shared" si="769"/>
        <v>0</v>
      </c>
      <c r="CA279" s="697">
        <f t="shared" si="770"/>
        <v>0</v>
      </c>
      <c r="CB279" s="697">
        <f>IF(AND($O279&gt;0,Sheet1!EJ279=1),(1-($O279-Sheet1!$L279)/$O279)*BV279,0)</f>
        <v>0</v>
      </c>
      <c r="CC279" s="697">
        <f>IF(AND(Sheet1!$L279=0,Sheet1!$L278=0, Calculation!BU279&lt;Sheet1!EF279-0.1,Sheet1!EF279=Sheet1!EF278,Sheet1!EF279=Sheet1!EF280),Sheet1!EF279,BV279-CB279)</f>
        <v>2.5211926337328268</v>
      </c>
      <c r="CD279" s="697"/>
      <c r="CE279" s="712"/>
      <c r="CF279" s="712">
        <f t="shared" si="771"/>
        <v>174.23003026713175</v>
      </c>
      <c r="CG279" s="712"/>
      <c r="CH279" s="712">
        <f ca="1">IF(B279&gt;Summary!$A$1,#N/A,CF279*MGtoAF)</f>
        <v>534.53773285956026</v>
      </c>
      <c r="CI279" s="712">
        <f>Sheet1!BK279+Sheet1!BL279+Sheet1!BM279-Sheet1!EN279-CQ279</f>
        <v>8.5500000000000007</v>
      </c>
      <c r="CJ279" s="712">
        <f t="shared" si="772"/>
        <v>8.6224788073662673</v>
      </c>
      <c r="CK279" s="712">
        <f>IF(Sheet1!EN279="FM",CQ279,0)</f>
        <v>0</v>
      </c>
      <c r="CL279" s="712">
        <f t="shared" si="773"/>
        <v>0</v>
      </c>
      <c r="CM279" s="712">
        <f>IF(Sheet1!EN279="OTHER",CQ279,0)</f>
        <v>0</v>
      </c>
      <c r="CN279" s="712">
        <f t="shared" si="774"/>
        <v>0</v>
      </c>
      <c r="CO279" s="712">
        <f t="shared" si="775"/>
        <v>8.5500000000000007</v>
      </c>
      <c r="CP279" s="712">
        <f t="shared" si="776"/>
        <v>8.6224788073662673</v>
      </c>
      <c r="CQ279" s="712">
        <f>IF(OR(Sheet1!EN279="FM", Sheet1!EN279="OTHER"),SUM(Sheet1!BK279:'Sheet1'!BM279),0)</f>
        <v>0</v>
      </c>
      <c r="CR279" s="697">
        <f>IF(AND($B279&gt;=$FL279,$B279&lt;=$FM279),MAX($CJ279,Sheet1!EG279,0),MAX($CJ279-(7/36)*$K279,0))</f>
        <v>8.6224788073662673</v>
      </c>
      <c r="CS279" s="712">
        <f t="shared" si="777"/>
        <v>0</v>
      </c>
      <c r="CT279" s="697">
        <f t="shared" si="778"/>
        <v>0</v>
      </c>
      <c r="CU279" s="697">
        <f>IF(AND($O279&gt;0,Sheet1!EK279=1),(1-($O279-Sheet1!$L279)/$O279)*CP279,0)</f>
        <v>0</v>
      </c>
      <c r="CV279" s="697">
        <f>IF(AND(Sheet1!$L279=0,Sheet1!$L278=0, Calculation!CO279&lt;Sheet1!$EG279-0.1,Sheet1!$EG279=Sheet1!$EG278,Sheet1!$EG279=Sheet1!$EG280),Sheet1!$EG279,CP279-CU279)</f>
        <v>8.6224788073662673</v>
      </c>
      <c r="CW279" s="697">
        <f t="shared" si="837"/>
        <v>0</v>
      </c>
      <c r="CX279" s="712">
        <f t="shared" si="779"/>
        <v>12.110000000000001</v>
      </c>
      <c r="CY279" s="712">
        <f t="shared" si="780"/>
        <v>232.66037895073748</v>
      </c>
      <c r="CZ279" s="712">
        <f t="shared" si="781"/>
        <v>12.212657117801813</v>
      </c>
      <c r="DA279" s="712">
        <f ca="1">IF(B279&gt;Summary!$A$1,#N/A,CY279*MGtoAF)</f>
        <v>713.80204262086261</v>
      </c>
      <c r="DB279" s="712">
        <f t="shared" si="782"/>
        <v>12.110000000000001</v>
      </c>
      <c r="DC279" s="712">
        <f t="shared" si="783"/>
        <v>34.21</v>
      </c>
      <c r="DD279" s="712">
        <f>Sheet1!AB279-DC279</f>
        <v>0.28999999999999915</v>
      </c>
      <c r="DE279" s="712">
        <f t="shared" si="784"/>
        <v>8.4770534931306388E-3</v>
      </c>
      <c r="DF279" s="712">
        <f>(VLOOKUP(Sheet1!CY279,hhdcap_wcm,4)-(((VLOOKUP(Sheet1!CY279,hhdcap_wcm,3)-Sheet1!CY279)/(VLOOKUP(Sheet1!CY279,hhdcap_wcm,3)-VLOOKUP(Sheet1!CY279,hhdcap_wcm,1)))*(VLOOKUP(Sheet1!CY279,hhdcap_wcm,4)-VLOOKUP(Sheet1!CY279,hhdcap_wcm,2))))</f>
        <v>28734.840000072261</v>
      </c>
      <c r="DG279" s="712">
        <f t="shared" si="785"/>
        <v>-621.96000000057757</v>
      </c>
      <c r="DH279" s="712">
        <f t="shared" si="786"/>
        <v>-313.6459909231354</v>
      </c>
      <c r="DI279" s="712">
        <f>Sheet1!DW279*AFtoMG</f>
        <v>0</v>
      </c>
      <c r="DJ279" s="712">
        <f>Sheet1!DX279*AFtoMG</f>
        <v>0</v>
      </c>
      <c r="DK279" s="712">
        <f>Sheet1!DY279*AFtoMG</f>
        <v>0</v>
      </c>
      <c r="DL279" s="712">
        <f>Sheet1!DZ279*AFtoMG</f>
        <v>0</v>
      </c>
      <c r="DM279" s="712">
        <f t="shared" si="787"/>
        <v>0</v>
      </c>
      <c r="DN279" s="712">
        <f t="shared" si="788"/>
        <v>0</v>
      </c>
      <c r="DO279" s="712">
        <f t="shared" si="789"/>
        <v>1562.4466802171482</v>
      </c>
      <c r="DP279" s="712">
        <f t="shared" si="790"/>
        <v>4793.5864149062108</v>
      </c>
      <c r="DQ279" s="712"/>
      <c r="DR279" s="697">
        <f>IF(OR(B279&lt;FL279,B279&gt;FM279),(MIN(AV279+BO279+CJ279+MAX(Sheet1!AA279+AG279-73,0),K279)),0)</f>
        <v>0</v>
      </c>
      <c r="DS279" s="712"/>
      <c r="DT279" s="712">
        <f t="shared" si="791"/>
        <v>12.212657117801813</v>
      </c>
      <c r="DU279" s="712"/>
      <c r="DV279" s="712">
        <f>Sheet1!ED279+Sheet1!EE279+Sheet1!EF279+Sheet1!EG279</f>
        <v>13</v>
      </c>
      <c r="DW279" s="712"/>
      <c r="DX279" s="697">
        <f t="shared" si="792"/>
        <v>0</v>
      </c>
      <c r="DY279" s="712">
        <f>IF(Sheet1!FN279=1,SUM('Calculations II'!AT279:BA279)+'Calculations II'!BC279+Sheet1!BU279+'Calculations II'!BE279+AF279,SUM('Calculations II'!AT279:BA279)+'Calculations II'!BC279+Sheet1!BU279+'Calculations II'!BE279+AF279)</f>
        <v>57.414272000000004</v>
      </c>
      <c r="DZ279" s="712">
        <f>Sheet1!AA279+Sheet1!AB279+'Calculations II'!BC279</f>
        <v>70.759999999994761</v>
      </c>
      <c r="EA279" s="712"/>
      <c r="EB279" s="712"/>
      <c r="EC279" s="712">
        <f t="shared" si="793"/>
        <v>40808</v>
      </c>
      <c r="ED279" s="712">
        <f t="shared" si="794"/>
        <v>-13.143671441099094</v>
      </c>
      <c r="EE279" s="712">
        <f t="shared" si="795"/>
        <v>-20.333259719380298</v>
      </c>
      <c r="EF279" s="712">
        <f ca="1">IF(B279=TODAY(),0,-(VLOOKUP(Sheet1!BQ279,Lookup!$B$4:$J$236,2)-VLOOKUP(Sheet1!BQ278,Lookup!$B$4:$J$236,2))/1000000)</f>
        <v>-0.54759999999999998</v>
      </c>
      <c r="EG279" s="712">
        <f ca="1">IF(B279=TODAY(),0,-(VLOOKUP(Sheet1!BR279,Lookup!$B$4:$J$236,3)-VLOOKUP(Sheet1!BR278,Lookup!$B$4:$J$236,3))/1000000)</f>
        <v>-0.54679999999999995</v>
      </c>
      <c r="EH279" s="712">
        <f>-(VLOOKUP(Sheet1!BS279,Lookup!$B$4:$J$236,4)-VLOOKUP(Sheet1!BS278,Lookup!$B$4:$J$236,4))/1000000</f>
        <v>0</v>
      </c>
      <c r="EI279" s="697">
        <f t="shared" ca="1" si="819"/>
        <v>-1.0943999999999998</v>
      </c>
      <c r="EJ279" s="712"/>
      <c r="EK279" s="712"/>
      <c r="EL279" s="712"/>
      <c r="EM279" s="712"/>
      <c r="EN279" s="712"/>
      <c r="EO279" s="712"/>
      <c r="EP279" s="712"/>
      <c r="EQ279" s="712"/>
      <c r="ER279" s="697">
        <f t="shared" si="833"/>
        <v>9142.1946533602713</v>
      </c>
      <c r="ES279" s="712">
        <f t="shared" si="834"/>
        <v>244.29406737175896</v>
      </c>
      <c r="ET279" s="794">
        <f t="shared" si="818"/>
        <v>1124.4000000000001</v>
      </c>
      <c r="EU279" s="697" t="e">
        <f t="shared" si="832"/>
        <v>#N/A</v>
      </c>
      <c r="EV279" s="795" t="e">
        <f t="shared" si="836"/>
        <v>#N/A</v>
      </c>
      <c r="EW279" s="796" t="s">
        <v>757</v>
      </c>
      <c r="EX279" s="796" t="s">
        <v>757</v>
      </c>
      <c r="EY279" s="794" t="e">
        <v>#N/A</v>
      </c>
      <c r="EZ279" s="798">
        <v>15039.200000032219</v>
      </c>
      <c r="FA279" s="712"/>
      <c r="FB279" s="712"/>
      <c r="FC279" s="712"/>
      <c r="FD279" s="712"/>
      <c r="FE279" s="712">
        <f>O279+Sheet1!CO279</f>
        <v>70.759999999994761</v>
      </c>
      <c r="FF279" s="712">
        <f>IF(Sheet1!AA279+AG279&lt;=Calculation!N279,AG279,Calculation!N279-Sheet1!AA279)</f>
        <v>22.287342882198189</v>
      </c>
      <c r="FG279" s="712">
        <f>(Sheet1!BP279+Sheet1!BO279)/694.4</f>
        <v>2.7854262672811063</v>
      </c>
      <c r="FH279" s="712"/>
      <c r="FI279" s="712"/>
      <c r="FJ279" s="712"/>
      <c r="FK279" s="712"/>
      <c r="FL279" s="714">
        <f t="shared" si="827"/>
        <v>40753</v>
      </c>
      <c r="FM279" s="714">
        <f t="shared" si="828"/>
        <v>40851</v>
      </c>
      <c r="FN279" s="712"/>
      <c r="FO279" s="712"/>
      <c r="FP279" s="712"/>
      <c r="FQ279" s="712"/>
      <c r="FR279" s="712"/>
      <c r="FS279" s="725">
        <f t="shared" si="829"/>
        <v>40603</v>
      </c>
      <c r="FT279" s="714">
        <f t="shared" si="830"/>
        <v>40709</v>
      </c>
      <c r="FU279" s="712">
        <f t="shared" si="829"/>
        <v>6518.9048239895692</v>
      </c>
      <c r="FV279" s="714">
        <f t="shared" si="831"/>
        <v>40722</v>
      </c>
      <c r="FW279" s="712">
        <f t="shared" si="829"/>
        <v>3259.4524119947846</v>
      </c>
      <c r="FX279" s="725">
        <f t="shared" si="829"/>
        <v>40851</v>
      </c>
      <c r="FZ279" s="697">
        <f t="shared" si="824"/>
        <v>0</v>
      </c>
      <c r="GA279" s="712" t="str">
        <f t="shared" si="797"/>
        <v/>
      </c>
      <c r="GB279" s="712">
        <f t="shared" si="798"/>
        <v>0</v>
      </c>
      <c r="GC279" s="712" t="str">
        <f t="shared" si="799"/>
        <v/>
      </c>
      <c r="GD279" s="712">
        <f>IF(GA279="P",Lookup!$M$12,IF(GA279="PP",Lookup!$M$13,IF(GA279="PPP",Lookup!$M$14,IF(GA279="T",Lookup!$M$15,IF(GA279="TP",Lookup!$M$16,IF(GA279="TPP",Lookup!$M$17,IF(GA279="TPPP",Lookup!$M$18,0)))))))*FZ279</f>
        <v>0</v>
      </c>
      <c r="GE279" s="712">
        <f t="shared" si="800"/>
        <v>0</v>
      </c>
      <c r="GF279" s="712">
        <f t="shared" si="801"/>
        <v>1966.2970666666663</v>
      </c>
      <c r="GG279" s="712">
        <f t="shared" si="802"/>
        <v>640.90517166449354</v>
      </c>
      <c r="GH279" s="712"/>
      <c r="GI279" s="712">
        <f t="shared" si="803"/>
        <v>0</v>
      </c>
      <c r="GJ279" s="712" t="str">
        <f t="shared" si="804"/>
        <v/>
      </c>
      <c r="GK279" s="712">
        <f>IF(GA279="P",Lookup!$N$12,IF(GA279="PP",Lookup!$N$13,IF(GA279="PPP",Lookup!$N$14,IF(GA279="T",Lookup!$N$15,IF(GA279="TP",Lookup!$N$16,IF(GA279="TPP",Lookup!$N$17,IF(GA279="TPPP",Lookup!$N$18,0)))))))*FZ279</f>
        <v>0</v>
      </c>
      <c r="GL279" s="712">
        <f t="shared" si="805"/>
        <v>0</v>
      </c>
      <c r="GM279" s="712">
        <f t="shared" si="806"/>
        <v>1578.949572759122</v>
      </c>
      <c r="GN279" s="712">
        <f t="shared" si="807"/>
        <v>514.6510993347855</v>
      </c>
      <c r="GO279" s="712"/>
      <c r="GP279" s="712">
        <f t="shared" si="808"/>
        <v>0</v>
      </c>
      <c r="GQ279" s="712" t="str">
        <f t="shared" si="809"/>
        <v/>
      </c>
      <c r="GR279" s="712">
        <f>IF(GA279="P",Lookup!$N$12,IF(GA279="PP",Lookup!$N$13,IF(GA279="PPP",Lookup!$N$14,IF(GA279="T",Lookup!$N$15,IF(GA279="TP",Lookup!$N$16,IF(GA279="TPP",Lookup!$N$17,IF(GA279="TPPP",Lookup!$N$18,0)))))))*FZ279</f>
        <v>0</v>
      </c>
      <c r="GS279" s="697">
        <f t="shared" si="825"/>
        <v>0</v>
      </c>
      <c r="GT279" s="712">
        <f t="shared" si="810"/>
        <v>534.53773285956026</v>
      </c>
      <c r="GU279" s="712">
        <f t="shared" si="811"/>
        <v>174.23003026713175</v>
      </c>
      <c r="GV279" s="712"/>
      <c r="GW279" s="712">
        <f t="shared" si="812"/>
        <v>0</v>
      </c>
      <c r="GX279" s="712" t="str">
        <f t="shared" si="813"/>
        <v/>
      </c>
      <c r="GY279" s="712">
        <f>IF(GA279="P",Lookup!$N$12,IF(GA279="PP",Lookup!$N$13,IF(GA279="PPP",Lookup!$N$14,IF(GA279="T",Lookup!$N$15,IF(GA279="TP",Lookup!$N$16,IF(GA279="TPP",Lookup!$N$17,IF(GA279="TPPP",Lookup!$N$18,0)))))))*FZ279</f>
        <v>0</v>
      </c>
      <c r="GZ279" s="697">
        <f t="shared" si="826"/>
        <v>0</v>
      </c>
      <c r="HA279" s="712">
        <f t="shared" si="814"/>
        <v>713.80204262086261</v>
      </c>
      <c r="HB279" s="712">
        <f t="shared" si="815"/>
        <v>232.66037895073748</v>
      </c>
      <c r="HC279" s="712"/>
    </row>
    <row r="280" spans="1:211">
      <c r="A280" s="773" t="s">
        <v>8</v>
      </c>
      <c r="B280" s="708">
        <v>40809</v>
      </c>
      <c r="C280" s="719">
        <v>0.5</v>
      </c>
      <c r="D280" s="675">
        <f t="shared" si="737"/>
        <v>300</v>
      </c>
      <c r="E280" s="675">
        <f t="shared" si="738"/>
        <v>250</v>
      </c>
      <c r="F280" s="675">
        <v>250</v>
      </c>
      <c r="G280" s="712">
        <f>DH280+Sheet1!CV280</f>
        <v>168.92139435083857</v>
      </c>
      <c r="H280" s="712">
        <f t="shared" si="739"/>
        <v>0</v>
      </c>
      <c r="I280" s="711">
        <f>MAX(Sheet1!Z280-AJ280+(Sheet1!CW280-E280)*CFStoMGD,0)</f>
        <v>182.65337634408328</v>
      </c>
      <c r="J280" s="720">
        <f>IF(AND(B280&gt;=Calculation!FS280,B280&lt;=Calculation!FT280),IF(Sheet1!CX280&gt;=Calculation!D280,64.64,0),MAX(Sheet1!Z280-AJ280+(Sheet1!CX280-D280)*CFStoMGD,0))</f>
        <v>86.232043010749948</v>
      </c>
      <c r="K280" s="697">
        <f t="shared" si="740"/>
        <v>0</v>
      </c>
      <c r="L280" s="712">
        <f>Sheet1!AA280+Sheet1!AB280-Sheet1!L280+(Sheet1!CW280-F280)*CFStoMGD</f>
        <v>237.32466666667395</v>
      </c>
      <c r="M280" s="712">
        <f t="shared" si="741"/>
        <v>111.37460509454969</v>
      </c>
      <c r="N280" s="712">
        <f>IF(Sheet1!CW280&gt;=F280,MIN(73,MIN(MAX(L280,0),MAX(M280,0))),0)</f>
        <v>73</v>
      </c>
      <c r="O280" s="721">
        <f>Sheet1!AA280+Sheet1!AB280</f>
        <v>66.500000000007276</v>
      </c>
      <c r="P280" s="721">
        <f t="shared" si="742"/>
        <v>102.87550000001124</v>
      </c>
      <c r="Q280" s="712">
        <f>MIN(N280,Sheet1!AA280+AG280)</f>
        <v>55.111290322586299</v>
      </c>
      <c r="R280" s="712">
        <f t="shared" si="743"/>
        <v>12</v>
      </c>
      <c r="S280" s="721">
        <f>Sheet1!Y280*MGDtoCFS</f>
        <v>56.125160000000001</v>
      </c>
      <c r="T280" s="721">
        <f>Sheet1!Z280*MGDtoCFS</f>
        <v>48.173580000000001</v>
      </c>
      <c r="U280" s="721">
        <f>Sheet1!AA280*MGDtoCFS</f>
        <v>55.382600000004501</v>
      </c>
      <c r="V280" s="721">
        <f>Sheet1!AB280*MGDtoCFS</f>
        <v>47.492900000006749</v>
      </c>
      <c r="W280" s="721">
        <f>Sheet1!L280*MGDtoCFS</f>
        <v>0</v>
      </c>
      <c r="X280" s="697">
        <f t="shared" si="744"/>
        <v>12.329064516130501</v>
      </c>
      <c r="Y280" s="712">
        <f t="shared" si="745"/>
        <v>19.073062806453883</v>
      </c>
      <c r="Z280" s="712">
        <f t="shared" si="746"/>
        <v>0</v>
      </c>
      <c r="AA280" s="712">
        <f t="shared" si="747"/>
        <v>0</v>
      </c>
      <c r="AB280" s="712">
        <f>(VLOOKUP(Sheet1!CY280,hhdcap_wcm,4)-(((VLOOKUP(Sheet1!CY280,hhdcap_wcm,3)-Sheet1!CY280)/(VLOOKUP(Sheet1!CY280,hhdcap_wcm,3)-VLOOKUP(Sheet1!CY280,hhdcap_wcm,1)))*(VLOOKUP(Sheet1!CY280,hhdcap_wcm,4)-VLOOKUP(Sheet1!CY280,hhdcap_wcm,2))))</f>
        <v>28039.560000069974</v>
      </c>
      <c r="AC280" s="712">
        <f t="shared" si="748"/>
        <v>-695.28000000228712</v>
      </c>
      <c r="AD280" s="712">
        <f t="shared" si="749"/>
        <v>1550.1176157010177</v>
      </c>
      <c r="AE280" s="712">
        <f t="shared" si="750"/>
        <v>4755.7608449707222</v>
      </c>
      <c r="AF280" s="712">
        <f>Sheet1!BA280+Sheet1!BB280+Sheet1!BN280+BT280</f>
        <v>19.5</v>
      </c>
      <c r="AG280" s="712">
        <f t="shared" si="751"/>
        <v>19.311290322583393</v>
      </c>
      <c r="AH280" s="712">
        <f>Sheet1!BA280+BT280</f>
        <v>0</v>
      </c>
      <c r="AI280" s="712">
        <f>Sheet1!BA280+Sheet1!BB280+BT280</f>
        <v>0</v>
      </c>
      <c r="AJ280" s="712">
        <f>IF((Sheet1!AA280+AG280+AX280+AZ280+BQ280+BS280+CL280+CN280)&lt;=N280,AG280+AX280+AZ280+BQ280+BS280+CL280+CN280,N280-Sheet1!AA280)</f>
        <v>19.311290322583393</v>
      </c>
      <c r="AK280" s="712">
        <f>IF(DR280&lt;K280,0,MAX(Sheet1!AA280+AG280-15/36*K280-N280,Sheet1!ED280,0))</f>
        <v>0</v>
      </c>
      <c r="AL280" s="712">
        <f>IF(OR(B280&gt;=FT280,B280&lt;FS280),0,15/36*K280-MAX(0,64.6-(137.6-(Sheet1!AA280+Sheet1!AB280))))</f>
        <v>0</v>
      </c>
      <c r="AM280" s="712">
        <f>Sheet1!CX280-110</f>
        <v>305.10416666666669</v>
      </c>
      <c r="AN280" s="712">
        <f>Sheet1!CW280-265</f>
        <v>249.27083333333337</v>
      </c>
      <c r="AO280" s="712">
        <f t="shared" si="835"/>
        <v>17.888709677413701</v>
      </c>
      <c r="AP280" s="851">
        <v>0</v>
      </c>
      <c r="AQ280" s="712">
        <f t="shared" si="753"/>
        <v>0</v>
      </c>
      <c r="AR280" s="712">
        <f t="shared" si="821"/>
        <v>640.90517166449354</v>
      </c>
      <c r="AS280" s="712"/>
      <c r="AT280" s="712">
        <f ca="1">IF(B280&gt;Summary!$A$1,#N/A,AR280*MGtoAF)</f>
        <v>1966.2970666666663</v>
      </c>
      <c r="AU280" s="712">
        <f>Sheet1!BG280+Sheet1!BH280+Sheet1!BI280-BC280</f>
        <v>1.07</v>
      </c>
      <c r="AV280" s="712">
        <f t="shared" si="755"/>
        <v>1.0596451612904734</v>
      </c>
      <c r="AW280" s="712">
        <f>IF(Sheet1!EL280="FM",BC280,0)</f>
        <v>0</v>
      </c>
      <c r="AX280" s="712">
        <f t="shared" si="756"/>
        <v>0</v>
      </c>
      <c r="AY280" s="712">
        <f>IF(Sheet1!EL280="OTHER",BC280,0)</f>
        <v>0</v>
      </c>
      <c r="AZ280" s="712">
        <f t="shared" si="757"/>
        <v>0</v>
      </c>
      <c r="BA280" s="712">
        <f t="shared" si="758"/>
        <v>1.07</v>
      </c>
      <c r="BB280" s="712">
        <f t="shared" si="759"/>
        <v>1.0596451612904734</v>
      </c>
      <c r="BC280" s="712">
        <f>IF(OR(Sheet1!EL280="FM", Sheet1!EL280="OTHER"),SUM(Sheet1!BG280:'Sheet1'!BI280),0)</f>
        <v>0</v>
      </c>
      <c r="BD280" s="697">
        <f>IF(AND($B280&gt;=$FL280,$B280&lt;=$FM280),MAX(AV280,Sheet1!EE280,0),MAX(AV280-(7/36)*$K280,0))</f>
        <v>2</v>
      </c>
      <c r="BE280" s="712">
        <f t="shared" si="760"/>
        <v>0</v>
      </c>
      <c r="BF280" s="697">
        <f t="shared" si="761"/>
        <v>0</v>
      </c>
      <c r="BG280" s="697">
        <f>IF(AND($O280&gt;0,Sheet1!EI280=1),(1-($O280-Sheet1!$L280)/$O280)*BB280,0)</f>
        <v>0</v>
      </c>
      <c r="BH280" s="697">
        <f>IF(AND(Sheet1!$L280=0,Sheet1!$L279=0, Calculation!BA280&lt;Sheet1!$EE280-0.1,Sheet1!$EE280=Sheet1!$EE279,Sheet1!$EE280=Sheet1!$EE281),Sheet1!$EE280,BB280-BG280)</f>
        <v>2</v>
      </c>
      <c r="BI280" s="712"/>
      <c r="BJ280" s="712"/>
      <c r="BK280" s="712">
        <f t="shared" si="762"/>
        <v>512.6510993347855</v>
      </c>
      <c r="BL280" s="712"/>
      <c r="BM280" s="712">
        <f ca="1">IF(B280&gt;Summary!$A$1,#N/A,BK280*MGtoAF)</f>
        <v>1572.8135727591221</v>
      </c>
      <c r="BN280" s="712">
        <f>Sheet1!BC280+Sheet1!BD280+Sheet1!BE280+Sheet1!BF280-BW280-BX280</f>
        <v>2.56</v>
      </c>
      <c r="BO280" s="712">
        <f t="shared" si="763"/>
        <v>2.5352258064519733</v>
      </c>
      <c r="BP280" s="712">
        <f>IF(Sheet1!EM280="FM",BX280,0)</f>
        <v>0</v>
      </c>
      <c r="BQ280" s="712">
        <f t="shared" si="764"/>
        <v>0</v>
      </c>
      <c r="BR280" s="712">
        <f>IF(Sheet1!EM280="OTHER",BX280,0)</f>
        <v>0</v>
      </c>
      <c r="BS280" s="712">
        <f t="shared" si="765"/>
        <v>0</v>
      </c>
      <c r="BT280" s="712">
        <f t="shared" si="766"/>
        <v>0</v>
      </c>
      <c r="BU280" s="712">
        <f t="shared" si="767"/>
        <v>2.56</v>
      </c>
      <c r="BV280" s="712">
        <f t="shared" si="768"/>
        <v>2.5352258064519733</v>
      </c>
      <c r="BW280" s="712">
        <f>IF(Sheet1!EM280="CWA",SUM(Sheet1!BC280:'Sheet1'!BF280),0)</f>
        <v>0</v>
      </c>
      <c r="BX280" s="712">
        <f>IF(OR(Sheet1!EM280="FM", Sheet1!EM280="OTHER"),SUM(Sheet1!BC280:'Sheet1'!BF280),0)</f>
        <v>0</v>
      </c>
      <c r="BY280" s="697">
        <f>IF(AND($B280&gt;=$FL280,$B280&lt;=$FM280),MAX(BV280,Sheet1!EF280,0),MAX(BV280-(7/36)*$K280,0))</f>
        <v>2.5352258064519733</v>
      </c>
      <c r="BZ280" s="712">
        <f t="shared" si="769"/>
        <v>0</v>
      </c>
      <c r="CA280" s="697">
        <f t="shared" si="770"/>
        <v>0</v>
      </c>
      <c r="CB280" s="697">
        <f>IF(AND($O280&gt;0,Sheet1!EJ280=1),(1-($O280-Sheet1!$L280)/$O280)*BV280,0)</f>
        <v>0</v>
      </c>
      <c r="CC280" s="697">
        <f>IF(AND(Sheet1!$L280=0,Sheet1!$L279=0, Calculation!BU280&lt;Sheet1!EF280-0.1,Sheet1!EF280=Sheet1!EF279,Sheet1!EF280=Sheet1!EF281),Sheet1!EF280,BV280-CB280)</f>
        <v>2.5352258064519733</v>
      </c>
      <c r="CD280" s="697"/>
      <c r="CE280" s="712"/>
      <c r="CF280" s="712">
        <f t="shared" si="771"/>
        <v>171.69480446067979</v>
      </c>
      <c r="CG280" s="712"/>
      <c r="CH280" s="712">
        <f ca="1">IF(B280&gt;Summary!$A$1,#N/A,CF280*MGtoAF)</f>
        <v>526.75966008536557</v>
      </c>
      <c r="CI280" s="712">
        <f>Sheet1!BK280+Sheet1!BL280+Sheet1!BM280-Sheet1!EN280-CQ280</f>
        <v>7.8699999999999992</v>
      </c>
      <c r="CJ280" s="712">
        <f t="shared" si="772"/>
        <v>7.7938387096785267</v>
      </c>
      <c r="CK280" s="712">
        <f>IF(Sheet1!EN280="FM",CQ280,0)</f>
        <v>0</v>
      </c>
      <c r="CL280" s="712">
        <f t="shared" si="773"/>
        <v>0</v>
      </c>
      <c r="CM280" s="712">
        <f>IF(Sheet1!EN280="OTHER",CQ280,0)</f>
        <v>0</v>
      </c>
      <c r="CN280" s="712">
        <f t="shared" si="774"/>
        <v>0</v>
      </c>
      <c r="CO280" s="712">
        <f t="shared" si="775"/>
        <v>7.8699999999999992</v>
      </c>
      <c r="CP280" s="712">
        <f t="shared" si="776"/>
        <v>7.7938387096785267</v>
      </c>
      <c r="CQ280" s="712">
        <f>IF(OR(Sheet1!EN280="FM", Sheet1!EN280="OTHER"),SUM(Sheet1!BK280:'Sheet1'!BM280),0)</f>
        <v>0</v>
      </c>
      <c r="CR280" s="697">
        <f>IF(AND($B280&gt;=$FL280,$B280&lt;=$FM280),MAX($CJ280,Sheet1!EG280,0),MAX($CJ280-(7/36)*$K280,0))</f>
        <v>7.7938387096785267</v>
      </c>
      <c r="CS280" s="712">
        <f t="shared" si="777"/>
        <v>0</v>
      </c>
      <c r="CT280" s="697">
        <f t="shared" si="778"/>
        <v>0</v>
      </c>
      <c r="CU280" s="697">
        <f>IF(AND($O280&gt;0,Sheet1!EK280=1),(1-($O280-Sheet1!$L280)/$O280)*CP280,0)</f>
        <v>0</v>
      </c>
      <c r="CV280" s="697">
        <f>IF(AND(Sheet1!$L280=0,Sheet1!$L279=0, Calculation!CO280&lt;Sheet1!$EG280-0.1,Sheet1!$EG280=Sheet1!$EG279,Sheet1!$EG280=Sheet1!$EG281),Sheet1!$EG280,CP280-CU280)</f>
        <v>7.7938387096785267</v>
      </c>
      <c r="CW280" s="697">
        <f t="shared" si="837"/>
        <v>0</v>
      </c>
      <c r="CX280" s="712">
        <f t="shared" si="779"/>
        <v>11.5</v>
      </c>
      <c r="CY280" s="712">
        <f t="shared" si="780"/>
        <v>224.86654024105894</v>
      </c>
      <c r="CZ280" s="712">
        <f t="shared" si="781"/>
        <v>11.388709677420973</v>
      </c>
      <c r="DA280" s="712">
        <f ca="1">IF(B280&gt;Summary!$A$1,#N/A,CY280*MGtoAF)</f>
        <v>689.8905454595689</v>
      </c>
      <c r="DB280" s="712">
        <f t="shared" si="782"/>
        <v>11.5</v>
      </c>
      <c r="DC280" s="712">
        <f t="shared" si="783"/>
        <v>31</v>
      </c>
      <c r="DD280" s="712">
        <f>Sheet1!AB280-DC280</f>
        <v>-0.29999999999563443</v>
      </c>
      <c r="DE280" s="712">
        <f t="shared" si="784"/>
        <v>-9.6774193546978853E-3</v>
      </c>
      <c r="DF280" s="712">
        <f>(VLOOKUP(Sheet1!CY280,hhdcap_wcm,4)-(((VLOOKUP(Sheet1!CY280,hhdcap_wcm,3)-Sheet1!CY280)/(VLOOKUP(Sheet1!CY280,hhdcap_wcm,3)-VLOOKUP(Sheet1!CY280,hhdcap_wcm,1)))*(VLOOKUP(Sheet1!CY280,hhdcap_wcm,4)-VLOOKUP(Sheet1!CY280,hhdcap_wcm,2))))</f>
        <v>28039.560000069974</v>
      </c>
      <c r="DG280" s="712">
        <f t="shared" si="785"/>
        <v>-695.28000000228712</v>
      </c>
      <c r="DH280" s="712">
        <f t="shared" si="786"/>
        <v>-350.62027231582806</v>
      </c>
      <c r="DI280" s="712">
        <f>Sheet1!DW280*AFtoMG</f>
        <v>0</v>
      </c>
      <c r="DJ280" s="712">
        <f>Sheet1!DX280*AFtoMG</f>
        <v>0</v>
      </c>
      <c r="DK280" s="712">
        <f>Sheet1!DY280*AFtoMG</f>
        <v>0</v>
      </c>
      <c r="DL280" s="712">
        <f>Sheet1!DZ280*AFtoMG</f>
        <v>0</v>
      </c>
      <c r="DM280" s="712">
        <f t="shared" si="787"/>
        <v>0</v>
      </c>
      <c r="DN280" s="712">
        <f t="shared" si="788"/>
        <v>0</v>
      </c>
      <c r="DO280" s="712">
        <f t="shared" si="789"/>
        <v>1550.1176157010177</v>
      </c>
      <c r="DP280" s="712">
        <f t="shared" si="790"/>
        <v>4755.7608449707222</v>
      </c>
      <c r="DQ280" s="712"/>
      <c r="DR280" s="697">
        <f>IF(OR(B280&lt;FL280,B280&gt;FM280),(MIN(AV280+BO280+CJ280+MAX(Sheet1!AA280+AG280-73,0),K280)),0)</f>
        <v>0</v>
      </c>
      <c r="DS280" s="712"/>
      <c r="DT280" s="712">
        <f t="shared" si="791"/>
        <v>11.388709677420973</v>
      </c>
      <c r="DU280" s="712"/>
      <c r="DV280" s="712">
        <f>Sheet1!ED280+Sheet1!EE280+Sheet1!EF280+Sheet1!EG280</f>
        <v>12</v>
      </c>
      <c r="DW280" s="712"/>
      <c r="DX280" s="697">
        <f t="shared" si="792"/>
        <v>0</v>
      </c>
      <c r="DY280" s="712">
        <f>IF(Sheet1!FN280=1,SUM('Calculations II'!AT280:BA280)+'Calculations II'!BC280+Sheet1!BU280+'Calculations II'!BE280+AF280,SUM('Calculations II'!AT280:BA280)+'Calculations II'!BC280+Sheet1!BU280+'Calculations II'!BE280+AF280)</f>
        <v>60.567440000000005</v>
      </c>
      <c r="DZ280" s="712">
        <f>Sheet1!AA280+Sheet1!AB280+'Calculations II'!BC280</f>
        <v>66.500000000007276</v>
      </c>
      <c r="EA280" s="712"/>
      <c r="EB280" s="712"/>
      <c r="EC280" s="712">
        <f t="shared" si="793"/>
        <v>40809</v>
      </c>
      <c r="ED280" s="712">
        <f t="shared" si="794"/>
        <v>-12.329064516130501</v>
      </c>
      <c r="EE280" s="712">
        <f t="shared" si="795"/>
        <v>-19.073062806453883</v>
      </c>
      <c r="EF280" s="712">
        <f ca="1">IF(B280=TODAY(),0,-(VLOOKUP(Sheet1!BQ280,Lookup!$B$4:$J$236,2)-VLOOKUP(Sheet1!BQ279,Lookup!$B$4:$J$236,2))/1000000)</f>
        <v>2.7181999999999999</v>
      </c>
      <c r="EG280" s="712">
        <f ca="1">IF(B280=TODAY(),0,-(VLOOKUP(Sheet1!BR280,Lookup!$B$4:$J$236,3)-VLOOKUP(Sheet1!BR279,Lookup!$B$4:$J$236,3))/1000000)</f>
        <v>2.7136</v>
      </c>
      <c r="EH280" s="712">
        <f>-(VLOOKUP(Sheet1!BS280,Lookup!$B$4:$J$236,4)-VLOOKUP(Sheet1!BS279,Lookup!$B$4:$J$236,4))/1000000</f>
        <v>0</v>
      </c>
      <c r="EI280" s="697">
        <f t="shared" ca="1" si="819"/>
        <v>5.4318</v>
      </c>
      <c r="EJ280" s="712"/>
      <c r="EK280" s="712"/>
      <c r="EL280" s="712"/>
      <c r="EM280" s="712"/>
      <c r="EN280" s="712"/>
      <c r="EO280" s="712"/>
      <c r="EP280" s="712"/>
      <c r="EQ280" s="712"/>
      <c r="ER280" s="697">
        <f t="shared" si="833"/>
        <v>8738.5660611805179</v>
      </c>
      <c r="ES280" s="712">
        <f t="shared" si="834"/>
        <v>403.62859217975364</v>
      </c>
      <c r="ET280" s="794">
        <f t="shared" si="818"/>
        <v>1124.0999999999999</v>
      </c>
      <c r="EU280" s="794" t="e">
        <f t="shared" ref="EU280:EU327" si="838">MAX((EU279-EY280*1.983),0)</f>
        <v>#N/A</v>
      </c>
      <c r="EV280" s="795" t="e">
        <f t="shared" si="836"/>
        <v>#N/A</v>
      </c>
      <c r="EW280" s="796" t="s">
        <v>757</v>
      </c>
      <c r="EX280" s="796" t="s">
        <v>757</v>
      </c>
      <c r="EY280" s="794" t="e">
        <v>#N/A</v>
      </c>
      <c r="EZ280" s="798">
        <v>14942.000000031432</v>
      </c>
      <c r="FA280" s="712"/>
      <c r="FB280" s="712"/>
      <c r="FC280" s="712"/>
      <c r="FD280" s="712"/>
      <c r="FE280" s="712">
        <f>O280+Sheet1!CO280</f>
        <v>66.500000000007276</v>
      </c>
      <c r="FF280" s="712">
        <f>IF(Sheet1!AA280+AG280&lt;=Calculation!N280,AG280,Calculation!N280-Sheet1!AA280)</f>
        <v>19.311290322583393</v>
      </c>
      <c r="FG280" s="712">
        <f>(Sheet1!BP280+Sheet1!BO280)/694.4</f>
        <v>2.7206221198156681</v>
      </c>
      <c r="FH280" s="712"/>
      <c r="FI280" s="712"/>
      <c r="FJ280" s="712"/>
      <c r="FK280" s="712"/>
      <c r="FL280" s="714">
        <f t="shared" si="827"/>
        <v>40753</v>
      </c>
      <c r="FM280" s="714">
        <f t="shared" si="828"/>
        <v>40851</v>
      </c>
      <c r="FN280" s="712"/>
      <c r="FO280" s="712"/>
      <c r="FP280" s="712"/>
      <c r="FQ280" s="712"/>
      <c r="FR280" s="712"/>
      <c r="FS280" s="725">
        <f t="shared" si="829"/>
        <v>40603</v>
      </c>
      <c r="FT280" s="714">
        <f t="shared" si="830"/>
        <v>40709</v>
      </c>
      <c r="FU280" s="712">
        <f t="shared" si="829"/>
        <v>6518.9048239895692</v>
      </c>
      <c r="FV280" s="714">
        <f t="shared" si="831"/>
        <v>40722</v>
      </c>
      <c r="FW280" s="712">
        <f t="shared" si="829"/>
        <v>3259.4524119947846</v>
      </c>
      <c r="FX280" s="725">
        <f t="shared" si="829"/>
        <v>40851</v>
      </c>
      <c r="FZ280" s="697">
        <f t="shared" si="824"/>
        <v>0</v>
      </c>
      <c r="GA280" s="712" t="str">
        <f t="shared" si="797"/>
        <v/>
      </c>
      <c r="GB280" s="712">
        <f t="shared" si="798"/>
        <v>0</v>
      </c>
      <c r="GC280" s="712" t="str">
        <f t="shared" si="799"/>
        <v/>
      </c>
      <c r="GD280" s="712">
        <f>IF(GA280="P",Lookup!$M$12,IF(GA280="PP",Lookup!$M$13,IF(GA280="PPP",Lookup!$M$14,IF(GA280="T",Lookup!$M$15,IF(GA280="TP",Lookup!$M$16,IF(GA280="TPP",Lookup!$M$17,IF(GA280="TPPP",Lookup!$M$18,0)))))))*FZ280</f>
        <v>0</v>
      </c>
      <c r="GE280" s="712">
        <f t="shared" si="800"/>
        <v>0</v>
      </c>
      <c r="GF280" s="712">
        <f t="shared" si="801"/>
        <v>1966.2970666666663</v>
      </c>
      <c r="GG280" s="712">
        <f t="shared" si="802"/>
        <v>640.90517166449354</v>
      </c>
      <c r="GH280" s="712"/>
      <c r="GI280" s="712">
        <f t="shared" si="803"/>
        <v>0</v>
      </c>
      <c r="GJ280" s="712" t="str">
        <f t="shared" si="804"/>
        <v/>
      </c>
      <c r="GK280" s="712">
        <f>IF(GA280="P",Lookup!$N$12,IF(GA280="PP",Lookup!$N$13,IF(GA280="PPP",Lookup!$N$14,IF(GA280="T",Lookup!$N$15,IF(GA280="TP",Lookup!$N$16,IF(GA280="TPP",Lookup!$N$17,IF(GA280="TPPP",Lookup!$N$18,0)))))))*FZ280</f>
        <v>0</v>
      </c>
      <c r="GL280" s="712">
        <f t="shared" si="805"/>
        <v>0</v>
      </c>
      <c r="GM280" s="712">
        <f t="shared" si="806"/>
        <v>1572.8135727591221</v>
      </c>
      <c r="GN280" s="712">
        <f t="shared" si="807"/>
        <v>512.6510993347855</v>
      </c>
      <c r="GO280" s="712"/>
      <c r="GP280" s="712">
        <f t="shared" si="808"/>
        <v>0</v>
      </c>
      <c r="GQ280" s="712" t="str">
        <f t="shared" si="809"/>
        <v/>
      </c>
      <c r="GR280" s="712">
        <f>IF(GA280="P",Lookup!$N$12,IF(GA280="PP",Lookup!$N$13,IF(GA280="PPP",Lookup!$N$14,IF(GA280="T",Lookup!$N$15,IF(GA280="TP",Lookup!$N$16,IF(GA280="TPP",Lookup!$N$17,IF(GA280="TPPP",Lookup!$N$18,0)))))))*FZ280</f>
        <v>0</v>
      </c>
      <c r="GS280" s="697">
        <f t="shared" si="825"/>
        <v>0</v>
      </c>
      <c r="GT280" s="712">
        <f t="shared" si="810"/>
        <v>526.75966008536557</v>
      </c>
      <c r="GU280" s="712">
        <f t="shared" si="811"/>
        <v>171.69480446067979</v>
      </c>
      <c r="GV280" s="712"/>
      <c r="GW280" s="712">
        <f t="shared" si="812"/>
        <v>0</v>
      </c>
      <c r="GX280" s="712" t="str">
        <f t="shared" si="813"/>
        <v/>
      </c>
      <c r="GY280" s="712">
        <f>IF(GA280="P",Lookup!$N$12,IF(GA280="PP",Lookup!$N$13,IF(GA280="PPP",Lookup!$N$14,IF(GA280="T",Lookup!$N$15,IF(GA280="TP",Lookup!$N$16,IF(GA280="TPP",Lookup!$N$17,IF(GA280="TPPP",Lookup!$N$18,0)))))))*FZ280</f>
        <v>0</v>
      </c>
      <c r="GZ280" s="697">
        <f t="shared" si="826"/>
        <v>0</v>
      </c>
      <c r="HA280" s="712">
        <f t="shared" si="814"/>
        <v>689.8905454595689</v>
      </c>
      <c r="HB280" s="712">
        <f t="shared" si="815"/>
        <v>224.86654024105894</v>
      </c>
      <c r="HC280" s="712"/>
    </row>
    <row r="281" spans="1:211">
      <c r="A281" s="773" t="s">
        <v>9</v>
      </c>
      <c r="B281" s="708">
        <v>40810</v>
      </c>
      <c r="C281" s="719">
        <v>0.5</v>
      </c>
      <c r="D281" s="675">
        <f t="shared" si="737"/>
        <v>300</v>
      </c>
      <c r="E281" s="675">
        <f t="shared" si="738"/>
        <v>250</v>
      </c>
      <c r="F281" s="675">
        <v>250</v>
      </c>
      <c r="G281" s="712">
        <f>DH281+Sheet1!CV281</f>
        <v>161.35905194037599</v>
      </c>
      <c r="H281" s="712">
        <f t="shared" si="739"/>
        <v>0</v>
      </c>
      <c r="I281" s="711">
        <f>MAX(Sheet1!Z281-AJ281+(Sheet1!CW281-E281)*CFStoMGD,0)</f>
        <v>210.61685890721245</v>
      </c>
      <c r="J281" s="720">
        <f>IF(AND(B281&gt;=Calculation!FS281,B281&lt;=Calculation!FT281),IF(Sheet1!CX281&gt;=Calculation!D281,64.64,0),MAX(Sheet1!Z281-AJ281+(Sheet1!CX281-D281)*CFStoMGD,0))</f>
        <v>98.917592240545773</v>
      </c>
      <c r="K281" s="697">
        <f t="shared" si="740"/>
        <v>0</v>
      </c>
      <c r="L281" s="712">
        <f>Sheet1!AA281+Sheet1!AB281-Sheet1!L281+(Sheet1!CW281-F281)*CFStoMGD</f>
        <v>266.49886666665327</v>
      </c>
      <c r="M281" s="712">
        <f t="shared" si="741"/>
        <v>106.38854099774423</v>
      </c>
      <c r="N281" s="712">
        <f>IF(Sheet1!CW281&gt;=F281,MIN(73,MIN(MAX(L281,0),MAX(M281,0))),0)</f>
        <v>73</v>
      </c>
      <c r="O281" s="721">
        <f>Sheet1!AA281+Sheet1!AB281</f>
        <v>66.969999999986612</v>
      </c>
      <c r="P281" s="721">
        <f t="shared" si="742"/>
        <v>103.60258999997929</v>
      </c>
      <c r="Q281" s="712">
        <f>MIN(N281,Sheet1!AA281+AG281)</f>
        <v>55.822007759444915</v>
      </c>
      <c r="R281" s="712">
        <f t="shared" si="743"/>
        <v>12</v>
      </c>
      <c r="S281" s="721">
        <f>Sheet1!Y281*MGDtoCFS</f>
        <v>55.877639999999992</v>
      </c>
      <c r="T281" s="721">
        <f>Sheet1!Z281*MGDtoCFS</f>
        <v>47.833240000000004</v>
      </c>
      <c r="U281" s="721">
        <f>Sheet1!AA281*MGDtoCFS</f>
        <v>55.67652999998559</v>
      </c>
      <c r="V281" s="721">
        <f>Sheet1!AB281*MGDtoCFS</f>
        <v>47.926059999993697</v>
      </c>
      <c r="W281" s="721">
        <f>Sheet1!L281*MGDtoCFS</f>
        <v>0</v>
      </c>
      <c r="X281" s="697">
        <f t="shared" si="744"/>
        <v>12.066246362753285</v>
      </c>
      <c r="Y281" s="712">
        <f t="shared" si="745"/>
        <v>18.666483123179329</v>
      </c>
      <c r="Z281" s="712">
        <f t="shared" si="746"/>
        <v>0</v>
      </c>
      <c r="AA281" s="712">
        <f t="shared" si="747"/>
        <v>0</v>
      </c>
      <c r="AB281" s="712">
        <f>(VLOOKUP(Sheet1!CY281,hhdcap_wcm,4)-(((VLOOKUP(Sheet1!CY281,hhdcap_wcm,3)-Sheet1!CY281)/(VLOOKUP(Sheet1!CY281,hhdcap_wcm,3)-VLOOKUP(Sheet1!CY281,hhdcap_wcm,1)))*(VLOOKUP(Sheet1!CY281,hhdcap_wcm,4)-VLOOKUP(Sheet1!CY281,hhdcap_wcm,2))))</f>
        <v>27292.02000006774</v>
      </c>
      <c r="AC281" s="712">
        <f t="shared" si="748"/>
        <v>-747.54000000223459</v>
      </c>
      <c r="AD281" s="712">
        <f t="shared" si="749"/>
        <v>1538.0513693382645</v>
      </c>
      <c r="AE281" s="712">
        <f t="shared" si="750"/>
        <v>4718.7416011297955</v>
      </c>
      <c r="AF281" s="712">
        <f>Sheet1!BA281+Sheet1!BB281+Sheet1!BN281+BT281</f>
        <v>19.8</v>
      </c>
      <c r="AG281" s="712">
        <f t="shared" si="751"/>
        <v>19.832007759454232</v>
      </c>
      <c r="AH281" s="712">
        <f>Sheet1!BA281+BT281</f>
        <v>0</v>
      </c>
      <c r="AI281" s="712">
        <f>Sheet1!BA281+Sheet1!BB281+BT281</f>
        <v>0</v>
      </c>
      <c r="AJ281" s="712">
        <f>IF((Sheet1!AA281+AG281+AX281+AZ281+BQ281+BS281+CL281+CN281)&lt;=N281,AG281+AX281+AZ281+BQ281+BS281+CL281+CN281,N281-Sheet1!AA281)</f>
        <v>19.832007759454232</v>
      </c>
      <c r="AK281" s="712">
        <f>IF(DR281&lt;K281,0,MAX(Sheet1!AA281+AG281-15/36*K281-N281,Sheet1!ED281,0))</f>
        <v>0</v>
      </c>
      <c r="AL281" s="712">
        <f>IF(OR(B281&gt;=FT281,B281&lt;FS281),0,15/36*K281-MAX(0,64.6-(137.6-(Sheet1!AA281+Sheet1!AB281))))</f>
        <v>0</v>
      </c>
      <c r="AM281" s="712">
        <f>Sheet1!CX281-110</f>
        <v>325.875</v>
      </c>
      <c r="AN281" s="712">
        <f>Sheet1!CW281-265</f>
        <v>293.67708333333337</v>
      </c>
      <c r="AO281" s="712">
        <f t="shared" si="835"/>
        <v>17.177992240555085</v>
      </c>
      <c r="AP281" s="851">
        <v>0</v>
      </c>
      <c r="AQ281" s="712">
        <f t="shared" si="753"/>
        <v>0</v>
      </c>
      <c r="AR281" s="712">
        <f t="shared" si="821"/>
        <v>640.90517166449354</v>
      </c>
      <c r="AS281" s="712"/>
      <c r="AT281" s="712">
        <f ca="1">IF(B281&gt;Summary!$A$1,#N/A,AR281*MGtoAF)</f>
        <v>1966.2970666666663</v>
      </c>
      <c r="AU281" s="712">
        <f>Sheet1!BG281+Sheet1!BH281+Sheet1!BI281-BC281</f>
        <v>1.08</v>
      </c>
      <c r="AV281" s="712">
        <f t="shared" si="755"/>
        <v>1.0817458777884126</v>
      </c>
      <c r="AW281" s="712">
        <f>IF(Sheet1!EL281="FM",BC281,0)</f>
        <v>0</v>
      </c>
      <c r="AX281" s="712">
        <f t="shared" si="756"/>
        <v>0</v>
      </c>
      <c r="AY281" s="712">
        <f>IF(Sheet1!EL281="OTHER",BC281,0)</f>
        <v>0</v>
      </c>
      <c r="AZ281" s="712">
        <f t="shared" si="757"/>
        <v>0</v>
      </c>
      <c r="BA281" s="712">
        <f t="shared" si="758"/>
        <v>1.08</v>
      </c>
      <c r="BB281" s="712">
        <f t="shared" si="759"/>
        <v>1.0817458777884126</v>
      </c>
      <c r="BC281" s="712">
        <f>IF(OR(Sheet1!EL281="FM", Sheet1!EL281="OTHER"),SUM(Sheet1!BG281:'Sheet1'!BI281),0)</f>
        <v>0</v>
      </c>
      <c r="BD281" s="697">
        <f>IF(AND($B281&gt;=$FL281,$B281&lt;=$FM281),MAX(AV281,Sheet1!EE281,0),MAX(AV281-(7/36)*$K281,0))</f>
        <v>2</v>
      </c>
      <c r="BE281" s="712">
        <f t="shared" si="760"/>
        <v>0</v>
      </c>
      <c r="BF281" s="697">
        <f t="shared" si="761"/>
        <v>0</v>
      </c>
      <c r="BG281" s="697">
        <f>IF(AND($O281&gt;0,Sheet1!EI281=1),(1-($O281-Sheet1!$L281)/$O281)*BB281,0)</f>
        <v>0</v>
      </c>
      <c r="BH281" s="697">
        <f>IF(AND(Sheet1!$L281=0,Sheet1!$L280=0, Calculation!BA281&lt;Sheet1!$EE281-0.1,Sheet1!$EE281=Sheet1!$EE280,Sheet1!$EE281=Sheet1!$EE282),Sheet1!$EE281,BB281-BG281)</f>
        <v>2</v>
      </c>
      <c r="BI281" s="712"/>
      <c r="BJ281" s="712"/>
      <c r="BK281" s="712">
        <f t="shared" si="762"/>
        <v>510.6510993347855</v>
      </c>
      <c r="BL281" s="712"/>
      <c r="BM281" s="712">
        <f ca="1">IF(B281&gt;Summary!$A$1,#N/A,BK281*MGtoAF)</f>
        <v>1566.6775727591219</v>
      </c>
      <c r="BN281" s="712">
        <f>Sheet1!BC281+Sheet1!BD281+Sheet1!BE281+Sheet1!BF281-BW281-BX281</f>
        <v>2.5</v>
      </c>
      <c r="BO281" s="712">
        <f t="shared" si="763"/>
        <v>2.5040413837694735</v>
      </c>
      <c r="BP281" s="712">
        <f>IF(Sheet1!EM281="FM",BX281,0)</f>
        <v>0</v>
      </c>
      <c r="BQ281" s="712">
        <f t="shared" si="764"/>
        <v>0</v>
      </c>
      <c r="BR281" s="712">
        <f>IF(Sheet1!EM281="OTHER",BX281,0)</f>
        <v>0</v>
      </c>
      <c r="BS281" s="712">
        <f t="shared" si="765"/>
        <v>0</v>
      </c>
      <c r="BT281" s="712">
        <f t="shared" si="766"/>
        <v>0</v>
      </c>
      <c r="BU281" s="712">
        <f t="shared" si="767"/>
        <v>2.5</v>
      </c>
      <c r="BV281" s="712">
        <f t="shared" si="768"/>
        <v>2.5040413837694735</v>
      </c>
      <c r="BW281" s="712">
        <f>IF(Sheet1!EM281="CWA",SUM(Sheet1!BC281:'Sheet1'!BF281),0)</f>
        <v>0</v>
      </c>
      <c r="BX281" s="712">
        <f>IF(OR(Sheet1!EM281="FM", Sheet1!EM281="OTHER"),SUM(Sheet1!BC281:'Sheet1'!BF281),0)</f>
        <v>0</v>
      </c>
      <c r="BY281" s="697">
        <f>IF(AND($B281&gt;=$FL281,$B281&lt;=$FM281),MAX(BV281,Sheet1!EF281,0),MAX(BV281-(7/36)*$K281,0))</f>
        <v>2.5040413837694735</v>
      </c>
      <c r="BZ281" s="712">
        <f t="shared" si="769"/>
        <v>0</v>
      </c>
      <c r="CA281" s="697">
        <f t="shared" si="770"/>
        <v>0</v>
      </c>
      <c r="CB281" s="697">
        <f>IF(AND($O281&gt;0,Sheet1!EJ281=1),(1-($O281-Sheet1!$L281)/$O281)*BV281,0)</f>
        <v>0</v>
      </c>
      <c r="CC281" s="697">
        <f>IF(AND(Sheet1!$L281=0,Sheet1!$L280=0, Calculation!BU281&lt;Sheet1!EF281-0.1,Sheet1!EF281=Sheet1!EF280,Sheet1!EF281=Sheet1!EF282),Sheet1!EF281,BV281-CB281)</f>
        <v>2.5040413837694735</v>
      </c>
      <c r="CD281" s="697"/>
      <c r="CE281" s="712"/>
      <c r="CF281" s="712">
        <f t="shared" si="771"/>
        <v>169.19076307691032</v>
      </c>
      <c r="CG281" s="712"/>
      <c r="CH281" s="712">
        <f ca="1">IF(B281&gt;Summary!$A$1,#N/A,CF281*MGtoAF)</f>
        <v>519.07726111996089</v>
      </c>
      <c r="CI281" s="712">
        <f>Sheet1!BK281+Sheet1!BL281+Sheet1!BM281-Sheet1!EN281-CQ281</f>
        <v>7.5500000000000007</v>
      </c>
      <c r="CJ281" s="712">
        <f t="shared" si="772"/>
        <v>7.5622049789838108</v>
      </c>
      <c r="CK281" s="712">
        <f>IF(Sheet1!EN281="FM",CQ281,0)</f>
        <v>0</v>
      </c>
      <c r="CL281" s="712">
        <f t="shared" si="773"/>
        <v>0</v>
      </c>
      <c r="CM281" s="712">
        <f>IF(Sheet1!EN281="OTHER",CQ281,0)</f>
        <v>0</v>
      </c>
      <c r="CN281" s="712">
        <f t="shared" si="774"/>
        <v>0</v>
      </c>
      <c r="CO281" s="712">
        <f t="shared" si="775"/>
        <v>7.5500000000000007</v>
      </c>
      <c r="CP281" s="712">
        <f t="shared" si="776"/>
        <v>7.5622049789838108</v>
      </c>
      <c r="CQ281" s="712">
        <f>IF(OR(Sheet1!EN281="FM", Sheet1!EN281="OTHER"),SUM(Sheet1!BK281:'Sheet1'!BM281),0)</f>
        <v>0</v>
      </c>
      <c r="CR281" s="697">
        <f>IF(AND($B281&gt;=$FL281,$B281&lt;=$FM281),MAX($CJ281,Sheet1!EG281,0),MAX($CJ281-(7/36)*$K281,0))</f>
        <v>7.5622049789838108</v>
      </c>
      <c r="CS281" s="712">
        <f t="shared" si="777"/>
        <v>0</v>
      </c>
      <c r="CT281" s="697">
        <f t="shared" si="778"/>
        <v>0</v>
      </c>
      <c r="CU281" s="697">
        <f>IF(AND($O281&gt;0,Sheet1!EK281=1),(1-($O281-Sheet1!$L281)/$O281)*CP281,0)</f>
        <v>0</v>
      </c>
      <c r="CV281" s="697">
        <f>IF(AND(Sheet1!$L281=0,Sheet1!$L280=0, Calculation!CO281&lt;Sheet1!$EG281-0.1,Sheet1!$EG281=Sheet1!$EG280,Sheet1!$EG281=Sheet1!$EG282),Sheet1!$EG281,CP281-CU281)</f>
        <v>7.5622049789838108</v>
      </c>
      <c r="CW281" s="697">
        <f t="shared" si="837"/>
        <v>0</v>
      </c>
      <c r="CX281" s="712">
        <f t="shared" si="779"/>
        <v>11.13</v>
      </c>
      <c r="CY281" s="712">
        <f t="shared" si="780"/>
        <v>217.30433526207514</v>
      </c>
      <c r="CZ281" s="712">
        <f t="shared" si="781"/>
        <v>11.147992240541697</v>
      </c>
      <c r="DA281" s="712">
        <f ca="1">IF(B281&gt;Summary!$A$1,#N/A,CY281*MGtoAF)</f>
        <v>666.68970058404659</v>
      </c>
      <c r="DB281" s="712">
        <f t="shared" si="782"/>
        <v>11.13</v>
      </c>
      <c r="DC281" s="712">
        <f t="shared" si="783"/>
        <v>30.93</v>
      </c>
      <c r="DD281" s="712">
        <f>Sheet1!AB281-DC281</f>
        <v>4.9999999995925748E-2</v>
      </c>
      <c r="DE281" s="712">
        <f t="shared" si="784"/>
        <v>1.6165535077893873E-3</v>
      </c>
      <c r="DF281" s="712">
        <f>(VLOOKUP(Sheet1!CY281,hhdcap_wcm,4)-(((VLOOKUP(Sheet1!CY281,hhdcap_wcm,3)-Sheet1!CY281)/(VLOOKUP(Sheet1!CY281,hhdcap_wcm,3)-VLOOKUP(Sheet1!CY281,hhdcap_wcm,1)))*(VLOOKUP(Sheet1!CY281,hhdcap_wcm,4)-VLOOKUP(Sheet1!CY281,hhdcap_wcm,2))))</f>
        <v>27292.02000006774</v>
      </c>
      <c r="DG281" s="712">
        <f t="shared" si="785"/>
        <v>-747.54000000223459</v>
      </c>
      <c r="DH281" s="712">
        <f t="shared" si="786"/>
        <v>-376.97428139295738</v>
      </c>
      <c r="DI281" s="712">
        <f>Sheet1!DW281*AFtoMG</f>
        <v>0</v>
      </c>
      <c r="DJ281" s="712">
        <f>Sheet1!DX281*AFtoMG</f>
        <v>0</v>
      </c>
      <c r="DK281" s="712">
        <f>Sheet1!DY281*AFtoMG</f>
        <v>0</v>
      </c>
      <c r="DL281" s="712">
        <f>Sheet1!DZ281*AFtoMG</f>
        <v>0</v>
      </c>
      <c r="DM281" s="712">
        <f t="shared" si="787"/>
        <v>0</v>
      </c>
      <c r="DN281" s="712">
        <f t="shared" si="788"/>
        <v>0</v>
      </c>
      <c r="DO281" s="712">
        <f t="shared" si="789"/>
        <v>1538.0513693382645</v>
      </c>
      <c r="DP281" s="712">
        <f t="shared" si="790"/>
        <v>4718.7416011297955</v>
      </c>
      <c r="DQ281" s="712"/>
      <c r="DR281" s="697">
        <f>IF(OR(B281&lt;FL281,B281&gt;FM281),(MIN(AV281+BO281+CJ281+MAX(Sheet1!AA281+AG281-73,0),K281)),0)</f>
        <v>0</v>
      </c>
      <c r="DS281" s="712"/>
      <c r="DT281" s="712">
        <f t="shared" si="791"/>
        <v>11.147992240541697</v>
      </c>
      <c r="DU281" s="712"/>
      <c r="DV281" s="712">
        <f>Sheet1!ED281+Sheet1!EE281+Sheet1!EF281+Sheet1!EG281</f>
        <v>12</v>
      </c>
      <c r="DW281" s="712"/>
      <c r="DX281" s="697">
        <f t="shared" si="792"/>
        <v>0</v>
      </c>
      <c r="DY281" s="712">
        <f>IF(Sheet1!FN281=1,SUM('Calculations II'!AT281:BA281)+'Calculations II'!BC281+Sheet1!BU281+'Calculations II'!BE281+AF281,SUM('Calculations II'!AT281:BA281)+'Calculations II'!BC281+Sheet1!BU281+'Calculations II'!BE281+AF281)</f>
        <v>57.20384</v>
      </c>
      <c r="DZ281" s="712">
        <f>Sheet1!AA281+Sheet1!AB281+'Calculations II'!BC281</f>
        <v>66.969999999986612</v>
      </c>
      <c r="EA281" s="712"/>
      <c r="EB281" s="712"/>
      <c r="EC281" s="712">
        <f t="shared" si="793"/>
        <v>40810</v>
      </c>
      <c r="ED281" s="712">
        <f t="shared" si="794"/>
        <v>-12.066246362753285</v>
      </c>
      <c r="EE281" s="712">
        <f t="shared" si="795"/>
        <v>-18.666483123179329</v>
      </c>
      <c r="EF281" s="712">
        <f ca="1">IF(B281=TODAY(),0,-(VLOOKUP(Sheet1!BQ281,Lookup!$B$4:$J$236,2)-VLOOKUP(Sheet1!BQ280,Lookup!$B$4:$J$236,2))/1000000)</f>
        <v>1.0820000000000001</v>
      </c>
      <c r="EG281" s="712">
        <f ca="1">IF(B281=TODAY(),0,-(VLOOKUP(Sheet1!BR281,Lookup!$B$4:$J$236,3)-VLOOKUP(Sheet1!BR280,Lookup!$B$4:$J$236,3))/1000000)</f>
        <v>1.08</v>
      </c>
      <c r="EH281" s="712">
        <f>-(VLOOKUP(Sheet1!BS281,Lookup!$B$4:$J$236,4)-VLOOKUP(Sheet1!BS280,Lookup!$B$4:$J$236,4))/1000000</f>
        <v>0</v>
      </c>
      <c r="EI281" s="697">
        <f t="shared" ca="1" si="819"/>
        <v>2.1619999999999999</v>
      </c>
      <c r="EJ281" s="712"/>
      <c r="EK281" s="712"/>
      <c r="EL281" s="712"/>
      <c r="EM281" s="712"/>
      <c r="EN281" s="712"/>
      <c r="EO281" s="712"/>
      <c r="EP281" s="712"/>
      <c r="EQ281" s="712"/>
      <c r="ER281" s="697">
        <f t="shared" si="833"/>
        <v>8252.7931603868783</v>
      </c>
      <c r="ES281" s="712">
        <f t="shared" si="834"/>
        <v>485.77290079363883</v>
      </c>
      <c r="ET281" s="794">
        <f t="shared" si="818"/>
        <v>1123.9000000000001</v>
      </c>
      <c r="EU281" s="794" t="e">
        <f t="shared" si="838"/>
        <v>#N/A</v>
      </c>
      <c r="EV281" s="795" t="e">
        <f t="shared" si="836"/>
        <v>#N/A</v>
      </c>
      <c r="EW281" s="796" t="s">
        <v>757</v>
      </c>
      <c r="EX281" s="796" t="s">
        <v>757</v>
      </c>
      <c r="EY281" s="794" t="e">
        <v>#N/A</v>
      </c>
      <c r="EZ281" s="798">
        <v>14798.000000031214</v>
      </c>
      <c r="FA281" s="712"/>
      <c r="FB281" s="712"/>
      <c r="FC281" s="712"/>
      <c r="FD281" s="712"/>
      <c r="FE281" s="712">
        <f>O281+Sheet1!CO281</f>
        <v>66.969999999986612</v>
      </c>
      <c r="FF281" s="712">
        <f>IF(Sheet1!AA281+AG281&lt;=Calculation!N281,AG281,Calculation!N281-Sheet1!AA281)</f>
        <v>19.832007759454232</v>
      </c>
      <c r="FG281" s="712">
        <f>(Sheet1!BP281+Sheet1!BO281)/694.4</f>
        <v>3.0362903225806455</v>
      </c>
      <c r="FH281" s="712"/>
      <c r="FI281" s="712"/>
      <c r="FJ281" s="712"/>
      <c r="FK281" s="712"/>
      <c r="FL281" s="714">
        <f t="shared" si="827"/>
        <v>40753</v>
      </c>
      <c r="FM281" s="714">
        <f t="shared" si="828"/>
        <v>40851</v>
      </c>
      <c r="FN281" s="712"/>
      <c r="FO281" s="712"/>
      <c r="FP281" s="712"/>
      <c r="FQ281" s="712"/>
      <c r="FR281" s="712"/>
      <c r="FS281" s="725">
        <f t="shared" si="829"/>
        <v>40603</v>
      </c>
      <c r="FT281" s="714">
        <f t="shared" si="830"/>
        <v>40709</v>
      </c>
      <c r="FU281" s="712">
        <f t="shared" si="829"/>
        <v>6518.9048239895692</v>
      </c>
      <c r="FV281" s="714">
        <f t="shared" si="831"/>
        <v>40722</v>
      </c>
      <c r="FW281" s="712">
        <f t="shared" si="829"/>
        <v>3259.4524119947846</v>
      </c>
      <c r="FX281" s="725">
        <f t="shared" si="829"/>
        <v>40851</v>
      </c>
      <c r="FZ281" s="697">
        <f t="shared" si="824"/>
        <v>0</v>
      </c>
      <c r="GA281" s="712" t="str">
        <f t="shared" si="797"/>
        <v/>
      </c>
      <c r="GB281" s="712">
        <f t="shared" si="798"/>
        <v>0</v>
      </c>
      <c r="GC281" s="712" t="str">
        <f t="shared" si="799"/>
        <v/>
      </c>
      <c r="GD281" s="712">
        <f>IF(GA281="P",Lookup!$M$12,IF(GA281="PP",Lookup!$M$13,IF(GA281="PPP",Lookup!$M$14,IF(GA281="T",Lookup!$M$15,IF(GA281="TP",Lookup!$M$16,IF(GA281="TPP",Lookup!$M$17,IF(GA281="TPPP",Lookup!$M$18,0)))))))*FZ281</f>
        <v>0</v>
      </c>
      <c r="GE281" s="712">
        <f t="shared" si="800"/>
        <v>0</v>
      </c>
      <c r="GF281" s="712">
        <f t="shared" si="801"/>
        <v>1966.2970666666663</v>
      </c>
      <c r="GG281" s="712">
        <f t="shared" si="802"/>
        <v>640.90517166449354</v>
      </c>
      <c r="GH281" s="712"/>
      <c r="GI281" s="712">
        <f t="shared" si="803"/>
        <v>0</v>
      </c>
      <c r="GJ281" s="712" t="str">
        <f t="shared" si="804"/>
        <v/>
      </c>
      <c r="GK281" s="712">
        <f>IF(GA281="P",Lookup!$N$12,IF(GA281="PP",Lookup!$N$13,IF(GA281="PPP",Lookup!$N$14,IF(GA281="T",Lookup!$N$15,IF(GA281="TP",Lookup!$N$16,IF(GA281="TPP",Lookup!$N$17,IF(GA281="TPPP",Lookup!$N$18,0)))))))*FZ281</f>
        <v>0</v>
      </c>
      <c r="GL281" s="712">
        <f t="shared" si="805"/>
        <v>0</v>
      </c>
      <c r="GM281" s="712">
        <f t="shared" si="806"/>
        <v>1566.6775727591219</v>
      </c>
      <c r="GN281" s="712">
        <f t="shared" si="807"/>
        <v>510.6510993347855</v>
      </c>
      <c r="GO281" s="712"/>
      <c r="GP281" s="712">
        <f t="shared" si="808"/>
        <v>0</v>
      </c>
      <c r="GQ281" s="712" t="str">
        <f t="shared" si="809"/>
        <v/>
      </c>
      <c r="GR281" s="712">
        <f>IF(GA281="P",Lookup!$N$12,IF(GA281="PP",Lookup!$N$13,IF(GA281="PPP",Lookup!$N$14,IF(GA281="T",Lookup!$N$15,IF(GA281="TP",Lookup!$N$16,IF(GA281="TPP",Lookup!$N$17,IF(GA281="TPPP",Lookup!$N$18,0)))))))*FZ281</f>
        <v>0</v>
      </c>
      <c r="GS281" s="697">
        <f t="shared" si="825"/>
        <v>0</v>
      </c>
      <c r="GT281" s="712">
        <f t="shared" si="810"/>
        <v>519.07726111996089</v>
      </c>
      <c r="GU281" s="712">
        <f t="shared" si="811"/>
        <v>169.19076307691032</v>
      </c>
      <c r="GV281" s="712"/>
      <c r="GW281" s="712">
        <f t="shared" si="812"/>
        <v>0</v>
      </c>
      <c r="GX281" s="712" t="str">
        <f t="shared" si="813"/>
        <v/>
      </c>
      <c r="GY281" s="712">
        <f>IF(GA281="P",Lookup!$N$12,IF(GA281="PP",Lookup!$N$13,IF(GA281="PPP",Lookup!$N$14,IF(GA281="T",Lookup!$N$15,IF(GA281="TP",Lookup!$N$16,IF(GA281="TPP",Lookup!$N$17,IF(GA281="TPPP",Lookup!$N$18,0)))))))*FZ281</f>
        <v>0</v>
      </c>
      <c r="GZ281" s="697">
        <f t="shared" si="826"/>
        <v>0</v>
      </c>
      <c r="HA281" s="712">
        <f t="shared" si="814"/>
        <v>666.68970058404659</v>
      </c>
      <c r="HB281" s="712">
        <f t="shared" si="815"/>
        <v>217.30433526207514</v>
      </c>
      <c r="HC281" s="712"/>
    </row>
    <row r="282" spans="1:211">
      <c r="A282" s="773" t="s">
        <v>3</v>
      </c>
      <c r="B282" s="708">
        <v>40811</v>
      </c>
      <c r="C282" s="709">
        <v>0.5</v>
      </c>
      <c r="D282" s="675">
        <f t="shared" si="737"/>
        <v>300</v>
      </c>
      <c r="E282" s="675">
        <f t="shared" si="738"/>
        <v>250</v>
      </c>
      <c r="F282" s="675">
        <v>250</v>
      </c>
      <c r="G282" s="712">
        <f>DH282+Sheet1!CV282</f>
        <v>188.19969742689432</v>
      </c>
      <c r="H282" s="712">
        <f t="shared" si="739"/>
        <v>0</v>
      </c>
      <c r="I282" s="711">
        <f>MAX(Sheet1!Z282-AJ282+(Sheet1!CW282-E282)*CFStoMGD,0)</f>
        <v>215.23044806201199</v>
      </c>
      <c r="J282" s="720">
        <f>IF(AND(B282&gt;=Calculation!FS282,B282&lt;=Calculation!FT282),IF(Sheet1!CX282&gt;=Calculation!D282,64.64,0),MAX(Sheet1!Z282-AJ282+(Sheet1!CX282-D282)*CFStoMGD,0))</f>
        <v>98.777448062011956</v>
      </c>
      <c r="K282" s="697">
        <f t="shared" si="740"/>
        <v>0</v>
      </c>
      <c r="L282" s="712">
        <f>Sheet1!AA282+Sheet1!AB282-Sheet1!L282+(Sheet1!CW282-F282)*CFStoMGD</f>
        <v>271.10486666668152</v>
      </c>
      <c r="M282" s="712">
        <f t="shared" si="741"/>
        <v>124.08533010507938</v>
      </c>
      <c r="N282" s="712">
        <f>IF(Sheet1!CW282&gt;=F282,MIN(73,MIN(MAX(L282,0),MAX(M282,0))),0)</f>
        <v>73</v>
      </c>
      <c r="O282" s="721">
        <f>Sheet1!AA282+Sheet1!AB282</f>
        <v>66.930000000014843</v>
      </c>
      <c r="P282" s="721">
        <f t="shared" si="742"/>
        <v>103.54071000002295</v>
      </c>
      <c r="Q282" s="712">
        <f>MIN(N282,Sheet1!AA282+AG282)</f>
        <v>55.784418604664012</v>
      </c>
      <c r="R282" s="712">
        <f t="shared" si="743"/>
        <v>12</v>
      </c>
      <c r="S282" s="721">
        <f>Sheet1!Y282*MGDtoCFS</f>
        <v>55.459949999999999</v>
      </c>
      <c r="T282" s="721">
        <f>Sheet1!Z282*MGDtoCFS</f>
        <v>47.694009999999999</v>
      </c>
      <c r="U282" s="721">
        <f>Sheet1!AA282*MGDtoCFS</f>
        <v>55.707470000014403</v>
      </c>
      <c r="V282" s="721">
        <f>Sheet1!AB282*MGDtoCFS</f>
        <v>47.833240000008551</v>
      </c>
      <c r="W282" s="721">
        <f>Sheet1!L282*MGDtoCFS</f>
        <v>0</v>
      </c>
      <c r="X282" s="697">
        <f t="shared" si="744"/>
        <v>12.076963824291209</v>
      </c>
      <c r="Y282" s="712">
        <f t="shared" si="745"/>
        <v>18.683063036178499</v>
      </c>
      <c r="Z282" s="712">
        <f t="shared" si="746"/>
        <v>0</v>
      </c>
      <c r="AA282" s="712">
        <f t="shared" si="747"/>
        <v>0</v>
      </c>
      <c r="AB282" s="712">
        <f>(VLOOKUP(Sheet1!CY282,hhdcap_wcm,4)-(((VLOOKUP(Sheet1!CY282,hhdcap_wcm,3)-Sheet1!CY282)/(VLOOKUP(Sheet1!CY282,hhdcap_wcm,3)-VLOOKUP(Sheet1!CY282,hhdcap_wcm,1)))*(VLOOKUP(Sheet1!CY282,hhdcap_wcm,4)-VLOOKUP(Sheet1!CY282,hhdcap_wcm,2))))</f>
        <v>26601.010000065271</v>
      </c>
      <c r="AC282" s="712">
        <f t="shared" si="748"/>
        <v>-691.01000000246859</v>
      </c>
      <c r="AD282" s="712">
        <f t="shared" si="749"/>
        <v>1525.9744055139736</v>
      </c>
      <c r="AE282" s="712">
        <f t="shared" si="750"/>
        <v>4681.6894761168714</v>
      </c>
      <c r="AF282" s="712">
        <f>Sheet1!BA282+Sheet1!BB282+Sheet1!BN282+BT282</f>
        <v>19.8</v>
      </c>
      <c r="AG282" s="712">
        <f t="shared" si="751"/>
        <v>19.774418604654699</v>
      </c>
      <c r="AH282" s="712">
        <f>Sheet1!BA282+BT282</f>
        <v>0</v>
      </c>
      <c r="AI282" s="712">
        <f>Sheet1!BA282+Sheet1!BB282+BT282</f>
        <v>0</v>
      </c>
      <c r="AJ282" s="712">
        <f>IF((Sheet1!AA282+AG282+AX282+AZ282+BQ282+BS282+CL282+CN282)&lt;=N282,AG282+AX282+AZ282+BQ282+BS282+CL282+CN282,N282-Sheet1!AA282)</f>
        <v>19.774418604654699</v>
      </c>
      <c r="AK282" s="712">
        <f>IF(DR282&lt;K282,0,MAX(Sheet1!AA282+AG282-15/36*K282-N282,Sheet1!ED282,0))</f>
        <v>0</v>
      </c>
      <c r="AL282" s="712">
        <f>IF(OR(B282&gt;=FT282,B282&lt;FS282),0,15/36*K282-MAX(0,64.6-(137.6-(Sheet1!AA282+Sheet1!AB282))))</f>
        <v>0</v>
      </c>
      <c r="AM282" s="712">
        <f>Sheet1!CX282-110</f>
        <v>325.70833333333331</v>
      </c>
      <c r="AN282" s="712">
        <f>Sheet1!CW282-265</f>
        <v>300.86458333333337</v>
      </c>
      <c r="AO282" s="712">
        <f t="shared" si="835"/>
        <v>17.215581395335988</v>
      </c>
      <c r="AP282" s="851">
        <v>0</v>
      </c>
      <c r="AQ282" s="712">
        <f t="shared" si="753"/>
        <v>0</v>
      </c>
      <c r="AR282" s="712">
        <f t="shared" si="821"/>
        <v>640.90517166449354</v>
      </c>
      <c r="AS282" s="712"/>
      <c r="AT282" s="712">
        <f ca="1">IF(B282&gt;Summary!$A$1,#N/A,AR282*MGtoAF)</f>
        <v>1966.2970666666663</v>
      </c>
      <c r="AU282" s="712">
        <f>Sheet1!BG282+Sheet1!BH282+Sheet1!BI282-BC282</f>
        <v>1.07</v>
      </c>
      <c r="AV282" s="712">
        <f t="shared" si="755"/>
        <v>1.0686175710596226</v>
      </c>
      <c r="AW282" s="712">
        <f>IF(Sheet1!EL282="FM",BC282,0)</f>
        <v>0</v>
      </c>
      <c r="AX282" s="712">
        <f t="shared" si="756"/>
        <v>0</v>
      </c>
      <c r="AY282" s="712">
        <f>IF(Sheet1!EL282="OTHER",BC282,0)</f>
        <v>0</v>
      </c>
      <c r="AZ282" s="712">
        <f t="shared" si="757"/>
        <v>0</v>
      </c>
      <c r="BA282" s="712">
        <f t="shared" si="758"/>
        <v>1.07</v>
      </c>
      <c r="BB282" s="712">
        <f t="shared" si="759"/>
        <v>1.0686175710596226</v>
      </c>
      <c r="BC282" s="712">
        <f>IF(OR(Sheet1!EL282="FM", Sheet1!EL282="OTHER"),SUM(Sheet1!BG282:'Sheet1'!BI282),0)</f>
        <v>0</v>
      </c>
      <c r="BD282" s="697">
        <f>IF(AND($B282&gt;=$FL282,$B282&lt;=$FM282),MAX(AV282,Sheet1!EE282,0),MAX(AV282-(7/36)*$K282,0))</f>
        <v>2</v>
      </c>
      <c r="BE282" s="712">
        <f t="shared" si="760"/>
        <v>0</v>
      </c>
      <c r="BF282" s="697">
        <f t="shared" si="761"/>
        <v>0</v>
      </c>
      <c r="BG282" s="697">
        <f>IF(AND($O282&gt;0,Sheet1!EI282=1),(1-($O282-Sheet1!$L282)/$O282)*BB282,0)</f>
        <v>0</v>
      </c>
      <c r="BH282" s="697">
        <f>IF(AND(Sheet1!$L282=0,Sheet1!$L281=0, Calculation!BA282&lt;Sheet1!$EE282-0.1,Sheet1!$EE282=Sheet1!$EE281,Sheet1!$EE282=Sheet1!$EE283),Sheet1!$EE282,BB282-BG282)</f>
        <v>2</v>
      </c>
      <c r="BI282" s="712"/>
      <c r="BJ282" s="712"/>
      <c r="BK282" s="712">
        <f t="shared" si="762"/>
        <v>508.6510993347855</v>
      </c>
      <c r="BL282" s="712"/>
      <c r="BM282" s="712">
        <f ca="1">IF(B282&gt;Summary!$A$1,#N/A,BK282*MGtoAF)</f>
        <v>1560.5415727591219</v>
      </c>
      <c r="BN282" s="712">
        <f>Sheet1!BC282+Sheet1!BD282+Sheet1!BE282+Sheet1!BF282-BW282-BX282</f>
        <v>2.5499999999999998</v>
      </c>
      <c r="BO282" s="712">
        <f t="shared" si="763"/>
        <v>2.5467054263570446</v>
      </c>
      <c r="BP282" s="712">
        <f>IF(Sheet1!EM282="FM",BX282,0)</f>
        <v>0</v>
      </c>
      <c r="BQ282" s="712">
        <f t="shared" si="764"/>
        <v>0</v>
      </c>
      <c r="BR282" s="712">
        <f>IF(Sheet1!EM282="OTHER",BX282,0)</f>
        <v>0</v>
      </c>
      <c r="BS282" s="712">
        <f t="shared" si="765"/>
        <v>0</v>
      </c>
      <c r="BT282" s="712">
        <f t="shared" si="766"/>
        <v>0</v>
      </c>
      <c r="BU282" s="712">
        <f t="shared" si="767"/>
        <v>2.5499999999999998</v>
      </c>
      <c r="BV282" s="712">
        <f t="shared" si="768"/>
        <v>2.5467054263570446</v>
      </c>
      <c r="BW282" s="712">
        <f>IF(Sheet1!EM282="CWA",SUM(Sheet1!BC282:'Sheet1'!BF282),0)</f>
        <v>0</v>
      </c>
      <c r="BX282" s="712">
        <f>IF(OR(Sheet1!EM282="FM", Sheet1!EM282="OTHER"),SUM(Sheet1!BC282:'Sheet1'!BF282),0)</f>
        <v>0</v>
      </c>
      <c r="BY282" s="697">
        <f>IF(AND($B282&gt;=$FL282,$B282&lt;=$FM282),MAX(BV282,Sheet1!EF282,0),MAX(BV282-(7/36)*$K282,0))</f>
        <v>2.5467054263570446</v>
      </c>
      <c r="BZ282" s="712">
        <f t="shared" si="769"/>
        <v>0</v>
      </c>
      <c r="CA282" s="697">
        <f t="shared" si="770"/>
        <v>0</v>
      </c>
      <c r="CB282" s="697">
        <f>IF(AND($O282&gt;0,Sheet1!EJ282=1),(1-($O282-Sheet1!$L282)/$O282)*BV282,0)</f>
        <v>0</v>
      </c>
      <c r="CC282" s="697">
        <f>IF(AND(Sheet1!$L282=0,Sheet1!$L281=0, Calculation!BU282&lt;Sheet1!EF282-0.1,Sheet1!EF282=Sheet1!EF281,Sheet1!EF282=Sheet1!EF283),Sheet1!EF282,BV282-CB282)</f>
        <v>2.5467054263570446</v>
      </c>
      <c r="CD282" s="697"/>
      <c r="CE282" s="712"/>
      <c r="CF282" s="712">
        <f t="shared" si="771"/>
        <v>166.64405765055326</v>
      </c>
      <c r="CG282" s="712"/>
      <c r="CH282" s="712">
        <f ca="1">IF(B282&gt;Summary!$A$1,#N/A,CF282*MGtoAF)</f>
        <v>511.26396887189742</v>
      </c>
      <c r="CI282" s="712">
        <f>Sheet1!BK282+Sheet1!BL282+Sheet1!BM282-Sheet1!EN282-CQ282</f>
        <v>7.54</v>
      </c>
      <c r="CJ282" s="712">
        <f t="shared" si="772"/>
        <v>7.5302583979341629</v>
      </c>
      <c r="CK282" s="712">
        <f>IF(Sheet1!EN282="FM",CQ282,0)</f>
        <v>0</v>
      </c>
      <c r="CL282" s="712">
        <f t="shared" si="773"/>
        <v>0</v>
      </c>
      <c r="CM282" s="712">
        <f>IF(Sheet1!EN282="OTHER",CQ282,0)</f>
        <v>0</v>
      </c>
      <c r="CN282" s="712">
        <f t="shared" si="774"/>
        <v>0</v>
      </c>
      <c r="CO282" s="712">
        <f t="shared" si="775"/>
        <v>7.54</v>
      </c>
      <c r="CP282" s="712">
        <f t="shared" si="776"/>
        <v>7.5302583979341629</v>
      </c>
      <c r="CQ282" s="712">
        <f>IF(OR(Sheet1!EN282="FM", Sheet1!EN282="OTHER"),SUM(Sheet1!BK282:'Sheet1'!BM282),0)</f>
        <v>0</v>
      </c>
      <c r="CR282" s="697">
        <f>IF(AND($B282&gt;=$FL282,$B282&lt;=$FM282),MAX($CJ282,Sheet1!EG282,0),MAX($CJ282-(7/36)*$K282,0))</f>
        <v>7.5302583979341629</v>
      </c>
      <c r="CS282" s="712">
        <f t="shared" si="777"/>
        <v>0</v>
      </c>
      <c r="CT282" s="697">
        <f t="shared" si="778"/>
        <v>0</v>
      </c>
      <c r="CU282" s="697">
        <f>IF(AND($O282&gt;0,Sheet1!EK282=1),(1-($O282-Sheet1!$L282)/$O282)*CP282,0)</f>
        <v>0</v>
      </c>
      <c r="CV282" s="697">
        <f>IF(AND(Sheet1!$L282=0,Sheet1!$L281=0, Calculation!CO282&lt;Sheet1!$EG282-0.1,Sheet1!$EG282=Sheet1!$EG281,Sheet1!$EG282=Sheet1!$EG283),Sheet1!$EG282,CP282-CU282)</f>
        <v>7.5302583979341629</v>
      </c>
      <c r="CW282" s="697">
        <f t="shared" si="837"/>
        <v>0</v>
      </c>
      <c r="CX282" s="712">
        <f t="shared" si="779"/>
        <v>11.16</v>
      </c>
      <c r="CY282" s="712">
        <f t="shared" si="780"/>
        <v>209.77407686414097</v>
      </c>
      <c r="CZ282" s="712">
        <f t="shared" si="781"/>
        <v>11.145581395350831</v>
      </c>
      <c r="DA282" s="712">
        <f ca="1">IF(B282&gt;Summary!$A$1,#N/A,CY282*MGtoAF)</f>
        <v>643.58686781918448</v>
      </c>
      <c r="DB282" s="712">
        <f t="shared" si="782"/>
        <v>11.16</v>
      </c>
      <c r="DC282" s="712">
        <f t="shared" si="783"/>
        <v>30.96</v>
      </c>
      <c r="DD282" s="712">
        <f>Sheet1!AB282-DC282</f>
        <v>-3.9999999994471125E-2</v>
      </c>
      <c r="DE282" s="712">
        <f t="shared" si="784"/>
        <v>-1.2919896639041061E-3</v>
      </c>
      <c r="DF282" s="712">
        <f>(VLOOKUP(Sheet1!CY282,hhdcap_wcm,4)-(((VLOOKUP(Sheet1!CY282,hhdcap_wcm,3)-Sheet1!CY282)/(VLOOKUP(Sheet1!CY282,hhdcap_wcm,3)-VLOOKUP(Sheet1!CY282,hhdcap_wcm,1)))*(VLOOKUP(Sheet1!CY282,hhdcap_wcm,4)-VLOOKUP(Sheet1!CY282,hhdcap_wcm,2))))</f>
        <v>26601.010000065271</v>
      </c>
      <c r="DG282" s="712">
        <f t="shared" si="785"/>
        <v>-691.01000000246859</v>
      </c>
      <c r="DH282" s="712">
        <f t="shared" si="786"/>
        <v>-348.46696923977231</v>
      </c>
      <c r="DI282" s="712">
        <f>Sheet1!DW282*AFtoMG</f>
        <v>0</v>
      </c>
      <c r="DJ282" s="712">
        <f>Sheet1!DX282*AFtoMG</f>
        <v>0</v>
      </c>
      <c r="DK282" s="712">
        <f>Sheet1!DY282*AFtoMG</f>
        <v>0</v>
      </c>
      <c r="DL282" s="712">
        <f>Sheet1!DZ282*AFtoMG</f>
        <v>0</v>
      </c>
      <c r="DM282" s="712">
        <f t="shared" si="787"/>
        <v>0</v>
      </c>
      <c r="DN282" s="712">
        <f t="shared" si="788"/>
        <v>0</v>
      </c>
      <c r="DO282" s="712">
        <f t="shared" si="789"/>
        <v>1525.9744055139736</v>
      </c>
      <c r="DP282" s="712">
        <f t="shared" si="790"/>
        <v>4681.6894761168714</v>
      </c>
      <c r="DQ282" s="712"/>
      <c r="DR282" s="697">
        <f>IF(OR(B282&lt;FL282,B282&gt;FM282),(MIN(AV282+BO282+CJ282+MAX(Sheet1!AA282+AG282-73,0),K282)),0)</f>
        <v>0</v>
      </c>
      <c r="DS282" s="712"/>
      <c r="DT282" s="712">
        <f t="shared" si="791"/>
        <v>11.145581395350831</v>
      </c>
      <c r="DU282" s="712"/>
      <c r="DV282" s="712">
        <f>Sheet1!ED282+Sheet1!EE282+Sheet1!EF282+Sheet1!EG282</f>
        <v>12</v>
      </c>
      <c r="DW282" s="712"/>
      <c r="DX282" s="697">
        <f t="shared" si="792"/>
        <v>0</v>
      </c>
      <c r="DY282" s="712">
        <f>IF(Sheet1!FN282=1,SUM('Calculations II'!AT282:BA282)+'Calculations II'!BC282+Sheet1!BU282+'Calculations II'!BE282+AF282,SUM('Calculations II'!AT282:BA282)+'Calculations II'!BC282+Sheet1!BU282+'Calculations II'!BE282+AF282)</f>
        <v>53.695824000000002</v>
      </c>
      <c r="DZ282" s="712">
        <f>Sheet1!AA282+Sheet1!AB282+'Calculations II'!BC282</f>
        <v>66.930000000014843</v>
      </c>
      <c r="EA282" s="712"/>
      <c r="EB282" s="712"/>
      <c r="EC282" s="712">
        <f t="shared" si="793"/>
        <v>40811</v>
      </c>
      <c r="ED282" s="712">
        <f t="shared" si="794"/>
        <v>-12.076963824291209</v>
      </c>
      <c r="EE282" s="712">
        <f t="shared" si="795"/>
        <v>-18.683063036178499</v>
      </c>
      <c r="EF282" s="712">
        <f ca="1">IF(B282=TODAY(),0,-(VLOOKUP(Sheet1!BQ282,Lookup!$B$4:$J$236,2)-VLOOKUP(Sheet1!BQ281,Lookup!$B$4:$J$236,2))/1000000)</f>
        <v>-0.8115</v>
      </c>
      <c r="EG282" s="712">
        <f ca="1">IF(B282=TODAY(),0,-(VLOOKUP(Sheet1!BR282,Lookup!$B$4:$J$236,3)-VLOOKUP(Sheet1!BR281,Lookup!$B$4:$J$236,3))/1000000)</f>
        <v>-0.81</v>
      </c>
      <c r="EH282" s="712">
        <f>-(VLOOKUP(Sheet1!BS282,Lookup!$B$4:$J$236,4)-VLOOKUP(Sheet1!BS281,Lookup!$B$4:$J$236,4))/1000000</f>
        <v>0</v>
      </c>
      <c r="EI282" s="697">
        <f t="shared" ca="1" si="819"/>
        <v>-1.6215000000000002</v>
      </c>
      <c r="EJ282" s="712"/>
      <c r="EK282" s="712"/>
      <c r="EL282" s="712"/>
      <c r="EM282" s="712"/>
      <c r="EN282" s="712"/>
      <c r="EO282" s="712"/>
      <c r="EP282" s="712"/>
      <c r="EQ282" s="712"/>
      <c r="ER282" s="697">
        <f t="shared" si="833"/>
        <v>7754.8241051828536</v>
      </c>
      <c r="ES282" s="712">
        <f t="shared" si="834"/>
        <v>497.96905520402498</v>
      </c>
      <c r="ET282" s="794">
        <f t="shared" si="818"/>
        <v>1123.5999999999999</v>
      </c>
      <c r="EU282" s="794" t="e">
        <f t="shared" si="838"/>
        <v>#N/A</v>
      </c>
      <c r="EV282" s="795" t="e">
        <f t="shared" si="836"/>
        <v>#N/A</v>
      </c>
      <c r="EW282" s="796" t="s">
        <v>757</v>
      </c>
      <c r="EX282" s="796" t="s">
        <v>757</v>
      </c>
      <c r="EY282" s="794" t="e">
        <v>#N/A</v>
      </c>
      <c r="EZ282" s="798">
        <v>14654.000000031105</v>
      </c>
      <c r="FA282" s="712"/>
      <c r="FB282" s="712"/>
      <c r="FC282" s="712"/>
      <c r="FD282" s="712"/>
      <c r="FE282" s="712">
        <f>O282+Sheet1!CO282</f>
        <v>66.930000000014843</v>
      </c>
      <c r="FF282" s="712">
        <f>IF(Sheet1!AA282+AG282&lt;=Calculation!N282,AG282,Calculation!N282-Sheet1!AA282)</f>
        <v>19.774418604654699</v>
      </c>
      <c r="FG282" s="712">
        <f>(Sheet1!BP282+Sheet1!BO282)/694.4</f>
        <v>2.8090437788018434</v>
      </c>
      <c r="FH282" s="712"/>
      <c r="FI282" s="712"/>
      <c r="FJ282" s="712"/>
      <c r="FK282" s="712"/>
      <c r="FL282" s="714">
        <f t="shared" si="827"/>
        <v>40753</v>
      </c>
      <c r="FM282" s="714">
        <f t="shared" si="828"/>
        <v>40851</v>
      </c>
      <c r="FN282" s="712"/>
      <c r="FO282" s="712"/>
      <c r="FP282" s="712"/>
      <c r="FQ282" s="712"/>
      <c r="FR282" s="712"/>
      <c r="FS282" s="725">
        <f t="shared" ref="FS282:FX297" si="839">FS281</f>
        <v>40603</v>
      </c>
      <c r="FT282" s="714">
        <f t="shared" si="830"/>
        <v>40709</v>
      </c>
      <c r="FU282" s="712">
        <f t="shared" si="839"/>
        <v>6518.9048239895692</v>
      </c>
      <c r="FV282" s="714">
        <f t="shared" si="831"/>
        <v>40722</v>
      </c>
      <c r="FW282" s="712">
        <f t="shared" si="839"/>
        <v>3259.4524119947846</v>
      </c>
      <c r="FX282" s="725">
        <f t="shared" si="839"/>
        <v>40851</v>
      </c>
      <c r="FZ282" s="697">
        <f t="shared" si="824"/>
        <v>0</v>
      </c>
      <c r="GA282" s="712" t="str">
        <f t="shared" si="797"/>
        <v/>
      </c>
      <c r="GB282" s="712">
        <f t="shared" si="798"/>
        <v>0</v>
      </c>
      <c r="GC282" s="712" t="str">
        <f t="shared" si="799"/>
        <v/>
      </c>
      <c r="GD282" s="712">
        <f>IF(GA282="P",Lookup!$M$12,IF(GA282="PP",Lookup!$M$13,IF(GA282="PPP",Lookup!$M$14,IF(GA282="T",Lookup!$M$15,IF(GA282="TP",Lookup!$M$16,IF(GA282="TPP",Lookup!$M$17,IF(GA282="TPPP",Lookup!$M$18,0)))))))*FZ282</f>
        <v>0</v>
      </c>
      <c r="GE282" s="712">
        <f t="shared" si="800"/>
        <v>0</v>
      </c>
      <c r="GF282" s="712">
        <f t="shared" si="801"/>
        <v>1966.2970666666663</v>
      </c>
      <c r="GG282" s="712">
        <f t="shared" si="802"/>
        <v>640.90517166449354</v>
      </c>
      <c r="GH282" s="712"/>
      <c r="GI282" s="712">
        <f t="shared" si="803"/>
        <v>0</v>
      </c>
      <c r="GJ282" s="712" t="str">
        <f t="shared" si="804"/>
        <v/>
      </c>
      <c r="GK282" s="712">
        <f>IF(GA282="P",Lookup!$N$12,IF(GA282="PP",Lookup!$N$13,IF(GA282="PPP",Lookup!$N$14,IF(GA282="T",Lookup!$N$15,IF(GA282="TP",Lookup!$N$16,IF(GA282="TPP",Lookup!$N$17,IF(GA282="TPPP",Lookup!$N$18,0)))))))*FZ282</f>
        <v>0</v>
      </c>
      <c r="GL282" s="712">
        <f t="shared" si="805"/>
        <v>0</v>
      </c>
      <c r="GM282" s="712">
        <f t="shared" si="806"/>
        <v>1560.5415727591219</v>
      </c>
      <c r="GN282" s="712">
        <f t="shared" si="807"/>
        <v>508.6510993347855</v>
      </c>
      <c r="GO282" s="712"/>
      <c r="GP282" s="712">
        <f t="shared" si="808"/>
        <v>0</v>
      </c>
      <c r="GQ282" s="712" t="str">
        <f t="shared" si="809"/>
        <v/>
      </c>
      <c r="GR282" s="712">
        <f>IF(GA282="P",Lookup!$N$12,IF(GA282="PP",Lookup!$N$13,IF(GA282="PPP",Lookup!$N$14,IF(GA282="T",Lookup!$N$15,IF(GA282="TP",Lookup!$N$16,IF(GA282="TPP",Lookup!$N$17,IF(GA282="TPPP",Lookup!$N$18,0)))))))*FZ282</f>
        <v>0</v>
      </c>
      <c r="GS282" s="697">
        <f t="shared" si="825"/>
        <v>0</v>
      </c>
      <c r="GT282" s="712">
        <f t="shared" si="810"/>
        <v>511.26396887189742</v>
      </c>
      <c r="GU282" s="712">
        <f t="shared" si="811"/>
        <v>166.64405765055326</v>
      </c>
      <c r="GV282" s="712"/>
      <c r="GW282" s="712">
        <f t="shared" si="812"/>
        <v>0</v>
      </c>
      <c r="GX282" s="712" t="str">
        <f t="shared" si="813"/>
        <v/>
      </c>
      <c r="GY282" s="712">
        <f>IF(GA282="P",Lookup!$N$12,IF(GA282="PP",Lookup!$N$13,IF(GA282="PPP",Lookup!$N$14,IF(GA282="T",Lookup!$N$15,IF(GA282="TP",Lookup!$N$16,IF(GA282="TPP",Lookup!$N$17,IF(GA282="TPPP",Lookup!$N$18,0)))))))*FZ282</f>
        <v>0</v>
      </c>
      <c r="GZ282" s="697">
        <f t="shared" si="826"/>
        <v>0</v>
      </c>
      <c r="HA282" s="712">
        <f t="shared" si="814"/>
        <v>643.58686781918448</v>
      </c>
      <c r="HB282" s="712">
        <f t="shared" si="815"/>
        <v>209.77407686414097</v>
      </c>
      <c r="HC282" s="712"/>
    </row>
    <row r="283" spans="1:211">
      <c r="A283" s="773" t="s">
        <v>4</v>
      </c>
      <c r="B283" s="708">
        <v>40812</v>
      </c>
      <c r="C283" s="719">
        <v>0.5</v>
      </c>
      <c r="D283" s="675">
        <f t="shared" si="737"/>
        <v>300</v>
      </c>
      <c r="E283" s="675">
        <f t="shared" si="738"/>
        <v>250</v>
      </c>
      <c r="F283" s="675">
        <v>250</v>
      </c>
      <c r="G283" s="712">
        <f>DH283+Sheet1!CV283</f>
        <v>222.28202218754768</v>
      </c>
      <c r="H283" s="712">
        <f t="shared" si="739"/>
        <v>0</v>
      </c>
      <c r="I283" s="711">
        <f>MAX(Sheet1!Z283-AJ283+(Sheet1!CW283-E283)*CFStoMGD,0)</f>
        <v>228.46912649021056</v>
      </c>
      <c r="J283" s="720">
        <f>IF(AND(B283&gt;=Calculation!FS283,B283&lt;=Calculation!FT283),IF(Sheet1!CX283&gt;=Calculation!D283,64.64,0),MAX(Sheet1!Z283-AJ283+(Sheet1!CX283-D283)*CFStoMGD,0))</f>
        <v>115.12692649021061</v>
      </c>
      <c r="K283" s="697">
        <f t="shared" si="740"/>
        <v>0</v>
      </c>
      <c r="L283" s="712">
        <f>Sheet1!AA283+Sheet1!AB283-Sheet1!L283+(Sheet1!CW283-F283)*CFStoMGD</f>
        <v>284.9597333333333</v>
      </c>
      <c r="M283" s="712">
        <f t="shared" si="741"/>
        <v>146.55676112487146</v>
      </c>
      <c r="N283" s="712">
        <f>IF(Sheet1!CW283&gt;=F283,MIN(73,MIN(MAX(L283,0),MAX(M283,0))),0)</f>
        <v>73</v>
      </c>
      <c r="O283" s="721">
        <f>Sheet1!AA283+Sheet1!AB283</f>
        <v>67.5</v>
      </c>
      <c r="P283" s="721">
        <f t="shared" si="742"/>
        <v>104.42249999999999</v>
      </c>
      <c r="Q283" s="712">
        <f>MIN(N283,Sheet1!AA283+AG283)</f>
        <v>56.240606843125647</v>
      </c>
      <c r="R283" s="712">
        <f t="shared" si="743"/>
        <v>12</v>
      </c>
      <c r="S283" s="721">
        <f>Sheet1!Y283*MGDtoCFS</f>
        <v>56.403619999999997</v>
      </c>
      <c r="T283" s="721">
        <f>Sheet1!Z283*MGDtoCFS</f>
        <v>47.879649999999998</v>
      </c>
      <c r="U283" s="721">
        <f>Sheet1!AA283*MGDtoCFS</f>
        <v>56.1561000000045</v>
      </c>
      <c r="V283" s="721">
        <f>Sheet1!AB283*MGDtoCFS</f>
        <v>48.266399999995492</v>
      </c>
      <c r="W283" s="721">
        <f>Sheet1!L283*MGDtoCFS</f>
        <v>0</v>
      </c>
      <c r="X283" s="697">
        <f t="shared" si="744"/>
        <v>12.191865719818285</v>
      </c>
      <c r="Y283" s="712">
        <f t="shared" si="745"/>
        <v>18.860816268558885</v>
      </c>
      <c r="Z283" s="712">
        <f t="shared" si="746"/>
        <v>0</v>
      </c>
      <c r="AA283" s="712">
        <f t="shared" si="747"/>
        <v>0</v>
      </c>
      <c r="AB283" s="712">
        <f>(VLOOKUP(Sheet1!CY283,hhdcap_wcm,4)-(((VLOOKUP(Sheet1!CY283,hhdcap_wcm,3)-Sheet1!CY283)/(VLOOKUP(Sheet1!CY283,hhdcap_wcm,3)-VLOOKUP(Sheet1!CY283,hhdcap_wcm,1)))*(VLOOKUP(Sheet1!CY283,hhdcap_wcm,4)-VLOOKUP(Sheet1!CY283,hhdcap_wcm,2))))</f>
        <v>25924.540000063178</v>
      </c>
      <c r="AC283" s="712">
        <f t="shared" si="748"/>
        <v>-676.470000002093</v>
      </c>
      <c r="AD283" s="712">
        <f t="shared" si="749"/>
        <v>1513.7825397941551</v>
      </c>
      <c r="AE283" s="712">
        <f t="shared" si="750"/>
        <v>4644.2848320884677</v>
      </c>
      <c r="AF283" s="712">
        <f>Sheet1!BA283+Sheet1!BB283+Sheet1!BN283+BT283</f>
        <v>19.8</v>
      </c>
      <c r="AG283" s="712">
        <f t="shared" si="751"/>
        <v>19.940606843122733</v>
      </c>
      <c r="AH283" s="712">
        <f>Sheet1!BA283+BT283</f>
        <v>0</v>
      </c>
      <c r="AI283" s="712">
        <f>Sheet1!BA283+Sheet1!BB283+BT283</f>
        <v>0</v>
      </c>
      <c r="AJ283" s="712">
        <f>IF((Sheet1!AA283+AG283+AX283+AZ283+BQ283+BS283+CL283+CN283)&lt;=N283,AG283+AX283+AZ283+BQ283+BS283+CL283+CN283,N283-Sheet1!AA283)</f>
        <v>19.940606843122733</v>
      </c>
      <c r="AK283" s="712">
        <f>IF(DR283&lt;K283,0,MAX(Sheet1!AA283+AG283-15/36*K283-N283,Sheet1!ED283,0))</f>
        <v>0</v>
      </c>
      <c r="AL283" s="712">
        <f>IF(OR(B283&gt;=FT283,B283&lt;FS283),0,15/36*K283-MAX(0,64.6-(137.6-(Sheet1!AA283+Sheet1!AB283))))</f>
        <v>0</v>
      </c>
      <c r="AM283" s="712">
        <f>Sheet1!CX283-110</f>
        <v>351.07291666666669</v>
      </c>
      <c r="AN283" s="712">
        <f>Sheet1!CW283-265</f>
        <v>321.41666666666663</v>
      </c>
      <c r="AO283" s="712">
        <f t="shared" si="835"/>
        <v>16.759393156874353</v>
      </c>
      <c r="AP283" s="851">
        <v>0</v>
      </c>
      <c r="AQ283" s="712">
        <f t="shared" si="753"/>
        <v>0</v>
      </c>
      <c r="AR283" s="712">
        <f t="shared" si="754"/>
        <v>640.90517166449354</v>
      </c>
      <c r="AS283" s="712"/>
      <c r="AT283" s="712">
        <f ca="1">IF(B283&gt;Summary!$A$1,#N/A,AR283*MGtoAF)</f>
        <v>1966.2970666666663</v>
      </c>
      <c r="AU283" s="712">
        <f>Sheet1!BG283+Sheet1!BH283+Sheet1!BI283-BC283</f>
        <v>1.06</v>
      </c>
      <c r="AV283" s="712">
        <f t="shared" si="755"/>
        <v>1.0675274370560657</v>
      </c>
      <c r="AW283" s="712">
        <f>IF(Sheet1!EL283="FM",BC283,0)</f>
        <v>0</v>
      </c>
      <c r="AX283" s="712">
        <f t="shared" si="756"/>
        <v>0</v>
      </c>
      <c r="AY283" s="712">
        <f>IF(Sheet1!EL283="OTHER",BC283,0)</f>
        <v>0</v>
      </c>
      <c r="AZ283" s="712">
        <f t="shared" si="757"/>
        <v>0</v>
      </c>
      <c r="BA283" s="712">
        <f t="shared" si="758"/>
        <v>1.06</v>
      </c>
      <c r="BB283" s="712">
        <f t="shared" si="759"/>
        <v>1.0675274370560657</v>
      </c>
      <c r="BC283" s="712">
        <f>IF(OR(Sheet1!EL283="FM", Sheet1!EL283="OTHER"),SUM(Sheet1!BG283:'Sheet1'!BI283),0)</f>
        <v>0</v>
      </c>
      <c r="BD283" s="697">
        <f>IF(AND($B283&gt;=$FL283,$B283&lt;=$FM283),MAX(AV283,Sheet1!EE283,0),MAX(AV283-(7/36)*$K283,0))</f>
        <v>2</v>
      </c>
      <c r="BE283" s="712">
        <f t="shared" si="760"/>
        <v>0</v>
      </c>
      <c r="BF283" s="697">
        <f t="shared" si="761"/>
        <v>0</v>
      </c>
      <c r="BG283" s="697">
        <f>IF(AND($O283&gt;0,Sheet1!EI283=1),(1-($O283-Sheet1!$L283)/$O283)*BB283,0)</f>
        <v>0</v>
      </c>
      <c r="BH283" s="697">
        <f>IF(AND(Sheet1!$L283=0,Sheet1!$L282=0, Calculation!BA283&lt;Sheet1!$EE283-0.1,Sheet1!$EE283=Sheet1!$EE282,Sheet1!$EE283=Sheet1!$EE284),Sheet1!$EE283,BB283-BG283)</f>
        <v>2</v>
      </c>
      <c r="BI283" s="712"/>
      <c r="BJ283" s="712"/>
      <c r="BK283" s="712">
        <f t="shared" si="762"/>
        <v>506.6510993347855</v>
      </c>
      <c r="BL283" s="712"/>
      <c r="BM283" s="712">
        <f ca="1">IF(B283&gt;Summary!$A$1,#N/A,BK283*MGtoAF)</f>
        <v>1554.4055727591219</v>
      </c>
      <c r="BN283" s="712">
        <f>Sheet1!BC283+Sheet1!BD283+Sheet1!BE283+Sheet1!BF283-BW283-BX283</f>
        <v>2.5599999999999996</v>
      </c>
      <c r="BO283" s="712">
        <f t="shared" si="763"/>
        <v>2.5781794706259693</v>
      </c>
      <c r="BP283" s="712">
        <f>IF(Sheet1!EM283="FM",BX283,0)</f>
        <v>0</v>
      </c>
      <c r="BQ283" s="712">
        <f t="shared" si="764"/>
        <v>0</v>
      </c>
      <c r="BR283" s="712">
        <f>IF(Sheet1!EM283="OTHER",BX283,0)</f>
        <v>0</v>
      </c>
      <c r="BS283" s="712">
        <f t="shared" si="765"/>
        <v>0</v>
      </c>
      <c r="BT283" s="712">
        <f t="shared" si="766"/>
        <v>0</v>
      </c>
      <c r="BU283" s="712">
        <f t="shared" si="767"/>
        <v>2.5599999999999996</v>
      </c>
      <c r="BV283" s="712">
        <f t="shared" si="768"/>
        <v>2.5781794706259693</v>
      </c>
      <c r="BW283" s="712">
        <f>IF(Sheet1!EM283="CWA",SUM(Sheet1!BC283:'Sheet1'!BF283),0)</f>
        <v>0</v>
      </c>
      <c r="BX283" s="712">
        <f>IF(OR(Sheet1!EM283="FM", Sheet1!EM283="OTHER"),SUM(Sheet1!BC283:'Sheet1'!BF283),0)</f>
        <v>0</v>
      </c>
      <c r="BY283" s="697">
        <f>IF(AND($B283&gt;=$FL283,$B283&lt;=$FM283),MAX(BV283,Sheet1!EF283,0),MAX(BV283-(7/36)*$K283,0))</f>
        <v>2.5781794706259693</v>
      </c>
      <c r="BZ283" s="712">
        <f t="shared" si="769"/>
        <v>0</v>
      </c>
      <c r="CA283" s="697">
        <f t="shared" si="770"/>
        <v>0</v>
      </c>
      <c r="CB283" s="697">
        <f>IF(AND($O283&gt;0,Sheet1!EJ283=1),(1-($O283-Sheet1!$L283)/$O283)*BV283,0)</f>
        <v>0</v>
      </c>
      <c r="CC283" s="697">
        <f>IF(AND(Sheet1!$L283=0,Sheet1!$L282=0, Calculation!BU283&lt;Sheet1!EF283-0.1,Sheet1!EF283=Sheet1!EF282,Sheet1!EF283=Sheet1!EF284),Sheet1!EF283,BV283-CB283)</f>
        <v>2.5781794706259693</v>
      </c>
      <c r="CD283" s="697"/>
      <c r="CE283" s="712"/>
      <c r="CF283" s="712">
        <f t="shared" si="771"/>
        <v>164.0658781799273</v>
      </c>
      <c r="CG283" s="712"/>
      <c r="CH283" s="712">
        <f ca="1">IF(B283&gt;Summary!$A$1,#N/A,CF283*MGtoAF)</f>
        <v>503.35411425601694</v>
      </c>
      <c r="CI283" s="712">
        <f>Sheet1!BK283+Sheet1!BL283+Sheet1!BM283-Sheet1!EN283-CQ283</f>
        <v>7.5600000000000005</v>
      </c>
      <c r="CJ283" s="712">
        <f t="shared" si="772"/>
        <v>7.613686249192317</v>
      </c>
      <c r="CK283" s="712">
        <f>IF(Sheet1!EN283="FM",CQ283,0)</f>
        <v>0</v>
      </c>
      <c r="CL283" s="712">
        <f t="shared" si="773"/>
        <v>0</v>
      </c>
      <c r="CM283" s="712">
        <f>IF(Sheet1!EN283="OTHER",CQ283,0)</f>
        <v>0</v>
      </c>
      <c r="CN283" s="712">
        <f t="shared" si="774"/>
        <v>0</v>
      </c>
      <c r="CO283" s="712">
        <f t="shared" si="775"/>
        <v>7.5600000000000005</v>
      </c>
      <c r="CP283" s="712">
        <f t="shared" si="776"/>
        <v>7.613686249192317</v>
      </c>
      <c r="CQ283" s="712">
        <f>IF(OR(Sheet1!EN283="FM", Sheet1!EN283="OTHER"),SUM(Sheet1!BK283:'Sheet1'!BM283),0)</f>
        <v>0</v>
      </c>
      <c r="CR283" s="697">
        <f>IF(AND($B283&gt;=$FL283,$B283&lt;=$FM283),MAX($CJ283,Sheet1!EG283,0),MAX($CJ283-(7/36)*$K283,0))</f>
        <v>7.613686249192317</v>
      </c>
      <c r="CS283" s="712">
        <f t="shared" si="777"/>
        <v>0</v>
      </c>
      <c r="CT283" s="697">
        <f t="shared" si="778"/>
        <v>0</v>
      </c>
      <c r="CU283" s="697">
        <f>IF(AND($O283&gt;0,Sheet1!EK283=1),(1-($O283-Sheet1!$L283)/$O283)*CP283,0)</f>
        <v>0</v>
      </c>
      <c r="CV283" s="697">
        <f>IF(AND(Sheet1!$L283=0,Sheet1!$L282=0, Calculation!CO283&lt;Sheet1!$EG283-0.1,Sheet1!$EG283=Sheet1!$EG282,Sheet1!$EG283=Sheet1!$EG284),Sheet1!$EG283,CP283-CU283)</f>
        <v>7.613686249192317</v>
      </c>
      <c r="CW283" s="697">
        <f t="shared" si="837"/>
        <v>0</v>
      </c>
      <c r="CX283" s="712">
        <f t="shared" si="779"/>
        <v>11.18</v>
      </c>
      <c r="CY283" s="712">
        <f t="shared" si="780"/>
        <v>202.16039061494865</v>
      </c>
      <c r="CZ283" s="712">
        <f t="shared" si="781"/>
        <v>11.259393156874353</v>
      </c>
      <c r="DA283" s="712">
        <f ca="1">IF(B283&gt;Summary!$A$1,#N/A,CY283*MGtoAF)</f>
        <v>620.22807840666246</v>
      </c>
      <c r="DB283" s="712">
        <f t="shared" si="782"/>
        <v>11.180000000000001</v>
      </c>
      <c r="DC283" s="712">
        <f t="shared" si="783"/>
        <v>30.980000000000004</v>
      </c>
      <c r="DD283" s="712">
        <f>Sheet1!AB283-DC283</f>
        <v>0.21999999999708564</v>
      </c>
      <c r="DE283" s="712">
        <f t="shared" si="784"/>
        <v>7.1013557132693873E-3</v>
      </c>
      <c r="DF283" s="712">
        <f>(VLOOKUP(Sheet1!CY283,hhdcap_wcm,4)-(((VLOOKUP(Sheet1!CY283,hhdcap_wcm,3)-Sheet1!CY283)/(VLOOKUP(Sheet1!CY283,hhdcap_wcm,3)-VLOOKUP(Sheet1!CY283,hhdcap_wcm,1)))*(VLOOKUP(Sheet1!CY283,hhdcap_wcm,4)-VLOOKUP(Sheet1!CY283,hhdcap_wcm,2))))</f>
        <v>25924.540000063178</v>
      </c>
      <c r="DG283" s="712">
        <f t="shared" si="785"/>
        <v>-676.470000002093</v>
      </c>
      <c r="DH283" s="712">
        <f t="shared" si="786"/>
        <v>-341.13464447911895</v>
      </c>
      <c r="DI283" s="712">
        <f>Sheet1!DW283*AFtoMG</f>
        <v>0</v>
      </c>
      <c r="DJ283" s="712">
        <f>Sheet1!DX283*AFtoMG</f>
        <v>0</v>
      </c>
      <c r="DK283" s="712">
        <f>Sheet1!DY283*AFtoMG</f>
        <v>0</v>
      </c>
      <c r="DL283" s="712">
        <f>Sheet1!DZ283*AFtoMG</f>
        <v>0</v>
      </c>
      <c r="DM283" s="712">
        <f t="shared" si="787"/>
        <v>0</v>
      </c>
      <c r="DN283" s="712">
        <f t="shared" si="788"/>
        <v>0</v>
      </c>
      <c r="DO283" s="712">
        <f t="shared" si="789"/>
        <v>1513.7825397941551</v>
      </c>
      <c r="DP283" s="712">
        <f t="shared" si="790"/>
        <v>4644.2848320884677</v>
      </c>
      <c r="DQ283" s="712"/>
      <c r="DR283" s="697">
        <f>IF(OR(B283&lt;FL283,B283&gt;FM283),(MIN(AV283+BO283+CJ283+MAX(Sheet1!AA283+AG283-73,0),K283)),0)</f>
        <v>0</v>
      </c>
      <c r="DS283" s="712"/>
      <c r="DT283" s="712">
        <f t="shared" si="791"/>
        <v>11.259393156874351</v>
      </c>
      <c r="DU283" s="712"/>
      <c r="DV283" s="712">
        <f>Sheet1!ED283+Sheet1!EE283+Sheet1!EF283+Sheet1!EG283</f>
        <v>12</v>
      </c>
      <c r="DW283" s="712"/>
      <c r="DX283" s="697">
        <f t="shared" si="792"/>
        <v>0</v>
      </c>
      <c r="DY283" s="712">
        <f>IF(Sheet1!FN283=1,SUM('Calculations II'!AT283:BA283)+'Calculations II'!BC283+Sheet1!BU283+'Calculations II'!BE283+AF283,SUM('Calculations II'!AT283:BA283)+'Calculations II'!BC283+Sheet1!BU283+'Calculations II'!BE283+AF283)</f>
        <v>51.558351999999999</v>
      </c>
      <c r="DZ283" s="712">
        <f>Sheet1!AA283+Sheet1!AB283+'Calculations II'!BC283</f>
        <v>67.5</v>
      </c>
      <c r="EA283" s="712"/>
      <c r="EB283" s="712"/>
      <c r="EC283" s="712">
        <f t="shared" si="793"/>
        <v>40812</v>
      </c>
      <c r="ED283" s="712">
        <f t="shared" si="794"/>
        <v>-12.191865719818285</v>
      </c>
      <c r="EE283" s="712">
        <f t="shared" si="795"/>
        <v>-18.860816268558885</v>
      </c>
      <c r="EF283" s="712">
        <f ca="1">IF(B283=TODAY(),0,-(VLOOKUP(Sheet1!BQ283,Lookup!$B$4:$J$236,2)-VLOOKUP(Sheet1!BQ282,Lookup!$B$4:$J$236,2))/1000000)</f>
        <v>-1.8935</v>
      </c>
      <c r="EG283" s="712">
        <f ca="1">IF(B283=TODAY(),0,-(VLOOKUP(Sheet1!BR283,Lookup!$B$4:$J$236,3)-VLOOKUP(Sheet1!BR282,Lookup!$B$4:$J$236,3))/1000000)</f>
        <v>-1.89</v>
      </c>
      <c r="EH283" s="712">
        <f>-(VLOOKUP(Sheet1!BS283,Lookup!$B$4:$J$236,4)-VLOOKUP(Sheet1!BS282,Lookup!$B$4:$J$236,4))/1000000</f>
        <v>0</v>
      </c>
      <c r="EI283" s="697">
        <f t="shared" ca="1" si="819"/>
        <v>-3.7835000000000001</v>
      </c>
      <c r="EJ283" s="712"/>
      <c r="EK283" s="712"/>
      <c r="EL283" s="712"/>
      <c r="EM283" s="712"/>
      <c r="EN283" s="712"/>
      <c r="EO283" s="712"/>
      <c r="EP283" s="712"/>
      <c r="EQ283" s="712"/>
      <c r="ER283" s="697">
        <f t="shared" si="833"/>
        <v>7234.1135972458205</v>
      </c>
      <c r="ES283" s="712">
        <f t="shared" si="834"/>
        <v>520.7105079370333</v>
      </c>
      <c r="ET283" s="794">
        <f t="shared" si="818"/>
        <v>1123.3</v>
      </c>
      <c r="EU283" s="794" t="e">
        <f t="shared" si="838"/>
        <v>#N/A</v>
      </c>
      <c r="EV283" s="795" t="e">
        <f t="shared" si="836"/>
        <v>#N/A</v>
      </c>
      <c r="EW283" s="796" t="s">
        <v>757</v>
      </c>
      <c r="EX283" s="796" t="s">
        <v>757</v>
      </c>
      <c r="EY283" s="794" t="e">
        <v>#N/A</v>
      </c>
      <c r="EZ283" s="798">
        <v>14558.000000030996</v>
      </c>
      <c r="FA283" s="712"/>
      <c r="FB283" s="712"/>
      <c r="FC283" s="712"/>
      <c r="FD283" s="712"/>
      <c r="FE283" s="712">
        <f>O283+Sheet1!CO283</f>
        <v>67.5</v>
      </c>
      <c r="FF283" s="712">
        <f>IF(Sheet1!AA283+AG283&lt;=Calculation!N283,AG283,Calculation!N283-Sheet1!AA283)</f>
        <v>19.940606843122733</v>
      </c>
      <c r="FG283" s="712">
        <f>(Sheet1!BP283+Sheet1!BO283)/694.4</f>
        <v>2.2239343317972349</v>
      </c>
      <c r="FH283" s="712"/>
      <c r="FI283" s="712"/>
      <c r="FJ283" s="712"/>
      <c r="FK283" s="712"/>
      <c r="FL283" s="714">
        <f t="shared" si="827"/>
        <v>40753</v>
      </c>
      <c r="FM283" s="714">
        <f t="shared" si="828"/>
        <v>40851</v>
      </c>
      <c r="FN283" s="712"/>
      <c r="FO283" s="712"/>
      <c r="FP283" s="712"/>
      <c r="FQ283" s="712"/>
      <c r="FR283" s="712"/>
      <c r="FS283" s="725">
        <f t="shared" si="839"/>
        <v>40603</v>
      </c>
      <c r="FT283" s="714">
        <f t="shared" si="830"/>
        <v>40709</v>
      </c>
      <c r="FU283" s="712">
        <f t="shared" si="839"/>
        <v>6518.9048239895692</v>
      </c>
      <c r="FV283" s="714">
        <f t="shared" si="831"/>
        <v>40722</v>
      </c>
      <c r="FW283" s="712">
        <f t="shared" si="839"/>
        <v>3259.4524119947846</v>
      </c>
      <c r="FX283" s="725">
        <f t="shared" si="839"/>
        <v>40851</v>
      </c>
      <c r="FZ283" s="697">
        <f t="shared" si="824"/>
        <v>0</v>
      </c>
      <c r="GA283" s="712" t="str">
        <f t="shared" si="797"/>
        <v/>
      </c>
      <c r="GB283" s="712">
        <f t="shared" si="798"/>
        <v>0</v>
      </c>
      <c r="GC283" s="712" t="str">
        <f t="shared" si="799"/>
        <v/>
      </c>
      <c r="GD283" s="712">
        <f>IF(GA283="P",Lookup!$M$12,IF(GA283="PP",Lookup!$M$13,IF(GA283="PPP",Lookup!$M$14,IF(GA283="T",Lookup!$M$15,IF(GA283="TP",Lookup!$M$16,IF(GA283="TPP",Lookup!$M$17,IF(GA283="TPPP",Lookup!$M$18,0)))))))*FZ283</f>
        <v>0</v>
      </c>
      <c r="GE283" s="712">
        <f t="shared" si="800"/>
        <v>0</v>
      </c>
      <c r="GF283" s="712">
        <f t="shared" si="801"/>
        <v>1966.2970666666663</v>
      </c>
      <c r="GG283" s="712">
        <f t="shared" si="802"/>
        <v>640.90517166449354</v>
      </c>
      <c r="GH283" s="712"/>
      <c r="GI283" s="712">
        <f t="shared" si="803"/>
        <v>0</v>
      </c>
      <c r="GJ283" s="712" t="str">
        <f t="shared" si="804"/>
        <v/>
      </c>
      <c r="GK283" s="712">
        <f>IF(GA283="P",Lookup!$N$12,IF(GA283="PP",Lookup!$N$13,IF(GA283="PPP",Lookup!$N$14,IF(GA283="T",Lookup!$N$15,IF(GA283="TP",Lookup!$N$16,IF(GA283="TPP",Lookup!$N$17,IF(GA283="TPPP",Lookup!$N$18,0)))))))*FZ283</f>
        <v>0</v>
      </c>
      <c r="GL283" s="712">
        <f t="shared" si="805"/>
        <v>0</v>
      </c>
      <c r="GM283" s="712">
        <f t="shared" si="806"/>
        <v>1554.4055727591219</v>
      </c>
      <c r="GN283" s="712">
        <f t="shared" si="807"/>
        <v>506.6510993347855</v>
      </c>
      <c r="GO283" s="712"/>
      <c r="GP283" s="712">
        <f t="shared" si="808"/>
        <v>0</v>
      </c>
      <c r="GQ283" s="712" t="str">
        <f t="shared" si="809"/>
        <v/>
      </c>
      <c r="GR283" s="712">
        <f>IF(GA283="P",Lookup!$N$12,IF(GA283="PP",Lookup!$N$13,IF(GA283="PPP",Lookup!$N$14,IF(GA283="T",Lookup!$N$15,IF(GA283="TP",Lookup!$N$16,IF(GA283="TPP",Lookup!$N$17,IF(GA283="TPPP",Lookup!$N$18,0)))))))*FZ283</f>
        <v>0</v>
      </c>
      <c r="GS283" s="697">
        <f t="shared" si="825"/>
        <v>0</v>
      </c>
      <c r="GT283" s="712">
        <f t="shared" si="810"/>
        <v>503.35411425601694</v>
      </c>
      <c r="GU283" s="712">
        <f t="shared" si="811"/>
        <v>164.0658781799273</v>
      </c>
      <c r="GV283" s="712"/>
      <c r="GW283" s="712">
        <f t="shared" si="812"/>
        <v>0</v>
      </c>
      <c r="GX283" s="712" t="str">
        <f t="shared" si="813"/>
        <v/>
      </c>
      <c r="GY283" s="712">
        <f>IF(GA283="P",Lookup!$N$12,IF(GA283="PP",Lookup!$N$13,IF(GA283="PPP",Lookup!$N$14,IF(GA283="T",Lookup!$N$15,IF(GA283="TP",Lookup!$N$16,IF(GA283="TPP",Lookup!$N$17,IF(GA283="TPPP",Lookup!$N$18,0)))))))*FZ283</f>
        <v>0</v>
      </c>
      <c r="GZ283" s="697">
        <f t="shared" si="826"/>
        <v>0</v>
      </c>
      <c r="HA283" s="712">
        <f t="shared" si="814"/>
        <v>620.22807840666246</v>
      </c>
      <c r="HB283" s="712">
        <f t="shared" si="815"/>
        <v>202.16039061494865</v>
      </c>
      <c r="HC283" s="712"/>
    </row>
    <row r="284" spans="1:211">
      <c r="A284" s="773" t="s">
        <v>5</v>
      </c>
      <c r="B284" s="708">
        <v>40813</v>
      </c>
      <c r="C284" s="709">
        <v>0.5</v>
      </c>
      <c r="D284" s="675">
        <f t="shared" si="737"/>
        <v>300</v>
      </c>
      <c r="E284" s="675">
        <f t="shared" si="738"/>
        <v>250</v>
      </c>
      <c r="F284" s="675">
        <v>250</v>
      </c>
      <c r="G284" s="712">
        <f>DH284+Sheet1!CV284</f>
        <v>323.34316691760085</v>
      </c>
      <c r="H284" s="712">
        <f t="shared" si="739"/>
        <v>0</v>
      </c>
      <c r="I284" s="711">
        <f>MAX(Sheet1!Z284-AJ284+(Sheet1!CW284-E284)*CFStoMGD,0)</f>
        <v>269.30537317809546</v>
      </c>
      <c r="J284" s="720">
        <f>IF(AND(B284&gt;=Calculation!FS284,B284&lt;=Calculation!FT284),IF(Sheet1!CX284&gt;=Calculation!D284,64.64,0),MAX(Sheet1!Z284-AJ284+(Sheet1!CX284-D284)*CFStoMGD,0))</f>
        <v>168.70937317809546</v>
      </c>
      <c r="K284" s="697">
        <f t="shared" si="740"/>
        <v>0</v>
      </c>
      <c r="L284" s="712">
        <f>Sheet1!AA284+Sheet1!AB284-Sheet1!L284+(Sheet1!CW284-F284)*CFStoMGD</f>
        <v>325.01493333332343</v>
      </c>
      <c r="M284" s="712">
        <f t="shared" si="741"/>
        <v>213.18920355744794</v>
      </c>
      <c r="N284" s="712">
        <f>IF(Sheet1!CW284&gt;=F284,MIN(73,MIN(MAX(L284,0),MAX(M284,0))),0)</f>
        <v>73</v>
      </c>
      <c r="O284" s="721">
        <f>Sheet1!AA284+Sheet1!AB284</f>
        <v>66.629999999990105</v>
      </c>
      <c r="P284" s="721">
        <f t="shared" si="742"/>
        <v>103.07660999998468</v>
      </c>
      <c r="Q284" s="712">
        <f>MIN(N284,Sheet1!AA284+AG284)</f>
        <v>55.549560155230267</v>
      </c>
      <c r="R284" s="712">
        <f t="shared" si="743"/>
        <v>12</v>
      </c>
      <c r="S284" s="721">
        <f>Sheet1!Y284*MGDtoCFS</f>
        <v>56.109690000000001</v>
      </c>
      <c r="T284" s="721">
        <f>Sheet1!Z284*MGDtoCFS</f>
        <v>47.415549999999996</v>
      </c>
      <c r="U284" s="721">
        <f>Sheet1!AA284*MGDtoCFS</f>
        <v>55.413539999988288</v>
      </c>
      <c r="V284" s="721">
        <f>Sheet1!AB284*MGDtoCFS</f>
        <v>47.663069999996395</v>
      </c>
      <c r="W284" s="721">
        <f>Sheet1!L284*MGDtoCFS</f>
        <v>0</v>
      </c>
      <c r="X284" s="697">
        <f t="shared" si="744"/>
        <v>12.024210866752153</v>
      </c>
      <c r="Y284" s="712">
        <f t="shared" si="745"/>
        <v>18.60145421086558</v>
      </c>
      <c r="Z284" s="712">
        <f t="shared" si="746"/>
        <v>0</v>
      </c>
      <c r="AA284" s="712">
        <f t="shared" si="747"/>
        <v>0</v>
      </c>
      <c r="AB284" s="712">
        <f>(VLOOKUP(Sheet1!CY284,hhdcap_wcm,4)-(((VLOOKUP(Sheet1!CY284,hhdcap_wcm,3)-Sheet1!CY284)/(VLOOKUP(Sheet1!CY284,hhdcap_wcm,3)-VLOOKUP(Sheet1!CY284,hhdcap_wcm,1)))*(VLOOKUP(Sheet1!CY284,hhdcap_wcm,4)-VLOOKUP(Sheet1!CY284,hhdcap_wcm,2))))</f>
        <v>25277.11000006078</v>
      </c>
      <c r="AC284" s="712">
        <f t="shared" si="748"/>
        <v>-647.43000000239772</v>
      </c>
      <c r="AD284" s="712">
        <f t="shared" si="749"/>
        <v>1501.758328927403</v>
      </c>
      <c r="AE284" s="712">
        <f t="shared" si="750"/>
        <v>4607.3945531492727</v>
      </c>
      <c r="AF284" s="712">
        <f>Sheet1!BA284+Sheet1!BB284+Sheet1!BN284+BT284</f>
        <v>19.8</v>
      </c>
      <c r="AG284" s="712">
        <f t="shared" si="751"/>
        <v>19.729560155237834</v>
      </c>
      <c r="AH284" s="712">
        <f>Sheet1!BA284+BT284</f>
        <v>0</v>
      </c>
      <c r="AI284" s="712">
        <f>Sheet1!BA284+Sheet1!BB284+BT284</f>
        <v>0</v>
      </c>
      <c r="AJ284" s="712">
        <f>IF((Sheet1!AA284+AG284+AX284+AZ284+BQ284+BS284+CL284+CN284)&lt;=N284,AG284+AX284+AZ284+BQ284+BS284+CL284+CN284,N284-Sheet1!AA284)</f>
        <v>19.729560155237834</v>
      </c>
      <c r="AK284" s="712">
        <f>IF(DR284&lt;K284,0,MAX(Sheet1!AA284+AG284-15/36*K284-N284,Sheet1!ED284,0))</f>
        <v>0</v>
      </c>
      <c r="AL284" s="712">
        <f>IF(OR(B284&gt;=FT284,B284&lt;FS284),0,15/36*K284-MAX(0,64.6-(137.6-(Sheet1!AA284+Sheet1!AB284))))</f>
        <v>0</v>
      </c>
      <c r="AM284" s="712">
        <f>Sheet1!CX284-110</f>
        <v>434.10416666666663</v>
      </c>
      <c r="AN284" s="712">
        <f>Sheet1!CW284-265</f>
        <v>384.72916666666663</v>
      </c>
      <c r="AO284" s="712">
        <f t="shared" si="835"/>
        <v>17.450439844769733</v>
      </c>
      <c r="AP284" s="851">
        <f t="shared" si="752"/>
        <v>0</v>
      </c>
      <c r="AQ284" s="712">
        <f t="shared" si="753"/>
        <v>0</v>
      </c>
      <c r="AR284" s="712">
        <f t="shared" si="754"/>
        <v>640.90517166449354</v>
      </c>
      <c r="AS284" s="712"/>
      <c r="AT284" s="712">
        <f ca="1">IF(B284&gt;Summary!$A$1,#N/A,AR284*MGtoAF)</f>
        <v>1966.2970666666663</v>
      </c>
      <c r="AU284" s="712">
        <f>Sheet1!BG284+Sheet1!BH284+Sheet1!BI284-BC284</f>
        <v>1.06</v>
      </c>
      <c r="AV284" s="712">
        <f t="shared" si="755"/>
        <v>1.0562289780076821</v>
      </c>
      <c r="AW284" s="712">
        <f>IF(Sheet1!EL284="FM",BC284,0)</f>
        <v>0</v>
      </c>
      <c r="AX284" s="712">
        <f t="shared" si="756"/>
        <v>0</v>
      </c>
      <c r="AY284" s="712">
        <f>IF(Sheet1!EL284="OTHER",BC284,0)</f>
        <v>0</v>
      </c>
      <c r="AZ284" s="712">
        <f t="shared" si="757"/>
        <v>0</v>
      </c>
      <c r="BA284" s="712">
        <f t="shared" si="758"/>
        <v>1.06</v>
      </c>
      <c r="BB284" s="712">
        <f t="shared" si="759"/>
        <v>1.0562289780076821</v>
      </c>
      <c r="BC284" s="712">
        <f>IF(OR(Sheet1!EL284="FM", Sheet1!EL284="OTHER"),SUM(Sheet1!BG284:'Sheet1'!BI284),0)</f>
        <v>0</v>
      </c>
      <c r="BD284" s="697">
        <f>IF(AND($B284&gt;=$FL284,$B284&lt;=$FM284),MAX(AV284,Sheet1!EE284,0),MAX(AV284-(7/36)*$K284,0))</f>
        <v>2</v>
      </c>
      <c r="BE284" s="712">
        <f t="shared" si="760"/>
        <v>0</v>
      </c>
      <c r="BF284" s="697">
        <f t="shared" si="761"/>
        <v>0</v>
      </c>
      <c r="BG284" s="697">
        <f>IF(AND($O284&gt;0,Sheet1!EI284=1),(1-($O284-Sheet1!$L284)/$O284)*BB284,0)</f>
        <v>0</v>
      </c>
      <c r="BH284" s="697">
        <f>IF(AND(Sheet1!$L284=0,Sheet1!$L283=0, Calculation!BA284&lt;Sheet1!$EE284-0.1,Sheet1!$EE284=Sheet1!$EE283,Sheet1!$EE284=Sheet1!$EE285),Sheet1!$EE284,BB284-BG284)</f>
        <v>2</v>
      </c>
      <c r="BI284" s="712"/>
      <c r="BJ284" s="712"/>
      <c r="BK284" s="712">
        <f t="shared" si="762"/>
        <v>504.6510993347855</v>
      </c>
      <c r="BL284" s="712"/>
      <c r="BM284" s="712">
        <f ca="1">IF(B284&gt;Summary!$A$1,#N/A,BK284*MGtoAF)</f>
        <v>1548.269572759122</v>
      </c>
      <c r="BN284" s="712">
        <f>Sheet1!BC284+Sheet1!BD284+Sheet1!BE284+Sheet1!BF284-BW284-BX284</f>
        <v>2.52</v>
      </c>
      <c r="BO284" s="712">
        <f t="shared" si="763"/>
        <v>2.5110349288484519</v>
      </c>
      <c r="BP284" s="712">
        <f>IF(Sheet1!EM284="FM",BX284,0)</f>
        <v>0</v>
      </c>
      <c r="BQ284" s="712">
        <f t="shared" si="764"/>
        <v>0</v>
      </c>
      <c r="BR284" s="712">
        <f>IF(Sheet1!EM284="OTHER",BX284,0)</f>
        <v>0</v>
      </c>
      <c r="BS284" s="712">
        <f t="shared" si="765"/>
        <v>0</v>
      </c>
      <c r="BT284" s="712">
        <f t="shared" si="766"/>
        <v>0</v>
      </c>
      <c r="BU284" s="712">
        <f t="shared" si="767"/>
        <v>2.52</v>
      </c>
      <c r="BV284" s="712">
        <f t="shared" si="768"/>
        <v>2.5110349288484519</v>
      </c>
      <c r="BW284" s="712">
        <f>IF(Sheet1!EM284="CWA",SUM(Sheet1!BC284:'Sheet1'!BF284),0)</f>
        <v>0</v>
      </c>
      <c r="BX284" s="712">
        <f>IF(OR(Sheet1!EM284="FM", Sheet1!EM284="OTHER"),SUM(Sheet1!BC284:'Sheet1'!BF284),0)</f>
        <v>0</v>
      </c>
      <c r="BY284" s="697">
        <f>IF(AND($B284&gt;=$FL284,$B284&lt;=$FM284),MAX(BV284,Sheet1!EF284,0),MAX(BV284-(7/36)*$K284,0))</f>
        <v>2.5110349288484519</v>
      </c>
      <c r="BZ284" s="712">
        <f t="shared" si="769"/>
        <v>0</v>
      </c>
      <c r="CA284" s="697">
        <f t="shared" si="770"/>
        <v>0</v>
      </c>
      <c r="CB284" s="697">
        <f>IF(AND($O284&gt;0,Sheet1!EJ284=1),(1-($O284-Sheet1!$L284)/$O284)*BV284,0)</f>
        <v>0</v>
      </c>
      <c r="CC284" s="697">
        <f>IF(AND(Sheet1!$L284=0,Sheet1!$L283=0, Calculation!BU284&lt;Sheet1!EF284-0.1,Sheet1!EF284=Sheet1!EF283,Sheet1!EF284=Sheet1!EF285),Sheet1!EF284,BV284-CB284)</f>
        <v>2.5110349288484519</v>
      </c>
      <c r="CD284" s="697"/>
      <c r="CE284" s="712"/>
      <c r="CF284" s="712">
        <f t="shared" si="771"/>
        <v>161.55484325107884</v>
      </c>
      <c r="CG284" s="712"/>
      <c r="CH284" s="712">
        <f ca="1">IF(B284&gt;Summary!$A$1,#N/A,CF284*MGtoAF)</f>
        <v>495.65025909430989</v>
      </c>
      <c r="CI284" s="712">
        <f>Sheet1!BK284+Sheet1!BL284+Sheet1!BM284-Sheet1!EN284-CQ284</f>
        <v>7.54</v>
      </c>
      <c r="CJ284" s="712">
        <f t="shared" si="772"/>
        <v>7.5131759379037009</v>
      </c>
      <c r="CK284" s="712">
        <f>IF(Sheet1!EN284="FM",CQ284,0)</f>
        <v>0</v>
      </c>
      <c r="CL284" s="712">
        <f t="shared" si="773"/>
        <v>0</v>
      </c>
      <c r="CM284" s="712">
        <f>IF(Sheet1!EN284="OTHER",CQ284,0)</f>
        <v>0</v>
      </c>
      <c r="CN284" s="712">
        <f t="shared" si="774"/>
        <v>0</v>
      </c>
      <c r="CO284" s="712">
        <f t="shared" si="775"/>
        <v>7.54</v>
      </c>
      <c r="CP284" s="712">
        <f t="shared" si="776"/>
        <v>7.5131759379037009</v>
      </c>
      <c r="CQ284" s="712">
        <f>IF(OR(Sheet1!EN284="FM", Sheet1!EN284="OTHER"),SUM(Sheet1!BK284:'Sheet1'!BM284),0)</f>
        <v>0</v>
      </c>
      <c r="CR284" s="697">
        <f>IF(AND($B284&gt;=$FL284,$B284&lt;=$FM284),MAX($CJ284,Sheet1!EG284,0),MAX($CJ284-(7/36)*$K284,0))</f>
        <v>7.5131759379037009</v>
      </c>
      <c r="CS284" s="712">
        <f t="shared" si="777"/>
        <v>0</v>
      </c>
      <c r="CT284" s="697">
        <f t="shared" si="778"/>
        <v>0</v>
      </c>
      <c r="CU284" s="697">
        <f>IF(AND($O284&gt;0,Sheet1!EK284=1),(1-($O284-Sheet1!$L284)/$O284)*CP284,0)</f>
        <v>0</v>
      </c>
      <c r="CV284" s="697">
        <f>IF(AND(Sheet1!$L284=0,Sheet1!$L283=0, Calculation!CO284&lt;Sheet1!$EG284-0.1,Sheet1!$EG284=Sheet1!$EG283,Sheet1!$EG284=Sheet1!$EG285),Sheet1!$EG284,CP284-CU284)</f>
        <v>7.5131759379037009</v>
      </c>
      <c r="CW284" s="697">
        <f t="shared" si="837"/>
        <v>0</v>
      </c>
      <c r="CX284" s="712">
        <f t="shared" si="779"/>
        <v>11.120000000000001</v>
      </c>
      <c r="CY284" s="712">
        <f t="shared" si="780"/>
        <v>194.64721467704496</v>
      </c>
      <c r="CZ284" s="712">
        <f t="shared" si="781"/>
        <v>11.080439844759834</v>
      </c>
      <c r="DA284" s="712">
        <f ca="1">IF(B284&gt;Summary!$A$1,#N/A,CY284*MGtoAF)</f>
        <v>597.17765462917396</v>
      </c>
      <c r="DB284" s="712">
        <f t="shared" si="782"/>
        <v>11.120000000000001</v>
      </c>
      <c r="DC284" s="712">
        <f t="shared" si="783"/>
        <v>30.92</v>
      </c>
      <c r="DD284" s="712">
        <f>Sheet1!AB284-DC284</f>
        <v>-0.11000000000233001</v>
      </c>
      <c r="DE284" s="712">
        <f t="shared" si="784"/>
        <v>-3.5575679172810482E-3</v>
      </c>
      <c r="DF284" s="712">
        <f>(VLOOKUP(Sheet1!CY284,hhdcap_wcm,4)-(((VLOOKUP(Sheet1!CY284,hhdcap_wcm,3)-Sheet1!CY284)/(VLOOKUP(Sheet1!CY284,hhdcap_wcm,3)-VLOOKUP(Sheet1!CY284,hhdcap_wcm,1)))*(VLOOKUP(Sheet1!CY284,hhdcap_wcm,4)-VLOOKUP(Sheet1!CY284,hhdcap_wcm,2))))</f>
        <v>25277.11000006078</v>
      </c>
      <c r="DG284" s="712">
        <f t="shared" si="785"/>
        <v>-647.43000000239772</v>
      </c>
      <c r="DH284" s="712">
        <f t="shared" si="786"/>
        <v>-326.49016641573252</v>
      </c>
      <c r="DI284" s="712">
        <f>Sheet1!DW284*AFtoMG</f>
        <v>0</v>
      </c>
      <c r="DJ284" s="712">
        <f>Sheet1!DX284*AFtoMG</f>
        <v>0</v>
      </c>
      <c r="DK284" s="712">
        <f>Sheet1!DY284*AFtoMG</f>
        <v>0</v>
      </c>
      <c r="DL284" s="712">
        <f>Sheet1!DZ284*AFtoMG</f>
        <v>0</v>
      </c>
      <c r="DM284" s="712">
        <f t="shared" si="787"/>
        <v>0</v>
      </c>
      <c r="DN284" s="712">
        <f t="shared" si="788"/>
        <v>0</v>
      </c>
      <c r="DO284" s="712">
        <f t="shared" si="789"/>
        <v>1501.758328927403</v>
      </c>
      <c r="DP284" s="712">
        <f t="shared" si="790"/>
        <v>4607.3945531492727</v>
      </c>
      <c r="DQ284" s="712"/>
      <c r="DR284" s="697">
        <f>IF(OR(B284&lt;FL284,B284&gt;FM284),(MIN(AV284+BO284+CJ284+MAX(Sheet1!AA284+AG284-73,0),K284)),0)</f>
        <v>0</v>
      </c>
      <c r="DS284" s="712"/>
      <c r="DT284" s="712">
        <f t="shared" si="791"/>
        <v>11.080439844759834</v>
      </c>
      <c r="DU284" s="712"/>
      <c r="DV284" s="712">
        <f>Sheet1!ED284+Sheet1!EE284+Sheet1!EF284+Sheet1!EG284</f>
        <v>12</v>
      </c>
      <c r="DW284" s="712"/>
      <c r="DX284" s="697">
        <f t="shared" si="792"/>
        <v>0</v>
      </c>
      <c r="DY284" s="712">
        <f>IF(Sheet1!FN284=1,SUM('Calculations II'!AT284:BA284)+'Calculations II'!BC284+Sheet1!BU284+'Calculations II'!BE284+AF284,SUM('Calculations II'!AT284:BA284)+'Calculations II'!BC284+Sheet1!BU284+'Calculations II'!BE284+AF284)</f>
        <v>51.893519999999995</v>
      </c>
      <c r="DZ284" s="712">
        <f>Sheet1!AA284+Sheet1!AB284+'Calculations II'!BC284</f>
        <v>66.629999999990105</v>
      </c>
      <c r="EA284" s="712"/>
      <c r="EB284" s="712"/>
      <c r="EC284" s="712">
        <f t="shared" si="793"/>
        <v>40813</v>
      </c>
      <c r="ED284" s="712">
        <f t="shared" si="794"/>
        <v>-12.024210866752153</v>
      </c>
      <c r="EE284" s="712">
        <f t="shared" si="795"/>
        <v>-18.60145421086558</v>
      </c>
      <c r="EF284" s="712">
        <f ca="1">IF(B284=TODAY(),0,-(VLOOKUP(Sheet1!BQ284,Lookup!$B$4:$J$236,2)-VLOOKUP(Sheet1!BQ283,Lookup!$B$4:$J$236,2))/1000000)</f>
        <v>-1.9166000000000001</v>
      </c>
      <c r="EG284" s="712">
        <f ca="1">IF(B284=TODAY(),0,-(VLOOKUP(Sheet1!BR284,Lookup!$B$4:$J$236,3)-VLOOKUP(Sheet1!BR283,Lookup!$B$4:$J$236,3))/1000000)</f>
        <v>-1.9137999999999999</v>
      </c>
      <c r="EH284" s="712">
        <f>-(VLOOKUP(Sheet1!BS284,Lookup!$B$4:$J$236,4)-VLOOKUP(Sheet1!BS283,Lookup!$B$4:$J$236,4))/1000000</f>
        <v>0</v>
      </c>
      <c r="EI284" s="697">
        <f t="shared" ca="1" si="819"/>
        <v>-3.8304</v>
      </c>
      <c r="EJ284" s="712"/>
      <c r="EK284" s="712"/>
      <c r="EL284" s="712"/>
      <c r="EM284" s="712"/>
      <c r="EN284" s="712"/>
      <c r="EO284" s="712"/>
      <c r="EP284" s="712"/>
      <c r="EQ284" s="712"/>
      <c r="ER284" s="697">
        <f t="shared" si="833"/>
        <v>6739.5103948431861</v>
      </c>
      <c r="ES284" s="712">
        <f t="shared" si="834"/>
        <v>494.60320240263491</v>
      </c>
      <c r="ET284" s="794">
        <f t="shared" si="818"/>
        <v>1123.0999999999999</v>
      </c>
      <c r="EU284" s="794" t="e">
        <f t="shared" si="838"/>
        <v>#N/A</v>
      </c>
      <c r="EV284" s="795" t="e">
        <f t="shared" si="836"/>
        <v>#N/A</v>
      </c>
      <c r="EW284" s="796" t="s">
        <v>757</v>
      </c>
      <c r="EX284" s="796" t="s">
        <v>757</v>
      </c>
      <c r="EY284" s="794" t="e">
        <v>#N/A</v>
      </c>
      <c r="EZ284" s="798">
        <v>14416.400000030113</v>
      </c>
      <c r="FA284" s="712"/>
      <c r="FB284" s="712"/>
      <c r="FC284" s="712"/>
      <c r="FD284" s="712"/>
      <c r="FE284" s="712">
        <f>O284+Sheet1!CO284</f>
        <v>66.629999999990105</v>
      </c>
      <c r="FF284" s="712">
        <f>IF(Sheet1!AA284+AG284&lt;=Calculation!N284,AG284,Calculation!N284-Sheet1!AA284)</f>
        <v>19.729560155237834</v>
      </c>
      <c r="FG284" s="712">
        <f>(Sheet1!BP284+Sheet1!BO284)/694.4</f>
        <v>2.2031970046082949</v>
      </c>
      <c r="FH284" s="712"/>
      <c r="FI284" s="712"/>
      <c r="FJ284" s="712"/>
      <c r="FK284" s="712"/>
      <c r="FL284" s="714">
        <f t="shared" si="827"/>
        <v>40753</v>
      </c>
      <c r="FM284" s="714">
        <f t="shared" si="828"/>
        <v>40851</v>
      </c>
      <c r="FN284" s="712"/>
      <c r="FO284" s="712"/>
      <c r="FP284" s="712"/>
      <c r="FQ284" s="712"/>
      <c r="FR284" s="712"/>
      <c r="FS284" s="725">
        <f t="shared" si="839"/>
        <v>40603</v>
      </c>
      <c r="FT284" s="714">
        <f t="shared" si="830"/>
        <v>40709</v>
      </c>
      <c r="FU284" s="712">
        <f t="shared" si="839"/>
        <v>6518.9048239895692</v>
      </c>
      <c r="FV284" s="714">
        <f t="shared" si="831"/>
        <v>40722</v>
      </c>
      <c r="FW284" s="712">
        <f t="shared" si="839"/>
        <v>3259.4524119947846</v>
      </c>
      <c r="FX284" s="725">
        <f t="shared" si="839"/>
        <v>40851</v>
      </c>
      <c r="FZ284" s="697">
        <f t="shared" si="824"/>
        <v>0</v>
      </c>
      <c r="GA284" s="712" t="str">
        <f t="shared" si="797"/>
        <v/>
      </c>
      <c r="GB284" s="712">
        <f t="shared" si="798"/>
        <v>0</v>
      </c>
      <c r="GC284" s="712" t="str">
        <f t="shared" si="799"/>
        <v/>
      </c>
      <c r="GD284" s="712">
        <f>IF(GA284="P",Lookup!$M$12,IF(GA284="PP",Lookup!$M$13,IF(GA284="PPP",Lookup!$M$14,IF(GA284="T",Lookup!$M$15,IF(GA284="TP",Lookup!$M$16,IF(GA284="TPP",Lookup!$M$17,IF(GA284="TPPP",Lookup!$M$18,0)))))))*FZ284</f>
        <v>0</v>
      </c>
      <c r="GE284" s="712">
        <f t="shared" si="800"/>
        <v>0</v>
      </c>
      <c r="GF284" s="712">
        <f t="shared" si="801"/>
        <v>1966.2970666666663</v>
      </c>
      <c r="GG284" s="712">
        <f t="shared" si="802"/>
        <v>640.90517166449354</v>
      </c>
      <c r="GH284" s="712"/>
      <c r="GI284" s="712">
        <f t="shared" si="803"/>
        <v>0</v>
      </c>
      <c r="GJ284" s="712" t="str">
        <f t="shared" si="804"/>
        <v/>
      </c>
      <c r="GK284" s="712">
        <f>IF(GA284="P",Lookup!$N$12,IF(GA284="PP",Lookup!$N$13,IF(GA284="PPP",Lookup!$N$14,IF(GA284="T",Lookup!$N$15,IF(GA284="TP",Lookup!$N$16,IF(GA284="TPP",Lookup!$N$17,IF(GA284="TPPP",Lookup!$N$18,0)))))))*FZ284</f>
        <v>0</v>
      </c>
      <c r="GL284" s="712">
        <f t="shared" si="805"/>
        <v>0</v>
      </c>
      <c r="GM284" s="712">
        <f t="shared" si="806"/>
        <v>1548.269572759122</v>
      </c>
      <c r="GN284" s="712">
        <f t="shared" si="807"/>
        <v>504.6510993347855</v>
      </c>
      <c r="GO284" s="712"/>
      <c r="GP284" s="712">
        <f t="shared" si="808"/>
        <v>0</v>
      </c>
      <c r="GQ284" s="712" t="str">
        <f t="shared" si="809"/>
        <v/>
      </c>
      <c r="GR284" s="712">
        <f>IF(GA284="P",Lookup!$N$12,IF(GA284="PP",Lookup!$N$13,IF(GA284="PPP",Lookup!$N$14,IF(GA284="T",Lookup!$N$15,IF(GA284="TP",Lookup!$N$16,IF(GA284="TPP",Lookup!$N$17,IF(GA284="TPPP",Lookup!$N$18,0)))))))*FZ284</f>
        <v>0</v>
      </c>
      <c r="GS284" s="697">
        <f t="shared" si="825"/>
        <v>0</v>
      </c>
      <c r="GT284" s="712">
        <f t="shared" si="810"/>
        <v>495.65025909430989</v>
      </c>
      <c r="GU284" s="712">
        <f t="shared" si="811"/>
        <v>161.55484325107884</v>
      </c>
      <c r="GV284" s="712"/>
      <c r="GW284" s="712">
        <f t="shared" si="812"/>
        <v>0</v>
      </c>
      <c r="GX284" s="712" t="str">
        <f t="shared" si="813"/>
        <v/>
      </c>
      <c r="GY284" s="712">
        <f>IF(GA284="P",Lookup!$N$12,IF(GA284="PP",Lookup!$N$13,IF(GA284="PPP",Lookup!$N$14,IF(GA284="T",Lookup!$N$15,IF(GA284="TP",Lookup!$N$16,IF(GA284="TPP",Lookup!$N$17,IF(GA284="TPPP",Lookup!$N$18,0)))))))*FZ284</f>
        <v>0</v>
      </c>
      <c r="GZ284" s="697">
        <f t="shared" si="826"/>
        <v>0</v>
      </c>
      <c r="HA284" s="712">
        <f t="shared" si="814"/>
        <v>597.17765462917396</v>
      </c>
      <c r="HB284" s="712">
        <f t="shared" si="815"/>
        <v>194.64721467704496</v>
      </c>
      <c r="HC284" s="712"/>
    </row>
    <row r="285" spans="1:211">
      <c r="A285" s="773" t="s">
        <v>6</v>
      </c>
      <c r="B285" s="708">
        <v>40814</v>
      </c>
      <c r="C285" s="719">
        <v>0.5</v>
      </c>
      <c r="D285" s="675">
        <f t="shared" ref="D285:D348" si="840">IF(AND(B285&gt;=DATE($A$1,7,15),B285&lt;=DATE($A$1,9,15)),200,300)</f>
        <v>300</v>
      </c>
      <c r="E285" s="675">
        <f t="shared" ref="E285:E348" si="841">IF(AND(B285&gt;=DATE($A$1,7,15),B285&lt;=DATE($A$1,9,15)),400,250)</f>
        <v>250</v>
      </c>
      <c r="F285" s="675">
        <v>250</v>
      </c>
      <c r="G285" s="712">
        <f>DH285+Sheet1!CV285</f>
        <v>254.28120272203688</v>
      </c>
      <c r="H285" s="712">
        <f t="shared" ref="H285:H348" si="842">MAX((G285-113-D285)*CFStoMGD,0)</f>
        <v>0</v>
      </c>
      <c r="I285" s="711">
        <f>MAX(Sheet1!Z285-AJ285+(Sheet1!CW285-E285)*CFStoMGD,0)</f>
        <v>324.66512764504972</v>
      </c>
      <c r="J285" s="720">
        <f>IF(AND(B285&gt;=Calculation!FS285,B285&lt;=Calculation!FT285),IF(Sheet1!CX285&gt;=Calculation!D285,64.64,0),MAX(Sheet1!Z285-AJ285+(Sheet1!CX285-D285)*CFStoMGD,0))</f>
        <v>183.04292764504976</v>
      </c>
      <c r="K285" s="697">
        <f t="shared" ref="K285:K348" si="843">MAX(MIN(H285:J285,64.64),0)</f>
        <v>0</v>
      </c>
      <c r="L285" s="712">
        <f>Sheet1!AA285+Sheet1!AB285-Sheet1!L285+(Sheet1!CW285-F285)*CFStoMGD</f>
        <v>375.83680000000697</v>
      </c>
      <c r="M285" s="712">
        <f t="shared" ref="M285:M348" si="844">1.02*CFStoMGD*G285</f>
        <v>167.65471682831514</v>
      </c>
      <c r="N285" s="712">
        <f>IF(Sheet1!CW285&gt;=F285,MIN(73,MIN(MAX(L285,0),MAX(M285,0))),0)</f>
        <v>73</v>
      </c>
      <c r="O285" s="721">
        <f>Sheet1!AA285+Sheet1!AB285</f>
        <v>64.070000000006985</v>
      </c>
      <c r="P285" s="721">
        <f t="shared" ref="P285:P348" si="845">U285+V285</f>
        <v>99.116290000010792</v>
      </c>
      <c r="Q285" s="712">
        <f>MIN(N285,Sheet1!AA285+AG285)</f>
        <v>53.011672354954911</v>
      </c>
      <c r="R285" s="712">
        <f t="shared" ref="R285:R348" si="846">IF(AND(B285&gt;=FV285,B285&lt;=FX285),MAX(DR285,DV285),DR285)</f>
        <v>12</v>
      </c>
      <c r="S285" s="721">
        <f>Sheet1!Y285*MGDtoCFS</f>
        <v>55.939519999999995</v>
      </c>
      <c r="T285" s="721">
        <f>Sheet1!Z285*MGDtoCFS</f>
        <v>48.003410000000002</v>
      </c>
      <c r="U285" s="721">
        <f>Sheet1!AA285*MGDtoCFS</f>
        <v>53.959360000007202</v>
      </c>
      <c r="V285" s="721">
        <f>Sheet1!AB285*MGDtoCFS</f>
        <v>45.156930000003598</v>
      </c>
      <c r="W285" s="721">
        <f>Sheet1!L285*MGDtoCFS</f>
        <v>0</v>
      </c>
      <c r="X285" s="697">
        <f t="shared" ref="X285:X348" si="847">AK285+BD285+BY285+CR285</f>
        <v>12.011692832765105</v>
      </c>
      <c r="Y285" s="712">
        <f t="shared" ref="Y285:Y348" si="848">X285*MGDtoCFS</f>
        <v>18.582088812287616</v>
      </c>
      <c r="Z285" s="712">
        <f t="shared" ref="Z285:Z348" si="849">IF(B285&gt;=FS285,IF(B285&lt;=FT285,K285-DR285,0),0)</f>
        <v>0</v>
      </c>
      <c r="AA285" s="712">
        <f t="shared" ref="AA285:AA348" si="850">Z285*MGDtoCFS</f>
        <v>0</v>
      </c>
      <c r="AB285" s="712">
        <f>(VLOOKUP(Sheet1!CY285,hhdcap_wcm,4)-(((VLOOKUP(Sheet1!CY285,hhdcap_wcm,3)-Sheet1!CY285)/(VLOOKUP(Sheet1!CY285,hhdcap_wcm,3)-VLOOKUP(Sheet1!CY285,hhdcap_wcm,1)))*(VLOOKUP(Sheet1!CY285,hhdcap_wcm,4)-VLOOKUP(Sheet1!CY285,hhdcap_wcm,2))))</f>
        <v>24467.860000058579</v>
      </c>
      <c r="AC285" s="712">
        <f t="shared" ref="AC285:AC348" si="851">AB285-AB284</f>
        <v>-809.25000000220098</v>
      </c>
      <c r="AD285" s="712">
        <f t="shared" ref="AD285:AD348" si="852">(IF(AND(B285&gt;=FS285,B285&lt;FV285),MIN(AR285+BK285+CF285+CY285,FU285),IF(B285=FV285,FW285,IF(AND(B285&gt;FV285,B285&lt;FX285),AR285+BK285+CF285+CY285,IF(B285&gt;=FX285,0,0)))))</f>
        <v>1489.7466360946378</v>
      </c>
      <c r="AE285" s="712">
        <f t="shared" ref="AE285:AE348" si="853">AD285*MGtoAF</f>
        <v>4570.5426795383491</v>
      </c>
      <c r="AF285" s="712">
        <f>Sheet1!BA285+Sheet1!BB285+Sheet1!BN285+BT285</f>
        <v>18.2</v>
      </c>
      <c r="AG285" s="712">
        <f t="shared" ref="AG285:AG348" si="854">AF285+(DE285*AF285)</f>
        <v>18.131672354950254</v>
      </c>
      <c r="AH285" s="712">
        <f>Sheet1!BA285+BT285</f>
        <v>0</v>
      </c>
      <c r="AI285" s="712">
        <f>Sheet1!BA285+Sheet1!BB285+BT285</f>
        <v>0</v>
      </c>
      <c r="AJ285" s="712">
        <f>IF((Sheet1!AA285+AG285+AX285+AZ285+BQ285+BS285+CL285+CN285)&lt;=N285,AG285+AX285+AZ285+BQ285+BS285+CL285+CN285,N285-Sheet1!AA285)</f>
        <v>18.131672354950254</v>
      </c>
      <c r="AK285" s="712">
        <f>IF(DR285&lt;K285,0,MAX(Sheet1!AA285+AG285-15/36*K285-N285,Sheet1!ED285,0))</f>
        <v>0</v>
      </c>
      <c r="AL285" s="712">
        <f>IF(OR(B285&gt;=FT285,B285&lt;FS285),0,15/36*K285-MAX(0,64.6-(137.6-(Sheet1!AA285+Sheet1!AB285))))</f>
        <v>0</v>
      </c>
      <c r="AM285" s="712">
        <f>Sheet1!CX285-110</f>
        <v>453.21875</v>
      </c>
      <c r="AN285" s="712">
        <f>Sheet1!CW285-265</f>
        <v>467.3125</v>
      </c>
      <c r="AO285" s="712">
        <f t="shared" si="835"/>
        <v>19.988327645045089</v>
      </c>
      <c r="AP285" s="712">
        <f t="shared" ref="AP285:AP348" si="855">IF(OR(AM285-AN285-(AO285*1.547)&lt;0,AN285&gt;350),0,AM285-AN285-(AO285*1.547))</f>
        <v>0</v>
      </c>
      <c r="AQ285" s="712">
        <f t="shared" ref="AQ285:AQ348" si="856">IF(AP285&lt;=0,0,AP285/1.547)</f>
        <v>0</v>
      </c>
      <c r="AR285" s="712">
        <f t="shared" ref="AR285:AR348" si="857">GE285+GG285</f>
        <v>640.90517166449354</v>
      </c>
      <c r="AS285" s="712"/>
      <c r="AT285" s="712">
        <f ca="1">IF(B285&gt;Summary!$A$1,#N/A,AR285*MGtoAF)</f>
        <v>1966.2970666666663</v>
      </c>
      <c r="AU285" s="712">
        <f>Sheet1!BG285+Sheet1!BH285+Sheet1!BI285-BC285</f>
        <v>1.06</v>
      </c>
      <c r="AV285" s="712">
        <f t="shared" ref="AV285:AV348" si="858">AU285+(DE285*AU285)</f>
        <v>1.056020477815784</v>
      </c>
      <c r="AW285" s="712">
        <f>IF(Sheet1!EL285="FM",BC285,0)</f>
        <v>0</v>
      </c>
      <c r="AX285" s="712">
        <f t="shared" ref="AX285:AX348" si="859">AW285+(DE285*AW285)</f>
        <v>0</v>
      </c>
      <c r="AY285" s="712">
        <f>IF(Sheet1!EL285="OTHER",BC285,0)</f>
        <v>0</v>
      </c>
      <c r="AZ285" s="712">
        <f t="shared" ref="AZ285:AZ348" si="860">AY285+(DE285*AY285)</f>
        <v>0</v>
      </c>
      <c r="BA285" s="712">
        <f t="shared" ref="BA285:BA348" si="861">MAX(AU285,AW285,AY285)</f>
        <v>1.06</v>
      </c>
      <c r="BB285" s="712">
        <f t="shared" ref="BB285:BB348" si="862">MAX(AV285,AX285,AZ285)</f>
        <v>1.056020477815784</v>
      </c>
      <c r="BC285" s="712">
        <f>IF(OR(Sheet1!EL285="FM", Sheet1!EL285="OTHER"),SUM(Sheet1!BG285:'Sheet1'!BI285),0)</f>
        <v>0</v>
      </c>
      <c r="BD285" s="697">
        <f>IF(AND($B285&gt;=$FL285,$B285&lt;=$FM285),MAX(AV285,Sheet1!EE285,0),MAX(AV285-(7/36)*$K285,0))</f>
        <v>2</v>
      </c>
      <c r="BE285" s="712">
        <f t="shared" ref="BE285:BE348" si="863">IF(B285&gt;=FS285,IF(B285&lt;=FT285,(7/36)*K285-AV285,0),0)</f>
        <v>0</v>
      </c>
      <c r="BF285" s="697">
        <f t="shared" ref="BF285:BF348" si="864">MAX(BB285-BD285,0)</f>
        <v>0</v>
      </c>
      <c r="BG285" s="697">
        <f>IF(AND($O285&gt;0,Sheet1!EI285=1),(1-($O285-Sheet1!$L285)/$O285)*BB285,0)</f>
        <v>0</v>
      </c>
      <c r="BH285" s="697">
        <f>IF(AND(Sheet1!$L285=0,Sheet1!$L284=0, Calculation!BA285&lt;Sheet1!$EE285-0.1,Sheet1!$EE285=Sheet1!$EE284,Sheet1!$EE285=Sheet1!$EE286),Sheet1!$EE285,BB285-BG285)</f>
        <v>2</v>
      </c>
      <c r="BI285" s="712"/>
      <c r="BJ285" s="712"/>
      <c r="BK285" s="712">
        <f t="shared" ref="BK285:BK348" si="865">GL285+GN285</f>
        <v>502.6510993347855</v>
      </c>
      <c r="BL285" s="712"/>
      <c r="BM285" s="712">
        <f ca="1">IF(B285&gt;Summary!$A$1,#N/A,BK285*MGtoAF)</f>
        <v>1542.133572759122</v>
      </c>
      <c r="BN285" s="712">
        <f>Sheet1!BC285+Sheet1!BD285+Sheet1!BE285+Sheet1!BF285-BW285-BX285</f>
        <v>2.5</v>
      </c>
      <c r="BO285" s="712">
        <f t="shared" ref="BO285:BO348" si="866">BN285+(DE285*BN285)</f>
        <v>2.4906143344711889</v>
      </c>
      <c r="BP285" s="712">
        <f>IF(Sheet1!EM285="FM",BX285,0)</f>
        <v>0</v>
      </c>
      <c r="BQ285" s="712">
        <f t="shared" ref="BQ285:BQ348" si="867">BP285+(DE285*BP285)</f>
        <v>0</v>
      </c>
      <c r="BR285" s="712">
        <f>IF(Sheet1!EM285="OTHER",BX285,0)</f>
        <v>0</v>
      </c>
      <c r="BS285" s="712">
        <f t="shared" ref="BS285:BS348" si="868">BR285+(DE285*BR285)</f>
        <v>0</v>
      </c>
      <c r="BT285" s="712">
        <f t="shared" ref="BT285:BT348" si="869">BW285</f>
        <v>0</v>
      </c>
      <c r="BU285" s="712">
        <f t="shared" ref="BU285:BU348" si="870">MAX(BN285,BP285,BR285)</f>
        <v>2.5</v>
      </c>
      <c r="BV285" s="712">
        <f t="shared" ref="BV285:BV348" si="871">MAX(BO285,BQ285, BS285)</f>
        <v>2.4906143344711889</v>
      </c>
      <c r="BW285" s="712">
        <f>IF(Sheet1!EM285="CWA",SUM(Sheet1!BC285:'Sheet1'!BF285),0)</f>
        <v>0</v>
      </c>
      <c r="BX285" s="712">
        <f>IF(OR(Sheet1!EM285="FM", Sheet1!EM285="OTHER"),SUM(Sheet1!BC285:'Sheet1'!BF285),0)</f>
        <v>0</v>
      </c>
      <c r="BY285" s="697">
        <f>IF(AND($B285&gt;=$FL285,$B285&lt;=$FM285),MAX(BV285,Sheet1!EF285,0),MAX(BV285-(7/36)*$K285,0))</f>
        <v>2.5</v>
      </c>
      <c r="BZ285" s="712">
        <f t="shared" ref="BZ285:BZ348" si="872">IF(B285&gt;=FS285,IF(B285&lt;=FT285,(7/36)*K285-BO285,0),0)</f>
        <v>0</v>
      </c>
      <c r="CA285" s="697">
        <f t="shared" ref="CA285:CA348" si="873">MAX(BV285-BY285,0)</f>
        <v>0</v>
      </c>
      <c r="CB285" s="697">
        <f>IF(AND($O285&gt;0,Sheet1!EJ285=1),(1-($O285-Sheet1!$L285)/$O285)*BV285,0)</f>
        <v>0</v>
      </c>
      <c r="CC285" s="697">
        <f>IF(AND(Sheet1!$L285=0,Sheet1!$L284=0, Calculation!BU285&lt;Sheet1!EF285-0.1,Sheet1!EF285=Sheet1!EF284,Sheet1!EF285=Sheet1!EF286),Sheet1!EF285,BV285-CB285)</f>
        <v>2.4906143344711889</v>
      </c>
      <c r="CD285" s="697"/>
      <c r="CE285" s="712"/>
      <c r="CF285" s="712">
        <f t="shared" ref="CF285:CF348" si="874">GS285+GU285</f>
        <v>159.05484325107884</v>
      </c>
      <c r="CG285" s="712"/>
      <c r="CH285" s="712">
        <f ca="1">IF(B285&gt;Summary!$A$1,#N/A,CF285*MGtoAF)</f>
        <v>487.98025909430987</v>
      </c>
      <c r="CI285" s="712">
        <f>Sheet1!BK285+Sheet1!BL285+Sheet1!BM285-Sheet1!EN285-CQ285</f>
        <v>7.54</v>
      </c>
      <c r="CJ285" s="712">
        <f t="shared" ref="CJ285:CJ348" si="875">CI285+(DE285*CI285)</f>
        <v>7.5116928327651049</v>
      </c>
      <c r="CK285" s="712">
        <f>IF(Sheet1!EN285="FM",CQ285,0)</f>
        <v>0</v>
      </c>
      <c r="CL285" s="712">
        <f t="shared" ref="CL285:CL348" si="876">CK285+(DE285*CK285)</f>
        <v>0</v>
      </c>
      <c r="CM285" s="712">
        <f>IF(Sheet1!EN285="OTHER",CQ285,0)</f>
        <v>0</v>
      </c>
      <c r="CN285" s="712">
        <f t="shared" ref="CN285:CN348" si="877">CM285+(DE285*CM285)</f>
        <v>0</v>
      </c>
      <c r="CO285" s="712">
        <f t="shared" ref="CO285:CO348" si="878">MAX(CI285,CK285)</f>
        <v>7.54</v>
      </c>
      <c r="CP285" s="712">
        <f t="shared" ref="CP285:CP348" si="879">MAX(CJ285,CL285)</f>
        <v>7.5116928327651049</v>
      </c>
      <c r="CQ285" s="712">
        <f>IF(OR(Sheet1!EN285="FM", Sheet1!EN285="OTHER"),SUM(Sheet1!BK285:'Sheet1'!BM285),0)</f>
        <v>0</v>
      </c>
      <c r="CR285" s="697">
        <f>IF(AND($B285&gt;=$FL285,$B285&lt;=$FM285),MAX($CJ285,Sheet1!EG285,0),MAX($CJ285-(7/36)*$K285,0))</f>
        <v>7.5116928327651049</v>
      </c>
      <c r="CS285" s="712">
        <f t="shared" ref="CS285:CS348" si="880">IF(B285&gt;=FS285,IF(B285&lt;=FT285,(7/36)*K285-CJ285,0),0)</f>
        <v>0</v>
      </c>
      <c r="CT285" s="697">
        <f t="shared" ref="CT285:CT348" si="881">MAX(CP285-CR285,0)</f>
        <v>0</v>
      </c>
      <c r="CU285" s="697">
        <f>IF(AND($O285&gt;0,Sheet1!EK285=1),(1-($O285-Sheet1!$L285)/$O285)*CP285,0)</f>
        <v>0</v>
      </c>
      <c r="CV285" s="697">
        <f>IF(AND(Sheet1!$L285=0,Sheet1!$L284=0, Calculation!CO285&lt;Sheet1!$EG285-0.1,Sheet1!$EG285=Sheet1!$EG284,Sheet1!$EG285=Sheet1!$EG286),Sheet1!$EG285,CP285-CU285)</f>
        <v>7.5116928327651049</v>
      </c>
      <c r="CW285" s="697">
        <f t="shared" si="837"/>
        <v>0</v>
      </c>
      <c r="CX285" s="712">
        <f t="shared" ref="CX285:CX348" si="882">BA285+BU285+CO285</f>
        <v>11.1</v>
      </c>
      <c r="CY285" s="712">
        <f t="shared" ref="CY285:CY348" si="883">GZ285+HB285</f>
        <v>187.13552184427985</v>
      </c>
      <c r="CZ285" s="712">
        <f t="shared" ref="CZ285:CZ348" si="884">BB285+BV285+CP285</f>
        <v>11.058327645052078</v>
      </c>
      <c r="DA285" s="712">
        <f ca="1">IF(B285&gt;Summary!$A$1,#N/A,CY285*MGtoAF)</f>
        <v>574.13178101825054</v>
      </c>
      <c r="DB285" s="712">
        <f t="shared" ref="DB285:DB348" si="885">CO285+BU285+BA285</f>
        <v>11.1</v>
      </c>
      <c r="DC285" s="712">
        <f t="shared" ref="DC285:DC348" si="886">DB285+AF285</f>
        <v>29.299999999999997</v>
      </c>
      <c r="DD285" s="712">
        <f>Sheet1!AB285-DC285</f>
        <v>-0.10999999999766885</v>
      </c>
      <c r="DE285" s="712">
        <f t="shared" ref="DE285:DE348" si="887">IF(DC285=0,0,DD285/DC285)</f>
        <v>-3.7542662115245345E-3</v>
      </c>
      <c r="DF285" s="712">
        <f>(VLOOKUP(Sheet1!CY285,hhdcap_wcm,4)-(((VLOOKUP(Sheet1!CY285,hhdcap_wcm,3)-Sheet1!CY285)/(VLOOKUP(Sheet1!CY285,hhdcap_wcm,3)-VLOOKUP(Sheet1!CY285,hhdcap_wcm,1)))*(VLOOKUP(Sheet1!CY285,hhdcap_wcm,4)-VLOOKUP(Sheet1!CY285,hhdcap_wcm,2))))</f>
        <v>24467.860000058579</v>
      </c>
      <c r="DG285" s="712">
        <f t="shared" ref="DG285:DG348" si="888">DF285-DF284</f>
        <v>-809.25000000220098</v>
      </c>
      <c r="DH285" s="712">
        <f t="shared" ref="DH285:DH348" si="889">DG285*AFtoCFS</f>
        <v>-408.09379727796312</v>
      </c>
      <c r="DI285" s="712">
        <f>Sheet1!DW285*AFtoMG</f>
        <v>0</v>
      </c>
      <c r="DJ285" s="712">
        <f>Sheet1!DX285*AFtoMG</f>
        <v>0</v>
      </c>
      <c r="DK285" s="712">
        <f>Sheet1!DY285*AFtoMG</f>
        <v>0</v>
      </c>
      <c r="DL285" s="712">
        <f>Sheet1!DZ285*AFtoMG</f>
        <v>0</v>
      </c>
      <c r="DM285" s="712">
        <f t="shared" ref="DM285:DM348" si="890">SUM(DI285:DL285)</f>
        <v>0</v>
      </c>
      <c r="DN285" s="712">
        <f t="shared" ref="DN285:DN348" si="891">DM285*MGtoAF</f>
        <v>0</v>
      </c>
      <c r="DO285" s="712">
        <f t="shared" ref="DO285:DO348" si="892">AD285</f>
        <v>1489.7466360946378</v>
      </c>
      <c r="DP285" s="712">
        <f t="shared" ref="DP285:DP348" si="893">DO285*MGtoAF</f>
        <v>4570.5426795383491</v>
      </c>
      <c r="DQ285" s="712"/>
      <c r="DR285" s="697">
        <f>IF(OR(B285&lt;FL285,B285&gt;FM285),(MIN(AV285+BO285+CJ285+MAX(Sheet1!AA285+AG285-73,0),K285)),0)</f>
        <v>0</v>
      </c>
      <c r="DS285" s="712"/>
      <c r="DT285" s="712">
        <f t="shared" ref="DT285:DT348" si="894">CJ285+AV285+BO285</f>
        <v>11.058327645052078</v>
      </c>
      <c r="DU285" s="712"/>
      <c r="DV285" s="712">
        <f>Sheet1!ED285+Sheet1!EE285+Sheet1!EF285+Sheet1!EG285</f>
        <v>12</v>
      </c>
      <c r="DW285" s="712"/>
      <c r="DX285" s="697">
        <f t="shared" ref="DX285:DX348" si="895">DR285-BF285-CA285-CT285</f>
        <v>0</v>
      </c>
      <c r="DY285" s="712">
        <f>IF(Sheet1!FN285=1,SUM('Calculations II'!AT285:BA285)+'Calculations II'!BC285+Sheet1!BU285+'Calculations II'!BE285+AF285,SUM('Calculations II'!AT285:BA285)+'Calculations II'!BC285+Sheet1!BU285+'Calculations II'!BE285+AF285)</f>
        <v>51.087503999999996</v>
      </c>
      <c r="DZ285" s="712">
        <f>Sheet1!AA285+Sheet1!AB285+'Calculations II'!BC285</f>
        <v>64.070000000006985</v>
      </c>
      <c r="EA285" s="712"/>
      <c r="EB285" s="712"/>
      <c r="EC285" s="712">
        <f t="shared" ref="EC285:EC348" si="896">B285</f>
        <v>40814</v>
      </c>
      <c r="ED285" s="712">
        <f t="shared" ref="ED285:ED348" si="897">Z285-X285</f>
        <v>-12.011692832765105</v>
      </c>
      <c r="EE285" s="712">
        <f t="shared" ref="EE285:EE348" si="898">AA285-Y285</f>
        <v>-18.582088812287616</v>
      </c>
      <c r="EF285" s="712">
        <f ca="1">IF(B285=TODAY(),0,-(VLOOKUP(Sheet1!BQ285,Lookup!$B$4:$J$236,2)-VLOOKUP(Sheet1!BQ284,Lookup!$B$4:$J$236,2))/1000000)</f>
        <v>-0.82140000000000002</v>
      </c>
      <c r="EG285" s="712">
        <f ca="1">IF(B285=TODAY(),0,-(VLOOKUP(Sheet1!BR285,Lookup!$B$4:$J$236,3)-VLOOKUP(Sheet1!BR284,Lookup!$B$4:$J$236,3))/1000000)</f>
        <v>-0.82020000000000004</v>
      </c>
      <c r="EH285" s="712">
        <f>-(VLOOKUP(Sheet1!BS285,Lookup!$B$4:$J$236,4)-VLOOKUP(Sheet1!BS284,Lookup!$B$4:$J$236,4))/1000000</f>
        <v>0</v>
      </c>
      <c r="EI285" s="697">
        <f t="shared" ca="1" si="819"/>
        <v>-1.6415999999999999</v>
      </c>
      <c r="EJ285" s="712"/>
      <c r="EK285" s="712"/>
      <c r="EL285" s="712"/>
      <c r="EM285" s="712"/>
      <c r="EN285" s="712"/>
      <c r="EO285" s="712"/>
      <c r="EP285" s="712"/>
      <c r="EQ285" s="712"/>
      <c r="ER285" s="697">
        <f t="shared" si="833"/>
        <v>6175.6207960771926</v>
      </c>
      <c r="ES285" s="712">
        <f t="shared" si="834"/>
        <v>563.88959876599324</v>
      </c>
      <c r="ET285" s="794">
        <f t="shared" si="818"/>
        <v>1122.8</v>
      </c>
      <c r="EU285" s="794" t="e">
        <f t="shared" si="838"/>
        <v>#N/A</v>
      </c>
      <c r="EV285" s="795" t="e">
        <f t="shared" si="836"/>
        <v>#N/A</v>
      </c>
      <c r="EW285" s="796" t="s">
        <v>757</v>
      </c>
      <c r="EX285" s="796" t="s">
        <v>757</v>
      </c>
      <c r="EY285" s="794" t="e">
        <v>#N/A</v>
      </c>
      <c r="EZ285" s="798">
        <v>14276.000000030008</v>
      </c>
      <c r="FA285" s="712"/>
      <c r="FB285" s="712"/>
      <c r="FC285" s="712"/>
      <c r="FD285" s="712"/>
      <c r="FE285" s="712">
        <f>O285+Sheet1!CO285</f>
        <v>64.070000000006985</v>
      </c>
      <c r="FF285" s="712">
        <f>IF(Sheet1!AA285+AG285&lt;=Calculation!N285,AG285,Calculation!N285-Sheet1!AA285)</f>
        <v>18.131672354950254</v>
      </c>
      <c r="FG285" s="712">
        <f>(Sheet1!BP285+Sheet1!BO285)/694.4</f>
        <v>2.3849366359447006</v>
      </c>
      <c r="FH285" s="712"/>
      <c r="FI285" s="712"/>
      <c r="FJ285" s="712"/>
      <c r="FK285" s="712"/>
      <c r="FL285" s="714">
        <f t="shared" si="827"/>
        <v>40753</v>
      </c>
      <c r="FM285" s="714">
        <f t="shared" si="828"/>
        <v>40851</v>
      </c>
      <c r="FN285" s="712"/>
      <c r="FO285" s="712"/>
      <c r="FP285" s="712"/>
      <c r="FQ285" s="712"/>
      <c r="FR285" s="712"/>
      <c r="FS285" s="725">
        <f t="shared" si="839"/>
        <v>40603</v>
      </c>
      <c r="FT285" s="714">
        <f t="shared" si="830"/>
        <v>40709</v>
      </c>
      <c r="FU285" s="712">
        <f t="shared" si="839"/>
        <v>6518.9048239895692</v>
      </c>
      <c r="FV285" s="714">
        <f t="shared" si="831"/>
        <v>40722</v>
      </c>
      <c r="FW285" s="712">
        <f t="shared" si="839"/>
        <v>3259.4524119947846</v>
      </c>
      <c r="FX285" s="725">
        <f t="shared" si="839"/>
        <v>40851</v>
      </c>
      <c r="FZ285" s="697">
        <f t="shared" si="824"/>
        <v>0</v>
      </c>
      <c r="GA285" s="712" t="str">
        <f t="shared" ref="GA285:GA348" si="899">CONCATENATE(GC285,GQ285,GJ285,GX285)</f>
        <v/>
      </c>
      <c r="GB285" s="712">
        <f t="shared" ref="GB285:GB348" si="900">IF(GF285&gt;=8333.33,AL285,0)</f>
        <v>0</v>
      </c>
      <c r="GC285" s="712" t="str">
        <f t="shared" ref="GC285:GC348" si="901">IF(AND(GF285&lt;8333.33,FZ285&gt;0),"T","")</f>
        <v/>
      </c>
      <c r="GD285" s="712">
        <f>IF(GA285="P",Lookup!$M$12,IF(GA285="PP",Lookup!$M$13,IF(GA285="PPP",Lookup!$M$14,IF(GA285="T",Lookup!$M$15,IF(GA285="TP",Lookup!$M$16,IF(GA285="TPP",Lookup!$M$17,IF(GA285="TPPP",Lookup!$M$18,0)))))))*FZ285</f>
        <v>0</v>
      </c>
      <c r="GE285" s="712">
        <f t="shared" ref="GE285:GE348" si="902">IF(GC285="T",GD285,0)</f>
        <v>0</v>
      </c>
      <c r="GF285" s="712">
        <f t="shared" ref="GF285:GF348" si="903">GG285*MGtoAF</f>
        <v>1966.2970666666663</v>
      </c>
      <c r="GG285" s="712">
        <f t="shared" ref="GG285:GG348" si="904">(IF(AND(B285&lt;FV285,B285&gt;=FS285),MIN(AR284+AL285-AK285,15/36*FU285),IF(B285=FV285,15/36*FW285,IF(AND(B285&gt;FV285,B285&lt;FX285),MIN(AR284+AL285-AK285,15/36*FW285),IF(B285&gt;=FX285,0,0)))))+DI285</f>
        <v>640.90517166449354</v>
      </c>
      <c r="GH285" s="712"/>
      <c r="GI285" s="712">
        <f t="shared" ref="GI285:GI348" si="905">IF(GM285&gt;=3888.88,BE285,0)</f>
        <v>0</v>
      </c>
      <c r="GJ285" s="712" t="str">
        <f t="shared" ref="GJ285:GJ348" si="906">IF(AND(GM285&lt;3888.88,FZ285&gt;0),"P","")</f>
        <v/>
      </c>
      <c r="GK285" s="712">
        <f>IF(GA285="P",Lookup!$N$12,IF(GA285="PP",Lookup!$N$13,IF(GA285="PPP",Lookup!$N$14,IF(GA285="T",Lookup!$N$15,IF(GA285="TP",Lookup!$N$16,IF(GA285="TPP",Lookup!$N$17,IF(GA285="TPPP",Lookup!$N$18,0)))))))*FZ285</f>
        <v>0</v>
      </c>
      <c r="GL285" s="712">
        <f t="shared" ref="GL285:GL348" si="907">IF(GJ285="P",GK285,0)</f>
        <v>0</v>
      </c>
      <c r="GM285" s="712">
        <f t="shared" ref="GM285:GM348" si="908">GN285*MGtoAF</f>
        <v>1542.133572759122</v>
      </c>
      <c r="GN285" s="712">
        <f t="shared" ref="GN285:GN348" si="909">(IF(AND(B285&lt;FV285,B285&gt;=FS285),MIN(BK284+BE285-BD285,7/36*FU285),IF(B285=FV285,7/36*FW285,IF(AND(B285&gt;FV285,B285&lt;FX285),MIN(BK284+BE285-BD285,7/36*FW285),IF(B285&gt;=FX285,0,0)))))+DJ285</f>
        <v>502.6510993347855</v>
      </c>
      <c r="GO285" s="712"/>
      <c r="GP285" s="712">
        <f t="shared" ref="GP285:GP348" si="910">IF(GT285&gt;=8333.33,BZ285,0)</f>
        <v>0</v>
      </c>
      <c r="GQ285" s="712" t="str">
        <f t="shared" ref="GQ285:GQ348" si="911">IF(AND(GT285&lt;3888.88,FZ285&gt;0),"P","")</f>
        <v/>
      </c>
      <c r="GR285" s="712">
        <f>IF(GA285="P",Lookup!$N$12,IF(GA285="PP",Lookup!$N$13,IF(GA285="PPP",Lookup!$N$14,IF(GA285="T",Lookup!$N$15,IF(GA285="TP",Lookup!$N$16,IF(GA285="TPP",Lookup!$N$17,IF(GA285="TPPP",Lookup!$N$18,0)))))))*FZ285</f>
        <v>0</v>
      </c>
      <c r="GS285" s="697">
        <f t="shared" si="825"/>
        <v>0</v>
      </c>
      <c r="GT285" s="712">
        <f t="shared" ref="GT285:GT348" si="912">GU285*MGtoAF</f>
        <v>487.98025909430987</v>
      </c>
      <c r="GU285" s="712">
        <f t="shared" ref="GU285:GU348" si="913">IF(AND(B285&lt;FV285,B285&gt;=FS285),MIN(CF284+BZ285-BY285,7/36*FU285),IF(B285=FV285,7/36*FW285,IF(AND(B285&gt;FV285,B285&lt;FX285),MIN(CF284+BZ285-BY285,7/36*FW285),IF(B285&gt;=FX285,0,0))))+DK285</f>
        <v>159.05484325107884</v>
      </c>
      <c r="GV285" s="712"/>
      <c r="GW285" s="712">
        <f t="shared" ref="GW285:GW348" si="914">IF(HA285&gt;=3888.88,CS285,0)</f>
        <v>0</v>
      </c>
      <c r="GX285" s="712" t="str">
        <f t="shared" ref="GX285:GX348" si="915">IF(AND(HA285&lt;3888.88,FZ285&gt;0),"P","")</f>
        <v/>
      </c>
      <c r="GY285" s="712">
        <f>IF(GA285="P",Lookup!$N$12,IF(GA285="PP",Lookup!$N$13,IF(GA285="PPP",Lookup!$N$14,IF(GA285="T",Lookup!$N$15,IF(GA285="TP",Lookup!$N$16,IF(GA285="TPP",Lookup!$N$17,IF(GA285="TPPP",Lookup!$N$18,0)))))))*FZ285</f>
        <v>0</v>
      </c>
      <c r="GZ285" s="697">
        <f t="shared" si="826"/>
        <v>0</v>
      </c>
      <c r="HA285" s="712">
        <f t="shared" ref="HA285:HA348" si="916">HB285*MGtoAF</f>
        <v>574.13178101825054</v>
      </c>
      <c r="HB285" s="712">
        <f t="shared" ref="HB285:HB348" si="917">(IF(AND(B285&lt;FV285,B285&gt;=FS285),MIN(CY284+CS285-CR285,7/36*FU285),IF(B285=FV285,7/36*FW285,IF(AND(B285&gt;FV285,B285&lt;FX285),MIN(CY284+CS285-CR285,7/36*FW285),IF(B285&gt;=FX285,0,0)))))+DL285</f>
        <v>187.13552184427985</v>
      </c>
      <c r="HC285" s="712"/>
    </row>
    <row r="286" spans="1:211">
      <c r="A286" s="773" t="s">
        <v>7</v>
      </c>
      <c r="B286" s="708">
        <v>40815</v>
      </c>
      <c r="C286" s="719">
        <v>0.5</v>
      </c>
      <c r="D286" s="675">
        <f t="shared" si="840"/>
        <v>300</v>
      </c>
      <c r="E286" s="675">
        <f t="shared" si="841"/>
        <v>250</v>
      </c>
      <c r="F286" s="675">
        <v>250</v>
      </c>
      <c r="G286" s="712">
        <f>DH286+Sheet1!CV286</f>
        <v>220.29494452735969</v>
      </c>
      <c r="H286" s="712">
        <f t="shared" si="842"/>
        <v>0</v>
      </c>
      <c r="I286" s="711">
        <f>MAX(Sheet1!Z286-AJ286+(Sheet1!CW286-E286)*CFStoMGD,0)</f>
        <v>286.16100412571137</v>
      </c>
      <c r="J286" s="720">
        <f>IF(AND(B286&gt;=Calculation!FS286,B286&lt;=Calculation!FT286),IF(Sheet1!CX286&gt;=Calculation!D286,64.64,0),MAX(Sheet1!Z286-AJ286+(Sheet1!CX286-D286)*CFStoMGD,0))</f>
        <v>144.59267079237804</v>
      </c>
      <c r="K286" s="697">
        <f t="shared" si="843"/>
        <v>0</v>
      </c>
      <c r="L286" s="712">
        <f>Sheet1!AA286+Sheet1!AB286-Sheet1!L286+(Sheet1!CW286-F286)*CFStoMGD</f>
        <v>336.02166666666056</v>
      </c>
      <c r="M286" s="712">
        <f t="shared" si="844"/>
        <v>145.24662518533501</v>
      </c>
      <c r="N286" s="712">
        <f>IF(Sheet1!CW286&gt;=F286,MIN(73,MIN(MAX(L286,0),MAX(M286,0))),0)</f>
        <v>73</v>
      </c>
      <c r="O286" s="721">
        <f>Sheet1!AA286+Sheet1!AB286</f>
        <v>61.469999999993888</v>
      </c>
      <c r="P286" s="721">
        <f t="shared" si="845"/>
        <v>95.09408999999053</v>
      </c>
      <c r="Q286" s="712">
        <f>MIN(N286,Sheet1!AA286+AG286)</f>
        <v>50.340662540946589</v>
      </c>
      <c r="R286" s="712">
        <f t="shared" si="846"/>
        <v>12</v>
      </c>
      <c r="S286" s="721">
        <f>Sheet1!Y286*MGDtoCFS</f>
        <v>52.551589999999997</v>
      </c>
      <c r="T286" s="721">
        <f>Sheet1!Z286*MGDtoCFS</f>
        <v>43.083950000000002</v>
      </c>
      <c r="U286" s="721">
        <f>Sheet1!AA286*MGDtoCFS</f>
        <v>52.75269999998649</v>
      </c>
      <c r="V286" s="721">
        <f>Sheet1!AB286*MGDtoCFS</f>
        <v>42.341390000004047</v>
      </c>
      <c r="W286" s="721">
        <f>Sheet1!L286*MGDtoCFS</f>
        <v>0</v>
      </c>
      <c r="X286" s="697">
        <f t="shared" si="847"/>
        <v>12.043305424099978</v>
      </c>
      <c r="Y286" s="712">
        <f t="shared" si="848"/>
        <v>18.630993491082666</v>
      </c>
      <c r="Z286" s="712">
        <f t="shared" si="849"/>
        <v>0</v>
      </c>
      <c r="AA286" s="712">
        <f t="shared" si="850"/>
        <v>0</v>
      </c>
      <c r="AB286" s="712">
        <f>(VLOOKUP(Sheet1!CY286,hhdcap_wcm,4)-(((VLOOKUP(Sheet1!CY286,hhdcap_wcm,3)-Sheet1!CY286)/(VLOOKUP(Sheet1!CY286,hhdcap_wcm,3)-VLOOKUP(Sheet1!CY286,hhdcap_wcm,1)))*(VLOOKUP(Sheet1!CY286,hhdcap_wcm,4)-VLOOKUP(Sheet1!CY286,hhdcap_wcm,2))))</f>
        <v>23716.640000056334</v>
      </c>
      <c r="AC286" s="712">
        <f t="shared" si="851"/>
        <v>-751.2200000022458</v>
      </c>
      <c r="AD286" s="712">
        <f t="shared" si="852"/>
        <v>1477.7033306705378</v>
      </c>
      <c r="AE286" s="712">
        <f t="shared" si="853"/>
        <v>4533.5938184972101</v>
      </c>
      <c r="AF286" s="712">
        <f>Sheet1!BA286+Sheet1!BB286+Sheet1!BN286+BT286</f>
        <v>16.3</v>
      </c>
      <c r="AG286" s="712">
        <f t="shared" si="854"/>
        <v>16.24066254095532</v>
      </c>
      <c r="AH286" s="712">
        <f>Sheet1!BA286+BT286</f>
        <v>0</v>
      </c>
      <c r="AI286" s="712">
        <f>Sheet1!BA286+Sheet1!BB286+BT286</f>
        <v>0</v>
      </c>
      <c r="AJ286" s="712">
        <f>IF((Sheet1!AA286+AG286+AX286+AZ286+BQ286+BS286+CL286+CN286)&lt;=N286,AG286+AX286+AZ286+BQ286+BS286+CL286+CN286,N286-Sheet1!AA286)</f>
        <v>16.24066254095532</v>
      </c>
      <c r="AK286" s="712">
        <f>IF(DR286&lt;K286,0,MAX(Sheet1!AA286+AG286-15/36*K286-N286,Sheet1!ED286,0))</f>
        <v>0</v>
      </c>
      <c r="AL286" s="712">
        <f>IF(OR(B286&gt;=FT286,B286&lt;FS286),0,15/36*K286-MAX(0,64.6-(137.6-(Sheet1!AA286+Sheet1!AB286))))</f>
        <v>0</v>
      </c>
      <c r="AM286" s="712">
        <f>Sheet1!CX286-110</f>
        <v>395.72916666666669</v>
      </c>
      <c r="AN286" s="712">
        <f>Sheet1!CW286-265</f>
        <v>409.73958333333337</v>
      </c>
      <c r="AO286" s="712">
        <f t="shared" si="835"/>
        <v>22.659337459053411</v>
      </c>
      <c r="AP286" s="712">
        <f t="shared" si="855"/>
        <v>0</v>
      </c>
      <c r="AQ286" s="712">
        <f t="shared" si="856"/>
        <v>0</v>
      </c>
      <c r="AR286" s="712">
        <f t="shared" si="857"/>
        <v>640.90517166449354</v>
      </c>
      <c r="AS286" s="712"/>
      <c r="AT286" s="712">
        <f ca="1">IF(B286&gt;Summary!$A$1,#N/A,AR286*MGtoAF)</f>
        <v>1966.2970666666663</v>
      </c>
      <c r="AU286" s="712">
        <f>Sheet1!BG286+Sheet1!BH286+Sheet1!BI286-BC286</f>
        <v>1.0900000000000001</v>
      </c>
      <c r="AV286" s="712">
        <f t="shared" si="858"/>
        <v>1.0860320349473191</v>
      </c>
      <c r="AW286" s="712">
        <f>IF(Sheet1!EL286="FM",BC286,0)</f>
        <v>0</v>
      </c>
      <c r="AX286" s="712">
        <f t="shared" si="859"/>
        <v>0</v>
      </c>
      <c r="AY286" s="712">
        <f>IF(Sheet1!EL286="OTHER",BC286,0)</f>
        <v>0</v>
      </c>
      <c r="AZ286" s="712">
        <f t="shared" si="860"/>
        <v>0</v>
      </c>
      <c r="BA286" s="712">
        <f t="shared" si="861"/>
        <v>1.0900000000000001</v>
      </c>
      <c r="BB286" s="712">
        <f t="shared" si="862"/>
        <v>1.0860320349473191</v>
      </c>
      <c r="BC286" s="712">
        <f>IF(OR(Sheet1!EL286="FM", Sheet1!EL286="OTHER"),SUM(Sheet1!BG286:'Sheet1'!BI286),0)</f>
        <v>0</v>
      </c>
      <c r="BD286" s="697">
        <f>IF(AND($B286&gt;=$FL286,$B286&lt;=$FM286),MAX(AV286,Sheet1!EE286,0),MAX(AV286-(7/36)*$K286,0))</f>
        <v>2</v>
      </c>
      <c r="BE286" s="712">
        <f t="shared" si="863"/>
        <v>0</v>
      </c>
      <c r="BF286" s="697">
        <f t="shared" si="864"/>
        <v>0</v>
      </c>
      <c r="BG286" s="697">
        <f>IF(AND($O286&gt;0,Sheet1!EI286=1),(1-($O286-Sheet1!$L286)/$O286)*BB286,0)</f>
        <v>0</v>
      </c>
      <c r="BH286" s="697">
        <f>IF(AND(Sheet1!$L286=0,Sheet1!$L285=0, Calculation!BA286&lt;Sheet1!$EE286-0.1,Sheet1!$EE286=Sheet1!$EE285,Sheet1!$EE286=Sheet1!$EE287),Sheet1!$EE286,BB286-BG286)</f>
        <v>1.0860320349473191</v>
      </c>
      <c r="BI286" s="712"/>
      <c r="BJ286" s="712"/>
      <c r="BK286" s="712">
        <f t="shared" si="865"/>
        <v>500.6510993347855</v>
      </c>
      <c r="BL286" s="712"/>
      <c r="BM286" s="712">
        <f ca="1">IF(B286&gt;Summary!$A$1,#N/A,BK286*MGtoAF)</f>
        <v>1535.997572759122</v>
      </c>
      <c r="BN286" s="712">
        <f>Sheet1!BC286+Sheet1!BD286+Sheet1!BE286+Sheet1!BF286-BW286-BX286</f>
        <v>2.54</v>
      </c>
      <c r="BO286" s="712">
        <f t="shared" si="866"/>
        <v>2.5307535493267799</v>
      </c>
      <c r="BP286" s="712">
        <f>IF(Sheet1!EM286="FM",BX286,0)</f>
        <v>0</v>
      </c>
      <c r="BQ286" s="712">
        <f t="shared" si="867"/>
        <v>0</v>
      </c>
      <c r="BR286" s="712">
        <f>IF(Sheet1!EM286="OTHER",BX286,0)</f>
        <v>0</v>
      </c>
      <c r="BS286" s="712">
        <f t="shared" si="868"/>
        <v>0</v>
      </c>
      <c r="BT286" s="712">
        <f t="shared" si="869"/>
        <v>0</v>
      </c>
      <c r="BU286" s="712">
        <f t="shared" si="870"/>
        <v>2.54</v>
      </c>
      <c r="BV286" s="712">
        <f t="shared" si="871"/>
        <v>2.5307535493267799</v>
      </c>
      <c r="BW286" s="712">
        <f>IF(Sheet1!EM286="CWA",SUM(Sheet1!BC286:'Sheet1'!BF286),0)</f>
        <v>0</v>
      </c>
      <c r="BX286" s="712">
        <f>IF(OR(Sheet1!EM286="FM", Sheet1!EM286="OTHER"),SUM(Sheet1!BC286:'Sheet1'!BF286),0)</f>
        <v>0</v>
      </c>
      <c r="BY286" s="697">
        <f>IF(AND($B286&gt;=$FL286,$B286&lt;=$FM286),MAX(BV286,Sheet1!EF286,0),MAX(BV286-(7/36)*$K286,0))</f>
        <v>2.5307535493267799</v>
      </c>
      <c r="BZ286" s="712">
        <f t="shared" si="872"/>
        <v>0</v>
      </c>
      <c r="CA286" s="697">
        <f t="shared" si="873"/>
        <v>0</v>
      </c>
      <c r="CB286" s="697">
        <f>IF(AND($O286&gt;0,Sheet1!EJ286=1),(1-($O286-Sheet1!$L286)/$O286)*BV286,0)</f>
        <v>0</v>
      </c>
      <c r="CC286" s="697">
        <f>IF(AND(Sheet1!$L286=0,Sheet1!$L285=0, Calculation!BU286&lt;Sheet1!EF286-0.1,Sheet1!EF286=Sheet1!EF285,Sheet1!EF286=Sheet1!EF287),Sheet1!EF286,BV286-CB286)</f>
        <v>2.5307535493267799</v>
      </c>
      <c r="CD286" s="697"/>
      <c r="CE286" s="712"/>
      <c r="CF286" s="712">
        <f t="shared" si="874"/>
        <v>156.52408970175205</v>
      </c>
      <c r="CG286" s="712"/>
      <c r="CH286" s="712">
        <f ca="1">IF(B286&gt;Summary!$A$1,#N/A,CF286*MGtoAF)</f>
        <v>480.21590720497528</v>
      </c>
      <c r="CI286" s="712">
        <f>Sheet1!BK286+Sheet1!BL286+Sheet1!BM286-Sheet1!EN286-CQ286</f>
        <v>7.5400000000000009</v>
      </c>
      <c r="CJ286" s="712">
        <f t="shared" si="875"/>
        <v>7.5125518747731981</v>
      </c>
      <c r="CK286" s="712">
        <f>IF(Sheet1!EN286="FM",CQ286,0)</f>
        <v>0</v>
      </c>
      <c r="CL286" s="712">
        <f t="shared" si="876"/>
        <v>0</v>
      </c>
      <c r="CM286" s="712">
        <f>IF(Sheet1!EN286="OTHER",CQ286,0)</f>
        <v>0</v>
      </c>
      <c r="CN286" s="712">
        <f t="shared" si="877"/>
        <v>0</v>
      </c>
      <c r="CO286" s="712">
        <f t="shared" si="878"/>
        <v>7.5400000000000009</v>
      </c>
      <c r="CP286" s="712">
        <f t="shared" si="879"/>
        <v>7.5125518747731981</v>
      </c>
      <c r="CQ286" s="712">
        <f>IF(OR(Sheet1!EN286="FM", Sheet1!EN286="OTHER"),SUM(Sheet1!BK286:'Sheet1'!BM286),0)</f>
        <v>0</v>
      </c>
      <c r="CR286" s="697">
        <f>IF(AND($B286&gt;=$FL286,$B286&lt;=$FM286),MAX($CJ286,Sheet1!EG286,0),MAX($CJ286-(7/36)*$K286,0))</f>
        <v>7.5125518747731981</v>
      </c>
      <c r="CS286" s="712">
        <f t="shared" si="880"/>
        <v>0</v>
      </c>
      <c r="CT286" s="697">
        <f t="shared" si="881"/>
        <v>0</v>
      </c>
      <c r="CU286" s="697">
        <f>IF(AND($O286&gt;0,Sheet1!EK286=1),(1-($O286-Sheet1!$L286)/$O286)*CP286,0)</f>
        <v>0</v>
      </c>
      <c r="CV286" s="697">
        <f>IF(AND(Sheet1!$L286=0,Sheet1!$L285=0, Calculation!CO286&lt;Sheet1!$EG286-0.1,Sheet1!$EG286=Sheet1!$EG285,Sheet1!$EG286=Sheet1!$EG287),Sheet1!$EG286,CP286-CU286)</f>
        <v>7.5125518747731981</v>
      </c>
      <c r="CW286" s="697">
        <f t="shared" si="837"/>
        <v>0</v>
      </c>
      <c r="CX286" s="712">
        <f t="shared" si="882"/>
        <v>11.170000000000002</v>
      </c>
      <c r="CY286" s="712">
        <f t="shared" si="883"/>
        <v>179.62296996950664</v>
      </c>
      <c r="CZ286" s="712">
        <f t="shared" si="884"/>
        <v>11.129337459047298</v>
      </c>
      <c r="DA286" s="712">
        <f ca="1">IF(B286&gt;Summary!$A$1,#N/A,CY286*MGtoAF)</f>
        <v>551.08327186644635</v>
      </c>
      <c r="DB286" s="712">
        <f t="shared" si="885"/>
        <v>11.170000000000002</v>
      </c>
      <c r="DC286" s="712">
        <f t="shared" si="886"/>
        <v>27.470000000000002</v>
      </c>
      <c r="DD286" s="712">
        <f>Sheet1!AB286-DC286</f>
        <v>-9.9999999997383071E-2</v>
      </c>
      <c r="DE286" s="712">
        <f t="shared" si="887"/>
        <v>-3.6403349107165294E-3</v>
      </c>
      <c r="DF286" s="712">
        <f>(VLOOKUP(Sheet1!CY286,hhdcap_wcm,4)-(((VLOOKUP(Sheet1!CY286,hhdcap_wcm,3)-Sheet1!CY286)/(VLOOKUP(Sheet1!CY286,hhdcap_wcm,3)-VLOOKUP(Sheet1!CY286,hhdcap_wcm,1)))*(VLOOKUP(Sheet1!CY286,hhdcap_wcm,4)-VLOOKUP(Sheet1!CY286,hhdcap_wcm,2))))</f>
        <v>23716.640000056334</v>
      </c>
      <c r="DG286" s="712">
        <f t="shared" si="888"/>
        <v>-751.2200000022458</v>
      </c>
      <c r="DH286" s="712">
        <f t="shared" si="889"/>
        <v>-378.83005547264031</v>
      </c>
      <c r="DI286" s="712">
        <f>Sheet1!DW286*AFtoMG</f>
        <v>0</v>
      </c>
      <c r="DJ286" s="712">
        <f>Sheet1!DX286*AFtoMG</f>
        <v>0</v>
      </c>
      <c r="DK286" s="712">
        <f>Sheet1!DY286*AFtoMG</f>
        <v>0</v>
      </c>
      <c r="DL286" s="712">
        <f>Sheet1!DZ286*AFtoMG</f>
        <v>0</v>
      </c>
      <c r="DM286" s="712">
        <f t="shared" si="890"/>
        <v>0</v>
      </c>
      <c r="DN286" s="712">
        <f t="shared" si="891"/>
        <v>0</v>
      </c>
      <c r="DO286" s="712">
        <f t="shared" si="892"/>
        <v>1477.7033306705378</v>
      </c>
      <c r="DP286" s="712">
        <f t="shared" si="893"/>
        <v>4533.5938184972101</v>
      </c>
      <c r="DQ286" s="712"/>
      <c r="DR286" s="697">
        <f>IF(OR(B286&lt;FL286,B286&gt;FM286),(MIN(AV286+BO286+CJ286+MAX(Sheet1!AA286+AG286-73,0),K286)),0)</f>
        <v>0</v>
      </c>
      <c r="DS286" s="712"/>
      <c r="DT286" s="712">
        <f t="shared" si="894"/>
        <v>11.129337459047298</v>
      </c>
      <c r="DU286" s="712"/>
      <c r="DV286" s="712">
        <f>Sheet1!ED286+Sheet1!EE286+Sheet1!EF286+Sheet1!EG286</f>
        <v>12</v>
      </c>
      <c r="DW286" s="712"/>
      <c r="DX286" s="697">
        <f t="shared" si="895"/>
        <v>0</v>
      </c>
      <c r="DY286" s="712">
        <f>IF(Sheet1!FN286=1,SUM('Calculations II'!AT286:BA286)+'Calculations II'!BC286+Sheet1!BU286+'Calculations II'!BE286+AF286,SUM('Calculations II'!AT286:BA286)+'Calculations II'!BC286+Sheet1!BU286+'Calculations II'!BE286+AF286)</f>
        <v>49.596816000000004</v>
      </c>
      <c r="DZ286" s="712">
        <f>Sheet1!AA286+Sheet1!AB286+'Calculations II'!BC286</f>
        <v>61.469999999993888</v>
      </c>
      <c r="EA286" s="712"/>
      <c r="EB286" s="712"/>
      <c r="EC286" s="712">
        <f t="shared" si="896"/>
        <v>40815</v>
      </c>
      <c r="ED286" s="712">
        <f t="shared" si="897"/>
        <v>-12.043305424099978</v>
      </c>
      <c r="EE286" s="712">
        <f t="shared" si="898"/>
        <v>-18.630993491082666</v>
      </c>
      <c r="EF286" s="712">
        <f ca="1">IF(B286=TODAY(),0,-(VLOOKUP(Sheet1!BQ286,Lookup!$B$4:$J$236,2)-VLOOKUP(Sheet1!BQ285,Lookup!$B$4:$J$236,2))/1000000)</f>
        <v>0</v>
      </c>
      <c r="EG286" s="712">
        <f ca="1">IF(B286=TODAY(),0,-(VLOOKUP(Sheet1!BR286,Lookup!$B$4:$J$236,3)-VLOOKUP(Sheet1!BR285,Lookup!$B$4:$J$236,3))/1000000)</f>
        <v>0</v>
      </c>
      <c r="EH286" s="712">
        <f>-(VLOOKUP(Sheet1!BS286,Lookup!$B$4:$J$236,4)-VLOOKUP(Sheet1!BS285,Lookup!$B$4:$J$236,4))/1000000</f>
        <v>0</v>
      </c>
      <c r="EI286" s="697">
        <f t="shared" ca="1" si="819"/>
        <v>0</v>
      </c>
      <c r="EJ286" s="712"/>
      <c r="EK286" s="712"/>
      <c r="EL286" s="712"/>
      <c r="EM286" s="712"/>
      <c r="EN286" s="712"/>
      <c r="EO286" s="712"/>
      <c r="EP286" s="712"/>
      <c r="EQ286" s="712"/>
      <c r="ER286" s="697">
        <f t="shared" si="833"/>
        <v>5583.0970368497738</v>
      </c>
      <c r="ES286" s="712">
        <f t="shared" si="834"/>
        <v>592.52375922741908</v>
      </c>
      <c r="ET286" s="794">
        <f t="shared" si="818"/>
        <v>1122.5</v>
      </c>
      <c r="EU286" s="794" t="e">
        <f t="shared" si="838"/>
        <v>#N/A</v>
      </c>
      <c r="EV286" s="795" t="e">
        <f t="shared" si="836"/>
        <v>#N/A</v>
      </c>
      <c r="EW286" s="796" t="s">
        <v>757</v>
      </c>
      <c r="EX286" s="796" t="s">
        <v>757</v>
      </c>
      <c r="EY286" s="794" t="e">
        <v>#N/A</v>
      </c>
      <c r="EZ286" s="798">
        <v>14182.400000029902</v>
      </c>
      <c r="FA286" s="712"/>
      <c r="FB286" s="712"/>
      <c r="FC286" s="712"/>
      <c r="FD286" s="712"/>
      <c r="FE286" s="712">
        <f>O286+Sheet1!CO286</f>
        <v>61.469999999993888</v>
      </c>
      <c r="FF286" s="712">
        <f>IF(Sheet1!AA286+AG286&lt;=Calculation!N286,AG286,Calculation!N286-Sheet1!AA286)</f>
        <v>16.24066254095532</v>
      </c>
      <c r="FG286" s="712">
        <f>(Sheet1!BP286+Sheet1!BO286)/694.4</f>
        <v>1.9654377880184333</v>
      </c>
      <c r="FH286" s="712"/>
      <c r="FI286" s="712"/>
      <c r="FJ286" s="712"/>
      <c r="FK286" s="712"/>
      <c r="FL286" s="714">
        <f t="shared" si="827"/>
        <v>40753</v>
      </c>
      <c r="FM286" s="714">
        <f t="shared" si="828"/>
        <v>40851</v>
      </c>
      <c r="FN286" s="712"/>
      <c r="FO286" s="712"/>
      <c r="FP286" s="712"/>
      <c r="FQ286" s="712"/>
      <c r="FR286" s="712"/>
      <c r="FS286" s="725">
        <f t="shared" si="839"/>
        <v>40603</v>
      </c>
      <c r="FT286" s="714">
        <f t="shared" si="830"/>
        <v>40709</v>
      </c>
      <c r="FU286" s="712">
        <f t="shared" si="839"/>
        <v>6518.9048239895692</v>
      </c>
      <c r="FV286" s="714">
        <f t="shared" si="831"/>
        <v>40722</v>
      </c>
      <c r="FW286" s="712">
        <f t="shared" si="839"/>
        <v>3259.4524119947846</v>
      </c>
      <c r="FX286" s="725">
        <f t="shared" si="839"/>
        <v>40851</v>
      </c>
      <c r="FZ286" s="697">
        <f t="shared" si="824"/>
        <v>0</v>
      </c>
      <c r="GA286" s="712" t="str">
        <f t="shared" si="899"/>
        <v/>
      </c>
      <c r="GB286" s="712">
        <f t="shared" si="900"/>
        <v>0</v>
      </c>
      <c r="GC286" s="712" t="str">
        <f t="shared" si="901"/>
        <v/>
      </c>
      <c r="GD286" s="712">
        <f>IF(GA286="P",Lookup!$M$12,IF(GA286="PP",Lookup!$M$13,IF(GA286="PPP",Lookup!$M$14,IF(GA286="T",Lookup!$M$15,IF(GA286="TP",Lookup!$M$16,IF(GA286="TPP",Lookup!$M$17,IF(GA286="TPPP",Lookup!$M$18,0)))))))*FZ286</f>
        <v>0</v>
      </c>
      <c r="GE286" s="712">
        <f t="shared" si="902"/>
        <v>0</v>
      </c>
      <c r="GF286" s="712">
        <f t="shared" si="903"/>
        <v>1966.2970666666663</v>
      </c>
      <c r="GG286" s="712">
        <f t="shared" si="904"/>
        <v>640.90517166449354</v>
      </c>
      <c r="GH286" s="712"/>
      <c r="GI286" s="712">
        <f t="shared" si="905"/>
        <v>0</v>
      </c>
      <c r="GJ286" s="712" t="str">
        <f t="shared" si="906"/>
        <v/>
      </c>
      <c r="GK286" s="712">
        <f>IF(GA286="P",Lookup!$N$12,IF(GA286="PP",Lookup!$N$13,IF(GA286="PPP",Lookup!$N$14,IF(GA286="T",Lookup!$N$15,IF(GA286="TP",Lookup!$N$16,IF(GA286="TPP",Lookup!$N$17,IF(GA286="TPPP",Lookup!$N$18,0)))))))*FZ286</f>
        <v>0</v>
      </c>
      <c r="GL286" s="712">
        <f t="shared" si="907"/>
        <v>0</v>
      </c>
      <c r="GM286" s="712">
        <f t="shared" si="908"/>
        <v>1535.997572759122</v>
      </c>
      <c r="GN286" s="712">
        <f t="shared" si="909"/>
        <v>500.6510993347855</v>
      </c>
      <c r="GO286" s="712"/>
      <c r="GP286" s="712">
        <f t="shared" si="910"/>
        <v>0</v>
      </c>
      <c r="GQ286" s="712" t="str">
        <f t="shared" si="911"/>
        <v/>
      </c>
      <c r="GR286" s="712">
        <f>IF(GA286="P",Lookup!$N$12,IF(GA286="PP",Lookup!$N$13,IF(GA286="PPP",Lookup!$N$14,IF(GA286="T",Lookup!$N$15,IF(GA286="TP",Lookup!$N$16,IF(GA286="TPP",Lookup!$N$17,IF(GA286="TPPP",Lookup!$N$18,0)))))))*FZ286</f>
        <v>0</v>
      </c>
      <c r="GS286" s="697">
        <f t="shared" si="825"/>
        <v>0</v>
      </c>
      <c r="GT286" s="712">
        <f t="shared" si="912"/>
        <v>480.21590720497528</v>
      </c>
      <c r="GU286" s="712">
        <f t="shared" si="913"/>
        <v>156.52408970175205</v>
      </c>
      <c r="GV286" s="712"/>
      <c r="GW286" s="712">
        <f t="shared" si="914"/>
        <v>0</v>
      </c>
      <c r="GX286" s="712" t="str">
        <f t="shared" si="915"/>
        <v/>
      </c>
      <c r="GY286" s="712">
        <f>IF(GA286="P",Lookup!$N$12,IF(GA286="PP",Lookup!$N$13,IF(GA286="PPP",Lookup!$N$14,IF(GA286="T",Lookup!$N$15,IF(GA286="TP",Lookup!$N$16,IF(GA286="TPP",Lookup!$N$17,IF(GA286="TPPP",Lookup!$N$18,0)))))))*FZ286</f>
        <v>0</v>
      </c>
      <c r="GZ286" s="697">
        <f t="shared" si="826"/>
        <v>0</v>
      </c>
      <c r="HA286" s="712">
        <f t="shared" si="916"/>
        <v>551.08327186644635</v>
      </c>
      <c r="HB286" s="712">
        <f t="shared" si="917"/>
        <v>179.62296996950664</v>
      </c>
      <c r="HC286" s="712"/>
    </row>
    <row r="287" spans="1:211">
      <c r="A287" s="773" t="s">
        <v>8</v>
      </c>
      <c r="B287" s="708">
        <v>40816</v>
      </c>
      <c r="C287" s="709">
        <v>0.5</v>
      </c>
      <c r="D287" s="675">
        <f t="shared" si="840"/>
        <v>300</v>
      </c>
      <c r="E287" s="675">
        <f t="shared" si="841"/>
        <v>250</v>
      </c>
      <c r="F287" s="675">
        <v>250</v>
      </c>
      <c r="G287" s="712">
        <f>DH287+Sheet1!CV287</f>
        <v>204.72465960558111</v>
      </c>
      <c r="H287" s="712">
        <f t="shared" si="842"/>
        <v>0</v>
      </c>
      <c r="I287" s="711">
        <f>MAX(Sheet1!Z287-AJ287+(Sheet1!CW287-E287)*CFStoMGD,0)</f>
        <v>252.95363620002573</v>
      </c>
      <c r="J287" s="720">
        <f>IF(AND(B287&gt;=Calculation!FS287,B287&lt;=Calculation!FT287),IF(Sheet1!CX287&gt;=Calculation!D287,64.64,0),MAX(Sheet1!Z287-AJ287+(Sheet1!CX287-D287)*CFStoMGD,0))</f>
        <v>128.40716953335902</v>
      </c>
      <c r="K287" s="697">
        <f t="shared" si="843"/>
        <v>0</v>
      </c>
      <c r="L287" s="712">
        <f>Sheet1!AA287+Sheet1!AB287-Sheet1!L287+(Sheet1!CW287-F287)*CFStoMGD</f>
        <v>302.54066666666671</v>
      </c>
      <c r="M287" s="712">
        <f t="shared" si="844"/>
        <v>134.98070036842859</v>
      </c>
      <c r="N287" s="712">
        <f>IF(Sheet1!CW287&gt;=F287,MIN(73,MIN(MAX(L287,0),MAX(M287,0))),0)</f>
        <v>73</v>
      </c>
      <c r="O287" s="721">
        <f>Sheet1!AA287+Sheet1!AB287</f>
        <v>60.410000000000004</v>
      </c>
      <c r="P287" s="721">
        <f t="shared" si="845"/>
        <v>93.454270000000008</v>
      </c>
      <c r="Q287" s="712">
        <f>MIN(N287,Sheet1!AA287+AG287)</f>
        <v>49.207030466640958</v>
      </c>
      <c r="R287" s="712">
        <f t="shared" si="846"/>
        <v>11</v>
      </c>
      <c r="S287" s="721">
        <f>Sheet1!Y287*MGDtoCFS</f>
        <v>52.938339999999997</v>
      </c>
      <c r="T287" s="721">
        <f>Sheet1!Z287*MGDtoCFS</f>
        <v>39.788839999999993</v>
      </c>
      <c r="U287" s="721">
        <f>Sheet1!AA287*MGDtoCFS</f>
        <v>53.077570000000001</v>
      </c>
      <c r="V287" s="721">
        <f>Sheet1!AB287*MGDtoCFS</f>
        <v>40.3767</v>
      </c>
      <c r="W287" s="721">
        <f>Sheet1!L287*MGDtoCFS</f>
        <v>0</v>
      </c>
      <c r="X287" s="697">
        <f t="shared" si="847"/>
        <v>11.202969533359042</v>
      </c>
      <c r="Y287" s="712">
        <f t="shared" si="848"/>
        <v>17.330993868106436</v>
      </c>
      <c r="Z287" s="712">
        <f t="shared" si="849"/>
        <v>0</v>
      </c>
      <c r="AA287" s="712">
        <f t="shared" si="850"/>
        <v>0</v>
      </c>
      <c r="AB287" s="712">
        <f>(VLOOKUP(Sheet1!CY287,hhdcap_wcm,4)-(((VLOOKUP(Sheet1!CY287,hhdcap_wcm,3)-Sheet1!CY287)/(VLOOKUP(Sheet1!CY287,hhdcap_wcm,3)-VLOOKUP(Sheet1!CY287,hhdcap_wcm,1)))*(VLOOKUP(Sheet1!CY287,hhdcap_wcm,4)-VLOOKUP(Sheet1!CY287,hhdcap_wcm,2))))</f>
        <v>22986.350000054201</v>
      </c>
      <c r="AC287" s="712">
        <f t="shared" si="851"/>
        <v>-730.29000000213273</v>
      </c>
      <c r="AD287" s="712">
        <f t="shared" si="852"/>
        <v>1466.5003611371785</v>
      </c>
      <c r="AE287" s="712">
        <f t="shared" si="853"/>
        <v>4499.2231079688636</v>
      </c>
      <c r="AF287" s="712">
        <f>Sheet1!BA287+Sheet1!BB287+Sheet1!BN287+BT287</f>
        <v>14.8</v>
      </c>
      <c r="AG287" s="712">
        <f t="shared" si="854"/>
        <v>14.897030466640958</v>
      </c>
      <c r="AH287" s="712">
        <f>Sheet1!BA287+BT287</f>
        <v>0</v>
      </c>
      <c r="AI287" s="712">
        <f>Sheet1!BA287+Sheet1!BB287+BT287</f>
        <v>0</v>
      </c>
      <c r="AJ287" s="712">
        <f>IF((Sheet1!AA287+AG287+AX287+AZ287+BQ287+BS287+CL287+CN287)&lt;=N287,AG287+AX287+AZ287+BQ287+BS287+CL287+CN287,N287-Sheet1!AA287)</f>
        <v>14.897030466640958</v>
      </c>
      <c r="AK287" s="712">
        <f>IF(DR287&lt;K287,0,MAX(Sheet1!AA287+AG287-15/36*K287-N287,Sheet1!ED287,0))</f>
        <v>0</v>
      </c>
      <c r="AL287" s="712">
        <f>IF(OR(B287&gt;=FT287,B287&lt;FS287),0,15/36*K287-MAX(0,64.6-(137.6-(Sheet1!AA287+Sheet1!AB287))))</f>
        <v>0</v>
      </c>
      <c r="AM287" s="712">
        <f>Sheet1!CX287-110</f>
        <v>371.90625</v>
      </c>
      <c r="AN287" s="712">
        <f>Sheet1!CW287-265</f>
        <v>359.58333333333337</v>
      </c>
      <c r="AO287" s="712">
        <f t="shared" si="835"/>
        <v>23.792969533359042</v>
      </c>
      <c r="AP287" s="712">
        <f t="shared" si="855"/>
        <v>0</v>
      </c>
      <c r="AQ287" s="712">
        <f t="shared" si="856"/>
        <v>0</v>
      </c>
      <c r="AR287" s="712">
        <f t="shared" si="857"/>
        <v>640.90517166449354</v>
      </c>
      <c r="AS287" s="712"/>
      <c r="AT287" s="712">
        <f ca="1">IF(B287&gt;Summary!$A$1,#N/A,AR287*MGtoAF)</f>
        <v>1966.2970666666663</v>
      </c>
      <c r="AU287" s="712">
        <f>Sheet1!BG287+Sheet1!BH287+Sheet1!BI287-BC287</f>
        <v>1.08</v>
      </c>
      <c r="AV287" s="712">
        <f t="shared" si="858"/>
        <v>1.0870806016197456</v>
      </c>
      <c r="AW287" s="712">
        <f>IF(Sheet1!EL287="FM",BC287,0)</f>
        <v>0</v>
      </c>
      <c r="AX287" s="712">
        <f t="shared" si="859"/>
        <v>0</v>
      </c>
      <c r="AY287" s="712">
        <f>IF(Sheet1!EL287="OTHER",BC287,0)</f>
        <v>0</v>
      </c>
      <c r="AZ287" s="712">
        <f t="shared" si="860"/>
        <v>0</v>
      </c>
      <c r="BA287" s="712">
        <f t="shared" si="861"/>
        <v>1.08</v>
      </c>
      <c r="BB287" s="712">
        <f t="shared" si="862"/>
        <v>1.0870806016197456</v>
      </c>
      <c r="BC287" s="712">
        <f>IF(OR(Sheet1!EL287="FM", Sheet1!EL287="OTHER"),SUM(Sheet1!BG287:'Sheet1'!BI287),0)</f>
        <v>0</v>
      </c>
      <c r="BD287" s="697">
        <f>IF(AND($B287&gt;=$FL287,$B287&lt;=$FM287),MAX(AV287,Sheet1!EE287,0),MAX(AV287-(7/36)*$K287,0))</f>
        <v>1.0870806016197456</v>
      </c>
      <c r="BE287" s="712">
        <f t="shared" si="863"/>
        <v>0</v>
      </c>
      <c r="BF287" s="697">
        <f t="shared" si="864"/>
        <v>0</v>
      </c>
      <c r="BG287" s="697">
        <f>IF(AND($O287&gt;0,Sheet1!EI287=1),(1-($O287-Sheet1!$L287)/$O287)*BB287,0)</f>
        <v>0</v>
      </c>
      <c r="BH287" s="697">
        <f>IF(AND(Sheet1!$L287=0,Sheet1!$L286=0, Calculation!BA287&lt;Sheet1!$EE287-0.1,Sheet1!$EE287=Sheet1!$EE286,Sheet1!$EE287=Sheet1!$EE288),Sheet1!$EE287,BB287-BG287)</f>
        <v>1.0870806016197456</v>
      </c>
      <c r="BI287" s="712"/>
      <c r="BJ287" s="712"/>
      <c r="BK287" s="712">
        <f t="shared" si="865"/>
        <v>499.56401873316577</v>
      </c>
      <c r="BL287" s="712"/>
      <c r="BM287" s="712">
        <f ca="1">IF(B287&gt;Summary!$A$1,#N/A,BK287*MGtoAF)</f>
        <v>1532.6624094733527</v>
      </c>
      <c r="BN287" s="712">
        <f>Sheet1!BC287+Sheet1!BD287+Sheet1!BE287+Sheet1!BF287-BW287-BX287</f>
        <v>2.5</v>
      </c>
      <c r="BO287" s="712">
        <f t="shared" si="866"/>
        <v>2.5163902815271886</v>
      </c>
      <c r="BP287" s="712">
        <f>IF(Sheet1!EM287="FM",BX287,0)</f>
        <v>0</v>
      </c>
      <c r="BQ287" s="712">
        <f t="shared" si="867"/>
        <v>0</v>
      </c>
      <c r="BR287" s="712">
        <f>IF(Sheet1!EM287="OTHER",BX287,0)</f>
        <v>0</v>
      </c>
      <c r="BS287" s="712">
        <f t="shared" si="868"/>
        <v>0</v>
      </c>
      <c r="BT287" s="712">
        <f t="shared" si="869"/>
        <v>0</v>
      </c>
      <c r="BU287" s="712">
        <f t="shared" si="870"/>
        <v>2.5</v>
      </c>
      <c r="BV287" s="712">
        <f t="shared" si="871"/>
        <v>2.5163902815271886</v>
      </c>
      <c r="BW287" s="712">
        <f>IF(Sheet1!EM287="CWA",SUM(Sheet1!BC287:'Sheet1'!BF287),0)</f>
        <v>0</v>
      </c>
      <c r="BX287" s="712">
        <f>IF(OR(Sheet1!EM287="FM", Sheet1!EM287="OTHER"),SUM(Sheet1!BC287:'Sheet1'!BF287),0)</f>
        <v>0</v>
      </c>
      <c r="BY287" s="697">
        <f>IF(AND($B287&gt;=$FL287,$B287&lt;=$FM287),MAX(BV287,Sheet1!EF287,0),MAX(BV287-(7/36)*$K287,0))</f>
        <v>2.5163902815271886</v>
      </c>
      <c r="BZ287" s="712">
        <f t="shared" si="872"/>
        <v>0</v>
      </c>
      <c r="CA287" s="697">
        <f t="shared" si="873"/>
        <v>0</v>
      </c>
      <c r="CB287" s="697">
        <f>IF(AND($O287&gt;0,Sheet1!EJ287=1),(1-($O287-Sheet1!$L287)/$O287)*BV287,0)</f>
        <v>0</v>
      </c>
      <c r="CC287" s="697">
        <f>IF(AND(Sheet1!$L287=0,Sheet1!$L286=0, Calculation!BU287&lt;Sheet1!EF287-0.1,Sheet1!EF287=Sheet1!EF286,Sheet1!EF287=Sheet1!EF288),Sheet1!EF287,BV287-CB287)</f>
        <v>2.5163902815271886</v>
      </c>
      <c r="CD287" s="697"/>
      <c r="CE287" s="712"/>
      <c r="CF287" s="712">
        <f t="shared" si="874"/>
        <v>154.00769942022487</v>
      </c>
      <c r="CG287" s="712"/>
      <c r="CH287" s="712">
        <f ca="1">IF(B287&gt;Summary!$A$1,#N/A,CF287*MGtoAF)</f>
        <v>472.49562182124993</v>
      </c>
      <c r="CI287" s="712">
        <f>Sheet1!BK287+Sheet1!BL287+Sheet1!BM287-Sheet1!EN287-CQ287</f>
        <v>7.5499999999999989</v>
      </c>
      <c r="CJ287" s="712">
        <f t="shared" si="875"/>
        <v>7.5994986502121087</v>
      </c>
      <c r="CK287" s="712">
        <f>IF(Sheet1!EN287="FM",CQ287,0)</f>
        <v>0</v>
      </c>
      <c r="CL287" s="712">
        <f t="shared" si="876"/>
        <v>0</v>
      </c>
      <c r="CM287" s="712">
        <f>IF(Sheet1!EN287="OTHER",CQ287,0)</f>
        <v>0</v>
      </c>
      <c r="CN287" s="712">
        <f t="shared" si="877"/>
        <v>0</v>
      </c>
      <c r="CO287" s="712">
        <f t="shared" si="878"/>
        <v>7.5499999999999989</v>
      </c>
      <c r="CP287" s="712">
        <f t="shared" si="879"/>
        <v>7.5994986502121087</v>
      </c>
      <c r="CQ287" s="712">
        <f>IF(OR(Sheet1!EN287="FM", Sheet1!EN287="OTHER"),SUM(Sheet1!BK287:'Sheet1'!BM287),0)</f>
        <v>0</v>
      </c>
      <c r="CR287" s="697">
        <f>IF(AND($B287&gt;=$FL287,$B287&lt;=$FM287),MAX($CJ287,Sheet1!EG287,0),MAX($CJ287-(7/36)*$K287,0))</f>
        <v>7.5994986502121087</v>
      </c>
      <c r="CS287" s="712">
        <f t="shared" si="880"/>
        <v>0</v>
      </c>
      <c r="CT287" s="697">
        <f t="shared" si="881"/>
        <v>0</v>
      </c>
      <c r="CU287" s="697">
        <f>IF(AND($O287&gt;0,Sheet1!EK287=1),(1-($O287-Sheet1!$L287)/$O287)*CP287,0)</f>
        <v>0</v>
      </c>
      <c r="CV287" s="697">
        <f>IF(AND(Sheet1!$L287=0,Sheet1!$L286=0, Calculation!CO287&lt;Sheet1!$EG287-0.1,Sheet1!$EG287=Sheet1!$EG286,Sheet1!$EG287=Sheet1!$EG288),Sheet1!$EG287,CP287-CU287)</f>
        <v>7.5994986502121087</v>
      </c>
      <c r="CW287" s="697">
        <f t="shared" si="837"/>
        <v>0</v>
      </c>
      <c r="CX287" s="712">
        <f t="shared" si="882"/>
        <v>11.129999999999999</v>
      </c>
      <c r="CY287" s="712">
        <f t="shared" si="883"/>
        <v>172.02347131929454</v>
      </c>
      <c r="CZ287" s="712">
        <f t="shared" si="884"/>
        <v>11.202969533359042</v>
      </c>
      <c r="DA287" s="712">
        <f ca="1">IF(B287&gt;Summary!$A$1,#N/A,CY287*MGtoAF)</f>
        <v>527.76801000759565</v>
      </c>
      <c r="DB287" s="712">
        <f t="shared" si="885"/>
        <v>11.129999999999999</v>
      </c>
      <c r="DC287" s="712">
        <f t="shared" si="886"/>
        <v>25.93</v>
      </c>
      <c r="DD287" s="712">
        <f>Sheet1!AB287-DC287</f>
        <v>0.17000000000000171</v>
      </c>
      <c r="DE287" s="712">
        <f t="shared" si="887"/>
        <v>6.5561126108754997E-3</v>
      </c>
      <c r="DF287" s="712">
        <f>(VLOOKUP(Sheet1!CY287,hhdcap_wcm,4)-(((VLOOKUP(Sheet1!CY287,hhdcap_wcm,3)-Sheet1!CY287)/(VLOOKUP(Sheet1!CY287,hhdcap_wcm,3)-VLOOKUP(Sheet1!CY287,hhdcap_wcm,1)))*(VLOOKUP(Sheet1!CY287,hhdcap_wcm,4)-VLOOKUP(Sheet1!CY287,hhdcap_wcm,2))))</f>
        <v>22986.350000054201</v>
      </c>
      <c r="DG287" s="712">
        <f t="shared" si="888"/>
        <v>-730.29000000213273</v>
      </c>
      <c r="DH287" s="712">
        <f t="shared" si="889"/>
        <v>-368.27534039441889</v>
      </c>
      <c r="DI287" s="712">
        <f>Sheet1!DW287*AFtoMG</f>
        <v>0</v>
      </c>
      <c r="DJ287" s="712">
        <f>Sheet1!DX287*AFtoMG</f>
        <v>0</v>
      </c>
      <c r="DK287" s="712">
        <f>Sheet1!DY287*AFtoMG</f>
        <v>0</v>
      </c>
      <c r="DL287" s="712">
        <f>Sheet1!DZ287*AFtoMG</f>
        <v>0</v>
      </c>
      <c r="DM287" s="712">
        <f t="shared" si="890"/>
        <v>0</v>
      </c>
      <c r="DN287" s="712">
        <f t="shared" si="891"/>
        <v>0</v>
      </c>
      <c r="DO287" s="712">
        <f t="shared" si="892"/>
        <v>1466.5003611371785</v>
      </c>
      <c r="DP287" s="712">
        <f t="shared" si="893"/>
        <v>4499.2231079688636</v>
      </c>
      <c r="DQ287" s="712"/>
      <c r="DR287" s="697">
        <f>IF(OR(B287&lt;FL287,B287&gt;FM287),(MIN(AV287+BO287+CJ287+MAX(Sheet1!AA287+AG287-73,0),K287)),0)</f>
        <v>0</v>
      </c>
      <c r="DS287" s="712"/>
      <c r="DT287" s="712">
        <f t="shared" si="894"/>
        <v>11.202969533359044</v>
      </c>
      <c r="DU287" s="712"/>
      <c r="DV287" s="712">
        <f>Sheet1!ED287+Sheet1!EE287+Sheet1!EF287+Sheet1!EG287</f>
        <v>11</v>
      </c>
      <c r="DW287" s="712"/>
      <c r="DX287" s="697">
        <f t="shared" si="895"/>
        <v>0</v>
      </c>
      <c r="DY287" s="712">
        <f>IF(Sheet1!FN287=1,SUM('Calculations II'!AT287:BA287)+'Calculations II'!BC287+Sheet1!BU287+'Calculations II'!BE287+AF287,SUM('Calculations II'!AT287:BA287)+'Calculations II'!BC287+Sheet1!BU287+'Calculations II'!BE287+AF287)</f>
        <v>48.274255999999994</v>
      </c>
      <c r="DZ287" s="712">
        <f>Sheet1!AA287+Sheet1!AB287+'Calculations II'!BC287</f>
        <v>60.410000000000004</v>
      </c>
      <c r="EA287" s="712"/>
      <c r="EB287" s="712"/>
      <c r="EC287" s="712">
        <f t="shared" si="896"/>
        <v>40816</v>
      </c>
      <c r="ED287" s="712">
        <f t="shared" si="897"/>
        <v>-11.202969533359042</v>
      </c>
      <c r="EE287" s="712">
        <f t="shared" si="898"/>
        <v>-17.330993868106436</v>
      </c>
      <c r="EF287" s="712">
        <f ca="1">IF(B287=TODAY(),0,-(VLOOKUP(Sheet1!BQ287,Lookup!$B$4:$J$236,2)-VLOOKUP(Sheet1!BQ286,Lookup!$B$4:$J$236,2))/1000000)</f>
        <v>0</v>
      </c>
      <c r="EG287" s="712">
        <f ca="1">IF(B287=TODAY(),0,-(VLOOKUP(Sheet1!BR287,Lookup!$B$4:$J$236,3)-VLOOKUP(Sheet1!BR286,Lookup!$B$4:$J$236,3))/1000000)</f>
        <v>0</v>
      </c>
      <c r="EH287" s="712">
        <f>-(VLOOKUP(Sheet1!BS287,Lookup!$B$4:$J$236,4)-VLOOKUP(Sheet1!BS286,Lookup!$B$4:$J$236,4))/1000000</f>
        <v>0</v>
      </c>
      <c r="EI287" s="697">
        <f t="shared" ca="1" si="819"/>
        <v>0</v>
      </c>
      <c r="EJ287" s="712"/>
      <c r="EK287" s="712"/>
      <c r="EL287" s="712"/>
      <c r="EM287" s="712"/>
      <c r="EN287" s="712"/>
      <c r="EO287" s="712"/>
      <c r="EP287" s="712"/>
      <c r="EQ287" s="712"/>
      <c r="ER287" s="697">
        <f t="shared" si="833"/>
        <v>5009.2341297422436</v>
      </c>
      <c r="ES287" s="712">
        <f t="shared" si="834"/>
        <v>573.86290710753019</v>
      </c>
      <c r="ET287" s="794">
        <f t="shared" si="818"/>
        <v>1122.3</v>
      </c>
      <c r="EU287" s="794" t="e">
        <f t="shared" si="838"/>
        <v>#N/A</v>
      </c>
      <c r="EV287" s="795" t="e">
        <f t="shared" si="836"/>
        <v>#N/A</v>
      </c>
      <c r="EW287" s="796" t="s">
        <v>757</v>
      </c>
      <c r="EX287" s="796" t="s">
        <v>757</v>
      </c>
      <c r="EY287" s="794" t="e">
        <v>#N/A</v>
      </c>
      <c r="EZ287" s="798">
        <v>14042.000000029795</v>
      </c>
      <c r="FA287" s="712"/>
      <c r="FB287" s="712"/>
      <c r="FC287" s="712"/>
      <c r="FD287" s="712"/>
      <c r="FE287" s="712">
        <f>O287+Sheet1!CO287</f>
        <v>60.410000000000004</v>
      </c>
      <c r="FF287" s="712">
        <f>IF(Sheet1!AA287+AG287&lt;=Calculation!N287,AG287,Calculation!N287-Sheet1!AA287)</f>
        <v>14.897030466640958</v>
      </c>
      <c r="FG287" s="712">
        <f>(Sheet1!BP287+Sheet1!BO287)/694.4</f>
        <v>2.384504608294931</v>
      </c>
      <c r="FH287" s="712"/>
      <c r="FI287" s="712"/>
      <c r="FJ287" s="712"/>
      <c r="FK287" s="712"/>
      <c r="FL287" s="714">
        <f t="shared" si="827"/>
        <v>40753</v>
      </c>
      <c r="FM287" s="714">
        <f t="shared" si="828"/>
        <v>40851</v>
      </c>
      <c r="FN287" s="712"/>
      <c r="FO287" s="712"/>
      <c r="FP287" s="712"/>
      <c r="FQ287" s="712"/>
      <c r="FR287" s="712"/>
      <c r="FS287" s="725">
        <f t="shared" si="839"/>
        <v>40603</v>
      </c>
      <c r="FT287" s="714">
        <f t="shared" si="830"/>
        <v>40709</v>
      </c>
      <c r="FU287" s="712">
        <f t="shared" si="839"/>
        <v>6518.9048239895692</v>
      </c>
      <c r="FV287" s="714">
        <f t="shared" si="831"/>
        <v>40722</v>
      </c>
      <c r="FW287" s="712">
        <f t="shared" si="839"/>
        <v>3259.4524119947846</v>
      </c>
      <c r="FX287" s="725">
        <f t="shared" si="839"/>
        <v>40851</v>
      </c>
      <c r="FZ287" s="697">
        <f t="shared" si="824"/>
        <v>0</v>
      </c>
      <c r="GA287" s="712" t="str">
        <f t="shared" si="899"/>
        <v/>
      </c>
      <c r="GB287" s="712">
        <f t="shared" si="900"/>
        <v>0</v>
      </c>
      <c r="GC287" s="712" t="str">
        <f t="shared" si="901"/>
        <v/>
      </c>
      <c r="GD287" s="712">
        <f>IF(GA287="P",Lookup!$M$12,IF(GA287="PP",Lookup!$M$13,IF(GA287="PPP",Lookup!$M$14,IF(GA287="T",Lookup!$M$15,IF(GA287="TP",Lookup!$M$16,IF(GA287="TPP",Lookup!$M$17,IF(GA287="TPPP",Lookup!$M$18,0)))))))*FZ287</f>
        <v>0</v>
      </c>
      <c r="GE287" s="712">
        <f t="shared" si="902"/>
        <v>0</v>
      </c>
      <c r="GF287" s="712">
        <f t="shared" si="903"/>
        <v>1966.2970666666663</v>
      </c>
      <c r="GG287" s="712">
        <f t="shared" si="904"/>
        <v>640.90517166449354</v>
      </c>
      <c r="GH287" s="712"/>
      <c r="GI287" s="712">
        <f t="shared" si="905"/>
        <v>0</v>
      </c>
      <c r="GJ287" s="712" t="str">
        <f t="shared" si="906"/>
        <v/>
      </c>
      <c r="GK287" s="712">
        <f>IF(GA287="P",Lookup!$N$12,IF(GA287="PP",Lookup!$N$13,IF(GA287="PPP",Lookup!$N$14,IF(GA287="T",Lookup!$N$15,IF(GA287="TP",Lookup!$N$16,IF(GA287="TPP",Lookup!$N$17,IF(GA287="TPPP",Lookup!$N$18,0)))))))*FZ287</f>
        <v>0</v>
      </c>
      <c r="GL287" s="712">
        <f t="shared" si="907"/>
        <v>0</v>
      </c>
      <c r="GM287" s="712">
        <f t="shared" si="908"/>
        <v>1532.6624094733527</v>
      </c>
      <c r="GN287" s="712">
        <f t="shared" si="909"/>
        <v>499.56401873316577</v>
      </c>
      <c r="GO287" s="712"/>
      <c r="GP287" s="712">
        <f t="shared" si="910"/>
        <v>0</v>
      </c>
      <c r="GQ287" s="712" t="str">
        <f t="shared" si="911"/>
        <v/>
      </c>
      <c r="GR287" s="712">
        <f>IF(GA287="P",Lookup!$N$12,IF(GA287="PP",Lookup!$N$13,IF(GA287="PPP",Lookup!$N$14,IF(GA287="T",Lookup!$N$15,IF(GA287="TP",Lookup!$N$16,IF(GA287="TPP",Lookup!$N$17,IF(GA287="TPPP",Lookup!$N$18,0)))))))*FZ287</f>
        <v>0</v>
      </c>
      <c r="GS287" s="697">
        <f t="shared" si="825"/>
        <v>0</v>
      </c>
      <c r="GT287" s="712">
        <f t="shared" si="912"/>
        <v>472.49562182124993</v>
      </c>
      <c r="GU287" s="712">
        <f t="shared" si="913"/>
        <v>154.00769942022487</v>
      </c>
      <c r="GV287" s="712"/>
      <c r="GW287" s="712">
        <f t="shared" si="914"/>
        <v>0</v>
      </c>
      <c r="GX287" s="712" t="str">
        <f t="shared" si="915"/>
        <v/>
      </c>
      <c r="GY287" s="712">
        <f>IF(GA287="P",Lookup!$N$12,IF(GA287="PP",Lookup!$N$13,IF(GA287="PPP",Lookup!$N$14,IF(GA287="T",Lookup!$N$15,IF(GA287="TP",Lookup!$N$16,IF(GA287="TPP",Lookup!$N$17,IF(GA287="TPPP",Lookup!$N$18,0)))))))*FZ287</f>
        <v>0</v>
      </c>
      <c r="GZ287" s="697">
        <f t="shared" si="826"/>
        <v>0</v>
      </c>
      <c r="HA287" s="712">
        <f t="shared" si="916"/>
        <v>527.76801000759565</v>
      </c>
      <c r="HB287" s="712">
        <f t="shared" si="917"/>
        <v>172.02347131929454</v>
      </c>
      <c r="HC287" s="712"/>
    </row>
    <row r="288" spans="1:211">
      <c r="A288" s="773" t="s">
        <v>9</v>
      </c>
      <c r="B288" s="708">
        <v>40817</v>
      </c>
      <c r="C288" s="719">
        <v>0.5</v>
      </c>
      <c r="D288" s="675">
        <f t="shared" si="840"/>
        <v>300</v>
      </c>
      <c r="E288" s="675">
        <f t="shared" si="841"/>
        <v>250</v>
      </c>
      <c r="F288" s="675">
        <v>250</v>
      </c>
      <c r="G288" s="712">
        <f>DH288+Sheet1!CV288</f>
        <v>208.98234997376875</v>
      </c>
      <c r="H288" s="712">
        <f t="shared" si="842"/>
        <v>0</v>
      </c>
      <c r="I288" s="711">
        <f>MAX(Sheet1!Z288-AJ288+(Sheet1!CW288-E288)*CFStoMGD,0)</f>
        <v>250.50704260187686</v>
      </c>
      <c r="J288" s="720">
        <f>IF(AND(B288&gt;=Calculation!FS288,B288&lt;=Calculation!FT288),IF(Sheet1!CX288&gt;=Calculation!D288,64.64,0),MAX(Sheet1!Z288-AJ288+(Sheet1!CX288-D288)*CFStoMGD,0))</f>
        <v>126.66757593521018</v>
      </c>
      <c r="K288" s="697">
        <f t="shared" si="843"/>
        <v>0</v>
      </c>
      <c r="L288" s="712">
        <f>Sheet1!AA288+Sheet1!AB288-Sheet1!L288+(Sheet1!CW288-F288)*CFStoMGD</f>
        <v>299.15026666666665</v>
      </c>
      <c r="M288" s="712">
        <f t="shared" si="844"/>
        <v>137.78791484350501</v>
      </c>
      <c r="N288" s="712">
        <f>IF(Sheet1!CW288&gt;=F288,MIN(73,MIN(MAX(L288,0),MAX(M288,0))),0)</f>
        <v>73</v>
      </c>
      <c r="O288" s="721">
        <f>Sheet1!AA288+Sheet1!AB288</f>
        <v>60.089999999999996</v>
      </c>
      <c r="P288" s="721">
        <f t="shared" si="845"/>
        <v>92.959229999999991</v>
      </c>
      <c r="Q288" s="712">
        <f>MIN(N288,Sheet1!AA288+AG288)</f>
        <v>48.673224064789814</v>
      </c>
      <c r="R288" s="712">
        <f t="shared" si="846"/>
        <v>11.5</v>
      </c>
      <c r="S288" s="721">
        <f>Sheet1!Y288*MGDtoCFS</f>
        <v>53.077570000000001</v>
      </c>
      <c r="T288" s="721">
        <f>Sheet1!Z288*MGDtoCFS</f>
        <v>40.113709999999998</v>
      </c>
      <c r="U288" s="721">
        <f>Sheet1!AA288*MGDtoCFS</f>
        <v>52.891929999999995</v>
      </c>
      <c r="V288" s="721">
        <f>Sheet1!AB288*MGDtoCFS</f>
        <v>40.067299999999996</v>
      </c>
      <c r="W288" s="721">
        <f>Sheet1!L288*MGDtoCFS</f>
        <v>0</v>
      </c>
      <c r="X288" s="697">
        <f t="shared" si="847"/>
        <v>11.600038565368298</v>
      </c>
      <c r="Y288" s="712">
        <f t="shared" si="848"/>
        <v>17.945259660624757</v>
      </c>
      <c r="Z288" s="712">
        <f t="shared" si="849"/>
        <v>0</v>
      </c>
      <c r="AA288" s="712">
        <f t="shared" si="850"/>
        <v>0</v>
      </c>
      <c r="AB288" s="712">
        <f>(VLOOKUP(Sheet1!CY288,hhdcap_wcm,4)-(((VLOOKUP(Sheet1!CY288,hhdcap_wcm,3)-Sheet1!CY288)/(VLOOKUP(Sheet1!CY288,hhdcap_wcm,3)-VLOOKUP(Sheet1!CY288,hhdcap_wcm,1)))*(VLOOKUP(Sheet1!CY288,hhdcap_wcm,4)-VLOOKUP(Sheet1!CY288,hhdcap_wcm,2))))</f>
        <v>22269.130000052184</v>
      </c>
      <c r="AC288" s="712">
        <f t="shared" si="851"/>
        <v>-717.2200000020166</v>
      </c>
      <c r="AD288" s="712">
        <f t="shared" si="852"/>
        <v>1454.9003225718106</v>
      </c>
      <c r="AE288" s="712">
        <f t="shared" si="853"/>
        <v>4463.6341896503154</v>
      </c>
      <c r="AF288" s="712">
        <f>Sheet1!BA288+Sheet1!BB288+Sheet1!BN288+BT288</f>
        <v>14.5</v>
      </c>
      <c r="AG288" s="712">
        <f t="shared" si="854"/>
        <v>14.483224064789818</v>
      </c>
      <c r="AH288" s="712">
        <f>Sheet1!BA288+BT288</f>
        <v>0</v>
      </c>
      <c r="AI288" s="712">
        <f>Sheet1!BA288+Sheet1!BB288+BT288</f>
        <v>0</v>
      </c>
      <c r="AJ288" s="712">
        <f>IF((Sheet1!AA288+AG288+AX288+AZ288+BQ288+BS288+CL288+CN288)&lt;=N288,AG288+AX288+AZ288+BQ288+BS288+CL288+CN288,N288-Sheet1!AA288)</f>
        <v>14.483224064789818</v>
      </c>
      <c r="AK288" s="712">
        <f>IF(DR288&lt;K288,0,MAX(Sheet1!AA288+AG288-15/36*K288-N288,Sheet1!ED288,0))</f>
        <v>0</v>
      </c>
      <c r="AL288" s="712">
        <f>IF(OR(B288&gt;=FT288,B288&lt;FS288),0,15/36*K288-MAX(0,64.6-(137.6-(Sheet1!AA288+Sheet1!AB288))))</f>
        <v>0</v>
      </c>
      <c r="AM288" s="712">
        <f>Sheet1!CX288-110</f>
        <v>368.25</v>
      </c>
      <c r="AN288" s="712">
        <f>Sheet1!CW288-265</f>
        <v>354.83333333333337</v>
      </c>
      <c r="AO288" s="712">
        <f t="shared" si="835"/>
        <v>24.326775935210186</v>
      </c>
      <c r="AP288" s="712">
        <f t="shared" si="855"/>
        <v>0</v>
      </c>
      <c r="AQ288" s="712">
        <f t="shared" si="856"/>
        <v>0</v>
      </c>
      <c r="AR288" s="712">
        <f t="shared" si="857"/>
        <v>640.90517166449354</v>
      </c>
      <c r="AS288" s="712"/>
      <c r="AT288" s="712">
        <f ca="1">IF(B288&gt;Summary!$A$1,#N/A,AR288*MGtoAF)</f>
        <v>1966.2970666666663</v>
      </c>
      <c r="AU288" s="712">
        <f>Sheet1!BG288+Sheet1!BH288+Sheet1!BI288-BC288</f>
        <v>1.07</v>
      </c>
      <c r="AV288" s="712">
        <f t="shared" si="858"/>
        <v>1.0687620516775935</v>
      </c>
      <c r="AW288" s="712">
        <f>IF(Sheet1!EL288="FM",BC288,0)</f>
        <v>0</v>
      </c>
      <c r="AX288" s="712">
        <f t="shared" si="859"/>
        <v>0</v>
      </c>
      <c r="AY288" s="712">
        <f>IF(Sheet1!EL288="OTHER",BC288,0)</f>
        <v>0</v>
      </c>
      <c r="AZ288" s="712">
        <f t="shared" si="860"/>
        <v>0</v>
      </c>
      <c r="BA288" s="712">
        <f t="shared" si="861"/>
        <v>1.07</v>
      </c>
      <c r="BB288" s="712">
        <f t="shared" si="862"/>
        <v>1.0687620516775935</v>
      </c>
      <c r="BC288" s="712">
        <f>IF(OR(Sheet1!EL288="FM", Sheet1!EL288="OTHER"),SUM(Sheet1!BG288:'Sheet1'!BI288),0)</f>
        <v>0</v>
      </c>
      <c r="BD288" s="697">
        <f>IF(AND($B288&gt;=$FL288,$B288&lt;=$FM288),MAX(AV288,Sheet1!EE288,0),MAX(AV288-(7/36)*$K288,0))</f>
        <v>1.0687620516775935</v>
      </c>
      <c r="BE288" s="712">
        <f t="shared" si="863"/>
        <v>0</v>
      </c>
      <c r="BF288" s="697">
        <f t="shared" si="864"/>
        <v>0</v>
      </c>
      <c r="BG288" s="697">
        <f>IF(AND($O288&gt;0,Sheet1!EI288=1),(1-($O288-Sheet1!$L288)/$O288)*BB288,0)</f>
        <v>0</v>
      </c>
      <c r="BH288" s="697">
        <f>IF(AND(Sheet1!$L288=0,Sheet1!$L287=0, Calculation!BA288&lt;Sheet1!$EE288-0.1,Sheet1!$EE288=Sheet1!$EE287,Sheet1!$EE288=Sheet1!$EE289),Sheet1!$EE288,BB288-BG288)</f>
        <v>1.0687620516775935</v>
      </c>
      <c r="BI288" s="712"/>
      <c r="BJ288" s="712"/>
      <c r="BK288" s="712">
        <f t="shared" si="865"/>
        <v>498.49525668148817</v>
      </c>
      <c r="BL288" s="712"/>
      <c r="BM288" s="712">
        <f ca="1">IF(B288&gt;Summary!$A$1,#N/A,BK288*MGtoAF)</f>
        <v>1529.3834474988057</v>
      </c>
      <c r="BN288" s="712">
        <f>Sheet1!BC288+Sheet1!BD288+Sheet1!BE288+Sheet1!BF288-BW288-BX288</f>
        <v>2.8200000000000003</v>
      </c>
      <c r="BO288" s="712">
        <f t="shared" si="866"/>
        <v>2.8167373698418823</v>
      </c>
      <c r="BP288" s="712">
        <f>IF(Sheet1!EM288="FM",BX288,0)</f>
        <v>0</v>
      </c>
      <c r="BQ288" s="712">
        <f t="shared" si="867"/>
        <v>0</v>
      </c>
      <c r="BR288" s="712">
        <f>IF(Sheet1!EM288="OTHER",BX288,0)</f>
        <v>0</v>
      </c>
      <c r="BS288" s="712">
        <f t="shared" si="868"/>
        <v>0</v>
      </c>
      <c r="BT288" s="712">
        <f t="shared" si="869"/>
        <v>0</v>
      </c>
      <c r="BU288" s="712">
        <f t="shared" si="870"/>
        <v>2.8200000000000003</v>
      </c>
      <c r="BV288" s="712">
        <f t="shared" si="871"/>
        <v>2.8167373698418823</v>
      </c>
      <c r="BW288" s="712">
        <f>IF(Sheet1!EM288="CWA",SUM(Sheet1!BC288:'Sheet1'!BF288),0)</f>
        <v>0</v>
      </c>
      <c r="BX288" s="712">
        <f>IF(OR(Sheet1!EM288="FM", Sheet1!EM288="OTHER"),SUM(Sheet1!BC288:'Sheet1'!BF288),0)</f>
        <v>0</v>
      </c>
      <c r="BY288" s="697">
        <f>IF(AND($B288&gt;=$FL288,$B288&lt;=$FM288),MAX(BV288,Sheet1!EF288,0),MAX(BV288-(7/36)*$K288,0))</f>
        <v>3</v>
      </c>
      <c r="BZ288" s="712">
        <f t="shared" si="872"/>
        <v>0</v>
      </c>
      <c r="CA288" s="697">
        <f t="shared" si="873"/>
        <v>0</v>
      </c>
      <c r="CB288" s="697">
        <f>IF(AND($O288&gt;0,Sheet1!EJ288=1),(1-($O288-Sheet1!$L288)/$O288)*BV288,0)</f>
        <v>0</v>
      </c>
      <c r="CC288" s="697">
        <f>IF(AND(Sheet1!$L288=0,Sheet1!$L287=0, Calculation!BU288&lt;Sheet1!EF288-0.1,Sheet1!EF288=Sheet1!EF287,Sheet1!EF288=Sheet1!EF289),Sheet1!EF288,BV288-CB288)</f>
        <v>2.8167373698418823</v>
      </c>
      <c r="CD288" s="697"/>
      <c r="CE288" s="712"/>
      <c r="CF288" s="712">
        <f t="shared" si="874"/>
        <v>151.00769942022487</v>
      </c>
      <c r="CG288" s="712"/>
      <c r="CH288" s="712">
        <f ca="1">IF(B288&gt;Summary!$A$1,#N/A,CF288*MGtoAF)</f>
        <v>463.29162182124992</v>
      </c>
      <c r="CI288" s="712">
        <f>Sheet1!BK288+Sheet1!BL288+Sheet1!BM288-Sheet1!EN288-CQ288</f>
        <v>7.54</v>
      </c>
      <c r="CJ288" s="712">
        <f t="shared" si="875"/>
        <v>7.5312765136907052</v>
      </c>
      <c r="CK288" s="712">
        <f>IF(Sheet1!EN288="FM",CQ288,0)</f>
        <v>0</v>
      </c>
      <c r="CL288" s="712">
        <f t="shared" si="876"/>
        <v>0</v>
      </c>
      <c r="CM288" s="712">
        <f>IF(Sheet1!EN288="OTHER",CQ288,0)</f>
        <v>0</v>
      </c>
      <c r="CN288" s="712">
        <f t="shared" si="877"/>
        <v>0</v>
      </c>
      <c r="CO288" s="712">
        <f t="shared" si="878"/>
        <v>7.54</v>
      </c>
      <c r="CP288" s="712">
        <f t="shared" si="879"/>
        <v>7.5312765136907052</v>
      </c>
      <c r="CQ288" s="712">
        <f>IF(OR(Sheet1!EN288="FM", Sheet1!EN288="OTHER"),SUM(Sheet1!BK288:'Sheet1'!BM288),0)</f>
        <v>0</v>
      </c>
      <c r="CR288" s="697">
        <f>IF(AND($B288&gt;=$FL288,$B288&lt;=$FM288),MAX($CJ288,Sheet1!EG288,0),MAX($CJ288-(7/36)*$K288,0))</f>
        <v>7.5312765136907052</v>
      </c>
      <c r="CS288" s="712">
        <f t="shared" si="880"/>
        <v>0</v>
      </c>
      <c r="CT288" s="697">
        <f t="shared" si="881"/>
        <v>0</v>
      </c>
      <c r="CU288" s="697">
        <f>IF(AND($O288&gt;0,Sheet1!EK288=1),(1-($O288-Sheet1!$L288)/$O288)*CP288,0)</f>
        <v>0</v>
      </c>
      <c r="CV288" s="697">
        <f>IF(AND(Sheet1!$L288=0,Sheet1!$L287=0, Calculation!CO288&lt;Sheet1!$EG288-0.1,Sheet1!$EG288=Sheet1!$EG287,Sheet1!$EG288=Sheet1!$EG289),Sheet1!$EG288,CP288-CU288)</f>
        <v>7.5312765136907052</v>
      </c>
      <c r="CW288" s="697">
        <f t="shared" si="837"/>
        <v>0</v>
      </c>
      <c r="CX288" s="712">
        <f t="shared" si="882"/>
        <v>11.43</v>
      </c>
      <c r="CY288" s="712">
        <f t="shared" si="883"/>
        <v>164.49219480560384</v>
      </c>
      <c r="CZ288" s="712">
        <f t="shared" si="884"/>
        <v>11.416775935210181</v>
      </c>
      <c r="DA288" s="712">
        <f ca="1">IF(B288&gt;Summary!$A$1,#N/A,CY288*MGtoAF)</f>
        <v>504.66205366359259</v>
      </c>
      <c r="DB288" s="712">
        <f t="shared" si="885"/>
        <v>11.43</v>
      </c>
      <c r="DC288" s="712">
        <f t="shared" si="886"/>
        <v>25.93</v>
      </c>
      <c r="DD288" s="712">
        <f>Sheet1!AB288-DC288</f>
        <v>-3.0000000000001137E-2</v>
      </c>
      <c r="DE288" s="712">
        <f t="shared" si="887"/>
        <v>-1.1569610489780616E-3</v>
      </c>
      <c r="DF288" s="712">
        <f>(VLOOKUP(Sheet1!CY288,hhdcap_wcm,4)-(((VLOOKUP(Sheet1!CY288,hhdcap_wcm,3)-Sheet1!CY288)/(VLOOKUP(Sheet1!CY288,hhdcap_wcm,3)-VLOOKUP(Sheet1!CY288,hhdcap_wcm,1)))*(VLOOKUP(Sheet1!CY288,hhdcap_wcm,4)-VLOOKUP(Sheet1!CY288,hhdcap_wcm,2))))</f>
        <v>22269.130000052184</v>
      </c>
      <c r="DG288" s="712">
        <f t="shared" si="888"/>
        <v>-717.2200000020166</v>
      </c>
      <c r="DH288" s="712">
        <f t="shared" si="889"/>
        <v>-361.68431669289788</v>
      </c>
      <c r="DI288" s="712">
        <f>Sheet1!DW288*AFtoMG</f>
        <v>0</v>
      </c>
      <c r="DJ288" s="712">
        <f>Sheet1!DX288*AFtoMG</f>
        <v>0</v>
      </c>
      <c r="DK288" s="712">
        <f>Sheet1!DY288*AFtoMG</f>
        <v>0</v>
      </c>
      <c r="DL288" s="712">
        <f>Sheet1!DZ288*AFtoMG</f>
        <v>0</v>
      </c>
      <c r="DM288" s="712">
        <f t="shared" si="890"/>
        <v>0</v>
      </c>
      <c r="DN288" s="712">
        <f t="shared" si="891"/>
        <v>0</v>
      </c>
      <c r="DO288" s="712">
        <f t="shared" si="892"/>
        <v>1454.9003225718106</v>
      </c>
      <c r="DP288" s="712">
        <f t="shared" si="893"/>
        <v>4463.6341896503154</v>
      </c>
      <c r="DQ288" s="712"/>
      <c r="DR288" s="697">
        <f>IF(OR(B288&lt;FL288,B288&gt;FM288),(MIN(AV288+BO288+CJ288+MAX(Sheet1!AA288+AG288-73,0),K288)),0)</f>
        <v>0</v>
      </c>
      <c r="DS288" s="712"/>
      <c r="DT288" s="712">
        <f t="shared" si="894"/>
        <v>11.416775935210183</v>
      </c>
      <c r="DU288" s="712"/>
      <c r="DV288" s="712">
        <f>Sheet1!ED288+Sheet1!EE288+Sheet1!EF288+Sheet1!EG288</f>
        <v>11.5</v>
      </c>
      <c r="DW288" s="712"/>
      <c r="DX288" s="697">
        <f t="shared" si="895"/>
        <v>0</v>
      </c>
      <c r="DY288" s="712">
        <f>IF(Sheet1!FN288=1,SUM('Calculations II'!AT288:BA288)+'Calculations II'!BC288+Sheet1!BU288+'Calculations II'!BE288+AF288,SUM('Calculations II'!AT288:BA288)+'Calculations II'!BC288+Sheet1!BU288+'Calculations II'!BE288+AF288)</f>
        <v>47.436336000000004</v>
      </c>
      <c r="DZ288" s="712">
        <f>Sheet1!AA288+Sheet1!AB288+'Calculations II'!BC288</f>
        <v>60.089999999999996</v>
      </c>
      <c r="EA288" s="712"/>
      <c r="EB288" s="712"/>
      <c r="EC288" s="712">
        <f t="shared" si="896"/>
        <v>40817</v>
      </c>
      <c r="ED288" s="712">
        <f t="shared" si="897"/>
        <v>-11.600038565368298</v>
      </c>
      <c r="EE288" s="712">
        <f t="shared" si="898"/>
        <v>-17.945259660624757</v>
      </c>
      <c r="EF288" s="712">
        <f ca="1">IF(B288=TODAY(),0,-(VLOOKUP(Sheet1!BQ288,Lookup!$B$4:$J$236,2)-VLOOKUP(Sheet1!BQ287,Lookup!$B$4:$J$236,2))/1000000)</f>
        <v>-0.2772</v>
      </c>
      <c r="EG288" s="712">
        <f ca="1">IF(B288=TODAY(),0,-(VLOOKUP(Sheet1!BR288,Lookup!$B$4:$J$236,3)-VLOOKUP(Sheet1!BR287,Lookup!$B$4:$J$236,3))/1000000)</f>
        <v>-0.27679999999999999</v>
      </c>
      <c r="EH288" s="712">
        <f>-(VLOOKUP(Sheet1!BS288,Lookup!$B$4:$J$236,4)-VLOOKUP(Sheet1!BS287,Lookup!$B$4:$J$236,4))/1000000</f>
        <v>0</v>
      </c>
      <c r="EI288" s="697">
        <f t="shared" ca="1" si="819"/>
        <v>-0.55400000000000005</v>
      </c>
      <c r="EJ288" s="712"/>
      <c r="EK288" s="712"/>
      <c r="EL288" s="712"/>
      <c r="EM288" s="712"/>
      <c r="EN288" s="712"/>
      <c r="EO288" s="712"/>
      <c r="EP288" s="712"/>
      <c r="EQ288" s="712"/>
      <c r="ER288" s="697">
        <f t="shared" si="833"/>
        <v>4450.1628643013137</v>
      </c>
      <c r="ES288" s="712">
        <f t="shared" si="834"/>
        <v>559.07126544093012</v>
      </c>
      <c r="ET288" s="794">
        <f t="shared" si="818"/>
        <v>1122</v>
      </c>
      <c r="EU288" s="794" t="e">
        <f t="shared" si="838"/>
        <v>#N/A</v>
      </c>
      <c r="EV288" s="795" t="e">
        <f t="shared" si="836"/>
        <v>#N/A</v>
      </c>
      <c r="EW288" s="796" t="s">
        <v>757</v>
      </c>
      <c r="EX288" s="796" t="s">
        <v>757</v>
      </c>
      <c r="EY288" s="794" t="e">
        <v>#N/A</v>
      </c>
      <c r="EZ288" s="798">
        <v>13904.900000028991</v>
      </c>
      <c r="FA288" s="712"/>
      <c r="FB288" s="712"/>
      <c r="FC288" s="712"/>
      <c r="FD288" s="712"/>
      <c r="FE288" s="712">
        <f>O288+Sheet1!CO288</f>
        <v>60.089999999999996</v>
      </c>
      <c r="FF288" s="712">
        <f>IF(Sheet1!AA288+AG288&lt;=Calculation!N288,AG288,Calculation!N288-Sheet1!AA288)</f>
        <v>14.483224064789818</v>
      </c>
      <c r="FG288" s="712">
        <f>(Sheet1!BP288+Sheet1!BO288)/694.4</f>
        <v>2.0741647465437789</v>
      </c>
      <c r="FH288" s="712"/>
      <c r="FI288" s="712"/>
      <c r="FJ288" s="712"/>
      <c r="FK288" s="712"/>
      <c r="FL288" s="714">
        <f t="shared" si="827"/>
        <v>40753</v>
      </c>
      <c r="FM288" s="714">
        <f t="shared" si="828"/>
        <v>40851</v>
      </c>
      <c r="FN288" s="712"/>
      <c r="FO288" s="712"/>
      <c r="FP288" s="712"/>
      <c r="FQ288" s="712"/>
      <c r="FR288" s="712"/>
      <c r="FS288" s="725">
        <f t="shared" si="839"/>
        <v>40603</v>
      </c>
      <c r="FT288" s="714">
        <f t="shared" si="830"/>
        <v>40709</v>
      </c>
      <c r="FU288" s="712">
        <f t="shared" si="839"/>
        <v>6518.9048239895692</v>
      </c>
      <c r="FV288" s="714">
        <f t="shared" si="831"/>
        <v>40722</v>
      </c>
      <c r="FW288" s="712">
        <f t="shared" si="839"/>
        <v>3259.4524119947846</v>
      </c>
      <c r="FX288" s="725">
        <f t="shared" si="839"/>
        <v>40851</v>
      </c>
      <c r="FZ288" s="697">
        <f t="shared" si="824"/>
        <v>0</v>
      </c>
      <c r="GA288" s="712" t="str">
        <f t="shared" si="899"/>
        <v/>
      </c>
      <c r="GB288" s="712">
        <f t="shared" si="900"/>
        <v>0</v>
      </c>
      <c r="GC288" s="712" t="str">
        <f t="shared" si="901"/>
        <v/>
      </c>
      <c r="GD288" s="712">
        <f>IF(GA288="P",Lookup!$M$12,IF(GA288="PP",Lookup!$M$13,IF(GA288="PPP",Lookup!$M$14,IF(GA288="T",Lookup!$M$15,IF(GA288="TP",Lookup!$M$16,IF(GA288="TPP",Lookup!$M$17,IF(GA288="TPPP",Lookup!$M$18,0)))))))*FZ288</f>
        <v>0</v>
      </c>
      <c r="GE288" s="712">
        <f t="shared" si="902"/>
        <v>0</v>
      </c>
      <c r="GF288" s="712">
        <f t="shared" si="903"/>
        <v>1966.2970666666663</v>
      </c>
      <c r="GG288" s="712">
        <f t="shared" si="904"/>
        <v>640.90517166449354</v>
      </c>
      <c r="GH288" s="712"/>
      <c r="GI288" s="712">
        <f t="shared" si="905"/>
        <v>0</v>
      </c>
      <c r="GJ288" s="712" t="str">
        <f t="shared" si="906"/>
        <v/>
      </c>
      <c r="GK288" s="712">
        <f>IF(GA288="P",Lookup!$N$12,IF(GA288="PP",Lookup!$N$13,IF(GA288="PPP",Lookup!$N$14,IF(GA288="T",Lookup!$N$15,IF(GA288="TP",Lookup!$N$16,IF(GA288="TPP",Lookup!$N$17,IF(GA288="TPPP",Lookup!$N$18,0)))))))*FZ288</f>
        <v>0</v>
      </c>
      <c r="GL288" s="712">
        <f t="shared" si="907"/>
        <v>0</v>
      </c>
      <c r="GM288" s="712">
        <f t="shared" si="908"/>
        <v>1529.3834474988057</v>
      </c>
      <c r="GN288" s="712">
        <f t="shared" si="909"/>
        <v>498.49525668148817</v>
      </c>
      <c r="GO288" s="712"/>
      <c r="GP288" s="712">
        <f t="shared" si="910"/>
        <v>0</v>
      </c>
      <c r="GQ288" s="712" t="str">
        <f t="shared" si="911"/>
        <v/>
      </c>
      <c r="GR288" s="712">
        <f>IF(GA288="P",Lookup!$N$12,IF(GA288="PP",Lookup!$N$13,IF(GA288="PPP",Lookup!$N$14,IF(GA288="T",Lookup!$N$15,IF(GA288="TP",Lookup!$N$16,IF(GA288="TPP",Lookup!$N$17,IF(GA288="TPPP",Lookup!$N$18,0)))))))*FZ288</f>
        <v>0</v>
      </c>
      <c r="GS288" s="697">
        <f t="shared" si="825"/>
        <v>0</v>
      </c>
      <c r="GT288" s="712">
        <f t="shared" si="912"/>
        <v>463.29162182124992</v>
      </c>
      <c r="GU288" s="712">
        <f t="shared" si="913"/>
        <v>151.00769942022487</v>
      </c>
      <c r="GV288" s="712"/>
      <c r="GW288" s="712">
        <f t="shared" si="914"/>
        <v>0</v>
      </c>
      <c r="GX288" s="712" t="str">
        <f t="shared" si="915"/>
        <v/>
      </c>
      <c r="GY288" s="712">
        <f>IF(GA288="P",Lookup!$N$12,IF(GA288="PP",Lookup!$N$13,IF(GA288="PPP",Lookup!$N$14,IF(GA288="T",Lookup!$N$15,IF(GA288="TP",Lookup!$N$16,IF(GA288="TPP",Lookup!$N$17,IF(GA288="TPPP",Lookup!$N$18,0)))))))*FZ288</f>
        <v>0</v>
      </c>
      <c r="GZ288" s="697">
        <f t="shared" si="826"/>
        <v>0</v>
      </c>
      <c r="HA288" s="712">
        <f t="shared" si="916"/>
        <v>504.66205366359259</v>
      </c>
      <c r="HB288" s="712">
        <f t="shared" si="917"/>
        <v>164.49219480560384</v>
      </c>
      <c r="HC288" s="712"/>
    </row>
    <row r="289" spans="1:211">
      <c r="A289" s="773" t="s">
        <v>3</v>
      </c>
      <c r="B289" s="708">
        <v>40818</v>
      </c>
      <c r="C289" s="709">
        <v>0.5</v>
      </c>
      <c r="D289" s="675">
        <f t="shared" si="840"/>
        <v>300</v>
      </c>
      <c r="E289" s="675">
        <f t="shared" si="841"/>
        <v>250</v>
      </c>
      <c r="F289" s="675">
        <v>250</v>
      </c>
      <c r="G289" s="712">
        <f>DH289+Sheet1!CV289</f>
        <v>210.99218355918282</v>
      </c>
      <c r="H289" s="712">
        <f t="shared" si="842"/>
        <v>0</v>
      </c>
      <c r="I289" s="711">
        <f>MAX(Sheet1!Z289-AJ289+(Sheet1!CW289-E289)*CFStoMGD,0)</f>
        <v>248.65392358163032</v>
      </c>
      <c r="J289" s="720">
        <f>IF(AND(B289&gt;=Calculation!FS289,B289&lt;=Calculation!FT289),IF(Sheet1!CX289&gt;=Calculation!D289,64.64,0),MAX(Sheet1!Z289-AJ289+(Sheet1!CX289-D289)*CFStoMGD,0))</f>
        <v>124.43739024829698</v>
      </c>
      <c r="K289" s="697">
        <f t="shared" si="843"/>
        <v>0</v>
      </c>
      <c r="L289" s="712">
        <f>Sheet1!AA289+Sheet1!AB289-Sheet1!L289+(Sheet1!CW289-F289)*CFStoMGD</f>
        <v>297.02600000000177</v>
      </c>
      <c r="M289" s="712">
        <f t="shared" si="844"/>
        <v>139.11305440170889</v>
      </c>
      <c r="N289" s="712">
        <f>IF(Sheet1!CW289&gt;=F289,MIN(73,MIN(MAX(L289,0),MAX(M289,0))),0)</f>
        <v>73</v>
      </c>
      <c r="O289" s="721">
        <f>Sheet1!AA289+Sheet1!AB289</f>
        <v>60.080000000001746</v>
      </c>
      <c r="P289" s="721">
        <f t="shared" si="845"/>
        <v>92.943760000002698</v>
      </c>
      <c r="Q289" s="712">
        <f>MIN(N289,Sheet1!AA289+AG289)</f>
        <v>48.452076418374332</v>
      </c>
      <c r="R289" s="712">
        <f t="shared" si="846"/>
        <v>11.5</v>
      </c>
      <c r="S289" s="721">
        <f>Sheet1!Y289*MGDtoCFS</f>
        <v>53.077570000000001</v>
      </c>
      <c r="T289" s="721">
        <f>Sheet1!Z289*MGDtoCFS</f>
        <v>40.268410000000003</v>
      </c>
      <c r="U289" s="721">
        <f>Sheet1!AA289*MGDtoCFS</f>
        <v>52.799110000007204</v>
      </c>
      <c r="V289" s="721">
        <f>Sheet1!AB289*MGDtoCFS</f>
        <v>40.144649999995494</v>
      </c>
      <c r="W289" s="721">
        <f>Sheet1!L289*MGDtoCFS</f>
        <v>0</v>
      </c>
      <c r="X289" s="697">
        <f t="shared" si="847"/>
        <v>11.633307603241022</v>
      </c>
      <c r="Y289" s="712">
        <f t="shared" si="848"/>
        <v>17.996726862213858</v>
      </c>
      <c r="Z289" s="712">
        <f t="shared" si="849"/>
        <v>0</v>
      </c>
      <c r="AA289" s="712">
        <f t="shared" si="850"/>
        <v>0</v>
      </c>
      <c r="AB289" s="712">
        <f>(VLOOKUP(Sheet1!CY289,hhdcap_wcm,4)-(((VLOOKUP(Sheet1!CY289,hhdcap_wcm,3)-Sheet1!CY289)/(VLOOKUP(Sheet1!CY289,hhdcap_wcm,3)-VLOOKUP(Sheet1!CY289,hhdcap_wcm,1)))*(VLOOKUP(Sheet1!CY289,hhdcap_wcm,4)-VLOOKUP(Sheet1!CY289,hhdcap_wcm,2))))</f>
        <v>21565.480000050044</v>
      </c>
      <c r="AC289" s="712">
        <f t="shared" si="851"/>
        <v>-703.65000000214059</v>
      </c>
      <c r="AD289" s="712">
        <f t="shared" si="852"/>
        <v>1443.2670149685694</v>
      </c>
      <c r="AE289" s="712">
        <f t="shared" si="853"/>
        <v>4427.943201923571</v>
      </c>
      <c r="AF289" s="712">
        <f>Sheet1!BA289+Sheet1!BB289+Sheet1!BN289+BT289</f>
        <v>14.3</v>
      </c>
      <c r="AG289" s="712">
        <f t="shared" si="854"/>
        <v>14.322076418369679</v>
      </c>
      <c r="AH289" s="712">
        <f>Sheet1!BA289+BT289</f>
        <v>0</v>
      </c>
      <c r="AI289" s="712">
        <f>Sheet1!BA289+Sheet1!BB289+BT289</f>
        <v>0</v>
      </c>
      <c r="AJ289" s="712">
        <f>IF((Sheet1!AA289+AG289+AX289+AZ289+BQ289+BS289+CL289+CN289)&lt;=N289,AG289+AX289+AZ289+BQ289+BS289+CL289+CN289,N289-Sheet1!AA289)</f>
        <v>14.322076418369679</v>
      </c>
      <c r="AK289" s="712">
        <f>IF(DR289&lt;K289,0,MAX(Sheet1!AA289+AG289-15/36*K289-N289,Sheet1!ED289,0))</f>
        <v>0</v>
      </c>
      <c r="AL289" s="712">
        <f>IF(OR(B289&gt;=FT289,B289&lt;FS289),0,15/36*K289-MAX(0,64.6-(137.6-(Sheet1!AA289+Sheet1!AB289))))</f>
        <v>0</v>
      </c>
      <c r="AM289" s="712">
        <f>Sheet1!CX289-110</f>
        <v>364.39583333333331</v>
      </c>
      <c r="AN289" s="712">
        <f>Sheet1!CW289-265</f>
        <v>351.5625</v>
      </c>
      <c r="AO289" s="712">
        <f t="shared" si="835"/>
        <v>24.547923581625668</v>
      </c>
      <c r="AP289" s="712">
        <f t="shared" si="855"/>
        <v>0</v>
      </c>
      <c r="AQ289" s="712">
        <f t="shared" si="856"/>
        <v>0</v>
      </c>
      <c r="AR289" s="712">
        <f t="shared" si="857"/>
        <v>640.90517166449354</v>
      </c>
      <c r="AS289" s="712"/>
      <c r="AT289" s="712">
        <f ca="1">IF(B289&gt;Summary!$A$1,#N/A,AR289*MGtoAF)</f>
        <v>1966.2970666666663</v>
      </c>
      <c r="AU289" s="712">
        <f>Sheet1!BG289+Sheet1!BH289+Sheet1!BI289-BC289</f>
        <v>1.07</v>
      </c>
      <c r="AV289" s="712">
        <f t="shared" si="858"/>
        <v>1.0716518718640249</v>
      </c>
      <c r="AW289" s="712">
        <f>IF(Sheet1!EL289="FM",BC289,0)</f>
        <v>0</v>
      </c>
      <c r="AX289" s="712">
        <f t="shared" si="859"/>
        <v>0</v>
      </c>
      <c r="AY289" s="712">
        <f>IF(Sheet1!EL289="OTHER",BC289,0)</f>
        <v>0</v>
      </c>
      <c r="AZ289" s="712">
        <f t="shared" si="860"/>
        <v>0</v>
      </c>
      <c r="BA289" s="712">
        <f t="shared" si="861"/>
        <v>1.07</v>
      </c>
      <c r="BB289" s="712">
        <f t="shared" si="862"/>
        <v>1.0716518718640249</v>
      </c>
      <c r="BC289" s="712">
        <f>IF(OR(Sheet1!EL289="FM", Sheet1!EL289="OTHER"),SUM(Sheet1!BG289:'Sheet1'!BI289),0)</f>
        <v>0</v>
      </c>
      <c r="BD289" s="697">
        <f>IF(AND($B289&gt;=$FL289,$B289&lt;=$FM289),MAX(AV289,Sheet1!EE289,0),MAX(AV289-(7/36)*$K289,0))</f>
        <v>1.0716518718640249</v>
      </c>
      <c r="BE289" s="712">
        <f t="shared" si="863"/>
        <v>0</v>
      </c>
      <c r="BF289" s="697">
        <f t="shared" si="864"/>
        <v>0</v>
      </c>
      <c r="BG289" s="697">
        <f>IF(AND($O289&gt;0,Sheet1!EI289=1),(1-($O289-Sheet1!$L289)/$O289)*BB289,0)</f>
        <v>0</v>
      </c>
      <c r="BH289" s="697">
        <f>IF(AND(Sheet1!$L289=0,Sheet1!$L288=0, Calculation!BA289&lt;Sheet1!$EE289-0.1,Sheet1!$EE289=Sheet1!$EE288,Sheet1!$EE289=Sheet1!$EE290),Sheet1!$EE289,BB289-BG289)</f>
        <v>1.0716518718640249</v>
      </c>
      <c r="BI289" s="712"/>
      <c r="BJ289" s="712"/>
      <c r="BK289" s="712">
        <f t="shared" si="865"/>
        <v>497.42360480962412</v>
      </c>
      <c r="BL289" s="712"/>
      <c r="BM289" s="712">
        <f ca="1">IF(B289&gt;Summary!$A$1,#N/A,BK289*MGtoAF)</f>
        <v>1526.0956195559268</v>
      </c>
      <c r="BN289" s="712">
        <f>Sheet1!BC289+Sheet1!BD289+Sheet1!BE289+Sheet1!BF289-BW289-BX289</f>
        <v>2.99</v>
      </c>
      <c r="BO289" s="712">
        <f t="shared" si="866"/>
        <v>2.9946159783863875</v>
      </c>
      <c r="BP289" s="712">
        <f>IF(Sheet1!EM289="FM",BX289,0)</f>
        <v>0</v>
      </c>
      <c r="BQ289" s="712">
        <f t="shared" si="867"/>
        <v>0</v>
      </c>
      <c r="BR289" s="712">
        <f>IF(Sheet1!EM289="OTHER",BX289,0)</f>
        <v>0</v>
      </c>
      <c r="BS289" s="712">
        <f t="shared" si="868"/>
        <v>0</v>
      </c>
      <c r="BT289" s="712">
        <f t="shared" si="869"/>
        <v>0</v>
      </c>
      <c r="BU289" s="712">
        <f t="shared" si="870"/>
        <v>2.99</v>
      </c>
      <c r="BV289" s="712">
        <f t="shared" si="871"/>
        <v>2.9946159783863875</v>
      </c>
      <c r="BW289" s="712">
        <f>IF(Sheet1!EM289="CWA",SUM(Sheet1!BC289:'Sheet1'!BF289),0)</f>
        <v>0</v>
      </c>
      <c r="BX289" s="712">
        <f>IF(OR(Sheet1!EM289="FM", Sheet1!EM289="OTHER"),SUM(Sheet1!BC289:'Sheet1'!BF289),0)</f>
        <v>0</v>
      </c>
      <c r="BY289" s="697">
        <f>IF(AND($B289&gt;=$FL289,$B289&lt;=$FM289),MAX(BV289,Sheet1!EF289,0),MAX(BV289-(7/36)*$K289,0))</f>
        <v>3</v>
      </c>
      <c r="BZ289" s="712">
        <f t="shared" si="872"/>
        <v>0</v>
      </c>
      <c r="CA289" s="697">
        <f t="shared" si="873"/>
        <v>0</v>
      </c>
      <c r="CB289" s="697">
        <f>IF(AND($O289&gt;0,Sheet1!EJ289=1),(1-($O289-Sheet1!$L289)/$O289)*BV289,0)</f>
        <v>0</v>
      </c>
      <c r="CC289" s="697">
        <f>IF(AND(Sheet1!$L289=0,Sheet1!$L288=0, Calculation!BU289&lt;Sheet1!EF289-0.1,Sheet1!EF289=Sheet1!EF288,Sheet1!EF289=Sheet1!EF290),Sheet1!EF289,BV289-CB289)</f>
        <v>2.9946159783863875</v>
      </c>
      <c r="CD289" s="697"/>
      <c r="CE289" s="712"/>
      <c r="CF289" s="712">
        <f t="shared" si="874"/>
        <v>148.00769942022487</v>
      </c>
      <c r="CG289" s="712"/>
      <c r="CH289" s="712">
        <f ca="1">IF(B289&gt;Summary!$A$1,#N/A,CF289*MGtoAF)</f>
        <v>454.08762182124991</v>
      </c>
      <c r="CI289" s="712">
        <f>Sheet1!BK289+Sheet1!BL289+Sheet1!BM289-Sheet1!EN289-CQ289</f>
        <v>7.55</v>
      </c>
      <c r="CJ289" s="712">
        <f t="shared" si="875"/>
        <v>7.5616557313769981</v>
      </c>
      <c r="CK289" s="712">
        <f>IF(Sheet1!EN289="FM",CQ289,0)</f>
        <v>0</v>
      </c>
      <c r="CL289" s="712">
        <f t="shared" si="876"/>
        <v>0</v>
      </c>
      <c r="CM289" s="712">
        <f>IF(Sheet1!EN289="OTHER",CQ289,0)</f>
        <v>0</v>
      </c>
      <c r="CN289" s="712">
        <f t="shared" si="877"/>
        <v>0</v>
      </c>
      <c r="CO289" s="712">
        <f t="shared" si="878"/>
        <v>7.55</v>
      </c>
      <c r="CP289" s="712">
        <f t="shared" si="879"/>
        <v>7.5616557313769981</v>
      </c>
      <c r="CQ289" s="712">
        <f>IF(OR(Sheet1!EN289="FM", Sheet1!EN289="OTHER"),SUM(Sheet1!BK289:'Sheet1'!BM289),0)</f>
        <v>0</v>
      </c>
      <c r="CR289" s="697">
        <f>IF(AND($B289&gt;=$FL289,$B289&lt;=$FM289),MAX($CJ289,Sheet1!EG289,0),MAX($CJ289-(7/36)*$K289,0))</f>
        <v>7.5616557313769981</v>
      </c>
      <c r="CS289" s="712">
        <f t="shared" si="880"/>
        <v>0</v>
      </c>
      <c r="CT289" s="697">
        <f t="shared" si="881"/>
        <v>0</v>
      </c>
      <c r="CU289" s="697">
        <f>IF(AND($O289&gt;0,Sheet1!EK289=1),(1-($O289-Sheet1!$L289)/$O289)*CP289,0)</f>
        <v>0</v>
      </c>
      <c r="CV289" s="697">
        <f>IF(AND(Sheet1!$L289=0,Sheet1!$L288=0, Calculation!CO289&lt;Sheet1!$EG289-0.1,Sheet1!$EG289=Sheet1!$EG288,Sheet1!$EG289=Sheet1!$EG290),Sheet1!$EG289,CP289-CU289)</f>
        <v>7.5616557313769981</v>
      </c>
      <c r="CW289" s="697">
        <f t="shared" si="837"/>
        <v>0</v>
      </c>
      <c r="CX289" s="712">
        <f t="shared" si="882"/>
        <v>11.61</v>
      </c>
      <c r="CY289" s="712">
        <f t="shared" si="883"/>
        <v>156.93053907422686</v>
      </c>
      <c r="CZ289" s="712">
        <f t="shared" si="884"/>
        <v>11.62792358162741</v>
      </c>
      <c r="DA289" s="712">
        <f ca="1">IF(B289&gt;Summary!$A$1,#N/A,CY289*MGtoAF)</f>
        <v>481.46289387972803</v>
      </c>
      <c r="DB289" s="712">
        <f t="shared" si="885"/>
        <v>11.61</v>
      </c>
      <c r="DC289" s="712">
        <f t="shared" si="886"/>
        <v>25.91</v>
      </c>
      <c r="DD289" s="712">
        <f>Sheet1!AB289-DC289</f>
        <v>3.9999999997089475E-2</v>
      </c>
      <c r="DE289" s="712">
        <f t="shared" si="887"/>
        <v>1.5438054803971236E-3</v>
      </c>
      <c r="DF289" s="712">
        <f>(VLOOKUP(Sheet1!CY289,hhdcap_wcm,4)-(((VLOOKUP(Sheet1!CY289,hhdcap_wcm,3)-Sheet1!CY289)/(VLOOKUP(Sheet1!CY289,hhdcap_wcm,3)-VLOOKUP(Sheet1!CY289,hhdcap_wcm,1)))*(VLOOKUP(Sheet1!CY289,hhdcap_wcm,4)-VLOOKUP(Sheet1!CY289,hhdcap_wcm,2))))</f>
        <v>21565.480000050044</v>
      </c>
      <c r="DG289" s="712">
        <f t="shared" si="888"/>
        <v>-703.65000000214059</v>
      </c>
      <c r="DH289" s="712">
        <f t="shared" si="889"/>
        <v>-354.84114977415055</v>
      </c>
      <c r="DI289" s="712">
        <f>Sheet1!DW289*AFtoMG</f>
        <v>0</v>
      </c>
      <c r="DJ289" s="712">
        <f>Sheet1!DX289*AFtoMG</f>
        <v>0</v>
      </c>
      <c r="DK289" s="712">
        <f>Sheet1!DY289*AFtoMG</f>
        <v>0</v>
      </c>
      <c r="DL289" s="712">
        <f>Sheet1!DZ289*AFtoMG</f>
        <v>0</v>
      </c>
      <c r="DM289" s="712">
        <f t="shared" si="890"/>
        <v>0</v>
      </c>
      <c r="DN289" s="712">
        <f t="shared" si="891"/>
        <v>0</v>
      </c>
      <c r="DO289" s="712">
        <f t="shared" si="892"/>
        <v>1443.2670149685694</v>
      </c>
      <c r="DP289" s="712">
        <f t="shared" si="893"/>
        <v>4427.943201923571</v>
      </c>
      <c r="DQ289" s="712"/>
      <c r="DR289" s="697">
        <f>IF(OR(B289&lt;FL289,B289&gt;FM289),(MIN(AV289+BO289+CJ289+MAX(Sheet1!AA289+AG289-73,0),K289)),0)</f>
        <v>0</v>
      </c>
      <c r="DS289" s="712"/>
      <c r="DT289" s="712">
        <f t="shared" si="894"/>
        <v>11.62792358162741</v>
      </c>
      <c r="DU289" s="712"/>
      <c r="DV289" s="712">
        <f>Sheet1!ED289+Sheet1!EE289+Sheet1!EF289+Sheet1!EG289</f>
        <v>11.5</v>
      </c>
      <c r="DW289" s="712"/>
      <c r="DX289" s="697">
        <f t="shared" si="895"/>
        <v>0</v>
      </c>
      <c r="DY289" s="712">
        <f>IF(Sheet1!FN289=1,SUM('Calculations II'!AT289:BA289)+'Calculations II'!BC289+Sheet1!BU289+'Calculations II'!BE289+AF289,SUM('Calculations II'!AT289:BA289)+'Calculations II'!BC289+Sheet1!BU289+'Calculations II'!BE289+AF289)</f>
        <v>48.766623999999993</v>
      </c>
      <c r="DZ289" s="712">
        <f>Sheet1!AA289+Sheet1!AB289+'Calculations II'!BC289</f>
        <v>60.080000000001746</v>
      </c>
      <c r="EA289" s="712"/>
      <c r="EB289" s="712"/>
      <c r="EC289" s="712">
        <f t="shared" si="896"/>
        <v>40818</v>
      </c>
      <c r="ED289" s="712">
        <f t="shared" si="897"/>
        <v>-11.633307603241022</v>
      </c>
      <c r="EE289" s="712">
        <f t="shared" si="898"/>
        <v>-17.996726862213858</v>
      </c>
      <c r="EF289" s="712">
        <f ca="1">IF(B289=TODAY(),0,-(VLOOKUP(Sheet1!BQ289,Lookup!$B$4:$J$236,2)-VLOOKUP(Sheet1!BQ288,Lookup!$B$4:$J$236,2))/1000000)</f>
        <v>0.55100000000000005</v>
      </c>
      <c r="EG289" s="712">
        <f ca="1">IF(B289=TODAY(),0,-(VLOOKUP(Sheet1!BR289,Lookup!$B$4:$J$236,3)-VLOOKUP(Sheet1!BR288,Lookup!$B$4:$J$236,3))/1000000)</f>
        <v>0.8236</v>
      </c>
      <c r="EH289" s="712">
        <f>-(VLOOKUP(Sheet1!BS289,Lookup!$B$4:$J$236,4)-VLOOKUP(Sheet1!BS288,Lookup!$B$4:$J$236,4))/1000000</f>
        <v>0</v>
      </c>
      <c r="EI289" s="697">
        <f t="shared" ca="1" si="819"/>
        <v>1.3746</v>
      </c>
      <c r="EJ289" s="712"/>
      <c r="EK289" s="712"/>
      <c r="EL289" s="712"/>
      <c r="EM289" s="712"/>
      <c r="EN289" s="712"/>
      <c r="EO289" s="712"/>
      <c r="EP289" s="712"/>
      <c r="EQ289" s="712"/>
      <c r="ER289" s="697">
        <f t="shared" si="833"/>
        <v>3928.3645454896014</v>
      </c>
      <c r="ES289" s="712">
        <f t="shared" si="834"/>
        <v>521.79831881171253</v>
      </c>
      <c r="ET289" s="794">
        <f t="shared" si="818"/>
        <v>1121.7</v>
      </c>
      <c r="EU289" s="794" t="e">
        <f t="shared" si="838"/>
        <v>#N/A</v>
      </c>
      <c r="EV289" s="795" t="e">
        <f t="shared" si="836"/>
        <v>#N/A</v>
      </c>
      <c r="EW289" s="796" t="s">
        <v>757</v>
      </c>
      <c r="EX289" s="796" t="s">
        <v>757</v>
      </c>
      <c r="EY289" s="794" t="e">
        <v>#N/A</v>
      </c>
      <c r="EZ289" s="798">
        <v>13722.100000028784</v>
      </c>
      <c r="FA289" s="712"/>
      <c r="FB289" s="712"/>
      <c r="FC289" s="712"/>
      <c r="FD289" s="712"/>
      <c r="FE289" s="712">
        <f>O289+Sheet1!CO289</f>
        <v>60.080000000001746</v>
      </c>
      <c r="FF289" s="712">
        <f>IF(Sheet1!AA289+AG289&lt;=Calculation!N289,AG289,Calculation!N289-Sheet1!AA289)</f>
        <v>14.322076418369679</v>
      </c>
      <c r="FG289" s="712">
        <f>(Sheet1!BP289+Sheet1!BO289)/694.4</f>
        <v>2.5228974654377883</v>
      </c>
      <c r="FH289" s="712"/>
      <c r="FI289" s="712"/>
      <c r="FJ289" s="712"/>
      <c r="FK289" s="712"/>
      <c r="FL289" s="714">
        <f t="shared" si="827"/>
        <v>40753</v>
      </c>
      <c r="FM289" s="714">
        <f t="shared" si="828"/>
        <v>40851</v>
      </c>
      <c r="FN289" s="712"/>
      <c r="FO289" s="712"/>
      <c r="FP289" s="712"/>
      <c r="FQ289" s="712"/>
      <c r="FR289" s="712"/>
      <c r="FS289" s="725">
        <f t="shared" si="839"/>
        <v>40603</v>
      </c>
      <c r="FT289" s="714">
        <f t="shared" si="830"/>
        <v>40709</v>
      </c>
      <c r="FU289" s="712">
        <f t="shared" si="839"/>
        <v>6518.9048239895692</v>
      </c>
      <c r="FV289" s="714">
        <f t="shared" si="831"/>
        <v>40722</v>
      </c>
      <c r="FW289" s="712">
        <f t="shared" si="839"/>
        <v>3259.4524119947846</v>
      </c>
      <c r="FX289" s="725">
        <f t="shared" si="839"/>
        <v>40851</v>
      </c>
      <c r="FZ289" s="697">
        <f t="shared" si="824"/>
        <v>0</v>
      </c>
      <c r="GA289" s="712" t="str">
        <f t="shared" si="899"/>
        <v/>
      </c>
      <c r="GB289" s="712">
        <f t="shared" si="900"/>
        <v>0</v>
      </c>
      <c r="GC289" s="712" t="str">
        <f t="shared" si="901"/>
        <v/>
      </c>
      <c r="GD289" s="712">
        <f>IF(GA289="P",Lookup!$M$12,IF(GA289="PP",Lookup!$M$13,IF(GA289="PPP",Lookup!$M$14,IF(GA289="T",Lookup!$M$15,IF(GA289="TP",Lookup!$M$16,IF(GA289="TPP",Lookup!$M$17,IF(GA289="TPPP",Lookup!$M$18,0)))))))*FZ289</f>
        <v>0</v>
      </c>
      <c r="GE289" s="712">
        <f t="shared" si="902"/>
        <v>0</v>
      </c>
      <c r="GF289" s="712">
        <f t="shared" si="903"/>
        <v>1966.2970666666663</v>
      </c>
      <c r="GG289" s="712">
        <f t="shared" si="904"/>
        <v>640.90517166449354</v>
      </c>
      <c r="GH289" s="712"/>
      <c r="GI289" s="712">
        <f t="shared" si="905"/>
        <v>0</v>
      </c>
      <c r="GJ289" s="712" t="str">
        <f t="shared" si="906"/>
        <v/>
      </c>
      <c r="GK289" s="712">
        <f>IF(GA289="P",Lookup!$N$12,IF(GA289="PP",Lookup!$N$13,IF(GA289="PPP",Lookup!$N$14,IF(GA289="T",Lookup!$N$15,IF(GA289="TP",Lookup!$N$16,IF(GA289="TPP",Lookup!$N$17,IF(GA289="TPPP",Lookup!$N$18,0)))))))*FZ289</f>
        <v>0</v>
      </c>
      <c r="GL289" s="712">
        <f t="shared" si="907"/>
        <v>0</v>
      </c>
      <c r="GM289" s="712">
        <f t="shared" si="908"/>
        <v>1526.0956195559268</v>
      </c>
      <c r="GN289" s="712">
        <f t="shared" si="909"/>
        <v>497.42360480962412</v>
      </c>
      <c r="GO289" s="712"/>
      <c r="GP289" s="712">
        <f t="shared" si="910"/>
        <v>0</v>
      </c>
      <c r="GQ289" s="712" t="str">
        <f t="shared" si="911"/>
        <v/>
      </c>
      <c r="GR289" s="712">
        <f>IF(GA289="P",Lookup!$N$12,IF(GA289="PP",Lookup!$N$13,IF(GA289="PPP",Lookup!$N$14,IF(GA289="T",Lookup!$N$15,IF(GA289="TP",Lookup!$N$16,IF(GA289="TPP",Lookup!$N$17,IF(GA289="TPPP",Lookup!$N$18,0)))))))*FZ289</f>
        <v>0</v>
      </c>
      <c r="GS289" s="697">
        <f t="shared" si="825"/>
        <v>0</v>
      </c>
      <c r="GT289" s="712">
        <f t="shared" si="912"/>
        <v>454.08762182124991</v>
      </c>
      <c r="GU289" s="712">
        <f t="shared" si="913"/>
        <v>148.00769942022487</v>
      </c>
      <c r="GV289" s="712"/>
      <c r="GW289" s="712">
        <f t="shared" si="914"/>
        <v>0</v>
      </c>
      <c r="GX289" s="712" t="str">
        <f t="shared" si="915"/>
        <v/>
      </c>
      <c r="GY289" s="712">
        <f>IF(GA289="P",Lookup!$N$12,IF(GA289="PP",Lookup!$N$13,IF(GA289="PPP",Lookup!$N$14,IF(GA289="T",Lookup!$N$15,IF(GA289="TP",Lookup!$N$16,IF(GA289="TPP",Lookup!$N$17,IF(GA289="TPPP",Lookup!$N$18,0)))))))*FZ289</f>
        <v>0</v>
      </c>
      <c r="GZ289" s="697">
        <f t="shared" si="826"/>
        <v>0</v>
      </c>
      <c r="HA289" s="712">
        <f t="shared" si="916"/>
        <v>481.46289387972803</v>
      </c>
      <c r="HB289" s="712">
        <f t="shared" si="917"/>
        <v>156.93053907422686</v>
      </c>
      <c r="HC289" s="712"/>
    </row>
    <row r="290" spans="1:211">
      <c r="A290" s="773" t="s">
        <v>4</v>
      </c>
      <c r="B290" s="708">
        <v>40819</v>
      </c>
      <c r="C290" s="719">
        <v>0.5</v>
      </c>
      <c r="D290" s="675">
        <f t="shared" si="840"/>
        <v>300</v>
      </c>
      <c r="E290" s="675">
        <f t="shared" si="841"/>
        <v>250</v>
      </c>
      <c r="F290" s="675">
        <v>250</v>
      </c>
      <c r="G290" s="712">
        <f>DH290+Sheet1!CV290</f>
        <v>212.3446797770938</v>
      </c>
      <c r="H290" s="712">
        <f t="shared" si="842"/>
        <v>0</v>
      </c>
      <c r="I290" s="711">
        <f>MAX(Sheet1!Z290-AJ290+(Sheet1!CW290-E290)*CFStoMGD,0)</f>
        <v>253.96856009227301</v>
      </c>
      <c r="J290" s="720">
        <f>IF(AND(B290&gt;=Calculation!FS290,B290&lt;=Calculation!FT290),IF(Sheet1!CX290&gt;=Calculation!D290,64.64,0),MAX(Sheet1!Z290-AJ290+(Sheet1!CX290-D290)*CFStoMGD,0))</f>
        <v>122.85036009227304</v>
      </c>
      <c r="K290" s="697">
        <f t="shared" si="843"/>
        <v>0</v>
      </c>
      <c r="L290" s="712">
        <f>Sheet1!AA290+Sheet1!AB290-Sheet1!L290+(Sheet1!CW290-F290)*CFStoMGD</f>
        <v>302.56813333333014</v>
      </c>
      <c r="M290" s="712">
        <f t="shared" si="844"/>
        <v>140.0047930280717</v>
      </c>
      <c r="N290" s="712">
        <f>IF(Sheet1!CW290&gt;=F290,MIN(73,MIN(MAX(L290,0),MAX(M290,0))),0)</f>
        <v>73</v>
      </c>
      <c r="O290" s="721">
        <f>Sheet1!AA290+Sheet1!AB290</f>
        <v>60.019999999996799</v>
      </c>
      <c r="P290" s="721">
        <f t="shared" si="845"/>
        <v>92.850939999995035</v>
      </c>
      <c r="Q290" s="712">
        <f>MIN(N290,Sheet1!AA290+AG290)</f>
        <v>48.779573241058564</v>
      </c>
      <c r="R290" s="712">
        <f t="shared" si="846"/>
        <v>11</v>
      </c>
      <c r="S290" s="721">
        <f>Sheet1!Y290*MGDtoCFS</f>
        <v>53.24774</v>
      </c>
      <c r="T290" s="721">
        <f>Sheet1!Z290*MGDtoCFS</f>
        <v>40.268410000000003</v>
      </c>
      <c r="U290" s="721">
        <f>Sheet1!AA290*MGDtoCFS</f>
        <v>52.860989999997294</v>
      </c>
      <c r="V290" s="721">
        <f>Sheet1!AB290*MGDtoCFS</f>
        <v>39.989949999997748</v>
      </c>
      <c r="W290" s="721">
        <f>Sheet1!L290*MGDtoCFS</f>
        <v>0</v>
      </c>
      <c r="X290" s="697">
        <f t="shared" si="847"/>
        <v>11.24680891964608</v>
      </c>
      <c r="Y290" s="712">
        <f t="shared" si="848"/>
        <v>17.398813398692486</v>
      </c>
      <c r="Z290" s="712">
        <f t="shared" si="849"/>
        <v>0</v>
      </c>
      <c r="AA290" s="712">
        <f t="shared" si="850"/>
        <v>0</v>
      </c>
      <c r="AB290" s="712">
        <f>(VLOOKUP(Sheet1!CY290,hhdcap_wcm,4)-(((VLOOKUP(Sheet1!CY290,hhdcap_wcm,3)-Sheet1!CY290)/(VLOOKUP(Sheet1!CY290,hhdcap_wcm,3)-VLOOKUP(Sheet1!CY290,hhdcap_wcm,1)))*(VLOOKUP(Sheet1!CY290,hhdcap_wcm,4)-VLOOKUP(Sheet1!CY290,hhdcap_wcm,2))))</f>
        <v>20869.800000048021</v>
      </c>
      <c r="AC290" s="712">
        <f t="shared" si="851"/>
        <v>-695.68000000202301</v>
      </c>
      <c r="AD290" s="712">
        <f t="shared" si="852"/>
        <v>1432.0202060489232</v>
      </c>
      <c r="AE290" s="712">
        <f t="shared" si="853"/>
        <v>4393.4379921580967</v>
      </c>
      <c r="AF290" s="712">
        <f>Sheet1!BA290+Sheet1!BB290+Sheet1!BN290+BT290</f>
        <v>14.7</v>
      </c>
      <c r="AG290" s="712">
        <f t="shared" si="854"/>
        <v>14.609573241060309</v>
      </c>
      <c r="AH290" s="712">
        <f>Sheet1!BA290+BT290</f>
        <v>0</v>
      </c>
      <c r="AI290" s="712">
        <f>Sheet1!BA290+Sheet1!BB290+BT290</f>
        <v>0</v>
      </c>
      <c r="AJ290" s="712">
        <f>IF((Sheet1!AA290+AG290+AX290+AZ290+BQ290+BS290+CL290+CN290)&lt;=N290,AG290+AX290+AZ290+BQ290+BS290+CL290+CN290,N290-Sheet1!AA290)</f>
        <v>14.609573241060309</v>
      </c>
      <c r="AK290" s="712">
        <f>IF(DR290&lt;K290,0,MAX(Sheet1!AA290+AG290-15/36*K290-N290,Sheet1!ED290,0))</f>
        <v>0</v>
      </c>
      <c r="AL290" s="712">
        <f>IF(OR(B290&gt;=FT290,B290&lt;FS290),0,15/36*K290-MAX(0,64.6-(137.6-(Sheet1!AA290+Sheet1!AB290))))</f>
        <v>0</v>
      </c>
      <c r="AM290" s="712">
        <f>Sheet1!CX290-110</f>
        <v>362.38541666666669</v>
      </c>
      <c r="AN290" s="712">
        <f>Sheet1!CW290-265</f>
        <v>360.22916666666663</v>
      </c>
      <c r="AO290" s="712">
        <f t="shared" si="835"/>
        <v>24.220426758941436</v>
      </c>
      <c r="AP290" s="712">
        <f t="shared" si="855"/>
        <v>0</v>
      </c>
      <c r="AQ290" s="712">
        <f t="shared" si="856"/>
        <v>0</v>
      </c>
      <c r="AR290" s="712">
        <f t="shared" si="857"/>
        <v>640.90517166449354</v>
      </c>
      <c r="AS290" s="712"/>
      <c r="AT290" s="712">
        <f ca="1">IF(B290&gt;Summary!$A$1,#N/A,AR290*MGtoAF)</f>
        <v>1966.2970666666663</v>
      </c>
      <c r="AU290" s="712">
        <f>Sheet1!BG290+Sheet1!BH290+Sheet1!BI290-BC290</f>
        <v>1.06</v>
      </c>
      <c r="AV290" s="712">
        <f t="shared" si="858"/>
        <v>1.0534794309880224</v>
      </c>
      <c r="AW290" s="712">
        <f>IF(Sheet1!EL290="FM",BC290,0)</f>
        <v>0</v>
      </c>
      <c r="AX290" s="712">
        <f t="shared" si="859"/>
        <v>0</v>
      </c>
      <c r="AY290" s="712">
        <f>IF(Sheet1!EL290="OTHER",BC290,0)</f>
        <v>0</v>
      </c>
      <c r="AZ290" s="712">
        <f t="shared" si="860"/>
        <v>0</v>
      </c>
      <c r="BA290" s="712">
        <f t="shared" si="861"/>
        <v>1.06</v>
      </c>
      <c r="BB290" s="712">
        <f t="shared" si="862"/>
        <v>1.0534794309880224</v>
      </c>
      <c r="BC290" s="712">
        <f>IF(OR(Sheet1!EL290="FM", Sheet1!EL290="OTHER"),SUM(Sheet1!BG290:'Sheet1'!BI290),0)</f>
        <v>0</v>
      </c>
      <c r="BD290" s="697">
        <f>IF(AND($B290&gt;=$FL290,$B290&lt;=$FM290),MAX(AV290,Sheet1!EE290,0),MAX(AV290-(7/36)*$K290,0))</f>
        <v>1.0534794309880224</v>
      </c>
      <c r="BE290" s="712">
        <f t="shared" si="863"/>
        <v>0</v>
      </c>
      <c r="BF290" s="697">
        <f t="shared" si="864"/>
        <v>0</v>
      </c>
      <c r="BG290" s="697">
        <f>IF(AND($O290&gt;0,Sheet1!EI290=1),(1-($O290-Sheet1!$L290)/$O290)*BB290,0)</f>
        <v>0</v>
      </c>
      <c r="BH290" s="697">
        <f>IF(AND(Sheet1!$L290=0,Sheet1!$L289=0, Calculation!BA290&lt;Sheet1!$EE290-0.1,Sheet1!$EE290=Sheet1!$EE289,Sheet1!$EE290=Sheet1!$EE291),Sheet1!$EE290,BB290-BG290)</f>
        <v>1.0534794309880224</v>
      </c>
      <c r="BI290" s="712"/>
      <c r="BJ290" s="712"/>
      <c r="BK290" s="712">
        <f t="shared" si="865"/>
        <v>496.37012537863609</v>
      </c>
      <c r="BL290" s="712"/>
      <c r="BM290" s="712">
        <f ca="1">IF(B290&gt;Summary!$A$1,#N/A,BK290*MGtoAF)</f>
        <v>1522.8635446616556</v>
      </c>
      <c r="BN290" s="712">
        <f>Sheet1!BC290+Sheet1!BD290+Sheet1!BE290+Sheet1!BF290-BW290-BX290</f>
        <v>2.71</v>
      </c>
      <c r="BO290" s="712">
        <f t="shared" si="866"/>
        <v>2.693329488658057</v>
      </c>
      <c r="BP290" s="712">
        <f>IF(Sheet1!EM290="FM",BX290,0)</f>
        <v>0</v>
      </c>
      <c r="BQ290" s="712">
        <f t="shared" si="867"/>
        <v>0</v>
      </c>
      <c r="BR290" s="712">
        <f>IF(Sheet1!EM290="OTHER",BX290,0)</f>
        <v>0</v>
      </c>
      <c r="BS290" s="712">
        <f t="shared" si="868"/>
        <v>0</v>
      </c>
      <c r="BT290" s="712">
        <f t="shared" si="869"/>
        <v>0</v>
      </c>
      <c r="BU290" s="712">
        <f t="shared" si="870"/>
        <v>2.71</v>
      </c>
      <c r="BV290" s="712">
        <f t="shared" si="871"/>
        <v>2.693329488658057</v>
      </c>
      <c r="BW290" s="712">
        <f>IF(Sheet1!EM290="CWA",SUM(Sheet1!BC290:'Sheet1'!BF290),0)</f>
        <v>0</v>
      </c>
      <c r="BX290" s="712">
        <f>IF(OR(Sheet1!EM290="FM", Sheet1!EM290="OTHER"),SUM(Sheet1!BC290:'Sheet1'!BF290),0)</f>
        <v>0</v>
      </c>
      <c r="BY290" s="697">
        <f>IF(AND($B290&gt;=$FL290,$B290&lt;=$FM290),MAX(BV290,Sheet1!EF290,0),MAX(BV290-(7/36)*$K290,0))</f>
        <v>2.693329488658057</v>
      </c>
      <c r="BZ290" s="712">
        <f t="shared" si="872"/>
        <v>0</v>
      </c>
      <c r="CA290" s="697">
        <f t="shared" si="873"/>
        <v>0</v>
      </c>
      <c r="CB290" s="697">
        <f>IF(AND($O290&gt;0,Sheet1!EJ290=1),(1-($O290-Sheet1!$L290)/$O290)*BV290,0)</f>
        <v>0</v>
      </c>
      <c r="CC290" s="697">
        <f>IF(AND(Sheet1!$L290=0,Sheet1!$L289=0, Calculation!BU290&lt;Sheet1!EF290-0.1,Sheet1!EF290=Sheet1!EF289,Sheet1!EF290=Sheet1!EF291),Sheet1!EF290,BV290-CB290)</f>
        <v>2.693329488658057</v>
      </c>
      <c r="CD290" s="697"/>
      <c r="CE290" s="712"/>
      <c r="CF290" s="712">
        <f t="shared" si="874"/>
        <v>145.3143699315668</v>
      </c>
      <c r="CG290" s="712"/>
      <c r="CH290" s="712">
        <f ca="1">IF(B290&gt;Summary!$A$1,#N/A,CF290*MGtoAF)</f>
        <v>445.82448695004695</v>
      </c>
      <c r="CI290" s="712">
        <f>Sheet1!BK290+Sheet1!BL290+Sheet1!BM290-Sheet1!EN290-CQ290</f>
        <v>7.54</v>
      </c>
      <c r="CJ290" s="712">
        <f t="shared" si="875"/>
        <v>7.4936178392921589</v>
      </c>
      <c r="CK290" s="712">
        <f>IF(Sheet1!EN290="FM",CQ290,0)</f>
        <v>0</v>
      </c>
      <c r="CL290" s="712">
        <f t="shared" si="876"/>
        <v>0</v>
      </c>
      <c r="CM290" s="712">
        <f>IF(Sheet1!EN290="OTHER",CQ290,0)</f>
        <v>0</v>
      </c>
      <c r="CN290" s="712">
        <f t="shared" si="877"/>
        <v>0</v>
      </c>
      <c r="CO290" s="712">
        <f t="shared" si="878"/>
        <v>7.54</v>
      </c>
      <c r="CP290" s="712">
        <f t="shared" si="879"/>
        <v>7.4936178392921589</v>
      </c>
      <c r="CQ290" s="712">
        <f>IF(OR(Sheet1!EN290="FM", Sheet1!EN290="OTHER"),SUM(Sheet1!BK290:'Sheet1'!BM290),0)</f>
        <v>0</v>
      </c>
      <c r="CR290" s="697">
        <f>IF(AND($B290&gt;=$FL290,$B290&lt;=$FM290),MAX($CJ290,Sheet1!EG290,0),MAX($CJ290-(7/36)*$K290,0))</f>
        <v>7.5</v>
      </c>
      <c r="CS290" s="712">
        <f t="shared" si="880"/>
        <v>0</v>
      </c>
      <c r="CT290" s="697">
        <f t="shared" si="881"/>
        <v>0</v>
      </c>
      <c r="CU290" s="697">
        <f>IF(AND($O290&gt;0,Sheet1!EK290=1),(1-($O290-Sheet1!$L290)/$O290)*CP290,0)</f>
        <v>0</v>
      </c>
      <c r="CV290" s="697">
        <f>IF(AND(Sheet1!$L290=0,Sheet1!$L289=0, Calculation!CO290&lt;Sheet1!$EG290-0.1,Sheet1!$EG290=Sheet1!$EG289,Sheet1!$EG290=Sheet1!$EG291),Sheet1!$EG290,CP290-CU290)</f>
        <v>7.4936178392921589</v>
      </c>
      <c r="CW290" s="697">
        <f t="shared" si="837"/>
        <v>0</v>
      </c>
      <c r="CX290" s="712">
        <f t="shared" si="882"/>
        <v>11.31</v>
      </c>
      <c r="CY290" s="712">
        <f t="shared" si="883"/>
        <v>149.43053907422686</v>
      </c>
      <c r="CZ290" s="712">
        <f t="shared" si="884"/>
        <v>11.240426758938238</v>
      </c>
      <c r="DA290" s="712">
        <f ca="1">IF(B290&gt;Summary!$A$1,#N/A,CY290*MGtoAF)</f>
        <v>458.45289387972798</v>
      </c>
      <c r="DB290" s="712">
        <f t="shared" si="885"/>
        <v>11.31</v>
      </c>
      <c r="DC290" s="712">
        <f t="shared" si="886"/>
        <v>26.009999999999998</v>
      </c>
      <c r="DD290" s="712">
        <f>Sheet1!AB290-DC290</f>
        <v>-0.1600000000014532</v>
      </c>
      <c r="DE290" s="712">
        <f t="shared" si="887"/>
        <v>-6.1514801999789778E-3</v>
      </c>
      <c r="DF290" s="712">
        <f>(VLOOKUP(Sheet1!CY290,hhdcap_wcm,4)-(((VLOOKUP(Sheet1!CY290,hhdcap_wcm,3)-Sheet1!CY290)/(VLOOKUP(Sheet1!CY290,hhdcap_wcm,3)-VLOOKUP(Sheet1!CY290,hhdcap_wcm,1)))*(VLOOKUP(Sheet1!CY290,hhdcap_wcm,4)-VLOOKUP(Sheet1!CY290,hhdcap_wcm,2))))</f>
        <v>20869.800000048021</v>
      </c>
      <c r="DG290" s="712">
        <f t="shared" si="888"/>
        <v>-695.68000000202301</v>
      </c>
      <c r="DH290" s="712">
        <f t="shared" si="889"/>
        <v>-350.82198688957283</v>
      </c>
      <c r="DI290" s="712">
        <f>Sheet1!DW290*AFtoMG</f>
        <v>0</v>
      </c>
      <c r="DJ290" s="712">
        <f>Sheet1!DX290*AFtoMG</f>
        <v>0</v>
      </c>
      <c r="DK290" s="712">
        <f>Sheet1!DY290*AFtoMG</f>
        <v>0</v>
      </c>
      <c r="DL290" s="712">
        <f>Sheet1!DZ290*AFtoMG</f>
        <v>0</v>
      </c>
      <c r="DM290" s="712">
        <f t="shared" si="890"/>
        <v>0</v>
      </c>
      <c r="DN290" s="712">
        <f t="shared" si="891"/>
        <v>0</v>
      </c>
      <c r="DO290" s="712">
        <f t="shared" si="892"/>
        <v>1432.0202060489232</v>
      </c>
      <c r="DP290" s="712">
        <f t="shared" si="893"/>
        <v>4393.4379921580967</v>
      </c>
      <c r="DQ290" s="712"/>
      <c r="DR290" s="697">
        <f>IF(OR(B290&lt;FL290,B290&gt;FM290),(MIN(AV290+BO290+CJ290+MAX(Sheet1!AA290+AG290-73,0),K290)),0)</f>
        <v>0</v>
      </c>
      <c r="DS290" s="712"/>
      <c r="DT290" s="712">
        <f t="shared" si="894"/>
        <v>11.240426758938238</v>
      </c>
      <c r="DU290" s="712"/>
      <c r="DV290" s="712">
        <f>Sheet1!ED290+Sheet1!EE290+Sheet1!EF290+Sheet1!EG290</f>
        <v>11</v>
      </c>
      <c r="DW290" s="712"/>
      <c r="DX290" s="697">
        <f t="shared" si="895"/>
        <v>0</v>
      </c>
      <c r="DY290" s="712">
        <f>IF(Sheet1!FN290=1,SUM('Calculations II'!AT290:BA290)+'Calculations II'!BC290+Sheet1!BU290+'Calculations II'!BE290+AF290,SUM('Calculations II'!AT290:BA290)+'Calculations II'!BC290+Sheet1!BU290+'Calculations II'!BE290+AF290)</f>
        <v>47.822160000000011</v>
      </c>
      <c r="DZ290" s="712">
        <f>Sheet1!AA290+Sheet1!AB290+'Calculations II'!BC290</f>
        <v>60.019999999996799</v>
      </c>
      <c r="EA290" s="712"/>
      <c r="EB290" s="712"/>
      <c r="EC290" s="712">
        <f t="shared" si="896"/>
        <v>40819</v>
      </c>
      <c r="ED290" s="712">
        <f t="shared" si="897"/>
        <v>-11.24680891964608</v>
      </c>
      <c r="EE290" s="712">
        <f t="shared" si="898"/>
        <v>-17.398813398692486</v>
      </c>
      <c r="EF290" s="712">
        <f ca="1">IF(B290=TODAY(),0,-(VLOOKUP(Sheet1!BQ290,Lookup!$B$4:$J$236,2)-VLOOKUP(Sheet1!BQ289,Lookup!$B$4:$J$236,2))/1000000)</f>
        <v>0</v>
      </c>
      <c r="EG290" s="712">
        <f ca="1">IF(B290=TODAY(),0,-(VLOOKUP(Sheet1!BR290,Lookup!$B$4:$J$236,3)-VLOOKUP(Sheet1!BR289,Lookup!$B$4:$J$236,3))/1000000)</f>
        <v>-0.27339999999999998</v>
      </c>
      <c r="EH290" s="712">
        <f>-(VLOOKUP(Sheet1!BS290,Lookup!$B$4:$J$236,4)-VLOOKUP(Sheet1!BS289,Lookup!$B$4:$J$236,4))/1000000</f>
        <v>0</v>
      </c>
      <c r="EI290" s="697">
        <f t="shared" ca="1" si="819"/>
        <v>-0.27339999999999998</v>
      </c>
      <c r="EJ290" s="712"/>
      <c r="EK290" s="712"/>
      <c r="EL290" s="712"/>
      <c r="EM290" s="712"/>
      <c r="EN290" s="712"/>
      <c r="EO290" s="712"/>
      <c r="EP290" s="712"/>
      <c r="EQ290" s="712"/>
      <c r="ER290" s="697">
        <f t="shared" si="833"/>
        <v>3405.418233019428</v>
      </c>
      <c r="ES290" s="712">
        <f t="shared" si="834"/>
        <v>522.94631247017332</v>
      </c>
      <c r="ET290" s="794">
        <f t="shared" si="818"/>
        <v>1121.3</v>
      </c>
      <c r="EU290" s="794" t="e">
        <f t="shared" si="838"/>
        <v>#N/A</v>
      </c>
      <c r="EV290" s="795" t="e">
        <f t="shared" si="836"/>
        <v>#N/A</v>
      </c>
      <c r="EW290" s="796" t="s">
        <v>757</v>
      </c>
      <c r="EX290" s="796" t="s">
        <v>757</v>
      </c>
      <c r="EY290" s="794" t="e">
        <v>#N/A</v>
      </c>
      <c r="EZ290" s="798">
        <v>13585.000000028678</v>
      </c>
      <c r="FA290" s="712"/>
      <c r="FB290" s="712"/>
      <c r="FC290" s="712"/>
      <c r="FD290" s="712"/>
      <c r="FE290" s="712">
        <f>O290+Sheet1!CO290</f>
        <v>60.019999999996799</v>
      </c>
      <c r="FF290" s="712">
        <f>IF(Sheet1!AA290+AG290&lt;=Calculation!N290,AG290,Calculation!N290-Sheet1!AA290)</f>
        <v>14.609573241060309</v>
      </c>
      <c r="FG290" s="712">
        <f>(Sheet1!BP290+Sheet1!BO290)/694.4</f>
        <v>2.009072580645161</v>
      </c>
      <c r="FH290" s="712"/>
      <c r="FI290" s="712"/>
      <c r="FJ290" s="712"/>
      <c r="FK290" s="712"/>
      <c r="FL290" s="714">
        <f t="shared" si="827"/>
        <v>40753</v>
      </c>
      <c r="FM290" s="714">
        <f t="shared" si="828"/>
        <v>40851</v>
      </c>
      <c r="FN290" s="712"/>
      <c r="FO290" s="712"/>
      <c r="FP290" s="712"/>
      <c r="FQ290" s="712"/>
      <c r="FR290" s="712"/>
      <c r="FS290" s="725">
        <f t="shared" si="839"/>
        <v>40603</v>
      </c>
      <c r="FT290" s="714">
        <f t="shared" si="830"/>
        <v>40709</v>
      </c>
      <c r="FU290" s="712">
        <f t="shared" si="839"/>
        <v>6518.9048239895692</v>
      </c>
      <c r="FV290" s="714">
        <f t="shared" si="831"/>
        <v>40722</v>
      </c>
      <c r="FW290" s="712">
        <f t="shared" si="839"/>
        <v>3259.4524119947846</v>
      </c>
      <c r="FX290" s="725">
        <f t="shared" si="839"/>
        <v>40851</v>
      </c>
      <c r="FZ290" s="697">
        <f t="shared" si="824"/>
        <v>0</v>
      </c>
      <c r="GA290" s="712" t="str">
        <f t="shared" si="899"/>
        <v/>
      </c>
      <c r="GB290" s="712">
        <f t="shared" si="900"/>
        <v>0</v>
      </c>
      <c r="GC290" s="712" t="str">
        <f t="shared" si="901"/>
        <v/>
      </c>
      <c r="GD290" s="712">
        <f>IF(GA290="P",Lookup!$M$12,IF(GA290="PP",Lookup!$M$13,IF(GA290="PPP",Lookup!$M$14,IF(GA290="T",Lookup!$M$15,IF(GA290="TP",Lookup!$M$16,IF(GA290="TPP",Lookup!$M$17,IF(GA290="TPPP",Lookup!$M$18,0)))))))*FZ290</f>
        <v>0</v>
      </c>
      <c r="GE290" s="712">
        <f t="shared" si="902"/>
        <v>0</v>
      </c>
      <c r="GF290" s="712">
        <f t="shared" si="903"/>
        <v>1966.2970666666663</v>
      </c>
      <c r="GG290" s="712">
        <f t="shared" si="904"/>
        <v>640.90517166449354</v>
      </c>
      <c r="GH290" s="712"/>
      <c r="GI290" s="712">
        <f t="shared" si="905"/>
        <v>0</v>
      </c>
      <c r="GJ290" s="712" t="str">
        <f t="shared" si="906"/>
        <v/>
      </c>
      <c r="GK290" s="712">
        <f>IF(GA290="P",Lookup!$N$12,IF(GA290="PP",Lookup!$N$13,IF(GA290="PPP",Lookup!$N$14,IF(GA290="T",Lookup!$N$15,IF(GA290="TP",Lookup!$N$16,IF(GA290="TPP",Lookup!$N$17,IF(GA290="TPPP",Lookup!$N$18,0)))))))*FZ290</f>
        <v>0</v>
      </c>
      <c r="GL290" s="712">
        <f t="shared" si="907"/>
        <v>0</v>
      </c>
      <c r="GM290" s="712">
        <f t="shared" si="908"/>
        <v>1522.8635446616556</v>
      </c>
      <c r="GN290" s="712">
        <f t="shared" si="909"/>
        <v>496.37012537863609</v>
      </c>
      <c r="GO290" s="712"/>
      <c r="GP290" s="712">
        <f t="shared" si="910"/>
        <v>0</v>
      </c>
      <c r="GQ290" s="712" t="str">
        <f t="shared" si="911"/>
        <v/>
      </c>
      <c r="GR290" s="712">
        <f>IF(GA290="P",Lookup!$N$12,IF(GA290="PP",Lookup!$N$13,IF(GA290="PPP",Lookup!$N$14,IF(GA290="T",Lookup!$N$15,IF(GA290="TP",Lookup!$N$16,IF(GA290="TPP",Lookup!$N$17,IF(GA290="TPPP",Lookup!$N$18,0)))))))*FZ290</f>
        <v>0</v>
      </c>
      <c r="GS290" s="697">
        <f t="shared" si="825"/>
        <v>0</v>
      </c>
      <c r="GT290" s="712">
        <f t="shared" si="912"/>
        <v>445.82448695004695</v>
      </c>
      <c r="GU290" s="712">
        <f t="shared" si="913"/>
        <v>145.3143699315668</v>
      </c>
      <c r="GV290" s="712"/>
      <c r="GW290" s="712">
        <f t="shared" si="914"/>
        <v>0</v>
      </c>
      <c r="GX290" s="712" t="str">
        <f t="shared" si="915"/>
        <v/>
      </c>
      <c r="GY290" s="712">
        <f>IF(GA290="P",Lookup!$N$12,IF(GA290="PP",Lookup!$N$13,IF(GA290="PPP",Lookup!$N$14,IF(GA290="T",Lookup!$N$15,IF(GA290="TP",Lookup!$N$16,IF(GA290="TPP",Lookup!$N$17,IF(GA290="TPPP",Lookup!$N$18,0)))))))*FZ290</f>
        <v>0</v>
      </c>
      <c r="GZ290" s="697">
        <f t="shared" si="826"/>
        <v>0</v>
      </c>
      <c r="HA290" s="712">
        <f t="shared" si="916"/>
        <v>458.45289387972798</v>
      </c>
      <c r="HB290" s="712">
        <f t="shared" si="917"/>
        <v>149.43053907422686</v>
      </c>
      <c r="HC290" s="712"/>
    </row>
    <row r="291" spans="1:211">
      <c r="A291" s="773" t="s">
        <v>5</v>
      </c>
      <c r="B291" s="708">
        <v>40820</v>
      </c>
      <c r="C291" s="719">
        <v>0.5</v>
      </c>
      <c r="D291" s="675">
        <f t="shared" si="840"/>
        <v>300</v>
      </c>
      <c r="E291" s="675">
        <f t="shared" si="841"/>
        <v>250</v>
      </c>
      <c r="F291" s="675">
        <v>250</v>
      </c>
      <c r="G291" s="712">
        <f>DH291+Sheet1!CV291</f>
        <v>207.59751638830681</v>
      </c>
      <c r="H291" s="712">
        <f t="shared" si="842"/>
        <v>0</v>
      </c>
      <c r="I291" s="711">
        <f>MAX(Sheet1!Z291-AJ291+(Sheet1!CW291-E291)*CFStoMGD,0)</f>
        <v>251.07534785478387</v>
      </c>
      <c r="J291" s="720">
        <f>IF(AND(B291&gt;=Calculation!FS291,B291&lt;=Calculation!FT291),IF(Sheet1!CX291&gt;=Calculation!D291,64.64,0),MAX(Sheet1!Z291-AJ291+(Sheet1!CX291-D291)*CFStoMGD,0))</f>
        <v>132.19834785478383</v>
      </c>
      <c r="K291" s="697">
        <f t="shared" si="843"/>
        <v>0</v>
      </c>
      <c r="L291" s="712">
        <f>Sheet1!AA291+Sheet1!AB291-Sheet1!L291+(Sheet1!CW291-F291)*CFStoMGD</f>
        <v>298.88346666666666</v>
      </c>
      <c r="M291" s="712">
        <f t="shared" si="844"/>
        <v>136.87485528526955</v>
      </c>
      <c r="N291" s="712">
        <f>IF(Sheet1!CW291&gt;=F291,MIN(73,MIN(MAX(L291,0),MAX(M291,0))),0)</f>
        <v>73</v>
      </c>
      <c r="O291" s="721">
        <f>Sheet1!AA291+Sheet1!AB291</f>
        <v>59.5</v>
      </c>
      <c r="P291" s="721">
        <f t="shared" si="845"/>
        <v>92.046500000000009</v>
      </c>
      <c r="Q291" s="712">
        <f>MIN(N291,Sheet1!AA291+AG291)</f>
        <v>48.428118811879912</v>
      </c>
      <c r="R291" s="712">
        <f t="shared" si="846"/>
        <v>11</v>
      </c>
      <c r="S291" s="721">
        <f>Sheet1!Y291*MGDtoCFS</f>
        <v>53.077570000000001</v>
      </c>
      <c r="T291" s="721">
        <f>Sheet1!Z291*MGDtoCFS</f>
        <v>40.098240000000004</v>
      </c>
      <c r="U291" s="721">
        <f>Sheet1!AA291*MGDtoCFS</f>
        <v>52.907399999995498</v>
      </c>
      <c r="V291" s="721">
        <f>Sheet1!AB291*MGDtoCFS</f>
        <v>39.139100000004504</v>
      </c>
      <c r="W291" s="721">
        <f>Sheet1!L291*MGDtoCFS</f>
        <v>0</v>
      </c>
      <c r="X291" s="697">
        <f t="shared" si="847"/>
        <v>11.071881188120088</v>
      </c>
      <c r="Y291" s="712">
        <f t="shared" si="848"/>
        <v>17.128200198021776</v>
      </c>
      <c r="Z291" s="712">
        <f t="shared" si="849"/>
        <v>0</v>
      </c>
      <c r="AA291" s="712">
        <f t="shared" si="850"/>
        <v>0</v>
      </c>
      <c r="AB291" s="712">
        <f>(VLOOKUP(Sheet1!CY291,hhdcap_wcm,4)-(((VLOOKUP(Sheet1!CY291,hhdcap_wcm,3)-Sheet1!CY291)/(VLOOKUP(Sheet1!CY291,hhdcap_wcm,3)-VLOOKUP(Sheet1!CY291,hhdcap_wcm,1)))*(VLOOKUP(Sheet1!CY291,hhdcap_wcm,4)-VLOOKUP(Sheet1!CY291,hhdcap_wcm,2))))</f>
        <v>20132.400000046033</v>
      </c>
      <c r="AC291" s="712">
        <f t="shared" si="851"/>
        <v>-737.40000000198779</v>
      </c>
      <c r="AD291" s="712">
        <f t="shared" si="852"/>
        <v>1094.9483248608033</v>
      </c>
      <c r="AE291" s="712">
        <f t="shared" si="853"/>
        <v>3359.3014606729444</v>
      </c>
      <c r="AF291" s="712">
        <f>Sheet1!BA291+Sheet1!BB291+Sheet1!BN291+BT291</f>
        <v>14.2</v>
      </c>
      <c r="AG291" s="712">
        <f t="shared" si="854"/>
        <v>14.228118811882824</v>
      </c>
      <c r="AH291" s="712">
        <f>Sheet1!BA291+BT291</f>
        <v>0</v>
      </c>
      <c r="AI291" s="712">
        <f>Sheet1!BA291+Sheet1!BB291+BT291</f>
        <v>0</v>
      </c>
      <c r="AJ291" s="712">
        <f>IF((Sheet1!AA291+AG291+AX291+AZ291+BQ291+BS291+CL291+CN291)&lt;=N291,AG291+AX291+AZ291+BQ291+BS291+CL291+CN291,N291-Sheet1!AA291)</f>
        <v>14.228118811882824</v>
      </c>
      <c r="AK291" s="712">
        <f>IF(DR291&lt;K291,0,MAX(Sheet1!AA291+AG291-15/36*K291-N291,Sheet1!ED291,0))</f>
        <v>0</v>
      </c>
      <c r="AL291" s="712">
        <f>IF(OR(B291&gt;=FT291,B291&lt;FS291),0,15/36*K291-MAX(0,64.6-(137.6-(Sheet1!AA291+Sheet1!AB291))))</f>
        <v>0</v>
      </c>
      <c r="AM291" s="712">
        <f>Sheet1!CX291-110</f>
        <v>376.42708333333331</v>
      </c>
      <c r="AN291" s="712">
        <f>Sheet1!CW291-265</f>
        <v>355.33333333333337</v>
      </c>
      <c r="AO291" s="712">
        <f t="shared" si="835"/>
        <v>24.571881188120088</v>
      </c>
      <c r="AP291" s="712">
        <f t="shared" si="855"/>
        <v>0</v>
      </c>
      <c r="AQ291" s="712">
        <f t="shared" si="856"/>
        <v>0</v>
      </c>
      <c r="AR291" s="712">
        <f t="shared" si="857"/>
        <v>314.90517166449354</v>
      </c>
      <c r="AS291" s="712"/>
      <c r="AT291" s="712">
        <f ca="1">IF(B291&gt;Summary!$A$1,#N/A,AR291*MGtoAF)</f>
        <v>966.12906666666618</v>
      </c>
      <c r="AU291" s="712">
        <f>Sheet1!BG291+Sheet1!BH291+Sheet1!BI291-BC291</f>
        <v>1</v>
      </c>
      <c r="AV291" s="712">
        <f t="shared" si="858"/>
        <v>1.0019801980199172</v>
      </c>
      <c r="AW291" s="712">
        <f>IF(Sheet1!EL291="FM",BC291,0)</f>
        <v>0</v>
      </c>
      <c r="AX291" s="712">
        <f t="shared" si="859"/>
        <v>0</v>
      </c>
      <c r="AY291" s="712">
        <f>IF(Sheet1!EL291="OTHER",BC291,0)</f>
        <v>0</v>
      </c>
      <c r="AZ291" s="712">
        <f t="shared" si="860"/>
        <v>0</v>
      </c>
      <c r="BA291" s="712">
        <f t="shared" si="861"/>
        <v>1</v>
      </c>
      <c r="BB291" s="712">
        <f t="shared" si="862"/>
        <v>1.0019801980199172</v>
      </c>
      <c r="BC291" s="712">
        <f>IF(OR(Sheet1!EL291="FM", Sheet1!EL291="OTHER"),SUM(Sheet1!BG291:'Sheet1'!BI291),0)</f>
        <v>0</v>
      </c>
      <c r="BD291" s="697">
        <f>IF(AND($B291&gt;=$FL291,$B291&lt;=$FM291),MAX(AV291,Sheet1!EE291,0),MAX(AV291-(7/36)*$K291,0))</f>
        <v>1.0019801980199172</v>
      </c>
      <c r="BE291" s="712">
        <f t="shared" si="863"/>
        <v>0</v>
      </c>
      <c r="BF291" s="697">
        <f t="shared" si="864"/>
        <v>0</v>
      </c>
      <c r="BG291" s="697">
        <f>IF(AND($O291&gt;0,Sheet1!EI291=1),(1-($O291-Sheet1!$L291)/$O291)*BB291,0)</f>
        <v>0</v>
      </c>
      <c r="BH291" s="697">
        <f>IF(AND(Sheet1!$L291=0,Sheet1!$L290=0, Calculation!BA291&lt;Sheet1!$EE291-0.1,Sheet1!$EE291=Sheet1!$EE290,Sheet1!$EE291=Sheet1!$EE292),Sheet1!$EE291,BB291-BG291)</f>
        <v>1.0019801980199172</v>
      </c>
      <c r="BI291" s="712"/>
      <c r="BJ291" s="712"/>
      <c r="BK291" s="712">
        <f t="shared" si="865"/>
        <v>495.36814518061618</v>
      </c>
      <c r="BL291" s="712"/>
      <c r="BM291" s="712">
        <f ca="1">IF(B291&gt;Summary!$A$1,#N/A,BK291*MGtoAF)</f>
        <v>1519.7894694141305</v>
      </c>
      <c r="BN291" s="712">
        <f>Sheet1!BC291+Sheet1!BD291+Sheet1!BE291+Sheet1!BF291-BW291-BX291</f>
        <v>2.5</v>
      </c>
      <c r="BO291" s="712">
        <f t="shared" si="866"/>
        <v>2.5049504950497932</v>
      </c>
      <c r="BP291" s="712">
        <f>IF(Sheet1!EM291="FM",BX291,0)</f>
        <v>0</v>
      </c>
      <c r="BQ291" s="712">
        <f t="shared" si="867"/>
        <v>0</v>
      </c>
      <c r="BR291" s="712">
        <f>IF(Sheet1!EM291="OTHER",BX291,0)</f>
        <v>0</v>
      </c>
      <c r="BS291" s="712">
        <f t="shared" si="868"/>
        <v>0</v>
      </c>
      <c r="BT291" s="712">
        <f t="shared" si="869"/>
        <v>0</v>
      </c>
      <c r="BU291" s="712">
        <f t="shared" si="870"/>
        <v>2.5</v>
      </c>
      <c r="BV291" s="712">
        <f t="shared" si="871"/>
        <v>2.5049504950497932</v>
      </c>
      <c r="BW291" s="712">
        <f>IF(Sheet1!EM291="CWA",SUM(Sheet1!BC291:'Sheet1'!BF291),0)</f>
        <v>0</v>
      </c>
      <c r="BX291" s="712">
        <f>IF(OR(Sheet1!EM291="FM", Sheet1!EM291="OTHER"),SUM(Sheet1!BC291:'Sheet1'!BF291),0)</f>
        <v>0</v>
      </c>
      <c r="BY291" s="697">
        <f>IF(AND($B291&gt;=$FL291,$B291&lt;=$FM291),MAX(BV291,Sheet1!EF291,0),MAX(BV291-(7/36)*$K291,0))</f>
        <v>2.5049504950497932</v>
      </c>
      <c r="BZ291" s="712">
        <f t="shared" si="872"/>
        <v>0</v>
      </c>
      <c r="CA291" s="697">
        <f t="shared" si="873"/>
        <v>0</v>
      </c>
      <c r="CB291" s="697">
        <f>IF(AND($O291&gt;0,Sheet1!EJ291=1),(1-($O291-Sheet1!$L291)/$O291)*BV291,0)</f>
        <v>0</v>
      </c>
      <c r="CC291" s="697">
        <f>IF(AND(Sheet1!$L291=0,Sheet1!$L290=0, Calculation!BU291&lt;Sheet1!EF291-0.1,Sheet1!EF291=Sheet1!EF290,Sheet1!EF291=Sheet1!EF292),Sheet1!EF291,BV291-CB291)</f>
        <v>2.5049504950497932</v>
      </c>
      <c r="CD291" s="697"/>
      <c r="CE291" s="712"/>
      <c r="CF291" s="712">
        <f t="shared" si="874"/>
        <v>142.809419436517</v>
      </c>
      <c r="CG291" s="712"/>
      <c r="CH291" s="712">
        <f ca="1">IF(B291&gt;Summary!$A$1,#N/A,CF291*MGtoAF)</f>
        <v>438.13929883123416</v>
      </c>
      <c r="CI291" s="712">
        <f>Sheet1!BK291+Sheet1!BL291+Sheet1!BM291-Sheet1!EN291-CQ291</f>
        <v>7.5500000000000007</v>
      </c>
      <c r="CJ291" s="712">
        <f t="shared" si="875"/>
        <v>7.5649504950503763</v>
      </c>
      <c r="CK291" s="712">
        <f>IF(Sheet1!EN291="FM",CQ291,0)</f>
        <v>0</v>
      </c>
      <c r="CL291" s="712">
        <f t="shared" si="876"/>
        <v>0</v>
      </c>
      <c r="CM291" s="712">
        <f>IF(Sheet1!EN291="OTHER",CQ291,0)</f>
        <v>0</v>
      </c>
      <c r="CN291" s="712">
        <f t="shared" si="877"/>
        <v>0</v>
      </c>
      <c r="CO291" s="712">
        <f t="shared" si="878"/>
        <v>7.5500000000000007</v>
      </c>
      <c r="CP291" s="712">
        <f t="shared" si="879"/>
        <v>7.5649504950503763</v>
      </c>
      <c r="CQ291" s="712">
        <f>IF(OR(Sheet1!EN291="FM", Sheet1!EN291="OTHER"),SUM(Sheet1!BK291:'Sheet1'!BM291),0)</f>
        <v>0</v>
      </c>
      <c r="CR291" s="697">
        <f>IF(AND($B291&gt;=$FL291,$B291&lt;=$FM291),MAX($CJ291,Sheet1!EG291,0),MAX($CJ291-(7/36)*$K291,0))</f>
        <v>7.5649504950503763</v>
      </c>
      <c r="CS291" s="712">
        <f t="shared" si="880"/>
        <v>0</v>
      </c>
      <c r="CT291" s="697">
        <f t="shared" si="881"/>
        <v>0</v>
      </c>
      <c r="CU291" s="697">
        <f>IF(AND($O291&gt;0,Sheet1!EK291=1),(1-($O291-Sheet1!$L291)/$O291)*CP291,0)</f>
        <v>0</v>
      </c>
      <c r="CV291" s="697">
        <f>IF(AND(Sheet1!$L291=0,Sheet1!$L290=0, Calculation!CO291&lt;Sheet1!$EG291-0.1,Sheet1!$EG291=Sheet1!$EG290,Sheet1!$EG291=Sheet1!$EG292),Sheet1!$EG291,CP291-CU291)</f>
        <v>7.5649504950503763</v>
      </c>
      <c r="CW291" s="697">
        <f t="shared" si="837"/>
        <v>0</v>
      </c>
      <c r="CX291" s="712">
        <f t="shared" si="882"/>
        <v>11.05</v>
      </c>
      <c r="CY291" s="712">
        <f t="shared" si="883"/>
        <v>141.86558857917649</v>
      </c>
      <c r="CZ291" s="712">
        <f t="shared" si="884"/>
        <v>11.071881188120088</v>
      </c>
      <c r="DA291" s="712">
        <f ca="1">IF(B291&gt;Summary!$A$1,#N/A,CY291*MGtoAF)</f>
        <v>435.24362576091346</v>
      </c>
      <c r="DB291" s="712">
        <f t="shared" si="885"/>
        <v>11.05</v>
      </c>
      <c r="DC291" s="712">
        <f t="shared" si="886"/>
        <v>25.25</v>
      </c>
      <c r="DD291" s="712">
        <f>Sheet1!AB291-DC291</f>
        <v>5.0000000002910383E-2</v>
      </c>
      <c r="DE291" s="712">
        <f t="shared" si="887"/>
        <v>1.9801980199172431E-3</v>
      </c>
      <c r="DF291" s="712">
        <f>(VLOOKUP(Sheet1!CY291,hhdcap_wcm,4)-(((VLOOKUP(Sheet1!CY291,hhdcap_wcm,3)-Sheet1!CY291)/(VLOOKUP(Sheet1!CY291,hhdcap_wcm,3)-VLOOKUP(Sheet1!CY291,hhdcap_wcm,1)))*(VLOOKUP(Sheet1!CY291,hhdcap_wcm,4)-VLOOKUP(Sheet1!CY291,hhdcap_wcm,2))))</f>
        <v>20132.400000046033</v>
      </c>
      <c r="DG291" s="712">
        <f t="shared" si="888"/>
        <v>-737.40000000198779</v>
      </c>
      <c r="DH291" s="712">
        <f t="shared" si="889"/>
        <v>-371.86081694502656</v>
      </c>
      <c r="DI291" s="712">
        <f>Sheet1!DW291*AFtoMG</f>
        <v>-326</v>
      </c>
      <c r="DJ291" s="712">
        <f>Sheet1!DX291*AFtoMG</f>
        <v>0</v>
      </c>
      <c r="DK291" s="712">
        <f>Sheet1!DY291*AFtoMG</f>
        <v>0</v>
      </c>
      <c r="DL291" s="712">
        <f>Sheet1!DZ291*AFtoMG</f>
        <v>0</v>
      </c>
      <c r="DM291" s="712">
        <f t="shared" si="890"/>
        <v>-326</v>
      </c>
      <c r="DN291" s="712">
        <f t="shared" si="891"/>
        <v>-1000.168</v>
      </c>
      <c r="DO291" s="712">
        <f t="shared" si="892"/>
        <v>1094.9483248608033</v>
      </c>
      <c r="DP291" s="712">
        <f t="shared" si="893"/>
        <v>3359.3014606729444</v>
      </c>
      <c r="DQ291" s="712"/>
      <c r="DR291" s="697">
        <f>IF(OR(B291&lt;FL291,B291&gt;FM291),(MIN(AV291+BO291+CJ291+MAX(Sheet1!AA291+AG291-73,0),K291)),0)</f>
        <v>0</v>
      </c>
      <c r="DS291" s="712"/>
      <c r="DT291" s="712">
        <f t="shared" si="894"/>
        <v>11.071881188120088</v>
      </c>
      <c r="DU291" s="712"/>
      <c r="DV291" s="712">
        <f>Sheet1!ED291+Sheet1!EE291+Sheet1!EF291+Sheet1!EG291</f>
        <v>11</v>
      </c>
      <c r="DW291" s="712"/>
      <c r="DX291" s="697">
        <f t="shared" si="895"/>
        <v>0</v>
      </c>
      <c r="DY291" s="712">
        <f>IF(Sheet1!FN291=1,SUM('Calculations II'!AT291:BA291)+'Calculations II'!BC291+Sheet1!BU291+'Calculations II'!BE291+AF291,SUM('Calculations II'!AT291:BA291)+'Calculations II'!BC291+Sheet1!BU291+'Calculations II'!BE291+AF291)</f>
        <v>45.129407999999998</v>
      </c>
      <c r="DZ291" s="712">
        <f>Sheet1!AA291+Sheet1!AB291+'Calculations II'!BC291</f>
        <v>59.5</v>
      </c>
      <c r="EA291" s="712"/>
      <c r="EB291" s="712"/>
      <c r="EC291" s="712">
        <f t="shared" si="896"/>
        <v>40820</v>
      </c>
      <c r="ED291" s="712">
        <f t="shared" si="897"/>
        <v>-11.071881188120088</v>
      </c>
      <c r="EE291" s="712">
        <f t="shared" si="898"/>
        <v>-17.128200198021776</v>
      </c>
      <c r="EF291" s="712">
        <f ca="1">IF(B291=TODAY(),0,-(VLOOKUP(Sheet1!BQ291,Lookup!$B$4:$J$236,2)-VLOOKUP(Sheet1!BQ290,Lookup!$B$4:$J$236,2))/1000000)</f>
        <v>-1.1053999999999999</v>
      </c>
      <c r="EG291" s="712">
        <f ca="1">IF(B291=TODAY(),0,-(VLOOKUP(Sheet1!BR291,Lookup!$B$4:$J$236,3)-VLOOKUP(Sheet1!BR290,Lookup!$B$4:$J$236,3))/1000000)</f>
        <v>-1.1037999999999999</v>
      </c>
      <c r="EH291" s="712">
        <f>-(VLOOKUP(Sheet1!BS291,Lookup!$B$4:$J$236,4)-VLOOKUP(Sheet1!BS290,Lookup!$B$4:$J$236,4))/1000000</f>
        <v>0</v>
      </c>
      <c r="EI291" s="697">
        <f t="shared" ca="1" si="819"/>
        <v>-2.2092000000000001</v>
      </c>
      <c r="EJ291" s="712"/>
      <c r="EK291" s="712"/>
      <c r="EL291" s="712"/>
      <c r="EM291" s="712"/>
      <c r="EN291" s="712"/>
      <c r="EO291" s="712"/>
      <c r="EP291" s="712"/>
      <c r="EQ291" s="712"/>
      <c r="ER291" s="697">
        <f t="shared" si="833"/>
        <v>3363.1490985392643</v>
      </c>
      <c r="ES291" s="712">
        <f t="shared" si="834"/>
        <v>42.269134480163963</v>
      </c>
      <c r="ET291" s="794">
        <f t="shared" si="818"/>
        <v>1121</v>
      </c>
      <c r="EU291" s="794" t="e">
        <f t="shared" si="838"/>
        <v>#N/A</v>
      </c>
      <c r="EV291" s="795" t="e">
        <f t="shared" si="836"/>
        <v>#N/A</v>
      </c>
      <c r="EW291" s="796" t="s">
        <v>757</v>
      </c>
      <c r="EX291" s="796" t="s">
        <v>757</v>
      </c>
      <c r="EY291" s="794" t="e">
        <v>#N/A</v>
      </c>
      <c r="EZ291" s="798">
        <v>13451.500000027825</v>
      </c>
      <c r="FA291" s="712"/>
      <c r="FB291" s="712"/>
      <c r="FC291" s="712"/>
      <c r="FD291" s="712"/>
      <c r="FE291" s="712">
        <f>O291+Sheet1!CO291</f>
        <v>59.5</v>
      </c>
      <c r="FF291" s="712">
        <f>IF(Sheet1!AA291+AG291&lt;=Calculation!N291,AG291,Calculation!N291-Sheet1!AA291)</f>
        <v>14.228118811882824</v>
      </c>
      <c r="FG291" s="712">
        <f>(Sheet1!BP291+Sheet1!BO291)/694.4</f>
        <v>1.8372695852534562</v>
      </c>
      <c r="FH291" s="712"/>
      <c r="FI291" s="712"/>
      <c r="FJ291" s="712"/>
      <c r="FK291" s="712"/>
      <c r="FL291" s="714">
        <f t="shared" si="827"/>
        <v>40753</v>
      </c>
      <c r="FM291" s="714">
        <f t="shared" si="828"/>
        <v>40851</v>
      </c>
      <c r="FN291" s="712"/>
      <c r="FO291" s="712"/>
      <c r="FP291" s="712"/>
      <c r="FQ291" s="712"/>
      <c r="FR291" s="712"/>
      <c r="FS291" s="725">
        <f t="shared" si="839"/>
        <v>40603</v>
      </c>
      <c r="FT291" s="714">
        <f t="shared" si="830"/>
        <v>40709</v>
      </c>
      <c r="FU291" s="712">
        <f t="shared" si="839"/>
        <v>6518.9048239895692</v>
      </c>
      <c r="FV291" s="714">
        <f t="shared" si="831"/>
        <v>40722</v>
      </c>
      <c r="FW291" s="712">
        <f t="shared" si="839"/>
        <v>3259.4524119947846</v>
      </c>
      <c r="FX291" s="725">
        <f t="shared" si="839"/>
        <v>40851</v>
      </c>
      <c r="FZ291" s="697">
        <f t="shared" si="824"/>
        <v>0</v>
      </c>
      <c r="GA291" s="712" t="str">
        <f t="shared" si="899"/>
        <v/>
      </c>
      <c r="GB291" s="712">
        <f t="shared" si="900"/>
        <v>0</v>
      </c>
      <c r="GC291" s="712" t="str">
        <f t="shared" si="901"/>
        <v/>
      </c>
      <c r="GD291" s="712">
        <f>IF(GA291="P",Lookup!$M$12,IF(GA291="PP",Lookup!$M$13,IF(GA291="PPP",Lookup!$M$14,IF(GA291="T",Lookup!$M$15,IF(GA291="TP",Lookup!$M$16,IF(GA291="TPP",Lookup!$M$17,IF(GA291="TPPP",Lookup!$M$18,0)))))))*FZ291</f>
        <v>0</v>
      </c>
      <c r="GE291" s="712">
        <f t="shared" si="902"/>
        <v>0</v>
      </c>
      <c r="GF291" s="712">
        <f t="shared" si="903"/>
        <v>966.12906666666618</v>
      </c>
      <c r="GG291" s="712">
        <f t="shared" si="904"/>
        <v>314.90517166449354</v>
      </c>
      <c r="GH291" s="712"/>
      <c r="GI291" s="712">
        <f t="shared" si="905"/>
        <v>0</v>
      </c>
      <c r="GJ291" s="712" t="str">
        <f t="shared" si="906"/>
        <v/>
      </c>
      <c r="GK291" s="712">
        <f>IF(GA291="P",Lookup!$N$12,IF(GA291="PP",Lookup!$N$13,IF(GA291="PPP",Lookup!$N$14,IF(GA291="T",Lookup!$N$15,IF(GA291="TP",Lookup!$N$16,IF(GA291="TPP",Lookup!$N$17,IF(GA291="TPPP",Lookup!$N$18,0)))))))*FZ291</f>
        <v>0</v>
      </c>
      <c r="GL291" s="712">
        <f t="shared" si="907"/>
        <v>0</v>
      </c>
      <c r="GM291" s="712">
        <f t="shared" si="908"/>
        <v>1519.7894694141305</v>
      </c>
      <c r="GN291" s="712">
        <f t="shared" si="909"/>
        <v>495.36814518061618</v>
      </c>
      <c r="GO291" s="712"/>
      <c r="GP291" s="712">
        <f t="shared" si="910"/>
        <v>0</v>
      </c>
      <c r="GQ291" s="712" t="str">
        <f t="shared" si="911"/>
        <v/>
      </c>
      <c r="GR291" s="712">
        <f>IF(GA291="P",Lookup!$N$12,IF(GA291="PP",Lookup!$N$13,IF(GA291="PPP",Lookup!$N$14,IF(GA291="T",Lookup!$N$15,IF(GA291="TP",Lookup!$N$16,IF(GA291="TPP",Lookup!$N$17,IF(GA291="TPPP",Lookup!$N$18,0)))))))*FZ291</f>
        <v>0</v>
      </c>
      <c r="GS291" s="697">
        <f t="shared" si="825"/>
        <v>0</v>
      </c>
      <c r="GT291" s="712">
        <f t="shared" si="912"/>
        <v>438.13929883123416</v>
      </c>
      <c r="GU291" s="712">
        <f t="shared" si="913"/>
        <v>142.809419436517</v>
      </c>
      <c r="GV291" s="712"/>
      <c r="GW291" s="712">
        <f t="shared" si="914"/>
        <v>0</v>
      </c>
      <c r="GX291" s="712" t="str">
        <f t="shared" si="915"/>
        <v/>
      </c>
      <c r="GY291" s="712">
        <f>IF(GA291="P",Lookup!$N$12,IF(GA291="PP",Lookup!$N$13,IF(GA291="PPP",Lookup!$N$14,IF(GA291="T",Lookup!$N$15,IF(GA291="TP",Lookup!$N$16,IF(GA291="TPP",Lookup!$N$17,IF(GA291="TPPP",Lookup!$N$18,0)))))))*FZ291</f>
        <v>0</v>
      </c>
      <c r="GZ291" s="697">
        <f t="shared" si="826"/>
        <v>0</v>
      </c>
      <c r="HA291" s="712">
        <f t="shared" si="916"/>
        <v>435.24362576091346</v>
      </c>
      <c r="HB291" s="712">
        <f t="shared" si="917"/>
        <v>141.86558857917649</v>
      </c>
      <c r="HC291" s="712"/>
    </row>
    <row r="292" spans="1:211">
      <c r="A292" s="773" t="s">
        <v>6</v>
      </c>
      <c r="B292" s="708">
        <v>40821</v>
      </c>
      <c r="C292" s="709">
        <v>0.5</v>
      </c>
      <c r="D292" s="675">
        <f t="shared" si="840"/>
        <v>300</v>
      </c>
      <c r="E292" s="675">
        <f t="shared" si="841"/>
        <v>250</v>
      </c>
      <c r="F292" s="675">
        <v>250</v>
      </c>
      <c r="G292" s="712">
        <f>DH292+Sheet1!CV292</f>
        <v>251.02603378614043</v>
      </c>
      <c r="H292" s="712">
        <f t="shared" si="842"/>
        <v>0</v>
      </c>
      <c r="I292" s="711">
        <f>MAX(Sheet1!Z292-AJ292+(Sheet1!CW292-E292)*CFStoMGD,0)</f>
        <v>291.69555265579254</v>
      </c>
      <c r="J292" s="720">
        <f>IF(AND(B292&gt;=Calculation!FS292,B292&lt;=Calculation!FT292),IF(Sheet1!CX292&gt;=Calculation!D292,64.64,0),MAX(Sheet1!Z292-AJ292+(Sheet1!CX292-D292)*CFStoMGD,0))</f>
        <v>178.85161932245921</v>
      </c>
      <c r="K292" s="697">
        <f t="shared" si="843"/>
        <v>0</v>
      </c>
      <c r="L292" s="712">
        <f>Sheet1!AA292+Sheet1!AB292-Sheet1!L292+(Sheet1!CW292-F292)*CFStoMGD</f>
        <v>338.68373333334495</v>
      </c>
      <c r="M292" s="712">
        <f t="shared" si="844"/>
        <v>165.5084928041484</v>
      </c>
      <c r="N292" s="712">
        <f>IF(Sheet1!CW292&gt;=F292,MIN(73,MIN(MAX(L292,0),MAX(M292,0))),0)</f>
        <v>73</v>
      </c>
      <c r="O292" s="721">
        <f>Sheet1!AA292+Sheet1!AB292</f>
        <v>58.200000000011642</v>
      </c>
      <c r="P292" s="721">
        <f t="shared" si="845"/>
        <v>90.035400000018001</v>
      </c>
      <c r="Q292" s="712">
        <f>MIN(N292,Sheet1!AA292+AG292)</f>
        <v>47.048180677552416</v>
      </c>
      <c r="R292" s="712">
        <f t="shared" si="846"/>
        <v>11</v>
      </c>
      <c r="S292" s="721">
        <f>Sheet1!Y292*MGDtoCFS</f>
        <v>52.922869999999996</v>
      </c>
      <c r="T292" s="721">
        <f>Sheet1!Z292*MGDtoCFS</f>
        <v>37.220819999999996</v>
      </c>
      <c r="U292" s="721">
        <f>Sheet1!AA292*MGDtoCFS</f>
        <v>52.907400000018008</v>
      </c>
      <c r="V292" s="721">
        <f>Sheet1!AB292*MGDtoCFS</f>
        <v>37.128</v>
      </c>
      <c r="W292" s="721">
        <f>Sheet1!L292*MGDtoCFS</f>
        <v>0</v>
      </c>
      <c r="X292" s="697">
        <f t="shared" si="847"/>
        <v>11.151819322459222</v>
      </c>
      <c r="Y292" s="712">
        <f t="shared" si="848"/>
        <v>17.251864491844415</v>
      </c>
      <c r="Z292" s="712">
        <f t="shared" si="849"/>
        <v>0</v>
      </c>
      <c r="AA292" s="712">
        <f t="shared" si="850"/>
        <v>0</v>
      </c>
      <c r="AB292" s="712">
        <f>(VLOOKUP(Sheet1!CY292,hhdcap_wcm,4)-(((VLOOKUP(Sheet1!CY292,hhdcap_wcm,3)-Sheet1!CY292)/(VLOOKUP(Sheet1!CY292,hhdcap_wcm,3)-VLOOKUP(Sheet1!CY292,hhdcap_wcm,1)))*(VLOOKUP(Sheet1!CY292,hhdcap_wcm,4)-VLOOKUP(Sheet1!CY292,hhdcap_wcm,2))))</f>
        <v>19346.440000043949</v>
      </c>
      <c r="AC292" s="712">
        <f t="shared" si="851"/>
        <v>-785.96000000208369</v>
      </c>
      <c r="AD292" s="712">
        <f t="shared" si="852"/>
        <v>1083.796505538344</v>
      </c>
      <c r="AE292" s="712">
        <f t="shared" si="853"/>
        <v>3325.0876789916397</v>
      </c>
      <c r="AF292" s="712">
        <f>Sheet1!BA292+Sheet1!BB292+Sheet1!BN292+BT292</f>
        <v>12.8</v>
      </c>
      <c r="AG292" s="712">
        <f t="shared" si="854"/>
        <v>12.848180677540777</v>
      </c>
      <c r="AH292" s="712">
        <f>Sheet1!BA292+BT292</f>
        <v>0</v>
      </c>
      <c r="AI292" s="712">
        <f>Sheet1!BA292+Sheet1!BB292+BT292</f>
        <v>0</v>
      </c>
      <c r="AJ292" s="712">
        <f>IF((Sheet1!AA292+AG292+AX292+AZ292+BQ292+BS292+CL292+CN292)&lt;=N292,AG292+AX292+AZ292+BQ292+BS292+CL292+CN292,N292-Sheet1!AA292)</f>
        <v>12.848180677540777</v>
      </c>
      <c r="AK292" s="712">
        <f>IF(DR292&lt;K292,0,MAX(Sheet1!AA292+AG292-15/36*K292-N292,Sheet1!ED292,0))</f>
        <v>0</v>
      </c>
      <c r="AL292" s="712">
        <f>IF(OR(B292&gt;=FT292,B292&lt;FS292),0,15/36*K292-MAX(0,64.6-(137.6-(Sheet1!AA292+Sheet1!AB292))))</f>
        <v>0</v>
      </c>
      <c r="AM292" s="712">
        <f>Sheet1!CX292-110</f>
        <v>449.34375</v>
      </c>
      <c r="AN292" s="712">
        <f>Sheet1!CW292-265</f>
        <v>418.91666666666663</v>
      </c>
      <c r="AO292" s="712">
        <f t="shared" si="835"/>
        <v>25.951819322447584</v>
      </c>
      <c r="AP292" s="712">
        <f t="shared" si="855"/>
        <v>0</v>
      </c>
      <c r="AQ292" s="712">
        <f t="shared" si="856"/>
        <v>0</v>
      </c>
      <c r="AR292" s="712">
        <f t="shared" si="857"/>
        <v>314.90517166449354</v>
      </c>
      <c r="AS292" s="712"/>
      <c r="AT292" s="712">
        <f ca="1">IF(B292&gt;Summary!$A$1,#N/A,AR292*MGtoAF)</f>
        <v>966.12906666666618</v>
      </c>
      <c r="AU292" s="712">
        <f>Sheet1!BG292+Sheet1!BH292+Sheet1!BI292-BC292</f>
        <v>1</v>
      </c>
      <c r="AV292" s="712">
        <f t="shared" si="858"/>
        <v>1.0037641154328731</v>
      </c>
      <c r="AW292" s="712">
        <f>IF(Sheet1!EL292="FM",BC292,0)</f>
        <v>0</v>
      </c>
      <c r="AX292" s="712">
        <f t="shared" si="859"/>
        <v>0</v>
      </c>
      <c r="AY292" s="712">
        <f>IF(Sheet1!EL292="OTHER",BC292,0)</f>
        <v>0</v>
      </c>
      <c r="AZ292" s="712">
        <f t="shared" si="860"/>
        <v>0</v>
      </c>
      <c r="BA292" s="712">
        <f t="shared" si="861"/>
        <v>1</v>
      </c>
      <c r="BB292" s="712">
        <f t="shared" si="862"/>
        <v>1.0037641154328731</v>
      </c>
      <c r="BC292" s="712">
        <f>IF(OR(Sheet1!EL292="FM", Sheet1!EL292="OTHER"),SUM(Sheet1!BG292:'Sheet1'!BI292),0)</f>
        <v>0</v>
      </c>
      <c r="BD292" s="697">
        <f>IF(AND($B292&gt;=$FL292,$B292&lt;=$FM292),MAX(AV292,Sheet1!EE292,0),MAX(AV292-(7/36)*$K292,0))</f>
        <v>1.0037641154328731</v>
      </c>
      <c r="BE292" s="712">
        <f t="shared" si="863"/>
        <v>0</v>
      </c>
      <c r="BF292" s="697">
        <f t="shared" si="864"/>
        <v>0</v>
      </c>
      <c r="BG292" s="697">
        <f>IF(AND($O292&gt;0,Sheet1!EI292=1),(1-($O292-Sheet1!$L292)/$O292)*BB292,0)</f>
        <v>0</v>
      </c>
      <c r="BH292" s="697">
        <f>IF(AND(Sheet1!$L292=0,Sheet1!$L291=0, Calculation!BA292&lt;Sheet1!$EE292-0.1,Sheet1!$EE292=Sheet1!$EE291,Sheet1!$EE292=Sheet1!$EE293),Sheet1!$EE292,BB292-BG292)</f>
        <v>1.0037641154328731</v>
      </c>
      <c r="BI292" s="712"/>
      <c r="BJ292" s="712"/>
      <c r="BK292" s="712">
        <f t="shared" si="865"/>
        <v>494.3643810651833</v>
      </c>
      <c r="BL292" s="712"/>
      <c r="BM292" s="712">
        <f ca="1">IF(B292&gt;Summary!$A$1,#N/A,BK292*MGtoAF)</f>
        <v>1516.7099211079824</v>
      </c>
      <c r="BN292" s="712">
        <f>Sheet1!BC292+Sheet1!BD292+Sheet1!BE292+Sheet1!BF292-BW292-BX292</f>
        <v>2.56</v>
      </c>
      <c r="BO292" s="712">
        <f t="shared" si="866"/>
        <v>2.5696361355081554</v>
      </c>
      <c r="BP292" s="712">
        <f>IF(Sheet1!EM292="FM",BX292,0)</f>
        <v>0</v>
      </c>
      <c r="BQ292" s="712">
        <f t="shared" si="867"/>
        <v>0</v>
      </c>
      <c r="BR292" s="712">
        <f>IF(Sheet1!EM292="OTHER",BX292,0)</f>
        <v>0</v>
      </c>
      <c r="BS292" s="712">
        <f t="shared" si="868"/>
        <v>0</v>
      </c>
      <c r="BT292" s="712">
        <f t="shared" si="869"/>
        <v>0</v>
      </c>
      <c r="BU292" s="712">
        <f t="shared" si="870"/>
        <v>2.56</v>
      </c>
      <c r="BV292" s="712">
        <f t="shared" si="871"/>
        <v>2.5696361355081554</v>
      </c>
      <c r="BW292" s="712">
        <f>IF(Sheet1!EM292="CWA",SUM(Sheet1!BC292:'Sheet1'!BF292),0)</f>
        <v>0</v>
      </c>
      <c r="BX292" s="712">
        <f>IF(OR(Sheet1!EM292="FM", Sheet1!EM292="OTHER"),SUM(Sheet1!BC292:'Sheet1'!BF292),0)</f>
        <v>0</v>
      </c>
      <c r="BY292" s="697">
        <f>IF(AND($B292&gt;=$FL292,$B292&lt;=$FM292),MAX(BV292,Sheet1!EF292,0),MAX(BV292-(7/36)*$K292,0))</f>
        <v>2.5696361355081554</v>
      </c>
      <c r="BZ292" s="712">
        <f t="shared" si="872"/>
        <v>0</v>
      </c>
      <c r="CA292" s="697">
        <f t="shared" si="873"/>
        <v>0</v>
      </c>
      <c r="CB292" s="697">
        <f>IF(AND($O292&gt;0,Sheet1!EJ292=1),(1-($O292-Sheet1!$L292)/$O292)*BV292,0)</f>
        <v>0</v>
      </c>
      <c r="CC292" s="697">
        <f>IF(AND(Sheet1!$L292=0,Sheet1!$L291=0, Calculation!BU292&lt;Sheet1!EF292-0.1,Sheet1!EF292=Sheet1!EF291,Sheet1!EF292=Sheet1!EF293),Sheet1!EF292,BV292-CB292)</f>
        <v>2.5696361355081554</v>
      </c>
      <c r="CD292" s="697"/>
      <c r="CE292" s="712"/>
      <c r="CF292" s="712">
        <f t="shared" si="874"/>
        <v>140.23978330100886</v>
      </c>
      <c r="CG292" s="712"/>
      <c r="CH292" s="712">
        <f ca="1">IF(B292&gt;Summary!$A$1,#N/A,CF292*MGtoAF)</f>
        <v>430.25565516749521</v>
      </c>
      <c r="CI292" s="712">
        <f>Sheet1!BK292+Sheet1!BL292+Sheet1!BM292-Sheet1!EN292-CQ292</f>
        <v>7.5500000000000007</v>
      </c>
      <c r="CJ292" s="712">
        <f t="shared" si="875"/>
        <v>7.5784190715181925</v>
      </c>
      <c r="CK292" s="712">
        <f>IF(Sheet1!EN292="FM",CQ292,0)</f>
        <v>0</v>
      </c>
      <c r="CL292" s="712">
        <f t="shared" si="876"/>
        <v>0</v>
      </c>
      <c r="CM292" s="712">
        <f>IF(Sheet1!EN292="OTHER",CQ292,0)</f>
        <v>0</v>
      </c>
      <c r="CN292" s="712">
        <f t="shared" si="877"/>
        <v>0</v>
      </c>
      <c r="CO292" s="712">
        <f t="shared" si="878"/>
        <v>7.5500000000000007</v>
      </c>
      <c r="CP292" s="712">
        <f t="shared" si="879"/>
        <v>7.5784190715181925</v>
      </c>
      <c r="CQ292" s="712">
        <f>IF(OR(Sheet1!EN292="FM", Sheet1!EN292="OTHER"),SUM(Sheet1!BK292:'Sheet1'!BM292),0)</f>
        <v>0</v>
      </c>
      <c r="CR292" s="697">
        <f>IF(AND($B292&gt;=$FL292,$B292&lt;=$FM292),MAX($CJ292,Sheet1!EG292,0),MAX($CJ292-(7/36)*$K292,0))</f>
        <v>7.5784190715181925</v>
      </c>
      <c r="CS292" s="712">
        <f t="shared" si="880"/>
        <v>0</v>
      </c>
      <c r="CT292" s="697">
        <f t="shared" si="881"/>
        <v>0</v>
      </c>
      <c r="CU292" s="697">
        <f>IF(AND($O292&gt;0,Sheet1!EK292=1),(1-($O292-Sheet1!$L292)/$O292)*CP292,0)</f>
        <v>0</v>
      </c>
      <c r="CV292" s="697">
        <f>IF(AND(Sheet1!$L292=0,Sheet1!$L291=0, Calculation!CO292&lt;Sheet1!$EG292-0.1,Sheet1!$EG292=Sheet1!$EG291,Sheet1!$EG292=Sheet1!$EG293),Sheet1!$EG292,CP292-CU292)</f>
        <v>7.5784190715181925</v>
      </c>
      <c r="CW292" s="697">
        <f t="shared" si="837"/>
        <v>0</v>
      </c>
      <c r="CX292" s="712">
        <f t="shared" si="882"/>
        <v>11.110000000000001</v>
      </c>
      <c r="CY292" s="712">
        <f t="shared" si="883"/>
        <v>134.28716950765829</v>
      </c>
      <c r="CZ292" s="712">
        <f t="shared" si="884"/>
        <v>11.151819322459222</v>
      </c>
      <c r="DA292" s="712">
        <f ca="1">IF(B292&gt;Summary!$A$1,#N/A,CY292*MGtoAF)</f>
        <v>411.99303604949563</v>
      </c>
      <c r="DB292" s="712">
        <f t="shared" si="885"/>
        <v>11.110000000000001</v>
      </c>
      <c r="DC292" s="712">
        <f t="shared" si="886"/>
        <v>23.910000000000004</v>
      </c>
      <c r="DD292" s="712">
        <f>Sheet1!AB292-DC292</f>
        <v>8.9999999999996305E-2</v>
      </c>
      <c r="DE292" s="712">
        <f t="shared" si="887"/>
        <v>3.7641154328731195E-3</v>
      </c>
      <c r="DF292" s="712">
        <f>(VLOOKUP(Sheet1!CY292,hhdcap_wcm,4)-(((VLOOKUP(Sheet1!CY292,hhdcap_wcm,3)-Sheet1!CY292)/(VLOOKUP(Sheet1!CY292,hhdcap_wcm,3)-VLOOKUP(Sheet1!CY292,hhdcap_wcm,1)))*(VLOOKUP(Sheet1!CY292,hhdcap_wcm,4)-VLOOKUP(Sheet1!CY292,hhdcap_wcm,2))))</f>
        <v>19346.440000043949</v>
      </c>
      <c r="DG292" s="712">
        <f t="shared" si="888"/>
        <v>-785.96000000208369</v>
      </c>
      <c r="DH292" s="712">
        <f t="shared" si="889"/>
        <v>-396.34896621385957</v>
      </c>
      <c r="DI292" s="712">
        <f>Sheet1!DW292*AFtoMG</f>
        <v>0</v>
      </c>
      <c r="DJ292" s="712">
        <f>Sheet1!DX292*AFtoMG</f>
        <v>0</v>
      </c>
      <c r="DK292" s="712">
        <f>Sheet1!DY292*AFtoMG</f>
        <v>0</v>
      </c>
      <c r="DL292" s="712">
        <f>Sheet1!DZ292*AFtoMG</f>
        <v>0</v>
      </c>
      <c r="DM292" s="712">
        <f t="shared" si="890"/>
        <v>0</v>
      </c>
      <c r="DN292" s="712">
        <f t="shared" si="891"/>
        <v>0</v>
      </c>
      <c r="DO292" s="712">
        <f t="shared" si="892"/>
        <v>1083.796505538344</v>
      </c>
      <c r="DP292" s="712">
        <f t="shared" si="893"/>
        <v>3325.0876789916397</v>
      </c>
      <c r="DQ292" s="712"/>
      <c r="DR292" s="697">
        <f>IF(OR(B292&lt;FL292,B292&gt;FM292),(MIN(AV292+BO292+CJ292+MAX(Sheet1!AA292+AG292-73,0),K292)),0)</f>
        <v>0</v>
      </c>
      <c r="DS292" s="712"/>
      <c r="DT292" s="712">
        <f t="shared" si="894"/>
        <v>11.15181932245922</v>
      </c>
      <c r="DU292" s="712"/>
      <c r="DV292" s="712">
        <f>Sheet1!ED292+Sheet1!EE292+Sheet1!EF292+Sheet1!EG292</f>
        <v>11</v>
      </c>
      <c r="DW292" s="712"/>
      <c r="DX292" s="697">
        <f t="shared" si="895"/>
        <v>0</v>
      </c>
      <c r="DY292" s="712">
        <f>IF(Sheet1!FN292=1,SUM('Calculations II'!AT292:BA292)+'Calculations II'!BC292+Sheet1!BU292+'Calculations II'!BE292+AF292,SUM('Calculations II'!AT292:BA292)+'Calculations II'!BC292+Sheet1!BU292+'Calculations II'!BE292+AF292)</f>
        <v>45.905072000000004</v>
      </c>
      <c r="DZ292" s="712">
        <f>Sheet1!AA292+Sheet1!AB292+'Calculations II'!BC292</f>
        <v>58.200000000011642</v>
      </c>
      <c r="EA292" s="712"/>
      <c r="EB292" s="712"/>
      <c r="EC292" s="712">
        <f t="shared" si="896"/>
        <v>40821</v>
      </c>
      <c r="ED292" s="712">
        <f t="shared" si="897"/>
        <v>-11.151819322459222</v>
      </c>
      <c r="EE292" s="712">
        <f t="shared" si="898"/>
        <v>-17.251864491844415</v>
      </c>
      <c r="EF292" s="712">
        <f ca="1">IF(B292=TODAY(),0,-(VLOOKUP(Sheet1!BQ292,Lookup!$B$4:$J$236,2)-VLOOKUP(Sheet1!BQ291,Lookup!$B$4:$J$236,2))/1000000)</f>
        <v>0.2772</v>
      </c>
      <c r="EG292" s="712">
        <f ca="1">IF(B292=TODAY(),0,-(VLOOKUP(Sheet1!BR292,Lookup!$B$4:$J$236,3)-VLOOKUP(Sheet1!BR291,Lookup!$B$4:$J$236,3))/1000000)</f>
        <v>0.27679999999999999</v>
      </c>
      <c r="EH292" s="712">
        <f>-(VLOOKUP(Sheet1!BS292,Lookup!$B$4:$J$236,4)-VLOOKUP(Sheet1!BS291,Lookup!$B$4:$J$236,4))/1000000</f>
        <v>0</v>
      </c>
      <c r="EI292" s="697">
        <f t="shared" ca="1" si="819"/>
        <v>0.55400000000000005</v>
      </c>
      <c r="EJ292" s="712"/>
      <c r="EK292" s="712"/>
      <c r="EL292" s="712"/>
      <c r="EM292" s="712"/>
      <c r="EN292" s="712"/>
      <c r="EO292" s="712"/>
      <c r="EP292" s="712"/>
      <c r="EQ292" s="712"/>
      <c r="ER292" s="697">
        <f t="shared" si="833"/>
        <v>3052.8632803271721</v>
      </c>
      <c r="ES292" s="712">
        <f t="shared" si="834"/>
        <v>310.28581821209201</v>
      </c>
      <c r="ET292" s="794">
        <f t="shared" si="818"/>
        <v>1120.7</v>
      </c>
      <c r="EU292" s="794" t="e">
        <f t="shared" si="838"/>
        <v>#N/A</v>
      </c>
      <c r="EV292" s="795" t="e">
        <f t="shared" si="836"/>
        <v>#N/A</v>
      </c>
      <c r="EW292" s="796" t="s">
        <v>757</v>
      </c>
      <c r="EX292" s="796" t="s">
        <v>757</v>
      </c>
      <c r="EY292" s="794" t="e">
        <v>#N/A</v>
      </c>
      <c r="EZ292" s="798">
        <v>13273.500000027623</v>
      </c>
      <c r="FA292" s="712"/>
      <c r="FB292" s="712"/>
      <c r="FC292" s="712"/>
      <c r="FD292" s="712"/>
      <c r="FE292" s="712">
        <f>O292+Sheet1!CO292</f>
        <v>58.200000000011642</v>
      </c>
      <c r="FF292" s="712">
        <f>IF(Sheet1!AA292+AG292&lt;=Calculation!N292,AG292,Calculation!N292-Sheet1!AA292)</f>
        <v>12.848180677540777</v>
      </c>
      <c r="FG292" s="712">
        <f>(Sheet1!BP292+Sheet1!BO292)/694.4</f>
        <v>1.9074020737327189</v>
      </c>
      <c r="FH292" s="712"/>
      <c r="FI292" s="712"/>
      <c r="FJ292" s="712"/>
      <c r="FK292" s="712"/>
      <c r="FL292" s="714">
        <f t="shared" si="827"/>
        <v>40753</v>
      </c>
      <c r="FM292" s="714">
        <f t="shared" si="828"/>
        <v>40851</v>
      </c>
      <c r="FN292" s="712"/>
      <c r="FO292" s="712"/>
      <c r="FP292" s="712"/>
      <c r="FQ292" s="712"/>
      <c r="FR292" s="712"/>
      <c r="FS292" s="725">
        <f t="shared" si="839"/>
        <v>40603</v>
      </c>
      <c r="FT292" s="714">
        <f t="shared" si="830"/>
        <v>40709</v>
      </c>
      <c r="FU292" s="712">
        <f t="shared" si="839"/>
        <v>6518.9048239895692</v>
      </c>
      <c r="FV292" s="714">
        <f t="shared" si="831"/>
        <v>40722</v>
      </c>
      <c r="FW292" s="712">
        <f t="shared" si="839"/>
        <v>3259.4524119947846</v>
      </c>
      <c r="FX292" s="725">
        <f t="shared" si="839"/>
        <v>40851</v>
      </c>
      <c r="FZ292" s="697">
        <f t="shared" si="824"/>
        <v>0</v>
      </c>
      <c r="GA292" s="712" t="str">
        <f t="shared" si="899"/>
        <v/>
      </c>
      <c r="GB292" s="712">
        <f t="shared" si="900"/>
        <v>0</v>
      </c>
      <c r="GC292" s="712" t="str">
        <f t="shared" si="901"/>
        <v/>
      </c>
      <c r="GD292" s="712">
        <f>IF(GA292="P",Lookup!$M$12,IF(GA292="PP",Lookup!$M$13,IF(GA292="PPP",Lookup!$M$14,IF(GA292="T",Lookup!$M$15,IF(GA292="TP",Lookup!$M$16,IF(GA292="TPP",Lookup!$M$17,IF(GA292="TPPP",Lookup!$M$18,0)))))))*FZ292</f>
        <v>0</v>
      </c>
      <c r="GE292" s="712">
        <f t="shared" si="902"/>
        <v>0</v>
      </c>
      <c r="GF292" s="712">
        <f t="shared" si="903"/>
        <v>966.12906666666618</v>
      </c>
      <c r="GG292" s="712">
        <f t="shared" si="904"/>
        <v>314.90517166449354</v>
      </c>
      <c r="GH292" s="712"/>
      <c r="GI292" s="712">
        <f t="shared" si="905"/>
        <v>0</v>
      </c>
      <c r="GJ292" s="712" t="str">
        <f t="shared" si="906"/>
        <v/>
      </c>
      <c r="GK292" s="712">
        <f>IF(GA292="P",Lookup!$N$12,IF(GA292="PP",Lookup!$N$13,IF(GA292="PPP",Lookup!$N$14,IF(GA292="T",Lookup!$N$15,IF(GA292="TP",Lookup!$N$16,IF(GA292="TPP",Lookup!$N$17,IF(GA292="TPPP",Lookup!$N$18,0)))))))*FZ292</f>
        <v>0</v>
      </c>
      <c r="GL292" s="712">
        <f t="shared" si="907"/>
        <v>0</v>
      </c>
      <c r="GM292" s="712">
        <f t="shared" si="908"/>
        <v>1516.7099211079824</v>
      </c>
      <c r="GN292" s="712">
        <f t="shared" si="909"/>
        <v>494.3643810651833</v>
      </c>
      <c r="GO292" s="712"/>
      <c r="GP292" s="712">
        <f t="shared" si="910"/>
        <v>0</v>
      </c>
      <c r="GQ292" s="712" t="str">
        <f t="shared" si="911"/>
        <v/>
      </c>
      <c r="GR292" s="712">
        <f>IF(GA292="P",Lookup!$N$12,IF(GA292="PP",Lookup!$N$13,IF(GA292="PPP",Lookup!$N$14,IF(GA292="T",Lookup!$N$15,IF(GA292="TP",Lookup!$N$16,IF(GA292="TPP",Lookup!$N$17,IF(GA292="TPPP",Lookup!$N$18,0)))))))*FZ292</f>
        <v>0</v>
      </c>
      <c r="GS292" s="697">
        <f t="shared" si="825"/>
        <v>0</v>
      </c>
      <c r="GT292" s="712">
        <f t="shared" si="912"/>
        <v>430.25565516749521</v>
      </c>
      <c r="GU292" s="712">
        <f t="shared" si="913"/>
        <v>140.23978330100886</v>
      </c>
      <c r="GV292" s="712"/>
      <c r="GW292" s="712">
        <f t="shared" si="914"/>
        <v>0</v>
      </c>
      <c r="GX292" s="712" t="str">
        <f t="shared" si="915"/>
        <v/>
      </c>
      <c r="GY292" s="712">
        <f>IF(GA292="P",Lookup!$N$12,IF(GA292="PP",Lookup!$N$13,IF(GA292="PPP",Lookup!$N$14,IF(GA292="T",Lookup!$N$15,IF(GA292="TP",Lookup!$N$16,IF(GA292="TPP",Lookup!$N$17,IF(GA292="TPPP",Lookup!$N$18,0)))))))*FZ292</f>
        <v>0</v>
      </c>
      <c r="GZ292" s="697">
        <f t="shared" si="826"/>
        <v>0</v>
      </c>
      <c r="HA292" s="712">
        <f t="shared" si="916"/>
        <v>411.99303604949563</v>
      </c>
      <c r="HB292" s="712">
        <f t="shared" si="917"/>
        <v>134.28716950765829</v>
      </c>
      <c r="HC292" s="712"/>
    </row>
    <row r="293" spans="1:211">
      <c r="A293" s="773" t="s">
        <v>7</v>
      </c>
      <c r="B293" s="708">
        <v>40822</v>
      </c>
      <c r="C293" s="719">
        <v>0.5</v>
      </c>
      <c r="D293" s="675">
        <f t="shared" si="840"/>
        <v>300</v>
      </c>
      <c r="E293" s="675">
        <f t="shared" si="841"/>
        <v>250</v>
      </c>
      <c r="F293" s="675">
        <v>250</v>
      </c>
      <c r="G293" s="712">
        <f>DH293+Sheet1!CV293</f>
        <v>278.31379223237809</v>
      </c>
      <c r="H293" s="712">
        <f t="shared" si="842"/>
        <v>0</v>
      </c>
      <c r="I293" s="711">
        <f>MAX(Sheet1!Z293-AJ293+(Sheet1!CW293-E293)*CFStoMGD,0)</f>
        <v>353.75644755111807</v>
      </c>
      <c r="J293" s="720">
        <f>IF(AND(B293&gt;=Calculation!FS293,B293&lt;=Calculation!FT293),IF(Sheet1!CX293&gt;=Calculation!D293,64.64,0),MAX(Sheet1!Z293-AJ293+(Sheet1!CX293-D293)*CFStoMGD,0))</f>
        <v>196.60044755111812</v>
      </c>
      <c r="K293" s="697">
        <f t="shared" si="843"/>
        <v>0</v>
      </c>
      <c r="L293" s="712">
        <f>Sheet1!AA293+Sheet1!AB293-Sheet1!L293+(Sheet1!CW293-F293)*CFStoMGD</f>
        <v>395.16973333332601</v>
      </c>
      <c r="M293" s="712">
        <f t="shared" si="844"/>
        <v>183.50007600498938</v>
      </c>
      <c r="N293" s="712">
        <f>IF(Sheet1!CW293&gt;=F293,MIN(73,MIN(MAX(L293,0),MAX(M293,0))),0)</f>
        <v>73</v>
      </c>
      <c r="O293" s="721">
        <f>Sheet1!AA293+Sheet1!AB293</f>
        <v>55.499999999992724</v>
      </c>
      <c r="P293" s="721">
        <f t="shared" si="845"/>
        <v>85.858499999988737</v>
      </c>
      <c r="Q293" s="712">
        <f>MIN(N293,Sheet1!AA293+AG293)</f>
        <v>44.433285782209367</v>
      </c>
      <c r="R293" s="712">
        <f t="shared" si="846"/>
        <v>11</v>
      </c>
      <c r="S293" s="721">
        <f>Sheet1!Y293*MGDtoCFS</f>
        <v>52.922869999999996</v>
      </c>
      <c r="T293" s="721">
        <f>Sheet1!Z293*MGDtoCFS</f>
        <v>37.313639999999999</v>
      </c>
      <c r="U293" s="721">
        <f>Sheet1!AA293*MGDtoCFS</f>
        <v>53.21679999999099</v>
      </c>
      <c r="V293" s="721">
        <f>Sheet1!AB293*MGDtoCFS</f>
        <v>32.641699999997748</v>
      </c>
      <c r="W293" s="721">
        <f>Sheet1!L293*MGDtoCFS</f>
        <v>0</v>
      </c>
      <c r="X293" s="697">
        <f t="shared" si="847"/>
        <v>11.078459343793988</v>
      </c>
      <c r="Y293" s="712">
        <f t="shared" si="848"/>
        <v>17.138376604849299</v>
      </c>
      <c r="Z293" s="712">
        <f t="shared" si="849"/>
        <v>0</v>
      </c>
      <c r="AA293" s="712">
        <f t="shared" si="850"/>
        <v>0</v>
      </c>
      <c r="AB293" s="712">
        <f>(VLOOKUP(Sheet1!CY293,hhdcap_wcm,4)-(((VLOOKUP(Sheet1!CY293,hhdcap_wcm,3)-Sheet1!CY293)/(VLOOKUP(Sheet1!CY293,hhdcap_wcm,3)-VLOOKUP(Sheet1!CY293,hhdcap_wcm,1)))*(VLOOKUP(Sheet1!CY293,hhdcap_wcm,4)-VLOOKUP(Sheet1!CY293,hhdcap_wcm,2))))</f>
        <v>18575.510000040755</v>
      </c>
      <c r="AC293" s="712">
        <f t="shared" si="851"/>
        <v>-770.93000000319444</v>
      </c>
      <c r="AD293" s="712">
        <f t="shared" si="852"/>
        <v>1072.71804619455</v>
      </c>
      <c r="AE293" s="712">
        <f t="shared" si="853"/>
        <v>3291.0989657248792</v>
      </c>
      <c r="AF293" s="712">
        <f>Sheet1!BA293+Sheet1!BB293+Sheet1!BN293+BT293</f>
        <v>10</v>
      </c>
      <c r="AG293" s="712">
        <f t="shared" si="854"/>
        <v>10.03328578221519</v>
      </c>
      <c r="AH293" s="712">
        <f>Sheet1!BA293+BT293</f>
        <v>0</v>
      </c>
      <c r="AI293" s="712">
        <f>Sheet1!BA293+Sheet1!BB293+BT293</f>
        <v>0</v>
      </c>
      <c r="AJ293" s="712">
        <f>IF((Sheet1!AA293+AG293+AX293+AZ293+BQ293+BS293+CL293+CN293)&lt;=N293,AG293+AX293+AZ293+BQ293+BS293+CL293+CN293,N293-Sheet1!AA293)</f>
        <v>10.03328578221519</v>
      </c>
      <c r="AK293" s="712">
        <f>IF(DR293&lt;K293,0,MAX(Sheet1!AA293+AG293-15/36*K293-N293,Sheet1!ED293,0))</f>
        <v>0</v>
      </c>
      <c r="AL293" s="712">
        <f>IF(OR(B293&gt;=FT293,B293&lt;FS293),0,15/36*K293-MAX(0,64.6-(137.6-(Sheet1!AA293+Sheet1!AB293))))</f>
        <v>0</v>
      </c>
      <c r="AM293" s="712">
        <f>Sheet1!CX293-110</f>
        <v>472.35416666666663</v>
      </c>
      <c r="AN293" s="712">
        <f>Sheet1!CW293-265</f>
        <v>510.47916666666663</v>
      </c>
      <c r="AO293" s="712">
        <f t="shared" si="835"/>
        <v>28.566714217790633</v>
      </c>
      <c r="AP293" s="712">
        <f t="shared" si="855"/>
        <v>0</v>
      </c>
      <c r="AQ293" s="712">
        <f t="shared" si="856"/>
        <v>0</v>
      </c>
      <c r="AR293" s="712">
        <f t="shared" si="857"/>
        <v>314.90517166449354</v>
      </c>
      <c r="AS293" s="712"/>
      <c r="AT293" s="712">
        <f ca="1">IF(B293&gt;Summary!$A$1,#N/A,AR293*MGtoAF)</f>
        <v>966.12906666666618</v>
      </c>
      <c r="AU293" s="712">
        <f>Sheet1!BG293+Sheet1!BH293+Sheet1!BI293-BC293</f>
        <v>1</v>
      </c>
      <c r="AV293" s="712">
        <f t="shared" si="858"/>
        <v>1.0033285782215189</v>
      </c>
      <c r="AW293" s="712">
        <f>IF(Sheet1!EL293="FM",BC293,0)</f>
        <v>0</v>
      </c>
      <c r="AX293" s="712">
        <f t="shared" si="859"/>
        <v>0</v>
      </c>
      <c r="AY293" s="712">
        <f>IF(Sheet1!EL293="OTHER",BC293,0)</f>
        <v>0</v>
      </c>
      <c r="AZ293" s="712">
        <f t="shared" si="860"/>
        <v>0</v>
      </c>
      <c r="BA293" s="712">
        <f t="shared" si="861"/>
        <v>1</v>
      </c>
      <c r="BB293" s="712">
        <f t="shared" si="862"/>
        <v>1.0033285782215189</v>
      </c>
      <c r="BC293" s="712">
        <f>IF(OR(Sheet1!EL293="FM", Sheet1!EL293="OTHER"),SUM(Sheet1!BG293:'Sheet1'!BI293),0)</f>
        <v>0</v>
      </c>
      <c r="BD293" s="697">
        <f>IF(AND($B293&gt;=$FL293,$B293&lt;=$FM293),MAX(AV293,Sheet1!EE293,0),MAX(AV293-(7/36)*$K293,0))</f>
        <v>1.0033285782215189</v>
      </c>
      <c r="BE293" s="712">
        <f t="shared" si="863"/>
        <v>0</v>
      </c>
      <c r="BF293" s="697">
        <f t="shared" si="864"/>
        <v>0</v>
      </c>
      <c r="BG293" s="697">
        <f>IF(AND($O293&gt;0,Sheet1!EI293=1),(1-($O293-Sheet1!$L293)/$O293)*BB293,0)</f>
        <v>0</v>
      </c>
      <c r="BH293" s="697">
        <f>IF(AND(Sheet1!$L293=0,Sheet1!$L292=0, Calculation!BA293&lt;Sheet1!$EE293-0.1,Sheet1!$EE293=Sheet1!$EE292,Sheet1!$EE293=Sheet1!$EE294),Sheet1!$EE293,BB293-BG293)</f>
        <v>1.0033285782215189</v>
      </c>
      <c r="BI293" s="712"/>
      <c r="BJ293" s="712"/>
      <c r="BK293" s="712">
        <f t="shared" si="865"/>
        <v>493.3610524869618</v>
      </c>
      <c r="BL293" s="712"/>
      <c r="BM293" s="712">
        <f ca="1">IF(B293&gt;Summary!$A$1,#N/A,BK293*MGtoAF)</f>
        <v>1513.6317090299988</v>
      </c>
      <c r="BN293" s="712">
        <f>Sheet1!BC293+Sheet1!BD293+Sheet1!BE293+Sheet1!BF293-BW293-BX293</f>
        <v>2.48</v>
      </c>
      <c r="BO293" s="712">
        <f t="shared" si="866"/>
        <v>2.4882548739893671</v>
      </c>
      <c r="BP293" s="712">
        <f>IF(Sheet1!EM293="FM",BX293,0)</f>
        <v>0</v>
      </c>
      <c r="BQ293" s="712">
        <f t="shared" si="867"/>
        <v>0</v>
      </c>
      <c r="BR293" s="712">
        <f>IF(Sheet1!EM293="OTHER",BX293,0)</f>
        <v>0</v>
      </c>
      <c r="BS293" s="712">
        <f t="shared" si="868"/>
        <v>0</v>
      </c>
      <c r="BT293" s="712">
        <f t="shared" si="869"/>
        <v>0</v>
      </c>
      <c r="BU293" s="712">
        <f t="shared" si="870"/>
        <v>2.48</v>
      </c>
      <c r="BV293" s="712">
        <f t="shared" si="871"/>
        <v>2.4882548739893671</v>
      </c>
      <c r="BW293" s="712">
        <f>IF(Sheet1!EM293="CWA",SUM(Sheet1!BC293:'Sheet1'!BF293),0)</f>
        <v>0</v>
      </c>
      <c r="BX293" s="712">
        <f>IF(OR(Sheet1!EM293="FM", Sheet1!EM293="OTHER"),SUM(Sheet1!BC293:'Sheet1'!BF293),0)</f>
        <v>0</v>
      </c>
      <c r="BY293" s="697">
        <f>IF(AND($B293&gt;=$FL293,$B293&lt;=$FM293),MAX(BV293,Sheet1!EF293,0),MAX(BV293-(7/36)*$K293,0))</f>
        <v>2.5</v>
      </c>
      <c r="BZ293" s="712">
        <f t="shared" si="872"/>
        <v>0</v>
      </c>
      <c r="CA293" s="697">
        <f t="shared" si="873"/>
        <v>0</v>
      </c>
      <c r="CB293" s="697">
        <f>IF(AND($O293&gt;0,Sheet1!EJ293=1),(1-($O293-Sheet1!$L293)/$O293)*BV293,0)</f>
        <v>0</v>
      </c>
      <c r="CC293" s="697">
        <f>IF(AND(Sheet1!$L293=0,Sheet1!$L292=0, Calculation!BU293&lt;Sheet1!EF293-0.1,Sheet1!EF293=Sheet1!EF292,Sheet1!EF293=Sheet1!EF294),Sheet1!EF293,BV293-CB293)</f>
        <v>2.4882548739893671</v>
      </c>
      <c r="CD293" s="697"/>
      <c r="CE293" s="712"/>
      <c r="CF293" s="712">
        <f t="shared" si="874"/>
        <v>137.73978330100886</v>
      </c>
      <c r="CG293" s="712"/>
      <c r="CH293" s="712">
        <f ca="1">IF(B293&gt;Summary!$A$1,#N/A,CF293*MGtoAF)</f>
        <v>422.58565516749519</v>
      </c>
      <c r="CI293" s="712">
        <f>Sheet1!BK293+Sheet1!BL293+Sheet1!BM293-Sheet1!EN293-CQ293</f>
        <v>7.5500000000000007</v>
      </c>
      <c r="CJ293" s="712">
        <f t="shared" si="875"/>
        <v>7.5751307655724691</v>
      </c>
      <c r="CK293" s="712">
        <f>IF(Sheet1!EN293="FM",CQ293,0)</f>
        <v>0</v>
      </c>
      <c r="CL293" s="712">
        <f t="shared" si="876"/>
        <v>0</v>
      </c>
      <c r="CM293" s="712">
        <f>IF(Sheet1!EN293="OTHER",CQ293,0)</f>
        <v>0</v>
      </c>
      <c r="CN293" s="712">
        <f t="shared" si="877"/>
        <v>0</v>
      </c>
      <c r="CO293" s="712">
        <f t="shared" si="878"/>
        <v>7.5500000000000007</v>
      </c>
      <c r="CP293" s="712">
        <f t="shared" si="879"/>
        <v>7.5751307655724691</v>
      </c>
      <c r="CQ293" s="712">
        <f>IF(OR(Sheet1!EN293="FM", Sheet1!EN293="OTHER"),SUM(Sheet1!BK293:'Sheet1'!BM293),0)</f>
        <v>0</v>
      </c>
      <c r="CR293" s="697">
        <f>IF(AND($B293&gt;=$FL293,$B293&lt;=$FM293),MAX($CJ293,Sheet1!EG293,0),MAX($CJ293-(7/36)*$K293,0))</f>
        <v>7.5751307655724691</v>
      </c>
      <c r="CS293" s="712">
        <f t="shared" si="880"/>
        <v>0</v>
      </c>
      <c r="CT293" s="697">
        <f t="shared" si="881"/>
        <v>0</v>
      </c>
      <c r="CU293" s="697">
        <f>IF(AND($O293&gt;0,Sheet1!EK293=1),(1-($O293-Sheet1!$L293)/$O293)*CP293,0)</f>
        <v>0</v>
      </c>
      <c r="CV293" s="697">
        <f>IF(AND(Sheet1!$L293=0,Sheet1!$L292=0, Calculation!CO293&lt;Sheet1!$EG293-0.1,Sheet1!$EG293=Sheet1!$EG292,Sheet1!$EG293=Sheet1!$EG294),Sheet1!$EG293,CP293-CU293)</f>
        <v>7.5751307655724691</v>
      </c>
      <c r="CW293" s="697">
        <f t="shared" si="837"/>
        <v>0</v>
      </c>
      <c r="CX293" s="712">
        <f t="shared" si="882"/>
        <v>11.030000000000001</v>
      </c>
      <c r="CY293" s="712">
        <f t="shared" si="883"/>
        <v>126.71203874208582</v>
      </c>
      <c r="CZ293" s="712">
        <f t="shared" si="884"/>
        <v>11.066714217783355</v>
      </c>
      <c r="DA293" s="712">
        <f ca="1">IF(B293&gt;Summary!$A$1,#N/A,CY293*MGtoAF)</f>
        <v>388.75253486071932</v>
      </c>
      <c r="DB293" s="712">
        <f t="shared" si="885"/>
        <v>11.030000000000001</v>
      </c>
      <c r="DC293" s="712">
        <f t="shared" si="886"/>
        <v>21.03</v>
      </c>
      <c r="DD293" s="712">
        <f>Sheet1!AB293-DC293</f>
        <v>6.9999999998543672E-2</v>
      </c>
      <c r="DE293" s="712">
        <f t="shared" si="887"/>
        <v>3.3285782215189573E-3</v>
      </c>
      <c r="DF293" s="712">
        <f>(VLOOKUP(Sheet1!CY293,hhdcap_wcm,4)-(((VLOOKUP(Sheet1!CY293,hhdcap_wcm,3)-Sheet1!CY293)/(VLOOKUP(Sheet1!CY293,hhdcap_wcm,3)-VLOOKUP(Sheet1!CY293,hhdcap_wcm,1)))*(VLOOKUP(Sheet1!CY293,hhdcap_wcm,4)-VLOOKUP(Sheet1!CY293,hhdcap_wcm,2))))</f>
        <v>18575.510000040755</v>
      </c>
      <c r="DG293" s="712">
        <f t="shared" si="888"/>
        <v>-770.93000000319444</v>
      </c>
      <c r="DH293" s="712">
        <f t="shared" si="889"/>
        <v>-388.76954110095528</v>
      </c>
      <c r="DI293" s="712">
        <f>Sheet1!DW293*AFtoMG</f>
        <v>0</v>
      </c>
      <c r="DJ293" s="712">
        <f>Sheet1!DX293*AFtoMG</f>
        <v>0</v>
      </c>
      <c r="DK293" s="712">
        <f>Sheet1!DY293*AFtoMG</f>
        <v>0</v>
      </c>
      <c r="DL293" s="712">
        <f>Sheet1!DZ293*AFtoMG</f>
        <v>0</v>
      </c>
      <c r="DM293" s="712">
        <f t="shared" si="890"/>
        <v>0</v>
      </c>
      <c r="DN293" s="712">
        <f t="shared" si="891"/>
        <v>0</v>
      </c>
      <c r="DO293" s="712">
        <f t="shared" si="892"/>
        <v>1072.71804619455</v>
      </c>
      <c r="DP293" s="712">
        <f t="shared" si="893"/>
        <v>3291.0989657248792</v>
      </c>
      <c r="DQ293" s="712"/>
      <c r="DR293" s="697">
        <f>IF(OR(B293&lt;FL293,B293&gt;FM293),(MIN(AV293+BO293+CJ293+MAX(Sheet1!AA293+AG293-73,0),K293)),0)</f>
        <v>0</v>
      </c>
      <c r="DS293" s="712"/>
      <c r="DT293" s="712">
        <f t="shared" si="894"/>
        <v>11.066714217783355</v>
      </c>
      <c r="DU293" s="712"/>
      <c r="DV293" s="712">
        <f>Sheet1!ED293+Sheet1!EE293+Sheet1!EF293+Sheet1!EG293</f>
        <v>11</v>
      </c>
      <c r="DW293" s="712"/>
      <c r="DX293" s="697">
        <f t="shared" si="895"/>
        <v>0</v>
      </c>
      <c r="DY293" s="712">
        <f>IF(Sheet1!FN293=1,SUM('Calculations II'!AT293:BA293)+'Calculations II'!BC293+Sheet1!BU293+'Calculations II'!BE293+AF293,SUM('Calculations II'!AT293:BA293)+'Calculations II'!BC293+Sheet1!BU293+'Calculations II'!BE293+AF293)</f>
        <v>46.116367999999994</v>
      </c>
      <c r="DZ293" s="712">
        <f>Sheet1!AA293+Sheet1!AB293+'Calculations II'!BC293</f>
        <v>55.499999999992724</v>
      </c>
      <c r="EA293" s="712"/>
      <c r="EB293" s="712"/>
      <c r="EC293" s="712">
        <f t="shared" si="896"/>
        <v>40822</v>
      </c>
      <c r="ED293" s="712">
        <f t="shared" si="897"/>
        <v>-11.078459343793988</v>
      </c>
      <c r="EE293" s="712">
        <f t="shared" si="898"/>
        <v>-17.138376604849299</v>
      </c>
      <c r="EF293" s="712">
        <f ca="1">IF(B293=TODAY(),0,-(VLOOKUP(Sheet1!BQ293,Lookup!$B$4:$J$236,2)-VLOOKUP(Sheet1!BQ292,Lookup!$B$4:$J$236,2))/1000000)</f>
        <v>1.6496</v>
      </c>
      <c r="EG293" s="712">
        <f ca="1">IF(B293=TODAY(),0,-(VLOOKUP(Sheet1!BR293,Lookup!$B$4:$J$236,3)-VLOOKUP(Sheet1!BR292,Lookup!$B$4:$J$236,3))/1000000)</f>
        <v>1.6472</v>
      </c>
      <c r="EH293" s="712">
        <f>-(VLOOKUP(Sheet1!BS293,Lookup!$B$4:$J$236,4)-VLOOKUP(Sheet1!BS292,Lookup!$B$4:$J$236,4))/1000000</f>
        <v>0</v>
      </c>
      <c r="EI293" s="697">
        <f t="shared" ca="1" si="819"/>
        <v>3.2968000000000002</v>
      </c>
      <c r="EJ293" s="712"/>
      <c r="EK293" s="712"/>
      <c r="EL293" s="712"/>
      <c r="EM293" s="712"/>
      <c r="EN293" s="712"/>
      <c r="EO293" s="712"/>
      <c r="EP293" s="712"/>
      <c r="EQ293" s="712"/>
      <c r="ER293" s="697">
        <f t="shared" si="833"/>
        <v>2594.7431360816763</v>
      </c>
      <c r="ES293" s="712">
        <f t="shared" si="834"/>
        <v>458.12014424549568</v>
      </c>
      <c r="ET293" s="794">
        <f t="shared" si="818"/>
        <v>1120.3</v>
      </c>
      <c r="EU293" s="794" t="e">
        <f t="shared" si="838"/>
        <v>#N/A</v>
      </c>
      <c r="EV293" s="795" t="e">
        <f t="shared" si="836"/>
        <v>#N/A</v>
      </c>
      <c r="EW293" s="796" t="s">
        <v>757</v>
      </c>
      <c r="EX293" s="796" t="s">
        <v>757</v>
      </c>
      <c r="EY293" s="794" t="e">
        <v>#N/A</v>
      </c>
      <c r="EZ293" s="798">
        <v>13140.000000027521</v>
      </c>
      <c r="FA293" s="712"/>
      <c r="FB293" s="712"/>
      <c r="FC293" s="712"/>
      <c r="FD293" s="712"/>
      <c r="FE293" s="712">
        <f>O293+Sheet1!CO293</f>
        <v>55.499999999992724</v>
      </c>
      <c r="FF293" s="712">
        <f>IF(Sheet1!AA293+AG293&lt;=Calculation!N293,AG293,Calculation!N293-Sheet1!AA293)</f>
        <v>10.03328578221519</v>
      </c>
      <c r="FG293" s="712">
        <f>(Sheet1!BP293+Sheet1!BO293)/694.4</f>
        <v>1.817540322580645</v>
      </c>
      <c r="FH293" s="712"/>
      <c r="FI293" s="712"/>
      <c r="FJ293" s="712"/>
      <c r="FK293" s="712"/>
      <c r="FL293" s="714">
        <f t="shared" si="827"/>
        <v>40753</v>
      </c>
      <c r="FM293" s="714">
        <f t="shared" si="828"/>
        <v>40851</v>
      </c>
      <c r="FN293" s="712"/>
      <c r="FO293" s="712"/>
      <c r="FP293" s="712"/>
      <c r="FQ293" s="712"/>
      <c r="FR293" s="712"/>
      <c r="FS293" s="725">
        <f t="shared" si="839"/>
        <v>40603</v>
      </c>
      <c r="FT293" s="714">
        <f t="shared" si="830"/>
        <v>40709</v>
      </c>
      <c r="FU293" s="712">
        <f t="shared" si="839"/>
        <v>6518.9048239895692</v>
      </c>
      <c r="FV293" s="714">
        <f t="shared" si="831"/>
        <v>40722</v>
      </c>
      <c r="FW293" s="712">
        <f t="shared" si="839"/>
        <v>3259.4524119947846</v>
      </c>
      <c r="FX293" s="725">
        <f t="shared" si="839"/>
        <v>40851</v>
      </c>
      <c r="FZ293" s="697">
        <f t="shared" si="824"/>
        <v>0</v>
      </c>
      <c r="GA293" s="712" t="str">
        <f t="shared" si="899"/>
        <v/>
      </c>
      <c r="GB293" s="712">
        <f t="shared" si="900"/>
        <v>0</v>
      </c>
      <c r="GC293" s="712" t="str">
        <f t="shared" si="901"/>
        <v/>
      </c>
      <c r="GD293" s="712">
        <f>IF(GA293="P",Lookup!$M$12,IF(GA293="PP",Lookup!$M$13,IF(GA293="PPP",Lookup!$M$14,IF(GA293="T",Lookup!$M$15,IF(GA293="TP",Lookup!$M$16,IF(GA293="TPP",Lookup!$M$17,IF(GA293="TPPP",Lookup!$M$18,0)))))))*FZ293</f>
        <v>0</v>
      </c>
      <c r="GE293" s="712">
        <f t="shared" si="902"/>
        <v>0</v>
      </c>
      <c r="GF293" s="712">
        <f t="shared" si="903"/>
        <v>966.12906666666618</v>
      </c>
      <c r="GG293" s="712">
        <f t="shared" si="904"/>
        <v>314.90517166449354</v>
      </c>
      <c r="GH293" s="712"/>
      <c r="GI293" s="712">
        <f t="shared" si="905"/>
        <v>0</v>
      </c>
      <c r="GJ293" s="712" t="str">
        <f t="shared" si="906"/>
        <v/>
      </c>
      <c r="GK293" s="712">
        <f>IF(GA293="P",Lookup!$N$12,IF(GA293="PP",Lookup!$N$13,IF(GA293="PPP",Lookup!$N$14,IF(GA293="T",Lookup!$N$15,IF(GA293="TP",Lookup!$N$16,IF(GA293="TPP",Lookup!$N$17,IF(GA293="TPPP",Lookup!$N$18,0)))))))*FZ293</f>
        <v>0</v>
      </c>
      <c r="GL293" s="712">
        <f t="shared" si="907"/>
        <v>0</v>
      </c>
      <c r="GM293" s="712">
        <f t="shared" si="908"/>
        <v>1513.6317090299988</v>
      </c>
      <c r="GN293" s="712">
        <f t="shared" si="909"/>
        <v>493.3610524869618</v>
      </c>
      <c r="GO293" s="712"/>
      <c r="GP293" s="712">
        <f t="shared" si="910"/>
        <v>0</v>
      </c>
      <c r="GQ293" s="712" t="str">
        <f t="shared" si="911"/>
        <v/>
      </c>
      <c r="GR293" s="712">
        <f>IF(GA293="P",Lookup!$N$12,IF(GA293="PP",Lookup!$N$13,IF(GA293="PPP",Lookup!$N$14,IF(GA293="T",Lookup!$N$15,IF(GA293="TP",Lookup!$N$16,IF(GA293="TPP",Lookup!$N$17,IF(GA293="TPPP",Lookup!$N$18,0)))))))*FZ293</f>
        <v>0</v>
      </c>
      <c r="GS293" s="697">
        <f t="shared" si="825"/>
        <v>0</v>
      </c>
      <c r="GT293" s="712">
        <f t="shared" si="912"/>
        <v>422.58565516749519</v>
      </c>
      <c r="GU293" s="712">
        <f t="shared" si="913"/>
        <v>137.73978330100886</v>
      </c>
      <c r="GV293" s="712"/>
      <c r="GW293" s="712">
        <f t="shared" si="914"/>
        <v>0</v>
      </c>
      <c r="GX293" s="712" t="str">
        <f t="shared" si="915"/>
        <v/>
      </c>
      <c r="GY293" s="712">
        <f>IF(GA293="P",Lookup!$N$12,IF(GA293="PP",Lookup!$N$13,IF(GA293="PPP",Lookup!$N$14,IF(GA293="T",Lookup!$N$15,IF(GA293="TP",Lookup!$N$16,IF(GA293="TPP",Lookup!$N$17,IF(GA293="TPPP",Lookup!$N$18,0)))))))*FZ293</f>
        <v>0</v>
      </c>
      <c r="GZ293" s="697">
        <f t="shared" si="826"/>
        <v>0</v>
      </c>
      <c r="HA293" s="712">
        <f t="shared" si="916"/>
        <v>388.75253486071932</v>
      </c>
      <c r="HB293" s="712">
        <f t="shared" si="917"/>
        <v>126.71203874208582</v>
      </c>
      <c r="HC293" s="712"/>
    </row>
    <row r="294" spans="1:211">
      <c r="A294" s="773" t="s">
        <v>8</v>
      </c>
      <c r="B294" s="708">
        <v>40823</v>
      </c>
      <c r="C294" s="709">
        <v>0.5</v>
      </c>
      <c r="D294" s="675">
        <f t="shared" si="840"/>
        <v>300</v>
      </c>
      <c r="E294" s="675">
        <f t="shared" si="841"/>
        <v>250</v>
      </c>
      <c r="F294" s="675">
        <v>250</v>
      </c>
      <c r="G294" s="712">
        <f>DH294+Sheet1!CV294</f>
        <v>311.87670196585668</v>
      </c>
      <c r="H294" s="712">
        <f t="shared" si="842"/>
        <v>0</v>
      </c>
      <c r="I294" s="711">
        <f>MAX(Sheet1!Z294-AJ294+(Sheet1!CW294-E294)*CFStoMGD,0)</f>
        <v>344.90591534949004</v>
      </c>
      <c r="J294" s="720">
        <f>IF(AND(B294&gt;=Calculation!FS294,B294&lt;=Calculation!FT294),IF(Sheet1!CX294&gt;=Calculation!D294,64.64,0),MAX(Sheet1!Z294-AJ294+(Sheet1!CX294-D294)*CFStoMGD,0))</f>
        <v>205.39124868282337</v>
      </c>
      <c r="K294" s="697">
        <f t="shared" si="843"/>
        <v>0</v>
      </c>
      <c r="L294" s="712">
        <f>Sheet1!AA294+Sheet1!AB294-Sheet1!L294+(Sheet1!CW294-F294)*CFStoMGD</f>
        <v>387.84966666666816</v>
      </c>
      <c r="M294" s="712">
        <f t="shared" si="844"/>
        <v>205.62904215374436</v>
      </c>
      <c r="N294" s="712">
        <f>IF(Sheet1!CW294&gt;=F294,MIN(73,MIN(MAX(L294,0),MAX(M294,0))),0)</f>
        <v>73</v>
      </c>
      <c r="O294" s="721">
        <f>Sheet1!AA294+Sheet1!AB294</f>
        <v>52.900000000001455</v>
      </c>
      <c r="P294" s="721">
        <f t="shared" si="845"/>
        <v>81.836300000002254</v>
      </c>
      <c r="Q294" s="712">
        <f>MIN(N294,Sheet1!AA294+AG294)</f>
        <v>42.563751317176632</v>
      </c>
      <c r="R294" s="712">
        <f t="shared" si="846"/>
        <v>10</v>
      </c>
      <c r="S294" s="721">
        <f>Sheet1!Y294*MGDtoCFS</f>
        <v>52.922869999999996</v>
      </c>
      <c r="T294" s="721">
        <f>Sheet1!Z294*MGDtoCFS</f>
        <v>28.65044</v>
      </c>
      <c r="U294" s="721">
        <f>Sheet1!AA294*MGDtoCFS</f>
        <v>52.597999999999999</v>
      </c>
      <c r="V294" s="721">
        <f>Sheet1!AB294*MGDtoCFS</f>
        <v>29.238300000002251</v>
      </c>
      <c r="W294" s="721">
        <f>Sheet1!L294*MGDtoCFS</f>
        <v>0</v>
      </c>
      <c r="X294" s="697">
        <f t="shared" si="847"/>
        <v>10.336248682824822</v>
      </c>
      <c r="Y294" s="712">
        <f t="shared" si="848"/>
        <v>15.990176712329999</v>
      </c>
      <c r="Z294" s="712">
        <f t="shared" si="849"/>
        <v>0</v>
      </c>
      <c r="AA294" s="712">
        <f t="shared" si="850"/>
        <v>0</v>
      </c>
      <c r="AB294" s="712">
        <f>(VLOOKUP(Sheet1!CY294,hhdcap_wcm,4)-(((VLOOKUP(Sheet1!CY294,hhdcap_wcm,3)-Sheet1!CY294)/(VLOOKUP(Sheet1!CY294,hhdcap_wcm,3)-VLOOKUP(Sheet1!CY294,hhdcap_wcm,1)))*(VLOOKUP(Sheet1!CY294,hhdcap_wcm,4)-VLOOKUP(Sheet1!CY294,hhdcap_wcm,2))))</f>
        <v>17837.920000039048</v>
      </c>
      <c r="AC294" s="712">
        <f t="shared" si="851"/>
        <v>-737.59000000170636</v>
      </c>
      <c r="AD294" s="712">
        <f t="shared" si="852"/>
        <v>1062.3817975117252</v>
      </c>
      <c r="AE294" s="712">
        <f t="shared" si="853"/>
        <v>3259.3873547659728</v>
      </c>
      <c r="AF294" s="712">
        <f>Sheet1!BA294+Sheet1!BB294+Sheet1!BN294+BT294</f>
        <v>8.6</v>
      </c>
      <c r="AG294" s="712">
        <f t="shared" si="854"/>
        <v>8.5637513171766333</v>
      </c>
      <c r="AH294" s="712">
        <f>Sheet1!BA294+BT294</f>
        <v>0</v>
      </c>
      <c r="AI294" s="712">
        <f>Sheet1!BA294+Sheet1!BB294+BT294</f>
        <v>0</v>
      </c>
      <c r="AJ294" s="712">
        <f>IF((Sheet1!AA294+AG294+AX294+AZ294+BQ294+BS294+CL294+CN294)&lt;=N294,AG294+AX294+AZ294+BQ294+BS294+CL294+CN294,N294-Sheet1!AA294)</f>
        <v>8.5637513171766333</v>
      </c>
      <c r="AK294" s="712">
        <f>IF(DR294&lt;K294,0,MAX(Sheet1!AA294+AG294-15/36*K294-N294,Sheet1!ED294,0))</f>
        <v>0</v>
      </c>
      <c r="AL294" s="712">
        <f>IF(OR(B294&gt;=FT294,B294&lt;FS294),0,15/36*K294-MAX(0,64.6-(137.6-(Sheet1!AA294+Sheet1!AB294))))</f>
        <v>0</v>
      </c>
      <c r="AM294" s="712">
        <f>Sheet1!CX294-110</f>
        <v>492.34375</v>
      </c>
      <c r="AN294" s="712">
        <f>Sheet1!CW294-265</f>
        <v>503.17708333333337</v>
      </c>
      <c r="AO294" s="712">
        <f t="shared" si="835"/>
        <v>30.436248682823368</v>
      </c>
      <c r="AP294" s="712">
        <f t="shared" si="855"/>
        <v>0</v>
      </c>
      <c r="AQ294" s="712">
        <f t="shared" si="856"/>
        <v>0</v>
      </c>
      <c r="AR294" s="712">
        <f t="shared" si="857"/>
        <v>314.90517166449354</v>
      </c>
      <c r="AS294" s="712"/>
      <c r="AT294" s="712">
        <f ca="1">IF(B294&gt;Summary!$A$1,#N/A,AR294*MGtoAF)</f>
        <v>966.12906666666618</v>
      </c>
      <c r="AU294" s="712">
        <f>Sheet1!BG294+Sheet1!BH294+Sheet1!BI294-BC294</f>
        <v>1.01</v>
      </c>
      <c r="AV294" s="712">
        <f t="shared" si="858"/>
        <v>1.005742887249814</v>
      </c>
      <c r="AW294" s="712">
        <f>IF(Sheet1!EL294="FM",BC294,0)</f>
        <v>0</v>
      </c>
      <c r="AX294" s="712">
        <f t="shared" si="859"/>
        <v>0</v>
      </c>
      <c r="AY294" s="712">
        <f>IF(Sheet1!EL294="OTHER",BC294,0)</f>
        <v>0</v>
      </c>
      <c r="AZ294" s="712">
        <f t="shared" si="860"/>
        <v>0</v>
      </c>
      <c r="BA294" s="712">
        <f t="shared" si="861"/>
        <v>1.01</v>
      </c>
      <c r="BB294" s="712">
        <f t="shared" si="862"/>
        <v>1.005742887249814</v>
      </c>
      <c r="BC294" s="712">
        <f>IF(OR(Sheet1!EL294="FM", Sheet1!EL294="OTHER"),SUM(Sheet1!BG294:'Sheet1'!BI294),0)</f>
        <v>0</v>
      </c>
      <c r="BD294" s="697">
        <f>IF(AND($B294&gt;=$FL294,$B294&lt;=$FM294),MAX(AV294,Sheet1!EE294,0),MAX(AV294-(7/36)*$K294,0))</f>
        <v>1.005742887249814</v>
      </c>
      <c r="BE294" s="712">
        <f t="shared" si="863"/>
        <v>0</v>
      </c>
      <c r="BF294" s="697">
        <f t="shared" si="864"/>
        <v>0</v>
      </c>
      <c r="BG294" s="697">
        <f>IF(AND($O294&gt;0,Sheet1!EI294=1),(1-($O294-Sheet1!$L294)/$O294)*BB294,0)</f>
        <v>0</v>
      </c>
      <c r="BH294" s="697">
        <f>IF(AND(Sheet1!$L294=0,Sheet1!$L293=0, Calculation!BA294&lt;Sheet1!$EE294-0.1,Sheet1!$EE294=Sheet1!$EE293,Sheet1!$EE294=Sheet1!$EE295),Sheet1!$EE294,BB294-BG294)</f>
        <v>1.005742887249814</v>
      </c>
      <c r="BI294" s="712"/>
      <c r="BJ294" s="712"/>
      <c r="BK294" s="712">
        <f t="shared" si="865"/>
        <v>492.35530959971197</v>
      </c>
      <c r="BL294" s="712"/>
      <c r="BM294" s="712">
        <f ca="1">IF(B294&gt;Summary!$A$1,#N/A,BK294*MGtoAF)</f>
        <v>1510.5460898519163</v>
      </c>
      <c r="BN294" s="712">
        <f>Sheet1!BC294+Sheet1!BD294+Sheet1!BE294+Sheet1!BF294-BW294-BX294</f>
        <v>2.5700000000000003</v>
      </c>
      <c r="BO294" s="712">
        <f t="shared" si="866"/>
        <v>2.5591675447841804</v>
      </c>
      <c r="BP294" s="712">
        <f>IF(Sheet1!EM294="FM",BX294,0)</f>
        <v>0</v>
      </c>
      <c r="BQ294" s="712">
        <f t="shared" si="867"/>
        <v>0</v>
      </c>
      <c r="BR294" s="712">
        <f>IF(Sheet1!EM294="OTHER",BX294,0)</f>
        <v>0</v>
      </c>
      <c r="BS294" s="712">
        <f t="shared" si="868"/>
        <v>0</v>
      </c>
      <c r="BT294" s="712">
        <f t="shared" si="869"/>
        <v>0</v>
      </c>
      <c r="BU294" s="712">
        <f t="shared" si="870"/>
        <v>2.5700000000000003</v>
      </c>
      <c r="BV294" s="712">
        <f t="shared" si="871"/>
        <v>2.5591675447841804</v>
      </c>
      <c r="BW294" s="712">
        <f>IF(Sheet1!EM294="CWA",SUM(Sheet1!BC294:'Sheet1'!BF294),0)</f>
        <v>0</v>
      </c>
      <c r="BX294" s="712">
        <f>IF(OR(Sheet1!EM294="FM", Sheet1!EM294="OTHER"),SUM(Sheet1!BC294:'Sheet1'!BF294),0)</f>
        <v>0</v>
      </c>
      <c r="BY294" s="697">
        <f>IF(AND($B294&gt;=$FL294,$B294&lt;=$FM294),MAX(BV294,Sheet1!EF294,0),MAX(BV294-(7/36)*$K294,0))</f>
        <v>2.5591675447841804</v>
      </c>
      <c r="BZ294" s="712">
        <f t="shared" si="872"/>
        <v>0</v>
      </c>
      <c r="CA294" s="697">
        <f t="shared" si="873"/>
        <v>0</v>
      </c>
      <c r="CB294" s="697">
        <f>IF(AND($O294&gt;0,Sheet1!EJ294=1),(1-($O294-Sheet1!$L294)/$O294)*BV294,0)</f>
        <v>0</v>
      </c>
      <c r="CC294" s="697">
        <f>IF(AND(Sheet1!$L294=0,Sheet1!$L293=0, Calculation!BU294&lt;Sheet1!EF294-0.1,Sheet1!EF294=Sheet1!EF293,Sheet1!EF294=Sheet1!EF295),Sheet1!EF294,BV294-CB294)</f>
        <v>2.5591675447841804</v>
      </c>
      <c r="CD294" s="697"/>
      <c r="CE294" s="712"/>
      <c r="CF294" s="712">
        <f t="shared" si="874"/>
        <v>135.18061575622468</v>
      </c>
      <c r="CG294" s="712"/>
      <c r="CH294" s="712">
        <f ca="1">IF(B294&gt;Summary!$A$1,#N/A,CF294*MGtoAF)</f>
        <v>414.73412914009731</v>
      </c>
      <c r="CI294" s="712">
        <f>Sheet1!BK294+Sheet1!BL294+Sheet1!BM294-Sheet1!EN294-CQ294</f>
        <v>6.8000000000000007</v>
      </c>
      <c r="CJ294" s="712">
        <f t="shared" si="875"/>
        <v>6.7713382507908273</v>
      </c>
      <c r="CK294" s="712">
        <f>IF(Sheet1!EN294="FM",CQ294,0)</f>
        <v>0</v>
      </c>
      <c r="CL294" s="712">
        <f t="shared" si="876"/>
        <v>0</v>
      </c>
      <c r="CM294" s="712">
        <f>IF(Sheet1!EN294="OTHER",CQ294,0)</f>
        <v>0</v>
      </c>
      <c r="CN294" s="712">
        <f t="shared" si="877"/>
        <v>0</v>
      </c>
      <c r="CO294" s="712">
        <f t="shared" si="878"/>
        <v>6.8000000000000007</v>
      </c>
      <c r="CP294" s="712">
        <f t="shared" si="879"/>
        <v>6.7713382507908273</v>
      </c>
      <c r="CQ294" s="712">
        <f>IF(OR(Sheet1!EN294="FM", Sheet1!EN294="OTHER"),SUM(Sheet1!BK294:'Sheet1'!BM294),0)</f>
        <v>0</v>
      </c>
      <c r="CR294" s="697">
        <f>IF(AND($B294&gt;=$FL294,$B294&lt;=$FM294),MAX($CJ294,Sheet1!EG294,0),MAX($CJ294-(7/36)*$K294,0))</f>
        <v>6.7713382507908273</v>
      </c>
      <c r="CS294" s="712">
        <f t="shared" si="880"/>
        <v>0</v>
      </c>
      <c r="CT294" s="697">
        <f t="shared" si="881"/>
        <v>0</v>
      </c>
      <c r="CU294" s="697">
        <f>IF(AND($O294&gt;0,Sheet1!EK294=1),(1-($O294-Sheet1!$L294)/$O294)*CP294,0)</f>
        <v>0</v>
      </c>
      <c r="CV294" s="697">
        <f>IF(AND(Sheet1!$L294=0,Sheet1!$L293=0, Calculation!CO294&lt;Sheet1!$EG294-0.1,Sheet1!$EG294=Sheet1!$EG293,Sheet1!$EG294=Sheet1!$EG295),Sheet1!$EG294,CP294-CU294)</f>
        <v>6.7713382507908273</v>
      </c>
      <c r="CW294" s="697">
        <f t="shared" si="837"/>
        <v>0</v>
      </c>
      <c r="CX294" s="712">
        <f t="shared" si="882"/>
        <v>10.38</v>
      </c>
      <c r="CY294" s="712">
        <f t="shared" si="883"/>
        <v>119.94070049129499</v>
      </c>
      <c r="CZ294" s="712">
        <f t="shared" si="884"/>
        <v>10.336248682824822</v>
      </c>
      <c r="DA294" s="712">
        <f ca="1">IF(B294&gt;Summary!$A$1,#N/A,CY294*MGtoAF)</f>
        <v>367.97806910729304</v>
      </c>
      <c r="DB294" s="712">
        <f t="shared" si="885"/>
        <v>10.38</v>
      </c>
      <c r="DC294" s="712">
        <f t="shared" si="886"/>
        <v>18.98</v>
      </c>
      <c r="DD294" s="712">
        <f>Sheet1!AB294-DC294</f>
        <v>-7.9999999998545235E-2</v>
      </c>
      <c r="DE294" s="712">
        <f t="shared" si="887"/>
        <v>-4.2149631189960608E-3</v>
      </c>
      <c r="DF294" s="712">
        <f>(VLOOKUP(Sheet1!CY294,hhdcap_wcm,4)-(((VLOOKUP(Sheet1!CY294,hhdcap_wcm,3)-Sheet1!CY294)/(VLOOKUP(Sheet1!CY294,hhdcap_wcm,3)-VLOOKUP(Sheet1!CY294,hhdcap_wcm,1)))*(VLOOKUP(Sheet1!CY294,hhdcap_wcm,4)-VLOOKUP(Sheet1!CY294,hhdcap_wcm,2))))</f>
        <v>17837.920000039048</v>
      </c>
      <c r="DG294" s="712">
        <f t="shared" si="888"/>
        <v>-737.59000000170636</v>
      </c>
      <c r="DH294" s="712">
        <f t="shared" si="889"/>
        <v>-371.95663136747669</v>
      </c>
      <c r="DI294" s="712">
        <f>Sheet1!DW294*AFtoMG</f>
        <v>0</v>
      </c>
      <c r="DJ294" s="712">
        <f>Sheet1!DX294*AFtoMG</f>
        <v>0</v>
      </c>
      <c r="DK294" s="712">
        <f>Sheet1!DY294*AFtoMG</f>
        <v>0</v>
      </c>
      <c r="DL294" s="712">
        <f>Sheet1!DZ294*AFtoMG</f>
        <v>0</v>
      </c>
      <c r="DM294" s="712">
        <f t="shared" si="890"/>
        <v>0</v>
      </c>
      <c r="DN294" s="712">
        <f t="shared" si="891"/>
        <v>0</v>
      </c>
      <c r="DO294" s="712">
        <f t="shared" si="892"/>
        <v>1062.3817975117252</v>
      </c>
      <c r="DP294" s="712">
        <f t="shared" si="893"/>
        <v>3259.3873547659728</v>
      </c>
      <c r="DQ294" s="712"/>
      <c r="DR294" s="697">
        <f>IF(OR(B294&lt;FL294,B294&gt;FM294),(MIN(AV294+BO294+CJ294+MAX(Sheet1!AA294+AG294-73,0),K294)),0)</f>
        <v>0</v>
      </c>
      <c r="DS294" s="712"/>
      <c r="DT294" s="712">
        <f t="shared" si="894"/>
        <v>10.336248682824822</v>
      </c>
      <c r="DU294" s="712"/>
      <c r="DV294" s="712">
        <f>Sheet1!ED294+Sheet1!EE294+Sheet1!EF294+Sheet1!EG294</f>
        <v>10</v>
      </c>
      <c r="DW294" s="712"/>
      <c r="DX294" s="697">
        <f t="shared" si="895"/>
        <v>0</v>
      </c>
      <c r="DY294" s="712">
        <f>IF(Sheet1!FN294=1,SUM('Calculations II'!AT294:BA294)+'Calculations II'!BC294+Sheet1!BU294+'Calculations II'!BE294+AF294,SUM('Calculations II'!AT294:BA294)+'Calculations II'!BC294+Sheet1!BU294+'Calculations II'!BE294+AF294)</f>
        <v>44.595759999999999</v>
      </c>
      <c r="DZ294" s="712">
        <f>Sheet1!AA294+Sheet1!AB294+'Calculations II'!BC294</f>
        <v>52.900000000001455</v>
      </c>
      <c r="EA294" s="712"/>
      <c r="EB294" s="712"/>
      <c r="EC294" s="712">
        <f t="shared" si="896"/>
        <v>40823</v>
      </c>
      <c r="ED294" s="712">
        <f t="shared" si="897"/>
        <v>-10.336248682824822</v>
      </c>
      <c r="EE294" s="712">
        <f t="shared" si="898"/>
        <v>-15.990176712329999</v>
      </c>
      <c r="EF294" s="712">
        <f ca="1">IF(B294=TODAY(),0,-(VLOOKUP(Sheet1!BQ294,Lookup!$B$4:$J$236,2)-VLOOKUP(Sheet1!BQ293,Lookup!$B$4:$J$236,2))/1000000)</f>
        <v>2.1838000000000002</v>
      </c>
      <c r="EG294" s="712">
        <f ca="1">IF(B294=TODAY(),0,-(VLOOKUP(Sheet1!BR294,Lookup!$B$4:$J$236,3)-VLOOKUP(Sheet1!BR293,Lookup!$B$4:$J$236,3))/1000000)</f>
        <v>2.1804000000000001</v>
      </c>
      <c r="EH294" s="712">
        <f>-(VLOOKUP(Sheet1!BS294,Lookup!$B$4:$J$236,4)-VLOOKUP(Sheet1!BS293,Lookup!$B$4:$J$236,4))/1000000</f>
        <v>0</v>
      </c>
      <c r="EI294" s="697">
        <f t="shared" ca="1" si="819"/>
        <v>4.3642000000000003</v>
      </c>
      <c r="EJ294" s="712"/>
      <c r="EK294" s="712"/>
      <c r="EL294" s="712"/>
      <c r="EM294" s="712"/>
      <c r="EN294" s="712"/>
      <c r="EO294" s="712"/>
      <c r="EP294" s="712"/>
      <c r="EQ294" s="712"/>
      <c r="ER294" s="697">
        <f t="shared" si="833"/>
        <v>2077.3399636987497</v>
      </c>
      <c r="ES294" s="712">
        <f t="shared" si="834"/>
        <v>517.40317238292653</v>
      </c>
      <c r="ET294" s="794">
        <f t="shared" si="818"/>
        <v>1120</v>
      </c>
      <c r="EU294" s="794" t="e">
        <f t="shared" si="838"/>
        <v>#N/A</v>
      </c>
      <c r="EV294" s="795" t="e">
        <f t="shared" si="836"/>
        <v>#N/A</v>
      </c>
      <c r="EW294" s="796" t="s">
        <v>757</v>
      </c>
      <c r="EX294" s="796" t="s">
        <v>757</v>
      </c>
      <c r="EY294" s="794" t="e">
        <v>#N/A</v>
      </c>
      <c r="EZ294" s="798">
        <v>13009.800000026742</v>
      </c>
      <c r="FA294" s="712"/>
      <c r="FB294" s="712"/>
      <c r="FC294" s="712"/>
      <c r="FD294" s="712"/>
      <c r="FE294" s="712">
        <f>O294+Sheet1!CO294</f>
        <v>52.900000000001455</v>
      </c>
      <c r="FF294" s="712">
        <f>IF(Sheet1!AA294+AG294&lt;=Calculation!N294,AG294,Calculation!N294-Sheet1!AA294)</f>
        <v>8.5637513171766333</v>
      </c>
      <c r="FG294" s="712">
        <f>(Sheet1!BP294+Sheet1!BO294)/694.4</f>
        <v>1.7633928571428572</v>
      </c>
      <c r="FH294" s="712"/>
      <c r="FI294" s="712"/>
      <c r="FJ294" s="712"/>
      <c r="FK294" s="712"/>
      <c r="FL294" s="714">
        <f t="shared" si="827"/>
        <v>40753</v>
      </c>
      <c r="FM294" s="714">
        <f t="shared" si="828"/>
        <v>40851</v>
      </c>
      <c r="FN294" s="712"/>
      <c r="FO294" s="712"/>
      <c r="FP294" s="712"/>
      <c r="FQ294" s="712"/>
      <c r="FR294" s="712"/>
      <c r="FS294" s="725">
        <f t="shared" si="839"/>
        <v>40603</v>
      </c>
      <c r="FT294" s="714">
        <f t="shared" si="830"/>
        <v>40709</v>
      </c>
      <c r="FU294" s="712">
        <f t="shared" si="839"/>
        <v>6518.9048239895692</v>
      </c>
      <c r="FV294" s="714">
        <f t="shared" si="831"/>
        <v>40722</v>
      </c>
      <c r="FW294" s="712">
        <f t="shared" si="839"/>
        <v>3259.4524119947846</v>
      </c>
      <c r="FX294" s="725">
        <f t="shared" si="839"/>
        <v>40851</v>
      </c>
      <c r="FZ294" s="697">
        <f t="shared" si="824"/>
        <v>0</v>
      </c>
      <c r="GA294" s="712" t="str">
        <f t="shared" si="899"/>
        <v/>
      </c>
      <c r="GB294" s="712">
        <f t="shared" si="900"/>
        <v>0</v>
      </c>
      <c r="GC294" s="712" t="str">
        <f t="shared" si="901"/>
        <v/>
      </c>
      <c r="GD294" s="712">
        <f>IF(GA294="P",Lookup!$M$12,IF(GA294="PP",Lookup!$M$13,IF(GA294="PPP",Lookup!$M$14,IF(GA294="T",Lookup!$M$15,IF(GA294="TP",Lookup!$M$16,IF(GA294="TPP",Lookup!$M$17,IF(GA294="TPPP",Lookup!$M$18,0)))))))*FZ294</f>
        <v>0</v>
      </c>
      <c r="GE294" s="712">
        <f t="shared" si="902"/>
        <v>0</v>
      </c>
      <c r="GF294" s="712">
        <f t="shared" si="903"/>
        <v>966.12906666666618</v>
      </c>
      <c r="GG294" s="712">
        <f t="shared" si="904"/>
        <v>314.90517166449354</v>
      </c>
      <c r="GH294" s="712"/>
      <c r="GI294" s="712">
        <f t="shared" si="905"/>
        <v>0</v>
      </c>
      <c r="GJ294" s="712" t="str">
        <f t="shared" si="906"/>
        <v/>
      </c>
      <c r="GK294" s="712">
        <f>IF(GA294="P",Lookup!$N$12,IF(GA294="PP",Lookup!$N$13,IF(GA294="PPP",Lookup!$N$14,IF(GA294="T",Lookup!$N$15,IF(GA294="TP",Lookup!$N$16,IF(GA294="TPP",Lookup!$N$17,IF(GA294="TPPP",Lookup!$N$18,0)))))))*FZ294</f>
        <v>0</v>
      </c>
      <c r="GL294" s="712">
        <f t="shared" si="907"/>
        <v>0</v>
      </c>
      <c r="GM294" s="712">
        <f t="shared" si="908"/>
        <v>1510.5460898519163</v>
      </c>
      <c r="GN294" s="712">
        <f t="shared" si="909"/>
        <v>492.35530959971197</v>
      </c>
      <c r="GO294" s="712"/>
      <c r="GP294" s="712">
        <f t="shared" si="910"/>
        <v>0</v>
      </c>
      <c r="GQ294" s="712" t="str">
        <f t="shared" si="911"/>
        <v/>
      </c>
      <c r="GR294" s="712">
        <f>IF(GA294="P",Lookup!$N$12,IF(GA294="PP",Lookup!$N$13,IF(GA294="PPP",Lookup!$N$14,IF(GA294="T",Lookup!$N$15,IF(GA294="TP",Lookup!$N$16,IF(GA294="TPP",Lookup!$N$17,IF(GA294="TPPP",Lookup!$N$18,0)))))))*FZ294</f>
        <v>0</v>
      </c>
      <c r="GS294" s="697">
        <f t="shared" si="825"/>
        <v>0</v>
      </c>
      <c r="GT294" s="712">
        <f t="shared" si="912"/>
        <v>414.73412914009731</v>
      </c>
      <c r="GU294" s="712">
        <f t="shared" si="913"/>
        <v>135.18061575622468</v>
      </c>
      <c r="GV294" s="712"/>
      <c r="GW294" s="712">
        <f t="shared" si="914"/>
        <v>0</v>
      </c>
      <c r="GX294" s="712" t="str">
        <f t="shared" si="915"/>
        <v/>
      </c>
      <c r="GY294" s="712">
        <f>IF(GA294="P",Lookup!$N$12,IF(GA294="PP",Lookup!$N$13,IF(GA294="PPP",Lookup!$N$14,IF(GA294="T",Lookup!$N$15,IF(GA294="TP",Lookup!$N$16,IF(GA294="TPP",Lookup!$N$17,IF(GA294="TPPP",Lookup!$N$18,0)))))))*FZ294</f>
        <v>0</v>
      </c>
      <c r="GZ294" s="697">
        <f t="shared" si="826"/>
        <v>0</v>
      </c>
      <c r="HA294" s="712">
        <f t="shared" si="916"/>
        <v>367.97806910729304</v>
      </c>
      <c r="HB294" s="712">
        <f t="shared" si="917"/>
        <v>119.94070049129499</v>
      </c>
      <c r="HC294" s="712"/>
    </row>
    <row r="295" spans="1:211">
      <c r="A295" s="773" t="s">
        <v>9</v>
      </c>
      <c r="B295" s="708">
        <v>40824</v>
      </c>
      <c r="C295" s="719">
        <v>0.5</v>
      </c>
      <c r="D295" s="675">
        <f t="shared" si="840"/>
        <v>300</v>
      </c>
      <c r="E295" s="675">
        <f t="shared" si="841"/>
        <v>250</v>
      </c>
      <c r="F295" s="675">
        <v>250</v>
      </c>
      <c r="G295" s="712">
        <f>DH295+Sheet1!CV295</f>
        <v>308.37090267188421</v>
      </c>
      <c r="H295" s="712">
        <f t="shared" si="842"/>
        <v>0</v>
      </c>
      <c r="I295" s="711">
        <f>MAX(Sheet1!Z295-AJ295+(Sheet1!CW295-E295)*CFStoMGD,0)</f>
        <v>371.72844145954519</v>
      </c>
      <c r="J295" s="720">
        <f>IF(AND(B295&gt;=Calculation!FS295,B295&lt;=Calculation!FT295),IF(Sheet1!CX295&gt;=Calculation!D295,64.64,0),MAX(Sheet1!Z295-AJ295+(Sheet1!CX295-D295)*CFStoMGD,0))</f>
        <v>223.56144145954522</v>
      </c>
      <c r="K295" s="697">
        <f t="shared" si="843"/>
        <v>0</v>
      </c>
      <c r="L295" s="712">
        <f>Sheet1!AA295+Sheet1!AB295-Sheet1!L295+(Sheet1!CW295-F295)*CFStoMGD</f>
        <v>414.86079999999708</v>
      </c>
      <c r="M295" s="712">
        <f t="shared" si="844"/>
        <v>203.31757051684809</v>
      </c>
      <c r="N295" s="712">
        <f>IF(Sheet1!CW295&gt;=F295,MIN(73,MIN(MAX(L295,0),MAX(M295,0))),0)</f>
        <v>73</v>
      </c>
      <c r="O295" s="721">
        <f>Sheet1!AA295+Sheet1!AB295</f>
        <v>53.19999999999709</v>
      </c>
      <c r="P295" s="721">
        <f t="shared" si="845"/>
        <v>82.300399999995491</v>
      </c>
      <c r="Q295" s="712">
        <f>MIN(N295,Sheet1!AA295+AG295)</f>
        <v>43.142358540451873</v>
      </c>
      <c r="R295" s="712">
        <f t="shared" si="846"/>
        <v>10</v>
      </c>
      <c r="S295" s="721">
        <f>Sheet1!Y295*MGDtoCFS</f>
        <v>52.922869999999996</v>
      </c>
      <c r="T295" s="721">
        <f>Sheet1!Z295*MGDtoCFS</f>
        <v>29.408470000000001</v>
      </c>
      <c r="U295" s="721">
        <f>Sheet1!AA295*MGDtoCFS</f>
        <v>52.907399999995498</v>
      </c>
      <c r="V295" s="721">
        <f>Sheet1!AB295*MGDtoCFS</f>
        <v>29.392999999999997</v>
      </c>
      <c r="W295" s="721">
        <f>Sheet1!L295*MGDtoCFS</f>
        <v>0</v>
      </c>
      <c r="X295" s="697">
        <f t="shared" si="847"/>
        <v>10.057641459545213</v>
      </c>
      <c r="Y295" s="712">
        <f t="shared" si="848"/>
        <v>15.559171337916444</v>
      </c>
      <c r="Z295" s="712">
        <f t="shared" si="849"/>
        <v>0</v>
      </c>
      <c r="AA295" s="712">
        <f t="shared" si="850"/>
        <v>0</v>
      </c>
      <c r="AB295" s="712">
        <f>(VLOOKUP(Sheet1!CY295,hhdcap_wcm,4)-(((VLOOKUP(Sheet1!CY295,hhdcap_wcm,3)-Sheet1!CY295)/(VLOOKUP(Sheet1!CY295,hhdcap_wcm,3)-VLOOKUP(Sheet1!CY295,hhdcap_wcm,1)))*(VLOOKUP(Sheet1!CY295,hhdcap_wcm,4)-VLOOKUP(Sheet1!CY295,hhdcap_wcm,2))))</f>
        <v>17041.820000037394</v>
      </c>
      <c r="AC295" s="712">
        <f t="shared" si="851"/>
        <v>-796.10000000165383</v>
      </c>
      <c r="AD295" s="712">
        <f t="shared" si="852"/>
        <v>1052.3241560521801</v>
      </c>
      <c r="AE295" s="712">
        <f t="shared" si="853"/>
        <v>3228.5305107680888</v>
      </c>
      <c r="AF295" s="712">
        <f>Sheet1!BA295+Sheet1!BB295+Sheet1!BN295+BT295</f>
        <v>8.9</v>
      </c>
      <c r="AG295" s="712">
        <f t="shared" si="854"/>
        <v>8.9423585404547854</v>
      </c>
      <c r="AH295" s="712">
        <f>Sheet1!BA295+BT295</f>
        <v>0</v>
      </c>
      <c r="AI295" s="712">
        <f>Sheet1!BA295+Sheet1!BB295+BT295</f>
        <v>0</v>
      </c>
      <c r="AJ295" s="712">
        <f>IF((Sheet1!AA295+AG295+AX295+AZ295+BQ295+BS295+CL295+CN295)&lt;=N295,AG295+AX295+AZ295+BQ295+BS295+CL295+CN295,N295-Sheet1!AA295)</f>
        <v>8.9423585404547854</v>
      </c>
      <c r="AK295" s="712">
        <f>IF(DR295&lt;K295,0,MAX(Sheet1!AA295+AG295-15/36*K295-N295,Sheet1!ED295,0))</f>
        <v>0</v>
      </c>
      <c r="AL295" s="712">
        <f>IF(OR(B295&gt;=FT295,B295&lt;FS295),0,15/36*K295-MAX(0,64.6-(137.6-(Sheet1!AA295+Sheet1!AB295))))</f>
        <v>0</v>
      </c>
      <c r="AM295" s="712">
        <f>Sheet1!CX295-110</f>
        <v>520.28125</v>
      </c>
      <c r="AN295" s="712">
        <f>Sheet1!CW295-265</f>
        <v>544.5</v>
      </c>
      <c r="AO295" s="712">
        <f t="shared" si="835"/>
        <v>29.857641459548127</v>
      </c>
      <c r="AP295" s="712">
        <f t="shared" si="855"/>
        <v>0</v>
      </c>
      <c r="AQ295" s="712">
        <f t="shared" si="856"/>
        <v>0</v>
      </c>
      <c r="AR295" s="712">
        <f t="shared" si="857"/>
        <v>314.90517166449354</v>
      </c>
      <c r="AS295" s="712"/>
      <c r="AT295" s="712">
        <f ca="1">IF(B295&gt;Summary!$A$1,#N/A,AR295*MGtoAF)</f>
        <v>966.12906666666618</v>
      </c>
      <c r="AU295" s="712">
        <f>Sheet1!BG295+Sheet1!BH295+Sheet1!BI295-BC295</f>
        <v>1</v>
      </c>
      <c r="AV295" s="712">
        <f t="shared" si="858"/>
        <v>1.0047593865679534</v>
      </c>
      <c r="AW295" s="712">
        <f>IF(Sheet1!EL295="FM",BC295,0)</f>
        <v>0</v>
      </c>
      <c r="AX295" s="712">
        <f t="shared" si="859"/>
        <v>0</v>
      </c>
      <c r="AY295" s="712">
        <f>IF(Sheet1!EL295="OTHER",BC295,0)</f>
        <v>0</v>
      </c>
      <c r="AZ295" s="712">
        <f t="shared" si="860"/>
        <v>0</v>
      </c>
      <c r="BA295" s="712">
        <f t="shared" si="861"/>
        <v>1</v>
      </c>
      <c r="BB295" s="712">
        <f t="shared" si="862"/>
        <v>1.0047593865679534</v>
      </c>
      <c r="BC295" s="712">
        <f>IF(OR(Sheet1!EL295="FM", Sheet1!EL295="OTHER"),SUM(Sheet1!BG295:'Sheet1'!BI295),0)</f>
        <v>0</v>
      </c>
      <c r="BD295" s="697">
        <f>IF(AND($B295&gt;=$FL295,$B295&lt;=$FM295),MAX(AV295,Sheet1!EE295,0),MAX(AV295-(7/36)*$K295,0))</f>
        <v>1.0047593865679534</v>
      </c>
      <c r="BE295" s="712">
        <f t="shared" si="863"/>
        <v>0</v>
      </c>
      <c r="BF295" s="697">
        <f t="shared" si="864"/>
        <v>0</v>
      </c>
      <c r="BG295" s="697">
        <f>IF(AND($O295&gt;0,Sheet1!EI295=1),(1-($O295-Sheet1!$L295)/$O295)*BB295,0)</f>
        <v>0</v>
      </c>
      <c r="BH295" s="697">
        <f>IF(AND(Sheet1!$L295=0,Sheet1!$L294=0, Calculation!BA295&lt;Sheet1!$EE295-0.1,Sheet1!$EE295=Sheet1!$EE294,Sheet1!$EE295=Sheet1!$EE296),Sheet1!$EE295,BB295-BG295)</f>
        <v>1.0047593865679534</v>
      </c>
      <c r="BI295" s="712"/>
      <c r="BJ295" s="712"/>
      <c r="BK295" s="712">
        <f t="shared" si="865"/>
        <v>491.350550213144</v>
      </c>
      <c r="BL295" s="712"/>
      <c r="BM295" s="712">
        <f ca="1">IF(B295&gt;Summary!$A$1,#N/A,BK295*MGtoAF)</f>
        <v>1507.4634880539259</v>
      </c>
      <c r="BN295" s="712">
        <f>Sheet1!BC295+Sheet1!BD295+Sheet1!BE295+Sheet1!BF295-BW295-BX295</f>
        <v>2.4900000000000002</v>
      </c>
      <c r="BO295" s="712">
        <f t="shared" si="866"/>
        <v>2.5018508725542041</v>
      </c>
      <c r="BP295" s="712">
        <f>IF(Sheet1!EM295="FM",BX295,0)</f>
        <v>0</v>
      </c>
      <c r="BQ295" s="712">
        <f t="shared" si="867"/>
        <v>0</v>
      </c>
      <c r="BR295" s="712">
        <f>IF(Sheet1!EM295="OTHER",BX295,0)</f>
        <v>0</v>
      </c>
      <c r="BS295" s="712">
        <f t="shared" si="868"/>
        <v>0</v>
      </c>
      <c r="BT295" s="712">
        <f t="shared" si="869"/>
        <v>0</v>
      </c>
      <c r="BU295" s="712">
        <f t="shared" si="870"/>
        <v>2.4900000000000002</v>
      </c>
      <c r="BV295" s="712">
        <f t="shared" si="871"/>
        <v>2.5018508725542041</v>
      </c>
      <c r="BW295" s="712">
        <f>IF(Sheet1!EM295="CWA",SUM(Sheet1!BC295:'Sheet1'!BF295),0)</f>
        <v>0</v>
      </c>
      <c r="BX295" s="712">
        <f>IF(OR(Sheet1!EM295="FM", Sheet1!EM295="OTHER"),SUM(Sheet1!BC295:'Sheet1'!BF295),0)</f>
        <v>0</v>
      </c>
      <c r="BY295" s="697">
        <f>IF(AND($B295&gt;=$FL295,$B295&lt;=$FM295),MAX(BV295,Sheet1!EF295,0),MAX(BV295-(7/36)*$K295,0))</f>
        <v>2.5018508725542041</v>
      </c>
      <c r="BZ295" s="712">
        <f t="shared" si="872"/>
        <v>0</v>
      </c>
      <c r="CA295" s="697">
        <f t="shared" si="873"/>
        <v>0</v>
      </c>
      <c r="CB295" s="697">
        <f>IF(AND($O295&gt;0,Sheet1!EJ295=1),(1-($O295-Sheet1!$L295)/$O295)*BV295,0)</f>
        <v>0</v>
      </c>
      <c r="CC295" s="697">
        <f>IF(AND(Sheet1!$L295=0,Sheet1!$L294=0, Calculation!BU295&lt;Sheet1!EF295-0.1,Sheet1!EF295=Sheet1!EF294,Sheet1!EF295=Sheet1!EF296),Sheet1!EF295,BV295-CB295)</f>
        <v>2.5018508725542041</v>
      </c>
      <c r="CD295" s="697"/>
      <c r="CE295" s="712"/>
      <c r="CF295" s="712">
        <f t="shared" si="874"/>
        <v>132.67876488367048</v>
      </c>
      <c r="CG295" s="712"/>
      <c r="CH295" s="712">
        <f ca="1">IF(B295&gt;Summary!$A$1,#N/A,CF295*MGtoAF)</f>
        <v>407.05845066310104</v>
      </c>
      <c r="CI295" s="712">
        <f>Sheet1!BK295+Sheet1!BL295+Sheet1!BM295-Sheet1!EN295-CQ295</f>
        <v>6.52</v>
      </c>
      <c r="CJ295" s="712">
        <f t="shared" si="875"/>
        <v>6.551031200423056</v>
      </c>
      <c r="CK295" s="712">
        <f>IF(Sheet1!EN295="FM",CQ295,0)</f>
        <v>0</v>
      </c>
      <c r="CL295" s="712">
        <f t="shared" si="876"/>
        <v>0</v>
      </c>
      <c r="CM295" s="712">
        <f>IF(Sheet1!EN295="OTHER",CQ295,0)</f>
        <v>0</v>
      </c>
      <c r="CN295" s="712">
        <f t="shared" si="877"/>
        <v>0</v>
      </c>
      <c r="CO295" s="712">
        <f t="shared" si="878"/>
        <v>6.52</v>
      </c>
      <c r="CP295" s="712">
        <f t="shared" si="879"/>
        <v>6.551031200423056</v>
      </c>
      <c r="CQ295" s="712">
        <f>IF(OR(Sheet1!EN295="FM", Sheet1!EN295="OTHER"),SUM(Sheet1!BK295:'Sheet1'!BM295),0)</f>
        <v>0</v>
      </c>
      <c r="CR295" s="697">
        <f>IF(AND($B295&gt;=$FL295,$B295&lt;=$FM295),MAX($CJ295,Sheet1!EG295,0),MAX($CJ295-(7/36)*$K295,0))</f>
        <v>6.551031200423056</v>
      </c>
      <c r="CS295" s="712">
        <f t="shared" si="880"/>
        <v>0</v>
      </c>
      <c r="CT295" s="697">
        <f t="shared" si="881"/>
        <v>0</v>
      </c>
      <c r="CU295" s="697">
        <f>IF(AND($O295&gt;0,Sheet1!EK295=1),(1-($O295-Sheet1!$L295)/$O295)*CP295,0)</f>
        <v>0</v>
      </c>
      <c r="CV295" s="697">
        <f>IF(AND(Sheet1!$L295=0,Sheet1!$L294=0, Calculation!CO295&lt;Sheet1!$EG295-0.1,Sheet1!$EG295=Sheet1!$EG294,Sheet1!$EG295=Sheet1!$EG296),Sheet1!$EG295,CP295-CU295)</f>
        <v>6.551031200423056</v>
      </c>
      <c r="CW295" s="697">
        <f t="shared" si="837"/>
        <v>0</v>
      </c>
      <c r="CX295" s="712">
        <f t="shared" si="882"/>
        <v>10.01</v>
      </c>
      <c r="CY295" s="712">
        <f t="shared" si="883"/>
        <v>113.38966929087194</v>
      </c>
      <c r="CZ295" s="712">
        <f t="shared" si="884"/>
        <v>10.057641459545213</v>
      </c>
      <c r="DA295" s="712">
        <f ca="1">IF(B295&gt;Summary!$A$1,#N/A,CY295*MGtoAF)</f>
        <v>347.87950538439509</v>
      </c>
      <c r="DB295" s="712">
        <f t="shared" si="885"/>
        <v>10.01</v>
      </c>
      <c r="DC295" s="712">
        <f t="shared" si="886"/>
        <v>18.91</v>
      </c>
      <c r="DD295" s="712">
        <f>Sheet1!AB295-DC295</f>
        <v>8.9999999999999858E-2</v>
      </c>
      <c r="DE295" s="712">
        <f t="shared" si="887"/>
        <v>4.759386567953456E-3</v>
      </c>
      <c r="DF295" s="712">
        <f>(VLOOKUP(Sheet1!CY295,hhdcap_wcm,4)-(((VLOOKUP(Sheet1!CY295,hhdcap_wcm,3)-Sheet1!CY295)/(VLOOKUP(Sheet1!CY295,hhdcap_wcm,3)-VLOOKUP(Sheet1!CY295,hhdcap_wcm,1)))*(VLOOKUP(Sheet1!CY295,hhdcap_wcm,4)-VLOOKUP(Sheet1!CY295,hhdcap_wcm,2))))</f>
        <v>17041.820000037394</v>
      </c>
      <c r="DG295" s="712">
        <f t="shared" si="888"/>
        <v>-796.10000000165383</v>
      </c>
      <c r="DH295" s="712">
        <f t="shared" si="889"/>
        <v>-401.46243066144916</v>
      </c>
      <c r="DI295" s="712">
        <f>Sheet1!DW295*AFtoMG</f>
        <v>0</v>
      </c>
      <c r="DJ295" s="712">
        <f>Sheet1!DX295*AFtoMG</f>
        <v>0</v>
      </c>
      <c r="DK295" s="712">
        <f>Sheet1!DY295*AFtoMG</f>
        <v>0</v>
      </c>
      <c r="DL295" s="712">
        <f>Sheet1!DZ295*AFtoMG</f>
        <v>0</v>
      </c>
      <c r="DM295" s="712">
        <f t="shared" si="890"/>
        <v>0</v>
      </c>
      <c r="DN295" s="712">
        <f t="shared" si="891"/>
        <v>0</v>
      </c>
      <c r="DO295" s="712">
        <f t="shared" si="892"/>
        <v>1052.3241560521801</v>
      </c>
      <c r="DP295" s="712">
        <f t="shared" si="893"/>
        <v>3228.5305107680888</v>
      </c>
      <c r="DQ295" s="712"/>
      <c r="DR295" s="697">
        <f>IF(OR(B295&lt;FL295,B295&gt;FM295),(MIN(AV295+BO295+CJ295+MAX(Sheet1!AA295+AG295-73,0),K295)),0)</f>
        <v>0</v>
      </c>
      <c r="DS295" s="712"/>
      <c r="DT295" s="712">
        <f t="shared" si="894"/>
        <v>10.057641459545213</v>
      </c>
      <c r="DU295" s="712"/>
      <c r="DV295" s="712">
        <f>Sheet1!ED295+Sheet1!EE295+Sheet1!EF295+Sheet1!EG295</f>
        <v>10</v>
      </c>
      <c r="DW295" s="712"/>
      <c r="DX295" s="697">
        <f t="shared" si="895"/>
        <v>0</v>
      </c>
      <c r="DY295" s="712">
        <f>IF(Sheet1!FN295=1,SUM('Calculations II'!AT295:BA295)+'Calculations II'!BC295+Sheet1!BU295+'Calculations II'!BE295+AF295,SUM('Calculations II'!AT295:BA295)+'Calculations II'!BC295+Sheet1!BU295+'Calculations II'!BE295+AF295)</f>
        <v>43.252127999999999</v>
      </c>
      <c r="DZ295" s="712">
        <f>Sheet1!AA295+Sheet1!AB295+'Calculations II'!BC295</f>
        <v>53.19999999999709</v>
      </c>
      <c r="EA295" s="712"/>
      <c r="EB295" s="712"/>
      <c r="EC295" s="712">
        <f t="shared" si="896"/>
        <v>40824</v>
      </c>
      <c r="ED295" s="712">
        <f t="shared" si="897"/>
        <v>-10.057641459545213</v>
      </c>
      <c r="EE295" s="712">
        <f t="shared" si="898"/>
        <v>-15.559171337916444</v>
      </c>
      <c r="EF295" s="712">
        <f ca="1">IF(B295=TODAY(),0,-(VLOOKUP(Sheet1!BQ295,Lookup!$B$4:$J$236,2)-VLOOKUP(Sheet1!BQ294,Lookup!$B$4:$J$236,2))/1000000)</f>
        <v>0.8115</v>
      </c>
      <c r="EG295" s="712">
        <f ca="1">IF(B295=TODAY(),0,-(VLOOKUP(Sheet1!BR295,Lookup!$B$4:$J$236,3)-VLOOKUP(Sheet1!BR294,Lookup!$B$4:$J$236,3))/1000000)</f>
        <v>0.81</v>
      </c>
      <c r="EH295" s="712">
        <f>-(VLOOKUP(Sheet1!BS295,Lookup!$B$4:$J$236,4)-VLOOKUP(Sheet1!BS294,Lookup!$B$4:$J$236,4))/1000000</f>
        <v>0</v>
      </c>
      <c r="EI295" s="697">
        <f t="shared" ca="1" si="819"/>
        <v>1.6215000000000002</v>
      </c>
      <c r="EJ295" s="712"/>
      <c r="EK295" s="712"/>
      <c r="EL295" s="712"/>
      <c r="EM295" s="712"/>
      <c r="EN295" s="712"/>
      <c r="EO295" s="712"/>
      <c r="EP295" s="712"/>
      <c r="EQ295" s="712"/>
      <c r="ER295" s="697">
        <f t="shared" si="833"/>
        <v>1522.4985746639595</v>
      </c>
      <c r="ES295" s="712">
        <f t="shared" si="834"/>
        <v>554.84138903479027</v>
      </c>
      <c r="ET295" s="794">
        <f t="shared" si="818"/>
        <v>1119.7</v>
      </c>
      <c r="EU295" s="794" t="e">
        <f t="shared" si="838"/>
        <v>#N/A</v>
      </c>
      <c r="EV295" s="795" t="e">
        <f t="shared" si="836"/>
        <v>#N/A</v>
      </c>
      <c r="EW295" s="796" t="s">
        <v>757</v>
      </c>
      <c r="EX295" s="796" t="s">
        <v>757</v>
      </c>
      <c r="EY295" s="794" t="e">
        <v>#N/A</v>
      </c>
      <c r="EZ295" s="798">
        <v>12836.200000026545</v>
      </c>
      <c r="FA295" s="712"/>
      <c r="FB295" s="712"/>
      <c r="FC295" s="712"/>
      <c r="FD295" s="712"/>
      <c r="FE295" s="712">
        <f>O295+Sheet1!CO295</f>
        <v>53.19999999999709</v>
      </c>
      <c r="FF295" s="712">
        <f>IF(Sheet1!AA295+AG295&lt;=Calculation!N295,AG295,Calculation!N295-Sheet1!AA295)</f>
        <v>8.9423585404547854</v>
      </c>
      <c r="FG295" s="712">
        <f>(Sheet1!BP295+Sheet1!BO295)/694.4</f>
        <v>1.9140264976958525</v>
      </c>
      <c r="FH295" s="712"/>
      <c r="FI295" s="712"/>
      <c r="FJ295" s="712"/>
      <c r="FK295" s="712"/>
      <c r="FL295" s="714">
        <f t="shared" si="827"/>
        <v>40753</v>
      </c>
      <c r="FM295" s="714">
        <f t="shared" si="828"/>
        <v>40851</v>
      </c>
      <c r="FN295" s="712"/>
      <c r="FO295" s="712"/>
      <c r="FP295" s="712"/>
      <c r="FQ295" s="712"/>
      <c r="FR295" s="712"/>
      <c r="FS295" s="725">
        <f t="shared" si="839"/>
        <v>40603</v>
      </c>
      <c r="FT295" s="714">
        <f t="shared" si="830"/>
        <v>40709</v>
      </c>
      <c r="FU295" s="712">
        <f t="shared" si="839"/>
        <v>6518.9048239895692</v>
      </c>
      <c r="FV295" s="714">
        <f t="shared" si="831"/>
        <v>40722</v>
      </c>
      <c r="FW295" s="712">
        <f t="shared" si="839"/>
        <v>3259.4524119947846</v>
      </c>
      <c r="FX295" s="725">
        <f t="shared" si="839"/>
        <v>40851</v>
      </c>
      <c r="FZ295" s="697">
        <f t="shared" si="824"/>
        <v>0</v>
      </c>
      <c r="GA295" s="712" t="str">
        <f t="shared" si="899"/>
        <v/>
      </c>
      <c r="GB295" s="712">
        <f t="shared" si="900"/>
        <v>0</v>
      </c>
      <c r="GC295" s="712" t="str">
        <f t="shared" si="901"/>
        <v/>
      </c>
      <c r="GD295" s="712">
        <f>IF(GA295="P",Lookup!$M$12,IF(GA295="PP",Lookup!$M$13,IF(GA295="PPP",Lookup!$M$14,IF(GA295="T",Lookup!$M$15,IF(GA295="TP",Lookup!$M$16,IF(GA295="TPP",Lookup!$M$17,IF(GA295="TPPP",Lookup!$M$18,0)))))))*FZ295</f>
        <v>0</v>
      </c>
      <c r="GE295" s="712">
        <f t="shared" si="902"/>
        <v>0</v>
      </c>
      <c r="GF295" s="712">
        <f t="shared" si="903"/>
        <v>966.12906666666618</v>
      </c>
      <c r="GG295" s="712">
        <f t="shared" si="904"/>
        <v>314.90517166449354</v>
      </c>
      <c r="GH295" s="712"/>
      <c r="GI295" s="712">
        <f t="shared" si="905"/>
        <v>0</v>
      </c>
      <c r="GJ295" s="712" t="str">
        <f t="shared" si="906"/>
        <v/>
      </c>
      <c r="GK295" s="712">
        <f>IF(GA295="P",Lookup!$N$12,IF(GA295="PP",Lookup!$N$13,IF(GA295="PPP",Lookup!$N$14,IF(GA295="T",Lookup!$N$15,IF(GA295="TP",Lookup!$N$16,IF(GA295="TPP",Lookup!$N$17,IF(GA295="TPPP",Lookup!$N$18,0)))))))*FZ295</f>
        <v>0</v>
      </c>
      <c r="GL295" s="712">
        <f t="shared" si="907"/>
        <v>0</v>
      </c>
      <c r="GM295" s="712">
        <f t="shared" si="908"/>
        <v>1507.4634880539259</v>
      </c>
      <c r="GN295" s="712">
        <f t="shared" si="909"/>
        <v>491.350550213144</v>
      </c>
      <c r="GO295" s="712"/>
      <c r="GP295" s="712">
        <f t="shared" si="910"/>
        <v>0</v>
      </c>
      <c r="GQ295" s="712" t="str">
        <f t="shared" si="911"/>
        <v/>
      </c>
      <c r="GR295" s="712">
        <f>IF(GA295="P",Lookup!$N$12,IF(GA295="PP",Lookup!$N$13,IF(GA295="PPP",Lookup!$N$14,IF(GA295="T",Lookup!$N$15,IF(GA295="TP",Lookup!$N$16,IF(GA295="TPP",Lookup!$N$17,IF(GA295="TPPP",Lookup!$N$18,0)))))))*FZ295</f>
        <v>0</v>
      </c>
      <c r="GS295" s="697">
        <f t="shared" si="825"/>
        <v>0</v>
      </c>
      <c r="GT295" s="712">
        <f t="shared" si="912"/>
        <v>407.05845066310104</v>
      </c>
      <c r="GU295" s="712">
        <f t="shared" si="913"/>
        <v>132.67876488367048</v>
      </c>
      <c r="GV295" s="712"/>
      <c r="GW295" s="712">
        <f t="shared" si="914"/>
        <v>0</v>
      </c>
      <c r="GX295" s="712" t="str">
        <f t="shared" si="915"/>
        <v/>
      </c>
      <c r="GY295" s="712">
        <f>IF(GA295="P",Lookup!$N$12,IF(GA295="PP",Lookup!$N$13,IF(GA295="PPP",Lookup!$N$14,IF(GA295="T",Lookup!$N$15,IF(GA295="TP",Lookup!$N$16,IF(GA295="TPP",Lookup!$N$17,IF(GA295="TPPP",Lookup!$N$18,0)))))))*FZ295</f>
        <v>0</v>
      </c>
      <c r="GZ295" s="697">
        <f t="shared" si="826"/>
        <v>0</v>
      </c>
      <c r="HA295" s="712">
        <f t="shared" si="916"/>
        <v>347.87950538439509</v>
      </c>
      <c r="HB295" s="712">
        <f t="shared" si="917"/>
        <v>113.38966929087194</v>
      </c>
      <c r="HC295" s="712"/>
    </row>
    <row r="296" spans="1:211">
      <c r="A296" s="773" t="s">
        <v>3</v>
      </c>
      <c r="B296" s="708">
        <v>40825</v>
      </c>
      <c r="C296" s="719">
        <v>0.5</v>
      </c>
      <c r="D296" s="675">
        <f t="shared" si="840"/>
        <v>300</v>
      </c>
      <c r="E296" s="675">
        <f t="shared" si="841"/>
        <v>250</v>
      </c>
      <c r="F296" s="675">
        <v>250</v>
      </c>
      <c r="G296" s="712">
        <f>DH296+Sheet1!CV296</f>
        <v>284.00554714958918</v>
      </c>
      <c r="H296" s="712">
        <f t="shared" si="842"/>
        <v>0</v>
      </c>
      <c r="I296" s="711">
        <f>MAX(Sheet1!Z296-AJ296+(Sheet1!CW296-E296)*CFStoMGD,0)</f>
        <v>366.88708174644927</v>
      </c>
      <c r="J296" s="720">
        <f>IF(AND(B296&gt;=Calculation!FS296,B296&lt;=Calculation!FT296),IF(Sheet1!CX296&gt;=Calculation!D296,64.64,0),MAX(Sheet1!Z296-AJ296+(Sheet1!CX296-D296)*CFStoMGD,0))</f>
        <v>218.87494841311593</v>
      </c>
      <c r="K296" s="697">
        <f t="shared" si="843"/>
        <v>0</v>
      </c>
      <c r="L296" s="712">
        <f>Sheet1!AA296+Sheet1!AB296-Sheet1!L296+(Sheet1!CW296-F296)*CFStoMGD</f>
        <v>409.97239999999709</v>
      </c>
      <c r="M296" s="712">
        <f t="shared" si="844"/>
        <v>187.25280939104434</v>
      </c>
      <c r="N296" s="712">
        <f>IF(Sheet1!CW296&gt;=F296,MIN(73,MIN(MAX(L296,0),MAX(M296,0))),0)</f>
        <v>73</v>
      </c>
      <c r="O296" s="721">
        <f>Sheet1!AA296+Sheet1!AB296</f>
        <v>53.19999999999709</v>
      </c>
      <c r="P296" s="721">
        <f t="shared" si="845"/>
        <v>82.300399999995491</v>
      </c>
      <c r="Q296" s="712">
        <f>MIN(N296,Sheet1!AA296+AG296)</f>
        <v>43.095318253547852</v>
      </c>
      <c r="R296" s="712">
        <f t="shared" si="846"/>
        <v>10</v>
      </c>
      <c r="S296" s="721">
        <f>Sheet1!Y296*MGDtoCFS</f>
        <v>52.768169999999998</v>
      </c>
      <c r="T296" s="721">
        <f>Sheet1!Z296*MGDtoCFS</f>
        <v>29.408470000000001</v>
      </c>
      <c r="U296" s="721">
        <f>Sheet1!AA296*MGDtoCFS</f>
        <v>52.907399999995498</v>
      </c>
      <c r="V296" s="721">
        <f>Sheet1!AB296*MGDtoCFS</f>
        <v>29.392999999999997</v>
      </c>
      <c r="W296" s="721">
        <f>Sheet1!L296*MGDtoCFS</f>
        <v>0</v>
      </c>
      <c r="X296" s="697">
        <f t="shared" si="847"/>
        <v>10.105207785376118</v>
      </c>
      <c r="Y296" s="712">
        <f t="shared" si="848"/>
        <v>15.632756443976854</v>
      </c>
      <c r="Z296" s="712">
        <f t="shared" si="849"/>
        <v>0</v>
      </c>
      <c r="AA296" s="712">
        <f t="shared" si="850"/>
        <v>0</v>
      </c>
      <c r="AB296" s="712">
        <f>(VLOOKUP(Sheet1!CY296,hhdcap_wcm,4)-(((VLOOKUP(Sheet1!CY296,hhdcap_wcm,3)-Sheet1!CY296)/(VLOOKUP(Sheet1!CY296,hhdcap_wcm,3)-VLOOKUP(Sheet1!CY296,hhdcap_wcm,1)))*(VLOOKUP(Sheet1!CY296,hhdcap_wcm,4)-VLOOKUP(Sheet1!CY296,hhdcap_wcm,2))))</f>
        <v>16208.31000003503</v>
      </c>
      <c r="AC296" s="712">
        <f t="shared" si="851"/>
        <v>-833.5100000023649</v>
      </c>
      <c r="AD296" s="712">
        <f t="shared" si="852"/>
        <v>1042.2189482668039</v>
      </c>
      <c r="AE296" s="712">
        <f t="shared" si="853"/>
        <v>3197.5277332825544</v>
      </c>
      <c r="AF296" s="712">
        <f>Sheet1!BA296+Sheet1!BB296+Sheet1!BN296+BT296</f>
        <v>8.9</v>
      </c>
      <c r="AG296" s="712">
        <f t="shared" si="854"/>
        <v>8.895318253550764</v>
      </c>
      <c r="AH296" s="712">
        <f>Sheet1!BA296+BT296</f>
        <v>0</v>
      </c>
      <c r="AI296" s="712">
        <f>Sheet1!BA296+Sheet1!BB296+BT296</f>
        <v>0</v>
      </c>
      <c r="AJ296" s="712">
        <f>IF((Sheet1!AA296+AG296+AX296+AZ296+BQ296+BS296+CL296+CN296)&lt;=N296,AG296+AX296+AZ296+BQ296+BS296+CL296+CN296,N296-Sheet1!AA296)</f>
        <v>8.895318253550764</v>
      </c>
      <c r="AK296" s="712">
        <f>IF(DR296&lt;K296,0,MAX(Sheet1!AA296+AG296-15/36*K296-N296,Sheet1!ED296,0))</f>
        <v>0</v>
      </c>
      <c r="AL296" s="712">
        <f>IF(OR(B296&gt;=FT296,B296&lt;FS296),0,15/36*K296-MAX(0,64.6-(137.6-(Sheet1!AA296+Sheet1!AB296))))</f>
        <v>0</v>
      </c>
      <c r="AM296" s="712">
        <f>Sheet1!CX296-110</f>
        <v>512.95833333333337</v>
      </c>
      <c r="AN296" s="712">
        <f>Sheet1!CW296-265</f>
        <v>536.9375</v>
      </c>
      <c r="AO296" s="712">
        <f t="shared" si="835"/>
        <v>29.904681746452148</v>
      </c>
      <c r="AP296" s="712">
        <f t="shared" si="855"/>
        <v>0</v>
      </c>
      <c r="AQ296" s="712">
        <f t="shared" si="856"/>
        <v>0</v>
      </c>
      <c r="AR296" s="712">
        <f t="shared" si="857"/>
        <v>314.90517166449354</v>
      </c>
      <c r="AS296" s="712"/>
      <c r="AT296" s="712">
        <f ca="1">IF(B296&gt;Summary!$A$1,#N/A,AR296*MGtoAF)</f>
        <v>966.12906666666618</v>
      </c>
      <c r="AU296" s="712">
        <f>Sheet1!BG296+Sheet1!BH296+Sheet1!BI296-BC296</f>
        <v>1</v>
      </c>
      <c r="AV296" s="712">
        <f t="shared" si="858"/>
        <v>0.99947396107311948</v>
      </c>
      <c r="AW296" s="712">
        <f>IF(Sheet1!EL296="FM",BC296,0)</f>
        <v>0</v>
      </c>
      <c r="AX296" s="712">
        <f t="shared" si="859"/>
        <v>0</v>
      </c>
      <c r="AY296" s="712">
        <f>IF(Sheet1!EL296="OTHER",BC296,0)</f>
        <v>0</v>
      </c>
      <c r="AZ296" s="712">
        <f t="shared" si="860"/>
        <v>0</v>
      </c>
      <c r="BA296" s="712">
        <f t="shared" si="861"/>
        <v>1</v>
      </c>
      <c r="BB296" s="712">
        <f t="shared" si="862"/>
        <v>0.99947396107311948</v>
      </c>
      <c r="BC296" s="712">
        <f>IF(OR(Sheet1!EL296="FM", Sheet1!EL296="OTHER"),SUM(Sheet1!BG296:'Sheet1'!BI296),0)</f>
        <v>0</v>
      </c>
      <c r="BD296" s="697">
        <f>IF(AND($B296&gt;=$FL296,$B296&lt;=$FM296),MAX(AV296,Sheet1!EE296,0),MAX(AV296-(7/36)*$K296,0))</f>
        <v>1</v>
      </c>
      <c r="BE296" s="712">
        <f t="shared" si="863"/>
        <v>0</v>
      </c>
      <c r="BF296" s="697">
        <f t="shared" si="864"/>
        <v>0</v>
      </c>
      <c r="BG296" s="697">
        <f>IF(AND($O296&gt;0,Sheet1!EI296=1),(1-($O296-Sheet1!$L296)/$O296)*BB296,0)</f>
        <v>0</v>
      </c>
      <c r="BH296" s="697">
        <f>IF(AND(Sheet1!$L296=0,Sheet1!$L295=0, Calculation!BA296&lt;Sheet1!$EE296-0.1,Sheet1!$EE296=Sheet1!$EE295,Sheet1!$EE296=Sheet1!$EE297),Sheet1!$EE296,BB296-BG296)</f>
        <v>0.99947396107311948</v>
      </c>
      <c r="BI296" s="712"/>
      <c r="BJ296" s="712"/>
      <c r="BK296" s="712">
        <f t="shared" si="865"/>
        <v>490.350550213144</v>
      </c>
      <c r="BL296" s="712"/>
      <c r="BM296" s="712">
        <f ca="1">IF(B296&gt;Summary!$A$1,#N/A,BK296*MGtoAF)</f>
        <v>1504.3954880539259</v>
      </c>
      <c r="BN296" s="712">
        <f>Sheet1!BC296+Sheet1!BD296+Sheet1!BE296+Sheet1!BF296-BW296-BX296</f>
        <v>2.57</v>
      </c>
      <c r="BO296" s="712">
        <f t="shared" si="866"/>
        <v>2.5686480799579168</v>
      </c>
      <c r="BP296" s="712">
        <f>IF(Sheet1!EM296="FM",BX296,0)</f>
        <v>0</v>
      </c>
      <c r="BQ296" s="712">
        <f t="shared" si="867"/>
        <v>0</v>
      </c>
      <c r="BR296" s="712">
        <f>IF(Sheet1!EM296="OTHER",BX296,0)</f>
        <v>0</v>
      </c>
      <c r="BS296" s="712">
        <f t="shared" si="868"/>
        <v>0</v>
      </c>
      <c r="BT296" s="712">
        <f t="shared" si="869"/>
        <v>0</v>
      </c>
      <c r="BU296" s="712">
        <f t="shared" si="870"/>
        <v>2.57</v>
      </c>
      <c r="BV296" s="712">
        <f t="shared" si="871"/>
        <v>2.5686480799579168</v>
      </c>
      <c r="BW296" s="712">
        <f>IF(Sheet1!EM296="CWA",SUM(Sheet1!BC296:'Sheet1'!BF296),0)</f>
        <v>0</v>
      </c>
      <c r="BX296" s="712">
        <f>IF(OR(Sheet1!EM296="FM", Sheet1!EM296="OTHER"),SUM(Sheet1!BC296:'Sheet1'!BF296),0)</f>
        <v>0</v>
      </c>
      <c r="BY296" s="697">
        <f>IF(AND($B296&gt;=$FL296,$B296&lt;=$FM296),MAX(BV296,Sheet1!EF296,0),MAX(BV296-(7/36)*$K296,0))</f>
        <v>2.5686480799579168</v>
      </c>
      <c r="BZ296" s="712">
        <f t="shared" si="872"/>
        <v>0</v>
      </c>
      <c r="CA296" s="697">
        <f t="shared" si="873"/>
        <v>0</v>
      </c>
      <c r="CB296" s="697">
        <f>IF(AND($O296&gt;0,Sheet1!EJ296=1),(1-($O296-Sheet1!$L296)/$O296)*BV296,0)</f>
        <v>0</v>
      </c>
      <c r="CC296" s="697">
        <f>IF(AND(Sheet1!$L296=0,Sheet1!$L295=0, Calculation!BU296&lt;Sheet1!EF296-0.1,Sheet1!EF296=Sheet1!EF295,Sheet1!EF296=Sheet1!EF297),Sheet1!EF296,BV296-CB296)</f>
        <v>2.5686480799579168</v>
      </c>
      <c r="CD296" s="697"/>
      <c r="CE296" s="712"/>
      <c r="CF296" s="712">
        <f t="shared" si="874"/>
        <v>130.11011680371257</v>
      </c>
      <c r="CG296" s="712"/>
      <c r="CH296" s="712">
        <f ca="1">IF(B296&gt;Summary!$A$1,#N/A,CF296*MGtoAF)</f>
        <v>399.17783835379015</v>
      </c>
      <c r="CI296" s="712">
        <f>Sheet1!BK296+Sheet1!BL296+Sheet1!BM296-Sheet1!EN296-CQ296</f>
        <v>6.54</v>
      </c>
      <c r="CJ296" s="712">
        <f t="shared" si="875"/>
        <v>6.5365597054182016</v>
      </c>
      <c r="CK296" s="712">
        <f>IF(Sheet1!EN296="FM",CQ296,0)</f>
        <v>0</v>
      </c>
      <c r="CL296" s="712">
        <f t="shared" si="876"/>
        <v>0</v>
      </c>
      <c r="CM296" s="712">
        <f>IF(Sheet1!EN296="OTHER",CQ296,0)</f>
        <v>0</v>
      </c>
      <c r="CN296" s="712">
        <f t="shared" si="877"/>
        <v>0</v>
      </c>
      <c r="CO296" s="712">
        <f t="shared" si="878"/>
        <v>6.54</v>
      </c>
      <c r="CP296" s="712">
        <f t="shared" si="879"/>
        <v>6.5365597054182016</v>
      </c>
      <c r="CQ296" s="712">
        <f>IF(OR(Sheet1!EN296="FM", Sheet1!EN296="OTHER"),SUM(Sheet1!BK296:'Sheet1'!BM296),0)</f>
        <v>0</v>
      </c>
      <c r="CR296" s="697">
        <f>IF(AND($B296&gt;=$FL296,$B296&lt;=$FM296),MAX($CJ296,Sheet1!EG296,0),MAX($CJ296-(7/36)*$K296,0))</f>
        <v>6.5365597054182016</v>
      </c>
      <c r="CS296" s="712">
        <f t="shared" si="880"/>
        <v>0</v>
      </c>
      <c r="CT296" s="697">
        <f t="shared" si="881"/>
        <v>0</v>
      </c>
      <c r="CU296" s="697">
        <f>IF(AND($O296&gt;0,Sheet1!EK296=1),(1-($O296-Sheet1!$L296)/$O296)*CP296,0)</f>
        <v>0</v>
      </c>
      <c r="CV296" s="697">
        <f>IF(AND(Sheet1!$L296=0,Sheet1!$L295=0, Calculation!CO296&lt;Sheet1!$EG296-0.1,Sheet1!$EG296=Sheet1!$EG295,Sheet1!$EG296=Sheet1!$EG297),Sheet1!$EG296,CP296-CU296)</f>
        <v>6.5365597054182016</v>
      </c>
      <c r="CW296" s="697">
        <f t="shared" si="837"/>
        <v>0</v>
      </c>
      <c r="CX296" s="712">
        <f t="shared" si="882"/>
        <v>10.11</v>
      </c>
      <c r="CY296" s="712">
        <f t="shared" si="883"/>
        <v>106.85310958545374</v>
      </c>
      <c r="CZ296" s="712">
        <f t="shared" si="884"/>
        <v>10.104681746449238</v>
      </c>
      <c r="DA296" s="712">
        <f ca="1">IF(B296&gt;Summary!$A$1,#N/A,CY296*MGtoAF)</f>
        <v>327.82534020817207</v>
      </c>
      <c r="DB296" s="712">
        <f t="shared" si="885"/>
        <v>10.11</v>
      </c>
      <c r="DC296" s="712">
        <f t="shared" si="886"/>
        <v>19.009999999999998</v>
      </c>
      <c r="DD296" s="712">
        <f>Sheet1!AB296-DC296</f>
        <v>-9.9999999999980105E-3</v>
      </c>
      <c r="DE296" s="712">
        <f t="shared" si="887"/>
        <v>-5.2603892688048452E-4</v>
      </c>
      <c r="DF296" s="712">
        <f>(VLOOKUP(Sheet1!CY296,hhdcap_wcm,4)-(((VLOOKUP(Sheet1!CY296,hhdcap_wcm,3)-Sheet1!CY296)/(VLOOKUP(Sheet1!CY296,hhdcap_wcm,3)-VLOOKUP(Sheet1!CY296,hhdcap_wcm,1)))*(VLOOKUP(Sheet1!CY296,hhdcap_wcm,4)-VLOOKUP(Sheet1!CY296,hhdcap_wcm,2))))</f>
        <v>16208.31000003503</v>
      </c>
      <c r="DG296" s="712">
        <f t="shared" si="888"/>
        <v>-833.5100000023649</v>
      </c>
      <c r="DH296" s="712">
        <f t="shared" si="889"/>
        <v>-420.32778618374419</v>
      </c>
      <c r="DI296" s="712">
        <f>Sheet1!DW296*AFtoMG</f>
        <v>0</v>
      </c>
      <c r="DJ296" s="712">
        <f>Sheet1!DX296*AFtoMG</f>
        <v>0</v>
      </c>
      <c r="DK296" s="712">
        <f>Sheet1!DY296*AFtoMG</f>
        <v>0</v>
      </c>
      <c r="DL296" s="712">
        <f>Sheet1!DZ296*AFtoMG</f>
        <v>0</v>
      </c>
      <c r="DM296" s="712">
        <f t="shared" si="890"/>
        <v>0</v>
      </c>
      <c r="DN296" s="712">
        <f t="shared" si="891"/>
        <v>0</v>
      </c>
      <c r="DO296" s="712">
        <f t="shared" si="892"/>
        <v>1042.2189482668039</v>
      </c>
      <c r="DP296" s="712">
        <f t="shared" si="893"/>
        <v>3197.5277332825544</v>
      </c>
      <c r="DQ296" s="712"/>
      <c r="DR296" s="697">
        <f>IF(OR(B296&lt;FL296,B296&gt;FM296),(MIN(AV296+BO296+CJ296+MAX(Sheet1!AA296+AG296-73,0),K296)),0)</f>
        <v>0</v>
      </c>
      <c r="DS296" s="712"/>
      <c r="DT296" s="712">
        <f t="shared" si="894"/>
        <v>10.104681746449238</v>
      </c>
      <c r="DU296" s="712"/>
      <c r="DV296" s="712">
        <f>Sheet1!ED296+Sheet1!EE296+Sheet1!EF296+Sheet1!EG296</f>
        <v>10</v>
      </c>
      <c r="DW296" s="712"/>
      <c r="DX296" s="697">
        <f t="shared" si="895"/>
        <v>0</v>
      </c>
      <c r="DY296" s="712">
        <f>IF(Sheet1!FN296=1,SUM('Calculations II'!AT296:BA296)+'Calculations II'!BC296+Sheet1!BU296+'Calculations II'!BE296+AF296,SUM('Calculations II'!AT296:BA296)+'Calculations II'!BC296+Sheet1!BU296+'Calculations II'!BE296+AF296)</f>
        <v>42.648207999999997</v>
      </c>
      <c r="DZ296" s="712">
        <f>Sheet1!AA296+Sheet1!AB296+'Calculations II'!BC296</f>
        <v>53.19999999999709</v>
      </c>
      <c r="EA296" s="712"/>
      <c r="EB296" s="712"/>
      <c r="EC296" s="712">
        <f t="shared" si="896"/>
        <v>40825</v>
      </c>
      <c r="ED296" s="712">
        <f t="shared" si="897"/>
        <v>-10.105207785376118</v>
      </c>
      <c r="EE296" s="712">
        <f t="shared" si="898"/>
        <v>-15.632756443976854</v>
      </c>
      <c r="EF296" s="712">
        <f ca="1">IF(B296=TODAY(),0,-(VLOOKUP(Sheet1!BQ296,Lookup!$B$4:$J$236,2)-VLOOKUP(Sheet1!BQ295,Lookup!$B$4:$J$236,2))/1000000)</f>
        <v>0.8115</v>
      </c>
      <c r="EG296" s="712">
        <f ca="1">IF(B296=TODAY(),0,-(VLOOKUP(Sheet1!BR296,Lookup!$B$4:$J$236,3)-VLOOKUP(Sheet1!BR295,Lookup!$B$4:$J$236,3))/1000000)</f>
        <v>0.81</v>
      </c>
      <c r="EH296" s="712">
        <f>-(VLOOKUP(Sheet1!BS296,Lookup!$B$4:$J$236,4)-VLOOKUP(Sheet1!BS295,Lookup!$B$4:$J$236,4))/1000000</f>
        <v>0</v>
      </c>
      <c r="EI296" s="697">
        <f t="shared" ca="1" si="819"/>
        <v>1.6215000000000002</v>
      </c>
      <c r="EJ296" s="712"/>
      <c r="EK296" s="712"/>
      <c r="EL296" s="712"/>
      <c r="EM296" s="712"/>
      <c r="EN296" s="712"/>
      <c r="EO296" s="712"/>
      <c r="EP296" s="712"/>
      <c r="EQ296" s="712"/>
      <c r="ER296" s="697">
        <f t="shared" si="833"/>
        <v>908.42075926409495</v>
      </c>
      <c r="ES296" s="712">
        <f t="shared" si="834"/>
        <v>614.07781539986456</v>
      </c>
      <c r="ET296" s="794">
        <f t="shared" si="818"/>
        <v>1119.3</v>
      </c>
      <c r="EU296" s="794" t="e">
        <f t="shared" si="838"/>
        <v>#N/A</v>
      </c>
      <c r="EV296" s="795" t="e">
        <f t="shared" si="836"/>
        <v>#N/A</v>
      </c>
      <c r="EW296" s="796" t="s">
        <v>757</v>
      </c>
      <c r="EX296" s="796" t="s">
        <v>757</v>
      </c>
      <c r="EY296" s="794" t="e">
        <v>#N/A</v>
      </c>
      <c r="EZ296" s="798">
        <v>12706.000000026446</v>
      </c>
      <c r="FA296" s="712"/>
      <c r="FB296" s="712"/>
      <c r="FC296" s="712"/>
      <c r="FD296" s="712"/>
      <c r="FE296" s="712">
        <f>O296+Sheet1!CO296</f>
        <v>53.19999999999709</v>
      </c>
      <c r="FF296" s="712">
        <f>IF(Sheet1!AA296+AG296&lt;=Calculation!N296,AG296,Calculation!N296-Sheet1!AA296)</f>
        <v>8.895318253550764</v>
      </c>
      <c r="FG296" s="712">
        <f>(Sheet1!BP296+Sheet1!BO296)/694.4</f>
        <v>2.536722350230415</v>
      </c>
      <c r="FH296" s="712"/>
      <c r="FI296" s="712"/>
      <c r="FJ296" s="712"/>
      <c r="FK296" s="712"/>
      <c r="FL296" s="714">
        <f t="shared" si="827"/>
        <v>40753</v>
      </c>
      <c r="FM296" s="714">
        <f t="shared" si="828"/>
        <v>40851</v>
      </c>
      <c r="FN296" s="712"/>
      <c r="FO296" s="712"/>
      <c r="FP296" s="712"/>
      <c r="FQ296" s="712"/>
      <c r="FR296" s="712"/>
      <c r="FS296" s="725">
        <f t="shared" si="839"/>
        <v>40603</v>
      </c>
      <c r="FT296" s="714">
        <f t="shared" si="830"/>
        <v>40709</v>
      </c>
      <c r="FU296" s="712">
        <f t="shared" si="839"/>
        <v>6518.9048239895692</v>
      </c>
      <c r="FV296" s="714">
        <f t="shared" si="831"/>
        <v>40722</v>
      </c>
      <c r="FW296" s="712">
        <f t="shared" si="839"/>
        <v>3259.4524119947846</v>
      </c>
      <c r="FX296" s="725">
        <f t="shared" si="839"/>
        <v>40851</v>
      </c>
      <c r="FZ296" s="697">
        <f t="shared" si="824"/>
        <v>0</v>
      </c>
      <c r="GA296" s="712" t="str">
        <f t="shared" si="899"/>
        <v/>
      </c>
      <c r="GB296" s="712">
        <f t="shared" si="900"/>
        <v>0</v>
      </c>
      <c r="GC296" s="712" t="str">
        <f t="shared" si="901"/>
        <v/>
      </c>
      <c r="GD296" s="712">
        <f>IF(GA296="P",Lookup!$M$12,IF(GA296="PP",Lookup!$M$13,IF(GA296="PPP",Lookup!$M$14,IF(GA296="T",Lookup!$M$15,IF(GA296="TP",Lookup!$M$16,IF(GA296="TPP",Lookup!$M$17,IF(GA296="TPPP",Lookup!$M$18,0)))))))*FZ296</f>
        <v>0</v>
      </c>
      <c r="GE296" s="712">
        <f t="shared" si="902"/>
        <v>0</v>
      </c>
      <c r="GF296" s="712">
        <f t="shared" si="903"/>
        <v>966.12906666666618</v>
      </c>
      <c r="GG296" s="712">
        <f t="shared" si="904"/>
        <v>314.90517166449354</v>
      </c>
      <c r="GH296" s="712"/>
      <c r="GI296" s="712">
        <f t="shared" si="905"/>
        <v>0</v>
      </c>
      <c r="GJ296" s="712" t="str">
        <f t="shared" si="906"/>
        <v/>
      </c>
      <c r="GK296" s="712">
        <f>IF(GA296="P",Lookup!$N$12,IF(GA296="PP",Lookup!$N$13,IF(GA296="PPP",Lookup!$N$14,IF(GA296="T",Lookup!$N$15,IF(GA296="TP",Lookup!$N$16,IF(GA296="TPP",Lookup!$N$17,IF(GA296="TPPP",Lookup!$N$18,0)))))))*FZ296</f>
        <v>0</v>
      </c>
      <c r="GL296" s="712">
        <f t="shared" si="907"/>
        <v>0</v>
      </c>
      <c r="GM296" s="712">
        <f t="shared" si="908"/>
        <v>1504.3954880539259</v>
      </c>
      <c r="GN296" s="712">
        <f t="shared" si="909"/>
        <v>490.350550213144</v>
      </c>
      <c r="GO296" s="712"/>
      <c r="GP296" s="712">
        <f t="shared" si="910"/>
        <v>0</v>
      </c>
      <c r="GQ296" s="712" t="str">
        <f t="shared" si="911"/>
        <v/>
      </c>
      <c r="GR296" s="712">
        <f>IF(GA296="P",Lookup!$N$12,IF(GA296="PP",Lookup!$N$13,IF(GA296="PPP",Lookup!$N$14,IF(GA296="T",Lookup!$N$15,IF(GA296="TP",Lookup!$N$16,IF(GA296="TPP",Lookup!$N$17,IF(GA296="TPPP",Lookup!$N$18,0)))))))*FZ296</f>
        <v>0</v>
      </c>
      <c r="GS296" s="697">
        <f t="shared" si="825"/>
        <v>0</v>
      </c>
      <c r="GT296" s="712">
        <f t="shared" si="912"/>
        <v>399.17783835379015</v>
      </c>
      <c r="GU296" s="712">
        <f t="shared" si="913"/>
        <v>130.11011680371257</v>
      </c>
      <c r="GV296" s="712"/>
      <c r="GW296" s="712">
        <f t="shared" si="914"/>
        <v>0</v>
      </c>
      <c r="GX296" s="712" t="str">
        <f t="shared" si="915"/>
        <v/>
      </c>
      <c r="GY296" s="712">
        <f>IF(GA296="P",Lookup!$N$12,IF(GA296="PP",Lookup!$N$13,IF(GA296="PPP",Lookup!$N$14,IF(GA296="T",Lookup!$N$15,IF(GA296="TP",Lookup!$N$16,IF(GA296="TPP",Lookup!$N$17,IF(GA296="TPPP",Lookup!$N$18,0)))))))*FZ296</f>
        <v>0</v>
      </c>
      <c r="GZ296" s="697">
        <f t="shared" si="826"/>
        <v>0</v>
      </c>
      <c r="HA296" s="712">
        <f t="shared" si="916"/>
        <v>327.82534020817207</v>
      </c>
      <c r="HB296" s="712">
        <f t="shared" si="917"/>
        <v>106.85310958545374</v>
      </c>
      <c r="HC296" s="712"/>
    </row>
    <row r="297" spans="1:211">
      <c r="A297" s="773" t="s">
        <v>4</v>
      </c>
      <c r="B297" s="708">
        <v>40826</v>
      </c>
      <c r="C297" s="709">
        <v>0.5</v>
      </c>
      <c r="D297" s="675">
        <f t="shared" si="840"/>
        <v>300</v>
      </c>
      <c r="E297" s="675">
        <f t="shared" si="841"/>
        <v>250</v>
      </c>
      <c r="F297" s="675">
        <v>250</v>
      </c>
      <c r="G297" s="712">
        <f>DH297+Sheet1!CV297</f>
        <v>303.41698184449581</v>
      </c>
      <c r="H297" s="712">
        <f t="shared" si="842"/>
        <v>0</v>
      </c>
      <c r="I297" s="711">
        <f>MAX(Sheet1!Z297-AJ297+(Sheet1!CW297-E297)*CFStoMGD,0)</f>
        <v>362.49100570221754</v>
      </c>
      <c r="J297" s="720">
        <f>IF(AND(B297&gt;=Calculation!FS297,B297&lt;=Calculation!FT297),IF(Sheet1!CX297&gt;=Calculation!D297,64.64,0),MAX(Sheet1!Z297-AJ297+(Sheet1!CX297-D297)*CFStoMGD,0))</f>
        <v>226.28913903555085</v>
      </c>
      <c r="K297" s="697">
        <f t="shared" si="843"/>
        <v>0</v>
      </c>
      <c r="L297" s="712">
        <f>Sheet1!AA297+Sheet1!AB297-Sheet1!L297+(Sheet1!CW297-F297)*CFStoMGD</f>
        <v>405.70920000000291</v>
      </c>
      <c r="M297" s="712">
        <f t="shared" si="844"/>
        <v>200.05131180556774</v>
      </c>
      <c r="N297" s="712">
        <f>IF(Sheet1!CW297&gt;=F297,MIN(73,MIN(MAX(L297,0),MAX(M297,0))),0)</f>
        <v>73</v>
      </c>
      <c r="O297" s="721">
        <f>Sheet1!AA297+Sheet1!AB297</f>
        <v>53.30000000000291</v>
      </c>
      <c r="P297" s="721">
        <f t="shared" si="845"/>
        <v>82.455100000004492</v>
      </c>
      <c r="Q297" s="712">
        <f>MIN(N297,Sheet1!AA297+AG297)</f>
        <v>43.228194297785379</v>
      </c>
      <c r="R297" s="712">
        <f t="shared" si="846"/>
        <v>10</v>
      </c>
      <c r="S297" s="721">
        <f>Sheet1!Y297*MGDtoCFS</f>
        <v>53.077570000000001</v>
      </c>
      <c r="T297" s="721">
        <f>Sheet1!Z297*MGDtoCFS</f>
        <v>29.408470000000001</v>
      </c>
      <c r="U297" s="721">
        <f>Sheet1!AA297*MGDtoCFS</f>
        <v>53.062100000004499</v>
      </c>
      <c r="V297" s="721">
        <f>Sheet1!AB297*MGDtoCFS</f>
        <v>29.392999999999997</v>
      </c>
      <c r="W297" s="721">
        <f>Sheet1!L297*MGDtoCFS</f>
        <v>0</v>
      </c>
      <c r="X297" s="697">
        <f t="shared" si="847"/>
        <v>10.07180570221753</v>
      </c>
      <c r="Y297" s="712">
        <f t="shared" si="848"/>
        <v>15.581083421330518</v>
      </c>
      <c r="Z297" s="712">
        <f t="shared" si="849"/>
        <v>0</v>
      </c>
      <c r="AA297" s="712">
        <f t="shared" si="850"/>
        <v>0</v>
      </c>
      <c r="AB297" s="712">
        <f>(VLOOKUP(Sheet1!CY297,hhdcap_wcm,4)-(((VLOOKUP(Sheet1!CY297,hhdcap_wcm,3)-Sheet1!CY297)/(VLOOKUP(Sheet1!CY297,hhdcap_wcm,3)-VLOOKUP(Sheet1!CY297,hhdcap_wcm,1)))*(VLOOKUP(Sheet1!CY297,hhdcap_wcm,4)-VLOOKUP(Sheet1!CY297,hhdcap_wcm,2))))</f>
        <v>15422.960000032665</v>
      </c>
      <c r="AC297" s="712">
        <f t="shared" si="851"/>
        <v>-785.35000000236505</v>
      </c>
      <c r="AD297" s="712">
        <f t="shared" si="852"/>
        <v>673.26026256458636</v>
      </c>
      <c r="AE297" s="712">
        <f t="shared" si="853"/>
        <v>2065.562485548151</v>
      </c>
      <c r="AF297" s="712">
        <f>Sheet1!BA297+Sheet1!BB297+Sheet1!BN297+BT297</f>
        <v>8.9</v>
      </c>
      <c r="AG297" s="712">
        <f t="shared" si="854"/>
        <v>8.928194297782472</v>
      </c>
      <c r="AH297" s="712">
        <f>Sheet1!BA297+BT297</f>
        <v>0</v>
      </c>
      <c r="AI297" s="712">
        <f>Sheet1!BA297+Sheet1!BB297+BT297</f>
        <v>0</v>
      </c>
      <c r="AJ297" s="712">
        <f>IF((Sheet1!AA297+AG297+AX297+AZ297+BQ297+BS297+CL297+CN297)&lt;=N297,AG297+AX297+AZ297+BQ297+BS297+CL297+CN297,N297-Sheet1!AA297)</f>
        <v>8.928194297782472</v>
      </c>
      <c r="AK297" s="712">
        <f>IF(DR297&lt;K297,0,MAX(Sheet1!AA297+AG297-15/36*K297-N297,Sheet1!ED297,0))</f>
        <v>0</v>
      </c>
      <c r="AL297" s="712">
        <f>IF(OR(B297&gt;=FT297,B297&lt;FS297),0,15/36*K297-MAX(0,64.6-(137.6-(Sheet1!AA297+Sheet1!AB297))))</f>
        <v>0</v>
      </c>
      <c r="AM297" s="712">
        <f>Sheet1!CX297-110</f>
        <v>524.47916666666663</v>
      </c>
      <c r="AN297" s="712">
        <f>Sheet1!CW297-265</f>
        <v>530.1875</v>
      </c>
      <c r="AO297" s="712">
        <f t="shared" si="835"/>
        <v>29.771805702214621</v>
      </c>
      <c r="AP297" s="712">
        <f t="shared" si="855"/>
        <v>0</v>
      </c>
      <c r="AQ297" s="712">
        <f t="shared" si="856"/>
        <v>0</v>
      </c>
      <c r="AR297" s="712">
        <f t="shared" si="857"/>
        <v>206.02117166449352</v>
      </c>
      <c r="AS297" s="712"/>
      <c r="AT297" s="712">
        <f ca="1">IF(B297&gt;Summary!$A$1,#N/A,AR297*MGtoAF)</f>
        <v>632.07295466666619</v>
      </c>
      <c r="AU297" s="712">
        <f>Sheet1!BG297+Sheet1!BH297+Sheet1!BI297-BC297</f>
        <v>1</v>
      </c>
      <c r="AV297" s="712">
        <f t="shared" si="858"/>
        <v>1.0031678986272441</v>
      </c>
      <c r="AW297" s="712">
        <f>IF(Sheet1!EL297="FM",BC297,0)</f>
        <v>0</v>
      </c>
      <c r="AX297" s="712">
        <f t="shared" si="859"/>
        <v>0</v>
      </c>
      <c r="AY297" s="712">
        <f>IF(Sheet1!EL297="OTHER",BC297,0)</f>
        <v>0</v>
      </c>
      <c r="AZ297" s="712">
        <f t="shared" si="860"/>
        <v>0</v>
      </c>
      <c r="BA297" s="712">
        <f t="shared" si="861"/>
        <v>1</v>
      </c>
      <c r="BB297" s="712">
        <f t="shared" si="862"/>
        <v>1.0031678986272441</v>
      </c>
      <c r="BC297" s="712">
        <f>IF(OR(Sheet1!EL297="FM", Sheet1!EL297="OTHER"),SUM(Sheet1!BG297:'Sheet1'!BI297),0)</f>
        <v>0</v>
      </c>
      <c r="BD297" s="697">
        <f>IF(AND($B297&gt;=$FL297,$B297&lt;=$FM297),MAX(AV297,Sheet1!EE297,0),MAX(AV297-(7/36)*$K297,0))</f>
        <v>1.0031678986272441</v>
      </c>
      <c r="BE297" s="712">
        <f t="shared" si="863"/>
        <v>0</v>
      </c>
      <c r="BF297" s="697">
        <f t="shared" si="864"/>
        <v>0</v>
      </c>
      <c r="BG297" s="697">
        <f>IF(AND($O297&gt;0,Sheet1!EI297=1),(1-($O297-Sheet1!$L297)/$O297)*BB297,0)</f>
        <v>0</v>
      </c>
      <c r="BH297" s="697">
        <f>IF(AND(Sheet1!$L297=0,Sheet1!$L296=0, Calculation!BA297&lt;Sheet1!$EE297-0.1,Sheet1!$EE297=Sheet1!$EE296,Sheet1!$EE297=Sheet1!$EE298),Sheet1!$EE297,BB297-BG297)</f>
        <v>1.0031678986272441</v>
      </c>
      <c r="BI297" s="712"/>
      <c r="BJ297" s="712"/>
      <c r="BK297" s="712">
        <f t="shared" si="865"/>
        <v>79.343702314516747</v>
      </c>
      <c r="BL297" s="712"/>
      <c r="BM297" s="712">
        <f ca="1">IF(B297&gt;Summary!$A$1,#N/A,BK297*MGtoAF)</f>
        <v>243.42647870093739</v>
      </c>
      <c r="BN297" s="712">
        <f>Sheet1!BC297+Sheet1!BD297+Sheet1!BE297+Sheet1!BF297-BW297-BX297</f>
        <v>2.5</v>
      </c>
      <c r="BO297" s="712">
        <f t="shared" si="866"/>
        <v>2.5079197465681102</v>
      </c>
      <c r="BP297" s="712">
        <f>IF(Sheet1!EM297="FM",BX297,0)</f>
        <v>0</v>
      </c>
      <c r="BQ297" s="712">
        <f t="shared" si="867"/>
        <v>0</v>
      </c>
      <c r="BR297" s="712">
        <f>IF(Sheet1!EM297="OTHER",BX297,0)</f>
        <v>0</v>
      </c>
      <c r="BS297" s="712">
        <f t="shared" si="868"/>
        <v>0</v>
      </c>
      <c r="BT297" s="712">
        <f t="shared" si="869"/>
        <v>0</v>
      </c>
      <c r="BU297" s="712">
        <f t="shared" si="870"/>
        <v>2.5</v>
      </c>
      <c r="BV297" s="712">
        <f t="shared" si="871"/>
        <v>2.5079197465681102</v>
      </c>
      <c r="BW297" s="712">
        <f>IF(Sheet1!EM297="CWA",SUM(Sheet1!BC297:'Sheet1'!BF297),0)</f>
        <v>0</v>
      </c>
      <c r="BX297" s="712">
        <f>IF(OR(Sheet1!EM297="FM", Sheet1!EM297="OTHER"),SUM(Sheet1!BC297:'Sheet1'!BF297),0)</f>
        <v>0</v>
      </c>
      <c r="BY297" s="697">
        <f>IF(AND($B297&gt;=$FL297,$B297&lt;=$FM297),MAX(BV297,Sheet1!EF297,0),MAX(BV297-(7/36)*$K297,0))</f>
        <v>2.5079197465681102</v>
      </c>
      <c r="BZ297" s="712">
        <f t="shared" si="872"/>
        <v>0</v>
      </c>
      <c r="CA297" s="697">
        <f t="shared" si="873"/>
        <v>0</v>
      </c>
      <c r="CB297" s="697">
        <f>IF(AND($O297&gt;0,Sheet1!EJ297=1),(1-($O297-Sheet1!$L297)/$O297)*BV297,0)</f>
        <v>0</v>
      </c>
      <c r="CC297" s="697">
        <f>IF(AND(Sheet1!$L297=0,Sheet1!$L296=0, Calculation!BU297&lt;Sheet1!EF297-0.1,Sheet1!EF297=Sheet1!EF296,Sheet1!EF297=Sheet1!EF298),Sheet1!EF297,BV297-CB297)</f>
        <v>2.5079197465681102</v>
      </c>
      <c r="CD297" s="697"/>
      <c r="CE297" s="712"/>
      <c r="CF297" s="712">
        <f t="shared" si="874"/>
        <v>127.60219705714447</v>
      </c>
      <c r="CG297" s="712"/>
      <c r="CH297" s="712">
        <f ca="1">IF(B297&gt;Summary!$A$1,#N/A,CF297*MGtoAF)</f>
        <v>391.48354057131922</v>
      </c>
      <c r="CI297" s="712">
        <f>Sheet1!BK297+Sheet1!BL297+Sheet1!BM297-Sheet1!EN297-CQ297</f>
        <v>6.54</v>
      </c>
      <c r="CJ297" s="712">
        <f t="shared" si="875"/>
        <v>6.5607180570221759</v>
      </c>
      <c r="CK297" s="712">
        <f>IF(Sheet1!EN297="FM",CQ297,0)</f>
        <v>0</v>
      </c>
      <c r="CL297" s="712">
        <f t="shared" si="876"/>
        <v>0</v>
      </c>
      <c r="CM297" s="712">
        <f>IF(Sheet1!EN297="OTHER",CQ297,0)</f>
        <v>0</v>
      </c>
      <c r="CN297" s="712">
        <f t="shared" si="877"/>
        <v>0</v>
      </c>
      <c r="CO297" s="712">
        <f t="shared" si="878"/>
        <v>6.54</v>
      </c>
      <c r="CP297" s="712">
        <f t="shared" si="879"/>
        <v>6.5607180570221759</v>
      </c>
      <c r="CQ297" s="712">
        <f>IF(OR(Sheet1!EN297="FM", Sheet1!EN297="OTHER"),SUM(Sheet1!BK297:'Sheet1'!BM297),0)</f>
        <v>0</v>
      </c>
      <c r="CR297" s="697">
        <f>IF(AND($B297&gt;=$FL297,$B297&lt;=$FM297),MAX($CJ297,Sheet1!EG297,0),MAX($CJ297-(7/36)*$K297,0))</f>
        <v>6.5607180570221759</v>
      </c>
      <c r="CS297" s="712">
        <f t="shared" si="880"/>
        <v>0</v>
      </c>
      <c r="CT297" s="697">
        <f t="shared" si="881"/>
        <v>0</v>
      </c>
      <c r="CU297" s="697">
        <f>IF(AND($O297&gt;0,Sheet1!EK297=1),(1-($O297-Sheet1!$L297)/$O297)*CP297,0)</f>
        <v>0</v>
      </c>
      <c r="CV297" s="697">
        <f>IF(AND(Sheet1!$L297=0,Sheet1!$L296=0, Calculation!CO297&lt;Sheet1!$EG297-0.1,Sheet1!$EG297=Sheet1!$EG296,Sheet1!$EG297=Sheet1!$EG298),Sheet1!$EG297,CP297-CU297)</f>
        <v>6.5607180570221759</v>
      </c>
      <c r="CW297" s="697">
        <f t="shared" si="837"/>
        <v>0</v>
      </c>
      <c r="CX297" s="712">
        <f t="shared" si="882"/>
        <v>10.039999999999999</v>
      </c>
      <c r="CY297" s="712">
        <f t="shared" si="883"/>
        <v>260.29319152843158</v>
      </c>
      <c r="CZ297" s="712">
        <f t="shared" si="884"/>
        <v>10.07180570221753</v>
      </c>
      <c r="DA297" s="712">
        <f ca="1">IF(B297&gt;Summary!$A$1,#N/A,CY297*MGtoAF)</f>
        <v>798.57951160922812</v>
      </c>
      <c r="DB297" s="712">
        <f t="shared" si="885"/>
        <v>10.039999999999999</v>
      </c>
      <c r="DC297" s="712">
        <f t="shared" si="886"/>
        <v>18.939999999999998</v>
      </c>
      <c r="DD297" s="712">
        <f>Sheet1!AB297-DC297</f>
        <v>6.0000000000002274E-2</v>
      </c>
      <c r="DE297" s="712">
        <f t="shared" si="887"/>
        <v>3.1678986272440485E-3</v>
      </c>
      <c r="DF297" s="712">
        <f>(VLOOKUP(Sheet1!CY297,hhdcap_wcm,4)-(((VLOOKUP(Sheet1!CY297,hhdcap_wcm,3)-Sheet1!CY297)/(VLOOKUP(Sheet1!CY297,hhdcap_wcm,3)-VLOOKUP(Sheet1!CY297,hhdcap_wcm,1)))*(VLOOKUP(Sheet1!CY297,hhdcap_wcm,4)-VLOOKUP(Sheet1!CY297,hhdcap_wcm,2))))</f>
        <v>15422.960000032665</v>
      </c>
      <c r="DG297" s="712">
        <f t="shared" si="888"/>
        <v>-785.35000000236505</v>
      </c>
      <c r="DH297" s="712">
        <f t="shared" si="889"/>
        <v>-396.04135148883756</v>
      </c>
      <c r="DI297" s="712">
        <f>Sheet1!DW297*AFtoMG</f>
        <v>-108.884</v>
      </c>
      <c r="DJ297" s="712">
        <f>Sheet1!DX297*AFtoMG</f>
        <v>-410.00368000000003</v>
      </c>
      <c r="DK297" s="712">
        <f>Sheet1!DY297*AFtoMG</f>
        <v>0</v>
      </c>
      <c r="DL297" s="712">
        <f>Sheet1!DZ297*AFtoMG</f>
        <v>160.0008</v>
      </c>
      <c r="DM297" s="712">
        <f t="shared" si="890"/>
        <v>-358.88688000000002</v>
      </c>
      <c r="DN297" s="712">
        <f t="shared" si="891"/>
        <v>-1101.0649478400001</v>
      </c>
      <c r="DO297" s="712">
        <f t="shared" si="892"/>
        <v>673.26026256458636</v>
      </c>
      <c r="DP297" s="712">
        <f t="shared" si="893"/>
        <v>2065.562485548151</v>
      </c>
      <c r="DQ297" s="712"/>
      <c r="DR297" s="697">
        <f>IF(OR(B297&lt;FL297,B297&gt;FM297),(MIN(AV297+BO297+CJ297+MAX(Sheet1!AA297+AG297-73,0),K297)),0)</f>
        <v>0</v>
      </c>
      <c r="DS297" s="712"/>
      <c r="DT297" s="712">
        <f t="shared" si="894"/>
        <v>10.07180570221753</v>
      </c>
      <c r="DU297" s="712"/>
      <c r="DV297" s="712">
        <f>Sheet1!ED297+Sheet1!EE297+Sheet1!EF297+Sheet1!EG297</f>
        <v>10</v>
      </c>
      <c r="DW297" s="712"/>
      <c r="DX297" s="697">
        <f t="shared" si="895"/>
        <v>0</v>
      </c>
      <c r="DY297" s="712">
        <f>IF(Sheet1!FN297=1,SUM('Calculations II'!AT297:BA297)+'Calculations II'!BC297+Sheet1!BU297+'Calculations II'!BE297+AF297,SUM('Calculations II'!AT297:BA297)+'Calculations II'!BC297+Sheet1!BU297+'Calculations II'!BE297+AF297)</f>
        <v>44.482128000000003</v>
      </c>
      <c r="DZ297" s="712">
        <f>Sheet1!AA297+Sheet1!AB297+'Calculations II'!BC297</f>
        <v>53.30000000000291</v>
      </c>
      <c r="EA297" s="712"/>
      <c r="EB297" s="712"/>
      <c r="EC297" s="712">
        <f t="shared" si="896"/>
        <v>40826</v>
      </c>
      <c r="ED297" s="712">
        <f t="shared" si="897"/>
        <v>-10.07180570221753</v>
      </c>
      <c r="EE297" s="712">
        <f t="shared" si="898"/>
        <v>-15.581083421330518</v>
      </c>
      <c r="EF297" s="712">
        <f ca="1">IF(B297=TODAY(),0,-(VLOOKUP(Sheet1!BQ297,Lookup!$B$4:$J$236,2)-VLOOKUP(Sheet1!BQ296,Lookup!$B$4:$J$236,2))/1000000)</f>
        <v>1.6093999999999999</v>
      </c>
      <c r="EG297" s="712">
        <f ca="1">IF(B297=TODAY(),0,-(VLOOKUP(Sheet1!BR297,Lookup!$B$4:$J$236,3)-VLOOKUP(Sheet1!BR296,Lookup!$B$4:$J$236,3))/1000000)</f>
        <v>1.6064000000000001</v>
      </c>
      <c r="EH297" s="712">
        <f>-(VLOOKUP(Sheet1!BS297,Lookup!$B$4:$J$236,4)-VLOOKUP(Sheet1!BS296,Lookup!$B$4:$J$236,4))/1000000</f>
        <v>0</v>
      </c>
      <c r="EI297" s="697">
        <f t="shared" ca="1" si="819"/>
        <v>3.2157999999999998</v>
      </c>
      <c r="EJ297" s="712"/>
      <c r="EK297" s="712"/>
      <c r="EL297" s="712"/>
      <c r="EM297" s="712"/>
      <c r="EN297" s="712"/>
      <c r="EO297" s="712"/>
      <c r="EP297" s="712"/>
      <c r="EQ297" s="712"/>
      <c r="ER297" s="697">
        <f t="shared" si="833"/>
        <v>842.80137207031669</v>
      </c>
      <c r="ES297" s="712">
        <f t="shared" si="834"/>
        <v>65.619387193778252</v>
      </c>
      <c r="ET297" s="794">
        <f t="shared" si="818"/>
        <v>1119</v>
      </c>
      <c r="EU297" s="794" t="e">
        <f t="shared" si="838"/>
        <v>#N/A</v>
      </c>
      <c r="EV297" s="795" t="e">
        <f t="shared" si="836"/>
        <v>#N/A</v>
      </c>
      <c r="EW297" s="796" t="s">
        <v>757</v>
      </c>
      <c r="EX297" s="796" t="s">
        <v>757</v>
      </c>
      <c r="EY297" s="794" t="e">
        <v>#N/A</v>
      </c>
      <c r="EZ297" s="798">
        <v>12579.100000025681</v>
      </c>
      <c r="FA297" s="712"/>
      <c r="FB297" s="712"/>
      <c r="FC297" s="712"/>
      <c r="FD297" s="712"/>
      <c r="FE297" s="712">
        <f>O297+Sheet1!CO297</f>
        <v>53.30000000000291</v>
      </c>
      <c r="FF297" s="712">
        <f>IF(Sheet1!AA297+AG297&lt;=Calculation!N297,AG297,Calculation!N297-Sheet1!AA297)</f>
        <v>8.928194297782472</v>
      </c>
      <c r="FG297" s="712">
        <f>(Sheet1!BP297+Sheet1!BO297)/694.4</f>
        <v>1.8044354838709677</v>
      </c>
      <c r="FH297" s="712"/>
      <c r="FI297" s="712"/>
      <c r="FJ297" s="712"/>
      <c r="FK297" s="712"/>
      <c r="FL297" s="714">
        <f t="shared" si="827"/>
        <v>40753</v>
      </c>
      <c r="FM297" s="714">
        <f t="shared" si="828"/>
        <v>40851</v>
      </c>
      <c r="FN297" s="712"/>
      <c r="FO297" s="712"/>
      <c r="FP297" s="712"/>
      <c r="FQ297" s="712"/>
      <c r="FR297" s="712"/>
      <c r="FS297" s="725">
        <f t="shared" si="839"/>
        <v>40603</v>
      </c>
      <c r="FT297" s="714">
        <f t="shared" si="830"/>
        <v>40709</v>
      </c>
      <c r="FU297" s="712">
        <f t="shared" si="839"/>
        <v>6518.9048239895692</v>
      </c>
      <c r="FV297" s="714">
        <f t="shared" si="831"/>
        <v>40722</v>
      </c>
      <c r="FW297" s="712">
        <f t="shared" si="839"/>
        <v>3259.4524119947846</v>
      </c>
      <c r="FX297" s="725">
        <f t="shared" si="839"/>
        <v>40851</v>
      </c>
      <c r="FZ297" s="697">
        <f t="shared" si="824"/>
        <v>0</v>
      </c>
      <c r="GA297" s="712" t="str">
        <f t="shared" si="899"/>
        <v/>
      </c>
      <c r="GB297" s="712">
        <f t="shared" si="900"/>
        <v>0</v>
      </c>
      <c r="GC297" s="712" t="str">
        <f t="shared" si="901"/>
        <v/>
      </c>
      <c r="GD297" s="712">
        <f>IF(GA297="P",Lookup!$M$12,IF(GA297="PP",Lookup!$M$13,IF(GA297="PPP",Lookup!$M$14,IF(GA297="T",Lookup!$M$15,IF(GA297="TP",Lookup!$M$16,IF(GA297="TPP",Lookup!$M$17,IF(GA297="TPPP",Lookup!$M$18,0)))))))*FZ297</f>
        <v>0</v>
      </c>
      <c r="GE297" s="712">
        <f t="shared" si="902"/>
        <v>0</v>
      </c>
      <c r="GF297" s="712">
        <f t="shared" si="903"/>
        <v>632.07295466666619</v>
      </c>
      <c r="GG297" s="712">
        <f t="shared" si="904"/>
        <v>206.02117166449352</v>
      </c>
      <c r="GH297" s="712"/>
      <c r="GI297" s="712">
        <f t="shared" si="905"/>
        <v>0</v>
      </c>
      <c r="GJ297" s="712" t="str">
        <f t="shared" si="906"/>
        <v/>
      </c>
      <c r="GK297" s="712">
        <f>IF(GA297="P",Lookup!$N$12,IF(GA297="PP",Lookup!$N$13,IF(GA297="PPP",Lookup!$N$14,IF(GA297="T",Lookup!$N$15,IF(GA297="TP",Lookup!$N$16,IF(GA297="TPP",Lookup!$N$17,IF(GA297="TPPP",Lookup!$N$18,0)))))))*FZ297</f>
        <v>0</v>
      </c>
      <c r="GL297" s="712">
        <f t="shared" si="907"/>
        <v>0</v>
      </c>
      <c r="GM297" s="712">
        <f t="shared" si="908"/>
        <v>243.42647870093739</v>
      </c>
      <c r="GN297" s="712">
        <f t="shared" si="909"/>
        <v>79.343702314516747</v>
      </c>
      <c r="GO297" s="712"/>
      <c r="GP297" s="712">
        <f t="shared" si="910"/>
        <v>0</v>
      </c>
      <c r="GQ297" s="712" t="str">
        <f t="shared" si="911"/>
        <v/>
      </c>
      <c r="GR297" s="712">
        <f>IF(GA297="P",Lookup!$N$12,IF(GA297="PP",Lookup!$N$13,IF(GA297="PPP",Lookup!$N$14,IF(GA297="T",Lookup!$N$15,IF(GA297="TP",Lookup!$N$16,IF(GA297="TPP",Lookup!$N$17,IF(GA297="TPPP",Lookup!$N$18,0)))))))*FZ297</f>
        <v>0</v>
      </c>
      <c r="GS297" s="697">
        <f t="shared" si="825"/>
        <v>0</v>
      </c>
      <c r="GT297" s="712">
        <f t="shared" si="912"/>
        <v>391.48354057131922</v>
      </c>
      <c r="GU297" s="712">
        <f t="shared" si="913"/>
        <v>127.60219705714447</v>
      </c>
      <c r="GV297" s="712"/>
      <c r="GW297" s="712">
        <f t="shared" si="914"/>
        <v>0</v>
      </c>
      <c r="GX297" s="712" t="str">
        <f t="shared" si="915"/>
        <v/>
      </c>
      <c r="GY297" s="712">
        <f>IF(GA297="P",Lookup!$N$12,IF(GA297="PP",Lookup!$N$13,IF(GA297="PPP",Lookup!$N$14,IF(GA297="T",Lookup!$N$15,IF(GA297="TP",Lookup!$N$16,IF(GA297="TPP",Lookup!$N$17,IF(GA297="TPPP",Lookup!$N$18,0)))))))*FZ297</f>
        <v>0</v>
      </c>
      <c r="GZ297" s="697">
        <f t="shared" si="826"/>
        <v>0</v>
      </c>
      <c r="HA297" s="712">
        <f t="shared" si="916"/>
        <v>798.57951160922812</v>
      </c>
      <c r="HB297" s="712">
        <f t="shared" si="917"/>
        <v>260.29319152843158</v>
      </c>
      <c r="HC297" s="712"/>
    </row>
    <row r="298" spans="1:211">
      <c r="A298" s="773" t="s">
        <v>5</v>
      </c>
      <c r="B298" s="708">
        <v>40827</v>
      </c>
      <c r="C298" s="719">
        <v>0.5</v>
      </c>
      <c r="D298" s="675">
        <f t="shared" si="840"/>
        <v>300</v>
      </c>
      <c r="E298" s="675">
        <f t="shared" si="841"/>
        <v>250</v>
      </c>
      <c r="F298" s="675">
        <v>250</v>
      </c>
      <c r="G298" s="712">
        <f>DH298+Sheet1!CV298</f>
        <v>548.42183560239732</v>
      </c>
      <c r="H298" s="712">
        <f t="shared" si="842"/>
        <v>87.536674533389629</v>
      </c>
      <c r="I298" s="711">
        <f>MAX(Sheet1!Z298-AJ298+(Sheet1!CW298-E298)*CFStoMGD,0)</f>
        <v>449.37909318899568</v>
      </c>
      <c r="J298" s="720">
        <f>IF(AND(B298&gt;=Calculation!FS298,B298&lt;=Calculation!FT298),IF(Sheet1!CX298&gt;=Calculation!D298,64.64,0),MAX(Sheet1!Z298-AJ298+(Sheet1!CX298-D298)*CFStoMGD,0))</f>
        <v>282.8300931889957</v>
      </c>
      <c r="K298" s="697">
        <f t="shared" si="843"/>
        <v>64.64</v>
      </c>
      <c r="L298" s="712">
        <f>Sheet1!AA298+Sheet1!AB298-Sheet1!L298+(Sheet1!CW298-F298)*CFStoMGD</f>
        <v>498.89546666666956</v>
      </c>
      <c r="M298" s="712">
        <f t="shared" si="844"/>
        <v>361.58987202405746</v>
      </c>
      <c r="N298" s="712">
        <f>IF(Sheet1!CW298&gt;=F298,MIN(73,MIN(MAX(L298,0),MAX(M298,0))),0)</f>
        <v>73</v>
      </c>
      <c r="O298" s="721">
        <f>Sheet1!AA298+Sheet1!AB298</f>
        <v>56.30000000000291</v>
      </c>
      <c r="P298" s="721">
        <f t="shared" si="845"/>
        <v>87.096100000004498</v>
      </c>
      <c r="Q298" s="712">
        <f>MIN(N298,Sheet1!AA298+AG298)</f>
        <v>46.216373477676761</v>
      </c>
      <c r="R298" s="712">
        <f t="shared" si="846"/>
        <v>10</v>
      </c>
      <c r="S298" s="721">
        <f>Sheet1!Y298*MGDtoCFS</f>
        <v>52.907400000000003</v>
      </c>
      <c r="T298" s="721">
        <f>Sheet1!Z298*MGDtoCFS</f>
        <v>29.238299999999995</v>
      </c>
      <c r="U298" s="721">
        <f>Sheet1!AA298*MGDtoCFS</f>
        <v>52.752700000009</v>
      </c>
      <c r="V298" s="721">
        <f>Sheet1!AB298*MGDtoCFS</f>
        <v>34.343399999995498</v>
      </c>
      <c r="W298" s="721">
        <f>Sheet1!L298*MGDtoCFS</f>
        <v>0</v>
      </c>
      <c r="X298" s="697">
        <f t="shared" si="847"/>
        <v>10.092286874153071</v>
      </c>
      <c r="Y298" s="712">
        <f t="shared" si="848"/>
        <v>15.6127677943148</v>
      </c>
      <c r="Z298" s="712">
        <f t="shared" si="849"/>
        <v>0</v>
      </c>
      <c r="AA298" s="712">
        <f t="shared" si="850"/>
        <v>0</v>
      </c>
      <c r="AB298" s="712">
        <f>(VLOOKUP(Sheet1!CY298,hhdcap_wcm,4)-(((VLOOKUP(Sheet1!CY298,hhdcap_wcm,3)-Sheet1!CY298)/(VLOOKUP(Sheet1!CY298,hhdcap_wcm,3)-VLOOKUP(Sheet1!CY298,hhdcap_wcm,1)))*(VLOOKUP(Sheet1!CY298,hhdcap_wcm,4)-VLOOKUP(Sheet1!CY298,hhdcap_wcm,2))))</f>
        <v>15009.680000032218</v>
      </c>
      <c r="AC298" s="712">
        <f t="shared" si="851"/>
        <v>-413.28000000044631</v>
      </c>
      <c r="AD298" s="712">
        <f t="shared" si="852"/>
        <v>663.1679756904332</v>
      </c>
      <c r="AE298" s="712">
        <f t="shared" si="853"/>
        <v>2034.5993494182492</v>
      </c>
      <c r="AF298" s="712">
        <f>Sheet1!BA298+Sheet1!BB298+Sheet1!BN298+BT298</f>
        <v>12.1</v>
      </c>
      <c r="AG298" s="712">
        <f t="shared" si="854"/>
        <v>12.116373477670942</v>
      </c>
      <c r="AH298" s="712">
        <f>Sheet1!BA298+BT298</f>
        <v>0</v>
      </c>
      <c r="AI298" s="712">
        <f>Sheet1!BA298+Sheet1!BB298+BT298</f>
        <v>0</v>
      </c>
      <c r="AJ298" s="712">
        <f>IF((Sheet1!AA298+AG298+AX298+AZ298+BQ298+BS298+CL298+CN298)&lt;=N298,AG298+AX298+AZ298+BQ298+BS298+CL298+CN298,N298-Sheet1!AA298)</f>
        <v>12.116373477670942</v>
      </c>
      <c r="AK298" s="712">
        <f>IF(DR298&lt;K298,0,MAX(Sheet1!AA298+AG298-15/36*K298-N298,Sheet1!ED298,0))</f>
        <v>0</v>
      </c>
      <c r="AL298" s="712">
        <f>IF(OR(B298&gt;=FT298,B298&lt;FS298),0,15/36*K298-MAX(0,64.6-(137.6-(Sheet1!AA298+Sheet1!AB298))))</f>
        <v>0</v>
      </c>
      <c r="AM298" s="712">
        <f>Sheet1!CX298-110</f>
        <v>617.05208333333337</v>
      </c>
      <c r="AN298" s="712">
        <f>Sheet1!CW298-265</f>
        <v>669.70833333333337</v>
      </c>
      <c r="AO298" s="712">
        <f t="shared" si="835"/>
        <v>26.783626522323239</v>
      </c>
      <c r="AP298" s="712">
        <f t="shared" si="855"/>
        <v>0</v>
      </c>
      <c r="AQ298" s="712">
        <f t="shared" si="856"/>
        <v>0</v>
      </c>
      <c r="AR298" s="712">
        <f t="shared" si="857"/>
        <v>206.02117166449352</v>
      </c>
      <c r="AS298" s="712"/>
      <c r="AT298" s="712">
        <f ca="1">IF(B298&gt;Summary!$A$1,#N/A,AR298*MGtoAF)</f>
        <v>632.07295466666619</v>
      </c>
      <c r="AU298" s="712">
        <f>Sheet1!BG298+Sheet1!BH298+Sheet1!BI298-BC298</f>
        <v>0.99</v>
      </c>
      <c r="AV298" s="712">
        <f t="shared" si="858"/>
        <v>0.99133964817307718</v>
      </c>
      <c r="AW298" s="712">
        <f>IF(Sheet1!EL298="FM",BC298,0)</f>
        <v>0</v>
      </c>
      <c r="AX298" s="712">
        <f t="shared" si="859"/>
        <v>0</v>
      </c>
      <c r="AY298" s="712">
        <f>IF(Sheet1!EL298="OTHER",BC298,0)</f>
        <v>0</v>
      </c>
      <c r="AZ298" s="712">
        <f t="shared" si="860"/>
        <v>0</v>
      </c>
      <c r="BA298" s="712">
        <f t="shared" si="861"/>
        <v>0.99</v>
      </c>
      <c r="BB298" s="712">
        <f t="shared" si="862"/>
        <v>0.99133964817307718</v>
      </c>
      <c r="BC298" s="712">
        <f>IF(OR(Sheet1!EL298="FM", Sheet1!EL298="OTHER"),SUM(Sheet1!BG298:'Sheet1'!BI298),0)</f>
        <v>0</v>
      </c>
      <c r="BD298" s="697">
        <f>IF(AND($B298&gt;=$FL298,$B298&lt;=$FM298),MAX(AV298,Sheet1!EE298,0),MAX(AV298-(7/36)*$K298,0))</f>
        <v>1</v>
      </c>
      <c r="BE298" s="712">
        <f t="shared" si="863"/>
        <v>0</v>
      </c>
      <c r="BF298" s="697">
        <f t="shared" si="864"/>
        <v>0</v>
      </c>
      <c r="BG298" s="697">
        <f>IF(AND($O298&gt;0,Sheet1!EI298=1),(1-($O298-Sheet1!$L298)/$O298)*BB298,0)</f>
        <v>0</v>
      </c>
      <c r="BH298" s="697">
        <f>IF(AND(Sheet1!$L298=0,Sheet1!$L297=0, Calculation!BA298&lt;Sheet1!$EE298-0.1,Sheet1!$EE298=Sheet1!$EE297,Sheet1!$EE298=Sheet1!$EE299),Sheet1!$EE298,BB298-BG298)</f>
        <v>0.99133964817307718</v>
      </c>
      <c r="BI298" s="712"/>
      <c r="BJ298" s="712"/>
      <c r="BK298" s="712">
        <f t="shared" si="865"/>
        <v>78.343702314516747</v>
      </c>
      <c r="BL298" s="712"/>
      <c r="BM298" s="712">
        <f ca="1">IF(B298&gt;Summary!$A$1,#N/A,BK298*MGtoAF)</f>
        <v>240.35847870093738</v>
      </c>
      <c r="BN298" s="712">
        <f>Sheet1!BC298+Sheet1!BD298+Sheet1!BE298+Sheet1!BF298-BW298-BX298</f>
        <v>2.5599999999999996</v>
      </c>
      <c r="BO298" s="712">
        <f t="shared" si="866"/>
        <v>2.5634641407303809</v>
      </c>
      <c r="BP298" s="712">
        <f>IF(Sheet1!EM298="FM",BX298,0)</f>
        <v>0</v>
      </c>
      <c r="BQ298" s="712">
        <f t="shared" si="867"/>
        <v>0</v>
      </c>
      <c r="BR298" s="712">
        <f>IF(Sheet1!EM298="OTHER",BX298,0)</f>
        <v>0</v>
      </c>
      <c r="BS298" s="712">
        <f t="shared" si="868"/>
        <v>0</v>
      </c>
      <c r="BT298" s="712">
        <f t="shared" si="869"/>
        <v>0</v>
      </c>
      <c r="BU298" s="712">
        <f t="shared" si="870"/>
        <v>2.5599999999999996</v>
      </c>
      <c r="BV298" s="712">
        <f t="shared" si="871"/>
        <v>2.5634641407303809</v>
      </c>
      <c r="BW298" s="712">
        <f>IF(Sheet1!EM298="CWA",SUM(Sheet1!BC298:'Sheet1'!BF298),0)</f>
        <v>0</v>
      </c>
      <c r="BX298" s="712">
        <f>IF(OR(Sheet1!EM298="FM", Sheet1!EM298="OTHER"),SUM(Sheet1!BC298:'Sheet1'!BF298),0)</f>
        <v>0</v>
      </c>
      <c r="BY298" s="697">
        <f>IF(AND($B298&gt;=$FL298,$B298&lt;=$FM298),MAX(BV298,Sheet1!EF298,0),MAX(BV298-(7/36)*$K298,0))</f>
        <v>2.5634641407303809</v>
      </c>
      <c r="BZ298" s="712">
        <f t="shared" si="872"/>
        <v>0</v>
      </c>
      <c r="CA298" s="697">
        <f t="shared" si="873"/>
        <v>0</v>
      </c>
      <c r="CB298" s="697">
        <f>IF(AND($O298&gt;0,Sheet1!EJ298=1),(1-($O298-Sheet1!$L298)/$O298)*BV298,0)</f>
        <v>0</v>
      </c>
      <c r="CC298" s="697">
        <f>IF(AND(Sheet1!$L298=0,Sheet1!$L297=0, Calculation!BU298&lt;Sheet1!EF298-0.1,Sheet1!EF298=Sheet1!EF297,Sheet1!EF298=Sheet1!EF299),Sheet1!EF298,BV298-CB298)</f>
        <v>2.5634641407303809</v>
      </c>
      <c r="CD298" s="697"/>
      <c r="CE298" s="712"/>
      <c r="CF298" s="712">
        <f t="shared" si="874"/>
        <v>125.03873291641409</v>
      </c>
      <c r="CG298" s="712"/>
      <c r="CH298" s="712">
        <f ca="1">IF(B298&gt;Summary!$A$1,#N/A,CF298*MGtoAF)</f>
        <v>383.61883258755842</v>
      </c>
      <c r="CI298" s="712">
        <f>Sheet1!BK298+Sheet1!BL298+Sheet1!BM298-Sheet1!EN298-CQ298</f>
        <v>6.52</v>
      </c>
      <c r="CJ298" s="712">
        <f t="shared" si="875"/>
        <v>6.5288227334226896</v>
      </c>
      <c r="CK298" s="712">
        <f>IF(Sheet1!EN298="FM",CQ298,0)</f>
        <v>0</v>
      </c>
      <c r="CL298" s="712">
        <f t="shared" si="876"/>
        <v>0</v>
      </c>
      <c r="CM298" s="712">
        <f>IF(Sheet1!EN298="OTHER",CQ298,0)</f>
        <v>0</v>
      </c>
      <c r="CN298" s="712">
        <f t="shared" si="877"/>
        <v>0</v>
      </c>
      <c r="CO298" s="712">
        <f t="shared" si="878"/>
        <v>6.52</v>
      </c>
      <c r="CP298" s="712">
        <f t="shared" si="879"/>
        <v>6.5288227334226896</v>
      </c>
      <c r="CQ298" s="712">
        <f>IF(OR(Sheet1!EN298="FM", Sheet1!EN298="OTHER"),SUM(Sheet1!BK298:'Sheet1'!BM298),0)</f>
        <v>0</v>
      </c>
      <c r="CR298" s="697">
        <f>IF(AND($B298&gt;=$FL298,$B298&lt;=$FM298),MAX($CJ298,Sheet1!EG298,0),MAX($CJ298-(7/36)*$K298,0))</f>
        <v>6.5288227334226896</v>
      </c>
      <c r="CS298" s="712">
        <f t="shared" si="880"/>
        <v>0</v>
      </c>
      <c r="CT298" s="697">
        <f t="shared" si="881"/>
        <v>0</v>
      </c>
      <c r="CU298" s="697">
        <f>IF(AND($O298&gt;0,Sheet1!EK298=1),(1-($O298-Sheet1!$L298)/$O298)*CP298,0)</f>
        <v>0</v>
      </c>
      <c r="CV298" s="697">
        <f>IF(AND(Sheet1!$L298=0,Sheet1!$L297=0, Calculation!CO298&lt;Sheet1!$EG298-0.1,Sheet1!$EG298=Sheet1!$EG297,Sheet1!$EG298=Sheet1!$EG299),Sheet1!$EG298,CP298-CU298)</f>
        <v>6.5288227334226896</v>
      </c>
      <c r="CW298" s="697">
        <f t="shared" si="837"/>
        <v>0</v>
      </c>
      <c r="CX298" s="712">
        <f t="shared" si="882"/>
        <v>10.07</v>
      </c>
      <c r="CY298" s="712">
        <f t="shared" si="883"/>
        <v>253.76436879500889</v>
      </c>
      <c r="CZ298" s="712">
        <f t="shared" si="884"/>
        <v>10.083626522326147</v>
      </c>
      <c r="DA298" s="712">
        <f ca="1">IF(B298&gt;Summary!$A$1,#N/A,CY298*MGtoAF)</f>
        <v>778.5490834630873</v>
      </c>
      <c r="DB298" s="712">
        <f t="shared" si="885"/>
        <v>10.069999999999999</v>
      </c>
      <c r="DC298" s="712">
        <f t="shared" si="886"/>
        <v>22.169999999999998</v>
      </c>
      <c r="DD298" s="712">
        <f>Sheet1!AB298-DC298</f>
        <v>2.9999999997091464E-2</v>
      </c>
      <c r="DE298" s="712">
        <f t="shared" si="887"/>
        <v>1.3531799728052083E-3</v>
      </c>
      <c r="DF298" s="712">
        <f>(VLOOKUP(Sheet1!CY298,hhdcap_wcm,4)-(((VLOOKUP(Sheet1!CY298,hhdcap_wcm,3)-Sheet1!CY298)/(VLOOKUP(Sheet1!CY298,hhdcap_wcm,3)-VLOOKUP(Sheet1!CY298,hhdcap_wcm,1)))*(VLOOKUP(Sheet1!CY298,hhdcap_wcm,4)-VLOOKUP(Sheet1!CY298,hhdcap_wcm,2))))</f>
        <v>15009.680000032218</v>
      </c>
      <c r="DG298" s="712">
        <f t="shared" si="888"/>
        <v>-413.28000000044631</v>
      </c>
      <c r="DH298" s="712">
        <f t="shared" si="889"/>
        <v>-208.41149773093608</v>
      </c>
      <c r="DI298" s="712">
        <f>Sheet1!DW298*AFtoMG</f>
        <v>0</v>
      </c>
      <c r="DJ298" s="712">
        <f>Sheet1!DX298*AFtoMG</f>
        <v>0</v>
      </c>
      <c r="DK298" s="712">
        <f>Sheet1!DY298*AFtoMG</f>
        <v>0</v>
      </c>
      <c r="DL298" s="712">
        <f>Sheet1!DZ298*AFtoMG</f>
        <v>0</v>
      </c>
      <c r="DM298" s="712">
        <f t="shared" si="890"/>
        <v>0</v>
      </c>
      <c r="DN298" s="712">
        <f t="shared" si="891"/>
        <v>0</v>
      </c>
      <c r="DO298" s="712">
        <f t="shared" si="892"/>
        <v>663.1679756904332</v>
      </c>
      <c r="DP298" s="712">
        <f t="shared" si="893"/>
        <v>2034.5993494182492</v>
      </c>
      <c r="DQ298" s="712"/>
      <c r="DR298" s="697">
        <f>IF(OR(B298&lt;FL298,B298&gt;FM298),(MIN(AV298+BO298+CJ298+MAX(Sheet1!AA298+AG298-73,0),K298)),0)</f>
        <v>0</v>
      </c>
      <c r="DS298" s="712"/>
      <c r="DT298" s="712">
        <f t="shared" si="894"/>
        <v>10.083626522326147</v>
      </c>
      <c r="DU298" s="712"/>
      <c r="DV298" s="712">
        <f>Sheet1!ED298+Sheet1!EE298+Sheet1!EF298+Sheet1!EG298</f>
        <v>10</v>
      </c>
      <c r="DW298" s="712"/>
      <c r="DX298" s="697">
        <f t="shared" si="895"/>
        <v>0</v>
      </c>
      <c r="DY298" s="712">
        <f>IF(Sheet1!FN298=1,SUM('Calculations II'!AT298:BA298)+'Calculations II'!BC298+Sheet1!BU298+'Calculations II'!BE298+AF298,SUM('Calculations II'!AT298:BA298)+'Calculations II'!BC298+Sheet1!BU298+'Calculations II'!BE298+AF298)</f>
        <v>43.696576</v>
      </c>
      <c r="DZ298" s="712">
        <f>Sheet1!AA298+Sheet1!AB298+'Calculations II'!BC298</f>
        <v>56.30000000000291</v>
      </c>
      <c r="EA298" s="712"/>
      <c r="EB298" s="712"/>
      <c r="EC298" s="712">
        <f t="shared" si="896"/>
        <v>40827</v>
      </c>
      <c r="ED298" s="712">
        <f t="shared" si="897"/>
        <v>-10.092286874153071</v>
      </c>
      <c r="EE298" s="712">
        <f t="shared" si="898"/>
        <v>-15.6127677943148</v>
      </c>
      <c r="EF298" s="712">
        <f ca="1">IF(B298=TODAY(),0,-(VLOOKUP(Sheet1!BQ298,Lookup!$B$4:$J$236,2)-VLOOKUP(Sheet1!BQ297,Lookup!$B$4:$J$236,2))/1000000)</f>
        <v>-0.53420000000000001</v>
      </c>
      <c r="EG298" s="712">
        <f ca="1">IF(B298=TODAY(),0,-(VLOOKUP(Sheet1!BR298,Lookup!$B$4:$J$236,3)-VLOOKUP(Sheet1!BR297,Lookup!$B$4:$J$236,3))/1000000)</f>
        <v>-0.26700000000000002</v>
      </c>
      <c r="EH298" s="712">
        <f>-(VLOOKUP(Sheet1!BS298,Lookup!$B$4:$J$236,4)-VLOOKUP(Sheet1!BS297,Lookup!$B$4:$J$236,4))/1000000</f>
        <v>0</v>
      </c>
      <c r="EI298" s="697">
        <f t="shared" ca="1" si="819"/>
        <v>-0.80120000000000002</v>
      </c>
      <c r="EJ298" s="712"/>
      <c r="EK298" s="712"/>
      <c r="EL298" s="712"/>
      <c r="EM298" s="712"/>
      <c r="EN298" s="712"/>
      <c r="EO298" s="712"/>
      <c r="EP298" s="712"/>
      <c r="EQ298" s="712"/>
      <c r="ER298" s="697">
        <f t="shared" si="833"/>
        <v>702.80100823681437</v>
      </c>
      <c r="ES298" s="712">
        <f t="shared" si="834"/>
        <v>140.00036383350235</v>
      </c>
      <c r="ET298" s="794">
        <f t="shared" si="818"/>
        <v>1118.7</v>
      </c>
      <c r="EU298" s="794" t="e">
        <f t="shared" si="838"/>
        <v>#N/A</v>
      </c>
      <c r="EV298" s="795" t="e">
        <f t="shared" si="836"/>
        <v>#N/A</v>
      </c>
      <c r="EW298" s="796" t="s">
        <v>757</v>
      </c>
      <c r="EX298" s="796" t="s">
        <v>757</v>
      </c>
      <c r="EY298" s="794" t="e">
        <v>#N/A</v>
      </c>
      <c r="EZ298" s="798">
        <v>12409.900000025487</v>
      </c>
      <c r="FA298" s="712"/>
      <c r="FB298" s="712"/>
      <c r="FC298" s="712"/>
      <c r="FD298" s="712"/>
      <c r="FE298" s="712">
        <f>O298+Sheet1!CO298</f>
        <v>56.30000000000291</v>
      </c>
      <c r="FF298" s="712">
        <f>IF(Sheet1!AA298+AG298&lt;=Calculation!N298,AG298,Calculation!N298-Sheet1!AA298)</f>
        <v>12.116373477670942</v>
      </c>
      <c r="FG298" s="712">
        <f>(Sheet1!BP298+Sheet1!BO298)/694.4</f>
        <v>1.7129896313364057</v>
      </c>
      <c r="FH298" s="712"/>
      <c r="FI298" s="712"/>
      <c r="FJ298" s="712"/>
      <c r="FK298" s="712"/>
      <c r="FL298" s="714">
        <f t="shared" si="827"/>
        <v>40753</v>
      </c>
      <c r="FM298" s="714">
        <f t="shared" si="828"/>
        <v>40851</v>
      </c>
      <c r="FN298" s="712"/>
      <c r="FO298" s="712"/>
      <c r="FP298" s="712"/>
      <c r="FQ298" s="712"/>
      <c r="FR298" s="712"/>
      <c r="FS298" s="725">
        <f t="shared" ref="FS298:FX313" si="918">FS297</f>
        <v>40603</v>
      </c>
      <c r="FT298" s="714">
        <f t="shared" si="830"/>
        <v>40709</v>
      </c>
      <c r="FU298" s="712">
        <f t="shared" si="918"/>
        <v>6518.9048239895692</v>
      </c>
      <c r="FV298" s="714">
        <f t="shared" si="831"/>
        <v>40722</v>
      </c>
      <c r="FW298" s="712">
        <f t="shared" si="918"/>
        <v>3259.4524119947846</v>
      </c>
      <c r="FX298" s="725">
        <f t="shared" si="918"/>
        <v>40851</v>
      </c>
      <c r="FZ298" s="697">
        <f t="shared" si="824"/>
        <v>0</v>
      </c>
      <c r="GA298" s="712" t="str">
        <f t="shared" si="899"/>
        <v/>
      </c>
      <c r="GB298" s="712">
        <f t="shared" si="900"/>
        <v>0</v>
      </c>
      <c r="GC298" s="712" t="str">
        <f t="shared" si="901"/>
        <v/>
      </c>
      <c r="GD298" s="712">
        <f>IF(GA298="P",Lookup!$M$12,IF(GA298="PP",Lookup!$M$13,IF(GA298="PPP",Lookup!$M$14,IF(GA298="T",Lookup!$M$15,IF(GA298="TP",Lookup!$M$16,IF(GA298="TPP",Lookup!$M$17,IF(GA298="TPPP",Lookup!$M$18,0)))))))*FZ298</f>
        <v>0</v>
      </c>
      <c r="GE298" s="712">
        <f t="shared" si="902"/>
        <v>0</v>
      </c>
      <c r="GF298" s="712">
        <f t="shared" si="903"/>
        <v>632.07295466666619</v>
      </c>
      <c r="GG298" s="712">
        <f t="shared" si="904"/>
        <v>206.02117166449352</v>
      </c>
      <c r="GH298" s="712"/>
      <c r="GI298" s="712">
        <f t="shared" si="905"/>
        <v>0</v>
      </c>
      <c r="GJ298" s="712" t="str">
        <f t="shared" si="906"/>
        <v/>
      </c>
      <c r="GK298" s="712">
        <f>IF(GA298="P",Lookup!$N$12,IF(GA298="PP",Lookup!$N$13,IF(GA298="PPP",Lookup!$N$14,IF(GA298="T",Lookup!$N$15,IF(GA298="TP",Lookup!$N$16,IF(GA298="TPP",Lookup!$N$17,IF(GA298="TPPP",Lookup!$N$18,0)))))))*FZ298</f>
        <v>0</v>
      </c>
      <c r="GL298" s="712">
        <f t="shared" si="907"/>
        <v>0</v>
      </c>
      <c r="GM298" s="712">
        <f t="shared" si="908"/>
        <v>240.35847870093738</v>
      </c>
      <c r="GN298" s="712">
        <f t="shared" si="909"/>
        <v>78.343702314516747</v>
      </c>
      <c r="GO298" s="712"/>
      <c r="GP298" s="712">
        <f t="shared" si="910"/>
        <v>0</v>
      </c>
      <c r="GQ298" s="712" t="str">
        <f t="shared" si="911"/>
        <v/>
      </c>
      <c r="GR298" s="712">
        <f>IF(GA298="P",Lookup!$N$12,IF(GA298="PP",Lookup!$N$13,IF(GA298="PPP",Lookup!$N$14,IF(GA298="T",Lookup!$N$15,IF(GA298="TP",Lookup!$N$16,IF(GA298="TPP",Lookup!$N$17,IF(GA298="TPPP",Lookup!$N$18,0)))))))*FZ298</f>
        <v>0</v>
      </c>
      <c r="GS298" s="697">
        <f t="shared" si="825"/>
        <v>0</v>
      </c>
      <c r="GT298" s="712">
        <f t="shared" si="912"/>
        <v>383.61883258755842</v>
      </c>
      <c r="GU298" s="712">
        <f t="shared" si="913"/>
        <v>125.03873291641409</v>
      </c>
      <c r="GV298" s="712"/>
      <c r="GW298" s="712">
        <f t="shared" si="914"/>
        <v>0</v>
      </c>
      <c r="GX298" s="712" t="str">
        <f t="shared" si="915"/>
        <v/>
      </c>
      <c r="GY298" s="712">
        <f>IF(GA298="P",Lookup!$N$12,IF(GA298="PP",Lookup!$N$13,IF(GA298="PPP",Lookup!$N$14,IF(GA298="T",Lookup!$N$15,IF(GA298="TP",Lookup!$N$16,IF(GA298="TPP",Lookup!$N$17,IF(GA298="TPPP",Lookup!$N$18,0)))))))*FZ298</f>
        <v>0</v>
      </c>
      <c r="GZ298" s="697">
        <f t="shared" si="826"/>
        <v>0</v>
      </c>
      <c r="HA298" s="712">
        <f t="shared" si="916"/>
        <v>778.5490834630873</v>
      </c>
      <c r="HB298" s="712">
        <f t="shared" si="917"/>
        <v>253.76436879500889</v>
      </c>
      <c r="HC298" s="712"/>
    </row>
    <row r="299" spans="1:211">
      <c r="A299" s="773" t="s">
        <v>6</v>
      </c>
      <c r="B299" s="708">
        <v>40828</v>
      </c>
      <c r="C299" s="709">
        <v>0.5</v>
      </c>
      <c r="D299" s="675">
        <f t="shared" si="840"/>
        <v>300</v>
      </c>
      <c r="E299" s="675">
        <f t="shared" si="841"/>
        <v>250</v>
      </c>
      <c r="F299" s="675">
        <v>250</v>
      </c>
      <c r="G299" s="712">
        <f>DH299+Sheet1!CV299</f>
        <v>608.22913514820323</v>
      </c>
      <c r="H299" s="712">
        <f t="shared" si="842"/>
        <v>126.19611295979855</v>
      </c>
      <c r="I299" s="711">
        <f>MAX(Sheet1!Z299-AJ299+(Sheet1!CW299-E299)*CFStoMGD,0)</f>
        <v>521.76533333333259</v>
      </c>
      <c r="J299" s="720">
        <f>IF(AND(B299&gt;=Calculation!FS299,B299&lt;=Calculation!FT299),IF(Sheet1!CX299&gt;=Calculation!D299,64.64,0),MAX(Sheet1!Z299-AJ299+(Sheet1!CX299-D299)*CFStoMGD,0))</f>
        <v>319.63739999999922</v>
      </c>
      <c r="K299" s="697">
        <f t="shared" si="843"/>
        <v>64.64</v>
      </c>
      <c r="L299" s="712">
        <f>Sheet1!AA299+Sheet1!AB299-Sheet1!L299+(Sheet1!CW299-F299)*CFStoMGD</f>
        <v>567.09533333332547</v>
      </c>
      <c r="M299" s="712">
        <f t="shared" si="844"/>
        <v>401.02249921899454</v>
      </c>
      <c r="N299" s="712">
        <f>IF(Sheet1!CW299&gt;=F299,MIN(73,MIN(MAX(L299,0),MAX(M299,0))),0)</f>
        <v>73</v>
      </c>
      <c r="O299" s="721">
        <f>Sheet1!AA299+Sheet1!AB299</f>
        <v>53.139999999992142</v>
      </c>
      <c r="P299" s="721">
        <f t="shared" si="845"/>
        <v>82.207579999987843</v>
      </c>
      <c r="Q299" s="712">
        <f>MIN(N299,Sheet1!AA299+AG299)</f>
        <v>43.039999999991451</v>
      </c>
      <c r="R299" s="712">
        <f t="shared" si="846"/>
        <v>10</v>
      </c>
      <c r="S299" s="721">
        <f>Sheet1!Y299*MGDtoCFS</f>
        <v>52.95380999999999</v>
      </c>
      <c r="T299" s="721">
        <f>Sheet1!Z299*MGDtoCFS</f>
        <v>29.56317</v>
      </c>
      <c r="U299" s="721">
        <f>Sheet1!AA299*MGDtoCFS</f>
        <v>49.101779999985588</v>
      </c>
      <c r="V299" s="721">
        <f>Sheet1!AB299*MGDtoCFS</f>
        <v>33.105800000002247</v>
      </c>
      <c r="W299" s="721">
        <f>Sheet1!L299*MGDtoCFS</f>
        <v>0</v>
      </c>
      <c r="X299" s="697">
        <f t="shared" si="847"/>
        <v>10.100000000000685</v>
      </c>
      <c r="Y299" s="712">
        <f t="shared" si="848"/>
        <v>15.624700000001059</v>
      </c>
      <c r="Z299" s="712">
        <f t="shared" si="849"/>
        <v>0</v>
      </c>
      <c r="AA299" s="712">
        <f t="shared" si="850"/>
        <v>0</v>
      </c>
      <c r="AB299" s="712">
        <f>(VLOOKUP(Sheet1!CY299,hhdcap_wcm,4)-(((VLOOKUP(Sheet1!CY299,hhdcap_wcm,3)-Sheet1!CY299)/(VLOOKUP(Sheet1!CY299,hhdcap_wcm,3)-VLOOKUP(Sheet1!CY299,hhdcap_wcm,1)))*(VLOOKUP(Sheet1!CY299,hhdcap_wcm,4)-VLOOKUP(Sheet1!CY299,hhdcap_wcm,2))))</f>
        <v>14615.600000031105</v>
      </c>
      <c r="AC299" s="712">
        <f t="shared" si="851"/>
        <v>-394.08000000111315</v>
      </c>
      <c r="AD299" s="712">
        <f t="shared" si="852"/>
        <v>653.0679756904326</v>
      </c>
      <c r="AE299" s="712">
        <f t="shared" si="853"/>
        <v>2003.6125494182472</v>
      </c>
      <c r="AF299" s="712">
        <f>Sheet1!BA299+Sheet1!BB299+Sheet1!BN299+BT299</f>
        <v>11.3</v>
      </c>
      <c r="AG299" s="712">
        <f t="shared" si="854"/>
        <v>11.300000000000768</v>
      </c>
      <c r="AH299" s="712">
        <f>Sheet1!BA299+BT299</f>
        <v>0</v>
      </c>
      <c r="AI299" s="712">
        <f>Sheet1!BA299+Sheet1!BB299+BT299</f>
        <v>0</v>
      </c>
      <c r="AJ299" s="712">
        <f>IF((Sheet1!AA299+AG299+AX299+AZ299+BQ299+BS299+CL299+CN299)&lt;=N299,AG299+AX299+AZ299+BQ299+BS299+CL299+CN299,N299-Sheet1!AA299)</f>
        <v>11.300000000000768</v>
      </c>
      <c r="AK299" s="712">
        <f>IF(DR299&lt;K299,0,MAX(Sheet1!AA299+AG299-15/36*K299-N299,Sheet1!ED299,0))</f>
        <v>0</v>
      </c>
      <c r="AL299" s="712">
        <f>IF(OR(B299&gt;=FT299,B299&lt;FS299),0,15/36*K299-MAX(0,64.6-(137.6-(Sheet1!AA299+Sheet1!AB299))))</f>
        <v>0</v>
      </c>
      <c r="AM299" s="712">
        <f>Sheet1!CX299-110</f>
        <v>672.40625</v>
      </c>
      <c r="AN299" s="712">
        <f>Sheet1!CW299-265</f>
        <v>780.10416666666674</v>
      </c>
      <c r="AO299" s="712">
        <f t="shared" si="835"/>
        <v>29.960000000008549</v>
      </c>
      <c r="AP299" s="712">
        <f t="shared" si="855"/>
        <v>0</v>
      </c>
      <c r="AQ299" s="712">
        <f t="shared" si="856"/>
        <v>0</v>
      </c>
      <c r="AR299" s="712">
        <f t="shared" si="857"/>
        <v>206.02117166449352</v>
      </c>
      <c r="AS299" s="712"/>
      <c r="AT299" s="712">
        <f ca="1">IF(B299&gt;Summary!$A$1,#N/A,AR299*MGtoAF)</f>
        <v>632.07295466666619</v>
      </c>
      <c r="AU299" s="712">
        <f>Sheet1!BG299+Sheet1!BH299+Sheet1!BI299-BC299</f>
        <v>1.05</v>
      </c>
      <c r="AV299" s="712">
        <f t="shared" si="858"/>
        <v>1.0500000000000713</v>
      </c>
      <c r="AW299" s="712">
        <f>IF(Sheet1!EL299="FM",BC299,0)</f>
        <v>0</v>
      </c>
      <c r="AX299" s="712">
        <f t="shared" si="859"/>
        <v>0</v>
      </c>
      <c r="AY299" s="712">
        <f>IF(Sheet1!EL299="OTHER",BC299,0)</f>
        <v>0</v>
      </c>
      <c r="AZ299" s="712">
        <f t="shared" si="860"/>
        <v>0</v>
      </c>
      <c r="BA299" s="712">
        <f t="shared" si="861"/>
        <v>1.05</v>
      </c>
      <c r="BB299" s="712">
        <f t="shared" si="862"/>
        <v>1.0500000000000713</v>
      </c>
      <c r="BC299" s="712">
        <f>IF(OR(Sheet1!EL299="FM", Sheet1!EL299="OTHER"),SUM(Sheet1!BG299:'Sheet1'!BI299),0)</f>
        <v>0</v>
      </c>
      <c r="BD299" s="697">
        <f>IF(AND($B299&gt;=$FL299,$B299&lt;=$FM299),MAX(AV299,Sheet1!EE299,0),MAX(AV299-(7/36)*$K299,0))</f>
        <v>1.0500000000000713</v>
      </c>
      <c r="BE299" s="712">
        <f t="shared" si="863"/>
        <v>0</v>
      </c>
      <c r="BF299" s="697">
        <f t="shared" si="864"/>
        <v>0</v>
      </c>
      <c r="BG299" s="697">
        <f>IF(AND($O299&gt;0,Sheet1!EI299=1),(1-($O299-Sheet1!$L299)/$O299)*BB299,0)</f>
        <v>0</v>
      </c>
      <c r="BH299" s="697">
        <f>IF(AND(Sheet1!$L299=0,Sheet1!$L298=0, Calculation!BA299&lt;Sheet1!$EE299-0.1,Sheet1!$EE299=Sheet1!$EE298,Sheet1!$EE299=Sheet1!$EE300),Sheet1!$EE299,BB299-BG299)</f>
        <v>1.0500000000000713</v>
      </c>
      <c r="BI299" s="712"/>
      <c r="BJ299" s="712"/>
      <c r="BK299" s="712">
        <f t="shared" si="865"/>
        <v>77.293702314516679</v>
      </c>
      <c r="BL299" s="712"/>
      <c r="BM299" s="712">
        <f ca="1">IF(B299&gt;Summary!$A$1,#N/A,BK299*MGtoAF)</f>
        <v>237.13707870093717</v>
      </c>
      <c r="BN299" s="712">
        <f>Sheet1!BC299+Sheet1!BD299+Sheet1!BE299+Sheet1!BF299-BW299-BX299</f>
        <v>2.5099999999999998</v>
      </c>
      <c r="BO299" s="712">
        <f t="shared" si="866"/>
        <v>2.5100000000001703</v>
      </c>
      <c r="BP299" s="712">
        <f>IF(Sheet1!EM299="FM",BX299,0)</f>
        <v>0</v>
      </c>
      <c r="BQ299" s="712">
        <f t="shared" si="867"/>
        <v>0</v>
      </c>
      <c r="BR299" s="712">
        <f>IF(Sheet1!EM299="OTHER",BX299,0)</f>
        <v>0</v>
      </c>
      <c r="BS299" s="712">
        <f t="shared" si="868"/>
        <v>0</v>
      </c>
      <c r="BT299" s="712">
        <f t="shared" si="869"/>
        <v>0</v>
      </c>
      <c r="BU299" s="712">
        <f t="shared" si="870"/>
        <v>2.5099999999999998</v>
      </c>
      <c r="BV299" s="712">
        <f t="shared" si="871"/>
        <v>2.5100000000001703</v>
      </c>
      <c r="BW299" s="712">
        <f>IF(Sheet1!EM299="CWA",SUM(Sheet1!BC299:'Sheet1'!BF299),0)</f>
        <v>0</v>
      </c>
      <c r="BX299" s="712">
        <f>IF(OR(Sheet1!EM299="FM", Sheet1!EM299="OTHER"),SUM(Sheet1!BC299:'Sheet1'!BF299),0)</f>
        <v>0</v>
      </c>
      <c r="BY299" s="697">
        <f>IF(AND($B299&gt;=$FL299,$B299&lt;=$FM299),MAX(BV299,Sheet1!EF299,0),MAX(BV299-(7/36)*$K299,0))</f>
        <v>2.5100000000001703</v>
      </c>
      <c r="BZ299" s="712">
        <f t="shared" si="872"/>
        <v>0</v>
      </c>
      <c r="CA299" s="697">
        <f t="shared" si="873"/>
        <v>0</v>
      </c>
      <c r="CB299" s="697">
        <f>IF(AND($O299&gt;0,Sheet1!EJ299=1),(1-($O299-Sheet1!$L299)/$O299)*BV299,0)</f>
        <v>0</v>
      </c>
      <c r="CC299" s="697">
        <f>IF(AND(Sheet1!$L299=0,Sheet1!$L298=0, Calculation!BU299&lt;Sheet1!EF299-0.1,Sheet1!EF299=Sheet1!EF298,Sheet1!EF299=Sheet1!EF300),Sheet1!EF299,BV299-CB299)</f>
        <v>2.5100000000001703</v>
      </c>
      <c r="CD299" s="697"/>
      <c r="CE299" s="712"/>
      <c r="CF299" s="712">
        <f t="shared" si="874"/>
        <v>122.52873291641392</v>
      </c>
      <c r="CG299" s="712"/>
      <c r="CH299" s="712">
        <f ca="1">IF(B299&gt;Summary!$A$1,#N/A,CF299*MGtoAF)</f>
        <v>375.91815258755793</v>
      </c>
      <c r="CI299" s="712">
        <f>Sheet1!BK299+Sheet1!BL299+Sheet1!BM299-Sheet1!EN299-CQ299</f>
        <v>6.54</v>
      </c>
      <c r="CJ299" s="712">
        <f t="shared" si="875"/>
        <v>6.5400000000004441</v>
      </c>
      <c r="CK299" s="712">
        <f>IF(Sheet1!EN299="FM",CQ299,0)</f>
        <v>0</v>
      </c>
      <c r="CL299" s="712">
        <f t="shared" si="876"/>
        <v>0</v>
      </c>
      <c r="CM299" s="712">
        <f>IF(Sheet1!EN299="OTHER",CQ299,0)</f>
        <v>0</v>
      </c>
      <c r="CN299" s="712">
        <f t="shared" si="877"/>
        <v>0</v>
      </c>
      <c r="CO299" s="712">
        <f t="shared" si="878"/>
        <v>6.54</v>
      </c>
      <c r="CP299" s="712">
        <f t="shared" si="879"/>
        <v>6.5400000000004441</v>
      </c>
      <c r="CQ299" s="712">
        <f>IF(OR(Sheet1!EN299="FM", Sheet1!EN299="OTHER"),SUM(Sheet1!BK299:'Sheet1'!BM299),0)</f>
        <v>0</v>
      </c>
      <c r="CR299" s="697">
        <f>IF(AND($B299&gt;=$FL299,$B299&lt;=$FM299),MAX($CJ299,Sheet1!EG299,0),MAX($CJ299-(7/36)*$K299,0))</f>
        <v>6.5400000000004441</v>
      </c>
      <c r="CS299" s="712">
        <f t="shared" si="880"/>
        <v>0</v>
      </c>
      <c r="CT299" s="697">
        <f t="shared" si="881"/>
        <v>0</v>
      </c>
      <c r="CU299" s="697">
        <f>IF(AND($O299&gt;0,Sheet1!EK299=1),(1-($O299-Sheet1!$L299)/$O299)*CP299,0)</f>
        <v>0</v>
      </c>
      <c r="CV299" s="697">
        <f>IF(AND(Sheet1!$L299=0,Sheet1!$L298=0, Calculation!CO299&lt;Sheet1!$EG299-0.1,Sheet1!$EG299=Sheet1!$EG298,Sheet1!$EG299=Sheet1!$EG300),Sheet1!$EG299,CP299-CU299)</f>
        <v>6.5400000000004441</v>
      </c>
      <c r="CW299" s="697">
        <f t="shared" si="837"/>
        <v>0</v>
      </c>
      <c r="CX299" s="712">
        <f t="shared" si="882"/>
        <v>10.1</v>
      </c>
      <c r="CY299" s="712">
        <f t="shared" si="883"/>
        <v>247.22436879500844</v>
      </c>
      <c r="CZ299" s="712">
        <f t="shared" si="884"/>
        <v>10.100000000000685</v>
      </c>
      <c r="DA299" s="712">
        <f ca="1">IF(B299&gt;Summary!$A$1,#N/A,CY299*MGtoAF)</f>
        <v>758.48436346308597</v>
      </c>
      <c r="DB299" s="712">
        <f t="shared" si="885"/>
        <v>10.100000000000001</v>
      </c>
      <c r="DC299" s="712">
        <f t="shared" si="886"/>
        <v>21.400000000000002</v>
      </c>
      <c r="DD299" s="712">
        <f>Sheet1!AB299-DC299</f>
        <v>1.4530598946294049E-12</v>
      </c>
      <c r="DE299" s="712">
        <f t="shared" si="887"/>
        <v>6.7899995076140413E-14</v>
      </c>
      <c r="DF299" s="712">
        <f>(VLOOKUP(Sheet1!CY299,hhdcap_wcm,4)-(((VLOOKUP(Sheet1!CY299,hhdcap_wcm,3)-Sheet1!CY299)/(VLOOKUP(Sheet1!CY299,hhdcap_wcm,3)-VLOOKUP(Sheet1!CY299,hhdcap_wcm,1)))*(VLOOKUP(Sheet1!CY299,hhdcap_wcm,4)-VLOOKUP(Sheet1!CY299,hhdcap_wcm,2))))</f>
        <v>14615.600000031105</v>
      </c>
      <c r="DG299" s="712">
        <f t="shared" si="888"/>
        <v>-394.08000000111315</v>
      </c>
      <c r="DH299" s="712">
        <f t="shared" si="889"/>
        <v>-198.72919818513014</v>
      </c>
      <c r="DI299" s="712">
        <f>Sheet1!DW299*AFtoMG</f>
        <v>0</v>
      </c>
      <c r="DJ299" s="712">
        <f>Sheet1!DX299*AFtoMG</f>
        <v>0</v>
      </c>
      <c r="DK299" s="712">
        <f>Sheet1!DY299*AFtoMG</f>
        <v>0</v>
      </c>
      <c r="DL299" s="712">
        <f>Sheet1!DZ299*AFtoMG</f>
        <v>0</v>
      </c>
      <c r="DM299" s="712">
        <f t="shared" si="890"/>
        <v>0</v>
      </c>
      <c r="DN299" s="712">
        <f t="shared" si="891"/>
        <v>0</v>
      </c>
      <c r="DO299" s="712">
        <f t="shared" si="892"/>
        <v>653.0679756904326</v>
      </c>
      <c r="DP299" s="712">
        <f t="shared" si="893"/>
        <v>2003.6125494182472</v>
      </c>
      <c r="DQ299" s="712"/>
      <c r="DR299" s="697">
        <f>IF(OR(B299&lt;FL299,B299&gt;FM299),(MIN(AV299+BO299+CJ299+MAX(Sheet1!AA299+AG299-73,0),K299)),0)</f>
        <v>0</v>
      </c>
      <c r="DS299" s="712"/>
      <c r="DT299" s="712">
        <f t="shared" si="894"/>
        <v>10.100000000000685</v>
      </c>
      <c r="DU299" s="712"/>
      <c r="DV299" s="712">
        <f>Sheet1!ED299+Sheet1!EE299+Sheet1!EF299+Sheet1!EG299</f>
        <v>10</v>
      </c>
      <c r="DW299" s="712"/>
      <c r="DX299" s="697">
        <f t="shared" si="895"/>
        <v>0</v>
      </c>
      <c r="DY299" s="712">
        <f>IF(Sheet1!FN299=1,SUM('Calculations II'!AT299:BA299)+'Calculations II'!BC299+Sheet1!BU299+'Calculations II'!BE299+AF299,SUM('Calculations II'!AT299:BA299)+'Calculations II'!BC299+Sheet1!BU299+'Calculations II'!BE299+AF299)</f>
        <v>45.384112000000002</v>
      </c>
      <c r="DZ299" s="712">
        <f>Sheet1!AA299+Sheet1!AB299+'Calculations II'!BC299</f>
        <v>53.139999999992142</v>
      </c>
      <c r="EA299" s="712"/>
      <c r="EB299" s="712"/>
      <c r="EC299" s="712">
        <f t="shared" si="896"/>
        <v>40828</v>
      </c>
      <c r="ED299" s="712">
        <f t="shared" si="897"/>
        <v>-10.100000000000685</v>
      </c>
      <c r="EE299" s="712">
        <f t="shared" si="898"/>
        <v>-15.624700000001059</v>
      </c>
      <c r="EF299" s="712">
        <f ca="1">IF(B299=TODAY(),0,-(VLOOKUP(Sheet1!BQ299,Lookup!$B$4:$J$236,2)-VLOOKUP(Sheet1!BQ298,Lookup!$B$4:$J$236,2))/1000000)</f>
        <v>2.6642000000000001</v>
      </c>
      <c r="EG299" s="712">
        <f ca="1">IF(B299=TODAY(),0,-(VLOOKUP(Sheet1!BR299,Lookup!$B$4:$J$236,3)-VLOOKUP(Sheet1!BR298,Lookup!$B$4:$J$236,3))/1000000)</f>
        <v>2.1299000000000001</v>
      </c>
      <c r="EH299" s="712">
        <f>-(VLOOKUP(Sheet1!BS299,Lookup!$B$4:$J$236,4)-VLOOKUP(Sheet1!BS298,Lookup!$B$4:$J$236,4))/1000000</f>
        <v>0</v>
      </c>
      <c r="EI299" s="697">
        <f t="shared" ca="1" si="819"/>
        <v>4.7941000000000003</v>
      </c>
      <c r="EJ299" s="712"/>
      <c r="EK299" s="712"/>
      <c r="EL299" s="712"/>
      <c r="EM299" s="712"/>
      <c r="EN299" s="712"/>
      <c r="EO299" s="712"/>
      <c r="EP299" s="712"/>
      <c r="EQ299" s="712"/>
      <c r="ER299" s="697">
        <f t="shared" si="833"/>
        <v>514.29190200920596</v>
      </c>
      <c r="ES299" s="712">
        <f t="shared" si="834"/>
        <v>188.50910622760844</v>
      </c>
      <c r="ET299" s="794">
        <f t="shared" si="818"/>
        <v>1118.3</v>
      </c>
      <c r="EU299" s="794" t="e">
        <f t="shared" si="838"/>
        <v>#N/A</v>
      </c>
      <c r="EV299" s="795" t="e">
        <f t="shared" si="836"/>
        <v>#N/A</v>
      </c>
      <c r="EW299" s="796" t="s">
        <v>757</v>
      </c>
      <c r="EX299" s="796" t="s">
        <v>757</v>
      </c>
      <c r="EY299" s="794" t="e">
        <v>#N/A</v>
      </c>
      <c r="EZ299" s="798">
        <v>12283.000000025391</v>
      </c>
      <c r="FA299" s="712"/>
      <c r="FB299" s="712"/>
      <c r="FC299" s="712"/>
      <c r="FD299" s="712"/>
      <c r="FE299" s="712">
        <f>O299+Sheet1!CO299</f>
        <v>53.139999999992142</v>
      </c>
      <c r="FF299" s="712">
        <f>IF(Sheet1!AA299+AG299&lt;=Calculation!N299,AG299,Calculation!N299-Sheet1!AA299)</f>
        <v>11.300000000000768</v>
      </c>
      <c r="FG299" s="712">
        <f>(Sheet1!BP299+Sheet1!BO299)/694.4</f>
        <v>1.9362039170506913</v>
      </c>
      <c r="FH299" s="712"/>
      <c r="FI299" s="712"/>
      <c r="FJ299" s="712"/>
      <c r="FK299" s="712"/>
      <c r="FL299" s="714">
        <f t="shared" si="827"/>
        <v>40753</v>
      </c>
      <c r="FM299" s="714">
        <f t="shared" si="828"/>
        <v>40851</v>
      </c>
      <c r="FN299" s="712"/>
      <c r="FO299" s="712"/>
      <c r="FP299" s="712"/>
      <c r="FQ299" s="712"/>
      <c r="FR299" s="712"/>
      <c r="FS299" s="725">
        <f t="shared" si="918"/>
        <v>40603</v>
      </c>
      <c r="FT299" s="714">
        <f t="shared" si="830"/>
        <v>40709</v>
      </c>
      <c r="FU299" s="712">
        <f t="shared" si="918"/>
        <v>6518.9048239895692</v>
      </c>
      <c r="FV299" s="714">
        <f t="shared" si="831"/>
        <v>40722</v>
      </c>
      <c r="FW299" s="712">
        <f t="shared" si="918"/>
        <v>3259.4524119947846</v>
      </c>
      <c r="FX299" s="725">
        <f t="shared" si="918"/>
        <v>40851</v>
      </c>
      <c r="FZ299" s="697">
        <f t="shared" si="824"/>
        <v>0</v>
      </c>
      <c r="GA299" s="712" t="str">
        <f t="shared" si="899"/>
        <v/>
      </c>
      <c r="GB299" s="712">
        <f t="shared" si="900"/>
        <v>0</v>
      </c>
      <c r="GC299" s="712" t="str">
        <f t="shared" si="901"/>
        <v/>
      </c>
      <c r="GD299" s="712">
        <f>IF(GA299="P",Lookup!$M$12,IF(GA299="PP",Lookup!$M$13,IF(GA299="PPP",Lookup!$M$14,IF(GA299="T",Lookup!$M$15,IF(GA299="TP",Lookup!$M$16,IF(GA299="TPP",Lookup!$M$17,IF(GA299="TPPP",Lookup!$M$18,0)))))))*FZ299</f>
        <v>0</v>
      </c>
      <c r="GE299" s="712">
        <f t="shared" si="902"/>
        <v>0</v>
      </c>
      <c r="GF299" s="712">
        <f t="shared" si="903"/>
        <v>632.07295466666619</v>
      </c>
      <c r="GG299" s="712">
        <f t="shared" si="904"/>
        <v>206.02117166449352</v>
      </c>
      <c r="GH299" s="712"/>
      <c r="GI299" s="712">
        <f t="shared" si="905"/>
        <v>0</v>
      </c>
      <c r="GJ299" s="712" t="str">
        <f t="shared" si="906"/>
        <v/>
      </c>
      <c r="GK299" s="712">
        <f>IF(GA299="P",Lookup!$N$12,IF(GA299="PP",Lookup!$N$13,IF(GA299="PPP",Lookup!$N$14,IF(GA299="T",Lookup!$N$15,IF(GA299="TP",Lookup!$N$16,IF(GA299="TPP",Lookup!$N$17,IF(GA299="TPPP",Lookup!$N$18,0)))))))*FZ299</f>
        <v>0</v>
      </c>
      <c r="GL299" s="712">
        <f t="shared" si="907"/>
        <v>0</v>
      </c>
      <c r="GM299" s="712">
        <f t="shared" si="908"/>
        <v>237.13707870093717</v>
      </c>
      <c r="GN299" s="712">
        <f t="shared" si="909"/>
        <v>77.293702314516679</v>
      </c>
      <c r="GO299" s="712"/>
      <c r="GP299" s="712">
        <f t="shared" si="910"/>
        <v>0</v>
      </c>
      <c r="GQ299" s="712" t="str">
        <f t="shared" si="911"/>
        <v/>
      </c>
      <c r="GR299" s="712">
        <f>IF(GA299="P",Lookup!$N$12,IF(GA299="PP",Lookup!$N$13,IF(GA299="PPP",Lookup!$N$14,IF(GA299="T",Lookup!$N$15,IF(GA299="TP",Lookup!$N$16,IF(GA299="TPP",Lookup!$N$17,IF(GA299="TPPP",Lookup!$N$18,0)))))))*FZ299</f>
        <v>0</v>
      </c>
      <c r="GS299" s="697">
        <f t="shared" si="825"/>
        <v>0</v>
      </c>
      <c r="GT299" s="712">
        <f t="shared" si="912"/>
        <v>375.91815258755793</v>
      </c>
      <c r="GU299" s="712">
        <f t="shared" si="913"/>
        <v>122.52873291641392</v>
      </c>
      <c r="GV299" s="712"/>
      <c r="GW299" s="712">
        <f t="shared" si="914"/>
        <v>0</v>
      </c>
      <c r="GX299" s="712" t="str">
        <f t="shared" si="915"/>
        <v/>
      </c>
      <c r="GY299" s="712">
        <f>IF(GA299="P",Lookup!$N$12,IF(GA299="PP",Lookup!$N$13,IF(GA299="PPP",Lookup!$N$14,IF(GA299="T",Lookup!$N$15,IF(GA299="TP",Lookup!$N$16,IF(GA299="TPP",Lookup!$N$17,IF(GA299="TPPP",Lookup!$N$18,0)))))))*FZ299</f>
        <v>0</v>
      </c>
      <c r="GZ299" s="697">
        <f t="shared" si="826"/>
        <v>0</v>
      </c>
      <c r="HA299" s="712">
        <f t="shared" si="916"/>
        <v>758.48436346308597</v>
      </c>
      <c r="HB299" s="712">
        <f t="shared" si="917"/>
        <v>247.22436879500844</v>
      </c>
      <c r="HC299" s="712"/>
    </row>
    <row r="300" spans="1:211">
      <c r="A300" s="773" t="s">
        <v>7</v>
      </c>
      <c r="B300" s="708">
        <v>40829</v>
      </c>
      <c r="C300" s="719">
        <v>0.5</v>
      </c>
      <c r="D300" s="675">
        <f t="shared" si="840"/>
        <v>300</v>
      </c>
      <c r="E300" s="675">
        <f t="shared" si="841"/>
        <v>250</v>
      </c>
      <c r="F300" s="675">
        <v>250</v>
      </c>
      <c r="G300" s="712">
        <f>DH300+Sheet1!CV300</f>
        <v>463.91244326671011</v>
      </c>
      <c r="H300" s="712">
        <f t="shared" si="842"/>
        <v>32.909803327601416</v>
      </c>
      <c r="I300" s="711">
        <f>MAX(Sheet1!Z300-AJ300+(Sheet1!CW300-E300)*CFStoMGD,0)</f>
        <v>482.98435334143551</v>
      </c>
      <c r="J300" s="720">
        <f>IF(AND(B300&gt;=Calculation!FS300,B300&lt;=Calculation!FT300),IF(Sheet1!CX300&gt;=Calculation!D300,64.64,0),MAX(Sheet1!Z300-AJ300+(Sheet1!CX300-D300)*CFStoMGD,0))</f>
        <v>297.31268667476883</v>
      </c>
      <c r="K300" s="697">
        <f t="shared" si="843"/>
        <v>32.909803327601416</v>
      </c>
      <c r="L300" s="712">
        <f>Sheet1!AA300+Sheet1!AB300-Sheet1!L300+(Sheet1!CW300-F300)*CFStoMGD</f>
        <v>529.52026666667132</v>
      </c>
      <c r="M300" s="712">
        <f t="shared" si="844"/>
        <v>305.87046339415343</v>
      </c>
      <c r="N300" s="712">
        <f>IF(Sheet1!CW300&gt;=F300,MIN(73,MIN(MAX(L300,0),MAX(M300,0))),0)</f>
        <v>73</v>
      </c>
      <c r="O300" s="721">
        <f>Sheet1!AA300+Sheet1!AB300</f>
        <v>55.130000000004657</v>
      </c>
      <c r="P300" s="721">
        <f t="shared" si="845"/>
        <v>85.286110000007199</v>
      </c>
      <c r="Q300" s="712">
        <f>MIN(N300,Sheet1!AA300+AG300)</f>
        <v>45.035913325238738</v>
      </c>
      <c r="R300" s="712">
        <f t="shared" si="846"/>
        <v>10</v>
      </c>
      <c r="S300" s="721">
        <f>Sheet1!Y300*MGDtoCFS</f>
        <v>47.291789999999999</v>
      </c>
      <c r="T300" s="721">
        <f>Sheet1!Z300*MGDtoCFS</f>
        <v>35.8904</v>
      </c>
      <c r="U300" s="721">
        <f>Sheet1!AA300*MGDtoCFS</f>
        <v>47.075210000011701</v>
      </c>
      <c r="V300" s="721">
        <f>Sheet1!AB300*MGDtoCFS</f>
        <v>38.210899999995497</v>
      </c>
      <c r="W300" s="721">
        <f>Sheet1!L300*MGDtoCFS</f>
        <v>0</v>
      </c>
      <c r="X300" s="697">
        <f t="shared" si="847"/>
        <v>10.094086674765922</v>
      </c>
      <c r="Y300" s="712">
        <f t="shared" si="848"/>
        <v>15.61555208586288</v>
      </c>
      <c r="Z300" s="712">
        <f t="shared" si="849"/>
        <v>0</v>
      </c>
      <c r="AA300" s="712">
        <f t="shared" si="850"/>
        <v>0</v>
      </c>
      <c r="AB300" s="712">
        <f>(VLOOKUP(Sheet1!CY300,hhdcap_wcm,4)-(((VLOOKUP(Sheet1!CY300,hhdcap_wcm,3)-Sheet1!CY300)/(VLOOKUP(Sheet1!CY300,hhdcap_wcm,3)-VLOOKUP(Sheet1!CY300,hhdcap_wcm,1)))*(VLOOKUP(Sheet1!CY300,hhdcap_wcm,4)-VLOOKUP(Sheet1!CY300,hhdcap_wcm,2))))</f>
        <v>13955.170000028991</v>
      </c>
      <c r="AC300" s="712">
        <f t="shared" si="851"/>
        <v>-660.43000000211396</v>
      </c>
      <c r="AD300" s="712">
        <f t="shared" si="852"/>
        <v>642.9738890156666</v>
      </c>
      <c r="AE300" s="712">
        <f t="shared" si="853"/>
        <v>1972.6438915000651</v>
      </c>
      <c r="AF300" s="712">
        <f>Sheet1!BA300+Sheet1!BB300+Sheet1!BN300+BT300</f>
        <v>14.6</v>
      </c>
      <c r="AG300" s="712">
        <f t="shared" si="854"/>
        <v>14.605913325231167</v>
      </c>
      <c r="AH300" s="712">
        <f>Sheet1!BA300+BT300</f>
        <v>0</v>
      </c>
      <c r="AI300" s="712">
        <f>Sheet1!BA300+Sheet1!BB300+BT300</f>
        <v>0</v>
      </c>
      <c r="AJ300" s="712">
        <f>IF((Sheet1!AA300+AG300+AX300+AZ300+BQ300+BS300+CL300+CN300)&lt;=N300,AG300+AX300+AZ300+BQ300+BS300+CL300+CN300,N300-Sheet1!AA300)</f>
        <v>14.605913325231167</v>
      </c>
      <c r="AK300" s="712">
        <f>IF(DR300&lt;K300,0,MAX(Sheet1!AA300+AG300-15/36*K300-N300,Sheet1!ED300,0))</f>
        <v>0</v>
      </c>
      <c r="AL300" s="712">
        <f>IF(OR(B300&gt;=FT300,B300&lt;FS300),0,15/36*K300-MAX(0,64.6-(137.6-(Sheet1!AA300+Sheet1!AB300))))</f>
        <v>0</v>
      </c>
      <c r="AM300" s="712">
        <f>Sheet1!CX300-110</f>
        <v>636.65625</v>
      </c>
      <c r="AN300" s="712">
        <f>Sheet1!CW300-265</f>
        <v>718.89583333333337</v>
      </c>
      <c r="AO300" s="712">
        <f t="shared" si="835"/>
        <v>27.964086674761262</v>
      </c>
      <c r="AP300" s="712">
        <f t="shared" si="855"/>
        <v>0</v>
      </c>
      <c r="AQ300" s="712">
        <f t="shared" si="856"/>
        <v>0</v>
      </c>
      <c r="AR300" s="712">
        <f t="shared" si="857"/>
        <v>206.02117166449352</v>
      </c>
      <c r="AS300" s="712"/>
      <c r="AT300" s="712">
        <f ca="1">IF(B300&gt;Summary!$A$1,#N/A,AR300*MGtoAF)</f>
        <v>632.07295466666619</v>
      </c>
      <c r="AU300" s="712">
        <f>Sheet1!BG300+Sheet1!BH300+Sheet1!BI300-BC300</f>
        <v>1.04</v>
      </c>
      <c r="AV300" s="712">
        <f t="shared" si="858"/>
        <v>1.0404212231671517</v>
      </c>
      <c r="AW300" s="712">
        <f>IF(Sheet1!EL300="FM",BC300,0)</f>
        <v>0</v>
      </c>
      <c r="AX300" s="712">
        <f t="shared" si="859"/>
        <v>0</v>
      </c>
      <c r="AY300" s="712">
        <f>IF(Sheet1!EL300="OTHER",BC300,0)</f>
        <v>0</v>
      </c>
      <c r="AZ300" s="712">
        <f t="shared" si="860"/>
        <v>0</v>
      </c>
      <c r="BA300" s="712">
        <f t="shared" si="861"/>
        <v>1.04</v>
      </c>
      <c r="BB300" s="712">
        <f t="shared" si="862"/>
        <v>1.0404212231671517</v>
      </c>
      <c r="BC300" s="712">
        <f>IF(OR(Sheet1!EL300="FM", Sheet1!EL300="OTHER"),SUM(Sheet1!BG300:'Sheet1'!BI300),0)</f>
        <v>0</v>
      </c>
      <c r="BD300" s="697">
        <f>IF(AND($B300&gt;=$FL300,$B300&lt;=$FM300),MAX(AV300,Sheet1!EE300,0),MAX(AV300-(7/36)*$K300,0))</f>
        <v>1.0404212231671517</v>
      </c>
      <c r="BE300" s="712">
        <f t="shared" si="863"/>
        <v>0</v>
      </c>
      <c r="BF300" s="697">
        <f t="shared" si="864"/>
        <v>0</v>
      </c>
      <c r="BG300" s="697">
        <f>IF(AND($O300&gt;0,Sheet1!EI300=1),(1-($O300-Sheet1!$L300)/$O300)*BB300,0)</f>
        <v>0</v>
      </c>
      <c r="BH300" s="697">
        <f>IF(AND(Sheet1!$L300=0,Sheet1!$L299=0, Calculation!BA300&lt;Sheet1!$EE300-0.1,Sheet1!$EE300=Sheet1!$EE299,Sheet1!$EE300=Sheet1!$EE301),Sheet1!$EE300,BB300-BG300)</f>
        <v>1.0404212231671517</v>
      </c>
      <c r="BI300" s="712"/>
      <c r="BJ300" s="712"/>
      <c r="BK300" s="712">
        <f t="shared" si="865"/>
        <v>76.253281091349521</v>
      </c>
      <c r="BL300" s="712"/>
      <c r="BM300" s="712">
        <f ca="1">IF(B300&gt;Summary!$A$1,#N/A,BK300*MGtoAF)</f>
        <v>233.94506638826033</v>
      </c>
      <c r="BN300" s="712">
        <f>Sheet1!BC300+Sheet1!BD300+Sheet1!BE300+Sheet1!BF300-BW300-BX300</f>
        <v>2.5499999999999998</v>
      </c>
      <c r="BO300" s="712">
        <f t="shared" si="866"/>
        <v>2.5510328068040735</v>
      </c>
      <c r="BP300" s="712">
        <f>IF(Sheet1!EM300="FM",BX300,0)</f>
        <v>0</v>
      </c>
      <c r="BQ300" s="712">
        <f t="shared" si="867"/>
        <v>0</v>
      </c>
      <c r="BR300" s="712">
        <f>IF(Sheet1!EM300="OTHER",BX300,0)</f>
        <v>0</v>
      </c>
      <c r="BS300" s="712">
        <f t="shared" si="868"/>
        <v>0</v>
      </c>
      <c r="BT300" s="712">
        <f t="shared" si="869"/>
        <v>0</v>
      </c>
      <c r="BU300" s="712">
        <f t="shared" si="870"/>
        <v>2.5499999999999998</v>
      </c>
      <c r="BV300" s="712">
        <f t="shared" si="871"/>
        <v>2.5510328068040735</v>
      </c>
      <c r="BW300" s="712">
        <f>IF(Sheet1!EM300="CWA",SUM(Sheet1!BC300:'Sheet1'!BF300),0)</f>
        <v>0</v>
      </c>
      <c r="BX300" s="712">
        <f>IF(OR(Sheet1!EM300="FM", Sheet1!EM300="OTHER"),SUM(Sheet1!BC300:'Sheet1'!BF300),0)</f>
        <v>0</v>
      </c>
      <c r="BY300" s="697">
        <f>IF(AND($B300&gt;=$FL300,$B300&lt;=$FM300),MAX(BV300,Sheet1!EF300,0),MAX(BV300-(7/36)*$K300,0))</f>
        <v>2.5510328068040735</v>
      </c>
      <c r="BZ300" s="712">
        <f t="shared" si="872"/>
        <v>0</v>
      </c>
      <c r="CA300" s="697">
        <f t="shared" si="873"/>
        <v>0</v>
      </c>
      <c r="CB300" s="697">
        <f>IF(AND($O300&gt;0,Sheet1!EJ300=1),(1-($O300-Sheet1!$L300)/$O300)*BV300,0)</f>
        <v>0</v>
      </c>
      <c r="CC300" s="697">
        <f>IF(AND(Sheet1!$L300=0,Sheet1!$L299=0, Calculation!BU300&lt;Sheet1!EF300-0.1,Sheet1!EF300=Sheet1!EF299,Sheet1!EF300=Sheet1!EF301),Sheet1!EF300,BV300-CB300)</f>
        <v>2.5510328068040735</v>
      </c>
      <c r="CD300" s="697"/>
      <c r="CE300" s="712"/>
      <c r="CF300" s="712">
        <f t="shared" si="874"/>
        <v>119.97770010960984</v>
      </c>
      <c r="CG300" s="712"/>
      <c r="CH300" s="712">
        <f ca="1">IF(B300&gt;Summary!$A$1,#N/A,CF300*MGtoAF)</f>
        <v>368.09158393628303</v>
      </c>
      <c r="CI300" s="712">
        <f>Sheet1!BK300+Sheet1!BL300+Sheet1!BM300-Sheet1!EN300-CQ300</f>
        <v>6.5</v>
      </c>
      <c r="CJ300" s="712">
        <f t="shared" si="875"/>
        <v>6.5026326447946978</v>
      </c>
      <c r="CK300" s="712">
        <f>IF(Sheet1!EN300="FM",CQ300,0)</f>
        <v>0</v>
      </c>
      <c r="CL300" s="712">
        <f t="shared" si="876"/>
        <v>0</v>
      </c>
      <c r="CM300" s="712">
        <f>IF(Sheet1!EN300="OTHER",CQ300,0)</f>
        <v>0</v>
      </c>
      <c r="CN300" s="712">
        <f t="shared" si="877"/>
        <v>0</v>
      </c>
      <c r="CO300" s="712">
        <f t="shared" si="878"/>
        <v>6.5</v>
      </c>
      <c r="CP300" s="712">
        <f t="shared" si="879"/>
        <v>6.5026326447946978</v>
      </c>
      <c r="CQ300" s="712">
        <f>IF(OR(Sheet1!EN300="FM", Sheet1!EN300="OTHER"),SUM(Sheet1!BK300:'Sheet1'!BM300),0)</f>
        <v>0</v>
      </c>
      <c r="CR300" s="697">
        <f>IF(AND($B300&gt;=$FL300,$B300&lt;=$FM300),MAX($CJ300,Sheet1!EG300,0),MAX($CJ300-(7/36)*$K300,0))</f>
        <v>6.5026326447946978</v>
      </c>
      <c r="CS300" s="712">
        <f t="shared" si="880"/>
        <v>0</v>
      </c>
      <c r="CT300" s="697">
        <f t="shared" si="881"/>
        <v>0</v>
      </c>
      <c r="CU300" s="697">
        <f>IF(AND($O300&gt;0,Sheet1!EK300=1),(1-($O300-Sheet1!$L300)/$O300)*CP300,0)</f>
        <v>0</v>
      </c>
      <c r="CV300" s="697">
        <f>IF(AND(Sheet1!$L300=0,Sheet1!$L299=0, Calculation!CO300&lt;Sheet1!$EG300-0.1,Sheet1!$EG300=Sheet1!$EG299,Sheet1!$EG300=Sheet1!$EG301),Sheet1!$EG300,CP300-CU300)</f>
        <v>6.5026326447946978</v>
      </c>
      <c r="CW300" s="697">
        <f t="shared" si="837"/>
        <v>0</v>
      </c>
      <c r="CX300" s="712">
        <f t="shared" si="882"/>
        <v>10.09</v>
      </c>
      <c r="CY300" s="712">
        <f t="shared" si="883"/>
        <v>240.72173615021376</v>
      </c>
      <c r="CZ300" s="712">
        <f t="shared" si="884"/>
        <v>10.094086674765922</v>
      </c>
      <c r="DA300" s="712">
        <f ca="1">IF(B300&gt;Summary!$A$1,#N/A,CY300*MGtoAF)</f>
        <v>738.53428650885587</v>
      </c>
      <c r="DB300" s="712">
        <f t="shared" si="885"/>
        <v>10.09</v>
      </c>
      <c r="DC300" s="712">
        <f t="shared" si="886"/>
        <v>24.689999999999998</v>
      </c>
      <c r="DD300" s="712">
        <f>Sheet1!AB300-DC300</f>
        <v>9.9999999970918907E-3</v>
      </c>
      <c r="DE300" s="712">
        <f t="shared" si="887"/>
        <v>4.050222761074075E-4</v>
      </c>
      <c r="DF300" s="712">
        <f>(VLOOKUP(Sheet1!CY300,hhdcap_wcm,4)-(((VLOOKUP(Sheet1!CY300,hhdcap_wcm,3)-Sheet1!CY300)/(VLOOKUP(Sheet1!CY300,hhdcap_wcm,3)-VLOOKUP(Sheet1!CY300,hhdcap_wcm,1)))*(VLOOKUP(Sheet1!CY300,hhdcap_wcm,4)-VLOOKUP(Sheet1!CY300,hhdcap_wcm,2))))</f>
        <v>13955.170000028991</v>
      </c>
      <c r="DG300" s="712">
        <f t="shared" si="888"/>
        <v>-660.43000000211396</v>
      </c>
      <c r="DH300" s="712">
        <f t="shared" si="889"/>
        <v>-333.04589006662326</v>
      </c>
      <c r="DI300" s="712">
        <f>Sheet1!DW300*AFtoMG</f>
        <v>0</v>
      </c>
      <c r="DJ300" s="712">
        <f>Sheet1!DX300*AFtoMG</f>
        <v>0</v>
      </c>
      <c r="DK300" s="712">
        <f>Sheet1!DY300*AFtoMG</f>
        <v>0</v>
      </c>
      <c r="DL300" s="712">
        <f>Sheet1!DZ300*AFtoMG</f>
        <v>0</v>
      </c>
      <c r="DM300" s="712">
        <f t="shared" si="890"/>
        <v>0</v>
      </c>
      <c r="DN300" s="712">
        <f t="shared" si="891"/>
        <v>0</v>
      </c>
      <c r="DO300" s="712">
        <f t="shared" si="892"/>
        <v>642.9738890156666</v>
      </c>
      <c r="DP300" s="712">
        <f t="shared" si="893"/>
        <v>1972.6438915000651</v>
      </c>
      <c r="DQ300" s="712"/>
      <c r="DR300" s="697">
        <f>IF(OR(B300&lt;FL300,B300&gt;FM300),(MIN(AV300+BO300+CJ300+MAX(Sheet1!AA300+AG300-73,0),K300)),0)</f>
        <v>0</v>
      </c>
      <c r="DS300" s="712"/>
      <c r="DT300" s="712">
        <f t="shared" si="894"/>
        <v>10.094086674765922</v>
      </c>
      <c r="DU300" s="712"/>
      <c r="DV300" s="712">
        <f>Sheet1!ED300+Sheet1!EE300+Sheet1!EF300+Sheet1!EG300</f>
        <v>10</v>
      </c>
      <c r="DW300" s="712"/>
      <c r="DX300" s="697">
        <f t="shared" si="895"/>
        <v>0</v>
      </c>
      <c r="DY300" s="712">
        <f>IF(Sheet1!FN300=1,SUM('Calculations II'!AT300:BA300)+'Calculations II'!BC300+Sheet1!BU300+'Calculations II'!BE300+AF300,SUM('Calculations II'!AT300:BA300)+'Calculations II'!BC300+Sheet1!BU300+'Calculations II'!BE300+AF300)</f>
        <v>43.868143999999994</v>
      </c>
      <c r="DZ300" s="712">
        <f>Sheet1!AA300+Sheet1!AB300+'Calculations II'!BC300</f>
        <v>55.130000000004657</v>
      </c>
      <c r="EA300" s="712"/>
      <c r="EB300" s="712"/>
      <c r="EC300" s="712">
        <f t="shared" si="896"/>
        <v>40829</v>
      </c>
      <c r="ED300" s="712">
        <f t="shared" si="897"/>
        <v>-10.094086674765922</v>
      </c>
      <c r="EE300" s="712">
        <f t="shared" si="898"/>
        <v>-15.61555208586288</v>
      </c>
      <c r="EF300" s="712">
        <f ca="1">IF(B300=TODAY(),0,-(VLOOKUP(Sheet1!BQ300,Lookup!$B$4:$J$236,2)-VLOOKUP(Sheet1!BQ299,Lookup!$B$4:$J$236,2))/1000000)</f>
        <v>0.52739999999999998</v>
      </c>
      <c r="EG300" s="712">
        <f ca="1">IF(B300=TODAY(),0,-(VLOOKUP(Sheet1!BR300,Lookup!$B$4:$J$236,3)-VLOOKUP(Sheet1!BR299,Lookup!$B$4:$J$236,3))/1000000)</f>
        <v>0.52659999999999996</v>
      </c>
      <c r="EH300" s="712">
        <f>-(VLOOKUP(Sheet1!BS300,Lookup!$B$4:$J$236,4)-VLOOKUP(Sheet1!BS299,Lookup!$B$4:$J$236,4))/1000000</f>
        <v>0</v>
      </c>
      <c r="EI300" s="697">
        <f t="shared" ca="1" si="819"/>
        <v>1.0539999999999998</v>
      </c>
      <c r="EJ300" s="712"/>
      <c r="EK300" s="712"/>
      <c r="EL300" s="712"/>
      <c r="EM300" s="712"/>
      <c r="EN300" s="712"/>
      <c r="EO300" s="712"/>
      <c r="EP300" s="712"/>
      <c r="EQ300" s="712"/>
      <c r="ER300" s="697">
        <f t="shared" si="833"/>
        <v>165.74636821953476</v>
      </c>
      <c r="ES300" s="712">
        <f t="shared" si="834"/>
        <v>348.5455337896712</v>
      </c>
      <c r="ET300" s="794">
        <f t="shared" si="818"/>
        <v>1118</v>
      </c>
      <c r="EU300" s="794" t="e">
        <f t="shared" si="838"/>
        <v>#N/A</v>
      </c>
      <c r="EV300" s="795" t="e">
        <f t="shared" si="836"/>
        <v>#N/A</v>
      </c>
      <c r="EW300" s="796" t="s">
        <v>757</v>
      </c>
      <c r="EX300" s="796" t="s">
        <v>757</v>
      </c>
      <c r="EY300" s="794" t="e">
        <v>#N/A</v>
      </c>
      <c r="EZ300" s="798">
        <v>12159.400000024638</v>
      </c>
      <c r="FA300" s="712"/>
      <c r="FB300" s="712"/>
      <c r="FC300" s="712"/>
      <c r="FD300" s="712"/>
      <c r="FE300" s="712">
        <f>O300+Sheet1!CO300</f>
        <v>55.130000000004657</v>
      </c>
      <c r="FF300" s="712">
        <f>IF(Sheet1!AA300+AG300&lt;=Calculation!N300,AG300,Calculation!N300-Sheet1!AA300)</f>
        <v>14.605913325231167</v>
      </c>
      <c r="FG300" s="712">
        <f>(Sheet1!BP300+Sheet1!BO300)/694.4</f>
        <v>1.9320276497695852</v>
      </c>
      <c r="FH300" s="712"/>
      <c r="FI300" s="712"/>
      <c r="FJ300" s="712"/>
      <c r="FK300" s="712"/>
      <c r="FL300" s="714">
        <f t="shared" si="827"/>
        <v>40753</v>
      </c>
      <c r="FM300" s="714">
        <f t="shared" si="828"/>
        <v>40851</v>
      </c>
      <c r="FN300" s="712"/>
      <c r="FO300" s="712"/>
      <c r="FP300" s="712"/>
      <c r="FQ300" s="712"/>
      <c r="FR300" s="712"/>
      <c r="FS300" s="725">
        <f t="shared" si="918"/>
        <v>40603</v>
      </c>
      <c r="FT300" s="714">
        <f t="shared" si="830"/>
        <v>40709</v>
      </c>
      <c r="FU300" s="712">
        <f t="shared" si="918"/>
        <v>6518.9048239895692</v>
      </c>
      <c r="FV300" s="714">
        <f t="shared" si="831"/>
        <v>40722</v>
      </c>
      <c r="FW300" s="712">
        <f t="shared" si="918"/>
        <v>3259.4524119947846</v>
      </c>
      <c r="FX300" s="725">
        <f t="shared" si="918"/>
        <v>40851</v>
      </c>
      <c r="FZ300" s="697">
        <f t="shared" si="824"/>
        <v>0</v>
      </c>
      <c r="GA300" s="712" t="str">
        <f t="shared" si="899"/>
        <v/>
      </c>
      <c r="GB300" s="712">
        <f t="shared" si="900"/>
        <v>0</v>
      </c>
      <c r="GC300" s="712" t="str">
        <f t="shared" si="901"/>
        <v/>
      </c>
      <c r="GD300" s="712">
        <f>IF(GA300="P",Lookup!$M$12,IF(GA300="PP",Lookup!$M$13,IF(GA300="PPP",Lookup!$M$14,IF(GA300="T",Lookup!$M$15,IF(GA300="TP",Lookup!$M$16,IF(GA300="TPP",Lookup!$M$17,IF(GA300="TPPP",Lookup!$M$18,0)))))))*FZ300</f>
        <v>0</v>
      </c>
      <c r="GE300" s="712">
        <f t="shared" si="902"/>
        <v>0</v>
      </c>
      <c r="GF300" s="712">
        <f t="shared" si="903"/>
        <v>632.07295466666619</v>
      </c>
      <c r="GG300" s="712">
        <f t="shared" si="904"/>
        <v>206.02117166449352</v>
      </c>
      <c r="GH300" s="712"/>
      <c r="GI300" s="712">
        <f t="shared" si="905"/>
        <v>0</v>
      </c>
      <c r="GJ300" s="712" t="str">
        <f t="shared" si="906"/>
        <v/>
      </c>
      <c r="GK300" s="712">
        <f>IF(GA300="P",Lookup!$N$12,IF(GA300="PP",Lookup!$N$13,IF(GA300="PPP",Lookup!$N$14,IF(GA300="T",Lookup!$N$15,IF(GA300="TP",Lookup!$N$16,IF(GA300="TPP",Lookup!$N$17,IF(GA300="TPPP",Lookup!$N$18,0)))))))*FZ300</f>
        <v>0</v>
      </c>
      <c r="GL300" s="712">
        <f t="shared" si="907"/>
        <v>0</v>
      </c>
      <c r="GM300" s="712">
        <f t="shared" si="908"/>
        <v>233.94506638826033</v>
      </c>
      <c r="GN300" s="712">
        <f t="shared" si="909"/>
        <v>76.253281091349521</v>
      </c>
      <c r="GO300" s="712"/>
      <c r="GP300" s="712">
        <f t="shared" si="910"/>
        <v>0</v>
      </c>
      <c r="GQ300" s="712" t="str">
        <f t="shared" si="911"/>
        <v/>
      </c>
      <c r="GR300" s="712">
        <f>IF(GA300="P",Lookup!$N$12,IF(GA300="PP",Lookup!$N$13,IF(GA300="PPP",Lookup!$N$14,IF(GA300="T",Lookup!$N$15,IF(GA300="TP",Lookup!$N$16,IF(GA300="TPP",Lookup!$N$17,IF(GA300="TPPP",Lookup!$N$18,0)))))))*FZ300</f>
        <v>0</v>
      </c>
      <c r="GS300" s="697">
        <f t="shared" si="825"/>
        <v>0</v>
      </c>
      <c r="GT300" s="712">
        <f t="shared" si="912"/>
        <v>368.09158393628303</v>
      </c>
      <c r="GU300" s="712">
        <f t="shared" si="913"/>
        <v>119.97770010960984</v>
      </c>
      <c r="GV300" s="712"/>
      <c r="GW300" s="712">
        <f t="shared" si="914"/>
        <v>0</v>
      </c>
      <c r="GX300" s="712" t="str">
        <f t="shared" si="915"/>
        <v/>
      </c>
      <c r="GY300" s="712">
        <f>IF(GA300="P",Lookup!$N$12,IF(GA300="PP",Lookup!$N$13,IF(GA300="PPP",Lookup!$N$14,IF(GA300="T",Lookup!$N$15,IF(GA300="TP",Lookup!$N$16,IF(GA300="TPP",Lookup!$N$17,IF(GA300="TPPP",Lookup!$N$18,0)))))))*FZ300</f>
        <v>0</v>
      </c>
      <c r="GZ300" s="697">
        <f t="shared" si="826"/>
        <v>0</v>
      </c>
      <c r="HA300" s="712">
        <f t="shared" si="916"/>
        <v>738.53428650885587</v>
      </c>
      <c r="HB300" s="712">
        <f t="shared" si="917"/>
        <v>240.72173615021376</v>
      </c>
      <c r="HC300" s="712"/>
    </row>
    <row r="301" spans="1:211">
      <c r="A301" s="773" t="s">
        <v>8</v>
      </c>
      <c r="B301" s="708">
        <v>40830</v>
      </c>
      <c r="C301" s="719">
        <v>0.5</v>
      </c>
      <c r="D301" s="675">
        <f t="shared" si="840"/>
        <v>300</v>
      </c>
      <c r="E301" s="675">
        <f t="shared" si="841"/>
        <v>250</v>
      </c>
      <c r="F301" s="675">
        <v>250</v>
      </c>
      <c r="G301" s="712">
        <f>DH301+Sheet1!CV301</f>
        <v>389.39712556658071</v>
      </c>
      <c r="H301" s="712">
        <f t="shared" si="842"/>
        <v>0</v>
      </c>
      <c r="I301" s="711">
        <f>MAX(Sheet1!Z301-AJ301+(Sheet1!CW301-E301)*CFStoMGD,0)</f>
        <v>454.8974046242746</v>
      </c>
      <c r="J301" s="720">
        <f>IF(AND(B301&gt;=Calculation!FS301,B301&lt;=Calculation!FT301),IF(Sheet1!CX301&gt;=Calculation!D301,64.64,0),MAX(Sheet1!Z301-AJ301+(Sheet1!CX301-D301)*CFStoMGD,0))</f>
        <v>283.59467129094133</v>
      </c>
      <c r="K301" s="697">
        <f t="shared" si="843"/>
        <v>0</v>
      </c>
      <c r="L301" s="712">
        <f>Sheet1!AA301+Sheet1!AB301-Sheet1!L301+(Sheet1!CW301-F301)*CFStoMGD</f>
        <v>501.76700000000346</v>
      </c>
      <c r="M301" s="712">
        <f t="shared" si="844"/>
        <v>256.74042800556253</v>
      </c>
      <c r="N301" s="712">
        <f>IF(Sheet1!CW301&gt;=F301,MIN(73,MIN(MAX(L301,0),MAX(M301,0))),0)</f>
        <v>73</v>
      </c>
      <c r="O301" s="721">
        <f>Sheet1!AA301+Sheet1!AB301</f>
        <v>56.660000000003492</v>
      </c>
      <c r="P301" s="721">
        <f t="shared" si="845"/>
        <v>87.653020000005398</v>
      </c>
      <c r="Q301" s="712">
        <f>MIN(N301,Sheet1!AA301+AG301)</f>
        <v>46.439595375724217</v>
      </c>
      <c r="R301" s="712">
        <f t="shared" si="846"/>
        <v>10</v>
      </c>
      <c r="S301" s="721">
        <f>Sheet1!Y301*MGDtoCFS</f>
        <v>47.044269999999997</v>
      </c>
      <c r="T301" s="721">
        <f>Sheet1!Z301*MGDtoCFS</f>
        <v>39.757899999999999</v>
      </c>
      <c r="U301" s="721">
        <f>Sheet1!AA301*MGDtoCFS</f>
        <v>47.229909999998199</v>
      </c>
      <c r="V301" s="721">
        <f>Sheet1!AB301*MGDtoCFS</f>
        <v>40.423110000007199</v>
      </c>
      <c r="W301" s="721">
        <f>Sheet1!L301*MGDtoCFS</f>
        <v>0</v>
      </c>
      <c r="X301" s="697">
        <f t="shared" si="847"/>
        <v>10.220404624279279</v>
      </c>
      <c r="Y301" s="712">
        <f t="shared" si="848"/>
        <v>15.810965953760045</v>
      </c>
      <c r="Z301" s="712">
        <f t="shared" si="849"/>
        <v>0</v>
      </c>
      <c r="AA301" s="712">
        <f t="shared" si="850"/>
        <v>0</v>
      </c>
      <c r="AB301" s="712">
        <f>(VLOOKUP(Sheet1!CY301,hhdcap_wcm,4)-(((VLOOKUP(Sheet1!CY301,hhdcap_wcm,3)-Sheet1!CY301)/(VLOOKUP(Sheet1!CY301,hhdcap_wcm,3)-VLOOKUP(Sheet1!CY301,hhdcap_wcm,1)))*(VLOOKUP(Sheet1!CY301,hhdcap_wcm,4)-VLOOKUP(Sheet1!CY301,hhdcap_wcm,2))))</f>
        <v>13157.800000027521</v>
      </c>
      <c r="AC301" s="712">
        <f t="shared" si="851"/>
        <v>-797.37000000147054</v>
      </c>
      <c r="AD301" s="712">
        <f t="shared" si="852"/>
        <v>632.75348439138736</v>
      </c>
      <c r="AE301" s="712">
        <f t="shared" si="853"/>
        <v>1941.2876901127765</v>
      </c>
      <c r="AF301" s="712">
        <f>Sheet1!BA301+Sheet1!BB301+Sheet1!BN301+BT301</f>
        <v>15.8</v>
      </c>
      <c r="AG301" s="712">
        <f t="shared" si="854"/>
        <v>15.909595375725379</v>
      </c>
      <c r="AH301" s="712">
        <f>Sheet1!BA301+BT301</f>
        <v>0</v>
      </c>
      <c r="AI301" s="712">
        <f>Sheet1!BA301+Sheet1!BB301+BT301</f>
        <v>0</v>
      </c>
      <c r="AJ301" s="712">
        <f>IF((Sheet1!AA301+AG301+AX301+AZ301+BQ301+BS301+CL301+CN301)&lt;=N301,AG301+AX301+AZ301+BQ301+BS301+CL301+CN301,N301-Sheet1!AA301)</f>
        <v>15.909595375725379</v>
      </c>
      <c r="AK301" s="712">
        <f>IF(DR301&lt;K301,0,MAX(Sheet1!AA301+AG301-15/36*K301-N301,Sheet1!ED301,0))</f>
        <v>0</v>
      </c>
      <c r="AL301" s="712">
        <f>IF(OR(B301&gt;=FT301,B301&lt;FS301),0,15/36*K301-MAX(0,64.6-(137.6-(Sheet1!AA301+Sheet1!AB301))))</f>
        <v>0</v>
      </c>
      <c r="AM301" s="712">
        <f>Sheet1!CX301-110</f>
        <v>613.58333333333337</v>
      </c>
      <c r="AN301" s="712">
        <f>Sheet1!CW301-265</f>
        <v>673.59375</v>
      </c>
      <c r="AO301" s="712">
        <f t="shared" si="835"/>
        <v>26.560404624275783</v>
      </c>
      <c r="AP301" s="712">
        <f t="shared" si="855"/>
        <v>0</v>
      </c>
      <c r="AQ301" s="712">
        <f t="shared" si="856"/>
        <v>0</v>
      </c>
      <c r="AR301" s="712">
        <f t="shared" si="857"/>
        <v>206.02117166449352</v>
      </c>
      <c r="AS301" s="712"/>
      <c r="AT301" s="712">
        <f ca="1">IF(B301&gt;Summary!$A$1,#N/A,AR301*MGtoAF)</f>
        <v>632.07295466666619</v>
      </c>
      <c r="AU301" s="712">
        <f>Sheet1!BG301+Sheet1!BH301+Sheet1!BI301-BC301</f>
        <v>1.04</v>
      </c>
      <c r="AV301" s="712">
        <f t="shared" si="858"/>
        <v>1.0472138728325566</v>
      </c>
      <c r="AW301" s="712">
        <f>IF(Sheet1!EL301="FM",BC301,0)</f>
        <v>0</v>
      </c>
      <c r="AX301" s="712">
        <f t="shared" si="859"/>
        <v>0</v>
      </c>
      <c r="AY301" s="712">
        <f>IF(Sheet1!EL301="OTHER",BC301,0)</f>
        <v>0</v>
      </c>
      <c r="AZ301" s="712">
        <f t="shared" si="860"/>
        <v>0</v>
      </c>
      <c r="BA301" s="712">
        <f t="shared" si="861"/>
        <v>1.04</v>
      </c>
      <c r="BB301" s="712">
        <f t="shared" si="862"/>
        <v>1.0472138728325566</v>
      </c>
      <c r="BC301" s="712">
        <f>IF(OR(Sheet1!EL301="FM", Sheet1!EL301="OTHER"),SUM(Sheet1!BG301:'Sheet1'!BI301),0)</f>
        <v>0</v>
      </c>
      <c r="BD301" s="697">
        <f>IF(AND($B301&gt;=$FL301,$B301&lt;=$FM301),MAX(AV301,Sheet1!EE301,0),MAX(AV301-(7/36)*$K301,0))</f>
        <v>1.0472138728325566</v>
      </c>
      <c r="BE301" s="712">
        <f t="shared" si="863"/>
        <v>0</v>
      </c>
      <c r="BF301" s="697">
        <f t="shared" si="864"/>
        <v>0</v>
      </c>
      <c r="BG301" s="697">
        <f>IF(AND($O301&gt;0,Sheet1!EI301=1),(1-($O301-Sheet1!$L301)/$O301)*BB301,0)</f>
        <v>0</v>
      </c>
      <c r="BH301" s="697">
        <f>IF(AND(Sheet1!$L301=0,Sheet1!$L300=0, Calculation!BA301&lt;Sheet1!$EE301-0.1,Sheet1!$EE301=Sheet1!$EE300,Sheet1!$EE301=Sheet1!$EE302),Sheet1!$EE301,BB301-BG301)</f>
        <v>1.0472138728325566</v>
      </c>
      <c r="BI301" s="712"/>
      <c r="BJ301" s="712"/>
      <c r="BK301" s="712">
        <f t="shared" si="865"/>
        <v>75.206067218516964</v>
      </c>
      <c r="BL301" s="712"/>
      <c r="BM301" s="712">
        <f ca="1">IF(B301&gt;Summary!$A$1,#N/A,BK301*MGtoAF)</f>
        <v>230.73221422641004</v>
      </c>
      <c r="BN301" s="712">
        <f>Sheet1!BC301+Sheet1!BD301+Sheet1!BE301+Sheet1!BF301-BW301-BX301</f>
        <v>2.5599999999999996</v>
      </c>
      <c r="BO301" s="712">
        <f t="shared" si="866"/>
        <v>2.5777572254339849</v>
      </c>
      <c r="BP301" s="712">
        <f>IF(Sheet1!EM301="FM",BX301,0)</f>
        <v>0</v>
      </c>
      <c r="BQ301" s="712">
        <f t="shared" si="867"/>
        <v>0</v>
      </c>
      <c r="BR301" s="712">
        <f>IF(Sheet1!EM301="OTHER",BX301,0)</f>
        <v>0</v>
      </c>
      <c r="BS301" s="712">
        <f t="shared" si="868"/>
        <v>0</v>
      </c>
      <c r="BT301" s="712">
        <f t="shared" si="869"/>
        <v>0</v>
      </c>
      <c r="BU301" s="712">
        <f t="shared" si="870"/>
        <v>2.5599999999999996</v>
      </c>
      <c r="BV301" s="712">
        <f t="shared" si="871"/>
        <v>2.5777572254339849</v>
      </c>
      <c r="BW301" s="712">
        <f>IF(Sheet1!EM301="CWA",SUM(Sheet1!BC301:'Sheet1'!BF301),0)</f>
        <v>0</v>
      </c>
      <c r="BX301" s="712">
        <f>IF(OR(Sheet1!EM301="FM", Sheet1!EM301="OTHER"),SUM(Sheet1!BC301:'Sheet1'!BF301),0)</f>
        <v>0</v>
      </c>
      <c r="BY301" s="697">
        <f>IF(AND($B301&gt;=$FL301,$B301&lt;=$FM301),MAX(BV301,Sheet1!EF301,0),MAX(BV301-(7/36)*$K301,0))</f>
        <v>2.5777572254339849</v>
      </c>
      <c r="BZ301" s="712">
        <f t="shared" si="872"/>
        <v>0</v>
      </c>
      <c r="CA301" s="697">
        <f t="shared" si="873"/>
        <v>0</v>
      </c>
      <c r="CB301" s="697">
        <f>IF(AND($O301&gt;0,Sheet1!EJ301=1),(1-($O301-Sheet1!$L301)/$O301)*BV301,0)</f>
        <v>0</v>
      </c>
      <c r="CC301" s="697">
        <f>IF(AND(Sheet1!$L301=0,Sheet1!$L300=0, Calculation!BU301&lt;Sheet1!EF301-0.1,Sheet1!EF301=Sheet1!EF300,Sheet1!EF301=Sheet1!EF302),Sheet1!EF301,BV301-CB301)</f>
        <v>2.5777572254339849</v>
      </c>
      <c r="CD301" s="697"/>
      <c r="CE301" s="712"/>
      <c r="CF301" s="712">
        <f t="shared" si="874"/>
        <v>117.39994288417586</v>
      </c>
      <c r="CG301" s="712"/>
      <c r="CH301" s="712">
        <f ca="1">IF(B301&gt;Summary!$A$1,#N/A,CF301*MGtoAF)</f>
        <v>360.18302476865153</v>
      </c>
      <c r="CI301" s="712">
        <f>Sheet1!BK301+Sheet1!BL301+Sheet1!BM301-Sheet1!EN301-CQ301</f>
        <v>6.5500000000000007</v>
      </c>
      <c r="CJ301" s="712">
        <f t="shared" si="875"/>
        <v>6.5954335260127372</v>
      </c>
      <c r="CK301" s="712">
        <f>IF(Sheet1!EN301="FM",CQ301,0)</f>
        <v>0</v>
      </c>
      <c r="CL301" s="712">
        <f t="shared" si="876"/>
        <v>0</v>
      </c>
      <c r="CM301" s="712">
        <f>IF(Sheet1!EN301="OTHER",CQ301,0)</f>
        <v>0</v>
      </c>
      <c r="CN301" s="712">
        <f t="shared" si="877"/>
        <v>0</v>
      </c>
      <c r="CO301" s="712">
        <f t="shared" si="878"/>
        <v>6.5500000000000007</v>
      </c>
      <c r="CP301" s="712">
        <f t="shared" si="879"/>
        <v>6.5954335260127372</v>
      </c>
      <c r="CQ301" s="712">
        <f>IF(OR(Sheet1!EN301="FM", Sheet1!EN301="OTHER"),SUM(Sheet1!BK301:'Sheet1'!BM301),0)</f>
        <v>0</v>
      </c>
      <c r="CR301" s="697">
        <f>IF(AND($B301&gt;=$FL301,$B301&lt;=$FM301),MAX($CJ301,Sheet1!EG301,0),MAX($CJ301-(7/36)*$K301,0))</f>
        <v>6.5954335260127372</v>
      </c>
      <c r="CS301" s="712">
        <f t="shared" si="880"/>
        <v>0</v>
      </c>
      <c r="CT301" s="697">
        <f t="shared" si="881"/>
        <v>0</v>
      </c>
      <c r="CU301" s="697">
        <f>IF(AND($O301&gt;0,Sheet1!EK301=1),(1-($O301-Sheet1!$L301)/$O301)*CP301,0)</f>
        <v>0</v>
      </c>
      <c r="CV301" s="697">
        <f>IF(AND(Sheet1!$L301=0,Sheet1!$L300=0, Calculation!CO301&lt;Sheet1!$EG301-0.1,Sheet1!$EG301=Sheet1!$EG300,Sheet1!$EG301=Sheet1!$EG302),Sheet1!$EG301,CP301-CU301)</f>
        <v>6.5954335260127372</v>
      </c>
      <c r="CW301" s="697">
        <f t="shared" si="837"/>
        <v>0</v>
      </c>
      <c r="CX301" s="712">
        <f t="shared" si="882"/>
        <v>10.15</v>
      </c>
      <c r="CY301" s="712">
        <f t="shared" si="883"/>
        <v>234.12630262420103</v>
      </c>
      <c r="CZ301" s="712">
        <f t="shared" si="884"/>
        <v>10.220404624279279</v>
      </c>
      <c r="DA301" s="712">
        <f ca="1">IF(B301&gt;Summary!$A$1,#N/A,CY301*MGtoAF)</f>
        <v>718.29949645104875</v>
      </c>
      <c r="DB301" s="712">
        <f t="shared" si="885"/>
        <v>10.149999999999999</v>
      </c>
      <c r="DC301" s="712">
        <f t="shared" si="886"/>
        <v>25.95</v>
      </c>
      <c r="DD301" s="712">
        <f>Sheet1!AB301-DC301</f>
        <v>0.18000000000465732</v>
      </c>
      <c r="DE301" s="712">
        <f t="shared" si="887"/>
        <v>6.936416185150571E-3</v>
      </c>
      <c r="DF301" s="712">
        <f>(VLOOKUP(Sheet1!CY301,hhdcap_wcm,4)-(((VLOOKUP(Sheet1!CY301,hhdcap_wcm,3)-Sheet1!CY301)/(VLOOKUP(Sheet1!CY301,hhdcap_wcm,3)-VLOOKUP(Sheet1!CY301,hhdcap_wcm,1)))*(VLOOKUP(Sheet1!CY301,hhdcap_wcm,4)-VLOOKUP(Sheet1!CY301,hhdcap_wcm,2))))</f>
        <v>13157.800000027521</v>
      </c>
      <c r="DG301" s="712">
        <f t="shared" si="888"/>
        <v>-797.37000000147054</v>
      </c>
      <c r="DH301" s="712">
        <f t="shared" si="889"/>
        <v>-402.10287443341929</v>
      </c>
      <c r="DI301" s="712">
        <f>Sheet1!DW301*AFtoMG</f>
        <v>0</v>
      </c>
      <c r="DJ301" s="712">
        <f>Sheet1!DX301*AFtoMG</f>
        <v>0</v>
      </c>
      <c r="DK301" s="712">
        <f>Sheet1!DY301*AFtoMG</f>
        <v>0</v>
      </c>
      <c r="DL301" s="712">
        <f>Sheet1!DZ301*AFtoMG</f>
        <v>0</v>
      </c>
      <c r="DM301" s="712">
        <f t="shared" si="890"/>
        <v>0</v>
      </c>
      <c r="DN301" s="712">
        <f t="shared" si="891"/>
        <v>0</v>
      </c>
      <c r="DO301" s="712">
        <f t="shared" si="892"/>
        <v>632.75348439138736</v>
      </c>
      <c r="DP301" s="712">
        <f t="shared" si="893"/>
        <v>1941.2876901127765</v>
      </c>
      <c r="DQ301" s="712"/>
      <c r="DR301" s="697">
        <f>IF(OR(B301&lt;FL301,B301&gt;FM301),(MIN(AV301+BO301+CJ301+MAX(Sheet1!AA301+AG301-73,0),K301)),0)</f>
        <v>0</v>
      </c>
      <c r="DS301" s="712"/>
      <c r="DT301" s="712">
        <f t="shared" si="894"/>
        <v>10.220404624279279</v>
      </c>
      <c r="DU301" s="712"/>
      <c r="DV301" s="712">
        <f>Sheet1!ED301+Sheet1!EE301+Sheet1!EF301+Sheet1!EG301</f>
        <v>10</v>
      </c>
      <c r="DW301" s="712"/>
      <c r="DX301" s="697">
        <f t="shared" si="895"/>
        <v>0</v>
      </c>
      <c r="DY301" s="712">
        <f>IF(Sheet1!FN301=1,SUM('Calculations II'!AT301:BA301)+'Calculations II'!BC301+Sheet1!BU301+'Calculations II'!BE301+AF301,SUM('Calculations II'!AT301:BA301)+'Calculations II'!BC301+Sheet1!BU301+'Calculations II'!BE301+AF301)</f>
        <v>45.031424000000001</v>
      </c>
      <c r="DZ301" s="712">
        <f>Sheet1!AA301+Sheet1!AB301+'Calculations II'!BC301</f>
        <v>56.660000000003492</v>
      </c>
      <c r="EA301" s="712"/>
      <c r="EB301" s="712"/>
      <c r="EC301" s="712">
        <f t="shared" si="896"/>
        <v>40830</v>
      </c>
      <c r="ED301" s="712">
        <f t="shared" si="897"/>
        <v>-10.220404624279279</v>
      </c>
      <c r="EE301" s="712">
        <f t="shared" si="898"/>
        <v>-15.810965953760045</v>
      </c>
      <c r="EF301" s="712">
        <f ca="1">IF(B301=TODAY(),0,-(VLOOKUP(Sheet1!BQ301,Lookup!$B$4:$J$236,2)-VLOOKUP(Sheet1!BQ300,Lookup!$B$4:$J$236,2))/1000000)</f>
        <v>0</v>
      </c>
      <c r="EG301" s="712">
        <f ca="1">IF(B301=TODAY(),0,-(VLOOKUP(Sheet1!BR301,Lookup!$B$4:$J$236,3)-VLOOKUP(Sheet1!BR300,Lookup!$B$4:$J$236,3))/1000000)</f>
        <v>0.26329999999999998</v>
      </c>
      <c r="EH301" s="712">
        <f>-(VLOOKUP(Sheet1!BS301,Lookup!$B$4:$J$236,4)-VLOOKUP(Sheet1!BS300,Lookup!$B$4:$J$236,4))/1000000</f>
        <v>0</v>
      </c>
      <c r="EI301" s="697">
        <f t="shared" ca="1" si="819"/>
        <v>0.26329999999999998</v>
      </c>
      <c r="EJ301" s="712"/>
      <c r="EK301" s="712"/>
      <c r="EL301" s="712"/>
      <c r="EM301" s="712"/>
      <c r="EN301" s="712"/>
      <c r="EO301" s="712"/>
      <c r="EP301" s="712"/>
      <c r="EQ301" s="712"/>
      <c r="ER301" s="697">
        <f t="shared" si="833"/>
        <v>-310.21634399894236</v>
      </c>
      <c r="ES301" s="712">
        <f t="shared" si="834"/>
        <v>475.96271221847712</v>
      </c>
      <c r="ET301" s="794">
        <f t="shared" si="818"/>
        <v>1117.7</v>
      </c>
      <c r="EU301" s="794" t="e">
        <f t="shared" si="838"/>
        <v>#N/A</v>
      </c>
      <c r="EV301" s="795" t="e">
        <f t="shared" si="836"/>
        <v>#N/A</v>
      </c>
      <c r="EW301" s="796" t="s">
        <v>757</v>
      </c>
      <c r="EX301" s="796" t="s">
        <v>757</v>
      </c>
      <c r="EY301" s="794" t="e">
        <v>#N/A</v>
      </c>
      <c r="EZ301" s="798">
        <v>11994.600000024449</v>
      </c>
      <c r="FA301" s="712"/>
      <c r="FB301" s="712"/>
      <c r="FC301" s="712"/>
      <c r="FD301" s="712"/>
      <c r="FE301" s="712">
        <f>O301+Sheet1!CO301</f>
        <v>56.660000000003492</v>
      </c>
      <c r="FF301" s="712">
        <f>IF(Sheet1!AA301+AG301&lt;=Calculation!N301,AG301,Calculation!N301-Sheet1!AA301)</f>
        <v>15.909595375725379</v>
      </c>
      <c r="FG301" s="712">
        <f>(Sheet1!BP301+Sheet1!BO301)/694.4</f>
        <v>1.6504896313364055</v>
      </c>
      <c r="FH301" s="712"/>
      <c r="FI301" s="712"/>
      <c r="FJ301" s="712"/>
      <c r="FK301" s="712"/>
      <c r="FL301" s="714">
        <f t="shared" si="827"/>
        <v>40753</v>
      </c>
      <c r="FM301" s="714">
        <f t="shared" si="828"/>
        <v>40851</v>
      </c>
      <c r="FN301" s="712"/>
      <c r="FO301" s="712"/>
      <c r="FP301" s="712"/>
      <c r="FQ301" s="712"/>
      <c r="FR301" s="712"/>
      <c r="FS301" s="725">
        <f t="shared" si="918"/>
        <v>40603</v>
      </c>
      <c r="FT301" s="714">
        <f t="shared" si="830"/>
        <v>40709</v>
      </c>
      <c r="FU301" s="712">
        <f t="shared" si="918"/>
        <v>6518.9048239895692</v>
      </c>
      <c r="FV301" s="714">
        <f t="shared" si="831"/>
        <v>40722</v>
      </c>
      <c r="FW301" s="712">
        <f t="shared" si="918"/>
        <v>3259.4524119947846</v>
      </c>
      <c r="FX301" s="725">
        <f t="shared" si="918"/>
        <v>40851</v>
      </c>
      <c r="FZ301" s="697">
        <f t="shared" si="824"/>
        <v>0</v>
      </c>
      <c r="GA301" s="712" t="str">
        <f t="shared" si="899"/>
        <v/>
      </c>
      <c r="GB301" s="712">
        <f t="shared" si="900"/>
        <v>0</v>
      </c>
      <c r="GC301" s="712" t="str">
        <f t="shared" si="901"/>
        <v/>
      </c>
      <c r="GD301" s="712">
        <f>IF(GA301="P",Lookup!$M$12,IF(GA301="PP",Lookup!$M$13,IF(GA301="PPP",Lookup!$M$14,IF(GA301="T",Lookup!$M$15,IF(GA301="TP",Lookup!$M$16,IF(GA301="TPP",Lookup!$M$17,IF(GA301="TPPP",Lookup!$M$18,0)))))))*FZ301</f>
        <v>0</v>
      </c>
      <c r="GE301" s="712">
        <f t="shared" si="902"/>
        <v>0</v>
      </c>
      <c r="GF301" s="712">
        <f t="shared" si="903"/>
        <v>632.07295466666619</v>
      </c>
      <c r="GG301" s="712">
        <f t="shared" si="904"/>
        <v>206.02117166449352</v>
      </c>
      <c r="GH301" s="712"/>
      <c r="GI301" s="712">
        <f t="shared" si="905"/>
        <v>0</v>
      </c>
      <c r="GJ301" s="712" t="str">
        <f t="shared" si="906"/>
        <v/>
      </c>
      <c r="GK301" s="712">
        <f>IF(GA301="P",Lookup!$N$12,IF(GA301="PP",Lookup!$N$13,IF(GA301="PPP",Lookup!$N$14,IF(GA301="T",Lookup!$N$15,IF(GA301="TP",Lookup!$N$16,IF(GA301="TPP",Lookup!$N$17,IF(GA301="TPPP",Lookup!$N$18,0)))))))*FZ301</f>
        <v>0</v>
      </c>
      <c r="GL301" s="712">
        <f t="shared" si="907"/>
        <v>0</v>
      </c>
      <c r="GM301" s="712">
        <f t="shared" si="908"/>
        <v>230.73221422641004</v>
      </c>
      <c r="GN301" s="712">
        <f t="shared" si="909"/>
        <v>75.206067218516964</v>
      </c>
      <c r="GO301" s="712"/>
      <c r="GP301" s="712">
        <f t="shared" si="910"/>
        <v>0</v>
      </c>
      <c r="GQ301" s="712" t="str">
        <f t="shared" si="911"/>
        <v/>
      </c>
      <c r="GR301" s="712">
        <f>IF(GA301="P",Lookup!$N$12,IF(GA301="PP",Lookup!$N$13,IF(GA301="PPP",Lookup!$N$14,IF(GA301="T",Lookup!$N$15,IF(GA301="TP",Lookup!$N$16,IF(GA301="TPP",Lookup!$N$17,IF(GA301="TPPP",Lookup!$N$18,0)))))))*FZ301</f>
        <v>0</v>
      </c>
      <c r="GS301" s="697">
        <f t="shared" si="825"/>
        <v>0</v>
      </c>
      <c r="GT301" s="712">
        <f t="shared" si="912"/>
        <v>360.18302476865153</v>
      </c>
      <c r="GU301" s="712">
        <f t="shared" si="913"/>
        <v>117.39994288417586</v>
      </c>
      <c r="GV301" s="712"/>
      <c r="GW301" s="712">
        <f t="shared" si="914"/>
        <v>0</v>
      </c>
      <c r="GX301" s="712" t="str">
        <f t="shared" si="915"/>
        <v/>
      </c>
      <c r="GY301" s="712">
        <f>IF(GA301="P",Lookup!$N$12,IF(GA301="PP",Lookup!$N$13,IF(GA301="PPP",Lookup!$N$14,IF(GA301="T",Lookup!$N$15,IF(GA301="TP",Lookup!$N$16,IF(GA301="TPP",Lookup!$N$17,IF(GA301="TPPP",Lookup!$N$18,0)))))))*FZ301</f>
        <v>0</v>
      </c>
      <c r="GZ301" s="697">
        <f t="shared" si="826"/>
        <v>0</v>
      </c>
      <c r="HA301" s="712">
        <f t="shared" si="916"/>
        <v>718.29949645104875</v>
      </c>
      <c r="HB301" s="712">
        <f t="shared" si="917"/>
        <v>234.12630262420103</v>
      </c>
      <c r="HC301" s="712"/>
    </row>
    <row r="302" spans="1:211">
      <c r="A302" s="773" t="s">
        <v>9</v>
      </c>
      <c r="B302" s="708">
        <v>40831</v>
      </c>
      <c r="C302" s="709">
        <v>0.5</v>
      </c>
      <c r="D302" s="675">
        <f t="shared" si="840"/>
        <v>300</v>
      </c>
      <c r="E302" s="675">
        <f t="shared" si="841"/>
        <v>250</v>
      </c>
      <c r="F302" s="675">
        <v>250</v>
      </c>
      <c r="G302" s="712">
        <f>DH302+Sheet1!CV302</f>
        <v>335.03958648371707</v>
      </c>
      <c r="H302" s="712">
        <f t="shared" si="842"/>
        <v>0</v>
      </c>
      <c r="I302" s="711">
        <f>MAX(Sheet1!Z302-AJ302+(Sheet1!CW302-E302)*CFStoMGD,0)</f>
        <v>436.7344172706247</v>
      </c>
      <c r="J302" s="720">
        <f>IF(AND(B302&gt;=Calculation!FS302,B302&lt;=Calculation!FT302),IF(Sheet1!CX302&gt;=Calculation!D302,64.64,0),MAX(Sheet1!Z302-AJ302+(Sheet1!CX302-D302)*CFStoMGD,0))</f>
        <v>273.15481727062468</v>
      </c>
      <c r="K302" s="697">
        <f t="shared" si="843"/>
        <v>0</v>
      </c>
      <c r="L302" s="712">
        <f>Sheet1!AA302+Sheet1!AB302-Sheet1!L302+(Sheet1!CW302-F302)*CFStoMGD</f>
        <v>483.07359999999795</v>
      </c>
      <c r="M302" s="712">
        <f t="shared" si="844"/>
        <v>220.90098047713622</v>
      </c>
      <c r="N302" s="712">
        <f>IF(Sheet1!CW302&gt;=F302,MIN(73,MIN(MAX(L302,0),MAX(M302,0))),0)</f>
        <v>73</v>
      </c>
      <c r="O302" s="721">
        <f>Sheet1!AA302+Sheet1!AB302</f>
        <v>56.489999999997963</v>
      </c>
      <c r="P302" s="721">
        <f t="shared" si="845"/>
        <v>87.390029999996841</v>
      </c>
      <c r="Q302" s="712">
        <f>MIN(N302,Sheet1!AA302+AG302)</f>
        <v>46.299182729373555</v>
      </c>
      <c r="R302" s="712">
        <f t="shared" si="846"/>
        <v>10</v>
      </c>
      <c r="S302" s="721">
        <f>Sheet1!Y302*MGDtoCFS</f>
        <v>46.874099999999999</v>
      </c>
      <c r="T302" s="721">
        <f>Sheet1!Z302*MGDtoCFS</f>
        <v>40.268410000000003</v>
      </c>
      <c r="U302" s="721">
        <f>Sheet1!AA302*MGDtoCFS</f>
        <v>47.059739999997298</v>
      </c>
      <c r="V302" s="721">
        <f>Sheet1!AB302*MGDtoCFS</f>
        <v>40.33028999999955</v>
      </c>
      <c r="W302" s="721">
        <f>Sheet1!L302*MGDtoCFS</f>
        <v>0</v>
      </c>
      <c r="X302" s="697">
        <f t="shared" si="847"/>
        <v>10.190817270624404</v>
      </c>
      <c r="Y302" s="712">
        <f t="shared" si="848"/>
        <v>15.765194317655952</v>
      </c>
      <c r="Z302" s="712">
        <f t="shared" si="849"/>
        <v>0</v>
      </c>
      <c r="AA302" s="712">
        <f t="shared" si="850"/>
        <v>0</v>
      </c>
      <c r="AB302" s="712">
        <f>(VLOOKUP(Sheet1!CY302,hhdcap_wcm,4)-(((VLOOKUP(Sheet1!CY302,hhdcap_wcm,3)-Sheet1!CY302)/(VLOOKUP(Sheet1!CY302,hhdcap_wcm,3)-VLOOKUP(Sheet1!CY302,hhdcap_wcm,1)))*(VLOOKUP(Sheet1!CY302,hhdcap_wcm,4)-VLOOKUP(Sheet1!CY302,hhdcap_wcm,2))))</f>
        <v>12266.520000024731</v>
      </c>
      <c r="AC302" s="712">
        <f t="shared" si="851"/>
        <v>-891.28000000278917</v>
      </c>
      <c r="AD302" s="712">
        <f t="shared" si="852"/>
        <v>622.56266712076297</v>
      </c>
      <c r="AE302" s="712">
        <f t="shared" si="853"/>
        <v>1910.0222627265009</v>
      </c>
      <c r="AF302" s="712">
        <f>Sheet1!BA302+Sheet1!BB302+Sheet1!BN302+BT302</f>
        <v>15.8</v>
      </c>
      <c r="AG302" s="712">
        <f t="shared" si="854"/>
        <v>15.879182729375305</v>
      </c>
      <c r="AH302" s="712">
        <f>Sheet1!BA302+BT302</f>
        <v>0</v>
      </c>
      <c r="AI302" s="712">
        <f>Sheet1!BA302+Sheet1!BB302+BT302</f>
        <v>0</v>
      </c>
      <c r="AJ302" s="712">
        <f>IF((Sheet1!AA302+AG302+AX302+AZ302+BQ302+BS302+CL302+CN302)&lt;=N302,AG302+AX302+AZ302+BQ302+BS302+CL302+CN302,N302-Sheet1!AA302)</f>
        <v>15.879182729375305</v>
      </c>
      <c r="AK302" s="712">
        <f>IF(DR302&lt;K302,0,MAX(Sheet1!AA302+AG302-15/36*K302-N302,Sheet1!ED302,0))</f>
        <v>0</v>
      </c>
      <c r="AL302" s="712">
        <f>IF(OR(B302&gt;=FT302,B302&lt;FS302),0,15/36*K302-MAX(0,64.6-(137.6-(Sheet1!AA302+Sheet1!AB302))))</f>
        <v>0</v>
      </c>
      <c r="AM302" s="712">
        <f>Sheet1!CX302-110</f>
        <v>596.875</v>
      </c>
      <c r="AN302" s="712">
        <f>Sheet1!CW302-265</f>
        <v>644.9375</v>
      </c>
      <c r="AO302" s="712">
        <f t="shared" si="835"/>
        <v>26.700817270626445</v>
      </c>
      <c r="AP302" s="712">
        <f t="shared" si="855"/>
        <v>0</v>
      </c>
      <c r="AQ302" s="712">
        <f t="shared" si="856"/>
        <v>0</v>
      </c>
      <c r="AR302" s="712">
        <f t="shared" si="857"/>
        <v>206.02117166449352</v>
      </c>
      <c r="AS302" s="712"/>
      <c r="AT302" s="712">
        <f ca="1">IF(B302&gt;Summary!$A$1,#N/A,AR302*MGtoAF)</f>
        <v>632.07295466666619</v>
      </c>
      <c r="AU302" s="712">
        <f>Sheet1!BG302+Sheet1!BH302+Sheet1!BI302-BC302</f>
        <v>1.04</v>
      </c>
      <c r="AV302" s="712">
        <f t="shared" si="858"/>
        <v>1.0452120277563492</v>
      </c>
      <c r="AW302" s="712">
        <f>IF(Sheet1!EL302="FM",BC302,0)</f>
        <v>0</v>
      </c>
      <c r="AX302" s="712">
        <f t="shared" si="859"/>
        <v>0</v>
      </c>
      <c r="AY302" s="712">
        <f>IF(Sheet1!EL302="OTHER",BC302,0)</f>
        <v>0</v>
      </c>
      <c r="AZ302" s="712">
        <f t="shared" si="860"/>
        <v>0</v>
      </c>
      <c r="BA302" s="712">
        <f t="shared" si="861"/>
        <v>1.04</v>
      </c>
      <c r="BB302" s="712">
        <f t="shared" si="862"/>
        <v>1.0452120277563492</v>
      </c>
      <c r="BC302" s="712">
        <f>IF(OR(Sheet1!EL302="FM", Sheet1!EL302="OTHER"),SUM(Sheet1!BG302:'Sheet1'!BI302),0)</f>
        <v>0</v>
      </c>
      <c r="BD302" s="697">
        <f>IF(AND($B302&gt;=$FL302,$B302&lt;=$FM302),MAX(AV302,Sheet1!EE302,0),MAX(AV302-(7/36)*$K302,0))</f>
        <v>1.0452120277563492</v>
      </c>
      <c r="BE302" s="712">
        <f t="shared" si="863"/>
        <v>0</v>
      </c>
      <c r="BF302" s="697">
        <f t="shared" si="864"/>
        <v>0</v>
      </c>
      <c r="BG302" s="697">
        <f>IF(AND($O302&gt;0,Sheet1!EI302=1),(1-($O302-Sheet1!$L302)/$O302)*BB302,0)</f>
        <v>0</v>
      </c>
      <c r="BH302" s="697">
        <f>IF(AND(Sheet1!$L302=0,Sheet1!$L301=0, Calculation!BA302&lt;Sheet1!$EE302-0.1,Sheet1!$EE302=Sheet1!$EE301,Sheet1!$EE302=Sheet1!$EE303),Sheet1!$EE302,BB302-BG302)</f>
        <v>1.0452120277563492</v>
      </c>
      <c r="BI302" s="712"/>
      <c r="BJ302" s="712"/>
      <c r="BK302" s="712">
        <f t="shared" si="865"/>
        <v>74.160855190760614</v>
      </c>
      <c r="BL302" s="712"/>
      <c r="BM302" s="712">
        <f ca="1">IF(B302&gt;Summary!$A$1,#N/A,BK302*MGtoAF)</f>
        <v>227.52550372525357</v>
      </c>
      <c r="BN302" s="712">
        <f>Sheet1!BC302+Sheet1!BD302+Sheet1!BE302+Sheet1!BF302-BW302-BX302</f>
        <v>2.56</v>
      </c>
      <c r="BO302" s="712">
        <f t="shared" si="866"/>
        <v>2.5728296067848593</v>
      </c>
      <c r="BP302" s="712">
        <f>IF(Sheet1!EM302="FM",BX302,0)</f>
        <v>0</v>
      </c>
      <c r="BQ302" s="712">
        <f t="shared" si="867"/>
        <v>0</v>
      </c>
      <c r="BR302" s="712">
        <f>IF(Sheet1!EM302="OTHER",BX302,0)</f>
        <v>0</v>
      </c>
      <c r="BS302" s="712">
        <f t="shared" si="868"/>
        <v>0</v>
      </c>
      <c r="BT302" s="712">
        <f t="shared" si="869"/>
        <v>0</v>
      </c>
      <c r="BU302" s="712">
        <f t="shared" si="870"/>
        <v>2.56</v>
      </c>
      <c r="BV302" s="712">
        <f t="shared" si="871"/>
        <v>2.5728296067848593</v>
      </c>
      <c r="BW302" s="712">
        <f>IF(Sheet1!EM302="CWA",SUM(Sheet1!BC302:'Sheet1'!BF302),0)</f>
        <v>0</v>
      </c>
      <c r="BX302" s="712">
        <f>IF(OR(Sheet1!EM302="FM", Sheet1!EM302="OTHER"),SUM(Sheet1!BC302:'Sheet1'!BF302),0)</f>
        <v>0</v>
      </c>
      <c r="BY302" s="697">
        <f>IF(AND($B302&gt;=$FL302,$B302&lt;=$FM302),MAX(BV302,Sheet1!EF302,0),MAX(BV302-(7/36)*$K302,0))</f>
        <v>2.5728296067848593</v>
      </c>
      <c r="BZ302" s="712">
        <f t="shared" si="872"/>
        <v>0</v>
      </c>
      <c r="CA302" s="697">
        <f t="shared" si="873"/>
        <v>0</v>
      </c>
      <c r="CB302" s="697">
        <f>IF(AND($O302&gt;0,Sheet1!EJ302=1),(1-($O302-Sheet1!$L302)/$O302)*BV302,0)</f>
        <v>0</v>
      </c>
      <c r="CC302" s="697">
        <f>IF(AND(Sheet1!$L302=0,Sheet1!$L301=0, Calculation!BU302&lt;Sheet1!EF302-0.1,Sheet1!EF302=Sheet1!EF301,Sheet1!EF302=Sheet1!EF303),Sheet1!EF302,BV302-CB302)</f>
        <v>2.5728296067848593</v>
      </c>
      <c r="CD302" s="697"/>
      <c r="CE302" s="712"/>
      <c r="CF302" s="712">
        <f t="shared" si="874"/>
        <v>114.82711327739099</v>
      </c>
      <c r="CG302" s="712"/>
      <c r="CH302" s="712">
        <f ca="1">IF(B302&gt;Summary!$A$1,#N/A,CF302*MGtoAF)</f>
        <v>352.28958353503555</v>
      </c>
      <c r="CI302" s="712">
        <f>Sheet1!BK302+Sheet1!BL302+Sheet1!BM302-Sheet1!EN302-CQ302</f>
        <v>6.54</v>
      </c>
      <c r="CJ302" s="712">
        <f t="shared" si="875"/>
        <v>6.572775636083195</v>
      </c>
      <c r="CK302" s="712">
        <f>IF(Sheet1!EN302="FM",CQ302,0)</f>
        <v>0</v>
      </c>
      <c r="CL302" s="712">
        <f t="shared" si="876"/>
        <v>0</v>
      </c>
      <c r="CM302" s="712">
        <f>IF(Sheet1!EN302="OTHER",CQ302,0)</f>
        <v>0</v>
      </c>
      <c r="CN302" s="712">
        <f t="shared" si="877"/>
        <v>0</v>
      </c>
      <c r="CO302" s="712">
        <f t="shared" si="878"/>
        <v>6.54</v>
      </c>
      <c r="CP302" s="712">
        <f t="shared" si="879"/>
        <v>6.572775636083195</v>
      </c>
      <c r="CQ302" s="712">
        <f>IF(OR(Sheet1!EN302="FM", Sheet1!EN302="OTHER"),SUM(Sheet1!BK302:'Sheet1'!BM302),0)</f>
        <v>0</v>
      </c>
      <c r="CR302" s="697">
        <f>IF(AND($B302&gt;=$FL302,$B302&lt;=$FM302),MAX($CJ302,Sheet1!EG302,0),MAX($CJ302-(7/36)*$K302,0))</f>
        <v>6.572775636083195</v>
      </c>
      <c r="CS302" s="712">
        <f t="shared" si="880"/>
        <v>0</v>
      </c>
      <c r="CT302" s="697">
        <f t="shared" si="881"/>
        <v>0</v>
      </c>
      <c r="CU302" s="697">
        <f>IF(AND($O302&gt;0,Sheet1!EK302=1),(1-($O302-Sheet1!$L302)/$O302)*CP302,0)</f>
        <v>0</v>
      </c>
      <c r="CV302" s="697">
        <f>IF(AND(Sheet1!$L302=0,Sheet1!$L301=0, Calculation!CO302&lt;Sheet1!$EG302-0.1,Sheet1!$EG302=Sheet1!$EG301,Sheet1!$EG302=Sheet1!$EG303),Sheet1!$EG302,CP302-CU302)</f>
        <v>6.572775636083195</v>
      </c>
      <c r="CW302" s="697">
        <f t="shared" si="837"/>
        <v>0</v>
      </c>
      <c r="CX302" s="712">
        <f t="shared" si="882"/>
        <v>10.14</v>
      </c>
      <c r="CY302" s="712">
        <f t="shared" si="883"/>
        <v>227.55352698811782</v>
      </c>
      <c r="CZ302" s="712">
        <f t="shared" si="884"/>
        <v>10.190817270624404</v>
      </c>
      <c r="DA302" s="712">
        <f ca="1">IF(B302&gt;Summary!$A$1,#N/A,CY302*MGtoAF)</f>
        <v>698.13422079954546</v>
      </c>
      <c r="DB302" s="712">
        <f t="shared" si="885"/>
        <v>10.14</v>
      </c>
      <c r="DC302" s="712">
        <f t="shared" si="886"/>
        <v>25.94</v>
      </c>
      <c r="DD302" s="712">
        <f>Sheet1!AB302-DC302</f>
        <v>0.12999999999970768</v>
      </c>
      <c r="DE302" s="712">
        <f t="shared" si="887"/>
        <v>5.0115651503356857E-3</v>
      </c>
      <c r="DF302" s="712">
        <f>(VLOOKUP(Sheet1!CY302,hhdcap_wcm,4)-(((VLOOKUP(Sheet1!CY302,hhdcap_wcm,3)-Sheet1!CY302)/(VLOOKUP(Sheet1!CY302,hhdcap_wcm,3)-VLOOKUP(Sheet1!CY302,hhdcap_wcm,1)))*(VLOOKUP(Sheet1!CY302,hhdcap_wcm,4)-VLOOKUP(Sheet1!CY302,hhdcap_wcm,2))))</f>
        <v>12266.520000024731</v>
      </c>
      <c r="DG302" s="712">
        <f t="shared" si="888"/>
        <v>-891.28000000278917</v>
      </c>
      <c r="DH302" s="712">
        <f t="shared" si="889"/>
        <v>-449.46041351628293</v>
      </c>
      <c r="DI302" s="712">
        <f>Sheet1!DW302*AFtoMG</f>
        <v>0</v>
      </c>
      <c r="DJ302" s="712">
        <f>Sheet1!DX302*AFtoMG</f>
        <v>0</v>
      </c>
      <c r="DK302" s="712">
        <f>Sheet1!DY302*AFtoMG</f>
        <v>0</v>
      </c>
      <c r="DL302" s="712">
        <f>Sheet1!DZ302*AFtoMG</f>
        <v>0</v>
      </c>
      <c r="DM302" s="712">
        <f t="shared" si="890"/>
        <v>0</v>
      </c>
      <c r="DN302" s="712">
        <f t="shared" si="891"/>
        <v>0</v>
      </c>
      <c r="DO302" s="712">
        <f t="shared" si="892"/>
        <v>622.56266712076297</v>
      </c>
      <c r="DP302" s="712">
        <f t="shared" si="893"/>
        <v>1910.0222627265009</v>
      </c>
      <c r="DQ302" s="712"/>
      <c r="DR302" s="697">
        <f>IF(OR(B302&lt;FL302,B302&gt;FM302),(MIN(AV302+BO302+CJ302+MAX(Sheet1!AA302+AG302-73,0),K302)),0)</f>
        <v>0</v>
      </c>
      <c r="DS302" s="712"/>
      <c r="DT302" s="712">
        <f t="shared" si="894"/>
        <v>10.190817270624404</v>
      </c>
      <c r="DU302" s="712"/>
      <c r="DV302" s="712">
        <f>Sheet1!ED302+Sheet1!EE302+Sheet1!EF302+Sheet1!EG302</f>
        <v>10</v>
      </c>
      <c r="DW302" s="712"/>
      <c r="DX302" s="697">
        <f t="shared" si="895"/>
        <v>0</v>
      </c>
      <c r="DY302" s="712">
        <f>IF(Sheet1!FN302=1,SUM('Calculations II'!AT302:BA302)+'Calculations II'!BC302+Sheet1!BU302+'Calculations II'!BE302+AF302,SUM('Calculations II'!AT302:BA302)+'Calculations II'!BC302+Sheet1!BU302+'Calculations II'!BE302+AF302)</f>
        <v>47.395647999999994</v>
      </c>
      <c r="DZ302" s="712">
        <f>Sheet1!AA302+Sheet1!AB302+'Calculations II'!BC302</f>
        <v>56.489999999997963</v>
      </c>
      <c r="EA302" s="712"/>
      <c r="EB302" s="712"/>
      <c r="EC302" s="712">
        <f t="shared" si="896"/>
        <v>40831</v>
      </c>
      <c r="ED302" s="712">
        <f t="shared" si="897"/>
        <v>-10.190817270624404</v>
      </c>
      <c r="EE302" s="712">
        <f t="shared" si="898"/>
        <v>-15.765194317655952</v>
      </c>
      <c r="EF302" s="712">
        <f ca="1">IF(B302=TODAY(),0,-(VLOOKUP(Sheet1!BQ302,Lookup!$B$4:$J$236,2)-VLOOKUP(Sheet1!BQ301,Lookup!$B$4:$J$236,2))/1000000)</f>
        <v>0.79110000000000003</v>
      </c>
      <c r="EG302" s="712">
        <f ca="1">IF(B302=TODAY(),0,-(VLOOKUP(Sheet1!BR302,Lookup!$B$4:$J$236,3)-VLOOKUP(Sheet1!BR301,Lookup!$B$4:$J$236,3))/1000000)</f>
        <v>0.52659999999999996</v>
      </c>
      <c r="EH302" s="712">
        <f>-(VLOOKUP(Sheet1!BS302,Lookup!$B$4:$J$236,4)-VLOOKUP(Sheet1!BS301,Lookup!$B$4:$J$236,4))/1000000</f>
        <v>0</v>
      </c>
      <c r="EI302" s="697">
        <f t="shared" ca="1" si="819"/>
        <v>1.3176999999999999</v>
      </c>
      <c r="EJ302" s="712"/>
      <c r="EK302" s="712"/>
      <c r="EL302" s="712"/>
      <c r="EM302" s="712"/>
      <c r="EN302" s="712"/>
      <c r="EO302" s="712"/>
      <c r="EP302" s="712"/>
      <c r="EQ302" s="712"/>
      <c r="ER302" s="697">
        <f t="shared" si="833"/>
        <v>-917.52139630715396</v>
      </c>
      <c r="ES302" s="712">
        <f t="shared" si="834"/>
        <v>607.30505230821154</v>
      </c>
      <c r="ET302" s="794">
        <f t="shared" ref="ET302:ET365" si="919">VLOOKUP(EZ301,hhdelev_wcm,4) -(((VLOOKUP(EZ301,hhdelev_wcm,3)-EZ301)/(VLOOKUP(EZ301,hhdelev_wcm,3)-VLOOKUP(EZ301,hhdelev_wcm,1)))*(VLOOKUP(EZ301,hhdelev_wcm,4)-VLOOKUP(EZ301,hhdelev_wcm,2)))</f>
        <v>1117.3</v>
      </c>
      <c r="EU302" s="794" t="e">
        <f t="shared" si="838"/>
        <v>#N/A</v>
      </c>
      <c r="EV302" s="795" t="e">
        <f t="shared" si="836"/>
        <v>#N/A</v>
      </c>
      <c r="EW302" s="796" t="s">
        <v>757</v>
      </c>
      <c r="EX302" s="796" t="s">
        <v>757</v>
      </c>
      <c r="EY302" s="794" t="e">
        <v>#N/A</v>
      </c>
      <c r="EZ302" s="798">
        <v>11871.000000024356</v>
      </c>
      <c r="FA302" s="712"/>
      <c r="FB302" s="712"/>
      <c r="FC302" s="712"/>
      <c r="FD302" s="712"/>
      <c r="FE302" s="712">
        <f>O302+Sheet1!CO302</f>
        <v>56.489999999997963</v>
      </c>
      <c r="FF302" s="712">
        <f>IF(Sheet1!AA302+AG302&lt;=Calculation!N302,AG302,Calculation!N302-Sheet1!AA302)</f>
        <v>15.879182729375305</v>
      </c>
      <c r="FG302" s="712">
        <f>(Sheet1!BP302+Sheet1!BO302)/694.4</f>
        <v>2.5110887096774195</v>
      </c>
      <c r="FH302" s="712"/>
      <c r="FI302" s="712"/>
      <c r="FJ302" s="712"/>
      <c r="FK302" s="712"/>
      <c r="FL302" s="714">
        <f t="shared" si="827"/>
        <v>40753</v>
      </c>
      <c r="FM302" s="714">
        <f t="shared" si="828"/>
        <v>40851</v>
      </c>
      <c r="FN302" s="712"/>
      <c r="FO302" s="712"/>
      <c r="FP302" s="712"/>
      <c r="FQ302" s="712"/>
      <c r="FR302" s="712"/>
      <c r="FS302" s="725">
        <f t="shared" si="918"/>
        <v>40603</v>
      </c>
      <c r="FT302" s="714">
        <f t="shared" si="830"/>
        <v>40709</v>
      </c>
      <c r="FU302" s="712">
        <f t="shared" si="918"/>
        <v>6518.9048239895692</v>
      </c>
      <c r="FV302" s="714">
        <f t="shared" si="831"/>
        <v>40722</v>
      </c>
      <c r="FW302" s="712">
        <f t="shared" si="918"/>
        <v>3259.4524119947846</v>
      </c>
      <c r="FX302" s="725">
        <f t="shared" si="918"/>
        <v>40851</v>
      </c>
      <c r="FZ302" s="697">
        <f t="shared" si="824"/>
        <v>0</v>
      </c>
      <c r="GA302" s="712" t="str">
        <f t="shared" si="899"/>
        <v/>
      </c>
      <c r="GB302" s="712">
        <f t="shared" si="900"/>
        <v>0</v>
      </c>
      <c r="GC302" s="712" t="str">
        <f t="shared" si="901"/>
        <v/>
      </c>
      <c r="GD302" s="712">
        <f>IF(GA302="P",Lookup!$M$12,IF(GA302="PP",Lookup!$M$13,IF(GA302="PPP",Lookup!$M$14,IF(GA302="T",Lookup!$M$15,IF(GA302="TP",Lookup!$M$16,IF(GA302="TPP",Lookup!$M$17,IF(GA302="TPPP",Lookup!$M$18,0)))))))*FZ302</f>
        <v>0</v>
      </c>
      <c r="GE302" s="712">
        <f t="shared" si="902"/>
        <v>0</v>
      </c>
      <c r="GF302" s="712">
        <f t="shared" si="903"/>
        <v>632.07295466666619</v>
      </c>
      <c r="GG302" s="712">
        <f t="shared" si="904"/>
        <v>206.02117166449352</v>
      </c>
      <c r="GH302" s="712"/>
      <c r="GI302" s="712">
        <f t="shared" si="905"/>
        <v>0</v>
      </c>
      <c r="GJ302" s="712" t="str">
        <f t="shared" si="906"/>
        <v/>
      </c>
      <c r="GK302" s="712">
        <f>IF(GA302="P",Lookup!$N$12,IF(GA302="PP",Lookup!$N$13,IF(GA302="PPP",Lookup!$N$14,IF(GA302="T",Lookup!$N$15,IF(GA302="TP",Lookup!$N$16,IF(GA302="TPP",Lookup!$N$17,IF(GA302="TPPP",Lookup!$N$18,0)))))))*FZ302</f>
        <v>0</v>
      </c>
      <c r="GL302" s="712">
        <f t="shared" si="907"/>
        <v>0</v>
      </c>
      <c r="GM302" s="712">
        <f t="shared" si="908"/>
        <v>227.52550372525357</v>
      </c>
      <c r="GN302" s="712">
        <f t="shared" si="909"/>
        <v>74.160855190760614</v>
      </c>
      <c r="GO302" s="712"/>
      <c r="GP302" s="712">
        <f t="shared" si="910"/>
        <v>0</v>
      </c>
      <c r="GQ302" s="712" t="str">
        <f t="shared" si="911"/>
        <v/>
      </c>
      <c r="GR302" s="712">
        <f>IF(GA302="P",Lookup!$N$12,IF(GA302="PP",Lookup!$N$13,IF(GA302="PPP",Lookup!$N$14,IF(GA302="T",Lookup!$N$15,IF(GA302="TP",Lookup!$N$16,IF(GA302="TPP",Lookup!$N$17,IF(GA302="TPPP",Lookup!$N$18,0)))))))*FZ302</f>
        <v>0</v>
      </c>
      <c r="GS302" s="697">
        <f t="shared" si="825"/>
        <v>0</v>
      </c>
      <c r="GT302" s="712">
        <f t="shared" si="912"/>
        <v>352.28958353503555</v>
      </c>
      <c r="GU302" s="712">
        <f t="shared" si="913"/>
        <v>114.82711327739099</v>
      </c>
      <c r="GV302" s="712"/>
      <c r="GW302" s="712">
        <f t="shared" si="914"/>
        <v>0</v>
      </c>
      <c r="GX302" s="712" t="str">
        <f t="shared" si="915"/>
        <v/>
      </c>
      <c r="GY302" s="712">
        <f>IF(GA302="P",Lookup!$N$12,IF(GA302="PP",Lookup!$N$13,IF(GA302="PPP",Lookup!$N$14,IF(GA302="T",Lookup!$N$15,IF(GA302="TP",Lookup!$N$16,IF(GA302="TPP",Lookup!$N$17,IF(GA302="TPPP",Lookup!$N$18,0)))))))*FZ302</f>
        <v>0</v>
      </c>
      <c r="GZ302" s="697">
        <f t="shared" si="826"/>
        <v>0</v>
      </c>
      <c r="HA302" s="712">
        <f t="shared" si="916"/>
        <v>698.13422079954546</v>
      </c>
      <c r="HB302" s="712">
        <f t="shared" si="917"/>
        <v>227.55352698811782</v>
      </c>
      <c r="HC302" s="712"/>
    </row>
    <row r="303" spans="1:211">
      <c r="A303" s="773" t="s">
        <v>3</v>
      </c>
      <c r="B303" s="708">
        <v>40832</v>
      </c>
      <c r="C303" s="719">
        <v>0.5</v>
      </c>
      <c r="D303" s="675">
        <f t="shared" si="840"/>
        <v>300</v>
      </c>
      <c r="E303" s="675">
        <f t="shared" si="841"/>
        <v>250</v>
      </c>
      <c r="F303" s="675">
        <v>250</v>
      </c>
      <c r="G303" s="712">
        <f>DH303+Sheet1!CV303</f>
        <v>305.66093040743323</v>
      </c>
      <c r="H303" s="712">
        <f t="shared" si="842"/>
        <v>0</v>
      </c>
      <c r="I303" s="711">
        <f>MAX(Sheet1!Z303-AJ303+(Sheet1!CW303-E303)*CFStoMGD,0)</f>
        <v>422.03203210506166</v>
      </c>
      <c r="J303" s="720">
        <f>IF(AND(B303&gt;=Calculation!FS303,B303&lt;=Calculation!FT303),IF(Sheet1!CX303&gt;=Calculation!D303,64.64,0),MAX(Sheet1!Z303-AJ303+(Sheet1!CX303-D303)*CFStoMGD,0))</f>
        <v>264.12728543839495</v>
      </c>
      <c r="K303" s="697">
        <f t="shared" si="843"/>
        <v>0</v>
      </c>
      <c r="L303" s="712">
        <f>Sheet1!AA303+Sheet1!AB303-Sheet1!L303+(Sheet1!CW303-F303)*CFStoMGD</f>
        <v>467.63607999999999</v>
      </c>
      <c r="M303" s="712">
        <f t="shared" si="844"/>
        <v>201.53080992367214</v>
      </c>
      <c r="N303" s="712">
        <f>IF(Sheet1!CW303&gt;=F303,MIN(73,MIN(MAX(L303,0),MAX(M303,0))),0)</f>
        <v>73</v>
      </c>
      <c r="O303" s="721">
        <f>Sheet1!AA303+Sheet1!AB303</f>
        <v>55.75</v>
      </c>
      <c r="P303" s="721">
        <f t="shared" si="845"/>
        <v>86.245249999999999</v>
      </c>
      <c r="Q303" s="712">
        <f>MIN(N303,Sheet1!AA303+AG303)</f>
        <v>45.73404789494127</v>
      </c>
      <c r="R303" s="712">
        <f t="shared" si="846"/>
        <v>10</v>
      </c>
      <c r="S303" s="721">
        <f>Sheet1!Y303*MGDtoCFS</f>
        <v>46.51829</v>
      </c>
      <c r="T303" s="721">
        <f>Sheet1!Z303*MGDtoCFS</f>
        <v>39.959009999999992</v>
      </c>
      <c r="U303" s="721">
        <f>Sheet1!AA303*MGDtoCFS</f>
        <v>46.487350000004497</v>
      </c>
      <c r="V303" s="721">
        <f>Sheet1!AB303*MGDtoCFS</f>
        <v>39.757899999995495</v>
      </c>
      <c r="W303" s="721">
        <f>Sheet1!L303*MGDtoCFS</f>
        <v>0</v>
      </c>
      <c r="X303" s="697">
        <f t="shared" si="847"/>
        <v>10.034298957125451</v>
      </c>
      <c r="Y303" s="712">
        <f t="shared" si="848"/>
        <v>15.523060486673071</v>
      </c>
      <c r="Z303" s="712">
        <f t="shared" si="849"/>
        <v>0</v>
      </c>
      <c r="AA303" s="712">
        <f t="shared" si="850"/>
        <v>0</v>
      </c>
      <c r="AB303" s="712">
        <f>(VLOOKUP(Sheet1!CY303,hhdcap_wcm,4)-(((VLOOKUP(Sheet1!CY303,hhdcap_wcm,3)-Sheet1!CY303)/(VLOOKUP(Sheet1!CY303,hhdcap_wcm,3)-VLOOKUP(Sheet1!CY303,hhdcap_wcm,1)))*(VLOOKUP(Sheet1!CY303,hhdcap_wcm,4)-VLOOKUP(Sheet1!CY303,hhdcap_wcm,2))))</f>
        <v>11337.060000022671</v>
      </c>
      <c r="AC303" s="712">
        <f t="shared" si="851"/>
        <v>-929.46000000206004</v>
      </c>
      <c r="AD303" s="712">
        <f t="shared" si="852"/>
        <v>612.52836816363754</v>
      </c>
      <c r="AE303" s="712">
        <f t="shared" si="853"/>
        <v>1879.23703352604</v>
      </c>
      <c r="AF303" s="712">
        <f>Sheet1!BA303+Sheet1!BB303+Sheet1!BN303+BT303</f>
        <v>15.8</v>
      </c>
      <c r="AG303" s="712">
        <f t="shared" si="854"/>
        <v>15.684047894938356</v>
      </c>
      <c r="AH303" s="712">
        <f>Sheet1!BA303+BT303</f>
        <v>0</v>
      </c>
      <c r="AI303" s="712">
        <f>Sheet1!BA303+Sheet1!BB303+BT303</f>
        <v>0</v>
      </c>
      <c r="AJ303" s="712">
        <f>IF((Sheet1!AA303+AG303+AX303+AZ303+BQ303+BS303+CL303+CN303)&lt;=N303,AG303+AX303+AZ303+BQ303+BS303+CL303+CN303,N303-Sheet1!AA303)</f>
        <v>15.684047894938356</v>
      </c>
      <c r="AK303" s="712">
        <f>IF(DR303&lt;K303,0,MAX(Sheet1!AA303+AG303-15/36*K303-N303,Sheet1!ED303,0))</f>
        <v>0</v>
      </c>
      <c r="AL303" s="712">
        <f>IF(OR(B303&gt;=FT303,B303&lt;FS303),0,15/36*K303-MAX(0,64.6-(137.6-(Sheet1!AA303+Sheet1!AB303))))</f>
        <v>0</v>
      </c>
      <c r="AM303" s="712">
        <f>Sheet1!CX303-110</f>
        <v>582.91666666666663</v>
      </c>
      <c r="AN303" s="712">
        <f>Sheet1!CW303-265</f>
        <v>622.20000000000005</v>
      </c>
      <c r="AO303" s="712">
        <f t="shared" si="835"/>
        <v>27.26595210505873</v>
      </c>
      <c r="AP303" s="712">
        <f t="shared" si="855"/>
        <v>0</v>
      </c>
      <c r="AQ303" s="712">
        <f t="shared" si="856"/>
        <v>0</v>
      </c>
      <c r="AR303" s="712">
        <f t="shared" si="857"/>
        <v>206.02117166449352</v>
      </c>
      <c r="AS303" s="712"/>
      <c r="AT303" s="712">
        <f ca="1">IF(B303&gt;Summary!$A$1,#N/A,AR303*MGtoAF)</f>
        <v>632.07295466666619</v>
      </c>
      <c r="AU303" s="712">
        <f>Sheet1!BG303+Sheet1!BH303+Sheet1!BI303-BC303</f>
        <v>1.04</v>
      </c>
      <c r="AV303" s="712">
        <f t="shared" si="858"/>
        <v>1.0323677095402461</v>
      </c>
      <c r="AW303" s="712">
        <f>IF(Sheet1!EL303="FM",BC303,0)</f>
        <v>0</v>
      </c>
      <c r="AX303" s="712">
        <f t="shared" si="859"/>
        <v>0</v>
      </c>
      <c r="AY303" s="712">
        <f>IF(Sheet1!EL303="OTHER",BC303,0)</f>
        <v>0</v>
      </c>
      <c r="AZ303" s="712">
        <f t="shared" si="860"/>
        <v>0</v>
      </c>
      <c r="BA303" s="712">
        <f t="shared" si="861"/>
        <v>1.04</v>
      </c>
      <c r="BB303" s="712">
        <f t="shared" si="862"/>
        <v>1.0323677095402461</v>
      </c>
      <c r="BC303" s="712">
        <f>IF(OR(Sheet1!EL303="FM", Sheet1!EL303="OTHER"),SUM(Sheet1!BG303:'Sheet1'!BI303),0)</f>
        <v>0</v>
      </c>
      <c r="BD303" s="697">
        <f>IF(AND($B303&gt;=$FL303,$B303&lt;=$FM303),MAX(AV303,Sheet1!EE303,0),MAX(AV303-(7/36)*$K303,0))</f>
        <v>1.0323677095402461</v>
      </c>
      <c r="BE303" s="712">
        <f t="shared" si="863"/>
        <v>0</v>
      </c>
      <c r="BF303" s="697">
        <f t="shared" si="864"/>
        <v>0</v>
      </c>
      <c r="BG303" s="697">
        <f>IF(AND($O303&gt;0,Sheet1!EI303=1),(1-($O303-Sheet1!$L303)/$O303)*BB303,0)</f>
        <v>0</v>
      </c>
      <c r="BH303" s="697">
        <f>IF(AND(Sheet1!$L303=0,Sheet1!$L302=0, Calculation!BA303&lt;Sheet1!$EE303-0.1,Sheet1!$EE303=Sheet1!$EE302,Sheet1!$EE303=Sheet1!$EE304),Sheet1!$EE303,BB303-BG303)</f>
        <v>1.0323677095402461</v>
      </c>
      <c r="BI303" s="712"/>
      <c r="BJ303" s="712"/>
      <c r="BK303" s="712">
        <f t="shared" si="865"/>
        <v>73.128487481220361</v>
      </c>
      <c r="BL303" s="712"/>
      <c r="BM303" s="712">
        <f ca="1">IF(B303&gt;Summary!$A$1,#N/A,BK303*MGtoAF)</f>
        <v>224.35819959238407</v>
      </c>
      <c r="BN303" s="712">
        <f>Sheet1!BC303+Sheet1!BD303+Sheet1!BE303+Sheet1!BF303-BW303-BX303</f>
        <v>2.5</v>
      </c>
      <c r="BO303" s="712">
        <f t="shared" si="866"/>
        <v>2.481653147933284</v>
      </c>
      <c r="BP303" s="712">
        <f>IF(Sheet1!EM303="FM",BX303,0)</f>
        <v>0</v>
      </c>
      <c r="BQ303" s="712">
        <f t="shared" si="867"/>
        <v>0</v>
      </c>
      <c r="BR303" s="712">
        <f>IF(Sheet1!EM303="OTHER",BX303,0)</f>
        <v>0</v>
      </c>
      <c r="BS303" s="712">
        <f t="shared" si="868"/>
        <v>0</v>
      </c>
      <c r="BT303" s="712">
        <f t="shared" si="869"/>
        <v>0</v>
      </c>
      <c r="BU303" s="712">
        <f t="shared" si="870"/>
        <v>2.5</v>
      </c>
      <c r="BV303" s="712">
        <f t="shared" si="871"/>
        <v>2.481653147933284</v>
      </c>
      <c r="BW303" s="712">
        <f>IF(Sheet1!EM303="CWA",SUM(Sheet1!BC303:'Sheet1'!BF303),0)</f>
        <v>0</v>
      </c>
      <c r="BX303" s="712">
        <f>IF(OR(Sheet1!EM303="FM", Sheet1!EM303="OTHER"),SUM(Sheet1!BC303:'Sheet1'!BF303),0)</f>
        <v>0</v>
      </c>
      <c r="BY303" s="697">
        <f>IF(AND($B303&gt;=$FL303,$B303&lt;=$FM303),MAX(BV303,Sheet1!EF303,0),MAX(BV303-(7/36)*$K303,0))</f>
        <v>2.5</v>
      </c>
      <c r="BZ303" s="712">
        <f t="shared" si="872"/>
        <v>0</v>
      </c>
      <c r="CA303" s="697">
        <f t="shared" si="873"/>
        <v>0</v>
      </c>
      <c r="CB303" s="697">
        <f>IF(AND($O303&gt;0,Sheet1!EJ303=1),(1-($O303-Sheet1!$L303)/$O303)*BV303,0)</f>
        <v>0</v>
      </c>
      <c r="CC303" s="697">
        <f>IF(AND(Sheet1!$L303=0,Sheet1!$L302=0, Calculation!BU303&lt;Sheet1!EF303-0.1,Sheet1!EF303=Sheet1!EF302,Sheet1!EF303=Sheet1!EF304),Sheet1!EF303,BV303-CB303)</f>
        <v>2.481653147933284</v>
      </c>
      <c r="CD303" s="697"/>
      <c r="CE303" s="712"/>
      <c r="CF303" s="712">
        <f t="shared" si="874"/>
        <v>112.32711327739099</v>
      </c>
      <c r="CG303" s="712"/>
      <c r="CH303" s="712">
        <f ca="1">IF(B303&gt;Summary!$A$1,#N/A,CF303*MGtoAF)</f>
        <v>344.61958353503559</v>
      </c>
      <c r="CI303" s="712">
        <f>Sheet1!BK303+Sheet1!BL303+Sheet1!BM303-Sheet1!EN303-CQ303</f>
        <v>6.55</v>
      </c>
      <c r="CJ303" s="712">
        <f t="shared" si="875"/>
        <v>6.5019312475852038</v>
      </c>
      <c r="CK303" s="712">
        <f>IF(Sheet1!EN303="FM",CQ303,0)</f>
        <v>0</v>
      </c>
      <c r="CL303" s="712">
        <f t="shared" si="876"/>
        <v>0</v>
      </c>
      <c r="CM303" s="712">
        <f>IF(Sheet1!EN303="OTHER",CQ303,0)</f>
        <v>0</v>
      </c>
      <c r="CN303" s="712">
        <f t="shared" si="877"/>
        <v>0</v>
      </c>
      <c r="CO303" s="712">
        <f t="shared" si="878"/>
        <v>6.55</v>
      </c>
      <c r="CP303" s="712">
        <f t="shared" si="879"/>
        <v>6.5019312475852038</v>
      </c>
      <c r="CQ303" s="712">
        <f>IF(OR(Sheet1!EN303="FM", Sheet1!EN303="OTHER"),SUM(Sheet1!BK303:'Sheet1'!BM303),0)</f>
        <v>0</v>
      </c>
      <c r="CR303" s="697">
        <f>IF(AND($B303&gt;=$FL303,$B303&lt;=$FM303),MAX($CJ303,Sheet1!EG303,0),MAX($CJ303-(7/36)*$K303,0))</f>
        <v>6.5019312475852038</v>
      </c>
      <c r="CS303" s="712">
        <f t="shared" si="880"/>
        <v>0</v>
      </c>
      <c r="CT303" s="697">
        <f t="shared" si="881"/>
        <v>0</v>
      </c>
      <c r="CU303" s="697">
        <f>IF(AND($O303&gt;0,Sheet1!EK303=1),(1-($O303-Sheet1!$L303)/$O303)*CP303,0)</f>
        <v>0</v>
      </c>
      <c r="CV303" s="697">
        <f>IF(AND(Sheet1!$L303=0,Sheet1!$L302=0, Calculation!CO303&lt;Sheet1!$EG303-0.1,Sheet1!$EG303=Sheet1!$EG302,Sheet1!$EG303=Sheet1!$EG304),Sheet1!$EG303,CP303-CU303)</f>
        <v>6.5019312475852038</v>
      </c>
      <c r="CW303" s="697">
        <f t="shared" si="837"/>
        <v>0</v>
      </c>
      <c r="CX303" s="712">
        <f t="shared" si="882"/>
        <v>10.09</v>
      </c>
      <c r="CY303" s="712">
        <f t="shared" si="883"/>
        <v>221.05159574053263</v>
      </c>
      <c r="CZ303" s="712">
        <f t="shared" si="884"/>
        <v>10.015952105058734</v>
      </c>
      <c r="DA303" s="712">
        <f ca="1">IF(B303&gt;Summary!$A$1,#N/A,CY303*MGtoAF)</f>
        <v>678.18629573195415</v>
      </c>
      <c r="DB303" s="712">
        <f t="shared" si="885"/>
        <v>10.09</v>
      </c>
      <c r="DC303" s="712">
        <f t="shared" si="886"/>
        <v>25.89</v>
      </c>
      <c r="DD303" s="712">
        <f>Sheet1!AB303-DC303</f>
        <v>-0.19000000000291095</v>
      </c>
      <c r="DE303" s="712">
        <f t="shared" si="887"/>
        <v>-7.3387408266864023E-3</v>
      </c>
      <c r="DF303" s="712">
        <f>(VLOOKUP(Sheet1!CY303,hhdcap_wcm,4)-(((VLOOKUP(Sheet1!CY303,hhdcap_wcm,3)-Sheet1!CY303)/(VLOOKUP(Sheet1!CY303,hhdcap_wcm,3)-VLOOKUP(Sheet1!CY303,hhdcap_wcm,1)))*(VLOOKUP(Sheet1!CY303,hhdcap_wcm,4)-VLOOKUP(Sheet1!CY303,hhdcap_wcm,2))))</f>
        <v>11337.060000022671</v>
      </c>
      <c r="DG303" s="712">
        <f t="shared" si="888"/>
        <v>-929.46000000206004</v>
      </c>
      <c r="DH303" s="712">
        <f t="shared" si="889"/>
        <v>-468.71406959256677</v>
      </c>
      <c r="DI303" s="712">
        <f>Sheet1!DW303*AFtoMG</f>
        <v>0</v>
      </c>
      <c r="DJ303" s="712">
        <f>Sheet1!DX303*AFtoMG</f>
        <v>0</v>
      </c>
      <c r="DK303" s="712">
        <f>Sheet1!DY303*AFtoMG</f>
        <v>0</v>
      </c>
      <c r="DL303" s="712">
        <f>Sheet1!DZ303*AFtoMG</f>
        <v>0</v>
      </c>
      <c r="DM303" s="712">
        <f t="shared" si="890"/>
        <v>0</v>
      </c>
      <c r="DN303" s="712">
        <f t="shared" si="891"/>
        <v>0</v>
      </c>
      <c r="DO303" s="712">
        <f t="shared" si="892"/>
        <v>612.52836816363754</v>
      </c>
      <c r="DP303" s="712">
        <f t="shared" si="893"/>
        <v>1879.23703352604</v>
      </c>
      <c r="DQ303" s="712"/>
      <c r="DR303" s="697">
        <f>IF(OR(B303&lt;FL303,B303&gt;FM303),(MIN(AV303+BO303+CJ303+MAX(Sheet1!AA303+AG303-73,0),K303)),0)</f>
        <v>0</v>
      </c>
      <c r="DS303" s="712"/>
      <c r="DT303" s="712">
        <f t="shared" si="894"/>
        <v>10.015952105058734</v>
      </c>
      <c r="DU303" s="712"/>
      <c r="DV303" s="712">
        <f>Sheet1!ED303+Sheet1!EE303+Sheet1!EF303+Sheet1!EG303</f>
        <v>10</v>
      </c>
      <c r="DW303" s="712"/>
      <c r="DX303" s="697">
        <f t="shared" si="895"/>
        <v>0</v>
      </c>
      <c r="DY303" s="712">
        <f>IF(Sheet1!FN303=1,SUM('Calculations II'!AT303:BA303)+'Calculations II'!BC303+Sheet1!BU303+'Calculations II'!BE303+AF303,SUM('Calculations II'!AT303:BA303)+'Calculations II'!BC303+Sheet1!BU303+'Calculations II'!BE303+AF303)</f>
        <v>43.836991999999995</v>
      </c>
      <c r="DZ303" s="712">
        <f>Sheet1!AA303+Sheet1!AB303+'Calculations II'!BC303</f>
        <v>55.75</v>
      </c>
      <c r="EA303" s="712"/>
      <c r="EB303" s="712"/>
      <c r="EC303" s="712">
        <f t="shared" si="896"/>
        <v>40832</v>
      </c>
      <c r="ED303" s="712">
        <f t="shared" si="897"/>
        <v>-10.034298957125451</v>
      </c>
      <c r="EE303" s="712">
        <f t="shared" si="898"/>
        <v>-15.523060486673071</v>
      </c>
      <c r="EF303" s="712">
        <f ca="1">IF(B303=TODAY(),0,-(VLOOKUP(Sheet1!BQ303,Lookup!$B$4:$J$236,2)-VLOOKUP(Sheet1!BQ302,Lookup!$B$4:$J$236,2))/1000000)</f>
        <v>-1.0548</v>
      </c>
      <c r="EG303" s="712">
        <f ca="1">IF(B303=TODAY(),0,-(VLOOKUP(Sheet1!BR303,Lookup!$B$4:$J$236,3)-VLOOKUP(Sheet1!BR302,Lookup!$B$4:$J$236,3))/1000000)</f>
        <v>-0.78990000000000005</v>
      </c>
      <c r="EH303" s="712">
        <f>-(VLOOKUP(Sheet1!BS303,Lookup!$B$4:$J$236,4)-VLOOKUP(Sheet1!BS302,Lookup!$B$4:$J$236,4))/1000000</f>
        <v>0</v>
      </c>
      <c r="EI303" s="697">
        <f t="shared" ca="1" si="819"/>
        <v>-1.8447</v>
      </c>
      <c r="EJ303" s="712"/>
      <c r="EK303" s="712"/>
      <c r="EL303" s="712"/>
      <c r="EM303" s="712"/>
      <c r="EN303" s="712"/>
      <c r="EO303" s="712"/>
      <c r="EP303" s="712"/>
      <c r="EQ303" s="712"/>
      <c r="ER303" s="697">
        <f t="shared" ref="ER303:ER322" si="920">ER302-ES303</f>
        <v>-1550.4289289444396</v>
      </c>
      <c r="ES303" s="712">
        <f t="shared" ref="ES303:ES322" si="921">-IF(-(AB303-AE303-EZ303-ER302)&gt;0,(AB303-AE303-EZ303-ER302)/1.983,0)</f>
        <v>632.90753263728573</v>
      </c>
      <c r="ET303" s="794">
        <f t="shared" si="919"/>
        <v>1117</v>
      </c>
      <c r="EU303" s="794" t="e">
        <f t="shared" si="838"/>
        <v>#N/A</v>
      </c>
      <c r="EV303" s="795" t="e">
        <f t="shared" si="836"/>
        <v>#N/A</v>
      </c>
      <c r="EW303" s="796" t="s">
        <v>757</v>
      </c>
      <c r="EX303" s="796" t="s">
        <v>757</v>
      </c>
      <c r="EY303" s="794" t="e">
        <v>#N/A</v>
      </c>
      <c r="EZ303" s="798">
        <v>11630.400000023523</v>
      </c>
      <c r="FA303" s="712"/>
      <c r="FB303" s="712"/>
      <c r="FC303" s="712"/>
      <c r="FD303" s="712"/>
      <c r="FE303" s="712">
        <f>O303+Sheet1!CO303</f>
        <v>55.75</v>
      </c>
      <c r="FF303" s="712">
        <f>IF(Sheet1!AA303+AG303&lt;=Calculation!N303,AG303,Calculation!N303-Sheet1!AA303)</f>
        <v>15.684047894938356</v>
      </c>
      <c r="FG303" s="712">
        <f>(Sheet1!BP303+Sheet1!BO303)/694.4</f>
        <v>1.4857430875576039</v>
      </c>
      <c r="FH303" s="712"/>
      <c r="FI303" s="712"/>
      <c r="FJ303" s="712"/>
      <c r="FK303" s="712"/>
      <c r="FL303" s="714">
        <f t="shared" si="827"/>
        <v>40753</v>
      </c>
      <c r="FM303" s="714">
        <f t="shared" si="828"/>
        <v>40851</v>
      </c>
      <c r="FN303" s="712"/>
      <c r="FO303" s="712"/>
      <c r="FP303" s="712"/>
      <c r="FQ303" s="712"/>
      <c r="FR303" s="712"/>
      <c r="FS303" s="725">
        <f t="shared" si="918"/>
        <v>40603</v>
      </c>
      <c r="FT303" s="714">
        <f t="shared" si="830"/>
        <v>40709</v>
      </c>
      <c r="FU303" s="712">
        <f t="shared" si="918"/>
        <v>6518.9048239895692</v>
      </c>
      <c r="FV303" s="714">
        <f t="shared" si="831"/>
        <v>40722</v>
      </c>
      <c r="FW303" s="712">
        <f t="shared" si="918"/>
        <v>3259.4524119947846</v>
      </c>
      <c r="FX303" s="725">
        <f t="shared" si="918"/>
        <v>40851</v>
      </c>
      <c r="FZ303" s="697">
        <f t="shared" si="824"/>
        <v>0</v>
      </c>
      <c r="GA303" s="712" t="str">
        <f t="shared" si="899"/>
        <v/>
      </c>
      <c r="GB303" s="712">
        <f t="shared" si="900"/>
        <v>0</v>
      </c>
      <c r="GC303" s="712" t="str">
        <f t="shared" si="901"/>
        <v/>
      </c>
      <c r="GD303" s="712">
        <f>IF(GA303="P",Lookup!$M$12,IF(GA303="PP",Lookup!$M$13,IF(GA303="PPP",Lookup!$M$14,IF(GA303="T",Lookup!$M$15,IF(GA303="TP",Lookup!$M$16,IF(GA303="TPP",Lookup!$M$17,IF(GA303="TPPP",Lookup!$M$18,0)))))))*FZ303</f>
        <v>0</v>
      </c>
      <c r="GE303" s="712">
        <f t="shared" si="902"/>
        <v>0</v>
      </c>
      <c r="GF303" s="712">
        <f t="shared" si="903"/>
        <v>632.07295466666619</v>
      </c>
      <c r="GG303" s="712">
        <f t="shared" si="904"/>
        <v>206.02117166449352</v>
      </c>
      <c r="GH303" s="712"/>
      <c r="GI303" s="712">
        <f t="shared" si="905"/>
        <v>0</v>
      </c>
      <c r="GJ303" s="712" t="str">
        <f t="shared" si="906"/>
        <v/>
      </c>
      <c r="GK303" s="712">
        <f>IF(GA303="P",Lookup!$N$12,IF(GA303="PP",Lookup!$N$13,IF(GA303="PPP",Lookup!$N$14,IF(GA303="T",Lookup!$N$15,IF(GA303="TP",Lookup!$N$16,IF(GA303="TPP",Lookup!$N$17,IF(GA303="TPPP",Lookup!$N$18,0)))))))*FZ303</f>
        <v>0</v>
      </c>
      <c r="GL303" s="712">
        <f t="shared" si="907"/>
        <v>0</v>
      </c>
      <c r="GM303" s="712">
        <f t="shared" si="908"/>
        <v>224.35819959238407</v>
      </c>
      <c r="GN303" s="712">
        <f t="shared" si="909"/>
        <v>73.128487481220361</v>
      </c>
      <c r="GO303" s="712"/>
      <c r="GP303" s="712">
        <f t="shared" si="910"/>
        <v>0</v>
      </c>
      <c r="GQ303" s="712" t="str">
        <f t="shared" si="911"/>
        <v/>
      </c>
      <c r="GR303" s="712">
        <f>IF(GA303="P",Lookup!$N$12,IF(GA303="PP",Lookup!$N$13,IF(GA303="PPP",Lookup!$N$14,IF(GA303="T",Lookup!$N$15,IF(GA303="TP",Lookup!$N$16,IF(GA303="TPP",Lookup!$N$17,IF(GA303="TPPP",Lookup!$N$18,0)))))))*FZ303</f>
        <v>0</v>
      </c>
      <c r="GS303" s="697">
        <f t="shared" si="825"/>
        <v>0</v>
      </c>
      <c r="GT303" s="712">
        <f t="shared" si="912"/>
        <v>344.61958353503559</v>
      </c>
      <c r="GU303" s="712">
        <f t="shared" si="913"/>
        <v>112.32711327739099</v>
      </c>
      <c r="GV303" s="712"/>
      <c r="GW303" s="712">
        <f t="shared" si="914"/>
        <v>0</v>
      </c>
      <c r="GX303" s="712" t="str">
        <f t="shared" si="915"/>
        <v/>
      </c>
      <c r="GY303" s="712">
        <f>IF(GA303="P",Lookup!$N$12,IF(GA303="PP",Lookup!$N$13,IF(GA303="PPP",Lookup!$N$14,IF(GA303="T",Lookup!$N$15,IF(GA303="TP",Lookup!$N$16,IF(GA303="TPP",Lookup!$N$17,IF(GA303="TPPP",Lookup!$N$18,0)))))))*FZ303</f>
        <v>0</v>
      </c>
      <c r="GZ303" s="697">
        <f t="shared" si="826"/>
        <v>0</v>
      </c>
      <c r="HA303" s="712">
        <f t="shared" si="916"/>
        <v>678.18629573195415</v>
      </c>
      <c r="HB303" s="712">
        <f t="shared" si="917"/>
        <v>221.05159574053263</v>
      </c>
      <c r="HC303" s="712"/>
    </row>
    <row r="304" spans="1:211">
      <c r="A304" s="773" t="s">
        <v>4</v>
      </c>
      <c r="B304" s="708">
        <v>40833</v>
      </c>
      <c r="C304" s="709">
        <v>0.5</v>
      </c>
      <c r="D304" s="675">
        <f t="shared" si="840"/>
        <v>300</v>
      </c>
      <c r="E304" s="675">
        <f t="shared" si="841"/>
        <v>250</v>
      </c>
      <c r="F304" s="675">
        <v>250</v>
      </c>
      <c r="G304" s="712">
        <f>DH304+Sheet1!CV304</f>
        <v>276.79979828441543</v>
      </c>
      <c r="H304" s="712">
        <f t="shared" si="842"/>
        <v>0</v>
      </c>
      <c r="I304" s="711">
        <f>MAX(Sheet1!Z304-AJ304+(Sheet1!CW304-E304)*CFStoMGD,0)</f>
        <v>405.42336856702491</v>
      </c>
      <c r="J304" s="720">
        <f>IF(AND(B304&gt;=Calculation!FS304,B304&lt;=Calculation!FT304),IF(Sheet1!CX304&gt;=Calculation!D304,64.64,0),MAX(Sheet1!Z304-AJ304+(Sheet1!CX304-D304)*CFStoMGD,0))</f>
        <v>254.07150190035827</v>
      </c>
      <c r="K304" s="697">
        <f t="shared" si="843"/>
        <v>0</v>
      </c>
      <c r="L304" s="712">
        <f>Sheet1!AA304+Sheet1!AB304-Sheet1!L304+(Sheet1!CW304-F304)*CFStoMGD</f>
        <v>451.73379999999503</v>
      </c>
      <c r="M304" s="712">
        <f t="shared" si="844"/>
        <v>182.50185740326705</v>
      </c>
      <c r="N304" s="712">
        <f>IF(Sheet1!CW304&gt;=F304,MIN(73,MIN(MAX(L304,0),MAX(M304,0))),0)</f>
        <v>73</v>
      </c>
      <c r="O304" s="721">
        <f>Sheet1!AA304+Sheet1!AB304</f>
        <v>56.439999999995052</v>
      </c>
      <c r="P304" s="721">
        <f t="shared" si="845"/>
        <v>87.312679999992341</v>
      </c>
      <c r="Q304" s="712">
        <f>MIN(N304,Sheet1!AA304+AG304)</f>
        <v>46.260431432968062</v>
      </c>
      <c r="R304" s="712">
        <f t="shared" si="846"/>
        <v>10</v>
      </c>
      <c r="S304" s="721">
        <f>Sheet1!Y304*MGDtoCFS</f>
        <v>47.044269999999997</v>
      </c>
      <c r="T304" s="721">
        <f>Sheet1!Z304*MGDtoCFS</f>
        <v>40.160119999999999</v>
      </c>
      <c r="U304" s="721">
        <f>Sheet1!AA304*MGDtoCFS</f>
        <v>47.075209999989191</v>
      </c>
      <c r="V304" s="721">
        <f>Sheet1!AB304*MGDtoCFS</f>
        <v>40.23747000000315</v>
      </c>
      <c r="W304" s="721">
        <f>Sheet1!L304*MGDtoCFS</f>
        <v>0</v>
      </c>
      <c r="X304" s="697">
        <f t="shared" si="847"/>
        <v>10.17956856702699</v>
      </c>
      <c r="Y304" s="712">
        <f t="shared" si="848"/>
        <v>15.747792573190754</v>
      </c>
      <c r="Z304" s="712">
        <f t="shared" si="849"/>
        <v>0</v>
      </c>
      <c r="AA304" s="712">
        <f t="shared" si="850"/>
        <v>0</v>
      </c>
      <c r="AB304" s="712">
        <f>(VLOOKUP(Sheet1!CY304,hhdcap_wcm,4)-(((VLOOKUP(Sheet1!CY304,hhdcap_wcm,3)-Sheet1!CY304)/(VLOOKUP(Sheet1!CY304,hhdcap_wcm,3)-VLOOKUP(Sheet1!CY304,hhdcap_wcm,1)))*(VLOOKUP(Sheet1!CY304,hhdcap_wcm,4)-VLOOKUP(Sheet1!CY304,hhdcap_wcm,2))))</f>
        <v>10376.230000020667</v>
      </c>
      <c r="AC304" s="712">
        <f t="shared" si="851"/>
        <v>-960.83000000200445</v>
      </c>
      <c r="AD304" s="712">
        <f t="shared" si="852"/>
        <v>602.34879959661055</v>
      </c>
      <c r="AE304" s="712">
        <f t="shared" si="853"/>
        <v>1848.0061171624011</v>
      </c>
      <c r="AF304" s="712">
        <f>Sheet1!BA304+Sheet1!BB304+Sheet1!BN304+BT304</f>
        <v>15.8</v>
      </c>
      <c r="AG304" s="712">
        <f t="shared" si="854"/>
        <v>15.830431432975047</v>
      </c>
      <c r="AH304" s="712">
        <f>Sheet1!BA304+BT304</f>
        <v>0</v>
      </c>
      <c r="AI304" s="712">
        <f>Sheet1!BA304+Sheet1!BB304+BT304</f>
        <v>0</v>
      </c>
      <c r="AJ304" s="712">
        <f>IF((Sheet1!AA304+AG304+AX304+AZ304+BQ304+BS304+CL304+CN304)&lt;=N304,AG304+AX304+AZ304+BQ304+BS304+CL304+CN304,N304-Sheet1!AA304)</f>
        <v>15.830431432975047</v>
      </c>
      <c r="AK304" s="712">
        <f>IF(DR304&lt;K304,0,MAX(Sheet1!AA304+AG304-15/36*K304-N304,Sheet1!ED304,0))</f>
        <v>0</v>
      </c>
      <c r="AL304" s="712">
        <f>IF(OR(B304&gt;=FT304,B304&lt;FS304),0,15/36*K304-MAX(0,64.6-(137.6-(Sheet1!AA304+Sheet1!AB304))))</f>
        <v>0</v>
      </c>
      <c r="AM304" s="712">
        <f>Sheet1!CX304-110</f>
        <v>567.38541666666663</v>
      </c>
      <c r="AN304" s="712">
        <f>Sheet1!CW304-265</f>
        <v>596.53125</v>
      </c>
      <c r="AO304" s="712">
        <f t="shared" si="835"/>
        <v>26.739568567031938</v>
      </c>
      <c r="AP304" s="712">
        <f t="shared" si="855"/>
        <v>0</v>
      </c>
      <c r="AQ304" s="712">
        <f t="shared" si="856"/>
        <v>0</v>
      </c>
      <c r="AR304" s="712">
        <f t="shared" si="857"/>
        <v>206.02117166449352</v>
      </c>
      <c r="AS304" s="712"/>
      <c r="AT304" s="712">
        <f ca="1">IF(B304&gt;Summary!$A$1,#N/A,AR304*MGtoAF)</f>
        <v>632.07295466666619</v>
      </c>
      <c r="AU304" s="712">
        <f>Sheet1!BG304+Sheet1!BH304+Sheet1!BI304-BC304</f>
        <v>1.04</v>
      </c>
      <c r="AV304" s="712">
        <f t="shared" si="858"/>
        <v>1.0420030816641803</v>
      </c>
      <c r="AW304" s="712">
        <f>IF(Sheet1!EL304="FM",BC304,0)</f>
        <v>0</v>
      </c>
      <c r="AX304" s="712">
        <f t="shared" si="859"/>
        <v>0</v>
      </c>
      <c r="AY304" s="712">
        <f>IF(Sheet1!EL304="OTHER",BC304,0)</f>
        <v>0</v>
      </c>
      <c r="AZ304" s="712">
        <f t="shared" si="860"/>
        <v>0</v>
      </c>
      <c r="BA304" s="712">
        <f t="shared" si="861"/>
        <v>1.04</v>
      </c>
      <c r="BB304" s="712">
        <f t="shared" si="862"/>
        <v>1.0420030816641803</v>
      </c>
      <c r="BC304" s="712">
        <f>IF(OR(Sheet1!EL304="FM", Sheet1!EL304="OTHER"),SUM(Sheet1!BG304:'Sheet1'!BI304),0)</f>
        <v>0</v>
      </c>
      <c r="BD304" s="697">
        <f>IF(AND($B304&gt;=$FL304,$B304&lt;=$FM304),MAX(AV304,Sheet1!EE304,0),MAX(AV304-(7/36)*$K304,0))</f>
        <v>1.0420030816641803</v>
      </c>
      <c r="BE304" s="712">
        <f t="shared" si="863"/>
        <v>0</v>
      </c>
      <c r="BF304" s="697">
        <f t="shared" si="864"/>
        <v>0</v>
      </c>
      <c r="BG304" s="697">
        <f>IF(AND($O304&gt;0,Sheet1!EI304=1),(1-($O304-Sheet1!$L304)/$O304)*BB304,0)</f>
        <v>0</v>
      </c>
      <c r="BH304" s="697">
        <f>IF(AND(Sheet1!$L304=0,Sheet1!$L303=0, Calculation!BA304&lt;Sheet1!$EE304-0.1,Sheet1!$EE304=Sheet1!$EE303,Sheet1!$EE304=Sheet1!$EE305),Sheet1!$EE304,BB304-BG304)</f>
        <v>1.0420030816641803</v>
      </c>
      <c r="BI304" s="712"/>
      <c r="BJ304" s="712"/>
      <c r="BK304" s="712">
        <f t="shared" si="865"/>
        <v>72.086484399556184</v>
      </c>
      <c r="BL304" s="712"/>
      <c r="BM304" s="712">
        <f ca="1">IF(B304&gt;Summary!$A$1,#N/A,BK304*MGtoAF)</f>
        <v>221.16133413783837</v>
      </c>
      <c r="BN304" s="712">
        <f>Sheet1!BC304+Sheet1!BD304+Sheet1!BE304+Sheet1!BF304-BW304-BX304</f>
        <v>2.57</v>
      </c>
      <c r="BO304" s="712">
        <f t="shared" si="866"/>
        <v>2.574949922958599</v>
      </c>
      <c r="BP304" s="712">
        <f>IF(Sheet1!EM304="FM",BX304,0)</f>
        <v>0</v>
      </c>
      <c r="BQ304" s="712">
        <f t="shared" si="867"/>
        <v>0</v>
      </c>
      <c r="BR304" s="712">
        <f>IF(Sheet1!EM304="OTHER",BX304,0)</f>
        <v>0</v>
      </c>
      <c r="BS304" s="712">
        <f t="shared" si="868"/>
        <v>0</v>
      </c>
      <c r="BT304" s="712">
        <f t="shared" si="869"/>
        <v>0</v>
      </c>
      <c r="BU304" s="712">
        <f t="shared" si="870"/>
        <v>2.57</v>
      </c>
      <c r="BV304" s="712">
        <f t="shared" si="871"/>
        <v>2.574949922958599</v>
      </c>
      <c r="BW304" s="712">
        <f>IF(Sheet1!EM304="CWA",SUM(Sheet1!BC304:'Sheet1'!BF304),0)</f>
        <v>0</v>
      </c>
      <c r="BX304" s="712">
        <f>IF(OR(Sheet1!EM304="FM", Sheet1!EM304="OTHER"),SUM(Sheet1!BC304:'Sheet1'!BF304),0)</f>
        <v>0</v>
      </c>
      <c r="BY304" s="697">
        <f>IF(AND($B304&gt;=$FL304,$B304&lt;=$FM304),MAX(BV304,Sheet1!EF304,0),MAX(BV304-(7/36)*$K304,0))</f>
        <v>2.574949922958599</v>
      </c>
      <c r="BZ304" s="712">
        <f t="shared" si="872"/>
        <v>0</v>
      </c>
      <c r="CA304" s="697">
        <f t="shared" si="873"/>
        <v>0</v>
      </c>
      <c r="CB304" s="697">
        <f>IF(AND($O304&gt;0,Sheet1!EJ304=1),(1-($O304-Sheet1!$L304)/$O304)*BV304,0)</f>
        <v>0</v>
      </c>
      <c r="CC304" s="697">
        <f>IF(AND(Sheet1!$L304=0,Sheet1!$L303=0, Calculation!BU304&lt;Sheet1!EF304-0.1,Sheet1!EF304=Sheet1!EF303,Sheet1!EF304=Sheet1!EF305),Sheet1!EF304,BV304-CB304)</f>
        <v>2.574949922958599</v>
      </c>
      <c r="CD304" s="697"/>
      <c r="CE304" s="712"/>
      <c r="CF304" s="712">
        <f t="shared" si="874"/>
        <v>109.7521633544324</v>
      </c>
      <c r="CG304" s="712"/>
      <c r="CH304" s="712">
        <f ca="1">IF(B304&gt;Summary!$A$1,#N/A,CF304*MGtoAF)</f>
        <v>336.71963717139857</v>
      </c>
      <c r="CI304" s="712">
        <f>Sheet1!BK304+Sheet1!BL304+Sheet1!BM304-Sheet1!EN304-CQ304</f>
        <v>6.5500000000000007</v>
      </c>
      <c r="CJ304" s="712">
        <f t="shared" si="875"/>
        <v>6.5626155624042122</v>
      </c>
      <c r="CK304" s="712">
        <f>IF(Sheet1!EN304="FM",CQ304,0)</f>
        <v>0</v>
      </c>
      <c r="CL304" s="712">
        <f t="shared" si="876"/>
        <v>0</v>
      </c>
      <c r="CM304" s="712">
        <f>IF(Sheet1!EN304="OTHER",CQ304,0)</f>
        <v>0</v>
      </c>
      <c r="CN304" s="712">
        <f t="shared" si="877"/>
        <v>0</v>
      </c>
      <c r="CO304" s="712">
        <f t="shared" si="878"/>
        <v>6.5500000000000007</v>
      </c>
      <c r="CP304" s="712">
        <f t="shared" si="879"/>
        <v>6.5626155624042122</v>
      </c>
      <c r="CQ304" s="712">
        <f>IF(OR(Sheet1!EN304="FM", Sheet1!EN304="OTHER"),SUM(Sheet1!BK304:'Sheet1'!BM304),0)</f>
        <v>0</v>
      </c>
      <c r="CR304" s="697">
        <f>IF(AND($B304&gt;=$FL304,$B304&lt;=$FM304),MAX($CJ304,Sheet1!EG304,0),MAX($CJ304-(7/36)*$K304,0))</f>
        <v>6.5626155624042122</v>
      </c>
      <c r="CS304" s="712">
        <f t="shared" si="880"/>
        <v>0</v>
      </c>
      <c r="CT304" s="697">
        <f t="shared" si="881"/>
        <v>0</v>
      </c>
      <c r="CU304" s="697">
        <f>IF(AND($O304&gt;0,Sheet1!EK304=1),(1-($O304-Sheet1!$L304)/$O304)*CP304,0)</f>
        <v>0</v>
      </c>
      <c r="CV304" s="697">
        <f>IF(AND(Sheet1!$L304=0,Sheet1!$L303=0, Calculation!CO304&lt;Sheet1!$EG304-0.1,Sheet1!$EG304=Sheet1!$EG303,Sheet1!$EG304=Sheet1!$EG305),Sheet1!$EG304,CP304-CU304)</f>
        <v>6.5626155624042122</v>
      </c>
      <c r="CW304" s="697">
        <f t="shared" si="837"/>
        <v>0</v>
      </c>
      <c r="CX304" s="712">
        <f t="shared" si="882"/>
        <v>10.16</v>
      </c>
      <c r="CY304" s="712">
        <f t="shared" si="883"/>
        <v>214.48898017812843</v>
      </c>
      <c r="CZ304" s="712">
        <f t="shared" si="884"/>
        <v>10.17956856702699</v>
      </c>
      <c r="DA304" s="712">
        <f ca="1">IF(B304&gt;Summary!$A$1,#N/A,CY304*MGtoAF)</f>
        <v>658.05219118649802</v>
      </c>
      <c r="DB304" s="712">
        <f t="shared" si="885"/>
        <v>10.16</v>
      </c>
      <c r="DC304" s="712">
        <f t="shared" si="886"/>
        <v>25.96</v>
      </c>
      <c r="DD304" s="712">
        <f>Sheet1!AB304-DC304</f>
        <v>5.0000000002036415E-2</v>
      </c>
      <c r="DE304" s="712">
        <f t="shared" si="887"/>
        <v>1.9260400617117262E-3</v>
      </c>
      <c r="DF304" s="712">
        <f>(VLOOKUP(Sheet1!CY304,hhdcap_wcm,4)-(((VLOOKUP(Sheet1!CY304,hhdcap_wcm,3)-Sheet1!CY304)/(VLOOKUP(Sheet1!CY304,hhdcap_wcm,3)-VLOOKUP(Sheet1!CY304,hhdcap_wcm,1)))*(VLOOKUP(Sheet1!CY304,hhdcap_wcm,4)-VLOOKUP(Sheet1!CY304,hhdcap_wcm,2))))</f>
        <v>10376.230000020667</v>
      </c>
      <c r="DG304" s="712">
        <f t="shared" si="888"/>
        <v>-960.83000000200445</v>
      </c>
      <c r="DH304" s="712">
        <f t="shared" si="889"/>
        <v>-484.53353504891794</v>
      </c>
      <c r="DI304" s="712">
        <f>Sheet1!DW304*AFtoMG</f>
        <v>0</v>
      </c>
      <c r="DJ304" s="712">
        <f>Sheet1!DX304*AFtoMG</f>
        <v>0</v>
      </c>
      <c r="DK304" s="712">
        <f>Sheet1!DY304*AFtoMG</f>
        <v>0</v>
      </c>
      <c r="DL304" s="712">
        <f>Sheet1!DZ304*AFtoMG</f>
        <v>0</v>
      </c>
      <c r="DM304" s="712">
        <f t="shared" si="890"/>
        <v>0</v>
      </c>
      <c r="DN304" s="712">
        <f t="shared" si="891"/>
        <v>0</v>
      </c>
      <c r="DO304" s="712">
        <f t="shared" si="892"/>
        <v>602.34879959661055</v>
      </c>
      <c r="DP304" s="712">
        <f t="shared" si="893"/>
        <v>1848.0061171624011</v>
      </c>
      <c r="DQ304" s="712"/>
      <c r="DR304" s="697">
        <f>IF(OR(B304&lt;FL304,B304&gt;FM304),(MIN(AV304+BO304+CJ304+MAX(Sheet1!AA304+AG304-73,0),K304)),0)</f>
        <v>0</v>
      </c>
      <c r="DS304" s="712"/>
      <c r="DT304" s="712">
        <f t="shared" si="894"/>
        <v>10.179568567026992</v>
      </c>
      <c r="DU304" s="712"/>
      <c r="DV304" s="712">
        <f>Sheet1!ED304+Sheet1!EE304+Sheet1!EF304+Sheet1!EG304</f>
        <v>10</v>
      </c>
      <c r="DW304" s="712"/>
      <c r="DX304" s="697">
        <f t="shared" si="895"/>
        <v>0</v>
      </c>
      <c r="DY304" s="712">
        <f>IF(Sheet1!FN304=1,SUM('Calculations II'!AT304:BA304)+'Calculations II'!BC304+Sheet1!BU304+'Calculations II'!BE304+AF304,SUM('Calculations II'!AT304:BA304)+'Calculations II'!BC304+Sheet1!BU304+'Calculations II'!BE304+AF304)</f>
        <v>45.916767999999998</v>
      </c>
      <c r="DZ304" s="712">
        <f>Sheet1!AA304+Sheet1!AB304+'Calculations II'!BC304</f>
        <v>56.439999999995052</v>
      </c>
      <c r="EA304" s="712"/>
      <c r="EB304" s="712"/>
      <c r="EC304" s="712">
        <f t="shared" si="896"/>
        <v>40833</v>
      </c>
      <c r="ED304" s="712">
        <f t="shared" si="897"/>
        <v>-10.17956856702699</v>
      </c>
      <c r="EE304" s="712">
        <f t="shared" si="898"/>
        <v>-15.747792573190754</v>
      </c>
      <c r="EF304" s="712">
        <f ca="1">IF(B304=TODAY(),0,-(VLOOKUP(Sheet1!BQ304,Lookup!$B$4:$J$236,2)-VLOOKUP(Sheet1!BQ303,Lookup!$B$4:$J$236,2))/1000000)</f>
        <v>0</v>
      </c>
      <c r="EG304" s="712">
        <f ca="1">IF(B304=TODAY(),0,-(VLOOKUP(Sheet1!BR304,Lookup!$B$4:$J$236,3)-VLOOKUP(Sheet1!BR303,Lookup!$B$4:$J$236,3))/1000000)</f>
        <v>0</v>
      </c>
      <c r="EH304" s="712">
        <f>-(VLOOKUP(Sheet1!BS304,Lookup!$B$4:$J$236,4)-VLOOKUP(Sheet1!BS303,Lookup!$B$4:$J$236,4))/1000000</f>
        <v>0</v>
      </c>
      <c r="EI304" s="697">
        <f t="shared" ca="1" si="819"/>
        <v>0</v>
      </c>
      <c r="EJ304" s="712"/>
      <c r="EK304" s="712"/>
      <c r="EL304" s="712"/>
      <c r="EM304" s="712"/>
      <c r="EN304" s="712"/>
      <c r="EO304" s="712"/>
      <c r="EP304" s="712"/>
      <c r="EQ304" s="712"/>
      <c r="ER304" s="697">
        <f t="shared" si="920"/>
        <v>-2232.3488423181425</v>
      </c>
      <c r="ES304" s="712">
        <f t="shared" si="921"/>
        <v>681.91991337370268</v>
      </c>
      <c r="ET304" s="794">
        <f t="shared" si="919"/>
        <v>1116.4000000000001</v>
      </c>
      <c r="EU304" s="794" t="e">
        <f t="shared" si="838"/>
        <v>#N/A</v>
      </c>
      <c r="EV304" s="795" t="e">
        <f t="shared" si="836"/>
        <v>#N/A</v>
      </c>
      <c r="EW304" s="796" t="s">
        <v>757</v>
      </c>
      <c r="EX304" s="796" t="s">
        <v>757</v>
      </c>
      <c r="EY304" s="794" t="e">
        <v>#N/A</v>
      </c>
      <c r="EZ304" s="798">
        <v>11430.900000022759</v>
      </c>
      <c r="FA304" s="712"/>
      <c r="FB304" s="712"/>
      <c r="FC304" s="712"/>
      <c r="FD304" s="712"/>
      <c r="FE304" s="712">
        <f>O304+Sheet1!CO304</f>
        <v>56.439999999995052</v>
      </c>
      <c r="FF304" s="712">
        <f>IF(Sheet1!AA304+AG304&lt;=Calculation!N304,AG304,Calculation!N304-Sheet1!AA304)</f>
        <v>15.830431432975047</v>
      </c>
      <c r="FG304" s="712">
        <f>(Sheet1!BP304+Sheet1!BO304)/694.4</f>
        <v>2.5236175115207375</v>
      </c>
      <c r="FH304" s="712"/>
      <c r="FI304" s="712"/>
      <c r="FJ304" s="712"/>
      <c r="FK304" s="712"/>
      <c r="FL304" s="714">
        <f t="shared" si="827"/>
        <v>40753</v>
      </c>
      <c r="FM304" s="714">
        <f t="shared" si="828"/>
        <v>40851</v>
      </c>
      <c r="FN304" s="712"/>
      <c r="FO304" s="712"/>
      <c r="FP304" s="712"/>
      <c r="FQ304" s="712"/>
      <c r="FR304" s="712"/>
      <c r="FS304" s="725">
        <f t="shared" si="918"/>
        <v>40603</v>
      </c>
      <c r="FT304" s="714">
        <f t="shared" si="830"/>
        <v>40709</v>
      </c>
      <c r="FU304" s="712">
        <f t="shared" si="918"/>
        <v>6518.9048239895692</v>
      </c>
      <c r="FV304" s="714">
        <f t="shared" si="831"/>
        <v>40722</v>
      </c>
      <c r="FW304" s="712">
        <f t="shared" si="918"/>
        <v>3259.4524119947846</v>
      </c>
      <c r="FX304" s="725">
        <f t="shared" si="918"/>
        <v>40851</v>
      </c>
      <c r="FZ304" s="697">
        <f t="shared" si="824"/>
        <v>0</v>
      </c>
      <c r="GA304" s="712" t="str">
        <f t="shared" si="899"/>
        <v/>
      </c>
      <c r="GB304" s="712">
        <f t="shared" si="900"/>
        <v>0</v>
      </c>
      <c r="GC304" s="712" t="str">
        <f t="shared" si="901"/>
        <v/>
      </c>
      <c r="GD304" s="712">
        <f>IF(GA304="P",Lookup!$M$12,IF(GA304="PP",Lookup!$M$13,IF(GA304="PPP",Lookup!$M$14,IF(GA304="T",Lookup!$M$15,IF(GA304="TP",Lookup!$M$16,IF(GA304="TPP",Lookup!$M$17,IF(GA304="TPPP",Lookup!$M$18,0)))))))*FZ304</f>
        <v>0</v>
      </c>
      <c r="GE304" s="712">
        <f t="shared" si="902"/>
        <v>0</v>
      </c>
      <c r="GF304" s="712">
        <f t="shared" si="903"/>
        <v>632.07295466666619</v>
      </c>
      <c r="GG304" s="712">
        <f t="shared" si="904"/>
        <v>206.02117166449352</v>
      </c>
      <c r="GH304" s="712"/>
      <c r="GI304" s="712">
        <f t="shared" si="905"/>
        <v>0</v>
      </c>
      <c r="GJ304" s="712" t="str">
        <f t="shared" si="906"/>
        <v/>
      </c>
      <c r="GK304" s="712">
        <f>IF(GA304="P",Lookup!$N$12,IF(GA304="PP",Lookup!$N$13,IF(GA304="PPP",Lookup!$N$14,IF(GA304="T",Lookup!$N$15,IF(GA304="TP",Lookup!$N$16,IF(GA304="TPP",Lookup!$N$17,IF(GA304="TPPP",Lookup!$N$18,0)))))))*FZ304</f>
        <v>0</v>
      </c>
      <c r="GL304" s="712">
        <f t="shared" si="907"/>
        <v>0</v>
      </c>
      <c r="GM304" s="712">
        <f t="shared" si="908"/>
        <v>221.16133413783837</v>
      </c>
      <c r="GN304" s="712">
        <f t="shared" si="909"/>
        <v>72.086484399556184</v>
      </c>
      <c r="GO304" s="712"/>
      <c r="GP304" s="712">
        <f t="shared" si="910"/>
        <v>0</v>
      </c>
      <c r="GQ304" s="712" t="str">
        <f t="shared" si="911"/>
        <v/>
      </c>
      <c r="GR304" s="712">
        <f>IF(GA304="P",Lookup!$N$12,IF(GA304="PP",Lookup!$N$13,IF(GA304="PPP",Lookup!$N$14,IF(GA304="T",Lookup!$N$15,IF(GA304="TP",Lookup!$N$16,IF(GA304="TPP",Lookup!$N$17,IF(GA304="TPPP",Lookup!$N$18,0)))))))*FZ304</f>
        <v>0</v>
      </c>
      <c r="GS304" s="697">
        <f t="shared" si="825"/>
        <v>0</v>
      </c>
      <c r="GT304" s="712">
        <f t="shared" si="912"/>
        <v>336.71963717139857</v>
      </c>
      <c r="GU304" s="712">
        <f t="shared" si="913"/>
        <v>109.7521633544324</v>
      </c>
      <c r="GV304" s="712"/>
      <c r="GW304" s="712">
        <f t="shared" si="914"/>
        <v>0</v>
      </c>
      <c r="GX304" s="712" t="str">
        <f t="shared" si="915"/>
        <v/>
      </c>
      <c r="GY304" s="712">
        <f>IF(GA304="P",Lookup!$N$12,IF(GA304="PP",Lookup!$N$13,IF(GA304="PPP",Lookup!$N$14,IF(GA304="T",Lookup!$N$15,IF(GA304="TP",Lookup!$N$16,IF(GA304="TPP",Lookup!$N$17,IF(GA304="TPPP",Lookup!$N$18,0)))))))*FZ304</f>
        <v>0</v>
      </c>
      <c r="GZ304" s="697">
        <f t="shared" si="826"/>
        <v>0</v>
      </c>
      <c r="HA304" s="712">
        <f t="shared" si="916"/>
        <v>658.05219118649802</v>
      </c>
      <c r="HB304" s="712">
        <f t="shared" si="917"/>
        <v>214.48898017812843</v>
      </c>
      <c r="HC304" s="712"/>
    </row>
    <row r="305" spans="1:211">
      <c r="A305" s="773" t="s">
        <v>5</v>
      </c>
      <c r="B305" s="708">
        <v>40834</v>
      </c>
      <c r="C305" s="719">
        <v>0.5</v>
      </c>
      <c r="D305" s="675">
        <f t="shared" si="840"/>
        <v>300</v>
      </c>
      <c r="E305" s="675">
        <f t="shared" si="841"/>
        <v>250</v>
      </c>
      <c r="F305" s="675">
        <v>250</v>
      </c>
      <c r="G305" s="712">
        <f>DH305+Sheet1!CV305</f>
        <v>253.27389056865127</v>
      </c>
      <c r="H305" s="712">
        <f t="shared" si="842"/>
        <v>0</v>
      </c>
      <c r="I305" s="711">
        <f>MAX(Sheet1!Z305-AJ305+(Sheet1!CW305-E305)*CFStoMGD,0)</f>
        <v>389.35524672193077</v>
      </c>
      <c r="J305" s="720">
        <f>IF(AND(B305&gt;=Calculation!FS305,B305&lt;=Calculation!FT305),IF(Sheet1!CX305&gt;=Calculation!D305,64.64,0),MAX(Sheet1!Z305-AJ305+(Sheet1!CX305-D305)*CFStoMGD,0))</f>
        <v>221.45284672193077</v>
      </c>
      <c r="K305" s="697">
        <f t="shared" si="843"/>
        <v>0</v>
      </c>
      <c r="L305" s="712">
        <f>Sheet1!AA305+Sheet1!AB305-Sheet1!L305+(Sheet1!CW305-F305)*CFStoMGD</f>
        <v>436.81120000000027</v>
      </c>
      <c r="M305" s="712">
        <f t="shared" si="844"/>
        <v>166.99056772084771</v>
      </c>
      <c r="N305" s="712">
        <f>IF(Sheet1!CW305&gt;=F305,MIN(73,MIN(MAX(L305,0),MAX(M305,0))),0)</f>
        <v>73</v>
      </c>
      <c r="O305" s="721">
        <f>Sheet1!AA305+Sheet1!AB305</f>
        <v>56.930000000000291</v>
      </c>
      <c r="P305" s="721">
        <f t="shared" si="845"/>
        <v>88.070710000000446</v>
      </c>
      <c r="Q305" s="712">
        <f>MIN(N305,Sheet1!AA305+AG305)</f>
        <v>46.855953278072121</v>
      </c>
      <c r="R305" s="712">
        <f t="shared" si="846"/>
        <v>10</v>
      </c>
      <c r="S305" s="721">
        <f>Sheet1!Y305*MGDtoCFS</f>
        <v>46.874099999999999</v>
      </c>
      <c r="T305" s="721">
        <f>Sheet1!Z305*MGDtoCFS</f>
        <v>40.268410000000003</v>
      </c>
      <c r="U305" s="721">
        <f>Sheet1!AA305*MGDtoCFS</f>
        <v>46.874100000004503</v>
      </c>
      <c r="V305" s="721">
        <f>Sheet1!AB305*MGDtoCFS</f>
        <v>41.196609999995943</v>
      </c>
      <c r="W305" s="721">
        <f>Sheet1!L305*MGDtoCFS</f>
        <v>0</v>
      </c>
      <c r="X305" s="697">
        <f t="shared" si="847"/>
        <v>10.075602863601366</v>
      </c>
      <c r="Y305" s="712">
        <f t="shared" si="848"/>
        <v>15.586957629991312</v>
      </c>
      <c r="Z305" s="712">
        <f t="shared" si="849"/>
        <v>0</v>
      </c>
      <c r="AA305" s="712">
        <f t="shared" si="850"/>
        <v>0</v>
      </c>
      <c r="AB305" s="712">
        <f>(VLOOKUP(Sheet1!CY305,hhdcap_wcm,4)-(((VLOOKUP(Sheet1!CY305,hhdcap_wcm,3)-Sheet1!CY305)/(VLOOKUP(Sheet1!CY305,hhdcap_wcm,3)-VLOOKUP(Sheet1!CY305,hhdcap_wcm,1)))*(VLOOKUP(Sheet1!CY305,hhdcap_wcm,4)-VLOOKUP(Sheet1!CY305,hhdcap_wcm,2))))</f>
        <v>9477.4000000183023</v>
      </c>
      <c r="AC305" s="712">
        <f t="shared" si="851"/>
        <v>-898.83000000236461</v>
      </c>
      <c r="AD305" s="712">
        <f t="shared" si="852"/>
        <v>481.4331967330092</v>
      </c>
      <c r="AE305" s="712">
        <f t="shared" si="853"/>
        <v>1477.0370475768723</v>
      </c>
      <c r="AF305" s="712">
        <f>Sheet1!BA305+Sheet1!BB305+Sheet1!BN305+BT305</f>
        <v>16.5</v>
      </c>
      <c r="AG305" s="712">
        <f t="shared" si="854"/>
        <v>16.555953278069207</v>
      </c>
      <c r="AH305" s="712">
        <f>Sheet1!BA305+BT305</f>
        <v>0</v>
      </c>
      <c r="AI305" s="712">
        <f>Sheet1!BA305+Sheet1!BB305+BT305</f>
        <v>0</v>
      </c>
      <c r="AJ305" s="712">
        <f>IF((Sheet1!AA305+AG305+AX305+AZ305+BQ305+BS305+CL305+CN305)&lt;=N305,AG305+AX305+AZ305+BQ305+BS305+CL305+CN305,N305-Sheet1!AA305)</f>
        <v>16.555953278069207</v>
      </c>
      <c r="AK305" s="712">
        <f>IF(DR305&lt;K305,0,MAX(Sheet1!AA305+AG305-15/36*K305-N305,Sheet1!ED305,0))</f>
        <v>0</v>
      </c>
      <c r="AL305" s="712">
        <f>IF(OR(B305&gt;=FT305,B305&lt;FS305),0,15/36*K305-MAX(0,64.6-(137.6-(Sheet1!AA305+Sheet1!AB305))))</f>
        <v>0</v>
      </c>
      <c r="AM305" s="712">
        <f>Sheet1!CX305-110</f>
        <v>517.9375</v>
      </c>
      <c r="AN305" s="712">
        <f>Sheet1!CW305-265</f>
        <v>572.6875</v>
      </c>
      <c r="AO305" s="712">
        <f t="shared" si="835"/>
        <v>26.144046721927879</v>
      </c>
      <c r="AP305" s="712">
        <f t="shared" si="855"/>
        <v>0</v>
      </c>
      <c r="AQ305" s="712">
        <f t="shared" si="856"/>
        <v>0</v>
      </c>
      <c r="AR305" s="712">
        <f t="shared" si="857"/>
        <v>95.181171664493519</v>
      </c>
      <c r="AS305" s="712"/>
      <c r="AT305" s="712">
        <f ca="1">IF(B305&gt;Summary!$A$1,#N/A,AR305*MGtoAF)</f>
        <v>292.01583466666614</v>
      </c>
      <c r="AU305" s="712">
        <f>Sheet1!BG305+Sheet1!BH305+Sheet1!BI305-BC305</f>
        <v>1</v>
      </c>
      <c r="AV305" s="712">
        <f t="shared" si="858"/>
        <v>1.0033911077617703</v>
      </c>
      <c r="AW305" s="712">
        <f>IF(Sheet1!EL305="FM",BC305,0)</f>
        <v>0</v>
      </c>
      <c r="AX305" s="712">
        <f t="shared" si="859"/>
        <v>0</v>
      </c>
      <c r="AY305" s="712">
        <f>IF(Sheet1!EL305="OTHER",BC305,0)</f>
        <v>0</v>
      </c>
      <c r="AZ305" s="712">
        <f t="shared" si="860"/>
        <v>0</v>
      </c>
      <c r="BA305" s="712">
        <f t="shared" si="861"/>
        <v>1</v>
      </c>
      <c r="BB305" s="712">
        <f t="shared" si="862"/>
        <v>1.0033911077617703</v>
      </c>
      <c r="BC305" s="712">
        <f>IF(OR(Sheet1!EL305="FM", Sheet1!EL305="OTHER"),SUM(Sheet1!BG305:'Sheet1'!BI305),0)</f>
        <v>0</v>
      </c>
      <c r="BD305" s="697">
        <f>IF(AND($B305&gt;=$FL305,$B305&lt;=$FM305),MAX(AV305,Sheet1!EE305,0),MAX(AV305-(7/36)*$K305,0))</f>
        <v>1.0033911077617703</v>
      </c>
      <c r="BE305" s="712">
        <f t="shared" si="863"/>
        <v>0</v>
      </c>
      <c r="BF305" s="697">
        <f t="shared" si="864"/>
        <v>0</v>
      </c>
      <c r="BG305" s="697">
        <f>IF(AND($O305&gt;0,Sheet1!EI305=1),(1-($O305-Sheet1!$L305)/$O305)*BB305,0)</f>
        <v>0</v>
      </c>
      <c r="BH305" s="697">
        <f>IF(AND(Sheet1!$L305=0,Sheet1!$L304=0, Calculation!BA305&lt;Sheet1!$EE305-0.1,Sheet1!$EE305=Sheet1!$EE304,Sheet1!$EE305=Sheet1!$EE306),Sheet1!$EE305,BB305-BG305)</f>
        <v>1.0033911077617703</v>
      </c>
      <c r="BI305" s="712"/>
      <c r="BJ305" s="712"/>
      <c r="BK305" s="712">
        <f t="shared" si="865"/>
        <v>71.083093291794412</v>
      </c>
      <c r="BL305" s="712"/>
      <c r="BM305" s="712">
        <f ca="1">IF(B305&gt;Summary!$A$1,#N/A,BK305*MGtoAF)</f>
        <v>218.08293021922526</v>
      </c>
      <c r="BN305" s="712">
        <f>Sheet1!BC305+Sheet1!BD305+Sheet1!BE305+Sheet1!BF305-BW305-BX305</f>
        <v>2.4900000000000002</v>
      </c>
      <c r="BO305" s="712">
        <f t="shared" si="866"/>
        <v>2.4984438583268083</v>
      </c>
      <c r="BP305" s="712">
        <f>IF(Sheet1!EM305="FM",BX305,0)</f>
        <v>0</v>
      </c>
      <c r="BQ305" s="712">
        <f t="shared" si="867"/>
        <v>0</v>
      </c>
      <c r="BR305" s="712">
        <f>IF(Sheet1!EM305="OTHER",BX305,0)</f>
        <v>0</v>
      </c>
      <c r="BS305" s="712">
        <f t="shared" si="868"/>
        <v>0</v>
      </c>
      <c r="BT305" s="712">
        <f t="shared" si="869"/>
        <v>0</v>
      </c>
      <c r="BU305" s="712">
        <f t="shared" si="870"/>
        <v>2.4900000000000002</v>
      </c>
      <c r="BV305" s="712">
        <f t="shared" si="871"/>
        <v>2.4984438583268083</v>
      </c>
      <c r="BW305" s="712">
        <f>IF(Sheet1!EM305="CWA",SUM(Sheet1!BC305:'Sheet1'!BF305),0)</f>
        <v>0</v>
      </c>
      <c r="BX305" s="712">
        <f>IF(OR(Sheet1!EM305="FM", Sheet1!EM305="OTHER"),SUM(Sheet1!BC305:'Sheet1'!BF305),0)</f>
        <v>0</v>
      </c>
      <c r="BY305" s="697">
        <f>IF(AND($B305&gt;=$FL305,$B305&lt;=$FM305),MAX(BV305,Sheet1!EF305,0),MAX(BV305-(7/36)*$K305,0))</f>
        <v>2.5</v>
      </c>
      <c r="BZ305" s="712">
        <f t="shared" si="872"/>
        <v>0</v>
      </c>
      <c r="CA305" s="697">
        <f t="shared" si="873"/>
        <v>0</v>
      </c>
      <c r="CB305" s="697">
        <f>IF(AND($O305&gt;0,Sheet1!EJ305=1),(1-($O305-Sheet1!$L305)/$O305)*BV305,0)</f>
        <v>0</v>
      </c>
      <c r="CC305" s="697">
        <f>IF(AND(Sheet1!$L305=0,Sheet1!$L304=0, Calculation!BU305&lt;Sheet1!EF305-0.1,Sheet1!EF305=Sheet1!EF304,Sheet1!EF305=Sheet1!EF306),Sheet1!EF305,BV305-CB305)</f>
        <v>2.4984438583268083</v>
      </c>
      <c r="CD305" s="697"/>
      <c r="CE305" s="712"/>
      <c r="CF305" s="712">
        <f t="shared" si="874"/>
        <v>107.2521633544324</v>
      </c>
      <c r="CG305" s="712"/>
      <c r="CH305" s="712">
        <f ca="1">IF(B305&gt;Summary!$A$1,#N/A,CF305*MGtoAF)</f>
        <v>329.04963717139862</v>
      </c>
      <c r="CI305" s="712">
        <f>Sheet1!BK305+Sheet1!BL305+Sheet1!BM305-Sheet1!EN305-CQ305</f>
        <v>6.5500000000000007</v>
      </c>
      <c r="CJ305" s="712">
        <f t="shared" si="875"/>
        <v>6.5722117558395956</v>
      </c>
      <c r="CK305" s="712">
        <f>IF(Sheet1!EN305="FM",CQ305,0)</f>
        <v>0</v>
      </c>
      <c r="CL305" s="712">
        <f t="shared" si="876"/>
        <v>0</v>
      </c>
      <c r="CM305" s="712">
        <f>IF(Sheet1!EN305="OTHER",CQ305,0)</f>
        <v>0</v>
      </c>
      <c r="CN305" s="712">
        <f t="shared" si="877"/>
        <v>0</v>
      </c>
      <c r="CO305" s="712">
        <f t="shared" si="878"/>
        <v>6.5500000000000007</v>
      </c>
      <c r="CP305" s="712">
        <f t="shared" si="879"/>
        <v>6.5722117558395956</v>
      </c>
      <c r="CQ305" s="712">
        <f>IF(OR(Sheet1!EN305="FM", Sheet1!EN305="OTHER"),SUM(Sheet1!BK305:'Sheet1'!BM305),0)</f>
        <v>0</v>
      </c>
      <c r="CR305" s="697">
        <f>IF(AND($B305&gt;=$FL305,$B305&lt;=$FM305),MAX($CJ305,Sheet1!EG305,0),MAX($CJ305-(7/36)*$K305,0))</f>
        <v>6.5722117558395956</v>
      </c>
      <c r="CS305" s="712">
        <f t="shared" si="880"/>
        <v>0</v>
      </c>
      <c r="CT305" s="697">
        <f t="shared" si="881"/>
        <v>0</v>
      </c>
      <c r="CU305" s="697">
        <f>IF(AND($O305&gt;0,Sheet1!EK305=1),(1-($O305-Sheet1!$L305)/$O305)*CP305,0)</f>
        <v>0</v>
      </c>
      <c r="CV305" s="697">
        <f>IF(AND(Sheet1!$L305=0,Sheet1!$L304=0, Calculation!CO305&lt;Sheet1!$EG305-0.1,Sheet1!$EG305=Sheet1!$EG304,Sheet1!$EG305=Sheet1!$EG306),Sheet1!$EG305,CP305-CU305)</f>
        <v>6.5722117558395956</v>
      </c>
      <c r="CW305" s="697">
        <f t="shared" si="837"/>
        <v>0</v>
      </c>
      <c r="CX305" s="712">
        <f t="shared" si="882"/>
        <v>10.040000000000001</v>
      </c>
      <c r="CY305" s="712">
        <f t="shared" si="883"/>
        <v>207.91676842228884</v>
      </c>
      <c r="CZ305" s="712">
        <f t="shared" si="884"/>
        <v>10.074046721928173</v>
      </c>
      <c r="DA305" s="712">
        <f ca="1">IF(B305&gt;Summary!$A$1,#N/A,CY305*MGtoAF)</f>
        <v>637.88864551958216</v>
      </c>
      <c r="DB305" s="712">
        <f t="shared" si="885"/>
        <v>10.040000000000001</v>
      </c>
      <c r="DC305" s="712">
        <f t="shared" si="886"/>
        <v>26.54</v>
      </c>
      <c r="DD305" s="712">
        <f>Sheet1!AB305-DC305</f>
        <v>8.9999999997381508E-2</v>
      </c>
      <c r="DE305" s="712">
        <f t="shared" si="887"/>
        <v>3.391107761770215E-3</v>
      </c>
      <c r="DF305" s="712">
        <f>(VLOOKUP(Sheet1!CY305,hhdcap_wcm,4)-(((VLOOKUP(Sheet1!CY305,hhdcap_wcm,3)-Sheet1!CY305)/(VLOOKUP(Sheet1!CY305,hhdcap_wcm,3)-VLOOKUP(Sheet1!CY305,hhdcap_wcm,1)))*(VLOOKUP(Sheet1!CY305,hhdcap_wcm,4)-VLOOKUP(Sheet1!CY305,hhdcap_wcm,2))))</f>
        <v>9477.4000000183023</v>
      </c>
      <c r="DG305" s="712">
        <f t="shared" si="888"/>
        <v>-898.83000000236461</v>
      </c>
      <c r="DH305" s="712">
        <f t="shared" si="889"/>
        <v>-453.26777609801536</v>
      </c>
      <c r="DI305" s="712">
        <f>Sheet1!DW305*AFtoMG</f>
        <v>-110.84</v>
      </c>
      <c r="DJ305" s="712">
        <f>Sheet1!DX305*AFtoMG</f>
        <v>0</v>
      </c>
      <c r="DK305" s="712">
        <f>Sheet1!DY305*AFtoMG</f>
        <v>0</v>
      </c>
      <c r="DL305" s="712">
        <f>Sheet1!DZ305*AFtoMG</f>
        <v>0</v>
      </c>
      <c r="DM305" s="712">
        <f t="shared" si="890"/>
        <v>-110.84</v>
      </c>
      <c r="DN305" s="712">
        <f t="shared" si="891"/>
        <v>-340.05712</v>
      </c>
      <c r="DO305" s="712">
        <f t="shared" si="892"/>
        <v>481.4331967330092</v>
      </c>
      <c r="DP305" s="712">
        <f t="shared" si="893"/>
        <v>1477.0370475768723</v>
      </c>
      <c r="DQ305" s="712"/>
      <c r="DR305" s="697">
        <f>IF(OR(B305&lt;FL305,B305&gt;FM305),(MIN(AV305+BO305+CJ305+MAX(Sheet1!AA305+AG305-73,0),K305)),0)</f>
        <v>0</v>
      </c>
      <c r="DS305" s="712"/>
      <c r="DT305" s="712">
        <f t="shared" si="894"/>
        <v>10.074046721928175</v>
      </c>
      <c r="DU305" s="712"/>
      <c r="DV305" s="712">
        <f>Sheet1!ED305+Sheet1!EE305+Sheet1!EF305+Sheet1!EG305</f>
        <v>10</v>
      </c>
      <c r="DW305" s="712"/>
      <c r="DX305" s="697">
        <f t="shared" si="895"/>
        <v>0</v>
      </c>
      <c r="DY305" s="712">
        <f>IF(Sheet1!FN305=1,SUM('Calculations II'!AT305:BA305)+'Calculations II'!BC305+Sheet1!BU305+'Calculations II'!BE305+AF305,SUM('Calculations II'!AT305:BA305)+'Calculations II'!BC305+Sheet1!BU305+'Calculations II'!BE305+AF305)</f>
        <v>45.033360000000002</v>
      </c>
      <c r="DZ305" s="712">
        <f>Sheet1!AA305+Sheet1!AB305+'Calculations II'!BC305</f>
        <v>56.930000000000291</v>
      </c>
      <c r="EA305" s="712"/>
      <c r="EB305" s="712"/>
      <c r="EC305" s="712">
        <f t="shared" si="896"/>
        <v>40834</v>
      </c>
      <c r="ED305" s="712">
        <f t="shared" si="897"/>
        <v>-10.075602863601366</v>
      </c>
      <c r="EE305" s="712">
        <f t="shared" si="898"/>
        <v>-15.586957629991312</v>
      </c>
      <c r="EF305" s="712">
        <f ca="1">IF(B305=TODAY(),0,-(VLOOKUP(Sheet1!BQ305,Lookup!$B$4:$J$236,2)-VLOOKUP(Sheet1!BQ304,Lookup!$B$4:$J$236,2))/1000000)</f>
        <v>0.52739999999999998</v>
      </c>
      <c r="EG305" s="712">
        <f ca="1">IF(B305=TODAY(),0,-(VLOOKUP(Sheet1!BR305,Lookup!$B$4:$J$236,3)-VLOOKUP(Sheet1!BR304,Lookup!$B$4:$J$236,3))/1000000)</f>
        <v>0.52659999999999996</v>
      </c>
      <c r="EH305" s="712">
        <f>-(VLOOKUP(Sheet1!BS305,Lookup!$B$4:$J$236,4)-VLOOKUP(Sheet1!BS304,Lookup!$B$4:$J$236,4))/1000000</f>
        <v>0</v>
      </c>
      <c r="EI305" s="697">
        <f t="shared" ca="1" si="819"/>
        <v>1.0539999999999998</v>
      </c>
      <c r="EJ305" s="712"/>
      <c r="EK305" s="712"/>
      <c r="EL305" s="712"/>
      <c r="EM305" s="712"/>
      <c r="EN305" s="712"/>
      <c r="EO305" s="712"/>
      <c r="EP305" s="712"/>
      <c r="EQ305" s="712"/>
      <c r="ER305" s="697">
        <f t="shared" si="920"/>
        <v>-2718.2733028642438</v>
      </c>
      <c r="ES305" s="712">
        <f t="shared" si="921"/>
        <v>485.9244605461011</v>
      </c>
      <c r="ET305" s="794">
        <f t="shared" si="919"/>
        <v>1115.9000000000001</v>
      </c>
      <c r="EU305" s="794" t="e">
        <f t="shared" si="838"/>
        <v>#N/A</v>
      </c>
      <c r="EV305" s="795" t="e">
        <f t="shared" si="836"/>
        <v>#N/A</v>
      </c>
      <c r="EW305" s="796" t="s">
        <v>757</v>
      </c>
      <c r="EX305" s="796" t="s">
        <v>757</v>
      </c>
      <c r="EY305" s="794" t="e">
        <v>#N/A</v>
      </c>
      <c r="EZ305" s="798">
        <v>11196.300000022491</v>
      </c>
      <c r="FA305" s="712"/>
      <c r="FB305" s="712"/>
      <c r="FC305" s="712"/>
      <c r="FD305" s="712"/>
      <c r="FE305" s="712">
        <f>O305+Sheet1!CO305</f>
        <v>56.930000000000291</v>
      </c>
      <c r="FF305" s="712">
        <f>IF(Sheet1!AA305+AG305&lt;=Calculation!N305,AG305,Calculation!N305-Sheet1!AA305)</f>
        <v>16.555953278069207</v>
      </c>
      <c r="FG305" s="712">
        <f>(Sheet1!BP305+Sheet1!BO305)/694.4</f>
        <v>1.2502880184331799</v>
      </c>
      <c r="FH305" s="712"/>
      <c r="FI305" s="712"/>
      <c r="FJ305" s="712"/>
      <c r="FK305" s="712"/>
      <c r="FL305" s="714">
        <f t="shared" si="827"/>
        <v>40753</v>
      </c>
      <c r="FM305" s="714">
        <f t="shared" si="828"/>
        <v>40851</v>
      </c>
      <c r="FN305" s="712"/>
      <c r="FO305" s="712"/>
      <c r="FP305" s="712"/>
      <c r="FQ305" s="712"/>
      <c r="FR305" s="712"/>
      <c r="FS305" s="725">
        <f t="shared" si="918"/>
        <v>40603</v>
      </c>
      <c r="FT305" s="714">
        <f t="shared" si="830"/>
        <v>40709</v>
      </c>
      <c r="FU305" s="712">
        <f t="shared" si="918"/>
        <v>6518.9048239895692</v>
      </c>
      <c r="FV305" s="714">
        <f t="shared" si="831"/>
        <v>40722</v>
      </c>
      <c r="FW305" s="712">
        <f t="shared" si="918"/>
        <v>3259.4524119947846</v>
      </c>
      <c r="FX305" s="725">
        <f t="shared" si="918"/>
        <v>40851</v>
      </c>
      <c r="FZ305" s="697">
        <f t="shared" si="824"/>
        <v>0</v>
      </c>
      <c r="GA305" s="712" t="str">
        <f t="shared" si="899"/>
        <v/>
      </c>
      <c r="GB305" s="712">
        <f t="shared" si="900"/>
        <v>0</v>
      </c>
      <c r="GC305" s="712" t="str">
        <f t="shared" si="901"/>
        <v/>
      </c>
      <c r="GD305" s="712">
        <f>IF(GA305="P",Lookup!$M$12,IF(GA305="PP",Lookup!$M$13,IF(GA305="PPP",Lookup!$M$14,IF(GA305="T",Lookup!$M$15,IF(GA305="TP",Lookup!$M$16,IF(GA305="TPP",Lookup!$M$17,IF(GA305="TPPP",Lookup!$M$18,0)))))))*FZ305</f>
        <v>0</v>
      </c>
      <c r="GE305" s="712">
        <f t="shared" si="902"/>
        <v>0</v>
      </c>
      <c r="GF305" s="712">
        <f t="shared" si="903"/>
        <v>292.01583466666614</v>
      </c>
      <c r="GG305" s="712">
        <f t="shared" si="904"/>
        <v>95.181171664493519</v>
      </c>
      <c r="GH305" s="712"/>
      <c r="GI305" s="712">
        <f t="shared" si="905"/>
        <v>0</v>
      </c>
      <c r="GJ305" s="712" t="str">
        <f t="shared" si="906"/>
        <v/>
      </c>
      <c r="GK305" s="712">
        <f>IF(GA305="P",Lookup!$N$12,IF(GA305="PP",Lookup!$N$13,IF(GA305="PPP",Lookup!$N$14,IF(GA305="T",Lookup!$N$15,IF(GA305="TP",Lookup!$N$16,IF(GA305="TPP",Lookup!$N$17,IF(GA305="TPPP",Lookup!$N$18,0)))))))*FZ305</f>
        <v>0</v>
      </c>
      <c r="GL305" s="712">
        <f t="shared" si="907"/>
        <v>0</v>
      </c>
      <c r="GM305" s="712">
        <f t="shared" si="908"/>
        <v>218.08293021922526</v>
      </c>
      <c r="GN305" s="712">
        <f t="shared" si="909"/>
        <v>71.083093291794412</v>
      </c>
      <c r="GO305" s="712"/>
      <c r="GP305" s="712">
        <f t="shared" si="910"/>
        <v>0</v>
      </c>
      <c r="GQ305" s="712" t="str">
        <f t="shared" si="911"/>
        <v/>
      </c>
      <c r="GR305" s="712">
        <f>IF(GA305="P",Lookup!$N$12,IF(GA305="PP",Lookup!$N$13,IF(GA305="PPP",Lookup!$N$14,IF(GA305="T",Lookup!$N$15,IF(GA305="TP",Lookup!$N$16,IF(GA305="TPP",Lookup!$N$17,IF(GA305="TPPP",Lookup!$N$18,0)))))))*FZ305</f>
        <v>0</v>
      </c>
      <c r="GS305" s="697">
        <f t="shared" si="825"/>
        <v>0</v>
      </c>
      <c r="GT305" s="712">
        <f t="shared" si="912"/>
        <v>329.04963717139862</v>
      </c>
      <c r="GU305" s="712">
        <f t="shared" si="913"/>
        <v>107.2521633544324</v>
      </c>
      <c r="GV305" s="712"/>
      <c r="GW305" s="712">
        <f t="shared" si="914"/>
        <v>0</v>
      </c>
      <c r="GX305" s="712" t="str">
        <f t="shared" si="915"/>
        <v/>
      </c>
      <c r="GY305" s="712">
        <f>IF(GA305="P",Lookup!$N$12,IF(GA305="PP",Lookup!$N$13,IF(GA305="PPP",Lookup!$N$14,IF(GA305="T",Lookup!$N$15,IF(GA305="TP",Lookup!$N$16,IF(GA305="TPP",Lookup!$N$17,IF(GA305="TPPP",Lookup!$N$18,0)))))))*FZ305</f>
        <v>0</v>
      </c>
      <c r="GZ305" s="697">
        <f t="shared" si="826"/>
        <v>0</v>
      </c>
      <c r="HA305" s="712">
        <f t="shared" si="916"/>
        <v>637.88864551958216</v>
      </c>
      <c r="HB305" s="712">
        <f t="shared" si="917"/>
        <v>207.91676842228884</v>
      </c>
      <c r="HC305" s="712"/>
    </row>
    <row r="306" spans="1:211">
      <c r="A306" s="773" t="s">
        <v>6</v>
      </c>
      <c r="B306" s="708">
        <v>40835</v>
      </c>
      <c r="C306" s="719">
        <v>0.5</v>
      </c>
      <c r="D306" s="675">
        <f t="shared" si="840"/>
        <v>300</v>
      </c>
      <c r="E306" s="675">
        <f t="shared" si="841"/>
        <v>250</v>
      </c>
      <c r="F306" s="675">
        <v>250</v>
      </c>
      <c r="G306" s="712">
        <f>DH306+Sheet1!CV306</f>
        <v>242.81341401831833</v>
      </c>
      <c r="H306" s="712">
        <f t="shared" si="842"/>
        <v>0</v>
      </c>
      <c r="I306" s="711">
        <f>MAX(Sheet1!Z306-AJ306+(Sheet1!CW306-E306)*CFStoMGD,0)</f>
        <v>327.12025519713035</v>
      </c>
      <c r="J306" s="720">
        <f>IF(AND(B306&gt;=Calculation!FS306,B306&lt;=Calculation!FT306),IF(Sheet1!CX306&gt;=Calculation!D306,64.64,0),MAX(Sheet1!Z306-AJ306+(Sheet1!CX306-D306)*CFStoMGD,0))</f>
        <v>183.98305519713037</v>
      </c>
      <c r="K306" s="697">
        <f t="shared" si="843"/>
        <v>0</v>
      </c>
      <c r="L306" s="712">
        <f>Sheet1!AA306+Sheet1!AB306-Sheet1!L306+(Sheet1!CW306-F306)*CFStoMGD</f>
        <v>375.74613333333679</v>
      </c>
      <c r="M306" s="712">
        <f t="shared" si="844"/>
        <v>160.09368263786979</v>
      </c>
      <c r="N306" s="712">
        <f>IF(Sheet1!CW306&gt;=F306,MIN(73,MIN(MAX(L306,0),MAX(M306,0))),0)</f>
        <v>73</v>
      </c>
      <c r="O306" s="721">
        <f>Sheet1!AA306+Sheet1!AB306</f>
        <v>58.660000000003492</v>
      </c>
      <c r="P306" s="721">
        <f t="shared" si="845"/>
        <v>90.747020000005392</v>
      </c>
      <c r="Q306" s="712">
        <f>MIN(N306,Sheet1!AA306+AG306)</f>
        <v>48.465878136202946</v>
      </c>
      <c r="R306" s="712">
        <f t="shared" si="846"/>
        <v>10</v>
      </c>
      <c r="S306" s="721">
        <f>Sheet1!Y306*MGDtoCFS</f>
        <v>46.874099999999999</v>
      </c>
      <c r="T306" s="721">
        <f>Sheet1!Z306*MGDtoCFS</f>
        <v>43.315999999999995</v>
      </c>
      <c r="U306" s="721">
        <f>Sheet1!AA306*MGDtoCFS</f>
        <v>47.183499999999995</v>
      </c>
      <c r="V306" s="721">
        <f>Sheet1!AB306*MGDtoCFS</f>
        <v>43.563520000005404</v>
      </c>
      <c r="W306" s="721">
        <f>Sheet1!L306*MGDtoCFS</f>
        <v>0</v>
      </c>
      <c r="X306" s="697">
        <f t="shared" si="847"/>
        <v>10.194121863800547</v>
      </c>
      <c r="Y306" s="712">
        <f t="shared" si="848"/>
        <v>15.770306523299444</v>
      </c>
      <c r="Z306" s="712">
        <f t="shared" si="849"/>
        <v>0</v>
      </c>
      <c r="AA306" s="712">
        <f t="shared" si="850"/>
        <v>0</v>
      </c>
      <c r="AB306" s="712">
        <f>(VLOOKUP(Sheet1!CY306,hhdcap_wcm,4)-(((VLOOKUP(Sheet1!CY306,hhdcap_wcm,3)-Sheet1!CY306)/(VLOOKUP(Sheet1!CY306,hhdcap_wcm,3)-VLOOKUP(Sheet1!CY306,hhdcap_wcm,1)))*(VLOOKUP(Sheet1!CY306,hhdcap_wcm,4)-VLOOKUP(Sheet1!CY306,hhdcap_wcm,2))))</f>
        <v>8664.0000000166274</v>
      </c>
      <c r="AC306" s="712">
        <f t="shared" si="851"/>
        <v>-813.40000000167493</v>
      </c>
      <c r="AD306" s="712">
        <f t="shared" si="852"/>
        <v>471.23907486920859</v>
      </c>
      <c r="AE306" s="712">
        <f t="shared" si="853"/>
        <v>1445.761481698732</v>
      </c>
      <c r="AF306" s="712">
        <f>Sheet1!BA306+Sheet1!BB306+Sheet1!BN306+BT306</f>
        <v>17.8</v>
      </c>
      <c r="AG306" s="712">
        <f t="shared" si="854"/>
        <v>17.965878136202946</v>
      </c>
      <c r="AH306" s="712">
        <f>Sheet1!BA306+BT306</f>
        <v>0</v>
      </c>
      <c r="AI306" s="712">
        <f>Sheet1!BA306+Sheet1!BB306+BT306</f>
        <v>0</v>
      </c>
      <c r="AJ306" s="712">
        <f>IF((Sheet1!AA306+AG306+AX306+AZ306+BQ306+BS306+CL306+CN306)&lt;=N306,AG306+AX306+AZ306+BQ306+BS306+CL306+CN306,N306-Sheet1!AA306)</f>
        <v>17.965878136202946</v>
      </c>
      <c r="AK306" s="712">
        <f>IF(DR306&lt;K306,0,MAX(Sheet1!AA306+AG306-15/36*K306-N306,Sheet1!ED306,0))</f>
        <v>0</v>
      </c>
      <c r="AL306" s="712">
        <f>IF(OR(B306&gt;=FT306,B306&lt;FS306),0,15/36*K306-MAX(0,64.6-(137.6-(Sheet1!AA306+Sheet1!AB306))))</f>
        <v>0</v>
      </c>
      <c r="AM306" s="712">
        <f>Sheet1!CX306-110</f>
        <v>459.10416666666663</v>
      </c>
      <c r="AN306" s="712">
        <f>Sheet1!CW306-265</f>
        <v>475.54166666666663</v>
      </c>
      <c r="AO306" s="712">
        <f t="shared" si="835"/>
        <v>24.534121863797054</v>
      </c>
      <c r="AP306" s="712">
        <f t="shared" si="855"/>
        <v>0</v>
      </c>
      <c r="AQ306" s="712">
        <f t="shared" si="856"/>
        <v>0</v>
      </c>
      <c r="AR306" s="712">
        <f t="shared" si="857"/>
        <v>95.181171664493519</v>
      </c>
      <c r="AS306" s="712"/>
      <c r="AT306" s="712">
        <f ca="1">IF(B306&gt;Summary!$A$1,#N/A,AR306*MGtoAF)</f>
        <v>292.01583466666614</v>
      </c>
      <c r="AU306" s="712">
        <f>Sheet1!BG306+Sheet1!BH306+Sheet1!BI306-BC306</f>
        <v>1</v>
      </c>
      <c r="AV306" s="712">
        <f t="shared" si="858"/>
        <v>1.0093189964158957</v>
      </c>
      <c r="AW306" s="712">
        <f>IF(Sheet1!EL306="FM",BC306,0)</f>
        <v>0</v>
      </c>
      <c r="AX306" s="712">
        <f t="shared" si="859"/>
        <v>0</v>
      </c>
      <c r="AY306" s="712">
        <f>IF(Sheet1!EL306="OTHER",BC306,0)</f>
        <v>0</v>
      </c>
      <c r="AZ306" s="712">
        <f t="shared" si="860"/>
        <v>0</v>
      </c>
      <c r="BA306" s="712">
        <f t="shared" si="861"/>
        <v>1</v>
      </c>
      <c r="BB306" s="712">
        <f t="shared" si="862"/>
        <v>1.0093189964158957</v>
      </c>
      <c r="BC306" s="712">
        <f>IF(OR(Sheet1!EL306="FM", Sheet1!EL306="OTHER"),SUM(Sheet1!BG306:'Sheet1'!BI306),0)</f>
        <v>0</v>
      </c>
      <c r="BD306" s="697">
        <f>IF(AND($B306&gt;=$FL306,$B306&lt;=$FM306),MAX(AV306,Sheet1!EE306,0),MAX(AV306-(7/36)*$K306,0))</f>
        <v>1.0093189964158957</v>
      </c>
      <c r="BE306" s="712">
        <f t="shared" si="863"/>
        <v>0</v>
      </c>
      <c r="BF306" s="697">
        <f t="shared" si="864"/>
        <v>0</v>
      </c>
      <c r="BG306" s="697">
        <f>IF(AND($O306&gt;0,Sheet1!EI306=1),(1-($O306-Sheet1!$L306)/$O306)*BB306,0)</f>
        <v>0</v>
      </c>
      <c r="BH306" s="697">
        <f>IF(AND(Sheet1!$L306=0,Sheet1!$L305=0, Calculation!BA306&lt;Sheet1!$EE306-0.1,Sheet1!$EE306=Sheet1!$EE305,Sheet1!$EE306=Sheet1!$EE307),Sheet1!$EE306,BB306-BG306)</f>
        <v>1.0093189964158957</v>
      </c>
      <c r="BI306" s="712"/>
      <c r="BJ306" s="712"/>
      <c r="BK306" s="712">
        <f t="shared" si="865"/>
        <v>70.073774295378513</v>
      </c>
      <c r="BL306" s="712"/>
      <c r="BM306" s="712">
        <f ca="1">IF(B306&gt;Summary!$A$1,#N/A,BK306*MGtoAF)</f>
        <v>214.98633953822127</v>
      </c>
      <c r="BN306" s="712">
        <f>Sheet1!BC306+Sheet1!BD306+Sheet1!BE306+Sheet1!BF306-BW306-BX306</f>
        <v>2.5599999999999996</v>
      </c>
      <c r="BO306" s="712">
        <f t="shared" si="866"/>
        <v>2.5838566308246929</v>
      </c>
      <c r="BP306" s="712">
        <f>IF(Sheet1!EM306="FM",BX306,0)</f>
        <v>0</v>
      </c>
      <c r="BQ306" s="712">
        <f t="shared" si="867"/>
        <v>0</v>
      </c>
      <c r="BR306" s="712">
        <f>IF(Sheet1!EM306="OTHER",BX306,0)</f>
        <v>0</v>
      </c>
      <c r="BS306" s="712">
        <f t="shared" si="868"/>
        <v>0</v>
      </c>
      <c r="BT306" s="712">
        <f t="shared" si="869"/>
        <v>0</v>
      </c>
      <c r="BU306" s="712">
        <f t="shared" si="870"/>
        <v>2.5599999999999996</v>
      </c>
      <c r="BV306" s="712">
        <f t="shared" si="871"/>
        <v>2.5838566308246929</v>
      </c>
      <c r="BW306" s="712">
        <f>IF(Sheet1!EM306="CWA",SUM(Sheet1!BC306:'Sheet1'!BF306),0)</f>
        <v>0</v>
      </c>
      <c r="BX306" s="712">
        <f>IF(OR(Sheet1!EM306="FM", Sheet1!EM306="OTHER"),SUM(Sheet1!BC306:'Sheet1'!BF306),0)</f>
        <v>0</v>
      </c>
      <c r="BY306" s="697">
        <f>IF(AND($B306&gt;=$FL306,$B306&lt;=$FM306),MAX(BV306,Sheet1!EF306,0),MAX(BV306-(7/36)*$K306,0))</f>
        <v>2.5838566308246929</v>
      </c>
      <c r="BZ306" s="712">
        <f t="shared" si="872"/>
        <v>0</v>
      </c>
      <c r="CA306" s="697">
        <f t="shared" si="873"/>
        <v>0</v>
      </c>
      <c r="CB306" s="697">
        <f>IF(AND($O306&gt;0,Sheet1!EJ306=1),(1-($O306-Sheet1!$L306)/$O306)*BV306,0)</f>
        <v>0</v>
      </c>
      <c r="CC306" s="697">
        <f>IF(AND(Sheet1!$L306=0,Sheet1!$L305=0, Calculation!BU306&lt;Sheet1!EF306-0.1,Sheet1!EF306=Sheet1!EF305,Sheet1!EF306=Sheet1!EF307),Sheet1!EF306,BV306-CB306)</f>
        <v>2.5838566308246929</v>
      </c>
      <c r="CD306" s="697"/>
      <c r="CE306" s="712"/>
      <c r="CF306" s="712">
        <f t="shared" si="874"/>
        <v>104.6683067236077</v>
      </c>
      <c r="CG306" s="712"/>
      <c r="CH306" s="712">
        <f ca="1">IF(B306&gt;Summary!$A$1,#N/A,CF306*MGtoAF)</f>
        <v>321.12236502802841</v>
      </c>
      <c r="CI306" s="712">
        <f>Sheet1!BK306+Sheet1!BL306+Sheet1!BM306-Sheet1!EN306-CQ306</f>
        <v>6.54</v>
      </c>
      <c r="CJ306" s="712">
        <f t="shared" si="875"/>
        <v>6.6009462365599587</v>
      </c>
      <c r="CK306" s="712">
        <f>IF(Sheet1!EN306="FM",CQ306,0)</f>
        <v>0</v>
      </c>
      <c r="CL306" s="712">
        <f t="shared" si="876"/>
        <v>0</v>
      </c>
      <c r="CM306" s="712">
        <f>IF(Sheet1!EN306="OTHER",CQ306,0)</f>
        <v>0</v>
      </c>
      <c r="CN306" s="712">
        <f t="shared" si="877"/>
        <v>0</v>
      </c>
      <c r="CO306" s="712">
        <f t="shared" si="878"/>
        <v>6.54</v>
      </c>
      <c r="CP306" s="712">
        <f t="shared" si="879"/>
        <v>6.6009462365599587</v>
      </c>
      <c r="CQ306" s="712">
        <f>IF(OR(Sheet1!EN306="FM", Sheet1!EN306="OTHER"),SUM(Sheet1!BK306:'Sheet1'!BM306),0)</f>
        <v>0</v>
      </c>
      <c r="CR306" s="697">
        <f>IF(AND($B306&gt;=$FL306,$B306&lt;=$FM306),MAX($CJ306,Sheet1!EG306,0),MAX($CJ306-(7/36)*$K306,0))</f>
        <v>6.6009462365599587</v>
      </c>
      <c r="CS306" s="712">
        <f t="shared" si="880"/>
        <v>0</v>
      </c>
      <c r="CT306" s="697">
        <f t="shared" si="881"/>
        <v>0</v>
      </c>
      <c r="CU306" s="697">
        <f>IF(AND($O306&gt;0,Sheet1!EK306=1),(1-($O306-Sheet1!$L306)/$O306)*CP306,0)</f>
        <v>0</v>
      </c>
      <c r="CV306" s="697">
        <f>IF(AND(Sheet1!$L306=0,Sheet1!$L305=0, Calculation!CO306&lt;Sheet1!$EG306-0.1,Sheet1!$EG306=Sheet1!$EG305,Sheet1!$EG306=Sheet1!$EG307),Sheet1!$EG306,CP306-CU306)</f>
        <v>6.6009462365599587</v>
      </c>
      <c r="CW306" s="697">
        <f t="shared" si="837"/>
        <v>0</v>
      </c>
      <c r="CX306" s="712">
        <f t="shared" si="882"/>
        <v>10.1</v>
      </c>
      <c r="CY306" s="712">
        <f t="shared" si="883"/>
        <v>201.31582218572888</v>
      </c>
      <c r="CZ306" s="712">
        <f t="shared" si="884"/>
        <v>10.194121863800547</v>
      </c>
      <c r="DA306" s="712">
        <f ca="1">IF(B306&gt;Summary!$A$1,#N/A,CY306*MGtoAF)</f>
        <v>617.63694246581622</v>
      </c>
      <c r="DB306" s="712">
        <f t="shared" si="885"/>
        <v>10.1</v>
      </c>
      <c r="DC306" s="712">
        <f t="shared" si="886"/>
        <v>27.9</v>
      </c>
      <c r="DD306" s="712">
        <f>Sheet1!AB306-DC306</f>
        <v>0.26000000000349388</v>
      </c>
      <c r="DE306" s="712">
        <f t="shared" si="887"/>
        <v>9.3189964158958381E-3</v>
      </c>
      <c r="DF306" s="712">
        <f>(VLOOKUP(Sheet1!CY306,hhdcap_wcm,4)-(((VLOOKUP(Sheet1!CY306,hhdcap_wcm,3)-Sheet1!CY306)/(VLOOKUP(Sheet1!CY306,hhdcap_wcm,3)-VLOOKUP(Sheet1!CY306,hhdcap_wcm,1)))*(VLOOKUP(Sheet1!CY306,hhdcap_wcm,4)-VLOOKUP(Sheet1!CY306,hhdcap_wcm,2))))</f>
        <v>8664.0000000166274</v>
      </c>
      <c r="DG306" s="712">
        <f t="shared" si="888"/>
        <v>-813.40000000167493</v>
      </c>
      <c r="DH306" s="712">
        <f t="shared" si="889"/>
        <v>-410.18658598168167</v>
      </c>
      <c r="DI306" s="712">
        <f>Sheet1!DW306*AFtoMG</f>
        <v>0</v>
      </c>
      <c r="DJ306" s="712">
        <f>Sheet1!DX306*AFtoMG</f>
        <v>0</v>
      </c>
      <c r="DK306" s="712">
        <f>Sheet1!DY306*AFtoMG</f>
        <v>0</v>
      </c>
      <c r="DL306" s="712">
        <f>Sheet1!DZ306*AFtoMG</f>
        <v>0</v>
      </c>
      <c r="DM306" s="712">
        <f t="shared" si="890"/>
        <v>0</v>
      </c>
      <c r="DN306" s="712">
        <f t="shared" si="891"/>
        <v>0</v>
      </c>
      <c r="DO306" s="712">
        <f t="shared" si="892"/>
        <v>471.23907486920859</v>
      </c>
      <c r="DP306" s="712">
        <f t="shared" si="893"/>
        <v>1445.761481698732</v>
      </c>
      <c r="DQ306" s="712"/>
      <c r="DR306" s="697">
        <f>IF(OR(B306&lt;FL306,B306&gt;FM306),(MIN(AV306+BO306+CJ306+MAX(Sheet1!AA306+AG306-73,0),K306)),0)</f>
        <v>0</v>
      </c>
      <c r="DS306" s="712"/>
      <c r="DT306" s="712">
        <f t="shared" si="894"/>
        <v>10.194121863800547</v>
      </c>
      <c r="DU306" s="712"/>
      <c r="DV306" s="712">
        <f>Sheet1!ED306+Sheet1!EE306+Sheet1!EF306+Sheet1!EG306</f>
        <v>10</v>
      </c>
      <c r="DW306" s="712"/>
      <c r="DX306" s="697">
        <f t="shared" si="895"/>
        <v>0</v>
      </c>
      <c r="DY306" s="712">
        <f>IF(Sheet1!FN306=1,SUM('Calculations II'!AT306:BA306)+'Calculations II'!BC306+Sheet1!BU306+'Calculations II'!BE306+AF306,SUM('Calculations II'!AT306:BA306)+'Calculations II'!BC306+Sheet1!BU306+'Calculations II'!BE306+AF306)</f>
        <v>46.391807999999997</v>
      </c>
      <c r="DZ306" s="712">
        <f>Sheet1!AA306+Sheet1!AB306+'Calculations II'!BC306</f>
        <v>58.660000000003492</v>
      </c>
      <c r="EA306" s="712"/>
      <c r="EB306" s="712"/>
      <c r="EC306" s="712">
        <f t="shared" si="896"/>
        <v>40835</v>
      </c>
      <c r="ED306" s="712">
        <f t="shared" si="897"/>
        <v>-10.194121863800547</v>
      </c>
      <c r="EE306" s="712">
        <f t="shared" si="898"/>
        <v>-15.770306523299444</v>
      </c>
      <c r="EF306" s="712">
        <f ca="1">IF(B306=TODAY(),0,-(VLOOKUP(Sheet1!BQ306,Lookup!$B$4:$J$236,2)-VLOOKUP(Sheet1!BQ305,Lookup!$B$4:$J$236,2))/1000000)</f>
        <v>-1.8527</v>
      </c>
      <c r="EG306" s="712">
        <f ca="1">IF(B306=TODAY(),0,-(VLOOKUP(Sheet1!BR306,Lookup!$B$4:$J$236,3)-VLOOKUP(Sheet1!BR305,Lookup!$B$4:$J$236,3))/1000000)</f>
        <v>-1.8496999999999999</v>
      </c>
      <c r="EH306" s="712">
        <f>-(VLOOKUP(Sheet1!BS306,Lookup!$B$4:$J$236,4)-VLOOKUP(Sheet1!BS305,Lookup!$B$4:$J$236,4))/1000000</f>
        <v>0</v>
      </c>
      <c r="EI306" s="697">
        <f t="shared" ca="1" si="819"/>
        <v>-3.7023999999999999</v>
      </c>
      <c r="EJ306" s="712"/>
      <c r="EK306" s="712"/>
      <c r="EL306" s="712"/>
      <c r="EM306" s="712"/>
      <c r="EN306" s="712"/>
      <c r="EO306" s="712"/>
      <c r="EP306" s="712"/>
      <c r="EQ306" s="712"/>
      <c r="ER306" s="697">
        <f t="shared" si="920"/>
        <v>-3256.0888242155024</v>
      </c>
      <c r="ES306" s="712">
        <f t="shared" si="921"/>
        <v>537.81552135125889</v>
      </c>
      <c r="ET306" s="794">
        <f t="shared" si="919"/>
        <v>1115.3</v>
      </c>
      <c r="EU306" s="794" t="e">
        <f t="shared" si="838"/>
        <v>#N/A</v>
      </c>
      <c r="EV306" s="795" t="e">
        <f t="shared" si="836"/>
        <v>#N/A</v>
      </c>
      <c r="EW306" s="796" t="s">
        <v>757</v>
      </c>
      <c r="EX306" s="796" t="s">
        <v>757</v>
      </c>
      <c r="EY306" s="794" t="e">
        <v>#N/A</v>
      </c>
      <c r="EZ306" s="798">
        <v>11003.000000021686</v>
      </c>
      <c r="FA306" s="712"/>
      <c r="FB306" s="712"/>
      <c r="FC306" s="712"/>
      <c r="FD306" s="712"/>
      <c r="FE306" s="712">
        <f>O306+Sheet1!CO306</f>
        <v>58.660000000003492</v>
      </c>
      <c r="FF306" s="712">
        <f>IF(Sheet1!AA306+AG306&lt;=Calculation!N306,AG306,Calculation!N306-Sheet1!AA306)</f>
        <v>17.965878136202946</v>
      </c>
      <c r="FG306" s="712">
        <f>(Sheet1!BP306+Sheet1!BO306)/694.4</f>
        <v>2.4146025345622122</v>
      </c>
      <c r="FH306" s="712"/>
      <c r="FI306" s="712"/>
      <c r="FJ306" s="712"/>
      <c r="FK306" s="712"/>
      <c r="FL306" s="714">
        <f t="shared" si="827"/>
        <v>40753</v>
      </c>
      <c r="FM306" s="714">
        <f t="shared" si="828"/>
        <v>40851</v>
      </c>
      <c r="FN306" s="712"/>
      <c r="FO306" s="712"/>
      <c r="FP306" s="712"/>
      <c r="FQ306" s="712"/>
      <c r="FR306" s="712"/>
      <c r="FS306" s="725">
        <f t="shared" si="918"/>
        <v>40603</v>
      </c>
      <c r="FT306" s="714">
        <f t="shared" si="830"/>
        <v>40709</v>
      </c>
      <c r="FU306" s="712">
        <f t="shared" si="918"/>
        <v>6518.9048239895692</v>
      </c>
      <c r="FV306" s="714">
        <f t="shared" si="831"/>
        <v>40722</v>
      </c>
      <c r="FW306" s="712">
        <f t="shared" si="918"/>
        <v>3259.4524119947846</v>
      </c>
      <c r="FX306" s="725">
        <f t="shared" si="918"/>
        <v>40851</v>
      </c>
      <c r="FZ306" s="697">
        <f t="shared" si="824"/>
        <v>0</v>
      </c>
      <c r="GA306" s="712" t="str">
        <f t="shared" si="899"/>
        <v/>
      </c>
      <c r="GB306" s="712">
        <f t="shared" si="900"/>
        <v>0</v>
      </c>
      <c r="GC306" s="712" t="str">
        <f t="shared" si="901"/>
        <v/>
      </c>
      <c r="GD306" s="712">
        <f>IF(GA306="P",Lookup!$M$12,IF(GA306="PP",Lookup!$M$13,IF(GA306="PPP",Lookup!$M$14,IF(GA306="T",Lookup!$M$15,IF(GA306="TP",Lookup!$M$16,IF(GA306="TPP",Lookup!$M$17,IF(GA306="TPPP",Lookup!$M$18,0)))))))*FZ306</f>
        <v>0</v>
      </c>
      <c r="GE306" s="712">
        <f t="shared" si="902"/>
        <v>0</v>
      </c>
      <c r="GF306" s="712">
        <f t="shared" si="903"/>
        <v>292.01583466666614</v>
      </c>
      <c r="GG306" s="712">
        <f t="shared" si="904"/>
        <v>95.181171664493519</v>
      </c>
      <c r="GH306" s="712"/>
      <c r="GI306" s="712">
        <f t="shared" si="905"/>
        <v>0</v>
      </c>
      <c r="GJ306" s="712" t="str">
        <f t="shared" si="906"/>
        <v/>
      </c>
      <c r="GK306" s="712">
        <f>IF(GA306="P",Lookup!$N$12,IF(GA306="PP",Lookup!$N$13,IF(GA306="PPP",Lookup!$N$14,IF(GA306="T",Lookup!$N$15,IF(GA306="TP",Lookup!$N$16,IF(GA306="TPP",Lookup!$N$17,IF(GA306="TPPP",Lookup!$N$18,0)))))))*FZ306</f>
        <v>0</v>
      </c>
      <c r="GL306" s="712">
        <f t="shared" si="907"/>
        <v>0</v>
      </c>
      <c r="GM306" s="712">
        <f t="shared" si="908"/>
        <v>214.98633953822127</v>
      </c>
      <c r="GN306" s="712">
        <f t="shared" si="909"/>
        <v>70.073774295378513</v>
      </c>
      <c r="GO306" s="712"/>
      <c r="GP306" s="712">
        <f t="shared" si="910"/>
        <v>0</v>
      </c>
      <c r="GQ306" s="712" t="str">
        <f t="shared" si="911"/>
        <v/>
      </c>
      <c r="GR306" s="712">
        <f>IF(GA306="P",Lookup!$N$12,IF(GA306="PP",Lookup!$N$13,IF(GA306="PPP",Lookup!$N$14,IF(GA306="T",Lookup!$N$15,IF(GA306="TP",Lookup!$N$16,IF(GA306="TPP",Lookup!$N$17,IF(GA306="TPPP",Lookup!$N$18,0)))))))*FZ306</f>
        <v>0</v>
      </c>
      <c r="GS306" s="697">
        <f t="shared" si="825"/>
        <v>0</v>
      </c>
      <c r="GT306" s="712">
        <f t="shared" si="912"/>
        <v>321.12236502802841</v>
      </c>
      <c r="GU306" s="712">
        <f t="shared" si="913"/>
        <v>104.6683067236077</v>
      </c>
      <c r="GV306" s="712"/>
      <c r="GW306" s="712">
        <f t="shared" si="914"/>
        <v>0</v>
      </c>
      <c r="GX306" s="712" t="str">
        <f t="shared" si="915"/>
        <v/>
      </c>
      <c r="GY306" s="712">
        <f>IF(GA306="P",Lookup!$N$12,IF(GA306="PP",Lookup!$N$13,IF(GA306="PPP",Lookup!$N$14,IF(GA306="T",Lookup!$N$15,IF(GA306="TP",Lookup!$N$16,IF(GA306="TPP",Lookup!$N$17,IF(GA306="TPPP",Lookup!$N$18,0)))))))*FZ306</f>
        <v>0</v>
      </c>
      <c r="GZ306" s="697">
        <f t="shared" si="826"/>
        <v>0</v>
      </c>
      <c r="HA306" s="712">
        <f t="shared" si="916"/>
        <v>617.63694246581622</v>
      </c>
      <c r="HB306" s="712">
        <f t="shared" si="917"/>
        <v>201.31582218572888</v>
      </c>
      <c r="HC306" s="712"/>
    </row>
    <row r="307" spans="1:211">
      <c r="A307" s="773" t="s">
        <v>7</v>
      </c>
      <c r="B307" s="708">
        <v>40836</v>
      </c>
      <c r="C307" s="709">
        <v>0.5</v>
      </c>
      <c r="D307" s="675">
        <f t="shared" si="840"/>
        <v>300</v>
      </c>
      <c r="E307" s="675">
        <f t="shared" si="841"/>
        <v>250</v>
      </c>
      <c r="F307" s="675">
        <v>250</v>
      </c>
      <c r="G307" s="712">
        <f>DH307+Sheet1!CV307</f>
        <v>229.68141704412483</v>
      </c>
      <c r="H307" s="712">
        <f t="shared" si="842"/>
        <v>0</v>
      </c>
      <c r="I307" s="711">
        <f>MAX(Sheet1!Z307-AJ307+(Sheet1!CW307-E307)*CFStoMGD,0)</f>
        <v>309.23509482758749</v>
      </c>
      <c r="J307" s="720">
        <f>IF(AND(B307&gt;=Calculation!FS307,B307&lt;=Calculation!FT307),IF(Sheet1!CX307&gt;=Calculation!D307,64.64,0),MAX(Sheet1!Z307-AJ307+(Sheet1!CX307-D307)*CFStoMGD,0))</f>
        <v>139.49449482758752</v>
      </c>
      <c r="K307" s="697">
        <f t="shared" si="843"/>
        <v>0</v>
      </c>
      <c r="L307" s="712">
        <f>Sheet1!AA307+Sheet1!AB307-Sheet1!L307+(Sheet1!CW307-F307)*CFStoMGD</f>
        <v>357.45100000000667</v>
      </c>
      <c r="M307" s="712">
        <f t="shared" si="844"/>
        <v>151.43538933686875</v>
      </c>
      <c r="N307" s="712">
        <f>IF(Sheet1!CW307&gt;=F307,MIN(73,MIN(MAX(L307,0),MAX(M307,0))),0)</f>
        <v>73</v>
      </c>
      <c r="O307" s="721">
        <f>Sheet1!AA307+Sheet1!AB307</f>
        <v>58.390000000006694</v>
      </c>
      <c r="P307" s="721">
        <f t="shared" si="845"/>
        <v>90.329330000010344</v>
      </c>
      <c r="Q307" s="712">
        <f>MIN(N307,Sheet1!AA307+AG307)</f>
        <v>48.295905172421222</v>
      </c>
      <c r="R307" s="712">
        <f t="shared" si="846"/>
        <v>10</v>
      </c>
      <c r="S307" s="721">
        <f>Sheet1!Y307*MGDtoCFS</f>
        <v>46.982390000000002</v>
      </c>
      <c r="T307" s="721">
        <f>Sheet1!Z307*MGDtoCFS</f>
        <v>43.424289999999999</v>
      </c>
      <c r="U307" s="721">
        <f>Sheet1!AA307*MGDtoCFS</f>
        <v>47.028800000013504</v>
      </c>
      <c r="V307" s="721">
        <f>Sheet1!AB307*MGDtoCFS</f>
        <v>43.300529999996847</v>
      </c>
      <c r="W307" s="721">
        <f>Sheet1!L307*MGDtoCFS</f>
        <v>0</v>
      </c>
      <c r="X307" s="697">
        <f t="shared" si="847"/>
        <v>10.094094827585472</v>
      </c>
      <c r="Y307" s="712">
        <f t="shared" si="848"/>
        <v>15.615564698274724</v>
      </c>
      <c r="Z307" s="712">
        <f t="shared" si="849"/>
        <v>0</v>
      </c>
      <c r="AA307" s="712">
        <f t="shared" si="850"/>
        <v>0</v>
      </c>
      <c r="AB307" s="712">
        <f>(VLOOKUP(Sheet1!CY307,hhdcap_wcm,4)-(((VLOOKUP(Sheet1!CY307,hhdcap_wcm,3)-Sheet1!CY307)/(VLOOKUP(Sheet1!CY307,hhdcap_wcm,3)-VLOOKUP(Sheet1!CY307,hhdcap_wcm,1)))*(VLOOKUP(Sheet1!CY307,hhdcap_wcm,4)-VLOOKUP(Sheet1!CY307,hhdcap_wcm,2))))</f>
        <v>7987.0000000151267</v>
      </c>
      <c r="AC307" s="712">
        <f t="shared" si="851"/>
        <v>-677.00000000150067</v>
      </c>
      <c r="AD307" s="712">
        <f t="shared" si="852"/>
        <v>461.14498004162311</v>
      </c>
      <c r="AE307" s="712">
        <f t="shared" si="853"/>
        <v>1414.7927987676997</v>
      </c>
      <c r="AF307" s="712">
        <f>Sheet1!BA307+Sheet1!BB307+Sheet1!BN307+BT307</f>
        <v>17.8</v>
      </c>
      <c r="AG307" s="712">
        <f t="shared" si="854"/>
        <v>17.89590517241249</v>
      </c>
      <c r="AH307" s="712">
        <f>Sheet1!BA307+BT307</f>
        <v>0</v>
      </c>
      <c r="AI307" s="712">
        <f>Sheet1!BA307+Sheet1!BB307+BT307</f>
        <v>0</v>
      </c>
      <c r="AJ307" s="712">
        <f>IF((Sheet1!AA307+AG307+AX307+AZ307+BQ307+BS307+CL307+CN307)&lt;=N307,AG307+AX307+AZ307+BQ307+BS307+CL307+CN307,N307-Sheet1!AA307)</f>
        <v>17.89590517241249</v>
      </c>
      <c r="AK307" s="712">
        <f>IF(DR307&lt;K307,0,MAX(Sheet1!AA307+AG307-15/36*K307-N307,Sheet1!ED307,0))</f>
        <v>0</v>
      </c>
      <c r="AL307" s="712">
        <f>IF(OR(B307&gt;=FT307,B307&lt;FS307),0,15/36*K307-MAX(0,64.6-(137.6-(Sheet1!AA307+Sheet1!AB307))))</f>
        <v>0</v>
      </c>
      <c r="AM307" s="712">
        <f>Sheet1!CX307-110</f>
        <v>390.0625</v>
      </c>
      <c r="AN307" s="712">
        <f>Sheet1!CW307-265</f>
        <v>447.65625</v>
      </c>
      <c r="AO307" s="712">
        <f t="shared" si="835"/>
        <v>24.704094827578778</v>
      </c>
      <c r="AP307" s="712">
        <f t="shared" si="855"/>
        <v>0</v>
      </c>
      <c r="AQ307" s="712">
        <f t="shared" si="856"/>
        <v>0</v>
      </c>
      <c r="AR307" s="712">
        <f t="shared" si="857"/>
        <v>95.181171664493519</v>
      </c>
      <c r="AS307" s="712"/>
      <c r="AT307" s="712">
        <f ca="1">IF(B307&gt;Summary!$A$1,#N/A,AR307*MGtoAF)</f>
        <v>292.01583466666614</v>
      </c>
      <c r="AU307" s="712">
        <f>Sheet1!BG307+Sheet1!BH307+Sheet1!BI307-BC307</f>
        <v>1</v>
      </c>
      <c r="AV307" s="712">
        <f t="shared" si="858"/>
        <v>1.0053879310344096</v>
      </c>
      <c r="AW307" s="712">
        <f>IF(Sheet1!EL307="FM",BC307,0)</f>
        <v>0</v>
      </c>
      <c r="AX307" s="712">
        <f t="shared" si="859"/>
        <v>0</v>
      </c>
      <c r="AY307" s="712">
        <f>IF(Sheet1!EL307="OTHER",BC307,0)</f>
        <v>0</v>
      </c>
      <c r="AZ307" s="712">
        <f t="shared" si="860"/>
        <v>0</v>
      </c>
      <c r="BA307" s="712">
        <f t="shared" si="861"/>
        <v>1</v>
      </c>
      <c r="BB307" s="712">
        <f t="shared" si="862"/>
        <v>1.0053879310344096</v>
      </c>
      <c r="BC307" s="712">
        <f>IF(OR(Sheet1!EL307="FM", Sheet1!EL307="OTHER"),SUM(Sheet1!BG307:'Sheet1'!BI307),0)</f>
        <v>0</v>
      </c>
      <c r="BD307" s="697">
        <f>IF(AND($B307&gt;=$FL307,$B307&lt;=$FM307),MAX(AV307,Sheet1!EE307,0),MAX(AV307-(7/36)*$K307,0))</f>
        <v>1.0053879310344096</v>
      </c>
      <c r="BE307" s="712">
        <f t="shared" si="863"/>
        <v>0</v>
      </c>
      <c r="BF307" s="697">
        <f t="shared" si="864"/>
        <v>0</v>
      </c>
      <c r="BG307" s="697">
        <f>IF(AND($O307&gt;0,Sheet1!EI307=1),(1-($O307-Sheet1!$L307)/$O307)*BB307,0)</f>
        <v>0</v>
      </c>
      <c r="BH307" s="697">
        <f>IF(AND(Sheet1!$L307=0,Sheet1!$L306=0, Calculation!BA307&lt;Sheet1!$EE307-0.1,Sheet1!$EE307=Sheet1!$EE306,Sheet1!$EE307=Sheet1!$EE308),Sheet1!$EE307,BB307-BG307)</f>
        <v>1.0053879310344096</v>
      </c>
      <c r="BI307" s="712"/>
      <c r="BJ307" s="712"/>
      <c r="BK307" s="712">
        <f t="shared" si="865"/>
        <v>69.068386364344107</v>
      </c>
      <c r="BL307" s="712"/>
      <c r="BM307" s="712">
        <f ca="1">IF(B307&gt;Summary!$A$1,#N/A,BK307*MGtoAF)</f>
        <v>211.90180936580774</v>
      </c>
      <c r="BN307" s="712">
        <f>Sheet1!BC307+Sheet1!BD307+Sheet1!BE307+Sheet1!BF307-BW307-BX307</f>
        <v>2.5</v>
      </c>
      <c r="BO307" s="712">
        <f t="shared" si="866"/>
        <v>2.5134698275860239</v>
      </c>
      <c r="BP307" s="712">
        <f>IF(Sheet1!EM307="FM",BX307,0)</f>
        <v>0</v>
      </c>
      <c r="BQ307" s="712">
        <f t="shared" si="867"/>
        <v>0</v>
      </c>
      <c r="BR307" s="712">
        <f>IF(Sheet1!EM307="OTHER",BX307,0)</f>
        <v>0</v>
      </c>
      <c r="BS307" s="712">
        <f t="shared" si="868"/>
        <v>0</v>
      </c>
      <c r="BT307" s="712">
        <f t="shared" si="869"/>
        <v>0</v>
      </c>
      <c r="BU307" s="712">
        <f t="shared" si="870"/>
        <v>2.5</v>
      </c>
      <c r="BV307" s="712">
        <f t="shared" si="871"/>
        <v>2.5134698275860239</v>
      </c>
      <c r="BW307" s="712">
        <f>IF(Sheet1!EM307="CWA",SUM(Sheet1!BC307:'Sheet1'!BF307),0)</f>
        <v>0</v>
      </c>
      <c r="BX307" s="712">
        <f>IF(OR(Sheet1!EM307="FM", Sheet1!EM307="OTHER"),SUM(Sheet1!BC307:'Sheet1'!BF307),0)</f>
        <v>0</v>
      </c>
      <c r="BY307" s="697">
        <f>IF(AND($B307&gt;=$FL307,$B307&lt;=$FM307),MAX(BV307,Sheet1!EF307,0),MAX(BV307-(7/36)*$K307,0))</f>
        <v>2.5134698275860239</v>
      </c>
      <c r="BZ307" s="712">
        <f t="shared" si="872"/>
        <v>0</v>
      </c>
      <c r="CA307" s="697">
        <f t="shared" si="873"/>
        <v>0</v>
      </c>
      <c r="CB307" s="697">
        <f>IF(AND($O307&gt;0,Sheet1!EJ307=1),(1-($O307-Sheet1!$L307)/$O307)*BV307,0)</f>
        <v>0</v>
      </c>
      <c r="CC307" s="697">
        <f>IF(AND(Sheet1!$L307=0,Sheet1!$L306=0, Calculation!BU307&lt;Sheet1!EF307-0.1,Sheet1!EF307=Sheet1!EF306,Sheet1!EF307=Sheet1!EF308),Sheet1!EF307,BV307-CB307)</f>
        <v>2.5134698275860239</v>
      </c>
      <c r="CD307" s="697"/>
      <c r="CE307" s="712"/>
      <c r="CF307" s="712">
        <f t="shared" si="874"/>
        <v>102.15483689602168</v>
      </c>
      <c r="CG307" s="712"/>
      <c r="CH307" s="712">
        <f ca="1">IF(B307&gt;Summary!$A$1,#N/A,CF307*MGtoAF)</f>
        <v>313.4110395969945</v>
      </c>
      <c r="CI307" s="712">
        <f>Sheet1!BK307+Sheet1!BL307+Sheet1!BM307-Sheet1!EN307-CQ307</f>
        <v>6.54</v>
      </c>
      <c r="CJ307" s="712">
        <f t="shared" si="875"/>
        <v>6.5752370689650386</v>
      </c>
      <c r="CK307" s="712">
        <f>IF(Sheet1!EN307="FM",CQ307,0)</f>
        <v>0</v>
      </c>
      <c r="CL307" s="712">
        <f t="shared" si="876"/>
        <v>0</v>
      </c>
      <c r="CM307" s="712">
        <f>IF(Sheet1!EN307="OTHER",CQ307,0)</f>
        <v>0</v>
      </c>
      <c r="CN307" s="712">
        <f t="shared" si="877"/>
        <v>0</v>
      </c>
      <c r="CO307" s="712">
        <f t="shared" si="878"/>
        <v>6.54</v>
      </c>
      <c r="CP307" s="712">
        <f t="shared" si="879"/>
        <v>6.5752370689650386</v>
      </c>
      <c r="CQ307" s="712">
        <f>IF(OR(Sheet1!EN307="FM", Sheet1!EN307="OTHER"),SUM(Sheet1!BK307:'Sheet1'!BM307),0)</f>
        <v>0</v>
      </c>
      <c r="CR307" s="697">
        <f>IF(AND($B307&gt;=$FL307,$B307&lt;=$FM307),MAX($CJ307,Sheet1!EG307,0),MAX($CJ307-(7/36)*$K307,0))</f>
        <v>6.5752370689650386</v>
      </c>
      <c r="CS307" s="712">
        <f t="shared" si="880"/>
        <v>0</v>
      </c>
      <c r="CT307" s="697">
        <f t="shared" si="881"/>
        <v>0</v>
      </c>
      <c r="CU307" s="697">
        <f>IF(AND($O307&gt;0,Sheet1!EK307=1),(1-($O307-Sheet1!$L307)/$O307)*CP307,0)</f>
        <v>0</v>
      </c>
      <c r="CV307" s="697">
        <f>IF(AND(Sheet1!$L307=0,Sheet1!$L306=0, Calculation!CO307&lt;Sheet1!$EG307-0.1,Sheet1!$EG307=Sheet1!$EG306,Sheet1!$EG307=Sheet1!$EG308),Sheet1!$EG307,CP307-CU307)</f>
        <v>6.5752370689650386</v>
      </c>
      <c r="CW307" s="697">
        <f t="shared" si="837"/>
        <v>0</v>
      </c>
      <c r="CX307" s="712">
        <f t="shared" si="882"/>
        <v>10.039999999999999</v>
      </c>
      <c r="CY307" s="712">
        <f t="shared" si="883"/>
        <v>194.74058511676384</v>
      </c>
      <c r="CZ307" s="712">
        <f t="shared" si="884"/>
        <v>10.094094827585472</v>
      </c>
      <c r="DA307" s="712">
        <f ca="1">IF(B307&gt;Summary!$A$1,#N/A,CY307*MGtoAF)</f>
        <v>597.46411513823148</v>
      </c>
      <c r="DB307" s="712">
        <f t="shared" si="885"/>
        <v>10.039999999999999</v>
      </c>
      <c r="DC307" s="712">
        <f t="shared" si="886"/>
        <v>27.84</v>
      </c>
      <c r="DD307" s="712">
        <f>Sheet1!AB307-DC307</f>
        <v>0.14999999999796287</v>
      </c>
      <c r="DE307" s="712">
        <f t="shared" si="887"/>
        <v>5.3879310344095857E-3</v>
      </c>
      <c r="DF307" s="712">
        <f>(VLOOKUP(Sheet1!CY307,hhdcap_wcm,4)-(((VLOOKUP(Sheet1!CY307,hhdcap_wcm,3)-Sheet1!CY307)/(VLOOKUP(Sheet1!CY307,hhdcap_wcm,3)-VLOOKUP(Sheet1!CY307,hhdcap_wcm,1)))*(VLOOKUP(Sheet1!CY307,hhdcap_wcm,4)-VLOOKUP(Sheet1!CY307,hhdcap_wcm,2))))</f>
        <v>7987.0000000151267</v>
      </c>
      <c r="DG307" s="712">
        <f t="shared" si="888"/>
        <v>-677.00000000150067</v>
      </c>
      <c r="DH307" s="712">
        <f t="shared" si="889"/>
        <v>-341.40191628920854</v>
      </c>
      <c r="DI307" s="712">
        <f>Sheet1!DW307*AFtoMG</f>
        <v>0</v>
      </c>
      <c r="DJ307" s="712">
        <f>Sheet1!DX307*AFtoMG</f>
        <v>0</v>
      </c>
      <c r="DK307" s="712">
        <f>Sheet1!DY307*AFtoMG</f>
        <v>0</v>
      </c>
      <c r="DL307" s="712">
        <f>Sheet1!DZ307*AFtoMG</f>
        <v>0</v>
      </c>
      <c r="DM307" s="712">
        <f t="shared" si="890"/>
        <v>0</v>
      </c>
      <c r="DN307" s="712">
        <f t="shared" si="891"/>
        <v>0</v>
      </c>
      <c r="DO307" s="712">
        <f t="shared" si="892"/>
        <v>461.14498004162311</v>
      </c>
      <c r="DP307" s="712">
        <f t="shared" si="893"/>
        <v>1414.7927987676997</v>
      </c>
      <c r="DQ307" s="712"/>
      <c r="DR307" s="697">
        <f>IF(OR(B307&lt;FL307,B307&gt;FM307),(MIN(AV307+BO307+CJ307+MAX(Sheet1!AA307+AG307-73,0),K307)),0)</f>
        <v>0</v>
      </c>
      <c r="DS307" s="712"/>
      <c r="DT307" s="712">
        <f t="shared" si="894"/>
        <v>10.094094827585472</v>
      </c>
      <c r="DU307" s="712"/>
      <c r="DV307" s="712">
        <f>Sheet1!ED307+Sheet1!EE307+Sheet1!EF307+Sheet1!EG307</f>
        <v>10</v>
      </c>
      <c r="DW307" s="712"/>
      <c r="DX307" s="697">
        <f t="shared" si="895"/>
        <v>0</v>
      </c>
      <c r="DY307" s="712">
        <f>IF(Sheet1!FN307=1,SUM('Calculations II'!AT307:BA307)+'Calculations II'!BC307+Sheet1!BU307+'Calculations II'!BE307+AF307,SUM('Calculations II'!AT307:BA307)+'Calculations II'!BC307+Sheet1!BU307+'Calculations II'!BE307+AF307)</f>
        <v>44.399792000000005</v>
      </c>
      <c r="DZ307" s="712">
        <f>Sheet1!AA307+Sheet1!AB307+'Calculations II'!BC307</f>
        <v>58.390000000006694</v>
      </c>
      <c r="EA307" s="712"/>
      <c r="EB307" s="712"/>
      <c r="EC307" s="712">
        <f t="shared" si="896"/>
        <v>40836</v>
      </c>
      <c r="ED307" s="712">
        <f t="shared" si="897"/>
        <v>-10.094094827585472</v>
      </c>
      <c r="EE307" s="712">
        <f t="shared" si="898"/>
        <v>-15.615564698274724</v>
      </c>
      <c r="EF307" s="712">
        <f ca="1">IF(B307=TODAY(),0,-(VLOOKUP(Sheet1!BQ307,Lookup!$B$4:$J$236,2)-VLOOKUP(Sheet1!BQ306,Lookup!$B$4:$J$236,2))/1000000)</f>
        <v>0.53420000000000001</v>
      </c>
      <c r="EG307" s="712">
        <f ca="1">IF(B307=TODAY(),0,-(VLOOKUP(Sheet1!BR307,Lookup!$B$4:$J$236,3)-VLOOKUP(Sheet1!BR306,Lookup!$B$4:$J$236,3))/1000000)</f>
        <v>0.53320000000000001</v>
      </c>
      <c r="EH307" s="712">
        <f>-(VLOOKUP(Sheet1!BS307,Lookup!$B$4:$J$236,4)-VLOOKUP(Sheet1!BS306,Lookup!$B$4:$J$236,4))/1000000</f>
        <v>0</v>
      </c>
      <c r="EI307" s="697">
        <f t="shared" ca="1" si="819"/>
        <v>1.0674000000000001</v>
      </c>
      <c r="EJ307" s="712"/>
      <c r="EK307" s="712"/>
      <c r="EL307" s="712"/>
      <c r="EM307" s="712"/>
      <c r="EN307" s="712"/>
      <c r="EO307" s="712"/>
      <c r="EP307" s="712"/>
      <c r="EQ307" s="712"/>
      <c r="ER307" s="697">
        <f t="shared" si="920"/>
        <v>-3733.498796257149</v>
      </c>
      <c r="ES307" s="712">
        <f t="shared" si="921"/>
        <v>477.4099720416466</v>
      </c>
      <c r="ET307" s="794">
        <f t="shared" si="919"/>
        <v>1114.8</v>
      </c>
      <c r="EU307" s="794" t="e">
        <f t="shared" si="838"/>
        <v>#N/A</v>
      </c>
      <c r="EV307" s="795" t="e">
        <f t="shared" si="836"/>
        <v>#N/A</v>
      </c>
      <c r="EW307" s="796" t="s">
        <v>757</v>
      </c>
      <c r="EX307" s="796" t="s">
        <v>757</v>
      </c>
      <c r="EY307" s="794" t="e">
        <v>#N/A</v>
      </c>
      <c r="EZ307" s="798">
        <v>10775.000000021515</v>
      </c>
      <c r="FA307" s="712"/>
      <c r="FB307" s="712"/>
      <c r="FC307" s="712"/>
      <c r="FD307" s="712"/>
      <c r="FE307" s="712">
        <f>O307+Sheet1!CO307</f>
        <v>58.390000000006694</v>
      </c>
      <c r="FF307" s="712">
        <f>IF(Sheet1!AA307+AG307&lt;=Calculation!N307,AG307,Calculation!N307-Sheet1!AA307)</f>
        <v>17.89590517241249</v>
      </c>
      <c r="FG307" s="712">
        <f>(Sheet1!BP307+Sheet1!BO307)/694.4</f>
        <v>1.1254320276497696</v>
      </c>
      <c r="FH307" s="712"/>
      <c r="FI307" s="712"/>
      <c r="FJ307" s="712"/>
      <c r="FK307" s="712"/>
      <c r="FL307" s="714">
        <f t="shared" si="827"/>
        <v>40753</v>
      </c>
      <c r="FM307" s="714">
        <f t="shared" si="828"/>
        <v>40851</v>
      </c>
      <c r="FN307" s="712"/>
      <c r="FO307" s="712"/>
      <c r="FP307" s="712"/>
      <c r="FQ307" s="712"/>
      <c r="FR307" s="712"/>
      <c r="FS307" s="725">
        <f t="shared" si="918"/>
        <v>40603</v>
      </c>
      <c r="FT307" s="714">
        <f t="shared" si="830"/>
        <v>40709</v>
      </c>
      <c r="FU307" s="712">
        <f t="shared" si="918"/>
        <v>6518.9048239895692</v>
      </c>
      <c r="FV307" s="714">
        <f t="shared" si="831"/>
        <v>40722</v>
      </c>
      <c r="FW307" s="712">
        <f t="shared" si="918"/>
        <v>3259.4524119947846</v>
      </c>
      <c r="FX307" s="725">
        <f t="shared" si="918"/>
        <v>40851</v>
      </c>
      <c r="FZ307" s="697">
        <f t="shared" si="824"/>
        <v>0</v>
      </c>
      <c r="GA307" s="712" t="str">
        <f t="shared" si="899"/>
        <v/>
      </c>
      <c r="GB307" s="712">
        <f t="shared" si="900"/>
        <v>0</v>
      </c>
      <c r="GC307" s="712" t="str">
        <f t="shared" si="901"/>
        <v/>
      </c>
      <c r="GD307" s="712">
        <f>IF(GA307="P",Lookup!$M$12,IF(GA307="PP",Lookup!$M$13,IF(GA307="PPP",Lookup!$M$14,IF(GA307="T",Lookup!$M$15,IF(GA307="TP",Lookup!$M$16,IF(GA307="TPP",Lookup!$M$17,IF(GA307="TPPP",Lookup!$M$18,0)))))))*FZ307</f>
        <v>0</v>
      </c>
      <c r="GE307" s="712">
        <f t="shared" si="902"/>
        <v>0</v>
      </c>
      <c r="GF307" s="712">
        <f t="shared" si="903"/>
        <v>292.01583466666614</v>
      </c>
      <c r="GG307" s="712">
        <f t="shared" si="904"/>
        <v>95.181171664493519</v>
      </c>
      <c r="GH307" s="712"/>
      <c r="GI307" s="712">
        <f t="shared" si="905"/>
        <v>0</v>
      </c>
      <c r="GJ307" s="712" t="str">
        <f t="shared" si="906"/>
        <v/>
      </c>
      <c r="GK307" s="712">
        <f>IF(GA307="P",Lookup!$N$12,IF(GA307="PP",Lookup!$N$13,IF(GA307="PPP",Lookup!$N$14,IF(GA307="T",Lookup!$N$15,IF(GA307="TP",Lookup!$N$16,IF(GA307="TPP",Lookup!$N$17,IF(GA307="TPPP",Lookup!$N$18,0)))))))*FZ307</f>
        <v>0</v>
      </c>
      <c r="GL307" s="712">
        <f t="shared" si="907"/>
        <v>0</v>
      </c>
      <c r="GM307" s="712">
        <f t="shared" si="908"/>
        <v>211.90180936580774</v>
      </c>
      <c r="GN307" s="712">
        <f t="shared" si="909"/>
        <v>69.068386364344107</v>
      </c>
      <c r="GO307" s="712"/>
      <c r="GP307" s="712">
        <f t="shared" si="910"/>
        <v>0</v>
      </c>
      <c r="GQ307" s="712" t="str">
        <f t="shared" si="911"/>
        <v/>
      </c>
      <c r="GR307" s="712">
        <f>IF(GA307="P",Lookup!$N$12,IF(GA307="PP",Lookup!$N$13,IF(GA307="PPP",Lookup!$N$14,IF(GA307="T",Lookup!$N$15,IF(GA307="TP",Lookup!$N$16,IF(GA307="TPP",Lookup!$N$17,IF(GA307="TPPP",Lookup!$N$18,0)))))))*FZ307</f>
        <v>0</v>
      </c>
      <c r="GS307" s="697">
        <f t="shared" si="825"/>
        <v>0</v>
      </c>
      <c r="GT307" s="712">
        <f t="shared" si="912"/>
        <v>313.4110395969945</v>
      </c>
      <c r="GU307" s="712">
        <f t="shared" si="913"/>
        <v>102.15483689602168</v>
      </c>
      <c r="GV307" s="712"/>
      <c r="GW307" s="712">
        <f t="shared" si="914"/>
        <v>0</v>
      </c>
      <c r="GX307" s="712" t="str">
        <f t="shared" si="915"/>
        <v/>
      </c>
      <c r="GY307" s="712">
        <f>IF(GA307="P",Lookup!$N$12,IF(GA307="PP",Lookup!$N$13,IF(GA307="PPP",Lookup!$N$14,IF(GA307="T",Lookup!$N$15,IF(GA307="TP",Lookup!$N$16,IF(GA307="TPP",Lookup!$N$17,IF(GA307="TPPP",Lookup!$N$18,0)))))))*FZ307</f>
        <v>0</v>
      </c>
      <c r="GZ307" s="697">
        <f t="shared" si="826"/>
        <v>0</v>
      </c>
      <c r="HA307" s="712">
        <f t="shared" si="916"/>
        <v>597.46411513823148</v>
      </c>
      <c r="HB307" s="712">
        <f t="shared" si="917"/>
        <v>194.74058511676384</v>
      </c>
      <c r="HC307" s="712"/>
    </row>
    <row r="308" spans="1:211">
      <c r="A308" s="773" t="s">
        <v>8</v>
      </c>
      <c r="B308" s="708">
        <v>40837</v>
      </c>
      <c r="C308" s="719">
        <v>0.5</v>
      </c>
      <c r="D308" s="675">
        <f t="shared" si="840"/>
        <v>300</v>
      </c>
      <c r="E308" s="675">
        <f t="shared" si="841"/>
        <v>250</v>
      </c>
      <c r="F308" s="675">
        <v>250</v>
      </c>
      <c r="G308" s="712">
        <f>DH308+Sheet1!CV308</f>
        <v>239.91376701901237</v>
      </c>
      <c r="H308" s="712">
        <f t="shared" si="842"/>
        <v>0</v>
      </c>
      <c r="I308" s="711">
        <f>MAX(Sheet1!Z308-AJ308+(Sheet1!CW308-E308)*CFStoMGD,0)</f>
        <v>239.70589248471771</v>
      </c>
      <c r="J308" s="720">
        <f>IF(AND(B308&gt;=Calculation!FS308,B308&lt;=Calculation!FT308),IF(Sheet1!CX308&gt;=Calculation!D308,64.64,0),MAX(Sheet1!Z308-AJ308+(Sheet1!CX308-D308)*CFStoMGD,0))</f>
        <v>102.54115915138439</v>
      </c>
      <c r="K308" s="697">
        <f t="shared" si="843"/>
        <v>0</v>
      </c>
      <c r="L308" s="712">
        <f>Sheet1!AA308+Sheet1!AB308-Sheet1!L308+(Sheet1!CW308-F308)*CFStoMGD</f>
        <v>287.48033333333331</v>
      </c>
      <c r="M308" s="712">
        <f t="shared" si="844"/>
        <v>158.18186418111139</v>
      </c>
      <c r="N308" s="712">
        <f>IF(Sheet1!CW308&gt;=F308,MIN(73,MIN(MAX(L308,0),MAX(M308,0))),0)</f>
        <v>73</v>
      </c>
      <c r="O308" s="721">
        <f>Sheet1!AA308+Sheet1!AB308</f>
        <v>57.84</v>
      </c>
      <c r="P308" s="721">
        <f t="shared" si="845"/>
        <v>89.47847999999999</v>
      </c>
      <c r="Q308" s="712">
        <f>MIN(N308,Sheet1!AA308+AG308)</f>
        <v>48.154440848615607</v>
      </c>
      <c r="R308" s="712">
        <f t="shared" si="846"/>
        <v>9.5</v>
      </c>
      <c r="S308" s="721">
        <f>Sheet1!Y308*MGDtoCFS</f>
        <v>46.889569999999999</v>
      </c>
      <c r="T308" s="721">
        <f>Sheet1!Z308*MGDtoCFS</f>
        <v>43.501640000000002</v>
      </c>
      <c r="U308" s="721">
        <f>Sheet1!AA308*MGDtoCFS</f>
        <v>46.564700000000002</v>
      </c>
      <c r="V308" s="721">
        <f>Sheet1!AB308*MGDtoCFS</f>
        <v>42.913779999999996</v>
      </c>
      <c r="W308" s="721">
        <f>Sheet1!L308*MGDtoCFS</f>
        <v>0</v>
      </c>
      <c r="X308" s="697">
        <f t="shared" si="847"/>
        <v>9.688076231571376</v>
      </c>
      <c r="Y308" s="712">
        <f t="shared" si="848"/>
        <v>14.987453930240918</v>
      </c>
      <c r="Z308" s="712">
        <f t="shared" si="849"/>
        <v>0</v>
      </c>
      <c r="AA308" s="712">
        <f t="shared" si="850"/>
        <v>0</v>
      </c>
      <c r="AB308" s="712">
        <f>(VLOOKUP(Sheet1!CY308,hhdcap_wcm,4)-(((VLOOKUP(Sheet1!CY308,hhdcap_wcm,3)-Sheet1!CY308)/(VLOOKUP(Sheet1!CY308,hhdcap_wcm,3)-VLOOKUP(Sheet1!CY308,hhdcap_wcm,1)))*(VLOOKUP(Sheet1!CY308,hhdcap_wcm,4)-VLOOKUP(Sheet1!CY308,hhdcap_wcm,2))))</f>
        <v>7445.4700000138282</v>
      </c>
      <c r="AC308" s="712">
        <f t="shared" si="851"/>
        <v>-541.5300000012985</v>
      </c>
      <c r="AD308" s="712">
        <f t="shared" si="852"/>
        <v>451.4569038100517</v>
      </c>
      <c r="AE308" s="712">
        <f t="shared" si="853"/>
        <v>1385.0697808892387</v>
      </c>
      <c r="AF308" s="712">
        <f>Sheet1!BA308+Sheet1!BB308+Sheet1!BN308+BT308</f>
        <v>18.100000000000001</v>
      </c>
      <c r="AG308" s="712">
        <f t="shared" si="854"/>
        <v>18.054440848615606</v>
      </c>
      <c r="AH308" s="712">
        <f>Sheet1!BA308+BT308</f>
        <v>0</v>
      </c>
      <c r="AI308" s="712">
        <f>Sheet1!BA308+Sheet1!BB308+BT308</f>
        <v>0</v>
      </c>
      <c r="AJ308" s="712">
        <f>IF((Sheet1!AA308+AG308+AX308+AZ308+BQ308+BS308+CL308+CN308)&lt;=N308,AG308+AX308+AZ308+BQ308+BS308+CL308+CN308,N308-Sheet1!AA308)</f>
        <v>18.054440848615606</v>
      </c>
      <c r="AK308" s="712">
        <f>IF(DR308&lt;K308,0,MAX(Sheet1!AA308+AG308-15/36*K308-N308,Sheet1!ED308,0))</f>
        <v>0</v>
      </c>
      <c r="AL308" s="712">
        <f>IF(OR(B308&gt;=FT308,B308&lt;FS308),0,15/36*K308-MAX(0,64.6-(137.6-(Sheet1!AA308+Sheet1!AB308))))</f>
        <v>0</v>
      </c>
      <c r="AM308" s="712">
        <f>Sheet1!CX308-110</f>
        <v>333.0625</v>
      </c>
      <c r="AN308" s="712">
        <f>Sheet1!CW308-265</f>
        <v>340.26041666666663</v>
      </c>
      <c r="AO308" s="712">
        <f t="shared" si="835"/>
        <v>24.845559151384393</v>
      </c>
      <c r="AP308" s="712">
        <f t="shared" si="855"/>
        <v>0</v>
      </c>
      <c r="AQ308" s="712">
        <f t="shared" si="856"/>
        <v>0</v>
      </c>
      <c r="AR308" s="712">
        <f t="shared" si="857"/>
        <v>95.181171664493519</v>
      </c>
      <c r="AS308" s="712"/>
      <c r="AT308" s="712">
        <f ca="1">IF(B308&gt;Summary!$A$1,#N/A,AR308*MGtoAF)</f>
        <v>292.01583466666614</v>
      </c>
      <c r="AU308" s="712">
        <f>Sheet1!BG308+Sheet1!BH308+Sheet1!BI308-BC308</f>
        <v>1</v>
      </c>
      <c r="AV308" s="712">
        <f t="shared" si="858"/>
        <v>0.99748291981301673</v>
      </c>
      <c r="AW308" s="712">
        <f>IF(Sheet1!EL308="FM",BC308,0)</f>
        <v>0</v>
      </c>
      <c r="AX308" s="712">
        <f t="shared" si="859"/>
        <v>0</v>
      </c>
      <c r="AY308" s="712">
        <f>IF(Sheet1!EL308="OTHER",BC308,0)</f>
        <v>0</v>
      </c>
      <c r="AZ308" s="712">
        <f t="shared" si="860"/>
        <v>0</v>
      </c>
      <c r="BA308" s="712">
        <f t="shared" si="861"/>
        <v>1</v>
      </c>
      <c r="BB308" s="712">
        <f t="shared" si="862"/>
        <v>0.99748291981301673</v>
      </c>
      <c r="BC308" s="712">
        <f>IF(OR(Sheet1!EL308="FM", Sheet1!EL308="OTHER"),SUM(Sheet1!BG308:'Sheet1'!BI308),0)</f>
        <v>0</v>
      </c>
      <c r="BD308" s="697">
        <f>IF(AND($B308&gt;=$FL308,$B308&lt;=$FM308),MAX(AV308,Sheet1!EE308,0),MAX(AV308-(7/36)*$K308,0))</f>
        <v>1</v>
      </c>
      <c r="BE308" s="712">
        <f t="shared" si="863"/>
        <v>0</v>
      </c>
      <c r="BF308" s="697">
        <f t="shared" si="864"/>
        <v>0</v>
      </c>
      <c r="BG308" s="697">
        <f>IF(AND($O308&gt;0,Sheet1!EI308=1),(1-($O308-Sheet1!$L308)/$O308)*BB308,0)</f>
        <v>0</v>
      </c>
      <c r="BH308" s="697">
        <f>IF(AND(Sheet1!$L308=0,Sheet1!$L307=0, Calculation!BA308&lt;Sheet1!$EE308-0.1,Sheet1!$EE308=Sheet1!$EE307,Sheet1!$EE308=Sheet1!$EE309),Sheet1!$EE308,BB308-BG308)</f>
        <v>0.99748291981301673</v>
      </c>
      <c r="BI308" s="712"/>
      <c r="BJ308" s="712"/>
      <c r="BK308" s="712">
        <f t="shared" si="865"/>
        <v>68.068386364344107</v>
      </c>
      <c r="BL308" s="712"/>
      <c r="BM308" s="712">
        <f ca="1">IF(B308&gt;Summary!$A$1,#N/A,BK308*MGtoAF)</f>
        <v>208.83380936580772</v>
      </c>
      <c r="BN308" s="712">
        <f>Sheet1!BC308+Sheet1!BD308+Sheet1!BE308+Sheet1!BF308-BW308-BX308</f>
        <v>2.17</v>
      </c>
      <c r="BO308" s="712">
        <f t="shared" si="866"/>
        <v>2.1645379359942463</v>
      </c>
      <c r="BP308" s="712">
        <f>IF(Sheet1!EM308="FM",BX308,0)</f>
        <v>0</v>
      </c>
      <c r="BQ308" s="712">
        <f t="shared" si="867"/>
        <v>0</v>
      </c>
      <c r="BR308" s="712">
        <f>IF(Sheet1!EM308="OTHER",BX308,0)</f>
        <v>0</v>
      </c>
      <c r="BS308" s="712">
        <f t="shared" si="868"/>
        <v>0</v>
      </c>
      <c r="BT308" s="712">
        <f t="shared" si="869"/>
        <v>0</v>
      </c>
      <c r="BU308" s="712">
        <f t="shared" si="870"/>
        <v>2.17</v>
      </c>
      <c r="BV308" s="712">
        <f t="shared" si="871"/>
        <v>2.1645379359942463</v>
      </c>
      <c r="BW308" s="712">
        <f>IF(Sheet1!EM308="CWA",SUM(Sheet1!BC308:'Sheet1'!BF308),0)</f>
        <v>0</v>
      </c>
      <c r="BX308" s="712">
        <f>IF(OR(Sheet1!EM308="FM", Sheet1!EM308="OTHER"),SUM(Sheet1!BC308:'Sheet1'!BF308),0)</f>
        <v>0</v>
      </c>
      <c r="BY308" s="697">
        <f>IF(AND($B308&gt;=$FL308,$B308&lt;=$FM308),MAX(BV308,Sheet1!EF308,0),MAX(BV308-(7/36)*$K308,0))</f>
        <v>2.1645379359942463</v>
      </c>
      <c r="BZ308" s="712">
        <f t="shared" si="872"/>
        <v>0</v>
      </c>
      <c r="CA308" s="697">
        <f t="shared" si="873"/>
        <v>0</v>
      </c>
      <c r="CB308" s="697">
        <f>IF(AND($O308&gt;0,Sheet1!EJ308=1),(1-($O308-Sheet1!$L308)/$O308)*BV308,0)</f>
        <v>0</v>
      </c>
      <c r="CC308" s="697">
        <f>IF(AND(Sheet1!$L308=0,Sheet1!$L307=0, Calculation!BU308&lt;Sheet1!EF308-0.1,Sheet1!EF308=Sheet1!EF307,Sheet1!EF308=Sheet1!EF309),Sheet1!EF308,BV308-CB308)</f>
        <v>2.1645379359942463</v>
      </c>
      <c r="CD308" s="697"/>
      <c r="CE308" s="712"/>
      <c r="CF308" s="712">
        <f t="shared" si="874"/>
        <v>99.990298960027431</v>
      </c>
      <c r="CG308" s="712"/>
      <c r="CH308" s="712">
        <f ca="1">IF(B308&gt;Summary!$A$1,#N/A,CF308*MGtoAF)</f>
        <v>306.77023720936415</v>
      </c>
      <c r="CI308" s="712">
        <f>Sheet1!BK308+Sheet1!BL308+Sheet1!BM308-Sheet1!EN308-CQ308</f>
        <v>6.54</v>
      </c>
      <c r="CJ308" s="712">
        <f t="shared" si="875"/>
        <v>6.5235382955771293</v>
      </c>
      <c r="CK308" s="712">
        <f>IF(Sheet1!EN308="FM",CQ308,0)</f>
        <v>0</v>
      </c>
      <c r="CL308" s="712">
        <f t="shared" si="876"/>
        <v>0</v>
      </c>
      <c r="CM308" s="712">
        <f>IF(Sheet1!EN308="OTHER",CQ308,0)</f>
        <v>0</v>
      </c>
      <c r="CN308" s="712">
        <f t="shared" si="877"/>
        <v>0</v>
      </c>
      <c r="CO308" s="712">
        <f t="shared" si="878"/>
        <v>6.54</v>
      </c>
      <c r="CP308" s="712">
        <f t="shared" si="879"/>
        <v>6.5235382955771293</v>
      </c>
      <c r="CQ308" s="712">
        <f>IF(OR(Sheet1!EN308="FM", Sheet1!EN308="OTHER"),SUM(Sheet1!BK308:'Sheet1'!BM308),0)</f>
        <v>0</v>
      </c>
      <c r="CR308" s="697">
        <f>IF(AND($B308&gt;=$FL308,$B308&lt;=$FM308),MAX($CJ308,Sheet1!EG308,0),MAX($CJ308-(7/36)*$K308,0))</f>
        <v>6.5235382955771293</v>
      </c>
      <c r="CS308" s="712">
        <f t="shared" si="880"/>
        <v>0</v>
      </c>
      <c r="CT308" s="697">
        <f t="shared" si="881"/>
        <v>0</v>
      </c>
      <c r="CU308" s="697">
        <f>IF(AND($O308&gt;0,Sheet1!EK308=1),(1-($O308-Sheet1!$L308)/$O308)*CP308,0)</f>
        <v>0</v>
      </c>
      <c r="CV308" s="697">
        <f>IF(AND(Sheet1!$L308=0,Sheet1!$L307=0, Calculation!CO308&lt;Sheet1!$EG308-0.1,Sheet1!$EG308=Sheet1!$EG307,Sheet1!$EG308=Sheet1!$EG309),Sheet1!$EG308,CP308-CU308)</f>
        <v>6.5235382955771293</v>
      </c>
      <c r="CW308" s="697">
        <f t="shared" si="837"/>
        <v>0</v>
      </c>
      <c r="CX308" s="712">
        <f t="shared" si="882"/>
        <v>9.7100000000000009</v>
      </c>
      <c r="CY308" s="712">
        <f t="shared" si="883"/>
        <v>188.2170468211867</v>
      </c>
      <c r="CZ308" s="712">
        <f t="shared" si="884"/>
        <v>9.6855591513843926</v>
      </c>
      <c r="DA308" s="712">
        <f ca="1">IF(B308&gt;Summary!$A$1,#N/A,CY308*MGtoAF)</f>
        <v>577.4498996474008</v>
      </c>
      <c r="DB308" s="712">
        <f t="shared" si="885"/>
        <v>9.7100000000000009</v>
      </c>
      <c r="DC308" s="712">
        <f t="shared" si="886"/>
        <v>27.810000000000002</v>
      </c>
      <c r="DD308" s="712">
        <f>Sheet1!AB308-DC308</f>
        <v>-7.0000000000003837E-2</v>
      </c>
      <c r="DE308" s="712">
        <f t="shared" si="887"/>
        <v>-2.5170801869832372E-3</v>
      </c>
      <c r="DF308" s="712">
        <f>(VLOOKUP(Sheet1!CY308,hhdcap_wcm,4)-(((VLOOKUP(Sheet1!CY308,hhdcap_wcm,3)-Sheet1!CY308)/(VLOOKUP(Sheet1!CY308,hhdcap_wcm,3)-VLOOKUP(Sheet1!CY308,hhdcap_wcm,1)))*(VLOOKUP(Sheet1!CY308,hhdcap_wcm,4)-VLOOKUP(Sheet1!CY308,hhdcap_wcm,2))))</f>
        <v>7445.4700000138282</v>
      </c>
      <c r="DG308" s="712">
        <f t="shared" si="888"/>
        <v>-541.5300000012985</v>
      </c>
      <c r="DH308" s="712">
        <f t="shared" si="889"/>
        <v>-273.08623298098763</v>
      </c>
      <c r="DI308" s="712">
        <f>Sheet1!DW308*AFtoMG</f>
        <v>0</v>
      </c>
      <c r="DJ308" s="712">
        <f>Sheet1!DX308*AFtoMG</f>
        <v>0</v>
      </c>
      <c r="DK308" s="712">
        <f>Sheet1!DY308*AFtoMG</f>
        <v>0</v>
      </c>
      <c r="DL308" s="712">
        <f>Sheet1!DZ308*AFtoMG</f>
        <v>0</v>
      </c>
      <c r="DM308" s="712">
        <f t="shared" si="890"/>
        <v>0</v>
      </c>
      <c r="DN308" s="712">
        <f t="shared" si="891"/>
        <v>0</v>
      </c>
      <c r="DO308" s="712">
        <f t="shared" si="892"/>
        <v>451.4569038100517</v>
      </c>
      <c r="DP308" s="712">
        <f t="shared" si="893"/>
        <v>1385.0697808892387</v>
      </c>
      <c r="DQ308" s="712"/>
      <c r="DR308" s="697">
        <f>IF(OR(B308&lt;FL308,B308&gt;FM308),(MIN(AV308+BO308+CJ308+MAX(Sheet1!AA308+AG308-73,0),K308)),0)</f>
        <v>0</v>
      </c>
      <c r="DS308" s="712"/>
      <c r="DT308" s="712">
        <f t="shared" si="894"/>
        <v>9.6855591513843926</v>
      </c>
      <c r="DU308" s="712"/>
      <c r="DV308" s="712">
        <f>Sheet1!ED308+Sheet1!EE308+Sheet1!EF308+Sheet1!EG308</f>
        <v>9.5</v>
      </c>
      <c r="DW308" s="712"/>
      <c r="DX308" s="697">
        <f t="shared" si="895"/>
        <v>0</v>
      </c>
      <c r="DY308" s="712">
        <f>IF(Sheet1!FN308=1,SUM('Calculations II'!AT308:BA308)+'Calculations II'!BC308+Sheet1!BU308+'Calculations II'!BE308+AF308,SUM('Calculations II'!AT308:BA308)+'Calculations II'!BC308+Sheet1!BU308+'Calculations II'!BE308+AF308)</f>
        <v>43.844448</v>
      </c>
      <c r="DZ308" s="712">
        <f>Sheet1!AA308+Sheet1!AB308+'Calculations II'!BC308</f>
        <v>57.84</v>
      </c>
      <c r="EA308" s="712"/>
      <c r="EB308" s="712"/>
      <c r="EC308" s="712">
        <f t="shared" si="896"/>
        <v>40837</v>
      </c>
      <c r="ED308" s="712">
        <f t="shared" si="897"/>
        <v>-9.688076231571376</v>
      </c>
      <c r="EE308" s="712">
        <f t="shared" si="898"/>
        <v>-14.987453930240918</v>
      </c>
      <c r="EF308" s="712">
        <f ca="1">IF(B308=TODAY(),0,-(VLOOKUP(Sheet1!BQ308,Lookup!$B$4:$J$236,2)-VLOOKUP(Sheet1!BQ307,Lookup!$B$4:$J$236,2))/1000000)</f>
        <v>-1.3354999999999999</v>
      </c>
      <c r="EG308" s="712">
        <f ca="1">IF(B308=TODAY(),0,-(VLOOKUP(Sheet1!BR308,Lookup!$B$4:$J$236,3)-VLOOKUP(Sheet1!BR307,Lookup!$B$4:$J$236,3))/1000000)</f>
        <v>-1.333</v>
      </c>
      <c r="EH308" s="712">
        <f>-(VLOOKUP(Sheet1!BS308,Lookup!$B$4:$J$236,4)-VLOOKUP(Sheet1!BS307,Lookup!$B$4:$J$236,4))/1000000</f>
        <v>0</v>
      </c>
      <c r="EI308" s="697">
        <f t="shared" ca="1" si="819"/>
        <v>-2.6684999999999999</v>
      </c>
      <c r="EJ308" s="712"/>
      <c r="EK308" s="712"/>
      <c r="EL308" s="712"/>
      <c r="EM308" s="712"/>
      <c r="EN308" s="712"/>
      <c r="EO308" s="712"/>
      <c r="EP308" s="712"/>
      <c r="EQ308" s="712"/>
      <c r="ER308" s="697">
        <f t="shared" si="920"/>
        <v>-4115.0928379308825</v>
      </c>
      <c r="ES308" s="712">
        <f t="shared" si="921"/>
        <v>381.59404167373339</v>
      </c>
      <c r="ET308" s="794">
        <f t="shared" si="919"/>
        <v>1114.2</v>
      </c>
      <c r="EU308" s="794" t="e">
        <f t="shared" si="838"/>
        <v>#N/A</v>
      </c>
      <c r="EV308" s="795" t="e">
        <f t="shared" si="836"/>
        <v>#N/A</v>
      </c>
      <c r="EW308" s="796" t="s">
        <v>757</v>
      </c>
      <c r="EX308" s="796" t="s">
        <v>757</v>
      </c>
      <c r="EY308" s="794" t="e">
        <v>#N/A</v>
      </c>
      <c r="EZ308" s="798">
        <v>10550.600000020751</v>
      </c>
      <c r="FA308" s="712"/>
      <c r="FB308" s="712"/>
      <c r="FC308" s="712"/>
      <c r="FD308" s="712"/>
      <c r="FE308" s="712">
        <f>O308+Sheet1!CO308</f>
        <v>57.84</v>
      </c>
      <c r="FF308" s="712">
        <f>IF(Sheet1!AA308+AG308&lt;=Calculation!N308,AG308,Calculation!N308-Sheet1!AA308)</f>
        <v>18.054440848615606</v>
      </c>
      <c r="FG308" s="712">
        <f>(Sheet1!BP308+Sheet1!BO308)/694.4</f>
        <v>2.0384504608294933</v>
      </c>
      <c r="FH308" s="712"/>
      <c r="FI308" s="712"/>
      <c r="FJ308" s="712"/>
      <c r="FK308" s="712"/>
      <c r="FL308" s="714">
        <f t="shared" si="827"/>
        <v>40753</v>
      </c>
      <c r="FM308" s="714">
        <f t="shared" si="828"/>
        <v>40851</v>
      </c>
      <c r="FN308" s="712"/>
      <c r="FO308" s="712"/>
      <c r="FP308" s="712"/>
      <c r="FQ308" s="712"/>
      <c r="FR308" s="712"/>
      <c r="FS308" s="725">
        <f t="shared" si="918"/>
        <v>40603</v>
      </c>
      <c r="FT308" s="714">
        <f t="shared" si="830"/>
        <v>40709</v>
      </c>
      <c r="FU308" s="712">
        <f t="shared" si="918"/>
        <v>6518.9048239895692</v>
      </c>
      <c r="FV308" s="714">
        <f t="shared" si="831"/>
        <v>40722</v>
      </c>
      <c r="FW308" s="712">
        <f t="shared" si="918"/>
        <v>3259.4524119947846</v>
      </c>
      <c r="FX308" s="725">
        <f t="shared" si="918"/>
        <v>40851</v>
      </c>
      <c r="FZ308" s="697">
        <f t="shared" si="824"/>
        <v>0</v>
      </c>
      <c r="GA308" s="712" t="str">
        <f t="shared" si="899"/>
        <v/>
      </c>
      <c r="GB308" s="712">
        <f t="shared" si="900"/>
        <v>0</v>
      </c>
      <c r="GC308" s="712" t="str">
        <f t="shared" si="901"/>
        <v/>
      </c>
      <c r="GD308" s="712">
        <f>IF(GA308="P",Lookup!$M$12,IF(GA308="PP",Lookup!$M$13,IF(GA308="PPP",Lookup!$M$14,IF(GA308="T",Lookup!$M$15,IF(GA308="TP",Lookup!$M$16,IF(GA308="TPP",Lookup!$M$17,IF(GA308="TPPP",Lookup!$M$18,0)))))))*FZ308</f>
        <v>0</v>
      </c>
      <c r="GE308" s="712">
        <f t="shared" si="902"/>
        <v>0</v>
      </c>
      <c r="GF308" s="712">
        <f t="shared" si="903"/>
        <v>292.01583466666614</v>
      </c>
      <c r="GG308" s="712">
        <f t="shared" si="904"/>
        <v>95.181171664493519</v>
      </c>
      <c r="GH308" s="712"/>
      <c r="GI308" s="712">
        <f t="shared" si="905"/>
        <v>0</v>
      </c>
      <c r="GJ308" s="712" t="str">
        <f t="shared" si="906"/>
        <v/>
      </c>
      <c r="GK308" s="712">
        <f>IF(GA308="P",Lookup!$N$12,IF(GA308="PP",Lookup!$N$13,IF(GA308="PPP",Lookup!$N$14,IF(GA308="T",Lookup!$N$15,IF(GA308="TP",Lookup!$N$16,IF(GA308="TPP",Lookup!$N$17,IF(GA308="TPPP",Lookup!$N$18,0)))))))*FZ308</f>
        <v>0</v>
      </c>
      <c r="GL308" s="712">
        <f t="shared" si="907"/>
        <v>0</v>
      </c>
      <c r="GM308" s="712">
        <f t="shared" si="908"/>
        <v>208.83380936580772</v>
      </c>
      <c r="GN308" s="712">
        <f t="shared" si="909"/>
        <v>68.068386364344107</v>
      </c>
      <c r="GO308" s="712"/>
      <c r="GP308" s="712">
        <f t="shared" si="910"/>
        <v>0</v>
      </c>
      <c r="GQ308" s="712" t="str">
        <f t="shared" si="911"/>
        <v/>
      </c>
      <c r="GR308" s="712">
        <f>IF(GA308="P",Lookup!$N$12,IF(GA308="PP",Lookup!$N$13,IF(GA308="PPP",Lookup!$N$14,IF(GA308="T",Lookup!$N$15,IF(GA308="TP",Lookup!$N$16,IF(GA308="TPP",Lookup!$N$17,IF(GA308="TPPP",Lookup!$N$18,0)))))))*FZ308</f>
        <v>0</v>
      </c>
      <c r="GS308" s="697">
        <f t="shared" si="825"/>
        <v>0</v>
      </c>
      <c r="GT308" s="712">
        <f t="shared" si="912"/>
        <v>306.77023720936415</v>
      </c>
      <c r="GU308" s="712">
        <f t="shared" si="913"/>
        <v>99.990298960027431</v>
      </c>
      <c r="GV308" s="712"/>
      <c r="GW308" s="712">
        <f t="shared" si="914"/>
        <v>0</v>
      </c>
      <c r="GX308" s="712" t="str">
        <f t="shared" si="915"/>
        <v/>
      </c>
      <c r="GY308" s="712">
        <f>IF(GA308="P",Lookup!$N$12,IF(GA308="PP",Lookup!$N$13,IF(GA308="PPP",Lookup!$N$14,IF(GA308="T",Lookup!$N$15,IF(GA308="TP",Lookup!$N$16,IF(GA308="TPP",Lookup!$N$17,IF(GA308="TPPP",Lookup!$N$18,0)))))))*FZ308</f>
        <v>0</v>
      </c>
      <c r="GZ308" s="697">
        <f t="shared" si="826"/>
        <v>0</v>
      </c>
      <c r="HA308" s="712">
        <f t="shared" si="916"/>
        <v>577.4498996474008</v>
      </c>
      <c r="HB308" s="712">
        <f t="shared" si="917"/>
        <v>188.2170468211867</v>
      </c>
      <c r="HC308" s="712"/>
    </row>
    <row r="309" spans="1:211">
      <c r="A309" s="773" t="s">
        <v>9</v>
      </c>
      <c r="B309" s="708">
        <v>40838</v>
      </c>
      <c r="C309" s="709">
        <v>0.5</v>
      </c>
      <c r="D309" s="675">
        <f t="shared" si="840"/>
        <v>300</v>
      </c>
      <c r="E309" s="675">
        <f t="shared" si="841"/>
        <v>250</v>
      </c>
      <c r="F309" s="675">
        <v>250</v>
      </c>
      <c r="G309" s="712">
        <f>DH309+Sheet1!CV309</f>
        <v>643.21079173002158</v>
      </c>
      <c r="H309" s="712">
        <f t="shared" si="842"/>
        <v>148.80825577428595</v>
      </c>
      <c r="I309" s="711">
        <f>MAX(Sheet1!Z309-AJ309+(Sheet1!CW309-E309)*CFStoMGD,0)</f>
        <v>281.24129773462778</v>
      </c>
      <c r="J309" s="720">
        <f>IF(AND(B309&gt;=Calculation!FS309,B309&lt;=Calculation!FT309),IF(Sheet1!CX309&gt;=Calculation!D309,64.64,0),MAX(Sheet1!Z309-AJ309+(Sheet1!CX309-D309)*CFStoMGD,0))</f>
        <v>150.8300977346278</v>
      </c>
      <c r="K309" s="697">
        <f t="shared" si="843"/>
        <v>64.64</v>
      </c>
      <c r="L309" s="712">
        <f>Sheet1!AA309+Sheet1!AB309-Sheet1!L309+(Sheet1!CW309-F309)*CFStoMGD</f>
        <v>330.65233333333327</v>
      </c>
      <c r="M309" s="712">
        <f t="shared" si="844"/>
        <v>424.08688488977168</v>
      </c>
      <c r="N309" s="712">
        <f>IF(Sheet1!CW309&gt;=F309,MIN(73,MIN(MAX(L309,0),MAX(M309,0))),0)</f>
        <v>73</v>
      </c>
      <c r="O309" s="721">
        <f>Sheet1!AA309+Sheet1!AB309</f>
        <v>58.39</v>
      </c>
      <c r="P309" s="721">
        <f t="shared" si="845"/>
        <v>90.329329999999999</v>
      </c>
      <c r="Q309" s="712">
        <f>MIN(N309,Sheet1!AA309+AG309)</f>
        <v>49.221035598705498</v>
      </c>
      <c r="R309" s="712">
        <f t="shared" si="846"/>
        <v>9.5</v>
      </c>
      <c r="S309" s="721">
        <f>Sheet1!Y309*MGDtoCFS</f>
        <v>46.889569999999999</v>
      </c>
      <c r="T309" s="721">
        <f>Sheet1!Z309*MGDtoCFS</f>
        <v>43.006599999999999</v>
      </c>
      <c r="U309" s="721">
        <f>Sheet1!AA309*MGDtoCFS</f>
        <v>47.028799999999997</v>
      </c>
      <c r="V309" s="721">
        <f>Sheet1!AB309*MGDtoCFS</f>
        <v>43.300529999999995</v>
      </c>
      <c r="W309" s="721">
        <f>Sheet1!L309*MGDtoCFS</f>
        <v>0</v>
      </c>
      <c r="X309" s="697">
        <f t="shared" si="847"/>
        <v>9.5064724919093848</v>
      </c>
      <c r="Y309" s="712">
        <f t="shared" si="848"/>
        <v>14.706512944983817</v>
      </c>
      <c r="Z309" s="712">
        <f t="shared" si="849"/>
        <v>0</v>
      </c>
      <c r="AA309" s="712">
        <f t="shared" si="850"/>
        <v>0</v>
      </c>
      <c r="AB309" s="712">
        <f>(VLOOKUP(Sheet1!CY309,hhdcap_wcm,4)-(((VLOOKUP(Sheet1!CY309,hhdcap_wcm,3)-Sheet1!CY309)/(VLOOKUP(Sheet1!CY309,hhdcap_wcm,3)-VLOOKUP(Sheet1!CY309,hhdcap_wcm,1)))*(VLOOKUP(Sheet1!CY309,hhdcap_wcm,4)-VLOOKUP(Sheet1!CY309,hhdcap_wcm,2))))</f>
        <v>7705.000000014461</v>
      </c>
      <c r="AC309" s="712">
        <f t="shared" si="851"/>
        <v>259.53000000063275</v>
      </c>
      <c r="AD309" s="712">
        <f t="shared" si="852"/>
        <v>441.95043131814236</v>
      </c>
      <c r="AE309" s="712">
        <f t="shared" si="853"/>
        <v>1355.9039232840607</v>
      </c>
      <c r="AF309" s="712">
        <f>Sheet1!BA309+Sheet1!BB309+Sheet1!BN309+BT309</f>
        <v>18.7</v>
      </c>
      <c r="AG309" s="712">
        <f t="shared" si="854"/>
        <v>18.8210355987055</v>
      </c>
      <c r="AH309" s="712">
        <f>Sheet1!BA309+BT309</f>
        <v>0</v>
      </c>
      <c r="AI309" s="712">
        <f>Sheet1!BA309+Sheet1!BB309+BT309</f>
        <v>0</v>
      </c>
      <c r="AJ309" s="712">
        <f>IF((Sheet1!AA309+AG309+AX309+AZ309+BQ309+BS309+CL309+CN309)&lt;=N309,AG309+AX309+AZ309+BQ309+BS309+CL309+CN309,N309-Sheet1!AA309)</f>
        <v>18.8210355987055</v>
      </c>
      <c r="AK309" s="712">
        <f>IF(DR309&lt;K309,0,MAX(Sheet1!AA309+AG309-15/36*K309-N309,Sheet1!ED309,0))</f>
        <v>0</v>
      </c>
      <c r="AL309" s="712">
        <f>IF(OR(B309&gt;=FT309,B309&lt;FS309),0,15/36*K309-MAX(0,64.6-(137.6-(Sheet1!AA309+Sheet1!AB309))))</f>
        <v>0</v>
      </c>
      <c r="AM309" s="712">
        <f>Sheet1!CX309-110</f>
        <v>409.44791666666663</v>
      </c>
      <c r="AN309" s="712">
        <f>Sheet1!CW309-265</f>
        <v>406.19791666666663</v>
      </c>
      <c r="AO309" s="712">
        <f t="shared" si="835"/>
        <v>23.778964401294502</v>
      </c>
      <c r="AP309" s="712">
        <f t="shared" si="855"/>
        <v>0</v>
      </c>
      <c r="AQ309" s="712">
        <f t="shared" si="856"/>
        <v>0</v>
      </c>
      <c r="AR309" s="712">
        <f t="shared" si="857"/>
        <v>95.181171664493519</v>
      </c>
      <c r="AS309" s="712"/>
      <c r="AT309" s="712">
        <f ca="1">IF(B309&gt;Summary!$A$1,#N/A,AR309*MGtoAF)</f>
        <v>292.01583466666614</v>
      </c>
      <c r="AU309" s="712">
        <f>Sheet1!BG309+Sheet1!BH309+Sheet1!BI309-BC309</f>
        <v>1</v>
      </c>
      <c r="AV309" s="712">
        <f t="shared" si="858"/>
        <v>1.006472491909385</v>
      </c>
      <c r="AW309" s="712">
        <f>IF(Sheet1!EL309="FM",BC309,0)</f>
        <v>0</v>
      </c>
      <c r="AX309" s="712">
        <f t="shared" si="859"/>
        <v>0</v>
      </c>
      <c r="AY309" s="712">
        <f>IF(Sheet1!EL309="OTHER",BC309,0)</f>
        <v>0</v>
      </c>
      <c r="AZ309" s="712">
        <f t="shared" si="860"/>
        <v>0</v>
      </c>
      <c r="BA309" s="712">
        <f t="shared" si="861"/>
        <v>1</v>
      </c>
      <c r="BB309" s="712">
        <f t="shared" si="862"/>
        <v>1.006472491909385</v>
      </c>
      <c r="BC309" s="712">
        <f>IF(OR(Sheet1!EL309="FM", Sheet1!EL309="OTHER"),SUM(Sheet1!BG309:'Sheet1'!BI309),0)</f>
        <v>0</v>
      </c>
      <c r="BD309" s="697">
        <f>IF(AND($B309&gt;=$FL309,$B309&lt;=$FM309),MAX(AV309,Sheet1!EE309,0),MAX(AV309-(7/36)*$K309,0))</f>
        <v>1.006472491909385</v>
      </c>
      <c r="BE309" s="712">
        <f t="shared" si="863"/>
        <v>0</v>
      </c>
      <c r="BF309" s="697">
        <f t="shared" si="864"/>
        <v>0</v>
      </c>
      <c r="BG309" s="697">
        <f>IF(AND($O309&gt;0,Sheet1!EI309=1),(1-($O309-Sheet1!$L309)/$O309)*BB309,0)</f>
        <v>0</v>
      </c>
      <c r="BH309" s="697">
        <f>IF(AND(Sheet1!$L309=0,Sheet1!$L308=0, Calculation!BA309&lt;Sheet1!$EE309-0.1,Sheet1!$EE309=Sheet1!$EE308,Sheet1!$EE309=Sheet1!$EE310),Sheet1!$EE309,BB309-BG309)</f>
        <v>1.006472491909385</v>
      </c>
      <c r="BI309" s="712"/>
      <c r="BJ309" s="712"/>
      <c r="BK309" s="712">
        <f t="shared" si="865"/>
        <v>67.061913872434715</v>
      </c>
      <c r="BL309" s="712"/>
      <c r="BM309" s="712">
        <f ca="1">IF(B309&gt;Summary!$A$1,#N/A,BK309*MGtoAF)</f>
        <v>205.74595176062971</v>
      </c>
      <c r="BN309" s="712">
        <f>Sheet1!BC309+Sheet1!BD309+Sheet1!BE309+Sheet1!BF309-BW309-BX309</f>
        <v>1.93</v>
      </c>
      <c r="BO309" s="712">
        <f t="shared" si="866"/>
        <v>1.9424919093851132</v>
      </c>
      <c r="BP309" s="712">
        <f>IF(Sheet1!EM309="FM",BX309,0)</f>
        <v>0</v>
      </c>
      <c r="BQ309" s="712">
        <f t="shared" si="867"/>
        <v>0</v>
      </c>
      <c r="BR309" s="712">
        <f>IF(Sheet1!EM309="OTHER",BX309,0)</f>
        <v>0</v>
      </c>
      <c r="BS309" s="712">
        <f t="shared" si="868"/>
        <v>0</v>
      </c>
      <c r="BT309" s="712">
        <f t="shared" si="869"/>
        <v>0</v>
      </c>
      <c r="BU309" s="712">
        <f t="shared" si="870"/>
        <v>1.93</v>
      </c>
      <c r="BV309" s="712">
        <f t="shared" si="871"/>
        <v>1.9424919093851132</v>
      </c>
      <c r="BW309" s="712">
        <f>IF(Sheet1!EM309="CWA",SUM(Sheet1!BC309:'Sheet1'!BF309),0)</f>
        <v>0</v>
      </c>
      <c r="BX309" s="712">
        <f>IF(OR(Sheet1!EM309="FM", Sheet1!EM309="OTHER"),SUM(Sheet1!BC309:'Sheet1'!BF309),0)</f>
        <v>0</v>
      </c>
      <c r="BY309" s="697">
        <f>IF(AND($B309&gt;=$FL309,$B309&lt;=$FM309),MAX(BV309,Sheet1!EF309,0),MAX(BV309-(7/36)*$K309,0))</f>
        <v>2</v>
      </c>
      <c r="BZ309" s="712">
        <f t="shared" si="872"/>
        <v>0</v>
      </c>
      <c r="CA309" s="697">
        <f t="shared" si="873"/>
        <v>0</v>
      </c>
      <c r="CB309" s="697">
        <f>IF(AND($O309&gt;0,Sheet1!EJ309=1),(1-($O309-Sheet1!$L309)/$O309)*BV309,0)</f>
        <v>0</v>
      </c>
      <c r="CC309" s="697">
        <f>IF(AND(Sheet1!$L309=0,Sheet1!$L308=0, Calculation!BU309&lt;Sheet1!EF309-0.1,Sheet1!EF309=Sheet1!EF308,Sheet1!EF309=Sheet1!EF310),Sheet1!EF309,BV309-CB309)</f>
        <v>1.9424919093851132</v>
      </c>
      <c r="CD309" s="697"/>
      <c r="CE309" s="712"/>
      <c r="CF309" s="712">
        <f t="shared" si="874"/>
        <v>97.990298960027431</v>
      </c>
      <c r="CG309" s="712"/>
      <c r="CH309" s="712">
        <f ca="1">IF(B309&gt;Summary!$A$1,#N/A,CF309*MGtoAF)</f>
        <v>300.63423720936419</v>
      </c>
      <c r="CI309" s="712">
        <f>Sheet1!BK309+Sheet1!BL309+Sheet1!BM309-Sheet1!EN309-CQ309</f>
        <v>6.18</v>
      </c>
      <c r="CJ309" s="712">
        <f t="shared" si="875"/>
        <v>6.22</v>
      </c>
      <c r="CK309" s="712">
        <f>IF(Sheet1!EN309="FM",CQ309,0)</f>
        <v>0</v>
      </c>
      <c r="CL309" s="712">
        <f t="shared" si="876"/>
        <v>0</v>
      </c>
      <c r="CM309" s="712">
        <f>IF(Sheet1!EN309="OTHER",CQ309,0)</f>
        <v>0</v>
      </c>
      <c r="CN309" s="712">
        <f t="shared" si="877"/>
        <v>0</v>
      </c>
      <c r="CO309" s="712">
        <f t="shared" si="878"/>
        <v>6.18</v>
      </c>
      <c r="CP309" s="712">
        <f t="shared" si="879"/>
        <v>6.22</v>
      </c>
      <c r="CQ309" s="712">
        <f>IF(OR(Sheet1!EN309="FM", Sheet1!EN309="OTHER"),SUM(Sheet1!BK309:'Sheet1'!BM309),0)</f>
        <v>0</v>
      </c>
      <c r="CR309" s="697">
        <f>IF(AND($B309&gt;=$FL309,$B309&lt;=$FM309),MAX($CJ309,Sheet1!EG309,0),MAX($CJ309-(7/36)*$K309,0))</f>
        <v>6.5</v>
      </c>
      <c r="CS309" s="712">
        <f t="shared" si="880"/>
        <v>0</v>
      </c>
      <c r="CT309" s="697">
        <f t="shared" si="881"/>
        <v>0</v>
      </c>
      <c r="CU309" s="697">
        <f>IF(AND($O309&gt;0,Sheet1!EK309=1),(1-($O309-Sheet1!$L309)/$O309)*CP309,0)</f>
        <v>0</v>
      </c>
      <c r="CV309" s="697">
        <f>IF(AND(Sheet1!$L309=0,Sheet1!$L308=0, Calculation!CO309&lt;Sheet1!$EG309-0.1,Sheet1!$EG309=Sheet1!$EG308,Sheet1!$EG309=Sheet1!$EG310),Sheet1!$EG309,CP309-CU309)</f>
        <v>6.5</v>
      </c>
      <c r="CW309" s="874">
        <f t="shared" si="837"/>
        <v>-0.28000000000000025</v>
      </c>
      <c r="CX309" s="712">
        <f t="shared" si="882"/>
        <v>9.11</v>
      </c>
      <c r="CY309" s="712">
        <f t="shared" si="883"/>
        <v>181.7170468211867</v>
      </c>
      <c r="CZ309" s="712">
        <f t="shared" si="884"/>
        <v>9.1689644012944989</v>
      </c>
      <c r="DA309" s="712">
        <f ca="1">IF(B309&gt;Summary!$A$1,#N/A,CY309*MGtoAF)</f>
        <v>557.50789964740079</v>
      </c>
      <c r="DB309" s="712">
        <f t="shared" si="885"/>
        <v>9.11</v>
      </c>
      <c r="DC309" s="712">
        <f t="shared" si="886"/>
        <v>27.81</v>
      </c>
      <c r="DD309" s="712">
        <f>Sheet1!AB309-DC309</f>
        <v>0.17999999999999972</v>
      </c>
      <c r="DE309" s="712">
        <f t="shared" si="887"/>
        <v>6.4724919093851032E-3</v>
      </c>
      <c r="DF309" s="712">
        <f>(VLOOKUP(Sheet1!CY309,hhdcap_wcm,4)-(((VLOOKUP(Sheet1!CY309,hhdcap_wcm,3)-Sheet1!CY309)/(VLOOKUP(Sheet1!CY309,hhdcap_wcm,3)-VLOOKUP(Sheet1!CY309,hhdcap_wcm,1)))*(VLOOKUP(Sheet1!CY309,hhdcap_wcm,4)-VLOOKUP(Sheet1!CY309,hhdcap_wcm,2))))</f>
        <v>7705.000000014461</v>
      </c>
      <c r="DG309" s="712">
        <f t="shared" si="888"/>
        <v>259.53000000063275</v>
      </c>
      <c r="DH309" s="712">
        <f t="shared" si="889"/>
        <v>130.87745839668821</v>
      </c>
      <c r="DI309" s="712">
        <f>Sheet1!DW309*AFtoMG</f>
        <v>0</v>
      </c>
      <c r="DJ309" s="712">
        <f>Sheet1!DX309*AFtoMG</f>
        <v>0</v>
      </c>
      <c r="DK309" s="712">
        <f>Sheet1!DY309*AFtoMG</f>
        <v>0</v>
      </c>
      <c r="DL309" s="712">
        <f>Sheet1!DZ309*AFtoMG</f>
        <v>0</v>
      </c>
      <c r="DM309" s="712">
        <f t="shared" si="890"/>
        <v>0</v>
      </c>
      <c r="DN309" s="712">
        <f t="shared" si="891"/>
        <v>0</v>
      </c>
      <c r="DO309" s="712">
        <f t="shared" si="892"/>
        <v>441.95043131814236</v>
      </c>
      <c r="DP309" s="712">
        <f t="shared" si="893"/>
        <v>1355.9039232840607</v>
      </c>
      <c r="DQ309" s="712"/>
      <c r="DR309" s="697">
        <f>IF(OR(B309&lt;FL309,B309&gt;FM309),(MIN(AV309+BO309+CJ309+MAX(Sheet1!AA309+AG309-73,0),K309)),0)</f>
        <v>0</v>
      </c>
      <c r="DS309" s="712"/>
      <c r="DT309" s="712">
        <f t="shared" si="894"/>
        <v>9.1689644012944971</v>
      </c>
      <c r="DU309" s="712"/>
      <c r="DV309" s="712">
        <f>Sheet1!ED309+Sheet1!EE309+Sheet1!EF309+Sheet1!EG309</f>
        <v>9.5</v>
      </c>
      <c r="DW309" s="712"/>
      <c r="DX309" s="697">
        <f t="shared" si="895"/>
        <v>0</v>
      </c>
      <c r="DY309" s="712">
        <f>IF(Sheet1!FN309=1,SUM('Calculations II'!AT309:BA309)+'Calculations II'!BC309+Sheet1!BU309+'Calculations II'!BE309+AF309,SUM('Calculations II'!AT309:BA309)+'Calculations II'!BC309+Sheet1!BU309+'Calculations II'!BE309+AF309)</f>
        <v>44.716287999999999</v>
      </c>
      <c r="DZ309" s="712">
        <f>Sheet1!AA309+Sheet1!AB309+'Calculations II'!BC309</f>
        <v>58.39</v>
      </c>
      <c r="EA309" s="712"/>
      <c r="EB309" s="712"/>
      <c r="EC309" s="712">
        <f t="shared" si="896"/>
        <v>40838</v>
      </c>
      <c r="ED309" s="712">
        <f t="shared" si="897"/>
        <v>-9.5064724919093848</v>
      </c>
      <c r="EE309" s="712">
        <f t="shared" si="898"/>
        <v>-14.706512944983817</v>
      </c>
      <c r="EF309" s="712">
        <f ca="1">IF(B309=TODAY(),0,-(VLOOKUP(Sheet1!BQ309,Lookup!$B$4:$J$236,2)-VLOOKUP(Sheet1!BQ308,Lookup!$B$4:$J$236,2))/1000000)</f>
        <v>-1.8765000000000001</v>
      </c>
      <c r="EG309" s="712">
        <f ca="1">IF(B309=TODAY(),0,-(VLOOKUP(Sheet1!BR309,Lookup!$B$4:$J$236,3)-VLOOKUP(Sheet1!BR308,Lookup!$B$4:$J$236,3))/1000000)</f>
        <v>-1.873</v>
      </c>
      <c r="EH309" s="712">
        <f>-(VLOOKUP(Sheet1!BS309,Lookup!$B$4:$J$236,4)-VLOOKUP(Sheet1!BS308,Lookup!$B$4:$J$236,4))/1000000</f>
        <v>0</v>
      </c>
      <c r="EI309" s="697">
        <f t="shared" ca="1" si="819"/>
        <v>-3.7495000000000003</v>
      </c>
      <c r="EJ309" s="712"/>
      <c r="EK309" s="712"/>
      <c r="EL309" s="712"/>
      <c r="EM309" s="712"/>
      <c r="EN309" s="712"/>
      <c r="EO309" s="712"/>
      <c r="EP309" s="712"/>
      <c r="EQ309" s="712"/>
      <c r="ER309" s="697">
        <f t="shared" si="920"/>
        <v>-4115.0928379308825</v>
      </c>
      <c r="ES309" s="712">
        <f t="shared" si="921"/>
        <v>0</v>
      </c>
      <c r="ET309" s="794">
        <f t="shared" si="919"/>
        <v>1113.5999999999999</v>
      </c>
      <c r="EU309" s="794" t="e">
        <f t="shared" si="838"/>
        <v>#N/A</v>
      </c>
      <c r="EV309" s="795" t="e">
        <f t="shared" si="836"/>
        <v>#N/A</v>
      </c>
      <c r="EW309" s="796" t="s">
        <v>757</v>
      </c>
      <c r="EX309" s="796" t="s">
        <v>757</v>
      </c>
      <c r="EY309" s="794" t="e">
        <v>#N/A</v>
      </c>
      <c r="EZ309" s="798">
        <v>10365.100000020582</v>
      </c>
      <c r="FA309" s="712"/>
      <c r="FB309" s="712"/>
      <c r="FC309" s="712"/>
      <c r="FD309" s="712"/>
      <c r="FE309" s="712">
        <f>O309+Sheet1!CO309</f>
        <v>58.39</v>
      </c>
      <c r="FF309" s="712">
        <f>IF(Sheet1!AA309+AG309&lt;=Calculation!N309,AG309,Calculation!N309-Sheet1!AA309)</f>
        <v>18.8210355987055</v>
      </c>
      <c r="FG309" s="712">
        <f>(Sheet1!BP309+Sheet1!BO309)/694.4</f>
        <v>2.0815092165898621</v>
      </c>
      <c r="FH309" s="712"/>
      <c r="FI309" s="712"/>
      <c r="FJ309" s="712"/>
      <c r="FK309" s="712"/>
      <c r="FL309" s="714">
        <f t="shared" si="827"/>
        <v>40753</v>
      </c>
      <c r="FM309" s="714">
        <f t="shared" si="828"/>
        <v>40851</v>
      </c>
      <c r="FN309" s="712"/>
      <c r="FO309" s="712"/>
      <c r="FP309" s="712"/>
      <c r="FQ309" s="712"/>
      <c r="FR309" s="712"/>
      <c r="FS309" s="725">
        <f t="shared" si="918"/>
        <v>40603</v>
      </c>
      <c r="FT309" s="714">
        <f t="shared" si="830"/>
        <v>40709</v>
      </c>
      <c r="FU309" s="712">
        <f t="shared" si="918"/>
        <v>6518.9048239895692</v>
      </c>
      <c r="FV309" s="714">
        <f t="shared" si="831"/>
        <v>40722</v>
      </c>
      <c r="FW309" s="712">
        <f t="shared" si="918"/>
        <v>3259.4524119947846</v>
      </c>
      <c r="FX309" s="725">
        <f t="shared" si="918"/>
        <v>40851</v>
      </c>
      <c r="FZ309" s="697">
        <f t="shared" si="824"/>
        <v>0</v>
      </c>
      <c r="GA309" s="712" t="str">
        <f t="shared" si="899"/>
        <v/>
      </c>
      <c r="GB309" s="712">
        <f t="shared" si="900"/>
        <v>0</v>
      </c>
      <c r="GC309" s="712" t="str">
        <f t="shared" si="901"/>
        <v/>
      </c>
      <c r="GD309" s="712">
        <f>IF(GA309="P",Lookup!$M$12,IF(GA309="PP",Lookup!$M$13,IF(GA309="PPP",Lookup!$M$14,IF(GA309="T",Lookup!$M$15,IF(GA309="TP",Lookup!$M$16,IF(GA309="TPP",Lookup!$M$17,IF(GA309="TPPP",Lookup!$M$18,0)))))))*FZ309</f>
        <v>0</v>
      </c>
      <c r="GE309" s="712">
        <f t="shared" si="902"/>
        <v>0</v>
      </c>
      <c r="GF309" s="712">
        <f t="shared" si="903"/>
        <v>292.01583466666614</v>
      </c>
      <c r="GG309" s="712">
        <f t="shared" si="904"/>
        <v>95.181171664493519</v>
      </c>
      <c r="GH309" s="712"/>
      <c r="GI309" s="712">
        <f t="shared" si="905"/>
        <v>0</v>
      </c>
      <c r="GJ309" s="712" t="str">
        <f t="shared" si="906"/>
        <v/>
      </c>
      <c r="GK309" s="712">
        <f>IF(GA309="P",Lookup!$N$12,IF(GA309="PP",Lookup!$N$13,IF(GA309="PPP",Lookup!$N$14,IF(GA309="T",Lookup!$N$15,IF(GA309="TP",Lookup!$N$16,IF(GA309="TPP",Lookup!$N$17,IF(GA309="TPPP",Lookup!$N$18,0)))))))*FZ309</f>
        <v>0</v>
      </c>
      <c r="GL309" s="712">
        <f t="shared" si="907"/>
        <v>0</v>
      </c>
      <c r="GM309" s="712">
        <f t="shared" si="908"/>
        <v>205.74595176062971</v>
      </c>
      <c r="GN309" s="712">
        <f t="shared" si="909"/>
        <v>67.061913872434715</v>
      </c>
      <c r="GO309" s="712"/>
      <c r="GP309" s="712">
        <f t="shared" si="910"/>
        <v>0</v>
      </c>
      <c r="GQ309" s="712" t="str">
        <f t="shared" si="911"/>
        <v/>
      </c>
      <c r="GR309" s="712">
        <f>IF(GA309="P",Lookup!$N$12,IF(GA309="PP",Lookup!$N$13,IF(GA309="PPP",Lookup!$N$14,IF(GA309="T",Lookup!$N$15,IF(GA309="TP",Lookup!$N$16,IF(GA309="TPP",Lookup!$N$17,IF(GA309="TPPP",Lookup!$N$18,0)))))))*FZ309</f>
        <v>0</v>
      </c>
      <c r="GS309" s="697">
        <f t="shared" si="825"/>
        <v>0</v>
      </c>
      <c r="GT309" s="712">
        <f t="shared" si="912"/>
        <v>300.63423720936419</v>
      </c>
      <c r="GU309" s="712">
        <f t="shared" si="913"/>
        <v>97.990298960027431</v>
      </c>
      <c r="GV309" s="712"/>
      <c r="GW309" s="712">
        <f t="shared" si="914"/>
        <v>0</v>
      </c>
      <c r="GX309" s="712" t="str">
        <f t="shared" si="915"/>
        <v/>
      </c>
      <c r="GY309" s="712">
        <f>IF(GA309="P",Lookup!$N$12,IF(GA309="PP",Lookup!$N$13,IF(GA309="PPP",Lookup!$N$14,IF(GA309="T",Lookup!$N$15,IF(GA309="TP",Lookup!$N$16,IF(GA309="TPP",Lookup!$N$17,IF(GA309="TPPP",Lookup!$N$18,0)))))))*FZ309</f>
        <v>0</v>
      </c>
      <c r="GZ309" s="697">
        <f t="shared" si="826"/>
        <v>0</v>
      </c>
      <c r="HA309" s="712">
        <f t="shared" si="916"/>
        <v>557.50789964740079</v>
      </c>
      <c r="HB309" s="712">
        <f t="shared" si="917"/>
        <v>181.7170468211867</v>
      </c>
      <c r="HC309" s="712"/>
    </row>
    <row r="310" spans="1:211">
      <c r="A310" s="773" t="s">
        <v>3</v>
      </c>
      <c r="B310" s="708">
        <v>40839</v>
      </c>
      <c r="C310" s="719">
        <v>0.5</v>
      </c>
      <c r="D310" s="675">
        <f t="shared" si="840"/>
        <v>300</v>
      </c>
      <c r="E310" s="675">
        <f t="shared" si="841"/>
        <v>250</v>
      </c>
      <c r="F310" s="675">
        <v>250</v>
      </c>
      <c r="G310" s="712">
        <f>DH310+Sheet1!CV310</f>
        <v>1274.7246596078232</v>
      </c>
      <c r="H310" s="712">
        <f t="shared" si="842"/>
        <v>557.01881997049691</v>
      </c>
      <c r="I310" s="711">
        <f>MAX(Sheet1!Z310-AJ310+(Sheet1!CW310-E310)*CFStoMGD,0)</f>
        <v>441.1860666666667</v>
      </c>
      <c r="J310" s="720">
        <f>IF(AND(B310&gt;=Calculation!FS310,B310&lt;=Calculation!FT310),IF(Sheet1!CX310&gt;=Calculation!D310,64.64,0),MAX(Sheet1!Z310-AJ310+(Sheet1!CX310-D310)*CFStoMGD,0))</f>
        <v>326.22786666666667</v>
      </c>
      <c r="K310" s="697">
        <f t="shared" si="843"/>
        <v>64.64</v>
      </c>
      <c r="L310" s="712">
        <f>Sheet1!AA310+Sheet1!AB310-Sheet1!L310+(Sheet1!CW310-F310)*CFStoMGD</f>
        <v>444.0660666666675</v>
      </c>
      <c r="M310" s="712">
        <f t="shared" si="844"/>
        <v>840.46166036990689</v>
      </c>
      <c r="N310" s="712">
        <f>IF(Sheet1!CW310&gt;=F310,MIN(73,MIN(MAX(L310,0),MAX(M310,0))),0)</f>
        <v>73</v>
      </c>
      <c r="O310" s="721">
        <f>Sheet1!AA310+Sheet1!AB310</f>
        <v>45.379999999999995</v>
      </c>
      <c r="P310" s="721">
        <f t="shared" si="845"/>
        <v>70.202859999999987</v>
      </c>
      <c r="Q310" s="712">
        <f>MIN(N310,Sheet1!AA310+AG310)</f>
        <v>45.379999999999995</v>
      </c>
      <c r="R310" s="712">
        <f t="shared" si="846"/>
        <v>9.5</v>
      </c>
      <c r="S310" s="721">
        <f>Sheet1!Y310*MGDtoCFS</f>
        <v>44.089500000000001</v>
      </c>
      <c r="T310" s="721">
        <f>Sheet1!Z310*MGDtoCFS</f>
        <v>43.006599999999999</v>
      </c>
      <c r="U310" s="721">
        <f>Sheet1!AA310*MGDtoCFS</f>
        <v>38.984399999999994</v>
      </c>
      <c r="V310" s="721">
        <f>Sheet1!AB310*MGDtoCFS</f>
        <v>31.218459999999997</v>
      </c>
      <c r="W310" s="721">
        <f>Sheet1!L310*MGDtoCFS</f>
        <v>53.95935999999876</v>
      </c>
      <c r="X310" s="697">
        <f t="shared" si="847"/>
        <v>0</v>
      </c>
      <c r="Y310" s="712">
        <f t="shared" si="848"/>
        <v>0</v>
      </c>
      <c r="Z310" s="712">
        <f t="shared" si="849"/>
        <v>0</v>
      </c>
      <c r="AA310" s="712">
        <f t="shared" si="850"/>
        <v>0</v>
      </c>
      <c r="AB310" s="712">
        <f>(VLOOKUP(Sheet1!CY310,hhdcap_wcm,4)-(((VLOOKUP(Sheet1!CY310,hhdcap_wcm,3)-Sheet1!CY310)/(VLOOKUP(Sheet1!CY310,hhdcap_wcm,3)-VLOOKUP(Sheet1!CY310,hhdcap_wcm,1)))*(VLOOKUP(Sheet1!CY310,hhdcap_wcm,4)-VLOOKUP(Sheet1!CY310,hhdcap_wcm,2))))</f>
        <v>8885.0000000167747</v>
      </c>
      <c r="AC310" s="712">
        <f t="shared" si="851"/>
        <v>1180.0000000023138</v>
      </c>
      <c r="AD310" s="712">
        <f t="shared" si="852"/>
        <v>441.95043131814236</v>
      </c>
      <c r="AE310" s="712">
        <f t="shared" si="853"/>
        <v>1355.9039232840607</v>
      </c>
      <c r="AF310" s="712">
        <f>Sheet1!BA310+Sheet1!BB310+Sheet1!BN310+BT310</f>
        <v>19.899999999999999</v>
      </c>
      <c r="AG310" s="712">
        <f t="shared" si="854"/>
        <v>20.18</v>
      </c>
      <c r="AH310" s="712">
        <f>Sheet1!BA310+BT310</f>
        <v>0</v>
      </c>
      <c r="AI310" s="712">
        <f>Sheet1!BA310+Sheet1!BB310+BT310</f>
        <v>0</v>
      </c>
      <c r="AJ310" s="712">
        <f>IF((Sheet1!AA310+AG310+AX310+AZ310+BQ310+BS310+CL310+CN310)&lt;=N310,AG310+AX310+AZ310+BQ310+BS310+CL310+CN310,N310-Sheet1!AA310)</f>
        <v>20.18</v>
      </c>
      <c r="AK310" s="712">
        <f>IF(DR310&lt;K310,0,MAX(Sheet1!AA310+AG310-15/36*K310-N310,Sheet1!ED310,0))</f>
        <v>0</v>
      </c>
      <c r="AL310" s="712">
        <f>IF(OR(B310&gt;=FT310,B310&lt;FS310),0,15/36*K310-MAX(0,64.6-(137.6-(Sheet1!AA310+Sheet1!AB310))))</f>
        <v>0</v>
      </c>
      <c r="AM310" s="712">
        <f>Sheet1!CX310-110</f>
        <v>682.89583333333337</v>
      </c>
      <c r="AN310" s="712">
        <f>Sheet1!CW310-265</f>
        <v>655.73958333333337</v>
      </c>
      <c r="AO310" s="712">
        <f t="shared" si="835"/>
        <v>27.620000000000005</v>
      </c>
      <c r="AP310" s="712">
        <f t="shared" si="855"/>
        <v>0</v>
      </c>
      <c r="AQ310" s="712">
        <f t="shared" si="856"/>
        <v>0</v>
      </c>
      <c r="AR310" s="712">
        <f t="shared" si="857"/>
        <v>95.181171664493519</v>
      </c>
      <c r="AS310" s="712"/>
      <c r="AT310" s="712">
        <f ca="1">IF(B310&gt;Summary!$A$1,#N/A,AR310*MGtoAF)</f>
        <v>292.01583466666614</v>
      </c>
      <c r="AU310" s="712">
        <f>Sheet1!BG310+Sheet1!BH310+Sheet1!BI310-BC310</f>
        <v>0</v>
      </c>
      <c r="AV310" s="712">
        <f t="shared" si="858"/>
        <v>0</v>
      </c>
      <c r="AW310" s="712">
        <f>IF(Sheet1!EL310="FM",BC310,0)</f>
        <v>0</v>
      </c>
      <c r="AX310" s="712">
        <f t="shared" si="859"/>
        <v>0</v>
      </c>
      <c r="AY310" s="712">
        <f>IF(Sheet1!EL310="OTHER",BC310,0)</f>
        <v>0</v>
      </c>
      <c r="AZ310" s="712">
        <f t="shared" si="860"/>
        <v>0</v>
      </c>
      <c r="BA310" s="712">
        <f t="shared" si="861"/>
        <v>0</v>
      </c>
      <c r="BB310" s="712">
        <f t="shared" si="862"/>
        <v>0</v>
      </c>
      <c r="BC310" s="712">
        <f>IF(OR(Sheet1!EL310="FM", Sheet1!EL310="OTHER"),SUM(Sheet1!BG310:'Sheet1'!BI310),0)</f>
        <v>0</v>
      </c>
      <c r="BD310" s="800">
        <v>0</v>
      </c>
      <c r="BE310" s="712">
        <f t="shared" si="863"/>
        <v>0</v>
      </c>
      <c r="BF310" s="697">
        <f t="shared" si="864"/>
        <v>0</v>
      </c>
      <c r="BG310" s="697">
        <f>IF(AND($O310&gt;0,Sheet1!EI310=1),(1-($O310-Sheet1!$L310)/$O310)*BB310,0)</f>
        <v>0</v>
      </c>
      <c r="BH310" s="697">
        <f>IF(AND(Sheet1!$L310=0,Sheet1!$L309=0, Calculation!BA310&lt;Sheet1!$EE310-0.1,Sheet1!$EE310=Sheet1!$EE309,Sheet1!$EE310=Sheet1!$EE311),Sheet1!$EE310,BB310-BG310)</f>
        <v>0</v>
      </c>
      <c r="BI310" s="712"/>
      <c r="BJ310" s="712"/>
      <c r="BK310" s="712">
        <f t="shared" si="865"/>
        <v>67.061913872434715</v>
      </c>
      <c r="BL310" s="712"/>
      <c r="BM310" s="712">
        <f ca="1">IF(B310&gt;Summary!$A$1,#N/A,BK310*MGtoAF)</f>
        <v>205.74595176062971</v>
      </c>
      <c r="BN310" s="712">
        <f>Sheet1!BC310+Sheet1!BD310+Sheet1!BE310+Sheet1!BF310-BW310-BX310</f>
        <v>0</v>
      </c>
      <c r="BO310" s="712">
        <f t="shared" si="866"/>
        <v>0</v>
      </c>
      <c r="BP310" s="712">
        <f>IF(Sheet1!EM310="FM",BX310,0)</f>
        <v>0</v>
      </c>
      <c r="BQ310" s="712">
        <f t="shared" si="867"/>
        <v>0</v>
      </c>
      <c r="BR310" s="712">
        <f>IF(Sheet1!EM310="OTHER",BX310,0)</f>
        <v>0</v>
      </c>
      <c r="BS310" s="712">
        <f t="shared" si="868"/>
        <v>0</v>
      </c>
      <c r="BT310" s="712">
        <f t="shared" si="869"/>
        <v>0</v>
      </c>
      <c r="BU310" s="712">
        <f t="shared" si="870"/>
        <v>0</v>
      </c>
      <c r="BV310" s="712">
        <f t="shared" si="871"/>
        <v>0</v>
      </c>
      <c r="BW310" s="712">
        <f>IF(Sheet1!EM310="CWA",SUM(Sheet1!BC310:'Sheet1'!BF310),0)</f>
        <v>0</v>
      </c>
      <c r="BX310" s="712">
        <f>IF(OR(Sheet1!EM310="FM", Sheet1!EM310="OTHER"),SUM(Sheet1!BC310:'Sheet1'!BF310),0)</f>
        <v>0</v>
      </c>
      <c r="BY310" s="800">
        <v>0</v>
      </c>
      <c r="BZ310" s="712">
        <f t="shared" si="872"/>
        <v>0</v>
      </c>
      <c r="CA310" s="697">
        <f t="shared" si="873"/>
        <v>0</v>
      </c>
      <c r="CB310" s="697">
        <f>IF(AND($O310&gt;0,Sheet1!EJ310=1),(1-($O310-Sheet1!$L310)/$O310)*BV310,0)</f>
        <v>0</v>
      </c>
      <c r="CC310" s="697">
        <f>IF(AND(Sheet1!$L310=0,Sheet1!$L309=0, Calculation!BU310&lt;Sheet1!EF310-0.1,Sheet1!EF310=Sheet1!EF309,Sheet1!EF310=Sheet1!EF311),Sheet1!EF310,BV310-CB310)</f>
        <v>0</v>
      </c>
      <c r="CD310" s="697"/>
      <c r="CE310" s="712"/>
      <c r="CF310" s="712">
        <f t="shared" si="874"/>
        <v>97.990298960027431</v>
      </c>
      <c r="CG310" s="712"/>
      <c r="CH310" s="712">
        <f ca="1">IF(B310&gt;Summary!$A$1,#N/A,CF310*MGtoAF)</f>
        <v>300.63423720936419</v>
      </c>
      <c r="CI310" s="712">
        <f>Sheet1!BK310+Sheet1!BL310+Sheet1!BM310-Sheet1!EN310-CQ310</f>
        <v>0</v>
      </c>
      <c r="CJ310" s="712">
        <f t="shared" si="875"/>
        <v>0</v>
      </c>
      <c r="CK310" s="712">
        <f>IF(Sheet1!EN310="FM",CQ310,0)</f>
        <v>0</v>
      </c>
      <c r="CL310" s="712">
        <f t="shared" si="876"/>
        <v>0</v>
      </c>
      <c r="CM310" s="712">
        <f>IF(Sheet1!EN310="OTHER",CQ310,0)</f>
        <v>0</v>
      </c>
      <c r="CN310" s="712">
        <f t="shared" si="877"/>
        <v>0</v>
      </c>
      <c r="CO310" s="712">
        <f t="shared" si="878"/>
        <v>0</v>
      </c>
      <c r="CP310" s="712">
        <f t="shared" si="879"/>
        <v>0</v>
      </c>
      <c r="CQ310" s="712">
        <f>IF(OR(Sheet1!EN310="FM", Sheet1!EN310="OTHER"),SUM(Sheet1!BK310:'Sheet1'!BM310),0)</f>
        <v>0</v>
      </c>
      <c r="CR310" s="800">
        <v>0</v>
      </c>
      <c r="CS310" s="712">
        <f t="shared" si="880"/>
        <v>0</v>
      </c>
      <c r="CT310" s="697">
        <f t="shared" si="881"/>
        <v>0</v>
      </c>
      <c r="CU310" s="697">
        <f>IF(AND($O310&gt;0,Sheet1!EK310=1),(1-($O310-Sheet1!$L310)/$O310)*CP310,0)</f>
        <v>0</v>
      </c>
      <c r="CV310" s="697">
        <f>IF(AND(Sheet1!$L310=0,Sheet1!$L309=0, Calculation!CO310&lt;Sheet1!$EG310-0.1,Sheet1!$EG310=Sheet1!$EG309,Sheet1!$EG310=Sheet1!$EG311),Sheet1!$EG310,CP310-CU310)</f>
        <v>0</v>
      </c>
      <c r="CW310" s="697">
        <f t="shared" si="837"/>
        <v>0</v>
      </c>
      <c r="CX310" s="712">
        <f t="shared" si="882"/>
        <v>0</v>
      </c>
      <c r="CY310" s="712">
        <f t="shared" si="883"/>
        <v>181.7170468211867</v>
      </c>
      <c r="CZ310" s="712">
        <f t="shared" si="884"/>
        <v>0</v>
      </c>
      <c r="DA310" s="712">
        <f ca="1">IF(B310&gt;Summary!$A$1,#N/A,CY310*MGtoAF)</f>
        <v>557.50789964740079</v>
      </c>
      <c r="DB310" s="712">
        <f t="shared" si="885"/>
        <v>0</v>
      </c>
      <c r="DC310" s="712">
        <f t="shared" si="886"/>
        <v>19.899999999999999</v>
      </c>
      <c r="DD310" s="712">
        <f>Sheet1!AB310-DC310</f>
        <v>0.28000000000000114</v>
      </c>
      <c r="DE310" s="712">
        <f t="shared" si="887"/>
        <v>1.4070351758794028E-2</v>
      </c>
      <c r="DF310" s="712">
        <f>(VLOOKUP(Sheet1!CY310,hhdcap_wcm,4)-(((VLOOKUP(Sheet1!CY310,hhdcap_wcm,3)-Sheet1!CY310)/(VLOOKUP(Sheet1!CY310,hhdcap_wcm,3)-VLOOKUP(Sheet1!CY310,hhdcap_wcm,1)))*(VLOOKUP(Sheet1!CY310,hhdcap_wcm,4)-VLOOKUP(Sheet1!CY310,hhdcap_wcm,2))))</f>
        <v>8885.0000000167747</v>
      </c>
      <c r="DG310" s="712">
        <f t="shared" si="888"/>
        <v>1180.0000000023138</v>
      </c>
      <c r="DH310" s="712">
        <f t="shared" si="889"/>
        <v>595.05799294115661</v>
      </c>
      <c r="DI310" s="712">
        <f>Sheet1!DW310*AFtoMG</f>
        <v>0</v>
      </c>
      <c r="DJ310" s="712">
        <f>Sheet1!DX310*AFtoMG</f>
        <v>0</v>
      </c>
      <c r="DK310" s="712">
        <f>Sheet1!DY310*AFtoMG</f>
        <v>0</v>
      </c>
      <c r="DL310" s="712">
        <f>Sheet1!DZ310*AFtoMG</f>
        <v>0</v>
      </c>
      <c r="DM310" s="712">
        <f t="shared" si="890"/>
        <v>0</v>
      </c>
      <c r="DN310" s="712">
        <f t="shared" si="891"/>
        <v>0</v>
      </c>
      <c r="DO310" s="712">
        <f t="shared" si="892"/>
        <v>441.95043131814236</v>
      </c>
      <c r="DP310" s="712">
        <f t="shared" si="893"/>
        <v>1355.9039232840607</v>
      </c>
      <c r="DQ310" s="712"/>
      <c r="DR310" s="697">
        <f>IF(OR(B310&lt;FL310,B310&gt;FM310),(MIN(AV310+BO310+CJ310+MAX(Sheet1!AA310+AG310-73,0),K310)),0)</f>
        <v>0</v>
      </c>
      <c r="DS310" s="712"/>
      <c r="DT310" s="712">
        <f t="shared" si="894"/>
        <v>0</v>
      </c>
      <c r="DU310" s="712"/>
      <c r="DV310" s="712">
        <f>Sheet1!ED310+Sheet1!EE310+Sheet1!EF310+Sheet1!EG310</f>
        <v>9.5</v>
      </c>
      <c r="DW310" s="712"/>
      <c r="DX310" s="697">
        <f t="shared" si="895"/>
        <v>0</v>
      </c>
      <c r="DY310" s="712">
        <f>IF(Sheet1!FN310=1,SUM('Calculations II'!AT310:BA310)+'Calculations II'!BC310+Sheet1!BU310+'Calculations II'!BE310+AF310,SUM('Calculations II'!AT310:BA310)+'Calculations II'!BC310+Sheet1!BU310+'Calculations II'!BE310+AF310)</f>
        <v>45.065696000000003</v>
      </c>
      <c r="DZ310" s="712">
        <f>Sheet1!AA310+Sheet1!AB310+'Calculations II'!BC310</f>
        <v>45.379999999999995</v>
      </c>
      <c r="EA310" s="712"/>
      <c r="EB310" s="712"/>
      <c r="EC310" s="712">
        <f t="shared" si="896"/>
        <v>40839</v>
      </c>
      <c r="ED310" s="712">
        <f t="shared" si="897"/>
        <v>0</v>
      </c>
      <c r="EE310" s="712">
        <f t="shared" si="898"/>
        <v>0</v>
      </c>
      <c r="EF310" s="712">
        <f ca="1">IF(B310=TODAY(),0,-(VLOOKUP(Sheet1!BQ310,Lookup!$B$4:$J$236,2)-VLOOKUP(Sheet1!BQ309,Lookup!$B$4:$J$236,2))/1000000)</f>
        <v>-1.8939999999999999</v>
      </c>
      <c r="EG310" s="712">
        <f ca="1">IF(B310=TODAY(),0,-(VLOOKUP(Sheet1!BR310,Lookup!$B$4:$J$236,3)-VLOOKUP(Sheet1!BR309,Lookup!$B$4:$J$236,3))/1000000)</f>
        <v>-1.62</v>
      </c>
      <c r="EH310" s="712">
        <f>-(VLOOKUP(Sheet1!BS310,Lookup!$B$4:$J$236,4)-VLOOKUP(Sheet1!BS309,Lookup!$B$4:$J$236,4))/1000000</f>
        <v>0</v>
      </c>
      <c r="EI310" s="697">
        <f t="shared" ca="1" si="819"/>
        <v>-3.5140000000000002</v>
      </c>
      <c r="EJ310" s="712"/>
      <c r="EK310" s="712"/>
      <c r="EL310" s="712"/>
      <c r="EM310" s="712"/>
      <c r="EN310" s="712"/>
      <c r="EO310" s="712"/>
      <c r="EP310" s="712"/>
      <c r="EQ310" s="712"/>
      <c r="ER310" s="697">
        <f t="shared" si="920"/>
        <v>-4115.0928379308825</v>
      </c>
      <c r="ES310" s="712">
        <f t="shared" si="921"/>
        <v>0</v>
      </c>
      <c r="ET310" s="794">
        <f t="shared" si="919"/>
        <v>1113.0999999999999</v>
      </c>
      <c r="EU310" s="794" t="e">
        <f t="shared" si="838"/>
        <v>#N/A</v>
      </c>
      <c r="EV310" s="795" t="e">
        <f t="shared" si="836"/>
        <v>#N/A</v>
      </c>
      <c r="EW310" s="796" t="s">
        <v>757</v>
      </c>
      <c r="EX310" s="796" t="s">
        <v>757</v>
      </c>
      <c r="EY310" s="794" t="e">
        <v>#N/A</v>
      </c>
      <c r="EZ310" s="798">
        <v>10147.500000019863</v>
      </c>
      <c r="FA310" s="712"/>
      <c r="FB310" s="712"/>
      <c r="FC310" s="712"/>
      <c r="FD310" s="712"/>
      <c r="FE310" s="712">
        <f>O310+Sheet1!CO310</f>
        <v>45.379999999999995</v>
      </c>
      <c r="FF310" s="712">
        <f>IF(Sheet1!AA310+AG310&lt;=Calculation!N310,AG310,Calculation!N310-Sheet1!AA310)</f>
        <v>20.18</v>
      </c>
      <c r="FG310" s="712">
        <f>(Sheet1!BP310+Sheet1!BO310)/694.4</f>
        <v>1.6006624423963134</v>
      </c>
      <c r="FH310" s="712"/>
      <c r="FI310" s="712"/>
      <c r="FJ310" s="712"/>
      <c r="FK310" s="712"/>
      <c r="FL310" s="714">
        <f t="shared" si="827"/>
        <v>40753</v>
      </c>
      <c r="FM310" s="714">
        <f t="shared" si="828"/>
        <v>40851</v>
      </c>
      <c r="FN310" s="712"/>
      <c r="FO310" s="712"/>
      <c r="FP310" s="712"/>
      <c r="FQ310" s="712"/>
      <c r="FR310" s="712"/>
      <c r="FS310" s="725">
        <f t="shared" si="918"/>
        <v>40603</v>
      </c>
      <c r="FT310" s="714">
        <f t="shared" si="830"/>
        <v>40709</v>
      </c>
      <c r="FU310" s="712">
        <f t="shared" si="918"/>
        <v>6518.9048239895692</v>
      </c>
      <c r="FV310" s="714">
        <f t="shared" si="831"/>
        <v>40722</v>
      </c>
      <c r="FW310" s="712">
        <f t="shared" si="918"/>
        <v>3259.4524119947846</v>
      </c>
      <c r="FX310" s="725">
        <f t="shared" si="918"/>
        <v>40851</v>
      </c>
      <c r="FZ310" s="697">
        <f t="shared" si="824"/>
        <v>0</v>
      </c>
      <c r="GA310" s="712" t="str">
        <f t="shared" si="899"/>
        <v/>
      </c>
      <c r="GB310" s="712">
        <f t="shared" si="900"/>
        <v>0</v>
      </c>
      <c r="GC310" s="712" t="str">
        <f t="shared" si="901"/>
        <v/>
      </c>
      <c r="GD310" s="712">
        <f>IF(GA310="P",Lookup!$M$12,IF(GA310="PP",Lookup!$M$13,IF(GA310="PPP",Lookup!$M$14,IF(GA310="T",Lookup!$M$15,IF(GA310="TP",Lookup!$M$16,IF(GA310="TPP",Lookup!$M$17,IF(GA310="TPPP",Lookup!$M$18,0)))))))*FZ310</f>
        <v>0</v>
      </c>
      <c r="GE310" s="712">
        <f t="shared" si="902"/>
        <v>0</v>
      </c>
      <c r="GF310" s="712">
        <f t="shared" si="903"/>
        <v>292.01583466666614</v>
      </c>
      <c r="GG310" s="712">
        <f t="shared" si="904"/>
        <v>95.181171664493519</v>
      </c>
      <c r="GH310" s="712"/>
      <c r="GI310" s="712">
        <f t="shared" si="905"/>
        <v>0</v>
      </c>
      <c r="GJ310" s="712" t="str">
        <f t="shared" si="906"/>
        <v/>
      </c>
      <c r="GK310" s="712">
        <f>IF(GA310="P",Lookup!$N$12,IF(GA310="PP",Lookup!$N$13,IF(GA310="PPP",Lookup!$N$14,IF(GA310="T",Lookup!$N$15,IF(GA310="TP",Lookup!$N$16,IF(GA310="TPP",Lookup!$N$17,IF(GA310="TPPP",Lookup!$N$18,0)))))))*FZ310</f>
        <v>0</v>
      </c>
      <c r="GL310" s="712">
        <f t="shared" si="907"/>
        <v>0</v>
      </c>
      <c r="GM310" s="712">
        <f t="shared" si="908"/>
        <v>205.74595176062971</v>
      </c>
      <c r="GN310" s="712">
        <f t="shared" si="909"/>
        <v>67.061913872434715</v>
      </c>
      <c r="GO310" s="712"/>
      <c r="GP310" s="712">
        <f t="shared" si="910"/>
        <v>0</v>
      </c>
      <c r="GQ310" s="712" t="str">
        <f t="shared" si="911"/>
        <v/>
      </c>
      <c r="GR310" s="712">
        <f>IF(GA310="P",Lookup!$N$12,IF(GA310="PP",Lookup!$N$13,IF(GA310="PPP",Lookup!$N$14,IF(GA310="T",Lookup!$N$15,IF(GA310="TP",Lookup!$N$16,IF(GA310="TPP",Lookup!$N$17,IF(GA310="TPPP",Lookup!$N$18,0)))))))*FZ310</f>
        <v>0</v>
      </c>
      <c r="GS310" s="697">
        <f t="shared" si="825"/>
        <v>0</v>
      </c>
      <c r="GT310" s="712">
        <f t="shared" si="912"/>
        <v>300.63423720936419</v>
      </c>
      <c r="GU310" s="712">
        <f t="shared" si="913"/>
        <v>97.990298960027431</v>
      </c>
      <c r="GV310" s="712"/>
      <c r="GW310" s="712">
        <f t="shared" si="914"/>
        <v>0</v>
      </c>
      <c r="GX310" s="712" t="str">
        <f t="shared" si="915"/>
        <v/>
      </c>
      <c r="GY310" s="712">
        <f>IF(GA310="P",Lookup!$N$12,IF(GA310="PP",Lookup!$N$13,IF(GA310="PPP",Lookup!$N$14,IF(GA310="T",Lookup!$N$15,IF(GA310="TP",Lookup!$N$16,IF(GA310="TPP",Lookup!$N$17,IF(GA310="TPPP",Lookup!$N$18,0)))))))*FZ310</f>
        <v>0</v>
      </c>
      <c r="GZ310" s="697">
        <f t="shared" si="826"/>
        <v>0</v>
      </c>
      <c r="HA310" s="712">
        <f t="shared" si="916"/>
        <v>557.50789964740079</v>
      </c>
      <c r="HB310" s="712">
        <f t="shared" si="917"/>
        <v>181.7170468211867</v>
      </c>
      <c r="HC310" s="712"/>
    </row>
    <row r="311" spans="1:211">
      <c r="A311" s="773" t="s">
        <v>4</v>
      </c>
      <c r="B311" s="708">
        <v>40840</v>
      </c>
      <c r="C311" s="719">
        <v>0.5</v>
      </c>
      <c r="D311" s="675">
        <f t="shared" si="840"/>
        <v>300</v>
      </c>
      <c r="E311" s="675">
        <f t="shared" si="841"/>
        <v>250</v>
      </c>
      <c r="F311" s="675">
        <v>250</v>
      </c>
      <c r="G311" s="712">
        <f>DH311+Sheet1!CV311</f>
        <v>850.10943015629118</v>
      </c>
      <c r="H311" s="712">
        <f t="shared" si="842"/>
        <v>282.54753565302661</v>
      </c>
      <c r="I311" s="711">
        <f>MAX(Sheet1!Z311-AJ311+(Sheet1!CW311-E311)*CFStoMGD,0)</f>
        <v>611.96999999999991</v>
      </c>
      <c r="J311" s="720">
        <f>IF(AND(B311&gt;=Calculation!FS311,B311&lt;=Calculation!FT311),IF(Sheet1!CX311&gt;=Calculation!D311,64.64,0),MAX(Sheet1!Z311-AJ311+(Sheet1!CX311-D311)*CFStoMGD,0))</f>
        <v>428.33179999999999</v>
      </c>
      <c r="K311" s="697">
        <f t="shared" si="843"/>
        <v>64.64</v>
      </c>
      <c r="L311" s="712">
        <f>Sheet1!AA311+Sheet1!AB311-Sheet1!L311+(Sheet1!CW311-F311)*CFStoMGD</f>
        <v>614.73999999999955</v>
      </c>
      <c r="M311" s="712">
        <f t="shared" si="844"/>
        <v>560.50095036608718</v>
      </c>
      <c r="N311" s="712">
        <f>IF(Sheet1!CW311&gt;=F311,MIN(73,MIN(MAX(L311,0),MAX(M311,0))),0)</f>
        <v>73</v>
      </c>
      <c r="O311" s="721">
        <f>Sheet1!AA311+Sheet1!AB311</f>
        <v>46.2</v>
      </c>
      <c r="P311" s="721">
        <f t="shared" si="845"/>
        <v>71.471400000000003</v>
      </c>
      <c r="Q311" s="712">
        <f>MIN(N311,Sheet1!AA311+AG311)</f>
        <v>46.2</v>
      </c>
      <c r="R311" s="712">
        <f t="shared" si="846"/>
        <v>9.5</v>
      </c>
      <c r="S311" s="721">
        <f>Sheet1!Y311*MGDtoCFS</f>
        <v>39.757899999999999</v>
      </c>
      <c r="T311" s="721">
        <f>Sheet1!Z311*MGDtoCFS</f>
        <v>31.110169999999997</v>
      </c>
      <c r="U311" s="721">
        <f>Sheet1!AA311*MGDtoCFS</f>
        <v>40.222000000000001</v>
      </c>
      <c r="V311" s="721">
        <f>Sheet1!AB311*MGDtoCFS</f>
        <v>31.249399999999998</v>
      </c>
      <c r="W311" s="721">
        <f>Sheet1!L311*MGDtoCFS</f>
        <v>67.325440000000668</v>
      </c>
      <c r="X311" s="697">
        <f t="shared" si="847"/>
        <v>0</v>
      </c>
      <c r="Y311" s="712">
        <f t="shared" si="848"/>
        <v>0</v>
      </c>
      <c r="Z311" s="712">
        <f t="shared" si="849"/>
        <v>0</v>
      </c>
      <c r="AA311" s="712">
        <f t="shared" si="850"/>
        <v>0</v>
      </c>
      <c r="AB311" s="712">
        <f>(VLOOKUP(Sheet1!CY311,hhdcap_wcm,4)-(((VLOOKUP(Sheet1!CY311,hhdcap_wcm,3)-Sheet1!CY311)/(VLOOKUP(Sheet1!CY311,hhdcap_wcm,3)-VLOOKUP(Sheet1!CY311,hhdcap_wcm,1)))*(VLOOKUP(Sheet1!CY311,hhdcap_wcm,4)-VLOOKUP(Sheet1!CY311,hhdcap_wcm,2))))</f>
        <v>8755.0000000167001</v>
      </c>
      <c r="AC311" s="712">
        <f t="shared" si="851"/>
        <v>-130.00000000007458</v>
      </c>
      <c r="AD311" s="712">
        <f t="shared" si="852"/>
        <v>441.95043131814236</v>
      </c>
      <c r="AE311" s="712">
        <f t="shared" si="853"/>
        <v>1355.9039232840607</v>
      </c>
      <c r="AF311" s="712">
        <f>Sheet1!BA311+Sheet1!BB311+Sheet1!BN311+BT311</f>
        <v>19.8</v>
      </c>
      <c r="AG311" s="712">
        <f t="shared" si="854"/>
        <v>20.2</v>
      </c>
      <c r="AH311" s="712">
        <f>Sheet1!BA311+BT311</f>
        <v>0</v>
      </c>
      <c r="AI311" s="712">
        <f>Sheet1!BA311+Sheet1!BB311+BT311</f>
        <v>0</v>
      </c>
      <c r="AJ311" s="712">
        <f>IF((Sheet1!AA311+AG311+AX311+AZ311+BQ311+BS311+CL311+CN311)&lt;=N311,AG311+AX311+AZ311+BQ311+BS311+CL311+CN311,N311-Sheet1!AA311)</f>
        <v>20.2</v>
      </c>
      <c r="AK311" s="712">
        <f>IF(DR311&lt;K311,0,MAX(Sheet1!AA311+AG311-15/36*K311-N311,Sheet1!ED311,0))</f>
        <v>0</v>
      </c>
      <c r="AL311" s="712">
        <f>IF(OR(B311&gt;=FT311,B311&lt;FS311),0,15/36*K311-MAX(0,64.6-(137.6-(Sheet1!AA311+Sheet1!AB311))))</f>
        <v>0</v>
      </c>
      <c r="AM311" s="712">
        <f>Sheet1!CX311-110</f>
        <v>852.78125</v>
      </c>
      <c r="AN311" s="712">
        <f>Sheet1!CW311-265</f>
        <v>931.875</v>
      </c>
      <c r="AO311" s="712">
        <f t="shared" si="835"/>
        <v>26.799999999999997</v>
      </c>
      <c r="AP311" s="712">
        <f t="shared" si="855"/>
        <v>0</v>
      </c>
      <c r="AQ311" s="712">
        <f t="shared" si="856"/>
        <v>0</v>
      </c>
      <c r="AR311" s="712">
        <f t="shared" si="857"/>
        <v>95.181171664493519</v>
      </c>
      <c r="AS311" s="712"/>
      <c r="AT311" s="712">
        <f ca="1">IF(B311&gt;Summary!$A$1,#N/A,AR311*MGtoAF)</f>
        <v>292.01583466666614</v>
      </c>
      <c r="AU311" s="712">
        <f>Sheet1!BG311+Sheet1!BH311+Sheet1!BI311-BC311</f>
        <v>0</v>
      </c>
      <c r="AV311" s="712">
        <f t="shared" si="858"/>
        <v>0</v>
      </c>
      <c r="AW311" s="712">
        <f>IF(Sheet1!EL311="FM",BC311,0)</f>
        <v>0</v>
      </c>
      <c r="AX311" s="712">
        <f t="shared" si="859"/>
        <v>0</v>
      </c>
      <c r="AY311" s="712">
        <f>IF(Sheet1!EL311="OTHER",BC311,0)</f>
        <v>0</v>
      </c>
      <c r="AZ311" s="712">
        <f t="shared" si="860"/>
        <v>0</v>
      </c>
      <c r="BA311" s="712">
        <f t="shared" si="861"/>
        <v>0</v>
      </c>
      <c r="BB311" s="712">
        <f t="shared" si="862"/>
        <v>0</v>
      </c>
      <c r="BC311" s="712">
        <f>IF(OR(Sheet1!EL311="FM", Sheet1!EL311="OTHER"),SUM(Sheet1!BG311:'Sheet1'!BI311),0)</f>
        <v>0</v>
      </c>
      <c r="BD311" s="800">
        <v>0</v>
      </c>
      <c r="BE311" s="712">
        <f t="shared" si="863"/>
        <v>0</v>
      </c>
      <c r="BF311" s="697">
        <f t="shared" si="864"/>
        <v>0</v>
      </c>
      <c r="BG311" s="697">
        <f>IF(AND($O311&gt;0,Sheet1!EI311=1),(1-($O311-Sheet1!$L311)/$O311)*BB311,0)</f>
        <v>0</v>
      </c>
      <c r="BH311" s="697">
        <f>IF(AND(Sheet1!$L311=0,Sheet1!$L310=0, Calculation!BA311&lt;Sheet1!$EE311-0.1,Sheet1!$EE311=Sheet1!$EE310,Sheet1!$EE311=Sheet1!$EE312),Sheet1!$EE311,BB311-BG311)</f>
        <v>0</v>
      </c>
      <c r="BI311" s="712"/>
      <c r="BJ311" s="712"/>
      <c r="BK311" s="712">
        <f t="shared" si="865"/>
        <v>67.061913872434715</v>
      </c>
      <c r="BL311" s="712"/>
      <c r="BM311" s="712">
        <f ca="1">IF(B311&gt;Summary!$A$1,#N/A,BK311*MGtoAF)</f>
        <v>205.74595176062971</v>
      </c>
      <c r="BN311" s="712">
        <f>Sheet1!BC311+Sheet1!BD311+Sheet1!BE311+Sheet1!BF311-BW311-BX311</f>
        <v>0</v>
      </c>
      <c r="BO311" s="712">
        <f t="shared" si="866"/>
        <v>0</v>
      </c>
      <c r="BP311" s="712">
        <f>IF(Sheet1!EM311="FM",BX311,0)</f>
        <v>0</v>
      </c>
      <c r="BQ311" s="712">
        <f t="shared" si="867"/>
        <v>0</v>
      </c>
      <c r="BR311" s="712">
        <f>IF(Sheet1!EM311="OTHER",BX311,0)</f>
        <v>0</v>
      </c>
      <c r="BS311" s="712">
        <f t="shared" si="868"/>
        <v>0</v>
      </c>
      <c r="BT311" s="712">
        <f t="shared" si="869"/>
        <v>0</v>
      </c>
      <c r="BU311" s="712">
        <f t="shared" si="870"/>
        <v>0</v>
      </c>
      <c r="BV311" s="712">
        <f t="shared" si="871"/>
        <v>0</v>
      </c>
      <c r="BW311" s="712">
        <f>IF(Sheet1!EM311="CWA",SUM(Sheet1!BC311:'Sheet1'!BF311),0)</f>
        <v>0</v>
      </c>
      <c r="BX311" s="712">
        <f>IF(OR(Sheet1!EM311="FM", Sheet1!EM311="OTHER"),SUM(Sheet1!BC311:'Sheet1'!BF311),0)</f>
        <v>0</v>
      </c>
      <c r="BY311" s="800">
        <v>0</v>
      </c>
      <c r="BZ311" s="712">
        <f t="shared" si="872"/>
        <v>0</v>
      </c>
      <c r="CA311" s="697">
        <f t="shared" si="873"/>
        <v>0</v>
      </c>
      <c r="CB311" s="697">
        <f>IF(AND($O311&gt;0,Sheet1!EJ311=1),(1-($O311-Sheet1!$L311)/$O311)*BV311,0)</f>
        <v>0</v>
      </c>
      <c r="CC311" s="697">
        <f>IF(AND(Sheet1!$L311=0,Sheet1!$L310=0, Calculation!BU311&lt;Sheet1!EF311-0.1,Sheet1!EF311=Sheet1!EF310,Sheet1!EF311=Sheet1!EF312),Sheet1!EF311,BV311-CB311)</f>
        <v>0</v>
      </c>
      <c r="CD311" s="697"/>
      <c r="CE311" s="712"/>
      <c r="CF311" s="712">
        <f t="shared" si="874"/>
        <v>97.990298960027431</v>
      </c>
      <c r="CG311" s="712"/>
      <c r="CH311" s="712">
        <f ca="1">IF(B311&gt;Summary!$A$1,#N/A,CF311*MGtoAF)</f>
        <v>300.63423720936419</v>
      </c>
      <c r="CI311" s="712">
        <f>Sheet1!BK311+Sheet1!BL311+Sheet1!BM311-Sheet1!EN311-CQ311</f>
        <v>0</v>
      </c>
      <c r="CJ311" s="712">
        <f t="shared" si="875"/>
        <v>0</v>
      </c>
      <c r="CK311" s="712">
        <f>IF(Sheet1!EN311="FM",CQ311,0)</f>
        <v>0</v>
      </c>
      <c r="CL311" s="712">
        <f t="shared" si="876"/>
        <v>0</v>
      </c>
      <c r="CM311" s="712">
        <f>IF(Sheet1!EN311="OTHER",CQ311,0)</f>
        <v>0</v>
      </c>
      <c r="CN311" s="712">
        <f t="shared" si="877"/>
        <v>0</v>
      </c>
      <c r="CO311" s="712">
        <f t="shared" si="878"/>
        <v>0</v>
      </c>
      <c r="CP311" s="712">
        <f t="shared" si="879"/>
        <v>0</v>
      </c>
      <c r="CQ311" s="712">
        <f>IF(OR(Sheet1!EN311="FM", Sheet1!EN311="OTHER"),SUM(Sheet1!BK311:'Sheet1'!BM311),0)</f>
        <v>0</v>
      </c>
      <c r="CR311" s="800">
        <v>0</v>
      </c>
      <c r="CS311" s="712">
        <f t="shared" si="880"/>
        <v>0</v>
      </c>
      <c r="CT311" s="697">
        <f t="shared" si="881"/>
        <v>0</v>
      </c>
      <c r="CU311" s="697">
        <f>IF(AND($O311&gt;0,Sheet1!EK311=1),(1-($O311-Sheet1!$L311)/$O311)*CP311,0)</f>
        <v>0</v>
      </c>
      <c r="CV311" s="697">
        <f>IF(AND(Sheet1!$L311=0,Sheet1!$L310=0, Calculation!CO311&lt;Sheet1!$EG311-0.1,Sheet1!$EG311=Sheet1!$EG310,Sheet1!$EG311=Sheet1!$EG312),Sheet1!$EG311,CP311-CU311)</f>
        <v>0</v>
      </c>
      <c r="CW311" s="697">
        <f t="shared" si="837"/>
        <v>0</v>
      </c>
      <c r="CX311" s="712">
        <f t="shared" si="882"/>
        <v>0</v>
      </c>
      <c r="CY311" s="712">
        <f t="shared" si="883"/>
        <v>181.7170468211867</v>
      </c>
      <c r="CZ311" s="712">
        <f t="shared" si="884"/>
        <v>0</v>
      </c>
      <c r="DA311" s="712">
        <f ca="1">IF(B311&gt;Summary!$A$1,#N/A,CY311*MGtoAF)</f>
        <v>557.50789964740079</v>
      </c>
      <c r="DB311" s="712">
        <f t="shared" si="885"/>
        <v>0</v>
      </c>
      <c r="DC311" s="712">
        <f t="shared" si="886"/>
        <v>19.8</v>
      </c>
      <c r="DD311" s="712">
        <f>Sheet1!AB311-DC311</f>
        <v>0.39999999999999858</v>
      </c>
      <c r="DE311" s="712">
        <f t="shared" si="887"/>
        <v>2.0202020202020131E-2</v>
      </c>
      <c r="DF311" s="712">
        <f>(VLOOKUP(Sheet1!CY311,hhdcap_wcm,4)-(((VLOOKUP(Sheet1!CY311,hhdcap_wcm,3)-Sheet1!CY311)/(VLOOKUP(Sheet1!CY311,hhdcap_wcm,3)-VLOOKUP(Sheet1!CY311,hhdcap_wcm,1)))*(VLOOKUP(Sheet1!CY311,hhdcap_wcm,4)-VLOOKUP(Sheet1!CY311,hhdcap_wcm,2))))</f>
        <v>8755.0000000167001</v>
      </c>
      <c r="DG311" s="712">
        <f t="shared" si="888"/>
        <v>-130.00000000007458</v>
      </c>
      <c r="DH311" s="712">
        <f t="shared" si="889"/>
        <v>-65.557236510375475</v>
      </c>
      <c r="DI311" s="712">
        <f>Sheet1!DW311*AFtoMG</f>
        <v>0</v>
      </c>
      <c r="DJ311" s="712">
        <f>Sheet1!DX311*AFtoMG</f>
        <v>0</v>
      </c>
      <c r="DK311" s="712">
        <f>Sheet1!DY311*AFtoMG</f>
        <v>0</v>
      </c>
      <c r="DL311" s="712">
        <f>Sheet1!DZ311*AFtoMG</f>
        <v>0</v>
      </c>
      <c r="DM311" s="712">
        <f t="shared" si="890"/>
        <v>0</v>
      </c>
      <c r="DN311" s="712">
        <f t="shared" si="891"/>
        <v>0</v>
      </c>
      <c r="DO311" s="712">
        <f t="shared" si="892"/>
        <v>441.95043131814236</v>
      </c>
      <c r="DP311" s="712">
        <f t="shared" si="893"/>
        <v>1355.9039232840607</v>
      </c>
      <c r="DQ311" s="712"/>
      <c r="DR311" s="697">
        <f>IF(OR(B311&lt;FL311,B311&gt;FM311),(MIN(AV311+BO311+CJ311+MAX(Sheet1!AA311+AG311-73,0),K311)),0)</f>
        <v>0</v>
      </c>
      <c r="DS311" s="712"/>
      <c r="DT311" s="712">
        <f t="shared" si="894"/>
        <v>0</v>
      </c>
      <c r="DU311" s="712"/>
      <c r="DV311" s="712">
        <f>Sheet1!ED311+Sheet1!EE311+Sheet1!EF311+Sheet1!EG311</f>
        <v>9.5</v>
      </c>
      <c r="DW311" s="712"/>
      <c r="DX311" s="697">
        <f t="shared" si="895"/>
        <v>0</v>
      </c>
      <c r="DY311" s="712">
        <f>IF(Sheet1!FN311=1,SUM('Calculations II'!AT311:BA311)+'Calculations II'!BC311+Sheet1!BU311+'Calculations II'!BE311+AF311,SUM('Calculations II'!AT311:BA311)+'Calculations II'!BC311+Sheet1!BU311+'Calculations II'!BE311+AF311)</f>
        <v>43.921888000000003</v>
      </c>
      <c r="DZ311" s="712">
        <f>Sheet1!AA311+Sheet1!AB311+'Calculations II'!BC311</f>
        <v>46.2</v>
      </c>
      <c r="EA311" s="712"/>
      <c r="EB311" s="712"/>
      <c r="EC311" s="712">
        <f t="shared" si="896"/>
        <v>40840</v>
      </c>
      <c r="ED311" s="712">
        <f t="shared" si="897"/>
        <v>0</v>
      </c>
      <c r="EE311" s="712">
        <f t="shared" si="898"/>
        <v>0</v>
      </c>
      <c r="EF311" s="712">
        <f ca="1">IF(B311=TODAY(),0,-(VLOOKUP(Sheet1!BQ311,Lookup!$B$4:$J$236,2)-VLOOKUP(Sheet1!BQ310,Lookup!$B$4:$J$236,2))/1000000)</f>
        <v>0.54149999999999998</v>
      </c>
      <c r="EG311" s="712">
        <f ca="1">IF(B311=TODAY(),0,-(VLOOKUP(Sheet1!BR311,Lookup!$B$4:$J$236,3)-VLOOKUP(Sheet1!BR310,Lookup!$B$4:$J$236,3))/1000000)</f>
        <v>0.27</v>
      </c>
      <c r="EH311" s="712">
        <f>-(VLOOKUP(Sheet1!BS311,Lookup!$B$4:$J$236,4)-VLOOKUP(Sheet1!BS310,Lookup!$B$4:$J$236,4))/1000000</f>
        <v>0</v>
      </c>
      <c r="EI311" s="697">
        <f t="shared" ca="1" si="819"/>
        <v>0.8115</v>
      </c>
      <c r="EJ311" s="712"/>
      <c r="EK311" s="712"/>
      <c r="EL311" s="712"/>
      <c r="EM311" s="712"/>
      <c r="EN311" s="712"/>
      <c r="EO311" s="712"/>
      <c r="EP311" s="712"/>
      <c r="EQ311" s="712"/>
      <c r="ER311" s="697">
        <f t="shared" si="920"/>
        <v>-4115.0928379308825</v>
      </c>
      <c r="ES311" s="712">
        <f t="shared" si="921"/>
        <v>0</v>
      </c>
      <c r="ET311" s="794">
        <f t="shared" si="919"/>
        <v>1112.5</v>
      </c>
      <c r="EU311" s="794" t="e">
        <f t="shared" si="838"/>
        <v>#N/A</v>
      </c>
      <c r="EV311" s="795" t="e">
        <f t="shared" si="836"/>
        <v>#N/A</v>
      </c>
      <c r="EW311" s="796" t="s">
        <v>757</v>
      </c>
      <c r="EX311" s="796" t="s">
        <v>757</v>
      </c>
      <c r="EY311" s="794" t="e">
        <v>#N/A</v>
      </c>
      <c r="EZ311" s="798">
        <v>9931.8000000192151</v>
      </c>
      <c r="FA311" s="712"/>
      <c r="FB311" s="712"/>
      <c r="FC311" s="712"/>
      <c r="FD311" s="712"/>
      <c r="FE311" s="712">
        <f>O311+Sheet1!CO311</f>
        <v>46.2</v>
      </c>
      <c r="FF311" s="712">
        <f>IF(Sheet1!AA311+AG311&lt;=Calculation!N311,AG311,Calculation!N311-Sheet1!AA311)</f>
        <v>20.2</v>
      </c>
      <c r="FG311" s="712">
        <f>(Sheet1!BP311+Sheet1!BO311)/694.4</f>
        <v>2.0372983870967745</v>
      </c>
      <c r="FH311" s="712"/>
      <c r="FI311" s="712"/>
      <c r="FJ311" s="712"/>
      <c r="FK311" s="712"/>
      <c r="FL311" s="714">
        <f t="shared" si="827"/>
        <v>40753</v>
      </c>
      <c r="FM311" s="714">
        <f t="shared" si="828"/>
        <v>40851</v>
      </c>
      <c r="FN311" s="712"/>
      <c r="FO311" s="712"/>
      <c r="FP311" s="712"/>
      <c r="FQ311" s="712"/>
      <c r="FR311" s="712"/>
      <c r="FS311" s="725">
        <f t="shared" si="918"/>
        <v>40603</v>
      </c>
      <c r="FT311" s="714">
        <f t="shared" si="830"/>
        <v>40709</v>
      </c>
      <c r="FU311" s="712">
        <f t="shared" si="918"/>
        <v>6518.9048239895692</v>
      </c>
      <c r="FV311" s="714">
        <f t="shared" si="831"/>
        <v>40722</v>
      </c>
      <c r="FW311" s="712">
        <f t="shared" si="918"/>
        <v>3259.4524119947846</v>
      </c>
      <c r="FX311" s="725">
        <f t="shared" si="918"/>
        <v>40851</v>
      </c>
      <c r="FZ311" s="697">
        <f t="shared" si="824"/>
        <v>0</v>
      </c>
      <c r="GA311" s="712" t="str">
        <f t="shared" si="899"/>
        <v/>
      </c>
      <c r="GB311" s="712">
        <f t="shared" si="900"/>
        <v>0</v>
      </c>
      <c r="GC311" s="712" t="str">
        <f t="shared" si="901"/>
        <v/>
      </c>
      <c r="GD311" s="712">
        <f>IF(GA311="P",Lookup!$M$12,IF(GA311="PP",Lookup!$M$13,IF(GA311="PPP",Lookup!$M$14,IF(GA311="T",Lookup!$M$15,IF(GA311="TP",Lookup!$M$16,IF(GA311="TPP",Lookup!$M$17,IF(GA311="TPPP",Lookup!$M$18,0)))))))*FZ311</f>
        <v>0</v>
      </c>
      <c r="GE311" s="712">
        <f t="shared" si="902"/>
        <v>0</v>
      </c>
      <c r="GF311" s="712">
        <f t="shared" si="903"/>
        <v>292.01583466666614</v>
      </c>
      <c r="GG311" s="712">
        <f t="shared" si="904"/>
        <v>95.181171664493519</v>
      </c>
      <c r="GH311" s="712"/>
      <c r="GI311" s="712">
        <f t="shared" si="905"/>
        <v>0</v>
      </c>
      <c r="GJ311" s="712" t="str">
        <f t="shared" si="906"/>
        <v/>
      </c>
      <c r="GK311" s="712">
        <f>IF(GA311="P",Lookup!$N$12,IF(GA311="PP",Lookup!$N$13,IF(GA311="PPP",Lookup!$N$14,IF(GA311="T",Lookup!$N$15,IF(GA311="TP",Lookup!$N$16,IF(GA311="TPP",Lookup!$N$17,IF(GA311="TPPP",Lookup!$N$18,0)))))))*FZ311</f>
        <v>0</v>
      </c>
      <c r="GL311" s="712">
        <f t="shared" si="907"/>
        <v>0</v>
      </c>
      <c r="GM311" s="712">
        <f t="shared" si="908"/>
        <v>205.74595176062971</v>
      </c>
      <c r="GN311" s="712">
        <f t="shared" si="909"/>
        <v>67.061913872434715</v>
      </c>
      <c r="GO311" s="712"/>
      <c r="GP311" s="712">
        <f t="shared" si="910"/>
        <v>0</v>
      </c>
      <c r="GQ311" s="712" t="str">
        <f t="shared" si="911"/>
        <v/>
      </c>
      <c r="GR311" s="712">
        <f>IF(GA311="P",Lookup!$N$12,IF(GA311="PP",Lookup!$N$13,IF(GA311="PPP",Lookup!$N$14,IF(GA311="T",Lookup!$N$15,IF(GA311="TP",Lookup!$N$16,IF(GA311="TPP",Lookup!$N$17,IF(GA311="TPPP",Lookup!$N$18,0)))))))*FZ311</f>
        <v>0</v>
      </c>
      <c r="GS311" s="697">
        <f t="shared" si="825"/>
        <v>0</v>
      </c>
      <c r="GT311" s="712">
        <f t="shared" si="912"/>
        <v>300.63423720936419</v>
      </c>
      <c r="GU311" s="712">
        <f t="shared" si="913"/>
        <v>97.990298960027431</v>
      </c>
      <c r="GV311" s="712"/>
      <c r="GW311" s="712">
        <f t="shared" si="914"/>
        <v>0</v>
      </c>
      <c r="GX311" s="712" t="str">
        <f t="shared" si="915"/>
        <v/>
      </c>
      <c r="GY311" s="712">
        <f>IF(GA311="P",Lookup!$N$12,IF(GA311="PP",Lookup!$N$13,IF(GA311="PPP",Lookup!$N$14,IF(GA311="T",Lookup!$N$15,IF(GA311="TP",Lookup!$N$16,IF(GA311="TPP",Lookup!$N$17,IF(GA311="TPPP",Lookup!$N$18,0)))))))*FZ311</f>
        <v>0</v>
      </c>
      <c r="GZ311" s="697">
        <f t="shared" si="826"/>
        <v>0</v>
      </c>
      <c r="HA311" s="712">
        <f t="shared" si="916"/>
        <v>557.50789964740079</v>
      </c>
      <c r="HB311" s="712">
        <f t="shared" si="917"/>
        <v>181.7170468211867</v>
      </c>
      <c r="HC311" s="712"/>
    </row>
    <row r="312" spans="1:211">
      <c r="A312" s="773" t="s">
        <v>5</v>
      </c>
      <c r="B312" s="708">
        <v>40841</v>
      </c>
      <c r="C312" s="709">
        <v>0.5</v>
      </c>
      <c r="D312" s="675">
        <f t="shared" si="840"/>
        <v>300</v>
      </c>
      <c r="E312" s="675">
        <f t="shared" si="841"/>
        <v>250</v>
      </c>
      <c r="F312" s="675">
        <v>250</v>
      </c>
      <c r="G312" s="712">
        <f>DH312+Sheet1!CV312</f>
        <v>641.96041351415374</v>
      </c>
      <c r="H312" s="712">
        <f t="shared" si="842"/>
        <v>148.00001129554897</v>
      </c>
      <c r="I312" s="711">
        <f>MAX(Sheet1!Z312-AJ312+(Sheet1!CW312-E312)*CFStoMGD,0)</f>
        <v>611.91799999999989</v>
      </c>
      <c r="J312" s="720">
        <f>IF(AND(B312&gt;=Calculation!FS312,B312&lt;=Calculation!FT312),IF(Sheet1!CX312&gt;=Calculation!D312,64.64,0),MAX(Sheet1!Z312-AJ312+(Sheet1!CX312-D312)*CFStoMGD,0))</f>
        <v>417.5401333333333</v>
      </c>
      <c r="K312" s="697">
        <f t="shared" si="843"/>
        <v>64.64</v>
      </c>
      <c r="L312" s="712">
        <f>Sheet1!AA312+Sheet1!AB312-Sheet1!L312+(Sheet1!CW312-F312)*CFStoMGD</f>
        <v>631.04800000000068</v>
      </c>
      <c r="M312" s="712">
        <f t="shared" si="844"/>
        <v>423.26247552145998</v>
      </c>
      <c r="N312" s="712">
        <f>IF(Sheet1!CW312&gt;=F312,MIN(73,MIN(MAX(L312,0),MAX(M312,0))),0)</f>
        <v>73</v>
      </c>
      <c r="O312" s="721">
        <f>Sheet1!AA312+Sheet1!AB312</f>
        <v>45.74</v>
      </c>
      <c r="P312" s="721">
        <f t="shared" si="845"/>
        <v>70.759780000000006</v>
      </c>
      <c r="Q312" s="712">
        <f>MIN(N312,Sheet1!AA312+AG312)</f>
        <v>45.74</v>
      </c>
      <c r="R312" s="712">
        <f t="shared" si="846"/>
        <v>9.5</v>
      </c>
      <c r="S312" s="721">
        <f>Sheet1!Y312*MGDtoCFS</f>
        <v>40.237470000000002</v>
      </c>
      <c r="T312" s="721">
        <f>Sheet1!Z312*MGDtoCFS</f>
        <v>30.939999999999998</v>
      </c>
      <c r="U312" s="721">
        <f>Sheet1!AA312*MGDtoCFS</f>
        <v>39.912599999999998</v>
      </c>
      <c r="V312" s="721">
        <f>Sheet1!AB312*MGDtoCFS</f>
        <v>30.847180000000002</v>
      </c>
      <c r="W312" s="721">
        <f>Sheet1!L312*MGDtoCFS</f>
        <v>41.072849999998873</v>
      </c>
      <c r="X312" s="697">
        <f t="shared" si="847"/>
        <v>0</v>
      </c>
      <c r="Y312" s="712">
        <f t="shared" si="848"/>
        <v>0</v>
      </c>
      <c r="Z312" s="712">
        <f t="shared" si="849"/>
        <v>0</v>
      </c>
      <c r="AA312" s="712">
        <f t="shared" si="850"/>
        <v>0</v>
      </c>
      <c r="AB312" s="712">
        <f>(VLOOKUP(Sheet1!CY312,hhdcap_wcm,4)-(((VLOOKUP(Sheet1!CY312,hhdcap_wcm,3)-Sheet1!CY312)/(VLOOKUP(Sheet1!CY312,hhdcap_wcm,3)-VLOOKUP(Sheet1!CY312,hhdcap_wcm,1)))*(VLOOKUP(Sheet1!CY312,hhdcap_wcm,4)-VLOOKUP(Sheet1!CY312,hhdcap_wcm,2))))</f>
        <v>8165.6400000152671</v>
      </c>
      <c r="AC312" s="712">
        <f t="shared" si="851"/>
        <v>-589.36000000143304</v>
      </c>
      <c r="AD312" s="712">
        <f t="shared" si="852"/>
        <v>441.95043131814236</v>
      </c>
      <c r="AE312" s="712">
        <f t="shared" si="853"/>
        <v>1355.9039232840607</v>
      </c>
      <c r="AF312" s="712">
        <f>Sheet1!BA312+Sheet1!BB312+Sheet1!BN312+BT312</f>
        <v>19.100000000000001</v>
      </c>
      <c r="AG312" s="712">
        <f t="shared" si="854"/>
        <v>19.940000000000001</v>
      </c>
      <c r="AH312" s="712">
        <f>Sheet1!BA312+BT312</f>
        <v>0</v>
      </c>
      <c r="AI312" s="712">
        <f>Sheet1!BA312+Sheet1!BB312+BT312</f>
        <v>0</v>
      </c>
      <c r="AJ312" s="712">
        <f>IF((Sheet1!AA312+AG312+AX312+AZ312+BQ312+BS312+CL312+CN312)&lt;=N312,AG312+AX312+AZ312+BQ312+BS312+CL312+CN312,N312-Sheet1!AA312)</f>
        <v>19.940000000000001</v>
      </c>
      <c r="AK312" s="712">
        <f>IF(DR312&lt;K312,0,MAX(Sheet1!AA312+AG312-15/36*K312-N312,Sheet1!ED312,0))</f>
        <v>0</v>
      </c>
      <c r="AL312" s="712">
        <f>IF(OR(B312&gt;=FT312,B312&lt;FS312),0,15/36*K312-MAX(0,64.6-(137.6-(Sheet1!AA312+Sheet1!AB312))))</f>
        <v>0</v>
      </c>
      <c r="AM312" s="712">
        <f>Sheet1!CX312-110</f>
        <v>835.85416666666663</v>
      </c>
      <c r="AN312" s="712">
        <f>Sheet1!CW312-265</f>
        <v>931.5625</v>
      </c>
      <c r="AO312" s="712">
        <f t="shared" si="835"/>
        <v>27.259999999999998</v>
      </c>
      <c r="AP312" s="712">
        <f t="shared" si="855"/>
        <v>0</v>
      </c>
      <c r="AQ312" s="712">
        <f t="shared" si="856"/>
        <v>0</v>
      </c>
      <c r="AR312" s="712">
        <f t="shared" si="857"/>
        <v>95.181171664493519</v>
      </c>
      <c r="AS312" s="712"/>
      <c r="AT312" s="712">
        <f ca="1">IF(B312&gt;Summary!$A$1,#N/A,AR312*MGtoAF)</f>
        <v>292.01583466666614</v>
      </c>
      <c r="AU312" s="712">
        <f>Sheet1!BG312+Sheet1!BH312+Sheet1!BI312-BC312</f>
        <v>0</v>
      </c>
      <c r="AV312" s="712">
        <f t="shared" si="858"/>
        <v>0</v>
      </c>
      <c r="AW312" s="712">
        <f>IF(Sheet1!EL312="FM",BC312,0)</f>
        <v>0</v>
      </c>
      <c r="AX312" s="712">
        <f t="shared" si="859"/>
        <v>0</v>
      </c>
      <c r="AY312" s="712">
        <f>IF(Sheet1!EL312="OTHER",BC312,0)</f>
        <v>0</v>
      </c>
      <c r="AZ312" s="712">
        <f t="shared" si="860"/>
        <v>0</v>
      </c>
      <c r="BA312" s="712">
        <f t="shared" si="861"/>
        <v>0</v>
      </c>
      <c r="BB312" s="712">
        <f t="shared" si="862"/>
        <v>0</v>
      </c>
      <c r="BC312" s="712">
        <f>IF(OR(Sheet1!EL312="FM", Sheet1!EL312="OTHER"),SUM(Sheet1!BG312:'Sheet1'!BI312),0)</f>
        <v>0</v>
      </c>
      <c r="BD312" s="800">
        <v>0</v>
      </c>
      <c r="BE312" s="712">
        <f t="shared" si="863"/>
        <v>0</v>
      </c>
      <c r="BF312" s="697">
        <f t="shared" si="864"/>
        <v>0</v>
      </c>
      <c r="BG312" s="697">
        <f>IF(AND($O312&gt;0,Sheet1!EI312=1),(1-($O312-Sheet1!$L312)/$O312)*BB312,0)</f>
        <v>0</v>
      </c>
      <c r="BH312" s="697">
        <f>IF(AND(Sheet1!$L312=0,Sheet1!$L311=0, Calculation!BA312&lt;Sheet1!$EE312-0.1,Sheet1!$EE312=Sheet1!$EE311,Sheet1!$EE312=Sheet1!$EE313),Sheet1!$EE312,BB312-BG312)</f>
        <v>0</v>
      </c>
      <c r="BI312" s="712"/>
      <c r="BJ312" s="712"/>
      <c r="BK312" s="712">
        <f t="shared" si="865"/>
        <v>67.061913872434715</v>
      </c>
      <c r="BL312" s="712"/>
      <c r="BM312" s="712">
        <f ca="1">IF(B312&gt;Summary!$A$1,#N/A,BK312*MGtoAF)</f>
        <v>205.74595176062971</v>
      </c>
      <c r="BN312" s="712">
        <f>Sheet1!BC312+Sheet1!BD312+Sheet1!BE312+Sheet1!BF312-BW312-BX312</f>
        <v>0</v>
      </c>
      <c r="BO312" s="712">
        <f t="shared" si="866"/>
        <v>0</v>
      </c>
      <c r="BP312" s="712">
        <f>IF(Sheet1!EM312="FM",BX312,0)</f>
        <v>0</v>
      </c>
      <c r="BQ312" s="712">
        <f t="shared" si="867"/>
        <v>0</v>
      </c>
      <c r="BR312" s="712">
        <f>IF(Sheet1!EM312="OTHER",BX312,0)</f>
        <v>0</v>
      </c>
      <c r="BS312" s="712">
        <f t="shared" si="868"/>
        <v>0</v>
      </c>
      <c r="BT312" s="712">
        <f t="shared" si="869"/>
        <v>0</v>
      </c>
      <c r="BU312" s="712">
        <f t="shared" si="870"/>
        <v>0</v>
      </c>
      <c r="BV312" s="712">
        <f t="shared" si="871"/>
        <v>0</v>
      </c>
      <c r="BW312" s="712">
        <f>IF(Sheet1!EM312="CWA",SUM(Sheet1!BC312:'Sheet1'!BF312),0)</f>
        <v>0</v>
      </c>
      <c r="BX312" s="712">
        <f>IF(OR(Sheet1!EM312="FM", Sheet1!EM312="OTHER"),SUM(Sheet1!BC312:'Sheet1'!BF312),0)</f>
        <v>0</v>
      </c>
      <c r="BY312" s="800">
        <v>0</v>
      </c>
      <c r="BZ312" s="712">
        <f t="shared" si="872"/>
        <v>0</v>
      </c>
      <c r="CA312" s="697">
        <f t="shared" si="873"/>
        <v>0</v>
      </c>
      <c r="CB312" s="697">
        <f>IF(AND($O312&gt;0,Sheet1!EJ312=1),(1-($O312-Sheet1!$L312)/$O312)*BV312,0)</f>
        <v>0</v>
      </c>
      <c r="CC312" s="697">
        <f>IF(AND(Sheet1!$L312=0,Sheet1!$L311=0, Calculation!BU312&lt;Sheet1!EF312-0.1,Sheet1!EF312=Sheet1!EF311,Sheet1!EF312=Sheet1!EF313),Sheet1!EF312,BV312-CB312)</f>
        <v>0</v>
      </c>
      <c r="CD312" s="697"/>
      <c r="CE312" s="712"/>
      <c r="CF312" s="712">
        <f t="shared" si="874"/>
        <v>97.990298960027431</v>
      </c>
      <c r="CG312" s="712"/>
      <c r="CH312" s="712">
        <f ca="1">IF(B312&gt;Summary!$A$1,#N/A,CF312*MGtoAF)</f>
        <v>300.63423720936419</v>
      </c>
      <c r="CI312" s="712">
        <f>Sheet1!BK312+Sheet1!BL312+Sheet1!BM312-Sheet1!EN312-CQ312</f>
        <v>0</v>
      </c>
      <c r="CJ312" s="712">
        <f t="shared" si="875"/>
        <v>0</v>
      </c>
      <c r="CK312" s="712">
        <f>IF(Sheet1!EN312="FM",CQ312,0)</f>
        <v>0</v>
      </c>
      <c r="CL312" s="712">
        <f t="shared" si="876"/>
        <v>0</v>
      </c>
      <c r="CM312" s="712">
        <f>IF(Sheet1!EN312="OTHER",CQ312,0)</f>
        <v>0</v>
      </c>
      <c r="CN312" s="712">
        <f t="shared" si="877"/>
        <v>0</v>
      </c>
      <c r="CO312" s="712">
        <f t="shared" si="878"/>
        <v>0</v>
      </c>
      <c r="CP312" s="712">
        <f t="shared" si="879"/>
        <v>0</v>
      </c>
      <c r="CQ312" s="712">
        <f>IF(OR(Sheet1!EN312="FM", Sheet1!EN312="OTHER"),SUM(Sheet1!BK312:'Sheet1'!BM312),0)</f>
        <v>0</v>
      </c>
      <c r="CR312" s="800">
        <v>0</v>
      </c>
      <c r="CS312" s="712">
        <f t="shared" si="880"/>
        <v>0</v>
      </c>
      <c r="CT312" s="697">
        <f t="shared" si="881"/>
        <v>0</v>
      </c>
      <c r="CU312" s="697">
        <f>IF(AND($O312&gt;0,Sheet1!EK312=1),(1-($O312-Sheet1!$L312)/$O312)*CP312,0)</f>
        <v>0</v>
      </c>
      <c r="CV312" s="697">
        <f>IF(AND(Sheet1!$L312=0,Sheet1!$L311=0, Calculation!CO312&lt;Sheet1!$EG312-0.1,Sheet1!$EG312=Sheet1!$EG311,Sheet1!$EG312=Sheet1!$EG313),Sheet1!$EG312,CP312-CU312)</f>
        <v>0</v>
      </c>
      <c r="CW312" s="697">
        <f t="shared" si="837"/>
        <v>0</v>
      </c>
      <c r="CX312" s="712">
        <f t="shared" si="882"/>
        <v>0</v>
      </c>
      <c r="CY312" s="712">
        <f t="shared" si="883"/>
        <v>181.7170468211867</v>
      </c>
      <c r="CZ312" s="712">
        <f t="shared" si="884"/>
        <v>0</v>
      </c>
      <c r="DA312" s="712">
        <f ca="1">IF(B312&gt;Summary!$A$1,#N/A,CY312*MGtoAF)</f>
        <v>557.50789964740079</v>
      </c>
      <c r="DB312" s="712">
        <f t="shared" si="885"/>
        <v>0</v>
      </c>
      <c r="DC312" s="712">
        <f t="shared" si="886"/>
        <v>19.100000000000001</v>
      </c>
      <c r="DD312" s="712">
        <f>Sheet1!AB312-DC312</f>
        <v>0.83999999999999986</v>
      </c>
      <c r="DE312" s="712">
        <f t="shared" si="887"/>
        <v>4.3979057591623023E-2</v>
      </c>
      <c r="DF312" s="712">
        <f>(VLOOKUP(Sheet1!CY312,hhdcap_wcm,4)-(((VLOOKUP(Sheet1!CY312,hhdcap_wcm,3)-Sheet1!CY312)/(VLOOKUP(Sheet1!CY312,hhdcap_wcm,3)-VLOOKUP(Sheet1!CY312,hhdcap_wcm,1)))*(VLOOKUP(Sheet1!CY312,hhdcap_wcm,4)-VLOOKUP(Sheet1!CY312,hhdcap_wcm,2))))</f>
        <v>8165.6400000152671</v>
      </c>
      <c r="DG312" s="712">
        <f t="shared" si="888"/>
        <v>-589.36000000143304</v>
      </c>
      <c r="DH312" s="712">
        <f t="shared" si="889"/>
        <v>-297.20625315251283</v>
      </c>
      <c r="DI312" s="712">
        <f>Sheet1!DW312*AFtoMG</f>
        <v>0</v>
      </c>
      <c r="DJ312" s="712">
        <f>Sheet1!DX312*AFtoMG</f>
        <v>0</v>
      </c>
      <c r="DK312" s="712">
        <f>Sheet1!DY312*AFtoMG</f>
        <v>0</v>
      </c>
      <c r="DL312" s="712">
        <f>Sheet1!DZ312*AFtoMG</f>
        <v>0</v>
      </c>
      <c r="DM312" s="712">
        <f t="shared" si="890"/>
        <v>0</v>
      </c>
      <c r="DN312" s="712">
        <f t="shared" si="891"/>
        <v>0</v>
      </c>
      <c r="DO312" s="712">
        <f t="shared" si="892"/>
        <v>441.95043131814236</v>
      </c>
      <c r="DP312" s="712">
        <f t="shared" si="893"/>
        <v>1355.9039232840607</v>
      </c>
      <c r="DQ312" s="712"/>
      <c r="DR312" s="697">
        <f>IF(OR(B312&lt;FL312,B312&gt;FM312),(MIN(AV312+BO312+CJ312+MAX(Sheet1!AA312+AG312-73,0),K312)),0)</f>
        <v>0</v>
      </c>
      <c r="DS312" s="712"/>
      <c r="DT312" s="712">
        <f t="shared" si="894"/>
        <v>0</v>
      </c>
      <c r="DU312" s="712"/>
      <c r="DV312" s="712">
        <f>Sheet1!ED312+Sheet1!EE312+Sheet1!EF312+Sheet1!EG312</f>
        <v>9.5</v>
      </c>
      <c r="DW312" s="712"/>
      <c r="DX312" s="697">
        <f t="shared" si="895"/>
        <v>0</v>
      </c>
      <c r="DY312" s="712">
        <f>IF(Sheet1!FN312=1,SUM('Calculations II'!AT312:BA312)+'Calculations II'!BC312+Sheet1!BU312+'Calculations II'!BE312+AF312,SUM('Calculations II'!AT312:BA312)+'Calculations II'!BC312+Sheet1!BU312+'Calculations II'!BE312+AF312)</f>
        <v>44.886848000000001</v>
      </c>
      <c r="DZ312" s="712">
        <f>Sheet1!AA312+Sheet1!AB312+'Calculations II'!BC312</f>
        <v>45.74</v>
      </c>
      <c r="EA312" s="712"/>
      <c r="EB312" s="712"/>
      <c r="EC312" s="712">
        <f t="shared" si="896"/>
        <v>40841</v>
      </c>
      <c r="ED312" s="712">
        <f t="shared" si="897"/>
        <v>0</v>
      </c>
      <c r="EE312" s="712">
        <f t="shared" si="898"/>
        <v>0</v>
      </c>
      <c r="EF312" s="712">
        <f ca="1">IF(B312=TODAY(),0,-(VLOOKUP(Sheet1!BQ312,Lookup!$B$4:$J$236,2)-VLOOKUP(Sheet1!BQ311,Lookup!$B$4:$J$236,2))/1000000)</f>
        <v>0.54100000000000004</v>
      </c>
      <c r="EG312" s="712">
        <f ca="1">IF(B312=TODAY(),0,-(VLOOKUP(Sheet1!BR312,Lookup!$B$4:$J$236,3)-VLOOKUP(Sheet1!BR311,Lookup!$B$4:$J$236,3))/1000000)</f>
        <v>0.54</v>
      </c>
      <c r="EH312" s="712">
        <f>-(VLOOKUP(Sheet1!BS312,Lookup!$B$4:$J$236,4)-VLOOKUP(Sheet1!BS311,Lookup!$B$4:$J$236,4))/1000000</f>
        <v>0</v>
      </c>
      <c r="EI312" s="697">
        <f t="shared" ca="1" si="819"/>
        <v>1.081</v>
      </c>
      <c r="EJ312" s="712"/>
      <c r="EK312" s="712"/>
      <c r="EL312" s="712"/>
      <c r="EM312" s="712"/>
      <c r="EN312" s="712"/>
      <c r="EO312" s="712"/>
      <c r="EP312" s="712"/>
      <c r="EQ312" s="712"/>
      <c r="ER312" s="697">
        <f t="shared" si="920"/>
        <v>-4115.0928379308825</v>
      </c>
      <c r="ES312" s="712">
        <f t="shared" si="921"/>
        <v>0</v>
      </c>
      <c r="ET312" s="794">
        <f t="shared" si="919"/>
        <v>1111.9000000000001</v>
      </c>
      <c r="EU312" s="794" t="e">
        <f t="shared" si="838"/>
        <v>#N/A</v>
      </c>
      <c r="EV312" s="795" t="e">
        <f t="shared" si="836"/>
        <v>#N/A</v>
      </c>
      <c r="EW312" s="796" t="s">
        <v>757</v>
      </c>
      <c r="EX312" s="796" t="s">
        <v>757</v>
      </c>
      <c r="EY312" s="794" t="e">
        <v>#N/A</v>
      </c>
      <c r="EZ312" s="798">
        <v>9755.8000000190477</v>
      </c>
      <c r="FA312" s="712"/>
      <c r="FB312" s="712"/>
      <c r="FC312" s="712"/>
      <c r="FD312" s="712"/>
      <c r="FE312" s="712">
        <f>O312+Sheet1!CO312</f>
        <v>45.74</v>
      </c>
      <c r="FF312" s="712">
        <f>IF(Sheet1!AA312+AG312&lt;=Calculation!N312,AG312,Calculation!N312-Sheet1!AA312)</f>
        <v>19.940000000000001</v>
      </c>
      <c r="FG312" s="712">
        <f>(Sheet1!BP312+Sheet1!BO312)/694.4</f>
        <v>2.2688652073732718</v>
      </c>
      <c r="FH312" s="712"/>
      <c r="FI312" s="712"/>
      <c r="FJ312" s="712"/>
      <c r="FK312" s="712"/>
      <c r="FL312" s="714">
        <f t="shared" si="827"/>
        <v>40753</v>
      </c>
      <c r="FM312" s="714">
        <f t="shared" si="828"/>
        <v>40851</v>
      </c>
      <c r="FN312" s="712"/>
      <c r="FO312" s="712"/>
      <c r="FP312" s="712"/>
      <c r="FQ312" s="712"/>
      <c r="FR312" s="712"/>
      <c r="FS312" s="725">
        <f t="shared" si="918"/>
        <v>40603</v>
      </c>
      <c r="FT312" s="714">
        <f t="shared" si="830"/>
        <v>40709</v>
      </c>
      <c r="FU312" s="712">
        <f t="shared" si="918"/>
        <v>6518.9048239895692</v>
      </c>
      <c r="FV312" s="714">
        <f t="shared" si="831"/>
        <v>40722</v>
      </c>
      <c r="FW312" s="712">
        <f t="shared" si="918"/>
        <v>3259.4524119947846</v>
      </c>
      <c r="FX312" s="725">
        <f t="shared" si="918"/>
        <v>40851</v>
      </c>
      <c r="FZ312" s="697">
        <f t="shared" si="824"/>
        <v>0</v>
      </c>
      <c r="GA312" s="712" t="str">
        <f t="shared" si="899"/>
        <v/>
      </c>
      <c r="GB312" s="712">
        <f t="shared" si="900"/>
        <v>0</v>
      </c>
      <c r="GC312" s="712" t="str">
        <f t="shared" si="901"/>
        <v/>
      </c>
      <c r="GD312" s="712">
        <f>IF(GA312="P",Lookup!$M$12,IF(GA312="PP",Lookup!$M$13,IF(GA312="PPP",Lookup!$M$14,IF(GA312="T",Lookup!$M$15,IF(GA312="TP",Lookup!$M$16,IF(GA312="TPP",Lookup!$M$17,IF(GA312="TPPP",Lookup!$M$18,0)))))))*FZ312</f>
        <v>0</v>
      </c>
      <c r="GE312" s="712">
        <f t="shared" si="902"/>
        <v>0</v>
      </c>
      <c r="GF312" s="712">
        <f t="shared" si="903"/>
        <v>292.01583466666614</v>
      </c>
      <c r="GG312" s="712">
        <f t="shared" si="904"/>
        <v>95.181171664493519</v>
      </c>
      <c r="GH312" s="712"/>
      <c r="GI312" s="712">
        <f t="shared" si="905"/>
        <v>0</v>
      </c>
      <c r="GJ312" s="712" t="str">
        <f t="shared" si="906"/>
        <v/>
      </c>
      <c r="GK312" s="712">
        <f>IF(GA312="P",Lookup!$N$12,IF(GA312="PP",Lookup!$N$13,IF(GA312="PPP",Lookup!$N$14,IF(GA312="T",Lookup!$N$15,IF(GA312="TP",Lookup!$N$16,IF(GA312="TPP",Lookup!$N$17,IF(GA312="TPPP",Lookup!$N$18,0)))))))*FZ312</f>
        <v>0</v>
      </c>
      <c r="GL312" s="712">
        <f t="shared" si="907"/>
        <v>0</v>
      </c>
      <c r="GM312" s="712">
        <f t="shared" si="908"/>
        <v>205.74595176062971</v>
      </c>
      <c r="GN312" s="712">
        <f t="shared" si="909"/>
        <v>67.061913872434715</v>
      </c>
      <c r="GO312" s="712"/>
      <c r="GP312" s="712">
        <f t="shared" si="910"/>
        <v>0</v>
      </c>
      <c r="GQ312" s="712" t="str">
        <f t="shared" si="911"/>
        <v/>
      </c>
      <c r="GR312" s="712">
        <f>IF(GA312="P",Lookup!$N$12,IF(GA312="PP",Lookup!$N$13,IF(GA312="PPP",Lookup!$N$14,IF(GA312="T",Lookup!$N$15,IF(GA312="TP",Lookup!$N$16,IF(GA312="TPP",Lookup!$N$17,IF(GA312="TPPP",Lookup!$N$18,0)))))))*FZ312</f>
        <v>0</v>
      </c>
      <c r="GS312" s="697">
        <f t="shared" si="825"/>
        <v>0</v>
      </c>
      <c r="GT312" s="712">
        <f t="shared" si="912"/>
        <v>300.63423720936419</v>
      </c>
      <c r="GU312" s="712">
        <f t="shared" si="913"/>
        <v>97.990298960027431</v>
      </c>
      <c r="GV312" s="712"/>
      <c r="GW312" s="712">
        <f t="shared" si="914"/>
        <v>0</v>
      </c>
      <c r="GX312" s="712" t="str">
        <f t="shared" si="915"/>
        <v/>
      </c>
      <c r="GY312" s="712">
        <f>IF(GA312="P",Lookup!$N$12,IF(GA312="PP",Lookup!$N$13,IF(GA312="PPP",Lookup!$N$14,IF(GA312="T",Lookup!$N$15,IF(GA312="TP",Lookup!$N$16,IF(GA312="TPP",Lookup!$N$17,IF(GA312="TPPP",Lookup!$N$18,0)))))))*FZ312</f>
        <v>0</v>
      </c>
      <c r="GZ312" s="697">
        <f t="shared" si="826"/>
        <v>0</v>
      </c>
      <c r="HA312" s="712">
        <f t="shared" si="916"/>
        <v>557.50789964740079</v>
      </c>
      <c r="HB312" s="712">
        <f t="shared" si="917"/>
        <v>181.7170468211867</v>
      </c>
      <c r="HC312" s="712"/>
    </row>
    <row r="313" spans="1:211">
      <c r="A313" s="773" t="s">
        <v>6</v>
      </c>
      <c r="B313" s="708">
        <v>40842</v>
      </c>
      <c r="C313" s="719">
        <v>0.5</v>
      </c>
      <c r="D313" s="675">
        <f t="shared" si="840"/>
        <v>300</v>
      </c>
      <c r="E313" s="675">
        <f t="shared" si="841"/>
        <v>250</v>
      </c>
      <c r="F313" s="675">
        <v>250</v>
      </c>
      <c r="G313" s="712">
        <f>DH313+Sheet1!CV313</f>
        <v>544.56082955042643</v>
      </c>
      <c r="H313" s="712">
        <f t="shared" si="842"/>
        <v>85.040920221395638</v>
      </c>
      <c r="I313" s="711">
        <f>MAX(Sheet1!Z313-AJ313+(Sheet1!CW313-E313)*CFStoMGD,0)</f>
        <v>581.69057190691785</v>
      </c>
      <c r="J313" s="720">
        <f>IF(AND(B313&gt;=Calculation!FS313,B313&lt;=Calculation!FT313),IF(Sheet1!CX313&gt;=Calculation!D313,64.64,0),MAX(Sheet1!Z313-AJ313+(Sheet1!CX313-D313)*CFStoMGD,0))</f>
        <v>391.06990524025116</v>
      </c>
      <c r="K313" s="697">
        <f t="shared" si="843"/>
        <v>64.64</v>
      </c>
      <c r="L313" s="712">
        <f>Sheet1!AA313+Sheet1!AB313-Sheet1!L313+(Sheet1!CW313-F313)*CFStoMGD</f>
        <v>612.06533333332879</v>
      </c>
      <c r="M313" s="712">
        <f t="shared" si="844"/>
        <v>359.04420262582357</v>
      </c>
      <c r="N313" s="712">
        <f>IF(Sheet1!CW313&gt;=F313,MIN(73,MIN(MAX(L313,0),MAX(M313,0))),0)</f>
        <v>73</v>
      </c>
      <c r="O313" s="721">
        <f>Sheet1!AA313+Sheet1!AB313</f>
        <v>46.299999999995634</v>
      </c>
      <c r="P313" s="721">
        <f t="shared" si="845"/>
        <v>71.626099999993244</v>
      </c>
      <c r="Q313" s="712">
        <f>MIN(N313,Sheet1!AA313+AG313)</f>
        <v>44.264761426414907</v>
      </c>
      <c r="R313" s="712">
        <f t="shared" si="846"/>
        <v>9.5</v>
      </c>
      <c r="S313" s="721">
        <f>Sheet1!Y313*MGDtoCFS</f>
        <v>40.546869999999998</v>
      </c>
      <c r="T313" s="721">
        <f>Sheet1!Z313*MGDtoCFS</f>
        <v>31.264869999999998</v>
      </c>
      <c r="U313" s="721">
        <f>Sheet1!AA313*MGDtoCFS</f>
        <v>40.438579999999099</v>
      </c>
      <c r="V313" s="721">
        <f>Sheet1!AB313*MGDtoCFS</f>
        <v>31.187519999994144</v>
      </c>
      <c r="W313" s="721">
        <f>Sheet1!L313*MGDtoCFS</f>
        <v>21.410480000000224</v>
      </c>
      <c r="X313" s="697">
        <f t="shared" si="847"/>
        <v>6.5</v>
      </c>
      <c r="Y313" s="712">
        <f t="shared" si="848"/>
        <v>10.0555</v>
      </c>
      <c r="Z313" s="712">
        <f t="shared" si="849"/>
        <v>0</v>
      </c>
      <c r="AA313" s="712">
        <f t="shared" si="850"/>
        <v>0</v>
      </c>
      <c r="AB313" s="712">
        <f>(VLOOKUP(Sheet1!CY313,hhdcap_wcm,4)-(((VLOOKUP(Sheet1!CY313,hhdcap_wcm,3)-Sheet1!CY313)/(VLOOKUP(Sheet1!CY313,hhdcap_wcm,3)-VLOOKUP(Sheet1!CY313,hhdcap_wcm,1)))*(VLOOKUP(Sheet1!CY313,hhdcap_wcm,4)-VLOOKUP(Sheet1!CY313,hhdcap_wcm,2))))</f>
        <v>7413.4600000137625</v>
      </c>
      <c r="AC313" s="712">
        <f t="shared" si="851"/>
        <v>-752.1800000015046</v>
      </c>
      <c r="AD313" s="712">
        <f t="shared" si="852"/>
        <v>435.45043131814236</v>
      </c>
      <c r="AE313" s="712">
        <f t="shared" si="853"/>
        <v>1335.9619232840607</v>
      </c>
      <c r="AF313" s="712">
        <f>Sheet1!BA313+Sheet1!BB313+Sheet1!BN313+BT313</f>
        <v>17.899999999999999</v>
      </c>
      <c r="AG313" s="712">
        <f t="shared" si="854"/>
        <v>18.124761426415485</v>
      </c>
      <c r="AH313" s="712">
        <f>Sheet1!BA313+BT313</f>
        <v>0</v>
      </c>
      <c r="AI313" s="712">
        <f>Sheet1!BA313+Sheet1!BB313+BT313</f>
        <v>0</v>
      </c>
      <c r="AJ313" s="712">
        <f>IF((Sheet1!AA313+AG313+AX313+AZ313+BQ313+BS313+CL313+CN313)&lt;=N313,AG313+AX313+AZ313+BQ313+BS313+CL313+CN313,N313-Sheet1!AA313)</f>
        <v>18.124761426415485</v>
      </c>
      <c r="AK313" s="712">
        <f>IF(DR313&lt;K313,0,MAX(Sheet1!AA313+AG313-15/36*K313-N313,Sheet1!ED313,0))</f>
        <v>0</v>
      </c>
      <c r="AL313" s="712">
        <f>IF(OR(B313&gt;=FT313,B313&lt;FS313),0,15/36*K313-MAX(0,64.6-(137.6-(Sheet1!AA313+Sheet1!AB313))))</f>
        <v>0</v>
      </c>
      <c r="AM313" s="712">
        <f>Sheet1!CX313-110</f>
        <v>791.77083333333337</v>
      </c>
      <c r="AN313" s="712">
        <f>Sheet1!CW313-265</f>
        <v>881.66666666666674</v>
      </c>
      <c r="AO313" s="712">
        <f t="shared" si="835"/>
        <v>28.735238573585093</v>
      </c>
      <c r="AP313" s="712">
        <f t="shared" si="855"/>
        <v>0</v>
      </c>
      <c r="AQ313" s="712">
        <f t="shared" si="856"/>
        <v>0</v>
      </c>
      <c r="AR313" s="712">
        <f t="shared" si="857"/>
        <v>95.181171664493519</v>
      </c>
      <c r="AS313" s="712"/>
      <c r="AT313" s="712">
        <f ca="1">IF(B313&gt;Summary!$A$1,#N/A,AR313*MGtoAF)</f>
        <v>292.01583466666614</v>
      </c>
      <c r="AU313" s="712">
        <f>Sheet1!BG313+Sheet1!BH313+Sheet1!BI313-BC313</f>
        <v>0</v>
      </c>
      <c r="AV313" s="712">
        <f t="shared" si="858"/>
        <v>0</v>
      </c>
      <c r="AW313" s="712">
        <f>IF(Sheet1!EL313="FM",BC313,0)</f>
        <v>0</v>
      </c>
      <c r="AX313" s="712">
        <f t="shared" si="859"/>
        <v>0</v>
      </c>
      <c r="AY313" s="712">
        <f>IF(Sheet1!EL313="OTHER",BC313,0)</f>
        <v>0</v>
      </c>
      <c r="AZ313" s="712">
        <f t="shared" si="860"/>
        <v>0</v>
      </c>
      <c r="BA313" s="712">
        <f t="shared" si="861"/>
        <v>0</v>
      </c>
      <c r="BB313" s="712">
        <f t="shared" si="862"/>
        <v>0</v>
      </c>
      <c r="BC313" s="712">
        <f>IF(OR(Sheet1!EL313="FM", Sheet1!EL313="OTHER"),SUM(Sheet1!BG313:'Sheet1'!BI313),0)</f>
        <v>0</v>
      </c>
      <c r="BD313" s="800">
        <v>0</v>
      </c>
      <c r="BE313" s="712">
        <f t="shared" si="863"/>
        <v>0</v>
      </c>
      <c r="BF313" s="697">
        <f t="shared" si="864"/>
        <v>0</v>
      </c>
      <c r="BG313" s="697">
        <f>IF(AND($O313&gt;0,Sheet1!EI313=1),(1-($O313-Sheet1!$L313)/$O313)*BB313,0)</f>
        <v>0</v>
      </c>
      <c r="BH313" s="697">
        <f>IF(AND(Sheet1!$L313=0,Sheet1!$L312=0, Calculation!BA313&lt;Sheet1!$EE313-0.1,Sheet1!$EE313=Sheet1!$EE312,Sheet1!$EE313=Sheet1!$EE314),Sheet1!$EE313,BB313-BG313)</f>
        <v>0</v>
      </c>
      <c r="BI313" s="712"/>
      <c r="BJ313" s="712"/>
      <c r="BK313" s="712">
        <f t="shared" si="865"/>
        <v>67.061913872434715</v>
      </c>
      <c r="BL313" s="712"/>
      <c r="BM313" s="712">
        <f ca="1">IF(B313&gt;Summary!$A$1,#N/A,BK313*MGtoAF)</f>
        <v>205.74595176062971</v>
      </c>
      <c r="BN313" s="712">
        <f>Sheet1!BC313+Sheet1!BD313+Sheet1!BE313+Sheet1!BF313-BW313-BX313</f>
        <v>0</v>
      </c>
      <c r="BO313" s="712">
        <f t="shared" si="866"/>
        <v>0</v>
      </c>
      <c r="BP313" s="712">
        <f>IF(Sheet1!EM313="FM",BX313,0)</f>
        <v>0</v>
      </c>
      <c r="BQ313" s="712">
        <f t="shared" si="867"/>
        <v>0</v>
      </c>
      <c r="BR313" s="712">
        <f>IF(Sheet1!EM313="OTHER",BX313,0)</f>
        <v>0</v>
      </c>
      <c r="BS313" s="712">
        <f t="shared" si="868"/>
        <v>0</v>
      </c>
      <c r="BT313" s="712">
        <f t="shared" si="869"/>
        <v>0</v>
      </c>
      <c r="BU313" s="712">
        <f t="shared" si="870"/>
        <v>0</v>
      </c>
      <c r="BV313" s="712">
        <f t="shared" si="871"/>
        <v>0</v>
      </c>
      <c r="BW313" s="712">
        <f>IF(Sheet1!EM313="CWA",SUM(Sheet1!BC313:'Sheet1'!BF313),0)</f>
        <v>0</v>
      </c>
      <c r="BX313" s="712">
        <f>IF(OR(Sheet1!EM313="FM", Sheet1!EM313="OTHER"),SUM(Sheet1!BC313:'Sheet1'!BF313),0)</f>
        <v>0</v>
      </c>
      <c r="BY313" s="800">
        <v>0</v>
      </c>
      <c r="BZ313" s="712">
        <f t="shared" si="872"/>
        <v>0</v>
      </c>
      <c r="CA313" s="697">
        <f t="shared" si="873"/>
        <v>0</v>
      </c>
      <c r="CB313" s="697">
        <f>IF(AND($O313&gt;0,Sheet1!EJ313=1),(1-($O313-Sheet1!$L313)/$O313)*BV313,0)</f>
        <v>0</v>
      </c>
      <c r="CC313" s="697">
        <f>IF(AND(Sheet1!$L313=0,Sheet1!$L312=0, Calculation!BU313&lt;Sheet1!EF313-0.1,Sheet1!EF313=Sheet1!EF312,Sheet1!EF313=Sheet1!EF314),Sheet1!EF313,BV313-CB313)</f>
        <v>0</v>
      </c>
      <c r="CD313" s="697"/>
      <c r="CE313" s="712"/>
      <c r="CF313" s="712">
        <f t="shared" si="874"/>
        <v>97.990298960027431</v>
      </c>
      <c r="CG313" s="712"/>
      <c r="CH313" s="712">
        <f ca="1">IF(B313&gt;Summary!$A$1,#N/A,CF313*MGtoAF)</f>
        <v>300.63423720936419</v>
      </c>
      <c r="CI313" s="712">
        <f>Sheet1!BK313+Sheet1!BL313+Sheet1!BM313-Sheet1!EN313-CQ313</f>
        <v>2.0099999999999998</v>
      </c>
      <c r="CJ313" s="712">
        <f t="shared" si="875"/>
        <v>2.0352385735807332</v>
      </c>
      <c r="CK313" s="712">
        <f>IF(Sheet1!EN313="FM",CQ313,0)</f>
        <v>0</v>
      </c>
      <c r="CL313" s="712">
        <f t="shared" si="876"/>
        <v>0</v>
      </c>
      <c r="CM313" s="712">
        <f>IF(Sheet1!EN313="OTHER",CQ313,0)</f>
        <v>0</v>
      </c>
      <c r="CN313" s="712">
        <f t="shared" si="877"/>
        <v>0</v>
      </c>
      <c r="CO313" s="712">
        <f t="shared" si="878"/>
        <v>2.0099999999999998</v>
      </c>
      <c r="CP313" s="712">
        <f t="shared" si="879"/>
        <v>2.0352385735807332</v>
      </c>
      <c r="CQ313" s="712">
        <f>IF(OR(Sheet1!EN313="FM", Sheet1!EN313="OTHER"),SUM(Sheet1!BK313:'Sheet1'!BM313),0)</f>
        <v>0</v>
      </c>
      <c r="CR313" s="697">
        <f>IF(AND($B313&gt;=$FL313,$B313&lt;=$FM313),MAX($CJ313,Sheet1!EG313,0),MAX($CJ313-(7/36)*$K313,0))</f>
        <v>6.5</v>
      </c>
      <c r="CS313" s="712">
        <f t="shared" si="880"/>
        <v>0</v>
      </c>
      <c r="CT313" s="697">
        <f t="shared" si="881"/>
        <v>0</v>
      </c>
      <c r="CU313" s="697">
        <f>IF(AND($O313&gt;0,Sheet1!EK313=1),(1-($O313-Sheet1!$L313)/$O313)*CP313,0)</f>
        <v>0</v>
      </c>
      <c r="CV313" s="697">
        <f>IF(AND(Sheet1!$L313=0,Sheet1!$L312=0, Calculation!CO313&lt;Sheet1!$EG313-0.1,Sheet1!$EG313=Sheet1!$EG312,Sheet1!$EG313=Sheet1!$EG314),Sheet1!$EG313,CP313-CU313)</f>
        <v>2.0352385735807332</v>
      </c>
      <c r="CW313" s="697">
        <f t="shared" si="837"/>
        <v>0</v>
      </c>
      <c r="CX313" s="712">
        <f t="shared" si="882"/>
        <v>2.0099999999999998</v>
      </c>
      <c r="CY313" s="712">
        <f t="shared" si="883"/>
        <v>175.2170468211867</v>
      </c>
      <c r="CZ313" s="712">
        <f t="shared" si="884"/>
        <v>2.0352385735807332</v>
      </c>
      <c r="DA313" s="712">
        <f ca="1">IF(B313&gt;Summary!$A$1,#N/A,CY313*MGtoAF)</f>
        <v>537.56589964740078</v>
      </c>
      <c r="DB313" s="712">
        <f t="shared" si="885"/>
        <v>2.0099999999999998</v>
      </c>
      <c r="DC313" s="712">
        <f t="shared" si="886"/>
        <v>19.909999999999997</v>
      </c>
      <c r="DD313" s="712">
        <f>Sheet1!AB313-DC313</f>
        <v>0.24999999999621991</v>
      </c>
      <c r="DE313" s="712">
        <f t="shared" si="887"/>
        <v>1.2556504269021595E-2</v>
      </c>
      <c r="DF313" s="712">
        <f>(VLOOKUP(Sheet1!CY313,hhdcap_wcm,4)-(((VLOOKUP(Sheet1!CY313,hhdcap_wcm,3)-Sheet1!CY313)/(VLOOKUP(Sheet1!CY313,hhdcap_wcm,3)-VLOOKUP(Sheet1!CY313,hhdcap_wcm,1)))*(VLOOKUP(Sheet1!CY313,hhdcap_wcm,4)-VLOOKUP(Sheet1!CY313,hhdcap_wcm,2))))</f>
        <v>7413.4600000137625</v>
      </c>
      <c r="DG313" s="712">
        <f t="shared" si="888"/>
        <v>-752.1800000015046</v>
      </c>
      <c r="DH313" s="712">
        <f t="shared" si="889"/>
        <v>-379.31417044957362</v>
      </c>
      <c r="DI313" s="712">
        <f>Sheet1!DW313*AFtoMG</f>
        <v>0</v>
      </c>
      <c r="DJ313" s="712">
        <f>Sheet1!DX313*AFtoMG</f>
        <v>0</v>
      </c>
      <c r="DK313" s="712">
        <f>Sheet1!DY313*AFtoMG</f>
        <v>0</v>
      </c>
      <c r="DL313" s="712">
        <f>Sheet1!DZ313*AFtoMG</f>
        <v>0</v>
      </c>
      <c r="DM313" s="712">
        <f t="shared" si="890"/>
        <v>0</v>
      </c>
      <c r="DN313" s="712">
        <f t="shared" si="891"/>
        <v>0</v>
      </c>
      <c r="DO313" s="712">
        <f t="shared" si="892"/>
        <v>435.45043131814236</v>
      </c>
      <c r="DP313" s="712">
        <f t="shared" si="893"/>
        <v>1335.9619232840607</v>
      </c>
      <c r="DQ313" s="712"/>
      <c r="DR313" s="697">
        <f>IF(OR(B313&lt;FL313,B313&gt;FM313),(MIN(AV313+BO313+CJ313+MAX(Sheet1!AA313+AG313-73,0),K313)),0)</f>
        <v>0</v>
      </c>
      <c r="DS313" s="712"/>
      <c r="DT313" s="712">
        <f t="shared" si="894"/>
        <v>2.0352385735807332</v>
      </c>
      <c r="DU313" s="712"/>
      <c r="DV313" s="712">
        <f>Sheet1!ED313+Sheet1!EE313+Sheet1!EF313+Sheet1!EG313</f>
        <v>9.5</v>
      </c>
      <c r="DW313" s="712"/>
      <c r="DX313" s="697">
        <f t="shared" si="895"/>
        <v>0</v>
      </c>
      <c r="DY313" s="712">
        <f>IF(Sheet1!FN313=1,SUM('Calculations II'!AT313:BA313)+'Calculations II'!BC313+Sheet1!BU313+'Calculations II'!BE313+AF313,SUM('Calculations II'!AT313:BA313)+'Calculations II'!BC313+Sheet1!BU313+'Calculations II'!BE313+AF313)</f>
        <v>43.670223999999997</v>
      </c>
      <c r="DZ313" s="712">
        <f>Sheet1!AA313+Sheet1!AB313+'Calculations II'!BC313</f>
        <v>46.299999999995634</v>
      </c>
      <c r="EA313" s="712"/>
      <c r="EB313" s="712"/>
      <c r="EC313" s="712">
        <f t="shared" si="896"/>
        <v>40842</v>
      </c>
      <c r="ED313" s="712">
        <f t="shared" si="897"/>
        <v>-6.5</v>
      </c>
      <c r="EE313" s="712">
        <f t="shared" si="898"/>
        <v>-10.0555</v>
      </c>
      <c r="EF313" s="712">
        <f ca="1">IF(B313=TODAY(),0,-(VLOOKUP(Sheet1!BQ313,Lookup!$B$4:$J$236,2)-VLOOKUP(Sheet1!BQ312,Lookup!$B$4:$J$236,2))/1000000)</f>
        <v>1.0820000000000001</v>
      </c>
      <c r="EG313" s="712">
        <f ca="1">IF(B313=TODAY(),0,-(VLOOKUP(Sheet1!BR313,Lookup!$B$4:$J$236,3)-VLOOKUP(Sheet1!BR312,Lookup!$B$4:$J$236,3))/1000000)</f>
        <v>1.08</v>
      </c>
      <c r="EH313" s="712">
        <f>-(VLOOKUP(Sheet1!BS313,Lookup!$B$4:$J$236,4)-VLOOKUP(Sheet1!BS312,Lookup!$B$4:$J$236,4))/1000000</f>
        <v>0</v>
      </c>
      <c r="EI313" s="697">
        <f t="shared" ca="1" si="819"/>
        <v>2.1619999999999999</v>
      </c>
      <c r="EJ313" s="712"/>
      <c r="EK313" s="712"/>
      <c r="EL313" s="712"/>
      <c r="EM313" s="712"/>
      <c r="EN313" s="712"/>
      <c r="EO313" s="712"/>
      <c r="EP313" s="712"/>
      <c r="EQ313" s="712"/>
      <c r="ER313" s="697">
        <f t="shared" si="920"/>
        <v>-4115.0928379308825</v>
      </c>
      <c r="ES313" s="712">
        <f t="shared" si="921"/>
        <v>0</v>
      </c>
      <c r="ET313" s="794">
        <f t="shared" si="919"/>
        <v>1111.4000000000001</v>
      </c>
      <c r="EU313" s="794" t="e">
        <f t="shared" si="838"/>
        <v>#N/A</v>
      </c>
      <c r="EV313" s="795" t="e">
        <f t="shared" si="836"/>
        <v>#N/A</v>
      </c>
      <c r="EW313" s="796" t="s">
        <v>757</v>
      </c>
      <c r="EX313" s="796" t="s">
        <v>757</v>
      </c>
      <c r="EY313" s="794" t="e">
        <v>#N/A</v>
      </c>
      <c r="EZ313" s="798">
        <v>9546.2000000183816</v>
      </c>
      <c r="FA313" s="712"/>
      <c r="FB313" s="712"/>
      <c r="FC313" s="712"/>
      <c r="FD313" s="712"/>
      <c r="FE313" s="712">
        <f>O313+Sheet1!CO313</f>
        <v>46.299999999995634</v>
      </c>
      <c r="FF313" s="712">
        <f>IF(Sheet1!AA313+AG313&lt;=Calculation!N313,AG313,Calculation!N313-Sheet1!AA313)</f>
        <v>18.124761426415485</v>
      </c>
      <c r="FG313" s="712">
        <f>(Sheet1!BP313+Sheet1!BO313)/694.4</f>
        <v>1.1059907834101383</v>
      </c>
      <c r="FH313" s="712"/>
      <c r="FI313" s="712"/>
      <c r="FJ313" s="712"/>
      <c r="FK313" s="712"/>
      <c r="FL313" s="714">
        <f t="shared" si="827"/>
        <v>40753</v>
      </c>
      <c r="FM313" s="714">
        <f t="shared" si="828"/>
        <v>40851</v>
      </c>
      <c r="FN313" s="712"/>
      <c r="FO313" s="712"/>
      <c r="FP313" s="712"/>
      <c r="FQ313" s="712"/>
      <c r="FR313" s="712"/>
      <c r="FS313" s="725">
        <f t="shared" si="918"/>
        <v>40603</v>
      </c>
      <c r="FT313" s="714">
        <f t="shared" si="830"/>
        <v>40709</v>
      </c>
      <c r="FU313" s="712">
        <f t="shared" si="918"/>
        <v>6518.9048239895692</v>
      </c>
      <c r="FV313" s="714">
        <f t="shared" si="831"/>
        <v>40722</v>
      </c>
      <c r="FW313" s="712">
        <f t="shared" si="918"/>
        <v>3259.4524119947846</v>
      </c>
      <c r="FX313" s="725">
        <f t="shared" si="918"/>
        <v>40851</v>
      </c>
      <c r="FZ313" s="697">
        <f t="shared" si="824"/>
        <v>0</v>
      </c>
      <c r="GA313" s="712" t="str">
        <f t="shared" si="899"/>
        <v/>
      </c>
      <c r="GB313" s="712">
        <f t="shared" si="900"/>
        <v>0</v>
      </c>
      <c r="GC313" s="712" t="str">
        <f t="shared" si="901"/>
        <v/>
      </c>
      <c r="GD313" s="712">
        <f>IF(GA313="P",Lookup!$M$12,IF(GA313="PP",Lookup!$M$13,IF(GA313="PPP",Lookup!$M$14,IF(GA313="T",Lookup!$M$15,IF(GA313="TP",Lookup!$M$16,IF(GA313="TPP",Lookup!$M$17,IF(GA313="TPPP",Lookup!$M$18,0)))))))*FZ313</f>
        <v>0</v>
      </c>
      <c r="GE313" s="712">
        <f t="shared" si="902"/>
        <v>0</v>
      </c>
      <c r="GF313" s="712">
        <f t="shared" si="903"/>
        <v>292.01583466666614</v>
      </c>
      <c r="GG313" s="712">
        <f t="shared" si="904"/>
        <v>95.181171664493519</v>
      </c>
      <c r="GH313" s="712"/>
      <c r="GI313" s="712">
        <f t="shared" si="905"/>
        <v>0</v>
      </c>
      <c r="GJ313" s="712" t="str">
        <f t="shared" si="906"/>
        <v/>
      </c>
      <c r="GK313" s="712">
        <f>IF(GA313="P",Lookup!$N$12,IF(GA313="PP",Lookup!$N$13,IF(GA313="PPP",Lookup!$N$14,IF(GA313="T",Lookup!$N$15,IF(GA313="TP",Lookup!$N$16,IF(GA313="TPP",Lookup!$N$17,IF(GA313="TPPP",Lookup!$N$18,0)))))))*FZ313</f>
        <v>0</v>
      </c>
      <c r="GL313" s="712">
        <f t="shared" si="907"/>
        <v>0</v>
      </c>
      <c r="GM313" s="712">
        <f t="shared" si="908"/>
        <v>205.74595176062971</v>
      </c>
      <c r="GN313" s="712">
        <f t="shared" si="909"/>
        <v>67.061913872434715</v>
      </c>
      <c r="GO313" s="712"/>
      <c r="GP313" s="712">
        <f t="shared" si="910"/>
        <v>0</v>
      </c>
      <c r="GQ313" s="712" t="str">
        <f t="shared" si="911"/>
        <v/>
      </c>
      <c r="GR313" s="712">
        <f>IF(GA313="P",Lookup!$N$12,IF(GA313="PP",Lookup!$N$13,IF(GA313="PPP",Lookup!$N$14,IF(GA313="T",Lookup!$N$15,IF(GA313="TP",Lookup!$N$16,IF(GA313="TPP",Lookup!$N$17,IF(GA313="TPPP",Lookup!$N$18,0)))))))*FZ313</f>
        <v>0</v>
      </c>
      <c r="GS313" s="697">
        <f t="shared" si="825"/>
        <v>0</v>
      </c>
      <c r="GT313" s="712">
        <f t="shared" si="912"/>
        <v>300.63423720936419</v>
      </c>
      <c r="GU313" s="712">
        <f t="shared" si="913"/>
        <v>97.990298960027431</v>
      </c>
      <c r="GV313" s="712"/>
      <c r="GW313" s="712">
        <f t="shared" si="914"/>
        <v>0</v>
      </c>
      <c r="GX313" s="712" t="str">
        <f t="shared" si="915"/>
        <v/>
      </c>
      <c r="GY313" s="712">
        <f>IF(GA313="P",Lookup!$N$12,IF(GA313="PP",Lookup!$N$13,IF(GA313="PPP",Lookup!$N$14,IF(GA313="T",Lookup!$N$15,IF(GA313="TP",Lookup!$N$16,IF(GA313="TPP",Lookup!$N$17,IF(GA313="TPPP",Lookup!$N$18,0)))))))*FZ313</f>
        <v>0</v>
      </c>
      <c r="GZ313" s="697">
        <f t="shared" si="826"/>
        <v>0</v>
      </c>
      <c r="HA313" s="712">
        <f t="shared" si="916"/>
        <v>537.56589964740078</v>
      </c>
      <c r="HB313" s="712">
        <f t="shared" si="917"/>
        <v>175.2170468211867</v>
      </c>
      <c r="HC313" s="712"/>
    </row>
    <row r="314" spans="1:211">
      <c r="A314" s="773" t="s">
        <v>7</v>
      </c>
      <c r="B314" s="708">
        <v>40843</v>
      </c>
      <c r="C314" s="709">
        <v>0.5</v>
      </c>
      <c r="D314" s="675">
        <f t="shared" si="840"/>
        <v>300</v>
      </c>
      <c r="E314" s="675">
        <f t="shared" si="841"/>
        <v>250</v>
      </c>
      <c r="F314" s="675">
        <v>250</v>
      </c>
      <c r="G314" s="712">
        <f>DH314+Sheet1!CV314</f>
        <v>501.99249873835231</v>
      </c>
      <c r="H314" s="712">
        <f t="shared" si="842"/>
        <v>57.524751184470929</v>
      </c>
      <c r="I314" s="711">
        <f>MAX(Sheet1!Z314-AJ314+(Sheet1!CW314-E314)*CFStoMGD,0)</f>
        <v>532.71146224225038</v>
      </c>
      <c r="J314" s="720">
        <f>IF(AND(B314&gt;=Calculation!FS314,B314&lt;=Calculation!FT314),IF(Sheet1!CX314&gt;=Calculation!D314,64.64,0),MAX(Sheet1!Z314-AJ314+(Sheet1!CX314-D314)*CFStoMGD,0))</f>
        <v>355.50359557558374</v>
      </c>
      <c r="K314" s="697">
        <f t="shared" si="843"/>
        <v>57.524751184470929</v>
      </c>
      <c r="L314" s="712">
        <f>Sheet1!AA314+Sheet1!AB314-Sheet1!L314+(Sheet1!CW314-F314)*CFStoMGD</f>
        <v>583.33266666665554</v>
      </c>
      <c r="M314" s="712">
        <f t="shared" si="844"/>
        <v>330.97771020816037</v>
      </c>
      <c r="N314" s="712">
        <f>IF(Sheet1!CW314&gt;=F314,MIN(73,MIN(MAX(L314,0),MAX(M314,0))),0)</f>
        <v>73</v>
      </c>
      <c r="O314" s="721">
        <f>Sheet1!AA314+Sheet1!AB314</f>
        <v>54.159999999988941</v>
      </c>
      <c r="P314" s="721">
        <f t="shared" si="845"/>
        <v>83.785519999982881</v>
      </c>
      <c r="Q314" s="712">
        <f>MIN(N314,Sheet1!AA314+AG314)</f>
        <v>46.321204424405167</v>
      </c>
      <c r="R314" s="712">
        <f t="shared" si="846"/>
        <v>9.5</v>
      </c>
      <c r="S314" s="721">
        <f>Sheet1!Y314*MGDtoCFS</f>
        <v>46.564700000000002</v>
      </c>
      <c r="T314" s="721">
        <f>Sheet1!Z314*MGDtoCFS</f>
        <v>31.249399999999998</v>
      </c>
      <c r="U314" s="721">
        <f>Sheet1!AA314*MGDtoCFS</f>
        <v>45.88401999998289</v>
      </c>
      <c r="V314" s="721">
        <f>Sheet1!AB314*MGDtoCFS</f>
        <v>37.901499999999999</v>
      </c>
      <c r="W314" s="721">
        <f>Sheet1!L314*MGDtoCFS</f>
        <v>0</v>
      </c>
      <c r="X314" s="697">
        <f t="shared" si="847"/>
        <v>8.5741499385497733</v>
      </c>
      <c r="Y314" s="712">
        <f t="shared" si="848"/>
        <v>13.264209954936499</v>
      </c>
      <c r="Z314" s="712">
        <f t="shared" si="849"/>
        <v>0</v>
      </c>
      <c r="AA314" s="712">
        <f t="shared" si="850"/>
        <v>0</v>
      </c>
      <c r="AB314" s="712">
        <f>(VLOOKUP(Sheet1!CY314,hhdcap_wcm,4)-(((VLOOKUP(Sheet1!CY314,hhdcap_wcm,3)-Sheet1!CY314)/(VLOOKUP(Sheet1!CY314,hhdcap_wcm,3)-VLOOKUP(Sheet1!CY314,hhdcap_wcm,1)))*(VLOOKUP(Sheet1!CY314,hhdcap_wcm,4)-VLOOKUP(Sheet1!CY314,hhdcap_wcm,2))))</f>
        <v>6611.9000000119149</v>
      </c>
      <c r="AC314" s="712">
        <f t="shared" si="851"/>
        <v>-801.56000000184758</v>
      </c>
      <c r="AD314" s="712">
        <f t="shared" si="852"/>
        <v>426.87628137959257</v>
      </c>
      <c r="AE314" s="712">
        <f t="shared" si="853"/>
        <v>1309.65643127259</v>
      </c>
      <c r="AF314" s="712">
        <f>Sheet1!BA314+Sheet1!BB314+Sheet1!BN314+BT314</f>
        <v>16.600000000000001</v>
      </c>
      <c r="AG314" s="712">
        <f t="shared" si="854"/>
        <v>16.661204424416223</v>
      </c>
      <c r="AH314" s="712">
        <f>Sheet1!BA314+BT314</f>
        <v>0</v>
      </c>
      <c r="AI314" s="712">
        <f>Sheet1!BA314+Sheet1!BB314+BT314</f>
        <v>0</v>
      </c>
      <c r="AJ314" s="712">
        <f>IF((Sheet1!AA314+AG314+AX314+AZ314+BQ314+BS314+CL314+CN314)&lt;=N314,AG314+AX314+AZ314+BQ314+BS314+CL314+CN314,N314-Sheet1!AA314)</f>
        <v>16.661204424416223</v>
      </c>
      <c r="AK314" s="712">
        <f>IF(DR314&lt;K314,0,MAX(Sheet1!AA314+AG314-15/36*K314-N314,Sheet1!ED314,0))</f>
        <v>0</v>
      </c>
      <c r="AL314" s="712">
        <f>IF(OR(B314&gt;=FT314,B314&lt;FS314),0,15/36*K314-MAX(0,64.6-(137.6-(Sheet1!AA314+Sheet1!AB314))))</f>
        <v>0</v>
      </c>
      <c r="AM314" s="712">
        <f>Sheet1!CX314-110</f>
        <v>734.5</v>
      </c>
      <c r="AN314" s="712">
        <f>Sheet1!CW314-265</f>
        <v>803.64583333333326</v>
      </c>
      <c r="AO314" s="712">
        <f t="shared" si="835"/>
        <v>26.678795575594833</v>
      </c>
      <c r="AP314" s="712">
        <f t="shared" si="855"/>
        <v>0</v>
      </c>
      <c r="AQ314" s="712">
        <f t="shared" si="856"/>
        <v>0</v>
      </c>
      <c r="AR314" s="712">
        <f t="shared" si="857"/>
        <v>95.181171664493519</v>
      </c>
      <c r="AS314" s="712"/>
      <c r="AT314" s="712">
        <f ca="1">IF(B314&gt;Summary!$A$1,#N/A,AR314*MGtoAF)</f>
        <v>292.01583466666614</v>
      </c>
      <c r="AU314" s="712">
        <f>Sheet1!BG314+Sheet1!BH314+Sheet1!BI314-BC314</f>
        <v>0</v>
      </c>
      <c r="AV314" s="712">
        <f t="shared" si="858"/>
        <v>0</v>
      </c>
      <c r="AW314" s="712">
        <f>IF(Sheet1!EL314="FM",BC314,0)</f>
        <v>0</v>
      </c>
      <c r="AX314" s="712">
        <f t="shared" si="859"/>
        <v>0</v>
      </c>
      <c r="AY314" s="712">
        <f>IF(Sheet1!EL314="OTHER",BC314,0)</f>
        <v>0</v>
      </c>
      <c r="AZ314" s="712">
        <f t="shared" si="860"/>
        <v>0</v>
      </c>
      <c r="BA314" s="712">
        <f t="shared" si="861"/>
        <v>0</v>
      </c>
      <c r="BB314" s="712">
        <f t="shared" si="862"/>
        <v>0</v>
      </c>
      <c r="BC314" s="712">
        <f>IF(OR(Sheet1!EL314="FM", Sheet1!EL314="OTHER"),SUM(Sheet1!BG314:'Sheet1'!BI314),0)</f>
        <v>0</v>
      </c>
      <c r="BD314" s="800">
        <v>0</v>
      </c>
      <c r="BE314" s="712">
        <f t="shared" si="863"/>
        <v>0</v>
      </c>
      <c r="BF314" s="697">
        <f t="shared" si="864"/>
        <v>0</v>
      </c>
      <c r="BG314" s="697">
        <f>IF(AND($O314&gt;0,Sheet1!EI314=1),(1-($O314-Sheet1!$L314)/$O314)*BB314,0)</f>
        <v>0</v>
      </c>
      <c r="BH314" s="697">
        <f>IF(AND(Sheet1!$L314=0,Sheet1!$L313=0, Calculation!BA314&lt;Sheet1!$EE314-0.1,Sheet1!$EE314=Sheet1!$EE313,Sheet1!$EE314=Sheet1!$EE315),Sheet1!$EE314,BB314-BG314)</f>
        <v>0</v>
      </c>
      <c r="BI314" s="712"/>
      <c r="BJ314" s="712"/>
      <c r="BK314" s="712">
        <f t="shared" si="865"/>
        <v>67.061913872434715</v>
      </c>
      <c r="BL314" s="712"/>
      <c r="BM314" s="712">
        <f ca="1">IF(B314&gt;Summary!$A$1,#N/A,BK314*MGtoAF)</f>
        <v>205.74595176062971</v>
      </c>
      <c r="BN314" s="712">
        <f>Sheet1!BC314+Sheet1!BD314+Sheet1!BE314+Sheet1!BF314-BW314-BX314</f>
        <v>1.26</v>
      </c>
      <c r="BO314" s="712">
        <f t="shared" si="866"/>
        <v>1.2646456370340025</v>
      </c>
      <c r="BP314" s="712">
        <f>IF(Sheet1!EM314="FM",BX314,0)</f>
        <v>0</v>
      </c>
      <c r="BQ314" s="712">
        <f t="shared" si="867"/>
        <v>0</v>
      </c>
      <c r="BR314" s="712">
        <f>IF(Sheet1!EM314="OTHER",BX314,0)</f>
        <v>0</v>
      </c>
      <c r="BS314" s="712">
        <f t="shared" si="868"/>
        <v>0</v>
      </c>
      <c r="BT314" s="712">
        <f t="shared" si="869"/>
        <v>0</v>
      </c>
      <c r="BU314" s="712">
        <f t="shared" si="870"/>
        <v>1.26</v>
      </c>
      <c r="BV314" s="712">
        <f t="shared" si="871"/>
        <v>1.2646456370340025</v>
      </c>
      <c r="BW314" s="712">
        <f>IF(Sheet1!EM314="CWA",SUM(Sheet1!BC314:'Sheet1'!BF314),0)</f>
        <v>0</v>
      </c>
      <c r="BX314" s="712">
        <f>IF(OR(Sheet1!EM314="FM", Sheet1!EM314="OTHER"),SUM(Sheet1!BC314:'Sheet1'!BF314),0)</f>
        <v>0</v>
      </c>
      <c r="BY314" s="697">
        <f>IF(AND($B314&gt;=$FL314,$B314&lt;=$FM314),MAX(BV314,Sheet1!EF314,0),MAX(BV314-(7/36)*$K314,0))</f>
        <v>2</v>
      </c>
      <c r="BZ314" s="712">
        <f t="shared" si="872"/>
        <v>0</v>
      </c>
      <c r="CA314" s="697">
        <f t="shared" si="873"/>
        <v>0</v>
      </c>
      <c r="CB314" s="697">
        <f>IF(AND($O314&gt;0,Sheet1!EJ314=1),(1-($O314-Sheet1!$L314)/$O314)*BV314,0)</f>
        <v>0</v>
      </c>
      <c r="CC314" s="697">
        <f>IF(AND(Sheet1!$L314=0,Sheet1!$L313=0, Calculation!BU314&lt;Sheet1!EF314-0.1,Sheet1!EF314=Sheet1!EF313,Sheet1!EF314=Sheet1!EF315),Sheet1!EF314,BV314-CB314)</f>
        <v>1.2646456370340025</v>
      </c>
      <c r="CD314" s="697"/>
      <c r="CE314" s="712"/>
      <c r="CF314" s="712">
        <f t="shared" si="874"/>
        <v>95.990298960027431</v>
      </c>
      <c r="CG314" s="712"/>
      <c r="CH314" s="712">
        <f ca="1">IF(B314&gt;Summary!$A$1,#N/A,CF314*MGtoAF)</f>
        <v>294.49823720936416</v>
      </c>
      <c r="CI314" s="712">
        <f>Sheet1!BK314+Sheet1!BL314+Sheet1!BM314-Sheet1!EN314-CQ314</f>
        <v>6.55</v>
      </c>
      <c r="CJ314" s="712">
        <f t="shared" si="875"/>
        <v>6.5741499385497741</v>
      </c>
      <c r="CK314" s="712">
        <f>IF(Sheet1!EN314="FM",CQ314,0)</f>
        <v>0</v>
      </c>
      <c r="CL314" s="712">
        <f t="shared" si="876"/>
        <v>0</v>
      </c>
      <c r="CM314" s="712">
        <f>IF(Sheet1!EN314="OTHER",CQ314,0)</f>
        <v>0</v>
      </c>
      <c r="CN314" s="712">
        <f t="shared" si="877"/>
        <v>0</v>
      </c>
      <c r="CO314" s="712">
        <f t="shared" si="878"/>
        <v>6.55</v>
      </c>
      <c r="CP314" s="712">
        <f t="shared" si="879"/>
        <v>6.5741499385497741</v>
      </c>
      <c r="CQ314" s="712">
        <f>IF(OR(Sheet1!EN314="FM", Sheet1!EN314="OTHER"),SUM(Sheet1!BK314:'Sheet1'!BM314),0)</f>
        <v>0</v>
      </c>
      <c r="CR314" s="697">
        <f>IF(AND($B314&gt;=$FL314,$B314&lt;=$FM314),MAX($CJ314,Sheet1!EG314,0),MAX($CJ314-(7/36)*$K314,0))</f>
        <v>6.5741499385497741</v>
      </c>
      <c r="CS314" s="712">
        <f t="shared" si="880"/>
        <v>0</v>
      </c>
      <c r="CT314" s="697">
        <f t="shared" si="881"/>
        <v>0</v>
      </c>
      <c r="CU314" s="697">
        <f>IF(AND($O314&gt;0,Sheet1!EK314=1),(1-($O314-Sheet1!$L314)/$O314)*CP314,0)</f>
        <v>0</v>
      </c>
      <c r="CV314" s="697">
        <f>IF(AND(Sheet1!$L314=0,Sheet1!$L313=0, Calculation!CO314&lt;Sheet1!$EG314-0.1,Sheet1!$EG314=Sheet1!$EG313,Sheet1!$EG314=Sheet1!$EG315),Sheet1!$EG314,CP314-CU314)</f>
        <v>6.5741499385497741</v>
      </c>
      <c r="CW314" s="697">
        <f t="shared" si="837"/>
        <v>0</v>
      </c>
      <c r="CX314" s="712">
        <f t="shared" si="882"/>
        <v>7.81</v>
      </c>
      <c r="CY314" s="712">
        <f t="shared" si="883"/>
        <v>168.64289688263693</v>
      </c>
      <c r="CZ314" s="712">
        <f t="shared" si="884"/>
        <v>7.8387955755837764</v>
      </c>
      <c r="DA314" s="712">
        <f ca="1">IF(B314&gt;Summary!$A$1,#N/A,CY314*MGtoAF)</f>
        <v>517.39640763593013</v>
      </c>
      <c r="DB314" s="712">
        <f t="shared" si="885"/>
        <v>7.81</v>
      </c>
      <c r="DC314" s="712">
        <f t="shared" si="886"/>
        <v>24.41</v>
      </c>
      <c r="DD314" s="712">
        <f>Sheet1!AB314-DC314</f>
        <v>8.9999999999999858E-2</v>
      </c>
      <c r="DE314" s="712">
        <f t="shared" si="887"/>
        <v>3.687013519049564E-3</v>
      </c>
      <c r="DF314" s="712">
        <f>(VLOOKUP(Sheet1!CY314,hhdcap_wcm,4)-(((VLOOKUP(Sheet1!CY314,hhdcap_wcm,3)-Sheet1!CY314)/(VLOOKUP(Sheet1!CY314,hhdcap_wcm,3)-VLOOKUP(Sheet1!CY314,hhdcap_wcm,1)))*(VLOOKUP(Sheet1!CY314,hhdcap_wcm,4)-VLOOKUP(Sheet1!CY314,hhdcap_wcm,2))))</f>
        <v>6611.9000000119149</v>
      </c>
      <c r="DG314" s="712">
        <f t="shared" si="888"/>
        <v>-801.56000000184758</v>
      </c>
      <c r="DH314" s="712">
        <f t="shared" si="889"/>
        <v>-404.21583459498106</v>
      </c>
      <c r="DI314" s="712">
        <f>Sheet1!DW314*AFtoMG</f>
        <v>0</v>
      </c>
      <c r="DJ314" s="712">
        <f>Sheet1!DX314*AFtoMG</f>
        <v>0</v>
      </c>
      <c r="DK314" s="712">
        <f>Sheet1!DY314*AFtoMG</f>
        <v>0</v>
      </c>
      <c r="DL314" s="712">
        <f>Sheet1!DZ314*AFtoMG</f>
        <v>0</v>
      </c>
      <c r="DM314" s="712">
        <f t="shared" si="890"/>
        <v>0</v>
      </c>
      <c r="DN314" s="712">
        <f t="shared" si="891"/>
        <v>0</v>
      </c>
      <c r="DO314" s="712">
        <f t="shared" si="892"/>
        <v>426.87628137959257</v>
      </c>
      <c r="DP314" s="712">
        <f t="shared" si="893"/>
        <v>1309.65643127259</v>
      </c>
      <c r="DQ314" s="712"/>
      <c r="DR314" s="697">
        <f>IF(OR(B314&lt;FL314,B314&gt;FM314),(MIN(AV314+BO314+CJ314+MAX(Sheet1!AA314+AG314-73,0),K314)),0)</f>
        <v>0</v>
      </c>
      <c r="DS314" s="712"/>
      <c r="DT314" s="712">
        <f t="shared" si="894"/>
        <v>7.8387955755837764</v>
      </c>
      <c r="DU314" s="712"/>
      <c r="DV314" s="712">
        <f>Sheet1!ED314+Sheet1!EE314+Sheet1!EF314+Sheet1!EG314</f>
        <v>9.5</v>
      </c>
      <c r="DW314" s="712"/>
      <c r="DX314" s="697">
        <f t="shared" si="895"/>
        <v>0</v>
      </c>
      <c r="DY314" s="712">
        <f>IF(Sheet1!FN314=1,SUM('Calculations II'!AT314:BA314)+'Calculations II'!BC314+Sheet1!BU314+'Calculations II'!BE314+AF314,SUM('Calculations II'!AT314:BA314)+'Calculations II'!BC314+Sheet1!BU314+'Calculations II'!BE314+AF314)</f>
        <v>42.050656000000004</v>
      </c>
      <c r="DZ314" s="712">
        <f>Sheet1!AA314+Sheet1!AB314+'Calculations II'!BC314</f>
        <v>54.159999999988941</v>
      </c>
      <c r="EA314" s="712"/>
      <c r="EB314" s="712"/>
      <c r="EC314" s="712">
        <f t="shared" si="896"/>
        <v>40843</v>
      </c>
      <c r="ED314" s="712">
        <f t="shared" si="897"/>
        <v>-8.5741499385497733</v>
      </c>
      <c r="EE314" s="712">
        <f t="shared" si="898"/>
        <v>-13.264209954936499</v>
      </c>
      <c r="EF314" s="712">
        <f ca="1">IF(B314=TODAY(),0,-(VLOOKUP(Sheet1!BQ314,Lookup!$B$4:$J$236,2)-VLOOKUP(Sheet1!BQ313,Lookup!$B$4:$J$236,2))/1000000)</f>
        <v>-0.54100000000000004</v>
      </c>
      <c r="EG314" s="712">
        <f ca="1">IF(B314=TODAY(),0,-(VLOOKUP(Sheet1!BR314,Lookup!$B$4:$J$236,3)-VLOOKUP(Sheet1!BR313,Lookup!$B$4:$J$236,3))/1000000)</f>
        <v>-0.54</v>
      </c>
      <c r="EH314" s="712">
        <f>-(VLOOKUP(Sheet1!BS314,Lookup!$B$4:$J$236,4)-VLOOKUP(Sheet1!BS313,Lookup!$B$4:$J$236,4))/1000000</f>
        <v>0</v>
      </c>
      <c r="EI314" s="697">
        <f t="shared" ref="EI314:EI377" ca="1" si="922">EH314+EG314+EF314</f>
        <v>-1.081</v>
      </c>
      <c r="EJ314" s="712"/>
      <c r="EK314" s="712"/>
      <c r="EL314" s="712"/>
      <c r="EM314" s="712"/>
      <c r="EN314" s="712"/>
      <c r="EO314" s="712"/>
      <c r="EP314" s="712"/>
      <c r="EQ314" s="712"/>
      <c r="ER314" s="697">
        <f t="shared" si="920"/>
        <v>-4115.0928379308825</v>
      </c>
      <c r="ES314" s="712">
        <f t="shared" si="921"/>
        <v>0</v>
      </c>
      <c r="ET314" s="794">
        <f t="shared" si="919"/>
        <v>1110.8</v>
      </c>
      <c r="EU314" s="794" t="e">
        <f t="shared" si="838"/>
        <v>#N/A</v>
      </c>
      <c r="EV314" s="795" t="e">
        <f t="shared" si="836"/>
        <v>#N/A</v>
      </c>
      <c r="EW314" s="796" t="s">
        <v>757</v>
      </c>
      <c r="EX314" s="796" t="s">
        <v>757</v>
      </c>
      <c r="EY314" s="794" t="e">
        <v>#N/A</v>
      </c>
      <c r="EZ314" s="798">
        <v>9374.2000000182252</v>
      </c>
      <c r="FA314" s="712"/>
      <c r="FB314" s="712"/>
      <c r="FC314" s="712"/>
      <c r="FD314" s="712"/>
      <c r="FE314" s="712">
        <f>O314+Sheet1!CO314</f>
        <v>54.159999999988941</v>
      </c>
      <c r="FF314" s="712">
        <f>IF(Sheet1!AA314+AG314&lt;=Calculation!N314,AG314,Calculation!N314-Sheet1!AA314)</f>
        <v>16.661204424416223</v>
      </c>
      <c r="FG314" s="712">
        <f>(Sheet1!BP314+Sheet1!BO314)/694.4</f>
        <v>2.2168778801843319</v>
      </c>
      <c r="FH314" s="712"/>
      <c r="FI314" s="712"/>
      <c r="FJ314" s="712"/>
      <c r="FK314" s="712"/>
      <c r="FL314" s="714">
        <f t="shared" si="827"/>
        <v>40753</v>
      </c>
      <c r="FM314" s="714">
        <f t="shared" si="828"/>
        <v>40851</v>
      </c>
      <c r="FN314" s="712"/>
      <c r="FO314" s="712"/>
      <c r="FP314" s="712"/>
      <c r="FQ314" s="712"/>
      <c r="FR314" s="712"/>
      <c r="FS314" s="725">
        <f t="shared" ref="FS314:FX329" si="923">FS313</f>
        <v>40603</v>
      </c>
      <c r="FT314" s="714">
        <f t="shared" si="830"/>
        <v>40709</v>
      </c>
      <c r="FU314" s="712">
        <f t="shared" si="923"/>
        <v>6518.9048239895692</v>
      </c>
      <c r="FV314" s="714">
        <f t="shared" si="831"/>
        <v>40722</v>
      </c>
      <c r="FW314" s="712">
        <f t="shared" si="923"/>
        <v>3259.4524119947846</v>
      </c>
      <c r="FX314" s="725">
        <f t="shared" si="923"/>
        <v>40851</v>
      </c>
      <c r="FZ314" s="697">
        <f t="shared" si="824"/>
        <v>0</v>
      </c>
      <c r="GA314" s="712" t="str">
        <f t="shared" si="899"/>
        <v/>
      </c>
      <c r="GB314" s="712">
        <f t="shared" si="900"/>
        <v>0</v>
      </c>
      <c r="GC314" s="712" t="str">
        <f t="shared" si="901"/>
        <v/>
      </c>
      <c r="GD314" s="712">
        <f>IF(GA314="P",Lookup!$M$12,IF(GA314="PP",Lookup!$M$13,IF(GA314="PPP",Lookup!$M$14,IF(GA314="T",Lookup!$M$15,IF(GA314="TP",Lookup!$M$16,IF(GA314="TPP",Lookup!$M$17,IF(GA314="TPPP",Lookup!$M$18,0)))))))*FZ314</f>
        <v>0</v>
      </c>
      <c r="GE314" s="712">
        <f t="shared" si="902"/>
        <v>0</v>
      </c>
      <c r="GF314" s="712">
        <f t="shared" si="903"/>
        <v>292.01583466666614</v>
      </c>
      <c r="GG314" s="712">
        <f t="shared" si="904"/>
        <v>95.181171664493519</v>
      </c>
      <c r="GH314" s="712"/>
      <c r="GI314" s="712">
        <f t="shared" si="905"/>
        <v>0</v>
      </c>
      <c r="GJ314" s="712" t="str">
        <f t="shared" si="906"/>
        <v/>
      </c>
      <c r="GK314" s="712">
        <f>IF(GA314="P",Lookup!$N$12,IF(GA314="PP",Lookup!$N$13,IF(GA314="PPP",Lookup!$N$14,IF(GA314="T",Lookup!$N$15,IF(GA314="TP",Lookup!$N$16,IF(GA314="TPP",Lookup!$N$17,IF(GA314="TPPP",Lookup!$N$18,0)))))))*FZ314</f>
        <v>0</v>
      </c>
      <c r="GL314" s="712">
        <f t="shared" si="907"/>
        <v>0</v>
      </c>
      <c r="GM314" s="712">
        <f t="shared" si="908"/>
        <v>205.74595176062971</v>
      </c>
      <c r="GN314" s="712">
        <f t="shared" si="909"/>
        <v>67.061913872434715</v>
      </c>
      <c r="GO314" s="712"/>
      <c r="GP314" s="712">
        <f t="shared" si="910"/>
        <v>0</v>
      </c>
      <c r="GQ314" s="712" t="str">
        <f t="shared" si="911"/>
        <v/>
      </c>
      <c r="GR314" s="712">
        <f>IF(GA314="P",Lookup!$N$12,IF(GA314="PP",Lookup!$N$13,IF(GA314="PPP",Lookup!$N$14,IF(GA314="T",Lookup!$N$15,IF(GA314="TP",Lookup!$N$16,IF(GA314="TPP",Lookup!$N$17,IF(GA314="TPPP",Lookup!$N$18,0)))))))*FZ314</f>
        <v>0</v>
      </c>
      <c r="GS314" s="697">
        <f t="shared" si="825"/>
        <v>0</v>
      </c>
      <c r="GT314" s="712">
        <f t="shared" si="912"/>
        <v>294.49823720936416</v>
      </c>
      <c r="GU314" s="712">
        <f t="shared" si="913"/>
        <v>95.990298960027431</v>
      </c>
      <c r="GV314" s="712"/>
      <c r="GW314" s="712">
        <f t="shared" si="914"/>
        <v>0</v>
      </c>
      <c r="GX314" s="712" t="str">
        <f t="shared" si="915"/>
        <v/>
      </c>
      <c r="GY314" s="712">
        <f>IF(GA314="P",Lookup!$N$12,IF(GA314="PP",Lookup!$N$13,IF(GA314="PPP",Lookup!$N$14,IF(GA314="T",Lookup!$N$15,IF(GA314="TP",Lookup!$N$16,IF(GA314="TPP",Lookup!$N$17,IF(GA314="TPPP",Lookup!$N$18,0)))))))*FZ314</f>
        <v>0</v>
      </c>
      <c r="GZ314" s="697">
        <f t="shared" si="826"/>
        <v>0</v>
      </c>
      <c r="HA314" s="712">
        <f t="shared" si="916"/>
        <v>517.39640763593013</v>
      </c>
      <c r="HB314" s="712">
        <f t="shared" si="917"/>
        <v>168.64289688263693</v>
      </c>
      <c r="HC314" s="712"/>
    </row>
    <row r="315" spans="1:211">
      <c r="A315" s="773" t="s">
        <v>8</v>
      </c>
      <c r="B315" s="708">
        <v>40844</v>
      </c>
      <c r="C315" s="719">
        <v>0.5</v>
      </c>
      <c r="D315" s="675">
        <f t="shared" si="840"/>
        <v>300</v>
      </c>
      <c r="E315" s="675">
        <f t="shared" si="841"/>
        <v>250</v>
      </c>
      <c r="F315" s="675">
        <v>250</v>
      </c>
      <c r="G315" s="712">
        <f>DH315+Sheet1!CV315</f>
        <v>519.49697428058062</v>
      </c>
      <c r="H315" s="712">
        <f t="shared" si="842"/>
        <v>68.839644174967304</v>
      </c>
      <c r="I315" s="711">
        <f>MAX(Sheet1!Z315-AJ315+(Sheet1!CW315-E315)*CFStoMGD,0)</f>
        <v>537.18461198917714</v>
      </c>
      <c r="J315" s="720">
        <f>IF(AND(B315&gt;=Calculation!FS315,B315&lt;=Calculation!FT315),IF(Sheet1!CX315&gt;=Calculation!D315,64.64,0),MAX(Sheet1!Z315-AJ315+(Sheet1!CX315-D315)*CFStoMGD,0))</f>
        <v>369.34281198917728</v>
      </c>
      <c r="K315" s="697">
        <f t="shared" si="843"/>
        <v>64.64</v>
      </c>
      <c r="L315" s="712">
        <f>Sheet1!AA315+Sheet1!AB315-Sheet1!L315+(Sheet1!CW315-F315)*CFStoMGD</f>
        <v>563.35666666667635</v>
      </c>
      <c r="M315" s="712">
        <f t="shared" si="844"/>
        <v>342.51890105846667</v>
      </c>
      <c r="N315" s="712">
        <f>IF(Sheet1!CW315&gt;=F315,MIN(73,MIN(MAX(L315,0),MAX(M315,0))),0)</f>
        <v>73</v>
      </c>
      <c r="O315" s="721">
        <f>Sheet1!AA315+Sheet1!AB315</f>
        <v>51.800000000010186</v>
      </c>
      <c r="P315" s="721">
        <f t="shared" si="845"/>
        <v>80.134600000015752</v>
      </c>
      <c r="Q315" s="712">
        <f>MIN(N315,Sheet1!AA315+AG315)</f>
        <v>46.992054677498146</v>
      </c>
      <c r="R315" s="712">
        <f t="shared" si="846"/>
        <v>9.5</v>
      </c>
      <c r="S315" s="721">
        <f>Sheet1!Y315*MGDtoCFS</f>
        <v>46.1006</v>
      </c>
      <c r="T315" s="721">
        <f>Sheet1!Z315*MGDtoCFS</f>
        <v>40.531399999999998</v>
      </c>
      <c r="U315" s="721">
        <f>Sheet1!AA315*MGDtoCFS</f>
        <v>43.934800000013503</v>
      </c>
      <c r="V315" s="721">
        <f>Sheet1!AB315*MGDtoCFS</f>
        <v>36.199800000002249</v>
      </c>
      <c r="W315" s="721">
        <f>Sheet1!L315*MGDtoCFS</f>
        <v>27.876940000000673</v>
      </c>
      <c r="X315" s="697">
        <f t="shared" si="847"/>
        <v>8.5</v>
      </c>
      <c r="Y315" s="712">
        <f t="shared" si="848"/>
        <v>13.1495</v>
      </c>
      <c r="Z315" s="712">
        <f t="shared" si="849"/>
        <v>0</v>
      </c>
      <c r="AA315" s="712">
        <f t="shared" si="850"/>
        <v>0</v>
      </c>
      <c r="AB315" s="712">
        <f>(VLOOKUP(Sheet1!CY315,hhdcap_wcm,4)-(((VLOOKUP(Sheet1!CY315,hhdcap_wcm,3)-Sheet1!CY315)/(VLOOKUP(Sheet1!CY315,hhdcap_wcm,3)-VLOOKUP(Sheet1!CY315,hhdcap_wcm,1)))*(VLOOKUP(Sheet1!CY315,hhdcap_wcm,4)-VLOOKUP(Sheet1!CY315,hhdcap_wcm,2))))</f>
        <v>5882.150000010306</v>
      </c>
      <c r="AC315" s="712">
        <f t="shared" si="851"/>
        <v>-729.7500000016089</v>
      </c>
      <c r="AD315" s="712">
        <f t="shared" si="852"/>
        <v>418.37628137959257</v>
      </c>
      <c r="AE315" s="712">
        <f t="shared" si="853"/>
        <v>1283.57843127259</v>
      </c>
      <c r="AF315" s="712">
        <f>Sheet1!BA315+Sheet1!BB315+Sheet1!BN315+BT315</f>
        <v>18.600000000000001</v>
      </c>
      <c r="AG315" s="712">
        <f t="shared" si="854"/>
        <v>18.592054677489411</v>
      </c>
      <c r="AH315" s="712">
        <f>Sheet1!BA315+BT315</f>
        <v>0</v>
      </c>
      <c r="AI315" s="712">
        <f>Sheet1!BA315+Sheet1!BB315+BT315</f>
        <v>0</v>
      </c>
      <c r="AJ315" s="712">
        <f>IF((Sheet1!AA315+AG315+AX315+AZ315+BQ315+BS315+CL315+CN315)&lt;=N315,AG315+AX315+AZ315+BQ315+BS315+CL315+CN315,N315-Sheet1!AA315)</f>
        <v>18.592054677489411</v>
      </c>
      <c r="AK315" s="712">
        <f>IF(DR315&lt;K315,0,MAX(Sheet1!AA315+AG315-15/36*K315-N315,Sheet1!ED315,0))</f>
        <v>0</v>
      </c>
      <c r="AL315" s="712">
        <f>IF(OR(B315&gt;=FT315,B315&lt;FS315),0,15/36*K315-MAX(0,64.6-(137.6-(Sheet1!AA315+Sheet1!AB315))))</f>
        <v>0</v>
      </c>
      <c r="AM315" s="712">
        <f>Sheet1!CX315-110</f>
        <v>749.61458333333337</v>
      </c>
      <c r="AN315" s="712">
        <f>Sheet1!CW315-265</f>
        <v>804.27083333333326</v>
      </c>
      <c r="AO315" s="712">
        <f t="shared" si="835"/>
        <v>26.007945322501854</v>
      </c>
      <c r="AP315" s="712">
        <f t="shared" si="855"/>
        <v>0</v>
      </c>
      <c r="AQ315" s="712">
        <f t="shared" si="856"/>
        <v>0</v>
      </c>
      <c r="AR315" s="712">
        <f t="shared" si="857"/>
        <v>95.181171664493519</v>
      </c>
      <c r="AS315" s="712"/>
      <c r="AT315" s="712">
        <f ca="1">IF(B315&gt;Summary!$A$1,#N/A,AR315*MGtoAF)</f>
        <v>292.01583466666614</v>
      </c>
      <c r="AU315" s="712">
        <f>Sheet1!BG315+Sheet1!BH315+Sheet1!BI315-BC315</f>
        <v>0</v>
      </c>
      <c r="AV315" s="712">
        <f t="shared" si="858"/>
        <v>0</v>
      </c>
      <c r="AW315" s="712">
        <f>IF(Sheet1!EL315="FM",BC315,0)</f>
        <v>0</v>
      </c>
      <c r="AX315" s="712">
        <f t="shared" si="859"/>
        <v>0</v>
      </c>
      <c r="AY315" s="712">
        <f>IF(Sheet1!EL315="OTHER",BC315,0)</f>
        <v>0</v>
      </c>
      <c r="AZ315" s="712">
        <f t="shared" si="860"/>
        <v>0</v>
      </c>
      <c r="BA315" s="712">
        <f t="shared" si="861"/>
        <v>0</v>
      </c>
      <c r="BB315" s="712">
        <f t="shared" si="862"/>
        <v>0</v>
      </c>
      <c r="BC315" s="712">
        <f>IF(OR(Sheet1!EL315="FM", Sheet1!EL315="OTHER"),SUM(Sheet1!BG315:'Sheet1'!BI315),0)</f>
        <v>0</v>
      </c>
      <c r="BD315" s="800">
        <v>0</v>
      </c>
      <c r="BE315" s="712">
        <f t="shared" si="863"/>
        <v>0</v>
      </c>
      <c r="BF315" s="697">
        <f t="shared" si="864"/>
        <v>0</v>
      </c>
      <c r="BG315" s="697">
        <f>IF(AND($O315&gt;0,Sheet1!EI315=1),(1-($O315-Sheet1!$L315)/$O315)*BB315,0)</f>
        <v>0</v>
      </c>
      <c r="BH315" s="697">
        <f>IF(AND(Sheet1!$L315=0,Sheet1!$L314=0, Calculation!BA315&lt;Sheet1!$EE315-0.1,Sheet1!$EE315=Sheet1!$EE314,Sheet1!$EE315=Sheet1!$EE316),Sheet1!$EE315,BB315-BG315)</f>
        <v>0</v>
      </c>
      <c r="BI315" s="712"/>
      <c r="BJ315" s="712"/>
      <c r="BK315" s="712">
        <f t="shared" si="865"/>
        <v>67.061913872434715</v>
      </c>
      <c r="BL315" s="712"/>
      <c r="BM315" s="712">
        <f ca="1">IF(B315&gt;Summary!$A$1,#N/A,BK315*MGtoAF)</f>
        <v>205.74595176062971</v>
      </c>
      <c r="BN315" s="712">
        <f>Sheet1!BC315+Sheet1!BD315+Sheet1!BE315+Sheet1!BF315-BW315-BX315</f>
        <v>1.18</v>
      </c>
      <c r="BO315" s="712">
        <f t="shared" si="866"/>
        <v>1.179495941905242</v>
      </c>
      <c r="BP315" s="712">
        <f>IF(Sheet1!EM315="FM",BX315,0)</f>
        <v>0</v>
      </c>
      <c r="BQ315" s="712">
        <f t="shared" si="867"/>
        <v>0</v>
      </c>
      <c r="BR315" s="712">
        <f>IF(Sheet1!EM315="OTHER",BX315,0)</f>
        <v>0</v>
      </c>
      <c r="BS315" s="712">
        <f t="shared" si="868"/>
        <v>0</v>
      </c>
      <c r="BT315" s="712">
        <f t="shared" si="869"/>
        <v>0</v>
      </c>
      <c r="BU315" s="712">
        <f t="shared" si="870"/>
        <v>1.18</v>
      </c>
      <c r="BV315" s="712">
        <f t="shared" si="871"/>
        <v>1.179495941905242</v>
      </c>
      <c r="BW315" s="712">
        <f>IF(Sheet1!EM315="CWA",SUM(Sheet1!BC315:'Sheet1'!BF315),0)</f>
        <v>0</v>
      </c>
      <c r="BX315" s="712">
        <f>IF(OR(Sheet1!EM315="FM", Sheet1!EM315="OTHER"),SUM(Sheet1!BC315:'Sheet1'!BF315),0)</f>
        <v>0</v>
      </c>
      <c r="BY315" s="697">
        <f>IF(AND($B315&gt;=$FL315,$B315&lt;=$FM315),MAX(BV315,Sheet1!EF315,0),MAX(BV315-(7/36)*$K315,0))</f>
        <v>2</v>
      </c>
      <c r="BZ315" s="712">
        <f t="shared" si="872"/>
        <v>0</v>
      </c>
      <c r="CA315" s="697">
        <f t="shared" si="873"/>
        <v>0</v>
      </c>
      <c r="CB315" s="697">
        <f>IF(AND($O315&gt;0,Sheet1!EJ315=1),(1-($O315-Sheet1!$L315)/$O315)*BV315,0)</f>
        <v>0</v>
      </c>
      <c r="CC315" s="697">
        <f>IF(AND(Sheet1!$L315=0,Sheet1!$L314=0, Calculation!BU315&lt;Sheet1!EF315-0.1,Sheet1!EF315=Sheet1!EF314,Sheet1!EF315=Sheet1!EF316),Sheet1!EF315,BV315-CB315)</f>
        <v>1.179495941905242</v>
      </c>
      <c r="CD315" s="697"/>
      <c r="CE315" s="712"/>
      <c r="CF315" s="712">
        <f t="shared" si="874"/>
        <v>93.990298960027431</v>
      </c>
      <c r="CG315" s="712"/>
      <c r="CH315" s="712">
        <f ca="1">IF(B315&gt;Summary!$A$1,#N/A,CF315*MGtoAF)</f>
        <v>288.36223720936414</v>
      </c>
      <c r="CI315" s="712">
        <f>Sheet1!BK315+Sheet1!BL315+Sheet1!BM315-Sheet1!EN315-CQ315</f>
        <v>3.63</v>
      </c>
      <c r="CJ315" s="712">
        <f t="shared" si="875"/>
        <v>3.6284493806068041</v>
      </c>
      <c r="CK315" s="712">
        <f>IF(Sheet1!EN315="FM",CQ315,0)</f>
        <v>0</v>
      </c>
      <c r="CL315" s="712">
        <f t="shared" si="876"/>
        <v>0</v>
      </c>
      <c r="CM315" s="712">
        <f>IF(Sheet1!EN315="OTHER",CQ315,0)</f>
        <v>0</v>
      </c>
      <c r="CN315" s="712">
        <f t="shared" si="877"/>
        <v>0</v>
      </c>
      <c r="CO315" s="712">
        <f t="shared" si="878"/>
        <v>3.63</v>
      </c>
      <c r="CP315" s="712">
        <f t="shared" si="879"/>
        <v>3.6284493806068041</v>
      </c>
      <c r="CQ315" s="712">
        <f>IF(OR(Sheet1!EN315="FM", Sheet1!EN315="OTHER"),SUM(Sheet1!BK315:'Sheet1'!BM315),0)</f>
        <v>0</v>
      </c>
      <c r="CR315" s="697">
        <f>IF(AND($B315&gt;=$FL315,$B315&lt;=$FM315),MAX($CJ315,Sheet1!EG315,0),MAX($CJ315-(7/36)*$K315,0))</f>
        <v>6.5</v>
      </c>
      <c r="CS315" s="712">
        <f t="shared" si="880"/>
        <v>0</v>
      </c>
      <c r="CT315" s="697">
        <f t="shared" si="881"/>
        <v>0</v>
      </c>
      <c r="CU315" s="697">
        <f>IF(AND($O315&gt;0,Sheet1!EK315=1),(1-($O315-Sheet1!$L315)/$O315)*CP315,0)</f>
        <v>0</v>
      </c>
      <c r="CV315" s="697">
        <f>IF(AND(Sheet1!$L315=0,Sheet1!$L314=0, Calculation!CO315&lt;Sheet1!$EG315-0.1,Sheet1!$EG315=Sheet1!$EG314,Sheet1!$EG315=Sheet1!$EG316),Sheet1!$EG315,CP315-CU315)</f>
        <v>3.6284493806068041</v>
      </c>
      <c r="CW315" s="697">
        <f t="shared" si="837"/>
        <v>0</v>
      </c>
      <c r="CX315" s="712">
        <f t="shared" si="882"/>
        <v>4.8099999999999996</v>
      </c>
      <c r="CY315" s="712">
        <f t="shared" si="883"/>
        <v>162.14289688263693</v>
      </c>
      <c r="CZ315" s="712">
        <f t="shared" si="884"/>
        <v>4.8079453225120456</v>
      </c>
      <c r="DA315" s="712">
        <f ca="1">IF(B315&gt;Summary!$A$1,#N/A,CY315*MGtoAF)</f>
        <v>497.45440763593012</v>
      </c>
      <c r="DB315" s="712">
        <f t="shared" si="885"/>
        <v>4.8099999999999996</v>
      </c>
      <c r="DC315" s="712">
        <f t="shared" si="886"/>
        <v>23.41</v>
      </c>
      <c r="DD315" s="712">
        <f>Sheet1!AB315-DC315</f>
        <v>-9.9999999985449506E-3</v>
      </c>
      <c r="DE315" s="712">
        <f t="shared" si="887"/>
        <v>-4.271678769134964E-4</v>
      </c>
      <c r="DF315" s="712">
        <f>(VLOOKUP(Sheet1!CY315,hhdcap_wcm,4)-(((VLOOKUP(Sheet1!CY315,hhdcap_wcm,3)-Sheet1!CY315)/(VLOOKUP(Sheet1!CY315,hhdcap_wcm,3)-VLOOKUP(Sheet1!CY315,hhdcap_wcm,1)))*(VLOOKUP(Sheet1!CY315,hhdcap_wcm,4)-VLOOKUP(Sheet1!CY315,hhdcap_wcm,2))))</f>
        <v>5882.150000010306</v>
      </c>
      <c r="DG315" s="712">
        <f t="shared" si="888"/>
        <v>-729.7500000016089</v>
      </c>
      <c r="DH315" s="712">
        <f t="shared" si="889"/>
        <v>-368.00302571941944</v>
      </c>
      <c r="DI315" s="712">
        <f>Sheet1!DW315*AFtoMG</f>
        <v>0</v>
      </c>
      <c r="DJ315" s="712">
        <f>Sheet1!DX315*AFtoMG</f>
        <v>0</v>
      </c>
      <c r="DK315" s="712">
        <f>Sheet1!DY315*AFtoMG</f>
        <v>0</v>
      </c>
      <c r="DL315" s="712">
        <f>Sheet1!DZ315*AFtoMG</f>
        <v>0</v>
      </c>
      <c r="DM315" s="712">
        <f t="shared" si="890"/>
        <v>0</v>
      </c>
      <c r="DN315" s="712">
        <f t="shared" si="891"/>
        <v>0</v>
      </c>
      <c r="DO315" s="712">
        <f t="shared" si="892"/>
        <v>418.37628137959257</v>
      </c>
      <c r="DP315" s="712">
        <f t="shared" si="893"/>
        <v>1283.57843127259</v>
      </c>
      <c r="DQ315" s="712"/>
      <c r="DR315" s="697">
        <f>IF(OR(B315&lt;FL315,B315&gt;FM315),(MIN(AV315+BO315+CJ315+MAX(Sheet1!AA315+AG315-73,0),K315)),0)</f>
        <v>0</v>
      </c>
      <c r="DS315" s="712"/>
      <c r="DT315" s="712">
        <f t="shared" si="894"/>
        <v>4.8079453225120456</v>
      </c>
      <c r="DU315" s="712"/>
      <c r="DV315" s="712">
        <f>Sheet1!ED315+Sheet1!EE315+Sheet1!EF315+Sheet1!EG315</f>
        <v>9.5</v>
      </c>
      <c r="DW315" s="712"/>
      <c r="DX315" s="697">
        <f t="shared" si="895"/>
        <v>0</v>
      </c>
      <c r="DY315" s="712">
        <f>IF(Sheet1!FN315=1,SUM('Calculations II'!AT315:BA315)+'Calculations II'!BC315+Sheet1!BU315+'Calculations II'!BE315+AF315,SUM('Calculations II'!AT315:BA315)+'Calculations II'!BC315+Sheet1!BU315+'Calculations II'!BE315+AF315)</f>
        <v>42.731824000000003</v>
      </c>
      <c r="DZ315" s="712">
        <f>Sheet1!AA315+Sheet1!AB315+'Calculations II'!BC315</f>
        <v>51.800000000010186</v>
      </c>
      <c r="EA315" s="712"/>
      <c r="EB315" s="712"/>
      <c r="EC315" s="712">
        <f t="shared" si="896"/>
        <v>40844</v>
      </c>
      <c r="ED315" s="712">
        <f t="shared" si="897"/>
        <v>-8.5</v>
      </c>
      <c r="EE315" s="712">
        <f t="shared" si="898"/>
        <v>-13.1495</v>
      </c>
      <c r="EF315" s="712">
        <f ca="1">IF(B315=TODAY(),0,-(VLOOKUP(Sheet1!BQ315,Lookup!$B$4:$J$236,2)-VLOOKUP(Sheet1!BQ314,Lookup!$B$4:$J$236,2))/1000000)</f>
        <v>-1.6234999999999999</v>
      </c>
      <c r="EG315" s="712">
        <f ca="1">IF(B315=TODAY(),0,-(VLOOKUP(Sheet1!BR315,Lookup!$B$4:$J$236,3)-VLOOKUP(Sheet1!BR314,Lookup!$B$4:$J$236,3))/1000000)</f>
        <v>-1.62</v>
      </c>
      <c r="EH315" s="712">
        <f>-(VLOOKUP(Sheet1!BS315,Lookup!$B$4:$J$236,4)-VLOOKUP(Sheet1!BS314,Lookup!$B$4:$J$236,4))/1000000</f>
        <v>0</v>
      </c>
      <c r="EI315" s="697">
        <f t="shared" ca="1" si="922"/>
        <v>-3.2435</v>
      </c>
      <c r="EJ315" s="712"/>
      <c r="EK315" s="712"/>
      <c r="EL315" s="712"/>
      <c r="EM315" s="712"/>
      <c r="EN315" s="712"/>
      <c r="EO315" s="712"/>
      <c r="EP315" s="712"/>
      <c r="EQ315" s="712"/>
      <c r="ER315" s="697">
        <f t="shared" si="920"/>
        <v>-4345.6201164729619</v>
      </c>
      <c r="ES315" s="712">
        <f t="shared" si="921"/>
        <v>230.52727854207919</v>
      </c>
      <c r="ET315" s="794">
        <f t="shared" si="919"/>
        <v>1110.3</v>
      </c>
      <c r="EU315" s="794" t="e">
        <f t="shared" si="838"/>
        <v>#N/A</v>
      </c>
      <c r="EV315" s="795" t="e">
        <f t="shared" si="836"/>
        <v>#N/A</v>
      </c>
      <c r="EW315" s="796" t="s">
        <v>757</v>
      </c>
      <c r="EX315" s="796" t="s">
        <v>757</v>
      </c>
      <c r="EY315" s="794" t="e">
        <v>#N/A</v>
      </c>
      <c r="EZ315" s="798">
        <v>9170.8000000175416</v>
      </c>
      <c r="FA315" s="712"/>
      <c r="FB315" s="712"/>
      <c r="FC315" s="712"/>
      <c r="FD315" s="712"/>
      <c r="FE315" s="712">
        <f>O315+Sheet1!CO315</f>
        <v>51.800000000010186</v>
      </c>
      <c r="FF315" s="712">
        <f>IF(Sheet1!AA315+AG315&lt;=Calculation!N315,AG315,Calculation!N315-Sheet1!AA315)</f>
        <v>18.592054677489411</v>
      </c>
      <c r="FG315" s="712">
        <f>(Sheet1!BP315+Sheet1!BO315)/694.4</f>
        <v>1.5328341013824887</v>
      </c>
      <c r="FH315" s="712"/>
      <c r="FI315" s="712"/>
      <c r="FJ315" s="712"/>
      <c r="FK315" s="712"/>
      <c r="FL315" s="714">
        <f t="shared" si="827"/>
        <v>40753</v>
      </c>
      <c r="FM315" s="714">
        <f t="shared" si="828"/>
        <v>40851</v>
      </c>
      <c r="FN315" s="712"/>
      <c r="FO315" s="712"/>
      <c r="FP315" s="712"/>
      <c r="FQ315" s="712"/>
      <c r="FR315" s="712"/>
      <c r="FS315" s="725">
        <f t="shared" si="923"/>
        <v>40603</v>
      </c>
      <c r="FT315" s="714">
        <f t="shared" si="830"/>
        <v>40709</v>
      </c>
      <c r="FU315" s="712">
        <f t="shared" si="923"/>
        <v>6518.9048239895692</v>
      </c>
      <c r="FV315" s="714">
        <f t="shared" si="831"/>
        <v>40722</v>
      </c>
      <c r="FW315" s="712">
        <f t="shared" si="923"/>
        <v>3259.4524119947846</v>
      </c>
      <c r="FX315" s="725">
        <f t="shared" si="923"/>
        <v>40851</v>
      </c>
      <c r="FZ315" s="697">
        <f t="shared" si="824"/>
        <v>0</v>
      </c>
      <c r="GA315" s="712" t="str">
        <f t="shared" si="899"/>
        <v/>
      </c>
      <c r="GB315" s="712">
        <f t="shared" si="900"/>
        <v>0</v>
      </c>
      <c r="GC315" s="712" t="str">
        <f t="shared" si="901"/>
        <v/>
      </c>
      <c r="GD315" s="712">
        <f>IF(GA315="P",Lookup!$M$12,IF(GA315="PP",Lookup!$M$13,IF(GA315="PPP",Lookup!$M$14,IF(GA315="T",Lookup!$M$15,IF(GA315="TP",Lookup!$M$16,IF(GA315="TPP",Lookup!$M$17,IF(GA315="TPPP",Lookup!$M$18,0)))))))*FZ315</f>
        <v>0</v>
      </c>
      <c r="GE315" s="712">
        <f t="shared" si="902"/>
        <v>0</v>
      </c>
      <c r="GF315" s="712">
        <f t="shared" si="903"/>
        <v>292.01583466666614</v>
      </c>
      <c r="GG315" s="712">
        <f t="shared" si="904"/>
        <v>95.181171664493519</v>
      </c>
      <c r="GH315" s="712"/>
      <c r="GI315" s="712">
        <f t="shared" si="905"/>
        <v>0</v>
      </c>
      <c r="GJ315" s="712" t="str">
        <f t="shared" si="906"/>
        <v/>
      </c>
      <c r="GK315" s="712">
        <f>IF(GA315="P",Lookup!$N$12,IF(GA315="PP",Lookup!$N$13,IF(GA315="PPP",Lookup!$N$14,IF(GA315="T",Lookup!$N$15,IF(GA315="TP",Lookup!$N$16,IF(GA315="TPP",Lookup!$N$17,IF(GA315="TPPP",Lookup!$N$18,0)))))))*FZ315</f>
        <v>0</v>
      </c>
      <c r="GL315" s="712">
        <f t="shared" si="907"/>
        <v>0</v>
      </c>
      <c r="GM315" s="712">
        <f t="shared" si="908"/>
        <v>205.74595176062971</v>
      </c>
      <c r="GN315" s="712">
        <f t="shared" si="909"/>
        <v>67.061913872434715</v>
      </c>
      <c r="GO315" s="712"/>
      <c r="GP315" s="712">
        <f t="shared" si="910"/>
        <v>0</v>
      </c>
      <c r="GQ315" s="712" t="str">
        <f t="shared" si="911"/>
        <v/>
      </c>
      <c r="GR315" s="712">
        <f>IF(GA315="P",Lookup!$N$12,IF(GA315="PP",Lookup!$N$13,IF(GA315="PPP",Lookup!$N$14,IF(GA315="T",Lookup!$N$15,IF(GA315="TP",Lookup!$N$16,IF(GA315="TPP",Lookup!$N$17,IF(GA315="TPPP",Lookup!$N$18,0)))))))*FZ315</f>
        <v>0</v>
      </c>
      <c r="GS315" s="697">
        <f t="shared" si="825"/>
        <v>0</v>
      </c>
      <c r="GT315" s="712">
        <f t="shared" si="912"/>
        <v>288.36223720936414</v>
      </c>
      <c r="GU315" s="712">
        <f t="shared" si="913"/>
        <v>93.990298960027431</v>
      </c>
      <c r="GV315" s="712"/>
      <c r="GW315" s="712">
        <f t="shared" si="914"/>
        <v>0</v>
      </c>
      <c r="GX315" s="712" t="str">
        <f t="shared" si="915"/>
        <v/>
      </c>
      <c r="GY315" s="712">
        <f>IF(GA315="P",Lookup!$N$12,IF(GA315="PP",Lookup!$N$13,IF(GA315="PPP",Lookup!$N$14,IF(GA315="T",Lookup!$N$15,IF(GA315="TP",Lookup!$N$16,IF(GA315="TPP",Lookup!$N$17,IF(GA315="TPPP",Lookup!$N$18,0)))))))*FZ315</f>
        <v>0</v>
      </c>
      <c r="GZ315" s="697">
        <f t="shared" si="826"/>
        <v>0</v>
      </c>
      <c r="HA315" s="712">
        <f t="shared" si="916"/>
        <v>497.45440763593012</v>
      </c>
      <c r="HB315" s="712">
        <f t="shared" si="917"/>
        <v>162.14289688263693</v>
      </c>
      <c r="HC315" s="712"/>
    </row>
    <row r="316" spans="1:211">
      <c r="A316" s="773" t="s">
        <v>9</v>
      </c>
      <c r="B316" s="708">
        <v>40845</v>
      </c>
      <c r="C316" s="719">
        <v>0.5</v>
      </c>
      <c r="D316" s="675">
        <f t="shared" si="840"/>
        <v>300</v>
      </c>
      <c r="E316" s="675">
        <f t="shared" si="841"/>
        <v>250</v>
      </c>
      <c r="F316" s="675">
        <v>250</v>
      </c>
      <c r="G316" s="712">
        <f>DH316+Sheet1!CV316</f>
        <v>546.65525718539357</v>
      </c>
      <c r="H316" s="712">
        <f t="shared" si="842"/>
        <v>86.394758244638396</v>
      </c>
      <c r="I316" s="711">
        <f>MAX(Sheet1!Z316-AJ316+(Sheet1!CW316-E316)*CFStoMGD,0)</f>
        <v>558.23266666666507</v>
      </c>
      <c r="J316" s="720">
        <f>IF(AND(B316&gt;=Calculation!FS316,B316&lt;=Calculation!FT316),IF(Sheet1!CX316&gt;=Calculation!D316,64.64,0),MAX(Sheet1!Z316-AJ316+(Sheet1!CX316-D316)*CFStoMGD,0))</f>
        <v>359.06066666666521</v>
      </c>
      <c r="K316" s="697">
        <f t="shared" si="843"/>
        <v>64.64</v>
      </c>
      <c r="L316" s="712">
        <f>Sheet1!AA316+Sheet1!AB316-Sheet1!L316+(Sheet1!CW316-F316)*CFStoMGD</f>
        <v>581.23266666666882</v>
      </c>
      <c r="M316" s="712">
        <f t="shared" si="844"/>
        <v>360.4251174095312</v>
      </c>
      <c r="N316" s="712">
        <f>IF(Sheet1!CW316&gt;=F316,MIN(73,MIN(MAX(L316,0),MAX(M316,0))),0)</f>
        <v>73</v>
      </c>
      <c r="O316" s="721">
        <f>Sheet1!AA316+Sheet1!AB316</f>
        <v>46.900000000001455</v>
      </c>
      <c r="P316" s="721">
        <f t="shared" si="845"/>
        <v>72.554300000002243</v>
      </c>
      <c r="Q316" s="712">
        <f>MIN(N316,Sheet1!AA316+AG316)</f>
        <v>46.900000000001455</v>
      </c>
      <c r="R316" s="712">
        <f t="shared" si="846"/>
        <v>9.5</v>
      </c>
      <c r="S316" s="721">
        <f>Sheet1!Y316*MGDtoCFS</f>
        <v>41.877289999999995</v>
      </c>
      <c r="T316" s="721">
        <f>Sheet1!Z316*MGDtoCFS</f>
        <v>30.429490000000001</v>
      </c>
      <c r="U316" s="721">
        <f>Sheet1!AA316*MGDtoCFS</f>
        <v>41.768999999999998</v>
      </c>
      <c r="V316" s="721">
        <f>Sheet1!AB316*MGDtoCFS</f>
        <v>30.785300000002248</v>
      </c>
      <c r="W316" s="721">
        <f>Sheet1!L316*MGDtoCFS</f>
        <v>37.329109999998764</v>
      </c>
      <c r="X316" s="697">
        <f t="shared" si="847"/>
        <v>0</v>
      </c>
      <c r="Y316" s="712">
        <f t="shared" si="848"/>
        <v>0</v>
      </c>
      <c r="Z316" s="712">
        <f t="shared" si="849"/>
        <v>0</v>
      </c>
      <c r="AA316" s="712">
        <f t="shared" si="850"/>
        <v>0</v>
      </c>
      <c r="AB316" s="712">
        <f>(VLOOKUP(Sheet1!CY316,hhdcap_wcm,4)-(((VLOOKUP(Sheet1!CY316,hhdcap_wcm,3)-Sheet1!CY316)/(VLOOKUP(Sheet1!CY316,hhdcap_wcm,3)-VLOOKUP(Sheet1!CY316,hhdcap_wcm,1)))*(VLOOKUP(Sheet1!CY316,hhdcap_wcm,4)-VLOOKUP(Sheet1!CY316,hhdcap_wcm,2))))</f>
        <v>5241.0400000089412</v>
      </c>
      <c r="AC316" s="712">
        <f t="shared" si="851"/>
        <v>-641.11000000136482</v>
      </c>
      <c r="AD316" s="712">
        <f t="shared" si="852"/>
        <v>418.37628137959257</v>
      </c>
      <c r="AE316" s="712">
        <f t="shared" si="853"/>
        <v>1283.57843127259</v>
      </c>
      <c r="AF316" s="712">
        <f>Sheet1!BA316+Sheet1!BB316+Sheet1!BN316+BT316</f>
        <v>19.7</v>
      </c>
      <c r="AG316" s="712">
        <f t="shared" si="854"/>
        <v>19.900000000001455</v>
      </c>
      <c r="AH316" s="712">
        <f>Sheet1!BA316+BT316</f>
        <v>0</v>
      </c>
      <c r="AI316" s="712">
        <f>Sheet1!BA316+Sheet1!BB316+BT316</f>
        <v>0</v>
      </c>
      <c r="AJ316" s="712">
        <f>IF((Sheet1!AA316+AG316+AX316+AZ316+BQ316+BS316+CL316+CN316)&lt;=N316,AG316+AX316+AZ316+BQ316+BS316+CL316+CN316,N316-Sheet1!AA316)</f>
        <v>19.900000000001455</v>
      </c>
      <c r="AK316" s="712">
        <f>IF(DR316&lt;K316,0,MAX(Sheet1!AA316+AG316-15/36*K316-N316,Sheet1!ED316,0))</f>
        <v>0</v>
      </c>
      <c r="AL316" s="712">
        <f>IF(OR(B316&gt;=FT316,B316&lt;FS316),0,15/36*K316-MAX(0,64.6-(137.6-(Sheet1!AA316+Sheet1!AB316))))</f>
        <v>0</v>
      </c>
      <c r="AM316" s="712">
        <f>Sheet1!CX316-110</f>
        <v>745.83333333333337</v>
      </c>
      <c r="AN316" s="712">
        <f>Sheet1!CW316-265</f>
        <v>848.95833333333326</v>
      </c>
      <c r="AO316" s="712">
        <f t="shared" si="835"/>
        <v>26.099999999998545</v>
      </c>
      <c r="AP316" s="712">
        <f t="shared" si="855"/>
        <v>0</v>
      </c>
      <c r="AQ316" s="712">
        <f t="shared" si="856"/>
        <v>0</v>
      </c>
      <c r="AR316" s="712">
        <f t="shared" si="857"/>
        <v>95.181171664493519</v>
      </c>
      <c r="AS316" s="712"/>
      <c r="AT316" s="712">
        <f ca="1">IF(B316&gt;Summary!$A$1,#N/A,AR316*MGtoAF)</f>
        <v>292.01583466666614</v>
      </c>
      <c r="AU316" s="712">
        <f>Sheet1!BG316+Sheet1!BH316+Sheet1!BI316-BC316</f>
        <v>0</v>
      </c>
      <c r="AV316" s="712">
        <f t="shared" si="858"/>
        <v>0</v>
      </c>
      <c r="AW316" s="712">
        <f>IF(Sheet1!EL316="FM",BC316,0)</f>
        <v>0</v>
      </c>
      <c r="AX316" s="712">
        <f t="shared" si="859"/>
        <v>0</v>
      </c>
      <c r="AY316" s="712">
        <f>IF(Sheet1!EL316="OTHER",BC316,0)</f>
        <v>0</v>
      </c>
      <c r="AZ316" s="712">
        <f t="shared" si="860"/>
        <v>0</v>
      </c>
      <c r="BA316" s="712">
        <f t="shared" si="861"/>
        <v>0</v>
      </c>
      <c r="BB316" s="712">
        <f t="shared" si="862"/>
        <v>0</v>
      </c>
      <c r="BC316" s="712">
        <f>IF(OR(Sheet1!EL316="FM", Sheet1!EL316="OTHER"),SUM(Sheet1!BG316:'Sheet1'!BI316),0)</f>
        <v>0</v>
      </c>
      <c r="BD316" s="800">
        <v>0</v>
      </c>
      <c r="BE316" s="712">
        <f t="shared" si="863"/>
        <v>0</v>
      </c>
      <c r="BF316" s="697">
        <f t="shared" si="864"/>
        <v>0</v>
      </c>
      <c r="BG316" s="697">
        <f>IF(AND($O316&gt;0,Sheet1!EI316=1),(1-($O316-Sheet1!$L316)/$O316)*BB316,0)</f>
        <v>0</v>
      </c>
      <c r="BH316" s="697">
        <f>IF(AND(Sheet1!$L316=0,Sheet1!$L315=0, Calculation!BA316&lt;Sheet1!$EE316-0.1,Sheet1!$EE316=Sheet1!$EE315,Sheet1!$EE316=Sheet1!$EE317),Sheet1!$EE316,BB316-BG316)</f>
        <v>0</v>
      </c>
      <c r="BI316" s="712"/>
      <c r="BJ316" s="712"/>
      <c r="BK316" s="712">
        <f t="shared" si="865"/>
        <v>67.061913872434715</v>
      </c>
      <c r="BL316" s="712"/>
      <c r="BM316" s="712">
        <f ca="1">IF(B316&gt;Summary!$A$1,#N/A,BK316*MGtoAF)</f>
        <v>205.74595176062971</v>
      </c>
      <c r="BN316" s="712">
        <f>Sheet1!BC316+Sheet1!BD316+Sheet1!BE316+Sheet1!BF316-BW316-BX316</f>
        <v>0</v>
      </c>
      <c r="BO316" s="712">
        <f t="shared" si="866"/>
        <v>0</v>
      </c>
      <c r="BP316" s="712">
        <f>IF(Sheet1!EM316="FM",BX316,0)</f>
        <v>0</v>
      </c>
      <c r="BQ316" s="712">
        <f t="shared" si="867"/>
        <v>0</v>
      </c>
      <c r="BR316" s="712">
        <f>IF(Sheet1!EM316="OTHER",BX316,0)</f>
        <v>0</v>
      </c>
      <c r="BS316" s="712">
        <f t="shared" si="868"/>
        <v>0</v>
      </c>
      <c r="BT316" s="712">
        <f t="shared" si="869"/>
        <v>0</v>
      </c>
      <c r="BU316" s="712">
        <f t="shared" si="870"/>
        <v>0</v>
      </c>
      <c r="BV316" s="712">
        <f t="shared" si="871"/>
        <v>0</v>
      </c>
      <c r="BW316" s="712">
        <f>IF(Sheet1!EM316="CWA",SUM(Sheet1!BC316:'Sheet1'!BF316),0)</f>
        <v>0</v>
      </c>
      <c r="BX316" s="712">
        <f>IF(OR(Sheet1!EM316="FM", Sheet1!EM316="OTHER"),SUM(Sheet1!BC316:'Sheet1'!BF316),0)</f>
        <v>0</v>
      </c>
      <c r="BY316" s="800">
        <v>0</v>
      </c>
      <c r="BZ316" s="712">
        <f t="shared" si="872"/>
        <v>0</v>
      </c>
      <c r="CA316" s="697">
        <f t="shared" si="873"/>
        <v>0</v>
      </c>
      <c r="CB316" s="697">
        <f>IF(AND($O316&gt;0,Sheet1!EJ316=1),(1-($O316-Sheet1!$L316)/$O316)*BV316,0)</f>
        <v>0</v>
      </c>
      <c r="CC316" s="697">
        <f>IF(AND(Sheet1!$L316=0,Sheet1!$L315=0, Calculation!BU316&lt;Sheet1!EF316-0.1,Sheet1!EF316=Sheet1!EF315,Sheet1!EF316=Sheet1!EF317),Sheet1!EF316,BV316-CB316)</f>
        <v>0</v>
      </c>
      <c r="CD316" s="697"/>
      <c r="CE316" s="712"/>
      <c r="CF316" s="712">
        <f t="shared" si="874"/>
        <v>93.990298960027431</v>
      </c>
      <c r="CG316" s="712"/>
      <c r="CH316" s="712">
        <f ca="1">IF(B316&gt;Summary!$A$1,#N/A,CF316*MGtoAF)</f>
        <v>288.36223720936414</v>
      </c>
      <c r="CI316" s="712">
        <f>Sheet1!BK316+Sheet1!BL316+Sheet1!BM316-Sheet1!EN316-CQ316</f>
        <v>0</v>
      </c>
      <c r="CJ316" s="712">
        <f t="shared" si="875"/>
        <v>0</v>
      </c>
      <c r="CK316" s="712">
        <f>IF(Sheet1!EN316="FM",CQ316,0)</f>
        <v>0</v>
      </c>
      <c r="CL316" s="712">
        <f t="shared" si="876"/>
        <v>0</v>
      </c>
      <c r="CM316" s="712">
        <f>IF(Sheet1!EN316="OTHER",CQ316,0)</f>
        <v>0</v>
      </c>
      <c r="CN316" s="712">
        <f t="shared" si="877"/>
        <v>0</v>
      </c>
      <c r="CO316" s="712">
        <f t="shared" si="878"/>
        <v>0</v>
      </c>
      <c r="CP316" s="712">
        <f t="shared" si="879"/>
        <v>0</v>
      </c>
      <c r="CQ316" s="712">
        <f>IF(OR(Sheet1!EN316="FM", Sheet1!EN316="OTHER"),SUM(Sheet1!BK316:'Sheet1'!BM316),0)</f>
        <v>0</v>
      </c>
      <c r="CR316" s="800">
        <v>0</v>
      </c>
      <c r="CS316" s="712">
        <f t="shared" si="880"/>
        <v>0</v>
      </c>
      <c r="CT316" s="697">
        <f t="shared" si="881"/>
        <v>0</v>
      </c>
      <c r="CU316" s="697">
        <f>IF(AND($O316&gt;0,Sheet1!EK316=1),(1-($O316-Sheet1!$L316)/$O316)*CP316,0)</f>
        <v>0</v>
      </c>
      <c r="CV316" s="697">
        <f>IF(AND(Sheet1!$L316=0,Sheet1!$L315=0, Calculation!CO316&lt;Sheet1!$EG316-0.1,Sheet1!$EG316=Sheet1!$EG315,Sheet1!$EG316=Sheet1!$EG317),Sheet1!$EG316,CP316-CU316)</f>
        <v>0</v>
      </c>
      <c r="CW316" s="697">
        <f t="shared" si="837"/>
        <v>0</v>
      </c>
      <c r="CX316" s="712">
        <f t="shared" si="882"/>
        <v>0</v>
      </c>
      <c r="CY316" s="712">
        <f t="shared" si="883"/>
        <v>162.14289688263693</v>
      </c>
      <c r="CZ316" s="712">
        <f t="shared" si="884"/>
        <v>0</v>
      </c>
      <c r="DA316" s="712">
        <f ca="1">IF(B316&gt;Summary!$A$1,#N/A,CY316*MGtoAF)</f>
        <v>497.45440763593012</v>
      </c>
      <c r="DB316" s="712">
        <f t="shared" si="885"/>
        <v>0</v>
      </c>
      <c r="DC316" s="712">
        <f t="shared" si="886"/>
        <v>19.7</v>
      </c>
      <c r="DD316" s="712">
        <f>Sheet1!AB316-DC316</f>
        <v>0.2000000000014559</v>
      </c>
      <c r="DE316" s="712">
        <f t="shared" si="887"/>
        <v>1.0152284264033294E-2</v>
      </c>
      <c r="DF316" s="712">
        <f>(VLOOKUP(Sheet1!CY316,hhdcap_wcm,4)-(((VLOOKUP(Sheet1!CY316,hhdcap_wcm,3)-Sheet1!CY316)/(VLOOKUP(Sheet1!CY316,hhdcap_wcm,3)-VLOOKUP(Sheet1!CY316,hhdcap_wcm,1)))*(VLOOKUP(Sheet1!CY316,hhdcap_wcm,4)-VLOOKUP(Sheet1!CY316,hhdcap_wcm,2))))</f>
        <v>5241.0400000089412</v>
      </c>
      <c r="DG316" s="712">
        <f t="shared" si="888"/>
        <v>-641.11000000136482</v>
      </c>
      <c r="DH316" s="712">
        <f t="shared" si="889"/>
        <v>-323.30307614793986</v>
      </c>
      <c r="DI316" s="712">
        <f>Sheet1!DW316*AFtoMG</f>
        <v>0</v>
      </c>
      <c r="DJ316" s="712">
        <f>Sheet1!DX316*AFtoMG</f>
        <v>0</v>
      </c>
      <c r="DK316" s="712">
        <f>Sheet1!DY316*AFtoMG</f>
        <v>0</v>
      </c>
      <c r="DL316" s="712">
        <f>Sheet1!DZ316*AFtoMG</f>
        <v>0</v>
      </c>
      <c r="DM316" s="712">
        <f t="shared" si="890"/>
        <v>0</v>
      </c>
      <c r="DN316" s="712">
        <f t="shared" si="891"/>
        <v>0</v>
      </c>
      <c r="DO316" s="712">
        <f t="shared" si="892"/>
        <v>418.37628137959257</v>
      </c>
      <c r="DP316" s="712">
        <f t="shared" si="893"/>
        <v>1283.57843127259</v>
      </c>
      <c r="DQ316" s="712"/>
      <c r="DR316" s="697">
        <f>IF(OR(B316&lt;FL316,B316&gt;FM316),(MIN(AV316+BO316+CJ316+MAX(Sheet1!AA316+AG316-73,0),K316)),0)</f>
        <v>0</v>
      </c>
      <c r="DS316" s="712"/>
      <c r="DT316" s="712">
        <f t="shared" si="894"/>
        <v>0</v>
      </c>
      <c r="DU316" s="712"/>
      <c r="DV316" s="712">
        <f>Sheet1!ED316+Sheet1!EE316+Sheet1!EF316+Sheet1!EG316</f>
        <v>9.5</v>
      </c>
      <c r="DW316" s="712"/>
      <c r="DX316" s="697">
        <f t="shared" si="895"/>
        <v>0</v>
      </c>
      <c r="DY316" s="712">
        <f>IF(Sheet1!FN316=1,SUM('Calculations II'!AT316:BA316)+'Calculations II'!BC316+Sheet1!BU316+'Calculations II'!BE316+AF316,SUM('Calculations II'!AT316:BA316)+'Calculations II'!BC316+Sheet1!BU316+'Calculations II'!BE316+AF316)</f>
        <v>43.544447999999996</v>
      </c>
      <c r="DZ316" s="712">
        <f>Sheet1!AA316+Sheet1!AB316+'Calculations II'!BC316</f>
        <v>46.900000000001455</v>
      </c>
      <c r="EA316" s="712"/>
      <c r="EB316" s="712"/>
      <c r="EC316" s="712">
        <f t="shared" si="896"/>
        <v>40845</v>
      </c>
      <c r="ED316" s="712">
        <f t="shared" si="897"/>
        <v>0</v>
      </c>
      <c r="EE316" s="712">
        <f t="shared" si="898"/>
        <v>0</v>
      </c>
      <c r="EF316" s="712">
        <f ca="1">IF(B316=TODAY(),0,-(VLOOKUP(Sheet1!BQ316,Lookup!$B$4:$J$236,2)-VLOOKUP(Sheet1!BQ315,Lookup!$B$4:$J$236,2))/1000000)</f>
        <v>-0.54379999999999995</v>
      </c>
      <c r="EG316" s="712">
        <f ca="1">IF(B316=TODAY(),0,-(VLOOKUP(Sheet1!BR316,Lookup!$B$4:$J$236,3)-VLOOKUP(Sheet1!BR315,Lookup!$B$4:$J$236,3))/1000000)</f>
        <v>-0.54339999999999999</v>
      </c>
      <c r="EH316" s="712">
        <f>-(VLOOKUP(Sheet1!BS316,Lookup!$B$4:$J$236,4)-VLOOKUP(Sheet1!BS315,Lookup!$B$4:$J$236,4))/1000000</f>
        <v>0</v>
      </c>
      <c r="EI316" s="697">
        <f t="shared" ca="1" si="922"/>
        <v>-1.0871999999999999</v>
      </c>
      <c r="EJ316" s="712"/>
      <c r="EK316" s="712"/>
      <c r="EL316" s="712"/>
      <c r="EM316" s="712"/>
      <c r="EN316" s="712"/>
      <c r="EO316" s="712"/>
      <c r="EP316" s="712"/>
      <c r="EQ316" s="712"/>
      <c r="ER316" s="697">
        <f t="shared" si="920"/>
        <v>-4682.1396902541019</v>
      </c>
      <c r="ES316" s="712">
        <f t="shared" si="921"/>
        <v>336.51957378114048</v>
      </c>
      <c r="ET316" s="794">
        <f t="shared" si="919"/>
        <v>1109.7</v>
      </c>
      <c r="EU316" s="794" t="e">
        <f t="shared" si="838"/>
        <v>#N/A</v>
      </c>
      <c r="EV316" s="795" t="e">
        <f t="shared" si="836"/>
        <v>#N/A</v>
      </c>
      <c r="EW316" s="796" t="s">
        <v>757</v>
      </c>
      <c r="EX316" s="796" t="s">
        <v>757</v>
      </c>
      <c r="EY316" s="794" t="e">
        <v>#N/A</v>
      </c>
      <c r="EZ316" s="798">
        <v>8970.4000000173146</v>
      </c>
      <c r="FA316" s="712"/>
      <c r="FB316" s="712"/>
      <c r="FC316" s="712"/>
      <c r="FD316" s="712"/>
      <c r="FE316" s="712">
        <f>O316+Sheet1!CO316</f>
        <v>46.900000000001455</v>
      </c>
      <c r="FF316" s="712">
        <f>IF(Sheet1!AA316+AG316&lt;=Calculation!N316,AG316,Calculation!N316-Sheet1!AA316)</f>
        <v>19.900000000001455</v>
      </c>
      <c r="FG316" s="712">
        <f>(Sheet1!BP316+Sheet1!BO316)/694.4</f>
        <v>1.8773041474654377</v>
      </c>
      <c r="FH316" s="712"/>
      <c r="FI316" s="712"/>
      <c r="FJ316" s="712"/>
      <c r="FK316" s="712"/>
      <c r="FL316" s="714">
        <f t="shared" si="827"/>
        <v>40753</v>
      </c>
      <c r="FM316" s="714">
        <f t="shared" si="828"/>
        <v>40851</v>
      </c>
      <c r="FN316" s="712"/>
      <c r="FO316" s="712"/>
      <c r="FP316" s="712"/>
      <c r="FQ316" s="712"/>
      <c r="FR316" s="712"/>
      <c r="FS316" s="725">
        <f t="shared" si="923"/>
        <v>40603</v>
      </c>
      <c r="FT316" s="714">
        <f t="shared" si="830"/>
        <v>40709</v>
      </c>
      <c r="FU316" s="712">
        <f t="shared" si="923"/>
        <v>6518.9048239895692</v>
      </c>
      <c r="FV316" s="714">
        <f t="shared" si="831"/>
        <v>40722</v>
      </c>
      <c r="FW316" s="712">
        <f t="shared" si="923"/>
        <v>3259.4524119947846</v>
      </c>
      <c r="FX316" s="725">
        <f t="shared" si="923"/>
        <v>40851</v>
      </c>
      <c r="FZ316" s="697">
        <f t="shared" si="824"/>
        <v>0</v>
      </c>
      <c r="GA316" s="712" t="str">
        <f t="shared" si="899"/>
        <v/>
      </c>
      <c r="GB316" s="712">
        <f t="shared" si="900"/>
        <v>0</v>
      </c>
      <c r="GC316" s="712" t="str">
        <f t="shared" si="901"/>
        <v/>
      </c>
      <c r="GD316" s="712">
        <f>IF(GA316="P",Lookup!$M$12,IF(GA316="PP",Lookup!$M$13,IF(GA316="PPP",Lookup!$M$14,IF(GA316="T",Lookup!$M$15,IF(GA316="TP",Lookup!$M$16,IF(GA316="TPP",Lookup!$M$17,IF(GA316="TPPP",Lookup!$M$18,0)))))))*FZ316</f>
        <v>0</v>
      </c>
      <c r="GE316" s="712">
        <f t="shared" si="902"/>
        <v>0</v>
      </c>
      <c r="GF316" s="712">
        <f t="shared" si="903"/>
        <v>292.01583466666614</v>
      </c>
      <c r="GG316" s="712">
        <f t="shared" si="904"/>
        <v>95.181171664493519</v>
      </c>
      <c r="GH316" s="712"/>
      <c r="GI316" s="712">
        <f t="shared" si="905"/>
        <v>0</v>
      </c>
      <c r="GJ316" s="712" t="str">
        <f t="shared" si="906"/>
        <v/>
      </c>
      <c r="GK316" s="712">
        <f>IF(GA316="P",Lookup!$N$12,IF(GA316="PP",Lookup!$N$13,IF(GA316="PPP",Lookup!$N$14,IF(GA316="T",Lookup!$N$15,IF(GA316="TP",Lookup!$N$16,IF(GA316="TPP",Lookup!$N$17,IF(GA316="TPPP",Lookup!$N$18,0)))))))*FZ316</f>
        <v>0</v>
      </c>
      <c r="GL316" s="712">
        <f t="shared" si="907"/>
        <v>0</v>
      </c>
      <c r="GM316" s="712">
        <f t="shared" si="908"/>
        <v>205.74595176062971</v>
      </c>
      <c r="GN316" s="712">
        <f t="shared" si="909"/>
        <v>67.061913872434715</v>
      </c>
      <c r="GO316" s="712"/>
      <c r="GP316" s="712">
        <f t="shared" si="910"/>
        <v>0</v>
      </c>
      <c r="GQ316" s="712" t="str">
        <f t="shared" si="911"/>
        <v/>
      </c>
      <c r="GR316" s="712">
        <f>IF(GA316="P",Lookup!$N$12,IF(GA316="PP",Lookup!$N$13,IF(GA316="PPP",Lookup!$N$14,IF(GA316="T",Lookup!$N$15,IF(GA316="TP",Lookup!$N$16,IF(GA316="TPP",Lookup!$N$17,IF(GA316="TPPP",Lookup!$N$18,0)))))))*FZ316</f>
        <v>0</v>
      </c>
      <c r="GS316" s="697">
        <f t="shared" si="825"/>
        <v>0</v>
      </c>
      <c r="GT316" s="712">
        <f t="shared" si="912"/>
        <v>288.36223720936414</v>
      </c>
      <c r="GU316" s="712">
        <f t="shared" si="913"/>
        <v>93.990298960027431</v>
      </c>
      <c r="GV316" s="712"/>
      <c r="GW316" s="712">
        <f t="shared" si="914"/>
        <v>0</v>
      </c>
      <c r="GX316" s="712" t="str">
        <f t="shared" si="915"/>
        <v/>
      </c>
      <c r="GY316" s="712">
        <f>IF(GA316="P",Lookup!$N$12,IF(GA316="PP",Lookup!$N$13,IF(GA316="PPP",Lookup!$N$14,IF(GA316="T",Lookup!$N$15,IF(GA316="TP",Lookup!$N$16,IF(GA316="TPP",Lookup!$N$17,IF(GA316="TPPP",Lookup!$N$18,0)))))))*FZ316</f>
        <v>0</v>
      </c>
      <c r="GZ316" s="697">
        <f t="shared" si="826"/>
        <v>0</v>
      </c>
      <c r="HA316" s="712">
        <f t="shared" si="916"/>
        <v>497.45440763593012</v>
      </c>
      <c r="HB316" s="712">
        <f t="shared" si="917"/>
        <v>162.14289688263693</v>
      </c>
      <c r="HC316" s="712"/>
    </row>
    <row r="317" spans="1:211">
      <c r="A317" s="773" t="s">
        <v>3</v>
      </c>
      <c r="B317" s="708">
        <v>40846</v>
      </c>
      <c r="C317" s="709">
        <v>0.5</v>
      </c>
      <c r="D317" s="675">
        <f t="shared" si="840"/>
        <v>300</v>
      </c>
      <c r="E317" s="675">
        <f t="shared" si="841"/>
        <v>250</v>
      </c>
      <c r="F317" s="675">
        <v>250</v>
      </c>
      <c r="G317" s="712">
        <f>DH317+Sheet1!CV317</f>
        <v>656.11894856235358</v>
      </c>
      <c r="H317" s="712">
        <f t="shared" si="842"/>
        <v>157.15208835070536</v>
      </c>
      <c r="I317" s="711">
        <f>MAX(Sheet1!Z317-AJ317+(Sheet1!CW317-E317)*CFStoMGD,0)</f>
        <v>544.84400000000289</v>
      </c>
      <c r="J317" s="720">
        <f>IF(AND(B317&gt;=Calculation!FS317,B317&lt;=Calculation!FT317),IF(Sheet1!CX317&gt;=Calculation!D317,64.64,0),MAX(Sheet1!Z317-AJ317+(Sheet1!CX317-D317)*CFStoMGD,0))</f>
        <v>367.70346666666961</v>
      </c>
      <c r="K317" s="697">
        <f t="shared" si="843"/>
        <v>64.64</v>
      </c>
      <c r="L317" s="712">
        <f>Sheet1!AA317+Sheet1!AB317-Sheet1!L317+(Sheet1!CW317-F317)*CFStoMGD</f>
        <v>567.72399999998754</v>
      </c>
      <c r="M317" s="712">
        <f t="shared" si="844"/>
        <v>432.5975941177195</v>
      </c>
      <c r="N317" s="712">
        <f>IF(Sheet1!CW317&gt;=F317,MIN(73,MIN(MAX(L317,0),MAX(M317,0))),0)</f>
        <v>73</v>
      </c>
      <c r="O317" s="721">
        <f>Sheet1!AA317+Sheet1!AB317</f>
        <v>47.049999999988358</v>
      </c>
      <c r="P317" s="721">
        <f t="shared" si="845"/>
        <v>72.786349999981979</v>
      </c>
      <c r="Q317" s="712">
        <f>MIN(N317,Sheet1!AA317+AG317)</f>
        <v>47.049999999988358</v>
      </c>
      <c r="R317" s="712">
        <f t="shared" si="846"/>
        <v>9.5</v>
      </c>
      <c r="S317" s="721">
        <f>Sheet1!Y317*MGDtoCFS</f>
        <v>42.093870000000003</v>
      </c>
      <c r="T317" s="721">
        <f>Sheet1!Z317*MGDtoCFS</f>
        <v>30.939999999999998</v>
      </c>
      <c r="U317" s="721">
        <f>Sheet1!AA317*MGDtoCFS</f>
        <v>41.923699999986489</v>
      </c>
      <c r="V317" s="721">
        <f>Sheet1!AB317*MGDtoCFS</f>
        <v>30.862649999995497</v>
      </c>
      <c r="W317" s="721">
        <f>Sheet1!L317*MGDtoCFS</f>
        <v>37.313640000001236</v>
      </c>
      <c r="X317" s="697">
        <f t="shared" si="847"/>
        <v>0</v>
      </c>
      <c r="Y317" s="712">
        <f t="shared" si="848"/>
        <v>0</v>
      </c>
      <c r="Z317" s="712">
        <f t="shared" si="849"/>
        <v>0</v>
      </c>
      <c r="AA317" s="712">
        <f t="shared" si="850"/>
        <v>0</v>
      </c>
      <c r="AB317" s="712">
        <f>(VLOOKUP(Sheet1!CY317,hhdcap_wcm,4)-(((VLOOKUP(Sheet1!CY317,hhdcap_wcm,3)-Sheet1!CY317)/(VLOOKUP(Sheet1!CY317,hhdcap_wcm,3)-VLOOKUP(Sheet1!CY317,hhdcap_wcm,1)))*(VLOOKUP(Sheet1!CY317,hhdcap_wcm,4)-VLOOKUP(Sheet1!CY317,hhdcap_wcm,2))))</f>
        <v>4845.7500000080881</v>
      </c>
      <c r="AC317" s="712">
        <f t="shared" si="851"/>
        <v>-395.29000000085307</v>
      </c>
      <c r="AD317" s="712">
        <f t="shared" si="852"/>
        <v>418.37628137959257</v>
      </c>
      <c r="AE317" s="712">
        <f t="shared" si="853"/>
        <v>1283.57843127259</v>
      </c>
      <c r="AF317" s="712">
        <f>Sheet1!BA317+Sheet1!BB317+Sheet1!BN317+BT317</f>
        <v>19.8</v>
      </c>
      <c r="AG317" s="712">
        <f t="shared" si="854"/>
        <v>19.94999999999709</v>
      </c>
      <c r="AH317" s="712">
        <f>Sheet1!BA317+BT317</f>
        <v>0</v>
      </c>
      <c r="AI317" s="712">
        <f>Sheet1!BA317+Sheet1!BB317+BT317</f>
        <v>0</v>
      </c>
      <c r="AJ317" s="712">
        <f>IF((Sheet1!AA317+AG317+AX317+AZ317+BQ317+BS317+CL317+CN317)&lt;=N317,AG317+AX317+AZ317+BQ317+BS317+CL317+CN317,N317-Sheet1!AA317)</f>
        <v>19.94999999999709</v>
      </c>
      <c r="AK317" s="712">
        <f>IF(DR317&lt;K317,0,MAX(Sheet1!AA317+AG317-15/36*K317-N317,Sheet1!ED317,0))</f>
        <v>0</v>
      </c>
      <c r="AL317" s="712">
        <f>IF(OR(B317&gt;=FT317,B317&lt;FS317),0,15/36*K317-MAX(0,64.6-(137.6-(Sheet1!AA317+Sheet1!AB317))))</f>
        <v>0</v>
      </c>
      <c r="AM317" s="712">
        <f>Sheet1!CX317-110</f>
        <v>758.77083333333337</v>
      </c>
      <c r="AN317" s="712">
        <f>Sheet1!CW317-265</f>
        <v>827.8125</v>
      </c>
      <c r="AO317" s="712">
        <f t="shared" si="835"/>
        <v>25.950000000011642</v>
      </c>
      <c r="AP317" s="712">
        <f t="shared" si="855"/>
        <v>0</v>
      </c>
      <c r="AQ317" s="712">
        <f t="shared" si="856"/>
        <v>0</v>
      </c>
      <c r="AR317" s="712">
        <f t="shared" si="857"/>
        <v>95.181171664493519</v>
      </c>
      <c r="AS317" s="712"/>
      <c r="AT317" s="712">
        <f ca="1">IF(B317&gt;Summary!$A$1,#N/A,AR317*MGtoAF)</f>
        <v>292.01583466666614</v>
      </c>
      <c r="AU317" s="712">
        <f>Sheet1!BG317+Sheet1!BH317+Sheet1!BI317-BC317</f>
        <v>0</v>
      </c>
      <c r="AV317" s="712">
        <f t="shared" si="858"/>
        <v>0</v>
      </c>
      <c r="AW317" s="712">
        <f>IF(Sheet1!EL317="FM",BC317,0)</f>
        <v>0</v>
      </c>
      <c r="AX317" s="712">
        <f t="shared" si="859"/>
        <v>0</v>
      </c>
      <c r="AY317" s="712">
        <f>IF(Sheet1!EL317="OTHER",BC317,0)</f>
        <v>0</v>
      </c>
      <c r="AZ317" s="712">
        <f t="shared" si="860"/>
        <v>0</v>
      </c>
      <c r="BA317" s="712">
        <f t="shared" si="861"/>
        <v>0</v>
      </c>
      <c r="BB317" s="712">
        <f t="shared" si="862"/>
        <v>0</v>
      </c>
      <c r="BC317" s="712">
        <f>IF(OR(Sheet1!EL317="FM", Sheet1!EL317="OTHER"),SUM(Sheet1!BG317:'Sheet1'!BI317),0)</f>
        <v>0</v>
      </c>
      <c r="BD317" s="800">
        <v>0</v>
      </c>
      <c r="BE317" s="712">
        <f t="shared" si="863"/>
        <v>0</v>
      </c>
      <c r="BF317" s="697">
        <f t="shared" si="864"/>
        <v>0</v>
      </c>
      <c r="BG317" s="697">
        <f>IF(AND($O317&gt;0,Sheet1!EI317=1),(1-($O317-Sheet1!$L317)/$O317)*BB317,0)</f>
        <v>0</v>
      </c>
      <c r="BH317" s="697">
        <f>IF(AND(Sheet1!$L317=0,Sheet1!$L316=0, Calculation!BA317&lt;Sheet1!$EE317-0.1,Sheet1!$EE317=Sheet1!$EE316,Sheet1!$EE317=Sheet1!$EE318),Sheet1!$EE317,BB317-BG317)</f>
        <v>0</v>
      </c>
      <c r="BI317" s="712"/>
      <c r="BJ317" s="712"/>
      <c r="BK317" s="712">
        <f t="shared" si="865"/>
        <v>67.061913872434715</v>
      </c>
      <c r="BL317" s="712"/>
      <c r="BM317" s="712">
        <f ca="1">IF(B317&gt;Summary!$A$1,#N/A,BK317*MGtoAF)</f>
        <v>205.74595176062971</v>
      </c>
      <c r="BN317" s="712">
        <f>Sheet1!BC317+Sheet1!BD317+Sheet1!BE317+Sheet1!BF317-BW317-BX317</f>
        <v>0</v>
      </c>
      <c r="BO317" s="712">
        <f t="shared" si="866"/>
        <v>0</v>
      </c>
      <c r="BP317" s="712">
        <f>IF(Sheet1!EM317="FM",BX317,0)</f>
        <v>0</v>
      </c>
      <c r="BQ317" s="712">
        <f t="shared" si="867"/>
        <v>0</v>
      </c>
      <c r="BR317" s="712">
        <f>IF(Sheet1!EM317="OTHER",BX317,0)</f>
        <v>0</v>
      </c>
      <c r="BS317" s="712">
        <f t="shared" si="868"/>
        <v>0</v>
      </c>
      <c r="BT317" s="712">
        <f t="shared" si="869"/>
        <v>0</v>
      </c>
      <c r="BU317" s="712">
        <f t="shared" si="870"/>
        <v>0</v>
      </c>
      <c r="BV317" s="712">
        <f t="shared" si="871"/>
        <v>0</v>
      </c>
      <c r="BW317" s="712">
        <f>IF(Sheet1!EM317="CWA",SUM(Sheet1!BC317:'Sheet1'!BF317),0)</f>
        <v>0</v>
      </c>
      <c r="BX317" s="712">
        <f>IF(OR(Sheet1!EM317="FM", Sheet1!EM317="OTHER"),SUM(Sheet1!BC317:'Sheet1'!BF317),0)</f>
        <v>0</v>
      </c>
      <c r="BY317" s="800">
        <v>0</v>
      </c>
      <c r="BZ317" s="712">
        <f t="shared" si="872"/>
        <v>0</v>
      </c>
      <c r="CA317" s="697">
        <f t="shared" si="873"/>
        <v>0</v>
      </c>
      <c r="CB317" s="697">
        <f>IF(AND($O317&gt;0,Sheet1!EJ317=1),(1-($O317-Sheet1!$L317)/$O317)*BV317,0)</f>
        <v>0</v>
      </c>
      <c r="CC317" s="697">
        <f>IF(AND(Sheet1!$L317=0,Sheet1!$L316=0, Calculation!BU317&lt;Sheet1!EF317-0.1,Sheet1!EF317=Sheet1!EF316,Sheet1!EF317=Sheet1!EF318),Sheet1!EF317,BV317-CB317)</f>
        <v>0</v>
      </c>
      <c r="CD317" s="697"/>
      <c r="CE317" s="712"/>
      <c r="CF317" s="712">
        <f t="shared" si="874"/>
        <v>93.990298960027431</v>
      </c>
      <c r="CG317" s="712"/>
      <c r="CH317" s="712">
        <f ca="1">IF(B317&gt;Summary!$A$1,#N/A,CF317*MGtoAF)</f>
        <v>288.36223720936414</v>
      </c>
      <c r="CI317" s="712">
        <f>Sheet1!BK317+Sheet1!BL317+Sheet1!BM317-Sheet1!EN317-CQ317</f>
        <v>0</v>
      </c>
      <c r="CJ317" s="712">
        <f t="shared" si="875"/>
        <v>0</v>
      </c>
      <c r="CK317" s="712">
        <f>IF(Sheet1!EN317="FM",CQ317,0)</f>
        <v>0</v>
      </c>
      <c r="CL317" s="712">
        <f t="shared" si="876"/>
        <v>0</v>
      </c>
      <c r="CM317" s="712">
        <f>IF(Sheet1!EN317="OTHER",CQ317,0)</f>
        <v>0</v>
      </c>
      <c r="CN317" s="712">
        <f t="shared" si="877"/>
        <v>0</v>
      </c>
      <c r="CO317" s="712">
        <f t="shared" si="878"/>
        <v>0</v>
      </c>
      <c r="CP317" s="712">
        <f t="shared" si="879"/>
        <v>0</v>
      </c>
      <c r="CQ317" s="712">
        <f>IF(OR(Sheet1!EN317="FM", Sheet1!EN317="OTHER"),SUM(Sheet1!BK317:'Sheet1'!BM317),0)</f>
        <v>0</v>
      </c>
      <c r="CR317" s="800">
        <v>0</v>
      </c>
      <c r="CS317" s="712">
        <f t="shared" si="880"/>
        <v>0</v>
      </c>
      <c r="CT317" s="697">
        <f t="shared" si="881"/>
        <v>0</v>
      </c>
      <c r="CU317" s="697">
        <f>IF(AND($O317&gt;0,Sheet1!EK317=1),(1-($O317-Sheet1!$L317)/$O317)*CP317,0)</f>
        <v>0</v>
      </c>
      <c r="CV317" s="697">
        <f>IF(AND(Sheet1!$L317=0,Sheet1!$L316=0, Calculation!CO317&lt;Sheet1!$EG317-0.1,Sheet1!$EG317=Sheet1!$EG316,Sheet1!$EG317=Sheet1!$EG318),Sheet1!$EG317,CP317-CU317)</f>
        <v>0</v>
      </c>
      <c r="CW317" s="697">
        <f t="shared" si="837"/>
        <v>0</v>
      </c>
      <c r="CX317" s="712">
        <f t="shared" si="882"/>
        <v>0</v>
      </c>
      <c r="CY317" s="712">
        <f t="shared" si="883"/>
        <v>162.14289688263693</v>
      </c>
      <c r="CZ317" s="712">
        <f t="shared" si="884"/>
        <v>0</v>
      </c>
      <c r="DA317" s="712">
        <f ca="1">IF(B317&gt;Summary!$A$1,#N/A,CY317*MGtoAF)</f>
        <v>497.45440763593012</v>
      </c>
      <c r="DB317" s="712">
        <f t="shared" si="885"/>
        <v>0</v>
      </c>
      <c r="DC317" s="712">
        <f t="shared" si="886"/>
        <v>19.8</v>
      </c>
      <c r="DD317" s="712">
        <f>Sheet1!AB317-DC317</f>
        <v>0.14999999999708891</v>
      </c>
      <c r="DE317" s="712">
        <f t="shared" si="887"/>
        <v>7.5757575756105503E-3</v>
      </c>
      <c r="DF317" s="712">
        <f>(VLOOKUP(Sheet1!CY317,hhdcap_wcm,4)-(((VLOOKUP(Sheet1!CY317,hhdcap_wcm,3)-Sheet1!CY317)/(VLOOKUP(Sheet1!CY317,hhdcap_wcm,3)-VLOOKUP(Sheet1!CY317,hhdcap_wcm,1)))*(VLOOKUP(Sheet1!CY317,hhdcap_wcm,4)-VLOOKUP(Sheet1!CY317,hhdcap_wcm,2))))</f>
        <v>4845.7500000080881</v>
      </c>
      <c r="DG317" s="712">
        <f t="shared" si="888"/>
        <v>-395.29000000085307</v>
      </c>
      <c r="DH317" s="712">
        <f t="shared" si="889"/>
        <v>-199.33938477097985</v>
      </c>
      <c r="DI317" s="712">
        <f>Sheet1!DW317*AFtoMG</f>
        <v>0</v>
      </c>
      <c r="DJ317" s="712">
        <f>Sheet1!DX317*AFtoMG</f>
        <v>0</v>
      </c>
      <c r="DK317" s="712">
        <f>Sheet1!DY317*AFtoMG</f>
        <v>0</v>
      </c>
      <c r="DL317" s="712">
        <f>Sheet1!DZ317*AFtoMG</f>
        <v>0</v>
      </c>
      <c r="DM317" s="712">
        <f t="shared" si="890"/>
        <v>0</v>
      </c>
      <c r="DN317" s="712">
        <f t="shared" si="891"/>
        <v>0</v>
      </c>
      <c r="DO317" s="712">
        <f t="shared" si="892"/>
        <v>418.37628137959257</v>
      </c>
      <c r="DP317" s="712">
        <f t="shared" si="893"/>
        <v>1283.57843127259</v>
      </c>
      <c r="DQ317" s="712"/>
      <c r="DR317" s="697">
        <f>IF(OR(B317&lt;FL317,B317&gt;FM317),(MIN(AV317+BO317+CJ317+MAX(Sheet1!AA317+AG317-73,0),K317)),0)</f>
        <v>0</v>
      </c>
      <c r="DS317" s="712"/>
      <c r="DT317" s="712">
        <f t="shared" si="894"/>
        <v>0</v>
      </c>
      <c r="DU317" s="712"/>
      <c r="DV317" s="712">
        <f>Sheet1!ED317+Sheet1!EE317+Sheet1!EF317+Sheet1!EG317</f>
        <v>9.5</v>
      </c>
      <c r="DW317" s="712"/>
      <c r="DX317" s="697">
        <f t="shared" si="895"/>
        <v>0</v>
      </c>
      <c r="DY317" s="712">
        <f>IF(Sheet1!FN317=1,SUM('Calculations II'!AT317:BA317)+'Calculations II'!BC317+Sheet1!BU317+'Calculations II'!BE317+AF317,SUM('Calculations II'!AT317:BA317)+'Calculations II'!BC317+Sheet1!BU317+'Calculations II'!BE317+AF317)</f>
        <v>43.427599999999998</v>
      </c>
      <c r="DZ317" s="712">
        <f>Sheet1!AA317+Sheet1!AB317+'Calculations II'!BC317</f>
        <v>47.049999999988358</v>
      </c>
      <c r="EA317" s="712"/>
      <c r="EB317" s="712"/>
      <c r="EC317" s="712">
        <f t="shared" si="896"/>
        <v>40846</v>
      </c>
      <c r="ED317" s="712">
        <f t="shared" si="897"/>
        <v>0</v>
      </c>
      <c r="EE317" s="712">
        <f t="shared" si="898"/>
        <v>0</v>
      </c>
      <c r="EF317" s="712">
        <f ca="1">IF(B317=TODAY(),0,-(VLOOKUP(Sheet1!BQ317,Lookup!$B$4:$J$236,2)-VLOOKUP(Sheet1!BQ316,Lookup!$B$4:$J$236,2))/1000000)</f>
        <v>-0.82140000000000002</v>
      </c>
      <c r="EG317" s="712">
        <f ca="1">IF(B317=TODAY(),0,-(VLOOKUP(Sheet1!BR317,Lookup!$B$4:$J$236,3)-VLOOKUP(Sheet1!BR316,Lookup!$B$4:$J$236,3))/1000000)</f>
        <v>-0.82020000000000004</v>
      </c>
      <c r="EH317" s="712">
        <f>-(VLOOKUP(Sheet1!BS317,Lookup!$B$4:$J$236,4)-VLOOKUP(Sheet1!BS316,Lookup!$B$4:$J$236,4))/1000000</f>
        <v>0</v>
      </c>
      <c r="EI317" s="697">
        <f t="shared" ca="1" si="922"/>
        <v>-1.6415999999999999</v>
      </c>
      <c r="EJ317" s="712"/>
      <c r="EK317" s="712"/>
      <c r="EL317" s="712"/>
      <c r="EM317" s="712"/>
      <c r="EN317" s="712"/>
      <c r="EO317" s="712"/>
      <c r="EP317" s="712"/>
      <c r="EQ317" s="712"/>
      <c r="ER317" s="697">
        <f t="shared" si="920"/>
        <v>-4965.8959893096235</v>
      </c>
      <c r="ES317" s="712">
        <f t="shared" si="921"/>
        <v>283.75629905552199</v>
      </c>
      <c r="ET317" s="794">
        <f t="shared" si="919"/>
        <v>1109.0999999999999</v>
      </c>
      <c r="EU317" s="794" t="e">
        <f t="shared" si="838"/>
        <v>#N/A</v>
      </c>
      <c r="EV317" s="795" t="e">
        <f t="shared" si="836"/>
        <v>#N/A</v>
      </c>
      <c r="EW317" s="796" t="s">
        <v>757</v>
      </c>
      <c r="EX317" s="796" t="s">
        <v>757</v>
      </c>
      <c r="EY317" s="794" t="e">
        <v>#N/A</v>
      </c>
      <c r="EZ317" s="798">
        <v>8807.0000000167001</v>
      </c>
      <c r="FA317" s="712"/>
      <c r="FB317" s="712"/>
      <c r="FC317" s="712"/>
      <c r="FD317" s="712"/>
      <c r="FE317" s="712">
        <f>O317+Sheet1!CO317</f>
        <v>47.049999999988358</v>
      </c>
      <c r="FF317" s="712">
        <f>IF(Sheet1!AA317+AG317&lt;=Calculation!N317,AG317,Calculation!N317-Sheet1!AA317)</f>
        <v>19.94999999999709</v>
      </c>
      <c r="FG317" s="712">
        <f>(Sheet1!BP317+Sheet1!BO317)/694.4</f>
        <v>2.159706221198157</v>
      </c>
      <c r="FH317" s="712"/>
      <c r="FI317" s="712"/>
      <c r="FJ317" s="712"/>
      <c r="FK317" s="712"/>
      <c r="FL317" s="714">
        <f t="shared" si="827"/>
        <v>40753</v>
      </c>
      <c r="FM317" s="714">
        <f t="shared" si="828"/>
        <v>40851</v>
      </c>
      <c r="FN317" s="712"/>
      <c r="FO317" s="712"/>
      <c r="FP317" s="712"/>
      <c r="FQ317" s="712"/>
      <c r="FR317" s="712"/>
      <c r="FS317" s="725">
        <f t="shared" si="923"/>
        <v>40603</v>
      </c>
      <c r="FT317" s="714">
        <f t="shared" si="830"/>
        <v>40709</v>
      </c>
      <c r="FU317" s="712">
        <f t="shared" si="923"/>
        <v>6518.9048239895692</v>
      </c>
      <c r="FV317" s="714">
        <f t="shared" si="831"/>
        <v>40722</v>
      </c>
      <c r="FW317" s="712">
        <f t="shared" si="923"/>
        <v>3259.4524119947846</v>
      </c>
      <c r="FX317" s="725">
        <f t="shared" si="923"/>
        <v>40851</v>
      </c>
      <c r="FZ317" s="697">
        <f t="shared" si="824"/>
        <v>0</v>
      </c>
      <c r="GA317" s="712" t="str">
        <f t="shared" si="899"/>
        <v/>
      </c>
      <c r="GB317" s="712">
        <f t="shared" si="900"/>
        <v>0</v>
      </c>
      <c r="GC317" s="712" t="str">
        <f t="shared" si="901"/>
        <v/>
      </c>
      <c r="GD317" s="712">
        <f>IF(GA317="P",Lookup!$M$12,IF(GA317="PP",Lookup!$M$13,IF(GA317="PPP",Lookup!$M$14,IF(GA317="T",Lookup!$M$15,IF(GA317="TP",Lookup!$M$16,IF(GA317="TPP",Lookup!$M$17,IF(GA317="TPPP",Lookup!$M$18,0)))))))*FZ317</f>
        <v>0</v>
      </c>
      <c r="GE317" s="712">
        <f t="shared" si="902"/>
        <v>0</v>
      </c>
      <c r="GF317" s="712">
        <f t="shared" si="903"/>
        <v>292.01583466666614</v>
      </c>
      <c r="GG317" s="712">
        <f t="shared" si="904"/>
        <v>95.181171664493519</v>
      </c>
      <c r="GH317" s="712"/>
      <c r="GI317" s="712">
        <f t="shared" si="905"/>
        <v>0</v>
      </c>
      <c r="GJ317" s="712" t="str">
        <f t="shared" si="906"/>
        <v/>
      </c>
      <c r="GK317" s="712">
        <f>IF(GA317="P",Lookup!$N$12,IF(GA317="PP",Lookup!$N$13,IF(GA317="PPP",Lookup!$N$14,IF(GA317="T",Lookup!$N$15,IF(GA317="TP",Lookup!$N$16,IF(GA317="TPP",Lookup!$N$17,IF(GA317="TPPP",Lookup!$N$18,0)))))))*FZ317</f>
        <v>0</v>
      </c>
      <c r="GL317" s="712">
        <f t="shared" si="907"/>
        <v>0</v>
      </c>
      <c r="GM317" s="712">
        <f t="shared" si="908"/>
        <v>205.74595176062971</v>
      </c>
      <c r="GN317" s="712">
        <f t="shared" si="909"/>
        <v>67.061913872434715</v>
      </c>
      <c r="GO317" s="712"/>
      <c r="GP317" s="712">
        <f t="shared" si="910"/>
        <v>0</v>
      </c>
      <c r="GQ317" s="712" t="str">
        <f t="shared" si="911"/>
        <v/>
      </c>
      <c r="GR317" s="712">
        <f>IF(GA317="P",Lookup!$N$12,IF(GA317="PP",Lookup!$N$13,IF(GA317="PPP",Lookup!$N$14,IF(GA317="T",Lookup!$N$15,IF(GA317="TP",Lookup!$N$16,IF(GA317="TPP",Lookup!$N$17,IF(GA317="TPPP",Lookup!$N$18,0)))))))*FZ317</f>
        <v>0</v>
      </c>
      <c r="GS317" s="697">
        <f t="shared" si="825"/>
        <v>0</v>
      </c>
      <c r="GT317" s="712">
        <f t="shared" si="912"/>
        <v>288.36223720936414</v>
      </c>
      <c r="GU317" s="712">
        <f t="shared" si="913"/>
        <v>93.990298960027431</v>
      </c>
      <c r="GV317" s="712"/>
      <c r="GW317" s="712">
        <f t="shared" si="914"/>
        <v>0</v>
      </c>
      <c r="GX317" s="712" t="str">
        <f t="shared" si="915"/>
        <v/>
      </c>
      <c r="GY317" s="712">
        <f>IF(GA317="P",Lookup!$N$12,IF(GA317="PP",Lookup!$N$13,IF(GA317="PPP",Lookup!$N$14,IF(GA317="T",Lookup!$N$15,IF(GA317="TP",Lookup!$N$16,IF(GA317="TPP",Lookup!$N$17,IF(GA317="TPPP",Lookup!$N$18,0)))))))*FZ317</f>
        <v>0</v>
      </c>
      <c r="GZ317" s="697">
        <f t="shared" si="826"/>
        <v>0</v>
      </c>
      <c r="HA317" s="712">
        <f t="shared" si="916"/>
        <v>497.45440763593012</v>
      </c>
      <c r="HB317" s="712">
        <f t="shared" si="917"/>
        <v>162.14289688263693</v>
      </c>
      <c r="HC317" s="712"/>
    </row>
    <row r="318" spans="1:211">
      <c r="A318" s="773" t="s">
        <v>4</v>
      </c>
      <c r="B318" s="708">
        <v>40847</v>
      </c>
      <c r="C318" s="719">
        <v>0.5</v>
      </c>
      <c r="D318" s="675">
        <f t="shared" si="840"/>
        <v>300</v>
      </c>
      <c r="E318" s="675">
        <f t="shared" si="841"/>
        <v>250</v>
      </c>
      <c r="F318" s="675">
        <v>250</v>
      </c>
      <c r="G318" s="712">
        <f>DH318+Sheet1!CV318</f>
        <v>1001.7157715584544</v>
      </c>
      <c r="H318" s="712">
        <f t="shared" si="842"/>
        <v>380.54587473538493</v>
      </c>
      <c r="I318" s="711">
        <f>MAX(Sheet1!Z318-AJ318+(Sheet1!CW318-E318)*CFStoMGD,0)</f>
        <v>611.18533333333335</v>
      </c>
      <c r="J318" s="720">
        <f>IF(AND(B318&gt;=Calculation!FS318,B318&lt;=Calculation!FT318),IF(Sheet1!CX318&gt;=Calculation!D318,64.64,0),MAX(Sheet1!Z318-AJ318+(Sheet1!CX318-D318)*CFStoMGD,0))</f>
        <v>438.15213333333327</v>
      </c>
      <c r="K318" s="697">
        <f t="shared" si="843"/>
        <v>64.64</v>
      </c>
      <c r="L318" s="712">
        <f>Sheet1!AA318+Sheet1!AB318-Sheet1!L318+(Sheet1!CW318-F318)*CFStoMGD</f>
        <v>626.1853333333338</v>
      </c>
      <c r="M318" s="712">
        <f t="shared" si="844"/>
        <v>660.45925623009271</v>
      </c>
      <c r="N318" s="712">
        <f>IF(Sheet1!CW318&gt;=F318,MIN(73,MIN(MAX(L318,0),MAX(M318,0))),0)</f>
        <v>73</v>
      </c>
      <c r="O318" s="721">
        <f>Sheet1!AA318+Sheet1!AB318</f>
        <v>45.760000000000005</v>
      </c>
      <c r="P318" s="721">
        <f t="shared" si="845"/>
        <v>70.790719999999993</v>
      </c>
      <c r="Q318" s="712">
        <f>MIN(N318,Sheet1!AA318+AG318)</f>
        <v>45.760000000000005</v>
      </c>
      <c r="R318" s="712">
        <f t="shared" si="846"/>
        <v>9.5</v>
      </c>
      <c r="S318" s="721">
        <f>Sheet1!Y318*MGDtoCFS</f>
        <v>41.768999999999998</v>
      </c>
      <c r="T318" s="721">
        <f>Sheet1!Z318*MGDtoCFS</f>
        <v>30.816240000000001</v>
      </c>
      <c r="U318" s="721">
        <f>Sheet1!AA318*MGDtoCFS</f>
        <v>41.954639999999998</v>
      </c>
      <c r="V318" s="721">
        <f>Sheet1!AB318*MGDtoCFS</f>
        <v>28.836079999999999</v>
      </c>
      <c r="W318" s="721">
        <f>Sheet1!L318*MGDtoCFS</f>
        <v>45.605559999999322</v>
      </c>
      <c r="X318" s="697">
        <f t="shared" si="847"/>
        <v>0</v>
      </c>
      <c r="Y318" s="712">
        <f t="shared" si="848"/>
        <v>0</v>
      </c>
      <c r="Z318" s="712">
        <f t="shared" si="849"/>
        <v>0</v>
      </c>
      <c r="AA318" s="712">
        <f t="shared" si="850"/>
        <v>0</v>
      </c>
      <c r="AB318" s="712">
        <f>(VLOOKUP(Sheet1!CY318,hhdcap_wcm,4)-(((VLOOKUP(Sheet1!CY318,hhdcap_wcm,3)-Sheet1!CY318)/(VLOOKUP(Sheet1!CY318,hhdcap_wcm,3)-VLOOKUP(Sheet1!CY318,hhdcap_wcm,1)))*(VLOOKUP(Sheet1!CY318,hhdcap_wcm,4)-VLOOKUP(Sheet1!CY318,hhdcap_wcm,2))))</f>
        <v>5024.4000000085034</v>
      </c>
      <c r="AC318" s="712">
        <f t="shared" si="851"/>
        <v>178.65000000041528</v>
      </c>
      <c r="AD318" s="712">
        <f t="shared" si="852"/>
        <v>418.37628137959257</v>
      </c>
      <c r="AE318" s="712">
        <f t="shared" si="853"/>
        <v>1283.57843127259</v>
      </c>
      <c r="AF318" s="712">
        <f>Sheet1!BA318+Sheet1!BB318+Sheet1!BN318+BT318</f>
        <v>18.399999999999999</v>
      </c>
      <c r="AG318" s="712">
        <f t="shared" si="854"/>
        <v>18.64</v>
      </c>
      <c r="AH318" s="712">
        <f>Sheet1!BA318+BT318</f>
        <v>0</v>
      </c>
      <c r="AI318" s="712">
        <f>Sheet1!BA318+Sheet1!BB318+BT318</f>
        <v>0</v>
      </c>
      <c r="AJ318" s="712">
        <f>IF((Sheet1!AA318+AG318+AX318+AZ318+BQ318+BS318+CL318+CN318)&lt;=N318,AG318+AX318+AZ318+BQ318+BS318+CL318+CN318,N318-Sheet1!AA318)</f>
        <v>18.64</v>
      </c>
      <c r="AK318" s="712">
        <f>IF(DR318&lt;K318,0,MAX(Sheet1!AA318+AG318-15/36*K318-N318,Sheet1!ED318,0))</f>
        <v>0</v>
      </c>
      <c r="AL318" s="712">
        <f>IF(OR(B318&gt;=FT318,B318&lt;FS318),0,15/36*K318-MAX(0,64.6-(137.6-(Sheet1!AA318+Sheet1!AB318))))</f>
        <v>0</v>
      </c>
      <c r="AM318" s="712">
        <f>Sheet1!CX318-110</f>
        <v>865.85416666666663</v>
      </c>
      <c r="AN318" s="712">
        <f>Sheet1!CW318-265</f>
        <v>928.54166666666674</v>
      </c>
      <c r="AO318" s="712">
        <f t="shared" si="835"/>
        <v>27.239999999999995</v>
      </c>
      <c r="AP318" s="712">
        <f t="shared" si="855"/>
        <v>0</v>
      </c>
      <c r="AQ318" s="712">
        <f t="shared" si="856"/>
        <v>0</v>
      </c>
      <c r="AR318" s="712">
        <f t="shared" si="857"/>
        <v>95.181171664493519</v>
      </c>
      <c r="AS318" s="712"/>
      <c r="AT318" s="712">
        <f ca="1">IF(B318&gt;Summary!$A$1,#N/A,AR318*MGtoAF)</f>
        <v>292.01583466666614</v>
      </c>
      <c r="AU318" s="712">
        <f>Sheet1!BG318+Sheet1!BH318+Sheet1!BI318-BC318</f>
        <v>0</v>
      </c>
      <c r="AV318" s="712">
        <f t="shared" si="858"/>
        <v>0</v>
      </c>
      <c r="AW318" s="712">
        <f>IF(Sheet1!EL318="FM",BC318,0)</f>
        <v>0</v>
      </c>
      <c r="AX318" s="712">
        <f t="shared" si="859"/>
        <v>0</v>
      </c>
      <c r="AY318" s="712">
        <f>IF(Sheet1!EL318="OTHER",BC318,0)</f>
        <v>0</v>
      </c>
      <c r="AZ318" s="712">
        <f t="shared" si="860"/>
        <v>0</v>
      </c>
      <c r="BA318" s="712">
        <f t="shared" si="861"/>
        <v>0</v>
      </c>
      <c r="BB318" s="712">
        <f t="shared" si="862"/>
        <v>0</v>
      </c>
      <c r="BC318" s="712">
        <f>IF(OR(Sheet1!EL318="FM", Sheet1!EL318="OTHER"),SUM(Sheet1!BG318:'Sheet1'!BI318),0)</f>
        <v>0</v>
      </c>
      <c r="BD318" s="800">
        <v>0</v>
      </c>
      <c r="BE318" s="712">
        <f t="shared" si="863"/>
        <v>0</v>
      </c>
      <c r="BF318" s="697">
        <f t="shared" si="864"/>
        <v>0</v>
      </c>
      <c r="BG318" s="697">
        <f>IF(AND($O318&gt;0,Sheet1!EI318=1),(1-($O318-Sheet1!$L318)/$O318)*BB318,0)</f>
        <v>0</v>
      </c>
      <c r="BH318" s="697">
        <f>IF(AND(Sheet1!$L318=0,Sheet1!$L317=0, Calculation!BA318&lt;Sheet1!$EE318-0.1,Sheet1!$EE318=Sheet1!$EE317,Sheet1!$EE318=Sheet1!$EE319),Sheet1!$EE318,BB318-BG318)</f>
        <v>0</v>
      </c>
      <c r="BI318" s="712"/>
      <c r="BJ318" s="712"/>
      <c r="BK318" s="712">
        <f t="shared" si="865"/>
        <v>67.061913872434715</v>
      </c>
      <c r="BL318" s="712"/>
      <c r="BM318" s="712">
        <f ca="1">IF(B318&gt;Summary!$A$1,#N/A,BK318*MGtoAF)</f>
        <v>205.74595176062971</v>
      </c>
      <c r="BN318" s="712">
        <f>Sheet1!BC318+Sheet1!BD318+Sheet1!BE318+Sheet1!BF318-BW318-BX318</f>
        <v>0</v>
      </c>
      <c r="BO318" s="712">
        <f t="shared" si="866"/>
        <v>0</v>
      </c>
      <c r="BP318" s="712">
        <f>IF(Sheet1!EM318="FM",BX318,0)</f>
        <v>0</v>
      </c>
      <c r="BQ318" s="712">
        <f t="shared" si="867"/>
        <v>0</v>
      </c>
      <c r="BR318" s="712">
        <f>IF(Sheet1!EM318="OTHER",BX318,0)</f>
        <v>0</v>
      </c>
      <c r="BS318" s="712">
        <f t="shared" si="868"/>
        <v>0</v>
      </c>
      <c r="BT318" s="712">
        <f t="shared" si="869"/>
        <v>0</v>
      </c>
      <c r="BU318" s="712">
        <f t="shared" si="870"/>
        <v>0</v>
      </c>
      <c r="BV318" s="712">
        <f t="shared" si="871"/>
        <v>0</v>
      </c>
      <c r="BW318" s="712">
        <f>IF(Sheet1!EM318="CWA",SUM(Sheet1!BC318:'Sheet1'!BF318),0)</f>
        <v>0</v>
      </c>
      <c r="BX318" s="712">
        <f>IF(OR(Sheet1!EM318="FM", Sheet1!EM318="OTHER"),SUM(Sheet1!BC318:'Sheet1'!BF318),0)</f>
        <v>0</v>
      </c>
      <c r="BY318" s="800">
        <v>0</v>
      </c>
      <c r="BZ318" s="712">
        <f t="shared" si="872"/>
        <v>0</v>
      </c>
      <c r="CA318" s="697">
        <f t="shared" si="873"/>
        <v>0</v>
      </c>
      <c r="CB318" s="697">
        <f>IF(AND($O318&gt;0,Sheet1!EJ318=1),(1-($O318-Sheet1!$L318)/$O318)*BV318,0)</f>
        <v>0</v>
      </c>
      <c r="CC318" s="697">
        <f>IF(AND(Sheet1!$L318=0,Sheet1!$L317=0, Calculation!BU318&lt;Sheet1!EF318-0.1,Sheet1!EF318=Sheet1!EF317,Sheet1!EF318=Sheet1!EF319),Sheet1!EF318,BV318-CB318)</f>
        <v>0</v>
      </c>
      <c r="CD318" s="697"/>
      <c r="CE318" s="712"/>
      <c r="CF318" s="712">
        <f t="shared" si="874"/>
        <v>93.990298960027431</v>
      </c>
      <c r="CG318" s="712"/>
      <c r="CH318" s="712">
        <f ca="1">IF(B318&gt;Summary!$A$1,#N/A,CF318*MGtoAF)</f>
        <v>288.36223720936414</v>
      </c>
      <c r="CI318" s="712">
        <f>Sheet1!BK318+Sheet1!BL318+Sheet1!BM318-Sheet1!EN318-CQ318</f>
        <v>0</v>
      </c>
      <c r="CJ318" s="712">
        <f t="shared" si="875"/>
        <v>0</v>
      </c>
      <c r="CK318" s="712">
        <f>IF(Sheet1!EN318="FM",CQ318,0)</f>
        <v>0</v>
      </c>
      <c r="CL318" s="712">
        <f t="shared" si="876"/>
        <v>0</v>
      </c>
      <c r="CM318" s="712">
        <f>IF(Sheet1!EN318="OTHER",CQ318,0)</f>
        <v>0</v>
      </c>
      <c r="CN318" s="712">
        <f t="shared" si="877"/>
        <v>0</v>
      </c>
      <c r="CO318" s="712">
        <f t="shared" si="878"/>
        <v>0</v>
      </c>
      <c r="CP318" s="712">
        <f t="shared" si="879"/>
        <v>0</v>
      </c>
      <c r="CQ318" s="712">
        <f>IF(OR(Sheet1!EN318="FM", Sheet1!EN318="OTHER"),SUM(Sheet1!BK318:'Sheet1'!BM318),0)</f>
        <v>0</v>
      </c>
      <c r="CR318" s="800">
        <v>0</v>
      </c>
      <c r="CS318" s="712">
        <f t="shared" si="880"/>
        <v>0</v>
      </c>
      <c r="CT318" s="697">
        <f t="shared" si="881"/>
        <v>0</v>
      </c>
      <c r="CU318" s="697">
        <f>IF(AND($O318&gt;0,Sheet1!EK318=1),(1-($O318-Sheet1!$L318)/$O318)*CP318,0)</f>
        <v>0</v>
      </c>
      <c r="CV318" s="697">
        <f>IF(AND(Sheet1!$L318=0,Sheet1!$L317=0, Calculation!CO318&lt;Sheet1!$EG318-0.1,Sheet1!$EG318=Sheet1!$EG317,Sheet1!$EG318=Sheet1!$EG319),Sheet1!$EG318,CP318-CU318)</f>
        <v>0</v>
      </c>
      <c r="CW318" s="697">
        <f t="shared" si="837"/>
        <v>0</v>
      </c>
      <c r="CX318" s="712">
        <f t="shared" si="882"/>
        <v>0</v>
      </c>
      <c r="CY318" s="712">
        <f t="shared" si="883"/>
        <v>162.14289688263693</v>
      </c>
      <c r="CZ318" s="712">
        <f t="shared" si="884"/>
        <v>0</v>
      </c>
      <c r="DA318" s="712">
        <f ca="1">IF(B318&gt;Summary!$A$1,#N/A,CY318*MGtoAF)</f>
        <v>497.45440763593012</v>
      </c>
      <c r="DB318" s="712">
        <f t="shared" si="885"/>
        <v>0</v>
      </c>
      <c r="DC318" s="712">
        <f t="shared" si="886"/>
        <v>18.399999999999999</v>
      </c>
      <c r="DD318" s="712">
        <f>Sheet1!AB318-DC318</f>
        <v>0.24000000000000199</v>
      </c>
      <c r="DE318" s="712">
        <f t="shared" si="887"/>
        <v>1.3043478260869674E-2</v>
      </c>
      <c r="DF318" s="712">
        <f>(VLOOKUP(Sheet1!CY318,hhdcap_wcm,4)-(((VLOOKUP(Sheet1!CY318,hhdcap_wcm,3)-Sheet1!CY318)/(VLOOKUP(Sheet1!CY318,hhdcap_wcm,3)-VLOOKUP(Sheet1!CY318,hhdcap_wcm,1)))*(VLOOKUP(Sheet1!CY318,hhdcap_wcm,4)-VLOOKUP(Sheet1!CY318,hhdcap_wcm,2))))</f>
        <v>5024.4000000085034</v>
      </c>
      <c r="DG318" s="712">
        <f t="shared" si="888"/>
        <v>178.65000000041528</v>
      </c>
      <c r="DH318" s="712">
        <f t="shared" si="889"/>
        <v>90.090771558454492</v>
      </c>
      <c r="DI318" s="712">
        <f>Sheet1!DW318*AFtoMG</f>
        <v>0</v>
      </c>
      <c r="DJ318" s="712">
        <f>Sheet1!DX318*AFtoMG</f>
        <v>0</v>
      </c>
      <c r="DK318" s="712">
        <f>Sheet1!DY318*AFtoMG</f>
        <v>0</v>
      </c>
      <c r="DL318" s="712">
        <f>Sheet1!DZ318*AFtoMG</f>
        <v>0</v>
      </c>
      <c r="DM318" s="712">
        <f t="shared" si="890"/>
        <v>0</v>
      </c>
      <c r="DN318" s="712">
        <f t="shared" si="891"/>
        <v>0</v>
      </c>
      <c r="DO318" s="712">
        <f t="shared" si="892"/>
        <v>418.37628137959257</v>
      </c>
      <c r="DP318" s="712">
        <f t="shared" si="893"/>
        <v>1283.57843127259</v>
      </c>
      <c r="DQ318" s="712"/>
      <c r="DR318" s="697">
        <f>IF(OR(B318&lt;FL318,B318&gt;FM318),(MIN(AV318+BO318+CJ318+MAX(Sheet1!AA318+AG318-73,0),K318)),0)</f>
        <v>0</v>
      </c>
      <c r="DS318" s="712"/>
      <c r="DT318" s="712">
        <f t="shared" si="894"/>
        <v>0</v>
      </c>
      <c r="DU318" s="712"/>
      <c r="DV318" s="712">
        <f>Sheet1!ED318+Sheet1!EE318+Sheet1!EF318+Sheet1!EG318</f>
        <v>9.5</v>
      </c>
      <c r="DW318" s="712"/>
      <c r="DX318" s="697">
        <f t="shared" si="895"/>
        <v>0</v>
      </c>
      <c r="DY318" s="712">
        <f>IF(Sheet1!FN318=1,SUM('Calculations II'!AT318:BA318)+'Calculations II'!BC318+Sheet1!BU318+'Calculations II'!BE318+AF318,SUM('Calculations II'!AT318:BA318)+'Calculations II'!BC318+Sheet1!BU318+'Calculations II'!BE318+AF318)</f>
        <v>41.755423999999998</v>
      </c>
      <c r="DZ318" s="712">
        <f>Sheet1!AA318+Sheet1!AB318+'Calculations II'!BC318</f>
        <v>45.760000000000005</v>
      </c>
      <c r="EA318" s="712"/>
      <c r="EB318" s="712"/>
      <c r="EC318" s="712">
        <f t="shared" si="896"/>
        <v>40847</v>
      </c>
      <c r="ED318" s="712">
        <f t="shared" si="897"/>
        <v>0</v>
      </c>
      <c r="EE318" s="712">
        <f t="shared" si="898"/>
        <v>0</v>
      </c>
      <c r="EF318" s="712">
        <f ca="1">IF(B318=TODAY(),0,-(VLOOKUP(Sheet1!BQ318,Lookup!$B$4:$J$236,2)-VLOOKUP(Sheet1!BQ317,Lookup!$B$4:$J$236,2))/1000000)</f>
        <v>-0.82140000000000002</v>
      </c>
      <c r="EG318" s="712">
        <f ca="1">IF(B318=TODAY(),0,-(VLOOKUP(Sheet1!BR318,Lookup!$B$4:$J$236,3)-VLOOKUP(Sheet1!BR317,Lookup!$B$4:$J$236,3))/1000000)</f>
        <v>-0.82020000000000004</v>
      </c>
      <c r="EH318" s="712">
        <f>-(VLOOKUP(Sheet1!BS318,Lookup!$B$4:$J$236,4)-VLOOKUP(Sheet1!BS317,Lookup!$B$4:$J$236,4))/1000000</f>
        <v>0</v>
      </c>
      <c r="EI318" s="697">
        <f t="shared" ca="1" si="922"/>
        <v>-1.6415999999999999</v>
      </c>
      <c r="EJ318" s="712"/>
      <c r="EK318" s="712"/>
      <c r="EL318" s="712"/>
      <c r="EM318" s="712"/>
      <c r="EN318" s="712"/>
      <c r="EO318" s="712"/>
      <c r="EP318" s="712"/>
      <c r="EQ318" s="712"/>
      <c r="ER318" s="697">
        <f t="shared" si="920"/>
        <v>-4965.8959893096235</v>
      </c>
      <c r="ES318" s="712">
        <f t="shared" si="921"/>
        <v>0</v>
      </c>
      <c r="ET318" s="794">
        <f t="shared" si="919"/>
        <v>1108.5999999999999</v>
      </c>
      <c r="EU318" s="794" t="e">
        <f t="shared" si="838"/>
        <v>#N/A</v>
      </c>
      <c r="EV318" s="795" t="e">
        <f t="shared" si="836"/>
        <v>#N/A</v>
      </c>
      <c r="EW318" s="796" t="s">
        <v>757</v>
      </c>
      <c r="EX318" s="796" t="s">
        <v>757</v>
      </c>
      <c r="EY318" s="794" t="e">
        <v>#N/A</v>
      </c>
      <c r="EZ318" s="798">
        <v>8612.0000000165528</v>
      </c>
      <c r="FA318" s="712"/>
      <c r="FB318" s="712"/>
      <c r="FC318" s="712"/>
      <c r="FD318" s="712"/>
      <c r="FE318" s="712">
        <f>O318+Sheet1!CO318</f>
        <v>45.760000000000005</v>
      </c>
      <c r="FF318" s="712">
        <f>IF(Sheet1!AA318+AG318&lt;=Calculation!N318,AG318,Calculation!N318-Sheet1!AA318)</f>
        <v>18.64</v>
      </c>
      <c r="FG318" s="712">
        <f>(Sheet1!BP318+Sheet1!BO318)/694.4</f>
        <v>2.2458237327188941</v>
      </c>
      <c r="FH318" s="712"/>
      <c r="FI318" s="712"/>
      <c r="FJ318" s="712"/>
      <c r="FK318" s="712"/>
      <c r="FL318" s="714">
        <f t="shared" si="827"/>
        <v>40753</v>
      </c>
      <c r="FM318" s="714">
        <f t="shared" si="828"/>
        <v>40851</v>
      </c>
      <c r="FN318" s="712"/>
      <c r="FO318" s="712"/>
      <c r="FP318" s="712"/>
      <c r="FQ318" s="712"/>
      <c r="FR318" s="712"/>
      <c r="FS318" s="725">
        <f t="shared" si="923"/>
        <v>40603</v>
      </c>
      <c r="FT318" s="714">
        <f t="shared" si="830"/>
        <v>40709</v>
      </c>
      <c r="FU318" s="712">
        <f t="shared" si="923"/>
        <v>6518.9048239895692</v>
      </c>
      <c r="FV318" s="714">
        <f t="shared" si="831"/>
        <v>40722</v>
      </c>
      <c r="FW318" s="712">
        <f t="shared" si="923"/>
        <v>3259.4524119947846</v>
      </c>
      <c r="FX318" s="725">
        <f t="shared" si="923"/>
        <v>40851</v>
      </c>
      <c r="FZ318" s="697">
        <f t="shared" si="824"/>
        <v>0</v>
      </c>
      <c r="GA318" s="712" t="str">
        <f t="shared" si="899"/>
        <v/>
      </c>
      <c r="GB318" s="712">
        <f t="shared" si="900"/>
        <v>0</v>
      </c>
      <c r="GC318" s="712" t="str">
        <f t="shared" si="901"/>
        <v/>
      </c>
      <c r="GD318" s="712">
        <f>IF(GA318="P",Lookup!$M$12,IF(GA318="PP",Lookup!$M$13,IF(GA318="PPP",Lookup!$M$14,IF(GA318="T",Lookup!$M$15,IF(GA318="TP",Lookup!$M$16,IF(GA318="TPP",Lookup!$M$17,IF(GA318="TPPP",Lookup!$M$18,0)))))))*FZ318</f>
        <v>0</v>
      </c>
      <c r="GE318" s="712">
        <f t="shared" si="902"/>
        <v>0</v>
      </c>
      <c r="GF318" s="712">
        <f t="shared" si="903"/>
        <v>292.01583466666614</v>
      </c>
      <c r="GG318" s="712">
        <f t="shared" si="904"/>
        <v>95.181171664493519</v>
      </c>
      <c r="GH318" s="712"/>
      <c r="GI318" s="712">
        <f t="shared" si="905"/>
        <v>0</v>
      </c>
      <c r="GJ318" s="712" t="str">
        <f t="shared" si="906"/>
        <v/>
      </c>
      <c r="GK318" s="712">
        <f>IF(GA318="P",Lookup!$N$12,IF(GA318="PP",Lookup!$N$13,IF(GA318="PPP",Lookup!$N$14,IF(GA318="T",Lookup!$N$15,IF(GA318="TP",Lookup!$N$16,IF(GA318="TPP",Lookup!$N$17,IF(GA318="TPPP",Lookup!$N$18,0)))))))*FZ318</f>
        <v>0</v>
      </c>
      <c r="GL318" s="712">
        <f t="shared" si="907"/>
        <v>0</v>
      </c>
      <c r="GM318" s="712">
        <f t="shared" si="908"/>
        <v>205.74595176062971</v>
      </c>
      <c r="GN318" s="712">
        <f t="shared" si="909"/>
        <v>67.061913872434715</v>
      </c>
      <c r="GO318" s="712"/>
      <c r="GP318" s="712">
        <f t="shared" si="910"/>
        <v>0</v>
      </c>
      <c r="GQ318" s="712" t="str">
        <f t="shared" si="911"/>
        <v/>
      </c>
      <c r="GR318" s="712">
        <f>IF(GA318="P",Lookup!$N$12,IF(GA318="PP",Lookup!$N$13,IF(GA318="PPP",Lookup!$N$14,IF(GA318="T",Lookup!$N$15,IF(GA318="TP",Lookup!$N$16,IF(GA318="TPP",Lookup!$N$17,IF(GA318="TPPP",Lookup!$N$18,0)))))))*FZ318</f>
        <v>0</v>
      </c>
      <c r="GS318" s="697">
        <f t="shared" si="825"/>
        <v>0</v>
      </c>
      <c r="GT318" s="712">
        <f t="shared" si="912"/>
        <v>288.36223720936414</v>
      </c>
      <c r="GU318" s="712">
        <f t="shared" si="913"/>
        <v>93.990298960027431</v>
      </c>
      <c r="GV318" s="712"/>
      <c r="GW318" s="712">
        <f t="shared" si="914"/>
        <v>0</v>
      </c>
      <c r="GX318" s="712" t="str">
        <f t="shared" si="915"/>
        <v/>
      </c>
      <c r="GY318" s="712">
        <f>IF(GA318="P",Lookup!$N$12,IF(GA318="PP",Lookup!$N$13,IF(GA318="PPP",Lookup!$N$14,IF(GA318="T",Lookup!$N$15,IF(GA318="TP",Lookup!$N$16,IF(GA318="TPP",Lookup!$N$17,IF(GA318="TPPP",Lookup!$N$18,0)))))))*FZ318</f>
        <v>0</v>
      </c>
      <c r="GZ318" s="697">
        <f t="shared" si="826"/>
        <v>0</v>
      </c>
      <c r="HA318" s="712">
        <f t="shared" si="916"/>
        <v>497.45440763593012</v>
      </c>
      <c r="HB318" s="712">
        <f t="shared" si="917"/>
        <v>162.14289688263693</v>
      </c>
      <c r="HC318" s="712"/>
    </row>
    <row r="319" spans="1:211">
      <c r="A319" s="773" t="s">
        <v>5</v>
      </c>
      <c r="B319" s="708">
        <v>40848</v>
      </c>
      <c r="C319" s="709">
        <v>0.5</v>
      </c>
      <c r="D319" s="675">
        <f t="shared" si="840"/>
        <v>300</v>
      </c>
      <c r="E319" s="675">
        <f t="shared" si="841"/>
        <v>250</v>
      </c>
      <c r="F319" s="675">
        <v>250</v>
      </c>
      <c r="G319" s="712">
        <f>DH319+Sheet1!CV319</f>
        <v>856.5922844172909</v>
      </c>
      <c r="H319" s="712">
        <f t="shared" si="842"/>
        <v>286.73805264733681</v>
      </c>
      <c r="I319" s="711">
        <f>MAX(Sheet1!Z319-AJ319+(Sheet1!CW319-E319)*CFStoMGD,0)</f>
        <v>665.01933333333454</v>
      </c>
      <c r="J319" s="720">
        <f>IF(AND(B319&gt;=Calculation!FS319,B319&lt;=Calculation!FT319),IF(Sheet1!CX319&gt;=Calculation!D319,64.64,0),MAX(Sheet1!Z319-AJ319+(Sheet1!CX319-D319)*CFStoMGD,0))</f>
        <v>467.80000000000115</v>
      </c>
      <c r="K319" s="697">
        <f t="shared" si="843"/>
        <v>64.64</v>
      </c>
      <c r="L319" s="712">
        <f>Sheet1!AA319+Sheet1!AB319-Sheet1!L319+(Sheet1!CW319-F319)*CFStoMGD</f>
        <v>676.709333333323</v>
      </c>
      <c r="M319" s="712">
        <f t="shared" si="844"/>
        <v>564.7752777002836</v>
      </c>
      <c r="N319" s="712">
        <f>IF(Sheet1!CW319&gt;=F319,MIN(73,MIN(MAX(L319,0),MAX(M319,0))),0)</f>
        <v>73</v>
      </c>
      <c r="O319" s="721">
        <f>Sheet1!AA319+Sheet1!AB319</f>
        <v>44.129999999990105</v>
      </c>
      <c r="P319" s="721">
        <f t="shared" si="845"/>
        <v>68.269109999984693</v>
      </c>
      <c r="Q319" s="712">
        <f>MIN(N319,Sheet1!AA319+AG319)</f>
        <v>44.129999999990105</v>
      </c>
      <c r="R319" s="712">
        <f t="shared" si="846"/>
        <v>9.5</v>
      </c>
      <c r="S319" s="721">
        <f>Sheet1!Y319*MGDtoCFS</f>
        <v>41.459600000000002</v>
      </c>
      <c r="T319" s="721">
        <f>Sheet1!Z319*MGDtoCFS</f>
        <v>26.608399999999996</v>
      </c>
      <c r="U319" s="721">
        <f>Sheet1!AA319*MGDtoCFS</f>
        <v>41.923699999986489</v>
      </c>
      <c r="V319" s="721">
        <f>Sheet1!AB319*MGDtoCFS</f>
        <v>26.345409999998196</v>
      </c>
      <c r="W319" s="721">
        <f>Sheet1!L319*MGDtoCFS</f>
        <v>49.921690000000673</v>
      </c>
      <c r="X319" s="697">
        <f t="shared" si="847"/>
        <v>0</v>
      </c>
      <c r="Y319" s="712">
        <f t="shared" si="848"/>
        <v>0</v>
      </c>
      <c r="Z319" s="712">
        <f t="shared" si="849"/>
        <v>0</v>
      </c>
      <c r="AA319" s="712">
        <f t="shared" si="850"/>
        <v>0</v>
      </c>
      <c r="AB319" s="712">
        <f>(VLOOKUP(Sheet1!CY319,hhdcap_wcm,4)-(((VLOOKUP(Sheet1!CY319,hhdcap_wcm,3)-Sheet1!CY319)/(VLOOKUP(Sheet1!CY319,hhdcap_wcm,3)-VLOOKUP(Sheet1!CY319,hhdcap_wcm,1)))*(VLOOKUP(Sheet1!CY319,hhdcap_wcm,4)-VLOOKUP(Sheet1!CY319,hhdcap_wcm,2))))</f>
        <v>4764.8100000079912</v>
      </c>
      <c r="AC319" s="712">
        <f t="shared" si="851"/>
        <v>-259.59000000051219</v>
      </c>
      <c r="AD319" s="712">
        <f t="shared" si="852"/>
        <v>418.37628137959257</v>
      </c>
      <c r="AE319" s="712">
        <f t="shared" si="853"/>
        <v>1283.57843127259</v>
      </c>
      <c r="AF319" s="712">
        <f>Sheet1!BA319+Sheet1!BB319+Sheet1!BN319+BT319</f>
        <v>16.8</v>
      </c>
      <c r="AG319" s="712">
        <f t="shared" si="854"/>
        <v>17.029999999998836</v>
      </c>
      <c r="AH319" s="712">
        <f>Sheet1!BA319+BT319</f>
        <v>0</v>
      </c>
      <c r="AI319" s="712">
        <f>Sheet1!BA319+Sheet1!BB319+BT319</f>
        <v>0</v>
      </c>
      <c r="AJ319" s="712">
        <f>IF((Sheet1!AA319+AG319+AX319+AZ319+BQ319+BS319+CL319+CN319)&lt;=N319,AG319+AX319+AZ319+BQ319+BS319+CL319+CN319,N319-Sheet1!AA319)</f>
        <v>17.029999999998836</v>
      </c>
      <c r="AK319" s="712">
        <f>IF(DR319&lt;K319,0,MAX(Sheet1!AA319+AG319-15/36*K319-N319,Sheet1!ED319,0))</f>
        <v>0</v>
      </c>
      <c r="AL319" s="712">
        <f>IF(OR(B319&gt;=FT319,B319&lt;FS319),0,15/36*K319-MAX(0,64.6-(137.6-(Sheet1!AA319+Sheet1!AB319))))</f>
        <v>0</v>
      </c>
      <c r="AM319" s="712">
        <f>Sheet1!CX319-110</f>
        <v>913.4375</v>
      </c>
      <c r="AN319" s="712">
        <f>Sheet1!CW319-265</f>
        <v>1013.5416666666667</v>
      </c>
      <c r="AO319" s="712">
        <f t="shared" si="835"/>
        <v>28.870000000009895</v>
      </c>
      <c r="AP319" s="712">
        <f t="shared" si="855"/>
        <v>0</v>
      </c>
      <c r="AQ319" s="712">
        <f t="shared" si="856"/>
        <v>0</v>
      </c>
      <c r="AR319" s="712">
        <f t="shared" si="857"/>
        <v>95.181171664493519</v>
      </c>
      <c r="AS319" s="712"/>
      <c r="AT319" s="712">
        <f ca="1">IF(B319&gt;Summary!$A$1,#N/A,AR319*MGtoAF)</f>
        <v>292.01583466666614</v>
      </c>
      <c r="AU319" s="712">
        <f>Sheet1!BG319+Sheet1!BH319+Sheet1!BI319-BC319</f>
        <v>0</v>
      </c>
      <c r="AV319" s="712">
        <f t="shared" si="858"/>
        <v>0</v>
      </c>
      <c r="AW319" s="712">
        <f>IF(Sheet1!EL319="FM",BC319,0)</f>
        <v>0</v>
      </c>
      <c r="AX319" s="712">
        <f t="shared" si="859"/>
        <v>0</v>
      </c>
      <c r="AY319" s="712">
        <f>IF(Sheet1!EL319="OTHER",BC319,0)</f>
        <v>0</v>
      </c>
      <c r="AZ319" s="712">
        <f t="shared" si="860"/>
        <v>0</v>
      </c>
      <c r="BA319" s="712">
        <f t="shared" si="861"/>
        <v>0</v>
      </c>
      <c r="BB319" s="712">
        <f t="shared" si="862"/>
        <v>0</v>
      </c>
      <c r="BC319" s="712">
        <f>IF(OR(Sheet1!EL319="FM", Sheet1!EL319="OTHER"),SUM(Sheet1!BG319:'Sheet1'!BI319),0)</f>
        <v>0</v>
      </c>
      <c r="BD319" s="800">
        <v>0</v>
      </c>
      <c r="BE319" s="712">
        <f t="shared" si="863"/>
        <v>0</v>
      </c>
      <c r="BF319" s="697">
        <f t="shared" si="864"/>
        <v>0</v>
      </c>
      <c r="BG319" s="697">
        <f>IF(AND($O319&gt;0,Sheet1!EI319=1),(1-($O319-Sheet1!$L319)/$O319)*BB319,0)</f>
        <v>0</v>
      </c>
      <c r="BH319" s="697">
        <f>IF(AND(Sheet1!$L319=0,Sheet1!$L318=0, Calculation!BA319&lt;Sheet1!$EE319-0.1,Sheet1!$EE319=Sheet1!$EE318,Sheet1!$EE319=Sheet1!$EE320),Sheet1!$EE319,BB319-BG319)</f>
        <v>0</v>
      </c>
      <c r="BI319" s="712"/>
      <c r="BJ319" s="712"/>
      <c r="BK319" s="712">
        <f t="shared" si="865"/>
        <v>67.061913872434715</v>
      </c>
      <c r="BL319" s="712"/>
      <c r="BM319" s="712">
        <f ca="1">IF(B319&gt;Summary!$A$1,#N/A,BK319*MGtoAF)</f>
        <v>205.74595176062971</v>
      </c>
      <c r="BN319" s="712">
        <f>Sheet1!BC319+Sheet1!BD319+Sheet1!BE319+Sheet1!BF319-BW319-BX319</f>
        <v>0</v>
      </c>
      <c r="BO319" s="712">
        <f t="shared" si="866"/>
        <v>0</v>
      </c>
      <c r="BP319" s="712">
        <f>IF(Sheet1!EM319="FM",BX319,0)</f>
        <v>0</v>
      </c>
      <c r="BQ319" s="712">
        <f t="shared" si="867"/>
        <v>0</v>
      </c>
      <c r="BR319" s="712">
        <f>IF(Sheet1!EM319="OTHER",BX319,0)</f>
        <v>0</v>
      </c>
      <c r="BS319" s="712">
        <f t="shared" si="868"/>
        <v>0</v>
      </c>
      <c r="BT319" s="712">
        <f t="shared" si="869"/>
        <v>0</v>
      </c>
      <c r="BU319" s="712">
        <f t="shared" si="870"/>
        <v>0</v>
      </c>
      <c r="BV319" s="712">
        <f t="shared" si="871"/>
        <v>0</v>
      </c>
      <c r="BW319" s="712">
        <f>IF(Sheet1!EM319="CWA",SUM(Sheet1!BC319:'Sheet1'!BF319),0)</f>
        <v>0</v>
      </c>
      <c r="BX319" s="712">
        <f>IF(OR(Sheet1!EM319="FM", Sheet1!EM319="OTHER"),SUM(Sheet1!BC319:'Sheet1'!BF319),0)</f>
        <v>0</v>
      </c>
      <c r="BY319" s="800">
        <v>0</v>
      </c>
      <c r="BZ319" s="712">
        <f t="shared" si="872"/>
        <v>0</v>
      </c>
      <c r="CA319" s="697">
        <f t="shared" si="873"/>
        <v>0</v>
      </c>
      <c r="CB319" s="697">
        <f>IF(AND($O319&gt;0,Sheet1!EJ319=1),(1-($O319-Sheet1!$L319)/$O319)*BV319,0)</f>
        <v>0</v>
      </c>
      <c r="CC319" s="697">
        <f>IF(AND(Sheet1!$L319=0,Sheet1!$L318=0, Calculation!BU319&lt;Sheet1!EF319-0.1,Sheet1!EF319=Sheet1!EF318,Sheet1!EF319=Sheet1!EF320),Sheet1!EF319,BV319-CB319)</f>
        <v>0</v>
      </c>
      <c r="CD319" s="697"/>
      <c r="CE319" s="712"/>
      <c r="CF319" s="712">
        <f t="shared" si="874"/>
        <v>93.990298960027431</v>
      </c>
      <c r="CG319" s="712"/>
      <c r="CH319" s="712">
        <f ca="1">IF(B319&gt;Summary!$A$1,#N/A,CF319*MGtoAF)</f>
        <v>288.36223720936414</v>
      </c>
      <c r="CI319" s="712">
        <f>Sheet1!BK319+Sheet1!BL319+Sheet1!BM319-Sheet1!EN319-CQ319</f>
        <v>0</v>
      </c>
      <c r="CJ319" s="712">
        <f t="shared" si="875"/>
        <v>0</v>
      </c>
      <c r="CK319" s="712">
        <f>IF(Sheet1!EN319="FM",CQ319,0)</f>
        <v>0</v>
      </c>
      <c r="CL319" s="712">
        <f t="shared" si="876"/>
        <v>0</v>
      </c>
      <c r="CM319" s="712">
        <f>IF(Sheet1!EN319="OTHER",CQ319,0)</f>
        <v>0</v>
      </c>
      <c r="CN319" s="712">
        <f t="shared" si="877"/>
        <v>0</v>
      </c>
      <c r="CO319" s="712">
        <f t="shared" si="878"/>
        <v>0</v>
      </c>
      <c r="CP319" s="712">
        <f t="shared" si="879"/>
        <v>0</v>
      </c>
      <c r="CQ319" s="712">
        <f>IF(OR(Sheet1!EN319="FM", Sheet1!EN319="OTHER"),SUM(Sheet1!BK319:'Sheet1'!BM319),0)</f>
        <v>0</v>
      </c>
      <c r="CR319" s="800">
        <v>0</v>
      </c>
      <c r="CS319" s="712">
        <f t="shared" si="880"/>
        <v>0</v>
      </c>
      <c r="CT319" s="697">
        <f t="shared" si="881"/>
        <v>0</v>
      </c>
      <c r="CU319" s="697">
        <f>IF(AND($O319&gt;0,Sheet1!EK319=1),(1-($O319-Sheet1!$L319)/$O319)*CP319,0)</f>
        <v>0</v>
      </c>
      <c r="CV319" s="697">
        <f>IF(AND(Sheet1!$L319=0,Sheet1!$L318=0, Calculation!CO319&lt;Sheet1!$EG319-0.1,Sheet1!$EG319=Sheet1!$EG318,Sheet1!$EG319=Sheet1!$EG320),Sheet1!$EG319,CP319-CU319)</f>
        <v>0</v>
      </c>
      <c r="CW319" s="697">
        <f t="shared" si="837"/>
        <v>0</v>
      </c>
      <c r="CX319" s="712">
        <f t="shared" si="882"/>
        <v>0</v>
      </c>
      <c r="CY319" s="712">
        <f t="shared" si="883"/>
        <v>162.14289688263693</v>
      </c>
      <c r="CZ319" s="712">
        <f t="shared" si="884"/>
        <v>0</v>
      </c>
      <c r="DA319" s="712">
        <f ca="1">IF(B319&gt;Summary!$A$1,#N/A,CY319*MGtoAF)</f>
        <v>497.45440763593012</v>
      </c>
      <c r="DB319" s="712">
        <f t="shared" si="885"/>
        <v>0</v>
      </c>
      <c r="DC319" s="712">
        <f t="shared" si="886"/>
        <v>16.8</v>
      </c>
      <c r="DD319" s="712">
        <f>Sheet1!AB319-DC319</f>
        <v>0.22999999999883514</v>
      </c>
      <c r="DE319" s="712">
        <f t="shared" si="887"/>
        <v>1.3690476190406854E-2</v>
      </c>
      <c r="DF319" s="712">
        <f>(VLOOKUP(Sheet1!CY319,hhdcap_wcm,4)-(((VLOOKUP(Sheet1!CY319,hhdcap_wcm,3)-Sheet1!CY319)/(VLOOKUP(Sheet1!CY319,hhdcap_wcm,3)-VLOOKUP(Sheet1!CY319,hhdcap_wcm,1)))*(VLOOKUP(Sheet1!CY319,hhdcap_wcm,4)-VLOOKUP(Sheet1!CY319,hhdcap_wcm,2))))</f>
        <v>4764.8100000079912</v>
      </c>
      <c r="DG319" s="712">
        <f t="shared" si="888"/>
        <v>-259.59000000051219</v>
      </c>
      <c r="DH319" s="712">
        <f t="shared" si="889"/>
        <v>-130.9077155827091</v>
      </c>
      <c r="DI319" s="712">
        <f>Sheet1!DW319*AFtoMG</f>
        <v>0</v>
      </c>
      <c r="DJ319" s="712">
        <f>Sheet1!DX319*AFtoMG</f>
        <v>0</v>
      </c>
      <c r="DK319" s="712">
        <f>Sheet1!DY319*AFtoMG</f>
        <v>0</v>
      </c>
      <c r="DL319" s="712">
        <f>Sheet1!DZ319*AFtoMG</f>
        <v>0</v>
      </c>
      <c r="DM319" s="712">
        <f t="shared" si="890"/>
        <v>0</v>
      </c>
      <c r="DN319" s="712">
        <f t="shared" si="891"/>
        <v>0</v>
      </c>
      <c r="DO319" s="712">
        <f t="shared" si="892"/>
        <v>418.37628137959257</v>
      </c>
      <c r="DP319" s="712">
        <f t="shared" si="893"/>
        <v>1283.57843127259</v>
      </c>
      <c r="DQ319" s="712"/>
      <c r="DR319" s="697">
        <f>IF(OR(B319&lt;FL319,B319&gt;FM319),(MIN(AV319+BO319+CJ319+MAX(Sheet1!AA319+AG319-73,0),K319)),0)</f>
        <v>0</v>
      </c>
      <c r="DS319" s="712"/>
      <c r="DT319" s="712">
        <f t="shared" si="894"/>
        <v>0</v>
      </c>
      <c r="DU319" s="712"/>
      <c r="DV319" s="712">
        <f>Sheet1!ED319+Sheet1!EE319+Sheet1!EF319+Sheet1!EG319</f>
        <v>9.5</v>
      </c>
      <c r="DW319" s="712"/>
      <c r="DX319" s="697">
        <f t="shared" si="895"/>
        <v>0</v>
      </c>
      <c r="DY319" s="712">
        <f>IF(Sheet1!FN319=1,SUM('Calculations II'!AT319:BA319)+'Calculations II'!BC319+Sheet1!BU319+'Calculations II'!BE319+AF319,SUM('Calculations II'!AT319:BA319)+'Calculations II'!BC319+Sheet1!BU319+'Calculations II'!BE319+AF319)</f>
        <v>42.379184000000002</v>
      </c>
      <c r="DZ319" s="712">
        <f>Sheet1!AA319+Sheet1!AB319+'Calculations II'!BC319</f>
        <v>44.129999999990105</v>
      </c>
      <c r="EA319" s="712"/>
      <c r="EB319" s="712"/>
      <c r="EC319" s="712">
        <f t="shared" si="896"/>
        <v>40848</v>
      </c>
      <c r="ED319" s="712">
        <f t="shared" si="897"/>
        <v>0</v>
      </c>
      <c r="EE319" s="712">
        <f t="shared" si="898"/>
        <v>0</v>
      </c>
      <c r="EF319" s="712">
        <f ca="1">IF(B319=TODAY(),0,-(VLOOKUP(Sheet1!BQ319,Lookup!$B$4:$J$236,2)-VLOOKUP(Sheet1!BQ318,Lookup!$B$4:$J$236,2))/1000000)</f>
        <v>0.27379999999999999</v>
      </c>
      <c r="EG319" s="712">
        <f ca="1">IF(B319=TODAY(),0,-(VLOOKUP(Sheet1!BR319,Lookup!$B$4:$J$236,3)-VLOOKUP(Sheet1!BR318,Lookup!$B$4:$J$236,3))/1000000)</f>
        <v>0.27339999999999998</v>
      </c>
      <c r="EH319" s="712">
        <f>-(VLOOKUP(Sheet1!BS319,Lookup!$B$4:$J$236,4)-VLOOKUP(Sheet1!BS318,Lookup!$B$4:$J$236,4))/1000000</f>
        <v>0</v>
      </c>
      <c r="EI319" s="697">
        <f t="shared" ca="1" si="922"/>
        <v>0.54719999999999991</v>
      </c>
      <c r="EJ319" s="712"/>
      <c r="EK319" s="712"/>
      <c r="EL319" s="712"/>
      <c r="EM319" s="712"/>
      <c r="EN319" s="712"/>
      <c r="EO319" s="712"/>
      <c r="EP319" s="712"/>
      <c r="EQ319" s="712"/>
      <c r="ER319" s="697">
        <f t="shared" si="920"/>
        <v>-4965.8959893096235</v>
      </c>
      <c r="ES319" s="712">
        <f t="shared" si="921"/>
        <v>0</v>
      </c>
      <c r="ET319" s="794">
        <f t="shared" si="919"/>
        <v>1108</v>
      </c>
      <c r="EU319" s="794" t="e">
        <f t="shared" si="838"/>
        <v>#N/A</v>
      </c>
      <c r="EV319" s="795" t="e">
        <f t="shared" si="836"/>
        <v>#N/A</v>
      </c>
      <c r="EW319" s="796" t="s">
        <v>757</v>
      </c>
      <c r="EX319" s="796" t="s">
        <v>757</v>
      </c>
      <c r="EY319" s="794" t="e">
        <v>#N/A</v>
      </c>
      <c r="EZ319" s="798">
        <v>8295.0000000158579</v>
      </c>
      <c r="FA319" s="712"/>
      <c r="FB319" s="712"/>
      <c r="FC319" s="712"/>
      <c r="FD319" s="712"/>
      <c r="FE319" s="712">
        <f>O319+Sheet1!CO319</f>
        <v>44.129999999990105</v>
      </c>
      <c r="FF319" s="712">
        <f>IF(Sheet1!AA319+AG319&lt;=Calculation!N319,AG319,Calculation!N319-Sheet1!AA319)</f>
        <v>17.029999999998836</v>
      </c>
      <c r="FG319" s="712">
        <f>(Sheet1!BP319+Sheet1!BO319)/694.4</f>
        <v>1.144873271889401</v>
      </c>
      <c r="FH319" s="712"/>
      <c r="FI319" s="712"/>
      <c r="FJ319" s="712"/>
      <c r="FK319" s="712"/>
      <c r="FL319" s="714">
        <f t="shared" si="827"/>
        <v>40753</v>
      </c>
      <c r="FM319" s="714">
        <f t="shared" si="828"/>
        <v>40851</v>
      </c>
      <c r="FN319" s="712"/>
      <c r="FO319" s="712"/>
      <c r="FP319" s="712"/>
      <c r="FQ319" s="712"/>
      <c r="FR319" s="712"/>
      <c r="FS319" s="725">
        <f t="shared" si="923"/>
        <v>40603</v>
      </c>
      <c r="FT319" s="714">
        <f t="shared" si="830"/>
        <v>40709</v>
      </c>
      <c r="FU319" s="712">
        <f t="shared" si="923"/>
        <v>6518.9048239895692</v>
      </c>
      <c r="FV319" s="714">
        <f t="shared" si="831"/>
        <v>40722</v>
      </c>
      <c r="FW319" s="712">
        <f t="shared" si="923"/>
        <v>3259.4524119947846</v>
      </c>
      <c r="FX319" s="725">
        <f t="shared" si="923"/>
        <v>40851</v>
      </c>
      <c r="FZ319" s="697">
        <f t="shared" si="824"/>
        <v>0</v>
      </c>
      <c r="GA319" s="712" t="str">
        <f t="shared" si="899"/>
        <v/>
      </c>
      <c r="GB319" s="712">
        <f t="shared" si="900"/>
        <v>0</v>
      </c>
      <c r="GC319" s="712" t="str">
        <f t="shared" si="901"/>
        <v/>
      </c>
      <c r="GD319" s="712">
        <f>IF(GA319="P",Lookup!$M$12,IF(GA319="PP",Lookup!$M$13,IF(GA319="PPP",Lookup!$M$14,IF(GA319="T",Lookup!$M$15,IF(GA319="TP",Lookup!$M$16,IF(GA319="TPP",Lookup!$M$17,IF(GA319="TPPP",Lookup!$M$18,0)))))))*FZ319</f>
        <v>0</v>
      </c>
      <c r="GE319" s="712">
        <f t="shared" si="902"/>
        <v>0</v>
      </c>
      <c r="GF319" s="712">
        <f t="shared" si="903"/>
        <v>292.01583466666614</v>
      </c>
      <c r="GG319" s="712">
        <f t="shared" si="904"/>
        <v>95.181171664493519</v>
      </c>
      <c r="GH319" s="712"/>
      <c r="GI319" s="712">
        <f t="shared" si="905"/>
        <v>0</v>
      </c>
      <c r="GJ319" s="712" t="str">
        <f t="shared" si="906"/>
        <v/>
      </c>
      <c r="GK319" s="712">
        <f>IF(GA319="P",Lookup!$N$12,IF(GA319="PP",Lookup!$N$13,IF(GA319="PPP",Lookup!$N$14,IF(GA319="T",Lookup!$N$15,IF(GA319="TP",Lookup!$N$16,IF(GA319="TPP",Lookup!$N$17,IF(GA319="TPPP",Lookup!$N$18,0)))))))*FZ319</f>
        <v>0</v>
      </c>
      <c r="GL319" s="712">
        <f t="shared" si="907"/>
        <v>0</v>
      </c>
      <c r="GM319" s="712">
        <f t="shared" si="908"/>
        <v>205.74595176062971</v>
      </c>
      <c r="GN319" s="712">
        <f t="shared" si="909"/>
        <v>67.061913872434715</v>
      </c>
      <c r="GO319" s="712"/>
      <c r="GP319" s="712">
        <f t="shared" si="910"/>
        <v>0</v>
      </c>
      <c r="GQ319" s="712" t="str">
        <f t="shared" si="911"/>
        <v/>
      </c>
      <c r="GR319" s="712">
        <f>IF(GA319="P",Lookup!$N$12,IF(GA319="PP",Lookup!$N$13,IF(GA319="PPP",Lookup!$N$14,IF(GA319="T",Lookup!$N$15,IF(GA319="TP",Lookup!$N$16,IF(GA319="TPP",Lookup!$N$17,IF(GA319="TPPP",Lookup!$N$18,0)))))))*FZ319</f>
        <v>0</v>
      </c>
      <c r="GS319" s="697">
        <f t="shared" si="825"/>
        <v>0</v>
      </c>
      <c r="GT319" s="712">
        <f t="shared" si="912"/>
        <v>288.36223720936414</v>
      </c>
      <c r="GU319" s="712">
        <f t="shared" si="913"/>
        <v>93.990298960027431</v>
      </c>
      <c r="GV319" s="712"/>
      <c r="GW319" s="712">
        <f t="shared" si="914"/>
        <v>0</v>
      </c>
      <c r="GX319" s="712" t="str">
        <f t="shared" si="915"/>
        <v/>
      </c>
      <c r="GY319" s="712">
        <f>IF(GA319="P",Lookup!$N$12,IF(GA319="PP",Lookup!$N$13,IF(GA319="PPP",Lookup!$N$14,IF(GA319="T",Lookup!$N$15,IF(GA319="TP",Lookup!$N$16,IF(GA319="TPP",Lookup!$N$17,IF(GA319="TPPP",Lookup!$N$18,0)))))))*FZ319</f>
        <v>0</v>
      </c>
      <c r="GZ319" s="697">
        <f t="shared" si="826"/>
        <v>0</v>
      </c>
      <c r="HA319" s="712">
        <f t="shared" si="916"/>
        <v>497.45440763593012</v>
      </c>
      <c r="HB319" s="712">
        <f t="shared" si="917"/>
        <v>162.14289688263693</v>
      </c>
      <c r="HC319" s="712"/>
    </row>
    <row r="320" spans="1:211">
      <c r="A320" s="773" t="s">
        <v>6</v>
      </c>
      <c r="B320" s="708">
        <v>40849</v>
      </c>
      <c r="C320" s="719">
        <v>0.5</v>
      </c>
      <c r="D320" s="675">
        <f t="shared" si="840"/>
        <v>300</v>
      </c>
      <c r="E320" s="675">
        <f t="shared" si="841"/>
        <v>250</v>
      </c>
      <c r="F320" s="675">
        <v>250</v>
      </c>
      <c r="G320" s="712">
        <f>DH320+Sheet1!CV320</f>
        <v>741.98877962639358</v>
      </c>
      <c r="H320" s="712">
        <f t="shared" si="842"/>
        <v>212.65834715050079</v>
      </c>
      <c r="I320" s="711">
        <f>MAX(Sheet1!Z320-AJ320+(Sheet1!CW320-E320)*CFStoMGD,0)</f>
        <v>648.31467661691829</v>
      </c>
      <c r="J320" s="720">
        <f>IF(AND(B320&gt;=Calculation!FS320,B320&lt;=Calculation!FT320),IF(Sheet1!CX320&gt;=Calculation!D320,64.64,0),MAX(Sheet1!Z320-AJ320+(Sheet1!CX320-D320)*CFStoMGD,0))</f>
        <v>444.89394328358486</v>
      </c>
      <c r="K320" s="697">
        <f t="shared" si="843"/>
        <v>64.64</v>
      </c>
      <c r="L320" s="712">
        <f>Sheet1!AA320+Sheet1!AB320-Sheet1!L320+(Sheet1!CW320-F320)*CFStoMGD</f>
        <v>670.93333333333737</v>
      </c>
      <c r="M320" s="712">
        <f t="shared" si="844"/>
        <v>489.21397809351083</v>
      </c>
      <c r="N320" s="712">
        <f>IF(Sheet1!CW320&gt;=F320,MIN(73,MIN(MAX(L320,0),MAX(M320,0))),0)</f>
        <v>73</v>
      </c>
      <c r="O320" s="721">
        <f>Sheet1!AA320+Sheet1!AB320</f>
        <v>44.05000000000291</v>
      </c>
      <c r="P320" s="721">
        <f t="shared" si="845"/>
        <v>68.145350000004498</v>
      </c>
      <c r="Q320" s="712">
        <f>MIN(N320,Sheet1!AA320+AG320)</f>
        <v>43.268656716420949</v>
      </c>
      <c r="R320" s="712">
        <f t="shared" si="846"/>
        <v>9.5</v>
      </c>
      <c r="S320" s="721">
        <f>Sheet1!Y320*MGDtoCFS</f>
        <v>41.923700000000004</v>
      </c>
      <c r="T320" s="721">
        <f>Sheet1!Z320*MGDtoCFS</f>
        <v>26.144299999999998</v>
      </c>
      <c r="U320" s="721">
        <f>Sheet1!AA320*MGDtoCFS</f>
        <v>41.150200000009001</v>
      </c>
      <c r="V320" s="721">
        <f>Sheet1!AB320*MGDtoCFS</f>
        <v>26.995149999995498</v>
      </c>
      <c r="W320" s="721">
        <f>Sheet1!L320*MGDtoCFS</f>
        <v>32.796399999998307</v>
      </c>
      <c r="X320" s="697">
        <f t="shared" si="847"/>
        <v>2</v>
      </c>
      <c r="Y320" s="712">
        <f t="shared" si="848"/>
        <v>3.0939999999999999</v>
      </c>
      <c r="Z320" s="712">
        <f t="shared" si="849"/>
        <v>0</v>
      </c>
      <c r="AA320" s="712">
        <f t="shared" si="850"/>
        <v>0</v>
      </c>
      <c r="AB320" s="712">
        <f>(VLOOKUP(Sheet1!CY320,hhdcap_wcm,4)-(((VLOOKUP(Sheet1!CY320,hhdcap_wcm,3)-Sheet1!CY320)/(VLOOKUP(Sheet1!CY320,hhdcap_wcm,3)-VLOOKUP(Sheet1!CY320,hhdcap_wcm,1)))*(VLOOKUP(Sheet1!CY320,hhdcap_wcm,4)-VLOOKUP(Sheet1!CY320,hhdcap_wcm,2))))</f>
        <v>4287.0500000071297</v>
      </c>
      <c r="AC320" s="712">
        <f t="shared" si="851"/>
        <v>-477.76000000086151</v>
      </c>
      <c r="AD320" s="712">
        <f t="shared" si="852"/>
        <v>416.37628137959257</v>
      </c>
      <c r="AE320" s="712">
        <f t="shared" si="853"/>
        <v>1277.4424312725901</v>
      </c>
      <c r="AF320" s="712">
        <f>Sheet1!BA320+Sheet1!BB320+Sheet1!BN320+BT320</f>
        <v>16</v>
      </c>
      <c r="AG320" s="712">
        <f t="shared" si="854"/>
        <v>16.668656716415132</v>
      </c>
      <c r="AH320" s="712">
        <f>Sheet1!BA320+BT320</f>
        <v>0</v>
      </c>
      <c r="AI320" s="712">
        <f>Sheet1!BA320+Sheet1!BB320+BT320</f>
        <v>0</v>
      </c>
      <c r="AJ320" s="712">
        <f>IF((Sheet1!AA320+AG320+AX320+AZ320+BQ320+BS320+CL320+CN320)&lt;=N320,AG320+AX320+AZ320+BQ320+BS320+CL320+CN320,N320-Sheet1!AA320)</f>
        <v>16.668656716415132</v>
      </c>
      <c r="AK320" s="712">
        <f>IF(DR320&lt;K320,0,MAX(Sheet1!AA320+AG320-15/36*K320-N320,Sheet1!ED320,0))</f>
        <v>0</v>
      </c>
      <c r="AL320" s="712">
        <f>IF(OR(B320&gt;=FT320,B320&lt;FS320),0,15/36*K320-MAX(0,64.6-(137.6-(Sheet1!AA320+Sheet1!AB320))))</f>
        <v>0</v>
      </c>
      <c r="AM320" s="712">
        <f>Sheet1!CX320-110</f>
        <v>877.90625</v>
      </c>
      <c r="AN320" s="712">
        <f>Sheet1!CW320-265</f>
        <v>987.60416666666674</v>
      </c>
      <c r="AO320" s="712">
        <f t="shared" si="835"/>
        <v>29.731343283579051</v>
      </c>
      <c r="AP320" s="712">
        <f t="shared" si="855"/>
        <v>0</v>
      </c>
      <c r="AQ320" s="712">
        <f t="shared" si="856"/>
        <v>0</v>
      </c>
      <c r="AR320" s="712">
        <f t="shared" si="857"/>
        <v>95.181171664493519</v>
      </c>
      <c r="AS320" s="712"/>
      <c r="AT320" s="712">
        <f ca="1">IF(B320&gt;Summary!$A$1,#N/A,AR320*MGtoAF)</f>
        <v>292.01583466666614</v>
      </c>
      <c r="AU320" s="712">
        <f>Sheet1!BG320+Sheet1!BH320+Sheet1!BI320-BC320</f>
        <v>0</v>
      </c>
      <c r="AV320" s="712">
        <f t="shared" si="858"/>
        <v>0</v>
      </c>
      <c r="AW320" s="712">
        <f>IF(Sheet1!EL320="FM",BC320,0)</f>
        <v>0</v>
      </c>
      <c r="AX320" s="712">
        <f t="shared" si="859"/>
        <v>0</v>
      </c>
      <c r="AY320" s="712">
        <f>IF(Sheet1!EL320="OTHER",BC320,0)</f>
        <v>0</v>
      </c>
      <c r="AZ320" s="712">
        <f t="shared" si="860"/>
        <v>0</v>
      </c>
      <c r="BA320" s="712">
        <f t="shared" si="861"/>
        <v>0</v>
      </c>
      <c r="BB320" s="712">
        <f t="shared" si="862"/>
        <v>0</v>
      </c>
      <c r="BC320" s="712">
        <f>IF(OR(Sheet1!EL320="FM", Sheet1!EL320="OTHER"),SUM(Sheet1!BG320:'Sheet1'!BI320),0)</f>
        <v>0</v>
      </c>
      <c r="BD320" s="800">
        <v>0</v>
      </c>
      <c r="BE320" s="712">
        <f t="shared" si="863"/>
        <v>0</v>
      </c>
      <c r="BF320" s="697">
        <f t="shared" si="864"/>
        <v>0</v>
      </c>
      <c r="BG320" s="697">
        <f>IF(AND($O320&gt;0,Sheet1!EI320=1),(1-($O320-Sheet1!$L320)/$O320)*BB320,0)</f>
        <v>0</v>
      </c>
      <c r="BH320" s="697">
        <f>IF(AND(Sheet1!$L320=0,Sheet1!$L319=0, Calculation!BA320&lt;Sheet1!$EE320-0.1,Sheet1!$EE320=Sheet1!$EE319,Sheet1!$EE320=Sheet1!$EE321),Sheet1!$EE320,BB320-BG320)</f>
        <v>0</v>
      </c>
      <c r="BI320" s="712"/>
      <c r="BJ320" s="712"/>
      <c r="BK320" s="712">
        <f t="shared" si="865"/>
        <v>67.061913872434715</v>
      </c>
      <c r="BL320" s="712"/>
      <c r="BM320" s="712">
        <f ca="1">IF(B320&gt;Summary!$A$1,#N/A,BK320*MGtoAF)</f>
        <v>205.74595176062971</v>
      </c>
      <c r="BN320" s="712">
        <f>Sheet1!BC320+Sheet1!BD320+Sheet1!BE320+Sheet1!BF320-BW320-BX320</f>
        <v>0.75</v>
      </c>
      <c r="BO320" s="712">
        <f t="shared" si="866"/>
        <v>0.78134328358195926</v>
      </c>
      <c r="BP320" s="712">
        <f>IF(Sheet1!EM320="FM",BX320,0)</f>
        <v>0</v>
      </c>
      <c r="BQ320" s="712">
        <f t="shared" si="867"/>
        <v>0</v>
      </c>
      <c r="BR320" s="712">
        <f>IF(Sheet1!EM320="OTHER",BX320,0)</f>
        <v>0</v>
      </c>
      <c r="BS320" s="712">
        <f t="shared" si="868"/>
        <v>0</v>
      </c>
      <c r="BT320" s="712">
        <f t="shared" si="869"/>
        <v>0</v>
      </c>
      <c r="BU320" s="712">
        <f t="shared" si="870"/>
        <v>0.75</v>
      </c>
      <c r="BV320" s="712">
        <f t="shared" si="871"/>
        <v>0.78134328358195926</v>
      </c>
      <c r="BW320" s="712">
        <f>IF(Sheet1!EM320="CWA",SUM(Sheet1!BC320:'Sheet1'!BF320),0)</f>
        <v>0</v>
      </c>
      <c r="BX320" s="712">
        <f>IF(OR(Sheet1!EM320="FM", Sheet1!EM320="OTHER"),SUM(Sheet1!BC320:'Sheet1'!BF320),0)</f>
        <v>0</v>
      </c>
      <c r="BY320" s="697">
        <f>IF(AND($B320&gt;=$FL320,$B320&lt;=$FM320),MAX(BV320,Sheet1!EF320,0),MAX(BV320-(7/36)*$K320,0))</f>
        <v>2</v>
      </c>
      <c r="BZ320" s="712">
        <f t="shared" si="872"/>
        <v>0</v>
      </c>
      <c r="CA320" s="697">
        <f t="shared" si="873"/>
        <v>0</v>
      </c>
      <c r="CB320" s="697">
        <f>IF(AND($O320&gt;0,Sheet1!EJ320=1),(1-($O320-Sheet1!$L320)/$O320)*BV320,0)</f>
        <v>0.37603808426641522</v>
      </c>
      <c r="CC320" s="697">
        <f>IF(AND(Sheet1!$L320=0,Sheet1!$L319=0, Calculation!BU320&lt;Sheet1!EF320-0.1,Sheet1!EF320=Sheet1!EF319,Sheet1!EF320=Sheet1!EF321),Sheet1!EF320,BV320-CB320)</f>
        <v>0.40530519931554404</v>
      </c>
      <c r="CD320" s="697"/>
      <c r="CE320" s="712"/>
      <c r="CF320" s="712">
        <f t="shared" si="874"/>
        <v>91.990298960027431</v>
      </c>
      <c r="CG320" s="712"/>
      <c r="CH320" s="712">
        <f ca="1">IF(B320&gt;Summary!$A$1,#N/A,CF320*MGtoAF)</f>
        <v>282.22623720936417</v>
      </c>
      <c r="CI320" s="712">
        <f>Sheet1!BK320+Sheet1!BL320+Sheet1!BM320-Sheet1!EN320-CQ320</f>
        <v>0</v>
      </c>
      <c r="CJ320" s="712">
        <f t="shared" si="875"/>
        <v>0</v>
      </c>
      <c r="CK320" s="712">
        <f>IF(Sheet1!EN320="FM",CQ320,0)</f>
        <v>0</v>
      </c>
      <c r="CL320" s="712">
        <f t="shared" si="876"/>
        <v>0</v>
      </c>
      <c r="CM320" s="712">
        <f>IF(Sheet1!EN320="OTHER",CQ320,0)</f>
        <v>0</v>
      </c>
      <c r="CN320" s="712">
        <f t="shared" si="877"/>
        <v>0</v>
      </c>
      <c r="CO320" s="712">
        <f t="shared" si="878"/>
        <v>0</v>
      </c>
      <c r="CP320" s="712">
        <f t="shared" si="879"/>
        <v>0</v>
      </c>
      <c r="CQ320" s="712">
        <f>IF(OR(Sheet1!EN320="FM", Sheet1!EN320="OTHER"),SUM(Sheet1!BK320:'Sheet1'!BM320),0)</f>
        <v>0</v>
      </c>
      <c r="CR320" s="800">
        <v>0</v>
      </c>
      <c r="CS320" s="712">
        <f t="shared" si="880"/>
        <v>0</v>
      </c>
      <c r="CT320" s="697">
        <f t="shared" si="881"/>
        <v>0</v>
      </c>
      <c r="CU320" s="697">
        <f>IF(AND($O320&gt;0,Sheet1!EK320=1),(1-($O320-Sheet1!$L320)/$O320)*CP320,0)</f>
        <v>0</v>
      </c>
      <c r="CV320" s="697">
        <f>IF(AND(Sheet1!$L320=0,Sheet1!$L319=0, Calculation!CO320&lt;Sheet1!$EG320-0.1,Sheet1!$EG320=Sheet1!$EG319,Sheet1!$EG320=Sheet1!$EG321),Sheet1!$EG320,CP320-CU320)</f>
        <v>0</v>
      </c>
      <c r="CW320" s="697">
        <f t="shared" si="837"/>
        <v>0</v>
      </c>
      <c r="CX320" s="712">
        <f t="shared" si="882"/>
        <v>0.75</v>
      </c>
      <c r="CY320" s="712">
        <f t="shared" si="883"/>
        <v>162.14289688263693</v>
      </c>
      <c r="CZ320" s="712">
        <f t="shared" si="884"/>
        <v>0.78134328358195926</v>
      </c>
      <c r="DA320" s="712">
        <f ca="1">IF(B320&gt;Summary!$A$1,#N/A,CY320*MGtoAF)</f>
        <v>497.45440763593012</v>
      </c>
      <c r="DB320" s="712">
        <f t="shared" si="885"/>
        <v>0.75</v>
      </c>
      <c r="DC320" s="712">
        <f t="shared" si="886"/>
        <v>16.75</v>
      </c>
      <c r="DD320" s="712">
        <f>Sheet1!AB320-DC320</f>
        <v>0.69999999999708962</v>
      </c>
      <c r="DE320" s="712">
        <f t="shared" si="887"/>
        <v>4.1791044775945647E-2</v>
      </c>
      <c r="DF320" s="712">
        <f>(VLOOKUP(Sheet1!CY320,hhdcap_wcm,4)-(((VLOOKUP(Sheet1!CY320,hhdcap_wcm,3)-Sheet1!CY320)/(VLOOKUP(Sheet1!CY320,hhdcap_wcm,3)-VLOOKUP(Sheet1!CY320,hhdcap_wcm,1)))*(VLOOKUP(Sheet1!CY320,hhdcap_wcm,4)-VLOOKUP(Sheet1!CY320,hhdcap_wcm,2))))</f>
        <v>4287.0500000071297</v>
      </c>
      <c r="DG320" s="712">
        <f t="shared" si="888"/>
        <v>-477.76000000086151</v>
      </c>
      <c r="DH320" s="712">
        <f t="shared" si="889"/>
        <v>-240.92788704027305</v>
      </c>
      <c r="DI320" s="712">
        <f>Sheet1!DW320*AFtoMG</f>
        <v>0</v>
      </c>
      <c r="DJ320" s="712">
        <f>Sheet1!DX320*AFtoMG</f>
        <v>0</v>
      </c>
      <c r="DK320" s="712">
        <f>Sheet1!DY320*AFtoMG</f>
        <v>0</v>
      </c>
      <c r="DL320" s="712">
        <f>Sheet1!DZ320*AFtoMG</f>
        <v>0</v>
      </c>
      <c r="DM320" s="712">
        <f t="shared" si="890"/>
        <v>0</v>
      </c>
      <c r="DN320" s="712">
        <f t="shared" si="891"/>
        <v>0</v>
      </c>
      <c r="DO320" s="712">
        <f t="shared" si="892"/>
        <v>416.37628137959257</v>
      </c>
      <c r="DP320" s="712">
        <f t="shared" si="893"/>
        <v>1277.4424312725901</v>
      </c>
      <c r="DQ320" s="712"/>
      <c r="DR320" s="697">
        <f>IF(OR(B320&lt;FL320,B320&gt;FM320),(MIN(AV320+BO320+CJ320+MAX(Sheet1!AA320+AG320-73,0),K320)),0)</f>
        <v>0</v>
      </c>
      <c r="DS320" s="712"/>
      <c r="DT320" s="712">
        <f t="shared" si="894"/>
        <v>0.78134328358195926</v>
      </c>
      <c r="DU320" s="712"/>
      <c r="DV320" s="712">
        <f>Sheet1!ED320+Sheet1!EE320+Sheet1!EF320+Sheet1!EG320</f>
        <v>9.5</v>
      </c>
      <c r="DW320" s="712"/>
      <c r="DX320" s="697">
        <f t="shared" si="895"/>
        <v>0</v>
      </c>
      <c r="DY320" s="712">
        <f>IF(Sheet1!FN320=1,SUM('Calculations II'!AT320:BA320)+'Calculations II'!BC320+Sheet1!BU320+'Calculations II'!BE320+AF320,SUM('Calculations II'!AT320:BA320)+'Calculations II'!BC320+Sheet1!BU320+'Calculations II'!BE320+AF320)</f>
        <v>43.209344000000002</v>
      </c>
      <c r="DZ320" s="712">
        <f>Sheet1!AA320+Sheet1!AB320+'Calculations II'!BC320</f>
        <v>44.05000000000291</v>
      </c>
      <c r="EA320" s="712"/>
      <c r="EB320" s="712"/>
      <c r="EC320" s="712">
        <f t="shared" si="896"/>
        <v>40849</v>
      </c>
      <c r="ED320" s="712">
        <f t="shared" si="897"/>
        <v>-2</v>
      </c>
      <c r="EE320" s="712">
        <f t="shared" si="898"/>
        <v>-3.0939999999999999</v>
      </c>
      <c r="EF320" s="712">
        <f ca="1">IF(B320=TODAY(),0,-(VLOOKUP(Sheet1!BQ320,Lookup!$B$4:$J$236,2)-VLOOKUP(Sheet1!BQ319,Lookup!$B$4:$J$236,2))/1000000)</f>
        <v>1.6428</v>
      </c>
      <c r="EG320" s="712">
        <f ca="1">IF(B320=TODAY(),0,-(VLOOKUP(Sheet1!BR320,Lookup!$B$4:$J$236,3)-VLOOKUP(Sheet1!BR319,Lookup!$B$4:$J$236,3))/1000000)</f>
        <v>1.6404000000000001</v>
      </c>
      <c r="EH320" s="712">
        <f>-(VLOOKUP(Sheet1!BS320,Lookup!$B$4:$J$236,4)-VLOOKUP(Sheet1!BS319,Lookup!$B$4:$J$236,4))/1000000</f>
        <v>0</v>
      </c>
      <c r="EI320" s="697">
        <f t="shared" ca="1" si="922"/>
        <v>3.2831999999999999</v>
      </c>
      <c r="EJ320" s="712"/>
      <c r="EK320" s="712"/>
      <c r="EL320" s="712"/>
      <c r="EM320" s="712"/>
      <c r="EN320" s="712"/>
      <c r="EO320" s="712"/>
      <c r="EP320" s="712"/>
      <c r="EQ320" s="712"/>
      <c r="ER320" s="697">
        <f t="shared" si="920"/>
        <v>-4971.6934890428374</v>
      </c>
      <c r="ES320" s="712">
        <f t="shared" si="921"/>
        <v>5.7974997332138845</v>
      </c>
      <c r="ET320" s="794">
        <f t="shared" si="919"/>
        <v>1107</v>
      </c>
      <c r="EU320" s="794" t="e">
        <f t="shared" si="838"/>
        <v>#N/A</v>
      </c>
      <c r="EV320" s="795" t="e">
        <f t="shared" si="836"/>
        <v>#N/A</v>
      </c>
      <c r="EW320" s="796" t="s">
        <v>757</v>
      </c>
      <c r="EX320" s="796" t="s">
        <v>757</v>
      </c>
      <c r="EY320" s="794" t="e">
        <v>#N/A</v>
      </c>
      <c r="EZ320" s="798">
        <v>7987.0000000151267</v>
      </c>
      <c r="FA320" s="712"/>
      <c r="FB320" s="712"/>
      <c r="FC320" s="712"/>
      <c r="FD320" s="712"/>
      <c r="FE320" s="712">
        <f>O320+Sheet1!CO320</f>
        <v>44.05000000000291</v>
      </c>
      <c r="FF320" s="712">
        <f>IF(Sheet1!AA320+AG320&lt;=Calculation!N320,AG320,Calculation!N320-Sheet1!AA320)</f>
        <v>16.668656716415132</v>
      </c>
      <c r="FG320" s="712">
        <f>(Sheet1!BP320+Sheet1!BO320)/694.4</f>
        <v>2.3702476958525347</v>
      </c>
      <c r="FH320" s="712"/>
      <c r="FI320" s="712"/>
      <c r="FJ320" s="712"/>
      <c r="FK320" s="712"/>
      <c r="FL320" s="714">
        <f t="shared" si="827"/>
        <v>40753</v>
      </c>
      <c r="FM320" s="714">
        <f t="shared" si="828"/>
        <v>40851</v>
      </c>
      <c r="FN320" s="712"/>
      <c r="FO320" s="712"/>
      <c r="FP320" s="712"/>
      <c r="FQ320" s="712"/>
      <c r="FR320" s="712"/>
      <c r="FS320" s="725">
        <f t="shared" si="923"/>
        <v>40603</v>
      </c>
      <c r="FT320" s="714">
        <f t="shared" si="830"/>
        <v>40709</v>
      </c>
      <c r="FU320" s="712">
        <f t="shared" si="923"/>
        <v>6518.9048239895692</v>
      </c>
      <c r="FV320" s="714">
        <f t="shared" si="831"/>
        <v>40722</v>
      </c>
      <c r="FW320" s="712">
        <f t="shared" si="923"/>
        <v>3259.4524119947846</v>
      </c>
      <c r="FX320" s="725">
        <f t="shared" si="923"/>
        <v>40851</v>
      </c>
      <c r="FZ320" s="697">
        <f t="shared" si="824"/>
        <v>0</v>
      </c>
      <c r="GA320" s="712" t="str">
        <f t="shared" si="899"/>
        <v/>
      </c>
      <c r="GB320" s="712">
        <f t="shared" si="900"/>
        <v>0</v>
      </c>
      <c r="GC320" s="712" t="str">
        <f t="shared" si="901"/>
        <v/>
      </c>
      <c r="GD320" s="712">
        <f>IF(GA320="P",Lookup!$M$12,IF(GA320="PP",Lookup!$M$13,IF(GA320="PPP",Lookup!$M$14,IF(GA320="T",Lookup!$M$15,IF(GA320="TP",Lookup!$M$16,IF(GA320="TPP",Lookup!$M$17,IF(GA320="TPPP",Lookup!$M$18,0)))))))*FZ320</f>
        <v>0</v>
      </c>
      <c r="GE320" s="712">
        <f t="shared" si="902"/>
        <v>0</v>
      </c>
      <c r="GF320" s="712">
        <f t="shared" si="903"/>
        <v>292.01583466666614</v>
      </c>
      <c r="GG320" s="712">
        <f t="shared" si="904"/>
        <v>95.181171664493519</v>
      </c>
      <c r="GH320" s="712"/>
      <c r="GI320" s="712">
        <f t="shared" si="905"/>
        <v>0</v>
      </c>
      <c r="GJ320" s="712" t="str">
        <f t="shared" si="906"/>
        <v/>
      </c>
      <c r="GK320" s="712">
        <f>IF(GA320="P",Lookup!$N$12,IF(GA320="PP",Lookup!$N$13,IF(GA320="PPP",Lookup!$N$14,IF(GA320="T",Lookup!$N$15,IF(GA320="TP",Lookup!$N$16,IF(GA320="TPP",Lookup!$N$17,IF(GA320="TPPP",Lookup!$N$18,0)))))))*FZ320</f>
        <v>0</v>
      </c>
      <c r="GL320" s="712">
        <f t="shared" si="907"/>
        <v>0</v>
      </c>
      <c r="GM320" s="712">
        <f t="shared" si="908"/>
        <v>205.74595176062971</v>
      </c>
      <c r="GN320" s="712">
        <f t="shared" si="909"/>
        <v>67.061913872434715</v>
      </c>
      <c r="GO320" s="712"/>
      <c r="GP320" s="712">
        <f t="shared" si="910"/>
        <v>0</v>
      </c>
      <c r="GQ320" s="712" t="str">
        <f t="shared" si="911"/>
        <v/>
      </c>
      <c r="GR320" s="712">
        <f>IF(GA320="P",Lookup!$N$12,IF(GA320="PP",Lookup!$N$13,IF(GA320="PPP",Lookup!$N$14,IF(GA320="T",Lookup!$N$15,IF(GA320="TP",Lookup!$N$16,IF(GA320="TPP",Lookup!$N$17,IF(GA320="TPPP",Lookup!$N$18,0)))))))*FZ320</f>
        <v>0</v>
      </c>
      <c r="GS320" s="697">
        <f t="shared" si="825"/>
        <v>0</v>
      </c>
      <c r="GT320" s="712">
        <f t="shared" si="912"/>
        <v>282.22623720936417</v>
      </c>
      <c r="GU320" s="712">
        <f t="shared" si="913"/>
        <v>91.990298960027431</v>
      </c>
      <c r="GV320" s="712"/>
      <c r="GW320" s="712">
        <f t="shared" si="914"/>
        <v>0</v>
      </c>
      <c r="GX320" s="712" t="str">
        <f t="shared" si="915"/>
        <v/>
      </c>
      <c r="GY320" s="712">
        <f>IF(GA320="P",Lookup!$N$12,IF(GA320="PP",Lookup!$N$13,IF(GA320="PPP",Lookup!$N$14,IF(GA320="T",Lookup!$N$15,IF(GA320="TP",Lookup!$N$16,IF(GA320="TPP",Lookup!$N$17,IF(GA320="TPPP",Lookup!$N$18,0)))))))*FZ320</f>
        <v>0</v>
      </c>
      <c r="GZ320" s="697">
        <f t="shared" si="826"/>
        <v>0</v>
      </c>
      <c r="HA320" s="712">
        <f t="shared" si="916"/>
        <v>497.45440763593012</v>
      </c>
      <c r="HB320" s="712">
        <f t="shared" si="917"/>
        <v>162.14289688263693</v>
      </c>
      <c r="HC320" s="712"/>
    </row>
    <row r="321" spans="1:211">
      <c r="A321" s="773" t="s">
        <v>7</v>
      </c>
      <c r="B321" s="708">
        <v>40850</v>
      </c>
      <c r="C321" s="719">
        <v>0.5</v>
      </c>
      <c r="D321" s="675">
        <f t="shared" si="840"/>
        <v>300</v>
      </c>
      <c r="E321" s="675">
        <f t="shared" si="841"/>
        <v>250</v>
      </c>
      <c r="F321" s="675">
        <v>250</v>
      </c>
      <c r="G321" s="712">
        <f>DH321+Sheet1!CV321</f>
        <v>699.03681290919644</v>
      </c>
      <c r="H321" s="712">
        <f t="shared" si="842"/>
        <v>184.89419586450458</v>
      </c>
      <c r="I321" s="711">
        <f>MAX(Sheet1!Z321-AJ321+(Sheet1!CW321-E321)*CFStoMGD,0)</f>
        <v>651.11667637540313</v>
      </c>
      <c r="J321" s="720">
        <f>IF(AND(B321&gt;=Calculation!FS321,B321&lt;=Calculation!FT321),IF(Sheet1!CX321&gt;=Calculation!D321,64.64,0),MAX(Sheet1!Z321-AJ321+(Sheet1!CX321-D321)*CFStoMGD,0))</f>
        <v>433.9060763754033</v>
      </c>
      <c r="K321" s="697">
        <f t="shared" si="843"/>
        <v>64.64</v>
      </c>
      <c r="L321" s="712">
        <f>Sheet1!AA321+Sheet1!AB321-Sheet1!L321+(Sheet1!CW321-F321)*CFStoMGD</f>
        <v>670.02866666666625</v>
      </c>
      <c r="M321" s="712">
        <f t="shared" si="844"/>
        <v>460.89454378179471</v>
      </c>
      <c r="N321" s="712">
        <f>IF(Sheet1!CW321&gt;=F321,MIN(73,MIN(MAX(L321,0),MAX(M321,0))),0)</f>
        <v>73</v>
      </c>
      <c r="O321" s="721">
        <f>Sheet1!AA321+Sheet1!AB321</f>
        <v>47.150000000001455</v>
      </c>
      <c r="P321" s="721">
        <f t="shared" si="845"/>
        <v>72.941050000002249</v>
      </c>
      <c r="Q321" s="712">
        <f>MIN(N321,Sheet1!AA321+AG321)</f>
        <v>43.841990291263357</v>
      </c>
      <c r="R321" s="712">
        <f t="shared" si="846"/>
        <v>9.5</v>
      </c>
      <c r="S321" s="721">
        <f>Sheet1!Y321*MGDtoCFS</f>
        <v>40.9955</v>
      </c>
      <c r="T321" s="721">
        <f>Sheet1!Z321*MGDtoCFS</f>
        <v>30.166499999999999</v>
      </c>
      <c r="U321" s="721">
        <f>Sheet1!AA321*MGDtoCFS</f>
        <v>40.9955</v>
      </c>
      <c r="V321" s="721">
        <f>Sheet1!AB321*MGDtoCFS</f>
        <v>31.94555000000225</v>
      </c>
      <c r="W321" s="721">
        <f>Sheet1!L321*MGDtoCFS</f>
        <v>40.345760000002699</v>
      </c>
      <c r="X321" s="697">
        <f t="shared" si="847"/>
        <v>4.3080097087380969</v>
      </c>
      <c r="Y321" s="712">
        <f t="shared" si="848"/>
        <v>6.6644910194178353</v>
      </c>
      <c r="Z321" s="712">
        <f t="shared" si="849"/>
        <v>0</v>
      </c>
      <c r="AA321" s="712">
        <f t="shared" si="850"/>
        <v>0</v>
      </c>
      <c r="AB321" s="712">
        <f>(VLOOKUP(Sheet1!CY321,hhdcap_wcm,4)-(((VLOOKUP(Sheet1!CY321,hhdcap_wcm,3)-Sheet1!CY321)/(VLOOKUP(Sheet1!CY321,hhdcap_wcm,3)-VLOOKUP(Sheet1!CY321,hhdcap_wcm,1)))*(VLOOKUP(Sheet1!CY321,hhdcap_wcm,4)-VLOOKUP(Sheet1!CY321,hhdcap_wcm,2))))</f>
        <v>3769.5600000060663</v>
      </c>
      <c r="AC321" s="712">
        <f t="shared" si="851"/>
        <v>-517.49000000106344</v>
      </c>
      <c r="AD321" s="712">
        <f t="shared" si="852"/>
        <v>412.06827167085447</v>
      </c>
      <c r="AE321" s="712">
        <f t="shared" si="853"/>
        <v>1264.2254574861815</v>
      </c>
      <c r="AF321" s="712">
        <f>Sheet1!BA321+Sheet1!BB321+Sheet1!BN321+BT321</f>
        <v>17.3</v>
      </c>
      <c r="AG321" s="712">
        <f t="shared" si="854"/>
        <v>17.341990291263357</v>
      </c>
      <c r="AH321" s="712">
        <f>Sheet1!BA321+BT321</f>
        <v>0</v>
      </c>
      <c r="AI321" s="712">
        <f>Sheet1!BA321+Sheet1!BB321+BT321</f>
        <v>0</v>
      </c>
      <c r="AJ321" s="712">
        <f>IF((Sheet1!AA321+AG321+AX321+AZ321+BQ321+BS321+CL321+CN321)&lt;=N321,AG321+AX321+AZ321+BQ321+BS321+CL321+CN321,N321-Sheet1!AA321)</f>
        <v>17.341990291263357</v>
      </c>
      <c r="AK321" s="712">
        <f>IF(DR321&lt;K321,0,MAX(Sheet1!AA321+AG321-15/36*K321-N321,Sheet1!ED321,0))</f>
        <v>0</v>
      </c>
      <c r="AL321" s="712">
        <f>IF(OR(B321&gt;=FT321,B321&lt;FS321),0,15/36*K321-MAX(0,64.6-(137.6-(Sheet1!AA321+Sheet1!AB321))))</f>
        <v>0</v>
      </c>
      <c r="AM321" s="712">
        <f>Sheet1!CX321-110</f>
        <v>857.92708333333337</v>
      </c>
      <c r="AN321" s="712">
        <f>Sheet1!CW321-265</f>
        <v>988.95833333333326</v>
      </c>
      <c r="AO321" s="712">
        <f t="shared" si="835"/>
        <v>29.158009708736643</v>
      </c>
      <c r="AP321" s="712">
        <f t="shared" si="855"/>
        <v>0</v>
      </c>
      <c r="AQ321" s="712">
        <f t="shared" si="856"/>
        <v>0</v>
      </c>
      <c r="AR321" s="712">
        <f t="shared" si="857"/>
        <v>95.181171664493519</v>
      </c>
      <c r="AS321" s="712"/>
      <c r="AT321" s="712">
        <f ca="1">IF(B321&gt;Summary!$A$1,#N/A,AR321*MGtoAF)</f>
        <v>292.01583466666614</v>
      </c>
      <c r="AU321" s="712">
        <f>Sheet1!BG321+Sheet1!BH321+Sheet1!BI321-BC321</f>
        <v>0</v>
      </c>
      <c r="AV321" s="712">
        <f t="shared" si="858"/>
        <v>0</v>
      </c>
      <c r="AW321" s="712">
        <f>IF(Sheet1!EL321="FM",BC321,0)</f>
        <v>0</v>
      </c>
      <c r="AX321" s="712">
        <f t="shared" si="859"/>
        <v>0</v>
      </c>
      <c r="AY321" s="712">
        <f>IF(Sheet1!EL321="OTHER",BC321,0)</f>
        <v>0</v>
      </c>
      <c r="AZ321" s="712">
        <f t="shared" si="860"/>
        <v>0</v>
      </c>
      <c r="BA321" s="712">
        <f t="shared" si="861"/>
        <v>0</v>
      </c>
      <c r="BB321" s="712">
        <f t="shared" si="862"/>
        <v>0</v>
      </c>
      <c r="BC321" s="712">
        <f>IF(OR(Sheet1!EL321="FM", Sheet1!EL321="OTHER"),SUM(Sheet1!BG321:'Sheet1'!BI321),0)</f>
        <v>0</v>
      </c>
      <c r="BD321" s="697">
        <f>IF(AND($B321&gt;=$FL321,$B321&lt;=$FM321),MAX(AV321,Sheet1!EE321,0),MAX(AV321-(7/36)*$K321,0))</f>
        <v>1</v>
      </c>
      <c r="BE321" s="712">
        <f t="shared" si="863"/>
        <v>0</v>
      </c>
      <c r="BF321" s="697">
        <f t="shared" si="864"/>
        <v>0</v>
      </c>
      <c r="BG321" s="697">
        <f>IF(AND($O321&gt;0,Sheet1!EI321=1),(1-($O321-Sheet1!$L321)/$O321)*BB321,0)</f>
        <v>0</v>
      </c>
      <c r="BH321" s="697">
        <f>IF(AND(Sheet1!$L321=0,Sheet1!$L320=0, Calculation!BA321&lt;Sheet1!$EE321-0.1,Sheet1!$EE321=Sheet1!$EE320,Sheet1!$EE321=Sheet1!$EE322),Sheet1!$EE321,BB321-BG321)</f>
        <v>0</v>
      </c>
      <c r="BI321" s="712"/>
      <c r="BJ321" s="712"/>
      <c r="BK321" s="712">
        <f t="shared" si="865"/>
        <v>66.061913872434715</v>
      </c>
      <c r="BL321" s="712"/>
      <c r="BM321" s="712">
        <f ca="1">IF(B321&gt;Summary!$A$1,#N/A,BK321*MGtoAF)</f>
        <v>202.6779517606297</v>
      </c>
      <c r="BN321" s="712">
        <f>Sheet1!BC321+Sheet1!BD321+Sheet1!BE321+Sheet1!BF321-BW321-BX321</f>
        <v>3.3</v>
      </c>
      <c r="BO321" s="712">
        <f t="shared" si="866"/>
        <v>3.3080097087380969</v>
      </c>
      <c r="BP321" s="712">
        <f>IF(Sheet1!EM321="FM",BX321,0)</f>
        <v>0</v>
      </c>
      <c r="BQ321" s="712">
        <f t="shared" si="867"/>
        <v>0</v>
      </c>
      <c r="BR321" s="712">
        <f>IF(Sheet1!EM321="OTHER",BX321,0)</f>
        <v>0</v>
      </c>
      <c r="BS321" s="712">
        <f t="shared" si="868"/>
        <v>0</v>
      </c>
      <c r="BT321" s="712">
        <f t="shared" si="869"/>
        <v>0</v>
      </c>
      <c r="BU321" s="712">
        <f t="shared" si="870"/>
        <v>3.3</v>
      </c>
      <c r="BV321" s="712">
        <f t="shared" si="871"/>
        <v>3.3080097087380969</v>
      </c>
      <c r="BW321" s="712">
        <f>IF(Sheet1!EM321="CWA",SUM(Sheet1!BC321:'Sheet1'!BF321),0)</f>
        <v>0</v>
      </c>
      <c r="BX321" s="712">
        <f>IF(OR(Sheet1!EM321="FM", Sheet1!EM321="OTHER"),SUM(Sheet1!BC321:'Sheet1'!BF321),0)</f>
        <v>0</v>
      </c>
      <c r="BY321" s="697">
        <f>IF(AND($B321&gt;=$FL321,$B321&lt;=$FM321),MAX(BV321,Sheet1!EF321,0),MAX(BV321-(7/36)*$K321,0))</f>
        <v>3.3080097087380969</v>
      </c>
      <c r="BZ321" s="712">
        <f t="shared" si="872"/>
        <v>0</v>
      </c>
      <c r="CA321" s="697">
        <f t="shared" si="873"/>
        <v>0</v>
      </c>
      <c r="CB321" s="697">
        <f>IF(AND($O321&gt;0,Sheet1!EJ321=1),(1-($O321-Sheet1!$L321)/$O321)*BV321,0)</f>
        <v>1.8297538325321885</v>
      </c>
      <c r="CC321" s="697">
        <f>IF(AND(Sheet1!$L321=0,Sheet1!$L320=0, Calculation!BU321&lt;Sheet1!EF321-0.1,Sheet1!EF321=Sheet1!EF320,Sheet1!EF321=Sheet1!EF322),Sheet1!EF321,BV321-CB321)</f>
        <v>1.4782558762059084</v>
      </c>
      <c r="CD321" s="697"/>
      <c r="CE321" s="712"/>
      <c r="CF321" s="712">
        <f t="shared" si="874"/>
        <v>88.682289251289333</v>
      </c>
      <c r="CG321" s="712"/>
      <c r="CH321" s="712">
        <f ca="1">IF(B321&gt;Summary!$A$1,#N/A,CF321*MGtoAF)</f>
        <v>272.0772634229557</v>
      </c>
      <c r="CI321" s="712">
        <f>Sheet1!BK321+Sheet1!BL321+Sheet1!BM321-Sheet1!EN321-CQ321</f>
        <v>0</v>
      </c>
      <c r="CJ321" s="712">
        <f t="shared" si="875"/>
        <v>0</v>
      </c>
      <c r="CK321" s="712">
        <f>IF(Sheet1!EN321="FM",CQ321,0)</f>
        <v>0</v>
      </c>
      <c r="CL321" s="712">
        <f t="shared" si="876"/>
        <v>0</v>
      </c>
      <c r="CM321" s="712">
        <f>IF(Sheet1!EN321="OTHER",CQ321,0)</f>
        <v>0</v>
      </c>
      <c r="CN321" s="712">
        <f t="shared" si="877"/>
        <v>0</v>
      </c>
      <c r="CO321" s="712">
        <f t="shared" si="878"/>
        <v>0</v>
      </c>
      <c r="CP321" s="712">
        <f t="shared" si="879"/>
        <v>0</v>
      </c>
      <c r="CQ321" s="712">
        <f>IF(OR(Sheet1!EN321="FM", Sheet1!EN321="OTHER"),SUM(Sheet1!BK321:'Sheet1'!BM321),0)</f>
        <v>0</v>
      </c>
      <c r="CR321" s="800">
        <v>0</v>
      </c>
      <c r="CS321" s="712">
        <f t="shared" si="880"/>
        <v>0</v>
      </c>
      <c r="CT321" s="697">
        <f t="shared" si="881"/>
        <v>0</v>
      </c>
      <c r="CU321" s="697">
        <f>IF(AND($O321&gt;0,Sheet1!EK321=1),(1-($O321-Sheet1!$L321)/$O321)*CP321,0)</f>
        <v>0</v>
      </c>
      <c r="CV321" s="697">
        <f>IF(AND(Sheet1!$L321=0,Sheet1!$L320=0, Calculation!CO321&lt;Sheet1!$EG321-0.1,Sheet1!$EG321=Sheet1!$EG320,Sheet1!$EG321=Sheet1!$EG322),Sheet1!$EG321,CP321-CU321)</f>
        <v>0</v>
      </c>
      <c r="CW321" s="697">
        <f t="shared" si="837"/>
        <v>0</v>
      </c>
      <c r="CX321" s="712">
        <f t="shared" si="882"/>
        <v>3.3</v>
      </c>
      <c r="CY321" s="712">
        <f t="shared" si="883"/>
        <v>162.14289688263693</v>
      </c>
      <c r="CZ321" s="712">
        <f t="shared" si="884"/>
        <v>3.3080097087380969</v>
      </c>
      <c r="DA321" s="712">
        <f ca="1">IF(B321&gt;Summary!$A$1,#N/A,CY321*MGtoAF)</f>
        <v>497.45440763593012</v>
      </c>
      <c r="DB321" s="712">
        <f t="shared" si="885"/>
        <v>3.3</v>
      </c>
      <c r="DC321" s="712">
        <f t="shared" si="886"/>
        <v>20.6</v>
      </c>
      <c r="DD321" s="712">
        <f>Sheet1!AB321-DC321</f>
        <v>5.000000000145377E-2</v>
      </c>
      <c r="DE321" s="712">
        <f t="shared" si="887"/>
        <v>2.4271844660899889E-3</v>
      </c>
      <c r="DF321" s="712">
        <f>(VLOOKUP(Sheet1!CY321,hhdcap_wcm,4)-(((VLOOKUP(Sheet1!CY321,hhdcap_wcm,3)-Sheet1!CY321)/(VLOOKUP(Sheet1!CY321,hhdcap_wcm,3)-VLOOKUP(Sheet1!CY321,hhdcap_wcm,1)))*(VLOOKUP(Sheet1!CY321,hhdcap_wcm,4)-VLOOKUP(Sheet1!CY321,hhdcap_wcm,2))))</f>
        <v>3769.5600000060663</v>
      </c>
      <c r="DG321" s="712">
        <f t="shared" si="888"/>
        <v>-517.49000000106344</v>
      </c>
      <c r="DH321" s="712">
        <f t="shared" si="889"/>
        <v>-260.9631870908035</v>
      </c>
      <c r="DI321" s="712">
        <f>Sheet1!DW321*AFtoMG</f>
        <v>0</v>
      </c>
      <c r="DJ321" s="712">
        <f>Sheet1!DX321*AFtoMG</f>
        <v>0</v>
      </c>
      <c r="DK321" s="712">
        <f>Sheet1!DY321*AFtoMG</f>
        <v>0</v>
      </c>
      <c r="DL321" s="712">
        <f>Sheet1!DZ321*AFtoMG</f>
        <v>0</v>
      </c>
      <c r="DM321" s="712">
        <f t="shared" si="890"/>
        <v>0</v>
      </c>
      <c r="DN321" s="712">
        <f t="shared" si="891"/>
        <v>0</v>
      </c>
      <c r="DO321" s="712">
        <f t="shared" si="892"/>
        <v>412.06827167085447</v>
      </c>
      <c r="DP321" s="712">
        <f t="shared" si="893"/>
        <v>1264.2254574861815</v>
      </c>
      <c r="DQ321" s="712"/>
      <c r="DR321" s="697">
        <f>IF(OR(B321&lt;FL321,B321&gt;FM321),(MIN(AV321+BO321+CJ321+MAX(Sheet1!AA321+AG321-73,0),K321)),0)</f>
        <v>0</v>
      </c>
      <c r="DS321" s="712"/>
      <c r="DT321" s="712">
        <f t="shared" si="894"/>
        <v>3.3080097087380969</v>
      </c>
      <c r="DU321" s="712"/>
      <c r="DV321" s="712">
        <f>Sheet1!ED321+Sheet1!EE321+Sheet1!EF321+Sheet1!EG321</f>
        <v>9.5</v>
      </c>
      <c r="DW321" s="712"/>
      <c r="DX321" s="697">
        <f t="shared" si="895"/>
        <v>0</v>
      </c>
      <c r="DY321" s="712">
        <f>IF(Sheet1!FN321=1,SUM('Calculations II'!AT321:BA321)+'Calculations II'!BC321+Sheet1!BU321+'Calculations II'!BE321+AF321,SUM('Calculations II'!AT321:BA321)+'Calculations II'!BC321+Sheet1!BU321+'Calculations II'!BE321+AF321)</f>
        <v>43.561503999999999</v>
      </c>
      <c r="DZ321" s="712">
        <f>Sheet1!AA321+Sheet1!AB321+'Calculations II'!BC321</f>
        <v>47.150000000001455</v>
      </c>
      <c r="EA321" s="712"/>
      <c r="EB321" s="712"/>
      <c r="EC321" s="712">
        <f t="shared" si="896"/>
        <v>40850</v>
      </c>
      <c r="ED321" s="712">
        <f t="shared" si="897"/>
        <v>-4.3080097087380969</v>
      </c>
      <c r="EE321" s="712">
        <f t="shared" si="898"/>
        <v>-6.6644910194178353</v>
      </c>
      <c r="EF321" s="712">
        <f ca="1">IF(B321=TODAY(),0,-(VLOOKUP(Sheet1!BQ321,Lookup!$B$4:$J$236,2)-VLOOKUP(Sheet1!BQ320,Lookup!$B$4:$J$236,2))/1000000)</f>
        <v>1.0820000000000001</v>
      </c>
      <c r="EG321" s="712">
        <f ca="1">IF(B321=TODAY(),0,-(VLOOKUP(Sheet1!BR321,Lookup!$B$4:$J$236,3)-VLOOKUP(Sheet1!BR320,Lookup!$B$4:$J$236,3))/1000000)</f>
        <v>1.35</v>
      </c>
      <c r="EH321" s="712">
        <f>-(VLOOKUP(Sheet1!BS321,Lookup!$B$4:$J$236,4)-VLOOKUP(Sheet1!BS320,Lookup!$B$4:$J$236,4))/1000000</f>
        <v>0</v>
      </c>
      <c r="EI321" s="697">
        <f t="shared" ca="1" si="922"/>
        <v>2.4320000000000004</v>
      </c>
      <c r="EJ321" s="712"/>
      <c r="EK321" s="712"/>
      <c r="EL321" s="712"/>
      <c r="EM321" s="712"/>
      <c r="EN321" s="712"/>
      <c r="EO321" s="712"/>
      <c r="EP321" s="712"/>
      <c r="EQ321" s="712"/>
      <c r="ER321" s="697">
        <f t="shared" si="920"/>
        <v>-5077.5795043992357</v>
      </c>
      <c r="ES321" s="712">
        <f t="shared" si="921"/>
        <v>105.88601535639867</v>
      </c>
      <c r="ET321" s="794">
        <f t="shared" si="919"/>
        <v>1106</v>
      </c>
      <c r="EU321" s="794" t="e">
        <f t="shared" si="838"/>
        <v>#N/A</v>
      </c>
      <c r="EV321" s="795" t="e">
        <f t="shared" si="836"/>
        <v>#N/A</v>
      </c>
      <c r="EW321" s="796" t="s">
        <v>757</v>
      </c>
      <c r="EX321" s="796" t="s">
        <v>757</v>
      </c>
      <c r="EY321" s="794" t="e">
        <v>#N/A</v>
      </c>
      <c r="EZ321" s="798">
        <v>7687.000000014461</v>
      </c>
      <c r="FA321" s="712"/>
      <c r="FB321" s="712"/>
      <c r="FC321" s="712"/>
      <c r="FD321" s="712"/>
      <c r="FE321" s="712">
        <f>O321+Sheet1!CO321</f>
        <v>47.150000000001455</v>
      </c>
      <c r="FF321" s="712">
        <f>IF(Sheet1!AA321+AG321&lt;=Calculation!N321,AG321,Calculation!N321-Sheet1!AA321)</f>
        <v>17.341990291263357</v>
      </c>
      <c r="FG321" s="712">
        <f>(Sheet1!BP321+Sheet1!BO321)/694.4</f>
        <v>1.0846774193548387</v>
      </c>
      <c r="FH321" s="712"/>
      <c r="FI321" s="712"/>
      <c r="FJ321" s="712"/>
      <c r="FK321" s="712"/>
      <c r="FL321" s="714">
        <f t="shared" si="827"/>
        <v>40753</v>
      </c>
      <c r="FM321" s="714">
        <f t="shared" si="828"/>
        <v>40851</v>
      </c>
      <c r="FN321" s="712"/>
      <c r="FO321" s="712"/>
      <c r="FP321" s="712"/>
      <c r="FQ321" s="712"/>
      <c r="FR321" s="712"/>
      <c r="FS321" s="725">
        <f t="shared" si="923"/>
        <v>40603</v>
      </c>
      <c r="FT321" s="714">
        <f t="shared" si="830"/>
        <v>40709</v>
      </c>
      <c r="FU321" s="712">
        <f t="shared" si="923"/>
        <v>6518.9048239895692</v>
      </c>
      <c r="FV321" s="714">
        <f t="shared" si="831"/>
        <v>40722</v>
      </c>
      <c r="FW321" s="712">
        <f t="shared" si="923"/>
        <v>3259.4524119947846</v>
      </c>
      <c r="FX321" s="725">
        <f t="shared" si="923"/>
        <v>40851</v>
      </c>
      <c r="FZ321" s="697">
        <f t="shared" si="824"/>
        <v>0</v>
      </c>
      <c r="GA321" s="712" t="str">
        <f t="shared" si="899"/>
        <v/>
      </c>
      <c r="GB321" s="712">
        <f t="shared" si="900"/>
        <v>0</v>
      </c>
      <c r="GC321" s="712" t="str">
        <f t="shared" si="901"/>
        <v/>
      </c>
      <c r="GD321" s="712">
        <f>IF(GA321="P",Lookup!$M$12,IF(GA321="PP",Lookup!$M$13,IF(GA321="PPP",Lookup!$M$14,IF(GA321="T",Lookup!$M$15,IF(GA321="TP",Lookup!$M$16,IF(GA321="TPP",Lookup!$M$17,IF(GA321="TPPP",Lookup!$M$18,0)))))))*FZ321</f>
        <v>0</v>
      </c>
      <c r="GE321" s="712">
        <f t="shared" si="902"/>
        <v>0</v>
      </c>
      <c r="GF321" s="712">
        <f t="shared" si="903"/>
        <v>292.01583466666614</v>
      </c>
      <c r="GG321" s="712">
        <f t="shared" si="904"/>
        <v>95.181171664493519</v>
      </c>
      <c r="GH321" s="712"/>
      <c r="GI321" s="712">
        <f t="shared" si="905"/>
        <v>0</v>
      </c>
      <c r="GJ321" s="712" t="str">
        <f t="shared" si="906"/>
        <v/>
      </c>
      <c r="GK321" s="712">
        <f>IF(GA321="P",Lookup!$N$12,IF(GA321="PP",Lookup!$N$13,IF(GA321="PPP",Lookup!$N$14,IF(GA321="T",Lookup!$N$15,IF(GA321="TP",Lookup!$N$16,IF(GA321="TPP",Lookup!$N$17,IF(GA321="TPPP",Lookup!$N$18,0)))))))*FZ321</f>
        <v>0</v>
      </c>
      <c r="GL321" s="712">
        <f t="shared" si="907"/>
        <v>0</v>
      </c>
      <c r="GM321" s="712">
        <f t="shared" si="908"/>
        <v>202.6779517606297</v>
      </c>
      <c r="GN321" s="712">
        <f t="shared" si="909"/>
        <v>66.061913872434715</v>
      </c>
      <c r="GO321" s="712"/>
      <c r="GP321" s="712">
        <f t="shared" si="910"/>
        <v>0</v>
      </c>
      <c r="GQ321" s="712" t="str">
        <f t="shared" si="911"/>
        <v/>
      </c>
      <c r="GR321" s="712">
        <f>IF(GA321="P",Lookup!$N$12,IF(GA321="PP",Lookup!$N$13,IF(GA321="PPP",Lookup!$N$14,IF(GA321="T",Lookup!$N$15,IF(GA321="TP",Lookup!$N$16,IF(GA321="TPP",Lookup!$N$17,IF(GA321="TPPP",Lookup!$N$18,0)))))))*FZ321</f>
        <v>0</v>
      </c>
      <c r="GS321" s="697">
        <f t="shared" si="825"/>
        <v>0</v>
      </c>
      <c r="GT321" s="712">
        <f t="shared" si="912"/>
        <v>272.0772634229557</v>
      </c>
      <c r="GU321" s="712">
        <f t="shared" si="913"/>
        <v>88.682289251289333</v>
      </c>
      <c r="GV321" s="712"/>
      <c r="GW321" s="712">
        <f t="shared" si="914"/>
        <v>0</v>
      </c>
      <c r="GX321" s="712" t="str">
        <f t="shared" si="915"/>
        <v/>
      </c>
      <c r="GY321" s="712">
        <f>IF(GA321="P",Lookup!$N$12,IF(GA321="PP",Lookup!$N$13,IF(GA321="PPP",Lookup!$N$14,IF(GA321="T",Lookup!$N$15,IF(GA321="TP",Lookup!$N$16,IF(GA321="TPP",Lookup!$N$17,IF(GA321="TPPP",Lookup!$N$18,0)))))))*FZ321</f>
        <v>0</v>
      </c>
      <c r="GZ321" s="697">
        <f t="shared" si="826"/>
        <v>0</v>
      </c>
      <c r="HA321" s="712">
        <f t="shared" si="916"/>
        <v>497.45440763593012</v>
      </c>
      <c r="HB321" s="712">
        <f t="shared" si="917"/>
        <v>162.14289688263693</v>
      </c>
      <c r="HC321" s="712"/>
    </row>
    <row r="322" spans="1:211">
      <c r="A322" s="773" t="s">
        <v>8</v>
      </c>
      <c r="B322" s="708">
        <v>40851</v>
      </c>
      <c r="C322" s="709">
        <v>0.5</v>
      </c>
      <c r="D322" s="675">
        <f t="shared" si="840"/>
        <v>300</v>
      </c>
      <c r="E322" s="675">
        <f t="shared" si="841"/>
        <v>250</v>
      </c>
      <c r="F322" s="675">
        <v>250</v>
      </c>
      <c r="G322" s="712">
        <f>DH322+Sheet1!CV322</f>
        <v>611.97194906659217</v>
      </c>
      <c r="H322" s="712">
        <f t="shared" si="842"/>
        <v>128.61546787664517</v>
      </c>
      <c r="I322" s="711">
        <f>MAX(Sheet1!Z322-AJ322+(Sheet1!CW322-E322)*CFStoMGD,0)</f>
        <v>591.7833650793624</v>
      </c>
      <c r="J322" s="720">
        <f>IF(AND(B322&gt;=Calculation!FS322,B322&lt;=Calculation!FT322),IF(Sheet1!CX322&gt;=Calculation!D322,64.64,0),MAX(Sheet1!Z322-AJ322+(Sheet1!CX322-D322)*CFStoMGD,0))</f>
        <v>361.173431746029</v>
      </c>
      <c r="K322" s="697">
        <f t="shared" si="843"/>
        <v>64.64</v>
      </c>
      <c r="L322" s="712">
        <f>Sheet1!AA322+Sheet1!AB322-Sheet1!L322+(Sheet1!CW322-F322)*CFStoMGD</f>
        <v>619.79066666667325</v>
      </c>
      <c r="M322" s="712">
        <f t="shared" si="844"/>
        <v>403.49024123417809</v>
      </c>
      <c r="N322" s="712">
        <f>IF(Sheet1!CW322&gt;=F322,MIN(73,MIN(MAX(L322,0),MAX(M322,0))),0)</f>
        <v>73</v>
      </c>
      <c r="O322" s="721">
        <f>Sheet1!AA322+Sheet1!AB322</f>
        <v>47.600000000005821</v>
      </c>
      <c r="P322" s="721">
        <f t="shared" si="845"/>
        <v>73.637200000009003</v>
      </c>
      <c r="Q322" s="712">
        <f>MIN(N322,Sheet1!AA322+AG322)</f>
        <v>45.887301587307164</v>
      </c>
      <c r="R322" s="712">
        <f t="shared" si="846"/>
        <v>8.5</v>
      </c>
      <c r="S322" s="721">
        <f>Sheet1!Y322*MGDtoCFS</f>
        <v>40.933619999999998</v>
      </c>
      <c r="T322" s="721">
        <f>Sheet1!Z322*MGDtoCFS</f>
        <v>32.951099999999997</v>
      </c>
      <c r="U322" s="721">
        <f>Sheet1!AA322*MGDtoCFS</f>
        <v>41.4596000000045</v>
      </c>
      <c r="V322" s="721">
        <f>Sheet1!AB322*MGDtoCFS</f>
        <v>32.177600000004503</v>
      </c>
      <c r="W322" s="721">
        <f>Sheet1!L322*MGDtoCFS</f>
        <v>26.886859999998762</v>
      </c>
      <c r="X322" s="697">
        <f t="shared" si="847"/>
        <v>2</v>
      </c>
      <c r="Y322" s="712">
        <f t="shared" si="848"/>
        <v>3.0939999999999999</v>
      </c>
      <c r="Z322" s="712">
        <f t="shared" si="849"/>
        <v>0</v>
      </c>
      <c r="AA322" s="712">
        <f t="shared" si="850"/>
        <v>0</v>
      </c>
      <c r="AB322" s="712">
        <f>(VLOOKUP(Sheet1!CY322,hhdcap_wcm,4)-(((VLOOKUP(Sheet1!CY322,hhdcap_wcm,3)-Sheet1!CY322)/(VLOOKUP(Sheet1!CY322,hhdcap_wcm,3)-VLOOKUP(Sheet1!CY322,hhdcap_wcm,1)))*(VLOOKUP(Sheet1!CY322,hhdcap_wcm,4)-VLOOKUP(Sheet1!CY322,hhdcap_wcm,2))))</f>
        <v>3262.6000000051185</v>
      </c>
      <c r="AC322" s="712">
        <f t="shared" si="851"/>
        <v>-506.96000000094773</v>
      </c>
      <c r="AD322" s="712">
        <f t="shared" si="852"/>
        <v>0</v>
      </c>
      <c r="AE322" s="712">
        <f t="shared" si="853"/>
        <v>0</v>
      </c>
      <c r="AF322" s="712">
        <f>Sheet1!BA322+Sheet1!BB322+Sheet1!BN322+BT322</f>
        <v>18.5</v>
      </c>
      <c r="AG322" s="712">
        <f t="shared" si="854"/>
        <v>19.087301587304257</v>
      </c>
      <c r="AH322" s="712">
        <f>Sheet1!BA322+BT322</f>
        <v>0</v>
      </c>
      <c r="AI322" s="712">
        <f>Sheet1!BA322+Sheet1!BB322+BT322</f>
        <v>0</v>
      </c>
      <c r="AJ322" s="712">
        <f>IF((Sheet1!AA322+AG322+AX322+AZ322+BQ322+BS322+CL322+CN322)&lt;=N322,AG322+AX322+AZ322+BQ322+BS322+CL322+CN322,N322-Sheet1!AA322)</f>
        <v>19.087301587304257</v>
      </c>
      <c r="AK322" s="712">
        <f>IF(DR322&lt;K322,0,MAX(Sheet1!AA322+AG322-15/36*K322-N322,Sheet1!ED322,0))</f>
        <v>0</v>
      </c>
      <c r="AL322" s="712">
        <f>IF(OR(B322&gt;=FT322,B322&lt;FS322),0,15/36*K322-MAX(0,64.6-(137.6-(Sheet1!AA322+Sheet1!AB322))))</f>
        <v>0</v>
      </c>
      <c r="AM322" s="712">
        <f>Sheet1!CX322-110</f>
        <v>745.32291666666663</v>
      </c>
      <c r="AN322" s="712">
        <f>Sheet1!CW322-265</f>
        <v>897.08333333333326</v>
      </c>
      <c r="AO322" s="712">
        <f t="shared" si="835"/>
        <v>27.112698412692836</v>
      </c>
      <c r="AP322" s="712">
        <f t="shared" si="855"/>
        <v>0</v>
      </c>
      <c r="AQ322" s="712">
        <f t="shared" si="856"/>
        <v>0</v>
      </c>
      <c r="AR322" s="712">
        <f t="shared" si="857"/>
        <v>0</v>
      </c>
      <c r="AS322" s="712"/>
      <c r="AT322" s="712">
        <f ca="1">IF(B322&gt;Summary!$A$1,#N/A,AR322*MGtoAF)</f>
        <v>0</v>
      </c>
      <c r="AU322" s="712">
        <f>Sheet1!BG322+Sheet1!BH322+Sheet1!BI322-BC322</f>
        <v>0</v>
      </c>
      <c r="AV322" s="712">
        <f t="shared" si="858"/>
        <v>0</v>
      </c>
      <c r="AW322" s="712">
        <f>IF(Sheet1!EL322="FM",BC322,0)</f>
        <v>0</v>
      </c>
      <c r="AX322" s="712">
        <f t="shared" si="859"/>
        <v>0</v>
      </c>
      <c r="AY322" s="712">
        <f>IF(Sheet1!EL322="OTHER",BC322,0)</f>
        <v>0</v>
      </c>
      <c r="AZ322" s="712">
        <f t="shared" si="860"/>
        <v>0</v>
      </c>
      <c r="BA322" s="712">
        <f t="shared" si="861"/>
        <v>0</v>
      </c>
      <c r="BB322" s="712">
        <f t="shared" si="862"/>
        <v>0</v>
      </c>
      <c r="BC322" s="712">
        <f>IF(OR(Sheet1!EL322="FM", Sheet1!EL322="OTHER"),SUM(Sheet1!BG322:'Sheet1'!BI322),0)</f>
        <v>0</v>
      </c>
      <c r="BD322" s="697">
        <f>IF(AND($B322&gt;=$FL322,$B322&lt;=$FM322),MAX(AV322,Sheet1!EE322,0),MAX(AV322-(7/36)*$K322,0))</f>
        <v>0</v>
      </c>
      <c r="BE322" s="712">
        <f t="shared" si="863"/>
        <v>0</v>
      </c>
      <c r="BF322" s="697">
        <f t="shared" si="864"/>
        <v>0</v>
      </c>
      <c r="BG322" s="697">
        <f>IF(AND($O322&gt;0,Sheet1!EI322=1),(1-($O322-Sheet1!$L322)/$O322)*BB322,0)</f>
        <v>0</v>
      </c>
      <c r="BH322" s="697">
        <f>IF(AND(Sheet1!$L322=0,Sheet1!$L321=0, Calculation!BA322&lt;Sheet1!$EE322-0.1,Sheet1!$EE322=Sheet1!$EE321,Sheet1!$EE322=Sheet1!$EE323),Sheet1!$EE322,BB322-BG322)</f>
        <v>0</v>
      </c>
      <c r="BI322" s="712"/>
      <c r="BJ322" s="712"/>
      <c r="BK322" s="712">
        <f t="shared" si="865"/>
        <v>0</v>
      </c>
      <c r="BL322" s="712"/>
      <c r="BM322" s="712">
        <f ca="1">IF(B322&gt;Summary!$A$1,#N/A,BK322*MGtoAF)</f>
        <v>0</v>
      </c>
      <c r="BN322" s="712">
        <f>Sheet1!BC322+Sheet1!BD322+Sheet1!BE322+Sheet1!BF322-BW322-BX322</f>
        <v>1.6600000000000001</v>
      </c>
      <c r="BO322" s="712">
        <f t="shared" si="866"/>
        <v>1.7126984126986524</v>
      </c>
      <c r="BP322" s="712">
        <f>IF(Sheet1!EM322="FM",BX322,0)</f>
        <v>0</v>
      </c>
      <c r="BQ322" s="712">
        <f t="shared" si="867"/>
        <v>0</v>
      </c>
      <c r="BR322" s="712">
        <f>IF(Sheet1!EM322="OTHER",BX322,0)</f>
        <v>0</v>
      </c>
      <c r="BS322" s="712">
        <f t="shared" si="868"/>
        <v>0</v>
      </c>
      <c r="BT322" s="712">
        <f t="shared" si="869"/>
        <v>0</v>
      </c>
      <c r="BU322" s="712">
        <f t="shared" si="870"/>
        <v>1.6600000000000001</v>
      </c>
      <c r="BV322" s="712">
        <f t="shared" si="871"/>
        <v>1.7126984126986524</v>
      </c>
      <c r="BW322" s="712">
        <f>IF(Sheet1!EM322="CWA",SUM(Sheet1!BC322:'Sheet1'!BF322),0)</f>
        <v>0</v>
      </c>
      <c r="BX322" s="712">
        <f>IF(OR(Sheet1!EM322="FM", Sheet1!EM322="OTHER"),SUM(Sheet1!BC322:'Sheet1'!BF322),0)</f>
        <v>0</v>
      </c>
      <c r="BY322" s="697">
        <f>IF(AND($B322&gt;=$FL322,$B322&lt;=$FM322),MAX(BV322,Sheet1!EF322,0),MAX(BV322-(7/36)*$K322,0))</f>
        <v>2</v>
      </c>
      <c r="BZ322" s="712">
        <f t="shared" si="872"/>
        <v>0</v>
      </c>
      <c r="CA322" s="697">
        <f t="shared" si="873"/>
        <v>0</v>
      </c>
      <c r="CB322" s="697">
        <f>IF(AND($O322&gt;0,Sheet1!EJ322=1),(1-($O322-Sheet1!$L322)/$O322)*BV322,0)</f>
        <v>0</v>
      </c>
      <c r="CC322" s="697">
        <f>IF(AND(Sheet1!$L322=0,Sheet1!$L321=0, Calculation!BU322&lt;Sheet1!EF322-0.1,Sheet1!EF322=Sheet1!EF321,Sheet1!EF322=Sheet1!EF323),Sheet1!EF322,BV322-CB322)</f>
        <v>1.7126984126986524</v>
      </c>
      <c r="CD322" s="697"/>
      <c r="CE322" s="712"/>
      <c r="CF322" s="712">
        <f t="shared" si="874"/>
        <v>0</v>
      </c>
      <c r="CG322" s="712"/>
      <c r="CH322" s="712">
        <f ca="1">IF(B322&gt;Summary!$A$1,#N/A,CF322*MGtoAF)</f>
        <v>0</v>
      </c>
      <c r="CI322" s="712">
        <f>Sheet1!BK322+Sheet1!BL322+Sheet1!BM322-Sheet1!EN322-CQ322</f>
        <v>0</v>
      </c>
      <c r="CJ322" s="712">
        <f t="shared" si="875"/>
        <v>0</v>
      </c>
      <c r="CK322" s="712">
        <f>IF(Sheet1!EN322="FM",CQ322,0)</f>
        <v>0</v>
      </c>
      <c r="CL322" s="712">
        <f t="shared" si="876"/>
        <v>0</v>
      </c>
      <c r="CM322" s="712">
        <f>IF(Sheet1!EN322="OTHER",CQ322,0)</f>
        <v>0</v>
      </c>
      <c r="CN322" s="712">
        <f t="shared" si="877"/>
        <v>0</v>
      </c>
      <c r="CO322" s="712">
        <f t="shared" si="878"/>
        <v>0</v>
      </c>
      <c r="CP322" s="712">
        <f t="shared" si="879"/>
        <v>0</v>
      </c>
      <c r="CQ322" s="712">
        <f>IF(OR(Sheet1!EN322="FM", Sheet1!EN322="OTHER"),SUM(Sheet1!BK322:'Sheet1'!BM322),0)</f>
        <v>0</v>
      </c>
      <c r="CR322" s="800">
        <v>0</v>
      </c>
      <c r="CS322" s="712">
        <f t="shared" si="880"/>
        <v>0</v>
      </c>
      <c r="CT322" s="697">
        <f t="shared" si="881"/>
        <v>0</v>
      </c>
      <c r="CU322" s="697">
        <f>IF(AND($O322&gt;0,Sheet1!EK322=1),(1-($O322-Sheet1!$L322)/$O322)*CP322,0)</f>
        <v>0</v>
      </c>
      <c r="CV322" s="697">
        <f>IF(AND(Sheet1!$L322=0,Sheet1!$L321=0, Calculation!CO322&lt;Sheet1!$EG322-0.1,Sheet1!$EG322=Sheet1!$EG321,Sheet1!$EG322=Sheet1!$EG323),Sheet1!$EG322,CP322-CU322)</f>
        <v>0</v>
      </c>
      <c r="CW322" s="697">
        <f t="shared" si="837"/>
        <v>0</v>
      </c>
      <c r="CX322" s="712">
        <f t="shared" si="882"/>
        <v>1.6600000000000001</v>
      </c>
      <c r="CY322" s="712">
        <f t="shared" si="883"/>
        <v>0</v>
      </c>
      <c r="CZ322" s="712">
        <f t="shared" si="884"/>
        <v>1.7126984126986524</v>
      </c>
      <c r="DA322" s="712">
        <f ca="1">IF(B322&gt;Summary!$A$1,#N/A,CY322*MGtoAF)</f>
        <v>0</v>
      </c>
      <c r="DB322" s="712">
        <f t="shared" si="885"/>
        <v>1.6600000000000001</v>
      </c>
      <c r="DC322" s="712">
        <f t="shared" si="886"/>
        <v>20.16</v>
      </c>
      <c r="DD322" s="712">
        <f>Sheet1!AB322-DC322</f>
        <v>0.64000000000291024</v>
      </c>
      <c r="DE322" s="712">
        <f t="shared" si="887"/>
        <v>3.1746031746176101E-2</v>
      </c>
      <c r="DF322" s="712">
        <f>(VLOOKUP(Sheet1!CY322,hhdcap_wcm,4)-(((VLOOKUP(Sheet1!CY322,hhdcap_wcm,3)-Sheet1!CY322)/(VLOOKUP(Sheet1!CY322,hhdcap_wcm,3)-VLOOKUP(Sheet1!CY322,hhdcap_wcm,1)))*(VLOOKUP(Sheet1!CY322,hhdcap_wcm,4)-VLOOKUP(Sheet1!CY322,hhdcap_wcm,2))))</f>
        <v>3262.6000000051185</v>
      </c>
      <c r="DG322" s="712">
        <f t="shared" si="888"/>
        <v>-506.96000000094773</v>
      </c>
      <c r="DH322" s="712">
        <f t="shared" si="889"/>
        <v>-255.6530509334078</v>
      </c>
      <c r="DI322" s="712">
        <f>Sheet1!DW322*AFtoMG</f>
        <v>0</v>
      </c>
      <c r="DJ322" s="712">
        <f>Sheet1!DX322*AFtoMG</f>
        <v>0</v>
      </c>
      <c r="DK322" s="712">
        <f>Sheet1!DY322*AFtoMG</f>
        <v>0</v>
      </c>
      <c r="DL322" s="712">
        <f>Sheet1!DZ322*AFtoMG</f>
        <v>0</v>
      </c>
      <c r="DM322" s="712">
        <f t="shared" si="890"/>
        <v>0</v>
      </c>
      <c r="DN322" s="712">
        <f t="shared" si="891"/>
        <v>0</v>
      </c>
      <c r="DO322" s="712">
        <f t="shared" si="892"/>
        <v>0</v>
      </c>
      <c r="DP322" s="712">
        <f t="shared" si="893"/>
        <v>0</v>
      </c>
      <c r="DQ322" s="712"/>
      <c r="DR322" s="697">
        <f>IF(OR(B322&lt;FL322,B322&gt;FM322),(MIN(AV322+BO322+CJ322+MAX(Sheet1!AA322+AG322-73,0),K322)),0)</f>
        <v>0</v>
      </c>
      <c r="DS322" s="712"/>
      <c r="DT322" s="712">
        <f t="shared" si="894"/>
        <v>1.7126984126986524</v>
      </c>
      <c r="DU322" s="712"/>
      <c r="DV322" s="712">
        <f>Sheet1!ED322+Sheet1!EE322+Sheet1!EF322+Sheet1!EG322</f>
        <v>8.5</v>
      </c>
      <c r="DW322" s="712"/>
      <c r="DX322" s="697">
        <f t="shared" si="895"/>
        <v>0</v>
      </c>
      <c r="DY322" s="712">
        <f>IF(Sheet1!FN322=1,SUM('Calculations II'!AT322:BA322)+'Calculations II'!BC322+Sheet1!BU322+'Calculations II'!BE322+AF322,SUM('Calculations II'!AT322:BA322)+'Calculations II'!BC322+Sheet1!BU322+'Calculations II'!BE322+AF322)</f>
        <v>42.655072000000004</v>
      </c>
      <c r="DZ322" s="712">
        <f>Sheet1!AA322+Sheet1!AB322+'Calculations II'!BC322</f>
        <v>47.600000000005821</v>
      </c>
      <c r="EA322" s="712"/>
      <c r="EB322" s="712"/>
      <c r="EC322" s="712">
        <f t="shared" si="896"/>
        <v>40851</v>
      </c>
      <c r="ED322" s="712">
        <f t="shared" si="897"/>
        <v>-2</v>
      </c>
      <c r="EE322" s="712">
        <f t="shared" si="898"/>
        <v>-3.0939999999999999</v>
      </c>
      <c r="EF322" s="712">
        <f ca="1">IF(B322=TODAY(),0,-(VLOOKUP(Sheet1!BQ322,Lookup!$B$4:$J$236,2)-VLOOKUP(Sheet1!BQ321,Lookup!$B$4:$J$236,2))/1000000)</f>
        <v>0.27050000000000002</v>
      </c>
      <c r="EG322" s="712">
        <f ca="1">IF(B322=TODAY(),0,-(VLOOKUP(Sheet1!BR322,Lookup!$B$4:$J$236,3)-VLOOKUP(Sheet1!BR321,Lookup!$B$4:$J$236,3))/1000000)</f>
        <v>0.27</v>
      </c>
      <c r="EH322" s="712">
        <f>-(VLOOKUP(Sheet1!BS322,Lookup!$B$4:$J$236,4)-VLOOKUP(Sheet1!BS321,Lookup!$B$4:$J$236,4))/1000000</f>
        <v>0</v>
      </c>
      <c r="EI322" s="697">
        <f t="shared" ca="1" si="922"/>
        <v>0.54049999999999998</v>
      </c>
      <c r="EJ322" s="712"/>
      <c r="EK322" s="712"/>
      <c r="EL322" s="712"/>
      <c r="EM322" s="712"/>
      <c r="EN322" s="712"/>
      <c r="EO322" s="712"/>
      <c r="EP322" s="712"/>
      <c r="EQ322" s="712"/>
      <c r="ER322" s="697">
        <f t="shared" si="920"/>
        <v>-5077.5795043992357</v>
      </c>
      <c r="ES322" s="712">
        <f t="shared" si="921"/>
        <v>0</v>
      </c>
      <c r="ET322" s="794">
        <f t="shared" si="919"/>
        <v>1105</v>
      </c>
      <c r="EU322" s="794" t="e">
        <f t="shared" si="838"/>
        <v>#N/A</v>
      </c>
      <c r="EV322" s="795" t="e">
        <f t="shared" si="836"/>
        <v>#N/A</v>
      </c>
      <c r="EW322" s="796" t="s">
        <v>757</v>
      </c>
      <c r="EX322" s="796" t="s">
        <v>757</v>
      </c>
      <c r="EY322" s="794" t="e">
        <v>#N/A</v>
      </c>
      <c r="EZ322" s="798">
        <v>7396.0000000137625</v>
      </c>
      <c r="FA322" s="712"/>
      <c r="FB322" s="712"/>
      <c r="FC322" s="712"/>
      <c r="FD322" s="712"/>
      <c r="FE322" s="712">
        <f>O322+Sheet1!CO322</f>
        <v>47.600000000005821</v>
      </c>
      <c r="FF322" s="712">
        <f>IF(Sheet1!AA322+AG322&lt;=Calculation!N322,AG322,Calculation!N322-Sheet1!AA322)</f>
        <v>19.087301587304257</v>
      </c>
      <c r="FG322" s="712">
        <f>(Sheet1!BP322+Sheet1!BO322)/694.4</f>
        <v>2.1846198156682028</v>
      </c>
      <c r="FH322" s="712"/>
      <c r="FI322" s="712"/>
      <c r="FJ322" s="712"/>
      <c r="FK322" s="712"/>
      <c r="FL322" s="714">
        <f t="shared" si="827"/>
        <v>40753</v>
      </c>
      <c r="FM322" s="714">
        <f t="shared" si="828"/>
        <v>40851</v>
      </c>
      <c r="FN322" s="712"/>
      <c r="FO322" s="712"/>
      <c r="FP322" s="712"/>
      <c r="FQ322" s="712"/>
      <c r="FR322" s="712"/>
      <c r="FS322" s="725">
        <f t="shared" si="923"/>
        <v>40603</v>
      </c>
      <c r="FT322" s="714">
        <f t="shared" si="830"/>
        <v>40709</v>
      </c>
      <c r="FU322" s="712">
        <f t="shared" si="923"/>
        <v>6518.9048239895692</v>
      </c>
      <c r="FV322" s="714">
        <f t="shared" si="831"/>
        <v>40722</v>
      </c>
      <c r="FW322" s="712">
        <f t="shared" si="923"/>
        <v>3259.4524119947846</v>
      </c>
      <c r="FX322" s="725">
        <f t="shared" si="923"/>
        <v>40851</v>
      </c>
      <c r="FZ322" s="697">
        <f t="shared" si="824"/>
        <v>0</v>
      </c>
      <c r="GA322" s="712" t="str">
        <f t="shared" si="899"/>
        <v/>
      </c>
      <c r="GB322" s="712">
        <f t="shared" si="900"/>
        <v>0</v>
      </c>
      <c r="GC322" s="712" t="str">
        <f t="shared" si="901"/>
        <v/>
      </c>
      <c r="GD322" s="712">
        <f>IF(GA322="P",Lookup!$M$12,IF(GA322="PP",Lookup!$M$13,IF(GA322="PPP",Lookup!$M$14,IF(GA322="T",Lookup!$M$15,IF(GA322="TP",Lookup!$M$16,IF(GA322="TPP",Lookup!$M$17,IF(GA322="TPPP",Lookup!$M$18,0)))))))*FZ322</f>
        <v>0</v>
      </c>
      <c r="GE322" s="712">
        <f t="shared" si="902"/>
        <v>0</v>
      </c>
      <c r="GF322" s="712">
        <f t="shared" si="903"/>
        <v>0</v>
      </c>
      <c r="GG322" s="712">
        <f t="shared" si="904"/>
        <v>0</v>
      </c>
      <c r="GH322" s="712"/>
      <c r="GI322" s="712">
        <f t="shared" si="905"/>
        <v>0</v>
      </c>
      <c r="GJ322" s="712" t="str">
        <f t="shared" si="906"/>
        <v/>
      </c>
      <c r="GK322" s="712">
        <f>IF(GA322="P",Lookup!$N$12,IF(GA322="PP",Lookup!$N$13,IF(GA322="PPP",Lookup!$N$14,IF(GA322="T",Lookup!$N$15,IF(GA322="TP",Lookup!$N$16,IF(GA322="TPP",Lookup!$N$17,IF(GA322="TPPP",Lookup!$N$18,0)))))))*FZ322</f>
        <v>0</v>
      </c>
      <c r="GL322" s="712">
        <f t="shared" si="907"/>
        <v>0</v>
      </c>
      <c r="GM322" s="712">
        <f t="shared" si="908"/>
        <v>0</v>
      </c>
      <c r="GN322" s="712">
        <f t="shared" si="909"/>
        <v>0</v>
      </c>
      <c r="GO322" s="712"/>
      <c r="GP322" s="712">
        <f t="shared" si="910"/>
        <v>0</v>
      </c>
      <c r="GQ322" s="712" t="str">
        <f t="shared" si="911"/>
        <v/>
      </c>
      <c r="GR322" s="712">
        <f>IF(GA322="P",Lookup!$N$12,IF(GA322="PP",Lookup!$N$13,IF(GA322="PPP",Lookup!$N$14,IF(GA322="T",Lookup!$N$15,IF(GA322="TP",Lookup!$N$16,IF(GA322="TPP",Lookup!$N$17,IF(GA322="TPPP",Lookup!$N$18,0)))))))*FZ322</f>
        <v>0</v>
      </c>
      <c r="GS322" s="697">
        <f t="shared" si="825"/>
        <v>0</v>
      </c>
      <c r="GT322" s="712">
        <f t="shared" si="912"/>
        <v>0</v>
      </c>
      <c r="GU322" s="712">
        <f t="shared" si="913"/>
        <v>0</v>
      </c>
      <c r="GV322" s="712"/>
      <c r="GW322" s="712">
        <f t="shared" si="914"/>
        <v>0</v>
      </c>
      <c r="GX322" s="712" t="str">
        <f t="shared" si="915"/>
        <v/>
      </c>
      <c r="GY322" s="712">
        <f>IF(GA322="P",Lookup!$N$12,IF(GA322="PP",Lookup!$N$13,IF(GA322="PPP",Lookup!$N$14,IF(GA322="T",Lookup!$N$15,IF(GA322="TP",Lookup!$N$16,IF(GA322="TPP",Lookup!$N$17,IF(GA322="TPPP",Lookup!$N$18,0)))))))*FZ322</f>
        <v>0</v>
      </c>
      <c r="GZ322" s="697">
        <f t="shared" si="826"/>
        <v>0</v>
      </c>
      <c r="HA322" s="712">
        <f t="shared" si="916"/>
        <v>0</v>
      </c>
      <c r="HB322" s="712">
        <f t="shared" si="917"/>
        <v>0</v>
      </c>
      <c r="HC322" s="712"/>
    </row>
    <row r="323" spans="1:211">
      <c r="A323" s="773" t="s">
        <v>9</v>
      </c>
      <c r="B323" s="708">
        <v>40852</v>
      </c>
      <c r="C323" s="719">
        <v>0.5</v>
      </c>
      <c r="D323" s="675">
        <f t="shared" si="840"/>
        <v>300</v>
      </c>
      <c r="E323" s="675">
        <f t="shared" si="841"/>
        <v>250</v>
      </c>
      <c r="F323" s="675">
        <v>250</v>
      </c>
      <c r="G323" s="712">
        <f>DH323+Sheet1!CV323</f>
        <v>553.42057488609453</v>
      </c>
      <c r="H323" s="712">
        <f t="shared" si="842"/>
        <v>90.767859606371502</v>
      </c>
      <c r="I323" s="711">
        <f>MAX(Sheet1!Z323-AJ323+(Sheet1!CW323-E323)*CFStoMGD,0)</f>
        <v>495.24353333333625</v>
      </c>
      <c r="J323" s="720">
        <f>IF(AND(B323&gt;=Calculation!FS323,B323&lt;=Calculation!FT323),IF(Sheet1!CX323&gt;=Calculation!D323,64.64,0),MAX(Sheet1!Z323-AJ323+(Sheet1!CX323-D323)*CFStoMGD,0))</f>
        <v>308.43393333333626</v>
      </c>
      <c r="K323" s="697">
        <f t="shared" si="843"/>
        <v>64.64</v>
      </c>
      <c r="L323" s="712">
        <f>Sheet1!AA323+Sheet1!AB323-Sheet1!L323+(Sheet1!CW323-F323)*CFStoMGD</f>
        <v>528.2035333333248</v>
      </c>
      <c r="M323" s="712">
        <f t="shared" si="844"/>
        <v>364.88568079849892</v>
      </c>
      <c r="N323" s="712">
        <f>IF(Sheet1!CW323&gt;=F323,MIN(73,MIN(MAX(L323,0),MAX(M323,0))),0)</f>
        <v>73</v>
      </c>
      <c r="O323" s="721">
        <f>Sheet1!AA323+Sheet1!AB323</f>
        <v>45.349999999991269</v>
      </c>
      <c r="P323" s="721">
        <f t="shared" si="845"/>
        <v>70.156449999986492</v>
      </c>
      <c r="Q323" s="712">
        <f>MIN(N323,Sheet1!AA323+AG323)</f>
        <v>45.349999999991269</v>
      </c>
      <c r="R323" s="712">
        <f t="shared" si="846"/>
        <v>0</v>
      </c>
      <c r="S323" s="721">
        <f>Sheet1!Y323*MGDtoCFS</f>
        <v>40.840799999999994</v>
      </c>
      <c r="T323" s="721">
        <f>Sheet1!Z323*MGDtoCFS</f>
        <v>28.7742</v>
      </c>
      <c r="U323" s="721">
        <f>Sheet1!AA323*MGDtoCFS</f>
        <v>40.840799999990992</v>
      </c>
      <c r="V323" s="721">
        <f>Sheet1!AB323*MGDtoCFS</f>
        <v>29.315649999995497</v>
      </c>
      <c r="W323" s="721">
        <f>Sheet1!L323*MGDtoCFS</f>
        <v>19.70877999999966</v>
      </c>
      <c r="X323" s="697">
        <f t="shared" si="847"/>
        <v>0</v>
      </c>
      <c r="Y323" s="712">
        <f t="shared" si="848"/>
        <v>0</v>
      </c>
      <c r="Z323" s="712">
        <f t="shared" si="849"/>
        <v>0</v>
      </c>
      <c r="AA323" s="712">
        <f t="shared" si="850"/>
        <v>0</v>
      </c>
      <c r="AB323" s="712">
        <f>(VLOOKUP(Sheet1!CY323,hhdcap_wcm,4)-(((VLOOKUP(Sheet1!CY323,hhdcap_wcm,3)-Sheet1!CY323)/(VLOOKUP(Sheet1!CY323,hhdcap_wcm,3)-VLOOKUP(Sheet1!CY323,hhdcap_wcm,1)))*(VLOOKUP(Sheet1!CY323,hhdcap_wcm,4)-VLOOKUP(Sheet1!CY323,hhdcap_wcm,2))))</f>
        <v>2778.2600000042439</v>
      </c>
      <c r="AC323" s="712">
        <f t="shared" si="851"/>
        <v>-484.34000000087462</v>
      </c>
      <c r="AD323" s="712">
        <f t="shared" si="852"/>
        <v>0</v>
      </c>
      <c r="AE323" s="712">
        <f t="shared" si="853"/>
        <v>0</v>
      </c>
      <c r="AF323" s="712">
        <f>Sheet1!BA323+Sheet1!BB323+Sheet1!BN323+BT323</f>
        <v>18.899999999999999</v>
      </c>
      <c r="AG323" s="712">
        <f t="shared" si="854"/>
        <v>18.94999999999709</v>
      </c>
      <c r="AH323" s="712">
        <f>Sheet1!BA323+BT323</f>
        <v>0</v>
      </c>
      <c r="AI323" s="712">
        <f>Sheet1!BA323+Sheet1!BB323+BT323</f>
        <v>0</v>
      </c>
      <c r="AJ323" s="712">
        <f>IF((Sheet1!AA323+AG323+AX323+AZ323+BQ323+BS323+CL323+CN323)&lt;=N323,AG323+AX323+AZ323+BQ323+BS323+CL323+CN323,N323-Sheet1!AA323)</f>
        <v>18.94999999999709</v>
      </c>
      <c r="AK323" s="712">
        <f>IF(DR323&lt;K323,0,MAX(Sheet1!AA323+AG323-15/36*K323-N323,Sheet1!ED323,0))</f>
        <v>0</v>
      </c>
      <c r="AL323" s="712">
        <f>IF(OR(B323&gt;=FT323,B323&lt;FS323),0,15/36*K323-MAX(0,64.6-(137.6-(Sheet1!AA323+Sheet1!AB323))))</f>
        <v>0</v>
      </c>
      <c r="AM323" s="712">
        <f>Sheet1!CX323-110</f>
        <v>667.69791666666663</v>
      </c>
      <c r="AN323" s="712">
        <f>Sheet1!CW323-265</f>
        <v>751.69791666666663</v>
      </c>
      <c r="AO323" s="712">
        <f t="shared" si="835"/>
        <v>27.650000000008731</v>
      </c>
      <c r="AP323" s="712">
        <f t="shared" si="855"/>
        <v>0</v>
      </c>
      <c r="AQ323" s="712">
        <f t="shared" si="856"/>
        <v>0</v>
      </c>
      <c r="AR323" s="712">
        <f t="shared" si="857"/>
        <v>0</v>
      </c>
      <c r="AS323" s="712"/>
      <c r="AT323" s="712">
        <f ca="1">IF(B323&gt;Summary!$A$1,#N/A,AR323*MGtoAF)</f>
        <v>0</v>
      </c>
      <c r="AU323" s="712">
        <f>Sheet1!BG323+Sheet1!BH323+Sheet1!BI323-BC323</f>
        <v>0</v>
      </c>
      <c r="AV323" s="712">
        <f t="shared" si="858"/>
        <v>0</v>
      </c>
      <c r="AW323" s="712">
        <f>IF(Sheet1!EL323="FM",BC323,0)</f>
        <v>0</v>
      </c>
      <c r="AX323" s="712">
        <f t="shared" si="859"/>
        <v>0</v>
      </c>
      <c r="AY323" s="712">
        <f>IF(Sheet1!EL323="OTHER",BC323,0)</f>
        <v>0</v>
      </c>
      <c r="AZ323" s="712">
        <f t="shared" si="860"/>
        <v>0</v>
      </c>
      <c r="BA323" s="712">
        <f t="shared" si="861"/>
        <v>0</v>
      </c>
      <c r="BB323" s="712">
        <f t="shared" si="862"/>
        <v>0</v>
      </c>
      <c r="BC323" s="712">
        <f>IF(OR(Sheet1!EL323="FM", Sheet1!EL323="OTHER"),SUM(Sheet1!BG323:'Sheet1'!BI323),0)</f>
        <v>0</v>
      </c>
      <c r="BD323" s="697">
        <f>IF(AND($B323&gt;=$FL323,$B323&lt;=$FM323),MAX(AV323,Sheet1!EE323,0),MAX(AV323-(7/36)*$K323,0))</f>
        <v>0</v>
      </c>
      <c r="BE323" s="712">
        <f t="shared" si="863"/>
        <v>0</v>
      </c>
      <c r="BF323" s="697">
        <f t="shared" si="864"/>
        <v>0</v>
      </c>
      <c r="BG323" s="697">
        <f>IF(AND($O323&gt;0,Sheet1!EI323=1),(1-($O323-Sheet1!$L323)/$O323)*BB323,0)</f>
        <v>0</v>
      </c>
      <c r="BH323" s="697">
        <f>IF(AND(Sheet1!$L323=0,Sheet1!$L322=0, Calculation!BA323&lt;Sheet1!$EE323-0.1,Sheet1!$EE323=Sheet1!$EE322,Sheet1!$EE323=Sheet1!$EE324),Sheet1!$EE323,BB323-BG323)</f>
        <v>0</v>
      </c>
      <c r="BI323" s="712"/>
      <c r="BJ323" s="712"/>
      <c r="BK323" s="712">
        <f t="shared" si="865"/>
        <v>0</v>
      </c>
      <c r="BL323" s="712"/>
      <c r="BM323" s="712">
        <f ca="1">IF(B323&gt;Summary!$A$1,#N/A,BK323*MGtoAF)</f>
        <v>0</v>
      </c>
      <c r="BN323" s="712">
        <f>Sheet1!BC323+Sheet1!BD323+Sheet1!BE323+Sheet1!BF323-BW323-BX323</f>
        <v>0</v>
      </c>
      <c r="BO323" s="712">
        <f t="shared" si="866"/>
        <v>0</v>
      </c>
      <c r="BP323" s="712">
        <f>IF(Sheet1!EM323="FM",BX323,0)</f>
        <v>0</v>
      </c>
      <c r="BQ323" s="712">
        <f t="shared" si="867"/>
        <v>0</v>
      </c>
      <c r="BR323" s="712">
        <f>IF(Sheet1!EM323="OTHER",BX323,0)</f>
        <v>0</v>
      </c>
      <c r="BS323" s="712">
        <f t="shared" si="868"/>
        <v>0</v>
      </c>
      <c r="BT323" s="712">
        <f t="shared" si="869"/>
        <v>0</v>
      </c>
      <c r="BU323" s="712">
        <f t="shared" si="870"/>
        <v>0</v>
      </c>
      <c r="BV323" s="712">
        <f t="shared" si="871"/>
        <v>0</v>
      </c>
      <c r="BW323" s="712">
        <f>IF(Sheet1!EM323="CWA",SUM(Sheet1!BC323:'Sheet1'!BF323),0)</f>
        <v>0</v>
      </c>
      <c r="BX323" s="712">
        <f>IF(OR(Sheet1!EM323="FM", Sheet1!EM323="OTHER"),SUM(Sheet1!BC323:'Sheet1'!BF323),0)</f>
        <v>0</v>
      </c>
      <c r="BY323" s="697">
        <f>IF(AND($B323&gt;=$FL323,$B323&lt;=$FM323),MAX(BV323,Sheet1!EF323,0),MAX(BV323-(7/36)*$K323,0))</f>
        <v>0</v>
      </c>
      <c r="BZ323" s="712">
        <f t="shared" si="872"/>
        <v>0</v>
      </c>
      <c r="CA323" s="697">
        <f t="shared" si="873"/>
        <v>0</v>
      </c>
      <c r="CB323" s="697">
        <f>IF(AND($O323&gt;0,Sheet1!EJ323=1),(1-($O323-Sheet1!$L323)/$O323)*BV323,0)</f>
        <v>0</v>
      </c>
      <c r="CC323" s="697">
        <f>IF(AND(Sheet1!$L323=0,Sheet1!$L322=0, Calculation!BU323&lt;Sheet1!EF323-0.1,Sheet1!EF323=Sheet1!EF322,Sheet1!EF323=Sheet1!EF324),Sheet1!EF323,BV323-CB323)</f>
        <v>0</v>
      </c>
      <c r="CD323" s="697"/>
      <c r="CE323" s="712"/>
      <c r="CF323" s="712">
        <f t="shared" si="874"/>
        <v>0</v>
      </c>
      <c r="CG323" s="712"/>
      <c r="CH323" s="712">
        <f ca="1">IF(B323&gt;Summary!$A$1,#N/A,CF323*MGtoAF)</f>
        <v>0</v>
      </c>
      <c r="CI323" s="712">
        <f>Sheet1!BK323+Sheet1!BL323+Sheet1!BM323-Sheet1!EN323-CQ323</f>
        <v>0</v>
      </c>
      <c r="CJ323" s="712">
        <f t="shared" si="875"/>
        <v>0</v>
      </c>
      <c r="CK323" s="712">
        <f>IF(Sheet1!EN323="FM",CQ323,0)</f>
        <v>0</v>
      </c>
      <c r="CL323" s="712">
        <f t="shared" si="876"/>
        <v>0</v>
      </c>
      <c r="CM323" s="712">
        <f>IF(Sheet1!EN323="OTHER",CQ323,0)</f>
        <v>0</v>
      </c>
      <c r="CN323" s="712">
        <f t="shared" si="877"/>
        <v>0</v>
      </c>
      <c r="CO323" s="712">
        <f t="shared" si="878"/>
        <v>0</v>
      </c>
      <c r="CP323" s="712">
        <f t="shared" si="879"/>
        <v>0</v>
      </c>
      <c r="CQ323" s="712">
        <f>IF(OR(Sheet1!EN323="FM", Sheet1!EN323="OTHER"),SUM(Sheet1!BK323:'Sheet1'!BM323),0)</f>
        <v>0</v>
      </c>
      <c r="CR323" s="697">
        <f>IF(AND($B323&gt;=$FL323,$B323&lt;=$FM323),MAX($CJ323,Sheet1!EG323,0),MAX($CJ323-(7/36)*$K323,0))</f>
        <v>0</v>
      </c>
      <c r="CS323" s="712">
        <f t="shared" si="880"/>
        <v>0</v>
      </c>
      <c r="CT323" s="697">
        <f t="shared" si="881"/>
        <v>0</v>
      </c>
      <c r="CU323" s="697">
        <f>IF(AND($O323&gt;0,Sheet1!EK323=1),(1-($O323-Sheet1!$L323)/$O323)*CP323,0)</f>
        <v>0</v>
      </c>
      <c r="CV323" s="697">
        <f>IF(AND(Sheet1!$L323=0,Sheet1!$L322=0, Calculation!CO323&lt;Sheet1!$EG323-0.1,Sheet1!$EG323=Sheet1!$EG322,Sheet1!$EG323=Sheet1!$EG324),Sheet1!$EG323,CP323-CU323)</f>
        <v>0</v>
      </c>
      <c r="CW323" s="697">
        <f t="shared" si="837"/>
        <v>0</v>
      </c>
      <c r="CX323" s="712">
        <f t="shared" si="882"/>
        <v>0</v>
      </c>
      <c r="CY323" s="712">
        <f t="shared" si="883"/>
        <v>0</v>
      </c>
      <c r="CZ323" s="712">
        <f t="shared" si="884"/>
        <v>0</v>
      </c>
      <c r="DA323" s="712">
        <f ca="1">IF(B323&gt;Summary!$A$1,#N/A,CY323*MGtoAF)</f>
        <v>0</v>
      </c>
      <c r="DB323" s="712">
        <f t="shared" si="885"/>
        <v>0</v>
      </c>
      <c r="DC323" s="712">
        <f t="shared" si="886"/>
        <v>18.899999999999999</v>
      </c>
      <c r="DD323" s="712">
        <f>Sheet1!AB323-DC323</f>
        <v>4.9999999997091038E-2</v>
      </c>
      <c r="DE323" s="712">
        <f t="shared" si="887"/>
        <v>2.6455026453487324E-3</v>
      </c>
      <c r="DF323" s="712">
        <f>(VLOOKUP(Sheet1!CY323,hhdcap_wcm,4)-(((VLOOKUP(Sheet1!CY323,hhdcap_wcm,3)-Sheet1!CY323)/(VLOOKUP(Sheet1!CY323,hhdcap_wcm,3)-VLOOKUP(Sheet1!CY323,hhdcap_wcm,1)))*(VLOOKUP(Sheet1!CY323,hhdcap_wcm,4)-VLOOKUP(Sheet1!CY323,hhdcap_wcm,2))))</f>
        <v>2778.2600000042439</v>
      </c>
      <c r="DG323" s="712">
        <f t="shared" si="888"/>
        <v>-484.34000000087462</v>
      </c>
      <c r="DH323" s="712">
        <f t="shared" si="889"/>
        <v>-244.24609178057213</v>
      </c>
      <c r="DI323" s="712">
        <f>Sheet1!DW323*AFtoMG</f>
        <v>0</v>
      </c>
      <c r="DJ323" s="712">
        <f>Sheet1!DX323*AFtoMG</f>
        <v>0</v>
      </c>
      <c r="DK323" s="712">
        <f>Sheet1!DY323*AFtoMG</f>
        <v>0</v>
      </c>
      <c r="DL323" s="712">
        <f>Sheet1!DZ323*AFtoMG</f>
        <v>0</v>
      </c>
      <c r="DM323" s="712">
        <f t="shared" si="890"/>
        <v>0</v>
      </c>
      <c r="DN323" s="712">
        <f t="shared" si="891"/>
        <v>0</v>
      </c>
      <c r="DO323" s="712">
        <f t="shared" si="892"/>
        <v>0</v>
      </c>
      <c r="DP323" s="712">
        <f t="shared" si="893"/>
        <v>0</v>
      </c>
      <c r="DQ323" s="712"/>
      <c r="DR323" s="697">
        <f>IF(OR(B323&lt;FL323,B323&gt;FM323),(MIN(AV323+BO323+CJ323+MAX(Sheet1!AA323+AG323-73,0),K323)),0)</f>
        <v>0</v>
      </c>
      <c r="DS323" s="712"/>
      <c r="DT323" s="712">
        <f t="shared" si="894"/>
        <v>0</v>
      </c>
      <c r="DU323" s="712"/>
      <c r="DV323" s="712">
        <f>Sheet1!ED323+Sheet1!EE323+Sheet1!EF323+Sheet1!EG323</f>
        <v>8.5</v>
      </c>
      <c r="DW323" s="712"/>
      <c r="DX323" s="697">
        <f t="shared" si="895"/>
        <v>0</v>
      </c>
      <c r="DY323" s="712">
        <f>IF(Sheet1!FN323=1,SUM('Calculations II'!AT323:BA323)+'Calculations II'!BC323+Sheet1!BU323+'Calculations II'!BE323+AF323,SUM('Calculations II'!AT323:BA323)+'Calculations II'!BC323+Sheet1!BU323+'Calculations II'!BE323+AF323)</f>
        <v>42.122623999999995</v>
      </c>
      <c r="DZ323" s="712">
        <f>Sheet1!AA323+Sheet1!AB323+'Calculations II'!BC323</f>
        <v>45.349999999991269</v>
      </c>
      <c r="EA323" s="712"/>
      <c r="EB323" s="712"/>
      <c r="EC323" s="712">
        <f t="shared" si="896"/>
        <v>40852</v>
      </c>
      <c r="ED323" s="712">
        <f t="shared" si="897"/>
        <v>0</v>
      </c>
      <c r="EE323" s="712">
        <f t="shared" si="898"/>
        <v>0</v>
      </c>
      <c r="EF323" s="712">
        <f ca="1">IF(B323=TODAY(),0,-(VLOOKUP(Sheet1!BQ323,Lookup!$B$4:$J$236,2)-VLOOKUP(Sheet1!BQ322,Lookup!$B$4:$J$236,2))/1000000)</f>
        <v>-0.54100000000000004</v>
      </c>
      <c r="EG323" s="712">
        <f ca="1">IF(B323=TODAY(),0,-(VLOOKUP(Sheet1!BR323,Lookup!$B$4:$J$236,3)-VLOOKUP(Sheet1!BR322,Lookup!$B$4:$J$236,3))/1000000)</f>
        <v>-0.81</v>
      </c>
      <c r="EH323" s="712">
        <f>-(VLOOKUP(Sheet1!BS323,Lookup!$B$4:$J$236,4)-VLOOKUP(Sheet1!BS322,Lookup!$B$4:$J$236,4))/1000000</f>
        <v>0</v>
      </c>
      <c r="EI323" s="697">
        <f t="shared" ca="1" si="922"/>
        <v>-1.351</v>
      </c>
      <c r="EJ323" s="712"/>
      <c r="EK323" s="712"/>
      <c r="EL323" s="712"/>
      <c r="EM323" s="712"/>
      <c r="EN323" s="712"/>
      <c r="EO323" s="712"/>
      <c r="EP323" s="712"/>
      <c r="EQ323" s="712"/>
      <c r="ER323" s="712"/>
      <c r="ES323" s="712"/>
      <c r="ET323" s="794">
        <f t="shared" si="919"/>
        <v>1104</v>
      </c>
      <c r="EU323" s="794" t="e">
        <f t="shared" si="838"/>
        <v>#N/A</v>
      </c>
      <c r="EV323" s="795" t="e">
        <f t="shared" si="836"/>
        <v>#N/A</v>
      </c>
      <c r="EW323" s="796" t="s">
        <v>757</v>
      </c>
      <c r="EX323" s="796" t="s">
        <v>757</v>
      </c>
      <c r="EY323" s="794" t="e">
        <v>#N/A</v>
      </c>
      <c r="EZ323" s="798">
        <v>7113.0000000131267</v>
      </c>
      <c r="FA323" s="712"/>
      <c r="FB323" s="712"/>
      <c r="FC323" s="712"/>
      <c r="FD323" s="712"/>
      <c r="FE323" s="712">
        <f>O323+Sheet1!CO323</f>
        <v>45.349999999991269</v>
      </c>
      <c r="FF323" s="712">
        <f>IF(Sheet1!AA323+AG323&lt;=Calculation!N323,AG323,Calculation!N323-Sheet1!AA323)</f>
        <v>18.94999999999709</v>
      </c>
      <c r="FG323" s="712">
        <f>(Sheet1!BP323+Sheet1!BO323)/694.4</f>
        <v>1.5669642857142856</v>
      </c>
      <c r="FH323" s="712"/>
      <c r="FI323" s="712"/>
      <c r="FJ323" s="712"/>
      <c r="FK323" s="712"/>
      <c r="FL323" s="714">
        <f t="shared" si="827"/>
        <v>40753</v>
      </c>
      <c r="FM323" s="714">
        <f t="shared" si="828"/>
        <v>40851</v>
      </c>
      <c r="FN323" s="712"/>
      <c r="FO323" s="712"/>
      <c r="FP323" s="712"/>
      <c r="FQ323" s="712"/>
      <c r="FR323" s="712"/>
      <c r="FS323" s="725">
        <f t="shared" si="923"/>
        <v>40603</v>
      </c>
      <c r="FT323" s="714">
        <f t="shared" si="830"/>
        <v>40709</v>
      </c>
      <c r="FU323" s="712">
        <f t="shared" si="923"/>
        <v>6518.9048239895692</v>
      </c>
      <c r="FV323" s="714">
        <f t="shared" si="831"/>
        <v>40722</v>
      </c>
      <c r="FW323" s="712">
        <f t="shared" si="923"/>
        <v>3259.4524119947846</v>
      </c>
      <c r="FX323" s="725">
        <f t="shared" si="923"/>
        <v>40851</v>
      </c>
      <c r="FZ323" s="697">
        <f t="shared" si="824"/>
        <v>0</v>
      </c>
      <c r="GA323" s="712" t="str">
        <f t="shared" si="899"/>
        <v/>
      </c>
      <c r="GB323" s="712">
        <f t="shared" si="900"/>
        <v>0</v>
      </c>
      <c r="GC323" s="712" t="str">
        <f t="shared" si="901"/>
        <v/>
      </c>
      <c r="GD323" s="712">
        <f>IF(GA323="P",Lookup!$M$12,IF(GA323="PP",Lookup!$M$13,IF(GA323="PPP",Lookup!$M$14,IF(GA323="T",Lookup!$M$15,IF(GA323="TP",Lookup!$M$16,IF(GA323="TPP",Lookup!$M$17,IF(GA323="TPPP",Lookup!$M$18,0)))))))*FZ323</f>
        <v>0</v>
      </c>
      <c r="GE323" s="712">
        <f t="shared" si="902"/>
        <v>0</v>
      </c>
      <c r="GF323" s="712">
        <f t="shared" si="903"/>
        <v>0</v>
      </c>
      <c r="GG323" s="712">
        <f t="shared" si="904"/>
        <v>0</v>
      </c>
      <c r="GH323" s="712"/>
      <c r="GI323" s="712">
        <f t="shared" si="905"/>
        <v>0</v>
      </c>
      <c r="GJ323" s="712" t="str">
        <f t="shared" si="906"/>
        <v/>
      </c>
      <c r="GK323" s="712">
        <f>IF(GA323="P",Lookup!$N$12,IF(GA323="PP",Lookup!$N$13,IF(GA323="PPP",Lookup!$N$14,IF(GA323="T",Lookup!$N$15,IF(GA323="TP",Lookup!$N$16,IF(GA323="TPP",Lookup!$N$17,IF(GA323="TPPP",Lookup!$N$18,0)))))))*FZ323</f>
        <v>0</v>
      </c>
      <c r="GL323" s="712">
        <f t="shared" si="907"/>
        <v>0</v>
      </c>
      <c r="GM323" s="712">
        <f t="shared" si="908"/>
        <v>0</v>
      </c>
      <c r="GN323" s="712">
        <f t="shared" si="909"/>
        <v>0</v>
      </c>
      <c r="GO323" s="712"/>
      <c r="GP323" s="712">
        <f t="shared" si="910"/>
        <v>0</v>
      </c>
      <c r="GQ323" s="712" t="str">
        <f t="shared" si="911"/>
        <v/>
      </c>
      <c r="GR323" s="712">
        <f>IF(GA323="P",Lookup!$N$12,IF(GA323="PP",Lookup!$N$13,IF(GA323="PPP",Lookup!$N$14,IF(GA323="T",Lookup!$N$15,IF(GA323="TP",Lookup!$N$16,IF(GA323="TPP",Lookup!$N$17,IF(GA323="TPPP",Lookup!$N$18,0)))))))*FZ323</f>
        <v>0</v>
      </c>
      <c r="GS323" s="697">
        <f t="shared" si="825"/>
        <v>0</v>
      </c>
      <c r="GT323" s="712">
        <f t="shared" si="912"/>
        <v>0</v>
      </c>
      <c r="GU323" s="712">
        <f t="shared" si="913"/>
        <v>0</v>
      </c>
      <c r="GV323" s="712"/>
      <c r="GW323" s="712">
        <f t="shared" si="914"/>
        <v>0</v>
      </c>
      <c r="GX323" s="712" t="str">
        <f t="shared" si="915"/>
        <v/>
      </c>
      <c r="GY323" s="712">
        <f>IF(GA323="P",Lookup!$N$12,IF(GA323="PP",Lookup!$N$13,IF(GA323="PPP",Lookup!$N$14,IF(GA323="T",Lookup!$N$15,IF(GA323="TP",Lookup!$N$16,IF(GA323="TPP",Lookup!$N$17,IF(GA323="TPPP",Lookup!$N$18,0)))))))*FZ323</f>
        <v>0</v>
      </c>
      <c r="GZ323" s="697">
        <f t="shared" si="826"/>
        <v>0</v>
      </c>
      <c r="HA323" s="712">
        <f t="shared" si="916"/>
        <v>0</v>
      </c>
      <c r="HB323" s="712">
        <f t="shared" si="917"/>
        <v>0</v>
      </c>
      <c r="HC323" s="712"/>
    </row>
    <row r="324" spans="1:211">
      <c r="A324" s="773" t="s">
        <v>3</v>
      </c>
      <c r="B324" s="708">
        <v>40853</v>
      </c>
      <c r="C324" s="709">
        <v>0.5</v>
      </c>
      <c r="D324" s="675">
        <f t="shared" si="840"/>
        <v>300</v>
      </c>
      <c r="E324" s="675">
        <f t="shared" si="841"/>
        <v>250</v>
      </c>
      <c r="F324" s="675">
        <v>250</v>
      </c>
      <c r="G324" s="712">
        <f>DH324+Sheet1!CV324</f>
        <v>496.22119263704371</v>
      </c>
      <c r="H324" s="712">
        <f t="shared" si="842"/>
        <v>53.794178920585054</v>
      </c>
      <c r="I324" s="711">
        <f>MAX(Sheet1!Z324-AJ324+(Sheet1!CW324-E324)*CFStoMGD,0)</f>
        <v>460.40206666666666</v>
      </c>
      <c r="J324" s="720">
        <f>IF(AND(B324&gt;=Calculation!FS324,B324&lt;=Calculation!FT324),IF(Sheet1!CX324&gt;=Calculation!D324,64.64,0),MAX(Sheet1!Z324-AJ324+(Sheet1!CX324-D324)*CFStoMGD,0))</f>
        <v>255.44613333333331</v>
      </c>
      <c r="K324" s="697">
        <f t="shared" si="843"/>
        <v>53.794178920585054</v>
      </c>
      <c r="L324" s="712">
        <f>Sheet1!AA324+Sheet1!AB324-Sheet1!L324+(Sheet1!CW324-F324)*CFStoMGD</f>
        <v>489.21206666666711</v>
      </c>
      <c r="M324" s="712">
        <f t="shared" si="844"/>
        <v>327.17252649899677</v>
      </c>
      <c r="N324" s="712">
        <f>IF(Sheet1!CW324&gt;=F324,MIN(73,MIN(MAX(L324,0),MAX(M324,0))),0)</f>
        <v>73</v>
      </c>
      <c r="O324" s="721">
        <f>Sheet1!AA324+Sheet1!AB324</f>
        <v>45.510000000000005</v>
      </c>
      <c r="P324" s="721">
        <f t="shared" si="845"/>
        <v>70.403970000000001</v>
      </c>
      <c r="Q324" s="712">
        <f>MIN(N324,Sheet1!AA324+AG324)</f>
        <v>45.510000000000005</v>
      </c>
      <c r="R324" s="712">
        <f t="shared" si="846"/>
        <v>0</v>
      </c>
      <c r="S324" s="721">
        <f>Sheet1!Y324*MGDtoCFS</f>
        <v>40.840799999999994</v>
      </c>
      <c r="T324" s="721">
        <f>Sheet1!Z324*MGDtoCFS</f>
        <v>29.392999999999997</v>
      </c>
      <c r="U324" s="721">
        <f>Sheet1!AA324*MGDtoCFS</f>
        <v>40.964559999999999</v>
      </c>
      <c r="V324" s="721">
        <f>Sheet1!AB324*MGDtoCFS</f>
        <v>29.439409999999999</v>
      </c>
      <c r="W324" s="721">
        <f>Sheet1!L324*MGDtoCFS</f>
        <v>25.881309999999324</v>
      </c>
      <c r="X324" s="697">
        <f t="shared" si="847"/>
        <v>0</v>
      </c>
      <c r="Y324" s="712">
        <f t="shared" si="848"/>
        <v>0</v>
      </c>
      <c r="Z324" s="712">
        <f t="shared" si="849"/>
        <v>0</v>
      </c>
      <c r="AA324" s="712">
        <f t="shared" si="850"/>
        <v>0</v>
      </c>
      <c r="AB324" s="712">
        <f>(VLOOKUP(Sheet1!CY324,hhdcap_wcm,4)-(((VLOOKUP(Sheet1!CY324,hhdcap_wcm,3)-Sheet1!CY324)/(VLOOKUP(Sheet1!CY324,hhdcap_wcm,3)-VLOOKUP(Sheet1!CY324,hhdcap_wcm,1)))*(VLOOKUP(Sheet1!CY324,hhdcap_wcm,4)-VLOOKUP(Sheet1!CY324,hhdcap_wcm,2))))</f>
        <v>2345.0000000035016</v>
      </c>
      <c r="AC324" s="712">
        <f t="shared" si="851"/>
        <v>-433.26000000074237</v>
      </c>
      <c r="AD324" s="712">
        <f t="shared" si="852"/>
        <v>0</v>
      </c>
      <c r="AE324" s="712">
        <f t="shared" si="853"/>
        <v>0</v>
      </c>
      <c r="AF324" s="712">
        <f>Sheet1!BA324+Sheet1!BB324+Sheet1!BN324+BT324</f>
        <v>18.899999999999999</v>
      </c>
      <c r="AG324" s="712">
        <f t="shared" si="854"/>
        <v>19.03</v>
      </c>
      <c r="AH324" s="712">
        <f>Sheet1!BA324+BT324</f>
        <v>0</v>
      </c>
      <c r="AI324" s="712">
        <f>Sheet1!BA324+Sheet1!BB324+BT324</f>
        <v>0</v>
      </c>
      <c r="AJ324" s="712">
        <f>IF((Sheet1!AA324+AG324+AX324+AZ324+BQ324+BS324+CL324+CN324)&lt;=N324,AG324+AX324+AZ324+BQ324+BS324+CL324+CN324,N324-Sheet1!AA324)</f>
        <v>19.03</v>
      </c>
      <c r="AK324" s="712">
        <f>IF(DR324&lt;K324,0,MAX(Sheet1!AA324+AG324-15/36*K324-N324,Sheet1!ED324,0))</f>
        <v>0</v>
      </c>
      <c r="AL324" s="712">
        <f>IF(OR(B324&gt;=FT324,B324&lt;FS324),0,15/36*K324-MAX(0,64.6-(137.6-(Sheet1!AA324+Sheet1!AB324))))</f>
        <v>0</v>
      </c>
      <c r="AM324" s="712">
        <f>Sheet1!CX324-110</f>
        <v>585.22916666666663</v>
      </c>
      <c r="AN324" s="712">
        <f>Sheet1!CW324-265</f>
        <v>697.30208333333337</v>
      </c>
      <c r="AO324" s="712">
        <f t="shared" si="835"/>
        <v>27.489999999999995</v>
      </c>
      <c r="AP324" s="712">
        <f t="shared" si="855"/>
        <v>0</v>
      </c>
      <c r="AQ324" s="712">
        <f t="shared" si="856"/>
        <v>0</v>
      </c>
      <c r="AR324" s="712">
        <f t="shared" si="857"/>
        <v>0</v>
      </c>
      <c r="AS324" s="712"/>
      <c r="AT324" s="712">
        <f ca="1">IF(B324&gt;Summary!$A$1,#N/A,AR324*MGtoAF)</f>
        <v>0</v>
      </c>
      <c r="AU324" s="712">
        <f>Sheet1!BG324+Sheet1!BH324+Sheet1!BI324-BC324</f>
        <v>0</v>
      </c>
      <c r="AV324" s="712">
        <f t="shared" si="858"/>
        <v>0</v>
      </c>
      <c r="AW324" s="712">
        <f>IF(Sheet1!EL324="FM",BC324,0)</f>
        <v>0</v>
      </c>
      <c r="AX324" s="712">
        <f t="shared" si="859"/>
        <v>0</v>
      </c>
      <c r="AY324" s="712">
        <f>IF(Sheet1!EL324="OTHER",BC324,0)</f>
        <v>0</v>
      </c>
      <c r="AZ324" s="712">
        <f t="shared" si="860"/>
        <v>0</v>
      </c>
      <c r="BA324" s="712">
        <f t="shared" si="861"/>
        <v>0</v>
      </c>
      <c r="BB324" s="712">
        <f t="shared" si="862"/>
        <v>0</v>
      </c>
      <c r="BC324" s="712">
        <f>IF(OR(Sheet1!EL324="FM", Sheet1!EL324="OTHER"),SUM(Sheet1!BG324:'Sheet1'!BI324),0)</f>
        <v>0</v>
      </c>
      <c r="BD324" s="697">
        <f>IF(AND($B324&gt;=$FL324,$B324&lt;=$FM324),MAX(AV324,Sheet1!EE324,0),MAX(AV324-(7/36)*$K324,0))</f>
        <v>0</v>
      </c>
      <c r="BE324" s="712">
        <f t="shared" si="863"/>
        <v>0</v>
      </c>
      <c r="BF324" s="697">
        <f t="shared" si="864"/>
        <v>0</v>
      </c>
      <c r="BG324" s="697">
        <f>IF(AND($O324&gt;0,Sheet1!EI324=1),(1-($O324-Sheet1!$L324)/$O324)*BB324,0)</f>
        <v>0</v>
      </c>
      <c r="BH324" s="697">
        <f>IF(AND(Sheet1!$L324=0,Sheet1!$L323=0, Calculation!BA324&lt;Sheet1!$EE324-0.1,Sheet1!$EE324=Sheet1!$EE323,Sheet1!$EE324=Sheet1!$EE325),Sheet1!$EE324,BB324-BG324)</f>
        <v>0</v>
      </c>
      <c r="BI324" s="712"/>
      <c r="BJ324" s="712"/>
      <c r="BK324" s="712">
        <f t="shared" si="865"/>
        <v>0</v>
      </c>
      <c r="BL324" s="712"/>
      <c r="BM324" s="712">
        <f ca="1">IF(B324&gt;Summary!$A$1,#N/A,BK324*MGtoAF)</f>
        <v>0</v>
      </c>
      <c r="BN324" s="712">
        <f>Sheet1!BC324+Sheet1!BD324+Sheet1!BE324+Sheet1!BF324-BW324-BX324</f>
        <v>0</v>
      </c>
      <c r="BO324" s="712">
        <f t="shared" si="866"/>
        <v>0</v>
      </c>
      <c r="BP324" s="712">
        <f>IF(Sheet1!EM324="FM",BX324,0)</f>
        <v>0</v>
      </c>
      <c r="BQ324" s="712">
        <f t="shared" si="867"/>
        <v>0</v>
      </c>
      <c r="BR324" s="712">
        <f>IF(Sheet1!EM324="OTHER",BX324,0)</f>
        <v>0</v>
      </c>
      <c r="BS324" s="712">
        <f t="shared" si="868"/>
        <v>0</v>
      </c>
      <c r="BT324" s="712">
        <f t="shared" si="869"/>
        <v>0</v>
      </c>
      <c r="BU324" s="712">
        <f t="shared" si="870"/>
        <v>0</v>
      </c>
      <c r="BV324" s="712">
        <f t="shared" si="871"/>
        <v>0</v>
      </c>
      <c r="BW324" s="712">
        <f>IF(Sheet1!EM324="CWA",SUM(Sheet1!BC324:'Sheet1'!BF324),0)</f>
        <v>0</v>
      </c>
      <c r="BX324" s="712">
        <f>IF(OR(Sheet1!EM324="FM", Sheet1!EM324="OTHER"),SUM(Sheet1!BC324:'Sheet1'!BF324),0)</f>
        <v>0</v>
      </c>
      <c r="BY324" s="697">
        <f>IF(AND($B324&gt;=$FL324,$B324&lt;=$FM324),MAX(BV324,Sheet1!EF324,0),MAX(BV324-(7/36)*$K324,0))</f>
        <v>0</v>
      </c>
      <c r="BZ324" s="712">
        <f t="shared" si="872"/>
        <v>0</v>
      </c>
      <c r="CA324" s="697">
        <f t="shared" si="873"/>
        <v>0</v>
      </c>
      <c r="CB324" s="697">
        <f>IF(AND($O324&gt;0,Sheet1!EJ324=1),(1-($O324-Sheet1!$L324)/$O324)*BV324,0)</f>
        <v>0</v>
      </c>
      <c r="CC324" s="697">
        <f>IF(AND(Sheet1!$L324=0,Sheet1!$L323=0, Calculation!BU324&lt;Sheet1!EF324-0.1,Sheet1!EF324=Sheet1!EF323,Sheet1!EF324=Sheet1!EF325),Sheet1!EF324,BV324-CB324)</f>
        <v>0</v>
      </c>
      <c r="CD324" s="697"/>
      <c r="CE324" s="712"/>
      <c r="CF324" s="712">
        <f t="shared" si="874"/>
        <v>0</v>
      </c>
      <c r="CG324" s="712"/>
      <c r="CH324" s="712">
        <f ca="1">IF(B324&gt;Summary!$A$1,#N/A,CF324*MGtoAF)</f>
        <v>0</v>
      </c>
      <c r="CI324" s="712">
        <f>Sheet1!BK324+Sheet1!BL324+Sheet1!BM324-Sheet1!EN324-CQ324</f>
        <v>0</v>
      </c>
      <c r="CJ324" s="712">
        <f t="shared" si="875"/>
        <v>0</v>
      </c>
      <c r="CK324" s="712">
        <f>IF(Sheet1!EN324="FM",CQ324,0)</f>
        <v>0</v>
      </c>
      <c r="CL324" s="712">
        <f t="shared" si="876"/>
        <v>0</v>
      </c>
      <c r="CM324" s="712">
        <f>IF(Sheet1!EN324="OTHER",CQ324,0)</f>
        <v>0</v>
      </c>
      <c r="CN324" s="712">
        <f t="shared" si="877"/>
        <v>0</v>
      </c>
      <c r="CO324" s="712">
        <f t="shared" si="878"/>
        <v>0</v>
      </c>
      <c r="CP324" s="712">
        <f t="shared" si="879"/>
        <v>0</v>
      </c>
      <c r="CQ324" s="712">
        <f>IF(OR(Sheet1!EN324="FM", Sheet1!EN324="OTHER"),SUM(Sheet1!BK324:'Sheet1'!BM324),0)</f>
        <v>0</v>
      </c>
      <c r="CR324" s="697">
        <f>IF(AND($B324&gt;=$FL324,$B324&lt;=$FM324),MAX($CJ324,Sheet1!EG324,0),MAX($CJ324-(7/36)*$K324,0))</f>
        <v>0</v>
      </c>
      <c r="CS324" s="712">
        <f t="shared" si="880"/>
        <v>0</v>
      </c>
      <c r="CT324" s="697">
        <f t="shared" si="881"/>
        <v>0</v>
      </c>
      <c r="CU324" s="697">
        <f>IF(AND($O324&gt;0,Sheet1!EK324=1),(1-($O324-Sheet1!$L324)/$O324)*CP324,0)</f>
        <v>0</v>
      </c>
      <c r="CV324" s="697">
        <f>IF(AND(Sheet1!$L324=0,Sheet1!$L323=0, Calculation!CO324&lt;Sheet1!$EG324-0.1,Sheet1!$EG324=Sheet1!$EG323,Sheet1!$EG324=Sheet1!$EG325),Sheet1!$EG324,CP324-CU324)</f>
        <v>0</v>
      </c>
      <c r="CW324" s="697">
        <f t="shared" si="837"/>
        <v>0</v>
      </c>
      <c r="CX324" s="712">
        <f t="shared" si="882"/>
        <v>0</v>
      </c>
      <c r="CY324" s="712">
        <f t="shared" si="883"/>
        <v>0</v>
      </c>
      <c r="CZ324" s="712">
        <f t="shared" si="884"/>
        <v>0</v>
      </c>
      <c r="DA324" s="712">
        <f ca="1">IF(B324&gt;Summary!$A$1,#N/A,CY324*MGtoAF)</f>
        <v>0</v>
      </c>
      <c r="DB324" s="712">
        <f t="shared" si="885"/>
        <v>0</v>
      </c>
      <c r="DC324" s="712">
        <f t="shared" si="886"/>
        <v>18.899999999999999</v>
      </c>
      <c r="DD324" s="712">
        <f>Sheet1!AB324-DC324</f>
        <v>0.13000000000000256</v>
      </c>
      <c r="DE324" s="712">
        <f t="shared" si="887"/>
        <v>6.8783068783070138E-3</v>
      </c>
      <c r="DF324" s="712">
        <f>(VLOOKUP(Sheet1!CY324,hhdcap_wcm,4)-(((VLOOKUP(Sheet1!CY324,hhdcap_wcm,3)-Sheet1!CY324)/(VLOOKUP(Sheet1!CY324,hhdcap_wcm,3)-VLOOKUP(Sheet1!CY324,hhdcap_wcm,1)))*(VLOOKUP(Sheet1!CY324,hhdcap_wcm,4)-VLOOKUP(Sheet1!CY324,hhdcap_wcm,2))))</f>
        <v>2345.0000000035016</v>
      </c>
      <c r="DG324" s="712">
        <f t="shared" si="888"/>
        <v>-433.26000000074237</v>
      </c>
      <c r="DH324" s="712">
        <f t="shared" si="889"/>
        <v>-218.48714069628963</v>
      </c>
      <c r="DI324" s="712">
        <f>Sheet1!DW324*AFtoMG</f>
        <v>0</v>
      </c>
      <c r="DJ324" s="712">
        <f>Sheet1!DX324*AFtoMG</f>
        <v>0</v>
      </c>
      <c r="DK324" s="712">
        <f>Sheet1!DY324*AFtoMG</f>
        <v>0</v>
      </c>
      <c r="DL324" s="712">
        <f>Sheet1!DZ324*AFtoMG</f>
        <v>0</v>
      </c>
      <c r="DM324" s="712">
        <f t="shared" si="890"/>
        <v>0</v>
      </c>
      <c r="DN324" s="712">
        <f t="shared" si="891"/>
        <v>0</v>
      </c>
      <c r="DO324" s="712">
        <f t="shared" si="892"/>
        <v>0</v>
      </c>
      <c r="DP324" s="712">
        <f t="shared" si="893"/>
        <v>0</v>
      </c>
      <c r="DQ324" s="712"/>
      <c r="DR324" s="697">
        <f>IF(OR(B324&lt;FL324,B324&gt;FM324),(MIN(AV324+BO324+CJ324+MAX(Sheet1!AA324+AG324-73,0),K324)),0)</f>
        <v>0</v>
      </c>
      <c r="DS324" s="712"/>
      <c r="DT324" s="712">
        <f t="shared" si="894"/>
        <v>0</v>
      </c>
      <c r="DU324" s="712"/>
      <c r="DV324" s="712">
        <f>Sheet1!ED324+Sheet1!EE324+Sheet1!EF324+Sheet1!EG324</f>
        <v>8.5</v>
      </c>
      <c r="DW324" s="712"/>
      <c r="DX324" s="697">
        <f t="shared" si="895"/>
        <v>0</v>
      </c>
      <c r="DY324" s="712">
        <f>IF(Sheet1!FN324=1,SUM('Calculations II'!AT324:BA324)+'Calculations II'!BC324+Sheet1!BU324+'Calculations II'!BE324+AF324,SUM('Calculations II'!AT324:BA324)+'Calculations II'!BC324+Sheet1!BU324+'Calculations II'!BE324+AF324)</f>
        <v>42.175183999999994</v>
      </c>
      <c r="DZ324" s="712">
        <f>Sheet1!AA324+Sheet1!AB324+'Calculations II'!BC324</f>
        <v>45.510000000000005</v>
      </c>
      <c r="EA324" s="712"/>
      <c r="EB324" s="712"/>
      <c r="EC324" s="712">
        <f t="shared" si="896"/>
        <v>40853</v>
      </c>
      <c r="ED324" s="712">
        <f t="shared" si="897"/>
        <v>0</v>
      </c>
      <c r="EE324" s="712">
        <f t="shared" si="898"/>
        <v>0</v>
      </c>
      <c r="EF324" s="712">
        <f ca="1">IF(B324=TODAY(),0,-(VLOOKUP(Sheet1!BQ324,Lookup!$B$4:$J$236,2)-VLOOKUP(Sheet1!BQ323,Lookup!$B$4:$J$236,2))/1000000)</f>
        <v>0</v>
      </c>
      <c r="EG324" s="712">
        <f ca="1">IF(B324=TODAY(),0,-(VLOOKUP(Sheet1!BR324,Lookup!$B$4:$J$236,3)-VLOOKUP(Sheet1!BR323,Lookup!$B$4:$J$236,3))/1000000)</f>
        <v>0</v>
      </c>
      <c r="EH324" s="712">
        <f>-(VLOOKUP(Sheet1!BS324,Lookup!$B$4:$J$236,4)-VLOOKUP(Sheet1!BS323,Lookup!$B$4:$J$236,4))/1000000</f>
        <v>0</v>
      </c>
      <c r="EI324" s="697">
        <f t="shared" ca="1" si="922"/>
        <v>0</v>
      </c>
      <c r="EJ324" s="712"/>
      <c r="EK324" s="712"/>
      <c r="EL324" s="712"/>
      <c r="EM324" s="712"/>
      <c r="EN324" s="712"/>
      <c r="EO324" s="712"/>
      <c r="EP324" s="712"/>
      <c r="EQ324" s="712"/>
      <c r="ER324" s="712"/>
      <c r="ES324" s="712"/>
      <c r="ET324" s="794">
        <f t="shared" si="919"/>
        <v>1103</v>
      </c>
      <c r="EU324" s="794" t="e">
        <f t="shared" si="838"/>
        <v>#N/A</v>
      </c>
      <c r="EV324" s="795" t="e">
        <f t="shared" si="836"/>
        <v>#N/A</v>
      </c>
      <c r="EW324" s="796" t="s">
        <v>757</v>
      </c>
      <c r="EX324" s="796" t="s">
        <v>757</v>
      </c>
      <c r="EY324" s="794" t="e">
        <v>#N/A</v>
      </c>
      <c r="EZ324" s="798">
        <v>6838.0000000125056</v>
      </c>
      <c r="FA324" s="712"/>
      <c r="FB324" s="712"/>
      <c r="FC324" s="712"/>
      <c r="FD324" s="712"/>
      <c r="FE324" s="712">
        <f>O324+Sheet1!CO324</f>
        <v>45.510000000000005</v>
      </c>
      <c r="FF324" s="712">
        <f>IF(Sheet1!AA324+AG324&lt;=Calculation!N324,AG324,Calculation!N324-Sheet1!AA324)</f>
        <v>19.03</v>
      </c>
      <c r="FG324" s="712">
        <f>(Sheet1!BP324+Sheet1!BO324)/694.4</f>
        <v>1.9984158986175116</v>
      </c>
      <c r="FH324" s="712"/>
      <c r="FI324" s="712"/>
      <c r="FJ324" s="712"/>
      <c r="FK324" s="712"/>
      <c r="FL324" s="714">
        <f t="shared" si="827"/>
        <v>40753</v>
      </c>
      <c r="FM324" s="714">
        <f t="shared" si="828"/>
        <v>40851</v>
      </c>
      <c r="FN324" s="712"/>
      <c r="FO324" s="712"/>
      <c r="FP324" s="712"/>
      <c r="FQ324" s="712"/>
      <c r="FR324" s="712"/>
      <c r="FS324" s="725">
        <f t="shared" si="923"/>
        <v>40603</v>
      </c>
      <c r="FT324" s="714">
        <f t="shared" si="830"/>
        <v>40709</v>
      </c>
      <c r="FU324" s="712">
        <f t="shared" si="923"/>
        <v>6518.9048239895692</v>
      </c>
      <c r="FV324" s="714">
        <f t="shared" si="831"/>
        <v>40722</v>
      </c>
      <c r="FW324" s="712">
        <f t="shared" si="923"/>
        <v>3259.4524119947846</v>
      </c>
      <c r="FX324" s="725">
        <f t="shared" si="923"/>
        <v>40851</v>
      </c>
      <c r="FZ324" s="697">
        <f t="shared" si="824"/>
        <v>0</v>
      </c>
      <c r="GA324" s="712" t="str">
        <f t="shared" si="899"/>
        <v/>
      </c>
      <c r="GB324" s="712">
        <f t="shared" si="900"/>
        <v>0</v>
      </c>
      <c r="GC324" s="712" t="str">
        <f t="shared" si="901"/>
        <v/>
      </c>
      <c r="GD324" s="712">
        <f>IF(GA324="P",Lookup!$M$12,IF(GA324="PP",Lookup!$M$13,IF(GA324="PPP",Lookup!$M$14,IF(GA324="T",Lookup!$M$15,IF(GA324="TP",Lookup!$M$16,IF(GA324="TPP",Lookup!$M$17,IF(GA324="TPPP",Lookup!$M$18,0)))))))*FZ324</f>
        <v>0</v>
      </c>
      <c r="GE324" s="712">
        <f t="shared" si="902"/>
        <v>0</v>
      </c>
      <c r="GF324" s="712">
        <f t="shared" si="903"/>
        <v>0</v>
      </c>
      <c r="GG324" s="712">
        <f t="shared" si="904"/>
        <v>0</v>
      </c>
      <c r="GH324" s="712"/>
      <c r="GI324" s="712">
        <f t="shared" si="905"/>
        <v>0</v>
      </c>
      <c r="GJ324" s="712" t="str">
        <f t="shared" si="906"/>
        <v/>
      </c>
      <c r="GK324" s="712">
        <f>IF(GA324="P",Lookup!$N$12,IF(GA324="PP",Lookup!$N$13,IF(GA324="PPP",Lookup!$N$14,IF(GA324="T",Lookup!$N$15,IF(GA324="TP",Lookup!$N$16,IF(GA324="TPP",Lookup!$N$17,IF(GA324="TPPP",Lookup!$N$18,0)))))))*FZ324</f>
        <v>0</v>
      </c>
      <c r="GL324" s="712">
        <f t="shared" si="907"/>
        <v>0</v>
      </c>
      <c r="GM324" s="712">
        <f t="shared" si="908"/>
        <v>0</v>
      </c>
      <c r="GN324" s="712">
        <f t="shared" si="909"/>
        <v>0</v>
      </c>
      <c r="GO324" s="712"/>
      <c r="GP324" s="712">
        <f t="shared" si="910"/>
        <v>0</v>
      </c>
      <c r="GQ324" s="712" t="str">
        <f t="shared" si="911"/>
        <v/>
      </c>
      <c r="GR324" s="712">
        <f>IF(GA324="P",Lookup!$N$12,IF(GA324="PP",Lookup!$N$13,IF(GA324="PPP",Lookup!$N$14,IF(GA324="T",Lookup!$N$15,IF(GA324="TP",Lookup!$N$16,IF(GA324="TPP",Lookup!$N$17,IF(GA324="TPPP",Lookup!$N$18,0)))))))*FZ324</f>
        <v>0</v>
      </c>
      <c r="GS324" s="697">
        <f t="shared" si="825"/>
        <v>0</v>
      </c>
      <c r="GT324" s="712">
        <f t="shared" si="912"/>
        <v>0</v>
      </c>
      <c r="GU324" s="712">
        <f t="shared" si="913"/>
        <v>0</v>
      </c>
      <c r="GV324" s="712"/>
      <c r="GW324" s="712">
        <f t="shared" si="914"/>
        <v>0</v>
      </c>
      <c r="GX324" s="712" t="str">
        <f t="shared" si="915"/>
        <v/>
      </c>
      <c r="GY324" s="712">
        <f>IF(GA324="P",Lookup!$N$12,IF(GA324="PP",Lookup!$N$13,IF(GA324="PPP",Lookup!$N$14,IF(GA324="T",Lookup!$N$15,IF(GA324="TP",Lookup!$N$16,IF(GA324="TPP",Lookup!$N$17,IF(GA324="TPPP",Lookup!$N$18,0)))))))*FZ324</f>
        <v>0</v>
      </c>
      <c r="GZ324" s="697">
        <f t="shared" si="826"/>
        <v>0</v>
      </c>
      <c r="HA324" s="712">
        <f t="shared" si="916"/>
        <v>0</v>
      </c>
      <c r="HB324" s="712">
        <f t="shared" si="917"/>
        <v>0</v>
      </c>
      <c r="HC324" s="712"/>
    </row>
    <row r="325" spans="1:211">
      <c r="A325" s="773" t="s">
        <v>4</v>
      </c>
      <c r="B325" s="708">
        <v>40854</v>
      </c>
      <c r="C325" s="719">
        <v>0.5</v>
      </c>
      <c r="D325" s="675">
        <f t="shared" si="840"/>
        <v>300</v>
      </c>
      <c r="E325" s="675">
        <f t="shared" si="841"/>
        <v>250</v>
      </c>
      <c r="F325" s="675">
        <v>250</v>
      </c>
      <c r="G325" s="712">
        <f>DH325+Sheet1!CV325</f>
        <v>452.21413262708705</v>
      </c>
      <c r="H325" s="712">
        <f t="shared" si="842"/>
        <v>25.348015330149071</v>
      </c>
      <c r="I325" s="711">
        <f>MAX(Sheet1!Z325-AJ325+(Sheet1!CW325-E325)*CFStoMGD,0)</f>
        <v>371.41639999999853</v>
      </c>
      <c r="J325" s="720">
        <f>IF(AND(B325&gt;=Calculation!FS325,B325&lt;=Calculation!FT325),IF(Sheet1!CX325&gt;=Calculation!D325,64.64,0),MAX(Sheet1!Z325-AJ325+(Sheet1!CX325-D325)*CFStoMGD,0))</f>
        <v>185.99386666666524</v>
      </c>
      <c r="K325" s="697">
        <f t="shared" si="843"/>
        <v>25.348015330149071</v>
      </c>
      <c r="L325" s="712">
        <f>Sheet1!AA325+Sheet1!AB325-Sheet1!L325+(Sheet1!CW325-F325)*CFStoMGD</f>
        <v>400.01640000000799</v>
      </c>
      <c r="M325" s="712">
        <f t="shared" si="844"/>
        <v>298.15743963675209</v>
      </c>
      <c r="N325" s="712">
        <f>IF(Sheet1!CW325&gt;=F325,MIN(73,MIN(MAX(L325,0),MAX(M325,0))),0)</f>
        <v>73</v>
      </c>
      <c r="O325" s="721">
        <f>Sheet1!AA325+Sheet1!AB325</f>
        <v>45.080000000009022</v>
      </c>
      <c r="P325" s="721">
        <f t="shared" si="845"/>
        <v>69.738760000013954</v>
      </c>
      <c r="Q325" s="712">
        <f>MIN(N325,Sheet1!AA325+AG325)</f>
        <v>45.080000000009022</v>
      </c>
      <c r="R325" s="712">
        <f t="shared" si="846"/>
        <v>0</v>
      </c>
      <c r="S325" s="721">
        <f>Sheet1!Y325*MGDtoCFS</f>
        <v>41.304899999999996</v>
      </c>
      <c r="T325" s="721">
        <f>Sheet1!Z325*MGDtoCFS</f>
        <v>29.392999999999997</v>
      </c>
      <c r="U325" s="721">
        <f>Sheet1!AA325*MGDtoCFS</f>
        <v>40.500460000011707</v>
      </c>
      <c r="V325" s="721">
        <f>Sheet1!AB325*MGDtoCFS</f>
        <v>29.238300000002251</v>
      </c>
      <c r="W325" s="721">
        <f>Sheet1!L325*MGDtoCFS</f>
        <v>25.339860000001575</v>
      </c>
      <c r="X325" s="697">
        <f t="shared" si="847"/>
        <v>0</v>
      </c>
      <c r="Y325" s="712">
        <f t="shared" si="848"/>
        <v>0</v>
      </c>
      <c r="Z325" s="712">
        <f t="shared" si="849"/>
        <v>0</v>
      </c>
      <c r="AA325" s="712">
        <f t="shared" si="850"/>
        <v>0</v>
      </c>
      <c r="AB325" s="712">
        <f>(VLOOKUP(Sheet1!CY325,hhdcap_wcm,4)-(((VLOOKUP(Sheet1!CY325,hhdcap_wcm,3)-Sheet1!CY325)/(VLOOKUP(Sheet1!CY325,hhdcap_wcm,3)-VLOOKUP(Sheet1!CY325,hhdcap_wcm,1)))*(VLOOKUP(Sheet1!CY325,hhdcap_wcm,4)-VLOOKUP(Sheet1!CY325,hhdcap_wcm,2))))</f>
        <v>2066.4000000030151</v>
      </c>
      <c r="AC325" s="712">
        <f t="shared" si="851"/>
        <v>-278.60000000048649</v>
      </c>
      <c r="AD325" s="712">
        <f t="shared" si="852"/>
        <v>0</v>
      </c>
      <c r="AE325" s="712">
        <f t="shared" si="853"/>
        <v>0</v>
      </c>
      <c r="AF325" s="712">
        <f>Sheet1!BA325+Sheet1!BB325+Sheet1!BN325+BT325</f>
        <v>18.899999999999999</v>
      </c>
      <c r="AG325" s="712">
        <f t="shared" si="854"/>
        <v>18.900000000001455</v>
      </c>
      <c r="AH325" s="712">
        <f>Sheet1!BA325+BT325</f>
        <v>0</v>
      </c>
      <c r="AI325" s="712">
        <f>Sheet1!BA325+Sheet1!BB325+BT325</f>
        <v>0</v>
      </c>
      <c r="AJ325" s="712">
        <f>IF((Sheet1!AA325+AG325+AX325+AZ325+BQ325+BS325+CL325+CN325)&lt;=N325,AG325+AX325+AZ325+BQ325+BS325+CL325+CN325,N325-Sheet1!AA325)</f>
        <v>18.900000000001455</v>
      </c>
      <c r="AK325" s="712">
        <f>IF(DR325&lt;K325,0,MAX(Sheet1!AA325+AG325-15/36*K325-N325,Sheet1!ED325,0))</f>
        <v>0</v>
      </c>
      <c r="AL325" s="712">
        <f>IF(OR(B325&gt;=FT325,B325&lt;FS325),0,15/36*K325-MAX(0,64.6-(137.6-(Sheet1!AA325+Sheet1!AB325))))</f>
        <v>0</v>
      </c>
      <c r="AM325" s="712">
        <f>Sheet1!CX325-110</f>
        <v>477.58333333333337</v>
      </c>
      <c r="AN325" s="712">
        <f>Sheet1!CW325-265</f>
        <v>559.4375</v>
      </c>
      <c r="AO325" s="712">
        <f t="shared" si="835"/>
        <v>27.919999999990978</v>
      </c>
      <c r="AP325" s="712">
        <f t="shared" si="855"/>
        <v>0</v>
      </c>
      <c r="AQ325" s="712">
        <f t="shared" si="856"/>
        <v>0</v>
      </c>
      <c r="AR325" s="712">
        <f t="shared" si="857"/>
        <v>0</v>
      </c>
      <c r="AS325" s="712"/>
      <c r="AT325" s="712">
        <f ca="1">IF(B325&gt;Summary!$A$1,#N/A,AR325*MGtoAF)</f>
        <v>0</v>
      </c>
      <c r="AU325" s="712">
        <f>Sheet1!BG325+Sheet1!BH325+Sheet1!BI325-BC325</f>
        <v>0</v>
      </c>
      <c r="AV325" s="712">
        <f t="shared" si="858"/>
        <v>0</v>
      </c>
      <c r="AW325" s="712">
        <f>IF(Sheet1!EL325="FM",BC325,0)</f>
        <v>0</v>
      </c>
      <c r="AX325" s="712">
        <f t="shared" si="859"/>
        <v>0</v>
      </c>
      <c r="AY325" s="712">
        <f>IF(Sheet1!EL325="OTHER",BC325,0)</f>
        <v>0</v>
      </c>
      <c r="AZ325" s="712">
        <f t="shared" si="860"/>
        <v>0</v>
      </c>
      <c r="BA325" s="712">
        <f t="shared" si="861"/>
        <v>0</v>
      </c>
      <c r="BB325" s="712">
        <f t="shared" si="862"/>
        <v>0</v>
      </c>
      <c r="BC325" s="712">
        <f>IF(OR(Sheet1!EL325="FM", Sheet1!EL325="OTHER"),SUM(Sheet1!BG325:'Sheet1'!BI325),0)</f>
        <v>0</v>
      </c>
      <c r="BD325" s="697">
        <f>IF(AND($B325&gt;=$FL325,$B325&lt;=$FM325),MAX(AV325,Sheet1!EE325,0),MAX(AV325-(7/36)*$K325,0))</f>
        <v>0</v>
      </c>
      <c r="BE325" s="712">
        <f t="shared" si="863"/>
        <v>0</v>
      </c>
      <c r="BF325" s="697">
        <f t="shared" si="864"/>
        <v>0</v>
      </c>
      <c r="BG325" s="697">
        <f>IF(AND($O325&gt;0,Sheet1!EI325=1),(1-($O325-Sheet1!$L325)/$O325)*BB325,0)</f>
        <v>0</v>
      </c>
      <c r="BH325" s="697">
        <f>IF(AND(Sheet1!$L325=0,Sheet1!$L324=0, Calculation!BA325&lt;Sheet1!$EE325-0.1,Sheet1!$EE325=Sheet1!$EE324,Sheet1!$EE325=Sheet1!$EE326),Sheet1!$EE325,BB325-BG325)</f>
        <v>0</v>
      </c>
      <c r="BI325" s="712"/>
      <c r="BJ325" s="712"/>
      <c r="BK325" s="712">
        <f t="shared" si="865"/>
        <v>0</v>
      </c>
      <c r="BL325" s="712"/>
      <c r="BM325" s="712">
        <f ca="1">IF(B325&gt;Summary!$A$1,#N/A,BK325*MGtoAF)</f>
        <v>0</v>
      </c>
      <c r="BN325" s="712">
        <f>Sheet1!BC325+Sheet1!BD325+Sheet1!BE325+Sheet1!BF325-BW325-BX325</f>
        <v>0</v>
      </c>
      <c r="BO325" s="712">
        <f t="shared" si="866"/>
        <v>0</v>
      </c>
      <c r="BP325" s="712">
        <f>IF(Sheet1!EM325="FM",BX325,0)</f>
        <v>0</v>
      </c>
      <c r="BQ325" s="712">
        <f t="shared" si="867"/>
        <v>0</v>
      </c>
      <c r="BR325" s="712">
        <f>IF(Sheet1!EM325="OTHER",BX325,0)</f>
        <v>0</v>
      </c>
      <c r="BS325" s="712">
        <f t="shared" si="868"/>
        <v>0</v>
      </c>
      <c r="BT325" s="712">
        <f t="shared" si="869"/>
        <v>0</v>
      </c>
      <c r="BU325" s="712">
        <f t="shared" si="870"/>
        <v>0</v>
      </c>
      <c r="BV325" s="712">
        <f t="shared" si="871"/>
        <v>0</v>
      </c>
      <c r="BW325" s="712">
        <f>IF(Sheet1!EM325="CWA",SUM(Sheet1!BC325:'Sheet1'!BF325),0)</f>
        <v>0</v>
      </c>
      <c r="BX325" s="712">
        <f>IF(OR(Sheet1!EM325="FM", Sheet1!EM325="OTHER"),SUM(Sheet1!BC325:'Sheet1'!BF325),0)</f>
        <v>0</v>
      </c>
      <c r="BY325" s="697">
        <f>IF(AND($B325&gt;=$FL325,$B325&lt;=$FM325),MAX(BV325,Sheet1!EF325,0),MAX(BV325-(7/36)*$K325,0))</f>
        <v>0</v>
      </c>
      <c r="BZ325" s="712">
        <f t="shared" si="872"/>
        <v>0</v>
      </c>
      <c r="CA325" s="697">
        <f t="shared" si="873"/>
        <v>0</v>
      </c>
      <c r="CB325" s="697">
        <f>IF(AND($O325&gt;0,Sheet1!EJ325=1),(1-($O325-Sheet1!$L325)/$O325)*BV325,0)</f>
        <v>0</v>
      </c>
      <c r="CC325" s="697">
        <f>IF(AND(Sheet1!$L325=0,Sheet1!$L324=0, Calculation!BU325&lt;Sheet1!EF325-0.1,Sheet1!EF325=Sheet1!EF324,Sheet1!EF325=Sheet1!EF326),Sheet1!EF325,BV325-CB325)</f>
        <v>0</v>
      </c>
      <c r="CD325" s="697"/>
      <c r="CE325" s="712"/>
      <c r="CF325" s="712">
        <f t="shared" si="874"/>
        <v>0</v>
      </c>
      <c r="CG325" s="712"/>
      <c r="CH325" s="712">
        <f ca="1">IF(B325&gt;Summary!$A$1,#N/A,CF325*MGtoAF)</f>
        <v>0</v>
      </c>
      <c r="CI325" s="712">
        <f>Sheet1!BK325+Sheet1!BL325+Sheet1!BM325-Sheet1!EN325-CQ325</f>
        <v>0</v>
      </c>
      <c r="CJ325" s="712">
        <f t="shared" si="875"/>
        <v>0</v>
      </c>
      <c r="CK325" s="712">
        <f>IF(Sheet1!EN325="FM",CQ325,0)</f>
        <v>0</v>
      </c>
      <c r="CL325" s="712">
        <f t="shared" si="876"/>
        <v>0</v>
      </c>
      <c r="CM325" s="712">
        <f>IF(Sheet1!EN325="OTHER",CQ325,0)</f>
        <v>0</v>
      </c>
      <c r="CN325" s="712">
        <f t="shared" si="877"/>
        <v>0</v>
      </c>
      <c r="CO325" s="712">
        <f t="shared" si="878"/>
        <v>0</v>
      </c>
      <c r="CP325" s="712">
        <f t="shared" si="879"/>
        <v>0</v>
      </c>
      <c r="CQ325" s="712">
        <f>IF(OR(Sheet1!EN325="FM", Sheet1!EN325="OTHER"),SUM(Sheet1!BK325:'Sheet1'!BM325),0)</f>
        <v>0</v>
      </c>
      <c r="CR325" s="697">
        <f>IF(AND($B325&gt;=$FL325,$B325&lt;=$FM325),MAX($CJ325,Sheet1!EG325,0),MAX($CJ325-(7/36)*$K325,0))</f>
        <v>0</v>
      </c>
      <c r="CS325" s="712">
        <f t="shared" si="880"/>
        <v>0</v>
      </c>
      <c r="CT325" s="697">
        <f t="shared" si="881"/>
        <v>0</v>
      </c>
      <c r="CU325" s="697">
        <f>IF(AND($O325&gt;0,Sheet1!EK325=1),(1-($O325-Sheet1!$L325)/$O325)*CP325,0)</f>
        <v>0</v>
      </c>
      <c r="CV325" s="697">
        <f>IF(AND(Sheet1!$L325=0,Sheet1!$L324=0, Calculation!CO325&lt;Sheet1!$EG325-0.1,Sheet1!$EG325=Sheet1!$EG324,Sheet1!$EG325=Sheet1!$EG326),Sheet1!$EG325,CP325-CU325)</f>
        <v>0</v>
      </c>
      <c r="CW325" s="697">
        <f t="shared" si="837"/>
        <v>0</v>
      </c>
      <c r="CX325" s="712">
        <f t="shared" si="882"/>
        <v>0</v>
      </c>
      <c r="CY325" s="712">
        <f t="shared" si="883"/>
        <v>0</v>
      </c>
      <c r="CZ325" s="712">
        <f t="shared" si="884"/>
        <v>0</v>
      </c>
      <c r="DA325" s="712">
        <f ca="1">IF(B325&gt;Summary!$A$1,#N/A,CY325*MGtoAF)</f>
        <v>0</v>
      </c>
      <c r="DB325" s="712">
        <f t="shared" si="885"/>
        <v>0</v>
      </c>
      <c r="DC325" s="712">
        <f t="shared" si="886"/>
        <v>18.899999999999999</v>
      </c>
      <c r="DD325" s="712">
        <f>Sheet1!AB325-DC325</f>
        <v>1.4566126083082054E-12</v>
      </c>
      <c r="DE325" s="712">
        <f t="shared" si="887"/>
        <v>7.7069450175037321E-14</v>
      </c>
      <c r="DF325" s="712">
        <f>(VLOOKUP(Sheet1!CY325,hhdcap_wcm,4)-(((VLOOKUP(Sheet1!CY325,hhdcap_wcm,3)-Sheet1!CY325)/(VLOOKUP(Sheet1!CY325,hhdcap_wcm,3)-VLOOKUP(Sheet1!CY325,hhdcap_wcm,1)))*(VLOOKUP(Sheet1!CY325,hhdcap_wcm,4)-VLOOKUP(Sheet1!CY325,hhdcap_wcm,2))))</f>
        <v>2066.4000000030151</v>
      </c>
      <c r="DG325" s="712">
        <f t="shared" si="888"/>
        <v>-278.60000000048649</v>
      </c>
      <c r="DH325" s="712">
        <f t="shared" si="889"/>
        <v>-140.49420070624632</v>
      </c>
      <c r="DI325" s="712">
        <f>Sheet1!DW325*AFtoMG</f>
        <v>0</v>
      </c>
      <c r="DJ325" s="712">
        <f>Sheet1!DX325*AFtoMG</f>
        <v>0</v>
      </c>
      <c r="DK325" s="712">
        <f>Sheet1!DY325*AFtoMG</f>
        <v>0</v>
      </c>
      <c r="DL325" s="712">
        <f>Sheet1!DZ325*AFtoMG</f>
        <v>0</v>
      </c>
      <c r="DM325" s="712">
        <f t="shared" si="890"/>
        <v>0</v>
      </c>
      <c r="DN325" s="712">
        <f t="shared" si="891"/>
        <v>0</v>
      </c>
      <c r="DO325" s="712">
        <f t="shared" si="892"/>
        <v>0</v>
      </c>
      <c r="DP325" s="712">
        <f t="shared" si="893"/>
        <v>0</v>
      </c>
      <c r="DQ325" s="712"/>
      <c r="DR325" s="697">
        <f>IF(OR(B325&lt;FL325,B325&gt;FM325),(MIN(AV325+BO325+CJ325+MAX(Sheet1!AA325+AG325-73,0),K325)),0)</f>
        <v>0</v>
      </c>
      <c r="DS325" s="712"/>
      <c r="DT325" s="712">
        <f t="shared" si="894"/>
        <v>0</v>
      </c>
      <c r="DU325" s="712"/>
      <c r="DV325" s="712">
        <f>Sheet1!ED325+Sheet1!EE325+Sheet1!EF325+Sheet1!EG325</f>
        <v>8.5</v>
      </c>
      <c r="DW325" s="712"/>
      <c r="DX325" s="697">
        <f t="shared" si="895"/>
        <v>0</v>
      </c>
      <c r="DY325" s="712">
        <f>IF(Sheet1!FN325=1,SUM('Calculations II'!AT325:BA325)+'Calculations II'!BC325+Sheet1!BU325+'Calculations II'!BE325+AF325,SUM('Calculations II'!AT325:BA325)+'Calculations II'!BC325+Sheet1!BU325+'Calculations II'!BE325+AF325)</f>
        <v>42.992431999999994</v>
      </c>
      <c r="DZ325" s="712">
        <f>Sheet1!AA325+Sheet1!AB325+'Calculations II'!BC325</f>
        <v>45.080000000009022</v>
      </c>
      <c r="EA325" s="712"/>
      <c r="EB325" s="712"/>
      <c r="EC325" s="712">
        <f t="shared" si="896"/>
        <v>40854</v>
      </c>
      <c r="ED325" s="712">
        <f t="shared" si="897"/>
        <v>0</v>
      </c>
      <c r="EE325" s="712">
        <f t="shared" si="898"/>
        <v>0</v>
      </c>
      <c r="EF325" s="712">
        <f ca="1">IF(B325=TODAY(),0,-(VLOOKUP(Sheet1!BQ325,Lookup!$B$4:$J$236,2)-VLOOKUP(Sheet1!BQ324,Lookup!$B$4:$J$236,2))/1000000)</f>
        <v>-0.27050000000000002</v>
      </c>
      <c r="EG325" s="712">
        <f ca="1">IF(B325=TODAY(),0,-(VLOOKUP(Sheet1!BR325,Lookup!$B$4:$J$236,3)-VLOOKUP(Sheet1!BR324,Lookup!$B$4:$J$236,3))/1000000)</f>
        <v>-0.27</v>
      </c>
      <c r="EH325" s="712">
        <f>-(VLOOKUP(Sheet1!BS325,Lookup!$B$4:$J$236,4)-VLOOKUP(Sheet1!BS324,Lookup!$B$4:$J$236,4))/1000000</f>
        <v>0</v>
      </c>
      <c r="EI325" s="697">
        <f t="shared" ca="1" si="922"/>
        <v>-0.54049999999999998</v>
      </c>
      <c r="EJ325" s="712"/>
      <c r="EK325" s="712"/>
      <c r="EL325" s="712"/>
      <c r="EM325" s="712"/>
      <c r="EN325" s="712"/>
      <c r="EO325" s="712"/>
      <c r="EP325" s="712"/>
      <c r="EQ325" s="712"/>
      <c r="ER325" s="712"/>
      <c r="ES325" s="712"/>
      <c r="ET325" s="794">
        <f t="shared" si="919"/>
        <v>1102</v>
      </c>
      <c r="EU325" s="794" t="e">
        <f t="shared" si="838"/>
        <v>#N/A</v>
      </c>
      <c r="EV325" s="795" t="e">
        <f t="shared" si="836"/>
        <v>#N/A</v>
      </c>
      <c r="EW325" s="796" t="s">
        <v>757</v>
      </c>
      <c r="EX325" s="796" t="s">
        <v>757</v>
      </c>
      <c r="EY325" s="794" t="e">
        <v>#N/A</v>
      </c>
      <c r="EZ325" s="798">
        <v>6572.0000000118544</v>
      </c>
      <c r="FA325" s="712"/>
      <c r="FB325" s="712"/>
      <c r="FC325" s="712"/>
      <c r="FD325" s="712"/>
      <c r="FE325" s="712">
        <f>O325+Sheet1!CO325</f>
        <v>45.080000000009022</v>
      </c>
      <c r="FF325" s="712">
        <f>IF(Sheet1!AA325+AG325&lt;=Calculation!N325,AG325,Calculation!N325-Sheet1!AA325)</f>
        <v>18.900000000001455</v>
      </c>
      <c r="FG325" s="712">
        <f>(Sheet1!BP325+Sheet1!BO325)/694.4</f>
        <v>2.2944988479262673</v>
      </c>
      <c r="FH325" s="712"/>
      <c r="FI325" s="712"/>
      <c r="FJ325" s="712"/>
      <c r="FK325" s="712"/>
      <c r="FL325" s="714">
        <f t="shared" si="827"/>
        <v>40753</v>
      </c>
      <c r="FM325" s="714">
        <f t="shared" si="828"/>
        <v>40851</v>
      </c>
      <c r="FN325" s="712"/>
      <c r="FO325" s="712"/>
      <c r="FP325" s="712"/>
      <c r="FQ325" s="712"/>
      <c r="FR325" s="712"/>
      <c r="FS325" s="725">
        <f t="shared" si="923"/>
        <v>40603</v>
      </c>
      <c r="FT325" s="714">
        <f t="shared" si="830"/>
        <v>40709</v>
      </c>
      <c r="FU325" s="712">
        <f t="shared" si="923"/>
        <v>6518.9048239895692</v>
      </c>
      <c r="FV325" s="714">
        <f t="shared" si="831"/>
        <v>40722</v>
      </c>
      <c r="FW325" s="712">
        <f t="shared" si="923"/>
        <v>3259.4524119947846</v>
      </c>
      <c r="FX325" s="725">
        <f t="shared" si="923"/>
        <v>40851</v>
      </c>
      <c r="FZ325" s="697">
        <f t="shared" si="824"/>
        <v>0</v>
      </c>
      <c r="GA325" s="712" t="str">
        <f t="shared" si="899"/>
        <v/>
      </c>
      <c r="GB325" s="712">
        <f t="shared" si="900"/>
        <v>0</v>
      </c>
      <c r="GC325" s="712" t="str">
        <f t="shared" si="901"/>
        <v/>
      </c>
      <c r="GD325" s="712">
        <f>IF(GA325="P",Lookup!$M$12,IF(GA325="PP",Lookup!$M$13,IF(GA325="PPP",Lookup!$M$14,IF(GA325="T",Lookup!$M$15,IF(GA325="TP",Lookup!$M$16,IF(GA325="TPP",Lookup!$M$17,IF(GA325="TPPP",Lookup!$M$18,0)))))))*FZ325</f>
        <v>0</v>
      </c>
      <c r="GE325" s="712">
        <f t="shared" si="902"/>
        <v>0</v>
      </c>
      <c r="GF325" s="712">
        <f t="shared" si="903"/>
        <v>0</v>
      </c>
      <c r="GG325" s="712">
        <f t="shared" si="904"/>
        <v>0</v>
      </c>
      <c r="GH325" s="712"/>
      <c r="GI325" s="712">
        <f t="shared" si="905"/>
        <v>0</v>
      </c>
      <c r="GJ325" s="712" t="str">
        <f t="shared" si="906"/>
        <v/>
      </c>
      <c r="GK325" s="712">
        <f>IF(GA325="P",Lookup!$N$12,IF(GA325="PP",Lookup!$N$13,IF(GA325="PPP",Lookup!$N$14,IF(GA325="T",Lookup!$N$15,IF(GA325="TP",Lookup!$N$16,IF(GA325="TPP",Lookup!$N$17,IF(GA325="TPPP",Lookup!$N$18,0)))))))*FZ325</f>
        <v>0</v>
      </c>
      <c r="GL325" s="712">
        <f t="shared" si="907"/>
        <v>0</v>
      </c>
      <c r="GM325" s="712">
        <f t="shared" si="908"/>
        <v>0</v>
      </c>
      <c r="GN325" s="712">
        <f t="shared" si="909"/>
        <v>0</v>
      </c>
      <c r="GO325" s="712"/>
      <c r="GP325" s="712">
        <f t="shared" si="910"/>
        <v>0</v>
      </c>
      <c r="GQ325" s="712" t="str">
        <f t="shared" si="911"/>
        <v/>
      </c>
      <c r="GR325" s="712">
        <f>IF(GA325="P",Lookup!$N$12,IF(GA325="PP",Lookup!$N$13,IF(GA325="PPP",Lookup!$N$14,IF(GA325="T",Lookup!$N$15,IF(GA325="TP",Lookup!$N$16,IF(GA325="TPP",Lookup!$N$17,IF(GA325="TPPP",Lookup!$N$18,0)))))))*FZ325</f>
        <v>0</v>
      </c>
      <c r="GS325" s="697">
        <f t="shared" si="825"/>
        <v>0</v>
      </c>
      <c r="GT325" s="712">
        <f t="shared" si="912"/>
        <v>0</v>
      </c>
      <c r="GU325" s="712">
        <f t="shared" si="913"/>
        <v>0</v>
      </c>
      <c r="GV325" s="712"/>
      <c r="GW325" s="712">
        <f t="shared" si="914"/>
        <v>0</v>
      </c>
      <c r="GX325" s="712" t="str">
        <f t="shared" si="915"/>
        <v/>
      </c>
      <c r="GY325" s="712">
        <f>IF(GA325="P",Lookup!$N$12,IF(GA325="PP",Lookup!$N$13,IF(GA325="PPP",Lookup!$N$14,IF(GA325="T",Lookup!$N$15,IF(GA325="TP",Lookup!$N$16,IF(GA325="TPP",Lookup!$N$17,IF(GA325="TPPP",Lookup!$N$18,0)))))))*FZ325</f>
        <v>0</v>
      </c>
      <c r="GZ325" s="697">
        <f t="shared" si="826"/>
        <v>0</v>
      </c>
      <c r="HA325" s="712">
        <f t="shared" si="916"/>
        <v>0</v>
      </c>
      <c r="HB325" s="712">
        <f t="shared" si="917"/>
        <v>0</v>
      </c>
      <c r="HC325" s="712"/>
    </row>
    <row r="326" spans="1:211">
      <c r="A326" s="773" t="s">
        <v>5</v>
      </c>
      <c r="B326" s="708">
        <v>40855</v>
      </c>
      <c r="C326" s="719">
        <v>0.5</v>
      </c>
      <c r="D326" s="675">
        <f t="shared" si="840"/>
        <v>300</v>
      </c>
      <c r="E326" s="675">
        <f t="shared" si="841"/>
        <v>250</v>
      </c>
      <c r="F326" s="675">
        <v>250</v>
      </c>
      <c r="G326" s="712">
        <f>DH326+Sheet1!CV326</f>
        <v>430.83951084203932</v>
      </c>
      <c r="H326" s="712">
        <f t="shared" si="842"/>
        <v>11.531459808294214</v>
      </c>
      <c r="I326" s="711">
        <f>MAX(Sheet1!Z326-AJ326+(Sheet1!CW326-E326)*CFStoMGD,0)</f>
        <v>304.39153333333326</v>
      </c>
      <c r="J326" s="720">
        <f>IF(AND(B326&gt;=Calculation!FS326,B326&lt;=Calculation!FT326),IF(Sheet1!CX326&gt;=Calculation!D326,64.64,0),MAX(Sheet1!Z326-AJ326+(Sheet1!CX326-D326)*CFStoMGD,0))</f>
        <v>130.81293333333332</v>
      </c>
      <c r="K326" s="697">
        <f t="shared" si="843"/>
        <v>11.531459808294214</v>
      </c>
      <c r="L326" s="712">
        <f>Sheet1!AA326+Sheet1!AB326-Sheet1!L326+(Sheet1!CW326-F326)*CFStoMGD</f>
        <v>333.58153333333684</v>
      </c>
      <c r="M326" s="712">
        <f t="shared" si="844"/>
        <v>284.06455300446009</v>
      </c>
      <c r="N326" s="712">
        <f>IF(Sheet1!CW326&gt;=F326,MIN(73,MIN(MAX(L326,0),MAX(M326,0))),0)</f>
        <v>73</v>
      </c>
      <c r="O326" s="721">
        <f>Sheet1!AA326+Sheet1!AB326</f>
        <v>45.55000000000291</v>
      </c>
      <c r="P326" s="721">
        <f t="shared" si="845"/>
        <v>70.465850000004494</v>
      </c>
      <c r="Q326" s="712">
        <f>MIN(N326,Sheet1!AA326+AG326)</f>
        <v>45.55000000000291</v>
      </c>
      <c r="R326" s="712">
        <f t="shared" si="846"/>
        <v>0</v>
      </c>
      <c r="S326" s="721">
        <f>Sheet1!Y326*MGDtoCFS</f>
        <v>41.289430000000003</v>
      </c>
      <c r="T326" s="721">
        <f>Sheet1!Z326*MGDtoCFS</f>
        <v>29.222829999999998</v>
      </c>
      <c r="U326" s="721">
        <f>Sheet1!AA326*MGDtoCFS</f>
        <v>41.0728500000045</v>
      </c>
      <c r="V326" s="721">
        <f>Sheet1!AB326*MGDtoCFS</f>
        <v>29.392999999999997</v>
      </c>
      <c r="W326" s="721">
        <f>Sheet1!L326*MGDtoCFS</f>
        <v>25.479089999998987</v>
      </c>
      <c r="X326" s="697">
        <f t="shared" si="847"/>
        <v>0</v>
      </c>
      <c r="Y326" s="712">
        <f t="shared" si="848"/>
        <v>0</v>
      </c>
      <c r="Z326" s="712">
        <f t="shared" si="849"/>
        <v>0</v>
      </c>
      <c r="AA326" s="712">
        <f t="shared" si="850"/>
        <v>0</v>
      </c>
      <c r="AB326" s="712">
        <f>(VLOOKUP(Sheet1!CY326,hhdcap_wcm,4)-(((VLOOKUP(Sheet1!CY326,hhdcap_wcm,3)-Sheet1!CY326)/(VLOOKUP(Sheet1!CY326,hhdcap_wcm,3)-VLOOKUP(Sheet1!CY326,hhdcap_wcm,1)))*(VLOOKUP(Sheet1!CY326,hhdcap_wcm,4)-VLOOKUP(Sheet1!CY326,hhdcap_wcm,2))))</f>
        <v>1916.200000002779</v>
      </c>
      <c r="AC326" s="712">
        <f t="shared" si="851"/>
        <v>-150.20000000023606</v>
      </c>
      <c r="AD326" s="712">
        <f t="shared" si="852"/>
        <v>0</v>
      </c>
      <c r="AE326" s="712">
        <f t="shared" si="853"/>
        <v>0</v>
      </c>
      <c r="AF326" s="712">
        <f>Sheet1!BA326+Sheet1!BB326+Sheet1!BN326+BT326</f>
        <v>18.899999999999999</v>
      </c>
      <c r="AG326" s="712">
        <f t="shared" si="854"/>
        <v>19</v>
      </c>
      <c r="AH326" s="712">
        <f>Sheet1!BA326+BT326</f>
        <v>0</v>
      </c>
      <c r="AI326" s="712">
        <f>Sheet1!BA326+Sheet1!BB326+BT326</f>
        <v>0</v>
      </c>
      <c r="AJ326" s="712">
        <f>IF((Sheet1!AA326+AG326+AX326+AZ326+BQ326+BS326+CL326+CN326)&lt;=N326,AG326+AX326+AZ326+BQ326+BS326+CL326+CN326,N326-Sheet1!AA326)</f>
        <v>19</v>
      </c>
      <c r="AK326" s="712">
        <f>IF(DR326&lt;K326,0,MAX(Sheet1!AA326+AG326-15/36*K326-N326,Sheet1!ED326,0))</f>
        <v>0</v>
      </c>
      <c r="AL326" s="712">
        <f>IF(OR(B326&gt;=FT326,B326&lt;FS326),0,15/36*K326-MAX(0,64.6-(137.6-(Sheet1!AA326+Sheet1!AB326))))</f>
        <v>0</v>
      </c>
      <c r="AM326" s="712">
        <f>Sheet1!CX326-110</f>
        <v>392.54166666666669</v>
      </c>
      <c r="AN326" s="712">
        <f>Sheet1!CW326-265</f>
        <v>456.07291666666663</v>
      </c>
      <c r="AO326" s="712">
        <f t="shared" si="835"/>
        <v>27.44999999999709</v>
      </c>
      <c r="AP326" s="712">
        <f t="shared" si="855"/>
        <v>0</v>
      </c>
      <c r="AQ326" s="712">
        <f t="shared" si="856"/>
        <v>0</v>
      </c>
      <c r="AR326" s="712">
        <f t="shared" si="857"/>
        <v>0</v>
      </c>
      <c r="AS326" s="712"/>
      <c r="AT326" s="712">
        <f ca="1">IF(B326&gt;Summary!$A$1,#N/A,AR326*MGtoAF)</f>
        <v>0</v>
      </c>
      <c r="AU326" s="712">
        <f>Sheet1!BG326+Sheet1!BH326+Sheet1!BI326-BC326</f>
        <v>0</v>
      </c>
      <c r="AV326" s="712">
        <f t="shared" si="858"/>
        <v>0</v>
      </c>
      <c r="AW326" s="712">
        <f>IF(Sheet1!EL326="FM",BC326,0)</f>
        <v>0</v>
      </c>
      <c r="AX326" s="712">
        <f t="shared" si="859"/>
        <v>0</v>
      </c>
      <c r="AY326" s="712">
        <f>IF(Sheet1!EL326="OTHER",BC326,0)</f>
        <v>0</v>
      </c>
      <c r="AZ326" s="712">
        <f t="shared" si="860"/>
        <v>0</v>
      </c>
      <c r="BA326" s="712">
        <f t="shared" si="861"/>
        <v>0</v>
      </c>
      <c r="BB326" s="712">
        <f t="shared" si="862"/>
        <v>0</v>
      </c>
      <c r="BC326" s="712">
        <f>IF(OR(Sheet1!EL326="FM", Sheet1!EL326="OTHER"),SUM(Sheet1!BG326:'Sheet1'!BI326),0)</f>
        <v>0</v>
      </c>
      <c r="BD326" s="697">
        <f>IF(AND($B326&gt;=$FL326,$B326&lt;=$FM326),MAX(AV326,Sheet1!EE326,0),MAX(AV326-(7/36)*$K326,0))</f>
        <v>0</v>
      </c>
      <c r="BE326" s="712">
        <f t="shared" si="863"/>
        <v>0</v>
      </c>
      <c r="BF326" s="697">
        <f t="shared" si="864"/>
        <v>0</v>
      </c>
      <c r="BG326" s="697">
        <f>IF(AND($O326&gt;0,Sheet1!EI326=1),(1-($O326-Sheet1!$L326)/$O326)*BB326,0)</f>
        <v>0</v>
      </c>
      <c r="BH326" s="697">
        <f>IF(AND(Sheet1!$L326=0,Sheet1!$L325=0, Calculation!BA326&lt;Sheet1!$EE326-0.1,Sheet1!$EE326=Sheet1!$EE325,Sheet1!$EE326=Sheet1!$EE327),Sheet1!$EE326,BB326-BG326)</f>
        <v>0</v>
      </c>
      <c r="BI326" s="712"/>
      <c r="BJ326" s="712"/>
      <c r="BK326" s="712">
        <f t="shared" si="865"/>
        <v>0</v>
      </c>
      <c r="BL326" s="712"/>
      <c r="BM326" s="712">
        <f ca="1">IF(B326&gt;Summary!$A$1,#N/A,BK326*MGtoAF)</f>
        <v>0</v>
      </c>
      <c r="BN326" s="712">
        <f>Sheet1!BC326+Sheet1!BD326+Sheet1!BE326+Sheet1!BF326-BW326-BX326</f>
        <v>0</v>
      </c>
      <c r="BO326" s="712">
        <f t="shared" si="866"/>
        <v>0</v>
      </c>
      <c r="BP326" s="712">
        <f>IF(Sheet1!EM326="FM",BX326,0)</f>
        <v>0</v>
      </c>
      <c r="BQ326" s="712">
        <f t="shared" si="867"/>
        <v>0</v>
      </c>
      <c r="BR326" s="712">
        <f>IF(Sheet1!EM326="OTHER",BX326,0)</f>
        <v>0</v>
      </c>
      <c r="BS326" s="712">
        <f t="shared" si="868"/>
        <v>0</v>
      </c>
      <c r="BT326" s="712">
        <f t="shared" si="869"/>
        <v>0</v>
      </c>
      <c r="BU326" s="712">
        <f t="shared" si="870"/>
        <v>0</v>
      </c>
      <c r="BV326" s="712">
        <f t="shared" si="871"/>
        <v>0</v>
      </c>
      <c r="BW326" s="712">
        <f>IF(Sheet1!EM326="CWA",SUM(Sheet1!BC326:'Sheet1'!BF326),0)</f>
        <v>0</v>
      </c>
      <c r="BX326" s="712">
        <f>IF(OR(Sheet1!EM326="FM", Sheet1!EM326="OTHER"),SUM(Sheet1!BC326:'Sheet1'!BF326),0)</f>
        <v>0</v>
      </c>
      <c r="BY326" s="697">
        <f>IF(AND($B326&gt;=$FL326,$B326&lt;=$FM326),MAX(BV326,Sheet1!EF326,0),MAX(BV326-(7/36)*$K326,0))</f>
        <v>0</v>
      </c>
      <c r="BZ326" s="712">
        <f t="shared" si="872"/>
        <v>0</v>
      </c>
      <c r="CA326" s="697">
        <f t="shared" si="873"/>
        <v>0</v>
      </c>
      <c r="CB326" s="697">
        <f>IF(AND($O326&gt;0,Sheet1!EJ326=1),(1-($O326-Sheet1!$L326)/$O326)*BV326,0)</f>
        <v>0</v>
      </c>
      <c r="CC326" s="697">
        <f>IF(AND(Sheet1!$L326=0,Sheet1!$L325=0, Calculation!BU326&lt;Sheet1!EF326-0.1,Sheet1!EF326=Sheet1!EF325,Sheet1!EF326=Sheet1!EF327),Sheet1!EF326,BV326-CB326)</f>
        <v>0</v>
      </c>
      <c r="CD326" s="697"/>
      <c r="CE326" s="712"/>
      <c r="CF326" s="712">
        <f t="shared" si="874"/>
        <v>0</v>
      </c>
      <c r="CG326" s="712"/>
      <c r="CH326" s="712">
        <f ca="1">IF(B326&gt;Summary!$A$1,#N/A,CF326*MGtoAF)</f>
        <v>0</v>
      </c>
      <c r="CI326" s="712">
        <f>Sheet1!BK326+Sheet1!BL326+Sheet1!BM326-Sheet1!EN326-CQ326</f>
        <v>0</v>
      </c>
      <c r="CJ326" s="712">
        <f t="shared" si="875"/>
        <v>0</v>
      </c>
      <c r="CK326" s="712">
        <f>IF(Sheet1!EN326="FM",CQ326,0)</f>
        <v>0</v>
      </c>
      <c r="CL326" s="712">
        <f t="shared" si="876"/>
        <v>0</v>
      </c>
      <c r="CM326" s="712">
        <f>IF(Sheet1!EN326="OTHER",CQ326,0)</f>
        <v>0</v>
      </c>
      <c r="CN326" s="712">
        <f t="shared" si="877"/>
        <v>0</v>
      </c>
      <c r="CO326" s="712">
        <f t="shared" si="878"/>
        <v>0</v>
      </c>
      <c r="CP326" s="712">
        <f t="shared" si="879"/>
        <v>0</v>
      </c>
      <c r="CQ326" s="712">
        <f>IF(OR(Sheet1!EN326="FM", Sheet1!EN326="OTHER"),SUM(Sheet1!BK326:'Sheet1'!BM326),0)</f>
        <v>0</v>
      </c>
      <c r="CR326" s="697">
        <f>IF(AND($B326&gt;=$FL326,$B326&lt;=$FM326),MAX($CJ326,Sheet1!EG326,0),MAX($CJ326-(7/36)*$K326,0))</f>
        <v>0</v>
      </c>
      <c r="CS326" s="712">
        <f t="shared" si="880"/>
        <v>0</v>
      </c>
      <c r="CT326" s="697">
        <f t="shared" si="881"/>
        <v>0</v>
      </c>
      <c r="CU326" s="697">
        <f>IF(AND($O326&gt;0,Sheet1!EK326=1),(1-($O326-Sheet1!$L326)/$O326)*CP326,0)</f>
        <v>0</v>
      </c>
      <c r="CV326" s="697">
        <f>IF(AND(Sheet1!$L326=0,Sheet1!$L325=0, Calculation!CO326&lt;Sheet1!$EG326-0.1,Sheet1!$EG326=Sheet1!$EG325,Sheet1!$EG326=Sheet1!$EG327),Sheet1!$EG326,CP326-CU326)</f>
        <v>0</v>
      </c>
      <c r="CW326" s="697">
        <f t="shared" si="837"/>
        <v>0</v>
      </c>
      <c r="CX326" s="712">
        <f t="shared" si="882"/>
        <v>0</v>
      </c>
      <c r="CY326" s="712">
        <f t="shared" si="883"/>
        <v>0</v>
      </c>
      <c r="CZ326" s="712">
        <f t="shared" si="884"/>
        <v>0</v>
      </c>
      <c r="DA326" s="712">
        <f ca="1">IF(B326&gt;Summary!$A$1,#N/A,CY326*MGtoAF)</f>
        <v>0</v>
      </c>
      <c r="DB326" s="712">
        <f t="shared" si="885"/>
        <v>0</v>
      </c>
      <c r="DC326" s="712">
        <f t="shared" si="886"/>
        <v>18.899999999999999</v>
      </c>
      <c r="DD326" s="712">
        <f>Sheet1!AB326-DC326</f>
        <v>0.10000000000000142</v>
      </c>
      <c r="DE326" s="712">
        <f t="shared" si="887"/>
        <v>5.2910052910053662E-3</v>
      </c>
      <c r="DF326" s="712">
        <f>(VLOOKUP(Sheet1!CY326,hhdcap_wcm,4)-(((VLOOKUP(Sheet1!CY326,hhdcap_wcm,3)-Sheet1!CY326)/(VLOOKUP(Sheet1!CY326,hhdcap_wcm,3)-VLOOKUP(Sheet1!CY326,hhdcap_wcm,1)))*(VLOOKUP(Sheet1!CY326,hhdcap_wcm,4)-VLOOKUP(Sheet1!CY326,hhdcap_wcm,2))))</f>
        <v>1916.200000002779</v>
      </c>
      <c r="DG326" s="712">
        <f t="shared" si="888"/>
        <v>-150.20000000023606</v>
      </c>
      <c r="DH326" s="712">
        <f t="shared" si="889"/>
        <v>-75.743822491294011</v>
      </c>
      <c r="DI326" s="712">
        <f>Sheet1!DW326*AFtoMG</f>
        <v>0</v>
      </c>
      <c r="DJ326" s="712">
        <f>Sheet1!DX326*AFtoMG</f>
        <v>0</v>
      </c>
      <c r="DK326" s="712">
        <f>Sheet1!DY326*AFtoMG</f>
        <v>0</v>
      </c>
      <c r="DL326" s="712">
        <f>Sheet1!DZ326*AFtoMG</f>
        <v>0</v>
      </c>
      <c r="DM326" s="712">
        <f t="shared" si="890"/>
        <v>0</v>
      </c>
      <c r="DN326" s="712">
        <f t="shared" si="891"/>
        <v>0</v>
      </c>
      <c r="DO326" s="712">
        <f t="shared" si="892"/>
        <v>0</v>
      </c>
      <c r="DP326" s="712">
        <f t="shared" si="893"/>
        <v>0</v>
      </c>
      <c r="DQ326" s="712"/>
      <c r="DR326" s="697">
        <f>IF(OR(B326&lt;FL326,B326&gt;FM326),(MIN(AV326+BO326+CJ326+MAX(Sheet1!AA326+AG326-73,0),K326)),0)</f>
        <v>0</v>
      </c>
      <c r="DS326" s="712"/>
      <c r="DT326" s="712">
        <f t="shared" si="894"/>
        <v>0</v>
      </c>
      <c r="DU326" s="712"/>
      <c r="DV326" s="712">
        <f>Sheet1!ED326+Sheet1!EE326+Sheet1!EF326+Sheet1!EG326</f>
        <v>8.5</v>
      </c>
      <c r="DW326" s="712"/>
      <c r="DX326" s="697">
        <f t="shared" si="895"/>
        <v>0</v>
      </c>
      <c r="DY326" s="712">
        <f>IF(Sheet1!FN326=1,SUM('Calculations II'!AT326:BA326)+'Calculations II'!BC326+Sheet1!BU326+'Calculations II'!BE326+AF326,SUM('Calculations II'!AT326:BA326)+'Calculations II'!BC326+Sheet1!BU326+'Calculations II'!BE326+AF326)</f>
        <v>42.902720000000002</v>
      </c>
      <c r="DZ326" s="712">
        <f>Sheet1!AA326+Sheet1!AB326+'Calculations II'!BC326</f>
        <v>45.55000000000291</v>
      </c>
      <c r="EA326" s="712"/>
      <c r="EB326" s="712"/>
      <c r="EC326" s="712">
        <f t="shared" si="896"/>
        <v>40855</v>
      </c>
      <c r="ED326" s="712">
        <f t="shared" si="897"/>
        <v>0</v>
      </c>
      <c r="EE326" s="712">
        <f t="shared" si="898"/>
        <v>0</v>
      </c>
      <c r="EF326" s="712">
        <f ca="1">IF(B326=TODAY(),0,-(VLOOKUP(Sheet1!BQ326,Lookup!$B$4:$J$236,2)-VLOOKUP(Sheet1!BQ325,Lookup!$B$4:$J$236,2))/1000000)</f>
        <v>1.0820000000000001</v>
      </c>
      <c r="EG326" s="712">
        <f ca="1">IF(B326=TODAY(),0,-(VLOOKUP(Sheet1!BR326,Lookup!$B$4:$J$236,3)-VLOOKUP(Sheet1!BR325,Lookup!$B$4:$J$236,3))/1000000)</f>
        <v>1.08</v>
      </c>
      <c r="EH326" s="712">
        <f>-(VLOOKUP(Sheet1!BS326,Lookup!$B$4:$J$236,4)-VLOOKUP(Sheet1!BS325,Lookup!$B$4:$J$236,4))/1000000</f>
        <v>0</v>
      </c>
      <c r="EI326" s="697">
        <f t="shared" ca="1" si="922"/>
        <v>2.1619999999999999</v>
      </c>
      <c r="EJ326" s="712"/>
      <c r="EK326" s="712"/>
      <c r="EL326" s="712"/>
      <c r="EM326" s="712"/>
      <c r="EN326" s="712"/>
      <c r="EO326" s="712"/>
      <c r="EP326" s="712"/>
      <c r="EQ326" s="712"/>
      <c r="ER326" s="712"/>
      <c r="ES326" s="712"/>
      <c r="ET326" s="794">
        <f t="shared" si="919"/>
        <v>1101</v>
      </c>
      <c r="EU326" s="794" t="e">
        <f t="shared" si="838"/>
        <v>#N/A</v>
      </c>
      <c r="EV326" s="795" t="e">
        <f t="shared" si="836"/>
        <v>#N/A</v>
      </c>
      <c r="EW326" s="796" t="s">
        <v>757</v>
      </c>
      <c r="EX326" s="796" t="s">
        <v>757</v>
      </c>
      <c r="EY326" s="794" t="e">
        <v>#N/A</v>
      </c>
      <c r="EZ326" s="798">
        <v>6313.0000000113068</v>
      </c>
      <c r="FA326" s="712"/>
      <c r="FB326" s="712"/>
      <c r="FC326" s="712"/>
      <c r="FD326" s="712"/>
      <c r="FE326" s="712">
        <f>O326+Sheet1!CO326</f>
        <v>45.55000000000291</v>
      </c>
      <c r="FF326" s="712">
        <f>IF(Sheet1!AA326+AG326&lt;=Calculation!N326,AG326,Calculation!N326-Sheet1!AA326)</f>
        <v>19</v>
      </c>
      <c r="FG326" s="712">
        <f>(Sheet1!BP326+Sheet1!BO326)/694.4</f>
        <v>1.0573156682027651</v>
      </c>
      <c r="FH326" s="712"/>
      <c r="FI326" s="712"/>
      <c r="FJ326" s="712"/>
      <c r="FK326" s="712"/>
      <c r="FL326" s="714">
        <f t="shared" si="827"/>
        <v>40753</v>
      </c>
      <c r="FM326" s="714">
        <f t="shared" si="828"/>
        <v>40851</v>
      </c>
      <c r="FN326" s="712"/>
      <c r="FO326" s="712"/>
      <c r="FP326" s="712"/>
      <c r="FQ326" s="712"/>
      <c r="FR326" s="712"/>
      <c r="FS326" s="725">
        <f t="shared" si="923"/>
        <v>40603</v>
      </c>
      <c r="FT326" s="714">
        <f t="shared" si="830"/>
        <v>40709</v>
      </c>
      <c r="FU326" s="712">
        <f t="shared" si="923"/>
        <v>6518.9048239895692</v>
      </c>
      <c r="FV326" s="714">
        <f t="shared" si="831"/>
        <v>40722</v>
      </c>
      <c r="FW326" s="712">
        <f t="shared" si="923"/>
        <v>3259.4524119947846</v>
      </c>
      <c r="FX326" s="725">
        <f t="shared" si="923"/>
        <v>40851</v>
      </c>
      <c r="FZ326" s="697">
        <f t="shared" si="824"/>
        <v>0</v>
      </c>
      <c r="GA326" s="712" t="str">
        <f t="shared" si="899"/>
        <v/>
      </c>
      <c r="GB326" s="712">
        <f t="shared" si="900"/>
        <v>0</v>
      </c>
      <c r="GC326" s="712" t="str">
        <f t="shared" si="901"/>
        <v/>
      </c>
      <c r="GD326" s="712">
        <f>IF(GA326="P",Lookup!$M$12,IF(GA326="PP",Lookup!$M$13,IF(GA326="PPP",Lookup!$M$14,IF(GA326="T",Lookup!$M$15,IF(GA326="TP",Lookup!$M$16,IF(GA326="TPP",Lookup!$M$17,IF(GA326="TPPP",Lookup!$M$18,0)))))))*FZ326</f>
        <v>0</v>
      </c>
      <c r="GE326" s="712">
        <f t="shared" si="902"/>
        <v>0</v>
      </c>
      <c r="GF326" s="712">
        <f t="shared" si="903"/>
        <v>0</v>
      </c>
      <c r="GG326" s="712">
        <f t="shared" si="904"/>
        <v>0</v>
      </c>
      <c r="GH326" s="712"/>
      <c r="GI326" s="712">
        <f t="shared" si="905"/>
        <v>0</v>
      </c>
      <c r="GJ326" s="712" t="str">
        <f t="shared" si="906"/>
        <v/>
      </c>
      <c r="GK326" s="712">
        <f>IF(GA326="P",Lookup!$N$12,IF(GA326="PP",Lookup!$N$13,IF(GA326="PPP",Lookup!$N$14,IF(GA326="T",Lookup!$N$15,IF(GA326="TP",Lookup!$N$16,IF(GA326="TPP",Lookup!$N$17,IF(GA326="TPPP",Lookup!$N$18,0)))))))*FZ326</f>
        <v>0</v>
      </c>
      <c r="GL326" s="712">
        <f t="shared" si="907"/>
        <v>0</v>
      </c>
      <c r="GM326" s="712">
        <f t="shared" si="908"/>
        <v>0</v>
      </c>
      <c r="GN326" s="712">
        <f t="shared" si="909"/>
        <v>0</v>
      </c>
      <c r="GO326" s="712"/>
      <c r="GP326" s="712">
        <f t="shared" si="910"/>
        <v>0</v>
      </c>
      <c r="GQ326" s="712" t="str">
        <f t="shared" si="911"/>
        <v/>
      </c>
      <c r="GR326" s="712">
        <f>IF(GA326="P",Lookup!$N$12,IF(GA326="PP",Lookup!$N$13,IF(GA326="PPP",Lookup!$N$14,IF(GA326="T",Lookup!$N$15,IF(GA326="TP",Lookup!$N$16,IF(GA326="TPP",Lookup!$N$17,IF(GA326="TPPP",Lookup!$N$18,0)))))))*FZ326</f>
        <v>0</v>
      </c>
      <c r="GS326" s="697">
        <f t="shared" si="825"/>
        <v>0</v>
      </c>
      <c r="GT326" s="712">
        <f t="shared" si="912"/>
        <v>0</v>
      </c>
      <c r="GU326" s="712">
        <f t="shared" si="913"/>
        <v>0</v>
      </c>
      <c r="GV326" s="712"/>
      <c r="GW326" s="712">
        <f t="shared" si="914"/>
        <v>0</v>
      </c>
      <c r="GX326" s="712" t="str">
        <f t="shared" si="915"/>
        <v/>
      </c>
      <c r="GY326" s="712">
        <f>IF(GA326="P",Lookup!$N$12,IF(GA326="PP",Lookup!$N$13,IF(GA326="PPP",Lookup!$N$14,IF(GA326="T",Lookup!$N$15,IF(GA326="TP",Lookup!$N$16,IF(GA326="TPP",Lookup!$N$17,IF(GA326="TPPP",Lookup!$N$18,0)))))))*FZ326</f>
        <v>0</v>
      </c>
      <c r="GZ326" s="697">
        <f t="shared" si="826"/>
        <v>0</v>
      </c>
      <c r="HA326" s="712">
        <f t="shared" si="916"/>
        <v>0</v>
      </c>
      <c r="HB326" s="712">
        <f t="shared" si="917"/>
        <v>0</v>
      </c>
      <c r="HC326" s="712"/>
    </row>
    <row r="327" spans="1:211">
      <c r="A327" s="773" t="s">
        <v>6</v>
      </c>
      <c r="B327" s="708">
        <v>40856</v>
      </c>
      <c r="C327" s="709">
        <v>0.5</v>
      </c>
      <c r="D327" s="675">
        <f t="shared" si="840"/>
        <v>300</v>
      </c>
      <c r="E327" s="675">
        <f t="shared" si="841"/>
        <v>250</v>
      </c>
      <c r="F327" s="675">
        <v>250</v>
      </c>
      <c r="G327" s="712">
        <f>DH327+Sheet1!CV327</f>
        <v>397.69459152790137</v>
      </c>
      <c r="H327" s="712">
        <f t="shared" si="842"/>
        <v>0</v>
      </c>
      <c r="I327" s="711">
        <f>MAX(Sheet1!Z327-AJ327+(Sheet1!CW327-E327)*CFStoMGD,0)</f>
        <v>253.70613333333623</v>
      </c>
      <c r="J327" s="720">
        <f>IF(AND(B327&gt;=Calculation!FS327,B327&lt;=Calculation!FT327),IF(Sheet1!CX327&gt;=Calculation!D327,64.64,0),MAX(Sheet1!Z327-AJ327+(Sheet1!CX327-D327)*CFStoMGD,0))</f>
        <v>86.67233333333624</v>
      </c>
      <c r="K327" s="697">
        <f t="shared" si="843"/>
        <v>0</v>
      </c>
      <c r="L327" s="712">
        <f>Sheet1!AA327+Sheet1!AB327-Sheet1!L327+(Sheet1!CW327-F327)*CFStoMGD</f>
        <v>286.23613333331781</v>
      </c>
      <c r="M327" s="712">
        <f t="shared" si="844"/>
        <v>262.21117964290818</v>
      </c>
      <c r="N327" s="712">
        <f>IF(Sheet1!CW327&gt;=F327,MIN(73,MIN(MAX(L327,0),MAX(M327,0))),0)</f>
        <v>73</v>
      </c>
      <c r="O327" s="721">
        <f>Sheet1!AA327+Sheet1!AB327</f>
        <v>44.499999999985448</v>
      </c>
      <c r="P327" s="721">
        <f t="shared" si="845"/>
        <v>68.841499999977486</v>
      </c>
      <c r="Q327" s="712">
        <f>MIN(N327,Sheet1!AA327+AG327)</f>
        <v>44.499999999985448</v>
      </c>
      <c r="R327" s="712">
        <f t="shared" si="846"/>
        <v>0</v>
      </c>
      <c r="S327" s="721">
        <f>Sheet1!Y327*MGDtoCFS</f>
        <v>40.902679999999997</v>
      </c>
      <c r="T327" s="721">
        <f>Sheet1!Z327*MGDtoCFS</f>
        <v>29.331119999999999</v>
      </c>
      <c r="U327" s="721">
        <f>Sheet1!AA327*MGDtoCFS</f>
        <v>41.45959999998199</v>
      </c>
      <c r="V327" s="721">
        <f>Sheet1!AB327*MGDtoCFS</f>
        <v>27.381899999995497</v>
      </c>
      <c r="W327" s="721">
        <f>Sheet1!L327*MGDtoCFS</f>
        <v>16.568370000001462</v>
      </c>
      <c r="X327" s="697">
        <f t="shared" si="847"/>
        <v>0</v>
      </c>
      <c r="Y327" s="712">
        <f t="shared" si="848"/>
        <v>0</v>
      </c>
      <c r="Z327" s="712">
        <f t="shared" si="849"/>
        <v>0</v>
      </c>
      <c r="AA327" s="712">
        <f t="shared" si="850"/>
        <v>0</v>
      </c>
      <c r="AB327" s="712">
        <f>(VLOOKUP(Sheet1!CY327,hhdcap_wcm,4)-(((VLOOKUP(Sheet1!CY327,hhdcap_wcm,3)-Sheet1!CY327)/(VLOOKUP(Sheet1!CY327,hhdcap_wcm,3)-VLOOKUP(Sheet1!CY327,hhdcap_wcm,1)))*(VLOOKUP(Sheet1!CY327,hhdcap_wcm,4)-VLOOKUP(Sheet1!CY327,hhdcap_wcm,2))))</f>
        <v>1825.1200000026074</v>
      </c>
      <c r="AC327" s="712">
        <f t="shared" si="851"/>
        <v>-91.080000000171594</v>
      </c>
      <c r="AD327" s="712">
        <f t="shared" si="852"/>
        <v>0</v>
      </c>
      <c r="AE327" s="712">
        <f t="shared" si="853"/>
        <v>0</v>
      </c>
      <c r="AF327" s="712">
        <f>Sheet1!BA327+Sheet1!BB327+Sheet1!BN327+BT327</f>
        <v>17.3</v>
      </c>
      <c r="AG327" s="712">
        <f t="shared" si="854"/>
        <v>17.69999999999709</v>
      </c>
      <c r="AH327" s="712">
        <f>Sheet1!BA327+BT327</f>
        <v>0</v>
      </c>
      <c r="AI327" s="712">
        <f>Sheet1!BA327+Sheet1!BB327+BT327</f>
        <v>0</v>
      </c>
      <c r="AJ327" s="712">
        <f>IF((Sheet1!AA327+AG327+AX327+AZ327+BQ327+BS327+CL327+CN327)&lt;=N327,AG327+AX327+AZ327+BQ327+BS327+CL327+CN327,N327-Sheet1!AA327)</f>
        <v>17.69999999999709</v>
      </c>
      <c r="AK327" s="712">
        <f>IF(DR327&lt;K327,0,MAX(Sheet1!AA327+AG327-15/36*K327-N327,Sheet1!ED327,0))</f>
        <v>0</v>
      </c>
      <c r="AL327" s="712">
        <f>IF(OR(B327&gt;=FT327,B327&lt;FS327),0,15/36*K327-MAX(0,64.6-(137.6-(Sheet1!AA327+Sheet1!AB327))))</f>
        <v>0</v>
      </c>
      <c r="AM327" s="712">
        <f>Sheet1!CX327-110</f>
        <v>322.13541666666669</v>
      </c>
      <c r="AN327" s="712">
        <f>Sheet1!CW327-265</f>
        <v>375.54166666666663</v>
      </c>
      <c r="AO327" s="712">
        <f t="shared" si="835"/>
        <v>28.500000000014552</v>
      </c>
      <c r="AP327" s="712">
        <f t="shared" si="855"/>
        <v>0</v>
      </c>
      <c r="AQ327" s="712">
        <f t="shared" si="856"/>
        <v>0</v>
      </c>
      <c r="AR327" s="712">
        <f t="shared" si="857"/>
        <v>0</v>
      </c>
      <c r="AS327" s="712"/>
      <c r="AT327" s="712">
        <f ca="1">IF(B327&gt;Summary!$A$1,#N/A,AR327*MGtoAF)</f>
        <v>0</v>
      </c>
      <c r="AU327" s="712">
        <f>Sheet1!BG327+Sheet1!BH327+Sheet1!BI327-BC327</f>
        <v>0</v>
      </c>
      <c r="AV327" s="712">
        <f t="shared" si="858"/>
        <v>0</v>
      </c>
      <c r="AW327" s="712">
        <f>IF(Sheet1!EL327="FM",BC327,0)</f>
        <v>0</v>
      </c>
      <c r="AX327" s="712">
        <f t="shared" si="859"/>
        <v>0</v>
      </c>
      <c r="AY327" s="712">
        <f>IF(Sheet1!EL327="OTHER",BC327,0)</f>
        <v>0</v>
      </c>
      <c r="AZ327" s="712">
        <f t="shared" si="860"/>
        <v>0</v>
      </c>
      <c r="BA327" s="712">
        <f t="shared" si="861"/>
        <v>0</v>
      </c>
      <c r="BB327" s="712">
        <f t="shared" si="862"/>
        <v>0</v>
      </c>
      <c r="BC327" s="712">
        <f>IF(OR(Sheet1!EL327="FM", Sheet1!EL327="OTHER"),SUM(Sheet1!BG327:'Sheet1'!BI327),0)</f>
        <v>0</v>
      </c>
      <c r="BD327" s="697">
        <f>IF(AND($B327&gt;=$FL327,$B327&lt;=$FM327),MAX(AV327,Sheet1!EE327,0),MAX(AV327-(7/36)*$K327,0))</f>
        <v>0</v>
      </c>
      <c r="BE327" s="712">
        <f t="shared" si="863"/>
        <v>0</v>
      </c>
      <c r="BF327" s="697">
        <f t="shared" si="864"/>
        <v>0</v>
      </c>
      <c r="BG327" s="697">
        <f>IF(AND($O327&gt;0,Sheet1!EI327=1),(1-($O327-Sheet1!$L327)/$O327)*BB327,0)</f>
        <v>0</v>
      </c>
      <c r="BH327" s="697">
        <f>IF(AND(Sheet1!$L327=0,Sheet1!$L326=0, Calculation!BA327&lt;Sheet1!$EE327-0.1,Sheet1!$EE327=Sheet1!$EE326,Sheet1!$EE327=Sheet1!$EE328),Sheet1!$EE327,BB327-BG327)</f>
        <v>0</v>
      </c>
      <c r="BI327" s="712"/>
      <c r="BJ327" s="712"/>
      <c r="BK327" s="712">
        <f t="shared" si="865"/>
        <v>0</v>
      </c>
      <c r="BL327" s="712"/>
      <c r="BM327" s="712">
        <f ca="1">IF(B327&gt;Summary!$A$1,#N/A,BK327*MGtoAF)</f>
        <v>0</v>
      </c>
      <c r="BN327" s="712">
        <f>Sheet1!BC327+Sheet1!BD327+Sheet1!BE327+Sheet1!BF327-BW327-BX327</f>
        <v>0</v>
      </c>
      <c r="BO327" s="712">
        <f t="shared" si="866"/>
        <v>0</v>
      </c>
      <c r="BP327" s="712">
        <f>IF(Sheet1!EM327="FM",BX327,0)</f>
        <v>0</v>
      </c>
      <c r="BQ327" s="712">
        <f t="shared" si="867"/>
        <v>0</v>
      </c>
      <c r="BR327" s="712">
        <f>IF(Sheet1!EM327="OTHER",BX327,0)</f>
        <v>0</v>
      </c>
      <c r="BS327" s="712">
        <f t="shared" si="868"/>
        <v>0</v>
      </c>
      <c r="BT327" s="712">
        <f t="shared" si="869"/>
        <v>0</v>
      </c>
      <c r="BU327" s="712">
        <f t="shared" si="870"/>
        <v>0</v>
      </c>
      <c r="BV327" s="712">
        <f t="shared" si="871"/>
        <v>0</v>
      </c>
      <c r="BW327" s="712">
        <f>IF(Sheet1!EM327="CWA",SUM(Sheet1!BC327:'Sheet1'!BF327),0)</f>
        <v>0</v>
      </c>
      <c r="BX327" s="712">
        <f>IF(OR(Sheet1!EM327="FM", Sheet1!EM327="OTHER"),SUM(Sheet1!BC327:'Sheet1'!BF327),0)</f>
        <v>0</v>
      </c>
      <c r="BY327" s="697">
        <f>IF(AND($B327&gt;=$FL327,$B327&lt;=$FM327),MAX(BV327,Sheet1!EF327,0),MAX(BV327-(7/36)*$K327,0))</f>
        <v>0</v>
      </c>
      <c r="BZ327" s="712">
        <f t="shared" si="872"/>
        <v>0</v>
      </c>
      <c r="CA327" s="697">
        <f t="shared" si="873"/>
        <v>0</v>
      </c>
      <c r="CB327" s="697">
        <f>IF(AND($O327&gt;0,Sheet1!EJ327=1),(1-($O327-Sheet1!$L327)/$O327)*BV327,0)</f>
        <v>0</v>
      </c>
      <c r="CC327" s="697">
        <f>IF(AND(Sheet1!$L327=0,Sheet1!$L326=0, Calculation!BU327&lt;Sheet1!EF327-0.1,Sheet1!EF327=Sheet1!EF326,Sheet1!EF327=Sheet1!EF328),Sheet1!EF327,BV327-CB327)</f>
        <v>0</v>
      </c>
      <c r="CD327" s="697"/>
      <c r="CE327" s="712"/>
      <c r="CF327" s="712">
        <f t="shared" si="874"/>
        <v>0</v>
      </c>
      <c r="CG327" s="712"/>
      <c r="CH327" s="712">
        <f ca="1">IF(B327&gt;Summary!$A$1,#N/A,CF327*MGtoAF)</f>
        <v>0</v>
      </c>
      <c r="CI327" s="712">
        <f>Sheet1!BK327+Sheet1!BL327+Sheet1!BM327-Sheet1!EN327-CQ327</f>
        <v>0</v>
      </c>
      <c r="CJ327" s="712">
        <f t="shared" si="875"/>
        <v>0</v>
      </c>
      <c r="CK327" s="712">
        <f>IF(Sheet1!EN327="FM",CQ327,0)</f>
        <v>0</v>
      </c>
      <c r="CL327" s="712">
        <f t="shared" si="876"/>
        <v>0</v>
      </c>
      <c r="CM327" s="712">
        <f>IF(Sheet1!EN327="OTHER",CQ327,0)</f>
        <v>0</v>
      </c>
      <c r="CN327" s="712">
        <f t="shared" si="877"/>
        <v>0</v>
      </c>
      <c r="CO327" s="712">
        <f t="shared" si="878"/>
        <v>0</v>
      </c>
      <c r="CP327" s="712">
        <f t="shared" si="879"/>
        <v>0</v>
      </c>
      <c r="CQ327" s="712">
        <f>IF(OR(Sheet1!EN327="FM", Sheet1!EN327="OTHER"),SUM(Sheet1!BK327:'Sheet1'!BM327),0)</f>
        <v>0</v>
      </c>
      <c r="CR327" s="697">
        <f>IF(AND($B327&gt;=$FL327,$B327&lt;=$FM327),MAX($CJ327,Sheet1!EG327,0),MAX($CJ327-(7/36)*$K327,0))</f>
        <v>0</v>
      </c>
      <c r="CS327" s="712">
        <f t="shared" si="880"/>
        <v>0</v>
      </c>
      <c r="CT327" s="697">
        <f t="shared" si="881"/>
        <v>0</v>
      </c>
      <c r="CU327" s="697">
        <f>IF(AND($O327&gt;0,Sheet1!EK327=1),(1-($O327-Sheet1!$L327)/$O327)*CP327,0)</f>
        <v>0</v>
      </c>
      <c r="CV327" s="697">
        <f>IF(AND(Sheet1!$L327=0,Sheet1!$L326=0, Calculation!CO327&lt;Sheet1!$EG327-0.1,Sheet1!$EG327=Sheet1!$EG326,Sheet1!$EG327=Sheet1!$EG328),Sheet1!$EG327,CP327-CU327)</f>
        <v>0</v>
      </c>
      <c r="CW327" s="697">
        <f t="shared" si="837"/>
        <v>0</v>
      </c>
      <c r="CX327" s="712">
        <f t="shared" si="882"/>
        <v>0</v>
      </c>
      <c r="CY327" s="712">
        <f t="shared" si="883"/>
        <v>0</v>
      </c>
      <c r="CZ327" s="712">
        <f t="shared" si="884"/>
        <v>0</v>
      </c>
      <c r="DA327" s="712">
        <f ca="1">IF(B327&gt;Summary!$A$1,#N/A,CY327*MGtoAF)</f>
        <v>0</v>
      </c>
      <c r="DB327" s="712">
        <f t="shared" si="885"/>
        <v>0</v>
      </c>
      <c r="DC327" s="712">
        <f t="shared" si="886"/>
        <v>17.3</v>
      </c>
      <c r="DD327" s="712">
        <f>Sheet1!AB327-DC327</f>
        <v>0.39999999999708891</v>
      </c>
      <c r="DE327" s="712">
        <f t="shared" si="887"/>
        <v>2.3121387283068721E-2</v>
      </c>
      <c r="DF327" s="712">
        <f>(VLOOKUP(Sheet1!CY327,hhdcap_wcm,4)-(((VLOOKUP(Sheet1!CY327,hhdcap_wcm,3)-Sheet1!CY327)/(VLOOKUP(Sheet1!CY327,hhdcap_wcm,3)-VLOOKUP(Sheet1!CY327,hhdcap_wcm,1)))*(VLOOKUP(Sheet1!CY327,hhdcap_wcm,4)-VLOOKUP(Sheet1!CY327,hhdcap_wcm,2))))</f>
        <v>1825.1200000026074</v>
      </c>
      <c r="DG327" s="712">
        <f t="shared" si="888"/>
        <v>-91.080000000171594</v>
      </c>
      <c r="DH327" s="712">
        <f t="shared" si="889"/>
        <v>-45.930408472098627</v>
      </c>
      <c r="DI327" s="712">
        <f>Sheet1!DW327*AFtoMG</f>
        <v>0</v>
      </c>
      <c r="DJ327" s="712">
        <f>Sheet1!DX327*AFtoMG</f>
        <v>0</v>
      </c>
      <c r="DK327" s="712">
        <f>Sheet1!DY327*AFtoMG</f>
        <v>0</v>
      </c>
      <c r="DL327" s="712">
        <f>Sheet1!DZ327*AFtoMG</f>
        <v>0</v>
      </c>
      <c r="DM327" s="712">
        <f t="shared" si="890"/>
        <v>0</v>
      </c>
      <c r="DN327" s="712">
        <f t="shared" si="891"/>
        <v>0</v>
      </c>
      <c r="DO327" s="712">
        <f t="shared" si="892"/>
        <v>0</v>
      </c>
      <c r="DP327" s="712">
        <f t="shared" si="893"/>
        <v>0</v>
      </c>
      <c r="DQ327" s="712"/>
      <c r="DR327" s="697">
        <f>IF(OR(B327&lt;FL327,B327&gt;FM327),(MIN(AV327+BO327+CJ327+MAX(Sheet1!AA327+AG327-73,0),K327)),0)</f>
        <v>0</v>
      </c>
      <c r="DS327" s="712"/>
      <c r="DT327" s="712">
        <f t="shared" si="894"/>
        <v>0</v>
      </c>
      <c r="DU327" s="712"/>
      <c r="DV327" s="712">
        <f>Sheet1!ED327+Sheet1!EE327+Sheet1!EF327+Sheet1!EG327</f>
        <v>8.5</v>
      </c>
      <c r="DW327" s="712"/>
      <c r="DX327" s="697">
        <f t="shared" si="895"/>
        <v>0</v>
      </c>
      <c r="DY327" s="712">
        <f>IF(Sheet1!FN327=1,SUM('Calculations II'!AT327:BA327)+'Calculations II'!BC327+Sheet1!BU327+'Calculations II'!BE327+AF327,SUM('Calculations II'!AT327:BA327)+'Calculations II'!BC327+Sheet1!BU327+'Calculations II'!BE327+AF327)</f>
        <v>41.753712</v>
      </c>
      <c r="DZ327" s="712">
        <f>Sheet1!AA327+Sheet1!AB327+'Calculations II'!BC327</f>
        <v>46.200927999985446</v>
      </c>
      <c r="EA327" s="712"/>
      <c r="EB327" s="712"/>
      <c r="EC327" s="712">
        <f t="shared" si="896"/>
        <v>40856</v>
      </c>
      <c r="ED327" s="712">
        <f t="shared" si="897"/>
        <v>0</v>
      </c>
      <c r="EE327" s="712">
        <f t="shared" si="898"/>
        <v>0</v>
      </c>
      <c r="EF327" s="712">
        <f ca="1">IF(B327=TODAY(),0,-(VLOOKUP(Sheet1!BQ327,Lookup!$B$4:$J$236,2)-VLOOKUP(Sheet1!BQ326,Lookup!$B$4:$J$236,2))/1000000)</f>
        <v>-0.27050000000000002</v>
      </c>
      <c r="EG327" s="712">
        <f ca="1">IF(B327=TODAY(),0,-(VLOOKUP(Sheet1!BR327,Lookup!$B$4:$J$236,3)-VLOOKUP(Sheet1!BR326,Lookup!$B$4:$J$236,3))/1000000)</f>
        <v>-0.27</v>
      </c>
      <c r="EH327" s="712">
        <f>-(VLOOKUP(Sheet1!BS327,Lookup!$B$4:$J$236,4)-VLOOKUP(Sheet1!BS326,Lookup!$B$4:$J$236,4))/1000000</f>
        <v>0</v>
      </c>
      <c r="EI327" s="697">
        <f t="shared" ca="1" si="922"/>
        <v>-0.54049999999999998</v>
      </c>
      <c r="EJ327" s="712"/>
      <c r="EK327" s="712"/>
      <c r="EL327" s="712"/>
      <c r="EM327" s="712"/>
      <c r="EN327" s="712"/>
      <c r="EO327" s="712"/>
      <c r="EP327" s="712"/>
      <c r="EQ327" s="712"/>
      <c r="ER327" s="712"/>
      <c r="ES327" s="712"/>
      <c r="ET327" s="794">
        <f t="shared" si="919"/>
        <v>1100</v>
      </c>
      <c r="EU327" s="794" t="e">
        <f t="shared" si="838"/>
        <v>#N/A</v>
      </c>
      <c r="EV327" s="795" t="e">
        <f t="shared" si="836"/>
        <v>#N/A</v>
      </c>
      <c r="EW327" s="796" t="s">
        <v>757</v>
      </c>
      <c r="EX327" s="796" t="s">
        <v>757</v>
      </c>
      <c r="EY327" s="794" t="e">
        <v>#N/A</v>
      </c>
      <c r="EZ327" s="798">
        <v>6061.0000000107721</v>
      </c>
      <c r="FA327" s="712"/>
      <c r="FB327" s="712"/>
      <c r="FC327" s="712"/>
      <c r="FD327" s="712"/>
      <c r="FE327" s="712">
        <f>O327+Sheet1!CO327</f>
        <v>1225.6999999999855</v>
      </c>
      <c r="FF327" s="712">
        <f>IF(Sheet1!AA327+AG327&lt;=Calculation!N327,AG327,Calculation!N327-Sheet1!AA327)</f>
        <v>17.69999999999709</v>
      </c>
      <c r="FG327" s="712">
        <f>(Sheet1!BP327+Sheet1!BO327)/694.4</f>
        <v>1.9228110599078343</v>
      </c>
      <c r="FH327" s="712"/>
      <c r="FI327" s="712"/>
      <c r="FJ327" s="712"/>
      <c r="FK327" s="712"/>
      <c r="FL327" s="714">
        <f t="shared" si="827"/>
        <v>40753</v>
      </c>
      <c r="FM327" s="714">
        <f t="shared" si="828"/>
        <v>40851</v>
      </c>
      <c r="FN327" s="712"/>
      <c r="FO327" s="712"/>
      <c r="FP327" s="712"/>
      <c r="FQ327" s="712"/>
      <c r="FR327" s="712"/>
      <c r="FS327" s="725">
        <f t="shared" si="923"/>
        <v>40603</v>
      </c>
      <c r="FT327" s="714">
        <f t="shared" si="830"/>
        <v>40709</v>
      </c>
      <c r="FU327" s="712">
        <f t="shared" si="923"/>
        <v>6518.9048239895692</v>
      </c>
      <c r="FV327" s="714">
        <f t="shared" si="831"/>
        <v>40722</v>
      </c>
      <c r="FW327" s="712">
        <f t="shared" si="923"/>
        <v>3259.4524119947846</v>
      </c>
      <c r="FX327" s="725">
        <f t="shared" si="923"/>
        <v>40851</v>
      </c>
      <c r="FZ327" s="697">
        <f t="shared" si="824"/>
        <v>0</v>
      </c>
      <c r="GA327" s="712" t="str">
        <f t="shared" si="899"/>
        <v/>
      </c>
      <c r="GB327" s="712">
        <f t="shared" si="900"/>
        <v>0</v>
      </c>
      <c r="GC327" s="712" t="str">
        <f t="shared" si="901"/>
        <v/>
      </c>
      <c r="GD327" s="712">
        <f>IF(GA327="P",Lookup!$M$12,IF(GA327="PP",Lookup!$M$13,IF(GA327="PPP",Lookup!$M$14,IF(GA327="T",Lookup!$M$15,IF(GA327="TP",Lookup!$M$16,IF(GA327="TPP",Lookup!$M$17,IF(GA327="TPPP",Lookup!$M$18,0)))))))*FZ327</f>
        <v>0</v>
      </c>
      <c r="GE327" s="712">
        <f t="shared" si="902"/>
        <v>0</v>
      </c>
      <c r="GF327" s="712">
        <f t="shared" si="903"/>
        <v>0</v>
      </c>
      <c r="GG327" s="712">
        <f t="shared" si="904"/>
        <v>0</v>
      </c>
      <c r="GH327" s="712"/>
      <c r="GI327" s="712">
        <f t="shared" si="905"/>
        <v>0</v>
      </c>
      <c r="GJ327" s="712" t="str">
        <f t="shared" si="906"/>
        <v/>
      </c>
      <c r="GK327" s="712">
        <f>IF(GA327="P",Lookup!$N$12,IF(GA327="PP",Lookup!$N$13,IF(GA327="PPP",Lookup!$N$14,IF(GA327="T",Lookup!$N$15,IF(GA327="TP",Lookup!$N$16,IF(GA327="TPP",Lookup!$N$17,IF(GA327="TPPP",Lookup!$N$18,0)))))))*FZ327</f>
        <v>0</v>
      </c>
      <c r="GL327" s="712">
        <f t="shared" si="907"/>
        <v>0</v>
      </c>
      <c r="GM327" s="712">
        <f t="shared" si="908"/>
        <v>0</v>
      </c>
      <c r="GN327" s="712">
        <f t="shared" si="909"/>
        <v>0</v>
      </c>
      <c r="GO327" s="712"/>
      <c r="GP327" s="712">
        <f t="shared" si="910"/>
        <v>0</v>
      </c>
      <c r="GQ327" s="712" t="str">
        <f t="shared" si="911"/>
        <v/>
      </c>
      <c r="GR327" s="712">
        <f>IF(GA327="P",Lookup!$N$12,IF(GA327="PP",Lookup!$N$13,IF(GA327="PPP",Lookup!$N$14,IF(GA327="T",Lookup!$N$15,IF(GA327="TP",Lookup!$N$16,IF(GA327="TPP",Lookup!$N$17,IF(GA327="TPPP",Lookup!$N$18,0)))))))*FZ327</f>
        <v>0</v>
      </c>
      <c r="GS327" s="697">
        <f t="shared" si="825"/>
        <v>0</v>
      </c>
      <c r="GT327" s="712">
        <f t="shared" si="912"/>
        <v>0</v>
      </c>
      <c r="GU327" s="712">
        <f t="shared" si="913"/>
        <v>0</v>
      </c>
      <c r="GV327" s="712"/>
      <c r="GW327" s="712">
        <f t="shared" si="914"/>
        <v>0</v>
      </c>
      <c r="GX327" s="712" t="str">
        <f t="shared" si="915"/>
        <v/>
      </c>
      <c r="GY327" s="712">
        <f>IF(GA327="P",Lookup!$N$12,IF(GA327="PP",Lookup!$N$13,IF(GA327="PPP",Lookup!$N$14,IF(GA327="T",Lookup!$N$15,IF(GA327="TP",Lookup!$N$16,IF(GA327="TPP",Lookup!$N$17,IF(GA327="TPPP",Lookup!$N$18,0)))))))*FZ327</f>
        <v>0</v>
      </c>
      <c r="GZ327" s="697">
        <f t="shared" si="826"/>
        <v>0</v>
      </c>
      <c r="HA327" s="712">
        <f t="shared" si="916"/>
        <v>0</v>
      </c>
      <c r="HB327" s="712">
        <f t="shared" si="917"/>
        <v>0</v>
      </c>
      <c r="HC327" s="712"/>
    </row>
    <row r="328" spans="1:211">
      <c r="A328" s="773" t="s">
        <v>7</v>
      </c>
      <c r="B328" s="708">
        <v>40857</v>
      </c>
      <c r="C328" s="719">
        <v>0.5</v>
      </c>
      <c r="D328" s="675">
        <f t="shared" si="840"/>
        <v>300</v>
      </c>
      <c r="E328" s="675">
        <f t="shared" si="841"/>
        <v>250</v>
      </c>
      <c r="F328" s="675">
        <v>250</v>
      </c>
      <c r="G328" s="712">
        <f>DH328+Sheet1!CV328</f>
        <v>379.60602622290878</v>
      </c>
      <c r="H328" s="712">
        <f t="shared" si="842"/>
        <v>0</v>
      </c>
      <c r="I328" s="711">
        <f>MAX(Sheet1!Z328-AJ328+(Sheet1!CW328-E328)*CFStoMGD,0)</f>
        <v>212.17693333333332</v>
      </c>
      <c r="J328" s="720">
        <f>IF(AND(B328&gt;=Calculation!FS328,B328&lt;=Calculation!FT328),IF(Sheet1!CX328&gt;=Calculation!D328,64.64,0),MAX(Sheet1!Z328-AJ328+(Sheet1!CX328-D328)*CFStoMGD,0))</f>
        <v>51.526333333333341</v>
      </c>
      <c r="K328" s="697">
        <f t="shared" si="843"/>
        <v>0</v>
      </c>
      <c r="L328" s="712">
        <f>Sheet1!AA328+Sheet1!AB328-Sheet1!L328+(Sheet1!CW328-F328)*CFStoMGD</f>
        <v>235.30693333334051</v>
      </c>
      <c r="M328" s="712">
        <f t="shared" si="844"/>
        <v>250.28488205749801</v>
      </c>
      <c r="N328" s="712">
        <f>IF(Sheet1!CW328&gt;=F328,MIN(73,MIN(MAX(L328,0),MAX(M328,0))),0)</f>
        <v>73</v>
      </c>
      <c r="O328" s="721">
        <f>Sheet1!AA328+Sheet1!AB328</f>
        <v>35.950000000005822</v>
      </c>
      <c r="P328" s="721">
        <f t="shared" si="845"/>
        <v>55.614650000009</v>
      </c>
      <c r="Q328" s="712">
        <f>MIN(N328,Sheet1!AA328+AG328)</f>
        <v>35.950000000005822</v>
      </c>
      <c r="R328" s="712">
        <f t="shared" si="846"/>
        <v>0</v>
      </c>
      <c r="S328" s="721">
        <f>Sheet1!Y328*MGDtoCFS</f>
        <v>41.459600000000002</v>
      </c>
      <c r="T328" s="721">
        <f>Sheet1!Z328*MGDtoCFS</f>
        <v>14.5418</v>
      </c>
      <c r="U328" s="721">
        <f>Sheet1!AA328*MGDtoCFS</f>
        <v>41.150200000009001</v>
      </c>
      <c r="V328" s="721">
        <f>Sheet1!AB328*MGDtoCFS</f>
        <v>14.464449999999999</v>
      </c>
      <c r="W328" s="721">
        <f>Sheet1!L328*MGDtoCFS</f>
        <v>19.75518999999786</v>
      </c>
      <c r="X328" s="697">
        <f t="shared" si="847"/>
        <v>0</v>
      </c>
      <c r="Y328" s="712">
        <f t="shared" si="848"/>
        <v>0</v>
      </c>
      <c r="Z328" s="712">
        <f t="shared" si="849"/>
        <v>0</v>
      </c>
      <c r="AA328" s="712">
        <f t="shared" si="850"/>
        <v>0</v>
      </c>
      <c r="AB328" s="712">
        <f>(VLOOKUP(Sheet1!CY328,hhdcap_wcm,4)-(((VLOOKUP(Sheet1!CY328,hhdcap_wcm,3)-Sheet1!CY328)/(VLOOKUP(Sheet1!CY328,hhdcap_wcm,3)-VLOOKUP(Sheet1!CY328,hhdcap_wcm,1)))*(VLOOKUP(Sheet1!CY328,hhdcap_wcm,4)-VLOOKUP(Sheet1!CY328,hhdcap_wcm,2))))</f>
        <v>1848.3000000026354</v>
      </c>
      <c r="AC328" s="712">
        <f t="shared" si="851"/>
        <v>23.180000000028031</v>
      </c>
      <c r="AD328" s="712">
        <f t="shared" si="852"/>
        <v>0</v>
      </c>
      <c r="AE328" s="712">
        <f t="shared" si="853"/>
        <v>0</v>
      </c>
      <c r="AF328" s="712">
        <f>Sheet1!BA328+Sheet1!BB328+Sheet1!BN328+BT328</f>
        <v>9.1999999999999993</v>
      </c>
      <c r="AG328" s="712">
        <f t="shared" si="854"/>
        <v>9.35</v>
      </c>
      <c r="AH328" s="712">
        <f>Sheet1!BA328+BT328</f>
        <v>0</v>
      </c>
      <c r="AI328" s="712">
        <f>Sheet1!BA328+Sheet1!BB328+BT328</f>
        <v>0</v>
      </c>
      <c r="AJ328" s="712">
        <f>IF((Sheet1!AA328+AG328+AX328+AZ328+BQ328+BS328+CL328+CN328)&lt;=N328,AG328+AX328+AZ328+BQ328+BS328+CL328+CN328,N328-Sheet1!AA328)</f>
        <v>9.35</v>
      </c>
      <c r="AK328" s="712">
        <f>IF(DR328&lt;K328,0,MAX(Sheet1!AA328+AG328-15/36*K328-N328,Sheet1!ED328,0))</f>
        <v>0</v>
      </c>
      <c r="AL328" s="712">
        <f>IF(OR(B328&gt;=FT328,B328&lt;FS328),0,15/36*K328-MAX(0,64.6-(137.6-(Sheet1!AA328+Sheet1!AB328))))</f>
        <v>0</v>
      </c>
      <c r="AM328" s="712">
        <f>Sheet1!CX328-110</f>
        <v>269.63541666666669</v>
      </c>
      <c r="AN328" s="712">
        <f>Sheet1!CW328-265</f>
        <v>313.16666666666663</v>
      </c>
      <c r="AO328" s="712">
        <f t="shared" si="835"/>
        <v>37.049999999994178</v>
      </c>
      <c r="AP328" s="712">
        <f t="shared" si="855"/>
        <v>0</v>
      </c>
      <c r="AQ328" s="712">
        <f t="shared" si="856"/>
        <v>0</v>
      </c>
      <c r="AR328" s="712">
        <f t="shared" si="857"/>
        <v>0</v>
      </c>
      <c r="AS328" s="712"/>
      <c r="AT328" s="712">
        <f ca="1">IF(B328&gt;Summary!$A$1,#N/A,AR328*MGtoAF)</f>
        <v>0</v>
      </c>
      <c r="AU328" s="712">
        <f>Sheet1!BG328+Sheet1!BH328+Sheet1!BI328-BC328</f>
        <v>0</v>
      </c>
      <c r="AV328" s="712">
        <f t="shared" si="858"/>
        <v>0</v>
      </c>
      <c r="AW328" s="712">
        <f>IF(Sheet1!EL328="FM",BC328,0)</f>
        <v>0</v>
      </c>
      <c r="AX328" s="712">
        <f t="shared" si="859"/>
        <v>0</v>
      </c>
      <c r="AY328" s="712">
        <f>IF(Sheet1!EL328="OTHER",BC328,0)</f>
        <v>0</v>
      </c>
      <c r="AZ328" s="712">
        <f t="shared" si="860"/>
        <v>0</v>
      </c>
      <c r="BA328" s="712">
        <f t="shared" si="861"/>
        <v>0</v>
      </c>
      <c r="BB328" s="712">
        <f t="shared" si="862"/>
        <v>0</v>
      </c>
      <c r="BC328" s="712">
        <f>IF(OR(Sheet1!EL328="FM", Sheet1!EL328="OTHER"),SUM(Sheet1!BG328:'Sheet1'!BI328),0)</f>
        <v>0</v>
      </c>
      <c r="BD328" s="697">
        <f>IF(AND($B328&gt;=$FL328,$B328&lt;=$FM328),MAX(AV328,Sheet1!EE328,0),MAX(AV328-(7/36)*$K328,0))</f>
        <v>0</v>
      </c>
      <c r="BE328" s="712">
        <f t="shared" si="863"/>
        <v>0</v>
      </c>
      <c r="BF328" s="697">
        <f t="shared" si="864"/>
        <v>0</v>
      </c>
      <c r="BG328" s="697">
        <f>IF(AND($O328&gt;0,Sheet1!EI328=1),(1-($O328-Sheet1!$L328)/$O328)*BB328,0)</f>
        <v>0</v>
      </c>
      <c r="BH328" s="697">
        <f>IF(AND(Sheet1!$L328=0,Sheet1!$L327=0, Calculation!BA328&lt;Sheet1!$EE328-0.1,Sheet1!$EE328=Sheet1!$EE327,Sheet1!$EE328=Sheet1!$EE329),Sheet1!$EE328,BB328-BG328)</f>
        <v>0</v>
      </c>
      <c r="BI328" s="712"/>
      <c r="BJ328" s="712"/>
      <c r="BK328" s="712">
        <f t="shared" si="865"/>
        <v>0</v>
      </c>
      <c r="BL328" s="712"/>
      <c r="BM328" s="712">
        <f ca="1">IF(B328&gt;Summary!$A$1,#N/A,BK328*MGtoAF)</f>
        <v>0</v>
      </c>
      <c r="BN328" s="712">
        <f>Sheet1!BC328+Sheet1!BD328+Sheet1!BE328+Sheet1!BF328-BW328-BX328</f>
        <v>0</v>
      </c>
      <c r="BO328" s="712">
        <f t="shared" si="866"/>
        <v>0</v>
      </c>
      <c r="BP328" s="712">
        <f>IF(Sheet1!EM328="FM",BX328,0)</f>
        <v>0</v>
      </c>
      <c r="BQ328" s="712">
        <f t="shared" si="867"/>
        <v>0</v>
      </c>
      <c r="BR328" s="712">
        <f>IF(Sheet1!EM328="OTHER",BX328,0)</f>
        <v>0</v>
      </c>
      <c r="BS328" s="712">
        <f t="shared" si="868"/>
        <v>0</v>
      </c>
      <c r="BT328" s="712">
        <f t="shared" si="869"/>
        <v>0</v>
      </c>
      <c r="BU328" s="712">
        <f t="shared" si="870"/>
        <v>0</v>
      </c>
      <c r="BV328" s="712">
        <f t="shared" si="871"/>
        <v>0</v>
      </c>
      <c r="BW328" s="712">
        <f>IF(Sheet1!EM328="CWA",SUM(Sheet1!BC328:'Sheet1'!BF328),0)</f>
        <v>0</v>
      </c>
      <c r="BX328" s="712">
        <f>IF(OR(Sheet1!EM328="FM", Sheet1!EM328="OTHER"),SUM(Sheet1!BC328:'Sheet1'!BF328),0)</f>
        <v>0</v>
      </c>
      <c r="BY328" s="697">
        <f>IF(AND($B328&gt;=$FL328,$B328&lt;=$FM328),MAX(BV328,Sheet1!EF328,0),MAX(BV328-(7/36)*$K328,0))</f>
        <v>0</v>
      </c>
      <c r="BZ328" s="712">
        <f t="shared" si="872"/>
        <v>0</v>
      </c>
      <c r="CA328" s="697">
        <f t="shared" si="873"/>
        <v>0</v>
      </c>
      <c r="CB328" s="697">
        <f>IF(AND($O328&gt;0,Sheet1!EJ328=1),(1-($O328-Sheet1!$L328)/$O328)*BV328,0)</f>
        <v>0</v>
      </c>
      <c r="CC328" s="697">
        <f>IF(AND(Sheet1!$L328=0,Sheet1!$L327=0, Calculation!BU328&lt;Sheet1!EF328-0.1,Sheet1!EF328=Sheet1!EF327,Sheet1!EF328=Sheet1!EF329),Sheet1!EF328,BV328-CB328)</f>
        <v>0</v>
      </c>
      <c r="CD328" s="697"/>
      <c r="CE328" s="712"/>
      <c r="CF328" s="712">
        <f t="shared" si="874"/>
        <v>0</v>
      </c>
      <c r="CG328" s="712"/>
      <c r="CH328" s="712">
        <f ca="1">IF(B328&gt;Summary!$A$1,#N/A,CF328*MGtoAF)</f>
        <v>0</v>
      </c>
      <c r="CI328" s="712">
        <f>Sheet1!BK328+Sheet1!BL328+Sheet1!BM328-Sheet1!EN328-CQ328</f>
        <v>0</v>
      </c>
      <c r="CJ328" s="712">
        <f t="shared" si="875"/>
        <v>0</v>
      </c>
      <c r="CK328" s="712">
        <f>IF(Sheet1!EN328="FM",CQ328,0)</f>
        <v>0</v>
      </c>
      <c r="CL328" s="712">
        <f t="shared" si="876"/>
        <v>0</v>
      </c>
      <c r="CM328" s="712">
        <f>IF(Sheet1!EN328="OTHER",CQ328,0)</f>
        <v>0</v>
      </c>
      <c r="CN328" s="712">
        <f t="shared" si="877"/>
        <v>0</v>
      </c>
      <c r="CO328" s="712">
        <f t="shared" si="878"/>
        <v>0</v>
      </c>
      <c r="CP328" s="712">
        <f t="shared" si="879"/>
        <v>0</v>
      </c>
      <c r="CQ328" s="712">
        <f>IF(OR(Sheet1!EN328="FM", Sheet1!EN328="OTHER"),SUM(Sheet1!BK328:'Sheet1'!BM328),0)</f>
        <v>0</v>
      </c>
      <c r="CR328" s="697">
        <f>IF(AND($B328&gt;=$FL328,$B328&lt;=$FM328),MAX($CJ328,Sheet1!EG328,0),MAX($CJ328-(7/36)*$K328,0))</f>
        <v>0</v>
      </c>
      <c r="CS328" s="712">
        <f t="shared" si="880"/>
        <v>0</v>
      </c>
      <c r="CT328" s="697">
        <f t="shared" si="881"/>
        <v>0</v>
      </c>
      <c r="CU328" s="697">
        <f>IF(AND($O328&gt;0,Sheet1!EK328=1),(1-($O328-Sheet1!$L328)/$O328)*CP328,0)</f>
        <v>0</v>
      </c>
      <c r="CV328" s="697">
        <f>IF(AND(Sheet1!$L328=0,Sheet1!$L327=0, Calculation!CO328&lt;Sheet1!$EG328-0.1,Sheet1!$EG328=Sheet1!$EG327,Sheet1!$EG328=Sheet1!$EG329),Sheet1!$EG328,CP328-CU328)</f>
        <v>0</v>
      </c>
      <c r="CW328" s="697">
        <f>SUM(CW8:CW327)</f>
        <v>-3.1664524375263365</v>
      </c>
      <c r="CX328" s="712">
        <f t="shared" si="882"/>
        <v>0</v>
      </c>
      <c r="CY328" s="712">
        <f t="shared" si="883"/>
        <v>0</v>
      </c>
      <c r="CZ328" s="712">
        <f t="shared" si="884"/>
        <v>0</v>
      </c>
      <c r="DA328" s="712">
        <f ca="1">IF(B328&gt;Summary!$A$1,#N/A,CY328*MGtoAF)</f>
        <v>0</v>
      </c>
      <c r="DB328" s="712">
        <f t="shared" si="885"/>
        <v>0</v>
      </c>
      <c r="DC328" s="712">
        <f t="shared" si="886"/>
        <v>9.1999999999999993</v>
      </c>
      <c r="DD328" s="712">
        <f>Sheet1!AB328-DC328</f>
        <v>0.15000000000000036</v>
      </c>
      <c r="DE328" s="712">
        <f t="shared" si="887"/>
        <v>1.6304347826086998E-2</v>
      </c>
      <c r="DF328" s="712">
        <f>(VLOOKUP(Sheet1!CY328,hhdcap_wcm,4)-(((VLOOKUP(Sheet1!CY328,hhdcap_wcm,3)-Sheet1!CY328)/(VLOOKUP(Sheet1!CY328,hhdcap_wcm,3)-VLOOKUP(Sheet1!CY328,hhdcap_wcm,1)))*(VLOOKUP(Sheet1!CY328,hhdcap_wcm,4)-VLOOKUP(Sheet1!CY328,hhdcap_wcm,2))))</f>
        <v>1848.3000000026354</v>
      </c>
      <c r="DG328" s="712">
        <f t="shared" si="888"/>
        <v>23.180000000028031</v>
      </c>
      <c r="DH328" s="712">
        <f t="shared" si="889"/>
        <v>11.689359556242071</v>
      </c>
      <c r="DI328" s="712">
        <f>Sheet1!DW328*AFtoMG</f>
        <v>0</v>
      </c>
      <c r="DJ328" s="712">
        <f>Sheet1!DX328*AFtoMG</f>
        <v>0</v>
      </c>
      <c r="DK328" s="712">
        <f>Sheet1!DY328*AFtoMG</f>
        <v>0</v>
      </c>
      <c r="DL328" s="712">
        <f>Sheet1!DZ328*AFtoMG</f>
        <v>0</v>
      </c>
      <c r="DM328" s="712">
        <f t="shared" si="890"/>
        <v>0</v>
      </c>
      <c r="DN328" s="712">
        <f t="shared" si="891"/>
        <v>0</v>
      </c>
      <c r="DO328" s="712">
        <f t="shared" si="892"/>
        <v>0</v>
      </c>
      <c r="DP328" s="712">
        <f t="shared" si="893"/>
        <v>0</v>
      </c>
      <c r="DQ328" s="712"/>
      <c r="DR328" s="697">
        <f>IF(OR(B328&lt;FL328,B328&gt;FM328),(MIN(AV328+BO328+CJ328+MAX(Sheet1!AA328+AG328-73,0),K328)),0)</f>
        <v>0</v>
      </c>
      <c r="DS328" s="712"/>
      <c r="DT328" s="712">
        <f t="shared" si="894"/>
        <v>0</v>
      </c>
      <c r="DU328" s="712"/>
      <c r="DV328" s="712">
        <f>Sheet1!ED328+Sheet1!EE328+Sheet1!EF328+Sheet1!EG328</f>
        <v>8.5</v>
      </c>
      <c r="DW328" s="712"/>
      <c r="DX328" s="697">
        <f t="shared" si="895"/>
        <v>0</v>
      </c>
      <c r="DY328" s="712">
        <f>IF(Sheet1!FN328=1,SUM('Calculations II'!AT328:BA328)+'Calculations II'!BC328+Sheet1!BU328+'Calculations II'!BE328+AF328,SUM('Calculations II'!AT328:BA328)+'Calculations II'!BC328+Sheet1!BU328+'Calculations II'!BE328+AF328)</f>
        <v>41.299152000000007</v>
      </c>
      <c r="DZ328" s="712">
        <f>Sheet1!AA328+Sheet1!AB328+'Calculations II'!BC328</f>
        <v>45.088384000005824</v>
      </c>
      <c r="EA328" s="712"/>
      <c r="EB328" s="712"/>
      <c r="EC328" s="712">
        <f t="shared" si="896"/>
        <v>40857</v>
      </c>
      <c r="ED328" s="712">
        <f t="shared" si="897"/>
        <v>0</v>
      </c>
      <c r="EE328" s="712">
        <f t="shared" si="898"/>
        <v>0</v>
      </c>
      <c r="EF328" s="712">
        <f ca="1">IF(B328=TODAY(),0,-(VLOOKUP(Sheet1!BQ328,Lookup!$B$4:$J$236,2)-VLOOKUP(Sheet1!BQ327,Lookup!$B$4:$J$236,2))/1000000)</f>
        <v>-0.54100000000000004</v>
      </c>
      <c r="EG328" s="712">
        <f ca="1">IF(B328=TODAY(),0,-(VLOOKUP(Sheet1!BR328,Lookup!$B$4:$J$236,3)-VLOOKUP(Sheet1!BR327,Lookup!$B$4:$J$236,3))/1000000)</f>
        <v>-0.54</v>
      </c>
      <c r="EH328" s="712">
        <f>-(VLOOKUP(Sheet1!BS328,Lookup!$B$4:$J$236,4)-VLOOKUP(Sheet1!BS327,Lookup!$B$4:$J$236,4))/1000000</f>
        <v>0</v>
      </c>
      <c r="EI328" s="697">
        <f t="shared" ca="1" si="922"/>
        <v>-1.081</v>
      </c>
      <c r="EJ328" s="712"/>
      <c r="EK328" s="712"/>
      <c r="EL328" s="712"/>
      <c r="EM328" s="712"/>
      <c r="EN328" s="712"/>
      <c r="EO328" s="712"/>
      <c r="EP328" s="712"/>
      <c r="EQ328" s="712"/>
      <c r="ER328" s="712"/>
      <c r="ES328" s="712"/>
      <c r="ET328" s="794">
        <f t="shared" si="919"/>
        <v>1099</v>
      </c>
      <c r="EU328" s="794" t="e">
        <f t="shared" ref="EU328:EU385" si="924">MAX((EU327-EY328*1.983),0)</f>
        <v>#N/A</v>
      </c>
      <c r="EV328" s="795" t="e">
        <f t="shared" ref="EV328:EV385" si="925">IF(DF328-AE328-EU328-1220&lt;0,0,DF328-AE328-EU328-1220)</f>
        <v>#N/A</v>
      </c>
      <c r="EW328" s="796" t="s">
        <v>757</v>
      </c>
      <c r="EX328" s="796" t="s">
        <v>757</v>
      </c>
      <c r="EY328" s="794" t="e">
        <v>#N/A</v>
      </c>
      <c r="EZ328" s="798">
        <v>5816.00000001025</v>
      </c>
      <c r="FA328" s="712"/>
      <c r="FB328" s="712"/>
      <c r="FC328" s="712"/>
      <c r="FD328" s="712"/>
      <c r="FE328" s="712">
        <f>O328+Sheet1!CO328</f>
        <v>6382.0500000000065</v>
      </c>
      <c r="FF328" s="712">
        <f>IF(Sheet1!AA328+AG328&lt;=Calculation!N328,AG328,Calculation!N328-Sheet1!AA328)</f>
        <v>9.35</v>
      </c>
      <c r="FG328" s="712">
        <f>(Sheet1!BP328+Sheet1!BO328)/694.4</f>
        <v>1.7256624423963134</v>
      </c>
      <c r="FH328" s="712"/>
      <c r="FI328" s="712"/>
      <c r="FJ328" s="712"/>
      <c r="FK328" s="712"/>
      <c r="FL328" s="714">
        <f t="shared" si="827"/>
        <v>40753</v>
      </c>
      <c r="FM328" s="714">
        <f t="shared" si="828"/>
        <v>40851</v>
      </c>
      <c r="FN328" s="712"/>
      <c r="FO328" s="712"/>
      <c r="FP328" s="712"/>
      <c r="FQ328" s="712"/>
      <c r="FR328" s="712"/>
      <c r="FS328" s="725">
        <f t="shared" si="923"/>
        <v>40603</v>
      </c>
      <c r="FT328" s="714">
        <f t="shared" si="830"/>
        <v>40709</v>
      </c>
      <c r="FU328" s="712">
        <f t="shared" si="923"/>
        <v>6518.9048239895692</v>
      </c>
      <c r="FV328" s="714">
        <f t="shared" si="831"/>
        <v>40722</v>
      </c>
      <c r="FW328" s="712">
        <f t="shared" si="923"/>
        <v>3259.4524119947846</v>
      </c>
      <c r="FX328" s="725">
        <f t="shared" si="923"/>
        <v>40851</v>
      </c>
      <c r="FZ328" s="697">
        <f t="shared" ref="FZ328:FZ385" si="926">IF(B328=FT328,AFtoMG*(20000-AE327),GB328+GP328+GI328+GW328)</f>
        <v>0</v>
      </c>
      <c r="GA328" s="712" t="str">
        <f t="shared" si="899"/>
        <v/>
      </c>
      <c r="GB328" s="712">
        <f t="shared" si="900"/>
        <v>0</v>
      </c>
      <c r="GC328" s="712" t="str">
        <f t="shared" si="901"/>
        <v/>
      </c>
      <c r="GD328" s="712">
        <f>IF(GA328="P",Lookup!$M$12,IF(GA328="PP",Lookup!$M$13,IF(GA328="PPP",Lookup!$M$14,IF(GA328="T",Lookup!$M$15,IF(GA328="TP",Lookup!$M$16,IF(GA328="TPP",Lookup!$M$17,IF(GA328="TPPP",Lookup!$M$18,0)))))))*FZ328</f>
        <v>0</v>
      </c>
      <c r="GE328" s="712">
        <f t="shared" si="902"/>
        <v>0</v>
      </c>
      <c r="GF328" s="712">
        <f t="shared" si="903"/>
        <v>0</v>
      </c>
      <c r="GG328" s="712">
        <f t="shared" si="904"/>
        <v>0</v>
      </c>
      <c r="GH328" s="712"/>
      <c r="GI328" s="712">
        <f t="shared" si="905"/>
        <v>0</v>
      </c>
      <c r="GJ328" s="712" t="str">
        <f t="shared" si="906"/>
        <v/>
      </c>
      <c r="GK328" s="712">
        <f>IF(GA328="P",Lookup!$N$12,IF(GA328="PP",Lookup!$N$13,IF(GA328="PPP",Lookup!$N$14,IF(GA328="T",Lookup!$N$15,IF(GA328="TP",Lookup!$N$16,IF(GA328="TPP",Lookup!$N$17,IF(GA328="TPPP",Lookup!$N$18,0)))))))*FZ328</f>
        <v>0</v>
      </c>
      <c r="GL328" s="712">
        <f t="shared" si="907"/>
        <v>0</v>
      </c>
      <c r="GM328" s="712">
        <f t="shared" si="908"/>
        <v>0</v>
      </c>
      <c r="GN328" s="712">
        <f t="shared" si="909"/>
        <v>0</v>
      </c>
      <c r="GO328" s="712"/>
      <c r="GP328" s="712">
        <f t="shared" si="910"/>
        <v>0</v>
      </c>
      <c r="GQ328" s="712" t="str">
        <f t="shared" si="911"/>
        <v/>
      </c>
      <c r="GR328" s="712">
        <f>IF(GA328="P",Lookup!$N$12,IF(GA328="PP",Lookup!$N$13,IF(GA328="PPP",Lookup!$N$14,IF(GA328="T",Lookup!$N$15,IF(GA328="TP",Lookup!$N$16,IF(GA328="TPP",Lookup!$N$17,IF(GA328="TPPP",Lookup!$N$18,0)))))))*FZ328</f>
        <v>0</v>
      </c>
      <c r="GS328" s="697">
        <f t="shared" si="825"/>
        <v>0</v>
      </c>
      <c r="GT328" s="712">
        <f t="shared" si="912"/>
        <v>0</v>
      </c>
      <c r="GU328" s="712">
        <f t="shared" si="913"/>
        <v>0</v>
      </c>
      <c r="GV328" s="712"/>
      <c r="GW328" s="712">
        <f t="shared" si="914"/>
        <v>0</v>
      </c>
      <c r="GX328" s="712" t="str">
        <f t="shared" si="915"/>
        <v/>
      </c>
      <c r="GY328" s="712">
        <f>IF(GA328="P",Lookup!$N$12,IF(GA328="PP",Lookup!$N$13,IF(GA328="PPP",Lookup!$N$14,IF(GA328="T",Lookup!$N$15,IF(GA328="TP",Lookup!$N$16,IF(GA328="TPP",Lookup!$N$17,IF(GA328="TPPP",Lookup!$N$18,0)))))))*FZ328</f>
        <v>0</v>
      </c>
      <c r="GZ328" s="697">
        <f t="shared" si="826"/>
        <v>0</v>
      </c>
      <c r="HA328" s="712">
        <f t="shared" si="916"/>
        <v>0</v>
      </c>
      <c r="HB328" s="712">
        <f t="shared" si="917"/>
        <v>0</v>
      </c>
      <c r="HC328" s="712"/>
    </row>
    <row r="329" spans="1:211">
      <c r="A329" s="773" t="s">
        <v>8</v>
      </c>
      <c r="B329" s="708">
        <v>40858</v>
      </c>
      <c r="C329" s="709">
        <v>0.5</v>
      </c>
      <c r="D329" s="675">
        <f t="shared" si="840"/>
        <v>300</v>
      </c>
      <c r="E329" s="675">
        <f t="shared" si="841"/>
        <v>250</v>
      </c>
      <c r="F329" s="675">
        <v>250</v>
      </c>
      <c r="G329" s="712">
        <f>DH329+Sheet1!CV329</f>
        <v>407.42782400413557</v>
      </c>
      <c r="H329" s="712">
        <f t="shared" si="842"/>
        <v>0</v>
      </c>
      <c r="I329" s="711">
        <f>MAX(Sheet1!Z329-AJ329+(Sheet1!CW329-E329)*CFStoMGD,0)</f>
        <v>161.36073333333334</v>
      </c>
      <c r="J329" s="720">
        <f>IF(AND(B329&gt;=Calculation!FS329,B329&lt;=Calculation!FT329),IF(Sheet1!CX329&gt;=Calculation!D329,64.64,0),MAX(Sheet1!Z329-AJ329+(Sheet1!CX329-D329)*CFStoMGD,0))</f>
        <v>9.8203333333333465</v>
      </c>
      <c r="K329" s="697">
        <f t="shared" si="843"/>
        <v>0</v>
      </c>
      <c r="L329" s="712">
        <f>Sheet1!AA329+Sheet1!AB329-Sheet1!L329+(Sheet1!CW329-F329)*CFStoMGD</f>
        <v>209.22073333333304</v>
      </c>
      <c r="M329" s="712">
        <f t="shared" si="844"/>
        <v>268.6285723449987</v>
      </c>
      <c r="N329" s="712">
        <f>IF(Sheet1!CW329&gt;=F329,MIN(73,MIN(MAX(L329,0),MAX(M329,0))),0)</f>
        <v>73</v>
      </c>
      <c r="O329" s="721">
        <f>Sheet1!AA329+Sheet1!AB329</f>
        <v>45.34</v>
      </c>
      <c r="P329" s="721">
        <f t="shared" si="845"/>
        <v>70.140979999999985</v>
      </c>
      <c r="Q329" s="712">
        <f>MIN(N329,Sheet1!AA329+AG329)</f>
        <v>45.34</v>
      </c>
      <c r="R329" s="712">
        <f t="shared" si="846"/>
        <v>0</v>
      </c>
      <c r="S329" s="721">
        <f>Sheet1!Y329*MGDtoCFS</f>
        <v>41.150199999999998</v>
      </c>
      <c r="T329" s="721">
        <f>Sheet1!Z329*MGDtoCFS</f>
        <v>20.420399999999997</v>
      </c>
      <c r="U329" s="721">
        <f>Sheet1!AA329*MGDtoCFS</f>
        <v>40.902679999999997</v>
      </c>
      <c r="V329" s="721">
        <f>Sheet1!AB329*MGDtoCFS</f>
        <v>29.238299999999995</v>
      </c>
      <c r="W329" s="721">
        <f>Sheet1!L329*MGDtoCFS</f>
        <v>4.9194600000004503</v>
      </c>
      <c r="X329" s="697">
        <f t="shared" si="847"/>
        <v>0</v>
      </c>
      <c r="Y329" s="712">
        <f t="shared" si="848"/>
        <v>0</v>
      </c>
      <c r="Z329" s="712">
        <f t="shared" si="849"/>
        <v>0</v>
      </c>
      <c r="AA329" s="712">
        <f t="shared" si="850"/>
        <v>0</v>
      </c>
      <c r="AB329" s="712">
        <f>(VLOOKUP(Sheet1!CY329,hhdcap_wcm,4)-(((VLOOKUP(Sheet1!CY329,hhdcap_wcm,3)-Sheet1!CY329)/(VLOOKUP(Sheet1!CY329,hhdcap_wcm,3)-VLOOKUP(Sheet1!CY329,hhdcap_wcm,1)))*(VLOOKUP(Sheet1!CY329,hhdcap_wcm,4)-VLOOKUP(Sheet1!CY329,hhdcap_wcm,2))))</f>
        <v>1974.1600000028363</v>
      </c>
      <c r="AC329" s="712">
        <f t="shared" si="851"/>
        <v>125.8600000002009</v>
      </c>
      <c r="AD329" s="712">
        <f t="shared" si="852"/>
        <v>0</v>
      </c>
      <c r="AE329" s="712">
        <f t="shared" si="853"/>
        <v>0</v>
      </c>
      <c r="AF329" s="712">
        <f>Sheet1!BA329+Sheet1!BB329+Sheet1!BN329+BT329</f>
        <v>18.7</v>
      </c>
      <c r="AG329" s="712">
        <f t="shared" si="854"/>
        <v>18.899999999999999</v>
      </c>
      <c r="AH329" s="712">
        <f>Sheet1!BA329+BT329</f>
        <v>0</v>
      </c>
      <c r="AI329" s="712">
        <f>Sheet1!BA329+Sheet1!BB329+BT329</f>
        <v>0</v>
      </c>
      <c r="AJ329" s="712">
        <f>IF((Sheet1!AA329+AG329+AX329+AZ329+BQ329+BS329+CL329+CN329)&lt;=N329,AG329+AX329+AZ329+BQ329+BS329+CL329+CN329,N329-Sheet1!AA329)</f>
        <v>18.899999999999999</v>
      </c>
      <c r="AK329" s="712">
        <f>IF(DR329&lt;K329,0,MAX(Sheet1!AA329+AG329-15/36*K329-N329,Sheet1!ED329,0))</f>
        <v>0</v>
      </c>
      <c r="AL329" s="712">
        <f>IF(OR(B329&gt;=FT329,B329&lt;FS329),0,15/36*K329-MAX(0,64.6-(137.6-(Sheet1!AA329+Sheet1!AB329))))</f>
        <v>0</v>
      </c>
      <c r="AM329" s="712">
        <f>Sheet1!CX329-110</f>
        <v>214.01041666666669</v>
      </c>
      <c r="AN329" s="712">
        <f>Sheet1!CW329-265</f>
        <v>243.44791666666669</v>
      </c>
      <c r="AO329" s="712">
        <f t="shared" si="835"/>
        <v>27.659999999999997</v>
      </c>
      <c r="AP329" s="712">
        <f t="shared" si="855"/>
        <v>0</v>
      </c>
      <c r="AQ329" s="712">
        <f t="shared" si="856"/>
        <v>0</v>
      </c>
      <c r="AR329" s="712">
        <f t="shared" si="857"/>
        <v>0</v>
      </c>
      <c r="AS329" s="712"/>
      <c r="AT329" s="712">
        <f ca="1">IF(B329&gt;Summary!$A$1,#N/A,AR329*MGtoAF)</f>
        <v>0</v>
      </c>
      <c r="AU329" s="712">
        <f>Sheet1!BG329+Sheet1!BH329+Sheet1!BI329-BC329</f>
        <v>0</v>
      </c>
      <c r="AV329" s="712">
        <f t="shared" si="858"/>
        <v>0</v>
      </c>
      <c r="AW329" s="712">
        <f>IF(Sheet1!EL329="FM",BC329,0)</f>
        <v>0</v>
      </c>
      <c r="AX329" s="712">
        <f t="shared" si="859"/>
        <v>0</v>
      </c>
      <c r="AY329" s="712">
        <f>IF(Sheet1!EL329="OTHER",BC329,0)</f>
        <v>0</v>
      </c>
      <c r="AZ329" s="712">
        <f t="shared" si="860"/>
        <v>0</v>
      </c>
      <c r="BA329" s="712">
        <f t="shared" si="861"/>
        <v>0</v>
      </c>
      <c r="BB329" s="712">
        <f t="shared" si="862"/>
        <v>0</v>
      </c>
      <c r="BC329" s="712">
        <f>IF(OR(Sheet1!EL329="FM", Sheet1!EL329="OTHER"),SUM(Sheet1!BG329:'Sheet1'!BI329),0)</f>
        <v>0</v>
      </c>
      <c r="BD329" s="697">
        <f>IF(AND($B329&gt;=$FL329,$B329&lt;=$FM329),MAX(AV329,Sheet1!EE329,0),MAX(AV329-(7/36)*$K329,0))</f>
        <v>0</v>
      </c>
      <c r="BE329" s="712">
        <f t="shared" si="863"/>
        <v>0</v>
      </c>
      <c r="BF329" s="697">
        <f t="shared" si="864"/>
        <v>0</v>
      </c>
      <c r="BG329" s="697">
        <f>IF(AND($O329&gt;0,Sheet1!EI329=1),(1-($O329-Sheet1!$L329)/$O329)*BB329,0)</f>
        <v>0</v>
      </c>
      <c r="BH329" s="697">
        <f>IF(AND(Sheet1!$L329=0,Sheet1!$L328=0, Calculation!BA329&lt;Sheet1!$EE329-0.1,Sheet1!$EE329=Sheet1!$EE328,Sheet1!$EE329=Sheet1!$EE330),Sheet1!$EE329,BB329-BG329)</f>
        <v>0</v>
      </c>
      <c r="BI329" s="712"/>
      <c r="BJ329" s="712"/>
      <c r="BK329" s="712">
        <f t="shared" si="865"/>
        <v>0</v>
      </c>
      <c r="BL329" s="712"/>
      <c r="BM329" s="712">
        <f ca="1">IF(B329&gt;Summary!$A$1,#N/A,BK329*MGtoAF)</f>
        <v>0</v>
      </c>
      <c r="BN329" s="712">
        <f>Sheet1!BC329+Sheet1!BD329+Sheet1!BE329+Sheet1!BF329-BW329-BX329</f>
        <v>0</v>
      </c>
      <c r="BO329" s="712">
        <f t="shared" si="866"/>
        <v>0</v>
      </c>
      <c r="BP329" s="712">
        <f>IF(Sheet1!EM329="FM",BX329,0)</f>
        <v>0</v>
      </c>
      <c r="BQ329" s="712">
        <f t="shared" si="867"/>
        <v>0</v>
      </c>
      <c r="BR329" s="712">
        <f>IF(Sheet1!EM329="OTHER",BX329,0)</f>
        <v>0</v>
      </c>
      <c r="BS329" s="712">
        <f t="shared" si="868"/>
        <v>0</v>
      </c>
      <c r="BT329" s="712">
        <f t="shared" si="869"/>
        <v>0</v>
      </c>
      <c r="BU329" s="712">
        <f t="shared" si="870"/>
        <v>0</v>
      </c>
      <c r="BV329" s="712">
        <f t="shared" si="871"/>
        <v>0</v>
      </c>
      <c r="BW329" s="712">
        <f>IF(Sheet1!EM329="CWA",SUM(Sheet1!BC329:'Sheet1'!BF329),0)</f>
        <v>0</v>
      </c>
      <c r="BX329" s="712">
        <f>IF(OR(Sheet1!EM329="FM", Sheet1!EM329="OTHER"),SUM(Sheet1!BC329:'Sheet1'!BF329),0)</f>
        <v>0</v>
      </c>
      <c r="BY329" s="697">
        <f>IF(AND($B329&gt;=$FL329,$B329&lt;=$FM329),MAX(BV329,Sheet1!EF329,0),MAX(BV329-(7/36)*$K329,0))</f>
        <v>0</v>
      </c>
      <c r="BZ329" s="712">
        <f t="shared" si="872"/>
        <v>0</v>
      </c>
      <c r="CA329" s="697">
        <f t="shared" si="873"/>
        <v>0</v>
      </c>
      <c r="CB329" s="697">
        <f>IF(AND($O329&gt;0,Sheet1!EJ329=1),(1-($O329-Sheet1!$L329)/$O329)*BV329,0)</f>
        <v>0</v>
      </c>
      <c r="CC329" s="697">
        <f>IF(AND(Sheet1!$L329=0,Sheet1!$L328=0, Calculation!BU329&lt;Sheet1!EF329-0.1,Sheet1!EF329=Sheet1!EF328,Sheet1!EF329=Sheet1!EF330),Sheet1!EF329,BV329-CB329)</f>
        <v>0</v>
      </c>
      <c r="CD329" s="697"/>
      <c r="CE329" s="712"/>
      <c r="CF329" s="712">
        <f t="shared" si="874"/>
        <v>0</v>
      </c>
      <c r="CG329" s="712"/>
      <c r="CH329" s="712">
        <f ca="1">IF(B329&gt;Summary!$A$1,#N/A,CF329*MGtoAF)</f>
        <v>0</v>
      </c>
      <c r="CI329" s="712">
        <f>Sheet1!BK329+Sheet1!BL329+Sheet1!BM329-Sheet1!EN329-CQ329</f>
        <v>0</v>
      </c>
      <c r="CJ329" s="712">
        <f t="shared" si="875"/>
        <v>0</v>
      </c>
      <c r="CK329" s="712">
        <f>IF(Sheet1!EN329="FM",CQ329,0)</f>
        <v>0</v>
      </c>
      <c r="CL329" s="712">
        <f t="shared" si="876"/>
        <v>0</v>
      </c>
      <c r="CM329" s="712">
        <f>IF(Sheet1!EN329="OTHER",CQ329,0)</f>
        <v>0</v>
      </c>
      <c r="CN329" s="712">
        <f t="shared" si="877"/>
        <v>0</v>
      </c>
      <c r="CO329" s="712">
        <f t="shared" si="878"/>
        <v>0</v>
      </c>
      <c r="CP329" s="712">
        <f t="shared" si="879"/>
        <v>0</v>
      </c>
      <c r="CQ329" s="712">
        <f>IF(OR(Sheet1!EN329="FM", Sheet1!EN329="OTHER"),SUM(Sheet1!BK329:'Sheet1'!BM329),0)</f>
        <v>0</v>
      </c>
      <c r="CR329" s="697">
        <f>IF(AND($B329&gt;=$FL329,$B329&lt;=$FM329),MAX($CJ329,Sheet1!EG329,0),MAX($CJ329-(7/36)*$K329,0))</f>
        <v>0</v>
      </c>
      <c r="CS329" s="712">
        <f t="shared" si="880"/>
        <v>0</v>
      </c>
      <c r="CT329" s="697">
        <f t="shared" si="881"/>
        <v>0</v>
      </c>
      <c r="CU329" s="697">
        <f>IF(AND($O329&gt;0,Sheet1!EK329=1),(1-($O329-Sheet1!$L329)/$O329)*CP329,0)</f>
        <v>0</v>
      </c>
      <c r="CV329" s="697">
        <f>IF(AND(Sheet1!$L329=0,Sheet1!$L328=0, Calculation!CO329&lt;Sheet1!$EG329-0.1,Sheet1!$EG329=Sheet1!$EG328,Sheet1!$EG329=Sheet1!$EG330),Sheet1!$EG329,CP329-CU329)</f>
        <v>0</v>
      </c>
      <c r="CW329" s="697"/>
      <c r="CX329" s="712">
        <f t="shared" si="882"/>
        <v>0</v>
      </c>
      <c r="CY329" s="712">
        <f t="shared" si="883"/>
        <v>0</v>
      </c>
      <c r="CZ329" s="712">
        <f t="shared" si="884"/>
        <v>0</v>
      </c>
      <c r="DA329" s="712">
        <f ca="1">IF(B329&gt;Summary!$A$1,#N/A,CY329*MGtoAF)</f>
        <v>0</v>
      </c>
      <c r="DB329" s="712">
        <f t="shared" si="885"/>
        <v>0</v>
      </c>
      <c r="DC329" s="712">
        <f t="shared" si="886"/>
        <v>18.7</v>
      </c>
      <c r="DD329" s="712">
        <f>Sheet1!AB329-DC329</f>
        <v>0.19999999999999929</v>
      </c>
      <c r="DE329" s="712">
        <f t="shared" si="887"/>
        <v>1.0695187165775364E-2</v>
      </c>
      <c r="DF329" s="712">
        <f>(VLOOKUP(Sheet1!CY329,hhdcap_wcm,4)-(((VLOOKUP(Sheet1!CY329,hhdcap_wcm,3)-Sheet1!CY329)/(VLOOKUP(Sheet1!CY329,hhdcap_wcm,3)-VLOOKUP(Sheet1!CY329,hhdcap_wcm,1)))*(VLOOKUP(Sheet1!CY329,hhdcap_wcm,4)-VLOOKUP(Sheet1!CY329,hhdcap_wcm,2))))</f>
        <v>1974.1600000028363</v>
      </c>
      <c r="DG329" s="712">
        <f t="shared" si="888"/>
        <v>125.8600000002009</v>
      </c>
      <c r="DH329" s="712">
        <f t="shared" si="889"/>
        <v>63.469490670802259</v>
      </c>
      <c r="DI329" s="712">
        <f>Sheet1!DW329*AFtoMG</f>
        <v>0</v>
      </c>
      <c r="DJ329" s="712">
        <f>Sheet1!DX329*AFtoMG</f>
        <v>0</v>
      </c>
      <c r="DK329" s="712">
        <f>Sheet1!DY329*AFtoMG</f>
        <v>0</v>
      </c>
      <c r="DL329" s="712">
        <f>Sheet1!DZ329*AFtoMG</f>
        <v>0</v>
      </c>
      <c r="DM329" s="712">
        <f t="shared" si="890"/>
        <v>0</v>
      </c>
      <c r="DN329" s="712">
        <f t="shared" si="891"/>
        <v>0</v>
      </c>
      <c r="DO329" s="712">
        <f t="shared" si="892"/>
        <v>0</v>
      </c>
      <c r="DP329" s="712">
        <f t="shared" si="893"/>
        <v>0</v>
      </c>
      <c r="DQ329" s="712"/>
      <c r="DR329" s="697">
        <f>IF(OR(B329&lt;FL329,B329&gt;FM329),(MIN(AV329+BO329+CJ329+MAX(Sheet1!AA329+AG329-73,0),K329)),0)</f>
        <v>0</v>
      </c>
      <c r="DS329" s="712"/>
      <c r="DT329" s="712">
        <f t="shared" si="894"/>
        <v>0</v>
      </c>
      <c r="DU329" s="712"/>
      <c r="DV329" s="712">
        <f>Sheet1!ED329+Sheet1!EE329+Sheet1!EF329+Sheet1!EG329</f>
        <v>8.5</v>
      </c>
      <c r="DW329" s="712"/>
      <c r="DX329" s="697">
        <f t="shared" si="895"/>
        <v>0</v>
      </c>
      <c r="DY329" s="712">
        <f>IF(Sheet1!FN329=1,SUM('Calculations II'!AT329:BA329)+'Calculations II'!BC329+Sheet1!BU329+'Calculations II'!BE329+AF329,SUM('Calculations II'!AT329:BA329)+'Calculations II'!BC329+Sheet1!BU329+'Calculations II'!BE329+AF329)</f>
        <v>40.081792</v>
      </c>
      <c r="DZ329" s="712">
        <f>Sheet1!AA329+Sheet1!AB329+'Calculations II'!BC329</f>
        <v>45.34</v>
      </c>
      <c r="EA329" s="712"/>
      <c r="EB329" s="712"/>
      <c r="EC329" s="712">
        <f t="shared" si="896"/>
        <v>40858</v>
      </c>
      <c r="ED329" s="712">
        <f t="shared" si="897"/>
        <v>0</v>
      </c>
      <c r="EE329" s="712">
        <f t="shared" si="898"/>
        <v>0</v>
      </c>
      <c r="EF329" s="712">
        <f ca="1">IF(B329=TODAY(),0,-(VLOOKUP(Sheet1!BQ329,Lookup!$B$4:$J$236,2)-VLOOKUP(Sheet1!BQ328,Lookup!$B$4:$J$236,2))/1000000)</f>
        <v>-1.3591</v>
      </c>
      <c r="EG329" s="712">
        <f ca="1">IF(B329=TODAY(),0,-(VLOOKUP(Sheet1!BR329,Lookup!$B$4:$J$236,3)-VLOOKUP(Sheet1!BR328,Lookup!$B$4:$J$236,3))/1000000)</f>
        <v>-1.0833999999999999</v>
      </c>
      <c r="EH329" s="712">
        <f>-(VLOOKUP(Sheet1!BS329,Lookup!$B$4:$J$236,4)-VLOOKUP(Sheet1!BS328,Lookup!$B$4:$J$236,4))/1000000</f>
        <v>0</v>
      </c>
      <c r="EI329" s="697">
        <f t="shared" ca="1" si="922"/>
        <v>-2.4424999999999999</v>
      </c>
      <c r="EJ329" s="712"/>
      <c r="EK329" s="712"/>
      <c r="EL329" s="712"/>
      <c r="EM329" s="712"/>
      <c r="EN329" s="712"/>
      <c r="EO329" s="712"/>
      <c r="EP329" s="712"/>
      <c r="EQ329" s="712"/>
      <c r="ER329" s="712"/>
      <c r="ES329" s="712"/>
      <c r="ET329" s="794">
        <f t="shared" si="919"/>
        <v>1098</v>
      </c>
      <c r="EU329" s="794" t="e">
        <f t="shared" si="924"/>
        <v>#N/A</v>
      </c>
      <c r="EV329" s="795" t="e">
        <f t="shared" si="925"/>
        <v>#N/A</v>
      </c>
      <c r="EW329" s="796" t="s">
        <v>757</v>
      </c>
      <c r="EX329" s="796" t="s">
        <v>757</v>
      </c>
      <c r="EY329" s="794" t="e">
        <v>#N/A</v>
      </c>
      <c r="EZ329" s="798">
        <v>5577.0000000097816</v>
      </c>
      <c r="FA329" s="712"/>
      <c r="FB329" s="712"/>
      <c r="FC329" s="712"/>
      <c r="FD329" s="712"/>
      <c r="FE329" s="712">
        <f>O329+Sheet1!CO329</f>
        <v>45.34</v>
      </c>
      <c r="FF329" s="712">
        <f>IF(Sheet1!AA329+AG329&lt;=Calculation!N329,AG329,Calculation!N329-Sheet1!AA329)</f>
        <v>18.899999999999999</v>
      </c>
      <c r="FG329" s="712">
        <f>(Sheet1!BP329+Sheet1!BO329)/694.4</f>
        <v>1.6098790322580647</v>
      </c>
      <c r="FH329" s="712"/>
      <c r="FI329" s="712"/>
      <c r="FJ329" s="712"/>
      <c r="FK329" s="712"/>
      <c r="FL329" s="714">
        <f t="shared" si="827"/>
        <v>40753</v>
      </c>
      <c r="FM329" s="714">
        <f t="shared" si="828"/>
        <v>40851</v>
      </c>
      <c r="FN329" s="712"/>
      <c r="FO329" s="712"/>
      <c r="FP329" s="712"/>
      <c r="FQ329" s="712"/>
      <c r="FR329" s="712"/>
      <c r="FS329" s="725">
        <f t="shared" si="923"/>
        <v>40603</v>
      </c>
      <c r="FT329" s="714">
        <f t="shared" si="830"/>
        <v>40709</v>
      </c>
      <c r="FU329" s="712">
        <f t="shared" si="923"/>
        <v>6518.9048239895692</v>
      </c>
      <c r="FV329" s="714">
        <f t="shared" si="831"/>
        <v>40722</v>
      </c>
      <c r="FW329" s="712">
        <f t="shared" si="923"/>
        <v>3259.4524119947846</v>
      </c>
      <c r="FX329" s="725">
        <f t="shared" si="923"/>
        <v>40851</v>
      </c>
      <c r="FZ329" s="697">
        <f t="shared" si="926"/>
        <v>0</v>
      </c>
      <c r="GA329" s="712" t="str">
        <f t="shared" si="899"/>
        <v/>
      </c>
      <c r="GB329" s="712">
        <f t="shared" si="900"/>
        <v>0</v>
      </c>
      <c r="GC329" s="712" t="str">
        <f t="shared" si="901"/>
        <v/>
      </c>
      <c r="GD329" s="712">
        <f>IF(GA329="P",Lookup!$M$12,IF(GA329="PP",Lookup!$M$13,IF(GA329="PPP",Lookup!$M$14,IF(GA329="T",Lookup!$M$15,IF(GA329="TP",Lookup!$M$16,IF(GA329="TPP",Lookup!$M$17,IF(GA329="TPPP",Lookup!$M$18,0)))))))*FZ329</f>
        <v>0</v>
      </c>
      <c r="GE329" s="712">
        <f t="shared" si="902"/>
        <v>0</v>
      </c>
      <c r="GF329" s="712">
        <f t="shared" si="903"/>
        <v>0</v>
      </c>
      <c r="GG329" s="712">
        <f t="shared" si="904"/>
        <v>0</v>
      </c>
      <c r="GH329" s="712"/>
      <c r="GI329" s="712">
        <f t="shared" si="905"/>
        <v>0</v>
      </c>
      <c r="GJ329" s="712" t="str">
        <f t="shared" si="906"/>
        <v/>
      </c>
      <c r="GK329" s="712">
        <f>IF(GA329="P",Lookup!$N$12,IF(GA329="PP",Lookup!$N$13,IF(GA329="PPP",Lookup!$N$14,IF(GA329="T",Lookup!$N$15,IF(GA329="TP",Lookup!$N$16,IF(GA329="TPP",Lookup!$N$17,IF(GA329="TPPP",Lookup!$N$18,0)))))))*FZ329</f>
        <v>0</v>
      </c>
      <c r="GL329" s="712">
        <f t="shared" si="907"/>
        <v>0</v>
      </c>
      <c r="GM329" s="712">
        <f t="shared" si="908"/>
        <v>0</v>
      </c>
      <c r="GN329" s="712">
        <f t="shared" si="909"/>
        <v>0</v>
      </c>
      <c r="GO329" s="712"/>
      <c r="GP329" s="712">
        <f t="shared" si="910"/>
        <v>0</v>
      </c>
      <c r="GQ329" s="712" t="str">
        <f t="shared" si="911"/>
        <v/>
      </c>
      <c r="GR329" s="712">
        <f>IF(GA329="P",Lookup!$N$12,IF(GA329="PP",Lookup!$N$13,IF(GA329="PPP",Lookup!$N$14,IF(GA329="T",Lookup!$N$15,IF(GA329="TP",Lookup!$N$16,IF(GA329="TPP",Lookup!$N$17,IF(GA329="TPPP",Lookup!$N$18,0)))))))*FZ329</f>
        <v>0</v>
      </c>
      <c r="GS329" s="697">
        <f t="shared" ref="GS329:GS385" si="927">IF(GQ329="P",MIN(GR329,7/36*FU329-GU329),0)</f>
        <v>0</v>
      </c>
      <c r="GT329" s="712">
        <f t="shared" si="912"/>
        <v>0</v>
      </c>
      <c r="GU329" s="712">
        <f t="shared" si="913"/>
        <v>0</v>
      </c>
      <c r="GV329" s="712"/>
      <c r="GW329" s="712">
        <f t="shared" si="914"/>
        <v>0</v>
      </c>
      <c r="GX329" s="712" t="str">
        <f t="shared" si="915"/>
        <v/>
      </c>
      <c r="GY329" s="712">
        <f>IF(GA329="P",Lookup!$N$12,IF(GA329="PP",Lookup!$N$13,IF(GA329="PPP",Lookup!$N$14,IF(GA329="T",Lookup!$N$15,IF(GA329="TP",Lookup!$N$16,IF(GA329="TPP",Lookup!$N$17,IF(GA329="TPPP",Lookup!$N$18,0)))))))*FZ329</f>
        <v>0</v>
      </c>
      <c r="GZ329" s="697">
        <f t="shared" ref="GZ329:GZ385" si="928">IF(GX329="P",MIN(GY329,7/36*FU329-HB329),0)</f>
        <v>0</v>
      </c>
      <c r="HA329" s="712">
        <f t="shared" si="916"/>
        <v>0</v>
      </c>
      <c r="HB329" s="712">
        <f t="shared" si="917"/>
        <v>0</v>
      </c>
      <c r="HC329" s="712"/>
    </row>
    <row r="330" spans="1:211">
      <c r="A330" s="773" t="s">
        <v>9</v>
      </c>
      <c r="B330" s="708">
        <v>40859</v>
      </c>
      <c r="C330" s="719">
        <v>0.5</v>
      </c>
      <c r="D330" s="675">
        <f t="shared" si="840"/>
        <v>300</v>
      </c>
      <c r="E330" s="675">
        <f t="shared" si="841"/>
        <v>250</v>
      </c>
      <c r="F330" s="675">
        <v>250</v>
      </c>
      <c r="G330" s="712">
        <f>DH330+Sheet1!CV330</f>
        <v>440.2816439737627</v>
      </c>
      <c r="H330" s="712">
        <f t="shared" si="842"/>
        <v>17.634854664640208</v>
      </c>
      <c r="I330" s="711">
        <f>MAX(Sheet1!Z330-AJ330+(Sheet1!CW330-E330)*CFStoMGD,0)</f>
        <v>190.8202</v>
      </c>
      <c r="J330" s="720">
        <f>IF(AND(B330&gt;=Calculation!FS330,B330&lt;=Calculation!FT330),IF(Sheet1!CX330&gt;=Calculation!D330,64.64,0),MAX(Sheet1!Z330-AJ330+(Sheet1!CX330-D330)*CFStoMGD,0))</f>
        <v>119.20446666666665</v>
      </c>
      <c r="K330" s="697">
        <f t="shared" si="843"/>
        <v>17.634854664640208</v>
      </c>
      <c r="L330" s="712">
        <f>Sheet1!AA330+Sheet1!AB330-Sheet1!L330+(Sheet1!CW330-F330)*CFStoMGD</f>
        <v>194.2302</v>
      </c>
      <c r="M330" s="712">
        <f t="shared" si="844"/>
        <v>290.29001575793302</v>
      </c>
      <c r="N330" s="712">
        <f>IF(Sheet1!CW330&gt;=F330,MIN(73,MIN(MAX(L330,0),MAX(M330,0))),0)</f>
        <v>73</v>
      </c>
      <c r="O330" s="721">
        <f>Sheet1!AA330+Sheet1!AB330</f>
        <v>45.569999999999993</v>
      </c>
      <c r="P330" s="721">
        <f t="shared" si="845"/>
        <v>70.49678999999999</v>
      </c>
      <c r="Q330" s="712">
        <f>MIN(N330,Sheet1!AA330+AG330)</f>
        <v>45.569999999999993</v>
      </c>
      <c r="R330" s="712">
        <f t="shared" si="846"/>
        <v>0</v>
      </c>
      <c r="S330" s="721">
        <f>Sheet1!Y330*MGDtoCFS</f>
        <v>41.165669999999999</v>
      </c>
      <c r="T330" s="721">
        <f>Sheet1!Z330*MGDtoCFS</f>
        <v>29.377529999999997</v>
      </c>
      <c r="U330" s="721">
        <f>Sheet1!AA330*MGDtoCFS</f>
        <v>40.980029999999999</v>
      </c>
      <c r="V330" s="721">
        <f>Sheet1!AB330*MGDtoCFS</f>
        <v>29.516759999999994</v>
      </c>
      <c r="W330" s="721">
        <f>Sheet1!L330*MGDtoCFS</f>
        <v>65.360749999999996</v>
      </c>
      <c r="X330" s="697">
        <f t="shared" si="847"/>
        <v>0</v>
      </c>
      <c r="Y330" s="712">
        <f t="shared" si="848"/>
        <v>0</v>
      </c>
      <c r="Z330" s="712">
        <f t="shared" si="849"/>
        <v>0</v>
      </c>
      <c r="AA330" s="712">
        <f t="shared" si="850"/>
        <v>0</v>
      </c>
      <c r="AB330" s="712">
        <f>(VLOOKUP(Sheet1!CY330,hhdcap_wcm,4)-(((VLOOKUP(Sheet1!CY330,hhdcap_wcm,3)-Sheet1!CY330)/(VLOOKUP(Sheet1!CY330,hhdcap_wcm,3)-VLOOKUP(Sheet1!CY330,hhdcap_wcm,1)))*(VLOOKUP(Sheet1!CY330,hhdcap_wcm,4)-VLOOKUP(Sheet1!CY330,hhdcap_wcm,2))))</f>
        <v>1942.6600000028077</v>
      </c>
      <c r="AC330" s="712">
        <f t="shared" si="851"/>
        <v>-31.500000000028649</v>
      </c>
      <c r="AD330" s="712">
        <f t="shared" si="852"/>
        <v>0</v>
      </c>
      <c r="AE330" s="712">
        <f t="shared" si="853"/>
        <v>0</v>
      </c>
      <c r="AF330" s="712">
        <f>Sheet1!BA330+Sheet1!BB330+Sheet1!BN330+BT330</f>
        <v>18.899999999999999</v>
      </c>
      <c r="AG330" s="712">
        <f t="shared" si="854"/>
        <v>19.079999999999998</v>
      </c>
      <c r="AH330" s="712">
        <f>Sheet1!BA330+BT330</f>
        <v>0</v>
      </c>
      <c r="AI330" s="712">
        <f>Sheet1!BA330+Sheet1!BB330+BT330</f>
        <v>0</v>
      </c>
      <c r="AJ330" s="712">
        <f>IF((Sheet1!AA330+AG330+AX330+AZ330+BQ330+BS330+CL330+CN330)&lt;=N330,AG330+AX330+AZ330+BQ330+BS330+CL330+CN330,N330-Sheet1!AA330)</f>
        <v>19.079999999999998</v>
      </c>
      <c r="AK330" s="712">
        <f>IF(DR330&lt;K330,0,MAX(Sheet1!AA330+AG330-15/36*K330-N330,Sheet1!ED330,0))</f>
        <v>0</v>
      </c>
      <c r="AL330" s="712">
        <f>IF(OR(B330&gt;=FT330,B330&lt;FS330),0,15/36*K330-MAX(0,64.6-(137.6-(Sheet1!AA330+Sheet1!AB330))))</f>
        <v>0</v>
      </c>
      <c r="AM330" s="712">
        <f>Sheet1!CX330-110</f>
        <v>374.55208333333331</v>
      </c>
      <c r="AN330" s="712">
        <f>Sheet1!CW330-265</f>
        <v>280.34375</v>
      </c>
      <c r="AO330" s="712">
        <f t="shared" si="835"/>
        <v>27.430000000000007</v>
      </c>
      <c r="AP330" s="851">
        <v>0</v>
      </c>
      <c r="AQ330" s="851">
        <f t="shared" si="856"/>
        <v>0</v>
      </c>
      <c r="AR330" s="712">
        <f t="shared" si="857"/>
        <v>0</v>
      </c>
      <c r="AS330" s="712"/>
      <c r="AT330" s="712">
        <f ca="1">IF(B330&gt;Summary!$A$1,#N/A,AR330*MGtoAF)</f>
        <v>0</v>
      </c>
      <c r="AU330" s="712">
        <f>Sheet1!BG330+Sheet1!BH330+Sheet1!BI330-BC330</f>
        <v>0</v>
      </c>
      <c r="AV330" s="712">
        <f t="shared" si="858"/>
        <v>0</v>
      </c>
      <c r="AW330" s="712">
        <f>IF(Sheet1!EL330="FM",BC330,0)</f>
        <v>0</v>
      </c>
      <c r="AX330" s="712">
        <f t="shared" si="859"/>
        <v>0</v>
      </c>
      <c r="AY330" s="712">
        <f>IF(Sheet1!EL330="OTHER",BC330,0)</f>
        <v>0</v>
      </c>
      <c r="AZ330" s="712">
        <f t="shared" si="860"/>
        <v>0</v>
      </c>
      <c r="BA330" s="712">
        <f t="shared" si="861"/>
        <v>0</v>
      </c>
      <c r="BB330" s="712">
        <f t="shared" si="862"/>
        <v>0</v>
      </c>
      <c r="BC330" s="712">
        <f>IF(OR(Sheet1!EL330="FM", Sheet1!EL330="OTHER"),SUM(Sheet1!BG330:'Sheet1'!BI330),0)</f>
        <v>0</v>
      </c>
      <c r="BD330" s="697">
        <f>IF(AND($B330&gt;=$FL330,$B330&lt;=$FM330),MAX(AV330,Sheet1!EE330,0),MAX(AV330-(7/36)*$K330,0))</f>
        <v>0</v>
      </c>
      <c r="BE330" s="712">
        <f t="shared" si="863"/>
        <v>0</v>
      </c>
      <c r="BF330" s="697">
        <f t="shared" si="864"/>
        <v>0</v>
      </c>
      <c r="BG330" s="697">
        <f>IF(AND($O330&gt;0,Sheet1!EI330=1),(1-($O330-Sheet1!$L330)/$O330)*BB330,0)</f>
        <v>0</v>
      </c>
      <c r="BH330" s="697">
        <f>IF(AND(Sheet1!$L330=0,Sheet1!$L329=0, Calculation!BA330&lt;Sheet1!$EE330-0.1,Sheet1!$EE330=Sheet1!$EE329,Sheet1!$EE330=Sheet1!$EE331),Sheet1!$EE330,BB330-BG330)</f>
        <v>0</v>
      </c>
      <c r="BI330" s="712"/>
      <c r="BJ330" s="712"/>
      <c r="BK330" s="712">
        <f t="shared" si="865"/>
        <v>0</v>
      </c>
      <c r="BL330" s="712"/>
      <c r="BM330" s="712">
        <f ca="1">IF(B330&gt;Summary!$A$1,#N/A,BK330*MGtoAF)</f>
        <v>0</v>
      </c>
      <c r="BN330" s="712">
        <f>Sheet1!BC330+Sheet1!BD330+Sheet1!BE330+Sheet1!BF330-BW330-BX330</f>
        <v>0</v>
      </c>
      <c r="BO330" s="712">
        <f t="shared" si="866"/>
        <v>0</v>
      </c>
      <c r="BP330" s="712">
        <f>IF(Sheet1!EM330="FM",BX330,0)</f>
        <v>0</v>
      </c>
      <c r="BQ330" s="712">
        <f t="shared" si="867"/>
        <v>0</v>
      </c>
      <c r="BR330" s="712">
        <f>IF(Sheet1!EM330="OTHER",BX330,0)</f>
        <v>0</v>
      </c>
      <c r="BS330" s="712">
        <f t="shared" si="868"/>
        <v>0</v>
      </c>
      <c r="BT330" s="712">
        <f t="shared" si="869"/>
        <v>0</v>
      </c>
      <c r="BU330" s="712">
        <f t="shared" si="870"/>
        <v>0</v>
      </c>
      <c r="BV330" s="712">
        <f t="shared" si="871"/>
        <v>0</v>
      </c>
      <c r="BW330" s="712">
        <f>IF(Sheet1!EM330="CWA",SUM(Sheet1!BC330:'Sheet1'!BF330),0)</f>
        <v>0</v>
      </c>
      <c r="BX330" s="712">
        <f>IF(OR(Sheet1!EM330="FM", Sheet1!EM330="OTHER"),SUM(Sheet1!BC330:'Sheet1'!BF330),0)</f>
        <v>0</v>
      </c>
      <c r="BY330" s="697">
        <f>IF(AND($B330&gt;=$FL330,$B330&lt;=$FM330),MAX(BV330,Sheet1!EF330,0),MAX(BV330-(7/36)*$K330,0))</f>
        <v>0</v>
      </c>
      <c r="BZ330" s="712">
        <f t="shared" si="872"/>
        <v>0</v>
      </c>
      <c r="CA330" s="697">
        <f t="shared" si="873"/>
        <v>0</v>
      </c>
      <c r="CB330" s="697">
        <f>IF(AND($O330&gt;0,Sheet1!EJ330=1),(1-($O330-Sheet1!$L330)/$O330)*BV330,0)</f>
        <v>0</v>
      </c>
      <c r="CC330" s="697">
        <f>IF(AND(Sheet1!$L330=0,Sheet1!$L329=0, Calculation!BU330&lt;Sheet1!EF330-0.1,Sheet1!EF330=Sheet1!EF329,Sheet1!EF330=Sheet1!EF331),Sheet1!EF330,BV330-CB330)</f>
        <v>0</v>
      </c>
      <c r="CD330" s="697"/>
      <c r="CE330" s="712"/>
      <c r="CF330" s="712">
        <f t="shared" si="874"/>
        <v>0</v>
      </c>
      <c r="CG330" s="712"/>
      <c r="CH330" s="712">
        <f ca="1">IF(B330&gt;Summary!$A$1,#N/A,CF330*MGtoAF)</f>
        <v>0</v>
      </c>
      <c r="CI330" s="712">
        <f>Sheet1!BK330+Sheet1!BL330+Sheet1!BM330-Sheet1!EN330-CQ330</f>
        <v>0</v>
      </c>
      <c r="CJ330" s="712">
        <f t="shared" si="875"/>
        <v>0</v>
      </c>
      <c r="CK330" s="712">
        <f>IF(Sheet1!EN330="FM",CQ330,0)</f>
        <v>0</v>
      </c>
      <c r="CL330" s="712">
        <f t="shared" si="876"/>
        <v>0</v>
      </c>
      <c r="CM330" s="712">
        <f>IF(Sheet1!EN330="OTHER",CQ330,0)</f>
        <v>0</v>
      </c>
      <c r="CN330" s="712">
        <f t="shared" si="877"/>
        <v>0</v>
      </c>
      <c r="CO330" s="712">
        <f t="shared" si="878"/>
        <v>0</v>
      </c>
      <c r="CP330" s="712">
        <f t="shared" si="879"/>
        <v>0</v>
      </c>
      <c r="CQ330" s="712">
        <f>IF(OR(Sheet1!EN330="FM", Sheet1!EN330="OTHER"),SUM(Sheet1!BK330:'Sheet1'!BM330),0)</f>
        <v>0</v>
      </c>
      <c r="CR330" s="697">
        <f>IF(AND($B330&gt;=$FL330,$B330&lt;=$FM330),MAX($CJ330,Sheet1!EG330,0),MAX($CJ330-(7/36)*$K330,0))</f>
        <v>0</v>
      </c>
      <c r="CS330" s="712">
        <f t="shared" si="880"/>
        <v>0</v>
      </c>
      <c r="CT330" s="697">
        <f t="shared" si="881"/>
        <v>0</v>
      </c>
      <c r="CU330" s="697">
        <f>IF(AND($O330&gt;0,Sheet1!EK330=1),(1-($O330-Sheet1!$L330)/$O330)*CP330,0)</f>
        <v>0</v>
      </c>
      <c r="CV330" s="697">
        <f>IF(AND(Sheet1!$L330=0,Sheet1!$L329=0, Calculation!CO330&lt;Sheet1!$EG330-0.1,Sheet1!$EG330=Sheet1!$EG329,Sheet1!$EG330=Sheet1!$EG331),Sheet1!$EG330,CP330-CU330)</f>
        <v>0</v>
      </c>
      <c r="CW330" s="697"/>
      <c r="CX330" s="712">
        <f t="shared" si="882"/>
        <v>0</v>
      </c>
      <c r="CY330" s="712">
        <f t="shared" si="883"/>
        <v>0</v>
      </c>
      <c r="CZ330" s="712">
        <f t="shared" si="884"/>
        <v>0</v>
      </c>
      <c r="DA330" s="712">
        <f ca="1">IF(B330&gt;Summary!$A$1,#N/A,CY330*MGtoAF)</f>
        <v>0</v>
      </c>
      <c r="DB330" s="712">
        <f t="shared" si="885"/>
        <v>0</v>
      </c>
      <c r="DC330" s="712">
        <f t="shared" si="886"/>
        <v>18.899999999999999</v>
      </c>
      <c r="DD330" s="712">
        <f>Sheet1!AB330-DC330</f>
        <v>0.17999999999999972</v>
      </c>
      <c r="DE330" s="712">
        <f t="shared" si="887"/>
        <v>9.5238095238095091E-3</v>
      </c>
      <c r="DF330" s="712">
        <f>(VLOOKUP(Sheet1!CY330,hhdcap_wcm,4)-(((VLOOKUP(Sheet1!CY330,hhdcap_wcm,3)-Sheet1!CY330)/(VLOOKUP(Sheet1!CY330,hhdcap_wcm,3)-VLOOKUP(Sheet1!CY330,hhdcap_wcm,1)))*(VLOOKUP(Sheet1!CY330,hhdcap_wcm,4)-VLOOKUP(Sheet1!CY330,hhdcap_wcm,2))))</f>
        <v>1942.6600000028077</v>
      </c>
      <c r="DG330" s="712">
        <f t="shared" si="888"/>
        <v>-31.500000000028649</v>
      </c>
      <c r="DH330" s="712">
        <f t="shared" si="889"/>
        <v>-15.885022692904007</v>
      </c>
      <c r="DI330" s="712">
        <f>Sheet1!DW330*AFtoMG</f>
        <v>0</v>
      </c>
      <c r="DJ330" s="712">
        <f>Sheet1!DX330*AFtoMG</f>
        <v>0</v>
      </c>
      <c r="DK330" s="712">
        <f>Sheet1!DY330*AFtoMG</f>
        <v>0</v>
      </c>
      <c r="DL330" s="712">
        <f>Sheet1!DZ330*AFtoMG</f>
        <v>0</v>
      </c>
      <c r="DM330" s="712">
        <f t="shared" si="890"/>
        <v>0</v>
      </c>
      <c r="DN330" s="712">
        <f t="shared" si="891"/>
        <v>0</v>
      </c>
      <c r="DO330" s="712">
        <f t="shared" si="892"/>
        <v>0</v>
      </c>
      <c r="DP330" s="712">
        <f t="shared" si="893"/>
        <v>0</v>
      </c>
      <c r="DQ330" s="712"/>
      <c r="DR330" s="697">
        <f>IF(OR(B330&lt;FL330,B330&gt;FM330),(MIN(AV330+BO330+CJ330+MAX(Sheet1!AA330+AG330-73,0),K330)),0)</f>
        <v>0</v>
      </c>
      <c r="DS330" s="712"/>
      <c r="DT330" s="712">
        <f t="shared" si="894"/>
        <v>0</v>
      </c>
      <c r="DU330" s="712"/>
      <c r="DV330" s="712">
        <f>Sheet1!ED330+Sheet1!EE330+Sheet1!EF330+Sheet1!EG330</f>
        <v>8.5</v>
      </c>
      <c r="DW330" s="712"/>
      <c r="DX330" s="697">
        <f t="shared" si="895"/>
        <v>0</v>
      </c>
      <c r="DY330" s="712">
        <f>IF(Sheet1!FN330=1,SUM('Calculations II'!AT330:BA330)+'Calculations II'!BC330+Sheet1!BU330+'Calculations II'!BE330+AF330,SUM('Calculations II'!AT330:BA330)+'Calculations II'!BC330+Sheet1!BU330+'Calculations II'!BE330+AF330)</f>
        <v>42.749535999999999</v>
      </c>
      <c r="DZ330" s="712">
        <f>Sheet1!AA330+Sheet1!AB330+'Calculations II'!BC330</f>
        <v>45.569999999999993</v>
      </c>
      <c r="EA330" s="712"/>
      <c r="EB330" s="712"/>
      <c r="EC330" s="712">
        <f t="shared" si="896"/>
        <v>40859</v>
      </c>
      <c r="ED330" s="712">
        <f t="shared" si="897"/>
        <v>0</v>
      </c>
      <c r="EE330" s="712">
        <f t="shared" si="898"/>
        <v>0</v>
      </c>
      <c r="EF330" s="712">
        <f ca="1">IF(B330=TODAY(),0,-(VLOOKUP(Sheet1!BQ330,Lookup!$B$4:$J$236,2)-VLOOKUP(Sheet1!BQ329,Lookup!$B$4:$J$236,2))/1000000)</f>
        <v>0.27379999999999999</v>
      </c>
      <c r="EG330" s="712">
        <f ca="1">IF(B330=TODAY(),0,-(VLOOKUP(Sheet1!BR330,Lookup!$B$4:$J$236,3)-VLOOKUP(Sheet1!BR329,Lookup!$B$4:$J$236,3))/1000000)</f>
        <v>0.27339999999999998</v>
      </c>
      <c r="EH330" s="712">
        <f>-(VLOOKUP(Sheet1!BS330,Lookup!$B$4:$J$236,4)-VLOOKUP(Sheet1!BS329,Lookup!$B$4:$J$236,4))/1000000</f>
        <v>0</v>
      </c>
      <c r="EI330" s="697">
        <f t="shared" ca="1" si="922"/>
        <v>0.54719999999999991</v>
      </c>
      <c r="EJ330" s="712"/>
      <c r="EK330" s="712"/>
      <c r="EL330" s="712"/>
      <c r="EM330" s="712"/>
      <c r="EN330" s="712"/>
      <c r="EO330" s="712"/>
      <c r="EP330" s="712"/>
      <c r="EQ330" s="712"/>
      <c r="ER330" s="712"/>
      <c r="ES330" s="712"/>
      <c r="ET330" s="794">
        <f t="shared" si="919"/>
        <v>1097</v>
      </c>
      <c r="EU330" s="794" t="e">
        <f t="shared" si="924"/>
        <v>#N/A</v>
      </c>
      <c r="EV330" s="795" t="e">
        <f t="shared" si="925"/>
        <v>#N/A</v>
      </c>
      <c r="EW330" s="796" t="s">
        <v>757</v>
      </c>
      <c r="EX330" s="796" t="s">
        <v>757</v>
      </c>
      <c r="EY330" s="794" t="e">
        <v>#N/A</v>
      </c>
      <c r="EZ330" s="798">
        <v>5345.0000000092841</v>
      </c>
      <c r="FA330" s="712"/>
      <c r="FB330" s="712"/>
      <c r="FC330" s="712"/>
      <c r="FD330" s="712"/>
      <c r="FE330" s="712">
        <f>O330+Sheet1!CO330</f>
        <v>45.569999999999993</v>
      </c>
      <c r="FF330" s="712">
        <f>IF(Sheet1!AA330+AG330&lt;=Calculation!N330,AG330,Calculation!N330-Sheet1!AA330)</f>
        <v>19.079999999999998</v>
      </c>
      <c r="FG330" s="712">
        <f>(Sheet1!BP330+Sheet1!BO330)/694.4</f>
        <v>2.3555587557603688</v>
      </c>
      <c r="FH330" s="712"/>
      <c r="FI330" s="712"/>
      <c r="FJ330" s="712"/>
      <c r="FK330" s="712"/>
      <c r="FL330" s="714">
        <f t="shared" ref="FL330:FL385" si="929">$FL$8</f>
        <v>40753</v>
      </c>
      <c r="FM330" s="714">
        <f t="shared" ref="FM330:FM385" si="930">$FM$8</f>
        <v>40851</v>
      </c>
      <c r="FN330" s="712"/>
      <c r="FO330" s="712"/>
      <c r="FP330" s="712"/>
      <c r="FQ330" s="712"/>
      <c r="FR330" s="712"/>
      <c r="FS330" s="725">
        <f t="shared" ref="FS330:FX345" si="931">FS329</f>
        <v>40603</v>
      </c>
      <c r="FT330" s="714">
        <f t="shared" ref="FT330:FT385" si="932">$FT$8</f>
        <v>40709</v>
      </c>
      <c r="FU330" s="712">
        <f t="shared" si="931"/>
        <v>6518.9048239895692</v>
      </c>
      <c r="FV330" s="714">
        <f t="shared" ref="FV330:FV385" si="933">$FV$8</f>
        <v>40722</v>
      </c>
      <c r="FW330" s="712">
        <f t="shared" si="931"/>
        <v>3259.4524119947846</v>
      </c>
      <c r="FX330" s="725">
        <f t="shared" si="931"/>
        <v>40851</v>
      </c>
      <c r="FZ330" s="697">
        <f t="shared" si="926"/>
        <v>0</v>
      </c>
      <c r="GA330" s="712" t="str">
        <f t="shared" si="899"/>
        <v/>
      </c>
      <c r="GB330" s="712">
        <f t="shared" si="900"/>
        <v>0</v>
      </c>
      <c r="GC330" s="712" t="str">
        <f t="shared" si="901"/>
        <v/>
      </c>
      <c r="GD330" s="712">
        <f>IF(GA330="P",Lookup!$M$12,IF(GA330="PP",Lookup!$M$13,IF(GA330="PPP",Lookup!$M$14,IF(GA330="T",Lookup!$M$15,IF(GA330="TP",Lookup!$M$16,IF(GA330="TPP",Lookup!$M$17,IF(GA330="TPPP",Lookup!$M$18,0)))))))*FZ330</f>
        <v>0</v>
      </c>
      <c r="GE330" s="712">
        <f t="shared" si="902"/>
        <v>0</v>
      </c>
      <c r="GF330" s="712">
        <f t="shared" si="903"/>
        <v>0</v>
      </c>
      <c r="GG330" s="712">
        <f t="shared" si="904"/>
        <v>0</v>
      </c>
      <c r="GH330" s="712"/>
      <c r="GI330" s="712">
        <f t="shared" si="905"/>
        <v>0</v>
      </c>
      <c r="GJ330" s="712" t="str">
        <f t="shared" si="906"/>
        <v/>
      </c>
      <c r="GK330" s="712">
        <f>IF(GA330="P",Lookup!$N$12,IF(GA330="PP",Lookup!$N$13,IF(GA330="PPP",Lookup!$N$14,IF(GA330="T",Lookup!$N$15,IF(GA330="TP",Lookup!$N$16,IF(GA330="TPP",Lookup!$N$17,IF(GA330="TPPP",Lookup!$N$18,0)))))))*FZ330</f>
        <v>0</v>
      </c>
      <c r="GL330" s="712">
        <f t="shared" si="907"/>
        <v>0</v>
      </c>
      <c r="GM330" s="712">
        <f t="shared" si="908"/>
        <v>0</v>
      </c>
      <c r="GN330" s="712">
        <f t="shared" si="909"/>
        <v>0</v>
      </c>
      <c r="GO330" s="712"/>
      <c r="GP330" s="712">
        <f t="shared" si="910"/>
        <v>0</v>
      </c>
      <c r="GQ330" s="712" t="str">
        <f t="shared" si="911"/>
        <v/>
      </c>
      <c r="GR330" s="712">
        <f>IF(GA330="P",Lookup!$N$12,IF(GA330="PP",Lookup!$N$13,IF(GA330="PPP",Lookup!$N$14,IF(GA330="T",Lookup!$N$15,IF(GA330="TP",Lookup!$N$16,IF(GA330="TPP",Lookup!$N$17,IF(GA330="TPPP",Lookup!$N$18,0)))))))*FZ330</f>
        <v>0</v>
      </c>
      <c r="GS330" s="697">
        <f t="shared" si="927"/>
        <v>0</v>
      </c>
      <c r="GT330" s="712">
        <f t="shared" si="912"/>
        <v>0</v>
      </c>
      <c r="GU330" s="712">
        <f t="shared" si="913"/>
        <v>0</v>
      </c>
      <c r="GV330" s="712"/>
      <c r="GW330" s="712">
        <f t="shared" si="914"/>
        <v>0</v>
      </c>
      <c r="GX330" s="712" t="str">
        <f t="shared" si="915"/>
        <v/>
      </c>
      <c r="GY330" s="712">
        <f>IF(GA330="P",Lookup!$N$12,IF(GA330="PP",Lookup!$N$13,IF(GA330="PPP",Lookup!$N$14,IF(GA330="T",Lookup!$N$15,IF(GA330="TP",Lookup!$N$16,IF(GA330="TPP",Lookup!$N$17,IF(GA330="TPPP",Lookup!$N$18,0)))))))*FZ330</f>
        <v>0</v>
      </c>
      <c r="GZ330" s="697">
        <f t="shared" si="928"/>
        <v>0</v>
      </c>
      <c r="HA330" s="712">
        <f t="shared" si="916"/>
        <v>0</v>
      </c>
      <c r="HB330" s="712">
        <f t="shared" si="917"/>
        <v>0</v>
      </c>
      <c r="HC330" s="712"/>
    </row>
    <row r="331" spans="1:211">
      <c r="A331" s="773" t="s">
        <v>3</v>
      </c>
      <c r="B331" s="708">
        <v>40860</v>
      </c>
      <c r="C331" s="719">
        <v>0.5</v>
      </c>
      <c r="D331" s="675">
        <f t="shared" si="840"/>
        <v>300</v>
      </c>
      <c r="E331" s="675">
        <f t="shared" si="841"/>
        <v>250</v>
      </c>
      <c r="F331" s="675">
        <v>250</v>
      </c>
      <c r="G331" s="712">
        <f>DH331+Sheet1!CV331</f>
        <v>823.72138174525162</v>
      </c>
      <c r="H331" s="712">
        <f t="shared" si="842"/>
        <v>265.49030116013063</v>
      </c>
      <c r="I331" s="711">
        <f>MAX(Sheet1!Z331-AJ331+(Sheet1!CW331-E331)*CFStoMGD,0)</f>
        <v>358.4081333333333</v>
      </c>
      <c r="J331" s="720">
        <f>IF(AND(B331&gt;=Calculation!FS331,B331&lt;=Calculation!FT331),IF(Sheet1!CX331&gt;=Calculation!D331,64.64,0),MAX(Sheet1!Z331-AJ331+(Sheet1!CX331-D331)*CFStoMGD,0))</f>
        <v>218.89346666666668</v>
      </c>
      <c r="K331" s="697">
        <f t="shared" si="843"/>
        <v>64.64</v>
      </c>
      <c r="L331" s="712">
        <f>Sheet1!AA331+Sheet1!AB331-Sheet1!L331+(Sheet1!CW331-F331)*CFStoMGD</f>
        <v>362.07813333333331</v>
      </c>
      <c r="M331" s="712">
        <f t="shared" si="844"/>
        <v>543.10257118333323</v>
      </c>
      <c r="N331" s="712">
        <f>IF(Sheet1!CW331&gt;=F331,MIN(73,MIN(MAX(L331,0),MAX(M331,0))),0)</f>
        <v>73</v>
      </c>
      <c r="O331" s="721">
        <f>Sheet1!AA331+Sheet1!AB331</f>
        <v>45.440000000001163</v>
      </c>
      <c r="P331" s="721">
        <f t="shared" si="845"/>
        <v>70.295680000001795</v>
      </c>
      <c r="Q331" s="712">
        <f>MIN(N331,Sheet1!AA331+AG331)</f>
        <v>45.440000000001163</v>
      </c>
      <c r="R331" s="712">
        <f t="shared" si="846"/>
        <v>0</v>
      </c>
      <c r="S331" s="721">
        <f>Sheet1!Y331*MGDtoCFS</f>
        <v>40.825330000000001</v>
      </c>
      <c r="T331" s="721">
        <f>Sheet1!Z331*MGDtoCFS</f>
        <v>29.68693</v>
      </c>
      <c r="U331" s="721">
        <f>Sheet1!AA331*MGDtoCFS</f>
        <v>41.722590000001802</v>
      </c>
      <c r="V331" s="721">
        <f>Sheet1!AB331*MGDtoCFS</f>
        <v>28.573089999999997</v>
      </c>
      <c r="W331" s="721">
        <f>Sheet1!L331*MGDtoCFS</f>
        <v>63.504350000001686</v>
      </c>
      <c r="X331" s="697">
        <f t="shared" si="847"/>
        <v>0</v>
      </c>
      <c r="Y331" s="712">
        <f t="shared" si="848"/>
        <v>0</v>
      </c>
      <c r="Z331" s="712">
        <f t="shared" si="849"/>
        <v>0</v>
      </c>
      <c r="AA331" s="712">
        <f t="shared" si="850"/>
        <v>0</v>
      </c>
      <c r="AB331" s="712">
        <f>(VLOOKUP(Sheet1!CY331,hhdcap_wcm,4)-(((VLOOKUP(Sheet1!CY331,hhdcap_wcm,3)-Sheet1!CY331)/(VLOOKUP(Sheet1!CY331,hhdcap_wcm,3)-VLOOKUP(Sheet1!CY331,hhdcap_wcm,1)))*(VLOOKUP(Sheet1!CY331,hhdcap_wcm,4)-VLOOKUP(Sheet1!CY331,hhdcap_wcm,2))))</f>
        <v>2426.2900000036416</v>
      </c>
      <c r="AC331" s="712">
        <f t="shared" si="851"/>
        <v>483.63000000083389</v>
      </c>
      <c r="AD331" s="712">
        <f t="shared" si="852"/>
        <v>0</v>
      </c>
      <c r="AE331" s="712">
        <f t="shared" si="853"/>
        <v>0</v>
      </c>
      <c r="AF331" s="712">
        <f>Sheet1!BA331+Sheet1!BB331+Sheet1!BN331+BT331</f>
        <v>18.3</v>
      </c>
      <c r="AG331" s="712">
        <f t="shared" si="854"/>
        <v>18.47</v>
      </c>
      <c r="AH331" s="712">
        <f>Sheet1!BA331+BT331</f>
        <v>0</v>
      </c>
      <c r="AI331" s="712">
        <f>Sheet1!BA331+Sheet1!BB331+BT331</f>
        <v>0</v>
      </c>
      <c r="AJ331" s="712">
        <f>IF((Sheet1!AA331+AG331+AX331+AZ331+BQ331+BS331+CL331+CN331)&lt;=N331,AG331+AX331+AZ331+BQ331+BS331+CL331+CN331,N331-Sheet1!AA331)</f>
        <v>18.47</v>
      </c>
      <c r="AK331" s="712">
        <f>IF(DR331&lt;K331,0,MAX(Sheet1!AA331+AG331-15/36*K331-N331,Sheet1!ED331,0))</f>
        <v>0</v>
      </c>
      <c r="AL331" s="712">
        <f>IF(OR(B331&gt;=FT331,B331&lt;FS331),0,15/36*K331-MAX(0,64.6-(137.6-(Sheet1!AA331+Sheet1!AB331))))</f>
        <v>0</v>
      </c>
      <c r="AM331" s="712">
        <f>Sheet1!CX331-110</f>
        <v>527.52083333333337</v>
      </c>
      <c r="AN331" s="712">
        <f>Sheet1!CW331-265</f>
        <v>538.35416666666663</v>
      </c>
      <c r="AO331" s="712">
        <f t="shared" si="835"/>
        <v>27.559999999998837</v>
      </c>
      <c r="AP331" s="712">
        <f t="shared" si="855"/>
        <v>0</v>
      </c>
      <c r="AQ331" s="712">
        <f t="shared" si="856"/>
        <v>0</v>
      </c>
      <c r="AR331" s="712">
        <f t="shared" si="857"/>
        <v>0</v>
      </c>
      <c r="AS331" s="712"/>
      <c r="AT331" s="712">
        <f ca="1">IF(B331&gt;Summary!$A$1,#N/A,AR331*MGtoAF)</f>
        <v>0</v>
      </c>
      <c r="AU331" s="712">
        <f>Sheet1!BG331+Sheet1!BH331+Sheet1!BI331-BC331</f>
        <v>0</v>
      </c>
      <c r="AV331" s="712">
        <f t="shared" si="858"/>
        <v>0</v>
      </c>
      <c r="AW331" s="712">
        <f>IF(Sheet1!EL331="FM",BC331,0)</f>
        <v>0</v>
      </c>
      <c r="AX331" s="712">
        <f t="shared" si="859"/>
        <v>0</v>
      </c>
      <c r="AY331" s="712">
        <f>IF(Sheet1!EL331="OTHER",BC331,0)</f>
        <v>0</v>
      </c>
      <c r="AZ331" s="712">
        <f t="shared" si="860"/>
        <v>0</v>
      </c>
      <c r="BA331" s="712">
        <f t="shared" si="861"/>
        <v>0</v>
      </c>
      <c r="BB331" s="712">
        <f t="shared" si="862"/>
        <v>0</v>
      </c>
      <c r="BC331" s="712">
        <f>IF(OR(Sheet1!EL331="FM", Sheet1!EL331="OTHER"),SUM(Sheet1!BG331:'Sheet1'!BI331),0)</f>
        <v>0</v>
      </c>
      <c r="BD331" s="697">
        <f>IF(AND($B331&gt;=$FL331,$B331&lt;=$FM331),MAX(AV331,Sheet1!EE331,0),MAX(AV331-(7/36)*$K331,0))</f>
        <v>0</v>
      </c>
      <c r="BE331" s="712">
        <f t="shared" si="863"/>
        <v>0</v>
      </c>
      <c r="BF331" s="697">
        <f t="shared" si="864"/>
        <v>0</v>
      </c>
      <c r="BG331" s="697">
        <f>IF(AND($O331&gt;0,Sheet1!EI331=1),(1-($O331-Sheet1!$L331)/$O331)*BB331,0)</f>
        <v>0</v>
      </c>
      <c r="BH331" s="697">
        <f>IF(AND(Sheet1!$L331=0,Sheet1!$L330=0, Calculation!BA331&lt;Sheet1!$EE331-0.1,Sheet1!$EE331=Sheet1!$EE330,Sheet1!$EE331=Sheet1!$EE332),Sheet1!$EE331,BB331-BG331)</f>
        <v>0</v>
      </c>
      <c r="BI331" s="712"/>
      <c r="BJ331" s="712"/>
      <c r="BK331" s="712">
        <f t="shared" si="865"/>
        <v>0</v>
      </c>
      <c r="BL331" s="712"/>
      <c r="BM331" s="712">
        <f ca="1">IF(B331&gt;Summary!$A$1,#N/A,BK331*MGtoAF)</f>
        <v>0</v>
      </c>
      <c r="BN331" s="712">
        <f>Sheet1!BC331+Sheet1!BD331+Sheet1!BE331+Sheet1!BF331-BW331-BX331</f>
        <v>0</v>
      </c>
      <c r="BO331" s="712">
        <f t="shared" si="866"/>
        <v>0</v>
      </c>
      <c r="BP331" s="712">
        <f>IF(Sheet1!EM331="FM",BX331,0)</f>
        <v>0</v>
      </c>
      <c r="BQ331" s="712">
        <f t="shared" si="867"/>
        <v>0</v>
      </c>
      <c r="BR331" s="712">
        <f>IF(Sheet1!EM331="OTHER",BX331,0)</f>
        <v>0</v>
      </c>
      <c r="BS331" s="712">
        <f t="shared" si="868"/>
        <v>0</v>
      </c>
      <c r="BT331" s="712">
        <f t="shared" si="869"/>
        <v>0</v>
      </c>
      <c r="BU331" s="712">
        <f t="shared" si="870"/>
        <v>0</v>
      </c>
      <c r="BV331" s="712">
        <f t="shared" si="871"/>
        <v>0</v>
      </c>
      <c r="BW331" s="712">
        <f>IF(Sheet1!EM331="CWA",SUM(Sheet1!BC331:'Sheet1'!BF331),0)</f>
        <v>0</v>
      </c>
      <c r="BX331" s="712">
        <f>IF(OR(Sheet1!EM331="FM", Sheet1!EM331="OTHER"),SUM(Sheet1!BC331:'Sheet1'!BF331),0)</f>
        <v>0</v>
      </c>
      <c r="BY331" s="697">
        <f>IF(AND($B331&gt;=$FL331,$B331&lt;=$FM331),MAX(BV331,Sheet1!EF331,0),MAX(BV331-(7/36)*$K331,0))</f>
        <v>0</v>
      </c>
      <c r="BZ331" s="712">
        <f t="shared" si="872"/>
        <v>0</v>
      </c>
      <c r="CA331" s="697">
        <f t="shared" si="873"/>
        <v>0</v>
      </c>
      <c r="CB331" s="697">
        <f>IF(AND($O331&gt;0,Sheet1!EJ331=1),(1-($O331-Sheet1!$L331)/$O331)*BV331,0)</f>
        <v>0</v>
      </c>
      <c r="CC331" s="697">
        <f>IF(AND(Sheet1!$L331=0,Sheet1!$L330=0, Calculation!BU331&lt;Sheet1!EF331-0.1,Sheet1!EF331=Sheet1!EF330,Sheet1!EF331=Sheet1!EF332),Sheet1!EF331,BV331-CB331)</f>
        <v>0</v>
      </c>
      <c r="CD331" s="697"/>
      <c r="CE331" s="712"/>
      <c r="CF331" s="712">
        <f t="shared" si="874"/>
        <v>0</v>
      </c>
      <c r="CG331" s="712"/>
      <c r="CH331" s="712">
        <f ca="1">IF(B331&gt;Summary!$A$1,#N/A,CF331*MGtoAF)</f>
        <v>0</v>
      </c>
      <c r="CI331" s="712">
        <f>Sheet1!BK331+Sheet1!BL331+Sheet1!BM331-Sheet1!EN331-CQ331</f>
        <v>0</v>
      </c>
      <c r="CJ331" s="712">
        <f t="shared" si="875"/>
        <v>0</v>
      </c>
      <c r="CK331" s="712">
        <f>IF(Sheet1!EN331="FM",CQ331,0)</f>
        <v>0</v>
      </c>
      <c r="CL331" s="712">
        <f t="shared" si="876"/>
        <v>0</v>
      </c>
      <c r="CM331" s="712">
        <f>IF(Sheet1!EN331="OTHER",CQ331,0)</f>
        <v>0</v>
      </c>
      <c r="CN331" s="712">
        <f t="shared" si="877"/>
        <v>0</v>
      </c>
      <c r="CO331" s="712">
        <f t="shared" si="878"/>
        <v>0</v>
      </c>
      <c r="CP331" s="712">
        <f t="shared" si="879"/>
        <v>0</v>
      </c>
      <c r="CQ331" s="712">
        <f>IF(OR(Sheet1!EN331="FM", Sheet1!EN331="OTHER"),SUM(Sheet1!BK331:'Sheet1'!BM331),0)</f>
        <v>0</v>
      </c>
      <c r="CR331" s="697">
        <f>IF(AND($B331&gt;=$FL331,$B331&lt;=$FM331),MAX($CJ331,Sheet1!EG331,0),MAX($CJ331-(7/36)*$K331,0))</f>
        <v>0</v>
      </c>
      <c r="CS331" s="712">
        <f t="shared" si="880"/>
        <v>0</v>
      </c>
      <c r="CT331" s="697">
        <f t="shared" si="881"/>
        <v>0</v>
      </c>
      <c r="CU331" s="697">
        <f>IF(AND($O331&gt;0,Sheet1!EK331=1),(1-($O331-Sheet1!$L331)/$O331)*CP331,0)</f>
        <v>0</v>
      </c>
      <c r="CV331" s="697">
        <f>IF(AND(Sheet1!$L331=0,Sheet1!$L330=0, Calculation!CO331&lt;Sheet1!$EG331-0.1,Sheet1!$EG331=Sheet1!$EG330,Sheet1!$EG331=Sheet1!$EG332),Sheet1!$EG331,CP331-CU331)</f>
        <v>0</v>
      </c>
      <c r="CW331" s="697"/>
      <c r="CX331" s="712">
        <f t="shared" si="882"/>
        <v>0</v>
      </c>
      <c r="CY331" s="712">
        <f t="shared" si="883"/>
        <v>0</v>
      </c>
      <c r="CZ331" s="712">
        <f t="shared" si="884"/>
        <v>0</v>
      </c>
      <c r="DA331" s="712">
        <f ca="1">IF(B331&gt;Summary!$A$1,#N/A,CY331*MGtoAF)</f>
        <v>0</v>
      </c>
      <c r="DB331" s="712">
        <f t="shared" si="885"/>
        <v>0</v>
      </c>
      <c r="DC331" s="712">
        <f t="shared" si="886"/>
        <v>18.3</v>
      </c>
      <c r="DD331" s="712">
        <f>Sheet1!AB331-DC331</f>
        <v>0.16999999999999815</v>
      </c>
      <c r="DE331" s="712">
        <f t="shared" si="887"/>
        <v>9.2896174863386968E-3</v>
      </c>
      <c r="DF331" s="712">
        <f>(VLOOKUP(Sheet1!CY331,hhdcap_wcm,4)-(((VLOOKUP(Sheet1!CY331,hhdcap_wcm,3)-Sheet1!CY331)/(VLOOKUP(Sheet1!CY331,hhdcap_wcm,3)-VLOOKUP(Sheet1!CY331,hhdcap_wcm,1)))*(VLOOKUP(Sheet1!CY331,hhdcap_wcm,4)-VLOOKUP(Sheet1!CY331,hhdcap_wcm,2))))</f>
        <v>2426.2900000036416</v>
      </c>
      <c r="DG331" s="712">
        <f t="shared" si="888"/>
        <v>483.63000000083389</v>
      </c>
      <c r="DH331" s="712">
        <f t="shared" si="889"/>
        <v>243.88804841191822</v>
      </c>
      <c r="DI331" s="712">
        <f>Sheet1!DW331*AFtoMG</f>
        <v>0</v>
      </c>
      <c r="DJ331" s="712">
        <f>Sheet1!DX331*AFtoMG</f>
        <v>0</v>
      </c>
      <c r="DK331" s="712">
        <f>Sheet1!DY331*AFtoMG</f>
        <v>0</v>
      </c>
      <c r="DL331" s="712">
        <f>Sheet1!DZ331*AFtoMG</f>
        <v>0</v>
      </c>
      <c r="DM331" s="712">
        <f t="shared" si="890"/>
        <v>0</v>
      </c>
      <c r="DN331" s="712">
        <f t="shared" si="891"/>
        <v>0</v>
      </c>
      <c r="DO331" s="712">
        <f t="shared" si="892"/>
        <v>0</v>
      </c>
      <c r="DP331" s="712">
        <f t="shared" si="893"/>
        <v>0</v>
      </c>
      <c r="DQ331" s="712"/>
      <c r="DR331" s="697">
        <f>IF(OR(B331&lt;FL331,B331&gt;FM331),(MIN(AV331+BO331+CJ331+MAX(Sheet1!AA331+AG331-73,0),K331)),0)</f>
        <v>0</v>
      </c>
      <c r="DS331" s="712"/>
      <c r="DT331" s="712">
        <f t="shared" si="894"/>
        <v>0</v>
      </c>
      <c r="DU331" s="712"/>
      <c r="DV331" s="712">
        <f>Sheet1!ED331+Sheet1!EE331+Sheet1!EF331+Sheet1!EG331</f>
        <v>8.5</v>
      </c>
      <c r="DW331" s="712"/>
      <c r="DX331" s="697">
        <f t="shared" si="895"/>
        <v>0</v>
      </c>
      <c r="DY331" s="712">
        <f>IF(Sheet1!FN331=1,SUM('Calculations II'!AT331:BA331)+'Calculations II'!BC331+Sheet1!BU331+'Calculations II'!BE331+AF331,SUM('Calculations II'!AT331:BA331)+'Calculations II'!BC331+Sheet1!BU331+'Calculations II'!BE331+AF331)</f>
        <v>41.491600000000005</v>
      </c>
      <c r="DZ331" s="712">
        <f>Sheet1!AA331+Sheet1!AB331+'Calculations II'!BC331</f>
        <v>45.440000000001163</v>
      </c>
      <c r="EA331" s="712"/>
      <c r="EB331" s="712"/>
      <c r="EC331" s="712">
        <f t="shared" si="896"/>
        <v>40860</v>
      </c>
      <c r="ED331" s="712">
        <f t="shared" si="897"/>
        <v>0</v>
      </c>
      <c r="EE331" s="712">
        <f t="shared" si="898"/>
        <v>0</v>
      </c>
      <c r="EF331" s="712">
        <f ca="1">IF(B331=TODAY(),0,-(VLOOKUP(Sheet1!BQ331,Lookup!$B$4:$J$236,2)-VLOOKUP(Sheet1!BQ330,Lookup!$B$4:$J$236,2))/1000000)</f>
        <v>-0.27379999999999999</v>
      </c>
      <c r="EG331" s="712">
        <f ca="1">IF(B331=TODAY(),0,-(VLOOKUP(Sheet1!BR331,Lookup!$B$4:$J$236,3)-VLOOKUP(Sheet1!BR330,Lookup!$B$4:$J$236,3))/1000000)</f>
        <v>-0.27339999999999998</v>
      </c>
      <c r="EH331" s="712">
        <f>-(VLOOKUP(Sheet1!BS331,Lookup!$B$4:$J$236,4)-VLOOKUP(Sheet1!BS330,Lookup!$B$4:$J$236,4))/1000000</f>
        <v>0</v>
      </c>
      <c r="EI331" s="697">
        <f t="shared" ca="1" si="922"/>
        <v>-0.54719999999999991</v>
      </c>
      <c r="EJ331" s="712"/>
      <c r="EK331" s="712"/>
      <c r="EL331" s="712"/>
      <c r="EM331" s="712"/>
      <c r="EN331" s="712"/>
      <c r="EO331" s="712"/>
      <c r="EP331" s="712"/>
      <c r="EQ331" s="712"/>
      <c r="ER331" s="712"/>
      <c r="ES331" s="712"/>
      <c r="ET331" s="794">
        <f t="shared" si="919"/>
        <v>1096</v>
      </c>
      <c r="EU331" s="794" t="e">
        <f t="shared" si="924"/>
        <v>#N/A</v>
      </c>
      <c r="EV331" s="795" t="e">
        <f t="shared" si="925"/>
        <v>#N/A</v>
      </c>
      <c r="EW331" s="796" t="s">
        <v>757</v>
      </c>
      <c r="EX331" s="796" t="s">
        <v>757</v>
      </c>
      <c r="EY331" s="794" t="e">
        <v>#N/A</v>
      </c>
      <c r="EZ331" s="798">
        <v>5119.0000000088385</v>
      </c>
      <c r="FA331" s="712"/>
      <c r="FB331" s="712"/>
      <c r="FC331" s="712"/>
      <c r="FD331" s="712"/>
      <c r="FE331" s="712">
        <f>O331+Sheet1!CO331</f>
        <v>45.440000000001163</v>
      </c>
      <c r="FF331" s="712">
        <f>IF(Sheet1!AA331+AG331&lt;=Calculation!N331,AG331,Calculation!N331-Sheet1!AA331)</f>
        <v>18.47</v>
      </c>
      <c r="FG331" s="712">
        <f>(Sheet1!BP331+Sheet1!BO331)/694.4</f>
        <v>1.288594470046083</v>
      </c>
      <c r="FH331" s="712"/>
      <c r="FI331" s="712"/>
      <c r="FJ331" s="712"/>
      <c r="FK331" s="712"/>
      <c r="FL331" s="714">
        <f t="shared" si="929"/>
        <v>40753</v>
      </c>
      <c r="FM331" s="714">
        <f t="shared" si="930"/>
        <v>40851</v>
      </c>
      <c r="FN331" s="712"/>
      <c r="FO331" s="712"/>
      <c r="FP331" s="712"/>
      <c r="FQ331" s="712"/>
      <c r="FR331" s="712"/>
      <c r="FS331" s="725">
        <f t="shared" si="931"/>
        <v>40603</v>
      </c>
      <c r="FT331" s="714">
        <f t="shared" si="932"/>
        <v>40709</v>
      </c>
      <c r="FU331" s="712">
        <f t="shared" si="931"/>
        <v>6518.9048239895692</v>
      </c>
      <c r="FV331" s="714">
        <f t="shared" si="933"/>
        <v>40722</v>
      </c>
      <c r="FW331" s="712">
        <f t="shared" si="931"/>
        <v>3259.4524119947846</v>
      </c>
      <c r="FX331" s="725">
        <f t="shared" si="931"/>
        <v>40851</v>
      </c>
      <c r="FZ331" s="697">
        <f t="shared" si="926"/>
        <v>0</v>
      </c>
      <c r="GA331" s="712" t="str">
        <f t="shared" si="899"/>
        <v/>
      </c>
      <c r="GB331" s="712">
        <f t="shared" si="900"/>
        <v>0</v>
      </c>
      <c r="GC331" s="712" t="str">
        <f t="shared" si="901"/>
        <v/>
      </c>
      <c r="GD331" s="712">
        <f>IF(GA331="P",Lookup!$M$12,IF(GA331="PP",Lookup!$M$13,IF(GA331="PPP",Lookup!$M$14,IF(GA331="T",Lookup!$M$15,IF(GA331="TP",Lookup!$M$16,IF(GA331="TPP",Lookup!$M$17,IF(GA331="TPPP",Lookup!$M$18,0)))))))*FZ331</f>
        <v>0</v>
      </c>
      <c r="GE331" s="712">
        <f t="shared" si="902"/>
        <v>0</v>
      </c>
      <c r="GF331" s="712">
        <f t="shared" si="903"/>
        <v>0</v>
      </c>
      <c r="GG331" s="712">
        <f t="shared" si="904"/>
        <v>0</v>
      </c>
      <c r="GH331" s="712"/>
      <c r="GI331" s="712">
        <f t="shared" si="905"/>
        <v>0</v>
      </c>
      <c r="GJ331" s="712" t="str">
        <f t="shared" si="906"/>
        <v/>
      </c>
      <c r="GK331" s="712">
        <f>IF(GA331="P",Lookup!$N$12,IF(GA331="PP",Lookup!$N$13,IF(GA331="PPP",Lookup!$N$14,IF(GA331="T",Lookup!$N$15,IF(GA331="TP",Lookup!$N$16,IF(GA331="TPP",Lookup!$N$17,IF(GA331="TPPP",Lookup!$N$18,0)))))))*FZ331</f>
        <v>0</v>
      </c>
      <c r="GL331" s="712">
        <f t="shared" si="907"/>
        <v>0</v>
      </c>
      <c r="GM331" s="712">
        <f t="shared" si="908"/>
        <v>0</v>
      </c>
      <c r="GN331" s="712">
        <f t="shared" si="909"/>
        <v>0</v>
      </c>
      <c r="GO331" s="712"/>
      <c r="GP331" s="712">
        <f t="shared" si="910"/>
        <v>0</v>
      </c>
      <c r="GQ331" s="712" t="str">
        <f t="shared" si="911"/>
        <v/>
      </c>
      <c r="GR331" s="712">
        <f>IF(GA331="P",Lookup!$N$12,IF(GA331="PP",Lookup!$N$13,IF(GA331="PPP",Lookup!$N$14,IF(GA331="T",Lookup!$N$15,IF(GA331="TP",Lookup!$N$16,IF(GA331="TPP",Lookup!$N$17,IF(GA331="TPPP",Lookup!$N$18,0)))))))*FZ331</f>
        <v>0</v>
      </c>
      <c r="GS331" s="697">
        <f t="shared" si="927"/>
        <v>0</v>
      </c>
      <c r="GT331" s="712">
        <f t="shared" si="912"/>
        <v>0</v>
      </c>
      <c r="GU331" s="712">
        <f t="shared" si="913"/>
        <v>0</v>
      </c>
      <c r="GV331" s="712"/>
      <c r="GW331" s="712">
        <f t="shared" si="914"/>
        <v>0</v>
      </c>
      <c r="GX331" s="712" t="str">
        <f t="shared" si="915"/>
        <v/>
      </c>
      <c r="GY331" s="712">
        <f>IF(GA331="P",Lookup!$N$12,IF(GA331="PP",Lookup!$N$13,IF(GA331="PPP",Lookup!$N$14,IF(GA331="T",Lookup!$N$15,IF(GA331="TP",Lookup!$N$16,IF(GA331="TPP",Lookup!$N$17,IF(GA331="TPPP",Lookup!$N$18,0)))))))*FZ331</f>
        <v>0</v>
      </c>
      <c r="GZ331" s="697">
        <f t="shared" si="928"/>
        <v>0</v>
      </c>
      <c r="HA331" s="712">
        <f t="shared" si="916"/>
        <v>0</v>
      </c>
      <c r="HB331" s="712">
        <f t="shared" si="917"/>
        <v>0</v>
      </c>
      <c r="HC331" s="712"/>
    </row>
    <row r="332" spans="1:211">
      <c r="A332" s="773" t="s">
        <v>4</v>
      </c>
      <c r="B332" s="708">
        <v>40861</v>
      </c>
      <c r="C332" s="709">
        <v>0.5</v>
      </c>
      <c r="D332" s="675">
        <f t="shared" si="840"/>
        <v>300</v>
      </c>
      <c r="E332" s="675">
        <f t="shared" si="841"/>
        <v>250</v>
      </c>
      <c r="F332" s="675">
        <v>250</v>
      </c>
      <c r="G332" s="712">
        <f>DH332+Sheet1!CV332</f>
        <v>1212.443393848188</v>
      </c>
      <c r="H332" s="712">
        <f t="shared" si="842"/>
        <v>516.76020978346867</v>
      </c>
      <c r="I332" s="711">
        <f>MAX(Sheet1!Z332-AJ332+(Sheet1!CW332-E332)*CFStoMGD,0)</f>
        <v>445.39493333333331</v>
      </c>
      <c r="J332" s="720">
        <f>IF(AND(B332&gt;=Calculation!FS332,B332&lt;=Calculation!FT332),IF(Sheet1!CX332&gt;=Calculation!D332,64.64,0),MAX(Sheet1!Z332-AJ332+(Sheet1!CX332-D332)*CFStoMGD,0))</f>
        <v>417.99026666666668</v>
      </c>
      <c r="K332" s="697">
        <f t="shared" si="843"/>
        <v>64.64</v>
      </c>
      <c r="L332" s="712">
        <f>Sheet1!AA332+Sheet1!AB332-Sheet1!L332+(Sheet1!CW332-F332)*CFStoMGD</f>
        <v>443.71493333333325</v>
      </c>
      <c r="M332" s="712">
        <f t="shared" si="844"/>
        <v>799.39787797913812</v>
      </c>
      <c r="N332" s="712">
        <f>IF(Sheet1!CW332&gt;=F332,MIN(73,MIN(MAX(L332,0),MAX(M332,0))),0)</f>
        <v>73</v>
      </c>
      <c r="O332" s="721">
        <f>Sheet1!AA332+Sheet1!AB332</f>
        <v>37.93</v>
      </c>
      <c r="P332" s="721">
        <f t="shared" si="845"/>
        <v>58.677709999999998</v>
      </c>
      <c r="Q332" s="712">
        <f>MIN(N332,Sheet1!AA332+AG332)</f>
        <v>37.93</v>
      </c>
      <c r="R332" s="712">
        <f t="shared" si="846"/>
        <v>0</v>
      </c>
      <c r="S332" s="721">
        <f>Sheet1!Y332*MGDtoCFS</f>
        <v>41.59883</v>
      </c>
      <c r="T332" s="721">
        <f>Sheet1!Z332*MGDtoCFS</f>
        <v>22.24586</v>
      </c>
      <c r="U332" s="721">
        <f>Sheet1!AA332*MGDtoCFS</f>
        <v>41.366779999999999</v>
      </c>
      <c r="V332" s="721">
        <f>Sheet1!AB332*MGDtoCFS</f>
        <v>17.310929999999999</v>
      </c>
      <c r="W332" s="721">
        <f>Sheet1!L332*MGDtoCFS</f>
        <v>56.341740000000108</v>
      </c>
      <c r="X332" s="697">
        <f t="shared" si="847"/>
        <v>0</v>
      </c>
      <c r="Y332" s="712">
        <f t="shared" si="848"/>
        <v>0</v>
      </c>
      <c r="Z332" s="712">
        <f t="shared" si="849"/>
        <v>0</v>
      </c>
      <c r="AA332" s="712">
        <f t="shared" si="850"/>
        <v>0</v>
      </c>
      <c r="AB332" s="712">
        <f>(VLOOKUP(Sheet1!CY332,hhdcap_wcm,4)-(((VLOOKUP(Sheet1!CY332,hhdcap_wcm,3)-Sheet1!CY332)/(VLOOKUP(Sheet1!CY332,hhdcap_wcm,3)-VLOOKUP(Sheet1!CY332,hhdcap_wcm,1)))*(VLOOKUP(Sheet1!CY332,hhdcap_wcm,4)-VLOOKUP(Sheet1!CY332,hhdcap_wcm,2))))</f>
        <v>3006.0400000045984</v>
      </c>
      <c r="AC332" s="712">
        <f t="shared" si="851"/>
        <v>579.75000000095679</v>
      </c>
      <c r="AD332" s="712">
        <f t="shared" si="852"/>
        <v>0</v>
      </c>
      <c r="AE332" s="712">
        <f t="shared" si="853"/>
        <v>0</v>
      </c>
      <c r="AF332" s="712">
        <f>Sheet1!BA332+Sheet1!BB332+Sheet1!BN332+BT332</f>
        <v>11.1</v>
      </c>
      <c r="AG332" s="712">
        <f t="shared" si="854"/>
        <v>11.19</v>
      </c>
      <c r="AH332" s="712">
        <f>Sheet1!BA332+BT332</f>
        <v>0</v>
      </c>
      <c r="AI332" s="712">
        <f>Sheet1!BA332+Sheet1!BB332+BT332</f>
        <v>0</v>
      </c>
      <c r="AJ332" s="712">
        <f>IF((Sheet1!AA332+AG332+AX332+AZ332+BQ332+BS332+CL332+CN332)&lt;=N332,AG332+AX332+AZ332+BQ332+BS332+CL332+CN332,N332-Sheet1!AA332)</f>
        <v>11.19</v>
      </c>
      <c r="AK332" s="712">
        <f>IF(DR332&lt;K332,0,MAX(Sheet1!AA332+AG332-15/36*K332-N332,Sheet1!ED332,0))</f>
        <v>0</v>
      </c>
      <c r="AL332" s="712">
        <f>IF(OR(B332&gt;=FT332,B332&lt;FS332),0,15/36*K332-MAX(0,64.6-(137.6-(Sheet1!AA332+Sheet1!AB332))))</f>
        <v>0</v>
      </c>
      <c r="AM332" s="712">
        <f>Sheet1!CX332-110</f>
        <v>831.70833333333337</v>
      </c>
      <c r="AN332" s="712">
        <f>Sheet1!CW332-265</f>
        <v>669.10416666666663</v>
      </c>
      <c r="AO332" s="712">
        <f t="shared" si="835"/>
        <v>35.07</v>
      </c>
      <c r="AP332" s="712">
        <f t="shared" si="855"/>
        <v>0</v>
      </c>
      <c r="AQ332" s="712">
        <f t="shared" si="856"/>
        <v>0</v>
      </c>
      <c r="AR332" s="712">
        <f t="shared" si="857"/>
        <v>0</v>
      </c>
      <c r="AS332" s="712"/>
      <c r="AT332" s="712">
        <f ca="1">IF(B332&gt;Summary!$A$1,#N/A,AR332*MGtoAF)</f>
        <v>0</v>
      </c>
      <c r="AU332" s="712">
        <f>Sheet1!BG332+Sheet1!BH332+Sheet1!BI332-BC332</f>
        <v>0</v>
      </c>
      <c r="AV332" s="712">
        <f t="shared" si="858"/>
        <v>0</v>
      </c>
      <c r="AW332" s="712">
        <f>IF(Sheet1!EL332="FM",BC332,0)</f>
        <v>0</v>
      </c>
      <c r="AX332" s="712">
        <f t="shared" si="859"/>
        <v>0</v>
      </c>
      <c r="AY332" s="712">
        <f>IF(Sheet1!EL332="OTHER",BC332,0)</f>
        <v>0</v>
      </c>
      <c r="AZ332" s="712">
        <f t="shared" si="860"/>
        <v>0</v>
      </c>
      <c r="BA332" s="712">
        <f t="shared" si="861"/>
        <v>0</v>
      </c>
      <c r="BB332" s="712">
        <f t="shared" si="862"/>
        <v>0</v>
      </c>
      <c r="BC332" s="712">
        <f>IF(OR(Sheet1!EL332="FM", Sheet1!EL332="OTHER"),SUM(Sheet1!BG332:'Sheet1'!BI332),0)</f>
        <v>0</v>
      </c>
      <c r="BD332" s="697">
        <f>IF(AND($B332&gt;=$FL332,$B332&lt;=$FM332),MAX(AV332,Sheet1!EE332,0),MAX(AV332-(7/36)*$K332,0))</f>
        <v>0</v>
      </c>
      <c r="BE332" s="712">
        <f t="shared" si="863"/>
        <v>0</v>
      </c>
      <c r="BF332" s="697">
        <f t="shared" si="864"/>
        <v>0</v>
      </c>
      <c r="BG332" s="697">
        <f>IF(AND($O332&gt;0,Sheet1!EI332=1),(1-($O332-Sheet1!$L332)/$O332)*BB332,0)</f>
        <v>0</v>
      </c>
      <c r="BH332" s="697">
        <f>IF(AND(Sheet1!$L332=0,Sheet1!$L331=0, Calculation!BA332&lt;Sheet1!$EE332-0.1,Sheet1!$EE332=Sheet1!$EE331,Sheet1!$EE332=Sheet1!$EE333),Sheet1!$EE332,BB332-BG332)</f>
        <v>0</v>
      </c>
      <c r="BI332" s="712"/>
      <c r="BJ332" s="712"/>
      <c r="BK332" s="712">
        <f t="shared" si="865"/>
        <v>0</v>
      </c>
      <c r="BL332" s="712"/>
      <c r="BM332" s="712">
        <f ca="1">IF(B332&gt;Summary!$A$1,#N/A,BK332*MGtoAF)</f>
        <v>0</v>
      </c>
      <c r="BN332" s="712">
        <f>Sheet1!BC332+Sheet1!BD332+Sheet1!BE332+Sheet1!BF332-BW332-BX332</f>
        <v>0</v>
      </c>
      <c r="BO332" s="712">
        <f t="shared" si="866"/>
        <v>0</v>
      </c>
      <c r="BP332" s="712">
        <f>IF(Sheet1!EM332="FM",BX332,0)</f>
        <v>0</v>
      </c>
      <c r="BQ332" s="712">
        <f t="shared" si="867"/>
        <v>0</v>
      </c>
      <c r="BR332" s="712">
        <f>IF(Sheet1!EM332="OTHER",BX332,0)</f>
        <v>0</v>
      </c>
      <c r="BS332" s="712">
        <f t="shared" si="868"/>
        <v>0</v>
      </c>
      <c r="BT332" s="712">
        <f t="shared" si="869"/>
        <v>0</v>
      </c>
      <c r="BU332" s="712">
        <f t="shared" si="870"/>
        <v>0</v>
      </c>
      <c r="BV332" s="712">
        <f t="shared" si="871"/>
        <v>0</v>
      </c>
      <c r="BW332" s="712">
        <f>IF(Sheet1!EM332="CWA",SUM(Sheet1!BC332:'Sheet1'!BF332),0)</f>
        <v>0</v>
      </c>
      <c r="BX332" s="712">
        <f>IF(OR(Sheet1!EM332="FM", Sheet1!EM332="OTHER"),SUM(Sheet1!BC332:'Sheet1'!BF332),0)</f>
        <v>0</v>
      </c>
      <c r="BY332" s="697">
        <f>IF(AND($B332&gt;=$FL332,$B332&lt;=$FM332),MAX(BV332,Sheet1!EF332,0),MAX(BV332-(7/36)*$K332,0))</f>
        <v>0</v>
      </c>
      <c r="BZ332" s="712">
        <f t="shared" si="872"/>
        <v>0</v>
      </c>
      <c r="CA332" s="697">
        <f t="shared" si="873"/>
        <v>0</v>
      </c>
      <c r="CB332" s="697">
        <f>IF(AND($O332&gt;0,Sheet1!EJ332=1),(1-($O332-Sheet1!$L332)/$O332)*BV332,0)</f>
        <v>0</v>
      </c>
      <c r="CC332" s="697">
        <f>IF(AND(Sheet1!$L332=0,Sheet1!$L331=0, Calculation!BU332&lt;Sheet1!EF332-0.1,Sheet1!EF332=Sheet1!EF331,Sheet1!EF332=Sheet1!EF333),Sheet1!EF332,BV332-CB332)</f>
        <v>0</v>
      </c>
      <c r="CD332" s="697"/>
      <c r="CE332" s="712"/>
      <c r="CF332" s="712">
        <f t="shared" si="874"/>
        <v>0</v>
      </c>
      <c r="CG332" s="712"/>
      <c r="CH332" s="712">
        <f ca="1">IF(B332&gt;Summary!$A$1,#N/A,CF332*MGtoAF)</f>
        <v>0</v>
      </c>
      <c r="CI332" s="712">
        <f>Sheet1!BK332+Sheet1!BL332+Sheet1!BM332-Sheet1!EN332-CQ332</f>
        <v>0</v>
      </c>
      <c r="CJ332" s="712">
        <f t="shared" si="875"/>
        <v>0</v>
      </c>
      <c r="CK332" s="712">
        <f>IF(Sheet1!EN332="FM",CQ332,0)</f>
        <v>0</v>
      </c>
      <c r="CL332" s="712">
        <f t="shared" si="876"/>
        <v>0</v>
      </c>
      <c r="CM332" s="712">
        <f>IF(Sheet1!EN332="OTHER",CQ332,0)</f>
        <v>0</v>
      </c>
      <c r="CN332" s="712">
        <f t="shared" si="877"/>
        <v>0</v>
      </c>
      <c r="CO332" s="712">
        <f t="shared" si="878"/>
        <v>0</v>
      </c>
      <c r="CP332" s="712">
        <f t="shared" si="879"/>
        <v>0</v>
      </c>
      <c r="CQ332" s="712">
        <f>IF(OR(Sheet1!EN332="FM", Sheet1!EN332="OTHER"),SUM(Sheet1!BK332:'Sheet1'!BM332),0)</f>
        <v>0</v>
      </c>
      <c r="CR332" s="697">
        <f>IF(AND($B332&gt;=$FL332,$B332&lt;=$FM332),MAX($CJ332,Sheet1!EG332,0),MAX($CJ332-(7/36)*$K332,0))</f>
        <v>0</v>
      </c>
      <c r="CS332" s="712">
        <f t="shared" si="880"/>
        <v>0</v>
      </c>
      <c r="CT332" s="697">
        <f t="shared" si="881"/>
        <v>0</v>
      </c>
      <c r="CU332" s="697">
        <f>IF(AND($O332&gt;0,Sheet1!EK332=1),(1-($O332-Sheet1!$L332)/$O332)*CP332,0)</f>
        <v>0</v>
      </c>
      <c r="CV332" s="697">
        <f>IF(AND(Sheet1!$L332=0,Sheet1!$L331=0, Calculation!CO332&lt;Sheet1!$EG332-0.1,Sheet1!$EG332=Sheet1!$EG331,Sheet1!$EG332=Sheet1!$EG333),Sheet1!$EG332,CP332-CU332)</f>
        <v>0</v>
      </c>
      <c r="CW332" s="697"/>
      <c r="CX332" s="712">
        <f t="shared" si="882"/>
        <v>0</v>
      </c>
      <c r="CY332" s="712">
        <f t="shared" si="883"/>
        <v>0</v>
      </c>
      <c r="CZ332" s="712">
        <f t="shared" si="884"/>
        <v>0</v>
      </c>
      <c r="DA332" s="712">
        <f ca="1">IF(B332&gt;Summary!$A$1,#N/A,CY332*MGtoAF)</f>
        <v>0</v>
      </c>
      <c r="DB332" s="712">
        <f t="shared" si="885"/>
        <v>0</v>
      </c>
      <c r="DC332" s="712">
        <f t="shared" si="886"/>
        <v>11.1</v>
      </c>
      <c r="DD332" s="712">
        <f>Sheet1!AB332-DC332</f>
        <v>8.9999999999999858E-2</v>
      </c>
      <c r="DE332" s="712">
        <f t="shared" si="887"/>
        <v>8.1081081081080964E-3</v>
      </c>
      <c r="DF332" s="712">
        <f>(VLOOKUP(Sheet1!CY332,hhdcap_wcm,4)-(((VLOOKUP(Sheet1!CY332,hhdcap_wcm,3)-Sheet1!CY332)/(VLOOKUP(Sheet1!CY332,hhdcap_wcm,3)-VLOOKUP(Sheet1!CY332,hhdcap_wcm,1)))*(VLOOKUP(Sheet1!CY332,hhdcap_wcm,4)-VLOOKUP(Sheet1!CY332,hhdcap_wcm,2))))</f>
        <v>3006.0400000045984</v>
      </c>
      <c r="DG332" s="712">
        <f t="shared" si="888"/>
        <v>579.75000000095679</v>
      </c>
      <c r="DH332" s="712">
        <f t="shared" si="889"/>
        <v>292.36006051485464</v>
      </c>
      <c r="DI332" s="712">
        <f>Sheet1!DW332*AFtoMG</f>
        <v>0</v>
      </c>
      <c r="DJ332" s="712">
        <f>Sheet1!DX332*AFtoMG</f>
        <v>0</v>
      </c>
      <c r="DK332" s="712">
        <f>Sheet1!DY332*AFtoMG</f>
        <v>0</v>
      </c>
      <c r="DL332" s="712">
        <f>Sheet1!DZ332*AFtoMG</f>
        <v>0</v>
      </c>
      <c r="DM332" s="712">
        <f t="shared" si="890"/>
        <v>0</v>
      </c>
      <c r="DN332" s="712">
        <f t="shared" si="891"/>
        <v>0</v>
      </c>
      <c r="DO332" s="712">
        <f t="shared" si="892"/>
        <v>0</v>
      </c>
      <c r="DP332" s="712">
        <f t="shared" si="893"/>
        <v>0</v>
      </c>
      <c r="DQ332" s="712"/>
      <c r="DR332" s="697">
        <f>IF(OR(B332&lt;FL332,B332&gt;FM332),(MIN(AV332+BO332+CJ332+MAX(Sheet1!AA332+AG332-73,0),K332)),0)</f>
        <v>0</v>
      </c>
      <c r="DS332" s="712"/>
      <c r="DT332" s="712">
        <f t="shared" si="894"/>
        <v>0</v>
      </c>
      <c r="DU332" s="712"/>
      <c r="DV332" s="712">
        <f>Sheet1!ED332+Sheet1!EE332+Sheet1!EF332+Sheet1!EG332</f>
        <v>8.5</v>
      </c>
      <c r="DW332" s="712"/>
      <c r="DX332" s="697">
        <f t="shared" si="895"/>
        <v>0</v>
      </c>
      <c r="DY332" s="712">
        <f>IF(Sheet1!FN332=1,SUM('Calculations II'!AT332:BA332)+'Calculations II'!BC332+Sheet1!BU332+'Calculations II'!BE332+AF332,SUM('Calculations II'!AT332:BA332)+'Calculations II'!BC332+Sheet1!BU332+'Calculations II'!BE332+AF332)</f>
        <v>40.742463999999998</v>
      </c>
      <c r="DZ332" s="712">
        <f>Sheet1!AA332+Sheet1!AB332+'Calculations II'!BC332</f>
        <v>37.93</v>
      </c>
      <c r="EA332" s="712"/>
      <c r="EB332" s="712"/>
      <c r="EC332" s="712">
        <f t="shared" si="896"/>
        <v>40861</v>
      </c>
      <c r="ED332" s="712">
        <f t="shared" si="897"/>
        <v>0</v>
      </c>
      <c r="EE332" s="712">
        <f t="shared" si="898"/>
        <v>0</v>
      </c>
      <c r="EF332" s="712">
        <f ca="1">IF(B332=TODAY(),0,-(VLOOKUP(Sheet1!BQ332,Lookup!$B$4:$J$236,2)-VLOOKUP(Sheet1!BQ331,Lookup!$B$4:$J$236,2))/1000000)</f>
        <v>3.5196999999999998</v>
      </c>
      <c r="EG332" s="712">
        <f ca="1">IF(B332=TODAY(),0,-(VLOOKUP(Sheet1!BR332,Lookup!$B$4:$J$236,3)-VLOOKUP(Sheet1!BR331,Lookup!$B$4:$J$236,3))/1000000)</f>
        <v>3.24</v>
      </c>
      <c r="EH332" s="712">
        <f>-(VLOOKUP(Sheet1!BS332,Lookup!$B$4:$J$236,4)-VLOOKUP(Sheet1!BS331,Lookup!$B$4:$J$236,4))/1000000</f>
        <v>0</v>
      </c>
      <c r="EI332" s="697">
        <f t="shared" ca="1" si="922"/>
        <v>6.7597000000000005</v>
      </c>
      <c r="EJ332" s="712"/>
      <c r="EK332" s="712"/>
      <c r="EL332" s="712"/>
      <c r="EM332" s="712"/>
      <c r="EN332" s="712"/>
      <c r="EO332" s="712"/>
      <c r="EP332" s="712"/>
      <c r="EQ332" s="712"/>
      <c r="ER332" s="712"/>
      <c r="ES332" s="712"/>
      <c r="ET332" s="794">
        <f t="shared" si="919"/>
        <v>1095</v>
      </c>
      <c r="EU332" s="794" t="e">
        <f t="shared" si="924"/>
        <v>#N/A</v>
      </c>
      <c r="EV332" s="795" t="e">
        <f t="shared" si="925"/>
        <v>#N/A</v>
      </c>
      <c r="EW332" s="796" t="s">
        <v>757</v>
      </c>
      <c r="EX332" s="796" t="s">
        <v>757</v>
      </c>
      <c r="EY332" s="794" t="e">
        <v>#N/A</v>
      </c>
      <c r="EZ332" s="798">
        <v>4899.0000000084037</v>
      </c>
      <c r="FA332" s="712"/>
      <c r="FB332" s="712"/>
      <c r="FC332" s="712"/>
      <c r="FD332" s="712"/>
      <c r="FE332" s="712">
        <f>O332+Sheet1!CO332</f>
        <v>37.93</v>
      </c>
      <c r="FF332" s="712">
        <f>IF(Sheet1!AA332+AG332&lt;=Calculation!N332,AG332,Calculation!N332-Sheet1!AA332)</f>
        <v>11.19</v>
      </c>
      <c r="FG332" s="712">
        <f>(Sheet1!BP332+Sheet1!BO332)/694.4</f>
        <v>2.4341877880184333</v>
      </c>
      <c r="FH332" s="712"/>
      <c r="FI332" s="712"/>
      <c r="FJ332" s="712"/>
      <c r="FK332" s="712"/>
      <c r="FL332" s="714">
        <f t="shared" si="929"/>
        <v>40753</v>
      </c>
      <c r="FM332" s="714">
        <f t="shared" si="930"/>
        <v>40851</v>
      </c>
      <c r="FN332" s="712"/>
      <c r="FO332" s="712"/>
      <c r="FP332" s="712"/>
      <c r="FQ332" s="712"/>
      <c r="FR332" s="712"/>
      <c r="FS332" s="725">
        <f t="shared" si="931"/>
        <v>40603</v>
      </c>
      <c r="FT332" s="714">
        <f t="shared" si="932"/>
        <v>40709</v>
      </c>
      <c r="FU332" s="712">
        <f t="shared" si="931"/>
        <v>6518.9048239895692</v>
      </c>
      <c r="FV332" s="714">
        <f t="shared" si="933"/>
        <v>40722</v>
      </c>
      <c r="FW332" s="712">
        <f t="shared" si="931"/>
        <v>3259.4524119947846</v>
      </c>
      <c r="FX332" s="725">
        <f t="shared" si="931"/>
        <v>40851</v>
      </c>
      <c r="FZ332" s="697">
        <f t="shared" si="926"/>
        <v>0</v>
      </c>
      <c r="GA332" s="712" t="str">
        <f t="shared" si="899"/>
        <v/>
      </c>
      <c r="GB332" s="712">
        <f t="shared" si="900"/>
        <v>0</v>
      </c>
      <c r="GC332" s="712" t="str">
        <f t="shared" si="901"/>
        <v/>
      </c>
      <c r="GD332" s="712">
        <f>IF(GA332="P",Lookup!$M$12,IF(GA332="PP",Lookup!$M$13,IF(GA332="PPP",Lookup!$M$14,IF(GA332="T",Lookup!$M$15,IF(GA332="TP",Lookup!$M$16,IF(GA332="TPP",Lookup!$M$17,IF(GA332="TPPP",Lookup!$M$18,0)))))))*FZ332</f>
        <v>0</v>
      </c>
      <c r="GE332" s="712">
        <f t="shared" si="902"/>
        <v>0</v>
      </c>
      <c r="GF332" s="712">
        <f t="shared" si="903"/>
        <v>0</v>
      </c>
      <c r="GG332" s="712">
        <f t="shared" si="904"/>
        <v>0</v>
      </c>
      <c r="GH332" s="712"/>
      <c r="GI332" s="712">
        <f t="shared" si="905"/>
        <v>0</v>
      </c>
      <c r="GJ332" s="712" t="str">
        <f t="shared" si="906"/>
        <v/>
      </c>
      <c r="GK332" s="712">
        <f>IF(GA332="P",Lookup!$N$12,IF(GA332="PP",Lookup!$N$13,IF(GA332="PPP",Lookup!$N$14,IF(GA332="T",Lookup!$N$15,IF(GA332="TP",Lookup!$N$16,IF(GA332="TPP",Lookup!$N$17,IF(GA332="TPPP",Lookup!$N$18,0)))))))*FZ332</f>
        <v>0</v>
      </c>
      <c r="GL332" s="712">
        <f t="shared" si="907"/>
        <v>0</v>
      </c>
      <c r="GM332" s="712">
        <f t="shared" si="908"/>
        <v>0</v>
      </c>
      <c r="GN332" s="712">
        <f t="shared" si="909"/>
        <v>0</v>
      </c>
      <c r="GO332" s="712"/>
      <c r="GP332" s="712">
        <f t="shared" si="910"/>
        <v>0</v>
      </c>
      <c r="GQ332" s="712" t="str">
        <f t="shared" si="911"/>
        <v/>
      </c>
      <c r="GR332" s="712">
        <f>IF(GA332="P",Lookup!$N$12,IF(GA332="PP",Lookup!$N$13,IF(GA332="PPP",Lookup!$N$14,IF(GA332="T",Lookup!$N$15,IF(GA332="TP",Lookup!$N$16,IF(GA332="TPP",Lookup!$N$17,IF(GA332="TPPP",Lookup!$N$18,0)))))))*FZ332</f>
        <v>0</v>
      </c>
      <c r="GS332" s="697">
        <f t="shared" si="927"/>
        <v>0</v>
      </c>
      <c r="GT332" s="712">
        <f t="shared" si="912"/>
        <v>0</v>
      </c>
      <c r="GU332" s="712">
        <f t="shared" si="913"/>
        <v>0</v>
      </c>
      <c r="GV332" s="712"/>
      <c r="GW332" s="712">
        <f t="shared" si="914"/>
        <v>0</v>
      </c>
      <c r="GX332" s="712" t="str">
        <f t="shared" si="915"/>
        <v/>
      </c>
      <c r="GY332" s="712">
        <f>IF(GA332="P",Lookup!$N$12,IF(GA332="PP",Lookup!$N$13,IF(GA332="PPP",Lookup!$N$14,IF(GA332="T",Lookup!$N$15,IF(GA332="TP",Lookup!$N$16,IF(GA332="TPP",Lookup!$N$17,IF(GA332="TPPP",Lookup!$N$18,0)))))))*FZ332</f>
        <v>0</v>
      </c>
      <c r="GZ332" s="697">
        <f t="shared" si="928"/>
        <v>0</v>
      </c>
      <c r="HA332" s="712">
        <f t="shared" si="916"/>
        <v>0</v>
      </c>
      <c r="HB332" s="712">
        <f t="shared" si="917"/>
        <v>0</v>
      </c>
      <c r="HC332" s="712"/>
    </row>
    <row r="333" spans="1:211">
      <c r="A333" s="773" t="s">
        <v>5</v>
      </c>
      <c r="B333" s="708">
        <v>40862</v>
      </c>
      <c r="C333" s="719">
        <v>0.5</v>
      </c>
      <c r="D333" s="675">
        <f t="shared" si="840"/>
        <v>300</v>
      </c>
      <c r="E333" s="675">
        <f t="shared" si="841"/>
        <v>250</v>
      </c>
      <c r="F333" s="675">
        <v>250</v>
      </c>
      <c r="G333" s="712">
        <f>DH333+Sheet1!CV333</f>
        <v>948.98512354959144</v>
      </c>
      <c r="H333" s="712">
        <f t="shared" si="842"/>
        <v>346.46078386245591</v>
      </c>
      <c r="I333" s="711">
        <f>MAX(Sheet1!Z333-AJ333+(Sheet1!CW333-E333)*CFStoMGD,0)</f>
        <v>806.75800000000265</v>
      </c>
      <c r="J333" s="720">
        <f>IF(AND(B333&gt;=Calculation!FS333,B333&lt;=Calculation!FT333),IF(Sheet1!CX333&gt;=Calculation!D333,64.64,0),MAX(Sheet1!Z333-AJ333+(Sheet1!CX333-D333)*CFStoMGD,0))</f>
        <v>674.0440000000026</v>
      </c>
      <c r="K333" s="697">
        <f t="shared" si="843"/>
        <v>64.64</v>
      </c>
      <c r="L333" s="712">
        <f>Sheet1!AA333+Sheet1!AB333-Sheet1!L333+(Sheet1!CW333-F333)*CFStoMGD</f>
        <v>806.97799999999324</v>
      </c>
      <c r="M333" s="712">
        <f t="shared" si="844"/>
        <v>625.69246353970505</v>
      </c>
      <c r="N333" s="712">
        <f>IF(Sheet1!CW333&gt;=F333,MIN(73,MIN(MAX(L333,0),MAX(M333,0))),0)</f>
        <v>73</v>
      </c>
      <c r="O333" s="721">
        <f>Sheet1!AA333+Sheet1!AB333</f>
        <v>35.52999999999156</v>
      </c>
      <c r="P333" s="721">
        <f t="shared" si="845"/>
        <v>54.964909999986943</v>
      </c>
      <c r="Q333" s="712">
        <f>MIN(N333,Sheet1!AA333+AG333)</f>
        <v>35.52999999999156</v>
      </c>
      <c r="R333" s="712">
        <f t="shared" si="846"/>
        <v>0</v>
      </c>
      <c r="S333" s="721">
        <f>Sheet1!Y333*MGDtoCFS</f>
        <v>41.768999999999998</v>
      </c>
      <c r="T333" s="721">
        <f>Sheet1!Z333*MGDtoCFS</f>
        <v>14.077699999999998</v>
      </c>
      <c r="U333" s="721">
        <f>Sheet1!AA333*MGDtoCFS</f>
        <v>40.840799999990992</v>
      </c>
      <c r="V333" s="721">
        <f>Sheet1!AB333*MGDtoCFS</f>
        <v>14.124109999995948</v>
      </c>
      <c r="W333" s="721">
        <f>Sheet1!L333*MGDtoCFS</f>
        <v>54.670979999997407</v>
      </c>
      <c r="X333" s="697">
        <f t="shared" si="847"/>
        <v>0</v>
      </c>
      <c r="Y333" s="712">
        <f t="shared" si="848"/>
        <v>0</v>
      </c>
      <c r="Z333" s="712">
        <f t="shared" si="849"/>
        <v>0</v>
      </c>
      <c r="AA333" s="712">
        <f t="shared" si="850"/>
        <v>0</v>
      </c>
      <c r="AB333" s="712">
        <f>(VLOOKUP(Sheet1!CY333,hhdcap_wcm,4)-(((VLOOKUP(Sheet1!CY333,hhdcap_wcm,3)-Sheet1!CY333)/(VLOOKUP(Sheet1!CY333,hhdcap_wcm,3)-VLOOKUP(Sheet1!CY333,hhdcap_wcm,1)))*(VLOOKUP(Sheet1!CY333,hhdcap_wcm,4)-VLOOKUP(Sheet1!CY333,hhdcap_wcm,2))))</f>
        <v>2291.8000000034381</v>
      </c>
      <c r="AC333" s="712">
        <f t="shared" si="851"/>
        <v>-714.2400000011603</v>
      </c>
      <c r="AD333" s="712">
        <f t="shared" si="852"/>
        <v>0</v>
      </c>
      <c r="AE333" s="712">
        <f t="shared" si="853"/>
        <v>0</v>
      </c>
      <c r="AF333" s="712">
        <f>Sheet1!BA333+Sheet1!BB333+Sheet1!BN333+BT333</f>
        <v>9.1</v>
      </c>
      <c r="AG333" s="712">
        <f t="shared" si="854"/>
        <v>9.1299999999973807</v>
      </c>
      <c r="AH333" s="712">
        <f>Sheet1!BA333+BT333</f>
        <v>0</v>
      </c>
      <c r="AI333" s="712">
        <f>Sheet1!BA333+Sheet1!BB333+BT333</f>
        <v>0</v>
      </c>
      <c r="AJ333" s="712">
        <f>IF((Sheet1!AA333+AG333+AX333+AZ333+BQ333+BS333+CL333+CN333)&lt;=N333,AG333+AX333+AZ333+BQ333+BS333+CL333+CN333,N333-Sheet1!AA333)</f>
        <v>9.1299999999973807</v>
      </c>
      <c r="AK333" s="712">
        <f>IF(DR333&lt;K333,0,MAX(Sheet1!AA333+AG333-15/36*K333-N333,Sheet1!ED333,0))</f>
        <v>0</v>
      </c>
      <c r="AL333" s="712">
        <f>IF(OR(B333&gt;=FT333,B333&lt;FS333),0,15/36*K333-MAX(0,64.6-(137.6-(Sheet1!AA333+Sheet1!AB333))))</f>
        <v>0</v>
      </c>
      <c r="AM333" s="712">
        <f>Sheet1!CX333-110</f>
        <v>1232.8125</v>
      </c>
      <c r="AN333" s="712">
        <f>Sheet1!CW333-265</f>
        <v>1233.125</v>
      </c>
      <c r="AO333" s="712">
        <f t="shared" si="835"/>
        <v>37.47000000000844</v>
      </c>
      <c r="AP333" s="712">
        <f t="shared" si="855"/>
        <v>0</v>
      </c>
      <c r="AQ333" s="712">
        <f t="shared" si="856"/>
        <v>0</v>
      </c>
      <c r="AR333" s="712">
        <f t="shared" si="857"/>
        <v>0</v>
      </c>
      <c r="AS333" s="712"/>
      <c r="AT333" s="712">
        <f ca="1">IF(B333&gt;Summary!$A$1,#N/A,AR333*MGtoAF)</f>
        <v>0</v>
      </c>
      <c r="AU333" s="712">
        <f>Sheet1!BG333+Sheet1!BH333+Sheet1!BI333-BC333</f>
        <v>0</v>
      </c>
      <c r="AV333" s="712">
        <f t="shared" si="858"/>
        <v>0</v>
      </c>
      <c r="AW333" s="712">
        <f>IF(Sheet1!EL333="FM",BC333,0)</f>
        <v>0</v>
      </c>
      <c r="AX333" s="712">
        <f t="shared" si="859"/>
        <v>0</v>
      </c>
      <c r="AY333" s="712">
        <f>IF(Sheet1!EL333="OTHER",BC333,0)</f>
        <v>0</v>
      </c>
      <c r="AZ333" s="712">
        <f t="shared" si="860"/>
        <v>0</v>
      </c>
      <c r="BA333" s="712">
        <f t="shared" si="861"/>
        <v>0</v>
      </c>
      <c r="BB333" s="712">
        <f t="shared" si="862"/>
        <v>0</v>
      </c>
      <c r="BC333" s="712">
        <f>IF(OR(Sheet1!EL333="FM", Sheet1!EL333="OTHER"),SUM(Sheet1!BG333:'Sheet1'!BI333),0)</f>
        <v>0</v>
      </c>
      <c r="BD333" s="697">
        <f>IF(AND($B333&gt;=$FL333,$B333&lt;=$FM333),MAX(AV333,Sheet1!EE333,0),MAX(AV333-(7/36)*$K333,0))</f>
        <v>0</v>
      </c>
      <c r="BE333" s="712">
        <f t="shared" si="863"/>
        <v>0</v>
      </c>
      <c r="BF333" s="697">
        <f t="shared" si="864"/>
        <v>0</v>
      </c>
      <c r="BG333" s="697">
        <f>IF(AND($O333&gt;0,Sheet1!EI333=1),(1-($O333-Sheet1!$L333)/$O333)*BB333,0)</f>
        <v>0</v>
      </c>
      <c r="BH333" s="697">
        <f>IF(AND(Sheet1!$L333=0,Sheet1!$L332=0, Calculation!BA333&lt;Sheet1!$EE333-0.1,Sheet1!$EE333=Sheet1!$EE332,Sheet1!$EE333=Sheet1!$EE334),Sheet1!$EE333,BB333-BG333)</f>
        <v>0</v>
      </c>
      <c r="BI333" s="712"/>
      <c r="BJ333" s="712"/>
      <c r="BK333" s="712">
        <f t="shared" si="865"/>
        <v>0</v>
      </c>
      <c r="BL333" s="712"/>
      <c r="BM333" s="712">
        <f ca="1">IF(B333&gt;Summary!$A$1,#N/A,BK333*MGtoAF)</f>
        <v>0</v>
      </c>
      <c r="BN333" s="712">
        <f>Sheet1!BC333+Sheet1!BD333+Sheet1!BE333+Sheet1!BF333-BW333-BX333</f>
        <v>0</v>
      </c>
      <c r="BO333" s="712">
        <f t="shared" si="866"/>
        <v>0</v>
      </c>
      <c r="BP333" s="712">
        <f>IF(Sheet1!EM333="FM",BX333,0)</f>
        <v>0</v>
      </c>
      <c r="BQ333" s="712">
        <f t="shared" si="867"/>
        <v>0</v>
      </c>
      <c r="BR333" s="712">
        <f>IF(Sheet1!EM333="OTHER",BX333,0)</f>
        <v>0</v>
      </c>
      <c r="BS333" s="712">
        <f t="shared" si="868"/>
        <v>0</v>
      </c>
      <c r="BT333" s="712">
        <f t="shared" si="869"/>
        <v>0</v>
      </c>
      <c r="BU333" s="712">
        <f t="shared" si="870"/>
        <v>0</v>
      </c>
      <c r="BV333" s="712">
        <f t="shared" si="871"/>
        <v>0</v>
      </c>
      <c r="BW333" s="712">
        <f>IF(Sheet1!EM333="CWA",SUM(Sheet1!BC333:'Sheet1'!BF333),0)</f>
        <v>0</v>
      </c>
      <c r="BX333" s="712">
        <f>IF(OR(Sheet1!EM333="FM", Sheet1!EM333="OTHER"),SUM(Sheet1!BC333:'Sheet1'!BF333),0)</f>
        <v>0</v>
      </c>
      <c r="BY333" s="697">
        <f>IF(AND($B333&gt;=$FL333,$B333&lt;=$FM333),MAX(BV333,Sheet1!EF333,0),MAX(BV333-(7/36)*$K333,0))</f>
        <v>0</v>
      </c>
      <c r="BZ333" s="712">
        <f t="shared" si="872"/>
        <v>0</v>
      </c>
      <c r="CA333" s="697">
        <f t="shared" si="873"/>
        <v>0</v>
      </c>
      <c r="CB333" s="697">
        <f>IF(AND($O333&gt;0,Sheet1!EJ333=1),(1-($O333-Sheet1!$L333)/$O333)*BV333,0)</f>
        <v>0</v>
      </c>
      <c r="CC333" s="697">
        <f>IF(AND(Sheet1!$L333=0,Sheet1!$L332=0, Calculation!BU333&lt;Sheet1!EF333-0.1,Sheet1!EF333=Sheet1!EF332,Sheet1!EF333=Sheet1!EF334),Sheet1!EF333,BV333-CB333)</f>
        <v>0</v>
      </c>
      <c r="CD333" s="697"/>
      <c r="CE333" s="712"/>
      <c r="CF333" s="712">
        <f t="shared" si="874"/>
        <v>0</v>
      </c>
      <c r="CG333" s="712"/>
      <c r="CH333" s="712">
        <f ca="1">IF(B333&gt;Summary!$A$1,#N/A,CF333*MGtoAF)</f>
        <v>0</v>
      </c>
      <c r="CI333" s="712">
        <f>Sheet1!BK333+Sheet1!BL333+Sheet1!BM333-Sheet1!EN333-CQ333</f>
        <v>0</v>
      </c>
      <c r="CJ333" s="712">
        <f t="shared" si="875"/>
        <v>0</v>
      </c>
      <c r="CK333" s="712">
        <f>IF(Sheet1!EN333="FM",CQ333,0)</f>
        <v>0</v>
      </c>
      <c r="CL333" s="712">
        <f t="shared" si="876"/>
        <v>0</v>
      </c>
      <c r="CM333" s="712">
        <f>IF(Sheet1!EN333="OTHER",CQ333,0)</f>
        <v>0</v>
      </c>
      <c r="CN333" s="712">
        <f t="shared" si="877"/>
        <v>0</v>
      </c>
      <c r="CO333" s="712">
        <f t="shared" si="878"/>
        <v>0</v>
      </c>
      <c r="CP333" s="712">
        <f t="shared" si="879"/>
        <v>0</v>
      </c>
      <c r="CQ333" s="712">
        <f>IF(OR(Sheet1!EN333="FM", Sheet1!EN333="OTHER"),SUM(Sheet1!BK333:'Sheet1'!BM333),0)</f>
        <v>0</v>
      </c>
      <c r="CR333" s="697">
        <f>IF(AND($B333&gt;=$FL333,$B333&lt;=$FM333),MAX($CJ333,Sheet1!EG333,0),MAX($CJ333-(7/36)*$K333,0))</f>
        <v>0</v>
      </c>
      <c r="CS333" s="712">
        <f t="shared" si="880"/>
        <v>0</v>
      </c>
      <c r="CT333" s="697">
        <f t="shared" si="881"/>
        <v>0</v>
      </c>
      <c r="CU333" s="697">
        <f>IF(AND($O333&gt;0,Sheet1!EK333=1),(1-($O333-Sheet1!$L333)/$O333)*CP333,0)</f>
        <v>0</v>
      </c>
      <c r="CV333" s="697">
        <f>IF(AND(Sheet1!$L333=0,Sheet1!$L332=0, Calculation!CO333&lt;Sheet1!$EG333-0.1,Sheet1!$EG333=Sheet1!$EG332,Sheet1!$EG333=Sheet1!$EG334),Sheet1!$EG333,CP333-CU333)</f>
        <v>0</v>
      </c>
      <c r="CW333" s="697"/>
      <c r="CX333" s="712">
        <f t="shared" si="882"/>
        <v>0</v>
      </c>
      <c r="CY333" s="712">
        <f t="shared" si="883"/>
        <v>0</v>
      </c>
      <c r="CZ333" s="712">
        <f t="shared" si="884"/>
        <v>0</v>
      </c>
      <c r="DA333" s="712">
        <f ca="1">IF(B333&gt;Summary!$A$1,#N/A,CY333*MGtoAF)</f>
        <v>0</v>
      </c>
      <c r="DB333" s="712">
        <f t="shared" si="885"/>
        <v>0</v>
      </c>
      <c r="DC333" s="712">
        <f t="shared" si="886"/>
        <v>9.1</v>
      </c>
      <c r="DD333" s="712">
        <f>Sheet1!AB333-DC333</f>
        <v>2.9999999997381011E-2</v>
      </c>
      <c r="DE333" s="712">
        <f t="shared" si="887"/>
        <v>3.2967032964154957E-3</v>
      </c>
      <c r="DF333" s="712">
        <f>(VLOOKUP(Sheet1!CY333,hhdcap_wcm,4)-(((VLOOKUP(Sheet1!CY333,hhdcap_wcm,3)-Sheet1!CY333)/(VLOOKUP(Sheet1!CY333,hhdcap_wcm,3)-VLOOKUP(Sheet1!CY333,hhdcap_wcm,1)))*(VLOOKUP(Sheet1!CY333,hhdcap_wcm,4)-VLOOKUP(Sheet1!CY333,hhdcap_wcm,2))))</f>
        <v>2291.8000000034381</v>
      </c>
      <c r="DG333" s="712">
        <f t="shared" si="888"/>
        <v>-714.2400000011603</v>
      </c>
      <c r="DH333" s="712">
        <f t="shared" si="889"/>
        <v>-360.18154311707525</v>
      </c>
      <c r="DI333" s="712">
        <f>Sheet1!DW333*AFtoMG</f>
        <v>0</v>
      </c>
      <c r="DJ333" s="712">
        <f>Sheet1!DX333*AFtoMG</f>
        <v>0</v>
      </c>
      <c r="DK333" s="712">
        <f>Sheet1!DY333*AFtoMG</f>
        <v>0</v>
      </c>
      <c r="DL333" s="712">
        <f>Sheet1!DZ333*AFtoMG</f>
        <v>0</v>
      </c>
      <c r="DM333" s="712">
        <f t="shared" si="890"/>
        <v>0</v>
      </c>
      <c r="DN333" s="712">
        <f t="shared" si="891"/>
        <v>0</v>
      </c>
      <c r="DO333" s="712">
        <f t="shared" si="892"/>
        <v>0</v>
      </c>
      <c r="DP333" s="712">
        <f t="shared" si="893"/>
        <v>0</v>
      </c>
      <c r="DQ333" s="712"/>
      <c r="DR333" s="697">
        <f>IF(OR(B333&lt;FL333,B333&gt;FM333),(MIN(AV333+BO333+CJ333+MAX(Sheet1!AA333+AG333-73,0),K333)),0)</f>
        <v>0</v>
      </c>
      <c r="DS333" s="712"/>
      <c r="DT333" s="712">
        <f t="shared" si="894"/>
        <v>0</v>
      </c>
      <c r="DU333" s="712"/>
      <c r="DV333" s="712">
        <f>Sheet1!ED333+Sheet1!EE333+Sheet1!EF333+Sheet1!EG333</f>
        <v>8.5</v>
      </c>
      <c r="DW333" s="712"/>
      <c r="DX333" s="697">
        <f t="shared" si="895"/>
        <v>0</v>
      </c>
      <c r="DY333" s="712">
        <f>IF(Sheet1!FN333=1,SUM('Calculations II'!AT333:BA333)+'Calculations II'!BC333+Sheet1!BU333+'Calculations II'!BE333+AF333,SUM('Calculations II'!AT333:BA333)+'Calculations II'!BC333+Sheet1!BU333+'Calculations II'!BE333+AF333)</f>
        <v>39.991247999999999</v>
      </c>
      <c r="DZ333" s="712">
        <f>Sheet1!AA333+Sheet1!AB333+'Calculations II'!BC333</f>
        <v>37.831119999991557</v>
      </c>
      <c r="EA333" s="712"/>
      <c r="EB333" s="712"/>
      <c r="EC333" s="712">
        <f t="shared" si="896"/>
        <v>40862</v>
      </c>
      <c r="ED333" s="712">
        <f t="shared" si="897"/>
        <v>0</v>
      </c>
      <c r="EE333" s="712">
        <f t="shared" si="898"/>
        <v>0</v>
      </c>
      <c r="EF333" s="712">
        <f ca="1">IF(B333=TODAY(),0,-(VLOOKUP(Sheet1!BQ333,Lookup!$B$4:$J$236,2)-VLOOKUP(Sheet1!BQ332,Lookup!$B$4:$J$236,2))/1000000)</f>
        <v>2.6676000000000002</v>
      </c>
      <c r="EG333" s="712">
        <f ca="1">IF(B333=TODAY(),0,-(VLOOKUP(Sheet1!BR333,Lookup!$B$4:$J$236,3)-VLOOKUP(Sheet1!BR332,Lookup!$B$4:$J$236,3))/1000000)</f>
        <v>2.6627000000000001</v>
      </c>
      <c r="EH333" s="712">
        <f>-(VLOOKUP(Sheet1!BS333,Lookup!$B$4:$J$236,4)-VLOOKUP(Sheet1!BS332,Lookup!$B$4:$J$236,4))/1000000</f>
        <v>0</v>
      </c>
      <c r="EI333" s="697">
        <f t="shared" ca="1" si="922"/>
        <v>5.3303000000000003</v>
      </c>
      <c r="EJ333" s="712"/>
      <c r="EK333" s="712"/>
      <c r="EL333" s="712"/>
      <c r="EM333" s="712"/>
      <c r="EN333" s="712"/>
      <c r="EO333" s="712"/>
      <c r="EP333" s="712"/>
      <c r="EQ333" s="712"/>
      <c r="ER333" s="712"/>
      <c r="ES333" s="712"/>
      <c r="ET333" s="794">
        <f t="shared" si="919"/>
        <v>1094</v>
      </c>
      <c r="EU333" s="794" t="e">
        <f t="shared" si="924"/>
        <v>#N/A</v>
      </c>
      <c r="EV333" s="795" t="e">
        <f t="shared" si="925"/>
        <v>#N/A</v>
      </c>
      <c r="EW333" s="796" t="s">
        <v>757</v>
      </c>
      <c r="EX333" s="796" t="s">
        <v>757</v>
      </c>
      <c r="EY333" s="794" t="e">
        <v>#N/A</v>
      </c>
      <c r="EZ333" s="798">
        <v>4686.0000000079426</v>
      </c>
      <c r="FA333" s="712"/>
      <c r="FB333" s="712"/>
      <c r="FC333" s="712"/>
      <c r="FD333" s="712"/>
      <c r="FE333" s="712">
        <f>O333+Sheet1!CO333</f>
        <v>1633.5299999999916</v>
      </c>
      <c r="FF333" s="712">
        <f>IF(Sheet1!AA333+AG333&lt;=Calculation!N333,AG333,Calculation!N333-Sheet1!AA333)</f>
        <v>9.1299999999973807</v>
      </c>
      <c r="FG333" s="712">
        <f>(Sheet1!BP333+Sheet1!BO333)/694.4</f>
        <v>1.2982430875576036</v>
      </c>
      <c r="FH333" s="712"/>
      <c r="FI333" s="712"/>
      <c r="FJ333" s="712"/>
      <c r="FK333" s="712"/>
      <c r="FL333" s="714">
        <f t="shared" si="929"/>
        <v>40753</v>
      </c>
      <c r="FM333" s="714">
        <f t="shared" si="930"/>
        <v>40851</v>
      </c>
      <c r="FN333" s="712"/>
      <c r="FO333" s="712"/>
      <c r="FP333" s="712"/>
      <c r="FQ333" s="712"/>
      <c r="FR333" s="712"/>
      <c r="FS333" s="725">
        <f t="shared" si="931"/>
        <v>40603</v>
      </c>
      <c r="FT333" s="714">
        <f t="shared" si="932"/>
        <v>40709</v>
      </c>
      <c r="FU333" s="712">
        <f t="shared" si="931"/>
        <v>6518.9048239895692</v>
      </c>
      <c r="FV333" s="714">
        <f t="shared" si="933"/>
        <v>40722</v>
      </c>
      <c r="FW333" s="712">
        <f t="shared" si="931"/>
        <v>3259.4524119947846</v>
      </c>
      <c r="FX333" s="725">
        <f t="shared" si="931"/>
        <v>40851</v>
      </c>
      <c r="FZ333" s="697">
        <f t="shared" si="926"/>
        <v>0</v>
      </c>
      <c r="GA333" s="712" t="str">
        <f t="shared" si="899"/>
        <v/>
      </c>
      <c r="GB333" s="712">
        <f t="shared" si="900"/>
        <v>0</v>
      </c>
      <c r="GC333" s="712" t="str">
        <f t="shared" si="901"/>
        <v/>
      </c>
      <c r="GD333" s="712">
        <f>IF(GA333="P",Lookup!$M$12,IF(GA333="PP",Lookup!$M$13,IF(GA333="PPP",Lookup!$M$14,IF(GA333="T",Lookup!$M$15,IF(GA333="TP",Lookup!$M$16,IF(GA333="TPP",Lookup!$M$17,IF(GA333="TPPP",Lookup!$M$18,0)))))))*FZ333</f>
        <v>0</v>
      </c>
      <c r="GE333" s="712">
        <f t="shared" si="902"/>
        <v>0</v>
      </c>
      <c r="GF333" s="712">
        <f t="shared" si="903"/>
        <v>0</v>
      </c>
      <c r="GG333" s="712">
        <f t="shared" si="904"/>
        <v>0</v>
      </c>
      <c r="GH333" s="712"/>
      <c r="GI333" s="712">
        <f t="shared" si="905"/>
        <v>0</v>
      </c>
      <c r="GJ333" s="712" t="str">
        <f t="shared" si="906"/>
        <v/>
      </c>
      <c r="GK333" s="712">
        <f>IF(GA333="P",Lookup!$N$12,IF(GA333="PP",Lookup!$N$13,IF(GA333="PPP",Lookup!$N$14,IF(GA333="T",Lookup!$N$15,IF(GA333="TP",Lookup!$N$16,IF(GA333="TPP",Lookup!$N$17,IF(GA333="TPPP",Lookup!$N$18,0)))))))*FZ333</f>
        <v>0</v>
      </c>
      <c r="GL333" s="712">
        <f t="shared" si="907"/>
        <v>0</v>
      </c>
      <c r="GM333" s="712">
        <f t="shared" si="908"/>
        <v>0</v>
      </c>
      <c r="GN333" s="712">
        <f t="shared" si="909"/>
        <v>0</v>
      </c>
      <c r="GO333" s="712"/>
      <c r="GP333" s="712">
        <f t="shared" si="910"/>
        <v>0</v>
      </c>
      <c r="GQ333" s="712" t="str">
        <f t="shared" si="911"/>
        <v/>
      </c>
      <c r="GR333" s="712">
        <f>IF(GA333="P",Lookup!$N$12,IF(GA333="PP",Lookup!$N$13,IF(GA333="PPP",Lookup!$N$14,IF(GA333="T",Lookup!$N$15,IF(GA333="TP",Lookup!$N$16,IF(GA333="TPP",Lookup!$N$17,IF(GA333="TPPP",Lookup!$N$18,0)))))))*FZ333</f>
        <v>0</v>
      </c>
      <c r="GS333" s="697">
        <f t="shared" si="927"/>
        <v>0</v>
      </c>
      <c r="GT333" s="712">
        <f t="shared" si="912"/>
        <v>0</v>
      </c>
      <c r="GU333" s="712">
        <f t="shared" si="913"/>
        <v>0</v>
      </c>
      <c r="GV333" s="712"/>
      <c r="GW333" s="712">
        <f t="shared" si="914"/>
        <v>0</v>
      </c>
      <c r="GX333" s="712" t="str">
        <f t="shared" si="915"/>
        <v/>
      </c>
      <c r="GY333" s="712">
        <f>IF(GA333="P",Lookup!$N$12,IF(GA333="PP",Lookup!$N$13,IF(GA333="PPP",Lookup!$N$14,IF(GA333="T",Lookup!$N$15,IF(GA333="TP",Lookup!$N$16,IF(GA333="TPP",Lookup!$N$17,IF(GA333="TPPP",Lookup!$N$18,0)))))))*FZ333</f>
        <v>0</v>
      </c>
      <c r="GZ333" s="697">
        <f t="shared" si="928"/>
        <v>0</v>
      </c>
      <c r="HA333" s="712">
        <f t="shared" si="916"/>
        <v>0</v>
      </c>
      <c r="HB333" s="712">
        <f t="shared" si="917"/>
        <v>0</v>
      </c>
      <c r="HC333" s="712"/>
    </row>
    <row r="334" spans="1:211">
      <c r="A334" s="773" t="s">
        <v>6</v>
      </c>
      <c r="B334" s="708">
        <v>40863</v>
      </c>
      <c r="C334" s="709">
        <v>0.5</v>
      </c>
      <c r="D334" s="675">
        <f t="shared" si="840"/>
        <v>300</v>
      </c>
      <c r="E334" s="675">
        <f t="shared" si="841"/>
        <v>250</v>
      </c>
      <c r="F334" s="675">
        <v>250</v>
      </c>
      <c r="G334" s="712">
        <f>DH334+Sheet1!CV334</f>
        <v>827.4224029245579</v>
      </c>
      <c r="H334" s="712">
        <f t="shared" si="842"/>
        <v>267.88264125043423</v>
      </c>
      <c r="I334" s="711">
        <f>MAX(Sheet1!Z334-AJ334+(Sheet1!CW334-E334)*CFStoMGD,0)</f>
        <v>803.12933333333649</v>
      </c>
      <c r="J334" s="720">
        <f>IF(AND(B334&gt;=Calculation!FS334,B334&lt;=Calculation!FT334),IF(Sheet1!CX334&gt;=Calculation!D334,64.64,0),MAX(Sheet1!Z334-AJ334+(Sheet1!CX334-D334)*CFStoMGD,0))</f>
        <v>475.95666666666983</v>
      </c>
      <c r="K334" s="697">
        <f t="shared" si="843"/>
        <v>64.64</v>
      </c>
      <c r="L334" s="712">
        <f>Sheet1!AA334+Sheet1!AB334-Sheet1!L334+(Sheet1!CW334-F334)*CFStoMGD</f>
        <v>803.48933333332832</v>
      </c>
      <c r="M334" s="712">
        <f t="shared" si="844"/>
        <v>545.54275807544298</v>
      </c>
      <c r="N334" s="712">
        <f>IF(Sheet1!CW334&gt;=F334,MIN(73,MIN(MAX(L334,0),MAX(M334,0))),0)</f>
        <v>73</v>
      </c>
      <c r="O334" s="721">
        <f>Sheet1!AA334+Sheet1!AB334</f>
        <v>36.049999999995634</v>
      </c>
      <c r="P334" s="721">
        <f t="shared" si="845"/>
        <v>55.769349999993238</v>
      </c>
      <c r="Q334" s="712">
        <f>MIN(N334,Sheet1!AA334+AG334)</f>
        <v>36.049999999995634</v>
      </c>
      <c r="R334" s="712">
        <f t="shared" si="846"/>
        <v>0</v>
      </c>
      <c r="S334" s="721">
        <f>Sheet1!Y334*MGDtoCFS</f>
        <v>40.500459999999997</v>
      </c>
      <c r="T334" s="721">
        <f>Sheet1!Z334*MGDtoCFS</f>
        <v>14.201459999999999</v>
      </c>
      <c r="U334" s="721">
        <f>Sheet1!AA334*MGDtoCFS</f>
        <v>41.428659999998196</v>
      </c>
      <c r="V334" s="721">
        <f>Sheet1!AB334*MGDtoCFS</f>
        <v>14.340689999995046</v>
      </c>
      <c r="W334" s="721">
        <f>Sheet1!L334*MGDtoCFS</f>
        <v>55.351660000001011</v>
      </c>
      <c r="X334" s="697">
        <f t="shared" si="847"/>
        <v>0</v>
      </c>
      <c r="Y334" s="712">
        <f t="shared" si="848"/>
        <v>0</v>
      </c>
      <c r="Z334" s="712">
        <f t="shared" si="849"/>
        <v>0</v>
      </c>
      <c r="AA334" s="712">
        <f t="shared" si="850"/>
        <v>0</v>
      </c>
      <c r="AB334" s="712">
        <f>(VLOOKUP(Sheet1!CY334,hhdcap_wcm,4)-(((VLOOKUP(Sheet1!CY334,hhdcap_wcm,3)-Sheet1!CY334)/(VLOOKUP(Sheet1!CY334,hhdcap_wcm,3)-VLOOKUP(Sheet1!CY334,hhdcap_wcm,1)))*(VLOOKUP(Sheet1!CY334,hhdcap_wcm,4)-VLOOKUP(Sheet1!CY334,hhdcap_wcm,2))))</f>
        <v>1991.8000000028362</v>
      </c>
      <c r="AC334" s="712">
        <f t="shared" si="851"/>
        <v>-300.00000000060186</v>
      </c>
      <c r="AD334" s="712">
        <f t="shared" si="852"/>
        <v>0</v>
      </c>
      <c r="AE334" s="712">
        <f t="shared" si="853"/>
        <v>0</v>
      </c>
      <c r="AF334" s="712">
        <f>Sheet1!BA334+Sheet1!BB334+Sheet1!BN334+BT334</f>
        <v>9.1</v>
      </c>
      <c r="AG334" s="712">
        <f t="shared" si="854"/>
        <v>9.2699999999967986</v>
      </c>
      <c r="AH334" s="712">
        <f>Sheet1!BA334+BT334</f>
        <v>0</v>
      </c>
      <c r="AI334" s="712">
        <f>Sheet1!BA334+Sheet1!BB334+BT334</f>
        <v>0</v>
      </c>
      <c r="AJ334" s="712">
        <f>IF((Sheet1!AA334+AG334+AX334+AZ334+BQ334+BS334+CL334+CN334)&lt;=N334,AG334+AX334+AZ334+BQ334+BS334+CL334+CN334,N334-Sheet1!AA334)</f>
        <v>9.2699999999967986</v>
      </c>
      <c r="AK334" s="712">
        <f>IF(DR334&lt;K334,0,MAX(Sheet1!AA334+AG334-15/36*K334-N334,Sheet1!ED334,0))</f>
        <v>0</v>
      </c>
      <c r="AL334" s="712">
        <f>IF(OR(B334&gt;=FT334,B334&lt;FS334),0,15/36*K334-MAX(0,64.6-(137.6-(Sheet1!AA334+Sheet1!AB334))))</f>
        <v>0</v>
      </c>
      <c r="AM334" s="712">
        <f>Sheet1!CX334-110</f>
        <v>926.45833333333326</v>
      </c>
      <c r="AN334" s="712">
        <f>Sheet1!CW334-265</f>
        <v>1227.6041666666667</v>
      </c>
      <c r="AO334" s="712">
        <f t="shared" si="835"/>
        <v>36.950000000004366</v>
      </c>
      <c r="AP334" s="712">
        <f t="shared" si="855"/>
        <v>0</v>
      </c>
      <c r="AQ334" s="712">
        <f t="shared" si="856"/>
        <v>0</v>
      </c>
      <c r="AR334" s="712">
        <f t="shared" si="857"/>
        <v>0</v>
      </c>
      <c r="AS334" s="712"/>
      <c r="AT334" s="712">
        <f ca="1">IF(B334&gt;Summary!$A$1,#N/A,AR334*MGtoAF)</f>
        <v>0</v>
      </c>
      <c r="AU334" s="712">
        <f>Sheet1!BG334+Sheet1!BH334+Sheet1!BI334-BC334</f>
        <v>0</v>
      </c>
      <c r="AV334" s="712">
        <f t="shared" si="858"/>
        <v>0</v>
      </c>
      <c r="AW334" s="712">
        <f>IF(Sheet1!EL334="FM",BC334,0)</f>
        <v>0</v>
      </c>
      <c r="AX334" s="712">
        <f t="shared" si="859"/>
        <v>0</v>
      </c>
      <c r="AY334" s="712">
        <f>IF(Sheet1!EL334="OTHER",BC334,0)</f>
        <v>0</v>
      </c>
      <c r="AZ334" s="712">
        <f t="shared" si="860"/>
        <v>0</v>
      </c>
      <c r="BA334" s="712">
        <f t="shared" si="861"/>
        <v>0</v>
      </c>
      <c r="BB334" s="712">
        <f t="shared" si="862"/>
        <v>0</v>
      </c>
      <c r="BC334" s="712">
        <f>IF(OR(Sheet1!EL334="FM", Sheet1!EL334="OTHER"),SUM(Sheet1!BG334:'Sheet1'!BI334),0)</f>
        <v>0</v>
      </c>
      <c r="BD334" s="697">
        <f>IF(AND($B334&gt;=$FL334,$B334&lt;=$FM334),MAX(AV334,Sheet1!EE334,0),MAX(AV334-(7/36)*$K334,0))</f>
        <v>0</v>
      </c>
      <c r="BE334" s="712">
        <f t="shared" si="863"/>
        <v>0</v>
      </c>
      <c r="BF334" s="697">
        <f t="shared" si="864"/>
        <v>0</v>
      </c>
      <c r="BG334" s="697">
        <f>IF(AND($O334&gt;0,Sheet1!EI334=1),(1-($O334-Sheet1!$L334)/$O334)*BB334,0)</f>
        <v>0</v>
      </c>
      <c r="BH334" s="697">
        <f>IF(AND(Sheet1!$L334=0,Sheet1!$L333=0, Calculation!BA334&lt;Sheet1!$EE334-0.1,Sheet1!$EE334=Sheet1!$EE333,Sheet1!$EE334=Sheet1!$EE335),Sheet1!$EE334,BB334-BG334)</f>
        <v>0</v>
      </c>
      <c r="BI334" s="712"/>
      <c r="BJ334" s="712"/>
      <c r="BK334" s="712">
        <f t="shared" si="865"/>
        <v>0</v>
      </c>
      <c r="BL334" s="712"/>
      <c r="BM334" s="712">
        <f ca="1">IF(B334&gt;Summary!$A$1,#N/A,BK334*MGtoAF)</f>
        <v>0</v>
      </c>
      <c r="BN334" s="712">
        <f>Sheet1!BC334+Sheet1!BD334+Sheet1!BE334+Sheet1!BF334-BW334-BX334</f>
        <v>0</v>
      </c>
      <c r="BO334" s="712">
        <f t="shared" si="866"/>
        <v>0</v>
      </c>
      <c r="BP334" s="712">
        <f>IF(Sheet1!EM334="FM",BX334,0)</f>
        <v>0</v>
      </c>
      <c r="BQ334" s="712">
        <f t="shared" si="867"/>
        <v>0</v>
      </c>
      <c r="BR334" s="712">
        <f>IF(Sheet1!EM334="OTHER",BX334,0)</f>
        <v>0</v>
      </c>
      <c r="BS334" s="712">
        <f t="shared" si="868"/>
        <v>0</v>
      </c>
      <c r="BT334" s="712">
        <f t="shared" si="869"/>
        <v>0</v>
      </c>
      <c r="BU334" s="712">
        <f t="shared" si="870"/>
        <v>0</v>
      </c>
      <c r="BV334" s="712">
        <f t="shared" si="871"/>
        <v>0</v>
      </c>
      <c r="BW334" s="712">
        <f>IF(Sheet1!EM334="CWA",SUM(Sheet1!BC334:'Sheet1'!BF334),0)</f>
        <v>0</v>
      </c>
      <c r="BX334" s="712">
        <f>IF(OR(Sheet1!EM334="FM", Sheet1!EM334="OTHER"),SUM(Sheet1!BC334:'Sheet1'!BF334),0)</f>
        <v>0</v>
      </c>
      <c r="BY334" s="697">
        <f>IF(AND($B334&gt;=$FL334,$B334&lt;=$FM334),MAX(BV334,Sheet1!EF334,0),MAX(BV334-(7/36)*$K334,0))</f>
        <v>0</v>
      </c>
      <c r="BZ334" s="712">
        <f t="shared" si="872"/>
        <v>0</v>
      </c>
      <c r="CA334" s="697">
        <f t="shared" si="873"/>
        <v>0</v>
      </c>
      <c r="CB334" s="697">
        <f>IF(AND($O334&gt;0,Sheet1!EJ334=1),(1-($O334-Sheet1!$L334)/$O334)*BV334,0)</f>
        <v>0</v>
      </c>
      <c r="CC334" s="697">
        <f>IF(AND(Sheet1!$L334=0,Sheet1!$L333=0, Calculation!BU334&lt;Sheet1!EF334-0.1,Sheet1!EF334=Sheet1!EF333,Sheet1!EF334=Sheet1!EF335),Sheet1!EF334,BV334-CB334)</f>
        <v>0</v>
      </c>
      <c r="CD334" s="697"/>
      <c r="CE334" s="712"/>
      <c r="CF334" s="712">
        <f t="shared" si="874"/>
        <v>0</v>
      </c>
      <c r="CG334" s="712"/>
      <c r="CH334" s="712">
        <f ca="1">IF(B334&gt;Summary!$A$1,#N/A,CF334*MGtoAF)</f>
        <v>0</v>
      </c>
      <c r="CI334" s="712">
        <f>Sheet1!BK334+Sheet1!BL334+Sheet1!BM334-Sheet1!EN334-CQ334</f>
        <v>0</v>
      </c>
      <c r="CJ334" s="712">
        <f t="shared" si="875"/>
        <v>0</v>
      </c>
      <c r="CK334" s="712">
        <f>IF(Sheet1!EN334="FM",CQ334,0)</f>
        <v>0</v>
      </c>
      <c r="CL334" s="712">
        <f t="shared" si="876"/>
        <v>0</v>
      </c>
      <c r="CM334" s="712">
        <f>IF(Sheet1!EN334="OTHER",CQ334,0)</f>
        <v>0</v>
      </c>
      <c r="CN334" s="712">
        <f t="shared" si="877"/>
        <v>0</v>
      </c>
      <c r="CO334" s="712">
        <f t="shared" si="878"/>
        <v>0</v>
      </c>
      <c r="CP334" s="712">
        <f t="shared" si="879"/>
        <v>0</v>
      </c>
      <c r="CQ334" s="712">
        <f>IF(OR(Sheet1!EN334="FM", Sheet1!EN334="OTHER"),SUM(Sheet1!BK334:'Sheet1'!BM334),0)</f>
        <v>0</v>
      </c>
      <c r="CR334" s="697">
        <f>IF(AND($B334&gt;=$FL334,$B334&lt;=$FM334),MAX($CJ334,Sheet1!EG334,0),MAX($CJ334-(7/36)*$K334,0))</f>
        <v>0</v>
      </c>
      <c r="CS334" s="712">
        <f t="shared" si="880"/>
        <v>0</v>
      </c>
      <c r="CT334" s="697">
        <f t="shared" si="881"/>
        <v>0</v>
      </c>
      <c r="CU334" s="697">
        <f>IF(AND($O334&gt;0,Sheet1!EK334=1),(1-($O334-Sheet1!$L334)/$O334)*CP334,0)</f>
        <v>0</v>
      </c>
      <c r="CV334" s="697">
        <f>IF(AND(Sheet1!$L334=0,Sheet1!$L333=0, Calculation!CO334&lt;Sheet1!$EG334-0.1,Sheet1!$EG334=Sheet1!$EG333,Sheet1!$EG334=Sheet1!$EG335),Sheet1!$EG334,CP334-CU334)</f>
        <v>0</v>
      </c>
      <c r="CW334" s="697"/>
      <c r="CX334" s="712">
        <f t="shared" si="882"/>
        <v>0</v>
      </c>
      <c r="CY334" s="712">
        <f t="shared" si="883"/>
        <v>0</v>
      </c>
      <c r="CZ334" s="712">
        <f t="shared" si="884"/>
        <v>0</v>
      </c>
      <c r="DA334" s="712">
        <f ca="1">IF(B334&gt;Summary!$A$1,#N/A,CY334*MGtoAF)</f>
        <v>0</v>
      </c>
      <c r="DB334" s="712">
        <f t="shared" si="885"/>
        <v>0</v>
      </c>
      <c r="DC334" s="712">
        <f t="shared" si="886"/>
        <v>9.1</v>
      </c>
      <c r="DD334" s="712">
        <f>Sheet1!AB334-DC334</f>
        <v>0.16999999999679893</v>
      </c>
      <c r="DE334" s="712">
        <f t="shared" si="887"/>
        <v>1.8681318680966917E-2</v>
      </c>
      <c r="DF334" s="712">
        <f>(VLOOKUP(Sheet1!CY334,hhdcap_wcm,4)-(((VLOOKUP(Sheet1!CY334,hhdcap_wcm,3)-Sheet1!CY334)/(VLOOKUP(Sheet1!CY334,hhdcap_wcm,3)-VLOOKUP(Sheet1!CY334,hhdcap_wcm,1)))*(VLOOKUP(Sheet1!CY334,hhdcap_wcm,4)-VLOOKUP(Sheet1!CY334,hhdcap_wcm,2))))</f>
        <v>1991.8000000028362</v>
      </c>
      <c r="DG334" s="712">
        <f t="shared" si="888"/>
        <v>-300.00000000060186</v>
      </c>
      <c r="DH334" s="712">
        <f t="shared" si="889"/>
        <v>-151.2859304087755</v>
      </c>
      <c r="DI334" s="712">
        <f>Sheet1!DW334*AFtoMG</f>
        <v>0</v>
      </c>
      <c r="DJ334" s="712">
        <f>Sheet1!DX334*AFtoMG</f>
        <v>0</v>
      </c>
      <c r="DK334" s="712">
        <f>Sheet1!DY334*AFtoMG</f>
        <v>0</v>
      </c>
      <c r="DL334" s="712">
        <f>Sheet1!DZ334*AFtoMG</f>
        <v>0</v>
      </c>
      <c r="DM334" s="712">
        <f t="shared" si="890"/>
        <v>0</v>
      </c>
      <c r="DN334" s="712">
        <f t="shared" si="891"/>
        <v>0</v>
      </c>
      <c r="DO334" s="712">
        <f t="shared" si="892"/>
        <v>0</v>
      </c>
      <c r="DP334" s="712">
        <f t="shared" si="893"/>
        <v>0</v>
      </c>
      <c r="DQ334" s="712"/>
      <c r="DR334" s="697">
        <f>IF(OR(B334&lt;FL334,B334&gt;FM334),(MIN(AV334+BO334+CJ334+MAX(Sheet1!AA334+AG334-73,0),K334)),0)</f>
        <v>0</v>
      </c>
      <c r="DS334" s="712"/>
      <c r="DT334" s="712">
        <f t="shared" si="894"/>
        <v>0</v>
      </c>
      <c r="DU334" s="712"/>
      <c r="DV334" s="712">
        <f>Sheet1!ED334+Sheet1!EE334+Sheet1!EF334+Sheet1!EG334</f>
        <v>8.5</v>
      </c>
      <c r="DW334" s="712"/>
      <c r="DX334" s="697">
        <f t="shared" si="895"/>
        <v>0</v>
      </c>
      <c r="DY334" s="712">
        <f>IF(Sheet1!FN334=1,SUM('Calculations II'!AT334:BA334)+'Calculations II'!BC334+Sheet1!BU334+'Calculations II'!BE334+AF334,SUM('Calculations II'!AT334:BA334)+'Calculations II'!BC334+Sheet1!BU334+'Calculations II'!BE334+AF334)</f>
        <v>41.659616</v>
      </c>
      <c r="DZ334" s="712">
        <f>Sheet1!AA334+Sheet1!AB334+'Calculations II'!BC334</f>
        <v>45.192559999995638</v>
      </c>
      <c r="EA334" s="712"/>
      <c r="EB334" s="712"/>
      <c r="EC334" s="712">
        <f t="shared" si="896"/>
        <v>40863</v>
      </c>
      <c r="ED334" s="712">
        <f t="shared" si="897"/>
        <v>0</v>
      </c>
      <c r="EE334" s="712">
        <f t="shared" si="898"/>
        <v>0</v>
      </c>
      <c r="EF334" s="712">
        <f ca="1">IF(B334=TODAY(),0,-(VLOOKUP(Sheet1!BQ334,Lookup!$B$4:$J$236,2)-VLOOKUP(Sheet1!BQ333,Lookup!$B$4:$J$236,2))/1000000)</f>
        <v>-0.26369999999999999</v>
      </c>
      <c r="EG334" s="712">
        <f ca="1">IF(B334=TODAY(),0,-(VLOOKUP(Sheet1!BR334,Lookup!$B$4:$J$236,3)-VLOOKUP(Sheet1!BR333,Lookup!$B$4:$J$236,3))/1000000)</f>
        <v>-0.26329999999999998</v>
      </c>
      <c r="EH334" s="712">
        <f>-(VLOOKUP(Sheet1!BS334,Lookup!$B$4:$J$236,4)-VLOOKUP(Sheet1!BS333,Lookup!$B$4:$J$236,4))/1000000</f>
        <v>0</v>
      </c>
      <c r="EI334" s="697">
        <f t="shared" ca="1" si="922"/>
        <v>-0.52699999999999991</v>
      </c>
      <c r="EJ334" s="712"/>
      <c r="EK334" s="712"/>
      <c r="EL334" s="712"/>
      <c r="EM334" s="712"/>
      <c r="EN334" s="712"/>
      <c r="EO334" s="712"/>
      <c r="EP334" s="712"/>
      <c r="EQ334" s="712"/>
      <c r="ER334" s="712"/>
      <c r="ES334" s="712"/>
      <c r="ET334" s="794">
        <f t="shared" si="919"/>
        <v>1093</v>
      </c>
      <c r="EU334" s="794" t="e">
        <f t="shared" si="924"/>
        <v>#N/A</v>
      </c>
      <c r="EV334" s="795" t="e">
        <f t="shared" si="925"/>
        <v>#N/A</v>
      </c>
      <c r="EW334" s="796" t="s">
        <v>757</v>
      </c>
      <c r="EX334" s="796" t="s">
        <v>757</v>
      </c>
      <c r="EY334" s="794" t="e">
        <v>#N/A</v>
      </c>
      <c r="EZ334" s="798">
        <v>4437.800000007267</v>
      </c>
      <c r="FA334" s="712"/>
      <c r="FB334" s="712"/>
      <c r="FC334" s="712"/>
      <c r="FD334" s="712"/>
      <c r="FE334" s="712">
        <f>O334+Sheet1!CO334</f>
        <v>6385.0499999999956</v>
      </c>
      <c r="FF334" s="712">
        <f>IF(Sheet1!AA334+AG334&lt;=Calculation!N334,AG334,Calculation!N334-Sheet1!AA334)</f>
        <v>9.2699999999967986</v>
      </c>
      <c r="FG334" s="712">
        <f>(Sheet1!BP334+Sheet1!BO334)/694.4</f>
        <v>1.5423387096774195</v>
      </c>
      <c r="FH334" s="712"/>
      <c r="FI334" s="712"/>
      <c r="FJ334" s="712"/>
      <c r="FK334" s="712"/>
      <c r="FL334" s="714">
        <f t="shared" si="929"/>
        <v>40753</v>
      </c>
      <c r="FM334" s="714">
        <f t="shared" si="930"/>
        <v>40851</v>
      </c>
      <c r="FN334" s="712"/>
      <c r="FO334" s="712"/>
      <c r="FP334" s="712"/>
      <c r="FQ334" s="712"/>
      <c r="FR334" s="712"/>
      <c r="FS334" s="725">
        <f t="shared" si="931"/>
        <v>40603</v>
      </c>
      <c r="FT334" s="714">
        <f t="shared" si="932"/>
        <v>40709</v>
      </c>
      <c r="FU334" s="712">
        <f t="shared" si="931"/>
        <v>6518.9048239895692</v>
      </c>
      <c r="FV334" s="714">
        <f t="shared" si="933"/>
        <v>40722</v>
      </c>
      <c r="FW334" s="712">
        <f t="shared" si="931"/>
        <v>3259.4524119947846</v>
      </c>
      <c r="FX334" s="725">
        <f t="shared" si="931"/>
        <v>40851</v>
      </c>
      <c r="FZ334" s="697">
        <f t="shared" si="926"/>
        <v>0</v>
      </c>
      <c r="GA334" s="712" t="str">
        <f t="shared" si="899"/>
        <v/>
      </c>
      <c r="GB334" s="712">
        <f t="shared" si="900"/>
        <v>0</v>
      </c>
      <c r="GC334" s="712" t="str">
        <f t="shared" si="901"/>
        <v/>
      </c>
      <c r="GD334" s="712">
        <f>IF(GA334="P",Lookup!$M$12,IF(GA334="PP",Lookup!$M$13,IF(GA334="PPP",Lookup!$M$14,IF(GA334="T",Lookup!$M$15,IF(GA334="TP",Lookup!$M$16,IF(GA334="TPP",Lookup!$M$17,IF(GA334="TPPP",Lookup!$M$18,0)))))))*FZ334</f>
        <v>0</v>
      </c>
      <c r="GE334" s="712">
        <f t="shared" si="902"/>
        <v>0</v>
      </c>
      <c r="GF334" s="712">
        <f t="shared" si="903"/>
        <v>0</v>
      </c>
      <c r="GG334" s="712">
        <f t="shared" si="904"/>
        <v>0</v>
      </c>
      <c r="GH334" s="712"/>
      <c r="GI334" s="712">
        <f t="shared" si="905"/>
        <v>0</v>
      </c>
      <c r="GJ334" s="712" t="str">
        <f t="shared" si="906"/>
        <v/>
      </c>
      <c r="GK334" s="712">
        <f>IF(GA334="P",Lookup!$N$12,IF(GA334="PP",Lookup!$N$13,IF(GA334="PPP",Lookup!$N$14,IF(GA334="T",Lookup!$N$15,IF(GA334="TP",Lookup!$N$16,IF(GA334="TPP",Lookup!$N$17,IF(GA334="TPPP",Lookup!$N$18,0)))))))*FZ334</f>
        <v>0</v>
      </c>
      <c r="GL334" s="712">
        <f t="shared" si="907"/>
        <v>0</v>
      </c>
      <c r="GM334" s="712">
        <f t="shared" si="908"/>
        <v>0</v>
      </c>
      <c r="GN334" s="712">
        <f t="shared" si="909"/>
        <v>0</v>
      </c>
      <c r="GO334" s="712"/>
      <c r="GP334" s="712">
        <f t="shared" si="910"/>
        <v>0</v>
      </c>
      <c r="GQ334" s="712" t="str">
        <f t="shared" si="911"/>
        <v/>
      </c>
      <c r="GR334" s="712">
        <f>IF(GA334="P",Lookup!$N$12,IF(GA334="PP",Lookup!$N$13,IF(GA334="PPP",Lookup!$N$14,IF(GA334="T",Lookup!$N$15,IF(GA334="TP",Lookup!$N$16,IF(GA334="TPP",Lookup!$N$17,IF(GA334="TPPP",Lookup!$N$18,0)))))))*FZ334</f>
        <v>0</v>
      </c>
      <c r="GS334" s="697">
        <f t="shared" si="927"/>
        <v>0</v>
      </c>
      <c r="GT334" s="712">
        <f t="shared" si="912"/>
        <v>0</v>
      </c>
      <c r="GU334" s="712">
        <f t="shared" si="913"/>
        <v>0</v>
      </c>
      <c r="GV334" s="712"/>
      <c r="GW334" s="712">
        <f t="shared" si="914"/>
        <v>0</v>
      </c>
      <c r="GX334" s="712" t="str">
        <f t="shared" si="915"/>
        <v/>
      </c>
      <c r="GY334" s="712">
        <f>IF(GA334="P",Lookup!$N$12,IF(GA334="PP",Lookup!$N$13,IF(GA334="PPP",Lookup!$N$14,IF(GA334="T",Lookup!$N$15,IF(GA334="TP",Lookup!$N$16,IF(GA334="TPP",Lookup!$N$17,IF(GA334="TPPP",Lookup!$N$18,0)))))))*FZ334</f>
        <v>0</v>
      </c>
      <c r="GZ334" s="697">
        <f t="shared" si="928"/>
        <v>0</v>
      </c>
      <c r="HA334" s="712">
        <f t="shared" si="916"/>
        <v>0</v>
      </c>
      <c r="HB334" s="712">
        <f t="shared" si="917"/>
        <v>0</v>
      </c>
      <c r="HC334" s="712"/>
    </row>
    <row r="335" spans="1:211">
      <c r="A335" s="773" t="s">
        <v>7</v>
      </c>
      <c r="B335" s="708">
        <v>40864</v>
      </c>
      <c r="C335" s="719">
        <v>0.5</v>
      </c>
      <c r="D335" s="675">
        <f t="shared" si="840"/>
        <v>300</v>
      </c>
      <c r="E335" s="675">
        <f t="shared" si="841"/>
        <v>250</v>
      </c>
      <c r="F335" s="675">
        <v>250</v>
      </c>
      <c r="G335" s="712">
        <f>DH335+Sheet1!CV335</f>
        <v>1428.88237518953</v>
      </c>
      <c r="H335" s="712">
        <f t="shared" si="842"/>
        <v>656.6663673225122</v>
      </c>
      <c r="I335" s="711">
        <f>MAX(Sheet1!Z335-AJ335+(Sheet1!CW335-E335)*CFStoMGD,0)</f>
        <v>648.19373333332749</v>
      </c>
      <c r="J335" s="720">
        <f>IF(AND(B335&gt;=Calculation!FS335,B335&lt;=Calculation!FT335),IF(Sheet1!CX335&gt;=Calculation!D335,64.64,0),MAX(Sheet1!Z335-AJ335+(Sheet1!CX335-D335)*CFStoMGD,0))</f>
        <v>612.3925999999941</v>
      </c>
      <c r="K335" s="697">
        <f t="shared" si="843"/>
        <v>64.64</v>
      </c>
      <c r="L335" s="712">
        <f>Sheet1!AA335+Sheet1!AB335-Sheet1!L335+(Sheet1!CW335-F335)*CFStoMGD</f>
        <v>647.79373333335161</v>
      </c>
      <c r="M335" s="712">
        <f t="shared" si="844"/>
        <v>942.10215866896249</v>
      </c>
      <c r="N335" s="712">
        <f>IF(Sheet1!CW335&gt;=F335,MIN(73,MIN(MAX(L335,0),MAX(M335,0))),0)</f>
        <v>73</v>
      </c>
      <c r="O335" s="721">
        <f>Sheet1!AA335+Sheet1!AB335</f>
        <v>34.520000000018626</v>
      </c>
      <c r="P335" s="721">
        <f t="shared" si="845"/>
        <v>53.402440000028811</v>
      </c>
      <c r="Q335" s="712">
        <f>MIN(N335,Sheet1!AA335+AG335)</f>
        <v>34.520000000018626</v>
      </c>
      <c r="R335" s="712">
        <f t="shared" si="846"/>
        <v>0</v>
      </c>
      <c r="S335" s="721">
        <f>Sheet1!Y335*MGDtoCFS</f>
        <v>39.680549999999997</v>
      </c>
      <c r="T335" s="721">
        <f>Sheet1!Z335*MGDtoCFS</f>
        <v>14.185989999999999</v>
      </c>
      <c r="U335" s="721">
        <f>Sheet1!AA335*MGDtoCFS</f>
        <v>39.324740000019808</v>
      </c>
      <c r="V335" s="721">
        <f>Sheet1!AB335*MGDtoCFS</f>
        <v>14.077700000009004</v>
      </c>
      <c r="W335" s="721">
        <f>Sheet1!L335*MGDtoCFS</f>
        <v>53.912950000000563</v>
      </c>
      <c r="X335" s="697">
        <f t="shared" si="847"/>
        <v>0</v>
      </c>
      <c r="Y335" s="712">
        <f t="shared" si="848"/>
        <v>0</v>
      </c>
      <c r="Z335" s="712">
        <f t="shared" si="849"/>
        <v>0</v>
      </c>
      <c r="AA335" s="712">
        <f t="shared" si="850"/>
        <v>0</v>
      </c>
      <c r="AB335" s="712">
        <f>(VLOOKUP(Sheet1!CY335,hhdcap_wcm,4)-(((VLOOKUP(Sheet1!CY335,hhdcap_wcm,3)-Sheet1!CY335)/(VLOOKUP(Sheet1!CY335,hhdcap_wcm,3)-VLOOKUP(Sheet1!CY335,hhdcap_wcm,1)))*(VLOOKUP(Sheet1!CY335,hhdcap_wcm,4)-VLOOKUP(Sheet1!CY335,hhdcap_wcm,2))))</f>
        <v>2466.3300000036743</v>
      </c>
      <c r="AC335" s="712">
        <f t="shared" si="851"/>
        <v>474.53000000083807</v>
      </c>
      <c r="AD335" s="712">
        <f t="shared" si="852"/>
        <v>0</v>
      </c>
      <c r="AE335" s="712">
        <f t="shared" si="853"/>
        <v>0</v>
      </c>
      <c r="AF335" s="712">
        <f>Sheet1!BA335+Sheet1!BB335+Sheet1!BN335+BT335</f>
        <v>9.0299999999999994</v>
      </c>
      <c r="AG335" s="712">
        <f t="shared" si="854"/>
        <v>9.1000000000058208</v>
      </c>
      <c r="AH335" s="712">
        <f>Sheet1!BA335+BT335</f>
        <v>0</v>
      </c>
      <c r="AI335" s="712">
        <f>Sheet1!BA335+Sheet1!BB335+BT335</f>
        <v>0</v>
      </c>
      <c r="AJ335" s="712">
        <f>IF((Sheet1!AA335+AG335+AX335+AZ335+BQ335+BS335+CL335+CN335)&lt;=N335,AG335+AX335+AZ335+BQ335+BS335+CL335+CN335,N335-Sheet1!AA335)</f>
        <v>9.1000000000058208</v>
      </c>
      <c r="AK335" s="712">
        <f>IF(DR335&lt;K335,0,MAX(Sheet1!AA335+AG335-15/36*K335-N335,Sheet1!ED335,0))</f>
        <v>0</v>
      </c>
      <c r="AL335" s="712">
        <f>IF(OR(B335&gt;=FT335,B335&lt;FS335),0,15/36*K335-MAX(0,64.6-(137.6-(Sheet1!AA335+Sheet1!AB335))))</f>
        <v>0</v>
      </c>
      <c r="AM335" s="712">
        <f>Sheet1!CX335-110</f>
        <v>1137.28125</v>
      </c>
      <c r="AN335" s="712">
        <f>Sheet1!CW335-265</f>
        <v>987.66666666666674</v>
      </c>
      <c r="AO335" s="712">
        <f t="shared" ref="AO335:AO385" si="934">N335-Q335</f>
        <v>38.479999999981374</v>
      </c>
      <c r="AP335" s="712">
        <f t="shared" si="855"/>
        <v>0</v>
      </c>
      <c r="AQ335" s="712">
        <f t="shared" si="856"/>
        <v>0</v>
      </c>
      <c r="AR335" s="712">
        <f t="shared" si="857"/>
        <v>0</v>
      </c>
      <c r="AS335" s="712"/>
      <c r="AT335" s="712">
        <f ca="1">IF(B335&gt;Summary!$A$1,#N/A,AR335*MGtoAF)</f>
        <v>0</v>
      </c>
      <c r="AU335" s="712">
        <f>Sheet1!BG335+Sheet1!BH335+Sheet1!BI335-BC335</f>
        <v>0</v>
      </c>
      <c r="AV335" s="712">
        <f t="shared" si="858"/>
        <v>0</v>
      </c>
      <c r="AW335" s="712">
        <f>IF(Sheet1!EL335="FM",BC335,0)</f>
        <v>0</v>
      </c>
      <c r="AX335" s="712">
        <f t="shared" si="859"/>
        <v>0</v>
      </c>
      <c r="AY335" s="712">
        <f>IF(Sheet1!EL335="OTHER",BC335,0)</f>
        <v>0</v>
      </c>
      <c r="AZ335" s="712">
        <f t="shared" si="860"/>
        <v>0</v>
      </c>
      <c r="BA335" s="712">
        <f t="shared" si="861"/>
        <v>0</v>
      </c>
      <c r="BB335" s="712">
        <f t="shared" si="862"/>
        <v>0</v>
      </c>
      <c r="BC335" s="712">
        <f>IF(OR(Sheet1!EL335="FM", Sheet1!EL335="OTHER"),SUM(Sheet1!BG335:'Sheet1'!BI335),0)</f>
        <v>0</v>
      </c>
      <c r="BD335" s="697">
        <f>IF(AND($B335&gt;=$FL335,$B335&lt;=$FM335),MAX(AV335,Sheet1!EE335,0),MAX(AV335-(7/36)*$K335,0))</f>
        <v>0</v>
      </c>
      <c r="BE335" s="712">
        <f t="shared" si="863"/>
        <v>0</v>
      </c>
      <c r="BF335" s="697">
        <f t="shared" si="864"/>
        <v>0</v>
      </c>
      <c r="BG335" s="697">
        <f>IF(AND($O335&gt;0,Sheet1!EI335=1),(1-($O335-Sheet1!$L335)/$O335)*BB335,0)</f>
        <v>0</v>
      </c>
      <c r="BH335" s="697">
        <f>IF(AND(Sheet1!$L335=0,Sheet1!$L334=0, Calculation!BA335&lt;Sheet1!$EE335-0.1,Sheet1!$EE335=Sheet1!$EE334,Sheet1!$EE335=Sheet1!$EE336),Sheet1!$EE335,BB335-BG335)</f>
        <v>0</v>
      </c>
      <c r="BI335" s="712"/>
      <c r="BJ335" s="712"/>
      <c r="BK335" s="712">
        <f t="shared" si="865"/>
        <v>0</v>
      </c>
      <c r="BL335" s="712"/>
      <c r="BM335" s="712">
        <f ca="1">IF(B335&gt;Summary!$A$1,#N/A,BK335*MGtoAF)</f>
        <v>0</v>
      </c>
      <c r="BN335" s="712">
        <f>Sheet1!BC335+Sheet1!BD335+Sheet1!BE335+Sheet1!BF335-BW335-BX335</f>
        <v>0</v>
      </c>
      <c r="BO335" s="712">
        <f t="shared" si="866"/>
        <v>0</v>
      </c>
      <c r="BP335" s="712">
        <f>IF(Sheet1!EM335="FM",BX335,0)</f>
        <v>0</v>
      </c>
      <c r="BQ335" s="712">
        <f t="shared" si="867"/>
        <v>0</v>
      </c>
      <c r="BR335" s="712">
        <f>IF(Sheet1!EM335="OTHER",BX335,0)</f>
        <v>0</v>
      </c>
      <c r="BS335" s="712">
        <f t="shared" si="868"/>
        <v>0</v>
      </c>
      <c r="BT335" s="712">
        <f t="shared" si="869"/>
        <v>0</v>
      </c>
      <c r="BU335" s="712">
        <f t="shared" si="870"/>
        <v>0</v>
      </c>
      <c r="BV335" s="712">
        <f t="shared" si="871"/>
        <v>0</v>
      </c>
      <c r="BW335" s="712">
        <f>IF(Sheet1!EM335="CWA",SUM(Sheet1!BC335:'Sheet1'!BF335),0)</f>
        <v>0</v>
      </c>
      <c r="BX335" s="712">
        <f>IF(OR(Sheet1!EM335="FM", Sheet1!EM335="OTHER"),SUM(Sheet1!BC335:'Sheet1'!BF335),0)</f>
        <v>0</v>
      </c>
      <c r="BY335" s="697">
        <f>IF(AND($B335&gt;=$FL335,$B335&lt;=$FM335),MAX(BV335,Sheet1!EF335,0),MAX(BV335-(7/36)*$K335,0))</f>
        <v>0</v>
      </c>
      <c r="BZ335" s="712">
        <f t="shared" si="872"/>
        <v>0</v>
      </c>
      <c r="CA335" s="697">
        <f t="shared" si="873"/>
        <v>0</v>
      </c>
      <c r="CB335" s="697">
        <f>IF(AND($O335&gt;0,Sheet1!EJ335=1),(1-($O335-Sheet1!$L335)/$O335)*BV335,0)</f>
        <v>0</v>
      </c>
      <c r="CC335" s="697">
        <f>IF(AND(Sheet1!$L335=0,Sheet1!$L334=0, Calculation!BU335&lt;Sheet1!EF335-0.1,Sheet1!EF335=Sheet1!EF334,Sheet1!EF335=Sheet1!EF336),Sheet1!EF335,BV335-CB335)</f>
        <v>0</v>
      </c>
      <c r="CD335" s="697"/>
      <c r="CE335" s="712"/>
      <c r="CF335" s="712">
        <f t="shared" si="874"/>
        <v>0</v>
      </c>
      <c r="CG335" s="712"/>
      <c r="CH335" s="712">
        <f ca="1">IF(B335&gt;Summary!$A$1,#N/A,CF335*MGtoAF)</f>
        <v>0</v>
      </c>
      <c r="CI335" s="712">
        <f>Sheet1!BK335+Sheet1!BL335+Sheet1!BM335-Sheet1!EN335-CQ335</f>
        <v>0</v>
      </c>
      <c r="CJ335" s="712">
        <f t="shared" si="875"/>
        <v>0</v>
      </c>
      <c r="CK335" s="712">
        <f>IF(Sheet1!EN335="FM",CQ335,0)</f>
        <v>0</v>
      </c>
      <c r="CL335" s="712">
        <f t="shared" si="876"/>
        <v>0</v>
      </c>
      <c r="CM335" s="712">
        <f>IF(Sheet1!EN335="OTHER",CQ335,0)</f>
        <v>0</v>
      </c>
      <c r="CN335" s="712">
        <f t="shared" si="877"/>
        <v>0</v>
      </c>
      <c r="CO335" s="712">
        <f t="shared" si="878"/>
        <v>0</v>
      </c>
      <c r="CP335" s="712">
        <f t="shared" si="879"/>
        <v>0</v>
      </c>
      <c r="CQ335" s="712">
        <f>IF(OR(Sheet1!EN335="FM", Sheet1!EN335="OTHER"),SUM(Sheet1!BK335:'Sheet1'!BM335),0)</f>
        <v>0</v>
      </c>
      <c r="CR335" s="697">
        <f>IF(AND($B335&gt;=$FL335,$B335&lt;=$FM335),MAX($CJ335,Sheet1!EG335,0),MAX($CJ335-(7/36)*$K335,0))</f>
        <v>0</v>
      </c>
      <c r="CS335" s="712">
        <f t="shared" si="880"/>
        <v>0</v>
      </c>
      <c r="CT335" s="697">
        <f t="shared" si="881"/>
        <v>0</v>
      </c>
      <c r="CU335" s="697">
        <f>IF(AND($O335&gt;0,Sheet1!EK335=1),(1-($O335-Sheet1!$L335)/$O335)*CP335,0)</f>
        <v>0</v>
      </c>
      <c r="CV335" s="697">
        <f>IF(AND(Sheet1!$L335=0,Sheet1!$L334=0, Calculation!CO335&lt;Sheet1!$EG335-0.1,Sheet1!$EG335=Sheet1!$EG334,Sheet1!$EG335=Sheet1!$EG336),Sheet1!$EG335,CP335-CU335)</f>
        <v>0</v>
      </c>
      <c r="CW335" s="697"/>
      <c r="CX335" s="712">
        <f t="shared" si="882"/>
        <v>0</v>
      </c>
      <c r="CY335" s="712">
        <f t="shared" si="883"/>
        <v>0</v>
      </c>
      <c r="CZ335" s="712">
        <f t="shared" si="884"/>
        <v>0</v>
      </c>
      <c r="DA335" s="712">
        <f ca="1">IF(B335&gt;Summary!$A$1,#N/A,CY335*MGtoAF)</f>
        <v>0</v>
      </c>
      <c r="DB335" s="712">
        <f t="shared" si="885"/>
        <v>0</v>
      </c>
      <c r="DC335" s="712">
        <f t="shared" si="886"/>
        <v>9.0299999999999994</v>
      </c>
      <c r="DD335" s="712">
        <f>Sheet1!AB335-DC335</f>
        <v>7.0000000005821406E-2</v>
      </c>
      <c r="DE335" s="712">
        <f t="shared" si="887"/>
        <v>7.7519379851407983E-3</v>
      </c>
      <c r="DF335" s="712">
        <f>(VLOOKUP(Sheet1!CY335,hhdcap_wcm,4)-(((VLOOKUP(Sheet1!CY335,hhdcap_wcm,3)-Sheet1!CY335)/(VLOOKUP(Sheet1!CY335,hhdcap_wcm,3)-VLOOKUP(Sheet1!CY335,hhdcap_wcm,1)))*(VLOOKUP(Sheet1!CY335,hhdcap_wcm,4)-VLOOKUP(Sheet1!CY335,hhdcap_wcm,2))))</f>
        <v>2466.3300000036743</v>
      </c>
      <c r="DG335" s="712">
        <f t="shared" si="888"/>
        <v>474.53000000083807</v>
      </c>
      <c r="DH335" s="712">
        <f t="shared" si="889"/>
        <v>239.29904185619668</v>
      </c>
      <c r="DI335" s="712">
        <f>Sheet1!DW335*AFtoMG</f>
        <v>0</v>
      </c>
      <c r="DJ335" s="712">
        <f>Sheet1!DX335*AFtoMG</f>
        <v>0</v>
      </c>
      <c r="DK335" s="712">
        <f>Sheet1!DY335*AFtoMG</f>
        <v>0</v>
      </c>
      <c r="DL335" s="712">
        <f>Sheet1!DZ335*AFtoMG</f>
        <v>0</v>
      </c>
      <c r="DM335" s="712">
        <f t="shared" si="890"/>
        <v>0</v>
      </c>
      <c r="DN335" s="712">
        <f t="shared" si="891"/>
        <v>0</v>
      </c>
      <c r="DO335" s="712">
        <f t="shared" si="892"/>
        <v>0</v>
      </c>
      <c r="DP335" s="712">
        <f t="shared" si="893"/>
        <v>0</v>
      </c>
      <c r="DQ335" s="712"/>
      <c r="DR335" s="697">
        <f>IF(OR(B335&lt;FL335,B335&gt;FM335),(MIN(AV335+BO335+CJ335+MAX(Sheet1!AA335+AG335-73,0),K335)),0)</f>
        <v>0</v>
      </c>
      <c r="DS335" s="712"/>
      <c r="DT335" s="712">
        <f t="shared" si="894"/>
        <v>0</v>
      </c>
      <c r="DU335" s="712"/>
      <c r="DV335" s="712">
        <f>Sheet1!ED335+Sheet1!EE335+Sheet1!EF335+Sheet1!EG335</f>
        <v>8.5</v>
      </c>
      <c r="DW335" s="712"/>
      <c r="DX335" s="697">
        <f t="shared" si="895"/>
        <v>0</v>
      </c>
      <c r="DY335" s="712">
        <f>IF(Sheet1!FN335=1,SUM('Calculations II'!AT335:BA335)+'Calculations II'!BC335+Sheet1!BU335+'Calculations II'!BE335+AF335,SUM('Calculations II'!AT335:BA335)+'Calculations II'!BC335+Sheet1!BU335+'Calculations II'!BE335+AF335)</f>
        <v>40.099952000000002</v>
      </c>
      <c r="DZ335" s="712">
        <f>Sheet1!AA335+Sheet1!AB335+'Calculations II'!BC335</f>
        <v>45.041936000018623</v>
      </c>
      <c r="EA335" s="712"/>
      <c r="EB335" s="712"/>
      <c r="EC335" s="712">
        <f t="shared" si="896"/>
        <v>40864</v>
      </c>
      <c r="ED335" s="712">
        <f t="shared" si="897"/>
        <v>0</v>
      </c>
      <c r="EE335" s="712">
        <f t="shared" si="898"/>
        <v>0</v>
      </c>
      <c r="EF335" s="712">
        <f ca="1">IF(B335=TODAY(),0,-(VLOOKUP(Sheet1!BQ335,Lookup!$B$4:$J$236,2)-VLOOKUP(Sheet1!BQ334,Lookup!$B$4:$J$236,2))/1000000)</f>
        <v>-1.6026</v>
      </c>
      <c r="EG335" s="712">
        <f ca="1">IF(B335=TODAY(),0,-(VLOOKUP(Sheet1!BR335,Lookup!$B$4:$J$236,3)-VLOOKUP(Sheet1!BR334,Lookup!$B$4:$J$236,3))/1000000)</f>
        <v>-1.333</v>
      </c>
      <c r="EH335" s="712">
        <f>-(VLOOKUP(Sheet1!BS335,Lookup!$B$4:$J$236,4)-VLOOKUP(Sheet1!BS334,Lookup!$B$4:$J$236,4))/1000000</f>
        <v>0</v>
      </c>
      <c r="EI335" s="697">
        <f t="shared" ca="1" si="922"/>
        <v>-2.9356</v>
      </c>
      <c r="EJ335" s="712"/>
      <c r="EK335" s="712"/>
      <c r="EL335" s="712"/>
      <c r="EM335" s="712"/>
      <c r="EN335" s="712"/>
      <c r="EO335" s="712"/>
      <c r="EP335" s="712"/>
      <c r="EQ335" s="712"/>
      <c r="ER335" s="712"/>
      <c r="ES335" s="712"/>
      <c r="ET335" s="794">
        <f t="shared" si="919"/>
        <v>1091.8</v>
      </c>
      <c r="EU335" s="794" t="e">
        <f t="shared" si="924"/>
        <v>#N/A</v>
      </c>
      <c r="EV335" s="795" t="e">
        <f t="shared" si="925"/>
        <v>#N/A</v>
      </c>
      <c r="EW335" s="796" t="s">
        <v>757</v>
      </c>
      <c r="EX335" s="796" t="s">
        <v>757</v>
      </c>
      <c r="EY335" s="794" t="e">
        <v>#N/A</v>
      </c>
      <c r="EZ335" s="798">
        <v>4198.6000000068634</v>
      </c>
      <c r="FA335" s="712"/>
      <c r="FB335" s="712"/>
      <c r="FC335" s="712"/>
      <c r="FD335" s="712"/>
      <c r="FE335" s="712">
        <f>O335+Sheet1!CO335</f>
        <v>7341.4200000000183</v>
      </c>
      <c r="FF335" s="712">
        <f>IF(Sheet1!AA335+AG335&lt;=Calculation!N335,AG335,Calculation!N335-Sheet1!AA335)</f>
        <v>9.1000000000058208</v>
      </c>
      <c r="FG335" s="712">
        <f>(Sheet1!BP335+Sheet1!BO335)/694.4</f>
        <v>1.7701612903225807</v>
      </c>
      <c r="FH335" s="712"/>
      <c r="FI335" s="712"/>
      <c r="FJ335" s="712"/>
      <c r="FK335" s="712"/>
      <c r="FL335" s="714">
        <f t="shared" si="929"/>
        <v>40753</v>
      </c>
      <c r="FM335" s="714">
        <f t="shared" si="930"/>
        <v>40851</v>
      </c>
      <c r="FN335" s="712"/>
      <c r="FO335" s="712"/>
      <c r="FP335" s="712"/>
      <c r="FQ335" s="712"/>
      <c r="FR335" s="712"/>
      <c r="FS335" s="725">
        <f t="shared" si="931"/>
        <v>40603</v>
      </c>
      <c r="FT335" s="714">
        <f t="shared" si="932"/>
        <v>40709</v>
      </c>
      <c r="FU335" s="712">
        <f t="shared" si="931"/>
        <v>6518.9048239895692</v>
      </c>
      <c r="FV335" s="714">
        <f t="shared" si="933"/>
        <v>40722</v>
      </c>
      <c r="FW335" s="712">
        <f t="shared" si="931"/>
        <v>3259.4524119947846</v>
      </c>
      <c r="FX335" s="725">
        <f t="shared" si="931"/>
        <v>40851</v>
      </c>
      <c r="FZ335" s="697">
        <f t="shared" si="926"/>
        <v>0</v>
      </c>
      <c r="GA335" s="712" t="str">
        <f t="shared" si="899"/>
        <v/>
      </c>
      <c r="GB335" s="712">
        <f t="shared" si="900"/>
        <v>0</v>
      </c>
      <c r="GC335" s="712" t="str">
        <f t="shared" si="901"/>
        <v/>
      </c>
      <c r="GD335" s="712">
        <f>IF(GA335="P",Lookup!$M$12,IF(GA335="PP",Lookup!$M$13,IF(GA335="PPP",Lookup!$M$14,IF(GA335="T",Lookup!$M$15,IF(GA335="TP",Lookup!$M$16,IF(GA335="TPP",Lookup!$M$17,IF(GA335="TPPP",Lookup!$M$18,0)))))))*FZ335</f>
        <v>0</v>
      </c>
      <c r="GE335" s="712">
        <f t="shared" si="902"/>
        <v>0</v>
      </c>
      <c r="GF335" s="712">
        <f t="shared" si="903"/>
        <v>0</v>
      </c>
      <c r="GG335" s="712">
        <f t="shared" si="904"/>
        <v>0</v>
      </c>
      <c r="GH335" s="712"/>
      <c r="GI335" s="712">
        <f t="shared" si="905"/>
        <v>0</v>
      </c>
      <c r="GJ335" s="712" t="str">
        <f t="shared" si="906"/>
        <v/>
      </c>
      <c r="GK335" s="712">
        <f>IF(GA335="P",Lookup!$N$12,IF(GA335="PP",Lookup!$N$13,IF(GA335="PPP",Lookup!$N$14,IF(GA335="T",Lookup!$N$15,IF(GA335="TP",Lookup!$N$16,IF(GA335="TPP",Lookup!$N$17,IF(GA335="TPPP",Lookup!$N$18,0)))))))*FZ335</f>
        <v>0</v>
      </c>
      <c r="GL335" s="712">
        <f t="shared" si="907"/>
        <v>0</v>
      </c>
      <c r="GM335" s="712">
        <f t="shared" si="908"/>
        <v>0</v>
      </c>
      <c r="GN335" s="712">
        <f t="shared" si="909"/>
        <v>0</v>
      </c>
      <c r="GO335" s="712"/>
      <c r="GP335" s="712">
        <f t="shared" si="910"/>
        <v>0</v>
      </c>
      <c r="GQ335" s="712" t="str">
        <f t="shared" si="911"/>
        <v/>
      </c>
      <c r="GR335" s="712">
        <f>IF(GA335="P",Lookup!$N$12,IF(GA335="PP",Lookup!$N$13,IF(GA335="PPP",Lookup!$N$14,IF(GA335="T",Lookup!$N$15,IF(GA335="TP",Lookup!$N$16,IF(GA335="TPP",Lookup!$N$17,IF(GA335="TPPP",Lookup!$N$18,0)))))))*FZ335</f>
        <v>0</v>
      </c>
      <c r="GS335" s="697">
        <f t="shared" si="927"/>
        <v>0</v>
      </c>
      <c r="GT335" s="712">
        <f t="shared" si="912"/>
        <v>0</v>
      </c>
      <c r="GU335" s="712">
        <f t="shared" si="913"/>
        <v>0</v>
      </c>
      <c r="GV335" s="712"/>
      <c r="GW335" s="712">
        <f t="shared" si="914"/>
        <v>0</v>
      </c>
      <c r="GX335" s="712" t="str">
        <f t="shared" si="915"/>
        <v/>
      </c>
      <c r="GY335" s="712">
        <f>IF(GA335="P",Lookup!$N$12,IF(GA335="PP",Lookup!$N$13,IF(GA335="PPP",Lookup!$N$14,IF(GA335="T",Lookup!$N$15,IF(GA335="TP",Lookup!$N$16,IF(GA335="TPP",Lookup!$N$17,IF(GA335="TPPP",Lookup!$N$18,0)))))))*FZ335</f>
        <v>0</v>
      </c>
      <c r="GZ335" s="697">
        <f t="shared" si="928"/>
        <v>0</v>
      </c>
      <c r="HA335" s="712">
        <f t="shared" si="916"/>
        <v>0</v>
      </c>
      <c r="HB335" s="712">
        <f t="shared" si="917"/>
        <v>0</v>
      </c>
      <c r="HC335" s="712"/>
    </row>
    <row r="336" spans="1:211">
      <c r="A336" s="773" t="s">
        <v>8</v>
      </c>
      <c r="B336" s="708">
        <v>40865</v>
      </c>
      <c r="C336" s="719">
        <v>0.5</v>
      </c>
      <c r="D336" s="675">
        <f t="shared" si="840"/>
        <v>300</v>
      </c>
      <c r="E336" s="675">
        <f t="shared" si="841"/>
        <v>250</v>
      </c>
      <c r="F336" s="675">
        <v>250</v>
      </c>
      <c r="G336" s="712">
        <f>DH336+Sheet1!CV336</f>
        <v>1092.9689863840231</v>
      </c>
      <c r="H336" s="712">
        <f t="shared" si="842"/>
        <v>439.53195279863252</v>
      </c>
      <c r="I336" s="711">
        <f>MAX(Sheet1!Z336-AJ336+(Sheet1!CW336-E336)*CFStoMGD,0)</f>
        <v>963.58384141300257</v>
      </c>
      <c r="J336" s="720">
        <f>IF(AND(B336&gt;=Calculation!FS336,B336&lt;=Calculation!FT336),IF(Sheet1!CX336&gt;=Calculation!D336,64.64,0),MAX(Sheet1!Z336-AJ336+(Sheet1!CX336-D336)*CFStoMGD,0))</f>
        <v>659.7085080796694</v>
      </c>
      <c r="K336" s="697">
        <f t="shared" si="843"/>
        <v>64.64</v>
      </c>
      <c r="L336" s="712">
        <f>Sheet1!AA336+Sheet1!AB336-Sheet1!L336+(Sheet1!CW336-F336)*CFStoMGD</f>
        <v>968.33866666666609</v>
      </c>
      <c r="M336" s="712">
        <f t="shared" si="844"/>
        <v>720.62505585460519</v>
      </c>
      <c r="N336" s="712">
        <f>IF(Sheet1!CW336&gt;=F336,MIN(73,MIN(MAX(L336,0),MAX(M336,0))),0)</f>
        <v>73</v>
      </c>
      <c r="O336" s="721">
        <f>Sheet1!AA336+Sheet1!AB336</f>
        <v>35.04</v>
      </c>
      <c r="P336" s="721">
        <f t="shared" si="845"/>
        <v>54.206879999999998</v>
      </c>
      <c r="Q336" s="712">
        <f>MIN(N336,Sheet1!AA336+AG336)</f>
        <v>34.764825253664036</v>
      </c>
      <c r="R336" s="712">
        <f t="shared" si="846"/>
        <v>0.27517474633596395</v>
      </c>
      <c r="S336" s="721">
        <f>Sheet1!Y336*MGDtoCFS</f>
        <v>39.572259999999993</v>
      </c>
      <c r="T336" s="721">
        <f>Sheet1!Z336*MGDtoCFS</f>
        <v>14.356159999999999</v>
      </c>
      <c r="U336" s="721">
        <f>Sheet1!AA336*MGDtoCFS</f>
        <v>40.222000000000001</v>
      </c>
      <c r="V336" s="721">
        <f>Sheet1!AB336*MGDtoCFS</f>
        <v>13.984879999999999</v>
      </c>
      <c r="W336" s="721">
        <f>Sheet1!L336*MGDtoCFS</f>
        <v>46.054190000000673</v>
      </c>
      <c r="X336" s="697">
        <f t="shared" si="847"/>
        <v>0</v>
      </c>
      <c r="Y336" s="712">
        <f t="shared" si="848"/>
        <v>0</v>
      </c>
      <c r="Z336" s="712">
        <f t="shared" si="849"/>
        <v>0</v>
      </c>
      <c r="AA336" s="712">
        <f t="shared" si="850"/>
        <v>0</v>
      </c>
      <c r="AB336" s="712">
        <f>(VLOOKUP(Sheet1!CY336,hhdcap_wcm,4)-(((VLOOKUP(Sheet1!CY336,hhdcap_wcm,3)-Sheet1!CY336)/(VLOOKUP(Sheet1!CY336,hhdcap_wcm,3)-VLOOKUP(Sheet1!CY336,hhdcap_wcm,1)))*(VLOOKUP(Sheet1!CY336,hhdcap_wcm,4)-VLOOKUP(Sheet1!CY336,hhdcap_wcm,2))))</f>
        <v>2163.2000000031921</v>
      </c>
      <c r="AC336" s="712">
        <f t="shared" si="851"/>
        <v>-303.13000000048214</v>
      </c>
      <c r="AD336" s="712">
        <f t="shared" si="852"/>
        <v>0</v>
      </c>
      <c r="AE336" s="712">
        <f t="shared" si="853"/>
        <v>0</v>
      </c>
      <c r="AF336" s="712">
        <f>Sheet1!BA336+Sheet1!BB336+Sheet1!BN336+BT336</f>
        <v>8.6</v>
      </c>
      <c r="AG336" s="712">
        <f t="shared" si="854"/>
        <v>8.7648252536640356</v>
      </c>
      <c r="AH336" s="712">
        <f>Sheet1!BA336+BT336</f>
        <v>0</v>
      </c>
      <c r="AI336" s="712">
        <f>Sheet1!BA336+Sheet1!BB336+BT336</f>
        <v>0</v>
      </c>
      <c r="AJ336" s="712">
        <f>IF((Sheet1!AA336+AG336+AX336+AZ336+BQ336+BS336+CL336+CN336)&lt;=N336,AG336+AX336+AZ336+BQ336+BS336+CL336+CN336,N336-Sheet1!AA336)</f>
        <v>8.7648252536640356</v>
      </c>
      <c r="AK336" s="712">
        <f>IF(DR336&lt;K336,0,MAX(Sheet1!AA336+AG336-15/36*K336-N336,Sheet1!ED336,0))</f>
        <v>0</v>
      </c>
      <c r="AL336" s="712">
        <f>IF(OR(B336&gt;=FT336,B336&lt;FS336),0,15/36*K336-MAX(0,64.6-(137.6-(Sheet1!AA336+Sheet1!AB336))))</f>
        <v>0</v>
      </c>
      <c r="AM336" s="712">
        <f>Sheet1!CX336-110</f>
        <v>1209.7916666666667</v>
      </c>
      <c r="AN336" s="712">
        <f>Sheet1!CW336-265</f>
        <v>1474.8958333333333</v>
      </c>
      <c r="AO336" s="712">
        <f t="shared" si="934"/>
        <v>38.235174746335964</v>
      </c>
      <c r="AP336" s="712">
        <f t="shared" si="855"/>
        <v>0</v>
      </c>
      <c r="AQ336" s="712">
        <f t="shared" si="856"/>
        <v>0</v>
      </c>
      <c r="AR336" s="712">
        <f t="shared" si="857"/>
        <v>0</v>
      </c>
      <c r="AS336" s="712"/>
      <c r="AT336" s="712">
        <f ca="1">IF(B336&gt;Summary!$A$1,#N/A,AR336*MGtoAF)</f>
        <v>0</v>
      </c>
      <c r="AU336" s="712">
        <f>Sheet1!BG336+Sheet1!BH336+Sheet1!BI336-BC336</f>
        <v>0</v>
      </c>
      <c r="AV336" s="712">
        <f t="shared" si="858"/>
        <v>0</v>
      </c>
      <c r="AW336" s="712">
        <f>IF(Sheet1!EL336="FM",BC336,0)</f>
        <v>0</v>
      </c>
      <c r="AX336" s="712">
        <f t="shared" si="859"/>
        <v>0</v>
      </c>
      <c r="AY336" s="712">
        <f>IF(Sheet1!EL336="OTHER",BC336,0)</f>
        <v>0</v>
      </c>
      <c r="AZ336" s="712">
        <f t="shared" si="860"/>
        <v>0</v>
      </c>
      <c r="BA336" s="712">
        <f t="shared" si="861"/>
        <v>0</v>
      </c>
      <c r="BB336" s="712">
        <f t="shared" si="862"/>
        <v>0</v>
      </c>
      <c r="BC336" s="712">
        <f>IF(OR(Sheet1!EL336="FM", Sheet1!EL336="OTHER"),SUM(Sheet1!BG336:'Sheet1'!BI336),0)</f>
        <v>0</v>
      </c>
      <c r="BD336" s="697">
        <f>IF(AND($B336&gt;=$FL336,$B336&lt;=$FM336),MAX(AV336,Sheet1!EE336,0),MAX(AV336-(7/36)*$K336,0))</f>
        <v>0</v>
      </c>
      <c r="BE336" s="712">
        <f t="shared" si="863"/>
        <v>0</v>
      </c>
      <c r="BF336" s="697">
        <f t="shared" si="864"/>
        <v>0</v>
      </c>
      <c r="BG336" s="697">
        <f>IF(AND($O336&gt;0,Sheet1!EI336=1),(1-($O336-Sheet1!$L336)/$O336)*BB336,0)</f>
        <v>0</v>
      </c>
      <c r="BH336" s="697">
        <f>IF(AND(Sheet1!$L336=0,Sheet1!$L335=0, Calculation!BA336&lt;Sheet1!$EE336-0.1,Sheet1!$EE336=Sheet1!$EE335,Sheet1!$EE336=Sheet1!$EE337),Sheet1!$EE336,BB336-BG336)</f>
        <v>0</v>
      </c>
      <c r="BI336" s="712"/>
      <c r="BJ336" s="712"/>
      <c r="BK336" s="712">
        <f t="shared" si="865"/>
        <v>0</v>
      </c>
      <c r="BL336" s="712"/>
      <c r="BM336" s="712">
        <f ca="1">IF(B336&gt;Summary!$A$1,#N/A,BK336*MGtoAF)</f>
        <v>0</v>
      </c>
      <c r="BN336" s="712">
        <f>Sheet1!BC336+Sheet1!BD336+Sheet1!BE336+Sheet1!BF336-BW336-BX336</f>
        <v>0.27</v>
      </c>
      <c r="BO336" s="712">
        <f t="shared" si="866"/>
        <v>0.27517474633596395</v>
      </c>
      <c r="BP336" s="712">
        <f>IF(Sheet1!EM336="FM",BX336,0)</f>
        <v>0</v>
      </c>
      <c r="BQ336" s="712">
        <f t="shared" si="867"/>
        <v>0</v>
      </c>
      <c r="BR336" s="712">
        <f>IF(Sheet1!EM336="OTHER",BX336,0)</f>
        <v>0</v>
      </c>
      <c r="BS336" s="712">
        <f t="shared" si="868"/>
        <v>0</v>
      </c>
      <c r="BT336" s="712">
        <f t="shared" si="869"/>
        <v>0</v>
      </c>
      <c r="BU336" s="712">
        <f t="shared" si="870"/>
        <v>0.27</v>
      </c>
      <c r="BV336" s="712">
        <f t="shared" si="871"/>
        <v>0.27517474633596395</v>
      </c>
      <c r="BW336" s="712">
        <f>IF(Sheet1!EM336="CWA",SUM(Sheet1!BC336:'Sheet1'!BF336),0)</f>
        <v>0</v>
      </c>
      <c r="BX336" s="712">
        <f>IF(OR(Sheet1!EM336="FM", Sheet1!EM336="OTHER"),SUM(Sheet1!BC336:'Sheet1'!BF336),0)</f>
        <v>0</v>
      </c>
      <c r="BY336" s="697">
        <f>IF(AND($B336&gt;=$FL336,$B336&lt;=$FM336),MAX(BV336,Sheet1!EF336,0),MAX(BV336-(7/36)*$K336,0))</f>
        <v>0</v>
      </c>
      <c r="BZ336" s="712">
        <f t="shared" si="872"/>
        <v>0</v>
      </c>
      <c r="CA336" s="697">
        <f t="shared" si="873"/>
        <v>0.27517474633596395</v>
      </c>
      <c r="CB336" s="697">
        <f>IF(AND($O336&gt;0,Sheet1!EJ336=1),(1-($O336-Sheet1!$L336)/$O336)*BV336,0)</f>
        <v>0.2337885901376075</v>
      </c>
      <c r="CC336" s="697">
        <f>IF(AND(Sheet1!$L336=0,Sheet1!$L335=0, Calculation!BU336&lt;Sheet1!EF336-0.1,Sheet1!EF336=Sheet1!EF335,Sheet1!EF336=Sheet1!EF337),Sheet1!EF336,BV336-CB336)</f>
        <v>4.138615619835645E-2</v>
      </c>
      <c r="CD336" s="697"/>
      <c r="CE336" s="712"/>
      <c r="CF336" s="712">
        <f t="shared" si="874"/>
        <v>0</v>
      </c>
      <c r="CG336" s="712"/>
      <c r="CH336" s="712">
        <f ca="1">IF(B336&gt;Summary!$A$1,#N/A,CF336*MGtoAF)</f>
        <v>0</v>
      </c>
      <c r="CI336" s="712">
        <f>Sheet1!BK336+Sheet1!BL336+Sheet1!BM336-Sheet1!EN336-CQ336</f>
        <v>0</v>
      </c>
      <c r="CJ336" s="712">
        <f t="shared" si="875"/>
        <v>0</v>
      </c>
      <c r="CK336" s="712">
        <f>IF(Sheet1!EN336="FM",CQ336,0)</f>
        <v>0</v>
      </c>
      <c r="CL336" s="712">
        <f t="shared" si="876"/>
        <v>0</v>
      </c>
      <c r="CM336" s="712">
        <f>IF(Sheet1!EN336="OTHER",CQ336,0)</f>
        <v>0</v>
      </c>
      <c r="CN336" s="712">
        <f t="shared" si="877"/>
        <v>0</v>
      </c>
      <c r="CO336" s="712">
        <f t="shared" si="878"/>
        <v>0</v>
      </c>
      <c r="CP336" s="712">
        <f t="shared" si="879"/>
        <v>0</v>
      </c>
      <c r="CQ336" s="712">
        <f>IF(OR(Sheet1!EN336="FM", Sheet1!EN336="OTHER"),SUM(Sheet1!BK336:'Sheet1'!BM336),0)</f>
        <v>0</v>
      </c>
      <c r="CR336" s="697">
        <f>IF(AND($B336&gt;=$FL336,$B336&lt;=$FM336),MAX($CJ336,Sheet1!EG336,0),MAX($CJ336-(7/36)*$K336,0))</f>
        <v>0</v>
      </c>
      <c r="CS336" s="712">
        <f t="shared" si="880"/>
        <v>0</v>
      </c>
      <c r="CT336" s="697">
        <f t="shared" si="881"/>
        <v>0</v>
      </c>
      <c r="CU336" s="697">
        <f>IF(AND($O336&gt;0,Sheet1!EK336=1),(1-($O336-Sheet1!$L336)/$O336)*CP336,0)</f>
        <v>0</v>
      </c>
      <c r="CV336" s="697">
        <f>IF(AND(Sheet1!$L336=0,Sheet1!$L335=0, Calculation!CO336&lt;Sheet1!$EG336-0.1,Sheet1!$EG336=Sheet1!$EG335,Sheet1!$EG336=Sheet1!$EG337),Sheet1!$EG336,CP336-CU336)</f>
        <v>0</v>
      </c>
      <c r="CW336" s="697"/>
      <c r="CX336" s="712">
        <f t="shared" si="882"/>
        <v>0.27</v>
      </c>
      <c r="CY336" s="712">
        <f t="shared" si="883"/>
        <v>0</v>
      </c>
      <c r="CZ336" s="712">
        <f t="shared" si="884"/>
        <v>0.27517474633596395</v>
      </c>
      <c r="DA336" s="712">
        <f ca="1">IF(B336&gt;Summary!$A$1,#N/A,CY336*MGtoAF)</f>
        <v>0</v>
      </c>
      <c r="DB336" s="712">
        <f t="shared" si="885"/>
        <v>0.27</v>
      </c>
      <c r="DC336" s="712">
        <f t="shared" si="886"/>
        <v>8.8699999999999992</v>
      </c>
      <c r="DD336" s="712">
        <f>Sheet1!AB336-DC336</f>
        <v>0.16999999999999993</v>
      </c>
      <c r="DE336" s="712">
        <f t="shared" si="887"/>
        <v>1.9165727170236745E-2</v>
      </c>
      <c r="DF336" s="712">
        <f>(VLOOKUP(Sheet1!CY336,hhdcap_wcm,4)-(((VLOOKUP(Sheet1!CY336,hhdcap_wcm,3)-Sheet1!CY336)/(VLOOKUP(Sheet1!CY336,hhdcap_wcm,3)-VLOOKUP(Sheet1!CY336,hhdcap_wcm,1)))*(VLOOKUP(Sheet1!CY336,hhdcap_wcm,4)-VLOOKUP(Sheet1!CY336,hhdcap_wcm,2))))</f>
        <v>2163.2000000031921</v>
      </c>
      <c r="DG336" s="712">
        <f t="shared" si="888"/>
        <v>-303.13000000048214</v>
      </c>
      <c r="DH336" s="712">
        <f t="shared" si="889"/>
        <v>-152.86434694931017</v>
      </c>
      <c r="DI336" s="712">
        <f>Sheet1!DW336*AFtoMG</f>
        <v>0</v>
      </c>
      <c r="DJ336" s="712">
        <f>Sheet1!DX336*AFtoMG</f>
        <v>0</v>
      </c>
      <c r="DK336" s="712">
        <f>Sheet1!DY336*AFtoMG</f>
        <v>0</v>
      </c>
      <c r="DL336" s="712">
        <f>Sheet1!DZ336*AFtoMG</f>
        <v>0</v>
      </c>
      <c r="DM336" s="712">
        <f t="shared" si="890"/>
        <v>0</v>
      </c>
      <c r="DN336" s="712">
        <f t="shared" si="891"/>
        <v>0</v>
      </c>
      <c r="DO336" s="712">
        <f t="shared" si="892"/>
        <v>0</v>
      </c>
      <c r="DP336" s="712">
        <f t="shared" si="893"/>
        <v>0</v>
      </c>
      <c r="DQ336" s="712"/>
      <c r="DR336" s="697">
        <f>IF(OR(B336&lt;FL336,B336&gt;FM336),(MIN(AV336+BO336+CJ336+MAX(Sheet1!AA336+AG336-73,0),K336)),0)</f>
        <v>0.27517474633596395</v>
      </c>
      <c r="DS336" s="712"/>
      <c r="DT336" s="712">
        <f t="shared" si="894"/>
        <v>0.27517474633596395</v>
      </c>
      <c r="DU336" s="712"/>
      <c r="DV336" s="712">
        <f>Sheet1!ED336+Sheet1!EE336+Sheet1!EF336+Sheet1!EG336</f>
        <v>8.5</v>
      </c>
      <c r="DW336" s="712"/>
      <c r="DX336" s="697">
        <f t="shared" si="895"/>
        <v>0</v>
      </c>
      <c r="DY336" s="712">
        <f>IF(Sheet1!FN336=1,SUM('Calculations II'!AT336:BA336)+'Calculations II'!BC336+Sheet1!BU336+'Calculations II'!BE336+AF336,SUM('Calculations II'!AT336:BA336)+'Calculations II'!BC336+Sheet1!BU336+'Calculations II'!BE336+AF336)</f>
        <v>41.671328000000003</v>
      </c>
      <c r="DZ336" s="712">
        <f>Sheet1!AA336+Sheet1!AB336+'Calculations II'!BC336</f>
        <v>45.541344000000002</v>
      </c>
      <c r="EA336" s="712"/>
      <c r="EB336" s="712"/>
      <c r="EC336" s="712">
        <f t="shared" si="896"/>
        <v>40865</v>
      </c>
      <c r="ED336" s="712">
        <f t="shared" si="897"/>
        <v>0</v>
      </c>
      <c r="EE336" s="712">
        <f t="shared" si="898"/>
        <v>0</v>
      </c>
      <c r="EF336" s="712">
        <f ca="1">IF(B336=TODAY(),0,-(VLOOKUP(Sheet1!BQ336,Lookup!$B$4:$J$236,2)-VLOOKUP(Sheet1!BQ335,Lookup!$B$4:$J$236,2))/1000000)</f>
        <v>0</v>
      </c>
      <c r="EG336" s="712">
        <f ca="1">IF(B336=TODAY(),0,-(VLOOKUP(Sheet1!BR336,Lookup!$B$4:$J$236,3)-VLOOKUP(Sheet1!BR335,Lookup!$B$4:$J$236,3))/1000000)</f>
        <v>-0.2666</v>
      </c>
      <c r="EH336" s="712">
        <f>-(VLOOKUP(Sheet1!BS336,Lookup!$B$4:$J$236,4)-VLOOKUP(Sheet1!BS335,Lookup!$B$4:$J$236,4))/1000000</f>
        <v>0</v>
      </c>
      <c r="EI336" s="697">
        <f t="shared" ca="1" si="922"/>
        <v>-0.2666</v>
      </c>
      <c r="EJ336" s="712"/>
      <c r="EK336" s="712"/>
      <c r="EL336" s="712"/>
      <c r="EM336" s="712"/>
      <c r="EN336" s="712"/>
      <c r="EO336" s="712"/>
      <c r="EP336" s="712"/>
      <c r="EQ336" s="712"/>
      <c r="ER336" s="712"/>
      <c r="ES336" s="712"/>
      <c r="ET336" s="794">
        <f t="shared" si="919"/>
        <v>1090.5999999999999</v>
      </c>
      <c r="EU336" s="794" t="e">
        <f t="shared" si="924"/>
        <v>#N/A</v>
      </c>
      <c r="EV336" s="795" t="e">
        <f t="shared" si="925"/>
        <v>#N/A</v>
      </c>
      <c r="EW336" s="796" t="s">
        <v>757</v>
      </c>
      <c r="EX336" s="796" t="s">
        <v>757</v>
      </c>
      <c r="EY336" s="794" t="e">
        <v>#N/A</v>
      </c>
      <c r="EZ336" s="798">
        <v>3967.0000000064801</v>
      </c>
      <c r="FA336" s="712"/>
      <c r="FB336" s="712"/>
      <c r="FC336" s="712"/>
      <c r="FD336" s="712"/>
      <c r="FE336" s="712">
        <f>O336+Sheet1!CO336</f>
        <v>7327.64</v>
      </c>
      <c r="FF336" s="712">
        <f>IF(Sheet1!AA336+AG336&lt;=Calculation!N336,AG336,Calculation!N336-Sheet1!AA336)</f>
        <v>8.7648252536640356</v>
      </c>
      <c r="FG336" s="712">
        <f>(Sheet1!BP336+Sheet1!BO336)/694.4</f>
        <v>1.6981566820276499</v>
      </c>
      <c r="FH336" s="712"/>
      <c r="FI336" s="712"/>
      <c r="FJ336" s="712"/>
      <c r="FK336" s="712"/>
      <c r="FL336" s="714">
        <f t="shared" si="929"/>
        <v>40753</v>
      </c>
      <c r="FM336" s="714">
        <f t="shared" si="930"/>
        <v>40851</v>
      </c>
      <c r="FN336" s="712"/>
      <c r="FO336" s="712"/>
      <c r="FP336" s="712"/>
      <c r="FQ336" s="712"/>
      <c r="FR336" s="712"/>
      <c r="FS336" s="725">
        <f t="shared" si="931"/>
        <v>40603</v>
      </c>
      <c r="FT336" s="714">
        <f t="shared" si="932"/>
        <v>40709</v>
      </c>
      <c r="FU336" s="712">
        <f t="shared" si="931"/>
        <v>6518.9048239895692</v>
      </c>
      <c r="FV336" s="714">
        <f t="shared" si="933"/>
        <v>40722</v>
      </c>
      <c r="FW336" s="712">
        <f t="shared" si="931"/>
        <v>3259.4524119947846</v>
      </c>
      <c r="FX336" s="725">
        <f t="shared" si="931"/>
        <v>40851</v>
      </c>
      <c r="FZ336" s="697">
        <f t="shared" si="926"/>
        <v>0</v>
      </c>
      <c r="GA336" s="712" t="str">
        <f t="shared" si="899"/>
        <v/>
      </c>
      <c r="GB336" s="712">
        <f t="shared" si="900"/>
        <v>0</v>
      </c>
      <c r="GC336" s="712" t="str">
        <f t="shared" si="901"/>
        <v/>
      </c>
      <c r="GD336" s="712">
        <f>IF(GA336="P",Lookup!$M$12,IF(GA336="PP",Lookup!$M$13,IF(GA336="PPP",Lookup!$M$14,IF(GA336="T",Lookup!$M$15,IF(GA336="TP",Lookup!$M$16,IF(GA336="TPP",Lookup!$M$17,IF(GA336="TPPP",Lookup!$M$18,0)))))))*FZ336</f>
        <v>0</v>
      </c>
      <c r="GE336" s="712">
        <f t="shared" si="902"/>
        <v>0</v>
      </c>
      <c r="GF336" s="712">
        <f t="shared" si="903"/>
        <v>0</v>
      </c>
      <c r="GG336" s="712">
        <f t="shared" si="904"/>
        <v>0</v>
      </c>
      <c r="GH336" s="712"/>
      <c r="GI336" s="712">
        <f t="shared" si="905"/>
        <v>0</v>
      </c>
      <c r="GJ336" s="712" t="str">
        <f t="shared" si="906"/>
        <v/>
      </c>
      <c r="GK336" s="712">
        <f>IF(GA336="P",Lookup!$N$12,IF(GA336="PP",Lookup!$N$13,IF(GA336="PPP",Lookup!$N$14,IF(GA336="T",Lookup!$N$15,IF(GA336="TP",Lookup!$N$16,IF(GA336="TPP",Lookup!$N$17,IF(GA336="TPPP",Lookup!$N$18,0)))))))*FZ336</f>
        <v>0</v>
      </c>
      <c r="GL336" s="712">
        <f t="shared" si="907"/>
        <v>0</v>
      </c>
      <c r="GM336" s="712">
        <f t="shared" si="908"/>
        <v>0</v>
      </c>
      <c r="GN336" s="712">
        <f t="shared" si="909"/>
        <v>0</v>
      </c>
      <c r="GO336" s="712"/>
      <c r="GP336" s="712">
        <f t="shared" si="910"/>
        <v>0</v>
      </c>
      <c r="GQ336" s="712" t="str">
        <f t="shared" si="911"/>
        <v/>
      </c>
      <c r="GR336" s="712">
        <f>IF(GA336="P",Lookup!$N$12,IF(GA336="PP",Lookup!$N$13,IF(GA336="PPP",Lookup!$N$14,IF(GA336="T",Lookup!$N$15,IF(GA336="TP",Lookup!$N$16,IF(GA336="TPP",Lookup!$N$17,IF(GA336="TPPP",Lookup!$N$18,0)))))))*FZ336</f>
        <v>0</v>
      </c>
      <c r="GS336" s="697">
        <f t="shared" si="927"/>
        <v>0</v>
      </c>
      <c r="GT336" s="712">
        <f t="shared" si="912"/>
        <v>0</v>
      </c>
      <c r="GU336" s="712">
        <f t="shared" si="913"/>
        <v>0</v>
      </c>
      <c r="GV336" s="712"/>
      <c r="GW336" s="712">
        <f t="shared" si="914"/>
        <v>0</v>
      </c>
      <c r="GX336" s="712" t="str">
        <f t="shared" si="915"/>
        <v/>
      </c>
      <c r="GY336" s="712">
        <f>IF(GA336="P",Lookup!$N$12,IF(GA336="PP",Lookup!$N$13,IF(GA336="PPP",Lookup!$N$14,IF(GA336="T",Lookup!$N$15,IF(GA336="TP",Lookup!$N$16,IF(GA336="TPP",Lookup!$N$17,IF(GA336="TPPP",Lookup!$N$18,0)))))))*FZ336</f>
        <v>0</v>
      </c>
      <c r="GZ336" s="697">
        <f t="shared" si="928"/>
        <v>0</v>
      </c>
      <c r="HA336" s="712">
        <f t="shared" si="916"/>
        <v>0</v>
      </c>
      <c r="HB336" s="712">
        <f t="shared" si="917"/>
        <v>0</v>
      </c>
      <c r="HC336" s="712"/>
    </row>
    <row r="337" spans="1:211">
      <c r="A337" s="773" t="s">
        <v>9</v>
      </c>
      <c r="B337" s="708">
        <v>40866</v>
      </c>
      <c r="C337" s="709">
        <v>0.5</v>
      </c>
      <c r="D337" s="675">
        <f t="shared" si="840"/>
        <v>300</v>
      </c>
      <c r="E337" s="675">
        <f t="shared" si="841"/>
        <v>250</v>
      </c>
      <c r="F337" s="675">
        <v>250</v>
      </c>
      <c r="G337" s="712">
        <f>DH337+Sheet1!CV337</f>
        <v>886.03473272798124</v>
      </c>
      <c r="H337" s="712">
        <f t="shared" si="842"/>
        <v>305.76965123536706</v>
      </c>
      <c r="I337" s="711">
        <f>MAX(Sheet1!Z337-AJ337+(Sheet1!CW337-E337)*CFStoMGD,0)</f>
        <v>723.93333333333339</v>
      </c>
      <c r="J337" s="720">
        <f>IF(AND(B337&gt;=Calculation!FS337,B337&lt;=Calculation!FT337),IF(Sheet1!CX337&gt;=Calculation!D337,64.64,0),MAX(Sheet1!Z337-AJ337+(Sheet1!CX337-D337)*CFStoMGD,0))</f>
        <v>457.63</v>
      </c>
      <c r="K337" s="697">
        <f t="shared" si="843"/>
        <v>64.64</v>
      </c>
      <c r="L337" s="712">
        <f>Sheet1!AA337+Sheet1!AB337-Sheet1!L337+(Sheet1!CW337-F337)*CFStoMGD</f>
        <v>745.54333333332227</v>
      </c>
      <c r="M337" s="712">
        <f t="shared" si="844"/>
        <v>584.18750826007442</v>
      </c>
      <c r="N337" s="712">
        <f>IF(Sheet1!CW337&gt;=F337,MIN(73,MIN(MAX(L337,0),MAX(M337,0))),0)</f>
        <v>73</v>
      </c>
      <c r="O337" s="721">
        <f>Sheet1!AA337+Sheet1!AB337</f>
        <v>34.099999999988356</v>
      </c>
      <c r="P337" s="721">
        <f t="shared" si="845"/>
        <v>52.752699999981985</v>
      </c>
      <c r="Q337" s="712">
        <f>MIN(N337,Sheet1!AA337+AG337)</f>
        <v>34.099999999988356</v>
      </c>
      <c r="R337" s="712">
        <f t="shared" si="846"/>
        <v>0</v>
      </c>
      <c r="S337" s="721">
        <f>Sheet1!Y337*MGDtoCFS</f>
        <v>38.984399999999994</v>
      </c>
      <c r="T337" s="721">
        <f>Sheet1!Z337*MGDtoCFS</f>
        <v>13.7683</v>
      </c>
      <c r="U337" s="721">
        <f>Sheet1!AA337*MGDtoCFS</f>
        <v>39.139099999981987</v>
      </c>
      <c r="V337" s="721">
        <f>Sheet1!AB337*MGDtoCFS</f>
        <v>13.6136</v>
      </c>
      <c r="W337" s="721">
        <f>Sheet1!L337*MGDtoCFS</f>
        <v>19.167329999999097</v>
      </c>
      <c r="X337" s="697">
        <f t="shared" si="847"/>
        <v>0</v>
      </c>
      <c r="Y337" s="712">
        <f t="shared" si="848"/>
        <v>0</v>
      </c>
      <c r="Z337" s="712">
        <f t="shared" si="849"/>
        <v>0</v>
      </c>
      <c r="AA337" s="712">
        <f t="shared" si="850"/>
        <v>0</v>
      </c>
      <c r="AB337" s="712">
        <f>(VLOOKUP(Sheet1!CY337,hhdcap_wcm,4)-(((VLOOKUP(Sheet1!CY337,hhdcap_wcm,3)-Sheet1!CY337)/(VLOOKUP(Sheet1!CY337,hhdcap_wcm,3)-VLOOKUP(Sheet1!CY337,hhdcap_wcm,1)))*(VLOOKUP(Sheet1!CY337,hhdcap_wcm,4)-VLOOKUP(Sheet1!CY337,hhdcap_wcm,2))))</f>
        <v>1937.6200000027791</v>
      </c>
      <c r="AC337" s="712">
        <f t="shared" si="851"/>
        <v>-225.58000000041307</v>
      </c>
      <c r="AD337" s="712">
        <f t="shared" si="852"/>
        <v>0</v>
      </c>
      <c r="AE337" s="712">
        <f t="shared" si="853"/>
        <v>0</v>
      </c>
      <c r="AF337" s="712">
        <f>Sheet1!BA337+Sheet1!BB337+Sheet1!BN337+BT337</f>
        <v>8.6999999999999993</v>
      </c>
      <c r="AG337" s="712">
        <f t="shared" si="854"/>
        <v>8.8000000000000007</v>
      </c>
      <c r="AH337" s="712">
        <f>Sheet1!BA337+BT337</f>
        <v>0</v>
      </c>
      <c r="AI337" s="712">
        <f>Sheet1!BA337+Sheet1!BB337+BT337</f>
        <v>0</v>
      </c>
      <c r="AJ337" s="712">
        <f>IF((Sheet1!AA337+AG337+AX337+AZ337+BQ337+BS337+CL337+CN337)&lt;=N337,AG337+AX337+AZ337+BQ337+BS337+CL337+CN337,N337-Sheet1!AA337)</f>
        <v>8.8000000000000007</v>
      </c>
      <c r="AK337" s="712">
        <f>IF(DR337&lt;K337,0,MAX(Sheet1!AA337+AG337-15/36*K337-N337,Sheet1!ED337,0))</f>
        <v>0</v>
      </c>
      <c r="AL337" s="712">
        <f>IF(OR(B337&gt;=FT337,B337&lt;FS337),0,15/36*K337-MAX(0,64.6-(137.6-(Sheet1!AA337+Sheet1!AB337))))</f>
        <v>0</v>
      </c>
      <c r="AM337" s="712">
        <f>Sheet1!CX337-110</f>
        <v>897.8125</v>
      </c>
      <c r="AN337" s="712">
        <f>Sheet1!CW337-265</f>
        <v>1104.7916666666667</v>
      </c>
      <c r="AO337" s="712">
        <f t="shared" si="934"/>
        <v>38.900000000011644</v>
      </c>
      <c r="AP337" s="712">
        <f t="shared" si="855"/>
        <v>0</v>
      </c>
      <c r="AQ337" s="712">
        <f t="shared" si="856"/>
        <v>0</v>
      </c>
      <c r="AR337" s="712">
        <f t="shared" si="857"/>
        <v>0</v>
      </c>
      <c r="AS337" s="712"/>
      <c r="AT337" s="712">
        <f ca="1">IF(B337&gt;Summary!$A$1,#N/A,AR337*MGtoAF)</f>
        <v>0</v>
      </c>
      <c r="AU337" s="712">
        <f>Sheet1!BG337+Sheet1!BH337+Sheet1!BI337-BC337</f>
        <v>0</v>
      </c>
      <c r="AV337" s="712">
        <f t="shared" si="858"/>
        <v>0</v>
      </c>
      <c r="AW337" s="712">
        <f>IF(Sheet1!EL337="FM",BC337,0)</f>
        <v>0</v>
      </c>
      <c r="AX337" s="712">
        <f t="shared" si="859"/>
        <v>0</v>
      </c>
      <c r="AY337" s="712">
        <f>IF(Sheet1!EL337="OTHER",BC337,0)</f>
        <v>0</v>
      </c>
      <c r="AZ337" s="712">
        <f t="shared" si="860"/>
        <v>0</v>
      </c>
      <c r="BA337" s="712">
        <f t="shared" si="861"/>
        <v>0</v>
      </c>
      <c r="BB337" s="712">
        <f t="shared" si="862"/>
        <v>0</v>
      </c>
      <c r="BC337" s="712">
        <f>IF(OR(Sheet1!EL337="FM", Sheet1!EL337="OTHER"),SUM(Sheet1!BG337:'Sheet1'!BI337),0)</f>
        <v>0</v>
      </c>
      <c r="BD337" s="697">
        <f>IF(AND($B337&gt;=$FL337,$B337&lt;=$FM337),MAX(AV337,Sheet1!EE337,0),MAX(AV337-(7/36)*$K337,0))</f>
        <v>0</v>
      </c>
      <c r="BE337" s="712">
        <f t="shared" si="863"/>
        <v>0</v>
      </c>
      <c r="BF337" s="697">
        <f t="shared" si="864"/>
        <v>0</v>
      </c>
      <c r="BG337" s="697">
        <f>IF(AND($O337&gt;0,Sheet1!EI337=1),(1-($O337-Sheet1!$L337)/$O337)*BB337,0)</f>
        <v>0</v>
      </c>
      <c r="BH337" s="697">
        <f>IF(AND(Sheet1!$L337=0,Sheet1!$L336=0, Calculation!BA337&lt;Sheet1!$EE337-0.1,Sheet1!$EE337=Sheet1!$EE336,Sheet1!$EE337=Sheet1!$EE338),Sheet1!$EE337,BB337-BG337)</f>
        <v>0</v>
      </c>
      <c r="BI337" s="712"/>
      <c r="BJ337" s="712"/>
      <c r="BK337" s="712">
        <f t="shared" si="865"/>
        <v>0</v>
      </c>
      <c r="BL337" s="712"/>
      <c r="BM337" s="712">
        <f ca="1">IF(B337&gt;Summary!$A$1,#N/A,BK337*MGtoAF)</f>
        <v>0</v>
      </c>
      <c r="BN337" s="712">
        <f>Sheet1!BC337+Sheet1!BD337+Sheet1!BE337+Sheet1!BF337-BW337-BX337</f>
        <v>0</v>
      </c>
      <c r="BO337" s="712">
        <f t="shared" si="866"/>
        <v>0</v>
      </c>
      <c r="BP337" s="712">
        <f>IF(Sheet1!EM337="FM",BX337,0)</f>
        <v>0</v>
      </c>
      <c r="BQ337" s="712">
        <f t="shared" si="867"/>
        <v>0</v>
      </c>
      <c r="BR337" s="712">
        <f>IF(Sheet1!EM337="OTHER",BX337,0)</f>
        <v>0</v>
      </c>
      <c r="BS337" s="712">
        <f t="shared" si="868"/>
        <v>0</v>
      </c>
      <c r="BT337" s="712">
        <f t="shared" si="869"/>
        <v>0</v>
      </c>
      <c r="BU337" s="712">
        <f t="shared" si="870"/>
        <v>0</v>
      </c>
      <c r="BV337" s="712">
        <f t="shared" si="871"/>
        <v>0</v>
      </c>
      <c r="BW337" s="712">
        <f>IF(Sheet1!EM337="CWA",SUM(Sheet1!BC337:'Sheet1'!BF337),0)</f>
        <v>0</v>
      </c>
      <c r="BX337" s="712">
        <f>IF(OR(Sheet1!EM337="FM", Sheet1!EM337="OTHER"),SUM(Sheet1!BC337:'Sheet1'!BF337),0)</f>
        <v>0</v>
      </c>
      <c r="BY337" s="697">
        <f>IF(AND($B337&gt;=$FL337,$B337&lt;=$FM337),MAX(BV337,Sheet1!EF337,0),MAX(BV337-(7/36)*$K337,0))</f>
        <v>0</v>
      </c>
      <c r="BZ337" s="712">
        <f t="shared" si="872"/>
        <v>0</v>
      </c>
      <c r="CA337" s="697">
        <f t="shared" si="873"/>
        <v>0</v>
      </c>
      <c r="CB337" s="697">
        <f>IF(AND($O337&gt;0,Sheet1!EJ337=1),(1-($O337-Sheet1!$L337)/$O337)*BV337,0)</f>
        <v>0</v>
      </c>
      <c r="CC337" s="697">
        <f>IF(AND(Sheet1!$L337=0,Sheet1!$L336=0, Calculation!BU337&lt;Sheet1!EF337-0.1,Sheet1!EF337=Sheet1!EF336,Sheet1!EF337=Sheet1!EF338),Sheet1!EF337,BV337-CB337)</f>
        <v>0</v>
      </c>
      <c r="CD337" s="697"/>
      <c r="CE337" s="712"/>
      <c r="CF337" s="712">
        <f t="shared" si="874"/>
        <v>0</v>
      </c>
      <c r="CG337" s="712"/>
      <c r="CH337" s="712">
        <f ca="1">IF(B337&gt;Summary!$A$1,#N/A,CF337*MGtoAF)</f>
        <v>0</v>
      </c>
      <c r="CI337" s="712">
        <f>Sheet1!BK337+Sheet1!BL337+Sheet1!BM337-Sheet1!EN337-CQ337</f>
        <v>0</v>
      </c>
      <c r="CJ337" s="712">
        <f t="shared" si="875"/>
        <v>0</v>
      </c>
      <c r="CK337" s="712">
        <f>IF(Sheet1!EN337="FM",CQ337,0)</f>
        <v>0</v>
      </c>
      <c r="CL337" s="712">
        <f t="shared" si="876"/>
        <v>0</v>
      </c>
      <c r="CM337" s="712">
        <f>IF(Sheet1!EN337="OTHER",CQ337,0)</f>
        <v>0</v>
      </c>
      <c r="CN337" s="712">
        <f t="shared" si="877"/>
        <v>0</v>
      </c>
      <c r="CO337" s="712">
        <f t="shared" si="878"/>
        <v>0</v>
      </c>
      <c r="CP337" s="712">
        <f t="shared" si="879"/>
        <v>0</v>
      </c>
      <c r="CQ337" s="712">
        <f>IF(OR(Sheet1!EN337="FM", Sheet1!EN337="OTHER"),SUM(Sheet1!BK337:'Sheet1'!BM337),0)</f>
        <v>0</v>
      </c>
      <c r="CR337" s="697">
        <f>IF(AND($B337&gt;=$FL337,$B337&lt;=$FM337),MAX($CJ337,Sheet1!EG337,0),MAX($CJ337-(7/36)*$K337,0))</f>
        <v>0</v>
      </c>
      <c r="CS337" s="712">
        <f t="shared" si="880"/>
        <v>0</v>
      </c>
      <c r="CT337" s="697">
        <f t="shared" si="881"/>
        <v>0</v>
      </c>
      <c r="CU337" s="697">
        <f>IF(AND($O337&gt;0,Sheet1!EK337=1),(1-($O337-Sheet1!$L337)/$O337)*CP337,0)</f>
        <v>0</v>
      </c>
      <c r="CV337" s="697">
        <f>IF(AND(Sheet1!$L337=0,Sheet1!$L336=0, Calculation!CO337&lt;Sheet1!$EG337-0.1,Sheet1!$EG337=Sheet1!$EG336,Sheet1!$EG337=Sheet1!$EG338),Sheet1!$EG337,CP337-CU337)</f>
        <v>0</v>
      </c>
      <c r="CW337" s="697"/>
      <c r="CX337" s="712">
        <f t="shared" si="882"/>
        <v>0</v>
      </c>
      <c r="CY337" s="712">
        <f t="shared" si="883"/>
        <v>0</v>
      </c>
      <c r="CZ337" s="712">
        <f t="shared" si="884"/>
        <v>0</v>
      </c>
      <c r="DA337" s="712">
        <f ca="1">IF(B337&gt;Summary!$A$1,#N/A,CY337*MGtoAF)</f>
        <v>0</v>
      </c>
      <c r="DB337" s="712">
        <f t="shared" si="885"/>
        <v>0</v>
      </c>
      <c r="DC337" s="712">
        <f t="shared" si="886"/>
        <v>8.6999999999999993</v>
      </c>
      <c r="DD337" s="712">
        <f>Sheet1!AB337-DC337</f>
        <v>0.10000000000000142</v>
      </c>
      <c r="DE337" s="712">
        <f t="shared" si="887"/>
        <v>1.1494252873563383E-2</v>
      </c>
      <c r="DF337" s="712">
        <f>(VLOOKUP(Sheet1!CY337,hhdcap_wcm,4)-(((VLOOKUP(Sheet1!CY337,hhdcap_wcm,3)-Sheet1!CY337)/(VLOOKUP(Sheet1!CY337,hhdcap_wcm,3)-VLOOKUP(Sheet1!CY337,hhdcap_wcm,1)))*(VLOOKUP(Sheet1!CY337,hhdcap_wcm,4)-VLOOKUP(Sheet1!CY337,hhdcap_wcm,2))))</f>
        <v>1937.6200000027791</v>
      </c>
      <c r="DG337" s="712">
        <f t="shared" si="888"/>
        <v>-225.58000000041307</v>
      </c>
      <c r="DH337" s="712">
        <f t="shared" si="889"/>
        <v>-113.75693393868534</v>
      </c>
      <c r="DI337" s="712">
        <f>Sheet1!DW337*AFtoMG</f>
        <v>0</v>
      </c>
      <c r="DJ337" s="712">
        <f>Sheet1!DX337*AFtoMG</f>
        <v>0</v>
      </c>
      <c r="DK337" s="712">
        <f>Sheet1!DY337*AFtoMG</f>
        <v>0</v>
      </c>
      <c r="DL337" s="712">
        <f>Sheet1!DZ337*AFtoMG</f>
        <v>0</v>
      </c>
      <c r="DM337" s="712">
        <f t="shared" si="890"/>
        <v>0</v>
      </c>
      <c r="DN337" s="712">
        <f t="shared" si="891"/>
        <v>0</v>
      </c>
      <c r="DO337" s="712">
        <f t="shared" si="892"/>
        <v>0</v>
      </c>
      <c r="DP337" s="712">
        <f t="shared" si="893"/>
        <v>0</v>
      </c>
      <c r="DQ337" s="712"/>
      <c r="DR337" s="697">
        <f>IF(OR(B337&lt;FL337,B337&gt;FM337),(MIN(AV337+BO337+CJ337+MAX(Sheet1!AA337+AG337-73,0),K337)),0)</f>
        <v>0</v>
      </c>
      <c r="DS337" s="712"/>
      <c r="DT337" s="712">
        <f t="shared" si="894"/>
        <v>0</v>
      </c>
      <c r="DU337" s="712"/>
      <c r="DV337" s="712">
        <f>Sheet1!ED337+Sheet1!EE337+Sheet1!EF337+Sheet1!EG337</f>
        <v>8.5</v>
      </c>
      <c r="DW337" s="712"/>
      <c r="DX337" s="697">
        <f t="shared" si="895"/>
        <v>0</v>
      </c>
      <c r="DY337" s="712">
        <f>IF(Sheet1!FN337=1,SUM('Calculations II'!AT337:BA337)+'Calculations II'!BC337+Sheet1!BU337+'Calculations II'!BE337+AF337,SUM('Calculations II'!AT337:BA337)+'Calculations II'!BC337+Sheet1!BU337+'Calculations II'!BE337+AF337)</f>
        <v>45.995776000000006</v>
      </c>
      <c r="DZ337" s="712">
        <f>Sheet1!AA337+Sheet1!AB337+'Calculations II'!BC337</f>
        <v>48.446575999988355</v>
      </c>
      <c r="EA337" s="712"/>
      <c r="EB337" s="712"/>
      <c r="EC337" s="712">
        <f t="shared" si="896"/>
        <v>40866</v>
      </c>
      <c r="ED337" s="712">
        <f t="shared" si="897"/>
        <v>0</v>
      </c>
      <c r="EE337" s="712">
        <f t="shared" si="898"/>
        <v>0</v>
      </c>
      <c r="EF337" s="712">
        <f ca="1">IF(B337=TODAY(),0,-(VLOOKUP(Sheet1!BQ337,Lookup!$B$4:$J$236,2)-VLOOKUP(Sheet1!BQ336,Lookup!$B$4:$J$236,2))/1000000)</f>
        <v>0.2671</v>
      </c>
      <c r="EG337" s="712">
        <f ca="1">IF(B337=TODAY(),0,-(VLOOKUP(Sheet1!BR337,Lookup!$B$4:$J$236,3)-VLOOKUP(Sheet1!BR336,Lookup!$B$4:$J$236,3))/1000000)</f>
        <v>0.2666</v>
      </c>
      <c r="EH337" s="712">
        <f>-(VLOOKUP(Sheet1!BS337,Lookup!$B$4:$J$236,4)-VLOOKUP(Sheet1!BS336,Lookup!$B$4:$J$236,4))/1000000</f>
        <v>0</v>
      </c>
      <c r="EI337" s="697">
        <f t="shared" ca="1" si="922"/>
        <v>0.53370000000000006</v>
      </c>
      <c r="EJ337" s="712"/>
      <c r="EK337" s="712"/>
      <c r="EL337" s="712"/>
      <c r="EM337" s="712"/>
      <c r="EN337" s="712"/>
      <c r="EO337" s="712"/>
      <c r="EP337" s="712"/>
      <c r="EQ337" s="712"/>
      <c r="ER337" s="712"/>
      <c r="ES337" s="712"/>
      <c r="ET337" s="794">
        <f t="shared" si="919"/>
        <v>1089.4000000000001</v>
      </c>
      <c r="EU337" s="794" t="e">
        <f t="shared" si="924"/>
        <v>#N/A</v>
      </c>
      <c r="EV337" s="795" t="e">
        <f t="shared" si="925"/>
        <v>#N/A</v>
      </c>
      <c r="EW337" s="796" t="s">
        <v>757</v>
      </c>
      <c r="EX337" s="796" t="s">
        <v>757</v>
      </c>
      <c r="EY337" s="794" t="e">
        <v>#N/A</v>
      </c>
      <c r="EZ337" s="798">
        <v>3743.8000000060665</v>
      </c>
      <c r="FA337" s="712"/>
      <c r="FB337" s="712"/>
      <c r="FC337" s="712"/>
      <c r="FD337" s="712"/>
      <c r="FE337" s="712">
        <f>O337+Sheet1!CO337</f>
        <v>9996.9999999999873</v>
      </c>
      <c r="FF337" s="712">
        <f>IF(Sheet1!AA337+AG337&lt;=Calculation!N337,AG337,Calculation!N337-Sheet1!AA337)</f>
        <v>8.8000000000000007</v>
      </c>
      <c r="FG337" s="712">
        <f>(Sheet1!BP337+Sheet1!BO337)/694.4</f>
        <v>1.9071140552995391</v>
      </c>
      <c r="FH337" s="712"/>
      <c r="FI337" s="712"/>
      <c r="FJ337" s="712"/>
      <c r="FK337" s="712"/>
      <c r="FL337" s="714">
        <f t="shared" si="929"/>
        <v>40753</v>
      </c>
      <c r="FM337" s="714">
        <f t="shared" si="930"/>
        <v>40851</v>
      </c>
      <c r="FN337" s="712"/>
      <c r="FO337" s="712"/>
      <c r="FP337" s="712"/>
      <c r="FQ337" s="712"/>
      <c r="FR337" s="712"/>
      <c r="FS337" s="725">
        <f t="shared" si="931"/>
        <v>40603</v>
      </c>
      <c r="FT337" s="714">
        <f t="shared" si="932"/>
        <v>40709</v>
      </c>
      <c r="FU337" s="712">
        <f t="shared" si="931"/>
        <v>6518.9048239895692</v>
      </c>
      <c r="FV337" s="714">
        <f t="shared" si="933"/>
        <v>40722</v>
      </c>
      <c r="FW337" s="712">
        <f t="shared" si="931"/>
        <v>3259.4524119947846</v>
      </c>
      <c r="FX337" s="725">
        <f t="shared" si="931"/>
        <v>40851</v>
      </c>
      <c r="FZ337" s="697">
        <f t="shared" si="926"/>
        <v>0</v>
      </c>
      <c r="GA337" s="712" t="str">
        <f t="shared" si="899"/>
        <v/>
      </c>
      <c r="GB337" s="712">
        <f t="shared" si="900"/>
        <v>0</v>
      </c>
      <c r="GC337" s="712" t="str">
        <f t="shared" si="901"/>
        <v/>
      </c>
      <c r="GD337" s="712">
        <f>IF(GA337="P",Lookup!$M$12,IF(GA337="PP",Lookup!$M$13,IF(GA337="PPP",Lookup!$M$14,IF(GA337="T",Lookup!$M$15,IF(GA337="TP",Lookup!$M$16,IF(GA337="TPP",Lookup!$M$17,IF(GA337="TPPP",Lookup!$M$18,0)))))))*FZ337</f>
        <v>0</v>
      </c>
      <c r="GE337" s="712">
        <f t="shared" si="902"/>
        <v>0</v>
      </c>
      <c r="GF337" s="712">
        <f t="shared" si="903"/>
        <v>0</v>
      </c>
      <c r="GG337" s="712">
        <f t="shared" si="904"/>
        <v>0</v>
      </c>
      <c r="GH337" s="712"/>
      <c r="GI337" s="712">
        <f t="shared" si="905"/>
        <v>0</v>
      </c>
      <c r="GJ337" s="712" t="str">
        <f t="shared" si="906"/>
        <v/>
      </c>
      <c r="GK337" s="712">
        <f>IF(GA337="P",Lookup!$N$12,IF(GA337="PP",Lookup!$N$13,IF(GA337="PPP",Lookup!$N$14,IF(GA337="T",Lookup!$N$15,IF(GA337="TP",Lookup!$N$16,IF(GA337="TPP",Lookup!$N$17,IF(GA337="TPPP",Lookup!$N$18,0)))))))*FZ337</f>
        <v>0</v>
      </c>
      <c r="GL337" s="712">
        <f t="shared" si="907"/>
        <v>0</v>
      </c>
      <c r="GM337" s="712">
        <f t="shared" si="908"/>
        <v>0</v>
      </c>
      <c r="GN337" s="712">
        <f t="shared" si="909"/>
        <v>0</v>
      </c>
      <c r="GO337" s="712"/>
      <c r="GP337" s="712">
        <f t="shared" si="910"/>
        <v>0</v>
      </c>
      <c r="GQ337" s="712" t="str">
        <f t="shared" si="911"/>
        <v/>
      </c>
      <c r="GR337" s="712">
        <f>IF(GA337="P",Lookup!$N$12,IF(GA337="PP",Lookup!$N$13,IF(GA337="PPP",Lookup!$N$14,IF(GA337="T",Lookup!$N$15,IF(GA337="TP",Lookup!$N$16,IF(GA337="TPP",Lookup!$N$17,IF(GA337="TPPP",Lookup!$N$18,0)))))))*FZ337</f>
        <v>0</v>
      </c>
      <c r="GS337" s="697">
        <f t="shared" si="927"/>
        <v>0</v>
      </c>
      <c r="GT337" s="712">
        <f t="shared" si="912"/>
        <v>0</v>
      </c>
      <c r="GU337" s="712">
        <f t="shared" si="913"/>
        <v>0</v>
      </c>
      <c r="GV337" s="712"/>
      <c r="GW337" s="712">
        <f t="shared" si="914"/>
        <v>0</v>
      </c>
      <c r="GX337" s="712" t="str">
        <f t="shared" si="915"/>
        <v/>
      </c>
      <c r="GY337" s="712">
        <f>IF(GA337="P",Lookup!$N$12,IF(GA337="PP",Lookup!$N$13,IF(GA337="PPP",Lookup!$N$14,IF(GA337="T",Lookup!$N$15,IF(GA337="TP",Lookup!$N$16,IF(GA337="TPP",Lookup!$N$17,IF(GA337="TPPP",Lookup!$N$18,0)))))))*FZ337</f>
        <v>0</v>
      </c>
      <c r="GZ337" s="697">
        <f t="shared" si="928"/>
        <v>0</v>
      </c>
      <c r="HA337" s="712">
        <f t="shared" si="916"/>
        <v>0</v>
      </c>
      <c r="HB337" s="712">
        <f t="shared" si="917"/>
        <v>0</v>
      </c>
      <c r="HC337" s="712"/>
    </row>
    <row r="338" spans="1:211">
      <c r="A338" s="773" t="s">
        <v>3</v>
      </c>
      <c r="B338" s="708">
        <v>40867</v>
      </c>
      <c r="C338" s="719">
        <v>0.5</v>
      </c>
      <c r="D338" s="675">
        <f t="shared" si="840"/>
        <v>300</v>
      </c>
      <c r="E338" s="675">
        <f t="shared" si="841"/>
        <v>250</v>
      </c>
      <c r="F338" s="675">
        <v>250</v>
      </c>
      <c r="G338" s="712">
        <f>DH338+Sheet1!CV338</f>
        <v>765.60394604136593</v>
      </c>
      <c r="H338" s="712">
        <f t="shared" si="842"/>
        <v>227.92319072113892</v>
      </c>
      <c r="I338" s="711">
        <f>MAX(Sheet1!Z338-AJ338+(Sheet1!CW338-E338)*CFStoMGD,0)</f>
        <v>585.37599999999998</v>
      </c>
      <c r="J338" s="720">
        <f>IF(AND(B338&gt;=Calculation!FS338,B338&lt;=Calculation!FT338),IF(Sheet1!CX338&gt;=Calculation!D338,64.64,0),MAX(Sheet1!Z338-AJ338+(Sheet1!CX338-D338)*CFStoMGD,0))</f>
        <v>320.06920000000002</v>
      </c>
      <c r="K338" s="697">
        <f t="shared" si="843"/>
        <v>64.64</v>
      </c>
      <c r="L338" s="712">
        <f>Sheet1!AA338+Sheet1!AB338-Sheet1!L338+(Sheet1!CW338-F338)*CFStoMGD</f>
        <v>593.92600000000641</v>
      </c>
      <c r="M338" s="712">
        <f t="shared" si="844"/>
        <v>504.78411853556173</v>
      </c>
      <c r="N338" s="712">
        <f>IF(Sheet1!CW338&gt;=F338,MIN(73,MIN(MAX(L338,0),MAX(M338,0))),0)</f>
        <v>73</v>
      </c>
      <c r="O338" s="721">
        <f>Sheet1!AA338+Sheet1!AB338</f>
        <v>34.170000000005821</v>
      </c>
      <c r="P338" s="721">
        <f t="shared" si="845"/>
        <v>52.860990000009004</v>
      </c>
      <c r="Q338" s="712">
        <f>MIN(N338,Sheet1!AA338+AG338)</f>
        <v>34.170000000005821</v>
      </c>
      <c r="R338" s="712">
        <f t="shared" si="846"/>
        <v>0</v>
      </c>
      <c r="S338" s="721">
        <f>Sheet1!Y338*MGDtoCFS</f>
        <v>39.293799999999997</v>
      </c>
      <c r="T338" s="721">
        <f>Sheet1!Z338*MGDtoCFS</f>
        <v>13.6136</v>
      </c>
      <c r="U338" s="721">
        <f>Sheet1!AA338*MGDtoCFS</f>
        <v>39.216450000009004</v>
      </c>
      <c r="V338" s="721">
        <f>Sheet1!AB338*MGDtoCFS</f>
        <v>13.644539999999999</v>
      </c>
      <c r="W338" s="721">
        <f>Sheet1!L338*MGDtoCFS</f>
        <v>39.665079999999101</v>
      </c>
      <c r="X338" s="697">
        <f t="shared" si="847"/>
        <v>0</v>
      </c>
      <c r="Y338" s="712">
        <f t="shared" si="848"/>
        <v>0</v>
      </c>
      <c r="Z338" s="712">
        <f t="shared" si="849"/>
        <v>0</v>
      </c>
      <c r="AA338" s="712">
        <f t="shared" si="850"/>
        <v>0</v>
      </c>
      <c r="AB338" s="712">
        <f>(VLOOKUP(Sheet1!CY338,hhdcap_wcm,4)-(((VLOOKUP(Sheet1!CY338,hhdcap_wcm,3)-Sheet1!CY338)/(VLOOKUP(Sheet1!CY338,hhdcap_wcm,3)-VLOOKUP(Sheet1!CY338,hhdcap_wcm,1)))*(VLOOKUP(Sheet1!CY338,hhdcap_wcm,4)-VLOOKUP(Sheet1!CY338,hhdcap_wcm,2))))</f>
        <v>1955.2600000028076</v>
      </c>
      <c r="AC338" s="712">
        <f t="shared" si="851"/>
        <v>17.640000000028522</v>
      </c>
      <c r="AD338" s="712">
        <f t="shared" si="852"/>
        <v>0</v>
      </c>
      <c r="AE338" s="712">
        <f t="shared" si="853"/>
        <v>0</v>
      </c>
      <c r="AF338" s="712">
        <f>Sheet1!BA338+Sheet1!BB338+Sheet1!BN338+BT338</f>
        <v>8.6999999999999993</v>
      </c>
      <c r="AG338" s="712">
        <f t="shared" si="854"/>
        <v>8.82</v>
      </c>
      <c r="AH338" s="712">
        <f>Sheet1!BA338+BT338</f>
        <v>0</v>
      </c>
      <c r="AI338" s="712">
        <f>Sheet1!BA338+Sheet1!BB338+BT338</f>
        <v>0</v>
      </c>
      <c r="AJ338" s="712">
        <f>IF((Sheet1!AA338+AG338+AX338+AZ338+BQ338+BS338+CL338+CN338)&lt;=N338,AG338+AX338+AZ338+BQ338+BS338+CL338+CN338,N338-Sheet1!AA338)</f>
        <v>8.82</v>
      </c>
      <c r="AK338" s="712">
        <f>IF(DR338&lt;K338,0,MAX(Sheet1!AA338+AG338-15/36*K338-N338,Sheet1!ED338,0))</f>
        <v>0</v>
      </c>
      <c r="AL338" s="712">
        <f>IF(OR(B338&gt;=FT338,B338&lt;FS338),0,15/36*K338-MAX(0,64.6-(137.6-(Sheet1!AA338+Sheet1!AB338))))</f>
        <v>0</v>
      </c>
      <c r="AM338" s="712">
        <f>Sheet1!CX338-110</f>
        <v>685.1875</v>
      </c>
      <c r="AN338" s="712">
        <f>Sheet1!CW338-265</f>
        <v>890.625</v>
      </c>
      <c r="AO338" s="712">
        <f t="shared" si="934"/>
        <v>38.829999999994179</v>
      </c>
      <c r="AP338" s="712">
        <f t="shared" si="855"/>
        <v>0</v>
      </c>
      <c r="AQ338" s="712">
        <f t="shared" si="856"/>
        <v>0</v>
      </c>
      <c r="AR338" s="712">
        <f t="shared" si="857"/>
        <v>0</v>
      </c>
      <c r="AS338" s="712"/>
      <c r="AT338" s="712">
        <f ca="1">IF(B338&gt;Summary!$A$1,#N/A,AR338*MGtoAF)</f>
        <v>0</v>
      </c>
      <c r="AU338" s="712">
        <f>Sheet1!BG338+Sheet1!BH338+Sheet1!BI338-BC338</f>
        <v>0</v>
      </c>
      <c r="AV338" s="712">
        <f t="shared" si="858"/>
        <v>0</v>
      </c>
      <c r="AW338" s="712">
        <f>IF(Sheet1!EL338="FM",BC338,0)</f>
        <v>0</v>
      </c>
      <c r="AX338" s="712">
        <f t="shared" si="859"/>
        <v>0</v>
      </c>
      <c r="AY338" s="712">
        <f>IF(Sheet1!EL338="OTHER",BC338,0)</f>
        <v>0</v>
      </c>
      <c r="AZ338" s="712">
        <f t="shared" si="860"/>
        <v>0</v>
      </c>
      <c r="BA338" s="712">
        <f t="shared" si="861"/>
        <v>0</v>
      </c>
      <c r="BB338" s="712">
        <f t="shared" si="862"/>
        <v>0</v>
      </c>
      <c r="BC338" s="712">
        <f>IF(OR(Sheet1!EL338="FM", Sheet1!EL338="OTHER"),SUM(Sheet1!BG338:'Sheet1'!BI338),0)</f>
        <v>0</v>
      </c>
      <c r="BD338" s="697">
        <f>IF(AND($B338&gt;=$FL338,$B338&lt;=$FM338),MAX(AV338,Sheet1!EE338,0),MAX(AV338-(7/36)*$K338,0))</f>
        <v>0</v>
      </c>
      <c r="BE338" s="712">
        <f t="shared" si="863"/>
        <v>0</v>
      </c>
      <c r="BF338" s="697">
        <f t="shared" si="864"/>
        <v>0</v>
      </c>
      <c r="BG338" s="697">
        <f>IF(AND($O338&gt;0,Sheet1!EI338=1),(1-($O338-Sheet1!$L338)/$O338)*BB338,0)</f>
        <v>0</v>
      </c>
      <c r="BH338" s="697">
        <f>IF(AND(Sheet1!$L338=0,Sheet1!$L337=0, Calculation!BA338&lt;Sheet1!$EE338-0.1,Sheet1!$EE338=Sheet1!$EE337,Sheet1!$EE338=Sheet1!$EE339),Sheet1!$EE338,BB338-BG338)</f>
        <v>0</v>
      </c>
      <c r="BI338" s="712"/>
      <c r="BJ338" s="712"/>
      <c r="BK338" s="712">
        <f t="shared" si="865"/>
        <v>0</v>
      </c>
      <c r="BL338" s="712"/>
      <c r="BM338" s="712">
        <f ca="1">IF(B338&gt;Summary!$A$1,#N/A,BK338*MGtoAF)</f>
        <v>0</v>
      </c>
      <c r="BN338" s="712">
        <f>Sheet1!BC338+Sheet1!BD338+Sheet1!BE338+Sheet1!BF338-BW338-BX338</f>
        <v>0</v>
      </c>
      <c r="BO338" s="712">
        <f t="shared" si="866"/>
        <v>0</v>
      </c>
      <c r="BP338" s="712">
        <f>IF(Sheet1!EM338="FM",BX338,0)</f>
        <v>0</v>
      </c>
      <c r="BQ338" s="712">
        <f t="shared" si="867"/>
        <v>0</v>
      </c>
      <c r="BR338" s="712">
        <f>IF(Sheet1!EM338="OTHER",BX338,0)</f>
        <v>0</v>
      </c>
      <c r="BS338" s="712">
        <f t="shared" si="868"/>
        <v>0</v>
      </c>
      <c r="BT338" s="712">
        <f t="shared" si="869"/>
        <v>0</v>
      </c>
      <c r="BU338" s="712">
        <f t="shared" si="870"/>
        <v>0</v>
      </c>
      <c r="BV338" s="712">
        <f t="shared" si="871"/>
        <v>0</v>
      </c>
      <c r="BW338" s="712">
        <f>IF(Sheet1!EM338="CWA",SUM(Sheet1!BC338:'Sheet1'!BF338),0)</f>
        <v>0</v>
      </c>
      <c r="BX338" s="712">
        <f>IF(OR(Sheet1!EM338="FM", Sheet1!EM338="OTHER"),SUM(Sheet1!BC338:'Sheet1'!BF338),0)</f>
        <v>0</v>
      </c>
      <c r="BY338" s="697">
        <f>IF(AND($B338&gt;=$FL338,$B338&lt;=$FM338),MAX(BV338,Sheet1!EF338,0),MAX(BV338-(7/36)*$K338,0))</f>
        <v>0</v>
      </c>
      <c r="BZ338" s="712">
        <f t="shared" si="872"/>
        <v>0</v>
      </c>
      <c r="CA338" s="697">
        <f t="shared" si="873"/>
        <v>0</v>
      </c>
      <c r="CB338" s="697">
        <f>IF(AND($O338&gt;0,Sheet1!EJ338=1),(1-($O338-Sheet1!$L338)/$O338)*BV338,0)</f>
        <v>0</v>
      </c>
      <c r="CC338" s="697">
        <f>IF(AND(Sheet1!$L338=0,Sheet1!$L337=0, Calculation!BU338&lt;Sheet1!EF338-0.1,Sheet1!EF338=Sheet1!EF337,Sheet1!EF338=Sheet1!EF339),Sheet1!EF338,BV338-CB338)</f>
        <v>0</v>
      </c>
      <c r="CD338" s="697"/>
      <c r="CE338" s="712"/>
      <c r="CF338" s="712">
        <f t="shared" si="874"/>
        <v>0</v>
      </c>
      <c r="CG338" s="712"/>
      <c r="CH338" s="712">
        <f ca="1">IF(B338&gt;Summary!$A$1,#N/A,CF338*MGtoAF)</f>
        <v>0</v>
      </c>
      <c r="CI338" s="712">
        <f>Sheet1!BK338+Sheet1!BL338+Sheet1!BM338-Sheet1!EN338-CQ338</f>
        <v>0</v>
      </c>
      <c r="CJ338" s="712">
        <f t="shared" si="875"/>
        <v>0</v>
      </c>
      <c r="CK338" s="712">
        <f>IF(Sheet1!EN338="FM",CQ338,0)</f>
        <v>0</v>
      </c>
      <c r="CL338" s="712">
        <f t="shared" si="876"/>
        <v>0</v>
      </c>
      <c r="CM338" s="712">
        <f>IF(Sheet1!EN338="OTHER",CQ338,0)</f>
        <v>0</v>
      </c>
      <c r="CN338" s="712">
        <f t="shared" si="877"/>
        <v>0</v>
      </c>
      <c r="CO338" s="712">
        <f t="shared" si="878"/>
        <v>0</v>
      </c>
      <c r="CP338" s="712">
        <f t="shared" si="879"/>
        <v>0</v>
      </c>
      <c r="CQ338" s="712">
        <f>IF(OR(Sheet1!EN338="FM", Sheet1!EN338="OTHER"),SUM(Sheet1!BK338:'Sheet1'!BM338),0)</f>
        <v>0</v>
      </c>
      <c r="CR338" s="697">
        <f>IF(AND($B338&gt;=$FL338,$B338&lt;=$FM338),MAX($CJ338,Sheet1!EG338,0),MAX($CJ338-(7/36)*$K338,0))</f>
        <v>0</v>
      </c>
      <c r="CS338" s="712">
        <f t="shared" si="880"/>
        <v>0</v>
      </c>
      <c r="CT338" s="697">
        <f t="shared" si="881"/>
        <v>0</v>
      </c>
      <c r="CU338" s="697">
        <f>IF(AND($O338&gt;0,Sheet1!EK338=1),(1-($O338-Sheet1!$L338)/$O338)*CP338,0)</f>
        <v>0</v>
      </c>
      <c r="CV338" s="697">
        <f>IF(AND(Sheet1!$L338=0,Sheet1!$L337=0, Calculation!CO338&lt;Sheet1!$EG338-0.1,Sheet1!$EG338=Sheet1!$EG337,Sheet1!$EG338=Sheet1!$EG339),Sheet1!$EG338,CP338-CU338)</f>
        <v>0</v>
      </c>
      <c r="CW338" s="697"/>
      <c r="CX338" s="712">
        <f t="shared" si="882"/>
        <v>0</v>
      </c>
      <c r="CY338" s="712">
        <f t="shared" si="883"/>
        <v>0</v>
      </c>
      <c r="CZ338" s="712">
        <f t="shared" si="884"/>
        <v>0</v>
      </c>
      <c r="DA338" s="712">
        <f ca="1">IF(B338&gt;Summary!$A$1,#N/A,CY338*MGtoAF)</f>
        <v>0</v>
      </c>
      <c r="DB338" s="712">
        <f t="shared" si="885"/>
        <v>0</v>
      </c>
      <c r="DC338" s="712">
        <f t="shared" si="886"/>
        <v>8.6999999999999993</v>
      </c>
      <c r="DD338" s="712">
        <f>Sheet1!AB338-DC338</f>
        <v>0.12000000000000099</v>
      </c>
      <c r="DE338" s="712">
        <f t="shared" si="887"/>
        <v>1.3793103448275978E-2</v>
      </c>
      <c r="DF338" s="712">
        <f>(VLOOKUP(Sheet1!CY338,hhdcap_wcm,4)-(((VLOOKUP(Sheet1!CY338,hhdcap_wcm,3)-Sheet1!CY338)/(VLOOKUP(Sheet1!CY338,hhdcap_wcm,3)-VLOOKUP(Sheet1!CY338,hhdcap_wcm,1)))*(VLOOKUP(Sheet1!CY338,hhdcap_wcm,4)-VLOOKUP(Sheet1!CY338,hhdcap_wcm,2))))</f>
        <v>1955.2600000028076</v>
      </c>
      <c r="DG338" s="712">
        <f t="shared" si="888"/>
        <v>17.640000000028522</v>
      </c>
      <c r="DH338" s="712">
        <f t="shared" si="889"/>
        <v>8.8956127080325356</v>
      </c>
      <c r="DI338" s="712">
        <f>Sheet1!DW338*AFtoMG</f>
        <v>0</v>
      </c>
      <c r="DJ338" s="712">
        <f>Sheet1!DX338*AFtoMG</f>
        <v>0</v>
      </c>
      <c r="DK338" s="712">
        <f>Sheet1!DY338*AFtoMG</f>
        <v>0</v>
      </c>
      <c r="DL338" s="712">
        <f>Sheet1!DZ338*AFtoMG</f>
        <v>0</v>
      </c>
      <c r="DM338" s="712">
        <f t="shared" si="890"/>
        <v>0</v>
      </c>
      <c r="DN338" s="712">
        <f t="shared" si="891"/>
        <v>0</v>
      </c>
      <c r="DO338" s="712">
        <f t="shared" si="892"/>
        <v>0</v>
      </c>
      <c r="DP338" s="712">
        <f t="shared" si="893"/>
        <v>0</v>
      </c>
      <c r="DQ338" s="712"/>
      <c r="DR338" s="697">
        <f>IF(OR(B338&lt;FL338,B338&gt;FM338),(MIN(AV338+BO338+CJ338+MAX(Sheet1!AA338+AG338-73,0),K338)),0)</f>
        <v>0</v>
      </c>
      <c r="DS338" s="712"/>
      <c r="DT338" s="712">
        <f t="shared" si="894"/>
        <v>0</v>
      </c>
      <c r="DU338" s="712"/>
      <c r="DV338" s="712">
        <f>Sheet1!ED338+Sheet1!EE338+Sheet1!EF338+Sheet1!EG338</f>
        <v>8.5</v>
      </c>
      <c r="DW338" s="712"/>
      <c r="DX338" s="697">
        <f t="shared" si="895"/>
        <v>0</v>
      </c>
      <c r="DY338" s="712">
        <f>IF(Sheet1!FN338=1,SUM('Calculations II'!AT338:BA338)+'Calculations II'!BC338+Sheet1!BU338+'Calculations II'!BE338+AF338,SUM('Calculations II'!AT338:BA338)+'Calculations II'!BC338+Sheet1!BU338+'Calculations II'!BE338+AF338)</f>
        <v>42.481952000000007</v>
      </c>
      <c r="DZ338" s="712">
        <f>Sheet1!AA338+Sheet1!AB338+'Calculations II'!BC338</f>
        <v>45.88684800000582</v>
      </c>
      <c r="EA338" s="712"/>
      <c r="EB338" s="712"/>
      <c r="EC338" s="712">
        <f t="shared" si="896"/>
        <v>40867</v>
      </c>
      <c r="ED338" s="712">
        <f t="shared" si="897"/>
        <v>0</v>
      </c>
      <c r="EE338" s="712">
        <f t="shared" si="898"/>
        <v>0</v>
      </c>
      <c r="EF338" s="712">
        <f ca="1">IF(B338=TODAY(),0,-(VLOOKUP(Sheet1!BQ338,Lookup!$B$4:$J$236,2)-VLOOKUP(Sheet1!BQ337,Lookup!$B$4:$J$236,2))/1000000)</f>
        <v>-0.80130000000000001</v>
      </c>
      <c r="EG338" s="712">
        <f ca="1">IF(B338=TODAY(),0,-(VLOOKUP(Sheet1!BR338,Lookup!$B$4:$J$236,3)-VLOOKUP(Sheet1!BR337,Lookup!$B$4:$J$236,3))/1000000)</f>
        <v>-0.79979999999999996</v>
      </c>
      <c r="EH338" s="712">
        <f>-(VLOOKUP(Sheet1!BS338,Lookup!$B$4:$J$236,4)-VLOOKUP(Sheet1!BS337,Lookup!$B$4:$J$236,4))/1000000</f>
        <v>0</v>
      </c>
      <c r="EI338" s="697">
        <f t="shared" ca="1" si="922"/>
        <v>-1.6011</v>
      </c>
      <c r="EJ338" s="712"/>
      <c r="EK338" s="712"/>
      <c r="EL338" s="712"/>
      <c r="EM338" s="712"/>
      <c r="EN338" s="712"/>
      <c r="EO338" s="712"/>
      <c r="EP338" s="712"/>
      <c r="EQ338" s="712"/>
      <c r="ER338" s="712"/>
      <c r="ES338" s="712"/>
      <c r="ET338" s="794">
        <f t="shared" si="919"/>
        <v>1088.2</v>
      </c>
      <c r="EU338" s="794" t="e">
        <f t="shared" si="924"/>
        <v>#N/A</v>
      </c>
      <c r="EV338" s="795" t="e">
        <f t="shared" si="925"/>
        <v>#N/A</v>
      </c>
      <c r="EW338" s="796" t="s">
        <v>757</v>
      </c>
      <c r="EX338" s="796" t="s">
        <v>757</v>
      </c>
      <c r="EY338" s="794" t="e">
        <v>#N/A</v>
      </c>
      <c r="EZ338" s="798">
        <v>3528.000000005698</v>
      </c>
      <c r="FA338" s="712"/>
      <c r="FB338" s="712"/>
      <c r="FC338" s="712"/>
      <c r="FD338" s="712"/>
      <c r="FE338" s="712">
        <f>O338+Sheet1!CO338</f>
        <v>8170.8700000000053</v>
      </c>
      <c r="FF338" s="712">
        <f>IF(Sheet1!AA338+AG338&lt;=Calculation!N338,AG338,Calculation!N338-Sheet1!AA338)</f>
        <v>8.82</v>
      </c>
      <c r="FG338" s="712">
        <f>(Sheet1!BP338+Sheet1!BO338)/694.4</f>
        <v>1.9601094470046083</v>
      </c>
      <c r="FH338" s="712"/>
      <c r="FI338" s="712"/>
      <c r="FJ338" s="712"/>
      <c r="FK338" s="712"/>
      <c r="FL338" s="714">
        <f t="shared" si="929"/>
        <v>40753</v>
      </c>
      <c r="FM338" s="714">
        <f t="shared" si="930"/>
        <v>40851</v>
      </c>
      <c r="FN338" s="712"/>
      <c r="FO338" s="712"/>
      <c r="FP338" s="712"/>
      <c r="FQ338" s="712"/>
      <c r="FR338" s="712"/>
      <c r="FS338" s="725">
        <f t="shared" si="931"/>
        <v>40603</v>
      </c>
      <c r="FT338" s="714">
        <f t="shared" si="932"/>
        <v>40709</v>
      </c>
      <c r="FU338" s="712">
        <f t="shared" si="931"/>
        <v>6518.9048239895692</v>
      </c>
      <c r="FV338" s="714">
        <f t="shared" si="933"/>
        <v>40722</v>
      </c>
      <c r="FW338" s="712">
        <f t="shared" si="931"/>
        <v>3259.4524119947846</v>
      </c>
      <c r="FX338" s="725">
        <f t="shared" si="931"/>
        <v>40851</v>
      </c>
      <c r="FZ338" s="697">
        <f t="shared" si="926"/>
        <v>0</v>
      </c>
      <c r="GA338" s="712" t="str">
        <f t="shared" si="899"/>
        <v/>
      </c>
      <c r="GB338" s="712">
        <f t="shared" si="900"/>
        <v>0</v>
      </c>
      <c r="GC338" s="712" t="str">
        <f t="shared" si="901"/>
        <v/>
      </c>
      <c r="GD338" s="712">
        <f>IF(GA338="P",Lookup!$M$12,IF(GA338="PP",Lookup!$M$13,IF(GA338="PPP",Lookup!$M$14,IF(GA338="T",Lookup!$M$15,IF(GA338="TP",Lookup!$M$16,IF(GA338="TPP",Lookup!$M$17,IF(GA338="TPPP",Lookup!$M$18,0)))))))*FZ338</f>
        <v>0</v>
      </c>
      <c r="GE338" s="712">
        <f t="shared" si="902"/>
        <v>0</v>
      </c>
      <c r="GF338" s="712">
        <f t="shared" si="903"/>
        <v>0</v>
      </c>
      <c r="GG338" s="712">
        <f t="shared" si="904"/>
        <v>0</v>
      </c>
      <c r="GH338" s="712"/>
      <c r="GI338" s="712">
        <f t="shared" si="905"/>
        <v>0</v>
      </c>
      <c r="GJ338" s="712" t="str">
        <f t="shared" si="906"/>
        <v/>
      </c>
      <c r="GK338" s="712">
        <f>IF(GA338="P",Lookup!$N$12,IF(GA338="PP",Lookup!$N$13,IF(GA338="PPP",Lookup!$N$14,IF(GA338="T",Lookup!$N$15,IF(GA338="TP",Lookup!$N$16,IF(GA338="TPP",Lookup!$N$17,IF(GA338="TPPP",Lookup!$N$18,0)))))))*FZ338</f>
        <v>0</v>
      </c>
      <c r="GL338" s="712">
        <f t="shared" si="907"/>
        <v>0</v>
      </c>
      <c r="GM338" s="712">
        <f t="shared" si="908"/>
        <v>0</v>
      </c>
      <c r="GN338" s="712">
        <f t="shared" si="909"/>
        <v>0</v>
      </c>
      <c r="GO338" s="712"/>
      <c r="GP338" s="712">
        <f t="shared" si="910"/>
        <v>0</v>
      </c>
      <c r="GQ338" s="712" t="str">
        <f t="shared" si="911"/>
        <v/>
      </c>
      <c r="GR338" s="712">
        <f>IF(GA338="P",Lookup!$N$12,IF(GA338="PP",Lookup!$N$13,IF(GA338="PPP",Lookup!$N$14,IF(GA338="T",Lookup!$N$15,IF(GA338="TP",Lookup!$N$16,IF(GA338="TPP",Lookup!$N$17,IF(GA338="TPPP",Lookup!$N$18,0)))))))*FZ338</f>
        <v>0</v>
      </c>
      <c r="GS338" s="697">
        <f t="shared" si="927"/>
        <v>0</v>
      </c>
      <c r="GT338" s="712">
        <f t="shared" si="912"/>
        <v>0</v>
      </c>
      <c r="GU338" s="712">
        <f t="shared" si="913"/>
        <v>0</v>
      </c>
      <c r="GV338" s="712"/>
      <c r="GW338" s="712">
        <f t="shared" si="914"/>
        <v>0</v>
      </c>
      <c r="GX338" s="712" t="str">
        <f t="shared" si="915"/>
        <v/>
      </c>
      <c r="GY338" s="712">
        <f>IF(GA338="P",Lookup!$N$12,IF(GA338="PP",Lookup!$N$13,IF(GA338="PPP",Lookup!$N$14,IF(GA338="T",Lookup!$N$15,IF(GA338="TP",Lookup!$N$16,IF(GA338="TPP",Lookup!$N$17,IF(GA338="TPPP",Lookup!$N$18,0)))))))*FZ338</f>
        <v>0</v>
      </c>
      <c r="GZ338" s="697">
        <f t="shared" si="928"/>
        <v>0</v>
      </c>
      <c r="HA338" s="712">
        <f t="shared" si="916"/>
        <v>0</v>
      </c>
      <c r="HB338" s="712">
        <f t="shared" si="917"/>
        <v>0</v>
      </c>
      <c r="HC338" s="712"/>
    </row>
    <row r="339" spans="1:211">
      <c r="A339" s="773" t="s">
        <v>4</v>
      </c>
      <c r="B339" s="708">
        <v>40868</v>
      </c>
      <c r="C339" s="709">
        <v>0.5</v>
      </c>
      <c r="D339" s="675">
        <f t="shared" si="840"/>
        <v>300</v>
      </c>
      <c r="E339" s="675">
        <f t="shared" si="841"/>
        <v>250</v>
      </c>
      <c r="F339" s="675">
        <v>250</v>
      </c>
      <c r="G339" s="712">
        <f>DH339+Sheet1!CV339</f>
        <v>690.3443645990634</v>
      </c>
      <c r="H339" s="712">
        <f t="shared" si="842"/>
        <v>179.27539727683458</v>
      </c>
      <c r="I339" s="711">
        <f>MAX(Sheet1!Z339-AJ339+(Sheet1!CW339-E339)*CFStoMGD,0)</f>
        <v>417.89156641221308</v>
      </c>
      <c r="J339" s="720">
        <f>IF(AND(B339&gt;=Calculation!FS339,B339&lt;=Calculation!FT339),IF(Sheet1!CX339&gt;=Calculation!D339,64.64,0),MAX(Sheet1!Z339-AJ339+(Sheet1!CX339-D339)*CFStoMGD,0))</f>
        <v>238.57616641221307</v>
      </c>
      <c r="K339" s="697">
        <f t="shared" si="843"/>
        <v>64.64</v>
      </c>
      <c r="L339" s="712">
        <f>Sheet1!AA339+Sheet1!AB339-Sheet1!L339+(Sheet1!CW339-F339)*CFStoMGD</f>
        <v>461.59920000000727</v>
      </c>
      <c r="M339" s="712">
        <f t="shared" si="844"/>
        <v>455.16336922237127</v>
      </c>
      <c r="N339" s="712">
        <f>IF(Sheet1!CW339&gt;=F339,MIN(73,MIN(MAX(L339,0),MAX(M339,0))),0)</f>
        <v>73</v>
      </c>
      <c r="O339" s="721">
        <f>Sheet1!AA339+Sheet1!AB339</f>
        <v>43.360000000007858</v>
      </c>
      <c r="P339" s="721">
        <f t="shared" si="845"/>
        <v>67.077920000012156</v>
      </c>
      <c r="Q339" s="712">
        <f>MIN(N339,Sheet1!AA339+AG339)</f>
        <v>39.327633587793912</v>
      </c>
      <c r="R339" s="712">
        <f t="shared" si="846"/>
        <v>4.0323664122139471</v>
      </c>
      <c r="S339" s="721">
        <f>Sheet1!Y339*MGDtoCFS</f>
        <v>39.603200000000001</v>
      </c>
      <c r="T339" s="721">
        <f>Sheet1!Z339*MGDtoCFS</f>
        <v>13.6136</v>
      </c>
      <c r="U339" s="721">
        <f>Sheet1!AA339*MGDtoCFS</f>
        <v>40.717040000010805</v>
      </c>
      <c r="V339" s="721">
        <f>Sheet1!AB339*MGDtoCFS</f>
        <v>26.360880000001348</v>
      </c>
      <c r="W339" s="721">
        <f>Sheet1!L339*MGDtoCFS</f>
        <v>5.9714200000008999</v>
      </c>
      <c r="X339" s="697">
        <f t="shared" si="847"/>
        <v>0</v>
      </c>
      <c r="Y339" s="712">
        <f t="shared" si="848"/>
        <v>0</v>
      </c>
      <c r="Z339" s="712">
        <f t="shared" si="849"/>
        <v>0</v>
      </c>
      <c r="AA339" s="712">
        <f t="shared" si="850"/>
        <v>0</v>
      </c>
      <c r="AB339" s="712">
        <f>(VLOOKUP(Sheet1!CY339,hhdcap_wcm,4)-(((VLOOKUP(Sheet1!CY339,hhdcap_wcm,3)-Sheet1!CY339)/(VLOOKUP(Sheet1!CY339,hhdcap_wcm,3)-VLOOKUP(Sheet1!CY339,hhdcap_wcm,1)))*(VLOOKUP(Sheet1!CY339,hhdcap_wcm,4)-VLOOKUP(Sheet1!CY339,hhdcap_wcm,2))))</f>
        <v>1906.1200000027502</v>
      </c>
      <c r="AC339" s="712">
        <f t="shared" si="851"/>
        <v>-49.140000000057398</v>
      </c>
      <c r="AD339" s="712">
        <f t="shared" si="852"/>
        <v>0</v>
      </c>
      <c r="AE339" s="712">
        <f t="shared" si="853"/>
        <v>0</v>
      </c>
      <c r="AF339" s="712">
        <f>Sheet1!BA339+Sheet1!BB339+Sheet1!BN339+BT339</f>
        <v>13</v>
      </c>
      <c r="AG339" s="712">
        <f t="shared" si="854"/>
        <v>13.007633587786925</v>
      </c>
      <c r="AH339" s="712">
        <f>Sheet1!BA339+BT339</f>
        <v>0</v>
      </c>
      <c r="AI339" s="712">
        <f>Sheet1!BA339+Sheet1!BB339+BT339</f>
        <v>0</v>
      </c>
      <c r="AJ339" s="712">
        <f>IF((Sheet1!AA339+AG339+AX339+AZ339+BQ339+BS339+CL339+CN339)&lt;=N339,AG339+AX339+AZ339+BQ339+BS339+CL339+CN339,N339-Sheet1!AA339)</f>
        <v>13.007633587786925</v>
      </c>
      <c r="AK339" s="712">
        <f>IF(DR339&lt;K339,0,MAX(Sheet1!AA339+AG339-15/36*K339-N339,Sheet1!ED339,0))</f>
        <v>0</v>
      </c>
      <c r="AL339" s="712">
        <f>IF(OR(B339&gt;=FT339,B339&lt;FS339),0,15/36*K339-MAX(0,64.6-(137.6-(Sheet1!AA339+Sheet1!AB339))))</f>
        <v>0</v>
      </c>
      <c r="AM339" s="712">
        <f>Sheet1!CX339-110</f>
        <v>565.59375</v>
      </c>
      <c r="AN339" s="712">
        <f>Sheet1!CW339-265</f>
        <v>638</v>
      </c>
      <c r="AO339" s="712">
        <f t="shared" si="934"/>
        <v>33.672366412206088</v>
      </c>
      <c r="AP339" s="712">
        <f t="shared" si="855"/>
        <v>0</v>
      </c>
      <c r="AQ339" s="712">
        <f t="shared" si="856"/>
        <v>0</v>
      </c>
      <c r="AR339" s="712">
        <f t="shared" si="857"/>
        <v>0</v>
      </c>
      <c r="AS339" s="712"/>
      <c r="AT339" s="712">
        <f ca="1">IF(B339&gt;Summary!$A$1,#N/A,AR339*MGtoAF)</f>
        <v>0</v>
      </c>
      <c r="AU339" s="712">
        <f>Sheet1!BG339+Sheet1!BH339+Sheet1!BI339-BC339</f>
        <v>0</v>
      </c>
      <c r="AV339" s="712">
        <f t="shared" si="858"/>
        <v>0</v>
      </c>
      <c r="AW339" s="712">
        <f>IF(Sheet1!EL339="FM",BC339,0)</f>
        <v>0</v>
      </c>
      <c r="AX339" s="712">
        <f t="shared" si="859"/>
        <v>0</v>
      </c>
      <c r="AY339" s="712">
        <f>IF(Sheet1!EL339="OTHER",BC339,0)</f>
        <v>0</v>
      </c>
      <c r="AZ339" s="712">
        <f t="shared" si="860"/>
        <v>0</v>
      </c>
      <c r="BA339" s="712">
        <f t="shared" si="861"/>
        <v>0</v>
      </c>
      <c r="BB339" s="712">
        <f t="shared" si="862"/>
        <v>0</v>
      </c>
      <c r="BC339" s="712">
        <f>IF(OR(Sheet1!EL339="FM", Sheet1!EL339="OTHER"),SUM(Sheet1!BG339:'Sheet1'!BI339),0)</f>
        <v>0</v>
      </c>
      <c r="BD339" s="697">
        <f>IF(AND($B339&gt;=$FL339,$B339&lt;=$FM339),MAX(AV339,Sheet1!EE339,0),MAX(AV339-(7/36)*$K339,0))</f>
        <v>0</v>
      </c>
      <c r="BE339" s="712">
        <f t="shared" si="863"/>
        <v>0</v>
      </c>
      <c r="BF339" s="697">
        <f t="shared" si="864"/>
        <v>0</v>
      </c>
      <c r="BG339" s="697">
        <f>IF(AND($O339&gt;0,Sheet1!EI339=1),(1-($O339-Sheet1!$L339)/$O339)*BB339,0)</f>
        <v>0</v>
      </c>
      <c r="BH339" s="697">
        <f>IF(AND(Sheet1!$L339=0,Sheet1!$L338=0, Calculation!BA339&lt;Sheet1!$EE339-0.1,Sheet1!$EE339=Sheet1!$EE338,Sheet1!$EE339=Sheet1!$EE340),Sheet1!$EE339,BB339-BG339)</f>
        <v>0</v>
      </c>
      <c r="BI339" s="712"/>
      <c r="BJ339" s="712"/>
      <c r="BK339" s="712">
        <f t="shared" si="865"/>
        <v>0</v>
      </c>
      <c r="BL339" s="712"/>
      <c r="BM339" s="712">
        <f ca="1">IF(B339&gt;Summary!$A$1,#N/A,BK339*MGtoAF)</f>
        <v>0</v>
      </c>
      <c r="BN339" s="712">
        <f>Sheet1!BC339+Sheet1!BD339+Sheet1!BE339+Sheet1!BF339-BW339-BX339</f>
        <v>0.75</v>
      </c>
      <c r="BO339" s="712">
        <f t="shared" si="866"/>
        <v>0.75044039929539952</v>
      </c>
      <c r="BP339" s="712">
        <f>IF(Sheet1!EM339="FM",BX339,0)</f>
        <v>0</v>
      </c>
      <c r="BQ339" s="712">
        <f t="shared" si="867"/>
        <v>0</v>
      </c>
      <c r="BR339" s="712">
        <f>IF(Sheet1!EM339="OTHER",BX339,0)</f>
        <v>0</v>
      </c>
      <c r="BS339" s="712">
        <f t="shared" si="868"/>
        <v>0</v>
      </c>
      <c r="BT339" s="712">
        <f t="shared" si="869"/>
        <v>0</v>
      </c>
      <c r="BU339" s="712">
        <f t="shared" si="870"/>
        <v>0.75</v>
      </c>
      <c r="BV339" s="712">
        <f t="shared" si="871"/>
        <v>0.75044039929539952</v>
      </c>
      <c r="BW339" s="712">
        <f>IF(Sheet1!EM339="CWA",SUM(Sheet1!BC339:'Sheet1'!BF339),0)</f>
        <v>0</v>
      </c>
      <c r="BX339" s="712">
        <f>IF(OR(Sheet1!EM339="FM", Sheet1!EM339="OTHER"),SUM(Sheet1!BC339:'Sheet1'!BF339),0)</f>
        <v>0</v>
      </c>
      <c r="BY339" s="697">
        <f>IF(AND($B339&gt;=$FL339,$B339&lt;=$FM339),MAX(BV339,Sheet1!EF339,0),MAX(BV339-(7/36)*$K339,0))</f>
        <v>0</v>
      </c>
      <c r="BZ339" s="712">
        <f t="shared" si="872"/>
        <v>0</v>
      </c>
      <c r="CA339" s="697">
        <f t="shared" si="873"/>
        <v>0.75044039929539952</v>
      </c>
      <c r="CB339" s="697">
        <f>IF(AND($O339&gt;0,Sheet1!EJ339=1),(1-($O339-Sheet1!$L339)/$O339)*BV339,0)</f>
        <v>0</v>
      </c>
      <c r="CC339" s="697">
        <f>IF(AND(Sheet1!$L339=0,Sheet1!$L338=0, Calculation!BU339&lt;Sheet1!EF339-0.1,Sheet1!EF339=Sheet1!EF338,Sheet1!EF339=Sheet1!EF340),Sheet1!EF339,BV339-CB339)</f>
        <v>0.75044039929539952</v>
      </c>
      <c r="CD339" s="697"/>
      <c r="CE339" s="712"/>
      <c r="CF339" s="712">
        <f t="shared" si="874"/>
        <v>0</v>
      </c>
      <c r="CG339" s="712"/>
      <c r="CH339" s="712">
        <f ca="1">IF(B339&gt;Summary!$A$1,#N/A,CF339*MGtoAF)</f>
        <v>0</v>
      </c>
      <c r="CI339" s="712">
        <f>Sheet1!BK339+Sheet1!BL339+Sheet1!BM339-Sheet1!EN339-CQ339</f>
        <v>3.2800000000000002</v>
      </c>
      <c r="CJ339" s="712">
        <f t="shared" si="875"/>
        <v>3.2819260129185475</v>
      </c>
      <c r="CK339" s="712">
        <f>IF(Sheet1!EN339="FM",CQ339,0)</f>
        <v>0</v>
      </c>
      <c r="CL339" s="712">
        <f t="shared" si="876"/>
        <v>0</v>
      </c>
      <c r="CM339" s="712">
        <f>IF(Sheet1!EN339="OTHER",CQ339,0)</f>
        <v>0</v>
      </c>
      <c r="CN339" s="712">
        <f t="shared" si="877"/>
        <v>0</v>
      </c>
      <c r="CO339" s="712">
        <f t="shared" si="878"/>
        <v>3.2800000000000002</v>
      </c>
      <c r="CP339" s="712">
        <f t="shared" si="879"/>
        <v>3.2819260129185475</v>
      </c>
      <c r="CQ339" s="712">
        <f>IF(OR(Sheet1!EN339="FM", Sheet1!EN339="OTHER"),SUM(Sheet1!BK339:'Sheet1'!BM339),0)</f>
        <v>0</v>
      </c>
      <c r="CR339" s="697">
        <f>IF(AND($B339&gt;=$FL339,$B339&lt;=$FM339),MAX($CJ339,Sheet1!EG339,0),MAX($CJ339-(7/36)*$K339,0))</f>
        <v>0</v>
      </c>
      <c r="CS339" s="712">
        <f t="shared" si="880"/>
        <v>0</v>
      </c>
      <c r="CT339" s="697">
        <f t="shared" si="881"/>
        <v>3.2819260129185475</v>
      </c>
      <c r="CU339" s="697">
        <f>IF(AND($O339&gt;0,Sheet1!EK339=1),(1-($O339-Sheet1!$L339)/$O339)*CP339,0)</f>
        <v>0</v>
      </c>
      <c r="CV339" s="697">
        <f>IF(AND(Sheet1!$L339=0,Sheet1!$L338=0, Calculation!CO339&lt;Sheet1!$EG339-0.1,Sheet1!$EG339=Sheet1!$EG338,Sheet1!$EG339=Sheet1!$EG340),Sheet1!$EG339,CP339-CU339)</f>
        <v>3.2819260129185475</v>
      </c>
      <c r="CW339" s="697"/>
      <c r="CX339" s="712">
        <f t="shared" si="882"/>
        <v>4.03</v>
      </c>
      <c r="CY339" s="712">
        <f t="shared" si="883"/>
        <v>0</v>
      </c>
      <c r="CZ339" s="712">
        <f t="shared" si="884"/>
        <v>4.0323664122139471</v>
      </c>
      <c r="DA339" s="712">
        <f ca="1">IF(B339&gt;Summary!$A$1,#N/A,CY339*MGtoAF)</f>
        <v>0</v>
      </c>
      <c r="DB339" s="712">
        <f t="shared" si="885"/>
        <v>4.03</v>
      </c>
      <c r="DC339" s="712">
        <f t="shared" si="886"/>
        <v>17.03</v>
      </c>
      <c r="DD339" s="712">
        <f>Sheet1!AB339-DC339</f>
        <v>1.0000000000871978E-2</v>
      </c>
      <c r="DE339" s="712">
        <f t="shared" si="887"/>
        <v>5.8719906053270564E-4</v>
      </c>
      <c r="DF339" s="712">
        <f>(VLOOKUP(Sheet1!CY339,hhdcap_wcm,4)-(((VLOOKUP(Sheet1!CY339,hhdcap_wcm,3)-Sheet1!CY339)/(VLOOKUP(Sheet1!CY339,hhdcap_wcm,3)-VLOOKUP(Sheet1!CY339,hhdcap_wcm,1)))*(VLOOKUP(Sheet1!CY339,hhdcap_wcm,4)-VLOOKUP(Sheet1!CY339,hhdcap_wcm,2))))</f>
        <v>1906.1200000027502</v>
      </c>
      <c r="DG339" s="712">
        <f t="shared" si="888"/>
        <v>-49.140000000057398</v>
      </c>
      <c r="DH339" s="712">
        <f t="shared" si="889"/>
        <v>-24.780635400936657</v>
      </c>
      <c r="DI339" s="712">
        <f>Sheet1!DW339*AFtoMG</f>
        <v>0</v>
      </c>
      <c r="DJ339" s="712">
        <f>Sheet1!DX339*AFtoMG</f>
        <v>0</v>
      </c>
      <c r="DK339" s="712">
        <f>Sheet1!DY339*AFtoMG</f>
        <v>0</v>
      </c>
      <c r="DL339" s="712">
        <f>Sheet1!DZ339*AFtoMG</f>
        <v>0</v>
      </c>
      <c r="DM339" s="712">
        <f t="shared" si="890"/>
        <v>0</v>
      </c>
      <c r="DN339" s="712">
        <f t="shared" si="891"/>
        <v>0</v>
      </c>
      <c r="DO339" s="712">
        <f t="shared" si="892"/>
        <v>0</v>
      </c>
      <c r="DP339" s="712">
        <f t="shared" si="893"/>
        <v>0</v>
      </c>
      <c r="DQ339" s="712"/>
      <c r="DR339" s="697">
        <f>IF(OR(B339&lt;FL339,B339&gt;FM339),(MIN(AV339+BO339+CJ339+MAX(Sheet1!AA339+AG339-73,0),K339)),0)</f>
        <v>4.0323664122139471</v>
      </c>
      <c r="DS339" s="712"/>
      <c r="DT339" s="712">
        <f t="shared" si="894"/>
        <v>4.0323664122139471</v>
      </c>
      <c r="DU339" s="712"/>
      <c r="DV339" s="712">
        <f>Sheet1!ED339+Sheet1!EE339+Sheet1!EF339+Sheet1!EG339</f>
        <v>8.5</v>
      </c>
      <c r="DW339" s="712"/>
      <c r="DX339" s="697">
        <f t="shared" si="895"/>
        <v>0</v>
      </c>
      <c r="DY339" s="712">
        <f>IF(Sheet1!FN339=1,SUM('Calculations II'!AT339:BA339)+'Calculations II'!BC339+Sheet1!BU339+'Calculations II'!BE339+AF339,SUM('Calculations II'!AT339:BA339)+'Calculations II'!BC339+Sheet1!BU339+'Calculations II'!BE339+AF339)</f>
        <v>42.851743999999997</v>
      </c>
      <c r="DZ339" s="712">
        <f>Sheet1!AA339+Sheet1!AB339+'Calculations II'!BC339</f>
        <v>49.64128000000786</v>
      </c>
      <c r="EA339" s="712"/>
      <c r="EB339" s="712"/>
      <c r="EC339" s="712">
        <f t="shared" si="896"/>
        <v>40868</v>
      </c>
      <c r="ED339" s="712">
        <f t="shared" si="897"/>
        <v>0</v>
      </c>
      <c r="EE339" s="712">
        <f t="shared" si="898"/>
        <v>0</v>
      </c>
      <c r="EF339" s="712">
        <f ca="1">IF(B339=TODAY(),0,-(VLOOKUP(Sheet1!BQ339,Lookup!$B$4:$J$236,2)-VLOOKUP(Sheet1!BQ338,Lookup!$B$4:$J$236,2))/1000000)</f>
        <v>0.80130000000000001</v>
      </c>
      <c r="EG339" s="712">
        <f ca="1">IF(B339=TODAY(),0,-(VLOOKUP(Sheet1!BR339,Lookup!$B$4:$J$236,3)-VLOOKUP(Sheet1!BR338,Lookup!$B$4:$J$236,3))/1000000)</f>
        <v>0.79979999999999996</v>
      </c>
      <c r="EH339" s="712">
        <f>-(VLOOKUP(Sheet1!BS339,Lookup!$B$4:$J$236,4)-VLOOKUP(Sheet1!BS338,Lookup!$B$4:$J$236,4))/1000000</f>
        <v>0</v>
      </c>
      <c r="EI339" s="697">
        <f t="shared" ca="1" si="922"/>
        <v>1.6011</v>
      </c>
      <c r="EJ339" s="712"/>
      <c r="EK339" s="712"/>
      <c r="EL339" s="712"/>
      <c r="EM339" s="712"/>
      <c r="EN339" s="712"/>
      <c r="EO339" s="712"/>
      <c r="EP339" s="712"/>
      <c r="EQ339" s="712"/>
      <c r="ER339" s="712"/>
      <c r="ES339" s="712"/>
      <c r="ET339" s="794">
        <f t="shared" si="919"/>
        <v>1087</v>
      </c>
      <c r="EU339" s="794" t="e">
        <f t="shared" si="924"/>
        <v>#N/A</v>
      </c>
      <c r="EV339" s="795" t="e">
        <f t="shared" si="925"/>
        <v>#N/A</v>
      </c>
      <c r="EW339" s="796" t="s">
        <v>757</v>
      </c>
      <c r="EX339" s="796" t="s">
        <v>757</v>
      </c>
      <c r="EY339" s="794" t="e">
        <v>#N/A</v>
      </c>
      <c r="EZ339" s="798">
        <v>3321.4000000051569</v>
      </c>
      <c r="FA339" s="712"/>
      <c r="FB339" s="712"/>
      <c r="FC339" s="712"/>
      <c r="FD339" s="712"/>
      <c r="FE339" s="712">
        <f>O339+Sheet1!CO339</f>
        <v>4405.3600000000079</v>
      </c>
      <c r="FF339" s="712">
        <f>IF(Sheet1!AA339+AG339&lt;=Calculation!N339,AG339,Calculation!N339-Sheet1!AA339)</f>
        <v>13.007633587786925</v>
      </c>
      <c r="FG339" s="712">
        <f>(Sheet1!BP339+Sheet1!BO339)/694.4</f>
        <v>1.7056451612903227</v>
      </c>
      <c r="FH339" s="712"/>
      <c r="FI339" s="712"/>
      <c r="FJ339" s="712"/>
      <c r="FK339" s="712"/>
      <c r="FL339" s="714">
        <f t="shared" si="929"/>
        <v>40753</v>
      </c>
      <c r="FM339" s="714">
        <f t="shared" si="930"/>
        <v>40851</v>
      </c>
      <c r="FN339" s="712"/>
      <c r="FO339" s="712"/>
      <c r="FP339" s="712"/>
      <c r="FQ339" s="712"/>
      <c r="FR339" s="712"/>
      <c r="FS339" s="725">
        <f t="shared" si="931"/>
        <v>40603</v>
      </c>
      <c r="FT339" s="714">
        <f t="shared" si="932"/>
        <v>40709</v>
      </c>
      <c r="FU339" s="712">
        <f t="shared" si="931"/>
        <v>6518.9048239895692</v>
      </c>
      <c r="FV339" s="714">
        <f t="shared" si="933"/>
        <v>40722</v>
      </c>
      <c r="FW339" s="712">
        <f t="shared" si="931"/>
        <v>3259.4524119947846</v>
      </c>
      <c r="FX339" s="725">
        <f t="shared" si="931"/>
        <v>40851</v>
      </c>
      <c r="FZ339" s="697">
        <f t="shared" si="926"/>
        <v>0</v>
      </c>
      <c r="GA339" s="712" t="str">
        <f t="shared" si="899"/>
        <v/>
      </c>
      <c r="GB339" s="712">
        <f t="shared" si="900"/>
        <v>0</v>
      </c>
      <c r="GC339" s="712" t="str">
        <f t="shared" si="901"/>
        <v/>
      </c>
      <c r="GD339" s="712">
        <f>IF(GA339="P",Lookup!$M$12,IF(GA339="PP",Lookup!$M$13,IF(GA339="PPP",Lookup!$M$14,IF(GA339="T",Lookup!$M$15,IF(GA339="TP",Lookup!$M$16,IF(GA339="TPP",Lookup!$M$17,IF(GA339="TPPP",Lookup!$M$18,0)))))))*FZ339</f>
        <v>0</v>
      </c>
      <c r="GE339" s="712">
        <f t="shared" si="902"/>
        <v>0</v>
      </c>
      <c r="GF339" s="712">
        <f t="shared" si="903"/>
        <v>0</v>
      </c>
      <c r="GG339" s="712">
        <f t="shared" si="904"/>
        <v>0</v>
      </c>
      <c r="GH339" s="712"/>
      <c r="GI339" s="712">
        <f t="shared" si="905"/>
        <v>0</v>
      </c>
      <c r="GJ339" s="712" t="str">
        <f t="shared" si="906"/>
        <v/>
      </c>
      <c r="GK339" s="712">
        <f>IF(GA339="P",Lookup!$N$12,IF(GA339="PP",Lookup!$N$13,IF(GA339="PPP",Lookup!$N$14,IF(GA339="T",Lookup!$N$15,IF(GA339="TP",Lookup!$N$16,IF(GA339="TPP",Lookup!$N$17,IF(GA339="TPPP",Lookup!$N$18,0)))))))*FZ339</f>
        <v>0</v>
      </c>
      <c r="GL339" s="712">
        <f t="shared" si="907"/>
        <v>0</v>
      </c>
      <c r="GM339" s="712">
        <f t="shared" si="908"/>
        <v>0</v>
      </c>
      <c r="GN339" s="712">
        <f t="shared" si="909"/>
        <v>0</v>
      </c>
      <c r="GO339" s="712"/>
      <c r="GP339" s="712">
        <f t="shared" si="910"/>
        <v>0</v>
      </c>
      <c r="GQ339" s="712" t="str">
        <f t="shared" si="911"/>
        <v/>
      </c>
      <c r="GR339" s="712">
        <f>IF(GA339="P",Lookup!$N$12,IF(GA339="PP",Lookup!$N$13,IF(GA339="PPP",Lookup!$N$14,IF(GA339="T",Lookup!$N$15,IF(GA339="TP",Lookup!$N$16,IF(GA339="TPP",Lookup!$N$17,IF(GA339="TPPP",Lookup!$N$18,0)))))))*FZ339</f>
        <v>0</v>
      </c>
      <c r="GS339" s="697">
        <f t="shared" si="927"/>
        <v>0</v>
      </c>
      <c r="GT339" s="712">
        <f t="shared" si="912"/>
        <v>0</v>
      </c>
      <c r="GU339" s="712">
        <f t="shared" si="913"/>
        <v>0</v>
      </c>
      <c r="GV339" s="712"/>
      <c r="GW339" s="712">
        <f t="shared" si="914"/>
        <v>0</v>
      </c>
      <c r="GX339" s="712" t="str">
        <f t="shared" si="915"/>
        <v/>
      </c>
      <c r="GY339" s="712">
        <f>IF(GA339="P",Lookup!$N$12,IF(GA339="PP",Lookup!$N$13,IF(GA339="PPP",Lookup!$N$14,IF(GA339="T",Lookup!$N$15,IF(GA339="TP",Lookup!$N$16,IF(GA339="TPP",Lookup!$N$17,IF(GA339="TPPP",Lookup!$N$18,0)))))))*FZ339</f>
        <v>0</v>
      </c>
      <c r="GZ339" s="697">
        <f t="shared" si="928"/>
        <v>0</v>
      </c>
      <c r="HA339" s="712">
        <f t="shared" si="916"/>
        <v>0</v>
      </c>
      <c r="HB339" s="712">
        <f t="shared" si="917"/>
        <v>0</v>
      </c>
      <c r="HC339" s="712"/>
    </row>
    <row r="340" spans="1:211">
      <c r="A340" s="773" t="s">
        <v>5</v>
      </c>
      <c r="B340" s="708">
        <v>40869</v>
      </c>
      <c r="C340" s="719">
        <v>0.5</v>
      </c>
      <c r="D340" s="675">
        <f t="shared" si="840"/>
        <v>300</v>
      </c>
      <c r="E340" s="675">
        <f t="shared" si="841"/>
        <v>250</v>
      </c>
      <c r="F340" s="675">
        <v>250</v>
      </c>
      <c r="G340" s="712">
        <f>DH340+Sheet1!CV340</f>
        <v>1001.6292864347986</v>
      </c>
      <c r="H340" s="712">
        <f t="shared" si="842"/>
        <v>380.48997075145377</v>
      </c>
      <c r="I340" s="711">
        <f>MAX(Sheet1!Z340-AJ340+(Sheet1!CW340-E340)*CFStoMGD,0)</f>
        <v>647.4468618861365</v>
      </c>
      <c r="J340" s="720">
        <f>IF(AND(B340&gt;=Calculation!FS340,B340&lt;=Calculation!FT340),IF(Sheet1!CX340&gt;=Calculation!D340,64.64,0),MAX(Sheet1!Z340-AJ340+(Sheet1!CX340-D340)*CFStoMGD,0))</f>
        <v>443.06326188613644</v>
      </c>
      <c r="K340" s="697">
        <f t="shared" si="843"/>
        <v>64.64</v>
      </c>
      <c r="L340" s="712">
        <f>Sheet1!AA340+Sheet1!AB340-Sheet1!L340+(Sheet1!CW340-F340)*CFStoMGD</f>
        <v>665.2025333333338</v>
      </c>
      <c r="M340" s="712">
        <f t="shared" si="844"/>
        <v>660.40223416648291</v>
      </c>
      <c r="N340" s="712">
        <f>IF(Sheet1!CW340&gt;=F340,MIN(73,MIN(MAX(L340,0),MAX(M340,0))),0)</f>
        <v>73</v>
      </c>
      <c r="O340" s="721">
        <f>Sheet1!AA340+Sheet1!AB340</f>
        <v>50.76</v>
      </c>
      <c r="P340" s="721">
        <f t="shared" si="845"/>
        <v>78.525719999999993</v>
      </c>
      <c r="Q340" s="712">
        <f>MIN(N340,Sheet1!AA340+AG340)</f>
        <v>46.035671447196869</v>
      </c>
      <c r="R340" s="712">
        <f t="shared" si="846"/>
        <v>4.7243285528031285</v>
      </c>
      <c r="S340" s="721">
        <f>Sheet1!Y340*MGDtoCFS</f>
        <v>42.264040000000001</v>
      </c>
      <c r="T340" s="721">
        <f>Sheet1!Z340*MGDtoCFS</f>
        <v>40.036359999999995</v>
      </c>
      <c r="U340" s="721">
        <f>Sheet1!AA340*MGDtoCFS</f>
        <v>42.820959999999999</v>
      </c>
      <c r="V340" s="721">
        <f>Sheet1!AB340*MGDtoCFS</f>
        <v>35.704759999999993</v>
      </c>
      <c r="W340" s="721">
        <f>Sheet1!L340*MGDtoCFS</f>
        <v>39.41755999999932</v>
      </c>
      <c r="X340" s="697">
        <f t="shared" si="847"/>
        <v>0</v>
      </c>
      <c r="Y340" s="712">
        <f t="shared" si="848"/>
        <v>0</v>
      </c>
      <c r="Z340" s="712">
        <f t="shared" si="849"/>
        <v>0</v>
      </c>
      <c r="AA340" s="712">
        <f t="shared" si="850"/>
        <v>0</v>
      </c>
      <c r="AB340" s="712">
        <f>(VLOOKUP(Sheet1!CY340,hhdcap_wcm,4)-(((VLOOKUP(Sheet1!CY340,hhdcap_wcm,3)-Sheet1!CY340)/(VLOOKUP(Sheet1!CY340,hhdcap_wcm,3)-VLOOKUP(Sheet1!CY340,hhdcap_wcm,1)))*(VLOOKUP(Sheet1!CY340,hhdcap_wcm,4)-VLOOKUP(Sheet1!CY340,hhdcap_wcm,2))))</f>
        <v>2026.1000000029558</v>
      </c>
      <c r="AC340" s="712">
        <f t="shared" si="851"/>
        <v>119.98000000020556</v>
      </c>
      <c r="AD340" s="712">
        <f t="shared" si="852"/>
        <v>0</v>
      </c>
      <c r="AE340" s="712">
        <f t="shared" si="853"/>
        <v>0</v>
      </c>
      <c r="AF340" s="712">
        <f>Sheet1!BA340+Sheet1!BB340+Sheet1!BN340+BT340</f>
        <v>18.3</v>
      </c>
      <c r="AG340" s="712">
        <f t="shared" si="854"/>
        <v>18.355671447196869</v>
      </c>
      <c r="AH340" s="712">
        <f>Sheet1!BA340+BT340</f>
        <v>0</v>
      </c>
      <c r="AI340" s="712">
        <f>Sheet1!BA340+Sheet1!BB340+BT340</f>
        <v>0</v>
      </c>
      <c r="AJ340" s="712">
        <f>IF((Sheet1!AA340+AG340+AX340+AZ340+BQ340+BS340+CL340+CN340)&lt;=N340,AG340+AX340+AZ340+BQ340+BS340+CL340+CN340,N340-Sheet1!AA340)</f>
        <v>18.355671447196869</v>
      </c>
      <c r="AK340" s="712">
        <f>IF(DR340&lt;K340,0,MAX(Sheet1!AA340+AG340-15/36*K340-N340,Sheet1!ED340,0))</f>
        <v>0</v>
      </c>
      <c r="AL340" s="712">
        <f>IF(OR(B340&gt;=FT340,B340&lt;FS340),0,15/36*K340-MAX(0,64.6-(137.6-(Sheet1!AA340+Sheet1!AB340))))</f>
        <v>0</v>
      </c>
      <c r="AM340" s="712">
        <f>Sheet1!CX340-110</f>
        <v>863.79166666666663</v>
      </c>
      <c r="AN340" s="712">
        <f>Sheet1!CW340-265</f>
        <v>974.97916666666674</v>
      </c>
      <c r="AO340" s="712">
        <f t="shared" si="934"/>
        <v>26.964328552803131</v>
      </c>
      <c r="AP340" s="712">
        <f t="shared" si="855"/>
        <v>0</v>
      </c>
      <c r="AQ340" s="712">
        <f t="shared" si="856"/>
        <v>0</v>
      </c>
      <c r="AR340" s="712">
        <f t="shared" si="857"/>
        <v>0</v>
      </c>
      <c r="AS340" s="712"/>
      <c r="AT340" s="712">
        <f ca="1">IF(B340&gt;Summary!$A$1,#N/A,AR340*MGtoAF)</f>
        <v>0</v>
      </c>
      <c r="AU340" s="712">
        <f>Sheet1!BG340+Sheet1!BH340+Sheet1!BI340-BC340</f>
        <v>0</v>
      </c>
      <c r="AV340" s="712">
        <f t="shared" si="858"/>
        <v>0</v>
      </c>
      <c r="AW340" s="712">
        <f>IF(Sheet1!EL340="FM",BC340,0)</f>
        <v>0</v>
      </c>
      <c r="AX340" s="712">
        <f t="shared" si="859"/>
        <v>0</v>
      </c>
      <c r="AY340" s="712">
        <f>IF(Sheet1!EL340="OTHER",BC340,0)</f>
        <v>0</v>
      </c>
      <c r="AZ340" s="712">
        <f t="shared" si="860"/>
        <v>0</v>
      </c>
      <c r="BA340" s="712">
        <f t="shared" si="861"/>
        <v>0</v>
      </c>
      <c r="BB340" s="712">
        <f t="shared" si="862"/>
        <v>0</v>
      </c>
      <c r="BC340" s="712">
        <f>IF(OR(Sheet1!EL340="FM", Sheet1!EL340="OTHER"),SUM(Sheet1!BG340:'Sheet1'!BI340),0)</f>
        <v>0</v>
      </c>
      <c r="BD340" s="697">
        <f>IF(AND($B340&gt;=$FL340,$B340&lt;=$FM340),MAX(AV340,Sheet1!EE340,0),MAX(AV340-(7/36)*$K340,0))</f>
        <v>0</v>
      </c>
      <c r="BE340" s="712">
        <f t="shared" si="863"/>
        <v>0</v>
      </c>
      <c r="BF340" s="697">
        <f t="shared" si="864"/>
        <v>0</v>
      </c>
      <c r="BG340" s="697">
        <f>IF(AND($O340&gt;0,Sheet1!EI340=1),(1-($O340-Sheet1!$L340)/$O340)*BB340,0)</f>
        <v>0</v>
      </c>
      <c r="BH340" s="697">
        <f>IF(AND(Sheet1!$L340=0,Sheet1!$L339=0, Calculation!BA340&lt;Sheet1!$EE340-0.1,Sheet1!$EE340=Sheet1!$EE339,Sheet1!$EE340=Sheet1!$EE341),Sheet1!$EE340,BB340-BG340)</f>
        <v>0</v>
      </c>
      <c r="BI340" s="712"/>
      <c r="BJ340" s="712"/>
      <c r="BK340" s="712">
        <f t="shared" si="865"/>
        <v>0</v>
      </c>
      <c r="BL340" s="712"/>
      <c r="BM340" s="712">
        <f ca="1">IF(B340&gt;Summary!$A$1,#N/A,BK340*MGtoAF)</f>
        <v>0</v>
      </c>
      <c r="BN340" s="712">
        <f>Sheet1!BC340+Sheet1!BD340+Sheet1!BE340+Sheet1!BF340-BW340-BX340</f>
        <v>1.17</v>
      </c>
      <c r="BO340" s="712">
        <f t="shared" si="866"/>
        <v>1.173559322033898</v>
      </c>
      <c r="BP340" s="712">
        <f>IF(Sheet1!EM340="FM",BX340,0)</f>
        <v>0</v>
      </c>
      <c r="BQ340" s="712">
        <f t="shared" si="867"/>
        <v>0</v>
      </c>
      <c r="BR340" s="712">
        <f>IF(Sheet1!EM340="OTHER",BX340,0)</f>
        <v>0</v>
      </c>
      <c r="BS340" s="712">
        <f t="shared" si="868"/>
        <v>0</v>
      </c>
      <c r="BT340" s="712">
        <f t="shared" si="869"/>
        <v>0</v>
      </c>
      <c r="BU340" s="712">
        <f t="shared" si="870"/>
        <v>1.17</v>
      </c>
      <c r="BV340" s="712">
        <f t="shared" si="871"/>
        <v>1.173559322033898</v>
      </c>
      <c r="BW340" s="712">
        <f>IF(Sheet1!EM340="CWA",SUM(Sheet1!BC340:'Sheet1'!BF340),0)</f>
        <v>0</v>
      </c>
      <c r="BX340" s="712">
        <f>IF(OR(Sheet1!EM340="FM", Sheet1!EM340="OTHER"),SUM(Sheet1!BC340:'Sheet1'!BF340),0)</f>
        <v>0</v>
      </c>
      <c r="BY340" s="697">
        <f>IF(AND($B340&gt;=$FL340,$B340&lt;=$FM340),MAX(BV340,Sheet1!EF340,0),MAX(BV340-(7/36)*$K340,0))</f>
        <v>0</v>
      </c>
      <c r="BZ340" s="712">
        <f t="shared" si="872"/>
        <v>0</v>
      </c>
      <c r="CA340" s="697">
        <f t="shared" si="873"/>
        <v>1.173559322033898</v>
      </c>
      <c r="CB340" s="697">
        <f>IF(AND($O340&gt;0,Sheet1!EJ340=1),(1-($O340-Sheet1!$L340)/$O340)*BV340,0)</f>
        <v>0</v>
      </c>
      <c r="CC340" s="697">
        <f>IF(AND(Sheet1!$L340=0,Sheet1!$L339=0, Calculation!BU340&lt;Sheet1!EF340-0.1,Sheet1!EF340=Sheet1!EF339,Sheet1!EF340=Sheet1!EF341),Sheet1!EF340,BV340-CB340)</f>
        <v>1.173559322033898</v>
      </c>
      <c r="CD340" s="697"/>
      <c r="CE340" s="712"/>
      <c r="CF340" s="712">
        <f t="shared" si="874"/>
        <v>0</v>
      </c>
      <c r="CG340" s="712"/>
      <c r="CH340" s="712">
        <f ca="1">IF(B340&gt;Summary!$A$1,#N/A,CF340*MGtoAF)</f>
        <v>0</v>
      </c>
      <c r="CI340" s="712">
        <f>Sheet1!BK340+Sheet1!BL340+Sheet1!BM340-Sheet1!EN340-CQ340</f>
        <v>3.54</v>
      </c>
      <c r="CJ340" s="712">
        <f t="shared" si="875"/>
        <v>3.5507692307692302</v>
      </c>
      <c r="CK340" s="712">
        <f>IF(Sheet1!EN340="FM",CQ340,0)</f>
        <v>0</v>
      </c>
      <c r="CL340" s="712">
        <f t="shared" si="876"/>
        <v>0</v>
      </c>
      <c r="CM340" s="712">
        <f>IF(Sheet1!EN340="OTHER",CQ340,0)</f>
        <v>0</v>
      </c>
      <c r="CN340" s="712">
        <f t="shared" si="877"/>
        <v>0</v>
      </c>
      <c r="CO340" s="712">
        <f t="shared" si="878"/>
        <v>3.54</v>
      </c>
      <c r="CP340" s="712">
        <f t="shared" si="879"/>
        <v>3.5507692307692302</v>
      </c>
      <c r="CQ340" s="712">
        <f>IF(OR(Sheet1!EN340="FM", Sheet1!EN340="OTHER"),SUM(Sheet1!BK340:'Sheet1'!BM340),0)</f>
        <v>0</v>
      </c>
      <c r="CR340" s="697">
        <f>IF(AND($B340&gt;=$FL340,$B340&lt;=$FM340),MAX($CJ340,Sheet1!EG340,0),MAX($CJ340-(7/36)*$K340,0))</f>
        <v>0</v>
      </c>
      <c r="CS340" s="712">
        <f t="shared" si="880"/>
        <v>0</v>
      </c>
      <c r="CT340" s="697">
        <f t="shared" si="881"/>
        <v>3.5507692307692302</v>
      </c>
      <c r="CU340" s="697">
        <f>IF(AND($O340&gt;0,Sheet1!EK340=1),(1-($O340-Sheet1!$L340)/$O340)*CP340,0)</f>
        <v>0</v>
      </c>
      <c r="CV340" s="697">
        <f>IF(AND(Sheet1!$L340=0,Sheet1!$L339=0, Calculation!CO340&lt;Sheet1!$EG340-0.1,Sheet1!$EG340=Sheet1!$EG339,Sheet1!$EG340=Sheet1!$EG341),Sheet1!$EG340,CP340-CU340)</f>
        <v>3.5507692307692302</v>
      </c>
      <c r="CW340" s="697"/>
      <c r="CX340" s="712">
        <f t="shared" si="882"/>
        <v>4.71</v>
      </c>
      <c r="CY340" s="712">
        <f t="shared" si="883"/>
        <v>0</v>
      </c>
      <c r="CZ340" s="712">
        <f t="shared" si="884"/>
        <v>4.7243285528031285</v>
      </c>
      <c r="DA340" s="712">
        <f ca="1">IF(B340&gt;Summary!$A$1,#N/A,CY340*MGtoAF)</f>
        <v>0</v>
      </c>
      <c r="DB340" s="712">
        <f t="shared" si="885"/>
        <v>4.71</v>
      </c>
      <c r="DC340" s="712">
        <f t="shared" si="886"/>
        <v>23.01</v>
      </c>
      <c r="DD340" s="712">
        <f>Sheet1!AB340-DC340</f>
        <v>6.9999999999996732E-2</v>
      </c>
      <c r="DE340" s="712">
        <f t="shared" si="887"/>
        <v>3.0421555845283237E-3</v>
      </c>
      <c r="DF340" s="712">
        <f>(VLOOKUP(Sheet1!CY340,hhdcap_wcm,4)-(((VLOOKUP(Sheet1!CY340,hhdcap_wcm,3)-Sheet1!CY340)/(VLOOKUP(Sheet1!CY340,hhdcap_wcm,3)-VLOOKUP(Sheet1!CY340,hhdcap_wcm,1)))*(VLOOKUP(Sheet1!CY340,hhdcap_wcm,4)-VLOOKUP(Sheet1!CY340,hhdcap_wcm,2))))</f>
        <v>2026.1000000029558</v>
      </c>
      <c r="DG340" s="712">
        <f t="shared" si="888"/>
        <v>119.98000000020556</v>
      </c>
      <c r="DH340" s="712">
        <f t="shared" si="889"/>
        <v>60.504286434798559</v>
      </c>
      <c r="DI340" s="712">
        <f>Sheet1!DW340*AFtoMG</f>
        <v>0</v>
      </c>
      <c r="DJ340" s="712">
        <f>Sheet1!DX340*AFtoMG</f>
        <v>0</v>
      </c>
      <c r="DK340" s="712">
        <f>Sheet1!DY340*AFtoMG</f>
        <v>0</v>
      </c>
      <c r="DL340" s="712">
        <f>Sheet1!DZ340*AFtoMG</f>
        <v>0</v>
      </c>
      <c r="DM340" s="712">
        <f t="shared" si="890"/>
        <v>0</v>
      </c>
      <c r="DN340" s="712">
        <f t="shared" si="891"/>
        <v>0</v>
      </c>
      <c r="DO340" s="712">
        <f t="shared" si="892"/>
        <v>0</v>
      </c>
      <c r="DP340" s="712">
        <f t="shared" si="893"/>
        <v>0</v>
      </c>
      <c r="DQ340" s="712"/>
      <c r="DR340" s="697">
        <f>IF(OR(B340&lt;FL340,B340&gt;FM340),(MIN(AV340+BO340+CJ340+MAX(Sheet1!AA340+AG340-73,0),K340)),0)</f>
        <v>4.7243285528031285</v>
      </c>
      <c r="DS340" s="712"/>
      <c r="DT340" s="712">
        <f t="shared" si="894"/>
        <v>4.7243285528031285</v>
      </c>
      <c r="DU340" s="712"/>
      <c r="DV340" s="712">
        <f>Sheet1!ED340+Sheet1!EE340+Sheet1!EF340+Sheet1!EG340</f>
        <v>8.5</v>
      </c>
      <c r="DW340" s="712"/>
      <c r="DX340" s="697">
        <f t="shared" si="895"/>
        <v>0</v>
      </c>
      <c r="DY340" s="712">
        <f>IF(Sheet1!FN340=1,SUM('Calculations II'!AT340:BA340)+'Calculations II'!BC340+Sheet1!BU340+'Calculations II'!BE340+AF340,SUM('Calculations II'!AT340:BA340)+'Calculations II'!BC340+Sheet1!BU340+'Calculations II'!BE340+AF340)</f>
        <v>42.737055999999995</v>
      </c>
      <c r="DZ340" s="712">
        <f>Sheet1!AA340+Sheet1!AB340+'Calculations II'!BC340</f>
        <v>50.76</v>
      </c>
      <c r="EA340" s="712"/>
      <c r="EB340" s="712"/>
      <c r="EC340" s="712">
        <f t="shared" si="896"/>
        <v>40869</v>
      </c>
      <c r="ED340" s="712">
        <f t="shared" si="897"/>
        <v>0</v>
      </c>
      <c r="EE340" s="712">
        <f t="shared" si="898"/>
        <v>0</v>
      </c>
      <c r="EF340" s="712">
        <f ca="1">IF(B340=TODAY(),0,-(VLOOKUP(Sheet1!BQ340,Lookup!$B$4:$J$236,2)-VLOOKUP(Sheet1!BQ339,Lookup!$B$4:$J$236,2))/1000000)</f>
        <v>-0.2671</v>
      </c>
      <c r="EG340" s="712">
        <f ca="1">IF(B340=TODAY(),0,-(VLOOKUP(Sheet1!BR340,Lookup!$B$4:$J$236,3)-VLOOKUP(Sheet1!BR339,Lookup!$B$4:$J$236,3))/1000000)</f>
        <v>-0.2666</v>
      </c>
      <c r="EH340" s="712">
        <f>-(VLOOKUP(Sheet1!BS340,Lookup!$B$4:$J$236,4)-VLOOKUP(Sheet1!BS339,Lookup!$B$4:$J$236,4))/1000000</f>
        <v>0</v>
      </c>
      <c r="EI340" s="697">
        <f t="shared" ca="1" si="922"/>
        <v>-0.53370000000000006</v>
      </c>
      <c r="EJ340" s="712"/>
      <c r="EK340" s="712"/>
      <c r="EL340" s="712"/>
      <c r="EM340" s="712"/>
      <c r="EN340" s="712"/>
      <c r="EO340" s="712"/>
      <c r="EP340" s="712"/>
      <c r="EQ340" s="712"/>
      <c r="ER340" s="712"/>
      <c r="ES340" s="712"/>
      <c r="ET340" s="794">
        <f t="shared" si="919"/>
        <v>1085.8</v>
      </c>
      <c r="EU340" s="794" t="e">
        <f t="shared" si="924"/>
        <v>#N/A</v>
      </c>
      <c r="EV340" s="795" t="e">
        <f t="shared" si="925"/>
        <v>#N/A</v>
      </c>
      <c r="EW340" s="796" t="s">
        <v>757</v>
      </c>
      <c r="EX340" s="796" t="s">
        <v>757</v>
      </c>
      <c r="EY340" s="794" t="e">
        <v>#N/A</v>
      </c>
      <c r="EZ340" s="798">
        <v>3122.2000000047883</v>
      </c>
      <c r="FA340" s="712"/>
      <c r="FB340" s="712"/>
      <c r="FC340" s="712"/>
      <c r="FD340" s="712"/>
      <c r="FE340" s="712">
        <f>O340+Sheet1!CO340</f>
        <v>50.76</v>
      </c>
      <c r="FF340" s="712">
        <f>IF(Sheet1!AA340+AG340&lt;=Calculation!N340,AG340,Calculation!N340-Sheet1!AA340)</f>
        <v>18.355671447196869</v>
      </c>
      <c r="FG340" s="712">
        <f>(Sheet1!BP340+Sheet1!BO340)/694.4</f>
        <v>2.377016129032258</v>
      </c>
      <c r="FH340" s="712"/>
      <c r="FI340" s="712"/>
      <c r="FJ340" s="712"/>
      <c r="FK340" s="712"/>
      <c r="FL340" s="714">
        <f t="shared" si="929"/>
        <v>40753</v>
      </c>
      <c r="FM340" s="714">
        <f t="shared" si="930"/>
        <v>40851</v>
      </c>
      <c r="FN340" s="712"/>
      <c r="FO340" s="712"/>
      <c r="FP340" s="712"/>
      <c r="FQ340" s="712"/>
      <c r="FR340" s="712"/>
      <c r="FS340" s="725">
        <f t="shared" si="931"/>
        <v>40603</v>
      </c>
      <c r="FT340" s="714">
        <f t="shared" si="932"/>
        <v>40709</v>
      </c>
      <c r="FU340" s="712">
        <f t="shared" si="931"/>
        <v>6518.9048239895692</v>
      </c>
      <c r="FV340" s="714">
        <f t="shared" si="933"/>
        <v>40722</v>
      </c>
      <c r="FW340" s="712">
        <f t="shared" si="931"/>
        <v>3259.4524119947846</v>
      </c>
      <c r="FX340" s="725">
        <f t="shared" si="931"/>
        <v>40851</v>
      </c>
      <c r="FZ340" s="697">
        <f t="shared" si="926"/>
        <v>0</v>
      </c>
      <c r="GA340" s="712" t="str">
        <f t="shared" si="899"/>
        <v/>
      </c>
      <c r="GB340" s="712">
        <f t="shared" si="900"/>
        <v>0</v>
      </c>
      <c r="GC340" s="712" t="str">
        <f t="shared" si="901"/>
        <v/>
      </c>
      <c r="GD340" s="712">
        <f>IF(GA340="P",Lookup!$M$12,IF(GA340="PP",Lookup!$M$13,IF(GA340="PPP",Lookup!$M$14,IF(GA340="T",Lookup!$M$15,IF(GA340="TP",Lookup!$M$16,IF(GA340="TPP",Lookup!$M$17,IF(GA340="TPPP",Lookup!$M$18,0)))))))*FZ340</f>
        <v>0</v>
      </c>
      <c r="GE340" s="712">
        <f t="shared" si="902"/>
        <v>0</v>
      </c>
      <c r="GF340" s="712">
        <f t="shared" si="903"/>
        <v>0</v>
      </c>
      <c r="GG340" s="712">
        <f t="shared" si="904"/>
        <v>0</v>
      </c>
      <c r="GH340" s="712"/>
      <c r="GI340" s="712">
        <f t="shared" si="905"/>
        <v>0</v>
      </c>
      <c r="GJ340" s="712" t="str">
        <f t="shared" si="906"/>
        <v/>
      </c>
      <c r="GK340" s="712">
        <f>IF(GA340="P",Lookup!$N$12,IF(GA340="PP",Lookup!$N$13,IF(GA340="PPP",Lookup!$N$14,IF(GA340="T",Lookup!$N$15,IF(GA340="TP",Lookup!$N$16,IF(GA340="TPP",Lookup!$N$17,IF(GA340="TPPP",Lookup!$N$18,0)))))))*FZ340</f>
        <v>0</v>
      </c>
      <c r="GL340" s="712">
        <f t="shared" si="907"/>
        <v>0</v>
      </c>
      <c r="GM340" s="712">
        <f t="shared" si="908"/>
        <v>0</v>
      </c>
      <c r="GN340" s="712">
        <f t="shared" si="909"/>
        <v>0</v>
      </c>
      <c r="GO340" s="712"/>
      <c r="GP340" s="712">
        <f t="shared" si="910"/>
        <v>0</v>
      </c>
      <c r="GQ340" s="712" t="str">
        <f t="shared" si="911"/>
        <v/>
      </c>
      <c r="GR340" s="712">
        <f>IF(GA340="P",Lookup!$N$12,IF(GA340="PP",Lookup!$N$13,IF(GA340="PPP",Lookup!$N$14,IF(GA340="T",Lookup!$N$15,IF(GA340="TP",Lookup!$N$16,IF(GA340="TPP",Lookup!$N$17,IF(GA340="TPPP",Lookup!$N$18,0)))))))*FZ340</f>
        <v>0</v>
      </c>
      <c r="GS340" s="697">
        <f t="shared" si="927"/>
        <v>0</v>
      </c>
      <c r="GT340" s="712">
        <f t="shared" si="912"/>
        <v>0</v>
      </c>
      <c r="GU340" s="712">
        <f t="shared" si="913"/>
        <v>0</v>
      </c>
      <c r="GV340" s="712"/>
      <c r="GW340" s="712">
        <f t="shared" si="914"/>
        <v>0</v>
      </c>
      <c r="GX340" s="712" t="str">
        <f t="shared" si="915"/>
        <v/>
      </c>
      <c r="GY340" s="712">
        <f>IF(GA340="P",Lookup!$N$12,IF(GA340="PP",Lookup!$N$13,IF(GA340="PPP",Lookup!$N$14,IF(GA340="T",Lookup!$N$15,IF(GA340="TP",Lookup!$N$16,IF(GA340="TPP",Lookup!$N$17,IF(GA340="TPPP",Lookup!$N$18,0)))))))*FZ340</f>
        <v>0</v>
      </c>
      <c r="GZ340" s="697">
        <f t="shared" si="928"/>
        <v>0</v>
      </c>
      <c r="HA340" s="712">
        <f t="shared" si="916"/>
        <v>0</v>
      </c>
      <c r="HB340" s="712">
        <f t="shared" si="917"/>
        <v>0</v>
      </c>
      <c r="HC340" s="712"/>
    </row>
    <row r="341" spans="1:211">
      <c r="A341" s="773" t="s">
        <v>6</v>
      </c>
      <c r="B341" s="708">
        <v>40870</v>
      </c>
      <c r="C341" s="719">
        <v>0.5</v>
      </c>
      <c r="D341" s="675">
        <f t="shared" si="840"/>
        <v>300</v>
      </c>
      <c r="E341" s="675">
        <f t="shared" si="841"/>
        <v>250</v>
      </c>
      <c r="F341" s="675">
        <v>250</v>
      </c>
      <c r="G341" s="712">
        <f>DH341+Sheet1!CV341</f>
        <v>1755.4689863845576</v>
      </c>
      <c r="H341" s="712">
        <f t="shared" si="842"/>
        <v>867.77195279897808</v>
      </c>
      <c r="I341" s="711">
        <f>MAX(Sheet1!Z341-AJ341+(Sheet1!CW341-E341)*CFStoMGD,0)</f>
        <v>1311.7006666666668</v>
      </c>
      <c r="J341" s="720">
        <f>IF(AND(B341&gt;=Calculation!FS341,B341&lt;=Calculation!FT341),IF(Sheet1!CX341&gt;=Calculation!D341,64.64,0),MAX(Sheet1!Z341-AJ341+(Sheet1!CX341-D341)*CFStoMGD,0))</f>
        <v>959.54733333333354</v>
      </c>
      <c r="K341" s="697">
        <f t="shared" si="843"/>
        <v>64.64</v>
      </c>
      <c r="L341" s="712">
        <f>Sheet1!AA341+Sheet1!AB341-Sheet1!L341+(Sheet1!CW341-F341)*CFStoMGD</f>
        <v>1312.1206666666665</v>
      </c>
      <c r="M341" s="712">
        <f t="shared" si="844"/>
        <v>1157.4298558549576</v>
      </c>
      <c r="N341" s="712">
        <f>IF(Sheet1!CW341&gt;=F341,MIN(73,MIN(MAX(L341,0),MAX(M341,0))),0)</f>
        <v>73</v>
      </c>
      <c r="O341" s="721">
        <f>Sheet1!AA341+Sheet1!AB341</f>
        <v>45.809999999999704</v>
      </c>
      <c r="P341" s="721">
        <f t="shared" si="845"/>
        <v>70.868069999999548</v>
      </c>
      <c r="Q341" s="712">
        <f>MIN(N341,Sheet1!AA341+AG341)</f>
        <v>45.809999999999704</v>
      </c>
      <c r="R341" s="712">
        <f t="shared" si="846"/>
        <v>0</v>
      </c>
      <c r="S341" s="721">
        <f>Sheet1!Y341*MGDtoCFS</f>
        <v>41.908229999999996</v>
      </c>
      <c r="T341" s="721">
        <f>Sheet1!Z341*MGDtoCFS</f>
        <v>29.083600000000001</v>
      </c>
      <c r="U341" s="721">
        <f>Sheet1!AA341*MGDtoCFS</f>
        <v>41.753529999999998</v>
      </c>
      <c r="V341" s="721">
        <f>Sheet1!AB341*MGDtoCFS</f>
        <v>29.114539999999547</v>
      </c>
      <c r="W341" s="721">
        <f>Sheet1!L341*MGDtoCFS</f>
        <v>70.249269999999768</v>
      </c>
      <c r="X341" s="697">
        <f t="shared" si="847"/>
        <v>0</v>
      </c>
      <c r="Y341" s="712">
        <f t="shared" si="848"/>
        <v>0</v>
      </c>
      <c r="Z341" s="712">
        <f t="shared" si="849"/>
        <v>0</v>
      </c>
      <c r="AA341" s="712">
        <f t="shared" si="850"/>
        <v>0</v>
      </c>
      <c r="AB341" s="712">
        <f>(VLOOKUP(Sheet1!CY341,hhdcap_wcm,4)-(((VLOOKUP(Sheet1!CY341,hhdcap_wcm,3)-Sheet1!CY341)/(VLOOKUP(Sheet1!CY341,hhdcap_wcm,3)-VLOOKUP(Sheet1!CY341,hhdcap_wcm,1)))*(VLOOKUP(Sheet1!CY341,hhdcap_wcm,4)-VLOOKUP(Sheet1!CY341,hhdcap_wcm,2))))</f>
        <v>2403.8000000035336</v>
      </c>
      <c r="AC341" s="712">
        <f t="shared" si="851"/>
        <v>377.7000000005778</v>
      </c>
      <c r="AD341" s="712">
        <f t="shared" si="852"/>
        <v>0</v>
      </c>
      <c r="AE341" s="712">
        <f t="shared" si="853"/>
        <v>0</v>
      </c>
      <c r="AF341" s="712">
        <f>Sheet1!BA341+Sheet1!BB341+Sheet1!BN341+BT341</f>
        <v>18.8</v>
      </c>
      <c r="AG341" s="712">
        <f t="shared" si="854"/>
        <v>18.819999999999709</v>
      </c>
      <c r="AH341" s="712">
        <f>Sheet1!BA341+BT341</f>
        <v>0</v>
      </c>
      <c r="AI341" s="712">
        <f>Sheet1!BA341+Sheet1!BB341+BT341</f>
        <v>0</v>
      </c>
      <c r="AJ341" s="712">
        <f>IF((Sheet1!AA341+AG341+AX341+AZ341+BQ341+BS341+CL341+CN341)&lt;=N341,AG341+AX341+AZ341+BQ341+BS341+CL341+CN341,N341-Sheet1!AA341)</f>
        <v>18.819999999999709</v>
      </c>
      <c r="AK341" s="712">
        <f>IF(DR341&lt;K341,0,MAX(Sheet1!AA341+AG341-15/36*K341-N341,Sheet1!ED341,0))</f>
        <v>0</v>
      </c>
      <c r="AL341" s="712">
        <f>IF(OR(B341&gt;=FT341,B341&lt;FS341),0,15/36*K341-MAX(0,64.6-(137.6-(Sheet1!AA341+Sheet1!AB341))))</f>
        <v>0</v>
      </c>
      <c r="AM341" s="712">
        <f>Sheet1!CX341-110</f>
        <v>1674.4791666666667</v>
      </c>
      <c r="AN341" s="712">
        <f>Sheet1!CW341-265</f>
        <v>2014.2708333333335</v>
      </c>
      <c r="AO341" s="712">
        <f t="shared" si="934"/>
        <v>27.190000000000296</v>
      </c>
      <c r="AP341" s="712">
        <f t="shared" si="855"/>
        <v>0</v>
      </c>
      <c r="AQ341" s="712">
        <f t="shared" si="856"/>
        <v>0</v>
      </c>
      <c r="AR341" s="712">
        <f t="shared" si="857"/>
        <v>0</v>
      </c>
      <c r="AS341" s="712"/>
      <c r="AT341" s="712">
        <f ca="1">IF(B341&gt;Summary!$A$1,#N/A,AR341*MGtoAF)</f>
        <v>0</v>
      </c>
      <c r="AU341" s="712">
        <f>Sheet1!BG341+Sheet1!BH341+Sheet1!BI341-BC341</f>
        <v>0</v>
      </c>
      <c r="AV341" s="712">
        <f t="shared" si="858"/>
        <v>0</v>
      </c>
      <c r="AW341" s="712">
        <f>IF(Sheet1!EL341="FM",BC341,0)</f>
        <v>0</v>
      </c>
      <c r="AX341" s="712">
        <f t="shared" si="859"/>
        <v>0</v>
      </c>
      <c r="AY341" s="712">
        <f>IF(Sheet1!EL341="OTHER",BC341,0)</f>
        <v>0</v>
      </c>
      <c r="AZ341" s="712">
        <f t="shared" si="860"/>
        <v>0</v>
      </c>
      <c r="BA341" s="712">
        <f t="shared" si="861"/>
        <v>0</v>
      </c>
      <c r="BB341" s="712">
        <f t="shared" si="862"/>
        <v>0</v>
      </c>
      <c r="BC341" s="712">
        <f>IF(OR(Sheet1!EL341="FM", Sheet1!EL341="OTHER"),SUM(Sheet1!BG341:'Sheet1'!BI341),0)</f>
        <v>0</v>
      </c>
      <c r="BD341" s="697">
        <f>IF(AND($B341&gt;=$FL341,$B341&lt;=$FM341),MAX(AV341,Sheet1!EE341,0),MAX(AV341-(7/36)*$K341,0))</f>
        <v>0</v>
      </c>
      <c r="BE341" s="712">
        <f t="shared" si="863"/>
        <v>0</v>
      </c>
      <c r="BF341" s="697">
        <f t="shared" si="864"/>
        <v>0</v>
      </c>
      <c r="BG341" s="697">
        <f>IF(AND($O341&gt;0,Sheet1!EI341=1),(1-($O341-Sheet1!$L341)/$O341)*BB341,0)</f>
        <v>0</v>
      </c>
      <c r="BH341" s="697">
        <f>IF(AND(Sheet1!$L341=0,Sheet1!$L340=0, Calculation!BA341&lt;Sheet1!$EE341-0.1,Sheet1!$EE341=Sheet1!$EE340,Sheet1!$EE341=Sheet1!$EE342),Sheet1!$EE341,BB341-BG341)</f>
        <v>0</v>
      </c>
      <c r="BI341" s="712"/>
      <c r="BJ341" s="712"/>
      <c r="BK341" s="712">
        <f t="shared" si="865"/>
        <v>0</v>
      </c>
      <c r="BL341" s="712"/>
      <c r="BM341" s="712">
        <f ca="1">IF(B341&gt;Summary!$A$1,#N/A,BK341*MGtoAF)</f>
        <v>0</v>
      </c>
      <c r="BN341" s="712">
        <f>Sheet1!BC341+Sheet1!BD341+Sheet1!BE341+Sheet1!BF341-BW341-BX341</f>
        <v>0</v>
      </c>
      <c r="BO341" s="712">
        <f t="shared" si="866"/>
        <v>0</v>
      </c>
      <c r="BP341" s="712">
        <f>IF(Sheet1!EM341="FM",BX341,0)</f>
        <v>0</v>
      </c>
      <c r="BQ341" s="712">
        <f t="shared" si="867"/>
        <v>0</v>
      </c>
      <c r="BR341" s="712">
        <f>IF(Sheet1!EM341="OTHER",BX341,0)</f>
        <v>0</v>
      </c>
      <c r="BS341" s="712">
        <f t="shared" si="868"/>
        <v>0</v>
      </c>
      <c r="BT341" s="712">
        <f t="shared" si="869"/>
        <v>0</v>
      </c>
      <c r="BU341" s="712">
        <f t="shared" si="870"/>
        <v>0</v>
      </c>
      <c r="BV341" s="712">
        <f t="shared" si="871"/>
        <v>0</v>
      </c>
      <c r="BW341" s="712">
        <f>IF(Sheet1!EM341="CWA",SUM(Sheet1!BC341:'Sheet1'!BF341),0)</f>
        <v>0</v>
      </c>
      <c r="BX341" s="712">
        <f>IF(OR(Sheet1!EM341="FM", Sheet1!EM341="OTHER"),SUM(Sheet1!BC341:'Sheet1'!BF341),0)</f>
        <v>0</v>
      </c>
      <c r="BY341" s="697">
        <f>IF(AND($B341&gt;=$FL341,$B341&lt;=$FM341),MAX(BV341,Sheet1!EF341,0),MAX(BV341-(7/36)*$K341,0))</f>
        <v>0</v>
      </c>
      <c r="BZ341" s="712">
        <f t="shared" si="872"/>
        <v>0</v>
      </c>
      <c r="CA341" s="697">
        <f t="shared" si="873"/>
        <v>0</v>
      </c>
      <c r="CB341" s="697">
        <f>IF(AND($O341&gt;0,Sheet1!EJ341=1),(1-($O341-Sheet1!$L341)/$O341)*BV341,0)</f>
        <v>0</v>
      </c>
      <c r="CC341" s="697">
        <f>IF(AND(Sheet1!$L341=0,Sheet1!$L340=0, Calculation!BU341&lt;Sheet1!EF341-0.1,Sheet1!EF341=Sheet1!EF340,Sheet1!EF341=Sheet1!EF342),Sheet1!EF341,BV341-CB341)</f>
        <v>0</v>
      </c>
      <c r="CD341" s="697"/>
      <c r="CE341" s="712"/>
      <c r="CF341" s="712">
        <f t="shared" si="874"/>
        <v>0</v>
      </c>
      <c r="CG341" s="712"/>
      <c r="CH341" s="712">
        <f ca="1">IF(B341&gt;Summary!$A$1,#N/A,CF341*MGtoAF)</f>
        <v>0</v>
      </c>
      <c r="CI341" s="712">
        <f>Sheet1!BK341+Sheet1!BL341+Sheet1!BM341-Sheet1!EN341-CQ341</f>
        <v>0</v>
      </c>
      <c r="CJ341" s="712">
        <f t="shared" si="875"/>
        <v>0</v>
      </c>
      <c r="CK341" s="712">
        <f>IF(Sheet1!EN341="FM",CQ341,0)</f>
        <v>0</v>
      </c>
      <c r="CL341" s="712">
        <f t="shared" si="876"/>
        <v>0</v>
      </c>
      <c r="CM341" s="712">
        <f>IF(Sheet1!EN341="OTHER",CQ341,0)</f>
        <v>0</v>
      </c>
      <c r="CN341" s="712">
        <f t="shared" si="877"/>
        <v>0</v>
      </c>
      <c r="CO341" s="712">
        <f t="shared" si="878"/>
        <v>0</v>
      </c>
      <c r="CP341" s="712">
        <f t="shared" si="879"/>
        <v>0</v>
      </c>
      <c r="CQ341" s="712">
        <f>IF(OR(Sheet1!EN341="FM", Sheet1!EN341="OTHER"),SUM(Sheet1!BK341:'Sheet1'!BM341),0)</f>
        <v>0</v>
      </c>
      <c r="CR341" s="697">
        <f>IF(AND($B341&gt;=$FL341,$B341&lt;=$FM341),MAX($CJ341,Sheet1!EG341,0),MAX($CJ341-(7/36)*$K341,0))</f>
        <v>0</v>
      </c>
      <c r="CS341" s="712">
        <f t="shared" si="880"/>
        <v>0</v>
      </c>
      <c r="CT341" s="697">
        <f t="shared" si="881"/>
        <v>0</v>
      </c>
      <c r="CU341" s="697">
        <f>IF(AND($O341&gt;0,Sheet1!EK341=1),(1-($O341-Sheet1!$L341)/$O341)*CP341,0)</f>
        <v>0</v>
      </c>
      <c r="CV341" s="697">
        <f>IF(AND(Sheet1!$L341=0,Sheet1!$L340=0, Calculation!CO341&lt;Sheet1!$EG341-0.1,Sheet1!$EG341=Sheet1!$EG340,Sheet1!$EG341=Sheet1!$EG342),Sheet1!$EG341,CP341-CU341)</f>
        <v>0</v>
      </c>
      <c r="CW341" s="697"/>
      <c r="CX341" s="712">
        <f t="shared" si="882"/>
        <v>0</v>
      </c>
      <c r="CY341" s="712">
        <f t="shared" si="883"/>
        <v>0</v>
      </c>
      <c r="CZ341" s="712">
        <f t="shared" si="884"/>
        <v>0</v>
      </c>
      <c r="DA341" s="712">
        <f ca="1">IF(B341&gt;Summary!$A$1,#N/A,CY341*MGtoAF)</f>
        <v>0</v>
      </c>
      <c r="DB341" s="712">
        <f t="shared" si="885"/>
        <v>0</v>
      </c>
      <c r="DC341" s="712">
        <f t="shared" si="886"/>
        <v>18.8</v>
      </c>
      <c r="DD341" s="712">
        <f>Sheet1!AB341-DC341</f>
        <v>1.9999999999708251E-2</v>
      </c>
      <c r="DE341" s="712">
        <f t="shared" si="887"/>
        <v>1.063829787218524E-3</v>
      </c>
      <c r="DF341" s="712">
        <f>(VLOOKUP(Sheet1!CY341,hhdcap_wcm,4)-(((VLOOKUP(Sheet1!CY341,hhdcap_wcm,3)-Sheet1!CY341)/(VLOOKUP(Sheet1!CY341,hhdcap_wcm,3)-VLOOKUP(Sheet1!CY341,hhdcap_wcm,1)))*(VLOOKUP(Sheet1!CY341,hhdcap_wcm,4)-VLOOKUP(Sheet1!CY341,hhdcap_wcm,2))))</f>
        <v>2403.8000000035336</v>
      </c>
      <c r="DG341" s="712">
        <f t="shared" si="888"/>
        <v>377.7000000005778</v>
      </c>
      <c r="DH341" s="712">
        <f t="shared" si="889"/>
        <v>190.46898638455761</v>
      </c>
      <c r="DI341" s="712">
        <f>Sheet1!DW341*AFtoMG</f>
        <v>0</v>
      </c>
      <c r="DJ341" s="712">
        <f>Sheet1!DX341*AFtoMG</f>
        <v>0</v>
      </c>
      <c r="DK341" s="712">
        <f>Sheet1!DY341*AFtoMG</f>
        <v>0</v>
      </c>
      <c r="DL341" s="712">
        <f>Sheet1!DZ341*AFtoMG</f>
        <v>0</v>
      </c>
      <c r="DM341" s="712">
        <f t="shared" si="890"/>
        <v>0</v>
      </c>
      <c r="DN341" s="712">
        <f t="shared" si="891"/>
        <v>0</v>
      </c>
      <c r="DO341" s="712">
        <f t="shared" si="892"/>
        <v>0</v>
      </c>
      <c r="DP341" s="712">
        <f t="shared" si="893"/>
        <v>0</v>
      </c>
      <c r="DQ341" s="712"/>
      <c r="DR341" s="697">
        <f>IF(OR(B341&lt;FL341,B341&gt;FM341),(MIN(AV341+BO341+CJ341+MAX(Sheet1!AA341+AG341-73,0),K341)),0)</f>
        <v>0</v>
      </c>
      <c r="DS341" s="712"/>
      <c r="DT341" s="712">
        <f t="shared" si="894"/>
        <v>0</v>
      </c>
      <c r="DU341" s="712"/>
      <c r="DV341" s="712">
        <f>Sheet1!ED341+Sheet1!EE341+Sheet1!EF341+Sheet1!EG341</f>
        <v>8.5</v>
      </c>
      <c r="DW341" s="712"/>
      <c r="DX341" s="697">
        <f t="shared" si="895"/>
        <v>0</v>
      </c>
      <c r="DY341" s="712">
        <f>IF(Sheet1!FN341=1,SUM('Calculations II'!AT341:BA341)+'Calculations II'!BC341+Sheet1!BU341+'Calculations II'!BE341+AF341,SUM('Calculations II'!AT341:BA341)+'Calculations II'!BC341+Sheet1!BU341+'Calculations II'!BE341+AF341)</f>
        <v>43.598991999999996</v>
      </c>
      <c r="DZ341" s="712">
        <f>Sheet1!AA341+Sheet1!AB341+'Calculations II'!BC341</f>
        <v>45.809999999999704</v>
      </c>
      <c r="EA341" s="712"/>
      <c r="EB341" s="712"/>
      <c r="EC341" s="712">
        <f t="shared" si="896"/>
        <v>40870</v>
      </c>
      <c r="ED341" s="712">
        <f t="shared" si="897"/>
        <v>0</v>
      </c>
      <c r="EE341" s="712">
        <f t="shared" si="898"/>
        <v>0</v>
      </c>
      <c r="EF341" s="712">
        <f ca="1">IF(B341=TODAY(),0,-(VLOOKUP(Sheet1!BQ341,Lookup!$B$4:$J$236,2)-VLOOKUP(Sheet1!BQ340,Lookup!$B$4:$J$236,2))/1000000)</f>
        <v>0.2671</v>
      </c>
      <c r="EG341" s="712">
        <f ca="1">IF(B341=TODAY(),0,-(VLOOKUP(Sheet1!BR341,Lookup!$B$4:$J$236,3)-VLOOKUP(Sheet1!BR340,Lookup!$B$4:$J$236,3))/1000000)</f>
        <v>0.2666</v>
      </c>
      <c r="EH341" s="712">
        <f>-(VLOOKUP(Sheet1!BS341,Lookup!$B$4:$J$236,4)-VLOOKUP(Sheet1!BS340,Lookup!$B$4:$J$236,4))/1000000</f>
        <v>0</v>
      </c>
      <c r="EI341" s="697">
        <f t="shared" ca="1" si="922"/>
        <v>0.53370000000000006</v>
      </c>
      <c r="EJ341" s="712"/>
      <c r="EK341" s="712"/>
      <c r="EL341" s="712"/>
      <c r="EM341" s="712"/>
      <c r="EN341" s="712"/>
      <c r="EO341" s="712"/>
      <c r="EP341" s="712"/>
      <c r="EQ341" s="712"/>
      <c r="ER341" s="712"/>
      <c r="ES341" s="712"/>
      <c r="ET341" s="794">
        <f t="shared" si="919"/>
        <v>1084.5999999999999</v>
      </c>
      <c r="EU341" s="794" t="e">
        <f t="shared" si="924"/>
        <v>#N/A</v>
      </c>
      <c r="EV341" s="795" t="e">
        <f t="shared" si="925"/>
        <v>#N/A</v>
      </c>
      <c r="EW341" s="796" t="s">
        <v>757</v>
      </c>
      <c r="EX341" s="796" t="s">
        <v>757</v>
      </c>
      <c r="EY341" s="794" t="e">
        <v>#N/A</v>
      </c>
      <c r="EZ341" s="798">
        <v>2930.2000000045264</v>
      </c>
      <c r="FA341" s="712"/>
      <c r="FB341" s="712"/>
      <c r="FC341" s="712"/>
      <c r="FD341" s="712"/>
      <c r="FE341" s="712">
        <f>O341+Sheet1!CO341</f>
        <v>45.809999999999704</v>
      </c>
      <c r="FF341" s="712">
        <f>IF(Sheet1!AA341+AG341&lt;=Calculation!N341,AG341,Calculation!N341-Sheet1!AA341)</f>
        <v>18.819999999999709</v>
      </c>
      <c r="FG341" s="712">
        <f>(Sheet1!BP341+Sheet1!BO341)/694.4</f>
        <v>1.2476958525345623</v>
      </c>
      <c r="FH341" s="712"/>
      <c r="FI341" s="712"/>
      <c r="FJ341" s="712"/>
      <c r="FK341" s="712"/>
      <c r="FL341" s="714">
        <f t="shared" si="929"/>
        <v>40753</v>
      </c>
      <c r="FM341" s="714">
        <f t="shared" si="930"/>
        <v>40851</v>
      </c>
      <c r="FN341" s="712"/>
      <c r="FO341" s="712"/>
      <c r="FP341" s="712"/>
      <c r="FQ341" s="712"/>
      <c r="FR341" s="712"/>
      <c r="FS341" s="725">
        <f t="shared" si="931"/>
        <v>40603</v>
      </c>
      <c r="FT341" s="714">
        <f t="shared" si="932"/>
        <v>40709</v>
      </c>
      <c r="FU341" s="712">
        <f t="shared" si="931"/>
        <v>6518.9048239895692</v>
      </c>
      <c r="FV341" s="714">
        <f t="shared" si="933"/>
        <v>40722</v>
      </c>
      <c r="FW341" s="712">
        <f t="shared" si="931"/>
        <v>3259.4524119947846</v>
      </c>
      <c r="FX341" s="725">
        <f t="shared" si="931"/>
        <v>40851</v>
      </c>
      <c r="FZ341" s="697">
        <f t="shared" si="926"/>
        <v>0</v>
      </c>
      <c r="GA341" s="712" t="str">
        <f t="shared" si="899"/>
        <v/>
      </c>
      <c r="GB341" s="712">
        <f t="shared" si="900"/>
        <v>0</v>
      </c>
      <c r="GC341" s="712" t="str">
        <f t="shared" si="901"/>
        <v/>
      </c>
      <c r="GD341" s="712">
        <f>IF(GA341="P",Lookup!$M$12,IF(GA341="PP",Lookup!$M$13,IF(GA341="PPP",Lookup!$M$14,IF(GA341="T",Lookup!$M$15,IF(GA341="TP",Lookup!$M$16,IF(GA341="TPP",Lookup!$M$17,IF(GA341="TPPP",Lookup!$M$18,0)))))))*FZ341</f>
        <v>0</v>
      </c>
      <c r="GE341" s="712">
        <f t="shared" si="902"/>
        <v>0</v>
      </c>
      <c r="GF341" s="712">
        <f t="shared" si="903"/>
        <v>0</v>
      </c>
      <c r="GG341" s="712">
        <f t="shared" si="904"/>
        <v>0</v>
      </c>
      <c r="GH341" s="712"/>
      <c r="GI341" s="712">
        <f t="shared" si="905"/>
        <v>0</v>
      </c>
      <c r="GJ341" s="712" t="str">
        <f t="shared" si="906"/>
        <v/>
      </c>
      <c r="GK341" s="712">
        <f>IF(GA341="P",Lookup!$N$12,IF(GA341="PP",Lookup!$N$13,IF(GA341="PPP",Lookup!$N$14,IF(GA341="T",Lookup!$N$15,IF(GA341="TP",Lookup!$N$16,IF(GA341="TPP",Lookup!$N$17,IF(GA341="TPPP",Lookup!$N$18,0)))))))*FZ341</f>
        <v>0</v>
      </c>
      <c r="GL341" s="712">
        <f t="shared" si="907"/>
        <v>0</v>
      </c>
      <c r="GM341" s="712">
        <f t="shared" si="908"/>
        <v>0</v>
      </c>
      <c r="GN341" s="712">
        <f t="shared" si="909"/>
        <v>0</v>
      </c>
      <c r="GO341" s="712"/>
      <c r="GP341" s="712">
        <f t="shared" si="910"/>
        <v>0</v>
      </c>
      <c r="GQ341" s="712" t="str">
        <f t="shared" si="911"/>
        <v/>
      </c>
      <c r="GR341" s="712">
        <f>IF(GA341="P",Lookup!$N$12,IF(GA341="PP",Lookup!$N$13,IF(GA341="PPP",Lookup!$N$14,IF(GA341="T",Lookup!$N$15,IF(GA341="TP",Lookup!$N$16,IF(GA341="TPP",Lookup!$N$17,IF(GA341="TPPP",Lookup!$N$18,0)))))))*FZ341</f>
        <v>0</v>
      </c>
      <c r="GS341" s="697">
        <f t="shared" si="927"/>
        <v>0</v>
      </c>
      <c r="GT341" s="712">
        <f t="shared" si="912"/>
        <v>0</v>
      </c>
      <c r="GU341" s="712">
        <f t="shared" si="913"/>
        <v>0</v>
      </c>
      <c r="GV341" s="712"/>
      <c r="GW341" s="712">
        <f t="shared" si="914"/>
        <v>0</v>
      </c>
      <c r="GX341" s="712" t="str">
        <f t="shared" si="915"/>
        <v/>
      </c>
      <c r="GY341" s="712">
        <f>IF(GA341="P",Lookup!$N$12,IF(GA341="PP",Lookup!$N$13,IF(GA341="PPP",Lookup!$N$14,IF(GA341="T",Lookup!$N$15,IF(GA341="TP",Lookup!$N$16,IF(GA341="TPP",Lookup!$N$17,IF(GA341="TPPP",Lookup!$N$18,0)))))))*FZ341</f>
        <v>0</v>
      </c>
      <c r="GZ341" s="697">
        <f t="shared" si="928"/>
        <v>0</v>
      </c>
      <c r="HA341" s="712">
        <f t="shared" si="916"/>
        <v>0</v>
      </c>
      <c r="HB341" s="712">
        <f t="shared" si="917"/>
        <v>0</v>
      </c>
      <c r="HC341" s="712"/>
    </row>
    <row r="342" spans="1:211">
      <c r="A342" s="773" t="s">
        <v>7</v>
      </c>
      <c r="B342" s="708">
        <v>40871</v>
      </c>
      <c r="C342" s="709">
        <v>0.5</v>
      </c>
      <c r="D342" s="675">
        <f t="shared" si="840"/>
        <v>300</v>
      </c>
      <c r="E342" s="675">
        <f t="shared" si="841"/>
        <v>250</v>
      </c>
      <c r="F342" s="675">
        <v>250</v>
      </c>
      <c r="G342" s="712">
        <f>DH342+Sheet1!CV342</f>
        <v>1734.8153050930464</v>
      </c>
      <c r="H342" s="712">
        <f t="shared" si="842"/>
        <v>854.42141321214513</v>
      </c>
      <c r="I342" s="711">
        <f>MAX(Sheet1!Z342-AJ342+(Sheet1!CW342-E342)*CFStoMGD,0)</f>
        <v>1673.2006666666668</v>
      </c>
      <c r="J342" s="720">
        <f>IF(AND(B342&gt;=Calculation!FS342,B342&lt;=Calculation!FT342),IF(Sheet1!CX342&gt;=Calculation!D342,64.64,0),MAX(Sheet1!Z342-AJ342+(Sheet1!CX342-D342)*CFStoMGD,0))</f>
        <v>1169.5473333333332</v>
      </c>
      <c r="K342" s="697">
        <f t="shared" si="843"/>
        <v>64.64</v>
      </c>
      <c r="L342" s="712">
        <f>Sheet1!AA342+Sheet1!AB342-Sheet1!L342+(Sheet1!CW342-F342)*CFStoMGD</f>
        <v>1674.0506666666686</v>
      </c>
      <c r="M342" s="712">
        <f t="shared" si="844"/>
        <v>1143.8123054763882</v>
      </c>
      <c r="N342" s="712">
        <f>IF(Sheet1!CW342&gt;=F342,MIN(73,MIN(MAX(L342,0),MAX(M342,0))),0)</f>
        <v>73</v>
      </c>
      <c r="O342" s="721">
        <f>Sheet1!AA342+Sheet1!AB342</f>
        <v>45.830000000001746</v>
      </c>
      <c r="P342" s="721">
        <f t="shared" si="845"/>
        <v>70.89901000000269</v>
      </c>
      <c r="Q342" s="712">
        <f>MIN(N342,Sheet1!AA342+AG342)</f>
        <v>45.830000000001746</v>
      </c>
      <c r="R342" s="712">
        <f t="shared" si="846"/>
        <v>0</v>
      </c>
      <c r="S342" s="721">
        <f>Sheet1!Y342*MGDtoCFS</f>
        <v>42.078399999999995</v>
      </c>
      <c r="T342" s="721">
        <f>Sheet1!Z342*MGDtoCFS</f>
        <v>29.238299999999995</v>
      </c>
      <c r="U342" s="721">
        <f>Sheet1!AA342*MGDtoCFS</f>
        <v>41.506010000002696</v>
      </c>
      <c r="V342" s="721">
        <f>Sheet1!AB342*MGDtoCFS</f>
        <v>29.392999999999997</v>
      </c>
      <c r="W342" s="721">
        <f>Sheet1!L342*MGDtoCFS</f>
        <v>69.738759999999886</v>
      </c>
      <c r="X342" s="697">
        <f t="shared" si="847"/>
        <v>0</v>
      </c>
      <c r="Y342" s="712">
        <f t="shared" si="848"/>
        <v>0</v>
      </c>
      <c r="Z342" s="712">
        <f t="shared" si="849"/>
        <v>0</v>
      </c>
      <c r="AA342" s="712">
        <f t="shared" si="850"/>
        <v>0</v>
      </c>
      <c r="AB342" s="712">
        <f>(VLOOKUP(Sheet1!CY342,hhdcap_wcm,4)-(((VLOOKUP(Sheet1!CY342,hhdcap_wcm,3)-Sheet1!CY342)/(VLOOKUP(Sheet1!CY342,hhdcap_wcm,3)-VLOOKUP(Sheet1!CY342,hhdcap_wcm,1)))*(VLOOKUP(Sheet1!CY342,hhdcap_wcm,4)-VLOOKUP(Sheet1!CY342,hhdcap_wcm,2))))</f>
        <v>2100.2000000030444</v>
      </c>
      <c r="AC342" s="712">
        <f t="shared" si="851"/>
        <v>-303.60000000048922</v>
      </c>
      <c r="AD342" s="712">
        <f t="shared" si="852"/>
        <v>0</v>
      </c>
      <c r="AE342" s="712">
        <f t="shared" si="853"/>
        <v>0</v>
      </c>
      <c r="AF342" s="712">
        <f>Sheet1!BA342+Sheet1!BB342+Sheet1!BN342+BT342</f>
        <v>18.899999999999999</v>
      </c>
      <c r="AG342" s="712">
        <f t="shared" si="854"/>
        <v>19</v>
      </c>
      <c r="AH342" s="712">
        <f>Sheet1!BA342+BT342</f>
        <v>0</v>
      </c>
      <c r="AI342" s="712">
        <f>Sheet1!BA342+Sheet1!BB342+BT342</f>
        <v>0</v>
      </c>
      <c r="AJ342" s="712">
        <f>IF((Sheet1!AA342+AG342+AX342+AZ342+BQ342+BS342+CL342+CN342)&lt;=N342,AG342+AX342+AZ342+BQ342+BS342+CL342+CN342,N342-Sheet1!AA342)</f>
        <v>19</v>
      </c>
      <c r="AK342" s="712">
        <f>IF(DR342&lt;K342,0,MAX(Sheet1!AA342+AG342-15/36*K342-N342,Sheet1!ED342,0))</f>
        <v>0</v>
      </c>
      <c r="AL342" s="712">
        <f>IF(OR(B342&gt;=FT342,B342&lt;FS342),0,15/36*K342-MAX(0,64.6-(137.6-(Sheet1!AA342+Sheet1!AB342))))</f>
        <v>0</v>
      </c>
      <c r="AM342" s="712">
        <f>Sheet1!CX342-110</f>
        <v>1999.4791666666665</v>
      </c>
      <c r="AN342" s="712">
        <f>Sheet1!CW342-265</f>
        <v>2573.6458333333335</v>
      </c>
      <c r="AO342" s="712">
        <f t="shared" si="934"/>
        <v>27.169999999998254</v>
      </c>
      <c r="AP342" s="712">
        <f t="shared" si="855"/>
        <v>0</v>
      </c>
      <c r="AQ342" s="712">
        <f t="shared" si="856"/>
        <v>0</v>
      </c>
      <c r="AR342" s="712">
        <f t="shared" si="857"/>
        <v>0</v>
      </c>
      <c r="AS342" s="712"/>
      <c r="AT342" s="712">
        <f ca="1">IF(B342&gt;Summary!$A$1,#N/A,AR342*MGtoAF)</f>
        <v>0</v>
      </c>
      <c r="AU342" s="712">
        <f>Sheet1!BG342+Sheet1!BH342+Sheet1!BI342-BC342</f>
        <v>0</v>
      </c>
      <c r="AV342" s="712">
        <f t="shared" si="858"/>
        <v>0</v>
      </c>
      <c r="AW342" s="712">
        <f>IF(Sheet1!EL342="FM",BC342,0)</f>
        <v>0</v>
      </c>
      <c r="AX342" s="712">
        <f t="shared" si="859"/>
        <v>0</v>
      </c>
      <c r="AY342" s="712">
        <f>IF(Sheet1!EL342="OTHER",BC342,0)</f>
        <v>0</v>
      </c>
      <c r="AZ342" s="712">
        <f t="shared" si="860"/>
        <v>0</v>
      </c>
      <c r="BA342" s="712">
        <f t="shared" si="861"/>
        <v>0</v>
      </c>
      <c r="BB342" s="712">
        <f t="shared" si="862"/>
        <v>0</v>
      </c>
      <c r="BC342" s="712">
        <f>IF(OR(Sheet1!EL342="FM", Sheet1!EL342="OTHER"),SUM(Sheet1!BG342:'Sheet1'!BI342),0)</f>
        <v>0</v>
      </c>
      <c r="BD342" s="697">
        <f>IF(AND($B342&gt;=$FL342,$B342&lt;=$FM342),MAX(AV342,Sheet1!EE342,0),MAX(AV342-(7/36)*$K342,0))</f>
        <v>0</v>
      </c>
      <c r="BE342" s="712">
        <f t="shared" si="863"/>
        <v>0</v>
      </c>
      <c r="BF342" s="697">
        <f t="shared" si="864"/>
        <v>0</v>
      </c>
      <c r="BG342" s="697">
        <f>IF(AND($O342&gt;0,Sheet1!EI342=1),(1-($O342-Sheet1!$L342)/$O342)*BB342,0)</f>
        <v>0</v>
      </c>
      <c r="BH342" s="697">
        <f>IF(AND(Sheet1!$L342=0,Sheet1!$L341=0, Calculation!BA342&lt;Sheet1!$EE342-0.1,Sheet1!$EE342=Sheet1!$EE341,Sheet1!$EE342=Sheet1!$EE343),Sheet1!$EE342,BB342-BG342)</f>
        <v>0</v>
      </c>
      <c r="BI342" s="712"/>
      <c r="BJ342" s="712"/>
      <c r="BK342" s="712">
        <f t="shared" si="865"/>
        <v>0</v>
      </c>
      <c r="BL342" s="712"/>
      <c r="BM342" s="712">
        <f ca="1">IF(B342&gt;Summary!$A$1,#N/A,BK342*MGtoAF)</f>
        <v>0</v>
      </c>
      <c r="BN342" s="712">
        <f>Sheet1!BC342+Sheet1!BD342+Sheet1!BE342+Sheet1!BF342-BW342-BX342</f>
        <v>0</v>
      </c>
      <c r="BO342" s="712">
        <f t="shared" si="866"/>
        <v>0</v>
      </c>
      <c r="BP342" s="712">
        <f>IF(Sheet1!EM342="FM",BX342,0)</f>
        <v>0</v>
      </c>
      <c r="BQ342" s="712">
        <f t="shared" si="867"/>
        <v>0</v>
      </c>
      <c r="BR342" s="712">
        <f>IF(Sheet1!EM342="OTHER",BX342,0)</f>
        <v>0</v>
      </c>
      <c r="BS342" s="712">
        <f t="shared" si="868"/>
        <v>0</v>
      </c>
      <c r="BT342" s="712">
        <f t="shared" si="869"/>
        <v>0</v>
      </c>
      <c r="BU342" s="712">
        <f t="shared" si="870"/>
        <v>0</v>
      </c>
      <c r="BV342" s="712">
        <f t="shared" si="871"/>
        <v>0</v>
      </c>
      <c r="BW342" s="712">
        <f>IF(Sheet1!EM342="CWA",SUM(Sheet1!BC342:'Sheet1'!BF342),0)</f>
        <v>0</v>
      </c>
      <c r="BX342" s="712">
        <f>IF(OR(Sheet1!EM342="FM", Sheet1!EM342="OTHER"),SUM(Sheet1!BC342:'Sheet1'!BF342),0)</f>
        <v>0</v>
      </c>
      <c r="BY342" s="697">
        <f>IF(AND($B342&gt;=$FL342,$B342&lt;=$FM342),MAX(BV342,Sheet1!EF342,0),MAX(BV342-(7/36)*$K342,0))</f>
        <v>0</v>
      </c>
      <c r="BZ342" s="712">
        <f t="shared" si="872"/>
        <v>0</v>
      </c>
      <c r="CA342" s="697">
        <f t="shared" si="873"/>
        <v>0</v>
      </c>
      <c r="CB342" s="697">
        <f>IF(AND($O342&gt;0,Sheet1!EJ342=1),(1-($O342-Sheet1!$L342)/$O342)*BV342,0)</f>
        <v>0</v>
      </c>
      <c r="CC342" s="697">
        <f>IF(AND(Sheet1!$L342=0,Sheet1!$L341=0, Calculation!BU342&lt;Sheet1!EF342-0.1,Sheet1!EF342=Sheet1!EF341,Sheet1!EF342=Sheet1!EF343),Sheet1!EF342,BV342-CB342)</f>
        <v>0</v>
      </c>
      <c r="CD342" s="697"/>
      <c r="CE342" s="712"/>
      <c r="CF342" s="712">
        <f t="shared" si="874"/>
        <v>0</v>
      </c>
      <c r="CG342" s="712"/>
      <c r="CH342" s="712">
        <f ca="1">IF(B342&gt;Summary!$A$1,#N/A,CF342*MGtoAF)</f>
        <v>0</v>
      </c>
      <c r="CI342" s="712">
        <f>Sheet1!BK342+Sheet1!BL342+Sheet1!BM342-Sheet1!EN342-CQ342</f>
        <v>0</v>
      </c>
      <c r="CJ342" s="712">
        <f t="shared" si="875"/>
        <v>0</v>
      </c>
      <c r="CK342" s="712">
        <f>IF(Sheet1!EN342="FM",CQ342,0)</f>
        <v>0</v>
      </c>
      <c r="CL342" s="712">
        <f t="shared" si="876"/>
        <v>0</v>
      </c>
      <c r="CM342" s="712">
        <f>IF(Sheet1!EN342="OTHER",CQ342,0)</f>
        <v>0</v>
      </c>
      <c r="CN342" s="712">
        <f t="shared" si="877"/>
        <v>0</v>
      </c>
      <c r="CO342" s="712">
        <f t="shared" si="878"/>
        <v>0</v>
      </c>
      <c r="CP342" s="712">
        <f t="shared" si="879"/>
        <v>0</v>
      </c>
      <c r="CQ342" s="712">
        <f>IF(OR(Sheet1!EN342="FM", Sheet1!EN342="OTHER"),SUM(Sheet1!BK342:'Sheet1'!BM342),0)</f>
        <v>0</v>
      </c>
      <c r="CR342" s="697">
        <f>IF(AND($B342&gt;=$FL342,$B342&lt;=$FM342),MAX($CJ342,Sheet1!EG342,0),MAX($CJ342-(7/36)*$K342,0))</f>
        <v>0</v>
      </c>
      <c r="CS342" s="712">
        <f t="shared" si="880"/>
        <v>0</v>
      </c>
      <c r="CT342" s="697">
        <f t="shared" si="881"/>
        <v>0</v>
      </c>
      <c r="CU342" s="697">
        <f>IF(AND($O342&gt;0,Sheet1!EK342=1),(1-($O342-Sheet1!$L342)/$O342)*CP342,0)</f>
        <v>0</v>
      </c>
      <c r="CV342" s="697">
        <f>IF(AND(Sheet1!$L342=0,Sheet1!$L341=0, Calculation!CO342&lt;Sheet1!$EG342-0.1,Sheet1!$EG342=Sheet1!$EG341,Sheet1!$EG342=Sheet1!$EG343),Sheet1!$EG342,CP342-CU342)</f>
        <v>0</v>
      </c>
      <c r="CW342" s="697"/>
      <c r="CX342" s="712">
        <f t="shared" si="882"/>
        <v>0</v>
      </c>
      <c r="CY342" s="712">
        <f t="shared" si="883"/>
        <v>0</v>
      </c>
      <c r="CZ342" s="712">
        <f t="shared" si="884"/>
        <v>0</v>
      </c>
      <c r="DA342" s="712">
        <f ca="1">IF(B342&gt;Summary!$A$1,#N/A,CY342*MGtoAF)</f>
        <v>0</v>
      </c>
      <c r="DB342" s="712">
        <f t="shared" si="885"/>
        <v>0</v>
      </c>
      <c r="DC342" s="712">
        <f t="shared" si="886"/>
        <v>18.899999999999999</v>
      </c>
      <c r="DD342" s="712">
        <f>Sheet1!AB342-DC342</f>
        <v>0.10000000000000142</v>
      </c>
      <c r="DE342" s="712">
        <f t="shared" si="887"/>
        <v>5.2910052910053662E-3</v>
      </c>
      <c r="DF342" s="712">
        <f>(VLOOKUP(Sheet1!CY342,hhdcap_wcm,4)-(((VLOOKUP(Sheet1!CY342,hhdcap_wcm,3)-Sheet1!CY342)/(VLOOKUP(Sheet1!CY342,hhdcap_wcm,3)-VLOOKUP(Sheet1!CY342,hhdcap_wcm,1)))*(VLOOKUP(Sheet1!CY342,hhdcap_wcm,4)-VLOOKUP(Sheet1!CY342,hhdcap_wcm,2))))</f>
        <v>2100.2000000030444</v>
      </c>
      <c r="DG342" s="712">
        <f t="shared" si="888"/>
        <v>-303.60000000048922</v>
      </c>
      <c r="DH342" s="712">
        <f t="shared" si="889"/>
        <v>-153.10136157362035</v>
      </c>
      <c r="DI342" s="712">
        <f>Sheet1!DW342*AFtoMG</f>
        <v>0</v>
      </c>
      <c r="DJ342" s="712">
        <f>Sheet1!DX342*AFtoMG</f>
        <v>0</v>
      </c>
      <c r="DK342" s="712">
        <f>Sheet1!DY342*AFtoMG</f>
        <v>0</v>
      </c>
      <c r="DL342" s="712">
        <f>Sheet1!DZ342*AFtoMG</f>
        <v>0</v>
      </c>
      <c r="DM342" s="712">
        <f t="shared" si="890"/>
        <v>0</v>
      </c>
      <c r="DN342" s="712">
        <f t="shared" si="891"/>
        <v>0</v>
      </c>
      <c r="DO342" s="712">
        <f t="shared" si="892"/>
        <v>0</v>
      </c>
      <c r="DP342" s="712">
        <f t="shared" si="893"/>
        <v>0</v>
      </c>
      <c r="DQ342" s="712"/>
      <c r="DR342" s="697">
        <f>IF(OR(B342&lt;FL342,B342&gt;FM342),(MIN(AV342+BO342+CJ342+MAX(Sheet1!AA342+AG342-73,0),K342)),0)</f>
        <v>0</v>
      </c>
      <c r="DS342" s="712"/>
      <c r="DT342" s="712">
        <f t="shared" si="894"/>
        <v>0</v>
      </c>
      <c r="DU342" s="712"/>
      <c r="DV342" s="712">
        <f>Sheet1!ED342+Sheet1!EE342+Sheet1!EF342+Sheet1!EG342</f>
        <v>8.5</v>
      </c>
      <c r="DW342" s="712"/>
      <c r="DX342" s="697">
        <f t="shared" si="895"/>
        <v>0</v>
      </c>
      <c r="DY342" s="712">
        <f>IF(Sheet1!FN342=1,SUM('Calculations II'!AT342:BA342)+'Calculations II'!BC342+Sheet1!BU342+'Calculations II'!BE342+AF342,SUM('Calculations II'!AT342:BA342)+'Calculations II'!BC342+Sheet1!BU342+'Calculations II'!BE342+AF342)</f>
        <v>42.745040000000003</v>
      </c>
      <c r="DZ342" s="712">
        <f>Sheet1!AA342+Sheet1!AB342+'Calculations II'!BC342</f>
        <v>45.830000000001746</v>
      </c>
      <c r="EA342" s="712"/>
      <c r="EB342" s="712"/>
      <c r="EC342" s="712">
        <f t="shared" si="896"/>
        <v>40871</v>
      </c>
      <c r="ED342" s="712">
        <f t="shared" si="897"/>
        <v>0</v>
      </c>
      <c r="EE342" s="712">
        <f t="shared" si="898"/>
        <v>0</v>
      </c>
      <c r="EF342" s="712">
        <f ca="1">IF(B342=TODAY(),0,-(VLOOKUP(Sheet1!BQ342,Lookup!$B$4:$J$236,2)-VLOOKUP(Sheet1!BQ341,Lookup!$B$4:$J$236,2))/1000000)</f>
        <v>0</v>
      </c>
      <c r="EG342" s="712">
        <f ca="1">IF(B342=TODAY(),0,-(VLOOKUP(Sheet1!BR342,Lookup!$B$4:$J$236,3)-VLOOKUP(Sheet1!BR341,Lookup!$B$4:$J$236,3))/1000000)</f>
        <v>0</v>
      </c>
      <c r="EH342" s="712">
        <f>-(VLOOKUP(Sheet1!BS342,Lookup!$B$4:$J$236,4)-VLOOKUP(Sheet1!BS341,Lookup!$B$4:$J$236,4))/1000000</f>
        <v>0</v>
      </c>
      <c r="EI342" s="697">
        <f t="shared" ca="1" si="922"/>
        <v>0</v>
      </c>
      <c r="EJ342" s="712"/>
      <c r="EK342" s="712"/>
      <c r="EL342" s="712"/>
      <c r="EM342" s="712"/>
      <c r="EN342" s="712"/>
      <c r="EO342" s="712"/>
      <c r="EP342" s="712"/>
      <c r="EQ342" s="712"/>
      <c r="ER342" s="712"/>
      <c r="ES342" s="712"/>
      <c r="ET342" s="794">
        <f t="shared" si="919"/>
        <v>1083.4000000000001</v>
      </c>
      <c r="EU342" s="794" t="e">
        <f t="shared" si="924"/>
        <v>#N/A</v>
      </c>
      <c r="EV342" s="795" t="e">
        <f t="shared" si="925"/>
        <v>#N/A</v>
      </c>
      <c r="EW342" s="796" t="s">
        <v>757</v>
      </c>
      <c r="EX342" s="796" t="s">
        <v>757</v>
      </c>
      <c r="EY342" s="794" t="e">
        <v>#N/A</v>
      </c>
      <c r="EZ342" s="798">
        <v>2744.6000000042095</v>
      </c>
      <c r="FA342" s="712"/>
      <c r="FB342" s="712"/>
      <c r="FC342" s="712"/>
      <c r="FD342" s="712"/>
      <c r="FE342" s="712">
        <f>O342+Sheet1!CO342</f>
        <v>45.830000000001746</v>
      </c>
      <c r="FF342" s="712">
        <f>IF(Sheet1!AA342+AG342&lt;=Calculation!N342,AG342,Calculation!N342-Sheet1!AA342)</f>
        <v>19</v>
      </c>
      <c r="FG342" s="712">
        <f>(Sheet1!BP342+Sheet1!BO342)/694.4</f>
        <v>2.2324308755760369</v>
      </c>
      <c r="FH342" s="712"/>
      <c r="FI342" s="712"/>
      <c r="FJ342" s="712"/>
      <c r="FK342" s="712"/>
      <c r="FL342" s="714">
        <f t="shared" si="929"/>
        <v>40753</v>
      </c>
      <c r="FM342" s="714">
        <f t="shared" si="930"/>
        <v>40851</v>
      </c>
      <c r="FN342" s="712"/>
      <c r="FO342" s="712"/>
      <c r="FP342" s="712"/>
      <c r="FQ342" s="712"/>
      <c r="FR342" s="712"/>
      <c r="FS342" s="725">
        <f t="shared" si="931"/>
        <v>40603</v>
      </c>
      <c r="FT342" s="714">
        <f t="shared" si="932"/>
        <v>40709</v>
      </c>
      <c r="FU342" s="712">
        <f t="shared" si="931"/>
        <v>6518.9048239895692</v>
      </c>
      <c r="FV342" s="714">
        <f t="shared" si="933"/>
        <v>40722</v>
      </c>
      <c r="FW342" s="712">
        <f t="shared" si="931"/>
        <v>3259.4524119947846</v>
      </c>
      <c r="FX342" s="725">
        <f t="shared" si="931"/>
        <v>40851</v>
      </c>
      <c r="FZ342" s="697">
        <f t="shared" si="926"/>
        <v>0</v>
      </c>
      <c r="GA342" s="712" t="str">
        <f t="shared" si="899"/>
        <v/>
      </c>
      <c r="GB342" s="712">
        <f t="shared" si="900"/>
        <v>0</v>
      </c>
      <c r="GC342" s="712" t="str">
        <f t="shared" si="901"/>
        <v/>
      </c>
      <c r="GD342" s="712">
        <f>IF(GA342="P",Lookup!$M$12,IF(GA342="PP",Lookup!$M$13,IF(GA342="PPP",Lookup!$M$14,IF(GA342="T",Lookup!$M$15,IF(GA342="TP",Lookup!$M$16,IF(GA342="TPP",Lookup!$M$17,IF(GA342="TPPP",Lookup!$M$18,0)))))))*FZ342</f>
        <v>0</v>
      </c>
      <c r="GE342" s="712">
        <f t="shared" si="902"/>
        <v>0</v>
      </c>
      <c r="GF342" s="712">
        <f t="shared" si="903"/>
        <v>0</v>
      </c>
      <c r="GG342" s="712">
        <f t="shared" si="904"/>
        <v>0</v>
      </c>
      <c r="GH342" s="712"/>
      <c r="GI342" s="712">
        <f t="shared" si="905"/>
        <v>0</v>
      </c>
      <c r="GJ342" s="712" t="str">
        <f t="shared" si="906"/>
        <v/>
      </c>
      <c r="GK342" s="712">
        <f>IF(GA342="P",Lookup!$N$12,IF(GA342="PP",Lookup!$N$13,IF(GA342="PPP",Lookup!$N$14,IF(GA342="T",Lookup!$N$15,IF(GA342="TP",Lookup!$N$16,IF(GA342="TPP",Lookup!$N$17,IF(GA342="TPPP",Lookup!$N$18,0)))))))*FZ342</f>
        <v>0</v>
      </c>
      <c r="GL342" s="712">
        <f t="shared" si="907"/>
        <v>0</v>
      </c>
      <c r="GM342" s="712">
        <f t="shared" si="908"/>
        <v>0</v>
      </c>
      <c r="GN342" s="712">
        <f t="shared" si="909"/>
        <v>0</v>
      </c>
      <c r="GO342" s="712"/>
      <c r="GP342" s="712">
        <f t="shared" si="910"/>
        <v>0</v>
      </c>
      <c r="GQ342" s="712" t="str">
        <f t="shared" si="911"/>
        <v/>
      </c>
      <c r="GR342" s="712">
        <f>IF(GA342="P",Lookup!$N$12,IF(GA342="PP",Lookup!$N$13,IF(GA342="PPP",Lookup!$N$14,IF(GA342="T",Lookup!$N$15,IF(GA342="TP",Lookup!$N$16,IF(GA342="TPP",Lookup!$N$17,IF(GA342="TPPP",Lookup!$N$18,0)))))))*FZ342</f>
        <v>0</v>
      </c>
      <c r="GS342" s="697">
        <f t="shared" si="927"/>
        <v>0</v>
      </c>
      <c r="GT342" s="712">
        <f t="shared" si="912"/>
        <v>0</v>
      </c>
      <c r="GU342" s="712">
        <f t="shared" si="913"/>
        <v>0</v>
      </c>
      <c r="GV342" s="712"/>
      <c r="GW342" s="712">
        <f t="shared" si="914"/>
        <v>0</v>
      </c>
      <c r="GX342" s="712" t="str">
        <f t="shared" si="915"/>
        <v/>
      </c>
      <c r="GY342" s="712">
        <f>IF(GA342="P",Lookup!$N$12,IF(GA342="PP",Lookup!$N$13,IF(GA342="PPP",Lookup!$N$14,IF(GA342="T",Lookup!$N$15,IF(GA342="TP",Lookup!$N$16,IF(GA342="TPP",Lookup!$N$17,IF(GA342="TPPP",Lookup!$N$18,0)))))))*FZ342</f>
        <v>0</v>
      </c>
      <c r="GZ342" s="697">
        <f t="shared" si="928"/>
        <v>0</v>
      </c>
      <c r="HA342" s="712">
        <f t="shared" si="916"/>
        <v>0</v>
      </c>
      <c r="HB342" s="712">
        <f t="shared" si="917"/>
        <v>0</v>
      </c>
      <c r="HC342" s="712"/>
    </row>
    <row r="343" spans="1:211">
      <c r="A343" s="773" t="s">
        <v>8</v>
      </c>
      <c r="B343" s="708">
        <v>40872</v>
      </c>
      <c r="C343" s="719">
        <v>0.5</v>
      </c>
      <c r="D343" s="675">
        <f t="shared" si="840"/>
        <v>300</v>
      </c>
      <c r="E343" s="675">
        <f t="shared" si="841"/>
        <v>250</v>
      </c>
      <c r="F343" s="675">
        <v>250</v>
      </c>
      <c r="G343" s="712">
        <f>DH343+Sheet1!CV343</f>
        <v>1442.157085224482</v>
      </c>
      <c r="H343" s="712">
        <f t="shared" si="842"/>
        <v>665.24713988910514</v>
      </c>
      <c r="I343" s="711">
        <f>MAX(Sheet1!Z343-AJ343+(Sheet1!CW343-E343)*CFStoMGD,0)</f>
        <v>1439.6886666666653</v>
      </c>
      <c r="J343" s="720">
        <f>IF(AND(B343&gt;=Calculation!FS343,B343&lt;=Calculation!FT343),IF(Sheet1!CX343&gt;=Calculation!D343,64.64,0),MAX(Sheet1!Z343-AJ343+(Sheet1!CX343-D343)*CFStoMGD,0))</f>
        <v>845.2026666666651</v>
      </c>
      <c r="K343" s="697">
        <f t="shared" si="843"/>
        <v>64.64</v>
      </c>
      <c r="L343" s="712">
        <f>Sheet1!AA343+Sheet1!AB343-Sheet1!L343+(Sheet1!CW343-F343)*CFStoMGD</f>
        <v>1440.4986666666696</v>
      </c>
      <c r="M343" s="712">
        <f t="shared" si="844"/>
        <v>950.85454668688726</v>
      </c>
      <c r="N343" s="712">
        <f>IF(Sheet1!CW343&gt;=F343,MIN(73,MIN(MAX(L343,0),MAX(M343,0))),0)</f>
        <v>73</v>
      </c>
      <c r="O343" s="721">
        <f>Sheet1!AA343+Sheet1!AB343</f>
        <v>45.370000000002619</v>
      </c>
      <c r="P343" s="721">
        <f t="shared" si="845"/>
        <v>70.187390000004044</v>
      </c>
      <c r="Q343" s="712">
        <f>MIN(N343,Sheet1!AA343+AG343)</f>
        <v>45.370000000002619</v>
      </c>
      <c r="R343" s="712">
        <f t="shared" si="846"/>
        <v>0</v>
      </c>
      <c r="S343" s="721">
        <f>Sheet1!Y343*MGDtoCFS</f>
        <v>41.614299999999993</v>
      </c>
      <c r="T343" s="721">
        <f>Sheet1!Z343*MGDtoCFS</f>
        <v>29.083600000000001</v>
      </c>
      <c r="U343" s="721">
        <f>Sheet1!AA343*MGDtoCFS</f>
        <v>40.949090000001796</v>
      </c>
      <c r="V343" s="721">
        <f>Sheet1!AB343*MGDtoCFS</f>
        <v>29.238300000002251</v>
      </c>
      <c r="W343" s="721">
        <f>Sheet1!L343*MGDtoCFS</f>
        <v>69.089019999999778</v>
      </c>
      <c r="X343" s="697">
        <f t="shared" si="847"/>
        <v>0</v>
      </c>
      <c r="Y343" s="712">
        <f t="shared" si="848"/>
        <v>0</v>
      </c>
      <c r="Z343" s="712">
        <f t="shared" si="849"/>
        <v>0</v>
      </c>
      <c r="AA343" s="712">
        <f t="shared" si="850"/>
        <v>0</v>
      </c>
      <c r="AB343" s="712">
        <f>(VLOOKUP(Sheet1!CY343,hhdcap_wcm,4)-(((VLOOKUP(Sheet1!CY343,hhdcap_wcm,3)-Sheet1!CY343)/(VLOOKUP(Sheet1!CY343,hhdcap_wcm,3)-VLOOKUP(Sheet1!CY343,hhdcap_wcm,1)))*(VLOOKUP(Sheet1!CY343,hhdcap_wcm,4)-VLOOKUP(Sheet1!CY343,hhdcap_wcm,2))))</f>
        <v>2152.4000000031924</v>
      </c>
      <c r="AC343" s="712">
        <f t="shared" si="851"/>
        <v>52.200000000148066</v>
      </c>
      <c r="AD343" s="712">
        <f t="shared" si="852"/>
        <v>0</v>
      </c>
      <c r="AE343" s="712">
        <f t="shared" si="853"/>
        <v>0</v>
      </c>
      <c r="AF343" s="712">
        <f>Sheet1!BA343+Sheet1!BB343+Sheet1!BN343+BT343</f>
        <v>18.899999999999999</v>
      </c>
      <c r="AG343" s="712">
        <f t="shared" si="854"/>
        <v>18.900000000001455</v>
      </c>
      <c r="AH343" s="712">
        <f>Sheet1!BA343+BT343</f>
        <v>0</v>
      </c>
      <c r="AI343" s="712">
        <f>Sheet1!BA343+Sheet1!BB343+BT343</f>
        <v>0</v>
      </c>
      <c r="AJ343" s="712">
        <f>IF((Sheet1!AA343+AG343+AX343+AZ343+BQ343+BS343+CL343+CN343)&lt;=N343,AG343+AX343+AZ343+BQ343+BS343+CL343+CN343,N343-Sheet1!AA343)</f>
        <v>18.900000000001455</v>
      </c>
      <c r="AK343" s="712">
        <f>IF(DR343&lt;K343,0,MAX(Sheet1!AA343+AG343-15/36*K343-N343,Sheet1!ED343,0))</f>
        <v>0</v>
      </c>
      <c r="AL343" s="712">
        <f>IF(OR(B343&gt;=FT343,B343&lt;FS343),0,15/36*K343-MAX(0,64.6-(137.6-(Sheet1!AA343+Sheet1!AB343))))</f>
        <v>0</v>
      </c>
      <c r="AM343" s="712">
        <f>Sheet1!CX343-110</f>
        <v>1497.7083333333333</v>
      </c>
      <c r="AN343" s="712">
        <f>Sheet1!CW343-265</f>
        <v>2212.3958333333335</v>
      </c>
      <c r="AO343" s="712">
        <f t="shared" si="934"/>
        <v>27.629999999997381</v>
      </c>
      <c r="AP343" s="712">
        <f t="shared" si="855"/>
        <v>0</v>
      </c>
      <c r="AQ343" s="712">
        <f t="shared" si="856"/>
        <v>0</v>
      </c>
      <c r="AR343" s="712">
        <f t="shared" si="857"/>
        <v>0</v>
      </c>
      <c r="AS343" s="712"/>
      <c r="AT343" s="712">
        <f ca="1">IF(B343&gt;Summary!$A$1,#N/A,AR343*MGtoAF)</f>
        <v>0</v>
      </c>
      <c r="AU343" s="712">
        <f>Sheet1!BG343+Sheet1!BH343+Sheet1!BI343-BC343</f>
        <v>0</v>
      </c>
      <c r="AV343" s="712">
        <f t="shared" si="858"/>
        <v>0</v>
      </c>
      <c r="AW343" s="712">
        <f>IF(Sheet1!EL343="FM",BC343,0)</f>
        <v>0</v>
      </c>
      <c r="AX343" s="712">
        <f t="shared" si="859"/>
        <v>0</v>
      </c>
      <c r="AY343" s="712">
        <f>IF(Sheet1!EL343="OTHER",BC343,0)</f>
        <v>0</v>
      </c>
      <c r="AZ343" s="712">
        <f t="shared" si="860"/>
        <v>0</v>
      </c>
      <c r="BA343" s="712">
        <f t="shared" si="861"/>
        <v>0</v>
      </c>
      <c r="BB343" s="712">
        <f t="shared" si="862"/>
        <v>0</v>
      </c>
      <c r="BC343" s="712">
        <f>IF(OR(Sheet1!EL343="FM", Sheet1!EL343="OTHER"),SUM(Sheet1!BG343:'Sheet1'!BI343),0)</f>
        <v>0</v>
      </c>
      <c r="BD343" s="697">
        <f>IF(AND($B343&gt;=$FL343,$B343&lt;=$FM343),MAX(AV343,Sheet1!EE343,0),MAX(AV343-(7/36)*$K343,0))</f>
        <v>0</v>
      </c>
      <c r="BE343" s="712">
        <f t="shared" si="863"/>
        <v>0</v>
      </c>
      <c r="BF343" s="697">
        <f t="shared" si="864"/>
        <v>0</v>
      </c>
      <c r="BG343" s="697">
        <f>IF(AND($O343&gt;0,Sheet1!EI343=1),(1-($O343-Sheet1!$L343)/$O343)*BB343,0)</f>
        <v>0</v>
      </c>
      <c r="BH343" s="697">
        <f>IF(AND(Sheet1!$L343=0,Sheet1!$L342=0, Calculation!BA343&lt;Sheet1!$EE343-0.1,Sheet1!$EE343=Sheet1!$EE342,Sheet1!$EE343=Sheet1!$EE344),Sheet1!$EE343,BB343-BG343)</f>
        <v>0</v>
      </c>
      <c r="BI343" s="712"/>
      <c r="BJ343" s="712"/>
      <c r="BK343" s="712">
        <f t="shared" si="865"/>
        <v>0</v>
      </c>
      <c r="BL343" s="712"/>
      <c r="BM343" s="712">
        <f ca="1">IF(B343&gt;Summary!$A$1,#N/A,BK343*MGtoAF)</f>
        <v>0</v>
      </c>
      <c r="BN343" s="712">
        <f>Sheet1!BC343+Sheet1!BD343+Sheet1!BE343+Sheet1!BF343-BW343-BX343</f>
        <v>0</v>
      </c>
      <c r="BO343" s="712">
        <f t="shared" si="866"/>
        <v>0</v>
      </c>
      <c r="BP343" s="712">
        <f>IF(Sheet1!EM343="FM",BX343,0)</f>
        <v>0</v>
      </c>
      <c r="BQ343" s="712">
        <f t="shared" si="867"/>
        <v>0</v>
      </c>
      <c r="BR343" s="712">
        <f>IF(Sheet1!EM343="OTHER",BX343,0)</f>
        <v>0</v>
      </c>
      <c r="BS343" s="712">
        <f t="shared" si="868"/>
        <v>0</v>
      </c>
      <c r="BT343" s="712">
        <f t="shared" si="869"/>
        <v>0</v>
      </c>
      <c r="BU343" s="712">
        <f t="shared" si="870"/>
        <v>0</v>
      </c>
      <c r="BV343" s="712">
        <f t="shared" si="871"/>
        <v>0</v>
      </c>
      <c r="BW343" s="712">
        <f>IF(Sheet1!EM343="CWA",SUM(Sheet1!BC343:'Sheet1'!BF343),0)</f>
        <v>0</v>
      </c>
      <c r="BX343" s="712">
        <f>IF(OR(Sheet1!EM343="FM", Sheet1!EM343="OTHER"),SUM(Sheet1!BC343:'Sheet1'!BF343),0)</f>
        <v>0</v>
      </c>
      <c r="BY343" s="697">
        <f>IF(AND($B343&gt;=$FL343,$B343&lt;=$FM343),MAX(BV343,Sheet1!EF343,0),MAX(BV343-(7/36)*$K343,0))</f>
        <v>0</v>
      </c>
      <c r="BZ343" s="712">
        <f t="shared" si="872"/>
        <v>0</v>
      </c>
      <c r="CA343" s="697">
        <f t="shared" si="873"/>
        <v>0</v>
      </c>
      <c r="CB343" s="697">
        <f>IF(AND($O343&gt;0,Sheet1!EJ343=1),(1-($O343-Sheet1!$L343)/$O343)*BV343,0)</f>
        <v>0</v>
      </c>
      <c r="CC343" s="697">
        <f>IF(AND(Sheet1!$L343=0,Sheet1!$L342=0, Calculation!BU343&lt;Sheet1!EF343-0.1,Sheet1!EF343=Sheet1!EF342,Sheet1!EF343=Sheet1!EF344),Sheet1!EF343,BV343-CB343)</f>
        <v>0</v>
      </c>
      <c r="CD343" s="697"/>
      <c r="CE343" s="712"/>
      <c r="CF343" s="712">
        <f t="shared" si="874"/>
        <v>0</v>
      </c>
      <c r="CG343" s="712"/>
      <c r="CH343" s="712">
        <f ca="1">IF(B343&gt;Summary!$A$1,#N/A,CF343*MGtoAF)</f>
        <v>0</v>
      </c>
      <c r="CI343" s="712">
        <f>Sheet1!BK343+Sheet1!BL343+Sheet1!BM343-Sheet1!EN343-CQ343</f>
        <v>0</v>
      </c>
      <c r="CJ343" s="712">
        <f t="shared" si="875"/>
        <v>0</v>
      </c>
      <c r="CK343" s="712">
        <f>IF(Sheet1!EN343="FM",CQ343,0)</f>
        <v>0</v>
      </c>
      <c r="CL343" s="712">
        <f t="shared" si="876"/>
        <v>0</v>
      </c>
      <c r="CM343" s="712">
        <f>IF(Sheet1!EN343="OTHER",CQ343,0)</f>
        <v>0</v>
      </c>
      <c r="CN343" s="712">
        <f t="shared" si="877"/>
        <v>0</v>
      </c>
      <c r="CO343" s="712">
        <f t="shared" si="878"/>
        <v>0</v>
      </c>
      <c r="CP343" s="712">
        <f t="shared" si="879"/>
        <v>0</v>
      </c>
      <c r="CQ343" s="712">
        <f>IF(OR(Sheet1!EN343="FM", Sheet1!EN343="OTHER"),SUM(Sheet1!BK343:'Sheet1'!BM343),0)</f>
        <v>0</v>
      </c>
      <c r="CR343" s="697">
        <f>IF(AND($B343&gt;=$FL343,$B343&lt;=$FM343),MAX($CJ343,Sheet1!EG343,0),MAX($CJ343-(7/36)*$K343,0))</f>
        <v>0</v>
      </c>
      <c r="CS343" s="712">
        <f t="shared" si="880"/>
        <v>0</v>
      </c>
      <c r="CT343" s="697">
        <f t="shared" si="881"/>
        <v>0</v>
      </c>
      <c r="CU343" s="697">
        <f>IF(AND($O343&gt;0,Sheet1!EK343=1),(1-($O343-Sheet1!$L343)/$O343)*CP343,0)</f>
        <v>0</v>
      </c>
      <c r="CV343" s="697">
        <f>IF(AND(Sheet1!$L343=0,Sheet1!$L342=0, Calculation!CO343&lt;Sheet1!$EG343-0.1,Sheet1!$EG343=Sheet1!$EG342,Sheet1!$EG343=Sheet1!$EG344),Sheet1!$EG343,CP343-CU343)</f>
        <v>0</v>
      </c>
      <c r="CW343" s="697"/>
      <c r="CX343" s="712">
        <f t="shared" si="882"/>
        <v>0</v>
      </c>
      <c r="CY343" s="712">
        <f t="shared" si="883"/>
        <v>0</v>
      </c>
      <c r="CZ343" s="712">
        <f t="shared" si="884"/>
        <v>0</v>
      </c>
      <c r="DA343" s="712">
        <f ca="1">IF(B343&gt;Summary!$A$1,#N/A,CY343*MGtoAF)</f>
        <v>0</v>
      </c>
      <c r="DB343" s="712">
        <f t="shared" si="885"/>
        <v>0</v>
      </c>
      <c r="DC343" s="712">
        <f t="shared" si="886"/>
        <v>18.899999999999999</v>
      </c>
      <c r="DD343" s="712">
        <f>Sheet1!AB343-DC343</f>
        <v>1.4566126083082054E-12</v>
      </c>
      <c r="DE343" s="712">
        <f t="shared" si="887"/>
        <v>7.7069450175037321E-14</v>
      </c>
      <c r="DF343" s="712">
        <f>(VLOOKUP(Sheet1!CY343,hhdcap_wcm,4)-(((VLOOKUP(Sheet1!CY343,hhdcap_wcm,3)-Sheet1!CY343)/(VLOOKUP(Sheet1!CY343,hhdcap_wcm,3)-VLOOKUP(Sheet1!CY343,hhdcap_wcm,1)))*(VLOOKUP(Sheet1!CY343,hhdcap_wcm,4)-VLOOKUP(Sheet1!CY343,hhdcap_wcm,2))))</f>
        <v>2152.4000000031924</v>
      </c>
      <c r="DG343" s="712">
        <f t="shared" si="888"/>
        <v>52.200000000148066</v>
      </c>
      <c r="DH343" s="712">
        <f t="shared" si="889"/>
        <v>26.323751891148795</v>
      </c>
      <c r="DI343" s="712">
        <f>Sheet1!DW343*AFtoMG</f>
        <v>0</v>
      </c>
      <c r="DJ343" s="712">
        <f>Sheet1!DX343*AFtoMG</f>
        <v>0</v>
      </c>
      <c r="DK343" s="712">
        <f>Sheet1!DY343*AFtoMG</f>
        <v>0</v>
      </c>
      <c r="DL343" s="712">
        <f>Sheet1!DZ343*AFtoMG</f>
        <v>0</v>
      </c>
      <c r="DM343" s="712">
        <f t="shared" si="890"/>
        <v>0</v>
      </c>
      <c r="DN343" s="712">
        <f t="shared" si="891"/>
        <v>0</v>
      </c>
      <c r="DO343" s="712">
        <f t="shared" si="892"/>
        <v>0</v>
      </c>
      <c r="DP343" s="712">
        <f t="shared" si="893"/>
        <v>0</v>
      </c>
      <c r="DQ343" s="712"/>
      <c r="DR343" s="697">
        <f>IF(OR(B343&lt;FL343,B343&gt;FM343),(MIN(AV343+BO343+CJ343+MAX(Sheet1!AA343+AG343-73,0),K343)),0)</f>
        <v>0</v>
      </c>
      <c r="DS343" s="712"/>
      <c r="DT343" s="712">
        <f t="shared" si="894"/>
        <v>0</v>
      </c>
      <c r="DU343" s="712"/>
      <c r="DV343" s="712">
        <f>Sheet1!ED343+Sheet1!EE343+Sheet1!EF343+Sheet1!EG343</f>
        <v>8.5</v>
      </c>
      <c r="DW343" s="712"/>
      <c r="DX343" s="697">
        <f t="shared" si="895"/>
        <v>0</v>
      </c>
      <c r="DY343" s="712">
        <f>IF(Sheet1!FN343=1,SUM('Calculations II'!AT343:BA343)+'Calculations II'!BC343+Sheet1!BU343+'Calculations II'!BE343+AF343,SUM('Calculations II'!AT343:BA343)+'Calculations II'!BC343+Sheet1!BU343+'Calculations II'!BE343+AF343)</f>
        <v>40.332672000000002</v>
      </c>
      <c r="DZ343" s="712">
        <f>Sheet1!AA343+Sheet1!AB343+'Calculations II'!BC343</f>
        <v>45.370000000002619</v>
      </c>
      <c r="EA343" s="712"/>
      <c r="EB343" s="712"/>
      <c r="EC343" s="712">
        <f t="shared" si="896"/>
        <v>40872</v>
      </c>
      <c r="ED343" s="712">
        <f t="shared" si="897"/>
        <v>0</v>
      </c>
      <c r="EE343" s="712">
        <f t="shared" si="898"/>
        <v>0</v>
      </c>
      <c r="EF343" s="712">
        <f ca="1">IF(B343=TODAY(),0,-(VLOOKUP(Sheet1!BQ343,Lookup!$B$4:$J$236,2)-VLOOKUP(Sheet1!BQ342,Lookup!$B$4:$J$236,2))/1000000)</f>
        <v>-1.0684</v>
      </c>
      <c r="EG343" s="712">
        <f ca="1">IF(B343=TODAY(),0,-(VLOOKUP(Sheet1!BR343,Lookup!$B$4:$J$236,3)-VLOOKUP(Sheet1!BR342,Lookup!$B$4:$J$236,3))/1000000)</f>
        <v>-1.0664</v>
      </c>
      <c r="EH343" s="712">
        <f>-(VLOOKUP(Sheet1!BS343,Lookup!$B$4:$J$236,4)-VLOOKUP(Sheet1!BS342,Lookup!$B$4:$J$236,4))/1000000</f>
        <v>0</v>
      </c>
      <c r="EI343" s="697">
        <f t="shared" ca="1" si="922"/>
        <v>-2.1348000000000003</v>
      </c>
      <c r="EJ343" s="712"/>
      <c r="EK343" s="712"/>
      <c r="EL343" s="712"/>
      <c r="EM343" s="712"/>
      <c r="EN343" s="712"/>
      <c r="EO343" s="712"/>
      <c r="EP343" s="712"/>
      <c r="EQ343" s="712"/>
      <c r="ER343" s="712"/>
      <c r="ES343" s="712"/>
      <c r="ET343" s="794">
        <f t="shared" si="919"/>
        <v>1082.2</v>
      </c>
      <c r="EU343" s="794" t="e">
        <f t="shared" si="924"/>
        <v>#N/A</v>
      </c>
      <c r="EV343" s="795" t="e">
        <f t="shared" si="925"/>
        <v>#N/A</v>
      </c>
      <c r="EW343" s="796" t="s">
        <v>757</v>
      </c>
      <c r="EX343" s="796" t="s">
        <v>757</v>
      </c>
      <c r="EY343" s="794" t="e">
        <v>#N/A</v>
      </c>
      <c r="EZ343" s="798">
        <v>2565.0000000039299</v>
      </c>
      <c r="FA343" s="712"/>
      <c r="FB343" s="712"/>
      <c r="FC343" s="712"/>
      <c r="FD343" s="712"/>
      <c r="FE343" s="712">
        <f>O343+Sheet1!CO343</f>
        <v>45.370000000002619</v>
      </c>
      <c r="FF343" s="712">
        <f>IF(Sheet1!AA343+AG343&lt;=Calculation!N343,AG343,Calculation!N343-Sheet1!AA343)</f>
        <v>18.900000000001455</v>
      </c>
      <c r="FG343" s="712">
        <f>(Sheet1!BP343+Sheet1!BO343)/694.4</f>
        <v>2.2936347926267282</v>
      </c>
      <c r="FH343" s="712"/>
      <c r="FI343" s="712"/>
      <c r="FJ343" s="712"/>
      <c r="FK343" s="712"/>
      <c r="FL343" s="714">
        <f t="shared" si="929"/>
        <v>40753</v>
      </c>
      <c r="FM343" s="714">
        <f t="shared" si="930"/>
        <v>40851</v>
      </c>
      <c r="FN343" s="712"/>
      <c r="FO343" s="712"/>
      <c r="FP343" s="712"/>
      <c r="FQ343" s="712"/>
      <c r="FR343" s="712"/>
      <c r="FS343" s="725">
        <f t="shared" si="931"/>
        <v>40603</v>
      </c>
      <c r="FT343" s="714">
        <f t="shared" si="932"/>
        <v>40709</v>
      </c>
      <c r="FU343" s="712">
        <f t="shared" si="931"/>
        <v>6518.9048239895692</v>
      </c>
      <c r="FV343" s="714">
        <f t="shared" si="933"/>
        <v>40722</v>
      </c>
      <c r="FW343" s="712">
        <f t="shared" si="931"/>
        <v>3259.4524119947846</v>
      </c>
      <c r="FX343" s="725">
        <f t="shared" si="931"/>
        <v>40851</v>
      </c>
      <c r="FZ343" s="697">
        <f t="shared" si="926"/>
        <v>0</v>
      </c>
      <c r="GA343" s="712" t="str">
        <f t="shared" si="899"/>
        <v/>
      </c>
      <c r="GB343" s="712">
        <f t="shared" si="900"/>
        <v>0</v>
      </c>
      <c r="GC343" s="712" t="str">
        <f t="shared" si="901"/>
        <v/>
      </c>
      <c r="GD343" s="712">
        <f>IF(GA343="P",Lookup!$M$12,IF(GA343="PP",Lookup!$M$13,IF(GA343="PPP",Lookup!$M$14,IF(GA343="T",Lookup!$M$15,IF(GA343="TP",Lookup!$M$16,IF(GA343="TPP",Lookup!$M$17,IF(GA343="TPPP",Lookup!$M$18,0)))))))*FZ343</f>
        <v>0</v>
      </c>
      <c r="GE343" s="712">
        <f t="shared" si="902"/>
        <v>0</v>
      </c>
      <c r="GF343" s="712">
        <f t="shared" si="903"/>
        <v>0</v>
      </c>
      <c r="GG343" s="712">
        <f t="shared" si="904"/>
        <v>0</v>
      </c>
      <c r="GH343" s="712"/>
      <c r="GI343" s="712">
        <f t="shared" si="905"/>
        <v>0</v>
      </c>
      <c r="GJ343" s="712" t="str">
        <f t="shared" si="906"/>
        <v/>
      </c>
      <c r="GK343" s="712">
        <f>IF(GA343="P",Lookup!$N$12,IF(GA343="PP",Lookup!$N$13,IF(GA343="PPP",Lookup!$N$14,IF(GA343="T",Lookup!$N$15,IF(GA343="TP",Lookup!$N$16,IF(GA343="TPP",Lookup!$N$17,IF(GA343="TPPP",Lookup!$N$18,0)))))))*FZ343</f>
        <v>0</v>
      </c>
      <c r="GL343" s="712">
        <f t="shared" si="907"/>
        <v>0</v>
      </c>
      <c r="GM343" s="712">
        <f t="shared" si="908"/>
        <v>0</v>
      </c>
      <c r="GN343" s="712">
        <f t="shared" si="909"/>
        <v>0</v>
      </c>
      <c r="GO343" s="712"/>
      <c r="GP343" s="712">
        <f t="shared" si="910"/>
        <v>0</v>
      </c>
      <c r="GQ343" s="712" t="str">
        <f t="shared" si="911"/>
        <v/>
      </c>
      <c r="GR343" s="712">
        <f>IF(GA343="P",Lookup!$N$12,IF(GA343="PP",Lookup!$N$13,IF(GA343="PPP",Lookup!$N$14,IF(GA343="T",Lookup!$N$15,IF(GA343="TP",Lookup!$N$16,IF(GA343="TPP",Lookup!$N$17,IF(GA343="TPPP",Lookup!$N$18,0)))))))*FZ343</f>
        <v>0</v>
      </c>
      <c r="GS343" s="697">
        <f t="shared" si="927"/>
        <v>0</v>
      </c>
      <c r="GT343" s="712">
        <f t="shared" si="912"/>
        <v>0</v>
      </c>
      <c r="GU343" s="712">
        <f t="shared" si="913"/>
        <v>0</v>
      </c>
      <c r="GV343" s="712"/>
      <c r="GW343" s="712">
        <f t="shared" si="914"/>
        <v>0</v>
      </c>
      <c r="GX343" s="712" t="str">
        <f t="shared" si="915"/>
        <v/>
      </c>
      <c r="GY343" s="712">
        <f>IF(GA343="P",Lookup!$N$12,IF(GA343="PP",Lookup!$N$13,IF(GA343="PPP",Lookup!$N$14,IF(GA343="T",Lookup!$N$15,IF(GA343="TP",Lookup!$N$16,IF(GA343="TPP",Lookup!$N$17,IF(GA343="TPPP",Lookup!$N$18,0)))))))*FZ343</f>
        <v>0</v>
      </c>
      <c r="GZ343" s="697">
        <f t="shared" si="928"/>
        <v>0</v>
      </c>
      <c r="HA343" s="712">
        <f t="shared" si="916"/>
        <v>0</v>
      </c>
      <c r="HB343" s="712">
        <f t="shared" si="917"/>
        <v>0</v>
      </c>
      <c r="HC343" s="712"/>
    </row>
    <row r="344" spans="1:211">
      <c r="A344" s="773" t="s">
        <v>9</v>
      </c>
      <c r="B344" s="708">
        <v>40873</v>
      </c>
      <c r="C344" s="709">
        <v>0.5</v>
      </c>
      <c r="D344" s="675">
        <f t="shared" si="840"/>
        <v>300</v>
      </c>
      <c r="E344" s="675">
        <f t="shared" si="841"/>
        <v>250</v>
      </c>
      <c r="F344" s="675">
        <v>250</v>
      </c>
      <c r="G344" s="712">
        <f>DH344+Sheet1!CV344</f>
        <v>1198.028240040499</v>
      </c>
      <c r="H344" s="712">
        <f t="shared" si="842"/>
        <v>507.44225436217852</v>
      </c>
      <c r="I344" s="711">
        <f>MAX(Sheet1!Z344-AJ344+(Sheet1!CW344-E344)*CFStoMGD,0)</f>
        <v>939.05924752475482</v>
      </c>
      <c r="J344" s="720">
        <f>IF(AND(B344&gt;=Calculation!FS344,B344&lt;=Calculation!FT344),IF(Sheet1!CX344&gt;=Calculation!D344,64.64,0),MAX(Sheet1!Z344-AJ344+(Sheet1!CX344-D344)*CFStoMGD,0))</f>
        <v>533.37591419142166</v>
      </c>
      <c r="K344" s="697">
        <f t="shared" si="843"/>
        <v>64.64</v>
      </c>
      <c r="L344" s="712">
        <f>Sheet1!AA344+Sheet1!AB344-Sheet1!L344+(Sheet1!CW344-F344)*CFStoMGD</f>
        <v>962.3706666666651</v>
      </c>
      <c r="M344" s="712">
        <f t="shared" si="844"/>
        <v>789.89356344942212</v>
      </c>
      <c r="N344" s="712">
        <f>IF(Sheet1!CW344&gt;=F344,MIN(73,MIN(MAX(L344,0),MAX(M344,0))),0)</f>
        <v>73</v>
      </c>
      <c r="O344" s="721">
        <f>Sheet1!AA344+Sheet1!AB344</f>
        <v>47.5</v>
      </c>
      <c r="P344" s="721">
        <f t="shared" si="845"/>
        <v>73.482499999999987</v>
      </c>
      <c r="Q344" s="712">
        <f>MIN(N344,Sheet1!AA344+AG344)</f>
        <v>44.491419141914605</v>
      </c>
      <c r="R344" s="712">
        <f t="shared" si="846"/>
        <v>3.0085808580853954</v>
      </c>
      <c r="S344" s="721">
        <f>Sheet1!Y344*MGDtoCFS</f>
        <v>40.809859999999993</v>
      </c>
      <c r="T344" s="721">
        <f>Sheet1!Z344*MGDtoCFS</f>
        <v>29.748809999999999</v>
      </c>
      <c r="U344" s="721">
        <f>Sheet1!AA344*MGDtoCFS</f>
        <v>40.686100000004501</v>
      </c>
      <c r="V344" s="721">
        <f>Sheet1!AB344*MGDtoCFS</f>
        <v>32.796399999995494</v>
      </c>
      <c r="W344" s="721">
        <f>Sheet1!L344*MGDtoCFS</f>
        <v>35.813050000002249</v>
      </c>
      <c r="X344" s="697">
        <f t="shared" si="847"/>
        <v>0</v>
      </c>
      <c r="Y344" s="712">
        <f t="shared" si="848"/>
        <v>0</v>
      </c>
      <c r="Z344" s="712">
        <f t="shared" si="849"/>
        <v>0</v>
      </c>
      <c r="AA344" s="712">
        <f t="shared" si="850"/>
        <v>0</v>
      </c>
      <c r="AB344" s="712">
        <f>(VLOOKUP(Sheet1!CY344,hhdcap_wcm,4)-(((VLOOKUP(Sheet1!CY344,hhdcap_wcm,3)-Sheet1!CY344)/(VLOOKUP(Sheet1!CY344,hhdcap_wcm,3)-VLOOKUP(Sheet1!CY344,hhdcap_wcm,1)))*(VLOOKUP(Sheet1!CY344,hhdcap_wcm,4)-VLOOKUP(Sheet1!CY344,hhdcap_wcm,2))))</f>
        <v>2353.4000000035016</v>
      </c>
      <c r="AC344" s="712">
        <f t="shared" si="851"/>
        <v>201.00000000030923</v>
      </c>
      <c r="AD344" s="712">
        <f t="shared" si="852"/>
        <v>0</v>
      </c>
      <c r="AE344" s="712">
        <f t="shared" si="853"/>
        <v>0</v>
      </c>
      <c r="AF344" s="712">
        <f>Sheet1!BA344+Sheet1!BB344+Sheet1!BN344+BT344</f>
        <v>18.2</v>
      </c>
      <c r="AG344" s="712">
        <f t="shared" si="854"/>
        <v>18.191419141911691</v>
      </c>
      <c r="AH344" s="712">
        <f>Sheet1!BA344+BT344</f>
        <v>0</v>
      </c>
      <c r="AI344" s="712">
        <f>Sheet1!BA344+Sheet1!BB344+BT344</f>
        <v>0</v>
      </c>
      <c r="AJ344" s="712">
        <f>IF((Sheet1!AA344+AG344+AX344+AZ344+BQ344+BS344+CL344+CN344)&lt;=N344,AG344+AX344+AZ344+BQ344+BS344+CL344+CN344,N344-Sheet1!AA344)</f>
        <v>18.191419141911691</v>
      </c>
      <c r="AK344" s="712">
        <f>IF(DR344&lt;K344,0,MAX(Sheet1!AA344+AG344-15/36*K344-N344,Sheet1!ED344,0))</f>
        <v>0</v>
      </c>
      <c r="AL344" s="712">
        <f>IF(OR(B344&gt;=FT344,B344&lt;FS344),0,15/36*K344-MAX(0,64.6-(137.6-(Sheet1!AA344+Sheet1!AB344))))</f>
        <v>0</v>
      </c>
      <c r="AM344" s="712">
        <f>Sheet1!CX344-110</f>
        <v>1013.5416666666667</v>
      </c>
      <c r="AN344" s="712">
        <f>Sheet1!CW344-265</f>
        <v>1436.1458333333333</v>
      </c>
      <c r="AO344" s="712">
        <f t="shared" si="934"/>
        <v>28.508580858085395</v>
      </c>
      <c r="AP344" s="712">
        <f t="shared" si="855"/>
        <v>0</v>
      </c>
      <c r="AQ344" s="712">
        <f t="shared" si="856"/>
        <v>0</v>
      </c>
      <c r="AR344" s="712">
        <f t="shared" si="857"/>
        <v>0</v>
      </c>
      <c r="AS344" s="712"/>
      <c r="AT344" s="712">
        <f ca="1">IF(B344&gt;Summary!$A$1,#N/A,AR344*MGtoAF)</f>
        <v>0</v>
      </c>
      <c r="AU344" s="712">
        <f>Sheet1!BG344+Sheet1!BH344+Sheet1!BI344-BC344</f>
        <v>0</v>
      </c>
      <c r="AV344" s="712">
        <f t="shared" si="858"/>
        <v>0</v>
      </c>
      <c r="AW344" s="712">
        <f>IF(Sheet1!EL344="FM",BC344,0)</f>
        <v>0</v>
      </c>
      <c r="AX344" s="712">
        <f t="shared" si="859"/>
        <v>0</v>
      </c>
      <c r="AY344" s="712">
        <f>IF(Sheet1!EL344="OTHER",BC344,0)</f>
        <v>0</v>
      </c>
      <c r="AZ344" s="712">
        <f t="shared" si="860"/>
        <v>0</v>
      </c>
      <c r="BA344" s="712">
        <f t="shared" si="861"/>
        <v>0</v>
      </c>
      <c r="BB344" s="712">
        <f t="shared" si="862"/>
        <v>0</v>
      </c>
      <c r="BC344" s="712">
        <f>IF(OR(Sheet1!EL344="FM", Sheet1!EL344="OTHER"),SUM(Sheet1!BG344:'Sheet1'!BI344),0)</f>
        <v>0</v>
      </c>
      <c r="BD344" s="697">
        <f>IF(AND($B344&gt;=$FL344,$B344&lt;=$FM344),MAX(AV344,Sheet1!EE344,0),MAX(AV344-(7/36)*$K344,0))</f>
        <v>0</v>
      </c>
      <c r="BE344" s="712">
        <f t="shared" si="863"/>
        <v>0</v>
      </c>
      <c r="BF344" s="697">
        <f t="shared" si="864"/>
        <v>0</v>
      </c>
      <c r="BG344" s="697">
        <f>IF(AND($O344&gt;0,Sheet1!EI344=1),(1-($O344-Sheet1!$L344)/$O344)*BB344,0)</f>
        <v>0</v>
      </c>
      <c r="BH344" s="697">
        <f>IF(AND(Sheet1!$L344=0,Sheet1!$L343=0, Calculation!BA344&lt;Sheet1!$EE344-0.1,Sheet1!$EE344=Sheet1!$EE343,Sheet1!$EE344=Sheet1!$EE345),Sheet1!$EE344,BB344-BG344)</f>
        <v>0</v>
      </c>
      <c r="BI344" s="712"/>
      <c r="BJ344" s="712"/>
      <c r="BK344" s="712">
        <f t="shared" si="865"/>
        <v>0</v>
      </c>
      <c r="BL344" s="712"/>
      <c r="BM344" s="712">
        <f ca="1">IF(B344&gt;Summary!$A$1,#N/A,BK344*MGtoAF)</f>
        <v>0</v>
      </c>
      <c r="BN344" s="712">
        <f>Sheet1!BC344+Sheet1!BD344+Sheet1!BE344+Sheet1!BF344-BW344-BX344</f>
        <v>0.68</v>
      </c>
      <c r="BO344" s="712">
        <f t="shared" si="866"/>
        <v>0.67967939651098641</v>
      </c>
      <c r="BP344" s="712">
        <f>IF(Sheet1!EM344="FM",BX344,0)</f>
        <v>0</v>
      </c>
      <c r="BQ344" s="712">
        <f t="shared" si="867"/>
        <v>0</v>
      </c>
      <c r="BR344" s="712">
        <f>IF(Sheet1!EM344="OTHER",BX344,0)</f>
        <v>0</v>
      </c>
      <c r="BS344" s="712">
        <f t="shared" si="868"/>
        <v>0</v>
      </c>
      <c r="BT344" s="712">
        <f t="shared" si="869"/>
        <v>0</v>
      </c>
      <c r="BU344" s="712">
        <f t="shared" si="870"/>
        <v>0.68</v>
      </c>
      <c r="BV344" s="712">
        <f t="shared" si="871"/>
        <v>0.67967939651098641</v>
      </c>
      <c r="BW344" s="712">
        <f>IF(Sheet1!EM344="CWA",SUM(Sheet1!BC344:'Sheet1'!BF344),0)</f>
        <v>0</v>
      </c>
      <c r="BX344" s="712">
        <f>IF(OR(Sheet1!EM344="FM", Sheet1!EM344="OTHER"),SUM(Sheet1!BC344:'Sheet1'!BF344),0)</f>
        <v>0</v>
      </c>
      <c r="BY344" s="697">
        <f>IF(AND($B344&gt;=$FL344,$B344&lt;=$FM344),MAX(BV344,Sheet1!EF344,0),MAX(BV344-(7/36)*$K344,0))</f>
        <v>0</v>
      </c>
      <c r="BZ344" s="712">
        <f t="shared" si="872"/>
        <v>0</v>
      </c>
      <c r="CA344" s="697">
        <f t="shared" si="873"/>
        <v>0.67967939651098641</v>
      </c>
      <c r="CB344" s="697">
        <f>IF(AND($O344&gt;0,Sheet1!EJ344=1),(1-($O344-Sheet1!$L344)/$O344)*BV344,0)</f>
        <v>0</v>
      </c>
      <c r="CC344" s="697">
        <f>IF(AND(Sheet1!$L344=0,Sheet1!$L343=0, Calculation!BU344&lt;Sheet1!EF344-0.1,Sheet1!EF344=Sheet1!EF343,Sheet1!EF344=Sheet1!EF345),Sheet1!EF344,BV344-CB344)</f>
        <v>0.67967939651098641</v>
      </c>
      <c r="CD344" s="697"/>
      <c r="CE344" s="712"/>
      <c r="CF344" s="712">
        <f t="shared" si="874"/>
        <v>0</v>
      </c>
      <c r="CG344" s="712"/>
      <c r="CH344" s="712">
        <f ca="1">IF(B344&gt;Summary!$A$1,#N/A,CF344*MGtoAF)</f>
        <v>0</v>
      </c>
      <c r="CI344" s="712">
        <f>Sheet1!BK344+Sheet1!BL344+Sheet1!BM344-Sheet1!EN344-CQ344</f>
        <v>2.33</v>
      </c>
      <c r="CJ344" s="712">
        <f t="shared" si="875"/>
        <v>2.328901461574409</v>
      </c>
      <c r="CK344" s="712">
        <f>IF(Sheet1!EN344="FM",CQ344,0)</f>
        <v>0</v>
      </c>
      <c r="CL344" s="712">
        <f t="shared" si="876"/>
        <v>0</v>
      </c>
      <c r="CM344" s="712">
        <f>IF(Sheet1!EN344="OTHER",CQ344,0)</f>
        <v>0</v>
      </c>
      <c r="CN344" s="712">
        <f t="shared" si="877"/>
        <v>0</v>
      </c>
      <c r="CO344" s="712">
        <f t="shared" si="878"/>
        <v>2.33</v>
      </c>
      <c r="CP344" s="712">
        <f t="shared" si="879"/>
        <v>2.328901461574409</v>
      </c>
      <c r="CQ344" s="712">
        <f>IF(OR(Sheet1!EN344="FM", Sheet1!EN344="OTHER"),SUM(Sheet1!BK344:'Sheet1'!BM344),0)</f>
        <v>0</v>
      </c>
      <c r="CR344" s="697">
        <f>IF(AND($B344&gt;=$FL344,$B344&lt;=$FM344),MAX($CJ344,Sheet1!EG344,0),MAX($CJ344-(7/36)*$K344,0))</f>
        <v>0</v>
      </c>
      <c r="CS344" s="712">
        <f t="shared" si="880"/>
        <v>0</v>
      </c>
      <c r="CT344" s="697">
        <f t="shared" si="881"/>
        <v>2.328901461574409</v>
      </c>
      <c r="CU344" s="697">
        <f>IF(AND($O344&gt;0,Sheet1!EK344=1),(1-($O344-Sheet1!$L344)/$O344)*CP344,0)</f>
        <v>0</v>
      </c>
      <c r="CV344" s="697">
        <f>IF(AND(Sheet1!$L344=0,Sheet1!$L343=0, Calculation!CO344&lt;Sheet1!$EG344-0.1,Sheet1!$EG344=Sheet1!$EG343,Sheet1!$EG344=Sheet1!$EG345),Sheet1!$EG344,CP344-CU344)</f>
        <v>2.328901461574409</v>
      </c>
      <c r="CW344" s="697"/>
      <c r="CX344" s="712">
        <f t="shared" si="882"/>
        <v>3.0100000000000002</v>
      </c>
      <c r="CY344" s="712">
        <f t="shared" si="883"/>
        <v>0</v>
      </c>
      <c r="CZ344" s="712">
        <f t="shared" si="884"/>
        <v>3.0085808580853954</v>
      </c>
      <c r="DA344" s="712">
        <f ca="1">IF(B344&gt;Summary!$A$1,#N/A,CY344*MGtoAF)</f>
        <v>0</v>
      </c>
      <c r="DB344" s="712">
        <f t="shared" si="885"/>
        <v>3.0100000000000002</v>
      </c>
      <c r="DC344" s="712">
        <f t="shared" si="886"/>
        <v>21.21</v>
      </c>
      <c r="DD344" s="712">
        <f>Sheet1!AB344-DC344</f>
        <v>-1.0000000002911236E-2</v>
      </c>
      <c r="DE344" s="712">
        <f t="shared" si="887"/>
        <v>-4.7147571913772914E-4</v>
      </c>
      <c r="DF344" s="712">
        <f>(VLOOKUP(Sheet1!CY344,hhdcap_wcm,4)-(((VLOOKUP(Sheet1!CY344,hhdcap_wcm,3)-Sheet1!CY344)/(VLOOKUP(Sheet1!CY344,hhdcap_wcm,3)-VLOOKUP(Sheet1!CY344,hhdcap_wcm,1)))*(VLOOKUP(Sheet1!CY344,hhdcap_wcm,4)-VLOOKUP(Sheet1!CY344,hhdcap_wcm,2))))</f>
        <v>2353.4000000035016</v>
      </c>
      <c r="DG344" s="712">
        <f t="shared" si="888"/>
        <v>201.00000000030923</v>
      </c>
      <c r="DH344" s="712">
        <f t="shared" si="889"/>
        <v>101.36157337383217</v>
      </c>
      <c r="DI344" s="712">
        <f>Sheet1!DW344*AFtoMG</f>
        <v>0</v>
      </c>
      <c r="DJ344" s="712">
        <f>Sheet1!DX344*AFtoMG</f>
        <v>0</v>
      </c>
      <c r="DK344" s="712">
        <f>Sheet1!DY344*AFtoMG</f>
        <v>0</v>
      </c>
      <c r="DL344" s="712">
        <f>Sheet1!DZ344*AFtoMG</f>
        <v>0</v>
      </c>
      <c r="DM344" s="712">
        <f t="shared" si="890"/>
        <v>0</v>
      </c>
      <c r="DN344" s="712">
        <f t="shared" si="891"/>
        <v>0</v>
      </c>
      <c r="DO344" s="712">
        <f t="shared" si="892"/>
        <v>0</v>
      </c>
      <c r="DP344" s="712">
        <f t="shared" si="893"/>
        <v>0</v>
      </c>
      <c r="DQ344" s="712"/>
      <c r="DR344" s="697">
        <f>IF(OR(B344&lt;FL344,B344&gt;FM344),(MIN(AV344+BO344+CJ344+MAX(Sheet1!AA344+AG344-73,0),K344)),0)</f>
        <v>3.0085808580853954</v>
      </c>
      <c r="DS344" s="712"/>
      <c r="DT344" s="712">
        <f t="shared" si="894"/>
        <v>3.0085808580853954</v>
      </c>
      <c r="DU344" s="712"/>
      <c r="DV344" s="712">
        <f>Sheet1!ED344+Sheet1!EE344+Sheet1!EF344+Sheet1!EG344</f>
        <v>8.5</v>
      </c>
      <c r="DW344" s="712"/>
      <c r="DX344" s="697">
        <f t="shared" si="895"/>
        <v>0</v>
      </c>
      <c r="DY344" s="712">
        <f>IF(Sheet1!FN344=1,SUM('Calculations II'!AT344:BA344)+'Calculations II'!BC344+Sheet1!BU344+'Calculations II'!BE344+AF344,SUM('Calculations II'!AT344:BA344)+'Calculations II'!BC344+Sheet1!BU344+'Calculations II'!BE344+AF344)</f>
        <v>41.479919999999993</v>
      </c>
      <c r="DZ344" s="712">
        <f>Sheet1!AA344+Sheet1!AB344+'Calculations II'!BC344</f>
        <v>47.5</v>
      </c>
      <c r="EA344" s="712"/>
      <c r="EB344" s="712"/>
      <c r="EC344" s="712">
        <f t="shared" si="896"/>
        <v>40873</v>
      </c>
      <c r="ED344" s="712">
        <f t="shared" si="897"/>
        <v>0</v>
      </c>
      <c r="EE344" s="712">
        <f t="shared" si="898"/>
        <v>0</v>
      </c>
      <c r="EF344" s="712">
        <f ca="1">IF(B344=TODAY(),0,-(VLOOKUP(Sheet1!BQ344,Lookup!$B$4:$J$236,2)-VLOOKUP(Sheet1!BQ343,Lookup!$B$4:$J$236,2))/1000000)</f>
        <v>0.2671</v>
      </c>
      <c r="EG344" s="712">
        <f ca="1">IF(B344=TODAY(),0,-(VLOOKUP(Sheet1!BR344,Lookup!$B$4:$J$236,3)-VLOOKUP(Sheet1!BR343,Lookup!$B$4:$J$236,3))/1000000)</f>
        <v>0.2666</v>
      </c>
      <c r="EH344" s="712">
        <f>-(VLOOKUP(Sheet1!BS344,Lookup!$B$4:$J$236,4)-VLOOKUP(Sheet1!BS343,Lookup!$B$4:$J$236,4))/1000000</f>
        <v>0</v>
      </c>
      <c r="EI344" s="697">
        <f t="shared" ca="1" si="922"/>
        <v>0.53370000000000006</v>
      </c>
      <c r="EJ344" s="712"/>
      <c r="EK344" s="712"/>
      <c r="EL344" s="712"/>
      <c r="EM344" s="712"/>
      <c r="EN344" s="712"/>
      <c r="EO344" s="712"/>
      <c r="EP344" s="712"/>
      <c r="EQ344" s="712"/>
      <c r="ER344" s="712"/>
      <c r="ES344" s="712"/>
      <c r="ET344" s="794">
        <f t="shared" si="919"/>
        <v>1081</v>
      </c>
      <c r="EU344" s="794" t="e">
        <f t="shared" si="924"/>
        <v>#N/A</v>
      </c>
      <c r="EV344" s="795" t="e">
        <f t="shared" si="925"/>
        <v>#N/A</v>
      </c>
      <c r="EW344" s="796" t="s">
        <v>757</v>
      </c>
      <c r="EX344" s="796" t="s">
        <v>757</v>
      </c>
      <c r="EY344" s="794" t="e">
        <v>#N/A</v>
      </c>
      <c r="EZ344" s="798">
        <v>2394.0000000035334</v>
      </c>
      <c r="FA344" s="712"/>
      <c r="FB344" s="712"/>
      <c r="FC344" s="712"/>
      <c r="FD344" s="712"/>
      <c r="FE344" s="712">
        <f>O344+Sheet1!CO344</f>
        <v>47.5</v>
      </c>
      <c r="FF344" s="712">
        <f>IF(Sheet1!AA344+AG344&lt;=Calculation!N344,AG344,Calculation!N344-Sheet1!AA344)</f>
        <v>18.191419141911691</v>
      </c>
      <c r="FG344" s="712">
        <f>(Sheet1!BP344+Sheet1!BO344)/694.4</f>
        <v>1.381336405529954</v>
      </c>
      <c r="FH344" s="712"/>
      <c r="FI344" s="712"/>
      <c r="FJ344" s="712"/>
      <c r="FK344" s="712"/>
      <c r="FL344" s="714">
        <f t="shared" si="929"/>
        <v>40753</v>
      </c>
      <c r="FM344" s="714">
        <f t="shared" si="930"/>
        <v>40851</v>
      </c>
      <c r="FN344" s="712"/>
      <c r="FO344" s="712"/>
      <c r="FP344" s="712"/>
      <c r="FQ344" s="712"/>
      <c r="FR344" s="712"/>
      <c r="FS344" s="725">
        <f t="shared" si="931"/>
        <v>40603</v>
      </c>
      <c r="FT344" s="714">
        <f t="shared" si="932"/>
        <v>40709</v>
      </c>
      <c r="FU344" s="712">
        <f t="shared" si="931"/>
        <v>6518.9048239895692</v>
      </c>
      <c r="FV344" s="714">
        <f t="shared" si="933"/>
        <v>40722</v>
      </c>
      <c r="FW344" s="712">
        <f t="shared" si="931"/>
        <v>3259.4524119947846</v>
      </c>
      <c r="FX344" s="725">
        <f t="shared" si="931"/>
        <v>40851</v>
      </c>
      <c r="FZ344" s="697">
        <f t="shared" si="926"/>
        <v>0</v>
      </c>
      <c r="GA344" s="712" t="str">
        <f t="shared" si="899"/>
        <v/>
      </c>
      <c r="GB344" s="712">
        <f t="shared" si="900"/>
        <v>0</v>
      </c>
      <c r="GC344" s="712" t="str">
        <f t="shared" si="901"/>
        <v/>
      </c>
      <c r="GD344" s="712">
        <f>IF(GA344="P",Lookup!$M$12,IF(GA344="PP",Lookup!$M$13,IF(GA344="PPP",Lookup!$M$14,IF(GA344="T",Lookup!$M$15,IF(GA344="TP",Lookup!$M$16,IF(GA344="TPP",Lookup!$M$17,IF(GA344="TPPP",Lookup!$M$18,0)))))))*FZ344</f>
        <v>0</v>
      </c>
      <c r="GE344" s="712">
        <f t="shared" si="902"/>
        <v>0</v>
      </c>
      <c r="GF344" s="712">
        <f t="shared" si="903"/>
        <v>0</v>
      </c>
      <c r="GG344" s="712">
        <f t="shared" si="904"/>
        <v>0</v>
      </c>
      <c r="GH344" s="712"/>
      <c r="GI344" s="712">
        <f t="shared" si="905"/>
        <v>0</v>
      </c>
      <c r="GJ344" s="712" t="str">
        <f t="shared" si="906"/>
        <v/>
      </c>
      <c r="GK344" s="712">
        <f>IF(GA344="P",Lookup!$N$12,IF(GA344="PP",Lookup!$N$13,IF(GA344="PPP",Lookup!$N$14,IF(GA344="T",Lookup!$N$15,IF(GA344="TP",Lookup!$N$16,IF(GA344="TPP",Lookup!$N$17,IF(GA344="TPPP",Lookup!$N$18,0)))))))*FZ344</f>
        <v>0</v>
      </c>
      <c r="GL344" s="712">
        <f t="shared" si="907"/>
        <v>0</v>
      </c>
      <c r="GM344" s="712">
        <f t="shared" si="908"/>
        <v>0</v>
      </c>
      <c r="GN344" s="712">
        <f t="shared" si="909"/>
        <v>0</v>
      </c>
      <c r="GO344" s="712"/>
      <c r="GP344" s="712">
        <f t="shared" si="910"/>
        <v>0</v>
      </c>
      <c r="GQ344" s="712" t="str">
        <f t="shared" si="911"/>
        <v/>
      </c>
      <c r="GR344" s="712">
        <f>IF(GA344="P",Lookup!$N$12,IF(GA344="PP",Lookup!$N$13,IF(GA344="PPP",Lookup!$N$14,IF(GA344="T",Lookup!$N$15,IF(GA344="TP",Lookup!$N$16,IF(GA344="TPP",Lookup!$N$17,IF(GA344="TPPP",Lookup!$N$18,0)))))))*FZ344</f>
        <v>0</v>
      </c>
      <c r="GS344" s="697">
        <f t="shared" si="927"/>
        <v>0</v>
      </c>
      <c r="GT344" s="712">
        <f t="shared" si="912"/>
        <v>0</v>
      </c>
      <c r="GU344" s="712">
        <f t="shared" si="913"/>
        <v>0</v>
      </c>
      <c r="GV344" s="712"/>
      <c r="GW344" s="712">
        <f t="shared" si="914"/>
        <v>0</v>
      </c>
      <c r="GX344" s="712" t="str">
        <f t="shared" si="915"/>
        <v/>
      </c>
      <c r="GY344" s="712">
        <f>IF(GA344="P",Lookup!$N$12,IF(GA344="PP",Lookup!$N$13,IF(GA344="PPP",Lookup!$N$14,IF(GA344="T",Lookup!$N$15,IF(GA344="TP",Lookup!$N$16,IF(GA344="TPP",Lookup!$N$17,IF(GA344="TPPP",Lookup!$N$18,0)))))))*FZ344</f>
        <v>0</v>
      </c>
      <c r="GZ344" s="697">
        <f t="shared" si="928"/>
        <v>0</v>
      </c>
      <c r="HA344" s="712">
        <f t="shared" si="916"/>
        <v>0</v>
      </c>
      <c r="HB344" s="712">
        <f t="shared" si="917"/>
        <v>0</v>
      </c>
      <c r="HC344" s="712"/>
    </row>
    <row r="345" spans="1:211">
      <c r="A345" s="773" t="s">
        <v>3</v>
      </c>
      <c r="B345" s="708">
        <v>40874</v>
      </c>
      <c r="C345" s="719">
        <v>0.5</v>
      </c>
      <c r="D345" s="675">
        <f t="shared" si="840"/>
        <v>300</v>
      </c>
      <c r="E345" s="675">
        <f t="shared" si="841"/>
        <v>250</v>
      </c>
      <c r="F345" s="675">
        <v>250</v>
      </c>
      <c r="G345" s="712">
        <f>DH345+Sheet1!CV345</f>
        <v>1417.769793242936</v>
      </c>
      <c r="H345" s="712">
        <f t="shared" si="842"/>
        <v>649.4831943522338</v>
      </c>
      <c r="I345" s="711">
        <f>MAX(Sheet1!Z345-AJ345+(Sheet1!CW345-E345)*CFStoMGD,0)</f>
        <v>941.60993180236164</v>
      </c>
      <c r="J345" s="720">
        <f>IF(AND(B345&gt;=Calculation!FS345,B345&lt;=Calculation!FT345),IF(Sheet1!CX345&gt;=Calculation!D345,64.64,0),MAX(Sheet1!Z345-AJ345+(Sheet1!CX345-D345)*CFStoMGD,0))</f>
        <v>659.55059846902839</v>
      </c>
      <c r="K345" s="697">
        <f t="shared" si="843"/>
        <v>64.64</v>
      </c>
      <c r="L345" s="712">
        <f>Sheet1!AA345+Sheet1!AB345-Sheet1!L345+(Sheet1!CW345-F345)*CFStoMGD</f>
        <v>969.73266666667132</v>
      </c>
      <c r="M345" s="712">
        <f t="shared" si="844"/>
        <v>934.77532223927858</v>
      </c>
      <c r="N345" s="712">
        <f>IF(Sheet1!CW345&gt;=F345,MIN(73,MIN(MAX(L345,0),MAX(M345,0))),0)</f>
        <v>73</v>
      </c>
      <c r="O345" s="721">
        <f>Sheet1!AA345+Sheet1!AB345</f>
        <v>51.380000000004657</v>
      </c>
      <c r="P345" s="721">
        <f t="shared" si="845"/>
        <v>79.484860000007188</v>
      </c>
      <c r="Q345" s="712">
        <f>MIN(N345,Sheet1!AA345+AG345)</f>
        <v>45.392734864303833</v>
      </c>
      <c r="R345" s="712">
        <f t="shared" si="846"/>
        <v>5.9872651357008202</v>
      </c>
      <c r="S345" s="721">
        <f>Sheet1!Y345*MGDtoCFS</f>
        <v>42.372329999999998</v>
      </c>
      <c r="T345" s="721">
        <f>Sheet1!Z345*MGDtoCFS</f>
        <v>39.510379999999998</v>
      </c>
      <c r="U345" s="721">
        <f>Sheet1!AA345*MGDtoCFS</f>
        <v>42.202159999998194</v>
      </c>
      <c r="V345" s="721">
        <f>Sheet1!AB345*MGDtoCFS</f>
        <v>37.282700000009001</v>
      </c>
      <c r="W345" s="721">
        <f>Sheet1!L345*MGDtoCFS</f>
        <v>24.489009999999887</v>
      </c>
      <c r="X345" s="697">
        <f t="shared" si="847"/>
        <v>0</v>
      </c>
      <c r="Y345" s="712">
        <f t="shared" si="848"/>
        <v>0</v>
      </c>
      <c r="Z345" s="712">
        <f t="shared" si="849"/>
        <v>0</v>
      </c>
      <c r="AA345" s="712">
        <f t="shared" si="850"/>
        <v>0</v>
      </c>
      <c r="AB345" s="712">
        <f>(VLOOKUP(Sheet1!CY345,hhdcap_wcm,4)-(((VLOOKUP(Sheet1!CY345,hhdcap_wcm,3)-Sheet1!CY345)/(VLOOKUP(Sheet1!CY345,hhdcap_wcm,3)-VLOOKUP(Sheet1!CY345,hhdcap_wcm,1)))*(VLOOKUP(Sheet1!CY345,hhdcap_wcm,4)-VLOOKUP(Sheet1!CY345,hhdcap_wcm,2))))</f>
        <v>2773.6700000042438</v>
      </c>
      <c r="AC345" s="712">
        <f t="shared" si="851"/>
        <v>420.27000000074213</v>
      </c>
      <c r="AD345" s="712">
        <f t="shared" si="852"/>
        <v>0</v>
      </c>
      <c r="AE345" s="712">
        <f t="shared" si="853"/>
        <v>0</v>
      </c>
      <c r="AF345" s="712">
        <f>Sheet1!BA345+Sheet1!BB345+Sheet1!BN345+BT345</f>
        <v>18</v>
      </c>
      <c r="AG345" s="712">
        <f t="shared" si="854"/>
        <v>18.112734864305001</v>
      </c>
      <c r="AH345" s="712">
        <f>Sheet1!BA345+BT345</f>
        <v>0</v>
      </c>
      <c r="AI345" s="712">
        <f>Sheet1!BA345+Sheet1!BB345+BT345</f>
        <v>0</v>
      </c>
      <c r="AJ345" s="712">
        <f>IF((Sheet1!AA345+AG345+AX345+AZ345+BQ345+BS345+CL345+CN345)&lt;=N345,AG345+AX345+AZ345+BQ345+BS345+CL345+CN345,N345-Sheet1!AA345)</f>
        <v>18.112734864305001</v>
      </c>
      <c r="AK345" s="712">
        <f>IF(DR345&lt;K345,0,MAX(Sheet1!AA345+AG345-15/36*K345-N345,Sheet1!ED345,0))</f>
        <v>0</v>
      </c>
      <c r="AL345" s="712">
        <f>IF(OR(B345&gt;=FT345,B345&lt;FS345),0,15/36*K345-MAX(0,64.6-(137.6-(Sheet1!AA345+Sheet1!AB345))))</f>
        <v>0</v>
      </c>
      <c r="AM345" s="712">
        <f>Sheet1!CX345-110</f>
        <v>1198.8541666666667</v>
      </c>
      <c r="AN345" s="712">
        <f>Sheet1!CW345-265</f>
        <v>1430.2083333333333</v>
      </c>
      <c r="AO345" s="712">
        <f t="shared" si="934"/>
        <v>27.607265135696167</v>
      </c>
      <c r="AP345" s="712">
        <f t="shared" si="855"/>
        <v>0</v>
      </c>
      <c r="AQ345" s="712">
        <f t="shared" si="856"/>
        <v>0</v>
      </c>
      <c r="AR345" s="712">
        <f t="shared" si="857"/>
        <v>0</v>
      </c>
      <c r="AS345" s="712"/>
      <c r="AT345" s="712">
        <f ca="1">IF(B345&gt;Summary!$A$1,#N/A,AR345*MGtoAF)</f>
        <v>0</v>
      </c>
      <c r="AU345" s="712">
        <f>Sheet1!BG345+Sheet1!BH345+Sheet1!BI345-BC345</f>
        <v>0</v>
      </c>
      <c r="AV345" s="712">
        <f t="shared" si="858"/>
        <v>0</v>
      </c>
      <c r="AW345" s="712">
        <f>IF(Sheet1!EL345="FM",BC345,0)</f>
        <v>0</v>
      </c>
      <c r="AX345" s="712">
        <f t="shared" si="859"/>
        <v>0</v>
      </c>
      <c r="AY345" s="712">
        <f>IF(Sheet1!EL345="OTHER",BC345,0)</f>
        <v>0</v>
      </c>
      <c r="AZ345" s="712">
        <f t="shared" si="860"/>
        <v>0</v>
      </c>
      <c r="BA345" s="712">
        <f t="shared" si="861"/>
        <v>0</v>
      </c>
      <c r="BB345" s="712">
        <f t="shared" si="862"/>
        <v>0</v>
      </c>
      <c r="BC345" s="712">
        <f>IF(OR(Sheet1!EL345="FM", Sheet1!EL345="OTHER"),SUM(Sheet1!BG345:'Sheet1'!BI345),0)</f>
        <v>0</v>
      </c>
      <c r="BD345" s="697">
        <f>IF(AND($B345&gt;=$FL345,$B345&lt;=$FM345),MAX(AV345,Sheet1!EE345,0),MAX(AV345-(7/36)*$K345,0))</f>
        <v>0</v>
      </c>
      <c r="BE345" s="712">
        <f t="shared" si="863"/>
        <v>0</v>
      </c>
      <c r="BF345" s="697">
        <f t="shared" si="864"/>
        <v>0</v>
      </c>
      <c r="BG345" s="697">
        <f>IF(AND($O345&gt;0,Sheet1!EI345=1),(1-($O345-Sheet1!$L345)/$O345)*BB345,0)</f>
        <v>0</v>
      </c>
      <c r="BH345" s="697">
        <f>IF(AND(Sheet1!$L345=0,Sheet1!$L344=0, Calculation!BA345&lt;Sheet1!$EE345-0.1,Sheet1!$EE345=Sheet1!$EE344,Sheet1!$EE345=Sheet1!$EE346),Sheet1!$EE345,BB345-BG345)</f>
        <v>0</v>
      </c>
      <c r="BI345" s="712"/>
      <c r="BJ345" s="712"/>
      <c r="BK345" s="712">
        <f t="shared" si="865"/>
        <v>0</v>
      </c>
      <c r="BL345" s="712"/>
      <c r="BM345" s="712">
        <f ca="1">IF(B345&gt;Summary!$A$1,#N/A,BK345*MGtoAF)</f>
        <v>0</v>
      </c>
      <c r="BN345" s="712">
        <f>Sheet1!BC345+Sheet1!BD345+Sheet1!BE345+Sheet1!BF345-BW345-BX345</f>
        <v>1.4</v>
      </c>
      <c r="BO345" s="712">
        <f t="shared" si="866"/>
        <v>1.4087682672237223</v>
      </c>
      <c r="BP345" s="712">
        <f>IF(Sheet1!EM345="FM",BX345,0)</f>
        <v>0</v>
      </c>
      <c r="BQ345" s="712">
        <f t="shared" si="867"/>
        <v>0</v>
      </c>
      <c r="BR345" s="712">
        <f>IF(Sheet1!EM345="OTHER",BX345,0)</f>
        <v>0</v>
      </c>
      <c r="BS345" s="712">
        <f t="shared" si="868"/>
        <v>0</v>
      </c>
      <c r="BT345" s="712">
        <f t="shared" si="869"/>
        <v>0</v>
      </c>
      <c r="BU345" s="712">
        <f t="shared" si="870"/>
        <v>1.4</v>
      </c>
      <c r="BV345" s="712">
        <f t="shared" si="871"/>
        <v>1.4087682672237223</v>
      </c>
      <c r="BW345" s="712">
        <f>IF(Sheet1!EM345="CWA",SUM(Sheet1!BC345:'Sheet1'!BF345),0)</f>
        <v>0</v>
      </c>
      <c r="BX345" s="712">
        <f>IF(OR(Sheet1!EM345="FM", Sheet1!EM345="OTHER"),SUM(Sheet1!BC345:'Sheet1'!BF345),0)</f>
        <v>0</v>
      </c>
      <c r="BY345" s="697">
        <f>IF(AND($B345&gt;=$FL345,$B345&lt;=$FM345),MAX(BV345,Sheet1!EF345,0),MAX(BV345-(7/36)*$K345,0))</f>
        <v>0</v>
      </c>
      <c r="BZ345" s="712">
        <f t="shared" si="872"/>
        <v>0</v>
      </c>
      <c r="CA345" s="697">
        <f t="shared" si="873"/>
        <v>1.4087682672237223</v>
      </c>
      <c r="CB345" s="697">
        <f>IF(AND($O345&gt;0,Sheet1!EJ345=1),(1-($O345-Sheet1!$L345)/$O345)*BV345,0)</f>
        <v>0</v>
      </c>
      <c r="CC345" s="697">
        <f>IF(AND(Sheet1!$L345=0,Sheet1!$L344=0, Calculation!BU345&lt;Sheet1!EF345-0.1,Sheet1!EF345=Sheet1!EF344,Sheet1!EF345=Sheet1!EF346),Sheet1!EF345,BV345-CB345)</f>
        <v>1.4087682672237223</v>
      </c>
      <c r="CD345" s="697"/>
      <c r="CE345" s="712"/>
      <c r="CF345" s="712">
        <f t="shared" si="874"/>
        <v>0</v>
      </c>
      <c r="CG345" s="712"/>
      <c r="CH345" s="712">
        <f ca="1">IF(B345&gt;Summary!$A$1,#N/A,CF345*MGtoAF)</f>
        <v>0</v>
      </c>
      <c r="CI345" s="712">
        <f>Sheet1!BK345+Sheet1!BL345+Sheet1!BM345-Sheet1!EN345-CQ345</f>
        <v>4.55</v>
      </c>
      <c r="CJ345" s="712">
        <f t="shared" si="875"/>
        <v>4.5784968684770977</v>
      </c>
      <c r="CK345" s="712">
        <f>IF(Sheet1!EN345="FM",CQ345,0)</f>
        <v>0</v>
      </c>
      <c r="CL345" s="712">
        <f t="shared" si="876"/>
        <v>0</v>
      </c>
      <c r="CM345" s="712">
        <f>IF(Sheet1!EN345="OTHER",CQ345,0)</f>
        <v>0</v>
      </c>
      <c r="CN345" s="712">
        <f t="shared" si="877"/>
        <v>0</v>
      </c>
      <c r="CO345" s="712">
        <f t="shared" si="878"/>
        <v>4.55</v>
      </c>
      <c r="CP345" s="712">
        <f t="shared" si="879"/>
        <v>4.5784968684770977</v>
      </c>
      <c r="CQ345" s="712">
        <f>IF(OR(Sheet1!EN345="FM", Sheet1!EN345="OTHER"),SUM(Sheet1!BK345:'Sheet1'!BM345),0)</f>
        <v>0</v>
      </c>
      <c r="CR345" s="697">
        <f>IF(AND($B345&gt;=$FL345,$B345&lt;=$FM345),MAX($CJ345,Sheet1!EG345,0),MAX($CJ345-(7/36)*$K345,0))</f>
        <v>0</v>
      </c>
      <c r="CS345" s="712">
        <f t="shared" si="880"/>
        <v>0</v>
      </c>
      <c r="CT345" s="697">
        <f t="shared" si="881"/>
        <v>4.5784968684770977</v>
      </c>
      <c r="CU345" s="697">
        <f>IF(AND($O345&gt;0,Sheet1!EK345=1),(1-($O345-Sheet1!$L345)/$O345)*CP345,0)</f>
        <v>0</v>
      </c>
      <c r="CV345" s="697">
        <f>IF(AND(Sheet1!$L345=0,Sheet1!$L344=0, Calculation!CO345&lt;Sheet1!$EG345-0.1,Sheet1!$EG345=Sheet1!$EG344,Sheet1!$EG345=Sheet1!$EG346),Sheet1!$EG345,CP345-CU345)</f>
        <v>4.5784968684770977</v>
      </c>
      <c r="CW345" s="697"/>
      <c r="CX345" s="712">
        <f t="shared" si="882"/>
        <v>5.9499999999999993</v>
      </c>
      <c r="CY345" s="712">
        <f t="shared" si="883"/>
        <v>0</v>
      </c>
      <c r="CZ345" s="712">
        <f t="shared" si="884"/>
        <v>5.9872651357008202</v>
      </c>
      <c r="DA345" s="712">
        <f ca="1">IF(B345&gt;Summary!$A$1,#N/A,CY345*MGtoAF)</f>
        <v>0</v>
      </c>
      <c r="DB345" s="712">
        <f t="shared" si="885"/>
        <v>5.9499999999999993</v>
      </c>
      <c r="DC345" s="712">
        <f t="shared" si="886"/>
        <v>23.95</v>
      </c>
      <c r="DD345" s="712">
        <f>Sheet1!AB345-DC345</f>
        <v>0.15000000000582148</v>
      </c>
      <c r="DE345" s="712">
        <f t="shared" si="887"/>
        <v>6.2630480169445293E-3</v>
      </c>
      <c r="DF345" s="712">
        <f>(VLOOKUP(Sheet1!CY345,hhdcap_wcm,4)-(((VLOOKUP(Sheet1!CY345,hhdcap_wcm,3)-Sheet1!CY345)/(VLOOKUP(Sheet1!CY345,hhdcap_wcm,3)-VLOOKUP(Sheet1!CY345,hhdcap_wcm,1)))*(VLOOKUP(Sheet1!CY345,hhdcap_wcm,4)-VLOOKUP(Sheet1!CY345,hhdcap_wcm,2))))</f>
        <v>2773.6700000042438</v>
      </c>
      <c r="DG345" s="712">
        <f t="shared" si="888"/>
        <v>420.27000000074213</v>
      </c>
      <c r="DH345" s="712">
        <f t="shared" si="889"/>
        <v>211.93645990960266</v>
      </c>
      <c r="DI345" s="712">
        <f>Sheet1!DW345*AFtoMG</f>
        <v>0</v>
      </c>
      <c r="DJ345" s="712">
        <f>Sheet1!DX345*AFtoMG</f>
        <v>0</v>
      </c>
      <c r="DK345" s="712">
        <f>Sheet1!DY345*AFtoMG</f>
        <v>0</v>
      </c>
      <c r="DL345" s="712">
        <f>Sheet1!DZ345*AFtoMG</f>
        <v>0</v>
      </c>
      <c r="DM345" s="712">
        <f t="shared" si="890"/>
        <v>0</v>
      </c>
      <c r="DN345" s="712">
        <f t="shared" si="891"/>
        <v>0</v>
      </c>
      <c r="DO345" s="712">
        <f t="shared" si="892"/>
        <v>0</v>
      </c>
      <c r="DP345" s="712">
        <f t="shared" si="893"/>
        <v>0</v>
      </c>
      <c r="DQ345" s="712"/>
      <c r="DR345" s="697">
        <f>IF(OR(B345&lt;FL345,B345&gt;FM345),(MIN(AV345+BO345+CJ345+MAX(Sheet1!AA345+AG345-73,0),K345)),0)</f>
        <v>5.9872651357008202</v>
      </c>
      <c r="DS345" s="712"/>
      <c r="DT345" s="712">
        <f t="shared" si="894"/>
        <v>5.9872651357008202</v>
      </c>
      <c r="DU345" s="712"/>
      <c r="DV345" s="712">
        <f>Sheet1!ED345+Sheet1!EE345+Sheet1!EF345+Sheet1!EG345</f>
        <v>8.5</v>
      </c>
      <c r="DW345" s="712"/>
      <c r="DX345" s="697">
        <f t="shared" si="895"/>
        <v>0</v>
      </c>
      <c r="DY345" s="712">
        <f>IF(Sheet1!FN345=1,SUM('Calculations II'!AT345:BA345)+'Calculations II'!BC345+Sheet1!BU345+'Calculations II'!BE345+AF345,SUM('Calculations II'!AT345:BA345)+'Calculations II'!BC345+Sheet1!BU345+'Calculations II'!BE345+AF345)</f>
        <v>42.917167999999997</v>
      </c>
      <c r="DZ345" s="712">
        <f>Sheet1!AA345+Sheet1!AB345+'Calculations II'!BC345</f>
        <v>51.380000000004657</v>
      </c>
      <c r="EA345" s="712"/>
      <c r="EB345" s="712"/>
      <c r="EC345" s="712">
        <f t="shared" si="896"/>
        <v>40874</v>
      </c>
      <c r="ED345" s="712">
        <f t="shared" si="897"/>
        <v>0</v>
      </c>
      <c r="EE345" s="712">
        <f t="shared" si="898"/>
        <v>0</v>
      </c>
      <c r="EF345" s="712">
        <f ca="1">IF(B345=TODAY(),0,-(VLOOKUP(Sheet1!BQ345,Lookup!$B$4:$J$236,2)-VLOOKUP(Sheet1!BQ344,Lookup!$B$4:$J$236,2))/1000000)</f>
        <v>0.2671</v>
      </c>
      <c r="EG345" s="712">
        <f ca="1">IF(B345=TODAY(),0,-(VLOOKUP(Sheet1!BR345,Lookup!$B$4:$J$236,3)-VLOOKUP(Sheet1!BR344,Lookup!$B$4:$J$236,3))/1000000)</f>
        <v>0.26619999999999999</v>
      </c>
      <c r="EH345" s="712">
        <f>-(VLOOKUP(Sheet1!BS345,Lookup!$B$4:$J$236,4)-VLOOKUP(Sheet1!BS344,Lookup!$B$4:$J$236,4))/1000000</f>
        <v>0</v>
      </c>
      <c r="EI345" s="697">
        <f t="shared" ca="1" si="922"/>
        <v>0.5333</v>
      </c>
      <c r="EJ345" s="712"/>
      <c r="EK345" s="712"/>
      <c r="EL345" s="712"/>
      <c r="EM345" s="712"/>
      <c r="EN345" s="712"/>
      <c r="EO345" s="712"/>
      <c r="EP345" s="712"/>
      <c r="EQ345" s="712"/>
      <c r="ER345" s="712"/>
      <c r="ES345" s="712"/>
      <c r="ET345" s="794">
        <f t="shared" si="919"/>
        <v>1079.8</v>
      </c>
      <c r="EU345" s="794" t="e">
        <f t="shared" si="924"/>
        <v>#N/A</v>
      </c>
      <c r="EV345" s="795" t="e">
        <f t="shared" si="925"/>
        <v>#N/A</v>
      </c>
      <c r="EW345" s="796" t="s">
        <v>757</v>
      </c>
      <c r="EX345" s="796" t="s">
        <v>757</v>
      </c>
      <c r="EY345" s="794" t="e">
        <v>#N/A</v>
      </c>
      <c r="EZ345" s="798">
        <v>2228.0000000032537</v>
      </c>
      <c r="FA345" s="712"/>
      <c r="FB345" s="712"/>
      <c r="FC345" s="712"/>
      <c r="FD345" s="712"/>
      <c r="FE345" s="712">
        <f>O345+Sheet1!CO345</f>
        <v>51.380000000004657</v>
      </c>
      <c r="FF345" s="712">
        <f>IF(Sheet1!AA345+AG345&lt;=Calculation!N345,AG345,Calculation!N345-Sheet1!AA345)</f>
        <v>18.112734864305001</v>
      </c>
      <c r="FG345" s="712">
        <f>(Sheet1!BP345+Sheet1!BO345)/694.4</f>
        <v>2.3405817972350231</v>
      </c>
      <c r="FH345" s="712"/>
      <c r="FI345" s="712"/>
      <c r="FJ345" s="712"/>
      <c r="FK345" s="712"/>
      <c r="FL345" s="714">
        <f t="shared" si="929"/>
        <v>40753</v>
      </c>
      <c r="FM345" s="714">
        <f t="shared" si="930"/>
        <v>40851</v>
      </c>
      <c r="FN345" s="712"/>
      <c r="FO345" s="712"/>
      <c r="FP345" s="712"/>
      <c r="FQ345" s="712"/>
      <c r="FR345" s="712"/>
      <c r="FS345" s="725">
        <f t="shared" si="931"/>
        <v>40603</v>
      </c>
      <c r="FT345" s="714">
        <f t="shared" si="932"/>
        <v>40709</v>
      </c>
      <c r="FU345" s="712">
        <f t="shared" si="931"/>
        <v>6518.9048239895692</v>
      </c>
      <c r="FV345" s="714">
        <f t="shared" si="933"/>
        <v>40722</v>
      </c>
      <c r="FW345" s="712">
        <f t="shared" si="931"/>
        <v>3259.4524119947846</v>
      </c>
      <c r="FX345" s="725">
        <f t="shared" si="931"/>
        <v>40851</v>
      </c>
      <c r="FZ345" s="697">
        <f t="shared" si="926"/>
        <v>0</v>
      </c>
      <c r="GA345" s="712" t="str">
        <f t="shared" si="899"/>
        <v/>
      </c>
      <c r="GB345" s="712">
        <f t="shared" si="900"/>
        <v>0</v>
      </c>
      <c r="GC345" s="712" t="str">
        <f t="shared" si="901"/>
        <v/>
      </c>
      <c r="GD345" s="712">
        <f>IF(GA345="P",Lookup!$M$12,IF(GA345="PP",Lookup!$M$13,IF(GA345="PPP",Lookup!$M$14,IF(GA345="T",Lookup!$M$15,IF(GA345="TP",Lookup!$M$16,IF(GA345="TPP",Lookup!$M$17,IF(GA345="TPPP",Lookup!$M$18,0)))))))*FZ345</f>
        <v>0</v>
      </c>
      <c r="GE345" s="712">
        <f t="shared" si="902"/>
        <v>0</v>
      </c>
      <c r="GF345" s="712">
        <f t="shared" si="903"/>
        <v>0</v>
      </c>
      <c r="GG345" s="712">
        <f t="shared" si="904"/>
        <v>0</v>
      </c>
      <c r="GH345" s="712"/>
      <c r="GI345" s="712">
        <f t="shared" si="905"/>
        <v>0</v>
      </c>
      <c r="GJ345" s="712" t="str">
        <f t="shared" si="906"/>
        <v/>
      </c>
      <c r="GK345" s="712">
        <f>IF(GA345="P",Lookup!$N$12,IF(GA345="PP",Lookup!$N$13,IF(GA345="PPP",Lookup!$N$14,IF(GA345="T",Lookup!$N$15,IF(GA345="TP",Lookup!$N$16,IF(GA345="TPP",Lookup!$N$17,IF(GA345="TPPP",Lookup!$N$18,0)))))))*FZ345</f>
        <v>0</v>
      </c>
      <c r="GL345" s="712">
        <f t="shared" si="907"/>
        <v>0</v>
      </c>
      <c r="GM345" s="712">
        <f t="shared" si="908"/>
        <v>0</v>
      </c>
      <c r="GN345" s="712">
        <f t="shared" si="909"/>
        <v>0</v>
      </c>
      <c r="GO345" s="712"/>
      <c r="GP345" s="712">
        <f t="shared" si="910"/>
        <v>0</v>
      </c>
      <c r="GQ345" s="712" t="str">
        <f t="shared" si="911"/>
        <v/>
      </c>
      <c r="GR345" s="712">
        <f>IF(GA345="P",Lookup!$N$12,IF(GA345="PP",Lookup!$N$13,IF(GA345="PPP",Lookup!$N$14,IF(GA345="T",Lookup!$N$15,IF(GA345="TP",Lookup!$N$16,IF(GA345="TPP",Lookup!$N$17,IF(GA345="TPPP",Lookup!$N$18,0)))))))*FZ345</f>
        <v>0</v>
      </c>
      <c r="GS345" s="697">
        <f t="shared" si="927"/>
        <v>0</v>
      </c>
      <c r="GT345" s="712">
        <f t="shared" si="912"/>
        <v>0</v>
      </c>
      <c r="GU345" s="712">
        <f t="shared" si="913"/>
        <v>0</v>
      </c>
      <c r="GV345" s="712"/>
      <c r="GW345" s="712">
        <f t="shared" si="914"/>
        <v>0</v>
      </c>
      <c r="GX345" s="712" t="str">
        <f t="shared" si="915"/>
        <v/>
      </c>
      <c r="GY345" s="712">
        <f>IF(GA345="P",Lookup!$N$12,IF(GA345="PP",Lookup!$N$13,IF(GA345="PPP",Lookup!$N$14,IF(GA345="T",Lookup!$N$15,IF(GA345="TP",Lookup!$N$16,IF(GA345="TPP",Lookup!$N$17,IF(GA345="TPPP",Lookup!$N$18,0)))))))*FZ345</f>
        <v>0</v>
      </c>
      <c r="GZ345" s="697">
        <f t="shared" si="928"/>
        <v>0</v>
      </c>
      <c r="HA345" s="712">
        <f t="shared" si="916"/>
        <v>0</v>
      </c>
      <c r="HB345" s="712">
        <f t="shared" si="917"/>
        <v>0</v>
      </c>
      <c r="HC345" s="712"/>
    </row>
    <row r="346" spans="1:211">
      <c r="A346" s="773" t="s">
        <v>4</v>
      </c>
      <c r="B346" s="708">
        <v>40875</v>
      </c>
      <c r="C346" s="719">
        <v>0.5</v>
      </c>
      <c r="D346" s="675">
        <f t="shared" si="840"/>
        <v>300</v>
      </c>
      <c r="E346" s="675">
        <f t="shared" si="841"/>
        <v>250</v>
      </c>
      <c r="F346" s="675">
        <v>250</v>
      </c>
      <c r="G346" s="712">
        <f>DH346+Sheet1!CV346</f>
        <v>1872.2125567325172</v>
      </c>
      <c r="H346" s="712">
        <f t="shared" si="842"/>
        <v>943.23499667189913</v>
      </c>
      <c r="I346" s="711">
        <f>MAX(Sheet1!Z346-AJ346+(Sheet1!CW346-E346)*CFStoMGD,0)</f>
        <v>1264.9020000000025</v>
      </c>
      <c r="J346" s="720">
        <f>IF(AND(B346&gt;=Calculation!FS346,B346&lt;=Calculation!FT346),IF(Sheet1!CX346&gt;=Calculation!D346,64.64,0),MAX(Sheet1!Z346-AJ346+(Sheet1!CX346-D346)*CFStoMGD,0))</f>
        <v>974.69533333333595</v>
      </c>
      <c r="K346" s="697">
        <f t="shared" si="843"/>
        <v>64.64</v>
      </c>
      <c r="L346" s="712">
        <f>Sheet1!AA346+Sheet1!AB346-Sheet1!L346+(Sheet1!CW346-F346)*CFStoMGD</f>
        <v>1264.1319999999962</v>
      </c>
      <c r="M346" s="712">
        <f t="shared" si="844"/>
        <v>1234.4021606053373</v>
      </c>
      <c r="N346" s="712">
        <f>IF(Sheet1!CW346&gt;=F346,MIN(73,MIN(MAX(L346,0),MAX(M346,0))),0)</f>
        <v>73</v>
      </c>
      <c r="O346" s="721">
        <f>Sheet1!AA346+Sheet1!AB346</f>
        <v>44.299999999995634</v>
      </c>
      <c r="P346" s="721">
        <f t="shared" si="845"/>
        <v>68.53209999999325</v>
      </c>
      <c r="Q346" s="712">
        <f>MIN(N346,Sheet1!AA346+AG346)</f>
        <v>44.299999999995634</v>
      </c>
      <c r="R346" s="712">
        <f t="shared" si="846"/>
        <v>0</v>
      </c>
      <c r="S346" s="721">
        <f>Sheet1!Y346*MGDtoCFS</f>
        <v>40.036359999999995</v>
      </c>
      <c r="T346" s="721">
        <f>Sheet1!Z346*MGDtoCFS</f>
        <v>28.712319999999998</v>
      </c>
      <c r="U346" s="721">
        <f>Sheet1!AA346*MGDtoCFS</f>
        <v>40.098239999997297</v>
      </c>
      <c r="V346" s="721">
        <f>Sheet1!AB346*MGDtoCFS</f>
        <v>28.433859999995946</v>
      </c>
      <c r="W346" s="721">
        <f>Sheet1!L346*MGDtoCFS</f>
        <v>69.444829999999101</v>
      </c>
      <c r="X346" s="697">
        <f t="shared" si="847"/>
        <v>0</v>
      </c>
      <c r="Y346" s="712">
        <f t="shared" si="848"/>
        <v>0</v>
      </c>
      <c r="Z346" s="712">
        <f t="shared" si="849"/>
        <v>0</v>
      </c>
      <c r="AA346" s="712">
        <f t="shared" si="850"/>
        <v>0</v>
      </c>
      <c r="AB346" s="712">
        <f>(VLOOKUP(Sheet1!CY346,hhdcap_wcm,4)-(((VLOOKUP(Sheet1!CY346,hhdcap_wcm,3)-Sheet1!CY346)/(VLOOKUP(Sheet1!CY346,hhdcap_wcm,3)-VLOOKUP(Sheet1!CY346,hhdcap_wcm,1)))*(VLOOKUP(Sheet1!CY346,hhdcap_wcm,4)-VLOOKUP(Sheet1!CY346,hhdcap_wcm,2))))</f>
        <v>3143.2600000048255</v>
      </c>
      <c r="AC346" s="712">
        <f t="shared" si="851"/>
        <v>369.59000000058177</v>
      </c>
      <c r="AD346" s="712">
        <f t="shared" si="852"/>
        <v>0</v>
      </c>
      <c r="AE346" s="712">
        <f t="shared" si="853"/>
        <v>0</v>
      </c>
      <c r="AF346" s="712">
        <f>Sheet1!BA346+Sheet1!BB346+Sheet1!BN346+BT346</f>
        <v>18.8</v>
      </c>
      <c r="AG346" s="712">
        <f t="shared" si="854"/>
        <v>18.379999999997381</v>
      </c>
      <c r="AH346" s="712">
        <f>Sheet1!BA346+BT346</f>
        <v>0</v>
      </c>
      <c r="AI346" s="712">
        <f>Sheet1!BA346+Sheet1!BB346+BT346</f>
        <v>0</v>
      </c>
      <c r="AJ346" s="712">
        <f>IF((Sheet1!AA346+AG346+AX346+AZ346+BQ346+BS346+CL346+CN346)&lt;=N346,AG346+AX346+AZ346+BQ346+BS346+CL346+CN346,N346-Sheet1!AA346)</f>
        <v>18.379999999997381</v>
      </c>
      <c r="AK346" s="712">
        <f>IF(DR346&lt;K346,0,MAX(Sheet1!AA346+AG346-15/36*K346-N346,Sheet1!ED346,0))</f>
        <v>0</v>
      </c>
      <c r="AL346" s="712">
        <f>IF(OR(B346&gt;=FT346,B346&lt;FS346),0,15/36*K346-MAX(0,64.6-(137.6-(Sheet1!AA346+Sheet1!AB346))))</f>
        <v>0</v>
      </c>
      <c r="AM346" s="712">
        <f>Sheet1!CX346-110</f>
        <v>1697.6041666666667</v>
      </c>
      <c r="AN346" s="712">
        <f>Sheet1!CW346-265</f>
        <v>1941.5625</v>
      </c>
      <c r="AO346" s="712">
        <f t="shared" si="934"/>
        <v>28.700000000004366</v>
      </c>
      <c r="AP346" s="712">
        <f t="shared" si="855"/>
        <v>0</v>
      </c>
      <c r="AQ346" s="712">
        <f t="shared" si="856"/>
        <v>0</v>
      </c>
      <c r="AR346" s="712">
        <f t="shared" si="857"/>
        <v>0</v>
      </c>
      <c r="AS346" s="712"/>
      <c r="AT346" s="712">
        <f ca="1">IF(B346&gt;Summary!$A$1,#N/A,AR346*MGtoAF)</f>
        <v>0</v>
      </c>
      <c r="AU346" s="712">
        <f>Sheet1!BG346+Sheet1!BH346+Sheet1!BI346-BC346</f>
        <v>0</v>
      </c>
      <c r="AV346" s="712">
        <f t="shared" si="858"/>
        <v>0</v>
      </c>
      <c r="AW346" s="712">
        <f>IF(Sheet1!EL346="FM",BC346,0)</f>
        <v>0</v>
      </c>
      <c r="AX346" s="712">
        <f t="shared" si="859"/>
        <v>0</v>
      </c>
      <c r="AY346" s="712">
        <f>IF(Sheet1!EL346="OTHER",BC346,0)</f>
        <v>0</v>
      </c>
      <c r="AZ346" s="712">
        <f t="shared" si="860"/>
        <v>0</v>
      </c>
      <c r="BA346" s="712">
        <f t="shared" si="861"/>
        <v>0</v>
      </c>
      <c r="BB346" s="712">
        <f t="shared" si="862"/>
        <v>0</v>
      </c>
      <c r="BC346" s="712">
        <f>IF(OR(Sheet1!EL346="FM", Sheet1!EL346="OTHER"),SUM(Sheet1!BG346:'Sheet1'!BI346),0)</f>
        <v>0</v>
      </c>
      <c r="BD346" s="697">
        <f>IF(AND($B346&gt;=$FL346,$B346&lt;=$FM346),MAX(AV346,Sheet1!EE346,0),MAX(AV346-(7/36)*$K346,0))</f>
        <v>0</v>
      </c>
      <c r="BE346" s="712">
        <f t="shared" si="863"/>
        <v>0</v>
      </c>
      <c r="BF346" s="697">
        <f t="shared" si="864"/>
        <v>0</v>
      </c>
      <c r="BG346" s="697">
        <f>IF(AND($O346&gt;0,Sheet1!EI346=1),(1-($O346-Sheet1!$L346)/$O346)*BB346,0)</f>
        <v>0</v>
      </c>
      <c r="BH346" s="697">
        <f>IF(AND(Sheet1!$L346=0,Sheet1!$L345=0, Calculation!BA346&lt;Sheet1!$EE346-0.1,Sheet1!$EE346=Sheet1!$EE345,Sheet1!$EE346=Sheet1!$EE347),Sheet1!$EE346,BB346-BG346)</f>
        <v>0</v>
      </c>
      <c r="BI346" s="712"/>
      <c r="BJ346" s="712"/>
      <c r="BK346" s="712">
        <f t="shared" si="865"/>
        <v>0</v>
      </c>
      <c r="BL346" s="712"/>
      <c r="BM346" s="712">
        <f ca="1">IF(B346&gt;Summary!$A$1,#N/A,BK346*MGtoAF)</f>
        <v>0</v>
      </c>
      <c r="BN346" s="712">
        <f>Sheet1!BC346+Sheet1!BD346+Sheet1!BE346+Sheet1!BF346-BW346-BX346</f>
        <v>0</v>
      </c>
      <c r="BO346" s="712">
        <f t="shared" si="866"/>
        <v>0</v>
      </c>
      <c r="BP346" s="712">
        <f>IF(Sheet1!EM346="FM",BX346,0)</f>
        <v>0</v>
      </c>
      <c r="BQ346" s="712">
        <f t="shared" si="867"/>
        <v>0</v>
      </c>
      <c r="BR346" s="712">
        <f>IF(Sheet1!EM346="OTHER",BX346,0)</f>
        <v>0</v>
      </c>
      <c r="BS346" s="712">
        <f t="shared" si="868"/>
        <v>0</v>
      </c>
      <c r="BT346" s="712">
        <f t="shared" si="869"/>
        <v>0</v>
      </c>
      <c r="BU346" s="712">
        <f t="shared" si="870"/>
        <v>0</v>
      </c>
      <c r="BV346" s="712">
        <f t="shared" si="871"/>
        <v>0</v>
      </c>
      <c r="BW346" s="712">
        <f>IF(Sheet1!EM346="CWA",SUM(Sheet1!BC346:'Sheet1'!BF346),0)</f>
        <v>0</v>
      </c>
      <c r="BX346" s="712">
        <f>IF(OR(Sheet1!EM346="FM", Sheet1!EM346="OTHER"),SUM(Sheet1!BC346:'Sheet1'!BF346),0)</f>
        <v>0</v>
      </c>
      <c r="BY346" s="697">
        <f>IF(AND($B346&gt;=$FL346,$B346&lt;=$FM346),MAX(BV346,Sheet1!EF346,0),MAX(BV346-(7/36)*$K346,0))</f>
        <v>0</v>
      </c>
      <c r="BZ346" s="712">
        <f t="shared" si="872"/>
        <v>0</v>
      </c>
      <c r="CA346" s="697">
        <f t="shared" si="873"/>
        <v>0</v>
      </c>
      <c r="CB346" s="697">
        <f>IF(AND($O346&gt;0,Sheet1!EJ346=1),(1-($O346-Sheet1!$L346)/$O346)*BV346,0)</f>
        <v>0</v>
      </c>
      <c r="CC346" s="697">
        <f>IF(AND(Sheet1!$L346=0,Sheet1!$L345=0, Calculation!BU346&lt;Sheet1!EF346-0.1,Sheet1!EF346=Sheet1!EF345,Sheet1!EF346=Sheet1!EF347),Sheet1!EF346,BV346-CB346)</f>
        <v>0</v>
      </c>
      <c r="CD346" s="697"/>
      <c r="CE346" s="712"/>
      <c r="CF346" s="712">
        <f t="shared" si="874"/>
        <v>0</v>
      </c>
      <c r="CG346" s="712"/>
      <c r="CH346" s="712">
        <f ca="1">IF(B346&gt;Summary!$A$1,#N/A,CF346*MGtoAF)</f>
        <v>0</v>
      </c>
      <c r="CI346" s="712">
        <f>Sheet1!BK346+Sheet1!BL346+Sheet1!BM346-Sheet1!EN346-CQ346</f>
        <v>0</v>
      </c>
      <c r="CJ346" s="712">
        <f t="shared" si="875"/>
        <v>0</v>
      </c>
      <c r="CK346" s="712">
        <f>IF(Sheet1!EN346="FM",CQ346,0)</f>
        <v>0</v>
      </c>
      <c r="CL346" s="712">
        <f t="shared" si="876"/>
        <v>0</v>
      </c>
      <c r="CM346" s="712">
        <f>IF(Sheet1!EN346="OTHER",CQ346,0)</f>
        <v>0</v>
      </c>
      <c r="CN346" s="712">
        <f t="shared" si="877"/>
        <v>0</v>
      </c>
      <c r="CO346" s="712">
        <f t="shared" si="878"/>
        <v>0</v>
      </c>
      <c r="CP346" s="712">
        <f t="shared" si="879"/>
        <v>0</v>
      </c>
      <c r="CQ346" s="712">
        <f>IF(OR(Sheet1!EN346="FM", Sheet1!EN346="OTHER"),SUM(Sheet1!BK346:'Sheet1'!BM346),0)</f>
        <v>0</v>
      </c>
      <c r="CR346" s="697">
        <f>IF(AND($B346&gt;=$FL346,$B346&lt;=$FM346),MAX($CJ346,Sheet1!EG346,0),MAX($CJ346-(7/36)*$K346,0))</f>
        <v>0</v>
      </c>
      <c r="CS346" s="712">
        <f t="shared" si="880"/>
        <v>0</v>
      </c>
      <c r="CT346" s="697">
        <f t="shared" si="881"/>
        <v>0</v>
      </c>
      <c r="CU346" s="697">
        <f>IF(AND($O346&gt;0,Sheet1!EK346=1),(1-($O346-Sheet1!$L346)/$O346)*CP346,0)</f>
        <v>0</v>
      </c>
      <c r="CV346" s="697">
        <f>IF(AND(Sheet1!$L346=0,Sheet1!$L345=0, Calculation!CO346&lt;Sheet1!$EG346-0.1,Sheet1!$EG346=Sheet1!$EG345,Sheet1!$EG346=Sheet1!$EG347),Sheet1!$EG346,CP346-CU346)</f>
        <v>0</v>
      </c>
      <c r="CW346" s="697"/>
      <c r="CX346" s="712">
        <f t="shared" si="882"/>
        <v>0</v>
      </c>
      <c r="CY346" s="712">
        <f t="shared" si="883"/>
        <v>0</v>
      </c>
      <c r="CZ346" s="712">
        <f t="shared" si="884"/>
        <v>0</v>
      </c>
      <c r="DA346" s="712">
        <f ca="1">IF(B346&gt;Summary!$A$1,#N/A,CY346*MGtoAF)</f>
        <v>0</v>
      </c>
      <c r="DB346" s="712">
        <f t="shared" si="885"/>
        <v>0</v>
      </c>
      <c r="DC346" s="712">
        <f t="shared" si="886"/>
        <v>18.8</v>
      </c>
      <c r="DD346" s="712">
        <f>Sheet1!AB346-DC346</f>
        <v>-0.42000000000262006</v>
      </c>
      <c r="DE346" s="712">
        <f t="shared" si="887"/>
        <v>-2.2340425532054259E-2</v>
      </c>
      <c r="DF346" s="712">
        <f>(VLOOKUP(Sheet1!CY346,hhdcap_wcm,4)-(((VLOOKUP(Sheet1!CY346,hhdcap_wcm,3)-Sheet1!CY346)/(VLOOKUP(Sheet1!CY346,hhdcap_wcm,3)-VLOOKUP(Sheet1!CY346,hhdcap_wcm,1)))*(VLOOKUP(Sheet1!CY346,hhdcap_wcm,4)-VLOOKUP(Sheet1!CY346,hhdcap_wcm,2))))</f>
        <v>3143.2600000048255</v>
      </c>
      <c r="DG346" s="712">
        <f t="shared" si="888"/>
        <v>369.59000000058177</v>
      </c>
      <c r="DH346" s="712">
        <f t="shared" si="889"/>
        <v>186.37922339918393</v>
      </c>
      <c r="DI346" s="712">
        <f>Sheet1!DW346*AFtoMG</f>
        <v>0</v>
      </c>
      <c r="DJ346" s="712">
        <f>Sheet1!DX346*AFtoMG</f>
        <v>0</v>
      </c>
      <c r="DK346" s="712">
        <f>Sheet1!DY346*AFtoMG</f>
        <v>0</v>
      </c>
      <c r="DL346" s="712">
        <f>Sheet1!DZ346*AFtoMG</f>
        <v>0</v>
      </c>
      <c r="DM346" s="712">
        <f t="shared" si="890"/>
        <v>0</v>
      </c>
      <c r="DN346" s="712">
        <f t="shared" si="891"/>
        <v>0</v>
      </c>
      <c r="DO346" s="712">
        <f t="shared" si="892"/>
        <v>0</v>
      </c>
      <c r="DP346" s="712">
        <f t="shared" si="893"/>
        <v>0</v>
      </c>
      <c r="DQ346" s="712"/>
      <c r="DR346" s="697">
        <f>IF(OR(B346&lt;FL346,B346&gt;FM346),(MIN(AV346+BO346+CJ346+MAX(Sheet1!AA346+AG346-73,0),K346)),0)</f>
        <v>0</v>
      </c>
      <c r="DS346" s="712"/>
      <c r="DT346" s="712">
        <f t="shared" si="894"/>
        <v>0</v>
      </c>
      <c r="DU346" s="712"/>
      <c r="DV346" s="712">
        <f>Sheet1!ED346+Sheet1!EE346+Sheet1!EF346+Sheet1!EG346</f>
        <v>8.5</v>
      </c>
      <c r="DW346" s="712"/>
      <c r="DX346" s="697">
        <f t="shared" si="895"/>
        <v>0</v>
      </c>
      <c r="DY346" s="712">
        <f>IF(Sheet1!FN346=1,SUM('Calculations II'!AT346:BA346)+'Calculations II'!BC346+Sheet1!BU346+'Calculations II'!BE346+AF346,SUM('Calculations II'!AT346:BA346)+'Calculations II'!BC346+Sheet1!BU346+'Calculations II'!BE346+AF346)</f>
        <v>41.818192000000003</v>
      </c>
      <c r="DZ346" s="712">
        <f>Sheet1!AA346+Sheet1!AB346+'Calculations II'!BC346</f>
        <v>44.299999999995634</v>
      </c>
      <c r="EA346" s="712"/>
      <c r="EB346" s="712"/>
      <c r="EC346" s="712">
        <f t="shared" si="896"/>
        <v>40875</v>
      </c>
      <c r="ED346" s="712">
        <f t="shared" si="897"/>
        <v>0</v>
      </c>
      <c r="EE346" s="712">
        <f t="shared" si="898"/>
        <v>0</v>
      </c>
      <c r="EF346" s="712">
        <f ca="1">IF(B346=TODAY(),0,-(VLOOKUP(Sheet1!BQ346,Lookup!$B$4:$J$236,2)-VLOOKUP(Sheet1!BQ345,Lookup!$B$4:$J$236,2))/1000000)</f>
        <v>0</v>
      </c>
      <c r="EG346" s="712">
        <f ca="1">IF(B346=TODAY(),0,-(VLOOKUP(Sheet1!BR346,Lookup!$B$4:$J$236,3)-VLOOKUP(Sheet1!BR345,Lookup!$B$4:$J$236,3))/1000000)</f>
        <v>0</v>
      </c>
      <c r="EH346" s="712">
        <f>-(VLOOKUP(Sheet1!BS346,Lookup!$B$4:$J$236,4)-VLOOKUP(Sheet1!BS345,Lookup!$B$4:$J$236,4))/1000000</f>
        <v>0</v>
      </c>
      <c r="EI346" s="697">
        <f t="shared" ca="1" si="922"/>
        <v>0</v>
      </c>
      <c r="EJ346" s="712"/>
      <c r="EK346" s="712"/>
      <c r="EL346" s="712"/>
      <c r="EM346" s="712"/>
      <c r="EN346" s="712"/>
      <c r="EO346" s="712"/>
      <c r="EP346" s="712"/>
      <c r="EQ346" s="712"/>
      <c r="ER346" s="712"/>
      <c r="ES346" s="712"/>
      <c r="ET346" s="794">
        <f t="shared" si="919"/>
        <v>1078.5999999999999</v>
      </c>
      <c r="EU346" s="794" t="e">
        <f t="shared" si="924"/>
        <v>#N/A</v>
      </c>
      <c r="EV346" s="795" t="e">
        <f t="shared" si="925"/>
        <v>#N/A</v>
      </c>
      <c r="EW346" s="796" t="s">
        <v>757</v>
      </c>
      <c r="EX346" s="796" t="s">
        <v>757</v>
      </c>
      <c r="EY346" s="794" t="e">
        <v>#N/A</v>
      </c>
      <c r="EZ346" s="798">
        <v>2069.000000003015</v>
      </c>
      <c r="FA346" s="712"/>
      <c r="FB346" s="712"/>
      <c r="FC346" s="712"/>
      <c r="FD346" s="712"/>
      <c r="FE346" s="712">
        <f>O346+Sheet1!CO346</f>
        <v>44.299999999995634</v>
      </c>
      <c r="FF346" s="712">
        <f>IF(Sheet1!AA346+AG346&lt;=Calculation!N346,AG346,Calculation!N346-Sheet1!AA346)</f>
        <v>18.379999999997381</v>
      </c>
      <c r="FG346" s="712">
        <f>(Sheet1!BP346+Sheet1!BO346)/694.4</f>
        <v>1.7644009216589862</v>
      </c>
      <c r="FH346" s="712"/>
      <c r="FI346" s="712"/>
      <c r="FJ346" s="712"/>
      <c r="FK346" s="712"/>
      <c r="FL346" s="714">
        <f t="shared" si="929"/>
        <v>40753</v>
      </c>
      <c r="FM346" s="714">
        <f t="shared" si="930"/>
        <v>40851</v>
      </c>
      <c r="FN346" s="712"/>
      <c r="FO346" s="712"/>
      <c r="FP346" s="712"/>
      <c r="FQ346" s="712"/>
      <c r="FR346" s="712"/>
      <c r="FS346" s="725">
        <f t="shared" ref="FS346:FX361" si="935">FS345</f>
        <v>40603</v>
      </c>
      <c r="FT346" s="714">
        <f t="shared" si="932"/>
        <v>40709</v>
      </c>
      <c r="FU346" s="712">
        <f t="shared" si="935"/>
        <v>6518.9048239895692</v>
      </c>
      <c r="FV346" s="714">
        <f t="shared" si="933"/>
        <v>40722</v>
      </c>
      <c r="FW346" s="712">
        <f t="shared" si="935"/>
        <v>3259.4524119947846</v>
      </c>
      <c r="FX346" s="725">
        <f t="shared" si="935"/>
        <v>40851</v>
      </c>
      <c r="FZ346" s="697">
        <f t="shared" si="926"/>
        <v>0</v>
      </c>
      <c r="GA346" s="712" t="str">
        <f t="shared" si="899"/>
        <v/>
      </c>
      <c r="GB346" s="712">
        <f t="shared" si="900"/>
        <v>0</v>
      </c>
      <c r="GC346" s="712" t="str">
        <f t="shared" si="901"/>
        <v/>
      </c>
      <c r="GD346" s="712">
        <f>IF(GA346="P",Lookup!$M$12,IF(GA346="PP",Lookup!$M$13,IF(GA346="PPP",Lookup!$M$14,IF(GA346="T",Lookup!$M$15,IF(GA346="TP",Lookup!$M$16,IF(GA346="TPP",Lookup!$M$17,IF(GA346="TPPP",Lookup!$M$18,0)))))))*FZ346</f>
        <v>0</v>
      </c>
      <c r="GE346" s="712">
        <f t="shared" si="902"/>
        <v>0</v>
      </c>
      <c r="GF346" s="712">
        <f t="shared" si="903"/>
        <v>0</v>
      </c>
      <c r="GG346" s="712">
        <f t="shared" si="904"/>
        <v>0</v>
      </c>
      <c r="GH346" s="712"/>
      <c r="GI346" s="712">
        <f t="shared" si="905"/>
        <v>0</v>
      </c>
      <c r="GJ346" s="712" t="str">
        <f t="shared" si="906"/>
        <v/>
      </c>
      <c r="GK346" s="712">
        <f>IF(GA346="P",Lookup!$N$12,IF(GA346="PP",Lookup!$N$13,IF(GA346="PPP",Lookup!$N$14,IF(GA346="T",Lookup!$N$15,IF(GA346="TP",Lookup!$N$16,IF(GA346="TPP",Lookup!$N$17,IF(GA346="TPPP",Lookup!$N$18,0)))))))*FZ346</f>
        <v>0</v>
      </c>
      <c r="GL346" s="712">
        <f t="shared" si="907"/>
        <v>0</v>
      </c>
      <c r="GM346" s="712">
        <f t="shared" si="908"/>
        <v>0</v>
      </c>
      <c r="GN346" s="712">
        <f t="shared" si="909"/>
        <v>0</v>
      </c>
      <c r="GO346" s="712"/>
      <c r="GP346" s="712">
        <f t="shared" si="910"/>
        <v>0</v>
      </c>
      <c r="GQ346" s="712" t="str">
        <f t="shared" si="911"/>
        <v/>
      </c>
      <c r="GR346" s="712">
        <f>IF(GA346="P",Lookup!$N$12,IF(GA346="PP",Lookup!$N$13,IF(GA346="PPP",Lookup!$N$14,IF(GA346="T",Lookup!$N$15,IF(GA346="TP",Lookup!$N$16,IF(GA346="TPP",Lookup!$N$17,IF(GA346="TPPP",Lookup!$N$18,0)))))))*FZ346</f>
        <v>0</v>
      </c>
      <c r="GS346" s="697">
        <f t="shared" si="927"/>
        <v>0</v>
      </c>
      <c r="GT346" s="712">
        <f t="shared" si="912"/>
        <v>0</v>
      </c>
      <c r="GU346" s="712">
        <f t="shared" si="913"/>
        <v>0</v>
      </c>
      <c r="GV346" s="712"/>
      <c r="GW346" s="712">
        <f t="shared" si="914"/>
        <v>0</v>
      </c>
      <c r="GX346" s="712" t="str">
        <f t="shared" si="915"/>
        <v/>
      </c>
      <c r="GY346" s="712">
        <f>IF(GA346="P",Lookup!$N$12,IF(GA346="PP",Lookup!$N$13,IF(GA346="PPP",Lookup!$N$14,IF(GA346="T",Lookup!$N$15,IF(GA346="TP",Lookup!$N$16,IF(GA346="TPP",Lookup!$N$17,IF(GA346="TPPP",Lookup!$N$18,0)))))))*FZ346</f>
        <v>0</v>
      </c>
      <c r="GZ346" s="697">
        <f t="shared" si="928"/>
        <v>0</v>
      </c>
      <c r="HA346" s="712">
        <f t="shared" si="916"/>
        <v>0</v>
      </c>
      <c r="HB346" s="712">
        <f t="shared" si="917"/>
        <v>0</v>
      </c>
      <c r="HC346" s="712"/>
    </row>
    <row r="347" spans="1:211">
      <c r="A347" s="773" t="s">
        <v>5</v>
      </c>
      <c r="B347" s="708">
        <v>40876</v>
      </c>
      <c r="C347" s="709">
        <v>0.5</v>
      </c>
      <c r="D347" s="675">
        <f t="shared" si="840"/>
        <v>300</v>
      </c>
      <c r="E347" s="675">
        <f t="shared" si="841"/>
        <v>250</v>
      </c>
      <c r="F347" s="675">
        <v>250</v>
      </c>
      <c r="G347" s="712">
        <f>DH347+Sheet1!CV347</f>
        <v>1483.5533282898884</v>
      </c>
      <c r="H347" s="712">
        <f t="shared" si="842"/>
        <v>692.00567140658382</v>
      </c>
      <c r="I347" s="711">
        <f>MAX(Sheet1!Z347-AJ347+(Sheet1!CW347-E347)*CFStoMGD,0)</f>
        <v>1413.4733333333331</v>
      </c>
      <c r="J347" s="720">
        <f>IF(AND(B347&gt;=Calculation!FS347,B347&lt;=Calculation!FT347),IF(Sheet1!CX347&gt;=Calculation!D347,64.64,0),MAX(Sheet1!Z347-AJ347+(Sheet1!CX347-D347)*CFStoMGD,0))</f>
        <v>1040.7833333333333</v>
      </c>
      <c r="K347" s="697">
        <f t="shared" si="843"/>
        <v>64.64</v>
      </c>
      <c r="L347" s="712">
        <f>Sheet1!AA347+Sheet1!AB347-Sheet1!L347+(Sheet1!CW347-F347)*CFStoMGD</f>
        <v>1432.2333333333331</v>
      </c>
      <c r="M347" s="712">
        <f t="shared" si="844"/>
        <v>978.14824883471556</v>
      </c>
      <c r="N347" s="712">
        <f>IF(Sheet1!CW347&gt;=F347,MIN(73,MIN(MAX(L347,0),MAX(M347,0))),0)</f>
        <v>73</v>
      </c>
      <c r="O347" s="721">
        <f>Sheet1!AA347+Sheet1!AB347</f>
        <v>44.57</v>
      </c>
      <c r="P347" s="721">
        <f t="shared" si="845"/>
        <v>68.949790000000007</v>
      </c>
      <c r="Q347" s="712">
        <f>MIN(N347,Sheet1!AA347+AG347)</f>
        <v>44.57</v>
      </c>
      <c r="R347" s="712">
        <f t="shared" si="846"/>
        <v>0</v>
      </c>
      <c r="S347" s="721">
        <f>Sheet1!Y347*MGDtoCFS</f>
        <v>39.881659999999997</v>
      </c>
      <c r="T347" s="721">
        <f>Sheet1!Z347*MGDtoCFS</f>
        <v>29.36206</v>
      </c>
      <c r="U347" s="721">
        <f>Sheet1!AA347*MGDtoCFS</f>
        <v>39.293799999999997</v>
      </c>
      <c r="V347" s="721">
        <f>Sheet1!AB347*MGDtoCFS</f>
        <v>29.655990000000003</v>
      </c>
      <c r="W347" s="721">
        <f>Sheet1!L347*MGDtoCFS</f>
        <v>40.222000000000001</v>
      </c>
      <c r="X347" s="697">
        <f t="shared" si="847"/>
        <v>0</v>
      </c>
      <c r="Y347" s="712">
        <f t="shared" si="848"/>
        <v>0</v>
      </c>
      <c r="Z347" s="712">
        <f t="shared" si="849"/>
        <v>0</v>
      </c>
      <c r="AA347" s="712">
        <f t="shared" si="850"/>
        <v>0</v>
      </c>
      <c r="AB347" s="712">
        <f>(VLOOKUP(Sheet1!CY347,hhdcap_wcm,4)-(((VLOOKUP(Sheet1!CY347,hhdcap_wcm,3)-Sheet1!CY347)/(VLOOKUP(Sheet1!CY347,hhdcap_wcm,3)-VLOOKUP(Sheet1!CY347,hhdcap_wcm,1)))*(VLOOKUP(Sheet1!CY347,hhdcap_wcm,4)-VLOOKUP(Sheet1!CY347,hhdcap_wcm,2))))</f>
        <v>2462.0400000036743</v>
      </c>
      <c r="AC347" s="712">
        <f t="shared" si="851"/>
        <v>-681.22000000115122</v>
      </c>
      <c r="AD347" s="712">
        <f t="shared" si="852"/>
        <v>0</v>
      </c>
      <c r="AE347" s="712">
        <f t="shared" si="853"/>
        <v>0</v>
      </c>
      <c r="AF347" s="712">
        <f>Sheet1!BA347+Sheet1!BB347+Sheet1!BN347+BT347</f>
        <v>18.899999999999999</v>
      </c>
      <c r="AG347" s="712">
        <f t="shared" si="854"/>
        <v>19.170000000000002</v>
      </c>
      <c r="AH347" s="712">
        <f>Sheet1!BA347+BT347</f>
        <v>0</v>
      </c>
      <c r="AI347" s="712">
        <f>Sheet1!BA347+Sheet1!BB347+BT347</f>
        <v>0</v>
      </c>
      <c r="AJ347" s="712">
        <f>IF((Sheet1!AA347+AG347+AX347+AZ347+BQ347+BS347+CL347+CN347)&lt;=N347,AG347+AX347+AZ347+BQ347+BS347+CL347+CN347,N347-Sheet1!AA347)</f>
        <v>19.170000000000002</v>
      </c>
      <c r="AK347" s="712">
        <f>IF(DR347&lt;K347,0,MAX(Sheet1!AA347+AG347-15/36*K347-N347,Sheet1!ED347,0))</f>
        <v>0</v>
      </c>
      <c r="AL347" s="712">
        <f>IF(OR(B347&gt;=FT347,B347&lt;FS347),0,15/36*K347-MAX(0,64.6-(137.6-(Sheet1!AA347+Sheet1!AB347))))</f>
        <v>0</v>
      </c>
      <c r="AM347" s="712">
        <f>Sheet1!CX347-110</f>
        <v>1800.4166666666667</v>
      </c>
      <c r="AN347" s="712">
        <f>Sheet1!CW347-265</f>
        <v>2171.9791666666665</v>
      </c>
      <c r="AO347" s="712">
        <f t="shared" si="934"/>
        <v>28.43</v>
      </c>
      <c r="AP347" s="712">
        <f t="shared" si="855"/>
        <v>0</v>
      </c>
      <c r="AQ347" s="712">
        <f t="shared" si="856"/>
        <v>0</v>
      </c>
      <c r="AR347" s="712">
        <f t="shared" si="857"/>
        <v>0</v>
      </c>
      <c r="AS347" s="712"/>
      <c r="AT347" s="712">
        <f ca="1">IF(B347&gt;Summary!$A$1,#N/A,AR347*MGtoAF)</f>
        <v>0</v>
      </c>
      <c r="AU347" s="712">
        <f>Sheet1!BG347+Sheet1!BH347+Sheet1!BI347-BC347</f>
        <v>0</v>
      </c>
      <c r="AV347" s="712">
        <f t="shared" si="858"/>
        <v>0</v>
      </c>
      <c r="AW347" s="712">
        <f>IF(Sheet1!EL347="FM",BC347,0)</f>
        <v>0</v>
      </c>
      <c r="AX347" s="712">
        <f t="shared" si="859"/>
        <v>0</v>
      </c>
      <c r="AY347" s="712">
        <f>IF(Sheet1!EL347="OTHER",BC347,0)</f>
        <v>0</v>
      </c>
      <c r="AZ347" s="712">
        <f t="shared" si="860"/>
        <v>0</v>
      </c>
      <c r="BA347" s="712">
        <f t="shared" si="861"/>
        <v>0</v>
      </c>
      <c r="BB347" s="712">
        <f t="shared" si="862"/>
        <v>0</v>
      </c>
      <c r="BC347" s="712">
        <f>IF(OR(Sheet1!EL347="FM", Sheet1!EL347="OTHER"),SUM(Sheet1!BG347:'Sheet1'!BI347),0)</f>
        <v>0</v>
      </c>
      <c r="BD347" s="697">
        <f>IF(AND($B347&gt;=$FL347,$B347&lt;=$FM347),MAX(AV347,Sheet1!EE347,0),MAX(AV347-(7/36)*$K347,0))</f>
        <v>0</v>
      </c>
      <c r="BE347" s="712">
        <f t="shared" si="863"/>
        <v>0</v>
      </c>
      <c r="BF347" s="697">
        <f t="shared" si="864"/>
        <v>0</v>
      </c>
      <c r="BG347" s="697">
        <f>IF(AND($O347&gt;0,Sheet1!EI347=1),(1-($O347-Sheet1!$L347)/$O347)*BB347,0)</f>
        <v>0</v>
      </c>
      <c r="BH347" s="697">
        <f>IF(AND(Sheet1!$L347=0,Sheet1!$L346=0, Calculation!BA347&lt;Sheet1!$EE347-0.1,Sheet1!$EE347=Sheet1!$EE346,Sheet1!$EE347=Sheet1!$EE348),Sheet1!$EE347,BB347-BG347)</f>
        <v>0</v>
      </c>
      <c r="BI347" s="712"/>
      <c r="BJ347" s="712"/>
      <c r="BK347" s="712">
        <f t="shared" si="865"/>
        <v>0</v>
      </c>
      <c r="BL347" s="712"/>
      <c r="BM347" s="712">
        <f ca="1">IF(B347&gt;Summary!$A$1,#N/A,BK347*MGtoAF)</f>
        <v>0</v>
      </c>
      <c r="BN347" s="712">
        <f>Sheet1!BC347+Sheet1!BD347+Sheet1!BE347+Sheet1!BF347-BW347-BX347</f>
        <v>0</v>
      </c>
      <c r="BO347" s="712">
        <f t="shared" si="866"/>
        <v>0</v>
      </c>
      <c r="BP347" s="712">
        <f>IF(Sheet1!EM347="FM",BX347,0)</f>
        <v>0</v>
      </c>
      <c r="BQ347" s="712">
        <f t="shared" si="867"/>
        <v>0</v>
      </c>
      <c r="BR347" s="712">
        <f>IF(Sheet1!EM347="OTHER",BX347,0)</f>
        <v>0</v>
      </c>
      <c r="BS347" s="712">
        <f t="shared" si="868"/>
        <v>0</v>
      </c>
      <c r="BT347" s="712">
        <f t="shared" si="869"/>
        <v>0</v>
      </c>
      <c r="BU347" s="712">
        <f t="shared" si="870"/>
        <v>0</v>
      </c>
      <c r="BV347" s="712">
        <f t="shared" si="871"/>
        <v>0</v>
      </c>
      <c r="BW347" s="712">
        <f>IF(Sheet1!EM347="CWA",SUM(Sheet1!BC347:'Sheet1'!BF347),0)</f>
        <v>0</v>
      </c>
      <c r="BX347" s="712">
        <f>IF(OR(Sheet1!EM347="FM", Sheet1!EM347="OTHER"),SUM(Sheet1!BC347:'Sheet1'!BF347),0)</f>
        <v>0</v>
      </c>
      <c r="BY347" s="697">
        <f>IF(AND($B347&gt;=$FL347,$B347&lt;=$FM347),MAX(BV347,Sheet1!EF347,0),MAX(BV347-(7/36)*$K347,0))</f>
        <v>0</v>
      </c>
      <c r="BZ347" s="712">
        <f t="shared" si="872"/>
        <v>0</v>
      </c>
      <c r="CA347" s="697">
        <f t="shared" si="873"/>
        <v>0</v>
      </c>
      <c r="CB347" s="697">
        <f>IF(AND($O347&gt;0,Sheet1!EJ347=1),(1-($O347-Sheet1!$L347)/$O347)*BV347,0)</f>
        <v>0</v>
      </c>
      <c r="CC347" s="697">
        <f>IF(AND(Sheet1!$L347=0,Sheet1!$L346=0, Calculation!BU347&lt;Sheet1!EF347-0.1,Sheet1!EF347=Sheet1!EF346,Sheet1!EF347=Sheet1!EF348),Sheet1!EF347,BV347-CB347)</f>
        <v>0</v>
      </c>
      <c r="CD347" s="697"/>
      <c r="CE347" s="712"/>
      <c r="CF347" s="712">
        <f t="shared" si="874"/>
        <v>0</v>
      </c>
      <c r="CG347" s="712"/>
      <c r="CH347" s="712">
        <f ca="1">IF(B347&gt;Summary!$A$1,#N/A,CF347*MGtoAF)</f>
        <v>0</v>
      </c>
      <c r="CI347" s="712">
        <f>Sheet1!BK347+Sheet1!BL347+Sheet1!BM347-Sheet1!EN347-CQ347</f>
        <v>0</v>
      </c>
      <c r="CJ347" s="712">
        <f t="shared" si="875"/>
        <v>0</v>
      </c>
      <c r="CK347" s="712">
        <f>IF(Sheet1!EN347="FM",CQ347,0)</f>
        <v>0</v>
      </c>
      <c r="CL347" s="712">
        <f t="shared" si="876"/>
        <v>0</v>
      </c>
      <c r="CM347" s="712">
        <f>IF(Sheet1!EN347="OTHER",CQ347,0)</f>
        <v>0</v>
      </c>
      <c r="CN347" s="712">
        <f t="shared" si="877"/>
        <v>0</v>
      </c>
      <c r="CO347" s="712">
        <f t="shared" si="878"/>
        <v>0</v>
      </c>
      <c r="CP347" s="712">
        <f t="shared" si="879"/>
        <v>0</v>
      </c>
      <c r="CQ347" s="712">
        <f>IF(OR(Sheet1!EN347="FM", Sheet1!EN347="OTHER"),SUM(Sheet1!BK347:'Sheet1'!BM347),0)</f>
        <v>0</v>
      </c>
      <c r="CR347" s="697">
        <f>IF(AND($B347&gt;=$FL347,$B347&lt;=$FM347),MAX($CJ347,Sheet1!EG347,0),MAX($CJ347-(7/36)*$K347,0))</f>
        <v>0</v>
      </c>
      <c r="CS347" s="712">
        <f t="shared" si="880"/>
        <v>0</v>
      </c>
      <c r="CT347" s="697">
        <f t="shared" si="881"/>
        <v>0</v>
      </c>
      <c r="CU347" s="697">
        <f>IF(AND($O347&gt;0,Sheet1!EK347=1),(1-($O347-Sheet1!$L347)/$O347)*CP347,0)</f>
        <v>0</v>
      </c>
      <c r="CV347" s="697">
        <f>IF(AND(Sheet1!$L347=0,Sheet1!$L346=0, Calculation!CO347&lt;Sheet1!$EG347-0.1,Sheet1!$EG347=Sheet1!$EG346,Sheet1!$EG347=Sheet1!$EG348),Sheet1!$EG347,CP347-CU347)</f>
        <v>0</v>
      </c>
      <c r="CW347" s="697"/>
      <c r="CX347" s="712">
        <f t="shared" si="882"/>
        <v>0</v>
      </c>
      <c r="CY347" s="712">
        <f t="shared" si="883"/>
        <v>0</v>
      </c>
      <c r="CZ347" s="712">
        <f t="shared" si="884"/>
        <v>0</v>
      </c>
      <c r="DA347" s="712">
        <f ca="1">IF(B347&gt;Summary!$A$1,#N/A,CY347*MGtoAF)</f>
        <v>0</v>
      </c>
      <c r="DB347" s="712">
        <f t="shared" si="885"/>
        <v>0</v>
      </c>
      <c r="DC347" s="712">
        <f t="shared" si="886"/>
        <v>18.899999999999999</v>
      </c>
      <c r="DD347" s="712">
        <f>Sheet1!AB347-DC347</f>
        <v>0.27000000000000313</v>
      </c>
      <c r="DE347" s="712">
        <f t="shared" si="887"/>
        <v>1.4285714285714452E-2</v>
      </c>
      <c r="DF347" s="712">
        <f>(VLOOKUP(Sheet1!CY347,hhdcap_wcm,4)-(((VLOOKUP(Sheet1!CY347,hhdcap_wcm,3)-Sheet1!CY347)/(VLOOKUP(Sheet1!CY347,hhdcap_wcm,3)-VLOOKUP(Sheet1!CY347,hhdcap_wcm,1)))*(VLOOKUP(Sheet1!CY347,hhdcap_wcm,4)-VLOOKUP(Sheet1!CY347,hhdcap_wcm,2))))</f>
        <v>2462.0400000036743</v>
      </c>
      <c r="DG347" s="712">
        <f t="shared" si="888"/>
        <v>-681.22000000115122</v>
      </c>
      <c r="DH347" s="712">
        <f t="shared" si="889"/>
        <v>-343.53000504344482</v>
      </c>
      <c r="DI347" s="712">
        <f>Sheet1!DW347*AFtoMG</f>
        <v>0</v>
      </c>
      <c r="DJ347" s="712">
        <f>Sheet1!DX347*AFtoMG</f>
        <v>0</v>
      </c>
      <c r="DK347" s="712">
        <f>Sheet1!DY347*AFtoMG</f>
        <v>0</v>
      </c>
      <c r="DL347" s="712">
        <f>Sheet1!DZ347*AFtoMG</f>
        <v>0</v>
      </c>
      <c r="DM347" s="712">
        <f t="shared" si="890"/>
        <v>0</v>
      </c>
      <c r="DN347" s="712">
        <f t="shared" si="891"/>
        <v>0</v>
      </c>
      <c r="DO347" s="712">
        <f t="shared" si="892"/>
        <v>0</v>
      </c>
      <c r="DP347" s="712">
        <f t="shared" si="893"/>
        <v>0</v>
      </c>
      <c r="DQ347" s="712"/>
      <c r="DR347" s="697">
        <f>IF(OR(B347&lt;FL347,B347&gt;FM347),(MIN(AV347+BO347+CJ347+MAX(Sheet1!AA347+AG347-73,0),K347)),0)</f>
        <v>0</v>
      </c>
      <c r="DS347" s="712"/>
      <c r="DT347" s="712">
        <f t="shared" si="894"/>
        <v>0</v>
      </c>
      <c r="DU347" s="712"/>
      <c r="DV347" s="712">
        <f>Sheet1!ED347+Sheet1!EE347+Sheet1!EF347+Sheet1!EG347</f>
        <v>8.5</v>
      </c>
      <c r="DW347" s="712"/>
      <c r="DX347" s="697">
        <f t="shared" si="895"/>
        <v>0</v>
      </c>
      <c r="DY347" s="712">
        <f>IF(Sheet1!FN347=1,SUM('Calculations II'!AT347:BA347)+'Calculations II'!BC347+Sheet1!BU347+'Calculations II'!BE347+AF347,SUM('Calculations II'!AT347:BA347)+'Calculations II'!BC347+Sheet1!BU347+'Calculations II'!BE347+AF347)</f>
        <v>40.394943999999995</v>
      </c>
      <c r="DZ347" s="712">
        <f>Sheet1!AA347+Sheet1!AB347+'Calculations II'!BC347</f>
        <v>44.57</v>
      </c>
      <c r="EA347" s="712"/>
      <c r="EB347" s="712"/>
      <c r="EC347" s="712">
        <f t="shared" si="896"/>
        <v>40876</v>
      </c>
      <c r="ED347" s="712">
        <f t="shared" si="897"/>
        <v>0</v>
      </c>
      <c r="EE347" s="712">
        <f t="shared" si="898"/>
        <v>0</v>
      </c>
      <c r="EF347" s="712">
        <f ca="1">IF(B347=TODAY(),0,-(VLOOKUP(Sheet1!BQ347,Lookup!$B$4:$J$236,2)-VLOOKUP(Sheet1!BQ346,Lookup!$B$4:$J$236,2))/1000000)</f>
        <v>0</v>
      </c>
      <c r="EG347" s="712">
        <f ca="1">IF(B347=TODAY(),0,-(VLOOKUP(Sheet1!BR347,Lookup!$B$4:$J$236,3)-VLOOKUP(Sheet1!BR346,Lookup!$B$4:$J$236,3))/1000000)</f>
        <v>0</v>
      </c>
      <c r="EH347" s="712">
        <f>-(VLOOKUP(Sheet1!BS347,Lookup!$B$4:$J$236,4)-VLOOKUP(Sheet1!BS346,Lookup!$B$4:$J$236,4))/1000000</f>
        <v>0</v>
      </c>
      <c r="EI347" s="697">
        <f t="shared" ca="1" si="922"/>
        <v>0</v>
      </c>
      <c r="EJ347" s="712"/>
      <c r="EK347" s="712"/>
      <c r="EL347" s="712"/>
      <c r="EM347" s="712"/>
      <c r="EN347" s="712"/>
      <c r="EO347" s="712"/>
      <c r="EP347" s="712"/>
      <c r="EQ347" s="712"/>
      <c r="ER347" s="712"/>
      <c r="ES347" s="712"/>
      <c r="ET347" s="794">
        <f t="shared" si="919"/>
        <v>1077.4000000000001</v>
      </c>
      <c r="EU347" s="794" t="e">
        <f t="shared" si="924"/>
        <v>#N/A</v>
      </c>
      <c r="EV347" s="795" t="e">
        <f t="shared" si="925"/>
        <v>#N/A</v>
      </c>
      <c r="EW347" s="796" t="s">
        <v>757</v>
      </c>
      <c r="EX347" s="796" t="s">
        <v>757</v>
      </c>
      <c r="EY347" s="794" t="e">
        <v>#N/A</v>
      </c>
      <c r="EZ347" s="798">
        <v>1916.200000002779</v>
      </c>
      <c r="FA347" s="712"/>
      <c r="FB347" s="712"/>
      <c r="FC347" s="712"/>
      <c r="FD347" s="712"/>
      <c r="FE347" s="712">
        <f>O347+Sheet1!CO347</f>
        <v>44.57</v>
      </c>
      <c r="FF347" s="712">
        <f>IF(Sheet1!AA347+AG347&lt;=Calculation!N347,AG347,Calculation!N347-Sheet1!AA347)</f>
        <v>19.170000000000002</v>
      </c>
      <c r="FG347" s="712">
        <f>(Sheet1!BP347+Sheet1!BO347)/694.4</f>
        <v>1.3702476958525347</v>
      </c>
      <c r="FH347" s="712"/>
      <c r="FI347" s="712"/>
      <c r="FJ347" s="712"/>
      <c r="FK347" s="712"/>
      <c r="FL347" s="714">
        <f t="shared" si="929"/>
        <v>40753</v>
      </c>
      <c r="FM347" s="714">
        <f t="shared" si="930"/>
        <v>40851</v>
      </c>
      <c r="FN347" s="712"/>
      <c r="FO347" s="712"/>
      <c r="FP347" s="712"/>
      <c r="FQ347" s="712"/>
      <c r="FR347" s="712"/>
      <c r="FS347" s="725">
        <f t="shared" si="935"/>
        <v>40603</v>
      </c>
      <c r="FT347" s="714">
        <f t="shared" si="932"/>
        <v>40709</v>
      </c>
      <c r="FU347" s="712">
        <f t="shared" si="935"/>
        <v>6518.9048239895692</v>
      </c>
      <c r="FV347" s="714">
        <f t="shared" si="933"/>
        <v>40722</v>
      </c>
      <c r="FW347" s="712">
        <f t="shared" si="935"/>
        <v>3259.4524119947846</v>
      </c>
      <c r="FX347" s="725">
        <f t="shared" si="935"/>
        <v>40851</v>
      </c>
      <c r="FZ347" s="697">
        <f t="shared" si="926"/>
        <v>0</v>
      </c>
      <c r="GA347" s="712" t="str">
        <f t="shared" si="899"/>
        <v/>
      </c>
      <c r="GB347" s="712">
        <f t="shared" si="900"/>
        <v>0</v>
      </c>
      <c r="GC347" s="712" t="str">
        <f t="shared" si="901"/>
        <v/>
      </c>
      <c r="GD347" s="712">
        <f>IF(GA347="P",Lookup!$M$12,IF(GA347="PP",Lookup!$M$13,IF(GA347="PPP",Lookup!$M$14,IF(GA347="T",Lookup!$M$15,IF(GA347="TP",Lookup!$M$16,IF(GA347="TPP",Lookup!$M$17,IF(GA347="TPPP",Lookup!$M$18,0)))))))*FZ347</f>
        <v>0</v>
      </c>
      <c r="GE347" s="712">
        <f t="shared" si="902"/>
        <v>0</v>
      </c>
      <c r="GF347" s="712">
        <f t="shared" si="903"/>
        <v>0</v>
      </c>
      <c r="GG347" s="712">
        <f t="shared" si="904"/>
        <v>0</v>
      </c>
      <c r="GH347" s="712"/>
      <c r="GI347" s="712">
        <f t="shared" si="905"/>
        <v>0</v>
      </c>
      <c r="GJ347" s="712" t="str">
        <f t="shared" si="906"/>
        <v/>
      </c>
      <c r="GK347" s="712">
        <f>IF(GA347="P",Lookup!$N$12,IF(GA347="PP",Lookup!$N$13,IF(GA347="PPP",Lookup!$N$14,IF(GA347="T",Lookup!$N$15,IF(GA347="TP",Lookup!$N$16,IF(GA347="TPP",Lookup!$N$17,IF(GA347="TPPP",Lookup!$N$18,0)))))))*FZ347</f>
        <v>0</v>
      </c>
      <c r="GL347" s="712">
        <f t="shared" si="907"/>
        <v>0</v>
      </c>
      <c r="GM347" s="712">
        <f t="shared" si="908"/>
        <v>0</v>
      </c>
      <c r="GN347" s="712">
        <f t="shared" si="909"/>
        <v>0</v>
      </c>
      <c r="GO347" s="712"/>
      <c r="GP347" s="712">
        <f t="shared" si="910"/>
        <v>0</v>
      </c>
      <c r="GQ347" s="712" t="str">
        <f t="shared" si="911"/>
        <v/>
      </c>
      <c r="GR347" s="712">
        <f>IF(GA347="P",Lookup!$N$12,IF(GA347="PP",Lookup!$N$13,IF(GA347="PPP",Lookup!$N$14,IF(GA347="T",Lookup!$N$15,IF(GA347="TP",Lookup!$N$16,IF(GA347="TPP",Lookup!$N$17,IF(GA347="TPPP",Lookup!$N$18,0)))))))*FZ347</f>
        <v>0</v>
      </c>
      <c r="GS347" s="697">
        <f t="shared" si="927"/>
        <v>0</v>
      </c>
      <c r="GT347" s="712">
        <f t="shared" si="912"/>
        <v>0</v>
      </c>
      <c r="GU347" s="712">
        <f t="shared" si="913"/>
        <v>0</v>
      </c>
      <c r="GV347" s="712"/>
      <c r="GW347" s="712">
        <f t="shared" si="914"/>
        <v>0</v>
      </c>
      <c r="GX347" s="712" t="str">
        <f t="shared" si="915"/>
        <v/>
      </c>
      <c r="GY347" s="712">
        <f>IF(GA347="P",Lookup!$N$12,IF(GA347="PP",Lookup!$N$13,IF(GA347="PPP",Lookup!$N$14,IF(GA347="T",Lookup!$N$15,IF(GA347="TP",Lookup!$N$16,IF(GA347="TPP",Lookup!$N$17,IF(GA347="TPPP",Lookup!$N$18,0)))))))*FZ347</f>
        <v>0</v>
      </c>
      <c r="GZ347" s="697">
        <f t="shared" si="928"/>
        <v>0</v>
      </c>
      <c r="HA347" s="712">
        <f t="shared" si="916"/>
        <v>0</v>
      </c>
      <c r="HB347" s="712">
        <f t="shared" si="917"/>
        <v>0</v>
      </c>
      <c r="HC347" s="712"/>
    </row>
    <row r="348" spans="1:211">
      <c r="A348" s="773" t="s">
        <v>6</v>
      </c>
      <c r="B348" s="708">
        <v>40877</v>
      </c>
      <c r="C348" s="719">
        <v>0.5</v>
      </c>
      <c r="D348" s="675">
        <f t="shared" si="840"/>
        <v>300</v>
      </c>
      <c r="E348" s="675">
        <f t="shared" si="841"/>
        <v>250</v>
      </c>
      <c r="F348" s="675">
        <v>250</v>
      </c>
      <c r="G348" s="712">
        <f>DH348+Sheet1!CV348</f>
        <v>1330.9688603122204</v>
      </c>
      <c r="H348" s="712">
        <f t="shared" si="842"/>
        <v>593.37507130581923</v>
      </c>
      <c r="I348" s="711">
        <f>MAX(Sheet1!Z348-AJ348+(Sheet1!CW348-E348)*CFStoMGD,0)</f>
        <v>1276.2653333333333</v>
      </c>
      <c r="J348" s="720">
        <f>IF(AND(B348&gt;=Calculation!FS348,B348&lt;=Calculation!FT348),IF(Sheet1!CX348&gt;=Calculation!D348,64.64,0),MAX(Sheet1!Z348-AJ348+(Sheet1!CX348-D348)*CFStoMGD,0))</f>
        <v>868.1579999999999</v>
      </c>
      <c r="K348" s="697">
        <f t="shared" si="843"/>
        <v>64.64</v>
      </c>
      <c r="L348" s="712">
        <f>Sheet1!AA348+Sheet1!AB348-Sheet1!L348+(Sheet1!CW348-F348)*CFStoMGD</f>
        <v>1301.6853333333333</v>
      </c>
      <c r="M348" s="712">
        <f t="shared" si="844"/>
        <v>877.54503673193562</v>
      </c>
      <c r="N348" s="712">
        <f>IF(Sheet1!CW348&gt;=F348,MIN(73,MIN(MAX(L348,0),MAX(M348,0))),0)</f>
        <v>73</v>
      </c>
      <c r="O348" s="721">
        <f>Sheet1!AA348+Sheet1!AB348</f>
        <v>44.43</v>
      </c>
      <c r="P348" s="721">
        <f t="shared" si="845"/>
        <v>68.73321</v>
      </c>
      <c r="Q348" s="712">
        <f>MIN(N348,Sheet1!AA348+AG348)</f>
        <v>44.43</v>
      </c>
      <c r="R348" s="712">
        <f t="shared" si="846"/>
        <v>0</v>
      </c>
      <c r="S348" s="721">
        <f>Sheet1!Y348*MGDtoCFS</f>
        <v>38.876109999999997</v>
      </c>
      <c r="T348" s="721">
        <f>Sheet1!Z348*MGDtoCFS</f>
        <v>29.532229999999998</v>
      </c>
      <c r="U348" s="721">
        <f>Sheet1!AA348*MGDtoCFS</f>
        <v>38.829700000000003</v>
      </c>
      <c r="V348" s="721">
        <f>Sheet1!AB348*MGDtoCFS</f>
        <v>29.903509999999997</v>
      </c>
      <c r="W348" s="721">
        <f>Sheet1!L348*MGDtoCFS</f>
        <v>29.77975</v>
      </c>
      <c r="X348" s="697">
        <f t="shared" si="847"/>
        <v>0</v>
      </c>
      <c r="Y348" s="712">
        <f t="shared" si="848"/>
        <v>0</v>
      </c>
      <c r="Z348" s="712">
        <f t="shared" si="849"/>
        <v>0</v>
      </c>
      <c r="AA348" s="712">
        <f t="shared" si="850"/>
        <v>0</v>
      </c>
      <c r="AB348" s="712">
        <f>(VLOOKUP(Sheet1!CY348,hhdcap_wcm,4)-(((VLOOKUP(Sheet1!CY348,hhdcap_wcm,3)-Sheet1!CY348)/(VLOOKUP(Sheet1!CY348,hhdcap_wcm,3)-VLOOKUP(Sheet1!CY348,hhdcap_wcm,1)))*(VLOOKUP(Sheet1!CY348,hhdcap_wcm,4)-VLOOKUP(Sheet1!CY348,hhdcap_wcm,2))))</f>
        <v>1964.0800000028075</v>
      </c>
      <c r="AC348" s="712">
        <f t="shared" si="851"/>
        <v>-497.96000000086678</v>
      </c>
      <c r="AD348" s="712">
        <f t="shared" si="852"/>
        <v>0</v>
      </c>
      <c r="AE348" s="712">
        <f t="shared" si="853"/>
        <v>0</v>
      </c>
      <c r="AF348" s="712">
        <f>Sheet1!BA348+Sheet1!BB348+Sheet1!BN348+BT348</f>
        <v>19.100000000000001</v>
      </c>
      <c r="AG348" s="712">
        <f t="shared" si="854"/>
        <v>19.329999999999998</v>
      </c>
      <c r="AH348" s="712">
        <f>Sheet1!BA348+BT348</f>
        <v>0</v>
      </c>
      <c r="AI348" s="712">
        <f>Sheet1!BA348+Sheet1!BB348+BT348</f>
        <v>0</v>
      </c>
      <c r="AJ348" s="712">
        <f>IF((Sheet1!AA348+AG348+AX348+AZ348+BQ348+BS348+CL348+CN348)&lt;=N348,AG348+AX348+AZ348+BQ348+BS348+CL348+CN348,N348-Sheet1!AA348)</f>
        <v>19.329999999999998</v>
      </c>
      <c r="AK348" s="712">
        <f>IF(DR348&lt;K348,0,MAX(Sheet1!AA348+AG348-15/36*K348-N348,Sheet1!ED348,0))</f>
        <v>0</v>
      </c>
      <c r="AL348" s="712">
        <f>IF(OR(B348&gt;=FT348,B348&lt;FS348),0,15/36*K348-MAX(0,64.6-(137.6-(Sheet1!AA348+Sheet1!AB348))))</f>
        <v>0</v>
      </c>
      <c r="AM348" s="712">
        <f>Sheet1!CX348-110</f>
        <v>1533.4375</v>
      </c>
      <c r="AN348" s="712">
        <f>Sheet1!CW348-265</f>
        <v>1959.7916666666665</v>
      </c>
      <c r="AO348" s="712">
        <f t="shared" si="934"/>
        <v>28.57</v>
      </c>
      <c r="AP348" s="712">
        <f t="shared" si="855"/>
        <v>0</v>
      </c>
      <c r="AQ348" s="712">
        <f t="shared" si="856"/>
        <v>0</v>
      </c>
      <c r="AR348" s="712">
        <f t="shared" si="857"/>
        <v>0</v>
      </c>
      <c r="AS348" s="712"/>
      <c r="AT348" s="712">
        <f ca="1">IF(B348&gt;Summary!$A$1,#N/A,AR348*MGtoAF)</f>
        <v>0</v>
      </c>
      <c r="AU348" s="712">
        <f>Sheet1!BG348+Sheet1!BH348+Sheet1!BI348-BC348</f>
        <v>0</v>
      </c>
      <c r="AV348" s="712">
        <f t="shared" si="858"/>
        <v>0</v>
      </c>
      <c r="AW348" s="712">
        <f>IF(Sheet1!EL348="FM",BC348,0)</f>
        <v>0</v>
      </c>
      <c r="AX348" s="712">
        <f t="shared" si="859"/>
        <v>0</v>
      </c>
      <c r="AY348" s="712">
        <f>IF(Sheet1!EL348="OTHER",BC348,0)</f>
        <v>0</v>
      </c>
      <c r="AZ348" s="712">
        <f t="shared" si="860"/>
        <v>0</v>
      </c>
      <c r="BA348" s="712">
        <f t="shared" si="861"/>
        <v>0</v>
      </c>
      <c r="BB348" s="712">
        <f t="shared" si="862"/>
        <v>0</v>
      </c>
      <c r="BC348" s="712">
        <f>IF(OR(Sheet1!EL348="FM", Sheet1!EL348="OTHER"),SUM(Sheet1!BG348:'Sheet1'!BI348),0)</f>
        <v>0</v>
      </c>
      <c r="BD348" s="697">
        <f>IF(AND($B348&gt;=$FL348,$B348&lt;=$FM348),MAX(AV348,Sheet1!EE348,0),MAX(AV348-(7/36)*$K348,0))</f>
        <v>0</v>
      </c>
      <c r="BE348" s="712">
        <f t="shared" si="863"/>
        <v>0</v>
      </c>
      <c r="BF348" s="697">
        <f t="shared" si="864"/>
        <v>0</v>
      </c>
      <c r="BG348" s="697">
        <f>IF(AND($O348&gt;0,Sheet1!EI348=1),(1-($O348-Sheet1!$L348)/$O348)*BB348,0)</f>
        <v>0</v>
      </c>
      <c r="BH348" s="697">
        <f>IF(AND(Sheet1!$L348=0,Sheet1!$L347=0, Calculation!BA348&lt;Sheet1!$EE348-0.1,Sheet1!$EE348=Sheet1!$EE347,Sheet1!$EE348=Sheet1!$EE349),Sheet1!$EE348,BB348-BG348)</f>
        <v>0</v>
      </c>
      <c r="BI348" s="712"/>
      <c r="BJ348" s="712"/>
      <c r="BK348" s="712">
        <f t="shared" si="865"/>
        <v>0</v>
      </c>
      <c r="BL348" s="712"/>
      <c r="BM348" s="712">
        <f ca="1">IF(B348&gt;Summary!$A$1,#N/A,BK348*MGtoAF)</f>
        <v>0</v>
      </c>
      <c r="BN348" s="712">
        <f>Sheet1!BC348+Sheet1!BD348+Sheet1!BE348+Sheet1!BF348-BW348-BX348</f>
        <v>0</v>
      </c>
      <c r="BO348" s="712">
        <f t="shared" si="866"/>
        <v>0</v>
      </c>
      <c r="BP348" s="712">
        <f>IF(Sheet1!EM348="FM",BX348,0)</f>
        <v>0</v>
      </c>
      <c r="BQ348" s="712">
        <f t="shared" si="867"/>
        <v>0</v>
      </c>
      <c r="BR348" s="712">
        <f>IF(Sheet1!EM348="OTHER",BX348,0)</f>
        <v>0</v>
      </c>
      <c r="BS348" s="712">
        <f t="shared" si="868"/>
        <v>0</v>
      </c>
      <c r="BT348" s="712">
        <f t="shared" si="869"/>
        <v>0</v>
      </c>
      <c r="BU348" s="712">
        <f t="shared" si="870"/>
        <v>0</v>
      </c>
      <c r="BV348" s="712">
        <f t="shared" si="871"/>
        <v>0</v>
      </c>
      <c r="BW348" s="712">
        <f>IF(Sheet1!EM348="CWA",SUM(Sheet1!BC348:'Sheet1'!BF348),0)</f>
        <v>0</v>
      </c>
      <c r="BX348" s="712">
        <f>IF(OR(Sheet1!EM348="FM", Sheet1!EM348="OTHER"),SUM(Sheet1!BC348:'Sheet1'!BF348),0)</f>
        <v>0</v>
      </c>
      <c r="BY348" s="697">
        <f>IF(AND($B348&gt;=$FL348,$B348&lt;=$FM348),MAX(BV348,Sheet1!EF348,0),MAX(BV348-(7/36)*$K348,0))</f>
        <v>0</v>
      </c>
      <c r="BZ348" s="712">
        <f t="shared" si="872"/>
        <v>0</v>
      </c>
      <c r="CA348" s="697">
        <f t="shared" si="873"/>
        <v>0</v>
      </c>
      <c r="CB348" s="697">
        <f>IF(AND($O348&gt;0,Sheet1!EJ348=1),(1-($O348-Sheet1!$L348)/$O348)*BV348,0)</f>
        <v>0</v>
      </c>
      <c r="CC348" s="697">
        <f>IF(AND(Sheet1!$L348=0,Sheet1!$L347=0, Calculation!BU348&lt;Sheet1!EF348-0.1,Sheet1!EF348=Sheet1!EF347,Sheet1!EF348=Sheet1!EF349),Sheet1!EF348,BV348-CB348)</f>
        <v>0</v>
      </c>
      <c r="CD348" s="697"/>
      <c r="CE348" s="712"/>
      <c r="CF348" s="712">
        <f t="shared" si="874"/>
        <v>0</v>
      </c>
      <c r="CG348" s="712"/>
      <c r="CH348" s="712">
        <f ca="1">IF(B348&gt;Summary!$A$1,#N/A,CF348*MGtoAF)</f>
        <v>0</v>
      </c>
      <c r="CI348" s="712">
        <f>Sheet1!BK348+Sheet1!BL348+Sheet1!BM348-Sheet1!EN348-CQ348</f>
        <v>0</v>
      </c>
      <c r="CJ348" s="712">
        <f t="shared" si="875"/>
        <v>0</v>
      </c>
      <c r="CK348" s="712">
        <f>IF(Sheet1!EN348="FM",CQ348,0)</f>
        <v>0</v>
      </c>
      <c r="CL348" s="712">
        <f t="shared" si="876"/>
        <v>0</v>
      </c>
      <c r="CM348" s="712">
        <f>IF(Sheet1!EN348="OTHER",CQ348,0)</f>
        <v>0</v>
      </c>
      <c r="CN348" s="712">
        <f t="shared" si="877"/>
        <v>0</v>
      </c>
      <c r="CO348" s="712">
        <f t="shared" si="878"/>
        <v>0</v>
      </c>
      <c r="CP348" s="712">
        <f t="shared" si="879"/>
        <v>0</v>
      </c>
      <c r="CQ348" s="712">
        <f>IF(OR(Sheet1!EN348="FM", Sheet1!EN348="OTHER"),SUM(Sheet1!BK348:'Sheet1'!BM348),0)</f>
        <v>0</v>
      </c>
      <c r="CR348" s="697">
        <f>IF(AND($B348&gt;=$FL348,$B348&lt;=$FM348),MAX($CJ348,Sheet1!EG348,0),MAX($CJ348-(7/36)*$K348,0))</f>
        <v>0</v>
      </c>
      <c r="CS348" s="712">
        <f t="shared" si="880"/>
        <v>0</v>
      </c>
      <c r="CT348" s="697">
        <f t="shared" si="881"/>
        <v>0</v>
      </c>
      <c r="CU348" s="697">
        <f>IF(AND($O348&gt;0,Sheet1!EK348=1),(1-($O348-Sheet1!$L348)/$O348)*CP348,0)</f>
        <v>0</v>
      </c>
      <c r="CV348" s="697">
        <f>IF(AND(Sheet1!$L348=0,Sheet1!$L347=0, Calculation!CO348&lt;Sheet1!$EG348-0.1,Sheet1!$EG348=Sheet1!$EG347,Sheet1!$EG348=Sheet1!$EG349),Sheet1!$EG348,CP348-CU348)</f>
        <v>0</v>
      </c>
      <c r="CW348" s="697"/>
      <c r="CX348" s="712">
        <f t="shared" si="882"/>
        <v>0</v>
      </c>
      <c r="CY348" s="712">
        <f t="shared" si="883"/>
        <v>0</v>
      </c>
      <c r="CZ348" s="712">
        <f t="shared" si="884"/>
        <v>0</v>
      </c>
      <c r="DA348" s="712">
        <f ca="1">IF(B348&gt;Summary!$A$1,#N/A,CY348*MGtoAF)</f>
        <v>0</v>
      </c>
      <c r="DB348" s="712">
        <f t="shared" si="885"/>
        <v>0</v>
      </c>
      <c r="DC348" s="712">
        <f t="shared" si="886"/>
        <v>19.100000000000001</v>
      </c>
      <c r="DD348" s="712">
        <f>Sheet1!AB348-DC348</f>
        <v>0.22999999999999687</v>
      </c>
      <c r="DE348" s="712">
        <f t="shared" si="887"/>
        <v>1.2041884816753763E-2</v>
      </c>
      <c r="DF348" s="712">
        <f>(VLOOKUP(Sheet1!CY348,hhdcap_wcm,4)-(((VLOOKUP(Sheet1!CY348,hhdcap_wcm,3)-Sheet1!CY348)/(VLOOKUP(Sheet1!CY348,hhdcap_wcm,3)-VLOOKUP(Sheet1!CY348,hhdcap_wcm,1)))*(VLOOKUP(Sheet1!CY348,hhdcap_wcm,4)-VLOOKUP(Sheet1!CY348,hhdcap_wcm,2))))</f>
        <v>1964.0800000028075</v>
      </c>
      <c r="DG348" s="712">
        <f t="shared" si="888"/>
        <v>-497.96000000086678</v>
      </c>
      <c r="DH348" s="712">
        <f t="shared" si="889"/>
        <v>-251.11447302111281</v>
      </c>
      <c r="DI348" s="712">
        <f>Sheet1!DW348*AFtoMG</f>
        <v>0</v>
      </c>
      <c r="DJ348" s="712">
        <f>Sheet1!DX348*AFtoMG</f>
        <v>0</v>
      </c>
      <c r="DK348" s="712">
        <f>Sheet1!DY348*AFtoMG</f>
        <v>0</v>
      </c>
      <c r="DL348" s="712">
        <f>Sheet1!DZ348*AFtoMG</f>
        <v>0</v>
      </c>
      <c r="DM348" s="712">
        <f t="shared" si="890"/>
        <v>0</v>
      </c>
      <c r="DN348" s="712">
        <f t="shared" si="891"/>
        <v>0</v>
      </c>
      <c r="DO348" s="712">
        <f t="shared" si="892"/>
        <v>0</v>
      </c>
      <c r="DP348" s="712">
        <f t="shared" si="893"/>
        <v>0</v>
      </c>
      <c r="DQ348" s="712"/>
      <c r="DR348" s="697">
        <f>IF(OR(B348&lt;FL348,B348&gt;FM348),(MIN(AV348+BO348+CJ348+MAX(Sheet1!AA348+AG348-73,0),K348)),0)</f>
        <v>0</v>
      </c>
      <c r="DS348" s="712"/>
      <c r="DT348" s="712">
        <f t="shared" si="894"/>
        <v>0</v>
      </c>
      <c r="DU348" s="712"/>
      <c r="DV348" s="712">
        <f>Sheet1!ED348+Sheet1!EE348+Sheet1!EF348+Sheet1!EG348</f>
        <v>8.5</v>
      </c>
      <c r="DW348" s="712"/>
      <c r="DX348" s="697">
        <f t="shared" si="895"/>
        <v>0</v>
      </c>
      <c r="DY348" s="712">
        <f>IF(Sheet1!FN348=1,SUM('Calculations II'!AT348:BA348)+'Calculations II'!BC348+Sheet1!BU348+'Calculations II'!BE348+AF348,SUM('Calculations II'!AT348:BA348)+'Calculations II'!BC348+Sheet1!BU348+'Calculations II'!BE348+AF348)</f>
        <v>40.942768000000001</v>
      </c>
      <c r="DZ348" s="712">
        <f>Sheet1!AA348+Sheet1!AB348+'Calculations II'!BC348</f>
        <v>44.43</v>
      </c>
      <c r="EA348" s="712"/>
      <c r="EB348" s="712"/>
      <c r="EC348" s="712">
        <f t="shared" si="896"/>
        <v>40877</v>
      </c>
      <c r="ED348" s="712">
        <f t="shared" si="897"/>
        <v>0</v>
      </c>
      <c r="EE348" s="712">
        <f t="shared" si="898"/>
        <v>0</v>
      </c>
      <c r="EF348" s="712">
        <f ca="1">IF(B348=TODAY(),0,-(VLOOKUP(Sheet1!BQ348,Lookup!$B$4:$J$236,2)-VLOOKUP(Sheet1!BQ347,Lookup!$B$4:$J$236,2))/1000000)</f>
        <v>-0.53420000000000001</v>
      </c>
      <c r="EG348" s="712">
        <f ca="1">IF(B348=TODAY(),0,-(VLOOKUP(Sheet1!BR348,Lookup!$B$4:$J$236,3)-VLOOKUP(Sheet1!BR347,Lookup!$B$4:$J$236,3))/1000000)</f>
        <v>-0.53280000000000005</v>
      </c>
      <c r="EH348" s="712">
        <f>-(VLOOKUP(Sheet1!BS348,Lookup!$B$4:$J$236,4)-VLOOKUP(Sheet1!BS347,Lookup!$B$4:$J$236,4))/1000000</f>
        <v>0</v>
      </c>
      <c r="EI348" s="697">
        <f t="shared" ca="1" si="922"/>
        <v>-1.0670000000000002</v>
      </c>
      <c r="EJ348" s="712"/>
      <c r="EK348" s="712"/>
      <c r="EL348" s="712"/>
      <c r="EM348" s="712"/>
      <c r="EN348" s="712"/>
      <c r="EO348" s="712"/>
      <c r="EP348" s="712"/>
      <c r="EQ348" s="712"/>
      <c r="ER348" s="712"/>
      <c r="ES348" s="712"/>
      <c r="ET348" s="794">
        <f t="shared" si="919"/>
        <v>1076.2</v>
      </c>
      <c r="EU348" s="794" t="e">
        <f t="shared" si="924"/>
        <v>#N/A</v>
      </c>
      <c r="EV348" s="795" t="e">
        <f t="shared" si="925"/>
        <v>#N/A</v>
      </c>
      <c r="EW348" s="796" t="s">
        <v>757</v>
      </c>
      <c r="EX348" s="796" t="s">
        <v>757</v>
      </c>
      <c r="EY348" s="794" t="e">
        <v>#N/A</v>
      </c>
      <c r="EZ348" s="798">
        <v>1769.000000002552</v>
      </c>
      <c r="FA348" s="712"/>
      <c r="FB348" s="712"/>
      <c r="FC348" s="712"/>
      <c r="FD348" s="712"/>
      <c r="FE348" s="712">
        <f>O348+Sheet1!CO348</f>
        <v>44.43</v>
      </c>
      <c r="FF348" s="712">
        <f>IF(Sheet1!AA348+AG348&lt;=Calculation!N348,AG348,Calculation!N348-Sheet1!AA348)</f>
        <v>19.329999999999998</v>
      </c>
      <c r="FG348" s="712">
        <f>(Sheet1!BP348+Sheet1!BO348)/694.4</f>
        <v>2.2861463133640552</v>
      </c>
      <c r="FH348" s="712"/>
      <c r="FI348" s="712"/>
      <c r="FJ348" s="712"/>
      <c r="FK348" s="712"/>
      <c r="FL348" s="714">
        <f t="shared" si="929"/>
        <v>40753</v>
      </c>
      <c r="FM348" s="714">
        <f t="shared" si="930"/>
        <v>40851</v>
      </c>
      <c r="FN348" s="712"/>
      <c r="FO348" s="712"/>
      <c r="FP348" s="712"/>
      <c r="FQ348" s="712"/>
      <c r="FR348" s="712"/>
      <c r="FS348" s="725">
        <f t="shared" si="935"/>
        <v>40603</v>
      </c>
      <c r="FT348" s="714">
        <f t="shared" si="932"/>
        <v>40709</v>
      </c>
      <c r="FU348" s="712">
        <f t="shared" si="935"/>
        <v>6518.9048239895692</v>
      </c>
      <c r="FV348" s="714">
        <f t="shared" si="933"/>
        <v>40722</v>
      </c>
      <c r="FW348" s="712">
        <f t="shared" si="935"/>
        <v>3259.4524119947846</v>
      </c>
      <c r="FX348" s="725">
        <f t="shared" si="935"/>
        <v>40851</v>
      </c>
      <c r="FZ348" s="697">
        <f t="shared" si="926"/>
        <v>0</v>
      </c>
      <c r="GA348" s="712" t="str">
        <f t="shared" si="899"/>
        <v/>
      </c>
      <c r="GB348" s="712">
        <f t="shared" si="900"/>
        <v>0</v>
      </c>
      <c r="GC348" s="712" t="str">
        <f t="shared" si="901"/>
        <v/>
      </c>
      <c r="GD348" s="712">
        <f>IF(GA348="P",Lookup!$M$12,IF(GA348="PP",Lookup!$M$13,IF(GA348="PPP",Lookup!$M$14,IF(GA348="T",Lookup!$M$15,IF(GA348="TP",Lookup!$M$16,IF(GA348="TPP",Lookup!$M$17,IF(GA348="TPPP",Lookup!$M$18,0)))))))*FZ348</f>
        <v>0</v>
      </c>
      <c r="GE348" s="712">
        <f t="shared" si="902"/>
        <v>0</v>
      </c>
      <c r="GF348" s="712">
        <f t="shared" si="903"/>
        <v>0</v>
      </c>
      <c r="GG348" s="712">
        <f t="shared" si="904"/>
        <v>0</v>
      </c>
      <c r="GH348" s="712"/>
      <c r="GI348" s="712">
        <f t="shared" si="905"/>
        <v>0</v>
      </c>
      <c r="GJ348" s="712" t="str">
        <f t="shared" si="906"/>
        <v/>
      </c>
      <c r="GK348" s="712">
        <f>IF(GA348="P",Lookup!$N$12,IF(GA348="PP",Lookup!$N$13,IF(GA348="PPP",Lookup!$N$14,IF(GA348="T",Lookup!$N$15,IF(GA348="TP",Lookup!$N$16,IF(GA348="TPP",Lookup!$N$17,IF(GA348="TPPP",Lookup!$N$18,0)))))))*FZ348</f>
        <v>0</v>
      </c>
      <c r="GL348" s="712">
        <f t="shared" si="907"/>
        <v>0</v>
      </c>
      <c r="GM348" s="712">
        <f t="shared" si="908"/>
        <v>0</v>
      </c>
      <c r="GN348" s="712">
        <f t="shared" si="909"/>
        <v>0</v>
      </c>
      <c r="GO348" s="712"/>
      <c r="GP348" s="712">
        <f t="shared" si="910"/>
        <v>0</v>
      </c>
      <c r="GQ348" s="712" t="str">
        <f t="shared" si="911"/>
        <v/>
      </c>
      <c r="GR348" s="712">
        <f>IF(GA348="P",Lookup!$N$12,IF(GA348="PP",Lookup!$N$13,IF(GA348="PPP",Lookup!$N$14,IF(GA348="T",Lookup!$N$15,IF(GA348="TP",Lookup!$N$16,IF(GA348="TPP",Lookup!$N$17,IF(GA348="TPPP",Lookup!$N$18,0)))))))*FZ348</f>
        <v>0</v>
      </c>
      <c r="GS348" s="697">
        <f t="shared" si="927"/>
        <v>0</v>
      </c>
      <c r="GT348" s="712">
        <f t="shared" si="912"/>
        <v>0</v>
      </c>
      <c r="GU348" s="712">
        <f t="shared" si="913"/>
        <v>0</v>
      </c>
      <c r="GV348" s="712"/>
      <c r="GW348" s="712">
        <f t="shared" si="914"/>
        <v>0</v>
      </c>
      <c r="GX348" s="712" t="str">
        <f t="shared" si="915"/>
        <v/>
      </c>
      <c r="GY348" s="712">
        <f>IF(GA348="P",Lookup!$N$12,IF(GA348="PP",Lookup!$N$13,IF(GA348="PPP",Lookup!$N$14,IF(GA348="T",Lookup!$N$15,IF(GA348="TP",Lookup!$N$16,IF(GA348="TPP",Lookup!$N$17,IF(GA348="TPPP",Lookup!$N$18,0)))))))*FZ348</f>
        <v>0</v>
      </c>
      <c r="GZ348" s="697">
        <f t="shared" si="928"/>
        <v>0</v>
      </c>
      <c r="HA348" s="712">
        <f t="shared" si="916"/>
        <v>0</v>
      </c>
      <c r="HB348" s="712">
        <f t="shared" si="917"/>
        <v>0</v>
      </c>
      <c r="HC348" s="712"/>
    </row>
    <row r="349" spans="1:211">
      <c r="A349" s="773" t="s">
        <v>7</v>
      </c>
      <c r="B349" s="708">
        <v>40878</v>
      </c>
      <c r="C349" s="709">
        <v>0.5</v>
      </c>
      <c r="D349" s="675">
        <f t="shared" ref="D349:D385" si="936">IF(AND(B349&gt;=DATE($A$1,7,15),B349&lt;=DATE($A$1,9,15)),200,300)</f>
        <v>300</v>
      </c>
      <c r="E349" s="675">
        <f t="shared" ref="E349:E385" si="937">IF(AND(B349&gt;=DATE($A$1,7,15),B349&lt;=DATE($A$1,9,15)),400,250)</f>
        <v>250</v>
      </c>
      <c r="F349" s="675">
        <v>250</v>
      </c>
      <c r="G349" s="712">
        <f>DH349+Sheet1!CV349</f>
        <v>1150.2924861320942</v>
      </c>
      <c r="H349" s="712">
        <f t="shared" ref="H349:H385" si="938">MAX((G349-113-D349)*CFStoMGD,0)</f>
        <v>476.58586303578562</v>
      </c>
      <c r="I349" s="711">
        <f>MAX(Sheet1!Z349-AJ349+(Sheet1!CW349-E349)*CFStoMGD,0)</f>
        <v>1027.3593333333326</v>
      </c>
      <c r="J349" s="720">
        <f>IF(AND(B349&gt;=Calculation!FS349,B349&lt;=Calculation!FT349),IF(Sheet1!CX349&gt;=Calculation!D349,64.64,0),MAX(Sheet1!Z349-AJ349+(Sheet1!CX349-D349)*CFStoMGD,0))</f>
        <v>647.53199999999936</v>
      </c>
      <c r="K349" s="697">
        <f t="shared" ref="K349:K385" si="939">MAX(MIN(H349:J349,64.64),0)</f>
        <v>64.64</v>
      </c>
      <c r="L349" s="712">
        <f>Sheet1!AA349+Sheet1!AB349-Sheet1!L349+(Sheet1!CW349-F349)*CFStoMGD</f>
        <v>1032.7193333333284</v>
      </c>
      <c r="M349" s="712">
        <f t="shared" ref="M349:M385" si="940">1.02*CFStoMGD*G349</f>
        <v>758.42004429650137</v>
      </c>
      <c r="N349" s="712">
        <f>IF(Sheet1!CW349&gt;=F349,MIN(73,MIN(MAX(L349,0),MAX(M349,0))),0)</f>
        <v>73</v>
      </c>
      <c r="O349" s="721">
        <f>Sheet1!AA349+Sheet1!AB349</f>
        <v>46.229999999995925</v>
      </c>
      <c r="P349" s="721">
        <f t="shared" ref="P349:P385" si="941">U349+V349</f>
        <v>71.517809999993688</v>
      </c>
      <c r="Q349" s="712">
        <f>MIN(N349,Sheet1!AA349+AG349)</f>
        <v>46.229999999995925</v>
      </c>
      <c r="R349" s="712">
        <f t="shared" ref="R349:R385" si="942">IF(AND(B349&gt;=FV349,B349&lt;=FX349),MAX(DR349,DV349),DR349)</f>
        <v>0</v>
      </c>
      <c r="S349" s="721">
        <f>Sheet1!Y349*MGDtoCFS</f>
        <v>41.583359999999999</v>
      </c>
      <c r="T349" s="721">
        <f>Sheet1!Z349*MGDtoCFS</f>
        <v>29.826160000000002</v>
      </c>
      <c r="U349" s="721">
        <f>Sheet1!AA349*MGDtoCFS</f>
        <v>41.567889999992794</v>
      </c>
      <c r="V349" s="721">
        <f>Sheet1!AB349*MGDtoCFS</f>
        <v>29.949920000000898</v>
      </c>
      <c r="W349" s="721">
        <f>Sheet1!L349*MGDtoCFS</f>
        <v>63.34965000000112</v>
      </c>
      <c r="X349" s="697">
        <f t="shared" ref="X349:X385" si="943">AK349+BD349+BY349+CR349</f>
        <v>0</v>
      </c>
      <c r="Y349" s="712">
        <f t="shared" ref="Y349:Y385" si="944">X349*MGDtoCFS</f>
        <v>0</v>
      </c>
      <c r="Z349" s="712">
        <f t="shared" ref="Z349:Z385" si="945">IF(B349&gt;=FS349,IF(B349&lt;=FT349,K349-DR349,0),0)</f>
        <v>0</v>
      </c>
      <c r="AA349" s="712">
        <f t="shared" ref="AA349:AA385" si="946">Z349*MGDtoCFS</f>
        <v>0</v>
      </c>
      <c r="AB349" s="712">
        <f>(VLOOKUP(Sheet1!CY349,hhdcap_wcm,4)-(((VLOOKUP(Sheet1!CY349,hhdcap_wcm,3)-Sheet1!CY349)/(VLOOKUP(Sheet1!CY349,hhdcap_wcm,3)-VLOOKUP(Sheet1!CY349,hhdcap_wcm,1)))*(VLOOKUP(Sheet1!CY349,hhdcap_wcm,4)-VLOOKUP(Sheet1!CY349,hhdcap_wcm,2))))</f>
        <v>1898.5600000027503</v>
      </c>
      <c r="AC349" s="712">
        <f t="shared" ref="AC349:AC385" si="947">AB349-AB348</f>
        <v>-65.52000000005728</v>
      </c>
      <c r="AD349" s="712">
        <f t="shared" ref="AD349:AD385" si="948">(IF(AND(B349&gt;=FS349,B349&lt;FV349),MIN(AR349+BK349+CF349+CY349,FU349),IF(B349=FV349,FW349,IF(AND(B349&gt;FV349,B349&lt;FX349),AR349+BK349+CF349+CY349,IF(B349&gt;=FX349,0,0)))))</f>
        <v>0</v>
      </c>
      <c r="AE349" s="712">
        <f t="shared" ref="AE349:AE385" si="949">AD349*MGtoAF</f>
        <v>0</v>
      </c>
      <c r="AF349" s="712">
        <f>Sheet1!BA349+Sheet1!BB349+Sheet1!BN349+BT349</f>
        <v>19.3</v>
      </c>
      <c r="AG349" s="712">
        <f t="shared" ref="AG349:AG385" si="950">AF349+(DE349*AF349)</f>
        <v>19.360000000000582</v>
      </c>
      <c r="AH349" s="712">
        <f>Sheet1!BA349+BT349</f>
        <v>0</v>
      </c>
      <c r="AI349" s="712">
        <f>Sheet1!BA349+Sheet1!BB349+BT349</f>
        <v>0</v>
      </c>
      <c r="AJ349" s="712">
        <f>IF((Sheet1!AA349+AG349+AX349+AZ349+BQ349+BS349+CL349+CN349)&lt;=N349,AG349+AX349+AZ349+BQ349+BS349+CL349+CN349,N349-Sheet1!AA349)</f>
        <v>19.360000000000582</v>
      </c>
      <c r="AK349" s="712">
        <f>IF(DR349&lt;K349,0,MAX(Sheet1!AA349+AG349-15/36*K349-N349,Sheet1!ED349,0))</f>
        <v>0</v>
      </c>
      <c r="AL349" s="712">
        <f>IF(OR(B349&gt;=FT349,B349&lt;FS349),0,15/36*K349-MAX(0,64.6-(137.6-(Sheet1!AA349+Sheet1!AB349))))</f>
        <v>0</v>
      </c>
      <c r="AM349" s="712">
        <f>Sheet1!CX349-110</f>
        <v>1191.875</v>
      </c>
      <c r="AN349" s="712">
        <f>Sheet1!CW349-265</f>
        <v>1574.4791666666667</v>
      </c>
      <c r="AO349" s="712">
        <f t="shared" si="934"/>
        <v>26.770000000004075</v>
      </c>
      <c r="AP349" s="712">
        <f t="shared" ref="AP349:AP385" si="951">IF(OR(AM349-AN349-(AO349*1.547)&lt;0,AN349&gt;350),0,AM349-AN349-(AO349*1.547))</f>
        <v>0</v>
      </c>
      <c r="AQ349" s="712">
        <f t="shared" ref="AQ349:AQ385" si="952">IF(AP349&lt;=0,0,AP349/1.547)</f>
        <v>0</v>
      </c>
      <c r="AR349" s="712">
        <f t="shared" ref="AR349:AR385" si="953">GE349+GG349</f>
        <v>0</v>
      </c>
      <c r="AS349" s="712"/>
      <c r="AT349" s="712">
        <f ca="1">IF(B349&gt;Summary!$A$1,#N/A,AR349*MGtoAF)</f>
        <v>0</v>
      </c>
      <c r="AU349" s="712">
        <f>Sheet1!BG349+Sheet1!BH349+Sheet1!BI349-BC349</f>
        <v>0</v>
      </c>
      <c r="AV349" s="712">
        <f t="shared" ref="AV349:AV385" si="954">AU349+(DE349*AU349)</f>
        <v>0</v>
      </c>
      <c r="AW349" s="712">
        <f>IF(Sheet1!EL349="FM",BC349,0)</f>
        <v>0</v>
      </c>
      <c r="AX349" s="712">
        <f t="shared" ref="AX349:AX385" si="955">AW349+(DE349*AW349)</f>
        <v>0</v>
      </c>
      <c r="AY349" s="712">
        <f>IF(Sheet1!EL349="OTHER",BC349,0)</f>
        <v>0</v>
      </c>
      <c r="AZ349" s="712">
        <f t="shared" ref="AZ349:AZ385" si="956">AY349+(DE349*AY349)</f>
        <v>0</v>
      </c>
      <c r="BA349" s="712">
        <f t="shared" ref="BA349:BA385" si="957">MAX(AU349,AW349,AY349)</f>
        <v>0</v>
      </c>
      <c r="BB349" s="712">
        <f t="shared" ref="BB349:BB385" si="958">MAX(AV349,AX349,AZ349)</f>
        <v>0</v>
      </c>
      <c r="BC349" s="712">
        <f>IF(OR(Sheet1!EL349="FM", Sheet1!EL349="OTHER"),SUM(Sheet1!BG349:'Sheet1'!BI349),0)</f>
        <v>0</v>
      </c>
      <c r="BD349" s="697">
        <f>IF(AND($B349&gt;=$FL349,$B349&lt;=$FM349),MAX(AV349,Sheet1!EE349,0),MAX(AV349-(7/36)*$K349,0))</f>
        <v>0</v>
      </c>
      <c r="BE349" s="712">
        <f t="shared" ref="BE349:BE385" si="959">IF(B349&gt;=FS349,IF(B349&lt;=FT349,(7/36)*K349-AV349,0),0)</f>
        <v>0</v>
      </c>
      <c r="BF349" s="697">
        <f t="shared" ref="BF349:BF385" si="960">MAX(BB349-BD349,0)</f>
        <v>0</v>
      </c>
      <c r="BG349" s="697">
        <f>IF(AND($O349&gt;0,Sheet1!EI349=1),(1-($O349-Sheet1!$L349)/$O349)*BB349,0)</f>
        <v>0</v>
      </c>
      <c r="BH349" s="697">
        <f>IF(AND(Sheet1!$L349=0,Sheet1!$L348=0, Calculation!BA349&lt;Sheet1!$EE349-0.1,Sheet1!$EE349=Sheet1!$EE348,Sheet1!$EE349=Sheet1!$EE350),Sheet1!$EE349,BB349-BG349)</f>
        <v>0</v>
      </c>
      <c r="BI349" s="712"/>
      <c r="BJ349" s="712"/>
      <c r="BK349" s="712">
        <f t="shared" ref="BK349:BK385" si="961">GL349+GN349</f>
        <v>0</v>
      </c>
      <c r="BL349" s="712"/>
      <c r="BM349" s="712">
        <f ca="1">IF(B349&gt;Summary!$A$1,#N/A,BK349*MGtoAF)</f>
        <v>0</v>
      </c>
      <c r="BN349" s="712">
        <f>Sheet1!BC349+Sheet1!BD349+Sheet1!BE349+Sheet1!BF349-BW349-BX349</f>
        <v>0</v>
      </c>
      <c r="BO349" s="712">
        <f t="shared" ref="BO349:BO385" si="962">BN349+(DE349*BN349)</f>
        <v>0</v>
      </c>
      <c r="BP349" s="712">
        <f>IF(Sheet1!EM349="FM",BX349,0)</f>
        <v>0</v>
      </c>
      <c r="BQ349" s="712">
        <f t="shared" ref="BQ349:BQ385" si="963">BP349+(DE349*BP349)</f>
        <v>0</v>
      </c>
      <c r="BR349" s="712">
        <f>IF(Sheet1!EM349="OTHER",BX349,0)</f>
        <v>0</v>
      </c>
      <c r="BS349" s="712">
        <f t="shared" ref="BS349:BS385" si="964">BR349+(DE349*BR349)</f>
        <v>0</v>
      </c>
      <c r="BT349" s="712">
        <f t="shared" ref="BT349:BT385" si="965">BW349</f>
        <v>0</v>
      </c>
      <c r="BU349" s="712">
        <f t="shared" ref="BU349:BU385" si="966">MAX(BN349,BP349,BR349)</f>
        <v>0</v>
      </c>
      <c r="BV349" s="712">
        <f t="shared" ref="BV349:BV385" si="967">MAX(BO349,BQ349, BS349)</f>
        <v>0</v>
      </c>
      <c r="BW349" s="712">
        <f>IF(Sheet1!EM349="CWA",SUM(Sheet1!BC349:'Sheet1'!BF349),0)</f>
        <v>0</v>
      </c>
      <c r="BX349" s="712">
        <f>IF(OR(Sheet1!EM349="FM", Sheet1!EM349="OTHER"),SUM(Sheet1!BC349:'Sheet1'!BF349),0)</f>
        <v>0</v>
      </c>
      <c r="BY349" s="697">
        <f>IF(AND($B349&gt;=$FL349,$B349&lt;=$FM349),MAX(BV349,Sheet1!EF349,0),MAX(BV349-(7/36)*$K349,0))</f>
        <v>0</v>
      </c>
      <c r="BZ349" s="712">
        <f t="shared" ref="BZ349:BZ385" si="968">IF(B349&gt;=FS349,IF(B349&lt;=FT349,(7/36)*K349-BO349,0),0)</f>
        <v>0</v>
      </c>
      <c r="CA349" s="697">
        <f t="shared" ref="CA349:CA385" si="969">MAX(BV349-BY349,0)</f>
        <v>0</v>
      </c>
      <c r="CB349" s="697">
        <f>IF(AND($O349&gt;0,Sheet1!EJ349=1),(1-($O349-Sheet1!$L349)/$O349)*BV349,0)</f>
        <v>0</v>
      </c>
      <c r="CC349" s="697">
        <f>IF(AND(Sheet1!$L349=0,Sheet1!$L348=0, Calculation!BU349&lt;Sheet1!EF349-0.1,Sheet1!EF349=Sheet1!EF348,Sheet1!EF349=Sheet1!EF350),Sheet1!EF349,BV349-CB349)</f>
        <v>0</v>
      </c>
      <c r="CD349" s="697"/>
      <c r="CE349" s="712"/>
      <c r="CF349" s="712">
        <f t="shared" ref="CF349:CF385" si="970">GS349+GU349</f>
        <v>0</v>
      </c>
      <c r="CG349" s="712"/>
      <c r="CH349" s="712">
        <f ca="1">IF(B349&gt;Summary!$A$1,#N/A,CF349*MGtoAF)</f>
        <v>0</v>
      </c>
      <c r="CI349" s="712">
        <f>Sheet1!BK349+Sheet1!BL349+Sheet1!BM349-Sheet1!EN349-CQ349</f>
        <v>0</v>
      </c>
      <c r="CJ349" s="712">
        <f t="shared" ref="CJ349:CJ385" si="971">CI349+(DE349*CI349)</f>
        <v>0</v>
      </c>
      <c r="CK349" s="712">
        <f>IF(Sheet1!EN349="FM",CQ349,0)</f>
        <v>0</v>
      </c>
      <c r="CL349" s="712">
        <f t="shared" ref="CL349:CL385" si="972">CK349+(DE349*CK349)</f>
        <v>0</v>
      </c>
      <c r="CM349" s="712">
        <f>IF(Sheet1!EN349="OTHER",CQ349,0)</f>
        <v>0</v>
      </c>
      <c r="CN349" s="712">
        <f t="shared" ref="CN349:CN385" si="973">CM349+(DE349*CM349)</f>
        <v>0</v>
      </c>
      <c r="CO349" s="712">
        <f t="shared" ref="CO349:CO385" si="974">MAX(CI349,CK349)</f>
        <v>0</v>
      </c>
      <c r="CP349" s="712">
        <f t="shared" ref="CP349:CP385" si="975">MAX(CJ349,CL349)</f>
        <v>0</v>
      </c>
      <c r="CQ349" s="712">
        <f>IF(OR(Sheet1!EN349="FM", Sheet1!EN349="OTHER"),SUM(Sheet1!BK349:'Sheet1'!BM349),0)</f>
        <v>0</v>
      </c>
      <c r="CR349" s="697">
        <f>IF(AND($B349&gt;=$FL349,$B349&lt;=$FM349),MAX($CJ349,Sheet1!EG349,0),MAX($CJ349-(7/36)*$K349,0))</f>
        <v>0</v>
      </c>
      <c r="CS349" s="712">
        <f t="shared" ref="CS349:CS385" si="976">IF(B349&gt;=FS349,IF(B349&lt;=FT349,(7/36)*K349-CJ349,0),0)</f>
        <v>0</v>
      </c>
      <c r="CT349" s="697">
        <f t="shared" ref="CT349:CT385" si="977">MAX(CP349-CR349,0)</f>
        <v>0</v>
      </c>
      <c r="CU349" s="697">
        <f>IF(AND($O349&gt;0,Sheet1!EK349=1),(1-($O349-Sheet1!$L349)/$O349)*CP349,0)</f>
        <v>0</v>
      </c>
      <c r="CV349" s="697">
        <f>IF(AND(Sheet1!$L349=0,Sheet1!$L348=0, Calculation!CO349&lt;Sheet1!$EG349-0.1,Sheet1!$EG349=Sheet1!$EG348,Sheet1!$EG349=Sheet1!$EG350),Sheet1!$EG349,CP349-CU349)</f>
        <v>0</v>
      </c>
      <c r="CW349" s="697"/>
      <c r="CX349" s="712">
        <f t="shared" ref="CX349:CX385" si="978">BA349+BU349+CO349</f>
        <v>0</v>
      </c>
      <c r="CY349" s="712">
        <f t="shared" ref="CY349:CY385" si="979">GZ349+HB349</f>
        <v>0</v>
      </c>
      <c r="CZ349" s="712">
        <f t="shared" ref="CZ349:CZ385" si="980">BB349+BV349+CP349</f>
        <v>0</v>
      </c>
      <c r="DA349" s="712">
        <f ca="1">IF(B349&gt;Summary!$A$1,#N/A,CY349*MGtoAF)</f>
        <v>0</v>
      </c>
      <c r="DB349" s="712">
        <f t="shared" ref="DB349:DB385" si="981">CO349+BU349+BA349</f>
        <v>0</v>
      </c>
      <c r="DC349" s="712">
        <f t="shared" ref="DC349:DC385" si="982">DB349+AF349</f>
        <v>19.3</v>
      </c>
      <c r="DD349" s="712">
        <f>Sheet1!AB349-DC349</f>
        <v>6.0000000000581366E-2</v>
      </c>
      <c r="DE349" s="712">
        <f t="shared" ref="DE349:DE385" si="983">IF(DC349=0,0,DD349/DC349)</f>
        <v>3.1088082901855629E-3</v>
      </c>
      <c r="DF349" s="712">
        <f>(VLOOKUP(Sheet1!CY349,hhdcap_wcm,4)-(((VLOOKUP(Sheet1!CY349,hhdcap_wcm,3)-Sheet1!CY349)/(VLOOKUP(Sheet1!CY349,hhdcap_wcm,3)-VLOOKUP(Sheet1!CY349,hhdcap_wcm,1)))*(VLOOKUP(Sheet1!CY349,hhdcap_wcm,4)-VLOOKUP(Sheet1!CY349,hhdcap_wcm,2))))</f>
        <v>1898.5600000027503</v>
      </c>
      <c r="DG349" s="712">
        <f t="shared" ref="DG349:DG385" si="984">DF349-DF348</f>
        <v>-65.52000000005728</v>
      </c>
      <c r="DH349" s="712">
        <f t="shared" ref="DH349:DH385" si="985">DG349*AFtoCFS</f>
        <v>-33.040847201239167</v>
      </c>
      <c r="DI349" s="712">
        <f>Sheet1!DW349*AFtoMG</f>
        <v>0</v>
      </c>
      <c r="DJ349" s="712">
        <f>Sheet1!DX349*AFtoMG</f>
        <v>0</v>
      </c>
      <c r="DK349" s="712">
        <f>Sheet1!DY349*AFtoMG</f>
        <v>0</v>
      </c>
      <c r="DL349" s="712">
        <f>Sheet1!DZ349*AFtoMG</f>
        <v>0</v>
      </c>
      <c r="DM349" s="712">
        <f t="shared" ref="DM349:DM385" si="986">SUM(DI349:DL349)</f>
        <v>0</v>
      </c>
      <c r="DN349" s="712">
        <f t="shared" ref="DN349:DN385" si="987">DM349*MGtoAF</f>
        <v>0</v>
      </c>
      <c r="DO349" s="712">
        <f t="shared" ref="DO349:DO385" si="988">AD349</f>
        <v>0</v>
      </c>
      <c r="DP349" s="712">
        <f t="shared" ref="DP349:DP385" si="989">DO349*MGtoAF</f>
        <v>0</v>
      </c>
      <c r="DQ349" s="712"/>
      <c r="DR349" s="697">
        <f>IF(OR(B349&lt;FL349,B349&gt;FM349),(MIN(AV349+BO349+CJ349+MAX(Sheet1!AA349+AG349-73,0),K349)),0)</f>
        <v>0</v>
      </c>
      <c r="DS349" s="712"/>
      <c r="DT349" s="712">
        <f t="shared" ref="DT349:DT385" si="990">CJ349+AV349+BO349</f>
        <v>0</v>
      </c>
      <c r="DU349" s="712"/>
      <c r="DV349" s="712">
        <f>Sheet1!ED349+Sheet1!EE349+Sheet1!EF349+Sheet1!EG349</f>
        <v>8.5</v>
      </c>
      <c r="DW349" s="712"/>
      <c r="DX349" s="697">
        <f t="shared" ref="DX349:DX385" si="991">DR349-BF349-CA349-CT349</f>
        <v>0</v>
      </c>
      <c r="DY349" s="712">
        <f>IF(Sheet1!FN349=1,SUM('Calculations II'!AT349:BA349)+'Calculations II'!BC349+Sheet1!BU349+'Calculations II'!BE349+AF349,SUM('Calculations II'!AT349:BA349)+'Calculations II'!BC349+Sheet1!BU349+'Calculations II'!BE349+AF349)</f>
        <v>40.345135999999997</v>
      </c>
      <c r="DZ349" s="712">
        <f>Sheet1!AA349+Sheet1!AB349+'Calculations II'!BC349</f>
        <v>46.229999999995925</v>
      </c>
      <c r="EA349" s="712"/>
      <c r="EB349" s="712"/>
      <c r="EC349" s="712">
        <f t="shared" ref="EC349:EC385" si="992">B349</f>
        <v>40878</v>
      </c>
      <c r="ED349" s="712">
        <f t="shared" ref="ED349:ED385" si="993">Z349-X349</f>
        <v>0</v>
      </c>
      <c r="EE349" s="712">
        <f t="shared" ref="EE349:EE385" si="994">AA349-Y349</f>
        <v>0</v>
      </c>
      <c r="EF349" s="712">
        <f ca="1">IF(B349=TODAY(),0,-(VLOOKUP(Sheet1!BQ349,Lookup!$B$4:$J$236,2)-VLOOKUP(Sheet1!BQ348,Lookup!$B$4:$J$236,2))/1000000)</f>
        <v>0</v>
      </c>
      <c r="EG349" s="712">
        <f ca="1">IF(B349=TODAY(),0,-(VLOOKUP(Sheet1!BR349,Lookup!$B$4:$J$236,3)-VLOOKUP(Sheet1!BR348,Lookup!$B$4:$J$236,3))/1000000)</f>
        <v>0</v>
      </c>
      <c r="EH349" s="712">
        <f>-(VLOOKUP(Sheet1!BS349,Lookup!$B$4:$J$236,4)-VLOOKUP(Sheet1!BS348,Lookup!$B$4:$J$236,4))/1000000</f>
        <v>0</v>
      </c>
      <c r="EI349" s="697">
        <f t="shared" ca="1" si="922"/>
        <v>0</v>
      </c>
      <c r="EJ349" s="712"/>
      <c r="EK349" s="712"/>
      <c r="EL349" s="712"/>
      <c r="EM349" s="712"/>
      <c r="EN349" s="712"/>
      <c r="EO349" s="712"/>
      <c r="EP349" s="712"/>
      <c r="EQ349" s="712"/>
      <c r="ER349" s="712"/>
      <c r="ES349" s="712"/>
      <c r="ET349" s="794">
        <f t="shared" si="919"/>
        <v>1075</v>
      </c>
      <c r="EU349" s="794" t="e">
        <f t="shared" si="924"/>
        <v>#N/A</v>
      </c>
      <c r="EV349" s="795" t="e">
        <f t="shared" si="925"/>
        <v>#N/A</v>
      </c>
      <c r="EW349" s="796" t="s">
        <v>757</v>
      </c>
      <c r="EX349" s="796" t="s">
        <v>757</v>
      </c>
      <c r="EY349" s="794" t="e">
        <v>#N/A</v>
      </c>
      <c r="EZ349" s="798">
        <v>1686.400000002388</v>
      </c>
      <c r="FA349" s="712"/>
      <c r="FB349" s="712"/>
      <c r="FC349" s="712"/>
      <c r="FD349" s="712"/>
      <c r="FE349" s="712">
        <f>O349+Sheet1!CO349</f>
        <v>46.229999999995925</v>
      </c>
      <c r="FF349" s="712">
        <f>IF(Sheet1!AA349+AG349&lt;=Calculation!N349,AG349,Calculation!N349-Sheet1!AA349)</f>
        <v>19.360000000000582</v>
      </c>
      <c r="FG349" s="712">
        <f>(Sheet1!BP349+Sheet1!BO349)/694.4</f>
        <v>1.0730126728110601</v>
      </c>
      <c r="FH349" s="712"/>
      <c r="FI349" s="712"/>
      <c r="FJ349" s="712"/>
      <c r="FK349" s="712"/>
      <c r="FL349" s="714">
        <f t="shared" si="929"/>
        <v>40753</v>
      </c>
      <c r="FM349" s="714">
        <f t="shared" si="930"/>
        <v>40851</v>
      </c>
      <c r="FN349" s="712"/>
      <c r="FO349" s="712"/>
      <c r="FP349" s="712"/>
      <c r="FQ349" s="712"/>
      <c r="FR349" s="712"/>
      <c r="FS349" s="725">
        <f t="shared" si="935"/>
        <v>40603</v>
      </c>
      <c r="FT349" s="714">
        <f t="shared" si="932"/>
        <v>40709</v>
      </c>
      <c r="FU349" s="712">
        <f t="shared" si="935"/>
        <v>6518.9048239895692</v>
      </c>
      <c r="FV349" s="714">
        <f t="shared" si="933"/>
        <v>40722</v>
      </c>
      <c r="FW349" s="712">
        <f t="shared" si="935"/>
        <v>3259.4524119947846</v>
      </c>
      <c r="FX349" s="725">
        <f t="shared" si="935"/>
        <v>40851</v>
      </c>
      <c r="FZ349" s="697">
        <f t="shared" si="926"/>
        <v>0</v>
      </c>
      <c r="GA349" s="712" t="str">
        <f t="shared" ref="GA349:GA385" si="995">CONCATENATE(GC349,GQ349,GJ349,GX349)</f>
        <v/>
      </c>
      <c r="GB349" s="712">
        <f t="shared" ref="GB349:GB385" si="996">IF(GF349&gt;=8333.33,AL349,0)</f>
        <v>0</v>
      </c>
      <c r="GC349" s="712" t="str">
        <f t="shared" ref="GC349:GC385" si="997">IF(AND(GF349&lt;8333.33,FZ349&gt;0),"T","")</f>
        <v/>
      </c>
      <c r="GD349" s="712">
        <f>IF(GA349="P",Lookup!$M$12,IF(GA349="PP",Lookup!$M$13,IF(GA349="PPP",Lookup!$M$14,IF(GA349="T",Lookup!$M$15,IF(GA349="TP",Lookup!$M$16,IF(GA349="TPP",Lookup!$M$17,IF(GA349="TPPP",Lookup!$M$18,0)))))))*FZ349</f>
        <v>0</v>
      </c>
      <c r="GE349" s="712">
        <f t="shared" ref="GE349:GE385" si="998">IF(GC349="T",GD349,0)</f>
        <v>0</v>
      </c>
      <c r="GF349" s="712">
        <f t="shared" ref="GF349:GF385" si="999">GG349*MGtoAF</f>
        <v>0</v>
      </c>
      <c r="GG349" s="712">
        <f t="shared" ref="GG349:GG385" si="1000">(IF(AND(B349&lt;FV349,B349&gt;=FS349),MIN(AR348+AL349-AK349,15/36*FU349),IF(B349=FV349,15/36*FW349,IF(AND(B349&gt;FV349,B349&lt;FX349),MIN(AR348+AL349-AK349,15/36*FW349),IF(B349&gt;=FX349,0,0)))))+DI349</f>
        <v>0</v>
      </c>
      <c r="GH349" s="712"/>
      <c r="GI349" s="712">
        <f t="shared" ref="GI349:GI385" si="1001">IF(GM349&gt;=3888.88,BE349,0)</f>
        <v>0</v>
      </c>
      <c r="GJ349" s="712" t="str">
        <f t="shared" ref="GJ349:GJ385" si="1002">IF(AND(GM349&lt;3888.88,FZ349&gt;0),"P","")</f>
        <v/>
      </c>
      <c r="GK349" s="712">
        <f>IF(GA349="P",Lookup!$N$12,IF(GA349="PP",Lookup!$N$13,IF(GA349="PPP",Lookup!$N$14,IF(GA349="T",Lookup!$N$15,IF(GA349="TP",Lookup!$N$16,IF(GA349="TPP",Lookup!$N$17,IF(GA349="TPPP",Lookup!$N$18,0)))))))*FZ349</f>
        <v>0</v>
      </c>
      <c r="GL349" s="712">
        <f t="shared" ref="GL349:GL385" si="1003">IF(GJ349="P",GK349,0)</f>
        <v>0</v>
      </c>
      <c r="GM349" s="712">
        <f t="shared" ref="GM349:GM385" si="1004">GN349*MGtoAF</f>
        <v>0</v>
      </c>
      <c r="GN349" s="712">
        <f t="shared" ref="GN349:GN385" si="1005">(IF(AND(B349&lt;FV349,B349&gt;=FS349),MIN(BK348+BE349-BD349,7/36*FU349),IF(B349=FV349,7/36*FW349,IF(AND(B349&gt;FV349,B349&lt;FX349),MIN(BK348+BE349-BD349,7/36*FW349),IF(B349&gt;=FX349,0,0)))))+DJ349</f>
        <v>0</v>
      </c>
      <c r="GO349" s="712"/>
      <c r="GP349" s="712">
        <f t="shared" ref="GP349:GP385" si="1006">IF(GT349&gt;=8333.33,BZ349,0)</f>
        <v>0</v>
      </c>
      <c r="GQ349" s="712" t="str">
        <f t="shared" ref="GQ349:GQ385" si="1007">IF(AND(GT349&lt;3888.88,FZ349&gt;0),"P","")</f>
        <v/>
      </c>
      <c r="GR349" s="712">
        <f>IF(GA349="P",Lookup!$N$12,IF(GA349="PP",Lookup!$N$13,IF(GA349="PPP",Lookup!$N$14,IF(GA349="T",Lookup!$N$15,IF(GA349="TP",Lookup!$N$16,IF(GA349="TPP",Lookup!$N$17,IF(GA349="TPPP",Lookup!$N$18,0)))))))*FZ349</f>
        <v>0</v>
      </c>
      <c r="GS349" s="697">
        <f t="shared" si="927"/>
        <v>0</v>
      </c>
      <c r="GT349" s="712">
        <f t="shared" ref="GT349:GT385" si="1008">GU349*MGtoAF</f>
        <v>0</v>
      </c>
      <c r="GU349" s="712">
        <f t="shared" ref="GU349:GU385" si="1009">IF(AND(B349&lt;FV349,B349&gt;=FS349),MIN(CF348+BZ349-BY349,7/36*FU349),IF(B349=FV349,7/36*FW349,IF(AND(B349&gt;FV349,B349&lt;FX349),MIN(CF348+BZ349-BY349,7/36*FW349),IF(B349&gt;=FX349,0,0))))+DK349</f>
        <v>0</v>
      </c>
      <c r="GV349" s="712"/>
      <c r="GW349" s="712">
        <f t="shared" ref="GW349:GW385" si="1010">IF(HA349&gt;=3888.88,CS349,0)</f>
        <v>0</v>
      </c>
      <c r="GX349" s="712" t="str">
        <f t="shared" ref="GX349:GX385" si="1011">IF(AND(HA349&lt;3888.88,FZ349&gt;0),"P","")</f>
        <v/>
      </c>
      <c r="GY349" s="712">
        <f>IF(GA349="P",Lookup!$N$12,IF(GA349="PP",Lookup!$N$13,IF(GA349="PPP",Lookup!$N$14,IF(GA349="T",Lookup!$N$15,IF(GA349="TP",Lookup!$N$16,IF(GA349="TPP",Lookup!$N$17,IF(GA349="TPPP",Lookup!$N$18,0)))))))*FZ349</f>
        <v>0</v>
      </c>
      <c r="GZ349" s="697">
        <f t="shared" si="928"/>
        <v>0</v>
      </c>
      <c r="HA349" s="712">
        <f t="shared" ref="HA349:HA385" si="1012">HB349*MGtoAF</f>
        <v>0</v>
      </c>
      <c r="HB349" s="712">
        <f t="shared" ref="HB349:HB385" si="1013">(IF(AND(B349&lt;FV349,B349&gt;=FS349),MIN(CY348+CS349-CR349,7/36*FU349),IF(B349=FV349,7/36*FW349,IF(AND(B349&gt;FV349,B349&lt;FX349),MIN(CY348+CS349-CR349,7/36*FW349),IF(B349&gt;=FX349,0,0)))))+DL349</f>
        <v>0</v>
      </c>
      <c r="HC349" s="712"/>
    </row>
    <row r="350" spans="1:211">
      <c r="A350" s="773" t="s">
        <v>8</v>
      </c>
      <c r="B350" s="708">
        <v>40879</v>
      </c>
      <c r="C350" s="719">
        <v>0.5</v>
      </c>
      <c r="D350" s="675">
        <f t="shared" si="936"/>
        <v>300</v>
      </c>
      <c r="E350" s="675">
        <f t="shared" si="937"/>
        <v>250</v>
      </c>
      <c r="F350" s="675">
        <v>250</v>
      </c>
      <c r="G350" s="712">
        <f>DH350+Sheet1!CV350</f>
        <v>1051.2386535552628</v>
      </c>
      <c r="H350" s="712">
        <f t="shared" si="938"/>
        <v>412.55746565812183</v>
      </c>
      <c r="I350" s="711">
        <f>MAX(Sheet1!Z350-AJ350+(Sheet1!CW350-E350)*CFStoMGD,0)</f>
        <v>785.52736082474087</v>
      </c>
      <c r="J350" s="720">
        <f>IF(AND(B350&gt;=Calculation!FS350,B350&lt;=Calculation!FT350),IF(Sheet1!CX350&gt;=Calculation!D350,64.64,0),MAX(Sheet1!Z350-AJ350+(Sheet1!CX350-D350)*CFStoMGD,0))</f>
        <v>466.13842749140758</v>
      </c>
      <c r="K350" s="697">
        <f t="shared" si="939"/>
        <v>64.64</v>
      </c>
      <c r="L350" s="712">
        <f>Sheet1!AA350+Sheet1!AB350-Sheet1!L350+(Sheet1!CW350-F350)*CFStoMGD</f>
        <v>829.09000000000128</v>
      </c>
      <c r="M350" s="712">
        <f t="shared" si="940"/>
        <v>693.11107897128431</v>
      </c>
      <c r="N350" s="712">
        <f>IF(Sheet1!CW350&gt;=F350,MIN(73,MIN(MAX(L350,0),MAX(M350,0))),0)</f>
        <v>73</v>
      </c>
      <c r="O350" s="721">
        <f>Sheet1!AA350+Sheet1!AB350</f>
        <v>51.110000000000582</v>
      </c>
      <c r="P350" s="721">
        <f t="shared" si="941"/>
        <v>79.0671700000009</v>
      </c>
      <c r="Q350" s="712">
        <f>MIN(N350,Sheet1!AA350+AG350)</f>
        <v>46.092639175257958</v>
      </c>
      <c r="R350" s="712">
        <f t="shared" si="942"/>
        <v>5.0173608247426245</v>
      </c>
      <c r="S350" s="721">
        <f>Sheet1!Y350*MGDtoCFS</f>
        <v>41.846350000000001</v>
      </c>
      <c r="T350" s="721">
        <f>Sheet1!Z350*MGDtoCFS</f>
        <v>29.872569999999996</v>
      </c>
      <c r="U350" s="721">
        <f>Sheet1!AA350*MGDtoCFS</f>
        <v>41.041909999998197</v>
      </c>
      <c r="V350" s="721">
        <f>Sheet1!AB350*MGDtoCFS</f>
        <v>38.025260000002703</v>
      </c>
      <c r="W350" s="721">
        <f>Sheet1!L350*MGDtoCFS</f>
        <v>12.066599999998873</v>
      </c>
      <c r="X350" s="697">
        <f t="shared" si="943"/>
        <v>0</v>
      </c>
      <c r="Y350" s="712">
        <f t="shared" si="944"/>
        <v>0</v>
      </c>
      <c r="Z350" s="712">
        <f t="shared" si="945"/>
        <v>0</v>
      </c>
      <c r="AA350" s="712">
        <f t="shared" si="946"/>
        <v>0</v>
      </c>
      <c r="AB350" s="712">
        <f>(VLOOKUP(Sheet1!CY350,hhdcap_wcm,4)-(((VLOOKUP(Sheet1!CY350,hhdcap_wcm,3)-Sheet1!CY350)/(VLOOKUP(Sheet1!CY350,hhdcap_wcm,3)-VLOOKUP(Sheet1!CY350,hhdcap_wcm,1)))*(VLOOKUP(Sheet1!CY350,hhdcap_wcm,4)-VLOOKUP(Sheet1!CY350,hhdcap_wcm,2))))</f>
        <v>1972.9000000028364</v>
      </c>
      <c r="AC350" s="712">
        <f t="shared" si="947"/>
        <v>74.340000000086093</v>
      </c>
      <c r="AD350" s="712">
        <f t="shared" si="948"/>
        <v>0</v>
      </c>
      <c r="AE350" s="712">
        <f t="shared" si="949"/>
        <v>0</v>
      </c>
      <c r="AF350" s="712">
        <f>Sheet1!BA350+Sheet1!BB350+Sheet1!BN350+BT350</f>
        <v>19.3</v>
      </c>
      <c r="AG350" s="712">
        <f t="shared" si="950"/>
        <v>19.562639175259122</v>
      </c>
      <c r="AH350" s="712">
        <f>Sheet1!BA350+BT350</f>
        <v>0</v>
      </c>
      <c r="AI350" s="712">
        <f>Sheet1!BA350+Sheet1!BB350+BT350</f>
        <v>0</v>
      </c>
      <c r="AJ350" s="712">
        <f>IF((Sheet1!AA350+AG350+AX350+AZ350+BQ350+BS350+CL350+CN350)&lt;=N350,AG350+AX350+AZ350+BQ350+BS350+CL350+CN350,N350-Sheet1!AA350)</f>
        <v>19.562639175259122</v>
      </c>
      <c r="AK350" s="712">
        <f>IF(DR350&lt;K350,0,MAX(Sheet1!AA350+AG350-15/36*K350-N350,Sheet1!ED350,0))</f>
        <v>0</v>
      </c>
      <c r="AL350" s="712">
        <f>IF(OR(B350&gt;=FT350,B350&lt;FS350),0,15/36*K350-MAX(0,64.6-(137.6-(Sheet1!AA350+Sheet1!AB350))))</f>
        <v>0</v>
      </c>
      <c r="AM350" s="712">
        <f>Sheet1!CX350-110</f>
        <v>911.52083333333337</v>
      </c>
      <c r="AN350" s="712">
        <f>Sheet1!CW350-265</f>
        <v>1200.625</v>
      </c>
      <c r="AO350" s="712">
        <f t="shared" si="934"/>
        <v>26.907360824742042</v>
      </c>
      <c r="AP350" s="712">
        <f t="shared" si="951"/>
        <v>0</v>
      </c>
      <c r="AQ350" s="712">
        <f t="shared" si="952"/>
        <v>0</v>
      </c>
      <c r="AR350" s="712">
        <f t="shared" si="953"/>
        <v>0</v>
      </c>
      <c r="AS350" s="712"/>
      <c r="AT350" s="712">
        <f ca="1">IF(B350&gt;Summary!$A$1,#N/A,AR350*MGtoAF)</f>
        <v>0</v>
      </c>
      <c r="AU350" s="712">
        <f>Sheet1!BG350+Sheet1!BH350+Sheet1!BI350-BC350</f>
        <v>0</v>
      </c>
      <c r="AV350" s="712">
        <f t="shared" si="954"/>
        <v>0</v>
      </c>
      <c r="AW350" s="712">
        <f>IF(Sheet1!EL350="FM",BC350,0)</f>
        <v>0</v>
      </c>
      <c r="AX350" s="712">
        <f t="shared" si="955"/>
        <v>0</v>
      </c>
      <c r="AY350" s="712">
        <f>IF(Sheet1!EL350="OTHER",BC350,0)</f>
        <v>0</v>
      </c>
      <c r="AZ350" s="712">
        <f t="shared" si="956"/>
        <v>0</v>
      </c>
      <c r="BA350" s="712">
        <f t="shared" si="957"/>
        <v>0</v>
      </c>
      <c r="BB350" s="712">
        <f t="shared" si="958"/>
        <v>0</v>
      </c>
      <c r="BC350" s="712">
        <f>IF(OR(Sheet1!EL350="FM", Sheet1!EL350="OTHER"),SUM(Sheet1!BG350:'Sheet1'!BI350),0)</f>
        <v>0</v>
      </c>
      <c r="BD350" s="697">
        <f>IF(AND($B350&gt;=$FL350,$B350&lt;=$FM350),MAX(AV350,Sheet1!EE350,0),MAX(AV350-(7/36)*$K350,0))</f>
        <v>0</v>
      </c>
      <c r="BE350" s="712">
        <f t="shared" si="959"/>
        <v>0</v>
      </c>
      <c r="BF350" s="697">
        <f t="shared" si="960"/>
        <v>0</v>
      </c>
      <c r="BG350" s="697">
        <f>IF(AND($O350&gt;0,Sheet1!EI350=1),(1-($O350-Sheet1!$L350)/$O350)*BB350,0)</f>
        <v>0</v>
      </c>
      <c r="BH350" s="697">
        <f>IF(AND(Sheet1!$L350=0,Sheet1!$L349=0, Calculation!BA350&lt;Sheet1!$EE350-0.1,Sheet1!$EE350=Sheet1!$EE349,Sheet1!$EE350=Sheet1!$EE351),Sheet1!$EE350,BB350-BG350)</f>
        <v>0</v>
      </c>
      <c r="BI350" s="712"/>
      <c r="BJ350" s="712"/>
      <c r="BK350" s="712">
        <f t="shared" si="961"/>
        <v>0</v>
      </c>
      <c r="BL350" s="712"/>
      <c r="BM350" s="712">
        <f ca="1">IF(B350&gt;Summary!$A$1,#N/A,BK350*MGtoAF)</f>
        <v>0</v>
      </c>
      <c r="BN350" s="712">
        <f>Sheet1!BC350+Sheet1!BD350+Sheet1!BE350+Sheet1!BF350-BW350-BX350</f>
        <v>1.0899999999999999</v>
      </c>
      <c r="BO350" s="712">
        <f t="shared" si="962"/>
        <v>1.1048329896908</v>
      </c>
      <c r="BP350" s="712">
        <f>IF(Sheet1!EM350="FM",BX350,0)</f>
        <v>0</v>
      </c>
      <c r="BQ350" s="712">
        <f t="shared" si="963"/>
        <v>0</v>
      </c>
      <c r="BR350" s="712">
        <f>IF(Sheet1!EM350="OTHER",BX350,0)</f>
        <v>0</v>
      </c>
      <c r="BS350" s="712">
        <f t="shared" si="964"/>
        <v>0</v>
      </c>
      <c r="BT350" s="712">
        <f t="shared" si="965"/>
        <v>0</v>
      </c>
      <c r="BU350" s="712">
        <f t="shared" si="966"/>
        <v>1.0899999999999999</v>
      </c>
      <c r="BV350" s="712">
        <f t="shared" si="967"/>
        <v>1.1048329896908</v>
      </c>
      <c r="BW350" s="712">
        <f>IF(Sheet1!EM350="CWA",SUM(Sheet1!BC350:'Sheet1'!BF350),0)</f>
        <v>0</v>
      </c>
      <c r="BX350" s="712">
        <f>IF(OR(Sheet1!EM350="FM", Sheet1!EM350="OTHER"),SUM(Sheet1!BC350:'Sheet1'!BF350),0)</f>
        <v>0</v>
      </c>
      <c r="BY350" s="697">
        <f>IF(AND($B350&gt;=$FL350,$B350&lt;=$FM350),MAX(BV350,Sheet1!EF350,0),MAX(BV350-(7/36)*$K350,0))</f>
        <v>0</v>
      </c>
      <c r="BZ350" s="712">
        <f t="shared" si="968"/>
        <v>0</v>
      </c>
      <c r="CA350" s="697">
        <f t="shared" si="969"/>
        <v>1.1048329896908</v>
      </c>
      <c r="CB350" s="697">
        <f>IF(AND($O350&gt;0,Sheet1!EJ350=1),(1-($O350-Sheet1!$L350)/$O350)*BV350,0)</f>
        <v>0</v>
      </c>
      <c r="CC350" s="697">
        <f>IF(AND(Sheet1!$L350=0,Sheet1!$L349=0, Calculation!BU350&lt;Sheet1!EF350-0.1,Sheet1!EF350=Sheet1!EF349,Sheet1!EF350=Sheet1!EF351),Sheet1!EF350,BV350-CB350)</f>
        <v>1.1048329896908</v>
      </c>
      <c r="CD350" s="697"/>
      <c r="CE350" s="712"/>
      <c r="CF350" s="712">
        <f t="shared" si="970"/>
        <v>0</v>
      </c>
      <c r="CG350" s="712"/>
      <c r="CH350" s="712">
        <f ca="1">IF(B350&gt;Summary!$A$1,#N/A,CF350*MGtoAF)</f>
        <v>0</v>
      </c>
      <c r="CI350" s="712">
        <f>Sheet1!BK350+Sheet1!BL350+Sheet1!BM350-Sheet1!EN350-CQ350</f>
        <v>3.8600000000000003</v>
      </c>
      <c r="CJ350" s="712">
        <f t="shared" si="971"/>
        <v>3.9125278350518249</v>
      </c>
      <c r="CK350" s="712">
        <f>IF(Sheet1!EN350="FM",CQ350,0)</f>
        <v>0</v>
      </c>
      <c r="CL350" s="712">
        <f t="shared" si="972"/>
        <v>0</v>
      </c>
      <c r="CM350" s="712">
        <f>IF(Sheet1!EN350="OTHER",CQ350,0)</f>
        <v>0</v>
      </c>
      <c r="CN350" s="712">
        <f t="shared" si="973"/>
        <v>0</v>
      </c>
      <c r="CO350" s="712">
        <f t="shared" si="974"/>
        <v>3.8600000000000003</v>
      </c>
      <c r="CP350" s="712">
        <f t="shared" si="975"/>
        <v>3.9125278350518249</v>
      </c>
      <c r="CQ350" s="712">
        <f>IF(OR(Sheet1!EN350="FM", Sheet1!EN350="OTHER"),SUM(Sheet1!BK350:'Sheet1'!BM350),0)</f>
        <v>0</v>
      </c>
      <c r="CR350" s="697">
        <f>IF(AND($B350&gt;=$FL350,$B350&lt;=$FM350),MAX($CJ350,Sheet1!EG350,0),MAX($CJ350-(7/36)*$K350,0))</f>
        <v>0</v>
      </c>
      <c r="CS350" s="712">
        <f t="shared" si="976"/>
        <v>0</v>
      </c>
      <c r="CT350" s="697">
        <f t="shared" si="977"/>
        <v>3.9125278350518249</v>
      </c>
      <c r="CU350" s="697">
        <f>IF(AND($O350&gt;0,Sheet1!EK350=1),(1-($O350-Sheet1!$L350)/$O350)*CP350,0)</f>
        <v>0</v>
      </c>
      <c r="CV350" s="697">
        <f>IF(AND(Sheet1!$L350=0,Sheet1!$L349=0, Calculation!CO350&lt;Sheet1!$EG350-0.1,Sheet1!$EG350=Sheet1!$EG349,Sheet1!$EG350=Sheet1!$EG351),Sheet1!$EG350,CP350-CU350)</f>
        <v>3.9125278350518249</v>
      </c>
      <c r="CW350" s="697"/>
      <c r="CX350" s="712">
        <f t="shared" si="978"/>
        <v>4.95</v>
      </c>
      <c r="CY350" s="712">
        <f t="shared" si="979"/>
        <v>0</v>
      </c>
      <c r="CZ350" s="712">
        <f t="shared" si="980"/>
        <v>5.0173608247426245</v>
      </c>
      <c r="DA350" s="712">
        <f ca="1">IF(B350&gt;Summary!$A$1,#N/A,CY350*MGtoAF)</f>
        <v>0</v>
      </c>
      <c r="DB350" s="712">
        <f t="shared" si="981"/>
        <v>4.95</v>
      </c>
      <c r="DC350" s="712">
        <f t="shared" si="982"/>
        <v>24.25</v>
      </c>
      <c r="DD350" s="712">
        <f>Sheet1!AB350-DC350</f>
        <v>0.33000000000174623</v>
      </c>
      <c r="DE350" s="712">
        <f t="shared" si="983"/>
        <v>1.3608247422752422E-2</v>
      </c>
      <c r="DF350" s="712">
        <f>(VLOOKUP(Sheet1!CY350,hhdcap_wcm,4)-(((VLOOKUP(Sheet1!CY350,hhdcap_wcm,3)-Sheet1!CY350)/(VLOOKUP(Sheet1!CY350,hhdcap_wcm,3)-VLOOKUP(Sheet1!CY350,hhdcap_wcm,1)))*(VLOOKUP(Sheet1!CY350,hhdcap_wcm,4)-VLOOKUP(Sheet1!CY350,hhdcap_wcm,2))))</f>
        <v>1972.9000000028364</v>
      </c>
      <c r="DG350" s="712">
        <f t="shared" si="984"/>
        <v>74.340000000086093</v>
      </c>
      <c r="DH350" s="712">
        <f t="shared" si="985"/>
        <v>37.488653555262772</v>
      </c>
      <c r="DI350" s="712">
        <f>Sheet1!DW350*AFtoMG</f>
        <v>0</v>
      </c>
      <c r="DJ350" s="712">
        <f>Sheet1!DX350*AFtoMG</f>
        <v>0</v>
      </c>
      <c r="DK350" s="712">
        <f>Sheet1!DY350*AFtoMG</f>
        <v>0</v>
      </c>
      <c r="DL350" s="712">
        <f>Sheet1!DZ350*AFtoMG</f>
        <v>0</v>
      </c>
      <c r="DM350" s="712">
        <f t="shared" si="986"/>
        <v>0</v>
      </c>
      <c r="DN350" s="712">
        <f t="shared" si="987"/>
        <v>0</v>
      </c>
      <c r="DO350" s="712">
        <f t="shared" si="988"/>
        <v>0</v>
      </c>
      <c r="DP350" s="712">
        <f t="shared" si="989"/>
        <v>0</v>
      </c>
      <c r="DQ350" s="712"/>
      <c r="DR350" s="697">
        <f>IF(OR(B350&lt;FL350,B350&gt;FM350),(MIN(AV350+BO350+CJ350+MAX(Sheet1!AA350+AG350-73,0),K350)),0)</f>
        <v>5.0173608247426245</v>
      </c>
      <c r="DS350" s="712"/>
      <c r="DT350" s="712">
        <f t="shared" si="990"/>
        <v>5.0173608247426245</v>
      </c>
      <c r="DU350" s="712"/>
      <c r="DV350" s="712">
        <f>Sheet1!ED350+Sheet1!EE350+Sheet1!EF350+Sheet1!EG350</f>
        <v>8.5</v>
      </c>
      <c r="DW350" s="712"/>
      <c r="DX350" s="697">
        <f t="shared" si="991"/>
        <v>0</v>
      </c>
      <c r="DY350" s="712">
        <f>IF(Sheet1!FN350=1,SUM('Calculations II'!AT350:BA350)+'Calculations II'!BC350+Sheet1!BU350+'Calculations II'!BE350+AF350,SUM('Calculations II'!AT350:BA350)+'Calculations II'!BC350+Sheet1!BU350+'Calculations II'!BE350+AF350)</f>
        <v>40.675728000000007</v>
      </c>
      <c r="DZ350" s="712">
        <f>Sheet1!AA350+Sheet1!AB350+'Calculations II'!BC350</f>
        <v>51.110000000000582</v>
      </c>
      <c r="EA350" s="712"/>
      <c r="EB350" s="712"/>
      <c r="EC350" s="712">
        <f t="shared" si="992"/>
        <v>40879</v>
      </c>
      <c r="ED350" s="712">
        <f t="shared" si="993"/>
        <v>0</v>
      </c>
      <c r="EE350" s="712">
        <f t="shared" si="994"/>
        <v>0</v>
      </c>
      <c r="EF350" s="712">
        <f ca="1">IF(B350=TODAY(),0,-(VLOOKUP(Sheet1!BQ350,Lookup!$B$4:$J$236,2)-VLOOKUP(Sheet1!BQ349,Lookup!$B$4:$J$236,2))/1000000)</f>
        <v>-1.3491</v>
      </c>
      <c r="EG350" s="712">
        <f ca="1">IF(B350=TODAY(),0,-(VLOOKUP(Sheet1!BR350,Lookup!$B$4:$J$236,3)-VLOOKUP(Sheet1!BR349,Lookup!$B$4:$J$236,3))/1000000)</f>
        <v>-1.3466</v>
      </c>
      <c r="EH350" s="712">
        <f>-(VLOOKUP(Sheet1!BS350,Lookup!$B$4:$J$236,4)-VLOOKUP(Sheet1!BS349,Lookup!$B$4:$J$236,4))/1000000</f>
        <v>0</v>
      </c>
      <c r="EI350" s="697">
        <f t="shared" ca="1" si="922"/>
        <v>-2.6957</v>
      </c>
      <c r="EJ350" s="712"/>
      <c r="EK350" s="712"/>
      <c r="EL350" s="712"/>
      <c r="EM350" s="712"/>
      <c r="EN350" s="712"/>
      <c r="EO350" s="712"/>
      <c r="EP350" s="712"/>
      <c r="EQ350" s="712"/>
      <c r="ER350" s="712"/>
      <c r="ES350" s="712"/>
      <c r="ET350" s="794">
        <f t="shared" si="919"/>
        <v>1074.3</v>
      </c>
      <c r="EU350" s="794" t="e">
        <f t="shared" si="924"/>
        <v>#N/A</v>
      </c>
      <c r="EV350" s="795" t="e">
        <f t="shared" si="925"/>
        <v>#N/A</v>
      </c>
      <c r="EW350" s="796" t="s">
        <v>757</v>
      </c>
      <c r="EX350" s="796" t="s">
        <v>757</v>
      </c>
      <c r="EY350" s="794" t="e">
        <v>#N/A</v>
      </c>
      <c r="EZ350" s="794" t="e">
        <v>#N/A</v>
      </c>
      <c r="FA350" s="712"/>
      <c r="FB350" s="712"/>
      <c r="FC350" s="712"/>
      <c r="FD350" s="712"/>
      <c r="FE350" s="712">
        <f>O350+Sheet1!CO350</f>
        <v>51.110000000000582</v>
      </c>
      <c r="FF350" s="712">
        <f>IF(Sheet1!AA350+AG350&lt;=Calculation!N350,AG350,Calculation!N350-Sheet1!AA350)</f>
        <v>19.562639175259122</v>
      </c>
      <c r="FG350" s="712">
        <f>(Sheet1!BP350+Sheet1!BO350)/694.4</f>
        <v>1.9163306451612905</v>
      </c>
      <c r="FH350" s="712"/>
      <c r="FI350" s="712"/>
      <c r="FJ350" s="712"/>
      <c r="FK350" s="712"/>
      <c r="FL350" s="714">
        <f t="shared" si="929"/>
        <v>40753</v>
      </c>
      <c r="FM350" s="714">
        <f t="shared" si="930"/>
        <v>40851</v>
      </c>
      <c r="FN350" s="712"/>
      <c r="FO350" s="712"/>
      <c r="FP350" s="712"/>
      <c r="FQ350" s="712"/>
      <c r="FR350" s="712"/>
      <c r="FS350" s="725">
        <f t="shared" si="935"/>
        <v>40603</v>
      </c>
      <c r="FT350" s="714">
        <f t="shared" si="932"/>
        <v>40709</v>
      </c>
      <c r="FU350" s="712">
        <f t="shared" si="935"/>
        <v>6518.9048239895692</v>
      </c>
      <c r="FV350" s="714">
        <f t="shared" si="933"/>
        <v>40722</v>
      </c>
      <c r="FW350" s="712">
        <f t="shared" si="935"/>
        <v>3259.4524119947846</v>
      </c>
      <c r="FX350" s="725">
        <f t="shared" si="935"/>
        <v>40851</v>
      </c>
      <c r="FZ350" s="697">
        <f t="shared" si="926"/>
        <v>0</v>
      </c>
      <c r="GA350" s="712" t="str">
        <f t="shared" si="995"/>
        <v/>
      </c>
      <c r="GB350" s="712">
        <f t="shared" si="996"/>
        <v>0</v>
      </c>
      <c r="GC350" s="712" t="str">
        <f t="shared" si="997"/>
        <v/>
      </c>
      <c r="GD350" s="712">
        <f>IF(GA350="P",Lookup!$M$12,IF(GA350="PP",Lookup!$M$13,IF(GA350="PPP",Lookup!$M$14,IF(GA350="T",Lookup!$M$15,IF(GA350="TP",Lookup!$M$16,IF(GA350="TPP",Lookup!$M$17,IF(GA350="TPPP",Lookup!$M$18,0)))))))*FZ350</f>
        <v>0</v>
      </c>
      <c r="GE350" s="712">
        <f t="shared" si="998"/>
        <v>0</v>
      </c>
      <c r="GF350" s="712">
        <f t="shared" si="999"/>
        <v>0</v>
      </c>
      <c r="GG350" s="712">
        <f t="shared" si="1000"/>
        <v>0</v>
      </c>
      <c r="GH350" s="712"/>
      <c r="GI350" s="712">
        <f t="shared" si="1001"/>
        <v>0</v>
      </c>
      <c r="GJ350" s="712" t="str">
        <f t="shared" si="1002"/>
        <v/>
      </c>
      <c r="GK350" s="712">
        <f>IF(GA350="P",Lookup!$N$12,IF(GA350="PP",Lookup!$N$13,IF(GA350="PPP",Lookup!$N$14,IF(GA350="T",Lookup!$N$15,IF(GA350="TP",Lookup!$N$16,IF(GA350="TPP",Lookup!$N$17,IF(GA350="TPPP",Lookup!$N$18,0)))))))*FZ350</f>
        <v>0</v>
      </c>
      <c r="GL350" s="712">
        <f t="shared" si="1003"/>
        <v>0</v>
      </c>
      <c r="GM350" s="712">
        <f t="shared" si="1004"/>
        <v>0</v>
      </c>
      <c r="GN350" s="712">
        <f t="shared" si="1005"/>
        <v>0</v>
      </c>
      <c r="GO350" s="712"/>
      <c r="GP350" s="712">
        <f t="shared" si="1006"/>
        <v>0</v>
      </c>
      <c r="GQ350" s="712" t="str">
        <f t="shared" si="1007"/>
        <v/>
      </c>
      <c r="GR350" s="712">
        <f>IF(GA350="P",Lookup!$N$12,IF(GA350="PP",Lookup!$N$13,IF(GA350="PPP",Lookup!$N$14,IF(GA350="T",Lookup!$N$15,IF(GA350="TP",Lookup!$N$16,IF(GA350="TPP",Lookup!$N$17,IF(GA350="TPPP",Lookup!$N$18,0)))))))*FZ350</f>
        <v>0</v>
      </c>
      <c r="GS350" s="697">
        <f t="shared" si="927"/>
        <v>0</v>
      </c>
      <c r="GT350" s="712">
        <f t="shared" si="1008"/>
        <v>0</v>
      </c>
      <c r="GU350" s="712">
        <f t="shared" si="1009"/>
        <v>0</v>
      </c>
      <c r="GV350" s="712"/>
      <c r="GW350" s="712">
        <f t="shared" si="1010"/>
        <v>0</v>
      </c>
      <c r="GX350" s="712" t="str">
        <f t="shared" si="1011"/>
        <v/>
      </c>
      <c r="GY350" s="712">
        <f>IF(GA350="P",Lookup!$N$12,IF(GA350="PP",Lookup!$N$13,IF(GA350="PPP",Lookup!$N$14,IF(GA350="T",Lookup!$N$15,IF(GA350="TP",Lookup!$N$16,IF(GA350="TPP",Lookup!$N$17,IF(GA350="TPPP",Lookup!$N$18,0)))))))*FZ350</f>
        <v>0</v>
      </c>
      <c r="GZ350" s="697">
        <f t="shared" si="928"/>
        <v>0</v>
      </c>
      <c r="HA350" s="712">
        <f t="shared" si="1012"/>
        <v>0</v>
      </c>
      <c r="HB350" s="712">
        <f t="shared" si="1013"/>
        <v>0</v>
      </c>
      <c r="HC350" s="712"/>
    </row>
    <row r="351" spans="1:211">
      <c r="A351" s="773" t="s">
        <v>9</v>
      </c>
      <c r="B351" s="708">
        <v>40880</v>
      </c>
      <c r="C351" s="719">
        <v>0.5</v>
      </c>
      <c r="D351" s="675">
        <f t="shared" si="936"/>
        <v>300</v>
      </c>
      <c r="E351" s="675">
        <f t="shared" si="937"/>
        <v>250</v>
      </c>
      <c r="F351" s="675">
        <v>250</v>
      </c>
      <c r="G351" s="712">
        <f>DH351+Sheet1!CV351</f>
        <v>949.46923852745454</v>
      </c>
      <c r="H351" s="712">
        <f t="shared" si="938"/>
        <v>346.77371578414659</v>
      </c>
      <c r="I351" s="711">
        <f>MAX(Sheet1!Z351-AJ351+(Sheet1!CW351-E351)*CFStoMGD,0)</f>
        <v>701.40017765178357</v>
      </c>
      <c r="J351" s="720">
        <f>IF(AND(B351&gt;=Calculation!FS351,B351&lt;=Calculation!FT351),IF(Sheet1!CX351&gt;=Calculation!D351,64.64,0),MAX(Sheet1!Z351-AJ351+(Sheet1!CX351-D351)*CFStoMGD,0))</f>
        <v>424.74097765178357</v>
      </c>
      <c r="K351" s="697">
        <f t="shared" si="939"/>
        <v>64.64</v>
      </c>
      <c r="L351" s="712">
        <f>Sheet1!AA351+Sheet1!AB351-Sheet1!L351+(Sheet1!CW351-F351)*CFStoMGD</f>
        <v>748.67066666666665</v>
      </c>
      <c r="M351" s="712">
        <f t="shared" si="940"/>
        <v>626.01165409982957</v>
      </c>
      <c r="N351" s="712">
        <f>IF(Sheet1!CW351&gt;=F351,MIN(73,MIN(MAX(L351,0),MAX(M351,0))),0)</f>
        <v>73</v>
      </c>
      <c r="O351" s="721">
        <f>Sheet1!AA351+Sheet1!AB351</f>
        <v>55.07</v>
      </c>
      <c r="P351" s="721">
        <f t="shared" si="941"/>
        <v>85.19328999999999</v>
      </c>
      <c r="Q351" s="712">
        <f>MIN(N351,Sheet1!AA351+AG351)</f>
        <v>46.560489014883061</v>
      </c>
      <c r="R351" s="712">
        <f t="shared" si="942"/>
        <v>8.5095109851169379</v>
      </c>
      <c r="S351" s="721">
        <f>Sheet1!Y351*MGDtoCFS</f>
        <v>41.258490000000002</v>
      </c>
      <c r="T351" s="721">
        <f>Sheet1!Z351*MGDtoCFS</f>
        <v>43.022069999999999</v>
      </c>
      <c r="U351" s="721">
        <f>Sheet1!AA351*MGDtoCFS</f>
        <v>41.072850000000003</v>
      </c>
      <c r="V351" s="721">
        <f>Sheet1!AB351*MGDtoCFS</f>
        <v>44.120439999999995</v>
      </c>
      <c r="W351" s="721">
        <f>Sheet1!L351*MGDtoCFS</f>
        <v>0</v>
      </c>
      <c r="X351" s="697">
        <f t="shared" si="943"/>
        <v>0</v>
      </c>
      <c r="Y351" s="712">
        <f t="shared" si="944"/>
        <v>0</v>
      </c>
      <c r="Z351" s="712">
        <f t="shared" si="945"/>
        <v>0</v>
      </c>
      <c r="AA351" s="712">
        <f t="shared" si="946"/>
        <v>0</v>
      </c>
      <c r="AB351" s="712">
        <f>(VLOOKUP(Sheet1!CY351,hhdcap_wcm,4)-(((VLOOKUP(Sheet1!CY351,hhdcap_wcm,3)-Sheet1!CY351)/(VLOOKUP(Sheet1!CY351,hhdcap_wcm,3)-VLOOKUP(Sheet1!CY351,hhdcap_wcm,1)))*(VLOOKUP(Sheet1!CY351,hhdcap_wcm,4)-VLOOKUP(Sheet1!CY351,hhdcap_wcm,2))))</f>
        <v>1933.8400000027789</v>
      </c>
      <c r="AC351" s="712">
        <f t="shared" si="947"/>
        <v>-39.060000000057471</v>
      </c>
      <c r="AD351" s="712">
        <f t="shared" si="948"/>
        <v>0</v>
      </c>
      <c r="AE351" s="712">
        <f t="shared" si="949"/>
        <v>0</v>
      </c>
      <c r="AF351" s="712">
        <f>Sheet1!BA351+Sheet1!BB351+Sheet1!BN351+BT351</f>
        <v>19.8</v>
      </c>
      <c r="AG351" s="712">
        <f t="shared" si="950"/>
        <v>20.010489014883063</v>
      </c>
      <c r="AH351" s="712">
        <f>Sheet1!BA351+BT351</f>
        <v>0</v>
      </c>
      <c r="AI351" s="712">
        <f>Sheet1!BA351+Sheet1!BB351+BT351</f>
        <v>0</v>
      </c>
      <c r="AJ351" s="712">
        <f>IF((Sheet1!AA351+AG351+AX351+AZ351+BQ351+BS351+CL351+CN351)&lt;=N351,AG351+AX351+AZ351+BQ351+BS351+CL351+CN351,N351-Sheet1!AA351)</f>
        <v>20.010489014883063</v>
      </c>
      <c r="AK351" s="712">
        <f>IF(DR351&lt;K351,0,MAX(Sheet1!AA351+AG351-15/36*K351-N351,Sheet1!ED351,0))</f>
        <v>0</v>
      </c>
      <c r="AL351" s="712">
        <f>IF(OR(B351&gt;=FT351,B351&lt;FS351),0,15/36*K351-MAX(0,64.6-(137.6-(Sheet1!AA351+Sheet1!AB351))))</f>
        <v>0</v>
      </c>
      <c r="AM351" s="712">
        <f>Sheet1!CX351-110</f>
        <v>835.02083333333337</v>
      </c>
      <c r="AN351" s="712">
        <f>Sheet1!CW351-265</f>
        <v>1058.0208333333333</v>
      </c>
      <c r="AO351" s="712">
        <f t="shared" si="934"/>
        <v>26.439510985116939</v>
      </c>
      <c r="AP351" s="712">
        <f t="shared" si="951"/>
        <v>0</v>
      </c>
      <c r="AQ351" s="712">
        <f t="shared" si="952"/>
        <v>0</v>
      </c>
      <c r="AR351" s="712">
        <f t="shared" si="953"/>
        <v>0</v>
      </c>
      <c r="AS351" s="712"/>
      <c r="AT351" s="712">
        <f ca="1">IF(B351&gt;Summary!$A$1,#N/A,AR351*MGtoAF)</f>
        <v>0</v>
      </c>
      <c r="AU351" s="712">
        <f>Sheet1!BG351+Sheet1!BH351+Sheet1!BI351-BC351</f>
        <v>0</v>
      </c>
      <c r="AV351" s="712">
        <f t="shared" si="954"/>
        <v>0</v>
      </c>
      <c r="AW351" s="712">
        <f>IF(Sheet1!EL351="FM",BC351,0)</f>
        <v>0</v>
      </c>
      <c r="AX351" s="712">
        <f t="shared" si="955"/>
        <v>0</v>
      </c>
      <c r="AY351" s="712">
        <f>IF(Sheet1!EL351="OTHER",BC351,0)</f>
        <v>0</v>
      </c>
      <c r="AZ351" s="712">
        <f t="shared" si="956"/>
        <v>0</v>
      </c>
      <c r="BA351" s="712">
        <f t="shared" si="957"/>
        <v>0</v>
      </c>
      <c r="BB351" s="712">
        <f t="shared" si="958"/>
        <v>0</v>
      </c>
      <c r="BC351" s="712">
        <f>IF(OR(Sheet1!EL351="FM", Sheet1!EL351="OTHER"),SUM(Sheet1!BG351:'Sheet1'!BI351),0)</f>
        <v>0</v>
      </c>
      <c r="BD351" s="697">
        <f>IF(AND($B351&gt;=$FL351,$B351&lt;=$FM351),MAX(AV351,Sheet1!EE351,0),MAX(AV351-(7/36)*$K351,0))</f>
        <v>0</v>
      </c>
      <c r="BE351" s="712">
        <f t="shared" si="959"/>
        <v>0</v>
      </c>
      <c r="BF351" s="697">
        <f t="shared" si="960"/>
        <v>0</v>
      </c>
      <c r="BG351" s="697">
        <f>IF(AND($O351&gt;0,Sheet1!EI351=1),(1-($O351-Sheet1!$L351)/$O351)*BB351,0)</f>
        <v>0</v>
      </c>
      <c r="BH351" s="697">
        <f>IF(AND(Sheet1!$L351=0,Sheet1!$L350=0, Calculation!BA351&lt;Sheet1!$EE351-0.1,Sheet1!$EE351=Sheet1!$EE350,Sheet1!$EE351=Sheet1!$EE352),Sheet1!$EE351,BB351-BG351)</f>
        <v>0</v>
      </c>
      <c r="BI351" s="712"/>
      <c r="BJ351" s="712"/>
      <c r="BK351" s="712">
        <f t="shared" si="961"/>
        <v>0</v>
      </c>
      <c r="BL351" s="712"/>
      <c r="BM351" s="712">
        <f ca="1">IF(B351&gt;Summary!$A$1,#N/A,BK351*MGtoAF)</f>
        <v>0</v>
      </c>
      <c r="BN351" s="712">
        <f>Sheet1!BC351+Sheet1!BD351+Sheet1!BE351+Sheet1!BF351-BW351-BX351</f>
        <v>2.02</v>
      </c>
      <c r="BO351" s="712">
        <f t="shared" si="962"/>
        <v>2.0414741318214031</v>
      </c>
      <c r="BP351" s="712">
        <f>IF(Sheet1!EM351="FM",BX351,0)</f>
        <v>0</v>
      </c>
      <c r="BQ351" s="712">
        <f t="shared" si="963"/>
        <v>0</v>
      </c>
      <c r="BR351" s="712">
        <f>IF(Sheet1!EM351="OTHER",BX351,0)</f>
        <v>0</v>
      </c>
      <c r="BS351" s="712">
        <f t="shared" si="964"/>
        <v>0</v>
      </c>
      <c r="BT351" s="712">
        <f t="shared" si="965"/>
        <v>0</v>
      </c>
      <c r="BU351" s="712">
        <f t="shared" si="966"/>
        <v>2.02</v>
      </c>
      <c r="BV351" s="712">
        <f t="shared" si="967"/>
        <v>2.0414741318214031</v>
      </c>
      <c r="BW351" s="712">
        <f>IF(Sheet1!EM351="CWA",SUM(Sheet1!BC351:'Sheet1'!BF351),0)</f>
        <v>0</v>
      </c>
      <c r="BX351" s="712">
        <f>IF(OR(Sheet1!EM351="FM", Sheet1!EM351="OTHER"),SUM(Sheet1!BC351:'Sheet1'!BF351),0)</f>
        <v>0</v>
      </c>
      <c r="BY351" s="697">
        <f>IF(AND($B351&gt;=$FL351,$B351&lt;=$FM351),MAX(BV351,Sheet1!EF351,0),MAX(BV351-(7/36)*$K351,0))</f>
        <v>0</v>
      </c>
      <c r="BZ351" s="712">
        <f t="shared" si="968"/>
        <v>0</v>
      </c>
      <c r="CA351" s="697">
        <f t="shared" si="969"/>
        <v>2.0414741318214031</v>
      </c>
      <c r="CB351" s="697">
        <f>IF(AND($O351&gt;0,Sheet1!EJ351=1),(1-($O351-Sheet1!$L351)/$O351)*BV351,0)</f>
        <v>0</v>
      </c>
      <c r="CC351" s="697">
        <f>IF(AND(Sheet1!$L351=0,Sheet1!$L350=0, Calculation!BU351&lt;Sheet1!EF351-0.1,Sheet1!EF351=Sheet1!EF350,Sheet1!EF351=Sheet1!EF352),Sheet1!EF351,BV351-CB351)</f>
        <v>2.0414741318214031</v>
      </c>
      <c r="CD351" s="697"/>
      <c r="CE351" s="712"/>
      <c r="CF351" s="712">
        <f t="shared" si="970"/>
        <v>0</v>
      </c>
      <c r="CG351" s="712"/>
      <c r="CH351" s="712">
        <f ca="1">IF(B351&gt;Summary!$A$1,#N/A,CF351*MGtoAF)</f>
        <v>0</v>
      </c>
      <c r="CI351" s="712">
        <f>Sheet1!BK351+Sheet1!BL351+Sheet1!BM351-Sheet1!EN351-CQ351</f>
        <v>6.4</v>
      </c>
      <c r="CJ351" s="712">
        <f t="shared" si="971"/>
        <v>6.4680368532955352</v>
      </c>
      <c r="CK351" s="712">
        <f>IF(Sheet1!EN351="FM",CQ351,0)</f>
        <v>0</v>
      </c>
      <c r="CL351" s="712">
        <f t="shared" si="972"/>
        <v>0</v>
      </c>
      <c r="CM351" s="712">
        <f>IF(Sheet1!EN351="OTHER",CQ351,0)</f>
        <v>0</v>
      </c>
      <c r="CN351" s="712">
        <f t="shared" si="973"/>
        <v>0</v>
      </c>
      <c r="CO351" s="712">
        <f t="shared" si="974"/>
        <v>6.4</v>
      </c>
      <c r="CP351" s="712">
        <f t="shared" si="975"/>
        <v>6.4680368532955352</v>
      </c>
      <c r="CQ351" s="712">
        <f>IF(OR(Sheet1!EN351="FM", Sheet1!EN351="OTHER"),SUM(Sheet1!BK351:'Sheet1'!BM351),0)</f>
        <v>0</v>
      </c>
      <c r="CR351" s="697">
        <f>IF(AND($B351&gt;=$FL351,$B351&lt;=$FM351),MAX($CJ351,Sheet1!EG351,0),MAX($CJ351-(7/36)*$K351,0))</f>
        <v>0</v>
      </c>
      <c r="CS351" s="712">
        <f t="shared" si="976"/>
        <v>0</v>
      </c>
      <c r="CT351" s="697">
        <f t="shared" si="977"/>
        <v>6.4680368532955352</v>
      </c>
      <c r="CU351" s="697">
        <f>IF(AND($O351&gt;0,Sheet1!EK351=1),(1-($O351-Sheet1!$L351)/$O351)*CP351,0)</f>
        <v>0</v>
      </c>
      <c r="CV351" s="697">
        <f>IF(AND(Sheet1!$L351=0,Sheet1!$L350=0, Calculation!CO351&lt;Sheet1!$EG351-0.1,Sheet1!$EG351=Sheet1!$EG350,Sheet1!$EG351=Sheet1!$EG352),Sheet1!$EG351,CP351-CU351)</f>
        <v>6.4680368532955352</v>
      </c>
      <c r="CW351" s="697"/>
      <c r="CX351" s="712">
        <f t="shared" si="978"/>
        <v>8.42</v>
      </c>
      <c r="CY351" s="712">
        <f t="shared" si="979"/>
        <v>0</v>
      </c>
      <c r="CZ351" s="712">
        <f t="shared" si="980"/>
        <v>8.5095109851169379</v>
      </c>
      <c r="DA351" s="712">
        <f ca="1">IF(B351&gt;Summary!$A$1,#N/A,CY351*MGtoAF)</f>
        <v>0</v>
      </c>
      <c r="DB351" s="712">
        <f t="shared" si="981"/>
        <v>8.42</v>
      </c>
      <c r="DC351" s="712">
        <f t="shared" si="982"/>
        <v>28.22</v>
      </c>
      <c r="DD351" s="712">
        <f>Sheet1!AB351-DC351</f>
        <v>0.30000000000000071</v>
      </c>
      <c r="DE351" s="712">
        <f t="shared" si="983"/>
        <v>1.0630758327427383E-2</v>
      </c>
      <c r="DF351" s="712">
        <f>(VLOOKUP(Sheet1!CY351,hhdcap_wcm,4)-(((VLOOKUP(Sheet1!CY351,hhdcap_wcm,3)-Sheet1!CY351)/(VLOOKUP(Sheet1!CY351,hhdcap_wcm,3)-VLOOKUP(Sheet1!CY351,hhdcap_wcm,1)))*(VLOOKUP(Sheet1!CY351,hhdcap_wcm,4)-VLOOKUP(Sheet1!CY351,hhdcap_wcm,2))))</f>
        <v>1933.8400000027789</v>
      </c>
      <c r="DG351" s="712">
        <f t="shared" si="984"/>
        <v>-39.060000000057471</v>
      </c>
      <c r="DH351" s="712">
        <f t="shared" si="985"/>
        <v>-19.697428139212036</v>
      </c>
      <c r="DI351" s="712">
        <f>Sheet1!DW351*AFtoMG</f>
        <v>0</v>
      </c>
      <c r="DJ351" s="712">
        <f>Sheet1!DX351*AFtoMG</f>
        <v>0</v>
      </c>
      <c r="DK351" s="712">
        <f>Sheet1!DY351*AFtoMG</f>
        <v>0</v>
      </c>
      <c r="DL351" s="712">
        <f>Sheet1!DZ351*AFtoMG</f>
        <v>0</v>
      </c>
      <c r="DM351" s="712">
        <f t="shared" si="986"/>
        <v>0</v>
      </c>
      <c r="DN351" s="712">
        <f t="shared" si="987"/>
        <v>0</v>
      </c>
      <c r="DO351" s="712">
        <f t="shared" si="988"/>
        <v>0</v>
      </c>
      <c r="DP351" s="712">
        <f t="shared" si="989"/>
        <v>0</v>
      </c>
      <c r="DQ351" s="712"/>
      <c r="DR351" s="697">
        <f>IF(OR(B351&lt;FL351,B351&gt;FM351),(MIN(AV351+BO351+CJ351+MAX(Sheet1!AA351+AG351-73,0),K351)),0)</f>
        <v>8.5095109851169379</v>
      </c>
      <c r="DS351" s="712"/>
      <c r="DT351" s="712">
        <f t="shared" si="990"/>
        <v>8.5095109851169379</v>
      </c>
      <c r="DU351" s="712"/>
      <c r="DV351" s="712">
        <f>Sheet1!ED351+Sheet1!EE351+Sheet1!EF351+Sheet1!EG351</f>
        <v>8.5</v>
      </c>
      <c r="DW351" s="712"/>
      <c r="DX351" s="697">
        <f t="shared" si="991"/>
        <v>0</v>
      </c>
      <c r="DY351" s="712">
        <f>IF(Sheet1!FN351=1,SUM('Calculations II'!AT351:BA351)+'Calculations II'!BC351+Sheet1!BU351+'Calculations II'!BE351+AF351,SUM('Calculations II'!AT351:BA351)+'Calculations II'!BC351+Sheet1!BU351+'Calculations II'!BE351+AF351)</f>
        <v>42.544607999999997</v>
      </c>
      <c r="DZ351" s="712">
        <f>Sheet1!AA351+Sheet1!AB351+'Calculations II'!BC351</f>
        <v>55.07</v>
      </c>
      <c r="EA351" s="712"/>
      <c r="EB351" s="712"/>
      <c r="EC351" s="712">
        <f t="shared" si="992"/>
        <v>40880</v>
      </c>
      <c r="ED351" s="712">
        <f t="shared" si="993"/>
        <v>0</v>
      </c>
      <c r="EE351" s="712">
        <f t="shared" si="994"/>
        <v>0</v>
      </c>
      <c r="EF351" s="712">
        <f ca="1">IF(B351=TODAY(),0,-(VLOOKUP(Sheet1!BQ351,Lookup!$B$4:$J$236,2)-VLOOKUP(Sheet1!BQ350,Lookup!$B$4:$J$236,2))/1000000)</f>
        <v>-1.0820000000000001</v>
      </c>
      <c r="EG351" s="712">
        <f ca="1">IF(B351=TODAY(),0,-(VLOOKUP(Sheet1!BR351,Lookup!$B$4:$J$236,3)-VLOOKUP(Sheet1!BR350,Lookup!$B$4:$J$236,3))/1000000)</f>
        <v>-0.81</v>
      </c>
      <c r="EH351" s="712">
        <f>-(VLOOKUP(Sheet1!BS351,Lookup!$B$4:$J$236,4)-VLOOKUP(Sheet1!BS350,Lookup!$B$4:$J$236,4))/1000000</f>
        <v>0</v>
      </c>
      <c r="EI351" s="697">
        <f t="shared" ca="1" si="922"/>
        <v>-1.8920000000000001</v>
      </c>
      <c r="EJ351" s="712"/>
      <c r="EK351" s="712"/>
      <c r="EL351" s="712"/>
      <c r="EM351" s="712"/>
      <c r="EN351" s="712"/>
      <c r="EO351" s="712"/>
      <c r="EP351" s="712"/>
      <c r="EQ351" s="712"/>
      <c r="ER351" s="712"/>
      <c r="ES351" s="712"/>
      <c r="ET351" s="794" t="e">
        <f t="shared" si="919"/>
        <v>#N/A</v>
      </c>
      <c r="EU351" s="794" t="e">
        <f t="shared" si="924"/>
        <v>#N/A</v>
      </c>
      <c r="EV351" s="795" t="e">
        <f t="shared" si="925"/>
        <v>#N/A</v>
      </c>
      <c r="EW351" s="796" t="s">
        <v>757</v>
      </c>
      <c r="EX351" s="796" t="s">
        <v>757</v>
      </c>
      <c r="EY351" s="794" t="e">
        <v>#N/A</v>
      </c>
      <c r="EZ351" s="794" t="e">
        <v>#N/A</v>
      </c>
      <c r="FA351" s="712"/>
      <c r="FB351" s="712"/>
      <c r="FC351" s="712"/>
      <c r="FD351" s="712"/>
      <c r="FE351" s="712">
        <f>O351+Sheet1!CO351</f>
        <v>55.07</v>
      </c>
      <c r="FF351" s="712">
        <f>IF(Sheet1!AA351+AG351&lt;=Calculation!N351,AG351,Calculation!N351-Sheet1!AA351)</f>
        <v>20.010489014883063</v>
      </c>
      <c r="FG351" s="712">
        <f>(Sheet1!BP351+Sheet1!BO351)/694.4</f>
        <v>2.2936347926267282</v>
      </c>
      <c r="FH351" s="712"/>
      <c r="FI351" s="712"/>
      <c r="FJ351" s="712"/>
      <c r="FK351" s="712"/>
      <c r="FL351" s="714">
        <f t="shared" si="929"/>
        <v>40753</v>
      </c>
      <c r="FM351" s="714">
        <f t="shared" si="930"/>
        <v>40851</v>
      </c>
      <c r="FN351" s="712"/>
      <c r="FO351" s="712"/>
      <c r="FP351" s="712"/>
      <c r="FQ351" s="712"/>
      <c r="FR351" s="712"/>
      <c r="FS351" s="725">
        <f t="shared" si="935"/>
        <v>40603</v>
      </c>
      <c r="FT351" s="714">
        <f t="shared" si="932"/>
        <v>40709</v>
      </c>
      <c r="FU351" s="712">
        <f t="shared" si="935"/>
        <v>6518.9048239895692</v>
      </c>
      <c r="FV351" s="714">
        <f t="shared" si="933"/>
        <v>40722</v>
      </c>
      <c r="FW351" s="712">
        <f t="shared" si="935"/>
        <v>3259.4524119947846</v>
      </c>
      <c r="FX351" s="725">
        <f t="shared" si="935"/>
        <v>40851</v>
      </c>
      <c r="FZ351" s="697">
        <f t="shared" si="926"/>
        <v>0</v>
      </c>
      <c r="GA351" s="712" t="str">
        <f t="shared" si="995"/>
        <v/>
      </c>
      <c r="GB351" s="712">
        <f t="shared" si="996"/>
        <v>0</v>
      </c>
      <c r="GC351" s="712" t="str">
        <f t="shared" si="997"/>
        <v/>
      </c>
      <c r="GD351" s="712">
        <f>IF(GA351="P",Lookup!$M$12,IF(GA351="PP",Lookup!$M$13,IF(GA351="PPP",Lookup!$M$14,IF(GA351="T",Lookup!$M$15,IF(GA351="TP",Lookup!$M$16,IF(GA351="TPP",Lookup!$M$17,IF(GA351="TPPP",Lookup!$M$18,0)))))))*FZ351</f>
        <v>0</v>
      </c>
      <c r="GE351" s="712">
        <f t="shared" si="998"/>
        <v>0</v>
      </c>
      <c r="GF351" s="712">
        <f t="shared" si="999"/>
        <v>0</v>
      </c>
      <c r="GG351" s="712">
        <f t="shared" si="1000"/>
        <v>0</v>
      </c>
      <c r="GH351" s="712"/>
      <c r="GI351" s="712">
        <f t="shared" si="1001"/>
        <v>0</v>
      </c>
      <c r="GJ351" s="712" t="str">
        <f t="shared" si="1002"/>
        <v/>
      </c>
      <c r="GK351" s="712">
        <f>IF(GA351="P",Lookup!$N$12,IF(GA351="PP",Lookup!$N$13,IF(GA351="PPP",Lookup!$N$14,IF(GA351="T",Lookup!$N$15,IF(GA351="TP",Lookup!$N$16,IF(GA351="TPP",Lookup!$N$17,IF(GA351="TPPP",Lookup!$N$18,0)))))))*FZ351</f>
        <v>0</v>
      </c>
      <c r="GL351" s="712">
        <f t="shared" si="1003"/>
        <v>0</v>
      </c>
      <c r="GM351" s="712">
        <f t="shared" si="1004"/>
        <v>0</v>
      </c>
      <c r="GN351" s="712">
        <f t="shared" si="1005"/>
        <v>0</v>
      </c>
      <c r="GO351" s="712"/>
      <c r="GP351" s="712">
        <f t="shared" si="1006"/>
        <v>0</v>
      </c>
      <c r="GQ351" s="712" t="str">
        <f t="shared" si="1007"/>
        <v/>
      </c>
      <c r="GR351" s="712">
        <f>IF(GA351="P",Lookup!$N$12,IF(GA351="PP",Lookup!$N$13,IF(GA351="PPP",Lookup!$N$14,IF(GA351="T",Lookup!$N$15,IF(GA351="TP",Lookup!$N$16,IF(GA351="TPP",Lookup!$N$17,IF(GA351="TPPP",Lookup!$N$18,0)))))))*FZ351</f>
        <v>0</v>
      </c>
      <c r="GS351" s="697">
        <f t="shared" si="927"/>
        <v>0</v>
      </c>
      <c r="GT351" s="712">
        <f t="shared" si="1008"/>
        <v>0</v>
      </c>
      <c r="GU351" s="712">
        <f t="shared" si="1009"/>
        <v>0</v>
      </c>
      <c r="GV351" s="712"/>
      <c r="GW351" s="712">
        <f t="shared" si="1010"/>
        <v>0</v>
      </c>
      <c r="GX351" s="712" t="str">
        <f t="shared" si="1011"/>
        <v/>
      </c>
      <c r="GY351" s="712">
        <f>IF(GA351="P",Lookup!$N$12,IF(GA351="PP",Lookup!$N$13,IF(GA351="PPP",Lookup!$N$14,IF(GA351="T",Lookup!$N$15,IF(GA351="TP",Lookup!$N$16,IF(GA351="TPP",Lookup!$N$17,IF(GA351="TPPP",Lookup!$N$18,0)))))))*FZ351</f>
        <v>0</v>
      </c>
      <c r="GZ351" s="697">
        <f t="shared" si="928"/>
        <v>0</v>
      </c>
      <c r="HA351" s="712">
        <f t="shared" si="1012"/>
        <v>0</v>
      </c>
      <c r="HB351" s="712">
        <f t="shared" si="1013"/>
        <v>0</v>
      </c>
      <c r="HC351" s="712"/>
    </row>
    <row r="352" spans="1:211">
      <c r="A352" s="773" t="s">
        <v>3</v>
      </c>
      <c r="B352" s="708">
        <v>40881</v>
      </c>
      <c r="C352" s="709">
        <v>0.5</v>
      </c>
      <c r="D352" s="675">
        <f t="shared" si="936"/>
        <v>300</v>
      </c>
      <c r="E352" s="675">
        <f t="shared" si="937"/>
        <v>250</v>
      </c>
      <c r="F352" s="675">
        <v>250</v>
      </c>
      <c r="G352" s="712">
        <f>DH352+Sheet1!CV352</f>
        <v>858.30931669179461</v>
      </c>
      <c r="H352" s="712">
        <f t="shared" si="938"/>
        <v>287.84794230957601</v>
      </c>
      <c r="I352" s="711">
        <f>MAX(Sheet1!Z352-AJ352+(Sheet1!CW352-E352)*CFStoMGD,0)</f>
        <v>664.24116260449773</v>
      </c>
      <c r="J352" s="720">
        <f>IF(AND(B352&gt;=Calculation!FS352,B352&lt;=Calculation!FT352),IF(Sheet1!CX352&gt;=Calculation!D352,64.64,0),MAX(Sheet1!Z352-AJ352+(Sheet1!CX352-D352)*CFStoMGD,0))</f>
        <v>381.5152292711644</v>
      </c>
      <c r="K352" s="697">
        <f t="shared" si="939"/>
        <v>64.64</v>
      </c>
      <c r="L352" s="712">
        <f>Sheet1!AA352+Sheet1!AB352-Sheet1!L352+(Sheet1!CW352-F352)*CFStoMGD</f>
        <v>710.59466666666663</v>
      </c>
      <c r="M352" s="712">
        <f t="shared" si="940"/>
        <v>565.90736515576759</v>
      </c>
      <c r="N352" s="712">
        <f>IF(Sheet1!CW352&gt;=F352,MIN(73,MIN(MAX(L352,0),MAX(M352,0))),0)</f>
        <v>73</v>
      </c>
      <c r="O352" s="721">
        <f>Sheet1!AA352+Sheet1!AB352</f>
        <v>54.97</v>
      </c>
      <c r="P352" s="721">
        <f t="shared" si="941"/>
        <v>85.038589999999999</v>
      </c>
      <c r="Q352" s="712">
        <f>MIN(N352,Sheet1!AA352+AG352)</f>
        <v>46.323504062168844</v>
      </c>
      <c r="R352" s="712">
        <f t="shared" si="942"/>
        <v>8.6464959378311548</v>
      </c>
      <c r="S352" s="721">
        <f>Sheet1!Y352*MGDtoCFS</f>
        <v>41.273959999999995</v>
      </c>
      <c r="T352" s="721">
        <f>Sheet1!Z352*MGDtoCFS</f>
        <v>43.934799999999996</v>
      </c>
      <c r="U352" s="721">
        <f>Sheet1!AA352*MGDtoCFS</f>
        <v>41.057379999999995</v>
      </c>
      <c r="V352" s="721">
        <f>Sheet1!AB352*MGDtoCFS</f>
        <v>43.981209999999997</v>
      </c>
      <c r="W352" s="721">
        <f>Sheet1!L352*MGDtoCFS</f>
        <v>0</v>
      </c>
      <c r="X352" s="697">
        <f t="shared" si="943"/>
        <v>0</v>
      </c>
      <c r="Y352" s="712">
        <f t="shared" si="944"/>
        <v>0</v>
      </c>
      <c r="Z352" s="712">
        <f t="shared" si="945"/>
        <v>0</v>
      </c>
      <c r="AA352" s="712">
        <f t="shared" si="946"/>
        <v>0</v>
      </c>
      <c r="AB352" s="712">
        <f>(VLOOKUP(Sheet1!CY352,hhdcap_wcm,4)-(((VLOOKUP(Sheet1!CY352,hhdcap_wcm,3)-Sheet1!CY352)/(VLOOKUP(Sheet1!CY352,hhdcap_wcm,3)-VLOOKUP(Sheet1!CY352,hhdcap_wcm,1)))*(VLOOKUP(Sheet1!CY352,hhdcap_wcm,4)-VLOOKUP(Sheet1!CY352,hhdcap_wcm,2))))</f>
        <v>1844.6400000026076</v>
      </c>
      <c r="AC352" s="712">
        <f t="shared" si="947"/>
        <v>-89.200000000171258</v>
      </c>
      <c r="AD352" s="712">
        <f t="shared" si="948"/>
        <v>0</v>
      </c>
      <c r="AE352" s="712">
        <f t="shared" si="949"/>
        <v>0</v>
      </c>
      <c r="AF352" s="712">
        <f>Sheet1!BA352+Sheet1!BB352+Sheet1!BN352+BT352</f>
        <v>19.7</v>
      </c>
      <c r="AG352" s="712">
        <f t="shared" si="950"/>
        <v>19.783504062168845</v>
      </c>
      <c r="AH352" s="712">
        <f>Sheet1!BA352+BT352</f>
        <v>0</v>
      </c>
      <c r="AI352" s="712">
        <f>Sheet1!BA352+Sheet1!BB352+BT352</f>
        <v>0</v>
      </c>
      <c r="AJ352" s="712">
        <f>IF((Sheet1!AA352+AG352+AX352+AZ352+BQ352+BS352+CL352+CN352)&lt;=N352,AG352+AX352+AZ352+BQ352+BS352+CL352+CN352,N352-Sheet1!AA352)</f>
        <v>19.783504062168845</v>
      </c>
      <c r="AK352" s="712">
        <f>IF(DR352&lt;K352,0,MAX(Sheet1!AA352+AG352-15/36*K352-N352,Sheet1!ED352,0))</f>
        <v>0</v>
      </c>
      <c r="AL352" s="712">
        <f>IF(OR(B352&gt;=FT352,B352&lt;FS352),0,15/36*K352-MAX(0,64.6-(137.6-(Sheet1!AA352+Sheet1!AB352))))</f>
        <v>0</v>
      </c>
      <c r="AM352" s="712">
        <f>Sheet1!CX352-110</f>
        <v>766.88541666666663</v>
      </c>
      <c r="AN352" s="712">
        <f>Sheet1!CW352-265</f>
        <v>999.27083333333326</v>
      </c>
      <c r="AO352" s="712">
        <f t="shared" si="934"/>
        <v>26.676495937831156</v>
      </c>
      <c r="AP352" s="712">
        <f t="shared" si="951"/>
        <v>0</v>
      </c>
      <c r="AQ352" s="712">
        <f t="shared" si="952"/>
        <v>0</v>
      </c>
      <c r="AR352" s="712">
        <f t="shared" si="953"/>
        <v>0</v>
      </c>
      <c r="AS352" s="712"/>
      <c r="AT352" s="712">
        <f ca="1">IF(B352&gt;Summary!$A$1,#N/A,AR352*MGtoAF)</f>
        <v>0</v>
      </c>
      <c r="AU352" s="712">
        <f>Sheet1!BG352+Sheet1!BH352+Sheet1!BI352-BC352</f>
        <v>0</v>
      </c>
      <c r="AV352" s="712">
        <f t="shared" si="954"/>
        <v>0</v>
      </c>
      <c r="AW352" s="712">
        <f>IF(Sheet1!EL352="FM",BC352,0)</f>
        <v>0</v>
      </c>
      <c r="AX352" s="712">
        <f t="shared" si="955"/>
        <v>0</v>
      </c>
      <c r="AY352" s="712">
        <f>IF(Sheet1!EL352="OTHER",BC352,0)</f>
        <v>0</v>
      </c>
      <c r="AZ352" s="712">
        <f t="shared" si="956"/>
        <v>0</v>
      </c>
      <c r="BA352" s="712">
        <f t="shared" si="957"/>
        <v>0</v>
      </c>
      <c r="BB352" s="712">
        <f t="shared" si="958"/>
        <v>0</v>
      </c>
      <c r="BC352" s="712">
        <f>IF(OR(Sheet1!EL352="FM", Sheet1!EL352="OTHER"),SUM(Sheet1!BG352:'Sheet1'!BI352),0)</f>
        <v>0</v>
      </c>
      <c r="BD352" s="697">
        <f>IF(AND($B352&gt;=$FL352,$B352&lt;=$FM352),MAX(AV352,Sheet1!EE352,0),MAX(AV352-(7/36)*$K352,0))</f>
        <v>0</v>
      </c>
      <c r="BE352" s="712">
        <f t="shared" si="959"/>
        <v>0</v>
      </c>
      <c r="BF352" s="697">
        <f t="shared" si="960"/>
        <v>0</v>
      </c>
      <c r="BG352" s="697">
        <f>IF(AND($O352&gt;0,Sheet1!EI352=1),(1-($O352-Sheet1!$L352)/$O352)*BB352,0)</f>
        <v>0</v>
      </c>
      <c r="BH352" s="697">
        <f>IF(AND(Sheet1!$L352=0,Sheet1!$L351=0, Calculation!BA352&lt;Sheet1!$EE352-0.1,Sheet1!$EE352=Sheet1!$EE351,Sheet1!$EE352=Sheet1!$EE353),Sheet1!$EE352,BB352-BG352)</f>
        <v>0</v>
      </c>
      <c r="BI352" s="712"/>
      <c r="BJ352" s="712"/>
      <c r="BK352" s="712">
        <f t="shared" si="961"/>
        <v>0</v>
      </c>
      <c r="BL352" s="712"/>
      <c r="BM352" s="712">
        <f ca="1">IF(B352&gt;Summary!$A$1,#N/A,BK352*MGtoAF)</f>
        <v>0</v>
      </c>
      <c r="BN352" s="712">
        <f>Sheet1!BC352+Sheet1!BD352+Sheet1!BE352+Sheet1!BF352-BW352-BX352</f>
        <v>2.0300000000000002</v>
      </c>
      <c r="BO352" s="712">
        <f t="shared" si="962"/>
        <v>2.0386047333097848</v>
      </c>
      <c r="BP352" s="712">
        <f>IF(Sheet1!EM352="FM",BX352,0)</f>
        <v>0</v>
      </c>
      <c r="BQ352" s="712">
        <f t="shared" si="963"/>
        <v>0</v>
      </c>
      <c r="BR352" s="712">
        <f>IF(Sheet1!EM352="OTHER",BX352,0)</f>
        <v>0</v>
      </c>
      <c r="BS352" s="712">
        <f t="shared" si="964"/>
        <v>0</v>
      </c>
      <c r="BT352" s="712">
        <f t="shared" si="965"/>
        <v>0</v>
      </c>
      <c r="BU352" s="712">
        <f t="shared" si="966"/>
        <v>2.0300000000000002</v>
      </c>
      <c r="BV352" s="712">
        <f t="shared" si="967"/>
        <v>2.0386047333097848</v>
      </c>
      <c r="BW352" s="712">
        <f>IF(Sheet1!EM352="CWA",SUM(Sheet1!BC352:'Sheet1'!BF352),0)</f>
        <v>0</v>
      </c>
      <c r="BX352" s="712">
        <f>IF(OR(Sheet1!EM352="FM", Sheet1!EM352="OTHER"),SUM(Sheet1!BC352:'Sheet1'!BF352),0)</f>
        <v>0</v>
      </c>
      <c r="BY352" s="697">
        <f>IF(AND($B352&gt;=$FL352,$B352&lt;=$FM352),MAX(BV352,Sheet1!EF352,0),MAX(BV352-(7/36)*$K352,0))</f>
        <v>0</v>
      </c>
      <c r="BZ352" s="712">
        <f t="shared" si="968"/>
        <v>0</v>
      </c>
      <c r="CA352" s="697">
        <f t="shared" si="969"/>
        <v>2.0386047333097848</v>
      </c>
      <c r="CB352" s="697">
        <f>IF(AND($O352&gt;0,Sheet1!EJ352=1),(1-($O352-Sheet1!$L352)/$O352)*BV352,0)</f>
        <v>0</v>
      </c>
      <c r="CC352" s="697">
        <f>IF(AND(Sheet1!$L352=0,Sheet1!$L351=0, Calculation!BU352&lt;Sheet1!EF352-0.1,Sheet1!EF352=Sheet1!EF351,Sheet1!EF352=Sheet1!EF353),Sheet1!EF352,BV352-CB352)</f>
        <v>2.0386047333097848</v>
      </c>
      <c r="CD352" s="697"/>
      <c r="CE352" s="712"/>
      <c r="CF352" s="712">
        <f t="shared" si="970"/>
        <v>0</v>
      </c>
      <c r="CG352" s="712"/>
      <c r="CH352" s="712">
        <f ca="1">IF(B352&gt;Summary!$A$1,#N/A,CF352*MGtoAF)</f>
        <v>0</v>
      </c>
      <c r="CI352" s="712">
        <f>Sheet1!BK352+Sheet1!BL352+Sheet1!BM352-Sheet1!EN352-CQ352</f>
        <v>6.58</v>
      </c>
      <c r="CJ352" s="712">
        <f t="shared" si="971"/>
        <v>6.6078912045213709</v>
      </c>
      <c r="CK352" s="712">
        <f>IF(Sheet1!EN352="FM",CQ352,0)</f>
        <v>0</v>
      </c>
      <c r="CL352" s="712">
        <f t="shared" si="972"/>
        <v>0</v>
      </c>
      <c r="CM352" s="712">
        <f>IF(Sheet1!EN352="OTHER",CQ352,0)</f>
        <v>0</v>
      </c>
      <c r="CN352" s="712">
        <f t="shared" si="973"/>
        <v>0</v>
      </c>
      <c r="CO352" s="712">
        <f t="shared" si="974"/>
        <v>6.58</v>
      </c>
      <c r="CP352" s="712">
        <f t="shared" si="975"/>
        <v>6.6078912045213709</v>
      </c>
      <c r="CQ352" s="712">
        <f>IF(OR(Sheet1!EN352="FM", Sheet1!EN352="OTHER"),SUM(Sheet1!BK352:'Sheet1'!BM352),0)</f>
        <v>0</v>
      </c>
      <c r="CR352" s="697">
        <f>IF(AND($B352&gt;=$FL352,$B352&lt;=$FM352),MAX($CJ352,Sheet1!EG352,0),MAX($CJ352-(7/36)*$K352,0))</f>
        <v>0</v>
      </c>
      <c r="CS352" s="712">
        <f t="shared" si="976"/>
        <v>0</v>
      </c>
      <c r="CT352" s="697">
        <f t="shared" si="977"/>
        <v>6.6078912045213709</v>
      </c>
      <c r="CU352" s="697">
        <f>IF(AND($O352&gt;0,Sheet1!EK352=1),(1-($O352-Sheet1!$L352)/$O352)*CP352,0)</f>
        <v>0</v>
      </c>
      <c r="CV352" s="697">
        <f>IF(AND(Sheet1!$L352=0,Sheet1!$L351=0, Calculation!CO352&lt;Sheet1!$EG352-0.1,Sheet1!$EG352=Sheet1!$EG351,Sheet1!$EG352=Sheet1!$EG353),Sheet1!$EG352,CP352-CU352)</f>
        <v>6.6078912045213709</v>
      </c>
      <c r="CW352" s="697"/>
      <c r="CX352" s="712">
        <f t="shared" si="978"/>
        <v>8.61</v>
      </c>
      <c r="CY352" s="712">
        <f t="shared" si="979"/>
        <v>0</v>
      </c>
      <c r="CZ352" s="712">
        <f t="shared" si="980"/>
        <v>8.6464959378311548</v>
      </c>
      <c r="DA352" s="712">
        <f ca="1">IF(B352&gt;Summary!$A$1,#N/A,CY352*MGtoAF)</f>
        <v>0</v>
      </c>
      <c r="DB352" s="712">
        <f>CO352+BU352+BA352</f>
        <v>8.61</v>
      </c>
      <c r="DC352" s="712">
        <f t="shared" si="982"/>
        <v>28.31</v>
      </c>
      <c r="DD352" s="712">
        <f>Sheet1!AB352-DC352</f>
        <v>0.12000000000000099</v>
      </c>
      <c r="DE352" s="712">
        <f t="shared" si="983"/>
        <v>4.238784881667291E-3</v>
      </c>
      <c r="DF352" s="712">
        <f>(VLOOKUP(Sheet1!CY352,hhdcap_wcm,4)-(((VLOOKUP(Sheet1!CY352,hhdcap_wcm,3)-Sheet1!CY352)/(VLOOKUP(Sheet1!CY352,hhdcap_wcm,3)-VLOOKUP(Sheet1!CY352,hhdcap_wcm,1)))*(VLOOKUP(Sheet1!CY352,hhdcap_wcm,4)-VLOOKUP(Sheet1!CY352,hhdcap_wcm,2))))</f>
        <v>1844.6400000026076</v>
      </c>
      <c r="DG352" s="712">
        <f t="shared" si="984"/>
        <v>-89.200000000171258</v>
      </c>
      <c r="DH352" s="712">
        <f t="shared" si="985"/>
        <v>-44.982349974872037</v>
      </c>
      <c r="DI352" s="712">
        <f>Sheet1!DW352*AFtoMG</f>
        <v>0</v>
      </c>
      <c r="DJ352" s="712">
        <f>Sheet1!DX352*AFtoMG</f>
        <v>0</v>
      </c>
      <c r="DK352" s="712">
        <f>Sheet1!DY352*AFtoMG</f>
        <v>0</v>
      </c>
      <c r="DL352" s="712">
        <f>Sheet1!DZ352*AFtoMG</f>
        <v>0</v>
      </c>
      <c r="DM352" s="712">
        <f t="shared" si="986"/>
        <v>0</v>
      </c>
      <c r="DN352" s="712">
        <f t="shared" si="987"/>
        <v>0</v>
      </c>
      <c r="DO352" s="712">
        <f t="shared" si="988"/>
        <v>0</v>
      </c>
      <c r="DP352" s="712">
        <f t="shared" si="989"/>
        <v>0</v>
      </c>
      <c r="DQ352" s="712"/>
      <c r="DR352" s="697">
        <f>IF(OR(B352&lt;FL352,B352&gt;FM352),(MIN(AV352+BO352+CJ352+MAX(Sheet1!AA352+AG352-73,0),K352)),0)</f>
        <v>8.6464959378311548</v>
      </c>
      <c r="DS352" s="712"/>
      <c r="DT352" s="712">
        <f t="shared" si="990"/>
        <v>8.6464959378311548</v>
      </c>
      <c r="DU352" s="712"/>
      <c r="DV352" s="712">
        <f>Sheet1!ED352+Sheet1!EE352+Sheet1!EF352+Sheet1!EG352</f>
        <v>8.5</v>
      </c>
      <c r="DW352" s="712"/>
      <c r="DX352" s="697">
        <f t="shared" si="991"/>
        <v>0</v>
      </c>
      <c r="DY352" s="712">
        <f>IF(Sheet1!FN352=1,SUM('Calculations II'!AT352:BA352)+'Calculations II'!BC352+Sheet1!BU352+'Calculations II'!BE352+AF352,SUM('Calculations II'!AT352:BA352)+'Calculations II'!BC352+Sheet1!BU352+'Calculations II'!BE352+AF352)</f>
        <v>42.686576000000002</v>
      </c>
      <c r="DZ352" s="712">
        <f>Sheet1!AA352+Sheet1!AB352+'Calculations II'!BC352</f>
        <v>54.97</v>
      </c>
      <c r="EA352" s="712"/>
      <c r="EB352" s="712"/>
      <c r="EC352" s="712">
        <f t="shared" si="992"/>
        <v>40881</v>
      </c>
      <c r="ED352" s="712">
        <f t="shared" si="993"/>
        <v>0</v>
      </c>
      <c r="EE352" s="712">
        <f t="shared" si="994"/>
        <v>0</v>
      </c>
      <c r="EF352" s="712">
        <f ca="1">IF(B352=TODAY(),0,-(VLOOKUP(Sheet1!BQ352,Lookup!$B$4:$J$236,2)-VLOOKUP(Sheet1!BQ351,Lookup!$B$4:$J$236,2))/1000000)</f>
        <v>-0.27100000000000002</v>
      </c>
      <c r="EG352" s="712">
        <f ca="1">IF(B352=TODAY(),0,-(VLOOKUP(Sheet1!BR352,Lookup!$B$4:$J$236,3)-VLOOKUP(Sheet1!BR351,Lookup!$B$4:$J$236,3))/1000000)</f>
        <v>-0.54</v>
      </c>
      <c r="EH352" s="712">
        <f>-(VLOOKUP(Sheet1!BS352,Lookup!$B$4:$J$236,4)-VLOOKUP(Sheet1!BS351,Lookup!$B$4:$J$236,4))/1000000</f>
        <v>0</v>
      </c>
      <c r="EI352" s="697">
        <f t="shared" ca="1" si="922"/>
        <v>-0.81100000000000005</v>
      </c>
      <c r="EJ352" s="712"/>
      <c r="EK352" s="712"/>
      <c r="EL352" s="712"/>
      <c r="EM352" s="712"/>
      <c r="EN352" s="712"/>
      <c r="EO352" s="712"/>
      <c r="EP352" s="712"/>
      <c r="EQ352" s="712"/>
      <c r="ER352" s="712"/>
      <c r="ES352" s="712"/>
      <c r="ET352" s="794" t="e">
        <f t="shared" si="919"/>
        <v>#N/A</v>
      </c>
      <c r="EU352" s="794" t="e">
        <f t="shared" si="924"/>
        <v>#N/A</v>
      </c>
      <c r="EV352" s="795" t="e">
        <f t="shared" si="925"/>
        <v>#N/A</v>
      </c>
      <c r="EW352" s="796" t="s">
        <v>757</v>
      </c>
      <c r="EX352" s="796" t="s">
        <v>757</v>
      </c>
      <c r="EY352" s="794" t="e">
        <v>#N/A</v>
      </c>
      <c r="EZ352" s="794" t="e">
        <v>#N/A</v>
      </c>
      <c r="FA352" s="712"/>
      <c r="FB352" s="712"/>
      <c r="FC352" s="712"/>
      <c r="FD352" s="712"/>
      <c r="FE352" s="712">
        <f>O352+Sheet1!CO352</f>
        <v>54.97</v>
      </c>
      <c r="FF352" s="712">
        <f>IF(Sheet1!AA352+AG352&lt;=Calculation!N352,AG352,Calculation!N352-Sheet1!AA352)</f>
        <v>19.783504062168845</v>
      </c>
      <c r="FG352" s="712">
        <f>(Sheet1!BP352+Sheet1!BO352)/694.4</f>
        <v>1.321860599078341</v>
      </c>
      <c r="FH352" s="712"/>
      <c r="FI352" s="712"/>
      <c r="FJ352" s="712"/>
      <c r="FK352" s="712"/>
      <c r="FL352" s="714">
        <f t="shared" si="929"/>
        <v>40753</v>
      </c>
      <c r="FM352" s="714">
        <f t="shared" si="930"/>
        <v>40851</v>
      </c>
      <c r="FN352" s="712"/>
      <c r="FO352" s="712"/>
      <c r="FP352" s="712"/>
      <c r="FQ352" s="712"/>
      <c r="FR352" s="712"/>
      <c r="FS352" s="725">
        <f t="shared" si="935"/>
        <v>40603</v>
      </c>
      <c r="FT352" s="714">
        <f t="shared" si="932"/>
        <v>40709</v>
      </c>
      <c r="FU352" s="712">
        <f t="shared" si="935"/>
        <v>6518.9048239895692</v>
      </c>
      <c r="FV352" s="714">
        <f t="shared" si="933"/>
        <v>40722</v>
      </c>
      <c r="FW352" s="712">
        <f t="shared" si="935"/>
        <v>3259.4524119947846</v>
      </c>
      <c r="FX352" s="725">
        <f t="shared" si="935"/>
        <v>40851</v>
      </c>
      <c r="FZ352" s="697">
        <f t="shared" si="926"/>
        <v>0</v>
      </c>
      <c r="GA352" s="712" t="str">
        <f t="shared" si="995"/>
        <v/>
      </c>
      <c r="GB352" s="712">
        <f t="shared" si="996"/>
        <v>0</v>
      </c>
      <c r="GC352" s="712" t="str">
        <f t="shared" si="997"/>
        <v/>
      </c>
      <c r="GD352" s="712">
        <f>IF(GA352="P",Lookup!$M$12,IF(GA352="PP",Lookup!$M$13,IF(GA352="PPP",Lookup!$M$14,IF(GA352="T",Lookup!$M$15,IF(GA352="TP",Lookup!$M$16,IF(GA352="TPP",Lookup!$M$17,IF(GA352="TPPP",Lookup!$M$18,0)))))))*FZ352</f>
        <v>0</v>
      </c>
      <c r="GE352" s="712">
        <f t="shared" si="998"/>
        <v>0</v>
      </c>
      <c r="GF352" s="712">
        <f t="shared" si="999"/>
        <v>0</v>
      </c>
      <c r="GG352" s="712">
        <f t="shared" si="1000"/>
        <v>0</v>
      </c>
      <c r="GH352" s="712"/>
      <c r="GI352" s="712">
        <f t="shared" si="1001"/>
        <v>0</v>
      </c>
      <c r="GJ352" s="712" t="str">
        <f t="shared" si="1002"/>
        <v/>
      </c>
      <c r="GK352" s="712">
        <f>IF(GA352="P",Lookup!$N$12,IF(GA352="PP",Lookup!$N$13,IF(GA352="PPP",Lookup!$N$14,IF(GA352="T",Lookup!$N$15,IF(GA352="TP",Lookup!$N$16,IF(GA352="TPP",Lookup!$N$17,IF(GA352="TPPP",Lookup!$N$18,0)))))))*FZ352</f>
        <v>0</v>
      </c>
      <c r="GL352" s="712">
        <f t="shared" si="1003"/>
        <v>0</v>
      </c>
      <c r="GM352" s="712">
        <f t="shared" si="1004"/>
        <v>0</v>
      </c>
      <c r="GN352" s="712">
        <f t="shared" si="1005"/>
        <v>0</v>
      </c>
      <c r="GO352" s="712"/>
      <c r="GP352" s="712">
        <f t="shared" si="1006"/>
        <v>0</v>
      </c>
      <c r="GQ352" s="712" t="str">
        <f t="shared" si="1007"/>
        <v/>
      </c>
      <c r="GR352" s="712">
        <f>IF(GA352="P",Lookup!$N$12,IF(GA352="PP",Lookup!$N$13,IF(GA352="PPP",Lookup!$N$14,IF(GA352="T",Lookup!$N$15,IF(GA352="TP",Lookup!$N$16,IF(GA352="TPP",Lookup!$N$17,IF(GA352="TPPP",Lookup!$N$18,0)))))))*FZ352</f>
        <v>0</v>
      </c>
      <c r="GS352" s="697">
        <f t="shared" si="927"/>
        <v>0</v>
      </c>
      <c r="GT352" s="712">
        <f t="shared" si="1008"/>
        <v>0</v>
      </c>
      <c r="GU352" s="712">
        <f t="shared" si="1009"/>
        <v>0</v>
      </c>
      <c r="GV352" s="712"/>
      <c r="GW352" s="712">
        <f t="shared" si="1010"/>
        <v>0</v>
      </c>
      <c r="GX352" s="712" t="str">
        <f t="shared" si="1011"/>
        <v/>
      </c>
      <c r="GY352" s="712">
        <f>IF(GA352="P",Lookup!$N$12,IF(GA352="PP",Lookup!$N$13,IF(GA352="PPP",Lookup!$N$14,IF(GA352="T",Lookup!$N$15,IF(GA352="TP",Lookup!$N$16,IF(GA352="TPP",Lookup!$N$17,IF(GA352="TPPP",Lookup!$N$18,0)))))))*FZ352</f>
        <v>0</v>
      </c>
      <c r="GZ352" s="697">
        <f t="shared" si="928"/>
        <v>0</v>
      </c>
      <c r="HA352" s="712">
        <f t="shared" si="1012"/>
        <v>0</v>
      </c>
      <c r="HB352" s="712">
        <f t="shared" si="1013"/>
        <v>0</v>
      </c>
      <c r="HC352" s="712"/>
    </row>
    <row r="353" spans="1:211">
      <c r="A353" s="773" t="s">
        <v>4</v>
      </c>
      <c r="B353" s="708">
        <v>40882</v>
      </c>
      <c r="C353" s="719">
        <v>0.5</v>
      </c>
      <c r="D353" s="675">
        <f t="shared" si="936"/>
        <v>300</v>
      </c>
      <c r="E353" s="675">
        <f t="shared" si="937"/>
        <v>250</v>
      </c>
      <c r="F353" s="675">
        <v>250</v>
      </c>
      <c r="G353" s="712">
        <f>DH353+Sheet1!CV353</f>
        <v>802.56896116995847</v>
      </c>
      <c r="H353" s="712">
        <f t="shared" si="938"/>
        <v>251.81737650026113</v>
      </c>
      <c r="I353" s="711">
        <f>MAX(Sheet1!Z353-AJ353+(Sheet1!CW353-E353)*CFStoMGD,0)</f>
        <v>569.38384081007973</v>
      </c>
      <c r="J353" s="720">
        <f>IF(AND(B353&gt;=Calculation!FS353,B353&lt;=Calculation!FT353),IF(Sheet1!CX353&gt;=Calculation!D353,64.64,0),MAX(Sheet1!Z353-AJ353+(Sheet1!CX353-D353)*CFStoMGD,0))</f>
        <v>306.98584081007994</v>
      </c>
      <c r="K353" s="697">
        <f t="shared" si="939"/>
        <v>64.64</v>
      </c>
      <c r="L353" s="712">
        <f>Sheet1!AA353+Sheet1!AB353-Sheet1!L353+(Sheet1!CW353-F353)*CFStoMGD</f>
        <v>616.28666666666504</v>
      </c>
      <c r="M353" s="712">
        <f t="shared" si="940"/>
        <v>529.15618803026643</v>
      </c>
      <c r="N353" s="712">
        <f>IF(Sheet1!CW353&gt;=F353,MIN(73,MIN(MAX(L353,0),MAX(M353,0))),0)</f>
        <v>73</v>
      </c>
      <c r="O353" s="721">
        <f>Sheet1!AA353+Sheet1!AB353</f>
        <v>55.399999999998542</v>
      </c>
      <c r="P353" s="721">
        <f t="shared" si="941"/>
        <v>85.703799999997756</v>
      </c>
      <c r="Q353" s="712">
        <f>MIN(N353,Sheet1!AA353+AG353)</f>
        <v>46.802825856586765</v>
      </c>
      <c r="R353" s="712">
        <f t="shared" si="942"/>
        <v>8.5971741434117828</v>
      </c>
      <c r="S353" s="721">
        <f>Sheet1!Y353*MGDtoCFS</f>
        <v>41.39772</v>
      </c>
      <c r="T353" s="721">
        <f>Sheet1!Z353*MGDtoCFS</f>
        <v>44.089500000000001</v>
      </c>
      <c r="U353" s="721">
        <f>Sheet1!AA353*MGDtoCFS</f>
        <v>41.459600000000002</v>
      </c>
      <c r="V353" s="721">
        <f>Sheet1!AB353*MGDtoCFS</f>
        <v>44.244199999997747</v>
      </c>
      <c r="W353" s="721">
        <f>Sheet1!L353*MGDtoCFS</f>
        <v>0</v>
      </c>
      <c r="X353" s="697">
        <f t="shared" si="943"/>
        <v>0</v>
      </c>
      <c r="Y353" s="712">
        <f t="shared" si="944"/>
        <v>0</v>
      </c>
      <c r="Z353" s="712">
        <f t="shared" si="945"/>
        <v>0</v>
      </c>
      <c r="AA353" s="712">
        <f t="shared" si="946"/>
        <v>0</v>
      </c>
      <c r="AB353" s="712">
        <f>(VLOOKUP(Sheet1!CY353,hhdcap_wcm,4)-(((VLOOKUP(Sheet1!CY353,hhdcap_wcm,3)-Sheet1!CY353)/(VLOOKUP(Sheet1!CY353,hhdcap_wcm,3)-VLOOKUP(Sheet1!CY353,hhdcap_wcm,1)))*(VLOOKUP(Sheet1!CY353,hhdcap_wcm,4)-VLOOKUP(Sheet1!CY353,hhdcap_wcm,2))))</f>
        <v>1856.8400000026354</v>
      </c>
      <c r="AC353" s="712">
        <f t="shared" si="947"/>
        <v>12.200000000027785</v>
      </c>
      <c r="AD353" s="712">
        <f t="shared" si="948"/>
        <v>0</v>
      </c>
      <c r="AE353" s="712">
        <f t="shared" si="949"/>
        <v>0</v>
      </c>
      <c r="AF353" s="712">
        <f>Sheet1!BA353+Sheet1!BB353+Sheet1!BN353+BT353</f>
        <v>19.8</v>
      </c>
      <c r="AG353" s="712">
        <f t="shared" si="950"/>
        <v>20.00282585658676</v>
      </c>
      <c r="AH353" s="712">
        <f>Sheet1!BA353+BT353</f>
        <v>0</v>
      </c>
      <c r="AI353" s="712">
        <f>Sheet1!BA353+Sheet1!BB353+BT353</f>
        <v>0</v>
      </c>
      <c r="AJ353" s="712">
        <f>IF((Sheet1!AA353+AG353+AX353+AZ353+BQ353+BS353+CL353+CN353)&lt;=N353,AG353+AX353+AZ353+BQ353+BS353+CL353+CN353,N353-Sheet1!AA353)</f>
        <v>20.00282585658676</v>
      </c>
      <c r="AK353" s="712">
        <f>IF(DR353&lt;K353,0,MAX(Sheet1!AA353+AG353-15/36*K353-N353,Sheet1!ED353,0))</f>
        <v>0</v>
      </c>
      <c r="AL353" s="712">
        <f>IF(OR(B353&gt;=FT353,B353&lt;FS353),0,15/36*K353-MAX(0,64.6-(137.6-(Sheet1!AA353+Sheet1!AB353))))</f>
        <v>0</v>
      </c>
      <c r="AM353" s="712">
        <f>Sheet1!CX353-110</f>
        <v>651.77083333333337</v>
      </c>
      <c r="AN353" s="712">
        <f>Sheet1!CW353-265</f>
        <v>852.70833333333326</v>
      </c>
      <c r="AO353" s="712">
        <f t="shared" si="934"/>
        <v>26.197174143413235</v>
      </c>
      <c r="AP353" s="712">
        <f t="shared" si="951"/>
        <v>0</v>
      </c>
      <c r="AQ353" s="712">
        <f t="shared" si="952"/>
        <v>0</v>
      </c>
      <c r="AR353" s="712">
        <f t="shared" si="953"/>
        <v>0</v>
      </c>
      <c r="AS353" s="712"/>
      <c r="AT353" s="712">
        <f ca="1">IF(B353&gt;Summary!$A$1,#N/A,AR353*MGtoAF)</f>
        <v>0</v>
      </c>
      <c r="AU353" s="712">
        <f>Sheet1!BG353+Sheet1!BH353+Sheet1!BI353-BC353</f>
        <v>0</v>
      </c>
      <c r="AV353" s="712">
        <f t="shared" si="954"/>
        <v>0</v>
      </c>
      <c r="AW353" s="712">
        <f>IF(Sheet1!EL353="FM",BC353,0)</f>
        <v>0</v>
      </c>
      <c r="AX353" s="712">
        <f t="shared" si="955"/>
        <v>0</v>
      </c>
      <c r="AY353" s="712">
        <f>IF(Sheet1!EL353="OTHER",BC353,0)</f>
        <v>0</v>
      </c>
      <c r="AZ353" s="712">
        <f t="shared" si="956"/>
        <v>0</v>
      </c>
      <c r="BA353" s="712">
        <f t="shared" si="957"/>
        <v>0</v>
      </c>
      <c r="BB353" s="712">
        <f t="shared" si="958"/>
        <v>0</v>
      </c>
      <c r="BC353" s="712">
        <f>IF(OR(Sheet1!EL353="FM", Sheet1!EL353="OTHER"),SUM(Sheet1!BG353:'Sheet1'!BI353),0)</f>
        <v>0</v>
      </c>
      <c r="BD353" s="697">
        <f>IF(AND($B353&gt;=$FL353,$B353&lt;=$FM353),MAX(AV353,Sheet1!EE353,0),MAX(AV353-(7/36)*$K353,0))</f>
        <v>0</v>
      </c>
      <c r="BE353" s="712">
        <f t="shared" si="959"/>
        <v>0</v>
      </c>
      <c r="BF353" s="697">
        <f t="shared" si="960"/>
        <v>0</v>
      </c>
      <c r="BG353" s="697">
        <f>IF(AND($O353&gt;0,Sheet1!EI353=1),(1-($O353-Sheet1!$L353)/$O353)*BB353,0)</f>
        <v>0</v>
      </c>
      <c r="BH353" s="697">
        <f>IF(AND(Sheet1!$L353=0,Sheet1!$L352=0, Calculation!BA353&lt;Sheet1!$EE353-0.1,Sheet1!$EE353=Sheet1!$EE352,Sheet1!$EE353=Sheet1!$EE354),Sheet1!$EE353,BB353-BG353)</f>
        <v>0</v>
      </c>
      <c r="BI353" s="712"/>
      <c r="BJ353" s="712"/>
      <c r="BK353" s="712">
        <f t="shared" si="961"/>
        <v>0</v>
      </c>
      <c r="BL353" s="712"/>
      <c r="BM353" s="712">
        <f ca="1">IF(B353&gt;Summary!$A$1,#N/A,BK353*MGtoAF)</f>
        <v>0</v>
      </c>
      <c r="BN353" s="712">
        <f>Sheet1!BC353+Sheet1!BD353+Sheet1!BE353+Sheet1!BF353-BW353-BX353</f>
        <v>1.99</v>
      </c>
      <c r="BO353" s="712">
        <f t="shared" si="962"/>
        <v>2.0103850229599822</v>
      </c>
      <c r="BP353" s="712">
        <f>IF(Sheet1!EM353="FM",BX353,0)</f>
        <v>0</v>
      </c>
      <c r="BQ353" s="712">
        <f t="shared" si="963"/>
        <v>0</v>
      </c>
      <c r="BR353" s="712">
        <f>IF(Sheet1!EM353="OTHER",BX353,0)</f>
        <v>0</v>
      </c>
      <c r="BS353" s="712">
        <f t="shared" si="964"/>
        <v>0</v>
      </c>
      <c r="BT353" s="712">
        <f t="shared" si="965"/>
        <v>0</v>
      </c>
      <c r="BU353" s="712">
        <f t="shared" si="966"/>
        <v>1.99</v>
      </c>
      <c r="BV353" s="712">
        <f t="shared" si="967"/>
        <v>2.0103850229599822</v>
      </c>
      <c r="BW353" s="712">
        <f>IF(Sheet1!EM353="CWA",SUM(Sheet1!BC353:'Sheet1'!BF353),0)</f>
        <v>0</v>
      </c>
      <c r="BX353" s="712">
        <f>IF(OR(Sheet1!EM353="FM", Sheet1!EM353="OTHER"),SUM(Sheet1!BC353:'Sheet1'!BF353),0)</f>
        <v>0</v>
      </c>
      <c r="BY353" s="697">
        <f>IF(AND($B353&gt;=$FL353,$B353&lt;=$FM353),MAX(BV353,Sheet1!EF353,0),MAX(BV353-(7/36)*$K353,0))</f>
        <v>0</v>
      </c>
      <c r="BZ353" s="712">
        <f t="shared" si="968"/>
        <v>0</v>
      </c>
      <c r="CA353" s="697">
        <f t="shared" si="969"/>
        <v>2.0103850229599822</v>
      </c>
      <c r="CB353" s="697">
        <f>IF(AND($O353&gt;0,Sheet1!EJ353=1),(1-($O353-Sheet1!$L353)/$O353)*BV353,0)</f>
        <v>0</v>
      </c>
      <c r="CC353" s="697">
        <f>IF(AND(Sheet1!$L353=0,Sheet1!$L352=0, Calculation!BU353&lt;Sheet1!EF353-0.1,Sheet1!EF353=Sheet1!EF352,Sheet1!EF353=Sheet1!EF354),Sheet1!EF353,BV353-CB353)</f>
        <v>2.0103850229599822</v>
      </c>
      <c r="CD353" s="697"/>
      <c r="CE353" s="712"/>
      <c r="CF353" s="712">
        <f t="shared" si="970"/>
        <v>0</v>
      </c>
      <c r="CG353" s="712"/>
      <c r="CH353" s="712">
        <f ca="1">IF(B353&gt;Summary!$A$1,#N/A,CF353*MGtoAF)</f>
        <v>0</v>
      </c>
      <c r="CI353" s="712">
        <f>Sheet1!BK353+Sheet1!BL353+Sheet1!BM353-Sheet1!EN353-CQ353</f>
        <v>6.52</v>
      </c>
      <c r="CJ353" s="712">
        <f t="shared" si="971"/>
        <v>6.586789120451801</v>
      </c>
      <c r="CK353" s="712">
        <f>IF(Sheet1!EN353="FM",CQ353,0)</f>
        <v>0</v>
      </c>
      <c r="CL353" s="712">
        <f t="shared" si="972"/>
        <v>0</v>
      </c>
      <c r="CM353" s="712">
        <f>IF(Sheet1!EN353="OTHER",CQ353,0)</f>
        <v>0</v>
      </c>
      <c r="CN353" s="712">
        <f t="shared" si="973"/>
        <v>0</v>
      </c>
      <c r="CO353" s="712">
        <f t="shared" si="974"/>
        <v>6.52</v>
      </c>
      <c r="CP353" s="712">
        <f t="shared" si="975"/>
        <v>6.586789120451801</v>
      </c>
      <c r="CQ353" s="712">
        <f>IF(OR(Sheet1!EN353="FM", Sheet1!EN353="OTHER"),SUM(Sheet1!BK353:'Sheet1'!BM353),0)</f>
        <v>0</v>
      </c>
      <c r="CR353" s="697">
        <f>IF(AND($B353&gt;=$FL353,$B353&lt;=$FM353),MAX($CJ353,Sheet1!EG353,0),MAX($CJ353-(7/36)*$K353,0))</f>
        <v>0</v>
      </c>
      <c r="CS353" s="712">
        <f t="shared" si="976"/>
        <v>0</v>
      </c>
      <c r="CT353" s="697">
        <f t="shared" si="977"/>
        <v>6.586789120451801</v>
      </c>
      <c r="CU353" s="697">
        <f>IF(AND($O353&gt;0,Sheet1!EK353=1),(1-($O353-Sheet1!$L353)/$O353)*CP353,0)</f>
        <v>0</v>
      </c>
      <c r="CV353" s="697">
        <f>IF(AND(Sheet1!$L353=0,Sheet1!$L352=0, Calculation!CO353&lt;Sheet1!$EG353-0.1,Sheet1!$EG353=Sheet1!$EG352,Sheet1!$EG353=Sheet1!$EG354),Sheet1!$EG353,CP353-CU353)</f>
        <v>6.586789120451801</v>
      </c>
      <c r="CW353" s="697"/>
      <c r="CX353" s="712">
        <f t="shared" si="978"/>
        <v>8.51</v>
      </c>
      <c r="CY353" s="712">
        <f t="shared" si="979"/>
        <v>0</v>
      </c>
      <c r="CZ353" s="712">
        <f t="shared" si="980"/>
        <v>8.5971741434117828</v>
      </c>
      <c r="DA353" s="712">
        <f ca="1">IF(B353&gt;Summary!$A$1,#N/A,CY353*MGtoAF)</f>
        <v>0</v>
      </c>
      <c r="DB353" s="712">
        <f t="shared" si="981"/>
        <v>8.51</v>
      </c>
      <c r="DC353" s="712">
        <f t="shared" si="982"/>
        <v>28.310000000000002</v>
      </c>
      <c r="DD353" s="712">
        <f>Sheet1!AB353-DC353</f>
        <v>0.28999999999854253</v>
      </c>
      <c r="DE353" s="712">
        <f t="shared" si="983"/>
        <v>1.0243730130644384E-2</v>
      </c>
      <c r="DF353" s="712">
        <f>(VLOOKUP(Sheet1!CY353,hhdcap_wcm,4)-(((VLOOKUP(Sheet1!CY353,hhdcap_wcm,3)-Sheet1!CY353)/(VLOOKUP(Sheet1!CY353,hhdcap_wcm,3)-VLOOKUP(Sheet1!CY353,hhdcap_wcm,1)))*(VLOOKUP(Sheet1!CY353,hhdcap_wcm,4)-VLOOKUP(Sheet1!CY353,hhdcap_wcm,2))))</f>
        <v>1856.8400000026354</v>
      </c>
      <c r="DG353" s="712">
        <f t="shared" si="984"/>
        <v>12.200000000027785</v>
      </c>
      <c r="DH353" s="712">
        <f t="shared" si="985"/>
        <v>6.1522945032918726</v>
      </c>
      <c r="DI353" s="712">
        <f>Sheet1!DW353*AFtoMG</f>
        <v>0</v>
      </c>
      <c r="DJ353" s="712">
        <f>Sheet1!DX353*AFtoMG</f>
        <v>0</v>
      </c>
      <c r="DK353" s="712">
        <f>Sheet1!DY353*AFtoMG</f>
        <v>0</v>
      </c>
      <c r="DL353" s="712">
        <f>Sheet1!DZ353*AFtoMG</f>
        <v>0</v>
      </c>
      <c r="DM353" s="712">
        <f t="shared" si="986"/>
        <v>0</v>
      </c>
      <c r="DN353" s="712">
        <f t="shared" si="987"/>
        <v>0</v>
      </c>
      <c r="DO353" s="712">
        <f t="shared" si="988"/>
        <v>0</v>
      </c>
      <c r="DP353" s="712">
        <f t="shared" si="989"/>
        <v>0</v>
      </c>
      <c r="DQ353" s="712"/>
      <c r="DR353" s="697">
        <f>IF(OR(B353&lt;FL353,B353&gt;FM353),(MIN(AV353+BO353+CJ353+MAX(Sheet1!AA353+AG353-73,0),K353)),0)</f>
        <v>8.5971741434117828</v>
      </c>
      <c r="DS353" s="712"/>
      <c r="DT353" s="712">
        <f t="shared" si="990"/>
        <v>8.5971741434117828</v>
      </c>
      <c r="DU353" s="712"/>
      <c r="DV353" s="712">
        <f>Sheet1!ED353+Sheet1!EE353+Sheet1!EF353+Sheet1!EG353</f>
        <v>8.5</v>
      </c>
      <c r="DW353" s="712"/>
      <c r="DX353" s="697">
        <f t="shared" si="991"/>
        <v>0</v>
      </c>
      <c r="DY353" s="712">
        <f>IF(Sheet1!FN353=1,SUM('Calculations II'!AT353:BA353)+'Calculations II'!BC353+Sheet1!BU353+'Calculations II'!BE353+AF353,SUM('Calculations II'!AT353:BA353)+'Calculations II'!BC353+Sheet1!BU353+'Calculations II'!BE353+AF353)</f>
        <v>40.040816</v>
      </c>
      <c r="DZ353" s="712">
        <f>Sheet1!AA353+Sheet1!AB353+'Calculations II'!BC353</f>
        <v>55.399999999998542</v>
      </c>
      <c r="EA353" s="712"/>
      <c r="EB353" s="712"/>
      <c r="EC353" s="712">
        <f t="shared" si="992"/>
        <v>40882</v>
      </c>
      <c r="ED353" s="712">
        <f t="shared" si="993"/>
        <v>0</v>
      </c>
      <c r="EE353" s="712">
        <f t="shared" si="994"/>
        <v>0</v>
      </c>
      <c r="EF353" s="712">
        <f ca="1">IF(B353=TODAY(),0,-(VLOOKUP(Sheet1!BQ353,Lookup!$B$4:$J$236,2)-VLOOKUP(Sheet1!BQ352,Lookup!$B$4:$J$236,2))/1000000)</f>
        <v>-1.9128000000000001</v>
      </c>
      <c r="EG353" s="712">
        <f ca="1">IF(B353=TODAY(),0,-(VLOOKUP(Sheet1!BR353,Lookup!$B$4:$J$236,3)-VLOOKUP(Sheet1!BR352,Lookup!$B$4:$J$236,3))/1000000)</f>
        <v>-1.637</v>
      </c>
      <c r="EH353" s="712">
        <f>-(VLOOKUP(Sheet1!BS353,Lookup!$B$4:$J$236,4)-VLOOKUP(Sheet1!BS352,Lookup!$B$4:$J$236,4))/1000000</f>
        <v>0</v>
      </c>
      <c r="EI353" s="697">
        <f t="shared" ca="1" si="922"/>
        <v>-3.5498000000000003</v>
      </c>
      <c r="EJ353" s="712"/>
      <c r="EK353" s="712"/>
      <c r="EL353" s="712"/>
      <c r="EM353" s="712"/>
      <c r="EN353" s="712"/>
      <c r="EO353" s="712"/>
      <c r="EP353" s="712"/>
      <c r="EQ353" s="712"/>
      <c r="ER353" s="712"/>
      <c r="ES353" s="712"/>
      <c r="ET353" s="794" t="e">
        <f t="shared" si="919"/>
        <v>#N/A</v>
      </c>
      <c r="EU353" s="794" t="e">
        <f t="shared" si="924"/>
        <v>#N/A</v>
      </c>
      <c r="EV353" s="795" t="e">
        <f t="shared" si="925"/>
        <v>#N/A</v>
      </c>
      <c r="EW353" s="796" t="s">
        <v>757</v>
      </c>
      <c r="EX353" s="796" t="s">
        <v>757</v>
      </c>
      <c r="EY353" s="794" t="e">
        <v>#N/A</v>
      </c>
      <c r="EZ353" s="794" t="e">
        <v>#N/A</v>
      </c>
      <c r="FA353" s="712"/>
      <c r="FB353" s="712"/>
      <c r="FC353" s="712"/>
      <c r="FD353" s="712"/>
      <c r="FE353" s="712">
        <f>O353+Sheet1!CO353</f>
        <v>55.399999999998542</v>
      </c>
      <c r="FF353" s="712">
        <f>IF(Sheet1!AA353+AG353&lt;=Calculation!N353,AG353,Calculation!N353-Sheet1!AA353)</f>
        <v>20.00282585658676</v>
      </c>
      <c r="FG353" s="712">
        <f>(Sheet1!BP353+Sheet1!BO353)/694.4</f>
        <v>2.0446428571428572</v>
      </c>
      <c r="FH353" s="712"/>
      <c r="FI353" s="712"/>
      <c r="FJ353" s="712"/>
      <c r="FK353" s="712"/>
      <c r="FL353" s="714">
        <f t="shared" si="929"/>
        <v>40753</v>
      </c>
      <c r="FM353" s="714">
        <f t="shared" si="930"/>
        <v>40851</v>
      </c>
      <c r="FN353" s="712"/>
      <c r="FO353" s="712"/>
      <c r="FP353" s="712"/>
      <c r="FQ353" s="712"/>
      <c r="FR353" s="712"/>
      <c r="FS353" s="725">
        <f t="shared" si="935"/>
        <v>40603</v>
      </c>
      <c r="FT353" s="714">
        <f t="shared" si="932"/>
        <v>40709</v>
      </c>
      <c r="FU353" s="712">
        <f t="shared" si="935"/>
        <v>6518.9048239895692</v>
      </c>
      <c r="FV353" s="714">
        <f t="shared" si="933"/>
        <v>40722</v>
      </c>
      <c r="FW353" s="712">
        <f t="shared" si="935"/>
        <v>3259.4524119947846</v>
      </c>
      <c r="FX353" s="725">
        <f t="shared" si="935"/>
        <v>40851</v>
      </c>
      <c r="FZ353" s="697">
        <f t="shared" si="926"/>
        <v>0</v>
      </c>
      <c r="GA353" s="712" t="str">
        <f t="shared" si="995"/>
        <v/>
      </c>
      <c r="GB353" s="712">
        <f t="shared" si="996"/>
        <v>0</v>
      </c>
      <c r="GC353" s="712" t="str">
        <f t="shared" si="997"/>
        <v/>
      </c>
      <c r="GD353" s="712">
        <f>IF(GA353="P",Lookup!$M$12,IF(GA353="PP",Lookup!$M$13,IF(GA353="PPP",Lookup!$M$14,IF(GA353="T",Lookup!$M$15,IF(GA353="TP",Lookup!$M$16,IF(GA353="TPP",Lookup!$M$17,IF(GA353="TPPP",Lookup!$M$18,0)))))))*FZ353</f>
        <v>0</v>
      </c>
      <c r="GE353" s="712">
        <f t="shared" si="998"/>
        <v>0</v>
      </c>
      <c r="GF353" s="712">
        <f t="shared" si="999"/>
        <v>0</v>
      </c>
      <c r="GG353" s="712">
        <f t="shared" si="1000"/>
        <v>0</v>
      </c>
      <c r="GH353" s="712"/>
      <c r="GI353" s="712">
        <f t="shared" si="1001"/>
        <v>0</v>
      </c>
      <c r="GJ353" s="712" t="str">
        <f t="shared" si="1002"/>
        <v/>
      </c>
      <c r="GK353" s="712">
        <f>IF(GA353="P",Lookup!$N$12,IF(GA353="PP",Lookup!$N$13,IF(GA353="PPP",Lookup!$N$14,IF(GA353="T",Lookup!$N$15,IF(GA353="TP",Lookup!$N$16,IF(GA353="TPP",Lookup!$N$17,IF(GA353="TPPP",Lookup!$N$18,0)))))))*FZ353</f>
        <v>0</v>
      </c>
      <c r="GL353" s="712">
        <f t="shared" si="1003"/>
        <v>0</v>
      </c>
      <c r="GM353" s="712">
        <f t="shared" si="1004"/>
        <v>0</v>
      </c>
      <c r="GN353" s="712">
        <f t="shared" si="1005"/>
        <v>0</v>
      </c>
      <c r="GO353" s="712"/>
      <c r="GP353" s="712">
        <f t="shared" si="1006"/>
        <v>0</v>
      </c>
      <c r="GQ353" s="712" t="str">
        <f t="shared" si="1007"/>
        <v/>
      </c>
      <c r="GR353" s="712">
        <f>IF(GA353="P",Lookup!$N$12,IF(GA353="PP",Lookup!$N$13,IF(GA353="PPP",Lookup!$N$14,IF(GA353="T",Lookup!$N$15,IF(GA353="TP",Lookup!$N$16,IF(GA353="TPP",Lookup!$N$17,IF(GA353="TPPP",Lookup!$N$18,0)))))))*FZ353</f>
        <v>0</v>
      </c>
      <c r="GS353" s="697">
        <f t="shared" si="927"/>
        <v>0</v>
      </c>
      <c r="GT353" s="712">
        <f t="shared" si="1008"/>
        <v>0</v>
      </c>
      <c r="GU353" s="712">
        <f t="shared" si="1009"/>
        <v>0</v>
      </c>
      <c r="GV353" s="712"/>
      <c r="GW353" s="712">
        <f t="shared" si="1010"/>
        <v>0</v>
      </c>
      <c r="GX353" s="712" t="str">
        <f t="shared" si="1011"/>
        <v/>
      </c>
      <c r="GY353" s="712">
        <f>IF(GA353="P",Lookup!$N$12,IF(GA353="PP",Lookup!$N$13,IF(GA353="PPP",Lookup!$N$14,IF(GA353="T",Lookup!$N$15,IF(GA353="TP",Lookup!$N$16,IF(GA353="TPP",Lookup!$N$17,IF(GA353="TPPP",Lookup!$N$18,0)))))))*FZ353</f>
        <v>0</v>
      </c>
      <c r="GZ353" s="697">
        <f t="shared" si="928"/>
        <v>0</v>
      </c>
      <c r="HA353" s="712">
        <f t="shared" si="1012"/>
        <v>0</v>
      </c>
      <c r="HB353" s="712">
        <f t="shared" si="1013"/>
        <v>0</v>
      </c>
      <c r="HC353" s="712"/>
    </row>
    <row r="354" spans="1:211">
      <c r="A354" s="773" t="s">
        <v>5</v>
      </c>
      <c r="B354" s="708">
        <v>40883</v>
      </c>
      <c r="C354" s="709">
        <v>0.5</v>
      </c>
      <c r="D354" s="675">
        <f t="shared" si="936"/>
        <v>300</v>
      </c>
      <c r="E354" s="675">
        <f t="shared" si="937"/>
        <v>250</v>
      </c>
      <c r="F354" s="675">
        <v>250</v>
      </c>
      <c r="G354" s="712">
        <f>DH354+Sheet1!CV354</f>
        <v>744.97327281896105</v>
      </c>
      <c r="H354" s="712">
        <f t="shared" si="938"/>
        <v>214.58752355017643</v>
      </c>
      <c r="I354" s="711">
        <f>MAX(Sheet1!Z354-AJ354+(Sheet1!CW354-E354)*CFStoMGD,0)</f>
        <v>515.24828041384228</v>
      </c>
      <c r="J354" s="720">
        <f>IF(AND(B354&gt;=Calculation!FS354,B354&lt;=Calculation!FT354),IF(Sheet1!CX354&gt;=Calculation!D354,64.64,0),MAX(Sheet1!Z354-AJ354+(Sheet1!CX354-D354)*CFStoMGD,0))</f>
        <v>269.4412137471756</v>
      </c>
      <c r="K354" s="697">
        <f t="shared" si="939"/>
        <v>64.64</v>
      </c>
      <c r="L354" s="712">
        <f>Sheet1!AA354+Sheet1!AB354-Sheet1!L354+(Sheet1!CW354-F354)*CFStoMGD</f>
        <v>560.61</v>
      </c>
      <c r="M354" s="712">
        <f t="shared" si="940"/>
        <v>491.18173802117997</v>
      </c>
      <c r="N354" s="712">
        <f>IF(Sheet1!CW354&gt;=F354,MIN(73,MIN(MAX(L354,0),MAX(M354,0))),0)</f>
        <v>73</v>
      </c>
      <c r="O354" s="721">
        <f>Sheet1!AA354+Sheet1!AB354</f>
        <v>54.599999999999994</v>
      </c>
      <c r="P354" s="721">
        <f t="shared" si="941"/>
        <v>84.466199999999986</v>
      </c>
      <c r="Q354" s="712">
        <f>MIN(N354,Sheet1!AA354+AG354)</f>
        <v>46.261719586157682</v>
      </c>
      <c r="R354" s="712">
        <f t="shared" si="942"/>
        <v>8.3382804138423108</v>
      </c>
      <c r="S354" s="721">
        <f>Sheet1!Y354*MGDtoCFS</f>
        <v>42.047460000000001</v>
      </c>
      <c r="T354" s="721">
        <f>Sheet1!Z354*MGDtoCFS</f>
        <v>43.780099999999997</v>
      </c>
      <c r="U354" s="721">
        <f>Sheet1!AA354*MGDtoCFS</f>
        <v>42.078399999999995</v>
      </c>
      <c r="V354" s="721">
        <f>Sheet1!AB354*MGDtoCFS</f>
        <v>42.387799999999999</v>
      </c>
      <c r="W354" s="721">
        <f>Sheet1!L354*MGDtoCFS</f>
        <v>0</v>
      </c>
      <c r="X354" s="697">
        <f t="shared" si="943"/>
        <v>0</v>
      </c>
      <c r="Y354" s="712">
        <f t="shared" si="944"/>
        <v>0</v>
      </c>
      <c r="Z354" s="712">
        <f t="shared" si="945"/>
        <v>0</v>
      </c>
      <c r="AA354" s="712">
        <f t="shared" si="946"/>
        <v>0</v>
      </c>
      <c r="AB354" s="712">
        <f>(VLOOKUP(Sheet1!CY354,hhdcap_wcm,4)-(((VLOOKUP(Sheet1!CY354,hhdcap_wcm,3)-Sheet1!CY354)/(VLOOKUP(Sheet1!CY354,hhdcap_wcm,3)-VLOOKUP(Sheet1!CY354,hhdcap_wcm,1)))*(VLOOKUP(Sheet1!CY354,hhdcap_wcm,4)-VLOOKUP(Sheet1!CY354,hhdcap_wcm,2))))</f>
        <v>1865.3800000026351</v>
      </c>
      <c r="AC354" s="712">
        <f t="shared" si="947"/>
        <v>8.5399999999997362</v>
      </c>
      <c r="AD354" s="712">
        <f t="shared" si="948"/>
        <v>0</v>
      </c>
      <c r="AE354" s="712">
        <f t="shared" si="949"/>
        <v>0</v>
      </c>
      <c r="AF354" s="712">
        <f>Sheet1!BA354+Sheet1!BB354+Sheet1!BN354+BT354</f>
        <v>19.5</v>
      </c>
      <c r="AG354" s="712">
        <f t="shared" si="950"/>
        <v>19.061719586157686</v>
      </c>
      <c r="AH354" s="712">
        <f>Sheet1!BA354+BT354</f>
        <v>0</v>
      </c>
      <c r="AI354" s="712">
        <f>Sheet1!BA354+Sheet1!BB354+BT354</f>
        <v>0</v>
      </c>
      <c r="AJ354" s="712">
        <f>IF((Sheet1!AA354+AG354+AX354+AZ354+BQ354+BS354+CL354+CN354)&lt;=N354,AG354+AX354+AZ354+BQ354+BS354+CL354+CN354,N354-Sheet1!AA354)</f>
        <v>19.061719586157686</v>
      </c>
      <c r="AK354" s="712">
        <f>IF(DR354&lt;K354,0,MAX(Sheet1!AA354+AG354-15/36*K354-N354,Sheet1!ED354,0))</f>
        <v>0</v>
      </c>
      <c r="AL354" s="712">
        <f>IF(OR(B354&gt;=FT354,B354&lt;FS354),0,15/36*K354-MAX(0,64.6-(137.6-(Sheet1!AA354+Sheet1!AB354))))</f>
        <v>0</v>
      </c>
      <c r="AM354" s="712">
        <f>Sheet1!CX354-110</f>
        <v>592.54166666666663</v>
      </c>
      <c r="AN354" s="712">
        <f>Sheet1!CW354-265</f>
        <v>767.8125</v>
      </c>
      <c r="AO354" s="712">
        <f t="shared" si="934"/>
        <v>26.738280413842318</v>
      </c>
      <c r="AP354" s="712">
        <f t="shared" si="951"/>
        <v>0</v>
      </c>
      <c r="AQ354" s="712">
        <f t="shared" si="952"/>
        <v>0</v>
      </c>
      <c r="AR354" s="712">
        <f t="shared" si="953"/>
        <v>0</v>
      </c>
      <c r="AS354" s="712"/>
      <c r="AT354" s="712">
        <f ca="1">IF(B354&gt;Summary!$A$1,#N/A,AR354*MGtoAF)</f>
        <v>0</v>
      </c>
      <c r="AU354" s="712">
        <f>Sheet1!BG354+Sheet1!BH354+Sheet1!BI354-BC354</f>
        <v>0</v>
      </c>
      <c r="AV354" s="712">
        <f t="shared" si="954"/>
        <v>0</v>
      </c>
      <c r="AW354" s="712">
        <f>IF(Sheet1!EL354="FM",BC354,0)</f>
        <v>0</v>
      </c>
      <c r="AX354" s="712">
        <f t="shared" si="955"/>
        <v>0</v>
      </c>
      <c r="AY354" s="712">
        <f>IF(Sheet1!EL354="OTHER",BC354,0)</f>
        <v>0</v>
      </c>
      <c r="AZ354" s="712">
        <f t="shared" si="956"/>
        <v>0</v>
      </c>
      <c r="BA354" s="712">
        <f t="shared" si="957"/>
        <v>0</v>
      </c>
      <c r="BB354" s="712">
        <f t="shared" si="958"/>
        <v>0</v>
      </c>
      <c r="BC354" s="712">
        <f>IF(OR(Sheet1!EL354="FM", Sheet1!EL354="OTHER"),SUM(Sheet1!BG354:'Sheet1'!BI354),0)</f>
        <v>0</v>
      </c>
      <c r="BD354" s="697">
        <f>IF(AND($B354&gt;=$FL354,$B354&lt;=$FM354),MAX(AV354,Sheet1!EE354,0),MAX(AV354-(7/36)*$K354,0))</f>
        <v>0</v>
      </c>
      <c r="BE354" s="712">
        <f t="shared" si="959"/>
        <v>0</v>
      </c>
      <c r="BF354" s="697">
        <f t="shared" si="960"/>
        <v>0</v>
      </c>
      <c r="BG354" s="697">
        <f>IF(AND($O354&gt;0,Sheet1!EI354=1),(1-($O354-Sheet1!$L354)/$O354)*BB354,0)</f>
        <v>0</v>
      </c>
      <c r="BH354" s="697">
        <f>IF(AND(Sheet1!$L354=0,Sheet1!$L353=0, Calculation!BA354&lt;Sheet1!$EE354-0.1,Sheet1!$EE354=Sheet1!$EE353,Sheet1!$EE354=Sheet1!$EE355),Sheet1!$EE354,BB354-BG354)</f>
        <v>0</v>
      </c>
      <c r="BI354" s="712"/>
      <c r="BJ354" s="712"/>
      <c r="BK354" s="712">
        <f t="shared" si="961"/>
        <v>0</v>
      </c>
      <c r="BL354" s="712"/>
      <c r="BM354" s="712">
        <f ca="1">IF(B354&gt;Summary!$A$1,#N/A,BK354*MGtoAF)</f>
        <v>0</v>
      </c>
      <c r="BN354" s="712">
        <f>Sheet1!BC354+Sheet1!BD354+Sheet1!BE354+Sheet1!BF354-BW354-BX354</f>
        <v>2</v>
      </c>
      <c r="BO354" s="712">
        <f t="shared" si="962"/>
        <v>1.9550481626828395</v>
      </c>
      <c r="BP354" s="712">
        <f>IF(Sheet1!EM354="FM",BX354,0)</f>
        <v>0</v>
      </c>
      <c r="BQ354" s="712">
        <f t="shared" si="963"/>
        <v>0</v>
      </c>
      <c r="BR354" s="712">
        <f>IF(Sheet1!EM354="OTHER",BX354,0)</f>
        <v>0</v>
      </c>
      <c r="BS354" s="712">
        <f t="shared" si="964"/>
        <v>0</v>
      </c>
      <c r="BT354" s="712">
        <f t="shared" si="965"/>
        <v>0</v>
      </c>
      <c r="BU354" s="712">
        <f t="shared" si="966"/>
        <v>2</v>
      </c>
      <c r="BV354" s="712">
        <f t="shared" si="967"/>
        <v>1.9550481626828395</v>
      </c>
      <c r="BW354" s="712">
        <f>IF(Sheet1!EM354="CWA",SUM(Sheet1!BC354:'Sheet1'!BF354),0)</f>
        <v>0</v>
      </c>
      <c r="BX354" s="712">
        <f>IF(OR(Sheet1!EM354="FM", Sheet1!EM354="OTHER"),SUM(Sheet1!BC354:'Sheet1'!BF354),0)</f>
        <v>0</v>
      </c>
      <c r="BY354" s="697">
        <f>IF(AND($B354&gt;=$FL354,$B354&lt;=$FM354),MAX(BV354,Sheet1!EF354,0),MAX(BV354-(7/36)*$K354,0))</f>
        <v>0</v>
      </c>
      <c r="BZ354" s="712">
        <f t="shared" si="968"/>
        <v>0</v>
      </c>
      <c r="CA354" s="697">
        <f t="shared" si="969"/>
        <v>1.9550481626828395</v>
      </c>
      <c r="CB354" s="697">
        <f>IF(AND($O354&gt;0,Sheet1!EJ354=1),(1-($O354-Sheet1!$L354)/$O354)*BV354,0)</f>
        <v>0</v>
      </c>
      <c r="CC354" s="697">
        <f>IF(AND(Sheet1!$L354=0,Sheet1!$L353=0, Calculation!BU354&lt;Sheet1!EF354-0.1,Sheet1!EF354=Sheet1!EF353,Sheet1!EF354=Sheet1!EF355),Sheet1!EF354,BV354-CB354)</f>
        <v>1.9550481626828395</v>
      </c>
      <c r="CD354" s="697"/>
      <c r="CE354" s="712"/>
      <c r="CF354" s="712">
        <f t="shared" si="970"/>
        <v>0</v>
      </c>
      <c r="CG354" s="712"/>
      <c r="CH354" s="712">
        <f ca="1">IF(B354&gt;Summary!$A$1,#N/A,CF354*MGtoAF)</f>
        <v>0</v>
      </c>
      <c r="CI354" s="712">
        <f>Sheet1!BK354+Sheet1!BL354+Sheet1!BM354-Sheet1!EN354-CQ354</f>
        <v>6.53</v>
      </c>
      <c r="CJ354" s="712">
        <f t="shared" si="971"/>
        <v>6.3832322511594715</v>
      </c>
      <c r="CK354" s="712">
        <f>IF(Sheet1!EN354="FM",CQ354,0)</f>
        <v>0</v>
      </c>
      <c r="CL354" s="712">
        <f t="shared" si="972"/>
        <v>0</v>
      </c>
      <c r="CM354" s="712">
        <f>IF(Sheet1!EN354="OTHER",CQ354,0)</f>
        <v>0</v>
      </c>
      <c r="CN354" s="712">
        <f t="shared" si="973"/>
        <v>0</v>
      </c>
      <c r="CO354" s="712">
        <f t="shared" si="974"/>
        <v>6.53</v>
      </c>
      <c r="CP354" s="712">
        <f t="shared" si="975"/>
        <v>6.3832322511594715</v>
      </c>
      <c r="CQ354" s="712">
        <f>IF(OR(Sheet1!EN354="FM", Sheet1!EN354="OTHER"),SUM(Sheet1!BK354:'Sheet1'!BM354),0)</f>
        <v>0</v>
      </c>
      <c r="CR354" s="697">
        <f>IF(AND($B354&gt;=$FL354,$B354&lt;=$FM354),MAX($CJ354,Sheet1!EG354,0),MAX($CJ354-(7/36)*$K354,0))</f>
        <v>0</v>
      </c>
      <c r="CS354" s="712">
        <f t="shared" si="976"/>
        <v>0</v>
      </c>
      <c r="CT354" s="697">
        <f t="shared" si="977"/>
        <v>6.3832322511594715</v>
      </c>
      <c r="CU354" s="697">
        <f>IF(AND($O354&gt;0,Sheet1!EK354=1),(1-($O354-Sheet1!$L354)/$O354)*CP354,0)</f>
        <v>0</v>
      </c>
      <c r="CV354" s="697">
        <f>IF(AND(Sheet1!$L354=0,Sheet1!$L353=0, Calculation!CO354&lt;Sheet1!$EG354-0.1,Sheet1!$EG354=Sheet1!$EG353,Sheet1!$EG354=Sheet1!$EG355),Sheet1!$EG354,CP354-CU354)</f>
        <v>6.3832322511594715</v>
      </c>
      <c r="CW354" s="697"/>
      <c r="CX354" s="712">
        <f t="shared" si="978"/>
        <v>8.5300000000000011</v>
      </c>
      <c r="CY354" s="712">
        <f t="shared" si="979"/>
        <v>0</v>
      </c>
      <c r="CZ354" s="712">
        <f t="shared" si="980"/>
        <v>8.3382804138423108</v>
      </c>
      <c r="DA354" s="712">
        <f ca="1">IF(B354&gt;Summary!$A$1,#N/A,CY354*MGtoAF)</f>
        <v>0</v>
      </c>
      <c r="DB354" s="712">
        <f t="shared" si="981"/>
        <v>8.5300000000000011</v>
      </c>
      <c r="DC354" s="712">
        <f t="shared" si="982"/>
        <v>28.03</v>
      </c>
      <c r="DD354" s="712">
        <f>Sheet1!AB354-DC354</f>
        <v>-0.63000000000000256</v>
      </c>
      <c r="DE354" s="712">
        <f t="shared" si="983"/>
        <v>-2.2475918658580184E-2</v>
      </c>
      <c r="DF354" s="712">
        <f>(VLOOKUP(Sheet1!CY354,hhdcap_wcm,4)-(((VLOOKUP(Sheet1!CY354,hhdcap_wcm,3)-Sheet1!CY354)/(VLOOKUP(Sheet1!CY354,hhdcap_wcm,3)-VLOOKUP(Sheet1!CY354,hhdcap_wcm,1)))*(VLOOKUP(Sheet1!CY354,hhdcap_wcm,4)-VLOOKUP(Sheet1!CY354,hhdcap_wcm,2))))</f>
        <v>1865.3800000026351</v>
      </c>
      <c r="DG354" s="712">
        <f t="shared" si="984"/>
        <v>8.5399999999997362</v>
      </c>
      <c r="DH354" s="712">
        <f t="shared" si="985"/>
        <v>4.3066061522943695</v>
      </c>
      <c r="DI354" s="712">
        <f>Sheet1!DW354*AFtoMG</f>
        <v>0</v>
      </c>
      <c r="DJ354" s="712">
        <f>Sheet1!DX354*AFtoMG</f>
        <v>0</v>
      </c>
      <c r="DK354" s="712">
        <f>Sheet1!DY354*AFtoMG</f>
        <v>0</v>
      </c>
      <c r="DL354" s="712">
        <f>Sheet1!DZ354*AFtoMG</f>
        <v>0</v>
      </c>
      <c r="DM354" s="712">
        <f t="shared" si="986"/>
        <v>0</v>
      </c>
      <c r="DN354" s="712">
        <f t="shared" si="987"/>
        <v>0</v>
      </c>
      <c r="DO354" s="712">
        <f t="shared" si="988"/>
        <v>0</v>
      </c>
      <c r="DP354" s="712">
        <f t="shared" si="989"/>
        <v>0</v>
      </c>
      <c r="DQ354" s="712"/>
      <c r="DR354" s="697">
        <f>IF(OR(B354&lt;FL354,B354&gt;FM354),(MIN(AV354+BO354+CJ354+MAX(Sheet1!AA354+AG354-73,0),K354)),0)</f>
        <v>8.3382804138423108</v>
      </c>
      <c r="DS354" s="712"/>
      <c r="DT354" s="712">
        <f t="shared" si="990"/>
        <v>8.3382804138423108</v>
      </c>
      <c r="DU354" s="712"/>
      <c r="DV354" s="712">
        <f>Sheet1!ED354+Sheet1!EE354+Sheet1!EF354+Sheet1!EG354</f>
        <v>8.5</v>
      </c>
      <c r="DW354" s="712"/>
      <c r="DX354" s="697">
        <f t="shared" si="991"/>
        <v>0</v>
      </c>
      <c r="DY354" s="712">
        <f>IF(Sheet1!FN354=1,SUM('Calculations II'!AT354:BA354)+'Calculations II'!BC354+Sheet1!BU354+'Calculations II'!BE354+AF354,SUM('Calculations II'!AT354:BA354)+'Calculations II'!BC354+Sheet1!BU354+'Calculations II'!BE354+AF354)</f>
        <v>40.358959999999996</v>
      </c>
      <c r="DZ354" s="712">
        <f>Sheet1!AA354+Sheet1!AB354+'Calculations II'!BC354</f>
        <v>54.599999999999994</v>
      </c>
      <c r="EA354" s="712"/>
      <c r="EB354" s="712"/>
      <c r="EC354" s="712">
        <f t="shared" si="992"/>
        <v>40883</v>
      </c>
      <c r="ED354" s="712">
        <f t="shared" si="993"/>
        <v>0</v>
      </c>
      <c r="EE354" s="712">
        <f t="shared" si="994"/>
        <v>0</v>
      </c>
      <c r="EF354" s="712">
        <f ca="1">IF(B354=TODAY(),0,-(VLOOKUP(Sheet1!BQ354,Lookup!$B$4:$J$236,2)-VLOOKUP(Sheet1!BQ353,Lookup!$B$4:$J$236,2))/1000000)</f>
        <v>-1.3724000000000001</v>
      </c>
      <c r="EG354" s="712">
        <f ca="1">IF(B354=TODAY(),0,-(VLOOKUP(Sheet1!BR354,Lookup!$B$4:$J$236,3)-VLOOKUP(Sheet1!BR353,Lookup!$B$4:$J$236,3))/1000000)</f>
        <v>-1.367</v>
      </c>
      <c r="EH354" s="712">
        <f>-(VLOOKUP(Sheet1!BS354,Lookup!$B$4:$J$236,4)-VLOOKUP(Sheet1!BS353,Lookup!$B$4:$J$236,4))/1000000</f>
        <v>0</v>
      </c>
      <c r="EI354" s="697">
        <f t="shared" ca="1" si="922"/>
        <v>-2.7393999999999998</v>
      </c>
      <c r="EJ354" s="712"/>
      <c r="EK354" s="712"/>
      <c r="EL354" s="712"/>
      <c r="EM354" s="712"/>
      <c r="EN354" s="712"/>
      <c r="EO354" s="712"/>
      <c r="EP354" s="712"/>
      <c r="EQ354" s="712"/>
      <c r="ER354" s="712"/>
      <c r="ES354" s="712"/>
      <c r="ET354" s="794" t="e">
        <f t="shared" si="919"/>
        <v>#N/A</v>
      </c>
      <c r="EU354" s="794" t="e">
        <f t="shared" si="924"/>
        <v>#N/A</v>
      </c>
      <c r="EV354" s="795" t="e">
        <f t="shared" si="925"/>
        <v>#N/A</v>
      </c>
      <c r="EW354" s="796" t="s">
        <v>757</v>
      </c>
      <c r="EX354" s="796" t="s">
        <v>757</v>
      </c>
      <c r="EY354" s="794" t="e">
        <v>#N/A</v>
      </c>
      <c r="EZ354" s="794" t="e">
        <v>#N/A</v>
      </c>
      <c r="FA354" s="712"/>
      <c r="FB354" s="712"/>
      <c r="FC354" s="712"/>
      <c r="FD354" s="712"/>
      <c r="FE354" s="712">
        <f>O354+Sheet1!CO354</f>
        <v>54.599999999999994</v>
      </c>
      <c r="FF354" s="712">
        <f>IF(Sheet1!AA354+AG354&lt;=Calculation!N354,AG354,Calculation!N354-Sheet1!AA354)</f>
        <v>19.061719586157686</v>
      </c>
      <c r="FG354" s="712">
        <f>(Sheet1!BP354+Sheet1!BO354)/694.4</f>
        <v>1.4432603686635945</v>
      </c>
      <c r="FH354" s="712"/>
      <c r="FI354" s="712"/>
      <c r="FJ354" s="712"/>
      <c r="FK354" s="712"/>
      <c r="FL354" s="714">
        <f t="shared" si="929"/>
        <v>40753</v>
      </c>
      <c r="FM354" s="714">
        <f t="shared" si="930"/>
        <v>40851</v>
      </c>
      <c r="FN354" s="712"/>
      <c r="FO354" s="712"/>
      <c r="FP354" s="712"/>
      <c r="FQ354" s="712"/>
      <c r="FR354" s="712"/>
      <c r="FS354" s="725">
        <f t="shared" si="935"/>
        <v>40603</v>
      </c>
      <c r="FT354" s="714">
        <f t="shared" si="932"/>
        <v>40709</v>
      </c>
      <c r="FU354" s="712">
        <f t="shared" si="935"/>
        <v>6518.9048239895692</v>
      </c>
      <c r="FV354" s="714">
        <f t="shared" si="933"/>
        <v>40722</v>
      </c>
      <c r="FW354" s="712">
        <f t="shared" si="935"/>
        <v>3259.4524119947846</v>
      </c>
      <c r="FX354" s="725">
        <f t="shared" si="935"/>
        <v>40851</v>
      </c>
      <c r="FZ354" s="697">
        <f t="shared" si="926"/>
        <v>0</v>
      </c>
      <c r="GA354" s="712" t="str">
        <f t="shared" si="995"/>
        <v/>
      </c>
      <c r="GB354" s="712">
        <f t="shared" si="996"/>
        <v>0</v>
      </c>
      <c r="GC354" s="712" t="str">
        <f t="shared" si="997"/>
        <v/>
      </c>
      <c r="GD354" s="712">
        <f>IF(GA354="P",Lookup!$M$12,IF(GA354="PP",Lookup!$M$13,IF(GA354="PPP",Lookup!$M$14,IF(GA354="T",Lookup!$M$15,IF(GA354="TP",Lookup!$M$16,IF(GA354="TPP",Lookup!$M$17,IF(GA354="TPPP",Lookup!$M$18,0)))))))*FZ354</f>
        <v>0</v>
      </c>
      <c r="GE354" s="712">
        <f t="shared" si="998"/>
        <v>0</v>
      </c>
      <c r="GF354" s="712">
        <f t="shared" si="999"/>
        <v>0</v>
      </c>
      <c r="GG354" s="712">
        <f t="shared" si="1000"/>
        <v>0</v>
      </c>
      <c r="GH354" s="712"/>
      <c r="GI354" s="712">
        <f t="shared" si="1001"/>
        <v>0</v>
      </c>
      <c r="GJ354" s="712" t="str">
        <f t="shared" si="1002"/>
        <v/>
      </c>
      <c r="GK354" s="712">
        <f>IF(GA354="P",Lookup!$N$12,IF(GA354="PP",Lookup!$N$13,IF(GA354="PPP",Lookup!$N$14,IF(GA354="T",Lookup!$N$15,IF(GA354="TP",Lookup!$N$16,IF(GA354="TPP",Lookup!$N$17,IF(GA354="TPPP",Lookup!$N$18,0)))))))*FZ354</f>
        <v>0</v>
      </c>
      <c r="GL354" s="712">
        <f t="shared" si="1003"/>
        <v>0</v>
      </c>
      <c r="GM354" s="712">
        <f t="shared" si="1004"/>
        <v>0</v>
      </c>
      <c r="GN354" s="712">
        <f t="shared" si="1005"/>
        <v>0</v>
      </c>
      <c r="GO354" s="712"/>
      <c r="GP354" s="712">
        <f t="shared" si="1006"/>
        <v>0</v>
      </c>
      <c r="GQ354" s="712" t="str">
        <f t="shared" si="1007"/>
        <v/>
      </c>
      <c r="GR354" s="712">
        <f>IF(GA354="P",Lookup!$N$12,IF(GA354="PP",Lookup!$N$13,IF(GA354="PPP",Lookup!$N$14,IF(GA354="T",Lookup!$N$15,IF(GA354="TP",Lookup!$N$16,IF(GA354="TPP",Lookup!$N$17,IF(GA354="TPPP",Lookup!$N$18,0)))))))*FZ354</f>
        <v>0</v>
      </c>
      <c r="GS354" s="697">
        <f t="shared" si="927"/>
        <v>0</v>
      </c>
      <c r="GT354" s="712">
        <f t="shared" si="1008"/>
        <v>0</v>
      </c>
      <c r="GU354" s="712">
        <f t="shared" si="1009"/>
        <v>0</v>
      </c>
      <c r="GV354" s="712"/>
      <c r="GW354" s="712">
        <f t="shared" si="1010"/>
        <v>0</v>
      </c>
      <c r="GX354" s="712" t="str">
        <f t="shared" si="1011"/>
        <v/>
      </c>
      <c r="GY354" s="712">
        <f>IF(GA354="P",Lookup!$N$12,IF(GA354="PP",Lookup!$N$13,IF(GA354="PPP",Lookup!$N$14,IF(GA354="T",Lookup!$N$15,IF(GA354="TP",Lookup!$N$16,IF(GA354="TPP",Lookup!$N$17,IF(GA354="TPPP",Lookup!$N$18,0)))))))*FZ354</f>
        <v>0</v>
      </c>
      <c r="GZ354" s="697">
        <f t="shared" si="928"/>
        <v>0</v>
      </c>
      <c r="HA354" s="712">
        <f t="shared" si="1012"/>
        <v>0</v>
      </c>
      <c r="HB354" s="712">
        <f t="shared" si="1013"/>
        <v>0</v>
      </c>
      <c r="HC354" s="712"/>
    </row>
    <row r="355" spans="1:211">
      <c r="A355" s="773" t="s">
        <v>6</v>
      </c>
      <c r="B355" s="708">
        <v>40884</v>
      </c>
      <c r="C355" s="719">
        <v>0.5</v>
      </c>
      <c r="D355" s="675">
        <f t="shared" si="936"/>
        <v>300</v>
      </c>
      <c r="E355" s="675">
        <f t="shared" si="937"/>
        <v>250</v>
      </c>
      <c r="F355" s="675">
        <v>250</v>
      </c>
      <c r="G355" s="712">
        <f>DH355+Sheet1!CV355</f>
        <v>693.24741553202227</v>
      </c>
      <c r="H355" s="712">
        <f t="shared" si="938"/>
        <v>181.15192939989919</v>
      </c>
      <c r="I355" s="711">
        <f>MAX(Sheet1!Z355-AJ355+(Sheet1!CW355-E355)*CFStoMGD,0)</f>
        <v>465.76985546030539</v>
      </c>
      <c r="J355" s="720">
        <f>IF(AND(B355&gt;=Calculation!FS355,B355&lt;=Calculation!FT355),IF(Sheet1!CX355&gt;=Calculation!D355,64.64,0),MAX(Sheet1!Z355-AJ355+(Sheet1!CX355-D355)*CFStoMGD,0))</f>
        <v>241.15932212697211</v>
      </c>
      <c r="K355" s="697">
        <f t="shared" si="939"/>
        <v>64.64</v>
      </c>
      <c r="L355" s="712">
        <f>Sheet1!AA355+Sheet1!AB355-Sheet1!L355+(Sheet1!CW355-F355)*CFStoMGD</f>
        <v>509.54340000000025</v>
      </c>
      <c r="M355" s="712">
        <f t="shared" si="940"/>
        <v>457.07743198789717</v>
      </c>
      <c r="N355" s="712">
        <f>IF(Sheet1!CW355&gt;=F355,MIN(73,MIN(MAX(L355,0),MAX(M355,0))),0)</f>
        <v>73</v>
      </c>
      <c r="O355" s="721">
        <f>Sheet1!AA355+Sheet1!AB355</f>
        <v>52.680000000000291</v>
      </c>
      <c r="P355" s="721">
        <f t="shared" si="941"/>
        <v>81.495960000000451</v>
      </c>
      <c r="Q355" s="712">
        <f>MIN(N355,Sheet1!AA355+AG355)</f>
        <v>44.833544539694572</v>
      </c>
      <c r="R355" s="712">
        <f t="shared" si="942"/>
        <v>7.8464554603057204</v>
      </c>
      <c r="S355" s="721">
        <f>Sheet1!Y355*MGDtoCFS</f>
        <v>42.666259999999994</v>
      </c>
      <c r="T355" s="721">
        <f>Sheet1!Z355*MGDtoCFS</f>
        <v>39.819779999999994</v>
      </c>
      <c r="U355" s="721">
        <f>Sheet1!AA355*MGDtoCFS</f>
        <v>43.315999999999995</v>
      </c>
      <c r="V355" s="721">
        <f>Sheet1!AB355*MGDtoCFS</f>
        <v>38.179960000000449</v>
      </c>
      <c r="W355" s="721">
        <f>Sheet1!L355*MGDtoCFS</f>
        <v>0</v>
      </c>
      <c r="X355" s="697">
        <f t="shared" si="943"/>
        <v>0</v>
      </c>
      <c r="Y355" s="712">
        <f t="shared" si="944"/>
        <v>0</v>
      </c>
      <c r="Z355" s="712">
        <f t="shared" si="945"/>
        <v>0</v>
      </c>
      <c r="AA355" s="712">
        <f t="shared" si="946"/>
        <v>0</v>
      </c>
      <c r="AB355" s="712">
        <f>(VLOOKUP(Sheet1!CY355,hhdcap_wcm,4)-(((VLOOKUP(Sheet1!CY355,hhdcap_wcm,3)-Sheet1!CY355)/(VLOOKUP(Sheet1!CY355,hhdcap_wcm,3)-VLOOKUP(Sheet1!CY355,hhdcap_wcm,1)))*(VLOOKUP(Sheet1!CY355,hhdcap_wcm,4)-VLOOKUP(Sheet1!CY355,hhdcap_wcm,2))))</f>
        <v>1860.5000000026353</v>
      </c>
      <c r="AC355" s="712">
        <f t="shared" si="947"/>
        <v>-4.8799999999998818</v>
      </c>
      <c r="AD355" s="712">
        <f t="shared" si="948"/>
        <v>0</v>
      </c>
      <c r="AE355" s="712">
        <f t="shared" si="949"/>
        <v>0</v>
      </c>
      <c r="AF355" s="712">
        <f>Sheet1!BA355+Sheet1!BB355+Sheet1!BN355+BT355</f>
        <v>18.3</v>
      </c>
      <c r="AG355" s="712">
        <f t="shared" si="950"/>
        <v>16.833544539694572</v>
      </c>
      <c r="AH355" s="712">
        <f>Sheet1!BA355+BT355</f>
        <v>0</v>
      </c>
      <c r="AI355" s="712">
        <f>Sheet1!BA355+Sheet1!BB355+BT355</f>
        <v>0</v>
      </c>
      <c r="AJ355" s="712">
        <f>IF((Sheet1!AA355+AG355+AX355+AZ355+BQ355+BS355+CL355+CN355)&lt;=N355,AG355+AX355+AZ355+BQ355+BS355+CL355+CN355,N355-Sheet1!AA355)</f>
        <v>16.833544539694572</v>
      </c>
      <c r="AK355" s="712">
        <f>IF(DR355&lt;K355,0,MAX(Sheet1!AA355+AG355-15/36*K355-N355,Sheet1!ED355,0))</f>
        <v>0</v>
      </c>
      <c r="AL355" s="712">
        <f>IF(OR(B355&gt;=FT355,B355&lt;FS355),0,15/36*K355-MAX(0,64.6-(137.6-(Sheet1!AA355+Sheet1!AB355))))</f>
        <v>0</v>
      </c>
      <c r="AM355" s="712">
        <f>Sheet1!CX355-110</f>
        <v>549.30208333333337</v>
      </c>
      <c r="AN355" s="712">
        <f>Sheet1!CW355-265</f>
        <v>691.78125</v>
      </c>
      <c r="AO355" s="712">
        <f t="shared" si="934"/>
        <v>28.166455460305428</v>
      </c>
      <c r="AP355" s="712">
        <f t="shared" si="951"/>
        <v>0</v>
      </c>
      <c r="AQ355" s="712">
        <f t="shared" si="952"/>
        <v>0</v>
      </c>
      <c r="AR355" s="712">
        <f t="shared" si="953"/>
        <v>0</v>
      </c>
      <c r="AS355" s="712"/>
      <c r="AT355" s="712">
        <f ca="1">IF(B355&gt;Summary!$A$1,#N/A,AR355*MGtoAF)</f>
        <v>0</v>
      </c>
      <c r="AU355" s="712">
        <f>Sheet1!BG355+Sheet1!BH355+Sheet1!BI355-BC355</f>
        <v>0</v>
      </c>
      <c r="AV355" s="712">
        <f t="shared" si="954"/>
        <v>0</v>
      </c>
      <c r="AW355" s="712">
        <f>IF(Sheet1!EL355="FM",BC355,0)</f>
        <v>0</v>
      </c>
      <c r="AX355" s="712">
        <f t="shared" si="955"/>
        <v>0</v>
      </c>
      <c r="AY355" s="712">
        <f>IF(Sheet1!EL355="OTHER",BC355,0)</f>
        <v>0</v>
      </c>
      <c r="AZ355" s="712">
        <f t="shared" si="956"/>
        <v>0</v>
      </c>
      <c r="BA355" s="712">
        <f t="shared" si="957"/>
        <v>0</v>
      </c>
      <c r="BB355" s="712">
        <f t="shared" si="958"/>
        <v>0</v>
      </c>
      <c r="BC355" s="712">
        <f>IF(OR(Sheet1!EL355="FM", Sheet1!EL355="OTHER"),SUM(Sheet1!BG355:'Sheet1'!BI355),0)</f>
        <v>0</v>
      </c>
      <c r="BD355" s="697">
        <f>IF(AND($B355&gt;=$FL355,$B355&lt;=$FM355),MAX(AV355,Sheet1!EE355,0),MAX(AV355-(7/36)*$K355,0))</f>
        <v>0</v>
      </c>
      <c r="BE355" s="712">
        <f t="shared" si="959"/>
        <v>0</v>
      </c>
      <c r="BF355" s="697">
        <f t="shared" si="960"/>
        <v>0</v>
      </c>
      <c r="BG355" s="697">
        <f>IF(AND($O355&gt;0,Sheet1!EI355=1),(1-($O355-Sheet1!$L355)/$O355)*BB355,0)</f>
        <v>0</v>
      </c>
      <c r="BH355" s="697">
        <f>IF(AND(Sheet1!$L355=0,Sheet1!$L354=0, Calculation!BA355&lt;Sheet1!$EE355-0.1,Sheet1!$EE355=Sheet1!$EE354,Sheet1!$EE355=Sheet1!$EE356),Sheet1!$EE355,BB355-BG355)</f>
        <v>0</v>
      </c>
      <c r="BI355" s="712"/>
      <c r="BJ355" s="712"/>
      <c r="BK355" s="712">
        <f t="shared" si="961"/>
        <v>0</v>
      </c>
      <c r="BL355" s="712"/>
      <c r="BM355" s="712">
        <f ca="1">IF(B355&gt;Summary!$A$1,#N/A,BK355*MGtoAF)</f>
        <v>0</v>
      </c>
      <c r="BN355" s="712">
        <f>Sheet1!BC355+Sheet1!BD355+Sheet1!BE355+Sheet1!BF355-BW355-BX355</f>
        <v>2.0099999999999998</v>
      </c>
      <c r="BO355" s="712">
        <f t="shared" si="962"/>
        <v>1.8489303019008789</v>
      </c>
      <c r="BP355" s="712">
        <f>IF(Sheet1!EM355="FM",BX355,0)</f>
        <v>0</v>
      </c>
      <c r="BQ355" s="712">
        <f t="shared" si="963"/>
        <v>0</v>
      </c>
      <c r="BR355" s="712">
        <f>IF(Sheet1!EM355="OTHER",BX355,0)</f>
        <v>0</v>
      </c>
      <c r="BS355" s="712">
        <f t="shared" si="964"/>
        <v>0</v>
      </c>
      <c r="BT355" s="712">
        <f t="shared" si="965"/>
        <v>0</v>
      </c>
      <c r="BU355" s="712">
        <f t="shared" si="966"/>
        <v>2.0099999999999998</v>
      </c>
      <c r="BV355" s="712">
        <f t="shared" si="967"/>
        <v>1.8489303019008789</v>
      </c>
      <c r="BW355" s="712">
        <f>IF(Sheet1!EM355="CWA",SUM(Sheet1!BC355:'Sheet1'!BF355),0)</f>
        <v>0</v>
      </c>
      <c r="BX355" s="712">
        <f>IF(OR(Sheet1!EM355="FM", Sheet1!EM355="OTHER"),SUM(Sheet1!BC355:'Sheet1'!BF355),0)</f>
        <v>0</v>
      </c>
      <c r="BY355" s="697">
        <f>IF(AND($B355&gt;=$FL355,$B355&lt;=$FM355),MAX(BV355,Sheet1!EF355,0),MAX(BV355-(7/36)*$K355,0))</f>
        <v>0</v>
      </c>
      <c r="BZ355" s="712">
        <f t="shared" si="968"/>
        <v>0</v>
      </c>
      <c r="CA355" s="697">
        <f t="shared" si="969"/>
        <v>1.8489303019008789</v>
      </c>
      <c r="CB355" s="697">
        <f>IF(AND($O355&gt;0,Sheet1!EJ355=1),(1-($O355-Sheet1!$L355)/$O355)*BV355,0)</f>
        <v>0</v>
      </c>
      <c r="CC355" s="697">
        <f>IF(AND(Sheet1!$L355=0,Sheet1!$L354=0, Calculation!BU355&lt;Sheet1!EF355-0.1,Sheet1!EF355=Sheet1!EF354,Sheet1!EF355=Sheet1!EF356),Sheet1!EF355,BV355-CB355)</f>
        <v>1.8489303019008789</v>
      </c>
      <c r="CD355" s="697"/>
      <c r="CE355" s="712"/>
      <c r="CF355" s="712">
        <f t="shared" si="970"/>
        <v>0</v>
      </c>
      <c r="CG355" s="712"/>
      <c r="CH355" s="712">
        <f ca="1">IF(B355&gt;Summary!$A$1,#N/A,CF355*MGtoAF)</f>
        <v>0</v>
      </c>
      <c r="CI355" s="712">
        <f>Sheet1!BK355+Sheet1!BL355+Sheet1!BM355-Sheet1!EN355-CQ355</f>
        <v>6.52</v>
      </c>
      <c r="CJ355" s="712">
        <f t="shared" si="971"/>
        <v>5.9975251584048417</v>
      </c>
      <c r="CK355" s="712">
        <f>IF(Sheet1!EN355="FM",CQ355,0)</f>
        <v>0</v>
      </c>
      <c r="CL355" s="712">
        <f t="shared" si="972"/>
        <v>0</v>
      </c>
      <c r="CM355" s="712">
        <f>IF(Sheet1!EN355="OTHER",CQ355,0)</f>
        <v>0</v>
      </c>
      <c r="CN355" s="712">
        <f t="shared" si="973"/>
        <v>0</v>
      </c>
      <c r="CO355" s="712">
        <f t="shared" si="974"/>
        <v>6.52</v>
      </c>
      <c r="CP355" s="712">
        <f t="shared" si="975"/>
        <v>5.9975251584048417</v>
      </c>
      <c r="CQ355" s="712">
        <f>IF(OR(Sheet1!EN355="FM", Sheet1!EN355="OTHER"),SUM(Sheet1!BK355:'Sheet1'!BM355),0)</f>
        <v>0</v>
      </c>
      <c r="CR355" s="697">
        <f>IF(AND($B355&gt;=$FL355,$B355&lt;=$FM355),MAX($CJ355,Sheet1!EG355,0),MAX($CJ355-(7/36)*$K355,0))</f>
        <v>0</v>
      </c>
      <c r="CS355" s="712">
        <f t="shared" si="976"/>
        <v>0</v>
      </c>
      <c r="CT355" s="697">
        <f t="shared" si="977"/>
        <v>5.9975251584048417</v>
      </c>
      <c r="CU355" s="697">
        <f>IF(AND($O355&gt;0,Sheet1!EK355=1),(1-($O355-Sheet1!$L355)/$O355)*CP355,0)</f>
        <v>0</v>
      </c>
      <c r="CV355" s="697">
        <f>IF(AND(Sheet1!$L355=0,Sheet1!$L354=0, Calculation!CO355&lt;Sheet1!$EG355-0.1,Sheet1!$EG355=Sheet1!$EG354,Sheet1!$EG355=Sheet1!$EG356),Sheet1!$EG355,CP355-CU355)</f>
        <v>5.9975251584048417</v>
      </c>
      <c r="CW355" s="697"/>
      <c r="CX355" s="712">
        <f t="shared" si="978"/>
        <v>8.5299999999999994</v>
      </c>
      <c r="CY355" s="712">
        <f t="shared" si="979"/>
        <v>0</v>
      </c>
      <c r="CZ355" s="712">
        <f t="shared" si="980"/>
        <v>7.8464554603057204</v>
      </c>
      <c r="DA355" s="712">
        <f ca="1">IF(B355&gt;Summary!$A$1,#N/A,CY355*MGtoAF)</f>
        <v>0</v>
      </c>
      <c r="DB355" s="712">
        <f t="shared" si="981"/>
        <v>8.5299999999999994</v>
      </c>
      <c r="DC355" s="712">
        <f t="shared" si="982"/>
        <v>26.83</v>
      </c>
      <c r="DD355" s="712">
        <f>Sheet1!AB355-DC355</f>
        <v>-2.1499999999997073</v>
      </c>
      <c r="DE355" s="712">
        <f t="shared" si="983"/>
        <v>-8.0134178158766584E-2</v>
      </c>
      <c r="DF355" s="712">
        <f>(VLOOKUP(Sheet1!CY355,hhdcap_wcm,4)-(((VLOOKUP(Sheet1!CY355,hhdcap_wcm,3)-Sheet1!CY355)/(VLOOKUP(Sheet1!CY355,hhdcap_wcm,3)-VLOOKUP(Sheet1!CY355,hhdcap_wcm,1)))*(VLOOKUP(Sheet1!CY355,hhdcap_wcm,4)-VLOOKUP(Sheet1!CY355,hhdcap_wcm,2))))</f>
        <v>1860.5000000026353</v>
      </c>
      <c r="DG355" s="712">
        <f t="shared" si="984"/>
        <v>-4.8799999999998818</v>
      </c>
      <c r="DH355" s="712">
        <f t="shared" si="985"/>
        <v>-2.4609178013110848</v>
      </c>
      <c r="DI355" s="712">
        <f>Sheet1!DW355*AFtoMG</f>
        <v>0</v>
      </c>
      <c r="DJ355" s="712">
        <f>Sheet1!DX355*AFtoMG</f>
        <v>0</v>
      </c>
      <c r="DK355" s="712">
        <f>Sheet1!DY355*AFtoMG</f>
        <v>0</v>
      </c>
      <c r="DL355" s="712">
        <f>Sheet1!DZ355*AFtoMG</f>
        <v>0</v>
      </c>
      <c r="DM355" s="712">
        <f t="shared" si="986"/>
        <v>0</v>
      </c>
      <c r="DN355" s="712">
        <f t="shared" si="987"/>
        <v>0</v>
      </c>
      <c r="DO355" s="712">
        <f t="shared" si="988"/>
        <v>0</v>
      </c>
      <c r="DP355" s="712">
        <f t="shared" si="989"/>
        <v>0</v>
      </c>
      <c r="DQ355" s="712"/>
      <c r="DR355" s="697">
        <f>IF(OR(B355&lt;FL355,B355&gt;FM355),(MIN(AV355+BO355+CJ355+MAX(Sheet1!AA355+AG355-73,0),K355)),0)</f>
        <v>7.8464554603057204</v>
      </c>
      <c r="DS355" s="712"/>
      <c r="DT355" s="712">
        <f t="shared" si="990"/>
        <v>7.8464554603057204</v>
      </c>
      <c r="DU355" s="712"/>
      <c r="DV355" s="712">
        <f>Sheet1!ED355+Sheet1!EE355+Sheet1!EF355+Sheet1!EG355</f>
        <v>8.5</v>
      </c>
      <c r="DW355" s="712"/>
      <c r="DX355" s="697">
        <f t="shared" si="991"/>
        <v>0</v>
      </c>
      <c r="DY355" s="712">
        <f>IF(Sheet1!FN355=1,SUM('Calculations II'!AT355:BA355)+'Calculations II'!BC355+Sheet1!BU355+'Calculations II'!BE355+AF355,SUM('Calculations II'!AT355:BA355)+'Calculations II'!BC355+Sheet1!BU355+'Calculations II'!BE355+AF355)</f>
        <v>42.086112</v>
      </c>
      <c r="DZ355" s="712">
        <f>Sheet1!AA355+Sheet1!AB355+'Calculations II'!BC355</f>
        <v>52.680000000000291</v>
      </c>
      <c r="EA355" s="712"/>
      <c r="EB355" s="712"/>
      <c r="EC355" s="712">
        <f t="shared" si="992"/>
        <v>40884</v>
      </c>
      <c r="ED355" s="712">
        <f t="shared" si="993"/>
        <v>0</v>
      </c>
      <c r="EE355" s="712">
        <f t="shared" si="994"/>
        <v>0</v>
      </c>
      <c r="EF355" s="712">
        <f ca="1">IF(B355=TODAY(),0,-(VLOOKUP(Sheet1!BQ355,Lookup!$B$4:$J$236,2)-VLOOKUP(Sheet1!BQ354,Lookup!$B$4:$J$236,2))/1000000)</f>
        <v>0.2772</v>
      </c>
      <c r="EG355" s="712">
        <f ca="1">IF(B355=TODAY(),0,-(VLOOKUP(Sheet1!BR355,Lookup!$B$4:$J$236,3)-VLOOKUP(Sheet1!BR354,Lookup!$B$4:$J$236,3))/1000000)</f>
        <v>0.27339999999999998</v>
      </c>
      <c r="EH355" s="712">
        <f>-(VLOOKUP(Sheet1!BS355,Lookup!$B$4:$J$236,4)-VLOOKUP(Sheet1!BS354,Lookup!$B$4:$J$236,4))/1000000</f>
        <v>0</v>
      </c>
      <c r="EI355" s="697">
        <f t="shared" ca="1" si="922"/>
        <v>0.55059999999999998</v>
      </c>
      <c r="EJ355" s="712"/>
      <c r="EK355" s="712"/>
      <c r="EL355" s="712"/>
      <c r="EM355" s="712"/>
      <c r="EN355" s="712"/>
      <c r="EO355" s="712"/>
      <c r="EP355" s="712"/>
      <c r="EQ355" s="712"/>
      <c r="ER355" s="712"/>
      <c r="ES355" s="712"/>
      <c r="ET355" s="794" t="e">
        <f t="shared" si="919"/>
        <v>#N/A</v>
      </c>
      <c r="EU355" s="794" t="e">
        <f t="shared" si="924"/>
        <v>#N/A</v>
      </c>
      <c r="EV355" s="795" t="e">
        <f t="shared" si="925"/>
        <v>#N/A</v>
      </c>
      <c r="EW355" s="796" t="s">
        <v>757</v>
      </c>
      <c r="EX355" s="796" t="s">
        <v>757</v>
      </c>
      <c r="EY355" s="794" t="e">
        <v>#N/A</v>
      </c>
      <c r="EZ355" s="794" t="e">
        <v>#N/A</v>
      </c>
      <c r="FA355" s="712"/>
      <c r="FB355" s="712"/>
      <c r="FC355" s="712"/>
      <c r="FD355" s="712"/>
      <c r="FE355" s="712">
        <f>O355+Sheet1!CO355</f>
        <v>52.680000000000291</v>
      </c>
      <c r="FF355" s="712">
        <f>IF(Sheet1!AA355+AG355&lt;=Calculation!N355,AG355,Calculation!N355-Sheet1!AA355)</f>
        <v>16.833544539694572</v>
      </c>
      <c r="FG355" s="712">
        <f>(Sheet1!BP355+Sheet1!BO355)/694.4</f>
        <v>1.7813940092165899</v>
      </c>
      <c r="FH355" s="712"/>
      <c r="FI355" s="712"/>
      <c r="FJ355" s="712"/>
      <c r="FK355" s="712"/>
      <c r="FL355" s="714">
        <f t="shared" si="929"/>
        <v>40753</v>
      </c>
      <c r="FM355" s="714">
        <f t="shared" si="930"/>
        <v>40851</v>
      </c>
      <c r="FN355" s="712"/>
      <c r="FO355" s="712"/>
      <c r="FP355" s="712"/>
      <c r="FQ355" s="712"/>
      <c r="FR355" s="712"/>
      <c r="FS355" s="725">
        <f t="shared" si="935"/>
        <v>40603</v>
      </c>
      <c r="FT355" s="714">
        <f t="shared" si="932"/>
        <v>40709</v>
      </c>
      <c r="FU355" s="712">
        <f t="shared" si="935"/>
        <v>6518.9048239895692</v>
      </c>
      <c r="FV355" s="714">
        <f t="shared" si="933"/>
        <v>40722</v>
      </c>
      <c r="FW355" s="712">
        <f t="shared" si="935"/>
        <v>3259.4524119947846</v>
      </c>
      <c r="FX355" s="725">
        <f t="shared" si="935"/>
        <v>40851</v>
      </c>
      <c r="FZ355" s="697">
        <f t="shared" si="926"/>
        <v>0</v>
      </c>
      <c r="GA355" s="712" t="str">
        <f t="shared" si="995"/>
        <v/>
      </c>
      <c r="GB355" s="712">
        <f t="shared" si="996"/>
        <v>0</v>
      </c>
      <c r="GC355" s="712" t="str">
        <f t="shared" si="997"/>
        <v/>
      </c>
      <c r="GD355" s="712">
        <f>IF(GA355="P",Lookup!$M$12,IF(GA355="PP",Lookup!$M$13,IF(GA355="PPP",Lookup!$M$14,IF(GA355="T",Lookup!$M$15,IF(GA355="TP",Lookup!$M$16,IF(GA355="TPP",Lookup!$M$17,IF(GA355="TPPP",Lookup!$M$18,0)))))))*FZ355</f>
        <v>0</v>
      </c>
      <c r="GE355" s="712">
        <f t="shared" si="998"/>
        <v>0</v>
      </c>
      <c r="GF355" s="712">
        <f t="shared" si="999"/>
        <v>0</v>
      </c>
      <c r="GG355" s="712">
        <f t="shared" si="1000"/>
        <v>0</v>
      </c>
      <c r="GH355" s="712"/>
      <c r="GI355" s="712">
        <f t="shared" si="1001"/>
        <v>0</v>
      </c>
      <c r="GJ355" s="712" t="str">
        <f t="shared" si="1002"/>
        <v/>
      </c>
      <c r="GK355" s="712">
        <f>IF(GA355="P",Lookup!$N$12,IF(GA355="PP",Lookup!$N$13,IF(GA355="PPP",Lookup!$N$14,IF(GA355="T",Lookup!$N$15,IF(GA355="TP",Lookup!$N$16,IF(GA355="TPP",Lookup!$N$17,IF(GA355="TPPP",Lookup!$N$18,0)))))))*FZ355</f>
        <v>0</v>
      </c>
      <c r="GL355" s="712">
        <f t="shared" si="1003"/>
        <v>0</v>
      </c>
      <c r="GM355" s="712">
        <f t="shared" si="1004"/>
        <v>0</v>
      </c>
      <c r="GN355" s="712">
        <f t="shared" si="1005"/>
        <v>0</v>
      </c>
      <c r="GO355" s="712"/>
      <c r="GP355" s="712">
        <f t="shared" si="1006"/>
        <v>0</v>
      </c>
      <c r="GQ355" s="712" t="str">
        <f t="shared" si="1007"/>
        <v/>
      </c>
      <c r="GR355" s="712">
        <f>IF(GA355="P",Lookup!$N$12,IF(GA355="PP",Lookup!$N$13,IF(GA355="PPP",Lookup!$N$14,IF(GA355="T",Lookup!$N$15,IF(GA355="TP",Lookup!$N$16,IF(GA355="TPP",Lookup!$N$17,IF(GA355="TPPP",Lookup!$N$18,0)))))))*FZ355</f>
        <v>0</v>
      </c>
      <c r="GS355" s="697">
        <f t="shared" si="927"/>
        <v>0</v>
      </c>
      <c r="GT355" s="712">
        <f t="shared" si="1008"/>
        <v>0</v>
      </c>
      <c r="GU355" s="712">
        <f t="shared" si="1009"/>
        <v>0</v>
      </c>
      <c r="GV355" s="712"/>
      <c r="GW355" s="712">
        <f t="shared" si="1010"/>
        <v>0</v>
      </c>
      <c r="GX355" s="712" t="str">
        <f t="shared" si="1011"/>
        <v/>
      </c>
      <c r="GY355" s="712">
        <f>IF(GA355="P",Lookup!$N$12,IF(GA355="PP",Lookup!$N$13,IF(GA355="PPP",Lookup!$N$14,IF(GA355="T",Lookup!$N$15,IF(GA355="TP",Lookup!$N$16,IF(GA355="TPP",Lookup!$N$17,IF(GA355="TPPP",Lookup!$N$18,0)))))))*FZ355</f>
        <v>0</v>
      </c>
      <c r="GZ355" s="697">
        <f t="shared" si="928"/>
        <v>0</v>
      </c>
      <c r="HA355" s="712">
        <f t="shared" si="1012"/>
        <v>0</v>
      </c>
      <c r="HB355" s="712">
        <f t="shared" si="1013"/>
        <v>0</v>
      </c>
      <c r="HC355" s="712"/>
    </row>
    <row r="356" spans="1:211">
      <c r="A356" s="773" t="s">
        <v>7</v>
      </c>
      <c r="B356" s="708">
        <v>40885</v>
      </c>
      <c r="C356" s="719">
        <v>0.5</v>
      </c>
      <c r="D356" s="675">
        <f t="shared" si="936"/>
        <v>300</v>
      </c>
      <c r="E356" s="675">
        <f t="shared" si="937"/>
        <v>250</v>
      </c>
      <c r="F356" s="675">
        <v>250</v>
      </c>
      <c r="G356" s="712">
        <f>DH356+Sheet1!CV356</f>
        <v>641.71696923851346</v>
      </c>
      <c r="H356" s="712">
        <f t="shared" si="938"/>
        <v>147.8426489157751</v>
      </c>
      <c r="I356" s="711">
        <f>MAX(Sheet1!Z356-AJ356+(Sheet1!CW356-E356)*CFStoMGD,0)</f>
        <v>452.50880407615983</v>
      </c>
      <c r="J356" s="720">
        <f>IF(AND(B356&gt;=Calculation!FS356,B356&lt;=Calculation!FT356),IF(Sheet1!CX356&gt;=Calculation!D356,64.64,0),MAX(Sheet1!Z356-AJ356+(Sheet1!CX356-D356)*CFStoMGD,0))</f>
        <v>221.78440407615983</v>
      </c>
      <c r="K356" s="697">
        <f t="shared" si="939"/>
        <v>64.64</v>
      </c>
      <c r="L356" s="712">
        <f>Sheet1!AA356+Sheet1!AB356-Sheet1!L356+(Sheet1!CW356-F356)*CFStoMGD</f>
        <v>495.55426666666665</v>
      </c>
      <c r="M356" s="712">
        <f t="shared" si="940"/>
        <v>423.1019658940906</v>
      </c>
      <c r="N356" s="712">
        <f>IF(Sheet1!CW356&gt;=F356,MIN(73,MIN(MAX(L356,0),MAX(M356,0))),0)</f>
        <v>73</v>
      </c>
      <c r="O356" s="721">
        <f>Sheet1!AA356+Sheet1!AB356</f>
        <v>51.06</v>
      </c>
      <c r="P356" s="721">
        <f t="shared" si="941"/>
        <v>78.989819999999995</v>
      </c>
      <c r="Q356" s="712">
        <f>MIN(N356,Sheet1!AA356+AG356)</f>
        <v>42.775462590506841</v>
      </c>
      <c r="R356" s="712">
        <f t="shared" si="942"/>
        <v>8.2845374094931632</v>
      </c>
      <c r="S356" s="721">
        <f>Sheet1!Y356*MGDtoCFS</f>
        <v>41.722589999999997</v>
      </c>
      <c r="T356" s="721">
        <f>Sheet1!Z356*MGDtoCFS</f>
        <v>36.803129999999996</v>
      </c>
      <c r="U356" s="721">
        <f>Sheet1!AA356*MGDtoCFS</f>
        <v>41.768999999999998</v>
      </c>
      <c r="V356" s="721">
        <f>Sheet1!AB356*MGDtoCFS</f>
        <v>37.220819999999996</v>
      </c>
      <c r="W356" s="721">
        <f>Sheet1!L356*MGDtoCFS</f>
        <v>0</v>
      </c>
      <c r="X356" s="697">
        <f t="shared" si="943"/>
        <v>0</v>
      </c>
      <c r="Y356" s="712">
        <f t="shared" si="944"/>
        <v>0</v>
      </c>
      <c r="Z356" s="712">
        <f t="shared" si="945"/>
        <v>0</v>
      </c>
      <c r="AA356" s="712">
        <f t="shared" si="946"/>
        <v>0</v>
      </c>
      <c r="AB356" s="712">
        <f>(VLOOKUP(Sheet1!CY356,hhdcap_wcm,4)-(((VLOOKUP(Sheet1!CY356,hhdcap_wcm,3)-Sheet1!CY356)/(VLOOKUP(Sheet1!CY356,hhdcap_wcm,3)-VLOOKUP(Sheet1!CY356,hhdcap_wcm,1)))*(VLOOKUP(Sheet1!CY356,hhdcap_wcm,4)-VLOOKUP(Sheet1!CY356,hhdcap_wcm,2))))</f>
        <v>1817.8000000026075</v>
      </c>
      <c r="AC356" s="712">
        <f t="shared" si="947"/>
        <v>-42.700000000027785</v>
      </c>
      <c r="AD356" s="712">
        <f t="shared" si="948"/>
        <v>0</v>
      </c>
      <c r="AE356" s="712">
        <f t="shared" si="949"/>
        <v>0</v>
      </c>
      <c r="AF356" s="712">
        <f>Sheet1!BA356+Sheet1!BB356+Sheet1!BN356+BT356</f>
        <v>16.3</v>
      </c>
      <c r="AG356" s="712">
        <f t="shared" si="950"/>
        <v>15.775462590506839</v>
      </c>
      <c r="AH356" s="712">
        <f>Sheet1!BA356+BT356</f>
        <v>0</v>
      </c>
      <c r="AI356" s="712">
        <f>Sheet1!BA356+Sheet1!BB356+BT356</f>
        <v>0</v>
      </c>
      <c r="AJ356" s="712">
        <f>IF((Sheet1!AA356+AG356+AX356+AZ356+BQ356+BS356+CL356+CN356)&lt;=N356,AG356+AX356+AZ356+BQ356+BS356+CL356+CN356,N356-Sheet1!AA356)</f>
        <v>15.775462590506839</v>
      </c>
      <c r="AK356" s="712">
        <f>IF(DR356&lt;K356,0,MAX(Sheet1!AA356+AG356-15/36*K356-N356,Sheet1!ED356,0))</f>
        <v>0</v>
      </c>
      <c r="AL356" s="712">
        <f>IF(OR(B356&gt;=FT356,B356&lt;FS356),0,15/36*K356-MAX(0,64.6-(137.6-(Sheet1!AA356+Sheet1!AB356))))</f>
        <v>0</v>
      </c>
      <c r="AM356" s="712">
        <f>Sheet1!CX356-110</f>
        <v>520.70833333333337</v>
      </c>
      <c r="AN356" s="712">
        <f>Sheet1!CW356-265</f>
        <v>672.64583333333337</v>
      </c>
      <c r="AO356" s="712">
        <f t="shared" si="934"/>
        <v>30.224537409493159</v>
      </c>
      <c r="AP356" s="712">
        <f t="shared" si="951"/>
        <v>0</v>
      </c>
      <c r="AQ356" s="712">
        <f t="shared" si="952"/>
        <v>0</v>
      </c>
      <c r="AR356" s="712">
        <f t="shared" si="953"/>
        <v>0</v>
      </c>
      <c r="AS356" s="712"/>
      <c r="AT356" s="712">
        <f ca="1">IF(B356&gt;Summary!$A$1,#N/A,AR356*MGtoAF)</f>
        <v>0</v>
      </c>
      <c r="AU356" s="712">
        <f>Sheet1!BG356+Sheet1!BH356+Sheet1!BI356-BC356</f>
        <v>0</v>
      </c>
      <c r="AV356" s="712">
        <f t="shared" si="954"/>
        <v>0</v>
      </c>
      <c r="AW356" s="712">
        <f>IF(Sheet1!EL356="FM",BC356,0)</f>
        <v>0</v>
      </c>
      <c r="AX356" s="712">
        <f t="shared" si="955"/>
        <v>0</v>
      </c>
      <c r="AY356" s="712">
        <f>IF(Sheet1!EL356="OTHER",BC356,0)</f>
        <v>0</v>
      </c>
      <c r="AZ356" s="712">
        <f t="shared" si="956"/>
        <v>0</v>
      </c>
      <c r="BA356" s="712">
        <f t="shared" si="957"/>
        <v>0</v>
      </c>
      <c r="BB356" s="712">
        <f t="shared" si="958"/>
        <v>0</v>
      </c>
      <c r="BC356" s="712">
        <f>IF(OR(Sheet1!EL356="FM", Sheet1!EL356="OTHER"),SUM(Sheet1!BG356:'Sheet1'!BI356),0)</f>
        <v>0</v>
      </c>
      <c r="BD356" s="697">
        <f>IF(AND($B356&gt;=$FL356,$B356&lt;=$FM356),MAX(AV356,Sheet1!EE356,0),MAX(AV356-(7/36)*$K356,0))</f>
        <v>0</v>
      </c>
      <c r="BE356" s="712">
        <f t="shared" si="959"/>
        <v>0</v>
      </c>
      <c r="BF356" s="697">
        <f t="shared" si="960"/>
        <v>0</v>
      </c>
      <c r="BG356" s="697">
        <f>IF(AND($O356&gt;0,Sheet1!EI356=1),(1-($O356-Sheet1!$L356)/$O356)*BB356,0)</f>
        <v>0</v>
      </c>
      <c r="BH356" s="697">
        <f>IF(AND(Sheet1!$L356=0,Sheet1!$L355=0, Calculation!BA356&lt;Sheet1!$EE356-0.1,Sheet1!$EE356=Sheet1!$EE355,Sheet1!$EE356=Sheet1!$EE357),Sheet1!$EE356,BB356-BG356)</f>
        <v>0</v>
      </c>
      <c r="BI356" s="712"/>
      <c r="BJ356" s="712"/>
      <c r="BK356" s="712">
        <f t="shared" si="961"/>
        <v>0</v>
      </c>
      <c r="BL356" s="712"/>
      <c r="BM356" s="712">
        <f ca="1">IF(B356&gt;Summary!$A$1,#N/A,BK356*MGtoAF)</f>
        <v>0</v>
      </c>
      <c r="BN356" s="712">
        <f>Sheet1!BC356+Sheet1!BD356+Sheet1!BE356+Sheet1!BF356-BW356-BX356</f>
        <v>2.0100000000000002</v>
      </c>
      <c r="BO356" s="712">
        <f t="shared" si="962"/>
        <v>1.9453177795655674</v>
      </c>
      <c r="BP356" s="712">
        <f>IF(Sheet1!EM356="FM",BX356,0)</f>
        <v>0</v>
      </c>
      <c r="BQ356" s="712">
        <f t="shared" si="963"/>
        <v>0</v>
      </c>
      <c r="BR356" s="712">
        <f>IF(Sheet1!EM356="OTHER",BX356,0)</f>
        <v>0</v>
      </c>
      <c r="BS356" s="712">
        <f t="shared" si="964"/>
        <v>0</v>
      </c>
      <c r="BT356" s="712">
        <f t="shared" si="965"/>
        <v>0</v>
      </c>
      <c r="BU356" s="712">
        <f t="shared" si="966"/>
        <v>2.0100000000000002</v>
      </c>
      <c r="BV356" s="712">
        <f t="shared" si="967"/>
        <v>1.9453177795655674</v>
      </c>
      <c r="BW356" s="712">
        <f>IF(Sheet1!EM356="CWA",SUM(Sheet1!BC356:'Sheet1'!BF356),0)</f>
        <v>0</v>
      </c>
      <c r="BX356" s="712">
        <f>IF(OR(Sheet1!EM356="FM", Sheet1!EM356="OTHER"),SUM(Sheet1!BC356:'Sheet1'!BF356),0)</f>
        <v>0</v>
      </c>
      <c r="BY356" s="697">
        <f>IF(AND($B356&gt;=$FL356,$B356&lt;=$FM356),MAX(BV356,Sheet1!EF356,0),MAX(BV356-(7/36)*$K356,0))</f>
        <v>0</v>
      </c>
      <c r="BZ356" s="712">
        <f t="shared" si="968"/>
        <v>0</v>
      </c>
      <c r="CA356" s="697">
        <f t="shared" si="969"/>
        <v>1.9453177795655674</v>
      </c>
      <c r="CB356" s="697">
        <f>IF(AND($O356&gt;0,Sheet1!EJ356=1),(1-($O356-Sheet1!$L356)/$O356)*BV356,0)</f>
        <v>0</v>
      </c>
      <c r="CC356" s="697">
        <f>IF(AND(Sheet1!$L356=0,Sheet1!$L355=0, Calculation!BU356&lt;Sheet1!EF356-0.1,Sheet1!EF356=Sheet1!EF355,Sheet1!EF356=Sheet1!EF357),Sheet1!EF356,BV356-CB356)</f>
        <v>1.9453177795655674</v>
      </c>
      <c r="CD356" s="697"/>
      <c r="CE356" s="712"/>
      <c r="CF356" s="712">
        <f t="shared" si="970"/>
        <v>0</v>
      </c>
      <c r="CG356" s="712"/>
      <c r="CH356" s="712">
        <f ca="1">IF(B356&gt;Summary!$A$1,#N/A,CF356*MGtoAF)</f>
        <v>0</v>
      </c>
      <c r="CI356" s="712">
        <f>Sheet1!BK356+Sheet1!BL356+Sheet1!BM356-Sheet1!EN356-CQ356</f>
        <v>6.5500000000000007</v>
      </c>
      <c r="CJ356" s="712">
        <f t="shared" si="971"/>
        <v>6.3392196299275954</v>
      </c>
      <c r="CK356" s="712">
        <f>IF(Sheet1!EN356="FM",CQ356,0)</f>
        <v>0</v>
      </c>
      <c r="CL356" s="712">
        <f t="shared" si="972"/>
        <v>0</v>
      </c>
      <c r="CM356" s="712">
        <f>IF(Sheet1!EN356="OTHER",CQ356,0)</f>
        <v>0</v>
      </c>
      <c r="CN356" s="712">
        <f t="shared" si="973"/>
        <v>0</v>
      </c>
      <c r="CO356" s="712">
        <f t="shared" si="974"/>
        <v>6.5500000000000007</v>
      </c>
      <c r="CP356" s="712">
        <f t="shared" si="975"/>
        <v>6.3392196299275954</v>
      </c>
      <c r="CQ356" s="712">
        <f>IF(OR(Sheet1!EN356="FM", Sheet1!EN356="OTHER"),SUM(Sheet1!BK356:'Sheet1'!BM356),0)</f>
        <v>0</v>
      </c>
      <c r="CR356" s="697">
        <f>IF(AND($B356&gt;=$FL356,$B356&lt;=$FM356),MAX($CJ356,Sheet1!EG356,0),MAX($CJ356-(7/36)*$K356,0))</f>
        <v>0</v>
      </c>
      <c r="CS356" s="712">
        <f t="shared" si="976"/>
        <v>0</v>
      </c>
      <c r="CT356" s="697">
        <f t="shared" si="977"/>
        <v>6.3392196299275954</v>
      </c>
      <c r="CU356" s="697">
        <f>IF(AND($O356&gt;0,Sheet1!EK356=1),(1-($O356-Sheet1!$L356)/$O356)*CP356,0)</f>
        <v>0</v>
      </c>
      <c r="CV356" s="697">
        <f>IF(AND(Sheet1!$L356=0,Sheet1!$L355=0, Calculation!CO356&lt;Sheet1!$EG356-0.1,Sheet1!$EG356=Sheet1!$EG355,Sheet1!$EG356=Sheet1!$EG357),Sheet1!$EG356,CP356-CU356)</f>
        <v>6.3392196299275954</v>
      </c>
      <c r="CW356" s="697"/>
      <c r="CX356" s="712">
        <f t="shared" si="978"/>
        <v>8.56</v>
      </c>
      <c r="CY356" s="712">
        <f t="shared" si="979"/>
        <v>0</v>
      </c>
      <c r="CZ356" s="712">
        <f t="shared" si="980"/>
        <v>8.2845374094931632</v>
      </c>
      <c r="DA356" s="712">
        <f ca="1">IF(B356&gt;Summary!$A$1,#N/A,CY356*MGtoAF)</f>
        <v>0</v>
      </c>
      <c r="DB356" s="712">
        <f t="shared" si="981"/>
        <v>8.56</v>
      </c>
      <c r="DC356" s="712">
        <f t="shared" si="982"/>
        <v>24.86</v>
      </c>
      <c r="DD356" s="712">
        <f>Sheet1!AB356-DC356</f>
        <v>-0.80000000000000071</v>
      </c>
      <c r="DE356" s="712">
        <f t="shared" si="983"/>
        <v>-3.2180209171359643E-2</v>
      </c>
      <c r="DF356" s="712">
        <f>(VLOOKUP(Sheet1!CY356,hhdcap_wcm,4)-(((VLOOKUP(Sheet1!CY356,hhdcap_wcm,3)-Sheet1!CY356)/(VLOOKUP(Sheet1!CY356,hhdcap_wcm,3)-VLOOKUP(Sheet1!CY356,hhdcap_wcm,1)))*(VLOOKUP(Sheet1!CY356,hhdcap_wcm,4)-VLOOKUP(Sheet1!CY356,hhdcap_wcm,2))))</f>
        <v>1817.8000000026075</v>
      </c>
      <c r="DG356" s="712">
        <f t="shared" si="984"/>
        <v>-42.700000000027785</v>
      </c>
      <c r="DH356" s="712">
        <f t="shared" si="985"/>
        <v>-21.533030761486526</v>
      </c>
      <c r="DI356" s="712">
        <f>Sheet1!DW356*AFtoMG</f>
        <v>0</v>
      </c>
      <c r="DJ356" s="712">
        <f>Sheet1!DX356*AFtoMG</f>
        <v>0</v>
      </c>
      <c r="DK356" s="712">
        <f>Sheet1!DY356*AFtoMG</f>
        <v>0</v>
      </c>
      <c r="DL356" s="712">
        <f>Sheet1!DZ356*AFtoMG</f>
        <v>0</v>
      </c>
      <c r="DM356" s="712">
        <f t="shared" si="986"/>
        <v>0</v>
      </c>
      <c r="DN356" s="712">
        <f t="shared" si="987"/>
        <v>0</v>
      </c>
      <c r="DO356" s="712">
        <f t="shared" si="988"/>
        <v>0</v>
      </c>
      <c r="DP356" s="712">
        <f t="shared" si="989"/>
        <v>0</v>
      </c>
      <c r="DQ356" s="712"/>
      <c r="DR356" s="697">
        <f>IF(OR(B356&lt;FL356,B356&gt;FM356),(MIN(AV356+BO356+CJ356+MAX(Sheet1!AA356+AG356-73,0),K356)),0)</f>
        <v>8.2845374094931632</v>
      </c>
      <c r="DS356" s="712"/>
      <c r="DT356" s="712">
        <f t="shared" si="990"/>
        <v>8.2845374094931632</v>
      </c>
      <c r="DU356" s="712"/>
      <c r="DV356" s="712">
        <f>Sheet1!ED356+Sheet1!EE356+Sheet1!EF356+Sheet1!EG356</f>
        <v>8.5</v>
      </c>
      <c r="DW356" s="712"/>
      <c r="DX356" s="697">
        <f t="shared" si="991"/>
        <v>0</v>
      </c>
      <c r="DY356" s="712">
        <f>IF(Sheet1!FN356=1,SUM('Calculations II'!AT356:BA356)+'Calculations II'!BC356+Sheet1!BU356+'Calculations II'!BE356+AF356,SUM('Calculations II'!AT356:BA356)+'Calculations II'!BC356+Sheet1!BU356+'Calculations II'!BE356+AF356)</f>
        <v>40.612592000000006</v>
      </c>
      <c r="DZ356" s="712">
        <f>Sheet1!AA356+Sheet1!AB356+'Calculations II'!BC356</f>
        <v>51.06</v>
      </c>
      <c r="EA356" s="712"/>
      <c r="EB356" s="712"/>
      <c r="EC356" s="712">
        <f t="shared" si="992"/>
        <v>40885</v>
      </c>
      <c r="ED356" s="712">
        <f t="shared" si="993"/>
        <v>0</v>
      </c>
      <c r="EE356" s="712">
        <f t="shared" si="994"/>
        <v>0</v>
      </c>
      <c r="EF356" s="712">
        <f ca="1">IF(B356=TODAY(),0,-(VLOOKUP(Sheet1!BQ356,Lookup!$B$4:$J$236,2)-VLOOKUP(Sheet1!BQ355,Lookup!$B$4:$J$236,2))/1000000)</f>
        <v>0.54759999999999998</v>
      </c>
      <c r="EG356" s="712">
        <f ca="1">IF(B356=TODAY(),0,-(VLOOKUP(Sheet1!BR356,Lookup!$B$4:$J$236,3)-VLOOKUP(Sheet1!BR355,Lookup!$B$4:$J$236,3))/1000000)</f>
        <v>0.27339999999999998</v>
      </c>
      <c r="EH356" s="712">
        <f>-(VLOOKUP(Sheet1!BS356,Lookup!$B$4:$J$236,4)-VLOOKUP(Sheet1!BS355,Lookup!$B$4:$J$236,4))/1000000</f>
        <v>0</v>
      </c>
      <c r="EI356" s="697">
        <f t="shared" ca="1" si="922"/>
        <v>0.82099999999999995</v>
      </c>
      <c r="EJ356" s="712"/>
      <c r="EK356" s="712"/>
      <c r="EL356" s="712"/>
      <c r="EM356" s="712"/>
      <c r="EN356" s="712"/>
      <c r="EO356" s="712"/>
      <c r="EP356" s="712"/>
      <c r="EQ356" s="712"/>
      <c r="ER356" s="712"/>
      <c r="ES356" s="712"/>
      <c r="ET356" s="794" t="e">
        <f t="shared" si="919"/>
        <v>#N/A</v>
      </c>
      <c r="EU356" s="794" t="e">
        <f t="shared" si="924"/>
        <v>#N/A</v>
      </c>
      <c r="EV356" s="795" t="e">
        <f t="shared" si="925"/>
        <v>#N/A</v>
      </c>
      <c r="EW356" s="796" t="s">
        <v>757</v>
      </c>
      <c r="EX356" s="796" t="s">
        <v>757</v>
      </c>
      <c r="EY356" s="794" t="e">
        <v>#N/A</v>
      </c>
      <c r="EZ356" s="794" t="e">
        <v>#N/A</v>
      </c>
      <c r="FA356" s="712"/>
      <c r="FB356" s="712"/>
      <c r="FC356" s="712"/>
      <c r="FD356" s="712"/>
      <c r="FE356" s="712">
        <f>O356+Sheet1!CO356</f>
        <v>51.06</v>
      </c>
      <c r="FF356" s="712">
        <f>IF(Sheet1!AA356+AG356&lt;=Calculation!N356,AG356,Calculation!N356-Sheet1!AA356)</f>
        <v>15.775462590506839</v>
      </c>
      <c r="FG356" s="712">
        <f>(Sheet1!BP356+Sheet1!BO356)/694.4</f>
        <v>1.9330357142857142</v>
      </c>
      <c r="FH356" s="712"/>
      <c r="FI356" s="712"/>
      <c r="FJ356" s="712"/>
      <c r="FK356" s="712"/>
      <c r="FL356" s="714">
        <f t="shared" si="929"/>
        <v>40753</v>
      </c>
      <c r="FM356" s="714">
        <f t="shared" si="930"/>
        <v>40851</v>
      </c>
      <c r="FN356" s="712"/>
      <c r="FO356" s="712"/>
      <c r="FP356" s="712"/>
      <c r="FQ356" s="712"/>
      <c r="FR356" s="712"/>
      <c r="FS356" s="725">
        <f t="shared" si="935"/>
        <v>40603</v>
      </c>
      <c r="FT356" s="714">
        <f t="shared" si="932"/>
        <v>40709</v>
      </c>
      <c r="FU356" s="712">
        <f t="shared" si="935"/>
        <v>6518.9048239895692</v>
      </c>
      <c r="FV356" s="714">
        <f t="shared" si="933"/>
        <v>40722</v>
      </c>
      <c r="FW356" s="712">
        <f t="shared" si="935"/>
        <v>3259.4524119947846</v>
      </c>
      <c r="FX356" s="725">
        <f t="shared" si="935"/>
        <v>40851</v>
      </c>
      <c r="FZ356" s="697">
        <f t="shared" si="926"/>
        <v>0</v>
      </c>
      <c r="GA356" s="712" t="str">
        <f t="shared" si="995"/>
        <v/>
      </c>
      <c r="GB356" s="712">
        <f t="shared" si="996"/>
        <v>0</v>
      </c>
      <c r="GC356" s="712" t="str">
        <f t="shared" si="997"/>
        <v/>
      </c>
      <c r="GD356" s="712">
        <f>IF(GA356="P",Lookup!$M$12,IF(GA356="PP",Lookup!$M$13,IF(GA356="PPP",Lookup!$M$14,IF(GA356="T",Lookup!$M$15,IF(GA356="TP",Lookup!$M$16,IF(GA356="TPP",Lookup!$M$17,IF(GA356="TPPP",Lookup!$M$18,0)))))))*FZ356</f>
        <v>0</v>
      </c>
      <c r="GE356" s="712">
        <f t="shared" si="998"/>
        <v>0</v>
      </c>
      <c r="GF356" s="712">
        <f t="shared" si="999"/>
        <v>0</v>
      </c>
      <c r="GG356" s="712">
        <f t="shared" si="1000"/>
        <v>0</v>
      </c>
      <c r="GH356" s="712"/>
      <c r="GI356" s="712">
        <f t="shared" si="1001"/>
        <v>0</v>
      </c>
      <c r="GJ356" s="712" t="str">
        <f t="shared" si="1002"/>
        <v/>
      </c>
      <c r="GK356" s="712">
        <f>IF(GA356="P",Lookup!$N$12,IF(GA356="PP",Lookup!$N$13,IF(GA356="PPP",Lookup!$N$14,IF(GA356="T",Lookup!$N$15,IF(GA356="TP",Lookup!$N$16,IF(GA356="TPP",Lookup!$N$17,IF(GA356="TPPP",Lookup!$N$18,0)))))))*FZ356</f>
        <v>0</v>
      </c>
      <c r="GL356" s="712">
        <f t="shared" si="1003"/>
        <v>0</v>
      </c>
      <c r="GM356" s="712">
        <f t="shared" si="1004"/>
        <v>0</v>
      </c>
      <c r="GN356" s="712">
        <f t="shared" si="1005"/>
        <v>0</v>
      </c>
      <c r="GO356" s="712"/>
      <c r="GP356" s="712">
        <f t="shared" si="1006"/>
        <v>0</v>
      </c>
      <c r="GQ356" s="712" t="str">
        <f t="shared" si="1007"/>
        <v/>
      </c>
      <c r="GR356" s="712">
        <f>IF(GA356="P",Lookup!$N$12,IF(GA356="PP",Lookup!$N$13,IF(GA356="PPP",Lookup!$N$14,IF(GA356="T",Lookup!$N$15,IF(GA356="TP",Lookup!$N$16,IF(GA356="TPP",Lookup!$N$17,IF(GA356="TPPP",Lookup!$N$18,0)))))))*FZ356</f>
        <v>0</v>
      </c>
      <c r="GS356" s="697">
        <f t="shared" si="927"/>
        <v>0</v>
      </c>
      <c r="GT356" s="712">
        <f t="shared" si="1008"/>
        <v>0</v>
      </c>
      <c r="GU356" s="712">
        <f t="shared" si="1009"/>
        <v>0</v>
      </c>
      <c r="GV356" s="712"/>
      <c r="GW356" s="712">
        <f t="shared" si="1010"/>
        <v>0</v>
      </c>
      <c r="GX356" s="712" t="str">
        <f t="shared" si="1011"/>
        <v/>
      </c>
      <c r="GY356" s="712">
        <f>IF(GA356="P",Lookup!$N$12,IF(GA356="PP",Lookup!$N$13,IF(GA356="PPP",Lookup!$N$14,IF(GA356="T",Lookup!$N$15,IF(GA356="TP",Lookup!$N$16,IF(GA356="TPP",Lookup!$N$17,IF(GA356="TPPP",Lookup!$N$18,0)))))))*FZ356</f>
        <v>0</v>
      </c>
      <c r="GZ356" s="697">
        <f t="shared" si="928"/>
        <v>0</v>
      </c>
      <c r="HA356" s="712">
        <f t="shared" si="1012"/>
        <v>0</v>
      </c>
      <c r="HB356" s="712">
        <f t="shared" si="1013"/>
        <v>0</v>
      </c>
      <c r="HC356" s="712"/>
    </row>
    <row r="357" spans="1:211">
      <c r="A357" s="773" t="s">
        <v>8</v>
      </c>
      <c r="B357" s="708">
        <v>40886</v>
      </c>
      <c r="C357" s="709">
        <v>0.5</v>
      </c>
      <c r="D357" s="675">
        <f t="shared" si="936"/>
        <v>300</v>
      </c>
      <c r="E357" s="675">
        <f t="shared" si="937"/>
        <v>250</v>
      </c>
      <c r="F357" s="675">
        <v>250</v>
      </c>
      <c r="G357" s="712">
        <f>DH357+Sheet1!CV357</f>
        <v>613.93437972777178</v>
      </c>
      <c r="H357" s="712">
        <f t="shared" si="938"/>
        <v>129.88398305603167</v>
      </c>
      <c r="I357" s="711">
        <f>MAX(Sheet1!Z357-AJ357+(Sheet1!CW357-E357)*CFStoMGD,0)</f>
        <v>401.99263291492326</v>
      </c>
      <c r="J357" s="720">
        <f>IF(AND(B357&gt;=Calculation!FS357,B357&lt;=Calculation!FT357),IF(Sheet1!CX357&gt;=Calculation!D357,64.64,0),MAX(Sheet1!Z357-AJ357+(Sheet1!CX357-D357)*CFStoMGD,0))</f>
        <v>165.91523291492325</v>
      </c>
      <c r="K357" s="697">
        <f t="shared" si="939"/>
        <v>64.64</v>
      </c>
      <c r="L357" s="712">
        <f>Sheet1!AA357+Sheet1!AB357-Sheet1!L357+(Sheet1!CW357-F357)*CFStoMGD</f>
        <v>445.90673333333331</v>
      </c>
      <c r="M357" s="712">
        <f t="shared" si="940"/>
        <v>404.78412671715233</v>
      </c>
      <c r="N357" s="712">
        <f>IF(Sheet1!CW357&gt;=F357,MIN(73,MIN(MAX(L357,0),MAX(M357,0))),0)</f>
        <v>73</v>
      </c>
      <c r="O357" s="721">
        <f>Sheet1!AA357+Sheet1!AB357</f>
        <v>52</v>
      </c>
      <c r="P357" s="721">
        <f t="shared" si="941"/>
        <v>80.443999999999988</v>
      </c>
      <c r="Q357" s="712">
        <f>MIN(N357,Sheet1!AA357+AG357)</f>
        <v>43.18410041841004</v>
      </c>
      <c r="R357" s="712">
        <f t="shared" si="942"/>
        <v>8.8158995815899583</v>
      </c>
      <c r="S357" s="721">
        <f>Sheet1!Y357*MGDtoCFS</f>
        <v>42.078399999999995</v>
      </c>
      <c r="T357" s="721">
        <f>Sheet1!Z357*MGDtoCFS</f>
        <v>36.772189999999995</v>
      </c>
      <c r="U357" s="721">
        <f>Sheet1!AA357*MGDtoCFS</f>
        <v>42.542499999999997</v>
      </c>
      <c r="V357" s="721">
        <f>Sheet1!AB357*MGDtoCFS</f>
        <v>37.901499999999999</v>
      </c>
      <c r="W357" s="721">
        <f>Sheet1!L357*MGDtoCFS</f>
        <v>0</v>
      </c>
      <c r="X357" s="697">
        <f t="shared" si="943"/>
        <v>0</v>
      </c>
      <c r="Y357" s="712">
        <f t="shared" si="944"/>
        <v>0</v>
      </c>
      <c r="Z357" s="712">
        <f t="shared" si="945"/>
        <v>0</v>
      </c>
      <c r="AA357" s="712">
        <f t="shared" si="946"/>
        <v>0</v>
      </c>
      <c r="AB357" s="712">
        <f>(VLOOKUP(Sheet1!CY357,hhdcap_wcm,4)-(((VLOOKUP(Sheet1!CY357,hhdcap_wcm,3)-Sheet1!CY357)/(VLOOKUP(Sheet1!CY357,hhdcap_wcm,3)-VLOOKUP(Sheet1!CY357,hhdcap_wcm,1)))*(VLOOKUP(Sheet1!CY357,hhdcap_wcm,4)-VLOOKUP(Sheet1!CY357,hhdcap_wcm,2))))</f>
        <v>1908.6400000027788</v>
      </c>
      <c r="AC357" s="712">
        <f t="shared" si="947"/>
        <v>90.840000000171358</v>
      </c>
      <c r="AD357" s="712">
        <f t="shared" si="948"/>
        <v>0</v>
      </c>
      <c r="AE357" s="712">
        <f t="shared" si="949"/>
        <v>0</v>
      </c>
      <c r="AF357" s="712">
        <f>Sheet1!BA357+Sheet1!BB357+Sheet1!BN357+BT357</f>
        <v>15.3</v>
      </c>
      <c r="AG357" s="712">
        <f t="shared" si="950"/>
        <v>15.684100418410043</v>
      </c>
      <c r="AH357" s="712">
        <f>Sheet1!BA357+BT357</f>
        <v>0</v>
      </c>
      <c r="AI357" s="712">
        <f>Sheet1!BA357+Sheet1!BB357+BT357</f>
        <v>0</v>
      </c>
      <c r="AJ357" s="712">
        <f>IF((Sheet1!AA357+AG357+AX357+AZ357+BQ357+BS357+CL357+CN357)&lt;=N357,AG357+AX357+AZ357+BQ357+BS357+CL357+CN357,N357-Sheet1!AA357)</f>
        <v>15.684100418410043</v>
      </c>
      <c r="AK357" s="712">
        <f>IF(DR357&lt;K357,0,MAX(Sheet1!AA357+AG357-15/36*K357-N357,Sheet1!ED357,0))</f>
        <v>0</v>
      </c>
      <c r="AL357" s="712">
        <f>IF(OR(B357&gt;=FT357,B357&lt;FS357),0,15/36*K357-MAX(0,64.6-(137.6-(Sheet1!AA357+Sheet1!AB357))))</f>
        <v>0</v>
      </c>
      <c r="AM357" s="712">
        <f>Sheet1!CX357-110</f>
        <v>434.16666666666663</v>
      </c>
      <c r="AN357" s="712">
        <f>Sheet1!CW357-265</f>
        <v>594.38541666666663</v>
      </c>
      <c r="AO357" s="712">
        <f t="shared" si="934"/>
        <v>29.81589958158996</v>
      </c>
      <c r="AP357" s="712">
        <f t="shared" si="951"/>
        <v>0</v>
      </c>
      <c r="AQ357" s="712">
        <f t="shared" si="952"/>
        <v>0</v>
      </c>
      <c r="AR357" s="712">
        <f t="shared" si="953"/>
        <v>0</v>
      </c>
      <c r="AS357" s="712"/>
      <c r="AT357" s="712">
        <f ca="1">IF(B357&gt;Summary!$A$1,#N/A,AR357*MGtoAF)</f>
        <v>0</v>
      </c>
      <c r="AU357" s="712">
        <f>Sheet1!BG357+Sheet1!BH357+Sheet1!BI357-BC357</f>
        <v>0</v>
      </c>
      <c r="AV357" s="712">
        <f t="shared" si="954"/>
        <v>0</v>
      </c>
      <c r="AW357" s="712">
        <f>IF(Sheet1!EL357="FM",BC357,0)</f>
        <v>0</v>
      </c>
      <c r="AX357" s="712">
        <f t="shared" si="955"/>
        <v>0</v>
      </c>
      <c r="AY357" s="712">
        <f>IF(Sheet1!EL357="OTHER",BC357,0)</f>
        <v>0</v>
      </c>
      <c r="AZ357" s="712">
        <f t="shared" si="956"/>
        <v>0</v>
      </c>
      <c r="BA357" s="712">
        <f t="shared" si="957"/>
        <v>0</v>
      </c>
      <c r="BB357" s="712">
        <f t="shared" si="958"/>
        <v>0</v>
      </c>
      <c r="BC357" s="712">
        <f>IF(OR(Sheet1!EL357="FM", Sheet1!EL357="OTHER"),SUM(Sheet1!BG357:'Sheet1'!BI357),0)</f>
        <v>0</v>
      </c>
      <c r="BD357" s="697">
        <f>IF(AND($B357&gt;=$FL357,$B357&lt;=$FM357),MAX(AV357,Sheet1!EE357,0),MAX(AV357-(7/36)*$K357,0))</f>
        <v>0</v>
      </c>
      <c r="BE357" s="712">
        <f t="shared" si="959"/>
        <v>0</v>
      </c>
      <c r="BF357" s="697">
        <f t="shared" si="960"/>
        <v>0</v>
      </c>
      <c r="BG357" s="697">
        <f>IF(AND($O357&gt;0,Sheet1!EI357=1),(1-($O357-Sheet1!$L357)/$O357)*BB357,0)</f>
        <v>0</v>
      </c>
      <c r="BH357" s="697">
        <f>IF(AND(Sheet1!$L357=0,Sheet1!$L356=0, Calculation!BA357&lt;Sheet1!$EE357-0.1,Sheet1!$EE357=Sheet1!$EE356,Sheet1!$EE357=Sheet1!$EE358),Sheet1!$EE357,BB357-BG357)</f>
        <v>0</v>
      </c>
      <c r="BI357" s="712"/>
      <c r="BJ357" s="712"/>
      <c r="BK357" s="712">
        <f t="shared" si="961"/>
        <v>0</v>
      </c>
      <c r="BL357" s="712"/>
      <c r="BM357" s="712">
        <f ca="1">IF(B357&gt;Summary!$A$1,#N/A,BK357*MGtoAF)</f>
        <v>0</v>
      </c>
      <c r="BN357" s="712">
        <f>Sheet1!BC357+Sheet1!BD357+Sheet1!BE357+Sheet1!BF357-BW357-BX357</f>
        <v>2.0499999999999998</v>
      </c>
      <c r="BO357" s="712">
        <f t="shared" si="962"/>
        <v>2.1014644351464433</v>
      </c>
      <c r="BP357" s="712">
        <f>IF(Sheet1!EM357="FM",BX357,0)</f>
        <v>0</v>
      </c>
      <c r="BQ357" s="712">
        <f t="shared" si="963"/>
        <v>0</v>
      </c>
      <c r="BR357" s="712">
        <f>IF(Sheet1!EM357="OTHER",BX357,0)</f>
        <v>0</v>
      </c>
      <c r="BS357" s="712">
        <f t="shared" si="964"/>
        <v>0</v>
      </c>
      <c r="BT357" s="712">
        <f t="shared" si="965"/>
        <v>0</v>
      </c>
      <c r="BU357" s="712">
        <f t="shared" si="966"/>
        <v>2.0499999999999998</v>
      </c>
      <c r="BV357" s="712">
        <f t="shared" si="967"/>
        <v>2.1014644351464433</v>
      </c>
      <c r="BW357" s="712">
        <f>IF(Sheet1!EM357="CWA",SUM(Sheet1!BC357:'Sheet1'!BF357),0)</f>
        <v>0</v>
      </c>
      <c r="BX357" s="712">
        <f>IF(OR(Sheet1!EM357="FM", Sheet1!EM357="OTHER"),SUM(Sheet1!BC357:'Sheet1'!BF357),0)</f>
        <v>0</v>
      </c>
      <c r="BY357" s="697">
        <f>IF(AND($B357&gt;=$FL357,$B357&lt;=$FM357),MAX(BV357,Sheet1!EF357,0),MAX(BV357-(7/36)*$K357,0))</f>
        <v>0</v>
      </c>
      <c r="BZ357" s="712">
        <f t="shared" si="968"/>
        <v>0</v>
      </c>
      <c r="CA357" s="697">
        <f t="shared" si="969"/>
        <v>2.1014644351464433</v>
      </c>
      <c r="CB357" s="697">
        <f>IF(AND($O357&gt;0,Sheet1!EJ357=1),(1-($O357-Sheet1!$L357)/$O357)*BV357,0)</f>
        <v>0</v>
      </c>
      <c r="CC357" s="697">
        <f>IF(AND(Sheet1!$L357=0,Sheet1!$L356=0, Calculation!BU357&lt;Sheet1!EF357-0.1,Sheet1!EF357=Sheet1!EF356,Sheet1!EF357=Sheet1!EF358),Sheet1!EF357,BV357-CB357)</f>
        <v>2.1014644351464433</v>
      </c>
      <c r="CD357" s="697"/>
      <c r="CE357" s="712"/>
      <c r="CF357" s="712">
        <f t="shared" si="970"/>
        <v>0</v>
      </c>
      <c r="CG357" s="712"/>
      <c r="CH357" s="712">
        <f ca="1">IF(B357&gt;Summary!$A$1,#N/A,CF357*MGtoAF)</f>
        <v>0</v>
      </c>
      <c r="CI357" s="712">
        <f>Sheet1!BK357+Sheet1!BL357+Sheet1!BM357-Sheet1!EN357-CQ357</f>
        <v>6.55</v>
      </c>
      <c r="CJ357" s="712">
        <f t="shared" si="971"/>
        <v>6.714435146443515</v>
      </c>
      <c r="CK357" s="712">
        <f>IF(Sheet1!EN357="FM",CQ357,0)</f>
        <v>0</v>
      </c>
      <c r="CL357" s="712">
        <f t="shared" si="972"/>
        <v>0</v>
      </c>
      <c r="CM357" s="712">
        <f>IF(Sheet1!EN357="OTHER",CQ357,0)</f>
        <v>0</v>
      </c>
      <c r="CN357" s="712">
        <f t="shared" si="973"/>
        <v>0</v>
      </c>
      <c r="CO357" s="712">
        <f t="shared" si="974"/>
        <v>6.55</v>
      </c>
      <c r="CP357" s="712">
        <f t="shared" si="975"/>
        <v>6.714435146443515</v>
      </c>
      <c r="CQ357" s="712">
        <f>IF(OR(Sheet1!EN357="FM", Sheet1!EN357="OTHER"),SUM(Sheet1!BK357:'Sheet1'!BM357),0)</f>
        <v>0</v>
      </c>
      <c r="CR357" s="697">
        <f>IF(AND($B357&gt;=$FL357,$B357&lt;=$FM357),MAX($CJ357,Sheet1!EG357,0),MAX($CJ357-(7/36)*$K357,0))</f>
        <v>0</v>
      </c>
      <c r="CS357" s="712">
        <f t="shared" si="976"/>
        <v>0</v>
      </c>
      <c r="CT357" s="697">
        <f t="shared" si="977"/>
        <v>6.714435146443515</v>
      </c>
      <c r="CU357" s="697">
        <f>IF(AND($O357&gt;0,Sheet1!EK357=1),(1-($O357-Sheet1!$L357)/$O357)*CP357,0)</f>
        <v>0</v>
      </c>
      <c r="CV357" s="697">
        <f>IF(AND(Sheet1!$L357=0,Sheet1!$L356=0, Calculation!CO357&lt;Sheet1!$EG357-0.1,Sheet1!$EG357=Sheet1!$EG356,Sheet1!$EG357=Sheet1!$EG358),Sheet1!$EG357,CP357-CU357)</f>
        <v>6.714435146443515</v>
      </c>
      <c r="CW357" s="697"/>
      <c r="CX357" s="712">
        <f t="shared" si="978"/>
        <v>8.6</v>
      </c>
      <c r="CY357" s="712">
        <f t="shared" si="979"/>
        <v>0</v>
      </c>
      <c r="CZ357" s="712">
        <f t="shared" si="980"/>
        <v>8.8158995815899583</v>
      </c>
      <c r="DA357" s="712">
        <f ca="1">IF(B357&gt;Summary!$A$1,#N/A,CY357*MGtoAF)</f>
        <v>0</v>
      </c>
      <c r="DB357" s="712">
        <f t="shared" si="981"/>
        <v>8.6</v>
      </c>
      <c r="DC357" s="712">
        <f t="shared" si="982"/>
        <v>23.9</v>
      </c>
      <c r="DD357" s="712">
        <f>Sheet1!AB357-DC357</f>
        <v>0.60000000000000142</v>
      </c>
      <c r="DE357" s="712">
        <f t="shared" si="983"/>
        <v>2.5104602510460313E-2</v>
      </c>
      <c r="DF357" s="712">
        <f>(VLOOKUP(Sheet1!CY357,hhdcap_wcm,4)-(((VLOOKUP(Sheet1!CY357,hhdcap_wcm,3)-Sheet1!CY357)/(VLOOKUP(Sheet1!CY357,hhdcap_wcm,3)-VLOOKUP(Sheet1!CY357,hhdcap_wcm,1)))*(VLOOKUP(Sheet1!CY357,hhdcap_wcm,4)-VLOOKUP(Sheet1!CY357,hhdcap_wcm,2))))</f>
        <v>1908.6400000027788</v>
      </c>
      <c r="DG357" s="712">
        <f t="shared" si="984"/>
        <v>90.840000000171358</v>
      </c>
      <c r="DH357" s="712">
        <f t="shared" si="985"/>
        <v>45.809379727771734</v>
      </c>
      <c r="DI357" s="712">
        <f>Sheet1!DW357*AFtoMG</f>
        <v>0</v>
      </c>
      <c r="DJ357" s="712">
        <f>Sheet1!DX357*AFtoMG</f>
        <v>0</v>
      </c>
      <c r="DK357" s="712">
        <f>Sheet1!DY357*AFtoMG</f>
        <v>0</v>
      </c>
      <c r="DL357" s="712">
        <f>Sheet1!DZ357*AFtoMG</f>
        <v>0</v>
      </c>
      <c r="DM357" s="712">
        <f t="shared" si="986"/>
        <v>0</v>
      </c>
      <c r="DN357" s="712">
        <f t="shared" si="987"/>
        <v>0</v>
      </c>
      <c r="DO357" s="712">
        <f t="shared" si="988"/>
        <v>0</v>
      </c>
      <c r="DP357" s="712">
        <f t="shared" si="989"/>
        <v>0</v>
      </c>
      <c r="DQ357" s="712"/>
      <c r="DR357" s="697">
        <f>IF(OR(B357&lt;FL357,B357&gt;FM357),(MIN(AV357+BO357+CJ357+MAX(Sheet1!AA357+AG357-73,0),K357)),0)</f>
        <v>8.8158995815899583</v>
      </c>
      <c r="DS357" s="712"/>
      <c r="DT357" s="712">
        <f t="shared" si="990"/>
        <v>8.8158995815899583</v>
      </c>
      <c r="DU357" s="712"/>
      <c r="DV357" s="712">
        <f>Sheet1!ED357+Sheet1!EE357+Sheet1!EF357+Sheet1!EG357</f>
        <v>8.5</v>
      </c>
      <c r="DW357" s="712"/>
      <c r="DX357" s="697">
        <f t="shared" si="991"/>
        <v>0</v>
      </c>
      <c r="DY357" s="712">
        <f>IF(Sheet1!FN357=1,SUM('Calculations II'!AT357:BA357)+'Calculations II'!BC357+Sheet1!BU357+'Calculations II'!BE357+AF357,SUM('Calculations II'!AT357:BA357)+'Calculations II'!BC357+Sheet1!BU357+'Calculations II'!BE357+AF357)</f>
        <v>40.825264000000004</v>
      </c>
      <c r="DZ357" s="712">
        <f>Sheet1!AA357+Sheet1!AB357+'Calculations II'!BC357</f>
        <v>52</v>
      </c>
      <c r="EA357" s="712"/>
      <c r="EB357" s="712"/>
      <c r="EC357" s="712">
        <f t="shared" si="992"/>
        <v>40886</v>
      </c>
      <c r="ED357" s="712">
        <f t="shared" si="993"/>
        <v>0</v>
      </c>
      <c r="EE357" s="712">
        <f t="shared" si="994"/>
        <v>0</v>
      </c>
      <c r="EF357" s="712">
        <f ca="1">IF(B357=TODAY(),0,-(VLOOKUP(Sheet1!BQ357,Lookup!$B$4:$J$236,2)-VLOOKUP(Sheet1!BQ356,Lookup!$B$4:$J$236,2))/1000000)</f>
        <v>1.0952</v>
      </c>
      <c r="EG357" s="712">
        <f ca="1">IF(B357=TODAY(),0,-(VLOOKUP(Sheet1!BR357,Lookup!$B$4:$J$236,3)-VLOOKUP(Sheet1!BR356,Lookup!$B$4:$J$236,3))/1000000)</f>
        <v>1.0935999999999999</v>
      </c>
      <c r="EH357" s="712">
        <f>-(VLOOKUP(Sheet1!BS357,Lookup!$B$4:$J$236,4)-VLOOKUP(Sheet1!BS356,Lookup!$B$4:$J$236,4))/1000000</f>
        <v>0</v>
      </c>
      <c r="EI357" s="697">
        <f t="shared" ca="1" si="922"/>
        <v>2.1887999999999996</v>
      </c>
      <c r="EJ357" s="712"/>
      <c r="EK357" s="712"/>
      <c r="EL357" s="712"/>
      <c r="EM357" s="712"/>
      <c r="EN357" s="712"/>
      <c r="EO357" s="712"/>
      <c r="EP357" s="712"/>
      <c r="EQ357" s="712"/>
      <c r="ER357" s="712"/>
      <c r="ES357" s="712"/>
      <c r="ET357" s="794" t="e">
        <f t="shared" si="919"/>
        <v>#N/A</v>
      </c>
      <c r="EU357" s="794" t="e">
        <f t="shared" si="924"/>
        <v>#N/A</v>
      </c>
      <c r="EV357" s="795" t="e">
        <f t="shared" si="925"/>
        <v>#N/A</v>
      </c>
      <c r="EW357" s="796" t="s">
        <v>757</v>
      </c>
      <c r="EX357" s="796" t="s">
        <v>757</v>
      </c>
      <c r="EY357" s="794" t="e">
        <v>#N/A</v>
      </c>
      <c r="EZ357" s="794" t="e">
        <v>#N/A</v>
      </c>
      <c r="FA357" s="712"/>
      <c r="FB357" s="712"/>
      <c r="FC357" s="712"/>
      <c r="FD357" s="712"/>
      <c r="FE357" s="712">
        <f>O357+Sheet1!CO357</f>
        <v>52</v>
      </c>
      <c r="FF357" s="712">
        <f>IF(Sheet1!AA357+AG357&lt;=Calculation!N357,AG357,Calculation!N357-Sheet1!AA357)</f>
        <v>15.684100418410043</v>
      </c>
      <c r="FG357" s="712">
        <f>(Sheet1!BP357+Sheet1!BO357)/694.4</f>
        <v>1.366647465437788</v>
      </c>
      <c r="FH357" s="712"/>
      <c r="FI357" s="712"/>
      <c r="FJ357" s="712"/>
      <c r="FK357" s="712"/>
      <c r="FL357" s="714">
        <f t="shared" si="929"/>
        <v>40753</v>
      </c>
      <c r="FM357" s="714">
        <f t="shared" si="930"/>
        <v>40851</v>
      </c>
      <c r="FN357" s="712"/>
      <c r="FO357" s="712"/>
      <c r="FP357" s="712"/>
      <c r="FQ357" s="712"/>
      <c r="FR357" s="712"/>
      <c r="FS357" s="725">
        <f t="shared" si="935"/>
        <v>40603</v>
      </c>
      <c r="FT357" s="714">
        <f t="shared" si="932"/>
        <v>40709</v>
      </c>
      <c r="FU357" s="712">
        <f t="shared" si="935"/>
        <v>6518.9048239895692</v>
      </c>
      <c r="FV357" s="714">
        <f t="shared" si="933"/>
        <v>40722</v>
      </c>
      <c r="FW357" s="712">
        <f t="shared" si="935"/>
        <v>3259.4524119947846</v>
      </c>
      <c r="FX357" s="725">
        <f t="shared" si="935"/>
        <v>40851</v>
      </c>
      <c r="FZ357" s="697">
        <f t="shared" si="926"/>
        <v>0</v>
      </c>
      <c r="GA357" s="712" t="str">
        <f t="shared" si="995"/>
        <v/>
      </c>
      <c r="GB357" s="712">
        <f t="shared" si="996"/>
        <v>0</v>
      </c>
      <c r="GC357" s="712" t="str">
        <f t="shared" si="997"/>
        <v/>
      </c>
      <c r="GD357" s="712">
        <f>IF(GA357="P",Lookup!$M$12,IF(GA357="PP",Lookup!$M$13,IF(GA357="PPP",Lookup!$M$14,IF(GA357="T",Lookup!$M$15,IF(GA357="TP",Lookup!$M$16,IF(GA357="TPP",Lookup!$M$17,IF(GA357="TPPP",Lookup!$M$18,0)))))))*FZ357</f>
        <v>0</v>
      </c>
      <c r="GE357" s="712">
        <f t="shared" si="998"/>
        <v>0</v>
      </c>
      <c r="GF357" s="712">
        <f t="shared" si="999"/>
        <v>0</v>
      </c>
      <c r="GG357" s="712">
        <f t="shared" si="1000"/>
        <v>0</v>
      </c>
      <c r="GH357" s="712"/>
      <c r="GI357" s="712">
        <f t="shared" si="1001"/>
        <v>0</v>
      </c>
      <c r="GJ357" s="712" t="str">
        <f t="shared" si="1002"/>
        <v/>
      </c>
      <c r="GK357" s="712">
        <f>IF(GA357="P",Lookup!$N$12,IF(GA357="PP",Lookup!$N$13,IF(GA357="PPP",Lookup!$N$14,IF(GA357="T",Lookup!$N$15,IF(GA357="TP",Lookup!$N$16,IF(GA357="TPP",Lookup!$N$17,IF(GA357="TPPP",Lookup!$N$18,0)))))))*FZ357</f>
        <v>0</v>
      </c>
      <c r="GL357" s="712">
        <f t="shared" si="1003"/>
        <v>0</v>
      </c>
      <c r="GM357" s="712">
        <f t="shared" si="1004"/>
        <v>0</v>
      </c>
      <c r="GN357" s="712">
        <f t="shared" si="1005"/>
        <v>0</v>
      </c>
      <c r="GO357" s="712"/>
      <c r="GP357" s="712">
        <f t="shared" si="1006"/>
        <v>0</v>
      </c>
      <c r="GQ357" s="712" t="str">
        <f t="shared" si="1007"/>
        <v/>
      </c>
      <c r="GR357" s="712">
        <f>IF(GA357="P",Lookup!$N$12,IF(GA357="PP",Lookup!$N$13,IF(GA357="PPP",Lookup!$N$14,IF(GA357="T",Lookup!$N$15,IF(GA357="TP",Lookup!$N$16,IF(GA357="TPP",Lookup!$N$17,IF(GA357="TPPP",Lookup!$N$18,0)))))))*FZ357</f>
        <v>0</v>
      </c>
      <c r="GS357" s="697">
        <f t="shared" si="927"/>
        <v>0</v>
      </c>
      <c r="GT357" s="712">
        <f t="shared" si="1008"/>
        <v>0</v>
      </c>
      <c r="GU357" s="712">
        <f t="shared" si="1009"/>
        <v>0</v>
      </c>
      <c r="GV357" s="712"/>
      <c r="GW357" s="712">
        <f t="shared" si="1010"/>
        <v>0</v>
      </c>
      <c r="GX357" s="712" t="str">
        <f t="shared" si="1011"/>
        <v/>
      </c>
      <c r="GY357" s="712">
        <f>IF(GA357="P",Lookup!$N$12,IF(GA357="PP",Lookup!$N$13,IF(GA357="PPP",Lookup!$N$14,IF(GA357="T",Lookup!$N$15,IF(GA357="TP",Lookup!$N$16,IF(GA357="TPP",Lookup!$N$17,IF(GA357="TPPP",Lookup!$N$18,0)))))))*FZ357</f>
        <v>0</v>
      </c>
      <c r="GZ357" s="697">
        <f t="shared" si="928"/>
        <v>0</v>
      </c>
      <c r="HA357" s="712">
        <f t="shared" si="1012"/>
        <v>0</v>
      </c>
      <c r="HB357" s="712">
        <f t="shared" si="1013"/>
        <v>0</v>
      </c>
      <c r="HC357" s="712"/>
    </row>
    <row r="358" spans="1:211">
      <c r="A358" s="773" t="s">
        <v>9</v>
      </c>
      <c r="B358" s="708">
        <v>40887</v>
      </c>
      <c r="C358" s="719">
        <v>0.5</v>
      </c>
      <c r="D358" s="675">
        <f t="shared" si="936"/>
        <v>300</v>
      </c>
      <c r="E358" s="675">
        <f t="shared" si="937"/>
        <v>250</v>
      </c>
      <c r="F358" s="675">
        <v>250</v>
      </c>
      <c r="G358" s="712">
        <f>DH358+Sheet1!CV358</f>
        <v>580.46747352500563</v>
      </c>
      <c r="H358" s="712">
        <f t="shared" si="938"/>
        <v>108.25097488656364</v>
      </c>
      <c r="I358" s="711">
        <f>MAX(Sheet1!Z358-AJ358+(Sheet1!CW358-E358)*CFStoMGD,0)</f>
        <v>342.57020469798658</v>
      </c>
      <c r="J358" s="720">
        <f>IF(AND(B358&gt;=Calculation!FS358,B358&lt;=Calculation!FT358),IF(Sheet1!CX358&gt;=Calculation!D358,64.64,0),MAX(Sheet1!Z358-AJ358+(Sheet1!CX358-D358)*CFStoMGD,0))</f>
        <v>138.32800469798656</v>
      </c>
      <c r="K358" s="697">
        <f t="shared" si="939"/>
        <v>64.64</v>
      </c>
      <c r="L358" s="712">
        <f>Sheet1!AA358+Sheet1!AB358-Sheet1!L358+(Sheet1!CW358-F358)*CFStoMGD</f>
        <v>384.40199999999419</v>
      </c>
      <c r="M358" s="712">
        <f t="shared" si="940"/>
        <v>382.71845838429493</v>
      </c>
      <c r="N358" s="712">
        <f>IF(Sheet1!CW358&gt;=F358,MIN(73,MIN(MAX(L358,0),MAX(M358,0))),0)</f>
        <v>73</v>
      </c>
      <c r="O358" s="721">
        <f>Sheet1!AA358+Sheet1!AB358</f>
        <v>50.899999999994179</v>
      </c>
      <c r="P358" s="721">
        <f t="shared" si="941"/>
        <v>78.742299999990991</v>
      </c>
      <c r="Q358" s="712">
        <f>MIN(N358,Sheet1!AA358+AG358)</f>
        <v>42.481795302007605</v>
      </c>
      <c r="R358" s="712">
        <f t="shared" si="942"/>
        <v>8.4182046979865781</v>
      </c>
      <c r="S358" s="721">
        <f>Sheet1!Y358*MGDtoCFS</f>
        <v>42.666259999999994</v>
      </c>
      <c r="T358" s="721">
        <f>Sheet1!Z358*MGDtoCFS</f>
        <v>37.360049999999994</v>
      </c>
      <c r="U358" s="721">
        <f>Sheet1!AA358*MGDtoCFS</f>
        <v>42.387799999990996</v>
      </c>
      <c r="V358" s="721">
        <f>Sheet1!AB358*MGDtoCFS</f>
        <v>36.354500000000002</v>
      </c>
      <c r="W358" s="721">
        <f>Sheet1!L358*MGDtoCFS</f>
        <v>0</v>
      </c>
      <c r="X358" s="697">
        <f t="shared" si="943"/>
        <v>0</v>
      </c>
      <c r="Y358" s="712">
        <f t="shared" si="944"/>
        <v>0</v>
      </c>
      <c r="Z358" s="712">
        <f t="shared" si="945"/>
        <v>0</v>
      </c>
      <c r="AA358" s="712">
        <f t="shared" si="946"/>
        <v>0</v>
      </c>
      <c r="AB358" s="712">
        <f>(VLOOKUP(Sheet1!CY358,hhdcap_wcm,4)-(((VLOOKUP(Sheet1!CY358,hhdcap_wcm,3)-Sheet1!CY358)/(VLOOKUP(Sheet1!CY358,hhdcap_wcm,3)-VLOOKUP(Sheet1!CY358,hhdcap_wcm,1)))*(VLOOKUP(Sheet1!CY358,hhdcap_wcm,4)-VLOOKUP(Sheet1!CY358,hhdcap_wcm,2))))</f>
        <v>2010.700000002865</v>
      </c>
      <c r="AC358" s="712">
        <f t="shared" si="947"/>
        <v>102.06000000008612</v>
      </c>
      <c r="AD358" s="712">
        <f t="shared" si="948"/>
        <v>0</v>
      </c>
      <c r="AE358" s="712">
        <f t="shared" si="949"/>
        <v>0</v>
      </c>
      <c r="AF358" s="712">
        <f>Sheet1!BA358+Sheet1!BB358+Sheet1!BN358+BT358</f>
        <v>15.3</v>
      </c>
      <c r="AG358" s="712">
        <f t="shared" si="950"/>
        <v>15.081795302013424</v>
      </c>
      <c r="AH358" s="712">
        <f>Sheet1!BA358+BT358</f>
        <v>0</v>
      </c>
      <c r="AI358" s="712">
        <f>Sheet1!BA358+Sheet1!BB358+BT358</f>
        <v>0</v>
      </c>
      <c r="AJ358" s="712">
        <f>IF((Sheet1!AA358+AG358+AX358+AZ358+BQ358+BS358+CL358+CN358)&lt;=N358,AG358+AX358+AZ358+BQ358+BS358+CL358+CN358,N358-Sheet1!AA358)</f>
        <v>15.081795302013424</v>
      </c>
      <c r="AK358" s="712">
        <f>IF(DR358&lt;K358,0,MAX(Sheet1!AA358+AG358-15/36*K358-N358,Sheet1!ED358,0))</f>
        <v>0</v>
      </c>
      <c r="AL358" s="712">
        <f>IF(OR(B358&gt;=FT358,B358&lt;FS358),0,15/36*K358-MAX(0,64.6-(137.6-(Sheet1!AA358+Sheet1!AB358))))</f>
        <v>0</v>
      </c>
      <c r="AM358" s="712">
        <f>Sheet1!CX358-110</f>
        <v>389.96875</v>
      </c>
      <c r="AN358" s="712">
        <f>Sheet1!CW358-265</f>
        <v>500.9375</v>
      </c>
      <c r="AO358" s="712">
        <f t="shared" si="934"/>
        <v>30.518204697992395</v>
      </c>
      <c r="AP358" s="712">
        <f t="shared" si="951"/>
        <v>0</v>
      </c>
      <c r="AQ358" s="712">
        <f t="shared" si="952"/>
        <v>0</v>
      </c>
      <c r="AR358" s="712">
        <f t="shared" si="953"/>
        <v>0</v>
      </c>
      <c r="AS358" s="712"/>
      <c r="AT358" s="712">
        <f ca="1">IF(B358&gt;Summary!$A$1,#N/A,AR358*MGtoAF)</f>
        <v>0</v>
      </c>
      <c r="AU358" s="712">
        <f>Sheet1!BG358+Sheet1!BH358+Sheet1!BI358-BC358</f>
        <v>0</v>
      </c>
      <c r="AV358" s="712">
        <f t="shared" si="954"/>
        <v>0</v>
      </c>
      <c r="AW358" s="712">
        <f>IF(Sheet1!EL358="FM",BC358,0)</f>
        <v>0</v>
      </c>
      <c r="AX358" s="712">
        <f t="shared" si="955"/>
        <v>0</v>
      </c>
      <c r="AY358" s="712">
        <f>IF(Sheet1!EL358="OTHER",BC358,0)</f>
        <v>0</v>
      </c>
      <c r="AZ358" s="712">
        <f t="shared" si="956"/>
        <v>0</v>
      </c>
      <c r="BA358" s="712">
        <f t="shared" si="957"/>
        <v>0</v>
      </c>
      <c r="BB358" s="712">
        <f t="shared" si="958"/>
        <v>0</v>
      </c>
      <c r="BC358" s="712">
        <f>IF(OR(Sheet1!EL358="FM", Sheet1!EL358="OTHER"),SUM(Sheet1!BG358:'Sheet1'!BI358),0)</f>
        <v>0</v>
      </c>
      <c r="BD358" s="697">
        <f>IF(AND($B358&gt;=$FL358,$B358&lt;=$FM358),MAX(AV358,Sheet1!EE358,0),MAX(AV358-(7/36)*$K358,0))</f>
        <v>0</v>
      </c>
      <c r="BE358" s="712">
        <f t="shared" si="959"/>
        <v>0</v>
      </c>
      <c r="BF358" s="697">
        <f t="shared" si="960"/>
        <v>0</v>
      </c>
      <c r="BG358" s="697">
        <f>IF(AND($O358&gt;0,Sheet1!EI358=1),(1-($O358-Sheet1!$L358)/$O358)*BB358,0)</f>
        <v>0</v>
      </c>
      <c r="BH358" s="697">
        <f>IF(AND(Sheet1!$L358=0,Sheet1!$L357=0, Calculation!BA358&lt;Sheet1!$EE358-0.1,Sheet1!$EE358=Sheet1!$EE357,Sheet1!$EE358=Sheet1!$EE359),Sheet1!$EE358,BB358-BG358)</f>
        <v>0</v>
      </c>
      <c r="BI358" s="712"/>
      <c r="BJ358" s="712"/>
      <c r="BK358" s="712">
        <f t="shared" si="961"/>
        <v>0</v>
      </c>
      <c r="BL358" s="712"/>
      <c r="BM358" s="712">
        <f ca="1">IF(B358&gt;Summary!$A$1,#N/A,BK358*MGtoAF)</f>
        <v>0</v>
      </c>
      <c r="BN358" s="712">
        <f>Sheet1!BC358+Sheet1!BD358+Sheet1!BE358+Sheet1!BF358-BW358-BX358</f>
        <v>2</v>
      </c>
      <c r="BO358" s="712">
        <f t="shared" si="962"/>
        <v>1.9714765100671141</v>
      </c>
      <c r="BP358" s="712">
        <f>IF(Sheet1!EM358="FM",BX358,0)</f>
        <v>0</v>
      </c>
      <c r="BQ358" s="712">
        <f t="shared" si="963"/>
        <v>0</v>
      </c>
      <c r="BR358" s="712">
        <f>IF(Sheet1!EM358="OTHER",BX358,0)</f>
        <v>0</v>
      </c>
      <c r="BS358" s="712">
        <f t="shared" si="964"/>
        <v>0</v>
      </c>
      <c r="BT358" s="712">
        <f t="shared" si="965"/>
        <v>0</v>
      </c>
      <c r="BU358" s="712">
        <f t="shared" si="966"/>
        <v>2</v>
      </c>
      <c r="BV358" s="712">
        <f t="shared" si="967"/>
        <v>1.9714765100671141</v>
      </c>
      <c r="BW358" s="712">
        <f>IF(Sheet1!EM358="CWA",SUM(Sheet1!BC358:'Sheet1'!BF358),0)</f>
        <v>0</v>
      </c>
      <c r="BX358" s="712">
        <f>IF(OR(Sheet1!EM358="FM", Sheet1!EM358="OTHER"),SUM(Sheet1!BC358:'Sheet1'!BF358),0)</f>
        <v>0</v>
      </c>
      <c r="BY358" s="697">
        <f>IF(AND($B358&gt;=$FL358,$B358&lt;=$FM358),MAX(BV358,Sheet1!EF358,0),MAX(BV358-(7/36)*$K358,0))</f>
        <v>0</v>
      </c>
      <c r="BZ358" s="712">
        <f t="shared" si="968"/>
        <v>0</v>
      </c>
      <c r="CA358" s="697">
        <f t="shared" si="969"/>
        <v>1.9714765100671141</v>
      </c>
      <c r="CB358" s="697">
        <f>IF(AND($O358&gt;0,Sheet1!EJ358=1),(1-($O358-Sheet1!$L358)/$O358)*BV358,0)</f>
        <v>0</v>
      </c>
      <c r="CC358" s="697">
        <f>IF(AND(Sheet1!$L358=0,Sheet1!$L357=0, Calculation!BU358&lt;Sheet1!EF358-0.1,Sheet1!EF358=Sheet1!EF357,Sheet1!EF358=Sheet1!EF359),Sheet1!EF358,BV358-CB358)</f>
        <v>1.9714765100671141</v>
      </c>
      <c r="CD358" s="697"/>
      <c r="CE358" s="712"/>
      <c r="CF358" s="712">
        <f t="shared" si="970"/>
        <v>0</v>
      </c>
      <c r="CG358" s="712"/>
      <c r="CH358" s="712">
        <f ca="1">IF(B358&gt;Summary!$A$1,#N/A,CF358*MGtoAF)</f>
        <v>0</v>
      </c>
      <c r="CI358" s="712">
        <f>Sheet1!BK358+Sheet1!BL358+Sheet1!BM358-Sheet1!EN358-CQ358</f>
        <v>6.54</v>
      </c>
      <c r="CJ358" s="712">
        <f t="shared" si="971"/>
        <v>6.4467281879194633</v>
      </c>
      <c r="CK358" s="712">
        <f>IF(Sheet1!EN358="FM",CQ358,0)</f>
        <v>0</v>
      </c>
      <c r="CL358" s="712">
        <f t="shared" si="972"/>
        <v>0</v>
      </c>
      <c r="CM358" s="712">
        <f>IF(Sheet1!EN358="OTHER",CQ358,0)</f>
        <v>0</v>
      </c>
      <c r="CN358" s="712">
        <f t="shared" si="973"/>
        <v>0</v>
      </c>
      <c r="CO358" s="712">
        <f t="shared" si="974"/>
        <v>6.54</v>
      </c>
      <c r="CP358" s="712">
        <f t="shared" si="975"/>
        <v>6.4467281879194633</v>
      </c>
      <c r="CQ358" s="712">
        <f>IF(OR(Sheet1!EN358="FM", Sheet1!EN358="OTHER"),SUM(Sheet1!BK358:'Sheet1'!BM358),0)</f>
        <v>0</v>
      </c>
      <c r="CR358" s="697">
        <f>IF(AND($B358&gt;=$FL358,$B358&lt;=$FM358),MAX($CJ358,Sheet1!EG358,0),MAX($CJ358-(7/36)*$K358,0))</f>
        <v>0</v>
      </c>
      <c r="CS358" s="712">
        <f t="shared" si="976"/>
        <v>0</v>
      </c>
      <c r="CT358" s="697">
        <f t="shared" si="977"/>
        <v>6.4467281879194633</v>
      </c>
      <c r="CU358" s="697">
        <f>IF(AND($O358&gt;0,Sheet1!EK358=1),(1-($O358-Sheet1!$L358)/$O358)*CP358,0)</f>
        <v>0</v>
      </c>
      <c r="CV358" s="697">
        <f>IF(AND(Sheet1!$L358=0,Sheet1!$L357=0, Calculation!CO358&lt;Sheet1!$EG358-0.1,Sheet1!$EG358=Sheet1!$EG357,Sheet1!$EG358=Sheet1!$EG359),Sheet1!$EG358,CP358-CU358)</f>
        <v>6.4467281879194633</v>
      </c>
      <c r="CW358" s="697"/>
      <c r="CX358" s="712">
        <f t="shared" si="978"/>
        <v>8.5399999999999991</v>
      </c>
      <c r="CY358" s="712">
        <f t="shared" si="979"/>
        <v>0</v>
      </c>
      <c r="CZ358" s="712">
        <f t="shared" si="980"/>
        <v>8.4182046979865781</v>
      </c>
      <c r="DA358" s="712">
        <f ca="1">IF(B358&gt;Summary!$A$1,#N/A,CY358*MGtoAF)</f>
        <v>0</v>
      </c>
      <c r="DB358" s="712">
        <f t="shared" si="981"/>
        <v>8.5399999999999991</v>
      </c>
      <c r="DC358" s="712">
        <f t="shared" si="982"/>
        <v>23.84</v>
      </c>
      <c r="DD358" s="712">
        <f>Sheet1!AB358-DC358</f>
        <v>-0.33999999999999986</v>
      </c>
      <c r="DE358" s="712">
        <f t="shared" si="983"/>
        <v>-1.4261744966442946E-2</v>
      </c>
      <c r="DF358" s="712">
        <f>(VLOOKUP(Sheet1!CY358,hhdcap_wcm,4)-(((VLOOKUP(Sheet1!CY358,hhdcap_wcm,3)-Sheet1!CY358)/(VLOOKUP(Sheet1!CY358,hhdcap_wcm,3)-VLOOKUP(Sheet1!CY358,hhdcap_wcm,1)))*(VLOOKUP(Sheet1!CY358,hhdcap_wcm,4)-VLOOKUP(Sheet1!CY358,hhdcap_wcm,2))))</f>
        <v>2010.700000002865</v>
      </c>
      <c r="DG358" s="712">
        <f t="shared" si="984"/>
        <v>102.06000000008612</v>
      </c>
      <c r="DH358" s="712">
        <f t="shared" si="985"/>
        <v>51.467473525005602</v>
      </c>
      <c r="DI358" s="712">
        <f>Sheet1!DW358*AFtoMG</f>
        <v>0</v>
      </c>
      <c r="DJ358" s="712">
        <f>Sheet1!DX358*AFtoMG</f>
        <v>0</v>
      </c>
      <c r="DK358" s="712">
        <f>Sheet1!DY358*AFtoMG</f>
        <v>0</v>
      </c>
      <c r="DL358" s="712">
        <f>Sheet1!DZ358*AFtoMG</f>
        <v>0</v>
      </c>
      <c r="DM358" s="712">
        <f t="shared" si="986"/>
        <v>0</v>
      </c>
      <c r="DN358" s="712">
        <f t="shared" si="987"/>
        <v>0</v>
      </c>
      <c r="DO358" s="712">
        <f t="shared" si="988"/>
        <v>0</v>
      </c>
      <c r="DP358" s="712">
        <f t="shared" si="989"/>
        <v>0</v>
      </c>
      <c r="DQ358" s="712"/>
      <c r="DR358" s="697">
        <f>IF(OR(B358&lt;FL358,B358&gt;FM358),(MIN(AV358+BO358+CJ358+MAX(Sheet1!AA358+AG358-73,0),K358)),0)</f>
        <v>8.4182046979865781</v>
      </c>
      <c r="DS358" s="712"/>
      <c r="DT358" s="712">
        <f t="shared" si="990"/>
        <v>8.4182046979865781</v>
      </c>
      <c r="DU358" s="712"/>
      <c r="DV358" s="712">
        <f>Sheet1!ED358+Sheet1!EE358+Sheet1!EF358+Sheet1!EG358</f>
        <v>8.5</v>
      </c>
      <c r="DW358" s="712"/>
      <c r="DX358" s="697">
        <f t="shared" si="991"/>
        <v>0</v>
      </c>
      <c r="DY358" s="712">
        <f>IF(Sheet1!FN358=1,SUM('Calculations II'!AT358:BA358)+'Calculations II'!BC358+Sheet1!BU358+'Calculations II'!BE358+AF358,SUM('Calculations II'!AT358:BA358)+'Calculations II'!BC358+Sheet1!BU358+'Calculations II'!BE358+AF358)</f>
        <v>42.204480000000004</v>
      </c>
      <c r="DZ358" s="712">
        <f>Sheet1!AA358+Sheet1!AB358+'Calculations II'!BC358</f>
        <v>50.899999999994179</v>
      </c>
      <c r="EA358" s="712"/>
      <c r="EB358" s="712"/>
      <c r="EC358" s="712">
        <f t="shared" si="992"/>
        <v>40887</v>
      </c>
      <c r="ED358" s="712">
        <f t="shared" si="993"/>
        <v>0</v>
      </c>
      <c r="EE358" s="712">
        <f t="shared" si="994"/>
        <v>0</v>
      </c>
      <c r="EF358" s="712">
        <f ca="1">IF(B358=TODAY(),0,-(VLOOKUP(Sheet1!BQ358,Lookup!$B$4:$J$236,2)-VLOOKUP(Sheet1!BQ357,Lookup!$B$4:$J$236,2))/1000000)</f>
        <v>1.9067000000000001</v>
      </c>
      <c r="EG358" s="712">
        <f ca="1">IF(B358=TODAY(),0,-(VLOOKUP(Sheet1!BR358,Lookup!$B$4:$J$236,3)-VLOOKUP(Sheet1!BR357,Lookup!$B$4:$J$236,3))/1000000)</f>
        <v>1.9036</v>
      </c>
      <c r="EH358" s="712">
        <f>-(VLOOKUP(Sheet1!BS358,Lookup!$B$4:$J$236,4)-VLOOKUP(Sheet1!BS357,Lookup!$B$4:$J$236,4))/1000000</f>
        <v>0</v>
      </c>
      <c r="EI358" s="697">
        <f t="shared" ca="1" si="922"/>
        <v>3.8102999999999998</v>
      </c>
      <c r="EJ358" s="712"/>
      <c r="EK358" s="712"/>
      <c r="EL358" s="712"/>
      <c r="EM358" s="712"/>
      <c r="EN358" s="712"/>
      <c r="EO358" s="712"/>
      <c r="EP358" s="712"/>
      <c r="EQ358" s="712"/>
      <c r="ER358" s="712"/>
      <c r="ES358" s="712"/>
      <c r="ET358" s="794" t="e">
        <f t="shared" si="919"/>
        <v>#N/A</v>
      </c>
      <c r="EU358" s="794" t="e">
        <f t="shared" si="924"/>
        <v>#N/A</v>
      </c>
      <c r="EV358" s="795" t="e">
        <f t="shared" si="925"/>
        <v>#N/A</v>
      </c>
      <c r="EW358" s="796" t="s">
        <v>757</v>
      </c>
      <c r="EX358" s="796" t="s">
        <v>757</v>
      </c>
      <c r="EY358" s="794" t="e">
        <v>#N/A</v>
      </c>
      <c r="EZ358" s="794" t="e">
        <v>#N/A</v>
      </c>
      <c r="FA358" s="712"/>
      <c r="FB358" s="712"/>
      <c r="FC358" s="712"/>
      <c r="FD358" s="712"/>
      <c r="FE358" s="712">
        <f>O358+Sheet1!CO358</f>
        <v>50.899999999994179</v>
      </c>
      <c r="FF358" s="712">
        <f>IF(Sheet1!AA358+AG358&lt;=Calculation!N358,AG358,Calculation!N358-Sheet1!AA358)</f>
        <v>15.081795302013424</v>
      </c>
      <c r="FG358" s="712">
        <f>(Sheet1!BP358+Sheet1!BO358)/694.4</f>
        <v>1.9701900921658986</v>
      </c>
      <c r="FH358" s="712"/>
      <c r="FI358" s="712"/>
      <c r="FJ358" s="712"/>
      <c r="FK358" s="712"/>
      <c r="FL358" s="714">
        <f t="shared" si="929"/>
        <v>40753</v>
      </c>
      <c r="FM358" s="714">
        <f t="shared" si="930"/>
        <v>40851</v>
      </c>
      <c r="FN358" s="712"/>
      <c r="FO358" s="712"/>
      <c r="FP358" s="712"/>
      <c r="FQ358" s="712"/>
      <c r="FR358" s="712"/>
      <c r="FS358" s="725">
        <f t="shared" si="935"/>
        <v>40603</v>
      </c>
      <c r="FT358" s="714">
        <f t="shared" si="932"/>
        <v>40709</v>
      </c>
      <c r="FU358" s="712">
        <f t="shared" si="935"/>
        <v>6518.9048239895692</v>
      </c>
      <c r="FV358" s="714">
        <f t="shared" si="933"/>
        <v>40722</v>
      </c>
      <c r="FW358" s="712">
        <f t="shared" si="935"/>
        <v>3259.4524119947846</v>
      </c>
      <c r="FX358" s="725">
        <f t="shared" si="935"/>
        <v>40851</v>
      </c>
      <c r="FZ358" s="697">
        <f t="shared" si="926"/>
        <v>0</v>
      </c>
      <c r="GA358" s="712" t="str">
        <f t="shared" si="995"/>
        <v/>
      </c>
      <c r="GB358" s="712">
        <f t="shared" si="996"/>
        <v>0</v>
      </c>
      <c r="GC358" s="712" t="str">
        <f t="shared" si="997"/>
        <v/>
      </c>
      <c r="GD358" s="712">
        <f>IF(GA358="P",Lookup!$M$12,IF(GA358="PP",Lookup!$M$13,IF(GA358="PPP",Lookup!$M$14,IF(GA358="T",Lookup!$M$15,IF(GA358="TP",Lookup!$M$16,IF(GA358="TPP",Lookup!$M$17,IF(GA358="TPPP",Lookup!$M$18,0)))))))*FZ358</f>
        <v>0</v>
      </c>
      <c r="GE358" s="712">
        <f t="shared" si="998"/>
        <v>0</v>
      </c>
      <c r="GF358" s="712">
        <f t="shared" si="999"/>
        <v>0</v>
      </c>
      <c r="GG358" s="712">
        <f t="shared" si="1000"/>
        <v>0</v>
      </c>
      <c r="GH358" s="712"/>
      <c r="GI358" s="712">
        <f t="shared" si="1001"/>
        <v>0</v>
      </c>
      <c r="GJ358" s="712" t="str">
        <f t="shared" si="1002"/>
        <v/>
      </c>
      <c r="GK358" s="712">
        <f>IF(GA358="P",Lookup!$N$12,IF(GA358="PP",Lookup!$N$13,IF(GA358="PPP",Lookup!$N$14,IF(GA358="T",Lookup!$N$15,IF(GA358="TP",Lookup!$N$16,IF(GA358="TPP",Lookup!$N$17,IF(GA358="TPPP",Lookup!$N$18,0)))))))*FZ358</f>
        <v>0</v>
      </c>
      <c r="GL358" s="712">
        <f t="shared" si="1003"/>
        <v>0</v>
      </c>
      <c r="GM358" s="712">
        <f t="shared" si="1004"/>
        <v>0</v>
      </c>
      <c r="GN358" s="712">
        <f t="shared" si="1005"/>
        <v>0</v>
      </c>
      <c r="GO358" s="712"/>
      <c r="GP358" s="712">
        <f t="shared" si="1006"/>
        <v>0</v>
      </c>
      <c r="GQ358" s="712" t="str">
        <f t="shared" si="1007"/>
        <v/>
      </c>
      <c r="GR358" s="712">
        <f>IF(GA358="P",Lookup!$N$12,IF(GA358="PP",Lookup!$N$13,IF(GA358="PPP",Lookup!$N$14,IF(GA358="T",Lookup!$N$15,IF(GA358="TP",Lookup!$N$16,IF(GA358="TPP",Lookup!$N$17,IF(GA358="TPPP",Lookup!$N$18,0)))))))*FZ358</f>
        <v>0</v>
      </c>
      <c r="GS358" s="697">
        <f t="shared" si="927"/>
        <v>0</v>
      </c>
      <c r="GT358" s="712">
        <f t="shared" si="1008"/>
        <v>0</v>
      </c>
      <c r="GU358" s="712">
        <f t="shared" si="1009"/>
        <v>0</v>
      </c>
      <c r="GV358" s="712"/>
      <c r="GW358" s="712">
        <f t="shared" si="1010"/>
        <v>0</v>
      </c>
      <c r="GX358" s="712" t="str">
        <f t="shared" si="1011"/>
        <v/>
      </c>
      <c r="GY358" s="712">
        <f>IF(GA358="P",Lookup!$N$12,IF(GA358="PP",Lookup!$N$13,IF(GA358="PPP",Lookup!$N$14,IF(GA358="T",Lookup!$N$15,IF(GA358="TP",Lookup!$N$16,IF(GA358="TPP",Lookup!$N$17,IF(GA358="TPPP",Lookup!$N$18,0)))))))*FZ358</f>
        <v>0</v>
      </c>
      <c r="GZ358" s="697">
        <f t="shared" si="928"/>
        <v>0</v>
      </c>
      <c r="HA358" s="712">
        <f t="shared" si="1012"/>
        <v>0</v>
      </c>
      <c r="HB358" s="712">
        <f t="shared" si="1013"/>
        <v>0</v>
      </c>
      <c r="HC358" s="712"/>
    </row>
    <row r="359" spans="1:211">
      <c r="A359" s="773" t="s">
        <v>3</v>
      </c>
      <c r="B359" s="708">
        <v>40888</v>
      </c>
      <c r="C359" s="709">
        <v>0.5</v>
      </c>
      <c r="D359" s="675">
        <f t="shared" si="936"/>
        <v>300</v>
      </c>
      <c r="E359" s="675">
        <f t="shared" si="937"/>
        <v>250</v>
      </c>
      <c r="F359" s="675">
        <v>250</v>
      </c>
      <c r="G359" s="712">
        <f>DH359+Sheet1!CV359</f>
        <v>547.6258825012319</v>
      </c>
      <c r="H359" s="712">
        <f t="shared" si="938"/>
        <v>87.022170448796302</v>
      </c>
      <c r="I359" s="711">
        <f>MAX(Sheet1!Z359-AJ359+(Sheet1!CW359-E359)*CFStoMGD,0)</f>
        <v>340.06000738581145</v>
      </c>
      <c r="J359" s="720">
        <f>IF(AND(B359&gt;=Calculation!FS359,B359&lt;=Calculation!FT359),IF(Sheet1!CX359&gt;=Calculation!D359,64.64,0),MAX(Sheet1!Z359-AJ359+(Sheet1!CX359-D359)*CFStoMGD,0))</f>
        <v>167.14800738581144</v>
      </c>
      <c r="K359" s="697">
        <f t="shared" si="939"/>
        <v>64.64</v>
      </c>
      <c r="L359" s="712">
        <f>Sheet1!AA359+Sheet1!AB359-Sheet1!L359+(Sheet1!CW359-F359)*CFStoMGD</f>
        <v>382.68773333334497</v>
      </c>
      <c r="M359" s="712">
        <f t="shared" si="940"/>
        <v>361.06507785777222</v>
      </c>
      <c r="N359" s="712">
        <f>IF(Sheet1!CW359&gt;=F359,MIN(73,MIN(MAX(L359,0),MAX(M359,0))),0)</f>
        <v>73</v>
      </c>
      <c r="O359" s="721">
        <f>Sheet1!AA359+Sheet1!AB359</f>
        <v>51.300000000011643</v>
      </c>
      <c r="P359" s="721">
        <f t="shared" si="941"/>
        <v>79.361100000018013</v>
      </c>
      <c r="Q359" s="712">
        <f>MIN(N359,Sheet1!AA359+AG359)</f>
        <v>42.657725947533507</v>
      </c>
      <c r="R359" s="712">
        <f t="shared" si="942"/>
        <v>8.6422740524781343</v>
      </c>
      <c r="S359" s="721">
        <f>Sheet1!Y359*MGDtoCFS</f>
        <v>41.892759999999996</v>
      </c>
      <c r="T359" s="721">
        <f>Sheet1!Z359*MGDtoCFS</f>
        <v>37.32911</v>
      </c>
      <c r="U359" s="721">
        <f>Sheet1!AA359*MGDtoCFS</f>
        <v>42.078400000018007</v>
      </c>
      <c r="V359" s="721">
        <f>Sheet1!AB359*MGDtoCFS</f>
        <v>37.282699999999998</v>
      </c>
      <c r="W359" s="721">
        <f>Sheet1!L359*MGDtoCFS</f>
        <v>0</v>
      </c>
      <c r="X359" s="697">
        <f t="shared" si="943"/>
        <v>0</v>
      </c>
      <c r="Y359" s="712">
        <f t="shared" si="944"/>
        <v>0</v>
      </c>
      <c r="Z359" s="712">
        <f t="shared" si="945"/>
        <v>0</v>
      </c>
      <c r="AA359" s="712">
        <f t="shared" si="946"/>
        <v>0</v>
      </c>
      <c r="AB359" s="712">
        <f>(VLOOKUP(Sheet1!CY359,hhdcap_wcm,4)-(((VLOOKUP(Sheet1!CY359,hhdcap_wcm,3)-Sheet1!CY359)/(VLOOKUP(Sheet1!CY359,hhdcap_wcm,3)-VLOOKUP(Sheet1!CY359,hhdcap_wcm,1)))*(VLOOKUP(Sheet1!CY359,hhdcap_wcm,4)-VLOOKUP(Sheet1!CY359,hhdcap_wcm,2))))</f>
        <v>1940.1400000028077</v>
      </c>
      <c r="AC359" s="712">
        <f t="shared" si="947"/>
        <v>-70.560000000057244</v>
      </c>
      <c r="AD359" s="712">
        <f t="shared" si="948"/>
        <v>0</v>
      </c>
      <c r="AE359" s="712">
        <f t="shared" si="949"/>
        <v>0</v>
      </c>
      <c r="AF359" s="712">
        <f>Sheet1!BA359+Sheet1!BB359+Sheet1!BN359+BT359</f>
        <v>15.4</v>
      </c>
      <c r="AG359" s="712">
        <f t="shared" si="950"/>
        <v>15.457725947521865</v>
      </c>
      <c r="AH359" s="712">
        <f>Sheet1!BA359+BT359</f>
        <v>0</v>
      </c>
      <c r="AI359" s="712">
        <f>Sheet1!BA359+Sheet1!BB359+BT359</f>
        <v>0</v>
      </c>
      <c r="AJ359" s="712">
        <f>IF((Sheet1!AA359+AG359+AX359+AZ359+BQ359+BS359+CL359+CN359)&lt;=N359,AG359+AX359+AZ359+BQ359+BS359+CL359+CN359,N359-Sheet1!AA359)</f>
        <v>15.457725947521865</v>
      </c>
      <c r="AK359" s="712">
        <f>IF(DR359&lt;K359,0,MAX(Sheet1!AA359+AG359-15/36*K359-N359,Sheet1!ED359,0))</f>
        <v>0</v>
      </c>
      <c r="AL359" s="712">
        <f>IF(OR(B359&gt;=FT359,B359&lt;FS359),0,15/36*K359-MAX(0,64.6-(137.6-(Sheet1!AA359+Sheet1!AB359))))</f>
        <v>0</v>
      </c>
      <c r="AM359" s="712">
        <f>Sheet1!CX359-110</f>
        <v>435.16666666666663</v>
      </c>
      <c r="AN359" s="712">
        <f>Sheet1!CW359-265</f>
        <v>497.66666666666663</v>
      </c>
      <c r="AO359" s="712">
        <f t="shared" si="934"/>
        <v>30.342274052466493</v>
      </c>
      <c r="AP359" s="712">
        <f t="shared" si="951"/>
        <v>0</v>
      </c>
      <c r="AQ359" s="712">
        <f t="shared" si="952"/>
        <v>0</v>
      </c>
      <c r="AR359" s="712">
        <f t="shared" si="953"/>
        <v>0</v>
      </c>
      <c r="AS359" s="712"/>
      <c r="AT359" s="712">
        <f ca="1">IF(B359&gt;Summary!$A$1,#N/A,AR359*MGtoAF)</f>
        <v>0</v>
      </c>
      <c r="AU359" s="712">
        <f>Sheet1!BG359+Sheet1!BH359+Sheet1!BI359-BC359</f>
        <v>0</v>
      </c>
      <c r="AV359" s="712">
        <f t="shared" si="954"/>
        <v>0</v>
      </c>
      <c r="AW359" s="712">
        <f>IF(Sheet1!EL359="FM",BC359,0)</f>
        <v>0</v>
      </c>
      <c r="AX359" s="712">
        <f t="shared" si="955"/>
        <v>0</v>
      </c>
      <c r="AY359" s="712">
        <f>IF(Sheet1!EL359="OTHER",BC359,0)</f>
        <v>0</v>
      </c>
      <c r="AZ359" s="712">
        <f t="shared" si="956"/>
        <v>0</v>
      </c>
      <c r="BA359" s="712">
        <f t="shared" si="957"/>
        <v>0</v>
      </c>
      <c r="BB359" s="712">
        <f t="shared" si="958"/>
        <v>0</v>
      </c>
      <c r="BC359" s="712">
        <f>IF(OR(Sheet1!EL359="FM", Sheet1!EL359="OTHER"),SUM(Sheet1!BG359:'Sheet1'!BI359),0)</f>
        <v>0</v>
      </c>
      <c r="BD359" s="697">
        <f>IF(AND($B359&gt;=$FL359,$B359&lt;=$FM359),MAX(AV359,Sheet1!EE359,0),MAX(AV359-(7/36)*$K359,0))</f>
        <v>0</v>
      </c>
      <c r="BE359" s="712">
        <f t="shared" si="959"/>
        <v>0</v>
      </c>
      <c r="BF359" s="697">
        <f t="shared" si="960"/>
        <v>0</v>
      </c>
      <c r="BG359" s="697">
        <f>IF(AND($O359&gt;0,Sheet1!EI359=1),(1-($O359-Sheet1!$L359)/$O359)*BB359,0)</f>
        <v>0</v>
      </c>
      <c r="BH359" s="697">
        <f>IF(AND(Sheet1!$L359=0,Sheet1!$L358=0, Calculation!BA359&lt;Sheet1!$EE359-0.1,Sheet1!$EE359=Sheet1!$EE358,Sheet1!$EE359=Sheet1!$EE360),Sheet1!$EE359,BB359-BG359)</f>
        <v>0</v>
      </c>
      <c r="BI359" s="712"/>
      <c r="BJ359" s="712"/>
      <c r="BK359" s="712">
        <f t="shared" si="961"/>
        <v>0</v>
      </c>
      <c r="BL359" s="712"/>
      <c r="BM359" s="712">
        <f ca="1">IF(B359&gt;Summary!$A$1,#N/A,BK359*MGtoAF)</f>
        <v>0</v>
      </c>
      <c r="BN359" s="712">
        <f>Sheet1!BC359+Sheet1!BD359+Sheet1!BE359+Sheet1!BF359-BW359-BX359</f>
        <v>2.06</v>
      </c>
      <c r="BO359" s="712">
        <f t="shared" si="962"/>
        <v>2.0677217825905871</v>
      </c>
      <c r="BP359" s="712">
        <f>IF(Sheet1!EM359="FM",BX359,0)</f>
        <v>0</v>
      </c>
      <c r="BQ359" s="712">
        <f t="shared" si="963"/>
        <v>0</v>
      </c>
      <c r="BR359" s="712">
        <f>IF(Sheet1!EM359="OTHER",BX359,0)</f>
        <v>0</v>
      </c>
      <c r="BS359" s="712">
        <f t="shared" si="964"/>
        <v>0</v>
      </c>
      <c r="BT359" s="712">
        <f t="shared" si="965"/>
        <v>0</v>
      </c>
      <c r="BU359" s="712">
        <f t="shared" si="966"/>
        <v>2.06</v>
      </c>
      <c r="BV359" s="712">
        <f t="shared" si="967"/>
        <v>2.0677217825905871</v>
      </c>
      <c r="BW359" s="712">
        <f>IF(Sheet1!EM359="CWA",SUM(Sheet1!BC359:'Sheet1'!BF359),0)</f>
        <v>0</v>
      </c>
      <c r="BX359" s="712">
        <f>IF(OR(Sheet1!EM359="FM", Sheet1!EM359="OTHER"),SUM(Sheet1!BC359:'Sheet1'!BF359),0)</f>
        <v>0</v>
      </c>
      <c r="BY359" s="697">
        <f>IF(AND($B359&gt;=$FL359,$B359&lt;=$FM359),MAX(BV359,Sheet1!EF359,0),MAX(BV359-(7/36)*$K359,0))</f>
        <v>0</v>
      </c>
      <c r="BZ359" s="712">
        <f t="shared" si="968"/>
        <v>0</v>
      </c>
      <c r="CA359" s="697">
        <f t="shared" si="969"/>
        <v>2.0677217825905871</v>
      </c>
      <c r="CB359" s="697">
        <f>IF(AND($O359&gt;0,Sheet1!EJ359=1),(1-($O359-Sheet1!$L359)/$O359)*BV359,0)</f>
        <v>0</v>
      </c>
      <c r="CC359" s="697">
        <f>IF(AND(Sheet1!$L359=0,Sheet1!$L358=0, Calculation!BU359&lt;Sheet1!EF359-0.1,Sheet1!EF359=Sheet1!EF358,Sheet1!EF359=Sheet1!EF360),Sheet1!EF359,BV359-CB359)</f>
        <v>2.0677217825905871</v>
      </c>
      <c r="CD359" s="697"/>
      <c r="CE359" s="712"/>
      <c r="CF359" s="712">
        <f t="shared" si="970"/>
        <v>0</v>
      </c>
      <c r="CG359" s="712"/>
      <c r="CH359" s="712">
        <f ca="1">IF(B359&gt;Summary!$A$1,#N/A,CF359*MGtoAF)</f>
        <v>0</v>
      </c>
      <c r="CI359" s="712">
        <f>Sheet1!BK359+Sheet1!BL359+Sheet1!BM359-Sheet1!EN359-CQ359</f>
        <v>6.5500000000000007</v>
      </c>
      <c r="CJ359" s="712">
        <f t="shared" si="971"/>
        <v>6.5745522698875476</v>
      </c>
      <c r="CK359" s="712">
        <f>IF(Sheet1!EN359="FM",CQ359,0)</f>
        <v>0</v>
      </c>
      <c r="CL359" s="712">
        <f t="shared" si="972"/>
        <v>0</v>
      </c>
      <c r="CM359" s="712">
        <f>IF(Sheet1!EN359="OTHER",CQ359,0)</f>
        <v>0</v>
      </c>
      <c r="CN359" s="712">
        <f t="shared" si="973"/>
        <v>0</v>
      </c>
      <c r="CO359" s="712">
        <f t="shared" si="974"/>
        <v>6.5500000000000007</v>
      </c>
      <c r="CP359" s="712">
        <f t="shared" si="975"/>
        <v>6.5745522698875476</v>
      </c>
      <c r="CQ359" s="712">
        <f>IF(OR(Sheet1!EN359="FM", Sheet1!EN359="OTHER"),SUM(Sheet1!BK359:'Sheet1'!BM359),0)</f>
        <v>0</v>
      </c>
      <c r="CR359" s="697">
        <f>IF(AND($B359&gt;=$FL359,$B359&lt;=$FM359),MAX($CJ359,Sheet1!EG359,0),MAX($CJ359-(7/36)*$K359,0))</f>
        <v>0</v>
      </c>
      <c r="CS359" s="712">
        <f t="shared" si="976"/>
        <v>0</v>
      </c>
      <c r="CT359" s="697">
        <f t="shared" si="977"/>
        <v>6.5745522698875476</v>
      </c>
      <c r="CU359" s="697">
        <f>IF(AND($O359&gt;0,Sheet1!EK359=1),(1-($O359-Sheet1!$L359)/$O359)*CP359,0)</f>
        <v>0</v>
      </c>
      <c r="CV359" s="697">
        <f>IF(AND(Sheet1!$L359=0,Sheet1!$L358=0, Calculation!CO359&lt;Sheet1!$EG359-0.1,Sheet1!$EG359=Sheet1!$EG358,Sheet1!$EG359=Sheet1!$EG360),Sheet1!$EG359,CP359-CU359)</f>
        <v>6.5745522698875476</v>
      </c>
      <c r="CW359" s="697"/>
      <c r="CX359" s="712">
        <f t="shared" si="978"/>
        <v>8.6100000000000012</v>
      </c>
      <c r="CY359" s="712">
        <f t="shared" si="979"/>
        <v>0</v>
      </c>
      <c r="CZ359" s="712">
        <f t="shared" si="980"/>
        <v>8.6422740524781343</v>
      </c>
      <c r="DA359" s="712">
        <f ca="1">IF(B359&gt;Summary!$A$1,#N/A,CY359*MGtoAF)</f>
        <v>0</v>
      </c>
      <c r="DB359" s="712">
        <f t="shared" si="981"/>
        <v>8.6100000000000012</v>
      </c>
      <c r="DC359" s="712">
        <f t="shared" si="982"/>
        <v>24.01</v>
      </c>
      <c r="DD359" s="712">
        <f>Sheet1!AB359-DC359</f>
        <v>8.9999999999999858E-2</v>
      </c>
      <c r="DE359" s="712">
        <f t="shared" si="983"/>
        <v>3.7484381507705061E-3</v>
      </c>
      <c r="DF359" s="712">
        <f>(VLOOKUP(Sheet1!CY359,hhdcap_wcm,4)-(((VLOOKUP(Sheet1!CY359,hhdcap_wcm,3)-Sheet1!CY359)/(VLOOKUP(Sheet1!CY359,hhdcap_wcm,3)-VLOOKUP(Sheet1!CY359,hhdcap_wcm,1)))*(VLOOKUP(Sheet1!CY359,hhdcap_wcm,4)-VLOOKUP(Sheet1!CY359,hhdcap_wcm,2))))</f>
        <v>1940.1400000028077</v>
      </c>
      <c r="DG359" s="712">
        <f t="shared" si="984"/>
        <v>-70.560000000057244</v>
      </c>
      <c r="DH359" s="712">
        <f t="shared" si="985"/>
        <v>-35.582450832101479</v>
      </c>
      <c r="DI359" s="712">
        <f>Sheet1!DW359*AFtoMG</f>
        <v>0</v>
      </c>
      <c r="DJ359" s="712">
        <f>Sheet1!DX359*AFtoMG</f>
        <v>0</v>
      </c>
      <c r="DK359" s="712">
        <f>Sheet1!DY359*AFtoMG</f>
        <v>0</v>
      </c>
      <c r="DL359" s="712">
        <f>Sheet1!DZ359*AFtoMG</f>
        <v>0</v>
      </c>
      <c r="DM359" s="712">
        <f t="shared" si="986"/>
        <v>0</v>
      </c>
      <c r="DN359" s="712">
        <f t="shared" si="987"/>
        <v>0</v>
      </c>
      <c r="DO359" s="712">
        <f t="shared" si="988"/>
        <v>0</v>
      </c>
      <c r="DP359" s="712">
        <f t="shared" si="989"/>
        <v>0</v>
      </c>
      <c r="DQ359" s="712"/>
      <c r="DR359" s="697">
        <f>IF(OR(B359&lt;FL359,B359&gt;FM359),(MIN(AV359+BO359+CJ359+MAX(Sheet1!AA359+AG359-73,0),K359)),0)</f>
        <v>8.6422740524781343</v>
      </c>
      <c r="DS359" s="712"/>
      <c r="DT359" s="712">
        <f t="shared" si="990"/>
        <v>8.6422740524781343</v>
      </c>
      <c r="DU359" s="712"/>
      <c r="DV359" s="712">
        <f>Sheet1!ED359+Sheet1!EE359+Sheet1!EF359+Sheet1!EG359</f>
        <v>8.5</v>
      </c>
      <c r="DW359" s="712"/>
      <c r="DX359" s="697">
        <f t="shared" si="991"/>
        <v>0</v>
      </c>
      <c r="DY359" s="712">
        <f>IF(Sheet1!FN359=1,SUM('Calculations II'!AT359:BA359)+'Calculations II'!BC359+Sheet1!BU359+'Calculations II'!BE359+AF359,SUM('Calculations II'!AT359:BA359)+'Calculations II'!BC359+Sheet1!BU359+'Calculations II'!BE359+AF359)</f>
        <v>43.888432000000002</v>
      </c>
      <c r="DZ359" s="712">
        <f>Sheet1!AA359+Sheet1!AB359+'Calculations II'!BC359</f>
        <v>51.300000000011643</v>
      </c>
      <c r="EA359" s="712"/>
      <c r="EB359" s="712"/>
      <c r="EC359" s="712">
        <f t="shared" si="992"/>
        <v>40888</v>
      </c>
      <c r="ED359" s="712">
        <f t="shared" si="993"/>
        <v>0</v>
      </c>
      <c r="EE359" s="712">
        <f t="shared" si="994"/>
        <v>0</v>
      </c>
      <c r="EF359" s="712">
        <f ca="1">IF(B359=TODAY(),0,-(VLOOKUP(Sheet1!BQ359,Lookup!$B$4:$J$236,2)-VLOOKUP(Sheet1!BQ358,Lookup!$B$4:$J$236,2))/1000000)</f>
        <v>2.6947999999999999</v>
      </c>
      <c r="EG359" s="712">
        <f ca="1">IF(B359=TODAY(),0,-(VLOOKUP(Sheet1!BR359,Lookup!$B$4:$J$236,3)-VLOOKUP(Sheet1!BR358,Lookup!$B$4:$J$236,3))/1000000)</f>
        <v>2.6894</v>
      </c>
      <c r="EH359" s="712">
        <f>-(VLOOKUP(Sheet1!BS359,Lookup!$B$4:$J$236,4)-VLOOKUP(Sheet1!BS358,Lookup!$B$4:$J$236,4))/1000000</f>
        <v>0</v>
      </c>
      <c r="EI359" s="697">
        <f t="shared" ca="1" si="922"/>
        <v>5.3841999999999999</v>
      </c>
      <c r="EJ359" s="712"/>
      <c r="EK359" s="712"/>
      <c r="EL359" s="712"/>
      <c r="EM359" s="712"/>
      <c r="EN359" s="712"/>
      <c r="EO359" s="712"/>
      <c r="EP359" s="712"/>
      <c r="EQ359" s="712"/>
      <c r="ER359" s="712"/>
      <c r="ES359" s="712"/>
      <c r="ET359" s="794" t="e">
        <f t="shared" si="919"/>
        <v>#N/A</v>
      </c>
      <c r="EU359" s="794" t="e">
        <f t="shared" si="924"/>
        <v>#N/A</v>
      </c>
      <c r="EV359" s="795" t="e">
        <f t="shared" si="925"/>
        <v>#N/A</v>
      </c>
      <c r="EW359" s="796" t="s">
        <v>757</v>
      </c>
      <c r="EX359" s="796" t="s">
        <v>757</v>
      </c>
      <c r="EY359" s="794" t="e">
        <v>#N/A</v>
      </c>
      <c r="EZ359" s="794" t="e">
        <v>#N/A</v>
      </c>
      <c r="FA359" s="712"/>
      <c r="FB359" s="712"/>
      <c r="FC359" s="712"/>
      <c r="FD359" s="712"/>
      <c r="FE359" s="712">
        <f>O359+Sheet1!CO359</f>
        <v>51.300000000011643</v>
      </c>
      <c r="FF359" s="712">
        <f>IF(Sheet1!AA359+AG359&lt;=Calculation!N359,AG359,Calculation!N359-Sheet1!AA359)</f>
        <v>15.457725947521865</v>
      </c>
      <c r="FG359" s="712">
        <f>(Sheet1!BP359+Sheet1!BO359)/694.4</f>
        <v>1.8294930875576039</v>
      </c>
      <c r="FH359" s="712"/>
      <c r="FI359" s="712"/>
      <c r="FJ359" s="712"/>
      <c r="FK359" s="712"/>
      <c r="FL359" s="714">
        <f t="shared" si="929"/>
        <v>40753</v>
      </c>
      <c r="FM359" s="714">
        <f t="shared" si="930"/>
        <v>40851</v>
      </c>
      <c r="FN359" s="712"/>
      <c r="FO359" s="712"/>
      <c r="FP359" s="712"/>
      <c r="FQ359" s="712"/>
      <c r="FR359" s="712"/>
      <c r="FS359" s="725">
        <f t="shared" si="935"/>
        <v>40603</v>
      </c>
      <c r="FT359" s="714">
        <f t="shared" si="932"/>
        <v>40709</v>
      </c>
      <c r="FU359" s="712">
        <f t="shared" si="935"/>
        <v>6518.9048239895692</v>
      </c>
      <c r="FV359" s="714">
        <f t="shared" si="933"/>
        <v>40722</v>
      </c>
      <c r="FW359" s="712">
        <f t="shared" si="935"/>
        <v>3259.4524119947846</v>
      </c>
      <c r="FX359" s="725">
        <f t="shared" si="935"/>
        <v>40851</v>
      </c>
      <c r="FZ359" s="697">
        <f t="shared" si="926"/>
        <v>0</v>
      </c>
      <c r="GA359" s="712" t="str">
        <f t="shared" si="995"/>
        <v/>
      </c>
      <c r="GB359" s="712">
        <f t="shared" si="996"/>
        <v>0</v>
      </c>
      <c r="GC359" s="712" t="str">
        <f t="shared" si="997"/>
        <v/>
      </c>
      <c r="GD359" s="712">
        <f>IF(GA359="P",Lookup!$M$12,IF(GA359="PP",Lookup!$M$13,IF(GA359="PPP",Lookup!$M$14,IF(GA359="T",Lookup!$M$15,IF(GA359="TP",Lookup!$M$16,IF(GA359="TPP",Lookup!$M$17,IF(GA359="TPPP",Lookup!$M$18,0)))))))*FZ359</f>
        <v>0</v>
      </c>
      <c r="GE359" s="712">
        <f t="shared" si="998"/>
        <v>0</v>
      </c>
      <c r="GF359" s="712">
        <f t="shared" si="999"/>
        <v>0</v>
      </c>
      <c r="GG359" s="712">
        <f t="shared" si="1000"/>
        <v>0</v>
      </c>
      <c r="GH359" s="712"/>
      <c r="GI359" s="712">
        <f t="shared" si="1001"/>
        <v>0</v>
      </c>
      <c r="GJ359" s="712" t="str">
        <f t="shared" si="1002"/>
        <v/>
      </c>
      <c r="GK359" s="712">
        <f>IF(GA359="P",Lookup!$N$12,IF(GA359="PP",Lookup!$N$13,IF(GA359="PPP",Lookup!$N$14,IF(GA359="T",Lookup!$N$15,IF(GA359="TP",Lookup!$N$16,IF(GA359="TPP",Lookup!$N$17,IF(GA359="TPPP",Lookup!$N$18,0)))))))*FZ359</f>
        <v>0</v>
      </c>
      <c r="GL359" s="712">
        <f t="shared" si="1003"/>
        <v>0</v>
      </c>
      <c r="GM359" s="712">
        <f t="shared" si="1004"/>
        <v>0</v>
      </c>
      <c r="GN359" s="712">
        <f t="shared" si="1005"/>
        <v>0</v>
      </c>
      <c r="GO359" s="712"/>
      <c r="GP359" s="712">
        <f t="shared" si="1006"/>
        <v>0</v>
      </c>
      <c r="GQ359" s="712" t="str">
        <f t="shared" si="1007"/>
        <v/>
      </c>
      <c r="GR359" s="712">
        <f>IF(GA359="P",Lookup!$N$12,IF(GA359="PP",Lookup!$N$13,IF(GA359="PPP",Lookup!$N$14,IF(GA359="T",Lookup!$N$15,IF(GA359="TP",Lookup!$N$16,IF(GA359="TPP",Lookup!$N$17,IF(GA359="TPPP",Lookup!$N$18,0)))))))*FZ359</f>
        <v>0</v>
      </c>
      <c r="GS359" s="697">
        <f t="shared" si="927"/>
        <v>0</v>
      </c>
      <c r="GT359" s="712">
        <f t="shared" si="1008"/>
        <v>0</v>
      </c>
      <c r="GU359" s="712">
        <f t="shared" si="1009"/>
        <v>0</v>
      </c>
      <c r="GV359" s="712"/>
      <c r="GW359" s="712">
        <f t="shared" si="1010"/>
        <v>0</v>
      </c>
      <c r="GX359" s="712" t="str">
        <f t="shared" si="1011"/>
        <v/>
      </c>
      <c r="GY359" s="712">
        <f>IF(GA359="P",Lookup!$N$12,IF(GA359="PP",Lookup!$N$13,IF(GA359="PPP",Lookup!$N$14,IF(GA359="T",Lookup!$N$15,IF(GA359="TP",Lookup!$N$16,IF(GA359="TPP",Lookup!$N$17,IF(GA359="TPPP",Lookup!$N$18,0)))))))*FZ359</f>
        <v>0</v>
      </c>
      <c r="GZ359" s="697">
        <f t="shared" si="928"/>
        <v>0</v>
      </c>
      <c r="HA359" s="712">
        <f t="shared" si="1012"/>
        <v>0</v>
      </c>
      <c r="HB359" s="712">
        <f t="shared" si="1013"/>
        <v>0</v>
      </c>
      <c r="HC359" s="712"/>
    </row>
    <row r="360" spans="1:211">
      <c r="A360" s="773" t="s">
        <v>4</v>
      </c>
      <c r="B360" s="708">
        <v>40889</v>
      </c>
      <c r="C360" s="719">
        <v>0.5</v>
      </c>
      <c r="D360" s="675">
        <f t="shared" si="936"/>
        <v>300</v>
      </c>
      <c r="E360" s="675">
        <f t="shared" si="937"/>
        <v>250</v>
      </c>
      <c r="F360" s="675">
        <v>250</v>
      </c>
      <c r="G360" s="712">
        <f>DH360+Sheet1!CV360</f>
        <v>509.24697428129082</v>
      </c>
      <c r="H360" s="712">
        <f t="shared" si="938"/>
        <v>62.21404417542638</v>
      </c>
      <c r="I360" s="711">
        <f>MAX(Sheet1!Z360-AJ360+(Sheet1!CW360-E360)*CFStoMGD,0)</f>
        <v>375.571561875322</v>
      </c>
      <c r="J360" s="720">
        <f>IF(AND(B360&gt;=Calculation!FS360,B360&lt;=Calculation!FT360),IF(Sheet1!CX360&gt;=Calculation!D360,64.64,0),MAX(Sheet1!Z360-AJ360+(Sheet1!CX360-D360)*CFStoMGD,0))</f>
        <v>156.53622854198863</v>
      </c>
      <c r="K360" s="697">
        <f t="shared" si="939"/>
        <v>62.21404417542638</v>
      </c>
      <c r="L360" s="712">
        <f>Sheet1!AA360+Sheet1!AB360-Sheet1!L360+(Sheet1!CW360-F360)*CFStoMGD</f>
        <v>424.03426666666087</v>
      </c>
      <c r="M360" s="712">
        <f t="shared" si="940"/>
        <v>335.7607890589349</v>
      </c>
      <c r="N360" s="712">
        <f>IF(Sheet1!CW360&gt;=F360,MIN(73,MIN(MAX(L360,0),MAX(M360,0))),0)</f>
        <v>73</v>
      </c>
      <c r="O360" s="721">
        <f>Sheet1!AA360+Sheet1!AB360</f>
        <v>54.279999999994175</v>
      </c>
      <c r="P360" s="721">
        <f t="shared" si="941"/>
        <v>83.971159999990988</v>
      </c>
      <c r="Q360" s="712">
        <f>MIN(N360,Sheet1!AA360+AG360)</f>
        <v>45.202704791338846</v>
      </c>
      <c r="R360" s="712">
        <f t="shared" si="942"/>
        <v>9.0772952086553325</v>
      </c>
      <c r="S360" s="721">
        <f>Sheet1!Y360*MGDtoCFS</f>
        <v>42.356859999999998</v>
      </c>
      <c r="T360" s="721">
        <f>Sheet1!Z360*MGDtoCFS</f>
        <v>37.313639999999999</v>
      </c>
      <c r="U360" s="721">
        <f>Sheet1!AA360*MGDtoCFS</f>
        <v>41.61429999999099</v>
      </c>
      <c r="V360" s="721">
        <f>Sheet1!AB360*MGDtoCFS</f>
        <v>42.356859999999998</v>
      </c>
      <c r="W360" s="721">
        <f>Sheet1!L360*MGDtoCFS</f>
        <v>0</v>
      </c>
      <c r="X360" s="697">
        <f t="shared" si="943"/>
        <v>0</v>
      </c>
      <c r="Y360" s="712">
        <f t="shared" si="944"/>
        <v>0</v>
      </c>
      <c r="Z360" s="712">
        <f t="shared" si="945"/>
        <v>0</v>
      </c>
      <c r="AA360" s="712">
        <f t="shared" si="946"/>
        <v>0</v>
      </c>
      <c r="AB360" s="712">
        <f>(VLOOKUP(Sheet1!CY360,hhdcap_wcm,4)-(((VLOOKUP(Sheet1!CY360,hhdcap_wcm,3)-Sheet1!CY360)/(VLOOKUP(Sheet1!CY360,hhdcap_wcm,3)-VLOOKUP(Sheet1!CY360,hhdcap_wcm,1)))*(VLOOKUP(Sheet1!CY360,hhdcap_wcm,4)-VLOOKUP(Sheet1!CY360,hhdcap_wcm,2))))</f>
        <v>1825.1200000026074</v>
      </c>
      <c r="AC360" s="712">
        <f t="shared" si="947"/>
        <v>-115.0200000002003</v>
      </c>
      <c r="AD360" s="712">
        <f t="shared" si="948"/>
        <v>0</v>
      </c>
      <c r="AE360" s="712">
        <f t="shared" si="949"/>
        <v>0</v>
      </c>
      <c r="AF360" s="712">
        <f>Sheet1!BA360+Sheet1!BB360+Sheet1!BN360+BT360</f>
        <v>17.3</v>
      </c>
      <c r="AG360" s="712">
        <f t="shared" si="950"/>
        <v>18.302704791344667</v>
      </c>
      <c r="AH360" s="712">
        <f>Sheet1!BA360+BT360</f>
        <v>0</v>
      </c>
      <c r="AI360" s="712">
        <f>Sheet1!BA360+Sheet1!BB360+BT360</f>
        <v>0</v>
      </c>
      <c r="AJ360" s="712">
        <f>IF((Sheet1!AA360+AG360+AX360+AZ360+BQ360+BS360+CL360+CN360)&lt;=N360,AG360+AX360+AZ360+BQ360+BS360+CL360+CN360,N360-Sheet1!AA360)</f>
        <v>18.302704791344667</v>
      </c>
      <c r="AK360" s="712">
        <f>IF(DR360&lt;K360,0,MAX(Sheet1!AA360+AG360-15/36*K360-N360,Sheet1!ED360,0))</f>
        <v>0</v>
      </c>
      <c r="AL360" s="712">
        <f>IF(OR(B360&gt;=FT360,B360&lt;FS360),0,15/36*K360-MAX(0,64.6-(137.6-(Sheet1!AA360+Sheet1!AB360))))</f>
        <v>0</v>
      </c>
      <c r="AM360" s="712">
        <f>Sheet1!CX360-110</f>
        <v>423.16666666666663</v>
      </c>
      <c r="AN360" s="712">
        <f>Sheet1!CW360-265</f>
        <v>557.02083333333337</v>
      </c>
      <c r="AO360" s="712">
        <f t="shared" si="934"/>
        <v>27.797295208661154</v>
      </c>
      <c r="AP360" s="712">
        <f t="shared" si="951"/>
        <v>0</v>
      </c>
      <c r="AQ360" s="712">
        <f t="shared" si="952"/>
        <v>0</v>
      </c>
      <c r="AR360" s="712">
        <f t="shared" si="953"/>
        <v>0</v>
      </c>
      <c r="AS360" s="712"/>
      <c r="AT360" s="712">
        <f ca="1">IF(B360&gt;Summary!$A$1,#N/A,AR360*MGtoAF)</f>
        <v>0</v>
      </c>
      <c r="AU360" s="712">
        <f>Sheet1!BG360+Sheet1!BH360+Sheet1!BI360-BC360</f>
        <v>0</v>
      </c>
      <c r="AV360" s="712">
        <f t="shared" si="954"/>
        <v>0</v>
      </c>
      <c r="AW360" s="712">
        <f>IF(Sheet1!EL360="FM",BC360,0)</f>
        <v>0</v>
      </c>
      <c r="AX360" s="712">
        <f t="shared" si="955"/>
        <v>0</v>
      </c>
      <c r="AY360" s="712">
        <f>IF(Sheet1!EL360="OTHER",BC360,0)</f>
        <v>0</v>
      </c>
      <c r="AZ360" s="712">
        <f t="shared" si="956"/>
        <v>0</v>
      </c>
      <c r="BA360" s="712">
        <f t="shared" si="957"/>
        <v>0</v>
      </c>
      <c r="BB360" s="712">
        <f t="shared" si="958"/>
        <v>0</v>
      </c>
      <c r="BC360" s="712">
        <f>IF(OR(Sheet1!EL360="FM", Sheet1!EL360="OTHER"),SUM(Sheet1!BG360:'Sheet1'!BI360),0)</f>
        <v>0</v>
      </c>
      <c r="BD360" s="697">
        <f>IF(AND($B360&gt;=$FL360,$B360&lt;=$FM360),MAX(AV360,Sheet1!EE360,0),MAX(AV360-(7/36)*$K360,0))</f>
        <v>0</v>
      </c>
      <c r="BE360" s="712">
        <f t="shared" si="959"/>
        <v>0</v>
      </c>
      <c r="BF360" s="697">
        <f t="shared" si="960"/>
        <v>0</v>
      </c>
      <c r="BG360" s="697">
        <f>IF(AND($O360&gt;0,Sheet1!EI360=1),(1-($O360-Sheet1!$L360)/$O360)*BB360,0)</f>
        <v>0</v>
      </c>
      <c r="BH360" s="697">
        <f>IF(AND(Sheet1!$L360=0,Sheet1!$L359=0, Calculation!BA360&lt;Sheet1!$EE360-0.1,Sheet1!$EE360=Sheet1!$EE359,Sheet1!$EE360=Sheet1!$EE361),Sheet1!$EE360,BB360-BG360)</f>
        <v>0</v>
      </c>
      <c r="BI360" s="712"/>
      <c r="BJ360" s="712"/>
      <c r="BK360" s="712">
        <f t="shared" si="961"/>
        <v>0</v>
      </c>
      <c r="BL360" s="712"/>
      <c r="BM360" s="712">
        <f ca="1">IF(B360&gt;Summary!$A$1,#N/A,BK360*MGtoAF)</f>
        <v>0</v>
      </c>
      <c r="BN360" s="712">
        <f>Sheet1!BC360+Sheet1!BD360+Sheet1!BE360+Sheet1!BF360-BW360-BX360</f>
        <v>2.0100000000000002</v>
      </c>
      <c r="BO360" s="712">
        <f t="shared" si="962"/>
        <v>2.1264992272024728</v>
      </c>
      <c r="BP360" s="712">
        <f>IF(Sheet1!EM360="FM",BX360,0)</f>
        <v>0</v>
      </c>
      <c r="BQ360" s="712">
        <f t="shared" si="963"/>
        <v>0</v>
      </c>
      <c r="BR360" s="712">
        <f>IF(Sheet1!EM360="OTHER",BX360,0)</f>
        <v>0</v>
      </c>
      <c r="BS360" s="712">
        <f t="shared" si="964"/>
        <v>0</v>
      </c>
      <c r="BT360" s="712">
        <f t="shared" si="965"/>
        <v>0</v>
      </c>
      <c r="BU360" s="712">
        <f t="shared" si="966"/>
        <v>2.0100000000000002</v>
      </c>
      <c r="BV360" s="712">
        <f t="shared" si="967"/>
        <v>2.1264992272024728</v>
      </c>
      <c r="BW360" s="712">
        <f>IF(Sheet1!EM360="CWA",SUM(Sheet1!BC360:'Sheet1'!BF360),0)</f>
        <v>0</v>
      </c>
      <c r="BX360" s="712">
        <f>IF(OR(Sheet1!EM360="FM", Sheet1!EM360="OTHER"),SUM(Sheet1!BC360:'Sheet1'!BF360),0)</f>
        <v>0</v>
      </c>
      <c r="BY360" s="697">
        <f>IF(AND($B360&gt;=$FL360,$B360&lt;=$FM360),MAX(BV360,Sheet1!EF360,0),MAX(BV360-(7/36)*$K360,0))</f>
        <v>0</v>
      </c>
      <c r="BZ360" s="712">
        <f t="shared" si="968"/>
        <v>0</v>
      </c>
      <c r="CA360" s="697">
        <f t="shared" si="969"/>
        <v>2.1264992272024728</v>
      </c>
      <c r="CB360" s="697">
        <f>IF(AND($O360&gt;0,Sheet1!EJ360=1),(1-($O360-Sheet1!$L360)/$O360)*BV360,0)</f>
        <v>0</v>
      </c>
      <c r="CC360" s="697">
        <f>IF(AND(Sheet1!$L360=0,Sheet1!$L359=0, Calculation!BU360&lt;Sheet1!EF360-0.1,Sheet1!EF360=Sheet1!EF359,Sheet1!EF360=Sheet1!EF361),Sheet1!EF360,BV360-CB360)</f>
        <v>2.1264992272024728</v>
      </c>
      <c r="CD360" s="697"/>
      <c r="CE360" s="712"/>
      <c r="CF360" s="712">
        <f t="shared" si="970"/>
        <v>0</v>
      </c>
      <c r="CG360" s="712"/>
      <c r="CH360" s="712">
        <f ca="1">IF(B360&gt;Summary!$A$1,#N/A,CF360*MGtoAF)</f>
        <v>0</v>
      </c>
      <c r="CI360" s="712">
        <f>Sheet1!BK360+Sheet1!BL360+Sheet1!BM360-Sheet1!EN360-CQ360</f>
        <v>6.57</v>
      </c>
      <c r="CJ360" s="712">
        <f t="shared" si="971"/>
        <v>6.9507959814528588</v>
      </c>
      <c r="CK360" s="712">
        <f>IF(Sheet1!EN360="FM",CQ360,0)</f>
        <v>0</v>
      </c>
      <c r="CL360" s="712">
        <f t="shared" si="972"/>
        <v>0</v>
      </c>
      <c r="CM360" s="712">
        <f>IF(Sheet1!EN360="OTHER",CQ360,0)</f>
        <v>0</v>
      </c>
      <c r="CN360" s="712">
        <f t="shared" si="973"/>
        <v>0</v>
      </c>
      <c r="CO360" s="712">
        <f t="shared" si="974"/>
        <v>6.57</v>
      </c>
      <c r="CP360" s="712">
        <f t="shared" si="975"/>
        <v>6.9507959814528588</v>
      </c>
      <c r="CQ360" s="712">
        <f>IF(OR(Sheet1!EN360="FM", Sheet1!EN360="OTHER"),SUM(Sheet1!BK360:'Sheet1'!BM360),0)</f>
        <v>0</v>
      </c>
      <c r="CR360" s="697">
        <f>IF(AND($B360&gt;=$FL360,$B360&lt;=$FM360),MAX($CJ360,Sheet1!EG360,0),MAX($CJ360-(7/36)*$K360,0))</f>
        <v>0</v>
      </c>
      <c r="CS360" s="712">
        <f t="shared" si="976"/>
        <v>0</v>
      </c>
      <c r="CT360" s="697">
        <f t="shared" si="977"/>
        <v>6.9507959814528588</v>
      </c>
      <c r="CU360" s="697">
        <f>IF(AND($O360&gt;0,Sheet1!EK360=1),(1-($O360-Sheet1!$L360)/$O360)*CP360,0)</f>
        <v>0</v>
      </c>
      <c r="CV360" s="697">
        <f>IF(AND(Sheet1!$L360=0,Sheet1!$L359=0, Calculation!CO360&lt;Sheet1!$EG360-0.1,Sheet1!$EG360=Sheet1!$EG359,Sheet1!$EG360=Sheet1!$EG361),Sheet1!$EG360,CP360-CU360)</f>
        <v>6.9507959814528588</v>
      </c>
      <c r="CW360" s="697"/>
      <c r="CX360" s="712">
        <f t="shared" si="978"/>
        <v>8.58</v>
      </c>
      <c r="CY360" s="712">
        <f t="shared" si="979"/>
        <v>0</v>
      </c>
      <c r="CZ360" s="712">
        <f t="shared" si="980"/>
        <v>9.0772952086553325</v>
      </c>
      <c r="DA360" s="712">
        <f ca="1">IF(B360&gt;Summary!$A$1,#N/A,CY360*MGtoAF)</f>
        <v>0</v>
      </c>
      <c r="DB360" s="712">
        <f t="shared" si="981"/>
        <v>8.58</v>
      </c>
      <c r="DC360" s="712">
        <f t="shared" si="982"/>
        <v>25.880000000000003</v>
      </c>
      <c r="DD360" s="712">
        <f>Sheet1!AB360-DC360</f>
        <v>1.4999999999999964</v>
      </c>
      <c r="DE360" s="712">
        <f t="shared" si="983"/>
        <v>5.7959814528593369E-2</v>
      </c>
      <c r="DF360" s="712">
        <f>(VLOOKUP(Sheet1!CY360,hhdcap_wcm,4)-(((VLOOKUP(Sheet1!CY360,hhdcap_wcm,3)-Sheet1!CY360)/(VLOOKUP(Sheet1!CY360,hhdcap_wcm,3)-VLOOKUP(Sheet1!CY360,hhdcap_wcm,1)))*(VLOOKUP(Sheet1!CY360,hhdcap_wcm,4)-VLOOKUP(Sheet1!CY360,hhdcap_wcm,2))))</f>
        <v>1825.1200000026074</v>
      </c>
      <c r="DG360" s="712">
        <f t="shared" si="984"/>
        <v>-115.0200000002003</v>
      </c>
      <c r="DH360" s="712">
        <f t="shared" si="985"/>
        <v>-58.003025718709168</v>
      </c>
      <c r="DI360" s="712">
        <f>Sheet1!DW360*AFtoMG</f>
        <v>0</v>
      </c>
      <c r="DJ360" s="712">
        <f>Sheet1!DX360*AFtoMG</f>
        <v>0</v>
      </c>
      <c r="DK360" s="712">
        <f>Sheet1!DY360*AFtoMG</f>
        <v>0</v>
      </c>
      <c r="DL360" s="712">
        <f>Sheet1!DZ360*AFtoMG</f>
        <v>0</v>
      </c>
      <c r="DM360" s="712">
        <f t="shared" si="986"/>
        <v>0</v>
      </c>
      <c r="DN360" s="712">
        <f t="shared" si="987"/>
        <v>0</v>
      </c>
      <c r="DO360" s="712">
        <f t="shared" si="988"/>
        <v>0</v>
      </c>
      <c r="DP360" s="712">
        <f t="shared" si="989"/>
        <v>0</v>
      </c>
      <c r="DQ360" s="712"/>
      <c r="DR360" s="697">
        <f>IF(OR(B360&lt;FL360,B360&gt;FM360),(MIN(AV360+BO360+CJ360+MAX(Sheet1!AA360+AG360-73,0),K360)),0)</f>
        <v>9.0772952086553325</v>
      </c>
      <c r="DS360" s="712"/>
      <c r="DT360" s="712">
        <f t="shared" si="990"/>
        <v>9.0772952086553325</v>
      </c>
      <c r="DU360" s="712"/>
      <c r="DV360" s="712">
        <f>Sheet1!ED360+Sheet1!EE360+Sheet1!EF360+Sheet1!EG360</f>
        <v>8.5</v>
      </c>
      <c r="DW360" s="712"/>
      <c r="DX360" s="697">
        <f t="shared" si="991"/>
        <v>0</v>
      </c>
      <c r="DY360" s="712">
        <f>IF(Sheet1!FN360=1,SUM('Calculations II'!AT360:BA360)+'Calculations II'!BC360+Sheet1!BU360+'Calculations II'!BE360+AF360,SUM('Calculations II'!AT360:BA360)+'Calculations II'!BC360+Sheet1!BU360+'Calculations II'!BE360+AF360)</f>
        <v>41.989424</v>
      </c>
      <c r="DZ360" s="712">
        <f>Sheet1!AA360+Sheet1!AB360+'Calculations II'!BC360</f>
        <v>54.279999999994175</v>
      </c>
      <c r="EA360" s="712"/>
      <c r="EB360" s="712"/>
      <c r="EC360" s="712">
        <f t="shared" si="992"/>
        <v>40889</v>
      </c>
      <c r="ED360" s="712">
        <f t="shared" si="993"/>
        <v>0</v>
      </c>
      <c r="EE360" s="712">
        <f t="shared" si="994"/>
        <v>0</v>
      </c>
      <c r="EF360" s="712">
        <f ca="1">IF(B360=TODAY(),0,-(VLOOKUP(Sheet1!BQ360,Lookup!$B$4:$J$236,2)-VLOOKUP(Sheet1!BQ359,Lookup!$B$4:$J$236,2))/1000000)</f>
        <v>0.53420000000000001</v>
      </c>
      <c r="EG360" s="712">
        <f ca="1">IF(B360=TODAY(),0,-(VLOOKUP(Sheet1!BR360,Lookup!$B$4:$J$236,3)-VLOOKUP(Sheet1!BR359,Lookup!$B$4:$J$236,3))/1000000)</f>
        <v>0.53359999999999996</v>
      </c>
      <c r="EH360" s="712">
        <f>-(VLOOKUP(Sheet1!BS360,Lookup!$B$4:$J$236,4)-VLOOKUP(Sheet1!BS359,Lookup!$B$4:$J$236,4))/1000000</f>
        <v>0</v>
      </c>
      <c r="EI360" s="697">
        <f t="shared" ca="1" si="922"/>
        <v>1.0678000000000001</v>
      </c>
      <c r="EJ360" s="712"/>
      <c r="EK360" s="712"/>
      <c r="EL360" s="712"/>
      <c r="EM360" s="712"/>
      <c r="EN360" s="712"/>
      <c r="EO360" s="712"/>
      <c r="EP360" s="712"/>
      <c r="EQ360" s="712"/>
      <c r="ER360" s="712"/>
      <c r="ES360" s="712"/>
      <c r="ET360" s="794" t="e">
        <f t="shared" si="919"/>
        <v>#N/A</v>
      </c>
      <c r="EU360" s="794" t="e">
        <f t="shared" si="924"/>
        <v>#N/A</v>
      </c>
      <c r="EV360" s="795" t="e">
        <f t="shared" si="925"/>
        <v>#N/A</v>
      </c>
      <c r="EW360" s="796" t="s">
        <v>757</v>
      </c>
      <c r="EX360" s="796" t="s">
        <v>757</v>
      </c>
      <c r="EY360" s="794" t="e">
        <v>#N/A</v>
      </c>
      <c r="EZ360" s="794" t="e">
        <v>#N/A</v>
      </c>
      <c r="FA360" s="712"/>
      <c r="FB360" s="712"/>
      <c r="FC360" s="712"/>
      <c r="FD360" s="712"/>
      <c r="FE360" s="712">
        <f>O360+Sheet1!CO360</f>
        <v>54.279999999994175</v>
      </c>
      <c r="FF360" s="712">
        <f>IF(Sheet1!AA360+AG360&lt;=Calculation!N360,AG360,Calculation!N360-Sheet1!AA360)</f>
        <v>18.302704791344667</v>
      </c>
      <c r="FG360" s="712">
        <f>(Sheet1!BP360+Sheet1!BO360)/694.4</f>
        <v>2.0452188940092166</v>
      </c>
      <c r="FH360" s="712"/>
      <c r="FI360" s="712"/>
      <c r="FJ360" s="712"/>
      <c r="FK360" s="712"/>
      <c r="FL360" s="714">
        <f t="shared" si="929"/>
        <v>40753</v>
      </c>
      <c r="FM360" s="714">
        <f t="shared" si="930"/>
        <v>40851</v>
      </c>
      <c r="FN360" s="712"/>
      <c r="FO360" s="712"/>
      <c r="FP360" s="712"/>
      <c r="FQ360" s="712"/>
      <c r="FR360" s="712"/>
      <c r="FS360" s="725">
        <f t="shared" si="935"/>
        <v>40603</v>
      </c>
      <c r="FT360" s="714">
        <f t="shared" si="932"/>
        <v>40709</v>
      </c>
      <c r="FU360" s="712">
        <f t="shared" si="935"/>
        <v>6518.9048239895692</v>
      </c>
      <c r="FV360" s="714">
        <f t="shared" si="933"/>
        <v>40722</v>
      </c>
      <c r="FW360" s="712">
        <f t="shared" si="935"/>
        <v>3259.4524119947846</v>
      </c>
      <c r="FX360" s="725">
        <f t="shared" si="935"/>
        <v>40851</v>
      </c>
      <c r="FZ360" s="697">
        <f t="shared" si="926"/>
        <v>0</v>
      </c>
      <c r="GA360" s="712" t="str">
        <f t="shared" si="995"/>
        <v/>
      </c>
      <c r="GB360" s="712">
        <f t="shared" si="996"/>
        <v>0</v>
      </c>
      <c r="GC360" s="712" t="str">
        <f t="shared" si="997"/>
        <v/>
      </c>
      <c r="GD360" s="712">
        <f>IF(GA360="P",Lookup!$M$12,IF(GA360="PP",Lookup!$M$13,IF(GA360="PPP",Lookup!$M$14,IF(GA360="T",Lookup!$M$15,IF(GA360="TP",Lookup!$M$16,IF(GA360="TPP",Lookup!$M$17,IF(GA360="TPPP",Lookup!$M$18,0)))))))*FZ360</f>
        <v>0</v>
      </c>
      <c r="GE360" s="712">
        <f t="shared" si="998"/>
        <v>0</v>
      </c>
      <c r="GF360" s="712">
        <f t="shared" si="999"/>
        <v>0</v>
      </c>
      <c r="GG360" s="712">
        <f t="shared" si="1000"/>
        <v>0</v>
      </c>
      <c r="GH360" s="712"/>
      <c r="GI360" s="712">
        <f t="shared" si="1001"/>
        <v>0</v>
      </c>
      <c r="GJ360" s="712" t="str">
        <f t="shared" si="1002"/>
        <v/>
      </c>
      <c r="GK360" s="712">
        <f>IF(GA360="P",Lookup!$N$12,IF(GA360="PP",Lookup!$N$13,IF(GA360="PPP",Lookup!$N$14,IF(GA360="T",Lookup!$N$15,IF(GA360="TP",Lookup!$N$16,IF(GA360="TPP",Lookup!$N$17,IF(GA360="TPPP",Lookup!$N$18,0)))))))*FZ360</f>
        <v>0</v>
      </c>
      <c r="GL360" s="712">
        <f t="shared" si="1003"/>
        <v>0</v>
      </c>
      <c r="GM360" s="712">
        <f t="shared" si="1004"/>
        <v>0</v>
      </c>
      <c r="GN360" s="712">
        <f t="shared" si="1005"/>
        <v>0</v>
      </c>
      <c r="GO360" s="712"/>
      <c r="GP360" s="712">
        <f t="shared" si="1006"/>
        <v>0</v>
      </c>
      <c r="GQ360" s="712" t="str">
        <f t="shared" si="1007"/>
        <v/>
      </c>
      <c r="GR360" s="712">
        <f>IF(GA360="P",Lookup!$N$12,IF(GA360="PP",Lookup!$N$13,IF(GA360="PPP",Lookup!$N$14,IF(GA360="T",Lookup!$N$15,IF(GA360="TP",Lookup!$N$16,IF(GA360="TPP",Lookup!$N$17,IF(GA360="TPPP",Lookup!$N$18,0)))))))*FZ360</f>
        <v>0</v>
      </c>
      <c r="GS360" s="697">
        <f t="shared" si="927"/>
        <v>0</v>
      </c>
      <c r="GT360" s="712">
        <f t="shared" si="1008"/>
        <v>0</v>
      </c>
      <c r="GU360" s="712">
        <f t="shared" si="1009"/>
        <v>0</v>
      </c>
      <c r="GV360" s="712"/>
      <c r="GW360" s="712">
        <f t="shared" si="1010"/>
        <v>0</v>
      </c>
      <c r="GX360" s="712" t="str">
        <f t="shared" si="1011"/>
        <v/>
      </c>
      <c r="GY360" s="712">
        <f>IF(GA360="P",Lookup!$N$12,IF(GA360="PP",Lookup!$N$13,IF(GA360="PPP",Lookup!$N$14,IF(GA360="T",Lookup!$N$15,IF(GA360="TP",Lookup!$N$16,IF(GA360="TPP",Lookup!$N$17,IF(GA360="TPPP",Lookup!$N$18,0)))))))*FZ360</f>
        <v>0</v>
      </c>
      <c r="GZ360" s="697">
        <f t="shared" si="928"/>
        <v>0</v>
      </c>
      <c r="HA360" s="712">
        <f t="shared" si="1012"/>
        <v>0</v>
      </c>
      <c r="HB360" s="712">
        <f t="shared" si="1013"/>
        <v>0</v>
      </c>
      <c r="HC360" s="712"/>
    </row>
    <row r="361" spans="1:211">
      <c r="A361" s="773" t="s">
        <v>5</v>
      </c>
      <c r="B361" s="708">
        <v>40890</v>
      </c>
      <c r="C361" s="719">
        <v>0.5</v>
      </c>
      <c r="D361" s="675">
        <f t="shared" si="936"/>
        <v>300</v>
      </c>
      <c r="E361" s="675">
        <f t="shared" si="937"/>
        <v>250</v>
      </c>
      <c r="F361" s="675">
        <v>250</v>
      </c>
      <c r="G361" s="712">
        <f>DH361+Sheet1!CV361</f>
        <v>490.51380484113588</v>
      </c>
      <c r="H361" s="712">
        <f t="shared" si="938"/>
        <v>50.104923449310228</v>
      </c>
      <c r="I361" s="711">
        <f>MAX(Sheet1!Z361-AJ361+(Sheet1!CW361-E361)*CFStoMGD,0)</f>
        <v>319.1000656716418</v>
      </c>
      <c r="J361" s="720">
        <f>IF(AND(B361&gt;=Calculation!FS361,B361&lt;=Calculation!FT361),IF(Sheet1!CX361&gt;=Calculation!D361,64.64,0),MAX(Sheet1!Z361-AJ361+(Sheet1!CX361-D361)*CFStoMGD,0))</f>
        <v>119.58466567164177</v>
      </c>
      <c r="K361" s="697">
        <f t="shared" si="939"/>
        <v>50.104923449310228</v>
      </c>
      <c r="L361" s="712">
        <f>Sheet1!AA361+Sheet1!AB361-Sheet1!L361+(Sheet1!CW361-F361)*CFStoMGD</f>
        <v>363.92986666666667</v>
      </c>
      <c r="M361" s="712">
        <f t="shared" si="940"/>
        <v>323.40948591829647</v>
      </c>
      <c r="N361" s="712">
        <f>IF(Sheet1!CW361&gt;=F361,MIN(73,MIN(MAX(L361,0),MAX(M361,0))),0)</f>
        <v>73</v>
      </c>
      <c r="O361" s="721">
        <f>Sheet1!AA361+Sheet1!AB361</f>
        <v>53.2</v>
      </c>
      <c r="P361" s="721">
        <f t="shared" si="941"/>
        <v>82.300399999999996</v>
      </c>
      <c r="Q361" s="712">
        <f>MIN(N361,Sheet1!AA361+AG361)</f>
        <v>45.339800995024873</v>
      </c>
      <c r="R361" s="712">
        <f t="shared" si="942"/>
        <v>7.8601990049751249</v>
      </c>
      <c r="S361" s="721">
        <f>Sheet1!Y361*MGDtoCFS</f>
        <v>41.939169999999997</v>
      </c>
      <c r="T361" s="721">
        <f>Sheet1!Z361*MGDtoCFS</f>
        <v>40.856269999999995</v>
      </c>
      <c r="U361" s="721">
        <f>Sheet1!AA361*MGDtoCFS</f>
        <v>42.2331</v>
      </c>
      <c r="V361" s="721">
        <f>Sheet1!AB361*MGDtoCFS</f>
        <v>40.067299999999996</v>
      </c>
      <c r="W361" s="721">
        <f>Sheet1!L361*MGDtoCFS</f>
        <v>0</v>
      </c>
      <c r="X361" s="697">
        <f t="shared" si="943"/>
        <v>0</v>
      </c>
      <c r="Y361" s="712">
        <f t="shared" si="944"/>
        <v>0</v>
      </c>
      <c r="Z361" s="712">
        <f t="shared" si="945"/>
        <v>0</v>
      </c>
      <c r="AA361" s="712">
        <f t="shared" si="946"/>
        <v>0</v>
      </c>
      <c r="AB361" s="712">
        <f>(VLOOKUP(Sheet1!CY361,hhdcap_wcm,4)-(((VLOOKUP(Sheet1!CY361,hhdcap_wcm,3)-Sheet1!CY361)/(VLOOKUP(Sheet1!CY361,hhdcap_wcm,3)-VLOOKUP(Sheet1!CY361,hhdcap_wcm,1)))*(VLOOKUP(Sheet1!CY361,hhdcap_wcm,4)-VLOOKUP(Sheet1!CY361,hhdcap_wcm,2))))</f>
        <v>1792.1800000025798</v>
      </c>
      <c r="AC361" s="712">
        <f t="shared" si="947"/>
        <v>-32.940000000027567</v>
      </c>
      <c r="AD361" s="712">
        <f t="shared" si="948"/>
        <v>0</v>
      </c>
      <c r="AE361" s="712">
        <f t="shared" si="949"/>
        <v>0</v>
      </c>
      <c r="AF361" s="712">
        <f>Sheet1!BA361+Sheet1!BB361+Sheet1!BN361+BT361</f>
        <v>19.600000000000001</v>
      </c>
      <c r="AG361" s="712">
        <f t="shared" si="950"/>
        <v>18.039800995024876</v>
      </c>
      <c r="AH361" s="712">
        <f>Sheet1!BA361+BT361</f>
        <v>0</v>
      </c>
      <c r="AI361" s="712">
        <f>Sheet1!BA361+Sheet1!BB361+BT361</f>
        <v>0</v>
      </c>
      <c r="AJ361" s="712">
        <f>IF((Sheet1!AA361+AG361+AX361+AZ361+BQ361+BS361+CL361+CN361)&lt;=N361,AG361+AX361+AZ361+BQ361+BS361+CL361+CN361,N361-Sheet1!AA361)</f>
        <v>18.039800995024876</v>
      </c>
      <c r="AK361" s="712">
        <f>IF(DR361&lt;K361,0,MAX(Sheet1!AA361+AG361-15/36*K361-N361,Sheet1!ED361,0))</f>
        <v>0</v>
      </c>
      <c r="AL361" s="712">
        <f>IF(OR(B361&gt;=FT361,B361&lt;FS361),0,15/36*K361-MAX(0,64.6-(137.6-(Sheet1!AA361+Sheet1!AB361))))</f>
        <v>0</v>
      </c>
      <c r="AM361" s="712">
        <f>Sheet1!CX361-110</f>
        <v>362.05208333333331</v>
      </c>
      <c r="AN361" s="712">
        <f>Sheet1!CW361-265</f>
        <v>465.70833333333337</v>
      </c>
      <c r="AO361" s="712">
        <f t="shared" si="934"/>
        <v>27.660199004975127</v>
      </c>
      <c r="AP361" s="712">
        <f t="shared" si="951"/>
        <v>0</v>
      </c>
      <c r="AQ361" s="712">
        <f t="shared" si="952"/>
        <v>0</v>
      </c>
      <c r="AR361" s="712">
        <f t="shared" si="953"/>
        <v>0</v>
      </c>
      <c r="AS361" s="712"/>
      <c r="AT361" s="712">
        <f ca="1">IF(B361&gt;Summary!$A$1,#N/A,AR361*MGtoAF)</f>
        <v>0</v>
      </c>
      <c r="AU361" s="712">
        <f>Sheet1!BG361+Sheet1!BH361+Sheet1!BI361-BC361</f>
        <v>0</v>
      </c>
      <c r="AV361" s="712">
        <f t="shared" si="954"/>
        <v>0</v>
      </c>
      <c r="AW361" s="712">
        <f>IF(Sheet1!EL361="FM",BC361,0)</f>
        <v>0</v>
      </c>
      <c r="AX361" s="712">
        <f t="shared" si="955"/>
        <v>0</v>
      </c>
      <c r="AY361" s="712">
        <f>IF(Sheet1!EL361="OTHER",BC361,0)</f>
        <v>0</v>
      </c>
      <c r="AZ361" s="712">
        <f t="shared" si="956"/>
        <v>0</v>
      </c>
      <c r="BA361" s="712">
        <f t="shared" si="957"/>
        <v>0</v>
      </c>
      <c r="BB361" s="712">
        <f t="shared" si="958"/>
        <v>0</v>
      </c>
      <c r="BC361" s="712">
        <f>IF(OR(Sheet1!EL361="FM", Sheet1!EL361="OTHER"),SUM(Sheet1!BG361:'Sheet1'!BI361),0)</f>
        <v>0</v>
      </c>
      <c r="BD361" s="697">
        <f>IF(AND($B361&gt;=$FL361,$B361&lt;=$FM361),MAX(AV361,Sheet1!EE361,0),MAX(AV361-(7/36)*$K361,0))</f>
        <v>0</v>
      </c>
      <c r="BE361" s="712">
        <f t="shared" si="959"/>
        <v>0</v>
      </c>
      <c r="BF361" s="697">
        <f t="shared" si="960"/>
        <v>0</v>
      </c>
      <c r="BG361" s="697">
        <f>IF(AND($O361&gt;0,Sheet1!EI361=1),(1-($O361-Sheet1!$L361)/$O361)*BB361,0)</f>
        <v>0</v>
      </c>
      <c r="BH361" s="697">
        <f>IF(AND(Sheet1!$L361=0,Sheet1!$L360=0, Calculation!BA361&lt;Sheet1!$EE361-0.1,Sheet1!$EE361=Sheet1!$EE360,Sheet1!$EE361=Sheet1!$EE362),Sheet1!$EE361,BB361-BG361)</f>
        <v>0</v>
      </c>
      <c r="BI361" s="712"/>
      <c r="BJ361" s="712"/>
      <c r="BK361" s="712">
        <f t="shared" si="961"/>
        <v>0</v>
      </c>
      <c r="BL361" s="712"/>
      <c r="BM361" s="712">
        <f ca="1">IF(B361&gt;Summary!$A$1,#N/A,BK361*MGtoAF)</f>
        <v>0</v>
      </c>
      <c r="BN361" s="712">
        <f>Sheet1!BC361+Sheet1!BD361+Sheet1!BE361+Sheet1!BF361-BW361-BX361</f>
        <v>2</v>
      </c>
      <c r="BO361" s="712">
        <f t="shared" si="962"/>
        <v>1.8407960199004973</v>
      </c>
      <c r="BP361" s="712">
        <f>IF(Sheet1!EM361="FM",BX361,0)</f>
        <v>0</v>
      </c>
      <c r="BQ361" s="712">
        <f t="shared" si="963"/>
        <v>0</v>
      </c>
      <c r="BR361" s="712">
        <f>IF(Sheet1!EM361="OTHER",BX361,0)</f>
        <v>0</v>
      </c>
      <c r="BS361" s="712">
        <f t="shared" si="964"/>
        <v>0</v>
      </c>
      <c r="BT361" s="712">
        <f t="shared" si="965"/>
        <v>0</v>
      </c>
      <c r="BU361" s="712">
        <f t="shared" si="966"/>
        <v>2</v>
      </c>
      <c r="BV361" s="712">
        <f t="shared" si="967"/>
        <v>1.8407960199004973</v>
      </c>
      <c r="BW361" s="712">
        <f>IF(Sheet1!EM361="CWA",SUM(Sheet1!BC361:'Sheet1'!BF361),0)</f>
        <v>0</v>
      </c>
      <c r="BX361" s="712">
        <f>IF(OR(Sheet1!EM361="FM", Sheet1!EM361="OTHER"),SUM(Sheet1!BC361:'Sheet1'!BF361),0)</f>
        <v>0</v>
      </c>
      <c r="BY361" s="697">
        <f>IF(AND($B361&gt;=$FL361,$B361&lt;=$FM361),MAX(BV361,Sheet1!EF361,0),MAX(BV361-(7/36)*$K361,0))</f>
        <v>0</v>
      </c>
      <c r="BZ361" s="712">
        <f t="shared" si="968"/>
        <v>0</v>
      </c>
      <c r="CA361" s="697">
        <f t="shared" si="969"/>
        <v>1.8407960199004973</v>
      </c>
      <c r="CB361" s="697">
        <f>IF(AND($O361&gt;0,Sheet1!EJ361=1),(1-($O361-Sheet1!$L361)/$O361)*BV361,0)</f>
        <v>0</v>
      </c>
      <c r="CC361" s="697">
        <f>IF(AND(Sheet1!$L361=0,Sheet1!$L360=0, Calculation!BU361&lt;Sheet1!EF361-0.1,Sheet1!EF361=Sheet1!EF360,Sheet1!EF361=Sheet1!EF362),Sheet1!EF361,BV361-CB361)</f>
        <v>1.8407960199004973</v>
      </c>
      <c r="CD361" s="697"/>
      <c r="CE361" s="712"/>
      <c r="CF361" s="712">
        <f t="shared" si="970"/>
        <v>0</v>
      </c>
      <c r="CG361" s="712"/>
      <c r="CH361" s="712">
        <f ca="1">IF(B361&gt;Summary!$A$1,#N/A,CF361*MGtoAF)</f>
        <v>0</v>
      </c>
      <c r="CI361" s="712">
        <f>Sheet1!BK361+Sheet1!BL361+Sheet1!BM361-Sheet1!EN361-CQ361</f>
        <v>6.5400000000000009</v>
      </c>
      <c r="CJ361" s="712">
        <f t="shared" si="971"/>
        <v>6.0194029850746276</v>
      </c>
      <c r="CK361" s="712">
        <f>IF(Sheet1!EN361="FM",CQ361,0)</f>
        <v>0</v>
      </c>
      <c r="CL361" s="712">
        <f t="shared" si="972"/>
        <v>0</v>
      </c>
      <c r="CM361" s="712">
        <f>IF(Sheet1!EN361="OTHER",CQ361,0)</f>
        <v>0</v>
      </c>
      <c r="CN361" s="712">
        <f t="shared" si="973"/>
        <v>0</v>
      </c>
      <c r="CO361" s="712">
        <f t="shared" si="974"/>
        <v>6.5400000000000009</v>
      </c>
      <c r="CP361" s="712">
        <f t="shared" si="975"/>
        <v>6.0194029850746276</v>
      </c>
      <c r="CQ361" s="712">
        <f>IF(OR(Sheet1!EN361="FM", Sheet1!EN361="OTHER"),SUM(Sheet1!BK361:'Sheet1'!BM361),0)</f>
        <v>0</v>
      </c>
      <c r="CR361" s="697">
        <f>IF(AND($B361&gt;=$FL361,$B361&lt;=$FM361),MAX($CJ361,Sheet1!EG361,0),MAX($CJ361-(7/36)*$K361,0))</f>
        <v>0</v>
      </c>
      <c r="CS361" s="712">
        <f t="shared" si="976"/>
        <v>0</v>
      </c>
      <c r="CT361" s="697">
        <f t="shared" si="977"/>
        <v>6.0194029850746276</v>
      </c>
      <c r="CU361" s="697">
        <f>IF(AND($O361&gt;0,Sheet1!EK361=1),(1-($O361-Sheet1!$L361)/$O361)*CP361,0)</f>
        <v>0</v>
      </c>
      <c r="CV361" s="697">
        <f>IF(AND(Sheet1!$L361=0,Sheet1!$L360=0, Calculation!CO361&lt;Sheet1!$EG361-0.1,Sheet1!$EG361=Sheet1!$EG360,Sheet1!$EG361=Sheet1!$EG362),Sheet1!$EG361,CP361-CU361)</f>
        <v>6.0194029850746276</v>
      </c>
      <c r="CW361" s="697"/>
      <c r="CX361" s="712">
        <f t="shared" si="978"/>
        <v>8.5400000000000009</v>
      </c>
      <c r="CY361" s="712">
        <f t="shared" si="979"/>
        <v>0</v>
      </c>
      <c r="CZ361" s="712">
        <f t="shared" si="980"/>
        <v>7.8601990049751249</v>
      </c>
      <c r="DA361" s="712">
        <f ca="1">IF(B361&gt;Summary!$A$1,#N/A,CY361*MGtoAF)</f>
        <v>0</v>
      </c>
      <c r="DB361" s="712">
        <f t="shared" si="981"/>
        <v>8.5400000000000009</v>
      </c>
      <c r="DC361" s="712">
        <f t="shared" si="982"/>
        <v>28.14</v>
      </c>
      <c r="DD361" s="712">
        <f>Sheet1!AB361-DC361</f>
        <v>-2.240000000000002</v>
      </c>
      <c r="DE361" s="712">
        <f t="shared" si="983"/>
        <v>-7.9601990049751312E-2</v>
      </c>
      <c r="DF361" s="712">
        <f>(VLOOKUP(Sheet1!CY361,hhdcap_wcm,4)-(((VLOOKUP(Sheet1!CY361,hhdcap_wcm,3)-Sheet1!CY361)/(VLOOKUP(Sheet1!CY361,hhdcap_wcm,3)-VLOOKUP(Sheet1!CY361,hhdcap_wcm,1)))*(VLOOKUP(Sheet1!CY361,hhdcap_wcm,4)-VLOOKUP(Sheet1!CY361,hhdcap_wcm,2))))</f>
        <v>1792.1800000025798</v>
      </c>
      <c r="DG361" s="712">
        <f t="shared" si="984"/>
        <v>-32.940000000027567</v>
      </c>
      <c r="DH361" s="712">
        <f t="shared" si="985"/>
        <v>-16.611195158864128</v>
      </c>
      <c r="DI361" s="712">
        <f>Sheet1!DW361*AFtoMG</f>
        <v>0</v>
      </c>
      <c r="DJ361" s="712">
        <f>Sheet1!DX361*AFtoMG</f>
        <v>0</v>
      </c>
      <c r="DK361" s="712">
        <f>Sheet1!DY361*AFtoMG</f>
        <v>0</v>
      </c>
      <c r="DL361" s="712">
        <f>Sheet1!DZ361*AFtoMG</f>
        <v>0</v>
      </c>
      <c r="DM361" s="712">
        <f t="shared" si="986"/>
        <v>0</v>
      </c>
      <c r="DN361" s="712">
        <f t="shared" si="987"/>
        <v>0</v>
      </c>
      <c r="DO361" s="712">
        <f t="shared" si="988"/>
        <v>0</v>
      </c>
      <c r="DP361" s="712">
        <f t="shared" si="989"/>
        <v>0</v>
      </c>
      <c r="DQ361" s="712"/>
      <c r="DR361" s="697">
        <f>IF(OR(B361&lt;FL361,B361&gt;FM361),(MIN(AV361+BO361+CJ361+MAX(Sheet1!AA361+AG361-73,0),K361)),0)</f>
        <v>7.8601990049751249</v>
      </c>
      <c r="DS361" s="712"/>
      <c r="DT361" s="712">
        <f t="shared" si="990"/>
        <v>7.8601990049751249</v>
      </c>
      <c r="DU361" s="712"/>
      <c r="DV361" s="712">
        <f>Sheet1!ED361+Sheet1!EE361+Sheet1!EF361+Sheet1!EG361</f>
        <v>8.5</v>
      </c>
      <c r="DW361" s="712"/>
      <c r="DX361" s="697">
        <f t="shared" si="991"/>
        <v>0</v>
      </c>
      <c r="DY361" s="712">
        <f>IF(Sheet1!FN361=1,SUM('Calculations II'!AT361:BA361)+'Calculations II'!BC361+Sheet1!BU361+'Calculations II'!BE361+AF361,SUM('Calculations II'!AT361:BA361)+'Calculations II'!BC361+Sheet1!BU361+'Calculations II'!BE361+AF361)</f>
        <v>44.937136000000002</v>
      </c>
      <c r="DZ361" s="712">
        <f>Sheet1!AA361+Sheet1!AB361+'Calculations II'!BC361</f>
        <v>53.921584000000003</v>
      </c>
      <c r="EA361" s="712"/>
      <c r="EB361" s="712"/>
      <c r="EC361" s="712">
        <f t="shared" si="992"/>
        <v>40890</v>
      </c>
      <c r="ED361" s="712">
        <f t="shared" si="993"/>
        <v>0</v>
      </c>
      <c r="EE361" s="712">
        <f t="shared" si="994"/>
        <v>0</v>
      </c>
      <c r="EF361" s="712">
        <f ca="1">IF(B361=TODAY(),0,-(VLOOKUP(Sheet1!BQ361,Lookup!$B$4:$J$236,2)-VLOOKUP(Sheet1!BQ360,Lookup!$B$4:$J$236,2))/1000000)</f>
        <v>0.53420000000000001</v>
      </c>
      <c r="EG361" s="712">
        <f ca="1">IF(B361=TODAY(),0,-(VLOOKUP(Sheet1!BR361,Lookup!$B$4:$J$236,3)-VLOOKUP(Sheet1!BR360,Lookup!$B$4:$J$236,3))/1000000)</f>
        <v>0.53320000000000001</v>
      </c>
      <c r="EH361" s="712">
        <f>-(VLOOKUP(Sheet1!BS361,Lookup!$B$4:$J$236,4)-VLOOKUP(Sheet1!BS360,Lookup!$B$4:$J$236,4))/1000000</f>
        <v>0</v>
      </c>
      <c r="EI361" s="697">
        <f t="shared" ca="1" si="922"/>
        <v>1.0674000000000001</v>
      </c>
      <c r="EJ361" s="712"/>
      <c r="EK361" s="712"/>
      <c r="EL361" s="712"/>
      <c r="EM361" s="712"/>
      <c r="EN361" s="712"/>
      <c r="EO361" s="712"/>
      <c r="EP361" s="712"/>
      <c r="EQ361" s="712"/>
      <c r="ER361" s="712"/>
      <c r="ES361" s="712"/>
      <c r="ET361" s="794" t="e">
        <f t="shared" si="919"/>
        <v>#N/A</v>
      </c>
      <c r="EU361" s="794" t="e">
        <f t="shared" si="924"/>
        <v>#N/A</v>
      </c>
      <c r="EV361" s="795" t="e">
        <f t="shared" si="925"/>
        <v>#N/A</v>
      </c>
      <c r="EW361" s="796" t="s">
        <v>757</v>
      </c>
      <c r="EX361" s="796" t="s">
        <v>757</v>
      </c>
      <c r="EY361" s="794" t="e">
        <v>#N/A</v>
      </c>
      <c r="EZ361" s="794" t="e">
        <v>#N/A</v>
      </c>
      <c r="FA361" s="712"/>
      <c r="FB361" s="712"/>
      <c r="FC361" s="712"/>
      <c r="FD361" s="712"/>
      <c r="FE361" s="712">
        <f>O361+Sheet1!CO361</f>
        <v>554.30000000000007</v>
      </c>
      <c r="FF361" s="712">
        <f>IF(Sheet1!AA361+AG361&lt;=Calculation!N361,AG361,Calculation!N361-Sheet1!AA361)</f>
        <v>18.039800995024876</v>
      </c>
      <c r="FG361" s="712">
        <f>(Sheet1!BP361+Sheet1!BO361)/694.4</f>
        <v>1.8692396313364057</v>
      </c>
      <c r="FH361" s="712"/>
      <c r="FI361" s="712"/>
      <c r="FJ361" s="712"/>
      <c r="FK361" s="712"/>
      <c r="FL361" s="714">
        <f t="shared" si="929"/>
        <v>40753</v>
      </c>
      <c r="FM361" s="714">
        <f t="shared" si="930"/>
        <v>40851</v>
      </c>
      <c r="FN361" s="712"/>
      <c r="FO361" s="712"/>
      <c r="FP361" s="712"/>
      <c r="FQ361" s="712"/>
      <c r="FR361" s="712"/>
      <c r="FS361" s="725">
        <f t="shared" si="935"/>
        <v>40603</v>
      </c>
      <c r="FT361" s="714">
        <f t="shared" si="932"/>
        <v>40709</v>
      </c>
      <c r="FU361" s="712">
        <f t="shared" si="935"/>
        <v>6518.9048239895692</v>
      </c>
      <c r="FV361" s="714">
        <f t="shared" si="933"/>
        <v>40722</v>
      </c>
      <c r="FW361" s="712">
        <f t="shared" si="935"/>
        <v>3259.4524119947846</v>
      </c>
      <c r="FX361" s="725">
        <f t="shared" si="935"/>
        <v>40851</v>
      </c>
      <c r="FZ361" s="697">
        <f t="shared" si="926"/>
        <v>0</v>
      </c>
      <c r="GA361" s="712" t="str">
        <f t="shared" si="995"/>
        <v/>
      </c>
      <c r="GB361" s="712">
        <f t="shared" si="996"/>
        <v>0</v>
      </c>
      <c r="GC361" s="712" t="str">
        <f t="shared" si="997"/>
        <v/>
      </c>
      <c r="GD361" s="712">
        <f>IF(GA361="P",Lookup!$M$12,IF(GA361="PP",Lookup!$M$13,IF(GA361="PPP",Lookup!$M$14,IF(GA361="T",Lookup!$M$15,IF(GA361="TP",Lookup!$M$16,IF(GA361="TPP",Lookup!$M$17,IF(GA361="TPPP",Lookup!$M$18,0)))))))*FZ361</f>
        <v>0</v>
      </c>
      <c r="GE361" s="712">
        <f t="shared" si="998"/>
        <v>0</v>
      </c>
      <c r="GF361" s="712">
        <f t="shared" si="999"/>
        <v>0</v>
      </c>
      <c r="GG361" s="712">
        <f t="shared" si="1000"/>
        <v>0</v>
      </c>
      <c r="GH361" s="712"/>
      <c r="GI361" s="712">
        <f t="shared" si="1001"/>
        <v>0</v>
      </c>
      <c r="GJ361" s="712" t="str">
        <f t="shared" si="1002"/>
        <v/>
      </c>
      <c r="GK361" s="712">
        <f>IF(GA361="P",Lookup!$N$12,IF(GA361="PP",Lookup!$N$13,IF(GA361="PPP",Lookup!$N$14,IF(GA361="T",Lookup!$N$15,IF(GA361="TP",Lookup!$N$16,IF(GA361="TPP",Lookup!$N$17,IF(GA361="TPPP",Lookup!$N$18,0)))))))*FZ361</f>
        <v>0</v>
      </c>
      <c r="GL361" s="712">
        <f t="shared" si="1003"/>
        <v>0</v>
      </c>
      <c r="GM361" s="712">
        <f t="shared" si="1004"/>
        <v>0</v>
      </c>
      <c r="GN361" s="712">
        <f t="shared" si="1005"/>
        <v>0</v>
      </c>
      <c r="GO361" s="712"/>
      <c r="GP361" s="712">
        <f t="shared" si="1006"/>
        <v>0</v>
      </c>
      <c r="GQ361" s="712" t="str">
        <f t="shared" si="1007"/>
        <v/>
      </c>
      <c r="GR361" s="712">
        <f>IF(GA361="P",Lookup!$N$12,IF(GA361="PP",Lookup!$N$13,IF(GA361="PPP",Lookup!$N$14,IF(GA361="T",Lookup!$N$15,IF(GA361="TP",Lookup!$N$16,IF(GA361="TPP",Lookup!$N$17,IF(GA361="TPPP",Lookup!$N$18,0)))))))*FZ361</f>
        <v>0</v>
      </c>
      <c r="GS361" s="697">
        <f t="shared" si="927"/>
        <v>0</v>
      </c>
      <c r="GT361" s="712">
        <f t="shared" si="1008"/>
        <v>0</v>
      </c>
      <c r="GU361" s="712">
        <f t="shared" si="1009"/>
        <v>0</v>
      </c>
      <c r="GV361" s="712"/>
      <c r="GW361" s="712">
        <f t="shared" si="1010"/>
        <v>0</v>
      </c>
      <c r="GX361" s="712" t="str">
        <f t="shared" si="1011"/>
        <v/>
      </c>
      <c r="GY361" s="712">
        <f>IF(GA361="P",Lookup!$N$12,IF(GA361="PP",Lookup!$N$13,IF(GA361="PPP",Lookup!$N$14,IF(GA361="T",Lookup!$N$15,IF(GA361="TP",Lookup!$N$16,IF(GA361="TPP",Lookup!$N$17,IF(GA361="TPPP",Lookup!$N$18,0)))))))*FZ361</f>
        <v>0</v>
      </c>
      <c r="GZ361" s="697">
        <f t="shared" si="928"/>
        <v>0</v>
      </c>
      <c r="HA361" s="712">
        <f t="shared" si="1012"/>
        <v>0</v>
      </c>
      <c r="HB361" s="712">
        <f t="shared" si="1013"/>
        <v>0</v>
      </c>
      <c r="HC361" s="712"/>
    </row>
    <row r="362" spans="1:211">
      <c r="A362" s="773" t="s">
        <v>6</v>
      </c>
      <c r="B362" s="708">
        <v>40891</v>
      </c>
      <c r="C362" s="709">
        <v>0.5</v>
      </c>
      <c r="D362" s="675">
        <f t="shared" si="936"/>
        <v>300</v>
      </c>
      <c r="E362" s="675">
        <f t="shared" si="937"/>
        <v>250</v>
      </c>
      <c r="F362" s="675">
        <v>250</v>
      </c>
      <c r="G362" s="712">
        <f>DH362+Sheet1!CV362</f>
        <v>474.06379223398892</v>
      </c>
      <c r="H362" s="712">
        <f t="shared" si="938"/>
        <v>39.471635300050437</v>
      </c>
      <c r="I362" s="711">
        <f>MAX(Sheet1!Z362-AJ362+(Sheet1!CW362-E362)*CFStoMGD,0)</f>
        <v>291.56769206349128</v>
      </c>
      <c r="J362" s="720">
        <f>IF(AND(B362&gt;=Calculation!FS362,B362&lt;=Calculation!FT362),IF(Sheet1!CX362&gt;=Calculation!D362,64.64,0),MAX(Sheet1!Z362-AJ362+(Sheet1!CX362-D362)*CFStoMGD,0))</f>
        <v>97.984358730157922</v>
      </c>
      <c r="K362" s="697">
        <f t="shared" si="939"/>
        <v>39.471635300050437</v>
      </c>
      <c r="L362" s="712">
        <f>Sheet1!AA362+Sheet1!AB362-Sheet1!L362+(Sheet1!CW362-F362)*CFStoMGD</f>
        <v>335.90086666666321</v>
      </c>
      <c r="M362" s="712">
        <f t="shared" si="940"/>
        <v>312.56353200605145</v>
      </c>
      <c r="N362" s="712">
        <f>IF(Sheet1!CW362&gt;=F362,MIN(73,MIN(MAX(L362,0),MAX(M362,0))),0)</f>
        <v>73</v>
      </c>
      <c r="O362" s="721">
        <f>Sheet1!AA362+Sheet1!AB362</f>
        <v>52.339999999996508</v>
      </c>
      <c r="P362" s="721">
        <f t="shared" si="941"/>
        <v>80.969979999994592</v>
      </c>
      <c r="Q362" s="712">
        <f>MIN(N362,Sheet1!AA362+AG362)</f>
        <v>44.583174603170761</v>
      </c>
      <c r="R362" s="712">
        <f t="shared" si="942"/>
        <v>7.7568253968257483</v>
      </c>
      <c r="S362" s="721">
        <f>Sheet1!Y362*MGDtoCFS</f>
        <v>42.186689999999999</v>
      </c>
      <c r="T362" s="721">
        <f>Sheet1!Z362*MGDtoCFS</f>
        <v>40.17559</v>
      </c>
      <c r="U362" s="721">
        <f>Sheet1!AA362*MGDtoCFS</f>
        <v>41.181139999992794</v>
      </c>
      <c r="V362" s="721">
        <f>Sheet1!AB362*MGDtoCFS</f>
        <v>39.788840000001798</v>
      </c>
      <c r="W362" s="721">
        <f>Sheet1!L362*MGDtoCFS</f>
        <v>0</v>
      </c>
      <c r="X362" s="697">
        <f t="shared" si="943"/>
        <v>0</v>
      </c>
      <c r="Y362" s="712">
        <f t="shared" si="944"/>
        <v>0</v>
      </c>
      <c r="Z362" s="712">
        <f t="shared" si="945"/>
        <v>0</v>
      </c>
      <c r="AA362" s="712">
        <f t="shared" si="946"/>
        <v>0</v>
      </c>
      <c r="AB362" s="712">
        <f>(VLOOKUP(Sheet1!CY362,hhdcap_wcm,4)-(((VLOOKUP(Sheet1!CY362,hhdcap_wcm,3)-Sheet1!CY362)/(VLOOKUP(Sheet1!CY362,hhdcap_wcm,3)-VLOOKUP(Sheet1!CY362,hhdcap_wcm,1)))*(VLOOKUP(Sheet1!CY362,hhdcap_wcm,4)-VLOOKUP(Sheet1!CY362,hhdcap_wcm,2))))</f>
        <v>1794.6200000025799</v>
      </c>
      <c r="AC362" s="712">
        <f t="shared" si="947"/>
        <v>2.4400000000000546</v>
      </c>
      <c r="AD362" s="712">
        <f t="shared" si="948"/>
        <v>0</v>
      </c>
      <c r="AE362" s="712">
        <f t="shared" si="949"/>
        <v>0</v>
      </c>
      <c r="AF362" s="712">
        <f>Sheet1!BA362+Sheet1!BB362+Sheet1!BN362+BT362</f>
        <v>19.8</v>
      </c>
      <c r="AG362" s="712">
        <f t="shared" si="950"/>
        <v>17.963174603175418</v>
      </c>
      <c r="AH362" s="712">
        <f>Sheet1!BA362+BT362</f>
        <v>0</v>
      </c>
      <c r="AI362" s="712">
        <f>Sheet1!BA362+Sheet1!BB362+BT362</f>
        <v>0</v>
      </c>
      <c r="AJ362" s="712">
        <f>IF((Sheet1!AA362+AG362+AX362+AZ362+BQ362+BS362+CL362+CN362)&lt;=N362,AG362+AX362+AZ362+BQ362+BS362+CL362+CN362,N362-Sheet1!AA362)</f>
        <v>17.963174603175418</v>
      </c>
      <c r="AK362" s="712">
        <f>IF(DR362&lt;K362,0,MAX(Sheet1!AA362+AG362-15/36*K362-N362,Sheet1!ED362,0))</f>
        <v>0</v>
      </c>
      <c r="AL362" s="712">
        <f>IF(OR(B362&gt;=FT362,B362&lt;FS362),0,15/36*K362-MAX(0,64.6-(137.6-(Sheet1!AA362+Sheet1!AB362))))</f>
        <v>0</v>
      </c>
      <c r="AM362" s="712">
        <f>Sheet1!CX362-110</f>
        <v>329.19791666666669</v>
      </c>
      <c r="AN362" s="712">
        <f>Sheet1!CW362-265</f>
        <v>423.67708333333337</v>
      </c>
      <c r="AO362" s="712">
        <f t="shared" si="934"/>
        <v>28.416825396829239</v>
      </c>
      <c r="AP362" s="712">
        <f t="shared" si="951"/>
        <v>0</v>
      </c>
      <c r="AQ362" s="712">
        <f t="shared" si="952"/>
        <v>0</v>
      </c>
      <c r="AR362" s="712">
        <f t="shared" si="953"/>
        <v>0</v>
      </c>
      <c r="AS362" s="712"/>
      <c r="AT362" s="712">
        <f ca="1">IF(B362&gt;Summary!$A$1,#N/A,AR362*MGtoAF)</f>
        <v>0</v>
      </c>
      <c r="AU362" s="712">
        <f>Sheet1!BG362+Sheet1!BH362+Sheet1!BI362-BC362</f>
        <v>0</v>
      </c>
      <c r="AV362" s="712">
        <f t="shared" si="954"/>
        <v>0</v>
      </c>
      <c r="AW362" s="712">
        <f>IF(Sheet1!EL362="FM",BC362,0)</f>
        <v>0</v>
      </c>
      <c r="AX362" s="712">
        <f t="shared" si="955"/>
        <v>0</v>
      </c>
      <c r="AY362" s="712">
        <f>IF(Sheet1!EL362="OTHER",BC362,0)</f>
        <v>0</v>
      </c>
      <c r="AZ362" s="712">
        <f t="shared" si="956"/>
        <v>0</v>
      </c>
      <c r="BA362" s="712">
        <f t="shared" si="957"/>
        <v>0</v>
      </c>
      <c r="BB362" s="712">
        <f t="shared" si="958"/>
        <v>0</v>
      </c>
      <c r="BC362" s="712">
        <f>IF(OR(Sheet1!EL362="FM", Sheet1!EL362="OTHER"),SUM(Sheet1!BG362:'Sheet1'!BI362),0)</f>
        <v>0</v>
      </c>
      <c r="BD362" s="697">
        <f>IF(AND($B362&gt;=$FL362,$B362&lt;=$FM362),MAX(AV362,Sheet1!EE362,0),MAX(AV362-(7/36)*$K362,0))</f>
        <v>0</v>
      </c>
      <c r="BE362" s="712">
        <f t="shared" si="959"/>
        <v>0</v>
      </c>
      <c r="BF362" s="697">
        <f t="shared" si="960"/>
        <v>0</v>
      </c>
      <c r="BG362" s="697">
        <f>IF(AND($O362&gt;0,Sheet1!EI362=1),(1-($O362-Sheet1!$L362)/$O362)*BB362,0)</f>
        <v>0</v>
      </c>
      <c r="BH362" s="697">
        <f>IF(AND(Sheet1!$L362=0,Sheet1!$L361=0, Calculation!BA362&lt;Sheet1!$EE362-0.1,Sheet1!$EE362=Sheet1!$EE361,Sheet1!$EE362=Sheet1!$EE363),Sheet1!$EE362,BB362-BG362)</f>
        <v>0</v>
      </c>
      <c r="BI362" s="712"/>
      <c r="BJ362" s="712"/>
      <c r="BK362" s="712">
        <f t="shared" si="961"/>
        <v>0</v>
      </c>
      <c r="BL362" s="712"/>
      <c r="BM362" s="712">
        <f ca="1">IF(B362&gt;Summary!$A$1,#N/A,BK362*MGtoAF)</f>
        <v>0</v>
      </c>
      <c r="BN362" s="712">
        <f>Sheet1!BC362+Sheet1!BD362+Sheet1!BE362+Sheet1!BF362-BW362-BX362</f>
        <v>2</v>
      </c>
      <c r="BO362" s="712">
        <f t="shared" si="962"/>
        <v>1.8144620811288299</v>
      </c>
      <c r="BP362" s="712">
        <f>IF(Sheet1!EM362="FM",BX362,0)</f>
        <v>0</v>
      </c>
      <c r="BQ362" s="712">
        <f t="shared" si="963"/>
        <v>0</v>
      </c>
      <c r="BR362" s="712">
        <f>IF(Sheet1!EM362="OTHER",BX362,0)</f>
        <v>0</v>
      </c>
      <c r="BS362" s="712">
        <f t="shared" si="964"/>
        <v>0</v>
      </c>
      <c r="BT362" s="712">
        <f t="shared" si="965"/>
        <v>0</v>
      </c>
      <c r="BU362" s="712">
        <f t="shared" si="966"/>
        <v>2</v>
      </c>
      <c r="BV362" s="712">
        <f t="shared" si="967"/>
        <v>1.8144620811288299</v>
      </c>
      <c r="BW362" s="712">
        <f>IF(Sheet1!EM362="CWA",SUM(Sheet1!BC362:'Sheet1'!BF362),0)</f>
        <v>0</v>
      </c>
      <c r="BX362" s="712">
        <f>IF(OR(Sheet1!EM362="FM", Sheet1!EM362="OTHER"),SUM(Sheet1!BC362:'Sheet1'!BF362),0)</f>
        <v>0</v>
      </c>
      <c r="BY362" s="697">
        <f>IF(AND($B362&gt;=$FL362,$B362&lt;=$FM362),MAX(BV362,Sheet1!EF362,0),MAX(BV362-(7/36)*$K362,0))</f>
        <v>0</v>
      </c>
      <c r="BZ362" s="712">
        <f t="shared" si="968"/>
        <v>0</v>
      </c>
      <c r="CA362" s="697">
        <f t="shared" si="969"/>
        <v>1.8144620811288299</v>
      </c>
      <c r="CB362" s="697">
        <f>IF(AND($O362&gt;0,Sheet1!EJ362=1),(1-($O362-Sheet1!$L362)/$O362)*BV362,0)</f>
        <v>0</v>
      </c>
      <c r="CC362" s="697">
        <f>IF(AND(Sheet1!$L362=0,Sheet1!$L361=0, Calculation!BU362&lt;Sheet1!EF362-0.1,Sheet1!EF362=Sheet1!EF361,Sheet1!EF362=Sheet1!EF363),Sheet1!EF362,BV362-CB362)</f>
        <v>1.8144620811288299</v>
      </c>
      <c r="CD362" s="697"/>
      <c r="CE362" s="712"/>
      <c r="CF362" s="712">
        <f t="shared" si="970"/>
        <v>0</v>
      </c>
      <c r="CG362" s="712"/>
      <c r="CH362" s="712">
        <f ca="1">IF(B362&gt;Summary!$A$1,#N/A,CF362*MGtoAF)</f>
        <v>0</v>
      </c>
      <c r="CI362" s="712">
        <f>Sheet1!BK362+Sheet1!BL362+Sheet1!BM362-Sheet1!EN362-CQ362</f>
        <v>6.5500000000000007</v>
      </c>
      <c r="CJ362" s="712">
        <f t="shared" si="971"/>
        <v>5.9423633156969187</v>
      </c>
      <c r="CK362" s="712">
        <f>IF(Sheet1!EN362="FM",CQ362,0)</f>
        <v>0</v>
      </c>
      <c r="CL362" s="712">
        <f t="shared" si="972"/>
        <v>0</v>
      </c>
      <c r="CM362" s="712">
        <f>IF(Sheet1!EN362="OTHER",CQ362,0)</f>
        <v>0</v>
      </c>
      <c r="CN362" s="712">
        <f t="shared" si="973"/>
        <v>0</v>
      </c>
      <c r="CO362" s="712">
        <f t="shared" si="974"/>
        <v>6.5500000000000007</v>
      </c>
      <c r="CP362" s="712">
        <f t="shared" si="975"/>
        <v>5.9423633156969187</v>
      </c>
      <c r="CQ362" s="712">
        <f>IF(OR(Sheet1!EN362="FM", Sheet1!EN362="OTHER"),SUM(Sheet1!BK362:'Sheet1'!BM362),0)</f>
        <v>0</v>
      </c>
      <c r="CR362" s="697">
        <f>IF(AND($B362&gt;=$FL362,$B362&lt;=$FM362),MAX($CJ362,Sheet1!EG362,0),MAX($CJ362-(7/36)*$K362,0))</f>
        <v>0</v>
      </c>
      <c r="CS362" s="712">
        <f t="shared" si="976"/>
        <v>0</v>
      </c>
      <c r="CT362" s="697">
        <f t="shared" si="977"/>
        <v>5.9423633156969187</v>
      </c>
      <c r="CU362" s="697">
        <f>IF(AND($O362&gt;0,Sheet1!EK362=1),(1-($O362-Sheet1!$L362)/$O362)*CP362,0)</f>
        <v>0</v>
      </c>
      <c r="CV362" s="697">
        <f>IF(AND(Sheet1!$L362=0,Sheet1!$L361=0, Calculation!CO362&lt;Sheet1!$EG362-0.1,Sheet1!$EG362=Sheet1!$EG361,Sheet1!$EG362=Sheet1!$EG363),Sheet1!$EG362,CP362-CU362)</f>
        <v>5.9423633156969187</v>
      </c>
      <c r="CW362" s="697"/>
      <c r="CX362" s="712">
        <f t="shared" si="978"/>
        <v>8.5500000000000007</v>
      </c>
      <c r="CY362" s="712">
        <f t="shared" si="979"/>
        <v>0</v>
      </c>
      <c r="CZ362" s="712">
        <f t="shared" si="980"/>
        <v>7.7568253968257483</v>
      </c>
      <c r="DA362" s="712">
        <f ca="1">IF(B362&gt;Summary!$A$1,#N/A,CY362*MGtoAF)</f>
        <v>0</v>
      </c>
      <c r="DB362" s="712">
        <f t="shared" si="981"/>
        <v>8.5500000000000007</v>
      </c>
      <c r="DC362" s="712">
        <f t="shared" si="982"/>
        <v>28.35</v>
      </c>
      <c r="DD362" s="712">
        <f>Sheet1!AB362-DC362</f>
        <v>-2.6299999999988373</v>
      </c>
      <c r="DE362" s="712">
        <f t="shared" si="983"/>
        <v>-9.276895943558508E-2</v>
      </c>
      <c r="DF362" s="712">
        <f>(VLOOKUP(Sheet1!CY362,hhdcap_wcm,4)-(((VLOOKUP(Sheet1!CY362,hhdcap_wcm,3)-Sheet1!CY362)/(VLOOKUP(Sheet1!CY362,hhdcap_wcm,3)-VLOOKUP(Sheet1!CY362,hhdcap_wcm,1)))*(VLOOKUP(Sheet1!CY362,hhdcap_wcm,4)-VLOOKUP(Sheet1!CY362,hhdcap_wcm,2))))</f>
        <v>1794.6200000025799</v>
      </c>
      <c r="DG362" s="712">
        <f t="shared" si="984"/>
        <v>2.4400000000000546</v>
      </c>
      <c r="DH362" s="712">
        <f t="shared" si="985"/>
        <v>1.2304589006555997</v>
      </c>
      <c r="DI362" s="712">
        <f>Sheet1!DW362*AFtoMG</f>
        <v>0</v>
      </c>
      <c r="DJ362" s="712">
        <f>Sheet1!DX362*AFtoMG</f>
        <v>0</v>
      </c>
      <c r="DK362" s="712">
        <f>Sheet1!DY362*AFtoMG</f>
        <v>0</v>
      </c>
      <c r="DL362" s="712">
        <f>Sheet1!DZ362*AFtoMG</f>
        <v>0</v>
      </c>
      <c r="DM362" s="712">
        <f t="shared" si="986"/>
        <v>0</v>
      </c>
      <c r="DN362" s="712">
        <f t="shared" si="987"/>
        <v>0</v>
      </c>
      <c r="DO362" s="712">
        <f t="shared" si="988"/>
        <v>0</v>
      </c>
      <c r="DP362" s="712">
        <f t="shared" si="989"/>
        <v>0</v>
      </c>
      <c r="DQ362" s="712"/>
      <c r="DR362" s="697">
        <f>IF(OR(B362&lt;FL362,B362&gt;FM362),(MIN(AV362+BO362+CJ362+MAX(Sheet1!AA362+AG362-73,0),K362)),0)</f>
        <v>7.7568253968257483</v>
      </c>
      <c r="DS362" s="712"/>
      <c r="DT362" s="712">
        <f t="shared" si="990"/>
        <v>7.7568253968257483</v>
      </c>
      <c r="DU362" s="712"/>
      <c r="DV362" s="712">
        <f>Sheet1!ED362+Sheet1!EE362+Sheet1!EF362+Sheet1!EG362</f>
        <v>8.5</v>
      </c>
      <c r="DW362" s="712"/>
      <c r="DX362" s="697">
        <f t="shared" si="991"/>
        <v>0</v>
      </c>
      <c r="DY362" s="712">
        <f>IF(Sheet1!FN362=1,SUM('Calculations II'!AT362:BA362)+'Calculations II'!BC362+Sheet1!BU362+'Calculations II'!BE362+AF362,SUM('Calculations II'!AT362:BA362)+'Calculations II'!BC362+Sheet1!BU362+'Calculations II'!BE362+AF362)</f>
        <v>47.116112000000001</v>
      </c>
      <c r="DZ362" s="712">
        <f>Sheet1!AA362+Sheet1!AB362+'Calculations II'!BC362</f>
        <v>52.339999999996508</v>
      </c>
      <c r="EA362" s="712"/>
      <c r="EB362" s="712"/>
      <c r="EC362" s="712">
        <f t="shared" si="992"/>
        <v>40891</v>
      </c>
      <c r="ED362" s="712">
        <f t="shared" si="993"/>
        <v>0</v>
      </c>
      <c r="EE362" s="712">
        <f t="shared" si="994"/>
        <v>0</v>
      </c>
      <c r="EF362" s="712">
        <f ca="1">IF(B362=TODAY(),0,-(VLOOKUP(Sheet1!BQ362,Lookup!$B$4:$J$236,2)-VLOOKUP(Sheet1!BQ361,Lookup!$B$4:$J$236,2))/1000000)</f>
        <v>2.1198000000000001</v>
      </c>
      <c r="EG362" s="712">
        <f ca="1">IF(B362=TODAY(),0,-(VLOOKUP(Sheet1!BR362,Lookup!$B$4:$J$236,3)-VLOOKUP(Sheet1!BR361,Lookup!$B$4:$J$236,3))/1000000)</f>
        <v>2.1162999999999998</v>
      </c>
      <c r="EH362" s="712">
        <f>-(VLOOKUP(Sheet1!BS362,Lookup!$B$4:$J$236,4)-VLOOKUP(Sheet1!BS361,Lookup!$B$4:$J$236,4))/1000000</f>
        <v>0</v>
      </c>
      <c r="EI362" s="697">
        <f t="shared" ca="1" si="922"/>
        <v>4.2361000000000004</v>
      </c>
      <c r="EJ362" s="712"/>
      <c r="EK362" s="712"/>
      <c r="EL362" s="712"/>
      <c r="EM362" s="712"/>
      <c r="EN362" s="712"/>
      <c r="EO362" s="712"/>
      <c r="EP362" s="712"/>
      <c r="EQ362" s="712"/>
      <c r="ER362" s="712"/>
      <c r="ES362" s="712"/>
      <c r="ET362" s="794" t="e">
        <f t="shared" si="919"/>
        <v>#N/A</v>
      </c>
      <c r="EU362" s="794" t="e">
        <f t="shared" si="924"/>
        <v>#N/A</v>
      </c>
      <c r="EV362" s="795" t="e">
        <f t="shared" si="925"/>
        <v>#N/A</v>
      </c>
      <c r="EW362" s="796" t="s">
        <v>757</v>
      </c>
      <c r="EX362" s="796" t="s">
        <v>757</v>
      </c>
      <c r="EY362" s="794" t="e">
        <v>#N/A</v>
      </c>
      <c r="EZ362" s="794" t="e">
        <v>#N/A</v>
      </c>
      <c r="FA362" s="712"/>
      <c r="FB362" s="712"/>
      <c r="FC362" s="712"/>
      <c r="FD362" s="712"/>
      <c r="FE362" s="712">
        <f>O362+Sheet1!CO362</f>
        <v>52.339999999996508</v>
      </c>
      <c r="FF362" s="712">
        <f>IF(Sheet1!AA362+AG362&lt;=Calculation!N362,AG362,Calculation!N362-Sheet1!AA362)</f>
        <v>17.963174603175418</v>
      </c>
      <c r="FG362" s="712">
        <f>(Sheet1!BP362+Sheet1!BO362)/694.4</f>
        <v>2.1428571428571428</v>
      </c>
      <c r="FH362" s="712"/>
      <c r="FI362" s="712"/>
      <c r="FJ362" s="712"/>
      <c r="FK362" s="712"/>
      <c r="FL362" s="714">
        <f t="shared" si="929"/>
        <v>40753</v>
      </c>
      <c r="FM362" s="714">
        <f t="shared" si="930"/>
        <v>40851</v>
      </c>
      <c r="FN362" s="712"/>
      <c r="FO362" s="712"/>
      <c r="FP362" s="712"/>
      <c r="FQ362" s="712"/>
      <c r="FR362" s="712"/>
      <c r="FS362" s="725">
        <f t="shared" ref="FS362:FX377" si="1014">FS361</f>
        <v>40603</v>
      </c>
      <c r="FT362" s="714">
        <f t="shared" si="932"/>
        <v>40709</v>
      </c>
      <c r="FU362" s="712">
        <f t="shared" si="1014"/>
        <v>6518.9048239895692</v>
      </c>
      <c r="FV362" s="714">
        <f t="shared" si="933"/>
        <v>40722</v>
      </c>
      <c r="FW362" s="712">
        <f t="shared" si="1014"/>
        <v>3259.4524119947846</v>
      </c>
      <c r="FX362" s="725">
        <f t="shared" si="1014"/>
        <v>40851</v>
      </c>
      <c r="FZ362" s="697">
        <f t="shared" si="926"/>
        <v>0</v>
      </c>
      <c r="GA362" s="712" t="str">
        <f t="shared" si="995"/>
        <v/>
      </c>
      <c r="GB362" s="712">
        <f t="shared" si="996"/>
        <v>0</v>
      </c>
      <c r="GC362" s="712" t="str">
        <f t="shared" si="997"/>
        <v/>
      </c>
      <c r="GD362" s="712">
        <f>IF(GA362="P",Lookup!$M$12,IF(GA362="PP",Lookup!$M$13,IF(GA362="PPP",Lookup!$M$14,IF(GA362="T",Lookup!$M$15,IF(GA362="TP",Lookup!$M$16,IF(GA362="TPP",Lookup!$M$17,IF(GA362="TPPP",Lookup!$M$18,0)))))))*FZ362</f>
        <v>0</v>
      </c>
      <c r="GE362" s="712">
        <f t="shared" si="998"/>
        <v>0</v>
      </c>
      <c r="GF362" s="712">
        <f t="shared" si="999"/>
        <v>0</v>
      </c>
      <c r="GG362" s="712">
        <f t="shared" si="1000"/>
        <v>0</v>
      </c>
      <c r="GH362" s="712"/>
      <c r="GI362" s="712">
        <f t="shared" si="1001"/>
        <v>0</v>
      </c>
      <c r="GJ362" s="712" t="str">
        <f t="shared" si="1002"/>
        <v/>
      </c>
      <c r="GK362" s="712">
        <f>IF(GA362="P",Lookup!$N$12,IF(GA362="PP",Lookup!$N$13,IF(GA362="PPP",Lookup!$N$14,IF(GA362="T",Lookup!$N$15,IF(GA362="TP",Lookup!$N$16,IF(GA362="TPP",Lookup!$N$17,IF(GA362="TPPP",Lookup!$N$18,0)))))))*FZ362</f>
        <v>0</v>
      </c>
      <c r="GL362" s="712">
        <f t="shared" si="1003"/>
        <v>0</v>
      </c>
      <c r="GM362" s="712">
        <f t="shared" si="1004"/>
        <v>0</v>
      </c>
      <c r="GN362" s="712">
        <f t="shared" si="1005"/>
        <v>0</v>
      </c>
      <c r="GO362" s="712"/>
      <c r="GP362" s="712">
        <f t="shared" si="1006"/>
        <v>0</v>
      </c>
      <c r="GQ362" s="712" t="str">
        <f t="shared" si="1007"/>
        <v/>
      </c>
      <c r="GR362" s="712">
        <f>IF(GA362="P",Lookup!$N$12,IF(GA362="PP",Lookup!$N$13,IF(GA362="PPP",Lookup!$N$14,IF(GA362="T",Lookup!$N$15,IF(GA362="TP",Lookup!$N$16,IF(GA362="TPP",Lookup!$N$17,IF(GA362="TPPP",Lookup!$N$18,0)))))))*FZ362</f>
        <v>0</v>
      </c>
      <c r="GS362" s="697">
        <f t="shared" si="927"/>
        <v>0</v>
      </c>
      <c r="GT362" s="712">
        <f t="shared" si="1008"/>
        <v>0</v>
      </c>
      <c r="GU362" s="712">
        <f t="shared" si="1009"/>
        <v>0</v>
      </c>
      <c r="GV362" s="712"/>
      <c r="GW362" s="712">
        <f t="shared" si="1010"/>
        <v>0</v>
      </c>
      <c r="GX362" s="712" t="str">
        <f t="shared" si="1011"/>
        <v/>
      </c>
      <c r="GY362" s="712">
        <f>IF(GA362="P",Lookup!$N$12,IF(GA362="PP",Lookup!$N$13,IF(GA362="PPP",Lookup!$N$14,IF(GA362="T",Lookup!$N$15,IF(GA362="TP",Lookup!$N$16,IF(GA362="TPP",Lookup!$N$17,IF(GA362="TPPP",Lookup!$N$18,0)))))))*FZ362</f>
        <v>0</v>
      </c>
      <c r="GZ362" s="697">
        <f t="shared" si="928"/>
        <v>0</v>
      </c>
      <c r="HA362" s="712">
        <f t="shared" si="1012"/>
        <v>0</v>
      </c>
      <c r="HB362" s="712">
        <f t="shared" si="1013"/>
        <v>0</v>
      </c>
      <c r="HC362" s="712"/>
    </row>
    <row r="363" spans="1:211">
      <c r="A363" s="773" t="s">
        <v>7</v>
      </c>
      <c r="B363" s="708">
        <v>40892</v>
      </c>
      <c r="C363" s="719">
        <v>0.5</v>
      </c>
      <c r="D363" s="675">
        <f t="shared" si="936"/>
        <v>300</v>
      </c>
      <c r="E363" s="675">
        <f t="shared" si="937"/>
        <v>250</v>
      </c>
      <c r="F363" s="675">
        <v>250</v>
      </c>
      <c r="G363" s="712">
        <f>DH363+Sheet1!CV363</f>
        <v>462.94856278366109</v>
      </c>
      <c r="H363" s="712">
        <f t="shared" si="938"/>
        <v>32.286750983358523</v>
      </c>
      <c r="I363" s="711">
        <f>MAX(Sheet1!Z363-AJ363+(Sheet1!CW363-E363)*CFStoMGD,0)</f>
        <v>272.30727372133913</v>
      </c>
      <c r="J363" s="720">
        <f>IF(AND(B363&gt;=Calculation!FS363,B363&lt;=Calculation!FT363),IF(Sheet1!CX363&gt;=Calculation!D363,64.64,0),MAX(Sheet1!Z363-AJ363+(Sheet1!CX363-D363)*CFStoMGD,0))</f>
        <v>87.591740388005846</v>
      </c>
      <c r="K363" s="697">
        <f t="shared" si="939"/>
        <v>32.286750983358523</v>
      </c>
      <c r="L363" s="712">
        <f>Sheet1!AA363+Sheet1!AB363-Sheet1!L363+(Sheet1!CW363-F363)*CFStoMGD</f>
        <v>320.63593333333506</v>
      </c>
      <c r="M363" s="712">
        <f t="shared" si="940"/>
        <v>305.23495000302569</v>
      </c>
      <c r="N363" s="712">
        <f>IF(Sheet1!CW363&gt;=F363,MIN(73,MIN(MAX(L363,0),MAX(M363,0))),0)</f>
        <v>73</v>
      </c>
      <c r="O363" s="721">
        <f>Sheet1!AA363+Sheet1!AB363</f>
        <v>55.080000000001746</v>
      </c>
      <c r="P363" s="721">
        <f t="shared" si="941"/>
        <v>85.208760000002698</v>
      </c>
      <c r="Q363" s="712">
        <f>MIN(N363,Sheet1!AA363+AG363)</f>
        <v>46.58865961199416</v>
      </c>
      <c r="R363" s="712">
        <f t="shared" si="942"/>
        <v>8.4913403880075879</v>
      </c>
      <c r="S363" s="721">
        <f>Sheet1!Y363*MGDtoCFS</f>
        <v>42.202159999999999</v>
      </c>
      <c r="T363" s="721">
        <f>Sheet1!Z363*MGDtoCFS</f>
        <v>40.361229999999999</v>
      </c>
      <c r="U363" s="721">
        <f>Sheet1!AA363*MGDtoCFS</f>
        <v>42.155749999999998</v>
      </c>
      <c r="V363" s="721">
        <f>Sheet1!AB363*MGDtoCFS</f>
        <v>43.053010000002701</v>
      </c>
      <c r="W363" s="721">
        <f>Sheet1!L363*MGDtoCFS</f>
        <v>0</v>
      </c>
      <c r="X363" s="697">
        <f t="shared" si="943"/>
        <v>0.15187954865070896</v>
      </c>
      <c r="Y363" s="712">
        <f t="shared" si="944"/>
        <v>0.23495766176264676</v>
      </c>
      <c r="Z363" s="712">
        <f t="shared" si="945"/>
        <v>0</v>
      </c>
      <c r="AA363" s="712">
        <f t="shared" si="946"/>
        <v>0</v>
      </c>
      <c r="AB363" s="712">
        <f>(VLOOKUP(Sheet1!CY363,hhdcap_wcm,4)-(((VLOOKUP(Sheet1!CY363,hhdcap_wcm,3)-Sheet1!CY363)/(VLOOKUP(Sheet1!CY363,hhdcap_wcm,3)-VLOOKUP(Sheet1!CY363,hhdcap_wcm,1)))*(VLOOKUP(Sheet1!CY363,hhdcap_wcm,4)-VLOOKUP(Sheet1!CY363,hhdcap_wcm,2))))</f>
        <v>1795.8400000025799</v>
      </c>
      <c r="AC363" s="712">
        <f t="shared" si="947"/>
        <v>1.2200000000000273</v>
      </c>
      <c r="AD363" s="712">
        <f t="shared" si="948"/>
        <v>0</v>
      </c>
      <c r="AE363" s="712">
        <f t="shared" si="949"/>
        <v>0</v>
      </c>
      <c r="AF363" s="712">
        <f>Sheet1!BA363+Sheet1!BB363+Sheet1!BN363+BT363</f>
        <v>19.7</v>
      </c>
      <c r="AG363" s="712">
        <f t="shared" si="950"/>
        <v>19.338659611994157</v>
      </c>
      <c r="AH363" s="712">
        <f>Sheet1!BA363+BT363</f>
        <v>0</v>
      </c>
      <c r="AI363" s="712">
        <f>Sheet1!BA363+Sheet1!BB363+BT363</f>
        <v>0</v>
      </c>
      <c r="AJ363" s="712">
        <f>IF((Sheet1!AA363+AG363+AX363+AZ363+BQ363+BS363+CL363+CN363)&lt;=N363,AG363+AX363+AZ363+BQ363+BS363+CL363+CN363,N363-Sheet1!AA363)</f>
        <v>19.338659611994157</v>
      </c>
      <c r="AK363" s="712">
        <f>IF(DR363&lt;K363,0,MAX(Sheet1!AA363+AG363-15/36*K363-N363,Sheet1!ED363,0))</f>
        <v>0</v>
      </c>
      <c r="AL363" s="712">
        <f>IF(OR(B363&gt;=FT363,B363&lt;FS363),0,15/36*K363-MAX(0,64.6-(137.6-(Sheet1!AA363+Sheet1!AB363))))</f>
        <v>0</v>
      </c>
      <c r="AM363" s="712">
        <f>Sheet1!CX363-110</f>
        <v>315.0625</v>
      </c>
      <c r="AN363" s="712">
        <f>Sheet1!CW363-265</f>
        <v>395.82291666666663</v>
      </c>
      <c r="AO363" s="712">
        <f t="shared" si="934"/>
        <v>26.41134038800584</v>
      </c>
      <c r="AP363" s="712">
        <f t="shared" si="951"/>
        <v>0</v>
      </c>
      <c r="AQ363" s="712">
        <f t="shared" si="952"/>
        <v>0</v>
      </c>
      <c r="AR363" s="712">
        <f t="shared" si="953"/>
        <v>0</v>
      </c>
      <c r="AS363" s="712"/>
      <c r="AT363" s="712">
        <f ca="1">IF(B363&gt;Summary!$A$1,#N/A,AR363*MGtoAF)</f>
        <v>0</v>
      </c>
      <c r="AU363" s="712">
        <f>Sheet1!BG363+Sheet1!BH363+Sheet1!BI363-BC363</f>
        <v>0</v>
      </c>
      <c r="AV363" s="712">
        <f t="shared" si="954"/>
        <v>0</v>
      </c>
      <c r="AW363" s="712">
        <f>IF(Sheet1!EL363="FM",BC363,0)</f>
        <v>0</v>
      </c>
      <c r="AX363" s="712">
        <f t="shared" si="955"/>
        <v>0</v>
      </c>
      <c r="AY363" s="712">
        <f>IF(Sheet1!EL363="OTHER",BC363,0)</f>
        <v>0</v>
      </c>
      <c r="AZ363" s="712">
        <f t="shared" si="956"/>
        <v>0</v>
      </c>
      <c r="BA363" s="712">
        <f t="shared" si="957"/>
        <v>0</v>
      </c>
      <c r="BB363" s="712">
        <f t="shared" si="958"/>
        <v>0</v>
      </c>
      <c r="BC363" s="712">
        <f>IF(OR(Sheet1!EL363="FM", Sheet1!EL363="OTHER"),SUM(Sheet1!BG363:'Sheet1'!BI363),0)</f>
        <v>0</v>
      </c>
      <c r="BD363" s="697">
        <f>IF(AND($B363&gt;=$FL363,$B363&lt;=$FM363),MAX(AV363,Sheet1!EE363,0),MAX(AV363-(7/36)*$K363,0))</f>
        <v>0</v>
      </c>
      <c r="BE363" s="712">
        <f t="shared" si="959"/>
        <v>0</v>
      </c>
      <c r="BF363" s="697">
        <f t="shared" si="960"/>
        <v>0</v>
      </c>
      <c r="BG363" s="697">
        <f>IF(AND($O363&gt;0,Sheet1!EI363=1),(1-($O363-Sheet1!$L363)/$O363)*BB363,0)</f>
        <v>0</v>
      </c>
      <c r="BH363" s="697">
        <f>IF(AND(Sheet1!$L363=0,Sheet1!$L362=0, Calculation!BA363&lt;Sheet1!$EE363-0.1,Sheet1!$EE363=Sheet1!$EE362,Sheet1!$EE363=Sheet1!$EE364),Sheet1!$EE363,BB363-BG363)</f>
        <v>0</v>
      </c>
      <c r="BI363" s="712"/>
      <c r="BJ363" s="712"/>
      <c r="BK363" s="712">
        <f t="shared" si="961"/>
        <v>0</v>
      </c>
      <c r="BL363" s="712"/>
      <c r="BM363" s="712">
        <f ca="1">IF(B363&gt;Summary!$A$1,#N/A,BK363*MGtoAF)</f>
        <v>0</v>
      </c>
      <c r="BN363" s="712">
        <f>Sheet1!BC363+Sheet1!BD363+Sheet1!BE363+Sheet1!BF363-BW363-BX363</f>
        <v>2.1</v>
      </c>
      <c r="BO363" s="712">
        <f t="shared" si="962"/>
        <v>2.0614814814816107</v>
      </c>
      <c r="BP363" s="712">
        <f>IF(Sheet1!EM363="FM",BX363,0)</f>
        <v>0</v>
      </c>
      <c r="BQ363" s="712">
        <f t="shared" si="963"/>
        <v>0</v>
      </c>
      <c r="BR363" s="712">
        <f>IF(Sheet1!EM363="OTHER",BX363,0)</f>
        <v>0</v>
      </c>
      <c r="BS363" s="712">
        <f t="shared" si="964"/>
        <v>0</v>
      </c>
      <c r="BT363" s="712">
        <f t="shared" si="965"/>
        <v>0</v>
      </c>
      <c r="BU363" s="712">
        <f t="shared" si="966"/>
        <v>2.1</v>
      </c>
      <c r="BV363" s="712">
        <f t="shared" si="967"/>
        <v>2.0614814814816107</v>
      </c>
      <c r="BW363" s="712">
        <f>IF(Sheet1!EM363="CWA",SUM(Sheet1!BC363:'Sheet1'!BF363),0)</f>
        <v>0</v>
      </c>
      <c r="BX363" s="712">
        <f>IF(OR(Sheet1!EM363="FM", Sheet1!EM363="OTHER"),SUM(Sheet1!BC363:'Sheet1'!BF363),0)</f>
        <v>0</v>
      </c>
      <c r="BY363" s="697">
        <f>IF(AND($B363&gt;=$FL363,$B363&lt;=$FM363),MAX(BV363,Sheet1!EF363,0),MAX(BV363-(7/36)*$K363,0))</f>
        <v>0</v>
      </c>
      <c r="BZ363" s="712">
        <f t="shared" si="968"/>
        <v>0</v>
      </c>
      <c r="CA363" s="697">
        <f t="shared" si="969"/>
        <v>2.0614814814816107</v>
      </c>
      <c r="CB363" s="697">
        <f>IF(AND($O363&gt;0,Sheet1!EJ363=1),(1-($O363-Sheet1!$L363)/$O363)*BV363,0)</f>
        <v>0</v>
      </c>
      <c r="CC363" s="697">
        <f>IF(AND(Sheet1!$L363=0,Sheet1!$L362=0, Calculation!BU363&lt;Sheet1!EF363-0.1,Sheet1!EF363=Sheet1!EF362,Sheet1!EF363=Sheet1!EF364),Sheet1!EF363,BV363-CB363)</f>
        <v>2.0614814814816107</v>
      </c>
      <c r="CD363" s="697"/>
      <c r="CE363" s="712"/>
      <c r="CF363" s="712">
        <f t="shared" si="970"/>
        <v>0</v>
      </c>
      <c r="CG363" s="712"/>
      <c r="CH363" s="712">
        <f ca="1">IF(B363&gt;Summary!$A$1,#N/A,CF363*MGtoAF)</f>
        <v>0</v>
      </c>
      <c r="CI363" s="712">
        <f>Sheet1!BK363+Sheet1!BL363+Sheet1!BM363-Sheet1!EN363-CQ363</f>
        <v>6.5500000000000007</v>
      </c>
      <c r="CJ363" s="712">
        <f t="shared" si="971"/>
        <v>6.4298589065259772</v>
      </c>
      <c r="CK363" s="712">
        <f>IF(Sheet1!EN363="FM",CQ363,0)</f>
        <v>0</v>
      </c>
      <c r="CL363" s="712">
        <f t="shared" si="972"/>
        <v>0</v>
      </c>
      <c r="CM363" s="712">
        <f>IF(Sheet1!EN363="OTHER",CQ363,0)</f>
        <v>0</v>
      </c>
      <c r="CN363" s="712">
        <f t="shared" si="973"/>
        <v>0</v>
      </c>
      <c r="CO363" s="712">
        <f t="shared" si="974"/>
        <v>6.5500000000000007</v>
      </c>
      <c r="CP363" s="712">
        <f t="shared" si="975"/>
        <v>6.4298589065259772</v>
      </c>
      <c r="CQ363" s="712">
        <f>IF(OR(Sheet1!EN363="FM", Sheet1!EN363="OTHER"),SUM(Sheet1!BK363:'Sheet1'!BM363),0)</f>
        <v>0</v>
      </c>
      <c r="CR363" s="697">
        <f>IF(AND($B363&gt;=$FL363,$B363&lt;=$FM363),MAX($CJ363,Sheet1!EG363,0),MAX($CJ363-(7/36)*$K363,0))</f>
        <v>0.15187954865070896</v>
      </c>
      <c r="CS363" s="712">
        <f t="shared" si="976"/>
        <v>0</v>
      </c>
      <c r="CT363" s="697">
        <f t="shared" si="977"/>
        <v>6.2779793578752683</v>
      </c>
      <c r="CU363" s="697">
        <f>IF(AND($O363&gt;0,Sheet1!EK363=1),(1-($O363-Sheet1!$L363)/$O363)*CP363,0)</f>
        <v>0</v>
      </c>
      <c r="CV363" s="697">
        <f>IF(AND(Sheet1!$L363=0,Sheet1!$L362=0, Calculation!CO363&lt;Sheet1!$EG363-0.1,Sheet1!$EG363=Sheet1!$EG362,Sheet1!$EG363=Sheet1!$EG364),Sheet1!$EG363,CP363-CU363)</f>
        <v>6.4298589065259772</v>
      </c>
      <c r="CW363" s="697"/>
      <c r="CX363" s="712">
        <f t="shared" si="978"/>
        <v>8.65</v>
      </c>
      <c r="CY363" s="712">
        <f t="shared" si="979"/>
        <v>0</v>
      </c>
      <c r="CZ363" s="712">
        <f t="shared" si="980"/>
        <v>8.4913403880075879</v>
      </c>
      <c r="DA363" s="712">
        <f ca="1">IF(B363&gt;Summary!$A$1,#N/A,CY363*MGtoAF)</f>
        <v>0</v>
      </c>
      <c r="DB363" s="712">
        <f t="shared" si="981"/>
        <v>8.65</v>
      </c>
      <c r="DC363" s="712">
        <f t="shared" si="982"/>
        <v>28.35</v>
      </c>
      <c r="DD363" s="712">
        <f>Sheet1!AB363-DC363</f>
        <v>-0.51999999999825519</v>
      </c>
      <c r="DE363" s="712">
        <f t="shared" si="983"/>
        <v>-1.8342151675423461E-2</v>
      </c>
      <c r="DF363" s="712">
        <f>(VLOOKUP(Sheet1!CY363,hhdcap_wcm,4)-(((VLOOKUP(Sheet1!CY363,hhdcap_wcm,3)-Sheet1!CY363)/(VLOOKUP(Sheet1!CY363,hhdcap_wcm,3)-VLOOKUP(Sheet1!CY363,hhdcap_wcm,1)))*(VLOOKUP(Sheet1!CY363,hhdcap_wcm,4)-VLOOKUP(Sheet1!CY363,hhdcap_wcm,2))))</f>
        <v>1795.8400000025799</v>
      </c>
      <c r="DG363" s="712">
        <f t="shared" si="984"/>
        <v>1.2200000000000273</v>
      </c>
      <c r="DH363" s="712">
        <f t="shared" si="985"/>
        <v>0.61522945032779985</v>
      </c>
      <c r="DI363" s="712">
        <f>Sheet1!DW363*AFtoMG</f>
        <v>0</v>
      </c>
      <c r="DJ363" s="712">
        <f>Sheet1!DX363*AFtoMG</f>
        <v>0</v>
      </c>
      <c r="DK363" s="712">
        <f>Sheet1!DY363*AFtoMG</f>
        <v>0</v>
      </c>
      <c r="DL363" s="712">
        <f>Sheet1!DZ363*AFtoMG</f>
        <v>0</v>
      </c>
      <c r="DM363" s="712">
        <f t="shared" si="986"/>
        <v>0</v>
      </c>
      <c r="DN363" s="712">
        <f t="shared" si="987"/>
        <v>0</v>
      </c>
      <c r="DO363" s="712">
        <f t="shared" si="988"/>
        <v>0</v>
      </c>
      <c r="DP363" s="712">
        <f t="shared" si="989"/>
        <v>0</v>
      </c>
      <c r="DQ363" s="712"/>
      <c r="DR363" s="697">
        <f>IF(OR(B363&lt;FL363,B363&gt;FM363),(MIN(AV363+BO363+CJ363+MAX(Sheet1!AA363+AG363-73,0),K363)),0)</f>
        <v>8.4913403880075879</v>
      </c>
      <c r="DS363" s="712"/>
      <c r="DT363" s="712">
        <f t="shared" si="990"/>
        <v>8.4913403880075879</v>
      </c>
      <c r="DU363" s="712"/>
      <c r="DV363" s="712">
        <f>Sheet1!ED363+Sheet1!EE363+Sheet1!EF363+Sheet1!EG363</f>
        <v>8.5</v>
      </c>
      <c r="DW363" s="712"/>
      <c r="DX363" s="697">
        <f t="shared" si="991"/>
        <v>0.15187954865070896</v>
      </c>
      <c r="DY363" s="712">
        <f>IF(Sheet1!FN363=1,SUM('Calculations II'!AT363:BA363)+'Calculations II'!BC363+Sheet1!BU363+'Calculations II'!BE363+AF363,SUM('Calculations II'!AT363:BA363)+'Calculations II'!BC363+Sheet1!BU363+'Calculations II'!BE363+AF363)</f>
        <v>42.508479999999999</v>
      </c>
      <c r="DZ363" s="712">
        <f>Sheet1!AA363+Sheet1!AB363+'Calculations II'!BC363</f>
        <v>55.080000000001746</v>
      </c>
      <c r="EA363" s="712"/>
      <c r="EB363" s="712"/>
      <c r="EC363" s="712">
        <f t="shared" si="992"/>
        <v>40892</v>
      </c>
      <c r="ED363" s="712">
        <f t="shared" si="993"/>
        <v>-0.15187954865070896</v>
      </c>
      <c r="EE363" s="712">
        <f t="shared" si="994"/>
        <v>-0.23495766176264676</v>
      </c>
      <c r="EF363" s="712">
        <f ca="1">IF(B363=TODAY(),0,-(VLOOKUP(Sheet1!BQ363,Lookup!$B$4:$J$236,2)-VLOOKUP(Sheet1!BQ362,Lookup!$B$4:$J$236,2))/1000000)</f>
        <v>-0.52739999999999998</v>
      </c>
      <c r="EG363" s="712">
        <f ca="1">IF(B363=TODAY(),0,-(VLOOKUP(Sheet1!BR363,Lookup!$B$4:$J$236,3)-VLOOKUP(Sheet1!BR362,Lookup!$B$4:$J$236,3))/1000000)</f>
        <v>-0.52659999999999996</v>
      </c>
      <c r="EH363" s="712">
        <f>-(VLOOKUP(Sheet1!BS363,Lookup!$B$4:$J$236,4)-VLOOKUP(Sheet1!BS362,Lookup!$B$4:$J$236,4))/1000000</f>
        <v>0</v>
      </c>
      <c r="EI363" s="697">
        <f t="shared" ca="1" si="922"/>
        <v>-1.0539999999999998</v>
      </c>
      <c r="EJ363" s="712"/>
      <c r="EK363" s="712"/>
      <c r="EL363" s="712"/>
      <c r="EM363" s="712"/>
      <c r="EN363" s="712"/>
      <c r="EO363" s="712"/>
      <c r="EP363" s="712"/>
      <c r="EQ363" s="712"/>
      <c r="ER363" s="712"/>
      <c r="ES363" s="712"/>
      <c r="ET363" s="794" t="e">
        <f t="shared" si="919"/>
        <v>#N/A</v>
      </c>
      <c r="EU363" s="794" t="e">
        <f t="shared" si="924"/>
        <v>#N/A</v>
      </c>
      <c r="EV363" s="795" t="e">
        <f t="shared" si="925"/>
        <v>#N/A</v>
      </c>
      <c r="EW363" s="796" t="s">
        <v>757</v>
      </c>
      <c r="EX363" s="796" t="s">
        <v>757</v>
      </c>
      <c r="EY363" s="794" t="e">
        <v>#N/A</v>
      </c>
      <c r="EZ363" s="794" t="e">
        <v>#N/A</v>
      </c>
      <c r="FA363" s="712"/>
      <c r="FB363" s="712"/>
      <c r="FC363" s="712"/>
      <c r="FD363" s="712"/>
      <c r="FE363" s="712">
        <f>O363+Sheet1!CO363</f>
        <v>55.080000000001746</v>
      </c>
      <c r="FF363" s="712">
        <f>IF(Sheet1!AA363+AG363&lt;=Calculation!N363,AG363,Calculation!N363-Sheet1!AA363)</f>
        <v>19.338659611994157</v>
      </c>
      <c r="FG363" s="712">
        <f>(Sheet1!BP363+Sheet1!BO363)/694.4</f>
        <v>1.4565092165898619</v>
      </c>
      <c r="FH363" s="712"/>
      <c r="FI363" s="712"/>
      <c r="FJ363" s="712"/>
      <c r="FK363" s="712"/>
      <c r="FL363" s="714">
        <f t="shared" si="929"/>
        <v>40753</v>
      </c>
      <c r="FM363" s="714">
        <f t="shared" si="930"/>
        <v>40851</v>
      </c>
      <c r="FN363" s="712"/>
      <c r="FO363" s="712"/>
      <c r="FP363" s="712"/>
      <c r="FQ363" s="712"/>
      <c r="FR363" s="712"/>
      <c r="FS363" s="725">
        <f t="shared" si="1014"/>
        <v>40603</v>
      </c>
      <c r="FT363" s="714">
        <f t="shared" si="932"/>
        <v>40709</v>
      </c>
      <c r="FU363" s="712">
        <f t="shared" si="1014"/>
        <v>6518.9048239895692</v>
      </c>
      <c r="FV363" s="714">
        <f t="shared" si="933"/>
        <v>40722</v>
      </c>
      <c r="FW363" s="712">
        <f t="shared" si="1014"/>
        <v>3259.4524119947846</v>
      </c>
      <c r="FX363" s="725">
        <f t="shared" si="1014"/>
        <v>40851</v>
      </c>
      <c r="FZ363" s="697">
        <f t="shared" si="926"/>
        <v>0</v>
      </c>
      <c r="GA363" s="712" t="str">
        <f t="shared" si="995"/>
        <v/>
      </c>
      <c r="GB363" s="712">
        <f t="shared" si="996"/>
        <v>0</v>
      </c>
      <c r="GC363" s="712" t="str">
        <f t="shared" si="997"/>
        <v/>
      </c>
      <c r="GD363" s="712">
        <f>IF(GA363="P",Lookup!$M$12,IF(GA363="PP",Lookup!$M$13,IF(GA363="PPP",Lookup!$M$14,IF(GA363="T",Lookup!$M$15,IF(GA363="TP",Lookup!$M$16,IF(GA363="TPP",Lookup!$M$17,IF(GA363="TPPP",Lookup!$M$18,0)))))))*FZ363</f>
        <v>0</v>
      </c>
      <c r="GE363" s="712">
        <f t="shared" si="998"/>
        <v>0</v>
      </c>
      <c r="GF363" s="712">
        <f t="shared" si="999"/>
        <v>0</v>
      </c>
      <c r="GG363" s="712">
        <f t="shared" si="1000"/>
        <v>0</v>
      </c>
      <c r="GH363" s="712"/>
      <c r="GI363" s="712">
        <f t="shared" si="1001"/>
        <v>0</v>
      </c>
      <c r="GJ363" s="712" t="str">
        <f t="shared" si="1002"/>
        <v/>
      </c>
      <c r="GK363" s="712">
        <f>IF(GA363="P",Lookup!$N$12,IF(GA363="PP",Lookup!$N$13,IF(GA363="PPP",Lookup!$N$14,IF(GA363="T",Lookup!$N$15,IF(GA363="TP",Lookup!$N$16,IF(GA363="TPP",Lookup!$N$17,IF(GA363="TPPP",Lookup!$N$18,0)))))))*FZ363</f>
        <v>0</v>
      </c>
      <c r="GL363" s="712">
        <f t="shared" si="1003"/>
        <v>0</v>
      </c>
      <c r="GM363" s="712">
        <f t="shared" si="1004"/>
        <v>0</v>
      </c>
      <c r="GN363" s="712">
        <f t="shared" si="1005"/>
        <v>0</v>
      </c>
      <c r="GO363" s="712"/>
      <c r="GP363" s="712">
        <f t="shared" si="1006"/>
        <v>0</v>
      </c>
      <c r="GQ363" s="712" t="str">
        <f t="shared" si="1007"/>
        <v/>
      </c>
      <c r="GR363" s="712">
        <f>IF(GA363="P",Lookup!$N$12,IF(GA363="PP",Lookup!$N$13,IF(GA363="PPP",Lookup!$N$14,IF(GA363="T",Lookup!$N$15,IF(GA363="TP",Lookup!$N$16,IF(GA363="TPP",Lookup!$N$17,IF(GA363="TPPP",Lookup!$N$18,0)))))))*FZ363</f>
        <v>0</v>
      </c>
      <c r="GS363" s="697">
        <f t="shared" si="927"/>
        <v>0</v>
      </c>
      <c r="GT363" s="712">
        <f t="shared" si="1008"/>
        <v>0</v>
      </c>
      <c r="GU363" s="712">
        <f t="shared" si="1009"/>
        <v>0</v>
      </c>
      <c r="GV363" s="712"/>
      <c r="GW363" s="712">
        <f t="shared" si="1010"/>
        <v>0</v>
      </c>
      <c r="GX363" s="712" t="str">
        <f t="shared" si="1011"/>
        <v/>
      </c>
      <c r="GY363" s="712">
        <f>IF(GA363="P",Lookup!$N$12,IF(GA363="PP",Lookup!$N$13,IF(GA363="PPP",Lookup!$N$14,IF(GA363="T",Lookup!$N$15,IF(GA363="TP",Lookup!$N$16,IF(GA363="TPP",Lookup!$N$17,IF(GA363="TPPP",Lookup!$N$18,0)))))))*FZ363</f>
        <v>0</v>
      </c>
      <c r="GZ363" s="697">
        <f t="shared" si="928"/>
        <v>0</v>
      </c>
      <c r="HA363" s="712">
        <f t="shared" si="1012"/>
        <v>0</v>
      </c>
      <c r="HB363" s="712">
        <f t="shared" si="1013"/>
        <v>0</v>
      </c>
      <c r="HC363" s="712"/>
    </row>
    <row r="364" spans="1:211">
      <c r="A364" s="773" t="s">
        <v>8</v>
      </c>
      <c r="B364" s="708">
        <v>40893</v>
      </c>
      <c r="C364" s="709">
        <v>0.5</v>
      </c>
      <c r="D364" s="675">
        <f t="shared" si="936"/>
        <v>300</v>
      </c>
      <c r="E364" s="675">
        <f t="shared" si="937"/>
        <v>250</v>
      </c>
      <c r="F364" s="675">
        <v>250</v>
      </c>
      <c r="G364" s="712">
        <f>DH364+Sheet1!CV364</f>
        <v>448.35804336863328</v>
      </c>
      <c r="H364" s="712">
        <f t="shared" si="938"/>
        <v>22.85543923348455</v>
      </c>
      <c r="I364" s="711">
        <f>MAX(Sheet1!Z364-AJ364+(Sheet1!CW364-E364)*CFStoMGD,0)</f>
        <v>268.0861592286501</v>
      </c>
      <c r="J364" s="720">
        <f>IF(AND(B364&gt;=Calculation!FS364,B364&lt;=Calculation!FT364),IF(Sheet1!CX364&gt;=Calculation!D364,64.64,0),MAX(Sheet1!Z364-AJ364+(Sheet1!CX364-D364)*CFStoMGD,0))</f>
        <v>77.088425895316789</v>
      </c>
      <c r="K364" s="697">
        <f t="shared" si="939"/>
        <v>22.85543923348455</v>
      </c>
      <c r="L364" s="712">
        <f>Sheet1!AA364+Sheet1!AB364-Sheet1!L364+(Sheet1!CW364-F364)*CFStoMGD</f>
        <v>315.30660000000461</v>
      </c>
      <c r="M364" s="712">
        <f t="shared" si="940"/>
        <v>295.61501201815423</v>
      </c>
      <c r="N364" s="712">
        <f>IF(Sheet1!CW364&gt;=F364,MIN(73,MIN(MAX(L364,0),MAX(M364,0))),0)</f>
        <v>73</v>
      </c>
      <c r="O364" s="721">
        <f>Sheet1!AA364+Sheet1!AB364</f>
        <v>57.090000000004657</v>
      </c>
      <c r="P364" s="721">
        <f t="shared" si="941"/>
        <v>88.318230000007205</v>
      </c>
      <c r="Q364" s="712">
        <f>MIN(N364,Sheet1!AA364+AG364)</f>
        <v>47.660440771354516</v>
      </c>
      <c r="R364" s="712">
        <f t="shared" si="942"/>
        <v>9.4295592286501382</v>
      </c>
      <c r="S364" s="721">
        <f>Sheet1!Y364*MGDtoCFS</f>
        <v>41.521479999999997</v>
      </c>
      <c r="T364" s="721">
        <f>Sheet1!Z364*MGDtoCFS</f>
        <v>47.028799999999997</v>
      </c>
      <c r="U364" s="721">
        <f>Sheet1!AA364*MGDtoCFS</f>
        <v>41.970110000007203</v>
      </c>
      <c r="V364" s="721">
        <f>Sheet1!AB364*MGDtoCFS</f>
        <v>46.348120000000002</v>
      </c>
      <c r="W364" s="721">
        <f>Sheet1!L364*MGDtoCFS</f>
        <v>0</v>
      </c>
      <c r="X364" s="697">
        <f t="shared" si="943"/>
        <v>2.6951154658490788</v>
      </c>
      <c r="Y364" s="712">
        <f t="shared" si="944"/>
        <v>4.1693436256685246</v>
      </c>
      <c r="Z364" s="712">
        <f t="shared" si="945"/>
        <v>0</v>
      </c>
      <c r="AA364" s="712">
        <f t="shared" si="946"/>
        <v>0</v>
      </c>
      <c r="AB364" s="712">
        <f>(VLOOKUP(Sheet1!CY364,hhdcap_wcm,4)-(((VLOOKUP(Sheet1!CY364,hhdcap_wcm,3)-Sheet1!CY364)/(VLOOKUP(Sheet1!CY364,hhdcap_wcm,3)-VLOOKUP(Sheet1!CY364,hhdcap_wcm,1)))*(VLOOKUP(Sheet1!CY364,hhdcap_wcm,4)-VLOOKUP(Sheet1!CY364,hhdcap_wcm,2))))</f>
        <v>1803.1600000025796</v>
      </c>
      <c r="AC364" s="712">
        <f t="shared" si="947"/>
        <v>7.319999999999709</v>
      </c>
      <c r="AD364" s="712">
        <f t="shared" si="948"/>
        <v>0</v>
      </c>
      <c r="AE364" s="712">
        <f t="shared" si="949"/>
        <v>0</v>
      </c>
      <c r="AF364" s="712">
        <f>Sheet1!BA364+Sheet1!BB364+Sheet1!BN364+BT364</f>
        <v>19.899999999999999</v>
      </c>
      <c r="AG364" s="712">
        <f t="shared" si="950"/>
        <v>20.530440771349863</v>
      </c>
      <c r="AH364" s="712">
        <f>Sheet1!BA364+BT364</f>
        <v>0</v>
      </c>
      <c r="AI364" s="712">
        <f>Sheet1!BA364+Sheet1!BB364+BT364</f>
        <v>0</v>
      </c>
      <c r="AJ364" s="712">
        <f>IF((Sheet1!AA364+AG364+AX364+AZ364+BQ364+BS364+CL364+CN364)&lt;=N364,AG364+AX364+AZ364+BQ364+BS364+CL364+CN364,N364-Sheet1!AA364)</f>
        <v>20.530440771349863</v>
      </c>
      <c r="AK364" s="712">
        <f>IF(DR364&lt;K364,0,MAX(Sheet1!AA364+AG364-15/36*K364-N364,Sheet1!ED364,0))</f>
        <v>0</v>
      </c>
      <c r="AL364" s="712">
        <f>IF(OR(B364&gt;=FT364,B364&lt;FS364),0,15/36*K364-MAX(0,64.6-(137.6-(Sheet1!AA364+Sheet1!AB364))))</f>
        <v>0</v>
      </c>
      <c r="AM364" s="712">
        <f>Sheet1!CX364-110</f>
        <v>293.98958333333331</v>
      </c>
      <c r="AN364" s="712">
        <f>Sheet1!CW364-265</f>
        <v>384.46875</v>
      </c>
      <c r="AO364" s="712">
        <f t="shared" si="934"/>
        <v>25.339559228645484</v>
      </c>
      <c r="AP364" s="712">
        <f t="shared" si="951"/>
        <v>0</v>
      </c>
      <c r="AQ364" s="712">
        <f t="shared" si="952"/>
        <v>0</v>
      </c>
      <c r="AR364" s="712">
        <f t="shared" si="953"/>
        <v>0</v>
      </c>
      <c r="AS364" s="712"/>
      <c r="AT364" s="712">
        <f ca="1">IF(B364&gt;Summary!$A$1,#N/A,AR364*MGtoAF)</f>
        <v>0</v>
      </c>
      <c r="AU364" s="712">
        <f>Sheet1!BG364+Sheet1!BH364+Sheet1!BI364-BC364</f>
        <v>0</v>
      </c>
      <c r="AV364" s="712">
        <f t="shared" si="954"/>
        <v>0</v>
      </c>
      <c r="AW364" s="712">
        <f>IF(Sheet1!EL364="FM",BC364,0)</f>
        <v>0</v>
      </c>
      <c r="AX364" s="712">
        <f t="shared" si="955"/>
        <v>0</v>
      </c>
      <c r="AY364" s="712">
        <f>IF(Sheet1!EL364="OTHER",BC364,0)</f>
        <v>0</v>
      </c>
      <c r="AZ364" s="712">
        <f t="shared" si="956"/>
        <v>0</v>
      </c>
      <c r="BA364" s="712">
        <f t="shared" si="957"/>
        <v>0</v>
      </c>
      <c r="BB364" s="712">
        <f t="shared" si="958"/>
        <v>0</v>
      </c>
      <c r="BC364" s="712">
        <f>IF(OR(Sheet1!EL364="FM", Sheet1!EL364="OTHER"),SUM(Sheet1!BG364:'Sheet1'!BI364),0)</f>
        <v>0</v>
      </c>
      <c r="BD364" s="697">
        <f>IF(AND($B364&gt;=$FL364,$B364&lt;=$FM364),MAX(AV364,Sheet1!EE364,0),MAX(AV364-(7/36)*$K364,0))</f>
        <v>0</v>
      </c>
      <c r="BE364" s="712">
        <f t="shared" si="959"/>
        <v>0</v>
      </c>
      <c r="BF364" s="697">
        <f t="shared" si="960"/>
        <v>0</v>
      </c>
      <c r="BG364" s="697">
        <f>IF(AND($O364&gt;0,Sheet1!EI364=1),(1-($O364-Sheet1!$L364)/$O364)*BB364,0)</f>
        <v>0</v>
      </c>
      <c r="BH364" s="697">
        <f>IF(AND(Sheet1!$L364=0,Sheet1!$L363=0, Calculation!BA364&lt;Sheet1!$EE364-0.1,Sheet1!$EE364=Sheet1!$EE363,Sheet1!$EE364=Sheet1!$EE365),Sheet1!$EE364,BB364-BG364)</f>
        <v>0</v>
      </c>
      <c r="BI364" s="712"/>
      <c r="BJ364" s="712"/>
      <c r="BK364" s="712">
        <f t="shared" si="961"/>
        <v>0</v>
      </c>
      <c r="BL364" s="712"/>
      <c r="BM364" s="712">
        <f ca="1">IF(B364&gt;Summary!$A$1,#N/A,BK364*MGtoAF)</f>
        <v>0</v>
      </c>
      <c r="BN364" s="712">
        <f>Sheet1!BC364+Sheet1!BD364+Sheet1!BE364+Sheet1!BF364-BW364-BX364</f>
        <v>2.2199999999999998</v>
      </c>
      <c r="BO364" s="712">
        <f t="shared" si="962"/>
        <v>2.2903305785123966</v>
      </c>
      <c r="BP364" s="712">
        <f>IF(Sheet1!EM364="FM",BX364,0)</f>
        <v>0</v>
      </c>
      <c r="BQ364" s="712">
        <f t="shared" si="963"/>
        <v>0</v>
      </c>
      <c r="BR364" s="712">
        <f>IF(Sheet1!EM364="OTHER",BX364,0)</f>
        <v>0</v>
      </c>
      <c r="BS364" s="712">
        <f t="shared" si="964"/>
        <v>0</v>
      </c>
      <c r="BT364" s="712">
        <f t="shared" si="965"/>
        <v>0</v>
      </c>
      <c r="BU364" s="712">
        <f t="shared" si="966"/>
        <v>2.2199999999999998</v>
      </c>
      <c r="BV364" s="712">
        <f t="shared" si="967"/>
        <v>2.2903305785123966</v>
      </c>
      <c r="BW364" s="712">
        <f>IF(Sheet1!EM364="CWA",SUM(Sheet1!BC364:'Sheet1'!BF364),0)</f>
        <v>0</v>
      </c>
      <c r="BX364" s="712">
        <f>IF(OR(Sheet1!EM364="FM", Sheet1!EM364="OTHER"),SUM(Sheet1!BC364:'Sheet1'!BF364),0)</f>
        <v>0</v>
      </c>
      <c r="BY364" s="697">
        <f>IF(AND($B364&gt;=$FL364,$B364&lt;=$FM364),MAX(BV364,Sheet1!EF364,0),MAX(BV364-(7/36)*$K364,0))</f>
        <v>0</v>
      </c>
      <c r="BZ364" s="712">
        <f t="shared" si="968"/>
        <v>0</v>
      </c>
      <c r="CA364" s="697">
        <f t="shared" si="969"/>
        <v>2.2903305785123966</v>
      </c>
      <c r="CB364" s="697">
        <f>IF(AND($O364&gt;0,Sheet1!EJ364=1),(1-($O364-Sheet1!$L364)/$O364)*BV364,0)</f>
        <v>0</v>
      </c>
      <c r="CC364" s="697">
        <f>IF(AND(Sheet1!$L364=0,Sheet1!$L363=0, Calculation!BU364&lt;Sheet1!EF364-0.1,Sheet1!EF364=Sheet1!EF363,Sheet1!EF364=Sheet1!EF365),Sheet1!EF364,BV364-CB364)</f>
        <v>2.2903305785123966</v>
      </c>
      <c r="CD364" s="697"/>
      <c r="CE364" s="712"/>
      <c r="CF364" s="712">
        <f t="shared" si="970"/>
        <v>0</v>
      </c>
      <c r="CG364" s="712"/>
      <c r="CH364" s="712">
        <f ca="1">IF(B364&gt;Summary!$A$1,#N/A,CF364*MGtoAF)</f>
        <v>0</v>
      </c>
      <c r="CI364" s="712">
        <f>Sheet1!BK364+Sheet1!BL364+Sheet1!BM364-Sheet1!EN364-CQ364</f>
        <v>6.92</v>
      </c>
      <c r="CJ364" s="712">
        <f t="shared" si="971"/>
        <v>7.1392286501377411</v>
      </c>
      <c r="CK364" s="712">
        <f>IF(Sheet1!EN364="FM",CQ364,0)</f>
        <v>0</v>
      </c>
      <c r="CL364" s="712">
        <f t="shared" si="972"/>
        <v>0</v>
      </c>
      <c r="CM364" s="712">
        <f>IF(Sheet1!EN364="OTHER",CQ364,0)</f>
        <v>0</v>
      </c>
      <c r="CN364" s="712">
        <f t="shared" si="973"/>
        <v>0</v>
      </c>
      <c r="CO364" s="712">
        <f t="shared" si="974"/>
        <v>6.92</v>
      </c>
      <c r="CP364" s="712">
        <f t="shared" si="975"/>
        <v>7.1392286501377411</v>
      </c>
      <c r="CQ364" s="712">
        <f>IF(OR(Sheet1!EN364="FM", Sheet1!EN364="OTHER"),SUM(Sheet1!BK364:'Sheet1'!BM364),0)</f>
        <v>0</v>
      </c>
      <c r="CR364" s="697">
        <f>IF(AND($B364&gt;=$FL364,$B364&lt;=$FM364),MAX($CJ364,Sheet1!EG364,0),MAX($CJ364-(7/36)*$K364,0))</f>
        <v>2.6951154658490788</v>
      </c>
      <c r="CS364" s="712">
        <f t="shared" si="976"/>
        <v>0</v>
      </c>
      <c r="CT364" s="697">
        <f t="shared" si="977"/>
        <v>4.4441131842886623</v>
      </c>
      <c r="CU364" s="697">
        <f>IF(AND($O364&gt;0,Sheet1!EK364=1),(1-($O364-Sheet1!$L364)/$O364)*CP364,0)</f>
        <v>0</v>
      </c>
      <c r="CV364" s="697">
        <f>IF(AND(Sheet1!$L364=0,Sheet1!$L363=0, Calculation!CO364&lt;Sheet1!$EG364-0.1,Sheet1!$EG364=Sheet1!$EG363,Sheet1!$EG364=Sheet1!$EG365),Sheet1!$EG364,CP364-CU364)</f>
        <v>7.1392286501377411</v>
      </c>
      <c r="CW364" s="697"/>
      <c r="CX364" s="712">
        <f t="shared" si="978"/>
        <v>9.14</v>
      </c>
      <c r="CY364" s="712">
        <f t="shared" si="979"/>
        <v>0</v>
      </c>
      <c r="CZ364" s="712">
        <f t="shared" si="980"/>
        <v>9.4295592286501382</v>
      </c>
      <c r="DA364" s="712">
        <f ca="1">IF(B364&gt;Summary!$A$1,#N/A,CY364*MGtoAF)</f>
        <v>0</v>
      </c>
      <c r="DB364" s="712">
        <f t="shared" si="981"/>
        <v>9.14</v>
      </c>
      <c r="DC364" s="712">
        <f t="shared" si="982"/>
        <v>29.04</v>
      </c>
      <c r="DD364" s="712">
        <f>Sheet1!AB364-DC364</f>
        <v>0.92000000000000171</v>
      </c>
      <c r="DE364" s="712">
        <f t="shared" si="983"/>
        <v>3.1680440771349919E-2</v>
      </c>
      <c r="DF364" s="712">
        <f>(VLOOKUP(Sheet1!CY364,hhdcap_wcm,4)-(((VLOOKUP(Sheet1!CY364,hhdcap_wcm,3)-Sheet1!CY364)/(VLOOKUP(Sheet1!CY364,hhdcap_wcm,3)-VLOOKUP(Sheet1!CY364,hhdcap_wcm,1)))*(VLOOKUP(Sheet1!CY364,hhdcap_wcm,4)-VLOOKUP(Sheet1!CY364,hhdcap_wcm,2))))</f>
        <v>1803.1600000025796</v>
      </c>
      <c r="DG364" s="712">
        <f t="shared" si="984"/>
        <v>7.319999999999709</v>
      </c>
      <c r="DH364" s="712">
        <f t="shared" si="985"/>
        <v>3.6913767019665698</v>
      </c>
      <c r="DI364" s="712">
        <f>Sheet1!DW364*AFtoMG</f>
        <v>0</v>
      </c>
      <c r="DJ364" s="712">
        <f>Sheet1!DX364*AFtoMG</f>
        <v>0</v>
      </c>
      <c r="DK364" s="712">
        <f>Sheet1!DY364*AFtoMG</f>
        <v>0</v>
      </c>
      <c r="DL364" s="712">
        <f>Sheet1!DZ364*AFtoMG</f>
        <v>0</v>
      </c>
      <c r="DM364" s="712">
        <f t="shared" si="986"/>
        <v>0</v>
      </c>
      <c r="DN364" s="712">
        <f t="shared" si="987"/>
        <v>0</v>
      </c>
      <c r="DO364" s="712">
        <f t="shared" si="988"/>
        <v>0</v>
      </c>
      <c r="DP364" s="712">
        <f t="shared" si="989"/>
        <v>0</v>
      </c>
      <c r="DQ364" s="712"/>
      <c r="DR364" s="697">
        <f>IF(OR(B364&lt;FL364,B364&gt;FM364),(MIN(AV364+BO364+CJ364+MAX(Sheet1!AA364+AG364-73,0),K364)),0)</f>
        <v>9.4295592286501382</v>
      </c>
      <c r="DS364" s="712"/>
      <c r="DT364" s="712">
        <f t="shared" si="990"/>
        <v>9.4295592286501382</v>
      </c>
      <c r="DU364" s="712"/>
      <c r="DV364" s="712">
        <f>Sheet1!ED364+Sheet1!EE364+Sheet1!EF364+Sheet1!EG364</f>
        <v>8.5</v>
      </c>
      <c r="DW364" s="712"/>
      <c r="DX364" s="697">
        <f t="shared" si="991"/>
        <v>2.6951154658490797</v>
      </c>
      <c r="DY364" s="712">
        <f>IF(Sheet1!FN364=1,SUM('Calculations II'!AT364:BA364)+'Calculations II'!BC364+Sheet1!BU364+'Calculations II'!BE364+AF364,SUM('Calculations II'!AT364:BA364)+'Calculations II'!BC364+Sheet1!BU364+'Calculations II'!BE364+AF364)</f>
        <v>40.595023999999995</v>
      </c>
      <c r="DZ364" s="712">
        <f>Sheet1!AA364+Sheet1!AB364+'Calculations II'!BC364</f>
        <v>57.090000000004657</v>
      </c>
      <c r="EA364" s="712"/>
      <c r="EB364" s="712"/>
      <c r="EC364" s="712">
        <f t="shared" si="992"/>
        <v>40893</v>
      </c>
      <c r="ED364" s="712">
        <f t="shared" si="993"/>
        <v>-2.6951154658490788</v>
      </c>
      <c r="EE364" s="712">
        <f t="shared" si="994"/>
        <v>-4.1693436256685246</v>
      </c>
      <c r="EF364" s="712">
        <f ca="1">IF(B364=TODAY(),0,-(VLOOKUP(Sheet1!BQ364,Lookup!$B$4:$J$236,2)-VLOOKUP(Sheet1!BQ363,Lookup!$B$4:$J$236,2))/1000000)</f>
        <v>-1.8594999999999999</v>
      </c>
      <c r="EG364" s="712">
        <f ca="1">IF(B364=TODAY(),0,-(VLOOKUP(Sheet1!BR364,Lookup!$B$4:$J$236,3)-VLOOKUP(Sheet1!BR363,Lookup!$B$4:$J$236,3))/1000000)</f>
        <v>-1.8563000000000001</v>
      </c>
      <c r="EH364" s="712">
        <f>-(VLOOKUP(Sheet1!BS364,Lookup!$B$4:$J$236,4)-VLOOKUP(Sheet1!BS363,Lookup!$B$4:$J$236,4))/1000000</f>
        <v>0</v>
      </c>
      <c r="EI364" s="697">
        <f t="shared" ca="1" si="922"/>
        <v>-3.7157999999999998</v>
      </c>
      <c r="EJ364" s="712"/>
      <c r="EK364" s="712"/>
      <c r="EL364" s="712"/>
      <c r="EM364" s="712"/>
      <c r="EN364" s="712"/>
      <c r="EO364" s="712"/>
      <c r="EP364" s="712"/>
      <c r="EQ364" s="712"/>
      <c r="ER364" s="712"/>
      <c r="ES364" s="712"/>
      <c r="ET364" s="794" t="e">
        <f t="shared" si="919"/>
        <v>#N/A</v>
      </c>
      <c r="EU364" s="794" t="e">
        <f t="shared" si="924"/>
        <v>#N/A</v>
      </c>
      <c r="EV364" s="795" t="e">
        <f t="shared" si="925"/>
        <v>#N/A</v>
      </c>
      <c r="EW364" s="796" t="s">
        <v>757</v>
      </c>
      <c r="EX364" s="796" t="s">
        <v>757</v>
      </c>
      <c r="EY364" s="794" t="e">
        <v>#N/A</v>
      </c>
      <c r="EZ364" s="794" t="e">
        <v>#N/A</v>
      </c>
      <c r="FA364" s="712"/>
      <c r="FB364" s="712"/>
      <c r="FC364" s="712"/>
      <c r="FD364" s="712"/>
      <c r="FE364" s="712">
        <f>O364+Sheet1!CO364</f>
        <v>57.090000000004657</v>
      </c>
      <c r="FF364" s="712">
        <f>IF(Sheet1!AA364+AG364&lt;=Calculation!N364,AG364,Calculation!N364-Sheet1!AA364)</f>
        <v>20.530440771349863</v>
      </c>
      <c r="FG364" s="712">
        <f>(Sheet1!BP364+Sheet1!BO364)/694.4</f>
        <v>1.6775633640552998</v>
      </c>
      <c r="FH364" s="712"/>
      <c r="FI364" s="712"/>
      <c r="FJ364" s="712"/>
      <c r="FK364" s="712"/>
      <c r="FL364" s="714">
        <f t="shared" si="929"/>
        <v>40753</v>
      </c>
      <c r="FM364" s="714">
        <f t="shared" si="930"/>
        <v>40851</v>
      </c>
      <c r="FN364" s="712"/>
      <c r="FO364" s="712"/>
      <c r="FP364" s="712"/>
      <c r="FQ364" s="712"/>
      <c r="FR364" s="712"/>
      <c r="FS364" s="725">
        <f t="shared" si="1014"/>
        <v>40603</v>
      </c>
      <c r="FT364" s="714">
        <f t="shared" si="932"/>
        <v>40709</v>
      </c>
      <c r="FU364" s="712">
        <f t="shared" si="1014"/>
        <v>6518.9048239895692</v>
      </c>
      <c r="FV364" s="714">
        <f t="shared" si="933"/>
        <v>40722</v>
      </c>
      <c r="FW364" s="712">
        <f t="shared" si="1014"/>
        <v>3259.4524119947846</v>
      </c>
      <c r="FX364" s="725">
        <f t="shared" si="1014"/>
        <v>40851</v>
      </c>
      <c r="FZ364" s="697">
        <f t="shared" si="926"/>
        <v>0</v>
      </c>
      <c r="GA364" s="712" t="str">
        <f t="shared" si="995"/>
        <v/>
      </c>
      <c r="GB364" s="712">
        <f t="shared" si="996"/>
        <v>0</v>
      </c>
      <c r="GC364" s="712" t="str">
        <f t="shared" si="997"/>
        <v/>
      </c>
      <c r="GD364" s="712">
        <f>IF(GA364="P",Lookup!$M$12,IF(GA364="PP",Lookup!$M$13,IF(GA364="PPP",Lookup!$M$14,IF(GA364="T",Lookup!$M$15,IF(GA364="TP",Lookup!$M$16,IF(GA364="TPP",Lookup!$M$17,IF(GA364="TPPP",Lookup!$M$18,0)))))))*FZ364</f>
        <v>0</v>
      </c>
      <c r="GE364" s="712">
        <f t="shared" si="998"/>
        <v>0</v>
      </c>
      <c r="GF364" s="712">
        <f t="shared" si="999"/>
        <v>0</v>
      </c>
      <c r="GG364" s="712">
        <f t="shared" si="1000"/>
        <v>0</v>
      </c>
      <c r="GH364" s="712"/>
      <c r="GI364" s="712">
        <f t="shared" si="1001"/>
        <v>0</v>
      </c>
      <c r="GJ364" s="712" t="str">
        <f t="shared" si="1002"/>
        <v/>
      </c>
      <c r="GK364" s="712">
        <f>IF(GA364="P",Lookup!$N$12,IF(GA364="PP",Lookup!$N$13,IF(GA364="PPP",Lookup!$N$14,IF(GA364="T",Lookup!$N$15,IF(GA364="TP",Lookup!$N$16,IF(GA364="TPP",Lookup!$N$17,IF(GA364="TPPP",Lookup!$N$18,0)))))))*FZ364</f>
        <v>0</v>
      </c>
      <c r="GL364" s="712">
        <f t="shared" si="1003"/>
        <v>0</v>
      </c>
      <c r="GM364" s="712">
        <f t="shared" si="1004"/>
        <v>0</v>
      </c>
      <c r="GN364" s="712">
        <f t="shared" si="1005"/>
        <v>0</v>
      </c>
      <c r="GO364" s="712"/>
      <c r="GP364" s="712">
        <f t="shared" si="1006"/>
        <v>0</v>
      </c>
      <c r="GQ364" s="712" t="str">
        <f t="shared" si="1007"/>
        <v/>
      </c>
      <c r="GR364" s="712">
        <f>IF(GA364="P",Lookup!$N$12,IF(GA364="PP",Lookup!$N$13,IF(GA364="PPP",Lookup!$N$14,IF(GA364="T",Lookup!$N$15,IF(GA364="TP",Lookup!$N$16,IF(GA364="TPP",Lookup!$N$17,IF(GA364="TPPP",Lookup!$N$18,0)))))))*FZ364</f>
        <v>0</v>
      </c>
      <c r="GS364" s="697">
        <f t="shared" si="927"/>
        <v>0</v>
      </c>
      <c r="GT364" s="712">
        <f t="shared" si="1008"/>
        <v>0</v>
      </c>
      <c r="GU364" s="712">
        <f t="shared" si="1009"/>
        <v>0</v>
      </c>
      <c r="GV364" s="712"/>
      <c r="GW364" s="712">
        <f t="shared" si="1010"/>
        <v>0</v>
      </c>
      <c r="GX364" s="712" t="str">
        <f t="shared" si="1011"/>
        <v/>
      </c>
      <c r="GY364" s="712">
        <f>IF(GA364="P",Lookup!$N$12,IF(GA364="PP",Lookup!$N$13,IF(GA364="PPP",Lookup!$N$14,IF(GA364="T",Lookup!$N$15,IF(GA364="TP",Lookup!$N$16,IF(GA364="TPP",Lookup!$N$17,IF(GA364="TPPP",Lookup!$N$18,0)))))))*FZ364</f>
        <v>0</v>
      </c>
      <c r="GZ364" s="697">
        <f t="shared" si="928"/>
        <v>0</v>
      </c>
      <c r="HA364" s="712">
        <f t="shared" si="1012"/>
        <v>0</v>
      </c>
      <c r="HB364" s="712">
        <f t="shared" si="1013"/>
        <v>0</v>
      </c>
      <c r="HC364" s="712"/>
    </row>
    <row r="365" spans="1:211">
      <c r="A365" s="773" t="s">
        <v>9</v>
      </c>
      <c r="B365" s="708">
        <v>40894</v>
      </c>
      <c r="C365" s="719">
        <v>0.5</v>
      </c>
      <c r="D365" s="675">
        <f t="shared" si="936"/>
        <v>300</v>
      </c>
      <c r="E365" s="675">
        <f t="shared" si="937"/>
        <v>250</v>
      </c>
      <c r="F365" s="675">
        <v>250</v>
      </c>
      <c r="G365" s="712">
        <f>DH365+Sheet1!CV365</f>
        <v>429.72270549672226</v>
      </c>
      <c r="H365" s="712">
        <f t="shared" si="938"/>
        <v>10.809556833081265</v>
      </c>
      <c r="I365" s="711">
        <f>MAX(Sheet1!Z365-AJ365+(Sheet1!CW365-E365)*CFStoMGD,0)</f>
        <v>247.46148202989227</v>
      </c>
      <c r="J365" s="720">
        <f>IF(AND(B365&gt;=Calculation!FS365,B365&lt;=Calculation!FT365),IF(Sheet1!CX365&gt;=Calculation!D365,64.64,0),MAX(Sheet1!Z365-AJ365+(Sheet1!CX365-D365)*CFStoMGD,0))</f>
        <v>69.277282029892234</v>
      </c>
      <c r="K365" s="697">
        <f t="shared" si="939"/>
        <v>10.809556833081265</v>
      </c>
      <c r="L365" s="712">
        <f>Sheet1!AA365+Sheet1!AB365-Sheet1!L365+(Sheet1!CW365-F365)*CFStoMGD</f>
        <v>294.4460666666667</v>
      </c>
      <c r="M365" s="712">
        <f t="shared" si="940"/>
        <v>283.32821196974288</v>
      </c>
      <c r="N365" s="712">
        <f>IF(Sheet1!CW365&gt;=F365,MIN(73,MIN(MAX(L365,0),MAX(M365,0))),0)</f>
        <v>73</v>
      </c>
      <c r="O365" s="721">
        <f>Sheet1!AA365+Sheet1!AB365</f>
        <v>56.82</v>
      </c>
      <c r="P365" s="721">
        <f t="shared" si="941"/>
        <v>87.900539999999992</v>
      </c>
      <c r="Q365" s="712">
        <f>MIN(N365,Sheet1!AA365+AG365)</f>
        <v>47.934584636774417</v>
      </c>
      <c r="R365" s="712">
        <f t="shared" si="942"/>
        <v>8.885415363225583</v>
      </c>
      <c r="S365" s="721">
        <f>Sheet1!Y365*MGDtoCFS</f>
        <v>41.722589999999997</v>
      </c>
      <c r="T365" s="721">
        <f>Sheet1!Z365*MGDtoCFS</f>
        <v>46.054189999999998</v>
      </c>
      <c r="U365" s="721">
        <f>Sheet1!AA365*MGDtoCFS</f>
        <v>43.315999999999995</v>
      </c>
      <c r="V365" s="721">
        <f>Sheet1!AB365*MGDtoCFS</f>
        <v>44.584539999999997</v>
      </c>
      <c r="W365" s="721">
        <f>Sheet1!L365*MGDtoCFS</f>
        <v>0</v>
      </c>
      <c r="X365" s="697">
        <f t="shared" si="943"/>
        <v>4.6816988170273133</v>
      </c>
      <c r="Y365" s="712">
        <f t="shared" si="944"/>
        <v>7.2425880699412533</v>
      </c>
      <c r="Z365" s="712">
        <f t="shared" si="945"/>
        <v>0</v>
      </c>
      <c r="AA365" s="712">
        <f t="shared" si="946"/>
        <v>0</v>
      </c>
      <c r="AB365" s="712">
        <f>(VLOOKUP(Sheet1!CY365,hhdcap_wcm,4)-(((VLOOKUP(Sheet1!CY365,hhdcap_wcm,3)-Sheet1!CY365)/(VLOOKUP(Sheet1!CY365,hhdcap_wcm,3)-VLOOKUP(Sheet1!CY365,hhdcap_wcm,1)))*(VLOOKUP(Sheet1!CY365,hhdcap_wcm,4)-VLOOKUP(Sheet1!CY365,hhdcap_wcm,2))))</f>
        <v>1790.9600000025798</v>
      </c>
      <c r="AC365" s="712">
        <f t="shared" si="947"/>
        <v>-12.199999999999818</v>
      </c>
      <c r="AD365" s="712">
        <f t="shared" si="948"/>
        <v>0</v>
      </c>
      <c r="AE365" s="712">
        <f t="shared" si="949"/>
        <v>0</v>
      </c>
      <c r="AF365" s="712">
        <f>Sheet1!BA365+Sheet1!BB365+Sheet1!BN365+BT365</f>
        <v>19.899999999999999</v>
      </c>
      <c r="AG365" s="712">
        <f t="shared" si="950"/>
        <v>19.934584636774417</v>
      </c>
      <c r="AH365" s="712">
        <f>Sheet1!BA365+BT365</f>
        <v>0</v>
      </c>
      <c r="AI365" s="712">
        <f>Sheet1!BA365+Sheet1!BB365+BT365</f>
        <v>0</v>
      </c>
      <c r="AJ365" s="712">
        <f>IF((Sheet1!AA365+AG365+AX365+AZ365+BQ365+BS365+CL365+CN365)&lt;=N365,AG365+AX365+AZ365+BQ365+BS365+CL365+CN365,N365-Sheet1!AA365)</f>
        <v>19.934584636774417</v>
      </c>
      <c r="AK365" s="712">
        <f>IF(DR365&lt;K365,0,MAX(Sheet1!AA365+AG365-15/36*K365-N365,Sheet1!ED365,0))</f>
        <v>0</v>
      </c>
      <c r="AL365" s="712">
        <f>IF(OR(B365&gt;=FT365,B365&lt;FS365),0,15/36*K365-MAX(0,64.6-(137.6-(Sheet1!AA365+Sheet1!AB365))))</f>
        <v>0</v>
      </c>
      <c r="AM365" s="712">
        <f>Sheet1!CX365-110</f>
        <v>281.95833333333331</v>
      </c>
      <c r="AN365" s="712">
        <f>Sheet1!CW365-265</f>
        <v>352.61458333333337</v>
      </c>
      <c r="AO365" s="712">
        <f t="shared" si="934"/>
        <v>25.065415363225583</v>
      </c>
      <c r="AP365" s="712">
        <f t="shared" si="951"/>
        <v>0</v>
      </c>
      <c r="AQ365" s="712">
        <f t="shared" si="952"/>
        <v>0</v>
      </c>
      <c r="AR365" s="712">
        <f t="shared" si="953"/>
        <v>0</v>
      </c>
      <c r="AS365" s="712"/>
      <c r="AT365" s="712">
        <f ca="1">IF(B365&gt;Summary!$A$1,#N/A,AR365*MGtoAF)</f>
        <v>0</v>
      </c>
      <c r="AU365" s="712">
        <f>Sheet1!BG365+Sheet1!BH365+Sheet1!BI365-BC365</f>
        <v>0</v>
      </c>
      <c r="AV365" s="712">
        <f t="shared" si="954"/>
        <v>0</v>
      </c>
      <c r="AW365" s="712">
        <f>IF(Sheet1!EL365="FM",BC365,0)</f>
        <v>0</v>
      </c>
      <c r="AX365" s="712">
        <f t="shared" si="955"/>
        <v>0</v>
      </c>
      <c r="AY365" s="712">
        <f>IF(Sheet1!EL365="OTHER",BC365,0)</f>
        <v>0</v>
      </c>
      <c r="AZ365" s="712">
        <f t="shared" si="956"/>
        <v>0</v>
      </c>
      <c r="BA365" s="712">
        <f t="shared" si="957"/>
        <v>0</v>
      </c>
      <c r="BB365" s="712">
        <f t="shared" si="958"/>
        <v>0</v>
      </c>
      <c r="BC365" s="712">
        <f>IF(OR(Sheet1!EL365="FM", Sheet1!EL365="OTHER"),SUM(Sheet1!BG365:'Sheet1'!BI365),0)</f>
        <v>0</v>
      </c>
      <c r="BD365" s="697">
        <f>IF(AND($B365&gt;=$FL365,$B365&lt;=$FM365),MAX(AV365,Sheet1!EE365,0),MAX(AV365-(7/36)*$K365,0))</f>
        <v>0</v>
      </c>
      <c r="BE365" s="712">
        <f t="shared" si="959"/>
        <v>0</v>
      </c>
      <c r="BF365" s="697">
        <f t="shared" si="960"/>
        <v>0</v>
      </c>
      <c r="BG365" s="697">
        <f>IF(AND($O365&gt;0,Sheet1!EI365=1),(1-($O365-Sheet1!$L365)/$O365)*BB365,0)</f>
        <v>0</v>
      </c>
      <c r="BH365" s="697">
        <f>IF(AND(Sheet1!$L365=0,Sheet1!$L364=0, Calculation!BA365&lt;Sheet1!$EE365-0.1,Sheet1!$EE365=Sheet1!$EE364,Sheet1!$EE365=Sheet1!$EE366),Sheet1!$EE365,BB365-BG365)</f>
        <v>0</v>
      </c>
      <c r="BI365" s="712"/>
      <c r="BJ365" s="712"/>
      <c r="BK365" s="712">
        <f t="shared" si="961"/>
        <v>0</v>
      </c>
      <c r="BL365" s="712"/>
      <c r="BM365" s="712">
        <f ca="1">IF(B365&gt;Summary!$A$1,#N/A,BK365*MGtoAF)</f>
        <v>0</v>
      </c>
      <c r="BN365" s="712">
        <f>Sheet1!BC365+Sheet1!BD365+Sheet1!BE365+Sheet1!BF365-BW365-BX365</f>
        <v>2.2199999999999998</v>
      </c>
      <c r="BO365" s="712">
        <f t="shared" si="962"/>
        <v>2.2238581856100104</v>
      </c>
      <c r="BP365" s="712">
        <f>IF(Sheet1!EM365="FM",BX365,0)</f>
        <v>0</v>
      </c>
      <c r="BQ365" s="712">
        <f t="shared" si="963"/>
        <v>0</v>
      </c>
      <c r="BR365" s="712">
        <f>IF(Sheet1!EM365="OTHER",BX365,0)</f>
        <v>0</v>
      </c>
      <c r="BS365" s="712">
        <f t="shared" si="964"/>
        <v>0</v>
      </c>
      <c r="BT365" s="712">
        <f t="shared" si="965"/>
        <v>0</v>
      </c>
      <c r="BU365" s="712">
        <f t="shared" si="966"/>
        <v>2.2199999999999998</v>
      </c>
      <c r="BV365" s="712">
        <f t="shared" si="967"/>
        <v>2.2238581856100104</v>
      </c>
      <c r="BW365" s="712">
        <f>IF(Sheet1!EM365="CWA",SUM(Sheet1!BC365:'Sheet1'!BF365),0)</f>
        <v>0</v>
      </c>
      <c r="BX365" s="712">
        <f>IF(OR(Sheet1!EM365="FM", Sheet1!EM365="OTHER"),SUM(Sheet1!BC365:'Sheet1'!BF365),0)</f>
        <v>0</v>
      </c>
      <c r="BY365" s="697">
        <f>IF(AND($B365&gt;=$FL365,$B365&lt;=$FM365),MAX(BV365,Sheet1!EF365,0),MAX(BV365-(7/36)*$K365,0))</f>
        <v>0.1219999125108755</v>
      </c>
      <c r="BZ365" s="712">
        <f t="shared" si="968"/>
        <v>0</v>
      </c>
      <c r="CA365" s="697">
        <f t="shared" si="969"/>
        <v>2.1018582730991349</v>
      </c>
      <c r="CB365" s="697">
        <f>IF(AND($O365&gt;0,Sheet1!EJ365=1),(1-($O365-Sheet1!$L365)/$O365)*BV365,0)</f>
        <v>0</v>
      </c>
      <c r="CC365" s="697">
        <f>IF(AND(Sheet1!$L365=0,Sheet1!$L364=0, Calculation!BU365&lt;Sheet1!EF365-0.1,Sheet1!EF365=Sheet1!EF364,Sheet1!EF365=Sheet1!EF366),Sheet1!EF365,BV365-CB365)</f>
        <v>2.2238581856100104</v>
      </c>
      <c r="CD365" s="697"/>
      <c r="CE365" s="712"/>
      <c r="CF365" s="712">
        <f t="shared" si="970"/>
        <v>0</v>
      </c>
      <c r="CG365" s="712"/>
      <c r="CH365" s="712">
        <f ca="1">IF(B365&gt;Summary!$A$1,#N/A,CF365*MGtoAF)</f>
        <v>0</v>
      </c>
      <c r="CI365" s="712">
        <f>Sheet1!BK365+Sheet1!BL365+Sheet1!BM365-Sheet1!EN365-CQ365</f>
        <v>6.65</v>
      </c>
      <c r="CJ365" s="712">
        <f t="shared" si="971"/>
        <v>6.6615571776155722</v>
      </c>
      <c r="CK365" s="712">
        <f>IF(Sheet1!EN365="FM",CQ365,0)</f>
        <v>0</v>
      </c>
      <c r="CL365" s="712">
        <f t="shared" si="972"/>
        <v>0</v>
      </c>
      <c r="CM365" s="712">
        <f>IF(Sheet1!EN365="OTHER",CQ365,0)</f>
        <v>0</v>
      </c>
      <c r="CN365" s="712">
        <f t="shared" si="973"/>
        <v>0</v>
      </c>
      <c r="CO365" s="712">
        <f t="shared" si="974"/>
        <v>6.65</v>
      </c>
      <c r="CP365" s="712">
        <f t="shared" si="975"/>
        <v>6.6615571776155722</v>
      </c>
      <c r="CQ365" s="712">
        <f>IF(OR(Sheet1!EN365="FM", Sheet1!EN365="OTHER"),SUM(Sheet1!BK365:'Sheet1'!BM365),0)</f>
        <v>0</v>
      </c>
      <c r="CR365" s="697">
        <f>IF(AND($B365&gt;=$FL365,$B365&lt;=$FM365),MAX($CJ365,Sheet1!EG365,0),MAX($CJ365-(7/36)*$K365,0))</f>
        <v>4.5596989045164378</v>
      </c>
      <c r="CS365" s="712">
        <f t="shared" si="976"/>
        <v>0</v>
      </c>
      <c r="CT365" s="697">
        <f t="shared" si="977"/>
        <v>2.1018582730991344</v>
      </c>
      <c r="CU365" s="697">
        <f>IF(AND($O365&gt;0,Sheet1!EK365=1),(1-($O365-Sheet1!$L365)/$O365)*CP365,0)</f>
        <v>0</v>
      </c>
      <c r="CV365" s="697">
        <f>IF(AND(Sheet1!$L365=0,Sheet1!$L364=0, Calculation!CO365&lt;Sheet1!$EG365-0.1,Sheet1!$EG365=Sheet1!$EG364,Sheet1!$EG365=Sheet1!$EG366),Sheet1!$EG365,CP365-CU365)</f>
        <v>6.6615571776155722</v>
      </c>
      <c r="CW365" s="697"/>
      <c r="CX365" s="712">
        <f t="shared" si="978"/>
        <v>8.870000000000001</v>
      </c>
      <c r="CY365" s="712">
        <f t="shared" si="979"/>
        <v>0</v>
      </c>
      <c r="CZ365" s="712">
        <f t="shared" si="980"/>
        <v>8.885415363225583</v>
      </c>
      <c r="DA365" s="712">
        <f ca="1">IF(B365&gt;Summary!$A$1,#N/A,CY365*MGtoAF)</f>
        <v>0</v>
      </c>
      <c r="DB365" s="712">
        <f t="shared" si="981"/>
        <v>8.870000000000001</v>
      </c>
      <c r="DC365" s="712">
        <f t="shared" si="982"/>
        <v>28.77</v>
      </c>
      <c r="DD365" s="712">
        <f>Sheet1!AB365-DC365</f>
        <v>5.0000000000000711E-2</v>
      </c>
      <c r="DE365" s="712">
        <f t="shared" si="983"/>
        <v>1.7379214459506678E-3</v>
      </c>
      <c r="DF365" s="712">
        <f>(VLOOKUP(Sheet1!CY365,hhdcap_wcm,4)-(((VLOOKUP(Sheet1!CY365,hhdcap_wcm,3)-Sheet1!CY365)/(VLOOKUP(Sheet1!CY365,hhdcap_wcm,3)-VLOOKUP(Sheet1!CY365,hhdcap_wcm,1)))*(VLOOKUP(Sheet1!CY365,hhdcap_wcm,4)-VLOOKUP(Sheet1!CY365,hhdcap_wcm,2))))</f>
        <v>1790.9600000025798</v>
      </c>
      <c r="DG365" s="712">
        <f t="shared" si="984"/>
        <v>-12.199999999999818</v>
      </c>
      <c r="DH365" s="712">
        <f t="shared" si="985"/>
        <v>-6.1522945032777692</v>
      </c>
      <c r="DI365" s="712">
        <f>Sheet1!DW365*AFtoMG</f>
        <v>0</v>
      </c>
      <c r="DJ365" s="712">
        <f>Sheet1!DX365*AFtoMG</f>
        <v>0</v>
      </c>
      <c r="DK365" s="712">
        <f>Sheet1!DY365*AFtoMG</f>
        <v>0</v>
      </c>
      <c r="DL365" s="712">
        <f>Sheet1!DZ365*AFtoMG</f>
        <v>0</v>
      </c>
      <c r="DM365" s="712">
        <f t="shared" si="986"/>
        <v>0</v>
      </c>
      <c r="DN365" s="712">
        <f t="shared" si="987"/>
        <v>0</v>
      </c>
      <c r="DO365" s="712">
        <f t="shared" si="988"/>
        <v>0</v>
      </c>
      <c r="DP365" s="712">
        <f t="shared" si="989"/>
        <v>0</v>
      </c>
      <c r="DQ365" s="712"/>
      <c r="DR365" s="697">
        <f>IF(OR(B365&lt;FL365,B365&gt;FM365),(MIN(AV365+BO365+CJ365+MAX(Sheet1!AA365+AG365-73,0),K365)),0)</f>
        <v>8.885415363225583</v>
      </c>
      <c r="DS365" s="712"/>
      <c r="DT365" s="712">
        <f t="shared" si="990"/>
        <v>8.885415363225583</v>
      </c>
      <c r="DU365" s="712"/>
      <c r="DV365" s="712">
        <f>Sheet1!ED365+Sheet1!EE365+Sheet1!EF365+Sheet1!EG365</f>
        <v>8.5</v>
      </c>
      <c r="DW365" s="712"/>
      <c r="DX365" s="697">
        <f t="shared" si="991"/>
        <v>4.6816988170273142</v>
      </c>
      <c r="DY365" s="712">
        <f>IF(Sheet1!FN365=1,SUM('Calculations II'!AT365:BA365)+'Calculations II'!BC365+Sheet1!BU365+'Calculations II'!BE365+AF365,SUM('Calculations II'!AT365:BA365)+'Calculations II'!BC365+Sheet1!BU365+'Calculations II'!BE365+AF365)</f>
        <v>41.765887999999997</v>
      </c>
      <c r="DZ365" s="712">
        <f>Sheet1!AA365+Sheet1!AB365+'Calculations II'!BC365</f>
        <v>56.82</v>
      </c>
      <c r="EA365" s="712"/>
      <c r="EB365" s="712"/>
      <c r="EC365" s="712">
        <f t="shared" si="992"/>
        <v>40894</v>
      </c>
      <c r="ED365" s="712">
        <f t="shared" si="993"/>
        <v>-4.6816988170273133</v>
      </c>
      <c r="EE365" s="712">
        <f t="shared" si="994"/>
        <v>-7.2425880699412533</v>
      </c>
      <c r="EF365" s="712">
        <f ca="1">IF(B365=TODAY(),0,-(VLOOKUP(Sheet1!BQ365,Lookup!$B$4:$J$236,2)-VLOOKUP(Sheet1!BQ364,Lookup!$B$4:$J$236,2))/1000000)</f>
        <v>-1.3354999999999999</v>
      </c>
      <c r="EG365" s="712">
        <f ca="1">IF(B365=TODAY(),0,-(VLOOKUP(Sheet1!BR365,Lookup!$B$4:$J$236,3)-VLOOKUP(Sheet1!BR364,Lookup!$B$4:$J$236,3))/1000000)</f>
        <v>-1.333</v>
      </c>
      <c r="EH365" s="712">
        <f>-(VLOOKUP(Sheet1!BS365,Lookup!$B$4:$J$236,4)-VLOOKUP(Sheet1!BS364,Lookup!$B$4:$J$236,4))/1000000</f>
        <v>0</v>
      </c>
      <c r="EI365" s="697">
        <f t="shared" ca="1" si="922"/>
        <v>-2.6684999999999999</v>
      </c>
      <c r="EJ365" s="712"/>
      <c r="EK365" s="712"/>
      <c r="EL365" s="712"/>
      <c r="EM365" s="712"/>
      <c r="EN365" s="712"/>
      <c r="EO365" s="712"/>
      <c r="EP365" s="712"/>
      <c r="EQ365" s="712"/>
      <c r="ER365" s="712"/>
      <c r="ES365" s="712"/>
      <c r="ET365" s="794" t="e">
        <f t="shared" si="919"/>
        <v>#N/A</v>
      </c>
      <c r="EU365" s="794" t="e">
        <f t="shared" si="924"/>
        <v>#N/A</v>
      </c>
      <c r="EV365" s="795" t="e">
        <f t="shared" si="925"/>
        <v>#N/A</v>
      </c>
      <c r="EW365" s="796" t="s">
        <v>757</v>
      </c>
      <c r="EX365" s="796" t="s">
        <v>757</v>
      </c>
      <c r="EY365" s="794" t="e">
        <v>#N/A</v>
      </c>
      <c r="EZ365" s="794" t="e">
        <v>#N/A</v>
      </c>
      <c r="FA365" s="712"/>
      <c r="FB365" s="712"/>
      <c r="FC365" s="712"/>
      <c r="FD365" s="712"/>
      <c r="FE365" s="712">
        <f>O365+Sheet1!CO365</f>
        <v>56.82</v>
      </c>
      <c r="FF365" s="712">
        <f>IF(Sheet1!AA365+AG365&lt;=Calculation!N365,AG365,Calculation!N365-Sheet1!AA365)</f>
        <v>19.934584636774417</v>
      </c>
      <c r="FG365" s="712">
        <f>(Sheet1!BP365+Sheet1!BO365)/694.4</f>
        <v>2.4105702764976962</v>
      </c>
      <c r="FH365" s="712"/>
      <c r="FI365" s="712"/>
      <c r="FJ365" s="712"/>
      <c r="FK365" s="712"/>
      <c r="FL365" s="714">
        <f t="shared" si="929"/>
        <v>40753</v>
      </c>
      <c r="FM365" s="714">
        <f t="shared" si="930"/>
        <v>40851</v>
      </c>
      <c r="FN365" s="712"/>
      <c r="FO365" s="712"/>
      <c r="FP365" s="712"/>
      <c r="FQ365" s="712"/>
      <c r="FR365" s="712"/>
      <c r="FS365" s="725">
        <f t="shared" si="1014"/>
        <v>40603</v>
      </c>
      <c r="FT365" s="714">
        <f t="shared" si="932"/>
        <v>40709</v>
      </c>
      <c r="FU365" s="712">
        <f t="shared" si="1014"/>
        <v>6518.9048239895692</v>
      </c>
      <c r="FV365" s="714">
        <f t="shared" si="933"/>
        <v>40722</v>
      </c>
      <c r="FW365" s="712">
        <f t="shared" si="1014"/>
        <v>3259.4524119947846</v>
      </c>
      <c r="FX365" s="725">
        <f t="shared" si="1014"/>
        <v>40851</v>
      </c>
      <c r="FZ365" s="697">
        <f t="shared" si="926"/>
        <v>0</v>
      </c>
      <c r="GA365" s="712" t="str">
        <f t="shared" si="995"/>
        <v/>
      </c>
      <c r="GB365" s="712">
        <f t="shared" si="996"/>
        <v>0</v>
      </c>
      <c r="GC365" s="712" t="str">
        <f t="shared" si="997"/>
        <v/>
      </c>
      <c r="GD365" s="712">
        <f>IF(GA365="P",Lookup!$M$12,IF(GA365="PP",Lookup!$M$13,IF(GA365="PPP",Lookup!$M$14,IF(GA365="T",Lookup!$M$15,IF(GA365="TP",Lookup!$M$16,IF(GA365="TPP",Lookup!$M$17,IF(GA365="TPPP",Lookup!$M$18,0)))))))*FZ365</f>
        <v>0</v>
      </c>
      <c r="GE365" s="712">
        <f t="shared" si="998"/>
        <v>0</v>
      </c>
      <c r="GF365" s="712">
        <f t="shared" si="999"/>
        <v>0</v>
      </c>
      <c r="GG365" s="712">
        <f t="shared" si="1000"/>
        <v>0</v>
      </c>
      <c r="GH365" s="712"/>
      <c r="GI365" s="712">
        <f t="shared" si="1001"/>
        <v>0</v>
      </c>
      <c r="GJ365" s="712" t="str">
        <f t="shared" si="1002"/>
        <v/>
      </c>
      <c r="GK365" s="712">
        <f>IF(GA365="P",Lookup!$N$12,IF(GA365="PP",Lookup!$N$13,IF(GA365="PPP",Lookup!$N$14,IF(GA365="T",Lookup!$N$15,IF(GA365="TP",Lookup!$N$16,IF(GA365="TPP",Lookup!$N$17,IF(GA365="TPPP",Lookup!$N$18,0)))))))*FZ365</f>
        <v>0</v>
      </c>
      <c r="GL365" s="712">
        <f t="shared" si="1003"/>
        <v>0</v>
      </c>
      <c r="GM365" s="712">
        <f t="shared" si="1004"/>
        <v>0</v>
      </c>
      <c r="GN365" s="712">
        <f t="shared" si="1005"/>
        <v>0</v>
      </c>
      <c r="GO365" s="712"/>
      <c r="GP365" s="712">
        <f t="shared" si="1006"/>
        <v>0</v>
      </c>
      <c r="GQ365" s="712" t="str">
        <f t="shared" si="1007"/>
        <v/>
      </c>
      <c r="GR365" s="712">
        <f>IF(GA365="P",Lookup!$N$12,IF(GA365="PP",Lookup!$N$13,IF(GA365="PPP",Lookup!$N$14,IF(GA365="T",Lookup!$N$15,IF(GA365="TP",Lookup!$N$16,IF(GA365="TPP",Lookup!$N$17,IF(GA365="TPPP",Lookup!$N$18,0)))))))*FZ365</f>
        <v>0</v>
      </c>
      <c r="GS365" s="697">
        <f t="shared" si="927"/>
        <v>0</v>
      </c>
      <c r="GT365" s="712">
        <f t="shared" si="1008"/>
        <v>0</v>
      </c>
      <c r="GU365" s="712">
        <f t="shared" si="1009"/>
        <v>0</v>
      </c>
      <c r="GV365" s="712"/>
      <c r="GW365" s="712">
        <f t="shared" si="1010"/>
        <v>0</v>
      </c>
      <c r="GX365" s="712" t="str">
        <f t="shared" si="1011"/>
        <v/>
      </c>
      <c r="GY365" s="712">
        <f>IF(GA365="P",Lookup!$N$12,IF(GA365="PP",Lookup!$N$13,IF(GA365="PPP",Lookup!$N$14,IF(GA365="T",Lookup!$N$15,IF(GA365="TP",Lookup!$N$16,IF(GA365="TPP",Lookup!$N$17,IF(GA365="TPPP",Lookup!$N$18,0)))))))*FZ365</f>
        <v>0</v>
      </c>
      <c r="GZ365" s="697">
        <f t="shared" si="928"/>
        <v>0</v>
      </c>
      <c r="HA365" s="712">
        <f t="shared" si="1012"/>
        <v>0</v>
      </c>
      <c r="HB365" s="712">
        <f t="shared" si="1013"/>
        <v>0</v>
      </c>
      <c r="HC365" s="712"/>
    </row>
    <row r="366" spans="1:211">
      <c r="A366" s="773" t="s">
        <v>3</v>
      </c>
      <c r="B366" s="708">
        <v>40895</v>
      </c>
      <c r="C366" s="719">
        <v>0.5</v>
      </c>
      <c r="D366" s="675">
        <f t="shared" si="936"/>
        <v>300</v>
      </c>
      <c r="E366" s="675">
        <f t="shared" si="937"/>
        <v>250</v>
      </c>
      <c r="F366" s="675">
        <v>250</v>
      </c>
      <c r="G366" s="712">
        <f>DH366+Sheet1!CV366</f>
        <v>455.07211296017533</v>
      </c>
      <c r="H366" s="712">
        <f t="shared" si="938"/>
        <v>27.195413817457332</v>
      </c>
      <c r="I366" s="711">
        <f>MAX(Sheet1!Z366-AJ366+(Sheet1!CW366-E366)*CFStoMGD,0)</f>
        <v>267.06321040324502</v>
      </c>
      <c r="J366" s="720">
        <f>IF(AND(B366&gt;=Calculation!FS366,B366&lt;=Calculation!FT366),IF(Sheet1!CX366&gt;=Calculation!D366,64.64,0),MAX(Sheet1!Z366-AJ366+(Sheet1!CX366-D366)*CFStoMGD,0))</f>
        <v>72.335210403245028</v>
      </c>
      <c r="K366" s="697">
        <f t="shared" si="939"/>
        <v>27.195413817457332</v>
      </c>
      <c r="L366" s="712">
        <f>Sheet1!AA366+Sheet1!AB366-Sheet1!L366+(Sheet1!CW366-F366)*CFStoMGD</f>
        <v>314.88946666666664</v>
      </c>
      <c r="M366" s="712">
        <f t="shared" si="940"/>
        <v>300.04178609380648</v>
      </c>
      <c r="N366" s="712">
        <f>IF(Sheet1!CW366&gt;=F366,MIN(73,MIN(MAX(L366,0),MAX(M366,0))),0)</f>
        <v>73</v>
      </c>
      <c r="O366" s="721">
        <f>Sheet1!AA366+Sheet1!AB366</f>
        <v>56.72</v>
      </c>
      <c r="P366" s="721">
        <f t="shared" si="941"/>
        <v>87.745839999999987</v>
      </c>
      <c r="Q366" s="712">
        <f>MIN(N366,Sheet1!AA366+AG366)</f>
        <v>47.986256263421623</v>
      </c>
      <c r="R366" s="712">
        <f t="shared" si="942"/>
        <v>8.7337437365783845</v>
      </c>
      <c r="S366" s="721">
        <f>Sheet1!Y366*MGDtoCFS</f>
        <v>44.677359999999993</v>
      </c>
      <c r="T366" s="721">
        <f>Sheet1!Z366*MGDtoCFS</f>
        <v>43.439759999999993</v>
      </c>
      <c r="U366" s="721">
        <f>Sheet1!AA366*MGDtoCFS</f>
        <v>44.553599999999996</v>
      </c>
      <c r="V366" s="721">
        <f>Sheet1!AB366*MGDtoCFS</f>
        <v>43.192239999999998</v>
      </c>
      <c r="W366" s="721">
        <f>Sheet1!L366*MGDtoCFS</f>
        <v>0</v>
      </c>
      <c r="X366" s="697">
        <f t="shared" si="943"/>
        <v>1.2573142503595962</v>
      </c>
      <c r="Y366" s="712">
        <f t="shared" si="944"/>
        <v>1.9450651453062953</v>
      </c>
      <c r="Z366" s="712">
        <f t="shared" si="945"/>
        <v>0</v>
      </c>
      <c r="AA366" s="712">
        <f t="shared" si="946"/>
        <v>0</v>
      </c>
      <c r="AB366" s="712">
        <f>(VLOOKUP(Sheet1!CY366,hhdcap_wcm,4)-(((VLOOKUP(Sheet1!CY366,hhdcap_wcm,3)-Sheet1!CY366)/(VLOOKUP(Sheet1!CY366,hhdcap_wcm,3)-VLOOKUP(Sheet1!CY366,hhdcap_wcm,1)))*(VLOOKUP(Sheet1!CY366,hhdcap_wcm,4)-VLOOKUP(Sheet1!CY366,hhdcap_wcm,2))))</f>
        <v>1828.7800000026075</v>
      </c>
      <c r="AC366" s="712">
        <f t="shared" si="947"/>
        <v>37.820000000027676</v>
      </c>
      <c r="AD366" s="712">
        <f t="shared" si="948"/>
        <v>0</v>
      </c>
      <c r="AE366" s="712">
        <f t="shared" si="949"/>
        <v>0</v>
      </c>
      <c r="AF366" s="712">
        <f>Sheet1!BA366+Sheet1!BB366+Sheet1!BN366+BT366</f>
        <v>19.2</v>
      </c>
      <c r="AG366" s="712">
        <f t="shared" si="950"/>
        <v>19.186256263421619</v>
      </c>
      <c r="AH366" s="712">
        <f>Sheet1!BA366+BT366</f>
        <v>0</v>
      </c>
      <c r="AI366" s="712">
        <f>Sheet1!BA366+Sheet1!BB366+BT366</f>
        <v>0</v>
      </c>
      <c r="AJ366" s="712">
        <f>IF((Sheet1!AA366+AG366+AX366+AZ366+BQ366+BS366+CL366+CN366)&lt;=N366,AG366+AX366+AZ366+BQ366+BS366+CL366+CN366,N366-Sheet1!AA366)</f>
        <v>19.186256263421619</v>
      </c>
      <c r="AK366" s="712">
        <f>IF(DR366&lt;K366,0,MAX(Sheet1!AA366+AG366-15/36*K366-N366,Sheet1!ED366,0))</f>
        <v>0</v>
      </c>
      <c r="AL366" s="712">
        <f>IF(OR(B366&gt;=FT366,B366&lt;FS366),0,15/36*K366-MAX(0,64.6-(137.6-(Sheet1!AA366+Sheet1!AB366))))</f>
        <v>0</v>
      </c>
      <c r="AM366" s="712">
        <f>Sheet1!CX366-110</f>
        <v>288.14583333333331</v>
      </c>
      <c r="AN366" s="712">
        <f>Sheet1!CW366-265</f>
        <v>384.39583333333337</v>
      </c>
      <c r="AO366" s="712">
        <f t="shared" si="934"/>
        <v>25.013743736578377</v>
      </c>
      <c r="AP366" s="712">
        <f t="shared" si="951"/>
        <v>0</v>
      </c>
      <c r="AQ366" s="712">
        <f t="shared" si="952"/>
        <v>0</v>
      </c>
      <c r="AR366" s="712">
        <f t="shared" si="953"/>
        <v>0</v>
      </c>
      <c r="AS366" s="712"/>
      <c r="AT366" s="712">
        <f ca="1">IF(B366&gt;Summary!$A$1,#N/A,AR366*MGtoAF)</f>
        <v>0</v>
      </c>
      <c r="AU366" s="712">
        <f>Sheet1!BG366+Sheet1!BH366+Sheet1!BI366-BC366</f>
        <v>0</v>
      </c>
      <c r="AV366" s="712">
        <f t="shared" si="954"/>
        <v>0</v>
      </c>
      <c r="AW366" s="712">
        <f>IF(Sheet1!EL366="FM",BC366,0)</f>
        <v>0</v>
      </c>
      <c r="AX366" s="712">
        <f t="shared" si="955"/>
        <v>0</v>
      </c>
      <c r="AY366" s="712">
        <f>IF(Sheet1!EL366="OTHER",BC366,0)</f>
        <v>0</v>
      </c>
      <c r="AZ366" s="712">
        <f t="shared" si="956"/>
        <v>0</v>
      </c>
      <c r="BA366" s="712">
        <f t="shared" si="957"/>
        <v>0</v>
      </c>
      <c r="BB366" s="712">
        <f t="shared" si="958"/>
        <v>0</v>
      </c>
      <c r="BC366" s="712">
        <f>IF(OR(Sheet1!EL366="FM", Sheet1!EL366="OTHER"),SUM(Sheet1!BG366:'Sheet1'!BI366),0)</f>
        <v>0</v>
      </c>
      <c r="BD366" s="697">
        <f>IF(AND($B366&gt;=$FL366,$B366&lt;=$FM366),MAX(AV366,Sheet1!EE366,0),MAX(AV366-(7/36)*$K366,0))</f>
        <v>0</v>
      </c>
      <c r="BE366" s="712">
        <f t="shared" si="959"/>
        <v>0</v>
      </c>
      <c r="BF366" s="697">
        <f t="shared" si="960"/>
        <v>0</v>
      </c>
      <c r="BG366" s="697">
        <f>IF(AND($O366&gt;0,Sheet1!EI366=1),(1-($O366-Sheet1!$L366)/$O366)*BB366,0)</f>
        <v>0</v>
      </c>
      <c r="BH366" s="697">
        <f>IF(AND(Sheet1!$L366=0,Sheet1!$L365=0, Calculation!BA366&lt;Sheet1!$EE366-0.1,Sheet1!$EE366=Sheet1!$EE365,Sheet1!$EE366=Sheet1!$EE367),Sheet1!$EE366,BB366-BG366)</f>
        <v>0</v>
      </c>
      <c r="BI366" s="712"/>
      <c r="BJ366" s="712"/>
      <c r="BK366" s="712">
        <f t="shared" si="961"/>
        <v>0</v>
      </c>
      <c r="BL366" s="712"/>
      <c r="BM366" s="712">
        <f ca="1">IF(B366&gt;Summary!$A$1,#N/A,BK366*MGtoAF)</f>
        <v>0</v>
      </c>
      <c r="BN366" s="712">
        <f>Sheet1!BC366+Sheet1!BD366+Sheet1!BE366+Sheet1!BF366-BW366-BX366</f>
        <v>2.19</v>
      </c>
      <c r="BO366" s="712">
        <f t="shared" si="962"/>
        <v>2.1884323550465283</v>
      </c>
      <c r="BP366" s="712">
        <f>IF(Sheet1!EM366="FM",BX366,0)</f>
        <v>0</v>
      </c>
      <c r="BQ366" s="712">
        <f t="shared" si="963"/>
        <v>0</v>
      </c>
      <c r="BR366" s="712">
        <f>IF(Sheet1!EM366="OTHER",BX366,0)</f>
        <v>0</v>
      </c>
      <c r="BS366" s="712">
        <f t="shared" si="964"/>
        <v>0</v>
      </c>
      <c r="BT366" s="712">
        <f t="shared" si="965"/>
        <v>0</v>
      </c>
      <c r="BU366" s="712">
        <f t="shared" si="966"/>
        <v>2.19</v>
      </c>
      <c r="BV366" s="712">
        <f t="shared" si="967"/>
        <v>2.1884323550465283</v>
      </c>
      <c r="BW366" s="712">
        <f>IF(Sheet1!EM366="CWA",SUM(Sheet1!BC366:'Sheet1'!BF366),0)</f>
        <v>0</v>
      </c>
      <c r="BX366" s="712">
        <f>IF(OR(Sheet1!EM366="FM", Sheet1!EM366="OTHER"),SUM(Sheet1!BC366:'Sheet1'!BF366),0)</f>
        <v>0</v>
      </c>
      <c r="BY366" s="697">
        <f>IF(AND($B366&gt;=$FL366,$B366&lt;=$FM366),MAX(BV366,Sheet1!EF366,0),MAX(BV366-(7/36)*$K366,0))</f>
        <v>0</v>
      </c>
      <c r="BZ366" s="712">
        <f t="shared" si="968"/>
        <v>0</v>
      </c>
      <c r="CA366" s="697">
        <f t="shared" si="969"/>
        <v>2.1884323550465283</v>
      </c>
      <c r="CB366" s="697">
        <f>IF(AND($O366&gt;0,Sheet1!EJ366=1),(1-($O366-Sheet1!$L366)/$O366)*BV366,0)</f>
        <v>0</v>
      </c>
      <c r="CC366" s="697">
        <f>IF(AND(Sheet1!$L366=0,Sheet1!$L365=0, Calculation!BU366&lt;Sheet1!EF366-0.1,Sheet1!EF366=Sheet1!EF365,Sheet1!EF366=Sheet1!EF367),Sheet1!EF366,BV366-CB366)</f>
        <v>2.1884323550465283</v>
      </c>
      <c r="CD366" s="697"/>
      <c r="CE366" s="712"/>
      <c r="CF366" s="712">
        <f t="shared" si="970"/>
        <v>0</v>
      </c>
      <c r="CG366" s="712"/>
      <c r="CH366" s="712">
        <f ca="1">IF(B366&gt;Summary!$A$1,#N/A,CF366*MGtoAF)</f>
        <v>0</v>
      </c>
      <c r="CI366" s="712">
        <f>Sheet1!BK366+Sheet1!BL366+Sheet1!BM366-Sheet1!EN366-CQ366</f>
        <v>6.5500000000000007</v>
      </c>
      <c r="CJ366" s="712">
        <f t="shared" si="971"/>
        <v>6.5453113815318558</v>
      </c>
      <c r="CK366" s="712">
        <f>IF(Sheet1!EN366="FM",CQ366,0)</f>
        <v>0</v>
      </c>
      <c r="CL366" s="712">
        <f t="shared" si="972"/>
        <v>0</v>
      </c>
      <c r="CM366" s="712">
        <f>IF(Sheet1!EN366="OTHER",CQ366,0)</f>
        <v>0</v>
      </c>
      <c r="CN366" s="712">
        <f t="shared" si="973"/>
        <v>0</v>
      </c>
      <c r="CO366" s="712">
        <f t="shared" si="974"/>
        <v>6.5500000000000007</v>
      </c>
      <c r="CP366" s="712">
        <f t="shared" si="975"/>
        <v>6.5453113815318558</v>
      </c>
      <c r="CQ366" s="712">
        <f>IF(OR(Sheet1!EN366="FM", Sheet1!EN366="OTHER"),SUM(Sheet1!BK366:'Sheet1'!BM366),0)</f>
        <v>0</v>
      </c>
      <c r="CR366" s="697">
        <f>IF(AND($B366&gt;=$FL366,$B366&lt;=$FM366),MAX($CJ366,Sheet1!EG366,0),MAX($CJ366-(7/36)*$K366,0))</f>
        <v>1.2573142503595962</v>
      </c>
      <c r="CS366" s="712">
        <f t="shared" si="976"/>
        <v>0</v>
      </c>
      <c r="CT366" s="697">
        <f t="shared" si="977"/>
        <v>5.2879971311722596</v>
      </c>
      <c r="CU366" s="697">
        <f>IF(AND($O366&gt;0,Sheet1!EK366=1),(1-($O366-Sheet1!$L366)/$O366)*CP366,0)</f>
        <v>0</v>
      </c>
      <c r="CV366" s="697">
        <f>IF(AND(Sheet1!$L366=0,Sheet1!$L365=0, Calculation!CO366&lt;Sheet1!$EG366-0.1,Sheet1!$EG366=Sheet1!$EG365,Sheet1!$EG366=Sheet1!$EG367),Sheet1!$EG366,CP366-CU366)</f>
        <v>6.5453113815318558</v>
      </c>
      <c r="CW366" s="697"/>
      <c r="CX366" s="712">
        <f t="shared" si="978"/>
        <v>8.74</v>
      </c>
      <c r="CY366" s="712">
        <f t="shared" si="979"/>
        <v>0</v>
      </c>
      <c r="CZ366" s="712">
        <f t="shared" si="980"/>
        <v>8.7337437365783845</v>
      </c>
      <c r="DA366" s="712">
        <f ca="1">IF(B366&gt;Summary!$A$1,#N/A,CY366*MGtoAF)</f>
        <v>0</v>
      </c>
      <c r="DB366" s="712">
        <f t="shared" si="981"/>
        <v>8.74</v>
      </c>
      <c r="DC366" s="712">
        <f t="shared" si="982"/>
        <v>27.939999999999998</v>
      </c>
      <c r="DD366" s="712">
        <f>Sheet1!AB366-DC366</f>
        <v>-1.9999999999996021E-2</v>
      </c>
      <c r="DE366" s="712">
        <f t="shared" si="983"/>
        <v>-7.1581961345726635E-4</v>
      </c>
      <c r="DF366" s="712">
        <f>(VLOOKUP(Sheet1!CY366,hhdcap_wcm,4)-(((VLOOKUP(Sheet1!CY366,hhdcap_wcm,3)-Sheet1!CY366)/(VLOOKUP(Sheet1!CY366,hhdcap_wcm,3)-VLOOKUP(Sheet1!CY366,hhdcap_wcm,1)))*(VLOOKUP(Sheet1!CY366,hhdcap_wcm,4)-VLOOKUP(Sheet1!CY366,hhdcap_wcm,2))))</f>
        <v>1828.7800000026075</v>
      </c>
      <c r="DG366" s="712">
        <f t="shared" si="984"/>
        <v>37.820000000027676</v>
      </c>
      <c r="DH366" s="712">
        <f t="shared" si="985"/>
        <v>19.072112960175325</v>
      </c>
      <c r="DI366" s="712">
        <f>Sheet1!DW366*AFtoMG</f>
        <v>0</v>
      </c>
      <c r="DJ366" s="712">
        <f>Sheet1!DX366*AFtoMG</f>
        <v>0</v>
      </c>
      <c r="DK366" s="712">
        <f>Sheet1!DY366*AFtoMG</f>
        <v>0</v>
      </c>
      <c r="DL366" s="712">
        <f>Sheet1!DZ366*AFtoMG</f>
        <v>0</v>
      </c>
      <c r="DM366" s="712">
        <f t="shared" si="986"/>
        <v>0</v>
      </c>
      <c r="DN366" s="712">
        <f t="shared" si="987"/>
        <v>0</v>
      </c>
      <c r="DO366" s="712">
        <f t="shared" si="988"/>
        <v>0</v>
      </c>
      <c r="DP366" s="712">
        <f t="shared" si="989"/>
        <v>0</v>
      </c>
      <c r="DQ366" s="712"/>
      <c r="DR366" s="697">
        <f>IF(OR(B366&lt;FL366,B366&gt;FM366),(MIN(AV366+BO366+CJ366+MAX(Sheet1!AA366+AG366-73,0),K366)),0)</f>
        <v>8.7337437365783845</v>
      </c>
      <c r="DS366" s="712"/>
      <c r="DT366" s="712">
        <f t="shared" si="990"/>
        <v>8.7337437365783845</v>
      </c>
      <c r="DU366" s="712"/>
      <c r="DV366" s="712">
        <f>Sheet1!ED366+Sheet1!EE366+Sheet1!EF366+Sheet1!EG366</f>
        <v>8.5</v>
      </c>
      <c r="DW366" s="712"/>
      <c r="DX366" s="697">
        <f t="shared" si="991"/>
        <v>1.2573142503595971</v>
      </c>
      <c r="DY366" s="712">
        <f>IF(Sheet1!FN366=1,SUM('Calculations II'!AT366:BA366)+'Calculations II'!BC366+Sheet1!BU366+'Calculations II'!BE366+AF366,SUM('Calculations II'!AT366:BA366)+'Calculations II'!BC366+Sheet1!BU366+'Calculations II'!BE366+AF366)</f>
        <v>39.703615999999997</v>
      </c>
      <c r="DZ366" s="712">
        <f>Sheet1!AA366+Sheet1!AB366+'Calculations II'!BC366</f>
        <v>56.72</v>
      </c>
      <c r="EA366" s="712"/>
      <c r="EB366" s="712"/>
      <c r="EC366" s="712">
        <f t="shared" si="992"/>
        <v>40895</v>
      </c>
      <c r="ED366" s="712">
        <f t="shared" si="993"/>
        <v>-1.2573142503595962</v>
      </c>
      <c r="EE366" s="712">
        <f t="shared" si="994"/>
        <v>-1.9450651453062953</v>
      </c>
      <c r="EF366" s="712">
        <f ca="1">IF(B366=TODAY(),0,-(VLOOKUP(Sheet1!BQ366,Lookup!$B$4:$J$236,2)-VLOOKUP(Sheet1!BQ365,Lookup!$B$4:$J$236,2))/1000000)</f>
        <v>-2.7021000000000002</v>
      </c>
      <c r="EG366" s="712">
        <f ca="1">IF(B366=TODAY(),0,-(VLOOKUP(Sheet1!BR366,Lookup!$B$4:$J$236,3)-VLOOKUP(Sheet1!BR365,Lookup!$B$4:$J$236,3))/1000000)</f>
        <v>-2.4266000000000001</v>
      </c>
      <c r="EH366" s="712">
        <f>-(VLOOKUP(Sheet1!BS366,Lookup!$B$4:$J$236,4)-VLOOKUP(Sheet1!BS365,Lookup!$B$4:$J$236,4))/1000000</f>
        <v>0</v>
      </c>
      <c r="EI366" s="697">
        <f t="shared" ca="1" si="922"/>
        <v>-5.1287000000000003</v>
      </c>
      <c r="EJ366" s="712"/>
      <c r="EK366" s="712"/>
      <c r="EL366" s="712"/>
      <c r="EM366" s="712"/>
      <c r="EN366" s="712"/>
      <c r="EO366" s="712"/>
      <c r="EP366" s="712"/>
      <c r="EQ366" s="712"/>
      <c r="ER366" s="712"/>
      <c r="ES366" s="712"/>
      <c r="ET366" s="794" t="e">
        <f t="shared" ref="ET366:ET385" si="1015">VLOOKUP(EZ365,hhdelev_wcm,4) -(((VLOOKUP(EZ365,hhdelev_wcm,3)-EZ365)/(VLOOKUP(EZ365,hhdelev_wcm,3)-VLOOKUP(EZ365,hhdelev_wcm,1)))*(VLOOKUP(EZ365,hhdelev_wcm,4)-VLOOKUP(EZ365,hhdelev_wcm,2)))</f>
        <v>#N/A</v>
      </c>
      <c r="EU366" s="794" t="e">
        <f t="shared" si="924"/>
        <v>#N/A</v>
      </c>
      <c r="EV366" s="795" t="e">
        <f t="shared" si="925"/>
        <v>#N/A</v>
      </c>
      <c r="EW366" s="796" t="s">
        <v>757</v>
      </c>
      <c r="EX366" s="796" t="s">
        <v>757</v>
      </c>
      <c r="EY366" s="794" t="e">
        <v>#N/A</v>
      </c>
      <c r="EZ366" s="794" t="e">
        <v>#N/A</v>
      </c>
      <c r="FA366" s="712"/>
      <c r="FB366" s="712"/>
      <c r="FC366" s="712"/>
      <c r="FD366" s="712"/>
      <c r="FE366" s="712">
        <f>O366+Sheet1!CO366</f>
        <v>56.72</v>
      </c>
      <c r="FF366" s="712">
        <f>IF(Sheet1!AA366+AG366&lt;=Calculation!N366,AG366,Calculation!N366-Sheet1!AA366)</f>
        <v>19.186256263421619</v>
      </c>
      <c r="FG366" s="712">
        <f>(Sheet1!BP366+Sheet1!BO366)/694.4</f>
        <v>1.256336405529954</v>
      </c>
      <c r="FH366" s="712"/>
      <c r="FI366" s="712"/>
      <c r="FJ366" s="712"/>
      <c r="FK366" s="712"/>
      <c r="FL366" s="714">
        <f t="shared" si="929"/>
        <v>40753</v>
      </c>
      <c r="FM366" s="714">
        <f t="shared" si="930"/>
        <v>40851</v>
      </c>
      <c r="FN366" s="712"/>
      <c r="FO366" s="712"/>
      <c r="FP366" s="712"/>
      <c r="FQ366" s="712"/>
      <c r="FR366" s="712"/>
      <c r="FS366" s="725">
        <f t="shared" si="1014"/>
        <v>40603</v>
      </c>
      <c r="FT366" s="714">
        <f t="shared" si="932"/>
        <v>40709</v>
      </c>
      <c r="FU366" s="712">
        <f t="shared" si="1014"/>
        <v>6518.9048239895692</v>
      </c>
      <c r="FV366" s="714">
        <f t="shared" si="933"/>
        <v>40722</v>
      </c>
      <c r="FW366" s="712">
        <f t="shared" si="1014"/>
        <v>3259.4524119947846</v>
      </c>
      <c r="FX366" s="725">
        <f t="shared" si="1014"/>
        <v>40851</v>
      </c>
      <c r="FZ366" s="697">
        <f t="shared" si="926"/>
        <v>0</v>
      </c>
      <c r="GA366" s="712" t="str">
        <f t="shared" si="995"/>
        <v/>
      </c>
      <c r="GB366" s="712">
        <f t="shared" si="996"/>
        <v>0</v>
      </c>
      <c r="GC366" s="712" t="str">
        <f t="shared" si="997"/>
        <v/>
      </c>
      <c r="GD366" s="712">
        <f>IF(GA366="P",Lookup!$M$12,IF(GA366="PP",Lookup!$M$13,IF(GA366="PPP",Lookup!$M$14,IF(GA366="T",Lookup!$M$15,IF(GA366="TP",Lookup!$M$16,IF(GA366="TPP",Lookup!$M$17,IF(GA366="TPPP",Lookup!$M$18,0)))))))*FZ366</f>
        <v>0</v>
      </c>
      <c r="GE366" s="712">
        <f t="shared" si="998"/>
        <v>0</v>
      </c>
      <c r="GF366" s="712">
        <f t="shared" si="999"/>
        <v>0</v>
      </c>
      <c r="GG366" s="712">
        <f t="shared" si="1000"/>
        <v>0</v>
      </c>
      <c r="GH366" s="712"/>
      <c r="GI366" s="712">
        <f t="shared" si="1001"/>
        <v>0</v>
      </c>
      <c r="GJ366" s="712" t="str">
        <f t="shared" si="1002"/>
        <v/>
      </c>
      <c r="GK366" s="712">
        <f>IF(GA366="P",Lookup!$N$12,IF(GA366="PP",Lookup!$N$13,IF(GA366="PPP",Lookup!$N$14,IF(GA366="T",Lookup!$N$15,IF(GA366="TP",Lookup!$N$16,IF(GA366="TPP",Lookup!$N$17,IF(GA366="TPPP",Lookup!$N$18,0)))))))*FZ366</f>
        <v>0</v>
      </c>
      <c r="GL366" s="712">
        <f t="shared" si="1003"/>
        <v>0</v>
      </c>
      <c r="GM366" s="712">
        <f t="shared" si="1004"/>
        <v>0</v>
      </c>
      <c r="GN366" s="712">
        <f t="shared" si="1005"/>
        <v>0</v>
      </c>
      <c r="GO366" s="712"/>
      <c r="GP366" s="712">
        <f t="shared" si="1006"/>
        <v>0</v>
      </c>
      <c r="GQ366" s="712" t="str">
        <f t="shared" si="1007"/>
        <v/>
      </c>
      <c r="GR366" s="712">
        <f>IF(GA366="P",Lookup!$N$12,IF(GA366="PP",Lookup!$N$13,IF(GA366="PPP",Lookup!$N$14,IF(GA366="T",Lookup!$N$15,IF(GA366="TP",Lookup!$N$16,IF(GA366="TPP",Lookup!$N$17,IF(GA366="TPPP",Lookup!$N$18,0)))))))*FZ366</f>
        <v>0</v>
      </c>
      <c r="GS366" s="697">
        <f t="shared" si="927"/>
        <v>0</v>
      </c>
      <c r="GT366" s="712">
        <f t="shared" si="1008"/>
        <v>0</v>
      </c>
      <c r="GU366" s="712">
        <f t="shared" si="1009"/>
        <v>0</v>
      </c>
      <c r="GV366" s="712"/>
      <c r="GW366" s="712">
        <f t="shared" si="1010"/>
        <v>0</v>
      </c>
      <c r="GX366" s="712" t="str">
        <f t="shared" si="1011"/>
        <v/>
      </c>
      <c r="GY366" s="712">
        <f>IF(GA366="P",Lookup!$N$12,IF(GA366="PP",Lookup!$N$13,IF(GA366="PPP",Lookup!$N$14,IF(GA366="T",Lookup!$N$15,IF(GA366="TP",Lookup!$N$16,IF(GA366="TPP",Lookup!$N$17,IF(GA366="TPPP",Lookup!$N$18,0)))))))*FZ366</f>
        <v>0</v>
      </c>
      <c r="GZ366" s="697">
        <f t="shared" si="928"/>
        <v>0</v>
      </c>
      <c r="HA366" s="712">
        <f t="shared" si="1012"/>
        <v>0</v>
      </c>
      <c r="HB366" s="712">
        <f t="shared" si="1013"/>
        <v>0</v>
      </c>
      <c r="HC366" s="712"/>
    </row>
    <row r="367" spans="1:211">
      <c r="A367" s="773" t="s">
        <v>4</v>
      </c>
      <c r="B367" s="708">
        <v>40896</v>
      </c>
      <c r="C367" s="709">
        <v>0.5</v>
      </c>
      <c r="D367" s="675">
        <f t="shared" si="936"/>
        <v>300</v>
      </c>
      <c r="E367" s="675">
        <f t="shared" si="937"/>
        <v>250</v>
      </c>
      <c r="F367" s="675">
        <v>250</v>
      </c>
      <c r="G367" s="712">
        <f>DH367+Sheet1!CV367</f>
        <v>452.66263237520315</v>
      </c>
      <c r="H367" s="712">
        <f t="shared" si="938"/>
        <v>25.637925567331312</v>
      </c>
      <c r="I367" s="711">
        <f>MAX(Sheet1!Z367-AJ367+(Sheet1!CW367-E367)*CFStoMGD,0)</f>
        <v>266.05149849849846</v>
      </c>
      <c r="J367" s="720">
        <f>IF(AND(B367&gt;=Calculation!FS367,B367&lt;=Calculation!FT367),IF(Sheet1!CX367&gt;=Calculation!D367,64.64,0),MAX(Sheet1!Z367-AJ367+(Sheet1!CX367-D367)*CFStoMGD,0))</f>
        <v>72.94623183183181</v>
      </c>
      <c r="K367" s="697">
        <f t="shared" si="939"/>
        <v>25.637925567331312</v>
      </c>
      <c r="L367" s="712">
        <f>Sheet1!AA367+Sheet1!AB367-Sheet1!L367+(Sheet1!CW367-F367)*CFStoMGD</f>
        <v>312.67633333333333</v>
      </c>
      <c r="M367" s="712">
        <f t="shared" si="940"/>
        <v>298.45314807867794</v>
      </c>
      <c r="N367" s="712">
        <f>IF(Sheet1!CW367&gt;=F367,MIN(73,MIN(MAX(L367,0),MAX(M367,0))),0)</f>
        <v>73</v>
      </c>
      <c r="O367" s="721">
        <f>Sheet1!AA367+Sheet1!AB367</f>
        <v>56.17</v>
      </c>
      <c r="P367" s="721">
        <f t="shared" si="941"/>
        <v>86.894990000000007</v>
      </c>
      <c r="Q367" s="712">
        <f>MIN(N367,Sheet1!AA367+AG367)</f>
        <v>47.42483483483484</v>
      </c>
      <c r="R367" s="712">
        <f t="shared" si="942"/>
        <v>8.7451651651651652</v>
      </c>
      <c r="S367" s="721">
        <f>Sheet1!Y367*MGDtoCFS</f>
        <v>44.337019999999995</v>
      </c>
      <c r="T367" s="721">
        <f>Sheet1!Z367*MGDtoCFS</f>
        <v>43.439759999999993</v>
      </c>
      <c r="U367" s="721">
        <f>Sheet1!AA367*MGDtoCFS</f>
        <v>44.692830000000001</v>
      </c>
      <c r="V367" s="721">
        <f>Sheet1!AB367*MGDtoCFS</f>
        <v>42.202159999999999</v>
      </c>
      <c r="W367" s="721">
        <f>Sheet1!L367*MGDtoCFS</f>
        <v>0</v>
      </c>
      <c r="X367" s="697">
        <f t="shared" si="943"/>
        <v>1.6710039625084017</v>
      </c>
      <c r="Y367" s="712">
        <f t="shared" si="944"/>
        <v>2.5850431300004972</v>
      </c>
      <c r="Z367" s="712">
        <f t="shared" si="945"/>
        <v>0</v>
      </c>
      <c r="AA367" s="712">
        <f t="shared" si="946"/>
        <v>0</v>
      </c>
      <c r="AB367" s="712">
        <f>(VLOOKUP(Sheet1!CY367,hhdcap_wcm,4)-(((VLOOKUP(Sheet1!CY367,hhdcap_wcm,3)-Sheet1!CY367)/(VLOOKUP(Sheet1!CY367,hhdcap_wcm,3)-VLOOKUP(Sheet1!CY367,hhdcap_wcm,1)))*(VLOOKUP(Sheet1!CY367,hhdcap_wcm,4)-VLOOKUP(Sheet1!CY367,hhdcap_wcm,2))))</f>
        <v>1860.5000000026353</v>
      </c>
      <c r="AC367" s="712">
        <f t="shared" si="947"/>
        <v>31.720000000027767</v>
      </c>
      <c r="AD367" s="712">
        <f t="shared" si="948"/>
        <v>0</v>
      </c>
      <c r="AE367" s="712">
        <f t="shared" si="949"/>
        <v>0</v>
      </c>
      <c r="AF367" s="712">
        <f>Sheet1!BA367+Sheet1!BB367+Sheet1!BN367+BT367</f>
        <v>18.100000000000001</v>
      </c>
      <c r="AG367" s="712">
        <f t="shared" si="950"/>
        <v>18.534834834834836</v>
      </c>
      <c r="AH367" s="712">
        <f>Sheet1!BA367+BT367</f>
        <v>0</v>
      </c>
      <c r="AI367" s="712">
        <f>Sheet1!BA367+Sheet1!BB367+BT367</f>
        <v>0</v>
      </c>
      <c r="AJ367" s="712">
        <f>IF((Sheet1!AA367+AG367+AX367+AZ367+BQ367+BS367+CL367+CN367)&lt;=N367,AG367+AX367+AZ367+BQ367+BS367+CL367+CN367,N367-Sheet1!AA367)</f>
        <v>18.534834834834836</v>
      </c>
      <c r="AK367" s="712">
        <f>IF(DR367&lt;K367,0,MAX(Sheet1!AA367+AG367-15/36*K367-N367,Sheet1!ED367,0))</f>
        <v>0</v>
      </c>
      <c r="AL367" s="712">
        <f>IF(OR(B367&gt;=FT367,B367&lt;FS367),0,15/36*K367-MAX(0,64.6-(137.6-(Sheet1!AA367+Sheet1!AB367))))</f>
        <v>0</v>
      </c>
      <c r="AM367" s="712">
        <f>Sheet1!CX367-110</f>
        <v>288.08333333333331</v>
      </c>
      <c r="AN367" s="712">
        <f>Sheet1!CW367-265</f>
        <v>381.82291666666663</v>
      </c>
      <c r="AO367" s="712">
        <f t="shared" si="934"/>
        <v>25.57516516516516</v>
      </c>
      <c r="AP367" s="712">
        <f t="shared" si="951"/>
        <v>0</v>
      </c>
      <c r="AQ367" s="712">
        <f t="shared" si="952"/>
        <v>0</v>
      </c>
      <c r="AR367" s="712">
        <f t="shared" si="953"/>
        <v>0</v>
      </c>
      <c r="AS367" s="712"/>
      <c r="AT367" s="712">
        <f ca="1">IF(B367&gt;Summary!$A$1,#N/A,AR367*MGtoAF)</f>
        <v>0</v>
      </c>
      <c r="AU367" s="712">
        <f>Sheet1!BG367+Sheet1!BH367+Sheet1!BI367-BC367</f>
        <v>0</v>
      </c>
      <c r="AV367" s="712">
        <f t="shared" si="954"/>
        <v>0</v>
      </c>
      <c r="AW367" s="712">
        <f>IF(Sheet1!EL367="FM",BC367,0)</f>
        <v>0</v>
      </c>
      <c r="AX367" s="712">
        <f t="shared" si="955"/>
        <v>0</v>
      </c>
      <c r="AY367" s="712">
        <f>IF(Sheet1!EL367="OTHER",BC367,0)</f>
        <v>0</v>
      </c>
      <c r="AZ367" s="712">
        <f t="shared" si="956"/>
        <v>0</v>
      </c>
      <c r="BA367" s="712">
        <f t="shared" si="957"/>
        <v>0</v>
      </c>
      <c r="BB367" s="712">
        <f t="shared" si="958"/>
        <v>0</v>
      </c>
      <c r="BC367" s="712">
        <f>IF(OR(Sheet1!EL367="FM", Sheet1!EL367="OTHER"),SUM(Sheet1!BG367:'Sheet1'!BI367),0)</f>
        <v>0</v>
      </c>
      <c r="BD367" s="697">
        <f>IF(AND($B367&gt;=$FL367,$B367&lt;=$FM367),MAX(AV367,Sheet1!EE367,0),MAX(AV367-(7/36)*$K367,0))</f>
        <v>0</v>
      </c>
      <c r="BE367" s="712">
        <f t="shared" si="959"/>
        <v>0</v>
      </c>
      <c r="BF367" s="697">
        <f t="shared" si="960"/>
        <v>0</v>
      </c>
      <c r="BG367" s="697">
        <f>IF(AND($O367&gt;0,Sheet1!EI367=1),(1-($O367-Sheet1!$L367)/$O367)*BB367,0)</f>
        <v>0</v>
      </c>
      <c r="BH367" s="697">
        <f>IF(AND(Sheet1!$L367=0,Sheet1!$L366=0, Calculation!BA367&lt;Sheet1!$EE367-0.1,Sheet1!$EE367=Sheet1!$EE366,Sheet1!$EE367=Sheet1!$EE368),Sheet1!$EE367,BB367-BG367)</f>
        <v>0</v>
      </c>
      <c r="BI367" s="712"/>
      <c r="BJ367" s="712"/>
      <c r="BK367" s="712">
        <f t="shared" si="961"/>
        <v>0</v>
      </c>
      <c r="BL367" s="712"/>
      <c r="BM367" s="712">
        <f ca="1">IF(B367&gt;Summary!$A$1,#N/A,BK367*MGtoAF)</f>
        <v>0</v>
      </c>
      <c r="BN367" s="712">
        <f>Sheet1!BC367+Sheet1!BD367+Sheet1!BE367+Sheet1!BF367-BW367-BX367</f>
        <v>2.04</v>
      </c>
      <c r="BO367" s="712">
        <f t="shared" si="962"/>
        <v>2.089009009009009</v>
      </c>
      <c r="BP367" s="712">
        <f>IF(Sheet1!EM367="FM",BX367,0)</f>
        <v>0</v>
      </c>
      <c r="BQ367" s="712">
        <f t="shared" si="963"/>
        <v>0</v>
      </c>
      <c r="BR367" s="712">
        <f>IF(Sheet1!EM367="OTHER",BX367,0)</f>
        <v>0</v>
      </c>
      <c r="BS367" s="712">
        <f t="shared" si="964"/>
        <v>0</v>
      </c>
      <c r="BT367" s="712">
        <f t="shared" si="965"/>
        <v>0</v>
      </c>
      <c r="BU367" s="712">
        <f t="shared" si="966"/>
        <v>2.04</v>
      </c>
      <c r="BV367" s="712">
        <f t="shared" si="967"/>
        <v>2.089009009009009</v>
      </c>
      <c r="BW367" s="712">
        <f>IF(Sheet1!EM367="CWA",SUM(Sheet1!BC367:'Sheet1'!BF367),0)</f>
        <v>0</v>
      </c>
      <c r="BX367" s="712">
        <f>IF(OR(Sheet1!EM367="FM", Sheet1!EM367="OTHER"),SUM(Sheet1!BC367:'Sheet1'!BF367),0)</f>
        <v>0</v>
      </c>
      <c r="BY367" s="697">
        <f>IF(AND($B367&gt;=$FL367,$B367&lt;=$FM367),MAX(BV367,Sheet1!EF367,0),MAX(BV367-(7/36)*$K367,0))</f>
        <v>0</v>
      </c>
      <c r="BZ367" s="712">
        <f t="shared" si="968"/>
        <v>0</v>
      </c>
      <c r="CA367" s="697">
        <f t="shared" si="969"/>
        <v>2.089009009009009</v>
      </c>
      <c r="CB367" s="697">
        <f>IF(AND($O367&gt;0,Sheet1!EJ367=1),(1-($O367-Sheet1!$L367)/$O367)*BV367,0)</f>
        <v>0</v>
      </c>
      <c r="CC367" s="697">
        <f>IF(AND(Sheet1!$L367=0,Sheet1!$L366=0, Calculation!BU367&lt;Sheet1!EF367-0.1,Sheet1!EF367=Sheet1!EF366,Sheet1!EF367=Sheet1!EF368),Sheet1!EF367,BV367-CB367)</f>
        <v>2.089009009009009</v>
      </c>
      <c r="CD367" s="697"/>
      <c r="CE367" s="712"/>
      <c r="CF367" s="712">
        <f t="shared" si="970"/>
        <v>0</v>
      </c>
      <c r="CG367" s="712"/>
      <c r="CH367" s="712">
        <f ca="1">IF(B367&gt;Summary!$A$1,#N/A,CF367*MGtoAF)</f>
        <v>0</v>
      </c>
      <c r="CI367" s="712">
        <f>Sheet1!BK367+Sheet1!BL367+Sheet1!BM367-Sheet1!EN367-CQ367</f>
        <v>6.5</v>
      </c>
      <c r="CJ367" s="712">
        <f t="shared" si="971"/>
        <v>6.6561561561561566</v>
      </c>
      <c r="CK367" s="712">
        <f>IF(Sheet1!EN367="FM",CQ367,0)</f>
        <v>0</v>
      </c>
      <c r="CL367" s="712">
        <f t="shared" si="972"/>
        <v>0</v>
      </c>
      <c r="CM367" s="712">
        <f>IF(Sheet1!EN367="OTHER",CQ367,0)</f>
        <v>0</v>
      </c>
      <c r="CN367" s="712">
        <f t="shared" si="973"/>
        <v>0</v>
      </c>
      <c r="CO367" s="712">
        <f t="shared" si="974"/>
        <v>6.5</v>
      </c>
      <c r="CP367" s="712">
        <f t="shared" si="975"/>
        <v>6.6561561561561566</v>
      </c>
      <c r="CQ367" s="712">
        <f>IF(OR(Sheet1!EN367="FM", Sheet1!EN367="OTHER"),SUM(Sheet1!BK367:'Sheet1'!BM367),0)</f>
        <v>0</v>
      </c>
      <c r="CR367" s="697">
        <f>IF(AND($B367&gt;=$FL367,$B367&lt;=$FM367),MAX($CJ367,Sheet1!EG367,0),MAX($CJ367-(7/36)*$K367,0))</f>
        <v>1.6710039625084017</v>
      </c>
      <c r="CS367" s="712">
        <f t="shared" si="976"/>
        <v>0</v>
      </c>
      <c r="CT367" s="697">
        <f t="shared" si="977"/>
        <v>4.985152193647755</v>
      </c>
      <c r="CU367" s="697">
        <f>IF(AND($O367&gt;0,Sheet1!EK367=1),(1-($O367-Sheet1!$L367)/$O367)*CP367,0)</f>
        <v>0</v>
      </c>
      <c r="CV367" s="697">
        <f>IF(AND(Sheet1!$L367=0,Sheet1!$L366=0, Calculation!CO367&lt;Sheet1!$EG367-0.1,Sheet1!$EG367=Sheet1!$EG366,Sheet1!$EG367=Sheet1!$EG368),Sheet1!$EG367,CP367-CU367)</f>
        <v>6.6561561561561566</v>
      </c>
      <c r="CW367" s="697"/>
      <c r="CX367" s="712">
        <f t="shared" si="978"/>
        <v>8.5399999999999991</v>
      </c>
      <c r="CY367" s="712">
        <f t="shared" si="979"/>
        <v>0</v>
      </c>
      <c r="CZ367" s="712">
        <f t="shared" si="980"/>
        <v>8.7451651651651652</v>
      </c>
      <c r="DA367" s="712">
        <f ca="1">IF(B367&gt;Summary!$A$1,#N/A,CY367*MGtoAF)</f>
        <v>0</v>
      </c>
      <c r="DB367" s="712">
        <f t="shared" si="981"/>
        <v>8.5399999999999991</v>
      </c>
      <c r="DC367" s="712">
        <f t="shared" si="982"/>
        <v>26.64</v>
      </c>
      <c r="DD367" s="712">
        <f>Sheet1!AB367-DC367</f>
        <v>0.64000000000000057</v>
      </c>
      <c r="DE367" s="712">
        <f t="shared" si="983"/>
        <v>2.4024024024024045E-2</v>
      </c>
      <c r="DF367" s="712">
        <f>(VLOOKUP(Sheet1!CY367,hhdcap_wcm,4)-(((VLOOKUP(Sheet1!CY367,hhdcap_wcm,3)-Sheet1!CY367)/(VLOOKUP(Sheet1!CY367,hhdcap_wcm,3)-VLOOKUP(Sheet1!CY367,hhdcap_wcm,1)))*(VLOOKUP(Sheet1!CY367,hhdcap_wcm,4)-VLOOKUP(Sheet1!CY367,hhdcap_wcm,2))))</f>
        <v>1860.5000000026353</v>
      </c>
      <c r="DG367" s="712">
        <f t="shared" si="984"/>
        <v>31.720000000027767</v>
      </c>
      <c r="DH367" s="712">
        <f t="shared" si="985"/>
        <v>15.99596570853644</v>
      </c>
      <c r="DI367" s="712">
        <f>Sheet1!DW367*AFtoMG</f>
        <v>0</v>
      </c>
      <c r="DJ367" s="712">
        <f>Sheet1!DX367*AFtoMG</f>
        <v>0</v>
      </c>
      <c r="DK367" s="712">
        <f>Sheet1!DY367*AFtoMG</f>
        <v>0</v>
      </c>
      <c r="DL367" s="712">
        <f>Sheet1!DZ367*AFtoMG</f>
        <v>0</v>
      </c>
      <c r="DM367" s="712">
        <f t="shared" si="986"/>
        <v>0</v>
      </c>
      <c r="DN367" s="712">
        <f t="shared" si="987"/>
        <v>0</v>
      </c>
      <c r="DO367" s="712">
        <f t="shared" si="988"/>
        <v>0</v>
      </c>
      <c r="DP367" s="712">
        <f t="shared" si="989"/>
        <v>0</v>
      </c>
      <c r="DQ367" s="712"/>
      <c r="DR367" s="697">
        <f>IF(OR(B367&lt;FL367,B367&gt;FM367),(MIN(AV367+BO367+CJ367+MAX(Sheet1!AA367+AG367-73,0),K367)),0)</f>
        <v>8.7451651651651652</v>
      </c>
      <c r="DS367" s="712"/>
      <c r="DT367" s="712">
        <f t="shared" si="990"/>
        <v>8.7451651651651652</v>
      </c>
      <c r="DU367" s="712"/>
      <c r="DV367" s="712">
        <f>Sheet1!ED367+Sheet1!EE367+Sheet1!EF367+Sheet1!EG367</f>
        <v>8.5</v>
      </c>
      <c r="DW367" s="712"/>
      <c r="DX367" s="697">
        <f t="shared" si="991"/>
        <v>1.6710039625084008</v>
      </c>
      <c r="DY367" s="712">
        <f>IF(Sheet1!FN367=1,SUM('Calculations II'!AT367:BA367)+'Calculations II'!BC367+Sheet1!BU367+'Calculations II'!BE367+AF367,SUM('Calculations II'!AT367:BA367)+'Calculations II'!BC367+Sheet1!BU367+'Calculations II'!BE367+AF367)</f>
        <v>40.738287999999997</v>
      </c>
      <c r="DZ367" s="712">
        <f>Sheet1!AA367+Sheet1!AB367+'Calculations II'!BC367</f>
        <v>56.17</v>
      </c>
      <c r="EA367" s="712"/>
      <c r="EB367" s="712"/>
      <c r="EC367" s="712">
        <f t="shared" si="992"/>
        <v>40896</v>
      </c>
      <c r="ED367" s="712">
        <f t="shared" si="993"/>
        <v>-1.6710039625084017</v>
      </c>
      <c r="EE367" s="712">
        <f t="shared" si="994"/>
        <v>-2.5850431300004972</v>
      </c>
      <c r="EF367" s="712">
        <f ca="1">IF(B367=TODAY(),0,-(VLOOKUP(Sheet1!BQ367,Lookup!$B$4:$J$236,2)-VLOOKUP(Sheet1!BQ366,Lookup!$B$4:$J$236,2))/1000000)</f>
        <v>-1.0913999999999999</v>
      </c>
      <c r="EG367" s="712">
        <f ca="1">IF(B367=TODAY(),0,-(VLOOKUP(Sheet1!BR367,Lookup!$B$4:$J$236,3)-VLOOKUP(Sheet1!BR366,Lookup!$B$4:$J$236,3))/1000000)</f>
        <v>-1.3602000000000001</v>
      </c>
      <c r="EH367" s="712">
        <f>-(VLOOKUP(Sheet1!BS367,Lookup!$B$4:$J$236,4)-VLOOKUP(Sheet1!BS366,Lookup!$B$4:$J$236,4))/1000000</f>
        <v>0</v>
      </c>
      <c r="EI367" s="697">
        <f t="shared" ca="1" si="922"/>
        <v>-2.4516</v>
      </c>
      <c r="EJ367" s="712"/>
      <c r="EK367" s="712"/>
      <c r="EL367" s="712"/>
      <c r="EM367" s="712"/>
      <c r="EN367" s="712"/>
      <c r="EO367" s="712"/>
      <c r="EP367" s="712"/>
      <c r="EQ367" s="712"/>
      <c r="ER367" s="712"/>
      <c r="ES367" s="712"/>
      <c r="ET367" s="794" t="e">
        <f t="shared" si="1015"/>
        <v>#N/A</v>
      </c>
      <c r="EU367" s="794" t="e">
        <f t="shared" si="924"/>
        <v>#N/A</v>
      </c>
      <c r="EV367" s="795" t="e">
        <f t="shared" si="925"/>
        <v>#N/A</v>
      </c>
      <c r="EW367" s="796" t="s">
        <v>757</v>
      </c>
      <c r="EX367" s="796" t="s">
        <v>757</v>
      </c>
      <c r="EY367" s="794" t="e">
        <v>#N/A</v>
      </c>
      <c r="EZ367" s="794" t="e">
        <v>#N/A</v>
      </c>
      <c r="FA367" s="712"/>
      <c r="FB367" s="712"/>
      <c r="FC367" s="712"/>
      <c r="FD367" s="712"/>
      <c r="FE367" s="712">
        <f>O367+Sheet1!CO367</f>
        <v>56.17</v>
      </c>
      <c r="FF367" s="712">
        <f>IF(Sheet1!AA367+AG367&lt;=Calculation!N367,AG367,Calculation!N367-Sheet1!AA367)</f>
        <v>18.534834834834836</v>
      </c>
      <c r="FG367" s="712">
        <f>(Sheet1!BP367+Sheet1!BO367)/694.4</f>
        <v>2.1401209677419355</v>
      </c>
      <c r="FH367" s="712"/>
      <c r="FI367" s="712"/>
      <c r="FJ367" s="712"/>
      <c r="FK367" s="712"/>
      <c r="FL367" s="714">
        <f t="shared" si="929"/>
        <v>40753</v>
      </c>
      <c r="FM367" s="714">
        <f t="shared" si="930"/>
        <v>40851</v>
      </c>
      <c r="FN367" s="712"/>
      <c r="FO367" s="712"/>
      <c r="FP367" s="712"/>
      <c r="FQ367" s="712"/>
      <c r="FR367" s="712"/>
      <c r="FS367" s="725">
        <f t="shared" si="1014"/>
        <v>40603</v>
      </c>
      <c r="FT367" s="714">
        <f t="shared" si="932"/>
        <v>40709</v>
      </c>
      <c r="FU367" s="712">
        <f t="shared" si="1014"/>
        <v>6518.9048239895692</v>
      </c>
      <c r="FV367" s="714">
        <f t="shared" si="933"/>
        <v>40722</v>
      </c>
      <c r="FW367" s="712">
        <f t="shared" si="1014"/>
        <v>3259.4524119947846</v>
      </c>
      <c r="FX367" s="725">
        <f t="shared" si="1014"/>
        <v>40851</v>
      </c>
      <c r="FZ367" s="697">
        <f t="shared" si="926"/>
        <v>0</v>
      </c>
      <c r="GA367" s="712" t="str">
        <f t="shared" si="995"/>
        <v/>
      </c>
      <c r="GB367" s="712">
        <f t="shared" si="996"/>
        <v>0</v>
      </c>
      <c r="GC367" s="712" t="str">
        <f t="shared" si="997"/>
        <v/>
      </c>
      <c r="GD367" s="712">
        <f>IF(GA367="P",Lookup!$M$12,IF(GA367="PP",Lookup!$M$13,IF(GA367="PPP",Lookup!$M$14,IF(GA367="T",Lookup!$M$15,IF(GA367="TP",Lookup!$M$16,IF(GA367="TPP",Lookup!$M$17,IF(GA367="TPPP",Lookup!$M$18,0)))))))*FZ367</f>
        <v>0</v>
      </c>
      <c r="GE367" s="712">
        <f t="shared" si="998"/>
        <v>0</v>
      </c>
      <c r="GF367" s="712">
        <f t="shared" si="999"/>
        <v>0</v>
      </c>
      <c r="GG367" s="712">
        <f t="shared" si="1000"/>
        <v>0</v>
      </c>
      <c r="GH367" s="712"/>
      <c r="GI367" s="712">
        <f t="shared" si="1001"/>
        <v>0</v>
      </c>
      <c r="GJ367" s="712" t="str">
        <f t="shared" si="1002"/>
        <v/>
      </c>
      <c r="GK367" s="712">
        <f>IF(GA367="P",Lookup!$N$12,IF(GA367="PP",Lookup!$N$13,IF(GA367="PPP",Lookup!$N$14,IF(GA367="T",Lookup!$N$15,IF(GA367="TP",Lookup!$N$16,IF(GA367="TPP",Lookup!$N$17,IF(GA367="TPPP",Lookup!$N$18,0)))))))*FZ367</f>
        <v>0</v>
      </c>
      <c r="GL367" s="712">
        <f t="shared" si="1003"/>
        <v>0</v>
      </c>
      <c r="GM367" s="712">
        <f t="shared" si="1004"/>
        <v>0</v>
      </c>
      <c r="GN367" s="712">
        <f t="shared" si="1005"/>
        <v>0</v>
      </c>
      <c r="GO367" s="712"/>
      <c r="GP367" s="712">
        <f t="shared" si="1006"/>
        <v>0</v>
      </c>
      <c r="GQ367" s="712" t="str">
        <f t="shared" si="1007"/>
        <v/>
      </c>
      <c r="GR367" s="712">
        <f>IF(GA367="P",Lookup!$N$12,IF(GA367="PP",Lookup!$N$13,IF(GA367="PPP",Lookup!$N$14,IF(GA367="T",Lookup!$N$15,IF(GA367="TP",Lookup!$N$16,IF(GA367="TPP",Lookup!$N$17,IF(GA367="TPPP",Lookup!$N$18,0)))))))*FZ367</f>
        <v>0</v>
      </c>
      <c r="GS367" s="697">
        <f t="shared" si="927"/>
        <v>0</v>
      </c>
      <c r="GT367" s="712">
        <f t="shared" si="1008"/>
        <v>0</v>
      </c>
      <c r="GU367" s="712">
        <f t="shared" si="1009"/>
        <v>0</v>
      </c>
      <c r="GV367" s="712"/>
      <c r="GW367" s="712">
        <f t="shared" si="1010"/>
        <v>0</v>
      </c>
      <c r="GX367" s="712" t="str">
        <f t="shared" si="1011"/>
        <v/>
      </c>
      <c r="GY367" s="712">
        <f>IF(GA367="P",Lookup!$N$12,IF(GA367="PP",Lookup!$N$13,IF(GA367="PPP",Lookup!$N$14,IF(GA367="T",Lookup!$N$15,IF(GA367="TP",Lookup!$N$16,IF(GA367="TPP",Lookup!$N$17,IF(GA367="TPPP",Lookup!$N$18,0)))))))*FZ367</f>
        <v>0</v>
      </c>
      <c r="GZ367" s="697">
        <f t="shared" si="928"/>
        <v>0</v>
      </c>
      <c r="HA367" s="712">
        <f t="shared" si="1012"/>
        <v>0</v>
      </c>
      <c r="HB367" s="712">
        <f t="shared" si="1013"/>
        <v>0</v>
      </c>
      <c r="HC367" s="712"/>
    </row>
    <row r="368" spans="1:211">
      <c r="A368" s="773" t="s">
        <v>5</v>
      </c>
      <c r="B368" s="708">
        <v>40897</v>
      </c>
      <c r="C368" s="719">
        <v>0.5</v>
      </c>
      <c r="D368" s="675">
        <f t="shared" si="936"/>
        <v>300</v>
      </c>
      <c r="E368" s="675">
        <f t="shared" si="937"/>
        <v>250</v>
      </c>
      <c r="F368" s="675">
        <v>250</v>
      </c>
      <c r="G368" s="712">
        <f>DH368+Sheet1!CV368</f>
        <v>457.78189611699446</v>
      </c>
      <c r="H368" s="712">
        <f t="shared" si="938"/>
        <v>28.947017650025217</v>
      </c>
      <c r="I368" s="711">
        <f>MAX(Sheet1!Z368-AJ368+(Sheet1!CW368-E368)*CFStoMGD,0)</f>
        <v>261.68802999486394</v>
      </c>
      <c r="J368" s="720">
        <f>IF(AND(B368&gt;=Calculation!FS368,B368&lt;=Calculation!FT368),IF(Sheet1!CX368&gt;=Calculation!D368,64.64,0),MAX(Sheet1!Z368-AJ368+(Sheet1!CX368-D368)*CFStoMGD,0))</f>
        <v>85.301629994863873</v>
      </c>
      <c r="K368" s="697">
        <f t="shared" si="939"/>
        <v>28.947017650025217</v>
      </c>
      <c r="L368" s="712">
        <f>Sheet1!AA368+Sheet1!AB368-Sheet1!L368+(Sheet1!CW368-F368)*CFStoMGD</f>
        <v>308.27186666666671</v>
      </c>
      <c r="M368" s="712">
        <f t="shared" si="940"/>
        <v>301.82842200302571</v>
      </c>
      <c r="N368" s="712">
        <f>IF(Sheet1!CW368&gt;=F368,MIN(73,MIN(MAX(L368,0),MAX(M368,0))),0)</f>
        <v>73</v>
      </c>
      <c r="O368" s="721">
        <f>Sheet1!AA368+Sheet1!AB368</f>
        <v>54.91</v>
      </c>
      <c r="P368" s="721">
        <f t="shared" si="941"/>
        <v>84.945769999999996</v>
      </c>
      <c r="Q368" s="712">
        <f>MIN(N368,Sheet1!AA368+AG368)</f>
        <v>46.30383667180277</v>
      </c>
      <c r="R368" s="712">
        <f t="shared" si="942"/>
        <v>8.6061633281972281</v>
      </c>
      <c r="S368" s="721">
        <f>Sheet1!Y368*MGDtoCFS</f>
        <v>44.383429999999997</v>
      </c>
      <c r="T368" s="721">
        <f>Sheet1!Z368*MGDtoCFS</f>
        <v>39.943539999999999</v>
      </c>
      <c r="U368" s="721">
        <f>Sheet1!AA368*MGDtoCFS</f>
        <v>44.569069999999996</v>
      </c>
      <c r="V368" s="721">
        <f>Sheet1!AB368*MGDtoCFS</f>
        <v>40.3767</v>
      </c>
      <c r="W368" s="721">
        <f>Sheet1!L368*MGDtoCFS</f>
        <v>0</v>
      </c>
      <c r="X368" s="697">
        <f t="shared" si="943"/>
        <v>0.9667907385693999</v>
      </c>
      <c r="Y368" s="712">
        <f t="shared" si="944"/>
        <v>1.4956252725668615</v>
      </c>
      <c r="Z368" s="712">
        <f t="shared" si="945"/>
        <v>0</v>
      </c>
      <c r="AA368" s="712">
        <f t="shared" si="946"/>
        <v>0</v>
      </c>
      <c r="AB368" s="712">
        <f>(VLOOKUP(Sheet1!CY368,hhdcap_wcm,4)-(((VLOOKUP(Sheet1!CY368,hhdcap_wcm,3)-Sheet1!CY368)/(VLOOKUP(Sheet1!CY368,hhdcap_wcm,3)-VLOOKUP(Sheet1!CY368,hhdcap_wcm,1)))*(VLOOKUP(Sheet1!CY368,hhdcap_wcm,4)-VLOOKUP(Sheet1!CY368,hhdcap_wcm,2))))</f>
        <v>1861.7200000026353</v>
      </c>
      <c r="AC368" s="712">
        <f t="shared" si="947"/>
        <v>1.2200000000000273</v>
      </c>
      <c r="AD368" s="712">
        <f t="shared" si="948"/>
        <v>0</v>
      </c>
      <c r="AE368" s="712">
        <f t="shared" si="949"/>
        <v>0</v>
      </c>
      <c r="AF368" s="712">
        <f>Sheet1!BA368+Sheet1!BB368+Sheet1!BN368+BT368</f>
        <v>17.399999999999999</v>
      </c>
      <c r="AG368" s="712">
        <f t="shared" si="950"/>
        <v>17.493836671802772</v>
      </c>
      <c r="AH368" s="712">
        <f>Sheet1!BA368+BT368</f>
        <v>0</v>
      </c>
      <c r="AI368" s="712">
        <f>Sheet1!BA368+Sheet1!BB368+BT368</f>
        <v>0</v>
      </c>
      <c r="AJ368" s="712">
        <f>IF((Sheet1!AA368+AG368+AX368+AZ368+BQ368+BS368+CL368+CN368)&lt;=N368,AG368+AX368+AZ368+BQ368+BS368+CL368+CN368,N368-Sheet1!AA368)</f>
        <v>17.493836671802772</v>
      </c>
      <c r="AK368" s="712">
        <f>IF(DR368&lt;K368,0,MAX(Sheet1!AA368+AG368-15/36*K368-N368,Sheet1!ED368,0))</f>
        <v>0</v>
      </c>
      <c r="AL368" s="712">
        <f>IF(OR(B368&gt;=FT368,B368&lt;FS368),0,15/36*K368-MAX(0,64.6-(137.6-(Sheet1!AA368+Sheet1!AB368))))</f>
        <v>0</v>
      </c>
      <c r="AM368" s="712">
        <f>Sheet1!CX368-110</f>
        <v>309.08333333333331</v>
      </c>
      <c r="AN368" s="712">
        <f>Sheet1!CW368-265</f>
        <v>376.95833333333337</v>
      </c>
      <c r="AO368" s="712">
        <f t="shared" si="934"/>
        <v>26.69616332819723</v>
      </c>
      <c r="AP368" s="712">
        <f t="shared" si="951"/>
        <v>0</v>
      </c>
      <c r="AQ368" s="712">
        <f t="shared" si="952"/>
        <v>0</v>
      </c>
      <c r="AR368" s="712">
        <f t="shared" si="953"/>
        <v>0</v>
      </c>
      <c r="AS368" s="712"/>
      <c r="AT368" s="712">
        <f ca="1">IF(B368&gt;Summary!$A$1,#N/A,AR368*MGtoAF)</f>
        <v>0</v>
      </c>
      <c r="AU368" s="712">
        <f>Sheet1!BG368+Sheet1!BH368+Sheet1!BI368-BC368</f>
        <v>0</v>
      </c>
      <c r="AV368" s="712">
        <f t="shared" si="954"/>
        <v>0</v>
      </c>
      <c r="AW368" s="712">
        <f>IF(Sheet1!EL368="FM",BC368,0)</f>
        <v>0</v>
      </c>
      <c r="AX368" s="712">
        <f t="shared" si="955"/>
        <v>0</v>
      </c>
      <c r="AY368" s="712">
        <f>IF(Sheet1!EL368="OTHER",BC368,0)</f>
        <v>0</v>
      </c>
      <c r="AZ368" s="712">
        <f t="shared" si="956"/>
        <v>0</v>
      </c>
      <c r="BA368" s="712">
        <f t="shared" si="957"/>
        <v>0</v>
      </c>
      <c r="BB368" s="712">
        <f t="shared" si="958"/>
        <v>0</v>
      </c>
      <c r="BC368" s="712">
        <f>IF(OR(Sheet1!EL368="FM", Sheet1!EL368="OTHER"),SUM(Sheet1!BG368:'Sheet1'!BI368),0)</f>
        <v>0</v>
      </c>
      <c r="BD368" s="697">
        <f>IF(AND($B368&gt;=$FL368,$B368&lt;=$FM368),MAX(AV368,Sheet1!EE368,0),MAX(AV368-(7/36)*$K368,0))</f>
        <v>0</v>
      </c>
      <c r="BE368" s="712">
        <f t="shared" si="959"/>
        <v>0</v>
      </c>
      <c r="BF368" s="697">
        <f t="shared" si="960"/>
        <v>0</v>
      </c>
      <c r="BG368" s="697">
        <f>IF(AND($O368&gt;0,Sheet1!EI368=1),(1-($O368-Sheet1!$L368)/$O368)*BB368,0)</f>
        <v>0</v>
      </c>
      <c r="BH368" s="697">
        <f>IF(AND(Sheet1!$L368=0,Sheet1!$L367=0, Calculation!BA368&lt;Sheet1!$EE368-0.1,Sheet1!$EE368=Sheet1!$EE367,Sheet1!$EE368=Sheet1!$EE369),Sheet1!$EE368,BB368-BG368)</f>
        <v>0</v>
      </c>
      <c r="BI368" s="712"/>
      <c r="BJ368" s="712"/>
      <c r="BK368" s="712">
        <f t="shared" si="961"/>
        <v>0</v>
      </c>
      <c r="BL368" s="712"/>
      <c r="BM368" s="712">
        <f ca="1">IF(B368&gt;Summary!$A$1,#N/A,BK368*MGtoAF)</f>
        <v>0</v>
      </c>
      <c r="BN368" s="712">
        <f>Sheet1!BC368+Sheet1!BD368+Sheet1!BE368+Sheet1!BF368-BW368-BX368</f>
        <v>2</v>
      </c>
      <c r="BO368" s="712">
        <f t="shared" si="962"/>
        <v>2.0107858243451466</v>
      </c>
      <c r="BP368" s="712">
        <f>IF(Sheet1!EM368="FM",BX368,0)</f>
        <v>0</v>
      </c>
      <c r="BQ368" s="712">
        <f t="shared" si="963"/>
        <v>0</v>
      </c>
      <c r="BR368" s="712">
        <f>IF(Sheet1!EM368="OTHER",BX368,0)</f>
        <v>0</v>
      </c>
      <c r="BS368" s="712">
        <f t="shared" si="964"/>
        <v>0</v>
      </c>
      <c r="BT368" s="712">
        <f t="shared" si="965"/>
        <v>0</v>
      </c>
      <c r="BU368" s="712">
        <f t="shared" si="966"/>
        <v>2</v>
      </c>
      <c r="BV368" s="712">
        <f t="shared" si="967"/>
        <v>2.0107858243451466</v>
      </c>
      <c r="BW368" s="712">
        <f>IF(Sheet1!EM368="CWA",SUM(Sheet1!BC368:'Sheet1'!BF368),0)</f>
        <v>0</v>
      </c>
      <c r="BX368" s="712">
        <f>IF(OR(Sheet1!EM368="FM", Sheet1!EM368="OTHER"),SUM(Sheet1!BC368:'Sheet1'!BF368),0)</f>
        <v>0</v>
      </c>
      <c r="BY368" s="697">
        <f>IF(AND($B368&gt;=$FL368,$B368&lt;=$FM368),MAX(BV368,Sheet1!EF368,0),MAX(BV368-(7/36)*$K368,0))</f>
        <v>0</v>
      </c>
      <c r="BZ368" s="712">
        <f t="shared" si="968"/>
        <v>0</v>
      </c>
      <c r="CA368" s="697">
        <f t="shared" si="969"/>
        <v>2.0107858243451466</v>
      </c>
      <c r="CB368" s="697">
        <f>IF(AND($O368&gt;0,Sheet1!EJ368=1),(1-($O368-Sheet1!$L368)/$O368)*BV368,0)</f>
        <v>0</v>
      </c>
      <c r="CC368" s="697">
        <f>IF(AND(Sheet1!$L368=0,Sheet1!$L367=0, Calculation!BU368&lt;Sheet1!EF368-0.1,Sheet1!EF368=Sheet1!EF367,Sheet1!EF368=Sheet1!EF369),Sheet1!EF368,BV368-CB368)</f>
        <v>2.0107858243451466</v>
      </c>
      <c r="CD368" s="697"/>
      <c r="CE368" s="712"/>
      <c r="CF368" s="712">
        <f t="shared" si="970"/>
        <v>0</v>
      </c>
      <c r="CG368" s="712"/>
      <c r="CH368" s="712">
        <f ca="1">IF(B368&gt;Summary!$A$1,#N/A,CF368*MGtoAF)</f>
        <v>0</v>
      </c>
      <c r="CI368" s="712">
        <f>Sheet1!BK368+Sheet1!BL368+Sheet1!BM368-Sheet1!EN368-CQ368</f>
        <v>6.5600000000000005</v>
      </c>
      <c r="CJ368" s="712">
        <f t="shared" si="971"/>
        <v>6.595377503852081</v>
      </c>
      <c r="CK368" s="712">
        <f>IF(Sheet1!EN368="FM",CQ368,0)</f>
        <v>0</v>
      </c>
      <c r="CL368" s="712">
        <f t="shared" si="972"/>
        <v>0</v>
      </c>
      <c r="CM368" s="712">
        <f>IF(Sheet1!EN368="OTHER",CQ368,0)</f>
        <v>0</v>
      </c>
      <c r="CN368" s="712">
        <f t="shared" si="973"/>
        <v>0</v>
      </c>
      <c r="CO368" s="712">
        <f t="shared" si="974"/>
        <v>6.5600000000000005</v>
      </c>
      <c r="CP368" s="712">
        <f t="shared" si="975"/>
        <v>6.595377503852081</v>
      </c>
      <c r="CQ368" s="712">
        <f>IF(OR(Sheet1!EN368="FM", Sheet1!EN368="OTHER"),SUM(Sheet1!BK368:'Sheet1'!BM368),0)</f>
        <v>0</v>
      </c>
      <c r="CR368" s="697">
        <f>IF(AND($B368&gt;=$FL368,$B368&lt;=$FM368),MAX($CJ368,Sheet1!EG368,0),MAX($CJ368-(7/36)*$K368,0))</f>
        <v>0.9667907385693999</v>
      </c>
      <c r="CS368" s="712">
        <f t="shared" si="976"/>
        <v>0</v>
      </c>
      <c r="CT368" s="697">
        <f t="shared" si="977"/>
        <v>5.6285867652826811</v>
      </c>
      <c r="CU368" s="697">
        <f>IF(AND($O368&gt;0,Sheet1!EK368=1),(1-($O368-Sheet1!$L368)/$O368)*CP368,0)</f>
        <v>0</v>
      </c>
      <c r="CV368" s="697">
        <f>IF(AND(Sheet1!$L368=0,Sheet1!$L367=0, Calculation!CO368&lt;Sheet1!$EG368-0.1,Sheet1!$EG368=Sheet1!$EG367,Sheet1!$EG368=Sheet1!$EG369),Sheet1!$EG368,CP368-CU368)</f>
        <v>6.595377503852081</v>
      </c>
      <c r="CW368" s="697"/>
      <c r="CX368" s="712">
        <f t="shared" si="978"/>
        <v>8.56</v>
      </c>
      <c r="CY368" s="712">
        <f t="shared" si="979"/>
        <v>0</v>
      </c>
      <c r="CZ368" s="712">
        <f t="shared" si="980"/>
        <v>8.6061633281972281</v>
      </c>
      <c r="DA368" s="712">
        <f ca="1">IF(B368&gt;Summary!$A$1,#N/A,CY368*MGtoAF)</f>
        <v>0</v>
      </c>
      <c r="DB368" s="712">
        <f t="shared" si="981"/>
        <v>8.56</v>
      </c>
      <c r="DC368" s="712">
        <f t="shared" si="982"/>
        <v>25.96</v>
      </c>
      <c r="DD368" s="712">
        <f>Sheet1!AB368-DC368</f>
        <v>0.14000000000000057</v>
      </c>
      <c r="DE368" s="712">
        <f t="shared" si="983"/>
        <v>5.3929121725732115E-3</v>
      </c>
      <c r="DF368" s="712">
        <f>(VLOOKUP(Sheet1!CY368,hhdcap_wcm,4)-(((VLOOKUP(Sheet1!CY368,hhdcap_wcm,3)-Sheet1!CY368)/(VLOOKUP(Sheet1!CY368,hhdcap_wcm,3)-VLOOKUP(Sheet1!CY368,hhdcap_wcm,1)))*(VLOOKUP(Sheet1!CY368,hhdcap_wcm,4)-VLOOKUP(Sheet1!CY368,hhdcap_wcm,2))))</f>
        <v>1861.7200000026353</v>
      </c>
      <c r="DG368" s="712">
        <f t="shared" si="984"/>
        <v>1.2200000000000273</v>
      </c>
      <c r="DH368" s="712">
        <f t="shared" si="985"/>
        <v>0.61522945032779985</v>
      </c>
      <c r="DI368" s="712">
        <f>Sheet1!DW368*AFtoMG</f>
        <v>0</v>
      </c>
      <c r="DJ368" s="712">
        <f>Sheet1!DX368*AFtoMG</f>
        <v>0</v>
      </c>
      <c r="DK368" s="712">
        <f>Sheet1!DY368*AFtoMG</f>
        <v>0</v>
      </c>
      <c r="DL368" s="712">
        <f>Sheet1!DZ368*AFtoMG</f>
        <v>0</v>
      </c>
      <c r="DM368" s="712">
        <f t="shared" si="986"/>
        <v>0</v>
      </c>
      <c r="DN368" s="712">
        <f t="shared" si="987"/>
        <v>0</v>
      </c>
      <c r="DO368" s="712">
        <f t="shared" si="988"/>
        <v>0</v>
      </c>
      <c r="DP368" s="712">
        <f t="shared" si="989"/>
        <v>0</v>
      </c>
      <c r="DQ368" s="712"/>
      <c r="DR368" s="697">
        <f>IF(OR(B368&lt;FL368,B368&gt;FM368),(MIN(AV368+BO368+CJ368+MAX(Sheet1!AA368+AG368-73,0),K368)),0)</f>
        <v>8.6061633281972281</v>
      </c>
      <c r="DS368" s="712"/>
      <c r="DT368" s="712">
        <f t="shared" si="990"/>
        <v>8.6061633281972281</v>
      </c>
      <c r="DU368" s="712"/>
      <c r="DV368" s="712">
        <f>Sheet1!ED368+Sheet1!EE368+Sheet1!EF368+Sheet1!EG368</f>
        <v>8.5</v>
      </c>
      <c r="DW368" s="712"/>
      <c r="DX368" s="697">
        <f t="shared" si="991"/>
        <v>0.9667907385693999</v>
      </c>
      <c r="DY368" s="712">
        <f>IF(Sheet1!FN368=1,SUM('Calculations II'!AT368:BA368)+'Calculations II'!BC368+Sheet1!BU368+'Calculations II'!BE368+AF368,SUM('Calculations II'!AT368:BA368)+'Calculations II'!BC368+Sheet1!BU368+'Calculations II'!BE368+AF368)</f>
        <v>39.894351999999998</v>
      </c>
      <c r="DZ368" s="712">
        <f>Sheet1!AA368+Sheet1!AB368+'Calculations II'!BC368</f>
        <v>54.91</v>
      </c>
      <c r="EA368" s="712"/>
      <c r="EB368" s="712"/>
      <c r="EC368" s="712">
        <f t="shared" si="992"/>
        <v>40897</v>
      </c>
      <c r="ED368" s="712">
        <f t="shared" si="993"/>
        <v>-0.9667907385693999</v>
      </c>
      <c r="EE368" s="712">
        <f t="shared" si="994"/>
        <v>-1.4956252725668615</v>
      </c>
      <c r="EF368" s="712">
        <f ca="1">IF(B368=TODAY(),0,-(VLOOKUP(Sheet1!BQ368,Lookup!$B$4:$J$236,2)-VLOOKUP(Sheet1!BQ367,Lookup!$B$4:$J$236,2))/1000000)</f>
        <v>-1.369</v>
      </c>
      <c r="EG368" s="712">
        <f ca="1">IF(B368=TODAY(),0,-(VLOOKUP(Sheet1!BR368,Lookup!$B$4:$J$236,3)-VLOOKUP(Sheet1!BR367,Lookup!$B$4:$J$236,3))/1000000)</f>
        <v>-1.0935999999999999</v>
      </c>
      <c r="EH368" s="712">
        <f>-(VLOOKUP(Sheet1!BS368,Lookup!$B$4:$J$236,4)-VLOOKUP(Sheet1!BS367,Lookup!$B$4:$J$236,4))/1000000</f>
        <v>0</v>
      </c>
      <c r="EI368" s="697">
        <f t="shared" ca="1" si="922"/>
        <v>-2.4626000000000001</v>
      </c>
      <c r="EJ368" s="712"/>
      <c r="EK368" s="712"/>
      <c r="EL368" s="712"/>
      <c r="EM368" s="712"/>
      <c r="EN368" s="712"/>
      <c r="EO368" s="712"/>
      <c r="EP368" s="712"/>
      <c r="EQ368" s="712"/>
      <c r="ER368" s="712"/>
      <c r="ES368" s="712"/>
      <c r="ET368" s="794" t="e">
        <f t="shared" si="1015"/>
        <v>#N/A</v>
      </c>
      <c r="EU368" s="794" t="e">
        <f t="shared" si="924"/>
        <v>#N/A</v>
      </c>
      <c r="EV368" s="795" t="e">
        <f t="shared" si="925"/>
        <v>#N/A</v>
      </c>
      <c r="EW368" s="796" t="s">
        <v>757</v>
      </c>
      <c r="EX368" s="796" t="s">
        <v>757</v>
      </c>
      <c r="EY368" s="794" t="e">
        <v>#N/A</v>
      </c>
      <c r="EZ368" s="794" t="e">
        <v>#N/A</v>
      </c>
      <c r="FA368" s="712"/>
      <c r="FB368" s="712"/>
      <c r="FC368" s="712"/>
      <c r="FD368" s="712"/>
      <c r="FE368" s="712">
        <f>O368+Sheet1!CO368</f>
        <v>54.91</v>
      </c>
      <c r="FF368" s="712">
        <f>IF(Sheet1!AA368+AG368&lt;=Calculation!N368,AG368,Calculation!N368-Sheet1!AA368)</f>
        <v>17.493836671802772</v>
      </c>
      <c r="FG368" s="712">
        <f>(Sheet1!BP368+Sheet1!BO368)/694.4</f>
        <v>1.6372407834101381</v>
      </c>
      <c r="FH368" s="712"/>
      <c r="FI368" s="712"/>
      <c r="FJ368" s="712"/>
      <c r="FK368" s="712"/>
      <c r="FL368" s="714">
        <f t="shared" si="929"/>
        <v>40753</v>
      </c>
      <c r="FM368" s="714">
        <f t="shared" si="930"/>
        <v>40851</v>
      </c>
      <c r="FN368" s="712"/>
      <c r="FO368" s="712"/>
      <c r="FP368" s="712"/>
      <c r="FQ368" s="712"/>
      <c r="FR368" s="712"/>
      <c r="FS368" s="725">
        <f t="shared" si="1014"/>
        <v>40603</v>
      </c>
      <c r="FT368" s="714">
        <f t="shared" si="932"/>
        <v>40709</v>
      </c>
      <c r="FU368" s="712">
        <f t="shared" si="1014"/>
        <v>6518.9048239895692</v>
      </c>
      <c r="FV368" s="714">
        <f t="shared" si="933"/>
        <v>40722</v>
      </c>
      <c r="FW368" s="712">
        <f t="shared" si="1014"/>
        <v>3259.4524119947846</v>
      </c>
      <c r="FX368" s="725">
        <f t="shared" si="1014"/>
        <v>40851</v>
      </c>
      <c r="FZ368" s="697">
        <f t="shared" si="926"/>
        <v>0</v>
      </c>
      <c r="GA368" s="712" t="str">
        <f t="shared" si="995"/>
        <v/>
      </c>
      <c r="GB368" s="712">
        <f t="shared" si="996"/>
        <v>0</v>
      </c>
      <c r="GC368" s="712" t="str">
        <f t="shared" si="997"/>
        <v/>
      </c>
      <c r="GD368" s="712">
        <f>IF(GA368="P",Lookup!$M$12,IF(GA368="PP",Lookup!$M$13,IF(GA368="PPP",Lookup!$M$14,IF(GA368="T",Lookup!$M$15,IF(GA368="TP",Lookup!$M$16,IF(GA368="TPP",Lookup!$M$17,IF(GA368="TPPP",Lookup!$M$18,0)))))))*FZ368</f>
        <v>0</v>
      </c>
      <c r="GE368" s="712">
        <f t="shared" si="998"/>
        <v>0</v>
      </c>
      <c r="GF368" s="712">
        <f t="shared" si="999"/>
        <v>0</v>
      </c>
      <c r="GG368" s="712">
        <f t="shared" si="1000"/>
        <v>0</v>
      </c>
      <c r="GH368" s="712"/>
      <c r="GI368" s="712">
        <f t="shared" si="1001"/>
        <v>0</v>
      </c>
      <c r="GJ368" s="712" t="str">
        <f t="shared" si="1002"/>
        <v/>
      </c>
      <c r="GK368" s="712">
        <f>IF(GA368="P",Lookup!$N$12,IF(GA368="PP",Lookup!$N$13,IF(GA368="PPP",Lookup!$N$14,IF(GA368="T",Lookup!$N$15,IF(GA368="TP",Lookup!$N$16,IF(GA368="TPP",Lookup!$N$17,IF(GA368="TPPP",Lookup!$N$18,0)))))))*FZ368</f>
        <v>0</v>
      </c>
      <c r="GL368" s="712">
        <f t="shared" si="1003"/>
        <v>0</v>
      </c>
      <c r="GM368" s="712">
        <f t="shared" si="1004"/>
        <v>0</v>
      </c>
      <c r="GN368" s="712">
        <f t="shared" si="1005"/>
        <v>0</v>
      </c>
      <c r="GO368" s="712"/>
      <c r="GP368" s="712">
        <f t="shared" si="1006"/>
        <v>0</v>
      </c>
      <c r="GQ368" s="712" t="str">
        <f t="shared" si="1007"/>
        <v/>
      </c>
      <c r="GR368" s="712">
        <f>IF(GA368="P",Lookup!$N$12,IF(GA368="PP",Lookup!$N$13,IF(GA368="PPP",Lookup!$N$14,IF(GA368="T",Lookup!$N$15,IF(GA368="TP",Lookup!$N$16,IF(GA368="TPP",Lookup!$N$17,IF(GA368="TPPP",Lookup!$N$18,0)))))))*FZ368</f>
        <v>0</v>
      </c>
      <c r="GS368" s="697">
        <f t="shared" si="927"/>
        <v>0</v>
      </c>
      <c r="GT368" s="712">
        <f t="shared" si="1008"/>
        <v>0</v>
      </c>
      <c r="GU368" s="712">
        <f t="shared" si="1009"/>
        <v>0</v>
      </c>
      <c r="GV368" s="712"/>
      <c r="GW368" s="712">
        <f t="shared" si="1010"/>
        <v>0</v>
      </c>
      <c r="GX368" s="712" t="str">
        <f t="shared" si="1011"/>
        <v/>
      </c>
      <c r="GY368" s="712">
        <f>IF(GA368="P",Lookup!$N$12,IF(GA368="PP",Lookup!$N$13,IF(GA368="PPP",Lookup!$N$14,IF(GA368="T",Lookup!$N$15,IF(GA368="TP",Lookup!$N$16,IF(GA368="TPP",Lookup!$N$17,IF(GA368="TPPP",Lookup!$N$18,0)))))))*FZ368</f>
        <v>0</v>
      </c>
      <c r="GZ368" s="697">
        <f t="shared" si="928"/>
        <v>0</v>
      </c>
      <c r="HA368" s="712">
        <f t="shared" si="1012"/>
        <v>0</v>
      </c>
      <c r="HB368" s="712">
        <f t="shared" si="1013"/>
        <v>0</v>
      </c>
      <c r="HC368" s="712"/>
    </row>
    <row r="369" spans="1:211">
      <c r="A369" s="773" t="s">
        <v>6</v>
      </c>
      <c r="B369" s="708">
        <v>40898</v>
      </c>
      <c r="C369" s="709">
        <v>0.5</v>
      </c>
      <c r="D369" s="675">
        <f t="shared" si="936"/>
        <v>300</v>
      </c>
      <c r="E369" s="675">
        <f t="shared" si="937"/>
        <v>250</v>
      </c>
      <c r="F369" s="675">
        <v>250</v>
      </c>
      <c r="G369" s="712">
        <f>DH369+Sheet1!CV369</f>
        <v>461.36006051437221</v>
      </c>
      <c r="H369" s="712">
        <f t="shared" si="938"/>
        <v>31.259943116490195</v>
      </c>
      <c r="I369" s="711">
        <f>MAX(Sheet1!Z369-AJ369+(Sheet1!CW369-E369)*CFStoMGD,0)</f>
        <v>275.1120482178614</v>
      </c>
      <c r="J369" s="720">
        <f>IF(AND(B369&gt;=Calculation!FS369,B369&lt;=Calculation!FT369),IF(Sheet1!CX369&gt;=Calculation!D369,64.64,0),MAX(Sheet1!Z369-AJ369+(Sheet1!CX369-D369)*CFStoMGD,0))</f>
        <v>94.685648217861427</v>
      </c>
      <c r="K369" s="697">
        <f t="shared" si="939"/>
        <v>31.259943116490195</v>
      </c>
      <c r="L369" s="712">
        <f>Sheet1!AA369+Sheet1!AB369-Sheet1!L369+(Sheet1!CW369-F369)*CFStoMGD</f>
        <v>319.03519999999418</v>
      </c>
      <c r="M369" s="712">
        <f t="shared" si="940"/>
        <v>304.18760597881999</v>
      </c>
      <c r="N369" s="712">
        <f>IF(Sheet1!CW369&gt;=F369,MIN(73,MIN(MAX(L369,0),MAX(M369,0))),0)</f>
        <v>73</v>
      </c>
      <c r="O369" s="721">
        <f>Sheet1!AA369+Sheet1!AB369</f>
        <v>53.889999999994174</v>
      </c>
      <c r="P369" s="721">
        <f t="shared" si="941"/>
        <v>83.367829999990988</v>
      </c>
      <c r="Q369" s="712">
        <f>MIN(N369,Sheet1!AA369+AG369)</f>
        <v>45.333151782132745</v>
      </c>
      <c r="R369" s="712">
        <f t="shared" si="942"/>
        <v>8.5568482178614325</v>
      </c>
      <c r="S369" s="721">
        <f>Sheet1!Y369*MGDtoCFS</f>
        <v>45.002229999999997</v>
      </c>
      <c r="T369" s="721">
        <f>Sheet1!Z369*MGDtoCFS</f>
        <v>40.840799999999994</v>
      </c>
      <c r="U369" s="721">
        <f>Sheet1!AA369*MGDtoCFS</f>
        <v>44.708299999990992</v>
      </c>
      <c r="V369" s="721">
        <f>Sheet1!AB369*MGDtoCFS</f>
        <v>38.659529999999997</v>
      </c>
      <c r="W369" s="721">
        <f>Sheet1!L369*MGDtoCFS</f>
        <v>0</v>
      </c>
      <c r="X369" s="697">
        <f t="shared" si="943"/>
        <v>0.47692402290379388</v>
      </c>
      <c r="Y369" s="712">
        <f t="shared" si="944"/>
        <v>0.73780146343216912</v>
      </c>
      <c r="Z369" s="712">
        <f t="shared" si="945"/>
        <v>0</v>
      </c>
      <c r="AA369" s="712">
        <f t="shared" si="946"/>
        <v>0</v>
      </c>
      <c r="AB369" s="712">
        <f>(VLOOKUP(Sheet1!CY369,hhdcap_wcm,4)-(((VLOOKUP(Sheet1!CY369,hhdcap_wcm,3)-Sheet1!CY369)/(VLOOKUP(Sheet1!CY369,hhdcap_wcm,3)-VLOOKUP(Sheet1!CY369,hhdcap_wcm,1)))*(VLOOKUP(Sheet1!CY369,hhdcap_wcm,4)-VLOOKUP(Sheet1!CY369,hhdcap_wcm,2))))</f>
        <v>1853.1800000026353</v>
      </c>
      <c r="AC369" s="712">
        <f t="shared" si="947"/>
        <v>-8.5399999999999636</v>
      </c>
      <c r="AD369" s="712">
        <f t="shared" si="948"/>
        <v>0</v>
      </c>
      <c r="AE369" s="712">
        <f t="shared" si="949"/>
        <v>0</v>
      </c>
      <c r="AF369" s="712">
        <f>Sheet1!BA369+Sheet1!BB369+Sheet1!BN369+BT369</f>
        <v>16.420000000000002</v>
      </c>
      <c r="AG369" s="712">
        <f t="shared" si="950"/>
        <v>16.433151782138566</v>
      </c>
      <c r="AH369" s="712">
        <f>Sheet1!BA369+BT369</f>
        <v>0</v>
      </c>
      <c r="AI369" s="712">
        <f>Sheet1!BA369+Sheet1!BB369+BT369</f>
        <v>0</v>
      </c>
      <c r="AJ369" s="712">
        <f>IF((Sheet1!AA369+AG369+AX369+AZ369+BQ369+BS369+CL369+CN369)&lt;=N369,AG369+AX369+AZ369+BQ369+BS369+CL369+CN369,N369-Sheet1!AA369)</f>
        <v>16.433151782138566</v>
      </c>
      <c r="AK369" s="712">
        <f>IF(DR369&lt;K369,0,MAX(Sheet1!AA369+AG369-15/36*K369-N369,Sheet1!ED369,0))</f>
        <v>0</v>
      </c>
      <c r="AL369" s="712">
        <f>IF(OR(B369&gt;=FT369,B369&lt;FS369),0,15/36*K369-MAX(0,64.6-(137.6-(Sheet1!AA369+Sheet1!AB369))))</f>
        <v>0</v>
      </c>
      <c r="AM369" s="712">
        <f>Sheet1!CX369-110</f>
        <v>321.0625</v>
      </c>
      <c r="AN369" s="712">
        <f>Sheet1!CW369-265</f>
        <v>395.1875</v>
      </c>
      <c r="AO369" s="712">
        <f t="shared" si="934"/>
        <v>27.666848217867255</v>
      </c>
      <c r="AP369" s="712">
        <f t="shared" si="951"/>
        <v>0</v>
      </c>
      <c r="AQ369" s="712">
        <f t="shared" si="952"/>
        <v>0</v>
      </c>
      <c r="AR369" s="712">
        <f t="shared" si="953"/>
        <v>0</v>
      </c>
      <c r="AS369" s="712"/>
      <c r="AT369" s="712">
        <f ca="1">IF(B369&gt;Summary!$A$1,#N/A,AR369*MGtoAF)</f>
        <v>0</v>
      </c>
      <c r="AU369" s="712">
        <f>Sheet1!BG369+Sheet1!BH369+Sheet1!BI369-BC369</f>
        <v>0</v>
      </c>
      <c r="AV369" s="712">
        <f t="shared" si="954"/>
        <v>0</v>
      </c>
      <c r="AW369" s="712">
        <f>IF(Sheet1!EL369="FM",BC369,0)</f>
        <v>0</v>
      </c>
      <c r="AX369" s="712">
        <f t="shared" si="955"/>
        <v>0</v>
      </c>
      <c r="AY369" s="712">
        <f>IF(Sheet1!EL369="OTHER",BC369,0)</f>
        <v>0</v>
      </c>
      <c r="AZ369" s="712">
        <f t="shared" si="956"/>
        <v>0</v>
      </c>
      <c r="BA369" s="712">
        <f t="shared" si="957"/>
        <v>0</v>
      </c>
      <c r="BB369" s="712">
        <f t="shared" si="958"/>
        <v>0</v>
      </c>
      <c r="BC369" s="712">
        <f>IF(OR(Sheet1!EL369="FM", Sheet1!EL369="OTHER"),SUM(Sheet1!BG369:'Sheet1'!BI369),0)</f>
        <v>0</v>
      </c>
      <c r="BD369" s="697">
        <f>IF(AND($B369&gt;=$FL369,$B369&lt;=$FM369),MAX(AV369,Sheet1!EE369,0),MAX(AV369-(7/36)*$K369,0))</f>
        <v>0</v>
      </c>
      <c r="BE369" s="712">
        <f t="shared" si="959"/>
        <v>0</v>
      </c>
      <c r="BF369" s="697">
        <f t="shared" si="960"/>
        <v>0</v>
      </c>
      <c r="BG369" s="697">
        <f>IF(AND($O369&gt;0,Sheet1!EI369=1),(1-($O369-Sheet1!$L369)/$O369)*BB369,0)</f>
        <v>0</v>
      </c>
      <c r="BH369" s="697">
        <f>IF(AND(Sheet1!$L369=0,Sheet1!$L368=0, Calculation!BA369&lt;Sheet1!$EE369-0.1,Sheet1!$EE369=Sheet1!$EE368,Sheet1!$EE369=Sheet1!$EE370),Sheet1!$EE369,BB369-BG369)</f>
        <v>0</v>
      </c>
      <c r="BI369" s="712"/>
      <c r="BJ369" s="712"/>
      <c r="BK369" s="712">
        <f t="shared" si="961"/>
        <v>0</v>
      </c>
      <c r="BL369" s="712"/>
      <c r="BM369" s="712">
        <f ca="1">IF(B369&gt;Summary!$A$1,#N/A,BK369*MGtoAF)</f>
        <v>0</v>
      </c>
      <c r="BN369" s="712">
        <f>Sheet1!BC369+Sheet1!BD369+Sheet1!BE369+Sheet1!BF369-BW369-BX369</f>
        <v>2</v>
      </c>
      <c r="BO369" s="712">
        <f t="shared" si="962"/>
        <v>2.0016019223067678</v>
      </c>
      <c r="BP369" s="712">
        <f>IF(Sheet1!EM369="FM",BX369,0)</f>
        <v>0</v>
      </c>
      <c r="BQ369" s="712">
        <f t="shared" si="963"/>
        <v>0</v>
      </c>
      <c r="BR369" s="712">
        <f>IF(Sheet1!EM369="OTHER",BX369,0)</f>
        <v>0</v>
      </c>
      <c r="BS369" s="712">
        <f t="shared" si="964"/>
        <v>0</v>
      </c>
      <c r="BT369" s="712">
        <f t="shared" si="965"/>
        <v>0</v>
      </c>
      <c r="BU369" s="712">
        <f t="shared" si="966"/>
        <v>2</v>
      </c>
      <c r="BV369" s="712">
        <f t="shared" si="967"/>
        <v>2.0016019223067678</v>
      </c>
      <c r="BW369" s="712">
        <f>IF(Sheet1!EM369="CWA",SUM(Sheet1!BC369:'Sheet1'!BF369),0)</f>
        <v>0</v>
      </c>
      <c r="BX369" s="712">
        <f>IF(OR(Sheet1!EM369="FM", Sheet1!EM369="OTHER"),SUM(Sheet1!BC369:'Sheet1'!BF369),0)</f>
        <v>0</v>
      </c>
      <c r="BY369" s="697">
        <f>IF(AND($B369&gt;=$FL369,$B369&lt;=$FM369),MAX(BV369,Sheet1!EF369,0),MAX(BV369-(7/36)*$K369,0))</f>
        <v>0</v>
      </c>
      <c r="BZ369" s="712">
        <f t="shared" si="968"/>
        <v>0</v>
      </c>
      <c r="CA369" s="697">
        <f t="shared" si="969"/>
        <v>2.0016019223067678</v>
      </c>
      <c r="CB369" s="697">
        <f>IF(AND($O369&gt;0,Sheet1!EJ369=1),(1-($O369-Sheet1!$L369)/$O369)*BV369,0)</f>
        <v>0</v>
      </c>
      <c r="CC369" s="697">
        <f>IF(AND(Sheet1!$L369=0,Sheet1!$L368=0, Calculation!BU369&lt;Sheet1!EF369-0.1,Sheet1!EF369=Sheet1!EF368,Sheet1!EF369=Sheet1!EF370),Sheet1!EF369,BV369-CB369)</f>
        <v>2.0016019223067678</v>
      </c>
      <c r="CD369" s="697"/>
      <c r="CE369" s="712"/>
      <c r="CF369" s="712">
        <f t="shared" si="970"/>
        <v>0</v>
      </c>
      <c r="CG369" s="712"/>
      <c r="CH369" s="712">
        <f ca="1">IF(B369&gt;Summary!$A$1,#N/A,CF369*MGtoAF)</f>
        <v>0</v>
      </c>
      <c r="CI369" s="712">
        <f>Sheet1!BK369+Sheet1!BL369+Sheet1!BM369-Sheet1!EN369-CQ369</f>
        <v>6.5500000000000007</v>
      </c>
      <c r="CJ369" s="712">
        <f t="shared" si="971"/>
        <v>6.5552462955546655</v>
      </c>
      <c r="CK369" s="712">
        <f>IF(Sheet1!EN369="FM",CQ369,0)</f>
        <v>0</v>
      </c>
      <c r="CL369" s="712">
        <f t="shared" si="972"/>
        <v>0</v>
      </c>
      <c r="CM369" s="712">
        <f>IF(Sheet1!EN369="OTHER",CQ369,0)</f>
        <v>0</v>
      </c>
      <c r="CN369" s="712">
        <f t="shared" si="973"/>
        <v>0</v>
      </c>
      <c r="CO369" s="712">
        <f t="shared" si="974"/>
        <v>6.5500000000000007</v>
      </c>
      <c r="CP369" s="712">
        <f t="shared" si="975"/>
        <v>6.5552462955546655</v>
      </c>
      <c r="CQ369" s="712">
        <f>IF(OR(Sheet1!EN369="FM", Sheet1!EN369="OTHER"),SUM(Sheet1!BK369:'Sheet1'!BM369),0)</f>
        <v>0</v>
      </c>
      <c r="CR369" s="697">
        <f>IF(AND($B369&gt;=$FL369,$B369&lt;=$FM369),MAX($CJ369,Sheet1!EG369,0),MAX($CJ369-(7/36)*$K369,0))</f>
        <v>0.47692402290379388</v>
      </c>
      <c r="CS369" s="712">
        <f t="shared" si="976"/>
        <v>0</v>
      </c>
      <c r="CT369" s="697">
        <f t="shared" si="977"/>
        <v>6.0783222726508717</v>
      </c>
      <c r="CU369" s="697">
        <f>IF(AND($O369&gt;0,Sheet1!EK369=1),(1-($O369-Sheet1!$L369)/$O369)*CP369,0)</f>
        <v>0</v>
      </c>
      <c r="CV369" s="697">
        <f>IF(AND(Sheet1!$L369=0,Sheet1!$L368=0, Calculation!CO369&lt;Sheet1!$EG369-0.1,Sheet1!$EG369=Sheet1!$EG368,Sheet1!$EG369=Sheet1!$EG370),Sheet1!$EG369,CP369-CU369)</f>
        <v>6.5552462955546655</v>
      </c>
      <c r="CW369" s="697"/>
      <c r="CX369" s="712">
        <f t="shared" si="978"/>
        <v>8.5500000000000007</v>
      </c>
      <c r="CY369" s="712">
        <f t="shared" si="979"/>
        <v>0</v>
      </c>
      <c r="CZ369" s="712">
        <f t="shared" si="980"/>
        <v>8.5568482178614325</v>
      </c>
      <c r="DA369" s="712">
        <f ca="1">IF(B369&gt;Summary!$A$1,#N/A,CY369*MGtoAF)</f>
        <v>0</v>
      </c>
      <c r="DB369" s="712">
        <f t="shared" si="981"/>
        <v>8.5500000000000007</v>
      </c>
      <c r="DC369" s="712">
        <f t="shared" si="982"/>
        <v>24.970000000000002</v>
      </c>
      <c r="DD369" s="712">
        <f>Sheet1!AB369-DC369</f>
        <v>1.9999999999996021E-2</v>
      </c>
      <c r="DE369" s="712">
        <f t="shared" si="983"/>
        <v>8.0096115338390149E-4</v>
      </c>
      <c r="DF369" s="712">
        <f>(VLOOKUP(Sheet1!CY369,hhdcap_wcm,4)-(((VLOOKUP(Sheet1!CY369,hhdcap_wcm,3)-Sheet1!CY369)/(VLOOKUP(Sheet1!CY369,hhdcap_wcm,3)-VLOOKUP(Sheet1!CY369,hhdcap_wcm,1)))*(VLOOKUP(Sheet1!CY369,hhdcap_wcm,4)-VLOOKUP(Sheet1!CY369,hhdcap_wcm,2))))</f>
        <v>1853.1800000026353</v>
      </c>
      <c r="DG369" s="712">
        <f t="shared" si="984"/>
        <v>-8.5399999999999636</v>
      </c>
      <c r="DH369" s="712">
        <f t="shared" si="985"/>
        <v>-4.3066061522944841</v>
      </c>
      <c r="DI369" s="712">
        <f>Sheet1!DW369*AFtoMG</f>
        <v>0</v>
      </c>
      <c r="DJ369" s="712">
        <f>Sheet1!DX369*AFtoMG</f>
        <v>0</v>
      </c>
      <c r="DK369" s="712">
        <f>Sheet1!DY369*AFtoMG</f>
        <v>0</v>
      </c>
      <c r="DL369" s="712">
        <f>Sheet1!DZ369*AFtoMG</f>
        <v>0</v>
      </c>
      <c r="DM369" s="712">
        <f t="shared" si="986"/>
        <v>0</v>
      </c>
      <c r="DN369" s="712">
        <f t="shared" si="987"/>
        <v>0</v>
      </c>
      <c r="DO369" s="712">
        <f t="shared" si="988"/>
        <v>0</v>
      </c>
      <c r="DP369" s="712">
        <f t="shared" si="989"/>
        <v>0</v>
      </c>
      <c r="DQ369" s="712"/>
      <c r="DR369" s="697">
        <f>IF(OR(B369&lt;FL369,B369&gt;FM369),(MIN(AV369+BO369+CJ369+MAX(Sheet1!AA369+AG369-73,0),K369)),0)</f>
        <v>8.5568482178614325</v>
      </c>
      <c r="DS369" s="712"/>
      <c r="DT369" s="712">
        <f t="shared" si="990"/>
        <v>8.5568482178614325</v>
      </c>
      <c r="DU369" s="712"/>
      <c r="DV369" s="712">
        <f>Sheet1!ED369+Sheet1!EE369+Sheet1!EF369+Sheet1!EG369</f>
        <v>8.5</v>
      </c>
      <c r="DW369" s="712"/>
      <c r="DX369" s="697">
        <f t="shared" si="991"/>
        <v>0.47692402290379299</v>
      </c>
      <c r="DY369" s="712">
        <f>IF(Sheet1!FN369=1,SUM('Calculations II'!AT369:BA369)+'Calculations II'!BC369+Sheet1!BU369+'Calculations II'!BE369+AF369,SUM('Calculations II'!AT369:BA369)+'Calculations II'!BC369+Sheet1!BU369+'Calculations II'!BE369+AF369)</f>
        <v>40.343264000000005</v>
      </c>
      <c r="DZ369" s="712">
        <f>Sheet1!AA369+Sheet1!AB369+'Calculations II'!BC369</f>
        <v>53.889999999994174</v>
      </c>
      <c r="EA369" s="712"/>
      <c r="EB369" s="712"/>
      <c r="EC369" s="712">
        <f t="shared" si="992"/>
        <v>40898</v>
      </c>
      <c r="ED369" s="712">
        <f t="shared" si="993"/>
        <v>-0.47692402290379388</v>
      </c>
      <c r="EE369" s="712">
        <f t="shared" si="994"/>
        <v>-0.73780146343216912</v>
      </c>
      <c r="EF369" s="712">
        <f ca="1">IF(B369=TODAY(),0,-(VLOOKUP(Sheet1!BQ369,Lookup!$B$4:$J$236,2)-VLOOKUP(Sheet1!BQ368,Lookup!$B$4:$J$236,2))/1000000)</f>
        <v>-0.54759999999999998</v>
      </c>
      <c r="EG369" s="712">
        <f ca="1">IF(B369=TODAY(),0,-(VLOOKUP(Sheet1!BR369,Lookup!$B$4:$J$236,3)-VLOOKUP(Sheet1!BR368,Lookup!$B$4:$J$236,3))/1000000)</f>
        <v>-0.82020000000000004</v>
      </c>
      <c r="EH369" s="712">
        <f>-(VLOOKUP(Sheet1!BS369,Lookup!$B$4:$J$236,4)-VLOOKUP(Sheet1!BS368,Lookup!$B$4:$J$236,4))/1000000</f>
        <v>0</v>
      </c>
      <c r="EI369" s="697">
        <f t="shared" ca="1" si="922"/>
        <v>-1.3677999999999999</v>
      </c>
      <c r="EJ369" s="712"/>
      <c r="EK369" s="712"/>
      <c r="EL369" s="712"/>
      <c r="EM369" s="712"/>
      <c r="EN369" s="712"/>
      <c r="EO369" s="712"/>
      <c r="EP369" s="712"/>
      <c r="EQ369" s="712"/>
      <c r="ER369" s="712"/>
      <c r="ES369" s="712"/>
      <c r="ET369" s="794" t="e">
        <f t="shared" si="1015"/>
        <v>#N/A</v>
      </c>
      <c r="EU369" s="794" t="e">
        <f t="shared" si="924"/>
        <v>#N/A</v>
      </c>
      <c r="EV369" s="795" t="e">
        <f t="shared" si="925"/>
        <v>#N/A</v>
      </c>
      <c r="EW369" s="796" t="s">
        <v>757</v>
      </c>
      <c r="EX369" s="796" t="s">
        <v>757</v>
      </c>
      <c r="EY369" s="794" t="e">
        <v>#N/A</v>
      </c>
      <c r="EZ369" s="794" t="e">
        <v>#N/A</v>
      </c>
      <c r="FA369" s="712"/>
      <c r="FB369" s="712"/>
      <c r="FC369" s="712"/>
      <c r="FD369" s="712"/>
      <c r="FE369" s="712">
        <f>O369+Sheet1!CO369</f>
        <v>53.889999999994174</v>
      </c>
      <c r="FF369" s="712">
        <f>IF(Sheet1!AA369+AG369&lt;=Calculation!N369,AG369,Calculation!N369-Sheet1!AA369)</f>
        <v>16.433151782138566</v>
      </c>
      <c r="FG369" s="712">
        <f>(Sheet1!BP369+Sheet1!BO369)/694.4</f>
        <v>1.6298963133640554</v>
      </c>
      <c r="FH369" s="712"/>
      <c r="FI369" s="712"/>
      <c r="FJ369" s="712"/>
      <c r="FK369" s="712"/>
      <c r="FL369" s="714">
        <f t="shared" si="929"/>
        <v>40753</v>
      </c>
      <c r="FM369" s="714">
        <f t="shared" si="930"/>
        <v>40851</v>
      </c>
      <c r="FN369" s="712"/>
      <c r="FO369" s="712"/>
      <c r="FP369" s="712"/>
      <c r="FQ369" s="712"/>
      <c r="FR369" s="712"/>
      <c r="FS369" s="725">
        <f t="shared" si="1014"/>
        <v>40603</v>
      </c>
      <c r="FT369" s="714">
        <f t="shared" si="932"/>
        <v>40709</v>
      </c>
      <c r="FU369" s="712">
        <f t="shared" si="1014"/>
        <v>6518.9048239895692</v>
      </c>
      <c r="FV369" s="714">
        <f t="shared" si="933"/>
        <v>40722</v>
      </c>
      <c r="FW369" s="712">
        <f t="shared" si="1014"/>
        <v>3259.4524119947846</v>
      </c>
      <c r="FX369" s="725">
        <f t="shared" si="1014"/>
        <v>40851</v>
      </c>
      <c r="FZ369" s="697">
        <f t="shared" si="926"/>
        <v>0</v>
      </c>
      <c r="GA369" s="712" t="str">
        <f t="shared" si="995"/>
        <v/>
      </c>
      <c r="GB369" s="712">
        <f t="shared" si="996"/>
        <v>0</v>
      </c>
      <c r="GC369" s="712" t="str">
        <f t="shared" si="997"/>
        <v/>
      </c>
      <c r="GD369" s="712">
        <f>IF(GA369="P",Lookup!$M$12,IF(GA369="PP",Lookup!$M$13,IF(GA369="PPP",Lookup!$M$14,IF(GA369="T",Lookup!$M$15,IF(GA369="TP",Lookup!$M$16,IF(GA369="TPP",Lookup!$M$17,IF(GA369="TPPP",Lookup!$M$18,0)))))))*FZ369</f>
        <v>0</v>
      </c>
      <c r="GE369" s="712">
        <f t="shared" si="998"/>
        <v>0</v>
      </c>
      <c r="GF369" s="712">
        <f t="shared" si="999"/>
        <v>0</v>
      </c>
      <c r="GG369" s="712">
        <f t="shared" si="1000"/>
        <v>0</v>
      </c>
      <c r="GH369" s="712"/>
      <c r="GI369" s="712">
        <f t="shared" si="1001"/>
        <v>0</v>
      </c>
      <c r="GJ369" s="712" t="str">
        <f t="shared" si="1002"/>
        <v/>
      </c>
      <c r="GK369" s="712">
        <f>IF(GA369="P",Lookup!$N$12,IF(GA369="PP",Lookup!$N$13,IF(GA369="PPP",Lookup!$N$14,IF(GA369="T",Lookup!$N$15,IF(GA369="TP",Lookup!$N$16,IF(GA369="TPP",Lookup!$N$17,IF(GA369="TPPP",Lookup!$N$18,0)))))))*FZ369</f>
        <v>0</v>
      </c>
      <c r="GL369" s="712">
        <f t="shared" si="1003"/>
        <v>0</v>
      </c>
      <c r="GM369" s="712">
        <f t="shared" si="1004"/>
        <v>0</v>
      </c>
      <c r="GN369" s="712">
        <f t="shared" si="1005"/>
        <v>0</v>
      </c>
      <c r="GO369" s="712"/>
      <c r="GP369" s="712">
        <f t="shared" si="1006"/>
        <v>0</v>
      </c>
      <c r="GQ369" s="712" t="str">
        <f t="shared" si="1007"/>
        <v/>
      </c>
      <c r="GR369" s="712">
        <f>IF(GA369="P",Lookup!$N$12,IF(GA369="PP",Lookup!$N$13,IF(GA369="PPP",Lookup!$N$14,IF(GA369="T",Lookup!$N$15,IF(GA369="TP",Lookup!$N$16,IF(GA369="TPP",Lookup!$N$17,IF(GA369="TPPP",Lookup!$N$18,0)))))))*FZ369</f>
        <v>0</v>
      </c>
      <c r="GS369" s="697">
        <f t="shared" si="927"/>
        <v>0</v>
      </c>
      <c r="GT369" s="712">
        <f t="shared" si="1008"/>
        <v>0</v>
      </c>
      <c r="GU369" s="712">
        <f t="shared" si="1009"/>
        <v>0</v>
      </c>
      <c r="GV369" s="712"/>
      <c r="GW369" s="712">
        <f t="shared" si="1010"/>
        <v>0</v>
      </c>
      <c r="GX369" s="712" t="str">
        <f t="shared" si="1011"/>
        <v/>
      </c>
      <c r="GY369" s="712">
        <f>IF(GA369="P",Lookup!$N$12,IF(GA369="PP",Lookup!$N$13,IF(GA369="PPP",Lookup!$N$14,IF(GA369="T",Lookup!$N$15,IF(GA369="TP",Lookup!$N$16,IF(GA369="TPP",Lookup!$N$17,IF(GA369="TPPP",Lookup!$N$18,0)))))))*FZ369</f>
        <v>0</v>
      </c>
      <c r="GZ369" s="697">
        <f t="shared" si="928"/>
        <v>0</v>
      </c>
      <c r="HA369" s="712">
        <f t="shared" si="1012"/>
        <v>0</v>
      </c>
      <c r="HB369" s="712">
        <f t="shared" si="1013"/>
        <v>0</v>
      </c>
      <c r="HC369" s="712"/>
    </row>
    <row r="370" spans="1:211">
      <c r="A370" s="773" t="s">
        <v>7</v>
      </c>
      <c r="B370" s="708">
        <v>40899</v>
      </c>
      <c r="C370" s="719">
        <v>0.5</v>
      </c>
      <c r="D370" s="675">
        <f t="shared" si="936"/>
        <v>300</v>
      </c>
      <c r="E370" s="675">
        <f t="shared" si="937"/>
        <v>250</v>
      </c>
      <c r="F370" s="675">
        <v>250</v>
      </c>
      <c r="G370" s="712">
        <f>DH370+Sheet1!CV370</f>
        <v>435.71495209277464</v>
      </c>
      <c r="H370" s="712">
        <f t="shared" si="938"/>
        <v>14.682945032769526</v>
      </c>
      <c r="I370" s="711">
        <f>MAX(Sheet1!Z370-AJ370+(Sheet1!CW370-E370)*CFStoMGD,0)</f>
        <v>264.7969333333333</v>
      </c>
      <c r="J370" s="720">
        <f>IF(AND(B370&gt;=Calculation!FS370,B370&lt;=Calculation!FT370),IF(Sheet1!CX370&gt;=Calculation!D370,64.64,0),MAX(Sheet1!Z370-AJ370+(Sheet1!CX370-D370)*CFStoMGD,0))</f>
        <v>83.798199999999994</v>
      </c>
      <c r="K370" s="697">
        <f t="shared" si="939"/>
        <v>14.682945032769526</v>
      </c>
      <c r="L370" s="712">
        <f>Sheet1!AA370+Sheet1!AB370-Sheet1!L370+(Sheet1!CW370-F370)*CFStoMGD</f>
        <v>309.56693333333328</v>
      </c>
      <c r="M370" s="712">
        <f t="shared" si="940"/>
        <v>287.27906793342493</v>
      </c>
      <c r="N370" s="712">
        <f>IF(Sheet1!CW370&gt;=F370,MIN(73,MIN(MAX(L370,0),MAX(M370,0))),0)</f>
        <v>73</v>
      </c>
      <c r="O370" s="721">
        <f>Sheet1!AA370+Sheet1!AB370</f>
        <v>53</v>
      </c>
      <c r="P370" s="721">
        <f t="shared" si="941"/>
        <v>81.991</v>
      </c>
      <c r="Q370" s="712">
        <f>MIN(N370,Sheet1!AA370+AG370)</f>
        <v>44.4</v>
      </c>
      <c r="R370" s="712">
        <f t="shared" si="942"/>
        <v>8.6</v>
      </c>
      <c r="S370" s="721">
        <f>Sheet1!Y370*MGDtoCFS</f>
        <v>44.708299999999994</v>
      </c>
      <c r="T370" s="721">
        <f>Sheet1!Z370*MGDtoCFS</f>
        <v>36.555609999999994</v>
      </c>
      <c r="U370" s="721">
        <f>Sheet1!AA370*MGDtoCFS</f>
        <v>44.863</v>
      </c>
      <c r="V370" s="721">
        <f>Sheet1!AB370*MGDtoCFS</f>
        <v>37.128</v>
      </c>
      <c r="W370" s="721">
        <f>Sheet1!L370*MGDtoCFS</f>
        <v>0</v>
      </c>
      <c r="X370" s="697">
        <f t="shared" si="943"/>
        <v>3.6949829102948142</v>
      </c>
      <c r="Y370" s="712">
        <f t="shared" si="944"/>
        <v>5.7161385622260772</v>
      </c>
      <c r="Z370" s="712">
        <f t="shared" si="945"/>
        <v>0</v>
      </c>
      <c r="AA370" s="712">
        <f t="shared" si="946"/>
        <v>0</v>
      </c>
      <c r="AB370" s="712">
        <f>(VLOOKUP(Sheet1!CY370,hhdcap_wcm,4)-(((VLOOKUP(Sheet1!CY370,hhdcap_wcm,3)-Sheet1!CY370)/(VLOOKUP(Sheet1!CY370,hhdcap_wcm,3)-VLOOKUP(Sheet1!CY370,hhdcap_wcm,1)))*(VLOOKUP(Sheet1!CY370,hhdcap_wcm,4)-VLOOKUP(Sheet1!CY370,hhdcap_wcm,2))))</f>
        <v>1826.3400000026074</v>
      </c>
      <c r="AC370" s="712">
        <f t="shared" si="947"/>
        <v>-26.840000000027885</v>
      </c>
      <c r="AD370" s="712">
        <f t="shared" si="948"/>
        <v>0</v>
      </c>
      <c r="AE370" s="712">
        <f t="shared" si="949"/>
        <v>0</v>
      </c>
      <c r="AF370" s="712">
        <f>Sheet1!BA370+Sheet1!BB370+Sheet1!BN370+BT370</f>
        <v>15.4</v>
      </c>
      <c r="AG370" s="712">
        <f t="shared" si="950"/>
        <v>15.4</v>
      </c>
      <c r="AH370" s="712">
        <f>Sheet1!BA370+BT370</f>
        <v>0</v>
      </c>
      <c r="AI370" s="712">
        <f>Sheet1!BA370+Sheet1!BB370+BT370</f>
        <v>0</v>
      </c>
      <c r="AJ370" s="712">
        <f>IF((Sheet1!AA370+AG370+AX370+AZ370+BQ370+BS370+CL370+CN370)&lt;=N370,AG370+AX370+AZ370+BQ370+BS370+CL370+CN370,N370-Sheet1!AA370)</f>
        <v>15.4</v>
      </c>
      <c r="AK370" s="712">
        <f>IF(DR370&lt;K370,0,MAX(Sheet1!AA370+AG370-15/36*K370-N370,Sheet1!ED370,0))</f>
        <v>0</v>
      </c>
      <c r="AL370" s="712">
        <f>IF(OR(B370&gt;=FT370,B370&lt;FS370),0,15/36*K370-MAX(0,64.6-(137.6-(Sheet1!AA370+Sheet1!AB370))))</f>
        <v>0</v>
      </c>
      <c r="AM370" s="712">
        <f>Sheet1!CX370-110</f>
        <v>306.90625</v>
      </c>
      <c r="AN370" s="712">
        <f>Sheet1!CW370-265</f>
        <v>381.91666666666663</v>
      </c>
      <c r="AO370" s="712">
        <f t="shared" si="934"/>
        <v>28.6</v>
      </c>
      <c r="AP370" s="712">
        <f t="shared" si="951"/>
        <v>0</v>
      </c>
      <c r="AQ370" s="712">
        <f t="shared" si="952"/>
        <v>0</v>
      </c>
      <c r="AR370" s="712">
        <f t="shared" si="953"/>
        <v>0</v>
      </c>
      <c r="AS370" s="712"/>
      <c r="AT370" s="712">
        <f ca="1">IF(B370&gt;Summary!$A$1,#N/A,AR370*MGtoAF)</f>
        <v>0</v>
      </c>
      <c r="AU370" s="712">
        <f>Sheet1!BG370+Sheet1!BH370+Sheet1!BI370-BC370</f>
        <v>0</v>
      </c>
      <c r="AV370" s="712">
        <f t="shared" si="954"/>
        <v>0</v>
      </c>
      <c r="AW370" s="712">
        <f>IF(Sheet1!EL370="FM",BC370,0)</f>
        <v>0</v>
      </c>
      <c r="AX370" s="712">
        <f t="shared" si="955"/>
        <v>0</v>
      </c>
      <c r="AY370" s="712">
        <f>IF(Sheet1!EL370="OTHER",BC370,0)</f>
        <v>0</v>
      </c>
      <c r="AZ370" s="712">
        <f t="shared" si="956"/>
        <v>0</v>
      </c>
      <c r="BA370" s="712">
        <f t="shared" si="957"/>
        <v>0</v>
      </c>
      <c r="BB370" s="712">
        <f t="shared" si="958"/>
        <v>0</v>
      </c>
      <c r="BC370" s="712">
        <f>IF(OR(Sheet1!EL370="FM", Sheet1!EL370="OTHER"),SUM(Sheet1!BG370:'Sheet1'!BI370),0)</f>
        <v>0</v>
      </c>
      <c r="BD370" s="697">
        <f>IF(AND($B370&gt;=$FL370,$B370&lt;=$FM370),MAX(AV370,Sheet1!EE370,0),MAX(AV370-(7/36)*$K370,0))</f>
        <v>0</v>
      </c>
      <c r="BE370" s="712">
        <f t="shared" si="959"/>
        <v>0</v>
      </c>
      <c r="BF370" s="697">
        <f t="shared" si="960"/>
        <v>0</v>
      </c>
      <c r="BG370" s="697">
        <f>IF(AND($O370&gt;0,Sheet1!EI370=1),(1-($O370-Sheet1!$L370)/$O370)*BB370,0)</f>
        <v>0</v>
      </c>
      <c r="BH370" s="697">
        <f>IF(AND(Sheet1!$L370=0,Sheet1!$L369=0, Calculation!BA370&lt;Sheet1!$EE370-0.1,Sheet1!$EE370=Sheet1!$EE369,Sheet1!$EE370=Sheet1!$EE371),Sheet1!$EE370,BB370-BG370)</f>
        <v>0</v>
      </c>
      <c r="BI370" s="712"/>
      <c r="BJ370" s="712"/>
      <c r="BK370" s="712">
        <f t="shared" si="961"/>
        <v>0</v>
      </c>
      <c r="BL370" s="712"/>
      <c r="BM370" s="712">
        <f ca="1">IF(B370&gt;Summary!$A$1,#N/A,BK370*MGtoAF)</f>
        <v>0</v>
      </c>
      <c r="BN370" s="712">
        <f>Sheet1!BC370+Sheet1!BD370+Sheet1!BE370+Sheet1!BF370-BW370-BX370</f>
        <v>2.0499999999999998</v>
      </c>
      <c r="BO370" s="712">
        <f t="shared" si="962"/>
        <v>2.0499999999999998</v>
      </c>
      <c r="BP370" s="712">
        <f>IF(Sheet1!EM370="FM",BX370,0)</f>
        <v>0</v>
      </c>
      <c r="BQ370" s="712">
        <f t="shared" si="963"/>
        <v>0</v>
      </c>
      <c r="BR370" s="712">
        <f>IF(Sheet1!EM370="OTHER",BX370,0)</f>
        <v>0</v>
      </c>
      <c r="BS370" s="712">
        <f t="shared" si="964"/>
        <v>0</v>
      </c>
      <c r="BT370" s="712">
        <f t="shared" si="965"/>
        <v>0</v>
      </c>
      <c r="BU370" s="712">
        <f t="shared" si="966"/>
        <v>2.0499999999999998</v>
      </c>
      <c r="BV370" s="712">
        <f t="shared" si="967"/>
        <v>2.0499999999999998</v>
      </c>
      <c r="BW370" s="712">
        <f>IF(Sheet1!EM370="CWA",SUM(Sheet1!BC370:'Sheet1'!BF370),0)</f>
        <v>0</v>
      </c>
      <c r="BX370" s="712">
        <f>IF(OR(Sheet1!EM370="FM", Sheet1!EM370="OTHER"),SUM(Sheet1!BC370:'Sheet1'!BF370),0)</f>
        <v>0</v>
      </c>
      <c r="BY370" s="697">
        <f>IF(AND($B370&gt;=$FL370,$B370&lt;=$FM370),MAX(BV370,Sheet1!EF370,0),MAX(BV370-(7/36)*$K370,0))</f>
        <v>0</v>
      </c>
      <c r="BZ370" s="712">
        <f t="shared" si="968"/>
        <v>0</v>
      </c>
      <c r="CA370" s="697">
        <f t="shared" si="969"/>
        <v>2.0499999999999998</v>
      </c>
      <c r="CB370" s="697">
        <f>IF(AND($O370&gt;0,Sheet1!EJ370=1),(1-($O370-Sheet1!$L370)/$O370)*BV370,0)</f>
        <v>0</v>
      </c>
      <c r="CC370" s="697">
        <f>IF(AND(Sheet1!$L370=0,Sheet1!$L369=0, Calculation!BU370&lt;Sheet1!EF370-0.1,Sheet1!EF370=Sheet1!EF369,Sheet1!EF370=Sheet1!EF371),Sheet1!EF370,BV370-CB370)</f>
        <v>2.0499999999999998</v>
      </c>
      <c r="CD370" s="697"/>
      <c r="CE370" s="712"/>
      <c r="CF370" s="712">
        <f t="shared" si="970"/>
        <v>0</v>
      </c>
      <c r="CG370" s="712"/>
      <c r="CH370" s="712">
        <f ca="1">IF(B370&gt;Summary!$A$1,#N/A,CF370*MGtoAF)</f>
        <v>0</v>
      </c>
      <c r="CI370" s="712">
        <f>Sheet1!BK370+Sheet1!BL370+Sheet1!BM370-Sheet1!EN370-CQ370</f>
        <v>6.55</v>
      </c>
      <c r="CJ370" s="712">
        <f t="shared" si="971"/>
        <v>6.55</v>
      </c>
      <c r="CK370" s="712">
        <f>IF(Sheet1!EN370="FM",CQ370,0)</f>
        <v>0</v>
      </c>
      <c r="CL370" s="712">
        <f t="shared" si="972"/>
        <v>0</v>
      </c>
      <c r="CM370" s="712">
        <f>IF(Sheet1!EN370="OTHER",CQ370,0)</f>
        <v>0</v>
      </c>
      <c r="CN370" s="712">
        <f t="shared" si="973"/>
        <v>0</v>
      </c>
      <c r="CO370" s="712">
        <f t="shared" si="974"/>
        <v>6.55</v>
      </c>
      <c r="CP370" s="712">
        <f t="shared" si="975"/>
        <v>6.55</v>
      </c>
      <c r="CQ370" s="712">
        <f>IF(OR(Sheet1!EN370="FM", Sheet1!EN370="OTHER"),SUM(Sheet1!BK370:'Sheet1'!BM370),0)</f>
        <v>0</v>
      </c>
      <c r="CR370" s="697">
        <f>IF(AND($B370&gt;=$FL370,$B370&lt;=$FM370),MAX($CJ370,Sheet1!EG370,0),MAX($CJ370-(7/36)*$K370,0))</f>
        <v>3.6949829102948142</v>
      </c>
      <c r="CS370" s="712">
        <f t="shared" si="976"/>
        <v>0</v>
      </c>
      <c r="CT370" s="697">
        <f t="shared" si="977"/>
        <v>2.8550170897051856</v>
      </c>
      <c r="CU370" s="697">
        <f>IF(AND($O370&gt;0,Sheet1!EK370=1),(1-($O370-Sheet1!$L370)/$O370)*CP370,0)</f>
        <v>0</v>
      </c>
      <c r="CV370" s="697">
        <f>IF(AND(Sheet1!$L370=0,Sheet1!$L369=0, Calculation!CO370&lt;Sheet1!$EG370-0.1,Sheet1!$EG370=Sheet1!$EG369,Sheet1!$EG370=Sheet1!$EG371),Sheet1!$EG370,CP370-CU370)</f>
        <v>6.55</v>
      </c>
      <c r="CW370" s="697"/>
      <c r="CX370" s="712">
        <f t="shared" si="978"/>
        <v>8.6</v>
      </c>
      <c r="CY370" s="712">
        <f t="shared" si="979"/>
        <v>0</v>
      </c>
      <c r="CZ370" s="712">
        <f t="shared" si="980"/>
        <v>8.6</v>
      </c>
      <c r="DA370" s="712">
        <f ca="1">IF(B370&gt;Summary!$A$1,#N/A,CY370*MGtoAF)</f>
        <v>0</v>
      </c>
      <c r="DB370" s="712">
        <f t="shared" si="981"/>
        <v>8.6</v>
      </c>
      <c r="DC370" s="712">
        <f t="shared" si="982"/>
        <v>24</v>
      </c>
      <c r="DD370" s="712">
        <f>Sheet1!AB370-DC370</f>
        <v>0</v>
      </c>
      <c r="DE370" s="712">
        <f t="shared" si="983"/>
        <v>0</v>
      </c>
      <c r="DF370" s="712">
        <f>(VLOOKUP(Sheet1!CY370,hhdcap_wcm,4)-(((VLOOKUP(Sheet1!CY370,hhdcap_wcm,3)-Sheet1!CY370)/(VLOOKUP(Sheet1!CY370,hhdcap_wcm,3)-VLOOKUP(Sheet1!CY370,hhdcap_wcm,1)))*(VLOOKUP(Sheet1!CY370,hhdcap_wcm,4)-VLOOKUP(Sheet1!CY370,hhdcap_wcm,2))))</f>
        <v>1826.3400000026074</v>
      </c>
      <c r="DG370" s="712">
        <f t="shared" si="984"/>
        <v>-26.840000000027885</v>
      </c>
      <c r="DH370" s="712">
        <f t="shared" si="985"/>
        <v>-13.535047907225357</v>
      </c>
      <c r="DI370" s="712">
        <f>Sheet1!DW370*AFtoMG</f>
        <v>0</v>
      </c>
      <c r="DJ370" s="712">
        <f>Sheet1!DX370*AFtoMG</f>
        <v>0</v>
      </c>
      <c r="DK370" s="712">
        <f>Sheet1!DY370*AFtoMG</f>
        <v>0</v>
      </c>
      <c r="DL370" s="712">
        <f>Sheet1!DZ370*AFtoMG</f>
        <v>0</v>
      </c>
      <c r="DM370" s="712">
        <f t="shared" si="986"/>
        <v>0</v>
      </c>
      <c r="DN370" s="712">
        <f t="shared" si="987"/>
        <v>0</v>
      </c>
      <c r="DO370" s="712">
        <f t="shared" si="988"/>
        <v>0</v>
      </c>
      <c r="DP370" s="712">
        <f t="shared" si="989"/>
        <v>0</v>
      </c>
      <c r="DQ370" s="712"/>
      <c r="DR370" s="697">
        <f>IF(OR(B370&lt;FL370,B370&gt;FM370),(MIN(AV370+BO370+CJ370+MAX(Sheet1!AA370+AG370-73,0),K370)),0)</f>
        <v>8.6</v>
      </c>
      <c r="DS370" s="712"/>
      <c r="DT370" s="712">
        <f t="shared" si="990"/>
        <v>8.6</v>
      </c>
      <c r="DU370" s="712"/>
      <c r="DV370" s="712">
        <f>Sheet1!ED370+Sheet1!EE370+Sheet1!EF370+Sheet1!EG370</f>
        <v>8.5</v>
      </c>
      <c r="DW370" s="712"/>
      <c r="DX370" s="697">
        <f t="shared" si="991"/>
        <v>3.6949829102948142</v>
      </c>
      <c r="DY370" s="712">
        <f>IF(Sheet1!FN370=1,SUM('Calculations II'!AT370:BA370)+'Calculations II'!BC370+Sheet1!BU370+'Calculations II'!BE370+AF370,SUM('Calculations II'!AT370:BA370)+'Calculations II'!BC370+Sheet1!BU370+'Calculations II'!BE370+AF370)</f>
        <v>42.322384</v>
      </c>
      <c r="DZ370" s="712">
        <f>Sheet1!AA370+Sheet1!AB370+'Calculations II'!BC370</f>
        <v>53</v>
      </c>
      <c r="EA370" s="712"/>
      <c r="EB370" s="712"/>
      <c r="EC370" s="712">
        <f t="shared" si="992"/>
        <v>40899</v>
      </c>
      <c r="ED370" s="712">
        <f t="shared" si="993"/>
        <v>-3.6949829102948142</v>
      </c>
      <c r="EE370" s="712">
        <f t="shared" si="994"/>
        <v>-5.7161385622260772</v>
      </c>
      <c r="EF370" s="712">
        <f ca="1">IF(B370=TODAY(),0,-(VLOOKUP(Sheet1!BQ370,Lookup!$B$4:$J$236,2)-VLOOKUP(Sheet1!BQ369,Lookup!$B$4:$J$236,2))/1000000)</f>
        <v>1.0952</v>
      </c>
      <c r="EG370" s="712">
        <f ca="1">IF(B370=TODAY(),0,-(VLOOKUP(Sheet1!BR370,Lookup!$B$4:$J$236,3)-VLOOKUP(Sheet1!BR369,Lookup!$B$4:$J$236,3))/1000000)</f>
        <v>1.0935999999999999</v>
      </c>
      <c r="EH370" s="712">
        <f>-(VLOOKUP(Sheet1!BS370,Lookup!$B$4:$J$236,4)-VLOOKUP(Sheet1!BS369,Lookup!$B$4:$J$236,4))/1000000</f>
        <v>0</v>
      </c>
      <c r="EI370" s="697">
        <f t="shared" ca="1" si="922"/>
        <v>2.1887999999999996</v>
      </c>
      <c r="EJ370" s="712"/>
      <c r="EK370" s="712"/>
      <c r="EL370" s="712"/>
      <c r="EM370" s="712"/>
      <c r="EN370" s="712"/>
      <c r="EO370" s="712"/>
      <c r="EP370" s="712"/>
      <c r="EQ370" s="712"/>
      <c r="ER370" s="712"/>
      <c r="ES370" s="712"/>
      <c r="ET370" s="794" t="e">
        <f t="shared" si="1015"/>
        <v>#N/A</v>
      </c>
      <c r="EU370" s="794" t="e">
        <f t="shared" si="924"/>
        <v>#N/A</v>
      </c>
      <c r="EV370" s="795" t="e">
        <f t="shared" si="925"/>
        <v>#N/A</v>
      </c>
      <c r="EW370" s="796" t="s">
        <v>757</v>
      </c>
      <c r="EX370" s="796" t="s">
        <v>757</v>
      </c>
      <c r="EY370" s="794" t="e">
        <v>#N/A</v>
      </c>
      <c r="EZ370" s="794" t="e">
        <v>#N/A</v>
      </c>
      <c r="FA370" s="712"/>
      <c r="FB370" s="712"/>
      <c r="FC370" s="712"/>
      <c r="FD370" s="712"/>
      <c r="FE370" s="712">
        <f>O370+Sheet1!CO370</f>
        <v>53</v>
      </c>
      <c r="FF370" s="712">
        <f>IF(Sheet1!AA370+AG370&lt;=Calculation!N370,AG370,Calculation!N370-Sheet1!AA370)</f>
        <v>15.4</v>
      </c>
      <c r="FG370" s="712">
        <f>(Sheet1!BP370+Sheet1!BO370)/694.4</f>
        <v>2.1455933179723505</v>
      </c>
      <c r="FH370" s="712"/>
      <c r="FI370" s="712"/>
      <c r="FJ370" s="712"/>
      <c r="FK370" s="712"/>
      <c r="FL370" s="714">
        <f t="shared" si="929"/>
        <v>40753</v>
      </c>
      <c r="FM370" s="714">
        <f t="shared" si="930"/>
        <v>40851</v>
      </c>
      <c r="FN370" s="712"/>
      <c r="FO370" s="712"/>
      <c r="FP370" s="712"/>
      <c r="FQ370" s="712"/>
      <c r="FR370" s="712"/>
      <c r="FS370" s="725">
        <f t="shared" si="1014"/>
        <v>40603</v>
      </c>
      <c r="FT370" s="714">
        <f t="shared" si="932"/>
        <v>40709</v>
      </c>
      <c r="FU370" s="712">
        <f t="shared" si="1014"/>
        <v>6518.9048239895692</v>
      </c>
      <c r="FV370" s="714">
        <f t="shared" si="933"/>
        <v>40722</v>
      </c>
      <c r="FW370" s="712">
        <f t="shared" si="1014"/>
        <v>3259.4524119947846</v>
      </c>
      <c r="FX370" s="725">
        <f t="shared" si="1014"/>
        <v>40851</v>
      </c>
      <c r="FZ370" s="697">
        <f t="shared" si="926"/>
        <v>0</v>
      </c>
      <c r="GA370" s="712" t="str">
        <f t="shared" si="995"/>
        <v/>
      </c>
      <c r="GB370" s="712">
        <f t="shared" si="996"/>
        <v>0</v>
      </c>
      <c r="GC370" s="712" t="str">
        <f t="shared" si="997"/>
        <v/>
      </c>
      <c r="GD370" s="712">
        <f>IF(GA370="P",Lookup!$M$12,IF(GA370="PP",Lookup!$M$13,IF(GA370="PPP",Lookup!$M$14,IF(GA370="T",Lookup!$M$15,IF(GA370="TP",Lookup!$M$16,IF(GA370="TPP",Lookup!$M$17,IF(GA370="TPPP",Lookup!$M$18,0)))))))*FZ370</f>
        <v>0</v>
      </c>
      <c r="GE370" s="712">
        <f t="shared" si="998"/>
        <v>0</v>
      </c>
      <c r="GF370" s="712">
        <f t="shared" si="999"/>
        <v>0</v>
      </c>
      <c r="GG370" s="712">
        <f t="shared" si="1000"/>
        <v>0</v>
      </c>
      <c r="GH370" s="712"/>
      <c r="GI370" s="712">
        <f t="shared" si="1001"/>
        <v>0</v>
      </c>
      <c r="GJ370" s="712" t="str">
        <f t="shared" si="1002"/>
        <v/>
      </c>
      <c r="GK370" s="712">
        <f>IF(GA370="P",Lookup!$N$12,IF(GA370="PP",Lookup!$N$13,IF(GA370="PPP",Lookup!$N$14,IF(GA370="T",Lookup!$N$15,IF(GA370="TP",Lookup!$N$16,IF(GA370="TPP",Lookup!$N$17,IF(GA370="TPPP",Lookup!$N$18,0)))))))*FZ370</f>
        <v>0</v>
      </c>
      <c r="GL370" s="712">
        <f t="shared" si="1003"/>
        <v>0</v>
      </c>
      <c r="GM370" s="712">
        <f t="shared" si="1004"/>
        <v>0</v>
      </c>
      <c r="GN370" s="712">
        <f t="shared" si="1005"/>
        <v>0</v>
      </c>
      <c r="GO370" s="712"/>
      <c r="GP370" s="712">
        <f t="shared" si="1006"/>
        <v>0</v>
      </c>
      <c r="GQ370" s="712" t="str">
        <f t="shared" si="1007"/>
        <v/>
      </c>
      <c r="GR370" s="712">
        <f>IF(GA370="P",Lookup!$N$12,IF(GA370="PP",Lookup!$N$13,IF(GA370="PPP",Lookup!$N$14,IF(GA370="T",Lookup!$N$15,IF(GA370="TP",Lookup!$N$16,IF(GA370="TPP",Lookup!$N$17,IF(GA370="TPPP",Lookup!$N$18,0)))))))*FZ370</f>
        <v>0</v>
      </c>
      <c r="GS370" s="697">
        <f t="shared" si="927"/>
        <v>0</v>
      </c>
      <c r="GT370" s="712">
        <f t="shared" si="1008"/>
        <v>0</v>
      </c>
      <c r="GU370" s="712">
        <f t="shared" si="1009"/>
        <v>0</v>
      </c>
      <c r="GV370" s="712"/>
      <c r="GW370" s="712">
        <f t="shared" si="1010"/>
        <v>0</v>
      </c>
      <c r="GX370" s="712" t="str">
        <f t="shared" si="1011"/>
        <v/>
      </c>
      <c r="GY370" s="712">
        <f>IF(GA370="P",Lookup!$N$12,IF(GA370="PP",Lookup!$N$13,IF(GA370="PPP",Lookup!$N$14,IF(GA370="T",Lookup!$N$15,IF(GA370="TP",Lookup!$N$16,IF(GA370="TPP",Lookup!$N$17,IF(GA370="TPPP",Lookup!$N$18,0)))))))*FZ370</f>
        <v>0</v>
      </c>
      <c r="GZ370" s="697">
        <f t="shared" si="928"/>
        <v>0</v>
      </c>
      <c r="HA370" s="712">
        <f t="shared" si="1012"/>
        <v>0</v>
      </c>
      <c r="HB370" s="712">
        <f t="shared" si="1013"/>
        <v>0</v>
      </c>
      <c r="HC370" s="712"/>
    </row>
    <row r="371" spans="1:211">
      <c r="A371" s="773" t="s">
        <v>8</v>
      </c>
      <c r="B371" s="708">
        <v>40900</v>
      </c>
      <c r="C371" s="719">
        <v>0.5</v>
      </c>
      <c r="D371" s="675">
        <f t="shared" si="936"/>
        <v>300</v>
      </c>
      <c r="E371" s="675">
        <f t="shared" si="937"/>
        <v>250</v>
      </c>
      <c r="F371" s="675">
        <v>250</v>
      </c>
      <c r="G371" s="712">
        <f>DH371+Sheet1!CV371</f>
        <v>432.98361069088645</v>
      </c>
      <c r="H371" s="712">
        <f t="shared" si="938"/>
        <v>12.917405950589002</v>
      </c>
      <c r="I371" s="711">
        <f>MAX(Sheet1!Z371-AJ371+(Sheet1!CW371-E371)*CFStoMGD,0)</f>
        <v>248.12701478382166</v>
      </c>
      <c r="J371" s="720">
        <f>IF(AND(B371&gt;=Calculation!FS371,B371&lt;=Calculation!FT371),IF(Sheet1!CX371&gt;=Calculation!D371,64.64,0),MAX(Sheet1!Z371-AJ371+(Sheet1!CX371-D371)*CFStoMGD,0))</f>
        <v>66.475148117155001</v>
      </c>
      <c r="K371" s="697">
        <f t="shared" si="939"/>
        <v>12.917405950589002</v>
      </c>
      <c r="L371" s="712">
        <f>Sheet1!AA371+Sheet1!AB371-Sheet1!L371+(Sheet1!CW371-F371)*CFStoMGD</f>
        <v>290.63546666667162</v>
      </c>
      <c r="M371" s="712">
        <f t="shared" si="940"/>
        <v>285.47821806960081</v>
      </c>
      <c r="N371" s="712">
        <f>IF(Sheet1!CW371&gt;=F371,MIN(73,MIN(MAX(L371,0),MAX(M371,0))),0)</f>
        <v>73</v>
      </c>
      <c r="O371" s="721">
        <f>Sheet1!AA371+Sheet1!AB371</f>
        <v>52.060000000004948</v>
      </c>
      <c r="P371" s="721">
        <f t="shared" si="941"/>
        <v>80.536820000007651</v>
      </c>
      <c r="Q371" s="712">
        <f>MIN(N371,Sheet1!AA371+AG371)</f>
        <v>43.588451882850237</v>
      </c>
      <c r="R371" s="712">
        <f t="shared" si="942"/>
        <v>8.4715481171547093</v>
      </c>
      <c r="S371" s="721">
        <f>Sheet1!Y371*MGDtoCFS</f>
        <v>45.048639999999999</v>
      </c>
      <c r="T371" s="721">
        <f>Sheet1!Z371*MGDtoCFS</f>
        <v>38.520299999999999</v>
      </c>
      <c r="U371" s="721">
        <f>Sheet1!AA371*MGDtoCFS</f>
        <v>43.687280000008101</v>
      </c>
      <c r="V371" s="721">
        <f>Sheet1!AB371*MGDtoCFS</f>
        <v>36.84953999999955</v>
      </c>
      <c r="W371" s="721">
        <f>Sheet1!L371*MGDtoCFS</f>
        <v>0</v>
      </c>
      <c r="X371" s="697">
        <f t="shared" si="943"/>
        <v>3.797093891755456</v>
      </c>
      <c r="Y371" s="712">
        <f t="shared" si="944"/>
        <v>5.87410425054569</v>
      </c>
      <c r="Z371" s="712">
        <f t="shared" si="945"/>
        <v>0</v>
      </c>
      <c r="AA371" s="712">
        <f t="shared" si="946"/>
        <v>0</v>
      </c>
      <c r="AB371" s="712">
        <f>(VLOOKUP(Sheet1!CY371,hhdcap_wcm,4)-(((VLOOKUP(Sheet1!CY371,hhdcap_wcm,3)-Sheet1!CY371)/(VLOOKUP(Sheet1!CY371,hhdcap_wcm,3)-VLOOKUP(Sheet1!CY371,hhdcap_wcm,1)))*(VLOOKUP(Sheet1!CY371,hhdcap_wcm,4)-VLOOKUP(Sheet1!CY371,hhdcap_wcm,2))))</f>
        <v>1854.4000000026354</v>
      </c>
      <c r="AC371" s="712">
        <f t="shared" si="947"/>
        <v>28.060000000027912</v>
      </c>
      <c r="AD371" s="712">
        <f t="shared" si="948"/>
        <v>0</v>
      </c>
      <c r="AE371" s="712">
        <f t="shared" si="949"/>
        <v>0</v>
      </c>
      <c r="AF371" s="712">
        <f>Sheet1!BA371+Sheet1!BB371+Sheet1!BN371+BT371</f>
        <v>15.4</v>
      </c>
      <c r="AG371" s="712">
        <f t="shared" si="950"/>
        <v>15.348451882845001</v>
      </c>
      <c r="AH371" s="712">
        <f>Sheet1!BA371+BT371</f>
        <v>0</v>
      </c>
      <c r="AI371" s="712">
        <f>Sheet1!BA371+Sheet1!BB371+BT371</f>
        <v>0</v>
      </c>
      <c r="AJ371" s="712">
        <f>IF((Sheet1!AA371+AG371+AX371+AZ371+BQ371+BS371+CL371+CN371)&lt;=N371,AG371+AX371+AZ371+BQ371+BS371+CL371+CN371,N371-Sheet1!AA371)</f>
        <v>15.348451882845001</v>
      </c>
      <c r="AK371" s="712">
        <f>IF(DR371&lt;K371,0,MAX(Sheet1!AA371+AG371-15/36*K371-N371,Sheet1!ED371,0))</f>
        <v>0</v>
      </c>
      <c r="AL371" s="712">
        <f>IF(OR(B371&gt;=FT371,B371&lt;FS371),0,15/36*K371-MAX(0,64.6-(137.6-(Sheet1!AA371+Sheet1!AB371))))</f>
        <v>0</v>
      </c>
      <c r="AM371" s="712">
        <f>Sheet1!CX371-110</f>
        <v>278.0625</v>
      </c>
      <c r="AN371" s="712">
        <f>Sheet1!CW371-265</f>
        <v>354.08333333333337</v>
      </c>
      <c r="AO371" s="712">
        <f t="shared" si="934"/>
        <v>29.411548117149763</v>
      </c>
      <c r="AP371" s="712">
        <f t="shared" si="951"/>
        <v>0</v>
      </c>
      <c r="AQ371" s="712">
        <f t="shared" si="952"/>
        <v>0</v>
      </c>
      <c r="AR371" s="712">
        <f t="shared" si="953"/>
        <v>0</v>
      </c>
      <c r="AS371" s="712"/>
      <c r="AT371" s="712">
        <f ca="1">IF(B371&gt;Summary!$A$1,#N/A,AR371*MGtoAF)</f>
        <v>0</v>
      </c>
      <c r="AU371" s="712">
        <f>Sheet1!BG371+Sheet1!BH371+Sheet1!BI371-BC371</f>
        <v>0</v>
      </c>
      <c r="AV371" s="712">
        <f t="shared" si="954"/>
        <v>0</v>
      </c>
      <c r="AW371" s="712">
        <f>IF(Sheet1!EL371="FM",BC371,0)</f>
        <v>0</v>
      </c>
      <c r="AX371" s="712">
        <f t="shared" si="955"/>
        <v>0</v>
      </c>
      <c r="AY371" s="712">
        <f>IF(Sheet1!EL371="OTHER",BC371,0)</f>
        <v>0</v>
      </c>
      <c r="AZ371" s="712">
        <f t="shared" si="956"/>
        <v>0</v>
      </c>
      <c r="BA371" s="712">
        <f t="shared" si="957"/>
        <v>0</v>
      </c>
      <c r="BB371" s="712">
        <f t="shared" si="958"/>
        <v>0</v>
      </c>
      <c r="BC371" s="712">
        <f>IF(OR(Sheet1!EL371="FM", Sheet1!EL371="OTHER"),SUM(Sheet1!BG371:'Sheet1'!BI371),0)</f>
        <v>0</v>
      </c>
      <c r="BD371" s="697">
        <f>IF(AND($B371&gt;=$FL371,$B371&lt;=$FM371),MAX(AV371,Sheet1!EE371,0),MAX(AV371-(7/36)*$K371,0))</f>
        <v>0</v>
      </c>
      <c r="BE371" s="712">
        <f t="shared" si="959"/>
        <v>0</v>
      </c>
      <c r="BF371" s="697">
        <f t="shared" si="960"/>
        <v>0</v>
      </c>
      <c r="BG371" s="697">
        <f>IF(AND($O371&gt;0,Sheet1!EI371=1),(1-($O371-Sheet1!$L371)/$O371)*BB371,0)</f>
        <v>0</v>
      </c>
      <c r="BH371" s="697">
        <f>IF(AND(Sheet1!$L371=0,Sheet1!$L370=0, Calculation!BA371&lt;Sheet1!$EE371-0.1,Sheet1!$EE371=Sheet1!$EE370,Sheet1!$EE371=Sheet1!$EE372),Sheet1!$EE371,BB371-BG371)</f>
        <v>0</v>
      </c>
      <c r="BI371" s="712"/>
      <c r="BJ371" s="712"/>
      <c r="BK371" s="712">
        <f t="shared" si="961"/>
        <v>0</v>
      </c>
      <c r="BL371" s="712"/>
      <c r="BM371" s="712">
        <f ca="1">IF(B371&gt;Summary!$A$1,#N/A,BK371*MGtoAF)</f>
        <v>0</v>
      </c>
      <c r="BN371" s="712">
        <f>Sheet1!BC371+Sheet1!BD371+Sheet1!BE371+Sheet1!BF371-BW371-BX371</f>
        <v>2.17</v>
      </c>
      <c r="BO371" s="712">
        <f t="shared" si="962"/>
        <v>2.1627364016736137</v>
      </c>
      <c r="BP371" s="712">
        <f>IF(Sheet1!EM371="FM",BX371,0)</f>
        <v>0</v>
      </c>
      <c r="BQ371" s="712">
        <f t="shared" si="963"/>
        <v>0</v>
      </c>
      <c r="BR371" s="712">
        <f>IF(Sheet1!EM371="OTHER",BX371,0)</f>
        <v>0</v>
      </c>
      <c r="BS371" s="712">
        <f t="shared" si="964"/>
        <v>0</v>
      </c>
      <c r="BT371" s="712">
        <f t="shared" si="965"/>
        <v>0</v>
      </c>
      <c r="BU371" s="712">
        <f t="shared" si="966"/>
        <v>2.17</v>
      </c>
      <c r="BV371" s="712">
        <f t="shared" si="967"/>
        <v>2.1627364016736137</v>
      </c>
      <c r="BW371" s="712">
        <f>IF(Sheet1!EM371="CWA",SUM(Sheet1!BC371:'Sheet1'!BF371),0)</f>
        <v>0</v>
      </c>
      <c r="BX371" s="712">
        <f>IF(OR(Sheet1!EM371="FM", Sheet1!EM371="OTHER"),SUM(Sheet1!BC371:'Sheet1'!BF371),0)</f>
        <v>0</v>
      </c>
      <c r="BY371" s="697">
        <f>IF(AND($B371&gt;=$FL371,$B371&lt;=$FM371),MAX(BV371,Sheet1!EF371,0),MAX(BV371-(7/36)*$K371,0))</f>
        <v>0</v>
      </c>
      <c r="BZ371" s="712">
        <f t="shared" si="968"/>
        <v>0</v>
      </c>
      <c r="CA371" s="697">
        <f t="shared" si="969"/>
        <v>2.1627364016736137</v>
      </c>
      <c r="CB371" s="697">
        <f>IF(AND($O371&gt;0,Sheet1!EJ371=1),(1-($O371-Sheet1!$L371)/$O371)*BV371,0)</f>
        <v>0</v>
      </c>
      <c r="CC371" s="697">
        <f>IF(AND(Sheet1!$L371=0,Sheet1!$L370=0, Calculation!BU371&lt;Sheet1!EF371-0.1,Sheet1!EF371=Sheet1!EF370,Sheet1!EF371=Sheet1!EF372),Sheet1!EF371,BV371-CB371)</f>
        <v>2.1627364016736137</v>
      </c>
      <c r="CD371" s="697"/>
      <c r="CE371" s="712"/>
      <c r="CF371" s="712">
        <f t="shared" si="970"/>
        <v>0</v>
      </c>
      <c r="CG371" s="712"/>
      <c r="CH371" s="712">
        <f ca="1">IF(B371&gt;Summary!$A$1,#N/A,CF371*MGtoAF)</f>
        <v>0</v>
      </c>
      <c r="CI371" s="712">
        <f>Sheet1!BK371+Sheet1!BL371+Sheet1!BM371-Sheet1!EN371-CQ371</f>
        <v>6.33</v>
      </c>
      <c r="CJ371" s="712">
        <f t="shared" si="971"/>
        <v>6.3088117154810952</v>
      </c>
      <c r="CK371" s="712">
        <f>IF(Sheet1!EN371="FM",CQ371,0)</f>
        <v>0</v>
      </c>
      <c r="CL371" s="712">
        <f t="shared" si="972"/>
        <v>0</v>
      </c>
      <c r="CM371" s="712">
        <f>IF(Sheet1!EN371="OTHER",CQ371,0)</f>
        <v>0</v>
      </c>
      <c r="CN371" s="712">
        <f t="shared" si="973"/>
        <v>0</v>
      </c>
      <c r="CO371" s="712">
        <f t="shared" si="974"/>
        <v>6.33</v>
      </c>
      <c r="CP371" s="712">
        <f t="shared" si="975"/>
        <v>6.3088117154810952</v>
      </c>
      <c r="CQ371" s="712">
        <f>IF(OR(Sheet1!EN371="FM", Sheet1!EN371="OTHER"),SUM(Sheet1!BK371:'Sheet1'!BM371),0)</f>
        <v>0</v>
      </c>
      <c r="CR371" s="697">
        <f>IF(AND($B371&gt;=$FL371,$B371&lt;=$FM371),MAX($CJ371,Sheet1!EG371,0),MAX($CJ371-(7/36)*$K371,0))</f>
        <v>3.797093891755456</v>
      </c>
      <c r="CS371" s="712">
        <f t="shared" si="976"/>
        <v>0</v>
      </c>
      <c r="CT371" s="697">
        <f t="shared" si="977"/>
        <v>2.5117178237256392</v>
      </c>
      <c r="CU371" s="697">
        <f>IF(AND($O371&gt;0,Sheet1!EK371=1),(1-($O371-Sheet1!$L371)/$O371)*CP371,0)</f>
        <v>0</v>
      </c>
      <c r="CV371" s="697">
        <f>IF(AND(Sheet1!$L371=0,Sheet1!$L370=0, Calculation!CO371&lt;Sheet1!$EG371-0.1,Sheet1!$EG371=Sheet1!$EG370,Sheet1!$EG371=Sheet1!$EG372),Sheet1!$EG371,CP371-CU371)</f>
        <v>6.5</v>
      </c>
      <c r="CW371" s="697"/>
      <c r="CX371" s="712">
        <f t="shared" si="978"/>
        <v>8.5</v>
      </c>
      <c r="CY371" s="712">
        <f t="shared" si="979"/>
        <v>0</v>
      </c>
      <c r="CZ371" s="712">
        <f t="shared" si="980"/>
        <v>8.4715481171547093</v>
      </c>
      <c r="DA371" s="712">
        <f ca="1">IF(B371&gt;Summary!$A$1,#N/A,CY371*MGtoAF)</f>
        <v>0</v>
      </c>
      <c r="DB371" s="712">
        <f t="shared" si="981"/>
        <v>8.5</v>
      </c>
      <c r="DC371" s="712">
        <f t="shared" si="982"/>
        <v>23.9</v>
      </c>
      <c r="DD371" s="712">
        <f>Sheet1!AB371-DC371</f>
        <v>-8.0000000000289617E-2</v>
      </c>
      <c r="DE371" s="712">
        <f t="shared" si="983"/>
        <v>-3.3472803347401516E-3</v>
      </c>
      <c r="DF371" s="712">
        <f>(VLOOKUP(Sheet1!CY371,hhdcap_wcm,4)-(((VLOOKUP(Sheet1!CY371,hhdcap_wcm,3)-Sheet1!CY371)/(VLOOKUP(Sheet1!CY371,hhdcap_wcm,3)-VLOOKUP(Sheet1!CY371,hhdcap_wcm,1)))*(VLOOKUP(Sheet1!CY371,hhdcap_wcm,4)-VLOOKUP(Sheet1!CY371,hhdcap_wcm,2))))</f>
        <v>1854.4000000026354</v>
      </c>
      <c r="DG371" s="712">
        <f t="shared" si="984"/>
        <v>28.060000000027912</v>
      </c>
      <c r="DH371" s="712">
        <f t="shared" si="985"/>
        <v>14.150277357553156</v>
      </c>
      <c r="DI371" s="712">
        <f>Sheet1!DW371*AFtoMG</f>
        <v>0</v>
      </c>
      <c r="DJ371" s="712">
        <f>Sheet1!DX371*AFtoMG</f>
        <v>0</v>
      </c>
      <c r="DK371" s="712">
        <f>Sheet1!DY371*AFtoMG</f>
        <v>0</v>
      </c>
      <c r="DL371" s="712">
        <f>Sheet1!DZ371*AFtoMG</f>
        <v>0</v>
      </c>
      <c r="DM371" s="712">
        <f t="shared" si="986"/>
        <v>0</v>
      </c>
      <c r="DN371" s="712">
        <f t="shared" si="987"/>
        <v>0</v>
      </c>
      <c r="DO371" s="712">
        <f t="shared" si="988"/>
        <v>0</v>
      </c>
      <c r="DP371" s="712">
        <f t="shared" si="989"/>
        <v>0</v>
      </c>
      <c r="DQ371" s="712"/>
      <c r="DR371" s="697">
        <f>IF(OR(B371&lt;FL371,B371&gt;FM371),(MIN(AV371+BO371+CJ371+MAX(Sheet1!AA371+AG371-73,0),K371)),0)</f>
        <v>8.4715481171547093</v>
      </c>
      <c r="DS371" s="712"/>
      <c r="DT371" s="712">
        <f t="shared" si="990"/>
        <v>8.4715481171547093</v>
      </c>
      <c r="DU371" s="712"/>
      <c r="DV371" s="712">
        <f>Sheet1!ED371+Sheet1!EE371+Sheet1!EF371+Sheet1!EG371</f>
        <v>8.5</v>
      </c>
      <c r="DW371" s="712"/>
      <c r="DX371" s="697">
        <f t="shared" si="991"/>
        <v>3.797093891755456</v>
      </c>
      <c r="DY371" s="712">
        <f>IF(Sheet1!FN371=1,SUM('Calculations II'!AT371:BA371)+'Calculations II'!BC371+Sheet1!BU371+'Calculations II'!BE371+AF371,SUM('Calculations II'!AT371:BA371)+'Calculations II'!BC371+Sheet1!BU371+'Calculations II'!BE371+AF371)</f>
        <v>39.645423999999998</v>
      </c>
      <c r="DZ371" s="712">
        <f>Sheet1!AA371+Sheet1!AB371+'Calculations II'!BC371</f>
        <v>52.060000000004948</v>
      </c>
      <c r="EA371" s="712"/>
      <c r="EB371" s="712"/>
      <c r="EC371" s="712">
        <f t="shared" si="992"/>
        <v>40900</v>
      </c>
      <c r="ED371" s="712">
        <f t="shared" si="993"/>
        <v>-3.797093891755456</v>
      </c>
      <c r="EE371" s="712">
        <f t="shared" si="994"/>
        <v>-5.87410425054569</v>
      </c>
      <c r="EF371" s="712">
        <f ca="1">IF(B371=TODAY(),0,-(VLOOKUP(Sheet1!BQ371,Lookup!$B$4:$J$236,2)-VLOOKUP(Sheet1!BQ370,Lookup!$B$4:$J$236,2))/1000000)</f>
        <v>0</v>
      </c>
      <c r="EG371" s="712">
        <f ca="1">IF(B371=TODAY(),0,-(VLOOKUP(Sheet1!BR371,Lookup!$B$4:$J$236,3)-VLOOKUP(Sheet1!BR370,Lookup!$B$4:$J$236,3))/1000000)</f>
        <v>0.27339999999999998</v>
      </c>
      <c r="EH371" s="712">
        <f>-(VLOOKUP(Sheet1!BS371,Lookup!$B$4:$J$236,4)-VLOOKUP(Sheet1!BS370,Lookup!$B$4:$J$236,4))/1000000</f>
        <v>0</v>
      </c>
      <c r="EI371" s="697">
        <f t="shared" ca="1" si="922"/>
        <v>0.27339999999999998</v>
      </c>
      <c r="EJ371" s="712"/>
      <c r="EK371" s="712"/>
      <c r="EL371" s="712"/>
      <c r="EM371" s="712"/>
      <c r="EN371" s="712"/>
      <c r="EO371" s="712"/>
      <c r="EP371" s="712"/>
      <c r="EQ371" s="712"/>
      <c r="ER371" s="712"/>
      <c r="ES371" s="712"/>
      <c r="ET371" s="794" t="e">
        <f t="shared" si="1015"/>
        <v>#N/A</v>
      </c>
      <c r="EU371" s="794" t="e">
        <f t="shared" si="924"/>
        <v>#N/A</v>
      </c>
      <c r="EV371" s="795" t="e">
        <f t="shared" si="925"/>
        <v>#N/A</v>
      </c>
      <c r="EW371" s="796" t="s">
        <v>757</v>
      </c>
      <c r="EX371" s="796" t="s">
        <v>757</v>
      </c>
      <c r="EY371" s="794" t="e">
        <v>#N/A</v>
      </c>
      <c r="EZ371" s="794" t="e">
        <v>#N/A</v>
      </c>
      <c r="FA371" s="712"/>
      <c r="FB371" s="712"/>
      <c r="FC371" s="712"/>
      <c r="FD371" s="712"/>
      <c r="FE371" s="712">
        <f>O371+Sheet1!CO371</f>
        <v>52.060000000004948</v>
      </c>
      <c r="FF371" s="712">
        <f>IF(Sheet1!AA371+AG371&lt;=Calculation!N371,AG371,Calculation!N371-Sheet1!AA371)</f>
        <v>15.348451882845001</v>
      </c>
      <c r="FG371" s="712">
        <f>(Sheet1!BP371+Sheet1!BO371)/694.4</f>
        <v>1.4861751152073732</v>
      </c>
      <c r="FH371" s="712"/>
      <c r="FI371" s="712"/>
      <c r="FJ371" s="712"/>
      <c r="FK371" s="712"/>
      <c r="FL371" s="714">
        <f t="shared" si="929"/>
        <v>40753</v>
      </c>
      <c r="FM371" s="714">
        <f t="shared" si="930"/>
        <v>40851</v>
      </c>
      <c r="FN371" s="712"/>
      <c r="FO371" s="712"/>
      <c r="FP371" s="712"/>
      <c r="FQ371" s="712"/>
      <c r="FR371" s="712"/>
      <c r="FS371" s="725">
        <f t="shared" si="1014"/>
        <v>40603</v>
      </c>
      <c r="FT371" s="714">
        <f t="shared" si="932"/>
        <v>40709</v>
      </c>
      <c r="FU371" s="712">
        <f t="shared" si="1014"/>
        <v>6518.9048239895692</v>
      </c>
      <c r="FV371" s="714">
        <f t="shared" si="933"/>
        <v>40722</v>
      </c>
      <c r="FW371" s="712">
        <f t="shared" si="1014"/>
        <v>3259.4524119947846</v>
      </c>
      <c r="FX371" s="725">
        <f t="shared" si="1014"/>
        <v>40851</v>
      </c>
      <c r="FZ371" s="697">
        <f t="shared" si="926"/>
        <v>0</v>
      </c>
      <c r="GA371" s="712" t="str">
        <f t="shared" si="995"/>
        <v/>
      </c>
      <c r="GB371" s="712">
        <f t="shared" si="996"/>
        <v>0</v>
      </c>
      <c r="GC371" s="712" t="str">
        <f t="shared" si="997"/>
        <v/>
      </c>
      <c r="GD371" s="712">
        <f>IF(GA371="P",Lookup!$M$12,IF(GA371="PP",Lookup!$M$13,IF(GA371="PPP",Lookup!$M$14,IF(GA371="T",Lookup!$M$15,IF(GA371="TP",Lookup!$M$16,IF(GA371="TPP",Lookup!$M$17,IF(GA371="TPPP",Lookup!$M$18,0)))))))*FZ371</f>
        <v>0</v>
      </c>
      <c r="GE371" s="712">
        <f t="shared" si="998"/>
        <v>0</v>
      </c>
      <c r="GF371" s="712">
        <f t="shared" si="999"/>
        <v>0</v>
      </c>
      <c r="GG371" s="712">
        <f t="shared" si="1000"/>
        <v>0</v>
      </c>
      <c r="GH371" s="712"/>
      <c r="GI371" s="712">
        <f t="shared" si="1001"/>
        <v>0</v>
      </c>
      <c r="GJ371" s="712" t="str">
        <f t="shared" si="1002"/>
        <v/>
      </c>
      <c r="GK371" s="712">
        <f>IF(GA371="P",Lookup!$N$12,IF(GA371="PP",Lookup!$N$13,IF(GA371="PPP",Lookup!$N$14,IF(GA371="T",Lookup!$N$15,IF(GA371="TP",Lookup!$N$16,IF(GA371="TPP",Lookup!$N$17,IF(GA371="TPPP",Lookup!$N$18,0)))))))*FZ371</f>
        <v>0</v>
      </c>
      <c r="GL371" s="712">
        <f t="shared" si="1003"/>
        <v>0</v>
      </c>
      <c r="GM371" s="712">
        <f t="shared" si="1004"/>
        <v>0</v>
      </c>
      <c r="GN371" s="712">
        <f t="shared" si="1005"/>
        <v>0</v>
      </c>
      <c r="GO371" s="712"/>
      <c r="GP371" s="712">
        <f t="shared" si="1006"/>
        <v>0</v>
      </c>
      <c r="GQ371" s="712" t="str">
        <f t="shared" si="1007"/>
        <v/>
      </c>
      <c r="GR371" s="712">
        <f>IF(GA371="P",Lookup!$N$12,IF(GA371="PP",Lookup!$N$13,IF(GA371="PPP",Lookup!$N$14,IF(GA371="T",Lookup!$N$15,IF(GA371="TP",Lookup!$N$16,IF(GA371="TPP",Lookup!$N$17,IF(GA371="TPPP",Lookup!$N$18,0)))))))*FZ371</f>
        <v>0</v>
      </c>
      <c r="GS371" s="697">
        <f t="shared" si="927"/>
        <v>0</v>
      </c>
      <c r="GT371" s="712">
        <f t="shared" si="1008"/>
        <v>0</v>
      </c>
      <c r="GU371" s="712">
        <f t="shared" si="1009"/>
        <v>0</v>
      </c>
      <c r="GV371" s="712"/>
      <c r="GW371" s="712">
        <f t="shared" si="1010"/>
        <v>0</v>
      </c>
      <c r="GX371" s="712" t="str">
        <f t="shared" si="1011"/>
        <v/>
      </c>
      <c r="GY371" s="712">
        <f>IF(GA371="P",Lookup!$N$12,IF(GA371="PP",Lookup!$N$13,IF(GA371="PPP",Lookup!$N$14,IF(GA371="T",Lookup!$N$15,IF(GA371="TP",Lookup!$N$16,IF(GA371="TPP",Lookup!$N$17,IF(GA371="TPPP",Lookup!$N$18,0)))))))*FZ371</f>
        <v>0</v>
      </c>
      <c r="GZ371" s="697">
        <f t="shared" si="928"/>
        <v>0</v>
      </c>
      <c r="HA371" s="712">
        <f t="shared" si="1012"/>
        <v>0</v>
      </c>
      <c r="HB371" s="712">
        <f t="shared" si="1013"/>
        <v>0</v>
      </c>
      <c r="HC371" s="712"/>
    </row>
    <row r="372" spans="1:211">
      <c r="A372" s="773" t="s">
        <v>9</v>
      </c>
      <c r="B372" s="708">
        <v>40901</v>
      </c>
      <c r="C372" s="709">
        <v>0.5</v>
      </c>
      <c r="D372" s="675">
        <f t="shared" si="936"/>
        <v>300</v>
      </c>
      <c r="E372" s="675">
        <f t="shared" si="937"/>
        <v>250</v>
      </c>
      <c r="F372" s="675">
        <v>250</v>
      </c>
      <c r="G372" s="712">
        <f>DH372+Sheet1!CV372</f>
        <v>432.84215834599843</v>
      </c>
      <c r="H372" s="712">
        <f t="shared" si="938"/>
        <v>12.825971154853383</v>
      </c>
      <c r="I372" s="711">
        <f>MAX(Sheet1!Z372-AJ372+(Sheet1!CW372-E372)*CFStoMGD,0)</f>
        <v>227.82348980047436</v>
      </c>
      <c r="J372" s="720">
        <f>IF(AND(B372&gt;=Calculation!FS372,B372&lt;=Calculation!FT372),IF(Sheet1!CX372&gt;=Calculation!D372,64.64,0),MAX(Sheet1!Z372-AJ372+(Sheet1!CX372-D372)*CFStoMGD,0))</f>
        <v>57.234489800474407</v>
      </c>
      <c r="K372" s="697">
        <f t="shared" si="939"/>
        <v>12.825971154853383</v>
      </c>
      <c r="L372" s="712">
        <f>Sheet1!AA372+Sheet1!AB372-Sheet1!L372+(Sheet1!CW372-F372)*CFStoMGD</f>
        <v>272.70753333332516</v>
      </c>
      <c r="M372" s="712">
        <f t="shared" si="940"/>
        <v>285.38495457795045</v>
      </c>
      <c r="N372" s="712">
        <f>IF(Sheet1!CW372&gt;=F372,MIN(73,MIN(MAX(L372,0),MAX(M372,0))),0)</f>
        <v>73</v>
      </c>
      <c r="O372" s="721">
        <f>Sheet1!AA372+Sheet1!AB372</f>
        <v>53.449999999991846</v>
      </c>
      <c r="P372" s="721">
        <f t="shared" si="941"/>
        <v>82.687149999987383</v>
      </c>
      <c r="Q372" s="712">
        <f>MIN(N372,Sheet1!AA372+AG372)</f>
        <v>44.824043532850787</v>
      </c>
      <c r="R372" s="712">
        <f t="shared" si="942"/>
        <v>8.6259564671410622</v>
      </c>
      <c r="S372" s="721">
        <f>Sheet1!Y372*MGDtoCFS</f>
        <v>44.182319999999997</v>
      </c>
      <c r="T372" s="721">
        <f>Sheet1!Z372*MGDtoCFS</f>
        <v>37.019709999999996</v>
      </c>
      <c r="U372" s="721">
        <f>Sheet1!AA372*MGDtoCFS</f>
        <v>45.574619999987391</v>
      </c>
      <c r="V372" s="721">
        <f>Sheet1!AB372*MGDtoCFS</f>
        <v>37.112529999999992</v>
      </c>
      <c r="W372" s="721">
        <f>Sheet1!L372*MGDtoCFS</f>
        <v>0</v>
      </c>
      <c r="X372" s="697">
        <f t="shared" si="943"/>
        <v>4.0834784937606026</v>
      </c>
      <c r="Y372" s="712">
        <f t="shared" si="944"/>
        <v>6.3171412298476515</v>
      </c>
      <c r="Z372" s="712">
        <f t="shared" si="945"/>
        <v>0</v>
      </c>
      <c r="AA372" s="712">
        <f t="shared" si="946"/>
        <v>0</v>
      </c>
      <c r="AB372" s="712">
        <f>(VLOOKUP(Sheet1!CY372,hhdcap_wcm,4)-(((VLOOKUP(Sheet1!CY372,hhdcap_wcm,3)-Sheet1!CY372)/(VLOOKUP(Sheet1!CY372,hhdcap_wcm,3)-VLOOKUP(Sheet1!CY372,hhdcap_wcm,1)))*(VLOOKUP(Sheet1!CY372,hhdcap_wcm,4)-VLOOKUP(Sheet1!CY372,hhdcap_wcm,2))))</f>
        <v>1902.3400000027502</v>
      </c>
      <c r="AC372" s="712">
        <f t="shared" si="947"/>
        <v>47.940000000114878</v>
      </c>
      <c r="AD372" s="712">
        <f t="shared" si="948"/>
        <v>0</v>
      </c>
      <c r="AE372" s="712">
        <f t="shared" si="949"/>
        <v>0</v>
      </c>
      <c r="AF372" s="712">
        <f>Sheet1!BA372+Sheet1!BB372+Sheet1!BN372+BT372</f>
        <v>15.3</v>
      </c>
      <c r="AG372" s="712">
        <f t="shared" si="950"/>
        <v>15.364043532858936</v>
      </c>
      <c r="AH372" s="712">
        <f>Sheet1!BA372+BT372</f>
        <v>0</v>
      </c>
      <c r="AI372" s="712">
        <f>Sheet1!BA372+Sheet1!BB372+BT372</f>
        <v>0</v>
      </c>
      <c r="AJ372" s="712">
        <f>IF((Sheet1!AA372+AG372+AX372+AZ372+BQ372+BS372+CL372+CN372)&lt;=N372,AG372+AX372+AZ372+BQ372+BS372+CL372+CN372,N372-Sheet1!AA372)</f>
        <v>15.364043532858936</v>
      </c>
      <c r="AK372" s="712">
        <f>IF(DR372&lt;K372,0,MAX(Sheet1!AA372+AG372-15/36*K372-N372,Sheet1!ED372,0))</f>
        <v>0</v>
      </c>
      <c r="AL372" s="712">
        <f>IF(OR(B372&gt;=FT372,B372&lt;FS372),0,15/36*K372-MAX(0,64.6-(137.6-(Sheet1!AA372+Sheet1!AB372))))</f>
        <v>0</v>
      </c>
      <c r="AM372" s="712">
        <f>Sheet1!CX372-110</f>
        <v>265.29166666666669</v>
      </c>
      <c r="AN372" s="712">
        <f>Sheet1!CW372-265</f>
        <v>324.19791666666663</v>
      </c>
      <c r="AO372" s="712">
        <f t="shared" si="934"/>
        <v>28.175956467149213</v>
      </c>
      <c r="AP372" s="712">
        <f t="shared" si="951"/>
        <v>0</v>
      </c>
      <c r="AQ372" s="712">
        <f t="shared" si="952"/>
        <v>0</v>
      </c>
      <c r="AR372" s="712">
        <f t="shared" si="953"/>
        <v>0</v>
      </c>
      <c r="AS372" s="712"/>
      <c r="AT372" s="712">
        <f ca="1">IF(B372&gt;Summary!$A$1,#N/A,AR372*MGtoAF)</f>
        <v>0</v>
      </c>
      <c r="AU372" s="712">
        <f>Sheet1!BG372+Sheet1!BH372+Sheet1!BI372-BC372</f>
        <v>0</v>
      </c>
      <c r="AV372" s="712">
        <f t="shared" si="954"/>
        <v>0</v>
      </c>
      <c r="AW372" s="712">
        <f>IF(Sheet1!EL372="FM",BC372,0)</f>
        <v>0</v>
      </c>
      <c r="AX372" s="712">
        <f t="shared" si="955"/>
        <v>0</v>
      </c>
      <c r="AY372" s="712">
        <f>IF(Sheet1!EL372="OTHER",BC372,0)</f>
        <v>0</v>
      </c>
      <c r="AZ372" s="712">
        <f t="shared" si="956"/>
        <v>0</v>
      </c>
      <c r="BA372" s="712">
        <f t="shared" si="957"/>
        <v>0</v>
      </c>
      <c r="BB372" s="712">
        <f t="shared" si="958"/>
        <v>0</v>
      </c>
      <c r="BC372" s="712">
        <f>IF(OR(Sheet1!EL372="FM", Sheet1!EL372="OTHER"),SUM(Sheet1!BG372:'Sheet1'!BI372),0)</f>
        <v>0</v>
      </c>
      <c r="BD372" s="697">
        <f>IF(AND($B372&gt;=$FL372,$B372&lt;=$FM372),MAX(AV372,Sheet1!EE372,0),MAX(AV372-(7/36)*$K372,0))</f>
        <v>0</v>
      </c>
      <c r="BE372" s="712">
        <f t="shared" si="959"/>
        <v>0</v>
      </c>
      <c r="BF372" s="697">
        <f t="shared" si="960"/>
        <v>0</v>
      </c>
      <c r="BG372" s="697">
        <f>IF(AND($O372&gt;0,Sheet1!EI372=1),(1-($O372-Sheet1!$L372)/$O372)*BB372,0)</f>
        <v>0</v>
      </c>
      <c r="BH372" s="697">
        <f>IF(AND(Sheet1!$L372=0,Sheet1!$L371=0, Calculation!BA372&lt;Sheet1!$EE372-0.1,Sheet1!$EE372=Sheet1!$EE371,Sheet1!$EE372=Sheet1!$EE373),Sheet1!$EE372,BB372-BG372)</f>
        <v>0</v>
      </c>
      <c r="BI372" s="712"/>
      <c r="BJ372" s="712"/>
      <c r="BK372" s="712">
        <f t="shared" si="961"/>
        <v>0</v>
      </c>
      <c r="BL372" s="712"/>
      <c r="BM372" s="712">
        <f ca="1">IF(B372&gt;Summary!$A$1,#N/A,BK372*MGtoAF)</f>
        <v>0</v>
      </c>
      <c r="BN372" s="712">
        <f>Sheet1!BC372+Sheet1!BD372+Sheet1!BE372+Sheet1!BF372-BW372-BX372</f>
        <v>2.04</v>
      </c>
      <c r="BO372" s="712">
        <f t="shared" si="962"/>
        <v>2.0485391377145246</v>
      </c>
      <c r="BP372" s="712">
        <f>IF(Sheet1!EM372="FM",BX372,0)</f>
        <v>0</v>
      </c>
      <c r="BQ372" s="712">
        <f t="shared" si="963"/>
        <v>0</v>
      </c>
      <c r="BR372" s="712">
        <f>IF(Sheet1!EM372="OTHER",BX372,0)</f>
        <v>0</v>
      </c>
      <c r="BS372" s="712">
        <f t="shared" si="964"/>
        <v>0</v>
      </c>
      <c r="BT372" s="712">
        <f t="shared" si="965"/>
        <v>0</v>
      </c>
      <c r="BU372" s="712">
        <f t="shared" si="966"/>
        <v>2.04</v>
      </c>
      <c r="BV372" s="712">
        <f t="shared" si="967"/>
        <v>2.0485391377145246</v>
      </c>
      <c r="BW372" s="712">
        <f>IF(Sheet1!EM372="CWA",SUM(Sheet1!BC372:'Sheet1'!BF372),0)</f>
        <v>0</v>
      </c>
      <c r="BX372" s="712">
        <f>IF(OR(Sheet1!EM372="FM", Sheet1!EM372="OTHER"),SUM(Sheet1!BC372:'Sheet1'!BF372),0)</f>
        <v>0</v>
      </c>
      <c r="BY372" s="697">
        <f>IF(AND($B372&gt;=$FL372,$B372&lt;=$FM372),MAX(BV372,Sheet1!EF372,0),MAX(BV372-(7/36)*$K372,0))</f>
        <v>0</v>
      </c>
      <c r="BZ372" s="712">
        <f t="shared" si="968"/>
        <v>0</v>
      </c>
      <c r="CA372" s="697">
        <f t="shared" si="969"/>
        <v>2.0485391377145246</v>
      </c>
      <c r="CB372" s="697">
        <f>IF(AND($O372&gt;0,Sheet1!EJ372=1),(1-($O372-Sheet1!$L372)/$O372)*BV372,0)</f>
        <v>0</v>
      </c>
      <c r="CC372" s="697">
        <f>IF(AND(Sheet1!$L372=0,Sheet1!$L371=0, Calculation!BU372&lt;Sheet1!EF372-0.1,Sheet1!EF372=Sheet1!EF371,Sheet1!EF372=Sheet1!EF373),Sheet1!EF372,BV372-CB372)</f>
        <v>2.0485391377145246</v>
      </c>
      <c r="CD372" s="697"/>
      <c r="CE372" s="712"/>
      <c r="CF372" s="712">
        <f t="shared" si="970"/>
        <v>0</v>
      </c>
      <c r="CG372" s="712"/>
      <c r="CH372" s="712">
        <f ca="1">IF(B372&gt;Summary!$A$1,#N/A,CF372*MGtoAF)</f>
        <v>0</v>
      </c>
      <c r="CI372" s="712">
        <f>Sheet1!BK372+Sheet1!BL372+Sheet1!BM372-Sheet1!EN372-CQ372</f>
        <v>6.5500000000000007</v>
      </c>
      <c r="CJ372" s="712">
        <f t="shared" si="971"/>
        <v>6.5774173294265381</v>
      </c>
      <c r="CK372" s="712">
        <f>IF(Sheet1!EN372="FM",CQ372,0)</f>
        <v>0</v>
      </c>
      <c r="CL372" s="712">
        <f t="shared" si="972"/>
        <v>0</v>
      </c>
      <c r="CM372" s="712">
        <f>IF(Sheet1!EN372="OTHER",CQ372,0)</f>
        <v>0</v>
      </c>
      <c r="CN372" s="712">
        <f t="shared" si="973"/>
        <v>0</v>
      </c>
      <c r="CO372" s="712">
        <f t="shared" si="974"/>
        <v>6.5500000000000007</v>
      </c>
      <c r="CP372" s="712">
        <f t="shared" si="975"/>
        <v>6.5774173294265381</v>
      </c>
      <c r="CQ372" s="712">
        <f>IF(OR(Sheet1!EN372="FM", Sheet1!EN372="OTHER"),SUM(Sheet1!BK372:'Sheet1'!BM372),0)</f>
        <v>0</v>
      </c>
      <c r="CR372" s="697">
        <f>IF(AND($B372&gt;=$FL372,$B372&lt;=$FM372),MAX($CJ372,Sheet1!EG372,0),MAX($CJ372-(7/36)*$K372,0))</f>
        <v>4.0834784937606026</v>
      </c>
      <c r="CS372" s="712">
        <f t="shared" si="976"/>
        <v>0</v>
      </c>
      <c r="CT372" s="697">
        <f t="shared" si="977"/>
        <v>2.4939388356659355</v>
      </c>
      <c r="CU372" s="697">
        <f>IF(AND($O372&gt;0,Sheet1!EK372=1),(1-($O372-Sheet1!$L372)/$O372)*CP372,0)</f>
        <v>0</v>
      </c>
      <c r="CV372" s="697">
        <f>IF(AND(Sheet1!$L372=0,Sheet1!$L371=0, Calculation!CO372&lt;Sheet1!$EG372-0.1,Sheet1!$EG372=Sheet1!$EG371,Sheet1!$EG372=Sheet1!$EG373),Sheet1!$EG372,CP372-CU372)</f>
        <v>6.5774173294265381</v>
      </c>
      <c r="CW372" s="697"/>
      <c r="CX372" s="712">
        <f t="shared" si="978"/>
        <v>8.59</v>
      </c>
      <c r="CY372" s="712">
        <f t="shared" si="979"/>
        <v>0</v>
      </c>
      <c r="CZ372" s="712">
        <f t="shared" si="980"/>
        <v>8.6259564671410622</v>
      </c>
      <c r="DA372" s="712">
        <f ca="1">IF(B372&gt;Summary!$A$1,#N/A,CY372*MGtoAF)</f>
        <v>0</v>
      </c>
      <c r="DB372" s="712">
        <f t="shared" si="981"/>
        <v>8.59</v>
      </c>
      <c r="DC372" s="712">
        <f t="shared" si="982"/>
        <v>23.89</v>
      </c>
      <c r="DD372" s="712">
        <f>Sheet1!AB372-DC372</f>
        <v>9.9999999999997868E-2</v>
      </c>
      <c r="DE372" s="712">
        <f t="shared" si="983"/>
        <v>4.1858518208454524E-3</v>
      </c>
      <c r="DF372" s="712">
        <f>(VLOOKUP(Sheet1!CY372,hhdcap_wcm,4)-(((VLOOKUP(Sheet1!CY372,hhdcap_wcm,3)-Sheet1!CY372)/(VLOOKUP(Sheet1!CY372,hhdcap_wcm,3)-VLOOKUP(Sheet1!CY372,hhdcap_wcm,1)))*(VLOOKUP(Sheet1!CY372,hhdcap_wcm,4)-VLOOKUP(Sheet1!CY372,hhdcap_wcm,2))))</f>
        <v>1902.3400000027502</v>
      </c>
      <c r="DG372" s="712">
        <f t="shared" si="984"/>
        <v>47.940000000114878</v>
      </c>
      <c r="DH372" s="712">
        <f t="shared" si="985"/>
        <v>24.175491679331756</v>
      </c>
      <c r="DI372" s="712">
        <f>Sheet1!DW372*AFtoMG</f>
        <v>0</v>
      </c>
      <c r="DJ372" s="712">
        <f>Sheet1!DX372*AFtoMG</f>
        <v>0</v>
      </c>
      <c r="DK372" s="712">
        <f>Sheet1!DY372*AFtoMG</f>
        <v>0</v>
      </c>
      <c r="DL372" s="712">
        <f>Sheet1!DZ372*AFtoMG</f>
        <v>0</v>
      </c>
      <c r="DM372" s="712">
        <f t="shared" si="986"/>
        <v>0</v>
      </c>
      <c r="DN372" s="712">
        <f t="shared" si="987"/>
        <v>0</v>
      </c>
      <c r="DO372" s="712">
        <f t="shared" si="988"/>
        <v>0</v>
      </c>
      <c r="DP372" s="712">
        <f t="shared" si="989"/>
        <v>0</v>
      </c>
      <c r="DQ372" s="712"/>
      <c r="DR372" s="697">
        <f>IF(OR(B372&lt;FL372,B372&gt;FM372),(MIN(AV372+BO372+CJ372+MAX(Sheet1!AA372+AG372-73,0),K372)),0)</f>
        <v>8.6259564671410622</v>
      </c>
      <c r="DS372" s="712"/>
      <c r="DT372" s="712">
        <f t="shared" si="990"/>
        <v>8.6259564671410622</v>
      </c>
      <c r="DU372" s="712"/>
      <c r="DV372" s="712">
        <f>Sheet1!ED372+Sheet1!EE372+Sheet1!EF372+Sheet1!EG372</f>
        <v>8.5</v>
      </c>
      <c r="DW372" s="712"/>
      <c r="DX372" s="697">
        <f t="shared" si="991"/>
        <v>4.0834784937606026</v>
      </c>
      <c r="DY372" s="712">
        <f>IF(Sheet1!FN372=1,SUM('Calculations II'!AT372:BA372)+'Calculations II'!BC372+Sheet1!BU372+'Calculations II'!BE372+AF372,SUM('Calculations II'!AT372:BA372)+'Calculations II'!BC372+Sheet1!BU372+'Calculations II'!BE372+AF372)</f>
        <v>39.566624000000004</v>
      </c>
      <c r="DZ372" s="712">
        <f>Sheet1!AA372+Sheet1!AB372+'Calculations II'!BC372</f>
        <v>53.449999999991846</v>
      </c>
      <c r="EA372" s="712"/>
      <c r="EB372" s="712"/>
      <c r="EC372" s="712">
        <f t="shared" si="992"/>
        <v>40901</v>
      </c>
      <c r="ED372" s="712">
        <f t="shared" si="993"/>
        <v>-4.0834784937606026</v>
      </c>
      <c r="EE372" s="712">
        <f t="shared" si="994"/>
        <v>-6.3171412298476515</v>
      </c>
      <c r="EF372" s="712">
        <f ca="1">IF(B372=TODAY(),0,-(VLOOKUP(Sheet1!BQ372,Lookup!$B$4:$J$236,2)-VLOOKUP(Sheet1!BQ371,Lookup!$B$4:$J$236,2))/1000000)</f>
        <v>0.54759999999999998</v>
      </c>
      <c r="EG372" s="712">
        <f ca="1">IF(B372=TODAY(),0,-(VLOOKUP(Sheet1!BR372,Lookup!$B$4:$J$236,3)-VLOOKUP(Sheet1!BR371,Lookup!$B$4:$J$236,3))/1000000)</f>
        <v>0.27339999999999998</v>
      </c>
      <c r="EH372" s="712">
        <f>-(VLOOKUP(Sheet1!BS372,Lookup!$B$4:$J$236,4)-VLOOKUP(Sheet1!BS371,Lookup!$B$4:$J$236,4))/1000000</f>
        <v>0</v>
      </c>
      <c r="EI372" s="697">
        <f t="shared" ca="1" si="922"/>
        <v>0.82099999999999995</v>
      </c>
      <c r="EJ372" s="712"/>
      <c r="EK372" s="712"/>
      <c r="EL372" s="712"/>
      <c r="EM372" s="712"/>
      <c r="EN372" s="712"/>
      <c r="EO372" s="712"/>
      <c r="EP372" s="712"/>
      <c r="EQ372" s="712"/>
      <c r="ER372" s="712"/>
      <c r="ES372" s="712"/>
      <c r="ET372" s="794" t="e">
        <f t="shared" si="1015"/>
        <v>#N/A</v>
      </c>
      <c r="EU372" s="794" t="e">
        <f t="shared" si="924"/>
        <v>#N/A</v>
      </c>
      <c r="EV372" s="795" t="e">
        <f t="shared" si="925"/>
        <v>#N/A</v>
      </c>
      <c r="EW372" s="796" t="s">
        <v>757</v>
      </c>
      <c r="EX372" s="796" t="s">
        <v>757</v>
      </c>
      <c r="EY372" s="794" t="e">
        <v>#N/A</v>
      </c>
      <c r="EZ372" s="794" t="e">
        <v>#N/A</v>
      </c>
      <c r="FA372" s="712"/>
      <c r="FB372" s="712"/>
      <c r="FC372" s="712"/>
      <c r="FD372" s="712"/>
      <c r="FE372" s="712">
        <f>O372+Sheet1!CO372</f>
        <v>53.449999999991846</v>
      </c>
      <c r="FF372" s="712">
        <f>IF(Sheet1!AA372+AG372&lt;=Calculation!N372,AG372,Calculation!N372-Sheet1!AA372)</f>
        <v>15.364043532858936</v>
      </c>
      <c r="FG372" s="712">
        <f>(Sheet1!BP372+Sheet1!BO372)/694.4</f>
        <v>2.5417626728110601</v>
      </c>
      <c r="FH372" s="712"/>
      <c r="FI372" s="712"/>
      <c r="FJ372" s="712"/>
      <c r="FK372" s="712"/>
      <c r="FL372" s="714">
        <f t="shared" si="929"/>
        <v>40753</v>
      </c>
      <c r="FM372" s="714">
        <f t="shared" si="930"/>
        <v>40851</v>
      </c>
      <c r="FN372" s="712"/>
      <c r="FO372" s="712"/>
      <c r="FP372" s="712"/>
      <c r="FQ372" s="712"/>
      <c r="FR372" s="712"/>
      <c r="FS372" s="725">
        <f t="shared" si="1014"/>
        <v>40603</v>
      </c>
      <c r="FT372" s="714">
        <f t="shared" si="932"/>
        <v>40709</v>
      </c>
      <c r="FU372" s="712">
        <f t="shared" si="1014"/>
        <v>6518.9048239895692</v>
      </c>
      <c r="FV372" s="714">
        <f t="shared" si="933"/>
        <v>40722</v>
      </c>
      <c r="FW372" s="712">
        <f t="shared" si="1014"/>
        <v>3259.4524119947846</v>
      </c>
      <c r="FX372" s="725">
        <f t="shared" si="1014"/>
        <v>40851</v>
      </c>
      <c r="FZ372" s="697">
        <f t="shared" si="926"/>
        <v>0</v>
      </c>
      <c r="GA372" s="712" t="str">
        <f t="shared" si="995"/>
        <v/>
      </c>
      <c r="GB372" s="712">
        <f t="shared" si="996"/>
        <v>0</v>
      </c>
      <c r="GC372" s="712" t="str">
        <f t="shared" si="997"/>
        <v/>
      </c>
      <c r="GD372" s="712">
        <f>IF(GA372="P",Lookup!$M$12,IF(GA372="PP",Lookup!$M$13,IF(GA372="PPP",Lookup!$M$14,IF(GA372="T",Lookup!$M$15,IF(GA372="TP",Lookup!$M$16,IF(GA372="TPP",Lookup!$M$17,IF(GA372="TPPP",Lookup!$M$18,0)))))))*FZ372</f>
        <v>0</v>
      </c>
      <c r="GE372" s="712">
        <f t="shared" si="998"/>
        <v>0</v>
      </c>
      <c r="GF372" s="712">
        <f t="shared" si="999"/>
        <v>0</v>
      </c>
      <c r="GG372" s="712">
        <f t="shared" si="1000"/>
        <v>0</v>
      </c>
      <c r="GH372" s="712"/>
      <c r="GI372" s="712">
        <f t="shared" si="1001"/>
        <v>0</v>
      </c>
      <c r="GJ372" s="712" t="str">
        <f t="shared" si="1002"/>
        <v/>
      </c>
      <c r="GK372" s="712">
        <f>IF(GA372="P",Lookup!$N$12,IF(GA372="PP",Lookup!$N$13,IF(GA372="PPP",Lookup!$N$14,IF(GA372="T",Lookup!$N$15,IF(GA372="TP",Lookup!$N$16,IF(GA372="TPP",Lookup!$N$17,IF(GA372="TPPP",Lookup!$N$18,0)))))))*FZ372</f>
        <v>0</v>
      </c>
      <c r="GL372" s="712">
        <f t="shared" si="1003"/>
        <v>0</v>
      </c>
      <c r="GM372" s="712">
        <f t="shared" si="1004"/>
        <v>0</v>
      </c>
      <c r="GN372" s="712">
        <f t="shared" si="1005"/>
        <v>0</v>
      </c>
      <c r="GO372" s="712"/>
      <c r="GP372" s="712">
        <f t="shared" si="1006"/>
        <v>0</v>
      </c>
      <c r="GQ372" s="712" t="str">
        <f t="shared" si="1007"/>
        <v/>
      </c>
      <c r="GR372" s="712">
        <f>IF(GA372="P",Lookup!$N$12,IF(GA372="PP",Lookup!$N$13,IF(GA372="PPP",Lookup!$N$14,IF(GA372="T",Lookup!$N$15,IF(GA372="TP",Lookup!$N$16,IF(GA372="TPP",Lookup!$N$17,IF(GA372="TPPP",Lookup!$N$18,0)))))))*FZ372</f>
        <v>0</v>
      </c>
      <c r="GS372" s="697">
        <f t="shared" si="927"/>
        <v>0</v>
      </c>
      <c r="GT372" s="712">
        <f t="shared" si="1008"/>
        <v>0</v>
      </c>
      <c r="GU372" s="712">
        <f t="shared" si="1009"/>
        <v>0</v>
      </c>
      <c r="GV372" s="712"/>
      <c r="GW372" s="712">
        <f t="shared" si="1010"/>
        <v>0</v>
      </c>
      <c r="GX372" s="712" t="str">
        <f t="shared" si="1011"/>
        <v/>
      </c>
      <c r="GY372" s="712">
        <f>IF(GA372="P",Lookup!$N$12,IF(GA372="PP",Lookup!$N$13,IF(GA372="PPP",Lookup!$N$14,IF(GA372="T",Lookup!$N$15,IF(GA372="TP",Lookup!$N$16,IF(GA372="TPP",Lookup!$N$17,IF(GA372="TPPP",Lookup!$N$18,0)))))))*FZ372</f>
        <v>0</v>
      </c>
      <c r="GZ372" s="697">
        <f t="shared" si="928"/>
        <v>0</v>
      </c>
      <c r="HA372" s="712">
        <f t="shared" si="1012"/>
        <v>0</v>
      </c>
      <c r="HB372" s="712">
        <f t="shared" si="1013"/>
        <v>0</v>
      </c>
      <c r="HC372" s="712"/>
    </row>
    <row r="373" spans="1:211">
      <c r="A373" s="773" t="s">
        <v>3</v>
      </c>
      <c r="B373" s="708">
        <v>40902</v>
      </c>
      <c r="C373" s="719">
        <v>0.5</v>
      </c>
      <c r="D373" s="675">
        <f t="shared" si="936"/>
        <v>300</v>
      </c>
      <c r="E373" s="675">
        <f t="shared" si="937"/>
        <v>250</v>
      </c>
      <c r="F373" s="675">
        <v>250</v>
      </c>
      <c r="G373" s="712">
        <f>DH373+Sheet1!CV373</f>
        <v>473.81877206263522</v>
      </c>
      <c r="H373" s="712">
        <f t="shared" si="938"/>
        <v>39.313254261287405</v>
      </c>
      <c r="I373" s="711">
        <f>MAX(Sheet1!Z373-AJ373+(Sheet1!CW373-E373)*CFStoMGD,0)</f>
        <v>228.71839646798941</v>
      </c>
      <c r="J373" s="720">
        <f>IF(AND(B373&gt;=Calculation!FS373,B373&lt;=Calculation!FT373),IF(Sheet1!CX373&gt;=Calculation!D373,64.64,0),MAX(Sheet1!Z373-AJ373+(Sheet1!CX373-D373)*CFStoMGD,0))</f>
        <v>63.87966313465607</v>
      </c>
      <c r="K373" s="697">
        <f t="shared" si="939"/>
        <v>39.313254261287405</v>
      </c>
      <c r="L373" s="712">
        <f>Sheet1!AA373+Sheet1!AB373-Sheet1!L373+(Sheet1!CW373-F373)*CFStoMGD</f>
        <v>272.32786666667835</v>
      </c>
      <c r="M373" s="712">
        <f t="shared" si="940"/>
        <v>312.40198334651319</v>
      </c>
      <c r="N373" s="712">
        <f>IF(Sheet1!CW373&gt;=F373,MIN(73,MIN(MAX(L373,0),MAX(M373,0))),0)</f>
        <v>73</v>
      </c>
      <c r="O373" s="721">
        <f>Sheet1!AA373+Sheet1!AB373</f>
        <v>52.700000000011642</v>
      </c>
      <c r="P373" s="721">
        <f t="shared" si="941"/>
        <v>81.526900000018003</v>
      </c>
      <c r="Q373" s="712">
        <f>MIN(N373,Sheet1!AA373+AG373)</f>
        <v>43.479470198686009</v>
      </c>
      <c r="R373" s="712">
        <f t="shared" si="942"/>
        <v>9.2205298013256307</v>
      </c>
      <c r="S373" s="721">
        <f>Sheet1!Y373*MGDtoCFS</f>
        <v>44.677359999999993</v>
      </c>
      <c r="T373" s="721">
        <f>Sheet1!Z373*MGDtoCFS</f>
        <v>36.617490000000004</v>
      </c>
      <c r="U373" s="721">
        <f>Sheet1!AA373*MGDtoCFS</f>
        <v>44.708300000013502</v>
      </c>
      <c r="V373" s="721">
        <f>Sheet1!AB373*MGDtoCFS</f>
        <v>36.818600000004501</v>
      </c>
      <c r="W373" s="721">
        <f>Sheet1!L373*MGDtoCFS</f>
        <v>0</v>
      </c>
      <c r="X373" s="697">
        <f t="shared" si="943"/>
        <v>0</v>
      </c>
      <c r="Y373" s="712">
        <f t="shared" si="944"/>
        <v>0</v>
      </c>
      <c r="Z373" s="712">
        <f t="shared" si="945"/>
        <v>0</v>
      </c>
      <c r="AA373" s="712">
        <f t="shared" si="946"/>
        <v>0</v>
      </c>
      <c r="AB373" s="712">
        <f>(VLOOKUP(Sheet1!CY373,hhdcap_wcm,4)-(((VLOOKUP(Sheet1!CY373,hhdcap_wcm,3)-Sheet1!CY373)/(VLOOKUP(Sheet1!CY373,hhdcap_wcm,3)-VLOOKUP(Sheet1!CY373,hhdcap_wcm,1)))*(VLOOKUP(Sheet1!CY373,hhdcap_wcm,4)-VLOOKUP(Sheet1!CY373,hhdcap_wcm,2))))</f>
        <v>2022.2000000029559</v>
      </c>
      <c r="AC373" s="712">
        <f t="shared" si="947"/>
        <v>119.86000000020567</v>
      </c>
      <c r="AD373" s="712">
        <f t="shared" si="948"/>
        <v>0</v>
      </c>
      <c r="AE373" s="712">
        <f t="shared" si="949"/>
        <v>0</v>
      </c>
      <c r="AF373" s="712">
        <f>Sheet1!BA373+Sheet1!BB373+Sheet1!BN373+BT373</f>
        <v>14.8</v>
      </c>
      <c r="AG373" s="712">
        <f t="shared" si="950"/>
        <v>14.57947019867728</v>
      </c>
      <c r="AH373" s="712">
        <f>Sheet1!BA373+BT373</f>
        <v>0</v>
      </c>
      <c r="AI373" s="712">
        <f>Sheet1!BA373+Sheet1!BB373+BT373</f>
        <v>0</v>
      </c>
      <c r="AJ373" s="712">
        <f>IF((Sheet1!AA373+AG373+AX373+AZ373+BQ373+BS373+CL373+CN373)&lt;=N373,AG373+AX373+AZ373+BQ373+BS373+CL373+CN373,N373-Sheet1!AA373)</f>
        <v>14.57947019867728</v>
      </c>
      <c r="AK373" s="712">
        <f>IF(DR373&lt;K373,0,MAX(Sheet1!AA373+AG373-15/36*K373-N373,Sheet1!ED373,0))</f>
        <v>0</v>
      </c>
      <c r="AL373" s="712">
        <f>IF(OR(B373&gt;=FT373,B373&lt;FS373),0,15/36*K373-MAX(0,64.6-(137.6-(Sheet1!AA373+Sheet1!AB373))))</f>
        <v>0</v>
      </c>
      <c r="AM373" s="712">
        <f>Sheet1!CX373-110</f>
        <v>274.76041666666669</v>
      </c>
      <c r="AN373" s="712">
        <f>Sheet1!CW373-265</f>
        <v>324.77083333333337</v>
      </c>
      <c r="AO373" s="712">
        <f t="shared" si="934"/>
        <v>29.520529801313991</v>
      </c>
      <c r="AP373" s="712">
        <f t="shared" si="951"/>
        <v>0</v>
      </c>
      <c r="AQ373" s="712">
        <f t="shared" si="952"/>
        <v>0</v>
      </c>
      <c r="AR373" s="712">
        <f t="shared" si="953"/>
        <v>0</v>
      </c>
      <c r="AS373" s="712"/>
      <c r="AT373" s="712">
        <f ca="1">IF(B373&gt;Summary!$A$1,#N/A,AR373*MGtoAF)</f>
        <v>0</v>
      </c>
      <c r="AU373" s="712">
        <f>Sheet1!BG373+Sheet1!BH373+Sheet1!BI373-BC373</f>
        <v>0</v>
      </c>
      <c r="AV373" s="712">
        <f t="shared" si="954"/>
        <v>0</v>
      </c>
      <c r="AW373" s="712">
        <f>IF(Sheet1!EL373="FM",BC373,0)</f>
        <v>0</v>
      </c>
      <c r="AX373" s="712">
        <f t="shared" si="955"/>
        <v>0</v>
      </c>
      <c r="AY373" s="712">
        <f>IF(Sheet1!EL373="OTHER",BC373,0)</f>
        <v>0</v>
      </c>
      <c r="AZ373" s="712">
        <f t="shared" si="956"/>
        <v>0</v>
      </c>
      <c r="BA373" s="712">
        <f t="shared" si="957"/>
        <v>0</v>
      </c>
      <c r="BB373" s="712">
        <f t="shared" si="958"/>
        <v>0</v>
      </c>
      <c r="BC373" s="712">
        <f>IF(OR(Sheet1!EL373="FM", Sheet1!EL373="OTHER"),SUM(Sheet1!BG373:'Sheet1'!BI373),0)</f>
        <v>0</v>
      </c>
      <c r="BD373" s="697">
        <f>IF(AND($B373&gt;=$FL373,$B373&lt;=$FM373),MAX(AV373,Sheet1!EE373,0),MAX(AV373-(7/36)*$K373,0))</f>
        <v>0</v>
      </c>
      <c r="BE373" s="712">
        <f t="shared" si="959"/>
        <v>0</v>
      </c>
      <c r="BF373" s="697">
        <f t="shared" si="960"/>
        <v>0</v>
      </c>
      <c r="BG373" s="697">
        <f>IF(AND($O373&gt;0,Sheet1!EI373=1),(1-($O373-Sheet1!$L373)/$O373)*BB373,0)</f>
        <v>0</v>
      </c>
      <c r="BH373" s="697">
        <f>IF(AND(Sheet1!$L373=0,Sheet1!$L372=0, Calculation!BA373&lt;Sheet1!$EE373-0.1,Sheet1!$EE373=Sheet1!$EE372,Sheet1!$EE373=Sheet1!$EE374),Sheet1!$EE373,BB373-BG373)</f>
        <v>0</v>
      </c>
      <c r="BI373" s="712"/>
      <c r="BJ373" s="712"/>
      <c r="BK373" s="712">
        <f t="shared" si="961"/>
        <v>0</v>
      </c>
      <c r="BL373" s="712"/>
      <c r="BM373" s="712">
        <f ca="1">IF(B373&gt;Summary!$A$1,#N/A,BK373*MGtoAF)</f>
        <v>0</v>
      </c>
      <c r="BN373" s="712">
        <f>Sheet1!BC373+Sheet1!BD373+Sheet1!BE373+Sheet1!BF373-BW373-BX373</f>
        <v>2.1</v>
      </c>
      <c r="BO373" s="712">
        <f t="shared" si="962"/>
        <v>2.0687086092717761</v>
      </c>
      <c r="BP373" s="712">
        <f>IF(Sheet1!EM373="FM",BX373,0)</f>
        <v>0</v>
      </c>
      <c r="BQ373" s="712">
        <f t="shared" si="963"/>
        <v>0</v>
      </c>
      <c r="BR373" s="712">
        <f>IF(Sheet1!EM373="OTHER",BX373,0)</f>
        <v>0</v>
      </c>
      <c r="BS373" s="712">
        <f t="shared" si="964"/>
        <v>0</v>
      </c>
      <c r="BT373" s="712">
        <f t="shared" si="965"/>
        <v>0</v>
      </c>
      <c r="BU373" s="712">
        <f t="shared" si="966"/>
        <v>2.1</v>
      </c>
      <c r="BV373" s="712">
        <f t="shared" si="967"/>
        <v>2.0687086092717761</v>
      </c>
      <c r="BW373" s="712">
        <f>IF(Sheet1!EM373="CWA",SUM(Sheet1!BC373:'Sheet1'!BF373),0)</f>
        <v>0</v>
      </c>
      <c r="BX373" s="712">
        <f>IF(OR(Sheet1!EM373="FM", Sheet1!EM373="OTHER"),SUM(Sheet1!BC373:'Sheet1'!BF373),0)</f>
        <v>0</v>
      </c>
      <c r="BY373" s="697">
        <f>IF(AND($B373&gt;=$FL373,$B373&lt;=$FM373),MAX(BV373,Sheet1!EF373,0),MAX(BV373-(7/36)*$K373,0))</f>
        <v>0</v>
      </c>
      <c r="BZ373" s="712">
        <f t="shared" si="968"/>
        <v>0</v>
      </c>
      <c r="CA373" s="697">
        <f t="shared" si="969"/>
        <v>2.0687086092717761</v>
      </c>
      <c r="CB373" s="697">
        <f>IF(AND($O373&gt;0,Sheet1!EJ373=1),(1-($O373-Sheet1!$L373)/$O373)*BV373,0)</f>
        <v>0</v>
      </c>
      <c r="CC373" s="697">
        <f>IF(AND(Sheet1!$L373=0,Sheet1!$L372=0, Calculation!BU373&lt;Sheet1!EF373-0.1,Sheet1!EF373=Sheet1!EF372,Sheet1!EF373=Sheet1!EF374),Sheet1!EF373,BV373-CB373)</f>
        <v>2.0687086092717761</v>
      </c>
      <c r="CD373" s="697"/>
      <c r="CE373" s="712"/>
      <c r="CF373" s="712">
        <f t="shared" si="970"/>
        <v>0</v>
      </c>
      <c r="CG373" s="712"/>
      <c r="CH373" s="712">
        <f ca="1">IF(B373&gt;Summary!$A$1,#N/A,CF373*MGtoAF)</f>
        <v>0</v>
      </c>
      <c r="CI373" s="712">
        <f>Sheet1!BK373+Sheet1!BL373+Sheet1!BM373-Sheet1!EN373-CQ373</f>
        <v>7.26</v>
      </c>
      <c r="CJ373" s="712">
        <f t="shared" si="971"/>
        <v>7.1518211920538546</v>
      </c>
      <c r="CK373" s="712">
        <f>IF(Sheet1!EN373="FM",CQ373,0)</f>
        <v>0</v>
      </c>
      <c r="CL373" s="712">
        <f t="shared" si="972"/>
        <v>0</v>
      </c>
      <c r="CM373" s="712">
        <f>IF(Sheet1!EN373="OTHER",CQ373,0)</f>
        <v>0</v>
      </c>
      <c r="CN373" s="712">
        <f t="shared" si="973"/>
        <v>0</v>
      </c>
      <c r="CO373" s="712">
        <f t="shared" si="974"/>
        <v>7.26</v>
      </c>
      <c r="CP373" s="712">
        <f t="shared" si="975"/>
        <v>7.1518211920538546</v>
      </c>
      <c r="CQ373" s="712">
        <f>IF(OR(Sheet1!EN373="FM", Sheet1!EN373="OTHER"),SUM(Sheet1!BK373:'Sheet1'!BM373),0)</f>
        <v>0</v>
      </c>
      <c r="CR373" s="697">
        <f>IF(AND($B373&gt;=$FL373,$B373&lt;=$FM373),MAX($CJ373,Sheet1!EG373,0),MAX($CJ373-(7/36)*$K373,0))</f>
        <v>0</v>
      </c>
      <c r="CS373" s="712">
        <f t="shared" si="976"/>
        <v>0</v>
      </c>
      <c r="CT373" s="697">
        <f t="shared" si="977"/>
        <v>7.1518211920538546</v>
      </c>
      <c r="CU373" s="697">
        <f>IF(AND($O373&gt;0,Sheet1!EK373=1),(1-($O373-Sheet1!$L373)/$O373)*CP373,0)</f>
        <v>0</v>
      </c>
      <c r="CV373" s="697">
        <f>IF(AND(Sheet1!$L373=0,Sheet1!$L372=0, Calculation!CO373&lt;Sheet1!$EG373-0.1,Sheet1!$EG373=Sheet1!$EG372,Sheet1!$EG373=Sheet1!$EG374),Sheet1!$EG373,CP373-CU373)</f>
        <v>7.1518211920538546</v>
      </c>
      <c r="CW373" s="697"/>
      <c r="CX373" s="712">
        <f t="shared" si="978"/>
        <v>9.36</v>
      </c>
      <c r="CY373" s="712">
        <f t="shared" si="979"/>
        <v>0</v>
      </c>
      <c r="CZ373" s="712">
        <f t="shared" si="980"/>
        <v>9.2205298013256307</v>
      </c>
      <c r="DA373" s="712">
        <f ca="1">IF(B373&gt;Summary!$A$1,#N/A,CY373*MGtoAF)</f>
        <v>0</v>
      </c>
      <c r="DB373" s="712">
        <f t="shared" si="981"/>
        <v>9.36</v>
      </c>
      <c r="DC373" s="712">
        <f t="shared" si="982"/>
        <v>24.16</v>
      </c>
      <c r="DD373" s="712">
        <f>Sheet1!AB373-DC373</f>
        <v>-0.35999999999708976</v>
      </c>
      <c r="DE373" s="712">
        <f t="shared" si="983"/>
        <v>-1.4900662251535171E-2</v>
      </c>
      <c r="DF373" s="712">
        <f>(VLOOKUP(Sheet1!CY373,hhdcap_wcm,4)-(((VLOOKUP(Sheet1!CY373,hhdcap_wcm,3)-Sheet1!CY373)/(VLOOKUP(Sheet1!CY373,hhdcap_wcm,3)-VLOOKUP(Sheet1!CY373,hhdcap_wcm,1)))*(VLOOKUP(Sheet1!CY373,hhdcap_wcm,4)-VLOOKUP(Sheet1!CY373,hhdcap_wcm,2))))</f>
        <v>2022.2000000029559</v>
      </c>
      <c r="DG373" s="712">
        <f t="shared" si="984"/>
        <v>119.86000000020567</v>
      </c>
      <c r="DH373" s="712">
        <f t="shared" si="985"/>
        <v>60.443772062635226</v>
      </c>
      <c r="DI373" s="712">
        <f>Sheet1!DW373*AFtoMG</f>
        <v>0</v>
      </c>
      <c r="DJ373" s="712">
        <f>Sheet1!DX373*AFtoMG</f>
        <v>0</v>
      </c>
      <c r="DK373" s="712">
        <f>Sheet1!DY373*AFtoMG</f>
        <v>0</v>
      </c>
      <c r="DL373" s="712">
        <f>Sheet1!DZ373*AFtoMG</f>
        <v>0</v>
      </c>
      <c r="DM373" s="712">
        <f t="shared" si="986"/>
        <v>0</v>
      </c>
      <c r="DN373" s="712">
        <f t="shared" si="987"/>
        <v>0</v>
      </c>
      <c r="DO373" s="712">
        <f t="shared" si="988"/>
        <v>0</v>
      </c>
      <c r="DP373" s="712">
        <f t="shared" si="989"/>
        <v>0</v>
      </c>
      <c r="DQ373" s="712"/>
      <c r="DR373" s="697">
        <f>IF(OR(B373&lt;FL373,B373&gt;FM373),(MIN(AV373+BO373+CJ373+MAX(Sheet1!AA373+AG373-73,0),K373)),0)</f>
        <v>9.2205298013256307</v>
      </c>
      <c r="DS373" s="712"/>
      <c r="DT373" s="712">
        <f t="shared" si="990"/>
        <v>9.2205298013256307</v>
      </c>
      <c r="DU373" s="712"/>
      <c r="DV373" s="712">
        <f>Sheet1!ED373+Sheet1!EE373+Sheet1!EF373+Sheet1!EG373</f>
        <v>8.5</v>
      </c>
      <c r="DW373" s="712"/>
      <c r="DX373" s="697">
        <f t="shared" si="991"/>
        <v>0</v>
      </c>
      <c r="DY373" s="712">
        <f>IF(Sheet1!FN373=1,SUM('Calculations II'!AT373:BA373)+'Calculations II'!BC373+Sheet1!BU373+'Calculations II'!BE373+AF373,SUM('Calculations II'!AT373:BA373)+'Calculations II'!BC373+Sheet1!BU373+'Calculations II'!BE373+AF373)</f>
        <v>35.433968</v>
      </c>
      <c r="DZ373" s="712">
        <f>Sheet1!AA373+Sheet1!AB373+'Calculations II'!BC373</f>
        <v>52.700000000011642</v>
      </c>
      <c r="EA373" s="712"/>
      <c r="EB373" s="712"/>
      <c r="EC373" s="712">
        <f t="shared" si="992"/>
        <v>40902</v>
      </c>
      <c r="ED373" s="712">
        <f t="shared" si="993"/>
        <v>0</v>
      </c>
      <c r="EE373" s="712">
        <f t="shared" si="994"/>
        <v>0</v>
      </c>
      <c r="EF373" s="712">
        <f ca="1">IF(B373=TODAY(),0,-(VLOOKUP(Sheet1!BQ373,Lookup!$B$4:$J$236,2)-VLOOKUP(Sheet1!BQ372,Lookup!$B$4:$J$236,2))/1000000)</f>
        <v>-1.6428</v>
      </c>
      <c r="EG373" s="712">
        <f ca="1">IF(B373=TODAY(),0,-(VLOOKUP(Sheet1!BR373,Lookup!$B$4:$J$236,3)-VLOOKUP(Sheet1!BR372,Lookup!$B$4:$J$236,3))/1000000)</f>
        <v>-1.367</v>
      </c>
      <c r="EH373" s="712">
        <f>-(VLOOKUP(Sheet1!BS373,Lookup!$B$4:$J$236,4)-VLOOKUP(Sheet1!BS372,Lookup!$B$4:$J$236,4))/1000000</f>
        <v>0</v>
      </c>
      <c r="EI373" s="697">
        <f t="shared" ca="1" si="922"/>
        <v>-3.0098000000000003</v>
      </c>
      <c r="EJ373" s="712"/>
      <c r="EK373" s="712"/>
      <c r="EL373" s="712"/>
      <c r="EM373" s="712"/>
      <c r="EN373" s="712"/>
      <c r="EO373" s="712"/>
      <c r="EP373" s="712"/>
      <c r="EQ373" s="712"/>
      <c r="ER373" s="712"/>
      <c r="ES373" s="712"/>
      <c r="ET373" s="794" t="e">
        <f t="shared" si="1015"/>
        <v>#N/A</v>
      </c>
      <c r="EU373" s="794" t="e">
        <f t="shared" si="924"/>
        <v>#N/A</v>
      </c>
      <c r="EV373" s="795" t="e">
        <f t="shared" si="925"/>
        <v>#N/A</v>
      </c>
      <c r="EW373" s="796" t="s">
        <v>757</v>
      </c>
      <c r="EX373" s="796" t="s">
        <v>757</v>
      </c>
      <c r="EY373" s="794" t="e">
        <v>#N/A</v>
      </c>
      <c r="EZ373" s="794" t="e">
        <v>#N/A</v>
      </c>
      <c r="FA373" s="712"/>
      <c r="FB373" s="712"/>
      <c r="FC373" s="712"/>
      <c r="FD373" s="712"/>
      <c r="FE373" s="712">
        <f>O373+Sheet1!CO373</f>
        <v>52.700000000011642</v>
      </c>
      <c r="FF373" s="712">
        <f>IF(Sheet1!AA373+AG373&lt;=Calculation!N373,AG373,Calculation!N373-Sheet1!AA373)</f>
        <v>14.57947019867728</v>
      </c>
      <c r="FG373" s="712">
        <f>(Sheet1!BP373+Sheet1!BO373)/694.4</f>
        <v>1.272897465437788</v>
      </c>
      <c r="FH373" s="712"/>
      <c r="FI373" s="712"/>
      <c r="FJ373" s="712"/>
      <c r="FK373" s="712"/>
      <c r="FL373" s="714">
        <f t="shared" si="929"/>
        <v>40753</v>
      </c>
      <c r="FM373" s="714">
        <f t="shared" si="930"/>
        <v>40851</v>
      </c>
      <c r="FN373" s="712"/>
      <c r="FO373" s="712"/>
      <c r="FP373" s="712"/>
      <c r="FQ373" s="712"/>
      <c r="FR373" s="712"/>
      <c r="FS373" s="725">
        <f t="shared" si="1014"/>
        <v>40603</v>
      </c>
      <c r="FT373" s="714">
        <f t="shared" si="932"/>
        <v>40709</v>
      </c>
      <c r="FU373" s="712">
        <f t="shared" si="1014"/>
        <v>6518.9048239895692</v>
      </c>
      <c r="FV373" s="714">
        <f t="shared" si="933"/>
        <v>40722</v>
      </c>
      <c r="FW373" s="712">
        <f t="shared" si="1014"/>
        <v>3259.4524119947846</v>
      </c>
      <c r="FX373" s="725">
        <f t="shared" si="1014"/>
        <v>40851</v>
      </c>
      <c r="FZ373" s="697">
        <f t="shared" si="926"/>
        <v>0</v>
      </c>
      <c r="GA373" s="712" t="str">
        <f t="shared" si="995"/>
        <v/>
      </c>
      <c r="GB373" s="712">
        <f t="shared" si="996"/>
        <v>0</v>
      </c>
      <c r="GC373" s="712" t="str">
        <f t="shared" si="997"/>
        <v/>
      </c>
      <c r="GD373" s="712">
        <f>IF(GA373="P",Lookup!$M$12,IF(GA373="PP",Lookup!$M$13,IF(GA373="PPP",Lookup!$M$14,IF(GA373="T",Lookup!$M$15,IF(GA373="TP",Lookup!$M$16,IF(GA373="TPP",Lookup!$M$17,IF(GA373="TPPP",Lookup!$M$18,0)))))))*FZ373</f>
        <v>0</v>
      </c>
      <c r="GE373" s="712">
        <f t="shared" si="998"/>
        <v>0</v>
      </c>
      <c r="GF373" s="712">
        <f t="shared" si="999"/>
        <v>0</v>
      </c>
      <c r="GG373" s="712">
        <f t="shared" si="1000"/>
        <v>0</v>
      </c>
      <c r="GH373" s="712"/>
      <c r="GI373" s="712">
        <f t="shared" si="1001"/>
        <v>0</v>
      </c>
      <c r="GJ373" s="712" t="str">
        <f t="shared" si="1002"/>
        <v/>
      </c>
      <c r="GK373" s="712">
        <f>IF(GA373="P",Lookup!$N$12,IF(GA373="PP",Lookup!$N$13,IF(GA373="PPP",Lookup!$N$14,IF(GA373="T",Lookup!$N$15,IF(GA373="TP",Lookup!$N$16,IF(GA373="TPP",Lookup!$N$17,IF(GA373="TPPP",Lookup!$N$18,0)))))))*FZ373</f>
        <v>0</v>
      </c>
      <c r="GL373" s="712">
        <f t="shared" si="1003"/>
        <v>0</v>
      </c>
      <c r="GM373" s="712">
        <f t="shared" si="1004"/>
        <v>0</v>
      </c>
      <c r="GN373" s="712">
        <f t="shared" si="1005"/>
        <v>0</v>
      </c>
      <c r="GO373" s="712"/>
      <c r="GP373" s="712">
        <f t="shared" si="1006"/>
        <v>0</v>
      </c>
      <c r="GQ373" s="712" t="str">
        <f t="shared" si="1007"/>
        <v/>
      </c>
      <c r="GR373" s="712">
        <f>IF(GA373="P",Lookup!$N$12,IF(GA373="PP",Lookup!$N$13,IF(GA373="PPP",Lookup!$N$14,IF(GA373="T",Lookup!$N$15,IF(GA373="TP",Lookup!$N$16,IF(GA373="TPP",Lookup!$N$17,IF(GA373="TPPP",Lookup!$N$18,0)))))))*FZ373</f>
        <v>0</v>
      </c>
      <c r="GS373" s="697">
        <f t="shared" si="927"/>
        <v>0</v>
      </c>
      <c r="GT373" s="712">
        <f t="shared" si="1008"/>
        <v>0</v>
      </c>
      <c r="GU373" s="712">
        <f t="shared" si="1009"/>
        <v>0</v>
      </c>
      <c r="GV373" s="712"/>
      <c r="GW373" s="712">
        <f t="shared" si="1010"/>
        <v>0</v>
      </c>
      <c r="GX373" s="712" t="str">
        <f t="shared" si="1011"/>
        <v/>
      </c>
      <c r="GY373" s="712">
        <f>IF(GA373="P",Lookup!$N$12,IF(GA373="PP",Lookup!$N$13,IF(GA373="PPP",Lookup!$N$14,IF(GA373="T",Lookup!$N$15,IF(GA373="TP",Lookup!$N$16,IF(GA373="TPP",Lookup!$N$17,IF(GA373="TPPP",Lookup!$N$18,0)))))))*FZ373</f>
        <v>0</v>
      </c>
      <c r="GZ373" s="697">
        <f t="shared" si="928"/>
        <v>0</v>
      </c>
      <c r="HA373" s="712">
        <f t="shared" si="1012"/>
        <v>0</v>
      </c>
      <c r="HB373" s="712">
        <f t="shared" si="1013"/>
        <v>0</v>
      </c>
      <c r="HC373" s="712"/>
    </row>
    <row r="374" spans="1:211">
      <c r="A374" s="773" t="s">
        <v>4</v>
      </c>
      <c r="B374" s="708">
        <v>40903</v>
      </c>
      <c r="C374" s="709">
        <v>0.5</v>
      </c>
      <c r="D374" s="675">
        <f t="shared" si="936"/>
        <v>300</v>
      </c>
      <c r="E374" s="675">
        <f t="shared" si="937"/>
        <v>250</v>
      </c>
      <c r="F374" s="675">
        <v>250</v>
      </c>
      <c r="G374" s="712">
        <f>DH374+Sheet1!CV374</f>
        <v>452.41124558749362</v>
      </c>
      <c r="H374" s="712">
        <f t="shared" si="938"/>
        <v>25.475429147755879</v>
      </c>
      <c r="I374" s="711">
        <f>MAX(Sheet1!Z374-AJ374+(Sheet1!CW374-E374)*CFStoMGD,0)</f>
        <v>253.06592433486736</v>
      </c>
      <c r="J374" s="720">
        <f>IF(AND(B374&gt;=Calculation!FS374,B374&lt;=Calculation!FT374),IF(Sheet1!CX374&gt;=Calculation!D374,64.64,0),MAX(Sheet1!Z374-AJ374+(Sheet1!CX374-D374)*CFStoMGD,0))</f>
        <v>104.35352433486736</v>
      </c>
      <c r="K374" s="697">
        <f t="shared" si="939"/>
        <v>25.475429147755879</v>
      </c>
      <c r="L374" s="712">
        <f>Sheet1!AA374+Sheet1!AB374-Sheet1!L374+(Sheet1!CW374-F374)*CFStoMGD</f>
        <v>281.56186666665826</v>
      </c>
      <c r="M374" s="712">
        <f t="shared" si="940"/>
        <v>298.287401730711</v>
      </c>
      <c r="N374" s="712">
        <f>IF(Sheet1!CW374&gt;=F374,MIN(73,MIN(MAX(L374,0),MAX(M374,0))),0)</f>
        <v>73</v>
      </c>
      <c r="O374" s="721">
        <f>Sheet1!AA374+Sheet1!AB374</f>
        <v>53.27999999999156</v>
      </c>
      <c r="P374" s="721">
        <f t="shared" si="941"/>
        <v>82.424159999986927</v>
      </c>
      <c r="Q374" s="712">
        <f>MIN(N374,Sheet1!AA374+AG374)</f>
        <v>45.665942331793481</v>
      </c>
      <c r="R374" s="712">
        <f t="shared" si="942"/>
        <v>7.6140576681980781</v>
      </c>
      <c r="S374" s="721">
        <f>Sheet1!Y374*MGDtoCFS</f>
        <v>44.816589999999998</v>
      </c>
      <c r="T374" s="721">
        <f>Sheet1!Z374*MGDtoCFS</f>
        <v>37.205350000000003</v>
      </c>
      <c r="U374" s="721">
        <f>Sheet1!AA374*MGDtoCFS</f>
        <v>45.48179999999099</v>
      </c>
      <c r="V374" s="721">
        <f>Sheet1!AB374*MGDtoCFS</f>
        <v>36.942359999995944</v>
      </c>
      <c r="W374" s="721">
        <f>Sheet1!L374*MGDtoCFS</f>
        <v>26.298999999999999</v>
      </c>
      <c r="X374" s="697">
        <f t="shared" si="943"/>
        <v>0.66468085557283008</v>
      </c>
      <c r="Y374" s="712">
        <f t="shared" si="944"/>
        <v>1.028261283571168</v>
      </c>
      <c r="Z374" s="712">
        <f t="shared" si="945"/>
        <v>0</v>
      </c>
      <c r="AA374" s="712">
        <f t="shared" si="946"/>
        <v>0</v>
      </c>
      <c r="AB374" s="712">
        <f>(VLOOKUP(Sheet1!CY374,hhdcap_wcm,4)-(((VLOOKUP(Sheet1!CY374,hhdcap_wcm,3)-Sheet1!CY374)/(VLOOKUP(Sheet1!CY374,hhdcap_wcm,3)-VLOOKUP(Sheet1!CY374,hhdcap_wcm,1)))*(VLOOKUP(Sheet1!CY374,hhdcap_wcm,4)-VLOOKUP(Sheet1!CY374,hhdcap_wcm,2))))</f>
        <v>2032.6000000029558</v>
      </c>
      <c r="AC374" s="712">
        <f t="shared" si="947"/>
        <v>10.399999999999864</v>
      </c>
      <c r="AD374" s="712">
        <f t="shared" si="948"/>
        <v>0</v>
      </c>
      <c r="AE374" s="712">
        <f t="shared" si="949"/>
        <v>0</v>
      </c>
      <c r="AF374" s="712">
        <f>Sheet1!BA374+Sheet1!BB374+Sheet1!BN374+BT374</f>
        <v>16.3</v>
      </c>
      <c r="AG374" s="712">
        <f t="shared" si="950"/>
        <v>16.265942331799302</v>
      </c>
      <c r="AH374" s="712">
        <f>Sheet1!BA374+BT374</f>
        <v>0</v>
      </c>
      <c r="AI374" s="712">
        <f>Sheet1!BA374+Sheet1!BB374+BT374</f>
        <v>0</v>
      </c>
      <c r="AJ374" s="712">
        <f>IF((Sheet1!AA374+AG374+AX374+AZ374+BQ374+BS374+CL374+CN374)&lt;=N374,AG374+AX374+AZ374+BQ374+BS374+CL374+CN374,N374-Sheet1!AA374)</f>
        <v>16.265942331799302</v>
      </c>
      <c r="AK374" s="712">
        <f>IF(DR374&lt;K374,0,MAX(Sheet1!AA374+AG374-15/36*K374-N374,Sheet1!ED374,0))</f>
        <v>0</v>
      </c>
      <c r="AL374" s="712">
        <f>IF(OR(B374&gt;=FT374,B374&lt;FS374),0,15/36*K374-MAX(0,64.6-(137.6-(Sheet1!AA374+Sheet1!AB374))))</f>
        <v>0</v>
      </c>
      <c r="AM374" s="712">
        <f>Sheet1!CX374-110</f>
        <v>339.39583333333331</v>
      </c>
      <c r="AN374" s="712">
        <f>Sheet1!CW374-265</f>
        <v>364.45833333333337</v>
      </c>
      <c r="AO374" s="712">
        <f t="shared" si="934"/>
        <v>27.334057668206519</v>
      </c>
      <c r="AP374" s="712">
        <f t="shared" si="951"/>
        <v>0</v>
      </c>
      <c r="AQ374" s="712">
        <f t="shared" si="952"/>
        <v>0</v>
      </c>
      <c r="AR374" s="712">
        <f t="shared" si="953"/>
        <v>0</v>
      </c>
      <c r="AS374" s="712"/>
      <c r="AT374" s="712">
        <f ca="1">IF(B374&gt;Summary!$A$1,#N/A,AR374*MGtoAF)</f>
        <v>0</v>
      </c>
      <c r="AU374" s="712">
        <f>Sheet1!BG374+Sheet1!BH374+Sheet1!BI374-BC374</f>
        <v>0</v>
      </c>
      <c r="AV374" s="712">
        <f t="shared" si="954"/>
        <v>0</v>
      </c>
      <c r="AW374" s="712">
        <f>IF(Sheet1!EL374="FM",BC374,0)</f>
        <v>0</v>
      </c>
      <c r="AX374" s="712">
        <f t="shared" si="955"/>
        <v>0</v>
      </c>
      <c r="AY374" s="712">
        <f>IF(Sheet1!EL374="OTHER",BC374,0)</f>
        <v>0</v>
      </c>
      <c r="AZ374" s="712">
        <f t="shared" si="956"/>
        <v>0</v>
      </c>
      <c r="BA374" s="712">
        <f t="shared" si="957"/>
        <v>0</v>
      </c>
      <c r="BB374" s="712">
        <f t="shared" si="958"/>
        <v>0</v>
      </c>
      <c r="BC374" s="712">
        <f>IF(OR(Sheet1!EL374="FM", Sheet1!EL374="OTHER"),SUM(Sheet1!BG374:'Sheet1'!BI374),0)</f>
        <v>0</v>
      </c>
      <c r="BD374" s="697">
        <f>IF(AND($B374&gt;=$FL374,$B374&lt;=$FM374),MAX(AV374,Sheet1!EE374,0),MAX(AV374-(7/36)*$K374,0))</f>
        <v>0</v>
      </c>
      <c r="BE374" s="712">
        <f t="shared" si="959"/>
        <v>0</v>
      </c>
      <c r="BF374" s="697">
        <f t="shared" si="960"/>
        <v>0</v>
      </c>
      <c r="BG374" s="697">
        <f>IF(AND($O374&gt;0,Sheet1!EI374=1),(1-($O374-Sheet1!$L374)/$O374)*BB374,0)</f>
        <v>0</v>
      </c>
      <c r="BH374" s="697">
        <f>IF(AND(Sheet1!$L374=0,Sheet1!$L373=0, Calculation!BA374&lt;Sheet1!$EE374-0.1,Sheet1!$EE374=Sheet1!$EE373,Sheet1!$EE374=Sheet1!$EE375),Sheet1!$EE374,BB374-BG374)</f>
        <v>0</v>
      </c>
      <c r="BI374" s="712"/>
      <c r="BJ374" s="712"/>
      <c r="BK374" s="712">
        <f t="shared" si="961"/>
        <v>0</v>
      </c>
      <c r="BL374" s="712"/>
      <c r="BM374" s="712">
        <f ca="1">IF(B374&gt;Summary!$A$1,#N/A,BK374*MGtoAF)</f>
        <v>0</v>
      </c>
      <c r="BN374" s="712">
        <f>Sheet1!BC374+Sheet1!BD374+Sheet1!BE374+Sheet1!BF374-BW374-BX374</f>
        <v>2</v>
      </c>
      <c r="BO374" s="712">
        <f t="shared" si="962"/>
        <v>1.9958211450060495</v>
      </c>
      <c r="BP374" s="712">
        <f>IF(Sheet1!EM374="FM",BX374,0)</f>
        <v>0</v>
      </c>
      <c r="BQ374" s="712">
        <f t="shared" si="963"/>
        <v>0</v>
      </c>
      <c r="BR374" s="712">
        <f>IF(Sheet1!EM374="OTHER",BX374,0)</f>
        <v>0</v>
      </c>
      <c r="BS374" s="712">
        <f t="shared" si="964"/>
        <v>0</v>
      </c>
      <c r="BT374" s="712">
        <f t="shared" si="965"/>
        <v>0</v>
      </c>
      <c r="BU374" s="712">
        <f t="shared" si="966"/>
        <v>2</v>
      </c>
      <c r="BV374" s="712">
        <f t="shared" si="967"/>
        <v>1.9958211450060495</v>
      </c>
      <c r="BW374" s="712">
        <f>IF(Sheet1!EM374="CWA",SUM(Sheet1!BC374:'Sheet1'!BF374),0)</f>
        <v>0</v>
      </c>
      <c r="BX374" s="712">
        <f>IF(OR(Sheet1!EM374="FM", Sheet1!EM374="OTHER"),SUM(Sheet1!BC374:'Sheet1'!BF374),0)</f>
        <v>0</v>
      </c>
      <c r="BY374" s="697">
        <f>IF(AND($B374&gt;=$FL374,$B374&lt;=$FM374),MAX(BV374,Sheet1!EF374,0),MAX(BV374-(7/36)*$K374,0))</f>
        <v>0</v>
      </c>
      <c r="BZ374" s="712">
        <f t="shared" si="968"/>
        <v>0</v>
      </c>
      <c r="CA374" s="697">
        <f t="shared" si="969"/>
        <v>1.9958211450060495</v>
      </c>
      <c r="CB374" s="697">
        <f>IF(AND($O374&gt;0,Sheet1!EJ374=1),(1-($O374-Sheet1!$L374)/$O374)*BV374,0)</f>
        <v>0</v>
      </c>
      <c r="CC374" s="697">
        <f>IF(AND(Sheet1!$L374=0,Sheet1!$L373=0, Calculation!BU374&lt;Sheet1!EF374-0.1,Sheet1!EF374=Sheet1!EF373,Sheet1!EF374=Sheet1!EF375),Sheet1!EF374,BV374-CB374)</f>
        <v>1.9958211450060495</v>
      </c>
      <c r="CD374" s="697"/>
      <c r="CE374" s="712"/>
      <c r="CF374" s="712">
        <f t="shared" si="970"/>
        <v>0</v>
      </c>
      <c r="CG374" s="712"/>
      <c r="CH374" s="712">
        <f ca="1">IF(B374&gt;Summary!$A$1,#N/A,CF374*MGtoAF)</f>
        <v>0</v>
      </c>
      <c r="CI374" s="712">
        <f>Sheet1!BK374+Sheet1!BL374+Sheet1!BM374-Sheet1!EN374-CQ374</f>
        <v>5.63</v>
      </c>
      <c r="CJ374" s="712">
        <f t="shared" si="971"/>
        <v>5.6182365231920288</v>
      </c>
      <c r="CK374" s="712">
        <f>IF(Sheet1!EN374="FM",CQ374,0)</f>
        <v>0</v>
      </c>
      <c r="CL374" s="712">
        <f t="shared" si="972"/>
        <v>0</v>
      </c>
      <c r="CM374" s="712">
        <f>IF(Sheet1!EN374="OTHER",CQ374,0)</f>
        <v>0</v>
      </c>
      <c r="CN374" s="712">
        <f t="shared" si="973"/>
        <v>0</v>
      </c>
      <c r="CO374" s="712">
        <f t="shared" si="974"/>
        <v>5.63</v>
      </c>
      <c r="CP374" s="712">
        <f t="shared" si="975"/>
        <v>5.6182365231920288</v>
      </c>
      <c r="CQ374" s="712">
        <f>IF(OR(Sheet1!EN374="FM", Sheet1!EN374="OTHER"),SUM(Sheet1!BK374:'Sheet1'!BM374),0)</f>
        <v>0</v>
      </c>
      <c r="CR374" s="697">
        <f>IF(AND($B374&gt;=$FL374,$B374&lt;=$FM374),MAX($CJ374,Sheet1!EG374,0),MAX($CJ374-(7/36)*$K374,0))</f>
        <v>0.66468085557283008</v>
      </c>
      <c r="CS374" s="712">
        <f t="shared" si="976"/>
        <v>0</v>
      </c>
      <c r="CT374" s="697">
        <f t="shared" si="977"/>
        <v>4.9535556676191987</v>
      </c>
      <c r="CU374" s="697">
        <f>IF(AND($O374&gt;0,Sheet1!EK374=1),(1-($O374-Sheet1!$L374)/$O374)*CP374,0)</f>
        <v>0</v>
      </c>
      <c r="CV374" s="697">
        <f>IF(AND(Sheet1!$L374=0,Sheet1!$L373=0, Calculation!CO374&lt;Sheet1!$EG374-0.1,Sheet1!$EG374=Sheet1!$EG373,Sheet1!$EG374=Sheet1!$EG375),Sheet1!$EG374,CP374-CU374)</f>
        <v>5.6182365231920288</v>
      </c>
      <c r="CW374" s="697"/>
      <c r="CX374" s="712">
        <f t="shared" si="978"/>
        <v>7.63</v>
      </c>
      <c r="CY374" s="712">
        <f t="shared" si="979"/>
        <v>0</v>
      </c>
      <c r="CZ374" s="712">
        <f t="shared" si="980"/>
        <v>7.6140576681980781</v>
      </c>
      <c r="DA374" s="712">
        <f ca="1">IF(B374&gt;Summary!$A$1,#N/A,CY374*MGtoAF)</f>
        <v>0</v>
      </c>
      <c r="DB374" s="712">
        <f t="shared" si="981"/>
        <v>7.63</v>
      </c>
      <c r="DC374" s="712">
        <f t="shared" si="982"/>
        <v>23.93</v>
      </c>
      <c r="DD374" s="712">
        <f>Sheet1!AB374-DC374</f>
        <v>-5.0000000002619061E-2</v>
      </c>
      <c r="DE374" s="712">
        <f t="shared" si="983"/>
        <v>-2.0894274969753056E-3</v>
      </c>
      <c r="DF374" s="712">
        <f>(VLOOKUP(Sheet1!CY374,hhdcap_wcm,4)-(((VLOOKUP(Sheet1!CY374,hhdcap_wcm,3)-Sheet1!CY374)/(VLOOKUP(Sheet1!CY374,hhdcap_wcm,3)-VLOOKUP(Sheet1!CY374,hhdcap_wcm,1)))*(VLOOKUP(Sheet1!CY374,hhdcap_wcm,4)-VLOOKUP(Sheet1!CY374,hhdcap_wcm,2))))</f>
        <v>2032.6000000029558</v>
      </c>
      <c r="DG374" s="712">
        <f t="shared" si="984"/>
        <v>10.399999999999864</v>
      </c>
      <c r="DH374" s="712">
        <f t="shared" si="985"/>
        <v>5.2445789208269602</v>
      </c>
      <c r="DI374" s="712">
        <f>Sheet1!DW374*AFtoMG</f>
        <v>0</v>
      </c>
      <c r="DJ374" s="712">
        <f>Sheet1!DX374*AFtoMG</f>
        <v>0</v>
      </c>
      <c r="DK374" s="712">
        <f>Sheet1!DY374*AFtoMG</f>
        <v>0</v>
      </c>
      <c r="DL374" s="712">
        <f>Sheet1!DZ374*AFtoMG</f>
        <v>0</v>
      </c>
      <c r="DM374" s="712">
        <f t="shared" si="986"/>
        <v>0</v>
      </c>
      <c r="DN374" s="712">
        <f t="shared" si="987"/>
        <v>0</v>
      </c>
      <c r="DO374" s="712">
        <f t="shared" si="988"/>
        <v>0</v>
      </c>
      <c r="DP374" s="712">
        <f t="shared" si="989"/>
        <v>0</v>
      </c>
      <c r="DQ374" s="712"/>
      <c r="DR374" s="697">
        <f>IF(OR(B374&lt;FL374,B374&gt;FM374),(MIN(AV374+BO374+CJ374+MAX(Sheet1!AA374+AG374-73,0),K374)),0)</f>
        <v>7.6140576681980781</v>
      </c>
      <c r="DS374" s="712"/>
      <c r="DT374" s="712">
        <f t="shared" si="990"/>
        <v>7.6140576681980781</v>
      </c>
      <c r="DU374" s="712"/>
      <c r="DV374" s="712">
        <f>Sheet1!ED374+Sheet1!EE374+Sheet1!EF374+Sheet1!EG374</f>
        <v>8.5</v>
      </c>
      <c r="DW374" s="712"/>
      <c r="DX374" s="697">
        <f t="shared" si="991"/>
        <v>0.66468085557283008</v>
      </c>
      <c r="DY374" s="712">
        <f>IF(Sheet1!FN374=1,SUM('Calculations II'!AT374:BA374)+'Calculations II'!BC374+Sheet1!BU374+'Calculations II'!BE374+AF374,SUM('Calculations II'!AT374:BA374)+'Calculations II'!BC374+Sheet1!BU374+'Calculations II'!BE374+AF374)</f>
        <v>38.283456000000001</v>
      </c>
      <c r="DZ374" s="712">
        <f>Sheet1!AA374+Sheet1!AB374+'Calculations II'!BC374</f>
        <v>53.27999999999156</v>
      </c>
      <c r="EA374" s="712"/>
      <c r="EB374" s="712"/>
      <c r="EC374" s="712">
        <f t="shared" si="992"/>
        <v>40903</v>
      </c>
      <c r="ED374" s="712">
        <f t="shared" si="993"/>
        <v>-0.66468085557283008</v>
      </c>
      <c r="EE374" s="712">
        <f t="shared" si="994"/>
        <v>-1.028261283571168</v>
      </c>
      <c r="EF374" s="712">
        <f ca="1">IF(B374=TODAY(),0,-(VLOOKUP(Sheet1!BQ374,Lookup!$B$4:$J$236,2)-VLOOKUP(Sheet1!BQ373,Lookup!$B$4:$J$236,2))/1000000)</f>
        <v>-0.5544</v>
      </c>
      <c r="EG374" s="712">
        <f ca="1">IF(B374=TODAY(),0,-(VLOOKUP(Sheet1!BR374,Lookup!$B$4:$J$236,3)-VLOOKUP(Sheet1!BR373,Lookup!$B$4:$J$236,3))/1000000)</f>
        <v>-0.82699999999999996</v>
      </c>
      <c r="EH374" s="712">
        <f>-(VLOOKUP(Sheet1!BS374,Lookup!$B$4:$J$236,4)-VLOOKUP(Sheet1!BS373,Lookup!$B$4:$J$236,4))/1000000</f>
        <v>0</v>
      </c>
      <c r="EI374" s="697">
        <f t="shared" ca="1" si="922"/>
        <v>-1.3814</v>
      </c>
      <c r="EJ374" s="712"/>
      <c r="EK374" s="712"/>
      <c r="EL374" s="712"/>
      <c r="EM374" s="712"/>
      <c r="EN374" s="712"/>
      <c r="EO374" s="712"/>
      <c r="EP374" s="712"/>
      <c r="EQ374" s="712"/>
      <c r="ER374" s="712"/>
      <c r="ES374" s="712"/>
      <c r="ET374" s="794" t="e">
        <f t="shared" si="1015"/>
        <v>#N/A</v>
      </c>
      <c r="EU374" s="794" t="e">
        <f t="shared" si="924"/>
        <v>#N/A</v>
      </c>
      <c r="EV374" s="795" t="e">
        <f t="shared" si="925"/>
        <v>#N/A</v>
      </c>
      <c r="EW374" s="796" t="s">
        <v>757</v>
      </c>
      <c r="EX374" s="796" t="s">
        <v>757</v>
      </c>
      <c r="EY374" s="794" t="e">
        <v>#N/A</v>
      </c>
      <c r="EZ374" s="794" t="e">
        <v>#N/A</v>
      </c>
      <c r="FA374" s="712"/>
      <c r="FB374" s="712"/>
      <c r="FC374" s="712"/>
      <c r="FD374" s="712"/>
      <c r="FE374" s="712">
        <f>O374+Sheet1!CO374</f>
        <v>53.27999999999156</v>
      </c>
      <c r="FF374" s="712">
        <f>IF(Sheet1!AA374+AG374&lt;=Calculation!N374,AG374,Calculation!N374-Sheet1!AA374)</f>
        <v>16.265942331799302</v>
      </c>
      <c r="FG374" s="712">
        <f>(Sheet1!BP374+Sheet1!BO374)/694.4</f>
        <v>2.1705069124423964</v>
      </c>
      <c r="FH374" s="712"/>
      <c r="FI374" s="712"/>
      <c r="FJ374" s="712"/>
      <c r="FK374" s="712"/>
      <c r="FL374" s="714">
        <f t="shared" si="929"/>
        <v>40753</v>
      </c>
      <c r="FM374" s="714">
        <f t="shared" si="930"/>
        <v>40851</v>
      </c>
      <c r="FN374" s="712"/>
      <c r="FO374" s="712"/>
      <c r="FP374" s="712"/>
      <c r="FQ374" s="712"/>
      <c r="FR374" s="712"/>
      <c r="FS374" s="725">
        <f t="shared" si="1014"/>
        <v>40603</v>
      </c>
      <c r="FT374" s="714">
        <f t="shared" si="932"/>
        <v>40709</v>
      </c>
      <c r="FU374" s="712">
        <f t="shared" si="1014"/>
        <v>6518.9048239895692</v>
      </c>
      <c r="FV374" s="714">
        <f t="shared" si="933"/>
        <v>40722</v>
      </c>
      <c r="FW374" s="712">
        <f t="shared" si="1014"/>
        <v>3259.4524119947846</v>
      </c>
      <c r="FX374" s="725">
        <f t="shared" si="1014"/>
        <v>40851</v>
      </c>
      <c r="FZ374" s="697">
        <f t="shared" si="926"/>
        <v>0</v>
      </c>
      <c r="GA374" s="712" t="str">
        <f t="shared" si="995"/>
        <v/>
      </c>
      <c r="GB374" s="712">
        <f t="shared" si="996"/>
        <v>0</v>
      </c>
      <c r="GC374" s="712" t="str">
        <f t="shared" si="997"/>
        <v/>
      </c>
      <c r="GD374" s="712">
        <f>IF(GA374="P",Lookup!$M$12,IF(GA374="PP",Lookup!$M$13,IF(GA374="PPP",Lookup!$M$14,IF(GA374="T",Lookup!$M$15,IF(GA374="TP",Lookup!$M$16,IF(GA374="TPP",Lookup!$M$17,IF(GA374="TPPP",Lookup!$M$18,0)))))))*FZ374</f>
        <v>0</v>
      </c>
      <c r="GE374" s="712">
        <f t="shared" si="998"/>
        <v>0</v>
      </c>
      <c r="GF374" s="712">
        <f t="shared" si="999"/>
        <v>0</v>
      </c>
      <c r="GG374" s="712">
        <f t="shared" si="1000"/>
        <v>0</v>
      </c>
      <c r="GH374" s="712"/>
      <c r="GI374" s="712">
        <f t="shared" si="1001"/>
        <v>0</v>
      </c>
      <c r="GJ374" s="712" t="str">
        <f t="shared" si="1002"/>
        <v/>
      </c>
      <c r="GK374" s="712">
        <f>IF(GA374="P",Lookup!$N$12,IF(GA374="PP",Lookup!$N$13,IF(GA374="PPP",Lookup!$N$14,IF(GA374="T",Lookup!$N$15,IF(GA374="TP",Lookup!$N$16,IF(GA374="TPP",Lookup!$N$17,IF(GA374="TPPP",Lookup!$N$18,0)))))))*FZ374</f>
        <v>0</v>
      </c>
      <c r="GL374" s="712">
        <f t="shared" si="1003"/>
        <v>0</v>
      </c>
      <c r="GM374" s="712">
        <f t="shared" si="1004"/>
        <v>0</v>
      </c>
      <c r="GN374" s="712">
        <f t="shared" si="1005"/>
        <v>0</v>
      </c>
      <c r="GO374" s="712"/>
      <c r="GP374" s="712">
        <f t="shared" si="1006"/>
        <v>0</v>
      </c>
      <c r="GQ374" s="712" t="str">
        <f t="shared" si="1007"/>
        <v/>
      </c>
      <c r="GR374" s="712">
        <f>IF(GA374="P",Lookup!$N$12,IF(GA374="PP",Lookup!$N$13,IF(GA374="PPP",Lookup!$N$14,IF(GA374="T",Lookup!$N$15,IF(GA374="TP",Lookup!$N$16,IF(GA374="TPP",Lookup!$N$17,IF(GA374="TPPP",Lookup!$N$18,0)))))))*FZ374</f>
        <v>0</v>
      </c>
      <c r="GS374" s="697">
        <f t="shared" si="927"/>
        <v>0</v>
      </c>
      <c r="GT374" s="712">
        <f t="shared" si="1008"/>
        <v>0</v>
      </c>
      <c r="GU374" s="712">
        <f t="shared" si="1009"/>
        <v>0</v>
      </c>
      <c r="GV374" s="712"/>
      <c r="GW374" s="712">
        <f t="shared" si="1010"/>
        <v>0</v>
      </c>
      <c r="GX374" s="712" t="str">
        <f t="shared" si="1011"/>
        <v/>
      </c>
      <c r="GY374" s="712">
        <f>IF(GA374="P",Lookup!$N$12,IF(GA374="PP",Lookup!$N$13,IF(GA374="PPP",Lookup!$N$14,IF(GA374="T",Lookup!$N$15,IF(GA374="TP",Lookup!$N$16,IF(GA374="TPP",Lookup!$N$17,IF(GA374="TPPP",Lookup!$N$18,0)))))))*FZ374</f>
        <v>0</v>
      </c>
      <c r="GZ374" s="697">
        <f t="shared" si="928"/>
        <v>0</v>
      </c>
      <c r="HA374" s="712">
        <f t="shared" si="1012"/>
        <v>0</v>
      </c>
      <c r="HB374" s="712">
        <f t="shared" si="1013"/>
        <v>0</v>
      </c>
      <c r="HC374" s="712"/>
    </row>
    <row r="375" spans="1:211">
      <c r="A375" s="773" t="s">
        <v>5</v>
      </c>
      <c r="B375" s="708">
        <v>40904</v>
      </c>
      <c r="C375" s="719">
        <v>0.5</v>
      </c>
      <c r="D375" s="675">
        <f t="shared" si="936"/>
        <v>300</v>
      </c>
      <c r="E375" s="675">
        <f t="shared" si="937"/>
        <v>250</v>
      </c>
      <c r="F375" s="675">
        <v>250</v>
      </c>
      <c r="G375" s="712">
        <f>DH375+Sheet1!CV375</f>
        <v>508.68885526979329</v>
      </c>
      <c r="H375" s="712">
        <f t="shared" si="938"/>
        <v>61.853276046394384</v>
      </c>
      <c r="I375" s="711">
        <f>MAX(Sheet1!Z375-AJ375+(Sheet1!CW375-E375)*CFStoMGD,0)</f>
        <v>324.27238947043378</v>
      </c>
      <c r="J375" s="720">
        <f>IF(AND(B375&gt;=Calculation!FS375,B375&lt;=Calculation!FT375),IF(Sheet1!CX375&gt;=Calculation!D375,64.64,0),MAX(Sheet1!Z375-AJ375+(Sheet1!CX375-D375)*CFStoMGD,0))</f>
        <v>220.55212280376719</v>
      </c>
      <c r="K375" s="697">
        <f t="shared" si="939"/>
        <v>61.853276046394384</v>
      </c>
      <c r="L375" s="712">
        <f>Sheet1!AA375+Sheet1!AB375-Sheet1!L375+(Sheet1!CW375-F375)*CFStoMGD</f>
        <v>361.04913333333326</v>
      </c>
      <c r="M375" s="712">
        <f t="shared" si="940"/>
        <v>335.39280556732228</v>
      </c>
      <c r="N375" s="712">
        <f>IF(Sheet1!CW375&gt;=F375,MIN(73,MIN(MAX(L375,0),MAX(M375,0))),0)</f>
        <v>73</v>
      </c>
      <c r="O375" s="721">
        <f>Sheet1!AA375+Sheet1!AB375</f>
        <v>50.7</v>
      </c>
      <c r="P375" s="721">
        <f t="shared" si="941"/>
        <v>78.432899999999989</v>
      </c>
      <c r="Q375" s="712">
        <f>MIN(N375,Sheet1!AA375+AG375)</f>
        <v>42.166743862899487</v>
      </c>
      <c r="R375" s="712">
        <f t="shared" si="942"/>
        <v>8.5332561371005085</v>
      </c>
      <c r="S375" s="721">
        <f>Sheet1!Y375*MGDtoCFS</f>
        <v>44.677359999999993</v>
      </c>
      <c r="T375" s="721">
        <f>Sheet1!Z375*MGDtoCFS</f>
        <v>37.267229999999998</v>
      </c>
      <c r="U375" s="721">
        <f>Sheet1!AA375*MGDtoCFS</f>
        <v>44.863</v>
      </c>
      <c r="V375" s="721">
        <f>Sheet1!AB375*MGDtoCFS</f>
        <v>33.569899999999997</v>
      </c>
      <c r="W375" s="721">
        <f>Sheet1!L375*MGDtoCFS</f>
        <v>4.641</v>
      </c>
      <c r="X375" s="697">
        <f t="shared" si="943"/>
        <v>0</v>
      </c>
      <c r="Y375" s="712">
        <f t="shared" si="944"/>
        <v>0</v>
      </c>
      <c r="Z375" s="712">
        <f t="shared" si="945"/>
        <v>0</v>
      </c>
      <c r="AA375" s="712">
        <f t="shared" si="946"/>
        <v>0</v>
      </c>
      <c r="AB375" s="712">
        <f>(VLOOKUP(Sheet1!CY375,hhdcap_wcm,4)-(((VLOOKUP(Sheet1!CY375,hhdcap_wcm,3)-Sheet1!CY375)/(VLOOKUP(Sheet1!CY375,hhdcap_wcm,3)-VLOOKUP(Sheet1!CY375,hhdcap_wcm,1)))*(VLOOKUP(Sheet1!CY375,hhdcap_wcm,4)-VLOOKUP(Sheet1!CY375,hhdcap_wcm,2))))</f>
        <v>2030.0000000029559</v>
      </c>
      <c r="AC375" s="712">
        <f t="shared" si="947"/>
        <v>-2.5999999999999091</v>
      </c>
      <c r="AD375" s="712">
        <f t="shared" si="948"/>
        <v>0</v>
      </c>
      <c r="AE375" s="712">
        <f t="shared" si="949"/>
        <v>0</v>
      </c>
      <c r="AF375" s="712">
        <f>Sheet1!BA375+Sheet1!BB375+Sheet1!BN375+BT375</f>
        <v>13.1</v>
      </c>
      <c r="AG375" s="712">
        <f t="shared" si="950"/>
        <v>13.166743862899489</v>
      </c>
      <c r="AH375" s="712">
        <f>Sheet1!BA375+BT375</f>
        <v>0</v>
      </c>
      <c r="AI375" s="712">
        <f>Sheet1!BA375+Sheet1!BB375+BT375</f>
        <v>0</v>
      </c>
      <c r="AJ375" s="712">
        <f>IF((Sheet1!AA375+AG375+AX375+AZ375+BQ375+BS375+CL375+CN375)&lt;=N375,AG375+AX375+AZ375+BQ375+BS375+CL375+CN375,N375-Sheet1!AA375)</f>
        <v>13.166743862899489</v>
      </c>
      <c r="AK375" s="712">
        <f>IF(DR375&lt;K375,0,MAX(Sheet1!AA375+AG375-15/36*K375-N375,Sheet1!ED375,0))</f>
        <v>0</v>
      </c>
      <c r="AL375" s="712">
        <f>IF(OR(B375&gt;=FT375,B375&lt;FS375),0,15/36*K375-MAX(0,64.6-(137.6-(Sheet1!AA375+Sheet1!AB375))))</f>
        <v>0</v>
      </c>
      <c r="AM375" s="712">
        <f>Sheet1!CX375-110</f>
        <v>514.30208333333337</v>
      </c>
      <c r="AN375" s="712">
        <f>Sheet1!CW375-265</f>
        <v>469.76041666666663</v>
      </c>
      <c r="AO375" s="712">
        <f t="shared" si="934"/>
        <v>30.833256137100513</v>
      </c>
      <c r="AP375" s="712">
        <f t="shared" si="951"/>
        <v>0</v>
      </c>
      <c r="AQ375" s="712">
        <f t="shared" si="952"/>
        <v>0</v>
      </c>
      <c r="AR375" s="712">
        <f t="shared" si="953"/>
        <v>0</v>
      </c>
      <c r="AS375" s="712"/>
      <c r="AT375" s="712">
        <f ca="1">IF(B375&gt;Summary!$A$1,#N/A,AR375*MGtoAF)</f>
        <v>0</v>
      </c>
      <c r="AU375" s="712">
        <f>Sheet1!BG375+Sheet1!BH375+Sheet1!BI375-BC375</f>
        <v>0</v>
      </c>
      <c r="AV375" s="712">
        <f t="shared" si="954"/>
        <v>0</v>
      </c>
      <c r="AW375" s="712">
        <f>IF(Sheet1!EL375="FM",BC375,0)</f>
        <v>0</v>
      </c>
      <c r="AX375" s="712">
        <f t="shared" si="955"/>
        <v>0</v>
      </c>
      <c r="AY375" s="712">
        <f>IF(Sheet1!EL375="OTHER",BC375,0)</f>
        <v>0</v>
      </c>
      <c r="AZ375" s="712">
        <f t="shared" si="956"/>
        <v>0</v>
      </c>
      <c r="BA375" s="712">
        <f t="shared" si="957"/>
        <v>0</v>
      </c>
      <c r="BB375" s="712">
        <f t="shared" si="958"/>
        <v>0</v>
      </c>
      <c r="BC375" s="712">
        <f>IF(OR(Sheet1!EL375="FM", Sheet1!EL375="OTHER"),SUM(Sheet1!BG375:'Sheet1'!BI375),0)</f>
        <v>0</v>
      </c>
      <c r="BD375" s="697">
        <f>IF(AND($B375&gt;=$FL375,$B375&lt;=$FM375),MAX(AV375,Sheet1!EE375,0),MAX(AV375-(7/36)*$K375,0))</f>
        <v>0</v>
      </c>
      <c r="BE375" s="712">
        <f t="shared" si="959"/>
        <v>0</v>
      </c>
      <c r="BF375" s="697">
        <f t="shared" si="960"/>
        <v>0</v>
      </c>
      <c r="BG375" s="697">
        <f>IF(AND($O375&gt;0,Sheet1!EI375=1),(1-($O375-Sheet1!$L375)/$O375)*BB375,0)</f>
        <v>0</v>
      </c>
      <c r="BH375" s="697">
        <f>IF(AND(Sheet1!$L375=0,Sheet1!$L374=0, Calculation!BA375&lt;Sheet1!$EE375-0.1,Sheet1!$EE375=Sheet1!$EE374,Sheet1!$EE375=Sheet1!$EE376),Sheet1!$EE375,BB375-BG375)</f>
        <v>0</v>
      </c>
      <c r="BI375" s="712"/>
      <c r="BJ375" s="712"/>
      <c r="BK375" s="712">
        <f t="shared" si="961"/>
        <v>0</v>
      </c>
      <c r="BL375" s="712"/>
      <c r="BM375" s="712">
        <f ca="1">IF(B375&gt;Summary!$A$1,#N/A,BK375*MGtoAF)</f>
        <v>0</v>
      </c>
      <c r="BN375" s="712">
        <f>Sheet1!BC375+Sheet1!BD375+Sheet1!BE375+Sheet1!BF375-BW375-BX375</f>
        <v>2.02</v>
      </c>
      <c r="BO375" s="712">
        <f t="shared" si="962"/>
        <v>2.030291801760074</v>
      </c>
      <c r="BP375" s="712">
        <f>IF(Sheet1!EM375="FM",BX375,0)</f>
        <v>0</v>
      </c>
      <c r="BQ375" s="712">
        <f t="shared" si="963"/>
        <v>0</v>
      </c>
      <c r="BR375" s="712">
        <f>IF(Sheet1!EM375="OTHER",BX375,0)</f>
        <v>0</v>
      </c>
      <c r="BS375" s="712">
        <f t="shared" si="964"/>
        <v>0</v>
      </c>
      <c r="BT375" s="712">
        <f t="shared" si="965"/>
        <v>0</v>
      </c>
      <c r="BU375" s="712">
        <f t="shared" si="966"/>
        <v>2.02</v>
      </c>
      <c r="BV375" s="712">
        <f t="shared" si="967"/>
        <v>2.030291801760074</v>
      </c>
      <c r="BW375" s="712">
        <f>IF(Sheet1!EM375="CWA",SUM(Sheet1!BC375:'Sheet1'!BF375),0)</f>
        <v>0</v>
      </c>
      <c r="BX375" s="712">
        <f>IF(OR(Sheet1!EM375="FM", Sheet1!EM375="OTHER"),SUM(Sheet1!BC375:'Sheet1'!BF375),0)</f>
        <v>0</v>
      </c>
      <c r="BY375" s="697">
        <f>IF(AND($B375&gt;=$FL375,$B375&lt;=$FM375),MAX(BV375,Sheet1!EF375,0),MAX(BV375-(7/36)*$K375,0))</f>
        <v>0</v>
      </c>
      <c r="BZ375" s="712">
        <f t="shared" si="968"/>
        <v>0</v>
      </c>
      <c r="CA375" s="697">
        <f t="shared" si="969"/>
        <v>2.030291801760074</v>
      </c>
      <c r="CB375" s="697">
        <f>IF(AND($O375&gt;0,Sheet1!EJ375=1),(1-($O375-Sheet1!$L375)/$O375)*BV375,0)</f>
        <v>0</v>
      </c>
      <c r="CC375" s="697">
        <f>IF(AND(Sheet1!$L375=0,Sheet1!$L374=0, Calculation!BU375&lt;Sheet1!EF375-0.1,Sheet1!EF375=Sheet1!EF374,Sheet1!EF375=Sheet1!EF376),Sheet1!EF375,BV375-CB375)</f>
        <v>2.030291801760074</v>
      </c>
      <c r="CD375" s="697"/>
      <c r="CE375" s="712"/>
      <c r="CF375" s="712">
        <f t="shared" si="970"/>
        <v>0</v>
      </c>
      <c r="CG375" s="712"/>
      <c r="CH375" s="712">
        <f ca="1">IF(B375&gt;Summary!$A$1,#N/A,CF375*MGtoAF)</f>
        <v>0</v>
      </c>
      <c r="CI375" s="712">
        <f>Sheet1!BK375+Sheet1!BL375+Sheet1!BM375-Sheet1!EN375-CQ375</f>
        <v>6.47</v>
      </c>
      <c r="CJ375" s="712">
        <f t="shared" si="971"/>
        <v>6.5029643353404349</v>
      </c>
      <c r="CK375" s="712">
        <f>IF(Sheet1!EN375="FM",CQ375,0)</f>
        <v>0</v>
      </c>
      <c r="CL375" s="712">
        <f t="shared" si="972"/>
        <v>0</v>
      </c>
      <c r="CM375" s="712">
        <f>IF(Sheet1!EN375="OTHER",CQ375,0)</f>
        <v>0</v>
      </c>
      <c r="CN375" s="712">
        <f t="shared" si="973"/>
        <v>0</v>
      </c>
      <c r="CO375" s="712">
        <f t="shared" si="974"/>
        <v>6.47</v>
      </c>
      <c r="CP375" s="712">
        <f t="shared" si="975"/>
        <v>6.5029643353404349</v>
      </c>
      <c r="CQ375" s="712">
        <f>IF(OR(Sheet1!EN375="FM", Sheet1!EN375="OTHER"),SUM(Sheet1!BK375:'Sheet1'!BM375),0)</f>
        <v>0</v>
      </c>
      <c r="CR375" s="697">
        <f>IF(AND($B375&gt;=$FL375,$B375&lt;=$FM375),MAX($CJ375,Sheet1!EG375,0),MAX($CJ375-(7/36)*$K375,0))</f>
        <v>0</v>
      </c>
      <c r="CS375" s="712">
        <f t="shared" si="976"/>
        <v>0</v>
      </c>
      <c r="CT375" s="697">
        <f t="shared" si="977"/>
        <v>6.5029643353404349</v>
      </c>
      <c r="CU375" s="697">
        <f>IF(AND($O375&gt;0,Sheet1!EK375=1),(1-($O375-Sheet1!$L375)/$O375)*CP375,0)</f>
        <v>0</v>
      </c>
      <c r="CV375" s="697">
        <f>IF(AND(Sheet1!$L375=0,Sheet1!$L374=0, Calculation!CO375&lt;Sheet1!$EG375-0.1,Sheet1!$EG375=Sheet1!$EG374,Sheet1!$EG375=Sheet1!$EG376),Sheet1!$EG375,CP375-CU375)</f>
        <v>6.5029643353404349</v>
      </c>
      <c r="CW375" s="697"/>
      <c r="CX375" s="712">
        <f t="shared" si="978"/>
        <v>8.49</v>
      </c>
      <c r="CY375" s="712">
        <f t="shared" si="979"/>
        <v>0</v>
      </c>
      <c r="CZ375" s="712">
        <f t="shared" si="980"/>
        <v>8.5332561371005085</v>
      </c>
      <c r="DA375" s="712">
        <f ca="1">IF(B375&gt;Summary!$A$1,#N/A,CY375*MGtoAF)</f>
        <v>0</v>
      </c>
      <c r="DB375" s="712">
        <f t="shared" si="981"/>
        <v>8.49</v>
      </c>
      <c r="DC375" s="712">
        <f t="shared" si="982"/>
        <v>21.59</v>
      </c>
      <c r="DD375" s="712">
        <f>Sheet1!AB375-DC375</f>
        <v>0.10999999999999943</v>
      </c>
      <c r="DE375" s="712">
        <f t="shared" si="983"/>
        <v>5.0949513663732949E-3</v>
      </c>
      <c r="DF375" s="712">
        <f>(VLOOKUP(Sheet1!CY375,hhdcap_wcm,4)-(((VLOOKUP(Sheet1!CY375,hhdcap_wcm,3)-Sheet1!CY375)/(VLOOKUP(Sheet1!CY375,hhdcap_wcm,3)-VLOOKUP(Sheet1!CY375,hhdcap_wcm,1)))*(VLOOKUP(Sheet1!CY375,hhdcap_wcm,4)-VLOOKUP(Sheet1!CY375,hhdcap_wcm,2))))</f>
        <v>2030.0000000029559</v>
      </c>
      <c r="DG375" s="712">
        <f t="shared" si="984"/>
        <v>-2.5999999999999091</v>
      </c>
      <c r="DH375" s="712">
        <f t="shared" si="985"/>
        <v>-1.3111447302067114</v>
      </c>
      <c r="DI375" s="712">
        <f>Sheet1!DW375*AFtoMG</f>
        <v>0</v>
      </c>
      <c r="DJ375" s="712">
        <f>Sheet1!DX375*AFtoMG</f>
        <v>0</v>
      </c>
      <c r="DK375" s="712">
        <f>Sheet1!DY375*AFtoMG</f>
        <v>0</v>
      </c>
      <c r="DL375" s="712">
        <f>Sheet1!DZ375*AFtoMG</f>
        <v>0</v>
      </c>
      <c r="DM375" s="712">
        <f t="shared" si="986"/>
        <v>0</v>
      </c>
      <c r="DN375" s="712">
        <f t="shared" si="987"/>
        <v>0</v>
      </c>
      <c r="DO375" s="712">
        <f t="shared" si="988"/>
        <v>0</v>
      </c>
      <c r="DP375" s="712">
        <f t="shared" si="989"/>
        <v>0</v>
      </c>
      <c r="DQ375" s="712"/>
      <c r="DR375" s="697">
        <f>IF(OR(B375&lt;FL375,B375&gt;FM375),(MIN(AV375+BO375+CJ375+MAX(Sheet1!AA375+AG375-73,0),K375)),0)</f>
        <v>8.5332561371005085</v>
      </c>
      <c r="DS375" s="712"/>
      <c r="DT375" s="712">
        <f t="shared" si="990"/>
        <v>8.5332561371005085</v>
      </c>
      <c r="DU375" s="712"/>
      <c r="DV375" s="712">
        <f>Sheet1!ED375+Sheet1!EE375+Sheet1!EF375+Sheet1!EG375</f>
        <v>8.5</v>
      </c>
      <c r="DW375" s="712"/>
      <c r="DX375" s="697">
        <f t="shared" si="991"/>
        <v>0</v>
      </c>
      <c r="DY375" s="712">
        <f>IF(Sheet1!FN375=1,SUM('Calculations II'!AT375:BA375)+'Calculations II'!BC375+Sheet1!BU375+'Calculations II'!BE375+AF375,SUM('Calculations II'!AT375:BA375)+'Calculations II'!BC375+Sheet1!BU375+'Calculations II'!BE375+AF375)</f>
        <v>37.768608</v>
      </c>
      <c r="DZ375" s="712">
        <f>Sheet1!AA375+Sheet1!AB375+'Calculations II'!BC375</f>
        <v>50.7</v>
      </c>
      <c r="EA375" s="712"/>
      <c r="EB375" s="712"/>
      <c r="EC375" s="712">
        <f t="shared" si="992"/>
        <v>40904</v>
      </c>
      <c r="ED375" s="712">
        <f t="shared" si="993"/>
        <v>0</v>
      </c>
      <c r="EE375" s="712">
        <f t="shared" si="994"/>
        <v>0</v>
      </c>
      <c r="EF375" s="712">
        <f ca="1">IF(B375=TODAY(),0,-(VLOOKUP(Sheet1!BQ375,Lookup!$B$4:$J$236,2)-VLOOKUP(Sheet1!BQ374,Lookup!$B$4:$J$236,2))/1000000)</f>
        <v>0.82820000000000005</v>
      </c>
      <c r="EG375" s="712">
        <f ca="1">IF(B375=TODAY(),0,-(VLOOKUP(Sheet1!BR375,Lookup!$B$4:$J$236,3)-VLOOKUP(Sheet1!BR374,Lookup!$B$4:$J$236,3))/1000000)</f>
        <v>0.82699999999999996</v>
      </c>
      <c r="EH375" s="712">
        <f>-(VLOOKUP(Sheet1!BS375,Lookup!$B$4:$J$236,4)-VLOOKUP(Sheet1!BS374,Lookup!$B$4:$J$236,4))/1000000</f>
        <v>0</v>
      </c>
      <c r="EI375" s="697">
        <f t="shared" ca="1" si="922"/>
        <v>1.6552</v>
      </c>
      <c r="EJ375" s="712"/>
      <c r="EK375" s="712"/>
      <c r="EL375" s="712"/>
      <c r="EM375" s="712"/>
      <c r="EN375" s="712"/>
      <c r="EO375" s="712"/>
      <c r="EP375" s="712"/>
      <c r="EQ375" s="712"/>
      <c r="ER375" s="712"/>
      <c r="ES375" s="712"/>
      <c r="ET375" s="794" t="e">
        <f t="shared" si="1015"/>
        <v>#N/A</v>
      </c>
      <c r="EU375" s="794" t="e">
        <f t="shared" si="924"/>
        <v>#N/A</v>
      </c>
      <c r="EV375" s="795" t="e">
        <f t="shared" si="925"/>
        <v>#N/A</v>
      </c>
      <c r="EW375" s="796" t="s">
        <v>757</v>
      </c>
      <c r="EX375" s="796" t="s">
        <v>757</v>
      </c>
      <c r="EY375" s="794" t="e">
        <v>#N/A</v>
      </c>
      <c r="EZ375" s="794" t="e">
        <v>#N/A</v>
      </c>
      <c r="FA375" s="712"/>
      <c r="FB375" s="712"/>
      <c r="FC375" s="712"/>
      <c r="FD375" s="712"/>
      <c r="FE375" s="712">
        <f>O375+Sheet1!CO375</f>
        <v>50.7</v>
      </c>
      <c r="FF375" s="712">
        <f>IF(Sheet1!AA375+AG375&lt;=Calculation!N375,AG375,Calculation!N375-Sheet1!AA375)</f>
        <v>13.166743862899489</v>
      </c>
      <c r="FG375" s="712">
        <f>(Sheet1!BP375+Sheet1!BO375)/694.4</f>
        <v>1.469758064516129</v>
      </c>
      <c r="FH375" s="712"/>
      <c r="FI375" s="712"/>
      <c r="FJ375" s="712"/>
      <c r="FK375" s="712"/>
      <c r="FL375" s="714">
        <f t="shared" si="929"/>
        <v>40753</v>
      </c>
      <c r="FM375" s="714">
        <f t="shared" si="930"/>
        <v>40851</v>
      </c>
      <c r="FN375" s="712"/>
      <c r="FO375" s="712"/>
      <c r="FP375" s="712"/>
      <c r="FQ375" s="712"/>
      <c r="FR375" s="712"/>
      <c r="FS375" s="725">
        <f t="shared" si="1014"/>
        <v>40603</v>
      </c>
      <c r="FT375" s="714">
        <f t="shared" si="932"/>
        <v>40709</v>
      </c>
      <c r="FU375" s="712">
        <f t="shared" si="1014"/>
        <v>6518.9048239895692</v>
      </c>
      <c r="FV375" s="714">
        <f t="shared" si="933"/>
        <v>40722</v>
      </c>
      <c r="FW375" s="712">
        <f t="shared" si="1014"/>
        <v>3259.4524119947846</v>
      </c>
      <c r="FX375" s="725">
        <f t="shared" si="1014"/>
        <v>40851</v>
      </c>
      <c r="FZ375" s="697">
        <f t="shared" si="926"/>
        <v>0</v>
      </c>
      <c r="GA375" s="712" t="str">
        <f t="shared" si="995"/>
        <v/>
      </c>
      <c r="GB375" s="712">
        <f t="shared" si="996"/>
        <v>0</v>
      </c>
      <c r="GC375" s="712" t="str">
        <f t="shared" si="997"/>
        <v/>
      </c>
      <c r="GD375" s="712">
        <f>IF(GA375="P",Lookup!$M$12,IF(GA375="PP",Lookup!$M$13,IF(GA375="PPP",Lookup!$M$14,IF(GA375="T",Lookup!$M$15,IF(GA375="TP",Lookup!$M$16,IF(GA375="TPP",Lookup!$M$17,IF(GA375="TPPP",Lookup!$M$18,0)))))))*FZ375</f>
        <v>0</v>
      </c>
      <c r="GE375" s="712">
        <f t="shared" si="998"/>
        <v>0</v>
      </c>
      <c r="GF375" s="712">
        <f t="shared" si="999"/>
        <v>0</v>
      </c>
      <c r="GG375" s="712">
        <f t="shared" si="1000"/>
        <v>0</v>
      </c>
      <c r="GH375" s="712"/>
      <c r="GI375" s="712">
        <f t="shared" si="1001"/>
        <v>0</v>
      </c>
      <c r="GJ375" s="712" t="str">
        <f t="shared" si="1002"/>
        <v/>
      </c>
      <c r="GK375" s="712">
        <f>IF(GA375="P",Lookup!$N$12,IF(GA375="PP",Lookup!$N$13,IF(GA375="PPP",Lookup!$N$14,IF(GA375="T",Lookup!$N$15,IF(GA375="TP",Lookup!$N$16,IF(GA375="TPP",Lookup!$N$17,IF(GA375="TPPP",Lookup!$N$18,0)))))))*FZ375</f>
        <v>0</v>
      </c>
      <c r="GL375" s="712">
        <f t="shared" si="1003"/>
        <v>0</v>
      </c>
      <c r="GM375" s="712">
        <f t="shared" si="1004"/>
        <v>0</v>
      </c>
      <c r="GN375" s="712">
        <f t="shared" si="1005"/>
        <v>0</v>
      </c>
      <c r="GO375" s="712"/>
      <c r="GP375" s="712">
        <f t="shared" si="1006"/>
        <v>0</v>
      </c>
      <c r="GQ375" s="712" t="str">
        <f t="shared" si="1007"/>
        <v/>
      </c>
      <c r="GR375" s="712">
        <f>IF(GA375="P",Lookup!$N$12,IF(GA375="PP",Lookup!$N$13,IF(GA375="PPP",Lookup!$N$14,IF(GA375="T",Lookup!$N$15,IF(GA375="TP",Lookup!$N$16,IF(GA375="TPP",Lookup!$N$17,IF(GA375="TPPP",Lookup!$N$18,0)))))))*FZ375</f>
        <v>0</v>
      </c>
      <c r="GS375" s="697">
        <f t="shared" si="927"/>
        <v>0</v>
      </c>
      <c r="GT375" s="712">
        <f t="shared" si="1008"/>
        <v>0</v>
      </c>
      <c r="GU375" s="712">
        <f t="shared" si="1009"/>
        <v>0</v>
      </c>
      <c r="GV375" s="712"/>
      <c r="GW375" s="712">
        <f t="shared" si="1010"/>
        <v>0</v>
      </c>
      <c r="GX375" s="712" t="str">
        <f t="shared" si="1011"/>
        <v/>
      </c>
      <c r="GY375" s="712">
        <f>IF(GA375="P",Lookup!$N$12,IF(GA375="PP",Lookup!$N$13,IF(GA375="PPP",Lookup!$N$14,IF(GA375="T",Lookup!$N$15,IF(GA375="TP",Lookup!$N$16,IF(GA375="TPP",Lookup!$N$17,IF(GA375="TPPP",Lookup!$N$18,0)))))))*FZ375</f>
        <v>0</v>
      </c>
      <c r="GZ375" s="697">
        <f t="shared" si="928"/>
        <v>0</v>
      </c>
      <c r="HA375" s="712">
        <f t="shared" si="1012"/>
        <v>0</v>
      </c>
      <c r="HB375" s="712">
        <f t="shared" si="1013"/>
        <v>0</v>
      </c>
      <c r="HC375" s="712"/>
    </row>
    <row r="376" spans="1:211">
      <c r="A376" s="773" t="s">
        <v>6</v>
      </c>
      <c r="B376" s="708">
        <v>40905</v>
      </c>
      <c r="C376" s="719">
        <v>0.5</v>
      </c>
      <c r="D376" s="675">
        <f t="shared" si="936"/>
        <v>300</v>
      </c>
      <c r="E376" s="675">
        <f t="shared" si="937"/>
        <v>250</v>
      </c>
      <c r="F376" s="675">
        <v>250</v>
      </c>
      <c r="G376" s="712">
        <f>DH376+Sheet1!CV376</f>
        <v>4129.6998865381638</v>
      </c>
      <c r="H376" s="712">
        <f t="shared" si="938"/>
        <v>2402.4748066582688</v>
      </c>
      <c r="I376" s="711">
        <f>MAX(Sheet1!Z376-AJ376+(Sheet1!CW376-E376)*CFStoMGD,0)</f>
        <v>1088.8487295774623</v>
      </c>
      <c r="J376" s="720">
        <f>IF(AND(B376&gt;=Calculation!FS376,B376&lt;=Calculation!FT376),IF(Sheet1!CX376&gt;=Calculation!D376,64.64,0),MAX(Sheet1!Z376-AJ376+(Sheet1!CX376-D376)*CFStoMGD,0))</f>
        <v>1549.7386629107957</v>
      </c>
      <c r="K376" s="697">
        <f t="shared" si="939"/>
        <v>64.64</v>
      </c>
      <c r="L376" s="712">
        <f>Sheet1!AA376+Sheet1!AB376-Sheet1!L376+(Sheet1!CW376-F376)*CFStoMGD</f>
        <v>1082.2138000000077</v>
      </c>
      <c r="M376" s="712">
        <f t="shared" si="940"/>
        <v>2722.8267667914347</v>
      </c>
      <c r="N376" s="712">
        <f>IF(Sheet1!CW376&gt;=F376,MIN(73,MIN(MAX(L376,0),MAX(M376,0))),0)</f>
        <v>73</v>
      </c>
      <c r="O376" s="721">
        <f>Sheet1!AA376+Sheet1!AB376</f>
        <v>44.22000000000844</v>
      </c>
      <c r="P376" s="721">
        <f t="shared" si="941"/>
        <v>68.408340000013055</v>
      </c>
      <c r="Q376" s="712">
        <f>MIN(N376,Sheet1!AA376+AG376)</f>
        <v>41.645070422543249</v>
      </c>
      <c r="R376" s="712">
        <f t="shared" si="942"/>
        <v>2.5749295774651948</v>
      </c>
      <c r="S376" s="721">
        <f>Sheet1!Y376*MGDtoCFS</f>
        <v>45.002229999999997</v>
      </c>
      <c r="T376" s="721">
        <f>Sheet1!Z376*MGDtoCFS</f>
        <v>30.615129999999997</v>
      </c>
      <c r="U376" s="721">
        <f>Sheet1!AA376*MGDtoCFS</f>
        <v>42.697200000009005</v>
      </c>
      <c r="V376" s="721">
        <f>Sheet1!AB376*MGDtoCFS</f>
        <v>25.71114000000405</v>
      </c>
      <c r="W376" s="721">
        <f>Sheet1!L376*MGDtoCFS</f>
        <v>69.785170000000903</v>
      </c>
      <c r="X376" s="697">
        <f t="shared" si="943"/>
        <v>0</v>
      </c>
      <c r="Y376" s="712">
        <f t="shared" si="944"/>
        <v>0</v>
      </c>
      <c r="Z376" s="712">
        <f t="shared" si="945"/>
        <v>0</v>
      </c>
      <c r="AA376" s="712">
        <f t="shared" si="946"/>
        <v>0</v>
      </c>
      <c r="AB376" s="712">
        <f>(VLOOKUP(Sheet1!CY376,hhdcap_wcm,4)-(((VLOOKUP(Sheet1!CY376,hhdcap_wcm,3)-Sheet1!CY376)/(VLOOKUP(Sheet1!CY376,hhdcap_wcm,3)-VLOOKUP(Sheet1!CY376,hhdcap_wcm,1)))*(VLOOKUP(Sheet1!CY376,hhdcap_wcm,4)-VLOOKUP(Sheet1!CY376,hhdcap_wcm,2))))</f>
        <v>4873.4400000081359</v>
      </c>
      <c r="AC376" s="712">
        <f t="shared" si="947"/>
        <v>2843.4400000051801</v>
      </c>
      <c r="AD376" s="712">
        <f t="shared" si="948"/>
        <v>0</v>
      </c>
      <c r="AE376" s="712">
        <f t="shared" si="949"/>
        <v>0</v>
      </c>
      <c r="AF376" s="712">
        <f>Sheet1!BA376+Sheet1!BB376+Sheet1!BN376+BT376</f>
        <v>14.4</v>
      </c>
      <c r="AG376" s="712">
        <f t="shared" si="950"/>
        <v>14.045070422537426</v>
      </c>
      <c r="AH376" s="712">
        <f>Sheet1!BA376+BT376</f>
        <v>0</v>
      </c>
      <c r="AI376" s="712">
        <f>Sheet1!BA376+Sheet1!BB376+BT376</f>
        <v>0</v>
      </c>
      <c r="AJ376" s="712">
        <f>IF((Sheet1!AA376+AG376+AX376+AZ376+BQ376+BS376+CL376+CN376)&lt;=N376,AG376+AX376+AZ376+BQ376+BS376+CL376+CN376,N376-Sheet1!AA376)</f>
        <v>14.045070422537426</v>
      </c>
      <c r="AK376" s="712">
        <f>IF(DR376&lt;K376,0,MAX(Sheet1!AA376+AG376-15/36*K376-N376,Sheet1!ED376,0))</f>
        <v>0</v>
      </c>
      <c r="AL376" s="712">
        <f>IF(OR(B376&gt;=FT376,B376&lt;FS376),0,15/36*K376-MAX(0,64.6-(137.6-(Sheet1!AA376+Sheet1!AB376))))</f>
        <v>0</v>
      </c>
      <c r="AM376" s="712">
        <f>Sheet1!CX376-110</f>
        <v>2578.6041666666665</v>
      </c>
      <c r="AN376" s="712">
        <f>Sheet1!CW376-265</f>
        <v>1660.59375</v>
      </c>
      <c r="AO376" s="712">
        <f t="shared" si="934"/>
        <v>31.354929577456751</v>
      </c>
      <c r="AP376" s="712">
        <f t="shared" si="951"/>
        <v>0</v>
      </c>
      <c r="AQ376" s="712">
        <f t="shared" si="952"/>
        <v>0</v>
      </c>
      <c r="AR376" s="712">
        <f t="shared" si="953"/>
        <v>0</v>
      </c>
      <c r="AS376" s="712"/>
      <c r="AT376" s="712">
        <f ca="1">IF(B376&gt;Summary!$A$1,#N/A,AR376*MGtoAF)</f>
        <v>0</v>
      </c>
      <c r="AU376" s="712">
        <f>Sheet1!BG376+Sheet1!BH376+Sheet1!BI376-BC376</f>
        <v>0</v>
      </c>
      <c r="AV376" s="712">
        <f t="shared" si="954"/>
        <v>0</v>
      </c>
      <c r="AW376" s="712">
        <f>IF(Sheet1!EL376="FM",BC376,0)</f>
        <v>0</v>
      </c>
      <c r="AX376" s="712">
        <f t="shared" si="955"/>
        <v>0</v>
      </c>
      <c r="AY376" s="712">
        <f>IF(Sheet1!EL376="OTHER",BC376,0)</f>
        <v>0</v>
      </c>
      <c r="AZ376" s="712">
        <f t="shared" si="956"/>
        <v>0</v>
      </c>
      <c r="BA376" s="712">
        <f t="shared" si="957"/>
        <v>0</v>
      </c>
      <c r="BB376" s="712">
        <f t="shared" si="958"/>
        <v>0</v>
      </c>
      <c r="BC376" s="712">
        <f>IF(OR(Sheet1!EL376="FM", Sheet1!EL376="OTHER"),SUM(Sheet1!BG376:'Sheet1'!BI376),0)</f>
        <v>0</v>
      </c>
      <c r="BD376" s="697">
        <f>IF(AND($B376&gt;=$FL376,$B376&lt;=$FM376),MAX(AV376,Sheet1!EE376,0),MAX(AV376-(7/36)*$K376,0))</f>
        <v>0</v>
      </c>
      <c r="BE376" s="712">
        <f t="shared" si="959"/>
        <v>0</v>
      </c>
      <c r="BF376" s="697">
        <f t="shared" si="960"/>
        <v>0</v>
      </c>
      <c r="BG376" s="697">
        <f>IF(AND($O376&gt;0,Sheet1!EI376=1),(1-($O376-Sheet1!$L376)/$O376)*BB376,0)</f>
        <v>0</v>
      </c>
      <c r="BH376" s="697">
        <f>IF(AND(Sheet1!$L376=0,Sheet1!$L375=0, Calculation!BA376&lt;Sheet1!$EE376-0.1,Sheet1!$EE376=Sheet1!$EE375,Sheet1!$EE376=Sheet1!$EE377),Sheet1!$EE376,BB376-BG376)</f>
        <v>0</v>
      </c>
      <c r="BI376" s="712"/>
      <c r="BJ376" s="712"/>
      <c r="BK376" s="712">
        <f t="shared" si="961"/>
        <v>0</v>
      </c>
      <c r="BL376" s="712"/>
      <c r="BM376" s="712">
        <f ca="1">IF(B376&gt;Summary!$A$1,#N/A,BK376*MGtoAF)</f>
        <v>0</v>
      </c>
      <c r="BN376" s="712">
        <f>Sheet1!BC376+Sheet1!BD376+Sheet1!BE376+Sheet1!BF376-BW376-BX376</f>
        <v>0.64</v>
      </c>
      <c r="BO376" s="712">
        <f t="shared" si="962"/>
        <v>0.62422535211277452</v>
      </c>
      <c r="BP376" s="712">
        <f>IF(Sheet1!EM376="FM",BX376,0)</f>
        <v>0</v>
      </c>
      <c r="BQ376" s="712">
        <f t="shared" si="963"/>
        <v>0</v>
      </c>
      <c r="BR376" s="712">
        <f>IF(Sheet1!EM376="OTHER",BX376,0)</f>
        <v>0</v>
      </c>
      <c r="BS376" s="712">
        <f t="shared" si="964"/>
        <v>0</v>
      </c>
      <c r="BT376" s="712">
        <f t="shared" si="965"/>
        <v>0</v>
      </c>
      <c r="BU376" s="712">
        <f t="shared" si="966"/>
        <v>0.64</v>
      </c>
      <c r="BV376" s="712">
        <f t="shared" si="967"/>
        <v>0.62422535211277452</v>
      </c>
      <c r="BW376" s="712">
        <f>IF(Sheet1!EM376="CWA",SUM(Sheet1!BC376:'Sheet1'!BF376),0)</f>
        <v>0</v>
      </c>
      <c r="BX376" s="712">
        <f>IF(OR(Sheet1!EM376="FM", Sheet1!EM376="OTHER"),SUM(Sheet1!BC376:'Sheet1'!BF376),0)</f>
        <v>0</v>
      </c>
      <c r="BY376" s="697">
        <f>IF(AND($B376&gt;=$FL376,$B376&lt;=$FM376),MAX(BV376,Sheet1!EF376,0),MAX(BV376-(7/36)*$K376,0))</f>
        <v>0</v>
      </c>
      <c r="BZ376" s="712">
        <f t="shared" si="968"/>
        <v>0</v>
      </c>
      <c r="CA376" s="697">
        <f t="shared" si="969"/>
        <v>0.62422535211277452</v>
      </c>
      <c r="CB376" s="697">
        <f>IF(AND($O376&gt;0,Sheet1!EJ376=1),(1-($O376-Sheet1!$L376)/$O376)*BV376,0)</f>
        <v>0</v>
      </c>
      <c r="CC376" s="697">
        <f>IF(AND(Sheet1!$L376=0,Sheet1!$L375=0, Calculation!BU376&lt;Sheet1!EF376-0.1,Sheet1!EF376=Sheet1!EF375,Sheet1!EF376=Sheet1!EF377),Sheet1!EF376,BV376-CB376)</f>
        <v>0.62422535211277452</v>
      </c>
      <c r="CD376" s="697"/>
      <c r="CE376" s="712"/>
      <c r="CF376" s="712">
        <f t="shared" si="970"/>
        <v>0</v>
      </c>
      <c r="CG376" s="712"/>
      <c r="CH376" s="712">
        <f ca="1">IF(B376&gt;Summary!$A$1,#N/A,CF376*MGtoAF)</f>
        <v>0</v>
      </c>
      <c r="CI376" s="712">
        <f>Sheet1!BK376+Sheet1!BL376+Sheet1!BM376-Sheet1!EN376-CQ376</f>
        <v>2</v>
      </c>
      <c r="CJ376" s="712">
        <f t="shared" si="971"/>
        <v>1.9507042253524203</v>
      </c>
      <c r="CK376" s="712">
        <f>IF(Sheet1!EN376="FM",CQ376,0)</f>
        <v>0</v>
      </c>
      <c r="CL376" s="712">
        <f t="shared" si="972"/>
        <v>0</v>
      </c>
      <c r="CM376" s="712">
        <f>IF(Sheet1!EN376="OTHER",CQ376,0)</f>
        <v>0</v>
      </c>
      <c r="CN376" s="712">
        <f t="shared" si="973"/>
        <v>0</v>
      </c>
      <c r="CO376" s="712">
        <f t="shared" si="974"/>
        <v>2</v>
      </c>
      <c r="CP376" s="712">
        <f t="shared" si="975"/>
        <v>1.9507042253524203</v>
      </c>
      <c r="CQ376" s="712">
        <f>IF(OR(Sheet1!EN376="FM", Sheet1!EN376="OTHER"),SUM(Sheet1!BK376:'Sheet1'!BM376),0)</f>
        <v>0</v>
      </c>
      <c r="CR376" s="697">
        <f>IF(AND($B376&gt;=$FL376,$B376&lt;=$FM376),MAX($CJ376,Sheet1!EG376,0),MAX($CJ376-(7/36)*$K376,0))</f>
        <v>0</v>
      </c>
      <c r="CS376" s="712">
        <f t="shared" si="976"/>
        <v>0</v>
      </c>
      <c r="CT376" s="697">
        <f t="shared" si="977"/>
        <v>1.9507042253524203</v>
      </c>
      <c r="CU376" s="697">
        <f>IF(AND($O376&gt;0,Sheet1!EK376=1),(1-($O376-Sheet1!$L376)/$O376)*CP376,0)</f>
        <v>0</v>
      </c>
      <c r="CV376" s="697">
        <f>IF(AND(Sheet1!$L376=0,Sheet1!$L375=0, Calculation!CO376&lt;Sheet1!$EG376-0.1,Sheet1!$EG376=Sheet1!$EG375,Sheet1!$EG376=Sheet1!$EG377),Sheet1!$EG376,CP376-CU376)</f>
        <v>1.9507042253524203</v>
      </c>
      <c r="CW376" s="697"/>
      <c r="CX376" s="712">
        <f t="shared" si="978"/>
        <v>2.64</v>
      </c>
      <c r="CY376" s="712">
        <f t="shared" si="979"/>
        <v>0</v>
      </c>
      <c r="CZ376" s="712">
        <f t="shared" si="980"/>
        <v>2.5749295774651948</v>
      </c>
      <c r="DA376" s="712">
        <f ca="1">IF(B376&gt;Summary!$A$1,#N/A,CY376*MGtoAF)</f>
        <v>0</v>
      </c>
      <c r="DB376" s="712">
        <f t="shared" si="981"/>
        <v>2.64</v>
      </c>
      <c r="DC376" s="712">
        <f t="shared" si="982"/>
        <v>17.04</v>
      </c>
      <c r="DD376" s="712">
        <f>Sheet1!AB376-DC376</f>
        <v>-0.4199999999973798</v>
      </c>
      <c r="DE376" s="712">
        <f t="shared" si="983"/>
        <v>-2.4647887323789894E-2</v>
      </c>
      <c r="DF376" s="712">
        <f>(VLOOKUP(Sheet1!CY376,hhdcap_wcm,4)-(((VLOOKUP(Sheet1!CY376,hhdcap_wcm,3)-Sheet1!CY376)/(VLOOKUP(Sheet1!CY376,hhdcap_wcm,3)-VLOOKUP(Sheet1!CY376,hhdcap_wcm,1)))*(VLOOKUP(Sheet1!CY376,hhdcap_wcm,4)-VLOOKUP(Sheet1!CY376,hhdcap_wcm,2))))</f>
        <v>4873.4400000081359</v>
      </c>
      <c r="DG376" s="712">
        <f t="shared" si="984"/>
        <v>2843.4400000051801</v>
      </c>
      <c r="DH376" s="712">
        <f t="shared" si="985"/>
        <v>1433.9082198714975</v>
      </c>
      <c r="DI376" s="712">
        <f>Sheet1!DW376*AFtoMG</f>
        <v>0</v>
      </c>
      <c r="DJ376" s="712">
        <f>Sheet1!DX376*AFtoMG</f>
        <v>0</v>
      </c>
      <c r="DK376" s="712">
        <f>Sheet1!DY376*AFtoMG</f>
        <v>0</v>
      </c>
      <c r="DL376" s="712">
        <f>Sheet1!DZ376*AFtoMG</f>
        <v>0</v>
      </c>
      <c r="DM376" s="712">
        <f t="shared" si="986"/>
        <v>0</v>
      </c>
      <c r="DN376" s="712">
        <f t="shared" si="987"/>
        <v>0</v>
      </c>
      <c r="DO376" s="712">
        <f t="shared" si="988"/>
        <v>0</v>
      </c>
      <c r="DP376" s="712">
        <f t="shared" si="989"/>
        <v>0</v>
      </c>
      <c r="DQ376" s="712"/>
      <c r="DR376" s="697">
        <f>IF(OR(B376&lt;FL376,B376&gt;FM376),(MIN(AV376+BO376+CJ376+MAX(Sheet1!AA376+AG376-73,0),K376)),0)</f>
        <v>2.5749295774651948</v>
      </c>
      <c r="DS376" s="712"/>
      <c r="DT376" s="712">
        <f t="shared" si="990"/>
        <v>2.5749295774651948</v>
      </c>
      <c r="DU376" s="712"/>
      <c r="DV376" s="712">
        <f>Sheet1!ED376+Sheet1!EE376+Sheet1!EF376+Sheet1!EG376</f>
        <v>8.5</v>
      </c>
      <c r="DW376" s="712"/>
      <c r="DX376" s="697">
        <f t="shared" si="991"/>
        <v>0</v>
      </c>
      <c r="DY376" s="712">
        <f>IF(Sheet1!FN376=1,SUM('Calculations II'!AT376:BA376)+'Calculations II'!BC376+Sheet1!BU376+'Calculations II'!BE376+AF376,SUM('Calculations II'!AT376:BA376)+'Calculations II'!BC376+Sheet1!BU376+'Calculations II'!BE376+AF376)</f>
        <v>39.408895999999999</v>
      </c>
      <c r="DZ376" s="712">
        <f>Sheet1!AA376+Sheet1!AB376+'Calculations II'!BC376</f>
        <v>44.22000000000844</v>
      </c>
      <c r="EA376" s="712"/>
      <c r="EB376" s="712"/>
      <c r="EC376" s="712">
        <f t="shared" si="992"/>
        <v>40905</v>
      </c>
      <c r="ED376" s="712">
        <f t="shared" si="993"/>
        <v>0</v>
      </c>
      <c r="EE376" s="712">
        <f t="shared" si="994"/>
        <v>0</v>
      </c>
      <c r="EF376" s="712">
        <f ca="1">IF(B376=TODAY(),0,-(VLOOKUP(Sheet1!BQ376,Lookup!$B$4:$J$236,2)-VLOOKUP(Sheet1!BQ375,Lookup!$B$4:$J$236,2))/1000000)</f>
        <v>0.54759999999999998</v>
      </c>
      <c r="EG376" s="712">
        <f ca="1">IF(B376=TODAY(),0,-(VLOOKUP(Sheet1!BR376,Lookup!$B$4:$J$236,3)-VLOOKUP(Sheet1!BR375,Lookup!$B$4:$J$236,3))/1000000)</f>
        <v>0.82020000000000004</v>
      </c>
      <c r="EH376" s="712">
        <f>-(VLOOKUP(Sheet1!BS376,Lookup!$B$4:$J$236,4)-VLOOKUP(Sheet1!BS375,Lookup!$B$4:$J$236,4))/1000000</f>
        <v>0</v>
      </c>
      <c r="EI376" s="697">
        <f t="shared" ca="1" si="922"/>
        <v>1.3677999999999999</v>
      </c>
      <c r="EJ376" s="712"/>
      <c r="EK376" s="712"/>
      <c r="EL376" s="712"/>
      <c r="EM376" s="712"/>
      <c r="EN376" s="712"/>
      <c r="EO376" s="712"/>
      <c r="EP376" s="712"/>
      <c r="EQ376" s="712"/>
      <c r="ER376" s="712"/>
      <c r="ES376" s="712"/>
      <c r="ET376" s="794" t="e">
        <f t="shared" si="1015"/>
        <v>#N/A</v>
      </c>
      <c r="EU376" s="794" t="e">
        <f t="shared" si="924"/>
        <v>#N/A</v>
      </c>
      <c r="EV376" s="795" t="e">
        <f t="shared" si="925"/>
        <v>#N/A</v>
      </c>
      <c r="EW376" s="796" t="s">
        <v>757</v>
      </c>
      <c r="EX376" s="796" t="s">
        <v>757</v>
      </c>
      <c r="EY376" s="794" t="e">
        <v>#N/A</v>
      </c>
      <c r="EZ376" s="794" t="e">
        <v>#N/A</v>
      </c>
      <c r="FA376" s="712"/>
      <c r="FB376" s="712"/>
      <c r="FC376" s="712"/>
      <c r="FD376" s="712"/>
      <c r="FE376" s="712">
        <f>O376+Sheet1!CO376</f>
        <v>44.22000000000844</v>
      </c>
      <c r="FF376" s="712">
        <f>IF(Sheet1!AA376+AG376&lt;=Calculation!N376,AG376,Calculation!N376-Sheet1!AA376)</f>
        <v>14.045070422537426</v>
      </c>
      <c r="FG376" s="712">
        <f>(Sheet1!BP376+Sheet1!BO376)/694.4</f>
        <v>2.2923387096774195</v>
      </c>
      <c r="FH376" s="712"/>
      <c r="FI376" s="712"/>
      <c r="FJ376" s="712"/>
      <c r="FK376" s="712"/>
      <c r="FL376" s="714">
        <f t="shared" si="929"/>
        <v>40753</v>
      </c>
      <c r="FM376" s="714">
        <f t="shared" si="930"/>
        <v>40851</v>
      </c>
      <c r="FN376" s="712"/>
      <c r="FO376" s="712"/>
      <c r="FP376" s="712"/>
      <c r="FQ376" s="712"/>
      <c r="FR376" s="712"/>
      <c r="FS376" s="725">
        <f t="shared" si="1014"/>
        <v>40603</v>
      </c>
      <c r="FT376" s="714">
        <f t="shared" si="932"/>
        <v>40709</v>
      </c>
      <c r="FU376" s="712">
        <f t="shared" si="1014"/>
        <v>6518.9048239895692</v>
      </c>
      <c r="FV376" s="714">
        <f t="shared" si="933"/>
        <v>40722</v>
      </c>
      <c r="FW376" s="712">
        <f t="shared" si="1014"/>
        <v>3259.4524119947846</v>
      </c>
      <c r="FX376" s="725">
        <f t="shared" si="1014"/>
        <v>40851</v>
      </c>
      <c r="FZ376" s="697">
        <f t="shared" si="926"/>
        <v>0</v>
      </c>
      <c r="GA376" s="712" t="str">
        <f t="shared" si="995"/>
        <v/>
      </c>
      <c r="GB376" s="712">
        <f t="shared" si="996"/>
        <v>0</v>
      </c>
      <c r="GC376" s="712" t="str">
        <f t="shared" si="997"/>
        <v/>
      </c>
      <c r="GD376" s="712">
        <f>IF(GA376="P",Lookup!$M$12,IF(GA376="PP",Lookup!$M$13,IF(GA376="PPP",Lookup!$M$14,IF(GA376="T",Lookup!$M$15,IF(GA376="TP",Lookup!$M$16,IF(GA376="TPP",Lookup!$M$17,IF(GA376="TPPP",Lookup!$M$18,0)))))))*FZ376</f>
        <v>0</v>
      </c>
      <c r="GE376" s="712">
        <f t="shared" si="998"/>
        <v>0</v>
      </c>
      <c r="GF376" s="712">
        <f t="shared" si="999"/>
        <v>0</v>
      </c>
      <c r="GG376" s="712">
        <f t="shared" si="1000"/>
        <v>0</v>
      </c>
      <c r="GH376" s="712"/>
      <c r="GI376" s="712">
        <f t="shared" si="1001"/>
        <v>0</v>
      </c>
      <c r="GJ376" s="712" t="str">
        <f t="shared" si="1002"/>
        <v/>
      </c>
      <c r="GK376" s="712">
        <f>IF(GA376="P",Lookup!$N$12,IF(GA376="PP",Lookup!$N$13,IF(GA376="PPP",Lookup!$N$14,IF(GA376="T",Lookup!$N$15,IF(GA376="TP",Lookup!$N$16,IF(GA376="TPP",Lookup!$N$17,IF(GA376="TPPP",Lookup!$N$18,0)))))))*FZ376</f>
        <v>0</v>
      </c>
      <c r="GL376" s="712">
        <f t="shared" si="1003"/>
        <v>0</v>
      </c>
      <c r="GM376" s="712">
        <f t="shared" si="1004"/>
        <v>0</v>
      </c>
      <c r="GN376" s="712">
        <f t="shared" si="1005"/>
        <v>0</v>
      </c>
      <c r="GO376" s="712"/>
      <c r="GP376" s="712">
        <f t="shared" si="1006"/>
        <v>0</v>
      </c>
      <c r="GQ376" s="712" t="str">
        <f t="shared" si="1007"/>
        <v/>
      </c>
      <c r="GR376" s="712">
        <f>IF(GA376="P",Lookup!$N$12,IF(GA376="PP",Lookup!$N$13,IF(GA376="PPP",Lookup!$N$14,IF(GA376="T",Lookup!$N$15,IF(GA376="TP",Lookup!$N$16,IF(GA376="TPP",Lookup!$N$17,IF(GA376="TPPP",Lookup!$N$18,0)))))))*FZ376</f>
        <v>0</v>
      </c>
      <c r="GS376" s="697">
        <f t="shared" si="927"/>
        <v>0</v>
      </c>
      <c r="GT376" s="712">
        <f t="shared" si="1008"/>
        <v>0</v>
      </c>
      <c r="GU376" s="712">
        <f t="shared" si="1009"/>
        <v>0</v>
      </c>
      <c r="GV376" s="712"/>
      <c r="GW376" s="712">
        <f t="shared" si="1010"/>
        <v>0</v>
      </c>
      <c r="GX376" s="712" t="str">
        <f t="shared" si="1011"/>
        <v/>
      </c>
      <c r="GY376" s="712">
        <f>IF(GA376="P",Lookup!$N$12,IF(GA376="PP",Lookup!$N$13,IF(GA376="PPP",Lookup!$N$14,IF(GA376="T",Lookup!$N$15,IF(GA376="TP",Lookup!$N$16,IF(GA376="TPP",Lookup!$N$17,IF(GA376="TPPP",Lookup!$N$18,0)))))))*FZ376</f>
        <v>0</v>
      </c>
      <c r="GZ376" s="697">
        <f t="shared" si="928"/>
        <v>0</v>
      </c>
      <c r="HA376" s="712">
        <f t="shared" si="1012"/>
        <v>0</v>
      </c>
      <c r="HB376" s="712">
        <f t="shared" si="1013"/>
        <v>0</v>
      </c>
      <c r="HC376" s="712"/>
    </row>
    <row r="377" spans="1:211">
      <c r="A377" s="773" t="s">
        <v>7</v>
      </c>
      <c r="B377" s="708">
        <v>40906</v>
      </c>
      <c r="C377" s="709">
        <v>0.5</v>
      </c>
      <c r="D377" s="675">
        <f t="shared" si="936"/>
        <v>300</v>
      </c>
      <c r="E377" s="675">
        <f t="shared" si="937"/>
        <v>250</v>
      </c>
      <c r="F377" s="675">
        <v>250</v>
      </c>
      <c r="G377" s="712">
        <f>DH377+Sheet1!CV377</f>
        <v>5939.0513111453092</v>
      </c>
      <c r="H377" s="712">
        <f t="shared" si="938"/>
        <v>3572.0395675243276</v>
      </c>
      <c r="I377" s="711">
        <f>MAX(Sheet1!Z377-AJ377+(Sheet1!CW377-E377)*CFStoMGD,0)</f>
        <v>3751.2993333333334</v>
      </c>
      <c r="J377" s="720">
        <f>IF(AND(B377&gt;=Calculation!FS377,B377&lt;=Calculation!FT377),IF(Sheet1!CX377&gt;=Calculation!D377,64.64,0),MAX(Sheet1!Z377-AJ377+(Sheet1!CX377-D377)*CFStoMGD,0))</f>
        <v>3685.3799999999997</v>
      </c>
      <c r="K377" s="697">
        <f t="shared" si="939"/>
        <v>64.64</v>
      </c>
      <c r="L377" s="712">
        <f>Sheet1!AA377+Sheet1!AB377-Sheet1!L377+(Sheet1!CW377-F377)*CFStoMGD</f>
        <v>3751.7093333333255</v>
      </c>
      <c r="M377" s="712">
        <f t="shared" si="940"/>
        <v>3915.7828228748144</v>
      </c>
      <c r="N377" s="712">
        <f>IF(Sheet1!CW377&gt;=F377,MIN(73,MIN(MAX(L377,0),MAX(M377,0))),0)</f>
        <v>73</v>
      </c>
      <c r="O377" s="721">
        <f>Sheet1!AA377+Sheet1!AB377</f>
        <v>41.189999999991272</v>
      </c>
      <c r="P377" s="721">
        <f t="shared" si="941"/>
        <v>63.720929999986488</v>
      </c>
      <c r="Q377" s="712">
        <f>MIN(N377,Sheet1!AA377+AG377)</f>
        <v>41.189999999991272</v>
      </c>
      <c r="R377" s="712">
        <f t="shared" si="942"/>
        <v>0</v>
      </c>
      <c r="S377" s="721">
        <f>Sheet1!Y377*MGDtoCFS</f>
        <v>39.726959999999998</v>
      </c>
      <c r="T377" s="721">
        <f>Sheet1!Z377*MGDtoCFS</f>
        <v>21.62706</v>
      </c>
      <c r="U377" s="721">
        <f>Sheet1!AA377*MGDtoCFS</f>
        <v>41.923699999986489</v>
      </c>
      <c r="V377" s="721">
        <f>Sheet1!AB377*MGDtoCFS</f>
        <v>21.797229999999999</v>
      </c>
      <c r="W377" s="721">
        <f>Sheet1!L377*MGDtoCFS</f>
        <v>63.256829999999098</v>
      </c>
      <c r="X377" s="697">
        <f t="shared" si="943"/>
        <v>0</v>
      </c>
      <c r="Y377" s="712">
        <f t="shared" si="944"/>
        <v>0</v>
      </c>
      <c r="Z377" s="712">
        <f t="shared" si="945"/>
        <v>0</v>
      </c>
      <c r="AA377" s="712">
        <f t="shared" si="946"/>
        <v>0</v>
      </c>
      <c r="AB377" s="712">
        <f>(VLOOKUP(Sheet1!CY377,hhdcap_wcm,4)-(((VLOOKUP(Sheet1!CY377,hhdcap_wcm,3)-Sheet1!CY377)/(VLOOKUP(Sheet1!CY377,hhdcap_wcm,3)-VLOOKUP(Sheet1!CY377,hhdcap_wcm,1)))*(VLOOKUP(Sheet1!CY377,hhdcap_wcm,4)-VLOOKUP(Sheet1!CY377,hhdcap_wcm,2))))</f>
        <v>5345.0000000092841</v>
      </c>
      <c r="AC377" s="712">
        <f t="shared" si="947"/>
        <v>471.56000000114818</v>
      </c>
      <c r="AD377" s="712">
        <f t="shared" si="948"/>
        <v>0</v>
      </c>
      <c r="AE377" s="712">
        <f t="shared" si="949"/>
        <v>0</v>
      </c>
      <c r="AF377" s="712">
        <f>Sheet1!BA377+Sheet1!BB377+Sheet1!BN377+BT377</f>
        <v>14</v>
      </c>
      <c r="AG377" s="712">
        <f t="shared" si="950"/>
        <v>14.09</v>
      </c>
      <c r="AH377" s="712">
        <f>Sheet1!BA377+BT377</f>
        <v>0</v>
      </c>
      <c r="AI377" s="712">
        <f>Sheet1!BA377+Sheet1!BB377+BT377</f>
        <v>0</v>
      </c>
      <c r="AJ377" s="712">
        <f>IF((Sheet1!AA377+AG377+AX377+AZ377+BQ377+BS377+CL377+CN377)&lt;=N377,AG377+AX377+AZ377+BQ377+BS377+CL377+CN377,N377-Sheet1!AA377)</f>
        <v>14.09</v>
      </c>
      <c r="AK377" s="712">
        <f>IF(DR377&lt;K377,0,MAX(Sheet1!AA377+AG377-15/36*K377-N377,Sheet1!ED377,0))</f>
        <v>0</v>
      </c>
      <c r="AL377" s="712">
        <f>IF(OR(B377&gt;=FT377,B377&lt;FS377),0,15/36*K377-MAX(0,64.6-(137.6-(Sheet1!AA377+Sheet1!AB377))))</f>
        <v>0</v>
      </c>
      <c r="AM377" s="712">
        <f>Sheet1!CX377-110</f>
        <v>5891.5625</v>
      </c>
      <c r="AN377" s="712">
        <f>Sheet1!CW377-265</f>
        <v>5788.541666666667</v>
      </c>
      <c r="AO377" s="712">
        <f t="shared" si="934"/>
        <v>31.810000000008728</v>
      </c>
      <c r="AP377" s="712">
        <f t="shared" si="951"/>
        <v>0</v>
      </c>
      <c r="AQ377" s="712">
        <f t="shared" si="952"/>
        <v>0</v>
      </c>
      <c r="AR377" s="712">
        <f t="shared" si="953"/>
        <v>0</v>
      </c>
      <c r="AS377" s="712"/>
      <c r="AT377" s="712">
        <f ca="1">IF(B377&gt;Summary!$A$1,#N/A,AR377*MGtoAF)</f>
        <v>0</v>
      </c>
      <c r="AU377" s="712">
        <f>Sheet1!BG377+Sheet1!BH377+Sheet1!BI377-BC377</f>
        <v>0</v>
      </c>
      <c r="AV377" s="712">
        <f t="shared" si="954"/>
        <v>0</v>
      </c>
      <c r="AW377" s="712">
        <f>IF(Sheet1!EL377="FM",BC377,0)</f>
        <v>0</v>
      </c>
      <c r="AX377" s="712">
        <f t="shared" si="955"/>
        <v>0</v>
      </c>
      <c r="AY377" s="712">
        <f>IF(Sheet1!EL377="OTHER",BC377,0)</f>
        <v>0</v>
      </c>
      <c r="AZ377" s="712">
        <f t="shared" si="956"/>
        <v>0</v>
      </c>
      <c r="BA377" s="712">
        <f t="shared" si="957"/>
        <v>0</v>
      </c>
      <c r="BB377" s="712">
        <f t="shared" si="958"/>
        <v>0</v>
      </c>
      <c r="BC377" s="712">
        <f>IF(OR(Sheet1!EL377="FM", Sheet1!EL377="OTHER"),SUM(Sheet1!BG377:'Sheet1'!BI377),0)</f>
        <v>0</v>
      </c>
      <c r="BD377" s="697">
        <f>IF(AND($B377&gt;=$FL377,$B377&lt;=$FM377),MAX(AV377,Sheet1!EE377,0),MAX(AV377-(7/36)*$K377,0))</f>
        <v>0</v>
      </c>
      <c r="BE377" s="712">
        <f t="shared" si="959"/>
        <v>0</v>
      </c>
      <c r="BF377" s="697">
        <f t="shared" si="960"/>
        <v>0</v>
      </c>
      <c r="BG377" s="697">
        <f>IF(AND($O377&gt;0,Sheet1!EI377=1),(1-($O377-Sheet1!$L377)/$O377)*BB377,0)</f>
        <v>0</v>
      </c>
      <c r="BH377" s="697">
        <f>IF(AND(Sheet1!$L377=0,Sheet1!$L376=0, Calculation!BA377&lt;Sheet1!$EE377-0.1,Sheet1!$EE377=Sheet1!$EE376,Sheet1!$EE377=Sheet1!$EE378),Sheet1!$EE377,BB377-BG377)</f>
        <v>0</v>
      </c>
      <c r="BI377" s="712"/>
      <c r="BJ377" s="712"/>
      <c r="BK377" s="712">
        <f t="shared" si="961"/>
        <v>0</v>
      </c>
      <c r="BL377" s="712"/>
      <c r="BM377" s="712">
        <f ca="1">IF(B377&gt;Summary!$A$1,#N/A,BK377*MGtoAF)</f>
        <v>0</v>
      </c>
      <c r="BN377" s="712">
        <f>Sheet1!BC377+Sheet1!BD377+Sheet1!BE377+Sheet1!BF377-BW377-BX377</f>
        <v>0</v>
      </c>
      <c r="BO377" s="712">
        <f t="shared" si="962"/>
        <v>0</v>
      </c>
      <c r="BP377" s="712">
        <f>IF(Sheet1!EM377="FM",BX377,0)</f>
        <v>0</v>
      </c>
      <c r="BQ377" s="712">
        <f t="shared" si="963"/>
        <v>0</v>
      </c>
      <c r="BR377" s="712">
        <f>IF(Sheet1!EM377="OTHER",BX377,0)</f>
        <v>0</v>
      </c>
      <c r="BS377" s="712">
        <f t="shared" si="964"/>
        <v>0</v>
      </c>
      <c r="BT377" s="712">
        <f t="shared" si="965"/>
        <v>0</v>
      </c>
      <c r="BU377" s="712">
        <f t="shared" si="966"/>
        <v>0</v>
      </c>
      <c r="BV377" s="712">
        <f t="shared" si="967"/>
        <v>0</v>
      </c>
      <c r="BW377" s="712">
        <f>IF(Sheet1!EM377="CWA",SUM(Sheet1!BC377:'Sheet1'!BF377),0)</f>
        <v>0</v>
      </c>
      <c r="BX377" s="712">
        <f>IF(OR(Sheet1!EM377="FM", Sheet1!EM377="OTHER"),SUM(Sheet1!BC377:'Sheet1'!BF377),0)</f>
        <v>0</v>
      </c>
      <c r="BY377" s="697">
        <f>IF(AND($B377&gt;=$FL377,$B377&lt;=$FM377),MAX(BV377,Sheet1!EF377,0),MAX(BV377-(7/36)*$K377,0))</f>
        <v>0</v>
      </c>
      <c r="BZ377" s="712">
        <f t="shared" si="968"/>
        <v>0</v>
      </c>
      <c r="CA377" s="697">
        <f t="shared" si="969"/>
        <v>0</v>
      </c>
      <c r="CB377" s="697">
        <f>IF(AND($O377&gt;0,Sheet1!EJ377=1),(1-($O377-Sheet1!$L377)/$O377)*BV377,0)</f>
        <v>0</v>
      </c>
      <c r="CC377" s="697">
        <f>IF(AND(Sheet1!$L377=0,Sheet1!$L376=0, Calculation!BU377&lt;Sheet1!EF377-0.1,Sheet1!EF377=Sheet1!EF376,Sheet1!EF377=Sheet1!EF378),Sheet1!EF377,BV377-CB377)</f>
        <v>0</v>
      </c>
      <c r="CD377" s="697"/>
      <c r="CE377" s="712"/>
      <c r="CF377" s="712">
        <f t="shared" si="970"/>
        <v>0</v>
      </c>
      <c r="CG377" s="712"/>
      <c r="CH377" s="712">
        <f ca="1">IF(B377&gt;Summary!$A$1,#N/A,CF377*MGtoAF)</f>
        <v>0</v>
      </c>
      <c r="CI377" s="712">
        <f>Sheet1!BK377+Sheet1!BL377+Sheet1!BM377-Sheet1!EN377-CQ377</f>
        <v>0</v>
      </c>
      <c r="CJ377" s="712">
        <f t="shared" si="971"/>
        <v>0</v>
      </c>
      <c r="CK377" s="712">
        <f>IF(Sheet1!EN377="FM",CQ377,0)</f>
        <v>0</v>
      </c>
      <c r="CL377" s="712">
        <f t="shared" si="972"/>
        <v>0</v>
      </c>
      <c r="CM377" s="712">
        <f>IF(Sheet1!EN377="OTHER",CQ377,0)</f>
        <v>0</v>
      </c>
      <c r="CN377" s="712">
        <f t="shared" si="973"/>
        <v>0</v>
      </c>
      <c r="CO377" s="712">
        <f t="shared" si="974"/>
        <v>0</v>
      </c>
      <c r="CP377" s="712">
        <f t="shared" si="975"/>
        <v>0</v>
      </c>
      <c r="CQ377" s="712">
        <f>IF(OR(Sheet1!EN377="FM", Sheet1!EN377="OTHER"),SUM(Sheet1!BK377:'Sheet1'!BM377),0)</f>
        <v>0</v>
      </c>
      <c r="CR377" s="697">
        <f>IF(AND($B377&gt;=$FL377,$B377&lt;=$FM377),MAX($CJ377,Sheet1!EG377,0),MAX($CJ377-(7/36)*$K377,0))</f>
        <v>0</v>
      </c>
      <c r="CS377" s="712">
        <f t="shared" si="976"/>
        <v>0</v>
      </c>
      <c r="CT377" s="697">
        <f t="shared" si="977"/>
        <v>0</v>
      </c>
      <c r="CU377" s="697">
        <f>IF(AND($O377&gt;0,Sheet1!EK377=1),(1-($O377-Sheet1!$L377)/$O377)*CP377,0)</f>
        <v>0</v>
      </c>
      <c r="CV377" s="697">
        <f>IF(AND(Sheet1!$L377=0,Sheet1!$L376=0, Calculation!CO377&lt;Sheet1!$EG377-0.1,Sheet1!$EG377=Sheet1!$EG376,Sheet1!$EG377=Sheet1!$EG378),Sheet1!$EG377,CP377-CU377)</f>
        <v>0</v>
      </c>
      <c r="CW377" s="697"/>
      <c r="CX377" s="712">
        <f t="shared" si="978"/>
        <v>0</v>
      </c>
      <c r="CY377" s="712">
        <f t="shared" si="979"/>
        <v>0</v>
      </c>
      <c r="CZ377" s="712">
        <f t="shared" si="980"/>
        <v>0</v>
      </c>
      <c r="DA377" s="712">
        <f ca="1">IF(B377&gt;Summary!$A$1,#N/A,CY377*MGtoAF)</f>
        <v>0</v>
      </c>
      <c r="DB377" s="712">
        <f t="shared" si="981"/>
        <v>0</v>
      </c>
      <c r="DC377" s="712">
        <f t="shared" si="982"/>
        <v>14</v>
      </c>
      <c r="DD377" s="712">
        <f>Sheet1!AB377-DC377</f>
        <v>8.9999999999999858E-2</v>
      </c>
      <c r="DE377" s="712">
        <f t="shared" si="983"/>
        <v>6.428571428571418E-3</v>
      </c>
      <c r="DF377" s="712">
        <f>(VLOOKUP(Sheet1!CY377,hhdcap_wcm,4)-(((VLOOKUP(Sheet1!CY377,hhdcap_wcm,3)-Sheet1!CY377)/(VLOOKUP(Sheet1!CY377,hhdcap_wcm,3)-VLOOKUP(Sheet1!CY377,hhdcap_wcm,1)))*(VLOOKUP(Sheet1!CY377,hhdcap_wcm,4)-VLOOKUP(Sheet1!CY377,hhdcap_wcm,2))))</f>
        <v>5345.0000000092841</v>
      </c>
      <c r="DG377" s="712">
        <f t="shared" si="984"/>
        <v>471.56000000114818</v>
      </c>
      <c r="DH377" s="712">
        <f t="shared" si="985"/>
        <v>237.8013111453092</v>
      </c>
      <c r="DI377" s="712">
        <f>Sheet1!DW377*AFtoMG</f>
        <v>0</v>
      </c>
      <c r="DJ377" s="712">
        <f>Sheet1!DX377*AFtoMG</f>
        <v>0</v>
      </c>
      <c r="DK377" s="712">
        <f>Sheet1!DY377*AFtoMG</f>
        <v>0</v>
      </c>
      <c r="DL377" s="712">
        <f>Sheet1!DZ377*AFtoMG</f>
        <v>0</v>
      </c>
      <c r="DM377" s="712">
        <f t="shared" si="986"/>
        <v>0</v>
      </c>
      <c r="DN377" s="712">
        <f t="shared" si="987"/>
        <v>0</v>
      </c>
      <c r="DO377" s="712">
        <f t="shared" si="988"/>
        <v>0</v>
      </c>
      <c r="DP377" s="712">
        <f t="shared" si="989"/>
        <v>0</v>
      </c>
      <c r="DQ377" s="712"/>
      <c r="DR377" s="697">
        <f>IF(OR(B377&lt;FL377,B377&gt;FM377),(MIN(AV377+BO377+CJ377+MAX(Sheet1!AA377+AG377-73,0),K377)),0)</f>
        <v>0</v>
      </c>
      <c r="DS377" s="712"/>
      <c r="DT377" s="712">
        <f t="shared" si="990"/>
        <v>0</v>
      </c>
      <c r="DU377" s="712"/>
      <c r="DV377" s="712">
        <f>Sheet1!ED377+Sheet1!EE377+Sheet1!EF377+Sheet1!EG377</f>
        <v>8.5</v>
      </c>
      <c r="DW377" s="712"/>
      <c r="DX377" s="697">
        <f t="shared" si="991"/>
        <v>0</v>
      </c>
      <c r="DY377" s="712">
        <f>IF(Sheet1!FN377=1,SUM('Calculations II'!AT377:BA377)+'Calculations II'!BC377+Sheet1!BU377+'Calculations II'!BE377+AF377,SUM('Calculations II'!AT377:BA377)+'Calculations II'!BC377+Sheet1!BU377+'Calculations II'!BE377+AF377)</f>
        <v>37.423072000000005</v>
      </c>
      <c r="DZ377" s="712">
        <f>Sheet1!AA377+Sheet1!AB377+'Calculations II'!BC377</f>
        <v>41.189999999991272</v>
      </c>
      <c r="EA377" s="712"/>
      <c r="EB377" s="712"/>
      <c r="EC377" s="712">
        <f t="shared" si="992"/>
        <v>40906</v>
      </c>
      <c r="ED377" s="712">
        <f t="shared" si="993"/>
        <v>0</v>
      </c>
      <c r="EE377" s="712">
        <f t="shared" si="994"/>
        <v>0</v>
      </c>
      <c r="EF377" s="712">
        <f ca="1">IF(B377=TODAY(),0,-(VLOOKUP(Sheet1!BQ377,Lookup!$B$4:$J$236,2)-VLOOKUP(Sheet1!BQ376,Lookup!$B$4:$J$236,2))/1000000)</f>
        <v>1.6428</v>
      </c>
      <c r="EG377" s="712">
        <f ca="1">IF(B377=TODAY(),0,-(VLOOKUP(Sheet1!BR377,Lookup!$B$4:$J$236,3)-VLOOKUP(Sheet1!BR376,Lookup!$B$4:$J$236,3))/1000000)</f>
        <v>1.367</v>
      </c>
      <c r="EH377" s="712">
        <f>-(VLOOKUP(Sheet1!BS377,Lookup!$B$4:$J$236,4)-VLOOKUP(Sheet1!BS376,Lookup!$B$4:$J$236,4))/1000000</f>
        <v>0</v>
      </c>
      <c r="EI377" s="697">
        <f t="shared" ca="1" si="922"/>
        <v>3.0098000000000003</v>
      </c>
      <c r="EJ377" s="712"/>
      <c r="EK377" s="712"/>
      <c r="EL377" s="712"/>
      <c r="EM377" s="712"/>
      <c r="EN377" s="712"/>
      <c r="EO377" s="712"/>
      <c r="EP377" s="712"/>
      <c r="EQ377" s="712"/>
      <c r="ER377" s="712"/>
      <c r="ES377" s="712"/>
      <c r="ET377" s="794" t="e">
        <f t="shared" si="1015"/>
        <v>#N/A</v>
      </c>
      <c r="EU377" s="794" t="e">
        <f t="shared" si="924"/>
        <v>#N/A</v>
      </c>
      <c r="EV377" s="795" t="e">
        <f t="shared" si="925"/>
        <v>#N/A</v>
      </c>
      <c r="EW377" s="796" t="s">
        <v>757</v>
      </c>
      <c r="EX377" s="796" t="s">
        <v>757</v>
      </c>
      <c r="EY377" s="794" t="e">
        <v>#N/A</v>
      </c>
      <c r="EZ377" s="794" t="e">
        <v>#N/A</v>
      </c>
      <c r="FA377" s="712"/>
      <c r="FB377" s="712"/>
      <c r="FC377" s="712"/>
      <c r="FD377" s="712"/>
      <c r="FE377" s="712">
        <f>O377+Sheet1!CO377</f>
        <v>41.189999999991272</v>
      </c>
      <c r="FF377" s="712">
        <f>IF(Sheet1!AA377+AG377&lt;=Calculation!N377,AG377,Calculation!N377-Sheet1!AA377)</f>
        <v>14.09</v>
      </c>
      <c r="FG377" s="712">
        <f>(Sheet1!BP377+Sheet1!BO377)/694.4</f>
        <v>1.2737615207373272</v>
      </c>
      <c r="FH377" s="712"/>
      <c r="FI377" s="712"/>
      <c r="FJ377" s="712"/>
      <c r="FK377" s="712"/>
      <c r="FL377" s="714">
        <f t="shared" si="929"/>
        <v>40753</v>
      </c>
      <c r="FM377" s="714">
        <f t="shared" si="930"/>
        <v>40851</v>
      </c>
      <c r="FN377" s="712"/>
      <c r="FO377" s="712"/>
      <c r="FP377" s="712"/>
      <c r="FQ377" s="712"/>
      <c r="FR377" s="712"/>
      <c r="FS377" s="725">
        <f t="shared" si="1014"/>
        <v>40603</v>
      </c>
      <c r="FT377" s="714">
        <f t="shared" si="932"/>
        <v>40709</v>
      </c>
      <c r="FU377" s="712">
        <f t="shared" si="1014"/>
        <v>6518.9048239895692</v>
      </c>
      <c r="FV377" s="714">
        <f t="shared" si="933"/>
        <v>40722</v>
      </c>
      <c r="FW377" s="712">
        <f t="shared" si="1014"/>
        <v>3259.4524119947846</v>
      </c>
      <c r="FX377" s="725">
        <f t="shared" si="1014"/>
        <v>40851</v>
      </c>
      <c r="FZ377" s="697">
        <f t="shared" si="926"/>
        <v>0</v>
      </c>
      <c r="GA377" s="712" t="str">
        <f t="shared" si="995"/>
        <v/>
      </c>
      <c r="GB377" s="712">
        <f t="shared" si="996"/>
        <v>0</v>
      </c>
      <c r="GC377" s="712" t="str">
        <f t="shared" si="997"/>
        <v/>
      </c>
      <c r="GD377" s="712">
        <f>IF(GA377="P",Lookup!$M$12,IF(GA377="PP",Lookup!$M$13,IF(GA377="PPP",Lookup!$M$14,IF(GA377="T",Lookup!$M$15,IF(GA377="TP",Lookup!$M$16,IF(GA377="TPP",Lookup!$M$17,IF(GA377="TPPP",Lookup!$M$18,0)))))))*FZ377</f>
        <v>0</v>
      </c>
      <c r="GE377" s="712">
        <f t="shared" si="998"/>
        <v>0</v>
      </c>
      <c r="GF377" s="712">
        <f t="shared" si="999"/>
        <v>0</v>
      </c>
      <c r="GG377" s="712">
        <f t="shared" si="1000"/>
        <v>0</v>
      </c>
      <c r="GH377" s="712"/>
      <c r="GI377" s="712">
        <f t="shared" si="1001"/>
        <v>0</v>
      </c>
      <c r="GJ377" s="712" t="str">
        <f t="shared" si="1002"/>
        <v/>
      </c>
      <c r="GK377" s="712">
        <f>IF(GA377="P",Lookup!$N$12,IF(GA377="PP",Lookup!$N$13,IF(GA377="PPP",Lookup!$N$14,IF(GA377="T",Lookup!$N$15,IF(GA377="TP",Lookup!$N$16,IF(GA377="TPP",Lookup!$N$17,IF(GA377="TPPP",Lookup!$N$18,0)))))))*FZ377</f>
        <v>0</v>
      </c>
      <c r="GL377" s="712">
        <f t="shared" si="1003"/>
        <v>0</v>
      </c>
      <c r="GM377" s="712">
        <f t="shared" si="1004"/>
        <v>0</v>
      </c>
      <c r="GN377" s="712">
        <f t="shared" si="1005"/>
        <v>0</v>
      </c>
      <c r="GO377" s="712"/>
      <c r="GP377" s="712">
        <f t="shared" si="1006"/>
        <v>0</v>
      </c>
      <c r="GQ377" s="712" t="str">
        <f t="shared" si="1007"/>
        <v/>
      </c>
      <c r="GR377" s="712">
        <f>IF(GA377="P",Lookup!$N$12,IF(GA377="PP",Lookup!$N$13,IF(GA377="PPP",Lookup!$N$14,IF(GA377="T",Lookup!$N$15,IF(GA377="TP",Lookup!$N$16,IF(GA377="TPP",Lookup!$N$17,IF(GA377="TPPP",Lookup!$N$18,0)))))))*FZ377</f>
        <v>0</v>
      </c>
      <c r="GS377" s="697">
        <f t="shared" si="927"/>
        <v>0</v>
      </c>
      <c r="GT377" s="712">
        <f t="shared" si="1008"/>
        <v>0</v>
      </c>
      <c r="GU377" s="712">
        <f t="shared" si="1009"/>
        <v>0</v>
      </c>
      <c r="GV377" s="712"/>
      <c r="GW377" s="712">
        <f t="shared" si="1010"/>
        <v>0</v>
      </c>
      <c r="GX377" s="712" t="str">
        <f t="shared" si="1011"/>
        <v/>
      </c>
      <c r="GY377" s="712">
        <f>IF(GA377="P",Lookup!$N$12,IF(GA377="PP",Lookup!$N$13,IF(GA377="PPP",Lookup!$N$14,IF(GA377="T",Lookup!$N$15,IF(GA377="TP",Lookup!$N$16,IF(GA377="TPP",Lookup!$N$17,IF(GA377="TPPP",Lookup!$N$18,0)))))))*FZ377</f>
        <v>0</v>
      </c>
      <c r="GZ377" s="697">
        <f t="shared" si="928"/>
        <v>0</v>
      </c>
      <c r="HA377" s="712">
        <f t="shared" si="1012"/>
        <v>0</v>
      </c>
      <c r="HB377" s="712">
        <f t="shared" si="1013"/>
        <v>0</v>
      </c>
      <c r="HC377" s="712"/>
    </row>
    <row r="378" spans="1:211">
      <c r="A378" s="773" t="s">
        <v>8</v>
      </c>
      <c r="B378" s="708">
        <v>40907</v>
      </c>
      <c r="C378" s="719">
        <v>0.5</v>
      </c>
      <c r="D378" s="675">
        <f t="shared" si="936"/>
        <v>300</v>
      </c>
      <c r="E378" s="675">
        <f t="shared" si="937"/>
        <v>250</v>
      </c>
      <c r="F378" s="675">
        <v>250</v>
      </c>
      <c r="G378" s="712">
        <f>DH378+Sheet1!CV378</f>
        <v>6138.4222138182286</v>
      </c>
      <c r="H378" s="712">
        <f t="shared" si="938"/>
        <v>3700.912919012103</v>
      </c>
      <c r="I378" s="711">
        <f>MAX(Sheet1!Z378-AJ378+(Sheet1!CW378-E378)*CFStoMGD,0)</f>
        <v>4400.0166666666664</v>
      </c>
      <c r="J378" s="720">
        <f>IF(AND(B378&gt;=Calculation!FS378,B378&lt;=Calculation!FT378),IF(Sheet1!CX378&gt;=Calculation!D378,64.64,0),MAX(Sheet1!Z378-AJ378+(Sheet1!CX378-D378)*CFStoMGD,0))</f>
        <v>3822.431333333333</v>
      </c>
      <c r="K378" s="697">
        <f t="shared" si="939"/>
        <v>64.64</v>
      </c>
      <c r="L378" s="712">
        <f>Sheet1!AA378+Sheet1!AB378-Sheet1!L378+(Sheet1!CW378-F378)*CFStoMGD</f>
        <v>4402.9066666666695</v>
      </c>
      <c r="M378" s="712">
        <f t="shared" si="940"/>
        <v>4047.2336413923454</v>
      </c>
      <c r="N378" s="712">
        <f>IF(Sheet1!CW378&gt;=F378,MIN(73,MIN(MAX(L378,0),MAX(M378,0))),0)</f>
        <v>73</v>
      </c>
      <c r="O378" s="721">
        <f>Sheet1!AA378+Sheet1!AB378</f>
        <v>40.980000000003201</v>
      </c>
      <c r="P378" s="721">
        <f t="shared" si="941"/>
        <v>63.396060000004951</v>
      </c>
      <c r="Q378" s="712">
        <f>MIN(N378,Sheet1!AA378+AG378)</f>
        <v>40.980000000003201</v>
      </c>
      <c r="R378" s="712">
        <f t="shared" si="942"/>
        <v>0</v>
      </c>
      <c r="S378" s="721">
        <f>Sheet1!Y378*MGDtoCFS</f>
        <v>41.103789999999996</v>
      </c>
      <c r="T378" s="721">
        <f>Sheet1!Z378*MGDtoCFS</f>
        <v>21.30219</v>
      </c>
      <c r="U378" s="721">
        <f>Sheet1!AA378*MGDtoCFS</f>
        <v>37.5921000000045</v>
      </c>
      <c r="V378" s="721">
        <f>Sheet1!AB378*MGDtoCFS</f>
        <v>25.803960000000448</v>
      </c>
      <c r="W378" s="721">
        <f>Sheet1!L378*MGDtoCFS</f>
        <v>63.427</v>
      </c>
      <c r="X378" s="697">
        <f t="shared" si="943"/>
        <v>0</v>
      </c>
      <c r="Y378" s="712">
        <f t="shared" si="944"/>
        <v>0</v>
      </c>
      <c r="Z378" s="712">
        <f t="shared" si="945"/>
        <v>0</v>
      </c>
      <c r="AA378" s="712">
        <f t="shared" si="946"/>
        <v>0</v>
      </c>
      <c r="AB378" s="712">
        <f>(VLOOKUP(Sheet1!CY378,hhdcap_wcm,4)-(((VLOOKUP(Sheet1!CY378,hhdcap_wcm,3)-Sheet1!CY378)/(VLOOKUP(Sheet1!CY378,hhdcap_wcm,3)-VLOOKUP(Sheet1!CY378,hhdcap_wcm,1)))*(VLOOKUP(Sheet1!CY378,hhdcap_wcm,4)-VLOOKUP(Sheet1!CY378,hhdcap_wcm,2))))</f>
        <v>6144.1600000108301</v>
      </c>
      <c r="AC378" s="712">
        <f t="shared" si="947"/>
        <v>799.160000001546</v>
      </c>
      <c r="AD378" s="712">
        <f t="shared" si="948"/>
        <v>0</v>
      </c>
      <c r="AE378" s="712">
        <f t="shared" si="949"/>
        <v>0</v>
      </c>
      <c r="AF378" s="712">
        <f>Sheet1!BA378+Sheet1!BB378+Sheet1!BN378+BT378</f>
        <v>16.899999999999999</v>
      </c>
      <c r="AG378" s="712">
        <f t="shared" si="950"/>
        <v>16.680000000000291</v>
      </c>
      <c r="AH378" s="712">
        <f>Sheet1!BA378+BT378</f>
        <v>0</v>
      </c>
      <c r="AI378" s="712">
        <f>Sheet1!BA378+Sheet1!BB378+BT378</f>
        <v>0</v>
      </c>
      <c r="AJ378" s="712">
        <f>IF((Sheet1!AA378+AG378+AX378+AZ378+BQ378+BS378+CL378+CN378)&lt;=N378,AG378+AX378+AZ378+BQ378+BS378+CL378+CN378,N378-Sheet1!AA378)</f>
        <v>16.680000000000291</v>
      </c>
      <c r="AK378" s="712">
        <f>IF(DR378&lt;K378,0,MAX(Sheet1!AA378+AG378-15/36*K378-N378,Sheet1!ED378,0))</f>
        <v>0</v>
      </c>
      <c r="AL378" s="712">
        <f>IF(OR(B378&gt;=FT378,B378&lt;FS378),0,15/36*K378-MAX(0,64.6-(137.6-(Sheet1!AA378+Sheet1!AB378))))</f>
        <v>0</v>
      </c>
      <c r="AM378" s="712">
        <f>Sheet1!CX378-110</f>
        <v>6107.916666666667</v>
      </c>
      <c r="AN378" s="712">
        <f>Sheet1!CW378-265</f>
        <v>6796.458333333333</v>
      </c>
      <c r="AO378" s="712">
        <f t="shared" si="934"/>
        <v>32.019999999996799</v>
      </c>
      <c r="AP378" s="712">
        <f t="shared" si="951"/>
        <v>0</v>
      </c>
      <c r="AQ378" s="712">
        <f t="shared" si="952"/>
        <v>0</v>
      </c>
      <c r="AR378" s="712">
        <f t="shared" si="953"/>
        <v>0</v>
      </c>
      <c r="AS378" s="712"/>
      <c r="AT378" s="712">
        <f ca="1">IF(B378&gt;Summary!$A$1,#N/A,AR378*MGtoAF)</f>
        <v>0</v>
      </c>
      <c r="AU378" s="712">
        <f>Sheet1!BG378+Sheet1!BH378+Sheet1!BI378-BC378</f>
        <v>0</v>
      </c>
      <c r="AV378" s="712">
        <f t="shared" si="954"/>
        <v>0</v>
      </c>
      <c r="AW378" s="712">
        <f>IF(Sheet1!EL378="FM",BC378,0)</f>
        <v>0</v>
      </c>
      <c r="AX378" s="712">
        <f t="shared" si="955"/>
        <v>0</v>
      </c>
      <c r="AY378" s="712">
        <f>IF(Sheet1!EL378="OTHER",BC378,0)</f>
        <v>0</v>
      </c>
      <c r="AZ378" s="712">
        <f t="shared" si="956"/>
        <v>0</v>
      </c>
      <c r="BA378" s="712">
        <f t="shared" si="957"/>
        <v>0</v>
      </c>
      <c r="BB378" s="712">
        <f t="shared" si="958"/>
        <v>0</v>
      </c>
      <c r="BC378" s="712">
        <f>IF(OR(Sheet1!EL378="FM", Sheet1!EL378="OTHER"),SUM(Sheet1!BG378:'Sheet1'!BI378),0)</f>
        <v>0</v>
      </c>
      <c r="BD378" s="697">
        <f>IF(AND($B378&gt;=$FL378,$B378&lt;=$FM378),MAX(AV378,Sheet1!EE378,0),MAX(AV378-(7/36)*$K378,0))</f>
        <v>0</v>
      </c>
      <c r="BE378" s="712">
        <f t="shared" si="959"/>
        <v>0</v>
      </c>
      <c r="BF378" s="697">
        <f t="shared" si="960"/>
        <v>0</v>
      </c>
      <c r="BG378" s="697">
        <f>IF(AND($O378&gt;0,Sheet1!EI378=1),(1-($O378-Sheet1!$L378)/$O378)*BB378,0)</f>
        <v>0</v>
      </c>
      <c r="BH378" s="697">
        <f>IF(AND(Sheet1!$L378=0,Sheet1!$L377=0, Calculation!BA378&lt;Sheet1!$EE378-0.1,Sheet1!$EE378=Sheet1!$EE377,Sheet1!$EE378=Sheet1!$EE379),Sheet1!$EE378,BB378-BG378)</f>
        <v>0</v>
      </c>
      <c r="BI378" s="712"/>
      <c r="BJ378" s="712"/>
      <c r="BK378" s="712">
        <f t="shared" si="961"/>
        <v>0</v>
      </c>
      <c r="BL378" s="712"/>
      <c r="BM378" s="712">
        <f ca="1">IF(B378&gt;Summary!$A$1,#N/A,BK378*MGtoAF)</f>
        <v>0</v>
      </c>
      <c r="BN378" s="712">
        <f>Sheet1!BC378+Sheet1!BD378+Sheet1!BE378+Sheet1!BF378-BW378-BX378</f>
        <v>0</v>
      </c>
      <c r="BO378" s="712">
        <f t="shared" si="962"/>
        <v>0</v>
      </c>
      <c r="BP378" s="712">
        <f>IF(Sheet1!EM378="FM",BX378,0)</f>
        <v>0</v>
      </c>
      <c r="BQ378" s="712">
        <f t="shared" si="963"/>
        <v>0</v>
      </c>
      <c r="BR378" s="712">
        <f>IF(Sheet1!EM378="OTHER",BX378,0)</f>
        <v>0</v>
      </c>
      <c r="BS378" s="712">
        <f t="shared" si="964"/>
        <v>0</v>
      </c>
      <c r="BT378" s="712">
        <f t="shared" si="965"/>
        <v>0</v>
      </c>
      <c r="BU378" s="712">
        <f t="shared" si="966"/>
        <v>0</v>
      </c>
      <c r="BV378" s="712">
        <f t="shared" si="967"/>
        <v>0</v>
      </c>
      <c r="BW378" s="712">
        <f>IF(Sheet1!EM378="CWA",SUM(Sheet1!BC378:'Sheet1'!BF378),0)</f>
        <v>0</v>
      </c>
      <c r="BX378" s="712">
        <f>IF(OR(Sheet1!EM378="FM", Sheet1!EM378="OTHER"),SUM(Sheet1!BC378:'Sheet1'!BF378),0)</f>
        <v>0</v>
      </c>
      <c r="BY378" s="697">
        <f>IF(AND($B378&gt;=$FL378,$B378&lt;=$FM378),MAX(BV378,Sheet1!EF378,0),MAX(BV378-(7/36)*$K378,0))</f>
        <v>0</v>
      </c>
      <c r="BZ378" s="712">
        <f t="shared" si="968"/>
        <v>0</v>
      </c>
      <c r="CA378" s="697">
        <f t="shared" si="969"/>
        <v>0</v>
      </c>
      <c r="CB378" s="697">
        <f>IF(AND($O378&gt;0,Sheet1!EJ378=1),(1-($O378-Sheet1!$L378)/$O378)*BV378,0)</f>
        <v>0</v>
      </c>
      <c r="CC378" s="697">
        <f>IF(AND(Sheet1!$L378=0,Sheet1!$L377=0, Calculation!BU378&lt;Sheet1!EF378-0.1,Sheet1!EF378=Sheet1!EF377,Sheet1!EF378=Sheet1!EF379),Sheet1!EF378,BV378-CB378)</f>
        <v>0</v>
      </c>
      <c r="CD378" s="697"/>
      <c r="CE378" s="712"/>
      <c r="CF378" s="712">
        <f t="shared" si="970"/>
        <v>0</v>
      </c>
      <c r="CG378" s="712"/>
      <c r="CH378" s="712">
        <f ca="1">IF(B378&gt;Summary!$A$1,#N/A,CF378*MGtoAF)</f>
        <v>0</v>
      </c>
      <c r="CI378" s="712">
        <f>Sheet1!BK378+Sheet1!BL378+Sheet1!BM378-Sheet1!EN378-CQ378</f>
        <v>0</v>
      </c>
      <c r="CJ378" s="712">
        <f t="shared" si="971"/>
        <v>0</v>
      </c>
      <c r="CK378" s="712">
        <f>IF(Sheet1!EN378="FM",CQ378,0)</f>
        <v>0</v>
      </c>
      <c r="CL378" s="712">
        <f t="shared" si="972"/>
        <v>0</v>
      </c>
      <c r="CM378" s="712">
        <f>IF(Sheet1!EN378="OTHER",CQ378,0)</f>
        <v>0</v>
      </c>
      <c r="CN378" s="712">
        <f t="shared" si="973"/>
        <v>0</v>
      </c>
      <c r="CO378" s="712">
        <f t="shared" si="974"/>
        <v>0</v>
      </c>
      <c r="CP378" s="712">
        <f t="shared" si="975"/>
        <v>0</v>
      </c>
      <c r="CQ378" s="712">
        <f>IF(OR(Sheet1!EN378="FM", Sheet1!EN378="OTHER"),SUM(Sheet1!BK378:'Sheet1'!BM378),0)</f>
        <v>0</v>
      </c>
      <c r="CR378" s="697">
        <f>IF(AND($B378&gt;=$FL378,$B378&lt;=$FM378),MAX($CJ378,Sheet1!EG378,0),MAX($CJ378-(7/36)*$K378,0))</f>
        <v>0</v>
      </c>
      <c r="CS378" s="712">
        <f t="shared" si="976"/>
        <v>0</v>
      </c>
      <c r="CT378" s="697">
        <f t="shared" si="977"/>
        <v>0</v>
      </c>
      <c r="CU378" s="697">
        <f>IF(AND($O378&gt;0,Sheet1!EK378=1),(1-($O378-Sheet1!$L378)/$O378)*CP378,0)</f>
        <v>0</v>
      </c>
      <c r="CV378" s="697">
        <f>IF(AND(Sheet1!$L378=0,Sheet1!$L377=0, Calculation!CO378&lt;Sheet1!$EG378-0.1,Sheet1!$EG378=Sheet1!$EG377,Sheet1!$EG378=Sheet1!$EG379),Sheet1!$EG378,CP378-CU378)</f>
        <v>0</v>
      </c>
      <c r="CW378" s="697"/>
      <c r="CX378" s="712">
        <f t="shared" si="978"/>
        <v>0</v>
      </c>
      <c r="CY378" s="712">
        <f t="shared" si="979"/>
        <v>0</v>
      </c>
      <c r="CZ378" s="712">
        <f t="shared" si="980"/>
        <v>0</v>
      </c>
      <c r="DA378" s="712">
        <f ca="1">IF(B378&gt;Summary!$A$1,#N/A,CY378*MGtoAF)</f>
        <v>0</v>
      </c>
      <c r="DB378" s="712">
        <f t="shared" si="981"/>
        <v>0</v>
      </c>
      <c r="DC378" s="712">
        <f t="shared" si="982"/>
        <v>16.899999999999999</v>
      </c>
      <c r="DD378" s="712">
        <f>Sheet1!AB378-DC378</f>
        <v>-0.21999999999970754</v>
      </c>
      <c r="DE378" s="712">
        <f t="shared" si="983"/>
        <v>-1.3017751479272636E-2</v>
      </c>
      <c r="DF378" s="712">
        <f>(VLOOKUP(Sheet1!CY378,hhdcap_wcm,4)-(((VLOOKUP(Sheet1!CY378,hhdcap_wcm,3)-Sheet1!CY378)/(VLOOKUP(Sheet1!CY378,hhdcap_wcm,3)-VLOOKUP(Sheet1!CY378,hhdcap_wcm,1)))*(VLOOKUP(Sheet1!CY378,hhdcap_wcm,4)-VLOOKUP(Sheet1!CY378,hhdcap_wcm,2))))</f>
        <v>6144.1600000108301</v>
      </c>
      <c r="DG378" s="712">
        <f t="shared" si="984"/>
        <v>799.160000001546</v>
      </c>
      <c r="DH378" s="712">
        <f t="shared" si="985"/>
        <v>403.00554715156119</v>
      </c>
      <c r="DI378" s="712">
        <f>Sheet1!DW378*AFtoMG</f>
        <v>0</v>
      </c>
      <c r="DJ378" s="712">
        <f>Sheet1!DX378*AFtoMG</f>
        <v>0</v>
      </c>
      <c r="DK378" s="712">
        <f>Sheet1!DY378*AFtoMG</f>
        <v>0</v>
      </c>
      <c r="DL378" s="712">
        <f>Sheet1!DZ378*AFtoMG</f>
        <v>0</v>
      </c>
      <c r="DM378" s="712">
        <f t="shared" si="986"/>
        <v>0</v>
      </c>
      <c r="DN378" s="712">
        <f t="shared" si="987"/>
        <v>0</v>
      </c>
      <c r="DO378" s="712">
        <f t="shared" si="988"/>
        <v>0</v>
      </c>
      <c r="DP378" s="712">
        <f t="shared" si="989"/>
        <v>0</v>
      </c>
      <c r="DQ378" s="712"/>
      <c r="DR378" s="697">
        <f>IF(OR(B378&lt;FL378,B378&gt;FM378),(MIN(AV378+BO378+CJ378+MAX(Sheet1!AA378+AG378-73,0),K378)),0)</f>
        <v>0</v>
      </c>
      <c r="DS378" s="712"/>
      <c r="DT378" s="712">
        <f t="shared" si="990"/>
        <v>0</v>
      </c>
      <c r="DU378" s="712"/>
      <c r="DV378" s="712">
        <f>Sheet1!ED378+Sheet1!EE378+Sheet1!EF378+Sheet1!EG378</f>
        <v>8.5</v>
      </c>
      <c r="DW378" s="712"/>
      <c r="DX378" s="697">
        <f t="shared" si="991"/>
        <v>0</v>
      </c>
      <c r="DY378" s="712">
        <f>IF(Sheet1!FN378=1,SUM('Calculations II'!AT378:BA378)+'Calculations II'!BC378+Sheet1!BU378+'Calculations II'!BE378+AF378,SUM('Calculations II'!AT378:BA378)+'Calculations II'!BC378+Sheet1!BU378+'Calculations II'!BE378+AF378)</f>
        <v>39.041743999999994</v>
      </c>
      <c r="DZ378" s="712">
        <f>Sheet1!AA378+Sheet1!AB378+'Calculations II'!BC378</f>
        <v>40.980000000003201</v>
      </c>
      <c r="EA378" s="712"/>
      <c r="EB378" s="712"/>
      <c r="EC378" s="712">
        <f t="shared" si="992"/>
        <v>40907</v>
      </c>
      <c r="ED378" s="712">
        <f t="shared" si="993"/>
        <v>0</v>
      </c>
      <c r="EE378" s="712">
        <f t="shared" si="994"/>
        <v>0</v>
      </c>
      <c r="EF378" s="712">
        <f ca="1">IF(B378=TODAY(),0,-(VLOOKUP(Sheet1!BQ378,Lookup!$B$4:$J$236,2)-VLOOKUP(Sheet1!BQ377,Lookup!$B$4:$J$236,2))/1000000)</f>
        <v>1.0852999999999999</v>
      </c>
      <c r="EG378" s="712">
        <f ca="1">IF(B378=TODAY(),0,-(VLOOKUP(Sheet1!BR378,Lookup!$B$4:$J$236,3)-VLOOKUP(Sheet1!BR377,Lookup!$B$4:$J$236,3))/1000000)</f>
        <v>1.0833999999999999</v>
      </c>
      <c r="EH378" s="712">
        <f>-(VLOOKUP(Sheet1!BS378,Lookup!$B$4:$J$236,4)-VLOOKUP(Sheet1!BS377,Lookup!$B$4:$J$236,4))/1000000</f>
        <v>0</v>
      </c>
      <c r="EI378" s="697">
        <f t="shared" ref="EI378" ca="1" si="1016">EH378+EG378+EF378</f>
        <v>2.1686999999999999</v>
      </c>
      <c r="EJ378" s="712"/>
      <c r="EK378" s="712"/>
      <c r="EL378" s="712"/>
      <c r="EM378" s="712"/>
      <c r="EN378" s="712"/>
      <c r="EO378" s="712"/>
      <c r="EP378" s="712"/>
      <c r="EQ378" s="712"/>
      <c r="ER378" s="712"/>
      <c r="ES378" s="712"/>
      <c r="ET378" s="794" t="e">
        <f t="shared" si="1015"/>
        <v>#N/A</v>
      </c>
      <c r="EU378" s="794" t="e">
        <f t="shared" si="924"/>
        <v>#N/A</v>
      </c>
      <c r="EV378" s="795" t="e">
        <f t="shared" si="925"/>
        <v>#N/A</v>
      </c>
      <c r="EW378" s="796" t="s">
        <v>757</v>
      </c>
      <c r="EX378" s="796" t="s">
        <v>757</v>
      </c>
      <c r="EY378" s="794" t="e">
        <v>#N/A</v>
      </c>
      <c r="EZ378" s="794" t="e">
        <v>#N/A</v>
      </c>
      <c r="FA378" s="712"/>
      <c r="FB378" s="712"/>
      <c r="FC378" s="712"/>
      <c r="FD378" s="712"/>
      <c r="FE378" s="712">
        <f>O378+Sheet1!CO378</f>
        <v>40.980000000003201</v>
      </c>
      <c r="FF378" s="712">
        <f>IF(Sheet1!AA378+AG378&lt;=Calculation!N378,AG378,Calculation!N378-Sheet1!AA378)</f>
        <v>16.680000000000291</v>
      </c>
      <c r="FG378" s="712">
        <f>(Sheet1!BP378+Sheet1!BO378)/694.4</f>
        <v>2.2253744239631335</v>
      </c>
      <c r="FH378" s="712"/>
      <c r="FI378" s="712"/>
      <c r="FJ378" s="712"/>
      <c r="FK378" s="712"/>
      <c r="FL378" s="714">
        <f t="shared" si="929"/>
        <v>40753</v>
      </c>
      <c r="FM378" s="714">
        <f t="shared" si="930"/>
        <v>40851</v>
      </c>
      <c r="FN378" s="712"/>
      <c r="FO378" s="712"/>
      <c r="FP378" s="712"/>
      <c r="FQ378" s="712"/>
      <c r="FR378" s="712"/>
      <c r="FS378" s="725">
        <f t="shared" ref="FS378:FX385" si="1017">FS377</f>
        <v>40603</v>
      </c>
      <c r="FT378" s="714">
        <f t="shared" si="932"/>
        <v>40709</v>
      </c>
      <c r="FU378" s="712">
        <f t="shared" si="1017"/>
        <v>6518.9048239895692</v>
      </c>
      <c r="FV378" s="714">
        <f t="shared" si="933"/>
        <v>40722</v>
      </c>
      <c r="FW378" s="712">
        <f t="shared" si="1017"/>
        <v>3259.4524119947846</v>
      </c>
      <c r="FX378" s="725">
        <f t="shared" si="1017"/>
        <v>40851</v>
      </c>
      <c r="FZ378" s="697">
        <f t="shared" si="926"/>
        <v>0</v>
      </c>
      <c r="GA378" s="712" t="str">
        <f t="shared" si="995"/>
        <v/>
      </c>
      <c r="GB378" s="712">
        <f t="shared" si="996"/>
        <v>0</v>
      </c>
      <c r="GC378" s="712" t="str">
        <f t="shared" si="997"/>
        <v/>
      </c>
      <c r="GD378" s="712">
        <f>IF(GA378="P",Lookup!$M$12,IF(GA378="PP",Lookup!$M$13,IF(GA378="PPP",Lookup!$M$14,IF(GA378="T",Lookup!$M$15,IF(GA378="TP",Lookup!$M$16,IF(GA378="TPP",Lookup!$M$17,IF(GA378="TPPP",Lookup!$M$18,0)))))))*FZ378</f>
        <v>0</v>
      </c>
      <c r="GE378" s="712">
        <f t="shared" si="998"/>
        <v>0</v>
      </c>
      <c r="GF378" s="712">
        <f t="shared" si="999"/>
        <v>0</v>
      </c>
      <c r="GG378" s="712">
        <f t="shared" si="1000"/>
        <v>0</v>
      </c>
      <c r="GH378" s="712"/>
      <c r="GI378" s="712">
        <f t="shared" si="1001"/>
        <v>0</v>
      </c>
      <c r="GJ378" s="712" t="str">
        <f t="shared" si="1002"/>
        <v/>
      </c>
      <c r="GK378" s="712">
        <f>IF(GA378="P",Lookup!$N$12,IF(GA378="PP",Lookup!$N$13,IF(GA378="PPP",Lookup!$N$14,IF(GA378="T",Lookup!$N$15,IF(GA378="TP",Lookup!$N$16,IF(GA378="TPP",Lookup!$N$17,IF(GA378="TPPP",Lookup!$N$18,0)))))))*FZ378</f>
        <v>0</v>
      </c>
      <c r="GL378" s="712">
        <f t="shared" si="1003"/>
        <v>0</v>
      </c>
      <c r="GM378" s="712">
        <f t="shared" si="1004"/>
        <v>0</v>
      </c>
      <c r="GN378" s="712">
        <f t="shared" si="1005"/>
        <v>0</v>
      </c>
      <c r="GO378" s="712"/>
      <c r="GP378" s="712">
        <f t="shared" si="1006"/>
        <v>0</v>
      </c>
      <c r="GQ378" s="712" t="str">
        <f t="shared" si="1007"/>
        <v/>
      </c>
      <c r="GR378" s="712">
        <f>IF(GA378="P",Lookup!$N$12,IF(GA378="PP",Lookup!$N$13,IF(GA378="PPP",Lookup!$N$14,IF(GA378="T",Lookup!$N$15,IF(GA378="TP",Lookup!$N$16,IF(GA378="TPP",Lookup!$N$17,IF(GA378="TPPP",Lookup!$N$18,0)))))))*FZ378</f>
        <v>0</v>
      </c>
      <c r="GS378" s="697">
        <f t="shared" si="927"/>
        <v>0</v>
      </c>
      <c r="GT378" s="712">
        <f t="shared" si="1008"/>
        <v>0</v>
      </c>
      <c r="GU378" s="712">
        <f t="shared" si="1009"/>
        <v>0</v>
      </c>
      <c r="GV378" s="712"/>
      <c r="GW378" s="712">
        <f t="shared" si="1010"/>
        <v>0</v>
      </c>
      <c r="GX378" s="712" t="str">
        <f t="shared" si="1011"/>
        <v/>
      </c>
      <c r="GY378" s="712">
        <f>IF(GA378="P",Lookup!$N$12,IF(GA378="PP",Lookup!$N$13,IF(GA378="PPP",Lookup!$N$14,IF(GA378="T",Lookup!$N$15,IF(GA378="TP",Lookup!$N$16,IF(GA378="TPP",Lookup!$N$17,IF(GA378="TPPP",Lookup!$N$18,0)))))))*FZ378</f>
        <v>0</v>
      </c>
      <c r="GZ378" s="697">
        <f t="shared" si="928"/>
        <v>0</v>
      </c>
      <c r="HA378" s="712">
        <f t="shared" si="1012"/>
        <v>0</v>
      </c>
      <c r="HB378" s="712">
        <f t="shared" si="1013"/>
        <v>0</v>
      </c>
      <c r="HC378" s="712"/>
    </row>
    <row r="379" spans="1:211">
      <c r="A379" s="773" t="s">
        <v>9</v>
      </c>
      <c r="B379" s="708">
        <v>40908</v>
      </c>
      <c r="C379" s="709">
        <v>0.5</v>
      </c>
      <c r="D379" s="675">
        <f t="shared" si="936"/>
        <v>300</v>
      </c>
      <c r="E379" s="675">
        <f t="shared" si="937"/>
        <v>250</v>
      </c>
      <c r="F379" s="675">
        <v>250</v>
      </c>
      <c r="G379" s="712">
        <f>DH379+Sheet1!CV379</f>
        <v>3695.086359050486</v>
      </c>
      <c r="H379" s="712">
        <f t="shared" si="938"/>
        <v>2121.540622490234</v>
      </c>
      <c r="I379" s="711">
        <f>MAX(Sheet1!Z379-AJ379+(Sheet1!CW379-E379)*CFStoMGD,0)</f>
        <v>3687.143333333333</v>
      </c>
      <c r="J379" s="720">
        <f>IF(AND(B379&gt;=Calculation!FS379,B379&lt;=Calculation!FT379),IF(Sheet1!CX379&gt;=Calculation!D379,64.64,0),MAX(Sheet1!Z379-AJ379+(Sheet1!CX379-D379)*CFStoMGD,0))</f>
        <v>3106.4606666666659</v>
      </c>
      <c r="K379" s="697">
        <f t="shared" si="939"/>
        <v>64.64</v>
      </c>
      <c r="L379" s="712">
        <f>Sheet1!AA379+Sheet1!AB379-Sheet1!L379+(Sheet1!CW379-F379)*CFStoMGD</f>
        <v>3686.1733333333332</v>
      </c>
      <c r="M379" s="712">
        <f t="shared" si="940"/>
        <v>2436.2738989400391</v>
      </c>
      <c r="N379" s="712">
        <f>IF(Sheet1!CW379&gt;=F379,MIN(73,MIN(MAX(L379,0),MAX(M379,0))),0)</f>
        <v>73</v>
      </c>
      <c r="O379" s="721">
        <f>Sheet1!AA379+Sheet1!AB379</f>
        <v>38</v>
      </c>
      <c r="P379" s="721">
        <f t="shared" si="941"/>
        <v>58.786000000000001</v>
      </c>
      <c r="Q379" s="712">
        <f>MIN(N379,Sheet1!AA379+AG379)</f>
        <v>38</v>
      </c>
      <c r="R379" s="712">
        <f t="shared" si="942"/>
        <v>0</v>
      </c>
      <c r="S379" s="721">
        <f>Sheet1!Y379*MGDtoCFS</f>
        <v>38.442950000000003</v>
      </c>
      <c r="T379" s="721">
        <f>Sheet1!Z379*MGDtoCFS</f>
        <v>20.064589999999999</v>
      </c>
      <c r="U379" s="721">
        <f>Sheet1!AA379*MGDtoCFS</f>
        <v>38.674999999999997</v>
      </c>
      <c r="V379" s="721">
        <f>Sheet1!AB379*MGDtoCFS</f>
        <v>20.111000000000001</v>
      </c>
      <c r="W379" s="721">
        <f>Sheet1!L379*MGDtoCFS</f>
        <v>60.332999999999998</v>
      </c>
      <c r="X379" s="697">
        <f t="shared" si="943"/>
        <v>0</v>
      </c>
      <c r="Y379" s="712">
        <f t="shared" si="944"/>
        <v>0</v>
      </c>
      <c r="Z379" s="712">
        <f t="shared" si="945"/>
        <v>0</v>
      </c>
      <c r="AA379" s="712">
        <f t="shared" si="946"/>
        <v>0</v>
      </c>
      <c r="AB379" s="712">
        <f>(VLOOKUP(Sheet1!CY379,hhdcap_wcm,4)-(((VLOOKUP(Sheet1!CY379,hhdcap_wcm,3)-Sheet1!CY379)/(VLOOKUP(Sheet1!CY379,hhdcap_wcm,3)-VLOOKUP(Sheet1!CY379,hhdcap_wcm,1)))*(VLOOKUP(Sheet1!CY379,hhdcap_wcm,4)-VLOOKUP(Sheet1!CY379,hhdcap_wcm,2))))</f>
        <v>4686.0000000079426</v>
      </c>
      <c r="AC379" s="712">
        <f t="shared" si="947"/>
        <v>-1458.1600000028875</v>
      </c>
      <c r="AD379" s="712">
        <f t="shared" si="948"/>
        <v>0</v>
      </c>
      <c r="AE379" s="712">
        <f t="shared" si="949"/>
        <v>0</v>
      </c>
      <c r="AF379" s="712">
        <f>Sheet1!BA379+Sheet1!BB379+Sheet1!BN379+BT379</f>
        <v>13</v>
      </c>
      <c r="AG379" s="712">
        <f t="shared" si="950"/>
        <v>13</v>
      </c>
      <c r="AH379" s="712">
        <f>Sheet1!BA379+BT379</f>
        <v>0</v>
      </c>
      <c r="AI379" s="712">
        <f>Sheet1!BA379+Sheet1!BB379+BT379</f>
        <v>0</v>
      </c>
      <c r="AJ379" s="712">
        <f>IF((Sheet1!AA379+AG379+AX379+AZ379+BQ379+BS379+CL379+CN379)&lt;=N379,AG379+AX379+AZ379+BQ379+BS379+CL379+CN379,N379-Sheet1!AA379)</f>
        <v>13</v>
      </c>
      <c r="AK379" s="712">
        <f>IF(DR379&lt;K379,0,MAX(Sheet1!AA379+AG379-15/36*K379-N379,Sheet1!ED379,0))</f>
        <v>0</v>
      </c>
      <c r="AL379" s="712">
        <f>IF(OR(B379&gt;=FT379,B379&lt;FS379),0,15/36*K379-MAX(0,64.6-(137.6-(Sheet1!AA379+Sheet1!AB379))))</f>
        <v>0</v>
      </c>
      <c r="AM379" s="712">
        <f>Sheet1!CX379-110</f>
        <v>4995.833333333333</v>
      </c>
      <c r="AN379" s="712">
        <f>Sheet1!CW379-265</f>
        <v>5689.166666666667</v>
      </c>
      <c r="AO379" s="712">
        <f t="shared" si="934"/>
        <v>35</v>
      </c>
      <c r="AP379" s="712">
        <f t="shared" si="951"/>
        <v>0</v>
      </c>
      <c r="AQ379" s="712">
        <f t="shared" si="952"/>
        <v>0</v>
      </c>
      <c r="AR379" s="712">
        <f t="shared" si="953"/>
        <v>0</v>
      </c>
      <c r="AS379" s="712"/>
      <c r="AT379" s="712">
        <f ca="1">IF(B379&gt;Summary!$A$1,#N/A,AR379*MGtoAF)</f>
        <v>0</v>
      </c>
      <c r="AU379" s="712">
        <f>Sheet1!BG379+Sheet1!BH379+Sheet1!BI379-BC379</f>
        <v>0</v>
      </c>
      <c r="AV379" s="712">
        <f t="shared" si="954"/>
        <v>0</v>
      </c>
      <c r="AW379" s="712">
        <f>IF(Sheet1!EL379="FM",BC379,0)</f>
        <v>0</v>
      </c>
      <c r="AX379" s="712">
        <f t="shared" si="955"/>
        <v>0</v>
      </c>
      <c r="AY379" s="712">
        <f>IF(Sheet1!EL379="OTHER",BC379,0)</f>
        <v>0</v>
      </c>
      <c r="AZ379" s="712">
        <f t="shared" si="956"/>
        <v>0</v>
      </c>
      <c r="BA379" s="712">
        <f t="shared" si="957"/>
        <v>0</v>
      </c>
      <c r="BB379" s="712">
        <f t="shared" si="958"/>
        <v>0</v>
      </c>
      <c r="BC379" s="712">
        <f>IF(OR(Sheet1!EL379="FM", Sheet1!EL379="OTHER"),SUM(Sheet1!BG379:'Sheet1'!BI379),0)</f>
        <v>0</v>
      </c>
      <c r="BD379" s="697">
        <f>IF(AND($B379&gt;=$FL379,$B379&lt;=$FM379),MAX(AV379,Sheet1!EE379,0),MAX(AV379-(7/36)*$K379,0))</f>
        <v>0</v>
      </c>
      <c r="BE379" s="712">
        <f t="shared" si="959"/>
        <v>0</v>
      </c>
      <c r="BF379" s="697">
        <f t="shared" si="960"/>
        <v>0</v>
      </c>
      <c r="BG379" s="697">
        <f>IF(AND($O379&gt;0,Sheet1!EI379=1),(1-($O379-Sheet1!$L379)/$O379)*BB379,0)</f>
        <v>0</v>
      </c>
      <c r="BH379" s="697">
        <f>IF(AND(Sheet1!$L379=0,Sheet1!$L378=0, Calculation!BA379&lt;Sheet1!$EE379-0.1,Sheet1!$EE379=Sheet1!$EE378,Sheet1!$EE379=Sheet1!$EE380),Sheet1!$EE379,BB379-BG379)</f>
        <v>0</v>
      </c>
      <c r="BI379" s="712"/>
      <c r="BJ379" s="712"/>
      <c r="BK379" s="712">
        <f t="shared" si="961"/>
        <v>0</v>
      </c>
      <c r="BL379" s="712"/>
      <c r="BM379" s="712">
        <f ca="1">IF(B379&gt;Summary!$A$1,#N/A,BK379*MGtoAF)</f>
        <v>0</v>
      </c>
      <c r="BN379" s="712">
        <f>Sheet1!BC379+Sheet1!BD379+Sheet1!BE379+Sheet1!BF379-BW379-BX379</f>
        <v>0</v>
      </c>
      <c r="BO379" s="712">
        <f t="shared" si="962"/>
        <v>0</v>
      </c>
      <c r="BP379" s="712">
        <f>IF(Sheet1!EM379="FM",BX379,0)</f>
        <v>0</v>
      </c>
      <c r="BQ379" s="712">
        <f t="shared" si="963"/>
        <v>0</v>
      </c>
      <c r="BR379" s="712">
        <f>IF(Sheet1!EM379="OTHER",BX379,0)</f>
        <v>0</v>
      </c>
      <c r="BS379" s="712">
        <f t="shared" si="964"/>
        <v>0</v>
      </c>
      <c r="BT379" s="712">
        <f t="shared" si="965"/>
        <v>0</v>
      </c>
      <c r="BU379" s="712">
        <f t="shared" si="966"/>
        <v>0</v>
      </c>
      <c r="BV379" s="712">
        <f t="shared" si="967"/>
        <v>0</v>
      </c>
      <c r="BW379" s="712">
        <f>IF(Sheet1!EM379="CWA",SUM(Sheet1!BC379:'Sheet1'!BF379),0)</f>
        <v>0</v>
      </c>
      <c r="BX379" s="712">
        <f>IF(OR(Sheet1!EM379="FM", Sheet1!EM379="OTHER"),SUM(Sheet1!BC379:'Sheet1'!BF379),0)</f>
        <v>0</v>
      </c>
      <c r="BY379" s="697">
        <f>IF(AND($B379&gt;=$FL379,$B379&lt;=$FM379),MAX(BV379,Sheet1!EF379,0),MAX(BV379-(7/36)*$K379,0))</f>
        <v>0</v>
      </c>
      <c r="BZ379" s="712">
        <f t="shared" si="968"/>
        <v>0</v>
      </c>
      <c r="CA379" s="697">
        <f t="shared" si="969"/>
        <v>0</v>
      </c>
      <c r="CB379" s="697">
        <f>IF(AND($O379&gt;0,Sheet1!EJ379=1),(1-($O379-Sheet1!$L379)/$O379)*BV379,0)</f>
        <v>0</v>
      </c>
      <c r="CC379" s="697">
        <f>IF(AND(Sheet1!$L379=0,Sheet1!$L378=0, Calculation!BU379&lt;Sheet1!EF379-0.1,Sheet1!EF379=Sheet1!EF378,Sheet1!EF379=Sheet1!EF380),Sheet1!EF379,BV379-CB379)</f>
        <v>0</v>
      </c>
      <c r="CD379" s="697"/>
      <c r="CE379" s="712"/>
      <c r="CF379" s="712">
        <f t="shared" si="970"/>
        <v>0</v>
      </c>
      <c r="CG379" s="712"/>
      <c r="CH379" s="712">
        <f ca="1">IF(B379&gt;Summary!$A$1,#N/A,CF379*MGtoAF)</f>
        <v>0</v>
      </c>
      <c r="CI379" s="712">
        <f>Sheet1!BK379+Sheet1!BL379+Sheet1!BM379-Sheet1!EN379-CQ379</f>
        <v>0</v>
      </c>
      <c r="CJ379" s="712">
        <f t="shared" si="971"/>
        <v>0</v>
      </c>
      <c r="CK379" s="712">
        <f>IF(Sheet1!EN379="FM",CQ379,0)</f>
        <v>0</v>
      </c>
      <c r="CL379" s="712">
        <f t="shared" si="972"/>
        <v>0</v>
      </c>
      <c r="CM379" s="712">
        <f>IF(Sheet1!EN379="OTHER",CQ379,0)</f>
        <v>0</v>
      </c>
      <c r="CN379" s="712">
        <f t="shared" si="973"/>
        <v>0</v>
      </c>
      <c r="CO379" s="712">
        <f t="shared" si="974"/>
        <v>0</v>
      </c>
      <c r="CP379" s="712">
        <f t="shared" si="975"/>
        <v>0</v>
      </c>
      <c r="CQ379" s="712">
        <f>IF(OR(Sheet1!EN379="FM", Sheet1!EN379="OTHER"),SUM(Sheet1!BK379:'Sheet1'!BM379),0)</f>
        <v>0</v>
      </c>
      <c r="CR379" s="697">
        <f>IF(AND($B379&gt;=$FL379,$B379&lt;=$FM379),MAX($CJ379,Sheet1!EG379,0),MAX($CJ379-(7/36)*$K379,0))</f>
        <v>0</v>
      </c>
      <c r="CS379" s="712">
        <f t="shared" si="976"/>
        <v>0</v>
      </c>
      <c r="CT379" s="697">
        <f t="shared" si="977"/>
        <v>0</v>
      </c>
      <c r="CU379" s="697">
        <f>IF(AND($O379&gt;0,Sheet1!EK379=1),(1-($O379-Sheet1!$L379)/$O379)*CP379,0)</f>
        <v>0</v>
      </c>
      <c r="CV379" s="697">
        <f>IF(AND(Sheet1!$L379=0,Sheet1!$L378=0, Calculation!CO379&lt;Sheet1!$EG379-0.1,Sheet1!$EG379=Sheet1!$EG378,Sheet1!$EG379=Sheet1!$EG380),Sheet1!$EG379,CP379-CU379)</f>
        <v>0</v>
      </c>
      <c r="CW379" s="697"/>
      <c r="CX379" s="712">
        <f t="shared" si="978"/>
        <v>0</v>
      </c>
      <c r="CY379" s="712">
        <f t="shared" si="979"/>
        <v>0</v>
      </c>
      <c r="CZ379" s="712">
        <f t="shared" si="980"/>
        <v>0</v>
      </c>
      <c r="DA379" s="712">
        <f ca="1">IF(B379&gt;Summary!$A$1,#N/A,CY379*MGtoAF)</f>
        <v>0</v>
      </c>
      <c r="DB379" s="712">
        <f t="shared" si="981"/>
        <v>0</v>
      </c>
      <c r="DC379" s="712">
        <f t="shared" si="982"/>
        <v>13</v>
      </c>
      <c r="DD379" s="712">
        <f>Sheet1!AB379-DC379</f>
        <v>0</v>
      </c>
      <c r="DE379" s="712">
        <f t="shared" si="983"/>
        <v>0</v>
      </c>
      <c r="DF379" s="712">
        <f>(VLOOKUP(Sheet1!CY379,hhdcap_wcm,4)-(((VLOOKUP(Sheet1!CY379,hhdcap_wcm,3)-Sheet1!CY379)/(VLOOKUP(Sheet1!CY379,hhdcap_wcm,3)-VLOOKUP(Sheet1!CY379,hhdcap_wcm,1)))*(VLOOKUP(Sheet1!CY379,hhdcap_wcm,4)-VLOOKUP(Sheet1!CY379,hhdcap_wcm,2))))</f>
        <v>4686.0000000079426</v>
      </c>
      <c r="DG379" s="712">
        <f t="shared" si="984"/>
        <v>-1458.1600000028875</v>
      </c>
      <c r="DH379" s="712">
        <f t="shared" si="985"/>
        <v>-735.33030761618124</v>
      </c>
      <c r="DI379" s="712">
        <f>Sheet1!DW379*AFtoMG</f>
        <v>0</v>
      </c>
      <c r="DJ379" s="712">
        <f>Sheet1!DX379*AFtoMG</f>
        <v>0</v>
      </c>
      <c r="DK379" s="712">
        <f>Sheet1!DY379*AFtoMG</f>
        <v>0</v>
      </c>
      <c r="DL379" s="712">
        <f>Sheet1!DZ379*AFtoMG</f>
        <v>0</v>
      </c>
      <c r="DM379" s="712">
        <f t="shared" si="986"/>
        <v>0</v>
      </c>
      <c r="DN379" s="712">
        <f t="shared" si="987"/>
        <v>0</v>
      </c>
      <c r="DO379" s="712">
        <f t="shared" si="988"/>
        <v>0</v>
      </c>
      <c r="DP379" s="712">
        <f t="shared" si="989"/>
        <v>0</v>
      </c>
      <c r="DQ379" s="712"/>
      <c r="DR379" s="697">
        <f>IF(OR(B379&lt;FL379,B379&gt;FM379),(MIN(AV379+BO379+CJ379+MAX(Sheet1!AA379+AG379-73,0),K379)),0)</f>
        <v>0</v>
      </c>
      <c r="DS379" s="712"/>
      <c r="DT379" s="712">
        <f t="shared" si="990"/>
        <v>0</v>
      </c>
      <c r="DU379" s="712"/>
      <c r="DV379" s="712">
        <f>Sheet1!ED379+Sheet1!EE379+Sheet1!EF379+Sheet1!EG379</f>
        <v>8.5</v>
      </c>
      <c r="DW379" s="712"/>
      <c r="DX379" s="697">
        <f t="shared" si="991"/>
        <v>0</v>
      </c>
      <c r="DY379" s="712">
        <f>IF(Sheet1!FN379=1,SUM('Calculations II'!AT379:BA379)+'Calculations II'!BC379+Sheet1!BU379+'Calculations II'!BE379+AF379,SUM('Calculations II'!AT379:BA379)+'Calculations II'!BC379+Sheet1!BU379+'Calculations II'!BE379+AF379)</f>
        <v>37.651920000000004</v>
      </c>
      <c r="DZ379" s="712">
        <f>Sheet1!AA379+Sheet1!AB379+'Calculations II'!BC379</f>
        <v>38</v>
      </c>
      <c r="EA379" s="712"/>
      <c r="EB379" s="712"/>
      <c r="EC379" s="712">
        <f t="shared" si="992"/>
        <v>40908</v>
      </c>
      <c r="ED379" s="712">
        <f t="shared" si="993"/>
        <v>0</v>
      </c>
      <c r="EE379" s="712">
        <f t="shared" si="994"/>
        <v>0</v>
      </c>
      <c r="EF379" s="712">
        <f>-(VLOOKUP(Sheet1!BQ379,Lookup!$B$4:$J$236,2)-VLOOKUP(Sheet1!BQ378,Lookup!$B$4:$J$236,2))/1000000</f>
        <v>2.6947999999999999</v>
      </c>
      <c r="EG379" s="712">
        <f>-(VLOOKUP(Sheet1!BR379,Lookup!$B$4:$J$236,3)-VLOOKUP(Sheet1!BR378,Lookup!$B$4:$J$236,3))/1000000</f>
        <v>2.6894</v>
      </c>
      <c r="EH379" s="712">
        <f>-(VLOOKUP(Sheet1!BS379,Lookup!$B$4:$J$236,4)-VLOOKUP(Sheet1!BS378,Lookup!$B$4:$J$236,4))/1000000</f>
        <v>0</v>
      </c>
      <c r="EI379" s="697">
        <f t="shared" ref="EI379:EI385" si="1018">EH379+EG379+EF379</f>
        <v>5.3841999999999999</v>
      </c>
      <c r="EJ379" s="712"/>
      <c r="EK379" s="712"/>
      <c r="EL379" s="712"/>
      <c r="EM379" s="712"/>
      <c r="EN379" s="712"/>
      <c r="EO379" s="712"/>
      <c r="EP379" s="712"/>
      <c r="EQ379" s="712"/>
      <c r="ER379" s="712"/>
      <c r="ES379" s="712"/>
      <c r="ET379" s="794" t="e">
        <f t="shared" si="1015"/>
        <v>#N/A</v>
      </c>
      <c r="EU379" s="794" t="e">
        <f t="shared" si="924"/>
        <v>#N/A</v>
      </c>
      <c r="EV379" s="795" t="e">
        <f t="shared" si="925"/>
        <v>#N/A</v>
      </c>
      <c r="EW379" s="796" t="s">
        <v>757</v>
      </c>
      <c r="EX379" s="796" t="s">
        <v>757</v>
      </c>
      <c r="EY379" s="794" t="e">
        <v>#N/A</v>
      </c>
      <c r="EZ379" s="794" t="e">
        <v>#N/A</v>
      </c>
      <c r="FA379" s="712"/>
      <c r="FB379" s="712"/>
      <c r="FC379" s="712"/>
      <c r="FD379" s="712"/>
      <c r="FE379" s="712">
        <f>O379+Sheet1!CO379</f>
        <v>38</v>
      </c>
      <c r="FF379" s="712">
        <f>IF(Sheet1!AA379+AG379&lt;=Calculation!N379,AG379,Calculation!N379-Sheet1!AA379)</f>
        <v>13</v>
      </c>
      <c r="FG379" s="712">
        <f>(Sheet1!BP379+Sheet1!BO379)/694.4</f>
        <v>1.6291762672811059</v>
      </c>
      <c r="FH379" s="712"/>
      <c r="FI379" s="712"/>
      <c r="FJ379" s="712"/>
      <c r="FK379" s="712"/>
      <c r="FL379" s="714">
        <f t="shared" si="929"/>
        <v>40753</v>
      </c>
      <c r="FM379" s="714">
        <f t="shared" si="930"/>
        <v>40851</v>
      </c>
      <c r="FN379" s="712"/>
      <c r="FO379" s="712"/>
      <c r="FP379" s="712"/>
      <c r="FQ379" s="712"/>
      <c r="FR379" s="712"/>
      <c r="FS379" s="725">
        <f t="shared" si="1017"/>
        <v>40603</v>
      </c>
      <c r="FT379" s="714">
        <f t="shared" si="932"/>
        <v>40709</v>
      </c>
      <c r="FU379" s="712">
        <f t="shared" si="1017"/>
        <v>6518.9048239895692</v>
      </c>
      <c r="FV379" s="714">
        <f t="shared" si="933"/>
        <v>40722</v>
      </c>
      <c r="FW379" s="712">
        <f t="shared" si="1017"/>
        <v>3259.4524119947846</v>
      </c>
      <c r="FX379" s="725">
        <f t="shared" si="1017"/>
        <v>40851</v>
      </c>
      <c r="FZ379" s="697">
        <f t="shared" si="926"/>
        <v>0</v>
      </c>
      <c r="GA379" s="712" t="str">
        <f t="shared" si="995"/>
        <v/>
      </c>
      <c r="GB379" s="712">
        <f t="shared" si="996"/>
        <v>0</v>
      </c>
      <c r="GC379" s="712" t="str">
        <f t="shared" si="997"/>
        <v/>
      </c>
      <c r="GD379" s="712">
        <f>IF(GA379="P",Lookup!$M$12,IF(GA379="PP",Lookup!$M$13,IF(GA379="PPP",Lookup!$M$14,IF(GA379="T",Lookup!$M$15,IF(GA379="TP",Lookup!$M$16,IF(GA379="TPP",Lookup!$M$17,IF(GA379="TPPP",Lookup!$M$18,0)))))))*FZ379</f>
        <v>0</v>
      </c>
      <c r="GE379" s="712">
        <f t="shared" si="998"/>
        <v>0</v>
      </c>
      <c r="GF379" s="712">
        <f t="shared" si="999"/>
        <v>0</v>
      </c>
      <c r="GG379" s="712">
        <f t="shared" si="1000"/>
        <v>0</v>
      </c>
      <c r="GH379" s="712"/>
      <c r="GI379" s="712">
        <f t="shared" si="1001"/>
        <v>0</v>
      </c>
      <c r="GJ379" s="712" t="str">
        <f t="shared" si="1002"/>
        <v/>
      </c>
      <c r="GK379" s="712">
        <f>IF(GA379="P",Lookup!$N$12,IF(GA379="PP",Lookup!$N$13,IF(GA379="PPP",Lookup!$N$14,IF(GA379="T",Lookup!$N$15,IF(GA379="TP",Lookup!$N$16,IF(GA379="TPP",Lookup!$N$17,IF(GA379="TPPP",Lookup!$N$18,0)))))))*FZ379</f>
        <v>0</v>
      </c>
      <c r="GL379" s="712">
        <f t="shared" si="1003"/>
        <v>0</v>
      </c>
      <c r="GM379" s="712">
        <f t="shared" si="1004"/>
        <v>0</v>
      </c>
      <c r="GN379" s="712">
        <f t="shared" si="1005"/>
        <v>0</v>
      </c>
      <c r="GO379" s="712"/>
      <c r="GP379" s="712">
        <f t="shared" si="1006"/>
        <v>0</v>
      </c>
      <c r="GQ379" s="712" t="str">
        <f t="shared" si="1007"/>
        <v/>
      </c>
      <c r="GR379" s="712">
        <f>IF(GA379="P",Lookup!$N$12,IF(GA379="PP",Lookup!$N$13,IF(GA379="PPP",Lookup!$N$14,IF(GA379="T",Lookup!$N$15,IF(GA379="TP",Lookup!$N$16,IF(GA379="TPP",Lookup!$N$17,IF(GA379="TPPP",Lookup!$N$18,0)))))))*FZ379</f>
        <v>0</v>
      </c>
      <c r="GS379" s="697">
        <f t="shared" si="927"/>
        <v>0</v>
      </c>
      <c r="GT379" s="712">
        <f t="shared" si="1008"/>
        <v>0</v>
      </c>
      <c r="GU379" s="712">
        <f t="shared" si="1009"/>
        <v>0</v>
      </c>
      <c r="GV379" s="712"/>
      <c r="GW379" s="712">
        <f t="shared" si="1010"/>
        <v>0</v>
      </c>
      <c r="GX379" s="712" t="str">
        <f t="shared" si="1011"/>
        <v/>
      </c>
      <c r="GY379" s="712">
        <f>IF(GA379="P",Lookup!$N$12,IF(GA379="PP",Lookup!$N$13,IF(GA379="PPP",Lookup!$N$14,IF(GA379="T",Lookup!$N$15,IF(GA379="TP",Lookup!$N$16,IF(GA379="TPP",Lookup!$N$17,IF(GA379="TPPP",Lookup!$N$18,0)))))))*FZ379</f>
        <v>0</v>
      </c>
      <c r="GZ379" s="697">
        <f t="shared" si="928"/>
        <v>0</v>
      </c>
      <c r="HA379" s="712">
        <f t="shared" si="1012"/>
        <v>0</v>
      </c>
      <c r="HB379" s="712">
        <f t="shared" si="1013"/>
        <v>0</v>
      </c>
      <c r="HC379" s="712"/>
    </row>
    <row r="380" spans="1:211">
      <c r="A380" s="773" t="s">
        <v>3</v>
      </c>
      <c r="B380" s="708">
        <v>40909</v>
      </c>
      <c r="C380" s="719">
        <v>0.5</v>
      </c>
      <c r="D380" s="675">
        <f t="shared" si="936"/>
        <v>300</v>
      </c>
      <c r="E380" s="675">
        <f t="shared" si="937"/>
        <v>250</v>
      </c>
      <c r="F380" s="675">
        <v>250</v>
      </c>
      <c r="G380" s="712">
        <f>DH380+Sheet1!CV380</f>
        <v>2971.2556732214866</v>
      </c>
      <c r="H380" s="712">
        <f t="shared" si="938"/>
        <v>1653.6564671703688</v>
      </c>
      <c r="I380" s="711">
        <f>MAX(Sheet1!Z380-AJ380+(Sheet1!CW380-E380)*CFStoMGD,0)</f>
        <v>2223.5859999999998</v>
      </c>
      <c r="J380" s="720">
        <f>IF(AND(B380&gt;=Calculation!FS380,B380&lt;=Calculation!FT380),IF(Sheet1!CX380&gt;=Calculation!D380,64.64,0),MAX(Sheet1!Z380-AJ380+(Sheet1!CX380-D380)*CFStoMGD,0))</f>
        <v>1609.5059999999999</v>
      </c>
      <c r="K380" s="697">
        <f t="shared" si="939"/>
        <v>64.64</v>
      </c>
      <c r="L380" s="712">
        <f>Sheet1!AA380+Sheet1!AB380-Sheet1!L380+(Sheet1!CW380-F380)*CFStoMGD</f>
        <v>2224.616</v>
      </c>
      <c r="M380" s="712">
        <f t="shared" si="940"/>
        <v>1959.0320605137765</v>
      </c>
      <c r="N380" s="712">
        <f>IF(Sheet1!CW380&gt;=F380,MIN(73,MIN(MAX(L380,0),MAX(M380,0))),0)</f>
        <v>73</v>
      </c>
      <c r="O380" s="721">
        <f>Sheet1!AA380+Sheet1!AB380</f>
        <v>38</v>
      </c>
      <c r="P380" s="721">
        <f t="shared" si="941"/>
        <v>58.786000000000001</v>
      </c>
      <c r="Q380" s="712">
        <f>MIN(N380,Sheet1!AA380+AG380)</f>
        <v>38</v>
      </c>
      <c r="R380" s="712">
        <f t="shared" si="942"/>
        <v>0</v>
      </c>
      <c r="S380" s="721">
        <f>Sheet1!Y380*MGDtoCFS</f>
        <v>38.95346</v>
      </c>
      <c r="T380" s="721">
        <f>Sheet1!Z380*MGDtoCFS</f>
        <v>20.064589999999999</v>
      </c>
      <c r="U380" s="721">
        <f>Sheet1!AA380*MGDtoCFS</f>
        <v>38.674999999999997</v>
      </c>
      <c r="V380" s="721">
        <f>Sheet1!AB380*MGDtoCFS</f>
        <v>20.111000000000001</v>
      </c>
      <c r="W380" s="721">
        <f>Sheet1!L380*MGDtoCFS</f>
        <v>57.238999999999997</v>
      </c>
      <c r="X380" s="697">
        <f t="shared" si="943"/>
        <v>0</v>
      </c>
      <c r="Y380" s="712">
        <f t="shared" si="944"/>
        <v>0</v>
      </c>
      <c r="Z380" s="712">
        <f t="shared" si="945"/>
        <v>0</v>
      </c>
      <c r="AA380" s="712">
        <f t="shared" si="946"/>
        <v>0</v>
      </c>
      <c r="AB380" s="712">
        <f>(VLOOKUP(Sheet1!CY380,hhdcap_wcm,4)-(((VLOOKUP(Sheet1!CY380,hhdcap_wcm,3)-Sheet1!CY380)/(VLOOKUP(Sheet1!CY380,hhdcap_wcm,3)-VLOOKUP(Sheet1!CY380,hhdcap_wcm,1)))*(VLOOKUP(Sheet1!CY380,hhdcap_wcm,4)-VLOOKUP(Sheet1!CY380,hhdcap_wcm,2))))</f>
        <v>3835.8000000061502</v>
      </c>
      <c r="AC380" s="712">
        <f t="shared" si="947"/>
        <v>-850.20000000179243</v>
      </c>
      <c r="AD380" s="712">
        <f t="shared" si="948"/>
        <v>0</v>
      </c>
      <c r="AE380" s="712">
        <f t="shared" si="949"/>
        <v>0</v>
      </c>
      <c r="AF380" s="712">
        <f>Sheet1!BA380+Sheet1!BB380+Sheet1!BN380+BT380</f>
        <v>13.1</v>
      </c>
      <c r="AG380" s="712">
        <f t="shared" si="950"/>
        <v>13</v>
      </c>
      <c r="AH380" s="712">
        <f>Sheet1!BA380+BT380</f>
        <v>0</v>
      </c>
      <c r="AI380" s="712">
        <f>Sheet1!BA380+Sheet1!BB380+BT380</f>
        <v>0</v>
      </c>
      <c r="AJ380" s="712">
        <f>IF((Sheet1!AA380+AG380+AX380+AZ380+BQ380+BS380+CL380+CN380)&lt;=N380,AG380+AX380+AZ380+BQ380+BS380+CL380+CN380,N380-Sheet1!AA380)</f>
        <v>13</v>
      </c>
      <c r="AK380" s="712">
        <f>IF(DR380&lt;K380,0,MAX(Sheet1!AA380+AG380-15/36*K380-N380,Sheet1!ED380,0))</f>
        <v>0</v>
      </c>
      <c r="AL380" s="712">
        <f>IF(OR(B380&gt;=FT380,B380&lt;FS380),0,15/36*K380-MAX(0,64.6-(137.6-(Sheet1!AA380+Sheet1!AB380))))</f>
        <v>0</v>
      </c>
      <c r="AM380" s="712">
        <f>Sheet1!CX380-110</f>
        <v>2680</v>
      </c>
      <c r="AN380" s="712">
        <f>Sheet1!CW380-265</f>
        <v>3425</v>
      </c>
      <c r="AO380" s="712">
        <f t="shared" si="934"/>
        <v>35</v>
      </c>
      <c r="AP380" s="712">
        <f t="shared" si="951"/>
        <v>0</v>
      </c>
      <c r="AQ380" s="712">
        <f t="shared" si="952"/>
        <v>0</v>
      </c>
      <c r="AR380" s="712">
        <f t="shared" si="953"/>
        <v>0</v>
      </c>
      <c r="AS380" s="712"/>
      <c r="AT380" s="712">
        <f ca="1">IF(B380&gt;Summary!$A$1,#N/A,AR380*MGtoAF)</f>
        <v>0</v>
      </c>
      <c r="AU380" s="712">
        <f>Sheet1!BG380+Sheet1!BH380+Sheet1!BI380-BC380</f>
        <v>0</v>
      </c>
      <c r="AV380" s="712">
        <f t="shared" si="954"/>
        <v>0</v>
      </c>
      <c r="AW380" s="712">
        <f>IF(Sheet1!EL380="FM",BC380,0)</f>
        <v>0</v>
      </c>
      <c r="AX380" s="712">
        <f t="shared" si="955"/>
        <v>0</v>
      </c>
      <c r="AY380" s="712">
        <f>IF(Sheet1!EL380="OTHER",BC380,0)</f>
        <v>0</v>
      </c>
      <c r="AZ380" s="712">
        <f t="shared" si="956"/>
        <v>0</v>
      </c>
      <c r="BA380" s="712">
        <f t="shared" si="957"/>
        <v>0</v>
      </c>
      <c r="BB380" s="712">
        <f t="shared" si="958"/>
        <v>0</v>
      </c>
      <c r="BC380" s="712">
        <f>IF(OR(Sheet1!EL380="FM", Sheet1!EL380="OTHER"),SUM(Sheet1!BG380:'Sheet1'!BI380),0)</f>
        <v>0</v>
      </c>
      <c r="BD380" s="697">
        <f>IF(AND($B380&gt;=$FL380,$B380&lt;=$FM380),MAX(AV380,Sheet1!EE380,0),MAX(AV380-(7/36)*$K380,0))</f>
        <v>0</v>
      </c>
      <c r="BE380" s="712">
        <f t="shared" si="959"/>
        <v>0</v>
      </c>
      <c r="BF380" s="697">
        <f t="shared" si="960"/>
        <v>0</v>
      </c>
      <c r="BG380" s="697">
        <f>IF(AND($O380&gt;0,Sheet1!EI380=1),(1-($O380-Sheet1!$L380)/$O380)*BB380,0)</f>
        <v>0</v>
      </c>
      <c r="BH380" s="697">
        <f>IF(AND(Sheet1!$L380=0,Sheet1!$L379=0, Calculation!BA380&lt;Sheet1!$EE380-0.1,Sheet1!$EE380=Sheet1!$EE379,Sheet1!$EE380=Sheet1!$EE381),Sheet1!$EE380,BB380-BG380)</f>
        <v>0</v>
      </c>
      <c r="BI380" s="712"/>
      <c r="BJ380" s="712"/>
      <c r="BK380" s="712">
        <f t="shared" si="961"/>
        <v>0</v>
      </c>
      <c r="BL380" s="712"/>
      <c r="BM380" s="712">
        <f ca="1">IF(B380&gt;Summary!$A$1,#N/A,BK380*MGtoAF)</f>
        <v>0</v>
      </c>
      <c r="BN380" s="712">
        <f>Sheet1!BC380+Sheet1!BD380+Sheet1!BE380+Sheet1!BF380-BW380-BX380</f>
        <v>0</v>
      </c>
      <c r="BO380" s="712">
        <f t="shared" si="962"/>
        <v>0</v>
      </c>
      <c r="BP380" s="712">
        <f>IF(Sheet1!EM380="FM",BX380,0)</f>
        <v>0</v>
      </c>
      <c r="BQ380" s="712">
        <f t="shared" si="963"/>
        <v>0</v>
      </c>
      <c r="BR380" s="712">
        <f>IF(Sheet1!EM380="OTHER",BX380,0)</f>
        <v>0</v>
      </c>
      <c r="BS380" s="712">
        <f t="shared" si="964"/>
        <v>0</v>
      </c>
      <c r="BT380" s="712">
        <f t="shared" si="965"/>
        <v>0</v>
      </c>
      <c r="BU380" s="712">
        <f t="shared" si="966"/>
        <v>0</v>
      </c>
      <c r="BV380" s="712">
        <f t="shared" si="967"/>
        <v>0</v>
      </c>
      <c r="BW380" s="712">
        <f>IF(Sheet1!EM380="CWA",SUM(Sheet1!BC380:'Sheet1'!BF380),0)</f>
        <v>0</v>
      </c>
      <c r="BX380" s="712">
        <f>IF(OR(Sheet1!EM380="FM", Sheet1!EM380="OTHER"),SUM(Sheet1!BC380:'Sheet1'!BF380),0)</f>
        <v>0</v>
      </c>
      <c r="BY380" s="697">
        <f>IF(AND($B380&gt;=$FL380,$B380&lt;=$FM380),MAX(BV380,Sheet1!EF380,0),MAX(BV380-(7/36)*$K380,0))</f>
        <v>0</v>
      </c>
      <c r="BZ380" s="712">
        <f t="shared" si="968"/>
        <v>0</v>
      </c>
      <c r="CA380" s="697">
        <f t="shared" si="969"/>
        <v>0</v>
      </c>
      <c r="CB380" s="697">
        <f>IF(AND($O380&gt;0,Sheet1!EJ380=1),(1-($O380-Sheet1!$L380)/$O380)*BV380,0)</f>
        <v>0</v>
      </c>
      <c r="CC380" s="697">
        <f>IF(AND(Sheet1!$L380=0,Sheet1!$L379=0, Calculation!BU380&lt;Sheet1!EF380-0.1,Sheet1!EF380=Sheet1!EF379,Sheet1!EF380=Sheet1!EF381),Sheet1!EF380,BV380-CB380)</f>
        <v>0</v>
      </c>
      <c r="CD380" s="697"/>
      <c r="CE380" s="712"/>
      <c r="CF380" s="712">
        <f t="shared" si="970"/>
        <v>0</v>
      </c>
      <c r="CG380" s="712"/>
      <c r="CH380" s="712">
        <f ca="1">IF(B380&gt;Summary!$A$1,#N/A,CF380*MGtoAF)</f>
        <v>0</v>
      </c>
      <c r="CI380" s="712">
        <f>Sheet1!BK380+Sheet1!BL380+Sheet1!BM380-Sheet1!EN380-CQ380</f>
        <v>0</v>
      </c>
      <c r="CJ380" s="712">
        <f t="shared" si="971"/>
        <v>0</v>
      </c>
      <c r="CK380" s="712">
        <f>IF(Sheet1!EN380="FM",CQ380,0)</f>
        <v>0</v>
      </c>
      <c r="CL380" s="712">
        <f t="shared" si="972"/>
        <v>0</v>
      </c>
      <c r="CM380" s="712">
        <f>IF(Sheet1!EN380="OTHER",CQ380,0)</f>
        <v>0</v>
      </c>
      <c r="CN380" s="712">
        <f t="shared" si="973"/>
        <v>0</v>
      </c>
      <c r="CO380" s="712">
        <f t="shared" si="974"/>
        <v>0</v>
      </c>
      <c r="CP380" s="712">
        <f t="shared" si="975"/>
        <v>0</v>
      </c>
      <c r="CQ380" s="712">
        <f>IF(OR(Sheet1!EN380="FM", Sheet1!EN380="OTHER"),SUM(Sheet1!BK380:'Sheet1'!BM380),0)</f>
        <v>0</v>
      </c>
      <c r="CR380" s="697">
        <f>IF(AND($B380&gt;=$FL380,$B380&lt;=$FM380),MAX($CJ380,Sheet1!EG380,0),MAX($CJ380-(7/36)*$K380,0))</f>
        <v>0</v>
      </c>
      <c r="CS380" s="712">
        <f t="shared" si="976"/>
        <v>0</v>
      </c>
      <c r="CT380" s="697">
        <f t="shared" si="977"/>
        <v>0</v>
      </c>
      <c r="CU380" s="697">
        <f>IF(AND($O380&gt;0,Sheet1!EK380=1),(1-($O380-Sheet1!$L380)/$O380)*CP380,0)</f>
        <v>0</v>
      </c>
      <c r="CV380" s="697">
        <f>IF(AND(Sheet1!$L380=0,Sheet1!$L379=0, Calculation!CO380&lt;Sheet1!$EG380-0.1,Sheet1!$EG380=Sheet1!$EG379,Sheet1!$EG380=Sheet1!$EG381),Sheet1!$EG380,CP380-CU380)</f>
        <v>0</v>
      </c>
      <c r="CW380" s="697"/>
      <c r="CX380" s="712">
        <f t="shared" si="978"/>
        <v>0</v>
      </c>
      <c r="CY380" s="712">
        <f t="shared" si="979"/>
        <v>0</v>
      </c>
      <c r="CZ380" s="712">
        <f t="shared" si="980"/>
        <v>0</v>
      </c>
      <c r="DA380" s="712">
        <f ca="1">IF(B380&gt;Summary!$A$1,#N/A,CY380*MGtoAF)</f>
        <v>0</v>
      </c>
      <c r="DB380" s="712">
        <f t="shared" si="981"/>
        <v>0</v>
      </c>
      <c r="DC380" s="712">
        <f t="shared" si="982"/>
        <v>13.1</v>
      </c>
      <c r="DD380" s="712">
        <f>Sheet1!AB380-DC380</f>
        <v>-9.9999999999999645E-2</v>
      </c>
      <c r="DE380" s="712">
        <f t="shared" si="983"/>
        <v>-7.6335877862595148E-3</v>
      </c>
      <c r="DF380" s="712">
        <f>(VLOOKUP(Sheet1!CY380,hhdcap_wcm,4)-(((VLOOKUP(Sheet1!CY380,hhdcap_wcm,3)-Sheet1!CY380)/(VLOOKUP(Sheet1!CY380,hhdcap_wcm,3)-VLOOKUP(Sheet1!CY380,hhdcap_wcm,1)))*(VLOOKUP(Sheet1!CY380,hhdcap_wcm,4)-VLOOKUP(Sheet1!CY380,hhdcap_wcm,2))))</f>
        <v>3835.8000000061502</v>
      </c>
      <c r="DG380" s="712">
        <f t="shared" si="984"/>
        <v>-850.20000000179243</v>
      </c>
      <c r="DH380" s="712">
        <f t="shared" si="985"/>
        <v>-428.74432677851354</v>
      </c>
      <c r="DI380" s="712">
        <f>Sheet1!DW380*AFtoMG</f>
        <v>0</v>
      </c>
      <c r="DJ380" s="712">
        <f>Sheet1!DX380*AFtoMG</f>
        <v>0</v>
      </c>
      <c r="DK380" s="712">
        <f>Sheet1!DY380*AFtoMG</f>
        <v>0</v>
      </c>
      <c r="DL380" s="712">
        <f>Sheet1!DZ380*AFtoMG</f>
        <v>0</v>
      </c>
      <c r="DM380" s="712">
        <f t="shared" si="986"/>
        <v>0</v>
      </c>
      <c r="DN380" s="712">
        <f t="shared" si="987"/>
        <v>0</v>
      </c>
      <c r="DO380" s="712">
        <f t="shared" si="988"/>
        <v>0</v>
      </c>
      <c r="DP380" s="712">
        <f t="shared" si="989"/>
        <v>0</v>
      </c>
      <c r="DQ380" s="712"/>
      <c r="DR380" s="697">
        <f>IF(OR(B380&lt;FL380,B380&gt;FM380),(MIN(AV380+BO380+CJ380+MAX(Sheet1!AA380+AG380-73,0),K380)),0)</f>
        <v>0</v>
      </c>
      <c r="DS380" s="712"/>
      <c r="DT380" s="712">
        <f t="shared" si="990"/>
        <v>0</v>
      </c>
      <c r="DU380" s="712"/>
      <c r="DV380" s="712">
        <f>Sheet1!ED380+Sheet1!EE380+Sheet1!EF380+Sheet1!EG380</f>
        <v>8.5</v>
      </c>
      <c r="DW380" s="712"/>
      <c r="DX380" s="697">
        <f t="shared" si="991"/>
        <v>0</v>
      </c>
      <c r="DY380" s="712">
        <f>IF(Sheet1!FN380=1,SUM('Calculations II'!AT380:BA380)+'Calculations II'!BC380+Sheet1!BU380+'Calculations II'!BE380+AF380,SUM('Calculations II'!AT380:BA380)+'Calculations II'!BC380+Sheet1!BU380+'Calculations II'!BE380+AF380)</f>
        <v>36.578783999999999</v>
      </c>
      <c r="DZ380" s="712">
        <f>Sheet1!AA380+Sheet1!AB380+'Calculations II'!BC380</f>
        <v>40.180160000000001</v>
      </c>
      <c r="EA380" s="712"/>
      <c r="EB380" s="712"/>
      <c r="EC380" s="712">
        <f t="shared" si="992"/>
        <v>40909</v>
      </c>
      <c r="ED380" s="712">
        <f t="shared" si="993"/>
        <v>0</v>
      </c>
      <c r="EE380" s="712">
        <f t="shared" si="994"/>
        <v>0</v>
      </c>
      <c r="EF380" s="712">
        <f>-(VLOOKUP(Sheet1!BQ380,Lookup!$B$4:$J$236,2)-VLOOKUP(Sheet1!BQ379,Lookup!$B$4:$J$236,2))/1000000</f>
        <v>0.53420000000000001</v>
      </c>
      <c r="EG380" s="712">
        <f>-(VLOOKUP(Sheet1!BR380,Lookup!$B$4:$J$236,3)-VLOOKUP(Sheet1!BR379,Lookup!$B$4:$J$236,3))/1000000</f>
        <v>0.53359999999999996</v>
      </c>
      <c r="EH380" s="712">
        <f>-(VLOOKUP(Sheet1!BS380,Lookup!$B$4:$J$236,4)-VLOOKUP(Sheet1!BS379,Lookup!$B$4:$J$236,4))/1000000</f>
        <v>0</v>
      </c>
      <c r="EI380" s="697">
        <f t="shared" si="1018"/>
        <v>1.0678000000000001</v>
      </c>
      <c r="EJ380" s="712"/>
      <c r="EK380" s="712"/>
      <c r="EL380" s="712"/>
      <c r="EM380" s="712"/>
      <c r="EN380" s="712"/>
      <c r="EO380" s="712"/>
      <c r="EP380" s="712"/>
      <c r="EQ380" s="712"/>
      <c r="ER380" s="712"/>
      <c r="ES380" s="712"/>
      <c r="ET380" s="794" t="e">
        <f t="shared" si="1015"/>
        <v>#N/A</v>
      </c>
      <c r="EU380" s="794" t="e">
        <f t="shared" si="924"/>
        <v>#N/A</v>
      </c>
      <c r="EV380" s="795" t="e">
        <f t="shared" si="925"/>
        <v>#N/A</v>
      </c>
      <c r="EW380" s="796" t="s">
        <v>757</v>
      </c>
      <c r="EX380" s="796" t="s">
        <v>757</v>
      </c>
      <c r="EY380" s="794" t="e">
        <v>#N/A</v>
      </c>
      <c r="EZ380" s="794" t="e">
        <v>#N/A</v>
      </c>
      <c r="FA380" s="712"/>
      <c r="FB380" s="712"/>
      <c r="FC380" s="712"/>
      <c r="FD380" s="712"/>
      <c r="FE380" s="712">
        <f>O380+Sheet1!CO380</f>
        <v>1552</v>
      </c>
      <c r="FF380" s="712">
        <f>IF(Sheet1!AA380+AG380&lt;=Calculation!N380,AG380,Calculation!N380-Sheet1!AA380)</f>
        <v>13</v>
      </c>
      <c r="FG380" s="712">
        <f>(Sheet1!BP380+Sheet1!BO380)/694.4</f>
        <v>1.7636808755760369</v>
      </c>
      <c r="FH380" s="712"/>
      <c r="FI380" s="712"/>
      <c r="FJ380" s="712"/>
      <c r="FK380" s="712"/>
      <c r="FL380" s="714">
        <f t="shared" si="929"/>
        <v>40753</v>
      </c>
      <c r="FM380" s="714">
        <f t="shared" si="930"/>
        <v>40851</v>
      </c>
      <c r="FN380" s="712"/>
      <c r="FO380" s="712"/>
      <c r="FP380" s="712"/>
      <c r="FQ380" s="712"/>
      <c r="FR380" s="712"/>
      <c r="FS380" s="725">
        <f t="shared" si="1017"/>
        <v>40603</v>
      </c>
      <c r="FT380" s="714">
        <f t="shared" si="932"/>
        <v>40709</v>
      </c>
      <c r="FU380" s="712">
        <f t="shared" si="1017"/>
        <v>6518.9048239895692</v>
      </c>
      <c r="FV380" s="714">
        <f t="shared" si="933"/>
        <v>40722</v>
      </c>
      <c r="FW380" s="712">
        <f t="shared" si="1017"/>
        <v>3259.4524119947846</v>
      </c>
      <c r="FX380" s="725">
        <f t="shared" si="1017"/>
        <v>40851</v>
      </c>
      <c r="FZ380" s="697">
        <f t="shared" si="926"/>
        <v>0</v>
      </c>
      <c r="GA380" s="712" t="str">
        <f t="shared" si="995"/>
        <v/>
      </c>
      <c r="GB380" s="712">
        <f t="shared" si="996"/>
        <v>0</v>
      </c>
      <c r="GC380" s="712" t="str">
        <f t="shared" si="997"/>
        <v/>
      </c>
      <c r="GD380" s="712">
        <f>IF(GA380="P",Lookup!$M$12,IF(GA380="PP",Lookup!$M$13,IF(GA380="PPP",Lookup!$M$14,IF(GA380="T",Lookup!$M$15,IF(GA380="TP",Lookup!$M$16,IF(GA380="TPP",Lookup!$M$17,IF(GA380="TPPP",Lookup!$M$18,0)))))))*FZ380</f>
        <v>0</v>
      </c>
      <c r="GE380" s="712">
        <f t="shared" si="998"/>
        <v>0</v>
      </c>
      <c r="GF380" s="712">
        <f t="shared" si="999"/>
        <v>0</v>
      </c>
      <c r="GG380" s="712">
        <f t="shared" si="1000"/>
        <v>0</v>
      </c>
      <c r="GH380" s="712"/>
      <c r="GI380" s="712">
        <f t="shared" si="1001"/>
        <v>0</v>
      </c>
      <c r="GJ380" s="712" t="str">
        <f t="shared" si="1002"/>
        <v/>
      </c>
      <c r="GK380" s="712">
        <f>IF(GA380="P",Lookup!$N$12,IF(GA380="PP",Lookup!$N$13,IF(GA380="PPP",Lookup!$N$14,IF(GA380="T",Lookup!$N$15,IF(GA380="TP",Lookup!$N$16,IF(GA380="TPP",Lookup!$N$17,IF(GA380="TPPP",Lookup!$N$18,0)))))))*FZ380</f>
        <v>0</v>
      </c>
      <c r="GL380" s="712">
        <f t="shared" si="1003"/>
        <v>0</v>
      </c>
      <c r="GM380" s="712">
        <f t="shared" si="1004"/>
        <v>0</v>
      </c>
      <c r="GN380" s="712">
        <f t="shared" si="1005"/>
        <v>0</v>
      </c>
      <c r="GO380" s="712"/>
      <c r="GP380" s="712">
        <f t="shared" si="1006"/>
        <v>0</v>
      </c>
      <c r="GQ380" s="712" t="str">
        <f t="shared" si="1007"/>
        <v/>
      </c>
      <c r="GR380" s="712">
        <f>IF(GA380="P",Lookup!$N$12,IF(GA380="PP",Lookup!$N$13,IF(GA380="PPP",Lookup!$N$14,IF(GA380="T",Lookup!$N$15,IF(GA380="TP",Lookup!$N$16,IF(GA380="TPP",Lookup!$N$17,IF(GA380="TPPP",Lookup!$N$18,0)))))))*FZ380</f>
        <v>0</v>
      </c>
      <c r="GS380" s="697">
        <f t="shared" si="927"/>
        <v>0</v>
      </c>
      <c r="GT380" s="712">
        <f t="shared" si="1008"/>
        <v>0</v>
      </c>
      <c r="GU380" s="712">
        <f t="shared" si="1009"/>
        <v>0</v>
      </c>
      <c r="GV380" s="712"/>
      <c r="GW380" s="712">
        <f t="shared" si="1010"/>
        <v>0</v>
      </c>
      <c r="GX380" s="712" t="str">
        <f t="shared" si="1011"/>
        <v/>
      </c>
      <c r="GY380" s="712">
        <f>IF(GA380="P",Lookup!$N$12,IF(GA380="PP",Lookup!$N$13,IF(GA380="PPP",Lookup!$N$14,IF(GA380="T",Lookup!$N$15,IF(GA380="TP",Lookup!$N$16,IF(GA380="TPP",Lookup!$N$17,IF(GA380="TPPP",Lookup!$N$18,0)))))))*FZ380</f>
        <v>0</v>
      </c>
      <c r="GZ380" s="697">
        <f t="shared" si="928"/>
        <v>0</v>
      </c>
      <c r="HA380" s="712">
        <f t="shared" si="1012"/>
        <v>0</v>
      </c>
      <c r="HB380" s="712">
        <f t="shared" si="1013"/>
        <v>0</v>
      </c>
      <c r="HC380" s="712"/>
    </row>
    <row r="381" spans="1:211">
      <c r="A381" s="773" t="s">
        <v>4</v>
      </c>
      <c r="B381" s="708">
        <v>40910</v>
      </c>
      <c r="C381" s="719">
        <v>0.5</v>
      </c>
      <c r="D381" s="675">
        <f t="shared" si="936"/>
        <v>300</v>
      </c>
      <c r="E381" s="675">
        <f t="shared" si="937"/>
        <v>250</v>
      </c>
      <c r="F381" s="675">
        <v>250</v>
      </c>
      <c r="G381" s="712">
        <f>DH381+Sheet1!CV381</f>
        <v>1740.019541098658</v>
      </c>
      <c r="H381" s="712">
        <f t="shared" si="938"/>
        <v>857.78543136617247</v>
      </c>
      <c r="I381" s="711">
        <f>MAX(Sheet1!Z381-AJ381+(Sheet1!CW381-E381)*CFStoMGD,0)</f>
        <v>1624.3493333333331</v>
      </c>
      <c r="J381" s="720">
        <f>IF(AND(B381&gt;=Calculation!FS381,B381&lt;=Calculation!FT381),IF(Sheet1!CX381&gt;=Calculation!D381,64.64,0),MAX(Sheet1!Z381-AJ381+(Sheet1!CX381-D381)*CFStoMGD,0))</f>
        <v>1309.9026666666666</v>
      </c>
      <c r="K381" s="697">
        <f t="shared" si="939"/>
        <v>64.64</v>
      </c>
      <c r="L381" s="712">
        <f>Sheet1!AA381+Sheet1!AB381-Sheet1!L381+(Sheet1!CW381-F381)*CFStoMGD</f>
        <v>1624.3493333333331</v>
      </c>
      <c r="M381" s="712">
        <f t="shared" si="940"/>
        <v>1147.243603993496</v>
      </c>
      <c r="N381" s="712">
        <f>IF(Sheet1!CW381&gt;=F381,MIN(73,MIN(MAX(L381,0),MAX(M381,0))),0)</f>
        <v>73</v>
      </c>
      <c r="O381" s="721">
        <f>Sheet1!AA381+Sheet1!AB381</f>
        <v>38.299999999999997</v>
      </c>
      <c r="P381" s="721">
        <f t="shared" si="941"/>
        <v>59.250100000000003</v>
      </c>
      <c r="Q381" s="712">
        <f>MIN(N381,Sheet1!AA381+AG381)</f>
        <v>38.299999999999997</v>
      </c>
      <c r="R381" s="712">
        <f t="shared" si="942"/>
        <v>0</v>
      </c>
      <c r="S381" s="721">
        <f>Sheet1!Y381*MGDtoCFS</f>
        <v>38.829700000000003</v>
      </c>
      <c r="T381" s="721">
        <f>Sheet1!Z381*MGDtoCFS</f>
        <v>20.420399999999997</v>
      </c>
      <c r="U381" s="721">
        <f>Sheet1!AA381*MGDtoCFS</f>
        <v>38.829700000000003</v>
      </c>
      <c r="V381" s="721">
        <f>Sheet1!AB381*MGDtoCFS</f>
        <v>20.420399999999997</v>
      </c>
      <c r="W381" s="721">
        <f>Sheet1!L381*MGDtoCFS</f>
        <v>59.250099999999996</v>
      </c>
      <c r="X381" s="697">
        <f t="shared" si="943"/>
        <v>0</v>
      </c>
      <c r="Y381" s="712">
        <f t="shared" si="944"/>
        <v>0</v>
      </c>
      <c r="Z381" s="712">
        <f t="shared" si="945"/>
        <v>0</v>
      </c>
      <c r="AA381" s="712">
        <f t="shared" si="946"/>
        <v>0</v>
      </c>
      <c r="AB381" s="712">
        <f>(VLOOKUP(Sheet1!CY381,hhdcap_wcm,4)-(((VLOOKUP(Sheet1!CY381,hhdcap_wcm,3)-Sheet1!CY381)/(VLOOKUP(Sheet1!CY381,hhdcap_wcm,3)-VLOOKUP(Sheet1!CY381,hhdcap_wcm,1)))*(VLOOKUP(Sheet1!CY381,hhdcap_wcm,4)-VLOOKUP(Sheet1!CY381,hhdcap_wcm,2))))</f>
        <v>3093.0400000047885</v>
      </c>
      <c r="AC381" s="712">
        <f t="shared" si="947"/>
        <v>-742.76000000136173</v>
      </c>
      <c r="AD381" s="712">
        <f t="shared" si="948"/>
        <v>0</v>
      </c>
      <c r="AE381" s="712">
        <f t="shared" si="949"/>
        <v>0</v>
      </c>
      <c r="AF381" s="712">
        <f>Sheet1!BA381+Sheet1!BB381+Sheet1!BN381+BT381</f>
        <v>13.1</v>
      </c>
      <c r="AG381" s="712">
        <f t="shared" si="950"/>
        <v>13.2</v>
      </c>
      <c r="AH381" s="712">
        <f>Sheet1!BA381+BT381</f>
        <v>0</v>
      </c>
      <c r="AI381" s="712">
        <f>Sheet1!BA381+Sheet1!BB381+BT381</f>
        <v>0</v>
      </c>
      <c r="AJ381" s="712">
        <f>IF((Sheet1!AA381+AG381+AX381+AZ381+BQ381+BS381+CL381+CN381)&lt;=N381,AG381+AX381+AZ381+BQ381+BS381+CL381+CN381,N381-Sheet1!AA381)</f>
        <v>13.2</v>
      </c>
      <c r="AK381" s="712">
        <f>IF(DR381&lt;K381,0,MAX(Sheet1!AA381+AG381-15/36*K381-N381,Sheet1!ED381,0))</f>
        <v>0</v>
      </c>
      <c r="AL381" s="712">
        <f>IF(OR(B381&gt;=FT381,B381&lt;FS381),0,15/36*K381-MAX(0,64.6-(137.6-(Sheet1!AA381+Sheet1!AB381))))</f>
        <v>0</v>
      </c>
      <c r="AM381" s="712">
        <f>Sheet1!CX381-110</f>
        <v>2216.4583333333335</v>
      </c>
      <c r="AN381" s="712">
        <f>Sheet1!CW381-265</f>
        <v>2497.9166666666665</v>
      </c>
      <c r="AO381" s="712">
        <f t="shared" si="934"/>
        <v>34.700000000000003</v>
      </c>
      <c r="AP381" s="712">
        <f t="shared" si="951"/>
        <v>0</v>
      </c>
      <c r="AQ381" s="712">
        <f t="shared" si="952"/>
        <v>0</v>
      </c>
      <c r="AR381" s="712">
        <f t="shared" si="953"/>
        <v>0</v>
      </c>
      <c r="AS381" s="712"/>
      <c r="AT381" s="712">
        <f ca="1">IF(B381&gt;Summary!$A$1,#N/A,AR381*MGtoAF)</f>
        <v>0</v>
      </c>
      <c r="AU381" s="712">
        <f>Sheet1!BG381+Sheet1!BH381+Sheet1!BI381-BC381</f>
        <v>0</v>
      </c>
      <c r="AV381" s="712">
        <f t="shared" si="954"/>
        <v>0</v>
      </c>
      <c r="AW381" s="712">
        <f>IF(Sheet1!EL381="FM",BC381,0)</f>
        <v>0</v>
      </c>
      <c r="AX381" s="712">
        <f t="shared" si="955"/>
        <v>0</v>
      </c>
      <c r="AY381" s="712">
        <f>IF(Sheet1!EL381="OTHER",BC381,0)</f>
        <v>0</v>
      </c>
      <c r="AZ381" s="712">
        <f t="shared" si="956"/>
        <v>0</v>
      </c>
      <c r="BA381" s="712">
        <f t="shared" si="957"/>
        <v>0</v>
      </c>
      <c r="BB381" s="712">
        <f t="shared" si="958"/>
        <v>0</v>
      </c>
      <c r="BC381" s="712">
        <f>IF(OR(Sheet1!EL381="FM", Sheet1!EL381="OTHER"),SUM(Sheet1!BG381:'Sheet1'!BI381),0)</f>
        <v>0</v>
      </c>
      <c r="BD381" s="697">
        <f>IF(AND($B381&gt;=$FL381,$B381&lt;=$FM381),MAX(AV381,Sheet1!EE381,0),MAX(AV381-(7/36)*$K381,0))</f>
        <v>0</v>
      </c>
      <c r="BE381" s="712">
        <f t="shared" si="959"/>
        <v>0</v>
      </c>
      <c r="BF381" s="697">
        <f t="shared" si="960"/>
        <v>0</v>
      </c>
      <c r="BG381" s="697">
        <f>IF(AND($O381&gt;0,Sheet1!EI381=1),(1-($O381-Sheet1!$L381)/$O381)*BB381,0)</f>
        <v>0</v>
      </c>
      <c r="BH381" s="697">
        <f>IF(AND(Sheet1!$L381=0,Sheet1!$L380=0, Calculation!BA381&lt;Sheet1!$EE381-0.1,Sheet1!$EE381=Sheet1!$EE380,Sheet1!$EE381=Sheet1!$EE382),Sheet1!$EE381,BB381-BG381)</f>
        <v>0</v>
      </c>
      <c r="BI381" s="712"/>
      <c r="BJ381" s="712"/>
      <c r="BK381" s="712">
        <f t="shared" si="961"/>
        <v>0</v>
      </c>
      <c r="BL381" s="712"/>
      <c r="BM381" s="712">
        <f ca="1">IF(B381&gt;Summary!$A$1,#N/A,BK381*MGtoAF)</f>
        <v>0</v>
      </c>
      <c r="BN381" s="712">
        <f>Sheet1!BC381+Sheet1!BD381+Sheet1!BE381+Sheet1!BF381-BW381-BX381</f>
        <v>0</v>
      </c>
      <c r="BO381" s="712">
        <f t="shared" si="962"/>
        <v>0</v>
      </c>
      <c r="BP381" s="712">
        <f>IF(Sheet1!EM381="FM",BX381,0)</f>
        <v>0</v>
      </c>
      <c r="BQ381" s="712">
        <f t="shared" si="963"/>
        <v>0</v>
      </c>
      <c r="BR381" s="712">
        <f>IF(Sheet1!EM381="OTHER",BX381,0)</f>
        <v>0</v>
      </c>
      <c r="BS381" s="712">
        <f t="shared" si="964"/>
        <v>0</v>
      </c>
      <c r="BT381" s="712">
        <f t="shared" si="965"/>
        <v>0</v>
      </c>
      <c r="BU381" s="712">
        <f t="shared" si="966"/>
        <v>0</v>
      </c>
      <c r="BV381" s="712">
        <f t="shared" si="967"/>
        <v>0</v>
      </c>
      <c r="BW381" s="712">
        <f>IF(Sheet1!EM381="CWA",SUM(Sheet1!BC381:'Sheet1'!BF381),0)</f>
        <v>0</v>
      </c>
      <c r="BX381" s="712">
        <f>IF(OR(Sheet1!EM381="FM", Sheet1!EM381="OTHER"),SUM(Sheet1!BC381:'Sheet1'!BF381),0)</f>
        <v>0</v>
      </c>
      <c r="BY381" s="697">
        <f>IF(AND($B381&gt;=$FL381,$B381&lt;=$FM381),MAX(BV381,Sheet1!EF381,0),MAX(BV381-(7/36)*$K381,0))</f>
        <v>0</v>
      </c>
      <c r="BZ381" s="712">
        <f t="shared" si="968"/>
        <v>0</v>
      </c>
      <c r="CA381" s="697">
        <f t="shared" si="969"/>
        <v>0</v>
      </c>
      <c r="CB381" s="697">
        <f>IF(AND($O381&gt;0,Sheet1!EJ381=1),(1-($O381-Sheet1!$L381)/$O381)*BV381,0)</f>
        <v>0</v>
      </c>
      <c r="CC381" s="697">
        <f>IF(AND(Sheet1!$L381=0,Sheet1!$L380=0, Calculation!BU381&lt;Sheet1!EF381-0.1,Sheet1!EF381=Sheet1!EF380,Sheet1!EF381=Sheet1!EF382),Sheet1!EF381,BV381-CB381)</f>
        <v>0</v>
      </c>
      <c r="CD381" s="697"/>
      <c r="CE381" s="712"/>
      <c r="CF381" s="712">
        <f t="shared" si="970"/>
        <v>0</v>
      </c>
      <c r="CG381" s="712"/>
      <c r="CH381" s="712">
        <f ca="1">IF(B381&gt;Summary!$A$1,#N/A,CF381*MGtoAF)</f>
        <v>0</v>
      </c>
      <c r="CI381" s="712">
        <f>Sheet1!BK381+Sheet1!BL381+Sheet1!BM381-Sheet1!EN381-CQ381</f>
        <v>0</v>
      </c>
      <c r="CJ381" s="712">
        <f t="shared" si="971"/>
        <v>0</v>
      </c>
      <c r="CK381" s="712">
        <f>IF(Sheet1!EN381="FM",CQ381,0)</f>
        <v>0</v>
      </c>
      <c r="CL381" s="712">
        <f t="shared" si="972"/>
        <v>0</v>
      </c>
      <c r="CM381" s="712">
        <f>IF(Sheet1!EN381="OTHER",CQ381,0)</f>
        <v>0</v>
      </c>
      <c r="CN381" s="712">
        <f t="shared" si="973"/>
        <v>0</v>
      </c>
      <c r="CO381" s="712">
        <f t="shared" si="974"/>
        <v>0</v>
      </c>
      <c r="CP381" s="712">
        <f t="shared" si="975"/>
        <v>0</v>
      </c>
      <c r="CQ381" s="712">
        <f>IF(OR(Sheet1!EN381="FM", Sheet1!EN381="OTHER"),SUM(Sheet1!BK381:'Sheet1'!BM381),0)</f>
        <v>0</v>
      </c>
      <c r="CR381" s="697">
        <f>IF(AND($B381&gt;=$FL381,$B381&lt;=$FM381),MAX($CJ381,Sheet1!EG381,0),MAX($CJ381-(7/36)*$K381,0))</f>
        <v>0</v>
      </c>
      <c r="CS381" s="712">
        <f t="shared" si="976"/>
        <v>0</v>
      </c>
      <c r="CT381" s="697">
        <f t="shared" si="977"/>
        <v>0</v>
      </c>
      <c r="CU381" s="697">
        <f>IF(AND($O381&gt;0,Sheet1!EK381=1),(1-($O381-Sheet1!$L381)/$O381)*CP381,0)</f>
        <v>0</v>
      </c>
      <c r="CV381" s="697">
        <f>IF(AND(Sheet1!$L381=0,Sheet1!$L380=0, Calculation!CO381&lt;Sheet1!$EG381-0.1,Sheet1!$EG381=Sheet1!$EG380,Sheet1!$EG381=Sheet1!$EG382),Sheet1!$EG381,CP381-CU381)</f>
        <v>0</v>
      </c>
      <c r="CW381" s="697"/>
      <c r="CX381" s="712">
        <f t="shared" si="978"/>
        <v>0</v>
      </c>
      <c r="CY381" s="712">
        <f t="shared" si="979"/>
        <v>0</v>
      </c>
      <c r="CZ381" s="712">
        <f t="shared" si="980"/>
        <v>0</v>
      </c>
      <c r="DA381" s="712">
        <f ca="1">IF(B381&gt;Summary!$A$1,#N/A,CY381*MGtoAF)</f>
        <v>0</v>
      </c>
      <c r="DB381" s="712">
        <f t="shared" si="981"/>
        <v>0</v>
      </c>
      <c r="DC381" s="712">
        <f t="shared" si="982"/>
        <v>13.1</v>
      </c>
      <c r="DD381" s="712">
        <f>Sheet1!AB381-DC381</f>
        <v>9.9999999999999645E-2</v>
      </c>
      <c r="DE381" s="712">
        <f t="shared" si="983"/>
        <v>7.6335877862595148E-3</v>
      </c>
      <c r="DF381" s="712">
        <f>(VLOOKUP(Sheet1!CY381,hhdcap_wcm,4)-(((VLOOKUP(Sheet1!CY381,hhdcap_wcm,3)-Sheet1!CY381)/(VLOOKUP(Sheet1!CY381,hhdcap_wcm,3)-VLOOKUP(Sheet1!CY381,hhdcap_wcm,1)))*(VLOOKUP(Sheet1!CY381,hhdcap_wcm,4)-VLOOKUP(Sheet1!CY381,hhdcap_wcm,2))))</f>
        <v>3093.0400000047885</v>
      </c>
      <c r="DG381" s="712">
        <f t="shared" si="984"/>
        <v>-742.76000000136173</v>
      </c>
      <c r="DH381" s="712">
        <f t="shared" si="985"/>
        <v>-374.56379223467553</v>
      </c>
      <c r="DI381" s="712">
        <f>Sheet1!DW381*AFtoMG</f>
        <v>0</v>
      </c>
      <c r="DJ381" s="712">
        <f>Sheet1!DX381*AFtoMG</f>
        <v>0</v>
      </c>
      <c r="DK381" s="712">
        <f>Sheet1!DY381*AFtoMG</f>
        <v>0</v>
      </c>
      <c r="DL381" s="712">
        <f>Sheet1!DZ381*AFtoMG</f>
        <v>0</v>
      </c>
      <c r="DM381" s="712">
        <f t="shared" si="986"/>
        <v>0</v>
      </c>
      <c r="DN381" s="712">
        <f t="shared" si="987"/>
        <v>0</v>
      </c>
      <c r="DO381" s="712">
        <f t="shared" si="988"/>
        <v>0</v>
      </c>
      <c r="DP381" s="712">
        <f t="shared" si="989"/>
        <v>0</v>
      </c>
      <c r="DQ381" s="712"/>
      <c r="DR381" s="697">
        <f>IF(OR(B381&lt;FL381,B381&gt;FM381),(MIN(AV381+BO381+CJ381+MAX(Sheet1!AA381+AG381-73,0),K381)),0)</f>
        <v>0</v>
      </c>
      <c r="DS381" s="712"/>
      <c r="DT381" s="712">
        <f t="shared" si="990"/>
        <v>0</v>
      </c>
      <c r="DU381" s="712"/>
      <c r="DV381" s="712">
        <f>Sheet1!ED381+Sheet1!EE381+Sheet1!EF381+Sheet1!EG381</f>
        <v>8.5</v>
      </c>
      <c r="DW381" s="712"/>
      <c r="DX381" s="697">
        <f t="shared" si="991"/>
        <v>0</v>
      </c>
      <c r="DY381" s="712">
        <f>IF(Sheet1!FN381=1,SUM('Calculations II'!AT381:BA381)+'Calculations II'!BC381+Sheet1!BU381+'Calculations II'!BE381+AF381,SUM('Calculations II'!AT381:BA381)+'Calculations II'!BC381+Sheet1!BU381+'Calculations II'!BE381+AF381)</f>
        <v>39.708624</v>
      </c>
      <c r="DZ381" s="712">
        <f>Sheet1!AA381+Sheet1!AB381+'Calculations II'!BC381</f>
        <v>43.070719999999994</v>
      </c>
      <c r="EA381" s="712"/>
      <c r="EB381" s="712"/>
      <c r="EC381" s="712">
        <f t="shared" si="992"/>
        <v>40910</v>
      </c>
      <c r="ED381" s="712">
        <f t="shared" si="993"/>
        <v>0</v>
      </c>
      <c r="EE381" s="712">
        <f t="shared" si="994"/>
        <v>0</v>
      </c>
      <c r="EF381" s="712">
        <f>-(VLOOKUP(Sheet1!BQ381,Lookup!$B$4:$J$236,2)-VLOOKUP(Sheet1!BQ380,Lookup!$B$4:$J$236,2))/1000000</f>
        <v>0.80130000000000001</v>
      </c>
      <c r="EG381" s="712">
        <f>-(VLOOKUP(Sheet1!BR381,Lookup!$B$4:$J$236,3)-VLOOKUP(Sheet1!BR380,Lookup!$B$4:$J$236,3))/1000000</f>
        <v>0.79979999999999996</v>
      </c>
      <c r="EH381" s="712">
        <f>-(VLOOKUP(Sheet1!BS381,Lookup!$B$4:$J$236,4)-VLOOKUP(Sheet1!BS380,Lookup!$B$4:$J$236,4))/1000000</f>
        <v>0</v>
      </c>
      <c r="EI381" s="697">
        <f t="shared" si="1018"/>
        <v>1.6011</v>
      </c>
      <c r="EJ381" s="712"/>
      <c r="EK381" s="712"/>
      <c r="EL381" s="712"/>
      <c r="EM381" s="712"/>
      <c r="EN381" s="712"/>
      <c r="EO381" s="712"/>
      <c r="EP381" s="712"/>
      <c r="EQ381" s="712"/>
      <c r="ER381" s="712"/>
      <c r="ES381" s="712"/>
      <c r="ET381" s="794" t="e">
        <f t="shared" si="1015"/>
        <v>#N/A</v>
      </c>
      <c r="EU381" s="794" t="e">
        <f t="shared" si="924"/>
        <v>#N/A</v>
      </c>
      <c r="EV381" s="795" t="e">
        <f t="shared" si="925"/>
        <v>#N/A</v>
      </c>
      <c r="EW381" s="796" t="s">
        <v>757</v>
      </c>
      <c r="EX381" s="796" t="s">
        <v>757</v>
      </c>
      <c r="EY381" s="794" t="e">
        <v>#N/A</v>
      </c>
      <c r="EZ381" s="794" t="e">
        <v>#N/A</v>
      </c>
      <c r="FA381" s="712"/>
      <c r="FB381" s="712"/>
      <c r="FC381" s="712"/>
      <c r="FD381" s="712"/>
      <c r="FE381" s="712">
        <f>O381+Sheet1!CO381</f>
        <v>3351.3</v>
      </c>
      <c r="FF381" s="712">
        <f>IF(Sheet1!AA381+AG381&lt;=Calculation!N381,AG381,Calculation!N381-Sheet1!AA381)</f>
        <v>13.2</v>
      </c>
      <c r="FG381" s="712">
        <f>(Sheet1!BP381+Sheet1!BO381)/694.4</f>
        <v>2.0414746543778803</v>
      </c>
      <c r="FH381" s="712"/>
      <c r="FI381" s="712"/>
      <c r="FJ381" s="712"/>
      <c r="FK381" s="712"/>
      <c r="FL381" s="714">
        <f t="shared" si="929"/>
        <v>40753</v>
      </c>
      <c r="FM381" s="714">
        <f t="shared" si="930"/>
        <v>40851</v>
      </c>
      <c r="FN381" s="712"/>
      <c r="FO381" s="712"/>
      <c r="FP381" s="712"/>
      <c r="FQ381" s="712"/>
      <c r="FR381" s="712"/>
      <c r="FS381" s="725">
        <f t="shared" si="1017"/>
        <v>40603</v>
      </c>
      <c r="FT381" s="714">
        <f t="shared" si="932"/>
        <v>40709</v>
      </c>
      <c r="FU381" s="712">
        <f t="shared" si="1017"/>
        <v>6518.9048239895692</v>
      </c>
      <c r="FV381" s="714">
        <f t="shared" si="933"/>
        <v>40722</v>
      </c>
      <c r="FW381" s="712">
        <f t="shared" si="1017"/>
        <v>3259.4524119947846</v>
      </c>
      <c r="FX381" s="725">
        <f t="shared" si="1017"/>
        <v>40851</v>
      </c>
      <c r="FZ381" s="697">
        <f t="shared" si="926"/>
        <v>0</v>
      </c>
      <c r="GA381" s="712" t="str">
        <f t="shared" si="995"/>
        <v/>
      </c>
      <c r="GB381" s="712">
        <f t="shared" si="996"/>
        <v>0</v>
      </c>
      <c r="GC381" s="712" t="str">
        <f t="shared" si="997"/>
        <v/>
      </c>
      <c r="GD381" s="712">
        <f>IF(GA381="P",Lookup!$M$12,IF(GA381="PP",Lookup!$M$13,IF(GA381="PPP",Lookup!$M$14,IF(GA381="T",Lookup!$M$15,IF(GA381="TP",Lookup!$M$16,IF(GA381="TPP",Lookup!$M$17,IF(GA381="TPPP",Lookup!$M$18,0)))))))*FZ381</f>
        <v>0</v>
      </c>
      <c r="GE381" s="712">
        <f t="shared" si="998"/>
        <v>0</v>
      </c>
      <c r="GF381" s="712">
        <f t="shared" si="999"/>
        <v>0</v>
      </c>
      <c r="GG381" s="712">
        <f t="shared" si="1000"/>
        <v>0</v>
      </c>
      <c r="GH381" s="712"/>
      <c r="GI381" s="712">
        <f t="shared" si="1001"/>
        <v>0</v>
      </c>
      <c r="GJ381" s="712" t="str">
        <f t="shared" si="1002"/>
        <v/>
      </c>
      <c r="GK381" s="712">
        <f>IF(GA381="P",Lookup!$N$12,IF(GA381="PP",Lookup!$N$13,IF(GA381="PPP",Lookup!$N$14,IF(GA381="T",Lookup!$N$15,IF(GA381="TP",Lookup!$N$16,IF(GA381="TPP",Lookup!$N$17,IF(GA381="TPPP",Lookup!$N$18,0)))))))*FZ381</f>
        <v>0</v>
      </c>
      <c r="GL381" s="712">
        <f t="shared" si="1003"/>
        <v>0</v>
      </c>
      <c r="GM381" s="712">
        <f t="shared" si="1004"/>
        <v>0</v>
      </c>
      <c r="GN381" s="712">
        <f t="shared" si="1005"/>
        <v>0</v>
      </c>
      <c r="GO381" s="712"/>
      <c r="GP381" s="712">
        <f t="shared" si="1006"/>
        <v>0</v>
      </c>
      <c r="GQ381" s="712" t="str">
        <f t="shared" si="1007"/>
        <v/>
      </c>
      <c r="GR381" s="712">
        <f>IF(GA381="P",Lookup!$N$12,IF(GA381="PP",Lookup!$N$13,IF(GA381="PPP",Lookup!$N$14,IF(GA381="T",Lookup!$N$15,IF(GA381="TP",Lookup!$N$16,IF(GA381="TPP",Lookup!$N$17,IF(GA381="TPPP",Lookup!$N$18,0)))))))*FZ381</f>
        <v>0</v>
      </c>
      <c r="GS381" s="697">
        <f t="shared" si="927"/>
        <v>0</v>
      </c>
      <c r="GT381" s="712">
        <f t="shared" si="1008"/>
        <v>0</v>
      </c>
      <c r="GU381" s="712">
        <f t="shared" si="1009"/>
        <v>0</v>
      </c>
      <c r="GV381" s="712"/>
      <c r="GW381" s="712">
        <f t="shared" si="1010"/>
        <v>0</v>
      </c>
      <c r="GX381" s="712" t="str">
        <f t="shared" si="1011"/>
        <v/>
      </c>
      <c r="GY381" s="712">
        <f>IF(GA381="P",Lookup!$N$12,IF(GA381="PP",Lookup!$N$13,IF(GA381="PPP",Lookup!$N$14,IF(GA381="T",Lookup!$N$15,IF(GA381="TP",Lookup!$N$16,IF(GA381="TPP",Lookup!$N$17,IF(GA381="TPPP",Lookup!$N$18,0)))))))*FZ381</f>
        <v>0</v>
      </c>
      <c r="GZ381" s="697">
        <f t="shared" si="928"/>
        <v>0</v>
      </c>
      <c r="HA381" s="712">
        <f t="shared" si="1012"/>
        <v>0</v>
      </c>
      <c r="HB381" s="712">
        <f t="shared" si="1013"/>
        <v>0</v>
      </c>
      <c r="HC381" s="712"/>
    </row>
    <row r="382" spans="1:211">
      <c r="A382" s="773" t="s">
        <v>5</v>
      </c>
      <c r="B382" s="708">
        <v>40911</v>
      </c>
      <c r="C382" s="709">
        <v>0.5</v>
      </c>
      <c r="D382" s="675">
        <f t="shared" si="936"/>
        <v>300</v>
      </c>
      <c r="E382" s="675">
        <f t="shared" si="937"/>
        <v>250</v>
      </c>
      <c r="F382" s="675">
        <v>250</v>
      </c>
      <c r="G382" s="712" t="e">
        <f>DH382+Sheet1!CV382</f>
        <v>#N/A</v>
      </c>
      <c r="H382" s="712" t="e">
        <f t="shared" si="938"/>
        <v>#N/A</v>
      </c>
      <c r="I382" s="711">
        <f>MAX(Sheet1!Z382-AJ382+(Sheet1!CW382-E382)*CFStoMGD,0)</f>
        <v>0</v>
      </c>
      <c r="J382" s="720">
        <f>IF(AND(B382&gt;=Calculation!FS382,B382&lt;=Calculation!FT382),IF(Sheet1!CX382&gt;=Calculation!D382,64.64,0),MAX(Sheet1!Z382-AJ382+(Sheet1!CX382-D382)*CFStoMGD,0))</f>
        <v>0</v>
      </c>
      <c r="K382" s="697" t="e">
        <f t="shared" si="939"/>
        <v>#N/A</v>
      </c>
      <c r="L382" s="712">
        <f>Sheet1!AA382+Sheet1!AB382-Sheet1!L382+(Sheet1!CW382-F382)*CFStoMGD</f>
        <v>-161.6</v>
      </c>
      <c r="M382" s="712" t="e">
        <f t="shared" si="940"/>
        <v>#N/A</v>
      </c>
      <c r="N382" s="712">
        <f>IF(Sheet1!CW382&gt;=F382,MIN(73,MIN(MAX(L382,0),MAX(M382,0))),0)</f>
        <v>0</v>
      </c>
      <c r="O382" s="721">
        <f>Sheet1!AA382+Sheet1!AB382</f>
        <v>0</v>
      </c>
      <c r="P382" s="721">
        <f t="shared" si="941"/>
        <v>0</v>
      </c>
      <c r="Q382" s="712">
        <f>MIN(N382,Sheet1!AA382+AG382)</f>
        <v>0</v>
      </c>
      <c r="R382" s="712" t="e">
        <f t="shared" si="942"/>
        <v>#N/A</v>
      </c>
      <c r="S382" s="721">
        <f>Sheet1!Y382*MGDtoCFS</f>
        <v>0</v>
      </c>
      <c r="T382" s="721">
        <f>Sheet1!Z382*MGDtoCFS</f>
        <v>0</v>
      </c>
      <c r="U382" s="721">
        <f>Sheet1!AA382*MGDtoCFS</f>
        <v>0</v>
      </c>
      <c r="V382" s="721">
        <f>Sheet1!AB382*MGDtoCFS</f>
        <v>0</v>
      </c>
      <c r="W382" s="721">
        <f>Sheet1!L382*MGDtoCFS</f>
        <v>0</v>
      </c>
      <c r="X382" s="697" t="e">
        <f t="shared" si="943"/>
        <v>#N/A</v>
      </c>
      <c r="Y382" s="712" t="e">
        <f t="shared" si="944"/>
        <v>#N/A</v>
      </c>
      <c r="Z382" s="712">
        <f t="shared" si="945"/>
        <v>0</v>
      </c>
      <c r="AA382" s="712">
        <f t="shared" si="946"/>
        <v>0</v>
      </c>
      <c r="AB382" s="712" t="e">
        <f>(VLOOKUP(Sheet1!CY382,hhdcap_wcm,4)-(((VLOOKUP(Sheet1!CY382,hhdcap_wcm,3)-Sheet1!CY382)/(VLOOKUP(Sheet1!CY382,hhdcap_wcm,3)-VLOOKUP(Sheet1!CY382,hhdcap_wcm,1)))*(VLOOKUP(Sheet1!CY382,hhdcap_wcm,4)-VLOOKUP(Sheet1!CY382,hhdcap_wcm,2))))</f>
        <v>#N/A</v>
      </c>
      <c r="AC382" s="712" t="e">
        <f t="shared" si="947"/>
        <v>#N/A</v>
      </c>
      <c r="AD382" s="712">
        <f t="shared" si="948"/>
        <v>0</v>
      </c>
      <c r="AE382" s="712">
        <f t="shared" si="949"/>
        <v>0</v>
      </c>
      <c r="AF382" s="712">
        <f>Sheet1!BA382+Sheet1!BB382+Sheet1!BN382+BT382</f>
        <v>0</v>
      </c>
      <c r="AG382" s="712">
        <f t="shared" si="950"/>
        <v>0</v>
      </c>
      <c r="AH382" s="712">
        <f>Sheet1!BA382+BT382</f>
        <v>0</v>
      </c>
      <c r="AI382" s="712">
        <f>Sheet1!BA382+Sheet1!BB382+BT382</f>
        <v>0</v>
      </c>
      <c r="AJ382" s="712">
        <f>IF((Sheet1!AA382+AG382+AX382+AZ382+BQ382+BS382+CL382+CN382)&lt;=N382,AG382+AX382+AZ382+BQ382+BS382+CL382+CN382,N382-Sheet1!AA382)</f>
        <v>0</v>
      </c>
      <c r="AK382" s="712" t="e">
        <f>IF(DR382&lt;K382,0,MAX(Sheet1!AA382+AG382-15/36*K382-N382,Sheet1!ED382,0))</f>
        <v>#N/A</v>
      </c>
      <c r="AL382" s="712">
        <f>IF(OR(B382&gt;=FT382,B382&lt;FS382),0,15/36*K382-MAX(0,64.6-(137.6-(Sheet1!AA382+Sheet1!AB382))))</f>
        <v>0</v>
      </c>
      <c r="AM382" s="712">
        <f>Sheet1!CX382-110</f>
        <v>-110</v>
      </c>
      <c r="AN382" s="712">
        <f>Sheet1!CW382-265</f>
        <v>-265</v>
      </c>
      <c r="AO382" s="712">
        <f t="shared" si="934"/>
        <v>0</v>
      </c>
      <c r="AP382" s="712">
        <f t="shared" si="951"/>
        <v>155</v>
      </c>
      <c r="AQ382" s="712">
        <f t="shared" si="952"/>
        <v>100.19392372333549</v>
      </c>
      <c r="AR382" s="712">
        <f t="shared" si="953"/>
        <v>0</v>
      </c>
      <c r="AS382" s="712"/>
      <c r="AT382" s="712">
        <f ca="1">IF(B382&gt;Summary!$A$1,#N/A,AR382*MGtoAF)</f>
        <v>0</v>
      </c>
      <c r="AU382" s="712">
        <f>Sheet1!BG382+Sheet1!BH382+Sheet1!BI382-BC382</f>
        <v>0</v>
      </c>
      <c r="AV382" s="712">
        <f t="shared" si="954"/>
        <v>0</v>
      </c>
      <c r="AW382" s="712">
        <f>IF(Sheet1!EL382="FM",BC382,0)</f>
        <v>0</v>
      </c>
      <c r="AX382" s="712">
        <f t="shared" si="955"/>
        <v>0</v>
      </c>
      <c r="AY382" s="712">
        <f>IF(Sheet1!EL382="OTHER",BC382,0)</f>
        <v>0</v>
      </c>
      <c r="AZ382" s="712">
        <f t="shared" si="956"/>
        <v>0</v>
      </c>
      <c r="BA382" s="712">
        <f t="shared" si="957"/>
        <v>0</v>
      </c>
      <c r="BB382" s="712">
        <f t="shared" si="958"/>
        <v>0</v>
      </c>
      <c r="BC382" s="712">
        <f>IF(OR(Sheet1!EL382="FM", Sheet1!EL382="OTHER"),SUM(Sheet1!BG382:'Sheet1'!BI382),0)</f>
        <v>0</v>
      </c>
      <c r="BD382" s="697" t="e">
        <f>IF(AND($B382&gt;=$FL382,$B382&lt;=$FM382),MAX(AV382,Sheet1!EE382,0),MAX(AV382-(7/36)*$K382,0))</f>
        <v>#N/A</v>
      </c>
      <c r="BE382" s="712">
        <f t="shared" si="959"/>
        <v>0</v>
      </c>
      <c r="BF382" s="697" t="e">
        <f t="shared" si="960"/>
        <v>#N/A</v>
      </c>
      <c r="BG382" s="697">
        <f>IF(AND($O382&gt;0,Sheet1!EI382=1),(1-($O382-Sheet1!$L382)/$O382)*BB382,0)</f>
        <v>0</v>
      </c>
      <c r="BH382" s="697">
        <f>IF(AND(Sheet1!$L382=0,Sheet1!$L381=0, Calculation!BA382&lt;Sheet1!$EE382-0.1,Sheet1!$EE382=Sheet1!$EE381,Sheet1!$EE382=Sheet1!$EE383),Sheet1!$EE382,BB382-BG382)</f>
        <v>0</v>
      </c>
      <c r="BI382" s="712"/>
      <c r="BJ382" s="712"/>
      <c r="BK382" s="712">
        <f t="shared" si="961"/>
        <v>0</v>
      </c>
      <c r="BL382" s="712"/>
      <c r="BM382" s="712">
        <f ca="1">IF(B382&gt;Summary!$A$1,#N/A,BK382*MGtoAF)</f>
        <v>0</v>
      </c>
      <c r="BN382" s="712">
        <f>Sheet1!BC382+Sheet1!BD382+Sheet1!BE382+Sheet1!BF382-BW382-BX382</f>
        <v>0</v>
      </c>
      <c r="BO382" s="712">
        <f t="shared" si="962"/>
        <v>0</v>
      </c>
      <c r="BP382" s="712">
        <f>IF(Sheet1!EM382="FM",BX382,0)</f>
        <v>0</v>
      </c>
      <c r="BQ382" s="712">
        <f t="shared" si="963"/>
        <v>0</v>
      </c>
      <c r="BR382" s="712">
        <f>IF(Sheet1!EM382="OTHER",BX382,0)</f>
        <v>0</v>
      </c>
      <c r="BS382" s="712">
        <f t="shared" si="964"/>
        <v>0</v>
      </c>
      <c r="BT382" s="712">
        <f t="shared" si="965"/>
        <v>0</v>
      </c>
      <c r="BU382" s="712">
        <f t="shared" si="966"/>
        <v>0</v>
      </c>
      <c r="BV382" s="712">
        <f t="shared" si="967"/>
        <v>0</v>
      </c>
      <c r="BW382" s="712">
        <f>IF(Sheet1!EM382="CWA",SUM(Sheet1!BC382:'Sheet1'!BF382),0)</f>
        <v>0</v>
      </c>
      <c r="BX382" s="712">
        <f>IF(OR(Sheet1!EM382="FM", Sheet1!EM382="OTHER"),SUM(Sheet1!BC382:'Sheet1'!BF382),0)</f>
        <v>0</v>
      </c>
      <c r="BY382" s="697" t="e">
        <f>IF(AND($B382&gt;=$FL382,$B382&lt;=$FM382),MAX(BV382,Sheet1!EF382,0),MAX(BV382-(7/36)*$K382,0))</f>
        <v>#N/A</v>
      </c>
      <c r="BZ382" s="712">
        <f t="shared" si="968"/>
        <v>0</v>
      </c>
      <c r="CA382" s="697" t="e">
        <f t="shared" si="969"/>
        <v>#N/A</v>
      </c>
      <c r="CB382" s="697">
        <f>IF(AND($O382&gt;0,Sheet1!EJ382=1),(1-($O382-Sheet1!$L382)/$O382)*BV382,0)</f>
        <v>0</v>
      </c>
      <c r="CC382" s="697">
        <f>IF(AND(Sheet1!$L382=0,Sheet1!$L381=0, Calculation!BU382&lt;Sheet1!EF382-0.1,Sheet1!EF382=Sheet1!EF381,Sheet1!EF382=Sheet1!EF383),Sheet1!EF382,BV382-CB382)</f>
        <v>0</v>
      </c>
      <c r="CD382" s="697"/>
      <c r="CE382" s="712"/>
      <c r="CF382" s="712">
        <f t="shared" si="970"/>
        <v>0</v>
      </c>
      <c r="CG382" s="712"/>
      <c r="CH382" s="712">
        <f ca="1">IF(B382&gt;Summary!$A$1,#N/A,CF382*MGtoAF)</f>
        <v>0</v>
      </c>
      <c r="CI382" s="712">
        <f>Sheet1!BK382+Sheet1!BL382+Sheet1!BM382-Sheet1!EN382-CQ382</f>
        <v>0</v>
      </c>
      <c r="CJ382" s="712">
        <f t="shared" si="971"/>
        <v>0</v>
      </c>
      <c r="CK382" s="712">
        <f>IF(Sheet1!EN382="FM",CQ382,0)</f>
        <v>0</v>
      </c>
      <c r="CL382" s="712">
        <f t="shared" si="972"/>
        <v>0</v>
      </c>
      <c r="CM382" s="712">
        <f>IF(Sheet1!EN382="OTHER",CQ382,0)</f>
        <v>0</v>
      </c>
      <c r="CN382" s="712">
        <f t="shared" si="973"/>
        <v>0</v>
      </c>
      <c r="CO382" s="712">
        <f t="shared" si="974"/>
        <v>0</v>
      </c>
      <c r="CP382" s="712">
        <f t="shared" si="975"/>
        <v>0</v>
      </c>
      <c r="CQ382" s="712">
        <f>IF(OR(Sheet1!EN382="FM", Sheet1!EN382="OTHER"),SUM(Sheet1!BK382:'Sheet1'!BM382),0)</f>
        <v>0</v>
      </c>
      <c r="CR382" s="697" t="e">
        <f>IF(AND($B382&gt;=$FL382,$B382&lt;=$FM382),MAX($CJ382,Sheet1!EG382,0),MAX($CJ382-(7/36)*$K382,0))</f>
        <v>#N/A</v>
      </c>
      <c r="CS382" s="712">
        <f t="shared" si="976"/>
        <v>0</v>
      </c>
      <c r="CT382" s="697" t="e">
        <f t="shared" si="977"/>
        <v>#N/A</v>
      </c>
      <c r="CU382" s="697">
        <f>IF(AND($O382&gt;0,Sheet1!EK382=1),(1-($O382-Sheet1!$L382)/$O382)*CP382,0)</f>
        <v>0</v>
      </c>
      <c r="CV382" s="697">
        <f>IF(AND(Sheet1!$L382=0,Sheet1!$L381=0, Calculation!CO382&lt;Sheet1!$EG382-0.1,Sheet1!$EG382=Sheet1!$EG381,Sheet1!$EG382=Sheet1!$EG383),Sheet1!$EG382,CP382-CU382)</f>
        <v>0</v>
      </c>
      <c r="CW382" s="697"/>
      <c r="CX382" s="712">
        <f t="shared" si="978"/>
        <v>0</v>
      </c>
      <c r="CY382" s="712">
        <f t="shared" si="979"/>
        <v>0</v>
      </c>
      <c r="CZ382" s="712">
        <f t="shared" si="980"/>
        <v>0</v>
      </c>
      <c r="DA382" s="712">
        <f ca="1">IF(B382&gt;Summary!$A$1,#N/A,CY382*MGtoAF)</f>
        <v>0</v>
      </c>
      <c r="DB382" s="712">
        <f t="shared" si="981"/>
        <v>0</v>
      </c>
      <c r="DC382" s="712">
        <f t="shared" si="982"/>
        <v>0</v>
      </c>
      <c r="DD382" s="712">
        <f>Sheet1!AB382-DC382</f>
        <v>0</v>
      </c>
      <c r="DE382" s="712">
        <f t="shared" si="983"/>
        <v>0</v>
      </c>
      <c r="DF382" s="712" t="e">
        <f>(VLOOKUP(Sheet1!CY382,hhdcap_wcm,4)-(((VLOOKUP(Sheet1!CY382,hhdcap_wcm,3)-Sheet1!CY382)/(VLOOKUP(Sheet1!CY382,hhdcap_wcm,3)-VLOOKUP(Sheet1!CY382,hhdcap_wcm,1)))*(VLOOKUP(Sheet1!CY382,hhdcap_wcm,4)-VLOOKUP(Sheet1!CY382,hhdcap_wcm,2))))</f>
        <v>#N/A</v>
      </c>
      <c r="DG382" s="712" t="e">
        <f t="shared" si="984"/>
        <v>#N/A</v>
      </c>
      <c r="DH382" s="712" t="e">
        <f t="shared" si="985"/>
        <v>#N/A</v>
      </c>
      <c r="DI382" s="712">
        <f>Sheet1!DW382*AFtoMG</f>
        <v>0</v>
      </c>
      <c r="DJ382" s="712">
        <f>Sheet1!DX382*AFtoMG</f>
        <v>0</v>
      </c>
      <c r="DK382" s="712">
        <f>Sheet1!DY382*AFtoMG</f>
        <v>0</v>
      </c>
      <c r="DL382" s="712">
        <f>Sheet1!DZ382*AFtoMG</f>
        <v>0</v>
      </c>
      <c r="DM382" s="712">
        <f t="shared" si="986"/>
        <v>0</v>
      </c>
      <c r="DN382" s="712">
        <f t="shared" si="987"/>
        <v>0</v>
      </c>
      <c r="DO382" s="712">
        <f t="shared" si="988"/>
        <v>0</v>
      </c>
      <c r="DP382" s="712">
        <f t="shared" si="989"/>
        <v>0</v>
      </c>
      <c r="DQ382" s="712"/>
      <c r="DR382" s="697" t="e">
        <f>IF(OR(B382&lt;FL382,B382&gt;FM382),(MIN(AV382+BO382+CJ382+MAX(Sheet1!AA382+AG382-73,0),K382)),0)</f>
        <v>#N/A</v>
      </c>
      <c r="DS382" s="712"/>
      <c r="DT382" s="712">
        <f t="shared" si="990"/>
        <v>0</v>
      </c>
      <c r="DU382" s="712"/>
      <c r="DV382" s="712">
        <f>Sheet1!ED382+Sheet1!EE382+Sheet1!EF382+Sheet1!EG382</f>
        <v>8.5</v>
      </c>
      <c r="DW382" s="712"/>
      <c r="DX382" s="697" t="e">
        <f t="shared" si="991"/>
        <v>#N/A</v>
      </c>
      <c r="DY382" s="712">
        <f>IF(Sheet1!FN382=1,SUM('Calculations II'!AT382:BA382)+'Calculations II'!BC382+Sheet1!BU382+'Calculations II'!BE382+AF382,SUM('Calculations II'!AT382:BA382)+'Calculations II'!BC382+Sheet1!BU382+'Calculations II'!BE382+AF382)</f>
        <v>0</v>
      </c>
      <c r="DZ382" s="712">
        <f>Sheet1!AA382+Sheet1!AB382+'Calculations II'!BC382</f>
        <v>0</v>
      </c>
      <c r="EA382" s="712"/>
      <c r="EB382" s="712"/>
      <c r="EC382" s="712">
        <f t="shared" si="992"/>
        <v>40911</v>
      </c>
      <c r="ED382" s="712" t="e">
        <f t="shared" si="993"/>
        <v>#N/A</v>
      </c>
      <c r="EE382" s="712" t="e">
        <f t="shared" si="994"/>
        <v>#N/A</v>
      </c>
      <c r="EF382" s="712">
        <f>-(VLOOKUP(Sheet1!BQ382,Lookup!$B$4:$J$236,2)-VLOOKUP(Sheet1!BQ381,Lookup!$B$4:$J$236,2))/1000000</f>
        <v>41.033000000000001</v>
      </c>
      <c r="EG382" s="712">
        <f>-(VLOOKUP(Sheet1!BR382,Lookup!$B$4:$J$236,3)-VLOOKUP(Sheet1!BR381,Lookup!$B$4:$J$236,3))/1000000</f>
        <v>41.180500000000002</v>
      </c>
      <c r="EH382" s="712">
        <f>-(VLOOKUP(Sheet1!BS382,Lookup!$B$4:$J$236,4)-VLOOKUP(Sheet1!BS381,Lookup!$B$4:$J$236,4))/1000000</f>
        <v>0</v>
      </c>
      <c r="EI382" s="697">
        <f t="shared" si="1018"/>
        <v>82.21350000000001</v>
      </c>
      <c r="EJ382" s="712"/>
      <c r="EK382" s="712"/>
      <c r="EL382" s="712"/>
      <c r="EM382" s="712"/>
      <c r="EN382" s="712"/>
      <c r="EO382" s="712"/>
      <c r="EP382" s="712"/>
      <c r="EQ382" s="712"/>
      <c r="ER382" s="712"/>
      <c r="ES382" s="712"/>
      <c r="ET382" s="794" t="e">
        <f t="shared" si="1015"/>
        <v>#N/A</v>
      </c>
      <c r="EU382" s="794" t="e">
        <f t="shared" si="924"/>
        <v>#N/A</v>
      </c>
      <c r="EV382" s="795" t="e">
        <f t="shared" si="925"/>
        <v>#N/A</v>
      </c>
      <c r="EW382" s="796" t="s">
        <v>758</v>
      </c>
      <c r="EX382" s="796" t="s">
        <v>758</v>
      </c>
      <c r="EY382" s="794" t="e">
        <v>#N/A</v>
      </c>
      <c r="EZ382" s="794" t="e">
        <v>#N/A</v>
      </c>
      <c r="FA382" s="712"/>
      <c r="FB382" s="712"/>
      <c r="FC382" s="712"/>
      <c r="FD382" s="712"/>
      <c r="FE382" s="712">
        <f>O382+Sheet1!CO382</f>
        <v>0</v>
      </c>
      <c r="FF382" s="712">
        <f>IF(Sheet1!AA382+AG382&lt;=Calculation!N382,AG382,Calculation!N382-Sheet1!AA382)</f>
        <v>0</v>
      </c>
      <c r="FG382" s="712">
        <f>(Sheet1!BP382+Sheet1!BO382)/694.4</f>
        <v>0</v>
      </c>
      <c r="FH382" s="712"/>
      <c r="FI382" s="712"/>
      <c r="FJ382" s="712"/>
      <c r="FK382" s="712"/>
      <c r="FL382" s="714">
        <f t="shared" si="929"/>
        <v>40753</v>
      </c>
      <c r="FM382" s="714">
        <f t="shared" si="930"/>
        <v>40851</v>
      </c>
      <c r="FN382" s="712"/>
      <c r="FO382" s="712"/>
      <c r="FP382" s="712"/>
      <c r="FQ382" s="712"/>
      <c r="FR382" s="712"/>
      <c r="FS382" s="725">
        <f t="shared" si="1017"/>
        <v>40603</v>
      </c>
      <c r="FT382" s="714">
        <f t="shared" si="932"/>
        <v>40709</v>
      </c>
      <c r="FU382" s="712">
        <f t="shared" si="1017"/>
        <v>6518.9048239895692</v>
      </c>
      <c r="FV382" s="714">
        <f t="shared" si="933"/>
        <v>40722</v>
      </c>
      <c r="FW382" s="712">
        <f t="shared" si="1017"/>
        <v>3259.4524119947846</v>
      </c>
      <c r="FX382" s="725">
        <f t="shared" si="1017"/>
        <v>40851</v>
      </c>
      <c r="FZ382" s="697">
        <f t="shared" si="926"/>
        <v>0</v>
      </c>
      <c r="GA382" s="712" t="str">
        <f t="shared" si="995"/>
        <v/>
      </c>
      <c r="GB382" s="712">
        <f t="shared" si="996"/>
        <v>0</v>
      </c>
      <c r="GC382" s="712" t="str">
        <f t="shared" si="997"/>
        <v/>
      </c>
      <c r="GD382" s="712">
        <f>IF(GA382="P",Lookup!$M$12,IF(GA382="PP",Lookup!$M$13,IF(GA382="PPP",Lookup!$M$14,IF(GA382="T",Lookup!$M$15,IF(GA382="TP",Lookup!$M$16,IF(GA382="TPP",Lookup!$M$17,IF(GA382="TPPP",Lookup!$M$18,0)))))))*FZ382</f>
        <v>0</v>
      </c>
      <c r="GE382" s="712">
        <f t="shared" si="998"/>
        <v>0</v>
      </c>
      <c r="GF382" s="712">
        <f t="shared" si="999"/>
        <v>0</v>
      </c>
      <c r="GG382" s="712">
        <f t="shared" si="1000"/>
        <v>0</v>
      </c>
      <c r="GH382" s="712"/>
      <c r="GI382" s="712">
        <f t="shared" si="1001"/>
        <v>0</v>
      </c>
      <c r="GJ382" s="712" t="str">
        <f t="shared" si="1002"/>
        <v/>
      </c>
      <c r="GK382" s="712">
        <f>IF(GA382="P",Lookup!$N$12,IF(GA382="PP",Lookup!$N$13,IF(GA382="PPP",Lookup!$N$14,IF(GA382="T",Lookup!$N$15,IF(GA382="TP",Lookup!$N$16,IF(GA382="TPP",Lookup!$N$17,IF(GA382="TPPP",Lookup!$N$18,0)))))))*FZ382</f>
        <v>0</v>
      </c>
      <c r="GL382" s="712">
        <f t="shared" si="1003"/>
        <v>0</v>
      </c>
      <c r="GM382" s="712">
        <f t="shared" si="1004"/>
        <v>0</v>
      </c>
      <c r="GN382" s="712">
        <f t="shared" si="1005"/>
        <v>0</v>
      </c>
      <c r="GO382" s="712"/>
      <c r="GP382" s="712">
        <f t="shared" si="1006"/>
        <v>0</v>
      </c>
      <c r="GQ382" s="712" t="str">
        <f t="shared" si="1007"/>
        <v/>
      </c>
      <c r="GR382" s="712">
        <f>IF(GA382="P",Lookup!$N$12,IF(GA382="PP",Lookup!$N$13,IF(GA382="PPP",Lookup!$N$14,IF(GA382="T",Lookup!$N$15,IF(GA382="TP",Lookup!$N$16,IF(GA382="TPP",Lookup!$N$17,IF(GA382="TPPP",Lookup!$N$18,0)))))))*FZ382</f>
        <v>0</v>
      </c>
      <c r="GS382" s="697">
        <f t="shared" si="927"/>
        <v>0</v>
      </c>
      <c r="GT382" s="712">
        <f t="shared" si="1008"/>
        <v>0</v>
      </c>
      <c r="GU382" s="712">
        <f t="shared" si="1009"/>
        <v>0</v>
      </c>
      <c r="GV382" s="712"/>
      <c r="GW382" s="712">
        <f t="shared" si="1010"/>
        <v>0</v>
      </c>
      <c r="GX382" s="712" t="str">
        <f t="shared" si="1011"/>
        <v/>
      </c>
      <c r="GY382" s="712">
        <f>IF(GA382="P",Lookup!$N$12,IF(GA382="PP",Lookup!$N$13,IF(GA382="PPP",Lookup!$N$14,IF(GA382="T",Lookup!$N$15,IF(GA382="TP",Lookup!$N$16,IF(GA382="TPP",Lookup!$N$17,IF(GA382="TPPP",Lookup!$N$18,0)))))))*FZ382</f>
        <v>0</v>
      </c>
      <c r="GZ382" s="697">
        <f t="shared" si="928"/>
        <v>0</v>
      </c>
      <c r="HA382" s="712">
        <f t="shared" si="1012"/>
        <v>0</v>
      </c>
      <c r="HB382" s="712">
        <f t="shared" si="1013"/>
        <v>0</v>
      </c>
      <c r="HC382" s="712"/>
    </row>
    <row r="383" spans="1:211">
      <c r="A383" s="773" t="s">
        <v>6</v>
      </c>
      <c r="B383" s="708">
        <v>40912</v>
      </c>
      <c r="C383" s="719">
        <v>0.5</v>
      </c>
      <c r="D383" s="675">
        <f t="shared" si="936"/>
        <v>300</v>
      </c>
      <c r="E383" s="675">
        <f t="shared" si="937"/>
        <v>250</v>
      </c>
      <c r="F383" s="675">
        <v>250</v>
      </c>
      <c r="G383" s="712" t="e">
        <f>DH383+Sheet1!CV383</f>
        <v>#N/A</v>
      </c>
      <c r="H383" s="712" t="e">
        <f t="shared" si="938"/>
        <v>#N/A</v>
      </c>
      <c r="I383" s="711">
        <f>MAX(Sheet1!Z383-AJ383+(Sheet1!CW383-E383)*CFStoMGD,0)</f>
        <v>0</v>
      </c>
      <c r="J383" s="720">
        <f>IF(AND(B383&gt;=Calculation!FS383,B383&lt;=Calculation!FT383),IF(Sheet1!CX383&gt;=Calculation!D383,64.64,0),MAX(Sheet1!Z383-AJ383+(Sheet1!CX383-D383)*CFStoMGD,0))</f>
        <v>0</v>
      </c>
      <c r="K383" s="697" t="e">
        <f t="shared" si="939"/>
        <v>#N/A</v>
      </c>
      <c r="L383" s="712">
        <f>Sheet1!AA383+Sheet1!AB383-Sheet1!L383+(Sheet1!CW383-F383)*CFStoMGD</f>
        <v>-161.6</v>
      </c>
      <c r="M383" s="712" t="e">
        <f t="shared" si="940"/>
        <v>#N/A</v>
      </c>
      <c r="N383" s="712">
        <f>IF(Sheet1!CW383&gt;=F383,MIN(73,MIN(MAX(L383,0),MAX(M383,0))),0)</f>
        <v>0</v>
      </c>
      <c r="O383" s="721">
        <f>Sheet1!AA383+Sheet1!AB383</f>
        <v>0</v>
      </c>
      <c r="P383" s="721">
        <f t="shared" si="941"/>
        <v>0</v>
      </c>
      <c r="Q383" s="712">
        <f>MIN(N383,Sheet1!AA383+AG383)</f>
        <v>0</v>
      </c>
      <c r="R383" s="712" t="e">
        <f t="shared" si="942"/>
        <v>#N/A</v>
      </c>
      <c r="S383" s="721">
        <f>Sheet1!Y383*MGDtoCFS</f>
        <v>0</v>
      </c>
      <c r="T383" s="721">
        <f>Sheet1!Z383*MGDtoCFS</f>
        <v>0</v>
      </c>
      <c r="U383" s="721">
        <f>Sheet1!AA383*MGDtoCFS</f>
        <v>0</v>
      </c>
      <c r="V383" s="721">
        <f>Sheet1!AB383*MGDtoCFS</f>
        <v>0</v>
      </c>
      <c r="W383" s="721">
        <f>Sheet1!L383*MGDtoCFS</f>
        <v>0</v>
      </c>
      <c r="X383" s="697" t="e">
        <f t="shared" si="943"/>
        <v>#N/A</v>
      </c>
      <c r="Y383" s="712" t="e">
        <f t="shared" si="944"/>
        <v>#N/A</v>
      </c>
      <c r="Z383" s="712">
        <f t="shared" si="945"/>
        <v>0</v>
      </c>
      <c r="AA383" s="712">
        <f t="shared" si="946"/>
        <v>0</v>
      </c>
      <c r="AB383" s="712" t="e">
        <f>(VLOOKUP(Sheet1!CY383,hhdcap_wcm,4)-(((VLOOKUP(Sheet1!CY383,hhdcap_wcm,3)-Sheet1!CY383)/(VLOOKUP(Sheet1!CY383,hhdcap_wcm,3)-VLOOKUP(Sheet1!CY383,hhdcap_wcm,1)))*(VLOOKUP(Sheet1!CY383,hhdcap_wcm,4)-VLOOKUP(Sheet1!CY383,hhdcap_wcm,2))))</f>
        <v>#N/A</v>
      </c>
      <c r="AC383" s="712" t="e">
        <f t="shared" si="947"/>
        <v>#N/A</v>
      </c>
      <c r="AD383" s="712">
        <f t="shared" si="948"/>
        <v>0</v>
      </c>
      <c r="AE383" s="712">
        <f t="shared" si="949"/>
        <v>0</v>
      </c>
      <c r="AF383" s="712">
        <f>Sheet1!BA383+Sheet1!BB383+Sheet1!BN383+BT383</f>
        <v>0</v>
      </c>
      <c r="AG383" s="712">
        <f t="shared" si="950"/>
        <v>0</v>
      </c>
      <c r="AH383" s="712">
        <f>Sheet1!BA383+BT383</f>
        <v>0</v>
      </c>
      <c r="AI383" s="712">
        <f>Sheet1!BA383+Sheet1!BB383+BT383</f>
        <v>0</v>
      </c>
      <c r="AJ383" s="712">
        <f>IF((Sheet1!AA383+AG383+AX383+AZ383+BQ383+BS383+CL383+CN383)&lt;=N383,AG383+AX383+AZ383+BQ383+BS383+CL383+CN383,N383-Sheet1!AA383)</f>
        <v>0</v>
      </c>
      <c r="AK383" s="712" t="e">
        <f>IF(DR383&lt;K383,0,MAX(Sheet1!AA383+AG383-15/36*K383-N383,Sheet1!ED383,0))</f>
        <v>#N/A</v>
      </c>
      <c r="AL383" s="712">
        <f>IF(OR(B383&gt;=FT383,B383&lt;FS383),0,15/36*K383-MAX(0,64.6-(137.6-(Sheet1!AA383+Sheet1!AB383))))</f>
        <v>0</v>
      </c>
      <c r="AM383" s="712">
        <f>Sheet1!CX383-110</f>
        <v>-110</v>
      </c>
      <c r="AN383" s="712">
        <f>Sheet1!CW383-265</f>
        <v>-265</v>
      </c>
      <c r="AO383" s="712">
        <f t="shared" si="934"/>
        <v>0</v>
      </c>
      <c r="AP383" s="712">
        <f t="shared" si="951"/>
        <v>155</v>
      </c>
      <c r="AQ383" s="712">
        <f t="shared" si="952"/>
        <v>100.19392372333549</v>
      </c>
      <c r="AR383" s="712">
        <f t="shared" si="953"/>
        <v>0</v>
      </c>
      <c r="AS383" s="712"/>
      <c r="AT383" s="712">
        <f ca="1">IF(B383&gt;Summary!$A$1,#N/A,AR383*MGtoAF)</f>
        <v>0</v>
      </c>
      <c r="AU383" s="712">
        <f>Sheet1!BG383+Sheet1!BH383+Sheet1!BI383-BC383</f>
        <v>0</v>
      </c>
      <c r="AV383" s="712">
        <f t="shared" si="954"/>
        <v>0</v>
      </c>
      <c r="AW383" s="712">
        <f>IF(Sheet1!EL383="FM",BC383,0)</f>
        <v>0</v>
      </c>
      <c r="AX383" s="712">
        <f t="shared" si="955"/>
        <v>0</v>
      </c>
      <c r="AY383" s="712">
        <f>IF(Sheet1!EL383="OTHER",BC383,0)</f>
        <v>0</v>
      </c>
      <c r="AZ383" s="712">
        <f t="shared" si="956"/>
        <v>0</v>
      </c>
      <c r="BA383" s="712">
        <f t="shared" si="957"/>
        <v>0</v>
      </c>
      <c r="BB383" s="712">
        <f t="shared" si="958"/>
        <v>0</v>
      </c>
      <c r="BC383" s="712">
        <f>IF(OR(Sheet1!EL383="FM", Sheet1!EL383="OTHER"),SUM(Sheet1!BG383:'Sheet1'!BI383),0)</f>
        <v>0</v>
      </c>
      <c r="BD383" s="697" t="e">
        <f>IF(AND($B383&gt;=$FL383,$B383&lt;=$FM383),MAX(AV383,Sheet1!EE383,0),MAX(AV383-(7/36)*$K383,0))</f>
        <v>#N/A</v>
      </c>
      <c r="BE383" s="712">
        <f t="shared" si="959"/>
        <v>0</v>
      </c>
      <c r="BF383" s="697" t="e">
        <f t="shared" si="960"/>
        <v>#N/A</v>
      </c>
      <c r="BG383" s="697">
        <f>IF(AND($O383&gt;0,Sheet1!EI383=1),(1-($O383-Sheet1!$L383)/$O383)*BB383,0)</f>
        <v>0</v>
      </c>
      <c r="BH383" s="697">
        <f>IF(AND(Sheet1!$L383=0,Sheet1!$L382=0, Calculation!BA383&lt;Sheet1!$EE383-0.1,Sheet1!$EE383=Sheet1!$EE382,Sheet1!$EE383=Sheet1!$EE384),Sheet1!$EE383,BB383-BG383)</f>
        <v>0</v>
      </c>
      <c r="BI383" s="712"/>
      <c r="BJ383" s="712"/>
      <c r="BK383" s="712">
        <f t="shared" si="961"/>
        <v>0</v>
      </c>
      <c r="BL383" s="712"/>
      <c r="BM383" s="712">
        <f ca="1">IF(B383&gt;Summary!$A$1,#N/A,BK383*MGtoAF)</f>
        <v>0</v>
      </c>
      <c r="BN383" s="712">
        <f>Sheet1!BC383+Sheet1!BD383+Sheet1!BE383+Sheet1!BF383-BW383-BX383</f>
        <v>0</v>
      </c>
      <c r="BO383" s="712">
        <f t="shared" si="962"/>
        <v>0</v>
      </c>
      <c r="BP383" s="712">
        <f>IF(Sheet1!EM383="FM",BX383,0)</f>
        <v>0</v>
      </c>
      <c r="BQ383" s="712">
        <f t="shared" si="963"/>
        <v>0</v>
      </c>
      <c r="BR383" s="712">
        <f>IF(Sheet1!EM383="OTHER",BX383,0)</f>
        <v>0</v>
      </c>
      <c r="BS383" s="712">
        <f t="shared" si="964"/>
        <v>0</v>
      </c>
      <c r="BT383" s="712">
        <f t="shared" si="965"/>
        <v>0</v>
      </c>
      <c r="BU383" s="712">
        <f t="shared" si="966"/>
        <v>0</v>
      </c>
      <c r="BV383" s="712">
        <f t="shared" si="967"/>
        <v>0</v>
      </c>
      <c r="BW383" s="712">
        <f>IF(Sheet1!EM383="CWA",SUM(Sheet1!BC383:'Sheet1'!BF383),0)</f>
        <v>0</v>
      </c>
      <c r="BX383" s="712">
        <f>IF(OR(Sheet1!EM383="FM", Sheet1!EM383="OTHER"),SUM(Sheet1!BC383:'Sheet1'!BF383),0)</f>
        <v>0</v>
      </c>
      <c r="BY383" s="697" t="e">
        <f>IF(AND($B383&gt;=$FL383,$B383&lt;=$FM383),MAX(BV383,Sheet1!EF383,0),MAX(BV383-(7/36)*$K383,0))</f>
        <v>#N/A</v>
      </c>
      <c r="BZ383" s="712">
        <f t="shared" si="968"/>
        <v>0</v>
      </c>
      <c r="CA383" s="697" t="e">
        <f t="shared" si="969"/>
        <v>#N/A</v>
      </c>
      <c r="CB383" s="697">
        <f>IF(AND($O383&gt;0,Sheet1!EJ383=1),(1-($O383-Sheet1!$L383)/$O383)*BV383,0)</f>
        <v>0</v>
      </c>
      <c r="CC383" s="697">
        <f>IF(AND(Sheet1!$L383=0,Sheet1!$L382=0, Calculation!BU383&lt;Sheet1!EF383-0.1,Sheet1!EF383=Sheet1!EF382,Sheet1!EF383=Sheet1!EF384),Sheet1!EF383,BV383-CB383)</f>
        <v>2</v>
      </c>
      <c r="CD383" s="697"/>
      <c r="CE383" s="712"/>
      <c r="CF383" s="712">
        <f t="shared" si="970"/>
        <v>0</v>
      </c>
      <c r="CG383" s="712"/>
      <c r="CH383" s="712">
        <f ca="1">IF(B383&gt;Summary!$A$1,#N/A,CF383*MGtoAF)</f>
        <v>0</v>
      </c>
      <c r="CI383" s="712">
        <f>Sheet1!BK383+Sheet1!BL383+Sheet1!BM383-Sheet1!EN383-CQ383</f>
        <v>0</v>
      </c>
      <c r="CJ383" s="712">
        <f t="shared" si="971"/>
        <v>0</v>
      </c>
      <c r="CK383" s="712">
        <f>IF(Sheet1!EN383="FM",CQ383,0)</f>
        <v>0</v>
      </c>
      <c r="CL383" s="712">
        <f t="shared" si="972"/>
        <v>0</v>
      </c>
      <c r="CM383" s="712">
        <f>IF(Sheet1!EN383="OTHER",CQ383,0)</f>
        <v>0</v>
      </c>
      <c r="CN383" s="712">
        <f t="shared" si="973"/>
        <v>0</v>
      </c>
      <c r="CO383" s="712">
        <f t="shared" si="974"/>
        <v>0</v>
      </c>
      <c r="CP383" s="712">
        <f t="shared" si="975"/>
        <v>0</v>
      </c>
      <c r="CQ383" s="712">
        <f>IF(OR(Sheet1!EN383="FM", Sheet1!EN383="OTHER"),SUM(Sheet1!BK383:'Sheet1'!BM383),0)</f>
        <v>0</v>
      </c>
      <c r="CR383" s="697" t="e">
        <f>IF(AND($B383&gt;=$FL383,$B383&lt;=$FM383),MAX($CJ383,Sheet1!EG383,0),MAX($CJ383-(7/36)*$K383,0))</f>
        <v>#N/A</v>
      </c>
      <c r="CS383" s="712">
        <f t="shared" si="976"/>
        <v>0</v>
      </c>
      <c r="CT383" s="697" t="e">
        <f t="shared" si="977"/>
        <v>#N/A</v>
      </c>
      <c r="CU383" s="697">
        <f>IF(AND($O383&gt;0,Sheet1!EK383=1),(1-($O383-Sheet1!$L383)/$O383)*CP383,0)</f>
        <v>0</v>
      </c>
      <c r="CV383" s="697">
        <f>IF(AND(Sheet1!$L383=0,Sheet1!$L382=0, Calculation!CO383&lt;Sheet1!$EG383-0.1,Sheet1!$EG383=Sheet1!$EG382,Sheet1!$EG383=Sheet1!$EG384),Sheet1!$EG383,CP383-CU383)</f>
        <v>6.5</v>
      </c>
      <c r="CW383" s="697"/>
      <c r="CX383" s="712">
        <f t="shared" si="978"/>
        <v>0</v>
      </c>
      <c r="CY383" s="712">
        <f t="shared" si="979"/>
        <v>0</v>
      </c>
      <c r="CZ383" s="712">
        <f t="shared" si="980"/>
        <v>0</v>
      </c>
      <c r="DA383" s="712">
        <f ca="1">IF(B383&gt;Summary!$A$1,#N/A,CY383*MGtoAF)</f>
        <v>0</v>
      </c>
      <c r="DB383" s="712">
        <f t="shared" si="981"/>
        <v>0</v>
      </c>
      <c r="DC383" s="712">
        <f t="shared" si="982"/>
        <v>0</v>
      </c>
      <c r="DD383" s="712">
        <f>Sheet1!AB383-DC383</f>
        <v>0</v>
      </c>
      <c r="DE383" s="712">
        <f t="shared" si="983"/>
        <v>0</v>
      </c>
      <c r="DF383" s="712" t="e">
        <f>(VLOOKUP(Sheet1!CY383,hhdcap_wcm,4)-(((VLOOKUP(Sheet1!CY383,hhdcap_wcm,3)-Sheet1!CY383)/(VLOOKUP(Sheet1!CY383,hhdcap_wcm,3)-VLOOKUP(Sheet1!CY383,hhdcap_wcm,1)))*(VLOOKUP(Sheet1!CY383,hhdcap_wcm,4)-VLOOKUP(Sheet1!CY383,hhdcap_wcm,2))))</f>
        <v>#N/A</v>
      </c>
      <c r="DG383" s="712" t="e">
        <f t="shared" si="984"/>
        <v>#N/A</v>
      </c>
      <c r="DH383" s="712" t="e">
        <f t="shared" si="985"/>
        <v>#N/A</v>
      </c>
      <c r="DI383" s="712">
        <f>Sheet1!DW383*AFtoMG</f>
        <v>0</v>
      </c>
      <c r="DJ383" s="712">
        <f>Sheet1!DX383*AFtoMG</f>
        <v>0</v>
      </c>
      <c r="DK383" s="712">
        <f>Sheet1!DY383*AFtoMG</f>
        <v>0</v>
      </c>
      <c r="DL383" s="712">
        <f>Sheet1!DZ383*AFtoMG</f>
        <v>0</v>
      </c>
      <c r="DM383" s="712">
        <f t="shared" si="986"/>
        <v>0</v>
      </c>
      <c r="DN383" s="712">
        <f t="shared" si="987"/>
        <v>0</v>
      </c>
      <c r="DO383" s="712">
        <f t="shared" si="988"/>
        <v>0</v>
      </c>
      <c r="DP383" s="712">
        <f t="shared" si="989"/>
        <v>0</v>
      </c>
      <c r="DQ383" s="712"/>
      <c r="DR383" s="697" t="e">
        <f>IF(OR(B383&lt;FL383,B383&gt;FM383),(MIN(AV383+BO383+CJ383+MAX(Sheet1!AA383+AG383-73,0),K383)),0)</f>
        <v>#N/A</v>
      </c>
      <c r="DS383" s="712"/>
      <c r="DT383" s="712">
        <f t="shared" si="990"/>
        <v>0</v>
      </c>
      <c r="DU383" s="712"/>
      <c r="DV383" s="712">
        <f>Sheet1!ED383+Sheet1!EE383+Sheet1!EF383+Sheet1!EG383</f>
        <v>8.5</v>
      </c>
      <c r="DW383" s="712"/>
      <c r="DX383" s="697" t="e">
        <f t="shared" si="991"/>
        <v>#N/A</v>
      </c>
      <c r="DY383" s="712">
        <f>IF(Sheet1!FN383=1,SUM('Calculations II'!AT383:BA383)+'Calculations II'!BC383+Sheet1!BU383+'Calculations II'!BE383+AF383,SUM('Calculations II'!AT383:BA383)+'Calculations II'!BC383+Sheet1!BU383+'Calculations II'!BE383+AF383)</f>
        <v>0</v>
      </c>
      <c r="DZ383" s="712">
        <f>Sheet1!AA383+Sheet1!AB383+'Calculations II'!BC383</f>
        <v>0</v>
      </c>
      <c r="EA383" s="712"/>
      <c r="EB383" s="712"/>
      <c r="EC383" s="712">
        <f t="shared" si="992"/>
        <v>40912</v>
      </c>
      <c r="ED383" s="712" t="e">
        <f t="shared" si="993"/>
        <v>#N/A</v>
      </c>
      <c r="EE383" s="712" t="e">
        <f t="shared" si="994"/>
        <v>#N/A</v>
      </c>
      <c r="EF383" s="712">
        <f>-(VLOOKUP(Sheet1!BQ383,Lookup!$B$4:$J$236,2)-VLOOKUP(Sheet1!BQ382,Lookup!$B$4:$J$236,2))/1000000</f>
        <v>0</v>
      </c>
      <c r="EG383" s="712">
        <f>-(VLOOKUP(Sheet1!BR383,Lookup!$B$4:$J$236,3)-VLOOKUP(Sheet1!BR382,Lookup!$B$4:$J$236,3))/1000000</f>
        <v>0</v>
      </c>
      <c r="EH383" s="712">
        <f>-(VLOOKUP(Sheet1!BS383,Lookup!$B$4:$J$236,4)-VLOOKUP(Sheet1!BS382,Lookup!$B$4:$J$236,4))/1000000</f>
        <v>0</v>
      </c>
      <c r="EI383" s="697">
        <f t="shared" si="1018"/>
        <v>0</v>
      </c>
      <c r="EJ383" s="712"/>
      <c r="EK383" s="712"/>
      <c r="EL383" s="712"/>
      <c r="EM383" s="712"/>
      <c r="EN383" s="712"/>
      <c r="EO383" s="712"/>
      <c r="EP383" s="712"/>
      <c r="EQ383" s="712"/>
      <c r="ER383" s="712"/>
      <c r="ES383" s="712"/>
      <c r="ET383" s="794" t="e">
        <f t="shared" si="1015"/>
        <v>#N/A</v>
      </c>
      <c r="EU383" s="794" t="e">
        <f t="shared" si="924"/>
        <v>#N/A</v>
      </c>
      <c r="EV383" s="795" t="e">
        <f t="shared" si="925"/>
        <v>#N/A</v>
      </c>
      <c r="EW383" s="796" t="s">
        <v>758</v>
      </c>
      <c r="EX383" s="796" t="s">
        <v>758</v>
      </c>
      <c r="EY383" s="794" t="e">
        <v>#N/A</v>
      </c>
      <c r="EZ383" s="794" t="e">
        <v>#N/A</v>
      </c>
      <c r="FA383" s="712"/>
      <c r="FB383" s="712"/>
      <c r="FC383" s="712"/>
      <c r="FD383" s="712"/>
      <c r="FE383" s="712">
        <f>O383+Sheet1!CO383</f>
        <v>0</v>
      </c>
      <c r="FF383" s="712">
        <f>IF(Sheet1!AA383+AG383&lt;=Calculation!N383,AG383,Calculation!N383-Sheet1!AA383)</f>
        <v>0</v>
      </c>
      <c r="FG383" s="712">
        <f>(Sheet1!BP383+Sheet1!BO383)/694.4</f>
        <v>0</v>
      </c>
      <c r="FH383" s="712"/>
      <c r="FI383" s="712"/>
      <c r="FJ383" s="712"/>
      <c r="FK383" s="712"/>
      <c r="FL383" s="714">
        <f t="shared" si="929"/>
        <v>40753</v>
      </c>
      <c r="FM383" s="714">
        <f t="shared" si="930"/>
        <v>40851</v>
      </c>
      <c r="FN383" s="712"/>
      <c r="FO383" s="712"/>
      <c r="FP383" s="712"/>
      <c r="FQ383" s="712"/>
      <c r="FR383" s="712"/>
      <c r="FS383" s="725">
        <f t="shared" si="1017"/>
        <v>40603</v>
      </c>
      <c r="FT383" s="714">
        <f t="shared" si="932"/>
        <v>40709</v>
      </c>
      <c r="FU383" s="712">
        <f t="shared" si="1017"/>
        <v>6518.9048239895692</v>
      </c>
      <c r="FV383" s="714">
        <f t="shared" si="933"/>
        <v>40722</v>
      </c>
      <c r="FW383" s="712">
        <f t="shared" si="1017"/>
        <v>3259.4524119947846</v>
      </c>
      <c r="FX383" s="725">
        <f t="shared" si="1017"/>
        <v>40851</v>
      </c>
      <c r="FZ383" s="697">
        <f t="shared" si="926"/>
        <v>0</v>
      </c>
      <c r="GA383" s="712" t="str">
        <f t="shared" si="995"/>
        <v/>
      </c>
      <c r="GB383" s="712">
        <f t="shared" si="996"/>
        <v>0</v>
      </c>
      <c r="GC383" s="712" t="str">
        <f t="shared" si="997"/>
        <v/>
      </c>
      <c r="GD383" s="712">
        <f>IF(GA383="P",Lookup!$M$12,IF(GA383="PP",Lookup!$M$13,IF(GA383="PPP",Lookup!$M$14,IF(GA383="T",Lookup!$M$15,IF(GA383="TP",Lookup!$M$16,IF(GA383="TPP",Lookup!$M$17,IF(GA383="TPPP",Lookup!$M$18,0)))))))*FZ383</f>
        <v>0</v>
      </c>
      <c r="GE383" s="712">
        <f t="shared" si="998"/>
        <v>0</v>
      </c>
      <c r="GF383" s="712">
        <f t="shared" si="999"/>
        <v>0</v>
      </c>
      <c r="GG383" s="712">
        <f t="shared" si="1000"/>
        <v>0</v>
      </c>
      <c r="GH383" s="712"/>
      <c r="GI383" s="712">
        <f t="shared" si="1001"/>
        <v>0</v>
      </c>
      <c r="GJ383" s="712" t="str">
        <f t="shared" si="1002"/>
        <v/>
      </c>
      <c r="GK383" s="712">
        <f>IF(GA383="P",Lookup!$N$12,IF(GA383="PP",Lookup!$N$13,IF(GA383="PPP",Lookup!$N$14,IF(GA383="T",Lookup!$N$15,IF(GA383="TP",Lookup!$N$16,IF(GA383="TPP",Lookup!$N$17,IF(GA383="TPPP",Lookup!$N$18,0)))))))*FZ383</f>
        <v>0</v>
      </c>
      <c r="GL383" s="712">
        <f t="shared" si="1003"/>
        <v>0</v>
      </c>
      <c r="GM383" s="712">
        <f t="shared" si="1004"/>
        <v>0</v>
      </c>
      <c r="GN383" s="712">
        <f t="shared" si="1005"/>
        <v>0</v>
      </c>
      <c r="GO383" s="712"/>
      <c r="GP383" s="712">
        <f t="shared" si="1006"/>
        <v>0</v>
      </c>
      <c r="GQ383" s="712" t="str">
        <f t="shared" si="1007"/>
        <v/>
      </c>
      <c r="GR383" s="712">
        <f>IF(GA383="P",Lookup!$N$12,IF(GA383="PP",Lookup!$N$13,IF(GA383="PPP",Lookup!$N$14,IF(GA383="T",Lookup!$N$15,IF(GA383="TP",Lookup!$N$16,IF(GA383="TPP",Lookup!$N$17,IF(GA383="TPPP",Lookup!$N$18,0)))))))*FZ383</f>
        <v>0</v>
      </c>
      <c r="GS383" s="697">
        <f t="shared" si="927"/>
        <v>0</v>
      </c>
      <c r="GT383" s="712">
        <f t="shared" si="1008"/>
        <v>0</v>
      </c>
      <c r="GU383" s="712">
        <f t="shared" si="1009"/>
        <v>0</v>
      </c>
      <c r="GV383" s="712"/>
      <c r="GW383" s="712">
        <f t="shared" si="1010"/>
        <v>0</v>
      </c>
      <c r="GX383" s="712" t="str">
        <f t="shared" si="1011"/>
        <v/>
      </c>
      <c r="GY383" s="712">
        <f>IF(GA383="P",Lookup!$N$12,IF(GA383="PP",Lookup!$N$13,IF(GA383="PPP",Lookup!$N$14,IF(GA383="T",Lookup!$N$15,IF(GA383="TP",Lookup!$N$16,IF(GA383="TPP",Lookup!$N$17,IF(GA383="TPPP",Lookup!$N$18,0)))))))*FZ383</f>
        <v>0</v>
      </c>
      <c r="GZ383" s="697">
        <f t="shared" si="928"/>
        <v>0</v>
      </c>
      <c r="HA383" s="712">
        <f t="shared" si="1012"/>
        <v>0</v>
      </c>
      <c r="HB383" s="712">
        <f t="shared" si="1013"/>
        <v>0</v>
      </c>
      <c r="HC383" s="712"/>
    </row>
    <row r="384" spans="1:211">
      <c r="A384" s="773" t="s">
        <v>7</v>
      </c>
      <c r="B384" s="708">
        <v>40913</v>
      </c>
      <c r="C384" s="709">
        <v>0.5</v>
      </c>
      <c r="D384" s="675">
        <f t="shared" si="936"/>
        <v>300</v>
      </c>
      <c r="E384" s="675">
        <f t="shared" si="937"/>
        <v>250</v>
      </c>
      <c r="F384" s="675">
        <v>250</v>
      </c>
      <c r="G384" s="712" t="e">
        <f>DH384+Sheet1!CV384</f>
        <v>#N/A</v>
      </c>
      <c r="H384" s="712" t="e">
        <f t="shared" si="938"/>
        <v>#N/A</v>
      </c>
      <c r="I384" s="711">
        <f>MAX(Sheet1!Z384-AJ384+(Sheet1!CW384-E384)*CFStoMGD,0)</f>
        <v>0</v>
      </c>
      <c r="J384" s="720">
        <f>IF(AND(B384&gt;=Calculation!FS384,B384&lt;=Calculation!FT384),IF(Sheet1!CX384&gt;=Calculation!D384,64.64,0),MAX(Sheet1!Z384-AJ384+(Sheet1!CX384-D384)*CFStoMGD,0))</f>
        <v>0</v>
      </c>
      <c r="K384" s="697" t="e">
        <f t="shared" si="939"/>
        <v>#N/A</v>
      </c>
      <c r="L384" s="712">
        <f>Sheet1!AA384+Sheet1!AB384-Sheet1!L384+(Sheet1!CW384-F384)*CFStoMGD</f>
        <v>-161.6</v>
      </c>
      <c r="M384" s="712" t="e">
        <f t="shared" si="940"/>
        <v>#N/A</v>
      </c>
      <c r="N384" s="712">
        <f>IF(Sheet1!CW384&gt;=F384,MIN(73,MIN(MAX(L384,0),MAX(M384,0))),0)</f>
        <v>0</v>
      </c>
      <c r="O384" s="721">
        <f>Sheet1!AA384+Sheet1!AB384</f>
        <v>0</v>
      </c>
      <c r="P384" s="721">
        <f t="shared" si="941"/>
        <v>0</v>
      </c>
      <c r="Q384" s="712">
        <f>MIN(N384,Sheet1!AA384+AG384)</f>
        <v>0</v>
      </c>
      <c r="R384" s="712" t="e">
        <f t="shared" si="942"/>
        <v>#N/A</v>
      </c>
      <c r="S384" s="721">
        <f>Sheet1!Y384*MGDtoCFS</f>
        <v>0</v>
      </c>
      <c r="T384" s="721">
        <f>Sheet1!Z384*MGDtoCFS</f>
        <v>0</v>
      </c>
      <c r="U384" s="721">
        <f>Sheet1!AA384*MGDtoCFS</f>
        <v>0</v>
      </c>
      <c r="V384" s="721">
        <f>Sheet1!AB384*MGDtoCFS</f>
        <v>0</v>
      </c>
      <c r="W384" s="721">
        <f>Sheet1!L384*MGDtoCFS</f>
        <v>0</v>
      </c>
      <c r="X384" s="697" t="e">
        <f t="shared" si="943"/>
        <v>#N/A</v>
      </c>
      <c r="Y384" s="712" t="e">
        <f t="shared" si="944"/>
        <v>#N/A</v>
      </c>
      <c r="Z384" s="712">
        <f t="shared" si="945"/>
        <v>0</v>
      </c>
      <c r="AA384" s="712">
        <f t="shared" si="946"/>
        <v>0</v>
      </c>
      <c r="AB384" s="712" t="e">
        <f>(VLOOKUP(Sheet1!CY384,hhdcap_wcm,4)-(((VLOOKUP(Sheet1!CY384,hhdcap_wcm,3)-Sheet1!CY384)/(VLOOKUP(Sheet1!CY384,hhdcap_wcm,3)-VLOOKUP(Sheet1!CY384,hhdcap_wcm,1)))*(VLOOKUP(Sheet1!CY384,hhdcap_wcm,4)-VLOOKUP(Sheet1!CY384,hhdcap_wcm,2))))</f>
        <v>#N/A</v>
      </c>
      <c r="AC384" s="712" t="e">
        <f t="shared" si="947"/>
        <v>#N/A</v>
      </c>
      <c r="AD384" s="712">
        <f t="shared" si="948"/>
        <v>0</v>
      </c>
      <c r="AE384" s="712">
        <f t="shared" si="949"/>
        <v>0</v>
      </c>
      <c r="AF384" s="712">
        <f>Sheet1!BA384+Sheet1!BB384+Sheet1!BN384+BT384</f>
        <v>0</v>
      </c>
      <c r="AG384" s="712">
        <f t="shared" si="950"/>
        <v>0</v>
      </c>
      <c r="AH384" s="712">
        <f>Sheet1!BA384+BT384</f>
        <v>0</v>
      </c>
      <c r="AI384" s="712">
        <f>Sheet1!BA384+Sheet1!BB384+BT384</f>
        <v>0</v>
      </c>
      <c r="AJ384" s="712">
        <f>IF((Sheet1!AA384+AG384+AX384+AZ384+BQ384+BS384+CL384+CN384)&lt;=N384,AG384+AX384+AZ384+BQ384+BS384+CL384+CN384,N384-Sheet1!AA384)</f>
        <v>0</v>
      </c>
      <c r="AK384" s="712" t="e">
        <f>IF(DR384&lt;K384,0,MAX(Sheet1!AA384+AG384-15/36*K384-N384,Sheet1!ED384,0))</f>
        <v>#N/A</v>
      </c>
      <c r="AL384" s="712">
        <f>IF(OR(B384&gt;=FT384,B384&lt;FS384),0,15/36*K384-MAX(0,64.6-(137.6-(Sheet1!AA384+Sheet1!AB384))))</f>
        <v>0</v>
      </c>
      <c r="AM384" s="712">
        <f>Sheet1!CX384-110</f>
        <v>-110</v>
      </c>
      <c r="AN384" s="712">
        <f>Sheet1!CW384-265</f>
        <v>-265</v>
      </c>
      <c r="AO384" s="712">
        <f t="shared" si="934"/>
        <v>0</v>
      </c>
      <c r="AP384" s="712">
        <f t="shared" si="951"/>
        <v>155</v>
      </c>
      <c r="AQ384" s="712">
        <f t="shared" si="952"/>
        <v>100.19392372333549</v>
      </c>
      <c r="AR384" s="712">
        <f t="shared" si="953"/>
        <v>0</v>
      </c>
      <c r="AS384" s="712"/>
      <c r="AT384" s="712">
        <f ca="1">IF(B384&gt;Summary!$A$1,#N/A,AR384*MGtoAF)</f>
        <v>0</v>
      </c>
      <c r="AU384" s="712">
        <f>Sheet1!BG384+Sheet1!BH384+Sheet1!BI384-BC384</f>
        <v>0</v>
      </c>
      <c r="AV384" s="712">
        <f t="shared" si="954"/>
        <v>0</v>
      </c>
      <c r="AW384" s="712">
        <f>IF(Sheet1!EL384="FM",BC384,0)</f>
        <v>0</v>
      </c>
      <c r="AX384" s="712">
        <f t="shared" si="955"/>
        <v>0</v>
      </c>
      <c r="AY384" s="712">
        <f>IF(Sheet1!EL384="OTHER",BC384,0)</f>
        <v>0</v>
      </c>
      <c r="AZ384" s="712">
        <f t="shared" si="956"/>
        <v>0</v>
      </c>
      <c r="BA384" s="712">
        <f t="shared" si="957"/>
        <v>0</v>
      </c>
      <c r="BB384" s="712">
        <f t="shared" si="958"/>
        <v>0</v>
      </c>
      <c r="BC384" s="712">
        <f>IF(OR(Sheet1!EL384="FM", Sheet1!EL384="OTHER"),SUM(Sheet1!BG384:'Sheet1'!BI384),0)</f>
        <v>0</v>
      </c>
      <c r="BD384" s="697" t="e">
        <f>IF(AND($B384&gt;=$FL384,$B384&lt;=$FM384),MAX(AV384,Sheet1!EE384,0),MAX(AV384-(7/36)*$K384,0))</f>
        <v>#N/A</v>
      </c>
      <c r="BE384" s="712">
        <f t="shared" si="959"/>
        <v>0</v>
      </c>
      <c r="BF384" s="697" t="e">
        <f t="shared" si="960"/>
        <v>#N/A</v>
      </c>
      <c r="BG384" s="697">
        <f>IF(AND($O384&gt;0,Sheet1!EI384=1),(1-($O384-Sheet1!$L384)/$O384)*BB384,0)</f>
        <v>0</v>
      </c>
      <c r="BH384" s="697">
        <f>IF(AND(Sheet1!$L384=0,Sheet1!$L383=0, Calculation!BA384&lt;Sheet1!$EE384-0.1,Sheet1!$EE384=Sheet1!$EE383,Sheet1!$EE384=Sheet1!$EE385),Sheet1!$EE384,BB384-BG384)</f>
        <v>0</v>
      </c>
      <c r="BI384" s="712"/>
      <c r="BJ384" s="712"/>
      <c r="BK384" s="712">
        <f t="shared" si="961"/>
        <v>0</v>
      </c>
      <c r="BL384" s="712"/>
      <c r="BM384" s="712">
        <f ca="1">IF(B384&gt;Summary!$A$1,#N/A,BK384*MGtoAF)</f>
        <v>0</v>
      </c>
      <c r="BN384" s="712">
        <f>Sheet1!BC384+Sheet1!BD384+Sheet1!BE384+Sheet1!BF384-BW384-BX384</f>
        <v>0</v>
      </c>
      <c r="BO384" s="712">
        <f t="shared" si="962"/>
        <v>0</v>
      </c>
      <c r="BP384" s="712">
        <f>IF(Sheet1!EM384="FM",BX384,0)</f>
        <v>0</v>
      </c>
      <c r="BQ384" s="712">
        <f t="shared" si="963"/>
        <v>0</v>
      </c>
      <c r="BR384" s="712">
        <f>IF(Sheet1!EM384="OTHER",BX384,0)</f>
        <v>0</v>
      </c>
      <c r="BS384" s="712">
        <f t="shared" si="964"/>
        <v>0</v>
      </c>
      <c r="BT384" s="712">
        <f t="shared" si="965"/>
        <v>0</v>
      </c>
      <c r="BU384" s="712">
        <f t="shared" si="966"/>
        <v>0</v>
      </c>
      <c r="BV384" s="712">
        <f t="shared" si="967"/>
        <v>0</v>
      </c>
      <c r="BW384" s="712">
        <f>IF(Sheet1!EM384="CWA",SUM(Sheet1!BC384:'Sheet1'!BF384),0)</f>
        <v>0</v>
      </c>
      <c r="BX384" s="712">
        <f>IF(OR(Sheet1!EM384="FM", Sheet1!EM384="OTHER"),SUM(Sheet1!BC384:'Sheet1'!BF384),0)</f>
        <v>0</v>
      </c>
      <c r="BY384" s="697" t="e">
        <f>IF(AND($B384&gt;=$FL384,$B384&lt;=$FM384),MAX(BV384,Sheet1!EF384,0),MAX(BV384-(7/36)*$K384,0))</f>
        <v>#N/A</v>
      </c>
      <c r="BZ384" s="712">
        <f t="shared" si="968"/>
        <v>0</v>
      </c>
      <c r="CA384" s="697" t="e">
        <f t="shared" si="969"/>
        <v>#N/A</v>
      </c>
      <c r="CB384" s="697">
        <f>IF(AND($O384&gt;0,Sheet1!EJ384=1),(1-($O384-Sheet1!$L384)/$O384)*BV384,0)</f>
        <v>0</v>
      </c>
      <c r="CC384" s="697">
        <f>IF(AND(Sheet1!$L384=0,Sheet1!$L383=0, Calculation!BU384&lt;Sheet1!EF384-0.1,Sheet1!EF384=Sheet1!EF383,Sheet1!EF384=Sheet1!EF385),Sheet1!EF384,BV384-CB384)</f>
        <v>2</v>
      </c>
      <c r="CD384" s="697"/>
      <c r="CE384" s="712"/>
      <c r="CF384" s="712">
        <f t="shared" si="970"/>
        <v>0</v>
      </c>
      <c r="CG384" s="712"/>
      <c r="CH384" s="712">
        <f ca="1">IF(B384&gt;Summary!$A$1,#N/A,CF384*MGtoAF)</f>
        <v>0</v>
      </c>
      <c r="CI384" s="712">
        <f>Sheet1!BK384+Sheet1!BL384+Sheet1!BM384-Sheet1!EN384-CQ384</f>
        <v>0</v>
      </c>
      <c r="CJ384" s="712">
        <f t="shared" si="971"/>
        <v>0</v>
      </c>
      <c r="CK384" s="712">
        <f>IF(Sheet1!EN384="FM",CQ384,0)</f>
        <v>0</v>
      </c>
      <c r="CL384" s="712">
        <f t="shared" si="972"/>
        <v>0</v>
      </c>
      <c r="CM384" s="712">
        <f>IF(Sheet1!EN384="OTHER",CQ384,0)</f>
        <v>0</v>
      </c>
      <c r="CN384" s="712">
        <f t="shared" si="973"/>
        <v>0</v>
      </c>
      <c r="CO384" s="712">
        <f t="shared" si="974"/>
        <v>0</v>
      </c>
      <c r="CP384" s="712">
        <f t="shared" si="975"/>
        <v>0</v>
      </c>
      <c r="CQ384" s="712">
        <f>IF(OR(Sheet1!EN384="FM", Sheet1!EN384="OTHER"),SUM(Sheet1!BK384:'Sheet1'!BM384),0)</f>
        <v>0</v>
      </c>
      <c r="CR384" s="697" t="e">
        <f>IF(AND($B384&gt;=$FL384,$B384&lt;=$FM384),MAX($CJ384,Sheet1!EG384,0),MAX($CJ384-(7/36)*$K384,0))</f>
        <v>#N/A</v>
      </c>
      <c r="CS384" s="712">
        <f t="shared" si="976"/>
        <v>0</v>
      </c>
      <c r="CT384" s="697" t="e">
        <f t="shared" si="977"/>
        <v>#N/A</v>
      </c>
      <c r="CU384" s="697">
        <f>IF(AND($O384&gt;0,Sheet1!EK384=1),(1-($O384-Sheet1!$L384)/$O384)*CP384,0)</f>
        <v>0</v>
      </c>
      <c r="CV384" s="697">
        <f>IF(AND(Sheet1!$L384=0,Sheet1!$L383=0, Calculation!CO384&lt;Sheet1!$EG384-0.1,Sheet1!$EG384=Sheet1!$EG383,Sheet1!$EG384=Sheet1!$EG385),Sheet1!$EG384,CP384-CU384)</f>
        <v>6.5</v>
      </c>
      <c r="CW384" s="697"/>
      <c r="CX384" s="712">
        <f t="shared" si="978"/>
        <v>0</v>
      </c>
      <c r="CY384" s="712">
        <f t="shared" si="979"/>
        <v>0</v>
      </c>
      <c r="CZ384" s="712">
        <f t="shared" si="980"/>
        <v>0</v>
      </c>
      <c r="DA384" s="712">
        <f ca="1">IF(B384&gt;Summary!$A$1,#N/A,CY384*MGtoAF)</f>
        <v>0</v>
      </c>
      <c r="DB384" s="712">
        <f t="shared" si="981"/>
        <v>0</v>
      </c>
      <c r="DC384" s="712">
        <f t="shared" si="982"/>
        <v>0</v>
      </c>
      <c r="DD384" s="712">
        <f>Sheet1!AB384-DC384</f>
        <v>0</v>
      </c>
      <c r="DE384" s="712">
        <f t="shared" si="983"/>
        <v>0</v>
      </c>
      <c r="DF384" s="712" t="e">
        <f>(VLOOKUP(Sheet1!CY384,hhdcap_wcm,4)-(((VLOOKUP(Sheet1!CY384,hhdcap_wcm,3)-Sheet1!CY384)/(VLOOKUP(Sheet1!CY384,hhdcap_wcm,3)-VLOOKUP(Sheet1!CY384,hhdcap_wcm,1)))*(VLOOKUP(Sheet1!CY384,hhdcap_wcm,4)-VLOOKUP(Sheet1!CY384,hhdcap_wcm,2))))</f>
        <v>#N/A</v>
      </c>
      <c r="DG384" s="712" t="e">
        <f t="shared" si="984"/>
        <v>#N/A</v>
      </c>
      <c r="DH384" s="712" t="e">
        <f t="shared" si="985"/>
        <v>#N/A</v>
      </c>
      <c r="DI384" s="712">
        <f>Sheet1!DW384*AFtoMG</f>
        <v>0</v>
      </c>
      <c r="DJ384" s="712">
        <f>Sheet1!DX384*AFtoMG</f>
        <v>0</v>
      </c>
      <c r="DK384" s="712">
        <f>Sheet1!DY384*AFtoMG</f>
        <v>0</v>
      </c>
      <c r="DL384" s="712">
        <f>Sheet1!DZ384*AFtoMG</f>
        <v>0</v>
      </c>
      <c r="DM384" s="712">
        <f t="shared" si="986"/>
        <v>0</v>
      </c>
      <c r="DN384" s="712">
        <f t="shared" si="987"/>
        <v>0</v>
      </c>
      <c r="DO384" s="712">
        <f t="shared" si="988"/>
        <v>0</v>
      </c>
      <c r="DP384" s="712">
        <f t="shared" si="989"/>
        <v>0</v>
      </c>
      <c r="DQ384" s="712"/>
      <c r="DR384" s="697" t="e">
        <f>IF(OR(B384&lt;FL384,B384&gt;FM384),(MIN(AV384+BO384+CJ384+MAX(Sheet1!AA384+AG384-73,0),K384)),0)</f>
        <v>#N/A</v>
      </c>
      <c r="DS384" s="712"/>
      <c r="DT384" s="712">
        <f t="shared" si="990"/>
        <v>0</v>
      </c>
      <c r="DU384" s="712"/>
      <c r="DV384" s="712">
        <f>Sheet1!ED384+Sheet1!EE384+Sheet1!EF384+Sheet1!EG384</f>
        <v>8.5</v>
      </c>
      <c r="DW384" s="712"/>
      <c r="DX384" s="697" t="e">
        <f t="shared" si="991"/>
        <v>#N/A</v>
      </c>
      <c r="DY384" s="712">
        <f>IF(Sheet1!FN384=1,SUM('Calculations II'!AT384:BA384)+'Calculations II'!BC384+Sheet1!BU384+'Calculations II'!BE384+AF384,SUM('Calculations II'!AT384:BA384)+'Calculations II'!BC384+Sheet1!BU384+'Calculations II'!BE384+AF384)</f>
        <v>0</v>
      </c>
      <c r="DZ384" s="712">
        <f>Sheet1!AA384+Sheet1!AB384+'Calculations II'!BC384</f>
        <v>0</v>
      </c>
      <c r="EA384" s="712"/>
      <c r="EB384" s="712"/>
      <c r="EC384" s="712">
        <f t="shared" si="992"/>
        <v>40913</v>
      </c>
      <c r="ED384" s="712" t="e">
        <f t="shared" si="993"/>
        <v>#N/A</v>
      </c>
      <c r="EE384" s="712" t="e">
        <f t="shared" si="994"/>
        <v>#N/A</v>
      </c>
      <c r="EF384" s="712">
        <f>-(VLOOKUP(Sheet1!BQ384,Lookup!$B$4:$J$236,2)-VLOOKUP(Sheet1!BQ383,Lookup!$B$4:$J$236,2))/1000000</f>
        <v>0</v>
      </c>
      <c r="EG384" s="712">
        <f>-(VLOOKUP(Sheet1!BR384,Lookup!$B$4:$J$236,3)-VLOOKUP(Sheet1!BR383,Lookup!$B$4:$J$236,3))/1000000</f>
        <v>0</v>
      </c>
      <c r="EH384" s="712">
        <f>-(VLOOKUP(Sheet1!BS384,Lookup!$B$4:$J$236,4)-VLOOKUP(Sheet1!BS383,Lookup!$B$4:$J$236,4))/1000000</f>
        <v>0</v>
      </c>
      <c r="EI384" s="697">
        <f t="shared" si="1018"/>
        <v>0</v>
      </c>
      <c r="EJ384" s="712"/>
      <c r="EK384" s="712"/>
      <c r="EL384" s="712"/>
      <c r="EM384" s="712"/>
      <c r="EN384" s="712"/>
      <c r="EO384" s="712"/>
      <c r="EP384" s="712"/>
      <c r="EQ384" s="712"/>
      <c r="ER384" s="712"/>
      <c r="ES384" s="712"/>
      <c r="ET384" s="794" t="e">
        <f t="shared" si="1015"/>
        <v>#N/A</v>
      </c>
      <c r="EU384" s="794" t="e">
        <f t="shared" si="924"/>
        <v>#N/A</v>
      </c>
      <c r="EV384" s="795" t="e">
        <f t="shared" si="925"/>
        <v>#N/A</v>
      </c>
      <c r="EW384" s="796" t="s">
        <v>758</v>
      </c>
      <c r="EX384" s="796" t="s">
        <v>758</v>
      </c>
      <c r="EY384" s="794" t="e">
        <v>#N/A</v>
      </c>
      <c r="EZ384" s="794" t="e">
        <v>#N/A</v>
      </c>
      <c r="FA384" s="712"/>
      <c r="FB384" s="712"/>
      <c r="FC384" s="712"/>
      <c r="FD384" s="712"/>
      <c r="FE384" s="712">
        <f>O384+Sheet1!CO384</f>
        <v>0</v>
      </c>
      <c r="FF384" s="712">
        <f>IF(Sheet1!AA384+AG384&lt;=Calculation!N384,AG384,Calculation!N384-Sheet1!AA384)</f>
        <v>0</v>
      </c>
      <c r="FG384" s="712">
        <f>(Sheet1!BP384+Sheet1!BO384)/694.4</f>
        <v>0</v>
      </c>
      <c r="FH384" s="712"/>
      <c r="FI384" s="712"/>
      <c r="FJ384" s="712"/>
      <c r="FK384" s="712"/>
      <c r="FL384" s="714">
        <f t="shared" si="929"/>
        <v>40753</v>
      </c>
      <c r="FM384" s="714">
        <f t="shared" si="930"/>
        <v>40851</v>
      </c>
      <c r="FN384" s="712"/>
      <c r="FO384" s="712"/>
      <c r="FP384" s="712"/>
      <c r="FQ384" s="712"/>
      <c r="FR384" s="712"/>
      <c r="FS384" s="725">
        <f t="shared" si="1017"/>
        <v>40603</v>
      </c>
      <c r="FT384" s="714">
        <f t="shared" si="932"/>
        <v>40709</v>
      </c>
      <c r="FU384" s="712">
        <f t="shared" si="1017"/>
        <v>6518.9048239895692</v>
      </c>
      <c r="FV384" s="714">
        <f t="shared" si="933"/>
        <v>40722</v>
      </c>
      <c r="FW384" s="712">
        <f t="shared" si="1017"/>
        <v>3259.4524119947846</v>
      </c>
      <c r="FX384" s="725">
        <f t="shared" si="1017"/>
        <v>40851</v>
      </c>
      <c r="FZ384" s="697">
        <f t="shared" si="926"/>
        <v>0</v>
      </c>
      <c r="GA384" s="712" t="str">
        <f t="shared" si="995"/>
        <v/>
      </c>
      <c r="GB384" s="712">
        <f t="shared" si="996"/>
        <v>0</v>
      </c>
      <c r="GC384" s="712" t="str">
        <f t="shared" si="997"/>
        <v/>
      </c>
      <c r="GD384" s="712">
        <f>IF(GA384="P",Lookup!$M$12,IF(GA384="PP",Lookup!$M$13,IF(GA384="PPP",Lookup!$M$14,IF(GA384="T",Lookup!$M$15,IF(GA384="TP",Lookup!$M$16,IF(GA384="TPP",Lookup!$M$17,IF(GA384="TPPP",Lookup!$M$18,0)))))))*FZ384</f>
        <v>0</v>
      </c>
      <c r="GE384" s="712">
        <f t="shared" si="998"/>
        <v>0</v>
      </c>
      <c r="GF384" s="712">
        <f t="shared" si="999"/>
        <v>0</v>
      </c>
      <c r="GG384" s="712">
        <f t="shared" si="1000"/>
        <v>0</v>
      </c>
      <c r="GH384" s="712"/>
      <c r="GI384" s="712">
        <f t="shared" si="1001"/>
        <v>0</v>
      </c>
      <c r="GJ384" s="712" t="str">
        <f t="shared" si="1002"/>
        <v/>
      </c>
      <c r="GK384" s="712">
        <f>IF(GA384="P",Lookup!$N$12,IF(GA384="PP",Lookup!$N$13,IF(GA384="PPP",Lookup!$N$14,IF(GA384="T",Lookup!$N$15,IF(GA384="TP",Lookup!$N$16,IF(GA384="TPP",Lookup!$N$17,IF(GA384="TPPP",Lookup!$N$18,0)))))))*FZ384</f>
        <v>0</v>
      </c>
      <c r="GL384" s="712">
        <f t="shared" si="1003"/>
        <v>0</v>
      </c>
      <c r="GM384" s="712">
        <f t="shared" si="1004"/>
        <v>0</v>
      </c>
      <c r="GN384" s="712">
        <f t="shared" si="1005"/>
        <v>0</v>
      </c>
      <c r="GO384" s="712"/>
      <c r="GP384" s="712">
        <f t="shared" si="1006"/>
        <v>0</v>
      </c>
      <c r="GQ384" s="712" t="str">
        <f t="shared" si="1007"/>
        <v/>
      </c>
      <c r="GR384" s="712">
        <f>IF(GA384="P",Lookup!$N$12,IF(GA384="PP",Lookup!$N$13,IF(GA384="PPP",Lookup!$N$14,IF(GA384="T",Lookup!$N$15,IF(GA384="TP",Lookup!$N$16,IF(GA384="TPP",Lookup!$N$17,IF(GA384="TPPP",Lookup!$N$18,0)))))))*FZ384</f>
        <v>0</v>
      </c>
      <c r="GS384" s="697">
        <f t="shared" si="927"/>
        <v>0</v>
      </c>
      <c r="GT384" s="712">
        <f t="shared" si="1008"/>
        <v>0</v>
      </c>
      <c r="GU384" s="712">
        <f t="shared" si="1009"/>
        <v>0</v>
      </c>
      <c r="GV384" s="712"/>
      <c r="GW384" s="712">
        <f t="shared" si="1010"/>
        <v>0</v>
      </c>
      <c r="GX384" s="712" t="str">
        <f t="shared" si="1011"/>
        <v/>
      </c>
      <c r="GY384" s="712">
        <f>IF(GA384="P",Lookup!$N$12,IF(GA384="PP",Lookup!$N$13,IF(GA384="PPP",Lookup!$N$14,IF(GA384="T",Lookup!$N$15,IF(GA384="TP",Lookup!$N$16,IF(GA384="TPP",Lookup!$N$17,IF(GA384="TPPP",Lookup!$N$18,0)))))))*FZ384</f>
        <v>0</v>
      </c>
      <c r="GZ384" s="697">
        <f t="shared" si="928"/>
        <v>0</v>
      </c>
      <c r="HA384" s="712">
        <f t="shared" si="1012"/>
        <v>0</v>
      </c>
      <c r="HB384" s="712">
        <f t="shared" si="1013"/>
        <v>0</v>
      </c>
      <c r="HC384" s="712"/>
    </row>
    <row r="385" spans="1:211">
      <c r="A385" s="773" t="s">
        <v>8</v>
      </c>
      <c r="B385" s="708">
        <v>40914</v>
      </c>
      <c r="C385" s="719">
        <v>0.5</v>
      </c>
      <c r="D385" s="675">
        <f t="shared" si="936"/>
        <v>300</v>
      </c>
      <c r="E385" s="675">
        <f t="shared" si="937"/>
        <v>250</v>
      </c>
      <c r="F385" s="675">
        <v>250</v>
      </c>
      <c r="G385" s="712" t="e">
        <f>DH385+Sheet1!CV385</f>
        <v>#N/A</v>
      </c>
      <c r="H385" s="712" t="e">
        <f t="shared" si="938"/>
        <v>#N/A</v>
      </c>
      <c r="I385" s="711">
        <f>MAX(Sheet1!Z385-AJ385+(Sheet1!CW385-E385)*CFStoMGD,0)</f>
        <v>0</v>
      </c>
      <c r="J385" s="720">
        <f>IF(AND(B385&gt;=Calculation!FS385,B385&lt;=Calculation!FT385),IF(Sheet1!CX385&gt;=Calculation!D385,64.64,0),MAX(Sheet1!Z385-AJ385+(Sheet1!CX385-D385)*CFStoMGD,0))</f>
        <v>0</v>
      </c>
      <c r="K385" s="697" t="e">
        <f t="shared" si="939"/>
        <v>#N/A</v>
      </c>
      <c r="L385" s="712">
        <f>Sheet1!AA385+Sheet1!AB385-Sheet1!L385+(Sheet1!CW385-F385)*CFStoMGD</f>
        <v>-161.6</v>
      </c>
      <c r="M385" s="712" t="e">
        <f t="shared" si="940"/>
        <v>#N/A</v>
      </c>
      <c r="N385" s="712">
        <f>IF(Sheet1!CW385&gt;=F385,MIN(73,MIN(MAX(L385,0),MAX(M385,0))),0)</f>
        <v>0</v>
      </c>
      <c r="O385" s="721">
        <f>Sheet1!AA385+Sheet1!AB385</f>
        <v>0</v>
      </c>
      <c r="P385" s="721">
        <f t="shared" si="941"/>
        <v>0</v>
      </c>
      <c r="Q385" s="712">
        <f>MIN(N385,Sheet1!AA385+AG385)</f>
        <v>0</v>
      </c>
      <c r="R385" s="712" t="e">
        <f t="shared" si="942"/>
        <v>#N/A</v>
      </c>
      <c r="S385" s="721">
        <f>Sheet1!Y385*MGDtoCFS</f>
        <v>0</v>
      </c>
      <c r="T385" s="721">
        <f>Sheet1!Z385*MGDtoCFS</f>
        <v>0</v>
      </c>
      <c r="U385" s="721">
        <f>Sheet1!AA385*MGDtoCFS</f>
        <v>0</v>
      </c>
      <c r="V385" s="721">
        <f>Sheet1!AB385*MGDtoCFS</f>
        <v>0</v>
      </c>
      <c r="W385" s="721">
        <f>Sheet1!L385*MGDtoCFS</f>
        <v>0</v>
      </c>
      <c r="X385" s="697" t="e">
        <f t="shared" si="943"/>
        <v>#N/A</v>
      </c>
      <c r="Y385" s="712" t="e">
        <f t="shared" si="944"/>
        <v>#N/A</v>
      </c>
      <c r="Z385" s="712">
        <f t="shared" si="945"/>
        <v>0</v>
      </c>
      <c r="AA385" s="712">
        <f t="shared" si="946"/>
        <v>0</v>
      </c>
      <c r="AB385" s="712" t="e">
        <f>(VLOOKUP(Sheet1!CY385,hhdcap_wcm,4)-(((VLOOKUP(Sheet1!CY385,hhdcap_wcm,3)-Sheet1!CY385)/(VLOOKUP(Sheet1!CY385,hhdcap_wcm,3)-VLOOKUP(Sheet1!CY385,hhdcap_wcm,1)))*(VLOOKUP(Sheet1!CY385,hhdcap_wcm,4)-VLOOKUP(Sheet1!CY385,hhdcap_wcm,2))))</f>
        <v>#N/A</v>
      </c>
      <c r="AC385" s="712" t="e">
        <f t="shared" si="947"/>
        <v>#N/A</v>
      </c>
      <c r="AD385" s="712">
        <f t="shared" si="948"/>
        <v>0</v>
      </c>
      <c r="AE385" s="712">
        <f t="shared" si="949"/>
        <v>0</v>
      </c>
      <c r="AF385" s="712">
        <f>Sheet1!BA385+Sheet1!BB385+Sheet1!BN385+BT385</f>
        <v>0</v>
      </c>
      <c r="AG385" s="712">
        <f t="shared" si="950"/>
        <v>0</v>
      </c>
      <c r="AH385" s="712">
        <f>Sheet1!BA385+BT385</f>
        <v>0</v>
      </c>
      <c r="AI385" s="712">
        <f>Sheet1!BA385+Sheet1!BB385+BT385</f>
        <v>0</v>
      </c>
      <c r="AJ385" s="712">
        <f>IF((Sheet1!AA385+AG385+AX385+AZ385+BQ385+BS385+CL385+CN385)&lt;=N385,AG385+AX385+AZ385+BQ385+BS385+CL385+CN385,N385-Sheet1!AA385)</f>
        <v>0</v>
      </c>
      <c r="AK385" s="712" t="e">
        <f>IF(DR385&lt;K385,0,MAX(Sheet1!AA385+AG385-15/36*K385-N385,Sheet1!ED385,0))</f>
        <v>#N/A</v>
      </c>
      <c r="AL385" s="712">
        <f>IF(OR(B385&gt;=FT385,B385&lt;FS385),0,15/36*K385-MAX(0,64.6-(137.6-(Sheet1!AA385+Sheet1!AB385))))</f>
        <v>0</v>
      </c>
      <c r="AM385" s="712">
        <f>Sheet1!CX385-110</f>
        <v>-110</v>
      </c>
      <c r="AN385" s="712">
        <f>Sheet1!CW385-265</f>
        <v>-265</v>
      </c>
      <c r="AO385" s="712">
        <f t="shared" si="934"/>
        <v>0</v>
      </c>
      <c r="AP385" s="712">
        <f t="shared" si="951"/>
        <v>155</v>
      </c>
      <c r="AQ385" s="712">
        <f t="shared" si="952"/>
        <v>100.19392372333549</v>
      </c>
      <c r="AR385" s="712">
        <f t="shared" si="953"/>
        <v>0</v>
      </c>
      <c r="AS385" s="712"/>
      <c r="AT385" s="712">
        <f ca="1">IF(B385&gt;Summary!$A$1,#N/A,AR385*MGtoAF)</f>
        <v>0</v>
      </c>
      <c r="AU385" s="712">
        <f>Sheet1!BG385+Sheet1!BH385+Sheet1!BI385-BC385</f>
        <v>0</v>
      </c>
      <c r="AV385" s="712">
        <f t="shared" si="954"/>
        <v>0</v>
      </c>
      <c r="AW385" s="712">
        <f>IF(Sheet1!EL385="FM",BC385,0)</f>
        <v>0</v>
      </c>
      <c r="AX385" s="712">
        <f t="shared" si="955"/>
        <v>0</v>
      </c>
      <c r="AY385" s="712">
        <f>IF(Sheet1!EL385="OTHER",BC385,0)</f>
        <v>0</v>
      </c>
      <c r="AZ385" s="712">
        <f t="shared" si="956"/>
        <v>0</v>
      </c>
      <c r="BA385" s="712">
        <f t="shared" si="957"/>
        <v>0</v>
      </c>
      <c r="BB385" s="712">
        <f t="shared" si="958"/>
        <v>0</v>
      </c>
      <c r="BC385" s="712">
        <f>IF(OR(Sheet1!EL385="FM", Sheet1!EL385="OTHER"),SUM(Sheet1!BG385:'Sheet1'!BI385),0)</f>
        <v>0</v>
      </c>
      <c r="BD385" s="697" t="e">
        <f>IF(AND($B385&gt;=$FL385,$B385&lt;=$FM385),MAX(AV385,Sheet1!EE385,0),MAX(AV385-(7/36)*$K385,0))</f>
        <v>#N/A</v>
      </c>
      <c r="BE385" s="712">
        <f t="shared" si="959"/>
        <v>0</v>
      </c>
      <c r="BF385" s="697" t="e">
        <f t="shared" si="960"/>
        <v>#N/A</v>
      </c>
      <c r="BG385" s="697">
        <f>IF(AND($O385&gt;0,Sheet1!EI385=1),(1-($O385-Sheet1!$L385)/$O385)*BB385,0)</f>
        <v>0</v>
      </c>
      <c r="BH385" s="697">
        <f>IF(AND(Sheet1!$L385=0,Sheet1!$L384=0, Calculation!BA385&lt;Sheet1!$EE385-0.1,Sheet1!$EE385=Sheet1!$EE384,Sheet1!$EE385=Sheet1!$EE386),Sheet1!$EE385,BB385-BG385)</f>
        <v>0</v>
      </c>
      <c r="BI385" s="712"/>
      <c r="BJ385" s="712"/>
      <c r="BK385" s="712">
        <f t="shared" si="961"/>
        <v>0</v>
      </c>
      <c r="BL385" s="712"/>
      <c r="BM385" s="712">
        <f ca="1">IF(B385&gt;Summary!$A$1,#N/A,BK385*MGtoAF)</f>
        <v>0</v>
      </c>
      <c r="BN385" s="712">
        <f>Sheet1!BC385+Sheet1!BD385+Sheet1!BE385+Sheet1!BF385-BW385-BX385</f>
        <v>0</v>
      </c>
      <c r="BO385" s="712">
        <f t="shared" si="962"/>
        <v>0</v>
      </c>
      <c r="BP385" s="712">
        <f>IF(Sheet1!EM385="FM",BX385,0)</f>
        <v>0</v>
      </c>
      <c r="BQ385" s="712">
        <f t="shared" si="963"/>
        <v>0</v>
      </c>
      <c r="BR385" s="712">
        <f>IF(Sheet1!EM385="OTHER",BX385,0)</f>
        <v>0</v>
      </c>
      <c r="BS385" s="712">
        <f t="shared" si="964"/>
        <v>0</v>
      </c>
      <c r="BT385" s="712">
        <f t="shared" si="965"/>
        <v>0</v>
      </c>
      <c r="BU385" s="712">
        <f t="shared" si="966"/>
        <v>0</v>
      </c>
      <c r="BV385" s="712">
        <f t="shared" si="967"/>
        <v>0</v>
      </c>
      <c r="BW385" s="712">
        <f>IF(Sheet1!EM385="CWA",SUM(Sheet1!BC385:'Sheet1'!BF385),0)</f>
        <v>0</v>
      </c>
      <c r="BX385" s="712">
        <f>IF(OR(Sheet1!EM385="FM", Sheet1!EM385="OTHER"),SUM(Sheet1!BC385:'Sheet1'!BF385),0)</f>
        <v>0</v>
      </c>
      <c r="BY385" s="697" t="e">
        <f>IF(AND($B385&gt;=$FL385,$B385&lt;=$FM385),MAX(BV385,Sheet1!EF385,0),MAX(BV385-(7/36)*$K385,0))</f>
        <v>#N/A</v>
      </c>
      <c r="BZ385" s="712">
        <f t="shared" si="968"/>
        <v>0</v>
      </c>
      <c r="CA385" s="697" t="e">
        <f t="shared" si="969"/>
        <v>#N/A</v>
      </c>
      <c r="CB385" s="697">
        <f>IF(AND($O385&gt;0,Sheet1!EJ385=1),(1-($O385-Sheet1!$L385)/$O385)*BV385,0)</f>
        <v>0</v>
      </c>
      <c r="CC385" s="697">
        <f>IF(AND(Sheet1!$L385=0,Sheet1!$L384=0, Calculation!BU385&lt;Sheet1!EF385-0.1,Sheet1!EF385=Sheet1!EF384,Sheet1!EF385=Sheet1!EF386),Sheet1!EF385,BV385-CB385)</f>
        <v>0</v>
      </c>
      <c r="CD385" s="697"/>
      <c r="CE385" s="712"/>
      <c r="CF385" s="712">
        <f t="shared" si="970"/>
        <v>0</v>
      </c>
      <c r="CG385" s="712"/>
      <c r="CH385" s="712">
        <f ca="1">IF(B385&gt;Summary!$A$1,#N/A,CF385*MGtoAF)</f>
        <v>0</v>
      </c>
      <c r="CI385" s="712">
        <f>Sheet1!BK385+Sheet1!BL385+Sheet1!BM385-Sheet1!EN385-CQ385</f>
        <v>0</v>
      </c>
      <c r="CJ385" s="712">
        <f t="shared" si="971"/>
        <v>0</v>
      </c>
      <c r="CK385" s="712">
        <f>IF(Sheet1!EN385="FM",CQ385,0)</f>
        <v>0</v>
      </c>
      <c r="CL385" s="712">
        <f t="shared" si="972"/>
        <v>0</v>
      </c>
      <c r="CM385" s="712">
        <f>IF(Sheet1!EN385="OTHER",CQ385,0)</f>
        <v>0</v>
      </c>
      <c r="CN385" s="712">
        <f t="shared" si="973"/>
        <v>0</v>
      </c>
      <c r="CO385" s="712">
        <f t="shared" si="974"/>
        <v>0</v>
      </c>
      <c r="CP385" s="712">
        <f t="shared" si="975"/>
        <v>0</v>
      </c>
      <c r="CQ385" s="712">
        <f>IF(OR(Sheet1!EN385="FM", Sheet1!EN385="OTHER"),SUM(Sheet1!BK385:'Sheet1'!BM385),0)</f>
        <v>0</v>
      </c>
      <c r="CR385" s="697" t="e">
        <f>IF(AND($B385&gt;=$FL385,$B385&lt;=$FM385),MAX($CJ385,Sheet1!EG385,0),MAX($CJ385-(7/36)*$K385,0))</f>
        <v>#N/A</v>
      </c>
      <c r="CS385" s="712">
        <f t="shared" si="976"/>
        <v>0</v>
      </c>
      <c r="CT385" s="697" t="e">
        <f t="shared" si="977"/>
        <v>#N/A</v>
      </c>
      <c r="CU385" s="697">
        <f>IF(AND($O385&gt;0,Sheet1!EK385=1),(1-($O385-Sheet1!$L385)/$O385)*CP385,0)</f>
        <v>0</v>
      </c>
      <c r="CV385" s="697">
        <f>IF(AND(Sheet1!$L385=0,Sheet1!$L384=0, Calculation!CO385&lt;Sheet1!$EG385-0.1,Sheet1!$EG385=Sheet1!$EG384,Sheet1!$EG385=Sheet1!$EG386),Sheet1!$EG385,CP385-CU385)</f>
        <v>0</v>
      </c>
      <c r="CW385" s="697"/>
      <c r="CX385" s="712">
        <f t="shared" si="978"/>
        <v>0</v>
      </c>
      <c r="CY385" s="712">
        <f t="shared" si="979"/>
        <v>0</v>
      </c>
      <c r="CZ385" s="712">
        <f t="shared" si="980"/>
        <v>0</v>
      </c>
      <c r="DA385" s="712">
        <f ca="1">IF(B385&gt;Summary!$A$1,#N/A,CY385*MGtoAF)</f>
        <v>0</v>
      </c>
      <c r="DB385" s="712">
        <f t="shared" si="981"/>
        <v>0</v>
      </c>
      <c r="DC385" s="712">
        <f t="shared" si="982"/>
        <v>0</v>
      </c>
      <c r="DD385" s="712">
        <f>Sheet1!AB385-DC385</f>
        <v>0</v>
      </c>
      <c r="DE385" s="712">
        <f t="shared" si="983"/>
        <v>0</v>
      </c>
      <c r="DF385" s="712" t="e">
        <f>(VLOOKUP(Sheet1!CY385,hhdcap_wcm,4)-(((VLOOKUP(Sheet1!CY385,hhdcap_wcm,3)-Sheet1!CY385)/(VLOOKUP(Sheet1!CY385,hhdcap_wcm,3)-VLOOKUP(Sheet1!CY385,hhdcap_wcm,1)))*(VLOOKUP(Sheet1!CY385,hhdcap_wcm,4)-VLOOKUP(Sheet1!CY385,hhdcap_wcm,2))))</f>
        <v>#N/A</v>
      </c>
      <c r="DG385" s="712" t="e">
        <f t="shared" si="984"/>
        <v>#N/A</v>
      </c>
      <c r="DH385" s="712" t="e">
        <f t="shared" si="985"/>
        <v>#N/A</v>
      </c>
      <c r="DI385" s="712">
        <f>Sheet1!DW385*AFtoMG</f>
        <v>0</v>
      </c>
      <c r="DJ385" s="712">
        <f>Sheet1!DX385*AFtoMG</f>
        <v>0</v>
      </c>
      <c r="DK385" s="712">
        <f>Sheet1!DY385*AFtoMG</f>
        <v>0</v>
      </c>
      <c r="DL385" s="712">
        <f>Sheet1!DZ385*AFtoMG</f>
        <v>0</v>
      </c>
      <c r="DM385" s="712">
        <f t="shared" si="986"/>
        <v>0</v>
      </c>
      <c r="DN385" s="712">
        <f t="shared" si="987"/>
        <v>0</v>
      </c>
      <c r="DO385" s="712">
        <f t="shared" si="988"/>
        <v>0</v>
      </c>
      <c r="DP385" s="712">
        <f t="shared" si="989"/>
        <v>0</v>
      </c>
      <c r="DQ385" s="712"/>
      <c r="DR385" s="697" t="e">
        <f>IF(OR(B385&lt;FL385,B385&gt;FM385),(MIN(AV385+BO385+CJ385+MAX(Sheet1!AA385+AG385-73,0),K385)),0)</f>
        <v>#N/A</v>
      </c>
      <c r="DS385" s="712"/>
      <c r="DT385" s="712">
        <f t="shared" si="990"/>
        <v>0</v>
      </c>
      <c r="DU385" s="712"/>
      <c r="DV385" s="712">
        <f>Sheet1!ED385+Sheet1!EE385+Sheet1!EF385+Sheet1!EG385</f>
        <v>8.5</v>
      </c>
      <c r="DW385" s="712"/>
      <c r="DX385" s="697" t="e">
        <f t="shared" si="991"/>
        <v>#N/A</v>
      </c>
      <c r="DY385" s="712">
        <f>IF(Sheet1!FN385=1,SUM('Calculations II'!AT385:BA385)+'Calculations II'!BC385+Sheet1!BU385+'Calculations II'!BE385+AF385,SUM('Calculations II'!AT385:BA385)+'Calculations II'!BC385+Sheet1!BU385+'Calculations II'!BE385+AF385)</f>
        <v>0</v>
      </c>
      <c r="DZ385" s="712">
        <f>Sheet1!AA385+Sheet1!AB385+'Calculations II'!BC385</f>
        <v>0</v>
      </c>
      <c r="EA385" s="712"/>
      <c r="EB385" s="712"/>
      <c r="EC385" s="712">
        <f t="shared" si="992"/>
        <v>40914</v>
      </c>
      <c r="ED385" s="712" t="e">
        <f t="shared" si="993"/>
        <v>#N/A</v>
      </c>
      <c r="EE385" s="712" t="e">
        <f t="shared" si="994"/>
        <v>#N/A</v>
      </c>
      <c r="EF385" s="712">
        <f>-(VLOOKUP(Sheet1!BQ385,Lookup!$B$4:$J$236,2)-VLOOKUP(Sheet1!BQ384,Lookup!$B$4:$J$236,2))/1000000</f>
        <v>0</v>
      </c>
      <c r="EG385" s="712">
        <f>-(VLOOKUP(Sheet1!BR385,Lookup!$B$4:$J$236,3)-VLOOKUP(Sheet1!BR384,Lookup!$B$4:$J$236,3))/1000000</f>
        <v>0</v>
      </c>
      <c r="EH385" s="712">
        <f>-(VLOOKUP(Sheet1!BS385,Lookup!$B$4:$J$236,4)-VLOOKUP(Sheet1!BS384,Lookup!$B$4:$J$236,4))/1000000</f>
        <v>0</v>
      </c>
      <c r="EI385" s="697">
        <f t="shared" si="1018"/>
        <v>0</v>
      </c>
      <c r="EJ385" s="712"/>
      <c r="EK385" s="712"/>
      <c r="EL385" s="712"/>
      <c r="EM385" s="712"/>
      <c r="EN385" s="712"/>
      <c r="EO385" s="712"/>
      <c r="EP385" s="712"/>
      <c r="EQ385" s="712"/>
      <c r="ER385" s="712"/>
      <c r="ES385" s="712"/>
      <c r="ET385" s="794" t="e">
        <f t="shared" si="1015"/>
        <v>#N/A</v>
      </c>
      <c r="EU385" s="794" t="e">
        <f t="shared" si="924"/>
        <v>#N/A</v>
      </c>
      <c r="EV385" s="795" t="e">
        <f t="shared" si="925"/>
        <v>#N/A</v>
      </c>
      <c r="EW385" s="796" t="s">
        <v>758</v>
      </c>
      <c r="EX385" s="796" t="s">
        <v>758</v>
      </c>
      <c r="EY385" s="794" t="e">
        <v>#N/A</v>
      </c>
      <c r="EZ385" s="794" t="e">
        <v>#N/A</v>
      </c>
      <c r="FA385" s="712"/>
      <c r="FB385" s="712"/>
      <c r="FC385" s="712"/>
      <c r="FD385" s="712"/>
      <c r="FE385" s="712">
        <f>O385+Sheet1!CO385</f>
        <v>0</v>
      </c>
      <c r="FF385" s="712">
        <f>IF(Sheet1!AA385+AG385&lt;=Calculation!N385,AG385,Calculation!N385-Sheet1!AA385)</f>
        <v>0</v>
      </c>
      <c r="FG385" s="712" t="e">
        <f>(Sheet1!BP385+Sheet1!BO385)/694.4</f>
        <v>#VALUE!</v>
      </c>
      <c r="FH385" s="712"/>
      <c r="FI385" s="712"/>
      <c r="FJ385" s="712"/>
      <c r="FK385" s="712"/>
      <c r="FL385" s="714">
        <f t="shared" si="929"/>
        <v>40753</v>
      </c>
      <c r="FM385" s="714">
        <f t="shared" si="930"/>
        <v>40851</v>
      </c>
      <c r="FN385" s="712"/>
      <c r="FO385" s="712"/>
      <c r="FP385" s="712"/>
      <c r="FQ385" s="712"/>
      <c r="FR385" s="712"/>
      <c r="FS385" s="725">
        <f t="shared" si="1017"/>
        <v>40603</v>
      </c>
      <c r="FT385" s="714">
        <f t="shared" si="932"/>
        <v>40709</v>
      </c>
      <c r="FU385" s="712">
        <f t="shared" si="1017"/>
        <v>6518.9048239895692</v>
      </c>
      <c r="FV385" s="714">
        <f t="shared" si="933"/>
        <v>40722</v>
      </c>
      <c r="FW385" s="712">
        <f t="shared" si="1017"/>
        <v>3259.4524119947846</v>
      </c>
      <c r="FX385" s="725">
        <f t="shared" si="1017"/>
        <v>40851</v>
      </c>
      <c r="FZ385" s="697">
        <f t="shared" si="926"/>
        <v>0</v>
      </c>
      <c r="GA385" s="712" t="str">
        <f t="shared" si="995"/>
        <v/>
      </c>
      <c r="GB385" s="712">
        <f t="shared" si="996"/>
        <v>0</v>
      </c>
      <c r="GC385" s="712" t="str">
        <f t="shared" si="997"/>
        <v/>
      </c>
      <c r="GD385" s="712">
        <f>IF(GA385="P",Lookup!$M$12,IF(GA385="PP",Lookup!$M$13,IF(GA385="PPP",Lookup!$M$14,IF(GA385="T",Lookup!$M$15,IF(GA385="TP",Lookup!$M$16,IF(GA385="TPP",Lookup!$M$17,IF(GA385="TPPP",Lookup!$M$18,0)))))))*FZ385</f>
        <v>0</v>
      </c>
      <c r="GE385" s="712">
        <f t="shared" si="998"/>
        <v>0</v>
      </c>
      <c r="GF385" s="712">
        <f t="shared" si="999"/>
        <v>0</v>
      </c>
      <c r="GG385" s="712">
        <f t="shared" si="1000"/>
        <v>0</v>
      </c>
      <c r="GH385" s="712"/>
      <c r="GI385" s="712">
        <f t="shared" si="1001"/>
        <v>0</v>
      </c>
      <c r="GJ385" s="712" t="str">
        <f t="shared" si="1002"/>
        <v/>
      </c>
      <c r="GK385" s="712">
        <f>IF(GA385="P",Lookup!$N$12,IF(GA385="PP",Lookup!$N$13,IF(GA385="PPP",Lookup!$N$14,IF(GA385="T",Lookup!$N$15,IF(GA385="TP",Lookup!$N$16,IF(GA385="TPP",Lookup!$N$17,IF(GA385="TPPP",Lookup!$N$18,0)))))))*FZ385</f>
        <v>0</v>
      </c>
      <c r="GL385" s="712">
        <f t="shared" si="1003"/>
        <v>0</v>
      </c>
      <c r="GM385" s="712">
        <f t="shared" si="1004"/>
        <v>0</v>
      </c>
      <c r="GN385" s="712">
        <f t="shared" si="1005"/>
        <v>0</v>
      </c>
      <c r="GO385" s="712"/>
      <c r="GP385" s="712">
        <f t="shared" si="1006"/>
        <v>0</v>
      </c>
      <c r="GQ385" s="712" t="str">
        <f t="shared" si="1007"/>
        <v/>
      </c>
      <c r="GR385" s="712">
        <f>IF(GA385="P",Lookup!$N$12,IF(GA385="PP",Lookup!$N$13,IF(GA385="PPP",Lookup!$N$14,IF(GA385="T",Lookup!$N$15,IF(GA385="TP",Lookup!$N$16,IF(GA385="TPP",Lookup!$N$17,IF(GA385="TPPP",Lookup!$N$18,0)))))))*FZ385</f>
        <v>0</v>
      </c>
      <c r="GS385" s="697">
        <f t="shared" si="927"/>
        <v>0</v>
      </c>
      <c r="GT385" s="712">
        <f t="shared" si="1008"/>
        <v>0</v>
      </c>
      <c r="GU385" s="712">
        <f t="shared" si="1009"/>
        <v>0</v>
      </c>
      <c r="GV385" s="712"/>
      <c r="GW385" s="712">
        <f t="shared" si="1010"/>
        <v>0</v>
      </c>
      <c r="GX385" s="712" t="str">
        <f t="shared" si="1011"/>
        <v/>
      </c>
      <c r="GY385" s="712">
        <f>IF(GA385="P",Lookup!$N$12,IF(GA385="PP",Lookup!$N$13,IF(GA385="PPP",Lookup!$N$14,IF(GA385="T",Lookup!$N$15,IF(GA385="TP",Lookup!$N$16,IF(GA385="TPP",Lookup!$N$17,IF(GA385="TPPP",Lookup!$N$18,0)))))))*FZ385</f>
        <v>0</v>
      </c>
      <c r="GZ385" s="697">
        <f t="shared" si="928"/>
        <v>0</v>
      </c>
      <c r="HA385" s="712">
        <f t="shared" si="1012"/>
        <v>0</v>
      </c>
      <c r="HB385" s="712">
        <f t="shared" si="1013"/>
        <v>0</v>
      </c>
      <c r="HC385" s="712"/>
    </row>
    <row r="386" spans="1:211">
      <c r="A386" s="707"/>
      <c r="G386" s="712"/>
      <c r="H386" s="712"/>
      <c r="I386" s="712"/>
      <c r="J386" s="712"/>
      <c r="K386" s="712"/>
      <c r="L386" s="712"/>
      <c r="M386" s="712"/>
      <c r="N386" s="712"/>
      <c r="O386" s="712"/>
      <c r="P386" s="712"/>
      <c r="Q386" s="712"/>
      <c r="R386" s="712"/>
      <c r="S386" s="712"/>
      <c r="T386" s="712"/>
      <c r="U386" s="712"/>
      <c r="V386" s="712"/>
      <c r="W386" s="712"/>
      <c r="X386" s="712"/>
      <c r="Y386" s="712"/>
      <c r="Z386" s="712"/>
      <c r="AA386" s="712"/>
      <c r="AB386" s="712"/>
      <c r="AC386" s="712"/>
      <c r="AD386" s="712"/>
      <c r="AE386" s="712"/>
      <c r="AF386" s="712"/>
      <c r="AG386" s="712"/>
      <c r="AH386" s="712"/>
      <c r="AI386" s="712"/>
      <c r="AJ386" s="712"/>
      <c r="AK386" s="712"/>
      <c r="AL386" s="712"/>
      <c r="AM386" s="712"/>
      <c r="AN386" s="712"/>
      <c r="AO386" s="712"/>
      <c r="AP386" s="712"/>
      <c r="AQ386" s="712"/>
      <c r="AR386" s="712"/>
      <c r="AS386" s="712"/>
      <c r="AT386" s="712"/>
      <c r="AU386" s="712"/>
      <c r="AV386" s="712"/>
      <c r="AW386" s="712"/>
      <c r="AX386" s="712"/>
      <c r="AY386" s="712"/>
      <c r="AZ386" s="712"/>
      <c r="BA386" s="712"/>
      <c r="BB386" s="712"/>
      <c r="BC386" s="712"/>
      <c r="BD386" s="712"/>
      <c r="BE386" s="712"/>
      <c r="BF386" s="712"/>
      <c r="BG386" s="712"/>
      <c r="BH386" s="712"/>
      <c r="BI386" s="712"/>
      <c r="BJ386" s="712"/>
      <c r="BK386" s="712"/>
      <c r="BL386" s="712"/>
      <c r="BM386" s="712"/>
      <c r="BN386" s="712"/>
      <c r="BO386" s="712"/>
      <c r="BP386" s="712"/>
      <c r="BQ386" s="712"/>
      <c r="BR386" s="712"/>
      <c r="BS386" s="712"/>
      <c r="BT386" s="712"/>
      <c r="BU386" s="712"/>
      <c r="BV386" s="712"/>
      <c r="BW386" s="712"/>
      <c r="BX386" s="712"/>
      <c r="BY386" s="712"/>
      <c r="BZ386" s="712"/>
      <c r="CA386" s="712"/>
      <c r="CB386" s="712"/>
      <c r="CC386" s="712"/>
      <c r="CD386" s="712"/>
      <c r="CE386" s="712"/>
      <c r="CF386" s="712"/>
      <c r="CG386" s="712"/>
      <c r="CH386" s="712"/>
      <c r="CI386" s="712"/>
      <c r="CJ386" s="712"/>
      <c r="CK386" s="712"/>
      <c r="CL386" s="712"/>
      <c r="CM386" s="712"/>
      <c r="CN386" s="712"/>
      <c r="CO386" s="712"/>
      <c r="CP386" s="712"/>
      <c r="CQ386" s="712"/>
      <c r="CR386" s="712"/>
      <c r="CS386" s="712"/>
      <c r="CT386" s="712"/>
      <c r="CU386" s="712"/>
      <c r="CV386" s="712"/>
      <c r="CW386" s="712"/>
      <c r="CX386" s="712"/>
      <c r="CY386" s="712"/>
      <c r="CZ386" s="712"/>
      <c r="DA386" s="712"/>
      <c r="DB386" s="712"/>
      <c r="DC386" s="712"/>
      <c r="DD386" s="712"/>
      <c r="DE386" s="712"/>
      <c r="DF386" s="712"/>
      <c r="DG386" s="712"/>
      <c r="DH386" s="712"/>
      <c r="DI386" s="712"/>
      <c r="DJ386" s="712"/>
      <c r="DK386" s="712"/>
      <c r="DL386" s="712"/>
      <c r="DM386" s="712"/>
      <c r="DN386" s="712"/>
      <c r="DO386" s="712"/>
      <c r="DP386" s="712"/>
      <c r="DQ386" s="712"/>
      <c r="DR386" s="712"/>
      <c r="DS386" s="712"/>
      <c r="DT386" s="712"/>
      <c r="DU386" s="712"/>
      <c r="DV386" s="712"/>
      <c r="DW386" s="712"/>
      <c r="DX386" s="712"/>
      <c r="DY386" s="712"/>
      <c r="DZ386" s="712"/>
      <c r="EA386" s="712"/>
      <c r="EB386" s="712"/>
      <c r="EC386" s="712"/>
      <c r="ED386" s="712"/>
      <c r="EE386" s="712"/>
      <c r="EF386" s="712"/>
      <c r="EG386" s="712"/>
      <c r="EH386" s="712"/>
      <c r="EI386" s="712"/>
      <c r="EJ386" s="712"/>
      <c r="EK386" s="712"/>
      <c r="EL386" s="712"/>
      <c r="EM386" s="712"/>
      <c r="EN386" s="712"/>
      <c r="EO386" s="712"/>
      <c r="EP386" s="712"/>
      <c r="EQ386" s="712"/>
      <c r="ER386" s="712"/>
      <c r="ES386" s="712"/>
      <c r="ET386" s="794"/>
      <c r="EU386" s="794"/>
      <c r="EV386" s="794"/>
      <c r="EW386" s="794"/>
      <c r="EX386" s="794"/>
      <c r="EY386" s="794"/>
      <c r="EZ386" s="794"/>
      <c r="FA386" s="712"/>
      <c r="FB386" s="712"/>
      <c r="FC386" s="712"/>
      <c r="FD386" s="712"/>
      <c r="FE386" s="712"/>
      <c r="FF386" s="712"/>
      <c r="FG386" s="712"/>
      <c r="FH386" s="712"/>
      <c r="FI386" s="712"/>
      <c r="FJ386" s="712"/>
      <c r="FK386" s="712"/>
      <c r="FL386" s="712"/>
      <c r="FM386" s="712"/>
      <c r="FN386" s="712"/>
      <c r="FO386" s="712"/>
      <c r="FP386" s="712"/>
      <c r="FQ386" s="712"/>
      <c r="FR386" s="712"/>
      <c r="FS386" s="712"/>
      <c r="FT386" s="712"/>
      <c r="FU386" s="712"/>
      <c r="FV386" s="712"/>
      <c r="FW386" s="712"/>
      <c r="FX386" s="712"/>
      <c r="FZ386" s="712"/>
      <c r="GA386" s="712"/>
      <c r="GB386" s="712"/>
      <c r="GC386" s="712"/>
      <c r="GD386" s="712"/>
      <c r="GE386" s="712"/>
      <c r="GF386" s="712"/>
      <c r="GG386" s="712"/>
      <c r="GH386" s="712"/>
      <c r="GI386" s="712"/>
      <c r="GJ386" s="712"/>
      <c r="GK386" s="712"/>
      <c r="GL386" s="712"/>
      <c r="GM386" s="712"/>
      <c r="GN386" s="712"/>
      <c r="GO386" s="712"/>
      <c r="GP386" s="712"/>
      <c r="GQ386" s="712"/>
      <c r="GR386" s="712"/>
      <c r="GS386" s="712"/>
      <c r="GT386" s="712"/>
      <c r="GU386" s="712"/>
      <c r="GV386" s="712"/>
      <c r="GW386" s="712"/>
      <c r="GX386" s="712"/>
      <c r="GY386" s="712"/>
      <c r="GZ386" s="712"/>
      <c r="HA386" s="712"/>
      <c r="HB386" s="712"/>
      <c r="HC386" s="712"/>
    </row>
    <row r="387" spans="1:211">
      <c r="A387" s="707"/>
      <c r="G387" s="712"/>
      <c r="H387" s="712"/>
      <c r="I387" s="712"/>
      <c r="J387" s="712"/>
      <c r="K387" s="712"/>
      <c r="L387" s="712"/>
      <c r="M387" s="712"/>
      <c r="N387" s="712"/>
      <c r="O387" s="712"/>
      <c r="P387" s="712"/>
      <c r="Q387" s="712"/>
      <c r="R387" s="712"/>
      <c r="S387" s="712"/>
      <c r="T387" s="712"/>
      <c r="U387" s="712"/>
      <c r="V387" s="712"/>
      <c r="W387" s="712"/>
      <c r="X387" s="712"/>
      <c r="Y387" s="712"/>
      <c r="Z387" s="712"/>
      <c r="AA387" s="712"/>
      <c r="AB387" s="712"/>
      <c r="AC387" s="712"/>
      <c r="AD387" s="712"/>
      <c r="AE387" s="712"/>
      <c r="AF387" s="712"/>
      <c r="AG387" s="712"/>
      <c r="AH387" s="712"/>
      <c r="AI387" s="712"/>
      <c r="AJ387" s="712"/>
      <c r="AK387" s="712"/>
      <c r="AL387" s="712"/>
      <c r="AM387" s="712"/>
      <c r="AN387" s="712"/>
      <c r="AO387" s="712"/>
      <c r="AP387" s="712"/>
      <c r="AQ387" s="712"/>
      <c r="AR387" s="712"/>
      <c r="AS387" s="712"/>
      <c r="AT387" s="712"/>
      <c r="AU387" s="712"/>
      <c r="AV387" s="712"/>
      <c r="AW387" s="712"/>
      <c r="AX387" s="712"/>
      <c r="AY387" s="712"/>
      <c r="AZ387" s="712"/>
      <c r="BA387" s="712"/>
      <c r="BB387" s="712"/>
      <c r="BC387" s="712"/>
      <c r="BD387" s="712"/>
      <c r="BE387" s="712"/>
      <c r="BF387" s="712"/>
      <c r="BG387" s="712"/>
      <c r="BH387" s="712"/>
      <c r="BI387" s="712"/>
      <c r="BJ387" s="712"/>
      <c r="BK387" s="712"/>
      <c r="BL387" s="712"/>
      <c r="BM387" s="712"/>
      <c r="BN387" s="712"/>
      <c r="BO387" s="712"/>
      <c r="BP387" s="712"/>
      <c r="BQ387" s="712"/>
      <c r="BR387" s="712"/>
      <c r="BS387" s="712"/>
      <c r="BT387" s="712"/>
      <c r="BU387" s="712"/>
      <c r="BV387" s="712"/>
      <c r="BW387" s="712"/>
      <c r="BX387" s="712"/>
      <c r="BY387" s="712"/>
      <c r="BZ387" s="712"/>
      <c r="CA387" s="712"/>
      <c r="CB387" s="712"/>
      <c r="CC387" s="712"/>
      <c r="CD387" s="712"/>
      <c r="CE387" s="712"/>
      <c r="CF387" s="712"/>
      <c r="CG387" s="712"/>
      <c r="CH387" s="712"/>
      <c r="CI387" s="712"/>
      <c r="CJ387" s="712"/>
      <c r="CK387" s="712"/>
      <c r="CL387" s="712"/>
      <c r="CM387" s="712"/>
      <c r="CN387" s="712"/>
      <c r="CO387" s="712"/>
      <c r="CP387" s="712"/>
      <c r="CQ387" s="712"/>
      <c r="CR387" s="712"/>
      <c r="CS387" s="712"/>
      <c r="CT387" s="712"/>
      <c r="CU387" s="712"/>
      <c r="CV387" s="712"/>
      <c r="CW387" s="712"/>
      <c r="CX387" s="712"/>
      <c r="CY387" s="712"/>
      <c r="CZ387" s="712"/>
      <c r="DA387" s="712"/>
      <c r="DB387" s="712"/>
      <c r="DC387" s="712"/>
      <c r="DD387" s="712"/>
      <c r="DE387" s="712"/>
      <c r="DF387" s="712"/>
      <c r="DG387" s="712"/>
      <c r="DH387" s="712"/>
      <c r="DI387" s="712"/>
      <c r="DJ387" s="712"/>
      <c r="DK387" s="712"/>
      <c r="DL387" s="712"/>
      <c r="DM387" s="712"/>
      <c r="DN387" s="712"/>
      <c r="DO387" s="712"/>
      <c r="DP387" s="712"/>
      <c r="DQ387" s="712"/>
      <c r="DR387" s="712"/>
      <c r="DS387" s="712"/>
      <c r="DT387" s="712"/>
      <c r="DU387" s="712"/>
      <c r="DV387" s="712"/>
      <c r="DW387" s="712"/>
      <c r="DX387" s="712"/>
      <c r="DY387" s="712"/>
      <c r="DZ387" s="712"/>
      <c r="EA387" s="712"/>
      <c r="EB387" s="712"/>
      <c r="EC387" s="712"/>
      <c r="ED387" s="712"/>
      <c r="EE387" s="712"/>
      <c r="EF387" s="712"/>
      <c r="EG387" s="712"/>
      <c r="EH387" s="712"/>
      <c r="EI387" s="712"/>
      <c r="EJ387" s="712"/>
      <c r="EK387" s="712"/>
      <c r="EL387" s="712"/>
      <c r="EM387" s="712"/>
      <c r="EN387" s="712"/>
      <c r="EO387" s="712"/>
      <c r="EP387" s="712"/>
      <c r="EQ387" s="712"/>
      <c r="ER387" s="712"/>
      <c r="ES387" s="712"/>
      <c r="ET387" s="794"/>
      <c r="EU387" s="794"/>
      <c r="EV387" s="794"/>
      <c r="EW387" s="794"/>
      <c r="EX387" s="794"/>
      <c r="EY387" s="794"/>
      <c r="EZ387" s="794"/>
      <c r="FA387" s="712"/>
      <c r="FB387" s="712"/>
      <c r="FC387" s="712"/>
      <c r="FD387" s="712"/>
      <c r="FE387" s="712"/>
      <c r="FF387" s="712"/>
      <c r="FG387" s="712"/>
      <c r="FH387" s="712"/>
      <c r="FI387" s="712"/>
      <c r="FJ387" s="712"/>
      <c r="FK387" s="712"/>
      <c r="FL387" s="712"/>
      <c r="FM387" s="712"/>
      <c r="FN387" s="712"/>
      <c r="FO387" s="712"/>
      <c r="FP387" s="712"/>
      <c r="FQ387" s="712"/>
      <c r="FR387" s="712"/>
      <c r="FS387" s="712"/>
      <c r="FT387" s="712"/>
      <c r="FU387" s="712"/>
      <c r="FV387" s="712"/>
      <c r="FW387" s="712"/>
      <c r="FX387" s="712"/>
      <c r="FZ387" s="712"/>
      <c r="GA387" s="712"/>
      <c r="GB387" s="712"/>
      <c r="GC387" s="712"/>
      <c r="GD387" s="712"/>
      <c r="GE387" s="712"/>
      <c r="GF387" s="712"/>
      <c r="GG387" s="712"/>
      <c r="GH387" s="712"/>
      <c r="GI387" s="712"/>
      <c r="GJ387" s="712"/>
      <c r="GK387" s="712"/>
      <c r="GL387" s="712"/>
      <c r="GM387" s="712"/>
      <c r="GN387" s="712"/>
      <c r="GO387" s="712"/>
      <c r="GP387" s="712"/>
      <c r="GQ387" s="712"/>
      <c r="GR387" s="712"/>
      <c r="GS387" s="712"/>
      <c r="GT387" s="712"/>
      <c r="GU387" s="712"/>
      <c r="GV387" s="712"/>
      <c r="GW387" s="712"/>
      <c r="GX387" s="712"/>
      <c r="GY387" s="712"/>
      <c r="GZ387" s="712"/>
      <c r="HA387" s="712"/>
      <c r="HB387" s="712"/>
      <c r="HC387" s="712"/>
    </row>
    <row r="388" spans="1:211">
      <c r="A388" s="707"/>
      <c r="G388" s="712"/>
      <c r="H388" s="712"/>
      <c r="I388" s="712"/>
      <c r="J388" s="712"/>
      <c r="K388" s="712"/>
      <c r="L388" s="712"/>
      <c r="M388" s="712"/>
      <c r="N388" s="712"/>
      <c r="O388" s="712"/>
      <c r="P388" s="712"/>
      <c r="Q388" s="712"/>
      <c r="R388" s="712"/>
      <c r="S388" s="712"/>
      <c r="T388" s="712"/>
      <c r="U388" s="712"/>
      <c r="V388" s="712"/>
      <c r="W388" s="712"/>
      <c r="X388" s="712"/>
      <c r="Y388" s="712"/>
      <c r="Z388" s="712"/>
      <c r="AA388" s="712"/>
      <c r="AB388" s="712"/>
      <c r="AC388" s="712"/>
      <c r="AD388" s="712"/>
      <c r="AE388" s="712"/>
      <c r="AF388" s="712"/>
      <c r="AG388" s="712"/>
      <c r="AH388" s="712"/>
      <c r="AI388" s="712"/>
      <c r="AJ388" s="712"/>
      <c r="AK388" s="712"/>
      <c r="AL388" s="712"/>
      <c r="AM388" s="712"/>
      <c r="AN388" s="712"/>
      <c r="AO388" s="712"/>
      <c r="AP388" s="712"/>
      <c r="AQ388" s="712"/>
      <c r="AR388" s="712"/>
      <c r="AS388" s="712"/>
      <c r="AT388" s="712"/>
      <c r="AU388" s="712"/>
      <c r="AV388" s="712"/>
      <c r="AW388" s="712"/>
      <c r="AX388" s="712"/>
      <c r="AY388" s="712"/>
      <c r="AZ388" s="712"/>
      <c r="BA388" s="712"/>
      <c r="BB388" s="712"/>
      <c r="BC388" s="712"/>
      <c r="BD388" s="712"/>
      <c r="BE388" s="712"/>
      <c r="BF388" s="712"/>
      <c r="BG388" s="712"/>
      <c r="BH388" s="712"/>
      <c r="BI388" s="712"/>
      <c r="BJ388" s="712"/>
      <c r="BK388" s="712"/>
      <c r="BL388" s="712"/>
      <c r="BM388" s="712"/>
      <c r="BN388" s="712"/>
      <c r="BO388" s="712"/>
      <c r="BP388" s="712"/>
      <c r="BQ388" s="712"/>
      <c r="BR388" s="712"/>
      <c r="BS388" s="712"/>
      <c r="BT388" s="712"/>
      <c r="BU388" s="712"/>
      <c r="BV388" s="712"/>
      <c r="BW388" s="712"/>
      <c r="BX388" s="712"/>
      <c r="BY388" s="712"/>
      <c r="BZ388" s="712"/>
      <c r="CA388" s="712"/>
      <c r="CB388" s="712"/>
      <c r="CC388" s="712"/>
      <c r="CD388" s="712"/>
      <c r="CE388" s="712"/>
      <c r="CF388" s="712"/>
      <c r="CG388" s="712"/>
      <c r="CH388" s="712"/>
      <c r="CI388" s="712"/>
      <c r="CJ388" s="712"/>
      <c r="CK388" s="712"/>
      <c r="CL388" s="712"/>
      <c r="CM388" s="712"/>
      <c r="CN388" s="712"/>
      <c r="CO388" s="712"/>
      <c r="CP388" s="712"/>
      <c r="CQ388" s="712"/>
      <c r="CR388" s="712"/>
      <c r="CS388" s="712"/>
      <c r="CT388" s="712"/>
      <c r="CU388" s="712"/>
      <c r="CV388" s="712"/>
      <c r="CW388" s="712"/>
      <c r="CX388" s="712"/>
      <c r="CY388" s="712"/>
      <c r="CZ388" s="712"/>
      <c r="DA388" s="712"/>
      <c r="DB388" s="712"/>
      <c r="DC388" s="712"/>
      <c r="DD388" s="712"/>
      <c r="DE388" s="712"/>
      <c r="DF388" s="712"/>
      <c r="DG388" s="712"/>
      <c r="DH388" s="712"/>
      <c r="DI388" s="712"/>
      <c r="DJ388" s="712"/>
      <c r="DK388" s="712"/>
      <c r="DL388" s="712"/>
      <c r="DM388" s="712"/>
      <c r="DN388" s="712"/>
      <c r="DO388" s="712"/>
      <c r="DP388" s="712"/>
      <c r="DQ388" s="712"/>
      <c r="DR388" s="712"/>
      <c r="DS388" s="712"/>
      <c r="DT388" s="712"/>
      <c r="DU388" s="712"/>
      <c r="DV388" s="712"/>
      <c r="DW388" s="712"/>
      <c r="DX388" s="712"/>
      <c r="DY388" s="712"/>
      <c r="DZ388" s="712"/>
      <c r="EA388" s="712"/>
      <c r="EB388" s="712"/>
      <c r="EC388" s="712"/>
      <c r="ED388" s="712"/>
      <c r="EE388" s="712"/>
      <c r="EF388" s="712"/>
      <c r="EG388" s="712"/>
      <c r="EH388" s="712"/>
      <c r="EI388" s="712"/>
      <c r="EJ388" s="712"/>
      <c r="EK388" s="712"/>
      <c r="EL388" s="712"/>
      <c r="EM388" s="712"/>
      <c r="EN388" s="712"/>
      <c r="EO388" s="712"/>
      <c r="EP388" s="712"/>
      <c r="EQ388" s="712"/>
      <c r="ER388" s="712"/>
      <c r="ES388" s="712"/>
      <c r="ET388" s="794"/>
      <c r="EU388" s="794"/>
      <c r="EV388" s="794"/>
      <c r="EW388" s="794"/>
      <c r="EX388" s="794"/>
      <c r="EY388" s="794"/>
      <c r="EZ388" s="794"/>
      <c r="FA388" s="712"/>
      <c r="FB388" s="712"/>
      <c r="FC388" s="712"/>
      <c r="FD388" s="712"/>
      <c r="FE388" s="712"/>
      <c r="FF388" s="712"/>
      <c r="FG388" s="712"/>
      <c r="FH388" s="712"/>
      <c r="FI388" s="712"/>
      <c r="FJ388" s="712"/>
      <c r="FK388" s="712"/>
      <c r="FL388" s="712"/>
      <c r="FM388" s="712"/>
      <c r="FN388" s="712"/>
      <c r="FO388" s="712"/>
      <c r="FP388" s="712"/>
      <c r="FQ388" s="712"/>
      <c r="FR388" s="712"/>
      <c r="FS388" s="712"/>
      <c r="FT388" s="712"/>
      <c r="FU388" s="712"/>
      <c r="FV388" s="712"/>
      <c r="FW388" s="712"/>
      <c r="FX388" s="712"/>
      <c r="FZ388" s="712"/>
      <c r="GA388" s="712"/>
      <c r="GB388" s="712"/>
      <c r="GC388" s="712"/>
      <c r="GD388" s="712"/>
      <c r="GE388" s="712"/>
      <c r="GF388" s="712"/>
      <c r="GG388" s="712"/>
      <c r="GH388" s="712"/>
      <c r="GI388" s="712"/>
      <c r="GJ388" s="712"/>
      <c r="GK388" s="712"/>
      <c r="GL388" s="712"/>
      <c r="GM388" s="712"/>
      <c r="GN388" s="712"/>
      <c r="GO388" s="712"/>
      <c r="GP388" s="712"/>
      <c r="GQ388" s="712"/>
      <c r="GR388" s="712"/>
      <c r="GS388" s="712"/>
      <c r="GT388" s="712"/>
      <c r="GU388" s="712"/>
      <c r="GV388" s="712"/>
      <c r="GW388" s="712"/>
      <c r="GX388" s="712"/>
      <c r="GY388" s="712"/>
      <c r="GZ388" s="712"/>
      <c r="HA388" s="712"/>
      <c r="HB388" s="712"/>
      <c r="HC388" s="712"/>
    </row>
    <row r="389" spans="1:211">
      <c r="A389" s="707"/>
      <c r="G389" s="712"/>
      <c r="H389" s="712"/>
      <c r="I389" s="712"/>
      <c r="J389" s="712"/>
      <c r="K389" s="712"/>
      <c r="L389" s="712"/>
      <c r="M389" s="712"/>
      <c r="N389" s="712"/>
      <c r="O389" s="712"/>
      <c r="P389" s="712"/>
      <c r="Q389" s="712"/>
      <c r="R389" s="712"/>
      <c r="S389" s="712"/>
      <c r="T389" s="712"/>
      <c r="U389" s="712"/>
      <c r="V389" s="712"/>
      <c r="W389" s="712"/>
      <c r="X389" s="712"/>
      <c r="Y389" s="712"/>
      <c r="Z389" s="712"/>
      <c r="AA389" s="712"/>
      <c r="AB389" s="712"/>
      <c r="AC389" s="712"/>
      <c r="AD389" s="712"/>
      <c r="AE389" s="712"/>
      <c r="AF389" s="712"/>
      <c r="AG389" s="712"/>
      <c r="AH389" s="712"/>
      <c r="AI389" s="712"/>
      <c r="AJ389" s="712"/>
      <c r="AK389" s="712"/>
      <c r="AL389" s="712"/>
      <c r="AM389" s="712"/>
      <c r="AN389" s="712"/>
      <c r="AO389" s="712"/>
      <c r="AP389" s="712"/>
      <c r="AQ389" s="712"/>
      <c r="AR389" s="712"/>
      <c r="AS389" s="712"/>
      <c r="AT389" s="712"/>
      <c r="AU389" s="712"/>
      <c r="AV389" s="712"/>
      <c r="AW389" s="712"/>
      <c r="AX389" s="712"/>
      <c r="AY389" s="712"/>
      <c r="AZ389" s="712"/>
      <c r="BA389" s="712"/>
      <c r="BB389" s="712"/>
      <c r="BC389" s="712"/>
      <c r="BD389" s="712"/>
      <c r="BE389" s="712"/>
      <c r="BF389" s="712"/>
      <c r="BG389" s="712"/>
      <c r="BH389" s="712"/>
      <c r="BI389" s="712"/>
      <c r="BJ389" s="712"/>
      <c r="BK389" s="712"/>
      <c r="BL389" s="712"/>
      <c r="BM389" s="712"/>
      <c r="BN389" s="712"/>
      <c r="BO389" s="712"/>
      <c r="BP389" s="712"/>
      <c r="BQ389" s="712"/>
      <c r="BR389" s="712"/>
      <c r="BS389" s="712"/>
      <c r="BT389" s="712"/>
      <c r="BU389" s="712"/>
      <c r="BV389" s="712"/>
      <c r="BW389" s="712"/>
      <c r="BX389" s="712"/>
      <c r="BY389" s="712"/>
      <c r="BZ389" s="712"/>
      <c r="CA389" s="712"/>
      <c r="CB389" s="712"/>
      <c r="CC389" s="712"/>
      <c r="CD389" s="712"/>
      <c r="CE389" s="712"/>
      <c r="CF389" s="712"/>
      <c r="CG389" s="712"/>
      <c r="CH389" s="712"/>
      <c r="CI389" s="712"/>
      <c r="CJ389" s="712"/>
      <c r="CK389" s="712"/>
      <c r="CL389" s="712"/>
      <c r="CM389" s="712"/>
      <c r="CN389" s="712"/>
      <c r="CO389" s="712"/>
      <c r="CP389" s="712"/>
      <c r="CQ389" s="712"/>
      <c r="CR389" s="712"/>
      <c r="CS389" s="712"/>
      <c r="CT389" s="712"/>
      <c r="CU389" s="712"/>
      <c r="CV389" s="712"/>
      <c r="CW389" s="712"/>
      <c r="CX389" s="712"/>
      <c r="CY389" s="712"/>
      <c r="CZ389" s="712"/>
      <c r="DA389" s="712"/>
      <c r="DB389" s="712"/>
      <c r="DC389" s="712"/>
      <c r="DD389" s="712"/>
      <c r="DE389" s="712"/>
      <c r="DF389" s="712"/>
      <c r="DG389" s="712"/>
      <c r="DH389" s="712"/>
      <c r="DI389" s="712"/>
      <c r="DJ389" s="712"/>
      <c r="DK389" s="712"/>
      <c r="DL389" s="712"/>
      <c r="DM389" s="712"/>
      <c r="DN389" s="712"/>
      <c r="DO389" s="712"/>
      <c r="DP389" s="712"/>
      <c r="DQ389" s="712"/>
      <c r="DR389" s="712"/>
      <c r="DS389" s="712"/>
      <c r="DT389" s="712"/>
      <c r="DU389" s="712"/>
      <c r="DV389" s="712"/>
      <c r="DW389" s="712"/>
      <c r="DX389" s="712"/>
      <c r="DY389" s="712"/>
      <c r="DZ389" s="712"/>
      <c r="EA389" s="712"/>
      <c r="EB389" s="712"/>
      <c r="EC389" s="712"/>
      <c r="ED389" s="712"/>
      <c r="EE389" s="712"/>
      <c r="EF389" s="712"/>
      <c r="EG389" s="712"/>
      <c r="EH389" s="712"/>
      <c r="EI389" s="712"/>
      <c r="EJ389" s="712"/>
      <c r="EK389" s="712"/>
      <c r="EL389" s="712"/>
      <c r="EM389" s="712"/>
      <c r="EN389" s="712"/>
      <c r="EO389" s="712"/>
      <c r="EP389" s="712"/>
      <c r="EQ389" s="712"/>
      <c r="ER389" s="712"/>
      <c r="ES389" s="712"/>
      <c r="ET389" s="794"/>
      <c r="EU389" s="794"/>
      <c r="EV389" s="794"/>
      <c r="EW389" s="794"/>
      <c r="EX389" s="794"/>
      <c r="EY389" s="794"/>
      <c r="EZ389" s="794"/>
      <c r="FA389" s="712"/>
      <c r="FB389" s="712"/>
      <c r="FC389" s="712"/>
      <c r="FD389" s="712"/>
      <c r="FE389" s="712"/>
      <c r="FF389" s="712"/>
      <c r="FG389" s="712"/>
      <c r="FH389" s="712"/>
      <c r="FI389" s="712"/>
      <c r="FJ389" s="712"/>
      <c r="FK389" s="712"/>
      <c r="FL389" s="712"/>
      <c r="FM389" s="712"/>
      <c r="FN389" s="712"/>
      <c r="FO389" s="712"/>
      <c r="FP389" s="712"/>
      <c r="FQ389" s="712"/>
      <c r="FR389" s="712"/>
      <c r="FS389" s="712"/>
      <c r="FT389" s="712"/>
      <c r="FU389" s="712"/>
      <c r="FV389" s="712"/>
      <c r="FW389" s="712"/>
      <c r="FX389" s="712"/>
      <c r="FZ389" s="712"/>
      <c r="GA389" s="712"/>
      <c r="GB389" s="712"/>
      <c r="GC389" s="712"/>
      <c r="GD389" s="712"/>
      <c r="GE389" s="712"/>
      <c r="GF389" s="712"/>
      <c r="GG389" s="712"/>
      <c r="GH389" s="712"/>
      <c r="GI389" s="712"/>
      <c r="GJ389" s="712"/>
      <c r="GK389" s="712"/>
      <c r="GL389" s="712"/>
      <c r="GM389" s="712"/>
      <c r="GN389" s="712"/>
      <c r="GO389" s="712"/>
      <c r="GP389" s="712"/>
      <c r="GQ389" s="712"/>
      <c r="GR389" s="712"/>
      <c r="GS389" s="712"/>
      <c r="GT389" s="712"/>
      <c r="GU389" s="712"/>
      <c r="GV389" s="712"/>
      <c r="GW389" s="712"/>
      <c r="GX389" s="712"/>
      <c r="GY389" s="712"/>
      <c r="GZ389" s="712"/>
      <c r="HA389" s="712"/>
      <c r="HB389" s="712"/>
      <c r="HC389" s="712"/>
    </row>
    <row r="390" spans="1:211">
      <c r="A390" s="707"/>
      <c r="G390" s="712"/>
      <c r="H390" s="712"/>
      <c r="I390" s="712"/>
      <c r="J390" s="712"/>
      <c r="K390" s="712"/>
      <c r="L390" s="712"/>
      <c r="M390" s="712"/>
      <c r="N390" s="712"/>
      <c r="O390" s="712"/>
      <c r="P390" s="712"/>
      <c r="Q390" s="712"/>
      <c r="R390" s="712"/>
      <c r="S390" s="712"/>
      <c r="T390" s="712"/>
      <c r="U390" s="712"/>
      <c r="V390" s="712"/>
      <c r="W390" s="712"/>
      <c r="X390" s="712"/>
      <c r="Y390" s="712"/>
      <c r="Z390" s="712"/>
      <c r="AA390" s="712"/>
      <c r="AB390" s="712"/>
      <c r="AC390" s="712"/>
      <c r="AD390" s="712"/>
      <c r="AE390" s="712"/>
      <c r="AF390" s="712"/>
      <c r="AG390" s="712"/>
      <c r="AH390" s="712"/>
      <c r="AI390" s="712"/>
      <c r="AJ390" s="712"/>
      <c r="AK390" s="712"/>
      <c r="AL390" s="712"/>
      <c r="AM390" s="712"/>
      <c r="AN390" s="712"/>
      <c r="AO390" s="712"/>
      <c r="AP390" s="712"/>
      <c r="AQ390" s="712"/>
      <c r="AR390" s="712"/>
      <c r="AS390" s="712"/>
      <c r="AT390" s="712"/>
      <c r="AU390" s="712"/>
      <c r="AV390" s="712"/>
      <c r="AW390" s="712"/>
      <c r="AX390" s="712"/>
      <c r="AY390" s="712"/>
      <c r="AZ390" s="712"/>
      <c r="BA390" s="712"/>
      <c r="BB390" s="712"/>
      <c r="BC390" s="712"/>
      <c r="BD390" s="712"/>
      <c r="BE390" s="712"/>
      <c r="BF390" s="712"/>
      <c r="BG390" s="712"/>
      <c r="BH390" s="712"/>
      <c r="BI390" s="712"/>
      <c r="BJ390" s="712"/>
      <c r="BK390" s="712"/>
      <c r="BL390" s="712"/>
      <c r="BM390" s="712"/>
      <c r="BN390" s="712"/>
      <c r="BO390" s="712"/>
      <c r="BP390" s="712"/>
      <c r="BQ390" s="712"/>
      <c r="BR390" s="712"/>
      <c r="BS390" s="712"/>
      <c r="BT390" s="712"/>
      <c r="BU390" s="712"/>
      <c r="BV390" s="712"/>
      <c r="BW390" s="712"/>
      <c r="BX390" s="712"/>
      <c r="BY390" s="712"/>
      <c r="BZ390" s="712"/>
      <c r="CA390" s="712"/>
      <c r="CB390" s="712"/>
      <c r="CC390" s="712"/>
      <c r="CD390" s="712"/>
      <c r="CE390" s="712"/>
      <c r="CF390" s="712"/>
      <c r="CG390" s="712"/>
      <c r="CH390" s="712"/>
      <c r="CI390" s="712"/>
      <c r="CJ390" s="712"/>
      <c r="CK390" s="712"/>
      <c r="CL390" s="712"/>
      <c r="CM390" s="712"/>
      <c r="CN390" s="712"/>
      <c r="CO390" s="712"/>
      <c r="CP390" s="712"/>
      <c r="CQ390" s="712"/>
      <c r="CR390" s="712"/>
      <c r="CS390" s="712"/>
      <c r="CT390" s="712"/>
      <c r="CU390" s="712"/>
      <c r="CV390" s="712"/>
      <c r="CW390" s="712"/>
      <c r="CX390" s="712"/>
      <c r="CY390" s="712"/>
      <c r="CZ390" s="712"/>
      <c r="DA390" s="712"/>
      <c r="DB390" s="712"/>
      <c r="DC390" s="712"/>
      <c r="DD390" s="712"/>
      <c r="DE390" s="712"/>
      <c r="DF390" s="712"/>
      <c r="DG390" s="712"/>
      <c r="DH390" s="712"/>
      <c r="DI390" s="712"/>
      <c r="DJ390" s="712"/>
      <c r="DK390" s="712"/>
      <c r="DL390" s="712"/>
      <c r="DM390" s="712"/>
      <c r="DN390" s="712"/>
      <c r="DO390" s="712"/>
      <c r="DP390" s="712"/>
      <c r="DQ390" s="712"/>
      <c r="DR390" s="712"/>
      <c r="DS390" s="712"/>
      <c r="DT390" s="712"/>
      <c r="DU390" s="712"/>
      <c r="DV390" s="712"/>
      <c r="DW390" s="712"/>
      <c r="DX390" s="712"/>
      <c r="DY390" s="712"/>
      <c r="DZ390" s="712"/>
      <c r="EA390" s="712"/>
      <c r="EB390" s="712"/>
      <c r="EC390" s="712"/>
      <c r="ED390" s="712"/>
      <c r="EE390" s="712"/>
      <c r="EF390" s="712"/>
      <c r="EG390" s="712"/>
      <c r="EH390" s="712"/>
      <c r="EI390" s="712"/>
      <c r="EJ390" s="712"/>
      <c r="EK390" s="712"/>
      <c r="EL390" s="712"/>
      <c r="EM390" s="712"/>
      <c r="EN390" s="712"/>
      <c r="EO390" s="712"/>
      <c r="EP390" s="712"/>
      <c r="EQ390" s="712"/>
      <c r="ER390" s="712"/>
      <c r="ES390" s="712"/>
      <c r="ET390" s="794"/>
      <c r="EU390" s="794"/>
      <c r="EV390" s="794"/>
      <c r="EW390" s="794"/>
      <c r="EX390" s="794"/>
      <c r="EY390" s="794"/>
      <c r="EZ390" s="794"/>
      <c r="FA390" s="712"/>
      <c r="FB390" s="712"/>
      <c r="FC390" s="712"/>
      <c r="FD390" s="712"/>
      <c r="FE390" s="712"/>
      <c r="FF390" s="712"/>
      <c r="FG390" s="712"/>
      <c r="FH390" s="712"/>
      <c r="FI390" s="712"/>
      <c r="FJ390" s="712"/>
      <c r="FK390" s="712"/>
      <c r="FL390" s="712"/>
      <c r="FM390" s="712"/>
      <c r="FN390" s="712"/>
      <c r="FO390" s="712"/>
      <c r="FP390" s="712"/>
      <c r="FQ390" s="712"/>
      <c r="FR390" s="712"/>
      <c r="FS390" s="712"/>
      <c r="FT390" s="712"/>
      <c r="FU390" s="712"/>
      <c r="FV390" s="712"/>
      <c r="FW390" s="712"/>
      <c r="FX390" s="712"/>
      <c r="FZ390" s="712"/>
      <c r="GA390" s="712"/>
      <c r="GB390" s="712"/>
      <c r="GC390" s="712"/>
      <c r="GD390" s="712"/>
      <c r="GE390" s="712"/>
      <c r="GF390" s="712"/>
      <c r="GG390" s="712"/>
      <c r="GH390" s="712"/>
      <c r="GI390" s="712"/>
      <c r="GJ390" s="712"/>
      <c r="GK390" s="712"/>
      <c r="GL390" s="712"/>
      <c r="GM390" s="712"/>
      <c r="GN390" s="712"/>
      <c r="GO390" s="712"/>
      <c r="GP390" s="712"/>
      <c r="GQ390" s="712"/>
      <c r="GR390" s="712"/>
      <c r="GS390" s="712"/>
      <c r="GT390" s="712"/>
      <c r="GU390" s="712"/>
      <c r="GV390" s="712"/>
      <c r="GW390" s="712"/>
      <c r="GX390" s="712"/>
      <c r="GY390" s="712"/>
      <c r="GZ390" s="712"/>
      <c r="HA390" s="712"/>
      <c r="HB390" s="712"/>
      <c r="HC390" s="712"/>
    </row>
    <row r="391" spans="1:211">
      <c r="A391" s="707"/>
      <c r="G391" s="712"/>
      <c r="H391" s="712"/>
      <c r="I391" s="712"/>
      <c r="J391" s="712"/>
      <c r="K391" s="712"/>
      <c r="L391" s="712"/>
      <c r="M391" s="712"/>
      <c r="N391" s="712"/>
      <c r="O391" s="712"/>
      <c r="P391" s="712"/>
      <c r="Q391" s="712"/>
      <c r="R391" s="712"/>
      <c r="S391" s="712"/>
      <c r="T391" s="712"/>
      <c r="U391" s="712"/>
      <c r="V391" s="712"/>
      <c r="W391" s="712"/>
      <c r="X391" s="712"/>
      <c r="Y391" s="712"/>
      <c r="Z391" s="712"/>
      <c r="AA391" s="712"/>
      <c r="AB391" s="712"/>
      <c r="AC391" s="712"/>
      <c r="AD391" s="712"/>
      <c r="AE391" s="712"/>
      <c r="AF391" s="712"/>
      <c r="AG391" s="712"/>
      <c r="AH391" s="712"/>
      <c r="AI391" s="712"/>
      <c r="AJ391" s="712"/>
      <c r="AK391" s="712"/>
      <c r="AL391" s="712"/>
      <c r="AM391" s="712"/>
      <c r="AN391" s="712"/>
      <c r="AO391" s="712"/>
      <c r="AP391" s="712"/>
      <c r="AQ391" s="712"/>
      <c r="AR391" s="712"/>
      <c r="AS391" s="712"/>
      <c r="AT391" s="712"/>
      <c r="AU391" s="712"/>
      <c r="AV391" s="712"/>
      <c r="AW391" s="712"/>
      <c r="AX391" s="712"/>
      <c r="AY391" s="712"/>
      <c r="AZ391" s="712"/>
      <c r="BA391" s="712"/>
      <c r="BB391" s="712"/>
      <c r="BC391" s="712"/>
      <c r="BD391" s="712"/>
      <c r="BE391" s="712"/>
      <c r="BF391" s="712"/>
      <c r="BG391" s="712"/>
      <c r="BH391" s="712"/>
      <c r="BI391" s="712"/>
      <c r="BJ391" s="712"/>
      <c r="BK391" s="712"/>
      <c r="BL391" s="712"/>
      <c r="BM391" s="712"/>
      <c r="BN391" s="712"/>
      <c r="BO391" s="712"/>
      <c r="BP391" s="712"/>
      <c r="BQ391" s="712"/>
      <c r="BR391" s="712"/>
      <c r="BS391" s="712"/>
      <c r="BT391" s="712"/>
      <c r="BU391" s="712"/>
      <c r="BV391" s="712"/>
      <c r="BW391" s="712"/>
      <c r="BX391" s="712"/>
      <c r="BY391" s="712"/>
      <c r="BZ391" s="712"/>
      <c r="CA391" s="712"/>
      <c r="CB391" s="712"/>
      <c r="CC391" s="712"/>
      <c r="CD391" s="712"/>
      <c r="CE391" s="712"/>
      <c r="CF391" s="712"/>
      <c r="CG391" s="712"/>
      <c r="CH391" s="712"/>
      <c r="CI391" s="712"/>
      <c r="CJ391" s="712"/>
      <c r="CK391" s="712"/>
      <c r="CL391" s="712"/>
      <c r="CM391" s="712"/>
      <c r="CN391" s="712"/>
      <c r="CO391" s="712"/>
      <c r="CP391" s="712"/>
      <c r="CQ391" s="712"/>
      <c r="CR391" s="712"/>
      <c r="CS391" s="712"/>
      <c r="CT391" s="712"/>
      <c r="CU391" s="712"/>
      <c r="CV391" s="712"/>
      <c r="CW391" s="712"/>
      <c r="CX391" s="712"/>
      <c r="CY391" s="712"/>
      <c r="CZ391" s="712"/>
      <c r="DA391" s="712"/>
      <c r="DB391" s="712"/>
      <c r="DC391" s="712"/>
      <c r="DD391" s="712"/>
      <c r="DE391" s="712"/>
      <c r="DF391" s="712"/>
      <c r="DG391" s="712"/>
      <c r="DH391" s="712"/>
      <c r="DI391" s="712"/>
      <c r="DJ391" s="712"/>
      <c r="DK391" s="712"/>
      <c r="DL391" s="712"/>
      <c r="DM391" s="712"/>
      <c r="DN391" s="712"/>
      <c r="DO391" s="712"/>
      <c r="DP391" s="712"/>
      <c r="DQ391" s="712"/>
      <c r="DR391" s="712"/>
      <c r="DS391" s="712"/>
      <c r="DT391" s="712"/>
      <c r="DU391" s="712"/>
      <c r="DV391" s="712"/>
      <c r="DW391" s="712"/>
      <c r="DX391" s="712"/>
      <c r="DY391" s="712"/>
      <c r="DZ391" s="712"/>
      <c r="EA391" s="712"/>
      <c r="EB391" s="712"/>
      <c r="EC391" s="712"/>
      <c r="ED391" s="712"/>
      <c r="EE391" s="712"/>
      <c r="EF391" s="712"/>
      <c r="EG391" s="712"/>
      <c r="EH391" s="712"/>
      <c r="EI391" s="712"/>
      <c r="EJ391" s="712"/>
      <c r="EK391" s="712"/>
      <c r="EL391" s="712"/>
      <c r="EM391" s="712"/>
      <c r="EN391" s="712"/>
      <c r="EO391" s="712"/>
      <c r="EP391" s="712"/>
      <c r="EQ391" s="712"/>
      <c r="ER391" s="712"/>
      <c r="ES391" s="712"/>
      <c r="ET391" s="794"/>
      <c r="EU391" s="794"/>
      <c r="EV391" s="794"/>
      <c r="EW391" s="794"/>
      <c r="EX391" s="794"/>
      <c r="EY391" s="794"/>
      <c r="EZ391" s="794"/>
      <c r="FA391" s="712"/>
      <c r="FB391" s="712"/>
      <c r="FC391" s="712"/>
      <c r="FD391" s="712"/>
      <c r="FE391" s="712"/>
      <c r="FF391" s="712"/>
      <c r="FG391" s="712"/>
      <c r="FH391" s="712"/>
      <c r="FI391" s="712"/>
      <c r="FJ391" s="712"/>
      <c r="FK391" s="712"/>
      <c r="FL391" s="712"/>
      <c r="FM391" s="712"/>
      <c r="FN391" s="712"/>
      <c r="FO391" s="712"/>
      <c r="FP391" s="712"/>
      <c r="FQ391" s="712"/>
      <c r="FR391" s="712"/>
      <c r="FS391" s="712"/>
      <c r="FT391" s="712"/>
      <c r="FU391" s="712"/>
      <c r="FV391" s="712"/>
      <c r="FW391" s="712"/>
      <c r="FX391" s="712"/>
      <c r="FZ391" s="712"/>
      <c r="GA391" s="712"/>
      <c r="GB391" s="712"/>
      <c r="GC391" s="712"/>
      <c r="GD391" s="712"/>
      <c r="GE391" s="712"/>
      <c r="GF391" s="712"/>
      <c r="GG391" s="712"/>
      <c r="GH391" s="712"/>
      <c r="GI391" s="712"/>
      <c r="GJ391" s="712"/>
      <c r="GK391" s="712"/>
      <c r="GL391" s="712"/>
      <c r="GM391" s="712"/>
      <c r="GN391" s="712"/>
      <c r="GO391" s="712"/>
      <c r="GP391" s="712"/>
      <c r="GQ391" s="712"/>
      <c r="GR391" s="712"/>
      <c r="GS391" s="712"/>
      <c r="GT391" s="712"/>
      <c r="GU391" s="712"/>
      <c r="GV391" s="712"/>
      <c r="GW391" s="712"/>
      <c r="GX391" s="712"/>
      <c r="GY391" s="712"/>
      <c r="GZ391" s="712"/>
      <c r="HA391" s="712"/>
      <c r="HB391" s="712"/>
      <c r="HC391" s="712"/>
    </row>
    <row r="392" spans="1:211">
      <c r="A392" s="707"/>
      <c r="G392" s="712"/>
      <c r="H392" s="712"/>
      <c r="I392" s="712"/>
      <c r="J392" s="712"/>
      <c r="K392" s="712"/>
      <c r="L392" s="712"/>
      <c r="M392" s="712"/>
      <c r="N392" s="712"/>
      <c r="O392" s="712"/>
      <c r="P392" s="712"/>
      <c r="Q392" s="712"/>
      <c r="R392" s="712"/>
      <c r="S392" s="712"/>
      <c r="T392" s="712"/>
      <c r="U392" s="712"/>
      <c r="V392" s="712"/>
      <c r="W392" s="712"/>
      <c r="X392" s="712"/>
      <c r="Y392" s="712"/>
      <c r="Z392" s="712"/>
      <c r="AA392" s="712"/>
      <c r="AB392" s="712"/>
      <c r="AC392" s="712"/>
      <c r="AD392" s="712"/>
      <c r="AE392" s="712"/>
      <c r="AF392" s="712"/>
      <c r="AG392" s="712"/>
      <c r="AH392" s="712"/>
      <c r="AI392" s="712"/>
      <c r="AJ392" s="712"/>
      <c r="AK392" s="712"/>
      <c r="AL392" s="712"/>
      <c r="AM392" s="712"/>
      <c r="AN392" s="712"/>
      <c r="AO392" s="712"/>
      <c r="AP392" s="712"/>
      <c r="AQ392" s="712"/>
      <c r="AR392" s="712"/>
      <c r="AS392" s="712"/>
      <c r="AT392" s="712"/>
      <c r="AU392" s="712"/>
      <c r="AV392" s="712"/>
      <c r="AW392" s="712"/>
      <c r="AX392" s="712"/>
      <c r="AY392" s="712"/>
      <c r="AZ392" s="712"/>
      <c r="BA392" s="712"/>
      <c r="BB392" s="712"/>
      <c r="BC392" s="712"/>
      <c r="BD392" s="712"/>
      <c r="BE392" s="712"/>
      <c r="BF392" s="712"/>
      <c r="BG392" s="712"/>
      <c r="BH392" s="712"/>
      <c r="BI392" s="712"/>
      <c r="BJ392" s="712"/>
      <c r="BK392" s="712"/>
      <c r="BL392" s="712"/>
      <c r="BM392" s="712"/>
      <c r="BN392" s="712"/>
      <c r="BO392" s="712"/>
      <c r="BP392" s="712"/>
      <c r="BQ392" s="712"/>
      <c r="BR392" s="712"/>
      <c r="BS392" s="712"/>
      <c r="BT392" s="712"/>
      <c r="BU392" s="712"/>
      <c r="BV392" s="712"/>
      <c r="BW392" s="712"/>
      <c r="BX392" s="712"/>
      <c r="BY392" s="712"/>
      <c r="BZ392" s="712"/>
      <c r="CA392" s="712"/>
      <c r="CB392" s="712"/>
      <c r="CC392" s="712"/>
      <c r="CD392" s="712"/>
      <c r="CE392" s="712"/>
      <c r="CF392" s="712"/>
      <c r="CG392" s="712"/>
      <c r="CH392" s="712"/>
      <c r="CI392" s="712"/>
      <c r="CJ392" s="712"/>
      <c r="CK392" s="712"/>
      <c r="CL392" s="712"/>
      <c r="CM392" s="712"/>
      <c r="CN392" s="712"/>
      <c r="CO392" s="712"/>
      <c r="CP392" s="712"/>
      <c r="CQ392" s="712"/>
      <c r="CR392" s="712"/>
      <c r="CS392" s="712"/>
      <c r="CT392" s="712"/>
      <c r="CU392" s="712"/>
      <c r="CV392" s="712"/>
      <c r="CW392" s="712"/>
      <c r="CX392" s="712"/>
      <c r="CY392" s="712"/>
      <c r="CZ392" s="712"/>
      <c r="DA392" s="712"/>
      <c r="DB392" s="712"/>
      <c r="DC392" s="712"/>
      <c r="DD392" s="712"/>
      <c r="DE392" s="712"/>
      <c r="DF392" s="712"/>
      <c r="DG392" s="712"/>
      <c r="DH392" s="712"/>
      <c r="DI392" s="712"/>
      <c r="DJ392" s="712"/>
      <c r="DK392" s="712"/>
      <c r="DL392" s="712"/>
      <c r="DM392" s="712"/>
      <c r="DN392" s="712"/>
      <c r="DO392" s="712"/>
      <c r="DP392" s="712"/>
      <c r="DQ392" s="712"/>
      <c r="DR392" s="712"/>
      <c r="DS392" s="712"/>
      <c r="DT392" s="712"/>
      <c r="DU392" s="712"/>
      <c r="DV392" s="712"/>
      <c r="DW392" s="712"/>
      <c r="DX392" s="712"/>
      <c r="DY392" s="712"/>
      <c r="DZ392" s="712"/>
      <c r="EA392" s="712"/>
      <c r="EB392" s="712"/>
      <c r="EC392" s="712"/>
      <c r="ED392" s="712"/>
      <c r="EE392" s="712"/>
      <c r="EF392" s="712"/>
      <c r="EG392" s="712"/>
      <c r="EH392" s="712"/>
      <c r="EI392" s="712"/>
      <c r="EJ392" s="712"/>
      <c r="EK392" s="712"/>
      <c r="EL392" s="712"/>
      <c r="EM392" s="712"/>
      <c r="EN392" s="712"/>
      <c r="EO392" s="712"/>
      <c r="EP392" s="712"/>
      <c r="EQ392" s="712"/>
      <c r="ER392" s="712"/>
      <c r="ES392" s="712"/>
      <c r="ET392" s="794"/>
      <c r="EU392" s="794"/>
      <c r="EV392" s="794"/>
      <c r="EW392" s="794"/>
      <c r="EX392" s="794"/>
      <c r="EY392" s="794"/>
      <c r="EZ392" s="794"/>
      <c r="FA392" s="712"/>
      <c r="FB392" s="712"/>
      <c r="FC392" s="712"/>
      <c r="FD392" s="712"/>
      <c r="FE392" s="712"/>
      <c r="FF392" s="712"/>
      <c r="FG392" s="712"/>
      <c r="FH392" s="712"/>
      <c r="FI392" s="712"/>
      <c r="FJ392" s="712"/>
      <c r="FK392" s="712"/>
      <c r="FL392" s="712"/>
      <c r="FM392" s="712"/>
      <c r="FN392" s="712"/>
      <c r="FO392" s="712"/>
      <c r="FP392" s="712"/>
      <c r="FQ392" s="712"/>
      <c r="FR392" s="712"/>
      <c r="FS392" s="712"/>
      <c r="FT392" s="712"/>
      <c r="FU392" s="712"/>
      <c r="FV392" s="712"/>
      <c r="FW392" s="712"/>
      <c r="FX392" s="712"/>
      <c r="FZ392" s="712"/>
      <c r="GA392" s="712"/>
      <c r="GB392" s="712"/>
      <c r="GC392" s="712"/>
      <c r="GD392" s="712"/>
      <c r="GE392" s="712"/>
      <c r="GF392" s="712"/>
      <c r="GG392" s="712"/>
      <c r="GH392" s="712"/>
      <c r="GI392" s="712"/>
      <c r="GJ392" s="712"/>
      <c r="GK392" s="712"/>
      <c r="GL392" s="712"/>
      <c r="GM392" s="712"/>
      <c r="GN392" s="712"/>
      <c r="GO392" s="712"/>
      <c r="GP392" s="712"/>
      <c r="GQ392" s="712"/>
      <c r="GR392" s="712"/>
      <c r="GS392" s="712"/>
      <c r="GT392" s="712"/>
      <c r="GU392" s="712"/>
      <c r="GV392" s="712"/>
      <c r="GW392" s="712"/>
      <c r="GX392" s="712"/>
      <c r="GY392" s="712"/>
      <c r="GZ392" s="712"/>
      <c r="HA392" s="712"/>
      <c r="HB392" s="712"/>
      <c r="HC392" s="712"/>
    </row>
    <row r="393" spans="1:211">
      <c r="A393" s="707"/>
      <c r="G393" s="712"/>
      <c r="H393" s="712"/>
      <c r="I393" s="712"/>
      <c r="J393" s="712"/>
      <c r="K393" s="712"/>
      <c r="L393" s="712"/>
      <c r="M393" s="712"/>
      <c r="N393" s="712"/>
      <c r="O393" s="712"/>
      <c r="P393" s="712"/>
      <c r="Q393" s="712"/>
      <c r="R393" s="712"/>
      <c r="S393" s="712"/>
      <c r="T393" s="712"/>
      <c r="U393" s="712"/>
      <c r="V393" s="712"/>
      <c r="W393" s="712"/>
      <c r="X393" s="712"/>
      <c r="Y393" s="712"/>
      <c r="Z393" s="712"/>
      <c r="AA393" s="712"/>
      <c r="AB393" s="712"/>
      <c r="AC393" s="712"/>
      <c r="AD393" s="712"/>
      <c r="AE393" s="712"/>
      <c r="AF393" s="712"/>
      <c r="AG393" s="712"/>
      <c r="AH393" s="712"/>
      <c r="AI393" s="712"/>
      <c r="AJ393" s="712"/>
      <c r="AK393" s="712"/>
      <c r="AL393" s="712"/>
      <c r="AM393" s="712"/>
      <c r="AN393" s="712"/>
      <c r="AO393" s="712"/>
      <c r="AP393" s="712"/>
      <c r="AQ393" s="712"/>
      <c r="AR393" s="712"/>
      <c r="AS393" s="712"/>
      <c r="AT393" s="712"/>
      <c r="AU393" s="712"/>
      <c r="AV393" s="712"/>
      <c r="AW393" s="712"/>
      <c r="AX393" s="712"/>
      <c r="AY393" s="712"/>
      <c r="AZ393" s="712"/>
      <c r="BA393" s="712"/>
      <c r="BB393" s="712"/>
      <c r="BC393" s="712"/>
      <c r="BD393" s="712"/>
      <c r="BE393" s="712"/>
      <c r="BF393" s="712"/>
      <c r="BG393" s="712"/>
      <c r="BH393" s="712"/>
      <c r="BI393" s="712"/>
      <c r="BJ393" s="712"/>
      <c r="BK393" s="712"/>
      <c r="BL393" s="712"/>
      <c r="BM393" s="712"/>
      <c r="BN393" s="712"/>
      <c r="BO393" s="712"/>
      <c r="BP393" s="712"/>
      <c r="BQ393" s="712"/>
      <c r="BR393" s="712"/>
      <c r="BS393" s="712"/>
      <c r="BT393" s="712"/>
      <c r="BU393" s="712"/>
      <c r="BV393" s="712"/>
      <c r="BW393" s="712"/>
      <c r="BX393" s="712"/>
      <c r="BY393" s="712"/>
      <c r="BZ393" s="712"/>
      <c r="CA393" s="712"/>
      <c r="CB393" s="712"/>
      <c r="CC393" s="712"/>
      <c r="CD393" s="712"/>
      <c r="CE393" s="712"/>
      <c r="CF393" s="712"/>
      <c r="CG393" s="712"/>
      <c r="CH393" s="712"/>
      <c r="CI393" s="712"/>
      <c r="CJ393" s="712"/>
      <c r="CK393" s="712"/>
      <c r="CL393" s="712"/>
      <c r="CM393" s="712"/>
      <c r="CN393" s="712"/>
      <c r="CO393" s="712"/>
      <c r="CP393" s="712"/>
      <c r="CQ393" s="712"/>
      <c r="CR393" s="712"/>
      <c r="CS393" s="712"/>
      <c r="CT393" s="712"/>
      <c r="CU393" s="712"/>
      <c r="CV393" s="712"/>
      <c r="CW393" s="712"/>
      <c r="CX393" s="712"/>
      <c r="CY393" s="712"/>
      <c r="CZ393" s="712"/>
      <c r="DA393" s="712"/>
      <c r="DB393" s="712"/>
      <c r="DC393" s="712"/>
      <c r="DD393" s="712"/>
      <c r="DE393" s="712"/>
      <c r="DF393" s="712"/>
      <c r="DG393" s="712"/>
      <c r="DH393" s="712"/>
      <c r="DI393" s="712"/>
      <c r="DJ393" s="712"/>
      <c r="DK393" s="712"/>
      <c r="DL393" s="712"/>
      <c r="DM393" s="712"/>
      <c r="DN393" s="712"/>
      <c r="DO393" s="712"/>
      <c r="DP393" s="712"/>
      <c r="DQ393" s="712"/>
      <c r="DR393" s="712"/>
      <c r="DS393" s="712"/>
      <c r="DT393" s="712"/>
      <c r="DU393" s="712"/>
      <c r="DV393" s="712"/>
      <c r="DW393" s="712"/>
      <c r="DX393" s="712"/>
      <c r="DY393" s="712"/>
      <c r="DZ393" s="712"/>
      <c r="EA393" s="712"/>
      <c r="EB393" s="712"/>
      <c r="EC393" s="712"/>
      <c r="ED393" s="712"/>
      <c r="EE393" s="712"/>
      <c r="EF393" s="712"/>
      <c r="EG393" s="712"/>
      <c r="EH393" s="712"/>
      <c r="EI393" s="712"/>
      <c r="EJ393" s="712"/>
      <c r="EK393" s="712"/>
      <c r="EL393" s="712"/>
      <c r="EM393" s="712"/>
      <c r="EN393" s="712"/>
      <c r="EO393" s="712"/>
      <c r="EP393" s="712"/>
      <c r="EQ393" s="712"/>
      <c r="ER393" s="712"/>
      <c r="ES393" s="712"/>
      <c r="ET393" s="794"/>
      <c r="EU393" s="794"/>
      <c r="EV393" s="794"/>
      <c r="EW393" s="794"/>
      <c r="EX393" s="794"/>
      <c r="EY393" s="794"/>
      <c r="EZ393" s="794"/>
      <c r="FA393" s="712"/>
      <c r="FB393" s="712"/>
      <c r="FC393" s="712"/>
      <c r="FD393" s="712"/>
      <c r="FE393" s="712"/>
      <c r="FF393" s="712"/>
      <c r="FG393" s="712"/>
      <c r="FH393" s="712"/>
      <c r="FI393" s="712"/>
      <c r="FJ393" s="712"/>
      <c r="FK393" s="712"/>
      <c r="FL393" s="712"/>
      <c r="FM393" s="712"/>
      <c r="FN393" s="712"/>
      <c r="FO393" s="712"/>
      <c r="FP393" s="712"/>
      <c r="FQ393" s="712"/>
      <c r="FR393" s="712"/>
      <c r="FS393" s="712"/>
      <c r="FT393" s="712"/>
      <c r="FU393" s="712"/>
      <c r="FV393" s="712"/>
      <c r="FW393" s="712"/>
      <c r="FX393" s="712"/>
      <c r="FZ393" s="712"/>
      <c r="GA393" s="712"/>
      <c r="GB393" s="712"/>
      <c r="GC393" s="712"/>
      <c r="GD393" s="712"/>
      <c r="GE393" s="712"/>
      <c r="GF393" s="712"/>
      <c r="GG393" s="712"/>
      <c r="GH393" s="712"/>
      <c r="GI393" s="712"/>
      <c r="GJ393" s="712"/>
      <c r="GK393" s="712"/>
      <c r="GL393" s="712"/>
      <c r="GM393" s="712"/>
      <c r="GN393" s="712"/>
      <c r="GO393" s="712"/>
      <c r="GP393" s="712"/>
      <c r="GQ393" s="712"/>
      <c r="GR393" s="712"/>
      <c r="GS393" s="712"/>
      <c r="GT393" s="712"/>
      <c r="GU393" s="712"/>
      <c r="GV393" s="712"/>
      <c r="GW393" s="712"/>
      <c r="GX393" s="712"/>
      <c r="GY393" s="712"/>
      <c r="GZ393" s="712"/>
      <c r="HA393" s="712"/>
      <c r="HB393" s="712"/>
      <c r="HC393" s="712"/>
    </row>
    <row r="394" spans="1:211">
      <c r="A394" s="707"/>
      <c r="G394" s="712"/>
      <c r="H394" s="712"/>
      <c r="I394" s="712"/>
      <c r="J394" s="712"/>
      <c r="K394" s="712"/>
      <c r="L394" s="712"/>
      <c r="M394" s="712"/>
      <c r="N394" s="712"/>
      <c r="O394" s="712"/>
      <c r="P394" s="712"/>
      <c r="Q394" s="712"/>
      <c r="R394" s="712"/>
      <c r="S394" s="712"/>
      <c r="T394" s="712"/>
      <c r="U394" s="712"/>
      <c r="V394" s="712"/>
      <c r="W394" s="712"/>
      <c r="X394" s="712"/>
      <c r="Y394" s="712"/>
      <c r="Z394" s="712"/>
      <c r="AA394" s="712"/>
      <c r="AB394" s="712"/>
      <c r="AC394" s="712"/>
      <c r="AD394" s="712"/>
      <c r="AE394" s="712"/>
      <c r="AF394" s="712"/>
      <c r="AG394" s="712"/>
      <c r="AH394" s="712"/>
      <c r="AI394" s="712"/>
      <c r="AJ394" s="712"/>
      <c r="AK394" s="712"/>
      <c r="AL394" s="712"/>
      <c r="AM394" s="712"/>
      <c r="AN394" s="712"/>
      <c r="AO394" s="712"/>
      <c r="AP394" s="712"/>
      <c r="AQ394" s="712"/>
      <c r="AR394" s="712"/>
      <c r="AS394" s="712"/>
      <c r="AT394" s="712"/>
      <c r="AU394" s="712"/>
      <c r="AV394" s="712"/>
      <c r="AW394" s="712"/>
      <c r="AX394" s="712"/>
      <c r="AY394" s="712"/>
      <c r="AZ394" s="712"/>
      <c r="BA394" s="712"/>
      <c r="BB394" s="712"/>
      <c r="BC394" s="712"/>
      <c r="BD394" s="712"/>
      <c r="BE394" s="712"/>
      <c r="BF394" s="712"/>
      <c r="BG394" s="712"/>
      <c r="BH394" s="712"/>
      <c r="BI394" s="712"/>
      <c r="BJ394" s="712"/>
      <c r="BK394" s="712"/>
      <c r="BL394" s="712"/>
      <c r="BM394" s="712"/>
      <c r="BN394" s="712"/>
      <c r="BO394" s="712"/>
      <c r="BP394" s="712"/>
      <c r="BQ394" s="712"/>
      <c r="BR394" s="712"/>
      <c r="BS394" s="712"/>
      <c r="BT394" s="712"/>
      <c r="BU394" s="712"/>
      <c r="BV394" s="712"/>
      <c r="BW394" s="712"/>
      <c r="BX394" s="712"/>
      <c r="BY394" s="712"/>
      <c r="BZ394" s="712"/>
      <c r="CA394" s="712"/>
      <c r="CB394" s="712"/>
      <c r="CC394" s="712"/>
      <c r="CD394" s="712"/>
      <c r="CE394" s="712"/>
      <c r="CF394" s="712"/>
      <c r="CG394" s="712"/>
      <c r="CH394" s="712"/>
      <c r="CI394" s="712"/>
      <c r="CJ394" s="712"/>
      <c r="CK394" s="712"/>
      <c r="CL394" s="712"/>
      <c r="CM394" s="712"/>
      <c r="CN394" s="712"/>
      <c r="CO394" s="712"/>
      <c r="CP394" s="712"/>
      <c r="CQ394" s="712"/>
      <c r="CR394" s="712"/>
      <c r="CS394" s="712"/>
      <c r="CT394" s="712"/>
      <c r="CU394" s="712"/>
      <c r="CV394" s="712"/>
      <c r="CW394" s="712"/>
      <c r="CX394" s="712"/>
      <c r="CY394" s="712"/>
      <c r="CZ394" s="712"/>
      <c r="DA394" s="712"/>
      <c r="DB394" s="712"/>
      <c r="DC394" s="712"/>
      <c r="DD394" s="712"/>
      <c r="DE394" s="712"/>
      <c r="DF394" s="712"/>
      <c r="DG394" s="712"/>
      <c r="DH394" s="712"/>
      <c r="DI394" s="712"/>
      <c r="DJ394" s="712"/>
      <c r="DK394" s="712"/>
      <c r="DL394" s="712"/>
      <c r="DM394" s="712"/>
      <c r="DN394" s="712"/>
      <c r="DO394" s="712"/>
      <c r="DP394" s="712"/>
      <c r="DQ394" s="712"/>
      <c r="DR394" s="712"/>
      <c r="DS394" s="712"/>
      <c r="DT394" s="712"/>
      <c r="DU394" s="712"/>
      <c r="DV394" s="712"/>
      <c r="DW394" s="712"/>
      <c r="DX394" s="712"/>
      <c r="DY394" s="712"/>
      <c r="DZ394" s="712"/>
      <c r="EA394" s="712"/>
      <c r="EB394" s="712"/>
      <c r="EC394" s="712"/>
      <c r="ED394" s="712"/>
      <c r="EE394" s="712"/>
      <c r="EF394" s="712"/>
      <c r="EG394" s="712"/>
      <c r="EH394" s="712"/>
      <c r="EI394" s="712"/>
      <c r="EJ394" s="712"/>
      <c r="EK394" s="712"/>
      <c r="EL394" s="712"/>
      <c r="EM394" s="712"/>
      <c r="EN394" s="712"/>
      <c r="EO394" s="712"/>
      <c r="EP394" s="712"/>
      <c r="EQ394" s="712"/>
      <c r="ER394" s="712"/>
      <c r="ES394" s="712"/>
      <c r="ET394" s="794"/>
      <c r="EU394" s="794"/>
      <c r="EV394" s="794"/>
      <c r="EW394" s="794"/>
      <c r="EX394" s="794"/>
      <c r="EY394" s="794"/>
      <c r="EZ394" s="794"/>
      <c r="FA394" s="712"/>
      <c r="FB394" s="712"/>
      <c r="FC394" s="712"/>
      <c r="FD394" s="712"/>
      <c r="FE394" s="712"/>
      <c r="FF394" s="712"/>
      <c r="FG394" s="712"/>
      <c r="FH394" s="712"/>
      <c r="FI394" s="712"/>
      <c r="FJ394" s="712"/>
      <c r="FK394" s="712"/>
      <c r="FL394" s="712"/>
      <c r="FM394" s="712"/>
      <c r="FN394" s="712"/>
      <c r="FO394" s="712"/>
      <c r="FP394" s="712"/>
      <c r="FQ394" s="712"/>
      <c r="FR394" s="712"/>
      <c r="FS394" s="712"/>
      <c r="FT394" s="712"/>
      <c r="FU394" s="712"/>
      <c r="FV394" s="712"/>
      <c r="FW394" s="712"/>
      <c r="FX394" s="712"/>
      <c r="FZ394" s="712"/>
      <c r="GA394" s="712"/>
      <c r="GB394" s="712"/>
      <c r="GC394" s="712"/>
      <c r="GD394" s="712"/>
      <c r="GE394" s="712"/>
      <c r="GF394" s="712"/>
      <c r="GG394" s="712"/>
      <c r="GH394" s="712"/>
      <c r="GI394" s="712"/>
      <c r="GJ394" s="712"/>
      <c r="GK394" s="712"/>
      <c r="GL394" s="712"/>
      <c r="GM394" s="712"/>
      <c r="GN394" s="712"/>
      <c r="GO394" s="712"/>
      <c r="GP394" s="712"/>
      <c r="GQ394" s="712"/>
      <c r="GR394" s="712"/>
      <c r="GS394" s="712"/>
      <c r="GT394" s="712"/>
      <c r="GU394" s="712"/>
      <c r="GV394" s="712"/>
      <c r="GW394" s="712"/>
      <c r="GX394" s="712"/>
      <c r="GY394" s="712"/>
      <c r="GZ394" s="712"/>
      <c r="HA394" s="712"/>
      <c r="HB394" s="712"/>
      <c r="HC394" s="712"/>
    </row>
    <row r="395" spans="1:211">
      <c r="A395" s="707"/>
      <c r="G395" s="712"/>
      <c r="H395" s="712"/>
      <c r="I395" s="712"/>
      <c r="J395" s="712"/>
      <c r="K395" s="712"/>
      <c r="L395" s="712"/>
      <c r="M395" s="712"/>
      <c r="N395" s="712"/>
      <c r="O395" s="712"/>
      <c r="P395" s="712"/>
      <c r="Q395" s="712"/>
      <c r="R395" s="712"/>
      <c r="S395" s="712"/>
      <c r="T395" s="712"/>
      <c r="U395" s="712"/>
      <c r="V395" s="712"/>
      <c r="W395" s="712"/>
      <c r="X395" s="712"/>
      <c r="Y395" s="712"/>
      <c r="Z395" s="712"/>
      <c r="AA395" s="712"/>
      <c r="AB395" s="712"/>
      <c r="AC395" s="712"/>
      <c r="AD395" s="712"/>
      <c r="AE395" s="712"/>
      <c r="AF395" s="712"/>
      <c r="AG395" s="712"/>
      <c r="AH395" s="712"/>
      <c r="AI395" s="712"/>
      <c r="AJ395" s="712"/>
      <c r="AK395" s="712"/>
      <c r="AL395" s="712"/>
      <c r="AM395" s="712"/>
      <c r="AN395" s="712"/>
      <c r="AO395" s="712"/>
      <c r="AP395" s="712"/>
      <c r="AQ395" s="712"/>
      <c r="AR395" s="712"/>
      <c r="AS395" s="712"/>
      <c r="AT395" s="712"/>
      <c r="AU395" s="712"/>
      <c r="AV395" s="712"/>
      <c r="AW395" s="712"/>
      <c r="AX395" s="712"/>
      <c r="AY395" s="712"/>
      <c r="AZ395" s="712"/>
      <c r="BA395" s="712"/>
      <c r="BB395" s="712"/>
      <c r="BC395" s="712"/>
      <c r="BD395" s="712"/>
      <c r="BE395" s="712"/>
      <c r="BF395" s="712"/>
      <c r="BG395" s="712"/>
      <c r="BH395" s="712"/>
      <c r="BI395" s="712"/>
      <c r="BJ395" s="712"/>
      <c r="BK395" s="712"/>
      <c r="BL395" s="712"/>
      <c r="BM395" s="712"/>
      <c r="BN395" s="712"/>
      <c r="BO395" s="712"/>
      <c r="BP395" s="712"/>
      <c r="BQ395" s="712"/>
      <c r="BR395" s="712"/>
      <c r="BS395" s="712"/>
      <c r="BT395" s="712"/>
      <c r="BU395" s="712"/>
      <c r="BV395" s="712"/>
      <c r="BW395" s="712"/>
      <c r="BX395" s="712"/>
      <c r="BY395" s="712"/>
      <c r="BZ395" s="712"/>
      <c r="CA395" s="712"/>
      <c r="CB395" s="712"/>
      <c r="CC395" s="712"/>
      <c r="CD395" s="712"/>
      <c r="CE395" s="712"/>
      <c r="CF395" s="712"/>
      <c r="CG395" s="712"/>
      <c r="CH395" s="712"/>
      <c r="CI395" s="712"/>
      <c r="CJ395" s="712"/>
      <c r="CK395" s="712"/>
      <c r="CL395" s="712"/>
      <c r="CM395" s="712"/>
      <c r="CN395" s="712"/>
      <c r="CO395" s="712"/>
      <c r="CP395" s="712"/>
      <c r="CQ395" s="712"/>
      <c r="CR395" s="712"/>
      <c r="CS395" s="712"/>
      <c r="CT395" s="712"/>
      <c r="CU395" s="712"/>
      <c r="CV395" s="712"/>
      <c r="CW395" s="712"/>
      <c r="CX395" s="712"/>
      <c r="CY395" s="712"/>
      <c r="CZ395" s="712"/>
      <c r="DA395" s="712"/>
      <c r="DB395" s="712"/>
      <c r="DC395" s="712"/>
      <c r="DD395" s="712"/>
      <c r="DE395" s="712"/>
      <c r="DF395" s="712"/>
      <c r="DG395" s="712"/>
      <c r="DH395" s="712"/>
      <c r="DI395" s="712"/>
      <c r="DJ395" s="712"/>
      <c r="DK395" s="712"/>
      <c r="DL395" s="712"/>
      <c r="DM395" s="712"/>
      <c r="DN395" s="712"/>
      <c r="DO395" s="712"/>
      <c r="DP395" s="712"/>
      <c r="DQ395" s="712"/>
      <c r="DR395" s="712"/>
      <c r="DS395" s="712"/>
      <c r="DT395" s="712"/>
      <c r="DU395" s="712"/>
      <c r="DV395" s="712"/>
      <c r="DW395" s="712"/>
      <c r="DX395" s="712"/>
      <c r="DY395" s="712"/>
      <c r="DZ395" s="712"/>
      <c r="EA395" s="712"/>
      <c r="EB395" s="712"/>
      <c r="EC395" s="712"/>
      <c r="ED395" s="712"/>
      <c r="EE395" s="712"/>
      <c r="EF395" s="712"/>
      <c r="EG395" s="712"/>
      <c r="EH395" s="712"/>
      <c r="EI395" s="712"/>
      <c r="EJ395" s="712"/>
      <c r="EK395" s="712"/>
      <c r="EL395" s="712"/>
      <c r="EM395" s="712"/>
      <c r="EN395" s="712"/>
      <c r="EO395" s="712"/>
      <c r="EP395" s="712"/>
      <c r="EQ395" s="712"/>
      <c r="ER395" s="712"/>
      <c r="ES395" s="712"/>
      <c r="ET395" s="794"/>
      <c r="EU395" s="794"/>
      <c r="EV395" s="794"/>
      <c r="EW395" s="794"/>
      <c r="EX395" s="794"/>
      <c r="EY395" s="794"/>
      <c r="EZ395" s="794"/>
      <c r="FA395" s="712"/>
      <c r="FB395" s="712"/>
      <c r="FC395" s="712"/>
      <c r="FD395" s="712"/>
      <c r="FE395" s="712"/>
      <c r="FF395" s="712"/>
      <c r="FG395" s="712"/>
      <c r="FH395" s="712"/>
      <c r="FI395" s="712"/>
      <c r="FJ395" s="712"/>
      <c r="FK395" s="712"/>
      <c r="FL395" s="712"/>
      <c r="FM395" s="712"/>
      <c r="FN395" s="712"/>
      <c r="FO395" s="712"/>
      <c r="FP395" s="712"/>
      <c r="FQ395" s="712"/>
      <c r="FR395" s="712"/>
      <c r="FS395" s="712"/>
      <c r="FT395" s="712"/>
      <c r="FU395" s="712"/>
      <c r="FV395" s="712"/>
      <c r="FW395" s="712"/>
      <c r="FX395" s="712"/>
      <c r="FZ395" s="712"/>
      <c r="GA395" s="712"/>
      <c r="GB395" s="712"/>
      <c r="GC395" s="712"/>
      <c r="GD395" s="712"/>
      <c r="GE395" s="712"/>
      <c r="GF395" s="712"/>
      <c r="GG395" s="712"/>
      <c r="GH395" s="712"/>
      <c r="GI395" s="712"/>
      <c r="GJ395" s="712"/>
      <c r="GK395" s="712"/>
      <c r="GL395" s="712"/>
      <c r="GM395" s="712"/>
      <c r="GN395" s="712"/>
      <c r="GO395" s="712"/>
      <c r="GP395" s="712"/>
      <c r="GQ395" s="712"/>
      <c r="GR395" s="712"/>
      <c r="GS395" s="712"/>
      <c r="GT395" s="712"/>
      <c r="GU395" s="712"/>
      <c r="GV395" s="712"/>
      <c r="GW395" s="712"/>
      <c r="GX395" s="712"/>
      <c r="GY395" s="712"/>
      <c r="GZ395" s="712"/>
      <c r="HA395" s="712"/>
      <c r="HB395" s="712"/>
      <c r="HC395" s="712"/>
    </row>
    <row r="396" spans="1:211">
      <c r="A396" s="707"/>
      <c r="G396" s="712"/>
      <c r="H396" s="712"/>
      <c r="I396" s="712"/>
      <c r="J396" s="712"/>
      <c r="K396" s="712"/>
      <c r="L396" s="712"/>
      <c r="M396" s="712"/>
      <c r="N396" s="712"/>
      <c r="O396" s="712"/>
      <c r="P396" s="712"/>
      <c r="Q396" s="712"/>
      <c r="R396" s="712"/>
      <c r="S396" s="712"/>
      <c r="T396" s="712"/>
      <c r="U396" s="712"/>
      <c r="V396" s="712"/>
      <c r="W396" s="712"/>
      <c r="X396" s="712"/>
      <c r="Y396" s="712"/>
      <c r="Z396" s="712"/>
      <c r="AA396" s="712"/>
      <c r="AB396" s="712"/>
      <c r="AC396" s="712"/>
      <c r="AD396" s="712"/>
      <c r="AE396" s="712"/>
      <c r="AF396" s="712"/>
      <c r="AG396" s="712"/>
      <c r="AH396" s="712"/>
      <c r="AI396" s="712"/>
      <c r="AJ396" s="712"/>
      <c r="AK396" s="712"/>
      <c r="AL396" s="712"/>
      <c r="AM396" s="712"/>
      <c r="AN396" s="712"/>
      <c r="AO396" s="712"/>
      <c r="AP396" s="712"/>
      <c r="AQ396" s="712"/>
      <c r="AR396" s="712"/>
      <c r="AS396" s="712"/>
      <c r="AT396" s="712"/>
      <c r="AU396" s="712"/>
      <c r="AV396" s="712"/>
      <c r="AW396" s="712"/>
      <c r="AX396" s="712"/>
      <c r="AY396" s="712"/>
      <c r="AZ396" s="712"/>
      <c r="BA396" s="712"/>
      <c r="BB396" s="712"/>
      <c r="BC396" s="712"/>
      <c r="BD396" s="712"/>
      <c r="BE396" s="712"/>
      <c r="BF396" s="712"/>
      <c r="BG396" s="712"/>
      <c r="BH396" s="712"/>
      <c r="BI396" s="712"/>
      <c r="BJ396" s="712"/>
      <c r="BK396" s="712"/>
      <c r="BL396" s="712"/>
      <c r="BM396" s="712"/>
      <c r="BN396" s="712"/>
      <c r="BO396" s="712"/>
      <c r="BP396" s="712"/>
      <c r="BQ396" s="712"/>
      <c r="BR396" s="712"/>
      <c r="BS396" s="712"/>
      <c r="BT396" s="712"/>
      <c r="BU396" s="712"/>
      <c r="BV396" s="712"/>
      <c r="BW396" s="712"/>
      <c r="BX396" s="712"/>
      <c r="BY396" s="712"/>
      <c r="BZ396" s="712"/>
      <c r="CA396" s="712"/>
      <c r="CB396" s="712"/>
      <c r="CC396" s="712"/>
      <c r="CD396" s="712"/>
      <c r="CE396" s="712"/>
      <c r="CF396" s="712"/>
      <c r="CG396" s="712"/>
      <c r="CH396" s="712"/>
      <c r="CI396" s="712"/>
      <c r="CJ396" s="712"/>
      <c r="CK396" s="712"/>
      <c r="CL396" s="712"/>
      <c r="CM396" s="712"/>
      <c r="CN396" s="712"/>
      <c r="CO396" s="712"/>
      <c r="CP396" s="712"/>
      <c r="CQ396" s="712"/>
      <c r="CR396" s="712"/>
      <c r="CS396" s="712"/>
      <c r="CT396" s="712"/>
      <c r="CU396" s="712"/>
      <c r="CV396" s="712"/>
      <c r="CW396" s="712"/>
      <c r="CX396" s="712"/>
      <c r="CY396" s="712"/>
      <c r="CZ396" s="712"/>
      <c r="DA396" s="712"/>
      <c r="DB396" s="712"/>
      <c r="DC396" s="712"/>
      <c r="DD396" s="712"/>
      <c r="DE396" s="712"/>
      <c r="DF396" s="712"/>
      <c r="DG396" s="712"/>
      <c r="DH396" s="712"/>
      <c r="DI396" s="712"/>
      <c r="DJ396" s="712"/>
      <c r="DK396" s="712"/>
      <c r="DL396" s="712"/>
      <c r="DM396" s="712"/>
      <c r="DN396" s="712"/>
      <c r="DO396" s="712"/>
      <c r="DP396" s="712"/>
      <c r="DQ396" s="712"/>
      <c r="DR396" s="712"/>
      <c r="DS396" s="712"/>
      <c r="DT396" s="712"/>
      <c r="DU396" s="712"/>
      <c r="DV396" s="712"/>
      <c r="DW396" s="712"/>
      <c r="DX396" s="712"/>
      <c r="DY396" s="712"/>
      <c r="DZ396" s="712"/>
      <c r="EA396" s="712"/>
      <c r="EB396" s="712"/>
      <c r="EC396" s="712"/>
      <c r="ED396" s="712"/>
      <c r="EE396" s="712"/>
      <c r="EF396" s="712"/>
      <c r="EG396" s="712"/>
      <c r="EH396" s="712"/>
      <c r="EI396" s="712"/>
      <c r="EJ396" s="712"/>
      <c r="EK396" s="712"/>
      <c r="EL396" s="712"/>
      <c r="EM396" s="712"/>
      <c r="EN396" s="712"/>
      <c r="EO396" s="712"/>
      <c r="EP396" s="712"/>
      <c r="EQ396" s="712"/>
      <c r="ER396" s="712"/>
      <c r="ES396" s="712"/>
      <c r="ET396" s="794"/>
      <c r="EU396" s="794"/>
      <c r="EV396" s="794"/>
      <c r="EW396" s="794"/>
      <c r="EX396" s="794"/>
      <c r="EY396" s="794"/>
      <c r="EZ396" s="794"/>
      <c r="FA396" s="712"/>
      <c r="FB396" s="712"/>
      <c r="FC396" s="712"/>
      <c r="FD396" s="712"/>
      <c r="FE396" s="712"/>
      <c r="FF396" s="712"/>
      <c r="FG396" s="712"/>
      <c r="FH396" s="712"/>
      <c r="FI396" s="712"/>
      <c r="FJ396" s="712"/>
      <c r="FK396" s="712"/>
      <c r="FL396" s="712"/>
      <c r="FM396" s="712"/>
      <c r="FN396" s="712"/>
      <c r="FO396" s="712"/>
      <c r="FP396" s="712"/>
      <c r="FQ396" s="712"/>
      <c r="FR396" s="712"/>
      <c r="FS396" s="712"/>
      <c r="FT396" s="712"/>
      <c r="FU396" s="712"/>
      <c r="FV396" s="712"/>
      <c r="FW396" s="712"/>
      <c r="FX396" s="712"/>
      <c r="FZ396" s="712"/>
      <c r="GA396" s="712"/>
      <c r="GB396" s="712"/>
      <c r="GC396" s="712"/>
      <c r="GD396" s="712"/>
      <c r="GE396" s="712"/>
      <c r="GF396" s="712"/>
      <c r="GG396" s="712"/>
      <c r="GH396" s="712"/>
      <c r="GI396" s="712"/>
      <c r="GJ396" s="712"/>
      <c r="GK396" s="712"/>
      <c r="GL396" s="712"/>
      <c r="GM396" s="712"/>
      <c r="GN396" s="712"/>
      <c r="GO396" s="712"/>
      <c r="GP396" s="712"/>
      <c r="GQ396" s="712"/>
      <c r="GR396" s="712"/>
      <c r="GS396" s="712"/>
      <c r="GT396" s="712"/>
      <c r="GU396" s="712"/>
      <c r="GV396" s="712"/>
      <c r="GW396" s="712"/>
      <c r="GX396" s="712"/>
      <c r="GY396" s="712"/>
      <c r="GZ396" s="712"/>
      <c r="HA396" s="712"/>
      <c r="HB396" s="712"/>
      <c r="HC396" s="712"/>
    </row>
    <row r="397" spans="1:211">
      <c r="A397" s="707"/>
      <c r="G397" s="712"/>
      <c r="H397" s="712"/>
      <c r="I397" s="712"/>
      <c r="J397" s="712"/>
      <c r="K397" s="712"/>
      <c r="L397" s="712"/>
      <c r="M397" s="712"/>
      <c r="N397" s="712"/>
      <c r="O397" s="712"/>
      <c r="P397" s="712"/>
      <c r="Q397" s="712"/>
      <c r="R397" s="712"/>
      <c r="S397" s="712"/>
      <c r="T397" s="712"/>
      <c r="U397" s="712"/>
      <c r="V397" s="712"/>
      <c r="W397" s="712"/>
      <c r="X397" s="712"/>
      <c r="Y397" s="712"/>
      <c r="Z397" s="712"/>
      <c r="AA397" s="712"/>
      <c r="AB397" s="712"/>
      <c r="AC397" s="712"/>
      <c r="AD397" s="712"/>
      <c r="AE397" s="712"/>
      <c r="AF397" s="712"/>
      <c r="AG397" s="712"/>
      <c r="AH397" s="712"/>
      <c r="AI397" s="712"/>
      <c r="AJ397" s="712"/>
      <c r="AK397" s="712"/>
      <c r="AL397" s="712"/>
      <c r="AM397" s="712"/>
      <c r="AN397" s="712"/>
      <c r="AO397" s="712"/>
      <c r="AP397" s="712"/>
      <c r="AQ397" s="712"/>
      <c r="AR397" s="712"/>
      <c r="AS397" s="712"/>
      <c r="AT397" s="712"/>
      <c r="AU397" s="712"/>
      <c r="AV397" s="712"/>
      <c r="AW397" s="712"/>
      <c r="AX397" s="712"/>
      <c r="AY397" s="712"/>
      <c r="AZ397" s="712"/>
      <c r="BA397" s="712"/>
      <c r="BB397" s="712"/>
      <c r="BC397" s="712"/>
      <c r="BD397" s="712"/>
      <c r="BE397" s="712"/>
      <c r="BF397" s="712"/>
      <c r="BG397" s="712"/>
      <c r="BH397" s="712"/>
      <c r="BI397" s="712"/>
      <c r="BJ397" s="712"/>
      <c r="BK397" s="712"/>
      <c r="BL397" s="712"/>
      <c r="BM397" s="712"/>
      <c r="BN397" s="712"/>
      <c r="BO397" s="712"/>
      <c r="BP397" s="712"/>
      <c r="BQ397" s="712"/>
      <c r="BR397" s="712"/>
      <c r="BS397" s="712"/>
      <c r="BT397" s="712"/>
      <c r="BU397" s="712"/>
      <c r="BV397" s="712"/>
      <c r="BW397" s="712"/>
      <c r="BX397" s="712"/>
      <c r="BY397" s="712"/>
      <c r="BZ397" s="712"/>
      <c r="CA397" s="712"/>
      <c r="CB397" s="712"/>
      <c r="CC397" s="712"/>
      <c r="CD397" s="712"/>
      <c r="CE397" s="712"/>
      <c r="CF397" s="712"/>
      <c r="CG397" s="712"/>
      <c r="CH397" s="712"/>
      <c r="CI397" s="712"/>
      <c r="CJ397" s="712"/>
      <c r="CK397" s="712"/>
      <c r="CL397" s="712"/>
      <c r="CM397" s="712"/>
      <c r="CN397" s="712"/>
      <c r="CO397" s="712"/>
      <c r="CP397" s="712"/>
      <c r="CQ397" s="712"/>
      <c r="CR397" s="712"/>
      <c r="CS397" s="712"/>
      <c r="CT397" s="712"/>
      <c r="CU397" s="712"/>
      <c r="CV397" s="712"/>
      <c r="CW397" s="712"/>
      <c r="CX397" s="712"/>
      <c r="CY397" s="712"/>
      <c r="CZ397" s="712"/>
      <c r="DA397" s="712"/>
      <c r="DB397" s="712"/>
      <c r="DC397" s="712"/>
      <c r="DD397" s="712"/>
      <c r="DE397" s="712"/>
      <c r="DF397" s="712"/>
      <c r="DG397" s="712"/>
      <c r="DH397" s="712"/>
      <c r="DI397" s="712"/>
      <c r="DJ397" s="712"/>
      <c r="DK397" s="712"/>
      <c r="DL397" s="712"/>
      <c r="DM397" s="712"/>
      <c r="DN397" s="712"/>
      <c r="DO397" s="712"/>
      <c r="DP397" s="712"/>
      <c r="DQ397" s="712"/>
      <c r="DR397" s="712"/>
      <c r="DS397" s="712"/>
      <c r="DT397" s="712"/>
      <c r="DU397" s="712"/>
      <c r="DV397" s="712"/>
      <c r="DW397" s="712"/>
      <c r="DX397" s="712"/>
      <c r="DY397" s="712"/>
      <c r="DZ397" s="712"/>
      <c r="EA397" s="712"/>
      <c r="EB397" s="712"/>
      <c r="EC397" s="712"/>
      <c r="ED397" s="712"/>
      <c r="EE397" s="712"/>
      <c r="EF397" s="712"/>
      <c r="EG397" s="712"/>
      <c r="EH397" s="712"/>
      <c r="EI397" s="712"/>
      <c r="EJ397" s="712"/>
      <c r="EK397" s="712"/>
      <c r="EL397" s="712"/>
      <c r="EM397" s="712"/>
      <c r="EN397" s="712"/>
      <c r="EO397" s="712"/>
      <c r="EP397" s="712"/>
      <c r="EQ397" s="712"/>
      <c r="ER397" s="712"/>
      <c r="ES397" s="712"/>
      <c r="ET397" s="794"/>
      <c r="EU397" s="794"/>
      <c r="EV397" s="794"/>
      <c r="EW397" s="794"/>
      <c r="EX397" s="794"/>
      <c r="EY397" s="794"/>
      <c r="EZ397" s="794"/>
      <c r="FA397" s="712"/>
      <c r="FB397" s="712"/>
      <c r="FC397" s="712"/>
      <c r="FD397" s="712"/>
      <c r="FE397" s="712"/>
      <c r="FF397" s="712"/>
      <c r="FG397" s="712"/>
      <c r="FH397" s="712"/>
      <c r="FI397" s="712"/>
      <c r="FJ397" s="712"/>
      <c r="FK397" s="712"/>
      <c r="FL397" s="712"/>
      <c r="FM397" s="712"/>
      <c r="FN397" s="712"/>
      <c r="FO397" s="712"/>
      <c r="FP397" s="712"/>
      <c r="FQ397" s="712"/>
      <c r="FR397" s="712"/>
      <c r="FS397" s="712"/>
      <c r="FT397" s="712"/>
      <c r="FU397" s="712"/>
      <c r="FV397" s="712"/>
      <c r="FW397" s="712"/>
      <c r="FX397" s="712"/>
      <c r="FZ397" s="712"/>
      <c r="GA397" s="712"/>
      <c r="GB397" s="712"/>
      <c r="GC397" s="712"/>
      <c r="GD397" s="712"/>
      <c r="GE397" s="712"/>
      <c r="GF397" s="712"/>
      <c r="GG397" s="712"/>
      <c r="GH397" s="712"/>
      <c r="GI397" s="712"/>
      <c r="GJ397" s="712"/>
      <c r="GK397" s="712"/>
      <c r="GL397" s="712"/>
      <c r="GM397" s="712"/>
      <c r="GN397" s="712"/>
      <c r="GO397" s="712"/>
      <c r="GP397" s="712"/>
      <c r="GQ397" s="712"/>
      <c r="GR397" s="712"/>
      <c r="GS397" s="712"/>
      <c r="GT397" s="712"/>
      <c r="GU397" s="712"/>
      <c r="GV397" s="712"/>
      <c r="GW397" s="712"/>
      <c r="GX397" s="712"/>
      <c r="GY397" s="712"/>
      <c r="GZ397" s="712"/>
      <c r="HA397" s="712"/>
      <c r="HB397" s="712"/>
      <c r="HC397" s="712"/>
    </row>
    <row r="398" spans="1:211">
      <c r="A398" s="707"/>
      <c r="G398" s="712"/>
      <c r="H398" s="712"/>
      <c r="I398" s="712"/>
      <c r="J398" s="712"/>
      <c r="K398" s="712"/>
      <c r="L398" s="712"/>
      <c r="M398" s="712"/>
      <c r="N398" s="712"/>
      <c r="O398" s="712"/>
      <c r="P398" s="712"/>
      <c r="Q398" s="712"/>
      <c r="R398" s="712"/>
      <c r="S398" s="712"/>
      <c r="T398" s="712"/>
      <c r="U398" s="712"/>
      <c r="V398" s="712"/>
      <c r="W398" s="712"/>
      <c r="X398" s="712"/>
      <c r="Y398" s="712"/>
      <c r="Z398" s="712"/>
      <c r="AA398" s="712"/>
      <c r="AB398" s="712"/>
      <c r="AC398" s="712"/>
      <c r="AD398" s="712"/>
      <c r="AE398" s="712"/>
      <c r="AF398" s="712"/>
      <c r="AG398" s="712"/>
      <c r="AH398" s="712"/>
      <c r="AI398" s="712"/>
      <c r="AJ398" s="712"/>
      <c r="AK398" s="712"/>
      <c r="AL398" s="712"/>
      <c r="AM398" s="712"/>
      <c r="AN398" s="712"/>
      <c r="AO398" s="712"/>
      <c r="AP398" s="712"/>
      <c r="AQ398" s="712"/>
      <c r="AR398" s="712"/>
      <c r="AS398" s="712"/>
      <c r="AT398" s="712"/>
      <c r="AU398" s="712"/>
      <c r="AV398" s="712"/>
      <c r="AW398" s="712"/>
      <c r="AX398" s="712"/>
      <c r="AY398" s="712"/>
      <c r="AZ398" s="712"/>
      <c r="BA398" s="712"/>
      <c r="BB398" s="712"/>
      <c r="BC398" s="712"/>
      <c r="BD398" s="712"/>
      <c r="BE398" s="712"/>
      <c r="BF398" s="712"/>
      <c r="BG398" s="712"/>
      <c r="BH398" s="712"/>
      <c r="BI398" s="712"/>
      <c r="BJ398" s="712"/>
      <c r="BK398" s="712"/>
      <c r="BL398" s="712"/>
      <c r="BM398" s="712"/>
      <c r="BN398" s="712"/>
      <c r="BO398" s="712"/>
      <c r="BP398" s="712"/>
      <c r="BQ398" s="712"/>
      <c r="BR398" s="712"/>
      <c r="BS398" s="712"/>
      <c r="BT398" s="712"/>
      <c r="BU398" s="712"/>
      <c r="BV398" s="712"/>
      <c r="BW398" s="712"/>
      <c r="BX398" s="712"/>
      <c r="BY398" s="712"/>
      <c r="BZ398" s="712"/>
      <c r="CA398" s="712"/>
      <c r="CB398" s="712"/>
      <c r="CC398" s="712"/>
      <c r="CD398" s="712"/>
      <c r="CE398" s="712"/>
      <c r="CF398" s="712"/>
      <c r="CG398" s="712"/>
      <c r="CH398" s="712"/>
      <c r="CI398" s="712"/>
      <c r="CJ398" s="712"/>
      <c r="CK398" s="712"/>
      <c r="CL398" s="712"/>
      <c r="CM398" s="712"/>
      <c r="CN398" s="712"/>
      <c r="CO398" s="712"/>
      <c r="CP398" s="712"/>
      <c r="CQ398" s="712"/>
      <c r="CR398" s="712"/>
      <c r="CS398" s="712"/>
      <c r="CT398" s="712"/>
      <c r="CU398" s="712"/>
      <c r="CV398" s="712"/>
      <c r="CW398" s="712"/>
      <c r="CX398" s="712"/>
      <c r="CY398" s="712"/>
      <c r="CZ398" s="712"/>
      <c r="DA398" s="712"/>
      <c r="DB398" s="712"/>
      <c r="DC398" s="712"/>
      <c r="DD398" s="712"/>
      <c r="DE398" s="712"/>
      <c r="DF398" s="712"/>
      <c r="DG398" s="712"/>
      <c r="DH398" s="712"/>
      <c r="DI398" s="712"/>
      <c r="DJ398" s="712"/>
      <c r="DK398" s="712"/>
      <c r="DL398" s="712"/>
      <c r="DM398" s="712"/>
      <c r="DN398" s="712"/>
      <c r="DO398" s="712"/>
      <c r="DP398" s="712"/>
      <c r="DQ398" s="712"/>
      <c r="DR398" s="712"/>
      <c r="DS398" s="712"/>
      <c r="DT398" s="712"/>
      <c r="DU398" s="712"/>
      <c r="DV398" s="712"/>
      <c r="DW398" s="712"/>
      <c r="DX398" s="712"/>
      <c r="DY398" s="712"/>
      <c r="DZ398" s="712"/>
      <c r="EA398" s="712"/>
      <c r="EB398" s="712"/>
      <c r="EC398" s="712"/>
      <c r="ED398" s="712"/>
      <c r="EE398" s="712"/>
      <c r="EF398" s="712"/>
      <c r="EG398" s="712"/>
      <c r="EH398" s="712"/>
      <c r="EI398" s="712"/>
      <c r="EJ398" s="712"/>
      <c r="EK398" s="712"/>
      <c r="EL398" s="712"/>
      <c r="EM398" s="712"/>
      <c r="EN398" s="712"/>
      <c r="EO398" s="712"/>
      <c r="EP398" s="712"/>
      <c r="EQ398" s="712"/>
      <c r="ER398" s="712"/>
      <c r="ES398" s="712"/>
      <c r="ET398" s="794"/>
      <c r="EU398" s="794"/>
      <c r="EV398" s="794"/>
      <c r="EW398" s="794"/>
      <c r="EX398" s="794"/>
      <c r="EY398" s="794"/>
      <c r="EZ398" s="794"/>
      <c r="FA398" s="712"/>
      <c r="FB398" s="712"/>
      <c r="FC398" s="712"/>
      <c r="FD398" s="712"/>
      <c r="FE398" s="712"/>
      <c r="FF398" s="712"/>
      <c r="FG398" s="712"/>
      <c r="FH398" s="712"/>
      <c r="FI398" s="712"/>
      <c r="FJ398" s="712"/>
      <c r="FK398" s="712"/>
      <c r="FL398" s="712"/>
      <c r="FM398" s="712"/>
      <c r="FN398" s="712"/>
      <c r="FO398" s="712"/>
      <c r="FP398" s="712"/>
      <c r="FQ398" s="712"/>
      <c r="FR398" s="712"/>
      <c r="FS398" s="712"/>
      <c r="FT398" s="712"/>
      <c r="FU398" s="712"/>
      <c r="FV398" s="712"/>
      <c r="FW398" s="712"/>
      <c r="FX398" s="712"/>
      <c r="FZ398" s="712"/>
      <c r="GA398" s="712"/>
      <c r="GB398" s="712"/>
      <c r="GC398" s="712"/>
      <c r="GD398" s="712"/>
      <c r="GE398" s="712"/>
      <c r="GF398" s="712"/>
      <c r="GG398" s="712"/>
      <c r="GH398" s="712"/>
      <c r="GI398" s="712"/>
      <c r="GJ398" s="712"/>
      <c r="GK398" s="712"/>
      <c r="GL398" s="712"/>
      <c r="GM398" s="712"/>
      <c r="GN398" s="712"/>
      <c r="GO398" s="712"/>
      <c r="GP398" s="712"/>
      <c r="GQ398" s="712"/>
      <c r="GR398" s="712"/>
      <c r="GS398" s="712"/>
      <c r="GT398" s="712"/>
      <c r="GU398" s="712"/>
      <c r="GV398" s="712"/>
      <c r="GW398" s="712"/>
      <c r="GX398" s="712"/>
      <c r="GY398" s="712"/>
      <c r="GZ398" s="712"/>
      <c r="HA398" s="712"/>
      <c r="HB398" s="712"/>
      <c r="HC398" s="712"/>
    </row>
    <row r="399" spans="1:211">
      <c r="A399" s="707"/>
      <c r="G399" s="712"/>
      <c r="H399" s="712"/>
      <c r="I399" s="712"/>
      <c r="J399" s="712"/>
      <c r="K399" s="712"/>
      <c r="L399" s="712"/>
      <c r="M399" s="712"/>
      <c r="N399" s="712"/>
      <c r="O399" s="712"/>
      <c r="P399" s="712"/>
      <c r="Q399" s="712"/>
      <c r="R399" s="712"/>
      <c r="S399" s="712"/>
      <c r="T399" s="712"/>
      <c r="U399" s="712"/>
      <c r="V399" s="712"/>
      <c r="W399" s="712"/>
      <c r="X399" s="712"/>
      <c r="Y399" s="712"/>
      <c r="Z399" s="712"/>
      <c r="AA399" s="712"/>
      <c r="AB399" s="712"/>
      <c r="AC399" s="712"/>
      <c r="AD399" s="712"/>
      <c r="AE399" s="712"/>
      <c r="AF399" s="712"/>
      <c r="AG399" s="712"/>
      <c r="AH399" s="712"/>
      <c r="AI399" s="712"/>
      <c r="AJ399" s="712"/>
      <c r="AK399" s="712"/>
      <c r="AL399" s="712"/>
      <c r="AM399" s="712"/>
      <c r="AN399" s="712"/>
      <c r="AO399" s="712"/>
      <c r="AP399" s="712"/>
      <c r="AQ399" s="712"/>
      <c r="AR399" s="712"/>
      <c r="AS399" s="712"/>
      <c r="AT399" s="712"/>
      <c r="AU399" s="712"/>
      <c r="AV399" s="712"/>
      <c r="AW399" s="712"/>
      <c r="AX399" s="712"/>
      <c r="AY399" s="712"/>
      <c r="AZ399" s="712"/>
      <c r="BA399" s="712"/>
      <c r="BB399" s="712"/>
      <c r="BC399" s="712"/>
      <c r="BD399" s="712"/>
      <c r="BE399" s="712"/>
      <c r="BF399" s="712"/>
      <c r="BG399" s="712"/>
      <c r="BH399" s="712"/>
      <c r="BI399" s="712"/>
      <c r="BJ399" s="712"/>
      <c r="BK399" s="712"/>
      <c r="BL399" s="712"/>
      <c r="BM399" s="712"/>
      <c r="BN399" s="712"/>
      <c r="BO399" s="712"/>
      <c r="BP399" s="712"/>
      <c r="BQ399" s="712"/>
      <c r="BR399" s="712"/>
      <c r="BS399" s="712"/>
      <c r="BT399" s="712"/>
      <c r="BU399" s="712"/>
      <c r="BV399" s="712"/>
      <c r="BW399" s="712"/>
      <c r="BX399" s="712"/>
      <c r="BY399" s="712"/>
      <c r="BZ399" s="712"/>
      <c r="CA399" s="712"/>
      <c r="CB399" s="712"/>
      <c r="CC399" s="712"/>
      <c r="CD399" s="712"/>
      <c r="CE399" s="712"/>
      <c r="CF399" s="712"/>
      <c r="CG399" s="712"/>
      <c r="CH399" s="712"/>
      <c r="CI399" s="712"/>
      <c r="CJ399" s="712"/>
      <c r="CK399" s="712"/>
      <c r="CL399" s="712"/>
      <c r="CM399" s="712"/>
      <c r="CN399" s="712"/>
      <c r="CO399" s="712"/>
      <c r="CP399" s="712"/>
      <c r="CQ399" s="712"/>
      <c r="CR399" s="712"/>
      <c r="CS399" s="712"/>
      <c r="CT399" s="712"/>
      <c r="CU399" s="712"/>
      <c r="CV399" s="712"/>
      <c r="CW399" s="712"/>
      <c r="CX399" s="712"/>
      <c r="CY399" s="712"/>
      <c r="CZ399" s="712"/>
      <c r="DA399" s="712"/>
      <c r="DB399" s="712"/>
      <c r="DC399" s="712"/>
      <c r="DD399" s="712"/>
      <c r="DE399" s="712"/>
      <c r="DF399" s="712"/>
      <c r="DG399" s="712"/>
      <c r="DH399" s="712"/>
      <c r="DI399" s="712"/>
      <c r="DJ399" s="712"/>
      <c r="DK399" s="712"/>
      <c r="DL399" s="712"/>
      <c r="DM399" s="712"/>
      <c r="DN399" s="712"/>
      <c r="DO399" s="712"/>
      <c r="DP399" s="712"/>
      <c r="DQ399" s="712"/>
      <c r="DR399" s="712"/>
      <c r="DS399" s="712"/>
      <c r="DT399" s="712"/>
      <c r="DU399" s="712"/>
      <c r="DV399" s="712"/>
      <c r="DW399" s="712"/>
      <c r="DX399" s="712"/>
      <c r="DY399" s="712"/>
      <c r="DZ399" s="712"/>
      <c r="EA399" s="712"/>
      <c r="EB399" s="712"/>
      <c r="EC399" s="712"/>
      <c r="ED399" s="712"/>
      <c r="EE399" s="712"/>
      <c r="EF399" s="712"/>
      <c r="EG399" s="712"/>
      <c r="EH399" s="712"/>
      <c r="EI399" s="712"/>
      <c r="EJ399" s="712"/>
      <c r="EK399" s="712"/>
      <c r="EL399" s="712"/>
      <c r="EM399" s="712"/>
      <c r="EN399" s="712"/>
      <c r="EO399" s="712"/>
      <c r="EP399" s="712"/>
      <c r="EQ399" s="712"/>
      <c r="ER399" s="712"/>
      <c r="ES399" s="712"/>
      <c r="ET399" s="794"/>
      <c r="EU399" s="794"/>
      <c r="EV399" s="794"/>
      <c r="EW399" s="794"/>
      <c r="EX399" s="794"/>
      <c r="EY399" s="794"/>
      <c r="EZ399" s="794"/>
      <c r="FA399" s="712"/>
      <c r="FB399" s="712"/>
      <c r="FC399" s="712"/>
      <c r="FD399" s="712"/>
      <c r="FE399" s="712"/>
      <c r="FF399" s="712"/>
      <c r="FG399" s="712"/>
      <c r="FH399" s="712"/>
      <c r="FI399" s="712"/>
      <c r="FJ399" s="712"/>
      <c r="FK399" s="712"/>
      <c r="FL399" s="712"/>
      <c r="FM399" s="712"/>
      <c r="FN399" s="712"/>
      <c r="FO399" s="712"/>
      <c r="FP399" s="712"/>
      <c r="FQ399" s="712"/>
      <c r="FR399" s="712"/>
      <c r="FS399" s="712"/>
      <c r="FT399" s="712"/>
      <c r="FU399" s="712"/>
      <c r="FV399" s="712"/>
      <c r="FW399" s="712"/>
      <c r="FX399" s="712"/>
      <c r="FZ399" s="712"/>
      <c r="GA399" s="712"/>
      <c r="GB399" s="712"/>
      <c r="GC399" s="712"/>
      <c r="GD399" s="712"/>
      <c r="GE399" s="712"/>
      <c r="GF399" s="712"/>
      <c r="GG399" s="712"/>
      <c r="GH399" s="712"/>
      <c r="GI399" s="712"/>
      <c r="GJ399" s="712"/>
      <c r="GK399" s="712"/>
      <c r="GL399" s="712"/>
      <c r="GM399" s="712"/>
      <c r="GN399" s="712"/>
      <c r="GO399" s="712"/>
      <c r="GP399" s="712"/>
      <c r="GQ399" s="712"/>
      <c r="GR399" s="712"/>
      <c r="GS399" s="712"/>
      <c r="GT399" s="712"/>
      <c r="GU399" s="712"/>
      <c r="GV399" s="712"/>
      <c r="GW399" s="712"/>
      <c r="GX399" s="712"/>
      <c r="GY399" s="712"/>
      <c r="GZ399" s="712"/>
      <c r="HA399" s="712"/>
      <c r="HB399" s="712"/>
      <c r="HC399" s="712"/>
    </row>
    <row r="400" spans="1:211">
      <c r="A400" s="707"/>
      <c r="G400" s="712"/>
      <c r="H400" s="712"/>
      <c r="I400" s="712"/>
      <c r="J400" s="712"/>
      <c r="K400" s="712"/>
      <c r="L400" s="712"/>
      <c r="M400" s="712"/>
      <c r="N400" s="712"/>
      <c r="O400" s="712"/>
      <c r="P400" s="712"/>
      <c r="Q400" s="712"/>
      <c r="R400" s="712"/>
      <c r="S400" s="712"/>
      <c r="T400" s="712"/>
      <c r="U400" s="712"/>
      <c r="V400" s="712"/>
      <c r="W400" s="712"/>
      <c r="X400" s="712"/>
      <c r="Y400" s="712"/>
      <c r="Z400" s="712"/>
      <c r="AA400" s="712"/>
      <c r="AB400" s="712"/>
      <c r="AC400" s="712"/>
      <c r="AD400" s="712"/>
      <c r="AE400" s="712"/>
      <c r="AF400" s="712"/>
      <c r="AG400" s="712"/>
      <c r="AH400" s="712"/>
      <c r="AI400" s="712"/>
      <c r="AJ400" s="712"/>
      <c r="AK400" s="712"/>
      <c r="AL400" s="712"/>
      <c r="AM400" s="712"/>
      <c r="AN400" s="712"/>
      <c r="AO400" s="712"/>
      <c r="AP400" s="712"/>
      <c r="AQ400" s="712"/>
      <c r="AR400" s="712"/>
      <c r="AS400" s="712"/>
      <c r="AT400" s="712"/>
      <c r="AU400" s="712"/>
      <c r="AV400" s="712"/>
      <c r="AW400" s="712"/>
      <c r="AX400" s="712"/>
      <c r="AY400" s="712"/>
      <c r="AZ400" s="712"/>
      <c r="BA400" s="712"/>
      <c r="BB400" s="712"/>
      <c r="BC400" s="712"/>
      <c r="BD400" s="712"/>
      <c r="BE400" s="712"/>
      <c r="BF400" s="712"/>
      <c r="BG400" s="712"/>
      <c r="BH400" s="712"/>
      <c r="BI400" s="712"/>
      <c r="BJ400" s="712"/>
      <c r="BK400" s="712"/>
      <c r="BL400" s="712"/>
      <c r="BM400" s="712"/>
      <c r="BN400" s="712"/>
      <c r="BO400" s="712"/>
      <c r="BP400" s="712"/>
      <c r="BQ400" s="712"/>
      <c r="BR400" s="712"/>
      <c r="BS400" s="712"/>
      <c r="BT400" s="712"/>
      <c r="BU400" s="712"/>
      <c r="BV400" s="712"/>
      <c r="BW400" s="712"/>
      <c r="BX400" s="712"/>
      <c r="BY400" s="712"/>
      <c r="BZ400" s="712"/>
      <c r="CA400" s="712"/>
      <c r="CB400" s="712"/>
      <c r="CC400" s="712"/>
      <c r="CD400" s="712"/>
      <c r="CE400" s="712"/>
      <c r="CF400" s="712"/>
      <c r="CG400" s="712"/>
      <c r="CH400" s="712"/>
      <c r="CI400" s="712"/>
      <c r="CJ400" s="712"/>
      <c r="CK400" s="712"/>
      <c r="CL400" s="712"/>
      <c r="CM400" s="712"/>
      <c r="CN400" s="712"/>
      <c r="CO400" s="712"/>
      <c r="CP400" s="712"/>
      <c r="CQ400" s="712"/>
      <c r="CR400" s="712"/>
      <c r="CS400" s="712"/>
      <c r="CT400" s="712"/>
      <c r="CU400" s="712"/>
      <c r="CV400" s="712"/>
      <c r="CW400" s="712"/>
      <c r="CX400" s="712"/>
      <c r="CY400" s="712"/>
      <c r="CZ400" s="712"/>
      <c r="DA400" s="712"/>
      <c r="DB400" s="712"/>
      <c r="DC400" s="712"/>
      <c r="DD400" s="712"/>
      <c r="DE400" s="712"/>
      <c r="DF400" s="712"/>
      <c r="DG400" s="712"/>
      <c r="DH400" s="712"/>
      <c r="DI400" s="712"/>
      <c r="DJ400" s="712"/>
      <c r="DK400" s="712"/>
      <c r="DL400" s="712"/>
      <c r="DM400" s="712"/>
      <c r="DN400" s="712"/>
      <c r="DO400" s="712"/>
      <c r="DP400" s="712"/>
      <c r="DQ400" s="712"/>
      <c r="DR400" s="712"/>
      <c r="DS400" s="712"/>
      <c r="DT400" s="712"/>
      <c r="DU400" s="712"/>
      <c r="DV400" s="712"/>
      <c r="DW400" s="712"/>
      <c r="DX400" s="712"/>
      <c r="DY400" s="712"/>
      <c r="DZ400" s="712"/>
      <c r="EA400" s="712"/>
      <c r="EB400" s="712"/>
      <c r="EC400" s="712"/>
      <c r="ED400" s="712"/>
      <c r="EE400" s="712"/>
      <c r="EF400" s="712"/>
      <c r="EG400" s="712"/>
      <c r="EH400" s="712"/>
      <c r="EI400" s="712"/>
      <c r="EJ400" s="712"/>
      <c r="EK400" s="712"/>
      <c r="EL400" s="712"/>
      <c r="EM400" s="712"/>
      <c r="EN400" s="712"/>
      <c r="EO400" s="712"/>
      <c r="EP400" s="712"/>
      <c r="EQ400" s="712"/>
      <c r="ER400" s="712"/>
      <c r="ES400" s="712"/>
      <c r="ET400" s="794"/>
      <c r="EU400" s="794"/>
      <c r="EV400" s="794"/>
      <c r="EW400" s="794"/>
      <c r="EX400" s="794"/>
      <c r="EY400" s="794"/>
      <c r="EZ400" s="794"/>
      <c r="FA400" s="712"/>
      <c r="FB400" s="712"/>
      <c r="FC400" s="712"/>
      <c r="FD400" s="712"/>
      <c r="FE400" s="712"/>
      <c r="FF400" s="712"/>
      <c r="FG400" s="712"/>
      <c r="FH400" s="712"/>
      <c r="FI400" s="712"/>
      <c r="FJ400" s="712"/>
      <c r="FK400" s="712"/>
      <c r="FL400" s="712"/>
      <c r="FM400" s="712"/>
      <c r="FN400" s="712"/>
      <c r="FO400" s="712"/>
      <c r="FP400" s="712"/>
      <c r="FQ400" s="712"/>
      <c r="FR400" s="712"/>
      <c r="FS400" s="712"/>
      <c r="FT400" s="712"/>
      <c r="FU400" s="712"/>
      <c r="FV400" s="712"/>
      <c r="FW400" s="712"/>
      <c r="FX400" s="712"/>
      <c r="FZ400" s="712"/>
      <c r="GA400" s="712"/>
      <c r="GB400" s="712"/>
      <c r="GC400" s="712"/>
      <c r="GD400" s="712"/>
      <c r="GE400" s="712"/>
      <c r="GF400" s="712"/>
      <c r="GG400" s="712"/>
      <c r="GH400" s="712"/>
      <c r="GI400" s="712"/>
      <c r="GJ400" s="712"/>
      <c r="GK400" s="712"/>
      <c r="GL400" s="712"/>
      <c r="GM400" s="712"/>
      <c r="GN400" s="712"/>
      <c r="GO400" s="712"/>
      <c r="GP400" s="712"/>
      <c r="GQ400" s="712"/>
      <c r="GR400" s="712"/>
      <c r="GS400" s="712"/>
      <c r="GT400" s="712"/>
      <c r="GU400" s="712"/>
      <c r="GV400" s="712"/>
      <c r="GW400" s="712"/>
      <c r="GX400" s="712"/>
      <c r="GY400" s="712"/>
      <c r="GZ400" s="712"/>
      <c r="HA400" s="712"/>
      <c r="HB400" s="712"/>
      <c r="HC400" s="712"/>
    </row>
    <row r="401" spans="1:211">
      <c r="A401" s="707"/>
      <c r="G401" s="712"/>
      <c r="H401" s="712"/>
      <c r="I401" s="712"/>
      <c r="J401" s="712"/>
      <c r="K401" s="712"/>
      <c r="L401" s="712"/>
      <c r="M401" s="712"/>
      <c r="N401" s="712"/>
      <c r="O401" s="712"/>
      <c r="P401" s="712"/>
      <c r="Q401" s="712"/>
      <c r="R401" s="712"/>
      <c r="S401" s="712"/>
      <c r="T401" s="712"/>
      <c r="U401" s="712"/>
      <c r="V401" s="712"/>
      <c r="W401" s="712"/>
      <c r="X401" s="712"/>
      <c r="Y401" s="712"/>
      <c r="Z401" s="712"/>
      <c r="AA401" s="712"/>
      <c r="AB401" s="712"/>
      <c r="AC401" s="712"/>
      <c r="AD401" s="712"/>
      <c r="AE401" s="712"/>
      <c r="AF401" s="712"/>
      <c r="AG401" s="712"/>
      <c r="AH401" s="712"/>
      <c r="AI401" s="712"/>
      <c r="AJ401" s="712"/>
      <c r="AK401" s="712"/>
      <c r="AL401" s="712"/>
      <c r="AM401" s="712"/>
      <c r="AN401" s="712"/>
      <c r="AO401" s="712"/>
      <c r="AP401" s="712"/>
      <c r="AQ401" s="712"/>
      <c r="AR401" s="712"/>
      <c r="AS401" s="712"/>
      <c r="AT401" s="712"/>
      <c r="AU401" s="712"/>
      <c r="AV401" s="712"/>
      <c r="AW401" s="712"/>
      <c r="AX401" s="712"/>
      <c r="AY401" s="712"/>
      <c r="AZ401" s="712"/>
      <c r="BA401" s="712"/>
      <c r="BB401" s="712"/>
      <c r="BC401" s="712"/>
      <c r="BD401" s="712"/>
      <c r="BE401" s="712"/>
      <c r="BF401" s="712"/>
      <c r="BG401" s="712"/>
      <c r="BH401" s="712"/>
      <c r="BI401" s="712"/>
      <c r="BJ401" s="712"/>
      <c r="BK401" s="712"/>
      <c r="BL401" s="712"/>
      <c r="BM401" s="712"/>
      <c r="BN401" s="712"/>
      <c r="BO401" s="712"/>
      <c r="BP401" s="712"/>
      <c r="BQ401" s="712"/>
      <c r="BR401" s="712"/>
      <c r="BS401" s="712"/>
      <c r="BT401" s="712"/>
      <c r="BU401" s="712"/>
      <c r="BV401" s="712"/>
      <c r="BW401" s="712"/>
      <c r="BX401" s="712"/>
      <c r="BY401" s="712"/>
      <c r="BZ401" s="712"/>
      <c r="CA401" s="712"/>
      <c r="CB401" s="712"/>
      <c r="CC401" s="712"/>
      <c r="CD401" s="712"/>
      <c r="CE401" s="712"/>
      <c r="CF401" s="712"/>
      <c r="CG401" s="712"/>
      <c r="CH401" s="712"/>
      <c r="CI401" s="712"/>
      <c r="CJ401" s="712"/>
      <c r="CK401" s="712"/>
      <c r="CL401" s="712"/>
      <c r="CM401" s="712"/>
      <c r="CN401" s="712"/>
      <c r="CO401" s="712"/>
      <c r="CP401" s="712"/>
      <c r="CQ401" s="712"/>
      <c r="CR401" s="712"/>
      <c r="CS401" s="712"/>
      <c r="CT401" s="712"/>
      <c r="CU401" s="712"/>
      <c r="CV401" s="712"/>
      <c r="CW401" s="712"/>
      <c r="CX401" s="712"/>
      <c r="CY401" s="712"/>
      <c r="CZ401" s="712"/>
      <c r="DA401" s="712"/>
      <c r="DB401" s="712"/>
      <c r="DC401" s="712"/>
      <c r="DD401" s="712"/>
      <c r="DE401" s="712"/>
      <c r="DF401" s="712"/>
      <c r="DG401" s="712"/>
      <c r="DH401" s="712"/>
      <c r="DI401" s="712"/>
      <c r="DJ401" s="712"/>
      <c r="DK401" s="712"/>
      <c r="DL401" s="712"/>
      <c r="DM401" s="712"/>
      <c r="DN401" s="712"/>
      <c r="DO401" s="712"/>
      <c r="DP401" s="712"/>
      <c r="DQ401" s="712"/>
      <c r="DR401" s="712"/>
      <c r="DS401" s="712"/>
      <c r="DT401" s="712"/>
      <c r="DU401" s="712"/>
      <c r="DV401" s="712"/>
      <c r="DW401" s="712"/>
      <c r="DX401" s="712"/>
      <c r="DY401" s="712"/>
      <c r="DZ401" s="712"/>
      <c r="EA401" s="712"/>
      <c r="EB401" s="712"/>
      <c r="EC401" s="712"/>
      <c r="ED401" s="712"/>
      <c r="EE401" s="712"/>
      <c r="EF401" s="712"/>
      <c r="EG401" s="712"/>
      <c r="EH401" s="712"/>
      <c r="EI401" s="712"/>
      <c r="EJ401" s="712"/>
      <c r="EK401" s="712"/>
      <c r="EL401" s="712"/>
      <c r="EM401" s="712"/>
      <c r="EN401" s="712"/>
      <c r="EO401" s="712"/>
      <c r="EP401" s="712"/>
      <c r="EQ401" s="712"/>
      <c r="ER401" s="712"/>
      <c r="ES401" s="712"/>
      <c r="ET401" s="794"/>
      <c r="EU401" s="794"/>
      <c r="EV401" s="794"/>
      <c r="EW401" s="794"/>
      <c r="EX401" s="794"/>
      <c r="EY401" s="794"/>
      <c r="EZ401" s="794"/>
      <c r="FA401" s="712"/>
      <c r="FB401" s="712"/>
      <c r="FC401" s="712"/>
      <c r="FD401" s="712"/>
      <c r="FE401" s="712"/>
      <c r="FF401" s="712"/>
      <c r="FG401" s="712"/>
      <c r="FH401" s="712"/>
      <c r="FI401" s="712"/>
      <c r="FJ401" s="712"/>
      <c r="FK401" s="712"/>
      <c r="FL401" s="712"/>
      <c r="FM401" s="712"/>
      <c r="FN401" s="712"/>
      <c r="FO401" s="712"/>
      <c r="FP401" s="712"/>
      <c r="FQ401" s="712"/>
      <c r="FR401" s="712"/>
      <c r="FS401" s="712"/>
      <c r="FT401" s="712"/>
      <c r="FU401" s="712"/>
      <c r="FV401" s="712"/>
      <c r="FW401" s="712"/>
      <c r="FX401" s="712"/>
      <c r="FZ401" s="712"/>
      <c r="GA401" s="712"/>
      <c r="GB401" s="712"/>
      <c r="GC401" s="712"/>
      <c r="GD401" s="712"/>
      <c r="GE401" s="712"/>
      <c r="GF401" s="712"/>
      <c r="GG401" s="712"/>
      <c r="GH401" s="712"/>
      <c r="GI401" s="712"/>
      <c r="GJ401" s="712"/>
      <c r="GK401" s="712"/>
      <c r="GL401" s="712"/>
      <c r="GM401" s="712"/>
      <c r="GN401" s="712"/>
      <c r="GO401" s="712"/>
      <c r="GP401" s="712"/>
      <c r="GQ401" s="712"/>
      <c r="GR401" s="712"/>
      <c r="GS401" s="712"/>
      <c r="GT401" s="712"/>
      <c r="GU401" s="712"/>
      <c r="GV401" s="712"/>
      <c r="GW401" s="712"/>
      <c r="GX401" s="712"/>
      <c r="GY401" s="712"/>
      <c r="GZ401" s="712"/>
      <c r="HA401" s="712"/>
      <c r="HB401" s="712"/>
      <c r="HC401" s="712"/>
    </row>
    <row r="402" spans="1:211">
      <c r="A402" s="707"/>
      <c r="G402" s="712"/>
      <c r="H402" s="712"/>
      <c r="I402" s="712"/>
      <c r="J402" s="712"/>
      <c r="K402" s="712"/>
      <c r="L402" s="712"/>
      <c r="M402" s="712"/>
      <c r="N402" s="712"/>
      <c r="O402" s="712"/>
      <c r="P402" s="712"/>
      <c r="Q402" s="712"/>
      <c r="R402" s="712"/>
      <c r="S402" s="712"/>
      <c r="T402" s="712"/>
      <c r="U402" s="712"/>
      <c r="V402" s="712"/>
      <c r="W402" s="712"/>
      <c r="X402" s="712"/>
      <c r="Y402" s="712"/>
      <c r="Z402" s="712"/>
      <c r="AA402" s="712"/>
      <c r="AB402" s="712"/>
      <c r="AC402" s="712"/>
      <c r="AD402" s="712"/>
      <c r="AE402" s="712"/>
      <c r="AF402" s="712"/>
      <c r="AG402" s="712"/>
      <c r="AH402" s="712"/>
      <c r="AI402" s="712"/>
      <c r="AJ402" s="712"/>
      <c r="AK402" s="712"/>
      <c r="AL402" s="712"/>
      <c r="AM402" s="712"/>
      <c r="AN402" s="712"/>
      <c r="AO402" s="712"/>
      <c r="AP402" s="712"/>
      <c r="AQ402" s="712"/>
      <c r="AR402" s="712"/>
      <c r="AS402" s="712"/>
      <c r="AT402" s="712"/>
      <c r="AU402" s="712"/>
      <c r="AV402" s="712"/>
      <c r="AW402" s="712"/>
      <c r="AX402" s="712"/>
      <c r="AY402" s="712"/>
      <c r="AZ402" s="712"/>
      <c r="BA402" s="712"/>
      <c r="BB402" s="712"/>
      <c r="BC402" s="712"/>
      <c r="BD402" s="712"/>
      <c r="BE402" s="712"/>
      <c r="BF402" s="712"/>
      <c r="BG402" s="712"/>
      <c r="BH402" s="712"/>
      <c r="BI402" s="712"/>
      <c r="BJ402" s="712"/>
      <c r="BK402" s="712"/>
      <c r="BL402" s="712"/>
      <c r="BM402" s="712"/>
      <c r="BN402" s="712"/>
      <c r="BO402" s="712"/>
      <c r="BP402" s="712"/>
      <c r="BQ402" s="712"/>
      <c r="BR402" s="712"/>
      <c r="BS402" s="712"/>
      <c r="BT402" s="712"/>
      <c r="BU402" s="712"/>
      <c r="BV402" s="712"/>
      <c r="BW402" s="712"/>
      <c r="BX402" s="712"/>
      <c r="BY402" s="712"/>
      <c r="BZ402" s="712"/>
      <c r="CA402" s="712"/>
      <c r="CB402" s="712"/>
      <c r="CC402" s="712"/>
      <c r="CD402" s="712"/>
      <c r="CE402" s="712"/>
      <c r="CF402" s="712"/>
      <c r="CG402" s="712"/>
      <c r="CH402" s="712"/>
      <c r="CI402" s="712"/>
      <c r="CJ402" s="712"/>
      <c r="CK402" s="712"/>
      <c r="CL402" s="712"/>
      <c r="CM402" s="712"/>
      <c r="CN402" s="712"/>
      <c r="CO402" s="712"/>
      <c r="CP402" s="712"/>
      <c r="CQ402" s="712"/>
      <c r="CR402" s="712"/>
      <c r="CS402" s="712"/>
      <c r="CT402" s="712"/>
      <c r="CU402" s="712"/>
      <c r="CV402" s="712"/>
      <c r="CW402" s="712"/>
      <c r="CX402" s="712"/>
      <c r="CY402" s="712"/>
      <c r="CZ402" s="712"/>
      <c r="DA402" s="712"/>
      <c r="DB402" s="712"/>
      <c r="DC402" s="712"/>
      <c r="DD402" s="712"/>
      <c r="DE402" s="712"/>
      <c r="DF402" s="712"/>
      <c r="DG402" s="712"/>
      <c r="DH402" s="712"/>
      <c r="DI402" s="712"/>
      <c r="DJ402" s="712"/>
      <c r="DK402" s="712"/>
      <c r="DL402" s="712"/>
      <c r="DM402" s="712"/>
      <c r="DN402" s="712"/>
      <c r="DO402" s="712"/>
      <c r="DP402" s="712"/>
      <c r="DQ402" s="712"/>
      <c r="DR402" s="712"/>
      <c r="DS402" s="712"/>
      <c r="DT402" s="712"/>
      <c r="DU402" s="712"/>
      <c r="DV402" s="712"/>
      <c r="DW402" s="712"/>
      <c r="DX402" s="712"/>
      <c r="DY402" s="712"/>
      <c r="DZ402" s="712"/>
      <c r="EA402" s="712"/>
      <c r="EB402" s="712"/>
      <c r="EC402" s="712"/>
      <c r="ED402" s="712"/>
      <c r="EE402" s="712"/>
      <c r="EF402" s="712"/>
      <c r="EG402" s="712"/>
      <c r="EH402" s="712"/>
      <c r="EI402" s="712"/>
      <c r="EJ402" s="712"/>
      <c r="EK402" s="712"/>
      <c r="EL402" s="712"/>
      <c r="EM402" s="712"/>
      <c r="EN402" s="712"/>
      <c r="EO402" s="712"/>
      <c r="EP402" s="712"/>
      <c r="EQ402" s="712"/>
      <c r="ER402" s="712"/>
      <c r="ES402" s="712"/>
      <c r="ET402" s="794"/>
      <c r="EU402" s="794"/>
      <c r="EV402" s="794"/>
      <c r="EW402" s="794"/>
      <c r="EX402" s="794"/>
      <c r="EY402" s="794"/>
      <c r="EZ402" s="794"/>
      <c r="FA402" s="712"/>
      <c r="FB402" s="712"/>
      <c r="FC402" s="712"/>
      <c r="FD402" s="712"/>
      <c r="FE402" s="712"/>
      <c r="FF402" s="712"/>
      <c r="FG402" s="712"/>
      <c r="FH402" s="712"/>
      <c r="FI402" s="712"/>
      <c r="FJ402" s="712"/>
      <c r="FK402" s="712"/>
      <c r="FL402" s="712"/>
      <c r="FM402" s="712"/>
      <c r="FN402" s="712"/>
      <c r="FO402" s="712"/>
      <c r="FP402" s="712"/>
      <c r="FQ402" s="712"/>
      <c r="FR402" s="712"/>
      <c r="FS402" s="712"/>
      <c r="FT402" s="712"/>
      <c r="FU402" s="712"/>
      <c r="FV402" s="712"/>
      <c r="FW402" s="712"/>
      <c r="FX402" s="712"/>
      <c r="FZ402" s="712"/>
      <c r="GA402" s="712"/>
      <c r="GB402" s="712"/>
      <c r="GC402" s="712"/>
      <c r="GD402" s="712"/>
      <c r="GE402" s="712"/>
      <c r="GF402" s="712"/>
      <c r="GG402" s="712"/>
      <c r="GH402" s="712"/>
      <c r="GI402" s="712"/>
      <c r="GJ402" s="712"/>
      <c r="GK402" s="712"/>
      <c r="GL402" s="712"/>
      <c r="GM402" s="712"/>
      <c r="GN402" s="712"/>
      <c r="GO402" s="712"/>
      <c r="GP402" s="712"/>
      <c r="GQ402" s="712"/>
      <c r="GR402" s="712"/>
      <c r="GS402" s="712"/>
      <c r="GT402" s="712"/>
      <c r="GU402" s="712"/>
      <c r="GV402" s="712"/>
      <c r="GW402" s="712"/>
      <c r="GX402" s="712"/>
      <c r="GY402" s="712"/>
      <c r="GZ402" s="712"/>
      <c r="HA402" s="712"/>
      <c r="HB402" s="712"/>
      <c r="HC402" s="712"/>
    </row>
    <row r="403" spans="1:211">
      <c r="A403" s="707"/>
      <c r="G403" s="712"/>
      <c r="H403" s="712"/>
      <c r="I403" s="712"/>
      <c r="J403" s="712"/>
      <c r="K403" s="712"/>
      <c r="L403" s="712"/>
      <c r="M403" s="712"/>
      <c r="N403" s="712"/>
      <c r="O403" s="712"/>
      <c r="P403" s="712"/>
      <c r="Q403" s="712"/>
      <c r="R403" s="712"/>
      <c r="S403" s="712"/>
      <c r="T403" s="712"/>
      <c r="U403" s="712"/>
      <c r="V403" s="712"/>
      <c r="W403" s="712"/>
      <c r="X403" s="712"/>
      <c r="Y403" s="712"/>
      <c r="Z403" s="712"/>
      <c r="AA403" s="712"/>
      <c r="AB403" s="712"/>
      <c r="AC403" s="712"/>
      <c r="AD403" s="712"/>
      <c r="AE403" s="712"/>
      <c r="AF403" s="712"/>
      <c r="AG403" s="712"/>
      <c r="AH403" s="712"/>
      <c r="AI403" s="712"/>
      <c r="AJ403" s="712"/>
      <c r="AK403" s="712"/>
      <c r="AL403" s="712"/>
      <c r="AM403" s="712"/>
      <c r="AN403" s="712"/>
      <c r="AO403" s="712"/>
      <c r="AP403" s="712"/>
      <c r="AQ403" s="712"/>
      <c r="AR403" s="712"/>
      <c r="AS403" s="712"/>
      <c r="AT403" s="712"/>
      <c r="AU403" s="712"/>
      <c r="AV403" s="712"/>
      <c r="AW403" s="712"/>
      <c r="AX403" s="712"/>
      <c r="AY403" s="712"/>
      <c r="AZ403" s="712"/>
      <c r="BA403" s="712"/>
      <c r="BB403" s="712"/>
      <c r="BC403" s="712"/>
      <c r="BD403" s="712"/>
      <c r="BE403" s="712"/>
      <c r="BF403" s="712"/>
      <c r="BG403" s="712"/>
      <c r="BH403" s="712"/>
      <c r="BI403" s="712"/>
      <c r="BJ403" s="712"/>
      <c r="BK403" s="712"/>
      <c r="BL403" s="712"/>
      <c r="BM403" s="712"/>
      <c r="BN403" s="712"/>
      <c r="BO403" s="712"/>
      <c r="BP403" s="712"/>
      <c r="BQ403" s="712"/>
      <c r="BR403" s="712"/>
      <c r="BS403" s="712"/>
      <c r="BT403" s="712"/>
      <c r="BU403" s="712"/>
      <c r="BV403" s="712"/>
      <c r="BW403" s="712"/>
      <c r="BX403" s="712"/>
      <c r="BY403" s="712"/>
      <c r="BZ403" s="712"/>
      <c r="CA403" s="712"/>
      <c r="CB403" s="712"/>
      <c r="CC403" s="712"/>
      <c r="CD403" s="712"/>
      <c r="CE403" s="712"/>
      <c r="CF403" s="712"/>
      <c r="CG403" s="712"/>
      <c r="CH403" s="712"/>
      <c r="CI403" s="712"/>
      <c r="CJ403" s="712"/>
      <c r="CK403" s="712"/>
      <c r="CL403" s="712"/>
      <c r="CM403" s="712"/>
      <c r="CN403" s="712"/>
      <c r="CO403" s="712"/>
      <c r="CP403" s="712"/>
      <c r="CQ403" s="712"/>
      <c r="CR403" s="712"/>
      <c r="CS403" s="712"/>
      <c r="CT403" s="712"/>
      <c r="CU403" s="712"/>
      <c r="CV403" s="712"/>
      <c r="CW403" s="712"/>
      <c r="CX403" s="712"/>
      <c r="CY403" s="712"/>
      <c r="CZ403" s="712"/>
      <c r="DA403" s="712"/>
      <c r="DB403" s="712"/>
      <c r="DC403" s="712"/>
      <c r="DD403" s="712"/>
      <c r="DE403" s="712"/>
      <c r="DF403" s="712"/>
      <c r="DG403" s="712"/>
      <c r="DH403" s="712"/>
      <c r="DI403" s="712"/>
      <c r="DJ403" s="712"/>
      <c r="DK403" s="712"/>
      <c r="DL403" s="712"/>
      <c r="DM403" s="712"/>
      <c r="DN403" s="712"/>
      <c r="DO403" s="712"/>
      <c r="DP403" s="712"/>
      <c r="DQ403" s="712"/>
      <c r="DR403" s="712"/>
      <c r="DS403" s="712"/>
      <c r="DT403" s="712"/>
      <c r="DU403" s="712"/>
      <c r="DV403" s="712"/>
      <c r="DW403" s="712"/>
      <c r="DX403" s="712"/>
      <c r="DY403" s="712"/>
      <c r="DZ403" s="712"/>
      <c r="EA403" s="712"/>
      <c r="EB403" s="712"/>
      <c r="EC403" s="712"/>
      <c r="ED403" s="712"/>
      <c r="EE403" s="712"/>
      <c r="EF403" s="712"/>
      <c r="EG403" s="712"/>
      <c r="EH403" s="712"/>
      <c r="EI403" s="712"/>
      <c r="EJ403" s="712"/>
      <c r="EK403" s="712"/>
      <c r="EL403" s="712"/>
      <c r="EM403" s="712"/>
      <c r="EN403" s="712"/>
      <c r="EO403" s="712"/>
      <c r="EP403" s="712"/>
      <c r="EQ403" s="712"/>
      <c r="ER403" s="712"/>
      <c r="ES403" s="712"/>
      <c r="ET403" s="794"/>
      <c r="EU403" s="794"/>
      <c r="EV403" s="794"/>
      <c r="EW403" s="794"/>
      <c r="EX403" s="794"/>
      <c r="EY403" s="794"/>
      <c r="EZ403" s="794"/>
      <c r="FA403" s="712"/>
      <c r="FB403" s="712"/>
      <c r="FC403" s="712"/>
      <c r="FD403" s="712"/>
      <c r="FE403" s="712"/>
      <c r="FF403" s="712"/>
      <c r="FG403" s="712"/>
      <c r="FH403" s="712"/>
      <c r="FI403" s="712"/>
      <c r="FJ403" s="712"/>
      <c r="FK403" s="712"/>
      <c r="FL403" s="712"/>
      <c r="FM403" s="712"/>
      <c r="FN403" s="712"/>
      <c r="FO403" s="712"/>
      <c r="FP403" s="712"/>
      <c r="FQ403" s="712"/>
      <c r="FR403" s="712"/>
      <c r="FS403" s="712"/>
      <c r="FT403" s="712"/>
      <c r="FU403" s="712"/>
      <c r="FV403" s="712"/>
      <c r="FW403" s="712"/>
      <c r="FX403" s="712"/>
      <c r="FZ403" s="712"/>
      <c r="GA403" s="712"/>
      <c r="GB403" s="712"/>
      <c r="GC403" s="712"/>
      <c r="GD403" s="712"/>
      <c r="GE403" s="712"/>
      <c r="GF403" s="712"/>
      <c r="GG403" s="712"/>
      <c r="GH403" s="712"/>
      <c r="GI403" s="712"/>
      <c r="GJ403" s="712"/>
      <c r="GK403" s="712"/>
      <c r="GL403" s="712"/>
      <c r="GM403" s="712"/>
      <c r="GN403" s="712"/>
      <c r="GO403" s="712"/>
      <c r="GP403" s="712"/>
      <c r="GQ403" s="712"/>
      <c r="GR403" s="712"/>
      <c r="GS403" s="712"/>
      <c r="GT403" s="712"/>
      <c r="GU403" s="712"/>
      <c r="GV403" s="712"/>
      <c r="GW403" s="712"/>
      <c r="GX403" s="712"/>
      <c r="GY403" s="712"/>
      <c r="GZ403" s="712"/>
      <c r="HA403" s="712"/>
      <c r="HB403" s="712"/>
      <c r="HC403" s="712"/>
    </row>
    <row r="404" spans="1:211">
      <c r="A404" s="707"/>
      <c r="G404" s="712"/>
      <c r="H404" s="712"/>
      <c r="I404" s="712"/>
      <c r="J404" s="712"/>
      <c r="K404" s="712"/>
      <c r="L404" s="712"/>
      <c r="M404" s="712"/>
      <c r="N404" s="712"/>
      <c r="O404" s="712"/>
      <c r="P404" s="712"/>
      <c r="Q404" s="712"/>
      <c r="R404" s="712"/>
      <c r="S404" s="712"/>
      <c r="T404" s="712"/>
      <c r="U404" s="712"/>
      <c r="V404" s="712"/>
      <c r="W404" s="712"/>
      <c r="X404" s="712"/>
      <c r="Y404" s="712"/>
      <c r="Z404" s="712"/>
      <c r="AA404" s="712"/>
      <c r="AB404" s="712"/>
      <c r="AC404" s="712"/>
      <c r="AD404" s="712"/>
      <c r="AE404" s="712"/>
      <c r="AF404" s="712"/>
      <c r="AG404" s="712"/>
      <c r="AH404" s="712"/>
      <c r="AI404" s="712"/>
      <c r="AJ404" s="712"/>
      <c r="AK404" s="712"/>
      <c r="AL404" s="712"/>
      <c r="AM404" s="712"/>
      <c r="AN404" s="712"/>
      <c r="AO404" s="712"/>
      <c r="AP404" s="712"/>
      <c r="AQ404" s="712"/>
      <c r="AR404" s="712"/>
      <c r="AS404" s="712"/>
      <c r="AT404" s="712"/>
      <c r="AU404" s="712"/>
      <c r="AV404" s="712"/>
      <c r="AW404" s="712"/>
      <c r="AX404" s="712"/>
      <c r="AY404" s="712"/>
      <c r="AZ404" s="712"/>
      <c r="BA404" s="712"/>
      <c r="BB404" s="712"/>
      <c r="BC404" s="712"/>
      <c r="BD404" s="712"/>
      <c r="BE404" s="712"/>
      <c r="BF404" s="712"/>
      <c r="BG404" s="712"/>
      <c r="BH404" s="712"/>
      <c r="BI404" s="712"/>
      <c r="BJ404" s="712"/>
      <c r="BK404" s="712"/>
      <c r="BL404" s="712"/>
      <c r="BM404" s="712"/>
      <c r="BN404" s="712"/>
      <c r="BO404" s="712"/>
      <c r="BP404" s="712"/>
      <c r="BQ404" s="712"/>
      <c r="BR404" s="712"/>
      <c r="BS404" s="712"/>
      <c r="BT404" s="712"/>
      <c r="BU404" s="712"/>
      <c r="BV404" s="712"/>
      <c r="BW404" s="712"/>
      <c r="BX404" s="712"/>
      <c r="BY404" s="712"/>
      <c r="BZ404" s="712"/>
      <c r="CA404" s="712"/>
      <c r="CB404" s="712"/>
      <c r="CC404" s="712"/>
      <c r="CD404" s="712"/>
      <c r="CE404" s="712"/>
      <c r="CF404" s="712"/>
      <c r="CG404" s="712"/>
      <c r="CH404" s="712"/>
      <c r="CI404" s="712"/>
      <c r="CJ404" s="712"/>
      <c r="CK404" s="712"/>
      <c r="CL404" s="712"/>
      <c r="CM404" s="712"/>
      <c r="CN404" s="712"/>
      <c r="CO404" s="712"/>
      <c r="CP404" s="712"/>
      <c r="CQ404" s="712"/>
      <c r="CR404" s="712"/>
      <c r="CS404" s="712"/>
      <c r="CT404" s="712"/>
      <c r="CU404" s="712"/>
      <c r="CV404" s="712"/>
      <c r="CW404" s="712"/>
      <c r="CX404" s="712"/>
      <c r="CY404" s="712"/>
      <c r="CZ404" s="712"/>
      <c r="DA404" s="712"/>
      <c r="DB404" s="712"/>
      <c r="DC404" s="712"/>
      <c r="DD404" s="712"/>
      <c r="DE404" s="712"/>
      <c r="DF404" s="712"/>
      <c r="DG404" s="712"/>
      <c r="DH404" s="712"/>
      <c r="DI404" s="712"/>
      <c r="DJ404" s="712"/>
      <c r="DK404" s="712"/>
      <c r="DL404" s="712"/>
      <c r="DM404" s="712"/>
      <c r="DN404" s="712"/>
      <c r="DO404" s="712"/>
      <c r="DP404" s="712"/>
      <c r="DQ404" s="712"/>
      <c r="DR404" s="712"/>
      <c r="DS404" s="712"/>
      <c r="DT404" s="712"/>
      <c r="DU404" s="712"/>
      <c r="DV404" s="712"/>
      <c r="DW404" s="712"/>
      <c r="DX404" s="712"/>
      <c r="DY404" s="712"/>
      <c r="DZ404" s="712"/>
      <c r="EA404" s="712"/>
      <c r="EB404" s="712"/>
      <c r="EC404" s="712"/>
      <c r="ED404" s="712"/>
      <c r="EE404" s="712"/>
      <c r="EF404" s="712"/>
      <c r="EG404" s="712"/>
      <c r="EH404" s="712"/>
      <c r="EI404" s="712"/>
      <c r="EJ404" s="712"/>
      <c r="EK404" s="712"/>
      <c r="EL404" s="712"/>
      <c r="EM404" s="712"/>
      <c r="EN404" s="712"/>
      <c r="EO404" s="712"/>
      <c r="EP404" s="712"/>
      <c r="EQ404" s="712"/>
      <c r="ER404" s="712"/>
      <c r="ES404" s="712"/>
      <c r="ET404" s="794"/>
      <c r="EU404" s="794"/>
      <c r="EV404" s="794"/>
      <c r="EW404" s="794"/>
      <c r="EX404" s="794"/>
      <c r="EY404" s="794"/>
      <c r="EZ404" s="794"/>
      <c r="FA404" s="712"/>
      <c r="FB404" s="712"/>
      <c r="FC404" s="712"/>
      <c r="FD404" s="712"/>
      <c r="FE404" s="712"/>
      <c r="FF404" s="712"/>
      <c r="FG404" s="712"/>
      <c r="FH404" s="712"/>
      <c r="FI404" s="712"/>
      <c r="FJ404" s="712"/>
      <c r="FK404" s="712"/>
      <c r="FL404" s="712"/>
      <c r="FM404" s="712"/>
      <c r="FN404" s="712"/>
      <c r="FO404" s="712"/>
      <c r="FP404" s="712"/>
      <c r="FQ404" s="712"/>
      <c r="FR404" s="712"/>
      <c r="FS404" s="712"/>
      <c r="FT404" s="712"/>
      <c r="FU404" s="712"/>
      <c r="FV404" s="712"/>
      <c r="FW404" s="712"/>
      <c r="FX404" s="712"/>
      <c r="FZ404" s="712"/>
      <c r="GA404" s="712"/>
      <c r="GB404" s="712"/>
      <c r="GC404" s="712"/>
      <c r="GD404" s="712"/>
      <c r="GE404" s="712"/>
      <c r="GF404" s="712"/>
      <c r="GG404" s="712"/>
      <c r="GH404" s="712"/>
      <c r="GI404" s="712"/>
      <c r="GJ404" s="712"/>
      <c r="GK404" s="712"/>
      <c r="GL404" s="712"/>
      <c r="GM404" s="712"/>
      <c r="GN404" s="712"/>
      <c r="GO404" s="712"/>
      <c r="GP404" s="712"/>
      <c r="GQ404" s="712"/>
      <c r="GR404" s="712"/>
      <c r="GS404" s="712"/>
      <c r="GT404" s="712"/>
      <c r="GU404" s="712"/>
      <c r="GV404" s="712"/>
      <c r="GW404" s="712"/>
      <c r="GX404" s="712"/>
      <c r="GY404" s="712"/>
      <c r="GZ404" s="712"/>
      <c r="HA404" s="712"/>
      <c r="HB404" s="712"/>
      <c r="HC404" s="712"/>
    </row>
    <row r="405" spans="1:211">
      <c r="A405" s="707"/>
      <c r="G405" s="712"/>
      <c r="H405" s="712"/>
      <c r="I405" s="712"/>
      <c r="J405" s="712"/>
      <c r="K405" s="712"/>
      <c r="L405" s="712"/>
      <c r="M405" s="712"/>
      <c r="N405" s="712"/>
      <c r="O405" s="712"/>
      <c r="P405" s="712"/>
      <c r="Q405" s="712"/>
      <c r="R405" s="712"/>
      <c r="S405" s="712"/>
      <c r="T405" s="712"/>
      <c r="U405" s="712"/>
      <c r="V405" s="712"/>
      <c r="W405" s="712"/>
      <c r="X405" s="712"/>
      <c r="Y405" s="712"/>
      <c r="Z405" s="712"/>
      <c r="AA405" s="712"/>
      <c r="AB405" s="712"/>
      <c r="AC405" s="712"/>
      <c r="AD405" s="712"/>
      <c r="AE405" s="712"/>
      <c r="AF405" s="712"/>
      <c r="AG405" s="712"/>
      <c r="AH405" s="712"/>
      <c r="AI405" s="712"/>
      <c r="AJ405" s="712"/>
      <c r="AK405" s="712"/>
      <c r="AL405" s="712"/>
      <c r="AM405" s="712"/>
      <c r="AN405" s="712"/>
      <c r="AO405" s="712"/>
      <c r="AP405" s="712"/>
      <c r="AQ405" s="712"/>
      <c r="AR405" s="712"/>
      <c r="AS405" s="712"/>
      <c r="AT405" s="712"/>
      <c r="AU405" s="712"/>
      <c r="AV405" s="712"/>
      <c r="AW405" s="712"/>
      <c r="AX405" s="712"/>
      <c r="AY405" s="712"/>
      <c r="AZ405" s="712"/>
      <c r="BA405" s="712"/>
      <c r="BB405" s="712"/>
      <c r="BC405" s="712"/>
      <c r="BD405" s="712"/>
      <c r="BE405" s="712"/>
      <c r="BF405" s="712"/>
      <c r="BG405" s="712"/>
      <c r="BH405" s="712"/>
      <c r="BI405" s="712"/>
      <c r="BJ405" s="712"/>
      <c r="BK405" s="712"/>
      <c r="BL405" s="712"/>
      <c r="BM405" s="712"/>
      <c r="BN405" s="712"/>
      <c r="BO405" s="712"/>
      <c r="BP405" s="712"/>
      <c r="BQ405" s="712"/>
      <c r="BR405" s="712"/>
      <c r="BS405" s="712"/>
      <c r="BT405" s="712"/>
      <c r="BU405" s="712"/>
      <c r="BV405" s="712"/>
      <c r="BW405" s="712"/>
      <c r="BX405" s="712"/>
      <c r="BY405" s="712"/>
      <c r="BZ405" s="712"/>
      <c r="CA405" s="712"/>
      <c r="CB405" s="712"/>
      <c r="CC405" s="712"/>
      <c r="CD405" s="712"/>
      <c r="CE405" s="712"/>
      <c r="CF405" s="712"/>
      <c r="CG405" s="712"/>
      <c r="CH405" s="712"/>
      <c r="CI405" s="712"/>
      <c r="CJ405" s="712"/>
      <c r="CK405" s="712"/>
      <c r="CL405" s="712"/>
      <c r="CM405" s="712"/>
      <c r="CN405" s="712"/>
      <c r="CO405" s="712"/>
      <c r="CP405" s="712"/>
      <c r="CQ405" s="712"/>
      <c r="CR405" s="712"/>
      <c r="CS405" s="712"/>
      <c r="CT405" s="712"/>
      <c r="CU405" s="712"/>
      <c r="CV405" s="712"/>
      <c r="CW405" s="712"/>
      <c r="CX405" s="712"/>
      <c r="CY405" s="712"/>
      <c r="CZ405" s="712"/>
      <c r="DA405" s="712"/>
      <c r="DB405" s="712"/>
      <c r="DC405" s="712"/>
      <c r="DD405" s="712"/>
      <c r="DE405" s="712"/>
      <c r="DF405" s="712"/>
      <c r="DG405" s="712"/>
      <c r="DH405" s="712"/>
      <c r="DI405" s="712"/>
      <c r="DJ405" s="712"/>
      <c r="DK405" s="712"/>
      <c r="DL405" s="712"/>
      <c r="DM405" s="712"/>
      <c r="DN405" s="712"/>
      <c r="DO405" s="712"/>
      <c r="DP405" s="712"/>
      <c r="DQ405" s="712"/>
      <c r="DR405" s="712"/>
      <c r="DS405" s="712"/>
      <c r="DT405" s="712"/>
      <c r="DU405" s="712"/>
      <c r="DV405" s="712"/>
      <c r="DW405" s="712"/>
      <c r="DX405" s="712"/>
      <c r="DY405" s="712"/>
      <c r="DZ405" s="712"/>
      <c r="EA405" s="712"/>
      <c r="EB405" s="712"/>
      <c r="EC405" s="712"/>
      <c r="ED405" s="712"/>
      <c r="EE405" s="712"/>
      <c r="EF405" s="712"/>
      <c r="EG405" s="712"/>
      <c r="EH405" s="712"/>
      <c r="EI405" s="712"/>
      <c r="EJ405" s="712"/>
      <c r="EK405" s="712"/>
      <c r="EL405" s="712"/>
      <c r="EM405" s="712"/>
      <c r="EN405" s="712"/>
      <c r="EO405" s="712"/>
      <c r="EP405" s="712"/>
      <c r="EQ405" s="712"/>
      <c r="ER405" s="712"/>
      <c r="ES405" s="712"/>
      <c r="ET405" s="794"/>
      <c r="EU405" s="794"/>
      <c r="EV405" s="794"/>
      <c r="EW405" s="794"/>
      <c r="EX405" s="794"/>
      <c r="EY405" s="794"/>
      <c r="EZ405" s="794"/>
      <c r="FA405" s="712"/>
      <c r="FB405" s="712"/>
      <c r="FC405" s="712"/>
      <c r="FD405" s="712"/>
      <c r="FE405" s="712"/>
      <c r="FF405" s="712"/>
      <c r="FG405" s="712"/>
      <c r="FH405" s="712"/>
      <c r="FI405" s="712"/>
      <c r="FJ405" s="712"/>
      <c r="FK405" s="712"/>
      <c r="FL405" s="712"/>
      <c r="FM405" s="712"/>
      <c r="FN405" s="712"/>
      <c r="FO405" s="712"/>
      <c r="FP405" s="712"/>
      <c r="FQ405" s="712"/>
      <c r="FR405" s="712"/>
      <c r="FS405" s="712"/>
      <c r="FT405" s="712"/>
      <c r="FU405" s="712"/>
      <c r="FV405" s="712"/>
      <c r="FW405" s="712"/>
      <c r="FX405" s="712"/>
      <c r="FZ405" s="712"/>
      <c r="GA405" s="712"/>
      <c r="GB405" s="712"/>
      <c r="GC405" s="712"/>
      <c r="GD405" s="712"/>
      <c r="GE405" s="712"/>
      <c r="GF405" s="712"/>
      <c r="GG405" s="712"/>
      <c r="GH405" s="712"/>
      <c r="GI405" s="712"/>
      <c r="GJ405" s="712"/>
      <c r="GK405" s="712"/>
      <c r="GL405" s="712"/>
      <c r="GM405" s="712"/>
      <c r="GN405" s="712"/>
      <c r="GO405" s="712"/>
      <c r="GP405" s="712"/>
      <c r="GQ405" s="712"/>
      <c r="GR405" s="712"/>
      <c r="GS405" s="712"/>
      <c r="GT405" s="712"/>
      <c r="GU405" s="712"/>
      <c r="GV405" s="712"/>
      <c r="GW405" s="712"/>
      <c r="GX405" s="712"/>
      <c r="GY405" s="712"/>
      <c r="GZ405" s="712"/>
      <c r="HA405" s="712"/>
      <c r="HB405" s="712"/>
      <c r="HC405" s="712"/>
    </row>
    <row r="406" spans="1:211">
      <c r="A406" s="707"/>
      <c r="G406" s="712"/>
      <c r="H406" s="712"/>
      <c r="I406" s="712"/>
      <c r="J406" s="712"/>
      <c r="K406" s="712"/>
      <c r="L406" s="712"/>
      <c r="M406" s="712"/>
      <c r="N406" s="712"/>
      <c r="O406" s="712"/>
      <c r="P406" s="712"/>
      <c r="Q406" s="712"/>
      <c r="R406" s="712"/>
      <c r="S406" s="712"/>
      <c r="T406" s="712"/>
      <c r="U406" s="712"/>
      <c r="V406" s="712"/>
      <c r="W406" s="712"/>
      <c r="X406" s="712"/>
      <c r="Y406" s="712"/>
      <c r="Z406" s="712"/>
      <c r="AA406" s="712"/>
      <c r="AB406" s="712"/>
      <c r="AC406" s="712"/>
      <c r="AD406" s="712"/>
      <c r="AE406" s="712"/>
      <c r="AF406" s="712"/>
      <c r="AG406" s="712"/>
      <c r="AH406" s="712"/>
      <c r="AI406" s="712"/>
      <c r="AJ406" s="712"/>
      <c r="AK406" s="712"/>
      <c r="AL406" s="712"/>
      <c r="AM406" s="712"/>
      <c r="AN406" s="712"/>
      <c r="AO406" s="712"/>
      <c r="AP406" s="712"/>
      <c r="AQ406" s="712"/>
      <c r="AR406" s="712"/>
      <c r="AS406" s="712"/>
      <c r="AT406" s="712"/>
      <c r="AU406" s="712"/>
      <c r="AV406" s="712"/>
      <c r="AW406" s="712"/>
      <c r="AX406" s="712"/>
      <c r="AY406" s="712"/>
      <c r="AZ406" s="712"/>
      <c r="BA406" s="712"/>
      <c r="BB406" s="712"/>
      <c r="BC406" s="712"/>
      <c r="BD406" s="712"/>
      <c r="BE406" s="712"/>
      <c r="BF406" s="712"/>
      <c r="BG406" s="712"/>
      <c r="BH406" s="712"/>
      <c r="BI406" s="712"/>
      <c r="BJ406" s="712"/>
      <c r="BK406" s="712"/>
      <c r="BL406" s="712"/>
      <c r="BM406" s="712"/>
      <c r="BN406" s="712"/>
      <c r="BO406" s="712"/>
      <c r="BP406" s="712"/>
      <c r="BQ406" s="712"/>
      <c r="BR406" s="712"/>
      <c r="BS406" s="712"/>
      <c r="BT406" s="712"/>
      <c r="BU406" s="712"/>
      <c r="BV406" s="712"/>
      <c r="BW406" s="712"/>
      <c r="BX406" s="712"/>
      <c r="BY406" s="712"/>
      <c r="BZ406" s="712"/>
      <c r="CA406" s="712"/>
      <c r="CB406" s="712"/>
      <c r="CC406" s="712"/>
      <c r="CD406" s="712"/>
      <c r="CE406" s="712"/>
      <c r="CF406" s="712"/>
      <c r="CG406" s="712"/>
      <c r="CH406" s="712"/>
      <c r="CI406" s="712"/>
      <c r="CJ406" s="712"/>
      <c r="CK406" s="712"/>
      <c r="CL406" s="712"/>
      <c r="CM406" s="712"/>
      <c r="CN406" s="712"/>
      <c r="CO406" s="712"/>
      <c r="CP406" s="712"/>
      <c r="CQ406" s="712"/>
      <c r="CR406" s="712"/>
      <c r="CS406" s="712"/>
      <c r="CT406" s="712"/>
      <c r="CU406" s="712"/>
      <c r="CV406" s="712"/>
      <c r="CW406" s="712"/>
      <c r="CX406" s="712"/>
      <c r="CY406" s="712"/>
      <c r="CZ406" s="712"/>
      <c r="DA406" s="712"/>
      <c r="DB406" s="712"/>
      <c r="DC406" s="712"/>
      <c r="DD406" s="712"/>
      <c r="DE406" s="712"/>
      <c r="DF406" s="712"/>
      <c r="DG406" s="712"/>
      <c r="DH406" s="712"/>
      <c r="DI406" s="712"/>
      <c r="DJ406" s="712"/>
      <c r="DK406" s="712"/>
      <c r="DL406" s="712"/>
      <c r="DM406" s="712"/>
      <c r="DN406" s="712"/>
      <c r="DO406" s="712"/>
      <c r="DP406" s="712"/>
      <c r="DQ406" s="712"/>
      <c r="DR406" s="712"/>
      <c r="DS406" s="712"/>
      <c r="DT406" s="712"/>
      <c r="DU406" s="712"/>
      <c r="DV406" s="712"/>
      <c r="DW406" s="712"/>
      <c r="DX406" s="712"/>
      <c r="DY406" s="712"/>
      <c r="DZ406" s="712"/>
      <c r="EA406" s="712"/>
      <c r="EB406" s="712"/>
      <c r="EC406" s="712"/>
      <c r="ED406" s="712"/>
      <c r="EE406" s="712"/>
      <c r="EF406" s="712"/>
      <c r="EG406" s="712"/>
      <c r="EH406" s="712"/>
      <c r="EI406" s="712"/>
      <c r="EJ406" s="712"/>
      <c r="EK406" s="712"/>
      <c r="EL406" s="712"/>
      <c r="EM406" s="712"/>
      <c r="EN406" s="712"/>
      <c r="EO406" s="712"/>
      <c r="EP406" s="712"/>
      <c r="EQ406" s="712"/>
      <c r="ER406" s="712"/>
      <c r="ES406" s="712"/>
      <c r="ET406" s="794"/>
      <c r="EU406" s="794"/>
      <c r="EV406" s="794"/>
      <c r="EW406" s="794"/>
      <c r="EX406" s="794"/>
      <c r="EY406" s="794"/>
      <c r="EZ406" s="794"/>
      <c r="FA406" s="712"/>
      <c r="FB406" s="712"/>
      <c r="FC406" s="712"/>
      <c r="FD406" s="712"/>
      <c r="FE406" s="712"/>
      <c r="FF406" s="712"/>
      <c r="FG406" s="712"/>
      <c r="FH406" s="712"/>
      <c r="FI406" s="712"/>
      <c r="FJ406" s="712"/>
      <c r="FK406" s="712"/>
      <c r="FL406" s="712"/>
      <c r="FM406" s="712"/>
      <c r="FN406" s="712"/>
      <c r="FO406" s="712"/>
      <c r="FP406" s="712"/>
      <c r="FQ406" s="712"/>
      <c r="FR406" s="712"/>
      <c r="FS406" s="712"/>
      <c r="FT406" s="712"/>
      <c r="FU406" s="712"/>
      <c r="FV406" s="712"/>
      <c r="FW406" s="712"/>
      <c r="FX406" s="712"/>
      <c r="FZ406" s="712"/>
      <c r="GA406" s="712"/>
      <c r="GB406" s="712"/>
      <c r="GC406" s="712"/>
      <c r="GD406" s="712"/>
      <c r="GE406" s="712"/>
      <c r="GF406" s="712"/>
      <c r="GG406" s="712"/>
      <c r="GH406" s="712"/>
      <c r="GI406" s="712"/>
      <c r="GJ406" s="712"/>
      <c r="GK406" s="712"/>
      <c r="GL406" s="712"/>
      <c r="GM406" s="712"/>
      <c r="GN406" s="712"/>
      <c r="GO406" s="712"/>
      <c r="GP406" s="712"/>
      <c r="GQ406" s="712"/>
      <c r="GR406" s="712"/>
      <c r="GS406" s="712"/>
      <c r="GT406" s="712"/>
      <c r="GU406" s="712"/>
      <c r="GV406" s="712"/>
      <c r="GW406" s="712"/>
      <c r="GX406" s="712"/>
      <c r="GY406" s="712"/>
      <c r="GZ406" s="712"/>
      <c r="HA406" s="712"/>
      <c r="HB406" s="712"/>
      <c r="HC406" s="712"/>
    </row>
    <row r="407" spans="1:211">
      <c r="A407" s="707"/>
      <c r="G407" s="712"/>
      <c r="H407" s="712"/>
      <c r="I407" s="712"/>
      <c r="J407" s="712"/>
      <c r="K407" s="712"/>
      <c r="L407" s="712"/>
      <c r="M407" s="712"/>
      <c r="N407" s="712"/>
      <c r="O407" s="712"/>
      <c r="P407" s="712"/>
      <c r="Q407" s="712"/>
      <c r="R407" s="712"/>
      <c r="S407" s="712"/>
      <c r="T407" s="712"/>
      <c r="U407" s="712"/>
      <c r="V407" s="712"/>
      <c r="W407" s="712"/>
      <c r="X407" s="712"/>
      <c r="Y407" s="712"/>
      <c r="Z407" s="712"/>
      <c r="AA407" s="712"/>
      <c r="AB407" s="712"/>
      <c r="AC407" s="712"/>
      <c r="AD407" s="712"/>
      <c r="AE407" s="712"/>
      <c r="AF407" s="712"/>
      <c r="AG407" s="712"/>
      <c r="AH407" s="712"/>
      <c r="AI407" s="712"/>
      <c r="AJ407" s="712"/>
      <c r="AK407" s="712"/>
      <c r="AL407" s="712"/>
      <c r="AM407" s="712"/>
      <c r="AN407" s="712"/>
      <c r="AO407" s="712"/>
      <c r="AP407" s="712"/>
      <c r="AQ407" s="712"/>
      <c r="AR407" s="712"/>
      <c r="AS407" s="712"/>
      <c r="AT407" s="712"/>
      <c r="AU407" s="712"/>
      <c r="AV407" s="712"/>
      <c r="AW407" s="712"/>
      <c r="AX407" s="712"/>
      <c r="AY407" s="712"/>
      <c r="AZ407" s="712"/>
      <c r="BA407" s="712"/>
      <c r="BB407" s="712"/>
      <c r="BC407" s="712"/>
      <c r="BD407" s="712"/>
      <c r="BE407" s="712"/>
      <c r="BF407" s="712"/>
      <c r="BG407" s="712"/>
      <c r="BH407" s="712"/>
      <c r="BI407" s="712"/>
      <c r="BJ407" s="712"/>
      <c r="BK407" s="712"/>
      <c r="BL407" s="712"/>
      <c r="BM407" s="712"/>
      <c r="BN407" s="712"/>
      <c r="BO407" s="712"/>
      <c r="BP407" s="712"/>
      <c r="BQ407" s="712"/>
      <c r="BR407" s="712"/>
      <c r="BS407" s="712"/>
      <c r="BT407" s="712"/>
      <c r="BU407" s="712"/>
      <c r="BV407" s="712"/>
      <c r="BW407" s="712"/>
      <c r="BX407" s="712"/>
      <c r="BY407" s="712"/>
      <c r="BZ407" s="712"/>
      <c r="CA407" s="712"/>
      <c r="CB407" s="712"/>
      <c r="CC407" s="712"/>
      <c r="CD407" s="712"/>
      <c r="CE407" s="712"/>
      <c r="CF407" s="712"/>
      <c r="CG407" s="712"/>
      <c r="CH407" s="712"/>
      <c r="CI407" s="712"/>
      <c r="CJ407" s="712"/>
      <c r="CK407" s="712"/>
      <c r="CL407" s="712"/>
      <c r="CM407" s="712"/>
      <c r="CN407" s="712"/>
      <c r="CO407" s="712"/>
      <c r="CP407" s="712"/>
      <c r="CQ407" s="712"/>
      <c r="CR407" s="712"/>
      <c r="CS407" s="712"/>
      <c r="CT407" s="712"/>
      <c r="CU407" s="712"/>
      <c r="CV407" s="712"/>
      <c r="CW407" s="712"/>
      <c r="CX407" s="712"/>
      <c r="CY407" s="712"/>
      <c r="CZ407" s="712"/>
      <c r="DA407" s="712"/>
      <c r="DB407" s="712"/>
      <c r="DC407" s="712"/>
      <c r="DD407" s="712"/>
      <c r="DE407" s="712"/>
      <c r="DF407" s="712"/>
      <c r="DG407" s="712"/>
      <c r="DH407" s="712"/>
      <c r="DI407" s="712"/>
      <c r="DJ407" s="712"/>
      <c r="DK407" s="712"/>
      <c r="DL407" s="712"/>
      <c r="DM407" s="712"/>
      <c r="DN407" s="712"/>
      <c r="DO407" s="712"/>
      <c r="DP407" s="712"/>
      <c r="DQ407" s="712"/>
      <c r="DR407" s="712"/>
      <c r="DS407" s="712"/>
      <c r="DT407" s="712"/>
      <c r="DU407" s="712"/>
      <c r="DV407" s="712"/>
      <c r="DW407" s="712"/>
      <c r="DX407" s="712"/>
      <c r="DY407" s="712"/>
      <c r="DZ407" s="712"/>
      <c r="EA407" s="712"/>
      <c r="EB407" s="712"/>
      <c r="EC407" s="712"/>
      <c r="ED407" s="712"/>
      <c r="EE407" s="712"/>
      <c r="EF407" s="712"/>
      <c r="EG407" s="712"/>
      <c r="EH407" s="712"/>
      <c r="EI407" s="712"/>
      <c r="EJ407" s="712"/>
      <c r="EK407" s="712"/>
      <c r="EL407" s="712"/>
      <c r="EM407" s="712"/>
      <c r="EN407" s="712"/>
      <c r="EO407" s="712"/>
      <c r="EP407" s="712"/>
      <c r="EQ407" s="712"/>
      <c r="ER407" s="712"/>
      <c r="ES407" s="712"/>
      <c r="ET407" s="794"/>
      <c r="EU407" s="794"/>
      <c r="EV407" s="794"/>
      <c r="EW407" s="794"/>
      <c r="EX407" s="794"/>
      <c r="EY407" s="794"/>
      <c r="EZ407" s="794"/>
      <c r="FA407" s="712"/>
      <c r="FB407" s="712"/>
      <c r="FC407" s="712"/>
      <c r="FD407" s="712"/>
      <c r="FE407" s="712"/>
      <c r="FF407" s="712"/>
      <c r="FG407" s="712"/>
      <c r="FH407" s="712"/>
      <c r="FI407" s="712"/>
      <c r="FJ407" s="712"/>
      <c r="FK407" s="712"/>
      <c r="FL407" s="712"/>
      <c r="FM407" s="712"/>
      <c r="FN407" s="712"/>
      <c r="FO407" s="712"/>
      <c r="FP407" s="712"/>
      <c r="FQ407" s="712"/>
      <c r="FR407" s="712"/>
      <c r="FS407" s="712"/>
      <c r="FT407" s="712"/>
      <c r="FU407" s="712"/>
      <c r="FV407" s="712"/>
      <c r="FW407" s="712"/>
      <c r="FX407" s="712"/>
      <c r="FZ407" s="712"/>
      <c r="GA407" s="712"/>
      <c r="GB407" s="712"/>
      <c r="GC407" s="712"/>
      <c r="GD407" s="712"/>
      <c r="GE407" s="712"/>
      <c r="GF407" s="712"/>
      <c r="GG407" s="712"/>
      <c r="GH407" s="712"/>
      <c r="GI407" s="712"/>
      <c r="GJ407" s="712"/>
      <c r="GK407" s="712"/>
      <c r="GL407" s="712"/>
      <c r="GM407" s="712"/>
      <c r="GN407" s="712"/>
      <c r="GO407" s="712"/>
      <c r="GP407" s="712"/>
      <c r="GQ407" s="712"/>
      <c r="GR407" s="712"/>
      <c r="GS407" s="712"/>
      <c r="GT407" s="712"/>
      <c r="GU407" s="712"/>
      <c r="GV407" s="712"/>
      <c r="GW407" s="712"/>
      <c r="GX407" s="712"/>
      <c r="GY407" s="712"/>
      <c r="GZ407" s="712"/>
      <c r="HA407" s="712"/>
      <c r="HB407" s="712"/>
      <c r="HC407" s="712"/>
    </row>
    <row r="408" spans="1:211">
      <c r="A408" s="707"/>
      <c r="G408" s="712"/>
      <c r="H408" s="712"/>
      <c r="I408" s="712"/>
      <c r="J408" s="712"/>
      <c r="K408" s="712"/>
      <c r="L408" s="712"/>
      <c r="M408" s="712"/>
      <c r="N408" s="712"/>
      <c r="O408" s="712"/>
      <c r="P408" s="712"/>
      <c r="Q408" s="712"/>
      <c r="R408" s="712"/>
      <c r="S408" s="712"/>
      <c r="T408" s="712"/>
      <c r="U408" s="712"/>
      <c r="V408" s="712"/>
      <c r="W408" s="712"/>
      <c r="X408" s="712"/>
      <c r="Y408" s="712"/>
      <c r="Z408" s="712"/>
      <c r="AA408" s="712"/>
      <c r="AB408" s="712"/>
      <c r="AC408" s="712"/>
      <c r="AD408" s="712"/>
      <c r="AE408" s="712"/>
      <c r="AF408" s="712"/>
      <c r="AG408" s="712"/>
      <c r="AH408" s="712"/>
      <c r="AI408" s="712"/>
      <c r="AJ408" s="712"/>
      <c r="AK408" s="712"/>
      <c r="AL408" s="712"/>
      <c r="AM408" s="712"/>
      <c r="AN408" s="712"/>
      <c r="AO408" s="712"/>
      <c r="AP408" s="712"/>
      <c r="AQ408" s="712"/>
      <c r="AR408" s="712"/>
      <c r="AS408" s="712"/>
      <c r="AT408" s="712"/>
      <c r="AU408" s="712"/>
      <c r="AV408" s="712"/>
      <c r="AW408" s="712"/>
      <c r="AX408" s="712"/>
      <c r="AY408" s="712"/>
      <c r="AZ408" s="712"/>
      <c r="BA408" s="712"/>
      <c r="BB408" s="712"/>
      <c r="BC408" s="712"/>
      <c r="BD408" s="712"/>
      <c r="BE408" s="712"/>
      <c r="BF408" s="712"/>
      <c r="BG408" s="712"/>
      <c r="BH408" s="712"/>
      <c r="BI408" s="712"/>
      <c r="BJ408" s="712"/>
      <c r="BK408" s="712"/>
      <c r="BL408" s="712"/>
      <c r="BM408" s="712"/>
      <c r="BN408" s="712"/>
      <c r="BO408" s="712"/>
      <c r="BP408" s="712"/>
      <c r="BQ408" s="712"/>
      <c r="BR408" s="712"/>
      <c r="BS408" s="712"/>
      <c r="BT408" s="712"/>
      <c r="BU408" s="712"/>
      <c r="BV408" s="712"/>
      <c r="BW408" s="712"/>
      <c r="BX408" s="712"/>
      <c r="BY408" s="712"/>
      <c r="BZ408" s="712"/>
      <c r="CA408" s="712"/>
      <c r="CB408" s="712"/>
      <c r="CC408" s="712"/>
      <c r="CD408" s="712"/>
      <c r="CE408" s="712"/>
      <c r="CF408" s="712"/>
      <c r="CG408" s="712"/>
      <c r="CH408" s="712"/>
      <c r="CI408" s="712"/>
      <c r="CJ408" s="712"/>
      <c r="CK408" s="712"/>
      <c r="CL408" s="712"/>
      <c r="CM408" s="712"/>
      <c r="CN408" s="712"/>
      <c r="CO408" s="712"/>
      <c r="CP408" s="712"/>
      <c r="CQ408" s="712"/>
      <c r="CR408" s="712"/>
      <c r="CS408" s="712"/>
      <c r="CT408" s="712"/>
      <c r="CU408" s="712"/>
      <c r="CV408" s="712"/>
      <c r="CW408" s="712"/>
      <c r="CX408" s="712"/>
      <c r="CY408" s="712"/>
      <c r="CZ408" s="712"/>
      <c r="DA408" s="712"/>
      <c r="DB408" s="712"/>
      <c r="DC408" s="712"/>
      <c r="DD408" s="712"/>
      <c r="DE408" s="712"/>
      <c r="DF408" s="712"/>
      <c r="DG408" s="712"/>
      <c r="DH408" s="712"/>
      <c r="DI408" s="712"/>
      <c r="DJ408" s="712"/>
      <c r="DK408" s="712"/>
      <c r="DL408" s="712"/>
      <c r="DM408" s="712"/>
      <c r="DN408" s="712"/>
      <c r="DO408" s="712"/>
      <c r="DP408" s="712"/>
      <c r="DQ408" s="712"/>
      <c r="DR408" s="712"/>
      <c r="DS408" s="712"/>
      <c r="DT408" s="712"/>
      <c r="DU408" s="712"/>
      <c r="DV408" s="712"/>
      <c r="DW408" s="712"/>
      <c r="DX408" s="712"/>
      <c r="DY408" s="712"/>
      <c r="DZ408" s="712"/>
      <c r="EA408" s="712"/>
      <c r="EB408" s="712"/>
      <c r="EC408" s="712"/>
      <c r="ED408" s="712"/>
      <c r="EE408" s="712"/>
      <c r="EF408" s="712"/>
      <c r="EG408" s="712"/>
      <c r="EH408" s="712"/>
      <c r="EI408" s="712"/>
      <c r="EJ408" s="712"/>
      <c r="EK408" s="712"/>
      <c r="EL408" s="712"/>
      <c r="EM408" s="712"/>
      <c r="EN408" s="712"/>
      <c r="EO408" s="712"/>
      <c r="EP408" s="712"/>
      <c r="EQ408" s="712"/>
      <c r="ER408" s="712"/>
      <c r="ES408" s="712"/>
      <c r="ET408" s="794"/>
      <c r="EU408" s="794"/>
      <c r="EV408" s="794"/>
      <c r="EW408" s="794"/>
      <c r="EX408" s="794"/>
      <c r="EY408" s="794"/>
      <c r="EZ408" s="794"/>
      <c r="FA408" s="712"/>
      <c r="FB408" s="712"/>
      <c r="FC408" s="712"/>
      <c r="FD408" s="712"/>
      <c r="FE408" s="712"/>
      <c r="FF408" s="712"/>
      <c r="FG408" s="712"/>
      <c r="FH408" s="712"/>
      <c r="FI408" s="712"/>
      <c r="FJ408" s="712"/>
      <c r="FK408" s="712"/>
      <c r="FL408" s="712"/>
      <c r="FM408" s="712"/>
      <c r="FN408" s="712"/>
      <c r="FO408" s="712"/>
      <c r="FP408" s="712"/>
      <c r="FQ408" s="712"/>
      <c r="FR408" s="712"/>
      <c r="FS408" s="712"/>
      <c r="FT408" s="712"/>
      <c r="FU408" s="712"/>
      <c r="FV408" s="712"/>
      <c r="FW408" s="712"/>
      <c r="FX408" s="712"/>
      <c r="FZ408" s="712"/>
      <c r="GA408" s="712"/>
      <c r="GB408" s="712"/>
      <c r="GC408" s="712"/>
      <c r="GD408" s="712"/>
      <c r="GE408" s="712"/>
      <c r="GF408" s="712"/>
      <c r="GG408" s="712"/>
      <c r="GH408" s="712"/>
      <c r="GI408" s="712"/>
      <c r="GJ408" s="712"/>
      <c r="GK408" s="712"/>
      <c r="GL408" s="712"/>
      <c r="GM408" s="712"/>
      <c r="GN408" s="712"/>
      <c r="GO408" s="712"/>
      <c r="GP408" s="712"/>
      <c r="GQ408" s="712"/>
      <c r="GR408" s="712"/>
      <c r="GS408" s="712"/>
      <c r="GT408" s="712"/>
      <c r="GU408" s="712"/>
      <c r="GV408" s="712"/>
      <c r="GW408" s="712"/>
      <c r="GX408" s="712"/>
      <c r="GY408" s="712"/>
      <c r="GZ408" s="712"/>
      <c r="HA408" s="712"/>
      <c r="HB408" s="712"/>
      <c r="HC408" s="712"/>
    </row>
    <row r="409" spans="1:211">
      <c r="A409" s="707"/>
      <c r="G409" s="712"/>
      <c r="H409" s="712"/>
      <c r="I409" s="712"/>
      <c r="J409" s="712"/>
      <c r="K409" s="712"/>
      <c r="L409" s="712"/>
      <c r="M409" s="712"/>
      <c r="N409" s="712"/>
      <c r="O409" s="712"/>
      <c r="P409" s="712"/>
      <c r="Q409" s="712"/>
      <c r="R409" s="712"/>
      <c r="S409" s="712"/>
      <c r="T409" s="712"/>
      <c r="U409" s="712"/>
      <c r="V409" s="712"/>
      <c r="W409" s="712"/>
      <c r="X409" s="712"/>
      <c r="Y409" s="712"/>
      <c r="Z409" s="712"/>
      <c r="AA409" s="712"/>
      <c r="AB409" s="712"/>
      <c r="AC409" s="712"/>
      <c r="AD409" s="712"/>
      <c r="AE409" s="712"/>
      <c r="AF409" s="712"/>
      <c r="AG409" s="712"/>
      <c r="AH409" s="712"/>
      <c r="AI409" s="712"/>
      <c r="AJ409" s="712"/>
      <c r="AK409" s="712"/>
      <c r="AL409" s="712"/>
      <c r="AM409" s="712"/>
      <c r="AN409" s="712"/>
      <c r="AO409" s="712"/>
      <c r="AP409" s="712"/>
      <c r="AQ409" s="712"/>
      <c r="AR409" s="712"/>
      <c r="AS409" s="712"/>
      <c r="AT409" s="712"/>
      <c r="AU409" s="712"/>
      <c r="AV409" s="712"/>
      <c r="AW409" s="712"/>
      <c r="AX409" s="712"/>
      <c r="AY409" s="712"/>
      <c r="AZ409" s="712"/>
      <c r="BA409" s="712"/>
      <c r="BB409" s="712"/>
      <c r="BC409" s="712"/>
      <c r="BD409" s="712"/>
      <c r="BE409" s="712"/>
      <c r="BF409" s="712"/>
      <c r="BG409" s="712"/>
      <c r="BH409" s="712"/>
      <c r="BI409" s="712"/>
      <c r="BJ409" s="712"/>
      <c r="BK409" s="712"/>
      <c r="BL409" s="712"/>
      <c r="BM409" s="712"/>
      <c r="BN409" s="712"/>
      <c r="BO409" s="712"/>
      <c r="BP409" s="712"/>
      <c r="BQ409" s="712"/>
      <c r="BR409" s="712"/>
      <c r="BS409" s="712"/>
      <c r="BT409" s="712"/>
      <c r="BU409" s="712"/>
      <c r="BV409" s="712"/>
      <c r="BW409" s="712"/>
      <c r="BX409" s="712"/>
      <c r="BY409" s="712"/>
      <c r="BZ409" s="712"/>
      <c r="CA409" s="712"/>
      <c r="CB409" s="712"/>
      <c r="CC409" s="712"/>
      <c r="CD409" s="712"/>
      <c r="CE409" s="712"/>
      <c r="CF409" s="712"/>
      <c r="CG409" s="712"/>
      <c r="CH409" s="712"/>
      <c r="CI409" s="712"/>
      <c r="CJ409" s="712"/>
      <c r="CK409" s="712"/>
      <c r="CL409" s="712"/>
      <c r="CM409" s="712"/>
      <c r="CN409" s="712"/>
      <c r="CO409" s="712"/>
      <c r="CP409" s="712"/>
      <c r="CQ409" s="712"/>
      <c r="CR409" s="712"/>
      <c r="CS409" s="712"/>
      <c r="CT409" s="712"/>
      <c r="CU409" s="712"/>
      <c r="CV409" s="712"/>
      <c r="CW409" s="712"/>
      <c r="CX409" s="712"/>
      <c r="CY409" s="712"/>
      <c r="CZ409" s="712"/>
      <c r="DA409" s="712"/>
      <c r="DB409" s="712"/>
      <c r="DC409" s="712"/>
      <c r="DD409" s="712"/>
      <c r="DE409" s="712"/>
      <c r="DF409" s="712"/>
      <c r="DG409" s="712"/>
      <c r="DH409" s="712"/>
      <c r="DI409" s="712"/>
      <c r="DJ409" s="712"/>
      <c r="DK409" s="712"/>
      <c r="DL409" s="712"/>
      <c r="DM409" s="712"/>
      <c r="DN409" s="712"/>
      <c r="DO409" s="712"/>
      <c r="DP409" s="712"/>
      <c r="DQ409" s="712"/>
      <c r="DR409" s="712"/>
      <c r="DS409" s="712"/>
      <c r="DT409" s="712"/>
      <c r="DU409" s="712"/>
      <c r="DV409" s="712"/>
      <c r="DW409" s="712"/>
      <c r="DX409" s="712"/>
      <c r="DY409" s="712"/>
      <c r="DZ409" s="712"/>
      <c r="EA409" s="712"/>
      <c r="EB409" s="712"/>
      <c r="EC409" s="712"/>
      <c r="ED409" s="712"/>
      <c r="EE409" s="712"/>
      <c r="EF409" s="712"/>
      <c r="EG409" s="712"/>
      <c r="EH409" s="712"/>
      <c r="EI409" s="712"/>
      <c r="EJ409" s="712"/>
      <c r="EK409" s="712"/>
      <c r="EL409" s="712"/>
      <c r="EM409" s="712"/>
      <c r="EN409" s="712"/>
      <c r="EO409" s="712"/>
      <c r="EP409" s="712"/>
      <c r="EQ409" s="712"/>
      <c r="ER409" s="712"/>
      <c r="ES409" s="712"/>
      <c r="ET409" s="794"/>
      <c r="EU409" s="794"/>
      <c r="EV409" s="794"/>
      <c r="EW409" s="794"/>
      <c r="EX409" s="794"/>
      <c r="EY409" s="794"/>
      <c r="EZ409" s="794"/>
      <c r="FA409" s="712"/>
      <c r="FB409" s="712"/>
      <c r="FC409" s="712"/>
      <c r="FD409" s="712"/>
      <c r="FE409" s="712"/>
      <c r="FF409" s="712"/>
      <c r="FG409" s="712"/>
      <c r="FH409" s="712"/>
      <c r="FI409" s="712"/>
      <c r="FJ409" s="712"/>
      <c r="FK409" s="712"/>
      <c r="FL409" s="712"/>
      <c r="FM409" s="712"/>
      <c r="FN409" s="712"/>
      <c r="FO409" s="712"/>
      <c r="FP409" s="712"/>
      <c r="FQ409" s="712"/>
      <c r="FR409" s="712"/>
      <c r="FS409" s="712"/>
      <c r="FT409" s="712"/>
      <c r="FU409" s="712"/>
      <c r="FV409" s="712"/>
      <c r="FW409" s="712"/>
      <c r="FX409" s="712"/>
      <c r="FZ409" s="712"/>
      <c r="GA409" s="712"/>
      <c r="GB409" s="712"/>
      <c r="GC409" s="712"/>
      <c r="GD409" s="712"/>
      <c r="GE409" s="712"/>
      <c r="GF409" s="712"/>
      <c r="GG409" s="712"/>
      <c r="GH409" s="712"/>
      <c r="GI409" s="712"/>
      <c r="GJ409" s="712"/>
      <c r="GK409" s="712"/>
      <c r="GL409" s="712"/>
      <c r="GM409" s="712"/>
      <c r="GN409" s="712"/>
      <c r="GO409" s="712"/>
      <c r="GP409" s="712"/>
      <c r="GQ409" s="712"/>
      <c r="GR409" s="712"/>
      <c r="GS409" s="712"/>
      <c r="GT409" s="712"/>
      <c r="GU409" s="712"/>
      <c r="GV409" s="712"/>
      <c r="GW409" s="712"/>
      <c r="GX409" s="712"/>
      <c r="GY409" s="712"/>
      <c r="GZ409" s="712"/>
      <c r="HA409" s="712"/>
      <c r="HB409" s="712"/>
      <c r="HC409" s="712"/>
    </row>
    <row r="410" spans="1:211">
      <c r="A410" s="707"/>
      <c r="G410" s="712"/>
      <c r="H410" s="712"/>
      <c r="I410" s="712"/>
      <c r="J410" s="712"/>
      <c r="K410" s="712"/>
      <c r="L410" s="712"/>
      <c r="M410" s="712"/>
      <c r="N410" s="712"/>
      <c r="O410" s="712"/>
      <c r="P410" s="712"/>
      <c r="Q410" s="712"/>
      <c r="R410" s="712"/>
      <c r="S410" s="712"/>
      <c r="T410" s="712"/>
      <c r="U410" s="712"/>
      <c r="V410" s="712"/>
      <c r="W410" s="712"/>
      <c r="X410" s="712"/>
      <c r="Y410" s="712"/>
      <c r="Z410" s="712"/>
      <c r="AA410" s="712"/>
      <c r="AB410" s="712"/>
      <c r="AC410" s="712"/>
      <c r="AD410" s="712"/>
      <c r="AE410" s="712"/>
      <c r="AF410" s="712"/>
      <c r="AG410" s="712"/>
      <c r="AH410" s="712"/>
      <c r="AI410" s="712"/>
      <c r="AJ410" s="712"/>
      <c r="AK410" s="712"/>
      <c r="AL410" s="712"/>
      <c r="AM410" s="712"/>
      <c r="AN410" s="712"/>
      <c r="AO410" s="712"/>
      <c r="AP410" s="712"/>
      <c r="AQ410" s="712"/>
      <c r="AR410" s="712"/>
      <c r="AS410" s="712"/>
      <c r="AT410" s="712"/>
      <c r="AU410" s="712"/>
      <c r="AV410" s="712"/>
      <c r="AW410" s="712"/>
      <c r="AX410" s="712"/>
      <c r="AY410" s="712"/>
      <c r="AZ410" s="712"/>
      <c r="BA410" s="712"/>
      <c r="BB410" s="712"/>
      <c r="BC410" s="712"/>
      <c r="BD410" s="712"/>
      <c r="BE410" s="712"/>
      <c r="BF410" s="712"/>
      <c r="BG410" s="712"/>
      <c r="BH410" s="712"/>
      <c r="BI410" s="712"/>
      <c r="BJ410" s="712"/>
      <c r="BK410" s="712"/>
      <c r="BL410" s="712"/>
      <c r="BM410" s="712"/>
      <c r="BN410" s="712"/>
      <c r="BO410" s="712"/>
      <c r="BP410" s="712"/>
      <c r="BQ410" s="712"/>
      <c r="BR410" s="712"/>
      <c r="BS410" s="712"/>
      <c r="BT410" s="712"/>
      <c r="BU410" s="712"/>
      <c r="BV410" s="712"/>
      <c r="BW410" s="712"/>
      <c r="BX410" s="712"/>
      <c r="BY410" s="712"/>
      <c r="BZ410" s="712"/>
      <c r="CA410" s="712"/>
      <c r="CB410" s="712"/>
      <c r="CC410" s="712"/>
      <c r="CD410" s="712"/>
      <c r="CE410" s="712"/>
      <c r="CF410" s="712"/>
      <c r="CG410" s="712"/>
      <c r="CH410" s="712"/>
      <c r="CI410" s="712"/>
      <c r="CJ410" s="712"/>
      <c r="CK410" s="712"/>
      <c r="CL410" s="712"/>
      <c r="CM410" s="712"/>
      <c r="CN410" s="712"/>
      <c r="CO410" s="712"/>
      <c r="CP410" s="712"/>
      <c r="CQ410" s="712"/>
      <c r="CR410" s="712"/>
      <c r="CS410" s="712"/>
      <c r="CT410" s="712"/>
      <c r="CU410" s="712"/>
      <c r="CV410" s="712"/>
      <c r="CW410" s="712"/>
      <c r="CX410" s="712"/>
      <c r="CY410" s="712"/>
      <c r="CZ410" s="712"/>
      <c r="DA410" s="712"/>
      <c r="DB410" s="712"/>
      <c r="DC410" s="712"/>
      <c r="DD410" s="712"/>
      <c r="DE410" s="712"/>
      <c r="DF410" s="712"/>
      <c r="DG410" s="712"/>
      <c r="DH410" s="712"/>
      <c r="DI410" s="712"/>
      <c r="DJ410" s="712"/>
      <c r="DK410" s="712"/>
      <c r="DL410" s="712"/>
      <c r="DM410" s="712"/>
      <c r="DN410" s="712"/>
      <c r="DO410" s="712"/>
      <c r="DP410" s="712"/>
      <c r="DQ410" s="712"/>
      <c r="DR410" s="712"/>
      <c r="DS410" s="712"/>
      <c r="DT410" s="712"/>
      <c r="DU410" s="712"/>
      <c r="DV410" s="712"/>
      <c r="DW410" s="712"/>
      <c r="DX410" s="712"/>
      <c r="DY410" s="712"/>
      <c r="DZ410" s="712"/>
      <c r="EA410" s="712"/>
      <c r="EB410" s="712"/>
      <c r="EC410" s="712"/>
      <c r="ED410" s="712"/>
      <c r="EE410" s="712"/>
      <c r="EF410" s="712"/>
      <c r="EG410" s="712"/>
      <c r="EH410" s="712"/>
      <c r="EI410" s="712"/>
      <c r="EJ410" s="712"/>
      <c r="EK410" s="712"/>
      <c r="EL410" s="712"/>
      <c r="EM410" s="712"/>
      <c r="EN410" s="712"/>
      <c r="EO410" s="712"/>
      <c r="EP410" s="712"/>
      <c r="EQ410" s="712"/>
      <c r="ER410" s="712"/>
      <c r="ES410" s="712"/>
      <c r="ET410" s="794"/>
      <c r="EU410" s="794"/>
      <c r="EV410" s="794"/>
      <c r="EW410" s="794"/>
      <c r="EX410" s="794"/>
      <c r="EY410" s="794"/>
      <c r="EZ410" s="794"/>
      <c r="FA410" s="712"/>
      <c r="FB410" s="712"/>
      <c r="FC410" s="712"/>
      <c r="FD410" s="712"/>
      <c r="FE410" s="712"/>
      <c r="FF410" s="712"/>
      <c r="FG410" s="712"/>
      <c r="FH410" s="712"/>
      <c r="FI410" s="712"/>
      <c r="FJ410" s="712"/>
      <c r="FK410" s="712"/>
      <c r="FL410" s="712"/>
      <c r="FM410" s="712"/>
      <c r="FN410" s="712"/>
      <c r="FO410" s="712"/>
      <c r="FP410" s="712"/>
      <c r="FQ410" s="712"/>
      <c r="FR410" s="712"/>
      <c r="FS410" s="712"/>
      <c r="FT410" s="712"/>
      <c r="FU410" s="712"/>
      <c r="FV410" s="712"/>
      <c r="FW410" s="712"/>
      <c r="FX410" s="712"/>
      <c r="FZ410" s="712"/>
      <c r="GA410" s="712"/>
      <c r="GB410" s="712"/>
      <c r="GC410" s="712"/>
      <c r="GD410" s="712"/>
      <c r="GE410" s="712"/>
      <c r="GF410" s="712"/>
      <c r="GG410" s="712"/>
      <c r="GH410" s="712"/>
      <c r="GI410" s="712"/>
      <c r="GJ410" s="712"/>
      <c r="GK410" s="712"/>
      <c r="GL410" s="712"/>
      <c r="GM410" s="712"/>
      <c r="GN410" s="712"/>
      <c r="GO410" s="712"/>
      <c r="GP410" s="712"/>
      <c r="GQ410" s="712"/>
      <c r="GR410" s="712"/>
      <c r="GS410" s="712"/>
      <c r="GT410" s="712"/>
      <c r="GU410" s="712"/>
      <c r="GV410" s="712"/>
      <c r="GW410" s="712"/>
      <c r="GX410" s="712"/>
      <c r="GY410" s="712"/>
      <c r="GZ410" s="712"/>
      <c r="HA410" s="712"/>
      <c r="HB410" s="712"/>
      <c r="HC410" s="712"/>
    </row>
    <row r="411" spans="1:211">
      <c r="A411" s="707"/>
      <c r="G411" s="712"/>
      <c r="H411" s="712"/>
      <c r="I411" s="712"/>
      <c r="J411" s="712"/>
      <c r="K411" s="712"/>
      <c r="L411" s="712"/>
      <c r="M411" s="712"/>
      <c r="N411" s="712"/>
      <c r="O411" s="712"/>
      <c r="P411" s="712"/>
      <c r="Q411" s="712"/>
      <c r="R411" s="712"/>
      <c r="S411" s="712"/>
      <c r="T411" s="712"/>
      <c r="U411" s="712"/>
      <c r="V411" s="712"/>
      <c r="W411" s="712"/>
      <c r="X411" s="712"/>
      <c r="Y411" s="712"/>
      <c r="Z411" s="712"/>
      <c r="AA411" s="712"/>
      <c r="AB411" s="712"/>
      <c r="AC411" s="712"/>
      <c r="AD411" s="712"/>
      <c r="AE411" s="712"/>
      <c r="AF411" s="712"/>
      <c r="AG411" s="712"/>
      <c r="AH411" s="712"/>
      <c r="AI411" s="712"/>
      <c r="AJ411" s="712"/>
      <c r="AK411" s="712"/>
      <c r="AL411" s="712"/>
      <c r="AM411" s="712"/>
      <c r="AN411" s="712"/>
      <c r="AO411" s="712"/>
      <c r="AP411" s="712"/>
      <c r="AQ411" s="712"/>
      <c r="AR411" s="712"/>
      <c r="AS411" s="712"/>
      <c r="AT411" s="712"/>
      <c r="AU411" s="712"/>
      <c r="AV411" s="712"/>
      <c r="AW411" s="712"/>
      <c r="AX411" s="712"/>
      <c r="AY411" s="712"/>
      <c r="AZ411" s="712"/>
      <c r="BA411" s="712"/>
      <c r="BB411" s="712"/>
      <c r="BC411" s="712"/>
      <c r="BD411" s="712"/>
      <c r="BE411" s="712"/>
      <c r="BF411" s="712"/>
      <c r="BG411" s="712"/>
      <c r="BH411" s="712"/>
      <c r="BI411" s="712"/>
      <c r="BJ411" s="712"/>
      <c r="BK411" s="712"/>
      <c r="BL411" s="712"/>
      <c r="BM411" s="712"/>
      <c r="BN411" s="712"/>
      <c r="BO411" s="712"/>
      <c r="BP411" s="712"/>
      <c r="BQ411" s="712"/>
      <c r="BR411" s="712"/>
      <c r="BS411" s="712"/>
      <c r="BT411" s="712"/>
      <c r="BU411" s="712"/>
      <c r="BV411" s="712"/>
      <c r="BW411" s="712"/>
      <c r="BX411" s="712"/>
      <c r="BY411" s="712"/>
      <c r="BZ411" s="712"/>
      <c r="CA411" s="712"/>
      <c r="CB411" s="712"/>
      <c r="CC411" s="712"/>
      <c r="CD411" s="712"/>
      <c r="CE411" s="712"/>
      <c r="CF411" s="712"/>
      <c r="CG411" s="712"/>
      <c r="CH411" s="712"/>
      <c r="CI411" s="712"/>
      <c r="CJ411" s="712"/>
      <c r="CK411" s="712"/>
      <c r="CL411" s="712"/>
      <c r="CM411" s="712"/>
      <c r="CN411" s="712"/>
      <c r="CO411" s="712"/>
      <c r="CP411" s="712"/>
      <c r="CQ411" s="712"/>
      <c r="CR411" s="712"/>
      <c r="CS411" s="712"/>
      <c r="CT411" s="712"/>
      <c r="CU411" s="712"/>
      <c r="CV411" s="712"/>
      <c r="CW411" s="712"/>
      <c r="CX411" s="712"/>
      <c r="CY411" s="712"/>
      <c r="CZ411" s="712"/>
      <c r="DA411" s="712"/>
      <c r="DB411" s="712"/>
      <c r="DC411" s="712"/>
      <c r="DD411" s="712"/>
      <c r="DE411" s="712"/>
      <c r="DF411" s="712"/>
      <c r="DG411" s="712"/>
      <c r="DH411" s="712"/>
      <c r="DI411" s="712"/>
      <c r="DJ411" s="712"/>
      <c r="DK411" s="712"/>
      <c r="DL411" s="712"/>
      <c r="DM411" s="712"/>
      <c r="DN411" s="712"/>
      <c r="DO411" s="712"/>
      <c r="DP411" s="712"/>
      <c r="DQ411" s="712"/>
      <c r="DR411" s="712"/>
      <c r="DS411" s="712"/>
      <c r="DT411" s="712"/>
      <c r="DU411" s="712"/>
      <c r="DV411" s="712"/>
      <c r="DW411" s="712"/>
      <c r="DX411" s="712"/>
      <c r="DY411" s="712"/>
      <c r="DZ411" s="712"/>
      <c r="EA411" s="712"/>
      <c r="EB411" s="712"/>
      <c r="EC411" s="712"/>
      <c r="ED411" s="712"/>
      <c r="EE411" s="712"/>
      <c r="EF411" s="712"/>
      <c r="EG411" s="712"/>
      <c r="EH411" s="712"/>
      <c r="EI411" s="712"/>
      <c r="EJ411" s="712"/>
      <c r="EK411" s="712"/>
      <c r="EL411" s="712"/>
      <c r="EM411" s="712"/>
      <c r="EN411" s="712"/>
      <c r="EO411" s="712"/>
      <c r="EP411" s="712"/>
      <c r="EQ411" s="712"/>
      <c r="ER411" s="712"/>
      <c r="ES411" s="712"/>
      <c r="ET411" s="794"/>
      <c r="EU411" s="794"/>
      <c r="EV411" s="794"/>
      <c r="EW411" s="794"/>
      <c r="EX411" s="794"/>
      <c r="EY411" s="794"/>
      <c r="EZ411" s="794"/>
      <c r="FA411" s="712"/>
      <c r="FB411" s="712"/>
      <c r="FC411" s="712"/>
      <c r="FD411" s="712"/>
      <c r="FE411" s="712"/>
      <c r="FF411" s="712"/>
      <c r="FG411" s="712"/>
      <c r="FH411" s="712"/>
      <c r="FI411" s="712"/>
      <c r="FJ411" s="712"/>
      <c r="FK411" s="712"/>
      <c r="FL411" s="712"/>
      <c r="FM411" s="712"/>
      <c r="FN411" s="712"/>
      <c r="FO411" s="712"/>
      <c r="FP411" s="712"/>
      <c r="FQ411" s="712"/>
      <c r="FR411" s="712"/>
      <c r="FS411" s="712"/>
      <c r="FT411" s="712"/>
      <c r="FU411" s="712"/>
      <c r="FV411" s="712"/>
      <c r="FW411" s="712"/>
      <c r="FX411" s="712"/>
      <c r="FZ411" s="712"/>
      <c r="GA411" s="712"/>
      <c r="GB411" s="712"/>
      <c r="GC411" s="712"/>
      <c r="GD411" s="712"/>
      <c r="GE411" s="712"/>
      <c r="GF411" s="712"/>
      <c r="GG411" s="712"/>
      <c r="GH411" s="712"/>
      <c r="GI411" s="712"/>
      <c r="GJ411" s="712"/>
      <c r="GK411" s="712"/>
      <c r="GL411" s="712"/>
      <c r="GM411" s="712"/>
      <c r="GN411" s="712"/>
      <c r="GO411" s="712"/>
      <c r="GP411" s="712"/>
      <c r="GQ411" s="712"/>
      <c r="GR411" s="712"/>
      <c r="GS411" s="712"/>
      <c r="GT411" s="712"/>
      <c r="GU411" s="712"/>
      <c r="GV411" s="712"/>
      <c r="GW411" s="712"/>
      <c r="GX411" s="712"/>
      <c r="GY411" s="712"/>
      <c r="GZ411" s="712"/>
      <c r="HA411" s="712"/>
      <c r="HB411" s="712"/>
      <c r="HC411" s="712"/>
    </row>
    <row r="412" spans="1:211">
      <c r="A412" s="707"/>
      <c r="G412" s="712"/>
      <c r="H412" s="712"/>
      <c r="I412" s="712"/>
      <c r="J412" s="712"/>
      <c r="K412" s="712"/>
      <c r="L412" s="712"/>
      <c r="M412" s="712"/>
      <c r="N412" s="712"/>
      <c r="O412" s="712"/>
      <c r="P412" s="712"/>
      <c r="Q412" s="712"/>
      <c r="R412" s="712"/>
      <c r="S412" s="712"/>
      <c r="T412" s="712"/>
      <c r="U412" s="712"/>
      <c r="V412" s="712"/>
      <c r="W412" s="712"/>
      <c r="X412" s="712"/>
      <c r="Y412" s="712"/>
      <c r="Z412" s="712"/>
      <c r="AA412" s="712"/>
      <c r="AB412" s="712"/>
      <c r="AC412" s="712"/>
      <c r="AD412" s="712"/>
      <c r="AE412" s="712"/>
      <c r="AF412" s="712"/>
      <c r="AG412" s="712"/>
      <c r="AH412" s="712"/>
      <c r="AI412" s="712"/>
      <c r="AJ412" s="712"/>
      <c r="AK412" s="712"/>
      <c r="AL412" s="712"/>
      <c r="AM412" s="712"/>
      <c r="AN412" s="712"/>
      <c r="AO412" s="712"/>
      <c r="AP412" s="712"/>
      <c r="AQ412" s="712"/>
      <c r="AR412" s="712"/>
      <c r="AS412" s="712"/>
      <c r="AT412" s="712"/>
      <c r="AU412" s="712"/>
      <c r="AV412" s="712"/>
      <c r="AW412" s="712"/>
      <c r="AX412" s="712"/>
      <c r="AY412" s="712"/>
      <c r="AZ412" s="712"/>
      <c r="BA412" s="712"/>
      <c r="BB412" s="712"/>
      <c r="BC412" s="712"/>
      <c r="BD412" s="712"/>
      <c r="BE412" s="712"/>
      <c r="BF412" s="712"/>
      <c r="BG412" s="712"/>
      <c r="BH412" s="712"/>
      <c r="BI412" s="712"/>
      <c r="BJ412" s="712"/>
      <c r="BK412" s="712"/>
      <c r="BL412" s="712"/>
      <c r="BM412" s="712"/>
      <c r="BN412" s="712"/>
      <c r="BO412" s="712"/>
      <c r="BP412" s="712"/>
      <c r="BQ412" s="712"/>
      <c r="BR412" s="712"/>
      <c r="BS412" s="712"/>
      <c r="BT412" s="712"/>
      <c r="BU412" s="712"/>
      <c r="BV412" s="712"/>
      <c r="BW412" s="712"/>
      <c r="BX412" s="712"/>
      <c r="BY412" s="712"/>
      <c r="BZ412" s="712"/>
      <c r="CA412" s="712"/>
      <c r="CB412" s="712"/>
      <c r="CC412" s="712"/>
      <c r="CD412" s="712"/>
      <c r="CE412" s="712"/>
      <c r="CF412" s="712"/>
      <c r="CG412" s="712"/>
      <c r="CH412" s="712"/>
      <c r="CI412" s="712"/>
      <c r="CJ412" s="712"/>
      <c r="CK412" s="712"/>
      <c r="CL412" s="712"/>
      <c r="CM412" s="712"/>
      <c r="CN412" s="712"/>
      <c r="CO412" s="712"/>
      <c r="CP412" s="712"/>
      <c r="CQ412" s="712"/>
      <c r="CR412" s="712"/>
      <c r="CS412" s="712"/>
      <c r="CT412" s="712"/>
      <c r="CU412" s="712"/>
      <c r="CV412" s="712"/>
      <c r="CW412" s="712"/>
      <c r="CX412" s="712"/>
      <c r="CY412" s="712"/>
      <c r="CZ412" s="712"/>
      <c r="DA412" s="712"/>
      <c r="DB412" s="712"/>
      <c r="DC412" s="712"/>
      <c r="DD412" s="712"/>
      <c r="DE412" s="712"/>
      <c r="DF412" s="712"/>
      <c r="DG412" s="712"/>
      <c r="DH412" s="712"/>
      <c r="DI412" s="712"/>
      <c r="DJ412" s="712"/>
      <c r="DK412" s="712"/>
      <c r="DL412" s="712"/>
      <c r="DM412" s="712"/>
      <c r="DN412" s="712"/>
      <c r="DO412" s="712"/>
      <c r="DP412" s="712"/>
      <c r="DQ412" s="712"/>
      <c r="DR412" s="712"/>
      <c r="DS412" s="712"/>
      <c r="DT412" s="712"/>
      <c r="DU412" s="712"/>
      <c r="DV412" s="712"/>
      <c r="DW412" s="712"/>
      <c r="DX412" s="712"/>
      <c r="DY412" s="712"/>
      <c r="DZ412" s="712"/>
      <c r="EA412" s="712"/>
      <c r="EB412" s="712"/>
      <c r="EC412" s="712"/>
      <c r="ED412" s="712"/>
      <c r="EE412" s="712"/>
      <c r="EF412" s="712"/>
      <c r="EG412" s="712"/>
      <c r="EH412" s="712"/>
      <c r="EI412" s="712"/>
      <c r="EJ412" s="712"/>
      <c r="EK412" s="712"/>
      <c r="EL412" s="712"/>
      <c r="EM412" s="712"/>
      <c r="EN412" s="712"/>
      <c r="EO412" s="712"/>
      <c r="EP412" s="712"/>
      <c r="EQ412" s="712"/>
      <c r="ER412" s="712"/>
      <c r="ES412" s="712"/>
      <c r="ET412" s="794"/>
      <c r="EU412" s="794"/>
      <c r="EV412" s="794"/>
      <c r="EW412" s="794"/>
      <c r="EX412" s="794"/>
      <c r="EY412" s="794"/>
      <c r="EZ412" s="794"/>
      <c r="FA412" s="712"/>
      <c r="FB412" s="712"/>
      <c r="FC412" s="712"/>
      <c r="FD412" s="712"/>
      <c r="FE412" s="712"/>
      <c r="FF412" s="712"/>
      <c r="FG412" s="712"/>
      <c r="FH412" s="712"/>
      <c r="FI412" s="712"/>
      <c r="FJ412" s="712"/>
      <c r="FK412" s="712"/>
      <c r="FL412" s="712"/>
      <c r="FM412" s="712"/>
      <c r="FN412" s="712"/>
      <c r="FO412" s="712"/>
      <c r="FP412" s="712"/>
      <c r="FQ412" s="712"/>
      <c r="FR412" s="712"/>
      <c r="FS412" s="712"/>
      <c r="FT412" s="712"/>
      <c r="FU412" s="712"/>
      <c r="FV412" s="712"/>
      <c r="FW412" s="712"/>
      <c r="FX412" s="712"/>
      <c r="FZ412" s="712"/>
      <c r="GA412" s="712"/>
      <c r="GB412" s="712"/>
      <c r="GC412" s="712"/>
      <c r="GD412" s="712"/>
      <c r="GE412" s="712"/>
      <c r="GF412" s="712"/>
      <c r="GG412" s="712"/>
      <c r="GH412" s="712"/>
      <c r="GI412" s="712"/>
      <c r="GJ412" s="712"/>
      <c r="GK412" s="712"/>
      <c r="GL412" s="712"/>
      <c r="GM412" s="712"/>
      <c r="GN412" s="712"/>
      <c r="GO412" s="712"/>
      <c r="GP412" s="712"/>
      <c r="GQ412" s="712"/>
      <c r="GR412" s="712"/>
      <c r="GS412" s="712"/>
      <c r="GT412" s="712"/>
      <c r="GU412" s="712"/>
      <c r="GV412" s="712"/>
      <c r="GW412" s="712"/>
      <c r="GX412" s="712"/>
      <c r="GY412" s="712"/>
      <c r="GZ412" s="712"/>
      <c r="HA412" s="712"/>
      <c r="HB412" s="712"/>
      <c r="HC412" s="712"/>
    </row>
    <row r="413" spans="1:211">
      <c r="A413" s="707"/>
      <c r="G413" s="712"/>
      <c r="H413" s="712"/>
      <c r="I413" s="712"/>
      <c r="J413" s="712"/>
      <c r="K413" s="712"/>
      <c r="L413" s="712"/>
      <c r="M413" s="712"/>
      <c r="N413" s="712"/>
      <c r="O413" s="712"/>
      <c r="P413" s="712"/>
      <c r="Q413" s="712"/>
      <c r="R413" s="712"/>
      <c r="S413" s="712"/>
      <c r="T413" s="712"/>
      <c r="U413" s="712"/>
      <c r="V413" s="712"/>
      <c r="W413" s="712"/>
      <c r="X413" s="712"/>
      <c r="Y413" s="712"/>
      <c r="Z413" s="712"/>
      <c r="AA413" s="712"/>
      <c r="AB413" s="712"/>
      <c r="AC413" s="712"/>
      <c r="AD413" s="712"/>
      <c r="AE413" s="712"/>
      <c r="AF413" s="712"/>
      <c r="AG413" s="712"/>
      <c r="AH413" s="712"/>
      <c r="AI413" s="712"/>
      <c r="AJ413" s="712"/>
      <c r="AK413" s="712"/>
      <c r="AL413" s="712"/>
      <c r="AM413" s="712"/>
      <c r="AN413" s="712"/>
      <c r="AO413" s="712"/>
      <c r="AP413" s="712"/>
      <c r="AQ413" s="712"/>
      <c r="AR413" s="712"/>
      <c r="AS413" s="712"/>
      <c r="AT413" s="712"/>
      <c r="AU413" s="712"/>
      <c r="AV413" s="712"/>
      <c r="AW413" s="712"/>
      <c r="AX413" s="712"/>
      <c r="AY413" s="712"/>
      <c r="AZ413" s="712"/>
      <c r="BA413" s="712"/>
      <c r="BB413" s="712"/>
      <c r="BC413" s="712"/>
      <c r="BD413" s="712"/>
      <c r="BE413" s="712"/>
      <c r="BF413" s="712"/>
      <c r="BG413" s="712"/>
      <c r="BH413" s="712"/>
      <c r="BI413" s="712"/>
      <c r="BJ413" s="712"/>
      <c r="BK413" s="712"/>
      <c r="BL413" s="712"/>
      <c r="BM413" s="712"/>
      <c r="BN413" s="712"/>
      <c r="BO413" s="712"/>
      <c r="BP413" s="712"/>
      <c r="BQ413" s="712"/>
      <c r="BR413" s="712"/>
      <c r="BS413" s="712"/>
      <c r="BT413" s="712"/>
      <c r="BU413" s="712"/>
      <c r="BV413" s="712"/>
      <c r="BW413" s="712"/>
      <c r="BX413" s="712"/>
      <c r="BY413" s="712"/>
      <c r="BZ413" s="712"/>
      <c r="CA413" s="712"/>
      <c r="CB413" s="712"/>
      <c r="CC413" s="712"/>
      <c r="CD413" s="712"/>
      <c r="CE413" s="712"/>
      <c r="CF413" s="712"/>
      <c r="CG413" s="712"/>
      <c r="CH413" s="712"/>
      <c r="CI413" s="712"/>
      <c r="CJ413" s="712"/>
      <c r="CK413" s="712"/>
      <c r="CL413" s="712"/>
      <c r="CM413" s="712"/>
      <c r="CN413" s="712"/>
      <c r="CO413" s="712"/>
      <c r="CP413" s="712"/>
      <c r="CQ413" s="712"/>
      <c r="CR413" s="712"/>
      <c r="CS413" s="712"/>
      <c r="CT413" s="712"/>
      <c r="CU413" s="712"/>
      <c r="CV413" s="712"/>
      <c r="CW413" s="712"/>
      <c r="CX413" s="712"/>
      <c r="CY413" s="712"/>
      <c r="CZ413" s="712"/>
      <c r="DA413" s="712"/>
      <c r="DB413" s="712"/>
      <c r="DC413" s="712"/>
      <c r="DD413" s="712"/>
      <c r="DE413" s="712"/>
      <c r="DF413" s="712"/>
      <c r="DG413" s="712"/>
      <c r="DH413" s="712"/>
      <c r="DI413" s="712"/>
      <c r="DJ413" s="712"/>
      <c r="DK413" s="712"/>
      <c r="DL413" s="712"/>
      <c r="DM413" s="712"/>
      <c r="DN413" s="712"/>
      <c r="DO413" s="712"/>
      <c r="DP413" s="712"/>
      <c r="DQ413" s="712"/>
      <c r="DR413" s="712"/>
      <c r="DS413" s="712"/>
      <c r="DT413" s="712"/>
      <c r="DU413" s="712"/>
      <c r="DV413" s="712"/>
      <c r="DW413" s="712"/>
      <c r="DX413" s="712"/>
      <c r="DY413" s="712"/>
      <c r="DZ413" s="712"/>
      <c r="EA413" s="712"/>
      <c r="EB413" s="712"/>
      <c r="EC413" s="712"/>
      <c r="ED413" s="712"/>
      <c r="EE413" s="712"/>
      <c r="EF413" s="712"/>
      <c r="EG413" s="712"/>
      <c r="EH413" s="712"/>
      <c r="EI413" s="712"/>
      <c r="EJ413" s="712"/>
      <c r="EK413" s="712"/>
      <c r="EL413" s="712"/>
      <c r="EM413" s="712"/>
      <c r="EN413" s="712"/>
      <c r="EO413" s="712"/>
      <c r="EP413" s="712"/>
      <c r="EQ413" s="712"/>
      <c r="ER413" s="712"/>
      <c r="ES413" s="712"/>
      <c r="ET413" s="794"/>
      <c r="EU413" s="794"/>
      <c r="EV413" s="794"/>
      <c r="EW413" s="794"/>
      <c r="EX413" s="794"/>
      <c r="EY413" s="794"/>
      <c r="EZ413" s="794"/>
      <c r="FA413" s="712"/>
      <c r="FB413" s="712"/>
      <c r="FC413" s="712"/>
      <c r="FD413" s="712"/>
      <c r="FE413" s="712"/>
      <c r="FF413" s="712"/>
      <c r="FG413" s="712"/>
      <c r="FH413" s="712"/>
      <c r="FI413" s="712"/>
      <c r="FJ413" s="712"/>
      <c r="FK413" s="712"/>
      <c r="FL413" s="712"/>
      <c r="FM413" s="712"/>
      <c r="FN413" s="712"/>
      <c r="FO413" s="712"/>
      <c r="FP413" s="712"/>
      <c r="FQ413" s="712"/>
      <c r="FR413" s="712"/>
      <c r="FS413" s="712"/>
      <c r="FT413" s="712"/>
      <c r="FU413" s="712"/>
      <c r="FV413" s="712"/>
      <c r="FW413" s="712"/>
      <c r="FX413" s="712"/>
      <c r="FZ413" s="712"/>
      <c r="GA413" s="712"/>
      <c r="GB413" s="712"/>
      <c r="GC413" s="712"/>
      <c r="GD413" s="712"/>
      <c r="GE413" s="712"/>
      <c r="GF413" s="712"/>
      <c r="GG413" s="712"/>
      <c r="GH413" s="712"/>
      <c r="GI413" s="712"/>
      <c r="GJ413" s="712"/>
      <c r="GK413" s="712"/>
      <c r="GL413" s="712"/>
      <c r="GM413" s="712"/>
      <c r="GN413" s="712"/>
      <c r="GO413" s="712"/>
      <c r="GP413" s="712"/>
      <c r="GQ413" s="712"/>
      <c r="GR413" s="712"/>
      <c r="GS413" s="712"/>
      <c r="GT413" s="712"/>
      <c r="GU413" s="712"/>
      <c r="GV413" s="712"/>
      <c r="GW413" s="712"/>
      <c r="GX413" s="712"/>
      <c r="GY413" s="712"/>
      <c r="GZ413" s="712"/>
      <c r="HA413" s="712"/>
      <c r="HB413" s="712"/>
      <c r="HC413" s="712"/>
    </row>
    <row r="414" spans="1:211">
      <c r="A414" s="707"/>
      <c r="G414" s="712"/>
      <c r="H414" s="712"/>
      <c r="I414" s="712"/>
      <c r="J414" s="712"/>
      <c r="K414" s="712"/>
      <c r="L414" s="712"/>
      <c r="M414" s="712"/>
      <c r="N414" s="712"/>
      <c r="O414" s="712"/>
      <c r="P414" s="712"/>
      <c r="Q414" s="712"/>
      <c r="R414" s="712"/>
      <c r="S414" s="712"/>
      <c r="T414" s="712"/>
      <c r="U414" s="712"/>
      <c r="V414" s="712"/>
      <c r="W414" s="712"/>
      <c r="X414" s="712"/>
      <c r="Y414" s="712"/>
      <c r="Z414" s="712"/>
      <c r="AA414" s="712"/>
      <c r="AB414" s="712"/>
      <c r="AC414" s="712"/>
      <c r="AD414" s="712"/>
      <c r="AE414" s="712"/>
      <c r="AF414" s="712"/>
      <c r="AG414" s="712"/>
      <c r="AH414" s="712"/>
      <c r="AI414" s="712"/>
      <c r="AJ414" s="712"/>
      <c r="AK414" s="712"/>
      <c r="AL414" s="712"/>
      <c r="AM414" s="712"/>
      <c r="AN414" s="712"/>
      <c r="AO414" s="712"/>
      <c r="AP414" s="712"/>
      <c r="AQ414" s="712"/>
      <c r="AR414" s="712"/>
      <c r="AS414" s="712"/>
      <c r="AT414" s="712"/>
      <c r="AU414" s="712"/>
      <c r="AV414" s="712"/>
      <c r="AW414" s="712"/>
      <c r="AX414" s="712"/>
      <c r="AY414" s="712"/>
      <c r="AZ414" s="712"/>
      <c r="BA414" s="712"/>
      <c r="BB414" s="712"/>
      <c r="BC414" s="712"/>
      <c r="BD414" s="712"/>
      <c r="BE414" s="712"/>
      <c r="BF414" s="712"/>
      <c r="BG414" s="712"/>
      <c r="BH414" s="712"/>
      <c r="BI414" s="712"/>
      <c r="BJ414" s="712"/>
      <c r="BK414" s="712"/>
      <c r="BL414" s="712"/>
      <c r="BM414" s="712"/>
      <c r="BN414" s="712"/>
      <c r="BO414" s="712"/>
      <c r="BP414" s="712"/>
      <c r="BQ414" s="712"/>
      <c r="BR414" s="712"/>
      <c r="BS414" s="712"/>
      <c r="BT414" s="712"/>
      <c r="BU414" s="712"/>
      <c r="BV414" s="712"/>
      <c r="BW414" s="712"/>
      <c r="BX414" s="712"/>
      <c r="BY414" s="712"/>
      <c r="BZ414" s="712"/>
      <c r="CA414" s="712"/>
      <c r="CB414" s="712"/>
      <c r="CC414" s="712"/>
      <c r="CD414" s="712"/>
      <c r="CE414" s="712"/>
      <c r="CF414" s="712"/>
      <c r="CG414" s="712"/>
      <c r="CH414" s="712"/>
      <c r="CI414" s="712"/>
      <c r="CJ414" s="712"/>
      <c r="CK414" s="712"/>
      <c r="CL414" s="712"/>
      <c r="CM414" s="712"/>
      <c r="CN414" s="712"/>
      <c r="CO414" s="712"/>
      <c r="CP414" s="712"/>
      <c r="CQ414" s="712"/>
      <c r="CR414" s="712"/>
      <c r="CS414" s="712"/>
      <c r="CT414" s="712"/>
      <c r="CU414" s="712"/>
      <c r="CV414" s="712"/>
      <c r="CW414" s="712"/>
      <c r="CX414" s="712"/>
      <c r="CY414" s="712"/>
      <c r="CZ414" s="712"/>
      <c r="DA414" s="712"/>
      <c r="DB414" s="712"/>
      <c r="DC414" s="712"/>
      <c r="DD414" s="712"/>
      <c r="DE414" s="712"/>
      <c r="DF414" s="712"/>
      <c r="DG414" s="712"/>
      <c r="DH414" s="712"/>
      <c r="DI414" s="712"/>
      <c r="DJ414" s="712"/>
      <c r="DK414" s="712"/>
      <c r="DL414" s="712"/>
      <c r="DM414" s="712"/>
      <c r="DN414" s="712"/>
      <c r="DO414" s="712"/>
      <c r="DP414" s="712"/>
      <c r="DQ414" s="712"/>
      <c r="DR414" s="712"/>
      <c r="DS414" s="712"/>
      <c r="DT414" s="712"/>
      <c r="DU414" s="712"/>
      <c r="DV414" s="712"/>
      <c r="DW414" s="712"/>
      <c r="DX414" s="712"/>
      <c r="DY414" s="712"/>
      <c r="DZ414" s="712"/>
      <c r="EA414" s="712"/>
      <c r="EB414" s="712"/>
      <c r="EC414" s="712"/>
      <c r="ED414" s="712"/>
      <c r="EE414" s="712"/>
      <c r="EF414" s="712"/>
      <c r="EG414" s="712"/>
      <c r="EH414" s="712"/>
      <c r="EI414" s="712"/>
      <c r="EJ414" s="712"/>
      <c r="EK414" s="712"/>
      <c r="EL414" s="712"/>
      <c r="EM414" s="712"/>
      <c r="EN414" s="712"/>
      <c r="EO414" s="712"/>
      <c r="EP414" s="712"/>
      <c r="EQ414" s="712"/>
      <c r="ER414" s="712"/>
      <c r="ES414" s="712"/>
      <c r="ET414" s="794"/>
      <c r="EU414" s="794"/>
      <c r="EV414" s="794"/>
      <c r="EW414" s="794"/>
      <c r="EX414" s="794"/>
      <c r="EY414" s="794"/>
      <c r="EZ414" s="794"/>
      <c r="FA414" s="712"/>
      <c r="FB414" s="712"/>
      <c r="FC414" s="712"/>
      <c r="FD414" s="712"/>
      <c r="FE414" s="712"/>
      <c r="FF414" s="712"/>
      <c r="FG414" s="712"/>
      <c r="FH414" s="712"/>
      <c r="FI414" s="712"/>
      <c r="FJ414" s="712"/>
      <c r="FK414" s="712"/>
      <c r="FL414" s="712"/>
      <c r="FM414" s="712"/>
      <c r="FN414" s="712"/>
      <c r="FO414" s="712"/>
      <c r="FP414" s="712"/>
      <c r="FQ414" s="712"/>
      <c r="FR414" s="712"/>
      <c r="FS414" s="712"/>
      <c r="FT414" s="712"/>
      <c r="FU414" s="712"/>
      <c r="FV414" s="712"/>
      <c r="FW414" s="712"/>
      <c r="FX414" s="712"/>
      <c r="FZ414" s="712"/>
      <c r="GA414" s="712"/>
      <c r="GB414" s="712"/>
      <c r="GC414" s="712"/>
      <c r="GD414" s="712"/>
      <c r="GE414" s="712"/>
      <c r="GF414" s="712"/>
      <c r="GG414" s="712"/>
      <c r="GH414" s="712"/>
      <c r="GI414" s="712"/>
      <c r="GJ414" s="712"/>
      <c r="GK414" s="712"/>
      <c r="GL414" s="712"/>
      <c r="GM414" s="712"/>
      <c r="GN414" s="712"/>
      <c r="GO414" s="712"/>
      <c r="GP414" s="712"/>
      <c r="GQ414" s="712"/>
      <c r="GR414" s="712"/>
      <c r="GS414" s="712"/>
      <c r="GT414" s="712"/>
      <c r="GU414" s="712"/>
      <c r="GV414" s="712"/>
      <c r="GW414" s="712"/>
      <c r="GX414" s="712"/>
      <c r="GY414" s="712"/>
      <c r="GZ414" s="712"/>
      <c r="HA414" s="712"/>
      <c r="HB414" s="712"/>
      <c r="HC414" s="712"/>
    </row>
    <row r="415" spans="1:211">
      <c r="A415" s="707"/>
      <c r="G415" s="712"/>
      <c r="H415" s="712"/>
      <c r="I415" s="712"/>
      <c r="J415" s="712"/>
      <c r="K415" s="712"/>
      <c r="L415" s="712"/>
      <c r="M415" s="712"/>
      <c r="N415" s="712"/>
      <c r="O415" s="712"/>
      <c r="P415" s="712"/>
      <c r="Q415" s="712"/>
      <c r="R415" s="712"/>
      <c r="S415" s="712"/>
      <c r="T415" s="712"/>
      <c r="U415" s="712"/>
      <c r="V415" s="712"/>
      <c r="W415" s="712"/>
      <c r="X415" s="712"/>
      <c r="Y415" s="712"/>
      <c r="Z415" s="712"/>
      <c r="AA415" s="712"/>
      <c r="AB415" s="712"/>
      <c r="AC415" s="712"/>
      <c r="AD415" s="712"/>
      <c r="AE415" s="712"/>
      <c r="AF415" s="712"/>
      <c r="AG415" s="712"/>
      <c r="AH415" s="712"/>
      <c r="AI415" s="712"/>
      <c r="AJ415" s="712"/>
      <c r="AK415" s="712"/>
      <c r="AL415" s="712"/>
      <c r="AM415" s="712"/>
      <c r="AN415" s="712"/>
      <c r="AO415" s="712"/>
      <c r="AP415" s="712"/>
      <c r="AQ415" s="712"/>
      <c r="AR415" s="712"/>
      <c r="AS415" s="712"/>
      <c r="AT415" s="712"/>
      <c r="AU415" s="712"/>
      <c r="AV415" s="712"/>
      <c r="AW415" s="712"/>
      <c r="AX415" s="712"/>
      <c r="AY415" s="712"/>
      <c r="AZ415" s="712"/>
      <c r="BA415" s="712"/>
      <c r="BB415" s="712"/>
      <c r="BC415" s="712"/>
      <c r="BD415" s="712"/>
      <c r="BE415" s="712"/>
      <c r="BF415" s="712"/>
      <c r="BG415" s="712"/>
      <c r="BH415" s="712"/>
      <c r="BI415" s="712"/>
      <c r="BJ415" s="712"/>
      <c r="BK415" s="712"/>
      <c r="BL415" s="712"/>
      <c r="BM415" s="712"/>
      <c r="BN415" s="712"/>
      <c r="BO415" s="712"/>
      <c r="BP415" s="712"/>
      <c r="BQ415" s="712"/>
      <c r="BR415" s="712"/>
      <c r="BS415" s="712"/>
      <c r="BT415" s="712"/>
      <c r="BU415" s="712"/>
      <c r="BV415" s="712"/>
      <c r="BW415" s="712"/>
      <c r="BX415" s="712"/>
      <c r="BY415" s="712"/>
      <c r="BZ415" s="712"/>
      <c r="CA415" s="712"/>
      <c r="CB415" s="712"/>
      <c r="CC415" s="712"/>
      <c r="CD415" s="712"/>
      <c r="CE415" s="712"/>
      <c r="CF415" s="712"/>
      <c r="CG415" s="712"/>
      <c r="CH415" s="712"/>
      <c r="CI415" s="712"/>
      <c r="CJ415" s="712"/>
      <c r="CK415" s="712"/>
      <c r="CL415" s="712"/>
      <c r="CM415" s="712"/>
      <c r="CN415" s="712"/>
      <c r="CO415" s="712"/>
      <c r="CP415" s="712"/>
      <c r="CQ415" s="712"/>
      <c r="CR415" s="712"/>
      <c r="CS415" s="712"/>
      <c r="CT415" s="712"/>
      <c r="CU415" s="712"/>
      <c r="CV415" s="712"/>
      <c r="CW415" s="712"/>
      <c r="CX415" s="712"/>
      <c r="CY415" s="712"/>
      <c r="CZ415" s="712"/>
      <c r="DA415" s="712"/>
      <c r="DB415" s="712"/>
      <c r="DC415" s="712"/>
      <c r="DD415" s="712"/>
      <c r="DE415" s="712"/>
      <c r="DF415" s="712"/>
      <c r="DG415" s="712"/>
      <c r="DH415" s="712"/>
      <c r="DI415" s="712"/>
      <c r="DJ415" s="712"/>
      <c r="DK415" s="712"/>
      <c r="DL415" s="712"/>
      <c r="DM415" s="712"/>
      <c r="DN415" s="712"/>
      <c r="DO415" s="712"/>
      <c r="DP415" s="712"/>
      <c r="DQ415" s="712"/>
      <c r="DR415" s="712"/>
      <c r="DS415" s="712"/>
      <c r="DT415" s="712"/>
      <c r="DU415" s="712"/>
      <c r="DV415" s="712"/>
      <c r="DW415" s="712"/>
      <c r="DX415" s="712"/>
      <c r="DY415" s="712"/>
      <c r="DZ415" s="712"/>
      <c r="EA415" s="712"/>
      <c r="EB415" s="712"/>
      <c r="EC415" s="712"/>
      <c r="ED415" s="712"/>
      <c r="EE415" s="712"/>
      <c r="EF415" s="712"/>
      <c r="EG415" s="712"/>
      <c r="EH415" s="712"/>
      <c r="EI415" s="712"/>
      <c r="EJ415" s="712"/>
      <c r="EK415" s="712"/>
      <c r="EL415" s="712"/>
      <c r="EM415" s="712"/>
      <c r="EN415" s="712"/>
      <c r="EO415" s="712"/>
      <c r="EP415" s="712"/>
      <c r="EQ415" s="712"/>
      <c r="ER415" s="712"/>
      <c r="ES415" s="712"/>
      <c r="ET415" s="794"/>
      <c r="EU415" s="794"/>
      <c r="EV415" s="794"/>
      <c r="EW415" s="794"/>
      <c r="EX415" s="794"/>
      <c r="EY415" s="794"/>
      <c r="EZ415" s="794"/>
      <c r="FA415" s="712"/>
      <c r="FB415" s="712"/>
      <c r="FC415" s="712"/>
      <c r="FD415" s="712"/>
      <c r="FE415" s="712"/>
      <c r="FF415" s="712"/>
      <c r="FG415" s="712"/>
      <c r="FH415" s="712"/>
      <c r="FI415" s="712"/>
      <c r="FJ415" s="712"/>
      <c r="FK415" s="712"/>
      <c r="FL415" s="712"/>
      <c r="FM415" s="712"/>
      <c r="FN415" s="712"/>
      <c r="FO415" s="712"/>
      <c r="FP415" s="712"/>
      <c r="FQ415" s="712"/>
      <c r="FR415" s="712"/>
      <c r="FS415" s="712"/>
      <c r="FT415" s="712"/>
      <c r="FU415" s="712"/>
      <c r="FV415" s="712"/>
      <c r="FW415" s="712"/>
      <c r="FX415" s="712"/>
      <c r="FZ415" s="712"/>
      <c r="GA415" s="712"/>
      <c r="GB415" s="712"/>
      <c r="GC415" s="712"/>
      <c r="GD415" s="712"/>
      <c r="GE415" s="712"/>
      <c r="GF415" s="712"/>
      <c r="GG415" s="712"/>
      <c r="GH415" s="712"/>
      <c r="GI415" s="712"/>
      <c r="GJ415" s="712"/>
      <c r="GK415" s="712"/>
      <c r="GL415" s="712"/>
      <c r="GM415" s="712"/>
      <c r="GN415" s="712"/>
      <c r="GO415" s="712"/>
      <c r="GP415" s="712"/>
      <c r="GQ415" s="712"/>
      <c r="GR415" s="712"/>
      <c r="GS415" s="712"/>
      <c r="GT415" s="712"/>
      <c r="GU415" s="712"/>
      <c r="GV415" s="712"/>
      <c r="GW415" s="712"/>
      <c r="GX415" s="712"/>
      <c r="GY415" s="712"/>
      <c r="GZ415" s="712"/>
      <c r="HA415" s="712"/>
      <c r="HB415" s="712"/>
      <c r="HC415" s="712"/>
    </row>
    <row r="416" spans="1:211">
      <c r="A416" s="707"/>
      <c r="G416" s="712"/>
      <c r="H416" s="712"/>
      <c r="I416" s="712"/>
      <c r="J416" s="712"/>
      <c r="K416" s="712"/>
      <c r="L416" s="712"/>
      <c r="M416" s="712"/>
      <c r="N416" s="712"/>
      <c r="O416" s="712"/>
      <c r="P416" s="712"/>
      <c r="Q416" s="712"/>
      <c r="R416" s="712"/>
      <c r="S416" s="712"/>
      <c r="T416" s="712"/>
      <c r="U416" s="712"/>
      <c r="V416" s="712"/>
      <c r="W416" s="712"/>
      <c r="X416" s="712"/>
      <c r="Y416" s="712"/>
      <c r="Z416" s="712"/>
      <c r="AA416" s="712"/>
      <c r="AB416" s="712"/>
      <c r="AC416" s="712"/>
      <c r="AD416" s="712"/>
      <c r="AE416" s="712"/>
      <c r="AF416" s="712"/>
      <c r="AG416" s="712"/>
      <c r="AH416" s="712"/>
      <c r="AI416" s="712"/>
      <c r="AJ416" s="712"/>
      <c r="AK416" s="712"/>
      <c r="AL416" s="712"/>
      <c r="AM416" s="712"/>
      <c r="AN416" s="712"/>
      <c r="AO416" s="712"/>
      <c r="AP416" s="712"/>
      <c r="AQ416" s="712"/>
      <c r="AR416" s="712"/>
      <c r="AS416" s="712"/>
      <c r="AT416" s="712"/>
      <c r="AU416" s="712"/>
      <c r="AV416" s="712"/>
      <c r="AW416" s="712"/>
      <c r="AX416" s="712"/>
      <c r="AY416" s="712"/>
      <c r="AZ416" s="712"/>
      <c r="BA416" s="712"/>
      <c r="BB416" s="712"/>
      <c r="BC416" s="712"/>
      <c r="BD416" s="712"/>
      <c r="BE416" s="712"/>
      <c r="BF416" s="712"/>
      <c r="BG416" s="712"/>
      <c r="BH416" s="712"/>
      <c r="BI416" s="712"/>
      <c r="BJ416" s="712"/>
      <c r="BK416" s="712"/>
      <c r="BL416" s="712"/>
      <c r="BM416" s="712"/>
      <c r="BN416" s="712"/>
      <c r="BO416" s="712"/>
      <c r="BP416" s="712"/>
      <c r="BQ416" s="712"/>
      <c r="BR416" s="712"/>
      <c r="BS416" s="712"/>
      <c r="BT416" s="712"/>
      <c r="BU416" s="712"/>
      <c r="BV416" s="712"/>
      <c r="BW416" s="712"/>
      <c r="BX416" s="712"/>
      <c r="BY416" s="712"/>
      <c r="BZ416" s="712"/>
      <c r="CA416" s="712"/>
      <c r="CB416" s="712"/>
      <c r="CC416" s="712"/>
      <c r="CD416" s="712"/>
      <c r="CE416" s="712"/>
      <c r="CF416" s="712"/>
      <c r="CG416" s="712"/>
      <c r="CH416" s="712"/>
      <c r="CI416" s="712"/>
      <c r="CJ416" s="712"/>
      <c r="CK416" s="712"/>
      <c r="CL416" s="712"/>
      <c r="CM416" s="712"/>
      <c r="CN416" s="712"/>
      <c r="CO416" s="712"/>
      <c r="CP416" s="712"/>
      <c r="CQ416" s="712"/>
      <c r="CR416" s="712"/>
      <c r="CS416" s="712"/>
      <c r="CT416" s="712"/>
      <c r="CU416" s="712"/>
      <c r="CV416" s="712"/>
      <c r="CW416" s="712"/>
      <c r="CX416" s="712"/>
      <c r="CY416" s="712"/>
      <c r="CZ416" s="712"/>
      <c r="DA416" s="712"/>
      <c r="DB416" s="712"/>
      <c r="DC416" s="712"/>
      <c r="DD416" s="712"/>
      <c r="DE416" s="712"/>
      <c r="DF416" s="712"/>
      <c r="DG416" s="712"/>
      <c r="DH416" s="712"/>
      <c r="DI416" s="712"/>
      <c r="DJ416" s="712"/>
      <c r="DK416" s="712"/>
      <c r="DL416" s="712"/>
      <c r="DM416" s="712"/>
      <c r="DN416" s="712"/>
      <c r="DO416" s="712"/>
      <c r="DP416" s="712"/>
      <c r="DQ416" s="712"/>
      <c r="DR416" s="712"/>
      <c r="DS416" s="712"/>
      <c r="DT416" s="712"/>
      <c r="DU416" s="712"/>
      <c r="DV416" s="712"/>
      <c r="DW416" s="712"/>
      <c r="DX416" s="712"/>
      <c r="DY416" s="712"/>
      <c r="DZ416" s="712"/>
      <c r="EA416" s="712"/>
      <c r="EB416" s="712"/>
      <c r="EC416" s="712"/>
      <c r="ED416" s="712"/>
      <c r="EE416" s="712"/>
      <c r="EF416" s="712"/>
      <c r="EG416" s="712"/>
      <c r="EH416" s="712"/>
      <c r="EI416" s="712"/>
      <c r="EJ416" s="712"/>
      <c r="EK416" s="712"/>
      <c r="EL416" s="712"/>
      <c r="EM416" s="712"/>
      <c r="EN416" s="712"/>
      <c r="EO416" s="712"/>
      <c r="EP416" s="712"/>
      <c r="EQ416" s="712"/>
      <c r="ER416" s="712"/>
      <c r="ES416" s="712"/>
      <c r="ET416" s="794"/>
      <c r="EU416" s="794"/>
      <c r="EV416" s="794"/>
      <c r="EW416" s="794"/>
      <c r="EX416" s="794"/>
      <c r="EY416" s="794"/>
      <c r="EZ416" s="794"/>
      <c r="FA416" s="712"/>
      <c r="FB416" s="712"/>
      <c r="FC416" s="712"/>
      <c r="FD416" s="712"/>
      <c r="FE416" s="712"/>
      <c r="FF416" s="712"/>
      <c r="FG416" s="712"/>
      <c r="FH416" s="712"/>
      <c r="FI416" s="712"/>
      <c r="FJ416" s="712"/>
      <c r="FK416" s="712"/>
      <c r="FL416" s="712"/>
      <c r="FM416" s="712"/>
      <c r="FN416" s="712"/>
      <c r="FO416" s="712"/>
      <c r="FP416" s="712"/>
      <c r="FQ416" s="712"/>
      <c r="FR416" s="712"/>
      <c r="FS416" s="712"/>
      <c r="FT416" s="712"/>
      <c r="FU416" s="712"/>
      <c r="FV416" s="712"/>
      <c r="FW416" s="712"/>
      <c r="FX416" s="712"/>
      <c r="FZ416" s="712"/>
      <c r="GA416" s="712"/>
      <c r="GB416" s="712"/>
      <c r="GC416" s="712"/>
      <c r="GD416" s="712"/>
      <c r="GE416" s="712"/>
      <c r="GF416" s="712"/>
      <c r="GG416" s="712"/>
      <c r="GH416" s="712"/>
      <c r="GI416" s="712"/>
      <c r="GJ416" s="712"/>
      <c r="GK416" s="712"/>
      <c r="GL416" s="712"/>
      <c r="GM416" s="712"/>
      <c r="GN416" s="712"/>
      <c r="GO416" s="712"/>
      <c r="GP416" s="712"/>
      <c r="GQ416" s="712"/>
      <c r="GR416" s="712"/>
      <c r="GS416" s="712"/>
      <c r="GT416" s="712"/>
      <c r="GU416" s="712"/>
      <c r="GV416" s="712"/>
      <c r="GW416" s="712"/>
      <c r="GX416" s="712"/>
      <c r="GY416" s="712"/>
      <c r="GZ416" s="712"/>
      <c r="HA416" s="712"/>
      <c r="HB416" s="712"/>
      <c r="HC416" s="712"/>
    </row>
    <row r="417" spans="1:211">
      <c r="A417" s="707"/>
      <c r="G417" s="712"/>
      <c r="H417" s="712"/>
      <c r="I417" s="712"/>
      <c r="J417" s="712"/>
      <c r="K417" s="712"/>
      <c r="L417" s="712"/>
      <c r="M417" s="712"/>
      <c r="N417" s="712"/>
      <c r="O417" s="712"/>
      <c r="P417" s="712"/>
      <c r="Q417" s="712"/>
      <c r="R417" s="712"/>
      <c r="S417" s="712"/>
      <c r="T417" s="712"/>
      <c r="U417" s="712"/>
      <c r="V417" s="712"/>
      <c r="W417" s="712"/>
      <c r="X417" s="712"/>
      <c r="Y417" s="712"/>
      <c r="Z417" s="712"/>
      <c r="AA417" s="712"/>
      <c r="AB417" s="712"/>
      <c r="AC417" s="712"/>
      <c r="AD417" s="712"/>
      <c r="AE417" s="712"/>
      <c r="AF417" s="712"/>
      <c r="AG417" s="712"/>
      <c r="AH417" s="712"/>
      <c r="AI417" s="712"/>
      <c r="AJ417" s="712"/>
      <c r="AK417" s="712"/>
      <c r="AL417" s="712"/>
      <c r="AM417" s="712"/>
      <c r="AN417" s="712"/>
      <c r="AO417" s="712"/>
      <c r="AP417" s="712"/>
      <c r="AQ417" s="712"/>
      <c r="AR417" s="712"/>
      <c r="AS417" s="712"/>
      <c r="AT417" s="712"/>
      <c r="AU417" s="712"/>
      <c r="AV417" s="712"/>
      <c r="AW417" s="712"/>
      <c r="AX417" s="712"/>
      <c r="AY417" s="712"/>
      <c r="AZ417" s="712"/>
      <c r="BA417" s="712"/>
      <c r="BB417" s="712"/>
      <c r="BC417" s="712"/>
      <c r="BD417" s="712"/>
      <c r="BE417" s="712"/>
      <c r="BF417" s="712"/>
      <c r="BG417" s="712"/>
      <c r="BH417" s="712"/>
      <c r="BI417" s="712"/>
      <c r="BJ417" s="712"/>
      <c r="BK417" s="712"/>
      <c r="BL417" s="712"/>
      <c r="BM417" s="712"/>
      <c r="BN417" s="712"/>
      <c r="BO417" s="712"/>
      <c r="BP417" s="712"/>
      <c r="BQ417" s="712"/>
      <c r="BR417" s="712"/>
      <c r="BS417" s="712"/>
      <c r="BT417" s="712"/>
      <c r="BU417" s="712"/>
      <c r="BV417" s="712"/>
      <c r="BW417" s="712"/>
      <c r="BX417" s="712"/>
      <c r="BY417" s="712"/>
      <c r="BZ417" s="712"/>
      <c r="CA417" s="712"/>
      <c r="CB417" s="712"/>
      <c r="CC417" s="712"/>
      <c r="CD417" s="712"/>
      <c r="CE417" s="712"/>
      <c r="CF417" s="712"/>
      <c r="CG417" s="712"/>
      <c r="CH417" s="712"/>
      <c r="CI417" s="712"/>
      <c r="CJ417" s="712"/>
      <c r="CK417" s="712"/>
      <c r="CL417" s="712"/>
      <c r="CM417" s="712"/>
      <c r="CN417" s="712"/>
      <c r="CO417" s="712"/>
      <c r="CP417" s="712"/>
      <c r="CQ417" s="712"/>
      <c r="CR417" s="712"/>
      <c r="CS417" s="712"/>
      <c r="CT417" s="712"/>
      <c r="CU417" s="712"/>
      <c r="CV417" s="712"/>
      <c r="CW417" s="712"/>
      <c r="CX417" s="712"/>
      <c r="CY417" s="712"/>
      <c r="CZ417" s="712"/>
      <c r="DA417" s="712"/>
      <c r="DB417" s="712"/>
      <c r="DC417" s="712"/>
      <c r="DD417" s="712"/>
      <c r="DE417" s="712"/>
      <c r="DF417" s="712"/>
      <c r="DG417" s="712"/>
      <c r="DH417" s="712"/>
      <c r="DI417" s="712"/>
      <c r="DJ417" s="712"/>
      <c r="DK417" s="712"/>
      <c r="DL417" s="712"/>
      <c r="DM417" s="712"/>
      <c r="DN417" s="712"/>
      <c r="DO417" s="712"/>
      <c r="DP417" s="712"/>
      <c r="DQ417" s="712"/>
      <c r="DR417" s="712"/>
      <c r="DS417" s="712"/>
      <c r="DT417" s="712"/>
      <c r="DU417" s="712"/>
      <c r="DV417" s="712"/>
      <c r="DW417" s="712"/>
      <c r="DX417" s="712"/>
      <c r="DY417" s="712"/>
      <c r="DZ417" s="712"/>
      <c r="EA417" s="712"/>
      <c r="EB417" s="712"/>
      <c r="EC417" s="712"/>
      <c r="ED417" s="712"/>
      <c r="EE417" s="712"/>
      <c r="EF417" s="712"/>
      <c r="EG417" s="712"/>
      <c r="EH417" s="712"/>
      <c r="EI417" s="712"/>
      <c r="EJ417" s="712"/>
      <c r="EK417" s="712"/>
      <c r="EL417" s="712"/>
      <c r="EM417" s="712"/>
      <c r="EN417" s="712"/>
      <c r="EO417" s="712"/>
      <c r="EP417" s="712"/>
      <c r="EQ417" s="712"/>
      <c r="ER417" s="712"/>
      <c r="ES417" s="712"/>
      <c r="ET417" s="794"/>
      <c r="EU417" s="794"/>
      <c r="EV417" s="794"/>
      <c r="EW417" s="794"/>
      <c r="EX417" s="794"/>
      <c r="EY417" s="794"/>
      <c r="EZ417" s="794"/>
      <c r="FA417" s="712"/>
      <c r="FB417" s="712"/>
      <c r="FC417" s="712"/>
      <c r="FD417" s="712"/>
      <c r="FE417" s="712"/>
      <c r="FF417" s="712"/>
      <c r="FG417" s="712"/>
      <c r="FH417" s="712"/>
      <c r="FI417" s="712"/>
      <c r="FJ417" s="712"/>
      <c r="FK417" s="712"/>
      <c r="FL417" s="712"/>
      <c r="FM417" s="712"/>
      <c r="FN417" s="712"/>
      <c r="FO417" s="712"/>
      <c r="FP417" s="712"/>
      <c r="FQ417" s="712"/>
      <c r="FR417" s="712"/>
      <c r="FS417" s="712"/>
      <c r="FT417" s="712"/>
      <c r="FU417" s="712"/>
      <c r="FV417" s="712"/>
      <c r="FW417" s="712"/>
      <c r="FX417" s="712"/>
      <c r="FZ417" s="712"/>
      <c r="GA417" s="712"/>
      <c r="GB417" s="712"/>
      <c r="GC417" s="712"/>
      <c r="GD417" s="712"/>
      <c r="GE417" s="712"/>
      <c r="GF417" s="712"/>
      <c r="GG417" s="712"/>
      <c r="GH417" s="712"/>
      <c r="GI417" s="712"/>
      <c r="GJ417" s="712"/>
      <c r="GK417" s="712"/>
      <c r="GL417" s="712"/>
      <c r="GM417" s="712"/>
      <c r="GN417" s="712"/>
      <c r="GO417" s="712"/>
      <c r="GP417" s="712"/>
      <c r="GQ417" s="712"/>
      <c r="GR417" s="712"/>
      <c r="GS417" s="712"/>
      <c r="GT417" s="712"/>
      <c r="GU417" s="712"/>
      <c r="GV417" s="712"/>
      <c r="GW417" s="712"/>
      <c r="GX417" s="712"/>
      <c r="GY417" s="712"/>
      <c r="GZ417" s="712"/>
      <c r="HA417" s="712"/>
      <c r="HB417" s="712"/>
      <c r="HC417" s="712"/>
    </row>
    <row r="418" spans="1:211">
      <c r="A418" s="707"/>
      <c r="G418" s="712"/>
      <c r="H418" s="712"/>
      <c r="I418" s="712"/>
      <c r="J418" s="712"/>
      <c r="K418" s="712"/>
      <c r="L418" s="712"/>
      <c r="M418" s="712"/>
      <c r="N418" s="712"/>
      <c r="O418" s="712"/>
      <c r="P418" s="712"/>
      <c r="Q418" s="712"/>
      <c r="R418" s="712"/>
      <c r="S418" s="712"/>
      <c r="T418" s="712"/>
      <c r="U418" s="712"/>
      <c r="V418" s="712"/>
      <c r="W418" s="712"/>
      <c r="X418" s="712"/>
      <c r="Y418" s="712"/>
      <c r="Z418" s="712"/>
      <c r="AA418" s="712"/>
      <c r="AB418" s="712"/>
      <c r="AC418" s="712"/>
      <c r="AD418" s="712"/>
      <c r="AE418" s="712"/>
      <c r="AF418" s="712"/>
      <c r="AG418" s="712"/>
      <c r="AH418" s="712"/>
      <c r="AI418" s="712"/>
      <c r="AJ418" s="712"/>
      <c r="AK418" s="712"/>
      <c r="AL418" s="712"/>
      <c r="AM418" s="712"/>
      <c r="AN418" s="712"/>
      <c r="AO418" s="712"/>
      <c r="AP418" s="712"/>
      <c r="AQ418" s="712"/>
      <c r="AR418" s="712"/>
      <c r="AS418" s="712"/>
      <c r="AT418" s="712"/>
      <c r="AU418" s="712"/>
      <c r="AV418" s="712"/>
      <c r="AW418" s="712"/>
      <c r="AX418" s="712"/>
      <c r="AY418" s="712"/>
      <c r="AZ418" s="712"/>
      <c r="BA418" s="712"/>
      <c r="BB418" s="712"/>
      <c r="BC418" s="712"/>
      <c r="BD418" s="712"/>
      <c r="BE418" s="712"/>
      <c r="BF418" s="712"/>
      <c r="BG418" s="712"/>
      <c r="BH418" s="712"/>
      <c r="BI418" s="712"/>
      <c r="BJ418" s="712"/>
      <c r="BK418" s="712"/>
      <c r="BL418" s="712"/>
      <c r="BM418" s="712"/>
      <c r="BN418" s="712"/>
      <c r="BO418" s="712"/>
      <c r="BP418" s="712"/>
      <c r="BQ418" s="712"/>
      <c r="BR418" s="712"/>
      <c r="BS418" s="712"/>
      <c r="BT418" s="712"/>
      <c r="BU418" s="712"/>
      <c r="BV418" s="712"/>
      <c r="BW418" s="712"/>
      <c r="BX418" s="712"/>
      <c r="BY418" s="712"/>
      <c r="BZ418" s="712"/>
      <c r="CA418" s="712"/>
      <c r="CB418" s="712"/>
      <c r="CC418" s="712"/>
      <c r="CD418" s="712"/>
      <c r="CE418" s="712"/>
      <c r="CF418" s="712"/>
      <c r="CG418" s="712"/>
      <c r="CH418" s="712"/>
      <c r="CI418" s="712"/>
      <c r="CJ418" s="712"/>
      <c r="CK418" s="712"/>
      <c r="CL418" s="712"/>
      <c r="CM418" s="712"/>
      <c r="CN418" s="712"/>
      <c r="CO418" s="712"/>
      <c r="CP418" s="712"/>
      <c r="CQ418" s="712"/>
      <c r="CR418" s="712"/>
      <c r="CS418" s="712"/>
      <c r="CT418" s="712"/>
      <c r="CU418" s="712"/>
      <c r="CV418" s="712"/>
      <c r="CW418" s="712"/>
      <c r="CX418" s="712"/>
      <c r="CY418" s="712"/>
      <c r="CZ418" s="712"/>
      <c r="DA418" s="712"/>
      <c r="DB418" s="712"/>
      <c r="DC418" s="712"/>
      <c r="DD418" s="712"/>
      <c r="DE418" s="712"/>
      <c r="DF418" s="712"/>
      <c r="DG418" s="712"/>
      <c r="DH418" s="712"/>
      <c r="DI418" s="712"/>
      <c r="DJ418" s="712"/>
      <c r="DK418" s="712"/>
      <c r="DL418" s="712"/>
      <c r="DM418" s="712"/>
      <c r="DN418" s="712"/>
      <c r="DO418" s="712"/>
      <c r="DP418" s="712"/>
      <c r="DQ418" s="712"/>
      <c r="DR418" s="712"/>
      <c r="DS418" s="712"/>
      <c r="DT418" s="712"/>
      <c r="DU418" s="712"/>
      <c r="DV418" s="712"/>
      <c r="DW418" s="712"/>
      <c r="DX418" s="712"/>
      <c r="DY418" s="712"/>
      <c r="DZ418" s="712"/>
      <c r="EA418" s="712"/>
      <c r="EB418" s="712"/>
      <c r="EC418" s="712"/>
      <c r="ED418" s="712"/>
      <c r="EE418" s="712"/>
      <c r="EF418" s="712"/>
      <c r="EG418" s="712"/>
      <c r="EH418" s="712"/>
      <c r="EI418" s="712"/>
      <c r="EJ418" s="712"/>
      <c r="EK418" s="712"/>
      <c r="EL418" s="712"/>
      <c r="EM418" s="712"/>
      <c r="EN418" s="712"/>
      <c r="EO418" s="712"/>
      <c r="EP418" s="712"/>
      <c r="EQ418" s="712"/>
      <c r="ER418" s="712"/>
      <c r="ES418" s="712"/>
      <c r="ET418" s="794"/>
      <c r="EU418" s="794"/>
      <c r="EV418" s="794"/>
      <c r="EW418" s="794"/>
      <c r="EX418" s="794"/>
      <c r="EY418" s="794"/>
      <c r="EZ418" s="794"/>
      <c r="FA418" s="712"/>
      <c r="FB418" s="712"/>
      <c r="FC418" s="712"/>
      <c r="FD418" s="712"/>
      <c r="FE418" s="712"/>
      <c r="FF418" s="712"/>
      <c r="FG418" s="712"/>
      <c r="FH418" s="712"/>
      <c r="FI418" s="712"/>
      <c r="FJ418" s="712"/>
      <c r="FK418" s="712"/>
      <c r="FL418" s="712"/>
      <c r="FM418" s="712"/>
      <c r="FN418" s="712"/>
      <c r="FO418" s="712"/>
      <c r="FP418" s="712"/>
      <c r="FQ418" s="712"/>
      <c r="FR418" s="712"/>
      <c r="FS418" s="712"/>
      <c r="FT418" s="712"/>
      <c r="FU418" s="712"/>
      <c r="FV418" s="712"/>
      <c r="FW418" s="712"/>
      <c r="FX418" s="712"/>
      <c r="FZ418" s="712"/>
      <c r="GA418" s="712"/>
      <c r="GB418" s="712"/>
      <c r="GC418" s="712"/>
      <c r="GD418" s="712"/>
      <c r="GE418" s="712"/>
      <c r="GF418" s="712"/>
      <c r="GG418" s="712"/>
      <c r="GH418" s="712"/>
      <c r="GI418" s="712"/>
      <c r="GJ418" s="712"/>
      <c r="GK418" s="712"/>
      <c r="GL418" s="712"/>
      <c r="GM418" s="712"/>
      <c r="GN418" s="712"/>
      <c r="GO418" s="712"/>
      <c r="GP418" s="712"/>
      <c r="GQ418" s="712"/>
      <c r="GR418" s="712"/>
      <c r="GS418" s="712"/>
      <c r="GT418" s="712"/>
      <c r="GU418" s="712"/>
      <c r="GV418" s="712"/>
      <c r="GW418" s="712"/>
      <c r="GX418" s="712"/>
      <c r="GY418" s="712"/>
      <c r="GZ418" s="712"/>
      <c r="HA418" s="712"/>
      <c r="HB418" s="712"/>
      <c r="HC418" s="712"/>
    </row>
    <row r="419" spans="1:211">
      <c r="A419" s="707"/>
      <c r="G419" s="712"/>
      <c r="H419" s="712"/>
      <c r="I419" s="712"/>
      <c r="J419" s="712"/>
      <c r="K419" s="712"/>
      <c r="L419" s="712"/>
      <c r="M419" s="712"/>
      <c r="N419" s="712"/>
      <c r="O419" s="712"/>
      <c r="P419" s="712"/>
      <c r="Q419" s="712"/>
      <c r="R419" s="712"/>
      <c r="S419" s="712"/>
      <c r="T419" s="712"/>
      <c r="U419" s="712"/>
      <c r="V419" s="712"/>
      <c r="W419" s="712"/>
      <c r="X419" s="712"/>
      <c r="Y419" s="712"/>
      <c r="Z419" s="712"/>
      <c r="AA419" s="712"/>
      <c r="AB419" s="712"/>
      <c r="AC419" s="712"/>
      <c r="AD419" s="712"/>
      <c r="AE419" s="712"/>
      <c r="AF419" s="712"/>
      <c r="AG419" s="712"/>
      <c r="AH419" s="712"/>
      <c r="AI419" s="712"/>
      <c r="AJ419" s="712"/>
      <c r="AK419" s="712"/>
      <c r="AL419" s="712"/>
      <c r="AM419" s="712"/>
      <c r="AN419" s="712"/>
      <c r="AO419" s="712"/>
      <c r="AP419" s="712"/>
      <c r="AQ419" s="712"/>
      <c r="AR419" s="712"/>
      <c r="AS419" s="712"/>
      <c r="AT419" s="712"/>
      <c r="AU419" s="712"/>
      <c r="AV419" s="712"/>
      <c r="AW419" s="712"/>
      <c r="AX419" s="712"/>
      <c r="AY419" s="712"/>
      <c r="AZ419" s="712"/>
      <c r="BA419" s="712"/>
      <c r="BB419" s="712"/>
      <c r="BC419" s="712"/>
      <c r="BD419" s="712"/>
      <c r="BE419" s="712"/>
      <c r="BF419" s="712"/>
      <c r="BG419" s="712"/>
      <c r="BH419" s="712"/>
      <c r="BI419" s="712"/>
      <c r="BJ419" s="712"/>
      <c r="BK419" s="712"/>
      <c r="BL419" s="712"/>
      <c r="BM419" s="712"/>
      <c r="BN419" s="712"/>
      <c r="BO419" s="712"/>
      <c r="BP419" s="712"/>
      <c r="BQ419" s="712"/>
      <c r="BR419" s="712"/>
      <c r="BS419" s="712"/>
      <c r="BT419" s="712"/>
      <c r="BU419" s="712"/>
      <c r="BV419" s="712"/>
      <c r="BW419" s="712"/>
      <c r="BX419" s="712"/>
      <c r="BY419" s="712"/>
      <c r="BZ419" s="712"/>
      <c r="CA419" s="712"/>
      <c r="CB419" s="712"/>
      <c r="CC419" s="712"/>
      <c r="CD419" s="712"/>
      <c r="CE419" s="712"/>
      <c r="CF419" s="712"/>
      <c r="CG419" s="712"/>
      <c r="CH419" s="712"/>
      <c r="CI419" s="712"/>
      <c r="CJ419" s="712"/>
      <c r="CK419" s="712"/>
      <c r="CL419" s="712"/>
      <c r="CM419" s="712"/>
      <c r="CN419" s="712"/>
      <c r="CO419" s="712"/>
      <c r="CP419" s="712"/>
      <c r="CQ419" s="712"/>
      <c r="CR419" s="712"/>
      <c r="CS419" s="712"/>
      <c r="CT419" s="712"/>
      <c r="CU419" s="712"/>
      <c r="CV419" s="712"/>
      <c r="CW419" s="712"/>
      <c r="CX419" s="712"/>
      <c r="CY419" s="712"/>
      <c r="CZ419" s="712"/>
      <c r="DA419" s="712"/>
      <c r="DB419" s="712"/>
      <c r="DC419" s="712"/>
      <c r="DD419" s="712"/>
      <c r="DE419" s="712"/>
      <c r="DF419" s="712"/>
      <c r="DG419" s="712"/>
      <c r="DH419" s="712"/>
      <c r="DI419" s="712"/>
      <c r="DJ419" s="712"/>
      <c r="DK419" s="712"/>
      <c r="DL419" s="712"/>
      <c r="DM419" s="712"/>
      <c r="DN419" s="712"/>
      <c r="DO419" s="712"/>
      <c r="DP419" s="712"/>
      <c r="DQ419" s="712"/>
      <c r="DR419" s="712"/>
      <c r="DS419" s="712"/>
      <c r="DT419" s="712"/>
      <c r="DU419" s="712"/>
      <c r="DV419" s="712"/>
      <c r="DW419" s="712"/>
      <c r="DX419" s="712"/>
      <c r="DY419" s="712"/>
      <c r="DZ419" s="712"/>
      <c r="EA419" s="712"/>
      <c r="EB419" s="712"/>
      <c r="EC419" s="712"/>
      <c r="ED419" s="712"/>
      <c r="EE419" s="712"/>
      <c r="EF419" s="712"/>
      <c r="EG419" s="712"/>
      <c r="EH419" s="712"/>
      <c r="EI419" s="712"/>
      <c r="EJ419" s="712"/>
      <c r="EK419" s="712"/>
      <c r="EL419" s="712"/>
      <c r="EM419" s="712"/>
      <c r="EN419" s="712"/>
      <c r="EO419" s="712"/>
      <c r="EP419" s="712"/>
      <c r="EQ419" s="712"/>
      <c r="ER419" s="712"/>
      <c r="ES419" s="712"/>
      <c r="ET419" s="794"/>
      <c r="EU419" s="794"/>
      <c r="EV419" s="794"/>
      <c r="EW419" s="794"/>
      <c r="EX419" s="794"/>
      <c r="EY419" s="794"/>
      <c r="EZ419" s="794"/>
      <c r="FA419" s="712"/>
      <c r="FB419" s="712"/>
      <c r="FC419" s="712"/>
      <c r="FD419" s="712"/>
      <c r="FE419" s="712"/>
      <c r="FF419" s="712"/>
      <c r="FG419" s="712"/>
      <c r="FH419" s="712"/>
      <c r="FI419" s="712"/>
      <c r="FJ419" s="712"/>
      <c r="FK419" s="712"/>
      <c r="FL419" s="712"/>
      <c r="FM419" s="712"/>
      <c r="FN419" s="712"/>
      <c r="FO419" s="712"/>
      <c r="FP419" s="712"/>
      <c r="FQ419" s="712"/>
      <c r="FR419" s="712"/>
      <c r="FS419" s="712"/>
      <c r="FT419" s="712"/>
      <c r="FU419" s="712"/>
      <c r="FV419" s="712"/>
      <c r="FW419" s="712"/>
      <c r="FX419" s="712"/>
      <c r="FZ419" s="712"/>
      <c r="GA419" s="712"/>
      <c r="GB419" s="712"/>
      <c r="GC419" s="712"/>
      <c r="GD419" s="712"/>
      <c r="GE419" s="712"/>
      <c r="GF419" s="712"/>
      <c r="GG419" s="712"/>
      <c r="GH419" s="712"/>
      <c r="GI419" s="712"/>
      <c r="GJ419" s="712"/>
      <c r="GK419" s="712"/>
      <c r="GL419" s="712"/>
      <c r="GM419" s="712"/>
      <c r="GN419" s="712"/>
      <c r="GO419" s="712"/>
      <c r="GP419" s="712"/>
      <c r="GQ419" s="712"/>
      <c r="GR419" s="712"/>
      <c r="GS419" s="712"/>
      <c r="GT419" s="712"/>
      <c r="GU419" s="712"/>
      <c r="GV419" s="712"/>
      <c r="GW419" s="712"/>
      <c r="GX419" s="712"/>
      <c r="GY419" s="712"/>
      <c r="GZ419" s="712"/>
      <c r="HA419" s="712"/>
      <c r="HB419" s="712"/>
      <c r="HC419" s="712"/>
    </row>
    <row r="420" spans="1:211">
      <c r="A420" s="707"/>
      <c r="G420" s="712"/>
      <c r="H420" s="712"/>
      <c r="I420" s="712"/>
      <c r="J420" s="712"/>
      <c r="K420" s="712"/>
      <c r="L420" s="712"/>
      <c r="M420" s="712"/>
      <c r="N420" s="712"/>
      <c r="O420" s="712"/>
      <c r="P420" s="712"/>
      <c r="Q420" s="712"/>
      <c r="R420" s="712"/>
      <c r="S420" s="712"/>
      <c r="T420" s="712"/>
      <c r="U420" s="712"/>
      <c r="V420" s="712"/>
      <c r="W420" s="712"/>
      <c r="X420" s="712"/>
      <c r="Y420" s="712"/>
      <c r="Z420" s="712"/>
      <c r="AA420" s="712"/>
      <c r="AB420" s="712"/>
      <c r="AC420" s="712"/>
      <c r="AD420" s="712"/>
      <c r="AE420" s="712"/>
      <c r="AF420" s="712"/>
      <c r="AG420" s="712"/>
      <c r="AH420" s="712"/>
      <c r="AI420" s="712"/>
      <c r="AJ420" s="712"/>
      <c r="AK420" s="712"/>
      <c r="AL420" s="712"/>
      <c r="AM420" s="712"/>
      <c r="AN420" s="712"/>
      <c r="AO420" s="712"/>
      <c r="AP420" s="712"/>
      <c r="AQ420" s="712"/>
      <c r="AR420" s="712"/>
      <c r="AS420" s="712"/>
      <c r="AT420" s="712"/>
      <c r="AU420" s="712"/>
      <c r="AV420" s="712"/>
      <c r="AW420" s="712"/>
      <c r="AX420" s="712"/>
      <c r="AY420" s="712"/>
      <c r="AZ420" s="712"/>
      <c r="BA420" s="712"/>
      <c r="BB420" s="712"/>
      <c r="BC420" s="712"/>
      <c r="BD420" s="712"/>
      <c r="BE420" s="712"/>
      <c r="BF420" s="712"/>
      <c r="BG420" s="712"/>
      <c r="BH420" s="712"/>
      <c r="BI420" s="712"/>
      <c r="BJ420" s="712"/>
      <c r="BK420" s="712"/>
      <c r="BL420" s="712"/>
      <c r="BM420" s="712"/>
      <c r="BN420" s="712"/>
      <c r="BO420" s="712"/>
      <c r="BP420" s="712"/>
      <c r="BQ420" s="712"/>
      <c r="BR420" s="712"/>
      <c r="BS420" s="712"/>
      <c r="BT420" s="712"/>
      <c r="BU420" s="712"/>
      <c r="BV420" s="712"/>
      <c r="BW420" s="712"/>
      <c r="BX420" s="712"/>
      <c r="BY420" s="712"/>
      <c r="BZ420" s="712"/>
      <c r="CA420" s="712"/>
      <c r="CB420" s="712"/>
      <c r="CC420" s="712"/>
      <c r="CD420" s="712"/>
      <c r="CE420" s="712"/>
      <c r="CF420" s="712"/>
      <c r="CG420" s="712"/>
      <c r="CH420" s="712"/>
      <c r="CI420" s="712"/>
      <c r="CJ420" s="712"/>
      <c r="CK420" s="712"/>
      <c r="CL420" s="712"/>
      <c r="CM420" s="712"/>
      <c r="CN420" s="712"/>
      <c r="CO420" s="712"/>
      <c r="CP420" s="712"/>
      <c r="CQ420" s="712"/>
      <c r="CR420" s="712"/>
      <c r="CS420" s="712"/>
      <c r="CT420" s="712"/>
      <c r="CU420" s="712"/>
      <c r="CV420" s="712"/>
      <c r="CW420" s="712"/>
      <c r="CX420" s="712"/>
      <c r="CY420" s="712"/>
      <c r="CZ420" s="712"/>
      <c r="DA420" s="712"/>
      <c r="DB420" s="712"/>
      <c r="DC420" s="712"/>
      <c r="DD420" s="712"/>
      <c r="DE420" s="712"/>
      <c r="DF420" s="712"/>
      <c r="DG420" s="712"/>
      <c r="DH420" s="712"/>
      <c r="DI420" s="712"/>
      <c r="DJ420" s="712"/>
      <c r="DK420" s="712"/>
      <c r="DL420" s="712"/>
      <c r="DM420" s="712"/>
      <c r="DN420" s="712"/>
      <c r="DO420" s="712"/>
      <c r="DP420" s="712"/>
      <c r="DQ420" s="712"/>
      <c r="DR420" s="712"/>
      <c r="DS420" s="712"/>
      <c r="DT420" s="712"/>
      <c r="DU420" s="712"/>
      <c r="DV420" s="712"/>
      <c r="DW420" s="712"/>
      <c r="DX420" s="712"/>
      <c r="DY420" s="712"/>
      <c r="DZ420" s="712"/>
      <c r="EA420" s="712"/>
      <c r="EB420" s="712"/>
      <c r="EC420" s="712"/>
      <c r="ED420" s="712"/>
      <c r="EE420" s="712"/>
      <c r="EF420" s="712"/>
      <c r="EG420" s="712"/>
      <c r="EH420" s="712"/>
      <c r="EI420" s="712"/>
      <c r="EJ420" s="712"/>
      <c r="EK420" s="712"/>
      <c r="EL420" s="712"/>
      <c r="EM420" s="712"/>
      <c r="EN420" s="712"/>
      <c r="EO420" s="712"/>
      <c r="EP420" s="712"/>
      <c r="EQ420" s="712"/>
      <c r="ER420" s="712"/>
      <c r="ES420" s="712"/>
      <c r="ET420" s="794"/>
      <c r="EU420" s="794"/>
      <c r="EV420" s="794"/>
      <c r="EW420" s="794"/>
      <c r="EX420" s="794"/>
      <c r="EY420" s="794"/>
      <c r="EZ420" s="794"/>
      <c r="FA420" s="712"/>
      <c r="FB420" s="712"/>
      <c r="FC420" s="712"/>
      <c r="FD420" s="712"/>
      <c r="FE420" s="712"/>
      <c r="FF420" s="712"/>
      <c r="FG420" s="712"/>
      <c r="FH420" s="712"/>
      <c r="FI420" s="712"/>
      <c r="FJ420" s="712"/>
      <c r="FK420" s="712"/>
      <c r="FL420" s="712"/>
      <c r="FM420" s="712"/>
      <c r="FN420" s="712"/>
      <c r="FO420" s="712"/>
      <c r="FP420" s="712"/>
      <c r="FQ420" s="712"/>
      <c r="FR420" s="712"/>
      <c r="FS420" s="712"/>
      <c r="FT420" s="712"/>
      <c r="FU420" s="712"/>
      <c r="FV420" s="712"/>
      <c r="FW420" s="712"/>
      <c r="FX420" s="712"/>
      <c r="FZ420" s="712"/>
      <c r="GA420" s="712"/>
      <c r="GB420" s="712"/>
      <c r="GC420" s="712"/>
      <c r="GD420" s="712"/>
      <c r="GE420" s="712"/>
      <c r="GF420" s="712"/>
      <c r="GG420" s="712"/>
      <c r="GH420" s="712"/>
      <c r="GI420" s="712"/>
      <c r="GJ420" s="712"/>
      <c r="GK420" s="712"/>
      <c r="GL420" s="712"/>
      <c r="GM420" s="712"/>
      <c r="GN420" s="712"/>
      <c r="GO420" s="712"/>
      <c r="GP420" s="712"/>
      <c r="GQ420" s="712"/>
      <c r="GR420" s="712"/>
      <c r="GS420" s="712"/>
      <c r="GT420" s="712"/>
      <c r="GU420" s="712"/>
      <c r="GV420" s="712"/>
      <c r="GW420" s="712"/>
      <c r="GX420" s="712"/>
      <c r="GY420" s="712"/>
      <c r="GZ420" s="712"/>
      <c r="HA420" s="712"/>
      <c r="HB420" s="712"/>
      <c r="HC420" s="712"/>
    </row>
    <row r="421" spans="1:211">
      <c r="A421" s="707"/>
      <c r="G421" s="712"/>
      <c r="H421" s="712"/>
      <c r="I421" s="712"/>
      <c r="J421" s="712"/>
      <c r="K421" s="712"/>
      <c r="L421" s="712"/>
      <c r="M421" s="712"/>
      <c r="N421" s="712"/>
      <c r="O421" s="712"/>
      <c r="P421" s="712"/>
      <c r="Q421" s="712"/>
      <c r="R421" s="712"/>
      <c r="S421" s="712"/>
      <c r="T421" s="712"/>
      <c r="U421" s="712"/>
      <c r="V421" s="712"/>
      <c r="W421" s="712"/>
      <c r="X421" s="712"/>
      <c r="Y421" s="712"/>
      <c r="Z421" s="712"/>
      <c r="AA421" s="712"/>
      <c r="AB421" s="712"/>
      <c r="AC421" s="712"/>
      <c r="AD421" s="712"/>
      <c r="AE421" s="712"/>
      <c r="AF421" s="712"/>
      <c r="AG421" s="712"/>
      <c r="AH421" s="712"/>
      <c r="AI421" s="712"/>
      <c r="AJ421" s="712"/>
      <c r="AK421" s="712"/>
      <c r="AL421" s="712"/>
      <c r="AM421" s="712"/>
      <c r="AN421" s="712"/>
      <c r="AO421" s="712"/>
      <c r="AP421" s="712"/>
      <c r="AQ421" s="712"/>
      <c r="AR421" s="712"/>
      <c r="AS421" s="712"/>
      <c r="AT421" s="712"/>
      <c r="AU421" s="712"/>
      <c r="AV421" s="712"/>
      <c r="AW421" s="712"/>
      <c r="AX421" s="712"/>
      <c r="AY421" s="712"/>
      <c r="AZ421" s="712"/>
      <c r="BA421" s="712"/>
      <c r="BB421" s="712"/>
      <c r="BC421" s="712"/>
      <c r="BD421" s="712"/>
      <c r="BE421" s="712"/>
      <c r="BF421" s="712"/>
      <c r="BG421" s="712"/>
      <c r="BH421" s="712"/>
      <c r="BI421" s="712"/>
      <c r="BJ421" s="712"/>
      <c r="BK421" s="712"/>
      <c r="BL421" s="712"/>
      <c r="BM421" s="712"/>
      <c r="BN421" s="712"/>
      <c r="BO421" s="712"/>
      <c r="BP421" s="712"/>
      <c r="BQ421" s="712"/>
      <c r="BR421" s="712"/>
      <c r="BS421" s="712"/>
      <c r="BT421" s="712"/>
      <c r="BU421" s="712"/>
      <c r="BV421" s="712"/>
      <c r="BW421" s="712"/>
      <c r="BX421" s="712"/>
      <c r="BY421" s="712"/>
      <c r="BZ421" s="712"/>
      <c r="CA421" s="712"/>
      <c r="CB421" s="712"/>
      <c r="CC421" s="712"/>
      <c r="CD421" s="712"/>
      <c r="CE421" s="712"/>
      <c r="CF421" s="712"/>
      <c r="CG421" s="712"/>
      <c r="CH421" s="712"/>
      <c r="CI421" s="712"/>
      <c r="CJ421" s="712"/>
      <c r="CK421" s="712"/>
      <c r="CL421" s="712"/>
      <c r="CM421" s="712"/>
      <c r="CN421" s="712"/>
      <c r="CO421" s="712"/>
      <c r="CP421" s="712"/>
      <c r="CQ421" s="712"/>
      <c r="CR421" s="712"/>
      <c r="CS421" s="712"/>
      <c r="CT421" s="712"/>
      <c r="CU421" s="712"/>
      <c r="CV421" s="712"/>
      <c r="CW421" s="712"/>
      <c r="CX421" s="712"/>
      <c r="CY421" s="712"/>
      <c r="CZ421" s="712"/>
      <c r="DA421" s="712"/>
      <c r="DB421" s="712"/>
      <c r="DC421" s="712"/>
      <c r="DD421" s="712"/>
      <c r="DE421" s="712"/>
      <c r="DF421" s="712"/>
      <c r="DG421" s="712"/>
      <c r="DH421" s="712"/>
      <c r="DI421" s="712"/>
      <c r="DJ421" s="712"/>
      <c r="DK421" s="712"/>
      <c r="DL421" s="712"/>
      <c r="DM421" s="712"/>
      <c r="DN421" s="712"/>
      <c r="DO421" s="712"/>
      <c r="DP421" s="712"/>
      <c r="DQ421" s="712"/>
      <c r="DR421" s="712"/>
      <c r="DS421" s="712"/>
      <c r="DT421" s="712"/>
      <c r="DU421" s="712"/>
      <c r="DV421" s="712"/>
      <c r="DW421" s="712"/>
      <c r="DX421" s="712"/>
      <c r="DY421" s="712"/>
      <c r="DZ421" s="712"/>
      <c r="EA421" s="712"/>
      <c r="EB421" s="712"/>
      <c r="EC421" s="712"/>
      <c r="ED421" s="712"/>
      <c r="EE421" s="712"/>
      <c r="EF421" s="712"/>
      <c r="EG421" s="712"/>
      <c r="EH421" s="712"/>
      <c r="EI421" s="712"/>
      <c r="EJ421" s="712"/>
      <c r="EK421" s="712"/>
      <c r="EL421" s="712"/>
      <c r="EM421" s="712"/>
      <c r="EN421" s="712"/>
      <c r="EO421" s="712"/>
      <c r="EP421" s="712"/>
      <c r="EQ421" s="712"/>
      <c r="ER421" s="712"/>
      <c r="ES421" s="712"/>
      <c r="ET421" s="794"/>
      <c r="EU421" s="794"/>
      <c r="EV421" s="794"/>
      <c r="EW421" s="794"/>
      <c r="EX421" s="794"/>
      <c r="EY421" s="794"/>
      <c r="EZ421" s="794"/>
      <c r="FA421" s="712"/>
      <c r="FB421" s="712"/>
      <c r="FC421" s="712"/>
      <c r="FD421" s="712"/>
      <c r="FE421" s="712"/>
      <c r="FF421" s="712"/>
      <c r="FG421" s="712"/>
      <c r="FH421" s="712"/>
      <c r="FI421" s="712"/>
      <c r="FJ421" s="712"/>
      <c r="FK421" s="712"/>
      <c r="FL421" s="712"/>
      <c r="FM421" s="712"/>
      <c r="FN421" s="712"/>
      <c r="FO421" s="712"/>
      <c r="FP421" s="712"/>
      <c r="FQ421" s="712"/>
      <c r="FR421" s="712"/>
      <c r="FS421" s="712"/>
      <c r="FT421" s="712"/>
      <c r="FU421" s="712"/>
      <c r="FV421" s="712"/>
      <c r="FW421" s="712"/>
      <c r="FX421" s="712"/>
      <c r="FZ421" s="712"/>
      <c r="GA421" s="712"/>
      <c r="GB421" s="712"/>
      <c r="GC421" s="712"/>
      <c r="GD421" s="712"/>
      <c r="GE421" s="712"/>
      <c r="GF421" s="712"/>
      <c r="GG421" s="712"/>
      <c r="GH421" s="712"/>
      <c r="GI421" s="712"/>
      <c r="GJ421" s="712"/>
      <c r="GK421" s="712"/>
      <c r="GL421" s="712"/>
      <c r="GM421" s="712"/>
      <c r="GN421" s="712"/>
      <c r="GO421" s="712"/>
      <c r="GP421" s="712"/>
      <c r="GQ421" s="712"/>
      <c r="GR421" s="712"/>
      <c r="GS421" s="712"/>
      <c r="GT421" s="712"/>
      <c r="GU421" s="712"/>
      <c r="GV421" s="712"/>
      <c r="GW421" s="712"/>
      <c r="GX421" s="712"/>
      <c r="GY421" s="712"/>
      <c r="GZ421" s="712"/>
      <c r="HA421" s="712"/>
      <c r="HB421" s="712"/>
      <c r="HC421" s="712"/>
    </row>
    <row r="422" spans="1:211">
      <c r="A422" s="707"/>
      <c r="G422" s="712"/>
      <c r="H422" s="712"/>
      <c r="I422" s="712"/>
      <c r="J422" s="712"/>
      <c r="K422" s="712"/>
      <c r="L422" s="712"/>
      <c r="M422" s="712"/>
      <c r="N422" s="712"/>
      <c r="O422" s="712"/>
      <c r="P422" s="712"/>
      <c r="Q422" s="712"/>
      <c r="R422" s="712"/>
      <c r="S422" s="712"/>
      <c r="T422" s="712"/>
      <c r="U422" s="712"/>
      <c r="V422" s="712"/>
      <c r="W422" s="712"/>
      <c r="X422" s="712"/>
      <c r="Y422" s="712"/>
      <c r="Z422" s="712"/>
      <c r="AA422" s="712"/>
      <c r="AB422" s="712"/>
      <c r="AC422" s="712"/>
      <c r="AD422" s="712"/>
      <c r="AE422" s="712"/>
      <c r="AF422" s="712"/>
      <c r="AG422" s="712"/>
      <c r="AH422" s="712"/>
      <c r="AI422" s="712"/>
      <c r="AJ422" s="712"/>
      <c r="AK422" s="712"/>
      <c r="AL422" s="712"/>
      <c r="AM422" s="712"/>
      <c r="AN422" s="712"/>
      <c r="AO422" s="712"/>
      <c r="AP422" s="712"/>
      <c r="AQ422" s="712"/>
      <c r="AR422" s="712"/>
      <c r="AS422" s="712"/>
      <c r="AT422" s="712"/>
      <c r="AU422" s="712"/>
      <c r="AV422" s="712"/>
      <c r="AW422" s="712"/>
      <c r="AX422" s="712"/>
      <c r="AY422" s="712"/>
      <c r="AZ422" s="712"/>
      <c r="BA422" s="712"/>
      <c r="BB422" s="712"/>
      <c r="BC422" s="712"/>
      <c r="BD422" s="712"/>
      <c r="BE422" s="712"/>
      <c r="BF422" s="712"/>
      <c r="BG422" s="712"/>
      <c r="BH422" s="712"/>
      <c r="BI422" s="712"/>
      <c r="BJ422" s="712"/>
      <c r="BK422" s="712"/>
      <c r="BL422" s="712"/>
      <c r="BM422" s="712"/>
      <c r="BN422" s="712"/>
      <c r="BO422" s="712"/>
      <c r="BP422" s="712"/>
      <c r="BQ422" s="712"/>
      <c r="BR422" s="712"/>
      <c r="BS422" s="712"/>
      <c r="BT422" s="712"/>
      <c r="BU422" s="712"/>
      <c r="BV422" s="712"/>
      <c r="BW422" s="712"/>
      <c r="BX422" s="712"/>
      <c r="BY422" s="712"/>
      <c r="BZ422" s="712"/>
      <c r="CA422" s="712"/>
      <c r="CB422" s="712"/>
      <c r="CC422" s="712"/>
      <c r="CD422" s="712"/>
      <c r="CE422" s="712"/>
      <c r="CF422" s="712"/>
      <c r="CG422" s="712"/>
      <c r="CH422" s="712"/>
      <c r="CI422" s="712"/>
      <c r="CJ422" s="712"/>
      <c r="CK422" s="712"/>
      <c r="CL422" s="712"/>
      <c r="CM422" s="712"/>
      <c r="CN422" s="712"/>
      <c r="CO422" s="712"/>
      <c r="CP422" s="712"/>
      <c r="CQ422" s="712"/>
      <c r="CR422" s="712"/>
      <c r="CS422" s="712"/>
      <c r="CT422" s="712"/>
      <c r="CU422" s="712"/>
      <c r="CV422" s="712"/>
      <c r="CW422" s="712"/>
      <c r="CX422" s="712"/>
      <c r="CY422" s="712"/>
      <c r="CZ422" s="712"/>
      <c r="DA422" s="712"/>
      <c r="DB422" s="712"/>
      <c r="DC422" s="712"/>
      <c r="DD422" s="712"/>
      <c r="DE422" s="712"/>
      <c r="DF422" s="712"/>
      <c r="DG422" s="712"/>
      <c r="DH422" s="712"/>
      <c r="DI422" s="712"/>
      <c r="DJ422" s="712"/>
      <c r="DK422" s="712"/>
      <c r="DL422" s="712"/>
      <c r="DM422" s="712"/>
      <c r="DN422" s="712"/>
      <c r="DO422" s="712"/>
      <c r="DP422" s="712"/>
      <c r="DQ422" s="712"/>
      <c r="DR422" s="712"/>
      <c r="DS422" s="712"/>
      <c r="DT422" s="712"/>
      <c r="DU422" s="712"/>
      <c r="DV422" s="712"/>
      <c r="DW422" s="712"/>
      <c r="DX422" s="712"/>
      <c r="DY422" s="712"/>
      <c r="DZ422" s="712"/>
      <c r="EA422" s="712"/>
      <c r="EB422" s="712"/>
      <c r="EC422" s="712"/>
      <c r="ED422" s="712"/>
      <c r="EE422" s="712"/>
      <c r="EF422" s="712"/>
      <c r="EG422" s="712"/>
      <c r="EH422" s="712"/>
      <c r="EI422" s="712"/>
      <c r="EJ422" s="712"/>
      <c r="EK422" s="712"/>
      <c r="EL422" s="712"/>
      <c r="EM422" s="712"/>
      <c r="EN422" s="712"/>
      <c r="EO422" s="712"/>
      <c r="EP422" s="712"/>
      <c r="EQ422" s="712"/>
      <c r="ER422" s="712"/>
      <c r="ES422" s="712"/>
      <c r="ET422" s="794"/>
      <c r="EU422" s="794"/>
      <c r="EV422" s="794"/>
      <c r="EW422" s="794"/>
      <c r="EX422" s="794"/>
      <c r="EY422" s="794"/>
      <c r="EZ422" s="794"/>
      <c r="FA422" s="712"/>
      <c r="FB422" s="712"/>
      <c r="FC422" s="712"/>
      <c r="FD422" s="712"/>
      <c r="FE422" s="712"/>
      <c r="FF422" s="712"/>
      <c r="FG422" s="712"/>
      <c r="FH422" s="712"/>
      <c r="FI422" s="712"/>
      <c r="FJ422" s="712"/>
      <c r="FK422" s="712"/>
      <c r="FL422" s="712"/>
      <c r="FM422" s="712"/>
      <c r="FN422" s="712"/>
      <c r="FO422" s="712"/>
      <c r="FP422" s="712"/>
      <c r="FQ422" s="712"/>
      <c r="FR422" s="712"/>
      <c r="FS422" s="712"/>
      <c r="FT422" s="712"/>
      <c r="FU422" s="712"/>
      <c r="FV422" s="712"/>
      <c r="FW422" s="712"/>
      <c r="FX422" s="712"/>
      <c r="FZ422" s="712"/>
      <c r="GA422" s="712"/>
      <c r="GB422" s="712"/>
      <c r="GC422" s="712"/>
      <c r="GD422" s="712"/>
      <c r="GE422" s="712"/>
      <c r="GF422" s="712"/>
      <c r="GG422" s="712"/>
      <c r="GH422" s="712"/>
      <c r="GI422" s="712"/>
      <c r="GJ422" s="712"/>
      <c r="GK422" s="712"/>
      <c r="GL422" s="712"/>
      <c r="GM422" s="712"/>
      <c r="GN422" s="712"/>
      <c r="GO422" s="712"/>
      <c r="GP422" s="712"/>
      <c r="GQ422" s="712"/>
      <c r="GR422" s="712"/>
      <c r="GS422" s="712"/>
      <c r="GT422" s="712"/>
      <c r="GU422" s="712"/>
      <c r="GV422" s="712"/>
      <c r="GW422" s="712"/>
      <c r="GX422" s="712"/>
      <c r="GY422" s="712"/>
      <c r="GZ422" s="712"/>
      <c r="HA422" s="712"/>
      <c r="HB422" s="712"/>
      <c r="HC422" s="712"/>
    </row>
    <row r="423" spans="1:211">
      <c r="A423" s="707"/>
      <c r="G423" s="712"/>
      <c r="H423" s="712"/>
      <c r="I423" s="712"/>
      <c r="J423" s="712"/>
      <c r="K423" s="712"/>
      <c r="L423" s="712"/>
      <c r="M423" s="712"/>
      <c r="N423" s="712"/>
      <c r="O423" s="712"/>
      <c r="P423" s="712"/>
      <c r="Q423" s="712"/>
      <c r="R423" s="712"/>
      <c r="S423" s="712"/>
      <c r="T423" s="712"/>
      <c r="U423" s="712"/>
      <c r="V423" s="712"/>
      <c r="W423" s="712"/>
      <c r="X423" s="712"/>
      <c r="Y423" s="712"/>
      <c r="Z423" s="712"/>
      <c r="AA423" s="712"/>
      <c r="AB423" s="712"/>
      <c r="AC423" s="712"/>
      <c r="AD423" s="712"/>
      <c r="AE423" s="712"/>
      <c r="AF423" s="712"/>
      <c r="AG423" s="712"/>
      <c r="AH423" s="712"/>
      <c r="AI423" s="712"/>
      <c r="AJ423" s="712"/>
      <c r="AK423" s="712"/>
      <c r="AL423" s="712"/>
      <c r="AM423" s="712"/>
      <c r="AN423" s="712"/>
      <c r="AO423" s="712"/>
      <c r="AP423" s="712"/>
      <c r="AQ423" s="712"/>
      <c r="AR423" s="712"/>
      <c r="AS423" s="712"/>
      <c r="AT423" s="712"/>
      <c r="AU423" s="712"/>
      <c r="AV423" s="712"/>
      <c r="AW423" s="712"/>
      <c r="AX423" s="712"/>
      <c r="AY423" s="712"/>
      <c r="AZ423" s="712"/>
      <c r="BA423" s="712"/>
      <c r="BB423" s="712"/>
      <c r="BC423" s="712"/>
      <c r="BD423" s="712"/>
      <c r="BE423" s="712"/>
      <c r="BF423" s="712"/>
      <c r="BG423" s="712"/>
      <c r="BH423" s="712"/>
      <c r="BI423" s="712"/>
      <c r="BJ423" s="712"/>
      <c r="BK423" s="712"/>
      <c r="BL423" s="712"/>
      <c r="BM423" s="712"/>
      <c r="BN423" s="712"/>
      <c r="BO423" s="712"/>
      <c r="BP423" s="712"/>
      <c r="BQ423" s="712"/>
      <c r="BR423" s="712"/>
      <c r="BS423" s="712"/>
      <c r="BT423" s="712"/>
      <c r="BU423" s="712"/>
      <c r="BV423" s="712"/>
      <c r="BW423" s="712"/>
      <c r="BX423" s="712"/>
      <c r="BY423" s="712"/>
      <c r="BZ423" s="712"/>
      <c r="CA423" s="712"/>
      <c r="CB423" s="712"/>
      <c r="CC423" s="712"/>
      <c r="CD423" s="712"/>
      <c r="CE423" s="712"/>
      <c r="CF423" s="712"/>
      <c r="CG423" s="712"/>
      <c r="CH423" s="712"/>
      <c r="CI423" s="712"/>
      <c r="CJ423" s="712"/>
      <c r="CK423" s="712"/>
      <c r="CL423" s="712"/>
      <c r="CM423" s="712"/>
      <c r="CN423" s="712"/>
      <c r="CO423" s="712"/>
      <c r="CP423" s="712"/>
      <c r="CQ423" s="712"/>
      <c r="CR423" s="712"/>
      <c r="CS423" s="712"/>
      <c r="CT423" s="712"/>
      <c r="CU423" s="712"/>
      <c r="CV423" s="712"/>
      <c r="CW423" s="712"/>
      <c r="CX423" s="712"/>
      <c r="CY423" s="712"/>
      <c r="CZ423" s="712"/>
      <c r="DA423" s="712"/>
      <c r="DB423" s="712"/>
      <c r="DC423" s="712"/>
      <c r="DD423" s="712"/>
      <c r="DE423" s="712"/>
      <c r="DF423" s="712"/>
      <c r="DG423" s="712"/>
      <c r="DH423" s="712"/>
      <c r="DI423" s="712"/>
      <c r="DJ423" s="712"/>
      <c r="DK423" s="712"/>
      <c r="DL423" s="712"/>
      <c r="DM423" s="712"/>
      <c r="DN423" s="712"/>
      <c r="DO423" s="712"/>
      <c r="DP423" s="712"/>
      <c r="DQ423" s="712"/>
      <c r="DR423" s="712"/>
      <c r="DS423" s="712"/>
      <c r="DT423" s="712"/>
      <c r="DU423" s="712"/>
      <c r="DV423" s="712"/>
      <c r="DW423" s="712"/>
      <c r="DX423" s="712"/>
      <c r="DY423" s="712"/>
      <c r="DZ423" s="712"/>
      <c r="EA423" s="712"/>
      <c r="EB423" s="712"/>
      <c r="EC423" s="712"/>
      <c r="ED423" s="712"/>
      <c r="EE423" s="712"/>
      <c r="EF423" s="712"/>
      <c r="EG423" s="712"/>
      <c r="EH423" s="712"/>
      <c r="EI423" s="712"/>
      <c r="EJ423" s="712"/>
      <c r="EK423" s="712"/>
      <c r="EL423" s="712"/>
      <c r="EM423" s="712"/>
      <c r="EN423" s="712"/>
      <c r="EO423" s="712"/>
      <c r="EP423" s="712"/>
      <c r="EQ423" s="712"/>
      <c r="ER423" s="712"/>
      <c r="ES423" s="712"/>
      <c r="ET423" s="794"/>
      <c r="EU423" s="794"/>
      <c r="EV423" s="794"/>
      <c r="EW423" s="794"/>
      <c r="EX423" s="794"/>
      <c r="EY423" s="794"/>
      <c r="EZ423" s="794"/>
      <c r="FA423" s="712"/>
      <c r="FB423" s="712"/>
      <c r="FC423" s="712"/>
      <c r="FD423" s="712"/>
      <c r="FE423" s="712"/>
      <c r="FF423" s="712"/>
      <c r="FG423" s="712"/>
      <c r="FH423" s="712"/>
      <c r="FI423" s="712"/>
      <c r="FJ423" s="712"/>
      <c r="FK423" s="712"/>
      <c r="FL423" s="712"/>
      <c r="FM423" s="712"/>
      <c r="FN423" s="712"/>
      <c r="FO423" s="712"/>
      <c r="FP423" s="712"/>
      <c r="FQ423" s="712"/>
      <c r="FR423" s="712"/>
      <c r="FS423" s="712"/>
      <c r="FT423" s="712"/>
      <c r="FU423" s="712"/>
      <c r="FV423" s="712"/>
      <c r="FW423" s="712"/>
      <c r="FX423" s="712"/>
      <c r="FZ423" s="712"/>
      <c r="GA423" s="712"/>
      <c r="GB423" s="712"/>
      <c r="GC423" s="712"/>
      <c r="GD423" s="712"/>
      <c r="GE423" s="712"/>
      <c r="GF423" s="712"/>
      <c r="GG423" s="712"/>
      <c r="GH423" s="712"/>
      <c r="GI423" s="712"/>
      <c r="GJ423" s="712"/>
      <c r="GK423" s="712"/>
      <c r="GL423" s="712"/>
      <c r="GM423" s="712"/>
      <c r="GN423" s="712"/>
      <c r="GO423" s="712"/>
      <c r="GP423" s="712"/>
      <c r="GQ423" s="712"/>
      <c r="GR423" s="712"/>
      <c r="GS423" s="712"/>
      <c r="GT423" s="712"/>
      <c r="GU423" s="712"/>
      <c r="GV423" s="712"/>
      <c r="GW423" s="712"/>
      <c r="GX423" s="712"/>
      <c r="GY423" s="712"/>
      <c r="GZ423" s="712"/>
      <c r="HA423" s="712"/>
      <c r="HB423" s="712"/>
      <c r="HC423" s="712"/>
    </row>
    <row r="424" spans="1:211">
      <c r="A424" s="707"/>
      <c r="G424" s="712"/>
      <c r="H424" s="712"/>
      <c r="I424" s="712"/>
      <c r="J424" s="712"/>
      <c r="K424" s="712"/>
      <c r="L424" s="712"/>
      <c r="M424" s="712"/>
      <c r="N424" s="712"/>
      <c r="O424" s="712"/>
      <c r="P424" s="712"/>
      <c r="Q424" s="712"/>
      <c r="R424" s="712"/>
      <c r="S424" s="712"/>
      <c r="T424" s="712"/>
      <c r="U424" s="712"/>
      <c r="V424" s="712"/>
      <c r="W424" s="712"/>
      <c r="X424" s="712"/>
      <c r="Y424" s="712"/>
      <c r="Z424" s="712"/>
      <c r="AA424" s="712"/>
      <c r="AB424" s="712"/>
      <c r="AC424" s="712"/>
      <c r="AD424" s="712"/>
      <c r="AE424" s="712"/>
      <c r="AF424" s="712"/>
      <c r="AG424" s="712"/>
      <c r="AH424" s="712"/>
      <c r="AI424" s="712"/>
      <c r="AJ424" s="712"/>
      <c r="AK424" s="712"/>
      <c r="AL424" s="712"/>
      <c r="AM424" s="712"/>
      <c r="AN424" s="712"/>
      <c r="AO424" s="712"/>
      <c r="AP424" s="712"/>
      <c r="AQ424" s="712"/>
      <c r="AR424" s="712"/>
      <c r="AS424" s="712"/>
      <c r="AT424" s="712"/>
      <c r="AU424" s="712"/>
      <c r="AV424" s="712"/>
      <c r="AW424" s="712"/>
      <c r="AX424" s="712"/>
      <c r="AY424" s="712"/>
      <c r="AZ424" s="712"/>
      <c r="BA424" s="712"/>
      <c r="BB424" s="712"/>
      <c r="BC424" s="712"/>
      <c r="BD424" s="712"/>
      <c r="BE424" s="712"/>
      <c r="BF424" s="712"/>
      <c r="BG424" s="712"/>
      <c r="BH424" s="712"/>
      <c r="BI424" s="712"/>
      <c r="BJ424" s="712"/>
      <c r="BK424" s="712"/>
      <c r="BL424" s="712"/>
      <c r="BM424" s="712"/>
      <c r="BN424" s="712"/>
      <c r="BO424" s="712"/>
      <c r="BP424" s="712"/>
      <c r="BQ424" s="712"/>
      <c r="BR424" s="712"/>
      <c r="BS424" s="712"/>
      <c r="BT424" s="712"/>
      <c r="BU424" s="712"/>
      <c r="BV424" s="712"/>
      <c r="BW424" s="712"/>
      <c r="BX424" s="712"/>
      <c r="BY424" s="712"/>
      <c r="BZ424" s="712"/>
      <c r="CA424" s="712"/>
      <c r="CB424" s="712"/>
      <c r="CC424" s="712"/>
      <c r="CD424" s="712"/>
      <c r="CE424" s="712"/>
      <c r="CF424" s="712"/>
      <c r="CG424" s="712"/>
      <c r="CH424" s="712"/>
      <c r="CI424" s="712"/>
      <c r="CJ424" s="712"/>
      <c r="CK424" s="712"/>
      <c r="CL424" s="712"/>
      <c r="CM424" s="712"/>
      <c r="CN424" s="712"/>
      <c r="CO424" s="712"/>
      <c r="CP424" s="712"/>
      <c r="CQ424" s="712"/>
      <c r="CR424" s="712"/>
      <c r="CS424" s="712"/>
      <c r="CT424" s="712"/>
      <c r="CU424" s="712"/>
      <c r="CV424" s="712"/>
      <c r="CW424" s="712"/>
      <c r="CX424" s="712"/>
      <c r="CY424" s="712"/>
      <c r="CZ424" s="712"/>
      <c r="DA424" s="712"/>
      <c r="DB424" s="712"/>
      <c r="DC424" s="712"/>
      <c r="DD424" s="712"/>
      <c r="DE424" s="712"/>
      <c r="DF424" s="712"/>
      <c r="DG424" s="712"/>
      <c r="DH424" s="712"/>
      <c r="DI424" s="712"/>
      <c r="DJ424" s="712"/>
      <c r="DK424" s="712"/>
      <c r="DL424" s="712"/>
      <c r="DM424" s="712"/>
      <c r="DN424" s="712"/>
      <c r="DO424" s="712"/>
      <c r="DP424" s="712"/>
      <c r="DQ424" s="712"/>
      <c r="DR424" s="712"/>
      <c r="DS424" s="712"/>
      <c r="DT424" s="712"/>
      <c r="DU424" s="712"/>
      <c r="DV424" s="712"/>
      <c r="DW424" s="712"/>
      <c r="DX424" s="712"/>
      <c r="DY424" s="712"/>
      <c r="DZ424" s="712"/>
      <c r="EA424" s="712"/>
      <c r="EB424" s="712"/>
      <c r="EC424" s="712"/>
      <c r="ED424" s="712"/>
      <c r="EE424" s="712"/>
      <c r="EF424" s="712"/>
      <c r="EG424" s="712"/>
      <c r="EH424" s="712"/>
      <c r="EI424" s="712"/>
      <c r="EJ424" s="712"/>
      <c r="EK424" s="712"/>
      <c r="EL424" s="712"/>
      <c r="EM424" s="712"/>
      <c r="EN424" s="712"/>
      <c r="EO424" s="712"/>
      <c r="EP424" s="712"/>
      <c r="EQ424" s="712"/>
      <c r="ER424" s="712"/>
      <c r="ES424" s="712"/>
      <c r="ET424" s="794"/>
      <c r="EU424" s="794"/>
      <c r="EV424" s="794"/>
      <c r="EW424" s="794"/>
      <c r="EX424" s="794"/>
      <c r="EY424" s="794"/>
      <c r="EZ424" s="794"/>
      <c r="FA424" s="712"/>
      <c r="FB424" s="712"/>
      <c r="FC424" s="712"/>
      <c r="FD424" s="712"/>
      <c r="FE424" s="712"/>
      <c r="FF424" s="712"/>
      <c r="FG424" s="712"/>
      <c r="FH424" s="712"/>
      <c r="FI424" s="712"/>
      <c r="FJ424" s="712"/>
      <c r="FK424" s="712"/>
      <c r="FL424" s="712"/>
      <c r="FM424" s="712"/>
      <c r="FN424" s="712"/>
      <c r="FO424" s="712"/>
      <c r="FP424" s="712"/>
      <c r="FQ424" s="712"/>
      <c r="FR424" s="712"/>
      <c r="FS424" s="712"/>
      <c r="FT424" s="712"/>
      <c r="FU424" s="712"/>
      <c r="FV424" s="712"/>
      <c r="FW424" s="712"/>
      <c r="FX424" s="712"/>
      <c r="FZ424" s="712"/>
      <c r="GA424" s="712"/>
      <c r="GB424" s="712"/>
      <c r="GC424" s="712"/>
      <c r="GD424" s="712"/>
      <c r="GE424" s="712"/>
      <c r="GF424" s="712"/>
      <c r="GG424" s="712"/>
      <c r="GH424" s="712"/>
      <c r="GI424" s="712"/>
      <c r="GJ424" s="712"/>
      <c r="GK424" s="712"/>
      <c r="GL424" s="712"/>
      <c r="GM424" s="712"/>
      <c r="GN424" s="712"/>
      <c r="GO424" s="712"/>
      <c r="GP424" s="712"/>
      <c r="GQ424" s="712"/>
      <c r="GR424" s="712"/>
      <c r="GS424" s="712"/>
      <c r="GT424" s="712"/>
      <c r="GU424" s="712"/>
      <c r="GV424" s="712"/>
      <c r="GW424" s="712"/>
      <c r="GX424" s="712"/>
      <c r="GY424" s="712"/>
      <c r="GZ424" s="712"/>
      <c r="HA424" s="712"/>
      <c r="HB424" s="712"/>
      <c r="HC424" s="712"/>
    </row>
    <row r="425" spans="1:211">
      <c r="A425" s="707"/>
      <c r="G425" s="712"/>
      <c r="H425" s="712"/>
      <c r="I425" s="712"/>
      <c r="J425" s="712"/>
      <c r="K425" s="712"/>
      <c r="L425" s="712"/>
      <c r="M425" s="712"/>
      <c r="N425" s="712"/>
      <c r="O425" s="712"/>
      <c r="P425" s="712"/>
      <c r="Q425" s="712"/>
      <c r="R425" s="712"/>
      <c r="S425" s="712"/>
      <c r="T425" s="712"/>
      <c r="U425" s="712"/>
      <c r="V425" s="712"/>
      <c r="W425" s="712"/>
      <c r="X425" s="712"/>
      <c r="Y425" s="712"/>
      <c r="Z425" s="712"/>
      <c r="AA425" s="712"/>
      <c r="AB425" s="712"/>
      <c r="AC425" s="712"/>
      <c r="AD425" s="712"/>
      <c r="AE425" s="712"/>
      <c r="AF425" s="712"/>
      <c r="AG425" s="712"/>
      <c r="AH425" s="712"/>
      <c r="AI425" s="712"/>
      <c r="AJ425" s="712"/>
      <c r="AK425" s="712"/>
      <c r="AL425" s="712"/>
      <c r="AM425" s="712"/>
      <c r="AN425" s="712"/>
      <c r="AO425" s="712"/>
      <c r="AP425" s="712"/>
      <c r="AQ425" s="712"/>
      <c r="AR425" s="712"/>
      <c r="AS425" s="712"/>
      <c r="AT425" s="712"/>
      <c r="AU425" s="712"/>
      <c r="AV425" s="712"/>
      <c r="AW425" s="712"/>
      <c r="AX425" s="712"/>
      <c r="AY425" s="712"/>
      <c r="AZ425" s="712"/>
      <c r="BA425" s="712"/>
      <c r="BB425" s="712"/>
      <c r="BC425" s="712"/>
      <c r="BD425" s="712"/>
      <c r="BE425" s="712"/>
      <c r="BF425" s="712"/>
      <c r="BG425" s="712"/>
      <c r="BH425" s="712"/>
      <c r="BI425" s="712"/>
      <c r="BJ425" s="712"/>
      <c r="BK425" s="712"/>
      <c r="BL425" s="712"/>
      <c r="BM425" s="712"/>
      <c r="BN425" s="712"/>
      <c r="BO425" s="712"/>
      <c r="BP425" s="712"/>
      <c r="BQ425" s="712"/>
      <c r="BR425" s="712"/>
      <c r="BS425" s="712"/>
      <c r="BT425" s="712"/>
      <c r="BU425" s="712"/>
      <c r="BV425" s="712"/>
      <c r="BW425" s="712"/>
      <c r="BX425" s="712"/>
      <c r="BY425" s="712"/>
      <c r="BZ425" s="712"/>
      <c r="CA425" s="712"/>
      <c r="CB425" s="712"/>
      <c r="CC425" s="712"/>
      <c r="CD425" s="712"/>
      <c r="CE425" s="712"/>
      <c r="CF425" s="712"/>
      <c r="CG425" s="712"/>
      <c r="CH425" s="712"/>
      <c r="CI425" s="712"/>
      <c r="CJ425" s="712"/>
      <c r="CK425" s="712"/>
      <c r="CL425" s="712"/>
      <c r="CM425" s="712"/>
      <c r="CN425" s="712"/>
      <c r="CO425" s="712"/>
      <c r="CP425" s="712"/>
      <c r="CQ425" s="712"/>
      <c r="CR425" s="712"/>
      <c r="CS425" s="712"/>
      <c r="CT425" s="712"/>
      <c r="CU425" s="712"/>
      <c r="CV425" s="712"/>
      <c r="CW425" s="712"/>
      <c r="CX425" s="712"/>
      <c r="CY425" s="712"/>
      <c r="CZ425" s="712"/>
      <c r="DA425" s="712"/>
      <c r="DB425" s="712"/>
      <c r="DC425" s="712"/>
      <c r="DD425" s="712"/>
      <c r="DE425" s="712"/>
      <c r="DF425" s="712"/>
      <c r="DG425" s="712"/>
      <c r="DH425" s="712"/>
      <c r="DI425" s="712"/>
      <c r="DJ425" s="712"/>
      <c r="DK425" s="712"/>
      <c r="DL425" s="712"/>
      <c r="DM425" s="712"/>
      <c r="DN425" s="712"/>
      <c r="DO425" s="712"/>
      <c r="DP425" s="712"/>
      <c r="DQ425" s="712"/>
      <c r="DR425" s="712"/>
      <c r="DS425" s="712"/>
      <c r="DT425" s="712"/>
      <c r="DU425" s="712"/>
      <c r="DV425" s="712"/>
      <c r="DW425" s="712"/>
      <c r="DX425" s="712"/>
      <c r="DY425" s="712"/>
      <c r="DZ425" s="712"/>
      <c r="EA425" s="712"/>
      <c r="EB425" s="712"/>
      <c r="EC425" s="712"/>
      <c r="ED425" s="712"/>
      <c r="EE425" s="712"/>
      <c r="EF425" s="712"/>
      <c r="EG425" s="712"/>
      <c r="EH425" s="712"/>
      <c r="EI425" s="712"/>
      <c r="EJ425" s="712"/>
      <c r="EK425" s="712"/>
      <c r="EL425" s="712"/>
      <c r="EM425" s="712"/>
      <c r="EN425" s="712"/>
      <c r="EO425" s="712"/>
      <c r="EP425" s="712"/>
      <c r="EQ425" s="712"/>
      <c r="ER425" s="712"/>
      <c r="ES425" s="712"/>
      <c r="ET425" s="794"/>
      <c r="EU425" s="794"/>
      <c r="EV425" s="794"/>
      <c r="EW425" s="794"/>
      <c r="EX425" s="794"/>
      <c r="EY425" s="794"/>
      <c r="EZ425" s="794"/>
      <c r="FA425" s="712"/>
      <c r="FB425" s="712"/>
      <c r="FC425" s="712"/>
      <c r="FD425" s="712"/>
      <c r="FE425" s="712"/>
      <c r="FF425" s="712"/>
      <c r="FG425" s="712"/>
      <c r="FH425" s="712"/>
      <c r="FI425" s="712"/>
      <c r="FJ425" s="712"/>
      <c r="FK425" s="712"/>
      <c r="FL425" s="712"/>
      <c r="FM425" s="712"/>
      <c r="FN425" s="712"/>
      <c r="FO425" s="712"/>
      <c r="FP425" s="712"/>
      <c r="FQ425" s="712"/>
      <c r="FR425" s="712"/>
      <c r="FS425" s="712"/>
      <c r="FT425" s="712"/>
      <c r="FU425" s="712"/>
      <c r="FV425" s="712"/>
      <c r="FW425" s="712"/>
      <c r="FX425" s="712"/>
      <c r="FZ425" s="712"/>
      <c r="GA425" s="712"/>
      <c r="GB425" s="712"/>
      <c r="GC425" s="712"/>
      <c r="GD425" s="712"/>
      <c r="GE425" s="712"/>
      <c r="GF425" s="712"/>
      <c r="GG425" s="712"/>
      <c r="GH425" s="712"/>
      <c r="GI425" s="712"/>
      <c r="GJ425" s="712"/>
      <c r="GK425" s="712"/>
      <c r="GL425" s="712"/>
      <c r="GM425" s="712"/>
      <c r="GN425" s="712"/>
      <c r="GO425" s="712"/>
      <c r="GP425" s="712"/>
      <c r="GQ425" s="712"/>
      <c r="GR425" s="712"/>
      <c r="GS425" s="712"/>
      <c r="GT425" s="712"/>
      <c r="GU425" s="712"/>
      <c r="GV425" s="712"/>
      <c r="GW425" s="712"/>
      <c r="GX425" s="712"/>
      <c r="GY425" s="712"/>
      <c r="GZ425" s="712"/>
      <c r="HA425" s="712"/>
      <c r="HB425" s="712"/>
      <c r="HC425" s="712"/>
    </row>
    <row r="426" spans="1:211">
      <c r="A426" s="707"/>
      <c r="G426" s="712"/>
      <c r="H426" s="712"/>
      <c r="I426" s="712"/>
      <c r="J426" s="712"/>
      <c r="K426" s="712"/>
      <c r="L426" s="712"/>
      <c r="M426" s="712"/>
      <c r="N426" s="712"/>
      <c r="O426" s="712"/>
      <c r="P426" s="712"/>
      <c r="Q426" s="712"/>
      <c r="R426" s="712"/>
      <c r="S426" s="712"/>
      <c r="T426" s="712"/>
      <c r="U426" s="712"/>
      <c r="V426" s="712"/>
      <c r="W426" s="712"/>
      <c r="X426" s="712"/>
      <c r="Y426" s="712"/>
      <c r="Z426" s="712"/>
      <c r="AA426" s="712"/>
      <c r="AB426" s="712"/>
      <c r="AC426" s="712"/>
      <c r="AD426" s="712"/>
      <c r="AE426" s="712"/>
      <c r="AF426" s="712"/>
      <c r="AG426" s="712"/>
      <c r="AH426" s="712"/>
      <c r="AI426" s="712"/>
      <c r="AJ426" s="712"/>
      <c r="AK426" s="712"/>
      <c r="AL426" s="712"/>
      <c r="AM426" s="712"/>
      <c r="AN426" s="712"/>
      <c r="AO426" s="712"/>
      <c r="AP426" s="712"/>
      <c r="AQ426" s="712"/>
      <c r="AR426" s="712"/>
      <c r="AS426" s="712"/>
      <c r="AT426" s="712"/>
      <c r="AU426" s="712"/>
      <c r="AV426" s="712"/>
      <c r="AW426" s="712"/>
      <c r="AX426" s="712"/>
      <c r="AY426" s="712"/>
      <c r="AZ426" s="712"/>
      <c r="BA426" s="712"/>
      <c r="BB426" s="712"/>
      <c r="BC426" s="712"/>
      <c r="BD426" s="712"/>
      <c r="BE426" s="712"/>
      <c r="BF426" s="712"/>
      <c r="BG426" s="712"/>
      <c r="BH426" s="712"/>
      <c r="BI426" s="712"/>
      <c r="BJ426" s="712"/>
      <c r="BK426" s="712"/>
      <c r="BL426" s="712"/>
      <c r="BM426" s="712"/>
      <c r="BN426" s="712"/>
      <c r="BO426" s="712"/>
      <c r="BP426" s="712"/>
      <c r="BQ426" s="712"/>
      <c r="BR426" s="712"/>
      <c r="BS426" s="712"/>
      <c r="BT426" s="712"/>
      <c r="BU426" s="712"/>
      <c r="BV426" s="712"/>
      <c r="BW426" s="712"/>
      <c r="BX426" s="712"/>
      <c r="BY426" s="712"/>
      <c r="BZ426" s="712"/>
      <c r="CA426" s="712"/>
      <c r="CB426" s="712"/>
      <c r="CC426" s="712"/>
      <c r="CD426" s="712"/>
      <c r="CE426" s="712"/>
      <c r="CF426" s="712"/>
      <c r="CG426" s="712"/>
      <c r="CH426" s="712"/>
      <c r="CI426" s="712"/>
      <c r="CJ426" s="712"/>
      <c r="CK426" s="712"/>
      <c r="CL426" s="712"/>
      <c r="CM426" s="712"/>
      <c r="CN426" s="712"/>
      <c r="CO426" s="712"/>
      <c r="CP426" s="712"/>
      <c r="CQ426" s="712"/>
      <c r="CR426" s="712"/>
      <c r="CS426" s="712"/>
      <c r="CT426" s="712"/>
      <c r="CU426" s="712"/>
      <c r="CV426" s="712"/>
      <c r="CW426" s="712"/>
      <c r="CX426" s="712"/>
      <c r="CY426" s="712"/>
      <c r="CZ426" s="712"/>
      <c r="DA426" s="712"/>
      <c r="DB426" s="712"/>
      <c r="DC426" s="712"/>
      <c r="DD426" s="712"/>
      <c r="DE426" s="712"/>
      <c r="DF426" s="712"/>
      <c r="DG426" s="712"/>
      <c r="DH426" s="712"/>
      <c r="DI426" s="712"/>
      <c r="DJ426" s="712"/>
      <c r="DK426" s="712"/>
      <c r="DL426" s="712"/>
      <c r="DM426" s="712"/>
      <c r="DN426" s="712"/>
      <c r="DO426" s="712"/>
      <c r="DP426" s="712"/>
      <c r="DQ426" s="712"/>
      <c r="DR426" s="712"/>
      <c r="DS426" s="712"/>
      <c r="DT426" s="712"/>
      <c r="DU426" s="712"/>
      <c r="DV426" s="712"/>
      <c r="DW426" s="712"/>
      <c r="DX426" s="712"/>
      <c r="DY426" s="712"/>
      <c r="DZ426" s="712"/>
      <c r="EA426" s="712"/>
      <c r="EB426" s="712"/>
      <c r="EC426" s="712"/>
      <c r="ED426" s="712"/>
      <c r="EE426" s="712"/>
      <c r="EF426" s="712"/>
      <c r="EG426" s="712"/>
      <c r="EH426" s="712"/>
      <c r="EI426" s="712"/>
      <c r="EJ426" s="712"/>
      <c r="EK426" s="712"/>
      <c r="EL426" s="712"/>
      <c r="EM426" s="712"/>
      <c r="EN426" s="712"/>
      <c r="EO426" s="712"/>
      <c r="EP426" s="712"/>
      <c r="EQ426" s="712"/>
      <c r="ER426" s="712"/>
      <c r="ES426" s="712"/>
      <c r="ET426" s="794"/>
      <c r="EU426" s="794"/>
      <c r="EV426" s="794"/>
      <c r="EW426" s="794"/>
      <c r="EX426" s="794"/>
      <c r="EY426" s="794"/>
      <c r="EZ426" s="794"/>
      <c r="FA426" s="712"/>
      <c r="FB426" s="712"/>
      <c r="FC426" s="712"/>
      <c r="FD426" s="712"/>
      <c r="FE426" s="712"/>
      <c r="FF426" s="712"/>
      <c r="FG426" s="712"/>
      <c r="FH426" s="712"/>
      <c r="FI426" s="712"/>
      <c r="FJ426" s="712"/>
      <c r="FK426" s="712"/>
      <c r="FL426" s="712"/>
      <c r="FM426" s="712"/>
      <c r="FN426" s="712"/>
      <c r="FO426" s="712"/>
      <c r="FP426" s="712"/>
      <c r="FQ426" s="712"/>
      <c r="FR426" s="712"/>
      <c r="FS426" s="712"/>
      <c r="FT426" s="712"/>
      <c r="FU426" s="712"/>
      <c r="FV426" s="712"/>
      <c r="FW426" s="712"/>
      <c r="FX426" s="712"/>
      <c r="FZ426" s="712"/>
      <c r="GA426" s="712"/>
      <c r="GB426" s="712"/>
      <c r="GC426" s="712"/>
      <c r="GD426" s="712"/>
      <c r="GE426" s="712"/>
      <c r="GF426" s="712"/>
      <c r="GG426" s="712"/>
      <c r="GH426" s="712"/>
      <c r="GI426" s="712"/>
      <c r="GJ426" s="712"/>
      <c r="GK426" s="712"/>
      <c r="GL426" s="712"/>
      <c r="GM426" s="712"/>
      <c r="GN426" s="712"/>
      <c r="GO426" s="712"/>
      <c r="GP426" s="712"/>
      <c r="GQ426" s="712"/>
      <c r="GR426" s="712"/>
      <c r="GS426" s="712"/>
      <c r="GT426" s="712"/>
      <c r="GU426" s="712"/>
      <c r="GV426" s="712"/>
      <c r="GW426" s="712"/>
      <c r="GX426" s="712"/>
      <c r="GY426" s="712"/>
      <c r="GZ426" s="712"/>
      <c r="HA426" s="712"/>
      <c r="HB426" s="712"/>
      <c r="HC426" s="712"/>
    </row>
    <row r="427" spans="1:211">
      <c r="A427" s="707"/>
      <c r="G427" s="712"/>
      <c r="H427" s="712"/>
      <c r="I427" s="712"/>
      <c r="J427" s="712"/>
      <c r="K427" s="712"/>
      <c r="L427" s="712"/>
      <c r="M427" s="712"/>
      <c r="N427" s="712"/>
      <c r="O427" s="712"/>
      <c r="P427" s="712"/>
      <c r="Q427" s="712"/>
      <c r="R427" s="712"/>
      <c r="S427" s="712"/>
      <c r="T427" s="712"/>
      <c r="U427" s="712"/>
      <c r="V427" s="712"/>
      <c r="W427" s="712"/>
      <c r="X427" s="712"/>
      <c r="Y427" s="712"/>
      <c r="Z427" s="712"/>
      <c r="AA427" s="712"/>
      <c r="AB427" s="712"/>
      <c r="AC427" s="712"/>
      <c r="AD427" s="712"/>
      <c r="AE427" s="712"/>
      <c r="AF427" s="712"/>
      <c r="AG427" s="712"/>
      <c r="AH427" s="712"/>
      <c r="AI427" s="712"/>
      <c r="AJ427" s="712"/>
      <c r="AK427" s="712"/>
      <c r="AL427" s="712"/>
      <c r="AM427" s="712"/>
      <c r="AN427" s="712"/>
      <c r="AO427" s="712"/>
      <c r="AP427" s="712"/>
      <c r="AQ427" s="712"/>
      <c r="AR427" s="712"/>
      <c r="AS427" s="712"/>
      <c r="AT427" s="712"/>
      <c r="AU427" s="712"/>
      <c r="AV427" s="712"/>
      <c r="AW427" s="712"/>
      <c r="AX427" s="712"/>
      <c r="AY427" s="712"/>
      <c r="AZ427" s="712"/>
      <c r="BA427" s="712"/>
      <c r="BB427" s="712"/>
      <c r="BC427" s="712"/>
      <c r="BD427" s="712"/>
      <c r="BE427" s="712"/>
      <c r="BF427" s="712"/>
      <c r="BG427" s="712"/>
      <c r="BH427" s="712"/>
      <c r="BI427" s="712"/>
      <c r="BJ427" s="712"/>
      <c r="BK427" s="712"/>
      <c r="BL427" s="712"/>
      <c r="BM427" s="712"/>
      <c r="BN427" s="712"/>
      <c r="BO427" s="712"/>
      <c r="BP427" s="712"/>
      <c r="BQ427" s="712"/>
      <c r="BR427" s="712"/>
      <c r="BS427" s="712"/>
      <c r="BT427" s="712"/>
      <c r="BU427" s="712"/>
      <c r="BV427" s="712"/>
      <c r="BW427" s="712"/>
      <c r="BX427" s="712"/>
      <c r="BY427" s="712"/>
      <c r="BZ427" s="712"/>
      <c r="CA427" s="712"/>
      <c r="CB427" s="712"/>
      <c r="CC427" s="712"/>
      <c r="CD427" s="712"/>
      <c r="CE427" s="712"/>
      <c r="CF427" s="712"/>
      <c r="CG427" s="712"/>
      <c r="CH427" s="712"/>
      <c r="CI427" s="712"/>
      <c r="CJ427" s="712"/>
      <c r="CK427" s="712"/>
      <c r="CL427" s="712"/>
      <c r="CM427" s="712"/>
      <c r="CN427" s="712"/>
      <c r="CO427" s="712"/>
      <c r="CP427" s="712"/>
      <c r="CQ427" s="712"/>
      <c r="CR427" s="712"/>
      <c r="CS427" s="712"/>
      <c r="CT427" s="712"/>
      <c r="CU427" s="712"/>
      <c r="CV427" s="712"/>
      <c r="CW427" s="712"/>
      <c r="CX427" s="712"/>
      <c r="CY427" s="712"/>
      <c r="CZ427" s="712"/>
      <c r="DA427" s="712"/>
      <c r="DB427" s="712"/>
      <c r="DC427" s="712"/>
      <c r="DD427" s="712"/>
      <c r="DE427" s="712"/>
      <c r="DF427" s="712"/>
      <c r="DG427" s="712"/>
      <c r="DH427" s="712"/>
      <c r="DI427" s="712"/>
      <c r="DJ427" s="712"/>
      <c r="DK427" s="712"/>
      <c r="DL427" s="712"/>
      <c r="DM427" s="712"/>
      <c r="DN427" s="712"/>
      <c r="DO427" s="712"/>
      <c r="DP427" s="712"/>
      <c r="DQ427" s="712"/>
      <c r="DR427" s="712"/>
      <c r="DS427" s="712"/>
      <c r="DT427" s="712"/>
      <c r="DU427" s="712"/>
      <c r="DV427" s="712"/>
      <c r="DW427" s="712"/>
      <c r="DX427" s="712"/>
      <c r="DY427" s="712"/>
      <c r="DZ427" s="712"/>
      <c r="EA427" s="712"/>
      <c r="EB427" s="712"/>
      <c r="EC427" s="712"/>
      <c r="ED427" s="712"/>
      <c r="EE427" s="712"/>
      <c r="EF427" s="712"/>
      <c r="EG427" s="712"/>
      <c r="EH427" s="712"/>
      <c r="EI427" s="712"/>
      <c r="EJ427" s="712"/>
      <c r="EK427" s="712"/>
      <c r="EL427" s="712"/>
      <c r="EM427" s="712"/>
      <c r="EN427" s="712"/>
      <c r="EO427" s="712"/>
      <c r="EP427" s="712"/>
      <c r="EQ427" s="712"/>
      <c r="ER427" s="712"/>
      <c r="ES427" s="712"/>
      <c r="ET427" s="794"/>
      <c r="EU427" s="794"/>
      <c r="EV427" s="794"/>
      <c r="EW427" s="794"/>
      <c r="EX427" s="794"/>
      <c r="EY427" s="794"/>
      <c r="EZ427" s="794"/>
      <c r="FA427" s="712"/>
      <c r="FB427" s="712"/>
      <c r="FC427" s="712"/>
      <c r="FD427" s="712"/>
      <c r="FE427" s="712"/>
      <c r="FF427" s="712"/>
      <c r="FG427" s="712"/>
      <c r="FH427" s="712"/>
      <c r="FI427" s="712"/>
      <c r="FJ427" s="712"/>
      <c r="FK427" s="712"/>
      <c r="FL427" s="712"/>
      <c r="FM427" s="712"/>
      <c r="FN427" s="712"/>
      <c r="FO427" s="712"/>
      <c r="FP427" s="712"/>
      <c r="FQ427" s="712"/>
      <c r="FR427" s="712"/>
      <c r="FS427" s="712"/>
      <c r="FT427" s="712"/>
      <c r="FU427" s="712"/>
      <c r="FV427" s="712"/>
      <c r="FW427" s="712"/>
      <c r="FX427" s="712"/>
      <c r="FZ427" s="712"/>
      <c r="GA427" s="712"/>
      <c r="GB427" s="712"/>
      <c r="GC427" s="712"/>
      <c r="GD427" s="712"/>
      <c r="GE427" s="712"/>
      <c r="GF427" s="712"/>
      <c r="GG427" s="712"/>
      <c r="GH427" s="712"/>
      <c r="GI427" s="712"/>
      <c r="GJ427" s="712"/>
      <c r="GK427" s="712"/>
      <c r="GL427" s="712"/>
      <c r="GM427" s="712"/>
      <c r="GN427" s="712"/>
      <c r="GO427" s="712"/>
      <c r="GP427" s="712"/>
      <c r="GQ427" s="712"/>
      <c r="GR427" s="712"/>
      <c r="GS427" s="712"/>
      <c r="GT427" s="712"/>
      <c r="GU427" s="712"/>
      <c r="GV427" s="712"/>
      <c r="GW427" s="712"/>
      <c r="GX427" s="712"/>
      <c r="GY427" s="712"/>
      <c r="GZ427" s="712"/>
      <c r="HA427" s="712"/>
      <c r="HB427" s="712"/>
      <c r="HC427" s="712"/>
    </row>
    <row r="428" spans="1:211">
      <c r="A428" s="707"/>
      <c r="G428" s="712"/>
      <c r="H428" s="712"/>
      <c r="I428" s="712"/>
      <c r="J428" s="712"/>
      <c r="K428" s="712"/>
      <c r="L428" s="712"/>
      <c r="M428" s="712"/>
      <c r="N428" s="712"/>
      <c r="O428" s="712"/>
      <c r="P428" s="712"/>
      <c r="Q428" s="712"/>
      <c r="R428" s="712"/>
      <c r="S428" s="712"/>
      <c r="T428" s="712"/>
      <c r="U428" s="712"/>
      <c r="V428" s="712"/>
      <c r="W428" s="712"/>
      <c r="X428" s="712"/>
      <c r="Y428" s="712"/>
      <c r="Z428" s="712"/>
      <c r="AA428" s="712"/>
      <c r="AB428" s="712"/>
      <c r="AC428" s="712"/>
      <c r="AD428" s="712"/>
      <c r="AE428" s="712"/>
      <c r="AF428" s="712"/>
      <c r="AG428" s="712"/>
      <c r="AH428" s="712"/>
      <c r="AI428" s="712"/>
      <c r="AJ428" s="712"/>
      <c r="AK428" s="712"/>
      <c r="AL428" s="712"/>
      <c r="AM428" s="712"/>
      <c r="AN428" s="712"/>
      <c r="AO428" s="712"/>
      <c r="AP428" s="712"/>
      <c r="AQ428" s="712"/>
      <c r="AR428" s="712"/>
      <c r="AS428" s="712"/>
      <c r="AT428" s="712"/>
      <c r="AU428" s="712"/>
      <c r="AV428" s="712"/>
      <c r="AW428" s="712"/>
      <c r="AX428" s="712"/>
      <c r="AY428" s="712"/>
      <c r="AZ428" s="712"/>
      <c r="BA428" s="712"/>
      <c r="BB428" s="712"/>
      <c r="BC428" s="712"/>
      <c r="BD428" s="712"/>
      <c r="BE428" s="712"/>
      <c r="BF428" s="712"/>
      <c r="BG428" s="712"/>
      <c r="BH428" s="712"/>
      <c r="BI428" s="712"/>
      <c r="BJ428" s="712"/>
      <c r="BK428" s="712"/>
      <c r="BL428" s="712"/>
      <c r="BM428" s="712"/>
      <c r="BN428" s="712"/>
      <c r="BO428" s="712"/>
      <c r="BP428" s="712"/>
      <c r="BQ428" s="712"/>
      <c r="BR428" s="712"/>
      <c r="BS428" s="712"/>
      <c r="BT428" s="712"/>
      <c r="BU428" s="712"/>
      <c r="BV428" s="712"/>
      <c r="BW428" s="712"/>
      <c r="BX428" s="712"/>
      <c r="BY428" s="712"/>
      <c r="BZ428" s="712"/>
      <c r="CA428" s="712"/>
      <c r="CB428" s="712"/>
      <c r="CC428" s="712"/>
      <c r="CD428" s="712"/>
      <c r="CE428" s="712"/>
      <c r="CF428" s="712"/>
      <c r="CG428" s="712"/>
      <c r="CH428" s="712"/>
      <c r="CI428" s="712"/>
      <c r="CJ428" s="712"/>
      <c r="CK428" s="712"/>
      <c r="CL428" s="712"/>
      <c r="CM428" s="712"/>
      <c r="CN428" s="712"/>
      <c r="CO428" s="712"/>
      <c r="CP428" s="712"/>
      <c r="CQ428" s="712"/>
      <c r="CR428" s="712"/>
      <c r="CS428" s="712"/>
      <c r="CT428" s="712"/>
      <c r="CU428" s="712"/>
      <c r="CV428" s="712"/>
      <c r="CW428" s="712"/>
      <c r="CX428" s="712"/>
      <c r="CY428" s="712"/>
      <c r="CZ428" s="712"/>
      <c r="DA428" s="712"/>
      <c r="DB428" s="712"/>
      <c r="DC428" s="712"/>
      <c r="DD428" s="712"/>
      <c r="DE428" s="712"/>
      <c r="DF428" s="712"/>
      <c r="DG428" s="712"/>
      <c r="DH428" s="712"/>
      <c r="DI428" s="712"/>
      <c r="DJ428" s="712"/>
      <c r="DK428" s="712"/>
      <c r="DL428" s="712"/>
      <c r="DM428" s="712"/>
      <c r="DN428" s="712"/>
      <c r="DO428" s="712"/>
      <c r="DP428" s="712"/>
      <c r="DQ428" s="712"/>
      <c r="DR428" s="712"/>
      <c r="DS428" s="712"/>
      <c r="DT428" s="712"/>
      <c r="DU428" s="712"/>
      <c r="DV428" s="712"/>
      <c r="DW428" s="712"/>
      <c r="DX428" s="712"/>
      <c r="DY428" s="712"/>
      <c r="DZ428" s="712"/>
      <c r="EA428" s="712"/>
      <c r="EB428" s="712"/>
      <c r="EC428" s="712"/>
      <c r="ED428" s="712"/>
      <c r="EE428" s="712"/>
      <c r="EF428" s="712"/>
      <c r="EG428" s="712"/>
      <c r="EH428" s="712"/>
      <c r="EI428" s="712"/>
      <c r="EJ428" s="712"/>
      <c r="EK428" s="712"/>
      <c r="EL428" s="712"/>
      <c r="EM428" s="712"/>
      <c r="EN428" s="712"/>
      <c r="EO428" s="712"/>
      <c r="EP428" s="712"/>
      <c r="EQ428" s="712"/>
      <c r="ER428" s="712"/>
      <c r="ES428" s="712"/>
      <c r="ET428" s="794"/>
      <c r="EU428" s="794"/>
      <c r="EV428" s="794"/>
      <c r="EW428" s="794"/>
      <c r="EX428" s="794"/>
      <c r="EY428" s="794"/>
      <c r="EZ428" s="794"/>
      <c r="FA428" s="712"/>
      <c r="FB428" s="712"/>
      <c r="FC428" s="712"/>
      <c r="FD428" s="712"/>
      <c r="FE428" s="712"/>
      <c r="FF428" s="712"/>
      <c r="FG428" s="712"/>
      <c r="FH428" s="712"/>
      <c r="FI428" s="712"/>
      <c r="FJ428" s="712"/>
      <c r="FK428" s="712"/>
      <c r="FL428" s="712"/>
      <c r="FM428" s="712"/>
      <c r="FN428" s="712"/>
      <c r="FO428" s="712"/>
      <c r="FP428" s="712"/>
      <c r="FQ428" s="712"/>
      <c r="FR428" s="712"/>
      <c r="FS428" s="712"/>
      <c r="FT428" s="712"/>
      <c r="FU428" s="712"/>
      <c r="FV428" s="712"/>
      <c r="FW428" s="712"/>
      <c r="FX428" s="712"/>
      <c r="FZ428" s="712"/>
      <c r="GA428" s="712"/>
      <c r="GB428" s="712"/>
      <c r="GC428" s="712"/>
      <c r="GD428" s="712"/>
      <c r="GE428" s="712"/>
      <c r="GF428" s="712"/>
      <c r="GG428" s="712"/>
      <c r="GH428" s="712"/>
      <c r="GI428" s="712"/>
      <c r="GJ428" s="712"/>
      <c r="GK428" s="712"/>
      <c r="GL428" s="712"/>
      <c r="GM428" s="712"/>
      <c r="GN428" s="712"/>
      <c r="GO428" s="712"/>
      <c r="GP428" s="712"/>
      <c r="GQ428" s="712"/>
      <c r="GR428" s="712"/>
      <c r="GS428" s="712"/>
      <c r="GT428" s="712"/>
      <c r="GU428" s="712"/>
      <c r="GV428" s="712"/>
      <c r="GW428" s="712"/>
      <c r="GX428" s="712"/>
      <c r="GY428" s="712"/>
      <c r="GZ428" s="712"/>
      <c r="HA428" s="712"/>
      <c r="HB428" s="712"/>
      <c r="HC428" s="712"/>
    </row>
    <row r="429" spans="1:211">
      <c r="A429" s="707"/>
      <c r="G429" s="712"/>
      <c r="H429" s="712"/>
      <c r="I429" s="712"/>
      <c r="J429" s="712"/>
      <c r="K429" s="712"/>
      <c r="L429" s="712"/>
      <c r="M429" s="712"/>
      <c r="N429" s="712"/>
      <c r="O429" s="712"/>
      <c r="P429" s="712"/>
      <c r="Q429" s="712"/>
      <c r="R429" s="712"/>
      <c r="S429" s="712"/>
      <c r="T429" s="712"/>
      <c r="U429" s="712"/>
      <c r="V429" s="712"/>
      <c r="W429" s="712"/>
      <c r="X429" s="712"/>
      <c r="Y429" s="712"/>
      <c r="Z429" s="712"/>
      <c r="AA429" s="712"/>
      <c r="AB429" s="712"/>
      <c r="AC429" s="712"/>
      <c r="AD429" s="712"/>
      <c r="AE429" s="712"/>
      <c r="AF429" s="712"/>
      <c r="AG429" s="712"/>
      <c r="AH429" s="712"/>
      <c r="AI429" s="712"/>
      <c r="AJ429" s="712"/>
      <c r="AK429" s="712"/>
      <c r="AL429" s="712"/>
      <c r="AM429" s="712"/>
      <c r="AN429" s="712"/>
      <c r="AO429" s="712"/>
      <c r="AP429" s="712"/>
      <c r="AQ429" s="712"/>
      <c r="AR429" s="712"/>
      <c r="AS429" s="712"/>
      <c r="AT429" s="712"/>
      <c r="AU429" s="712"/>
      <c r="AV429" s="712"/>
      <c r="AW429" s="712"/>
      <c r="AX429" s="712"/>
      <c r="AY429" s="712"/>
      <c r="AZ429" s="712"/>
      <c r="BA429" s="712"/>
      <c r="BB429" s="712"/>
      <c r="BC429" s="712"/>
      <c r="BD429" s="712"/>
      <c r="BE429" s="712"/>
      <c r="BF429" s="712"/>
      <c r="BG429" s="712"/>
      <c r="BH429" s="712"/>
      <c r="BI429" s="712"/>
      <c r="BJ429" s="712"/>
      <c r="BK429" s="712"/>
      <c r="BL429" s="712"/>
      <c r="BM429" s="712"/>
      <c r="BN429" s="712"/>
      <c r="BO429" s="712"/>
      <c r="BP429" s="712"/>
      <c r="BQ429" s="712"/>
      <c r="BR429" s="712"/>
      <c r="BS429" s="712"/>
      <c r="BT429" s="712"/>
      <c r="BU429" s="712"/>
      <c r="BV429" s="712"/>
      <c r="BW429" s="712"/>
      <c r="BX429" s="712"/>
      <c r="BY429" s="712"/>
      <c r="BZ429" s="712"/>
      <c r="CA429" s="712"/>
      <c r="CB429" s="712"/>
      <c r="CC429" s="712"/>
      <c r="CD429" s="712"/>
      <c r="CE429" s="712"/>
      <c r="CF429" s="712"/>
      <c r="CG429" s="712"/>
      <c r="CH429" s="712"/>
      <c r="CI429" s="712"/>
      <c r="CJ429" s="712"/>
      <c r="CK429" s="712"/>
      <c r="CL429" s="712"/>
      <c r="CM429" s="712"/>
      <c r="CN429" s="712"/>
      <c r="CO429" s="712"/>
      <c r="CP429" s="712"/>
      <c r="CQ429" s="712"/>
      <c r="CR429" s="712"/>
      <c r="CS429" s="712"/>
      <c r="CT429" s="712"/>
      <c r="CU429" s="712"/>
      <c r="CV429" s="712"/>
      <c r="CW429" s="712"/>
      <c r="CX429" s="712"/>
      <c r="CY429" s="712"/>
      <c r="CZ429" s="712"/>
      <c r="DA429" s="712"/>
      <c r="DB429" s="712"/>
      <c r="DC429" s="712"/>
      <c r="DD429" s="712"/>
      <c r="DE429" s="712"/>
      <c r="DF429" s="712"/>
      <c r="DG429" s="712"/>
      <c r="DH429" s="712"/>
      <c r="DI429" s="712"/>
      <c r="DJ429" s="712"/>
      <c r="DK429" s="712"/>
      <c r="DL429" s="712"/>
      <c r="DM429" s="712"/>
      <c r="DN429" s="712"/>
      <c r="DO429" s="712"/>
      <c r="DP429" s="712"/>
      <c r="DQ429" s="712"/>
      <c r="DR429" s="712"/>
      <c r="DS429" s="712"/>
      <c r="DT429" s="712"/>
      <c r="DU429" s="712"/>
      <c r="DV429" s="712"/>
      <c r="DW429" s="712"/>
      <c r="DX429" s="712"/>
      <c r="DY429" s="712"/>
      <c r="DZ429" s="712"/>
      <c r="EA429" s="712"/>
      <c r="EB429" s="712"/>
      <c r="EC429" s="712"/>
      <c r="ED429" s="712"/>
      <c r="EE429" s="712"/>
      <c r="EF429" s="712"/>
      <c r="EG429" s="712"/>
      <c r="EH429" s="712"/>
      <c r="EI429" s="712"/>
      <c r="EJ429" s="712"/>
      <c r="EK429" s="712"/>
      <c r="EL429" s="712"/>
      <c r="EM429" s="712"/>
      <c r="EN429" s="712"/>
      <c r="EO429" s="712"/>
      <c r="EP429" s="712"/>
      <c r="EQ429" s="712"/>
      <c r="ER429" s="712"/>
      <c r="ES429" s="712"/>
      <c r="ET429" s="794"/>
      <c r="EU429" s="794"/>
      <c r="EV429" s="794"/>
      <c r="EW429" s="794"/>
      <c r="EX429" s="794"/>
      <c r="EY429" s="794"/>
      <c r="EZ429" s="794"/>
      <c r="FA429" s="712"/>
      <c r="FB429" s="712"/>
      <c r="FC429" s="712"/>
      <c r="FD429" s="712"/>
      <c r="FE429" s="712"/>
      <c r="FF429" s="712"/>
      <c r="FG429" s="712"/>
      <c r="FH429" s="712"/>
      <c r="FI429" s="712"/>
      <c r="FJ429" s="712"/>
      <c r="FK429" s="712"/>
      <c r="FL429" s="712"/>
      <c r="FM429" s="712"/>
      <c r="FN429" s="712"/>
      <c r="FO429" s="712"/>
      <c r="FP429" s="712"/>
      <c r="FQ429" s="712"/>
      <c r="FR429" s="712"/>
      <c r="FS429" s="712"/>
      <c r="FT429" s="712"/>
      <c r="FU429" s="712"/>
      <c r="FV429" s="712"/>
      <c r="FW429" s="712"/>
      <c r="FX429" s="712"/>
      <c r="FZ429" s="712"/>
      <c r="GA429" s="712"/>
      <c r="GB429" s="712"/>
      <c r="GC429" s="712"/>
      <c r="GD429" s="712"/>
      <c r="GE429" s="712"/>
      <c r="GF429" s="712"/>
      <c r="GG429" s="712"/>
      <c r="GH429" s="712"/>
      <c r="GI429" s="712"/>
      <c r="GJ429" s="712"/>
      <c r="GK429" s="712"/>
      <c r="GL429" s="712"/>
      <c r="GM429" s="712"/>
      <c r="GN429" s="712"/>
      <c r="GO429" s="712"/>
      <c r="GP429" s="712"/>
      <c r="GQ429" s="712"/>
      <c r="GR429" s="712"/>
      <c r="GS429" s="712"/>
      <c r="GT429" s="712"/>
      <c r="GU429" s="712"/>
      <c r="GV429" s="712"/>
      <c r="GW429" s="712"/>
      <c r="GX429" s="712"/>
      <c r="GY429" s="712"/>
      <c r="GZ429" s="712"/>
      <c r="HA429" s="712"/>
      <c r="HB429" s="712"/>
      <c r="HC429" s="712"/>
    </row>
    <row r="430" spans="1:211">
      <c r="A430" s="707"/>
      <c r="G430" s="712"/>
      <c r="H430" s="712"/>
      <c r="I430" s="712"/>
      <c r="J430" s="712"/>
      <c r="K430" s="712"/>
      <c r="L430" s="712"/>
      <c r="M430" s="712"/>
      <c r="N430" s="712"/>
      <c r="O430" s="712"/>
      <c r="P430" s="712"/>
      <c r="Q430" s="712"/>
      <c r="R430" s="712"/>
      <c r="S430" s="712"/>
      <c r="T430" s="712"/>
      <c r="U430" s="712"/>
      <c r="V430" s="712"/>
      <c r="W430" s="712"/>
      <c r="X430" s="712"/>
      <c r="Y430" s="712"/>
      <c r="Z430" s="712"/>
      <c r="AA430" s="712"/>
      <c r="AB430" s="712"/>
      <c r="AC430" s="712"/>
      <c r="AD430" s="712"/>
      <c r="AE430" s="712"/>
      <c r="AF430" s="712"/>
      <c r="AG430" s="712"/>
      <c r="AH430" s="712"/>
      <c r="AI430" s="712"/>
      <c r="AJ430" s="712"/>
      <c r="AK430" s="712"/>
      <c r="AL430" s="712"/>
      <c r="AM430" s="712"/>
      <c r="AN430" s="712"/>
      <c r="AO430" s="712"/>
      <c r="AP430" s="712"/>
      <c r="AQ430" s="712"/>
      <c r="AR430" s="712"/>
      <c r="AS430" s="712"/>
      <c r="AT430" s="712"/>
      <c r="AU430" s="712"/>
      <c r="AV430" s="712"/>
      <c r="AW430" s="712"/>
      <c r="AX430" s="712"/>
      <c r="AY430" s="712"/>
      <c r="AZ430" s="712"/>
      <c r="BA430" s="712"/>
      <c r="BB430" s="712"/>
      <c r="BC430" s="712"/>
      <c r="BD430" s="712"/>
      <c r="BE430" s="712"/>
      <c r="BF430" s="712"/>
      <c r="BG430" s="712"/>
      <c r="BH430" s="712"/>
      <c r="BI430" s="712"/>
      <c r="BJ430" s="712"/>
      <c r="BK430" s="712"/>
      <c r="BL430" s="712"/>
      <c r="BM430" s="712"/>
      <c r="BN430" s="712"/>
      <c r="BO430" s="712"/>
      <c r="BP430" s="712"/>
      <c r="BQ430" s="712"/>
      <c r="BR430" s="712"/>
      <c r="BS430" s="712"/>
      <c r="BT430" s="712"/>
      <c r="BU430" s="712"/>
      <c r="BV430" s="712"/>
      <c r="BW430" s="712"/>
      <c r="BX430" s="712"/>
      <c r="BY430" s="712"/>
      <c r="BZ430" s="712"/>
      <c r="CA430" s="712"/>
      <c r="CB430" s="712"/>
      <c r="CC430" s="712"/>
      <c r="CD430" s="712"/>
      <c r="CE430" s="712"/>
      <c r="CF430" s="712"/>
      <c r="CG430" s="712"/>
      <c r="CH430" s="712"/>
      <c r="CI430" s="712"/>
      <c r="CJ430" s="712"/>
      <c r="CK430" s="712"/>
      <c r="CL430" s="712"/>
      <c r="CM430" s="712"/>
      <c r="CN430" s="712"/>
      <c r="CO430" s="712"/>
      <c r="CP430" s="712"/>
      <c r="CQ430" s="712"/>
      <c r="CR430" s="712"/>
      <c r="CS430" s="712"/>
      <c r="CT430" s="712"/>
      <c r="CU430" s="712"/>
      <c r="CV430" s="712"/>
      <c r="CW430" s="712"/>
      <c r="CX430" s="712"/>
      <c r="CY430" s="712"/>
      <c r="CZ430" s="712"/>
      <c r="DA430" s="712"/>
      <c r="DB430" s="712"/>
      <c r="DC430" s="712"/>
      <c r="DD430" s="712"/>
      <c r="DE430" s="712"/>
      <c r="DF430" s="712"/>
      <c r="DG430" s="712"/>
      <c r="DH430" s="712"/>
      <c r="DI430" s="712"/>
      <c r="DJ430" s="712"/>
      <c r="DK430" s="712"/>
      <c r="DL430" s="712"/>
      <c r="DM430" s="712"/>
      <c r="DN430" s="712"/>
      <c r="DO430" s="712"/>
      <c r="DP430" s="712"/>
      <c r="DQ430" s="712"/>
      <c r="DR430" s="712"/>
      <c r="DS430" s="712"/>
      <c r="DT430" s="712"/>
      <c r="DU430" s="712"/>
      <c r="DV430" s="712"/>
      <c r="DW430" s="712"/>
      <c r="DX430" s="712"/>
      <c r="DY430" s="712"/>
      <c r="DZ430" s="712"/>
      <c r="EA430" s="712"/>
      <c r="EB430" s="712"/>
      <c r="EC430" s="712"/>
      <c r="ED430" s="712"/>
      <c r="EE430" s="712"/>
      <c r="EF430" s="712"/>
      <c r="EG430" s="712"/>
      <c r="EH430" s="712"/>
      <c r="EI430" s="712"/>
      <c r="EJ430" s="712"/>
      <c r="EK430" s="712"/>
      <c r="EL430" s="712"/>
      <c r="EM430" s="712"/>
      <c r="EN430" s="712"/>
      <c r="EO430" s="712"/>
      <c r="EP430" s="712"/>
      <c r="EQ430" s="712"/>
      <c r="ER430" s="712"/>
      <c r="ES430" s="712"/>
      <c r="ET430" s="794"/>
      <c r="EU430" s="794"/>
      <c r="EV430" s="794"/>
      <c r="EW430" s="794"/>
      <c r="EX430" s="794"/>
      <c r="EY430" s="794"/>
      <c r="EZ430" s="794"/>
      <c r="FA430" s="712"/>
      <c r="FB430" s="712"/>
      <c r="FC430" s="712"/>
      <c r="FD430" s="712"/>
      <c r="FE430" s="712"/>
      <c r="FF430" s="712"/>
      <c r="FG430" s="712"/>
      <c r="FH430" s="712"/>
      <c r="FI430" s="712"/>
      <c r="FJ430" s="712"/>
      <c r="FK430" s="712"/>
      <c r="FL430" s="712"/>
      <c r="FM430" s="712"/>
      <c r="FN430" s="712"/>
      <c r="FO430" s="712"/>
      <c r="FP430" s="712"/>
      <c r="FQ430" s="712"/>
      <c r="FR430" s="712"/>
      <c r="FS430" s="712"/>
      <c r="FT430" s="712"/>
      <c r="FU430" s="712"/>
      <c r="FV430" s="712"/>
      <c r="FW430" s="712"/>
      <c r="FX430" s="712"/>
      <c r="FZ430" s="712"/>
      <c r="GA430" s="712"/>
      <c r="GB430" s="712"/>
      <c r="GC430" s="712"/>
      <c r="GD430" s="712"/>
      <c r="GE430" s="712"/>
      <c r="GF430" s="712"/>
      <c r="GG430" s="712"/>
      <c r="GH430" s="712"/>
      <c r="GI430" s="712"/>
      <c r="GJ430" s="712"/>
      <c r="GK430" s="712"/>
      <c r="GL430" s="712"/>
      <c r="GM430" s="712"/>
      <c r="GN430" s="712"/>
      <c r="GO430" s="712"/>
      <c r="GP430" s="712"/>
      <c r="GQ430" s="712"/>
      <c r="GR430" s="712"/>
      <c r="GS430" s="712"/>
      <c r="GT430" s="712"/>
      <c r="GU430" s="712"/>
      <c r="GV430" s="712"/>
      <c r="GW430" s="712"/>
      <c r="GX430" s="712"/>
      <c r="GY430" s="712"/>
      <c r="GZ430" s="712"/>
      <c r="HA430" s="712"/>
      <c r="HB430" s="712"/>
      <c r="HC430" s="712"/>
    </row>
    <row r="431" spans="1:211">
      <c r="A431" s="707"/>
      <c r="G431" s="712"/>
      <c r="H431" s="712"/>
      <c r="I431" s="712"/>
      <c r="J431" s="712"/>
      <c r="K431" s="712"/>
      <c r="L431" s="712"/>
      <c r="M431" s="712"/>
      <c r="N431" s="712"/>
      <c r="O431" s="712"/>
      <c r="P431" s="712"/>
      <c r="Q431" s="712"/>
      <c r="R431" s="712"/>
      <c r="S431" s="712"/>
      <c r="T431" s="712"/>
      <c r="U431" s="712"/>
      <c r="V431" s="712"/>
      <c r="W431" s="712"/>
      <c r="X431" s="712"/>
      <c r="Y431" s="712"/>
      <c r="Z431" s="712"/>
      <c r="AA431" s="712"/>
      <c r="AB431" s="712"/>
      <c r="AC431" s="712"/>
      <c r="AD431" s="712"/>
      <c r="AE431" s="712"/>
      <c r="AF431" s="712"/>
      <c r="AG431" s="712"/>
      <c r="AH431" s="712"/>
      <c r="AI431" s="712"/>
      <c r="AJ431" s="712"/>
      <c r="AK431" s="712"/>
      <c r="AL431" s="712"/>
      <c r="AM431" s="712"/>
      <c r="AN431" s="712"/>
      <c r="AO431" s="712"/>
      <c r="AP431" s="712"/>
      <c r="AQ431" s="712"/>
      <c r="AR431" s="712"/>
      <c r="AS431" s="712"/>
      <c r="AT431" s="712"/>
      <c r="AU431" s="712"/>
      <c r="AV431" s="712"/>
      <c r="AW431" s="712"/>
      <c r="AX431" s="712"/>
      <c r="AY431" s="712"/>
      <c r="AZ431" s="712"/>
      <c r="BA431" s="712"/>
      <c r="BB431" s="712"/>
      <c r="BC431" s="712"/>
      <c r="BD431" s="712"/>
      <c r="BE431" s="712"/>
      <c r="BF431" s="712"/>
      <c r="BG431" s="712"/>
      <c r="BH431" s="712"/>
      <c r="BI431" s="712"/>
      <c r="BJ431" s="712"/>
      <c r="BK431" s="712"/>
      <c r="BL431" s="712"/>
      <c r="BM431" s="712"/>
      <c r="BN431" s="712"/>
      <c r="BO431" s="712"/>
      <c r="BP431" s="712"/>
      <c r="BQ431" s="712"/>
      <c r="BR431" s="712"/>
      <c r="BS431" s="712"/>
      <c r="BT431" s="712"/>
      <c r="BU431" s="712"/>
      <c r="BV431" s="712"/>
      <c r="BW431" s="712"/>
      <c r="BX431" s="712"/>
      <c r="BY431" s="712"/>
      <c r="BZ431" s="712"/>
      <c r="CA431" s="712"/>
      <c r="CB431" s="712"/>
      <c r="CC431" s="712"/>
      <c r="CD431" s="712"/>
      <c r="CE431" s="712"/>
      <c r="CF431" s="712"/>
      <c r="CG431" s="712"/>
      <c r="CH431" s="712"/>
      <c r="CI431" s="712"/>
      <c r="CJ431" s="712"/>
      <c r="CK431" s="712"/>
      <c r="CL431" s="712"/>
      <c r="CM431" s="712"/>
      <c r="CN431" s="712"/>
      <c r="CO431" s="712"/>
      <c r="CP431" s="712"/>
      <c r="CQ431" s="712"/>
      <c r="CR431" s="712"/>
      <c r="CS431" s="712"/>
      <c r="CT431" s="712"/>
      <c r="CU431" s="712"/>
      <c r="CV431" s="712"/>
      <c r="CW431" s="712"/>
      <c r="CX431" s="712"/>
      <c r="CY431" s="712"/>
      <c r="CZ431" s="712"/>
      <c r="DA431" s="712"/>
      <c r="DB431" s="712"/>
      <c r="DC431" s="712"/>
      <c r="DD431" s="712"/>
      <c r="DE431" s="712"/>
      <c r="DF431" s="712"/>
      <c r="DG431" s="712"/>
      <c r="DH431" s="712"/>
      <c r="DI431" s="712"/>
      <c r="DJ431" s="712"/>
      <c r="DK431" s="712"/>
      <c r="DL431" s="712"/>
      <c r="DM431" s="712"/>
      <c r="DN431" s="712"/>
      <c r="DO431" s="712"/>
      <c r="DP431" s="712"/>
      <c r="DQ431" s="712"/>
      <c r="DR431" s="712"/>
      <c r="DS431" s="712"/>
      <c r="DT431" s="712"/>
      <c r="DU431" s="712"/>
      <c r="DV431" s="712"/>
      <c r="DW431" s="712"/>
      <c r="DX431" s="712"/>
      <c r="DY431" s="712"/>
      <c r="DZ431" s="712"/>
      <c r="EA431" s="712"/>
      <c r="EB431" s="712"/>
      <c r="EC431" s="712"/>
      <c r="ED431" s="712"/>
      <c r="EE431" s="712"/>
      <c r="EF431" s="712"/>
      <c r="EG431" s="712"/>
      <c r="EH431" s="712"/>
      <c r="EI431" s="712"/>
      <c r="EJ431" s="712"/>
      <c r="EK431" s="712"/>
      <c r="EL431" s="712"/>
      <c r="EM431" s="712"/>
      <c r="EN431" s="712"/>
      <c r="EO431" s="712"/>
      <c r="EP431" s="712"/>
      <c r="EQ431" s="712"/>
      <c r="ER431" s="712"/>
      <c r="ES431" s="712"/>
      <c r="ET431" s="794"/>
      <c r="EU431" s="794"/>
      <c r="EV431" s="794"/>
      <c r="EW431" s="794"/>
      <c r="EX431" s="794"/>
      <c r="EY431" s="794"/>
      <c r="EZ431" s="794"/>
      <c r="FA431" s="712"/>
      <c r="FB431" s="712"/>
      <c r="FC431" s="712"/>
      <c r="FD431" s="712"/>
      <c r="FE431" s="712"/>
      <c r="FF431" s="712"/>
      <c r="FG431" s="712"/>
      <c r="FH431" s="712"/>
      <c r="FI431" s="712"/>
      <c r="FJ431" s="712"/>
      <c r="FK431" s="712"/>
      <c r="FL431" s="712"/>
      <c r="FM431" s="712"/>
      <c r="FN431" s="712"/>
      <c r="FO431" s="712"/>
      <c r="FP431" s="712"/>
      <c r="FQ431" s="712"/>
      <c r="FR431" s="712"/>
      <c r="FS431" s="712"/>
      <c r="FT431" s="712"/>
      <c r="FU431" s="712"/>
      <c r="FV431" s="712"/>
      <c r="FW431" s="712"/>
      <c r="FX431" s="712"/>
      <c r="FZ431" s="712"/>
      <c r="GA431" s="712"/>
      <c r="GB431" s="712"/>
      <c r="GC431" s="712"/>
      <c r="GD431" s="712"/>
      <c r="GE431" s="712"/>
      <c r="GF431" s="712"/>
      <c r="GG431" s="712"/>
      <c r="GH431" s="712"/>
      <c r="GI431" s="712"/>
      <c r="GJ431" s="712"/>
      <c r="GK431" s="712"/>
      <c r="GL431" s="712"/>
      <c r="GM431" s="712"/>
      <c r="GN431" s="712"/>
      <c r="GO431" s="712"/>
      <c r="GP431" s="712"/>
      <c r="GQ431" s="712"/>
      <c r="GR431" s="712"/>
      <c r="GS431" s="712"/>
      <c r="GT431" s="712"/>
      <c r="GU431" s="712"/>
      <c r="GV431" s="712"/>
      <c r="GW431" s="712"/>
      <c r="GX431" s="712"/>
      <c r="GY431" s="712"/>
      <c r="GZ431" s="712"/>
      <c r="HA431" s="712"/>
      <c r="HB431" s="712"/>
      <c r="HC431" s="712"/>
    </row>
    <row r="432" spans="1:211">
      <c r="A432" s="707"/>
      <c r="G432" s="712"/>
      <c r="H432" s="712"/>
      <c r="I432" s="712"/>
      <c r="J432" s="712"/>
      <c r="K432" s="712"/>
      <c r="L432" s="712"/>
      <c r="M432" s="712"/>
      <c r="N432" s="712"/>
      <c r="O432" s="712"/>
      <c r="P432" s="712"/>
      <c r="Q432" s="712"/>
      <c r="R432" s="712"/>
      <c r="S432" s="712"/>
      <c r="T432" s="712"/>
      <c r="U432" s="712"/>
      <c r="V432" s="712"/>
      <c r="W432" s="712"/>
      <c r="X432" s="712"/>
      <c r="Y432" s="712"/>
      <c r="Z432" s="712"/>
      <c r="AA432" s="712"/>
      <c r="AB432" s="712"/>
      <c r="AC432" s="712"/>
      <c r="AD432" s="712"/>
      <c r="AE432" s="712"/>
      <c r="AF432" s="712"/>
      <c r="AG432" s="712"/>
      <c r="AH432" s="712"/>
      <c r="AI432" s="712"/>
      <c r="AJ432" s="712"/>
      <c r="AK432" s="712"/>
      <c r="AL432" s="712"/>
      <c r="AM432" s="712"/>
      <c r="AN432" s="712"/>
      <c r="AO432" s="712"/>
      <c r="AP432" s="712"/>
      <c r="AQ432" s="712"/>
      <c r="AR432" s="712"/>
      <c r="AS432" s="712"/>
      <c r="AT432" s="712"/>
      <c r="AU432" s="712"/>
      <c r="AV432" s="712"/>
      <c r="AW432" s="712"/>
      <c r="AX432" s="712"/>
      <c r="AY432" s="712"/>
      <c r="AZ432" s="712"/>
      <c r="BA432" s="712"/>
      <c r="BB432" s="712"/>
      <c r="BC432" s="712"/>
      <c r="BD432" s="712"/>
      <c r="BE432" s="712"/>
      <c r="BF432" s="712"/>
      <c r="BG432" s="712"/>
      <c r="BH432" s="712"/>
      <c r="BI432" s="712"/>
      <c r="BJ432" s="712"/>
      <c r="BK432" s="712"/>
      <c r="BL432" s="712"/>
      <c r="BM432" s="712"/>
      <c r="BN432" s="712"/>
      <c r="BO432" s="712"/>
      <c r="BP432" s="712"/>
      <c r="BQ432" s="712"/>
      <c r="BR432" s="712"/>
      <c r="BS432" s="712"/>
      <c r="BT432" s="712"/>
      <c r="BU432" s="712"/>
      <c r="BV432" s="712"/>
      <c r="BW432" s="712"/>
      <c r="BX432" s="712"/>
      <c r="BY432" s="712"/>
      <c r="BZ432" s="712"/>
      <c r="CA432" s="712"/>
      <c r="CB432" s="712"/>
      <c r="CC432" s="712"/>
      <c r="CD432" s="712"/>
      <c r="CE432" s="712"/>
      <c r="CF432" s="712"/>
      <c r="CG432" s="712"/>
      <c r="CH432" s="712"/>
      <c r="CI432" s="712"/>
      <c r="CJ432" s="712"/>
      <c r="CK432" s="712"/>
      <c r="CL432" s="712"/>
      <c r="CM432" s="712"/>
      <c r="CN432" s="712"/>
      <c r="CO432" s="712"/>
      <c r="CP432" s="712"/>
      <c r="CQ432" s="712"/>
      <c r="CR432" s="712"/>
      <c r="CS432" s="712"/>
      <c r="CT432" s="712"/>
      <c r="CU432" s="712"/>
      <c r="CV432" s="712"/>
      <c r="CW432" s="712"/>
      <c r="CX432" s="712"/>
      <c r="CY432" s="712"/>
      <c r="CZ432" s="712"/>
      <c r="DA432" s="712"/>
      <c r="DB432" s="712"/>
      <c r="DC432" s="712"/>
      <c r="DD432" s="712"/>
      <c r="DE432" s="712"/>
      <c r="DF432" s="712"/>
      <c r="DG432" s="712"/>
      <c r="DH432" s="712"/>
      <c r="DI432" s="712"/>
      <c r="DJ432" s="712"/>
      <c r="DK432" s="712"/>
      <c r="DL432" s="712"/>
      <c r="DM432" s="712"/>
      <c r="DN432" s="712"/>
      <c r="DO432" s="712"/>
      <c r="DP432" s="712"/>
      <c r="DQ432" s="712"/>
      <c r="DR432" s="712"/>
      <c r="DS432" s="712"/>
      <c r="DT432" s="712"/>
      <c r="DU432" s="712"/>
      <c r="DV432" s="712"/>
      <c r="DW432" s="712"/>
      <c r="DX432" s="712"/>
      <c r="DY432" s="712"/>
      <c r="DZ432" s="712"/>
      <c r="EA432" s="712"/>
      <c r="EB432" s="712"/>
      <c r="EC432" s="712"/>
      <c r="ED432" s="712"/>
      <c r="EE432" s="712"/>
      <c r="EF432" s="712"/>
      <c r="EG432" s="712"/>
      <c r="EH432" s="712"/>
      <c r="EI432" s="712"/>
      <c r="EJ432" s="712"/>
      <c r="EK432" s="712"/>
      <c r="EL432" s="712"/>
      <c r="EM432" s="712"/>
      <c r="EN432" s="712"/>
      <c r="EO432" s="712"/>
      <c r="EP432" s="712"/>
      <c r="EQ432" s="712"/>
      <c r="ER432" s="712"/>
      <c r="ES432" s="712"/>
      <c r="ET432" s="794"/>
      <c r="EU432" s="794"/>
      <c r="EV432" s="794"/>
      <c r="EW432" s="794"/>
      <c r="EX432" s="794"/>
      <c r="EY432" s="794"/>
      <c r="EZ432" s="794"/>
      <c r="FA432" s="712"/>
      <c r="FB432" s="712"/>
      <c r="FC432" s="712"/>
      <c r="FD432" s="712"/>
      <c r="FE432" s="712"/>
      <c r="FF432" s="712"/>
      <c r="FG432" s="712"/>
      <c r="FH432" s="712"/>
      <c r="FI432" s="712"/>
      <c r="FJ432" s="712"/>
      <c r="FK432" s="712"/>
      <c r="FL432" s="712"/>
      <c r="FM432" s="712"/>
      <c r="FN432" s="712"/>
      <c r="FO432" s="712"/>
      <c r="FP432" s="712"/>
      <c r="FQ432" s="712"/>
      <c r="FR432" s="712"/>
      <c r="FS432" s="712"/>
      <c r="FT432" s="712"/>
      <c r="FU432" s="712"/>
      <c r="FV432" s="712"/>
      <c r="FW432" s="712"/>
      <c r="FX432" s="712"/>
      <c r="FZ432" s="712"/>
      <c r="GA432" s="712"/>
      <c r="GB432" s="712"/>
      <c r="GC432" s="712"/>
      <c r="GD432" s="712"/>
      <c r="GE432" s="712"/>
      <c r="GF432" s="712"/>
      <c r="GG432" s="712"/>
      <c r="GH432" s="712"/>
      <c r="GI432" s="712"/>
      <c r="GJ432" s="712"/>
      <c r="GK432" s="712"/>
      <c r="GL432" s="712"/>
      <c r="GM432" s="712"/>
      <c r="GN432" s="712"/>
      <c r="GO432" s="712"/>
      <c r="GP432" s="712"/>
      <c r="GQ432" s="712"/>
      <c r="GR432" s="712"/>
      <c r="GS432" s="712"/>
      <c r="GT432" s="712"/>
      <c r="GU432" s="712"/>
      <c r="GV432" s="712"/>
      <c r="GW432" s="712"/>
      <c r="GX432" s="712"/>
      <c r="GY432" s="712"/>
      <c r="GZ432" s="712"/>
      <c r="HA432" s="712"/>
      <c r="HB432" s="712"/>
      <c r="HC432" s="712"/>
    </row>
    <row r="433" spans="1:211">
      <c r="A433" s="707"/>
      <c r="G433" s="712"/>
      <c r="H433" s="712"/>
      <c r="I433" s="712"/>
      <c r="J433" s="712"/>
      <c r="K433" s="712"/>
      <c r="L433" s="712"/>
      <c r="M433" s="712"/>
      <c r="N433" s="712"/>
      <c r="O433" s="712"/>
      <c r="P433" s="712"/>
      <c r="Q433" s="712"/>
      <c r="R433" s="712"/>
      <c r="S433" s="712"/>
      <c r="T433" s="712"/>
      <c r="U433" s="712"/>
      <c r="V433" s="712"/>
      <c r="W433" s="712"/>
      <c r="X433" s="712"/>
      <c r="Y433" s="712"/>
      <c r="Z433" s="712"/>
      <c r="AA433" s="712"/>
      <c r="AB433" s="712"/>
      <c r="AC433" s="712"/>
      <c r="AD433" s="712"/>
      <c r="AE433" s="712"/>
      <c r="AF433" s="712"/>
      <c r="AG433" s="712"/>
      <c r="AH433" s="712"/>
      <c r="AI433" s="712"/>
      <c r="AJ433" s="712"/>
      <c r="AK433" s="712"/>
      <c r="AL433" s="712"/>
      <c r="AM433" s="712"/>
      <c r="AN433" s="712"/>
      <c r="AO433" s="712"/>
      <c r="AP433" s="712"/>
      <c r="AQ433" s="712"/>
      <c r="AR433" s="712"/>
      <c r="AS433" s="712"/>
      <c r="AT433" s="712"/>
      <c r="AU433" s="712"/>
      <c r="AV433" s="712"/>
      <c r="AW433" s="712"/>
      <c r="AX433" s="712"/>
      <c r="AY433" s="712"/>
      <c r="AZ433" s="712"/>
      <c r="BA433" s="712"/>
      <c r="BB433" s="712"/>
      <c r="BC433" s="712"/>
      <c r="BD433" s="712"/>
      <c r="BE433" s="712"/>
      <c r="BF433" s="712"/>
      <c r="BG433" s="712"/>
      <c r="BH433" s="712"/>
      <c r="BI433" s="712"/>
      <c r="BJ433" s="712"/>
      <c r="BK433" s="712"/>
      <c r="BL433" s="712"/>
      <c r="BM433" s="712"/>
      <c r="BN433" s="712"/>
      <c r="BO433" s="712"/>
      <c r="BP433" s="712"/>
      <c r="BQ433" s="712"/>
      <c r="BR433" s="712"/>
      <c r="BS433" s="712"/>
      <c r="BT433" s="712"/>
      <c r="BU433" s="712"/>
      <c r="BV433" s="712"/>
      <c r="BW433" s="712"/>
      <c r="BX433" s="712"/>
      <c r="BY433" s="712"/>
      <c r="BZ433" s="712"/>
      <c r="CA433" s="712"/>
      <c r="CB433" s="712"/>
      <c r="CC433" s="712"/>
      <c r="CD433" s="712"/>
      <c r="CE433" s="712"/>
      <c r="CF433" s="712"/>
      <c r="CG433" s="712"/>
      <c r="CH433" s="712"/>
      <c r="CI433" s="712"/>
      <c r="CJ433" s="712"/>
      <c r="CK433" s="712"/>
      <c r="CL433" s="712"/>
      <c r="CM433" s="712"/>
      <c r="CN433" s="712"/>
      <c r="CO433" s="712"/>
      <c r="CP433" s="712"/>
      <c r="CQ433" s="712"/>
      <c r="CR433" s="712"/>
      <c r="CS433" s="712"/>
      <c r="CT433" s="712"/>
      <c r="CU433" s="712"/>
      <c r="CV433" s="712"/>
      <c r="CW433" s="712"/>
      <c r="CX433" s="712"/>
      <c r="CY433" s="712"/>
      <c r="CZ433" s="712"/>
      <c r="DA433" s="712"/>
      <c r="DB433" s="712"/>
      <c r="DC433" s="712"/>
      <c r="DD433" s="712"/>
      <c r="DE433" s="712"/>
      <c r="DF433" s="712"/>
      <c r="DG433" s="712"/>
      <c r="DH433" s="712"/>
      <c r="DI433" s="712"/>
      <c r="DJ433" s="712"/>
      <c r="DK433" s="712"/>
      <c r="DL433" s="712"/>
      <c r="DM433" s="712"/>
      <c r="DN433" s="712"/>
      <c r="DO433" s="712"/>
      <c r="DP433" s="712"/>
      <c r="DQ433" s="712"/>
      <c r="DR433" s="712"/>
      <c r="DS433" s="712"/>
      <c r="DT433" s="712"/>
      <c r="DU433" s="712"/>
      <c r="DV433" s="712"/>
      <c r="DW433" s="712"/>
      <c r="DX433" s="712"/>
      <c r="DY433" s="712"/>
      <c r="DZ433" s="712"/>
      <c r="EA433" s="712"/>
      <c r="EB433" s="712"/>
      <c r="EC433" s="712"/>
      <c r="ED433" s="712"/>
      <c r="EE433" s="712"/>
      <c r="EF433" s="712"/>
      <c r="EG433" s="712"/>
      <c r="EH433" s="712"/>
      <c r="EI433" s="712"/>
      <c r="EJ433" s="712"/>
      <c r="EK433" s="712"/>
      <c r="EL433" s="712"/>
      <c r="EM433" s="712"/>
      <c r="EN433" s="712"/>
      <c r="EO433" s="712"/>
      <c r="EP433" s="712"/>
      <c r="EQ433" s="712"/>
      <c r="ER433" s="712"/>
      <c r="ES433" s="712"/>
      <c r="ET433" s="794"/>
      <c r="EU433" s="794"/>
      <c r="EV433" s="794"/>
      <c r="EW433" s="794"/>
      <c r="EX433" s="794"/>
      <c r="EY433" s="794"/>
      <c r="EZ433" s="794"/>
      <c r="FA433" s="712"/>
      <c r="FB433" s="712"/>
      <c r="FC433" s="712"/>
      <c r="FD433" s="712"/>
      <c r="FE433" s="712"/>
      <c r="FF433" s="712"/>
      <c r="FG433" s="712"/>
      <c r="FH433" s="712"/>
      <c r="FI433" s="712"/>
      <c r="FJ433" s="712"/>
      <c r="FK433" s="712"/>
      <c r="FL433" s="712"/>
      <c r="FM433" s="712"/>
      <c r="FN433" s="712"/>
      <c r="FO433" s="712"/>
      <c r="FP433" s="712"/>
      <c r="FQ433" s="712"/>
      <c r="FR433" s="712"/>
      <c r="FS433" s="712"/>
      <c r="FT433" s="712"/>
      <c r="FU433" s="712"/>
      <c r="FV433" s="712"/>
      <c r="FW433" s="712"/>
      <c r="FX433" s="712"/>
      <c r="FZ433" s="712"/>
      <c r="GA433" s="712"/>
      <c r="GB433" s="712"/>
      <c r="GC433" s="712"/>
      <c r="GD433" s="712"/>
      <c r="GE433" s="712"/>
      <c r="GF433" s="712"/>
      <c r="GG433" s="712"/>
      <c r="GH433" s="712"/>
      <c r="GI433" s="712"/>
      <c r="GJ433" s="712"/>
      <c r="GK433" s="712"/>
      <c r="GL433" s="712"/>
      <c r="GM433" s="712"/>
      <c r="GN433" s="712"/>
      <c r="GO433" s="712"/>
      <c r="GP433" s="712"/>
      <c r="GQ433" s="712"/>
      <c r="GR433" s="712"/>
      <c r="GS433" s="712"/>
      <c r="GT433" s="712"/>
      <c r="GU433" s="712"/>
      <c r="GV433" s="712"/>
      <c r="GW433" s="712"/>
      <c r="GX433" s="712"/>
      <c r="GY433" s="712"/>
      <c r="GZ433" s="712"/>
      <c r="HA433" s="712"/>
      <c r="HB433" s="712"/>
      <c r="HC433" s="712"/>
    </row>
    <row r="434" spans="1:211">
      <c r="A434" s="707"/>
      <c r="G434" s="712"/>
      <c r="H434" s="712"/>
      <c r="I434" s="712"/>
      <c r="J434" s="712"/>
      <c r="K434" s="712"/>
      <c r="L434" s="712"/>
      <c r="M434" s="712"/>
      <c r="N434" s="712"/>
      <c r="O434" s="712"/>
      <c r="P434" s="712"/>
      <c r="Q434" s="712"/>
      <c r="R434" s="712"/>
      <c r="S434" s="712"/>
      <c r="T434" s="712"/>
      <c r="U434" s="712"/>
      <c r="V434" s="712"/>
      <c r="W434" s="712"/>
      <c r="X434" s="712"/>
      <c r="Y434" s="712"/>
      <c r="Z434" s="712"/>
      <c r="AA434" s="712"/>
      <c r="AB434" s="712"/>
      <c r="AC434" s="712"/>
      <c r="AD434" s="712"/>
      <c r="AE434" s="712"/>
      <c r="AF434" s="712"/>
      <c r="AG434" s="712"/>
      <c r="AH434" s="712"/>
      <c r="AI434" s="712"/>
      <c r="AJ434" s="712"/>
      <c r="AK434" s="712"/>
      <c r="AL434" s="712"/>
      <c r="AM434" s="712"/>
      <c r="AN434" s="712"/>
      <c r="AO434" s="712"/>
      <c r="AP434" s="712"/>
      <c r="AQ434" s="712"/>
      <c r="AR434" s="712"/>
      <c r="AS434" s="712"/>
      <c r="AT434" s="712"/>
      <c r="AU434" s="712"/>
      <c r="AV434" s="712"/>
      <c r="AW434" s="712"/>
      <c r="AX434" s="712"/>
      <c r="AY434" s="712"/>
      <c r="AZ434" s="712"/>
      <c r="BA434" s="712"/>
      <c r="BB434" s="712"/>
      <c r="BC434" s="712"/>
      <c r="BD434" s="712"/>
      <c r="BE434" s="712"/>
      <c r="BF434" s="712"/>
      <c r="BG434" s="712"/>
      <c r="BH434" s="712"/>
      <c r="BI434" s="712"/>
      <c r="BJ434" s="712"/>
      <c r="BK434" s="712"/>
      <c r="BL434" s="712"/>
      <c r="BM434" s="712"/>
      <c r="BN434" s="712"/>
      <c r="BO434" s="712"/>
      <c r="BP434" s="712"/>
      <c r="BQ434" s="712"/>
      <c r="BR434" s="712"/>
      <c r="BS434" s="712"/>
      <c r="BT434" s="712"/>
      <c r="BU434" s="712"/>
      <c r="BV434" s="712"/>
      <c r="BW434" s="712"/>
      <c r="BX434" s="712"/>
      <c r="BY434" s="712"/>
      <c r="BZ434" s="712"/>
      <c r="CA434" s="712"/>
      <c r="CB434" s="712"/>
      <c r="CC434" s="712"/>
      <c r="CD434" s="712"/>
      <c r="CE434" s="712"/>
      <c r="CF434" s="712"/>
      <c r="CG434" s="712"/>
      <c r="CH434" s="712"/>
      <c r="CI434" s="712"/>
      <c r="CJ434" s="712"/>
      <c r="CK434" s="712"/>
      <c r="CL434" s="712"/>
      <c r="CM434" s="712"/>
      <c r="CN434" s="712"/>
      <c r="CO434" s="712"/>
      <c r="CP434" s="712"/>
      <c r="CQ434" s="712"/>
      <c r="CR434" s="712"/>
      <c r="CS434" s="712"/>
      <c r="CT434" s="712"/>
      <c r="CU434" s="712"/>
      <c r="CV434" s="712"/>
      <c r="CW434" s="712"/>
      <c r="CX434" s="712"/>
      <c r="CY434" s="712"/>
      <c r="CZ434" s="712"/>
      <c r="DA434" s="712"/>
      <c r="DB434" s="712"/>
      <c r="DC434" s="712"/>
      <c r="DD434" s="712"/>
      <c r="DE434" s="712"/>
      <c r="DF434" s="712"/>
      <c r="DG434" s="712"/>
      <c r="DH434" s="712"/>
      <c r="DI434" s="712"/>
      <c r="DJ434" s="712"/>
      <c r="DK434" s="712"/>
      <c r="DL434" s="712"/>
      <c r="DM434" s="712"/>
      <c r="DN434" s="712"/>
      <c r="DO434" s="712"/>
      <c r="DP434" s="712"/>
      <c r="DQ434" s="712"/>
      <c r="DR434" s="712"/>
      <c r="DS434" s="712"/>
      <c r="DT434" s="712"/>
      <c r="DU434" s="712"/>
      <c r="DV434" s="712"/>
      <c r="DW434" s="712"/>
      <c r="DX434" s="712"/>
      <c r="DY434" s="712"/>
      <c r="DZ434" s="712"/>
      <c r="EA434" s="712"/>
      <c r="EB434" s="712"/>
      <c r="EC434" s="712"/>
      <c r="ED434" s="712"/>
      <c r="EE434" s="712"/>
      <c r="EF434" s="712"/>
      <c r="EG434" s="712"/>
      <c r="EH434" s="712"/>
      <c r="EI434" s="712"/>
      <c r="EJ434" s="712"/>
      <c r="EK434" s="712"/>
      <c r="EL434" s="712"/>
      <c r="EM434" s="712"/>
      <c r="EN434" s="712"/>
      <c r="EO434" s="712"/>
      <c r="EP434" s="712"/>
      <c r="EQ434" s="712"/>
      <c r="ER434" s="712"/>
      <c r="ES434" s="712"/>
      <c r="ET434" s="794"/>
      <c r="EU434" s="794"/>
      <c r="EV434" s="794"/>
      <c r="EW434" s="794"/>
      <c r="EX434" s="794"/>
      <c r="EY434" s="794"/>
      <c r="EZ434" s="794"/>
      <c r="FA434" s="712"/>
      <c r="FB434" s="712"/>
      <c r="FC434" s="712"/>
      <c r="FD434" s="712"/>
      <c r="FE434" s="712"/>
      <c r="FF434" s="712"/>
      <c r="FG434" s="712"/>
      <c r="FH434" s="712"/>
      <c r="FI434" s="712"/>
      <c r="FJ434" s="712"/>
      <c r="FK434" s="712"/>
      <c r="FL434" s="712"/>
      <c r="FM434" s="712"/>
      <c r="FN434" s="712"/>
      <c r="FO434" s="712"/>
      <c r="FP434" s="712"/>
      <c r="FQ434" s="712"/>
      <c r="FR434" s="712"/>
      <c r="FS434" s="712"/>
      <c r="FT434" s="712"/>
      <c r="FU434" s="712"/>
      <c r="FV434" s="712"/>
      <c r="FW434" s="712"/>
      <c r="FX434" s="712"/>
      <c r="FZ434" s="712"/>
      <c r="GA434" s="712"/>
      <c r="GB434" s="712"/>
      <c r="GC434" s="712"/>
      <c r="GD434" s="712"/>
      <c r="GE434" s="712"/>
      <c r="GF434" s="712"/>
      <c r="GG434" s="712"/>
      <c r="GH434" s="712"/>
      <c r="GI434" s="712"/>
      <c r="GJ434" s="712"/>
      <c r="GK434" s="712"/>
      <c r="GL434" s="712"/>
      <c r="GM434" s="712"/>
      <c r="GN434" s="712"/>
      <c r="GO434" s="712"/>
      <c r="GP434" s="712"/>
      <c r="GQ434" s="712"/>
      <c r="GR434" s="712"/>
      <c r="GS434" s="712"/>
      <c r="GT434" s="712"/>
      <c r="GU434" s="712"/>
      <c r="GV434" s="712"/>
      <c r="GW434" s="712"/>
      <c r="GX434" s="712"/>
      <c r="GY434" s="712"/>
      <c r="GZ434" s="712"/>
      <c r="HA434" s="712"/>
      <c r="HB434" s="712"/>
      <c r="HC434" s="712"/>
    </row>
    <row r="435" spans="1:211">
      <c r="A435" s="707"/>
      <c r="G435" s="712"/>
      <c r="H435" s="712"/>
      <c r="I435" s="712"/>
      <c r="J435" s="712"/>
      <c r="K435" s="712"/>
      <c r="L435" s="712"/>
      <c r="M435" s="712"/>
      <c r="N435" s="712"/>
      <c r="O435" s="712"/>
      <c r="P435" s="712"/>
      <c r="Q435" s="712"/>
      <c r="R435" s="712"/>
      <c r="S435" s="712"/>
      <c r="T435" s="712"/>
      <c r="U435" s="712"/>
      <c r="V435" s="712"/>
      <c r="W435" s="712"/>
      <c r="X435" s="712"/>
      <c r="Y435" s="712"/>
      <c r="Z435" s="712"/>
      <c r="AA435" s="712"/>
      <c r="AB435" s="712"/>
      <c r="AC435" s="712"/>
      <c r="AD435" s="712"/>
      <c r="AE435" s="712"/>
      <c r="AF435" s="712"/>
      <c r="AG435" s="712"/>
      <c r="AH435" s="712"/>
      <c r="AI435" s="712"/>
      <c r="AJ435" s="712"/>
      <c r="AK435" s="712"/>
      <c r="AL435" s="712"/>
      <c r="AM435" s="712"/>
      <c r="AN435" s="712"/>
      <c r="AO435" s="712"/>
      <c r="AP435" s="712"/>
      <c r="AQ435" s="712"/>
      <c r="AR435" s="712"/>
      <c r="AS435" s="712"/>
      <c r="AT435" s="712"/>
      <c r="AU435" s="712"/>
      <c r="AV435" s="712"/>
      <c r="AW435" s="712"/>
      <c r="AX435" s="712"/>
      <c r="AY435" s="712"/>
      <c r="AZ435" s="712"/>
      <c r="BA435" s="712"/>
      <c r="BB435" s="712"/>
      <c r="BC435" s="712"/>
      <c r="BD435" s="712"/>
      <c r="BE435" s="712"/>
      <c r="BF435" s="712"/>
      <c r="BG435" s="712"/>
      <c r="BH435" s="712"/>
      <c r="BI435" s="712"/>
      <c r="BJ435" s="712"/>
      <c r="BK435" s="712"/>
      <c r="BL435" s="712"/>
      <c r="BM435" s="712"/>
      <c r="BN435" s="712"/>
      <c r="BO435" s="712"/>
      <c r="BP435" s="712"/>
      <c r="BQ435" s="712"/>
      <c r="BR435" s="712"/>
      <c r="BS435" s="712"/>
      <c r="BT435" s="712"/>
      <c r="BU435" s="712"/>
      <c r="BV435" s="712"/>
      <c r="BW435" s="712"/>
      <c r="BX435" s="712"/>
      <c r="BY435" s="712"/>
      <c r="BZ435" s="712"/>
      <c r="CA435" s="712"/>
      <c r="CB435" s="712"/>
      <c r="CC435" s="712"/>
      <c r="CD435" s="712"/>
      <c r="CE435" s="712"/>
      <c r="CF435" s="712"/>
      <c r="CG435" s="712"/>
      <c r="CH435" s="712"/>
      <c r="CI435" s="712"/>
      <c r="CJ435" s="712"/>
      <c r="CK435" s="712"/>
      <c r="CL435" s="712"/>
      <c r="CM435" s="712"/>
      <c r="CN435" s="712"/>
      <c r="CO435" s="712"/>
      <c r="CP435" s="712"/>
      <c r="CQ435" s="712"/>
      <c r="CR435" s="712"/>
      <c r="CS435" s="712"/>
      <c r="CT435" s="712"/>
      <c r="CU435" s="712"/>
      <c r="CV435" s="712"/>
      <c r="CW435" s="712"/>
      <c r="CX435" s="712"/>
      <c r="CY435" s="712"/>
      <c r="CZ435" s="712"/>
      <c r="DA435" s="712"/>
      <c r="DB435" s="712"/>
      <c r="DC435" s="712"/>
      <c r="DD435" s="712"/>
      <c r="DE435" s="712"/>
      <c r="DF435" s="712"/>
      <c r="DG435" s="712"/>
      <c r="DH435" s="712"/>
      <c r="DI435" s="712"/>
      <c r="DJ435" s="712"/>
      <c r="DK435" s="712"/>
      <c r="DL435" s="712"/>
      <c r="DM435" s="712"/>
      <c r="DN435" s="712"/>
      <c r="DO435" s="712"/>
      <c r="DP435" s="712"/>
      <c r="DQ435" s="712"/>
      <c r="DR435" s="712"/>
      <c r="DS435" s="712"/>
      <c r="DT435" s="712"/>
      <c r="DU435" s="712"/>
      <c r="DV435" s="712"/>
      <c r="DW435" s="712"/>
      <c r="DX435" s="712"/>
      <c r="DY435" s="712"/>
      <c r="DZ435" s="712"/>
      <c r="EA435" s="712"/>
      <c r="EB435" s="712"/>
      <c r="EC435" s="712"/>
      <c r="ED435" s="712"/>
      <c r="EE435" s="712"/>
      <c r="EF435" s="712"/>
      <c r="EG435" s="712"/>
      <c r="EH435" s="712"/>
      <c r="EI435" s="712"/>
      <c r="EJ435" s="712"/>
      <c r="EK435" s="712"/>
      <c r="EL435" s="712"/>
      <c r="EM435" s="712"/>
      <c r="EN435" s="712"/>
      <c r="EO435" s="712"/>
      <c r="EP435" s="712"/>
      <c r="EQ435" s="712"/>
      <c r="ER435" s="712"/>
      <c r="ES435" s="712"/>
      <c r="ET435" s="794"/>
      <c r="EU435" s="794"/>
      <c r="EV435" s="794"/>
      <c r="EW435" s="794"/>
      <c r="EX435" s="794"/>
      <c r="EY435" s="794"/>
      <c r="EZ435" s="794"/>
      <c r="FA435" s="712"/>
      <c r="FB435" s="712"/>
      <c r="FC435" s="712"/>
      <c r="FD435" s="712"/>
      <c r="FE435" s="712"/>
      <c r="FF435" s="712"/>
      <c r="FG435" s="712"/>
      <c r="FH435" s="712"/>
      <c r="FI435" s="712"/>
      <c r="FJ435" s="712"/>
      <c r="FK435" s="712"/>
      <c r="FL435" s="712"/>
      <c r="FM435" s="712"/>
      <c r="FN435" s="712"/>
      <c r="FO435" s="712"/>
      <c r="FP435" s="712"/>
      <c r="FQ435" s="712"/>
      <c r="FR435" s="712"/>
      <c r="FS435" s="712"/>
      <c r="FT435" s="712"/>
      <c r="FU435" s="712"/>
      <c r="FV435" s="712"/>
      <c r="FW435" s="712"/>
      <c r="FX435" s="712"/>
      <c r="FZ435" s="712"/>
      <c r="GA435" s="712"/>
      <c r="GB435" s="712"/>
      <c r="GC435" s="712"/>
      <c r="GD435" s="712"/>
      <c r="GE435" s="712"/>
      <c r="GF435" s="712"/>
      <c r="GG435" s="712"/>
      <c r="GH435" s="712"/>
      <c r="GI435" s="712"/>
      <c r="GJ435" s="712"/>
      <c r="GK435" s="712"/>
      <c r="GL435" s="712"/>
      <c r="GM435" s="712"/>
      <c r="GN435" s="712"/>
      <c r="GO435" s="712"/>
      <c r="GP435" s="712"/>
      <c r="GQ435" s="712"/>
      <c r="GR435" s="712"/>
      <c r="GS435" s="712"/>
      <c r="GT435" s="712"/>
      <c r="GU435" s="712"/>
      <c r="GV435" s="712"/>
      <c r="GW435" s="712"/>
      <c r="GX435" s="712"/>
      <c r="GY435" s="712"/>
      <c r="GZ435" s="712"/>
      <c r="HA435" s="712"/>
      <c r="HB435" s="712"/>
      <c r="HC435" s="712"/>
    </row>
    <row r="436" spans="1:211">
      <c r="A436" s="707"/>
      <c r="G436" s="712"/>
      <c r="H436" s="712"/>
      <c r="I436" s="712"/>
      <c r="J436" s="712"/>
      <c r="K436" s="712"/>
      <c r="L436" s="712"/>
      <c r="M436" s="712"/>
      <c r="N436" s="712"/>
      <c r="O436" s="712"/>
      <c r="P436" s="712"/>
      <c r="Q436" s="712"/>
      <c r="R436" s="712"/>
      <c r="S436" s="712"/>
      <c r="T436" s="712"/>
      <c r="U436" s="712"/>
      <c r="V436" s="712"/>
      <c r="W436" s="712"/>
      <c r="X436" s="712"/>
      <c r="Y436" s="712"/>
      <c r="Z436" s="712"/>
      <c r="AA436" s="712"/>
      <c r="AB436" s="712"/>
      <c r="AC436" s="712"/>
      <c r="AD436" s="712"/>
      <c r="AE436" s="712"/>
      <c r="AF436" s="712"/>
      <c r="AG436" s="712"/>
      <c r="AH436" s="712"/>
      <c r="AI436" s="712"/>
      <c r="AJ436" s="712"/>
      <c r="AK436" s="712"/>
      <c r="AL436" s="712"/>
      <c r="AM436" s="712"/>
      <c r="AN436" s="712"/>
      <c r="AO436" s="712"/>
      <c r="AP436" s="712"/>
      <c r="AQ436" s="712"/>
      <c r="AR436" s="712"/>
      <c r="AS436" s="712"/>
      <c r="AT436" s="712"/>
      <c r="AU436" s="712"/>
      <c r="AV436" s="712"/>
      <c r="AW436" s="712"/>
      <c r="AX436" s="712"/>
      <c r="AY436" s="712"/>
      <c r="AZ436" s="712"/>
      <c r="BA436" s="712"/>
      <c r="BB436" s="712"/>
      <c r="BC436" s="712"/>
      <c r="BD436" s="712"/>
      <c r="BE436" s="712"/>
      <c r="BF436" s="712"/>
      <c r="BG436" s="712"/>
      <c r="BH436" s="712"/>
      <c r="BI436" s="712"/>
      <c r="BJ436" s="712"/>
      <c r="BK436" s="712"/>
      <c r="BL436" s="712"/>
      <c r="BM436" s="712"/>
      <c r="BN436" s="712"/>
      <c r="BO436" s="712"/>
      <c r="BP436" s="712"/>
      <c r="BQ436" s="712"/>
      <c r="BR436" s="712"/>
      <c r="BS436" s="712"/>
      <c r="BT436" s="712"/>
      <c r="BU436" s="712"/>
      <c r="BV436" s="712"/>
      <c r="BW436" s="712"/>
      <c r="BX436" s="712"/>
      <c r="BY436" s="712"/>
      <c r="BZ436" s="712"/>
      <c r="CA436" s="712"/>
      <c r="CB436" s="712"/>
      <c r="CC436" s="712"/>
      <c r="CD436" s="712"/>
      <c r="CE436" s="712"/>
      <c r="CF436" s="712"/>
      <c r="CG436" s="712"/>
      <c r="CH436" s="712"/>
      <c r="CI436" s="712"/>
      <c r="CJ436" s="712"/>
      <c r="CK436" s="712"/>
      <c r="CL436" s="712"/>
      <c r="CM436" s="712"/>
      <c r="CN436" s="712"/>
      <c r="CO436" s="712"/>
      <c r="CP436" s="712"/>
      <c r="CQ436" s="712"/>
      <c r="CR436" s="712"/>
      <c r="CS436" s="712"/>
      <c r="CT436" s="712"/>
      <c r="CU436" s="712"/>
      <c r="CV436" s="712"/>
      <c r="CW436" s="712"/>
      <c r="CX436" s="712"/>
      <c r="CY436" s="712"/>
      <c r="CZ436" s="712"/>
      <c r="DA436" s="712"/>
      <c r="DB436" s="712"/>
      <c r="DC436" s="712"/>
      <c r="DD436" s="712"/>
      <c r="DE436" s="712"/>
      <c r="DF436" s="712"/>
      <c r="DG436" s="712"/>
      <c r="DH436" s="712"/>
      <c r="DI436" s="712"/>
      <c r="DJ436" s="712"/>
      <c r="DK436" s="712"/>
      <c r="DL436" s="712"/>
      <c r="DM436" s="712"/>
      <c r="DN436" s="712"/>
      <c r="DO436" s="712"/>
      <c r="DP436" s="712"/>
      <c r="DQ436" s="712"/>
      <c r="DR436" s="712"/>
      <c r="DS436" s="712"/>
      <c r="DT436" s="712"/>
      <c r="DU436" s="712"/>
      <c r="DV436" s="712"/>
      <c r="DW436" s="712"/>
      <c r="DX436" s="712"/>
      <c r="DY436" s="712"/>
      <c r="DZ436" s="712"/>
      <c r="EA436" s="712"/>
      <c r="EB436" s="712"/>
      <c r="EC436" s="712"/>
      <c r="ED436" s="712"/>
      <c r="EE436" s="712"/>
      <c r="EF436" s="712"/>
      <c r="EG436" s="712"/>
      <c r="EH436" s="712"/>
      <c r="EI436" s="712"/>
      <c r="EJ436" s="712"/>
      <c r="EK436" s="712"/>
      <c r="EL436" s="712"/>
      <c r="EM436" s="712"/>
      <c r="EN436" s="712"/>
      <c r="EO436" s="712"/>
      <c r="EP436" s="712"/>
      <c r="EQ436" s="712"/>
      <c r="ER436" s="712"/>
      <c r="ES436" s="712"/>
      <c r="ET436" s="794"/>
      <c r="EU436" s="794"/>
      <c r="EV436" s="794"/>
      <c r="EW436" s="794"/>
      <c r="EX436" s="794"/>
      <c r="EY436" s="794"/>
      <c r="EZ436" s="794"/>
      <c r="FA436" s="712"/>
      <c r="FB436" s="712"/>
      <c r="FC436" s="712"/>
      <c r="FD436" s="712"/>
      <c r="FE436" s="712"/>
      <c r="FF436" s="712"/>
      <c r="FG436" s="712"/>
      <c r="FH436" s="712"/>
      <c r="FI436" s="712"/>
      <c r="FJ436" s="712"/>
      <c r="FK436" s="712"/>
      <c r="FL436" s="712"/>
      <c r="FM436" s="712"/>
      <c r="FN436" s="712"/>
      <c r="FO436" s="712"/>
      <c r="FP436" s="712"/>
      <c r="FQ436" s="712"/>
      <c r="FR436" s="712"/>
      <c r="FS436" s="712"/>
      <c r="FT436" s="712"/>
      <c r="FU436" s="712"/>
      <c r="FV436" s="712"/>
      <c r="FW436" s="712"/>
      <c r="FX436" s="712"/>
      <c r="FZ436" s="712"/>
      <c r="GA436" s="712"/>
      <c r="GB436" s="712"/>
      <c r="GC436" s="712"/>
      <c r="GD436" s="712"/>
      <c r="GE436" s="712"/>
      <c r="GF436" s="712"/>
      <c r="GG436" s="712"/>
      <c r="GH436" s="712"/>
      <c r="GI436" s="712"/>
      <c r="GJ436" s="712"/>
      <c r="GK436" s="712"/>
      <c r="GL436" s="712"/>
      <c r="GM436" s="712"/>
      <c r="GN436" s="712"/>
      <c r="GO436" s="712"/>
      <c r="GP436" s="712"/>
      <c r="GQ436" s="712"/>
      <c r="GR436" s="712"/>
      <c r="GS436" s="712"/>
      <c r="GT436" s="712"/>
      <c r="GU436" s="712"/>
      <c r="GV436" s="712"/>
      <c r="GW436" s="712"/>
      <c r="GX436" s="712"/>
      <c r="GY436" s="712"/>
      <c r="GZ436" s="712"/>
      <c r="HA436" s="712"/>
      <c r="HB436" s="712"/>
      <c r="HC436" s="712"/>
    </row>
    <row r="437" spans="1:211">
      <c r="A437" s="707"/>
      <c r="G437" s="712"/>
      <c r="H437" s="712"/>
      <c r="I437" s="712"/>
      <c r="J437" s="712"/>
      <c r="K437" s="712"/>
      <c r="L437" s="712"/>
      <c r="M437" s="712"/>
      <c r="N437" s="712"/>
      <c r="O437" s="712"/>
      <c r="P437" s="712"/>
      <c r="Q437" s="712"/>
      <c r="R437" s="712"/>
      <c r="S437" s="712"/>
      <c r="T437" s="712"/>
      <c r="U437" s="712"/>
      <c r="V437" s="712"/>
      <c r="W437" s="712"/>
      <c r="X437" s="712"/>
      <c r="Y437" s="712"/>
      <c r="Z437" s="712"/>
      <c r="AA437" s="712"/>
      <c r="AB437" s="712"/>
      <c r="AC437" s="712"/>
      <c r="AD437" s="712"/>
      <c r="AE437" s="712"/>
      <c r="AF437" s="712"/>
      <c r="AG437" s="712"/>
      <c r="AH437" s="712"/>
      <c r="AI437" s="712"/>
      <c r="AJ437" s="712"/>
      <c r="AK437" s="712"/>
      <c r="AL437" s="712"/>
      <c r="AM437" s="712"/>
      <c r="AN437" s="712"/>
      <c r="AO437" s="712"/>
      <c r="AP437" s="712"/>
      <c r="AQ437" s="712"/>
      <c r="AR437" s="712"/>
      <c r="AS437" s="712"/>
      <c r="AT437" s="712"/>
      <c r="AU437" s="712"/>
      <c r="AV437" s="712"/>
      <c r="AW437" s="712"/>
      <c r="AX437" s="712"/>
      <c r="AY437" s="712"/>
      <c r="AZ437" s="712"/>
      <c r="BA437" s="712"/>
      <c r="BB437" s="712"/>
      <c r="BC437" s="712"/>
      <c r="BD437" s="712"/>
      <c r="BE437" s="712"/>
      <c r="BF437" s="712"/>
      <c r="BG437" s="712"/>
      <c r="BH437" s="712"/>
      <c r="BI437" s="712"/>
      <c r="BJ437" s="712"/>
      <c r="BK437" s="712"/>
      <c r="BL437" s="712"/>
      <c r="BM437" s="712"/>
      <c r="BN437" s="712"/>
      <c r="BO437" s="712"/>
      <c r="BP437" s="712"/>
      <c r="BQ437" s="712"/>
      <c r="BR437" s="712"/>
      <c r="BS437" s="712"/>
      <c r="BT437" s="712"/>
      <c r="BU437" s="712"/>
      <c r="BV437" s="712"/>
      <c r="BW437" s="712"/>
      <c r="BX437" s="712"/>
      <c r="BY437" s="712"/>
      <c r="BZ437" s="712"/>
      <c r="CA437" s="712"/>
      <c r="CB437" s="712"/>
      <c r="CC437" s="712"/>
      <c r="CD437" s="712"/>
      <c r="CE437" s="712"/>
      <c r="CF437" s="712"/>
      <c r="CG437" s="712"/>
      <c r="CH437" s="712"/>
      <c r="CI437" s="712"/>
      <c r="CJ437" s="712"/>
      <c r="CK437" s="712"/>
      <c r="CL437" s="712"/>
      <c r="CM437" s="712"/>
      <c r="CN437" s="712"/>
      <c r="CO437" s="712"/>
      <c r="CP437" s="712"/>
      <c r="CQ437" s="712"/>
      <c r="CR437" s="712"/>
      <c r="CS437" s="712"/>
      <c r="CT437" s="712"/>
      <c r="CU437" s="712"/>
      <c r="CV437" s="712"/>
      <c r="CW437" s="712"/>
      <c r="CX437" s="712"/>
      <c r="CY437" s="712"/>
      <c r="CZ437" s="712"/>
      <c r="DA437" s="712"/>
      <c r="DB437" s="712"/>
      <c r="DC437" s="712"/>
      <c r="DD437" s="712"/>
      <c r="DE437" s="712"/>
      <c r="DF437" s="712"/>
      <c r="DG437" s="712"/>
      <c r="DH437" s="712"/>
      <c r="DI437" s="712"/>
      <c r="DJ437" s="712"/>
      <c r="DK437" s="712"/>
      <c r="DL437" s="712"/>
      <c r="DM437" s="712"/>
      <c r="DN437" s="712"/>
      <c r="DO437" s="712"/>
      <c r="DP437" s="712"/>
      <c r="DQ437" s="712"/>
      <c r="DR437" s="712"/>
      <c r="DS437" s="712"/>
      <c r="DT437" s="712"/>
      <c r="DU437" s="712"/>
      <c r="DV437" s="712"/>
      <c r="DW437" s="712"/>
      <c r="DX437" s="712"/>
      <c r="DY437" s="712"/>
      <c r="DZ437" s="712"/>
      <c r="EA437" s="712"/>
      <c r="EB437" s="712"/>
      <c r="EC437" s="712"/>
      <c r="ED437" s="712"/>
      <c r="EE437" s="712"/>
      <c r="EF437" s="712"/>
      <c r="EG437" s="712"/>
      <c r="EH437" s="712"/>
      <c r="EI437" s="712"/>
      <c r="EJ437" s="712"/>
      <c r="EK437" s="712"/>
      <c r="EL437" s="712"/>
      <c r="EM437" s="712"/>
      <c r="EN437" s="712"/>
      <c r="EO437" s="712"/>
      <c r="EP437" s="712"/>
      <c r="EQ437" s="712"/>
      <c r="ER437" s="712"/>
      <c r="ES437" s="712"/>
      <c r="ET437" s="794"/>
      <c r="EU437" s="794"/>
      <c r="EV437" s="794"/>
      <c r="EW437" s="794"/>
      <c r="EX437" s="794"/>
      <c r="EY437" s="794"/>
      <c r="EZ437" s="794"/>
      <c r="FA437" s="712"/>
      <c r="FB437" s="712"/>
      <c r="FC437" s="712"/>
      <c r="FD437" s="712"/>
      <c r="FE437" s="712"/>
      <c r="FF437" s="712"/>
      <c r="FG437" s="712"/>
      <c r="FH437" s="712"/>
      <c r="FI437" s="712"/>
      <c r="FJ437" s="712"/>
      <c r="FK437" s="712"/>
      <c r="FL437" s="712"/>
      <c r="FM437" s="712"/>
      <c r="FN437" s="712"/>
      <c r="FO437" s="712"/>
      <c r="FP437" s="712"/>
      <c r="FQ437" s="712"/>
      <c r="FR437" s="712"/>
      <c r="FS437" s="712"/>
      <c r="FT437" s="712"/>
      <c r="FU437" s="712"/>
      <c r="FV437" s="712"/>
      <c r="FW437" s="712"/>
      <c r="FX437" s="712"/>
      <c r="FZ437" s="712"/>
      <c r="GA437" s="712"/>
      <c r="GB437" s="712"/>
      <c r="GC437" s="712"/>
      <c r="GD437" s="712"/>
      <c r="GE437" s="712"/>
      <c r="GF437" s="712"/>
      <c r="GG437" s="712"/>
      <c r="GH437" s="712"/>
      <c r="GI437" s="712"/>
      <c r="GJ437" s="712"/>
      <c r="GK437" s="712"/>
      <c r="GL437" s="712"/>
      <c r="GM437" s="712"/>
      <c r="GN437" s="712"/>
      <c r="GO437" s="712"/>
      <c r="GP437" s="712"/>
      <c r="GQ437" s="712"/>
      <c r="GR437" s="712"/>
      <c r="GS437" s="712"/>
      <c r="GT437" s="712"/>
      <c r="GU437" s="712"/>
      <c r="GV437" s="712"/>
      <c r="GW437" s="712"/>
      <c r="GX437" s="712"/>
      <c r="GY437" s="712"/>
      <c r="GZ437" s="712"/>
      <c r="HA437" s="712"/>
      <c r="HB437" s="712"/>
      <c r="HC437" s="712"/>
    </row>
    <row r="438" spans="1:211">
      <c r="A438" s="707"/>
      <c r="G438" s="712"/>
      <c r="H438" s="712"/>
      <c r="I438" s="712"/>
      <c r="J438" s="712"/>
      <c r="K438" s="712"/>
      <c r="L438" s="712"/>
      <c r="M438" s="712"/>
      <c r="N438" s="712"/>
      <c r="O438" s="712"/>
      <c r="P438" s="712"/>
      <c r="Q438" s="712"/>
      <c r="R438" s="712"/>
      <c r="S438" s="712"/>
      <c r="T438" s="712"/>
      <c r="U438" s="712"/>
      <c r="V438" s="712"/>
      <c r="W438" s="712"/>
      <c r="X438" s="712"/>
      <c r="Y438" s="712"/>
      <c r="Z438" s="712"/>
      <c r="AA438" s="712"/>
      <c r="AB438" s="712"/>
      <c r="AC438" s="712"/>
      <c r="AD438" s="712"/>
      <c r="AE438" s="712"/>
      <c r="AF438" s="712"/>
      <c r="AG438" s="712"/>
      <c r="AH438" s="712"/>
      <c r="AI438" s="712"/>
      <c r="AJ438" s="712"/>
      <c r="AK438" s="712"/>
      <c r="AL438" s="712"/>
      <c r="AM438" s="712"/>
      <c r="AN438" s="712"/>
      <c r="AO438" s="712"/>
      <c r="AP438" s="712"/>
      <c r="AQ438" s="712"/>
      <c r="AR438" s="712"/>
      <c r="AS438" s="712"/>
      <c r="AT438" s="712"/>
      <c r="AU438" s="712"/>
      <c r="AV438" s="712"/>
      <c r="AW438" s="712"/>
      <c r="AX438" s="712"/>
      <c r="AY438" s="712"/>
      <c r="AZ438" s="712"/>
      <c r="BA438" s="712"/>
      <c r="BB438" s="712"/>
      <c r="BC438" s="712"/>
      <c r="BD438" s="712"/>
      <c r="BE438" s="712"/>
      <c r="BF438" s="712"/>
      <c r="BG438" s="712"/>
      <c r="BH438" s="712"/>
      <c r="BI438" s="712"/>
      <c r="BJ438" s="712"/>
      <c r="BK438" s="712"/>
      <c r="BL438" s="712"/>
      <c r="BM438" s="712"/>
      <c r="BN438" s="712"/>
      <c r="BO438" s="712"/>
      <c r="BP438" s="712"/>
      <c r="BQ438" s="712"/>
      <c r="BR438" s="712"/>
      <c r="BS438" s="712"/>
      <c r="BT438" s="712"/>
      <c r="BU438" s="712"/>
      <c r="BV438" s="712"/>
      <c r="BW438" s="712"/>
      <c r="BX438" s="712"/>
      <c r="BY438" s="712"/>
      <c r="BZ438" s="712"/>
      <c r="CA438" s="712"/>
      <c r="CB438" s="712"/>
      <c r="CC438" s="712"/>
      <c r="CD438" s="712"/>
      <c r="CE438" s="712"/>
      <c r="CF438" s="712"/>
      <c r="CG438" s="712"/>
      <c r="CH438" s="712"/>
      <c r="CI438" s="712"/>
      <c r="CJ438" s="712"/>
      <c r="CK438" s="712"/>
      <c r="CL438" s="712"/>
      <c r="CM438" s="712"/>
      <c r="CN438" s="712"/>
      <c r="CO438" s="712"/>
      <c r="CP438" s="712"/>
      <c r="CQ438" s="712"/>
      <c r="CR438" s="712"/>
      <c r="CS438" s="712"/>
      <c r="CT438" s="712"/>
      <c r="CU438" s="712"/>
      <c r="CV438" s="712"/>
      <c r="CW438" s="712"/>
      <c r="CX438" s="712"/>
      <c r="CY438" s="712"/>
      <c r="CZ438" s="712"/>
      <c r="DA438" s="712"/>
      <c r="DB438" s="712"/>
      <c r="DC438" s="712"/>
      <c r="DD438" s="712"/>
      <c r="DE438" s="712"/>
      <c r="DF438" s="712"/>
      <c r="DG438" s="712"/>
      <c r="DH438" s="712"/>
      <c r="DI438" s="712"/>
      <c r="DJ438" s="712"/>
      <c r="DK438" s="712"/>
      <c r="DL438" s="712"/>
      <c r="DM438" s="712"/>
      <c r="DN438" s="712"/>
      <c r="DO438" s="712"/>
      <c r="DP438" s="712"/>
      <c r="DQ438" s="712"/>
      <c r="DR438" s="712"/>
      <c r="DS438" s="712"/>
      <c r="DT438" s="712"/>
      <c r="DU438" s="712"/>
      <c r="DV438" s="712"/>
      <c r="DW438" s="712"/>
      <c r="DX438" s="712"/>
      <c r="DY438" s="712"/>
      <c r="DZ438" s="712"/>
      <c r="EA438" s="712"/>
      <c r="EB438" s="712"/>
      <c r="EC438" s="712"/>
      <c r="ED438" s="712"/>
      <c r="EE438" s="712"/>
      <c r="EF438" s="712"/>
      <c r="EG438" s="712"/>
      <c r="EH438" s="712"/>
      <c r="EI438" s="712"/>
      <c r="EJ438" s="712"/>
      <c r="EK438" s="712"/>
      <c r="EL438" s="712"/>
      <c r="EM438" s="712"/>
      <c r="EN438" s="712"/>
      <c r="EO438" s="712"/>
      <c r="EP438" s="712"/>
      <c r="EQ438" s="712"/>
      <c r="ER438" s="712"/>
      <c r="ES438" s="712"/>
      <c r="ET438" s="794"/>
      <c r="EU438" s="794"/>
      <c r="EV438" s="794"/>
      <c r="EW438" s="794"/>
      <c r="EX438" s="794"/>
      <c r="EY438" s="794"/>
      <c r="EZ438" s="794"/>
      <c r="FA438" s="712"/>
      <c r="FB438" s="712"/>
      <c r="FC438" s="712"/>
      <c r="FD438" s="712"/>
      <c r="FE438" s="712"/>
      <c r="FF438" s="712"/>
      <c r="FG438" s="712"/>
      <c r="FH438" s="712"/>
      <c r="FI438" s="712"/>
      <c r="FJ438" s="712"/>
      <c r="FK438" s="712"/>
      <c r="FL438" s="712"/>
      <c r="FM438" s="712"/>
      <c r="FN438" s="712"/>
      <c r="FO438" s="712"/>
      <c r="FP438" s="712"/>
      <c r="FQ438" s="712"/>
      <c r="FR438" s="712"/>
      <c r="FS438" s="712"/>
      <c r="FT438" s="712"/>
      <c r="FU438" s="712"/>
      <c r="FV438" s="712"/>
      <c r="FW438" s="712"/>
      <c r="FX438" s="712"/>
      <c r="FZ438" s="712"/>
      <c r="GA438" s="712"/>
      <c r="GB438" s="712"/>
      <c r="GC438" s="712"/>
      <c r="GD438" s="712"/>
      <c r="GE438" s="712"/>
      <c r="GF438" s="712"/>
      <c r="GG438" s="712"/>
      <c r="GH438" s="712"/>
      <c r="GI438" s="712"/>
      <c r="GJ438" s="712"/>
      <c r="GK438" s="712"/>
      <c r="GL438" s="712"/>
      <c r="GM438" s="712"/>
      <c r="GN438" s="712"/>
      <c r="GO438" s="712"/>
      <c r="GP438" s="712"/>
      <c r="GQ438" s="712"/>
      <c r="GR438" s="712"/>
      <c r="GS438" s="712"/>
      <c r="GT438" s="712"/>
      <c r="GU438" s="712"/>
      <c r="GV438" s="712"/>
      <c r="GW438" s="712"/>
      <c r="GX438" s="712"/>
      <c r="GY438" s="712"/>
      <c r="GZ438" s="712"/>
      <c r="HA438" s="712"/>
      <c r="HB438" s="712"/>
      <c r="HC438" s="712"/>
    </row>
    <row r="439" spans="1:211">
      <c r="A439" s="707"/>
      <c r="G439" s="712"/>
      <c r="H439" s="712"/>
      <c r="I439" s="712"/>
      <c r="J439" s="712"/>
      <c r="K439" s="712"/>
      <c r="L439" s="712"/>
      <c r="M439" s="712"/>
      <c r="N439" s="712"/>
      <c r="O439" s="712"/>
      <c r="P439" s="712"/>
      <c r="Q439" s="712"/>
      <c r="R439" s="712"/>
      <c r="S439" s="712"/>
      <c r="T439" s="712"/>
      <c r="U439" s="712"/>
      <c r="V439" s="712"/>
      <c r="W439" s="712"/>
      <c r="X439" s="712"/>
      <c r="Y439" s="712"/>
      <c r="Z439" s="712"/>
      <c r="AA439" s="712"/>
      <c r="AB439" s="712"/>
      <c r="AC439" s="712"/>
      <c r="AD439" s="712"/>
      <c r="AE439" s="712"/>
      <c r="AF439" s="712"/>
      <c r="AG439" s="712"/>
      <c r="AH439" s="712"/>
      <c r="AI439" s="712"/>
      <c r="AJ439" s="712"/>
      <c r="AK439" s="712"/>
      <c r="AL439" s="712"/>
      <c r="AM439" s="712"/>
      <c r="AN439" s="712"/>
      <c r="AO439" s="712"/>
      <c r="AP439" s="712"/>
      <c r="AQ439" s="712"/>
      <c r="AR439" s="712"/>
      <c r="AS439" s="712"/>
      <c r="AT439" s="712"/>
      <c r="AU439" s="712"/>
      <c r="AV439" s="712"/>
      <c r="AW439" s="712"/>
      <c r="AX439" s="712"/>
      <c r="AY439" s="712"/>
      <c r="AZ439" s="712"/>
      <c r="BA439" s="712"/>
      <c r="BB439" s="712"/>
      <c r="BC439" s="712"/>
      <c r="BD439" s="712"/>
      <c r="BE439" s="712"/>
      <c r="BF439" s="712"/>
      <c r="BG439" s="712"/>
      <c r="BH439" s="712"/>
      <c r="BI439" s="712"/>
      <c r="BJ439" s="712"/>
      <c r="BK439" s="712"/>
      <c r="BL439" s="712"/>
      <c r="BM439" s="712"/>
      <c r="BN439" s="712"/>
      <c r="BO439" s="712"/>
      <c r="BP439" s="712"/>
      <c r="BQ439" s="712"/>
      <c r="BR439" s="712"/>
      <c r="BS439" s="712"/>
      <c r="BT439" s="712"/>
      <c r="BU439" s="712"/>
      <c r="BV439" s="712"/>
      <c r="BW439" s="712"/>
      <c r="BX439" s="712"/>
      <c r="BY439" s="712"/>
      <c r="BZ439" s="712"/>
      <c r="CA439" s="712"/>
      <c r="CB439" s="712"/>
      <c r="CC439" s="712"/>
      <c r="CD439" s="712"/>
      <c r="CE439" s="712"/>
      <c r="CF439" s="712"/>
      <c r="CG439" s="712"/>
      <c r="CH439" s="712"/>
      <c r="CI439" s="712"/>
      <c r="CJ439" s="712"/>
      <c r="CK439" s="712"/>
      <c r="CL439" s="712"/>
      <c r="CM439" s="712"/>
      <c r="CN439" s="712"/>
      <c r="CO439" s="712"/>
      <c r="CP439" s="712"/>
      <c r="CQ439" s="712"/>
      <c r="CR439" s="712"/>
      <c r="CS439" s="712"/>
      <c r="CT439" s="712"/>
      <c r="CU439" s="712"/>
      <c r="CV439" s="712"/>
      <c r="CW439" s="712"/>
      <c r="CX439" s="712"/>
      <c r="CY439" s="712"/>
      <c r="CZ439" s="712"/>
      <c r="DA439" s="712"/>
      <c r="DB439" s="712"/>
      <c r="DC439" s="712"/>
      <c r="DD439" s="712"/>
      <c r="DE439" s="712"/>
      <c r="DF439" s="712"/>
      <c r="DG439" s="712"/>
      <c r="DH439" s="712"/>
      <c r="DI439" s="712"/>
      <c r="DJ439" s="712"/>
      <c r="DK439" s="712"/>
      <c r="DL439" s="712"/>
      <c r="DM439" s="712"/>
      <c r="DN439" s="712"/>
      <c r="DO439" s="712"/>
      <c r="DP439" s="712"/>
      <c r="DQ439" s="712"/>
      <c r="DR439" s="712"/>
      <c r="DS439" s="712"/>
      <c r="DT439" s="712"/>
      <c r="DU439" s="712"/>
      <c r="DV439" s="712"/>
      <c r="DW439" s="712"/>
      <c r="DX439" s="712"/>
      <c r="DY439" s="712"/>
      <c r="DZ439" s="712"/>
      <c r="EA439" s="712"/>
      <c r="EB439" s="712"/>
      <c r="EC439" s="712"/>
      <c r="ED439" s="712"/>
      <c r="EE439" s="712"/>
      <c r="EF439" s="712"/>
      <c r="EG439" s="712"/>
      <c r="EH439" s="712"/>
      <c r="EI439" s="712"/>
      <c r="EJ439" s="712"/>
      <c r="EK439" s="712"/>
      <c r="EL439" s="712"/>
      <c r="EM439" s="712"/>
      <c r="EN439" s="712"/>
      <c r="EO439" s="712"/>
      <c r="EP439" s="712"/>
      <c r="EQ439" s="712"/>
      <c r="ER439" s="712"/>
      <c r="ES439" s="712"/>
      <c r="ET439" s="794"/>
      <c r="EU439" s="794"/>
      <c r="EV439" s="794"/>
      <c r="EW439" s="794"/>
      <c r="EX439" s="794"/>
      <c r="EY439" s="794"/>
      <c r="EZ439" s="794"/>
      <c r="FA439" s="712"/>
      <c r="FB439" s="712"/>
      <c r="FC439" s="712"/>
      <c r="FD439" s="712"/>
      <c r="FE439" s="712"/>
      <c r="FF439" s="712"/>
      <c r="FG439" s="712"/>
      <c r="FH439" s="712"/>
      <c r="FI439" s="712"/>
      <c r="FJ439" s="712"/>
      <c r="FK439" s="712"/>
      <c r="FL439" s="712"/>
      <c r="FM439" s="712"/>
      <c r="FN439" s="712"/>
      <c r="FO439" s="712"/>
      <c r="FP439" s="712"/>
      <c r="FQ439" s="712"/>
      <c r="FR439" s="712"/>
      <c r="FS439" s="712"/>
      <c r="FT439" s="712"/>
      <c r="FU439" s="712"/>
      <c r="FV439" s="712"/>
      <c r="FW439" s="712"/>
      <c r="FX439" s="712"/>
      <c r="FZ439" s="712"/>
      <c r="GA439" s="712"/>
      <c r="GB439" s="712"/>
      <c r="GC439" s="712"/>
      <c r="GD439" s="712"/>
      <c r="GE439" s="712"/>
      <c r="GF439" s="712"/>
      <c r="GG439" s="712"/>
      <c r="GH439" s="712"/>
      <c r="GI439" s="712"/>
      <c r="GJ439" s="712"/>
      <c r="GK439" s="712"/>
      <c r="GL439" s="712"/>
      <c r="GM439" s="712"/>
      <c r="GN439" s="712"/>
      <c r="GO439" s="712"/>
      <c r="GP439" s="712"/>
      <c r="GQ439" s="712"/>
      <c r="GR439" s="712"/>
      <c r="GS439" s="712"/>
      <c r="GT439" s="712"/>
      <c r="GU439" s="712"/>
      <c r="GV439" s="712"/>
      <c r="GW439" s="712"/>
      <c r="GX439" s="712"/>
      <c r="GY439" s="712"/>
      <c r="GZ439" s="712"/>
      <c r="HA439" s="712"/>
      <c r="HB439" s="712"/>
      <c r="HC439" s="712"/>
    </row>
    <row r="440" spans="1:211">
      <c r="A440" s="707"/>
      <c r="G440" s="712"/>
      <c r="H440" s="712"/>
      <c r="I440" s="712"/>
      <c r="J440" s="712"/>
      <c r="K440" s="712"/>
      <c r="L440" s="712"/>
      <c r="M440" s="712"/>
      <c r="N440" s="712"/>
      <c r="O440" s="712"/>
      <c r="P440" s="712"/>
      <c r="Q440" s="712"/>
      <c r="R440" s="712"/>
      <c r="S440" s="712"/>
      <c r="T440" s="712"/>
      <c r="U440" s="712"/>
      <c r="V440" s="712"/>
      <c r="W440" s="712"/>
      <c r="X440" s="712"/>
      <c r="Y440" s="712"/>
      <c r="Z440" s="712"/>
      <c r="AA440" s="712"/>
      <c r="AB440" s="712"/>
      <c r="AC440" s="712"/>
      <c r="AD440" s="712"/>
      <c r="AE440" s="712"/>
      <c r="AF440" s="712"/>
      <c r="AG440" s="712"/>
      <c r="AH440" s="712"/>
      <c r="AI440" s="712"/>
      <c r="AJ440" s="712"/>
      <c r="AK440" s="712"/>
      <c r="AL440" s="712"/>
      <c r="AM440" s="712"/>
      <c r="AN440" s="712"/>
      <c r="AO440" s="712"/>
      <c r="AP440" s="712"/>
      <c r="AQ440" s="712"/>
      <c r="AR440" s="712"/>
      <c r="AS440" s="712"/>
      <c r="AT440" s="712"/>
      <c r="AU440" s="712"/>
      <c r="AV440" s="712"/>
      <c r="AW440" s="712"/>
      <c r="AX440" s="712"/>
      <c r="AY440" s="712"/>
      <c r="AZ440" s="712"/>
      <c r="BA440" s="712"/>
      <c r="BB440" s="712"/>
      <c r="BC440" s="712"/>
      <c r="BD440" s="712"/>
      <c r="BE440" s="712"/>
      <c r="BF440" s="712"/>
      <c r="BG440" s="712"/>
      <c r="BH440" s="712"/>
      <c r="BI440" s="712"/>
      <c r="BJ440" s="712"/>
      <c r="BK440" s="712"/>
      <c r="BL440" s="712"/>
      <c r="BM440" s="712"/>
      <c r="BN440" s="712"/>
      <c r="BO440" s="712"/>
      <c r="BP440" s="712"/>
      <c r="BQ440" s="712"/>
      <c r="BR440" s="712"/>
      <c r="BS440" s="712"/>
      <c r="BT440" s="712"/>
      <c r="BU440" s="712"/>
      <c r="BV440" s="712"/>
      <c r="BW440" s="712"/>
      <c r="BX440" s="712"/>
      <c r="BY440" s="712"/>
      <c r="BZ440" s="712"/>
      <c r="CA440" s="712"/>
      <c r="CB440" s="712"/>
      <c r="CC440" s="712"/>
      <c r="CD440" s="712"/>
      <c r="CE440" s="712"/>
      <c r="CF440" s="712"/>
      <c r="CG440" s="712"/>
      <c r="CH440" s="712"/>
      <c r="CI440" s="712"/>
      <c r="CJ440" s="712"/>
      <c r="CK440" s="712"/>
      <c r="CL440" s="712"/>
      <c r="CM440" s="712"/>
      <c r="CN440" s="712"/>
      <c r="CO440" s="712"/>
      <c r="CP440" s="712"/>
      <c r="CQ440" s="712"/>
      <c r="CR440" s="712"/>
      <c r="CS440" s="712"/>
      <c r="CT440" s="712"/>
      <c r="CU440" s="712"/>
      <c r="CV440" s="712"/>
      <c r="CW440" s="712"/>
      <c r="CX440" s="712"/>
      <c r="CY440" s="712"/>
      <c r="CZ440" s="712"/>
      <c r="DA440" s="712"/>
      <c r="DB440" s="712"/>
      <c r="DC440" s="712"/>
      <c r="DD440" s="712"/>
      <c r="DE440" s="712"/>
      <c r="DF440" s="712"/>
      <c r="DG440" s="712"/>
      <c r="DH440" s="712"/>
      <c r="DI440" s="712"/>
      <c r="DJ440" s="712"/>
      <c r="DK440" s="712"/>
      <c r="DL440" s="712"/>
      <c r="DM440" s="712"/>
      <c r="DN440" s="712"/>
      <c r="DO440" s="712"/>
      <c r="DP440" s="712"/>
      <c r="DQ440" s="712"/>
      <c r="DR440" s="712"/>
      <c r="DS440" s="712"/>
      <c r="DT440" s="712"/>
      <c r="DU440" s="712"/>
      <c r="DV440" s="712"/>
      <c r="DW440" s="712"/>
      <c r="DX440" s="712"/>
      <c r="DY440" s="712"/>
      <c r="DZ440" s="712"/>
      <c r="EA440" s="712"/>
      <c r="EB440" s="712"/>
      <c r="EC440" s="712"/>
      <c r="ED440" s="712"/>
      <c r="EE440" s="712"/>
      <c r="EF440" s="712"/>
      <c r="EG440" s="712"/>
      <c r="EH440" s="712"/>
      <c r="EI440" s="712"/>
      <c r="EJ440" s="712"/>
      <c r="EK440" s="712"/>
      <c r="EL440" s="712"/>
      <c r="EM440" s="712"/>
      <c r="EN440" s="712"/>
      <c r="EO440" s="712"/>
      <c r="EP440" s="712"/>
      <c r="EQ440" s="712"/>
      <c r="ER440" s="712"/>
      <c r="ES440" s="712"/>
      <c r="ET440" s="794"/>
      <c r="EU440" s="794"/>
      <c r="EV440" s="794"/>
      <c r="EW440" s="794"/>
      <c r="EX440" s="794"/>
      <c r="EY440" s="794"/>
      <c r="EZ440" s="794"/>
      <c r="FA440" s="712"/>
      <c r="FB440" s="712"/>
      <c r="FC440" s="712"/>
      <c r="FD440" s="712"/>
      <c r="FE440" s="712"/>
      <c r="FF440" s="712"/>
      <c r="FG440" s="712"/>
      <c r="FH440" s="712"/>
      <c r="FI440" s="712"/>
      <c r="FJ440" s="712"/>
      <c r="FK440" s="712"/>
      <c r="FL440" s="712"/>
      <c r="FM440" s="712"/>
      <c r="FN440" s="712"/>
      <c r="FO440" s="712"/>
      <c r="FP440" s="712"/>
      <c r="FQ440" s="712"/>
      <c r="FR440" s="712"/>
      <c r="FS440" s="712"/>
      <c r="FT440" s="712"/>
      <c r="FU440" s="712"/>
      <c r="FV440" s="712"/>
      <c r="FW440" s="712"/>
      <c r="FX440" s="712"/>
      <c r="FZ440" s="712"/>
      <c r="GA440" s="712"/>
      <c r="GB440" s="712"/>
      <c r="GC440" s="712"/>
      <c r="GD440" s="712"/>
      <c r="GE440" s="712"/>
      <c r="GF440" s="712"/>
      <c r="GG440" s="712"/>
      <c r="GH440" s="712"/>
      <c r="GI440" s="712"/>
      <c r="GJ440" s="712"/>
      <c r="GK440" s="712"/>
      <c r="GL440" s="712"/>
      <c r="GM440" s="712"/>
      <c r="GN440" s="712"/>
      <c r="GO440" s="712"/>
      <c r="GP440" s="712"/>
      <c r="GQ440" s="712"/>
      <c r="GR440" s="712"/>
      <c r="GS440" s="712"/>
      <c r="GT440" s="712"/>
      <c r="GU440" s="712"/>
      <c r="GV440" s="712"/>
      <c r="GW440" s="712"/>
      <c r="GX440" s="712"/>
      <c r="GY440" s="712"/>
      <c r="GZ440" s="712"/>
      <c r="HA440" s="712"/>
      <c r="HB440" s="712"/>
      <c r="HC440" s="712"/>
    </row>
    <row r="441" spans="1:211">
      <c r="A441" s="707"/>
      <c r="G441" s="712"/>
      <c r="H441" s="712"/>
      <c r="I441" s="712"/>
      <c r="J441" s="712"/>
      <c r="K441" s="712"/>
      <c r="L441" s="712"/>
      <c r="M441" s="712"/>
      <c r="N441" s="712"/>
      <c r="O441" s="712"/>
      <c r="P441" s="712"/>
      <c r="Q441" s="712"/>
      <c r="R441" s="712"/>
      <c r="S441" s="712"/>
      <c r="T441" s="712"/>
      <c r="U441" s="712"/>
      <c r="V441" s="712"/>
      <c r="W441" s="712"/>
      <c r="X441" s="712"/>
      <c r="Y441" s="712"/>
      <c r="Z441" s="712"/>
      <c r="AA441" s="712"/>
      <c r="AB441" s="712"/>
      <c r="AC441" s="712"/>
      <c r="AD441" s="712"/>
      <c r="AE441" s="712"/>
      <c r="AF441" s="712"/>
      <c r="AG441" s="712"/>
      <c r="AH441" s="712"/>
      <c r="AI441" s="712"/>
      <c r="AJ441" s="712"/>
      <c r="AK441" s="712"/>
      <c r="AL441" s="712"/>
      <c r="AM441" s="712"/>
      <c r="AN441" s="712"/>
      <c r="AO441" s="712"/>
      <c r="AP441" s="712"/>
      <c r="AQ441" s="712"/>
      <c r="AR441" s="712"/>
      <c r="AS441" s="712"/>
      <c r="AT441" s="712"/>
      <c r="AU441" s="712"/>
      <c r="AV441" s="712"/>
      <c r="AW441" s="712"/>
      <c r="AX441" s="712"/>
      <c r="AY441" s="712"/>
      <c r="AZ441" s="712"/>
      <c r="BA441" s="712"/>
      <c r="BB441" s="712"/>
      <c r="BC441" s="712"/>
      <c r="BD441" s="712"/>
      <c r="BE441" s="712"/>
      <c r="BF441" s="712"/>
      <c r="BG441" s="712"/>
      <c r="BH441" s="712"/>
      <c r="BI441" s="712"/>
      <c r="BJ441" s="712"/>
      <c r="BK441" s="712"/>
      <c r="BL441" s="712"/>
      <c r="BM441" s="712"/>
      <c r="BN441" s="712"/>
      <c r="BO441" s="712"/>
      <c r="BP441" s="712"/>
      <c r="BQ441" s="712"/>
      <c r="BR441" s="712"/>
      <c r="BS441" s="712"/>
      <c r="BT441" s="712"/>
      <c r="BU441" s="712"/>
      <c r="BV441" s="712"/>
      <c r="BW441" s="712"/>
      <c r="BX441" s="712"/>
      <c r="BY441" s="712"/>
      <c r="BZ441" s="712"/>
      <c r="CA441" s="712"/>
      <c r="CB441" s="712"/>
      <c r="CC441" s="712"/>
      <c r="CD441" s="712"/>
      <c r="CE441" s="712"/>
      <c r="CF441" s="712"/>
      <c r="CG441" s="712"/>
      <c r="CH441" s="712"/>
      <c r="CI441" s="712"/>
      <c r="CJ441" s="712"/>
      <c r="CK441" s="712"/>
      <c r="CL441" s="712"/>
      <c r="CM441" s="712"/>
      <c r="CN441" s="712"/>
      <c r="CO441" s="712"/>
      <c r="CP441" s="712"/>
      <c r="CQ441" s="712"/>
      <c r="CR441" s="712"/>
      <c r="CS441" s="712"/>
      <c r="CT441" s="712"/>
      <c r="CU441" s="712"/>
      <c r="CV441" s="712"/>
      <c r="CW441" s="712"/>
      <c r="CX441" s="712"/>
      <c r="CY441" s="712"/>
      <c r="CZ441" s="712"/>
      <c r="DA441" s="712"/>
      <c r="DB441" s="712"/>
      <c r="DC441" s="712"/>
      <c r="DD441" s="712"/>
      <c r="DE441" s="712"/>
      <c r="DF441" s="712"/>
      <c r="DG441" s="712"/>
      <c r="DH441" s="712"/>
      <c r="DI441" s="712"/>
      <c r="DJ441" s="712"/>
      <c r="DK441" s="712"/>
      <c r="DL441" s="712"/>
      <c r="DM441" s="712"/>
      <c r="DN441" s="712"/>
      <c r="DO441" s="712"/>
      <c r="DP441" s="712"/>
      <c r="DQ441" s="712"/>
      <c r="DR441" s="712"/>
      <c r="DS441" s="712"/>
      <c r="DT441" s="712"/>
      <c r="DU441" s="712"/>
      <c r="DV441" s="712"/>
      <c r="DW441" s="712"/>
      <c r="DX441" s="712"/>
      <c r="DY441" s="712"/>
      <c r="DZ441" s="712"/>
      <c r="EA441" s="712"/>
      <c r="EB441" s="712"/>
      <c r="EC441" s="712"/>
      <c r="ED441" s="712"/>
      <c r="EE441" s="712"/>
      <c r="EF441" s="712"/>
      <c r="EG441" s="712"/>
      <c r="EH441" s="712"/>
      <c r="EI441" s="712"/>
      <c r="EJ441" s="712"/>
      <c r="EK441" s="712"/>
      <c r="EL441" s="712"/>
      <c r="EM441" s="712"/>
      <c r="EN441" s="712"/>
      <c r="EO441" s="712"/>
      <c r="EP441" s="712"/>
      <c r="EQ441" s="712"/>
      <c r="ER441" s="712"/>
      <c r="ES441" s="712"/>
      <c r="ET441" s="794"/>
      <c r="EU441" s="794"/>
      <c r="EV441" s="794"/>
      <c r="EW441" s="794"/>
      <c r="EX441" s="794"/>
      <c r="EY441" s="794"/>
      <c r="EZ441" s="794"/>
      <c r="FA441" s="712"/>
      <c r="FB441" s="712"/>
      <c r="FC441" s="712"/>
      <c r="FD441" s="712"/>
      <c r="FE441" s="712"/>
      <c r="FF441" s="712"/>
      <c r="FG441" s="712"/>
      <c r="FH441" s="712"/>
      <c r="FI441" s="712"/>
      <c r="FJ441" s="712"/>
      <c r="FK441" s="712"/>
      <c r="FL441" s="712"/>
      <c r="FM441" s="712"/>
      <c r="FN441" s="712"/>
      <c r="FO441" s="712"/>
      <c r="FP441" s="712"/>
      <c r="FQ441" s="712"/>
      <c r="FR441" s="712"/>
      <c r="FS441" s="712"/>
      <c r="FT441" s="712"/>
      <c r="FU441" s="712"/>
      <c r="FV441" s="712"/>
      <c r="FW441" s="712"/>
      <c r="FX441" s="712"/>
      <c r="FZ441" s="712"/>
      <c r="GA441" s="712"/>
      <c r="GB441" s="712"/>
      <c r="GC441" s="712"/>
      <c r="GD441" s="712"/>
      <c r="GE441" s="712"/>
      <c r="GF441" s="712"/>
      <c r="GG441" s="712"/>
      <c r="GH441" s="712"/>
      <c r="GI441" s="712"/>
      <c r="GJ441" s="712"/>
      <c r="GK441" s="712"/>
      <c r="GL441" s="712"/>
      <c r="GM441" s="712"/>
      <c r="GN441" s="712"/>
      <c r="GO441" s="712"/>
      <c r="GP441" s="712"/>
      <c r="GQ441" s="712"/>
      <c r="GR441" s="712"/>
      <c r="GS441" s="712"/>
      <c r="GT441" s="712"/>
      <c r="GU441" s="712"/>
      <c r="GV441" s="712"/>
      <c r="GW441" s="712"/>
      <c r="GX441" s="712"/>
      <c r="GY441" s="712"/>
      <c r="GZ441" s="712"/>
      <c r="HA441" s="712"/>
      <c r="HB441" s="712"/>
      <c r="HC441" s="712"/>
    </row>
    <row r="442" spans="1:211">
      <c r="A442" s="707"/>
      <c r="G442" s="712"/>
      <c r="H442" s="712"/>
      <c r="I442" s="712"/>
      <c r="J442" s="712"/>
      <c r="K442" s="712"/>
      <c r="L442" s="712"/>
      <c r="M442" s="712"/>
      <c r="N442" s="712"/>
      <c r="O442" s="712"/>
      <c r="P442" s="712"/>
      <c r="Q442" s="712"/>
      <c r="R442" s="712"/>
      <c r="S442" s="712"/>
      <c r="T442" s="712"/>
      <c r="U442" s="712"/>
      <c r="V442" s="712"/>
      <c r="W442" s="712"/>
      <c r="X442" s="712"/>
      <c r="Y442" s="712"/>
      <c r="Z442" s="712"/>
      <c r="AA442" s="712"/>
      <c r="AB442" s="712"/>
      <c r="AC442" s="712"/>
      <c r="AD442" s="712"/>
      <c r="AE442" s="712"/>
      <c r="AF442" s="712"/>
      <c r="AG442" s="712"/>
      <c r="AH442" s="712"/>
      <c r="AI442" s="712"/>
      <c r="AJ442" s="712"/>
      <c r="AK442" s="712"/>
      <c r="AL442" s="712"/>
      <c r="AM442" s="712"/>
      <c r="AN442" s="712"/>
      <c r="AO442" s="712"/>
      <c r="AP442" s="712"/>
      <c r="AQ442" s="712"/>
      <c r="AR442" s="712"/>
      <c r="AS442" s="712"/>
      <c r="AT442" s="712"/>
      <c r="AU442" s="712"/>
      <c r="AV442" s="712"/>
      <c r="AW442" s="712"/>
      <c r="AX442" s="712"/>
      <c r="AY442" s="712"/>
      <c r="AZ442" s="712"/>
      <c r="BA442" s="712"/>
      <c r="BB442" s="712"/>
      <c r="BC442" s="712"/>
      <c r="BD442" s="712"/>
      <c r="BE442" s="712"/>
      <c r="BF442" s="712"/>
      <c r="BG442" s="712"/>
      <c r="BH442" s="712"/>
      <c r="BI442" s="712"/>
      <c r="BJ442" s="712"/>
      <c r="BK442" s="712"/>
      <c r="BL442" s="712"/>
      <c r="BM442" s="712"/>
      <c r="BN442" s="712"/>
      <c r="BO442" s="712"/>
      <c r="BP442" s="712"/>
      <c r="BQ442" s="712"/>
      <c r="BR442" s="712"/>
      <c r="BS442" s="712"/>
      <c r="BT442" s="712"/>
      <c r="BU442" s="712"/>
      <c r="BV442" s="712"/>
      <c r="BW442" s="712"/>
      <c r="BX442" s="712"/>
      <c r="BY442" s="712"/>
      <c r="BZ442" s="712"/>
      <c r="CA442" s="712"/>
      <c r="CB442" s="712"/>
      <c r="CC442" s="712"/>
      <c r="CD442" s="712"/>
      <c r="CE442" s="712"/>
      <c r="CF442" s="712"/>
      <c r="CG442" s="712"/>
      <c r="CH442" s="712"/>
      <c r="CI442" s="712"/>
      <c r="CJ442" s="712"/>
      <c r="CK442" s="712"/>
      <c r="CL442" s="712"/>
      <c r="CM442" s="712"/>
      <c r="CN442" s="712"/>
      <c r="CO442" s="712"/>
      <c r="CP442" s="712"/>
      <c r="CQ442" s="712"/>
      <c r="CR442" s="712"/>
      <c r="CS442" s="712"/>
      <c r="CT442" s="712"/>
      <c r="CU442" s="712"/>
      <c r="CV442" s="712"/>
      <c r="CW442" s="712"/>
      <c r="CX442" s="712"/>
      <c r="CY442" s="712"/>
      <c r="CZ442" s="712"/>
      <c r="DA442" s="712"/>
      <c r="DB442" s="712"/>
      <c r="DC442" s="712"/>
      <c r="DD442" s="712"/>
      <c r="DE442" s="712"/>
      <c r="DF442" s="712"/>
      <c r="DG442" s="712"/>
      <c r="DH442" s="712"/>
      <c r="DI442" s="712"/>
      <c r="DJ442" s="712"/>
      <c r="DK442" s="712"/>
      <c r="DL442" s="712"/>
      <c r="DM442" s="712"/>
      <c r="DN442" s="712"/>
      <c r="DO442" s="712"/>
      <c r="DP442" s="712"/>
      <c r="DQ442" s="712"/>
      <c r="DR442" s="712"/>
      <c r="DS442" s="712"/>
      <c r="DT442" s="712"/>
      <c r="DU442" s="712"/>
      <c r="DV442" s="712"/>
      <c r="DW442" s="712"/>
      <c r="DX442" s="712"/>
      <c r="DY442" s="712"/>
      <c r="DZ442" s="712"/>
      <c r="EA442" s="712"/>
      <c r="EB442" s="712"/>
      <c r="EC442" s="712"/>
      <c r="ED442" s="712"/>
      <c r="EE442" s="712"/>
      <c r="EF442" s="712"/>
      <c r="EG442" s="712"/>
      <c r="EH442" s="712"/>
      <c r="EI442" s="712"/>
      <c r="EJ442" s="712"/>
      <c r="EK442" s="712"/>
      <c r="EL442" s="712"/>
      <c r="EM442" s="712"/>
      <c r="EN442" s="712"/>
      <c r="EO442" s="712"/>
      <c r="EP442" s="712"/>
      <c r="EQ442" s="712"/>
      <c r="ER442" s="712"/>
      <c r="ES442" s="712"/>
      <c r="ET442" s="794"/>
      <c r="EU442" s="794"/>
      <c r="EV442" s="794"/>
      <c r="EW442" s="794"/>
      <c r="EX442" s="794"/>
      <c r="EY442" s="794"/>
      <c r="EZ442" s="794"/>
      <c r="FA442" s="712"/>
      <c r="FB442" s="712"/>
      <c r="FC442" s="712"/>
      <c r="FD442" s="712"/>
      <c r="FE442" s="712"/>
      <c r="FF442" s="712"/>
      <c r="FG442" s="712"/>
      <c r="FH442" s="712"/>
      <c r="FI442" s="712"/>
      <c r="FJ442" s="712"/>
      <c r="FK442" s="712"/>
      <c r="FL442" s="712"/>
      <c r="FM442" s="712"/>
      <c r="FN442" s="712"/>
      <c r="FO442" s="712"/>
      <c r="FP442" s="712"/>
      <c r="FQ442" s="712"/>
      <c r="FR442" s="712"/>
      <c r="FS442" s="712"/>
      <c r="FT442" s="712"/>
      <c r="FU442" s="712"/>
      <c r="FV442" s="712"/>
      <c r="FW442" s="712"/>
      <c r="FX442" s="712"/>
      <c r="FZ442" s="712"/>
      <c r="GA442" s="712"/>
      <c r="GB442" s="712"/>
      <c r="GC442" s="712"/>
      <c r="GD442" s="712"/>
      <c r="GE442" s="712"/>
      <c r="GF442" s="712"/>
      <c r="GG442" s="712"/>
      <c r="GH442" s="712"/>
      <c r="GI442" s="712"/>
      <c r="GJ442" s="712"/>
      <c r="GK442" s="712"/>
      <c r="GL442" s="712"/>
      <c r="GM442" s="712"/>
      <c r="GN442" s="712"/>
      <c r="GO442" s="712"/>
      <c r="GP442" s="712"/>
      <c r="GQ442" s="712"/>
      <c r="GR442" s="712"/>
      <c r="GS442" s="712"/>
      <c r="GT442" s="712"/>
      <c r="GU442" s="712"/>
      <c r="GV442" s="712"/>
      <c r="GW442" s="712"/>
      <c r="GX442" s="712"/>
      <c r="GY442" s="712"/>
      <c r="GZ442" s="712"/>
      <c r="HA442" s="712"/>
      <c r="HB442" s="712"/>
      <c r="HC442" s="712"/>
    </row>
    <row r="443" spans="1:211">
      <c r="A443" s="707"/>
      <c r="G443" s="712"/>
      <c r="H443" s="712"/>
      <c r="I443" s="712"/>
      <c r="J443" s="712"/>
      <c r="K443" s="712"/>
      <c r="L443" s="712"/>
      <c r="M443" s="712"/>
      <c r="N443" s="712"/>
      <c r="O443" s="712"/>
      <c r="P443" s="712"/>
      <c r="Q443" s="712"/>
      <c r="R443" s="712"/>
      <c r="S443" s="712"/>
      <c r="T443" s="712"/>
      <c r="U443" s="712"/>
      <c r="V443" s="712"/>
      <c r="W443" s="712"/>
      <c r="X443" s="712"/>
      <c r="Y443" s="712"/>
      <c r="Z443" s="712"/>
      <c r="AA443" s="712"/>
      <c r="AB443" s="712"/>
      <c r="AC443" s="712"/>
      <c r="AD443" s="712"/>
      <c r="AE443" s="712"/>
      <c r="AF443" s="712"/>
      <c r="AG443" s="712"/>
      <c r="AH443" s="712"/>
      <c r="AI443" s="712"/>
      <c r="AJ443" s="712"/>
      <c r="AK443" s="712"/>
      <c r="AL443" s="712"/>
      <c r="AM443" s="712"/>
      <c r="AN443" s="712"/>
      <c r="AO443" s="712"/>
      <c r="AP443" s="712"/>
      <c r="AQ443" s="712"/>
      <c r="AR443" s="712"/>
      <c r="AS443" s="712"/>
      <c r="AT443" s="712"/>
      <c r="AU443" s="712"/>
      <c r="AV443" s="712"/>
      <c r="AW443" s="712"/>
      <c r="AX443" s="712"/>
      <c r="AY443" s="712"/>
      <c r="AZ443" s="712"/>
      <c r="BA443" s="712"/>
      <c r="BB443" s="712"/>
      <c r="BC443" s="712"/>
      <c r="BD443" s="712"/>
      <c r="BE443" s="712"/>
      <c r="BF443" s="712"/>
      <c r="BG443" s="712"/>
      <c r="BH443" s="712"/>
      <c r="BI443" s="712"/>
      <c r="BJ443" s="712"/>
      <c r="BK443" s="712"/>
      <c r="BL443" s="712"/>
      <c r="BM443" s="712"/>
      <c r="BN443" s="712"/>
      <c r="BO443" s="712"/>
      <c r="BP443" s="712"/>
      <c r="BQ443" s="712"/>
      <c r="BR443" s="712"/>
      <c r="BS443" s="712"/>
      <c r="BT443" s="712"/>
      <c r="BU443" s="712"/>
      <c r="BV443" s="712"/>
      <c r="BW443" s="712"/>
      <c r="BX443" s="712"/>
      <c r="BY443" s="712"/>
      <c r="BZ443" s="712"/>
      <c r="CA443" s="712"/>
      <c r="CB443" s="712"/>
      <c r="CC443" s="712"/>
      <c r="CD443" s="712"/>
      <c r="CE443" s="712"/>
      <c r="CF443" s="712"/>
      <c r="CG443" s="712"/>
      <c r="CH443" s="712"/>
      <c r="CI443" s="712"/>
      <c r="CJ443" s="712"/>
      <c r="CK443" s="712"/>
      <c r="CL443" s="712"/>
      <c r="CM443" s="712"/>
      <c r="CN443" s="712"/>
      <c r="CO443" s="712"/>
      <c r="CP443" s="712"/>
      <c r="CQ443" s="712"/>
      <c r="CR443" s="712"/>
      <c r="CS443" s="712"/>
      <c r="CT443" s="712"/>
      <c r="CU443" s="712"/>
      <c r="CV443" s="712"/>
      <c r="CW443" s="712"/>
      <c r="CX443" s="712"/>
      <c r="CY443" s="712"/>
      <c r="CZ443" s="712"/>
      <c r="DA443" s="712"/>
      <c r="DB443" s="712"/>
      <c r="DC443" s="712"/>
      <c r="DD443" s="712"/>
      <c r="DE443" s="712"/>
      <c r="DF443" s="712"/>
      <c r="DG443" s="712"/>
      <c r="DH443" s="712"/>
      <c r="DI443" s="712"/>
      <c r="DJ443" s="712"/>
      <c r="DK443" s="712"/>
      <c r="DL443" s="712"/>
      <c r="DM443" s="712"/>
      <c r="DN443" s="712"/>
      <c r="DO443" s="712"/>
      <c r="DP443" s="712"/>
      <c r="DQ443" s="712"/>
      <c r="DR443" s="712"/>
      <c r="DS443" s="712"/>
      <c r="DT443" s="712"/>
      <c r="DU443" s="712"/>
      <c r="DV443" s="712"/>
      <c r="DW443" s="712"/>
      <c r="DX443" s="712"/>
      <c r="DY443" s="712"/>
      <c r="DZ443" s="712"/>
      <c r="EA443" s="712"/>
      <c r="EB443" s="712"/>
      <c r="EC443" s="712"/>
      <c r="ED443" s="712"/>
      <c r="EE443" s="712"/>
      <c r="EF443" s="712"/>
      <c r="EG443" s="712"/>
      <c r="EH443" s="712"/>
      <c r="EI443" s="712"/>
      <c r="EJ443" s="712"/>
      <c r="EK443" s="712"/>
      <c r="EL443" s="712"/>
      <c r="EM443" s="712"/>
      <c r="EN443" s="712"/>
      <c r="EO443" s="712"/>
      <c r="EP443" s="712"/>
      <c r="EQ443" s="712"/>
      <c r="ER443" s="712"/>
      <c r="ES443" s="712"/>
      <c r="ET443" s="794"/>
      <c r="EU443" s="794"/>
      <c r="EV443" s="794"/>
      <c r="EW443" s="794"/>
      <c r="EX443" s="794"/>
      <c r="EY443" s="794"/>
      <c r="EZ443" s="794"/>
      <c r="FA443" s="712"/>
      <c r="FB443" s="712"/>
      <c r="FC443" s="712"/>
      <c r="FD443" s="712"/>
      <c r="FE443" s="712"/>
      <c r="FF443" s="712"/>
      <c r="FG443" s="712"/>
      <c r="FH443" s="712"/>
      <c r="FI443" s="712"/>
      <c r="FJ443" s="712"/>
      <c r="FK443" s="712"/>
      <c r="FL443" s="712"/>
      <c r="FM443" s="712"/>
      <c r="FN443" s="712"/>
      <c r="FO443" s="712"/>
      <c r="FP443" s="712"/>
      <c r="FQ443" s="712"/>
      <c r="FR443" s="712"/>
      <c r="FS443" s="712"/>
      <c r="FT443" s="712"/>
      <c r="FU443" s="712"/>
      <c r="FV443" s="712"/>
      <c r="FW443" s="712"/>
      <c r="FX443" s="712"/>
      <c r="FZ443" s="712"/>
      <c r="GA443" s="712"/>
      <c r="GB443" s="712"/>
      <c r="GC443" s="712"/>
      <c r="GD443" s="712"/>
      <c r="GE443" s="712"/>
      <c r="GF443" s="712"/>
      <c r="GG443" s="712"/>
      <c r="GH443" s="712"/>
      <c r="GI443" s="712"/>
      <c r="GJ443" s="712"/>
      <c r="GK443" s="712"/>
      <c r="GL443" s="712"/>
      <c r="GM443" s="712"/>
      <c r="GN443" s="712"/>
      <c r="GO443" s="712"/>
      <c r="GP443" s="712"/>
      <c r="GQ443" s="712"/>
      <c r="GR443" s="712"/>
      <c r="GS443" s="712"/>
      <c r="GT443" s="712"/>
      <c r="GU443" s="712"/>
      <c r="GV443" s="712"/>
      <c r="GW443" s="712"/>
      <c r="GX443" s="712"/>
      <c r="GY443" s="712"/>
      <c r="GZ443" s="712"/>
      <c r="HA443" s="712"/>
      <c r="HB443" s="712"/>
      <c r="HC443" s="712"/>
    </row>
    <row r="444" spans="1:211">
      <c r="A444" s="707"/>
      <c r="G444" s="712"/>
      <c r="H444" s="712"/>
      <c r="I444" s="712"/>
      <c r="J444" s="712"/>
      <c r="K444" s="712"/>
      <c r="L444" s="712"/>
      <c r="M444" s="712"/>
      <c r="N444" s="712"/>
      <c r="O444" s="712"/>
      <c r="P444" s="712"/>
      <c r="Q444" s="712"/>
      <c r="R444" s="712"/>
      <c r="S444" s="712"/>
      <c r="T444" s="712"/>
      <c r="U444" s="712"/>
      <c r="V444" s="712"/>
      <c r="W444" s="712"/>
      <c r="X444" s="712"/>
      <c r="Y444" s="712"/>
      <c r="Z444" s="712"/>
      <c r="AA444" s="712"/>
      <c r="AB444" s="712"/>
      <c r="AC444" s="712"/>
      <c r="AD444" s="712"/>
      <c r="AE444" s="712"/>
      <c r="AF444" s="712"/>
      <c r="AG444" s="712"/>
      <c r="AH444" s="712"/>
      <c r="AI444" s="712"/>
      <c r="AJ444" s="712"/>
      <c r="AK444" s="712"/>
      <c r="AL444" s="712"/>
      <c r="AM444" s="712"/>
      <c r="AN444" s="712"/>
      <c r="AO444" s="712"/>
      <c r="AP444" s="712"/>
      <c r="AQ444" s="712"/>
      <c r="AR444" s="712"/>
      <c r="AS444" s="712"/>
      <c r="AT444" s="712"/>
      <c r="AU444" s="712"/>
      <c r="AV444" s="712"/>
      <c r="AW444" s="712"/>
      <c r="AX444" s="712"/>
      <c r="AY444" s="712"/>
      <c r="AZ444" s="712"/>
      <c r="BA444" s="712"/>
      <c r="BB444" s="712"/>
      <c r="BC444" s="712"/>
      <c r="BD444" s="712"/>
      <c r="BE444" s="712"/>
      <c r="BF444" s="712"/>
      <c r="BG444" s="712"/>
      <c r="BH444" s="712"/>
      <c r="BI444" s="712"/>
      <c r="BJ444" s="712"/>
      <c r="BK444" s="712"/>
      <c r="BL444" s="712"/>
      <c r="BM444" s="712"/>
      <c r="BN444" s="712"/>
      <c r="BO444" s="712"/>
      <c r="BP444" s="712"/>
      <c r="BQ444" s="712"/>
      <c r="BR444" s="712"/>
      <c r="BS444" s="712"/>
      <c r="BT444" s="712"/>
      <c r="BU444" s="712"/>
      <c r="BV444" s="712"/>
      <c r="BW444" s="712"/>
      <c r="BX444" s="712"/>
      <c r="BY444" s="712"/>
      <c r="BZ444" s="712"/>
      <c r="CA444" s="712"/>
      <c r="CB444" s="712"/>
      <c r="CC444" s="712"/>
      <c r="CD444" s="712"/>
      <c r="CE444" s="712"/>
      <c r="CF444" s="712"/>
      <c r="CG444" s="712"/>
      <c r="CH444" s="712"/>
      <c r="CI444" s="712"/>
      <c r="CJ444" s="712"/>
      <c r="CK444" s="712"/>
      <c r="CL444" s="712"/>
      <c r="CM444" s="712"/>
      <c r="CN444" s="712"/>
      <c r="CO444" s="712"/>
      <c r="CP444" s="712"/>
      <c r="CQ444" s="712"/>
      <c r="CR444" s="712"/>
      <c r="CS444" s="712"/>
      <c r="CT444" s="712"/>
      <c r="CU444" s="712"/>
      <c r="CV444" s="712"/>
      <c r="CW444" s="712"/>
      <c r="CX444" s="712"/>
      <c r="CY444" s="712"/>
      <c r="CZ444" s="712"/>
      <c r="DA444" s="712"/>
      <c r="DB444" s="712"/>
      <c r="DC444" s="712"/>
      <c r="DD444" s="712"/>
      <c r="DE444" s="712"/>
      <c r="DF444" s="712"/>
      <c r="DG444" s="712"/>
      <c r="DH444" s="712"/>
      <c r="DI444" s="712"/>
      <c r="DJ444" s="712"/>
      <c r="DK444" s="712"/>
      <c r="DL444" s="712"/>
      <c r="DM444" s="712"/>
      <c r="DN444" s="712"/>
      <c r="DO444" s="712"/>
      <c r="DP444" s="712"/>
      <c r="DQ444" s="712"/>
      <c r="DR444" s="712"/>
      <c r="DS444" s="712"/>
      <c r="DT444" s="712"/>
      <c r="DU444" s="712"/>
      <c r="DV444" s="712"/>
      <c r="DW444" s="712"/>
      <c r="DX444" s="712"/>
      <c r="DY444" s="712"/>
      <c r="DZ444" s="712"/>
      <c r="EA444" s="712"/>
      <c r="EB444" s="712"/>
      <c r="EC444" s="712"/>
      <c r="ED444" s="712"/>
      <c r="EE444" s="712"/>
      <c r="EF444" s="712"/>
      <c r="EG444" s="712"/>
      <c r="EH444" s="712"/>
      <c r="EI444" s="712"/>
      <c r="EJ444" s="712"/>
      <c r="EK444" s="712"/>
      <c r="EL444" s="712"/>
      <c r="EM444" s="712"/>
      <c r="EN444" s="712"/>
      <c r="EO444" s="712"/>
      <c r="EP444" s="712"/>
      <c r="EQ444" s="712"/>
      <c r="ER444" s="712"/>
      <c r="ES444" s="712"/>
      <c r="ET444" s="794"/>
      <c r="EU444" s="794"/>
      <c r="EV444" s="794"/>
      <c r="EW444" s="794"/>
      <c r="EX444" s="794"/>
      <c r="EY444" s="794"/>
      <c r="EZ444" s="794"/>
      <c r="FA444" s="712"/>
      <c r="FB444" s="712"/>
      <c r="FC444" s="712"/>
      <c r="FD444" s="712"/>
      <c r="FE444" s="712"/>
      <c r="FF444" s="712"/>
      <c r="FG444" s="712"/>
      <c r="FH444" s="712"/>
      <c r="FI444" s="712"/>
      <c r="FJ444" s="712"/>
      <c r="FK444" s="712"/>
      <c r="FL444" s="712"/>
      <c r="FM444" s="712"/>
      <c r="FN444" s="712"/>
      <c r="FO444" s="712"/>
      <c r="FP444" s="712"/>
      <c r="FQ444" s="712"/>
      <c r="FR444" s="712"/>
      <c r="FS444" s="712"/>
      <c r="FT444" s="712"/>
      <c r="FU444" s="712"/>
      <c r="FV444" s="712"/>
      <c r="FW444" s="712"/>
      <c r="FX444" s="712"/>
      <c r="FZ444" s="712"/>
      <c r="GA444" s="712"/>
      <c r="GB444" s="712"/>
      <c r="GC444" s="712"/>
      <c r="GD444" s="712"/>
      <c r="GE444" s="712"/>
      <c r="GF444" s="712"/>
      <c r="GG444" s="712"/>
      <c r="GH444" s="712"/>
      <c r="GI444" s="712"/>
      <c r="GJ444" s="712"/>
      <c r="GK444" s="712"/>
      <c r="GL444" s="712"/>
      <c r="GM444" s="712"/>
      <c r="GN444" s="712"/>
      <c r="GO444" s="712"/>
      <c r="GP444" s="712"/>
      <c r="GQ444" s="712"/>
      <c r="GR444" s="712"/>
      <c r="GS444" s="712"/>
      <c r="GT444" s="712"/>
      <c r="GU444" s="712"/>
      <c r="GV444" s="712"/>
      <c r="GW444" s="712"/>
      <c r="GX444" s="712"/>
      <c r="GY444" s="712"/>
      <c r="GZ444" s="712"/>
      <c r="HA444" s="712"/>
      <c r="HB444" s="712"/>
      <c r="HC444" s="712"/>
    </row>
    <row r="445" spans="1:211">
      <c r="A445" s="707"/>
      <c r="G445" s="712"/>
      <c r="H445" s="712"/>
      <c r="I445" s="712"/>
      <c r="J445" s="712"/>
      <c r="K445" s="712"/>
      <c r="L445" s="712"/>
      <c r="M445" s="712"/>
      <c r="N445" s="712"/>
      <c r="O445" s="712"/>
      <c r="P445" s="712"/>
      <c r="Q445" s="712"/>
      <c r="R445" s="712"/>
      <c r="S445" s="712"/>
      <c r="T445" s="712"/>
      <c r="U445" s="712"/>
      <c r="V445" s="712"/>
      <c r="W445" s="712"/>
      <c r="X445" s="712"/>
      <c r="Y445" s="712"/>
      <c r="Z445" s="712"/>
      <c r="AA445" s="712"/>
      <c r="AB445" s="712"/>
      <c r="AC445" s="712"/>
      <c r="AD445" s="712"/>
      <c r="AE445" s="712"/>
      <c r="AF445" s="712"/>
      <c r="AG445" s="712"/>
      <c r="AH445" s="712"/>
      <c r="AI445" s="712"/>
      <c r="AJ445" s="712"/>
      <c r="AK445" s="712"/>
      <c r="AL445" s="712"/>
      <c r="AM445" s="712"/>
      <c r="AN445" s="712"/>
      <c r="AO445" s="712"/>
      <c r="AP445" s="712"/>
      <c r="AQ445" s="712"/>
      <c r="AR445" s="712"/>
      <c r="AS445" s="712"/>
      <c r="AT445" s="712"/>
      <c r="AU445" s="712"/>
      <c r="AV445" s="712"/>
      <c r="AW445" s="712"/>
      <c r="AX445" s="712"/>
      <c r="AY445" s="712"/>
      <c r="AZ445" s="712"/>
      <c r="BA445" s="712"/>
      <c r="BB445" s="712"/>
      <c r="BC445" s="712"/>
      <c r="BD445" s="712"/>
      <c r="BE445" s="712"/>
      <c r="BF445" s="712"/>
      <c r="BG445" s="712"/>
      <c r="BH445" s="712"/>
      <c r="BI445" s="712"/>
      <c r="BJ445" s="712"/>
      <c r="BK445" s="712"/>
      <c r="BL445" s="712"/>
      <c r="BM445" s="712"/>
      <c r="BN445" s="712"/>
      <c r="BO445" s="712"/>
      <c r="BP445" s="712"/>
      <c r="BQ445" s="712"/>
      <c r="BR445" s="712"/>
      <c r="BS445" s="712"/>
      <c r="BT445" s="712"/>
      <c r="BU445" s="712"/>
      <c r="BV445" s="712"/>
      <c r="BW445" s="712"/>
      <c r="BX445" s="712"/>
      <c r="BY445" s="712"/>
      <c r="BZ445" s="712"/>
      <c r="CA445" s="712"/>
      <c r="CB445" s="712"/>
      <c r="CC445" s="712"/>
      <c r="CD445" s="712"/>
      <c r="CE445" s="712"/>
      <c r="CF445" s="712"/>
      <c r="CG445" s="712"/>
      <c r="CH445" s="712"/>
      <c r="CI445" s="712"/>
      <c r="CJ445" s="712"/>
      <c r="CK445" s="712"/>
      <c r="CL445" s="712"/>
      <c r="CM445" s="712"/>
      <c r="CN445" s="712"/>
      <c r="CO445" s="712"/>
      <c r="CP445" s="712"/>
      <c r="CQ445" s="712"/>
      <c r="CR445" s="712"/>
      <c r="CS445" s="712"/>
      <c r="CT445" s="712"/>
      <c r="CU445" s="712"/>
      <c r="CV445" s="712"/>
      <c r="CW445" s="712"/>
      <c r="CX445" s="712"/>
      <c r="CY445" s="712"/>
      <c r="CZ445" s="712"/>
      <c r="DA445" s="712"/>
      <c r="DB445" s="712"/>
      <c r="DC445" s="712"/>
      <c r="DD445" s="712"/>
      <c r="DE445" s="712"/>
      <c r="DF445" s="712"/>
      <c r="DG445" s="712"/>
      <c r="DH445" s="712"/>
      <c r="DI445" s="712"/>
      <c r="DJ445" s="712"/>
      <c r="DK445" s="712"/>
      <c r="DL445" s="712"/>
      <c r="DM445" s="712"/>
      <c r="DN445" s="712"/>
      <c r="DO445" s="712"/>
      <c r="DP445" s="712"/>
      <c r="DQ445" s="712"/>
      <c r="DR445" s="712"/>
      <c r="DS445" s="712"/>
      <c r="DT445" s="712"/>
      <c r="DU445" s="712"/>
      <c r="DV445" s="712"/>
      <c r="DW445" s="712"/>
      <c r="DX445" s="712"/>
      <c r="DY445" s="712"/>
      <c r="DZ445" s="712"/>
      <c r="EA445" s="712"/>
      <c r="EB445" s="712"/>
      <c r="EC445" s="712"/>
      <c r="ED445" s="712"/>
      <c r="EE445" s="712"/>
      <c r="EF445" s="712"/>
      <c r="EG445" s="712"/>
      <c r="EH445" s="712"/>
      <c r="EI445" s="712"/>
      <c r="EJ445" s="712"/>
      <c r="EK445" s="712"/>
      <c r="EL445" s="712"/>
      <c r="EM445" s="712"/>
      <c r="EN445" s="712"/>
      <c r="EO445" s="712"/>
      <c r="EP445" s="712"/>
      <c r="EQ445" s="712"/>
      <c r="ER445" s="712"/>
      <c r="ES445" s="712"/>
      <c r="ET445" s="794"/>
      <c r="EU445" s="794"/>
      <c r="EV445" s="794"/>
      <c r="EW445" s="794"/>
      <c r="EX445" s="794"/>
      <c r="EY445" s="794"/>
      <c r="EZ445" s="794"/>
      <c r="FA445" s="712"/>
      <c r="FB445" s="712"/>
      <c r="FC445" s="712"/>
      <c r="FD445" s="712"/>
      <c r="FE445" s="712"/>
      <c r="FF445" s="712"/>
      <c r="FG445" s="712"/>
      <c r="FH445" s="712"/>
      <c r="FI445" s="712"/>
      <c r="FJ445" s="712"/>
      <c r="FK445" s="712"/>
      <c r="FL445" s="712"/>
      <c r="FM445" s="712"/>
      <c r="FN445" s="712"/>
      <c r="FO445" s="712"/>
      <c r="FP445" s="712"/>
      <c r="FQ445" s="712"/>
      <c r="FR445" s="712"/>
      <c r="FS445" s="712"/>
      <c r="FT445" s="712"/>
      <c r="FU445" s="712"/>
      <c r="FV445" s="712"/>
      <c r="FW445" s="712"/>
      <c r="FX445" s="712"/>
      <c r="FZ445" s="712"/>
      <c r="GA445" s="712"/>
      <c r="GB445" s="712"/>
      <c r="GC445" s="712"/>
      <c r="GD445" s="712"/>
      <c r="GE445" s="712"/>
      <c r="GF445" s="712"/>
      <c r="GG445" s="712"/>
      <c r="GH445" s="712"/>
      <c r="GI445" s="712"/>
      <c r="GJ445" s="712"/>
      <c r="GK445" s="712"/>
      <c r="GL445" s="712"/>
      <c r="GM445" s="712"/>
      <c r="GN445" s="712"/>
      <c r="GO445" s="712"/>
      <c r="GP445" s="712"/>
      <c r="GQ445" s="712"/>
      <c r="GR445" s="712"/>
      <c r="GS445" s="712"/>
      <c r="GT445" s="712"/>
      <c r="GU445" s="712"/>
      <c r="GV445" s="712"/>
      <c r="GW445" s="712"/>
      <c r="GX445" s="712"/>
      <c r="GY445" s="712"/>
      <c r="GZ445" s="712"/>
      <c r="HA445" s="712"/>
      <c r="HB445" s="712"/>
      <c r="HC445" s="712"/>
    </row>
    <row r="446" spans="1:211">
      <c r="A446" s="707"/>
      <c r="G446" s="712"/>
      <c r="H446" s="712"/>
      <c r="I446" s="712"/>
      <c r="J446" s="712"/>
      <c r="K446" s="712"/>
      <c r="L446" s="712"/>
      <c r="M446" s="712"/>
      <c r="N446" s="712"/>
      <c r="O446" s="712"/>
      <c r="P446" s="712"/>
      <c r="Q446" s="712"/>
      <c r="R446" s="712"/>
      <c r="S446" s="712"/>
      <c r="T446" s="712"/>
      <c r="U446" s="712"/>
      <c r="V446" s="712"/>
      <c r="W446" s="712"/>
      <c r="X446" s="712"/>
      <c r="Y446" s="712"/>
      <c r="Z446" s="712"/>
      <c r="AA446" s="712"/>
      <c r="AB446" s="712"/>
      <c r="AC446" s="712"/>
      <c r="AD446" s="712"/>
      <c r="AE446" s="712"/>
      <c r="AF446" s="712"/>
      <c r="AG446" s="712"/>
      <c r="AH446" s="712"/>
      <c r="AI446" s="712"/>
      <c r="AJ446" s="712"/>
      <c r="AK446" s="712"/>
      <c r="AL446" s="712"/>
      <c r="AM446" s="712"/>
      <c r="AN446" s="712"/>
      <c r="AO446" s="712"/>
      <c r="AP446" s="712"/>
      <c r="AQ446" s="712"/>
      <c r="AR446" s="712"/>
      <c r="AS446" s="712"/>
      <c r="AT446" s="712"/>
      <c r="AU446" s="712"/>
      <c r="AV446" s="712"/>
      <c r="AW446" s="712"/>
      <c r="AX446" s="712"/>
      <c r="AY446" s="712"/>
      <c r="AZ446" s="712"/>
      <c r="BA446" s="712"/>
      <c r="BB446" s="712"/>
      <c r="BC446" s="712"/>
      <c r="BD446" s="712"/>
      <c r="BE446" s="712"/>
      <c r="BF446" s="712"/>
      <c r="BG446" s="712"/>
      <c r="BH446" s="712"/>
      <c r="BI446" s="712"/>
      <c r="BJ446" s="712"/>
      <c r="BK446" s="712"/>
      <c r="BL446" s="712"/>
      <c r="BM446" s="712"/>
      <c r="BN446" s="712"/>
      <c r="BO446" s="712"/>
      <c r="BP446" s="712"/>
      <c r="BQ446" s="712"/>
      <c r="BR446" s="712"/>
      <c r="BS446" s="712"/>
      <c r="BT446" s="712"/>
      <c r="BU446" s="712"/>
      <c r="BV446" s="712"/>
      <c r="BW446" s="712"/>
      <c r="BX446" s="712"/>
      <c r="BY446" s="712"/>
      <c r="BZ446" s="712"/>
      <c r="CA446" s="712"/>
      <c r="CB446" s="712"/>
      <c r="CC446" s="712"/>
      <c r="CD446" s="712"/>
      <c r="CE446" s="712"/>
      <c r="CF446" s="712"/>
      <c r="CG446" s="712"/>
      <c r="CH446" s="712"/>
      <c r="CI446" s="712"/>
      <c r="CJ446" s="712"/>
      <c r="CK446" s="712"/>
      <c r="CL446" s="712"/>
      <c r="CM446" s="712"/>
      <c r="CN446" s="712"/>
      <c r="CO446" s="712"/>
      <c r="CP446" s="712"/>
      <c r="CQ446" s="712"/>
      <c r="CR446" s="712"/>
      <c r="CS446" s="712"/>
      <c r="CT446" s="712"/>
      <c r="CU446" s="712"/>
      <c r="CV446" s="712"/>
      <c r="CW446" s="712"/>
      <c r="CX446" s="712"/>
      <c r="CY446" s="712"/>
      <c r="CZ446" s="712"/>
      <c r="DA446" s="712"/>
      <c r="DB446" s="712"/>
      <c r="DC446" s="712"/>
      <c r="DD446" s="712"/>
      <c r="DE446" s="712"/>
      <c r="DF446" s="712"/>
      <c r="DG446" s="712"/>
      <c r="DH446" s="712"/>
      <c r="DI446" s="712"/>
      <c r="DJ446" s="712"/>
      <c r="DK446" s="712"/>
      <c r="DL446" s="712"/>
      <c r="DM446" s="712"/>
      <c r="DN446" s="712"/>
      <c r="DO446" s="712"/>
      <c r="DP446" s="712"/>
      <c r="DQ446" s="712"/>
      <c r="DR446" s="712"/>
      <c r="DS446" s="712"/>
      <c r="DT446" s="712"/>
      <c r="DU446" s="712"/>
      <c r="DV446" s="712"/>
      <c r="DW446" s="712"/>
      <c r="DX446" s="712"/>
      <c r="DY446" s="712"/>
      <c r="DZ446" s="712"/>
      <c r="EA446" s="712"/>
      <c r="EB446" s="712"/>
      <c r="EC446" s="712"/>
      <c r="ED446" s="712"/>
      <c r="EE446" s="712"/>
      <c r="EF446" s="712"/>
      <c r="EG446" s="712"/>
      <c r="EH446" s="712"/>
      <c r="EI446" s="712"/>
      <c r="EJ446" s="712"/>
      <c r="EK446" s="712"/>
      <c r="EL446" s="712"/>
      <c r="EM446" s="712"/>
      <c r="EN446" s="712"/>
      <c r="EO446" s="712"/>
      <c r="EP446" s="712"/>
      <c r="EQ446" s="712"/>
      <c r="ER446" s="712"/>
      <c r="ES446" s="712"/>
      <c r="ET446" s="794"/>
      <c r="EU446" s="794"/>
      <c r="EV446" s="794"/>
      <c r="EW446" s="794"/>
      <c r="EX446" s="794"/>
      <c r="EY446" s="794"/>
      <c r="EZ446" s="794"/>
      <c r="FA446" s="712"/>
      <c r="FB446" s="712"/>
      <c r="FC446" s="712"/>
      <c r="FD446" s="712"/>
      <c r="FE446" s="712"/>
      <c r="FF446" s="712"/>
      <c r="FG446" s="712"/>
      <c r="FH446" s="712"/>
      <c r="FI446" s="712"/>
      <c r="FJ446" s="712"/>
      <c r="FK446" s="712"/>
      <c r="FL446" s="712"/>
      <c r="FM446" s="712"/>
      <c r="FN446" s="712"/>
      <c r="FO446" s="712"/>
      <c r="FP446" s="712"/>
      <c r="FQ446" s="712"/>
      <c r="FR446" s="712"/>
      <c r="FS446" s="712"/>
      <c r="FT446" s="712"/>
      <c r="FU446" s="712"/>
      <c r="FV446" s="712"/>
      <c r="FW446" s="712"/>
      <c r="FX446" s="712"/>
      <c r="FZ446" s="712"/>
      <c r="GA446" s="712"/>
      <c r="GB446" s="712"/>
      <c r="GC446" s="712"/>
      <c r="GD446" s="712"/>
      <c r="GE446" s="712"/>
      <c r="GF446" s="712"/>
      <c r="GG446" s="712"/>
      <c r="GH446" s="712"/>
      <c r="GI446" s="712"/>
      <c r="GJ446" s="712"/>
      <c r="GK446" s="712"/>
      <c r="GL446" s="712"/>
      <c r="GM446" s="712"/>
      <c r="GN446" s="712"/>
      <c r="GO446" s="712"/>
      <c r="GP446" s="712"/>
      <c r="GQ446" s="712"/>
      <c r="GR446" s="712"/>
      <c r="GS446" s="712"/>
      <c r="GT446" s="712"/>
      <c r="GU446" s="712"/>
      <c r="GV446" s="712"/>
      <c r="GW446" s="712"/>
      <c r="GX446" s="712"/>
      <c r="GY446" s="712"/>
      <c r="GZ446" s="712"/>
      <c r="HA446" s="712"/>
      <c r="HB446" s="712"/>
      <c r="HC446" s="712"/>
    </row>
    <row r="447" spans="1:211">
      <c r="A447" s="707"/>
      <c r="G447" s="712"/>
      <c r="H447" s="712"/>
      <c r="I447" s="712"/>
      <c r="J447" s="712"/>
      <c r="K447" s="712"/>
      <c r="L447" s="712"/>
      <c r="M447" s="712"/>
      <c r="N447" s="712"/>
      <c r="O447" s="712"/>
      <c r="P447" s="712"/>
      <c r="Q447" s="712"/>
      <c r="R447" s="712"/>
      <c r="S447" s="712"/>
      <c r="T447" s="712"/>
      <c r="U447" s="712"/>
      <c r="V447" s="712"/>
      <c r="W447" s="712"/>
      <c r="X447" s="712"/>
      <c r="Y447" s="712"/>
      <c r="Z447" s="712"/>
      <c r="AA447" s="712"/>
      <c r="AB447" s="712"/>
      <c r="AC447" s="712"/>
      <c r="AD447" s="712"/>
      <c r="AE447" s="712"/>
      <c r="AF447" s="712"/>
      <c r="AG447" s="712"/>
      <c r="AH447" s="712"/>
      <c r="AI447" s="712"/>
      <c r="AJ447" s="712"/>
      <c r="AK447" s="712"/>
      <c r="AL447" s="712"/>
      <c r="AM447" s="712"/>
      <c r="AN447" s="712"/>
      <c r="AO447" s="712"/>
      <c r="AP447" s="712"/>
      <c r="AQ447" s="712"/>
      <c r="AR447" s="712"/>
      <c r="AS447" s="712"/>
      <c r="AT447" s="712"/>
      <c r="AU447" s="712"/>
      <c r="AV447" s="712"/>
      <c r="AW447" s="712"/>
      <c r="AX447" s="712"/>
      <c r="AY447" s="712"/>
      <c r="AZ447" s="712"/>
      <c r="BA447" s="712"/>
      <c r="BB447" s="712"/>
      <c r="BC447" s="712"/>
      <c r="BD447" s="712"/>
      <c r="BE447" s="712"/>
      <c r="BF447" s="712"/>
      <c r="BG447" s="712"/>
      <c r="BH447" s="712"/>
      <c r="BI447" s="712"/>
      <c r="BJ447" s="712"/>
      <c r="BK447" s="712"/>
      <c r="BL447" s="712"/>
      <c r="BM447" s="712"/>
      <c r="BN447" s="712"/>
      <c r="BO447" s="712"/>
      <c r="BP447" s="712"/>
      <c r="BQ447" s="712"/>
      <c r="BR447" s="712"/>
      <c r="BS447" s="712"/>
      <c r="BT447" s="712"/>
      <c r="BU447" s="712"/>
      <c r="BV447" s="712"/>
      <c r="BW447" s="712"/>
      <c r="BX447" s="712"/>
      <c r="BY447" s="712"/>
      <c r="BZ447" s="712"/>
      <c r="CA447" s="712"/>
      <c r="CB447" s="712"/>
      <c r="CC447" s="712"/>
      <c r="CD447" s="712"/>
      <c r="CE447" s="712"/>
      <c r="CF447" s="712"/>
      <c r="CG447" s="712"/>
      <c r="CH447" s="712"/>
      <c r="CI447" s="712"/>
      <c r="CJ447" s="712"/>
      <c r="CK447" s="712"/>
      <c r="CL447" s="712"/>
      <c r="CM447" s="712"/>
      <c r="CN447" s="712"/>
      <c r="CO447" s="712"/>
      <c r="CP447" s="712"/>
      <c r="CQ447" s="712"/>
      <c r="CR447" s="712"/>
      <c r="CS447" s="712"/>
      <c r="CT447" s="712"/>
      <c r="CU447" s="712"/>
      <c r="CV447" s="712"/>
      <c r="CW447" s="712"/>
      <c r="CX447" s="712"/>
      <c r="CY447" s="712"/>
      <c r="CZ447" s="712"/>
      <c r="DA447" s="712"/>
      <c r="DB447" s="712"/>
      <c r="DC447" s="712"/>
      <c r="DD447" s="712"/>
      <c r="DE447" s="712"/>
      <c r="DF447" s="712"/>
      <c r="DG447" s="712"/>
      <c r="DH447" s="712"/>
      <c r="DI447" s="712"/>
      <c r="DJ447" s="712"/>
      <c r="DK447" s="712"/>
      <c r="DL447" s="712"/>
      <c r="DM447" s="712"/>
      <c r="DN447" s="712"/>
      <c r="DO447" s="712"/>
      <c r="DP447" s="712"/>
      <c r="DQ447" s="712"/>
      <c r="DR447" s="712"/>
      <c r="DS447" s="712"/>
      <c r="DT447" s="712"/>
      <c r="DU447" s="712"/>
      <c r="DV447" s="712"/>
      <c r="DW447" s="712"/>
      <c r="DX447" s="712"/>
      <c r="DY447" s="712"/>
      <c r="DZ447" s="712"/>
      <c r="EA447" s="712"/>
      <c r="EB447" s="712"/>
      <c r="EC447" s="712"/>
      <c r="ED447" s="712"/>
      <c r="EE447" s="712"/>
      <c r="EF447" s="712"/>
      <c r="EG447" s="712"/>
      <c r="EH447" s="712"/>
      <c r="EI447" s="712"/>
      <c r="EJ447" s="712"/>
      <c r="EK447" s="712"/>
      <c r="EL447" s="712"/>
      <c r="EM447" s="712"/>
      <c r="EN447" s="712"/>
      <c r="EO447" s="712"/>
      <c r="EP447" s="712"/>
      <c r="EQ447" s="712"/>
      <c r="ER447" s="712"/>
      <c r="ES447" s="712"/>
      <c r="ET447" s="794"/>
      <c r="EU447" s="794"/>
      <c r="EV447" s="794"/>
      <c r="EW447" s="794"/>
      <c r="EX447" s="794"/>
      <c r="EY447" s="794"/>
      <c r="EZ447" s="794"/>
      <c r="FA447" s="712"/>
      <c r="FB447" s="712"/>
      <c r="FC447" s="712"/>
      <c r="FD447" s="712"/>
      <c r="FE447" s="712"/>
      <c r="FF447" s="712"/>
      <c r="FG447" s="712"/>
      <c r="FH447" s="712"/>
      <c r="FI447" s="712"/>
      <c r="FJ447" s="712"/>
      <c r="FK447" s="712"/>
      <c r="FL447" s="712"/>
      <c r="FM447" s="712"/>
      <c r="FN447" s="712"/>
      <c r="FO447" s="712"/>
      <c r="FP447" s="712"/>
      <c r="FQ447" s="712"/>
      <c r="FR447" s="712"/>
      <c r="FS447" s="712"/>
      <c r="FT447" s="712"/>
      <c r="FU447" s="712"/>
      <c r="FV447" s="712"/>
      <c r="FW447" s="712"/>
      <c r="FX447" s="712"/>
      <c r="FZ447" s="712"/>
      <c r="GA447" s="712"/>
      <c r="GB447" s="712"/>
      <c r="GC447" s="712"/>
      <c r="GD447" s="712"/>
      <c r="GE447" s="712"/>
      <c r="GF447" s="712"/>
      <c r="GG447" s="712"/>
      <c r="GH447" s="712"/>
      <c r="GI447" s="712"/>
      <c r="GJ447" s="712"/>
      <c r="GK447" s="712"/>
      <c r="GL447" s="712"/>
      <c r="GM447" s="712"/>
      <c r="GN447" s="712"/>
      <c r="GO447" s="712"/>
      <c r="GP447" s="712"/>
      <c r="GQ447" s="712"/>
      <c r="GR447" s="712"/>
      <c r="GS447" s="712"/>
      <c r="GT447" s="712"/>
      <c r="GU447" s="712"/>
      <c r="GV447" s="712"/>
      <c r="GW447" s="712"/>
      <c r="GX447" s="712"/>
      <c r="GY447" s="712"/>
      <c r="GZ447" s="712"/>
      <c r="HA447" s="712"/>
      <c r="HB447" s="712"/>
      <c r="HC447" s="712"/>
    </row>
    <row r="448" spans="1:211">
      <c r="A448" s="707"/>
      <c r="G448" s="712"/>
      <c r="H448" s="712"/>
      <c r="I448" s="712"/>
      <c r="J448" s="712"/>
      <c r="K448" s="712"/>
      <c r="L448" s="712"/>
      <c r="M448" s="712"/>
      <c r="N448" s="712"/>
      <c r="O448" s="712"/>
      <c r="P448" s="712"/>
      <c r="Q448" s="712"/>
      <c r="R448" s="712"/>
      <c r="S448" s="712"/>
      <c r="T448" s="712"/>
      <c r="U448" s="712"/>
      <c r="V448" s="712"/>
      <c r="W448" s="712"/>
      <c r="X448" s="712"/>
      <c r="Y448" s="712"/>
      <c r="Z448" s="712"/>
      <c r="AA448" s="712"/>
      <c r="AB448" s="712"/>
      <c r="AC448" s="712"/>
      <c r="AD448" s="712"/>
      <c r="AE448" s="712"/>
      <c r="AF448" s="712"/>
      <c r="AG448" s="712"/>
      <c r="AH448" s="712"/>
      <c r="AI448" s="712"/>
      <c r="AJ448" s="712"/>
      <c r="AK448" s="712"/>
      <c r="AL448" s="712"/>
      <c r="AM448" s="712"/>
      <c r="AN448" s="712"/>
      <c r="AO448" s="712"/>
      <c r="AP448" s="712"/>
      <c r="AQ448" s="712"/>
      <c r="AR448" s="712"/>
      <c r="AS448" s="712"/>
      <c r="AT448" s="712"/>
      <c r="AU448" s="712"/>
      <c r="AV448" s="712"/>
      <c r="AW448" s="712"/>
      <c r="AX448" s="712"/>
      <c r="AY448" s="712"/>
      <c r="AZ448" s="712"/>
      <c r="BA448" s="712"/>
      <c r="BB448" s="712"/>
      <c r="BC448" s="712"/>
      <c r="BD448" s="712"/>
      <c r="BE448" s="712"/>
      <c r="BF448" s="712"/>
      <c r="BG448" s="712"/>
      <c r="BH448" s="712"/>
      <c r="BI448" s="712"/>
      <c r="BJ448" s="712"/>
      <c r="BK448" s="712"/>
      <c r="BL448" s="712"/>
      <c r="BM448" s="712"/>
      <c r="BN448" s="712"/>
      <c r="BO448" s="712"/>
      <c r="BP448" s="712"/>
      <c r="BQ448" s="712"/>
      <c r="BR448" s="712"/>
      <c r="BS448" s="712"/>
      <c r="BT448" s="712"/>
      <c r="BU448" s="712"/>
      <c r="BV448" s="712"/>
      <c r="BW448" s="712"/>
      <c r="BX448" s="712"/>
      <c r="BY448" s="712"/>
      <c r="BZ448" s="712"/>
      <c r="CA448" s="712"/>
      <c r="CB448" s="712"/>
      <c r="CC448" s="712"/>
      <c r="CD448" s="712"/>
      <c r="CE448" s="712"/>
      <c r="CF448" s="712"/>
      <c r="CG448" s="712"/>
      <c r="CH448" s="712"/>
      <c r="CI448" s="712"/>
      <c r="CJ448" s="712"/>
      <c r="CK448" s="712"/>
      <c r="CL448" s="712"/>
      <c r="CM448" s="712"/>
      <c r="CN448" s="712"/>
      <c r="CO448" s="712"/>
      <c r="CP448" s="712"/>
      <c r="CQ448" s="712"/>
      <c r="CR448" s="712"/>
      <c r="CS448" s="712"/>
      <c r="CT448" s="712"/>
      <c r="CU448" s="712"/>
      <c r="CV448" s="712"/>
      <c r="CW448" s="712"/>
      <c r="CX448" s="712"/>
      <c r="CY448" s="712"/>
      <c r="CZ448" s="712"/>
      <c r="DA448" s="712"/>
      <c r="DB448" s="712"/>
      <c r="DC448" s="712"/>
      <c r="DD448" s="712"/>
      <c r="DE448" s="712"/>
      <c r="DF448" s="712"/>
      <c r="DG448" s="712"/>
      <c r="DH448" s="712"/>
      <c r="DI448" s="712"/>
      <c r="DJ448" s="712"/>
      <c r="DK448" s="712"/>
      <c r="DL448" s="712"/>
      <c r="DM448" s="712"/>
      <c r="DN448" s="712"/>
      <c r="DO448" s="712"/>
      <c r="DP448" s="712"/>
      <c r="DQ448" s="712"/>
      <c r="DR448" s="712"/>
      <c r="DS448" s="712"/>
      <c r="DT448" s="712"/>
      <c r="DU448" s="712"/>
      <c r="DV448" s="712"/>
      <c r="DW448" s="712"/>
      <c r="DX448" s="712"/>
      <c r="DY448" s="712"/>
      <c r="DZ448" s="712"/>
      <c r="EA448" s="712"/>
      <c r="EB448" s="712"/>
      <c r="EC448" s="712"/>
      <c r="ED448" s="712"/>
      <c r="EE448" s="712"/>
      <c r="EF448" s="712"/>
      <c r="EG448" s="712"/>
      <c r="EH448" s="712"/>
      <c r="EI448" s="712"/>
      <c r="EJ448" s="712"/>
      <c r="EK448" s="712"/>
      <c r="EL448" s="712"/>
      <c r="EM448" s="712"/>
      <c r="EN448" s="712"/>
      <c r="EO448" s="712"/>
      <c r="EP448" s="712"/>
      <c r="EQ448" s="712"/>
      <c r="ER448" s="712"/>
      <c r="ES448" s="712"/>
      <c r="ET448" s="794"/>
      <c r="EU448" s="794"/>
      <c r="EV448" s="794"/>
      <c r="EW448" s="794"/>
      <c r="EX448" s="794"/>
      <c r="EY448" s="794"/>
      <c r="EZ448" s="794"/>
      <c r="FA448" s="712"/>
      <c r="FB448" s="712"/>
      <c r="FC448" s="712"/>
      <c r="FD448" s="712"/>
      <c r="FE448" s="712"/>
      <c r="FF448" s="712"/>
      <c r="FG448" s="712"/>
      <c r="FH448" s="712"/>
      <c r="FI448" s="712"/>
      <c r="FJ448" s="712"/>
      <c r="FK448" s="712"/>
      <c r="FL448" s="712"/>
      <c r="FM448" s="712"/>
      <c r="FN448" s="712"/>
      <c r="FO448" s="712"/>
      <c r="FP448" s="712"/>
      <c r="FQ448" s="712"/>
      <c r="FR448" s="712"/>
      <c r="FS448" s="712"/>
      <c r="FT448" s="712"/>
      <c r="FU448" s="712"/>
      <c r="FV448" s="712"/>
      <c r="FW448" s="712"/>
      <c r="FX448" s="712"/>
      <c r="FZ448" s="712"/>
      <c r="GA448" s="712"/>
      <c r="GB448" s="712"/>
      <c r="GC448" s="712"/>
      <c r="GD448" s="712"/>
      <c r="GE448" s="712"/>
      <c r="GF448" s="712"/>
      <c r="GG448" s="712"/>
      <c r="GH448" s="712"/>
      <c r="GI448" s="712"/>
      <c r="GJ448" s="712"/>
      <c r="GK448" s="712"/>
      <c r="GL448" s="712"/>
      <c r="GM448" s="712"/>
      <c r="GN448" s="712"/>
      <c r="GO448" s="712"/>
      <c r="GP448" s="712"/>
      <c r="GQ448" s="712"/>
      <c r="GR448" s="712"/>
      <c r="GS448" s="712"/>
      <c r="GT448" s="712"/>
      <c r="GU448" s="712"/>
      <c r="GV448" s="712"/>
      <c r="GW448" s="712"/>
      <c r="GX448" s="712"/>
      <c r="GY448" s="712"/>
      <c r="GZ448" s="712"/>
      <c r="HA448" s="712"/>
      <c r="HB448" s="712"/>
      <c r="HC448" s="712"/>
    </row>
    <row r="449" spans="1:211">
      <c r="A449" s="707"/>
      <c r="G449" s="712"/>
      <c r="H449" s="712"/>
      <c r="I449" s="712"/>
      <c r="J449" s="712"/>
      <c r="K449" s="712"/>
      <c r="L449" s="712"/>
      <c r="M449" s="712"/>
      <c r="N449" s="712"/>
      <c r="O449" s="712"/>
      <c r="P449" s="712"/>
      <c r="Q449" s="712"/>
      <c r="R449" s="712"/>
      <c r="S449" s="712"/>
      <c r="T449" s="712"/>
      <c r="U449" s="712"/>
      <c r="V449" s="712"/>
      <c r="W449" s="712"/>
      <c r="X449" s="712"/>
      <c r="Y449" s="712"/>
      <c r="Z449" s="712"/>
      <c r="AA449" s="712"/>
      <c r="AB449" s="712"/>
      <c r="AC449" s="712"/>
      <c r="AD449" s="712"/>
      <c r="AE449" s="712"/>
      <c r="AF449" s="712"/>
      <c r="AG449" s="712"/>
      <c r="AH449" s="712"/>
      <c r="AI449" s="712"/>
      <c r="AJ449" s="712"/>
      <c r="AK449" s="712"/>
      <c r="AL449" s="712"/>
      <c r="AM449" s="712"/>
      <c r="AN449" s="712"/>
      <c r="AO449" s="712"/>
      <c r="AP449" s="712"/>
      <c r="AQ449" s="712"/>
      <c r="AR449" s="712"/>
      <c r="AS449" s="712"/>
      <c r="AT449" s="712"/>
      <c r="AU449" s="712"/>
      <c r="AV449" s="712"/>
      <c r="AW449" s="712"/>
      <c r="AX449" s="712"/>
      <c r="AY449" s="712"/>
      <c r="AZ449" s="712"/>
      <c r="BA449" s="712"/>
      <c r="BB449" s="712"/>
      <c r="BC449" s="712"/>
      <c r="BD449" s="712"/>
      <c r="BE449" s="712"/>
      <c r="BF449" s="712"/>
      <c r="BG449" s="712"/>
      <c r="BH449" s="712"/>
      <c r="BI449" s="712"/>
      <c r="BJ449" s="712"/>
      <c r="BK449" s="712"/>
      <c r="BL449" s="712"/>
      <c r="BM449" s="712"/>
      <c r="BN449" s="712"/>
      <c r="BO449" s="712"/>
      <c r="BP449" s="712"/>
      <c r="BQ449" s="712"/>
      <c r="BR449" s="712"/>
      <c r="BS449" s="712"/>
      <c r="BT449" s="712"/>
      <c r="BU449" s="712"/>
      <c r="BV449" s="712"/>
      <c r="BW449" s="712"/>
      <c r="BX449" s="712"/>
      <c r="BY449" s="712"/>
      <c r="BZ449" s="712"/>
      <c r="CA449" s="712"/>
      <c r="CB449" s="712"/>
      <c r="CC449" s="712"/>
      <c r="CD449" s="712"/>
      <c r="CE449" s="712"/>
      <c r="CF449" s="712"/>
      <c r="CG449" s="712"/>
      <c r="CH449" s="712"/>
      <c r="CI449" s="712"/>
      <c r="CJ449" s="712"/>
      <c r="CK449" s="712"/>
      <c r="CL449" s="712"/>
      <c r="CM449" s="712"/>
      <c r="CN449" s="712"/>
      <c r="CO449" s="712"/>
      <c r="CP449" s="712"/>
      <c r="CQ449" s="712"/>
      <c r="CR449" s="712"/>
      <c r="CS449" s="712"/>
      <c r="CT449" s="712"/>
      <c r="CU449" s="712"/>
      <c r="CV449" s="712"/>
      <c r="CW449" s="712"/>
      <c r="CX449" s="712"/>
      <c r="CY449" s="712"/>
      <c r="CZ449" s="712"/>
      <c r="DA449" s="712"/>
      <c r="DB449" s="712"/>
      <c r="DC449" s="712"/>
      <c r="DD449" s="712"/>
      <c r="DE449" s="712"/>
      <c r="DF449" s="712"/>
      <c r="DG449" s="712"/>
      <c r="DH449" s="712"/>
      <c r="DI449" s="712"/>
      <c r="DJ449" s="712"/>
      <c r="DK449" s="712"/>
      <c r="DL449" s="712"/>
      <c r="DM449" s="712"/>
      <c r="DN449" s="712"/>
      <c r="DO449" s="712"/>
      <c r="DP449" s="712"/>
      <c r="DQ449" s="712"/>
      <c r="DR449" s="712"/>
      <c r="DS449" s="712"/>
      <c r="DT449" s="712"/>
      <c r="DU449" s="712"/>
      <c r="DV449" s="712"/>
      <c r="DW449" s="712"/>
      <c r="DX449" s="712"/>
      <c r="DY449" s="712"/>
      <c r="DZ449" s="712"/>
      <c r="EA449" s="712"/>
      <c r="EB449" s="712"/>
      <c r="EC449" s="712"/>
      <c r="ED449" s="712"/>
      <c r="EE449" s="712"/>
      <c r="EF449" s="712"/>
      <c r="EG449" s="712"/>
      <c r="EH449" s="712"/>
      <c r="EI449" s="712"/>
      <c r="EJ449" s="712"/>
      <c r="EK449" s="712"/>
      <c r="EL449" s="712"/>
      <c r="EM449" s="712"/>
      <c r="EN449" s="712"/>
      <c r="EO449" s="712"/>
      <c r="EP449" s="712"/>
      <c r="EQ449" s="712"/>
      <c r="ER449" s="712"/>
      <c r="ES449" s="712"/>
      <c r="ET449" s="794"/>
      <c r="EU449" s="794"/>
      <c r="EV449" s="794"/>
      <c r="EW449" s="794"/>
      <c r="EX449" s="794"/>
      <c r="EY449" s="794"/>
      <c r="EZ449" s="794"/>
      <c r="FA449" s="712"/>
      <c r="FB449" s="712"/>
      <c r="FC449" s="712"/>
      <c r="FD449" s="712"/>
      <c r="FE449" s="712"/>
      <c r="FF449" s="712"/>
      <c r="FG449" s="712"/>
      <c r="FH449" s="712"/>
      <c r="FI449" s="712"/>
      <c r="FJ449" s="712"/>
      <c r="FK449" s="712"/>
      <c r="FL449" s="712"/>
      <c r="FM449" s="712"/>
      <c r="FN449" s="712"/>
      <c r="FO449" s="712"/>
      <c r="FP449" s="712"/>
      <c r="FQ449" s="712"/>
      <c r="FR449" s="712"/>
      <c r="FS449" s="712"/>
      <c r="FT449" s="712"/>
      <c r="FU449" s="712"/>
      <c r="FV449" s="712"/>
      <c r="FW449" s="712"/>
      <c r="FX449" s="712"/>
      <c r="FZ449" s="712"/>
      <c r="GA449" s="712"/>
      <c r="GB449" s="712"/>
      <c r="GC449" s="712"/>
      <c r="GD449" s="712"/>
      <c r="GE449" s="712"/>
      <c r="GF449" s="712"/>
      <c r="GG449" s="712"/>
      <c r="GH449" s="712"/>
      <c r="GI449" s="712"/>
      <c r="GJ449" s="712"/>
      <c r="GK449" s="712"/>
      <c r="GL449" s="712"/>
      <c r="GM449" s="712"/>
      <c r="GN449" s="712"/>
      <c r="GO449" s="712"/>
      <c r="GP449" s="712"/>
      <c r="GQ449" s="712"/>
      <c r="GR449" s="712"/>
      <c r="GS449" s="712"/>
      <c r="GT449" s="712"/>
      <c r="GU449" s="712"/>
      <c r="GV449" s="712"/>
      <c r="GW449" s="712"/>
      <c r="GX449" s="712"/>
      <c r="GY449" s="712"/>
      <c r="GZ449" s="712"/>
      <c r="HA449" s="712"/>
      <c r="HB449" s="712"/>
      <c r="HC449" s="712"/>
    </row>
    <row r="450" spans="1:211">
      <c r="A450" s="707"/>
      <c r="G450" s="712"/>
      <c r="H450" s="712"/>
      <c r="I450" s="712"/>
      <c r="J450" s="712"/>
      <c r="K450" s="712"/>
      <c r="L450" s="712"/>
      <c r="M450" s="712"/>
      <c r="N450" s="712"/>
      <c r="O450" s="712"/>
      <c r="P450" s="712"/>
      <c r="Q450" s="712"/>
      <c r="R450" s="712"/>
      <c r="S450" s="712"/>
      <c r="T450" s="712"/>
      <c r="U450" s="712"/>
      <c r="V450" s="712"/>
      <c r="W450" s="712"/>
      <c r="X450" s="712"/>
      <c r="Y450" s="712"/>
      <c r="Z450" s="712"/>
      <c r="AA450" s="712"/>
      <c r="AB450" s="712"/>
      <c r="AC450" s="712"/>
      <c r="AD450" s="712"/>
      <c r="AE450" s="712"/>
      <c r="AF450" s="712"/>
      <c r="AG450" s="712"/>
      <c r="AH450" s="712"/>
      <c r="AI450" s="712"/>
      <c r="AJ450" s="712"/>
      <c r="AK450" s="712"/>
      <c r="AL450" s="712"/>
      <c r="AM450" s="712"/>
      <c r="AN450" s="712"/>
      <c r="AO450" s="712"/>
      <c r="AP450" s="712"/>
      <c r="AQ450" s="712"/>
      <c r="AR450" s="712"/>
      <c r="AS450" s="712"/>
      <c r="AT450" s="712"/>
      <c r="AU450" s="712"/>
      <c r="AV450" s="712"/>
      <c r="AW450" s="712"/>
      <c r="AX450" s="712"/>
      <c r="AY450" s="712"/>
      <c r="AZ450" s="712"/>
      <c r="BA450" s="712"/>
      <c r="BB450" s="712"/>
      <c r="BC450" s="712"/>
      <c r="BD450" s="712"/>
      <c r="BE450" s="712"/>
      <c r="BF450" s="712"/>
      <c r="BG450" s="712"/>
      <c r="BH450" s="712"/>
      <c r="BI450" s="712"/>
      <c r="BJ450" s="712"/>
      <c r="BK450" s="712"/>
      <c r="BL450" s="712"/>
      <c r="BM450" s="712"/>
      <c r="BN450" s="712"/>
      <c r="BO450" s="712"/>
      <c r="BP450" s="712"/>
      <c r="BQ450" s="712"/>
      <c r="BR450" s="712"/>
      <c r="BS450" s="712"/>
      <c r="BT450" s="712"/>
      <c r="BU450" s="712"/>
      <c r="BV450" s="712"/>
      <c r="BW450" s="712"/>
      <c r="BX450" s="712"/>
      <c r="BY450" s="712"/>
      <c r="BZ450" s="712"/>
      <c r="CA450" s="712"/>
      <c r="CB450" s="712"/>
      <c r="CC450" s="712"/>
      <c r="CD450" s="712"/>
      <c r="CE450" s="712"/>
      <c r="CF450" s="712"/>
      <c r="CG450" s="712"/>
      <c r="CH450" s="712"/>
      <c r="CI450" s="712"/>
      <c r="CJ450" s="712"/>
      <c r="CK450" s="712"/>
      <c r="CL450" s="712"/>
      <c r="CM450" s="712"/>
      <c r="CN450" s="712"/>
      <c r="CO450" s="712"/>
      <c r="CP450" s="712"/>
      <c r="CQ450" s="712"/>
      <c r="CR450" s="712"/>
      <c r="CS450" s="712"/>
      <c r="CT450" s="712"/>
      <c r="CU450" s="712"/>
      <c r="CV450" s="712"/>
      <c r="CW450" s="712"/>
      <c r="CX450" s="712"/>
      <c r="CY450" s="712"/>
      <c r="CZ450" s="712"/>
      <c r="DA450" s="712"/>
      <c r="DB450" s="712"/>
      <c r="DC450" s="712"/>
      <c r="DD450" s="712"/>
      <c r="DE450" s="712"/>
      <c r="DF450" s="712"/>
      <c r="DG450" s="712"/>
      <c r="DH450" s="712"/>
      <c r="DI450" s="712"/>
      <c r="DJ450" s="712"/>
      <c r="DK450" s="712"/>
      <c r="DL450" s="712"/>
      <c r="DM450" s="712"/>
      <c r="DN450" s="712"/>
      <c r="DO450" s="712"/>
      <c r="DP450" s="712"/>
      <c r="DQ450" s="712"/>
      <c r="DR450" s="712"/>
      <c r="DS450" s="712"/>
      <c r="DT450" s="712"/>
      <c r="DU450" s="712"/>
      <c r="DV450" s="712"/>
      <c r="DW450" s="712"/>
      <c r="DX450" s="712"/>
      <c r="DY450" s="712"/>
      <c r="DZ450" s="712"/>
      <c r="EA450" s="712"/>
      <c r="EB450" s="712"/>
      <c r="EC450" s="712"/>
      <c r="ED450" s="712"/>
      <c r="EE450" s="712"/>
      <c r="EF450" s="712"/>
      <c r="EG450" s="712"/>
      <c r="EH450" s="712"/>
      <c r="EI450" s="712"/>
      <c r="EJ450" s="712"/>
      <c r="EK450" s="712"/>
      <c r="EL450" s="712"/>
      <c r="EM450" s="712"/>
      <c r="EN450" s="712"/>
      <c r="EO450" s="712"/>
      <c r="EP450" s="712"/>
      <c r="EQ450" s="712"/>
      <c r="ER450" s="712"/>
      <c r="ES450" s="712"/>
      <c r="ET450" s="794"/>
      <c r="EU450" s="794"/>
      <c r="EV450" s="794"/>
      <c r="EW450" s="794"/>
      <c r="EX450" s="794"/>
      <c r="EY450" s="794"/>
      <c r="EZ450" s="794"/>
      <c r="FA450" s="712"/>
      <c r="FB450" s="712"/>
      <c r="FC450" s="712"/>
      <c r="FD450" s="712"/>
      <c r="FE450" s="712"/>
      <c r="FF450" s="712"/>
      <c r="FG450" s="712"/>
      <c r="FH450" s="712"/>
      <c r="FI450" s="712"/>
      <c r="FJ450" s="712"/>
      <c r="FK450" s="712"/>
      <c r="FL450" s="712"/>
      <c r="FM450" s="712"/>
      <c r="FN450" s="712"/>
      <c r="FO450" s="712"/>
      <c r="FP450" s="712"/>
      <c r="FQ450" s="712"/>
      <c r="FR450" s="712"/>
      <c r="FS450" s="712"/>
      <c r="FT450" s="712"/>
      <c r="FU450" s="712"/>
      <c r="FV450" s="712"/>
      <c r="FW450" s="712"/>
      <c r="FX450" s="712"/>
      <c r="FZ450" s="712"/>
      <c r="GA450" s="712"/>
      <c r="GB450" s="712"/>
      <c r="GC450" s="712"/>
      <c r="GD450" s="712"/>
      <c r="GE450" s="712"/>
      <c r="GF450" s="712"/>
      <c r="GG450" s="712"/>
      <c r="GH450" s="712"/>
      <c r="GI450" s="712"/>
      <c r="GJ450" s="712"/>
      <c r="GK450" s="712"/>
      <c r="GL450" s="712"/>
      <c r="GM450" s="712"/>
      <c r="GN450" s="712"/>
      <c r="GO450" s="712"/>
      <c r="GP450" s="712"/>
      <c r="GQ450" s="712"/>
      <c r="GR450" s="712"/>
      <c r="GS450" s="712"/>
      <c r="GT450" s="712"/>
      <c r="GU450" s="712"/>
      <c r="GV450" s="712"/>
      <c r="GW450" s="712"/>
      <c r="GX450" s="712"/>
      <c r="GY450" s="712"/>
      <c r="GZ450" s="712"/>
      <c r="HA450" s="712"/>
      <c r="HB450" s="712"/>
      <c r="HC450" s="712"/>
    </row>
    <row r="451" spans="1:211">
      <c r="A451" s="707"/>
      <c r="G451" s="712"/>
      <c r="H451" s="712"/>
      <c r="I451" s="712"/>
      <c r="J451" s="712"/>
      <c r="K451" s="712"/>
      <c r="L451" s="712"/>
      <c r="M451" s="712"/>
      <c r="N451" s="712"/>
      <c r="O451" s="712"/>
      <c r="P451" s="712"/>
      <c r="Q451" s="712"/>
      <c r="R451" s="712"/>
      <c r="S451" s="712"/>
      <c r="T451" s="712"/>
      <c r="U451" s="712"/>
      <c r="V451" s="712"/>
      <c r="W451" s="712"/>
      <c r="X451" s="712"/>
      <c r="Y451" s="712"/>
      <c r="Z451" s="712"/>
      <c r="AA451" s="712"/>
      <c r="AB451" s="712"/>
      <c r="AC451" s="712"/>
      <c r="AD451" s="712"/>
      <c r="AE451" s="712"/>
      <c r="AF451" s="712"/>
      <c r="AG451" s="712"/>
      <c r="AH451" s="712"/>
      <c r="AI451" s="712"/>
      <c r="AJ451" s="712"/>
      <c r="AK451" s="712"/>
      <c r="AL451" s="712"/>
      <c r="AM451" s="712"/>
      <c r="AN451" s="712"/>
      <c r="AO451" s="712"/>
      <c r="AP451" s="712"/>
      <c r="AQ451" s="712"/>
      <c r="AR451" s="712"/>
      <c r="AS451" s="712"/>
      <c r="AT451" s="712"/>
      <c r="AU451" s="712"/>
      <c r="AV451" s="712"/>
      <c r="AW451" s="712"/>
      <c r="AX451" s="712"/>
      <c r="AY451" s="712"/>
      <c r="AZ451" s="712"/>
      <c r="BA451" s="712"/>
      <c r="BB451" s="712"/>
      <c r="BC451" s="712"/>
      <c r="BD451" s="712"/>
      <c r="BE451" s="712"/>
      <c r="BF451" s="712"/>
      <c r="BG451" s="712"/>
      <c r="BH451" s="712"/>
      <c r="BI451" s="712"/>
      <c r="BJ451" s="712"/>
      <c r="BK451" s="712"/>
      <c r="BL451" s="712"/>
      <c r="BM451" s="712"/>
      <c r="BN451" s="712"/>
      <c r="BO451" s="712"/>
      <c r="BP451" s="712"/>
      <c r="BQ451" s="712"/>
      <c r="BR451" s="712"/>
      <c r="BS451" s="712"/>
      <c r="BT451" s="712"/>
      <c r="BU451" s="712"/>
      <c r="BV451" s="712"/>
      <c r="BW451" s="712"/>
      <c r="BX451" s="712"/>
      <c r="BY451" s="712"/>
      <c r="BZ451" s="712"/>
      <c r="CA451" s="712"/>
      <c r="CB451" s="712"/>
      <c r="CC451" s="712"/>
      <c r="CD451" s="712"/>
      <c r="CE451" s="712"/>
      <c r="CF451" s="712"/>
      <c r="CG451" s="712"/>
      <c r="CH451" s="712"/>
      <c r="CI451" s="712"/>
      <c r="CJ451" s="712"/>
      <c r="CK451" s="712"/>
      <c r="CL451" s="712"/>
      <c r="CM451" s="712"/>
      <c r="CN451" s="712"/>
      <c r="CO451" s="712"/>
      <c r="CP451" s="712"/>
      <c r="CQ451" s="712"/>
      <c r="CR451" s="712"/>
      <c r="CS451" s="712"/>
      <c r="CT451" s="712"/>
      <c r="CU451" s="712"/>
      <c r="CV451" s="712"/>
      <c r="CW451" s="712"/>
      <c r="CX451" s="712"/>
      <c r="CY451" s="712"/>
      <c r="CZ451" s="712"/>
      <c r="DA451" s="712"/>
      <c r="DB451" s="712"/>
      <c r="DC451" s="712"/>
      <c r="DD451" s="712"/>
      <c r="DE451" s="712"/>
      <c r="DF451" s="712"/>
      <c r="DG451" s="712"/>
      <c r="DH451" s="712"/>
      <c r="DI451" s="712"/>
      <c r="DJ451" s="712"/>
      <c r="DK451" s="712"/>
      <c r="DL451" s="712"/>
      <c r="DM451" s="712"/>
      <c r="DN451" s="712"/>
      <c r="DO451" s="712"/>
      <c r="DP451" s="712"/>
      <c r="DQ451" s="712"/>
      <c r="DR451" s="712"/>
      <c r="DS451" s="712"/>
      <c r="DT451" s="712"/>
      <c r="DU451" s="712"/>
      <c r="DV451" s="712"/>
      <c r="DW451" s="712"/>
      <c r="DX451" s="712"/>
      <c r="DY451" s="712"/>
      <c r="DZ451" s="712"/>
      <c r="EA451" s="712"/>
      <c r="EB451" s="712"/>
      <c r="EC451" s="712"/>
      <c r="ED451" s="712"/>
      <c r="EE451" s="712"/>
      <c r="EF451" s="712"/>
      <c r="EG451" s="712"/>
      <c r="EH451" s="712"/>
      <c r="EI451" s="712"/>
      <c r="EJ451" s="712"/>
      <c r="EK451" s="712"/>
      <c r="EL451" s="712"/>
      <c r="EM451" s="712"/>
      <c r="EN451" s="712"/>
      <c r="EO451" s="712"/>
      <c r="EP451" s="712"/>
      <c r="EQ451" s="712"/>
      <c r="ER451" s="712"/>
      <c r="ES451" s="712"/>
      <c r="ET451" s="794"/>
      <c r="EU451" s="794"/>
      <c r="EV451" s="794"/>
      <c r="EW451" s="794"/>
      <c r="EX451" s="794"/>
      <c r="EY451" s="794"/>
      <c r="EZ451" s="794"/>
      <c r="FA451" s="712"/>
      <c r="FB451" s="712"/>
      <c r="FC451" s="712"/>
      <c r="FD451" s="712"/>
      <c r="FE451" s="712"/>
      <c r="FF451" s="712"/>
      <c r="FG451" s="712"/>
      <c r="FH451" s="712"/>
      <c r="FI451" s="712"/>
      <c r="FJ451" s="712"/>
      <c r="FK451" s="712"/>
      <c r="FL451" s="712"/>
      <c r="FM451" s="712"/>
      <c r="FN451" s="712"/>
      <c r="FO451" s="712"/>
      <c r="FP451" s="712"/>
      <c r="FQ451" s="712"/>
      <c r="FR451" s="712"/>
      <c r="FS451" s="712"/>
      <c r="FT451" s="712"/>
      <c r="FU451" s="712"/>
      <c r="FV451" s="712"/>
      <c r="FW451" s="712"/>
      <c r="FX451" s="712"/>
      <c r="FZ451" s="712"/>
      <c r="GA451" s="712"/>
      <c r="GB451" s="712"/>
      <c r="GC451" s="712"/>
      <c r="GD451" s="712"/>
      <c r="GE451" s="712"/>
      <c r="GF451" s="712"/>
      <c r="GG451" s="712"/>
      <c r="GH451" s="712"/>
      <c r="GI451" s="712"/>
      <c r="GJ451" s="712"/>
      <c r="GK451" s="712"/>
      <c r="GL451" s="712"/>
      <c r="GM451" s="712"/>
      <c r="GN451" s="712"/>
      <c r="GO451" s="712"/>
      <c r="GP451" s="712"/>
      <c r="GQ451" s="712"/>
      <c r="GR451" s="712"/>
      <c r="GS451" s="712"/>
      <c r="GT451" s="712"/>
      <c r="GU451" s="712"/>
      <c r="GV451" s="712"/>
      <c r="GW451" s="712"/>
      <c r="GX451" s="712"/>
      <c r="GY451" s="712"/>
      <c r="GZ451" s="712"/>
      <c r="HA451" s="712"/>
      <c r="HB451" s="712"/>
      <c r="HC451" s="712"/>
    </row>
    <row r="452" spans="1:211">
      <c r="A452" s="707"/>
      <c r="G452" s="712"/>
      <c r="H452" s="712"/>
      <c r="I452" s="712"/>
      <c r="J452" s="712"/>
      <c r="K452" s="712"/>
      <c r="L452" s="712"/>
      <c r="M452" s="712"/>
      <c r="N452" s="712"/>
      <c r="O452" s="712"/>
      <c r="P452" s="712"/>
      <c r="Q452" s="712"/>
      <c r="R452" s="712"/>
      <c r="S452" s="712"/>
      <c r="T452" s="712"/>
      <c r="U452" s="712"/>
      <c r="V452" s="712"/>
      <c r="W452" s="712"/>
      <c r="X452" s="712"/>
      <c r="Y452" s="712"/>
      <c r="Z452" s="712"/>
      <c r="AA452" s="712"/>
      <c r="AB452" s="712"/>
      <c r="AC452" s="712"/>
      <c r="AD452" s="712"/>
      <c r="AE452" s="712"/>
      <c r="AF452" s="712"/>
      <c r="AG452" s="712"/>
      <c r="AH452" s="712"/>
      <c r="AI452" s="712"/>
      <c r="AJ452" s="712"/>
      <c r="AK452" s="712"/>
      <c r="AL452" s="712"/>
      <c r="AM452" s="712"/>
      <c r="AN452" s="712"/>
      <c r="AO452" s="712"/>
      <c r="AP452" s="712"/>
      <c r="AQ452" s="712"/>
      <c r="AR452" s="712"/>
      <c r="AS452" s="712"/>
      <c r="AT452" s="712"/>
      <c r="AU452" s="712"/>
      <c r="AV452" s="712"/>
      <c r="AW452" s="712"/>
      <c r="AX452" s="712"/>
      <c r="AY452" s="712"/>
      <c r="AZ452" s="712"/>
      <c r="BA452" s="712"/>
      <c r="BB452" s="712"/>
      <c r="BC452" s="712"/>
      <c r="BD452" s="712"/>
      <c r="BE452" s="712"/>
      <c r="BF452" s="712"/>
      <c r="BG452" s="712"/>
      <c r="BH452" s="712"/>
      <c r="BI452" s="712"/>
      <c r="BJ452" s="712"/>
      <c r="BK452" s="712"/>
      <c r="BL452" s="712"/>
      <c r="BM452" s="712"/>
      <c r="BN452" s="712"/>
      <c r="BO452" s="712"/>
      <c r="BP452" s="712"/>
      <c r="BQ452" s="712"/>
      <c r="BR452" s="712"/>
      <c r="BS452" s="712"/>
      <c r="BT452" s="712"/>
      <c r="BU452" s="712"/>
      <c r="BV452" s="712"/>
      <c r="BW452" s="712"/>
      <c r="BX452" s="712"/>
      <c r="BY452" s="712"/>
      <c r="BZ452" s="712"/>
      <c r="CA452" s="712"/>
      <c r="CB452" s="712"/>
      <c r="CC452" s="712"/>
      <c r="CD452" s="712"/>
      <c r="CE452" s="712"/>
      <c r="CF452" s="712"/>
      <c r="CG452" s="712"/>
      <c r="CH452" s="712"/>
      <c r="CI452" s="712"/>
      <c r="CJ452" s="712"/>
      <c r="CK452" s="712"/>
      <c r="CL452" s="712"/>
      <c r="CM452" s="712"/>
      <c r="CN452" s="712"/>
      <c r="CO452" s="712"/>
      <c r="CP452" s="712"/>
      <c r="CQ452" s="712"/>
      <c r="CR452" s="712"/>
      <c r="CS452" s="712"/>
      <c r="CT452" s="712"/>
      <c r="CU452" s="712"/>
      <c r="CV452" s="712"/>
      <c r="CW452" s="712"/>
      <c r="CX452" s="712"/>
      <c r="CY452" s="712"/>
      <c r="CZ452" s="712"/>
      <c r="DA452" s="712"/>
      <c r="DB452" s="712"/>
      <c r="DC452" s="712"/>
      <c r="DD452" s="712"/>
      <c r="DE452" s="712"/>
      <c r="DF452" s="712"/>
      <c r="DG452" s="712"/>
      <c r="DH452" s="712"/>
      <c r="DI452" s="712"/>
      <c r="DJ452" s="712"/>
      <c r="DK452" s="712"/>
      <c r="DL452" s="712"/>
      <c r="DM452" s="712"/>
      <c r="DN452" s="712"/>
      <c r="DO452" s="712"/>
      <c r="DP452" s="712"/>
      <c r="DQ452" s="712"/>
      <c r="DR452" s="712"/>
      <c r="DS452" s="712"/>
      <c r="DT452" s="712"/>
      <c r="DU452" s="712"/>
      <c r="DV452" s="712"/>
      <c r="DW452" s="712"/>
      <c r="DX452" s="712"/>
      <c r="DY452" s="712"/>
      <c r="DZ452" s="712"/>
      <c r="EA452" s="712"/>
      <c r="EB452" s="712"/>
      <c r="EC452" s="712"/>
      <c r="ED452" s="712"/>
      <c r="EE452" s="712"/>
      <c r="EF452" s="712"/>
      <c r="EG452" s="712"/>
      <c r="EH452" s="712"/>
      <c r="EI452" s="712"/>
      <c r="EJ452" s="712"/>
      <c r="EK452" s="712"/>
      <c r="EL452" s="712"/>
      <c r="EM452" s="712"/>
      <c r="EN452" s="712"/>
      <c r="EO452" s="712"/>
      <c r="EP452" s="712"/>
      <c r="EQ452" s="712"/>
      <c r="ER452" s="712"/>
      <c r="ES452" s="712"/>
      <c r="ET452" s="794"/>
      <c r="EU452" s="794"/>
      <c r="EV452" s="794"/>
      <c r="EW452" s="794"/>
      <c r="EX452" s="794"/>
      <c r="EY452" s="794"/>
      <c r="EZ452" s="794"/>
      <c r="FA452" s="712"/>
      <c r="FB452" s="712"/>
      <c r="FC452" s="712"/>
      <c r="FD452" s="712"/>
      <c r="FE452" s="712"/>
      <c r="FF452" s="712"/>
      <c r="FG452" s="712"/>
      <c r="FH452" s="712"/>
      <c r="FI452" s="712"/>
      <c r="FJ452" s="712"/>
      <c r="FK452" s="712"/>
      <c r="FL452" s="712"/>
      <c r="FM452" s="712"/>
      <c r="FN452" s="712"/>
      <c r="FO452" s="712"/>
      <c r="FP452" s="712"/>
      <c r="FQ452" s="712"/>
      <c r="FR452" s="712"/>
      <c r="FS452" s="712"/>
      <c r="FT452" s="712"/>
      <c r="FU452" s="712"/>
      <c r="FV452" s="712"/>
      <c r="FW452" s="712"/>
      <c r="FX452" s="712"/>
      <c r="FZ452" s="712"/>
      <c r="GA452" s="712"/>
      <c r="GB452" s="712"/>
      <c r="GC452" s="712"/>
      <c r="GD452" s="712"/>
      <c r="GE452" s="712"/>
      <c r="GF452" s="712"/>
      <c r="GG452" s="712"/>
      <c r="GH452" s="712"/>
      <c r="GI452" s="712"/>
      <c r="GJ452" s="712"/>
      <c r="GK452" s="712"/>
      <c r="GL452" s="712"/>
      <c r="GM452" s="712"/>
      <c r="GN452" s="712"/>
      <c r="GO452" s="712"/>
      <c r="GP452" s="712"/>
      <c r="GQ452" s="712"/>
      <c r="GR452" s="712"/>
      <c r="GS452" s="712"/>
      <c r="GT452" s="712"/>
      <c r="GU452" s="712"/>
      <c r="GV452" s="712"/>
      <c r="GW452" s="712"/>
      <c r="GX452" s="712"/>
      <c r="GY452" s="712"/>
      <c r="GZ452" s="712"/>
      <c r="HA452" s="712"/>
      <c r="HB452" s="712"/>
      <c r="HC452" s="712"/>
    </row>
    <row r="453" spans="1:211">
      <c r="A453" s="707"/>
      <c r="G453" s="712"/>
      <c r="H453" s="712"/>
      <c r="I453" s="712"/>
      <c r="J453" s="712"/>
      <c r="K453" s="712"/>
      <c r="L453" s="712"/>
      <c r="M453" s="712"/>
      <c r="N453" s="712"/>
      <c r="O453" s="712"/>
      <c r="P453" s="712"/>
      <c r="Q453" s="712"/>
      <c r="R453" s="712"/>
      <c r="S453" s="712"/>
      <c r="T453" s="712"/>
      <c r="U453" s="712"/>
      <c r="V453" s="712"/>
      <c r="W453" s="712"/>
      <c r="X453" s="712"/>
      <c r="Y453" s="712"/>
      <c r="Z453" s="712"/>
      <c r="AA453" s="712"/>
      <c r="AB453" s="712"/>
      <c r="AC453" s="712"/>
      <c r="AD453" s="712"/>
      <c r="AE453" s="712"/>
      <c r="AF453" s="712"/>
      <c r="AG453" s="712"/>
      <c r="AH453" s="712"/>
      <c r="AI453" s="712"/>
      <c r="AJ453" s="712"/>
      <c r="AK453" s="712"/>
      <c r="AL453" s="712"/>
      <c r="AM453" s="712"/>
      <c r="AN453" s="712"/>
      <c r="AO453" s="712"/>
      <c r="AP453" s="712"/>
      <c r="AQ453" s="712"/>
      <c r="AR453" s="712"/>
      <c r="AS453" s="712"/>
      <c r="AT453" s="712"/>
      <c r="AU453" s="712"/>
      <c r="AV453" s="712"/>
      <c r="AW453" s="712"/>
      <c r="AX453" s="712"/>
      <c r="AY453" s="712"/>
      <c r="AZ453" s="712"/>
      <c r="BA453" s="712"/>
      <c r="BB453" s="712"/>
      <c r="BC453" s="712"/>
      <c r="BD453" s="712"/>
      <c r="BE453" s="712"/>
      <c r="BF453" s="712"/>
      <c r="BG453" s="712"/>
      <c r="BH453" s="712"/>
      <c r="BI453" s="712"/>
      <c r="BJ453" s="712"/>
      <c r="BK453" s="712"/>
      <c r="BL453" s="712"/>
      <c r="BM453" s="712"/>
      <c r="BN453" s="712"/>
      <c r="BO453" s="712"/>
      <c r="BP453" s="712"/>
      <c r="BQ453" s="712"/>
      <c r="BR453" s="712"/>
      <c r="BS453" s="712"/>
      <c r="BT453" s="712"/>
      <c r="BU453" s="712"/>
      <c r="BV453" s="712"/>
      <c r="BW453" s="712"/>
      <c r="BX453" s="712"/>
      <c r="BY453" s="712"/>
      <c r="BZ453" s="712"/>
      <c r="CA453" s="712"/>
      <c r="CB453" s="712"/>
      <c r="CC453" s="712"/>
      <c r="CD453" s="712"/>
      <c r="CE453" s="712"/>
      <c r="CF453" s="712"/>
      <c r="CG453" s="712"/>
      <c r="CH453" s="712"/>
      <c r="CI453" s="712"/>
      <c r="CJ453" s="712"/>
      <c r="CK453" s="712"/>
      <c r="CL453" s="712"/>
      <c r="CM453" s="712"/>
      <c r="CN453" s="712"/>
      <c r="CO453" s="712"/>
      <c r="CP453" s="712"/>
      <c r="CQ453" s="712"/>
      <c r="CR453" s="712"/>
      <c r="CS453" s="712"/>
      <c r="CT453" s="712"/>
      <c r="CU453" s="712"/>
      <c r="CV453" s="712"/>
      <c r="CW453" s="712"/>
      <c r="CX453" s="712"/>
      <c r="CY453" s="712"/>
      <c r="CZ453" s="712"/>
      <c r="DA453" s="712"/>
      <c r="DB453" s="712"/>
      <c r="DC453" s="712"/>
      <c r="DD453" s="712"/>
      <c r="DE453" s="712"/>
      <c r="DF453" s="712"/>
      <c r="DG453" s="712"/>
      <c r="DH453" s="712"/>
      <c r="DI453" s="712"/>
      <c r="DJ453" s="712"/>
      <c r="DK453" s="712"/>
      <c r="DL453" s="712"/>
      <c r="DM453" s="712"/>
      <c r="DN453" s="712"/>
      <c r="DO453" s="712"/>
      <c r="DP453" s="712"/>
      <c r="DQ453" s="712"/>
      <c r="DR453" s="712"/>
      <c r="DS453" s="712"/>
      <c r="DT453" s="712"/>
      <c r="DU453" s="712"/>
      <c r="DV453" s="712"/>
      <c r="DW453" s="712"/>
      <c r="DX453" s="712"/>
      <c r="DY453" s="712"/>
      <c r="DZ453" s="712"/>
      <c r="EA453" s="712"/>
      <c r="EB453" s="712"/>
      <c r="EC453" s="712"/>
      <c r="ED453" s="712"/>
      <c r="EE453" s="712"/>
      <c r="EF453" s="712"/>
      <c r="EG453" s="712"/>
      <c r="EH453" s="712"/>
      <c r="EI453" s="712"/>
      <c r="EJ453" s="712"/>
      <c r="EK453" s="712"/>
      <c r="EL453" s="712"/>
      <c r="EM453" s="712"/>
      <c r="EN453" s="712"/>
      <c r="EO453" s="712"/>
      <c r="EP453" s="712"/>
      <c r="EQ453" s="712"/>
      <c r="ER453" s="712"/>
      <c r="ES453" s="712"/>
      <c r="ET453" s="794"/>
      <c r="EU453" s="794"/>
      <c r="EV453" s="794"/>
      <c r="EW453" s="794"/>
      <c r="EX453" s="794"/>
      <c r="EY453" s="794"/>
      <c r="EZ453" s="794"/>
      <c r="FA453" s="712"/>
      <c r="FB453" s="712"/>
      <c r="FC453" s="712"/>
      <c r="FD453" s="712"/>
      <c r="FE453" s="712"/>
      <c r="FF453" s="712"/>
      <c r="FG453" s="712"/>
      <c r="FH453" s="712"/>
      <c r="FI453" s="712"/>
      <c r="FJ453" s="712"/>
      <c r="FK453" s="712"/>
      <c r="FL453" s="712"/>
      <c r="FM453" s="712"/>
      <c r="FN453" s="712"/>
      <c r="FO453" s="712"/>
      <c r="FP453" s="712"/>
      <c r="FQ453" s="712"/>
      <c r="FR453" s="712"/>
      <c r="FS453" s="712"/>
      <c r="FT453" s="712"/>
      <c r="FU453" s="712"/>
      <c r="FV453" s="712"/>
      <c r="FW453" s="712"/>
      <c r="FX453" s="712"/>
      <c r="FZ453" s="712"/>
      <c r="GA453" s="712"/>
      <c r="GB453" s="712"/>
      <c r="GC453" s="712"/>
      <c r="GD453" s="712"/>
      <c r="GE453" s="712"/>
      <c r="GF453" s="712"/>
      <c r="GG453" s="712"/>
      <c r="GH453" s="712"/>
      <c r="GI453" s="712"/>
      <c r="GJ453" s="712"/>
      <c r="GK453" s="712"/>
      <c r="GL453" s="712"/>
      <c r="GM453" s="712"/>
      <c r="GN453" s="712"/>
      <c r="GO453" s="712"/>
      <c r="GP453" s="712"/>
      <c r="GQ453" s="712"/>
      <c r="GR453" s="712"/>
      <c r="GS453" s="712"/>
      <c r="GT453" s="712"/>
      <c r="GU453" s="712"/>
      <c r="GV453" s="712"/>
      <c r="GW453" s="712"/>
      <c r="GX453" s="712"/>
      <c r="GY453" s="712"/>
      <c r="GZ453" s="712"/>
      <c r="HA453" s="712"/>
      <c r="HB453" s="712"/>
      <c r="HC453" s="712"/>
    </row>
    <row r="454" spans="1:211">
      <c r="A454" s="707"/>
      <c r="G454" s="712"/>
      <c r="H454" s="712"/>
      <c r="I454" s="712"/>
      <c r="J454" s="712"/>
      <c r="K454" s="712"/>
      <c r="L454" s="712"/>
      <c r="M454" s="712"/>
      <c r="N454" s="712"/>
      <c r="O454" s="712"/>
      <c r="P454" s="712"/>
      <c r="Q454" s="712"/>
      <c r="R454" s="712"/>
      <c r="S454" s="712"/>
      <c r="T454" s="712"/>
      <c r="U454" s="712"/>
      <c r="V454" s="712"/>
      <c r="W454" s="712"/>
      <c r="X454" s="712"/>
      <c r="Y454" s="712"/>
      <c r="Z454" s="712"/>
      <c r="AA454" s="712"/>
      <c r="AB454" s="712"/>
      <c r="AC454" s="712"/>
      <c r="AD454" s="712"/>
      <c r="AE454" s="712"/>
      <c r="AF454" s="712"/>
      <c r="AG454" s="712"/>
      <c r="AH454" s="712"/>
      <c r="AI454" s="712"/>
      <c r="AJ454" s="712"/>
      <c r="AK454" s="712"/>
      <c r="AL454" s="712"/>
      <c r="AM454" s="712"/>
      <c r="AN454" s="712"/>
      <c r="AO454" s="712"/>
      <c r="AP454" s="712"/>
      <c r="AQ454" s="712"/>
      <c r="AR454" s="712"/>
      <c r="AS454" s="712"/>
      <c r="AT454" s="712"/>
      <c r="AU454" s="712"/>
      <c r="AV454" s="712"/>
      <c r="AW454" s="712"/>
      <c r="AX454" s="712"/>
      <c r="AY454" s="712"/>
      <c r="AZ454" s="712"/>
      <c r="BA454" s="712"/>
      <c r="BB454" s="712"/>
      <c r="BC454" s="712"/>
      <c r="BD454" s="712"/>
      <c r="BE454" s="712"/>
      <c r="BF454" s="712"/>
      <c r="BG454" s="712"/>
      <c r="BH454" s="712"/>
      <c r="BI454" s="712"/>
      <c r="BJ454" s="712"/>
      <c r="BK454" s="712"/>
      <c r="BL454" s="712"/>
      <c r="BM454" s="712"/>
      <c r="BN454" s="712"/>
      <c r="BO454" s="712"/>
      <c r="BP454" s="712"/>
      <c r="BQ454" s="712"/>
      <c r="BR454" s="712"/>
      <c r="BS454" s="712"/>
      <c r="BT454" s="712"/>
      <c r="BU454" s="712"/>
      <c r="BV454" s="712"/>
      <c r="BW454" s="712"/>
      <c r="BX454" s="712"/>
      <c r="BY454" s="712"/>
      <c r="BZ454" s="712"/>
      <c r="CA454" s="712"/>
      <c r="CB454" s="712"/>
      <c r="CC454" s="712"/>
      <c r="CD454" s="712"/>
      <c r="CE454" s="712"/>
      <c r="CF454" s="712"/>
      <c r="CG454" s="712"/>
      <c r="CH454" s="712"/>
      <c r="CI454" s="712"/>
      <c r="CJ454" s="712"/>
      <c r="CK454" s="712"/>
      <c r="CL454" s="712"/>
      <c r="CM454" s="712"/>
      <c r="CN454" s="712"/>
      <c r="CO454" s="712"/>
      <c r="CP454" s="712"/>
      <c r="CQ454" s="712"/>
      <c r="CR454" s="712"/>
      <c r="CS454" s="712"/>
      <c r="CT454" s="712"/>
      <c r="CU454" s="712"/>
      <c r="CV454" s="712"/>
      <c r="CW454" s="712"/>
      <c r="CX454" s="712"/>
      <c r="CY454" s="712"/>
      <c r="CZ454" s="712"/>
      <c r="DA454" s="712"/>
      <c r="DB454" s="712"/>
      <c r="DC454" s="712"/>
      <c r="DD454" s="712"/>
      <c r="DE454" s="712"/>
      <c r="DF454" s="712"/>
      <c r="DG454" s="712"/>
      <c r="DH454" s="712"/>
      <c r="DI454" s="712"/>
      <c r="DJ454" s="712"/>
      <c r="DK454" s="712"/>
      <c r="DL454" s="712"/>
      <c r="DM454" s="712"/>
      <c r="DN454" s="712"/>
      <c r="DO454" s="712"/>
      <c r="DP454" s="712"/>
      <c r="DQ454" s="712"/>
      <c r="DR454" s="712"/>
      <c r="DS454" s="712"/>
      <c r="DT454" s="712"/>
      <c r="DU454" s="712"/>
      <c r="DV454" s="712"/>
      <c r="DW454" s="712"/>
      <c r="DX454" s="712"/>
      <c r="DY454" s="712"/>
      <c r="DZ454" s="712"/>
      <c r="EA454" s="712"/>
      <c r="EB454" s="712"/>
      <c r="EC454" s="712"/>
      <c r="ED454" s="712"/>
      <c r="EE454" s="712"/>
      <c r="EF454" s="712"/>
      <c r="EG454" s="712"/>
      <c r="EH454" s="712"/>
      <c r="EI454" s="712"/>
      <c r="EJ454" s="712"/>
      <c r="EK454" s="712"/>
      <c r="EL454" s="712"/>
      <c r="EM454" s="712"/>
      <c r="EN454" s="712"/>
      <c r="EO454" s="712"/>
      <c r="EP454" s="712"/>
      <c r="EQ454" s="712"/>
      <c r="ER454" s="712"/>
      <c r="ES454" s="712"/>
      <c r="ET454" s="794"/>
      <c r="EU454" s="794"/>
      <c r="EV454" s="794"/>
      <c r="EW454" s="794"/>
      <c r="EX454" s="794"/>
      <c r="EY454" s="794"/>
      <c r="EZ454" s="794"/>
      <c r="FA454" s="712"/>
      <c r="FB454" s="712"/>
      <c r="FC454" s="712"/>
      <c r="FD454" s="712"/>
      <c r="FE454" s="712"/>
      <c r="FF454" s="712"/>
      <c r="FG454" s="712"/>
      <c r="FH454" s="712"/>
      <c r="FI454" s="712"/>
      <c r="FJ454" s="712"/>
      <c r="FK454" s="712"/>
      <c r="FL454" s="712"/>
      <c r="FM454" s="712"/>
      <c r="FN454" s="712"/>
      <c r="FO454" s="712"/>
      <c r="FP454" s="712"/>
      <c r="FQ454" s="712"/>
      <c r="FR454" s="712"/>
      <c r="FS454" s="712"/>
      <c r="FT454" s="712"/>
      <c r="FU454" s="712"/>
      <c r="FV454" s="712"/>
      <c r="FW454" s="712"/>
      <c r="FX454" s="712"/>
      <c r="FZ454" s="712"/>
      <c r="GA454" s="712"/>
      <c r="GB454" s="712"/>
      <c r="GC454" s="712"/>
      <c r="GD454" s="712"/>
      <c r="GE454" s="712"/>
      <c r="GF454" s="712"/>
      <c r="GG454" s="712"/>
      <c r="GH454" s="712"/>
      <c r="GI454" s="712"/>
      <c r="GJ454" s="712"/>
      <c r="GK454" s="712"/>
      <c r="GL454" s="712"/>
      <c r="GM454" s="712"/>
      <c r="GN454" s="712"/>
      <c r="GO454" s="712"/>
      <c r="GP454" s="712"/>
      <c r="GQ454" s="712"/>
      <c r="GR454" s="712"/>
      <c r="GS454" s="712"/>
      <c r="GT454" s="712"/>
      <c r="GU454" s="712"/>
      <c r="GV454" s="712"/>
      <c r="GW454" s="712"/>
      <c r="GX454" s="712"/>
      <c r="GY454" s="712"/>
      <c r="GZ454" s="712"/>
      <c r="HA454" s="712"/>
      <c r="HB454" s="712"/>
      <c r="HC454" s="712"/>
    </row>
    <row r="455" spans="1:211">
      <c r="A455" s="707"/>
      <c r="G455" s="712"/>
      <c r="H455" s="712"/>
      <c r="I455" s="712"/>
      <c r="J455" s="712"/>
      <c r="K455" s="712"/>
      <c r="L455" s="712"/>
      <c r="M455" s="712"/>
      <c r="N455" s="712"/>
      <c r="O455" s="712"/>
      <c r="P455" s="712"/>
      <c r="Q455" s="712"/>
      <c r="R455" s="712"/>
      <c r="S455" s="712"/>
      <c r="T455" s="712"/>
      <c r="U455" s="712"/>
      <c r="V455" s="712"/>
      <c r="W455" s="712"/>
      <c r="X455" s="712"/>
      <c r="Y455" s="712"/>
      <c r="Z455" s="712"/>
      <c r="AA455" s="712"/>
      <c r="AB455" s="712"/>
      <c r="AC455" s="712"/>
      <c r="AD455" s="712"/>
      <c r="AE455" s="712"/>
      <c r="AF455" s="712"/>
      <c r="AG455" s="712"/>
      <c r="AH455" s="712"/>
      <c r="AI455" s="712"/>
      <c r="AJ455" s="712"/>
      <c r="AK455" s="712"/>
      <c r="AL455" s="712"/>
      <c r="AM455" s="712"/>
      <c r="AN455" s="712"/>
      <c r="AO455" s="712"/>
      <c r="AP455" s="712"/>
      <c r="AQ455" s="712"/>
      <c r="AR455" s="712"/>
      <c r="AS455" s="712"/>
      <c r="AT455" s="712"/>
      <c r="AU455" s="712"/>
      <c r="AV455" s="712"/>
      <c r="AW455" s="712"/>
      <c r="AX455" s="712"/>
      <c r="AY455" s="712"/>
      <c r="AZ455" s="712"/>
      <c r="BA455" s="712"/>
      <c r="BB455" s="712"/>
      <c r="BC455" s="712"/>
      <c r="BD455" s="712"/>
      <c r="BE455" s="712"/>
      <c r="BF455" s="712"/>
      <c r="BG455" s="712"/>
      <c r="BH455" s="712"/>
      <c r="BI455" s="712"/>
      <c r="BJ455" s="712"/>
      <c r="BK455" s="712"/>
      <c r="BL455" s="712"/>
      <c r="BM455" s="712"/>
      <c r="BN455" s="712"/>
      <c r="BO455" s="712"/>
      <c r="BP455" s="712"/>
      <c r="BQ455" s="712"/>
      <c r="BR455" s="712"/>
      <c r="BS455" s="712"/>
      <c r="BT455" s="712"/>
      <c r="BU455" s="712"/>
      <c r="BV455" s="712"/>
      <c r="BW455" s="712"/>
      <c r="BX455" s="712"/>
      <c r="BY455" s="712"/>
      <c r="BZ455" s="712"/>
      <c r="CA455" s="712"/>
      <c r="CB455" s="712"/>
      <c r="CC455" s="712"/>
      <c r="CD455" s="712"/>
      <c r="CE455" s="712"/>
      <c r="CF455" s="712"/>
      <c r="CG455" s="712"/>
      <c r="CH455" s="712"/>
      <c r="CI455" s="712"/>
      <c r="CJ455" s="712"/>
      <c r="CK455" s="712"/>
      <c r="CL455" s="712"/>
      <c r="CM455" s="712"/>
      <c r="CN455" s="712"/>
      <c r="CO455" s="712"/>
      <c r="CP455" s="712"/>
      <c r="CQ455" s="712"/>
      <c r="CR455" s="712"/>
      <c r="CS455" s="712"/>
      <c r="CT455" s="712"/>
      <c r="CU455" s="712"/>
      <c r="CV455" s="712"/>
      <c r="CW455" s="712"/>
      <c r="CX455" s="712"/>
      <c r="CY455" s="712"/>
      <c r="CZ455" s="712"/>
      <c r="DA455" s="712"/>
      <c r="DB455" s="712"/>
      <c r="DC455" s="712"/>
      <c r="DD455" s="712"/>
      <c r="DE455" s="712"/>
      <c r="DF455" s="712"/>
      <c r="DG455" s="712"/>
      <c r="DH455" s="712"/>
      <c r="DI455" s="712"/>
      <c r="DJ455" s="712"/>
      <c r="DK455" s="712"/>
      <c r="DL455" s="712"/>
      <c r="DM455" s="712"/>
      <c r="DN455" s="712"/>
      <c r="DO455" s="712"/>
      <c r="DP455" s="712"/>
      <c r="DQ455" s="712"/>
      <c r="DR455" s="712"/>
      <c r="DS455" s="712"/>
      <c r="DT455" s="712"/>
      <c r="DU455" s="712"/>
      <c r="DV455" s="712"/>
      <c r="DW455" s="712"/>
      <c r="DX455" s="712"/>
      <c r="DY455" s="712"/>
      <c r="DZ455" s="712"/>
      <c r="EA455" s="712"/>
      <c r="EB455" s="712"/>
      <c r="EC455" s="712"/>
      <c r="ED455" s="712"/>
      <c r="EE455" s="712"/>
      <c r="EF455" s="712"/>
      <c r="EG455" s="712"/>
      <c r="EH455" s="712"/>
      <c r="EI455" s="712"/>
      <c r="EJ455" s="712"/>
      <c r="EK455" s="712"/>
      <c r="EL455" s="712"/>
      <c r="EM455" s="712"/>
      <c r="EN455" s="712"/>
      <c r="EO455" s="712"/>
      <c r="EP455" s="712"/>
      <c r="EQ455" s="712"/>
      <c r="ER455" s="712"/>
      <c r="ES455" s="712"/>
      <c r="ET455" s="794"/>
      <c r="EU455" s="794"/>
      <c r="EV455" s="794"/>
      <c r="EW455" s="794"/>
      <c r="EX455" s="794"/>
      <c r="EY455" s="794"/>
      <c r="EZ455" s="794"/>
      <c r="FA455" s="712"/>
      <c r="FB455" s="712"/>
      <c r="FC455" s="712"/>
      <c r="FD455" s="712"/>
      <c r="FE455" s="712"/>
      <c r="FF455" s="712"/>
      <c r="FG455" s="712"/>
      <c r="FH455" s="712"/>
      <c r="FI455" s="712"/>
      <c r="FJ455" s="712"/>
      <c r="FK455" s="712"/>
      <c r="FL455" s="712"/>
      <c r="FM455" s="712"/>
      <c r="FN455" s="712"/>
      <c r="FO455" s="712"/>
      <c r="FP455" s="712"/>
      <c r="FQ455" s="712"/>
      <c r="FR455" s="712"/>
      <c r="FS455" s="712"/>
      <c r="FT455" s="712"/>
      <c r="FU455" s="712"/>
      <c r="FV455" s="712"/>
      <c r="FW455" s="712"/>
      <c r="FX455" s="712"/>
      <c r="FZ455" s="712"/>
      <c r="GA455" s="712"/>
      <c r="GB455" s="712"/>
      <c r="GC455" s="712"/>
      <c r="GD455" s="712"/>
      <c r="GE455" s="712"/>
      <c r="GF455" s="712"/>
      <c r="GG455" s="712"/>
      <c r="GH455" s="712"/>
      <c r="GI455" s="712"/>
      <c r="GJ455" s="712"/>
      <c r="GK455" s="712"/>
      <c r="GL455" s="712"/>
      <c r="GM455" s="712"/>
      <c r="GN455" s="712"/>
      <c r="GO455" s="712"/>
      <c r="GP455" s="712"/>
      <c r="GQ455" s="712"/>
      <c r="GR455" s="712"/>
      <c r="GS455" s="712"/>
      <c r="GT455" s="712"/>
      <c r="GU455" s="712"/>
      <c r="GV455" s="712"/>
      <c r="GW455" s="712"/>
      <c r="GX455" s="712"/>
      <c r="GY455" s="712"/>
      <c r="GZ455" s="712"/>
      <c r="HA455" s="712"/>
      <c r="HB455" s="712"/>
      <c r="HC455" s="712"/>
    </row>
    <row r="456" spans="1:211">
      <c r="A456" s="707"/>
      <c r="G456" s="712"/>
      <c r="H456" s="712"/>
      <c r="I456" s="712"/>
      <c r="J456" s="712"/>
      <c r="K456" s="712"/>
      <c r="L456" s="712"/>
      <c r="M456" s="712"/>
      <c r="N456" s="712"/>
      <c r="O456" s="712"/>
      <c r="P456" s="712"/>
      <c r="Q456" s="712"/>
      <c r="R456" s="712"/>
      <c r="S456" s="712"/>
      <c r="T456" s="712"/>
      <c r="U456" s="712"/>
      <c r="V456" s="712"/>
      <c r="W456" s="712"/>
      <c r="X456" s="712"/>
      <c r="Y456" s="712"/>
      <c r="Z456" s="712"/>
      <c r="AA456" s="712"/>
      <c r="AB456" s="712"/>
      <c r="AC456" s="712"/>
      <c r="AD456" s="712"/>
      <c r="AE456" s="712"/>
      <c r="AF456" s="712"/>
      <c r="AG456" s="712"/>
      <c r="AH456" s="712"/>
      <c r="AI456" s="712"/>
      <c r="AJ456" s="712"/>
      <c r="AK456" s="712"/>
      <c r="AL456" s="712"/>
      <c r="AM456" s="712"/>
      <c r="AN456" s="712"/>
      <c r="AO456" s="712"/>
      <c r="AP456" s="712"/>
      <c r="AQ456" s="712"/>
      <c r="AR456" s="712"/>
      <c r="AS456" s="712"/>
      <c r="AT456" s="712"/>
      <c r="AU456" s="712"/>
      <c r="AV456" s="712"/>
      <c r="AW456" s="712"/>
      <c r="AX456" s="712"/>
      <c r="AY456" s="712"/>
      <c r="AZ456" s="712"/>
      <c r="BA456" s="712"/>
      <c r="BB456" s="712"/>
      <c r="BC456" s="712"/>
      <c r="BD456" s="712"/>
      <c r="BE456" s="712"/>
      <c r="BF456" s="712"/>
      <c r="BG456" s="712"/>
      <c r="BH456" s="712"/>
      <c r="BI456" s="712"/>
      <c r="BJ456" s="712"/>
      <c r="BK456" s="712"/>
      <c r="BL456" s="712"/>
      <c r="BM456" s="712"/>
      <c r="BN456" s="712"/>
      <c r="BO456" s="712"/>
      <c r="BP456" s="712"/>
      <c r="BQ456" s="712"/>
      <c r="BR456" s="712"/>
      <c r="BS456" s="712"/>
      <c r="BT456" s="712"/>
      <c r="BU456" s="712"/>
      <c r="BV456" s="712"/>
      <c r="BW456" s="712"/>
      <c r="BX456" s="712"/>
      <c r="BY456" s="712"/>
      <c r="BZ456" s="712"/>
      <c r="CA456" s="712"/>
      <c r="CB456" s="712"/>
      <c r="CC456" s="712"/>
      <c r="CD456" s="712"/>
      <c r="CE456" s="712"/>
      <c r="CF456" s="712"/>
      <c r="CG456" s="712"/>
      <c r="CH456" s="712"/>
      <c r="CI456" s="712"/>
      <c r="CJ456" s="712"/>
      <c r="CK456" s="712"/>
      <c r="CL456" s="712"/>
      <c r="CM456" s="712"/>
      <c r="CN456" s="712"/>
      <c r="CO456" s="712"/>
      <c r="CP456" s="712"/>
      <c r="CQ456" s="712"/>
      <c r="CR456" s="712"/>
      <c r="CS456" s="712"/>
      <c r="CT456" s="712"/>
      <c r="CU456" s="712"/>
      <c r="CV456" s="712"/>
      <c r="CW456" s="712"/>
      <c r="CX456" s="712"/>
      <c r="CY456" s="712"/>
      <c r="CZ456" s="712"/>
      <c r="DA456" s="712"/>
      <c r="DB456" s="712"/>
      <c r="DC456" s="712"/>
      <c r="DD456" s="712"/>
      <c r="DE456" s="712"/>
      <c r="DF456" s="712"/>
      <c r="DG456" s="712"/>
      <c r="DH456" s="712"/>
      <c r="DI456" s="712"/>
      <c r="DJ456" s="712"/>
      <c r="DK456" s="712"/>
      <c r="DL456" s="712"/>
      <c r="DM456" s="712"/>
      <c r="DN456" s="712"/>
      <c r="DO456" s="712"/>
      <c r="DP456" s="712"/>
      <c r="DQ456" s="712"/>
      <c r="DR456" s="712"/>
      <c r="DS456" s="712"/>
      <c r="DT456" s="712"/>
      <c r="DU456" s="712"/>
      <c r="DV456" s="712"/>
      <c r="DW456" s="712"/>
      <c r="DX456" s="712"/>
      <c r="DY456" s="712"/>
      <c r="DZ456" s="712"/>
      <c r="EA456" s="712"/>
      <c r="EB456" s="712"/>
      <c r="EC456" s="712"/>
      <c r="ED456" s="712"/>
      <c r="EE456" s="712"/>
      <c r="EF456" s="712"/>
      <c r="EG456" s="712"/>
      <c r="EH456" s="712"/>
      <c r="EI456" s="712"/>
      <c r="EJ456" s="712"/>
      <c r="EK456" s="712"/>
      <c r="EL456" s="712"/>
      <c r="EM456" s="712"/>
      <c r="EN456" s="712"/>
      <c r="EO456" s="712"/>
      <c r="EP456" s="712"/>
      <c r="EQ456" s="712"/>
      <c r="ER456" s="712"/>
      <c r="ES456" s="712"/>
      <c r="ET456" s="794"/>
      <c r="EU456" s="794"/>
      <c r="EV456" s="794"/>
      <c r="EW456" s="794"/>
      <c r="EX456" s="794"/>
      <c r="EY456" s="794"/>
      <c r="EZ456" s="794"/>
      <c r="FA456" s="712"/>
      <c r="FB456" s="712"/>
      <c r="FC456" s="712"/>
      <c r="FD456" s="712"/>
      <c r="FE456" s="712"/>
      <c r="FF456" s="712"/>
      <c r="FG456" s="712"/>
      <c r="FH456" s="712"/>
      <c r="FI456" s="712"/>
      <c r="FJ456" s="712"/>
      <c r="FK456" s="712"/>
      <c r="FL456" s="712"/>
      <c r="FM456" s="712"/>
      <c r="FN456" s="712"/>
      <c r="FO456" s="712"/>
      <c r="FP456" s="712"/>
      <c r="FQ456" s="712"/>
      <c r="FR456" s="712"/>
      <c r="FS456" s="712"/>
      <c r="FT456" s="712"/>
      <c r="FU456" s="712"/>
      <c r="FV456" s="712"/>
      <c r="FW456" s="712"/>
      <c r="FX456" s="712"/>
      <c r="FZ456" s="712"/>
      <c r="GA456" s="712"/>
      <c r="GB456" s="712"/>
      <c r="GC456" s="712"/>
      <c r="GD456" s="712"/>
      <c r="GE456" s="712"/>
      <c r="GF456" s="712"/>
      <c r="GG456" s="712"/>
      <c r="GH456" s="712"/>
      <c r="GI456" s="712"/>
      <c r="GJ456" s="712"/>
      <c r="GK456" s="712"/>
      <c r="GL456" s="712"/>
      <c r="GM456" s="712"/>
      <c r="GN456" s="712"/>
      <c r="GO456" s="712"/>
      <c r="GP456" s="712"/>
      <c r="GQ456" s="712"/>
      <c r="GR456" s="712"/>
      <c r="GS456" s="712"/>
      <c r="GT456" s="712"/>
      <c r="GU456" s="712"/>
      <c r="GV456" s="712"/>
      <c r="GW456" s="712"/>
      <c r="GX456" s="712"/>
      <c r="GY456" s="712"/>
      <c r="GZ456" s="712"/>
      <c r="HA456" s="712"/>
      <c r="HB456" s="712"/>
      <c r="HC456" s="712"/>
    </row>
    <row r="457" spans="1:211">
      <c r="A457" s="707"/>
      <c r="G457" s="712"/>
      <c r="H457" s="712"/>
      <c r="I457" s="712"/>
      <c r="J457" s="712"/>
      <c r="K457" s="712"/>
      <c r="L457" s="712"/>
      <c r="M457" s="712"/>
      <c r="N457" s="712"/>
      <c r="O457" s="712"/>
      <c r="P457" s="712"/>
      <c r="Q457" s="712"/>
      <c r="R457" s="712"/>
      <c r="S457" s="712"/>
      <c r="T457" s="712"/>
      <c r="U457" s="712"/>
      <c r="V457" s="712"/>
      <c r="W457" s="712"/>
      <c r="X457" s="712"/>
      <c r="Y457" s="712"/>
      <c r="Z457" s="712"/>
      <c r="AA457" s="712"/>
      <c r="AB457" s="712"/>
      <c r="AC457" s="712"/>
      <c r="AD457" s="712"/>
      <c r="AE457" s="712"/>
      <c r="AF457" s="712"/>
      <c r="AG457" s="712"/>
      <c r="AH457" s="712"/>
      <c r="AI457" s="712"/>
      <c r="AJ457" s="712"/>
      <c r="AK457" s="712"/>
      <c r="AL457" s="712"/>
      <c r="AM457" s="712"/>
      <c r="AN457" s="712"/>
      <c r="AO457" s="712"/>
      <c r="AP457" s="712"/>
      <c r="AQ457" s="712"/>
      <c r="AR457" s="712"/>
      <c r="AS457" s="712"/>
      <c r="AT457" s="712"/>
      <c r="AU457" s="712"/>
      <c r="AV457" s="712"/>
      <c r="AW457" s="712"/>
      <c r="AX457" s="712"/>
      <c r="AY457" s="712"/>
      <c r="AZ457" s="712"/>
      <c r="BA457" s="712"/>
      <c r="BB457" s="712"/>
      <c r="BC457" s="712"/>
      <c r="BD457" s="712"/>
      <c r="BE457" s="712"/>
      <c r="BF457" s="712"/>
      <c r="BG457" s="712"/>
      <c r="BH457" s="712"/>
      <c r="BI457" s="712"/>
      <c r="BJ457" s="712"/>
      <c r="BK457" s="712"/>
      <c r="BL457" s="712"/>
      <c r="BM457" s="712"/>
      <c r="BN457" s="712"/>
      <c r="BO457" s="712"/>
      <c r="BP457" s="712"/>
      <c r="BQ457" s="712"/>
      <c r="BR457" s="712"/>
      <c r="BS457" s="712"/>
      <c r="BT457" s="712"/>
      <c r="BU457" s="712"/>
      <c r="BV457" s="712"/>
      <c r="BW457" s="712"/>
      <c r="BX457" s="712"/>
      <c r="BY457" s="712"/>
      <c r="BZ457" s="712"/>
      <c r="CA457" s="712"/>
      <c r="CB457" s="712"/>
      <c r="CC457" s="712"/>
      <c r="CD457" s="712"/>
      <c r="CE457" s="712"/>
      <c r="CF457" s="712"/>
      <c r="CG457" s="712"/>
      <c r="CH457" s="712"/>
      <c r="CI457" s="712"/>
      <c r="CJ457" s="712"/>
      <c r="CK457" s="712"/>
      <c r="CL457" s="712"/>
      <c r="CM457" s="712"/>
      <c r="CN457" s="712"/>
      <c r="CO457" s="712"/>
      <c r="CP457" s="712"/>
      <c r="CQ457" s="712"/>
      <c r="CR457" s="712"/>
      <c r="CS457" s="712"/>
      <c r="CT457" s="712"/>
      <c r="CU457" s="712"/>
      <c r="CV457" s="712"/>
      <c r="CW457" s="712"/>
      <c r="CX457" s="712"/>
      <c r="CY457" s="712"/>
      <c r="CZ457" s="712"/>
      <c r="DA457" s="712"/>
      <c r="DB457" s="712"/>
      <c r="DC457" s="712"/>
      <c r="DD457" s="712"/>
      <c r="DE457" s="712"/>
      <c r="DF457" s="712"/>
      <c r="DG457" s="712"/>
      <c r="DH457" s="712"/>
      <c r="DI457" s="712"/>
      <c r="DJ457" s="712"/>
      <c r="DK457" s="712"/>
      <c r="DL457" s="712"/>
      <c r="DM457" s="712"/>
      <c r="DN457" s="712"/>
      <c r="DO457" s="712"/>
      <c r="DP457" s="712"/>
      <c r="DQ457" s="712"/>
      <c r="DR457" s="712"/>
      <c r="DS457" s="712"/>
      <c r="DT457" s="712"/>
      <c r="DU457" s="712"/>
      <c r="DV457" s="712"/>
      <c r="DW457" s="712"/>
      <c r="DX457" s="712"/>
      <c r="DY457" s="712"/>
      <c r="DZ457" s="712"/>
      <c r="EA457" s="712"/>
      <c r="EB457" s="712"/>
      <c r="EC457" s="712"/>
      <c r="ED457" s="712"/>
      <c r="EE457" s="712"/>
      <c r="EF457" s="712"/>
      <c r="EG457" s="712"/>
      <c r="EH457" s="712"/>
      <c r="EI457" s="712"/>
      <c r="EJ457" s="712"/>
      <c r="EK457" s="712"/>
      <c r="EL457" s="712"/>
      <c r="EM457" s="712"/>
      <c r="EN457" s="712"/>
      <c r="EO457" s="712"/>
      <c r="EP457" s="712"/>
      <c r="EQ457" s="712"/>
      <c r="ER457" s="712"/>
      <c r="ES457" s="712"/>
      <c r="ET457" s="794"/>
      <c r="EU457" s="794"/>
      <c r="EV457" s="794"/>
      <c r="EW457" s="794"/>
      <c r="EX457" s="794"/>
      <c r="EY457" s="794"/>
      <c r="EZ457" s="794"/>
      <c r="FA457" s="712"/>
      <c r="FB457" s="712"/>
      <c r="FC457" s="712"/>
      <c r="FD457" s="712"/>
      <c r="FE457" s="712"/>
      <c r="FF457" s="712"/>
      <c r="FG457" s="712"/>
      <c r="FH457" s="712"/>
      <c r="FI457" s="712"/>
      <c r="FJ457" s="712"/>
      <c r="FK457" s="712"/>
      <c r="FL457" s="712"/>
      <c r="FM457" s="712"/>
      <c r="FN457" s="712"/>
      <c r="FO457" s="712"/>
      <c r="FP457" s="712"/>
      <c r="FQ457" s="712"/>
      <c r="FR457" s="712"/>
      <c r="FS457" s="712"/>
      <c r="FT457" s="712"/>
      <c r="FU457" s="712"/>
      <c r="FV457" s="712"/>
      <c r="FW457" s="712"/>
      <c r="FX457" s="712"/>
      <c r="FZ457" s="712"/>
      <c r="GA457" s="712"/>
      <c r="GB457" s="712"/>
      <c r="GC457" s="712"/>
      <c r="GD457" s="712"/>
      <c r="GE457" s="712"/>
      <c r="GF457" s="712"/>
      <c r="GG457" s="712"/>
      <c r="GH457" s="712"/>
      <c r="GI457" s="712"/>
      <c r="GJ457" s="712"/>
      <c r="GK457" s="712"/>
      <c r="GL457" s="712"/>
      <c r="GM457" s="712"/>
      <c r="GN457" s="712"/>
      <c r="GO457" s="712"/>
      <c r="GP457" s="712"/>
      <c r="GQ457" s="712"/>
      <c r="GR457" s="712"/>
      <c r="GS457" s="712"/>
      <c r="GT457" s="712"/>
      <c r="GU457" s="712"/>
      <c r="GV457" s="712"/>
      <c r="GW457" s="712"/>
      <c r="GX457" s="712"/>
      <c r="GY457" s="712"/>
      <c r="GZ457" s="712"/>
      <c r="HA457" s="712"/>
      <c r="HB457" s="712"/>
      <c r="HC457" s="712"/>
    </row>
    <row r="458" spans="1:211">
      <c r="A458" s="707"/>
      <c r="G458" s="712"/>
      <c r="H458" s="712"/>
      <c r="I458" s="712"/>
      <c r="J458" s="712"/>
      <c r="K458" s="712"/>
      <c r="L458" s="712"/>
      <c r="M458" s="712"/>
      <c r="N458" s="712"/>
      <c r="O458" s="712"/>
      <c r="P458" s="712"/>
      <c r="Q458" s="712"/>
      <c r="R458" s="712"/>
      <c r="S458" s="712"/>
      <c r="T458" s="712"/>
      <c r="U458" s="712"/>
      <c r="V458" s="712"/>
      <c r="W458" s="712"/>
      <c r="X458" s="712"/>
      <c r="Y458" s="712"/>
      <c r="Z458" s="712"/>
      <c r="AA458" s="712"/>
      <c r="AB458" s="712"/>
      <c r="AC458" s="712"/>
      <c r="AD458" s="712"/>
      <c r="AE458" s="712"/>
      <c r="AF458" s="712"/>
      <c r="AG458" s="712"/>
      <c r="AH458" s="712"/>
      <c r="AI458" s="712"/>
      <c r="AJ458" s="712"/>
      <c r="AK458" s="712"/>
      <c r="AL458" s="712"/>
      <c r="AM458" s="712"/>
      <c r="AN458" s="712"/>
      <c r="AO458" s="712"/>
      <c r="AP458" s="712"/>
      <c r="AQ458" s="712"/>
      <c r="AR458" s="712"/>
      <c r="AS458" s="712"/>
      <c r="AT458" s="712"/>
      <c r="AU458" s="712"/>
      <c r="AV458" s="712"/>
      <c r="AW458" s="712"/>
      <c r="AX458" s="712"/>
      <c r="AY458" s="712"/>
      <c r="AZ458" s="712"/>
      <c r="BA458" s="712"/>
      <c r="BB458" s="712"/>
      <c r="BC458" s="712"/>
      <c r="BD458" s="712"/>
      <c r="BE458" s="712"/>
      <c r="BF458" s="712"/>
      <c r="BG458" s="712"/>
      <c r="BH458" s="712"/>
      <c r="BI458" s="712"/>
      <c r="BJ458" s="712"/>
      <c r="BK458" s="712"/>
      <c r="BL458" s="712"/>
      <c r="BM458" s="712"/>
      <c r="BN458" s="712"/>
      <c r="BO458" s="712"/>
      <c r="BP458" s="712"/>
      <c r="BQ458" s="712"/>
      <c r="BR458" s="712"/>
      <c r="BS458" s="712"/>
      <c r="BT458" s="712"/>
      <c r="BU458" s="712"/>
      <c r="BV458" s="712"/>
      <c r="BW458" s="712"/>
      <c r="BX458" s="712"/>
      <c r="BY458" s="712"/>
      <c r="BZ458" s="712"/>
      <c r="CA458" s="712"/>
      <c r="CB458" s="712"/>
      <c r="CC458" s="712"/>
      <c r="CD458" s="712"/>
      <c r="CE458" s="712"/>
      <c r="CF458" s="712"/>
      <c r="CG458" s="712"/>
      <c r="CH458" s="712"/>
      <c r="CI458" s="712"/>
      <c r="CJ458" s="712"/>
      <c r="CK458" s="712"/>
      <c r="CL458" s="712"/>
      <c r="CM458" s="712"/>
      <c r="CN458" s="712"/>
      <c r="CO458" s="712"/>
      <c r="CP458" s="712"/>
      <c r="CQ458" s="712"/>
      <c r="CR458" s="712"/>
      <c r="CS458" s="712"/>
      <c r="CT458" s="712"/>
      <c r="CU458" s="712"/>
      <c r="CV458" s="712"/>
      <c r="CW458" s="712"/>
      <c r="CX458" s="712"/>
      <c r="CY458" s="712"/>
      <c r="CZ458" s="712"/>
      <c r="DA458" s="712"/>
      <c r="DB458" s="712"/>
      <c r="DC458" s="712"/>
      <c r="DD458" s="712"/>
      <c r="DE458" s="712"/>
      <c r="DF458" s="712"/>
      <c r="DG458" s="712"/>
      <c r="DH458" s="712"/>
      <c r="DI458" s="712"/>
      <c r="DJ458" s="712"/>
      <c r="DK458" s="712"/>
      <c r="DL458" s="712"/>
      <c r="DM458" s="712"/>
      <c r="DN458" s="712"/>
      <c r="DO458" s="712"/>
      <c r="DP458" s="712"/>
      <c r="DQ458" s="712"/>
      <c r="DR458" s="712"/>
      <c r="DS458" s="712"/>
      <c r="DT458" s="712"/>
      <c r="DU458" s="712"/>
      <c r="DV458" s="712"/>
      <c r="DW458" s="712"/>
      <c r="DX458" s="712"/>
      <c r="DY458" s="712"/>
      <c r="DZ458" s="712"/>
      <c r="EA458" s="712"/>
      <c r="EB458" s="712"/>
      <c r="EC458" s="712"/>
      <c r="ED458" s="712"/>
      <c r="EE458" s="712"/>
      <c r="EF458" s="712"/>
      <c r="EG458" s="712"/>
      <c r="EH458" s="712"/>
      <c r="EI458" s="712"/>
      <c r="EJ458" s="712"/>
      <c r="EK458" s="712"/>
      <c r="EL458" s="712"/>
      <c r="EM458" s="712"/>
      <c r="EN458" s="712"/>
      <c r="EO458" s="712"/>
      <c r="EP458" s="712"/>
      <c r="EQ458" s="712"/>
      <c r="ER458" s="712"/>
      <c r="ES458" s="712"/>
      <c r="ET458" s="794"/>
      <c r="EU458" s="794"/>
      <c r="EV458" s="794"/>
      <c r="EW458" s="794"/>
      <c r="EX458" s="794"/>
      <c r="EY458" s="794"/>
      <c r="EZ458" s="794"/>
      <c r="FA458" s="712"/>
      <c r="FB458" s="712"/>
      <c r="FC458" s="712"/>
      <c r="FD458" s="712"/>
      <c r="FE458" s="712"/>
      <c r="FF458" s="712"/>
      <c r="FG458" s="712"/>
      <c r="FH458" s="712"/>
      <c r="FI458" s="712"/>
      <c r="FJ458" s="712"/>
      <c r="FK458" s="712"/>
      <c r="FL458" s="712"/>
      <c r="FM458" s="712"/>
      <c r="FN458" s="712"/>
      <c r="FO458" s="712"/>
      <c r="FP458" s="712"/>
      <c r="FQ458" s="712"/>
      <c r="FR458" s="712"/>
      <c r="FS458" s="712"/>
      <c r="FT458" s="712"/>
      <c r="FU458" s="712"/>
      <c r="FV458" s="712"/>
      <c r="FW458" s="712"/>
      <c r="FX458" s="712"/>
      <c r="FZ458" s="712"/>
      <c r="GA458" s="712"/>
      <c r="GB458" s="712"/>
      <c r="GC458" s="712"/>
      <c r="GD458" s="712"/>
      <c r="GE458" s="712"/>
      <c r="GF458" s="712"/>
      <c r="GG458" s="712"/>
      <c r="GH458" s="712"/>
      <c r="GI458" s="712"/>
      <c r="GJ458" s="712"/>
      <c r="GK458" s="712"/>
      <c r="GL458" s="712"/>
      <c r="GM458" s="712"/>
      <c r="GN458" s="712"/>
      <c r="GO458" s="712"/>
      <c r="GP458" s="712"/>
      <c r="GQ458" s="712"/>
      <c r="GR458" s="712"/>
      <c r="GS458" s="712"/>
      <c r="GT458" s="712"/>
      <c r="GU458" s="712"/>
      <c r="GV458" s="712"/>
      <c r="GW458" s="712"/>
      <c r="GX458" s="712"/>
      <c r="GY458" s="712"/>
      <c r="GZ458" s="712"/>
      <c r="HA458" s="712"/>
      <c r="HB458" s="712"/>
      <c r="HC458" s="712"/>
    </row>
    <row r="459" spans="1:211">
      <c r="A459" s="707"/>
      <c r="G459" s="712"/>
      <c r="H459" s="712"/>
      <c r="I459" s="712"/>
      <c r="J459" s="712"/>
      <c r="K459" s="712"/>
      <c r="L459" s="712"/>
      <c r="M459" s="712"/>
      <c r="N459" s="712"/>
      <c r="O459" s="712"/>
      <c r="P459" s="712"/>
      <c r="Q459" s="712"/>
      <c r="R459" s="712"/>
      <c r="S459" s="712"/>
      <c r="T459" s="712"/>
      <c r="U459" s="712"/>
      <c r="V459" s="712"/>
      <c r="W459" s="712"/>
      <c r="X459" s="712"/>
      <c r="Y459" s="712"/>
      <c r="Z459" s="712"/>
      <c r="AA459" s="712"/>
      <c r="AB459" s="712"/>
      <c r="AC459" s="712"/>
      <c r="AD459" s="712"/>
      <c r="AE459" s="712"/>
      <c r="AF459" s="712"/>
      <c r="AG459" s="712"/>
      <c r="AH459" s="712"/>
      <c r="AI459" s="712"/>
      <c r="AJ459" s="712"/>
      <c r="AK459" s="712"/>
      <c r="AL459" s="712"/>
      <c r="AM459" s="712"/>
      <c r="AN459" s="712"/>
      <c r="AO459" s="712"/>
      <c r="AP459" s="712"/>
      <c r="AQ459" s="712"/>
      <c r="AR459" s="712"/>
      <c r="AS459" s="712"/>
      <c r="AT459" s="712"/>
      <c r="AU459" s="712"/>
      <c r="AV459" s="712"/>
      <c r="AW459" s="712"/>
      <c r="AX459" s="712"/>
      <c r="AY459" s="712"/>
      <c r="AZ459" s="712"/>
      <c r="BA459" s="712"/>
      <c r="BB459" s="712"/>
      <c r="BC459" s="712"/>
      <c r="BD459" s="712"/>
      <c r="BE459" s="712"/>
      <c r="BF459" s="712"/>
      <c r="BG459" s="712"/>
      <c r="BH459" s="712"/>
      <c r="BI459" s="712"/>
      <c r="BJ459" s="712"/>
      <c r="BK459" s="712"/>
      <c r="BL459" s="712"/>
      <c r="BM459" s="712"/>
      <c r="BN459" s="712"/>
      <c r="BO459" s="712"/>
      <c r="BP459" s="712"/>
      <c r="BQ459" s="712"/>
      <c r="BR459" s="712"/>
      <c r="BS459" s="712"/>
      <c r="BT459" s="712"/>
      <c r="BU459" s="712"/>
      <c r="BV459" s="712"/>
      <c r="BW459" s="712"/>
      <c r="BX459" s="712"/>
      <c r="BY459" s="712"/>
      <c r="BZ459" s="712"/>
      <c r="CA459" s="712"/>
      <c r="CB459" s="712"/>
      <c r="CC459" s="712"/>
      <c r="CD459" s="712"/>
      <c r="CE459" s="712"/>
      <c r="CF459" s="712"/>
      <c r="CG459" s="712"/>
      <c r="CH459" s="712"/>
      <c r="CI459" s="712"/>
      <c r="CJ459" s="712"/>
      <c r="CK459" s="712"/>
      <c r="CL459" s="712"/>
      <c r="CM459" s="712"/>
      <c r="CN459" s="712"/>
      <c r="CO459" s="712"/>
      <c r="CP459" s="712"/>
      <c r="CQ459" s="712"/>
      <c r="CR459" s="712"/>
      <c r="CS459" s="712"/>
      <c r="CT459" s="712"/>
      <c r="CU459" s="712"/>
      <c r="CV459" s="712"/>
      <c r="CW459" s="712"/>
      <c r="CX459" s="712"/>
      <c r="CY459" s="712"/>
      <c r="CZ459" s="712"/>
      <c r="DA459" s="712"/>
      <c r="DB459" s="712"/>
      <c r="DC459" s="712"/>
      <c r="DD459" s="712"/>
      <c r="DE459" s="712"/>
      <c r="DF459" s="712"/>
      <c r="DG459" s="712"/>
      <c r="DH459" s="712"/>
      <c r="DI459" s="712"/>
      <c r="DJ459" s="712"/>
      <c r="DK459" s="712"/>
      <c r="DL459" s="712"/>
      <c r="DM459" s="712"/>
      <c r="DN459" s="712"/>
      <c r="DO459" s="712"/>
      <c r="DP459" s="712"/>
      <c r="DQ459" s="712"/>
      <c r="DR459" s="712"/>
      <c r="DS459" s="712"/>
      <c r="DT459" s="712"/>
      <c r="DU459" s="712"/>
      <c r="DV459" s="712"/>
      <c r="DW459" s="712"/>
      <c r="DX459" s="712"/>
      <c r="DY459" s="712"/>
      <c r="DZ459" s="712"/>
      <c r="EA459" s="712"/>
      <c r="EB459" s="712"/>
      <c r="EC459" s="712"/>
      <c r="ED459" s="712"/>
      <c r="EE459" s="712"/>
      <c r="EF459" s="712"/>
      <c r="EG459" s="712"/>
      <c r="EH459" s="712"/>
      <c r="EI459" s="712"/>
      <c r="EJ459" s="712"/>
      <c r="EK459" s="712"/>
      <c r="EL459" s="712"/>
      <c r="EM459" s="712"/>
      <c r="EN459" s="712"/>
      <c r="EO459" s="712"/>
      <c r="EP459" s="712"/>
      <c r="EQ459" s="712"/>
      <c r="ER459" s="712"/>
      <c r="ES459" s="712"/>
      <c r="ET459" s="794"/>
      <c r="EU459" s="794"/>
      <c r="EV459" s="794"/>
      <c r="EW459" s="794"/>
      <c r="EX459" s="794"/>
      <c r="EY459" s="794"/>
      <c r="EZ459" s="794"/>
      <c r="FA459" s="712"/>
      <c r="FB459" s="712"/>
      <c r="FC459" s="712"/>
      <c r="FD459" s="712"/>
      <c r="FE459" s="712"/>
      <c r="FF459" s="712"/>
      <c r="FG459" s="712"/>
      <c r="FH459" s="712"/>
      <c r="FI459" s="712"/>
      <c r="FJ459" s="712"/>
      <c r="FK459" s="712"/>
      <c r="FL459" s="712"/>
      <c r="FM459" s="712"/>
      <c r="FN459" s="712"/>
      <c r="FO459" s="712"/>
      <c r="FP459" s="712"/>
      <c r="FQ459" s="712"/>
      <c r="FR459" s="712"/>
      <c r="FS459" s="712"/>
      <c r="FT459" s="712"/>
      <c r="FU459" s="712"/>
      <c r="FV459" s="712"/>
      <c r="FW459" s="712"/>
      <c r="FX459" s="712"/>
      <c r="FZ459" s="712"/>
      <c r="GA459" s="712"/>
      <c r="GB459" s="712"/>
      <c r="GC459" s="712"/>
      <c r="GD459" s="712"/>
      <c r="GE459" s="712"/>
      <c r="GF459" s="712"/>
      <c r="GG459" s="712"/>
      <c r="GH459" s="712"/>
      <c r="GI459" s="712"/>
      <c r="GJ459" s="712"/>
      <c r="GK459" s="712"/>
      <c r="GL459" s="712"/>
      <c r="GM459" s="712"/>
      <c r="GN459" s="712"/>
      <c r="GO459" s="712"/>
      <c r="GP459" s="712"/>
      <c r="GQ459" s="712"/>
      <c r="GR459" s="712"/>
      <c r="GS459" s="712"/>
      <c r="GT459" s="712"/>
      <c r="GU459" s="712"/>
      <c r="GV459" s="712"/>
      <c r="GW459" s="712"/>
      <c r="GX459" s="712"/>
      <c r="GY459" s="712"/>
      <c r="GZ459" s="712"/>
      <c r="HA459" s="712"/>
      <c r="HB459" s="712"/>
      <c r="HC459" s="712"/>
    </row>
    <row r="460" spans="1:211">
      <c r="A460" s="707"/>
      <c r="G460" s="712"/>
      <c r="H460" s="712"/>
      <c r="I460" s="712"/>
      <c r="J460" s="712"/>
      <c r="K460" s="712"/>
      <c r="L460" s="712"/>
      <c r="M460" s="712"/>
      <c r="N460" s="712"/>
      <c r="O460" s="712"/>
      <c r="P460" s="712"/>
      <c r="Q460" s="712"/>
      <c r="R460" s="712"/>
      <c r="S460" s="712"/>
      <c r="T460" s="712"/>
      <c r="U460" s="712"/>
      <c r="V460" s="712"/>
      <c r="W460" s="712"/>
      <c r="X460" s="712"/>
      <c r="Y460" s="712"/>
      <c r="Z460" s="712"/>
      <c r="AA460" s="712"/>
      <c r="AB460" s="712"/>
      <c r="AC460" s="712"/>
      <c r="AD460" s="712"/>
      <c r="AE460" s="712"/>
      <c r="AF460" s="712"/>
      <c r="AG460" s="712"/>
      <c r="AH460" s="712"/>
      <c r="AI460" s="712"/>
      <c r="AJ460" s="712"/>
      <c r="AK460" s="712"/>
      <c r="AL460" s="712"/>
      <c r="AM460" s="712"/>
      <c r="AN460" s="712"/>
      <c r="AO460" s="712"/>
      <c r="AP460" s="712"/>
      <c r="AQ460" s="712"/>
      <c r="AR460" s="712"/>
      <c r="AS460" s="712"/>
      <c r="AT460" s="712"/>
      <c r="AU460" s="712"/>
      <c r="AV460" s="712"/>
      <c r="AW460" s="712"/>
      <c r="AX460" s="712"/>
      <c r="AY460" s="712"/>
      <c r="AZ460" s="712"/>
      <c r="BA460" s="712"/>
      <c r="BB460" s="712"/>
      <c r="BC460" s="712"/>
      <c r="BD460" s="712"/>
      <c r="BE460" s="712"/>
      <c r="BF460" s="712"/>
      <c r="BG460" s="712"/>
      <c r="BH460" s="712"/>
      <c r="BI460" s="712"/>
      <c r="BJ460" s="712"/>
      <c r="BK460" s="712"/>
      <c r="BL460" s="712"/>
      <c r="BM460" s="712"/>
      <c r="BN460" s="712"/>
      <c r="BO460" s="712"/>
      <c r="BP460" s="712"/>
      <c r="BQ460" s="712"/>
      <c r="BR460" s="712"/>
      <c r="BS460" s="712"/>
      <c r="BT460" s="712"/>
      <c r="BU460" s="712"/>
      <c r="BV460" s="712"/>
      <c r="BW460" s="712"/>
      <c r="BX460" s="712"/>
      <c r="BY460" s="712"/>
      <c r="BZ460" s="712"/>
      <c r="CA460" s="712"/>
      <c r="CB460" s="712"/>
      <c r="CC460" s="712"/>
      <c r="CD460" s="712"/>
      <c r="CE460" s="712"/>
      <c r="CF460" s="712"/>
      <c r="CG460" s="712"/>
      <c r="CH460" s="712"/>
      <c r="CI460" s="712"/>
      <c r="CJ460" s="712"/>
      <c r="CK460" s="712"/>
      <c r="CL460" s="712"/>
      <c r="CM460" s="712"/>
      <c r="CN460" s="712"/>
      <c r="CO460" s="712"/>
      <c r="CP460" s="712"/>
      <c r="CQ460" s="712"/>
      <c r="CR460" s="712"/>
      <c r="CS460" s="712"/>
      <c r="CT460" s="712"/>
      <c r="CU460" s="712"/>
      <c r="CV460" s="712"/>
      <c r="CW460" s="712"/>
      <c r="CX460" s="712"/>
      <c r="CY460" s="712"/>
      <c r="CZ460" s="712"/>
      <c r="DA460" s="712"/>
      <c r="DB460" s="712"/>
      <c r="DC460" s="712"/>
      <c r="DD460" s="712"/>
      <c r="DE460" s="712"/>
      <c r="DF460" s="712"/>
      <c r="DG460" s="712"/>
      <c r="DH460" s="712"/>
      <c r="DI460" s="712"/>
      <c r="DJ460" s="712"/>
      <c r="DK460" s="712"/>
      <c r="DL460" s="712"/>
      <c r="DM460" s="712"/>
      <c r="DN460" s="712"/>
      <c r="DO460" s="712"/>
      <c r="DP460" s="712"/>
      <c r="DQ460" s="712"/>
      <c r="DR460" s="712"/>
      <c r="DS460" s="712"/>
      <c r="DT460" s="712"/>
      <c r="DU460" s="712"/>
      <c r="DV460" s="712"/>
      <c r="DW460" s="712"/>
      <c r="DX460" s="712"/>
      <c r="DY460" s="712"/>
      <c r="DZ460" s="712"/>
      <c r="EA460" s="712"/>
      <c r="EB460" s="712"/>
      <c r="EC460" s="712"/>
      <c r="ED460" s="712"/>
      <c r="EE460" s="712"/>
      <c r="EF460" s="712"/>
      <c r="EG460" s="712"/>
      <c r="EH460" s="712"/>
      <c r="EI460" s="712"/>
      <c r="EJ460" s="712"/>
      <c r="EK460" s="712"/>
      <c r="EL460" s="712"/>
      <c r="EM460" s="712"/>
      <c r="EN460" s="712"/>
      <c r="EO460" s="712"/>
      <c r="EP460" s="712"/>
      <c r="EQ460" s="712"/>
      <c r="ER460" s="712"/>
      <c r="ES460" s="712"/>
      <c r="ET460" s="794"/>
      <c r="EU460" s="794"/>
      <c r="EV460" s="794"/>
      <c r="EW460" s="794"/>
      <c r="EX460" s="794"/>
      <c r="EY460" s="794"/>
      <c r="EZ460" s="794"/>
      <c r="FA460" s="712"/>
      <c r="FB460" s="712"/>
      <c r="FC460" s="712"/>
      <c r="FD460" s="712"/>
      <c r="FE460" s="712"/>
      <c r="FF460" s="712"/>
      <c r="FG460" s="712"/>
      <c r="FH460" s="712"/>
      <c r="FI460" s="712"/>
      <c r="FJ460" s="712"/>
      <c r="FK460" s="712"/>
      <c r="FL460" s="712"/>
      <c r="FM460" s="712"/>
      <c r="FN460" s="712"/>
      <c r="FO460" s="712"/>
      <c r="FP460" s="712"/>
      <c r="FQ460" s="712"/>
      <c r="FR460" s="712"/>
      <c r="FS460" s="712"/>
      <c r="FT460" s="712"/>
      <c r="FU460" s="712"/>
      <c r="FV460" s="712"/>
      <c r="FW460" s="712"/>
      <c r="FX460" s="712"/>
      <c r="FZ460" s="712"/>
      <c r="GA460" s="712"/>
      <c r="GB460" s="712"/>
      <c r="GC460" s="712"/>
      <c r="GD460" s="712"/>
      <c r="GE460" s="712"/>
      <c r="GF460" s="712"/>
      <c r="GG460" s="712"/>
      <c r="GH460" s="712"/>
      <c r="GI460" s="712"/>
      <c r="GJ460" s="712"/>
      <c r="GK460" s="712"/>
      <c r="GL460" s="712"/>
      <c r="GM460" s="712"/>
      <c r="GN460" s="712"/>
      <c r="GO460" s="712"/>
      <c r="GP460" s="712"/>
      <c r="GQ460" s="712"/>
      <c r="GR460" s="712"/>
      <c r="GS460" s="712"/>
      <c r="GT460" s="712"/>
      <c r="GU460" s="712"/>
      <c r="GV460" s="712"/>
      <c r="GW460" s="712"/>
      <c r="GX460" s="712"/>
      <c r="GY460" s="712"/>
      <c r="GZ460" s="712"/>
      <c r="HA460" s="712"/>
      <c r="HB460" s="712"/>
      <c r="HC460" s="712"/>
    </row>
    <row r="461" spans="1:211">
      <c r="A461" s="707"/>
      <c r="G461" s="712"/>
      <c r="H461" s="712"/>
      <c r="I461" s="712"/>
      <c r="J461" s="712"/>
      <c r="K461" s="712"/>
      <c r="L461" s="712"/>
      <c r="M461" s="712"/>
      <c r="N461" s="712"/>
      <c r="O461" s="712"/>
      <c r="P461" s="712"/>
      <c r="Q461" s="712"/>
      <c r="R461" s="712"/>
      <c r="S461" s="712"/>
      <c r="T461" s="712"/>
      <c r="U461" s="712"/>
      <c r="V461" s="712"/>
      <c r="W461" s="712"/>
      <c r="X461" s="712"/>
      <c r="Y461" s="712"/>
      <c r="Z461" s="712"/>
      <c r="AA461" s="712"/>
      <c r="AB461" s="712"/>
      <c r="AC461" s="712"/>
      <c r="AD461" s="712"/>
      <c r="AE461" s="712"/>
      <c r="AF461" s="712"/>
      <c r="AG461" s="712"/>
      <c r="AH461" s="712"/>
      <c r="AI461" s="712"/>
      <c r="AJ461" s="712"/>
      <c r="AK461" s="712"/>
      <c r="AL461" s="712"/>
      <c r="AM461" s="712"/>
      <c r="AN461" s="712"/>
      <c r="AO461" s="712"/>
      <c r="AP461" s="712"/>
      <c r="AQ461" s="712"/>
      <c r="AR461" s="712"/>
      <c r="AS461" s="712"/>
      <c r="AT461" s="712"/>
      <c r="AU461" s="712"/>
      <c r="AV461" s="712"/>
      <c r="AW461" s="712"/>
      <c r="AX461" s="712"/>
      <c r="AY461" s="712"/>
      <c r="AZ461" s="712"/>
      <c r="BA461" s="712"/>
      <c r="BB461" s="712"/>
      <c r="BC461" s="712"/>
      <c r="BD461" s="712"/>
      <c r="BE461" s="712"/>
      <c r="BF461" s="712"/>
      <c r="BG461" s="712"/>
      <c r="BH461" s="712"/>
      <c r="BI461" s="712"/>
      <c r="BJ461" s="712"/>
      <c r="BK461" s="712"/>
      <c r="BL461" s="712"/>
      <c r="BM461" s="712"/>
      <c r="BN461" s="712"/>
      <c r="BO461" s="712"/>
      <c r="BP461" s="712"/>
      <c r="BQ461" s="712"/>
      <c r="BR461" s="712"/>
      <c r="BS461" s="712"/>
      <c r="BT461" s="712"/>
      <c r="BU461" s="712"/>
      <c r="BV461" s="712"/>
      <c r="BW461" s="712"/>
      <c r="BX461" s="712"/>
      <c r="BY461" s="712"/>
      <c r="BZ461" s="712"/>
      <c r="CA461" s="712"/>
      <c r="CB461" s="712"/>
      <c r="CC461" s="712"/>
      <c r="CD461" s="712"/>
      <c r="CE461" s="712"/>
      <c r="CF461" s="712"/>
      <c r="CG461" s="712"/>
      <c r="CH461" s="712"/>
      <c r="CI461" s="712"/>
      <c r="CJ461" s="712"/>
      <c r="CK461" s="712"/>
      <c r="CL461" s="712"/>
      <c r="CM461" s="712"/>
      <c r="CN461" s="712"/>
      <c r="CO461" s="712"/>
      <c r="CP461" s="712"/>
      <c r="CQ461" s="712"/>
      <c r="CR461" s="712"/>
      <c r="CS461" s="712"/>
      <c r="CT461" s="712"/>
      <c r="CU461" s="712"/>
      <c r="CV461" s="712"/>
      <c r="CW461" s="712"/>
      <c r="CX461" s="712"/>
      <c r="CY461" s="712"/>
      <c r="CZ461" s="712"/>
      <c r="DA461" s="712"/>
      <c r="DB461" s="712"/>
      <c r="DC461" s="712"/>
      <c r="DD461" s="712"/>
      <c r="DE461" s="712"/>
      <c r="DF461" s="712"/>
      <c r="DG461" s="712"/>
      <c r="DH461" s="712"/>
      <c r="DI461" s="712"/>
      <c r="DJ461" s="712"/>
      <c r="DK461" s="712"/>
      <c r="DL461" s="712"/>
      <c r="DM461" s="712"/>
      <c r="DN461" s="712"/>
      <c r="DO461" s="712"/>
      <c r="DP461" s="712"/>
      <c r="DQ461" s="712"/>
      <c r="DR461" s="712"/>
      <c r="DS461" s="712"/>
      <c r="DT461" s="712"/>
      <c r="DU461" s="712"/>
      <c r="DV461" s="712"/>
      <c r="DW461" s="712"/>
      <c r="DX461" s="712"/>
      <c r="DY461" s="712"/>
      <c r="DZ461" s="712"/>
      <c r="EA461" s="712"/>
      <c r="EB461" s="712"/>
      <c r="EC461" s="712"/>
      <c r="ED461" s="712"/>
      <c r="EE461" s="712"/>
      <c r="EF461" s="712"/>
      <c r="EG461" s="712"/>
      <c r="EH461" s="712"/>
      <c r="EI461" s="712"/>
      <c r="EJ461" s="712"/>
      <c r="EK461" s="712"/>
      <c r="EL461" s="712"/>
      <c r="EM461" s="712"/>
      <c r="EN461" s="712"/>
      <c r="EO461" s="712"/>
      <c r="EP461" s="712"/>
      <c r="EQ461" s="712"/>
      <c r="ER461" s="712"/>
      <c r="ES461" s="712"/>
      <c r="ET461" s="794"/>
      <c r="EU461" s="794"/>
      <c r="EV461" s="794"/>
      <c r="EW461" s="794"/>
      <c r="EX461" s="794"/>
      <c r="EY461" s="794"/>
      <c r="EZ461" s="794"/>
      <c r="FA461" s="712"/>
      <c r="FB461" s="712"/>
      <c r="FC461" s="712"/>
      <c r="FD461" s="712"/>
      <c r="FE461" s="712"/>
      <c r="FF461" s="712"/>
      <c r="FG461" s="712"/>
      <c r="FH461" s="712"/>
      <c r="FI461" s="712"/>
      <c r="FJ461" s="712"/>
      <c r="FK461" s="712"/>
      <c r="FL461" s="712"/>
      <c r="FM461" s="712"/>
      <c r="FN461" s="712"/>
      <c r="FO461" s="712"/>
      <c r="FP461" s="712"/>
      <c r="FQ461" s="712"/>
      <c r="FR461" s="712"/>
      <c r="FS461" s="712"/>
      <c r="FT461" s="712"/>
      <c r="FU461" s="712"/>
      <c r="FV461" s="712"/>
      <c r="FW461" s="712"/>
      <c r="FX461" s="712"/>
      <c r="FZ461" s="712"/>
      <c r="GA461" s="712"/>
      <c r="GB461" s="712"/>
      <c r="GC461" s="712"/>
      <c r="GD461" s="712"/>
      <c r="GE461" s="712"/>
      <c r="GF461" s="712"/>
      <c r="GG461" s="712"/>
      <c r="GH461" s="712"/>
      <c r="GI461" s="712"/>
      <c r="GJ461" s="712"/>
      <c r="GK461" s="712"/>
      <c r="GL461" s="712"/>
      <c r="GM461" s="712"/>
      <c r="GN461" s="712"/>
      <c r="GO461" s="712"/>
      <c r="GP461" s="712"/>
      <c r="GQ461" s="712"/>
      <c r="GR461" s="712"/>
      <c r="GS461" s="712"/>
      <c r="GT461" s="712"/>
      <c r="GU461" s="712"/>
      <c r="GV461" s="712"/>
      <c r="GW461" s="712"/>
      <c r="GX461" s="712"/>
      <c r="GY461" s="712"/>
      <c r="GZ461" s="712"/>
      <c r="HA461" s="712"/>
      <c r="HB461" s="712"/>
      <c r="HC461" s="712"/>
    </row>
    <row r="462" spans="1:211">
      <c r="A462" s="707"/>
      <c r="G462" s="712"/>
      <c r="H462" s="712"/>
      <c r="I462" s="712"/>
      <c r="J462" s="712"/>
      <c r="K462" s="712"/>
      <c r="L462" s="712"/>
      <c r="M462" s="712"/>
      <c r="N462" s="712"/>
      <c r="O462" s="712"/>
      <c r="P462" s="712"/>
      <c r="Q462" s="712"/>
      <c r="R462" s="712"/>
      <c r="S462" s="712"/>
      <c r="T462" s="712"/>
      <c r="U462" s="712"/>
      <c r="V462" s="712"/>
      <c r="W462" s="712"/>
      <c r="X462" s="712"/>
      <c r="Y462" s="712"/>
      <c r="Z462" s="712"/>
      <c r="AA462" s="712"/>
      <c r="AB462" s="712"/>
      <c r="AC462" s="712"/>
      <c r="AD462" s="712"/>
      <c r="AE462" s="712"/>
      <c r="AF462" s="712"/>
      <c r="AG462" s="712"/>
      <c r="AH462" s="712"/>
      <c r="AI462" s="712"/>
      <c r="AJ462" s="712"/>
      <c r="AK462" s="712"/>
      <c r="AL462" s="712"/>
      <c r="AM462" s="712"/>
      <c r="AN462" s="712"/>
      <c r="AO462" s="712"/>
      <c r="AP462" s="712"/>
      <c r="AQ462" s="712"/>
      <c r="AR462" s="712"/>
      <c r="AS462" s="712"/>
      <c r="AT462" s="712"/>
      <c r="AU462" s="712"/>
      <c r="AV462" s="712"/>
      <c r="AW462" s="712"/>
      <c r="AX462" s="712"/>
      <c r="AY462" s="712"/>
      <c r="AZ462" s="712"/>
      <c r="BA462" s="712"/>
      <c r="BB462" s="712"/>
      <c r="BC462" s="712"/>
      <c r="BD462" s="712"/>
      <c r="BE462" s="712"/>
      <c r="BF462" s="712"/>
      <c r="BG462" s="712"/>
      <c r="BH462" s="712"/>
      <c r="BI462" s="712"/>
      <c r="BJ462" s="712"/>
      <c r="BK462" s="712"/>
      <c r="BL462" s="712"/>
      <c r="BM462" s="712"/>
      <c r="BN462" s="712"/>
      <c r="BO462" s="712"/>
      <c r="BP462" s="712"/>
      <c r="BQ462" s="712"/>
      <c r="BR462" s="712"/>
      <c r="BS462" s="712"/>
      <c r="BT462" s="712"/>
      <c r="BU462" s="712"/>
      <c r="BV462" s="712"/>
      <c r="BW462" s="712"/>
      <c r="BX462" s="712"/>
      <c r="BY462" s="712"/>
      <c r="BZ462" s="712"/>
      <c r="CA462" s="712"/>
      <c r="CB462" s="712"/>
      <c r="CC462" s="712"/>
      <c r="CD462" s="712"/>
      <c r="CE462" s="712"/>
      <c r="CF462" s="712"/>
      <c r="CG462" s="712"/>
      <c r="CH462" s="712"/>
      <c r="CI462" s="712"/>
      <c r="CJ462" s="712"/>
      <c r="CK462" s="712"/>
      <c r="CL462" s="712"/>
      <c r="CM462" s="712"/>
      <c r="CN462" s="712"/>
      <c r="CO462" s="712"/>
      <c r="CP462" s="712"/>
      <c r="CQ462" s="712"/>
      <c r="CR462" s="712"/>
      <c r="CS462" s="712"/>
      <c r="CT462" s="712"/>
      <c r="CU462" s="712"/>
      <c r="CV462" s="712"/>
      <c r="CW462" s="712"/>
      <c r="CX462" s="712"/>
      <c r="CY462" s="712"/>
      <c r="CZ462" s="712"/>
      <c r="DA462" s="712"/>
      <c r="DB462" s="712"/>
      <c r="DC462" s="712"/>
      <c r="DD462" s="712"/>
      <c r="DE462" s="712"/>
      <c r="DF462" s="712"/>
      <c r="DG462" s="712"/>
      <c r="DH462" s="712"/>
      <c r="DI462" s="712"/>
      <c r="DJ462" s="712"/>
      <c r="DK462" s="712"/>
      <c r="DL462" s="712"/>
      <c r="DM462" s="712"/>
      <c r="DN462" s="712"/>
      <c r="DO462" s="712"/>
      <c r="DP462" s="712"/>
      <c r="DQ462" s="712"/>
      <c r="DR462" s="712"/>
      <c r="DS462" s="712"/>
      <c r="DT462" s="712"/>
      <c r="DU462" s="712"/>
      <c r="DV462" s="712"/>
      <c r="DW462" s="712"/>
      <c r="DX462" s="712"/>
      <c r="DY462" s="712"/>
      <c r="DZ462" s="712"/>
      <c r="EA462" s="712"/>
      <c r="EB462" s="712"/>
      <c r="EC462" s="712"/>
      <c r="ED462" s="712"/>
      <c r="EE462" s="712"/>
      <c r="EF462" s="712"/>
      <c r="EG462" s="712"/>
      <c r="EH462" s="712"/>
      <c r="EI462" s="712"/>
      <c r="EJ462" s="712"/>
      <c r="EK462" s="712"/>
      <c r="EL462" s="712"/>
      <c r="EM462" s="712"/>
      <c r="EN462" s="712"/>
      <c r="EO462" s="712"/>
      <c r="EP462" s="712"/>
      <c r="EQ462" s="712"/>
      <c r="ER462" s="712"/>
      <c r="ES462" s="712"/>
      <c r="ET462" s="794"/>
      <c r="EU462" s="794"/>
      <c r="EV462" s="794"/>
      <c r="EW462" s="794"/>
      <c r="EX462" s="794"/>
      <c r="EY462" s="794"/>
      <c r="EZ462" s="794"/>
      <c r="FA462" s="712"/>
      <c r="FB462" s="712"/>
      <c r="FC462" s="712"/>
      <c r="FD462" s="712"/>
      <c r="FE462" s="712"/>
      <c r="FF462" s="712"/>
      <c r="FG462" s="712"/>
      <c r="FH462" s="712"/>
      <c r="FI462" s="712"/>
      <c r="FJ462" s="712"/>
      <c r="FK462" s="712"/>
      <c r="FL462" s="712"/>
      <c r="FM462" s="712"/>
      <c r="FN462" s="712"/>
      <c r="FO462" s="712"/>
      <c r="FP462" s="712"/>
      <c r="FQ462" s="712"/>
      <c r="FR462" s="712"/>
      <c r="FS462" s="712"/>
      <c r="FT462" s="712"/>
      <c r="FU462" s="712"/>
      <c r="FV462" s="712"/>
      <c r="FW462" s="712"/>
      <c r="FX462" s="712"/>
      <c r="FZ462" s="712"/>
      <c r="GA462" s="712"/>
      <c r="GB462" s="712"/>
      <c r="GC462" s="712"/>
      <c r="GD462" s="712"/>
      <c r="GE462" s="712"/>
      <c r="GF462" s="712"/>
      <c r="GG462" s="712"/>
      <c r="GH462" s="712"/>
      <c r="GI462" s="712"/>
      <c r="GJ462" s="712"/>
      <c r="GK462" s="712"/>
      <c r="GL462" s="712"/>
      <c r="GM462" s="712"/>
      <c r="GN462" s="712"/>
      <c r="GO462" s="712"/>
      <c r="GP462" s="712"/>
      <c r="GQ462" s="712"/>
      <c r="GR462" s="712"/>
      <c r="GS462" s="712"/>
      <c r="GT462" s="712"/>
      <c r="GU462" s="712"/>
      <c r="GV462" s="712"/>
      <c r="GW462" s="712"/>
      <c r="GX462" s="712"/>
      <c r="GY462" s="712"/>
      <c r="GZ462" s="712"/>
      <c r="HA462" s="712"/>
      <c r="HB462" s="712"/>
      <c r="HC462" s="712"/>
    </row>
    <row r="463" spans="1:211">
      <c r="A463" s="707"/>
      <c r="G463" s="712"/>
      <c r="H463" s="712"/>
      <c r="I463" s="712"/>
      <c r="J463" s="712"/>
      <c r="K463" s="712"/>
      <c r="L463" s="712"/>
      <c r="M463" s="712"/>
      <c r="N463" s="712"/>
      <c r="O463" s="712"/>
      <c r="P463" s="712"/>
      <c r="Q463" s="712"/>
      <c r="R463" s="712"/>
      <c r="S463" s="712"/>
      <c r="T463" s="712"/>
      <c r="U463" s="712"/>
      <c r="V463" s="712"/>
      <c r="W463" s="712"/>
      <c r="X463" s="712"/>
      <c r="Y463" s="712"/>
      <c r="Z463" s="712"/>
      <c r="AA463" s="712"/>
      <c r="AB463" s="712"/>
      <c r="AC463" s="712"/>
      <c r="AD463" s="712"/>
      <c r="AE463" s="712"/>
      <c r="AF463" s="712"/>
      <c r="AG463" s="712"/>
      <c r="AH463" s="712"/>
      <c r="AI463" s="712"/>
      <c r="AJ463" s="712"/>
      <c r="AK463" s="712"/>
      <c r="AL463" s="712"/>
      <c r="AM463" s="712"/>
      <c r="AN463" s="712"/>
      <c r="AO463" s="712"/>
      <c r="AP463" s="712"/>
      <c r="AQ463" s="712"/>
      <c r="AR463" s="712"/>
      <c r="AS463" s="712"/>
      <c r="AT463" s="712"/>
      <c r="AU463" s="712"/>
      <c r="AV463" s="712"/>
      <c r="AW463" s="712"/>
      <c r="AX463" s="712"/>
      <c r="AY463" s="712"/>
      <c r="AZ463" s="712"/>
      <c r="BA463" s="712"/>
      <c r="BB463" s="712"/>
      <c r="BC463" s="712"/>
      <c r="BD463" s="712"/>
      <c r="BE463" s="712"/>
      <c r="BF463" s="712"/>
      <c r="BG463" s="712"/>
      <c r="BH463" s="712"/>
      <c r="BI463" s="712"/>
      <c r="BJ463" s="712"/>
      <c r="BK463" s="712"/>
      <c r="BL463" s="712"/>
      <c r="BM463" s="712"/>
      <c r="BN463" s="712"/>
      <c r="BO463" s="712"/>
      <c r="BP463" s="712"/>
      <c r="BQ463" s="712"/>
      <c r="BR463" s="712"/>
      <c r="BS463" s="712"/>
      <c r="BT463" s="712"/>
      <c r="BU463" s="712"/>
      <c r="BV463" s="712"/>
      <c r="BW463" s="712"/>
      <c r="BX463" s="712"/>
      <c r="BY463" s="712"/>
      <c r="BZ463" s="712"/>
      <c r="CA463" s="712"/>
      <c r="CB463" s="712"/>
      <c r="CC463" s="712"/>
      <c r="CD463" s="712"/>
      <c r="CE463" s="712"/>
      <c r="CF463" s="712"/>
      <c r="CG463" s="712"/>
      <c r="CH463" s="712"/>
      <c r="CI463" s="712"/>
      <c r="CJ463" s="712"/>
      <c r="CK463" s="712"/>
      <c r="CL463" s="712"/>
      <c r="CM463" s="712"/>
      <c r="CN463" s="712"/>
      <c r="CO463" s="712"/>
      <c r="CP463" s="712"/>
      <c r="CQ463" s="712"/>
      <c r="CR463" s="712"/>
      <c r="CS463" s="712"/>
      <c r="CT463" s="712"/>
      <c r="CU463" s="712"/>
      <c r="CV463" s="712"/>
      <c r="CW463" s="712"/>
      <c r="CX463" s="712"/>
      <c r="CY463" s="712"/>
      <c r="CZ463" s="712"/>
      <c r="DA463" s="712"/>
      <c r="DB463" s="712"/>
      <c r="DC463" s="712"/>
      <c r="DD463" s="712"/>
      <c r="DE463" s="712"/>
      <c r="DF463" s="712"/>
      <c r="DG463" s="712"/>
      <c r="DH463" s="712"/>
      <c r="DI463" s="712"/>
      <c r="DJ463" s="712"/>
      <c r="DK463" s="712"/>
      <c r="DL463" s="712"/>
      <c r="DM463" s="712"/>
      <c r="DN463" s="712"/>
      <c r="DO463" s="712"/>
      <c r="DP463" s="712"/>
      <c r="DQ463" s="712"/>
      <c r="DR463" s="712"/>
      <c r="DS463" s="712"/>
      <c r="DT463" s="712"/>
      <c r="DU463" s="712"/>
      <c r="DV463" s="712"/>
      <c r="DW463" s="712"/>
      <c r="DX463" s="712"/>
      <c r="DY463" s="712"/>
      <c r="DZ463" s="712"/>
      <c r="EA463" s="712"/>
      <c r="EB463" s="712"/>
      <c r="EC463" s="712"/>
      <c r="ED463" s="712"/>
      <c r="EE463" s="712"/>
      <c r="EF463" s="712"/>
      <c r="EG463" s="712"/>
      <c r="EH463" s="712"/>
      <c r="EI463" s="712"/>
      <c r="EJ463" s="712"/>
      <c r="EK463" s="712"/>
      <c r="EL463" s="712"/>
      <c r="EM463" s="712"/>
      <c r="EN463" s="712"/>
      <c r="EO463" s="712"/>
      <c r="EP463" s="712"/>
      <c r="EQ463" s="712"/>
      <c r="ER463" s="712"/>
      <c r="ES463" s="712"/>
      <c r="ET463" s="794"/>
      <c r="EU463" s="794"/>
      <c r="EV463" s="794"/>
      <c r="EW463" s="794"/>
      <c r="EX463" s="794"/>
      <c r="EY463" s="794"/>
      <c r="EZ463" s="794"/>
      <c r="FA463" s="712"/>
      <c r="FB463" s="712"/>
      <c r="FC463" s="712"/>
      <c r="FD463" s="712"/>
      <c r="FE463" s="712"/>
      <c r="FF463" s="712"/>
      <c r="FG463" s="712"/>
      <c r="FH463" s="712"/>
      <c r="FI463" s="712"/>
      <c r="FJ463" s="712"/>
      <c r="FK463" s="712"/>
      <c r="FL463" s="712"/>
      <c r="FM463" s="712"/>
      <c r="FN463" s="712"/>
      <c r="FO463" s="712"/>
      <c r="FP463" s="712"/>
      <c r="FQ463" s="712"/>
      <c r="FR463" s="712"/>
      <c r="FS463" s="712"/>
      <c r="FT463" s="712"/>
      <c r="FU463" s="712"/>
      <c r="FV463" s="712"/>
      <c r="FW463" s="712"/>
      <c r="FX463" s="712"/>
      <c r="FZ463" s="712"/>
      <c r="GA463" s="712"/>
      <c r="GB463" s="712"/>
      <c r="GC463" s="712"/>
      <c r="GD463" s="712"/>
      <c r="GE463" s="712"/>
      <c r="GF463" s="712"/>
      <c r="GG463" s="712"/>
      <c r="GH463" s="712"/>
      <c r="GI463" s="712"/>
      <c r="GJ463" s="712"/>
      <c r="GK463" s="712"/>
      <c r="GL463" s="712"/>
      <c r="GM463" s="712"/>
      <c r="GN463" s="712"/>
      <c r="GO463" s="712"/>
      <c r="GP463" s="712"/>
      <c r="GQ463" s="712"/>
      <c r="GR463" s="712"/>
      <c r="GS463" s="712"/>
      <c r="GT463" s="712"/>
      <c r="GU463" s="712"/>
      <c r="GV463" s="712"/>
      <c r="GW463" s="712"/>
      <c r="GX463" s="712"/>
      <c r="GY463" s="712"/>
      <c r="GZ463" s="712"/>
      <c r="HA463" s="712"/>
      <c r="HB463" s="712"/>
      <c r="HC463" s="712"/>
    </row>
    <row r="464" spans="1:211">
      <c r="A464" s="707"/>
      <c r="G464" s="712"/>
      <c r="H464" s="712"/>
      <c r="I464" s="712"/>
      <c r="J464" s="712"/>
      <c r="K464" s="712"/>
      <c r="L464" s="712"/>
      <c r="M464" s="712"/>
      <c r="N464" s="712"/>
      <c r="O464" s="712"/>
      <c r="P464" s="712"/>
      <c r="Q464" s="712"/>
      <c r="R464" s="712"/>
      <c r="S464" s="712"/>
      <c r="T464" s="712"/>
      <c r="U464" s="712"/>
      <c r="V464" s="712"/>
      <c r="W464" s="712"/>
      <c r="X464" s="712"/>
      <c r="Y464" s="712"/>
      <c r="Z464" s="712"/>
      <c r="AA464" s="712"/>
      <c r="AB464" s="712"/>
      <c r="AC464" s="712"/>
      <c r="AD464" s="712"/>
      <c r="AE464" s="712"/>
      <c r="AF464" s="712"/>
      <c r="AG464" s="712"/>
      <c r="AH464" s="712"/>
      <c r="AI464" s="712"/>
      <c r="AJ464" s="712"/>
      <c r="AK464" s="712"/>
      <c r="AL464" s="712"/>
      <c r="AM464" s="712"/>
      <c r="AN464" s="712"/>
      <c r="AO464" s="712"/>
      <c r="AP464" s="712"/>
      <c r="AQ464" s="712"/>
      <c r="AR464" s="712"/>
      <c r="AS464" s="712"/>
      <c r="AT464" s="712"/>
      <c r="AU464" s="712"/>
      <c r="AV464" s="712"/>
      <c r="AW464" s="712"/>
      <c r="AX464" s="712"/>
      <c r="AY464" s="712"/>
      <c r="AZ464" s="712"/>
      <c r="BA464" s="712"/>
      <c r="BB464" s="712"/>
      <c r="BC464" s="712"/>
      <c r="BD464" s="712"/>
      <c r="BE464" s="712"/>
      <c r="BF464" s="712"/>
      <c r="BG464" s="712"/>
      <c r="BH464" s="712"/>
      <c r="BI464" s="712"/>
      <c r="BJ464" s="712"/>
      <c r="BK464" s="712"/>
      <c r="BL464" s="712"/>
      <c r="BM464" s="712"/>
      <c r="BN464" s="712"/>
      <c r="BO464" s="712"/>
      <c r="BP464" s="712"/>
      <c r="BQ464" s="712"/>
      <c r="BR464" s="712"/>
      <c r="BS464" s="712"/>
      <c r="BT464" s="712"/>
      <c r="BU464" s="712"/>
      <c r="BV464" s="712"/>
      <c r="BW464" s="712"/>
      <c r="BX464" s="712"/>
      <c r="BY464" s="712"/>
      <c r="BZ464" s="712"/>
      <c r="CA464" s="712"/>
      <c r="CB464" s="712"/>
      <c r="CC464" s="712"/>
      <c r="CD464" s="712"/>
      <c r="CE464" s="712"/>
      <c r="CF464" s="712"/>
      <c r="CG464" s="712"/>
      <c r="CH464" s="712"/>
      <c r="CI464" s="712"/>
      <c r="CJ464" s="712"/>
      <c r="CK464" s="712"/>
      <c r="CL464" s="712"/>
      <c r="CM464" s="712"/>
      <c r="CN464" s="712"/>
      <c r="CO464" s="712"/>
      <c r="CP464" s="712"/>
      <c r="CQ464" s="712"/>
      <c r="CR464" s="712"/>
      <c r="CS464" s="712"/>
      <c r="CT464" s="712"/>
      <c r="CU464" s="712"/>
      <c r="CV464" s="712"/>
      <c r="CW464" s="712"/>
      <c r="CX464" s="712"/>
      <c r="CY464" s="712"/>
      <c r="CZ464" s="712"/>
      <c r="DA464" s="712"/>
      <c r="DB464" s="712"/>
      <c r="DC464" s="712"/>
      <c r="DD464" s="712"/>
      <c r="DE464" s="712"/>
      <c r="DF464" s="712"/>
      <c r="DG464" s="712"/>
      <c r="DH464" s="712"/>
      <c r="DI464" s="712"/>
      <c r="DJ464" s="712"/>
      <c r="DK464" s="712"/>
      <c r="DL464" s="712"/>
      <c r="DM464" s="712"/>
      <c r="DN464" s="712"/>
      <c r="DO464" s="712"/>
      <c r="DP464" s="712"/>
      <c r="DQ464" s="712"/>
      <c r="DR464" s="712"/>
      <c r="DS464" s="712"/>
      <c r="DT464" s="712"/>
      <c r="DU464" s="712"/>
      <c r="DV464" s="712"/>
      <c r="DW464" s="712"/>
      <c r="DX464" s="712"/>
      <c r="DY464" s="712"/>
      <c r="DZ464" s="712"/>
      <c r="EA464" s="712"/>
      <c r="EB464" s="712"/>
      <c r="EC464" s="712"/>
      <c r="ED464" s="712"/>
      <c r="EE464" s="712"/>
      <c r="EF464" s="712"/>
      <c r="EG464" s="712"/>
      <c r="EH464" s="712"/>
      <c r="EI464" s="712"/>
      <c r="EJ464" s="712"/>
      <c r="EK464" s="712"/>
      <c r="EL464" s="712"/>
      <c r="EM464" s="712"/>
      <c r="EN464" s="712"/>
      <c r="EO464" s="712"/>
      <c r="EP464" s="712"/>
      <c r="EQ464" s="712"/>
      <c r="ER464" s="712"/>
      <c r="ES464" s="712"/>
      <c r="ET464" s="794"/>
      <c r="EU464" s="794"/>
      <c r="EV464" s="794"/>
      <c r="EW464" s="794"/>
      <c r="EX464" s="794"/>
      <c r="EY464" s="794"/>
      <c r="EZ464" s="794"/>
      <c r="FA464" s="712"/>
      <c r="FB464" s="712"/>
      <c r="FC464" s="712"/>
      <c r="FD464" s="712"/>
      <c r="FE464" s="712"/>
      <c r="FF464" s="712"/>
      <c r="FG464" s="712"/>
      <c r="FH464" s="712"/>
      <c r="FI464" s="712"/>
      <c r="FJ464" s="712"/>
      <c r="FK464" s="712"/>
      <c r="FL464" s="712"/>
      <c r="FM464" s="712"/>
      <c r="FN464" s="712"/>
      <c r="FO464" s="712"/>
      <c r="FP464" s="712"/>
      <c r="FQ464" s="712"/>
      <c r="FR464" s="712"/>
      <c r="FS464" s="712"/>
      <c r="FT464" s="712"/>
      <c r="FU464" s="712"/>
      <c r="FV464" s="712"/>
      <c r="FW464" s="712"/>
      <c r="FX464" s="712"/>
      <c r="FZ464" s="712"/>
      <c r="GA464" s="712"/>
      <c r="GB464" s="712"/>
      <c r="GC464" s="712"/>
      <c r="GD464" s="712"/>
      <c r="GE464" s="712"/>
      <c r="GF464" s="712"/>
      <c r="GG464" s="712"/>
      <c r="GH464" s="712"/>
      <c r="GI464" s="712"/>
      <c r="GJ464" s="712"/>
      <c r="GK464" s="712"/>
      <c r="GL464" s="712"/>
      <c r="GM464" s="712"/>
      <c r="GN464" s="712"/>
      <c r="GO464" s="712"/>
      <c r="GP464" s="712"/>
      <c r="GQ464" s="712"/>
      <c r="GR464" s="712"/>
      <c r="GS464" s="712"/>
      <c r="GT464" s="712"/>
      <c r="GU464" s="712"/>
      <c r="GV464" s="712"/>
      <c r="GW464" s="712"/>
      <c r="GX464" s="712"/>
      <c r="GY464" s="712"/>
      <c r="GZ464" s="712"/>
      <c r="HA464" s="712"/>
      <c r="HB464" s="712"/>
      <c r="HC464" s="712"/>
    </row>
    <row r="465" spans="1:211">
      <c r="A465" s="707"/>
      <c r="G465" s="712"/>
      <c r="H465" s="712"/>
      <c r="I465" s="712"/>
      <c r="J465" s="712"/>
      <c r="K465" s="712"/>
      <c r="L465" s="712"/>
      <c r="M465" s="712"/>
      <c r="N465" s="712"/>
      <c r="O465" s="712"/>
      <c r="P465" s="712"/>
      <c r="Q465" s="712"/>
      <c r="R465" s="712"/>
      <c r="S465" s="712"/>
      <c r="T465" s="712"/>
      <c r="U465" s="712"/>
      <c r="V465" s="712"/>
      <c r="W465" s="712"/>
      <c r="X465" s="712"/>
      <c r="Y465" s="712"/>
      <c r="Z465" s="712"/>
      <c r="AA465" s="712"/>
      <c r="AB465" s="712"/>
      <c r="AC465" s="712"/>
      <c r="AD465" s="712"/>
      <c r="AE465" s="712"/>
      <c r="AF465" s="712"/>
      <c r="AG465" s="712"/>
      <c r="AH465" s="712"/>
      <c r="AI465" s="712"/>
      <c r="AJ465" s="712"/>
      <c r="AK465" s="712"/>
      <c r="AL465" s="712"/>
      <c r="AM465" s="712"/>
      <c r="AN465" s="712"/>
      <c r="AO465" s="712"/>
      <c r="AP465" s="712"/>
      <c r="AQ465" s="712"/>
      <c r="AR465" s="712"/>
      <c r="AS465" s="712"/>
      <c r="AT465" s="712"/>
      <c r="AU465" s="712"/>
      <c r="AV465" s="712"/>
      <c r="AW465" s="712"/>
      <c r="AX465" s="712"/>
      <c r="AY465" s="712"/>
      <c r="AZ465" s="712"/>
      <c r="BA465" s="712"/>
      <c r="BB465" s="712"/>
      <c r="BC465" s="712"/>
      <c r="BD465" s="712"/>
      <c r="BE465" s="712"/>
      <c r="BF465" s="712"/>
      <c r="BG465" s="712"/>
      <c r="BH465" s="712"/>
      <c r="BI465" s="712"/>
      <c r="BJ465" s="712"/>
      <c r="BK465" s="712"/>
      <c r="BL465" s="712"/>
      <c r="BM465" s="712"/>
      <c r="BN465" s="712"/>
      <c r="BO465" s="712"/>
      <c r="BP465" s="712"/>
      <c r="BQ465" s="712"/>
      <c r="BR465" s="712"/>
      <c r="BS465" s="712"/>
      <c r="BT465" s="712"/>
      <c r="BU465" s="712"/>
      <c r="BV465" s="712"/>
      <c r="BW465" s="712"/>
      <c r="BX465" s="712"/>
      <c r="BY465" s="712"/>
      <c r="BZ465" s="712"/>
      <c r="CA465" s="712"/>
      <c r="CB465" s="712"/>
      <c r="CC465" s="712"/>
      <c r="CD465" s="712"/>
      <c r="CE465" s="712"/>
      <c r="CF465" s="712"/>
      <c r="CG465" s="712"/>
      <c r="CH465" s="712"/>
      <c r="CI465" s="712"/>
      <c r="CJ465" s="712"/>
      <c r="CK465" s="712"/>
      <c r="CL465" s="712"/>
      <c r="CM465" s="712"/>
      <c r="CN465" s="712"/>
      <c r="CO465" s="712"/>
      <c r="CP465" s="712"/>
      <c r="CQ465" s="712"/>
      <c r="CR465" s="712"/>
      <c r="CS465" s="712"/>
      <c r="CT465" s="712"/>
      <c r="CU465" s="712"/>
      <c r="CV465" s="712"/>
      <c r="CW465" s="712"/>
      <c r="CX465" s="712"/>
      <c r="CY465" s="712"/>
      <c r="CZ465" s="712"/>
      <c r="DA465" s="712"/>
      <c r="DB465" s="712"/>
      <c r="DC465" s="712"/>
      <c r="DD465" s="712"/>
      <c r="DE465" s="712"/>
      <c r="DF465" s="712"/>
      <c r="DG465" s="712"/>
      <c r="DH465" s="712"/>
      <c r="DI465" s="712"/>
      <c r="DJ465" s="712"/>
      <c r="DK465" s="712"/>
      <c r="DL465" s="712"/>
      <c r="DM465" s="712"/>
      <c r="DN465" s="712"/>
      <c r="DO465" s="712"/>
      <c r="DP465" s="712"/>
      <c r="DQ465" s="712"/>
      <c r="DR465" s="712"/>
      <c r="DS465" s="712"/>
      <c r="DT465" s="712"/>
      <c r="DU465" s="712"/>
      <c r="DV465" s="712"/>
      <c r="DW465" s="712"/>
      <c r="DX465" s="712"/>
      <c r="DY465" s="712"/>
      <c r="DZ465" s="712"/>
      <c r="EA465" s="712"/>
      <c r="EB465" s="712"/>
      <c r="EC465" s="712"/>
      <c r="ED465" s="712"/>
      <c r="EE465" s="712"/>
      <c r="EF465" s="712"/>
      <c r="EG465" s="712"/>
      <c r="EH465" s="712"/>
      <c r="EI465" s="712"/>
      <c r="EJ465" s="712"/>
      <c r="EK465" s="712"/>
      <c r="EL465" s="712"/>
      <c r="EM465" s="712"/>
      <c r="EN465" s="712"/>
      <c r="EO465" s="712"/>
      <c r="EP465" s="712"/>
      <c r="EQ465" s="712"/>
      <c r="ER465" s="712"/>
      <c r="ES465" s="712"/>
      <c r="ET465" s="794"/>
      <c r="EU465" s="794"/>
      <c r="EV465" s="794"/>
      <c r="EW465" s="794"/>
      <c r="EX465" s="794"/>
      <c r="EY465" s="794"/>
      <c r="EZ465" s="794"/>
      <c r="FA465" s="712"/>
      <c r="FB465" s="712"/>
      <c r="FC465" s="712"/>
      <c r="FD465" s="712"/>
      <c r="FE465" s="712"/>
      <c r="FF465" s="712"/>
      <c r="FG465" s="712"/>
      <c r="FH465" s="712"/>
      <c r="FI465" s="712"/>
      <c r="FJ465" s="712"/>
      <c r="FK465" s="712"/>
      <c r="FL465" s="712"/>
      <c r="FM465" s="712"/>
      <c r="FN465" s="712"/>
      <c r="FO465" s="712"/>
      <c r="FP465" s="712"/>
      <c r="FQ465" s="712"/>
      <c r="FR465" s="712"/>
      <c r="FS465" s="712"/>
      <c r="FT465" s="712"/>
      <c r="FU465" s="712"/>
      <c r="FV465" s="712"/>
      <c r="FW465" s="712"/>
      <c r="FX465" s="712"/>
      <c r="FZ465" s="712"/>
      <c r="GA465" s="712"/>
      <c r="GB465" s="712"/>
      <c r="GC465" s="712"/>
      <c r="GD465" s="712"/>
      <c r="GE465" s="712"/>
      <c r="GF465" s="712"/>
      <c r="GG465" s="712"/>
      <c r="GH465" s="712"/>
      <c r="GI465" s="712"/>
      <c r="GJ465" s="712"/>
      <c r="GK465" s="712"/>
      <c r="GL465" s="712"/>
      <c r="GM465" s="712"/>
      <c r="GN465" s="712"/>
      <c r="GO465" s="712"/>
      <c r="GP465" s="712"/>
      <c r="GQ465" s="712"/>
      <c r="GR465" s="712"/>
      <c r="GS465" s="712"/>
      <c r="GT465" s="712"/>
      <c r="GU465" s="712"/>
      <c r="GV465" s="712"/>
      <c r="GW465" s="712"/>
      <c r="GX465" s="712"/>
      <c r="GY465" s="712"/>
      <c r="GZ465" s="712"/>
      <c r="HA465" s="712"/>
      <c r="HB465" s="712"/>
      <c r="HC465" s="712"/>
    </row>
    <row r="466" spans="1:211">
      <c r="A466" s="707"/>
      <c r="G466" s="712"/>
      <c r="H466" s="712"/>
      <c r="I466" s="712"/>
      <c r="J466" s="712"/>
      <c r="K466" s="712"/>
      <c r="L466" s="712"/>
      <c r="M466" s="712"/>
      <c r="N466" s="712"/>
      <c r="O466" s="712"/>
      <c r="P466" s="712"/>
      <c r="Q466" s="712"/>
      <c r="R466" s="712"/>
      <c r="S466" s="712"/>
      <c r="T466" s="712"/>
      <c r="U466" s="712"/>
      <c r="V466" s="712"/>
      <c r="W466" s="712"/>
      <c r="X466" s="712"/>
      <c r="Y466" s="712"/>
      <c r="Z466" s="712"/>
      <c r="AA466" s="712"/>
      <c r="AB466" s="712"/>
      <c r="AC466" s="712"/>
      <c r="AD466" s="712"/>
      <c r="AE466" s="712"/>
      <c r="AF466" s="712"/>
      <c r="AG466" s="712"/>
      <c r="AH466" s="712"/>
      <c r="AI466" s="712"/>
      <c r="AJ466" s="712"/>
      <c r="AK466" s="712"/>
      <c r="AL466" s="712"/>
      <c r="AM466" s="712"/>
      <c r="AN466" s="712"/>
      <c r="AO466" s="712"/>
      <c r="AP466" s="712"/>
      <c r="AQ466" s="712"/>
      <c r="AR466" s="712"/>
      <c r="AS466" s="712"/>
      <c r="AT466" s="712"/>
      <c r="AU466" s="712"/>
      <c r="AV466" s="712"/>
      <c r="AW466" s="712"/>
      <c r="AX466" s="712"/>
      <c r="AY466" s="712"/>
      <c r="AZ466" s="712"/>
      <c r="BA466" s="712"/>
      <c r="BB466" s="712"/>
      <c r="BC466" s="712"/>
      <c r="BD466" s="712"/>
      <c r="BE466" s="712"/>
      <c r="BF466" s="712"/>
      <c r="BG466" s="712"/>
      <c r="BH466" s="712"/>
      <c r="BI466" s="712"/>
      <c r="BJ466" s="712"/>
      <c r="BK466" s="712"/>
      <c r="BL466" s="712"/>
      <c r="BM466" s="712"/>
      <c r="BN466" s="712"/>
      <c r="BO466" s="712"/>
      <c r="BP466" s="712"/>
      <c r="BQ466" s="712"/>
      <c r="BR466" s="712"/>
      <c r="BS466" s="712"/>
      <c r="BT466" s="712"/>
      <c r="BU466" s="712"/>
      <c r="BV466" s="712"/>
      <c r="BW466" s="712"/>
      <c r="BX466" s="712"/>
      <c r="BY466" s="712"/>
      <c r="BZ466" s="712"/>
      <c r="CA466" s="712"/>
      <c r="CB466" s="712"/>
      <c r="CC466" s="712"/>
      <c r="CD466" s="712"/>
      <c r="CE466" s="712"/>
      <c r="CF466" s="712"/>
      <c r="CG466" s="712"/>
      <c r="CH466" s="712"/>
      <c r="CI466" s="712"/>
      <c r="CJ466" s="712"/>
      <c r="CK466" s="712"/>
      <c r="CL466" s="712"/>
      <c r="CM466" s="712"/>
      <c r="CN466" s="712"/>
      <c r="CO466" s="712"/>
      <c r="CP466" s="712"/>
      <c r="CQ466" s="712"/>
      <c r="CR466" s="712"/>
      <c r="CS466" s="712"/>
      <c r="CT466" s="712"/>
      <c r="CU466" s="712"/>
      <c r="CV466" s="712"/>
      <c r="CW466" s="712"/>
      <c r="CX466" s="712"/>
      <c r="CY466" s="712"/>
      <c r="CZ466" s="712"/>
      <c r="DA466" s="712"/>
      <c r="DB466" s="712"/>
      <c r="DC466" s="712"/>
      <c r="DD466" s="712"/>
      <c r="DE466" s="712"/>
      <c r="DF466" s="712"/>
      <c r="DG466" s="712"/>
      <c r="DH466" s="712"/>
      <c r="DI466" s="712"/>
      <c r="DJ466" s="712"/>
      <c r="DK466" s="712"/>
      <c r="DL466" s="712"/>
      <c r="DM466" s="712"/>
      <c r="DN466" s="712"/>
      <c r="DO466" s="712"/>
      <c r="DP466" s="712"/>
      <c r="DQ466" s="712"/>
      <c r="DR466" s="712"/>
      <c r="DS466" s="712"/>
      <c r="DT466" s="712"/>
      <c r="DU466" s="712"/>
      <c r="DV466" s="712"/>
      <c r="DW466" s="712"/>
      <c r="DX466" s="712"/>
      <c r="DY466" s="712"/>
      <c r="DZ466" s="712"/>
      <c r="EA466" s="712"/>
      <c r="EB466" s="712"/>
      <c r="EC466" s="712"/>
      <c r="ED466" s="712"/>
      <c r="EE466" s="712"/>
      <c r="EF466" s="712"/>
      <c r="EG466" s="712"/>
      <c r="EH466" s="712"/>
      <c r="EI466" s="712"/>
      <c r="EJ466" s="712"/>
      <c r="EK466" s="712"/>
      <c r="EL466" s="712"/>
      <c r="EM466" s="712"/>
      <c r="EN466" s="712"/>
      <c r="EO466" s="712"/>
      <c r="EP466" s="712"/>
      <c r="EQ466" s="712"/>
      <c r="ER466" s="712"/>
      <c r="ES466" s="712"/>
      <c r="ET466" s="794"/>
      <c r="EU466" s="794"/>
      <c r="EV466" s="794"/>
      <c r="EW466" s="794"/>
      <c r="EX466" s="794"/>
      <c r="EY466" s="794"/>
      <c r="EZ466" s="794"/>
      <c r="FA466" s="712"/>
      <c r="FB466" s="712"/>
      <c r="FC466" s="712"/>
      <c r="FD466" s="712"/>
      <c r="FE466" s="712"/>
      <c r="FF466" s="712"/>
      <c r="FG466" s="712"/>
      <c r="FH466" s="712"/>
      <c r="FI466" s="712"/>
      <c r="FJ466" s="712"/>
      <c r="FK466" s="712"/>
      <c r="FL466" s="712"/>
      <c r="FM466" s="712"/>
      <c r="FN466" s="712"/>
      <c r="FO466" s="712"/>
      <c r="FP466" s="712"/>
      <c r="FQ466" s="712"/>
      <c r="FR466" s="712"/>
      <c r="FS466" s="712"/>
      <c r="FT466" s="712"/>
      <c r="FU466" s="712"/>
      <c r="FV466" s="712"/>
      <c r="FW466" s="712"/>
      <c r="FX466" s="712"/>
      <c r="FZ466" s="712"/>
      <c r="GA466" s="712"/>
      <c r="GB466" s="712"/>
      <c r="GC466" s="712"/>
      <c r="GD466" s="712"/>
      <c r="GE466" s="712"/>
      <c r="GF466" s="712"/>
      <c r="GG466" s="712"/>
      <c r="GH466" s="712"/>
      <c r="GI466" s="712"/>
      <c r="GJ466" s="712"/>
      <c r="GK466" s="712"/>
      <c r="GL466" s="712"/>
      <c r="GM466" s="712"/>
      <c r="GN466" s="712"/>
      <c r="GO466" s="712"/>
      <c r="GP466" s="712"/>
      <c r="GQ466" s="712"/>
      <c r="GR466" s="712"/>
      <c r="GS466" s="712"/>
      <c r="GT466" s="712"/>
      <c r="GU466" s="712"/>
      <c r="GV466" s="712"/>
      <c r="GW466" s="712"/>
      <c r="GX466" s="712"/>
      <c r="GY466" s="712"/>
      <c r="GZ466" s="712"/>
      <c r="HA466" s="712"/>
      <c r="HB466" s="712"/>
      <c r="HC466" s="712"/>
    </row>
    <row r="467" spans="1:211">
      <c r="A467" s="707"/>
      <c r="G467" s="712"/>
      <c r="H467" s="712"/>
      <c r="I467" s="712"/>
      <c r="J467" s="712"/>
      <c r="K467" s="712"/>
      <c r="L467" s="712"/>
      <c r="M467" s="712"/>
      <c r="N467" s="712"/>
      <c r="O467" s="712"/>
      <c r="P467" s="712"/>
      <c r="Q467" s="712"/>
      <c r="R467" s="712"/>
      <c r="S467" s="712"/>
      <c r="T467" s="712"/>
      <c r="U467" s="712"/>
      <c r="V467" s="712"/>
      <c r="W467" s="712"/>
      <c r="X467" s="712"/>
      <c r="Y467" s="712"/>
      <c r="Z467" s="712"/>
      <c r="AA467" s="712"/>
      <c r="AB467" s="712"/>
      <c r="AC467" s="712"/>
      <c r="AD467" s="712"/>
      <c r="AE467" s="712"/>
      <c r="AF467" s="712"/>
      <c r="AG467" s="712"/>
      <c r="AH467" s="712"/>
      <c r="AI467" s="712"/>
      <c r="AJ467" s="712"/>
      <c r="AK467" s="712"/>
      <c r="AL467" s="712"/>
      <c r="AM467" s="712"/>
      <c r="AN467" s="712"/>
      <c r="AO467" s="712"/>
      <c r="AP467" s="712"/>
      <c r="AQ467" s="712"/>
      <c r="AR467" s="712"/>
      <c r="AS467" s="712"/>
      <c r="AT467" s="712"/>
      <c r="AU467" s="712"/>
      <c r="AV467" s="712"/>
      <c r="AW467" s="712"/>
      <c r="AX467" s="712"/>
      <c r="AY467" s="712"/>
      <c r="AZ467" s="712"/>
      <c r="BA467" s="712"/>
      <c r="BB467" s="712"/>
      <c r="BC467" s="712"/>
      <c r="BD467" s="712"/>
      <c r="BE467" s="712"/>
      <c r="BF467" s="712"/>
      <c r="BG467" s="712"/>
      <c r="BH467" s="712"/>
      <c r="BI467" s="712"/>
      <c r="BJ467" s="712"/>
      <c r="BK467" s="712"/>
      <c r="BL467" s="712"/>
      <c r="BM467" s="712"/>
      <c r="BN467" s="712"/>
      <c r="BO467" s="712"/>
      <c r="BP467" s="712"/>
      <c r="BQ467" s="712"/>
      <c r="BR467" s="712"/>
      <c r="BS467" s="712"/>
      <c r="BT467" s="712"/>
      <c r="BU467" s="712"/>
      <c r="BV467" s="712"/>
      <c r="BW467" s="712"/>
      <c r="BX467" s="712"/>
      <c r="BY467" s="712"/>
      <c r="BZ467" s="712"/>
      <c r="CA467" s="712"/>
      <c r="CB467" s="712"/>
      <c r="CC467" s="712"/>
      <c r="CD467" s="712"/>
      <c r="CE467" s="712"/>
      <c r="CF467" s="712"/>
      <c r="CG467" s="712"/>
      <c r="CH467" s="712"/>
      <c r="CI467" s="712"/>
      <c r="CJ467" s="712"/>
      <c r="CK467" s="712"/>
      <c r="CL467" s="712"/>
      <c r="CM467" s="712"/>
      <c r="CN467" s="712"/>
      <c r="CO467" s="712"/>
      <c r="CP467" s="712"/>
      <c r="CQ467" s="712"/>
      <c r="CR467" s="712"/>
      <c r="CS467" s="712"/>
      <c r="CT467" s="712"/>
      <c r="CU467" s="712"/>
      <c r="CV467" s="712"/>
      <c r="CW467" s="712"/>
      <c r="CX467" s="712"/>
      <c r="CY467" s="712"/>
      <c r="CZ467" s="712"/>
      <c r="DA467" s="712"/>
      <c r="DB467" s="712"/>
      <c r="DC467" s="712"/>
      <c r="DD467" s="712"/>
      <c r="DE467" s="712"/>
      <c r="DF467" s="712"/>
      <c r="DG467" s="712"/>
      <c r="DH467" s="712"/>
      <c r="DI467" s="712"/>
      <c r="DJ467" s="712"/>
      <c r="DK467" s="712"/>
      <c r="DL467" s="712"/>
      <c r="DM467" s="712"/>
      <c r="DN467" s="712"/>
      <c r="DO467" s="712"/>
      <c r="DP467" s="712"/>
      <c r="DQ467" s="712"/>
      <c r="DR467" s="712"/>
      <c r="DS467" s="712"/>
      <c r="DT467" s="712"/>
      <c r="DU467" s="712"/>
      <c r="DV467" s="712"/>
      <c r="DW467" s="712"/>
      <c r="DX467" s="712"/>
      <c r="DY467" s="712"/>
      <c r="DZ467" s="712"/>
      <c r="EA467" s="712"/>
      <c r="EB467" s="712"/>
      <c r="EC467" s="712"/>
      <c r="ED467" s="712"/>
      <c r="EE467" s="712"/>
      <c r="EF467" s="712"/>
      <c r="EG467" s="712"/>
      <c r="EH467" s="712"/>
      <c r="EI467" s="712"/>
      <c r="EJ467" s="712"/>
      <c r="EK467" s="712"/>
      <c r="EL467" s="712"/>
      <c r="EM467" s="712"/>
      <c r="EN467" s="712"/>
      <c r="EO467" s="712"/>
      <c r="EP467" s="712"/>
      <c r="EQ467" s="712"/>
      <c r="ER467" s="712"/>
      <c r="ES467" s="712"/>
      <c r="ET467" s="794"/>
      <c r="EU467" s="794"/>
      <c r="EV467" s="794"/>
      <c r="EW467" s="794"/>
      <c r="EX467" s="794"/>
      <c r="EY467" s="794"/>
      <c r="EZ467" s="794"/>
      <c r="FA467" s="712"/>
      <c r="FB467" s="712"/>
      <c r="FC467" s="712"/>
      <c r="FD467" s="712"/>
      <c r="FE467" s="712"/>
      <c r="FF467" s="712"/>
      <c r="FG467" s="712"/>
      <c r="FH467" s="712"/>
      <c r="FI467" s="712"/>
      <c r="FJ467" s="712"/>
      <c r="FK467" s="712"/>
      <c r="FL467" s="712"/>
      <c r="FM467" s="712"/>
      <c r="FN467" s="712"/>
      <c r="FO467" s="712"/>
      <c r="FP467" s="712"/>
      <c r="FQ467" s="712"/>
      <c r="FR467" s="712"/>
      <c r="FS467" s="712"/>
      <c r="FT467" s="712"/>
      <c r="FU467" s="712"/>
      <c r="FV467" s="712"/>
      <c r="FW467" s="712"/>
      <c r="FX467" s="712"/>
      <c r="FZ467" s="712"/>
      <c r="GA467" s="712"/>
      <c r="GB467" s="712"/>
      <c r="GC467" s="712"/>
      <c r="GD467" s="712"/>
      <c r="GE467" s="712"/>
      <c r="GF467" s="712"/>
      <c r="GG467" s="712"/>
      <c r="GH467" s="712"/>
      <c r="GI467" s="712"/>
      <c r="GJ467" s="712"/>
      <c r="GK467" s="712"/>
      <c r="GL467" s="712"/>
      <c r="GM467" s="712"/>
      <c r="GN467" s="712"/>
      <c r="GO467" s="712"/>
      <c r="GP467" s="712"/>
      <c r="GQ467" s="712"/>
      <c r="GR467" s="712"/>
      <c r="GS467" s="712"/>
      <c r="GT467" s="712"/>
      <c r="GU467" s="712"/>
      <c r="GV467" s="712"/>
      <c r="GW467" s="712"/>
      <c r="GX467" s="712"/>
      <c r="GY467" s="712"/>
      <c r="GZ467" s="712"/>
      <c r="HA467" s="712"/>
      <c r="HB467" s="712"/>
      <c r="HC467" s="712"/>
    </row>
    <row r="468" spans="1:211">
      <c r="A468" s="707"/>
      <c r="G468" s="712"/>
      <c r="H468" s="712"/>
      <c r="I468" s="712"/>
      <c r="J468" s="712"/>
      <c r="K468" s="712"/>
      <c r="L468" s="712"/>
      <c r="M468" s="712"/>
      <c r="N468" s="712"/>
      <c r="O468" s="712"/>
      <c r="P468" s="712"/>
      <c r="Q468" s="712"/>
      <c r="R468" s="712"/>
      <c r="S468" s="712"/>
      <c r="T468" s="712"/>
      <c r="U468" s="712"/>
      <c r="V468" s="712"/>
      <c r="W468" s="712"/>
      <c r="X468" s="712"/>
      <c r="Y468" s="712"/>
      <c r="Z468" s="712"/>
      <c r="AA468" s="712"/>
      <c r="AB468" s="712"/>
      <c r="AC468" s="712"/>
      <c r="AD468" s="712"/>
      <c r="AE468" s="712"/>
      <c r="AF468" s="712"/>
      <c r="AG468" s="712"/>
      <c r="AH468" s="712"/>
      <c r="AI468" s="712"/>
      <c r="AJ468" s="712"/>
      <c r="AK468" s="712"/>
      <c r="AL468" s="712"/>
      <c r="AM468" s="712"/>
      <c r="AN468" s="712"/>
      <c r="AO468" s="712"/>
      <c r="AP468" s="712"/>
      <c r="AQ468" s="712"/>
      <c r="AR468" s="712"/>
      <c r="AS468" s="712"/>
      <c r="AT468" s="712"/>
      <c r="AU468" s="712"/>
      <c r="AV468" s="712"/>
      <c r="AW468" s="712"/>
      <c r="AX468" s="712"/>
      <c r="AY468" s="712"/>
      <c r="AZ468" s="712"/>
      <c r="BA468" s="712"/>
      <c r="BB468" s="712"/>
      <c r="BC468" s="712"/>
      <c r="BD468" s="712"/>
      <c r="BE468" s="712"/>
      <c r="BF468" s="712"/>
      <c r="BG468" s="712"/>
      <c r="BH468" s="712"/>
      <c r="BI468" s="712"/>
      <c r="BJ468" s="712"/>
      <c r="BK468" s="712"/>
      <c r="BL468" s="712"/>
      <c r="BM468" s="712"/>
      <c r="BN468" s="712"/>
      <c r="BO468" s="712"/>
      <c r="BP468" s="712"/>
      <c r="BQ468" s="712"/>
      <c r="BR468" s="712"/>
      <c r="BS468" s="712"/>
      <c r="BT468" s="712"/>
      <c r="BU468" s="712"/>
      <c r="BV468" s="712"/>
      <c r="BW468" s="712"/>
      <c r="BX468" s="712"/>
      <c r="BY468" s="712"/>
      <c r="BZ468" s="712"/>
      <c r="CA468" s="712"/>
      <c r="CB468" s="712"/>
      <c r="CC468" s="712"/>
      <c r="CD468" s="712"/>
      <c r="CE468" s="712"/>
      <c r="CF468" s="712"/>
      <c r="CG468" s="712"/>
      <c r="CH468" s="712"/>
      <c r="CI468" s="712"/>
      <c r="CJ468" s="712"/>
      <c r="CK468" s="712"/>
      <c r="CL468" s="712"/>
      <c r="CM468" s="712"/>
      <c r="CN468" s="712"/>
      <c r="CO468" s="712"/>
      <c r="CP468" s="712"/>
      <c r="CQ468" s="712"/>
      <c r="CR468" s="712"/>
      <c r="CS468" s="712"/>
      <c r="CT468" s="712"/>
      <c r="CU468" s="712"/>
      <c r="CV468" s="712"/>
      <c r="CW468" s="712"/>
      <c r="CX468" s="712"/>
      <c r="CY468" s="712"/>
      <c r="CZ468" s="712"/>
      <c r="DA468" s="712"/>
      <c r="DB468" s="712"/>
      <c r="DC468" s="712"/>
      <c r="DD468" s="712"/>
      <c r="DE468" s="712"/>
      <c r="DF468" s="712"/>
      <c r="DG468" s="712"/>
      <c r="DH468" s="712"/>
      <c r="DI468" s="712"/>
      <c r="DJ468" s="712"/>
      <c r="DK468" s="712"/>
      <c r="DL468" s="712"/>
      <c r="DM468" s="712"/>
      <c r="DN468" s="712"/>
      <c r="DO468" s="712"/>
      <c r="DP468" s="712"/>
      <c r="DQ468" s="712"/>
      <c r="DR468" s="712"/>
      <c r="DS468" s="712"/>
      <c r="DT468" s="712"/>
      <c r="DU468" s="712"/>
      <c r="DV468" s="712"/>
      <c r="DW468" s="712"/>
      <c r="DX468" s="712"/>
      <c r="DY468" s="712"/>
      <c r="DZ468" s="712"/>
      <c r="EA468" s="712"/>
      <c r="EB468" s="712"/>
      <c r="EC468" s="712"/>
      <c r="ED468" s="712"/>
      <c r="EE468" s="712"/>
      <c r="EF468" s="712"/>
      <c r="EG468" s="712"/>
      <c r="EH468" s="712"/>
      <c r="EI468" s="712"/>
      <c r="EJ468" s="712"/>
      <c r="EK468" s="712"/>
      <c r="EL468" s="712"/>
      <c r="EM468" s="712"/>
      <c r="EN468" s="712"/>
      <c r="EO468" s="712"/>
      <c r="EP468" s="712"/>
      <c r="EQ468" s="712"/>
      <c r="ER468" s="712"/>
      <c r="ES468" s="712"/>
      <c r="ET468" s="794"/>
      <c r="EU468" s="794"/>
      <c r="EV468" s="794"/>
      <c r="EW468" s="794"/>
      <c r="EX468" s="794"/>
      <c r="EY468" s="794"/>
      <c r="EZ468" s="794"/>
      <c r="FA468" s="712"/>
      <c r="FB468" s="712"/>
      <c r="FC468" s="712"/>
      <c r="FD468" s="712"/>
      <c r="FE468" s="712"/>
      <c r="FF468" s="712"/>
      <c r="FG468" s="712"/>
      <c r="FH468" s="712"/>
      <c r="FI468" s="712"/>
      <c r="FJ468" s="712"/>
      <c r="FK468" s="712"/>
      <c r="FL468" s="712"/>
      <c r="FM468" s="712"/>
      <c r="FN468" s="712"/>
      <c r="FO468" s="712"/>
      <c r="FP468" s="712"/>
      <c r="FQ468" s="712"/>
      <c r="FR468" s="712"/>
      <c r="FS468" s="712"/>
      <c r="FT468" s="712"/>
      <c r="FU468" s="712"/>
      <c r="FV468" s="712"/>
      <c r="FW468" s="712"/>
      <c r="FX468" s="712"/>
      <c r="FZ468" s="712"/>
      <c r="GA468" s="712"/>
      <c r="GB468" s="712"/>
      <c r="GC468" s="712"/>
      <c r="GD468" s="712"/>
      <c r="GE468" s="712"/>
      <c r="GF468" s="712"/>
      <c r="GG468" s="712"/>
      <c r="GH468" s="712"/>
      <c r="GI468" s="712"/>
      <c r="GJ468" s="712"/>
      <c r="GK468" s="712"/>
      <c r="GL468" s="712"/>
      <c r="GM468" s="712"/>
      <c r="GN468" s="712"/>
      <c r="GO468" s="712"/>
      <c r="GP468" s="712"/>
      <c r="GQ468" s="712"/>
      <c r="GR468" s="712"/>
      <c r="GS468" s="712"/>
      <c r="GT468" s="712"/>
      <c r="GU468" s="712"/>
      <c r="GV468" s="712"/>
      <c r="GW468" s="712"/>
      <c r="GX468" s="712"/>
      <c r="GY468" s="712"/>
      <c r="GZ468" s="712"/>
      <c r="HA468" s="712"/>
      <c r="HB468" s="712"/>
      <c r="HC468" s="712"/>
    </row>
    <row r="469" spans="1:211">
      <c r="A469" s="707"/>
      <c r="G469" s="712"/>
      <c r="H469" s="712"/>
      <c r="I469" s="712"/>
      <c r="J469" s="712"/>
      <c r="K469" s="712"/>
      <c r="L469" s="712"/>
      <c r="M469" s="712"/>
      <c r="N469" s="712"/>
      <c r="O469" s="712"/>
      <c r="P469" s="712"/>
      <c r="Q469" s="712"/>
      <c r="R469" s="712"/>
      <c r="S469" s="712"/>
      <c r="T469" s="712"/>
      <c r="U469" s="712"/>
      <c r="V469" s="712"/>
      <c r="W469" s="712"/>
      <c r="X469" s="712"/>
      <c r="Y469" s="712"/>
      <c r="Z469" s="712"/>
      <c r="AA469" s="712"/>
      <c r="AB469" s="712"/>
      <c r="AC469" s="712"/>
      <c r="AD469" s="712"/>
      <c r="AE469" s="712"/>
      <c r="AF469" s="712"/>
      <c r="AG469" s="712"/>
      <c r="AH469" s="712"/>
      <c r="AI469" s="712"/>
      <c r="AJ469" s="712"/>
      <c r="AK469" s="712"/>
      <c r="AL469" s="712"/>
      <c r="AM469" s="712"/>
      <c r="AN469" s="712"/>
      <c r="AO469" s="712"/>
      <c r="AP469" s="712"/>
      <c r="AQ469" s="712"/>
      <c r="AR469" s="712"/>
      <c r="AS469" s="712"/>
      <c r="AT469" s="712"/>
      <c r="AU469" s="712"/>
      <c r="AV469" s="712"/>
      <c r="AW469" s="712"/>
      <c r="AX469" s="712"/>
      <c r="AY469" s="712"/>
      <c r="AZ469" s="712"/>
      <c r="BA469" s="712"/>
      <c r="BB469" s="712"/>
      <c r="BC469" s="712"/>
      <c r="BD469" s="712"/>
      <c r="BE469" s="712"/>
      <c r="BF469" s="712"/>
      <c r="BG469" s="712"/>
      <c r="BH469" s="712"/>
      <c r="BI469" s="712"/>
      <c r="BJ469" s="712"/>
      <c r="BK469" s="712"/>
      <c r="BL469" s="712"/>
      <c r="BM469" s="712"/>
      <c r="BN469" s="712"/>
      <c r="BO469" s="712"/>
      <c r="BP469" s="712"/>
      <c r="BQ469" s="712"/>
      <c r="BR469" s="712"/>
      <c r="BS469" s="712"/>
      <c r="BT469" s="712"/>
      <c r="BU469" s="712"/>
      <c r="BV469" s="712"/>
      <c r="BW469" s="712"/>
      <c r="BX469" s="712"/>
      <c r="BY469" s="712"/>
      <c r="BZ469" s="712"/>
      <c r="CA469" s="712"/>
      <c r="CB469" s="712"/>
      <c r="CC469" s="712"/>
      <c r="CD469" s="712"/>
      <c r="CE469" s="712"/>
      <c r="CF469" s="712"/>
      <c r="CG469" s="712"/>
      <c r="CH469" s="712"/>
      <c r="CI469" s="712"/>
      <c r="CJ469" s="712"/>
      <c r="CK469" s="712"/>
      <c r="CL469" s="712"/>
      <c r="CM469" s="712"/>
      <c r="CN469" s="712"/>
      <c r="CO469" s="712"/>
      <c r="CP469" s="712"/>
      <c r="CQ469" s="712"/>
      <c r="CR469" s="712"/>
      <c r="CS469" s="712"/>
      <c r="CT469" s="712"/>
      <c r="CU469" s="712"/>
      <c r="CV469" s="712"/>
      <c r="CW469" s="712"/>
      <c r="CX469" s="712"/>
      <c r="CY469" s="712"/>
      <c r="CZ469" s="712"/>
      <c r="DA469" s="712"/>
      <c r="DB469" s="712"/>
      <c r="DC469" s="712"/>
      <c r="DD469" s="712"/>
      <c r="DE469" s="712"/>
      <c r="DF469" s="712"/>
      <c r="DG469" s="712"/>
      <c r="DH469" s="712"/>
      <c r="DI469" s="712"/>
      <c r="DJ469" s="712"/>
      <c r="DK469" s="712"/>
      <c r="DL469" s="712"/>
      <c r="DM469" s="712"/>
      <c r="DN469" s="712"/>
      <c r="DO469" s="712"/>
      <c r="DP469" s="712"/>
      <c r="DQ469" s="712"/>
      <c r="DR469" s="712"/>
      <c r="DS469" s="712"/>
      <c r="DT469" s="712"/>
      <c r="DU469" s="712"/>
      <c r="DV469" s="712"/>
      <c r="DW469" s="712"/>
      <c r="DX469" s="712"/>
      <c r="DY469" s="712"/>
      <c r="DZ469" s="712"/>
      <c r="EA469" s="712"/>
      <c r="EB469" s="712"/>
      <c r="EC469" s="712"/>
      <c r="ED469" s="712"/>
      <c r="EE469" s="712"/>
      <c r="EF469" s="712"/>
      <c r="EG469" s="712"/>
      <c r="EH469" s="712"/>
      <c r="EI469" s="712"/>
      <c r="EJ469" s="712"/>
      <c r="EK469" s="712"/>
      <c r="EL469" s="712"/>
      <c r="EM469" s="712"/>
      <c r="EN469" s="712"/>
      <c r="EO469" s="712"/>
      <c r="EP469" s="712"/>
      <c r="EQ469" s="712"/>
      <c r="ER469" s="712"/>
      <c r="ES469" s="712"/>
      <c r="ET469" s="794"/>
      <c r="EU469" s="794"/>
      <c r="EV469" s="794"/>
      <c r="EW469" s="794"/>
      <c r="EX469" s="794"/>
      <c r="EY469" s="794"/>
      <c r="EZ469" s="794"/>
      <c r="FA469" s="712"/>
      <c r="FB469" s="712"/>
      <c r="FC469" s="712"/>
      <c r="FD469" s="712"/>
      <c r="FE469" s="712"/>
      <c r="FF469" s="712"/>
      <c r="FG469" s="712"/>
      <c r="FH469" s="712"/>
      <c r="FI469" s="712"/>
      <c r="FJ469" s="712"/>
      <c r="FK469" s="712"/>
      <c r="FL469" s="712"/>
      <c r="FM469" s="712"/>
      <c r="FN469" s="712"/>
      <c r="FO469" s="712"/>
      <c r="FP469" s="712"/>
      <c r="FQ469" s="712"/>
      <c r="FR469" s="712"/>
      <c r="FS469" s="712"/>
      <c r="FT469" s="712"/>
      <c r="FU469" s="712"/>
      <c r="FV469" s="712"/>
      <c r="FW469" s="712"/>
      <c r="FX469" s="712"/>
      <c r="FZ469" s="712"/>
      <c r="GA469" s="712"/>
      <c r="GB469" s="712"/>
      <c r="GC469" s="712"/>
      <c r="GD469" s="712"/>
      <c r="GE469" s="712"/>
      <c r="GF469" s="712"/>
      <c r="GG469" s="712"/>
      <c r="GH469" s="712"/>
      <c r="GI469" s="712"/>
      <c r="GJ469" s="712"/>
      <c r="GK469" s="712"/>
      <c r="GL469" s="712"/>
      <c r="GM469" s="712"/>
      <c r="GN469" s="712"/>
      <c r="GO469" s="712"/>
      <c r="GP469" s="712"/>
      <c r="GQ469" s="712"/>
      <c r="GR469" s="712"/>
      <c r="GS469" s="712"/>
      <c r="GT469" s="712"/>
      <c r="GU469" s="712"/>
      <c r="GV469" s="712"/>
      <c r="GW469" s="712"/>
      <c r="GX469" s="712"/>
      <c r="GY469" s="712"/>
      <c r="GZ469" s="712"/>
      <c r="HA469" s="712"/>
      <c r="HB469" s="712"/>
      <c r="HC469" s="712"/>
    </row>
    <row r="470" spans="1:211">
      <c r="A470" s="707"/>
      <c r="G470" s="712"/>
      <c r="H470" s="712"/>
      <c r="I470" s="712"/>
      <c r="J470" s="712"/>
      <c r="K470" s="712"/>
      <c r="L470" s="712"/>
      <c r="M470" s="712"/>
      <c r="N470" s="712"/>
      <c r="O470" s="712"/>
      <c r="P470" s="712"/>
      <c r="Q470" s="712"/>
      <c r="R470" s="712"/>
      <c r="S470" s="712"/>
      <c r="T470" s="712"/>
      <c r="U470" s="712"/>
      <c r="V470" s="712"/>
      <c r="W470" s="712"/>
      <c r="X470" s="712"/>
      <c r="Y470" s="712"/>
      <c r="Z470" s="712"/>
      <c r="AA470" s="712"/>
      <c r="AB470" s="712"/>
      <c r="AC470" s="712"/>
      <c r="AD470" s="712"/>
      <c r="AE470" s="712"/>
      <c r="AF470" s="712"/>
      <c r="AG470" s="712"/>
      <c r="AH470" s="712"/>
      <c r="AI470" s="712"/>
      <c r="AJ470" s="712"/>
      <c r="AK470" s="712"/>
      <c r="AL470" s="712"/>
      <c r="AM470" s="712"/>
      <c r="AN470" s="712"/>
      <c r="AO470" s="712"/>
      <c r="AP470" s="712"/>
      <c r="AQ470" s="712"/>
      <c r="AR470" s="712"/>
      <c r="AS470" s="712"/>
      <c r="AT470" s="712"/>
      <c r="AU470" s="712"/>
      <c r="AV470" s="712"/>
      <c r="AW470" s="712"/>
      <c r="AX470" s="712"/>
      <c r="AY470" s="712"/>
      <c r="AZ470" s="712"/>
      <c r="BA470" s="712"/>
      <c r="BB470" s="712"/>
      <c r="BC470" s="712"/>
      <c r="BD470" s="712"/>
      <c r="BE470" s="712"/>
      <c r="BF470" s="712"/>
      <c r="BG470" s="712"/>
      <c r="BH470" s="712"/>
      <c r="BI470" s="712"/>
      <c r="BJ470" s="712"/>
      <c r="BK470" s="712"/>
      <c r="BL470" s="712"/>
      <c r="BM470" s="712"/>
      <c r="BN470" s="712"/>
      <c r="BO470" s="712"/>
      <c r="BP470" s="712"/>
      <c r="BQ470" s="712"/>
      <c r="BR470" s="712"/>
      <c r="BS470" s="712"/>
      <c r="BT470" s="712"/>
      <c r="BU470" s="712"/>
      <c r="BV470" s="712"/>
      <c r="BW470" s="712"/>
      <c r="BX470" s="712"/>
      <c r="BY470" s="712"/>
      <c r="BZ470" s="712"/>
      <c r="CA470" s="712"/>
      <c r="CB470" s="712"/>
      <c r="CC470" s="712"/>
      <c r="CD470" s="712"/>
      <c r="CE470" s="712"/>
      <c r="CF470" s="712"/>
      <c r="CG470" s="712"/>
      <c r="CH470" s="712"/>
      <c r="CI470" s="712"/>
      <c r="CJ470" s="712"/>
      <c r="CK470" s="712"/>
      <c r="CL470" s="712"/>
      <c r="CM470" s="712"/>
      <c r="CN470" s="712"/>
      <c r="CO470" s="712"/>
      <c r="CP470" s="712"/>
      <c r="CQ470" s="712"/>
      <c r="CR470" s="712"/>
      <c r="CS470" s="712"/>
      <c r="CT470" s="712"/>
      <c r="CU470" s="712"/>
      <c r="CV470" s="712"/>
      <c r="CW470" s="712"/>
      <c r="CX470" s="712"/>
      <c r="CY470" s="712"/>
      <c r="CZ470" s="712"/>
      <c r="DA470" s="712"/>
      <c r="DB470" s="712"/>
      <c r="DC470" s="712"/>
      <c r="DD470" s="712"/>
      <c r="DE470" s="712"/>
      <c r="DF470" s="712"/>
      <c r="DG470" s="712"/>
      <c r="DH470" s="712"/>
      <c r="DI470" s="712"/>
      <c r="DJ470" s="712"/>
      <c r="DK470" s="712"/>
      <c r="DL470" s="712"/>
      <c r="DM470" s="712"/>
      <c r="DN470" s="712"/>
      <c r="DO470" s="712"/>
      <c r="DP470" s="712"/>
      <c r="DQ470" s="712"/>
      <c r="DR470" s="712"/>
      <c r="DS470" s="712"/>
      <c r="DT470" s="712"/>
      <c r="DU470" s="712"/>
      <c r="DV470" s="712"/>
      <c r="DW470" s="712"/>
      <c r="DX470" s="712"/>
      <c r="DY470" s="712"/>
      <c r="DZ470" s="712"/>
      <c r="EA470" s="712"/>
      <c r="EB470" s="712"/>
      <c r="EC470" s="712"/>
      <c r="ED470" s="712"/>
      <c r="EE470" s="712"/>
      <c r="EF470" s="712"/>
      <c r="EG470" s="712"/>
      <c r="EH470" s="712"/>
      <c r="EI470" s="712"/>
      <c r="EJ470" s="712"/>
      <c r="EK470" s="712"/>
      <c r="EL470" s="712"/>
      <c r="EM470" s="712"/>
      <c r="EN470" s="712"/>
      <c r="EO470" s="712"/>
      <c r="EP470" s="712"/>
      <c r="EQ470" s="712"/>
      <c r="ER470" s="712"/>
      <c r="ES470" s="712"/>
      <c r="ET470" s="794"/>
      <c r="EU470" s="794"/>
      <c r="EV470" s="794"/>
      <c r="EW470" s="794"/>
      <c r="EX470" s="794"/>
      <c r="EY470" s="794"/>
      <c r="EZ470" s="794"/>
      <c r="FA470" s="712"/>
      <c r="FB470" s="712"/>
      <c r="FC470" s="712"/>
      <c r="FD470" s="712"/>
      <c r="FE470" s="712"/>
      <c r="FF470" s="712"/>
      <c r="FG470" s="712"/>
      <c r="FH470" s="712"/>
      <c r="FI470" s="712"/>
      <c r="FJ470" s="712"/>
      <c r="FK470" s="712"/>
      <c r="FL470" s="712"/>
      <c r="FM470" s="712"/>
      <c r="FN470" s="712"/>
      <c r="FO470" s="712"/>
      <c r="FP470" s="712"/>
      <c r="FQ470" s="712"/>
      <c r="FR470" s="712"/>
      <c r="FS470" s="712"/>
      <c r="FT470" s="712"/>
      <c r="FU470" s="712"/>
      <c r="FV470" s="712"/>
      <c r="FW470" s="712"/>
      <c r="FX470" s="712"/>
      <c r="FZ470" s="712"/>
      <c r="GA470" s="712"/>
      <c r="GB470" s="712"/>
      <c r="GC470" s="712"/>
      <c r="GD470" s="712"/>
      <c r="GE470" s="712"/>
      <c r="GF470" s="712"/>
      <c r="GG470" s="712"/>
      <c r="GH470" s="712"/>
      <c r="GI470" s="712"/>
      <c r="GJ470" s="712"/>
      <c r="GK470" s="712"/>
      <c r="GL470" s="712"/>
      <c r="GM470" s="712"/>
      <c r="GN470" s="712"/>
      <c r="GO470" s="712"/>
      <c r="GP470" s="712"/>
      <c r="GQ470" s="712"/>
      <c r="GR470" s="712"/>
      <c r="GS470" s="712"/>
      <c r="GT470" s="712"/>
      <c r="GU470" s="712"/>
      <c r="GV470" s="712"/>
      <c r="GW470" s="712"/>
      <c r="GX470" s="712"/>
      <c r="GY470" s="712"/>
      <c r="GZ470" s="712"/>
      <c r="HA470" s="712"/>
      <c r="HB470" s="712"/>
      <c r="HC470" s="712"/>
    </row>
    <row r="471" spans="1:211">
      <c r="A471" s="707"/>
      <c r="G471" s="712"/>
      <c r="H471" s="712"/>
      <c r="I471" s="712"/>
      <c r="J471" s="712"/>
      <c r="K471" s="712"/>
      <c r="L471" s="712"/>
      <c r="M471" s="712"/>
      <c r="N471" s="712"/>
      <c r="O471" s="712"/>
      <c r="P471" s="712"/>
      <c r="Q471" s="712"/>
      <c r="R471" s="712"/>
      <c r="S471" s="712"/>
      <c r="T471" s="712"/>
      <c r="U471" s="712"/>
      <c r="V471" s="712"/>
      <c r="W471" s="712"/>
      <c r="X471" s="712"/>
      <c r="Y471" s="712"/>
      <c r="Z471" s="712"/>
      <c r="AA471" s="712"/>
      <c r="AB471" s="712"/>
      <c r="AC471" s="712"/>
      <c r="AD471" s="712"/>
      <c r="AE471" s="712"/>
      <c r="AF471" s="712"/>
      <c r="AG471" s="712"/>
      <c r="AH471" s="712"/>
      <c r="AI471" s="712"/>
      <c r="AJ471" s="712"/>
      <c r="AK471" s="712"/>
      <c r="AL471" s="712"/>
      <c r="AM471" s="712"/>
      <c r="AN471" s="712"/>
      <c r="AO471" s="712"/>
      <c r="AP471" s="712"/>
      <c r="AQ471" s="712"/>
      <c r="AR471" s="712"/>
      <c r="AS471" s="712"/>
      <c r="AT471" s="712"/>
      <c r="AU471" s="712"/>
      <c r="AV471" s="712"/>
      <c r="AW471" s="712"/>
      <c r="AX471" s="712"/>
      <c r="AY471" s="712"/>
      <c r="AZ471" s="712"/>
      <c r="BA471" s="712"/>
      <c r="BB471" s="712"/>
      <c r="BC471" s="712"/>
      <c r="BD471" s="712"/>
      <c r="BE471" s="712"/>
      <c r="BF471" s="712"/>
      <c r="BG471" s="712"/>
      <c r="BH471" s="712"/>
      <c r="BI471" s="712"/>
      <c r="BJ471" s="712"/>
      <c r="BK471" s="712"/>
      <c r="BL471" s="712"/>
      <c r="BM471" s="712"/>
      <c r="BN471" s="712"/>
      <c r="BO471" s="712"/>
      <c r="BP471" s="712"/>
      <c r="BQ471" s="712"/>
      <c r="BR471" s="712"/>
      <c r="BS471" s="712"/>
      <c r="BT471" s="712"/>
      <c r="BU471" s="712"/>
      <c r="BV471" s="712"/>
      <c r="BW471" s="712"/>
      <c r="BX471" s="712"/>
      <c r="BY471" s="712"/>
      <c r="BZ471" s="712"/>
      <c r="CA471" s="712"/>
      <c r="CB471" s="712"/>
      <c r="CC471" s="712"/>
      <c r="CD471" s="712"/>
      <c r="CE471" s="712"/>
      <c r="CF471" s="712"/>
      <c r="CG471" s="712"/>
      <c r="CH471" s="712"/>
      <c r="CI471" s="712"/>
      <c r="CJ471" s="712"/>
      <c r="CK471" s="712"/>
      <c r="CL471" s="712"/>
      <c r="CM471" s="712"/>
      <c r="CN471" s="712"/>
      <c r="CO471" s="712"/>
      <c r="CP471" s="712"/>
      <c r="CQ471" s="712"/>
      <c r="CR471" s="712"/>
      <c r="CS471" s="712"/>
      <c r="CT471" s="712"/>
      <c r="CU471" s="712"/>
      <c r="CV471" s="712"/>
      <c r="CW471" s="712"/>
      <c r="CX471" s="712"/>
      <c r="CY471" s="712"/>
      <c r="CZ471" s="712"/>
      <c r="DA471" s="712"/>
      <c r="DB471" s="712"/>
      <c r="DC471" s="712"/>
      <c r="DD471" s="712"/>
      <c r="DE471" s="712"/>
      <c r="DF471" s="712"/>
      <c r="DG471" s="712"/>
      <c r="DH471" s="712"/>
      <c r="DI471" s="712"/>
      <c r="DJ471" s="712"/>
      <c r="DK471" s="712"/>
      <c r="DL471" s="712"/>
      <c r="DM471" s="712"/>
      <c r="DN471" s="712"/>
      <c r="DO471" s="712"/>
      <c r="DP471" s="712"/>
      <c r="DQ471" s="712"/>
      <c r="DR471" s="712"/>
      <c r="DS471" s="712"/>
      <c r="DT471" s="712"/>
      <c r="DU471" s="712"/>
      <c r="DV471" s="712"/>
      <c r="DW471" s="712"/>
      <c r="DX471" s="712"/>
      <c r="DY471" s="712"/>
      <c r="DZ471" s="712"/>
      <c r="EA471" s="712"/>
      <c r="EB471" s="712"/>
      <c r="EC471" s="712"/>
      <c r="ED471" s="712"/>
      <c r="EE471" s="712"/>
      <c r="EF471" s="712"/>
      <c r="EG471" s="712"/>
      <c r="EH471" s="712"/>
      <c r="EI471" s="712"/>
      <c r="EJ471" s="712"/>
      <c r="EK471" s="712"/>
      <c r="EL471" s="712"/>
      <c r="EM471" s="712"/>
      <c r="EN471" s="712"/>
      <c r="EO471" s="712"/>
      <c r="EP471" s="712"/>
      <c r="EQ471" s="712"/>
      <c r="ER471" s="712"/>
      <c r="ES471" s="712"/>
      <c r="ET471" s="794"/>
      <c r="EU471" s="794"/>
      <c r="EV471" s="794"/>
      <c r="EW471" s="794"/>
      <c r="EX471" s="794"/>
      <c r="EY471" s="794"/>
      <c r="EZ471" s="794"/>
      <c r="FA471" s="712"/>
      <c r="FB471" s="712"/>
      <c r="FC471" s="712"/>
      <c r="FD471" s="712"/>
      <c r="FE471" s="712"/>
      <c r="FF471" s="712"/>
      <c r="FG471" s="712"/>
      <c r="FH471" s="712"/>
      <c r="FI471" s="712"/>
      <c r="FJ471" s="712"/>
      <c r="FK471" s="712"/>
      <c r="FL471" s="712"/>
      <c r="FM471" s="712"/>
      <c r="FN471" s="712"/>
      <c r="FO471" s="712"/>
      <c r="FP471" s="712"/>
      <c r="FQ471" s="712"/>
      <c r="FR471" s="712"/>
      <c r="FS471" s="712"/>
      <c r="FT471" s="712"/>
      <c r="FU471" s="712"/>
      <c r="FV471" s="712"/>
      <c r="FW471" s="712"/>
      <c r="FX471" s="712"/>
      <c r="FZ471" s="712"/>
      <c r="GA471" s="712"/>
      <c r="GB471" s="712"/>
      <c r="GC471" s="712"/>
      <c r="GD471" s="712"/>
      <c r="GE471" s="712"/>
      <c r="GF471" s="712"/>
      <c r="GG471" s="712"/>
      <c r="GH471" s="712"/>
      <c r="GI471" s="712"/>
      <c r="GJ471" s="712"/>
      <c r="GK471" s="712"/>
      <c r="GL471" s="712"/>
      <c r="GM471" s="712"/>
      <c r="GN471" s="712"/>
      <c r="GO471" s="712"/>
      <c r="GP471" s="712"/>
      <c r="GQ471" s="712"/>
      <c r="GR471" s="712"/>
      <c r="GS471" s="712"/>
      <c r="GT471" s="712"/>
      <c r="GU471" s="712"/>
      <c r="GV471" s="712"/>
      <c r="GW471" s="712"/>
      <c r="GX471" s="712"/>
      <c r="GY471" s="712"/>
      <c r="GZ471" s="712"/>
      <c r="HA471" s="712"/>
      <c r="HB471" s="712"/>
      <c r="HC471" s="712"/>
    </row>
    <row r="472" spans="1:211">
      <c r="A472" s="707"/>
      <c r="G472" s="712"/>
      <c r="H472" s="712"/>
      <c r="I472" s="712"/>
      <c r="J472" s="712"/>
      <c r="K472" s="712"/>
      <c r="L472" s="712"/>
      <c r="M472" s="712"/>
      <c r="N472" s="712"/>
      <c r="O472" s="712"/>
      <c r="P472" s="712"/>
      <c r="Q472" s="712"/>
      <c r="R472" s="712"/>
      <c r="S472" s="712"/>
      <c r="T472" s="712"/>
      <c r="U472" s="712"/>
      <c r="V472" s="712"/>
      <c r="W472" s="712"/>
      <c r="X472" s="712"/>
      <c r="Y472" s="712"/>
      <c r="Z472" s="712"/>
      <c r="AA472" s="712"/>
      <c r="AB472" s="712"/>
      <c r="AC472" s="712"/>
      <c r="AD472" s="712"/>
      <c r="AE472" s="712"/>
      <c r="AF472" s="712"/>
      <c r="AG472" s="712"/>
      <c r="AH472" s="712"/>
      <c r="AI472" s="712"/>
      <c r="AJ472" s="712"/>
      <c r="AK472" s="712"/>
      <c r="AL472" s="712"/>
      <c r="AM472" s="712"/>
      <c r="AN472" s="712"/>
      <c r="AO472" s="712"/>
      <c r="AP472" s="712"/>
      <c r="AQ472" s="712"/>
      <c r="AR472" s="712"/>
      <c r="AS472" s="712"/>
      <c r="AT472" s="712"/>
      <c r="AU472" s="712"/>
      <c r="AV472" s="712"/>
      <c r="AW472" s="712"/>
      <c r="AX472" s="712"/>
      <c r="AY472" s="712"/>
      <c r="AZ472" s="712"/>
      <c r="BA472" s="712"/>
      <c r="BB472" s="712"/>
      <c r="BC472" s="712"/>
      <c r="BD472" s="712"/>
      <c r="BE472" s="712"/>
      <c r="BF472" s="712"/>
      <c r="BG472" s="712"/>
      <c r="BH472" s="712"/>
      <c r="BI472" s="712"/>
      <c r="BJ472" s="712"/>
      <c r="BK472" s="712"/>
      <c r="BL472" s="712"/>
      <c r="BM472" s="712"/>
      <c r="BN472" s="712"/>
      <c r="BO472" s="712"/>
      <c r="BP472" s="712"/>
      <c r="BQ472" s="712"/>
      <c r="BR472" s="712"/>
      <c r="BS472" s="712"/>
      <c r="BT472" s="712"/>
      <c r="BU472" s="712"/>
      <c r="BV472" s="712"/>
      <c r="BW472" s="712"/>
      <c r="BX472" s="712"/>
      <c r="BY472" s="712"/>
      <c r="BZ472" s="712"/>
      <c r="CA472" s="712"/>
      <c r="CB472" s="712"/>
      <c r="CC472" s="712"/>
      <c r="CD472" s="712"/>
      <c r="CE472" s="712"/>
      <c r="CF472" s="712"/>
      <c r="CG472" s="712"/>
      <c r="CH472" s="712"/>
      <c r="CI472" s="712"/>
      <c r="CJ472" s="712"/>
      <c r="CK472" s="712"/>
      <c r="CL472" s="712"/>
      <c r="CM472" s="712"/>
      <c r="CN472" s="712"/>
      <c r="CO472" s="712"/>
      <c r="CP472" s="712"/>
      <c r="CQ472" s="712"/>
      <c r="CR472" s="712"/>
      <c r="CS472" s="712"/>
      <c r="CT472" s="712"/>
      <c r="CU472" s="712"/>
      <c r="CV472" s="712"/>
      <c r="CW472" s="712"/>
      <c r="CX472" s="712"/>
      <c r="CY472" s="712"/>
      <c r="CZ472" s="712"/>
      <c r="DA472" s="712"/>
      <c r="DB472" s="712"/>
      <c r="DC472" s="712"/>
      <c r="DD472" s="712"/>
      <c r="DE472" s="712"/>
      <c r="DF472" s="712"/>
      <c r="DG472" s="712"/>
      <c r="DH472" s="712"/>
      <c r="DI472" s="712"/>
      <c r="DJ472" s="712"/>
      <c r="DK472" s="712"/>
      <c r="DL472" s="712"/>
      <c r="DM472" s="712"/>
      <c r="DN472" s="712"/>
      <c r="DO472" s="712"/>
      <c r="DP472" s="712"/>
      <c r="DQ472" s="712"/>
      <c r="DR472" s="712"/>
      <c r="DS472" s="712"/>
      <c r="DT472" s="712"/>
      <c r="DU472" s="712"/>
      <c r="DV472" s="712"/>
      <c r="DW472" s="712"/>
      <c r="DX472" s="712"/>
      <c r="DY472" s="712"/>
      <c r="DZ472" s="712"/>
      <c r="EA472" s="712"/>
      <c r="EB472" s="712"/>
      <c r="EC472" s="712"/>
      <c r="ED472" s="712"/>
      <c r="EE472" s="712"/>
      <c r="EF472" s="712"/>
      <c r="EG472" s="712"/>
      <c r="EH472" s="712"/>
      <c r="EI472" s="712"/>
      <c r="EJ472" s="712"/>
      <c r="EK472" s="712"/>
      <c r="EL472" s="712"/>
      <c r="EM472" s="712"/>
      <c r="EN472" s="712"/>
      <c r="EO472" s="712"/>
      <c r="EP472" s="712"/>
      <c r="EQ472" s="712"/>
      <c r="ER472" s="712"/>
      <c r="ES472" s="712"/>
      <c r="ET472" s="794"/>
      <c r="EU472" s="794"/>
      <c r="EV472" s="794"/>
      <c r="EW472" s="794"/>
      <c r="EX472" s="794"/>
      <c r="EY472" s="794"/>
      <c r="EZ472" s="794"/>
      <c r="FA472" s="712"/>
      <c r="FB472" s="712"/>
      <c r="FC472" s="712"/>
      <c r="FD472" s="712"/>
      <c r="FE472" s="712"/>
      <c r="FF472" s="712"/>
      <c r="FG472" s="712"/>
      <c r="FH472" s="712"/>
      <c r="FI472" s="712"/>
      <c r="FJ472" s="712"/>
      <c r="FK472" s="712"/>
      <c r="FL472" s="712"/>
      <c r="FM472" s="712"/>
      <c r="FN472" s="712"/>
      <c r="FO472" s="712"/>
      <c r="FP472" s="712"/>
      <c r="FQ472" s="712"/>
      <c r="FR472" s="712"/>
      <c r="FS472" s="712"/>
      <c r="FT472" s="712"/>
      <c r="FU472" s="712"/>
      <c r="FV472" s="712"/>
      <c r="FW472" s="712"/>
      <c r="FX472" s="712"/>
      <c r="FZ472" s="712"/>
      <c r="GA472" s="712"/>
      <c r="GB472" s="712"/>
      <c r="GC472" s="712"/>
      <c r="GD472" s="712"/>
      <c r="GE472" s="712"/>
      <c r="GF472" s="712"/>
      <c r="GG472" s="712"/>
      <c r="GH472" s="712"/>
      <c r="GI472" s="712"/>
      <c r="GJ472" s="712"/>
      <c r="GK472" s="712"/>
      <c r="GL472" s="712"/>
      <c r="GM472" s="712"/>
      <c r="GN472" s="712"/>
      <c r="GO472" s="712"/>
      <c r="GP472" s="712"/>
      <c r="GQ472" s="712"/>
      <c r="GR472" s="712"/>
      <c r="GS472" s="712"/>
      <c r="GT472" s="712"/>
      <c r="GU472" s="712"/>
      <c r="GV472" s="712"/>
      <c r="GW472" s="712"/>
      <c r="GX472" s="712"/>
      <c r="GY472" s="712"/>
      <c r="GZ472" s="712"/>
      <c r="HA472" s="712"/>
      <c r="HB472" s="712"/>
      <c r="HC472" s="712"/>
    </row>
    <row r="473" spans="1:211">
      <c r="A473" s="707"/>
      <c r="G473" s="712"/>
      <c r="H473" s="712"/>
      <c r="I473" s="712"/>
      <c r="J473" s="712"/>
      <c r="K473" s="712"/>
      <c r="L473" s="712"/>
      <c r="M473" s="712"/>
      <c r="N473" s="712"/>
      <c r="O473" s="712"/>
      <c r="P473" s="712"/>
      <c r="Q473" s="712"/>
      <c r="R473" s="712"/>
      <c r="S473" s="712"/>
      <c r="T473" s="712"/>
      <c r="U473" s="712"/>
      <c r="V473" s="712"/>
      <c r="W473" s="712"/>
      <c r="X473" s="712"/>
      <c r="Y473" s="712"/>
      <c r="Z473" s="712"/>
      <c r="AA473" s="712"/>
      <c r="AB473" s="712"/>
      <c r="AC473" s="712"/>
      <c r="AD473" s="712"/>
      <c r="AE473" s="712"/>
      <c r="AF473" s="712"/>
      <c r="AG473" s="712"/>
      <c r="AH473" s="712"/>
      <c r="AI473" s="712"/>
      <c r="AJ473" s="712"/>
      <c r="AK473" s="712"/>
      <c r="AL473" s="712"/>
      <c r="AM473" s="712"/>
      <c r="AN473" s="712"/>
      <c r="AO473" s="712"/>
      <c r="AP473" s="712"/>
      <c r="AQ473" s="712"/>
      <c r="AR473" s="712"/>
      <c r="AS473" s="712"/>
      <c r="AT473" s="712"/>
      <c r="AU473" s="712"/>
      <c r="AV473" s="712"/>
      <c r="AW473" s="712"/>
      <c r="AX473" s="712"/>
      <c r="AY473" s="712"/>
      <c r="AZ473" s="712"/>
      <c r="BA473" s="712"/>
      <c r="BB473" s="712"/>
      <c r="BC473" s="712"/>
      <c r="BD473" s="712"/>
      <c r="BE473" s="712"/>
      <c r="BF473" s="712"/>
      <c r="BG473" s="712"/>
      <c r="BH473" s="712"/>
      <c r="BI473" s="712"/>
      <c r="BJ473" s="712"/>
      <c r="BK473" s="712"/>
      <c r="BL473" s="712"/>
      <c r="BM473" s="712"/>
      <c r="BN473" s="712"/>
      <c r="BO473" s="712"/>
      <c r="BP473" s="712"/>
      <c r="BQ473" s="712"/>
      <c r="BR473" s="712"/>
      <c r="BS473" s="712"/>
      <c r="BT473" s="712"/>
      <c r="BU473" s="712"/>
      <c r="BV473" s="712"/>
      <c r="BW473" s="712"/>
      <c r="BX473" s="712"/>
      <c r="BY473" s="712"/>
      <c r="BZ473" s="712"/>
      <c r="CA473" s="712"/>
      <c r="CB473" s="712"/>
      <c r="CC473" s="712"/>
      <c r="CD473" s="712"/>
      <c r="CE473" s="712"/>
      <c r="CF473" s="712"/>
      <c r="CG473" s="712"/>
      <c r="CH473" s="712"/>
      <c r="CI473" s="712"/>
      <c r="CJ473" s="712"/>
      <c r="CK473" s="712"/>
      <c r="CL473" s="712"/>
      <c r="CM473" s="712"/>
      <c r="CN473" s="712"/>
      <c r="CO473" s="712"/>
      <c r="CP473" s="712"/>
      <c r="CQ473" s="712"/>
      <c r="CR473" s="712"/>
      <c r="CS473" s="712"/>
      <c r="CT473" s="712"/>
      <c r="CU473" s="712"/>
      <c r="CV473" s="712"/>
      <c r="CW473" s="712"/>
      <c r="CX473" s="712"/>
      <c r="CY473" s="712"/>
      <c r="CZ473" s="712"/>
      <c r="DA473" s="712"/>
      <c r="DB473" s="712"/>
      <c r="DC473" s="712"/>
      <c r="DD473" s="712"/>
      <c r="DE473" s="712"/>
      <c r="DF473" s="712"/>
      <c r="DG473" s="712"/>
      <c r="DH473" s="712"/>
      <c r="DI473" s="712"/>
      <c r="DJ473" s="712"/>
      <c r="DK473" s="712"/>
      <c r="DL473" s="712"/>
      <c r="DM473" s="712"/>
      <c r="DN473" s="712"/>
      <c r="DO473" s="712"/>
      <c r="DP473" s="712"/>
      <c r="DQ473" s="712"/>
      <c r="DR473" s="712"/>
      <c r="DS473" s="712"/>
      <c r="DT473" s="712"/>
      <c r="DU473" s="712"/>
      <c r="DV473" s="712"/>
      <c r="DW473" s="712"/>
      <c r="DX473" s="712"/>
      <c r="DY473" s="712"/>
      <c r="DZ473" s="712"/>
      <c r="EA473" s="712"/>
      <c r="EB473" s="712"/>
      <c r="EC473" s="712"/>
      <c r="ED473" s="712"/>
      <c r="EE473" s="712"/>
      <c r="EF473" s="712"/>
      <c r="EG473" s="712"/>
      <c r="EH473" s="712"/>
      <c r="EI473" s="712"/>
      <c r="EJ473" s="712"/>
      <c r="EK473" s="712"/>
      <c r="EL473" s="712"/>
      <c r="EM473" s="712"/>
      <c r="EN473" s="712"/>
      <c r="EO473" s="712"/>
      <c r="EP473" s="712"/>
      <c r="EQ473" s="712"/>
      <c r="ER473" s="712"/>
      <c r="ES473" s="712"/>
      <c r="ET473" s="794"/>
      <c r="EU473" s="794"/>
      <c r="EV473" s="794"/>
      <c r="EW473" s="794"/>
      <c r="EX473" s="794"/>
      <c r="EY473" s="794"/>
      <c r="EZ473" s="794"/>
      <c r="FA473" s="712"/>
      <c r="FB473" s="712"/>
      <c r="FC473" s="712"/>
      <c r="FD473" s="712"/>
      <c r="FE473" s="712"/>
      <c r="FF473" s="712"/>
      <c r="FG473" s="712"/>
      <c r="FH473" s="712"/>
      <c r="FI473" s="712"/>
      <c r="FJ473" s="712"/>
      <c r="FK473" s="712"/>
      <c r="FL473" s="712"/>
      <c r="FM473" s="712"/>
      <c r="FN473" s="712"/>
      <c r="FO473" s="712"/>
      <c r="FP473" s="712"/>
      <c r="FQ473" s="712"/>
      <c r="FR473" s="712"/>
      <c r="FS473" s="712"/>
      <c r="FT473" s="712"/>
      <c r="FU473" s="712"/>
      <c r="FV473" s="712"/>
      <c r="FW473" s="712"/>
      <c r="FX473" s="712"/>
      <c r="FZ473" s="712"/>
      <c r="GA473" s="712"/>
      <c r="GB473" s="712"/>
      <c r="GC473" s="712"/>
      <c r="GD473" s="712"/>
      <c r="GE473" s="712"/>
      <c r="GF473" s="712"/>
      <c r="GG473" s="712"/>
      <c r="GH473" s="712"/>
      <c r="GI473" s="712"/>
      <c r="GJ473" s="712"/>
      <c r="GK473" s="712"/>
      <c r="GL473" s="712"/>
      <c r="GM473" s="712"/>
      <c r="GN473" s="712"/>
      <c r="GO473" s="712"/>
      <c r="GP473" s="712"/>
      <c r="GQ473" s="712"/>
      <c r="GR473" s="712"/>
      <c r="GS473" s="712"/>
      <c r="GT473" s="712"/>
      <c r="GU473" s="712"/>
      <c r="GV473" s="712"/>
      <c r="GW473" s="712"/>
      <c r="GX473" s="712"/>
      <c r="GY473" s="712"/>
      <c r="GZ473" s="712"/>
      <c r="HA473" s="712"/>
      <c r="HB473" s="712"/>
      <c r="HC473" s="712"/>
    </row>
    <row r="474" spans="1:211">
      <c r="A474" s="707"/>
      <c r="G474" s="712"/>
      <c r="H474" s="712"/>
      <c r="I474" s="712"/>
      <c r="J474" s="712"/>
      <c r="K474" s="712"/>
      <c r="L474" s="712"/>
      <c r="M474" s="712"/>
      <c r="N474" s="712"/>
      <c r="O474" s="712"/>
      <c r="P474" s="712"/>
      <c r="Q474" s="712"/>
      <c r="R474" s="712"/>
      <c r="S474" s="712"/>
      <c r="T474" s="712"/>
      <c r="U474" s="712"/>
      <c r="V474" s="712"/>
      <c r="W474" s="712"/>
      <c r="X474" s="712"/>
      <c r="Y474" s="712"/>
      <c r="Z474" s="712"/>
      <c r="AA474" s="712"/>
      <c r="AB474" s="712"/>
      <c r="AC474" s="712"/>
      <c r="AD474" s="712"/>
      <c r="AE474" s="712"/>
      <c r="AF474" s="712"/>
      <c r="AG474" s="712"/>
      <c r="AH474" s="712"/>
      <c r="AI474" s="712"/>
      <c r="AJ474" s="712"/>
      <c r="AK474" s="712"/>
      <c r="AL474" s="712"/>
      <c r="AM474" s="712"/>
      <c r="AN474" s="712"/>
      <c r="AO474" s="712"/>
      <c r="AP474" s="712"/>
      <c r="AQ474" s="712"/>
      <c r="AR474" s="712"/>
      <c r="AS474" s="712"/>
      <c r="AT474" s="712"/>
      <c r="AU474" s="712"/>
      <c r="AV474" s="712"/>
      <c r="AW474" s="712"/>
      <c r="AX474" s="712"/>
      <c r="AY474" s="712"/>
      <c r="AZ474" s="712"/>
      <c r="BA474" s="712"/>
      <c r="BB474" s="712"/>
      <c r="BC474" s="712"/>
      <c r="BD474" s="712"/>
      <c r="BE474" s="712"/>
      <c r="BF474" s="712"/>
      <c r="BG474" s="712"/>
      <c r="BH474" s="712"/>
      <c r="BI474" s="712"/>
      <c r="BJ474" s="712"/>
      <c r="BK474" s="712"/>
      <c r="BL474" s="712"/>
      <c r="BM474" s="712"/>
      <c r="BN474" s="712"/>
      <c r="BO474" s="712"/>
      <c r="BP474" s="712"/>
      <c r="BQ474" s="712"/>
      <c r="BR474" s="712"/>
      <c r="BS474" s="712"/>
      <c r="BT474" s="712"/>
      <c r="BU474" s="712"/>
      <c r="BV474" s="712"/>
      <c r="BW474" s="712"/>
      <c r="BX474" s="712"/>
      <c r="BY474" s="712"/>
      <c r="BZ474" s="712"/>
      <c r="CA474" s="712"/>
      <c r="CB474" s="712"/>
      <c r="CC474" s="712"/>
      <c r="CD474" s="712"/>
      <c r="CE474" s="712"/>
      <c r="CF474" s="712"/>
      <c r="CG474" s="712"/>
      <c r="CH474" s="712"/>
      <c r="CI474" s="712"/>
      <c r="CJ474" s="712"/>
      <c r="CK474" s="712"/>
      <c r="CL474" s="712"/>
      <c r="CM474" s="712"/>
      <c r="CN474" s="712"/>
      <c r="CO474" s="712"/>
      <c r="CP474" s="712"/>
      <c r="CQ474" s="712"/>
      <c r="CR474" s="712"/>
      <c r="CS474" s="712"/>
      <c r="CT474" s="712"/>
      <c r="CU474" s="712"/>
      <c r="CV474" s="712"/>
      <c r="CW474" s="712"/>
      <c r="CX474" s="712"/>
      <c r="CY474" s="712"/>
      <c r="CZ474" s="712"/>
      <c r="DA474" s="712"/>
      <c r="DB474" s="712"/>
      <c r="DC474" s="712"/>
      <c r="DD474" s="712"/>
      <c r="DE474" s="712"/>
      <c r="DF474" s="712"/>
      <c r="DG474" s="712"/>
      <c r="DH474" s="712"/>
      <c r="DI474" s="712"/>
      <c r="DJ474" s="712"/>
      <c r="DK474" s="712"/>
      <c r="DL474" s="712"/>
      <c r="DM474" s="712"/>
      <c r="DN474" s="712"/>
      <c r="DO474" s="712"/>
      <c r="DP474" s="712"/>
      <c r="DQ474" s="712"/>
      <c r="DR474" s="712"/>
      <c r="DS474" s="712"/>
      <c r="DT474" s="712"/>
      <c r="DU474" s="712"/>
      <c r="DV474" s="712"/>
      <c r="DW474" s="712"/>
      <c r="DX474" s="712"/>
      <c r="DY474" s="712"/>
      <c r="DZ474" s="712"/>
      <c r="EA474" s="712"/>
      <c r="EB474" s="712"/>
      <c r="EC474" s="712"/>
      <c r="ED474" s="712"/>
      <c r="EE474" s="712"/>
      <c r="EF474" s="712"/>
      <c r="EG474" s="712"/>
      <c r="EH474" s="712"/>
      <c r="EI474" s="712"/>
      <c r="EJ474" s="712"/>
      <c r="EK474" s="712"/>
      <c r="EL474" s="712"/>
      <c r="EM474" s="712"/>
      <c r="EN474" s="712"/>
      <c r="EO474" s="712"/>
      <c r="EP474" s="712"/>
      <c r="EQ474" s="712"/>
      <c r="ER474" s="712"/>
      <c r="ES474" s="712"/>
      <c r="ET474" s="794"/>
      <c r="EU474" s="794"/>
      <c r="EV474" s="794"/>
      <c r="EW474" s="794"/>
      <c r="EX474" s="794"/>
      <c r="EY474" s="794"/>
      <c r="EZ474" s="794"/>
      <c r="FA474" s="712"/>
      <c r="FB474" s="712"/>
      <c r="FC474" s="712"/>
      <c r="FD474" s="712"/>
      <c r="FE474" s="712"/>
      <c r="FF474" s="712"/>
      <c r="FG474" s="712"/>
      <c r="FH474" s="712"/>
      <c r="FI474" s="712"/>
      <c r="FJ474" s="712"/>
      <c r="FK474" s="712"/>
      <c r="FL474" s="712"/>
      <c r="FM474" s="712"/>
      <c r="FN474" s="712"/>
      <c r="FO474" s="712"/>
      <c r="FP474" s="712"/>
      <c r="FQ474" s="712"/>
      <c r="FR474" s="712"/>
      <c r="FS474" s="712"/>
      <c r="FT474" s="712"/>
      <c r="FU474" s="712"/>
      <c r="FV474" s="712"/>
      <c r="FW474" s="712"/>
      <c r="FX474" s="712"/>
      <c r="FZ474" s="712"/>
      <c r="GA474" s="712"/>
      <c r="GB474" s="712"/>
      <c r="GC474" s="712"/>
      <c r="GD474" s="712"/>
      <c r="GE474" s="712"/>
      <c r="GF474" s="712"/>
      <c r="GG474" s="712"/>
      <c r="GH474" s="712"/>
      <c r="GI474" s="712"/>
      <c r="GJ474" s="712"/>
      <c r="GK474" s="712"/>
      <c r="GL474" s="712"/>
      <c r="GM474" s="712"/>
      <c r="GN474" s="712"/>
      <c r="GO474" s="712"/>
      <c r="GP474" s="712"/>
      <c r="GQ474" s="712"/>
      <c r="GR474" s="712"/>
      <c r="GS474" s="712"/>
      <c r="GT474" s="712"/>
      <c r="GU474" s="712"/>
      <c r="GV474" s="712"/>
      <c r="GW474" s="712"/>
      <c r="GX474" s="712"/>
      <c r="GY474" s="712"/>
      <c r="GZ474" s="712"/>
      <c r="HA474" s="712"/>
      <c r="HB474" s="712"/>
      <c r="HC474" s="712"/>
    </row>
    <row r="475" spans="1:211">
      <c r="A475" s="707"/>
      <c r="G475" s="712"/>
      <c r="H475" s="712"/>
      <c r="I475" s="712"/>
      <c r="J475" s="712"/>
      <c r="K475" s="712"/>
      <c r="L475" s="712"/>
      <c r="M475" s="712"/>
      <c r="N475" s="712"/>
      <c r="O475" s="712"/>
      <c r="P475" s="712"/>
      <c r="Q475" s="712"/>
      <c r="R475" s="712"/>
      <c r="S475" s="712"/>
      <c r="T475" s="712"/>
      <c r="U475" s="712"/>
      <c r="V475" s="712"/>
      <c r="W475" s="712"/>
      <c r="X475" s="712"/>
      <c r="Y475" s="712"/>
      <c r="Z475" s="712"/>
      <c r="AA475" s="712"/>
      <c r="AB475" s="712"/>
      <c r="AC475" s="712"/>
      <c r="AD475" s="712"/>
      <c r="AE475" s="712"/>
      <c r="AF475" s="712"/>
      <c r="AG475" s="712"/>
      <c r="AH475" s="712"/>
      <c r="AI475" s="712"/>
      <c r="AJ475" s="712"/>
      <c r="AK475" s="712"/>
      <c r="AL475" s="712"/>
      <c r="AM475" s="712"/>
      <c r="AN475" s="712"/>
      <c r="AO475" s="712"/>
      <c r="AP475" s="712"/>
      <c r="AQ475" s="712"/>
      <c r="AR475" s="712"/>
      <c r="AS475" s="712"/>
      <c r="AT475" s="712"/>
      <c r="AU475" s="712"/>
      <c r="AV475" s="712"/>
      <c r="AW475" s="712"/>
      <c r="AX475" s="712"/>
      <c r="AY475" s="712"/>
      <c r="AZ475" s="712"/>
      <c r="BA475" s="712"/>
      <c r="BB475" s="712"/>
      <c r="BC475" s="712"/>
      <c r="BD475" s="712"/>
      <c r="BE475" s="712"/>
      <c r="BF475" s="712"/>
      <c r="BG475" s="712"/>
      <c r="BH475" s="712"/>
      <c r="BI475" s="712"/>
      <c r="BJ475" s="712"/>
      <c r="BK475" s="712"/>
      <c r="BL475" s="712"/>
      <c r="BM475" s="712"/>
      <c r="BN475" s="712"/>
      <c r="BO475" s="712"/>
      <c r="BP475" s="712"/>
      <c r="BQ475" s="712"/>
      <c r="BR475" s="712"/>
      <c r="BS475" s="712"/>
      <c r="BT475" s="712"/>
      <c r="BU475" s="712"/>
      <c r="BV475" s="712"/>
      <c r="BW475" s="712"/>
      <c r="BX475" s="712"/>
      <c r="BY475" s="712"/>
      <c r="BZ475" s="712"/>
      <c r="CA475" s="712"/>
      <c r="CB475" s="712"/>
      <c r="CC475" s="712"/>
      <c r="CD475" s="712"/>
      <c r="CE475" s="712"/>
      <c r="CF475" s="712"/>
      <c r="CG475" s="712"/>
      <c r="CH475" s="712"/>
      <c r="CI475" s="712"/>
      <c r="CJ475" s="712"/>
      <c r="CK475" s="712"/>
      <c r="CL475" s="712"/>
      <c r="CM475" s="712"/>
      <c r="CN475" s="712"/>
      <c r="CO475" s="712"/>
      <c r="CP475" s="712"/>
      <c r="CQ475" s="712"/>
      <c r="CR475" s="712"/>
      <c r="CS475" s="712"/>
      <c r="CT475" s="712"/>
      <c r="CU475" s="712"/>
      <c r="CV475" s="712"/>
      <c r="CW475" s="712"/>
      <c r="CX475" s="712"/>
      <c r="CY475" s="712"/>
      <c r="CZ475" s="712"/>
      <c r="DA475" s="712"/>
      <c r="DB475" s="712"/>
      <c r="DC475" s="712"/>
      <c r="DD475" s="712"/>
      <c r="DE475" s="712"/>
      <c r="DF475" s="712"/>
      <c r="DG475" s="712"/>
      <c r="DH475" s="712"/>
      <c r="DI475" s="712"/>
      <c r="DJ475" s="712"/>
      <c r="DK475" s="712"/>
      <c r="DL475" s="712"/>
      <c r="DM475" s="712"/>
      <c r="DN475" s="712"/>
      <c r="DO475" s="712"/>
      <c r="DP475" s="712"/>
      <c r="DQ475" s="712"/>
      <c r="DR475" s="712"/>
      <c r="DS475" s="712"/>
      <c r="DT475" s="712"/>
      <c r="DU475" s="712"/>
      <c r="DV475" s="712"/>
      <c r="DW475" s="712"/>
      <c r="DX475" s="712"/>
      <c r="DY475" s="712"/>
      <c r="DZ475" s="712"/>
      <c r="EA475" s="712"/>
      <c r="EB475" s="712"/>
      <c r="EC475" s="712"/>
      <c r="ED475" s="712"/>
      <c r="EE475" s="712"/>
      <c r="EF475" s="712"/>
      <c r="EG475" s="712"/>
      <c r="EH475" s="712"/>
      <c r="EI475" s="712"/>
      <c r="EJ475" s="712"/>
      <c r="EK475" s="712"/>
      <c r="EL475" s="712"/>
      <c r="EM475" s="712"/>
      <c r="EN475" s="712"/>
      <c r="EO475" s="712"/>
      <c r="EP475" s="712"/>
      <c r="EQ475" s="712"/>
      <c r="ER475" s="712"/>
      <c r="ES475" s="712"/>
      <c r="ET475" s="794"/>
      <c r="EU475" s="794"/>
      <c r="EV475" s="794"/>
      <c r="EW475" s="794"/>
      <c r="EX475" s="794"/>
      <c r="EY475" s="794"/>
      <c r="EZ475" s="794"/>
      <c r="FA475" s="712"/>
      <c r="FB475" s="712"/>
      <c r="FC475" s="712"/>
      <c r="FD475" s="712"/>
      <c r="FE475" s="712"/>
      <c r="FF475" s="712"/>
      <c r="FG475" s="712"/>
      <c r="FH475" s="712"/>
      <c r="FI475" s="712"/>
      <c r="FJ475" s="712"/>
      <c r="FK475" s="712"/>
      <c r="FL475" s="712"/>
      <c r="FM475" s="712"/>
      <c r="FN475" s="712"/>
      <c r="FO475" s="712"/>
      <c r="FP475" s="712"/>
      <c r="FQ475" s="712"/>
      <c r="FR475" s="712"/>
      <c r="FS475" s="712"/>
      <c r="FT475" s="712"/>
      <c r="FU475" s="712"/>
      <c r="FV475" s="712"/>
      <c r="FW475" s="712"/>
      <c r="FX475" s="712"/>
      <c r="FZ475" s="712"/>
      <c r="GA475" s="712"/>
      <c r="GB475" s="712"/>
      <c r="GC475" s="712"/>
      <c r="GD475" s="712"/>
      <c r="GE475" s="712"/>
      <c r="GF475" s="712"/>
      <c r="GG475" s="712"/>
      <c r="GH475" s="712"/>
      <c r="GI475" s="712"/>
      <c r="GJ475" s="712"/>
      <c r="GK475" s="712"/>
      <c r="GL475" s="712"/>
      <c r="GM475" s="712"/>
      <c r="GN475" s="712"/>
      <c r="GO475" s="712"/>
      <c r="GP475" s="712"/>
      <c r="GQ475" s="712"/>
      <c r="GR475" s="712"/>
      <c r="GS475" s="712"/>
      <c r="GT475" s="712"/>
      <c r="GU475" s="712"/>
      <c r="GV475" s="712"/>
      <c r="GW475" s="712"/>
      <c r="GX475" s="712"/>
      <c r="GY475" s="712"/>
      <c r="GZ475" s="712"/>
      <c r="HA475" s="712"/>
      <c r="HB475" s="712"/>
      <c r="HC475" s="712"/>
    </row>
    <row r="476" spans="1:211">
      <c r="A476" s="707"/>
      <c r="G476" s="712"/>
      <c r="H476" s="712"/>
      <c r="I476" s="712"/>
      <c r="J476" s="712"/>
      <c r="K476" s="712"/>
      <c r="L476" s="712"/>
      <c r="M476" s="712"/>
      <c r="N476" s="712"/>
      <c r="O476" s="712"/>
      <c r="P476" s="712"/>
      <c r="Q476" s="712"/>
      <c r="R476" s="712"/>
      <c r="S476" s="712"/>
      <c r="T476" s="712"/>
      <c r="U476" s="712"/>
      <c r="V476" s="712"/>
      <c r="W476" s="712"/>
      <c r="X476" s="712"/>
      <c r="Y476" s="712"/>
      <c r="Z476" s="712"/>
      <c r="AA476" s="712"/>
      <c r="AB476" s="712"/>
      <c r="AC476" s="712"/>
      <c r="AD476" s="712"/>
      <c r="AE476" s="712"/>
      <c r="AF476" s="712"/>
      <c r="AG476" s="712"/>
      <c r="AH476" s="712"/>
      <c r="AI476" s="712"/>
      <c r="AJ476" s="712"/>
      <c r="AK476" s="712"/>
      <c r="AL476" s="712"/>
      <c r="AM476" s="712"/>
      <c r="AN476" s="712"/>
      <c r="AO476" s="712"/>
      <c r="AP476" s="712"/>
      <c r="AQ476" s="712"/>
      <c r="AR476" s="712"/>
      <c r="AS476" s="712"/>
      <c r="AT476" s="712"/>
      <c r="AU476" s="712"/>
      <c r="AV476" s="712"/>
      <c r="AW476" s="712"/>
      <c r="AX476" s="712"/>
      <c r="AY476" s="712"/>
      <c r="AZ476" s="712"/>
      <c r="BA476" s="712"/>
      <c r="BB476" s="712"/>
      <c r="BC476" s="712"/>
      <c r="BD476" s="712"/>
      <c r="BE476" s="712"/>
      <c r="BF476" s="712"/>
      <c r="BG476" s="712"/>
      <c r="BH476" s="712"/>
      <c r="BI476" s="712"/>
      <c r="BJ476" s="712"/>
      <c r="BK476" s="712"/>
      <c r="BL476" s="712"/>
      <c r="BM476" s="712"/>
      <c r="BN476" s="712"/>
      <c r="BO476" s="712"/>
      <c r="BP476" s="712"/>
      <c r="BQ476" s="712"/>
      <c r="BR476" s="712"/>
      <c r="BS476" s="712"/>
      <c r="BT476" s="712"/>
      <c r="BU476" s="712"/>
      <c r="BV476" s="712"/>
      <c r="BW476" s="712"/>
      <c r="BX476" s="712"/>
      <c r="BY476" s="712"/>
      <c r="BZ476" s="712"/>
      <c r="CA476" s="712"/>
      <c r="CB476" s="712"/>
      <c r="CC476" s="712"/>
      <c r="CD476" s="712"/>
      <c r="CE476" s="712"/>
      <c r="CF476" s="712"/>
      <c r="CG476" s="712"/>
      <c r="CH476" s="712"/>
      <c r="CI476" s="712"/>
      <c r="CJ476" s="712"/>
      <c r="CK476" s="712"/>
      <c r="CL476" s="712"/>
      <c r="CM476" s="712"/>
      <c r="CN476" s="712"/>
      <c r="CO476" s="712"/>
      <c r="CP476" s="712"/>
      <c r="CQ476" s="712"/>
      <c r="CR476" s="712"/>
      <c r="CS476" s="712"/>
      <c r="CT476" s="712"/>
      <c r="CU476" s="712"/>
      <c r="CV476" s="712"/>
      <c r="CW476" s="712"/>
      <c r="CX476" s="712"/>
      <c r="CY476" s="712"/>
      <c r="CZ476" s="712"/>
      <c r="DA476" s="712"/>
      <c r="DB476" s="712"/>
      <c r="DC476" s="712"/>
      <c r="DD476" s="712"/>
      <c r="DE476" s="712"/>
      <c r="DF476" s="712"/>
      <c r="DG476" s="712"/>
      <c r="DH476" s="712"/>
      <c r="DI476" s="712"/>
      <c r="DJ476" s="712"/>
      <c r="DK476" s="712"/>
      <c r="DL476" s="712"/>
      <c r="DM476" s="712"/>
      <c r="DN476" s="712"/>
      <c r="DO476" s="712"/>
      <c r="DP476" s="712"/>
      <c r="DQ476" s="712"/>
      <c r="DR476" s="712"/>
      <c r="DS476" s="712"/>
      <c r="DT476" s="712"/>
      <c r="DU476" s="712"/>
      <c r="DV476" s="712"/>
      <c r="DW476" s="712"/>
      <c r="DX476" s="712"/>
      <c r="DY476" s="712"/>
      <c r="DZ476" s="712"/>
      <c r="EA476" s="712"/>
      <c r="EB476" s="712"/>
      <c r="EC476" s="712"/>
      <c r="ED476" s="712"/>
      <c r="EE476" s="712"/>
      <c r="EF476" s="712"/>
      <c r="EG476" s="712"/>
      <c r="EH476" s="712"/>
      <c r="EI476" s="712"/>
      <c r="EJ476" s="712"/>
      <c r="EK476" s="712"/>
      <c r="EL476" s="712"/>
      <c r="EM476" s="712"/>
      <c r="EN476" s="712"/>
      <c r="EO476" s="712"/>
      <c r="EP476" s="712"/>
      <c r="EQ476" s="712"/>
      <c r="ER476" s="712"/>
      <c r="ES476" s="712"/>
      <c r="ET476" s="794"/>
      <c r="EU476" s="794"/>
      <c r="EV476" s="794"/>
      <c r="EW476" s="794"/>
      <c r="EX476" s="794"/>
      <c r="EY476" s="794"/>
      <c r="EZ476" s="794"/>
      <c r="FA476" s="712"/>
      <c r="FB476" s="712"/>
      <c r="FC476" s="712"/>
      <c r="FD476" s="712"/>
      <c r="FE476" s="712"/>
      <c r="FF476" s="712"/>
      <c r="FG476" s="712"/>
      <c r="FH476" s="712"/>
      <c r="FI476" s="712"/>
      <c r="FJ476" s="712"/>
      <c r="FK476" s="712"/>
      <c r="FL476" s="712"/>
      <c r="FM476" s="712"/>
      <c r="FN476" s="712"/>
      <c r="FO476" s="712"/>
      <c r="FP476" s="712"/>
      <c r="FQ476" s="712"/>
      <c r="FR476" s="712"/>
      <c r="FS476" s="712"/>
      <c r="FT476" s="712"/>
      <c r="FU476" s="712"/>
      <c r="FV476" s="712"/>
      <c r="FW476" s="712"/>
      <c r="FX476" s="712"/>
      <c r="FZ476" s="712"/>
      <c r="GA476" s="712"/>
      <c r="GB476" s="712"/>
      <c r="GC476" s="712"/>
      <c r="GD476" s="712"/>
      <c r="GE476" s="712"/>
      <c r="GF476" s="712"/>
      <c r="GG476" s="712"/>
      <c r="GH476" s="712"/>
      <c r="GI476" s="712"/>
      <c r="GJ476" s="712"/>
      <c r="GK476" s="712"/>
      <c r="GL476" s="712"/>
      <c r="GM476" s="712"/>
      <c r="GN476" s="712"/>
      <c r="GO476" s="712"/>
      <c r="GP476" s="712"/>
      <c r="GQ476" s="712"/>
      <c r="GR476" s="712"/>
      <c r="GS476" s="712"/>
      <c r="GT476" s="712"/>
      <c r="GU476" s="712"/>
      <c r="GV476" s="712"/>
      <c r="GW476" s="712"/>
      <c r="GX476" s="712"/>
      <c r="GY476" s="712"/>
      <c r="GZ476" s="712"/>
      <c r="HA476" s="712"/>
      <c r="HB476" s="712"/>
      <c r="HC476" s="712"/>
    </row>
    <row r="477" spans="1:211">
      <c r="A477" s="707"/>
      <c r="G477" s="712"/>
      <c r="H477" s="712"/>
      <c r="I477" s="712"/>
      <c r="J477" s="712"/>
      <c r="K477" s="712"/>
      <c r="L477" s="712"/>
      <c r="M477" s="712"/>
      <c r="N477" s="712"/>
      <c r="O477" s="712"/>
      <c r="P477" s="712"/>
      <c r="Q477" s="712"/>
      <c r="R477" s="712"/>
      <c r="S477" s="712"/>
      <c r="T477" s="712"/>
      <c r="U477" s="712"/>
      <c r="V477" s="712"/>
      <c r="W477" s="712"/>
      <c r="X477" s="712"/>
      <c r="Y477" s="712"/>
      <c r="Z477" s="712"/>
      <c r="AA477" s="712"/>
      <c r="AB477" s="712"/>
      <c r="AC477" s="712"/>
      <c r="AD477" s="712"/>
      <c r="AE477" s="712"/>
      <c r="AF477" s="712"/>
      <c r="AG477" s="712"/>
      <c r="AH477" s="712"/>
      <c r="AI477" s="712"/>
      <c r="AJ477" s="712"/>
      <c r="AK477" s="712"/>
      <c r="AL477" s="712"/>
      <c r="AM477" s="712"/>
      <c r="AN477" s="712"/>
      <c r="AO477" s="712"/>
      <c r="AP477" s="712"/>
      <c r="AQ477" s="712"/>
      <c r="AR477" s="712"/>
      <c r="AS477" s="712"/>
      <c r="AT477" s="712"/>
      <c r="AU477" s="712"/>
      <c r="AV477" s="712"/>
      <c r="AW477" s="712"/>
      <c r="AX477" s="712"/>
      <c r="AY477" s="712"/>
      <c r="AZ477" s="712"/>
      <c r="BA477" s="712"/>
      <c r="BB477" s="712"/>
      <c r="BC477" s="712"/>
      <c r="BD477" s="712"/>
      <c r="BE477" s="712"/>
      <c r="BF477" s="712"/>
      <c r="BG477" s="712"/>
      <c r="BH477" s="712"/>
      <c r="BI477" s="712"/>
      <c r="BJ477" s="712"/>
      <c r="BK477" s="712"/>
      <c r="BL477" s="712"/>
      <c r="BM477" s="712"/>
      <c r="BN477" s="712"/>
      <c r="BO477" s="712"/>
      <c r="BP477" s="712"/>
      <c r="BQ477" s="712"/>
      <c r="BR477" s="712"/>
      <c r="BS477" s="712"/>
      <c r="BT477" s="712"/>
      <c r="BU477" s="712"/>
      <c r="BV477" s="712"/>
      <c r="BW477" s="712"/>
      <c r="BX477" s="712"/>
      <c r="BY477" s="712"/>
      <c r="BZ477" s="712"/>
      <c r="CA477" s="712"/>
      <c r="CB477" s="712"/>
      <c r="CC477" s="712"/>
      <c r="CD477" s="712"/>
      <c r="CE477" s="712"/>
      <c r="CF477" s="712"/>
      <c r="CG477" s="712"/>
      <c r="CH477" s="712"/>
      <c r="CI477" s="712"/>
      <c r="CJ477" s="712"/>
      <c r="CK477" s="712"/>
      <c r="CL477" s="712"/>
      <c r="CM477" s="712"/>
      <c r="CN477" s="712"/>
      <c r="CO477" s="712"/>
      <c r="CP477" s="712"/>
      <c r="CQ477" s="712"/>
      <c r="CR477" s="712"/>
      <c r="CS477" s="712"/>
      <c r="CT477" s="712"/>
      <c r="CU477" s="712"/>
      <c r="CV477" s="712"/>
      <c r="CW477" s="712"/>
      <c r="CX477" s="712"/>
      <c r="CY477" s="712"/>
      <c r="CZ477" s="712"/>
      <c r="DA477" s="712"/>
      <c r="DB477" s="712"/>
      <c r="DC477" s="712"/>
      <c r="DD477" s="712"/>
      <c r="DE477" s="712"/>
      <c r="DF477" s="712"/>
      <c r="DG477" s="712"/>
      <c r="DH477" s="712"/>
      <c r="DI477" s="712"/>
      <c r="DJ477" s="712"/>
      <c r="DK477" s="712"/>
      <c r="DL477" s="712"/>
      <c r="DM477" s="712"/>
      <c r="DN477" s="712"/>
      <c r="DO477" s="712"/>
      <c r="DP477" s="712"/>
      <c r="DQ477" s="712"/>
      <c r="DR477" s="712"/>
      <c r="DS477" s="712"/>
      <c r="DT477" s="712"/>
      <c r="DU477" s="712"/>
      <c r="DV477" s="712"/>
      <c r="DW477" s="712"/>
      <c r="DX477" s="712"/>
      <c r="DY477" s="712"/>
      <c r="DZ477" s="712"/>
      <c r="EA477" s="712"/>
      <c r="EB477" s="712"/>
      <c r="EC477" s="712"/>
      <c r="ED477" s="712"/>
      <c r="EE477" s="712"/>
      <c r="EF477" s="712"/>
      <c r="EG477" s="712"/>
      <c r="EH477" s="712"/>
      <c r="EI477" s="712"/>
      <c r="EJ477" s="712"/>
      <c r="EK477" s="712"/>
      <c r="EL477" s="712"/>
      <c r="EM477" s="712"/>
      <c r="EN477" s="712"/>
      <c r="EO477" s="712"/>
      <c r="EP477" s="712"/>
      <c r="EQ477" s="712"/>
      <c r="ER477" s="712"/>
      <c r="ES477" s="712"/>
      <c r="ET477" s="794"/>
      <c r="EU477" s="794"/>
      <c r="EV477" s="794"/>
      <c r="EW477" s="794"/>
      <c r="EX477" s="794"/>
      <c r="EY477" s="794"/>
      <c r="EZ477" s="794"/>
      <c r="FA477" s="712"/>
      <c r="FB477" s="712"/>
      <c r="FC477" s="712"/>
      <c r="FD477" s="712"/>
      <c r="FE477" s="712"/>
      <c r="FF477" s="712"/>
      <c r="FG477" s="712"/>
      <c r="FH477" s="712"/>
      <c r="FI477" s="712"/>
      <c r="FJ477" s="712"/>
      <c r="FK477" s="712"/>
      <c r="FL477" s="712"/>
      <c r="FM477" s="712"/>
      <c r="FN477" s="712"/>
      <c r="FO477" s="712"/>
      <c r="FP477" s="712"/>
      <c r="FQ477" s="712"/>
      <c r="FR477" s="712"/>
      <c r="FS477" s="712"/>
      <c r="FT477" s="712"/>
      <c r="FU477" s="712"/>
      <c r="FV477" s="712"/>
      <c r="FW477" s="712"/>
      <c r="FX477" s="712"/>
      <c r="FZ477" s="712"/>
      <c r="GA477" s="712"/>
      <c r="GB477" s="712"/>
      <c r="GC477" s="712"/>
      <c r="GD477" s="712"/>
      <c r="GE477" s="712"/>
      <c r="GF477" s="712"/>
      <c r="GG477" s="712"/>
      <c r="GH477" s="712"/>
      <c r="GI477" s="712"/>
      <c r="GJ477" s="712"/>
      <c r="GK477" s="712"/>
      <c r="GL477" s="712"/>
      <c r="GM477" s="712"/>
      <c r="GN477" s="712"/>
      <c r="GO477" s="712"/>
      <c r="GP477" s="712"/>
      <c r="GQ477" s="712"/>
      <c r="GR477" s="712"/>
      <c r="GS477" s="712"/>
      <c r="GT477" s="712"/>
      <c r="GU477" s="712"/>
      <c r="GV477" s="712"/>
      <c r="GW477" s="712"/>
      <c r="GX477" s="712"/>
      <c r="GY477" s="712"/>
      <c r="GZ477" s="712"/>
      <c r="HA477" s="712"/>
      <c r="HB477" s="712"/>
      <c r="HC477" s="712"/>
    </row>
    <row r="478" spans="1:211">
      <c r="A478" s="707"/>
      <c r="G478" s="712"/>
      <c r="H478" s="712"/>
      <c r="I478" s="712"/>
      <c r="J478" s="712"/>
      <c r="K478" s="712"/>
      <c r="L478" s="712"/>
      <c r="M478" s="712"/>
      <c r="N478" s="712"/>
      <c r="O478" s="712"/>
      <c r="P478" s="712"/>
      <c r="Q478" s="712"/>
      <c r="R478" s="712"/>
      <c r="S478" s="712"/>
      <c r="T478" s="712"/>
      <c r="U478" s="712"/>
      <c r="V478" s="712"/>
      <c r="W478" s="712"/>
      <c r="X478" s="712"/>
      <c r="Y478" s="712"/>
      <c r="Z478" s="712"/>
      <c r="AA478" s="712"/>
      <c r="AB478" s="712"/>
      <c r="AC478" s="712"/>
      <c r="AD478" s="712"/>
      <c r="AE478" s="712"/>
      <c r="AF478" s="712"/>
      <c r="AG478" s="712"/>
      <c r="AH478" s="712"/>
      <c r="AI478" s="712"/>
      <c r="AJ478" s="712"/>
      <c r="AK478" s="712"/>
      <c r="AL478" s="712"/>
      <c r="AM478" s="712"/>
      <c r="AN478" s="712"/>
      <c r="AO478" s="712"/>
      <c r="AP478" s="712"/>
      <c r="AQ478" s="712"/>
      <c r="AR478" s="712"/>
      <c r="AS478" s="712"/>
      <c r="AT478" s="712"/>
      <c r="AU478" s="712"/>
      <c r="AV478" s="712"/>
      <c r="AW478" s="712"/>
      <c r="AX478" s="712"/>
      <c r="AY478" s="712"/>
      <c r="AZ478" s="712"/>
      <c r="BA478" s="712"/>
      <c r="BB478" s="712"/>
      <c r="BC478" s="712"/>
      <c r="BD478" s="712"/>
      <c r="BE478" s="712"/>
      <c r="BF478" s="712"/>
      <c r="BG478" s="712"/>
      <c r="BH478" s="712"/>
      <c r="BI478" s="712"/>
      <c r="BJ478" s="712"/>
      <c r="BK478" s="712"/>
      <c r="BL478" s="712"/>
      <c r="BM478" s="712"/>
      <c r="BN478" s="712"/>
      <c r="BO478" s="712"/>
      <c r="BP478" s="712"/>
      <c r="BQ478" s="712"/>
      <c r="BR478" s="712"/>
      <c r="BS478" s="712"/>
      <c r="BT478" s="712"/>
      <c r="BU478" s="712"/>
      <c r="BV478" s="712"/>
      <c r="BW478" s="712"/>
      <c r="BX478" s="712"/>
      <c r="BY478" s="712"/>
      <c r="BZ478" s="712"/>
      <c r="CA478" s="712"/>
      <c r="CB478" s="712"/>
      <c r="CC478" s="712"/>
      <c r="CD478" s="712"/>
      <c r="CE478" s="712"/>
      <c r="CF478" s="712"/>
      <c r="CG478" s="712"/>
      <c r="CH478" s="712"/>
      <c r="CI478" s="712"/>
      <c r="CJ478" s="712"/>
      <c r="CK478" s="712"/>
      <c r="CL478" s="712"/>
      <c r="CM478" s="712"/>
      <c r="CN478" s="712"/>
      <c r="CO478" s="712"/>
      <c r="CP478" s="712"/>
      <c r="CQ478" s="712"/>
      <c r="CR478" s="712"/>
      <c r="CS478" s="712"/>
      <c r="CT478" s="712"/>
      <c r="CU478" s="712"/>
      <c r="CV478" s="712"/>
      <c r="CW478" s="712"/>
      <c r="CX478" s="712"/>
      <c r="CY478" s="712"/>
      <c r="CZ478" s="712"/>
      <c r="DA478" s="712"/>
      <c r="DB478" s="712"/>
      <c r="DC478" s="712"/>
      <c r="DD478" s="712"/>
      <c r="DE478" s="712"/>
      <c r="DF478" s="712"/>
      <c r="DG478" s="712"/>
      <c r="DH478" s="712"/>
      <c r="DI478" s="712"/>
      <c r="DJ478" s="712"/>
      <c r="DK478" s="712"/>
      <c r="DL478" s="712"/>
      <c r="DM478" s="712"/>
      <c r="DN478" s="712"/>
      <c r="DO478" s="712"/>
      <c r="DP478" s="712"/>
      <c r="DQ478" s="712"/>
      <c r="DR478" s="712"/>
      <c r="DS478" s="712"/>
      <c r="DT478" s="712"/>
      <c r="DU478" s="712"/>
      <c r="DV478" s="712"/>
      <c r="DW478" s="712"/>
      <c r="DX478" s="712"/>
      <c r="DY478" s="712"/>
      <c r="DZ478" s="712"/>
      <c r="EA478" s="712"/>
      <c r="EB478" s="712"/>
      <c r="EC478" s="712"/>
      <c r="ED478" s="712"/>
      <c r="EE478" s="712"/>
      <c r="EF478" s="712"/>
      <c r="EG478" s="712"/>
      <c r="EH478" s="712"/>
      <c r="EI478" s="712"/>
      <c r="EJ478" s="712"/>
      <c r="EK478" s="712"/>
      <c r="EL478" s="712"/>
      <c r="EM478" s="712"/>
      <c r="EN478" s="712"/>
      <c r="EO478" s="712"/>
      <c r="EP478" s="712"/>
      <c r="EQ478" s="712"/>
      <c r="ER478" s="712"/>
      <c r="ES478" s="712"/>
      <c r="ET478" s="794"/>
      <c r="EU478" s="794"/>
      <c r="EV478" s="794"/>
      <c r="EW478" s="794"/>
      <c r="EX478" s="794"/>
      <c r="EY478" s="794"/>
      <c r="EZ478" s="794"/>
      <c r="FA478" s="712"/>
      <c r="FB478" s="712"/>
      <c r="FC478" s="712"/>
      <c r="FD478" s="712"/>
      <c r="FE478" s="712"/>
      <c r="FF478" s="712"/>
      <c r="FG478" s="712"/>
      <c r="FH478" s="712"/>
      <c r="FI478" s="712"/>
      <c r="FJ478" s="712"/>
      <c r="FK478" s="712"/>
      <c r="FL478" s="712"/>
      <c r="FM478" s="712"/>
      <c r="FN478" s="712"/>
      <c r="FO478" s="712"/>
      <c r="FP478" s="712"/>
      <c r="FQ478" s="712"/>
      <c r="FR478" s="712"/>
      <c r="FS478" s="712"/>
      <c r="FT478" s="712"/>
      <c r="FU478" s="712"/>
      <c r="FV478" s="712"/>
      <c r="FW478" s="712"/>
      <c r="FX478" s="712"/>
      <c r="FZ478" s="712"/>
      <c r="GA478" s="712"/>
      <c r="GB478" s="712"/>
      <c r="GC478" s="712"/>
      <c r="GD478" s="712"/>
      <c r="GE478" s="712"/>
      <c r="GF478" s="712"/>
      <c r="GG478" s="712"/>
      <c r="GH478" s="712"/>
      <c r="GI478" s="712"/>
      <c r="GJ478" s="712"/>
      <c r="GK478" s="712"/>
      <c r="GL478" s="712"/>
      <c r="GM478" s="712"/>
      <c r="GN478" s="712"/>
      <c r="GO478" s="712"/>
      <c r="GP478" s="712"/>
      <c r="GQ478" s="712"/>
      <c r="GR478" s="712"/>
      <c r="GS478" s="712"/>
      <c r="GT478" s="712"/>
      <c r="GU478" s="712"/>
      <c r="GV478" s="712"/>
      <c r="GW478" s="712"/>
      <c r="GX478" s="712"/>
      <c r="GY478" s="712"/>
      <c r="GZ478" s="712"/>
      <c r="HA478" s="712"/>
      <c r="HB478" s="712"/>
      <c r="HC478" s="712"/>
    </row>
    <row r="479" spans="1:211">
      <c r="A479" s="707"/>
      <c r="G479" s="712"/>
      <c r="H479" s="712"/>
      <c r="I479" s="712"/>
      <c r="J479" s="712"/>
      <c r="K479" s="712"/>
      <c r="L479" s="712"/>
      <c r="M479" s="712"/>
      <c r="N479" s="712"/>
      <c r="O479" s="712"/>
      <c r="P479" s="712"/>
      <c r="Q479" s="712"/>
      <c r="R479" s="712"/>
      <c r="S479" s="712"/>
      <c r="T479" s="712"/>
      <c r="U479" s="712"/>
      <c r="V479" s="712"/>
      <c r="W479" s="712"/>
      <c r="X479" s="712"/>
      <c r="Y479" s="712"/>
      <c r="Z479" s="712"/>
      <c r="AA479" s="712"/>
      <c r="AB479" s="712"/>
      <c r="AC479" s="712"/>
      <c r="AD479" s="712"/>
      <c r="AE479" s="712"/>
      <c r="AF479" s="712"/>
      <c r="AG479" s="712"/>
      <c r="AH479" s="712"/>
      <c r="AI479" s="712"/>
      <c r="AJ479" s="712"/>
      <c r="AK479" s="712"/>
      <c r="AL479" s="712"/>
      <c r="AM479" s="712"/>
      <c r="AN479" s="712"/>
      <c r="AO479" s="712"/>
      <c r="AP479" s="712"/>
      <c r="AQ479" s="712"/>
      <c r="AR479" s="712"/>
      <c r="AS479" s="712"/>
      <c r="AT479" s="712"/>
      <c r="AU479" s="712"/>
      <c r="AV479" s="712"/>
      <c r="AW479" s="712"/>
      <c r="AX479" s="712"/>
      <c r="AY479" s="712"/>
      <c r="AZ479" s="712"/>
      <c r="BA479" s="712"/>
      <c r="BB479" s="712"/>
      <c r="BC479" s="712"/>
      <c r="BD479" s="712"/>
      <c r="BE479" s="712"/>
      <c r="BF479" s="712"/>
      <c r="BG479" s="712"/>
      <c r="BH479" s="712"/>
      <c r="BI479" s="712"/>
      <c r="BJ479" s="712"/>
      <c r="BK479" s="712"/>
      <c r="BL479" s="712"/>
      <c r="BM479" s="712"/>
      <c r="BN479" s="712"/>
      <c r="BO479" s="712"/>
      <c r="BP479" s="712"/>
      <c r="BQ479" s="712"/>
      <c r="BR479" s="712"/>
      <c r="BS479" s="712"/>
      <c r="BT479" s="712"/>
      <c r="BU479" s="712"/>
      <c r="BV479" s="712"/>
      <c r="BW479" s="712"/>
      <c r="BX479" s="712"/>
      <c r="BY479" s="712"/>
      <c r="BZ479" s="712"/>
      <c r="CA479" s="712"/>
      <c r="CB479" s="712"/>
      <c r="CC479" s="712"/>
      <c r="CD479" s="712"/>
      <c r="CE479" s="712"/>
      <c r="CF479" s="712"/>
      <c r="CG479" s="712"/>
      <c r="CH479" s="712"/>
      <c r="CI479" s="712"/>
      <c r="CJ479" s="712"/>
      <c r="CK479" s="712"/>
      <c r="CL479" s="712"/>
      <c r="CM479" s="712"/>
      <c r="CN479" s="712"/>
      <c r="CO479" s="712"/>
      <c r="CP479" s="712"/>
      <c r="CQ479" s="712"/>
      <c r="CR479" s="712"/>
      <c r="CS479" s="712"/>
      <c r="CT479" s="712"/>
      <c r="CU479" s="712"/>
      <c r="CV479" s="712"/>
      <c r="CW479" s="712"/>
      <c r="CX479" s="712"/>
      <c r="CY479" s="712"/>
      <c r="CZ479" s="712"/>
      <c r="DA479" s="712"/>
      <c r="DB479" s="712"/>
      <c r="DC479" s="712"/>
      <c r="DD479" s="712"/>
      <c r="DE479" s="712"/>
      <c r="DF479" s="712"/>
      <c r="DG479" s="712"/>
      <c r="DH479" s="712"/>
      <c r="DI479" s="712"/>
      <c r="DJ479" s="712"/>
      <c r="DK479" s="712"/>
      <c r="DL479" s="712"/>
      <c r="DM479" s="712"/>
      <c r="DN479" s="712"/>
      <c r="DO479" s="712"/>
      <c r="DP479" s="712"/>
      <c r="DQ479" s="712"/>
      <c r="DR479" s="712"/>
      <c r="DS479" s="712"/>
      <c r="DT479" s="712"/>
      <c r="DU479" s="712"/>
      <c r="DV479" s="712"/>
      <c r="DW479" s="712"/>
      <c r="DX479" s="712"/>
      <c r="DY479" s="712"/>
      <c r="DZ479" s="712"/>
      <c r="EA479" s="712"/>
      <c r="EB479" s="712"/>
      <c r="EC479" s="712"/>
      <c r="ED479" s="712"/>
      <c r="EE479" s="712"/>
      <c r="EF479" s="712"/>
      <c r="EG479" s="712"/>
      <c r="EH479" s="712"/>
      <c r="EI479" s="712"/>
      <c r="EJ479" s="712"/>
      <c r="EK479" s="712"/>
      <c r="EL479" s="712"/>
      <c r="EM479" s="712"/>
      <c r="EN479" s="712"/>
      <c r="EO479" s="712"/>
      <c r="EP479" s="712"/>
      <c r="EQ479" s="712"/>
      <c r="ER479" s="712"/>
      <c r="ES479" s="712"/>
      <c r="ET479" s="794"/>
      <c r="EU479" s="794"/>
      <c r="EV479" s="794"/>
      <c r="EW479" s="794"/>
      <c r="EX479" s="794"/>
      <c r="EY479" s="794"/>
      <c r="EZ479" s="794"/>
      <c r="FA479" s="712"/>
      <c r="FB479" s="712"/>
      <c r="FC479" s="712"/>
      <c r="FD479" s="712"/>
      <c r="FE479" s="712"/>
      <c r="FF479" s="712"/>
      <c r="FG479" s="712"/>
      <c r="FH479" s="712"/>
      <c r="FI479" s="712"/>
      <c r="FJ479" s="712"/>
      <c r="FK479" s="712"/>
      <c r="FL479" s="712"/>
      <c r="FM479" s="712"/>
      <c r="FN479" s="712"/>
      <c r="FO479" s="712"/>
      <c r="FP479" s="712"/>
      <c r="FQ479" s="712"/>
      <c r="FR479" s="712"/>
      <c r="FS479" s="712"/>
      <c r="FT479" s="712"/>
      <c r="FU479" s="712"/>
      <c r="FV479" s="712"/>
      <c r="FW479" s="712"/>
      <c r="FX479" s="712"/>
      <c r="FZ479" s="712"/>
      <c r="GA479" s="712"/>
      <c r="GB479" s="712"/>
      <c r="GC479" s="712"/>
      <c r="GD479" s="712"/>
      <c r="GE479" s="712"/>
      <c r="GF479" s="712"/>
      <c r="GG479" s="712"/>
      <c r="GH479" s="712"/>
      <c r="GI479" s="712"/>
      <c r="GJ479" s="712"/>
      <c r="GK479" s="712"/>
      <c r="GL479" s="712"/>
      <c r="GM479" s="712"/>
      <c r="GN479" s="712"/>
      <c r="GO479" s="712"/>
      <c r="GP479" s="712"/>
      <c r="GQ479" s="712"/>
      <c r="GR479" s="712"/>
      <c r="GS479" s="712"/>
      <c r="GT479" s="712"/>
      <c r="GU479" s="712"/>
      <c r="GV479" s="712"/>
      <c r="GW479" s="712"/>
      <c r="GX479" s="712"/>
      <c r="GY479" s="712"/>
      <c r="GZ479" s="712"/>
      <c r="HA479" s="712"/>
      <c r="HB479" s="712"/>
      <c r="HC479" s="712"/>
    </row>
    <row r="480" spans="1:211">
      <c r="A480" s="707"/>
      <c r="G480" s="712"/>
      <c r="H480" s="712"/>
      <c r="I480" s="712"/>
      <c r="J480" s="712"/>
      <c r="K480" s="712"/>
      <c r="L480" s="712"/>
      <c r="M480" s="712"/>
      <c r="N480" s="712"/>
      <c r="O480" s="712"/>
      <c r="P480" s="712"/>
      <c r="Q480" s="712"/>
      <c r="R480" s="712"/>
      <c r="S480" s="712"/>
      <c r="T480" s="712"/>
      <c r="U480" s="712"/>
      <c r="V480" s="712"/>
      <c r="W480" s="712"/>
      <c r="X480" s="712"/>
      <c r="Y480" s="712"/>
      <c r="Z480" s="712"/>
      <c r="AA480" s="712"/>
      <c r="AB480" s="712"/>
      <c r="AC480" s="712"/>
      <c r="AD480" s="712"/>
      <c r="AE480" s="712"/>
      <c r="AF480" s="712"/>
      <c r="AG480" s="712"/>
      <c r="AH480" s="712"/>
      <c r="AI480" s="712"/>
      <c r="AJ480" s="712"/>
      <c r="AK480" s="712"/>
      <c r="AL480" s="712"/>
      <c r="AM480" s="712"/>
      <c r="AN480" s="712"/>
      <c r="AO480" s="712"/>
      <c r="AP480" s="712"/>
      <c r="AQ480" s="712"/>
      <c r="AR480" s="712"/>
      <c r="AS480" s="712"/>
      <c r="AT480" s="712"/>
      <c r="AU480" s="712"/>
      <c r="AV480" s="712"/>
      <c r="AW480" s="712"/>
      <c r="AX480" s="712"/>
      <c r="AY480" s="712"/>
      <c r="AZ480" s="712"/>
      <c r="BA480" s="712"/>
      <c r="BB480" s="712"/>
      <c r="BC480" s="712"/>
      <c r="BD480" s="712"/>
      <c r="BE480" s="712"/>
      <c r="BF480" s="712"/>
      <c r="BG480" s="712"/>
      <c r="BH480" s="712"/>
      <c r="BI480" s="712"/>
      <c r="BJ480" s="712"/>
      <c r="BK480" s="712"/>
      <c r="BL480" s="712"/>
      <c r="BM480" s="712"/>
      <c r="BN480" s="712"/>
      <c r="BO480" s="712"/>
      <c r="BP480" s="712"/>
      <c r="BQ480" s="712"/>
      <c r="BR480" s="712"/>
      <c r="BS480" s="712"/>
      <c r="BT480" s="712"/>
      <c r="BU480" s="712"/>
      <c r="BV480" s="712"/>
      <c r="BW480" s="712"/>
      <c r="BX480" s="712"/>
      <c r="BY480" s="712"/>
      <c r="BZ480" s="712"/>
      <c r="CA480" s="712"/>
      <c r="CB480" s="712"/>
      <c r="CC480" s="712"/>
      <c r="CD480" s="712"/>
      <c r="CE480" s="712"/>
      <c r="CF480" s="712"/>
      <c r="CG480" s="712"/>
      <c r="CH480" s="712"/>
      <c r="CI480" s="712"/>
      <c r="CJ480" s="712"/>
      <c r="CK480" s="712"/>
      <c r="CL480" s="712"/>
      <c r="CM480" s="712"/>
      <c r="CN480" s="712"/>
      <c r="CO480" s="712"/>
      <c r="CP480" s="712"/>
      <c r="CQ480" s="712"/>
      <c r="CR480" s="712"/>
      <c r="CS480" s="712"/>
      <c r="CT480" s="712"/>
      <c r="CU480" s="712"/>
      <c r="CV480" s="712"/>
      <c r="CW480" s="712"/>
      <c r="CX480" s="712"/>
      <c r="CY480" s="712"/>
      <c r="CZ480" s="712"/>
      <c r="DA480" s="712"/>
      <c r="DB480" s="712"/>
      <c r="DC480" s="712"/>
      <c r="DD480" s="712"/>
      <c r="DE480" s="712"/>
      <c r="DF480" s="712"/>
      <c r="DG480" s="712"/>
      <c r="DH480" s="712"/>
      <c r="DI480" s="712"/>
      <c r="DJ480" s="712"/>
      <c r="DK480" s="712"/>
      <c r="DL480" s="712"/>
      <c r="DM480" s="712"/>
      <c r="DN480" s="712"/>
      <c r="DO480" s="712"/>
      <c r="DP480" s="712"/>
      <c r="DQ480" s="712"/>
      <c r="DR480" s="712"/>
      <c r="DS480" s="712"/>
      <c r="DT480" s="712"/>
      <c r="DU480" s="712"/>
      <c r="DV480" s="712"/>
      <c r="DW480" s="712"/>
      <c r="DX480" s="712"/>
      <c r="DY480" s="712"/>
      <c r="DZ480" s="712"/>
      <c r="EA480" s="712"/>
      <c r="EB480" s="712"/>
      <c r="EC480" s="712"/>
      <c r="ED480" s="712"/>
      <c r="EE480" s="712"/>
      <c r="EF480" s="712"/>
      <c r="EG480" s="712"/>
      <c r="EH480" s="712"/>
      <c r="EI480" s="712"/>
      <c r="EJ480" s="712"/>
      <c r="EK480" s="712"/>
      <c r="EL480" s="712"/>
      <c r="EM480" s="712"/>
      <c r="EN480" s="712"/>
      <c r="EO480" s="712"/>
      <c r="EP480" s="712"/>
      <c r="EQ480" s="712"/>
      <c r="ER480" s="712"/>
      <c r="ES480" s="712"/>
      <c r="ET480" s="794"/>
      <c r="EU480" s="794"/>
      <c r="EV480" s="794"/>
      <c r="EW480" s="794"/>
      <c r="EX480" s="794"/>
      <c r="EY480" s="794"/>
      <c r="EZ480" s="794"/>
      <c r="FA480" s="712"/>
      <c r="FB480" s="712"/>
      <c r="FC480" s="712"/>
      <c r="FD480" s="712"/>
      <c r="FE480" s="712"/>
      <c r="FF480" s="712"/>
      <c r="FG480" s="712"/>
      <c r="FH480" s="712"/>
      <c r="FI480" s="712"/>
      <c r="FJ480" s="712"/>
      <c r="FK480" s="712"/>
      <c r="FL480" s="712"/>
      <c r="FM480" s="712"/>
      <c r="FN480" s="712"/>
      <c r="FO480" s="712"/>
      <c r="FP480" s="712"/>
      <c r="FQ480" s="712"/>
      <c r="FR480" s="712"/>
      <c r="FS480" s="712"/>
      <c r="FT480" s="712"/>
      <c r="FU480" s="712"/>
      <c r="FV480" s="712"/>
      <c r="FW480" s="712"/>
      <c r="FX480" s="712"/>
      <c r="FZ480" s="712"/>
      <c r="GA480" s="712"/>
      <c r="GB480" s="712"/>
      <c r="GC480" s="712"/>
      <c r="GD480" s="712"/>
      <c r="GE480" s="712"/>
      <c r="GF480" s="712"/>
      <c r="GG480" s="712"/>
      <c r="GH480" s="712"/>
      <c r="GI480" s="712"/>
      <c r="GJ480" s="712"/>
      <c r="GK480" s="712"/>
      <c r="GL480" s="712"/>
      <c r="GM480" s="712"/>
      <c r="GN480" s="712"/>
      <c r="GO480" s="712"/>
      <c r="GP480" s="712"/>
      <c r="GQ480" s="712"/>
      <c r="GR480" s="712"/>
      <c r="GS480" s="712"/>
      <c r="GT480" s="712"/>
      <c r="GU480" s="712"/>
      <c r="GV480" s="712"/>
      <c r="GW480" s="712"/>
      <c r="GX480" s="712"/>
      <c r="GY480" s="712"/>
      <c r="GZ480" s="712"/>
      <c r="HA480" s="712"/>
      <c r="HB480" s="712"/>
      <c r="HC480" s="712"/>
    </row>
    <row r="481" spans="1:211">
      <c r="A481" s="707"/>
      <c r="G481" s="712"/>
      <c r="H481" s="712"/>
      <c r="I481" s="712"/>
      <c r="J481" s="712"/>
      <c r="K481" s="712"/>
      <c r="L481" s="712"/>
      <c r="M481" s="712"/>
      <c r="N481" s="712"/>
      <c r="O481" s="712"/>
      <c r="P481" s="712"/>
      <c r="Q481" s="712"/>
      <c r="R481" s="712"/>
      <c r="S481" s="712"/>
      <c r="T481" s="712"/>
      <c r="U481" s="712"/>
      <c r="V481" s="712"/>
      <c r="W481" s="712"/>
      <c r="X481" s="712"/>
      <c r="Y481" s="712"/>
      <c r="Z481" s="712"/>
      <c r="AA481" s="712"/>
      <c r="AB481" s="712"/>
      <c r="AC481" s="712"/>
      <c r="AD481" s="712"/>
      <c r="AE481" s="712"/>
      <c r="AF481" s="712"/>
      <c r="AG481" s="712"/>
      <c r="AH481" s="712"/>
      <c r="AI481" s="712"/>
      <c r="AJ481" s="712"/>
      <c r="AK481" s="712"/>
      <c r="AL481" s="712"/>
      <c r="AM481" s="712"/>
      <c r="AN481" s="712"/>
      <c r="AO481" s="712"/>
      <c r="AP481" s="712"/>
      <c r="AQ481" s="712"/>
      <c r="AR481" s="712"/>
      <c r="AS481" s="712"/>
      <c r="AT481" s="712"/>
      <c r="AU481" s="712"/>
      <c r="AV481" s="712"/>
      <c r="AW481" s="712"/>
      <c r="AX481" s="712"/>
      <c r="AY481" s="712"/>
      <c r="AZ481" s="712"/>
      <c r="BA481" s="712"/>
      <c r="BB481" s="712"/>
      <c r="BC481" s="712"/>
      <c r="BD481" s="712"/>
      <c r="BE481" s="712"/>
      <c r="BF481" s="712"/>
      <c r="BG481" s="712"/>
      <c r="BH481" s="712"/>
      <c r="BI481" s="712"/>
      <c r="BJ481" s="712"/>
      <c r="BK481" s="712"/>
      <c r="BL481" s="712"/>
      <c r="BM481" s="712"/>
      <c r="BN481" s="712"/>
      <c r="BO481" s="712"/>
      <c r="BP481" s="712"/>
      <c r="BQ481" s="712"/>
      <c r="BR481" s="712"/>
      <c r="BS481" s="712"/>
      <c r="BT481" s="712"/>
      <c r="BU481" s="712"/>
      <c r="BV481" s="712"/>
      <c r="BW481" s="712"/>
      <c r="BX481" s="712"/>
      <c r="BY481" s="712"/>
      <c r="BZ481" s="712"/>
      <c r="CA481" s="712"/>
      <c r="CB481" s="712"/>
      <c r="CC481" s="712"/>
      <c r="CD481" s="712"/>
      <c r="CE481" s="712"/>
      <c r="CF481" s="712"/>
      <c r="CG481" s="712"/>
      <c r="CH481" s="712"/>
      <c r="CI481" s="712"/>
      <c r="CJ481" s="712"/>
      <c r="CK481" s="712"/>
      <c r="CL481" s="712"/>
      <c r="CM481" s="712"/>
      <c r="CN481" s="712"/>
      <c r="CO481" s="712"/>
      <c r="CP481" s="712"/>
      <c r="CQ481" s="712"/>
      <c r="CR481" s="712"/>
      <c r="CS481" s="712"/>
      <c r="CT481" s="712"/>
      <c r="CU481" s="712"/>
      <c r="CV481" s="712"/>
      <c r="CW481" s="712"/>
      <c r="CX481" s="712"/>
      <c r="CY481" s="712"/>
      <c r="CZ481" s="712"/>
      <c r="DA481" s="712"/>
      <c r="DB481" s="712"/>
      <c r="DC481" s="712"/>
      <c r="DD481" s="712"/>
      <c r="DE481" s="712"/>
      <c r="DF481" s="712"/>
      <c r="DG481" s="712"/>
      <c r="DH481" s="712"/>
      <c r="DI481" s="712"/>
      <c r="DJ481" s="712"/>
      <c r="DK481" s="712"/>
      <c r="DL481" s="712"/>
      <c r="DM481" s="712"/>
      <c r="DN481" s="712"/>
      <c r="DO481" s="712"/>
      <c r="DP481" s="712"/>
      <c r="DQ481" s="712"/>
      <c r="DR481" s="712"/>
      <c r="DS481" s="712"/>
      <c r="DT481" s="712"/>
      <c r="DU481" s="712"/>
      <c r="DV481" s="712"/>
      <c r="DW481" s="712"/>
      <c r="DX481" s="712"/>
      <c r="DY481" s="712"/>
      <c r="DZ481" s="712"/>
      <c r="EA481" s="712"/>
      <c r="EB481" s="712"/>
      <c r="EC481" s="712"/>
      <c r="ED481" s="712"/>
      <c r="EE481" s="712"/>
      <c r="EF481" s="712"/>
      <c r="EG481" s="712"/>
      <c r="EH481" s="712"/>
      <c r="EI481" s="712"/>
      <c r="EJ481" s="712"/>
      <c r="EK481" s="712"/>
      <c r="EL481" s="712"/>
      <c r="EM481" s="712"/>
      <c r="EN481" s="712"/>
      <c r="EO481" s="712"/>
      <c r="EP481" s="712"/>
      <c r="EQ481" s="712"/>
      <c r="ER481" s="712"/>
      <c r="ES481" s="712"/>
      <c r="ET481" s="794"/>
      <c r="EU481" s="794"/>
      <c r="EV481" s="794"/>
      <c r="EW481" s="794"/>
      <c r="EX481" s="794"/>
      <c r="EY481" s="794"/>
      <c r="EZ481" s="794"/>
      <c r="FA481" s="712"/>
      <c r="FB481" s="712"/>
      <c r="FC481" s="712"/>
      <c r="FD481" s="712"/>
      <c r="FE481" s="712"/>
      <c r="FF481" s="712"/>
      <c r="FG481" s="712"/>
      <c r="FH481" s="712"/>
      <c r="FI481" s="712"/>
      <c r="FJ481" s="712"/>
      <c r="FK481" s="712"/>
      <c r="FL481" s="712"/>
      <c r="FM481" s="712"/>
      <c r="FN481" s="712"/>
      <c r="FO481" s="712"/>
      <c r="FP481" s="712"/>
      <c r="FQ481" s="712"/>
      <c r="FR481" s="712"/>
      <c r="FS481" s="712"/>
      <c r="FT481" s="712"/>
      <c r="FU481" s="712"/>
      <c r="FV481" s="712"/>
      <c r="FW481" s="712"/>
      <c r="FX481" s="712"/>
      <c r="FZ481" s="712"/>
      <c r="GA481" s="712"/>
      <c r="GB481" s="712"/>
      <c r="GC481" s="712"/>
      <c r="GD481" s="712"/>
      <c r="GE481" s="712"/>
      <c r="GF481" s="712"/>
      <c r="GG481" s="712"/>
      <c r="GH481" s="712"/>
      <c r="GI481" s="712"/>
      <c r="GJ481" s="712"/>
      <c r="GK481" s="712"/>
      <c r="GL481" s="712"/>
      <c r="GM481" s="712"/>
      <c r="GN481" s="712"/>
      <c r="GO481" s="712"/>
      <c r="GP481" s="712"/>
      <c r="GQ481" s="712"/>
      <c r="GR481" s="712"/>
      <c r="GS481" s="712"/>
      <c r="GT481" s="712"/>
      <c r="GU481" s="712"/>
      <c r="GV481" s="712"/>
      <c r="GW481" s="712"/>
      <c r="GX481" s="712"/>
      <c r="GY481" s="712"/>
      <c r="GZ481" s="712"/>
      <c r="HA481" s="712"/>
      <c r="HB481" s="712"/>
      <c r="HC481" s="712"/>
    </row>
    <row r="482" spans="1:211">
      <c r="A482" s="707"/>
      <c r="G482" s="712"/>
      <c r="H482" s="712"/>
      <c r="I482" s="712"/>
      <c r="J482" s="712"/>
      <c r="K482" s="712"/>
      <c r="L482" s="712"/>
      <c r="M482" s="712"/>
      <c r="N482" s="712"/>
      <c r="O482" s="712"/>
      <c r="P482" s="712"/>
      <c r="Q482" s="712"/>
      <c r="R482" s="712"/>
      <c r="S482" s="712"/>
      <c r="T482" s="712"/>
      <c r="U482" s="712"/>
      <c r="V482" s="712"/>
      <c r="W482" s="712"/>
      <c r="X482" s="712"/>
      <c r="Y482" s="712"/>
      <c r="Z482" s="712"/>
      <c r="AA482" s="712"/>
      <c r="AB482" s="712"/>
      <c r="AC482" s="712"/>
      <c r="AD482" s="712"/>
      <c r="AE482" s="712"/>
      <c r="AF482" s="712"/>
      <c r="AG482" s="712"/>
      <c r="AH482" s="712"/>
      <c r="AI482" s="712"/>
      <c r="AJ482" s="712"/>
      <c r="AK482" s="712"/>
      <c r="AL482" s="712"/>
      <c r="AM482" s="712"/>
      <c r="AN482" s="712"/>
      <c r="AO482" s="712"/>
      <c r="AP482" s="712"/>
      <c r="AQ482" s="712"/>
      <c r="AR482" s="712"/>
      <c r="AS482" s="712"/>
      <c r="AT482" s="712"/>
      <c r="AU482" s="712"/>
      <c r="AV482" s="712"/>
      <c r="AW482" s="712"/>
      <c r="AX482" s="712"/>
      <c r="AY482" s="712"/>
      <c r="AZ482" s="712"/>
      <c r="BA482" s="712"/>
      <c r="BB482" s="712"/>
      <c r="BC482" s="712"/>
      <c r="BD482" s="712"/>
      <c r="BE482" s="712"/>
      <c r="BF482" s="712"/>
      <c r="BG482" s="712"/>
      <c r="BH482" s="712"/>
      <c r="BI482" s="712"/>
      <c r="BJ482" s="712"/>
      <c r="BK482" s="712"/>
      <c r="BL482" s="712"/>
      <c r="BM482" s="712"/>
      <c r="BN482" s="712"/>
      <c r="BO482" s="712"/>
      <c r="BP482" s="712"/>
      <c r="BQ482" s="712"/>
      <c r="BR482" s="712"/>
      <c r="BS482" s="712"/>
      <c r="BT482" s="712"/>
      <c r="BU482" s="712"/>
      <c r="BV482" s="712"/>
      <c r="BW482" s="712"/>
      <c r="BX482" s="712"/>
      <c r="BY482" s="712"/>
      <c r="BZ482" s="712"/>
      <c r="CA482" s="712"/>
      <c r="CB482" s="712"/>
      <c r="CC482" s="712"/>
      <c r="CD482" s="712"/>
      <c r="CE482" s="712"/>
      <c r="CF482" s="712"/>
      <c r="CG482" s="712"/>
      <c r="CH482" s="712"/>
      <c r="CI482" s="712"/>
      <c r="CJ482" s="712"/>
      <c r="CK482" s="712"/>
      <c r="CL482" s="712"/>
      <c r="CM482" s="712"/>
      <c r="CN482" s="712"/>
      <c r="CO482" s="712"/>
      <c r="CP482" s="712"/>
      <c r="CQ482" s="712"/>
      <c r="CR482" s="712"/>
      <c r="CS482" s="712"/>
      <c r="CT482" s="712"/>
      <c r="CU482" s="712"/>
      <c r="CV482" s="712"/>
      <c r="CW482" s="712"/>
      <c r="CX482" s="712"/>
      <c r="CY482" s="712"/>
      <c r="CZ482" s="712"/>
      <c r="DA482" s="712"/>
      <c r="DB482" s="712"/>
      <c r="DC482" s="712"/>
      <c r="DD482" s="712"/>
      <c r="DE482" s="712"/>
      <c r="DF482" s="712"/>
      <c r="DG482" s="712"/>
      <c r="DH482" s="712"/>
      <c r="DI482" s="712"/>
      <c r="DJ482" s="712"/>
      <c r="DK482" s="712"/>
      <c r="DL482" s="712"/>
      <c r="DM482" s="712"/>
      <c r="DN482" s="712"/>
      <c r="DO482" s="712"/>
      <c r="DP482" s="712"/>
      <c r="DQ482" s="712"/>
      <c r="DR482" s="712"/>
      <c r="DS482" s="712"/>
      <c r="DT482" s="712"/>
      <c r="DU482" s="712"/>
      <c r="DV482" s="712"/>
      <c r="DW482" s="712"/>
      <c r="DX482" s="712"/>
      <c r="DY482" s="712"/>
      <c r="DZ482" s="712"/>
      <c r="EA482" s="712"/>
      <c r="EB482" s="712"/>
      <c r="EC482" s="712"/>
      <c r="ED482" s="712"/>
      <c r="EE482" s="712"/>
      <c r="EF482" s="712"/>
      <c r="EG482" s="712"/>
      <c r="EH482" s="712"/>
      <c r="EI482" s="712"/>
      <c r="EJ482" s="712"/>
      <c r="EK482" s="712"/>
      <c r="EL482" s="712"/>
      <c r="EM482" s="712"/>
      <c r="EN482" s="712"/>
      <c r="EO482" s="712"/>
      <c r="EP482" s="712"/>
      <c r="EQ482" s="712"/>
      <c r="ER482" s="712"/>
      <c r="ES482" s="712"/>
      <c r="ET482" s="794"/>
      <c r="EU482" s="794"/>
      <c r="EV482" s="794"/>
      <c r="EW482" s="794"/>
      <c r="EX482" s="794"/>
      <c r="EY482" s="794"/>
      <c r="EZ482" s="794"/>
      <c r="FA482" s="712"/>
      <c r="FB482" s="712"/>
      <c r="FC482" s="712"/>
      <c r="FD482" s="712"/>
      <c r="FE482" s="712"/>
      <c r="FF482" s="712"/>
      <c r="FG482" s="712"/>
      <c r="FH482" s="712"/>
      <c r="FI482" s="712"/>
      <c r="FJ482" s="712"/>
      <c r="FK482" s="712"/>
      <c r="FL482" s="712"/>
      <c r="FM482" s="712"/>
      <c r="FN482" s="712"/>
      <c r="FO482" s="712"/>
      <c r="FP482" s="712"/>
      <c r="FQ482" s="712"/>
      <c r="FR482" s="712"/>
      <c r="FS482" s="712"/>
      <c r="FT482" s="712"/>
      <c r="FU482" s="712"/>
      <c r="FV482" s="712"/>
      <c r="FW482" s="712"/>
      <c r="FX482" s="712"/>
      <c r="FZ482" s="712"/>
      <c r="GA482" s="712"/>
      <c r="GB482" s="712"/>
      <c r="GC482" s="712"/>
      <c r="GD482" s="712"/>
      <c r="GE482" s="712"/>
      <c r="GF482" s="712"/>
      <c r="GG482" s="712"/>
      <c r="GH482" s="712"/>
      <c r="GI482" s="712"/>
      <c r="GJ482" s="712"/>
      <c r="GK482" s="712"/>
      <c r="GL482" s="712"/>
      <c r="GM482" s="712"/>
      <c r="GN482" s="712"/>
      <c r="GO482" s="712"/>
      <c r="GP482" s="712"/>
      <c r="GQ482" s="712"/>
      <c r="GR482" s="712"/>
      <c r="GS482" s="712"/>
      <c r="GT482" s="712"/>
      <c r="GU482" s="712"/>
      <c r="GV482" s="712"/>
      <c r="GW482" s="712"/>
      <c r="GX482" s="712"/>
      <c r="GY482" s="712"/>
      <c r="GZ482" s="712"/>
      <c r="HA482" s="712"/>
      <c r="HB482" s="712"/>
      <c r="HC482" s="712"/>
    </row>
    <row r="483" spans="1:211">
      <c r="A483" s="707"/>
      <c r="G483" s="712"/>
      <c r="H483" s="712"/>
      <c r="I483" s="712"/>
      <c r="J483" s="712"/>
      <c r="K483" s="712"/>
      <c r="L483" s="712"/>
      <c r="M483" s="712"/>
      <c r="N483" s="712"/>
      <c r="O483" s="712"/>
      <c r="P483" s="712"/>
      <c r="Q483" s="712"/>
      <c r="R483" s="712"/>
      <c r="S483" s="712"/>
      <c r="T483" s="712"/>
      <c r="U483" s="712"/>
      <c r="V483" s="712"/>
      <c r="W483" s="712"/>
      <c r="X483" s="712"/>
      <c r="Y483" s="712"/>
      <c r="Z483" s="712"/>
      <c r="AA483" s="712"/>
      <c r="AB483" s="712"/>
      <c r="AC483" s="712"/>
      <c r="AD483" s="712"/>
      <c r="AE483" s="712"/>
      <c r="AF483" s="712"/>
      <c r="AG483" s="712"/>
      <c r="AH483" s="712"/>
      <c r="AI483" s="712"/>
      <c r="AJ483" s="712"/>
      <c r="AK483" s="712"/>
      <c r="AL483" s="712"/>
      <c r="AM483" s="712"/>
      <c r="AN483" s="712"/>
      <c r="AO483" s="712"/>
      <c r="AP483" s="712"/>
      <c r="AQ483" s="712"/>
      <c r="AR483" s="712"/>
      <c r="AS483" s="712"/>
      <c r="AT483" s="712"/>
      <c r="AU483" s="712"/>
      <c r="AV483" s="712"/>
      <c r="AW483" s="712"/>
      <c r="AX483" s="712"/>
      <c r="AY483" s="712"/>
      <c r="AZ483" s="712"/>
      <c r="BA483" s="712"/>
      <c r="BB483" s="712"/>
      <c r="BC483" s="712"/>
      <c r="BD483" s="712"/>
      <c r="BE483" s="712"/>
      <c r="BF483" s="712"/>
      <c r="BG483" s="712"/>
      <c r="BH483" s="712"/>
      <c r="BI483" s="712"/>
      <c r="BJ483" s="712"/>
      <c r="BK483" s="712"/>
      <c r="BL483" s="712"/>
      <c r="BM483" s="712"/>
      <c r="BN483" s="712"/>
      <c r="BO483" s="712"/>
      <c r="BP483" s="712"/>
      <c r="BQ483" s="712"/>
      <c r="BR483" s="712"/>
      <c r="BS483" s="712"/>
      <c r="BT483" s="712"/>
      <c r="BU483" s="712"/>
      <c r="BV483" s="712"/>
      <c r="BW483" s="712"/>
      <c r="BX483" s="712"/>
      <c r="BY483" s="712"/>
      <c r="BZ483" s="712"/>
      <c r="CA483" s="712"/>
      <c r="CB483" s="712"/>
      <c r="CC483" s="712"/>
      <c r="CD483" s="712"/>
      <c r="CE483" s="712"/>
      <c r="CF483" s="712"/>
      <c r="CG483" s="712"/>
      <c r="CH483" s="712"/>
      <c r="CI483" s="712"/>
      <c r="CJ483" s="712"/>
      <c r="CK483" s="712"/>
      <c r="CL483" s="712"/>
      <c r="CM483" s="712"/>
      <c r="CN483" s="712"/>
      <c r="CO483" s="712"/>
      <c r="CP483" s="712"/>
      <c r="CQ483" s="712"/>
      <c r="CR483" s="712"/>
      <c r="CS483" s="712"/>
      <c r="CT483" s="712"/>
      <c r="CU483" s="712"/>
      <c r="CV483" s="712"/>
      <c r="CW483" s="712"/>
      <c r="CX483" s="712"/>
      <c r="CY483" s="712"/>
      <c r="CZ483" s="712"/>
      <c r="DA483" s="712"/>
      <c r="DB483" s="712"/>
      <c r="DC483" s="712"/>
      <c r="DD483" s="712"/>
      <c r="DE483" s="712"/>
      <c r="DF483" s="712"/>
      <c r="DG483" s="712"/>
      <c r="DH483" s="712"/>
      <c r="DI483" s="712"/>
      <c r="DJ483" s="712"/>
      <c r="DK483" s="712"/>
      <c r="DL483" s="712"/>
      <c r="DM483" s="712"/>
      <c r="DN483" s="712"/>
      <c r="DO483" s="712"/>
      <c r="DP483" s="712"/>
      <c r="DQ483" s="712"/>
      <c r="DR483" s="712"/>
      <c r="DS483" s="712"/>
      <c r="DT483" s="712"/>
      <c r="DU483" s="712"/>
      <c r="DV483" s="712"/>
      <c r="DW483" s="712"/>
      <c r="DX483" s="712"/>
      <c r="DY483" s="712"/>
      <c r="DZ483" s="712"/>
      <c r="EA483" s="712"/>
      <c r="EB483" s="712"/>
      <c r="EC483" s="712"/>
      <c r="ED483" s="712"/>
      <c r="EE483" s="712"/>
      <c r="EF483" s="712"/>
      <c r="EG483" s="712"/>
      <c r="EH483" s="712"/>
      <c r="EI483" s="712"/>
      <c r="EJ483" s="712"/>
      <c r="EK483" s="712"/>
      <c r="EL483" s="712"/>
      <c r="EM483" s="712"/>
      <c r="EN483" s="712"/>
      <c r="EO483" s="712"/>
      <c r="EP483" s="712"/>
      <c r="EQ483" s="712"/>
      <c r="ER483" s="712"/>
      <c r="ES483" s="712"/>
      <c r="ET483" s="794"/>
      <c r="EU483" s="794"/>
      <c r="EV483" s="794"/>
      <c r="EW483" s="794"/>
      <c r="EX483" s="794"/>
      <c r="EY483" s="794"/>
      <c r="EZ483" s="794"/>
      <c r="FA483" s="712"/>
      <c r="FB483" s="712"/>
      <c r="FC483" s="712"/>
      <c r="FD483" s="712"/>
      <c r="FE483" s="712"/>
      <c r="FF483" s="712"/>
      <c r="FG483" s="712"/>
      <c r="FH483" s="712"/>
      <c r="FI483" s="712"/>
      <c r="FJ483" s="712"/>
      <c r="FK483" s="712"/>
      <c r="FL483" s="712"/>
      <c r="FM483" s="712"/>
      <c r="FN483" s="712"/>
      <c r="FO483" s="712"/>
      <c r="FP483" s="712"/>
      <c r="FQ483" s="712"/>
      <c r="FR483" s="712"/>
      <c r="FS483" s="712"/>
      <c r="FT483" s="712"/>
      <c r="FU483" s="712"/>
      <c r="FV483" s="712"/>
      <c r="FW483" s="712"/>
      <c r="FX483" s="712"/>
      <c r="FZ483" s="712"/>
      <c r="GA483" s="712"/>
      <c r="GB483" s="712"/>
      <c r="GC483" s="712"/>
      <c r="GD483" s="712"/>
      <c r="GE483" s="712"/>
      <c r="GF483" s="712"/>
      <c r="GG483" s="712"/>
      <c r="GH483" s="712"/>
      <c r="GI483" s="712"/>
      <c r="GJ483" s="712"/>
      <c r="GK483" s="712"/>
      <c r="GL483" s="712"/>
      <c r="GM483" s="712"/>
      <c r="GN483" s="712"/>
      <c r="GO483" s="712"/>
      <c r="GP483" s="712"/>
      <c r="GQ483" s="712"/>
      <c r="GR483" s="712"/>
      <c r="GS483" s="712"/>
      <c r="GT483" s="712"/>
      <c r="GU483" s="712"/>
      <c r="GV483" s="712"/>
      <c r="GW483" s="712"/>
      <c r="GX483" s="712"/>
      <c r="GY483" s="712"/>
      <c r="GZ483" s="712"/>
      <c r="HA483" s="712"/>
      <c r="HB483" s="712"/>
      <c r="HC483" s="712"/>
    </row>
    <row r="484" spans="1:211">
      <c r="A484" s="707"/>
      <c r="G484" s="712"/>
      <c r="H484" s="712"/>
      <c r="I484" s="712"/>
      <c r="J484" s="712"/>
      <c r="K484" s="712"/>
      <c r="L484" s="712"/>
      <c r="M484" s="712"/>
      <c r="N484" s="712"/>
      <c r="O484" s="712"/>
      <c r="P484" s="712"/>
      <c r="Q484" s="712"/>
      <c r="R484" s="712"/>
      <c r="S484" s="712"/>
      <c r="T484" s="712"/>
      <c r="U484" s="712"/>
      <c r="V484" s="712"/>
      <c r="W484" s="712"/>
      <c r="X484" s="712"/>
      <c r="Y484" s="712"/>
      <c r="Z484" s="712"/>
      <c r="AA484" s="712"/>
      <c r="AB484" s="712"/>
      <c r="AC484" s="712"/>
      <c r="AD484" s="712"/>
      <c r="AE484" s="712"/>
      <c r="AF484" s="712"/>
      <c r="AG484" s="712"/>
      <c r="AH484" s="712"/>
      <c r="AI484" s="712"/>
      <c r="AJ484" s="712"/>
      <c r="AK484" s="712"/>
      <c r="AL484" s="712"/>
      <c r="AM484" s="712"/>
      <c r="AN484" s="712"/>
      <c r="AO484" s="712"/>
      <c r="AP484" s="712"/>
      <c r="AQ484" s="712"/>
      <c r="AR484" s="712"/>
      <c r="AS484" s="712"/>
      <c r="AT484" s="712"/>
      <c r="AU484" s="712"/>
      <c r="AV484" s="712"/>
      <c r="AW484" s="712"/>
      <c r="AX484" s="712"/>
      <c r="AY484" s="712"/>
      <c r="AZ484" s="712"/>
      <c r="BA484" s="712"/>
      <c r="BB484" s="712"/>
      <c r="BC484" s="712"/>
      <c r="BD484" s="712"/>
      <c r="BE484" s="712"/>
      <c r="BF484" s="712"/>
      <c r="BG484" s="712"/>
      <c r="BH484" s="712"/>
      <c r="BI484" s="712"/>
      <c r="BJ484" s="712"/>
      <c r="BK484" s="712"/>
      <c r="BL484" s="712"/>
      <c r="BM484" s="712"/>
      <c r="BN484" s="712"/>
      <c r="BO484" s="712"/>
      <c r="BP484" s="712"/>
      <c r="BQ484" s="712"/>
      <c r="BR484" s="712"/>
      <c r="BS484" s="712"/>
      <c r="BT484" s="712"/>
      <c r="BU484" s="712"/>
      <c r="BV484" s="712"/>
      <c r="BW484" s="712"/>
      <c r="BX484" s="712"/>
      <c r="BY484" s="712"/>
      <c r="BZ484" s="712"/>
      <c r="CA484" s="712"/>
      <c r="CB484" s="712"/>
      <c r="CC484" s="712"/>
      <c r="CD484" s="712"/>
      <c r="CE484" s="712"/>
      <c r="CF484" s="712"/>
      <c r="CG484" s="712"/>
      <c r="CH484" s="712"/>
      <c r="CI484" s="712"/>
      <c r="CJ484" s="712"/>
      <c r="CK484" s="712"/>
      <c r="CL484" s="712"/>
      <c r="CM484" s="712"/>
      <c r="CN484" s="712"/>
      <c r="CO484" s="712"/>
      <c r="CP484" s="712"/>
      <c r="CQ484" s="712"/>
      <c r="CR484" s="712"/>
      <c r="CS484" s="712"/>
      <c r="CT484" s="712"/>
      <c r="CU484" s="712"/>
      <c r="CV484" s="712"/>
      <c r="CW484" s="712"/>
      <c r="CX484" s="712"/>
      <c r="CY484" s="712"/>
      <c r="CZ484" s="712"/>
      <c r="DA484" s="712"/>
      <c r="DB484" s="712"/>
      <c r="DC484" s="712"/>
      <c r="DD484" s="712"/>
      <c r="DE484" s="712"/>
      <c r="DF484" s="712"/>
      <c r="DG484" s="712"/>
      <c r="DH484" s="712"/>
      <c r="DI484" s="712"/>
      <c r="DJ484" s="712"/>
      <c r="DK484" s="712"/>
      <c r="DL484" s="712"/>
      <c r="DM484" s="712"/>
      <c r="DN484" s="712"/>
      <c r="DO484" s="712"/>
      <c r="DP484" s="712"/>
      <c r="DQ484" s="712"/>
      <c r="DR484" s="712"/>
      <c r="DS484" s="712"/>
      <c r="DT484" s="712"/>
      <c r="DU484" s="712"/>
      <c r="DV484" s="712"/>
      <c r="DW484" s="712"/>
      <c r="DX484" s="712"/>
      <c r="DY484" s="712"/>
      <c r="DZ484" s="712"/>
      <c r="EA484" s="712"/>
      <c r="EB484" s="712"/>
      <c r="EC484" s="712"/>
      <c r="ED484" s="712"/>
      <c r="EE484" s="712"/>
      <c r="EF484" s="712"/>
      <c r="EG484" s="712"/>
      <c r="EH484" s="712"/>
      <c r="EI484" s="712"/>
      <c r="EJ484" s="712"/>
      <c r="EK484" s="712"/>
      <c r="EL484" s="712"/>
      <c r="EM484" s="712"/>
      <c r="EN484" s="712"/>
      <c r="EO484" s="712"/>
      <c r="EP484" s="712"/>
      <c r="EQ484" s="712"/>
      <c r="ER484" s="712"/>
      <c r="ES484" s="712"/>
      <c r="ET484" s="794"/>
      <c r="EU484" s="794"/>
      <c r="EV484" s="794"/>
      <c r="EW484" s="794"/>
      <c r="EX484" s="794"/>
      <c r="EY484" s="794"/>
      <c r="EZ484" s="794"/>
      <c r="FA484" s="712"/>
      <c r="FB484" s="712"/>
      <c r="FC484" s="712"/>
      <c r="FD484" s="712"/>
      <c r="FE484" s="712"/>
      <c r="FF484" s="712"/>
      <c r="FG484" s="712"/>
      <c r="FH484" s="712"/>
      <c r="FI484" s="712"/>
      <c r="FJ484" s="712"/>
      <c r="FK484" s="712"/>
      <c r="FL484" s="712"/>
      <c r="FM484" s="712"/>
      <c r="FN484" s="712"/>
      <c r="FO484" s="712"/>
      <c r="FP484" s="712"/>
      <c r="FQ484" s="712"/>
      <c r="FR484" s="712"/>
      <c r="FS484" s="712"/>
      <c r="FT484" s="712"/>
      <c r="FU484" s="712"/>
      <c r="FV484" s="712"/>
      <c r="FW484" s="712"/>
      <c r="FX484" s="712"/>
      <c r="FZ484" s="712"/>
      <c r="GA484" s="712"/>
      <c r="GB484" s="712"/>
      <c r="GC484" s="712"/>
      <c r="GD484" s="712"/>
      <c r="GE484" s="712"/>
      <c r="GF484" s="712"/>
      <c r="GG484" s="712"/>
      <c r="GH484" s="712"/>
      <c r="GI484" s="712"/>
      <c r="GJ484" s="712"/>
      <c r="GK484" s="712"/>
      <c r="GL484" s="712"/>
      <c r="GM484" s="712"/>
      <c r="GN484" s="712"/>
      <c r="GO484" s="712"/>
      <c r="GP484" s="712"/>
      <c r="GQ484" s="712"/>
      <c r="GR484" s="712"/>
      <c r="GS484" s="712"/>
      <c r="GT484" s="712"/>
      <c r="GU484" s="712"/>
      <c r="GV484" s="712"/>
      <c r="GW484" s="712"/>
      <c r="GX484" s="712"/>
      <c r="GY484" s="712"/>
      <c r="GZ484" s="712"/>
      <c r="HA484" s="712"/>
      <c r="HB484" s="712"/>
      <c r="HC484" s="712"/>
    </row>
    <row r="485" spans="1:211">
      <c r="A485" s="707"/>
      <c r="G485" s="712"/>
      <c r="H485" s="712"/>
      <c r="I485" s="712"/>
      <c r="J485" s="712"/>
      <c r="K485" s="712"/>
      <c r="L485" s="712"/>
      <c r="M485" s="712"/>
      <c r="N485" s="712"/>
      <c r="O485" s="712"/>
      <c r="P485" s="712"/>
      <c r="Q485" s="712"/>
      <c r="R485" s="712"/>
      <c r="S485" s="712"/>
      <c r="T485" s="712"/>
      <c r="U485" s="712"/>
      <c r="V485" s="712"/>
      <c r="W485" s="712"/>
      <c r="X485" s="712"/>
      <c r="Y485" s="712"/>
      <c r="Z485" s="712"/>
      <c r="AA485" s="712"/>
      <c r="AB485" s="712"/>
      <c r="AC485" s="712"/>
      <c r="AD485" s="712"/>
      <c r="AE485" s="712"/>
      <c r="AF485" s="712"/>
      <c r="AG485" s="712"/>
      <c r="AH485" s="712"/>
      <c r="AI485" s="712"/>
      <c r="AJ485" s="712"/>
      <c r="AK485" s="712"/>
      <c r="AL485" s="712"/>
      <c r="AM485" s="712"/>
      <c r="AN485" s="712"/>
      <c r="AO485" s="712"/>
      <c r="AP485" s="712"/>
      <c r="AQ485" s="712"/>
      <c r="AR485" s="712"/>
      <c r="AS485" s="712"/>
      <c r="AT485" s="712"/>
      <c r="AU485" s="712"/>
      <c r="AV485" s="712"/>
      <c r="AW485" s="712"/>
      <c r="AX485" s="712"/>
      <c r="AY485" s="712"/>
      <c r="AZ485" s="712"/>
      <c r="BA485" s="712"/>
      <c r="BB485" s="712"/>
      <c r="BC485" s="712"/>
      <c r="BD485" s="712"/>
      <c r="BE485" s="712"/>
      <c r="BF485" s="712"/>
      <c r="BG485" s="712"/>
      <c r="BH485" s="712"/>
      <c r="BI485" s="712"/>
      <c r="BJ485" s="712"/>
      <c r="BK485" s="712"/>
      <c r="BL485" s="712"/>
      <c r="BM485" s="712"/>
      <c r="BN485" s="712"/>
      <c r="BO485" s="712"/>
      <c r="BP485" s="712"/>
      <c r="BQ485" s="712"/>
      <c r="BR485" s="712"/>
      <c r="BS485" s="712"/>
      <c r="BT485" s="712"/>
      <c r="BU485" s="712"/>
      <c r="BV485" s="712"/>
      <c r="BW485" s="712"/>
      <c r="BX485" s="712"/>
      <c r="BY485" s="712"/>
      <c r="BZ485" s="712"/>
      <c r="CA485" s="712"/>
      <c r="CB485" s="712"/>
      <c r="CC485" s="712"/>
      <c r="CD485" s="712"/>
      <c r="CE485" s="712"/>
      <c r="CF485" s="712"/>
      <c r="CG485" s="712"/>
      <c r="CH485" s="712"/>
      <c r="CI485" s="712"/>
      <c r="CJ485" s="712"/>
      <c r="CK485" s="712"/>
      <c r="CL485" s="712"/>
      <c r="CM485" s="712"/>
      <c r="CN485" s="712"/>
      <c r="CO485" s="712"/>
      <c r="CP485" s="712"/>
      <c r="CQ485" s="712"/>
      <c r="CR485" s="712"/>
      <c r="CS485" s="712"/>
      <c r="CT485" s="712"/>
      <c r="CU485" s="712"/>
      <c r="CV485" s="712"/>
      <c r="CW485" s="712"/>
      <c r="CX485" s="712"/>
      <c r="CY485" s="712"/>
      <c r="CZ485" s="712"/>
      <c r="DA485" s="712"/>
      <c r="DB485" s="712"/>
      <c r="DC485" s="712"/>
      <c r="DD485" s="712"/>
      <c r="DE485" s="712"/>
      <c r="DF485" s="712"/>
      <c r="DG485" s="712"/>
      <c r="DH485" s="712"/>
      <c r="DI485" s="712"/>
      <c r="DJ485" s="712"/>
      <c r="DK485" s="712"/>
      <c r="DL485" s="712"/>
      <c r="DM485" s="712"/>
      <c r="DN485" s="712"/>
      <c r="DO485" s="712"/>
      <c r="DP485" s="712"/>
      <c r="DQ485" s="712"/>
      <c r="DR485" s="712"/>
      <c r="DS485" s="712"/>
      <c r="DT485" s="712"/>
      <c r="DU485" s="712"/>
      <c r="DV485" s="712"/>
      <c r="DW485" s="712"/>
      <c r="DX485" s="712"/>
      <c r="DY485" s="712"/>
      <c r="DZ485" s="712"/>
      <c r="EA485" s="712"/>
      <c r="EB485" s="712"/>
      <c r="EC485" s="712"/>
      <c r="ED485" s="712"/>
      <c r="EE485" s="712"/>
      <c r="EF485" s="712"/>
      <c r="EG485" s="712"/>
      <c r="EH485" s="712"/>
      <c r="EI485" s="712"/>
      <c r="EJ485" s="712"/>
      <c r="EK485" s="712"/>
      <c r="EL485" s="712"/>
      <c r="EM485" s="712"/>
      <c r="EN485" s="712"/>
      <c r="EO485" s="712"/>
      <c r="EP485" s="712"/>
      <c r="EQ485" s="712"/>
      <c r="ER485" s="712"/>
      <c r="ES485" s="712"/>
      <c r="ET485" s="794"/>
      <c r="EU485" s="794"/>
      <c r="EV485" s="794"/>
      <c r="EW485" s="794"/>
      <c r="EX485" s="794"/>
      <c r="EY485" s="794"/>
      <c r="EZ485" s="794"/>
      <c r="FA485" s="712"/>
      <c r="FB485" s="712"/>
      <c r="FC485" s="712"/>
      <c r="FD485" s="712"/>
      <c r="FE485" s="712"/>
      <c r="FF485" s="712"/>
      <c r="FG485" s="712"/>
      <c r="FH485" s="712"/>
      <c r="FI485" s="712"/>
      <c r="FJ485" s="712"/>
      <c r="FK485" s="712"/>
      <c r="FL485" s="712"/>
      <c r="FM485" s="712"/>
      <c r="FN485" s="712"/>
      <c r="FO485" s="712"/>
      <c r="FP485" s="712"/>
      <c r="FQ485" s="712"/>
      <c r="FR485" s="712"/>
      <c r="FS485" s="712"/>
      <c r="FT485" s="712"/>
      <c r="FU485" s="712"/>
      <c r="FV485" s="712"/>
      <c r="FW485" s="712"/>
      <c r="FX485" s="712"/>
      <c r="FZ485" s="712"/>
      <c r="GA485" s="712"/>
      <c r="GB485" s="712"/>
      <c r="GC485" s="712"/>
      <c r="GD485" s="712"/>
      <c r="GE485" s="712"/>
      <c r="GF485" s="712"/>
      <c r="GG485" s="712"/>
      <c r="GH485" s="712"/>
      <c r="GI485" s="712"/>
      <c r="GJ485" s="712"/>
      <c r="GK485" s="712"/>
      <c r="GL485" s="712"/>
      <c r="GM485" s="712"/>
      <c r="GN485" s="712"/>
      <c r="GO485" s="712"/>
      <c r="GP485" s="712"/>
      <c r="GQ485" s="712"/>
      <c r="GR485" s="712"/>
      <c r="GS485" s="712"/>
      <c r="GT485" s="712"/>
      <c r="GU485" s="712"/>
      <c r="GV485" s="712"/>
      <c r="GW485" s="712"/>
      <c r="GX485" s="712"/>
      <c r="GY485" s="712"/>
      <c r="GZ485" s="712"/>
      <c r="HA485" s="712"/>
      <c r="HB485" s="712"/>
      <c r="HC485" s="712"/>
    </row>
    <row r="486" spans="1:211">
      <c r="A486" s="707"/>
      <c r="G486" s="712"/>
      <c r="H486" s="712"/>
      <c r="I486" s="712"/>
      <c r="J486" s="712"/>
      <c r="K486" s="712"/>
      <c r="L486" s="712"/>
      <c r="M486" s="712"/>
      <c r="N486" s="712"/>
      <c r="O486" s="712"/>
      <c r="P486" s="712"/>
      <c r="Q486" s="712"/>
      <c r="R486" s="712"/>
      <c r="S486" s="712"/>
      <c r="T486" s="712"/>
      <c r="U486" s="712"/>
      <c r="V486" s="712"/>
      <c r="W486" s="712"/>
      <c r="X486" s="712"/>
      <c r="Y486" s="712"/>
      <c r="Z486" s="712"/>
      <c r="AA486" s="712"/>
      <c r="AB486" s="712"/>
      <c r="AC486" s="712"/>
      <c r="AD486" s="712"/>
      <c r="AE486" s="712"/>
      <c r="AF486" s="712"/>
      <c r="AG486" s="712"/>
      <c r="AH486" s="712"/>
      <c r="AI486" s="712"/>
      <c r="AJ486" s="712"/>
      <c r="AK486" s="712"/>
      <c r="AL486" s="712"/>
      <c r="AM486" s="712"/>
      <c r="AN486" s="712"/>
      <c r="AO486" s="712"/>
      <c r="AP486" s="712"/>
      <c r="AQ486" s="712"/>
      <c r="AR486" s="712"/>
      <c r="AS486" s="712"/>
      <c r="AT486" s="712"/>
      <c r="AU486" s="712"/>
      <c r="AV486" s="712"/>
      <c r="AW486" s="712"/>
      <c r="AX486" s="712"/>
      <c r="AY486" s="712"/>
      <c r="AZ486" s="712"/>
      <c r="BA486" s="712"/>
      <c r="BB486" s="712"/>
      <c r="BC486" s="712"/>
      <c r="BD486" s="712"/>
      <c r="BE486" s="712"/>
      <c r="BF486" s="712"/>
      <c r="BG486" s="712"/>
      <c r="BH486" s="712"/>
      <c r="BI486" s="712"/>
      <c r="BJ486" s="712"/>
      <c r="BK486" s="712"/>
      <c r="BL486" s="712"/>
      <c r="BM486" s="712"/>
      <c r="BN486" s="712"/>
      <c r="BO486" s="712"/>
      <c r="BP486" s="712"/>
      <c r="BQ486" s="712"/>
      <c r="BR486" s="712"/>
      <c r="BS486" s="712"/>
      <c r="BT486" s="712"/>
      <c r="BU486" s="712"/>
      <c r="BV486" s="712"/>
      <c r="BW486" s="712"/>
      <c r="BX486" s="712"/>
      <c r="BY486" s="712"/>
      <c r="BZ486" s="712"/>
      <c r="CA486" s="712"/>
      <c r="CB486" s="712"/>
      <c r="CC486" s="712"/>
      <c r="CD486" s="712"/>
      <c r="CE486" s="712"/>
      <c r="CF486" s="712"/>
      <c r="CG486" s="712"/>
      <c r="CH486" s="712"/>
      <c r="CI486" s="712"/>
      <c r="CJ486" s="712"/>
      <c r="CK486" s="712"/>
      <c r="CL486" s="712"/>
      <c r="CM486" s="712"/>
      <c r="CN486" s="712"/>
      <c r="CO486" s="712"/>
      <c r="CP486" s="712"/>
      <c r="CQ486" s="712"/>
      <c r="CR486" s="712"/>
      <c r="CS486" s="712"/>
      <c r="CT486" s="712"/>
      <c r="CU486" s="712"/>
      <c r="CV486" s="712"/>
      <c r="CW486" s="712"/>
      <c r="CX486" s="712"/>
      <c r="CY486" s="712"/>
      <c r="CZ486" s="712"/>
      <c r="DA486" s="712"/>
      <c r="DB486" s="712"/>
      <c r="DC486" s="712"/>
      <c r="DD486" s="712"/>
      <c r="DE486" s="712"/>
      <c r="DF486" s="712"/>
      <c r="DG486" s="712"/>
      <c r="DH486" s="712"/>
      <c r="DI486" s="712"/>
      <c r="DJ486" s="712"/>
      <c r="DK486" s="712"/>
      <c r="DL486" s="712"/>
      <c r="DM486" s="712"/>
      <c r="DN486" s="712"/>
      <c r="DO486" s="712"/>
      <c r="DP486" s="712"/>
      <c r="DQ486" s="712"/>
      <c r="DR486" s="712"/>
      <c r="DS486" s="712"/>
      <c r="DT486" s="712"/>
      <c r="DU486" s="712"/>
      <c r="DV486" s="712"/>
      <c r="DW486" s="712"/>
      <c r="DX486" s="712"/>
      <c r="DY486" s="712"/>
      <c r="DZ486" s="712"/>
      <c r="EA486" s="712"/>
      <c r="EB486" s="712"/>
      <c r="EC486" s="712"/>
      <c r="ED486" s="712"/>
      <c r="EE486" s="712"/>
      <c r="EF486" s="712"/>
      <c r="EG486" s="712"/>
      <c r="EH486" s="712"/>
      <c r="EI486" s="712"/>
      <c r="EJ486" s="712"/>
      <c r="EK486" s="712"/>
      <c r="EL486" s="712"/>
      <c r="EM486" s="712"/>
      <c r="EN486" s="712"/>
      <c r="EO486" s="712"/>
      <c r="EP486" s="712"/>
      <c r="EQ486" s="712"/>
      <c r="ER486" s="712"/>
      <c r="ES486" s="712"/>
      <c r="ET486" s="794"/>
      <c r="EU486" s="794"/>
      <c r="EV486" s="794"/>
      <c r="EW486" s="794"/>
      <c r="EX486" s="794"/>
      <c r="EY486" s="794"/>
      <c r="EZ486" s="794"/>
      <c r="FA486" s="712"/>
      <c r="FB486" s="712"/>
      <c r="FC486" s="712"/>
      <c r="FD486" s="712"/>
      <c r="FE486" s="712"/>
      <c r="FF486" s="712"/>
      <c r="FG486" s="712"/>
      <c r="FH486" s="712"/>
      <c r="FI486" s="712"/>
      <c r="FJ486" s="712"/>
      <c r="FK486" s="712"/>
      <c r="FL486" s="712"/>
      <c r="FM486" s="712"/>
      <c r="FN486" s="712"/>
      <c r="FO486" s="712"/>
      <c r="FP486" s="712"/>
      <c r="FQ486" s="712"/>
      <c r="FR486" s="712"/>
      <c r="FS486" s="712"/>
      <c r="FT486" s="712"/>
      <c r="FU486" s="712"/>
      <c r="FV486" s="712"/>
      <c r="FW486" s="712"/>
      <c r="FX486" s="712"/>
      <c r="FZ486" s="712"/>
      <c r="GA486" s="712"/>
      <c r="GB486" s="712"/>
      <c r="GC486" s="712"/>
      <c r="GD486" s="712"/>
      <c r="GE486" s="712"/>
      <c r="GF486" s="712"/>
      <c r="GG486" s="712"/>
      <c r="GH486" s="712"/>
      <c r="GI486" s="712"/>
      <c r="GJ486" s="712"/>
      <c r="GK486" s="712"/>
      <c r="GL486" s="712"/>
      <c r="GM486" s="712"/>
      <c r="GN486" s="712"/>
      <c r="GO486" s="712"/>
      <c r="GP486" s="712"/>
      <c r="GQ486" s="712"/>
      <c r="GR486" s="712"/>
      <c r="GS486" s="712"/>
      <c r="GT486" s="712"/>
      <c r="GU486" s="712"/>
      <c r="GV486" s="712"/>
      <c r="GW486" s="712"/>
      <c r="GX486" s="712"/>
      <c r="GY486" s="712"/>
      <c r="GZ486" s="712"/>
      <c r="HA486" s="712"/>
      <c r="HB486" s="712"/>
      <c r="HC486" s="712"/>
    </row>
    <row r="487" spans="1:211">
      <c r="A487" s="707"/>
      <c r="G487" s="712"/>
      <c r="H487" s="712"/>
      <c r="I487" s="712"/>
      <c r="J487" s="712"/>
      <c r="K487" s="712"/>
      <c r="L487" s="712"/>
      <c r="M487" s="712"/>
      <c r="N487" s="712"/>
      <c r="O487" s="712"/>
      <c r="P487" s="712"/>
      <c r="Q487" s="712"/>
      <c r="R487" s="712"/>
      <c r="S487" s="712"/>
      <c r="T487" s="712"/>
      <c r="U487" s="712"/>
      <c r="V487" s="712"/>
      <c r="W487" s="712"/>
      <c r="X487" s="712"/>
      <c r="Y487" s="712"/>
      <c r="Z487" s="712"/>
      <c r="AA487" s="712"/>
      <c r="AB487" s="712"/>
      <c r="AC487" s="712"/>
      <c r="AD487" s="712"/>
      <c r="AE487" s="712"/>
      <c r="AF487" s="712"/>
      <c r="AG487" s="712"/>
      <c r="AH487" s="712"/>
      <c r="AI487" s="712"/>
      <c r="AJ487" s="712"/>
      <c r="AK487" s="712"/>
      <c r="AL487" s="712"/>
      <c r="AM487" s="712"/>
      <c r="AN487" s="712"/>
      <c r="AO487" s="712"/>
      <c r="AP487" s="712"/>
      <c r="AQ487" s="712"/>
      <c r="AR487" s="712"/>
      <c r="AS487" s="712"/>
      <c r="AT487" s="712"/>
      <c r="AU487" s="712"/>
      <c r="AV487" s="712"/>
      <c r="AW487" s="712"/>
      <c r="AX487" s="712"/>
      <c r="AY487" s="712"/>
      <c r="AZ487" s="712"/>
      <c r="BA487" s="712"/>
      <c r="BB487" s="712"/>
      <c r="BC487" s="712"/>
      <c r="BD487" s="712"/>
      <c r="BE487" s="712"/>
      <c r="BF487" s="712"/>
      <c r="BG487" s="712"/>
      <c r="BH487" s="712"/>
      <c r="BI487" s="712"/>
      <c r="BJ487" s="712"/>
      <c r="BK487" s="712"/>
      <c r="BL487" s="712"/>
      <c r="BM487" s="712"/>
      <c r="BN487" s="712"/>
      <c r="BO487" s="712"/>
      <c r="BP487" s="712"/>
      <c r="BQ487" s="712"/>
      <c r="BR487" s="712"/>
      <c r="BS487" s="712"/>
      <c r="BT487" s="712"/>
      <c r="BU487" s="712"/>
      <c r="BV487" s="712"/>
      <c r="BW487" s="712"/>
      <c r="BX487" s="712"/>
      <c r="BY487" s="712"/>
      <c r="BZ487" s="712"/>
      <c r="CA487" s="712"/>
      <c r="CB487" s="712"/>
      <c r="CC487" s="712"/>
      <c r="CD487" s="712"/>
      <c r="CE487" s="712"/>
      <c r="CF487" s="712"/>
      <c r="CG487" s="712"/>
      <c r="CH487" s="712"/>
      <c r="CI487" s="712"/>
      <c r="CJ487" s="712"/>
      <c r="CK487" s="712"/>
      <c r="CL487" s="712"/>
      <c r="CM487" s="712"/>
      <c r="CN487" s="712"/>
      <c r="CO487" s="712"/>
      <c r="CP487" s="712"/>
      <c r="CQ487" s="712"/>
      <c r="CR487" s="712"/>
      <c r="CS487" s="712"/>
      <c r="CT487" s="712"/>
      <c r="CU487" s="712"/>
      <c r="CV487" s="712"/>
      <c r="CW487" s="712"/>
      <c r="CX487" s="712"/>
      <c r="CY487" s="712"/>
      <c r="CZ487" s="712"/>
      <c r="DA487" s="712"/>
      <c r="DB487" s="712"/>
      <c r="DC487" s="712"/>
      <c r="DD487" s="712"/>
      <c r="DE487" s="712"/>
      <c r="DF487" s="712"/>
      <c r="DG487" s="712"/>
      <c r="DH487" s="712"/>
      <c r="DI487" s="712"/>
      <c r="DJ487" s="712"/>
      <c r="DK487" s="712"/>
      <c r="DL487" s="712"/>
      <c r="DM487" s="712"/>
      <c r="DN487" s="712"/>
      <c r="DO487" s="712"/>
      <c r="DP487" s="712"/>
      <c r="DQ487" s="712"/>
      <c r="DR487" s="712"/>
      <c r="DS487" s="712"/>
      <c r="DT487" s="712"/>
      <c r="DU487" s="712"/>
      <c r="DV487" s="712"/>
      <c r="DW487" s="712"/>
      <c r="DX487" s="712"/>
      <c r="DY487" s="712"/>
      <c r="DZ487" s="712"/>
      <c r="EA487" s="712"/>
      <c r="EB487" s="712"/>
      <c r="EC487" s="712"/>
      <c r="ED487" s="712"/>
      <c r="EE487" s="712"/>
      <c r="EF487" s="712"/>
      <c r="EG487" s="712"/>
      <c r="EH487" s="712"/>
      <c r="EI487" s="712"/>
      <c r="EJ487" s="712"/>
      <c r="EK487" s="712"/>
      <c r="EL487" s="712"/>
      <c r="EM487" s="712"/>
      <c r="EN487" s="712"/>
      <c r="EO487" s="712"/>
      <c r="EP487" s="712"/>
      <c r="EQ487" s="712"/>
      <c r="ER487" s="712"/>
      <c r="ES487" s="712"/>
      <c r="ET487" s="794"/>
      <c r="EU487" s="794"/>
      <c r="EV487" s="794"/>
      <c r="EW487" s="794"/>
      <c r="EX487" s="794"/>
      <c r="EY487" s="794"/>
      <c r="EZ487" s="794"/>
      <c r="FA487" s="712"/>
      <c r="FB487" s="712"/>
      <c r="FC487" s="712"/>
      <c r="FD487" s="712"/>
      <c r="FE487" s="712"/>
      <c r="FF487" s="712"/>
      <c r="FG487" s="712"/>
      <c r="FH487" s="712"/>
      <c r="FI487" s="712"/>
      <c r="FJ487" s="712"/>
      <c r="FK487" s="712"/>
      <c r="FL487" s="712"/>
      <c r="FM487" s="712"/>
      <c r="FN487" s="712"/>
      <c r="FO487" s="712"/>
      <c r="FP487" s="712"/>
      <c r="FQ487" s="712"/>
      <c r="FR487" s="712"/>
      <c r="FS487" s="712"/>
      <c r="FT487" s="712"/>
      <c r="FU487" s="712"/>
      <c r="FV487" s="712"/>
      <c r="FW487" s="712"/>
      <c r="FX487" s="712"/>
      <c r="FZ487" s="712"/>
      <c r="GA487" s="712"/>
      <c r="GB487" s="712"/>
      <c r="GC487" s="712"/>
      <c r="GD487" s="712"/>
      <c r="GE487" s="712"/>
      <c r="GF487" s="712"/>
      <c r="GG487" s="712"/>
      <c r="GH487" s="712"/>
      <c r="GI487" s="712"/>
      <c r="GJ487" s="712"/>
      <c r="GK487" s="712"/>
      <c r="GL487" s="712"/>
      <c r="GM487" s="712"/>
      <c r="GN487" s="712"/>
      <c r="GO487" s="712"/>
      <c r="GP487" s="712"/>
      <c r="GQ487" s="712"/>
      <c r="GR487" s="712"/>
      <c r="GS487" s="712"/>
      <c r="GT487" s="712"/>
      <c r="GU487" s="712"/>
      <c r="GV487" s="712"/>
      <c r="GW487" s="712"/>
      <c r="GX487" s="712"/>
      <c r="GY487" s="712"/>
      <c r="GZ487" s="712"/>
      <c r="HA487" s="712"/>
      <c r="HB487" s="712"/>
      <c r="HC487" s="712"/>
    </row>
    <row r="488" spans="1:211">
      <c r="A488" s="707"/>
      <c r="G488" s="712"/>
      <c r="H488" s="712"/>
      <c r="I488" s="712"/>
      <c r="J488" s="712"/>
      <c r="K488" s="712"/>
      <c r="L488" s="712"/>
      <c r="M488" s="712"/>
      <c r="N488" s="712"/>
      <c r="O488" s="712"/>
      <c r="P488" s="712"/>
      <c r="Q488" s="712"/>
      <c r="R488" s="712"/>
      <c r="S488" s="712"/>
      <c r="T488" s="712"/>
      <c r="U488" s="712"/>
      <c r="V488" s="712"/>
      <c r="W488" s="712"/>
      <c r="X488" s="712"/>
      <c r="Y488" s="712"/>
      <c r="Z488" s="712"/>
      <c r="AA488" s="712"/>
      <c r="AB488" s="712"/>
      <c r="AC488" s="712"/>
      <c r="AD488" s="712"/>
      <c r="AE488" s="712"/>
      <c r="AF488" s="712"/>
      <c r="AG488" s="712"/>
      <c r="AH488" s="712"/>
      <c r="AI488" s="712"/>
      <c r="AJ488" s="712"/>
      <c r="AK488" s="712"/>
      <c r="AL488" s="712"/>
      <c r="AM488" s="712"/>
      <c r="AN488" s="712"/>
      <c r="AO488" s="712"/>
      <c r="AP488" s="712"/>
      <c r="AQ488" s="712"/>
      <c r="AR488" s="712"/>
      <c r="AS488" s="712"/>
      <c r="AT488" s="712"/>
      <c r="AU488" s="712"/>
      <c r="AV488" s="712"/>
      <c r="AW488" s="712"/>
      <c r="AX488" s="712"/>
      <c r="AY488" s="712"/>
      <c r="AZ488" s="712"/>
      <c r="BA488" s="712"/>
      <c r="BB488" s="712"/>
      <c r="BC488" s="712"/>
      <c r="BD488" s="712"/>
      <c r="BE488" s="712"/>
      <c r="BF488" s="712"/>
      <c r="BG488" s="712"/>
      <c r="BH488" s="712"/>
      <c r="BI488" s="712"/>
      <c r="BJ488" s="712"/>
      <c r="BK488" s="712"/>
      <c r="BL488" s="712"/>
      <c r="BM488" s="712"/>
      <c r="BN488" s="712"/>
      <c r="BO488" s="712"/>
      <c r="BP488" s="712"/>
      <c r="BQ488" s="712"/>
      <c r="BR488" s="712"/>
      <c r="BS488" s="712"/>
      <c r="BT488" s="712"/>
      <c r="BU488" s="712"/>
      <c r="BV488" s="712"/>
      <c r="BW488" s="712"/>
      <c r="BX488" s="712"/>
      <c r="BY488" s="712"/>
      <c r="BZ488" s="712"/>
      <c r="CA488" s="712"/>
      <c r="CB488" s="712"/>
      <c r="CC488" s="712"/>
      <c r="CD488" s="712"/>
      <c r="CE488" s="712"/>
      <c r="CF488" s="712"/>
      <c r="CG488" s="712"/>
      <c r="CH488" s="712"/>
      <c r="CI488" s="712"/>
      <c r="CJ488" s="712"/>
      <c r="CK488" s="712"/>
      <c r="CL488" s="712"/>
      <c r="CM488" s="712"/>
      <c r="CN488" s="712"/>
      <c r="CO488" s="712"/>
      <c r="CP488" s="712"/>
      <c r="CQ488" s="712"/>
      <c r="CR488" s="712"/>
      <c r="CS488" s="712"/>
      <c r="CT488" s="712"/>
      <c r="CU488" s="712"/>
      <c r="CV488" s="712"/>
      <c r="CW488" s="712"/>
      <c r="CX488" s="712"/>
      <c r="CY488" s="712"/>
      <c r="CZ488" s="712"/>
      <c r="DA488" s="712"/>
      <c r="DB488" s="712"/>
      <c r="DC488" s="712"/>
      <c r="DD488" s="712"/>
      <c r="DE488" s="712"/>
      <c r="DF488" s="712"/>
      <c r="DG488" s="712"/>
      <c r="DH488" s="712"/>
      <c r="DI488" s="712"/>
      <c r="DJ488" s="712"/>
      <c r="DK488" s="712"/>
      <c r="DL488" s="712"/>
      <c r="DM488" s="712"/>
      <c r="DN488" s="712"/>
      <c r="DO488" s="712"/>
      <c r="DP488" s="712"/>
      <c r="DQ488" s="712"/>
      <c r="DR488" s="712"/>
      <c r="DS488" s="712"/>
      <c r="DT488" s="712"/>
      <c r="DU488" s="712"/>
      <c r="DV488" s="712"/>
      <c r="DW488" s="712"/>
      <c r="DX488" s="712"/>
      <c r="DY488" s="712"/>
      <c r="DZ488" s="712"/>
      <c r="EA488" s="712"/>
      <c r="EB488" s="712"/>
      <c r="EC488" s="712"/>
      <c r="ED488" s="712"/>
      <c r="EE488" s="712"/>
      <c r="EF488" s="712"/>
      <c r="EG488" s="712"/>
      <c r="EH488" s="712"/>
      <c r="EI488" s="712"/>
      <c r="EJ488" s="712"/>
      <c r="EK488" s="712"/>
      <c r="EL488" s="712"/>
      <c r="EM488" s="712"/>
      <c r="EN488" s="712"/>
      <c r="EO488" s="712"/>
      <c r="EP488" s="712"/>
      <c r="EQ488" s="712"/>
      <c r="ER488" s="712"/>
      <c r="ES488" s="712"/>
      <c r="ET488" s="794"/>
      <c r="EU488" s="794"/>
      <c r="EV488" s="794"/>
      <c r="EW488" s="794"/>
      <c r="EX488" s="794"/>
      <c r="EY488" s="794"/>
      <c r="EZ488" s="794"/>
      <c r="FA488" s="712"/>
      <c r="FB488" s="712"/>
      <c r="FC488" s="712"/>
      <c r="FD488" s="712"/>
      <c r="FE488" s="712"/>
      <c r="FF488" s="712"/>
      <c r="FG488" s="712"/>
      <c r="FH488" s="712"/>
      <c r="FI488" s="712"/>
      <c r="FJ488" s="712"/>
      <c r="FK488" s="712"/>
      <c r="FL488" s="712"/>
      <c r="FM488" s="712"/>
      <c r="FN488" s="712"/>
      <c r="FO488" s="712"/>
      <c r="FP488" s="712"/>
      <c r="FQ488" s="712"/>
      <c r="FR488" s="712"/>
      <c r="FS488" s="712"/>
      <c r="FT488" s="712"/>
      <c r="FU488" s="712"/>
      <c r="FV488" s="712"/>
      <c r="FW488" s="712"/>
      <c r="FX488" s="712"/>
      <c r="FZ488" s="712"/>
      <c r="GA488" s="712"/>
      <c r="GB488" s="712"/>
      <c r="GC488" s="712"/>
      <c r="GD488" s="712"/>
      <c r="GE488" s="712"/>
      <c r="GF488" s="712"/>
      <c r="GG488" s="712"/>
      <c r="GH488" s="712"/>
      <c r="GI488" s="712"/>
      <c r="GJ488" s="712"/>
      <c r="GK488" s="712"/>
      <c r="GL488" s="712"/>
      <c r="GM488" s="712"/>
      <c r="GN488" s="712"/>
      <c r="GO488" s="712"/>
      <c r="GP488" s="712"/>
      <c r="GQ488" s="712"/>
      <c r="GR488" s="712"/>
      <c r="GS488" s="712"/>
      <c r="GT488" s="712"/>
      <c r="GU488" s="712"/>
      <c r="GV488" s="712"/>
      <c r="GW488" s="712"/>
      <c r="GX488" s="712"/>
      <c r="GY488" s="712"/>
      <c r="GZ488" s="712"/>
      <c r="HA488" s="712"/>
      <c r="HB488" s="712"/>
      <c r="HC488" s="712"/>
    </row>
    <row r="489" spans="1:211">
      <c r="A489" s="707"/>
      <c r="G489" s="712"/>
      <c r="H489" s="712"/>
      <c r="I489" s="712"/>
      <c r="J489" s="712"/>
      <c r="K489" s="712"/>
      <c r="L489" s="712"/>
      <c r="M489" s="712"/>
      <c r="N489" s="712"/>
      <c r="O489" s="712"/>
      <c r="P489" s="712"/>
      <c r="Q489" s="712"/>
      <c r="R489" s="712"/>
      <c r="S489" s="712"/>
      <c r="T489" s="712"/>
      <c r="U489" s="712"/>
      <c r="V489" s="712"/>
      <c r="W489" s="712"/>
      <c r="X489" s="712"/>
      <c r="Y489" s="712"/>
      <c r="Z489" s="712"/>
      <c r="AA489" s="712"/>
      <c r="AB489" s="712"/>
      <c r="AC489" s="712"/>
      <c r="AD489" s="712"/>
      <c r="AE489" s="712"/>
      <c r="AF489" s="712"/>
      <c r="AG489" s="712"/>
      <c r="AH489" s="712"/>
      <c r="AI489" s="712"/>
      <c r="AJ489" s="712"/>
      <c r="AK489" s="712"/>
      <c r="AL489" s="712"/>
      <c r="AM489" s="712"/>
      <c r="AN489" s="712"/>
      <c r="AO489" s="712"/>
      <c r="AP489" s="712"/>
      <c r="AQ489" s="712"/>
      <c r="AR489" s="712"/>
      <c r="AS489" s="712"/>
      <c r="AT489" s="712"/>
      <c r="AU489" s="712"/>
      <c r="AV489" s="712"/>
      <c r="AW489" s="712"/>
      <c r="AX489" s="712"/>
      <c r="AY489" s="712"/>
      <c r="AZ489" s="712"/>
      <c r="BA489" s="712"/>
      <c r="BB489" s="712"/>
      <c r="BC489" s="712"/>
      <c r="BD489" s="712"/>
      <c r="BE489" s="712"/>
      <c r="BF489" s="712"/>
      <c r="BG489" s="712"/>
      <c r="BH489" s="712"/>
      <c r="BI489" s="712"/>
      <c r="BJ489" s="712"/>
      <c r="BK489" s="712"/>
      <c r="BL489" s="712"/>
      <c r="BM489" s="712"/>
      <c r="BN489" s="712"/>
      <c r="BO489" s="712"/>
      <c r="BP489" s="712"/>
      <c r="BQ489" s="712"/>
      <c r="BR489" s="712"/>
      <c r="BS489" s="712"/>
      <c r="BT489" s="712"/>
      <c r="BU489" s="712"/>
      <c r="BV489" s="712"/>
      <c r="BW489" s="712"/>
      <c r="BX489" s="712"/>
      <c r="BY489" s="712"/>
      <c r="BZ489" s="712"/>
      <c r="CA489" s="712"/>
      <c r="CB489" s="712"/>
      <c r="CC489" s="712"/>
      <c r="CD489" s="712"/>
      <c r="CE489" s="712"/>
      <c r="CF489" s="712"/>
      <c r="CG489" s="712"/>
      <c r="CH489" s="712"/>
      <c r="CI489" s="712"/>
      <c r="CJ489" s="712"/>
      <c r="CK489" s="712"/>
      <c r="CL489" s="712"/>
      <c r="CM489" s="712"/>
      <c r="CN489" s="712"/>
      <c r="CO489" s="712"/>
      <c r="CP489" s="712"/>
      <c r="CQ489" s="712"/>
      <c r="CR489" s="712"/>
      <c r="CS489" s="712"/>
      <c r="CT489" s="712"/>
      <c r="CU489" s="712"/>
      <c r="CV489" s="712"/>
      <c r="CW489" s="712"/>
      <c r="CX489" s="712"/>
      <c r="CY489" s="712"/>
      <c r="CZ489" s="712"/>
      <c r="DA489" s="712"/>
      <c r="DB489" s="712"/>
      <c r="DC489" s="712"/>
      <c r="DD489" s="712"/>
      <c r="DE489" s="712"/>
      <c r="DF489" s="712"/>
      <c r="DG489" s="712"/>
      <c r="DH489" s="712"/>
      <c r="DI489" s="712"/>
      <c r="DJ489" s="712"/>
      <c r="DK489" s="712"/>
      <c r="DL489" s="712"/>
      <c r="DM489" s="712"/>
      <c r="DN489" s="712"/>
      <c r="DO489" s="712"/>
      <c r="DP489" s="712"/>
      <c r="DQ489" s="712"/>
      <c r="DR489" s="712"/>
      <c r="DS489" s="712"/>
      <c r="DT489" s="712"/>
      <c r="DU489" s="712"/>
      <c r="DV489" s="712"/>
      <c r="DW489" s="712"/>
      <c r="DX489" s="712"/>
      <c r="DY489" s="712"/>
      <c r="DZ489" s="712"/>
      <c r="EA489" s="712"/>
      <c r="EB489" s="712"/>
      <c r="EC489" s="712"/>
      <c r="ED489" s="712"/>
      <c r="EE489" s="712"/>
      <c r="EF489" s="712"/>
      <c r="EG489" s="712"/>
      <c r="EH489" s="712"/>
      <c r="EI489" s="712"/>
      <c r="EJ489" s="712"/>
      <c r="EK489" s="712"/>
      <c r="EL489" s="712"/>
      <c r="EM489" s="712"/>
      <c r="EN489" s="712"/>
      <c r="EO489" s="712"/>
      <c r="EP489" s="712"/>
      <c r="EQ489" s="712"/>
      <c r="ER489" s="712"/>
      <c r="ES489" s="712"/>
      <c r="ET489" s="794"/>
      <c r="EU489" s="794"/>
      <c r="EV489" s="794"/>
      <c r="EW489" s="794"/>
      <c r="EX489" s="794"/>
      <c r="EY489" s="794"/>
      <c r="EZ489" s="794"/>
      <c r="FA489" s="712"/>
      <c r="FB489" s="712"/>
      <c r="FC489" s="712"/>
      <c r="FD489" s="712"/>
      <c r="FE489" s="712"/>
      <c r="FF489" s="712"/>
      <c r="FG489" s="712"/>
      <c r="FH489" s="712"/>
      <c r="FI489" s="712"/>
      <c r="FJ489" s="712"/>
      <c r="FK489" s="712"/>
      <c r="FL489" s="712"/>
      <c r="FM489" s="712"/>
      <c r="FN489" s="712"/>
      <c r="FO489" s="712"/>
      <c r="FP489" s="712"/>
      <c r="FQ489" s="712"/>
      <c r="FR489" s="712"/>
      <c r="FS489" s="712"/>
      <c r="FT489" s="712"/>
      <c r="FU489" s="712"/>
      <c r="FV489" s="712"/>
      <c r="FW489" s="712"/>
      <c r="FX489" s="712"/>
      <c r="FZ489" s="712"/>
      <c r="GA489" s="712"/>
      <c r="GB489" s="712"/>
      <c r="GC489" s="712"/>
      <c r="GD489" s="712"/>
      <c r="GE489" s="712"/>
      <c r="GF489" s="712"/>
      <c r="GG489" s="712"/>
      <c r="GH489" s="712"/>
      <c r="GI489" s="712"/>
      <c r="GJ489" s="712"/>
      <c r="GK489" s="712"/>
      <c r="GL489" s="712"/>
      <c r="GM489" s="712"/>
      <c r="GN489" s="712"/>
      <c r="GO489" s="712"/>
      <c r="GP489" s="712"/>
      <c r="GQ489" s="712"/>
      <c r="GR489" s="712"/>
      <c r="GS489" s="712"/>
      <c r="GT489" s="712"/>
      <c r="GU489" s="712"/>
      <c r="GV489" s="712"/>
      <c r="GW489" s="712"/>
      <c r="GX489" s="712"/>
      <c r="GY489" s="712"/>
      <c r="GZ489" s="712"/>
      <c r="HA489" s="712"/>
      <c r="HB489" s="712"/>
      <c r="HC489" s="712"/>
    </row>
    <row r="490" spans="1:211">
      <c r="A490" s="707"/>
      <c r="G490" s="712"/>
      <c r="H490" s="712"/>
      <c r="I490" s="712"/>
      <c r="J490" s="712"/>
      <c r="K490" s="712"/>
      <c r="L490" s="712"/>
      <c r="M490" s="712"/>
      <c r="N490" s="712"/>
      <c r="O490" s="712"/>
      <c r="P490" s="712"/>
      <c r="Q490" s="712"/>
      <c r="R490" s="712"/>
      <c r="S490" s="712"/>
      <c r="T490" s="712"/>
      <c r="U490" s="712"/>
      <c r="V490" s="712"/>
      <c r="W490" s="712"/>
      <c r="X490" s="712"/>
      <c r="Y490" s="712"/>
      <c r="Z490" s="712"/>
      <c r="AA490" s="712"/>
      <c r="AB490" s="712"/>
      <c r="AC490" s="712"/>
      <c r="AD490" s="712"/>
      <c r="AE490" s="712"/>
      <c r="AF490" s="712"/>
      <c r="AG490" s="712"/>
      <c r="AH490" s="712"/>
      <c r="AI490" s="712"/>
      <c r="AJ490" s="712"/>
      <c r="AK490" s="712"/>
      <c r="AL490" s="712"/>
      <c r="AM490" s="712"/>
      <c r="AN490" s="712"/>
      <c r="AO490" s="712"/>
      <c r="AP490" s="712"/>
      <c r="AQ490" s="712"/>
      <c r="AR490" s="712"/>
      <c r="AS490" s="712"/>
      <c r="AT490" s="712"/>
      <c r="AU490" s="712"/>
      <c r="AV490" s="712"/>
      <c r="AW490" s="712"/>
      <c r="AX490" s="712"/>
      <c r="AY490" s="712"/>
      <c r="AZ490" s="712"/>
      <c r="BA490" s="712"/>
      <c r="BB490" s="712"/>
      <c r="BC490" s="712"/>
      <c r="BD490" s="712"/>
      <c r="BE490" s="712"/>
      <c r="BF490" s="712"/>
      <c r="BG490" s="712"/>
      <c r="BH490" s="712"/>
      <c r="BI490" s="712"/>
      <c r="BJ490" s="712"/>
      <c r="BK490" s="712"/>
      <c r="BL490" s="712"/>
      <c r="BM490" s="712"/>
      <c r="BN490" s="712"/>
      <c r="BO490" s="712"/>
      <c r="BP490" s="712"/>
      <c r="BQ490" s="712"/>
      <c r="BR490" s="712"/>
      <c r="BS490" s="712"/>
      <c r="BT490" s="712"/>
      <c r="BU490" s="712"/>
      <c r="BV490" s="712"/>
      <c r="BW490" s="712"/>
      <c r="BX490" s="712"/>
      <c r="BY490" s="712"/>
      <c r="BZ490" s="712"/>
      <c r="CA490" s="712"/>
      <c r="CB490" s="712"/>
      <c r="CC490" s="712"/>
      <c r="CD490" s="712"/>
      <c r="CE490" s="712"/>
      <c r="CF490" s="712"/>
      <c r="CG490" s="712"/>
      <c r="CH490" s="712"/>
      <c r="CI490" s="712"/>
      <c r="CJ490" s="712"/>
      <c r="CK490" s="712"/>
      <c r="CL490" s="712"/>
      <c r="CM490" s="712"/>
      <c r="CN490" s="712"/>
      <c r="CO490" s="712"/>
      <c r="CP490" s="712"/>
      <c r="CQ490" s="712"/>
      <c r="CR490" s="712"/>
      <c r="CS490" s="712"/>
      <c r="CT490" s="712"/>
      <c r="CU490" s="712"/>
      <c r="CV490" s="712"/>
      <c r="CW490" s="712"/>
      <c r="CX490" s="712"/>
      <c r="CY490" s="712"/>
      <c r="CZ490" s="712"/>
      <c r="DA490" s="712"/>
      <c r="DB490" s="712"/>
      <c r="DC490" s="712"/>
      <c r="DD490" s="712"/>
      <c r="DE490" s="712"/>
      <c r="DF490" s="712"/>
      <c r="DG490" s="712"/>
      <c r="DH490" s="712"/>
      <c r="DI490" s="712"/>
      <c r="DJ490" s="712"/>
      <c r="DK490" s="712"/>
      <c r="DL490" s="712"/>
      <c r="DM490" s="712"/>
      <c r="DN490" s="712"/>
      <c r="DO490" s="712"/>
      <c r="DP490" s="712"/>
      <c r="DQ490" s="712"/>
      <c r="DR490" s="712"/>
      <c r="DS490" s="712"/>
      <c r="DT490" s="712"/>
      <c r="DU490" s="712"/>
      <c r="DV490" s="712"/>
      <c r="DW490" s="712"/>
      <c r="DX490" s="712"/>
      <c r="DY490" s="712"/>
      <c r="DZ490" s="712"/>
      <c r="EA490" s="712"/>
      <c r="EB490" s="712"/>
      <c r="EC490" s="712"/>
      <c r="ED490" s="712"/>
      <c r="EE490" s="712"/>
      <c r="EF490" s="712"/>
      <c r="EG490" s="712"/>
      <c r="EH490" s="712"/>
      <c r="EI490" s="712"/>
      <c r="EJ490" s="712"/>
      <c r="EK490" s="712"/>
      <c r="EL490" s="712"/>
      <c r="EM490" s="712"/>
      <c r="EN490" s="712"/>
      <c r="EO490" s="712"/>
      <c r="EP490" s="712"/>
      <c r="EQ490" s="712"/>
      <c r="ER490" s="712"/>
      <c r="ES490" s="712"/>
      <c r="ET490" s="794"/>
      <c r="EU490" s="794"/>
      <c r="EV490" s="794"/>
      <c r="EW490" s="794"/>
      <c r="EX490" s="794"/>
      <c r="EY490" s="794"/>
      <c r="EZ490" s="794"/>
      <c r="FA490" s="712"/>
      <c r="FB490" s="712"/>
      <c r="FC490" s="712"/>
      <c r="FD490" s="712"/>
      <c r="FE490" s="712"/>
      <c r="FF490" s="712"/>
      <c r="FG490" s="712"/>
      <c r="FH490" s="712"/>
      <c r="FI490" s="712"/>
      <c r="FJ490" s="712"/>
      <c r="FK490" s="712"/>
      <c r="FL490" s="712"/>
      <c r="FM490" s="712"/>
      <c r="FN490" s="712"/>
      <c r="FO490" s="712"/>
      <c r="FP490" s="712"/>
      <c r="FQ490" s="712"/>
      <c r="FR490" s="712"/>
      <c r="FS490" s="712"/>
      <c r="FT490" s="712"/>
      <c r="FU490" s="712"/>
      <c r="FV490" s="712"/>
      <c r="FW490" s="712"/>
      <c r="FX490" s="712"/>
      <c r="FZ490" s="712"/>
      <c r="GA490" s="712"/>
      <c r="GB490" s="712"/>
      <c r="GC490" s="712"/>
      <c r="GD490" s="712"/>
      <c r="GE490" s="712"/>
      <c r="GF490" s="712"/>
      <c r="GG490" s="712"/>
      <c r="GH490" s="712"/>
      <c r="GI490" s="712"/>
      <c r="GJ490" s="712"/>
      <c r="GK490" s="712"/>
      <c r="GL490" s="712"/>
      <c r="GM490" s="712"/>
      <c r="GN490" s="712"/>
      <c r="GO490" s="712"/>
      <c r="GP490" s="712"/>
      <c r="GQ490" s="712"/>
      <c r="GR490" s="712"/>
      <c r="GS490" s="712"/>
      <c r="GT490" s="712"/>
      <c r="GU490" s="712"/>
      <c r="GV490" s="712"/>
      <c r="GW490" s="712"/>
      <c r="GX490" s="712"/>
      <c r="GY490" s="712"/>
      <c r="GZ490" s="712"/>
      <c r="HA490" s="712"/>
      <c r="HB490" s="712"/>
      <c r="HC490" s="712"/>
    </row>
    <row r="491" spans="1:211">
      <c r="A491" s="707"/>
      <c r="G491" s="712"/>
      <c r="H491" s="712"/>
      <c r="I491" s="712"/>
      <c r="J491" s="712"/>
      <c r="K491" s="712"/>
      <c r="L491" s="712"/>
      <c r="M491" s="712"/>
      <c r="N491" s="712"/>
      <c r="O491" s="712"/>
      <c r="P491" s="712"/>
      <c r="Q491" s="712"/>
      <c r="R491" s="712"/>
      <c r="S491" s="712"/>
      <c r="T491" s="712"/>
      <c r="U491" s="712"/>
      <c r="V491" s="712"/>
      <c r="W491" s="712"/>
      <c r="X491" s="712"/>
      <c r="Y491" s="712"/>
      <c r="Z491" s="712"/>
      <c r="AA491" s="712"/>
      <c r="AB491" s="712"/>
      <c r="AC491" s="712"/>
      <c r="AD491" s="712"/>
      <c r="AE491" s="712"/>
      <c r="AF491" s="712"/>
      <c r="AG491" s="712"/>
      <c r="AH491" s="712"/>
      <c r="AI491" s="712"/>
      <c r="AJ491" s="712"/>
      <c r="AK491" s="712"/>
      <c r="AL491" s="712"/>
      <c r="AM491" s="712"/>
      <c r="AN491" s="712"/>
      <c r="AO491" s="712"/>
      <c r="AP491" s="712"/>
      <c r="AQ491" s="712"/>
      <c r="AR491" s="712"/>
      <c r="AS491" s="712"/>
      <c r="AT491" s="712"/>
      <c r="AU491" s="712"/>
      <c r="AV491" s="712"/>
      <c r="AW491" s="712"/>
      <c r="AX491" s="712"/>
      <c r="AY491" s="712"/>
      <c r="AZ491" s="712"/>
      <c r="BA491" s="712"/>
      <c r="BB491" s="712"/>
      <c r="BC491" s="712"/>
      <c r="BD491" s="712"/>
      <c r="BE491" s="712"/>
      <c r="BF491" s="712"/>
      <c r="BG491" s="712"/>
      <c r="BH491" s="712"/>
      <c r="BI491" s="712"/>
      <c r="BJ491" s="712"/>
      <c r="BK491" s="712"/>
      <c r="BL491" s="712"/>
      <c r="BM491" s="712"/>
      <c r="BN491" s="712"/>
      <c r="BO491" s="712"/>
      <c r="BP491" s="712"/>
      <c r="BQ491" s="712"/>
      <c r="BR491" s="712"/>
      <c r="BS491" s="712"/>
      <c r="BT491" s="712"/>
      <c r="BU491" s="712"/>
      <c r="BV491" s="712"/>
      <c r="BW491" s="712"/>
      <c r="BX491" s="712"/>
      <c r="BY491" s="712"/>
      <c r="BZ491" s="712"/>
      <c r="CA491" s="712"/>
      <c r="CB491" s="712"/>
      <c r="CC491" s="712"/>
      <c r="CD491" s="712"/>
      <c r="CE491" s="712"/>
      <c r="CF491" s="712"/>
      <c r="CG491" s="712"/>
      <c r="CH491" s="712"/>
      <c r="CI491" s="712"/>
      <c r="CJ491" s="712"/>
      <c r="CK491" s="712"/>
      <c r="CL491" s="712"/>
      <c r="CM491" s="712"/>
      <c r="CN491" s="712"/>
      <c r="CO491" s="712"/>
      <c r="CP491" s="712"/>
      <c r="CQ491" s="712"/>
      <c r="CR491" s="712"/>
      <c r="CS491" s="712"/>
      <c r="CT491" s="712"/>
      <c r="CU491" s="712"/>
      <c r="CV491" s="712"/>
      <c r="CW491" s="712"/>
      <c r="CX491" s="712"/>
      <c r="CY491" s="712"/>
      <c r="CZ491" s="712"/>
      <c r="DA491" s="712"/>
      <c r="DB491" s="712"/>
      <c r="DC491" s="712"/>
      <c r="DD491" s="712"/>
      <c r="DE491" s="712"/>
      <c r="DF491" s="712"/>
      <c r="DG491" s="712"/>
      <c r="DH491" s="712"/>
      <c r="DI491" s="712"/>
      <c r="DJ491" s="712"/>
      <c r="DK491" s="712"/>
      <c r="DL491" s="712"/>
      <c r="DM491" s="712"/>
      <c r="DN491" s="712"/>
      <c r="DO491" s="712"/>
      <c r="DP491" s="712"/>
      <c r="DQ491" s="712"/>
      <c r="DR491" s="712"/>
      <c r="DS491" s="712"/>
      <c r="DT491" s="712"/>
      <c r="DU491" s="712"/>
      <c r="DV491" s="712"/>
      <c r="DW491" s="712"/>
      <c r="DX491" s="712"/>
      <c r="DY491" s="712"/>
      <c r="DZ491" s="712"/>
      <c r="EA491" s="712"/>
      <c r="EB491" s="712"/>
      <c r="EC491" s="712"/>
      <c r="ED491" s="712"/>
      <c r="EE491" s="712"/>
      <c r="EF491" s="712"/>
      <c r="EG491" s="712"/>
      <c r="EH491" s="712"/>
      <c r="EI491" s="712"/>
      <c r="EJ491" s="712"/>
      <c r="EK491" s="712"/>
      <c r="EL491" s="712"/>
      <c r="EM491" s="712"/>
      <c r="EN491" s="712"/>
      <c r="EO491" s="712"/>
      <c r="EP491" s="712"/>
      <c r="EQ491" s="712"/>
      <c r="ER491" s="712"/>
      <c r="ES491" s="712"/>
      <c r="ET491" s="794"/>
      <c r="EU491" s="794"/>
      <c r="EV491" s="794"/>
      <c r="EW491" s="794"/>
      <c r="EX491" s="794"/>
      <c r="EY491" s="794"/>
      <c r="EZ491" s="794"/>
      <c r="FA491" s="712"/>
      <c r="FB491" s="712"/>
      <c r="FC491" s="712"/>
      <c r="FD491" s="712"/>
      <c r="FE491" s="712"/>
      <c r="FF491" s="712"/>
      <c r="FG491" s="712"/>
      <c r="FH491" s="712"/>
      <c r="FI491" s="712"/>
      <c r="FJ491" s="712"/>
      <c r="FK491" s="712"/>
      <c r="FL491" s="712"/>
      <c r="FM491" s="712"/>
      <c r="FN491" s="712"/>
      <c r="FO491" s="712"/>
      <c r="FP491" s="712"/>
      <c r="FQ491" s="712"/>
      <c r="FR491" s="712"/>
      <c r="FS491" s="712"/>
      <c r="FT491" s="712"/>
      <c r="FU491" s="712"/>
      <c r="FV491" s="712"/>
      <c r="FW491" s="712"/>
      <c r="FX491" s="712"/>
      <c r="FZ491" s="712"/>
      <c r="GA491" s="712"/>
      <c r="GB491" s="712"/>
      <c r="GC491" s="712"/>
      <c r="GD491" s="712"/>
      <c r="GE491" s="712"/>
      <c r="GF491" s="712"/>
      <c r="GG491" s="712"/>
      <c r="GH491" s="712"/>
      <c r="GI491" s="712"/>
      <c r="GJ491" s="712"/>
      <c r="GK491" s="712"/>
      <c r="GL491" s="712"/>
      <c r="GM491" s="712"/>
      <c r="GN491" s="712"/>
      <c r="GO491" s="712"/>
      <c r="GP491" s="712"/>
      <c r="GQ491" s="712"/>
      <c r="GR491" s="712"/>
      <c r="GS491" s="712"/>
      <c r="GT491" s="712"/>
      <c r="GU491" s="712"/>
      <c r="GV491" s="712"/>
      <c r="GW491" s="712"/>
      <c r="GX491" s="712"/>
      <c r="GY491" s="712"/>
      <c r="GZ491" s="712"/>
      <c r="HA491" s="712"/>
      <c r="HB491" s="712"/>
      <c r="HC491" s="712"/>
    </row>
    <row r="492" spans="1:211">
      <c r="A492" s="707"/>
      <c r="G492" s="712"/>
      <c r="H492" s="712"/>
      <c r="I492" s="712"/>
      <c r="J492" s="712"/>
      <c r="K492" s="712"/>
      <c r="L492" s="712"/>
      <c r="M492" s="712"/>
      <c r="N492" s="712"/>
      <c r="O492" s="712"/>
      <c r="P492" s="712"/>
      <c r="Q492" s="712"/>
      <c r="R492" s="712"/>
      <c r="S492" s="712"/>
      <c r="T492" s="712"/>
      <c r="U492" s="712"/>
      <c r="V492" s="712"/>
      <c r="W492" s="712"/>
      <c r="X492" s="712"/>
      <c r="Y492" s="712"/>
      <c r="Z492" s="712"/>
      <c r="AA492" s="712"/>
      <c r="AB492" s="712"/>
      <c r="AC492" s="712"/>
      <c r="AD492" s="712"/>
      <c r="AE492" s="712"/>
      <c r="AF492" s="712"/>
      <c r="AG492" s="712"/>
      <c r="AH492" s="712"/>
      <c r="AI492" s="712"/>
      <c r="AJ492" s="712"/>
      <c r="AK492" s="712"/>
      <c r="AL492" s="712"/>
      <c r="AM492" s="712"/>
      <c r="AN492" s="712"/>
      <c r="AO492" s="712"/>
      <c r="AP492" s="712"/>
      <c r="AQ492" s="712"/>
      <c r="AR492" s="712"/>
      <c r="AS492" s="712"/>
      <c r="AT492" s="712"/>
      <c r="AU492" s="712"/>
      <c r="AV492" s="712"/>
      <c r="AW492" s="712"/>
      <c r="AX492" s="712"/>
      <c r="AY492" s="712"/>
      <c r="AZ492" s="712"/>
      <c r="BA492" s="712"/>
      <c r="BB492" s="712"/>
      <c r="BC492" s="712"/>
      <c r="BD492" s="712"/>
      <c r="BE492" s="712"/>
      <c r="BF492" s="712"/>
      <c r="BG492" s="712"/>
      <c r="BH492" s="712"/>
      <c r="BI492" s="712"/>
      <c r="BJ492" s="712"/>
      <c r="BK492" s="712"/>
      <c r="BL492" s="712"/>
      <c r="BM492" s="712"/>
      <c r="BN492" s="712"/>
      <c r="BO492" s="712"/>
      <c r="BP492" s="712"/>
      <c r="BQ492" s="712"/>
      <c r="BR492" s="712"/>
      <c r="BS492" s="712"/>
      <c r="BT492" s="712"/>
      <c r="BU492" s="712"/>
      <c r="BV492" s="712"/>
      <c r="BW492" s="712"/>
      <c r="BX492" s="712"/>
      <c r="BY492" s="712"/>
      <c r="BZ492" s="712"/>
      <c r="CA492" s="712"/>
      <c r="CB492" s="712"/>
      <c r="CC492" s="712"/>
      <c r="CD492" s="712"/>
      <c r="CE492" s="712"/>
      <c r="CF492" s="712"/>
      <c r="CG492" s="712"/>
      <c r="CH492" s="712"/>
      <c r="CI492" s="712"/>
      <c r="CJ492" s="712"/>
      <c r="CK492" s="712"/>
      <c r="CL492" s="712"/>
      <c r="CM492" s="712"/>
      <c r="CN492" s="712"/>
      <c r="CO492" s="712"/>
      <c r="CP492" s="712"/>
      <c r="CQ492" s="712"/>
      <c r="CR492" s="712"/>
      <c r="CS492" s="712"/>
      <c r="CT492" s="712"/>
      <c r="CU492" s="712"/>
      <c r="CV492" s="712"/>
      <c r="CW492" s="712"/>
      <c r="CX492" s="712"/>
      <c r="CY492" s="712"/>
      <c r="CZ492" s="712"/>
      <c r="DA492" s="712"/>
      <c r="DB492" s="712"/>
      <c r="DC492" s="712"/>
      <c r="DD492" s="712"/>
      <c r="DE492" s="712"/>
      <c r="DF492" s="712"/>
      <c r="DG492" s="712"/>
      <c r="DH492" s="712"/>
      <c r="DI492" s="712"/>
      <c r="DJ492" s="712"/>
      <c r="DK492" s="712"/>
      <c r="DL492" s="712"/>
      <c r="DM492" s="712"/>
      <c r="DN492" s="712"/>
      <c r="DO492" s="712"/>
      <c r="DP492" s="712"/>
      <c r="DQ492" s="712"/>
      <c r="DR492" s="712"/>
      <c r="DS492" s="712"/>
      <c r="DT492" s="712"/>
      <c r="DU492" s="712"/>
      <c r="DV492" s="712"/>
      <c r="DW492" s="712"/>
      <c r="DX492" s="712"/>
      <c r="DY492" s="712"/>
      <c r="DZ492" s="712"/>
      <c r="EA492" s="712"/>
      <c r="EB492" s="712"/>
      <c r="EC492" s="712"/>
      <c r="ED492" s="712"/>
      <c r="EE492" s="712"/>
      <c r="EF492" s="712"/>
      <c r="EG492" s="712"/>
      <c r="EH492" s="712"/>
      <c r="EI492" s="712"/>
      <c r="EJ492" s="712"/>
      <c r="EK492" s="712"/>
      <c r="EL492" s="712"/>
      <c r="EM492" s="712"/>
      <c r="EN492" s="712"/>
      <c r="EO492" s="712"/>
      <c r="EP492" s="712"/>
      <c r="EQ492" s="712"/>
      <c r="ER492" s="712"/>
      <c r="ES492" s="712"/>
      <c r="ET492" s="794"/>
      <c r="EU492" s="794"/>
      <c r="EV492" s="794"/>
      <c r="EW492" s="794"/>
      <c r="EX492" s="794"/>
      <c r="EY492" s="794"/>
      <c r="EZ492" s="794"/>
      <c r="FA492" s="712"/>
      <c r="FB492" s="712"/>
      <c r="FC492" s="712"/>
      <c r="FD492" s="712"/>
      <c r="FE492" s="712"/>
      <c r="FF492" s="712"/>
      <c r="FG492" s="712"/>
      <c r="FH492" s="712"/>
      <c r="FI492" s="712"/>
      <c r="FJ492" s="712"/>
      <c r="FK492" s="712"/>
      <c r="FL492" s="712"/>
      <c r="FM492" s="712"/>
      <c r="FN492" s="712"/>
      <c r="FO492" s="712"/>
      <c r="FP492" s="712"/>
      <c r="FQ492" s="712"/>
      <c r="FR492" s="712"/>
      <c r="FS492" s="712"/>
      <c r="FT492" s="712"/>
      <c r="FU492" s="712"/>
      <c r="FV492" s="712"/>
      <c r="FW492" s="712"/>
      <c r="FX492" s="712"/>
      <c r="FZ492" s="712"/>
      <c r="GA492" s="712"/>
      <c r="GB492" s="712"/>
      <c r="GC492" s="712"/>
      <c r="GD492" s="712"/>
      <c r="GE492" s="712"/>
      <c r="GF492" s="712"/>
      <c r="GG492" s="712"/>
      <c r="GH492" s="712"/>
      <c r="GI492" s="712"/>
      <c r="GJ492" s="712"/>
      <c r="GK492" s="712"/>
      <c r="GL492" s="712"/>
      <c r="GM492" s="712"/>
      <c r="GN492" s="712"/>
      <c r="GO492" s="712"/>
      <c r="GP492" s="712"/>
      <c r="GQ492" s="712"/>
      <c r="GR492" s="712"/>
      <c r="GS492" s="712"/>
      <c r="GT492" s="712"/>
      <c r="GU492" s="712"/>
      <c r="GV492" s="712"/>
      <c r="GW492" s="712"/>
      <c r="GX492" s="712"/>
      <c r="GY492" s="712"/>
      <c r="GZ492" s="712"/>
      <c r="HA492" s="712"/>
      <c r="HB492" s="712"/>
      <c r="HC492" s="712"/>
    </row>
    <row r="493" spans="1:211">
      <c r="A493" s="707"/>
      <c r="G493" s="712"/>
      <c r="H493" s="712"/>
      <c r="I493" s="712"/>
      <c r="J493" s="712"/>
      <c r="K493" s="712"/>
      <c r="L493" s="712"/>
      <c r="M493" s="712"/>
      <c r="N493" s="712"/>
      <c r="O493" s="712"/>
      <c r="P493" s="712"/>
      <c r="Q493" s="712"/>
      <c r="R493" s="712"/>
      <c r="S493" s="712"/>
      <c r="T493" s="712"/>
      <c r="U493" s="712"/>
      <c r="V493" s="712"/>
      <c r="W493" s="712"/>
      <c r="X493" s="712"/>
      <c r="Y493" s="712"/>
      <c r="Z493" s="712"/>
      <c r="AA493" s="712"/>
      <c r="AB493" s="712"/>
      <c r="AC493" s="712"/>
      <c r="AD493" s="712"/>
      <c r="AE493" s="712"/>
      <c r="AF493" s="712"/>
      <c r="AG493" s="712"/>
      <c r="AH493" s="712"/>
      <c r="AI493" s="712"/>
      <c r="AJ493" s="712"/>
      <c r="AK493" s="712"/>
      <c r="AL493" s="712"/>
      <c r="AM493" s="712"/>
      <c r="AN493" s="712"/>
      <c r="AO493" s="712"/>
      <c r="AP493" s="712"/>
      <c r="AQ493" s="712"/>
      <c r="AR493" s="712"/>
      <c r="AS493" s="712"/>
      <c r="AT493" s="712"/>
      <c r="AU493" s="712"/>
      <c r="AV493" s="712"/>
      <c r="AW493" s="712"/>
      <c r="AX493" s="712"/>
      <c r="AY493" s="712"/>
      <c r="AZ493" s="712"/>
      <c r="BA493" s="712"/>
      <c r="BB493" s="712"/>
      <c r="BC493" s="712"/>
      <c r="BD493" s="712"/>
      <c r="BE493" s="712"/>
      <c r="BF493" s="712"/>
      <c r="BG493" s="712"/>
      <c r="BH493" s="712"/>
      <c r="BI493" s="712"/>
      <c r="BJ493" s="712"/>
      <c r="BK493" s="712"/>
      <c r="BL493" s="712"/>
      <c r="BM493" s="712"/>
      <c r="BN493" s="712"/>
      <c r="BO493" s="712"/>
      <c r="BP493" s="712"/>
      <c r="BQ493" s="712"/>
      <c r="BR493" s="712"/>
      <c r="BS493" s="712"/>
      <c r="BT493" s="712"/>
      <c r="BU493" s="712"/>
      <c r="BV493" s="712"/>
      <c r="BW493" s="712"/>
      <c r="BX493" s="712"/>
      <c r="BY493" s="712"/>
      <c r="BZ493" s="712"/>
      <c r="CA493" s="712"/>
      <c r="CB493" s="712"/>
      <c r="CC493" s="712"/>
      <c r="CD493" s="712"/>
      <c r="CE493" s="712"/>
      <c r="CF493" s="712"/>
      <c r="CG493" s="712"/>
      <c r="CH493" s="712"/>
      <c r="CI493" s="712"/>
      <c r="CJ493" s="712"/>
      <c r="CK493" s="712"/>
      <c r="CL493" s="712"/>
      <c r="CM493" s="712"/>
      <c r="CN493" s="712"/>
      <c r="CO493" s="712"/>
      <c r="CP493" s="712"/>
      <c r="CQ493" s="712"/>
      <c r="CR493" s="712"/>
      <c r="CS493" s="712"/>
      <c r="CT493" s="712"/>
      <c r="CU493" s="712"/>
      <c r="CV493" s="712"/>
      <c r="CW493" s="712"/>
      <c r="CX493" s="712"/>
      <c r="CY493" s="712"/>
      <c r="CZ493" s="712"/>
      <c r="DA493" s="712"/>
      <c r="DB493" s="712"/>
      <c r="DC493" s="712"/>
      <c r="DD493" s="712"/>
      <c r="DE493" s="712"/>
      <c r="DF493" s="712"/>
      <c r="DG493" s="712"/>
      <c r="DH493" s="712"/>
      <c r="DI493" s="712"/>
      <c r="DJ493" s="712"/>
      <c r="DK493" s="712"/>
      <c r="DL493" s="712"/>
      <c r="DM493" s="712"/>
      <c r="DN493" s="712"/>
      <c r="DO493" s="712"/>
      <c r="DP493" s="712"/>
      <c r="DQ493" s="712"/>
      <c r="DR493" s="712"/>
      <c r="DS493" s="712"/>
      <c r="DT493" s="712"/>
      <c r="DU493" s="712"/>
      <c r="DV493" s="712"/>
      <c r="DW493" s="712"/>
      <c r="DX493" s="712"/>
      <c r="DY493" s="712"/>
      <c r="DZ493" s="712"/>
      <c r="EA493" s="712"/>
      <c r="EB493" s="712"/>
      <c r="EC493" s="712"/>
      <c r="ED493" s="712"/>
      <c r="EE493" s="712"/>
      <c r="EF493" s="712"/>
      <c r="EG493" s="712"/>
      <c r="EH493" s="712"/>
      <c r="EI493" s="712"/>
      <c r="EJ493" s="712"/>
      <c r="EK493" s="712"/>
      <c r="EL493" s="712"/>
      <c r="EM493" s="712"/>
      <c r="EN493" s="712"/>
      <c r="EO493" s="712"/>
      <c r="EP493" s="712"/>
      <c r="EQ493" s="712"/>
      <c r="ER493" s="712"/>
      <c r="ES493" s="712"/>
      <c r="ET493" s="794"/>
      <c r="EU493" s="794"/>
      <c r="EV493" s="794"/>
      <c r="EW493" s="794"/>
      <c r="EX493" s="794"/>
      <c r="EY493" s="794"/>
      <c r="EZ493" s="794"/>
      <c r="FA493" s="712"/>
      <c r="FB493" s="712"/>
      <c r="FC493" s="712"/>
      <c r="FD493" s="712"/>
      <c r="FE493" s="712"/>
      <c r="FF493" s="712"/>
      <c r="FG493" s="712"/>
      <c r="FH493" s="712"/>
      <c r="FI493" s="712"/>
      <c r="FJ493" s="712"/>
      <c r="FK493" s="712"/>
      <c r="FL493" s="712"/>
      <c r="FM493" s="712"/>
      <c r="FN493" s="712"/>
      <c r="FO493" s="712"/>
      <c r="FP493" s="712"/>
      <c r="FQ493" s="712"/>
      <c r="FR493" s="712"/>
      <c r="FS493" s="712"/>
      <c r="FT493" s="712"/>
      <c r="FU493" s="712"/>
      <c r="FV493" s="712"/>
      <c r="FW493" s="712"/>
      <c r="FX493" s="712"/>
      <c r="FZ493" s="712"/>
      <c r="GA493" s="712"/>
      <c r="GB493" s="712"/>
      <c r="GC493" s="712"/>
      <c r="GD493" s="712"/>
      <c r="GE493" s="712"/>
      <c r="GF493" s="712"/>
      <c r="GG493" s="712"/>
      <c r="GH493" s="712"/>
      <c r="GI493" s="712"/>
      <c r="GJ493" s="712"/>
      <c r="GK493" s="712"/>
      <c r="GL493" s="712"/>
      <c r="GM493" s="712"/>
      <c r="GN493" s="712"/>
      <c r="GO493" s="712"/>
      <c r="GP493" s="712"/>
      <c r="GQ493" s="712"/>
      <c r="GR493" s="712"/>
      <c r="GS493" s="712"/>
      <c r="GT493" s="712"/>
      <c r="GU493" s="712"/>
      <c r="GV493" s="712"/>
      <c r="GW493" s="712"/>
      <c r="GX493" s="712"/>
      <c r="GY493" s="712"/>
      <c r="GZ493" s="712"/>
      <c r="HA493" s="712"/>
      <c r="HB493" s="712"/>
      <c r="HC493" s="712"/>
    </row>
    <row r="494" spans="1:211">
      <c r="A494" s="707"/>
      <c r="G494" s="712"/>
      <c r="H494" s="712"/>
      <c r="I494" s="712"/>
      <c r="J494" s="712"/>
      <c r="K494" s="712"/>
      <c r="L494" s="712"/>
      <c r="M494" s="712"/>
      <c r="N494" s="712"/>
      <c r="O494" s="712"/>
      <c r="P494" s="712"/>
      <c r="Q494" s="712"/>
      <c r="R494" s="712"/>
      <c r="S494" s="712"/>
      <c r="T494" s="712"/>
      <c r="U494" s="712"/>
      <c r="V494" s="712"/>
      <c r="W494" s="712"/>
      <c r="X494" s="712"/>
      <c r="Y494" s="712"/>
      <c r="Z494" s="712"/>
      <c r="AA494" s="712"/>
      <c r="AB494" s="712"/>
      <c r="AC494" s="712"/>
      <c r="AD494" s="712"/>
      <c r="AE494" s="712"/>
      <c r="AF494" s="712"/>
      <c r="AG494" s="712"/>
      <c r="AH494" s="712"/>
      <c r="AI494" s="712"/>
      <c r="AJ494" s="712"/>
      <c r="AK494" s="712"/>
      <c r="AL494" s="712"/>
      <c r="AM494" s="712"/>
      <c r="AN494" s="712"/>
      <c r="AO494" s="712"/>
      <c r="AP494" s="712"/>
      <c r="AQ494" s="712"/>
      <c r="AR494" s="712"/>
      <c r="AS494" s="712"/>
      <c r="AT494" s="712"/>
      <c r="AU494" s="712"/>
      <c r="AV494" s="712"/>
      <c r="AW494" s="712"/>
      <c r="AX494" s="712"/>
      <c r="AY494" s="712"/>
      <c r="AZ494" s="712"/>
      <c r="BA494" s="712"/>
      <c r="BB494" s="712"/>
      <c r="BC494" s="712"/>
      <c r="BD494" s="712"/>
      <c r="BE494" s="712"/>
      <c r="BF494" s="712"/>
      <c r="BG494" s="712"/>
      <c r="BH494" s="712"/>
      <c r="BI494" s="712"/>
      <c r="BJ494" s="712"/>
      <c r="BK494" s="712"/>
      <c r="BL494" s="712"/>
      <c r="BM494" s="712"/>
      <c r="BN494" s="712"/>
      <c r="BO494" s="712"/>
      <c r="BP494" s="712"/>
      <c r="BQ494" s="712"/>
      <c r="BR494" s="712"/>
      <c r="BS494" s="712"/>
      <c r="BT494" s="712"/>
      <c r="BU494" s="712"/>
      <c r="BV494" s="712"/>
      <c r="BW494" s="712"/>
      <c r="BX494" s="712"/>
      <c r="BY494" s="712"/>
      <c r="BZ494" s="712"/>
      <c r="CA494" s="712"/>
      <c r="CB494" s="712"/>
      <c r="CC494" s="712"/>
      <c r="CD494" s="712"/>
      <c r="CE494" s="712"/>
      <c r="CF494" s="712"/>
      <c r="CG494" s="712"/>
      <c r="CH494" s="712"/>
      <c r="CI494" s="712"/>
      <c r="CJ494" s="712"/>
      <c r="CK494" s="712"/>
      <c r="CL494" s="712"/>
      <c r="CM494" s="712"/>
      <c r="CN494" s="712"/>
      <c r="CO494" s="712"/>
      <c r="CP494" s="712"/>
      <c r="CQ494" s="712"/>
      <c r="CR494" s="712"/>
      <c r="CS494" s="712"/>
      <c r="CT494" s="712"/>
      <c r="CU494" s="712"/>
      <c r="CV494" s="712"/>
      <c r="CW494" s="712"/>
      <c r="CX494" s="712"/>
      <c r="CY494" s="712"/>
      <c r="CZ494" s="712"/>
      <c r="DA494" s="712"/>
      <c r="DB494" s="712"/>
      <c r="DC494" s="712"/>
      <c r="DD494" s="712"/>
      <c r="DE494" s="712"/>
      <c r="DF494" s="712"/>
      <c r="DG494" s="712"/>
      <c r="DH494" s="712"/>
      <c r="DI494" s="712"/>
      <c r="DJ494" s="712"/>
      <c r="DK494" s="712"/>
      <c r="DL494" s="712"/>
      <c r="DM494" s="712"/>
      <c r="DN494" s="712"/>
      <c r="DO494" s="712"/>
      <c r="DP494" s="712"/>
      <c r="DQ494" s="712"/>
      <c r="DR494" s="712"/>
      <c r="DS494" s="712"/>
      <c r="DT494" s="712"/>
      <c r="DU494" s="712"/>
      <c r="DV494" s="712"/>
      <c r="DW494" s="712"/>
      <c r="DX494" s="712"/>
      <c r="DY494" s="712"/>
      <c r="DZ494" s="712"/>
      <c r="EA494" s="712"/>
      <c r="EB494" s="712"/>
      <c r="EC494" s="712"/>
      <c r="ED494" s="712"/>
      <c r="EE494" s="712"/>
      <c r="EF494" s="712"/>
      <c r="EG494" s="712"/>
      <c r="EH494" s="712"/>
      <c r="EI494" s="712"/>
      <c r="EJ494" s="712"/>
      <c r="EK494" s="712"/>
      <c r="EL494" s="712"/>
      <c r="EM494" s="712"/>
      <c r="EN494" s="712"/>
      <c r="EO494" s="712"/>
      <c r="EP494" s="712"/>
      <c r="EQ494" s="712"/>
      <c r="ER494" s="712"/>
      <c r="ES494" s="712"/>
      <c r="ET494" s="794"/>
      <c r="EU494" s="794"/>
      <c r="EV494" s="794"/>
      <c r="EW494" s="794"/>
      <c r="EX494" s="794"/>
      <c r="EY494" s="794"/>
      <c r="EZ494" s="794"/>
      <c r="FA494" s="712"/>
      <c r="FB494" s="712"/>
      <c r="FC494" s="712"/>
      <c r="FD494" s="712"/>
      <c r="FE494" s="712"/>
      <c r="FF494" s="712"/>
      <c r="FG494" s="712"/>
      <c r="FH494" s="712"/>
      <c r="FI494" s="712"/>
      <c r="FJ494" s="712"/>
      <c r="FK494" s="712"/>
      <c r="FL494" s="712"/>
      <c r="FM494" s="712"/>
      <c r="FN494" s="712"/>
      <c r="FO494" s="712"/>
      <c r="FP494" s="712"/>
      <c r="FQ494" s="712"/>
      <c r="FR494" s="712"/>
      <c r="FS494" s="712"/>
      <c r="FT494" s="712"/>
      <c r="FU494" s="712"/>
      <c r="FV494" s="712"/>
      <c r="FW494" s="712"/>
      <c r="FX494" s="712"/>
      <c r="FZ494" s="712"/>
      <c r="GA494" s="712"/>
      <c r="GB494" s="712"/>
      <c r="GC494" s="712"/>
      <c r="GD494" s="712"/>
      <c r="GE494" s="712"/>
      <c r="GF494" s="712"/>
      <c r="GG494" s="712"/>
      <c r="GH494" s="712"/>
      <c r="GI494" s="712"/>
      <c r="GJ494" s="712"/>
      <c r="GK494" s="712"/>
      <c r="GL494" s="712"/>
      <c r="GM494" s="712"/>
      <c r="GN494" s="712"/>
      <c r="GO494" s="712"/>
      <c r="GP494" s="712"/>
      <c r="GQ494" s="712"/>
      <c r="GR494" s="712"/>
      <c r="GS494" s="712"/>
      <c r="GT494" s="712"/>
      <c r="GU494" s="712"/>
      <c r="GV494" s="712"/>
      <c r="GW494" s="712"/>
      <c r="GX494" s="712"/>
      <c r="GY494" s="712"/>
      <c r="GZ494" s="712"/>
      <c r="HA494" s="712"/>
      <c r="HB494" s="712"/>
      <c r="HC494" s="712"/>
    </row>
    <row r="495" spans="1:211">
      <c r="A495" s="707"/>
      <c r="G495" s="712"/>
      <c r="H495" s="712"/>
      <c r="I495" s="712"/>
      <c r="J495" s="712"/>
      <c r="K495" s="712"/>
      <c r="L495" s="712"/>
      <c r="M495" s="712"/>
      <c r="N495" s="712"/>
      <c r="O495" s="712"/>
      <c r="P495" s="712"/>
      <c r="Q495" s="712"/>
      <c r="R495" s="712"/>
      <c r="S495" s="712"/>
      <c r="T495" s="712"/>
      <c r="U495" s="712"/>
      <c r="V495" s="712"/>
      <c r="W495" s="712"/>
      <c r="X495" s="712"/>
      <c r="Y495" s="712"/>
      <c r="Z495" s="712"/>
      <c r="AA495" s="712"/>
      <c r="AB495" s="712"/>
      <c r="AC495" s="712"/>
      <c r="AD495" s="712"/>
      <c r="AE495" s="712"/>
      <c r="AF495" s="712"/>
      <c r="AG495" s="712"/>
      <c r="AH495" s="712"/>
      <c r="AI495" s="712"/>
      <c r="AJ495" s="712"/>
      <c r="AK495" s="712"/>
      <c r="AL495" s="712"/>
      <c r="AM495" s="712"/>
      <c r="AN495" s="712"/>
      <c r="AO495" s="712"/>
      <c r="AP495" s="712"/>
      <c r="AQ495" s="712"/>
      <c r="AR495" s="712"/>
      <c r="AS495" s="712"/>
      <c r="AT495" s="712"/>
      <c r="AU495" s="712"/>
      <c r="AV495" s="712"/>
      <c r="AW495" s="712"/>
      <c r="AX495" s="712"/>
      <c r="AY495" s="712"/>
      <c r="AZ495" s="712"/>
      <c r="BA495" s="712"/>
      <c r="BB495" s="712"/>
      <c r="BC495" s="712"/>
      <c r="BD495" s="712"/>
      <c r="BE495" s="712"/>
      <c r="BF495" s="712"/>
      <c r="BG495" s="712"/>
      <c r="BH495" s="712"/>
      <c r="BI495" s="712"/>
      <c r="BJ495" s="712"/>
      <c r="BK495" s="712"/>
      <c r="BL495" s="712"/>
      <c r="BM495" s="712"/>
      <c r="BN495" s="712"/>
      <c r="BO495" s="712"/>
      <c r="BP495" s="712"/>
      <c r="BQ495" s="712"/>
      <c r="BR495" s="712"/>
      <c r="BS495" s="712"/>
      <c r="BT495" s="712"/>
      <c r="BU495" s="712"/>
      <c r="BV495" s="712"/>
      <c r="BW495" s="712"/>
      <c r="BX495" s="712"/>
      <c r="BY495" s="712"/>
      <c r="BZ495" s="712"/>
      <c r="CA495" s="712"/>
      <c r="CB495" s="712"/>
      <c r="CC495" s="712"/>
      <c r="CD495" s="712"/>
      <c r="CE495" s="712"/>
      <c r="CF495" s="712"/>
      <c r="CG495" s="712"/>
      <c r="CH495" s="712"/>
      <c r="CI495" s="712"/>
      <c r="CJ495" s="712"/>
      <c r="CK495" s="712"/>
      <c r="CL495" s="712"/>
      <c r="CM495" s="712"/>
      <c r="CN495" s="712"/>
      <c r="CO495" s="712"/>
      <c r="CP495" s="712"/>
      <c r="CQ495" s="712"/>
      <c r="CR495" s="712"/>
      <c r="CS495" s="712"/>
      <c r="CT495" s="712"/>
      <c r="CU495" s="712"/>
      <c r="CV495" s="712"/>
      <c r="CW495" s="712"/>
      <c r="CX495" s="712"/>
      <c r="CY495" s="712"/>
      <c r="CZ495" s="712"/>
      <c r="DA495" s="712"/>
      <c r="DB495" s="712"/>
      <c r="DC495" s="712"/>
      <c r="DD495" s="712"/>
      <c r="DE495" s="712"/>
      <c r="DF495" s="712"/>
      <c r="DG495" s="712"/>
      <c r="DH495" s="712"/>
      <c r="DI495" s="712"/>
      <c r="DJ495" s="712"/>
      <c r="DK495" s="712"/>
      <c r="DL495" s="712"/>
      <c r="DM495" s="712"/>
      <c r="DN495" s="712"/>
      <c r="DO495" s="712"/>
      <c r="DP495" s="712"/>
      <c r="DQ495" s="712"/>
      <c r="DR495" s="712"/>
      <c r="DS495" s="712"/>
      <c r="DT495" s="712"/>
      <c r="DU495" s="712"/>
      <c r="DV495" s="712"/>
      <c r="DW495" s="712"/>
      <c r="DX495" s="712"/>
      <c r="DY495" s="712"/>
      <c r="DZ495" s="712"/>
      <c r="EA495" s="712"/>
      <c r="EB495" s="712"/>
      <c r="EC495" s="712"/>
      <c r="ED495" s="712"/>
      <c r="EE495" s="712"/>
      <c r="EF495" s="712"/>
      <c r="EG495" s="712"/>
      <c r="EH495" s="712"/>
      <c r="EI495" s="712"/>
      <c r="EJ495" s="712"/>
      <c r="EK495" s="712"/>
      <c r="EL495" s="712"/>
      <c r="EM495" s="712"/>
      <c r="EN495" s="712"/>
      <c r="EO495" s="712"/>
      <c r="EP495" s="712"/>
      <c r="EQ495" s="712"/>
      <c r="ER495" s="712"/>
      <c r="ES495" s="712"/>
      <c r="ET495" s="794"/>
      <c r="EU495" s="794"/>
      <c r="EV495" s="794"/>
      <c r="EW495" s="794"/>
      <c r="EX495" s="794"/>
      <c r="EY495" s="794"/>
      <c r="EZ495" s="794"/>
      <c r="FA495" s="712"/>
      <c r="FB495" s="712"/>
      <c r="FC495" s="712"/>
      <c r="FD495" s="712"/>
      <c r="FE495" s="712"/>
      <c r="FF495" s="712"/>
      <c r="FG495" s="712"/>
      <c r="FH495" s="712"/>
      <c r="FI495" s="712"/>
      <c r="FJ495" s="712"/>
      <c r="FK495" s="712"/>
      <c r="FL495" s="712"/>
      <c r="FM495" s="712"/>
      <c r="FN495" s="712"/>
      <c r="FO495" s="712"/>
      <c r="FP495" s="712"/>
      <c r="FQ495" s="712"/>
      <c r="FR495" s="712"/>
      <c r="FS495" s="712"/>
      <c r="FT495" s="712"/>
      <c r="FU495" s="712"/>
      <c r="FV495" s="712"/>
      <c r="FW495" s="712"/>
      <c r="FX495" s="712"/>
      <c r="FZ495" s="712"/>
      <c r="GA495" s="712"/>
      <c r="GB495" s="712"/>
      <c r="GC495" s="712"/>
      <c r="GD495" s="712"/>
      <c r="GE495" s="712"/>
      <c r="GF495" s="712"/>
      <c r="GG495" s="712"/>
      <c r="GH495" s="712"/>
      <c r="GI495" s="712"/>
      <c r="GJ495" s="712"/>
      <c r="GK495" s="712"/>
      <c r="GL495" s="712"/>
      <c r="GM495" s="712"/>
      <c r="GN495" s="712"/>
      <c r="GO495" s="712"/>
      <c r="GP495" s="712"/>
      <c r="GQ495" s="712"/>
      <c r="GR495" s="712"/>
      <c r="GS495" s="712"/>
      <c r="GT495" s="712"/>
      <c r="GU495" s="712"/>
      <c r="GV495" s="712"/>
      <c r="GW495" s="712"/>
      <c r="GX495" s="712"/>
      <c r="GY495" s="712"/>
      <c r="GZ495" s="712"/>
      <c r="HA495" s="712"/>
      <c r="HB495" s="712"/>
      <c r="HC495" s="712"/>
    </row>
    <row r="496" spans="1:211">
      <c r="A496" s="707"/>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12"/>
      <c r="AL496" s="712"/>
      <c r="AM496" s="712"/>
      <c r="AN496" s="712"/>
      <c r="AO496" s="712"/>
      <c r="AP496" s="712"/>
      <c r="AQ496" s="712"/>
      <c r="AR496" s="712"/>
      <c r="AS496" s="712"/>
      <c r="AT496" s="712"/>
      <c r="AU496" s="712"/>
      <c r="AV496" s="712"/>
      <c r="AW496" s="712"/>
      <c r="AX496" s="712"/>
      <c r="AY496" s="712"/>
      <c r="AZ496" s="712"/>
      <c r="BA496" s="712"/>
      <c r="BB496" s="712"/>
      <c r="BC496" s="712"/>
      <c r="BD496" s="712"/>
      <c r="BE496" s="712"/>
      <c r="BF496" s="712"/>
      <c r="BG496" s="712"/>
      <c r="BH496" s="712"/>
      <c r="BI496" s="712"/>
      <c r="BJ496" s="712"/>
      <c r="BK496" s="712"/>
      <c r="BL496" s="712"/>
      <c r="BM496" s="712"/>
      <c r="BN496" s="712"/>
      <c r="BO496" s="712"/>
      <c r="BP496" s="712"/>
      <c r="BQ496" s="712"/>
      <c r="BR496" s="712"/>
      <c r="BS496" s="712"/>
      <c r="BT496" s="712"/>
      <c r="BU496" s="712"/>
      <c r="BV496" s="712"/>
      <c r="BW496" s="712"/>
      <c r="BX496" s="712"/>
      <c r="BY496" s="712"/>
      <c r="BZ496" s="712"/>
      <c r="CA496" s="712"/>
      <c r="CB496" s="712"/>
      <c r="CC496" s="712"/>
      <c r="CD496" s="712"/>
      <c r="CE496" s="712"/>
      <c r="CF496" s="712"/>
      <c r="CG496" s="712"/>
      <c r="CH496" s="712"/>
      <c r="CI496" s="712"/>
      <c r="CJ496" s="712"/>
      <c r="CK496" s="712"/>
      <c r="CL496" s="712"/>
      <c r="CM496" s="712"/>
      <c r="CN496" s="712"/>
      <c r="CO496" s="712"/>
      <c r="CP496" s="712"/>
      <c r="CQ496" s="712"/>
      <c r="CR496" s="712"/>
      <c r="CS496" s="712"/>
      <c r="CT496" s="712"/>
      <c r="CU496" s="712"/>
      <c r="CV496" s="712"/>
      <c r="CW496" s="712"/>
      <c r="CX496" s="712"/>
      <c r="CY496" s="712"/>
      <c r="CZ496" s="712"/>
      <c r="DA496" s="712"/>
      <c r="DB496" s="712"/>
      <c r="DC496" s="712"/>
      <c r="DD496" s="712"/>
      <c r="DE496" s="712"/>
      <c r="DF496" s="712"/>
      <c r="DG496" s="712"/>
      <c r="DH496" s="712"/>
      <c r="DI496" s="712"/>
      <c r="DJ496" s="712"/>
      <c r="DK496" s="712"/>
      <c r="DL496" s="712"/>
      <c r="DM496" s="712"/>
      <c r="DN496" s="712"/>
      <c r="DO496" s="712"/>
      <c r="DP496" s="712"/>
      <c r="DQ496" s="712"/>
      <c r="DR496" s="712"/>
      <c r="DS496" s="712"/>
      <c r="DT496" s="712"/>
      <c r="DU496" s="712"/>
      <c r="DV496" s="712"/>
      <c r="DW496" s="712"/>
      <c r="DX496" s="712"/>
      <c r="DY496" s="712"/>
      <c r="DZ496" s="712"/>
      <c r="EA496" s="712"/>
      <c r="EB496" s="712"/>
      <c r="EC496" s="712"/>
      <c r="ED496" s="712"/>
      <c r="EE496" s="712"/>
      <c r="EF496" s="712"/>
      <c r="EG496" s="712"/>
      <c r="EH496" s="712"/>
      <c r="EI496" s="712"/>
      <c r="EJ496" s="712"/>
      <c r="EK496" s="712"/>
      <c r="EL496" s="712"/>
      <c r="EM496" s="712"/>
      <c r="EN496" s="712"/>
      <c r="EO496" s="712"/>
      <c r="EP496" s="712"/>
      <c r="EQ496" s="712"/>
      <c r="ER496" s="712"/>
      <c r="ES496" s="712"/>
      <c r="ET496" s="794"/>
      <c r="EU496" s="794"/>
      <c r="EV496" s="794"/>
      <c r="EW496" s="794"/>
      <c r="EX496" s="794"/>
      <c r="EY496" s="794"/>
      <c r="EZ496" s="794"/>
      <c r="FA496" s="712"/>
      <c r="FB496" s="712"/>
      <c r="FC496" s="712"/>
      <c r="FD496" s="712"/>
      <c r="FE496" s="712"/>
      <c r="FF496" s="712"/>
      <c r="FG496" s="712"/>
      <c r="FH496" s="712"/>
      <c r="FI496" s="712"/>
      <c r="FJ496" s="712"/>
      <c r="FK496" s="712"/>
      <c r="FL496" s="712"/>
      <c r="FM496" s="712"/>
      <c r="FN496" s="712"/>
      <c r="FO496" s="712"/>
      <c r="FP496" s="712"/>
      <c r="FQ496" s="712"/>
      <c r="FR496" s="712"/>
      <c r="FS496" s="712"/>
      <c r="FT496" s="712"/>
      <c r="FU496" s="712"/>
      <c r="FV496" s="712"/>
      <c r="FW496" s="712"/>
      <c r="FX496" s="712"/>
      <c r="FZ496" s="712"/>
      <c r="GA496" s="712"/>
      <c r="GB496" s="712"/>
      <c r="GC496" s="712"/>
      <c r="GD496" s="712"/>
      <c r="GE496" s="712"/>
      <c r="GF496" s="712"/>
      <c r="GG496" s="712"/>
      <c r="GH496" s="712"/>
      <c r="GI496" s="712"/>
      <c r="GJ496" s="712"/>
      <c r="GK496" s="712"/>
      <c r="GL496" s="712"/>
      <c r="GM496" s="712"/>
      <c r="GN496" s="712"/>
      <c r="GO496" s="712"/>
      <c r="GP496" s="712"/>
      <c r="GQ496" s="712"/>
      <c r="GR496" s="712"/>
      <c r="GS496" s="712"/>
      <c r="GT496" s="712"/>
      <c r="GU496" s="712"/>
      <c r="GV496" s="712"/>
      <c r="GW496" s="712"/>
      <c r="GX496" s="712"/>
      <c r="GY496" s="712"/>
      <c r="GZ496" s="712"/>
      <c r="HA496" s="712"/>
      <c r="HB496" s="712"/>
      <c r="HC496" s="712"/>
    </row>
    <row r="497" spans="1:211">
      <c r="A497" s="707"/>
      <c r="G497" s="712"/>
      <c r="H497" s="712"/>
      <c r="I497" s="712"/>
      <c r="J497" s="712"/>
      <c r="K497" s="712"/>
      <c r="L497" s="712"/>
      <c r="M497" s="712"/>
      <c r="N497" s="712"/>
      <c r="O497" s="712"/>
      <c r="P497" s="712"/>
      <c r="Q497" s="712"/>
      <c r="R497" s="712"/>
      <c r="S497" s="712"/>
      <c r="T497" s="712"/>
      <c r="U497" s="712"/>
      <c r="V497" s="712"/>
      <c r="W497" s="712"/>
      <c r="X497" s="712"/>
      <c r="Y497" s="712"/>
      <c r="Z497" s="712"/>
      <c r="AA497" s="712"/>
      <c r="AB497" s="712"/>
      <c r="AC497" s="712"/>
      <c r="AD497" s="712"/>
      <c r="AE497" s="712"/>
      <c r="AF497" s="712"/>
      <c r="AG497" s="712"/>
      <c r="AH497" s="712"/>
      <c r="AI497" s="712"/>
      <c r="AJ497" s="712"/>
      <c r="AK497" s="712"/>
      <c r="AL497" s="712"/>
      <c r="AM497" s="712"/>
      <c r="AN497" s="712"/>
      <c r="AO497" s="712"/>
      <c r="AP497" s="712"/>
      <c r="AQ497" s="712"/>
      <c r="AR497" s="712"/>
      <c r="AS497" s="712"/>
      <c r="AT497" s="712"/>
      <c r="AU497" s="712"/>
      <c r="AV497" s="712"/>
      <c r="AW497" s="712"/>
      <c r="AX497" s="712"/>
      <c r="AY497" s="712"/>
      <c r="AZ497" s="712"/>
      <c r="BA497" s="712"/>
      <c r="BB497" s="712"/>
      <c r="BC497" s="712"/>
      <c r="BD497" s="712"/>
      <c r="BE497" s="712"/>
      <c r="BF497" s="712"/>
      <c r="BG497" s="712"/>
      <c r="BH497" s="712"/>
      <c r="BI497" s="712"/>
      <c r="BJ497" s="712"/>
      <c r="BK497" s="712"/>
      <c r="BL497" s="712"/>
      <c r="BM497" s="712"/>
      <c r="BN497" s="712"/>
      <c r="BO497" s="712"/>
      <c r="BP497" s="712"/>
      <c r="BQ497" s="712"/>
      <c r="BR497" s="712"/>
      <c r="BS497" s="712"/>
      <c r="BT497" s="712"/>
      <c r="BU497" s="712"/>
      <c r="BV497" s="712"/>
      <c r="BW497" s="712"/>
      <c r="BX497" s="712"/>
      <c r="BY497" s="712"/>
      <c r="BZ497" s="712"/>
      <c r="CA497" s="712"/>
      <c r="CB497" s="712"/>
      <c r="CC497" s="712"/>
      <c r="CD497" s="712"/>
      <c r="CE497" s="712"/>
      <c r="CF497" s="712"/>
      <c r="CG497" s="712"/>
      <c r="CH497" s="712"/>
      <c r="CI497" s="712"/>
      <c r="CJ497" s="712"/>
      <c r="CK497" s="712"/>
      <c r="CL497" s="712"/>
      <c r="CM497" s="712"/>
      <c r="CN497" s="712"/>
      <c r="CO497" s="712"/>
      <c r="CP497" s="712"/>
      <c r="CQ497" s="712"/>
      <c r="CR497" s="712"/>
      <c r="CS497" s="712"/>
      <c r="CT497" s="712"/>
      <c r="CU497" s="712"/>
      <c r="CV497" s="712"/>
      <c r="CW497" s="712"/>
      <c r="CX497" s="712"/>
      <c r="CY497" s="712"/>
      <c r="CZ497" s="712"/>
      <c r="DA497" s="712"/>
      <c r="DB497" s="712"/>
      <c r="DC497" s="712"/>
      <c r="DD497" s="712"/>
      <c r="DE497" s="712"/>
      <c r="DF497" s="712"/>
      <c r="DG497" s="712"/>
      <c r="DH497" s="712"/>
      <c r="DI497" s="712"/>
      <c r="DJ497" s="712"/>
      <c r="DK497" s="712"/>
      <c r="DL497" s="712"/>
      <c r="DM497" s="712"/>
      <c r="DN497" s="712"/>
      <c r="DO497" s="712"/>
      <c r="DP497" s="712"/>
      <c r="DQ497" s="712"/>
      <c r="DR497" s="712"/>
      <c r="DS497" s="712"/>
      <c r="DT497" s="712"/>
      <c r="DU497" s="712"/>
      <c r="DV497" s="712"/>
      <c r="DW497" s="712"/>
      <c r="DX497" s="712"/>
      <c r="DY497" s="712"/>
      <c r="DZ497" s="712"/>
      <c r="EA497" s="712"/>
      <c r="EB497" s="712"/>
      <c r="EC497" s="712"/>
      <c r="ED497" s="712"/>
      <c r="EE497" s="712"/>
      <c r="EF497" s="712"/>
      <c r="EG497" s="712"/>
      <c r="EH497" s="712"/>
      <c r="EI497" s="712"/>
      <c r="EJ497" s="712"/>
      <c r="EK497" s="712"/>
      <c r="EL497" s="712"/>
      <c r="EM497" s="712"/>
      <c r="EN497" s="712"/>
      <c r="EO497" s="712"/>
      <c r="EP497" s="712"/>
      <c r="EQ497" s="712"/>
      <c r="ER497" s="712"/>
      <c r="ES497" s="712"/>
      <c r="ET497" s="794"/>
      <c r="EU497" s="794"/>
      <c r="EV497" s="794"/>
      <c r="EW497" s="794"/>
      <c r="EX497" s="794"/>
      <c r="EY497" s="794"/>
      <c r="EZ497" s="794"/>
      <c r="FA497" s="712"/>
      <c r="FB497" s="712"/>
      <c r="FC497" s="712"/>
      <c r="FD497" s="712"/>
      <c r="FE497" s="712"/>
      <c r="FF497" s="712"/>
      <c r="FG497" s="712"/>
      <c r="FH497" s="712"/>
      <c r="FI497" s="712"/>
      <c r="FJ497" s="712"/>
      <c r="FK497" s="712"/>
      <c r="FL497" s="712"/>
      <c r="FM497" s="712"/>
      <c r="FN497" s="712"/>
      <c r="FO497" s="712"/>
      <c r="FP497" s="712"/>
      <c r="FQ497" s="712"/>
      <c r="FR497" s="712"/>
      <c r="FS497" s="712"/>
      <c r="FT497" s="712"/>
      <c r="FU497" s="712"/>
      <c r="FV497" s="712"/>
      <c r="FW497" s="712"/>
      <c r="FX497" s="712"/>
      <c r="FZ497" s="712"/>
      <c r="GA497" s="712"/>
      <c r="GB497" s="712"/>
      <c r="GC497" s="712"/>
      <c r="GD497" s="712"/>
      <c r="GE497" s="712"/>
      <c r="GF497" s="712"/>
      <c r="GG497" s="712"/>
      <c r="GH497" s="712"/>
      <c r="GI497" s="712"/>
      <c r="GJ497" s="712"/>
      <c r="GK497" s="712"/>
      <c r="GL497" s="712"/>
      <c r="GM497" s="712"/>
      <c r="GN497" s="712"/>
      <c r="GO497" s="712"/>
      <c r="GP497" s="712"/>
      <c r="GQ497" s="712"/>
      <c r="GR497" s="712"/>
      <c r="GS497" s="712"/>
      <c r="GT497" s="712"/>
      <c r="GU497" s="712"/>
      <c r="GV497" s="712"/>
      <c r="GW497" s="712"/>
      <c r="GX497" s="712"/>
      <c r="GY497" s="712"/>
      <c r="GZ497" s="712"/>
      <c r="HA497" s="712"/>
      <c r="HB497" s="712"/>
      <c r="HC497" s="712"/>
    </row>
    <row r="498" spans="1:211">
      <c r="A498" s="707"/>
      <c r="G498" s="712"/>
      <c r="H498" s="712"/>
      <c r="I498" s="712"/>
      <c r="J498" s="712"/>
      <c r="K498" s="712"/>
      <c r="L498" s="712"/>
      <c r="M498" s="712"/>
      <c r="N498" s="712"/>
      <c r="O498" s="712"/>
      <c r="P498" s="712"/>
      <c r="Q498" s="712"/>
      <c r="R498" s="712"/>
      <c r="S498" s="712"/>
      <c r="T498" s="712"/>
      <c r="U498" s="712"/>
      <c r="V498" s="712"/>
      <c r="W498" s="712"/>
      <c r="X498" s="712"/>
      <c r="Y498" s="712"/>
      <c r="Z498" s="712"/>
      <c r="AA498" s="712"/>
      <c r="AB498" s="712"/>
      <c r="AC498" s="712"/>
      <c r="AD498" s="712"/>
      <c r="AE498" s="712"/>
      <c r="AF498" s="712"/>
      <c r="AG498" s="712"/>
      <c r="AH498" s="712"/>
      <c r="AI498" s="712"/>
      <c r="AJ498" s="712"/>
      <c r="AK498" s="712"/>
      <c r="AL498" s="712"/>
      <c r="AM498" s="712"/>
      <c r="AN498" s="712"/>
      <c r="AO498" s="712"/>
      <c r="AP498" s="712"/>
      <c r="AQ498" s="712"/>
      <c r="AR498" s="712"/>
      <c r="AS498" s="712"/>
      <c r="AT498" s="712"/>
      <c r="AU498" s="712"/>
      <c r="AV498" s="712"/>
      <c r="AW498" s="712"/>
      <c r="AX498" s="712"/>
      <c r="AY498" s="712"/>
      <c r="AZ498" s="712"/>
      <c r="BA498" s="712"/>
      <c r="BB498" s="712"/>
      <c r="BC498" s="712"/>
      <c r="BD498" s="712"/>
      <c r="BE498" s="712"/>
      <c r="BF498" s="712"/>
      <c r="BG498" s="712"/>
      <c r="BH498" s="712"/>
      <c r="BI498" s="712"/>
      <c r="BJ498" s="712"/>
      <c r="BK498" s="712"/>
      <c r="BL498" s="712"/>
      <c r="BM498" s="712"/>
      <c r="BN498" s="712"/>
      <c r="BO498" s="712"/>
      <c r="BP498" s="712"/>
      <c r="BQ498" s="712"/>
      <c r="BR498" s="712"/>
      <c r="BS498" s="712"/>
      <c r="BT498" s="712"/>
      <c r="BU498" s="712"/>
      <c r="BV498" s="712"/>
      <c r="BW498" s="712"/>
      <c r="BX498" s="712"/>
      <c r="BY498" s="712"/>
      <c r="BZ498" s="712"/>
      <c r="CA498" s="712"/>
      <c r="CB498" s="712"/>
      <c r="CC498" s="712"/>
      <c r="CD498" s="712"/>
      <c r="CE498" s="712"/>
      <c r="CF498" s="712"/>
      <c r="CG498" s="712"/>
      <c r="CH498" s="712"/>
      <c r="CI498" s="712"/>
      <c r="CJ498" s="712"/>
      <c r="CK498" s="712"/>
      <c r="CL498" s="712"/>
      <c r="CM498" s="712"/>
      <c r="CN498" s="712"/>
      <c r="CO498" s="712"/>
      <c r="CP498" s="712"/>
      <c r="CQ498" s="712"/>
      <c r="CR498" s="712"/>
      <c r="CS498" s="712"/>
      <c r="CT498" s="712"/>
      <c r="CU498" s="712"/>
      <c r="CV498" s="712"/>
      <c r="CW498" s="712"/>
      <c r="CX498" s="712"/>
      <c r="CY498" s="712"/>
      <c r="CZ498" s="712"/>
      <c r="DA498" s="712"/>
      <c r="DB498" s="712"/>
      <c r="DC498" s="712"/>
      <c r="DD498" s="712"/>
      <c r="DE498" s="712"/>
      <c r="DF498" s="712"/>
      <c r="DG498" s="712"/>
      <c r="DH498" s="712"/>
      <c r="DI498" s="712"/>
      <c r="DJ498" s="712"/>
      <c r="DK498" s="712"/>
      <c r="DL498" s="712"/>
      <c r="DM498" s="712"/>
      <c r="DN498" s="712"/>
      <c r="DO498" s="712"/>
      <c r="DP498" s="712"/>
      <c r="DQ498" s="712"/>
      <c r="DR498" s="712"/>
      <c r="DS498" s="712"/>
      <c r="DT498" s="712"/>
      <c r="DU498" s="712"/>
      <c r="DV498" s="712"/>
      <c r="DW498" s="712"/>
      <c r="DX498" s="712"/>
      <c r="DY498" s="712"/>
      <c r="DZ498" s="712"/>
      <c r="EA498" s="712"/>
      <c r="EB498" s="712"/>
      <c r="EC498" s="712"/>
      <c r="ED498" s="712"/>
      <c r="EE498" s="712"/>
      <c r="EF498" s="712"/>
      <c r="EG498" s="712"/>
      <c r="EH498" s="712"/>
      <c r="EI498" s="712"/>
      <c r="EJ498" s="712"/>
      <c r="EK498" s="712"/>
      <c r="EL498" s="712"/>
      <c r="EM498" s="712"/>
      <c r="EN498" s="712"/>
      <c r="EO498" s="712"/>
      <c r="EP498" s="712"/>
      <c r="EQ498" s="712"/>
      <c r="ER498" s="712"/>
      <c r="ES498" s="712"/>
      <c r="ET498" s="794"/>
      <c r="EU498" s="794"/>
      <c r="EV498" s="794"/>
      <c r="EW498" s="794"/>
      <c r="EX498" s="794"/>
      <c r="EY498" s="794"/>
      <c r="EZ498" s="794"/>
      <c r="FA498" s="712"/>
      <c r="FB498" s="712"/>
      <c r="FC498" s="712"/>
      <c r="FD498" s="712"/>
      <c r="FE498" s="712"/>
      <c r="FF498" s="712"/>
      <c r="FG498" s="712"/>
      <c r="FH498" s="712"/>
      <c r="FI498" s="712"/>
      <c r="FJ498" s="712"/>
      <c r="FK498" s="712"/>
      <c r="FL498" s="712"/>
      <c r="FM498" s="712"/>
      <c r="FN498" s="712"/>
      <c r="FO498" s="712"/>
      <c r="FP498" s="712"/>
      <c r="FQ498" s="712"/>
      <c r="FR498" s="712"/>
      <c r="FS498" s="712"/>
      <c r="FT498" s="712"/>
      <c r="FU498" s="712"/>
      <c r="FV498" s="712"/>
      <c r="FW498" s="712"/>
      <c r="FX498" s="712"/>
      <c r="FZ498" s="712"/>
      <c r="GA498" s="712"/>
      <c r="GB498" s="712"/>
      <c r="GC498" s="712"/>
      <c r="GD498" s="712"/>
      <c r="GE498" s="712"/>
      <c r="GF498" s="712"/>
      <c r="GG498" s="712"/>
      <c r="GH498" s="712"/>
      <c r="GI498" s="712"/>
      <c r="GJ498" s="712"/>
      <c r="GK498" s="712"/>
      <c r="GL498" s="712"/>
      <c r="GM498" s="712"/>
      <c r="GN498" s="712"/>
      <c r="GO498" s="712"/>
      <c r="GP498" s="712"/>
      <c r="GQ498" s="712"/>
      <c r="GR498" s="712"/>
      <c r="GS498" s="712"/>
      <c r="GT498" s="712"/>
      <c r="GU498" s="712"/>
      <c r="GV498" s="712"/>
      <c r="GW498" s="712"/>
      <c r="GX498" s="712"/>
      <c r="GY498" s="712"/>
      <c r="GZ498" s="712"/>
      <c r="HA498" s="712"/>
      <c r="HB498" s="712"/>
      <c r="HC498" s="712"/>
    </row>
    <row r="499" spans="1:211">
      <c r="A499" s="707"/>
      <c r="G499" s="712"/>
      <c r="H499" s="712"/>
      <c r="I499" s="712"/>
      <c r="J499" s="712"/>
      <c r="K499" s="712"/>
      <c r="L499" s="712"/>
      <c r="M499" s="712"/>
      <c r="N499" s="712"/>
      <c r="O499" s="712"/>
      <c r="P499" s="712"/>
      <c r="Q499" s="712"/>
      <c r="R499" s="712"/>
      <c r="S499" s="712"/>
      <c r="T499" s="712"/>
      <c r="U499" s="712"/>
      <c r="V499" s="712"/>
      <c r="W499" s="712"/>
      <c r="X499" s="712"/>
      <c r="Y499" s="712"/>
      <c r="Z499" s="712"/>
      <c r="AA499" s="712"/>
      <c r="AB499" s="712"/>
      <c r="AC499" s="712"/>
      <c r="AD499" s="712"/>
      <c r="AE499" s="712"/>
      <c r="AF499" s="712"/>
      <c r="AG499" s="712"/>
      <c r="AH499" s="712"/>
      <c r="AI499" s="712"/>
      <c r="AJ499" s="712"/>
      <c r="AK499" s="712"/>
      <c r="AL499" s="712"/>
      <c r="AM499" s="712"/>
      <c r="AN499" s="712"/>
      <c r="AO499" s="712"/>
      <c r="AP499" s="712"/>
      <c r="AQ499" s="712"/>
      <c r="AR499" s="712"/>
      <c r="AS499" s="712"/>
      <c r="AT499" s="712"/>
      <c r="AU499" s="712"/>
      <c r="AV499" s="712"/>
      <c r="AW499" s="712"/>
      <c r="AX499" s="712"/>
      <c r="AY499" s="712"/>
      <c r="AZ499" s="712"/>
      <c r="BA499" s="712"/>
      <c r="BB499" s="712"/>
      <c r="BC499" s="712"/>
      <c r="BD499" s="712"/>
      <c r="BE499" s="712"/>
      <c r="BF499" s="712"/>
      <c r="BG499" s="712"/>
      <c r="BH499" s="712"/>
      <c r="BI499" s="712"/>
      <c r="BJ499" s="712"/>
      <c r="BK499" s="712"/>
      <c r="BL499" s="712"/>
      <c r="BM499" s="712"/>
      <c r="BN499" s="712"/>
      <c r="BO499" s="712"/>
      <c r="BP499" s="712"/>
      <c r="BQ499" s="712"/>
      <c r="BR499" s="712"/>
      <c r="BS499" s="712"/>
      <c r="BT499" s="712"/>
      <c r="BU499" s="712"/>
      <c r="BV499" s="712"/>
      <c r="BW499" s="712"/>
      <c r="BX499" s="712"/>
      <c r="BY499" s="712"/>
      <c r="BZ499" s="712"/>
      <c r="CA499" s="712"/>
      <c r="CB499" s="712"/>
      <c r="CC499" s="712"/>
      <c r="CD499" s="712"/>
      <c r="CE499" s="712"/>
      <c r="CF499" s="712"/>
      <c r="CG499" s="712"/>
      <c r="CH499" s="712"/>
      <c r="CI499" s="712"/>
      <c r="CJ499" s="712"/>
      <c r="CK499" s="712"/>
      <c r="CL499" s="712"/>
      <c r="CM499" s="712"/>
      <c r="CN499" s="712"/>
      <c r="CO499" s="712"/>
      <c r="CP499" s="712"/>
      <c r="CQ499" s="712"/>
      <c r="CR499" s="712"/>
      <c r="CS499" s="712"/>
      <c r="CT499" s="712"/>
      <c r="CU499" s="712"/>
      <c r="CV499" s="712"/>
      <c r="CW499" s="712"/>
      <c r="CX499" s="712"/>
      <c r="CY499" s="712"/>
      <c r="CZ499" s="712"/>
      <c r="DA499" s="712"/>
      <c r="DB499" s="712"/>
      <c r="DC499" s="712"/>
      <c r="DD499" s="712"/>
      <c r="DE499" s="712"/>
      <c r="DF499" s="712"/>
      <c r="DG499" s="712"/>
      <c r="DH499" s="712"/>
      <c r="DI499" s="712"/>
      <c r="DJ499" s="712"/>
      <c r="DK499" s="712"/>
      <c r="DL499" s="712"/>
      <c r="DM499" s="712"/>
      <c r="DN499" s="712"/>
      <c r="DO499" s="712"/>
      <c r="DP499" s="712"/>
      <c r="DQ499" s="712"/>
      <c r="DR499" s="712"/>
      <c r="DS499" s="712"/>
      <c r="DT499" s="712"/>
      <c r="DU499" s="712"/>
      <c r="DV499" s="712"/>
      <c r="DW499" s="712"/>
      <c r="DX499" s="712"/>
      <c r="DY499" s="712"/>
      <c r="DZ499" s="712"/>
      <c r="EA499" s="712"/>
      <c r="EB499" s="712"/>
      <c r="EC499" s="712"/>
      <c r="ED499" s="712"/>
      <c r="EE499" s="712"/>
      <c r="EF499" s="712"/>
      <c r="EG499" s="712"/>
      <c r="EH499" s="712"/>
      <c r="EI499" s="712"/>
      <c r="EJ499" s="712"/>
      <c r="EK499" s="712"/>
      <c r="EL499" s="712"/>
      <c r="EM499" s="712"/>
      <c r="EN499" s="712"/>
      <c r="EO499" s="712"/>
      <c r="EP499" s="712"/>
      <c r="EQ499" s="712"/>
      <c r="ER499" s="712"/>
      <c r="ES499" s="712"/>
      <c r="ET499" s="794"/>
      <c r="EU499" s="794"/>
      <c r="EV499" s="794"/>
      <c r="EW499" s="794"/>
      <c r="EX499" s="794"/>
      <c r="EY499" s="794"/>
      <c r="EZ499" s="794"/>
      <c r="FA499" s="712"/>
      <c r="FB499" s="712"/>
      <c r="FC499" s="712"/>
      <c r="FD499" s="712"/>
      <c r="FE499" s="712"/>
      <c r="FF499" s="712"/>
      <c r="FG499" s="712"/>
      <c r="FH499" s="712"/>
      <c r="FI499" s="712"/>
      <c r="FJ499" s="712"/>
      <c r="FK499" s="712"/>
      <c r="FL499" s="712"/>
      <c r="FM499" s="712"/>
      <c r="FN499" s="712"/>
      <c r="FO499" s="712"/>
      <c r="FP499" s="712"/>
      <c r="FQ499" s="712"/>
      <c r="FR499" s="712"/>
      <c r="FS499" s="712"/>
      <c r="FT499" s="712"/>
      <c r="FU499" s="712"/>
      <c r="FV499" s="712"/>
      <c r="FW499" s="712"/>
      <c r="FX499" s="712"/>
      <c r="FZ499" s="712"/>
      <c r="GA499" s="712"/>
      <c r="GB499" s="712"/>
      <c r="GC499" s="712"/>
      <c r="GD499" s="712"/>
      <c r="GE499" s="712"/>
      <c r="GF499" s="712"/>
      <c r="GG499" s="712"/>
      <c r="GH499" s="712"/>
      <c r="GI499" s="712"/>
      <c r="GJ499" s="712"/>
      <c r="GK499" s="712"/>
      <c r="GL499" s="712"/>
      <c r="GM499" s="712"/>
      <c r="GN499" s="712"/>
      <c r="GO499" s="712"/>
      <c r="GP499" s="712"/>
      <c r="GQ499" s="712"/>
      <c r="GR499" s="712"/>
      <c r="GS499" s="712"/>
      <c r="GT499" s="712"/>
      <c r="GU499" s="712"/>
      <c r="GV499" s="712"/>
      <c r="GW499" s="712"/>
      <c r="GX499" s="712"/>
      <c r="GY499" s="712"/>
      <c r="GZ499" s="712"/>
      <c r="HA499" s="712"/>
      <c r="HB499" s="712"/>
      <c r="HC499" s="712"/>
    </row>
    <row r="500" spans="1:211">
      <c r="A500" s="707"/>
      <c r="G500" s="712"/>
      <c r="H500" s="712"/>
      <c r="I500" s="712"/>
      <c r="J500" s="712"/>
      <c r="K500" s="712"/>
      <c r="L500" s="712"/>
      <c r="M500" s="712"/>
      <c r="N500" s="712"/>
      <c r="O500" s="712"/>
      <c r="P500" s="712"/>
      <c r="Q500" s="712"/>
      <c r="R500" s="712"/>
      <c r="S500" s="712"/>
      <c r="T500" s="712"/>
      <c r="U500" s="712"/>
      <c r="V500" s="712"/>
      <c r="W500" s="712"/>
      <c r="X500" s="712"/>
      <c r="Y500" s="712"/>
      <c r="Z500" s="712"/>
      <c r="AA500" s="712"/>
      <c r="AB500" s="712"/>
      <c r="AC500" s="712"/>
      <c r="AD500" s="712"/>
      <c r="AE500" s="712"/>
      <c r="AF500" s="712"/>
      <c r="AG500" s="712"/>
      <c r="AH500" s="712"/>
      <c r="AI500" s="712"/>
      <c r="AJ500" s="712"/>
      <c r="AK500" s="712"/>
      <c r="AL500" s="712"/>
      <c r="AM500" s="712"/>
      <c r="AN500" s="712"/>
      <c r="AO500" s="712"/>
      <c r="AP500" s="712"/>
      <c r="AQ500" s="712"/>
      <c r="AR500" s="712"/>
      <c r="AS500" s="712"/>
      <c r="AT500" s="712"/>
      <c r="AU500" s="712"/>
      <c r="AV500" s="712"/>
      <c r="AW500" s="712"/>
      <c r="AX500" s="712"/>
      <c r="AY500" s="712"/>
      <c r="AZ500" s="712"/>
      <c r="BA500" s="712"/>
      <c r="BB500" s="712"/>
      <c r="BC500" s="712"/>
      <c r="BD500" s="712"/>
      <c r="BE500" s="712"/>
      <c r="BF500" s="712"/>
      <c r="BG500" s="712"/>
      <c r="BH500" s="712"/>
      <c r="BI500" s="712"/>
      <c r="BJ500" s="712"/>
      <c r="BK500" s="712"/>
      <c r="BL500" s="712"/>
      <c r="BM500" s="712"/>
      <c r="BN500" s="712"/>
      <c r="BO500" s="712"/>
      <c r="BP500" s="712"/>
      <c r="BQ500" s="712"/>
      <c r="BR500" s="712"/>
      <c r="BS500" s="712"/>
      <c r="BT500" s="712"/>
      <c r="BU500" s="712"/>
      <c r="BV500" s="712"/>
      <c r="BW500" s="712"/>
      <c r="BX500" s="712"/>
      <c r="BY500" s="712"/>
      <c r="BZ500" s="712"/>
      <c r="CA500" s="712"/>
      <c r="CB500" s="712"/>
      <c r="CC500" s="712"/>
      <c r="CD500" s="712"/>
      <c r="CE500" s="712"/>
      <c r="CF500" s="712"/>
      <c r="CG500" s="712"/>
      <c r="CH500" s="712"/>
      <c r="CI500" s="712"/>
      <c r="CJ500" s="712"/>
      <c r="CK500" s="712"/>
      <c r="CL500" s="712"/>
      <c r="CM500" s="712"/>
      <c r="CN500" s="712"/>
      <c r="CO500" s="712"/>
      <c r="CP500" s="712"/>
      <c r="CQ500" s="712"/>
      <c r="CR500" s="712"/>
      <c r="CS500" s="712"/>
      <c r="CT500" s="712"/>
      <c r="CU500" s="712"/>
      <c r="CV500" s="712"/>
      <c r="CW500" s="712"/>
      <c r="CX500" s="712"/>
      <c r="CY500" s="712"/>
      <c r="CZ500" s="712"/>
      <c r="DA500" s="712"/>
      <c r="DB500" s="712"/>
      <c r="DC500" s="712"/>
      <c r="DD500" s="712"/>
      <c r="DE500" s="712"/>
      <c r="DF500" s="712"/>
      <c r="DG500" s="712"/>
      <c r="DH500" s="712"/>
      <c r="DI500" s="712"/>
      <c r="DJ500" s="712"/>
      <c r="DK500" s="712"/>
      <c r="DL500" s="712"/>
      <c r="DM500" s="712"/>
      <c r="DN500" s="712"/>
      <c r="DO500" s="712"/>
      <c r="DP500" s="712"/>
      <c r="DQ500" s="712"/>
      <c r="DR500" s="712"/>
      <c r="DS500" s="712"/>
      <c r="DT500" s="712"/>
      <c r="DU500" s="712"/>
      <c r="DV500" s="712"/>
      <c r="DW500" s="712"/>
      <c r="DX500" s="712"/>
      <c r="DY500" s="712"/>
      <c r="DZ500" s="712"/>
      <c r="EA500" s="712"/>
      <c r="EB500" s="712"/>
      <c r="EC500" s="712"/>
      <c r="ED500" s="712"/>
      <c r="EE500" s="712"/>
      <c r="EF500" s="712"/>
      <c r="EG500" s="712"/>
      <c r="EH500" s="712"/>
      <c r="EI500" s="712"/>
      <c r="EJ500" s="712"/>
      <c r="EK500" s="712"/>
      <c r="EL500" s="712"/>
      <c r="EM500" s="712"/>
      <c r="EN500" s="712"/>
      <c r="EO500" s="712"/>
      <c r="EP500" s="712"/>
      <c r="EQ500" s="712"/>
      <c r="ER500" s="712"/>
      <c r="ES500" s="712"/>
      <c r="ET500" s="794"/>
      <c r="EU500" s="794"/>
      <c r="EV500" s="794"/>
      <c r="EW500" s="794"/>
      <c r="EX500" s="794"/>
      <c r="EY500" s="794"/>
      <c r="EZ500" s="794"/>
      <c r="FA500" s="712"/>
      <c r="FB500" s="712"/>
      <c r="FC500" s="712"/>
      <c r="FD500" s="712"/>
      <c r="FE500" s="712"/>
      <c r="FF500" s="712"/>
      <c r="FG500" s="712"/>
      <c r="FH500" s="712"/>
      <c r="FI500" s="712"/>
      <c r="FJ500" s="712"/>
      <c r="FK500" s="712"/>
      <c r="FL500" s="712"/>
      <c r="FM500" s="712"/>
      <c r="FN500" s="712"/>
      <c r="FO500" s="712"/>
      <c r="FP500" s="712"/>
      <c r="FQ500" s="712"/>
      <c r="FR500" s="712"/>
      <c r="FS500" s="712"/>
      <c r="FT500" s="712"/>
      <c r="FU500" s="712"/>
      <c r="FV500" s="712"/>
      <c r="FW500" s="712"/>
      <c r="FX500" s="712"/>
      <c r="FZ500" s="712"/>
      <c r="GA500" s="712"/>
      <c r="GB500" s="712"/>
      <c r="GC500" s="712"/>
      <c r="GD500" s="712"/>
      <c r="GE500" s="712"/>
      <c r="GF500" s="712"/>
      <c r="GG500" s="712"/>
      <c r="GH500" s="712"/>
      <c r="GI500" s="712"/>
      <c r="GJ500" s="712"/>
      <c r="GK500" s="712"/>
      <c r="GL500" s="712"/>
      <c r="GM500" s="712"/>
      <c r="GN500" s="712"/>
      <c r="GO500" s="712"/>
      <c r="GP500" s="712"/>
      <c r="GQ500" s="712"/>
      <c r="GR500" s="712"/>
      <c r="GS500" s="712"/>
      <c r="GT500" s="712"/>
      <c r="GU500" s="712"/>
      <c r="GV500" s="712"/>
      <c r="GW500" s="712"/>
      <c r="GX500" s="712"/>
      <c r="GY500" s="712"/>
      <c r="GZ500" s="712"/>
      <c r="HA500" s="712"/>
      <c r="HB500" s="712"/>
      <c r="HC500" s="712"/>
    </row>
    <row r="501" spans="1:211">
      <c r="A501" s="707"/>
      <c r="G501" s="712"/>
      <c r="H501" s="712"/>
      <c r="I501" s="712"/>
      <c r="J501" s="712"/>
      <c r="K501" s="712"/>
      <c r="L501" s="712"/>
      <c r="M501" s="712"/>
      <c r="N501" s="712"/>
      <c r="O501" s="712"/>
      <c r="P501" s="712"/>
      <c r="Q501" s="712"/>
      <c r="R501" s="712"/>
      <c r="S501" s="712"/>
      <c r="T501" s="712"/>
      <c r="U501" s="712"/>
      <c r="V501" s="712"/>
      <c r="W501" s="712"/>
      <c r="X501" s="712"/>
      <c r="Y501" s="712"/>
      <c r="Z501" s="712"/>
      <c r="AA501" s="712"/>
      <c r="AB501" s="712"/>
      <c r="AC501" s="712"/>
      <c r="AD501" s="712"/>
      <c r="AE501" s="712"/>
      <c r="AF501" s="712"/>
      <c r="AG501" s="712"/>
      <c r="AH501" s="712"/>
      <c r="AI501" s="712"/>
      <c r="AJ501" s="712"/>
      <c r="AK501" s="712"/>
      <c r="AL501" s="712"/>
      <c r="AM501" s="712"/>
      <c r="AN501" s="712"/>
      <c r="AO501" s="712"/>
      <c r="AP501" s="712"/>
      <c r="AQ501" s="712"/>
      <c r="AR501" s="712"/>
      <c r="AS501" s="712"/>
      <c r="AT501" s="712"/>
      <c r="AU501" s="712"/>
      <c r="AV501" s="712"/>
      <c r="AW501" s="712"/>
      <c r="AX501" s="712"/>
      <c r="AY501" s="712"/>
      <c r="AZ501" s="712"/>
      <c r="BA501" s="712"/>
      <c r="BB501" s="712"/>
      <c r="BC501" s="712"/>
      <c r="BD501" s="712"/>
      <c r="BE501" s="712"/>
      <c r="BF501" s="712"/>
      <c r="BG501" s="712"/>
      <c r="BH501" s="712"/>
      <c r="BI501" s="712"/>
      <c r="BJ501" s="712"/>
      <c r="BK501" s="712"/>
      <c r="BL501" s="712"/>
      <c r="BM501" s="712"/>
      <c r="BN501" s="712"/>
      <c r="BO501" s="712"/>
      <c r="BP501" s="712"/>
      <c r="BQ501" s="712"/>
      <c r="BR501" s="712"/>
      <c r="BS501" s="712"/>
      <c r="BT501" s="712"/>
      <c r="BU501" s="712"/>
      <c r="BV501" s="712"/>
      <c r="BW501" s="712"/>
      <c r="BX501" s="712"/>
      <c r="BY501" s="712"/>
      <c r="BZ501" s="712"/>
      <c r="CA501" s="712"/>
      <c r="CB501" s="712"/>
      <c r="CC501" s="712"/>
      <c r="CD501" s="712"/>
      <c r="CE501" s="712"/>
      <c r="CF501" s="712"/>
      <c r="CG501" s="712"/>
      <c r="CH501" s="712"/>
      <c r="CI501" s="712"/>
      <c r="CJ501" s="712"/>
      <c r="CK501" s="712"/>
      <c r="CL501" s="712"/>
      <c r="CM501" s="712"/>
      <c r="CN501" s="712"/>
      <c r="CO501" s="712"/>
      <c r="CP501" s="712"/>
      <c r="CQ501" s="712"/>
      <c r="CR501" s="712"/>
      <c r="CS501" s="712"/>
      <c r="CT501" s="712"/>
      <c r="CU501" s="712"/>
      <c r="CV501" s="712"/>
      <c r="CW501" s="712"/>
      <c r="CX501" s="712"/>
      <c r="CY501" s="712"/>
      <c r="CZ501" s="712"/>
      <c r="DA501" s="712"/>
      <c r="DB501" s="712"/>
      <c r="DC501" s="712"/>
      <c r="DD501" s="712"/>
      <c r="DE501" s="712"/>
      <c r="DF501" s="712"/>
      <c r="DG501" s="712"/>
      <c r="DH501" s="712"/>
      <c r="DI501" s="712"/>
      <c r="DJ501" s="712"/>
      <c r="DK501" s="712"/>
      <c r="DL501" s="712"/>
      <c r="DM501" s="712"/>
      <c r="DN501" s="712"/>
      <c r="DO501" s="712"/>
      <c r="DP501" s="712"/>
      <c r="DQ501" s="712"/>
      <c r="DR501" s="712"/>
      <c r="DS501" s="712"/>
      <c r="DT501" s="712"/>
      <c r="DU501" s="712"/>
      <c r="DV501" s="712"/>
      <c r="DW501" s="712"/>
      <c r="DX501" s="712"/>
      <c r="DY501" s="712"/>
      <c r="DZ501" s="712"/>
      <c r="EA501" s="712"/>
      <c r="EB501" s="712"/>
      <c r="EC501" s="712"/>
      <c r="ED501" s="712"/>
      <c r="EE501" s="712"/>
      <c r="EF501" s="712"/>
      <c r="EG501" s="712"/>
      <c r="EH501" s="712"/>
      <c r="EI501" s="712"/>
      <c r="EJ501" s="712"/>
      <c r="EK501" s="712"/>
      <c r="EL501" s="712"/>
      <c r="EM501" s="712"/>
      <c r="EN501" s="712"/>
      <c r="EO501" s="712"/>
      <c r="EP501" s="712"/>
      <c r="EQ501" s="712"/>
      <c r="ER501" s="712"/>
      <c r="ES501" s="712"/>
      <c r="ET501" s="794"/>
      <c r="EU501" s="794"/>
      <c r="EV501" s="794"/>
      <c r="EW501" s="794"/>
      <c r="EX501" s="794"/>
      <c r="EY501" s="794"/>
      <c r="EZ501" s="794"/>
      <c r="FA501" s="712"/>
      <c r="FB501" s="712"/>
      <c r="FC501" s="712"/>
      <c r="FD501" s="712"/>
      <c r="FE501" s="712"/>
      <c r="FF501" s="712"/>
      <c r="FG501" s="712"/>
      <c r="FH501" s="712"/>
      <c r="FI501" s="712"/>
      <c r="FJ501" s="712"/>
      <c r="FK501" s="712"/>
      <c r="FL501" s="712"/>
      <c r="FM501" s="712"/>
      <c r="FN501" s="712"/>
      <c r="FO501" s="712"/>
      <c r="FP501" s="712"/>
      <c r="FQ501" s="712"/>
      <c r="FR501" s="712"/>
      <c r="FS501" s="712"/>
      <c r="FT501" s="712"/>
      <c r="FU501" s="712"/>
      <c r="FV501" s="712"/>
      <c r="FW501" s="712"/>
      <c r="FX501" s="712"/>
      <c r="FZ501" s="712"/>
      <c r="GA501" s="712"/>
      <c r="GB501" s="712"/>
      <c r="GC501" s="712"/>
      <c r="GD501" s="712"/>
      <c r="GE501" s="712"/>
      <c r="GF501" s="712"/>
      <c r="GG501" s="712"/>
      <c r="GH501" s="712"/>
      <c r="GI501" s="712"/>
      <c r="GJ501" s="712"/>
      <c r="GK501" s="712"/>
      <c r="GL501" s="712"/>
      <c r="GM501" s="712"/>
      <c r="GN501" s="712"/>
      <c r="GO501" s="712"/>
      <c r="GP501" s="712"/>
      <c r="GQ501" s="712"/>
      <c r="GR501" s="712"/>
      <c r="GS501" s="712"/>
      <c r="GT501" s="712"/>
      <c r="GU501" s="712"/>
      <c r="GV501" s="712"/>
      <c r="GW501" s="712"/>
      <c r="GX501" s="712"/>
      <c r="GY501" s="712"/>
      <c r="GZ501" s="712"/>
      <c r="HA501" s="712"/>
      <c r="HB501" s="712"/>
      <c r="HC501" s="712"/>
    </row>
    <row r="502" spans="1:211">
      <c r="A502" s="707"/>
      <c r="G502" s="712"/>
      <c r="H502" s="712"/>
      <c r="I502" s="712"/>
      <c r="J502" s="712"/>
      <c r="K502" s="712"/>
      <c r="L502" s="712"/>
      <c r="M502" s="712"/>
      <c r="N502" s="712"/>
      <c r="O502" s="712"/>
      <c r="P502" s="712"/>
      <c r="Q502" s="712"/>
      <c r="R502" s="712"/>
      <c r="S502" s="712"/>
      <c r="T502" s="712"/>
      <c r="U502" s="712"/>
      <c r="V502" s="712"/>
      <c r="W502" s="712"/>
      <c r="X502" s="712"/>
      <c r="Y502" s="712"/>
      <c r="Z502" s="712"/>
      <c r="AA502" s="712"/>
      <c r="AB502" s="712"/>
      <c r="AC502" s="712"/>
      <c r="AD502" s="712"/>
      <c r="AE502" s="712"/>
      <c r="AF502" s="712"/>
      <c r="AG502" s="712"/>
      <c r="AH502" s="712"/>
      <c r="AI502" s="712"/>
      <c r="AJ502" s="712"/>
      <c r="AK502" s="712"/>
      <c r="AL502" s="712"/>
      <c r="AM502" s="712"/>
      <c r="AN502" s="712"/>
      <c r="AO502" s="712"/>
      <c r="AP502" s="712"/>
      <c r="AQ502" s="712"/>
      <c r="AR502" s="712"/>
      <c r="AS502" s="712"/>
      <c r="AT502" s="712"/>
      <c r="AU502" s="712"/>
      <c r="AV502" s="712"/>
      <c r="AW502" s="712"/>
      <c r="AX502" s="712"/>
      <c r="AY502" s="712"/>
      <c r="AZ502" s="712"/>
      <c r="BA502" s="712"/>
      <c r="BB502" s="712"/>
      <c r="BC502" s="712"/>
      <c r="BD502" s="712"/>
      <c r="BE502" s="712"/>
      <c r="BF502" s="712"/>
      <c r="BG502" s="712"/>
      <c r="BH502" s="712"/>
      <c r="BI502" s="712"/>
      <c r="BJ502" s="712"/>
      <c r="BK502" s="712"/>
      <c r="BL502" s="712"/>
      <c r="BM502" s="712"/>
      <c r="BN502" s="712"/>
      <c r="BO502" s="712"/>
      <c r="BP502" s="712"/>
      <c r="BQ502" s="712"/>
      <c r="BR502" s="712"/>
      <c r="BS502" s="712"/>
      <c r="BT502" s="712"/>
      <c r="BU502" s="712"/>
      <c r="BV502" s="712"/>
      <c r="BW502" s="712"/>
      <c r="BX502" s="712"/>
      <c r="BY502" s="712"/>
      <c r="BZ502" s="712"/>
      <c r="CA502" s="712"/>
      <c r="CB502" s="712"/>
      <c r="CC502" s="712"/>
      <c r="CD502" s="712"/>
      <c r="CE502" s="712"/>
      <c r="CF502" s="712"/>
      <c r="CG502" s="712"/>
      <c r="CH502" s="712"/>
      <c r="CI502" s="712"/>
      <c r="CJ502" s="712"/>
      <c r="CK502" s="712"/>
      <c r="CL502" s="712"/>
      <c r="CM502" s="712"/>
      <c r="CN502" s="712"/>
      <c r="CO502" s="712"/>
      <c r="CP502" s="712"/>
      <c r="CQ502" s="712"/>
      <c r="CR502" s="712"/>
      <c r="CS502" s="712"/>
      <c r="CT502" s="712"/>
      <c r="CU502" s="712"/>
      <c r="CV502" s="712"/>
      <c r="CW502" s="712"/>
      <c r="CX502" s="712"/>
      <c r="CY502" s="712"/>
      <c r="CZ502" s="712"/>
      <c r="DA502" s="712"/>
      <c r="DB502" s="712"/>
      <c r="DC502" s="712"/>
      <c r="DD502" s="712"/>
      <c r="DE502" s="712"/>
      <c r="DF502" s="712"/>
      <c r="DG502" s="712"/>
      <c r="DH502" s="712"/>
      <c r="DI502" s="712"/>
      <c r="DJ502" s="712"/>
      <c r="DK502" s="712"/>
      <c r="DL502" s="712"/>
      <c r="DM502" s="712"/>
      <c r="DN502" s="712"/>
      <c r="DO502" s="712"/>
      <c r="DP502" s="712"/>
      <c r="DQ502" s="712"/>
      <c r="DR502" s="712"/>
      <c r="DS502" s="712"/>
      <c r="DT502" s="712"/>
      <c r="DU502" s="712"/>
      <c r="DV502" s="712"/>
      <c r="DW502" s="712"/>
      <c r="DX502" s="712"/>
      <c r="DY502" s="712"/>
      <c r="DZ502" s="712"/>
      <c r="EA502" s="712"/>
      <c r="EB502" s="712"/>
      <c r="EC502" s="712"/>
      <c r="ED502" s="712"/>
      <c r="EE502" s="712"/>
      <c r="EF502" s="712"/>
      <c r="EG502" s="712"/>
      <c r="EH502" s="712"/>
      <c r="EI502" s="712"/>
      <c r="EJ502" s="712"/>
      <c r="EK502" s="712"/>
      <c r="EL502" s="712"/>
      <c r="EM502" s="712"/>
      <c r="EN502" s="712"/>
      <c r="EO502" s="712"/>
      <c r="EP502" s="712"/>
      <c r="EQ502" s="712"/>
      <c r="ER502" s="712"/>
      <c r="ES502" s="712"/>
      <c r="ET502" s="794"/>
      <c r="EU502" s="794"/>
      <c r="EV502" s="794"/>
      <c r="EW502" s="794"/>
      <c r="EX502" s="794"/>
      <c r="EY502" s="794"/>
      <c r="EZ502" s="794"/>
      <c r="FA502" s="712"/>
      <c r="FB502" s="712"/>
      <c r="FC502" s="712"/>
      <c r="FD502" s="712"/>
      <c r="FE502" s="712"/>
      <c r="FF502" s="712"/>
      <c r="FG502" s="712"/>
      <c r="FH502" s="712"/>
      <c r="FI502" s="712"/>
      <c r="FJ502" s="712"/>
      <c r="FK502" s="712"/>
      <c r="FL502" s="712"/>
      <c r="FM502" s="712"/>
      <c r="FN502" s="712"/>
      <c r="FO502" s="712"/>
      <c r="FP502" s="712"/>
      <c r="FQ502" s="712"/>
      <c r="FR502" s="712"/>
      <c r="FS502" s="712"/>
      <c r="FT502" s="712"/>
      <c r="FU502" s="712"/>
      <c r="FV502" s="712"/>
      <c r="FW502" s="712"/>
      <c r="FX502" s="712"/>
      <c r="FZ502" s="712"/>
      <c r="GA502" s="712"/>
      <c r="GB502" s="712"/>
      <c r="GC502" s="712"/>
      <c r="GD502" s="712"/>
      <c r="GE502" s="712"/>
      <c r="GF502" s="712"/>
      <c r="GG502" s="712"/>
      <c r="GH502" s="712"/>
      <c r="GI502" s="712"/>
      <c r="GJ502" s="712"/>
      <c r="GK502" s="712"/>
      <c r="GL502" s="712"/>
      <c r="GM502" s="712"/>
      <c r="GN502" s="712"/>
      <c r="GO502" s="712"/>
      <c r="GP502" s="712"/>
      <c r="GQ502" s="712"/>
      <c r="GR502" s="712"/>
      <c r="GS502" s="712"/>
      <c r="GT502" s="712"/>
      <c r="GU502" s="712"/>
      <c r="GV502" s="712"/>
      <c r="GW502" s="712"/>
      <c r="GX502" s="712"/>
      <c r="GY502" s="712"/>
      <c r="GZ502" s="712"/>
      <c r="HA502" s="712"/>
      <c r="HB502" s="712"/>
      <c r="HC502" s="712"/>
    </row>
    <row r="503" spans="1:211">
      <c r="A503" s="707"/>
      <c r="G503" s="712"/>
      <c r="H503" s="712"/>
      <c r="I503" s="712"/>
      <c r="J503" s="712"/>
      <c r="K503" s="712"/>
      <c r="L503" s="712"/>
      <c r="M503" s="712"/>
      <c r="N503" s="712"/>
      <c r="O503" s="712"/>
      <c r="P503" s="712"/>
      <c r="Q503" s="712"/>
      <c r="R503" s="712"/>
      <c r="S503" s="712"/>
      <c r="T503" s="712"/>
      <c r="U503" s="712"/>
      <c r="V503" s="712"/>
      <c r="W503" s="712"/>
      <c r="X503" s="712"/>
      <c r="Y503" s="712"/>
      <c r="Z503" s="712"/>
      <c r="AA503" s="712"/>
      <c r="AB503" s="712"/>
      <c r="AC503" s="712"/>
      <c r="AD503" s="712"/>
      <c r="AE503" s="712"/>
      <c r="AF503" s="712"/>
      <c r="AG503" s="712"/>
      <c r="AH503" s="712"/>
      <c r="AI503" s="712"/>
      <c r="AJ503" s="712"/>
      <c r="AK503" s="712"/>
      <c r="AL503" s="712"/>
      <c r="AM503" s="712"/>
      <c r="AN503" s="712"/>
      <c r="AO503" s="712"/>
      <c r="AP503" s="712"/>
      <c r="AQ503" s="712"/>
      <c r="AR503" s="712"/>
      <c r="AS503" s="712"/>
      <c r="AT503" s="712"/>
      <c r="AU503" s="712"/>
      <c r="AV503" s="712"/>
      <c r="AW503" s="712"/>
      <c r="AX503" s="712"/>
      <c r="AY503" s="712"/>
      <c r="AZ503" s="712"/>
      <c r="BA503" s="712"/>
      <c r="BB503" s="712"/>
      <c r="BC503" s="712"/>
      <c r="BD503" s="712"/>
      <c r="BE503" s="712"/>
      <c r="BF503" s="712"/>
      <c r="BG503" s="712"/>
      <c r="BH503" s="712"/>
      <c r="BI503" s="712"/>
      <c r="BJ503" s="712"/>
      <c r="BK503" s="712"/>
      <c r="BL503" s="712"/>
      <c r="BM503" s="712"/>
      <c r="BN503" s="712"/>
      <c r="BO503" s="712"/>
      <c r="BP503" s="712"/>
      <c r="BQ503" s="712"/>
      <c r="BR503" s="712"/>
      <c r="BS503" s="712"/>
      <c r="BT503" s="712"/>
      <c r="BU503" s="712"/>
      <c r="BV503" s="712"/>
      <c r="BW503" s="712"/>
      <c r="BX503" s="712"/>
      <c r="BY503" s="712"/>
      <c r="BZ503" s="712"/>
      <c r="CA503" s="712"/>
      <c r="CB503" s="712"/>
      <c r="CC503" s="712"/>
      <c r="CD503" s="712"/>
      <c r="CE503" s="712"/>
      <c r="CF503" s="712"/>
      <c r="CG503" s="712"/>
      <c r="CH503" s="712"/>
      <c r="CI503" s="712"/>
      <c r="CJ503" s="712"/>
      <c r="CK503" s="712"/>
      <c r="CL503" s="712"/>
      <c r="CM503" s="712"/>
      <c r="CN503" s="712"/>
      <c r="CO503" s="712"/>
      <c r="CP503" s="712"/>
      <c r="CQ503" s="712"/>
      <c r="CR503" s="712"/>
      <c r="CS503" s="712"/>
      <c r="CT503" s="712"/>
      <c r="CU503" s="712"/>
      <c r="CV503" s="712"/>
      <c r="CW503" s="712"/>
      <c r="CX503" s="712"/>
      <c r="CY503" s="712"/>
      <c r="CZ503" s="712"/>
      <c r="DA503" s="712"/>
      <c r="DB503" s="712"/>
      <c r="DC503" s="712"/>
      <c r="DD503" s="712"/>
      <c r="DE503" s="712"/>
      <c r="DF503" s="712"/>
      <c r="DG503" s="712"/>
      <c r="DH503" s="712"/>
      <c r="DI503" s="712"/>
      <c r="DJ503" s="712"/>
      <c r="DK503" s="712"/>
      <c r="DL503" s="712"/>
      <c r="DM503" s="712"/>
      <c r="DN503" s="712"/>
      <c r="DO503" s="712"/>
      <c r="DP503" s="712"/>
      <c r="DQ503" s="712"/>
      <c r="DR503" s="712"/>
      <c r="DS503" s="712"/>
      <c r="DT503" s="712"/>
      <c r="DU503" s="712"/>
      <c r="DV503" s="712"/>
      <c r="DW503" s="712"/>
      <c r="DX503" s="712"/>
      <c r="DY503" s="712"/>
      <c r="DZ503" s="712"/>
      <c r="EA503" s="712"/>
      <c r="EB503" s="712"/>
      <c r="EC503" s="712"/>
      <c r="ED503" s="712"/>
      <c r="EE503" s="712"/>
      <c r="EF503" s="712"/>
      <c r="EG503" s="712"/>
      <c r="EH503" s="712"/>
      <c r="EI503" s="712"/>
      <c r="EJ503" s="712"/>
      <c r="EK503" s="712"/>
      <c r="EL503" s="712"/>
      <c r="EM503" s="712"/>
      <c r="EN503" s="712"/>
      <c r="EO503" s="712"/>
      <c r="EP503" s="712"/>
      <c r="EQ503" s="712"/>
      <c r="ER503" s="712"/>
      <c r="ES503" s="712"/>
      <c r="ET503" s="794"/>
      <c r="EU503" s="794"/>
      <c r="EV503" s="794"/>
      <c r="EW503" s="794"/>
      <c r="EX503" s="794"/>
      <c r="EY503" s="794"/>
      <c r="EZ503" s="794"/>
      <c r="FA503" s="712"/>
      <c r="FB503" s="712"/>
      <c r="FC503" s="712"/>
      <c r="FD503" s="712"/>
      <c r="FE503" s="712"/>
      <c r="FF503" s="712"/>
      <c r="FG503" s="712"/>
      <c r="FH503" s="712"/>
      <c r="FI503" s="712"/>
      <c r="FJ503" s="712"/>
      <c r="FK503" s="712"/>
      <c r="FL503" s="712"/>
      <c r="FM503" s="712"/>
      <c r="FN503" s="712"/>
      <c r="FO503" s="712"/>
      <c r="FP503" s="712"/>
      <c r="FQ503" s="712"/>
      <c r="FR503" s="712"/>
      <c r="FS503" s="712"/>
      <c r="FT503" s="712"/>
      <c r="FU503" s="712"/>
      <c r="FV503" s="712"/>
      <c r="FW503" s="712"/>
      <c r="FX503" s="712"/>
      <c r="FZ503" s="712"/>
      <c r="GA503" s="712"/>
      <c r="GB503" s="712"/>
      <c r="GC503" s="712"/>
      <c r="GD503" s="712"/>
      <c r="GE503" s="712"/>
      <c r="GF503" s="712"/>
      <c r="GG503" s="712"/>
      <c r="GH503" s="712"/>
      <c r="GI503" s="712"/>
      <c r="GJ503" s="712"/>
      <c r="GK503" s="712"/>
      <c r="GL503" s="712"/>
      <c r="GM503" s="712"/>
      <c r="GN503" s="712"/>
      <c r="GO503" s="712"/>
      <c r="GP503" s="712"/>
      <c r="GQ503" s="712"/>
      <c r="GR503" s="712"/>
      <c r="GS503" s="712"/>
      <c r="GT503" s="712"/>
      <c r="GU503" s="712"/>
      <c r="GV503" s="712"/>
      <c r="GW503" s="712"/>
      <c r="GX503" s="712"/>
      <c r="GY503" s="712"/>
      <c r="GZ503" s="712"/>
      <c r="HA503" s="712"/>
      <c r="HB503" s="712"/>
      <c r="HC503" s="712"/>
    </row>
    <row r="504" spans="1:211">
      <c r="A504" s="707"/>
      <c r="G504" s="712"/>
      <c r="H504" s="712"/>
      <c r="I504" s="712"/>
      <c r="J504" s="712"/>
      <c r="K504" s="712"/>
      <c r="L504" s="712"/>
      <c r="M504" s="712"/>
      <c r="N504" s="712"/>
      <c r="O504" s="712"/>
      <c r="P504" s="712"/>
      <c r="Q504" s="712"/>
      <c r="R504" s="712"/>
      <c r="S504" s="712"/>
      <c r="T504" s="712"/>
      <c r="U504" s="712"/>
      <c r="V504" s="712"/>
      <c r="W504" s="712"/>
      <c r="X504" s="712"/>
      <c r="Y504" s="712"/>
      <c r="Z504" s="712"/>
      <c r="AA504" s="712"/>
      <c r="AB504" s="712"/>
      <c r="AC504" s="712"/>
      <c r="AD504" s="712"/>
      <c r="AE504" s="712"/>
      <c r="AF504" s="712"/>
      <c r="AG504" s="712"/>
      <c r="AH504" s="712"/>
      <c r="AI504" s="712"/>
      <c r="AJ504" s="712"/>
      <c r="AK504" s="712"/>
      <c r="AL504" s="712"/>
      <c r="AM504" s="712"/>
      <c r="AN504" s="712"/>
      <c r="AO504" s="712"/>
      <c r="AP504" s="712"/>
      <c r="AQ504" s="712"/>
      <c r="AR504" s="712"/>
      <c r="AS504" s="712"/>
      <c r="AT504" s="712"/>
      <c r="AU504" s="712"/>
      <c r="AV504" s="712"/>
      <c r="AW504" s="712"/>
      <c r="AX504" s="712"/>
      <c r="AY504" s="712"/>
      <c r="AZ504" s="712"/>
      <c r="BA504" s="712"/>
      <c r="BB504" s="712"/>
      <c r="BC504" s="712"/>
      <c r="BD504" s="712"/>
      <c r="BE504" s="712"/>
      <c r="BF504" s="712"/>
      <c r="BG504" s="712"/>
      <c r="BH504" s="712"/>
      <c r="BI504" s="712"/>
      <c r="BJ504" s="712"/>
      <c r="BK504" s="712"/>
      <c r="BL504" s="712"/>
      <c r="BM504" s="712"/>
      <c r="BN504" s="712"/>
      <c r="BO504" s="712"/>
      <c r="BP504" s="712"/>
      <c r="BQ504" s="712"/>
      <c r="BR504" s="712"/>
      <c r="BS504" s="712"/>
      <c r="BT504" s="712"/>
      <c r="BU504" s="712"/>
      <c r="BV504" s="712"/>
      <c r="BW504" s="712"/>
      <c r="BX504" s="712"/>
      <c r="BY504" s="712"/>
      <c r="BZ504" s="712"/>
      <c r="CA504" s="712"/>
      <c r="CB504" s="712"/>
      <c r="CC504" s="712"/>
      <c r="CD504" s="712"/>
      <c r="CE504" s="712"/>
      <c r="CF504" s="712"/>
      <c r="CG504" s="712"/>
      <c r="CH504" s="712"/>
      <c r="CI504" s="712"/>
      <c r="CJ504" s="712"/>
      <c r="CK504" s="712"/>
      <c r="CL504" s="712"/>
      <c r="CM504" s="712"/>
      <c r="CN504" s="712"/>
      <c r="CO504" s="712"/>
      <c r="CP504" s="712"/>
      <c r="CQ504" s="712"/>
      <c r="CR504" s="712"/>
      <c r="CS504" s="712"/>
      <c r="CT504" s="712"/>
      <c r="CU504" s="712"/>
      <c r="CV504" s="712"/>
      <c r="CW504" s="712"/>
      <c r="CX504" s="712"/>
      <c r="CY504" s="712"/>
      <c r="CZ504" s="712"/>
      <c r="DA504" s="712"/>
      <c r="DB504" s="712"/>
      <c r="DC504" s="712"/>
      <c r="DD504" s="712"/>
      <c r="DE504" s="712"/>
      <c r="DF504" s="712"/>
      <c r="DG504" s="712"/>
      <c r="DH504" s="712"/>
      <c r="DI504" s="712"/>
      <c r="DJ504" s="712"/>
      <c r="DK504" s="712"/>
      <c r="DL504" s="712"/>
      <c r="DM504" s="712"/>
      <c r="DN504" s="712"/>
      <c r="DO504" s="712"/>
      <c r="DP504" s="712"/>
      <c r="DQ504" s="712"/>
      <c r="DR504" s="712"/>
      <c r="DS504" s="712"/>
      <c r="DT504" s="712"/>
      <c r="DU504" s="712"/>
      <c r="DV504" s="712"/>
      <c r="DW504" s="712"/>
      <c r="DX504" s="712"/>
      <c r="DY504" s="712"/>
      <c r="DZ504" s="712"/>
      <c r="EA504" s="712"/>
      <c r="EB504" s="712"/>
      <c r="EC504" s="712"/>
      <c r="ED504" s="712"/>
      <c r="EE504" s="712"/>
      <c r="EF504" s="712"/>
      <c r="EG504" s="712"/>
      <c r="EH504" s="712"/>
      <c r="EI504" s="712"/>
      <c r="EJ504" s="712"/>
      <c r="EK504" s="712"/>
      <c r="EL504" s="712"/>
      <c r="EM504" s="712"/>
      <c r="EN504" s="712"/>
      <c r="EO504" s="712"/>
      <c r="EP504" s="712"/>
      <c r="EQ504" s="712"/>
      <c r="ER504" s="712"/>
      <c r="ES504" s="712"/>
      <c r="ET504" s="794"/>
      <c r="EU504" s="794"/>
      <c r="EV504" s="794"/>
      <c r="EW504" s="794"/>
      <c r="EX504" s="794"/>
      <c r="EY504" s="794"/>
      <c r="EZ504" s="794"/>
      <c r="FA504" s="712"/>
      <c r="FB504" s="712"/>
      <c r="FC504" s="712"/>
      <c r="FD504" s="712"/>
      <c r="FE504" s="712"/>
      <c r="FF504" s="712"/>
      <c r="FG504" s="712"/>
      <c r="FH504" s="712"/>
      <c r="FI504" s="712"/>
      <c r="FJ504" s="712"/>
      <c r="FK504" s="712"/>
      <c r="FL504" s="712"/>
      <c r="FM504" s="712"/>
      <c r="FN504" s="712"/>
      <c r="FO504" s="712"/>
      <c r="FP504" s="712"/>
      <c r="FQ504" s="712"/>
      <c r="FR504" s="712"/>
      <c r="FS504" s="712"/>
      <c r="FT504" s="712"/>
      <c r="FU504" s="712"/>
      <c r="FV504" s="712"/>
      <c r="FW504" s="712"/>
      <c r="FX504" s="712"/>
      <c r="FZ504" s="712"/>
      <c r="GA504" s="712"/>
      <c r="GB504" s="712"/>
      <c r="GC504" s="712"/>
      <c r="GD504" s="712"/>
      <c r="GE504" s="712"/>
      <c r="GF504" s="712"/>
      <c r="GG504" s="712"/>
      <c r="GH504" s="712"/>
      <c r="GI504" s="712"/>
      <c r="GJ504" s="712"/>
      <c r="GK504" s="712"/>
      <c r="GL504" s="712"/>
      <c r="GM504" s="712"/>
      <c r="GN504" s="712"/>
      <c r="GO504" s="712"/>
      <c r="GP504" s="712"/>
      <c r="GQ504" s="712"/>
      <c r="GR504" s="712"/>
      <c r="GS504" s="712"/>
      <c r="GT504" s="712"/>
      <c r="GU504" s="712"/>
      <c r="GV504" s="712"/>
      <c r="GW504" s="712"/>
      <c r="GX504" s="712"/>
      <c r="GY504" s="712"/>
      <c r="GZ504" s="712"/>
      <c r="HA504" s="712"/>
      <c r="HB504" s="712"/>
      <c r="HC504" s="712"/>
    </row>
    <row r="505" spans="1:211">
      <c r="A505" s="707"/>
      <c r="G505" s="712"/>
      <c r="H505" s="712"/>
      <c r="I505" s="712"/>
      <c r="J505" s="712"/>
      <c r="K505" s="712"/>
      <c r="L505" s="712"/>
      <c r="M505" s="712"/>
      <c r="N505" s="712"/>
      <c r="O505" s="712"/>
      <c r="P505" s="712"/>
      <c r="Q505" s="712"/>
      <c r="R505" s="712"/>
      <c r="S505" s="712"/>
      <c r="T505" s="712"/>
      <c r="U505" s="712"/>
      <c r="V505" s="712"/>
      <c r="W505" s="712"/>
      <c r="X505" s="712"/>
      <c r="Y505" s="712"/>
      <c r="Z505" s="712"/>
      <c r="AA505" s="712"/>
      <c r="AB505" s="712"/>
      <c r="AC505" s="712"/>
      <c r="AD505" s="712"/>
      <c r="AE505" s="712"/>
      <c r="AF505" s="712"/>
      <c r="AG505" s="712"/>
      <c r="AH505" s="712"/>
      <c r="AI505" s="712"/>
      <c r="AJ505" s="712"/>
      <c r="AK505" s="712"/>
      <c r="AL505" s="712"/>
      <c r="AM505" s="712"/>
      <c r="AN505" s="712"/>
      <c r="AO505" s="712"/>
      <c r="AP505" s="712"/>
      <c r="AQ505" s="712"/>
      <c r="AR505" s="712"/>
      <c r="AS505" s="712"/>
      <c r="AT505" s="712"/>
      <c r="AU505" s="712"/>
      <c r="AV505" s="712"/>
      <c r="AW505" s="712"/>
      <c r="AX505" s="712"/>
      <c r="AY505" s="712"/>
      <c r="AZ505" s="712"/>
      <c r="BA505" s="712"/>
      <c r="BB505" s="712"/>
      <c r="BC505" s="712"/>
      <c r="BD505" s="712"/>
      <c r="BE505" s="712"/>
      <c r="BF505" s="712"/>
      <c r="BG505" s="712"/>
      <c r="BH505" s="712"/>
      <c r="BI505" s="712"/>
      <c r="BJ505" s="712"/>
      <c r="BK505" s="712"/>
      <c r="BL505" s="712"/>
      <c r="BM505" s="712"/>
      <c r="BN505" s="712"/>
      <c r="BO505" s="712"/>
      <c r="BP505" s="712"/>
      <c r="BQ505" s="712"/>
      <c r="BR505" s="712"/>
      <c r="BS505" s="712"/>
      <c r="BT505" s="712"/>
      <c r="BU505" s="712"/>
      <c r="BV505" s="712"/>
      <c r="BW505" s="712"/>
      <c r="BX505" s="712"/>
      <c r="BY505" s="712"/>
      <c r="BZ505" s="712"/>
      <c r="CA505" s="712"/>
      <c r="CB505" s="712"/>
      <c r="CC505" s="712"/>
      <c r="CD505" s="712"/>
      <c r="CE505" s="712"/>
      <c r="CF505" s="712"/>
      <c r="CG505" s="712"/>
      <c r="CH505" s="712"/>
      <c r="CI505" s="712"/>
      <c r="CJ505" s="712"/>
      <c r="CK505" s="712"/>
      <c r="CL505" s="712"/>
      <c r="CM505" s="712"/>
      <c r="CN505" s="712"/>
      <c r="CO505" s="712"/>
      <c r="CP505" s="712"/>
      <c r="CQ505" s="712"/>
      <c r="CR505" s="712"/>
      <c r="CS505" s="712"/>
      <c r="CT505" s="712"/>
      <c r="CU505" s="712"/>
      <c r="CV505" s="712"/>
      <c r="CW505" s="712"/>
      <c r="CX505" s="712"/>
      <c r="CY505" s="712"/>
      <c r="CZ505" s="712"/>
      <c r="DA505" s="712"/>
      <c r="DB505" s="712"/>
      <c r="DC505" s="712"/>
      <c r="DD505" s="712"/>
      <c r="DE505" s="712"/>
      <c r="DF505" s="712"/>
      <c r="DG505" s="712"/>
      <c r="DH505" s="712"/>
      <c r="DI505" s="712"/>
      <c r="DJ505" s="712"/>
      <c r="DK505" s="712"/>
      <c r="DL505" s="712"/>
      <c r="DM505" s="712"/>
      <c r="DN505" s="712"/>
      <c r="DO505" s="712"/>
      <c r="DP505" s="712"/>
      <c r="DQ505" s="712"/>
      <c r="DR505" s="712"/>
      <c r="DS505" s="712"/>
      <c r="DT505" s="712"/>
      <c r="DU505" s="712"/>
      <c r="DV505" s="712"/>
      <c r="DW505" s="712"/>
      <c r="DX505" s="712"/>
      <c r="DY505" s="712"/>
      <c r="DZ505" s="712"/>
      <c r="EA505" s="712"/>
      <c r="EB505" s="712"/>
      <c r="EC505" s="712"/>
      <c r="ED505" s="712"/>
      <c r="EE505" s="712"/>
      <c r="EF505" s="712"/>
      <c r="EG505" s="712"/>
      <c r="EH505" s="712"/>
      <c r="EI505" s="712"/>
      <c r="EJ505" s="712"/>
      <c r="EK505" s="712"/>
      <c r="EL505" s="712"/>
      <c r="EM505" s="712"/>
      <c r="EN505" s="712"/>
      <c r="EO505" s="712"/>
      <c r="EP505" s="712"/>
      <c r="EQ505" s="712"/>
      <c r="ER505" s="712"/>
      <c r="ES505" s="712"/>
      <c r="ET505" s="794"/>
      <c r="EU505" s="794"/>
      <c r="EV505" s="794"/>
      <c r="EW505" s="794"/>
      <c r="EX505" s="794"/>
      <c r="EY505" s="794"/>
      <c r="EZ505" s="794"/>
      <c r="FA505" s="712"/>
      <c r="FB505" s="712"/>
      <c r="FC505" s="712"/>
      <c r="FD505" s="712"/>
      <c r="FE505" s="712"/>
      <c r="FF505" s="712"/>
      <c r="FG505" s="712"/>
      <c r="FH505" s="712"/>
      <c r="FI505" s="712"/>
      <c r="FJ505" s="712"/>
      <c r="FK505" s="712"/>
      <c r="FL505" s="712"/>
      <c r="FM505" s="712"/>
      <c r="FN505" s="712"/>
      <c r="FO505" s="712"/>
      <c r="FP505" s="712"/>
      <c r="FQ505" s="712"/>
      <c r="FR505" s="712"/>
      <c r="FS505" s="712"/>
      <c r="FT505" s="712"/>
      <c r="FU505" s="712"/>
      <c r="FV505" s="712"/>
      <c r="FW505" s="712"/>
      <c r="FX505" s="712"/>
      <c r="FZ505" s="712"/>
      <c r="GA505" s="712"/>
      <c r="GB505" s="712"/>
      <c r="GC505" s="712"/>
      <c r="GD505" s="712"/>
      <c r="GE505" s="712"/>
      <c r="GF505" s="712"/>
      <c r="GG505" s="712"/>
      <c r="GH505" s="712"/>
      <c r="GI505" s="712"/>
      <c r="GJ505" s="712"/>
      <c r="GK505" s="712"/>
      <c r="GL505" s="712"/>
      <c r="GM505" s="712"/>
      <c r="GN505" s="712"/>
      <c r="GO505" s="712"/>
      <c r="GP505" s="712"/>
      <c r="GQ505" s="712"/>
      <c r="GR505" s="712"/>
      <c r="GS505" s="712"/>
      <c r="GT505" s="712"/>
      <c r="GU505" s="712"/>
      <c r="GV505" s="712"/>
      <c r="GW505" s="712"/>
      <c r="GX505" s="712"/>
      <c r="GY505" s="712"/>
      <c r="GZ505" s="712"/>
      <c r="HA505" s="712"/>
      <c r="HB505" s="712"/>
      <c r="HC505" s="712"/>
    </row>
    <row r="506" spans="1:211">
      <c r="A506" s="707"/>
      <c r="G506" s="712"/>
      <c r="H506" s="712"/>
      <c r="I506" s="712"/>
      <c r="J506" s="712"/>
      <c r="K506" s="712"/>
      <c r="L506" s="712"/>
      <c r="M506" s="712"/>
      <c r="N506" s="712"/>
      <c r="O506" s="712"/>
      <c r="P506" s="712"/>
      <c r="Q506" s="712"/>
      <c r="R506" s="712"/>
      <c r="S506" s="712"/>
      <c r="T506" s="712"/>
      <c r="U506" s="712"/>
      <c r="V506" s="712"/>
      <c r="W506" s="712"/>
      <c r="X506" s="712"/>
      <c r="Y506" s="712"/>
      <c r="Z506" s="712"/>
      <c r="AA506" s="712"/>
      <c r="AB506" s="712"/>
      <c r="AC506" s="712"/>
      <c r="AD506" s="712"/>
      <c r="AE506" s="712"/>
      <c r="AF506" s="712"/>
      <c r="AG506" s="712"/>
      <c r="AH506" s="712"/>
      <c r="AI506" s="712"/>
      <c r="AJ506" s="712"/>
      <c r="AK506" s="712"/>
      <c r="AL506" s="712"/>
      <c r="AM506" s="712"/>
      <c r="AN506" s="712"/>
      <c r="AO506" s="712"/>
      <c r="AP506" s="712"/>
      <c r="AQ506" s="712"/>
      <c r="AR506" s="712"/>
      <c r="AS506" s="712"/>
      <c r="AT506" s="712"/>
      <c r="AU506" s="712"/>
      <c r="AV506" s="712"/>
      <c r="AW506" s="712"/>
      <c r="AX506" s="712"/>
      <c r="AY506" s="712"/>
      <c r="AZ506" s="712"/>
      <c r="BA506" s="712"/>
      <c r="BB506" s="712"/>
      <c r="BC506" s="712"/>
      <c r="BD506" s="712"/>
      <c r="BE506" s="712"/>
      <c r="BF506" s="712"/>
      <c r="BG506" s="712"/>
      <c r="BH506" s="712"/>
      <c r="BI506" s="712"/>
      <c r="BJ506" s="712"/>
      <c r="BK506" s="712"/>
      <c r="BL506" s="712"/>
      <c r="BM506" s="712"/>
      <c r="BN506" s="712"/>
      <c r="BO506" s="712"/>
      <c r="BP506" s="712"/>
      <c r="BQ506" s="712"/>
      <c r="BR506" s="712"/>
      <c r="BS506" s="712"/>
      <c r="BT506" s="712"/>
      <c r="BU506" s="712"/>
      <c r="BV506" s="712"/>
      <c r="BW506" s="712"/>
      <c r="BX506" s="712"/>
      <c r="BY506" s="712"/>
      <c r="BZ506" s="712"/>
      <c r="CA506" s="712"/>
      <c r="CB506" s="712"/>
      <c r="CC506" s="712"/>
      <c r="CD506" s="712"/>
      <c r="CE506" s="712"/>
      <c r="CF506" s="712"/>
      <c r="CG506" s="712"/>
      <c r="CH506" s="712"/>
      <c r="CI506" s="712"/>
      <c r="CJ506" s="712"/>
      <c r="CK506" s="712"/>
      <c r="CL506" s="712"/>
      <c r="CM506" s="712"/>
      <c r="CN506" s="712"/>
      <c r="CO506" s="712"/>
      <c r="CP506" s="712"/>
      <c r="CQ506" s="712"/>
      <c r="CR506" s="712"/>
      <c r="CS506" s="712"/>
      <c r="CT506" s="712"/>
      <c r="CU506" s="712"/>
      <c r="CV506" s="712"/>
      <c r="CW506" s="712"/>
      <c r="CX506" s="712"/>
      <c r="CY506" s="712"/>
      <c r="CZ506" s="712"/>
      <c r="DA506" s="712"/>
      <c r="DB506" s="712"/>
      <c r="DC506" s="712"/>
      <c r="DD506" s="712"/>
      <c r="DE506" s="712"/>
      <c r="DF506" s="712"/>
      <c r="DG506" s="712"/>
      <c r="DH506" s="712"/>
      <c r="DI506" s="712"/>
      <c r="DJ506" s="712"/>
      <c r="DK506" s="712"/>
      <c r="DL506" s="712"/>
      <c r="DM506" s="712"/>
      <c r="DN506" s="712"/>
      <c r="DO506" s="712"/>
      <c r="DP506" s="712"/>
      <c r="DQ506" s="712"/>
      <c r="DR506" s="712"/>
      <c r="DS506" s="712"/>
      <c r="DT506" s="712"/>
      <c r="DU506" s="712"/>
      <c r="DV506" s="712"/>
      <c r="DW506" s="712"/>
      <c r="DX506" s="712"/>
      <c r="DY506" s="712"/>
      <c r="DZ506" s="712"/>
      <c r="EA506" s="712"/>
      <c r="EB506" s="712"/>
      <c r="EC506" s="712"/>
      <c r="ED506" s="712"/>
      <c r="EE506" s="712"/>
      <c r="EF506" s="712"/>
      <c r="EG506" s="712"/>
      <c r="EH506" s="712"/>
      <c r="EI506" s="712"/>
      <c r="EJ506" s="712"/>
      <c r="EK506" s="712"/>
      <c r="EL506" s="712"/>
      <c r="EM506" s="712"/>
      <c r="EN506" s="712"/>
      <c r="EO506" s="712"/>
      <c r="EP506" s="712"/>
      <c r="EQ506" s="712"/>
      <c r="ER506" s="712"/>
      <c r="ES506" s="712"/>
      <c r="ET506" s="794"/>
      <c r="EU506" s="794"/>
      <c r="EV506" s="794"/>
      <c r="EW506" s="794"/>
      <c r="EX506" s="794"/>
      <c r="EY506" s="794"/>
      <c r="EZ506" s="794"/>
      <c r="FA506" s="712"/>
      <c r="FB506" s="712"/>
      <c r="FC506" s="712"/>
      <c r="FD506" s="712"/>
      <c r="FE506" s="712"/>
      <c r="FF506" s="712"/>
      <c r="FG506" s="712"/>
      <c r="FH506" s="712"/>
      <c r="FI506" s="712"/>
      <c r="FJ506" s="712"/>
      <c r="FK506" s="712"/>
      <c r="FL506" s="712"/>
      <c r="FM506" s="712"/>
      <c r="FN506" s="712"/>
      <c r="FO506" s="712"/>
      <c r="FP506" s="712"/>
      <c r="FQ506" s="712"/>
      <c r="FR506" s="712"/>
      <c r="FS506" s="712"/>
      <c r="FT506" s="712"/>
      <c r="FU506" s="712"/>
      <c r="FV506" s="712"/>
      <c r="FW506" s="712"/>
      <c r="FX506" s="712"/>
      <c r="FZ506" s="712"/>
      <c r="GA506" s="712"/>
      <c r="GB506" s="712"/>
      <c r="GC506" s="712"/>
      <c r="GD506" s="712"/>
      <c r="GE506" s="712"/>
      <c r="GF506" s="712"/>
      <c r="GG506" s="712"/>
      <c r="GH506" s="712"/>
      <c r="GI506" s="712"/>
      <c r="GJ506" s="712"/>
      <c r="GK506" s="712"/>
      <c r="GL506" s="712"/>
      <c r="GM506" s="712"/>
      <c r="GN506" s="712"/>
      <c r="GO506" s="712"/>
      <c r="GP506" s="712"/>
      <c r="GQ506" s="712"/>
      <c r="GR506" s="712"/>
      <c r="GS506" s="712"/>
      <c r="GT506" s="712"/>
      <c r="GU506" s="712"/>
      <c r="GV506" s="712"/>
      <c r="GW506" s="712"/>
      <c r="GX506" s="712"/>
      <c r="GY506" s="712"/>
      <c r="GZ506" s="712"/>
      <c r="HA506" s="712"/>
      <c r="HB506" s="712"/>
      <c r="HC506" s="712"/>
    </row>
    <row r="507" spans="1:211">
      <c r="A507" s="707"/>
      <c r="G507" s="712"/>
      <c r="H507" s="712"/>
      <c r="I507" s="712"/>
      <c r="J507" s="712"/>
      <c r="K507" s="712"/>
      <c r="L507" s="712"/>
      <c r="M507" s="712"/>
      <c r="N507" s="712"/>
      <c r="O507" s="712"/>
      <c r="P507" s="712"/>
      <c r="Q507" s="712"/>
      <c r="R507" s="712"/>
      <c r="S507" s="712"/>
      <c r="T507" s="712"/>
      <c r="U507" s="712"/>
      <c r="V507" s="712"/>
      <c r="W507" s="712"/>
      <c r="X507" s="712"/>
      <c r="Y507" s="712"/>
      <c r="Z507" s="712"/>
      <c r="AA507" s="712"/>
      <c r="AB507" s="712"/>
      <c r="AC507" s="712"/>
      <c r="AD507" s="712"/>
      <c r="AE507" s="712"/>
      <c r="AF507" s="712"/>
      <c r="AG507" s="712"/>
      <c r="AH507" s="712"/>
      <c r="AI507" s="712"/>
      <c r="AJ507" s="712"/>
      <c r="AK507" s="712"/>
      <c r="AL507" s="712"/>
      <c r="AM507" s="712"/>
      <c r="AN507" s="712"/>
      <c r="AO507" s="712"/>
      <c r="AP507" s="712"/>
      <c r="AQ507" s="712"/>
      <c r="AR507" s="712"/>
      <c r="AS507" s="712"/>
      <c r="AT507" s="712"/>
      <c r="AU507" s="712"/>
      <c r="AV507" s="712"/>
      <c r="AW507" s="712"/>
      <c r="AX507" s="712"/>
      <c r="AY507" s="712"/>
      <c r="AZ507" s="712"/>
      <c r="BA507" s="712"/>
      <c r="BB507" s="712"/>
      <c r="BC507" s="712"/>
      <c r="BD507" s="712"/>
      <c r="BE507" s="712"/>
      <c r="BF507" s="712"/>
      <c r="BG507" s="712"/>
      <c r="BH507" s="712"/>
      <c r="BI507" s="712"/>
      <c r="BJ507" s="712"/>
      <c r="BK507" s="712"/>
      <c r="BL507" s="712"/>
      <c r="BM507" s="712"/>
      <c r="BN507" s="712"/>
      <c r="BO507" s="712"/>
      <c r="BP507" s="712"/>
      <c r="BQ507" s="712"/>
      <c r="BR507" s="712"/>
      <c r="BS507" s="712"/>
      <c r="BT507" s="712"/>
      <c r="BU507" s="712"/>
      <c r="BV507" s="712"/>
      <c r="BW507" s="712"/>
      <c r="BX507" s="712"/>
      <c r="BY507" s="712"/>
      <c r="BZ507" s="712"/>
      <c r="CA507" s="712"/>
      <c r="CB507" s="712"/>
      <c r="CC507" s="712"/>
      <c r="CD507" s="712"/>
      <c r="CE507" s="712"/>
      <c r="CF507" s="712"/>
      <c r="CG507" s="712"/>
      <c r="CH507" s="712"/>
      <c r="CI507" s="712"/>
      <c r="CJ507" s="712"/>
      <c r="CK507" s="712"/>
      <c r="CL507" s="712"/>
      <c r="CM507" s="712"/>
      <c r="CN507" s="712"/>
      <c r="CO507" s="712"/>
      <c r="CP507" s="712"/>
      <c r="CQ507" s="712"/>
      <c r="CR507" s="712"/>
      <c r="CS507" s="712"/>
      <c r="CT507" s="712"/>
      <c r="CU507" s="712"/>
      <c r="CV507" s="712"/>
      <c r="CW507" s="712"/>
      <c r="CX507" s="712"/>
      <c r="CY507" s="712"/>
      <c r="CZ507" s="712"/>
      <c r="DA507" s="712"/>
      <c r="DB507" s="712"/>
      <c r="DC507" s="712"/>
      <c r="DD507" s="712"/>
      <c r="DE507" s="712"/>
      <c r="DF507" s="712"/>
      <c r="DG507" s="712"/>
      <c r="DH507" s="712"/>
      <c r="DI507" s="712"/>
      <c r="DJ507" s="712"/>
      <c r="DK507" s="712"/>
      <c r="DL507" s="712"/>
      <c r="DM507" s="712"/>
      <c r="DN507" s="712"/>
      <c r="DO507" s="712"/>
      <c r="DP507" s="712"/>
      <c r="DQ507" s="712"/>
      <c r="DR507" s="712"/>
      <c r="DS507" s="712"/>
      <c r="DT507" s="712"/>
      <c r="DU507" s="712"/>
      <c r="DV507" s="712"/>
      <c r="DW507" s="712"/>
      <c r="DX507" s="712"/>
      <c r="DY507" s="712"/>
      <c r="DZ507" s="712"/>
      <c r="EA507" s="712"/>
      <c r="EB507" s="712"/>
      <c r="EC507" s="712"/>
      <c r="ED507" s="712"/>
      <c r="EE507" s="712"/>
      <c r="EF507" s="712"/>
      <c r="EG507" s="712"/>
      <c r="EH507" s="712"/>
      <c r="EI507" s="712"/>
      <c r="EJ507" s="712"/>
      <c r="EK507" s="712"/>
      <c r="EL507" s="712"/>
      <c r="EM507" s="712"/>
      <c r="EN507" s="712"/>
      <c r="EO507" s="712"/>
      <c r="EP507" s="712"/>
      <c r="EQ507" s="712"/>
      <c r="ER507" s="712"/>
      <c r="ES507" s="712"/>
      <c r="ET507" s="794"/>
      <c r="EU507" s="794"/>
      <c r="EV507" s="794"/>
      <c r="EW507" s="794"/>
      <c r="EX507" s="794"/>
      <c r="EY507" s="794"/>
      <c r="EZ507" s="794"/>
      <c r="FA507" s="712"/>
      <c r="FB507" s="712"/>
      <c r="FC507" s="712"/>
      <c r="FD507" s="712"/>
      <c r="FE507" s="712"/>
      <c r="FF507" s="712"/>
      <c r="FG507" s="712"/>
      <c r="FH507" s="712"/>
      <c r="FI507" s="712"/>
      <c r="FJ507" s="712"/>
      <c r="FK507" s="712"/>
      <c r="FL507" s="712"/>
      <c r="FM507" s="712"/>
      <c r="FN507" s="712"/>
      <c r="FO507" s="712"/>
      <c r="FP507" s="712"/>
      <c r="FQ507" s="712"/>
      <c r="FR507" s="712"/>
      <c r="FS507" s="712"/>
      <c r="FT507" s="712"/>
      <c r="FU507" s="712"/>
      <c r="FV507" s="712"/>
      <c r="FW507" s="712"/>
      <c r="FX507" s="712"/>
      <c r="FZ507" s="712"/>
      <c r="GA507" s="712"/>
      <c r="GB507" s="712"/>
      <c r="GC507" s="712"/>
      <c r="GD507" s="712"/>
      <c r="GE507" s="712"/>
      <c r="GF507" s="712"/>
      <c r="GG507" s="712"/>
      <c r="GH507" s="712"/>
      <c r="GI507" s="712"/>
      <c r="GJ507" s="712"/>
      <c r="GK507" s="712"/>
      <c r="GL507" s="712"/>
      <c r="GM507" s="712"/>
      <c r="GN507" s="712"/>
      <c r="GO507" s="712"/>
      <c r="GP507" s="712"/>
      <c r="GQ507" s="712"/>
      <c r="GR507" s="712"/>
      <c r="GS507" s="712"/>
      <c r="GT507" s="712"/>
      <c r="GU507" s="712"/>
      <c r="GV507" s="712"/>
      <c r="GW507" s="712"/>
      <c r="GX507" s="712"/>
      <c r="GY507" s="712"/>
      <c r="GZ507" s="712"/>
      <c r="HA507" s="712"/>
      <c r="HB507" s="712"/>
      <c r="HC507" s="712"/>
    </row>
    <row r="508" spans="1:211">
      <c r="A508" s="707"/>
      <c r="G508" s="712"/>
      <c r="H508" s="712"/>
      <c r="I508" s="712"/>
      <c r="J508" s="712"/>
      <c r="K508" s="712"/>
      <c r="L508" s="712"/>
      <c r="M508" s="712"/>
      <c r="N508" s="712"/>
      <c r="O508" s="712"/>
      <c r="P508" s="712"/>
      <c r="Q508" s="712"/>
      <c r="R508" s="712"/>
      <c r="S508" s="712"/>
      <c r="T508" s="712"/>
      <c r="U508" s="712"/>
      <c r="V508" s="712"/>
      <c r="W508" s="712"/>
      <c r="X508" s="712"/>
      <c r="Y508" s="712"/>
      <c r="Z508" s="712"/>
      <c r="AA508" s="712"/>
      <c r="AB508" s="712"/>
      <c r="AC508" s="712"/>
      <c r="AD508" s="712"/>
      <c r="AE508" s="712"/>
      <c r="AF508" s="712"/>
      <c r="AG508" s="712"/>
      <c r="AH508" s="712"/>
      <c r="AI508" s="712"/>
      <c r="AJ508" s="712"/>
      <c r="AK508" s="712"/>
      <c r="AL508" s="712"/>
      <c r="AM508" s="712"/>
      <c r="AN508" s="712"/>
      <c r="AO508" s="712"/>
      <c r="AP508" s="712"/>
      <c r="AQ508" s="712"/>
      <c r="AR508" s="712"/>
      <c r="AS508" s="712"/>
      <c r="AT508" s="712"/>
      <c r="AU508" s="712"/>
      <c r="AV508" s="712"/>
      <c r="AW508" s="712"/>
      <c r="AX508" s="712"/>
      <c r="AY508" s="712"/>
      <c r="AZ508" s="712"/>
      <c r="BA508" s="712"/>
      <c r="BB508" s="712"/>
      <c r="BC508" s="712"/>
      <c r="BD508" s="712"/>
      <c r="BE508" s="712"/>
      <c r="BF508" s="712"/>
      <c r="BG508" s="712"/>
      <c r="BH508" s="712"/>
      <c r="BI508" s="712"/>
      <c r="BJ508" s="712"/>
      <c r="BK508" s="712"/>
      <c r="BL508" s="712"/>
      <c r="BM508" s="712"/>
      <c r="BN508" s="712"/>
      <c r="BO508" s="712"/>
      <c r="BP508" s="712"/>
      <c r="BQ508" s="712"/>
      <c r="BR508" s="712"/>
      <c r="BS508" s="712"/>
      <c r="BT508" s="712"/>
      <c r="BU508" s="712"/>
      <c r="BV508" s="712"/>
      <c r="BW508" s="712"/>
      <c r="BX508" s="712"/>
      <c r="BY508" s="712"/>
      <c r="BZ508" s="712"/>
      <c r="CA508" s="712"/>
      <c r="CB508" s="712"/>
      <c r="CC508" s="712"/>
      <c r="CD508" s="712"/>
      <c r="CE508" s="712"/>
      <c r="CF508" s="712"/>
      <c r="CG508" s="712"/>
      <c r="CH508" s="712"/>
      <c r="CI508" s="712"/>
      <c r="CJ508" s="712"/>
      <c r="CK508" s="712"/>
      <c r="CL508" s="712"/>
      <c r="CM508" s="712"/>
      <c r="CN508" s="712"/>
      <c r="CO508" s="712"/>
      <c r="CP508" s="712"/>
      <c r="CQ508" s="712"/>
      <c r="CR508" s="712"/>
      <c r="CS508" s="712"/>
      <c r="CT508" s="712"/>
      <c r="CU508" s="712"/>
      <c r="CV508" s="712"/>
      <c r="CW508" s="712"/>
      <c r="CX508" s="712"/>
      <c r="CY508" s="712"/>
      <c r="CZ508" s="712"/>
      <c r="DA508" s="712"/>
      <c r="DB508" s="712"/>
      <c r="DC508" s="712"/>
      <c r="DD508" s="712"/>
      <c r="DE508" s="712"/>
      <c r="DF508" s="712"/>
      <c r="DG508" s="712"/>
      <c r="DH508" s="712"/>
      <c r="DI508" s="712"/>
      <c r="DJ508" s="712"/>
      <c r="DK508" s="712"/>
      <c r="DL508" s="712"/>
      <c r="DM508" s="712"/>
      <c r="DN508" s="712"/>
      <c r="DO508" s="712"/>
      <c r="DP508" s="712"/>
      <c r="DQ508" s="712"/>
      <c r="DR508" s="712"/>
      <c r="DS508" s="712"/>
      <c r="DT508" s="712"/>
      <c r="DU508" s="712"/>
      <c r="DV508" s="712"/>
      <c r="DW508" s="712"/>
      <c r="DX508" s="712"/>
      <c r="DY508" s="712"/>
      <c r="DZ508" s="712"/>
      <c r="EA508" s="712"/>
      <c r="EB508" s="712"/>
      <c r="EC508" s="712"/>
      <c r="ED508" s="712"/>
      <c r="EE508" s="712"/>
      <c r="EF508" s="712"/>
      <c r="EG508" s="712"/>
      <c r="EH508" s="712"/>
      <c r="EI508" s="712"/>
      <c r="EJ508" s="712"/>
      <c r="EK508" s="712"/>
      <c r="EL508" s="712"/>
      <c r="EM508" s="712"/>
      <c r="EN508" s="712"/>
      <c r="EO508" s="712"/>
      <c r="EP508" s="712"/>
      <c r="EQ508" s="712"/>
      <c r="ER508" s="712"/>
      <c r="ES508" s="712"/>
      <c r="ET508" s="794"/>
      <c r="EU508" s="794"/>
      <c r="EV508" s="794"/>
      <c r="EW508" s="794"/>
      <c r="EX508" s="794"/>
      <c r="EY508" s="794"/>
      <c r="EZ508" s="794"/>
      <c r="FA508" s="712"/>
      <c r="FB508" s="712"/>
      <c r="FC508" s="712"/>
      <c r="FD508" s="712"/>
      <c r="FE508" s="712"/>
      <c r="FF508" s="712"/>
      <c r="FG508" s="712"/>
      <c r="FH508" s="712"/>
      <c r="FI508" s="712"/>
      <c r="FJ508" s="712"/>
      <c r="FK508" s="712"/>
      <c r="FL508" s="712"/>
      <c r="FM508" s="712"/>
      <c r="FN508" s="712"/>
      <c r="FO508" s="712"/>
      <c r="FP508" s="712"/>
      <c r="FQ508" s="712"/>
      <c r="FR508" s="712"/>
      <c r="FS508" s="712"/>
      <c r="FT508" s="712"/>
      <c r="FU508" s="712"/>
      <c r="FV508" s="712"/>
      <c r="FW508" s="712"/>
      <c r="FX508" s="712"/>
      <c r="FZ508" s="712"/>
      <c r="GA508" s="712"/>
      <c r="GB508" s="712"/>
      <c r="GC508" s="712"/>
      <c r="GD508" s="712"/>
      <c r="GE508" s="712"/>
      <c r="GF508" s="712"/>
      <c r="GG508" s="712"/>
      <c r="GH508" s="712"/>
      <c r="GI508" s="712"/>
      <c r="GJ508" s="712"/>
      <c r="GK508" s="712"/>
      <c r="GL508" s="712"/>
      <c r="GM508" s="712"/>
      <c r="GN508" s="712"/>
      <c r="GO508" s="712"/>
      <c r="GP508" s="712"/>
      <c r="GQ508" s="712"/>
      <c r="GR508" s="712"/>
      <c r="GS508" s="712"/>
      <c r="GT508" s="712"/>
      <c r="GU508" s="712"/>
      <c r="GV508" s="712"/>
      <c r="GW508" s="712"/>
      <c r="GX508" s="712"/>
      <c r="GY508" s="712"/>
      <c r="GZ508" s="712"/>
      <c r="HA508" s="712"/>
      <c r="HB508" s="712"/>
      <c r="HC508" s="712"/>
    </row>
    <row r="509" spans="1:211">
      <c r="A509" s="707"/>
      <c r="G509" s="712"/>
      <c r="H509" s="712"/>
      <c r="I509" s="712"/>
      <c r="J509" s="712"/>
      <c r="K509" s="712"/>
      <c r="L509" s="712"/>
      <c r="M509" s="712"/>
      <c r="N509" s="712"/>
      <c r="O509" s="712"/>
      <c r="P509" s="712"/>
      <c r="Q509" s="712"/>
      <c r="R509" s="712"/>
      <c r="S509" s="712"/>
      <c r="T509" s="712"/>
      <c r="U509" s="712"/>
      <c r="V509" s="712"/>
      <c r="W509" s="712"/>
      <c r="X509" s="712"/>
      <c r="Y509" s="712"/>
      <c r="Z509" s="712"/>
      <c r="AA509" s="712"/>
      <c r="AB509" s="712"/>
      <c r="AC509" s="712"/>
      <c r="AD509" s="712"/>
      <c r="AE509" s="712"/>
      <c r="AF509" s="712"/>
      <c r="AG509" s="712"/>
      <c r="AH509" s="712"/>
      <c r="AI509" s="712"/>
      <c r="AJ509" s="712"/>
      <c r="AK509" s="712"/>
      <c r="AL509" s="712"/>
      <c r="AM509" s="712"/>
      <c r="AN509" s="712"/>
      <c r="AO509" s="712"/>
      <c r="AP509" s="712"/>
      <c r="AQ509" s="712"/>
      <c r="AR509" s="712"/>
      <c r="AS509" s="712"/>
      <c r="AT509" s="712"/>
      <c r="AU509" s="712"/>
      <c r="AV509" s="712"/>
      <c r="AW509" s="712"/>
      <c r="AX509" s="712"/>
      <c r="AY509" s="712"/>
      <c r="AZ509" s="712"/>
      <c r="BA509" s="712"/>
      <c r="BB509" s="712"/>
      <c r="BC509" s="712"/>
      <c r="BD509" s="712"/>
      <c r="BE509" s="712"/>
      <c r="BF509" s="712"/>
      <c r="BG509" s="712"/>
      <c r="BH509" s="712"/>
      <c r="BI509" s="712"/>
      <c r="BJ509" s="712"/>
      <c r="BK509" s="712"/>
      <c r="BL509" s="712"/>
      <c r="BM509" s="712"/>
      <c r="BN509" s="712"/>
      <c r="BO509" s="712"/>
      <c r="BP509" s="712"/>
      <c r="BQ509" s="712"/>
      <c r="BR509" s="712"/>
      <c r="BS509" s="712"/>
      <c r="BT509" s="712"/>
      <c r="BU509" s="712"/>
      <c r="BV509" s="712"/>
      <c r="BW509" s="712"/>
      <c r="BX509" s="712"/>
      <c r="BY509" s="712"/>
      <c r="BZ509" s="712"/>
      <c r="CA509" s="712"/>
      <c r="CB509" s="712"/>
      <c r="CC509" s="712"/>
      <c r="CD509" s="712"/>
      <c r="CE509" s="712"/>
      <c r="CF509" s="712"/>
      <c r="CG509" s="712"/>
      <c r="CH509" s="712"/>
      <c r="CI509" s="712"/>
      <c r="CJ509" s="712"/>
      <c r="CK509" s="712"/>
      <c r="CL509" s="712"/>
      <c r="CM509" s="712"/>
      <c r="CN509" s="712"/>
      <c r="CO509" s="712"/>
      <c r="CP509" s="712"/>
      <c r="CQ509" s="712"/>
      <c r="CR509" s="712"/>
      <c r="CS509" s="712"/>
      <c r="CT509" s="712"/>
      <c r="CU509" s="712"/>
      <c r="CV509" s="712"/>
      <c r="CW509" s="712"/>
      <c r="CX509" s="712"/>
      <c r="CY509" s="712"/>
      <c r="CZ509" s="712"/>
      <c r="DA509" s="712"/>
      <c r="DB509" s="712"/>
      <c r="DC509" s="712"/>
      <c r="DD509" s="712"/>
      <c r="DE509" s="712"/>
      <c r="DF509" s="712"/>
      <c r="DG509" s="712"/>
      <c r="DH509" s="712"/>
      <c r="DI509" s="712"/>
      <c r="DJ509" s="712"/>
      <c r="DK509" s="712"/>
      <c r="DL509" s="712"/>
      <c r="DM509" s="712"/>
      <c r="DN509" s="712"/>
      <c r="DO509" s="712"/>
      <c r="DP509" s="712"/>
      <c r="DQ509" s="712"/>
      <c r="DR509" s="712"/>
      <c r="DS509" s="712"/>
      <c r="DT509" s="712"/>
      <c r="DU509" s="712"/>
      <c r="DV509" s="712"/>
      <c r="DW509" s="712"/>
      <c r="DX509" s="712"/>
      <c r="DY509" s="712"/>
      <c r="DZ509" s="712"/>
      <c r="EA509" s="712"/>
      <c r="EB509" s="712"/>
      <c r="EC509" s="712"/>
      <c r="ED509" s="712"/>
      <c r="EE509" s="712"/>
      <c r="EF509" s="712"/>
      <c r="EG509" s="712"/>
      <c r="EH509" s="712"/>
      <c r="EI509" s="712"/>
      <c r="EJ509" s="712"/>
      <c r="EK509" s="712"/>
      <c r="EL509" s="712"/>
      <c r="EM509" s="712"/>
      <c r="EN509" s="712"/>
      <c r="EO509" s="712"/>
      <c r="EP509" s="712"/>
      <c r="EQ509" s="712"/>
      <c r="ER509" s="712"/>
      <c r="ES509" s="712"/>
      <c r="ET509" s="794"/>
      <c r="EU509" s="794"/>
      <c r="EV509" s="794"/>
      <c r="EW509" s="794"/>
      <c r="EX509" s="794"/>
      <c r="EY509" s="794"/>
      <c r="EZ509" s="794"/>
      <c r="FA509" s="712"/>
      <c r="FB509" s="712"/>
      <c r="FC509" s="712"/>
      <c r="FD509" s="712"/>
      <c r="FE509" s="712"/>
      <c r="FF509" s="712"/>
      <c r="FG509" s="712"/>
      <c r="FH509" s="712"/>
      <c r="FI509" s="712"/>
      <c r="FJ509" s="712"/>
      <c r="FK509" s="712"/>
      <c r="FL509" s="712"/>
      <c r="FM509" s="712"/>
      <c r="FN509" s="712"/>
      <c r="FO509" s="712"/>
      <c r="FP509" s="712"/>
      <c r="FQ509" s="712"/>
      <c r="FR509" s="712"/>
      <c r="FS509" s="712"/>
      <c r="FT509" s="712"/>
      <c r="FU509" s="712"/>
      <c r="FV509" s="712"/>
      <c r="FW509" s="712"/>
      <c r="FX509" s="712"/>
      <c r="FZ509" s="712"/>
      <c r="GA509" s="712"/>
      <c r="GB509" s="712"/>
      <c r="GC509" s="712"/>
      <c r="GD509" s="712"/>
      <c r="GE509" s="712"/>
      <c r="GF509" s="712"/>
      <c r="GG509" s="712"/>
      <c r="GH509" s="712"/>
      <c r="GI509" s="712"/>
      <c r="GJ509" s="712"/>
      <c r="GK509" s="712"/>
      <c r="GL509" s="712"/>
      <c r="GM509" s="712"/>
      <c r="GN509" s="712"/>
      <c r="GO509" s="712"/>
      <c r="GP509" s="712"/>
      <c r="GQ509" s="712"/>
      <c r="GR509" s="712"/>
      <c r="GS509" s="712"/>
      <c r="GT509" s="712"/>
      <c r="GU509" s="712"/>
      <c r="GV509" s="712"/>
      <c r="GW509" s="712"/>
      <c r="GX509" s="712"/>
      <c r="GY509" s="712"/>
      <c r="GZ509" s="712"/>
      <c r="HA509" s="712"/>
      <c r="HB509" s="712"/>
      <c r="HC509" s="712"/>
    </row>
    <row r="510" spans="1:211">
      <c r="A510" s="707"/>
      <c r="G510" s="712"/>
      <c r="H510" s="712"/>
      <c r="I510" s="712"/>
      <c r="J510" s="712"/>
      <c r="K510" s="712"/>
      <c r="L510" s="712"/>
      <c r="M510" s="712"/>
      <c r="N510" s="712"/>
      <c r="O510" s="712"/>
      <c r="P510" s="712"/>
      <c r="Q510" s="712"/>
      <c r="R510" s="712"/>
      <c r="S510" s="712"/>
      <c r="T510" s="712"/>
      <c r="U510" s="712"/>
      <c r="V510" s="712"/>
      <c r="W510" s="712"/>
      <c r="X510" s="712"/>
      <c r="Y510" s="712"/>
      <c r="Z510" s="712"/>
      <c r="AA510" s="712"/>
      <c r="AB510" s="712"/>
      <c r="AC510" s="712"/>
      <c r="AD510" s="712"/>
      <c r="AE510" s="712"/>
      <c r="AF510" s="712"/>
      <c r="AG510" s="712"/>
      <c r="AH510" s="712"/>
      <c r="AI510" s="712"/>
      <c r="AJ510" s="712"/>
      <c r="AK510" s="712"/>
      <c r="AL510" s="712"/>
      <c r="AM510" s="712"/>
      <c r="AN510" s="712"/>
      <c r="AO510" s="712"/>
      <c r="AP510" s="712"/>
      <c r="AQ510" s="712"/>
      <c r="AR510" s="712"/>
      <c r="AS510" s="712"/>
      <c r="AT510" s="712"/>
      <c r="AU510" s="712"/>
      <c r="AV510" s="712"/>
      <c r="AW510" s="712"/>
      <c r="AX510" s="712"/>
      <c r="AY510" s="712"/>
      <c r="AZ510" s="712"/>
      <c r="BA510" s="712"/>
      <c r="BB510" s="712"/>
      <c r="BC510" s="712"/>
      <c r="BD510" s="712"/>
      <c r="BE510" s="712"/>
      <c r="BF510" s="712"/>
      <c r="BG510" s="712"/>
      <c r="BH510" s="712"/>
      <c r="BI510" s="712"/>
      <c r="BJ510" s="712"/>
      <c r="BK510" s="712"/>
      <c r="BL510" s="712"/>
      <c r="BM510" s="712"/>
      <c r="BN510" s="712"/>
      <c r="BO510" s="712"/>
      <c r="BP510" s="712"/>
      <c r="BQ510" s="712"/>
      <c r="BR510" s="712"/>
      <c r="BS510" s="712"/>
      <c r="BT510" s="712"/>
      <c r="BU510" s="712"/>
      <c r="BV510" s="712"/>
      <c r="BW510" s="712"/>
      <c r="BX510" s="712"/>
      <c r="BY510" s="712"/>
      <c r="BZ510" s="712"/>
      <c r="CA510" s="712"/>
      <c r="CB510" s="712"/>
      <c r="CC510" s="712"/>
      <c r="CD510" s="712"/>
      <c r="CE510" s="712"/>
      <c r="CF510" s="712"/>
      <c r="CG510" s="712"/>
      <c r="CH510" s="712"/>
      <c r="CI510" s="712"/>
      <c r="CJ510" s="712"/>
      <c r="CK510" s="712"/>
      <c r="CL510" s="712"/>
      <c r="CM510" s="712"/>
      <c r="CN510" s="712"/>
      <c r="CO510" s="712"/>
      <c r="CP510" s="712"/>
      <c r="CQ510" s="712"/>
      <c r="CR510" s="712"/>
      <c r="CS510" s="712"/>
      <c r="CT510" s="712"/>
      <c r="CU510" s="712"/>
      <c r="CV510" s="712"/>
      <c r="CW510" s="712"/>
      <c r="CX510" s="712"/>
      <c r="CY510" s="712"/>
      <c r="CZ510" s="712"/>
      <c r="DA510" s="712"/>
      <c r="DB510" s="712"/>
      <c r="DC510" s="712"/>
      <c r="DD510" s="712"/>
      <c r="DE510" s="712"/>
      <c r="DF510" s="712"/>
      <c r="DG510" s="712"/>
      <c r="DH510" s="712"/>
      <c r="DI510" s="712"/>
      <c r="DJ510" s="712"/>
      <c r="DK510" s="712"/>
      <c r="DL510" s="712"/>
      <c r="DM510" s="712"/>
      <c r="DN510" s="712"/>
      <c r="DO510" s="712"/>
      <c r="DP510" s="712"/>
      <c r="DQ510" s="712"/>
      <c r="DR510" s="712"/>
      <c r="DS510" s="712"/>
      <c r="DT510" s="712"/>
      <c r="DU510" s="712"/>
      <c r="DV510" s="712"/>
      <c r="DW510" s="712"/>
      <c r="DX510" s="712"/>
      <c r="DY510" s="712"/>
      <c r="DZ510" s="712"/>
      <c r="EA510" s="712"/>
      <c r="EB510" s="712"/>
      <c r="EC510" s="712"/>
      <c r="ED510" s="712"/>
      <c r="EE510" s="712"/>
      <c r="EF510" s="712"/>
      <c r="EG510" s="712"/>
      <c r="EH510" s="712"/>
      <c r="EI510" s="712"/>
      <c r="EJ510" s="712"/>
      <c r="EK510" s="712"/>
      <c r="EL510" s="712"/>
      <c r="EM510" s="712"/>
      <c r="EN510" s="712"/>
      <c r="EO510" s="712"/>
      <c r="EP510" s="712"/>
      <c r="EQ510" s="712"/>
      <c r="ER510" s="712"/>
      <c r="ES510" s="712"/>
      <c r="ET510" s="794"/>
      <c r="EU510" s="794"/>
      <c r="EV510" s="794"/>
      <c r="EW510" s="794"/>
      <c r="EX510" s="794"/>
      <c r="EY510" s="794"/>
      <c r="EZ510" s="794"/>
      <c r="FA510" s="712"/>
      <c r="FB510" s="712"/>
      <c r="FC510" s="712"/>
      <c r="FD510" s="712"/>
      <c r="FE510" s="712"/>
      <c r="FF510" s="712"/>
      <c r="FG510" s="712"/>
      <c r="FH510" s="712"/>
      <c r="FI510" s="712"/>
      <c r="FJ510" s="712"/>
      <c r="FK510" s="712"/>
      <c r="FL510" s="712"/>
      <c r="FM510" s="712"/>
      <c r="FN510" s="712"/>
      <c r="FO510" s="712"/>
      <c r="FP510" s="712"/>
      <c r="FQ510" s="712"/>
      <c r="FR510" s="712"/>
      <c r="FS510" s="712"/>
      <c r="FT510" s="712"/>
      <c r="FU510" s="712"/>
      <c r="FV510" s="712"/>
      <c r="FW510" s="712"/>
      <c r="FX510" s="712"/>
      <c r="FZ510" s="712"/>
      <c r="GA510" s="712"/>
      <c r="GB510" s="712"/>
      <c r="GC510" s="712"/>
      <c r="GD510" s="712"/>
      <c r="GE510" s="712"/>
      <c r="GF510" s="712"/>
      <c r="GG510" s="712"/>
      <c r="GH510" s="712"/>
      <c r="GI510" s="712"/>
      <c r="GJ510" s="712"/>
      <c r="GK510" s="712"/>
      <c r="GL510" s="712"/>
      <c r="GM510" s="712"/>
      <c r="GN510" s="712"/>
      <c r="GO510" s="712"/>
      <c r="GP510" s="712"/>
      <c r="GQ510" s="712"/>
      <c r="GR510" s="712"/>
      <c r="GS510" s="712"/>
      <c r="GT510" s="712"/>
      <c r="GU510" s="712"/>
      <c r="GV510" s="712"/>
      <c r="GW510" s="712"/>
      <c r="GX510" s="712"/>
      <c r="GY510" s="712"/>
      <c r="GZ510" s="712"/>
      <c r="HA510" s="712"/>
      <c r="HB510" s="712"/>
      <c r="HC510" s="712"/>
    </row>
    <row r="511" spans="1:211">
      <c r="A511" s="707"/>
      <c r="G511" s="712"/>
      <c r="H511" s="712"/>
      <c r="I511" s="712"/>
      <c r="J511" s="712"/>
      <c r="K511" s="712"/>
      <c r="L511" s="712"/>
      <c r="M511" s="712"/>
      <c r="N511" s="712"/>
      <c r="O511" s="712"/>
      <c r="P511" s="712"/>
      <c r="Q511" s="712"/>
      <c r="R511" s="712"/>
      <c r="S511" s="712"/>
      <c r="T511" s="712"/>
      <c r="U511" s="712"/>
      <c r="V511" s="712"/>
      <c r="W511" s="712"/>
      <c r="X511" s="712"/>
      <c r="Y511" s="712"/>
      <c r="Z511" s="712"/>
      <c r="AA511" s="712"/>
      <c r="AB511" s="712"/>
      <c r="AC511" s="712"/>
      <c r="AD511" s="712"/>
      <c r="AE511" s="712"/>
      <c r="AF511" s="712"/>
      <c r="AG511" s="712"/>
      <c r="AH511" s="712"/>
      <c r="AI511" s="712"/>
      <c r="AJ511" s="712"/>
      <c r="AK511" s="712"/>
      <c r="AL511" s="712"/>
      <c r="AM511" s="712"/>
      <c r="AN511" s="712"/>
      <c r="AO511" s="712"/>
      <c r="AP511" s="712"/>
      <c r="AQ511" s="712"/>
      <c r="AR511" s="712"/>
      <c r="AS511" s="712"/>
      <c r="AT511" s="712"/>
      <c r="AU511" s="712"/>
      <c r="AV511" s="712"/>
      <c r="AW511" s="712"/>
      <c r="AX511" s="712"/>
      <c r="AY511" s="712"/>
      <c r="AZ511" s="712"/>
      <c r="BA511" s="712"/>
      <c r="BB511" s="712"/>
      <c r="BC511" s="712"/>
      <c r="BD511" s="712"/>
      <c r="BE511" s="712"/>
      <c r="BF511" s="712"/>
      <c r="BG511" s="712"/>
      <c r="BH511" s="712"/>
      <c r="BI511" s="712"/>
      <c r="BJ511" s="712"/>
      <c r="BK511" s="712"/>
      <c r="BL511" s="712"/>
      <c r="BM511" s="712"/>
      <c r="BN511" s="712"/>
      <c r="BO511" s="712"/>
      <c r="BP511" s="712"/>
      <c r="BQ511" s="712"/>
      <c r="BR511" s="712"/>
      <c r="BS511" s="712"/>
      <c r="BT511" s="712"/>
      <c r="BU511" s="712"/>
      <c r="BV511" s="712"/>
      <c r="BW511" s="712"/>
      <c r="BX511" s="712"/>
      <c r="BY511" s="712"/>
      <c r="BZ511" s="712"/>
      <c r="CA511" s="712"/>
      <c r="CB511" s="712"/>
      <c r="CC511" s="712"/>
      <c r="CD511" s="712"/>
      <c r="CE511" s="712"/>
      <c r="CF511" s="712"/>
      <c r="CG511" s="712"/>
      <c r="CH511" s="712"/>
      <c r="CI511" s="712"/>
      <c r="CJ511" s="712"/>
      <c r="CK511" s="712"/>
      <c r="CL511" s="712"/>
      <c r="CM511" s="712"/>
      <c r="CN511" s="712"/>
      <c r="CO511" s="712"/>
      <c r="CP511" s="712"/>
      <c r="CQ511" s="712"/>
      <c r="CR511" s="712"/>
      <c r="CS511" s="712"/>
      <c r="CT511" s="712"/>
      <c r="CU511" s="712"/>
      <c r="CV511" s="712"/>
      <c r="CW511" s="712"/>
      <c r="CX511" s="712"/>
      <c r="CY511" s="712"/>
      <c r="CZ511" s="712"/>
      <c r="DA511" s="712"/>
      <c r="DB511" s="712"/>
      <c r="DC511" s="712"/>
      <c r="DD511" s="712"/>
      <c r="DE511" s="712"/>
      <c r="DF511" s="712"/>
      <c r="DG511" s="712"/>
      <c r="DH511" s="712"/>
      <c r="DI511" s="712"/>
      <c r="DJ511" s="712"/>
      <c r="DK511" s="712"/>
      <c r="DL511" s="712"/>
      <c r="DM511" s="712"/>
      <c r="DN511" s="712"/>
      <c r="DO511" s="712"/>
      <c r="DP511" s="712"/>
      <c r="DQ511" s="712"/>
      <c r="DR511" s="712"/>
      <c r="DS511" s="712"/>
      <c r="DT511" s="712"/>
      <c r="DU511" s="712"/>
      <c r="DV511" s="712"/>
      <c r="DW511" s="712"/>
      <c r="DX511" s="712"/>
      <c r="DY511" s="712"/>
      <c r="DZ511" s="712"/>
      <c r="EA511" s="712"/>
      <c r="EB511" s="712"/>
      <c r="EC511" s="712"/>
      <c r="ED511" s="712"/>
      <c r="EE511" s="712"/>
      <c r="EF511" s="712"/>
      <c r="EG511" s="712"/>
      <c r="EH511" s="712"/>
      <c r="EI511" s="712"/>
      <c r="EJ511" s="712"/>
      <c r="EK511" s="712"/>
      <c r="EL511" s="712"/>
      <c r="EM511" s="712"/>
      <c r="EN511" s="712"/>
      <c r="EO511" s="712"/>
      <c r="EP511" s="712"/>
      <c r="EQ511" s="712"/>
      <c r="ER511" s="712"/>
      <c r="ES511" s="712"/>
      <c r="ET511" s="794"/>
      <c r="EU511" s="794"/>
      <c r="EV511" s="794"/>
      <c r="EW511" s="794"/>
      <c r="EX511" s="794"/>
      <c r="EY511" s="794"/>
      <c r="EZ511" s="794"/>
      <c r="FA511" s="712"/>
      <c r="FB511" s="712"/>
      <c r="FC511" s="712"/>
      <c r="FD511" s="712"/>
      <c r="FE511" s="712"/>
      <c r="FF511" s="712"/>
      <c r="FG511" s="712"/>
      <c r="FH511" s="712"/>
      <c r="FI511" s="712"/>
      <c r="FJ511" s="712"/>
      <c r="FK511" s="712"/>
      <c r="FL511" s="712"/>
      <c r="FM511" s="712"/>
      <c r="FN511" s="712"/>
      <c r="FO511" s="712"/>
      <c r="FP511" s="712"/>
      <c r="FQ511" s="712"/>
      <c r="FR511" s="712"/>
      <c r="FS511" s="712"/>
      <c r="FT511" s="712"/>
      <c r="FU511" s="712"/>
      <c r="FV511" s="712"/>
      <c r="FW511" s="712"/>
      <c r="FX511" s="712"/>
      <c r="FZ511" s="712"/>
      <c r="GA511" s="712"/>
      <c r="GB511" s="712"/>
      <c r="GC511" s="712"/>
      <c r="GD511" s="712"/>
      <c r="GE511" s="712"/>
      <c r="GF511" s="712"/>
      <c r="GG511" s="712"/>
      <c r="GH511" s="712"/>
      <c r="GI511" s="712"/>
      <c r="GJ511" s="712"/>
      <c r="GK511" s="712"/>
      <c r="GL511" s="712"/>
      <c r="GM511" s="712"/>
      <c r="GN511" s="712"/>
      <c r="GO511" s="712"/>
      <c r="GP511" s="712"/>
      <c r="GQ511" s="712"/>
      <c r="GR511" s="712"/>
      <c r="GS511" s="712"/>
      <c r="GT511" s="712"/>
      <c r="GU511" s="712"/>
      <c r="GV511" s="712"/>
      <c r="GW511" s="712"/>
      <c r="GX511" s="712"/>
      <c r="GY511" s="712"/>
      <c r="GZ511" s="712"/>
      <c r="HA511" s="712"/>
      <c r="HB511" s="712"/>
      <c r="HC511" s="712"/>
    </row>
    <row r="512" spans="1:211">
      <c r="A512" s="707"/>
      <c r="G512" s="712"/>
      <c r="H512" s="712"/>
      <c r="I512" s="712"/>
      <c r="J512" s="712"/>
      <c r="K512" s="712"/>
      <c r="L512" s="712"/>
      <c r="M512" s="712"/>
      <c r="N512" s="712"/>
      <c r="O512" s="712"/>
      <c r="P512" s="712"/>
      <c r="Q512" s="712"/>
      <c r="R512" s="712"/>
      <c r="S512" s="712"/>
      <c r="T512" s="712"/>
      <c r="U512" s="712"/>
      <c r="V512" s="712"/>
      <c r="W512" s="712"/>
      <c r="X512" s="712"/>
      <c r="Y512" s="712"/>
      <c r="Z512" s="712"/>
      <c r="AA512" s="712"/>
      <c r="AB512" s="712"/>
      <c r="AC512" s="712"/>
      <c r="AD512" s="712"/>
      <c r="AE512" s="712"/>
      <c r="AF512" s="712"/>
      <c r="AG512" s="712"/>
      <c r="AH512" s="712"/>
      <c r="AI512" s="712"/>
      <c r="AJ512" s="712"/>
      <c r="AK512" s="712"/>
      <c r="AL512" s="712"/>
      <c r="AM512" s="712"/>
      <c r="AN512" s="712"/>
      <c r="AO512" s="712"/>
      <c r="AP512" s="712"/>
      <c r="AQ512" s="712"/>
      <c r="AR512" s="712"/>
      <c r="AS512" s="712"/>
      <c r="AT512" s="712"/>
      <c r="AU512" s="712"/>
      <c r="AV512" s="712"/>
      <c r="AW512" s="712"/>
      <c r="AX512" s="712"/>
      <c r="AY512" s="712"/>
      <c r="AZ512" s="712"/>
      <c r="BA512" s="712"/>
      <c r="BB512" s="712"/>
      <c r="BC512" s="712"/>
      <c r="BD512" s="712"/>
      <c r="BE512" s="712"/>
      <c r="BF512" s="712"/>
      <c r="BG512" s="712"/>
      <c r="BH512" s="712"/>
      <c r="BI512" s="712"/>
      <c r="BJ512" s="712"/>
      <c r="BK512" s="712"/>
      <c r="BL512" s="712"/>
      <c r="BM512" s="712"/>
      <c r="BN512" s="712"/>
      <c r="BO512" s="712"/>
      <c r="BP512" s="712"/>
      <c r="BQ512" s="712"/>
      <c r="BR512" s="712"/>
      <c r="BS512" s="712"/>
      <c r="BT512" s="712"/>
      <c r="BU512" s="712"/>
      <c r="BV512" s="712"/>
      <c r="BW512" s="712"/>
      <c r="BX512" s="712"/>
      <c r="BY512" s="712"/>
      <c r="BZ512" s="712"/>
      <c r="CA512" s="712"/>
      <c r="CB512" s="712"/>
      <c r="CC512" s="712"/>
      <c r="CD512" s="712"/>
      <c r="CE512" s="712"/>
      <c r="CF512" s="712"/>
      <c r="CG512" s="712"/>
      <c r="CH512" s="712"/>
      <c r="CI512" s="712"/>
      <c r="CJ512" s="712"/>
      <c r="CK512" s="712"/>
      <c r="CL512" s="712"/>
      <c r="CM512" s="712"/>
      <c r="CN512" s="712"/>
      <c r="CO512" s="712"/>
      <c r="CP512" s="712"/>
      <c r="CQ512" s="712"/>
      <c r="CR512" s="712"/>
      <c r="CS512" s="712"/>
      <c r="CT512" s="712"/>
      <c r="CU512" s="712"/>
      <c r="CV512" s="712"/>
      <c r="CW512" s="712"/>
      <c r="CX512" s="712"/>
      <c r="CY512" s="712"/>
      <c r="CZ512" s="712"/>
      <c r="DA512" s="712"/>
      <c r="DB512" s="712"/>
      <c r="DC512" s="712"/>
      <c r="DD512" s="712"/>
      <c r="DE512" s="712"/>
      <c r="DF512" s="712"/>
      <c r="DG512" s="712"/>
      <c r="DH512" s="712"/>
      <c r="DI512" s="712"/>
      <c r="DJ512" s="712"/>
      <c r="DK512" s="712"/>
      <c r="DL512" s="712"/>
      <c r="DM512" s="712"/>
      <c r="DN512" s="712"/>
      <c r="DO512" s="712"/>
      <c r="DP512" s="712"/>
      <c r="DQ512" s="712"/>
      <c r="DR512" s="712"/>
      <c r="DS512" s="712"/>
      <c r="DT512" s="712"/>
      <c r="DU512" s="712"/>
      <c r="DV512" s="712"/>
      <c r="DW512" s="712"/>
      <c r="DX512" s="712"/>
      <c r="DY512" s="712"/>
      <c r="DZ512" s="712"/>
      <c r="EA512" s="712"/>
      <c r="EB512" s="712"/>
      <c r="EC512" s="712"/>
      <c r="ED512" s="712"/>
      <c r="EE512" s="712"/>
      <c r="EF512" s="712"/>
      <c r="EG512" s="712"/>
      <c r="EH512" s="712"/>
      <c r="EI512" s="712"/>
      <c r="EJ512" s="712"/>
      <c r="EK512" s="712"/>
      <c r="EL512" s="712"/>
      <c r="EM512" s="712"/>
      <c r="EN512" s="712"/>
      <c r="EO512" s="712"/>
      <c r="EP512" s="712"/>
      <c r="EQ512" s="712"/>
      <c r="ER512" s="712"/>
      <c r="ES512" s="712"/>
      <c r="ET512" s="794"/>
      <c r="EU512" s="794"/>
      <c r="EV512" s="794"/>
      <c r="EW512" s="794"/>
      <c r="EX512" s="794"/>
      <c r="EY512" s="794"/>
      <c r="EZ512" s="794"/>
      <c r="FA512" s="712"/>
      <c r="FB512" s="712"/>
      <c r="FC512" s="712"/>
      <c r="FD512" s="712"/>
      <c r="FE512" s="712"/>
      <c r="FF512" s="712"/>
      <c r="FG512" s="712"/>
      <c r="FH512" s="712"/>
      <c r="FI512" s="712"/>
      <c r="FJ512" s="712"/>
      <c r="FK512" s="712"/>
      <c r="FL512" s="712"/>
      <c r="FM512" s="712"/>
      <c r="FN512" s="712"/>
      <c r="FO512" s="712"/>
      <c r="FP512" s="712"/>
      <c r="FQ512" s="712"/>
      <c r="FR512" s="712"/>
      <c r="FS512" s="712"/>
      <c r="FT512" s="712"/>
      <c r="FU512" s="712"/>
      <c r="FV512" s="712"/>
      <c r="FW512" s="712"/>
      <c r="FX512" s="712"/>
      <c r="FZ512" s="712"/>
      <c r="GA512" s="712"/>
      <c r="GB512" s="712"/>
      <c r="GC512" s="712"/>
      <c r="GD512" s="712"/>
      <c r="GE512" s="712"/>
      <c r="GF512" s="712"/>
      <c r="GG512" s="712"/>
      <c r="GH512" s="712"/>
      <c r="GI512" s="712"/>
      <c r="GJ512" s="712"/>
      <c r="GK512" s="712"/>
      <c r="GL512" s="712"/>
      <c r="GM512" s="712"/>
      <c r="GN512" s="712"/>
      <c r="GO512" s="712"/>
      <c r="GP512" s="712"/>
      <c r="GQ512" s="712"/>
      <c r="GR512" s="712"/>
      <c r="GS512" s="712"/>
      <c r="GT512" s="712"/>
      <c r="GU512" s="712"/>
      <c r="GV512" s="712"/>
      <c r="GW512" s="712"/>
      <c r="GX512" s="712"/>
      <c r="GY512" s="712"/>
      <c r="GZ512" s="712"/>
      <c r="HA512" s="712"/>
      <c r="HB512" s="712"/>
      <c r="HC512" s="712"/>
    </row>
    <row r="513" spans="1:211">
      <c r="A513" s="707"/>
      <c r="G513" s="712"/>
      <c r="H513" s="712"/>
      <c r="I513" s="712"/>
      <c r="J513" s="712"/>
      <c r="K513" s="712"/>
      <c r="L513" s="712"/>
      <c r="M513" s="712"/>
      <c r="N513" s="712"/>
      <c r="O513" s="712"/>
      <c r="P513" s="712"/>
      <c r="Q513" s="712"/>
      <c r="R513" s="712"/>
      <c r="S513" s="712"/>
      <c r="T513" s="712"/>
      <c r="U513" s="712"/>
      <c r="V513" s="712"/>
      <c r="W513" s="712"/>
      <c r="X513" s="712"/>
      <c r="Y513" s="712"/>
      <c r="Z513" s="712"/>
      <c r="AA513" s="712"/>
      <c r="AB513" s="712"/>
      <c r="AC513" s="712"/>
      <c r="AD513" s="712"/>
      <c r="AE513" s="712"/>
      <c r="AF513" s="712"/>
      <c r="AG513" s="712"/>
      <c r="AH513" s="712"/>
      <c r="AI513" s="712"/>
      <c r="AJ513" s="712"/>
      <c r="AK513" s="712"/>
      <c r="AL513" s="712"/>
      <c r="AM513" s="712"/>
      <c r="AN513" s="712"/>
      <c r="AO513" s="712"/>
      <c r="AP513" s="712"/>
      <c r="AQ513" s="712"/>
      <c r="AR513" s="712"/>
      <c r="AS513" s="712"/>
      <c r="AT513" s="712"/>
      <c r="AU513" s="712"/>
      <c r="AV513" s="712"/>
      <c r="AW513" s="712"/>
      <c r="AX513" s="712"/>
      <c r="AY513" s="712"/>
      <c r="AZ513" s="712"/>
      <c r="BA513" s="712"/>
      <c r="BB513" s="712"/>
      <c r="BC513" s="712"/>
      <c r="BD513" s="712"/>
      <c r="BE513" s="712"/>
      <c r="BF513" s="712"/>
      <c r="BG513" s="712"/>
      <c r="BH513" s="712"/>
      <c r="BI513" s="712"/>
      <c r="BJ513" s="712"/>
      <c r="BK513" s="712"/>
      <c r="BL513" s="712"/>
      <c r="BM513" s="712"/>
      <c r="BN513" s="712"/>
      <c r="BO513" s="712"/>
      <c r="BP513" s="712"/>
      <c r="BQ513" s="712"/>
      <c r="BR513" s="712"/>
      <c r="BS513" s="712"/>
      <c r="BT513" s="712"/>
      <c r="BU513" s="712"/>
      <c r="BV513" s="712"/>
      <c r="BW513" s="712"/>
      <c r="BX513" s="712"/>
      <c r="BY513" s="712"/>
      <c r="BZ513" s="712"/>
      <c r="CA513" s="712"/>
      <c r="CB513" s="712"/>
      <c r="CC513" s="712"/>
      <c r="CD513" s="712"/>
      <c r="CE513" s="712"/>
      <c r="CF513" s="712"/>
      <c r="CG513" s="712"/>
      <c r="CH513" s="712"/>
      <c r="CI513" s="712"/>
      <c r="CJ513" s="712"/>
      <c r="CK513" s="712"/>
      <c r="CL513" s="712"/>
      <c r="CM513" s="712"/>
      <c r="CN513" s="712"/>
      <c r="CO513" s="712"/>
      <c r="CP513" s="712"/>
      <c r="CQ513" s="712"/>
      <c r="CR513" s="712"/>
      <c r="CS513" s="712"/>
      <c r="CT513" s="712"/>
      <c r="CU513" s="712"/>
      <c r="CV513" s="712"/>
      <c r="CW513" s="712"/>
      <c r="CX513" s="712"/>
      <c r="CY513" s="712"/>
      <c r="CZ513" s="712"/>
      <c r="DA513" s="712"/>
      <c r="DB513" s="712"/>
      <c r="DC513" s="712"/>
      <c r="DD513" s="712"/>
      <c r="DE513" s="712"/>
      <c r="DF513" s="712"/>
      <c r="DG513" s="712"/>
      <c r="DH513" s="712"/>
      <c r="DI513" s="712"/>
      <c r="DJ513" s="712"/>
      <c r="DK513" s="712"/>
      <c r="DL513" s="712"/>
      <c r="DM513" s="712"/>
      <c r="DN513" s="712"/>
      <c r="DO513" s="712"/>
      <c r="DP513" s="712"/>
      <c r="DQ513" s="712"/>
      <c r="DR513" s="712"/>
      <c r="DS513" s="712"/>
      <c r="DT513" s="712"/>
      <c r="DU513" s="712"/>
      <c r="DV513" s="712"/>
      <c r="DW513" s="712"/>
      <c r="DX513" s="712"/>
      <c r="DY513" s="712"/>
      <c r="DZ513" s="712"/>
      <c r="EA513" s="712"/>
      <c r="EB513" s="712"/>
      <c r="EC513" s="712"/>
      <c r="ED513" s="712"/>
      <c r="EE513" s="712"/>
      <c r="EF513" s="712"/>
      <c r="EG513" s="712"/>
      <c r="EH513" s="712"/>
      <c r="EI513" s="712"/>
      <c r="EJ513" s="712"/>
      <c r="EK513" s="712"/>
      <c r="EL513" s="712"/>
      <c r="EM513" s="712"/>
      <c r="EN513" s="712"/>
      <c r="EO513" s="712"/>
      <c r="EP513" s="712"/>
      <c r="EQ513" s="712"/>
      <c r="ER513" s="712"/>
      <c r="ES513" s="712"/>
      <c r="ET513" s="794"/>
      <c r="EU513" s="794"/>
      <c r="EV513" s="794"/>
      <c r="EW513" s="794"/>
      <c r="EX513" s="794"/>
      <c r="EY513" s="794"/>
      <c r="EZ513" s="794"/>
      <c r="FA513" s="712"/>
      <c r="FB513" s="712"/>
      <c r="FC513" s="712"/>
      <c r="FD513" s="712"/>
      <c r="FE513" s="712"/>
      <c r="FF513" s="712"/>
      <c r="FG513" s="712"/>
      <c r="FH513" s="712"/>
      <c r="FI513" s="712"/>
      <c r="FJ513" s="712"/>
      <c r="FK513" s="712"/>
      <c r="FL513" s="712"/>
      <c r="FM513" s="712"/>
      <c r="FN513" s="712"/>
      <c r="FO513" s="712"/>
      <c r="FP513" s="712"/>
      <c r="FQ513" s="712"/>
      <c r="FR513" s="712"/>
      <c r="FS513" s="712"/>
      <c r="FT513" s="712"/>
      <c r="FU513" s="712"/>
      <c r="FV513" s="712"/>
      <c r="FW513" s="712"/>
      <c r="FX513" s="712"/>
      <c r="FZ513" s="712"/>
      <c r="GA513" s="712"/>
      <c r="GB513" s="712"/>
      <c r="GC513" s="712"/>
      <c r="GD513" s="712"/>
      <c r="GE513" s="712"/>
      <c r="GF513" s="712"/>
      <c r="GG513" s="712"/>
      <c r="GH513" s="712"/>
      <c r="GI513" s="712"/>
      <c r="GJ513" s="712"/>
      <c r="GK513" s="712"/>
      <c r="GL513" s="712"/>
      <c r="GM513" s="712"/>
      <c r="GN513" s="712"/>
      <c r="GO513" s="712"/>
      <c r="GP513" s="712"/>
      <c r="GQ513" s="712"/>
      <c r="GR513" s="712"/>
      <c r="GS513" s="712"/>
      <c r="GT513" s="712"/>
      <c r="GU513" s="712"/>
      <c r="GV513" s="712"/>
      <c r="GW513" s="712"/>
      <c r="GX513" s="712"/>
      <c r="GY513" s="712"/>
      <c r="GZ513" s="712"/>
      <c r="HA513" s="712"/>
      <c r="HB513" s="712"/>
      <c r="HC513" s="712"/>
    </row>
    <row r="514" spans="1:211">
      <c r="A514" s="707"/>
      <c r="G514" s="712"/>
      <c r="H514" s="712"/>
      <c r="I514" s="712"/>
      <c r="J514" s="712"/>
      <c r="K514" s="712"/>
      <c r="L514" s="712"/>
      <c r="M514" s="712"/>
      <c r="N514" s="712"/>
      <c r="O514" s="712"/>
      <c r="P514" s="712"/>
      <c r="Q514" s="712"/>
      <c r="R514" s="712"/>
      <c r="S514" s="712"/>
      <c r="T514" s="712"/>
      <c r="U514" s="712"/>
      <c r="V514" s="712"/>
      <c r="W514" s="712"/>
      <c r="X514" s="712"/>
      <c r="Y514" s="712"/>
      <c r="Z514" s="712"/>
      <c r="AA514" s="712"/>
      <c r="AB514" s="712"/>
      <c r="AC514" s="712"/>
      <c r="AD514" s="712"/>
      <c r="AE514" s="712"/>
      <c r="AF514" s="712"/>
      <c r="AG514" s="712"/>
      <c r="AH514" s="712"/>
      <c r="AI514" s="712"/>
      <c r="AJ514" s="712"/>
      <c r="AK514" s="712"/>
      <c r="AL514" s="712"/>
      <c r="AM514" s="712"/>
      <c r="AN514" s="712"/>
      <c r="AO514" s="712"/>
      <c r="AP514" s="712"/>
      <c r="AQ514" s="712"/>
      <c r="AR514" s="712"/>
      <c r="AS514" s="712"/>
      <c r="AT514" s="712"/>
      <c r="AU514" s="712"/>
      <c r="AV514" s="712"/>
      <c r="AW514" s="712"/>
      <c r="AX514" s="712"/>
      <c r="AY514" s="712"/>
      <c r="AZ514" s="712"/>
      <c r="BA514" s="712"/>
      <c r="BB514" s="712"/>
      <c r="BC514" s="712"/>
      <c r="BD514" s="712"/>
      <c r="BE514" s="712"/>
      <c r="BF514" s="712"/>
      <c r="BG514" s="712"/>
      <c r="BH514" s="712"/>
      <c r="BI514" s="712"/>
      <c r="BJ514" s="712"/>
      <c r="BK514" s="712"/>
      <c r="BL514" s="712"/>
      <c r="BM514" s="712"/>
      <c r="BN514" s="712"/>
      <c r="BO514" s="712"/>
      <c r="BP514" s="712"/>
      <c r="BQ514" s="712"/>
      <c r="BR514" s="712"/>
      <c r="BS514" s="712"/>
      <c r="BT514" s="712"/>
      <c r="BU514" s="712"/>
      <c r="BV514" s="712"/>
      <c r="BW514" s="712"/>
      <c r="BX514" s="712"/>
      <c r="BY514" s="712"/>
      <c r="BZ514" s="712"/>
      <c r="CA514" s="712"/>
      <c r="CB514" s="712"/>
      <c r="CC514" s="712"/>
      <c r="CD514" s="712"/>
      <c r="CE514" s="712"/>
      <c r="CF514" s="712"/>
      <c r="CG514" s="712"/>
      <c r="CH514" s="712"/>
      <c r="CI514" s="712"/>
      <c r="CJ514" s="712"/>
      <c r="CK514" s="712"/>
      <c r="CL514" s="712"/>
      <c r="CM514" s="712"/>
      <c r="CN514" s="712"/>
      <c r="CO514" s="712"/>
      <c r="CP514" s="712"/>
      <c r="CQ514" s="712"/>
      <c r="CR514" s="712"/>
      <c r="CS514" s="712"/>
      <c r="CT514" s="712"/>
      <c r="CU514" s="712"/>
      <c r="CV514" s="712"/>
      <c r="CW514" s="712"/>
      <c r="CX514" s="712"/>
      <c r="CY514" s="712"/>
      <c r="CZ514" s="712"/>
      <c r="DA514" s="712"/>
      <c r="DB514" s="712"/>
      <c r="DC514" s="712"/>
      <c r="DD514" s="712"/>
      <c r="DE514" s="712"/>
      <c r="DF514" s="712"/>
      <c r="DG514" s="712"/>
      <c r="DH514" s="712"/>
      <c r="DI514" s="712"/>
      <c r="DJ514" s="712"/>
      <c r="DK514" s="712"/>
      <c r="DL514" s="712"/>
      <c r="DM514" s="712"/>
      <c r="DN514" s="712"/>
      <c r="DO514" s="712"/>
      <c r="DP514" s="712"/>
      <c r="DQ514" s="712"/>
      <c r="DR514" s="712"/>
      <c r="DS514" s="712"/>
      <c r="DT514" s="712"/>
      <c r="DU514" s="712"/>
      <c r="DV514" s="712"/>
      <c r="DW514" s="712"/>
      <c r="DX514" s="712"/>
      <c r="DY514" s="712"/>
      <c r="DZ514" s="712"/>
      <c r="EA514" s="712"/>
      <c r="EB514" s="712"/>
      <c r="EC514" s="712"/>
      <c r="ED514" s="712"/>
      <c r="EE514" s="712"/>
      <c r="EF514" s="712"/>
      <c r="EG514" s="712"/>
      <c r="EH514" s="712"/>
      <c r="EI514" s="712"/>
      <c r="EJ514" s="712"/>
      <c r="EK514" s="712"/>
      <c r="EL514" s="712"/>
      <c r="EM514" s="712"/>
      <c r="EN514" s="712"/>
      <c r="EO514" s="712"/>
      <c r="EP514" s="712"/>
      <c r="EQ514" s="712"/>
      <c r="ER514" s="712"/>
      <c r="ES514" s="712"/>
      <c r="ET514" s="794"/>
      <c r="EU514" s="794"/>
      <c r="EV514" s="794"/>
      <c r="EW514" s="794"/>
      <c r="EX514" s="794"/>
      <c r="EY514" s="794"/>
      <c r="EZ514" s="794"/>
      <c r="FA514" s="712"/>
      <c r="FB514" s="712"/>
      <c r="FC514" s="712"/>
      <c r="FD514" s="712"/>
      <c r="FE514" s="712"/>
      <c r="FF514" s="712"/>
      <c r="FG514" s="712"/>
      <c r="FH514" s="712"/>
      <c r="FI514" s="712"/>
      <c r="FJ514" s="712"/>
      <c r="FK514" s="712"/>
      <c r="FL514" s="712"/>
      <c r="FM514" s="712"/>
      <c r="FN514" s="712"/>
      <c r="FO514" s="712"/>
      <c r="FP514" s="712"/>
      <c r="FQ514" s="712"/>
      <c r="FR514" s="712"/>
      <c r="FS514" s="712"/>
      <c r="FT514" s="712"/>
      <c r="FU514" s="712"/>
      <c r="FV514" s="712"/>
      <c r="FW514" s="712"/>
      <c r="FX514" s="712"/>
      <c r="FZ514" s="712"/>
      <c r="GA514" s="712"/>
      <c r="GB514" s="712"/>
      <c r="GC514" s="712"/>
      <c r="GD514" s="712"/>
      <c r="GE514" s="712"/>
      <c r="GF514" s="712"/>
      <c r="GG514" s="712"/>
      <c r="GH514" s="712"/>
      <c r="GI514" s="712"/>
      <c r="GJ514" s="712"/>
      <c r="GK514" s="712"/>
      <c r="GL514" s="712"/>
      <c r="GM514" s="712"/>
      <c r="GN514" s="712"/>
      <c r="GO514" s="712"/>
      <c r="GP514" s="712"/>
      <c r="GQ514" s="712"/>
      <c r="GR514" s="712"/>
      <c r="GS514" s="712"/>
      <c r="GT514" s="712"/>
      <c r="GU514" s="712"/>
      <c r="GV514" s="712"/>
      <c r="GW514" s="712"/>
      <c r="GX514" s="712"/>
      <c r="GY514" s="712"/>
      <c r="GZ514" s="712"/>
      <c r="HA514" s="712"/>
      <c r="HB514" s="712"/>
      <c r="HC514" s="712"/>
    </row>
    <row r="515" spans="1:211">
      <c r="A515" s="707"/>
      <c r="G515" s="712"/>
      <c r="H515" s="712"/>
      <c r="I515" s="712"/>
      <c r="J515" s="712"/>
      <c r="K515" s="712"/>
      <c r="L515" s="712"/>
      <c r="M515" s="712"/>
      <c r="N515" s="712"/>
      <c r="O515" s="712"/>
      <c r="P515" s="712"/>
      <c r="Q515" s="712"/>
      <c r="R515" s="712"/>
      <c r="S515" s="712"/>
      <c r="T515" s="712"/>
      <c r="U515" s="712"/>
      <c r="V515" s="712"/>
      <c r="W515" s="712"/>
      <c r="X515" s="712"/>
      <c r="Y515" s="712"/>
      <c r="Z515" s="712"/>
      <c r="AA515" s="712"/>
      <c r="AB515" s="712"/>
      <c r="AC515" s="712"/>
      <c r="AD515" s="712"/>
      <c r="AE515" s="712"/>
      <c r="AF515" s="712"/>
      <c r="AG515" s="712"/>
      <c r="AH515" s="712"/>
      <c r="AI515" s="712"/>
      <c r="AJ515" s="712"/>
      <c r="AK515" s="712"/>
      <c r="AL515" s="712"/>
      <c r="AM515" s="712"/>
      <c r="AN515" s="712"/>
      <c r="AO515" s="712"/>
      <c r="AP515" s="712"/>
      <c r="AQ515" s="712"/>
      <c r="AR515" s="712"/>
      <c r="AS515" s="712"/>
      <c r="AT515" s="712"/>
      <c r="AU515" s="712"/>
      <c r="AV515" s="712"/>
      <c r="AW515" s="712"/>
      <c r="AX515" s="712"/>
      <c r="AY515" s="712"/>
      <c r="AZ515" s="712"/>
      <c r="BA515" s="712"/>
      <c r="BB515" s="712"/>
      <c r="BC515" s="712"/>
      <c r="BD515" s="712"/>
      <c r="BE515" s="712"/>
      <c r="BF515" s="712"/>
      <c r="BG515" s="712"/>
      <c r="BH515" s="712"/>
      <c r="BI515" s="712"/>
      <c r="BJ515" s="712"/>
      <c r="BK515" s="712"/>
      <c r="BL515" s="712"/>
      <c r="BM515" s="712"/>
      <c r="BN515" s="712"/>
      <c r="BO515" s="712"/>
      <c r="BP515" s="712"/>
      <c r="BQ515" s="712"/>
      <c r="BR515" s="712"/>
      <c r="BS515" s="712"/>
      <c r="BT515" s="712"/>
      <c r="BU515" s="712"/>
      <c r="BV515" s="712"/>
      <c r="BW515" s="712"/>
      <c r="BX515" s="712"/>
      <c r="BY515" s="712"/>
      <c r="BZ515" s="712"/>
      <c r="CA515" s="712"/>
      <c r="CB515" s="712"/>
      <c r="CC515" s="712"/>
      <c r="CD515" s="712"/>
      <c r="CE515" s="712"/>
      <c r="CF515" s="712"/>
      <c r="CG515" s="712"/>
      <c r="CH515" s="712"/>
      <c r="CI515" s="712"/>
      <c r="CJ515" s="712"/>
      <c r="CK515" s="712"/>
      <c r="CL515" s="712"/>
      <c r="CM515" s="712"/>
      <c r="CN515" s="712"/>
      <c r="CO515" s="712"/>
      <c r="CP515" s="712"/>
      <c r="CQ515" s="712"/>
      <c r="CR515" s="712"/>
      <c r="CS515" s="712"/>
      <c r="CT515" s="712"/>
      <c r="CU515" s="712"/>
      <c r="CV515" s="712"/>
      <c r="CW515" s="712"/>
      <c r="CX515" s="712"/>
      <c r="CY515" s="712"/>
      <c r="CZ515" s="712"/>
      <c r="DA515" s="712"/>
      <c r="DB515" s="712"/>
      <c r="DC515" s="712"/>
      <c r="DD515" s="712"/>
      <c r="DE515" s="712"/>
      <c r="DF515" s="712"/>
      <c r="DG515" s="712"/>
      <c r="DH515" s="712"/>
      <c r="DI515" s="712"/>
      <c r="DJ515" s="712"/>
      <c r="DK515" s="712"/>
      <c r="DL515" s="712"/>
      <c r="DM515" s="712"/>
      <c r="DN515" s="712"/>
      <c r="DO515" s="712"/>
      <c r="DP515" s="712"/>
      <c r="DQ515" s="712"/>
      <c r="DR515" s="712"/>
      <c r="DS515" s="712"/>
      <c r="DT515" s="712"/>
      <c r="DU515" s="712"/>
      <c r="DV515" s="712"/>
      <c r="DW515" s="712"/>
      <c r="DX515" s="712"/>
      <c r="DY515" s="712"/>
      <c r="DZ515" s="712"/>
      <c r="EA515" s="712"/>
      <c r="EB515" s="712"/>
      <c r="EC515" s="712"/>
      <c r="ED515" s="712"/>
      <c r="EE515" s="712"/>
      <c r="EF515" s="712"/>
      <c r="EG515" s="712"/>
      <c r="EH515" s="712"/>
      <c r="EI515" s="712"/>
      <c r="EJ515" s="712"/>
      <c r="EK515" s="712"/>
      <c r="EL515" s="712"/>
      <c r="EM515" s="712"/>
      <c r="EN515" s="712"/>
      <c r="EO515" s="712"/>
      <c r="EP515" s="712"/>
      <c r="EQ515" s="712"/>
      <c r="ER515" s="712"/>
      <c r="ES515" s="712"/>
      <c r="ET515" s="794"/>
      <c r="EU515" s="794"/>
      <c r="EV515" s="794"/>
      <c r="EW515" s="794"/>
      <c r="EX515" s="794"/>
      <c r="EY515" s="794"/>
      <c r="EZ515" s="794"/>
      <c r="FA515" s="712"/>
      <c r="FB515" s="712"/>
      <c r="FC515" s="712"/>
      <c r="FD515" s="712"/>
      <c r="FE515" s="712"/>
      <c r="FF515" s="712"/>
      <c r="FG515" s="712"/>
      <c r="FH515" s="712"/>
      <c r="FI515" s="712"/>
      <c r="FJ515" s="712"/>
      <c r="FK515" s="712"/>
      <c r="FL515" s="712"/>
      <c r="FM515" s="712"/>
      <c r="FN515" s="712"/>
      <c r="FO515" s="712"/>
      <c r="FP515" s="712"/>
      <c r="FQ515" s="712"/>
      <c r="FR515" s="712"/>
      <c r="FS515" s="712"/>
      <c r="FT515" s="712"/>
      <c r="FU515" s="712"/>
      <c r="FV515" s="712"/>
      <c r="FW515" s="712"/>
      <c r="FX515" s="712"/>
      <c r="FZ515" s="712"/>
      <c r="GA515" s="712"/>
      <c r="GB515" s="712"/>
      <c r="GC515" s="712"/>
      <c r="GD515" s="712"/>
      <c r="GE515" s="712"/>
      <c r="GF515" s="712"/>
      <c r="GG515" s="712"/>
      <c r="GH515" s="712"/>
      <c r="GI515" s="712"/>
      <c r="GJ515" s="712"/>
      <c r="GK515" s="712"/>
      <c r="GL515" s="712"/>
      <c r="GM515" s="712"/>
      <c r="GN515" s="712"/>
      <c r="GO515" s="712"/>
      <c r="GP515" s="712"/>
      <c r="GQ515" s="712"/>
      <c r="GR515" s="712"/>
      <c r="GS515" s="712"/>
      <c r="GT515" s="712"/>
      <c r="GU515" s="712"/>
      <c r="GV515" s="712"/>
      <c r="GW515" s="712"/>
      <c r="GX515" s="712"/>
      <c r="GY515" s="712"/>
      <c r="GZ515" s="712"/>
      <c r="HA515" s="712"/>
      <c r="HB515" s="712"/>
      <c r="HC515" s="712"/>
    </row>
    <row r="516" spans="1:211">
      <c r="A516" s="707"/>
      <c r="G516" s="712"/>
      <c r="H516" s="712"/>
      <c r="I516" s="712"/>
      <c r="J516" s="712"/>
      <c r="K516" s="712"/>
      <c r="L516" s="712"/>
      <c r="M516" s="712"/>
      <c r="N516" s="712"/>
      <c r="O516" s="712"/>
      <c r="P516" s="712"/>
      <c r="Q516" s="712"/>
      <c r="R516" s="712"/>
      <c r="S516" s="712"/>
      <c r="T516" s="712"/>
      <c r="U516" s="712"/>
      <c r="V516" s="712"/>
      <c r="W516" s="712"/>
      <c r="X516" s="712"/>
      <c r="Y516" s="712"/>
      <c r="Z516" s="712"/>
      <c r="AA516" s="712"/>
      <c r="AB516" s="712"/>
      <c r="AC516" s="712"/>
      <c r="AD516" s="712"/>
      <c r="AE516" s="712"/>
      <c r="AF516" s="712"/>
      <c r="AG516" s="712"/>
      <c r="AH516" s="712"/>
      <c r="AI516" s="712"/>
      <c r="AJ516" s="712"/>
      <c r="AK516" s="712"/>
      <c r="AL516" s="712"/>
      <c r="AM516" s="712"/>
      <c r="AN516" s="712"/>
      <c r="AO516" s="712"/>
      <c r="AP516" s="712"/>
      <c r="AQ516" s="712"/>
      <c r="AR516" s="712"/>
      <c r="AS516" s="712"/>
      <c r="AT516" s="712"/>
      <c r="AU516" s="712"/>
      <c r="AV516" s="712"/>
      <c r="AW516" s="712"/>
      <c r="AX516" s="712"/>
      <c r="AY516" s="712"/>
      <c r="AZ516" s="712"/>
      <c r="BA516" s="712"/>
      <c r="BB516" s="712"/>
      <c r="BC516" s="712"/>
      <c r="BD516" s="712"/>
      <c r="BE516" s="712"/>
      <c r="BF516" s="712"/>
      <c r="BG516" s="712"/>
      <c r="BH516" s="712"/>
      <c r="BI516" s="712"/>
      <c r="BJ516" s="712"/>
      <c r="BK516" s="712"/>
      <c r="BL516" s="712"/>
      <c r="BM516" s="712"/>
      <c r="BN516" s="712"/>
      <c r="BO516" s="712"/>
      <c r="BP516" s="712"/>
      <c r="BQ516" s="712"/>
      <c r="BR516" s="712"/>
      <c r="BS516" s="712"/>
      <c r="BT516" s="712"/>
      <c r="BU516" s="712"/>
      <c r="BV516" s="712"/>
      <c r="BW516" s="712"/>
      <c r="BX516" s="712"/>
      <c r="BY516" s="712"/>
      <c r="BZ516" s="712"/>
      <c r="CA516" s="712"/>
      <c r="CB516" s="712"/>
      <c r="CC516" s="712"/>
      <c r="CD516" s="712"/>
      <c r="CE516" s="712"/>
      <c r="CF516" s="712"/>
      <c r="CG516" s="712"/>
      <c r="CH516" s="712"/>
      <c r="CI516" s="712"/>
      <c r="CJ516" s="712"/>
      <c r="CK516" s="712"/>
      <c r="CL516" s="712"/>
      <c r="CM516" s="712"/>
      <c r="CN516" s="712"/>
      <c r="CO516" s="712"/>
      <c r="CP516" s="712"/>
      <c r="CQ516" s="712"/>
      <c r="CR516" s="712"/>
      <c r="CS516" s="712"/>
      <c r="CT516" s="712"/>
      <c r="CU516" s="712"/>
      <c r="CV516" s="712"/>
      <c r="CW516" s="712"/>
      <c r="CX516" s="712"/>
      <c r="CY516" s="712"/>
      <c r="CZ516" s="712"/>
      <c r="DA516" s="712"/>
      <c r="DB516" s="712"/>
      <c r="DC516" s="712"/>
      <c r="DD516" s="712"/>
      <c r="DE516" s="712"/>
      <c r="DF516" s="712"/>
      <c r="DG516" s="712"/>
      <c r="DH516" s="712"/>
      <c r="DI516" s="712"/>
      <c r="DJ516" s="712"/>
      <c r="DK516" s="712"/>
      <c r="DL516" s="712"/>
      <c r="DM516" s="712"/>
      <c r="DN516" s="712"/>
      <c r="DO516" s="712"/>
      <c r="DP516" s="712"/>
      <c r="DQ516" s="712"/>
      <c r="DR516" s="712"/>
      <c r="DS516" s="712"/>
      <c r="DT516" s="712"/>
      <c r="DU516" s="712"/>
      <c r="DV516" s="712"/>
      <c r="DW516" s="712"/>
      <c r="DX516" s="712"/>
      <c r="DY516" s="712"/>
      <c r="DZ516" s="712"/>
      <c r="EA516" s="712"/>
      <c r="EB516" s="712"/>
      <c r="EC516" s="712"/>
      <c r="ED516" s="712"/>
      <c r="EE516" s="712"/>
      <c r="EF516" s="712"/>
      <c r="EG516" s="712"/>
      <c r="EH516" s="712"/>
      <c r="EI516" s="712"/>
      <c r="EJ516" s="712"/>
      <c r="EK516" s="712"/>
      <c r="EL516" s="712"/>
      <c r="EM516" s="712"/>
      <c r="EN516" s="712"/>
      <c r="EO516" s="712"/>
      <c r="EP516" s="712"/>
      <c r="EQ516" s="712"/>
      <c r="ER516" s="712"/>
      <c r="ES516" s="712"/>
      <c r="ET516" s="794"/>
      <c r="EU516" s="794"/>
      <c r="EV516" s="794"/>
      <c r="EW516" s="794"/>
      <c r="EX516" s="794"/>
      <c r="EY516" s="794"/>
      <c r="EZ516" s="794"/>
      <c r="FA516" s="712"/>
      <c r="FB516" s="712"/>
      <c r="FC516" s="712"/>
      <c r="FD516" s="712"/>
      <c r="FE516" s="712"/>
      <c r="FF516" s="712"/>
      <c r="FG516" s="712"/>
      <c r="FH516" s="712"/>
      <c r="FI516" s="712"/>
      <c r="FJ516" s="712"/>
      <c r="FK516" s="712"/>
      <c r="FL516" s="712"/>
      <c r="FM516" s="712"/>
      <c r="FN516" s="712"/>
      <c r="FO516" s="712"/>
      <c r="FP516" s="712"/>
      <c r="FQ516" s="712"/>
      <c r="FR516" s="712"/>
      <c r="FS516" s="712"/>
      <c r="FT516" s="712"/>
      <c r="FU516" s="712"/>
      <c r="FV516" s="712"/>
      <c r="FW516" s="712"/>
      <c r="FX516" s="712"/>
      <c r="FZ516" s="712"/>
      <c r="GA516" s="712"/>
      <c r="GB516" s="712"/>
      <c r="GC516" s="712"/>
      <c r="GD516" s="712"/>
      <c r="GE516" s="712"/>
      <c r="GF516" s="712"/>
      <c r="GG516" s="712"/>
      <c r="GH516" s="712"/>
      <c r="GI516" s="712"/>
      <c r="GJ516" s="712"/>
      <c r="GK516" s="712"/>
      <c r="GL516" s="712"/>
      <c r="GM516" s="712"/>
      <c r="GN516" s="712"/>
      <c r="GO516" s="712"/>
      <c r="GP516" s="712"/>
      <c r="GQ516" s="712"/>
      <c r="GR516" s="712"/>
      <c r="GS516" s="712"/>
      <c r="GT516" s="712"/>
      <c r="GU516" s="712"/>
      <c r="GV516" s="712"/>
      <c r="GW516" s="712"/>
      <c r="GX516" s="712"/>
      <c r="GY516" s="712"/>
      <c r="GZ516" s="712"/>
      <c r="HA516" s="712"/>
      <c r="HB516" s="712"/>
      <c r="HC516" s="712"/>
    </row>
    <row r="517" spans="1:211">
      <c r="A517" s="707"/>
      <c r="G517" s="712"/>
      <c r="H517" s="712"/>
      <c r="I517" s="712"/>
      <c r="J517" s="712"/>
      <c r="K517" s="712"/>
      <c r="L517" s="712"/>
      <c r="M517" s="712"/>
      <c r="N517" s="712"/>
      <c r="O517" s="712"/>
      <c r="P517" s="712"/>
      <c r="Q517" s="712"/>
      <c r="R517" s="712"/>
      <c r="S517" s="712"/>
      <c r="T517" s="712"/>
      <c r="U517" s="712"/>
      <c r="V517" s="712"/>
      <c r="W517" s="712"/>
      <c r="X517" s="712"/>
      <c r="Y517" s="712"/>
      <c r="Z517" s="712"/>
      <c r="AA517" s="712"/>
      <c r="AB517" s="712"/>
      <c r="AC517" s="712"/>
      <c r="AD517" s="712"/>
      <c r="AE517" s="712"/>
      <c r="AF517" s="712"/>
      <c r="AG517" s="712"/>
      <c r="AH517" s="712"/>
      <c r="AI517" s="712"/>
      <c r="AJ517" s="712"/>
      <c r="AK517" s="712"/>
      <c r="AL517" s="712"/>
      <c r="AM517" s="712"/>
      <c r="AN517" s="712"/>
      <c r="AO517" s="712"/>
      <c r="AP517" s="712"/>
      <c r="AQ517" s="712"/>
      <c r="AR517" s="712"/>
      <c r="AS517" s="712"/>
      <c r="AT517" s="712"/>
      <c r="AU517" s="712"/>
      <c r="AV517" s="712"/>
      <c r="AW517" s="712"/>
      <c r="AX517" s="712"/>
      <c r="AY517" s="712"/>
      <c r="AZ517" s="712"/>
      <c r="BA517" s="712"/>
      <c r="BB517" s="712"/>
      <c r="BC517" s="712"/>
      <c r="BD517" s="712"/>
      <c r="BE517" s="712"/>
      <c r="BF517" s="712"/>
      <c r="BG517" s="712"/>
      <c r="BH517" s="712"/>
      <c r="BI517" s="712"/>
      <c r="BJ517" s="712"/>
      <c r="BK517" s="712"/>
      <c r="BL517" s="712"/>
      <c r="BM517" s="712"/>
      <c r="BN517" s="712"/>
      <c r="BO517" s="712"/>
      <c r="BP517" s="712"/>
      <c r="BQ517" s="712"/>
      <c r="BR517" s="712"/>
      <c r="BS517" s="712"/>
      <c r="BT517" s="712"/>
      <c r="BU517" s="712"/>
      <c r="BV517" s="712"/>
      <c r="BW517" s="712"/>
      <c r="BX517" s="712"/>
      <c r="BY517" s="712"/>
      <c r="BZ517" s="712"/>
      <c r="CA517" s="712"/>
      <c r="CB517" s="712"/>
      <c r="CC517" s="712"/>
      <c r="CD517" s="712"/>
      <c r="CE517" s="712"/>
      <c r="CF517" s="712"/>
      <c r="CG517" s="712"/>
      <c r="CH517" s="712"/>
      <c r="CI517" s="712"/>
      <c r="CJ517" s="712"/>
      <c r="CK517" s="712"/>
      <c r="CL517" s="712"/>
      <c r="CM517" s="712"/>
      <c r="CN517" s="712"/>
      <c r="CO517" s="712"/>
      <c r="CP517" s="712"/>
      <c r="CQ517" s="712"/>
      <c r="CR517" s="712"/>
      <c r="CS517" s="712"/>
      <c r="CT517" s="712"/>
      <c r="CU517" s="712"/>
      <c r="CV517" s="712"/>
      <c r="CW517" s="712"/>
      <c r="CX517" s="712"/>
      <c r="CY517" s="712"/>
      <c r="CZ517" s="712"/>
      <c r="DA517" s="712"/>
      <c r="DB517" s="712"/>
      <c r="DC517" s="712"/>
      <c r="DD517" s="712"/>
      <c r="DE517" s="712"/>
      <c r="DF517" s="712"/>
      <c r="DG517" s="712"/>
      <c r="DH517" s="712"/>
      <c r="DI517" s="712"/>
      <c r="DJ517" s="712"/>
      <c r="DK517" s="712"/>
      <c r="DL517" s="712"/>
      <c r="DM517" s="712"/>
      <c r="DN517" s="712"/>
      <c r="DO517" s="712"/>
      <c r="DP517" s="712"/>
      <c r="DQ517" s="712"/>
      <c r="DR517" s="712"/>
      <c r="DS517" s="712"/>
      <c r="DT517" s="712"/>
      <c r="DU517" s="712"/>
      <c r="DV517" s="712"/>
      <c r="DW517" s="712"/>
      <c r="DX517" s="712"/>
      <c r="DY517" s="712"/>
      <c r="DZ517" s="712"/>
      <c r="EA517" s="712"/>
      <c r="EB517" s="712"/>
      <c r="EC517" s="712"/>
      <c r="ED517" s="712"/>
      <c r="EE517" s="712"/>
      <c r="EF517" s="712"/>
      <c r="EG517" s="712"/>
      <c r="EH517" s="712"/>
      <c r="EI517" s="712"/>
      <c r="EJ517" s="712"/>
      <c r="EK517" s="712"/>
      <c r="EL517" s="712"/>
      <c r="EM517" s="712"/>
      <c r="EN517" s="712"/>
      <c r="EO517" s="712"/>
      <c r="EP517" s="712"/>
      <c r="EQ517" s="712"/>
      <c r="ER517" s="712"/>
      <c r="ES517" s="712"/>
      <c r="ET517" s="794"/>
      <c r="EU517" s="794"/>
      <c r="EV517" s="794"/>
      <c r="EW517" s="794"/>
      <c r="EX517" s="794"/>
      <c r="EY517" s="794"/>
      <c r="EZ517" s="794"/>
      <c r="FA517" s="712"/>
      <c r="FB517" s="712"/>
      <c r="FC517" s="712"/>
      <c r="FD517" s="712"/>
      <c r="FE517" s="712"/>
      <c r="FF517" s="712"/>
      <c r="FG517" s="712"/>
      <c r="FH517" s="712"/>
      <c r="FI517" s="712"/>
      <c r="FJ517" s="712"/>
      <c r="FK517" s="712"/>
      <c r="FL517" s="712"/>
      <c r="FM517" s="712"/>
      <c r="FN517" s="712"/>
      <c r="FO517" s="712"/>
      <c r="FP517" s="712"/>
      <c r="FQ517" s="712"/>
      <c r="FR517" s="712"/>
      <c r="FS517" s="712"/>
      <c r="FT517" s="712"/>
      <c r="FU517" s="712"/>
      <c r="FV517" s="712"/>
      <c r="FW517" s="712"/>
      <c r="FX517" s="712"/>
      <c r="FZ517" s="712"/>
      <c r="GA517" s="712"/>
      <c r="GB517" s="712"/>
      <c r="GC517" s="712"/>
      <c r="GD517" s="712"/>
      <c r="GE517" s="712"/>
      <c r="GF517" s="712"/>
      <c r="GG517" s="712"/>
      <c r="GH517" s="712"/>
      <c r="GI517" s="712"/>
      <c r="GJ517" s="712"/>
      <c r="GK517" s="712"/>
      <c r="GL517" s="712"/>
      <c r="GM517" s="712"/>
      <c r="GN517" s="712"/>
      <c r="GO517" s="712"/>
      <c r="GP517" s="712"/>
      <c r="GQ517" s="712"/>
      <c r="GR517" s="712"/>
      <c r="GS517" s="712"/>
      <c r="GT517" s="712"/>
      <c r="GU517" s="712"/>
      <c r="GV517" s="712"/>
      <c r="GW517" s="712"/>
      <c r="GX517" s="712"/>
      <c r="GY517" s="712"/>
      <c r="GZ517" s="712"/>
      <c r="HA517" s="712"/>
      <c r="HB517" s="712"/>
      <c r="HC517" s="712"/>
    </row>
    <row r="518" spans="1:211">
      <c r="A518" s="707"/>
      <c r="G518" s="712"/>
      <c r="H518" s="712"/>
      <c r="I518" s="712"/>
      <c r="J518" s="712"/>
      <c r="K518" s="712"/>
      <c r="L518" s="712"/>
      <c r="M518" s="712"/>
      <c r="N518" s="712"/>
      <c r="O518" s="712"/>
      <c r="P518" s="712"/>
      <c r="Q518" s="712"/>
      <c r="R518" s="712"/>
      <c r="S518" s="712"/>
      <c r="T518" s="712"/>
      <c r="U518" s="712"/>
      <c r="V518" s="712"/>
      <c r="W518" s="712"/>
      <c r="X518" s="712"/>
      <c r="Y518" s="712"/>
      <c r="Z518" s="712"/>
      <c r="AA518" s="712"/>
      <c r="AB518" s="712"/>
      <c r="AC518" s="712"/>
      <c r="AD518" s="712"/>
      <c r="AE518" s="712"/>
      <c r="AF518" s="712"/>
      <c r="AG518" s="712"/>
      <c r="AH518" s="712"/>
      <c r="AI518" s="712"/>
      <c r="AJ518" s="712"/>
      <c r="AK518" s="712"/>
      <c r="AL518" s="712"/>
      <c r="AM518" s="712"/>
      <c r="AN518" s="712"/>
      <c r="AO518" s="712"/>
      <c r="AP518" s="712"/>
      <c r="AQ518" s="712"/>
      <c r="AR518" s="712"/>
      <c r="AS518" s="712"/>
      <c r="AT518" s="712"/>
      <c r="AU518" s="712"/>
      <c r="AV518" s="712"/>
      <c r="AW518" s="712"/>
      <c r="AX518" s="712"/>
      <c r="AY518" s="712"/>
      <c r="AZ518" s="712"/>
      <c r="BA518" s="712"/>
      <c r="BB518" s="712"/>
      <c r="BC518" s="712"/>
      <c r="BD518" s="712"/>
      <c r="BE518" s="712"/>
      <c r="BF518" s="712"/>
      <c r="BG518" s="712"/>
      <c r="BH518" s="712"/>
      <c r="BI518" s="712"/>
      <c r="BJ518" s="712"/>
      <c r="BK518" s="712"/>
      <c r="BL518" s="712"/>
      <c r="BM518" s="712"/>
      <c r="BN518" s="712"/>
      <c r="BO518" s="712"/>
      <c r="BP518" s="712"/>
      <c r="BQ518" s="712"/>
      <c r="BR518" s="712"/>
      <c r="BS518" s="712"/>
      <c r="BT518" s="712"/>
      <c r="BU518" s="712"/>
      <c r="BV518" s="712"/>
      <c r="BW518" s="712"/>
      <c r="BX518" s="712"/>
      <c r="BY518" s="712"/>
      <c r="BZ518" s="712"/>
      <c r="CA518" s="712"/>
      <c r="CB518" s="712"/>
      <c r="CC518" s="712"/>
      <c r="CD518" s="712"/>
      <c r="CE518" s="712"/>
      <c r="CF518" s="712"/>
      <c r="CG518" s="712"/>
      <c r="CH518" s="712"/>
      <c r="CI518" s="712"/>
      <c r="CJ518" s="712"/>
      <c r="CK518" s="712"/>
      <c r="CL518" s="712"/>
      <c r="CM518" s="712"/>
      <c r="CN518" s="712"/>
      <c r="CO518" s="712"/>
      <c r="CP518" s="712"/>
      <c r="CQ518" s="712"/>
      <c r="CR518" s="712"/>
      <c r="CS518" s="712"/>
      <c r="CT518" s="712"/>
      <c r="CU518" s="712"/>
      <c r="CV518" s="712"/>
      <c r="CW518" s="712"/>
      <c r="CX518" s="712"/>
      <c r="CY518" s="712"/>
      <c r="CZ518" s="712"/>
      <c r="DA518" s="712"/>
      <c r="DB518" s="712"/>
      <c r="DC518" s="712"/>
      <c r="DD518" s="712"/>
      <c r="DE518" s="712"/>
      <c r="DF518" s="712"/>
      <c r="DG518" s="712"/>
      <c r="DH518" s="712"/>
      <c r="DI518" s="712"/>
      <c r="DJ518" s="712"/>
      <c r="DK518" s="712"/>
      <c r="DL518" s="712"/>
      <c r="DM518" s="712"/>
      <c r="DN518" s="712"/>
      <c r="DO518" s="712"/>
      <c r="DP518" s="712"/>
      <c r="DQ518" s="712"/>
      <c r="DR518" s="712"/>
      <c r="DS518" s="712"/>
      <c r="DT518" s="712"/>
      <c r="DU518" s="712"/>
      <c r="DV518" s="712"/>
      <c r="DW518" s="712"/>
      <c r="DX518" s="712"/>
      <c r="DY518" s="712"/>
      <c r="DZ518" s="712"/>
      <c r="EA518" s="712"/>
      <c r="EB518" s="712"/>
      <c r="EC518" s="712"/>
      <c r="ED518" s="712"/>
      <c r="EE518" s="712"/>
      <c r="EF518" s="712"/>
      <c r="EG518" s="712"/>
      <c r="EH518" s="712"/>
      <c r="EI518" s="712"/>
      <c r="EJ518" s="712"/>
      <c r="EK518" s="712"/>
      <c r="EL518" s="712"/>
      <c r="EM518" s="712"/>
      <c r="EN518" s="712"/>
      <c r="EO518" s="712"/>
      <c r="EP518" s="712"/>
      <c r="EQ518" s="712"/>
      <c r="ER518" s="712"/>
      <c r="ES518" s="712"/>
      <c r="ET518" s="794"/>
      <c r="EU518" s="794"/>
      <c r="EV518" s="794"/>
      <c r="EW518" s="794"/>
      <c r="EX518" s="794"/>
      <c r="EY518" s="794"/>
      <c r="EZ518" s="794"/>
      <c r="FA518" s="712"/>
      <c r="FB518" s="712"/>
      <c r="FC518" s="712"/>
      <c r="FD518" s="712"/>
      <c r="FE518" s="712"/>
      <c r="FF518" s="712"/>
      <c r="FG518" s="712"/>
      <c r="FH518" s="712"/>
      <c r="FI518" s="712"/>
      <c r="FJ518" s="712"/>
      <c r="FK518" s="712"/>
      <c r="FL518" s="712"/>
      <c r="FM518" s="712"/>
      <c r="FN518" s="712"/>
      <c r="FO518" s="712"/>
      <c r="FP518" s="712"/>
      <c r="FQ518" s="712"/>
      <c r="FR518" s="712"/>
      <c r="FS518" s="712"/>
      <c r="FT518" s="712"/>
      <c r="FU518" s="712"/>
      <c r="FV518" s="712"/>
      <c r="FW518" s="712"/>
      <c r="FX518" s="712"/>
      <c r="FZ518" s="712"/>
      <c r="GA518" s="712"/>
      <c r="GB518" s="712"/>
      <c r="GC518" s="712"/>
      <c r="GD518" s="712"/>
      <c r="GE518" s="712"/>
      <c r="GF518" s="712"/>
      <c r="GG518" s="712"/>
      <c r="GH518" s="712"/>
      <c r="GI518" s="712"/>
      <c r="GJ518" s="712"/>
      <c r="GK518" s="712"/>
      <c r="GL518" s="712"/>
      <c r="GM518" s="712"/>
      <c r="GN518" s="712"/>
      <c r="GO518" s="712"/>
      <c r="GP518" s="712"/>
      <c r="GQ518" s="712"/>
      <c r="GR518" s="712"/>
      <c r="GS518" s="712"/>
      <c r="GT518" s="712"/>
      <c r="GU518" s="712"/>
      <c r="GV518" s="712"/>
      <c r="GW518" s="712"/>
      <c r="GX518" s="712"/>
      <c r="GY518" s="712"/>
      <c r="GZ518" s="712"/>
      <c r="HA518" s="712"/>
      <c r="HB518" s="712"/>
      <c r="HC518" s="712"/>
    </row>
    <row r="519" spans="1:211">
      <c r="A519" s="707"/>
      <c r="G519" s="712"/>
      <c r="H519" s="712"/>
      <c r="I519" s="712"/>
      <c r="J519" s="712"/>
      <c r="K519" s="712"/>
      <c r="L519" s="712"/>
      <c r="M519" s="712"/>
      <c r="N519" s="712"/>
      <c r="O519" s="712"/>
      <c r="P519" s="712"/>
      <c r="Q519" s="712"/>
      <c r="R519" s="712"/>
      <c r="S519" s="712"/>
      <c r="T519" s="712"/>
      <c r="U519" s="712"/>
      <c r="V519" s="712"/>
      <c r="W519" s="712"/>
      <c r="X519" s="712"/>
      <c r="Y519" s="712"/>
      <c r="Z519" s="712"/>
      <c r="AA519" s="712"/>
      <c r="AB519" s="712"/>
      <c r="AC519" s="712"/>
      <c r="AD519" s="712"/>
      <c r="AE519" s="712"/>
      <c r="AF519" s="712"/>
      <c r="AG519" s="712"/>
      <c r="AH519" s="712"/>
      <c r="AI519" s="712"/>
      <c r="AJ519" s="712"/>
      <c r="AK519" s="712"/>
      <c r="AL519" s="712"/>
      <c r="AM519" s="712"/>
      <c r="AN519" s="712"/>
      <c r="AO519" s="712"/>
      <c r="AP519" s="712"/>
      <c r="AQ519" s="712"/>
      <c r="AR519" s="712"/>
      <c r="AS519" s="712"/>
      <c r="AT519" s="712"/>
      <c r="AU519" s="712"/>
      <c r="AV519" s="712"/>
      <c r="AW519" s="712"/>
      <c r="AX519" s="712"/>
      <c r="AY519" s="712"/>
      <c r="AZ519" s="712"/>
      <c r="BA519" s="712"/>
      <c r="BB519" s="712"/>
      <c r="BC519" s="712"/>
      <c r="BD519" s="712"/>
      <c r="BE519" s="712"/>
      <c r="BF519" s="712"/>
      <c r="BG519" s="712"/>
      <c r="BH519" s="712"/>
      <c r="BI519" s="712"/>
      <c r="BJ519" s="712"/>
      <c r="BK519" s="712"/>
      <c r="BL519" s="712"/>
      <c r="BM519" s="712"/>
      <c r="BN519" s="712"/>
      <c r="BO519" s="712"/>
      <c r="BP519" s="712"/>
      <c r="BQ519" s="712"/>
      <c r="BR519" s="712"/>
      <c r="BS519" s="712"/>
      <c r="BT519" s="712"/>
      <c r="BU519" s="712"/>
      <c r="BV519" s="712"/>
      <c r="BW519" s="712"/>
      <c r="BX519" s="712"/>
      <c r="BY519" s="712"/>
      <c r="BZ519" s="712"/>
      <c r="CA519" s="712"/>
      <c r="CB519" s="712"/>
      <c r="CC519" s="712"/>
      <c r="CD519" s="712"/>
      <c r="CE519" s="712"/>
      <c r="CF519" s="712"/>
      <c r="CG519" s="712"/>
      <c r="CH519" s="712"/>
      <c r="CI519" s="712"/>
      <c r="CJ519" s="712"/>
      <c r="CK519" s="712"/>
      <c r="CL519" s="712"/>
      <c r="CM519" s="712"/>
      <c r="CN519" s="712"/>
      <c r="CO519" s="712"/>
      <c r="CP519" s="712"/>
      <c r="CQ519" s="712"/>
      <c r="CR519" s="712"/>
      <c r="CS519" s="712"/>
      <c r="CT519" s="712"/>
      <c r="CU519" s="712"/>
      <c r="CV519" s="712"/>
      <c r="CW519" s="712"/>
      <c r="CX519" s="712"/>
      <c r="CY519" s="712"/>
      <c r="CZ519" s="712"/>
      <c r="DA519" s="712"/>
      <c r="DB519" s="712"/>
      <c r="DC519" s="712"/>
      <c r="DD519" s="712"/>
      <c r="DE519" s="712"/>
      <c r="DF519" s="712"/>
      <c r="DG519" s="712"/>
      <c r="DH519" s="712"/>
      <c r="DI519" s="712"/>
      <c r="DJ519" s="712"/>
      <c r="DK519" s="712"/>
      <c r="DL519" s="712"/>
      <c r="DM519" s="712"/>
      <c r="DN519" s="712"/>
      <c r="DO519" s="712"/>
      <c r="DP519" s="712"/>
      <c r="DQ519" s="712"/>
      <c r="DR519" s="712"/>
      <c r="DS519" s="712"/>
      <c r="DT519" s="712"/>
      <c r="DU519" s="712"/>
      <c r="DV519" s="712"/>
      <c r="DW519" s="712"/>
      <c r="DX519" s="712"/>
      <c r="DY519" s="712"/>
      <c r="DZ519" s="712"/>
      <c r="EA519" s="712"/>
      <c r="EB519" s="712"/>
      <c r="EC519" s="712"/>
      <c r="ED519" s="712"/>
      <c r="EE519" s="712"/>
      <c r="EF519" s="712"/>
      <c r="EG519" s="712"/>
      <c r="EH519" s="712"/>
      <c r="EI519" s="712"/>
      <c r="EJ519" s="712"/>
      <c r="EK519" s="712"/>
      <c r="EL519" s="712"/>
      <c r="EM519" s="712"/>
      <c r="EN519" s="712"/>
      <c r="EO519" s="712"/>
      <c r="EP519" s="712"/>
      <c r="EQ519" s="712"/>
      <c r="ER519" s="712"/>
      <c r="ES519" s="712"/>
      <c r="ET519" s="794"/>
      <c r="EU519" s="794"/>
      <c r="EV519" s="794"/>
      <c r="EW519" s="794"/>
      <c r="EX519" s="794"/>
      <c r="EY519" s="794"/>
      <c r="EZ519" s="794"/>
      <c r="FA519" s="712"/>
      <c r="FB519" s="712"/>
      <c r="FC519" s="712"/>
      <c r="FD519" s="712"/>
      <c r="FE519" s="712"/>
      <c r="FF519" s="712"/>
      <c r="FG519" s="712"/>
      <c r="FH519" s="712"/>
      <c r="FI519" s="712"/>
      <c r="FJ519" s="712"/>
      <c r="FK519" s="712"/>
      <c r="FL519" s="712"/>
      <c r="FM519" s="712"/>
      <c r="FN519" s="712"/>
      <c r="FO519" s="712"/>
      <c r="FP519" s="712"/>
      <c r="FQ519" s="712"/>
      <c r="FR519" s="712"/>
      <c r="FS519" s="712"/>
      <c r="FT519" s="712"/>
      <c r="FU519" s="712"/>
      <c r="FV519" s="712"/>
      <c r="FW519" s="712"/>
      <c r="FX519" s="712"/>
      <c r="FZ519" s="712"/>
      <c r="GA519" s="712"/>
      <c r="GB519" s="712"/>
      <c r="GC519" s="712"/>
      <c r="GD519" s="712"/>
      <c r="GE519" s="712"/>
      <c r="GF519" s="712"/>
      <c r="GG519" s="712"/>
      <c r="GH519" s="712"/>
      <c r="GI519" s="712"/>
      <c r="GJ519" s="712"/>
      <c r="GK519" s="712"/>
      <c r="GL519" s="712"/>
      <c r="GM519" s="712"/>
      <c r="GN519" s="712"/>
      <c r="GO519" s="712"/>
      <c r="GP519" s="712"/>
      <c r="GQ519" s="712"/>
      <c r="GR519" s="712"/>
      <c r="GS519" s="712"/>
      <c r="GT519" s="712"/>
      <c r="GU519" s="712"/>
      <c r="GV519" s="712"/>
      <c r="GW519" s="712"/>
      <c r="GX519" s="712"/>
      <c r="GY519" s="712"/>
      <c r="GZ519" s="712"/>
      <c r="HA519" s="712"/>
      <c r="HB519" s="712"/>
      <c r="HC519" s="712"/>
    </row>
    <row r="520" spans="1:211">
      <c r="A520" s="707"/>
      <c r="G520" s="712"/>
      <c r="H520" s="712"/>
      <c r="I520" s="712"/>
      <c r="J520" s="712"/>
      <c r="K520" s="712"/>
      <c r="L520" s="712"/>
      <c r="M520" s="712"/>
      <c r="N520" s="712"/>
      <c r="O520" s="712"/>
      <c r="P520" s="712"/>
      <c r="Q520" s="712"/>
      <c r="R520" s="712"/>
      <c r="S520" s="712"/>
      <c r="T520" s="712"/>
      <c r="U520" s="712"/>
      <c r="V520" s="712"/>
      <c r="W520" s="712"/>
      <c r="X520" s="712"/>
      <c r="Y520" s="712"/>
      <c r="Z520" s="712"/>
      <c r="AA520" s="712"/>
      <c r="AB520" s="712"/>
      <c r="AC520" s="712"/>
      <c r="AD520" s="712"/>
      <c r="AE520" s="712"/>
      <c r="AF520" s="712"/>
      <c r="AG520" s="712"/>
      <c r="AH520" s="712"/>
      <c r="AI520" s="712"/>
      <c r="AJ520" s="712"/>
      <c r="AK520" s="712"/>
      <c r="AL520" s="712"/>
      <c r="AM520" s="712"/>
      <c r="AN520" s="712"/>
      <c r="AO520" s="712"/>
      <c r="AP520" s="712"/>
      <c r="AQ520" s="712"/>
      <c r="AR520" s="712"/>
      <c r="AS520" s="712"/>
      <c r="AT520" s="712"/>
      <c r="AU520" s="712"/>
      <c r="AV520" s="712"/>
      <c r="AW520" s="712"/>
      <c r="AX520" s="712"/>
      <c r="AY520" s="712"/>
      <c r="AZ520" s="712"/>
      <c r="BA520" s="712"/>
      <c r="BB520" s="712"/>
      <c r="BC520" s="712"/>
      <c r="BD520" s="712"/>
      <c r="BE520" s="712"/>
      <c r="BF520" s="712"/>
      <c r="BG520" s="712"/>
      <c r="BH520" s="712"/>
      <c r="BI520" s="712"/>
      <c r="BJ520" s="712"/>
      <c r="BK520" s="712"/>
      <c r="BL520" s="712"/>
      <c r="BM520" s="712"/>
      <c r="BN520" s="712"/>
      <c r="BO520" s="712"/>
      <c r="BP520" s="712"/>
      <c r="BQ520" s="712"/>
      <c r="BR520" s="712"/>
      <c r="BS520" s="712"/>
      <c r="BT520" s="712"/>
      <c r="BU520" s="712"/>
      <c r="BV520" s="712"/>
      <c r="BW520" s="712"/>
      <c r="BX520" s="712"/>
      <c r="BY520" s="712"/>
      <c r="BZ520" s="712"/>
      <c r="CA520" s="712"/>
      <c r="CB520" s="712"/>
      <c r="CC520" s="712"/>
      <c r="CD520" s="712"/>
      <c r="CE520" s="712"/>
      <c r="CF520" s="712"/>
      <c r="CG520" s="712"/>
      <c r="CH520" s="712"/>
      <c r="CI520" s="712"/>
      <c r="CJ520" s="712"/>
      <c r="CK520" s="712"/>
      <c r="CL520" s="712"/>
      <c r="CM520" s="712"/>
      <c r="CN520" s="712"/>
      <c r="CO520" s="712"/>
      <c r="CP520" s="712"/>
      <c r="CQ520" s="712"/>
      <c r="CR520" s="712"/>
      <c r="CS520" s="712"/>
      <c r="CT520" s="712"/>
      <c r="CU520" s="712"/>
      <c r="CV520" s="712"/>
      <c r="CW520" s="712"/>
      <c r="CX520" s="712"/>
      <c r="CY520" s="712"/>
      <c r="CZ520" s="712"/>
      <c r="DA520" s="712"/>
      <c r="DB520" s="712"/>
      <c r="DC520" s="712"/>
      <c r="DD520" s="712"/>
      <c r="DE520" s="712"/>
      <c r="DF520" s="712"/>
      <c r="DG520" s="712"/>
      <c r="DH520" s="712"/>
      <c r="DI520" s="712"/>
      <c r="DJ520" s="712"/>
      <c r="DK520" s="712"/>
      <c r="DL520" s="712"/>
      <c r="DM520" s="712"/>
      <c r="DN520" s="712"/>
      <c r="DO520" s="712"/>
      <c r="DP520" s="712"/>
      <c r="DQ520" s="712"/>
      <c r="DR520" s="712"/>
      <c r="DS520" s="712"/>
      <c r="DT520" s="712"/>
      <c r="DU520" s="712"/>
      <c r="DV520" s="712"/>
      <c r="DW520" s="712"/>
      <c r="DX520" s="712"/>
      <c r="DY520" s="712"/>
      <c r="DZ520" s="712"/>
      <c r="EA520" s="712"/>
      <c r="EB520" s="712"/>
      <c r="EC520" s="712"/>
      <c r="ED520" s="712"/>
      <c r="EE520" s="712"/>
      <c r="EF520" s="712"/>
      <c r="EG520" s="712"/>
      <c r="EH520" s="712"/>
      <c r="EI520" s="712"/>
      <c r="EJ520" s="712"/>
      <c r="EK520" s="712"/>
      <c r="EL520" s="712"/>
      <c r="EM520" s="712"/>
      <c r="EN520" s="712"/>
      <c r="EO520" s="712"/>
      <c r="EP520" s="712"/>
      <c r="EQ520" s="712"/>
      <c r="ER520" s="712"/>
      <c r="ES520" s="712"/>
      <c r="ET520" s="794"/>
      <c r="EU520" s="794"/>
      <c r="EV520" s="794"/>
      <c r="EW520" s="794"/>
      <c r="EX520" s="794"/>
      <c r="EY520" s="794"/>
      <c r="EZ520" s="794"/>
      <c r="FA520" s="712"/>
      <c r="FB520" s="712"/>
      <c r="FC520" s="712"/>
      <c r="FD520" s="712"/>
      <c r="FE520" s="712"/>
      <c r="FF520" s="712"/>
      <c r="FG520" s="712"/>
      <c r="FH520" s="712"/>
      <c r="FI520" s="712"/>
      <c r="FJ520" s="712"/>
      <c r="FK520" s="712"/>
      <c r="FL520" s="712"/>
      <c r="FM520" s="712"/>
      <c r="FN520" s="712"/>
      <c r="FO520" s="712"/>
      <c r="FP520" s="712"/>
      <c r="FQ520" s="712"/>
      <c r="FR520" s="712"/>
      <c r="FS520" s="712"/>
      <c r="FT520" s="712"/>
      <c r="FU520" s="712"/>
      <c r="FV520" s="712"/>
      <c r="FW520" s="712"/>
      <c r="FX520" s="712"/>
      <c r="FZ520" s="712"/>
      <c r="GA520" s="712"/>
      <c r="GB520" s="712"/>
      <c r="GC520" s="712"/>
      <c r="GD520" s="712"/>
      <c r="GE520" s="712"/>
      <c r="GF520" s="712"/>
      <c r="GG520" s="712"/>
      <c r="GH520" s="712"/>
      <c r="GI520" s="712"/>
      <c r="GJ520" s="712"/>
      <c r="GK520" s="712"/>
      <c r="GL520" s="712"/>
      <c r="GM520" s="712"/>
      <c r="GN520" s="712"/>
      <c r="GO520" s="712"/>
      <c r="GP520" s="712"/>
      <c r="GQ520" s="712"/>
      <c r="GR520" s="712"/>
      <c r="GS520" s="712"/>
      <c r="GT520" s="712"/>
      <c r="GU520" s="712"/>
      <c r="GV520" s="712"/>
      <c r="GW520" s="712"/>
      <c r="GX520" s="712"/>
      <c r="GY520" s="712"/>
      <c r="GZ520" s="712"/>
      <c r="HA520" s="712"/>
      <c r="HB520" s="712"/>
      <c r="HC520" s="712"/>
    </row>
    <row r="521" spans="1:211">
      <c r="A521" s="707"/>
      <c r="G521" s="712"/>
      <c r="H521" s="712"/>
      <c r="I521" s="712"/>
      <c r="J521" s="712"/>
      <c r="K521" s="712"/>
      <c r="L521" s="712"/>
      <c r="M521" s="712"/>
      <c r="N521" s="712"/>
      <c r="O521" s="712"/>
      <c r="P521" s="712"/>
      <c r="Q521" s="712"/>
      <c r="R521" s="712"/>
      <c r="S521" s="712"/>
      <c r="T521" s="712"/>
      <c r="U521" s="712"/>
      <c r="V521" s="712"/>
      <c r="W521" s="712"/>
      <c r="X521" s="712"/>
      <c r="Y521" s="712"/>
      <c r="Z521" s="712"/>
      <c r="AA521" s="712"/>
      <c r="AB521" s="712"/>
      <c r="AC521" s="712"/>
      <c r="AD521" s="712"/>
      <c r="AE521" s="712"/>
      <c r="AF521" s="712"/>
      <c r="AG521" s="712"/>
      <c r="AH521" s="712"/>
      <c r="AI521" s="712"/>
      <c r="AJ521" s="712"/>
      <c r="AK521" s="712"/>
      <c r="AL521" s="712"/>
      <c r="AM521" s="712"/>
      <c r="AN521" s="712"/>
      <c r="AO521" s="712"/>
      <c r="AP521" s="712"/>
      <c r="AQ521" s="712"/>
      <c r="AR521" s="712"/>
      <c r="AS521" s="712"/>
      <c r="AT521" s="712"/>
      <c r="AU521" s="712"/>
      <c r="AV521" s="712"/>
      <c r="AW521" s="712"/>
      <c r="AX521" s="712"/>
      <c r="AY521" s="712"/>
      <c r="AZ521" s="712"/>
      <c r="BA521" s="712"/>
      <c r="BB521" s="712"/>
      <c r="BC521" s="712"/>
      <c r="BD521" s="712"/>
      <c r="BE521" s="712"/>
      <c r="BF521" s="712"/>
      <c r="BG521" s="712"/>
      <c r="BH521" s="712"/>
      <c r="BI521" s="712"/>
      <c r="BJ521" s="712"/>
      <c r="BK521" s="712"/>
      <c r="BL521" s="712"/>
      <c r="BM521" s="712"/>
      <c r="BN521" s="712"/>
      <c r="BO521" s="712"/>
      <c r="BP521" s="712"/>
      <c r="BQ521" s="712"/>
      <c r="BR521" s="712"/>
      <c r="BS521" s="712"/>
      <c r="BT521" s="712"/>
      <c r="BU521" s="712"/>
      <c r="BV521" s="712"/>
      <c r="BW521" s="712"/>
      <c r="BX521" s="712"/>
      <c r="BY521" s="712"/>
      <c r="BZ521" s="712"/>
      <c r="CA521" s="712"/>
      <c r="CB521" s="712"/>
      <c r="CC521" s="712"/>
      <c r="CD521" s="712"/>
      <c r="CE521" s="712"/>
      <c r="CF521" s="712"/>
      <c r="CG521" s="712"/>
      <c r="CH521" s="712"/>
      <c r="CI521" s="712"/>
      <c r="CJ521" s="712"/>
      <c r="CK521" s="712"/>
      <c r="CL521" s="712"/>
      <c r="CM521" s="712"/>
      <c r="CN521" s="712"/>
      <c r="CO521" s="712"/>
      <c r="CP521" s="712"/>
      <c r="CQ521" s="712"/>
      <c r="CR521" s="712"/>
      <c r="CS521" s="712"/>
      <c r="CT521" s="712"/>
      <c r="CU521" s="712"/>
      <c r="CV521" s="712"/>
      <c r="CW521" s="712"/>
      <c r="CX521" s="712"/>
      <c r="CY521" s="712"/>
      <c r="CZ521" s="712"/>
      <c r="DA521" s="712"/>
      <c r="DB521" s="712"/>
      <c r="DC521" s="712"/>
      <c r="DD521" s="712"/>
      <c r="DE521" s="712"/>
      <c r="DF521" s="712"/>
      <c r="DG521" s="712"/>
      <c r="DH521" s="712"/>
      <c r="DI521" s="712"/>
      <c r="DJ521" s="712"/>
      <c r="DK521" s="712"/>
      <c r="DL521" s="712"/>
      <c r="DM521" s="712"/>
      <c r="DN521" s="712"/>
      <c r="DO521" s="712"/>
      <c r="DP521" s="712"/>
      <c r="DQ521" s="712"/>
      <c r="DR521" s="712"/>
      <c r="DS521" s="712"/>
      <c r="DT521" s="712"/>
      <c r="DU521" s="712"/>
      <c r="DV521" s="712"/>
      <c r="DW521" s="712"/>
      <c r="DX521" s="712"/>
      <c r="DY521" s="712"/>
      <c r="DZ521" s="712"/>
      <c r="EA521" s="712"/>
      <c r="EB521" s="712"/>
      <c r="EC521" s="712"/>
      <c r="ED521" s="712"/>
      <c r="EE521" s="712"/>
      <c r="EF521" s="712"/>
      <c r="EG521" s="712"/>
      <c r="EH521" s="712"/>
      <c r="EI521" s="712"/>
      <c r="EJ521" s="712"/>
      <c r="EK521" s="712"/>
      <c r="EL521" s="712"/>
      <c r="EM521" s="712"/>
      <c r="EN521" s="712"/>
      <c r="EO521" s="712"/>
      <c r="EP521" s="712"/>
      <c r="EQ521" s="712"/>
      <c r="ER521" s="712"/>
      <c r="ES521" s="712"/>
      <c r="ET521" s="794"/>
      <c r="EU521" s="794"/>
      <c r="EV521" s="794"/>
      <c r="EW521" s="794"/>
      <c r="EX521" s="794"/>
      <c r="EY521" s="794"/>
      <c r="EZ521" s="794"/>
      <c r="FA521" s="712"/>
      <c r="FB521" s="712"/>
      <c r="FC521" s="712"/>
      <c r="FD521" s="712"/>
      <c r="FE521" s="712"/>
      <c r="FF521" s="712"/>
      <c r="FG521" s="712"/>
      <c r="FH521" s="712"/>
      <c r="FI521" s="712"/>
      <c r="FJ521" s="712"/>
      <c r="FK521" s="712"/>
      <c r="FL521" s="712"/>
      <c r="FM521" s="712"/>
      <c r="FN521" s="712"/>
      <c r="FO521" s="712"/>
      <c r="FP521" s="712"/>
      <c r="FQ521" s="712"/>
      <c r="FR521" s="712"/>
      <c r="FS521" s="712"/>
      <c r="FT521" s="712"/>
      <c r="FU521" s="712"/>
      <c r="FV521" s="712"/>
      <c r="FW521" s="712"/>
      <c r="FX521" s="712"/>
      <c r="FZ521" s="712"/>
      <c r="GA521" s="712"/>
      <c r="GB521" s="712"/>
      <c r="GC521" s="712"/>
      <c r="GD521" s="712"/>
      <c r="GE521" s="712"/>
      <c r="GF521" s="712"/>
      <c r="GG521" s="712"/>
      <c r="GH521" s="712"/>
      <c r="GI521" s="712"/>
      <c r="GJ521" s="712"/>
      <c r="GK521" s="712"/>
      <c r="GL521" s="712"/>
      <c r="GM521" s="712"/>
      <c r="GN521" s="712"/>
      <c r="GO521" s="712"/>
      <c r="GP521" s="712"/>
      <c r="GQ521" s="712"/>
      <c r="GR521" s="712"/>
      <c r="GS521" s="712"/>
      <c r="GT521" s="712"/>
      <c r="GU521" s="712"/>
      <c r="GV521" s="712"/>
      <c r="GW521" s="712"/>
      <c r="GX521" s="712"/>
      <c r="GY521" s="712"/>
      <c r="GZ521" s="712"/>
      <c r="HA521" s="712"/>
      <c r="HB521" s="712"/>
      <c r="HC521" s="712"/>
    </row>
    <row r="522" spans="1:211">
      <c r="A522" s="707"/>
      <c r="G522" s="712"/>
      <c r="H522" s="712"/>
      <c r="I522" s="712"/>
      <c r="J522" s="712"/>
      <c r="K522" s="712"/>
      <c r="L522" s="712"/>
      <c r="M522" s="712"/>
      <c r="N522" s="712"/>
      <c r="O522" s="712"/>
      <c r="P522" s="712"/>
      <c r="Q522" s="712"/>
      <c r="R522" s="712"/>
      <c r="S522" s="712"/>
      <c r="T522" s="712"/>
      <c r="U522" s="712"/>
      <c r="V522" s="712"/>
      <c r="W522" s="712"/>
      <c r="X522" s="712"/>
      <c r="Y522" s="712"/>
      <c r="Z522" s="712"/>
      <c r="AA522" s="712"/>
      <c r="AB522" s="712"/>
      <c r="AC522" s="712"/>
      <c r="AD522" s="712"/>
      <c r="AE522" s="712"/>
      <c r="AF522" s="712"/>
      <c r="AG522" s="712"/>
      <c r="AH522" s="712"/>
      <c r="AI522" s="712"/>
      <c r="AJ522" s="712"/>
      <c r="AK522" s="712"/>
      <c r="AL522" s="712"/>
      <c r="AM522" s="712"/>
      <c r="AN522" s="712"/>
      <c r="AO522" s="712"/>
      <c r="AP522" s="712"/>
      <c r="AQ522" s="712"/>
      <c r="AR522" s="712"/>
      <c r="AS522" s="712"/>
      <c r="AT522" s="712"/>
      <c r="AU522" s="712"/>
      <c r="AV522" s="712"/>
      <c r="AW522" s="712"/>
      <c r="AX522" s="712"/>
      <c r="AY522" s="712"/>
      <c r="AZ522" s="712"/>
      <c r="BA522" s="712"/>
      <c r="BB522" s="712"/>
      <c r="BC522" s="712"/>
      <c r="BD522" s="712"/>
      <c r="BE522" s="712"/>
      <c r="BF522" s="712"/>
      <c r="BG522" s="712"/>
      <c r="BH522" s="712"/>
      <c r="BI522" s="712"/>
      <c r="BJ522" s="712"/>
      <c r="BK522" s="712"/>
      <c r="BL522" s="712"/>
      <c r="BM522" s="712"/>
      <c r="BN522" s="712"/>
      <c r="BO522" s="712"/>
      <c r="BP522" s="712"/>
      <c r="BQ522" s="712"/>
      <c r="BR522" s="712"/>
      <c r="BS522" s="712"/>
      <c r="BT522" s="712"/>
      <c r="BU522" s="712"/>
      <c r="BV522" s="712"/>
      <c r="BW522" s="712"/>
      <c r="BX522" s="712"/>
      <c r="BY522" s="712"/>
      <c r="BZ522" s="712"/>
      <c r="CA522" s="712"/>
      <c r="CB522" s="712"/>
      <c r="CC522" s="712"/>
      <c r="CD522" s="712"/>
      <c r="CE522" s="712"/>
      <c r="CF522" s="712"/>
      <c r="CG522" s="712"/>
      <c r="CH522" s="712"/>
      <c r="CI522" s="712"/>
      <c r="CJ522" s="712"/>
      <c r="CK522" s="712"/>
      <c r="CL522" s="712"/>
      <c r="CM522" s="712"/>
      <c r="CN522" s="712"/>
      <c r="CO522" s="712"/>
      <c r="CP522" s="712"/>
      <c r="CQ522" s="712"/>
      <c r="CR522" s="712"/>
      <c r="CS522" s="712"/>
      <c r="CT522" s="712"/>
      <c r="CU522" s="712"/>
      <c r="CV522" s="712"/>
      <c r="CW522" s="712"/>
      <c r="CX522" s="712"/>
      <c r="CY522" s="712"/>
      <c r="CZ522" s="712"/>
      <c r="DA522" s="712"/>
      <c r="DB522" s="712"/>
      <c r="DC522" s="712"/>
      <c r="DD522" s="712"/>
      <c r="DE522" s="712"/>
      <c r="DF522" s="712"/>
      <c r="DG522" s="712"/>
      <c r="DH522" s="712"/>
      <c r="DI522" s="712"/>
      <c r="DJ522" s="712"/>
      <c r="DK522" s="712"/>
      <c r="DL522" s="712"/>
      <c r="DM522" s="712"/>
      <c r="DN522" s="712"/>
      <c r="DO522" s="712"/>
      <c r="DP522" s="712"/>
      <c r="DQ522" s="712"/>
      <c r="DR522" s="712"/>
      <c r="DS522" s="712"/>
      <c r="DT522" s="712"/>
      <c r="DU522" s="712"/>
      <c r="DV522" s="712"/>
      <c r="DW522" s="712"/>
      <c r="DX522" s="712"/>
      <c r="DY522" s="712"/>
      <c r="DZ522" s="712"/>
      <c r="EA522" s="712"/>
      <c r="EB522" s="712"/>
      <c r="EC522" s="712"/>
      <c r="ED522" s="712"/>
      <c r="EE522" s="712"/>
      <c r="EF522" s="712"/>
      <c r="EG522" s="712"/>
      <c r="EH522" s="712"/>
      <c r="EI522" s="712"/>
      <c r="EJ522" s="712"/>
      <c r="EK522" s="712"/>
      <c r="EL522" s="712"/>
      <c r="EM522" s="712"/>
      <c r="EN522" s="712"/>
      <c r="EO522" s="712"/>
      <c r="EP522" s="712"/>
      <c r="EQ522" s="712"/>
      <c r="ER522" s="712"/>
      <c r="ES522" s="712"/>
      <c r="ET522" s="794"/>
      <c r="EU522" s="794"/>
      <c r="EV522" s="794"/>
      <c r="EW522" s="794"/>
      <c r="EX522" s="794"/>
      <c r="EY522" s="794"/>
      <c r="EZ522" s="794"/>
      <c r="FA522" s="712"/>
      <c r="FB522" s="712"/>
      <c r="FC522" s="712"/>
      <c r="FD522" s="712"/>
      <c r="FE522" s="712"/>
      <c r="FF522" s="712"/>
      <c r="FG522" s="712"/>
      <c r="FH522" s="712"/>
      <c r="FI522" s="712"/>
      <c r="FJ522" s="712"/>
      <c r="FK522" s="712"/>
      <c r="FL522" s="712"/>
      <c r="FM522" s="712"/>
      <c r="FN522" s="712"/>
      <c r="FO522" s="712"/>
      <c r="FP522" s="712"/>
      <c r="FQ522" s="712"/>
      <c r="FR522" s="712"/>
      <c r="FS522" s="712"/>
      <c r="FT522" s="712"/>
      <c r="FU522" s="712"/>
      <c r="FV522" s="712"/>
      <c r="FW522" s="712"/>
      <c r="FX522" s="712"/>
      <c r="FZ522" s="712"/>
      <c r="GA522" s="712"/>
      <c r="GB522" s="712"/>
      <c r="GC522" s="712"/>
      <c r="GD522" s="712"/>
      <c r="GE522" s="712"/>
      <c r="GF522" s="712"/>
      <c r="GG522" s="712"/>
      <c r="GH522" s="712"/>
      <c r="GI522" s="712"/>
      <c r="GJ522" s="712"/>
      <c r="GK522" s="712"/>
      <c r="GL522" s="712"/>
      <c r="GM522" s="712"/>
      <c r="GN522" s="712"/>
      <c r="GO522" s="712"/>
      <c r="GP522" s="712"/>
      <c r="GQ522" s="712"/>
      <c r="GR522" s="712"/>
      <c r="GS522" s="712"/>
      <c r="GT522" s="712"/>
      <c r="GU522" s="712"/>
      <c r="GV522" s="712"/>
      <c r="GW522" s="712"/>
      <c r="GX522" s="712"/>
      <c r="GY522" s="712"/>
      <c r="GZ522" s="712"/>
      <c r="HA522" s="712"/>
      <c r="HB522" s="712"/>
      <c r="HC522" s="712"/>
    </row>
    <row r="523" spans="1:211">
      <c r="A523" s="707"/>
      <c r="G523" s="712"/>
      <c r="H523" s="712"/>
      <c r="I523" s="712"/>
      <c r="J523" s="712"/>
      <c r="K523" s="712"/>
      <c r="L523" s="712"/>
      <c r="M523" s="712"/>
      <c r="N523" s="712"/>
      <c r="O523" s="712"/>
      <c r="P523" s="712"/>
      <c r="Q523" s="712"/>
      <c r="R523" s="712"/>
      <c r="S523" s="712"/>
      <c r="T523" s="712"/>
      <c r="U523" s="712"/>
      <c r="V523" s="712"/>
      <c r="W523" s="712"/>
      <c r="X523" s="712"/>
      <c r="Y523" s="712"/>
      <c r="Z523" s="712"/>
      <c r="AA523" s="712"/>
      <c r="AB523" s="712"/>
      <c r="AC523" s="712"/>
      <c r="AD523" s="712"/>
      <c r="AE523" s="712"/>
      <c r="AF523" s="712"/>
      <c r="AG523" s="712"/>
      <c r="AH523" s="712"/>
      <c r="AI523" s="712"/>
      <c r="AJ523" s="712"/>
      <c r="AK523" s="712"/>
      <c r="AL523" s="712"/>
      <c r="AM523" s="712"/>
      <c r="AN523" s="712"/>
      <c r="AO523" s="712"/>
      <c r="AP523" s="712"/>
      <c r="AQ523" s="712"/>
      <c r="AR523" s="712"/>
      <c r="AS523" s="712"/>
      <c r="AT523" s="712"/>
      <c r="AU523" s="712"/>
      <c r="AV523" s="712"/>
      <c r="AW523" s="712"/>
      <c r="AX523" s="712"/>
      <c r="AY523" s="712"/>
      <c r="AZ523" s="712"/>
      <c r="BA523" s="712"/>
      <c r="BB523" s="712"/>
      <c r="BC523" s="712"/>
      <c r="BD523" s="712"/>
      <c r="BE523" s="712"/>
      <c r="BF523" s="712"/>
      <c r="BG523" s="712"/>
      <c r="BH523" s="712"/>
      <c r="BI523" s="712"/>
      <c r="BJ523" s="712"/>
      <c r="BK523" s="712"/>
      <c r="BL523" s="712"/>
      <c r="BM523" s="712"/>
      <c r="BN523" s="712"/>
      <c r="BO523" s="712"/>
      <c r="BP523" s="712"/>
      <c r="BQ523" s="712"/>
      <c r="BR523" s="712"/>
      <c r="BS523" s="712"/>
      <c r="BT523" s="712"/>
      <c r="BU523" s="712"/>
      <c r="BV523" s="712"/>
      <c r="BW523" s="712"/>
      <c r="BX523" s="712"/>
      <c r="BY523" s="712"/>
      <c r="BZ523" s="712"/>
      <c r="CA523" s="712"/>
      <c r="CB523" s="712"/>
      <c r="CC523" s="712"/>
      <c r="CD523" s="712"/>
      <c r="CE523" s="712"/>
      <c r="CF523" s="712"/>
      <c r="CG523" s="712"/>
      <c r="CH523" s="712"/>
      <c r="CI523" s="712"/>
      <c r="CJ523" s="712"/>
      <c r="CK523" s="712"/>
      <c r="CL523" s="712"/>
      <c r="CM523" s="712"/>
      <c r="CN523" s="712"/>
      <c r="CO523" s="712"/>
      <c r="CP523" s="712"/>
      <c r="CQ523" s="712"/>
      <c r="CR523" s="712"/>
      <c r="CS523" s="712"/>
      <c r="CT523" s="712"/>
      <c r="CU523" s="712"/>
      <c r="CV523" s="712"/>
      <c r="CW523" s="712"/>
      <c r="CX523" s="712"/>
      <c r="CY523" s="712"/>
      <c r="CZ523" s="712"/>
      <c r="DA523" s="712"/>
      <c r="DB523" s="712"/>
      <c r="DC523" s="712"/>
      <c r="DD523" s="712"/>
      <c r="DE523" s="712"/>
      <c r="DF523" s="712"/>
      <c r="DG523" s="712"/>
      <c r="DH523" s="712"/>
      <c r="DI523" s="712"/>
      <c r="DJ523" s="712"/>
      <c r="DK523" s="712"/>
      <c r="DL523" s="712"/>
      <c r="DM523" s="712"/>
      <c r="DN523" s="712"/>
      <c r="DO523" s="712"/>
      <c r="DP523" s="712"/>
      <c r="DQ523" s="712"/>
      <c r="DR523" s="712"/>
      <c r="DS523" s="712"/>
      <c r="DT523" s="712"/>
      <c r="DU523" s="712"/>
      <c r="DV523" s="712"/>
      <c r="DW523" s="712"/>
      <c r="DX523" s="712"/>
      <c r="DY523" s="712"/>
      <c r="DZ523" s="712"/>
      <c r="EA523" s="712"/>
      <c r="EB523" s="712"/>
      <c r="EC523" s="712"/>
      <c r="ED523" s="712"/>
      <c r="EE523" s="712"/>
      <c r="EF523" s="712"/>
      <c r="EG523" s="712"/>
      <c r="EH523" s="712"/>
      <c r="EI523" s="712"/>
      <c r="EJ523" s="712"/>
      <c r="EK523" s="712"/>
      <c r="EL523" s="712"/>
      <c r="EM523" s="712"/>
      <c r="EN523" s="712"/>
      <c r="EO523" s="712"/>
      <c r="EP523" s="712"/>
      <c r="EQ523" s="712"/>
      <c r="ER523" s="712"/>
      <c r="ES523" s="712"/>
      <c r="ET523" s="794"/>
      <c r="EU523" s="794"/>
      <c r="EV523" s="794"/>
      <c r="EW523" s="794"/>
      <c r="EX523" s="794"/>
      <c r="EY523" s="794"/>
      <c r="EZ523" s="794"/>
      <c r="FA523" s="712"/>
      <c r="FB523" s="712"/>
      <c r="FC523" s="712"/>
      <c r="FD523" s="712"/>
      <c r="FE523" s="712"/>
      <c r="FF523" s="712"/>
      <c r="FG523" s="712"/>
      <c r="FH523" s="712"/>
      <c r="FI523" s="712"/>
      <c r="FJ523" s="712"/>
      <c r="FK523" s="712"/>
      <c r="FL523" s="712"/>
      <c r="FM523" s="712"/>
      <c r="FN523" s="712"/>
      <c r="FO523" s="712"/>
      <c r="FP523" s="712"/>
      <c r="FQ523" s="712"/>
      <c r="FR523" s="712"/>
      <c r="FS523" s="712"/>
      <c r="FT523" s="712"/>
      <c r="FU523" s="712"/>
      <c r="FV523" s="712"/>
      <c r="FW523" s="712"/>
      <c r="FX523" s="712"/>
      <c r="FZ523" s="712"/>
      <c r="GA523" s="712"/>
      <c r="GB523" s="712"/>
      <c r="GC523" s="712"/>
      <c r="GD523" s="712"/>
      <c r="GE523" s="712"/>
      <c r="GF523" s="712"/>
      <c r="GG523" s="712"/>
      <c r="GH523" s="712"/>
      <c r="GI523" s="712"/>
      <c r="GJ523" s="712"/>
      <c r="GK523" s="712"/>
      <c r="GL523" s="712"/>
      <c r="GM523" s="712"/>
      <c r="GN523" s="712"/>
      <c r="GO523" s="712"/>
      <c r="GP523" s="712"/>
      <c r="GQ523" s="712"/>
      <c r="GR523" s="712"/>
      <c r="GS523" s="712"/>
      <c r="GT523" s="712"/>
      <c r="GU523" s="712"/>
      <c r="GV523" s="712"/>
      <c r="GW523" s="712"/>
      <c r="GX523" s="712"/>
      <c r="GY523" s="712"/>
      <c r="GZ523" s="712"/>
      <c r="HA523" s="712"/>
      <c r="HB523" s="712"/>
      <c r="HC523" s="712"/>
    </row>
    <row r="524" spans="1:211">
      <c r="A524" s="707"/>
      <c r="G524" s="712"/>
      <c r="H524" s="712"/>
      <c r="I524" s="712"/>
      <c r="J524" s="712"/>
      <c r="K524" s="712"/>
      <c r="L524" s="712"/>
      <c r="M524" s="712"/>
      <c r="N524" s="712"/>
      <c r="O524" s="712"/>
      <c r="P524" s="712"/>
      <c r="Q524" s="712"/>
      <c r="R524" s="712"/>
      <c r="S524" s="712"/>
      <c r="T524" s="712"/>
      <c r="U524" s="712"/>
      <c r="V524" s="712"/>
      <c r="W524" s="712"/>
      <c r="X524" s="712"/>
      <c r="Y524" s="712"/>
      <c r="Z524" s="712"/>
      <c r="AA524" s="712"/>
      <c r="AB524" s="712"/>
      <c r="AC524" s="712"/>
      <c r="AD524" s="712"/>
      <c r="AE524" s="712"/>
      <c r="AF524" s="712"/>
      <c r="AG524" s="712"/>
      <c r="AH524" s="712"/>
      <c r="AI524" s="712"/>
      <c r="AJ524" s="712"/>
      <c r="AK524" s="712"/>
      <c r="AL524" s="712"/>
      <c r="AM524" s="712"/>
      <c r="AN524" s="712"/>
      <c r="AO524" s="712"/>
      <c r="AP524" s="712"/>
      <c r="AQ524" s="712"/>
      <c r="AR524" s="712"/>
      <c r="AS524" s="712"/>
      <c r="AT524" s="712"/>
      <c r="AU524" s="712"/>
      <c r="AV524" s="712"/>
      <c r="AW524" s="712"/>
      <c r="AX524" s="712"/>
      <c r="AY524" s="712"/>
      <c r="AZ524" s="712"/>
      <c r="BA524" s="712"/>
      <c r="BB524" s="712"/>
      <c r="BC524" s="712"/>
      <c r="BD524" s="712"/>
      <c r="BE524" s="712"/>
      <c r="BF524" s="712"/>
      <c r="BG524" s="712"/>
      <c r="BH524" s="712"/>
      <c r="BI524" s="712"/>
      <c r="BJ524" s="712"/>
      <c r="BK524" s="712"/>
      <c r="BL524" s="712"/>
      <c r="BM524" s="712"/>
      <c r="BN524" s="712"/>
      <c r="BO524" s="712"/>
      <c r="BP524" s="712"/>
      <c r="BQ524" s="712"/>
      <c r="BR524" s="712"/>
      <c r="BS524" s="712"/>
      <c r="BT524" s="712"/>
      <c r="BU524" s="712"/>
      <c r="BV524" s="712"/>
      <c r="BW524" s="712"/>
      <c r="BX524" s="712"/>
      <c r="BY524" s="712"/>
      <c r="BZ524" s="712"/>
      <c r="CA524" s="712"/>
      <c r="CB524" s="712"/>
      <c r="CC524" s="712"/>
      <c r="CD524" s="712"/>
      <c r="CE524" s="712"/>
      <c r="CF524" s="712"/>
      <c r="CG524" s="712"/>
      <c r="CH524" s="712"/>
      <c r="CI524" s="712"/>
      <c r="CJ524" s="712"/>
      <c r="CK524" s="712"/>
      <c r="CL524" s="712"/>
      <c r="CM524" s="712"/>
      <c r="CN524" s="712"/>
      <c r="CO524" s="712"/>
      <c r="CP524" s="712"/>
      <c r="CQ524" s="712"/>
      <c r="CR524" s="712"/>
      <c r="CS524" s="712"/>
      <c r="CT524" s="712"/>
      <c r="CU524" s="712"/>
      <c r="CV524" s="712"/>
      <c r="CW524" s="712"/>
      <c r="CX524" s="712"/>
      <c r="CY524" s="712"/>
      <c r="CZ524" s="712"/>
      <c r="DA524" s="712"/>
      <c r="DB524" s="712"/>
      <c r="DC524" s="712"/>
      <c r="DD524" s="712"/>
      <c r="DE524" s="712"/>
      <c r="DF524" s="712"/>
      <c r="DG524" s="712"/>
      <c r="DH524" s="712"/>
      <c r="DI524" s="712"/>
      <c r="DJ524" s="712"/>
      <c r="DK524" s="712"/>
      <c r="DL524" s="712"/>
      <c r="DM524" s="712"/>
      <c r="DN524" s="712"/>
      <c r="DO524" s="712"/>
      <c r="DP524" s="712"/>
      <c r="DQ524" s="712"/>
      <c r="DR524" s="712"/>
      <c r="DS524" s="712"/>
      <c r="DT524" s="712"/>
      <c r="DU524" s="712"/>
      <c r="DV524" s="712"/>
      <c r="DW524" s="712"/>
      <c r="DX524" s="712"/>
      <c r="DY524" s="712"/>
      <c r="DZ524" s="712"/>
      <c r="EA524" s="712"/>
      <c r="EB524" s="712"/>
      <c r="EC524" s="712"/>
      <c r="ED524" s="712"/>
      <c r="EE524" s="712"/>
      <c r="EF524" s="712"/>
      <c r="EG524" s="712"/>
      <c r="EH524" s="712"/>
      <c r="EI524" s="712"/>
      <c r="EJ524" s="712"/>
      <c r="EK524" s="712"/>
      <c r="EL524" s="712"/>
      <c r="EM524" s="712"/>
      <c r="EN524" s="712"/>
      <c r="EO524" s="712"/>
      <c r="EP524" s="712"/>
      <c r="EQ524" s="712"/>
      <c r="ER524" s="712"/>
      <c r="ES524" s="712"/>
      <c r="ET524" s="794"/>
      <c r="EU524" s="794"/>
      <c r="EV524" s="794"/>
      <c r="EW524" s="794"/>
      <c r="EX524" s="794"/>
      <c r="EY524" s="794"/>
      <c r="EZ524" s="794"/>
      <c r="FA524" s="712"/>
      <c r="FB524" s="712"/>
      <c r="FC524" s="712"/>
      <c r="FD524" s="712"/>
      <c r="FE524" s="712"/>
      <c r="FF524" s="712"/>
      <c r="FG524" s="712"/>
      <c r="FH524" s="712"/>
      <c r="FI524" s="712"/>
      <c r="FJ524" s="712"/>
      <c r="FK524" s="712"/>
      <c r="FL524" s="712"/>
      <c r="FM524" s="712"/>
      <c r="FN524" s="712"/>
      <c r="FO524" s="712"/>
      <c r="FP524" s="712"/>
      <c r="FQ524" s="712"/>
      <c r="FR524" s="712"/>
      <c r="FS524" s="712"/>
      <c r="FT524" s="712"/>
      <c r="FU524" s="712"/>
      <c r="FV524" s="712"/>
      <c r="FW524" s="712"/>
      <c r="FX524" s="712"/>
      <c r="FZ524" s="712"/>
      <c r="GA524" s="712"/>
      <c r="GB524" s="712"/>
      <c r="GC524" s="712"/>
      <c r="GD524" s="712"/>
      <c r="GE524" s="712"/>
      <c r="GF524" s="712"/>
      <c r="GG524" s="712"/>
      <c r="GH524" s="712"/>
      <c r="GI524" s="712"/>
      <c r="GJ524" s="712"/>
      <c r="GK524" s="712"/>
      <c r="GL524" s="712"/>
      <c r="GM524" s="712"/>
      <c r="GN524" s="712"/>
      <c r="GO524" s="712"/>
      <c r="GP524" s="712"/>
      <c r="GQ524" s="712"/>
      <c r="GR524" s="712"/>
      <c r="GS524" s="712"/>
      <c r="GT524" s="712"/>
      <c r="GU524" s="712"/>
      <c r="GV524" s="712"/>
      <c r="GW524" s="712"/>
      <c r="GX524" s="712"/>
      <c r="GY524" s="712"/>
      <c r="GZ524" s="712"/>
      <c r="HA524" s="712"/>
      <c r="HB524" s="712"/>
      <c r="HC524" s="712"/>
    </row>
    <row r="525" spans="1:211">
      <c r="A525" s="707"/>
      <c r="G525" s="712"/>
      <c r="H525" s="712"/>
      <c r="I525" s="712"/>
      <c r="J525" s="712"/>
      <c r="K525" s="712"/>
      <c r="L525" s="712"/>
      <c r="M525" s="712"/>
      <c r="N525" s="712"/>
      <c r="O525" s="712"/>
      <c r="P525" s="712"/>
      <c r="Q525" s="712"/>
      <c r="R525" s="712"/>
      <c r="S525" s="712"/>
      <c r="T525" s="712"/>
      <c r="U525" s="712"/>
      <c r="V525" s="712"/>
      <c r="W525" s="712"/>
      <c r="X525" s="712"/>
      <c r="Y525" s="712"/>
      <c r="Z525" s="712"/>
      <c r="AA525" s="712"/>
      <c r="AB525" s="712"/>
      <c r="AC525" s="712"/>
      <c r="AD525" s="712"/>
      <c r="AE525" s="712"/>
      <c r="AF525" s="712"/>
      <c r="AG525" s="712"/>
      <c r="AH525" s="712"/>
      <c r="AI525" s="712"/>
      <c r="AJ525" s="712"/>
      <c r="AK525" s="712"/>
      <c r="AL525" s="712"/>
      <c r="AM525" s="712"/>
      <c r="AN525" s="712"/>
      <c r="AO525" s="712"/>
      <c r="AP525" s="712"/>
      <c r="AQ525" s="712"/>
      <c r="AR525" s="712"/>
      <c r="AS525" s="712"/>
      <c r="AT525" s="712"/>
      <c r="AU525" s="712"/>
      <c r="AV525" s="712"/>
      <c r="AW525" s="712"/>
      <c r="AX525" s="712"/>
      <c r="AY525" s="712"/>
      <c r="AZ525" s="712"/>
      <c r="BA525" s="712"/>
      <c r="BB525" s="712"/>
      <c r="BC525" s="712"/>
      <c r="BD525" s="712"/>
      <c r="BE525" s="712"/>
      <c r="BF525" s="712"/>
      <c r="BG525" s="712"/>
      <c r="BH525" s="712"/>
      <c r="BI525" s="712"/>
      <c r="BJ525" s="712"/>
      <c r="BK525" s="712"/>
      <c r="BL525" s="712"/>
      <c r="BM525" s="712"/>
      <c r="BN525" s="712"/>
      <c r="BO525" s="712"/>
      <c r="BP525" s="712"/>
      <c r="BQ525" s="712"/>
      <c r="BR525" s="712"/>
      <c r="BS525" s="712"/>
      <c r="BT525" s="712"/>
      <c r="BU525" s="712"/>
      <c r="BV525" s="712"/>
      <c r="BW525" s="712"/>
      <c r="BX525" s="712"/>
      <c r="BY525" s="712"/>
      <c r="BZ525" s="712"/>
      <c r="CA525" s="712"/>
      <c r="CB525" s="712"/>
      <c r="CC525" s="712"/>
      <c r="CD525" s="712"/>
      <c r="CE525" s="712"/>
      <c r="CF525" s="712"/>
      <c r="CG525" s="712"/>
      <c r="CH525" s="712"/>
      <c r="CI525" s="712"/>
      <c r="CJ525" s="712"/>
      <c r="CK525" s="712"/>
      <c r="CL525" s="712"/>
      <c r="CM525" s="712"/>
      <c r="CN525" s="712"/>
      <c r="CO525" s="712"/>
      <c r="CP525" s="712"/>
      <c r="CQ525" s="712"/>
      <c r="CR525" s="712"/>
      <c r="CS525" s="712"/>
      <c r="CT525" s="712"/>
      <c r="CU525" s="712"/>
      <c r="CV525" s="712"/>
      <c r="CW525" s="712"/>
      <c r="CX525" s="712"/>
      <c r="CY525" s="712"/>
      <c r="CZ525" s="712"/>
      <c r="DA525" s="712"/>
      <c r="DB525" s="712"/>
      <c r="DC525" s="712"/>
      <c r="DD525" s="712"/>
      <c r="DE525" s="712"/>
      <c r="DF525" s="712"/>
      <c r="DG525" s="712"/>
      <c r="DH525" s="712"/>
      <c r="DI525" s="712"/>
      <c r="DJ525" s="712"/>
      <c r="DK525" s="712"/>
      <c r="DL525" s="712"/>
      <c r="DM525" s="712"/>
      <c r="DN525" s="712"/>
      <c r="DO525" s="712"/>
      <c r="DP525" s="712"/>
      <c r="DQ525" s="712"/>
      <c r="DR525" s="712"/>
      <c r="DS525" s="712"/>
      <c r="DT525" s="712"/>
      <c r="DU525" s="712"/>
      <c r="DV525" s="712"/>
      <c r="DW525" s="712"/>
      <c r="DX525" s="712"/>
      <c r="DY525" s="712"/>
      <c r="DZ525" s="712"/>
      <c r="EA525" s="712"/>
      <c r="EB525" s="712"/>
      <c r="EC525" s="712"/>
      <c r="ED525" s="712"/>
      <c r="EE525" s="712"/>
      <c r="EF525" s="712"/>
      <c r="EG525" s="712"/>
      <c r="EH525" s="712"/>
      <c r="EI525" s="712"/>
      <c r="EJ525" s="712"/>
      <c r="EK525" s="712"/>
      <c r="EL525" s="712"/>
      <c r="EM525" s="712"/>
      <c r="EN525" s="712"/>
      <c r="EO525" s="712"/>
      <c r="EP525" s="712"/>
      <c r="EQ525" s="712"/>
      <c r="ER525" s="712"/>
      <c r="ES525" s="712"/>
      <c r="ET525" s="794"/>
      <c r="EU525" s="794"/>
      <c r="EV525" s="794"/>
      <c r="EW525" s="794"/>
      <c r="EX525" s="794"/>
      <c r="EY525" s="794"/>
      <c r="EZ525" s="794"/>
      <c r="FA525" s="712"/>
      <c r="FB525" s="712"/>
      <c r="FC525" s="712"/>
      <c r="FD525" s="712"/>
      <c r="FE525" s="712"/>
      <c r="FF525" s="712"/>
      <c r="FG525" s="712"/>
      <c r="FH525" s="712"/>
      <c r="FI525" s="712"/>
      <c r="FJ525" s="712"/>
      <c r="FK525" s="712"/>
      <c r="FL525" s="712"/>
      <c r="FM525" s="712"/>
      <c r="FN525" s="712"/>
      <c r="FO525" s="712"/>
      <c r="FP525" s="712"/>
      <c r="FQ525" s="712"/>
      <c r="FR525" s="712"/>
      <c r="FS525" s="712"/>
      <c r="FT525" s="712"/>
      <c r="FU525" s="712"/>
      <c r="FV525" s="712"/>
      <c r="FW525" s="712"/>
      <c r="FX525" s="712"/>
      <c r="FZ525" s="712"/>
      <c r="GA525" s="712"/>
      <c r="GB525" s="712"/>
      <c r="GC525" s="712"/>
      <c r="GD525" s="712"/>
      <c r="GE525" s="712"/>
      <c r="GF525" s="712"/>
      <c r="GG525" s="712"/>
      <c r="GH525" s="712"/>
      <c r="GI525" s="712"/>
      <c r="GJ525" s="712"/>
      <c r="GK525" s="712"/>
      <c r="GL525" s="712"/>
      <c r="GM525" s="712"/>
      <c r="GN525" s="712"/>
      <c r="GO525" s="712"/>
      <c r="GP525" s="712"/>
      <c r="GQ525" s="712"/>
      <c r="GR525" s="712"/>
      <c r="GS525" s="712"/>
      <c r="GT525" s="712"/>
      <c r="GU525" s="712"/>
      <c r="GV525" s="712"/>
      <c r="GW525" s="712"/>
      <c r="GX525" s="712"/>
      <c r="GY525" s="712"/>
      <c r="GZ525" s="712"/>
      <c r="HA525" s="712"/>
      <c r="HB525" s="712"/>
      <c r="HC525" s="712"/>
    </row>
    <row r="526" spans="1:211">
      <c r="A526" s="707"/>
      <c r="G526" s="712"/>
      <c r="H526" s="712"/>
      <c r="I526" s="712"/>
      <c r="J526" s="712"/>
      <c r="K526" s="712"/>
      <c r="L526" s="712"/>
      <c r="M526" s="712"/>
      <c r="N526" s="712"/>
      <c r="O526" s="712"/>
      <c r="P526" s="712"/>
      <c r="Q526" s="712"/>
      <c r="R526" s="712"/>
      <c r="S526" s="712"/>
      <c r="T526" s="712"/>
      <c r="U526" s="712"/>
      <c r="V526" s="712"/>
      <c r="W526" s="712"/>
      <c r="X526" s="712"/>
      <c r="Y526" s="712"/>
      <c r="Z526" s="712"/>
      <c r="AA526" s="712"/>
      <c r="AB526" s="712"/>
      <c r="AC526" s="712"/>
      <c r="AD526" s="712"/>
      <c r="AE526" s="712"/>
      <c r="AF526" s="712"/>
      <c r="AG526" s="712"/>
      <c r="AH526" s="712"/>
      <c r="AI526" s="712"/>
      <c r="AJ526" s="712"/>
      <c r="AK526" s="712"/>
      <c r="AL526" s="712"/>
      <c r="AM526" s="712"/>
      <c r="AN526" s="712"/>
      <c r="AO526" s="712"/>
      <c r="AP526" s="712"/>
      <c r="AQ526" s="712"/>
      <c r="AR526" s="712"/>
      <c r="AS526" s="712"/>
      <c r="AT526" s="712"/>
      <c r="AU526" s="712"/>
      <c r="AV526" s="712"/>
      <c r="AW526" s="712"/>
      <c r="AX526" s="712"/>
      <c r="AY526" s="712"/>
      <c r="AZ526" s="712"/>
      <c r="BA526" s="712"/>
      <c r="BB526" s="712"/>
      <c r="BC526" s="712"/>
      <c r="BD526" s="712"/>
      <c r="BE526" s="712"/>
      <c r="BF526" s="712"/>
      <c r="BG526" s="712"/>
      <c r="BH526" s="712"/>
      <c r="BI526" s="712"/>
      <c r="BJ526" s="712"/>
      <c r="BK526" s="712"/>
      <c r="BL526" s="712"/>
      <c r="BM526" s="712"/>
      <c r="BN526" s="712"/>
      <c r="BO526" s="712"/>
      <c r="BP526" s="712"/>
      <c r="BQ526" s="712"/>
      <c r="BR526" s="712"/>
      <c r="BS526" s="712"/>
      <c r="BT526" s="712"/>
      <c r="BU526" s="712"/>
      <c r="BV526" s="712"/>
      <c r="BW526" s="712"/>
      <c r="BX526" s="712"/>
      <c r="BY526" s="712"/>
      <c r="BZ526" s="712"/>
      <c r="CA526" s="712"/>
      <c r="CB526" s="712"/>
      <c r="CC526" s="712"/>
      <c r="CD526" s="712"/>
      <c r="CE526" s="712"/>
      <c r="CF526" s="712"/>
      <c r="CG526" s="712"/>
      <c r="CH526" s="712"/>
      <c r="CI526" s="712"/>
      <c r="CJ526" s="712"/>
      <c r="CK526" s="712"/>
      <c r="CL526" s="712"/>
      <c r="CM526" s="712"/>
      <c r="CN526" s="712"/>
      <c r="CO526" s="712"/>
      <c r="CP526" s="712"/>
      <c r="CQ526" s="712"/>
      <c r="CR526" s="712"/>
      <c r="CS526" s="712"/>
      <c r="CT526" s="712"/>
      <c r="CU526" s="712"/>
      <c r="CV526" s="712"/>
      <c r="CW526" s="712"/>
      <c r="CX526" s="712"/>
      <c r="CY526" s="712"/>
      <c r="CZ526" s="712"/>
      <c r="DA526" s="712"/>
      <c r="DB526" s="712"/>
      <c r="DC526" s="712"/>
      <c r="DD526" s="712"/>
      <c r="DE526" s="712"/>
      <c r="DF526" s="712"/>
      <c r="DG526" s="712"/>
      <c r="DH526" s="712"/>
      <c r="DI526" s="712"/>
      <c r="DJ526" s="712"/>
      <c r="DK526" s="712"/>
      <c r="DL526" s="712"/>
      <c r="DM526" s="712"/>
      <c r="DN526" s="712"/>
      <c r="DO526" s="712"/>
      <c r="DP526" s="712"/>
      <c r="DQ526" s="712"/>
      <c r="DR526" s="712"/>
      <c r="DS526" s="712"/>
      <c r="DT526" s="712"/>
      <c r="DU526" s="712"/>
      <c r="DV526" s="712"/>
      <c r="DW526" s="712"/>
      <c r="DX526" s="712"/>
      <c r="DY526" s="712"/>
      <c r="DZ526" s="712"/>
      <c r="EA526" s="712"/>
      <c r="EB526" s="712"/>
      <c r="EC526" s="712"/>
      <c r="ED526" s="712"/>
      <c r="EE526" s="712"/>
      <c r="EF526" s="712"/>
      <c r="EG526" s="712"/>
      <c r="EH526" s="712"/>
      <c r="EI526" s="712"/>
      <c r="EJ526" s="712"/>
      <c r="EK526" s="712"/>
      <c r="EL526" s="712"/>
      <c r="EM526" s="712"/>
      <c r="EN526" s="712"/>
      <c r="EO526" s="712"/>
      <c r="EP526" s="712"/>
      <c r="EQ526" s="712"/>
      <c r="ER526" s="712"/>
      <c r="ES526" s="712"/>
      <c r="ET526" s="794"/>
      <c r="EU526" s="794"/>
      <c r="EV526" s="794"/>
      <c r="EW526" s="794"/>
      <c r="EX526" s="794"/>
      <c r="EY526" s="794"/>
      <c r="EZ526" s="794"/>
      <c r="FA526" s="712"/>
      <c r="FB526" s="712"/>
      <c r="FC526" s="712"/>
      <c r="FD526" s="712"/>
      <c r="FE526" s="712"/>
      <c r="FF526" s="712"/>
      <c r="FG526" s="712"/>
      <c r="FH526" s="712"/>
      <c r="FI526" s="712"/>
      <c r="FJ526" s="712"/>
      <c r="FK526" s="712"/>
      <c r="FL526" s="712"/>
      <c r="FM526" s="712"/>
      <c r="FN526" s="712"/>
      <c r="FO526" s="712"/>
      <c r="FP526" s="712"/>
      <c r="FQ526" s="712"/>
      <c r="FR526" s="712"/>
      <c r="FS526" s="712"/>
      <c r="FT526" s="712"/>
      <c r="FU526" s="712"/>
      <c r="FV526" s="712"/>
      <c r="FW526" s="712"/>
      <c r="FX526" s="712"/>
      <c r="FZ526" s="712"/>
      <c r="GA526" s="712"/>
      <c r="GB526" s="712"/>
      <c r="GC526" s="712"/>
      <c r="GD526" s="712"/>
      <c r="GE526" s="712"/>
      <c r="GF526" s="712"/>
      <c r="GG526" s="712"/>
      <c r="GH526" s="712"/>
      <c r="GI526" s="712"/>
      <c r="GJ526" s="712"/>
      <c r="GK526" s="712"/>
      <c r="GL526" s="712"/>
      <c r="GM526" s="712"/>
      <c r="GN526" s="712"/>
      <c r="GO526" s="712"/>
      <c r="GP526" s="712"/>
      <c r="GQ526" s="712"/>
      <c r="GR526" s="712"/>
      <c r="GS526" s="712"/>
      <c r="GT526" s="712"/>
      <c r="GU526" s="712"/>
      <c r="GV526" s="712"/>
      <c r="GW526" s="712"/>
      <c r="GX526" s="712"/>
      <c r="GY526" s="712"/>
      <c r="GZ526" s="712"/>
      <c r="HA526" s="712"/>
      <c r="HB526" s="712"/>
      <c r="HC526" s="712"/>
    </row>
    <row r="527" spans="1:211">
      <c r="A527" s="707"/>
      <c r="G527" s="712"/>
      <c r="H527" s="712"/>
      <c r="I527" s="712"/>
      <c r="J527" s="712"/>
      <c r="K527" s="712"/>
      <c r="L527" s="712"/>
      <c r="M527" s="712"/>
      <c r="N527" s="712"/>
      <c r="O527" s="712"/>
      <c r="P527" s="712"/>
      <c r="Q527" s="712"/>
      <c r="R527" s="712"/>
      <c r="S527" s="712"/>
      <c r="T527" s="712"/>
      <c r="U527" s="712"/>
      <c r="V527" s="712"/>
      <c r="W527" s="712"/>
      <c r="X527" s="712"/>
      <c r="Y527" s="712"/>
      <c r="Z527" s="712"/>
      <c r="AA527" s="712"/>
      <c r="AB527" s="712"/>
      <c r="AC527" s="712"/>
      <c r="AD527" s="712"/>
      <c r="AE527" s="712"/>
      <c r="AF527" s="712"/>
      <c r="AG527" s="712"/>
      <c r="AH527" s="712"/>
      <c r="AI527" s="712"/>
      <c r="AJ527" s="712"/>
      <c r="AK527" s="712"/>
      <c r="AL527" s="712"/>
      <c r="AM527" s="712"/>
      <c r="AN527" s="712"/>
      <c r="AO527" s="712"/>
      <c r="AP527" s="712"/>
      <c r="AQ527" s="712"/>
      <c r="AR527" s="712"/>
      <c r="AS527" s="712"/>
      <c r="AT527" s="712"/>
      <c r="AU527" s="712"/>
      <c r="AV527" s="712"/>
      <c r="AW527" s="712"/>
      <c r="AX527" s="712"/>
      <c r="AY527" s="712"/>
      <c r="AZ527" s="712"/>
      <c r="BA527" s="712"/>
      <c r="BB527" s="712"/>
      <c r="BC527" s="712"/>
      <c r="BD527" s="712"/>
      <c r="BE527" s="712"/>
      <c r="BF527" s="712"/>
      <c r="BG527" s="712"/>
      <c r="BH527" s="712"/>
      <c r="BI527" s="712"/>
      <c r="BJ527" s="712"/>
      <c r="BK527" s="712"/>
      <c r="BL527" s="712"/>
      <c r="BM527" s="712"/>
      <c r="BN527" s="712"/>
      <c r="BO527" s="712"/>
      <c r="BP527" s="712"/>
      <c r="BQ527" s="712"/>
      <c r="BR527" s="712"/>
      <c r="BS527" s="712"/>
      <c r="BT527" s="712"/>
      <c r="BU527" s="712"/>
      <c r="BV527" s="712"/>
      <c r="BW527" s="712"/>
      <c r="BX527" s="712"/>
      <c r="BY527" s="712"/>
      <c r="BZ527" s="712"/>
      <c r="CA527" s="712"/>
      <c r="CB527" s="712"/>
      <c r="CC527" s="712"/>
      <c r="CD527" s="712"/>
      <c r="CE527" s="712"/>
      <c r="CF527" s="712"/>
      <c r="CG527" s="712"/>
      <c r="CH527" s="712"/>
      <c r="CI527" s="712"/>
      <c r="CJ527" s="712"/>
      <c r="CK527" s="712"/>
      <c r="CL527" s="712"/>
      <c r="CM527" s="712"/>
      <c r="CN527" s="712"/>
      <c r="CO527" s="712"/>
      <c r="CP527" s="712"/>
      <c r="CQ527" s="712"/>
      <c r="CR527" s="712"/>
      <c r="CS527" s="712"/>
      <c r="CT527" s="712"/>
      <c r="CU527" s="712"/>
      <c r="CV527" s="712"/>
      <c r="CW527" s="712"/>
      <c r="CX527" s="712"/>
      <c r="CY527" s="712"/>
      <c r="CZ527" s="712"/>
      <c r="DA527" s="712"/>
      <c r="DB527" s="712"/>
      <c r="DC527" s="712"/>
      <c r="DD527" s="712"/>
      <c r="DE527" s="712"/>
      <c r="DF527" s="712"/>
      <c r="DG527" s="712"/>
      <c r="DH527" s="712"/>
      <c r="DI527" s="712"/>
      <c r="DJ527" s="712"/>
      <c r="DK527" s="712"/>
      <c r="DL527" s="712"/>
      <c r="DM527" s="712"/>
      <c r="DN527" s="712"/>
      <c r="DO527" s="712"/>
      <c r="DP527" s="712"/>
      <c r="DQ527" s="712"/>
      <c r="DR527" s="712"/>
      <c r="DS527" s="712"/>
      <c r="DT527" s="712"/>
      <c r="DU527" s="712"/>
      <c r="DV527" s="712"/>
      <c r="DW527" s="712"/>
      <c r="DX527" s="712"/>
      <c r="DY527" s="712"/>
      <c r="DZ527" s="712"/>
      <c r="EA527" s="712"/>
      <c r="EB527" s="712"/>
      <c r="EC527" s="712"/>
      <c r="ED527" s="712"/>
      <c r="EE527" s="712"/>
      <c r="EF527" s="712"/>
      <c r="EG527" s="712"/>
      <c r="EH527" s="712"/>
      <c r="EI527" s="712"/>
      <c r="EJ527" s="712"/>
      <c r="EK527" s="712"/>
      <c r="EL527" s="712"/>
      <c r="EM527" s="712"/>
      <c r="EN527" s="712"/>
      <c r="EO527" s="712"/>
      <c r="EP527" s="712"/>
      <c r="EQ527" s="712"/>
      <c r="ER527" s="712"/>
      <c r="ES527" s="712"/>
      <c r="ET527" s="794"/>
      <c r="EU527" s="794"/>
      <c r="EV527" s="794"/>
      <c r="EW527" s="794"/>
      <c r="EX527" s="794"/>
      <c r="EY527" s="794"/>
      <c r="EZ527" s="794"/>
      <c r="FA527" s="712"/>
      <c r="FB527" s="712"/>
      <c r="FC527" s="712"/>
      <c r="FD527" s="712"/>
      <c r="FE527" s="712"/>
      <c r="FF527" s="712"/>
      <c r="FG527" s="712"/>
      <c r="FH527" s="712"/>
      <c r="FI527" s="712"/>
      <c r="FJ527" s="712"/>
      <c r="FK527" s="712"/>
      <c r="FL527" s="712"/>
      <c r="FM527" s="712"/>
      <c r="FN527" s="712"/>
      <c r="FO527" s="712"/>
      <c r="FP527" s="712"/>
      <c r="FQ527" s="712"/>
      <c r="FR527" s="712"/>
      <c r="FS527" s="712"/>
      <c r="FT527" s="712"/>
      <c r="FU527" s="712"/>
      <c r="FV527" s="712"/>
      <c r="FW527" s="712"/>
      <c r="FX527" s="712"/>
      <c r="FZ527" s="712"/>
      <c r="GA527" s="712"/>
      <c r="GB527" s="712"/>
      <c r="GC527" s="712"/>
      <c r="GD527" s="712"/>
      <c r="GE527" s="712"/>
      <c r="GF527" s="712"/>
      <c r="GG527" s="712"/>
      <c r="GH527" s="712"/>
      <c r="GI527" s="712"/>
      <c r="GJ527" s="712"/>
      <c r="GK527" s="712"/>
      <c r="GL527" s="712"/>
      <c r="GM527" s="712"/>
      <c r="GN527" s="712"/>
      <c r="GO527" s="712"/>
      <c r="GP527" s="712"/>
      <c r="GQ527" s="712"/>
      <c r="GR527" s="712"/>
      <c r="GS527" s="712"/>
      <c r="GT527" s="712"/>
      <c r="GU527" s="712"/>
      <c r="GV527" s="712"/>
      <c r="GW527" s="712"/>
      <c r="GX527" s="712"/>
      <c r="GY527" s="712"/>
      <c r="GZ527" s="712"/>
      <c r="HA527" s="712"/>
      <c r="HB527" s="712"/>
      <c r="HC527" s="712"/>
    </row>
    <row r="528" spans="1:211">
      <c r="A528" s="707"/>
      <c r="G528" s="712"/>
      <c r="H528" s="712"/>
      <c r="I528" s="712"/>
      <c r="J528" s="712"/>
      <c r="K528" s="712"/>
      <c r="L528" s="712"/>
      <c r="M528" s="712"/>
      <c r="N528" s="712"/>
      <c r="O528" s="712"/>
      <c r="P528" s="712"/>
      <c r="Q528" s="712"/>
      <c r="R528" s="712"/>
      <c r="S528" s="712"/>
      <c r="T528" s="712"/>
      <c r="U528" s="712"/>
      <c r="V528" s="712"/>
      <c r="W528" s="712"/>
      <c r="X528" s="712"/>
      <c r="Y528" s="712"/>
      <c r="Z528" s="712"/>
      <c r="AA528" s="712"/>
      <c r="AB528" s="712"/>
      <c r="AC528" s="712"/>
      <c r="AD528" s="712"/>
      <c r="AE528" s="712"/>
      <c r="AF528" s="712"/>
      <c r="AG528" s="712"/>
      <c r="AH528" s="712"/>
      <c r="AI528" s="712"/>
      <c r="AJ528" s="712"/>
      <c r="AK528" s="712"/>
      <c r="AL528" s="712"/>
      <c r="AM528" s="712"/>
      <c r="AN528" s="712"/>
      <c r="AO528" s="712"/>
      <c r="AP528" s="712"/>
      <c r="AQ528" s="712"/>
      <c r="AR528" s="712"/>
      <c r="AS528" s="712"/>
      <c r="AT528" s="712"/>
      <c r="AU528" s="712"/>
      <c r="AV528" s="712"/>
      <c r="AW528" s="712"/>
      <c r="AX528" s="712"/>
      <c r="AY528" s="712"/>
      <c r="AZ528" s="712"/>
      <c r="BA528" s="712"/>
      <c r="BB528" s="712"/>
      <c r="BC528" s="712"/>
      <c r="BD528" s="712"/>
      <c r="BE528" s="712"/>
      <c r="BF528" s="712"/>
      <c r="BG528" s="712"/>
      <c r="BH528" s="712"/>
      <c r="BI528" s="712"/>
      <c r="BJ528" s="712"/>
      <c r="BK528" s="712"/>
      <c r="BL528" s="712"/>
      <c r="BM528" s="712"/>
      <c r="BN528" s="712"/>
      <c r="BO528" s="712"/>
      <c r="BP528" s="712"/>
      <c r="BQ528" s="712"/>
      <c r="BR528" s="712"/>
      <c r="BS528" s="712"/>
      <c r="BT528" s="712"/>
      <c r="BU528" s="712"/>
      <c r="BV528" s="712"/>
      <c r="BW528" s="712"/>
      <c r="BX528" s="712"/>
      <c r="BY528" s="712"/>
      <c r="BZ528" s="712"/>
      <c r="CA528" s="712"/>
      <c r="CB528" s="712"/>
      <c r="CC528" s="712"/>
      <c r="CD528" s="712"/>
      <c r="CE528" s="712"/>
      <c r="CF528" s="712"/>
      <c r="CG528" s="712"/>
      <c r="CH528" s="712"/>
      <c r="CI528" s="712"/>
      <c r="CJ528" s="712"/>
      <c r="CK528" s="712"/>
      <c r="CL528" s="712"/>
      <c r="CM528" s="712"/>
      <c r="CN528" s="712"/>
      <c r="CO528" s="712"/>
      <c r="CP528" s="712"/>
      <c r="CQ528" s="712"/>
      <c r="CR528" s="712"/>
      <c r="CS528" s="712"/>
      <c r="CT528" s="712"/>
      <c r="CU528" s="712"/>
      <c r="CV528" s="712"/>
      <c r="CW528" s="712"/>
      <c r="CX528" s="712"/>
      <c r="CY528" s="712"/>
      <c r="CZ528" s="712"/>
      <c r="DA528" s="712"/>
      <c r="DB528" s="712"/>
      <c r="DC528" s="712"/>
      <c r="DD528" s="712"/>
      <c r="DE528" s="712"/>
      <c r="DF528" s="712"/>
      <c r="DG528" s="712"/>
      <c r="DH528" s="712"/>
      <c r="DI528" s="712"/>
      <c r="DJ528" s="712"/>
      <c r="DK528" s="712"/>
      <c r="DL528" s="712"/>
      <c r="DM528" s="712"/>
      <c r="DN528" s="712"/>
      <c r="DO528" s="712"/>
      <c r="DP528" s="712"/>
      <c r="DQ528" s="712"/>
      <c r="DR528" s="712"/>
      <c r="DS528" s="712"/>
      <c r="DT528" s="712"/>
      <c r="DU528" s="712"/>
      <c r="DV528" s="712"/>
      <c r="DW528" s="712"/>
      <c r="DX528" s="712"/>
      <c r="DY528" s="712"/>
      <c r="DZ528" s="712"/>
      <c r="EA528" s="712"/>
      <c r="EB528" s="712"/>
      <c r="EC528" s="712"/>
      <c r="ED528" s="712"/>
      <c r="EE528" s="712"/>
      <c r="EF528" s="712"/>
      <c r="EG528" s="712"/>
      <c r="EH528" s="712"/>
      <c r="EI528" s="712"/>
      <c r="EJ528" s="712"/>
      <c r="EK528" s="712"/>
      <c r="EL528" s="712"/>
      <c r="EM528" s="712"/>
      <c r="EN528" s="712"/>
      <c r="EO528" s="712"/>
      <c r="EP528" s="712"/>
      <c r="EQ528" s="712"/>
      <c r="ER528" s="712"/>
      <c r="ES528" s="712"/>
      <c r="ET528" s="794"/>
      <c r="EU528" s="794"/>
      <c r="EV528" s="794"/>
      <c r="EW528" s="794"/>
      <c r="EX528" s="794"/>
      <c r="EY528" s="794"/>
      <c r="EZ528" s="794"/>
      <c r="FA528" s="712"/>
      <c r="FB528" s="712"/>
      <c r="FC528" s="712"/>
      <c r="FD528" s="712"/>
      <c r="FE528" s="712"/>
      <c r="FF528" s="712"/>
      <c r="FG528" s="712"/>
      <c r="FH528" s="712"/>
      <c r="FI528" s="712"/>
      <c r="FJ528" s="712"/>
      <c r="FK528" s="712"/>
      <c r="FL528" s="712"/>
      <c r="FM528" s="712"/>
      <c r="FN528" s="712"/>
      <c r="FO528" s="712"/>
      <c r="FP528" s="712"/>
      <c r="FQ528" s="712"/>
      <c r="FR528" s="712"/>
      <c r="FS528" s="712"/>
      <c r="FT528" s="712"/>
      <c r="FU528" s="712"/>
      <c r="FV528" s="712"/>
      <c r="FW528" s="712"/>
      <c r="FX528" s="712"/>
      <c r="FZ528" s="712"/>
      <c r="GA528" s="712"/>
      <c r="GB528" s="712"/>
      <c r="GC528" s="712"/>
      <c r="GD528" s="712"/>
      <c r="GE528" s="712"/>
      <c r="GF528" s="712"/>
      <c r="GG528" s="712"/>
      <c r="GH528" s="712"/>
      <c r="GI528" s="712"/>
      <c r="GJ528" s="712"/>
      <c r="GK528" s="712"/>
      <c r="GL528" s="712"/>
      <c r="GM528" s="712"/>
      <c r="GN528" s="712"/>
      <c r="GO528" s="712"/>
      <c r="GP528" s="712"/>
      <c r="GQ528" s="712"/>
      <c r="GR528" s="712"/>
      <c r="GS528" s="712"/>
      <c r="GT528" s="712"/>
      <c r="GU528" s="712"/>
      <c r="GV528" s="712"/>
      <c r="GW528" s="712"/>
      <c r="GX528" s="712"/>
      <c r="GY528" s="712"/>
      <c r="GZ528" s="712"/>
      <c r="HA528" s="712"/>
      <c r="HB528" s="712"/>
      <c r="HC528" s="712"/>
    </row>
    <row r="529" spans="1:211">
      <c r="A529" s="707"/>
      <c r="G529" s="712"/>
      <c r="H529" s="712"/>
      <c r="I529" s="712"/>
      <c r="J529" s="712"/>
      <c r="K529" s="712"/>
      <c r="L529" s="712"/>
      <c r="M529" s="712"/>
      <c r="N529" s="712"/>
      <c r="O529" s="712"/>
      <c r="P529" s="712"/>
      <c r="Q529" s="712"/>
      <c r="R529" s="712"/>
      <c r="S529" s="712"/>
      <c r="T529" s="712"/>
      <c r="U529" s="712"/>
      <c r="V529" s="712"/>
      <c r="W529" s="712"/>
      <c r="X529" s="712"/>
      <c r="Y529" s="712"/>
      <c r="Z529" s="712"/>
      <c r="AA529" s="712"/>
      <c r="AB529" s="712"/>
      <c r="AC529" s="712"/>
      <c r="AD529" s="712"/>
      <c r="AE529" s="712"/>
      <c r="AF529" s="712"/>
      <c r="AG529" s="712"/>
      <c r="AH529" s="712"/>
      <c r="AI529" s="712"/>
      <c r="AJ529" s="712"/>
      <c r="AK529" s="712"/>
      <c r="AL529" s="712"/>
      <c r="AM529" s="712"/>
      <c r="AN529" s="712"/>
      <c r="AO529" s="712"/>
      <c r="AP529" s="712"/>
      <c r="AQ529" s="712"/>
      <c r="AR529" s="712"/>
      <c r="AS529" s="712"/>
      <c r="AT529" s="712"/>
      <c r="AU529" s="712"/>
      <c r="AV529" s="712"/>
      <c r="AW529" s="712"/>
      <c r="AX529" s="712"/>
      <c r="AY529" s="712"/>
      <c r="AZ529" s="712"/>
      <c r="BA529" s="712"/>
      <c r="BB529" s="712"/>
      <c r="BC529" s="712"/>
      <c r="BD529" s="712"/>
      <c r="BE529" s="712"/>
      <c r="BF529" s="712"/>
      <c r="BG529" s="712"/>
      <c r="BH529" s="712"/>
      <c r="BI529" s="712"/>
      <c r="BJ529" s="712"/>
      <c r="BK529" s="712"/>
      <c r="BL529" s="712"/>
      <c r="BM529" s="712"/>
      <c r="BN529" s="712"/>
      <c r="BO529" s="712"/>
      <c r="BP529" s="712"/>
      <c r="BQ529" s="712"/>
      <c r="BR529" s="712"/>
      <c r="BS529" s="712"/>
      <c r="BT529" s="712"/>
      <c r="BU529" s="712"/>
      <c r="BV529" s="712"/>
      <c r="BW529" s="712"/>
      <c r="BX529" s="712"/>
      <c r="BY529" s="712"/>
      <c r="BZ529" s="712"/>
      <c r="CA529" s="712"/>
      <c r="CB529" s="712"/>
      <c r="CC529" s="712"/>
      <c r="CD529" s="712"/>
      <c r="CE529" s="712"/>
      <c r="CF529" s="712"/>
      <c r="CG529" s="712"/>
      <c r="CH529" s="712"/>
      <c r="CI529" s="712"/>
      <c r="CJ529" s="712"/>
      <c r="CK529" s="712"/>
      <c r="CL529" s="712"/>
      <c r="CM529" s="712"/>
      <c r="CN529" s="712"/>
      <c r="CO529" s="712"/>
      <c r="CP529" s="712"/>
      <c r="CQ529" s="712"/>
      <c r="CR529" s="712"/>
      <c r="CS529" s="712"/>
      <c r="CT529" s="712"/>
      <c r="CU529" s="712"/>
      <c r="CV529" s="712"/>
      <c r="CW529" s="712"/>
      <c r="CX529" s="712"/>
      <c r="CY529" s="712"/>
      <c r="CZ529" s="712"/>
      <c r="DA529" s="712"/>
      <c r="DB529" s="712"/>
      <c r="DC529" s="712"/>
      <c r="DD529" s="712"/>
      <c r="DE529" s="712"/>
      <c r="DF529" s="712"/>
      <c r="DG529" s="712"/>
      <c r="DH529" s="712"/>
      <c r="DI529" s="712"/>
      <c r="DJ529" s="712"/>
      <c r="DK529" s="712"/>
      <c r="DL529" s="712"/>
      <c r="DM529" s="712"/>
      <c r="DN529" s="712"/>
      <c r="DO529" s="712"/>
      <c r="DP529" s="712"/>
      <c r="DQ529" s="712"/>
      <c r="DR529" s="712"/>
      <c r="DS529" s="712"/>
      <c r="DT529" s="712"/>
      <c r="DU529" s="712"/>
      <c r="DV529" s="712"/>
      <c r="DW529" s="712"/>
      <c r="DX529" s="712"/>
      <c r="DY529" s="712"/>
      <c r="DZ529" s="712"/>
      <c r="EA529" s="712"/>
      <c r="EB529" s="712"/>
      <c r="EC529" s="712"/>
      <c r="ED529" s="712"/>
      <c r="EE529" s="712"/>
      <c r="EF529" s="712"/>
      <c r="EG529" s="712"/>
      <c r="EH529" s="712"/>
      <c r="EI529" s="712"/>
      <c r="EJ529" s="712"/>
      <c r="EK529" s="712"/>
      <c r="EL529" s="712"/>
      <c r="EM529" s="712"/>
      <c r="EN529" s="712"/>
      <c r="EO529" s="712"/>
      <c r="EP529" s="712"/>
      <c r="EQ529" s="712"/>
      <c r="ER529" s="712"/>
      <c r="ES529" s="712"/>
      <c r="ET529" s="794"/>
      <c r="EU529" s="794"/>
      <c r="EV529" s="794"/>
      <c r="EW529" s="794"/>
      <c r="EX529" s="794"/>
      <c r="EY529" s="794"/>
      <c r="EZ529" s="794"/>
      <c r="FA529" s="712"/>
      <c r="FB529" s="712"/>
      <c r="FC529" s="712"/>
      <c r="FD529" s="712"/>
      <c r="FE529" s="712"/>
      <c r="FF529" s="712"/>
      <c r="FG529" s="712"/>
      <c r="FH529" s="712"/>
      <c r="FI529" s="712"/>
      <c r="FJ529" s="712"/>
      <c r="FK529" s="712"/>
      <c r="FL529" s="712"/>
      <c r="FM529" s="712"/>
      <c r="FN529" s="712"/>
      <c r="FO529" s="712"/>
      <c r="FP529" s="712"/>
      <c r="FQ529" s="712"/>
      <c r="FR529" s="712"/>
      <c r="FS529" s="712"/>
      <c r="FT529" s="712"/>
      <c r="FU529" s="712"/>
      <c r="FV529" s="712"/>
      <c r="FW529" s="712"/>
      <c r="FX529" s="712"/>
      <c r="FZ529" s="712"/>
      <c r="GA529" s="712"/>
      <c r="GB529" s="712"/>
      <c r="GC529" s="712"/>
      <c r="GD529" s="712"/>
      <c r="GE529" s="712"/>
      <c r="GF529" s="712"/>
      <c r="GG529" s="712"/>
      <c r="GH529" s="712"/>
      <c r="GI529" s="712"/>
      <c r="GJ529" s="712"/>
      <c r="GK529" s="712"/>
      <c r="GL529" s="712"/>
      <c r="GM529" s="712"/>
      <c r="GN529" s="712"/>
      <c r="GO529" s="712"/>
      <c r="GP529" s="712"/>
      <c r="GQ529" s="712"/>
      <c r="GR529" s="712"/>
      <c r="GS529" s="712"/>
      <c r="GT529" s="712"/>
      <c r="GU529" s="712"/>
      <c r="GV529" s="712"/>
      <c r="GW529" s="712"/>
      <c r="GX529" s="712"/>
      <c r="GY529" s="712"/>
      <c r="GZ529" s="712"/>
      <c r="HA529" s="712"/>
      <c r="HB529" s="712"/>
      <c r="HC529" s="712"/>
    </row>
    <row r="530" spans="1:211">
      <c r="A530" s="707"/>
      <c r="G530" s="712"/>
      <c r="H530" s="712"/>
      <c r="I530" s="712"/>
      <c r="J530" s="712"/>
      <c r="K530" s="712"/>
      <c r="L530" s="712"/>
      <c r="M530" s="712"/>
      <c r="N530" s="712"/>
      <c r="O530" s="712"/>
      <c r="P530" s="712"/>
      <c r="Q530" s="712"/>
      <c r="R530" s="712"/>
      <c r="S530" s="712"/>
      <c r="T530" s="712"/>
      <c r="U530" s="712"/>
      <c r="V530" s="712"/>
      <c r="W530" s="712"/>
      <c r="X530" s="712"/>
      <c r="Y530" s="712"/>
      <c r="Z530" s="712"/>
      <c r="AA530" s="712"/>
      <c r="AB530" s="712"/>
      <c r="AC530" s="712"/>
      <c r="AD530" s="712"/>
      <c r="AE530" s="712"/>
      <c r="AF530" s="712"/>
      <c r="AG530" s="712"/>
      <c r="AH530" s="712"/>
      <c r="AI530" s="712"/>
      <c r="AJ530" s="712"/>
      <c r="AK530" s="712"/>
      <c r="AL530" s="712"/>
      <c r="AM530" s="712"/>
      <c r="AN530" s="712"/>
      <c r="AO530" s="712"/>
      <c r="AP530" s="712"/>
      <c r="AQ530" s="712"/>
      <c r="AR530" s="712"/>
      <c r="AS530" s="712"/>
      <c r="AT530" s="712"/>
      <c r="AU530" s="712"/>
      <c r="AV530" s="712"/>
      <c r="AW530" s="712"/>
      <c r="AX530" s="712"/>
      <c r="AY530" s="712"/>
      <c r="AZ530" s="712"/>
      <c r="BA530" s="712"/>
      <c r="BB530" s="712"/>
      <c r="BC530" s="712"/>
      <c r="BD530" s="712"/>
      <c r="BE530" s="712"/>
      <c r="BF530" s="712"/>
      <c r="BG530" s="712"/>
      <c r="BH530" s="712"/>
      <c r="BI530" s="712"/>
      <c r="BJ530" s="712"/>
      <c r="BK530" s="712"/>
      <c r="BL530" s="712"/>
      <c r="BM530" s="712"/>
      <c r="BN530" s="712"/>
      <c r="BO530" s="712"/>
      <c r="BP530" s="712"/>
      <c r="BQ530" s="712"/>
      <c r="BR530" s="712"/>
      <c r="BS530" s="712"/>
      <c r="BT530" s="712"/>
      <c r="BU530" s="712"/>
      <c r="BV530" s="712"/>
      <c r="BW530" s="712"/>
      <c r="BX530" s="712"/>
      <c r="BY530" s="712"/>
      <c r="BZ530" s="712"/>
      <c r="CA530" s="712"/>
      <c r="CB530" s="712"/>
      <c r="CC530" s="712"/>
      <c r="CD530" s="712"/>
      <c r="CE530" s="712"/>
      <c r="CF530" s="712"/>
      <c r="CG530" s="712"/>
      <c r="CH530" s="712"/>
      <c r="CI530" s="712"/>
      <c r="CJ530" s="712"/>
      <c r="CK530" s="712"/>
      <c r="CL530" s="712"/>
      <c r="CM530" s="712"/>
      <c r="CN530" s="712"/>
      <c r="CO530" s="712"/>
      <c r="CP530" s="712"/>
      <c r="CQ530" s="712"/>
      <c r="CR530" s="712"/>
      <c r="CS530" s="712"/>
      <c r="CT530" s="712"/>
      <c r="CU530" s="712"/>
      <c r="CV530" s="712"/>
      <c r="CW530" s="712"/>
      <c r="CX530" s="712"/>
      <c r="CY530" s="712"/>
      <c r="CZ530" s="712"/>
      <c r="DA530" s="712"/>
      <c r="DB530" s="712"/>
      <c r="DC530" s="712"/>
      <c r="DD530" s="712"/>
      <c r="DE530" s="712"/>
      <c r="DF530" s="712"/>
      <c r="DG530" s="712"/>
      <c r="DH530" s="712"/>
      <c r="DI530" s="712"/>
      <c r="DJ530" s="712"/>
      <c r="DK530" s="712"/>
      <c r="DL530" s="712"/>
      <c r="DM530" s="712"/>
      <c r="DN530" s="712"/>
      <c r="DO530" s="712"/>
      <c r="DP530" s="712"/>
      <c r="DQ530" s="712"/>
      <c r="DR530" s="712"/>
      <c r="DS530" s="712"/>
      <c r="DT530" s="712"/>
      <c r="DU530" s="712"/>
      <c r="DV530" s="712"/>
      <c r="DW530" s="712"/>
      <c r="DX530" s="712"/>
      <c r="DY530" s="712"/>
      <c r="DZ530" s="712"/>
      <c r="EA530" s="712"/>
      <c r="EB530" s="712"/>
      <c r="EC530" s="712"/>
      <c r="ED530" s="712"/>
      <c r="EE530" s="712"/>
      <c r="EF530" s="712"/>
      <c r="EG530" s="712"/>
      <c r="EH530" s="712"/>
      <c r="EI530" s="712"/>
      <c r="EJ530" s="712"/>
      <c r="EK530" s="712"/>
      <c r="EL530" s="712"/>
      <c r="EM530" s="712"/>
      <c r="EN530" s="712"/>
      <c r="EO530" s="712"/>
      <c r="EP530" s="712"/>
      <c r="EQ530" s="712"/>
      <c r="ER530" s="712"/>
      <c r="ES530" s="712"/>
      <c r="ET530" s="794"/>
      <c r="EU530" s="794"/>
      <c r="EV530" s="794"/>
      <c r="EW530" s="794"/>
      <c r="EX530" s="794"/>
      <c r="EY530" s="794"/>
      <c r="EZ530" s="794"/>
      <c r="FA530" s="712"/>
      <c r="FB530" s="712"/>
      <c r="FC530" s="712"/>
      <c r="FD530" s="712"/>
      <c r="FE530" s="712"/>
      <c r="FF530" s="712"/>
      <c r="FG530" s="712"/>
      <c r="FH530" s="712"/>
      <c r="FI530" s="712"/>
      <c r="FJ530" s="712"/>
      <c r="FK530" s="712"/>
      <c r="FL530" s="712"/>
      <c r="FM530" s="712"/>
      <c r="FN530" s="712"/>
      <c r="FO530" s="712"/>
      <c r="FP530" s="712"/>
      <c r="FQ530" s="712"/>
      <c r="FR530" s="712"/>
      <c r="FS530" s="712"/>
      <c r="FT530" s="712"/>
      <c r="FU530" s="712"/>
      <c r="FV530" s="712"/>
      <c r="FW530" s="712"/>
      <c r="FX530" s="712"/>
      <c r="FZ530" s="712"/>
      <c r="GA530" s="712"/>
      <c r="GB530" s="712"/>
      <c r="GC530" s="712"/>
      <c r="GD530" s="712"/>
      <c r="GE530" s="712"/>
      <c r="GF530" s="712"/>
      <c r="GG530" s="712"/>
      <c r="GH530" s="712"/>
      <c r="GI530" s="712"/>
      <c r="GJ530" s="712"/>
      <c r="GK530" s="712"/>
      <c r="GL530" s="712"/>
      <c r="GM530" s="712"/>
      <c r="GN530" s="712"/>
      <c r="GO530" s="712"/>
      <c r="GP530" s="712"/>
      <c r="GQ530" s="712"/>
      <c r="GR530" s="712"/>
      <c r="GS530" s="712"/>
      <c r="GT530" s="712"/>
      <c r="GU530" s="712"/>
      <c r="GV530" s="712"/>
      <c r="GW530" s="712"/>
      <c r="GX530" s="712"/>
      <c r="GY530" s="712"/>
      <c r="GZ530" s="712"/>
      <c r="HA530" s="712"/>
      <c r="HB530" s="712"/>
      <c r="HC530" s="712"/>
    </row>
    <row r="531" spans="1:211">
      <c r="A531" s="707"/>
      <c r="G531" s="712"/>
      <c r="H531" s="712"/>
      <c r="I531" s="712"/>
      <c r="J531" s="712"/>
      <c r="K531" s="712"/>
      <c r="L531" s="712"/>
      <c r="M531" s="712"/>
      <c r="N531" s="712"/>
      <c r="O531" s="712"/>
      <c r="P531" s="712"/>
      <c r="Q531" s="712"/>
      <c r="R531" s="712"/>
      <c r="S531" s="712"/>
      <c r="T531" s="712"/>
      <c r="U531" s="712"/>
      <c r="V531" s="712"/>
      <c r="W531" s="712"/>
      <c r="X531" s="712"/>
      <c r="Y531" s="712"/>
      <c r="Z531" s="712"/>
      <c r="AA531" s="712"/>
      <c r="AB531" s="712"/>
      <c r="AC531" s="712"/>
      <c r="AD531" s="712"/>
      <c r="AE531" s="712"/>
      <c r="AF531" s="712"/>
      <c r="AG531" s="712"/>
      <c r="AH531" s="712"/>
      <c r="AI531" s="712"/>
      <c r="AJ531" s="712"/>
      <c r="AK531" s="712"/>
      <c r="AL531" s="712"/>
      <c r="AM531" s="712"/>
      <c r="AN531" s="712"/>
      <c r="AO531" s="712"/>
      <c r="AP531" s="712"/>
      <c r="AQ531" s="712"/>
      <c r="AR531" s="712"/>
      <c r="AS531" s="712"/>
      <c r="AT531" s="712"/>
      <c r="AU531" s="712"/>
      <c r="AV531" s="712"/>
      <c r="AW531" s="712"/>
      <c r="AX531" s="712"/>
      <c r="AY531" s="712"/>
      <c r="AZ531" s="712"/>
      <c r="BA531" s="712"/>
      <c r="BB531" s="712"/>
      <c r="BC531" s="712"/>
      <c r="BD531" s="712"/>
      <c r="BE531" s="712"/>
      <c r="BF531" s="712"/>
      <c r="BG531" s="712"/>
      <c r="BH531" s="712"/>
      <c r="BI531" s="712"/>
      <c r="BJ531" s="712"/>
      <c r="BK531" s="712"/>
      <c r="BL531" s="712"/>
      <c r="BM531" s="712"/>
      <c r="BN531" s="712"/>
      <c r="BO531" s="712"/>
      <c r="BP531" s="712"/>
      <c r="BQ531" s="712"/>
      <c r="BR531" s="712"/>
      <c r="BS531" s="712"/>
      <c r="BT531" s="712"/>
      <c r="BU531" s="712"/>
      <c r="BV531" s="712"/>
      <c r="BW531" s="712"/>
      <c r="BX531" s="712"/>
      <c r="BY531" s="712"/>
      <c r="BZ531" s="712"/>
      <c r="CA531" s="712"/>
      <c r="CB531" s="712"/>
      <c r="CC531" s="712"/>
      <c r="CD531" s="712"/>
      <c r="CE531" s="712"/>
      <c r="CF531" s="712"/>
      <c r="CG531" s="712"/>
      <c r="CH531" s="712"/>
      <c r="CI531" s="712"/>
      <c r="CJ531" s="712"/>
      <c r="CK531" s="712"/>
      <c r="CL531" s="712"/>
      <c r="CM531" s="712"/>
      <c r="CN531" s="712"/>
      <c r="CO531" s="712"/>
      <c r="CP531" s="712"/>
      <c r="CQ531" s="712"/>
      <c r="CR531" s="712"/>
      <c r="CS531" s="712"/>
      <c r="CT531" s="712"/>
      <c r="CU531" s="712"/>
      <c r="CV531" s="712"/>
      <c r="CW531" s="712"/>
      <c r="CX531" s="712"/>
      <c r="CY531" s="712"/>
      <c r="CZ531" s="712"/>
      <c r="DA531" s="712"/>
      <c r="DB531" s="712"/>
      <c r="DC531" s="712"/>
      <c r="DD531" s="712"/>
      <c r="DE531" s="712"/>
      <c r="DF531" s="712"/>
      <c r="DG531" s="712"/>
      <c r="DH531" s="712"/>
      <c r="DI531" s="712"/>
      <c r="DJ531" s="712"/>
      <c r="DK531" s="712"/>
      <c r="DL531" s="712"/>
      <c r="DM531" s="712"/>
      <c r="DN531" s="712"/>
      <c r="DO531" s="712"/>
      <c r="DP531" s="712"/>
      <c r="DQ531" s="712"/>
      <c r="DR531" s="712"/>
      <c r="DS531" s="712"/>
      <c r="DT531" s="712"/>
      <c r="DU531" s="712"/>
      <c r="DV531" s="712"/>
      <c r="DW531" s="712"/>
      <c r="DX531" s="712"/>
      <c r="DY531" s="712"/>
      <c r="DZ531" s="712"/>
      <c r="EA531" s="712"/>
      <c r="EB531" s="712"/>
      <c r="EC531" s="712"/>
      <c r="ED531" s="712"/>
      <c r="EE531" s="712"/>
      <c r="EF531" s="712"/>
      <c r="EG531" s="712"/>
      <c r="EH531" s="712"/>
      <c r="EI531" s="712"/>
      <c r="EJ531" s="712"/>
      <c r="EK531" s="712"/>
      <c r="EL531" s="712"/>
      <c r="EM531" s="712"/>
      <c r="EN531" s="712"/>
      <c r="EO531" s="712"/>
      <c r="EP531" s="712"/>
      <c r="EQ531" s="712"/>
      <c r="ER531" s="712"/>
      <c r="ES531" s="712"/>
      <c r="ET531" s="794"/>
      <c r="EU531" s="794"/>
      <c r="EV531" s="794"/>
      <c r="EW531" s="794"/>
      <c r="EX531" s="794"/>
      <c r="EY531" s="794"/>
      <c r="EZ531" s="794"/>
      <c r="FA531" s="712"/>
      <c r="FB531" s="712"/>
      <c r="FC531" s="712"/>
      <c r="FD531" s="712"/>
      <c r="FE531" s="712"/>
      <c r="FF531" s="712"/>
      <c r="FG531" s="712"/>
      <c r="FH531" s="712"/>
      <c r="FI531" s="712"/>
      <c r="FJ531" s="712"/>
      <c r="FK531" s="712"/>
      <c r="FL531" s="712"/>
      <c r="FM531" s="712"/>
      <c r="FN531" s="712"/>
      <c r="FO531" s="712"/>
      <c r="FP531" s="712"/>
      <c r="FQ531" s="712"/>
      <c r="FR531" s="712"/>
      <c r="FS531" s="712"/>
      <c r="FT531" s="712"/>
      <c r="FU531" s="712"/>
      <c r="FV531" s="712"/>
      <c r="FW531" s="712"/>
      <c r="FX531" s="712"/>
      <c r="FZ531" s="712"/>
      <c r="GA531" s="712"/>
      <c r="GB531" s="712"/>
      <c r="GC531" s="712"/>
      <c r="GD531" s="712"/>
      <c r="GE531" s="712"/>
      <c r="GF531" s="712"/>
      <c r="GG531" s="712"/>
      <c r="GH531" s="712"/>
      <c r="GI531" s="712"/>
      <c r="GJ531" s="712"/>
      <c r="GK531" s="712"/>
      <c r="GL531" s="712"/>
      <c r="GM531" s="712"/>
      <c r="GN531" s="712"/>
      <c r="GO531" s="712"/>
      <c r="GP531" s="712"/>
      <c r="GQ531" s="712"/>
      <c r="GR531" s="712"/>
      <c r="GS531" s="712"/>
      <c r="GT531" s="712"/>
      <c r="GU531" s="712"/>
      <c r="GV531" s="712"/>
      <c r="GW531" s="712"/>
      <c r="GX531" s="712"/>
      <c r="GY531" s="712"/>
      <c r="GZ531" s="712"/>
      <c r="HA531" s="712"/>
      <c r="HB531" s="712"/>
      <c r="HC531" s="712"/>
    </row>
    <row r="532" spans="1:211">
      <c r="A532" s="707"/>
      <c r="G532" s="712"/>
      <c r="H532" s="712"/>
      <c r="I532" s="712"/>
      <c r="J532" s="712"/>
      <c r="K532" s="712"/>
      <c r="L532" s="712"/>
      <c r="M532" s="712"/>
      <c r="N532" s="712"/>
      <c r="O532" s="712"/>
      <c r="P532" s="712"/>
      <c r="Q532" s="712"/>
      <c r="R532" s="712"/>
      <c r="S532" s="712"/>
      <c r="T532" s="712"/>
      <c r="U532" s="712"/>
      <c r="V532" s="712"/>
      <c r="W532" s="712"/>
      <c r="X532" s="712"/>
      <c r="Y532" s="712"/>
      <c r="Z532" s="712"/>
      <c r="AA532" s="712"/>
      <c r="AB532" s="712"/>
      <c r="AC532" s="712"/>
      <c r="AD532" s="712"/>
      <c r="AE532" s="712"/>
      <c r="AF532" s="712"/>
      <c r="AG532" s="712"/>
      <c r="AH532" s="712"/>
      <c r="AI532" s="712"/>
      <c r="AJ532" s="712"/>
      <c r="AK532" s="712"/>
      <c r="AL532" s="712"/>
      <c r="AM532" s="712"/>
      <c r="AN532" s="712"/>
      <c r="AO532" s="712"/>
      <c r="AP532" s="712"/>
      <c r="AQ532" s="712"/>
      <c r="AR532" s="712"/>
      <c r="AS532" s="712"/>
      <c r="AT532" s="712"/>
      <c r="AU532" s="712"/>
      <c r="AV532" s="712"/>
      <c r="AW532" s="712"/>
      <c r="AX532" s="712"/>
      <c r="AY532" s="712"/>
      <c r="AZ532" s="712"/>
      <c r="BA532" s="712"/>
      <c r="BB532" s="712"/>
      <c r="BC532" s="712"/>
      <c r="BD532" s="712"/>
      <c r="BE532" s="712"/>
      <c r="BF532" s="712"/>
      <c r="BG532" s="712"/>
      <c r="BH532" s="712"/>
      <c r="BI532" s="712"/>
      <c r="BJ532" s="712"/>
      <c r="BK532" s="712"/>
      <c r="BL532" s="712"/>
      <c r="BM532" s="712"/>
      <c r="BN532" s="712"/>
      <c r="BO532" s="712"/>
      <c r="BP532" s="712"/>
      <c r="BQ532" s="712"/>
      <c r="BR532" s="712"/>
      <c r="BS532" s="712"/>
      <c r="BT532" s="712"/>
      <c r="BU532" s="712"/>
      <c r="BV532" s="712"/>
      <c r="BW532" s="712"/>
      <c r="BX532" s="712"/>
      <c r="BY532" s="712"/>
      <c r="BZ532" s="712"/>
      <c r="CA532" s="712"/>
      <c r="CB532" s="712"/>
      <c r="CC532" s="712"/>
      <c r="CD532" s="712"/>
      <c r="CE532" s="712"/>
      <c r="CF532" s="712"/>
      <c r="CG532" s="712"/>
      <c r="CH532" s="712"/>
      <c r="CI532" s="712"/>
      <c r="CJ532" s="712"/>
      <c r="CK532" s="712"/>
      <c r="CL532" s="712"/>
      <c r="CM532" s="712"/>
      <c r="CN532" s="712"/>
      <c r="CO532" s="712"/>
      <c r="CP532" s="712"/>
      <c r="CQ532" s="712"/>
      <c r="CR532" s="712"/>
      <c r="CS532" s="712"/>
      <c r="CT532" s="712"/>
      <c r="CU532" s="712"/>
      <c r="CV532" s="712"/>
      <c r="CW532" s="712"/>
      <c r="CX532" s="712"/>
      <c r="CY532" s="712"/>
      <c r="CZ532" s="712"/>
      <c r="DA532" s="712"/>
      <c r="DB532" s="712"/>
      <c r="DC532" s="712"/>
      <c r="DD532" s="712"/>
      <c r="DE532" s="712"/>
      <c r="DF532" s="712"/>
      <c r="DG532" s="712"/>
      <c r="DH532" s="712"/>
      <c r="DI532" s="712"/>
      <c r="DJ532" s="712"/>
      <c r="DK532" s="712"/>
      <c r="DL532" s="712"/>
      <c r="DM532" s="712"/>
      <c r="DN532" s="712"/>
      <c r="DO532" s="712"/>
      <c r="DP532" s="712"/>
      <c r="DQ532" s="712"/>
      <c r="DR532" s="712"/>
      <c r="DS532" s="712"/>
      <c r="DT532" s="712"/>
      <c r="DU532" s="712"/>
      <c r="DV532" s="712"/>
      <c r="DW532" s="712"/>
      <c r="DX532" s="712"/>
      <c r="DY532" s="712"/>
      <c r="DZ532" s="712"/>
      <c r="EA532" s="712"/>
      <c r="EB532" s="712"/>
      <c r="EC532" s="712"/>
      <c r="ED532" s="712"/>
      <c r="EE532" s="712"/>
      <c r="EF532" s="712"/>
      <c r="EG532" s="712"/>
      <c r="EH532" s="712"/>
      <c r="EI532" s="712"/>
      <c r="EJ532" s="712"/>
      <c r="EK532" s="712"/>
      <c r="EL532" s="712"/>
      <c r="EM532" s="712"/>
      <c r="EN532" s="712"/>
      <c r="EO532" s="712"/>
      <c r="EP532" s="712"/>
      <c r="EQ532" s="712"/>
      <c r="ER532" s="712"/>
      <c r="ES532" s="712"/>
      <c r="ET532" s="794"/>
      <c r="EU532" s="794"/>
      <c r="EV532" s="794"/>
      <c r="EW532" s="794"/>
      <c r="EX532" s="794"/>
      <c r="EY532" s="794"/>
      <c r="EZ532" s="794"/>
      <c r="FA532" s="712"/>
      <c r="FB532" s="712"/>
      <c r="FC532" s="712"/>
      <c r="FD532" s="712"/>
      <c r="FE532" s="712"/>
      <c r="FF532" s="712"/>
      <c r="FG532" s="712"/>
      <c r="FH532" s="712"/>
      <c r="FI532" s="712"/>
      <c r="FJ532" s="712"/>
      <c r="FK532" s="712"/>
      <c r="FL532" s="712"/>
      <c r="FM532" s="712"/>
      <c r="FN532" s="712"/>
      <c r="FO532" s="712"/>
      <c r="FP532" s="712"/>
      <c r="FQ532" s="712"/>
      <c r="FR532" s="712"/>
      <c r="FS532" s="712"/>
      <c r="FT532" s="712"/>
      <c r="FU532" s="712"/>
      <c r="FV532" s="712"/>
      <c r="FW532" s="712"/>
      <c r="FX532" s="712"/>
      <c r="FZ532" s="712"/>
      <c r="GA532" s="712"/>
      <c r="GB532" s="712"/>
      <c r="GC532" s="712"/>
      <c r="GD532" s="712"/>
      <c r="GE532" s="712"/>
      <c r="GF532" s="712"/>
      <c r="GG532" s="712"/>
      <c r="GH532" s="712"/>
      <c r="GI532" s="712"/>
      <c r="GJ532" s="712"/>
      <c r="GK532" s="712"/>
      <c r="GL532" s="712"/>
      <c r="GM532" s="712"/>
      <c r="GN532" s="712"/>
      <c r="GO532" s="712"/>
      <c r="GP532" s="712"/>
      <c r="GQ532" s="712"/>
      <c r="GR532" s="712"/>
      <c r="GS532" s="712"/>
      <c r="GT532" s="712"/>
      <c r="GU532" s="712"/>
      <c r="GV532" s="712"/>
      <c r="GW532" s="712"/>
      <c r="GX532" s="712"/>
      <c r="GY532" s="712"/>
      <c r="GZ532" s="712"/>
      <c r="HA532" s="712"/>
      <c r="HB532" s="712"/>
      <c r="HC532" s="712"/>
    </row>
    <row r="533" spans="1:211">
      <c r="A533" s="707"/>
      <c r="G533" s="712"/>
      <c r="H533" s="712"/>
      <c r="I533" s="712"/>
      <c r="J533" s="712"/>
      <c r="K533" s="712"/>
      <c r="L533" s="712"/>
      <c r="M533" s="712"/>
      <c r="N533" s="712"/>
      <c r="O533" s="712"/>
      <c r="P533" s="712"/>
      <c r="Q533" s="712"/>
      <c r="R533" s="712"/>
      <c r="S533" s="712"/>
      <c r="T533" s="712"/>
      <c r="U533" s="712"/>
      <c r="V533" s="712"/>
      <c r="W533" s="712"/>
      <c r="X533" s="712"/>
      <c r="Y533" s="712"/>
      <c r="Z533" s="712"/>
      <c r="AA533" s="712"/>
      <c r="AB533" s="712"/>
      <c r="AC533" s="712"/>
      <c r="AD533" s="712"/>
      <c r="AE533" s="712"/>
      <c r="AF533" s="712"/>
      <c r="AG533" s="712"/>
      <c r="AH533" s="712"/>
      <c r="AI533" s="712"/>
      <c r="AJ533" s="712"/>
      <c r="AK533" s="712"/>
      <c r="AL533" s="712"/>
      <c r="AM533" s="712"/>
      <c r="AN533" s="712"/>
      <c r="AO533" s="712"/>
      <c r="AP533" s="712"/>
      <c r="AQ533" s="712"/>
      <c r="AR533" s="712"/>
      <c r="AS533" s="712"/>
      <c r="AT533" s="712"/>
      <c r="AU533" s="712"/>
      <c r="AV533" s="712"/>
      <c r="AW533" s="712"/>
      <c r="AX533" s="712"/>
      <c r="AY533" s="712"/>
      <c r="AZ533" s="712"/>
      <c r="BA533" s="712"/>
      <c r="BB533" s="712"/>
      <c r="BC533" s="712"/>
      <c r="BD533" s="712"/>
      <c r="BE533" s="712"/>
      <c r="BF533" s="712"/>
      <c r="BG533" s="712"/>
      <c r="BH533" s="712"/>
      <c r="BI533" s="712"/>
      <c r="BJ533" s="712"/>
      <c r="BK533" s="712"/>
      <c r="BL533" s="712"/>
      <c r="BM533" s="712"/>
      <c r="BN533" s="712"/>
      <c r="BO533" s="712"/>
      <c r="BP533" s="712"/>
      <c r="BQ533" s="712"/>
      <c r="BR533" s="712"/>
      <c r="BS533" s="712"/>
      <c r="BT533" s="712"/>
      <c r="BU533" s="712"/>
      <c r="BV533" s="712"/>
      <c r="BW533" s="712"/>
      <c r="BX533" s="712"/>
      <c r="BY533" s="712"/>
      <c r="BZ533" s="712"/>
      <c r="CA533" s="712"/>
      <c r="CB533" s="712"/>
      <c r="CC533" s="712"/>
      <c r="CD533" s="712"/>
      <c r="CE533" s="712"/>
      <c r="CF533" s="712"/>
      <c r="CG533" s="712"/>
      <c r="CH533" s="712"/>
      <c r="CI533" s="712"/>
      <c r="CJ533" s="712"/>
      <c r="CK533" s="712"/>
      <c r="CL533" s="712"/>
      <c r="CM533" s="712"/>
      <c r="CN533" s="712"/>
      <c r="CO533" s="712"/>
      <c r="CP533" s="712"/>
      <c r="CQ533" s="712"/>
      <c r="CR533" s="712"/>
      <c r="CS533" s="712"/>
      <c r="CT533" s="712"/>
      <c r="CU533" s="712"/>
      <c r="CV533" s="712"/>
      <c r="CW533" s="712"/>
      <c r="CX533" s="712"/>
      <c r="CY533" s="712"/>
      <c r="CZ533" s="712"/>
      <c r="DA533" s="712"/>
      <c r="DB533" s="712"/>
      <c r="DC533" s="712"/>
      <c r="DD533" s="712"/>
      <c r="DE533" s="712"/>
      <c r="DF533" s="712"/>
      <c r="DG533" s="712"/>
      <c r="DH533" s="712"/>
      <c r="DI533" s="712"/>
      <c r="DJ533" s="712"/>
      <c r="DK533" s="712"/>
      <c r="DL533" s="712"/>
      <c r="DM533" s="712"/>
      <c r="DN533" s="712"/>
      <c r="DO533" s="712"/>
      <c r="DP533" s="712"/>
      <c r="DQ533" s="712"/>
      <c r="DR533" s="712"/>
      <c r="DS533" s="712"/>
      <c r="DT533" s="712"/>
      <c r="DU533" s="712"/>
      <c r="DV533" s="712"/>
      <c r="DW533" s="712"/>
      <c r="DX533" s="712"/>
      <c r="DY533" s="712"/>
      <c r="DZ533" s="712"/>
      <c r="EA533" s="712"/>
      <c r="EB533" s="712"/>
      <c r="EC533" s="712"/>
      <c r="ED533" s="712"/>
      <c r="EE533" s="712"/>
      <c r="EF533" s="712"/>
      <c r="EG533" s="712"/>
      <c r="EH533" s="712"/>
      <c r="EI533" s="712"/>
      <c r="EJ533" s="712"/>
      <c r="EK533" s="712"/>
      <c r="EL533" s="712"/>
      <c r="EM533" s="712"/>
      <c r="EN533" s="712"/>
      <c r="EO533" s="712"/>
      <c r="EP533" s="712"/>
      <c r="EQ533" s="712"/>
      <c r="ER533" s="712"/>
      <c r="ES533" s="712"/>
      <c r="ET533" s="794"/>
      <c r="EU533" s="794"/>
      <c r="EV533" s="794"/>
      <c r="EW533" s="794"/>
      <c r="EX533" s="794"/>
      <c r="EY533" s="794"/>
      <c r="EZ533" s="794"/>
      <c r="FA533" s="712"/>
      <c r="FB533" s="712"/>
      <c r="FC533" s="712"/>
      <c r="FD533" s="712"/>
      <c r="FE533" s="712"/>
      <c r="FF533" s="712"/>
      <c r="FG533" s="712"/>
      <c r="FH533" s="712"/>
      <c r="FI533" s="712"/>
      <c r="FJ533" s="712"/>
      <c r="FK533" s="712"/>
      <c r="FL533" s="712"/>
      <c r="FM533" s="712"/>
      <c r="FN533" s="712"/>
      <c r="FO533" s="712"/>
      <c r="FP533" s="712"/>
      <c r="FQ533" s="712"/>
      <c r="FR533" s="712"/>
      <c r="FS533" s="712"/>
      <c r="FT533" s="712"/>
      <c r="FU533" s="712"/>
      <c r="FV533" s="712"/>
      <c r="FW533" s="712"/>
      <c r="FX533" s="712"/>
      <c r="FZ533" s="712"/>
      <c r="GA533" s="712"/>
      <c r="GB533" s="712"/>
      <c r="GC533" s="712"/>
      <c r="GD533" s="712"/>
      <c r="GE533" s="712"/>
      <c r="GF533" s="712"/>
      <c r="GG533" s="712"/>
      <c r="GH533" s="712"/>
      <c r="GI533" s="712"/>
      <c r="GJ533" s="712"/>
      <c r="GK533" s="712"/>
      <c r="GL533" s="712"/>
      <c r="GM533" s="712"/>
      <c r="GN533" s="712"/>
      <c r="GO533" s="712"/>
      <c r="GP533" s="712"/>
      <c r="GQ533" s="712"/>
      <c r="GR533" s="712"/>
      <c r="GS533" s="712"/>
      <c r="GT533" s="712"/>
      <c r="GU533" s="712"/>
      <c r="GV533" s="712"/>
      <c r="GW533" s="712"/>
      <c r="GX533" s="712"/>
      <c r="GY533" s="712"/>
      <c r="GZ533" s="712"/>
      <c r="HA533" s="712"/>
      <c r="HB533" s="712"/>
      <c r="HC533" s="712"/>
    </row>
    <row r="534" spans="1:211">
      <c r="A534" s="707"/>
      <c r="G534" s="712"/>
      <c r="H534" s="712"/>
      <c r="I534" s="712"/>
      <c r="J534" s="712"/>
      <c r="K534" s="712"/>
      <c r="L534" s="712"/>
      <c r="M534" s="712"/>
      <c r="N534" s="712"/>
      <c r="O534" s="712"/>
      <c r="P534" s="712"/>
      <c r="Q534" s="712"/>
      <c r="R534" s="712"/>
      <c r="S534" s="712"/>
      <c r="T534" s="712"/>
      <c r="U534" s="712"/>
      <c r="V534" s="712"/>
      <c r="W534" s="712"/>
      <c r="X534" s="712"/>
      <c r="Y534" s="712"/>
      <c r="Z534" s="712"/>
      <c r="AA534" s="712"/>
      <c r="AB534" s="712"/>
      <c r="AC534" s="712"/>
      <c r="AD534" s="712"/>
      <c r="AE534" s="712"/>
      <c r="AF534" s="712"/>
      <c r="AG534" s="712"/>
      <c r="AH534" s="712"/>
      <c r="AI534" s="712"/>
      <c r="AJ534" s="712"/>
      <c r="AK534" s="712"/>
      <c r="AL534" s="712"/>
      <c r="AM534" s="712"/>
      <c r="AN534" s="712"/>
      <c r="AO534" s="712"/>
      <c r="AP534" s="712"/>
      <c r="AQ534" s="712"/>
      <c r="AR534" s="712"/>
      <c r="AS534" s="712"/>
      <c r="AT534" s="712"/>
      <c r="AU534" s="712"/>
      <c r="AV534" s="712"/>
      <c r="AW534" s="712"/>
      <c r="AX534" s="712"/>
      <c r="AY534" s="712"/>
      <c r="AZ534" s="712"/>
      <c r="BA534" s="712"/>
      <c r="BB534" s="712"/>
      <c r="BC534" s="712"/>
      <c r="BD534" s="712"/>
      <c r="BE534" s="712"/>
      <c r="BF534" s="712"/>
      <c r="BG534" s="712"/>
      <c r="BH534" s="712"/>
      <c r="BI534" s="712"/>
      <c r="BJ534" s="712"/>
      <c r="BK534" s="712"/>
      <c r="BL534" s="712"/>
      <c r="BM534" s="712"/>
      <c r="BN534" s="712"/>
      <c r="BO534" s="712"/>
      <c r="BP534" s="712"/>
      <c r="BQ534" s="712"/>
      <c r="BR534" s="712"/>
      <c r="BS534" s="712"/>
      <c r="BT534" s="712"/>
      <c r="BU534" s="712"/>
      <c r="BV534" s="712"/>
      <c r="BW534" s="712"/>
      <c r="BX534" s="712"/>
      <c r="BY534" s="712"/>
      <c r="BZ534" s="712"/>
      <c r="CA534" s="712"/>
      <c r="CB534" s="712"/>
      <c r="CC534" s="712"/>
      <c r="CD534" s="712"/>
      <c r="CE534" s="712"/>
      <c r="CF534" s="712"/>
      <c r="CG534" s="712"/>
      <c r="CH534" s="712"/>
      <c r="CI534" s="712"/>
      <c r="CJ534" s="712"/>
      <c r="CK534" s="712"/>
      <c r="CL534" s="712"/>
      <c r="CM534" s="712"/>
      <c r="CN534" s="712"/>
      <c r="CO534" s="712"/>
      <c r="CP534" s="712"/>
      <c r="CQ534" s="712"/>
      <c r="CR534" s="712"/>
      <c r="CS534" s="712"/>
      <c r="CT534" s="712"/>
      <c r="CU534" s="712"/>
      <c r="CV534" s="712"/>
      <c r="CW534" s="712"/>
      <c r="CX534" s="712"/>
      <c r="CY534" s="712"/>
      <c r="CZ534" s="712"/>
      <c r="DA534" s="712"/>
      <c r="DB534" s="712"/>
      <c r="DC534" s="712"/>
      <c r="DD534" s="712"/>
      <c r="DE534" s="712"/>
      <c r="DF534" s="712"/>
      <c r="DG534" s="712"/>
      <c r="DH534" s="712"/>
      <c r="DI534" s="712"/>
      <c r="DJ534" s="712"/>
      <c r="DK534" s="712"/>
      <c r="DL534" s="712"/>
      <c r="DM534" s="712"/>
      <c r="DN534" s="712"/>
      <c r="DO534" s="712"/>
      <c r="DP534" s="712"/>
      <c r="DQ534" s="712"/>
      <c r="DR534" s="712"/>
      <c r="DS534" s="712"/>
      <c r="DT534" s="712"/>
      <c r="DU534" s="712"/>
      <c r="DV534" s="712"/>
      <c r="DW534" s="712"/>
      <c r="DX534" s="712"/>
      <c r="DY534" s="712"/>
      <c r="DZ534" s="712"/>
      <c r="EA534" s="712"/>
      <c r="EB534" s="712"/>
      <c r="EC534" s="712"/>
      <c r="ED534" s="712"/>
      <c r="EE534" s="712"/>
      <c r="EF534" s="712"/>
      <c r="EG534" s="712"/>
      <c r="EH534" s="712"/>
      <c r="EI534" s="712"/>
      <c r="EJ534" s="712"/>
      <c r="EK534" s="712"/>
      <c r="EL534" s="712"/>
      <c r="EM534" s="712"/>
      <c r="EN534" s="712"/>
      <c r="EO534" s="712"/>
      <c r="EP534" s="712"/>
      <c r="EQ534" s="712"/>
      <c r="ER534" s="712"/>
      <c r="ES534" s="712"/>
      <c r="ET534" s="794"/>
      <c r="EU534" s="794"/>
      <c r="EV534" s="794"/>
      <c r="EW534" s="794"/>
      <c r="EX534" s="794"/>
      <c r="EY534" s="794"/>
      <c r="EZ534" s="794"/>
      <c r="FA534" s="712"/>
      <c r="FB534" s="712"/>
      <c r="FC534" s="712"/>
      <c r="FD534" s="712"/>
      <c r="FE534" s="712"/>
      <c r="FF534" s="712"/>
      <c r="FG534" s="712"/>
      <c r="FH534" s="712"/>
      <c r="FI534" s="712"/>
      <c r="FJ534" s="712"/>
      <c r="FK534" s="712"/>
      <c r="FL534" s="712"/>
      <c r="FM534" s="712"/>
      <c r="FN534" s="712"/>
      <c r="FO534" s="712"/>
      <c r="FP534" s="712"/>
      <c r="FQ534" s="712"/>
      <c r="FR534" s="712"/>
      <c r="FS534" s="712"/>
      <c r="FT534" s="712"/>
      <c r="FU534" s="712"/>
      <c r="FV534" s="712"/>
      <c r="FW534" s="712"/>
      <c r="FX534" s="712"/>
      <c r="FZ534" s="712"/>
      <c r="GA534" s="712"/>
      <c r="GB534" s="712"/>
      <c r="GC534" s="712"/>
      <c r="GD534" s="712"/>
      <c r="GE534" s="712"/>
      <c r="GF534" s="712"/>
      <c r="GG534" s="712"/>
      <c r="GH534" s="712"/>
      <c r="GI534" s="712"/>
      <c r="GJ534" s="712"/>
      <c r="GK534" s="712"/>
      <c r="GL534" s="712"/>
      <c r="GM534" s="712"/>
      <c r="GN534" s="712"/>
      <c r="GO534" s="712"/>
      <c r="GP534" s="712"/>
      <c r="GQ534" s="712"/>
      <c r="GR534" s="712"/>
      <c r="GS534" s="712"/>
      <c r="GT534" s="712"/>
      <c r="GU534" s="712"/>
      <c r="GV534" s="712"/>
      <c r="GW534" s="712"/>
      <c r="GX534" s="712"/>
      <c r="GY534" s="712"/>
      <c r="GZ534" s="712"/>
      <c r="HA534" s="712"/>
      <c r="HB534" s="712"/>
      <c r="HC534" s="712"/>
    </row>
    <row r="535" spans="1:211">
      <c r="A535" s="707"/>
      <c r="G535" s="712"/>
      <c r="H535" s="712"/>
      <c r="I535" s="712"/>
      <c r="J535" s="712"/>
      <c r="K535" s="712"/>
      <c r="L535" s="712"/>
      <c r="M535" s="712"/>
      <c r="N535" s="712"/>
      <c r="O535" s="712"/>
      <c r="P535" s="712"/>
      <c r="Q535" s="712"/>
      <c r="R535" s="712"/>
      <c r="S535" s="712"/>
      <c r="T535" s="712"/>
      <c r="U535" s="712"/>
      <c r="V535" s="712"/>
      <c r="W535" s="712"/>
      <c r="X535" s="712"/>
      <c r="Y535" s="712"/>
      <c r="Z535" s="712"/>
      <c r="AA535" s="712"/>
      <c r="AB535" s="712"/>
      <c r="AC535" s="712"/>
      <c r="AD535" s="712"/>
      <c r="AE535" s="712"/>
      <c r="AF535" s="712"/>
      <c r="AG535" s="712"/>
      <c r="AH535" s="712"/>
      <c r="AI535" s="712"/>
      <c r="AJ535" s="712"/>
      <c r="AK535" s="712"/>
      <c r="AL535" s="712"/>
      <c r="AM535" s="712"/>
      <c r="AN535" s="712"/>
      <c r="AO535" s="712"/>
      <c r="AP535" s="712"/>
      <c r="AQ535" s="712"/>
      <c r="AR535" s="712"/>
      <c r="AS535" s="712"/>
      <c r="AT535" s="712"/>
      <c r="AU535" s="712"/>
      <c r="AV535" s="712"/>
      <c r="AW535" s="712"/>
      <c r="AX535" s="712"/>
      <c r="AY535" s="712"/>
      <c r="AZ535" s="712"/>
      <c r="BA535" s="712"/>
      <c r="BB535" s="712"/>
      <c r="BC535" s="712"/>
      <c r="BD535" s="712"/>
      <c r="BE535" s="712"/>
      <c r="BF535" s="712"/>
      <c r="BG535" s="712"/>
      <c r="BH535" s="712"/>
      <c r="BI535" s="712"/>
      <c r="BJ535" s="712"/>
      <c r="BK535" s="712"/>
      <c r="BL535" s="712"/>
      <c r="BM535" s="712"/>
      <c r="BN535" s="712"/>
      <c r="BO535" s="712"/>
      <c r="BP535" s="712"/>
      <c r="BQ535" s="712"/>
      <c r="BR535" s="712"/>
      <c r="BS535" s="712"/>
      <c r="BT535" s="712"/>
      <c r="BU535" s="712"/>
      <c r="BV535" s="712"/>
      <c r="BW535" s="712"/>
      <c r="BX535" s="712"/>
      <c r="BY535" s="712"/>
      <c r="BZ535" s="712"/>
      <c r="CA535" s="712"/>
      <c r="CB535" s="712"/>
      <c r="CC535" s="712"/>
      <c r="CD535" s="712"/>
      <c r="CE535" s="712"/>
      <c r="CF535" s="712"/>
      <c r="CG535" s="712"/>
      <c r="CH535" s="712"/>
      <c r="CI535" s="712"/>
      <c r="CJ535" s="712"/>
      <c r="CK535" s="712"/>
      <c r="CL535" s="712"/>
      <c r="CM535" s="712"/>
      <c r="CN535" s="712"/>
      <c r="CO535" s="712"/>
      <c r="CP535" s="712"/>
      <c r="CQ535" s="712"/>
      <c r="CR535" s="712"/>
      <c r="CS535" s="712"/>
      <c r="CT535" s="712"/>
      <c r="CU535" s="712"/>
      <c r="CV535" s="712"/>
      <c r="CW535" s="712"/>
      <c r="CX535" s="712"/>
      <c r="CY535" s="712"/>
      <c r="CZ535" s="712"/>
      <c r="DA535" s="712"/>
      <c r="DB535" s="712"/>
      <c r="DC535" s="712"/>
      <c r="DD535" s="712"/>
      <c r="DE535" s="712"/>
      <c r="DF535" s="712"/>
      <c r="DG535" s="712"/>
      <c r="DH535" s="712"/>
      <c r="DI535" s="712"/>
      <c r="DJ535" s="712"/>
      <c r="DK535" s="712"/>
      <c r="DL535" s="712"/>
      <c r="DM535" s="712"/>
      <c r="DN535" s="712"/>
      <c r="DO535" s="712"/>
      <c r="DP535" s="712"/>
      <c r="DQ535" s="712"/>
      <c r="DR535" s="712"/>
      <c r="DS535" s="712"/>
      <c r="DT535" s="712"/>
      <c r="DU535" s="712"/>
      <c r="DV535" s="712"/>
      <c r="DW535" s="712"/>
      <c r="DX535" s="712"/>
      <c r="DY535" s="712"/>
      <c r="DZ535" s="712"/>
      <c r="EA535" s="712"/>
      <c r="EB535" s="712"/>
      <c r="EC535" s="712"/>
      <c r="ED535" s="712"/>
      <c r="EE535" s="712"/>
      <c r="EF535" s="712"/>
      <c r="EG535" s="712"/>
      <c r="EH535" s="712"/>
      <c r="EI535" s="712"/>
      <c r="EJ535" s="712"/>
      <c r="EK535" s="712"/>
      <c r="EL535" s="712"/>
      <c r="EM535" s="712"/>
      <c r="EN535" s="712"/>
      <c r="EO535" s="712"/>
      <c r="EP535" s="712"/>
      <c r="EQ535" s="712"/>
      <c r="ER535" s="712"/>
      <c r="ES535" s="712"/>
      <c r="ET535" s="794"/>
      <c r="EU535" s="794"/>
      <c r="EV535" s="794"/>
      <c r="EW535" s="794"/>
      <c r="EX535" s="794"/>
      <c r="EY535" s="794"/>
      <c r="EZ535" s="794"/>
      <c r="FA535" s="712"/>
      <c r="FB535" s="712"/>
      <c r="FC535" s="712"/>
      <c r="FD535" s="712"/>
      <c r="FE535" s="712"/>
      <c r="FF535" s="712"/>
      <c r="FG535" s="712"/>
      <c r="FH535" s="712"/>
      <c r="FI535" s="712"/>
      <c r="FJ535" s="712"/>
      <c r="FK535" s="712"/>
      <c r="FL535" s="712"/>
      <c r="FM535" s="712"/>
      <c r="FN535" s="712"/>
      <c r="FO535" s="712"/>
      <c r="FP535" s="712"/>
      <c r="FQ535" s="712"/>
      <c r="FR535" s="712"/>
      <c r="FS535" s="712"/>
      <c r="FT535" s="712"/>
      <c r="FU535" s="712"/>
      <c r="FV535" s="712"/>
      <c r="FW535" s="712"/>
      <c r="FX535" s="712"/>
      <c r="FZ535" s="712"/>
      <c r="GA535" s="712"/>
      <c r="GB535" s="712"/>
      <c r="GC535" s="712"/>
      <c r="GD535" s="712"/>
      <c r="GE535" s="712"/>
      <c r="GF535" s="712"/>
      <c r="GG535" s="712"/>
      <c r="GH535" s="712"/>
      <c r="GI535" s="712"/>
      <c r="GJ535" s="712"/>
      <c r="GK535" s="712"/>
      <c r="GL535" s="712"/>
      <c r="GM535" s="712"/>
      <c r="GN535" s="712"/>
      <c r="GO535" s="712"/>
      <c r="GP535" s="712"/>
      <c r="GQ535" s="712"/>
      <c r="GR535" s="712"/>
      <c r="GS535" s="712"/>
      <c r="GT535" s="712"/>
      <c r="GU535" s="712"/>
      <c r="GV535" s="712"/>
      <c r="GW535" s="712"/>
      <c r="GX535" s="712"/>
      <c r="GY535" s="712"/>
      <c r="GZ535" s="712"/>
      <c r="HA535" s="712"/>
      <c r="HB535" s="712"/>
      <c r="HC535" s="712"/>
    </row>
    <row r="536" spans="1:211">
      <c r="A536" s="707"/>
      <c r="G536" s="712"/>
      <c r="H536" s="712"/>
      <c r="I536" s="712"/>
      <c r="J536" s="712"/>
      <c r="K536" s="712"/>
      <c r="L536" s="712"/>
      <c r="M536" s="712"/>
      <c r="N536" s="712"/>
      <c r="O536" s="712"/>
      <c r="P536" s="712"/>
      <c r="Q536" s="712"/>
      <c r="R536" s="712"/>
      <c r="S536" s="712"/>
      <c r="T536" s="712"/>
      <c r="U536" s="712"/>
      <c r="V536" s="712"/>
      <c r="W536" s="712"/>
      <c r="X536" s="712"/>
      <c r="Y536" s="712"/>
      <c r="Z536" s="712"/>
      <c r="AA536" s="712"/>
      <c r="AB536" s="712"/>
      <c r="AC536" s="712"/>
      <c r="AD536" s="712"/>
      <c r="AE536" s="712"/>
      <c r="AF536" s="712"/>
      <c r="AG536" s="712"/>
      <c r="AH536" s="712"/>
      <c r="AI536" s="712"/>
      <c r="AJ536" s="712"/>
      <c r="AK536" s="712"/>
      <c r="AL536" s="712"/>
      <c r="AM536" s="712"/>
      <c r="AN536" s="712"/>
      <c r="AO536" s="712"/>
      <c r="AP536" s="712"/>
      <c r="AQ536" s="712"/>
      <c r="AR536" s="712"/>
      <c r="AS536" s="712"/>
      <c r="AT536" s="712"/>
      <c r="AU536" s="712"/>
      <c r="AV536" s="712"/>
      <c r="AW536" s="712"/>
      <c r="AX536" s="712"/>
      <c r="AY536" s="712"/>
      <c r="AZ536" s="712"/>
      <c r="BA536" s="712"/>
      <c r="BB536" s="712"/>
      <c r="BC536" s="712"/>
      <c r="BD536" s="712"/>
      <c r="BE536" s="712"/>
      <c r="BF536" s="712"/>
      <c r="BG536" s="712"/>
      <c r="BH536" s="712"/>
      <c r="BI536" s="712"/>
      <c r="BJ536" s="712"/>
      <c r="BK536" s="712"/>
      <c r="BL536" s="712"/>
      <c r="BM536" s="712"/>
      <c r="BN536" s="712"/>
      <c r="BO536" s="712"/>
      <c r="BP536" s="712"/>
      <c r="BQ536" s="712"/>
      <c r="BR536" s="712"/>
      <c r="BS536" s="712"/>
      <c r="BT536" s="712"/>
      <c r="BU536" s="712"/>
      <c r="BV536" s="712"/>
      <c r="BW536" s="712"/>
      <c r="BX536" s="712"/>
      <c r="BY536" s="712"/>
      <c r="BZ536" s="712"/>
      <c r="CA536" s="712"/>
      <c r="CB536" s="712"/>
      <c r="CC536" s="712"/>
      <c r="CD536" s="712"/>
      <c r="CE536" s="712"/>
      <c r="CF536" s="712"/>
      <c r="CG536" s="712"/>
      <c r="CH536" s="712"/>
      <c r="CI536" s="712"/>
      <c r="CJ536" s="712"/>
      <c r="CK536" s="712"/>
      <c r="CL536" s="712"/>
      <c r="CM536" s="712"/>
      <c r="CN536" s="712"/>
      <c r="CO536" s="712"/>
      <c r="CP536" s="712"/>
      <c r="CQ536" s="712"/>
      <c r="CR536" s="712"/>
      <c r="CS536" s="712"/>
      <c r="CT536" s="712"/>
      <c r="CU536" s="712"/>
      <c r="CV536" s="712"/>
      <c r="CW536" s="712"/>
      <c r="CX536" s="712"/>
      <c r="CY536" s="712"/>
      <c r="CZ536" s="712"/>
      <c r="DA536" s="712"/>
      <c r="DB536" s="712"/>
      <c r="DC536" s="712"/>
      <c r="DD536" s="712"/>
      <c r="DE536" s="712"/>
      <c r="DF536" s="712"/>
      <c r="DG536" s="712"/>
      <c r="DH536" s="712"/>
      <c r="DI536" s="712"/>
      <c r="DJ536" s="712"/>
      <c r="DK536" s="712"/>
      <c r="DL536" s="712"/>
      <c r="DM536" s="712"/>
      <c r="DN536" s="712"/>
      <c r="DO536" s="712"/>
      <c r="DP536" s="712"/>
      <c r="DQ536" s="712"/>
      <c r="DR536" s="712"/>
      <c r="DS536" s="712"/>
      <c r="DT536" s="712"/>
      <c r="DU536" s="712"/>
      <c r="DV536" s="712"/>
      <c r="DW536" s="712"/>
      <c r="DX536" s="712"/>
      <c r="DY536" s="712"/>
      <c r="DZ536" s="712"/>
      <c r="EA536" s="712"/>
      <c r="EB536" s="712"/>
      <c r="EC536" s="712"/>
      <c r="ED536" s="712"/>
      <c r="EE536" s="712"/>
      <c r="EF536" s="712"/>
      <c r="EG536" s="712"/>
      <c r="EH536" s="712"/>
      <c r="EI536" s="712"/>
      <c r="EJ536" s="712"/>
      <c r="EK536" s="712"/>
      <c r="EL536" s="712"/>
      <c r="EM536" s="712"/>
      <c r="EN536" s="712"/>
      <c r="EO536" s="712"/>
      <c r="EP536" s="712"/>
      <c r="EQ536" s="712"/>
      <c r="ER536" s="712"/>
      <c r="ES536" s="712"/>
      <c r="ET536" s="794"/>
      <c r="EU536" s="794"/>
      <c r="EV536" s="794"/>
      <c r="EW536" s="794"/>
      <c r="EX536" s="794"/>
      <c r="EY536" s="794"/>
      <c r="EZ536" s="794"/>
      <c r="FA536" s="712"/>
      <c r="FB536" s="712"/>
      <c r="FC536" s="712"/>
      <c r="FD536" s="712"/>
      <c r="FE536" s="712"/>
      <c r="FF536" s="712"/>
      <c r="FG536" s="712"/>
      <c r="FH536" s="712"/>
      <c r="FI536" s="712"/>
      <c r="FJ536" s="712"/>
      <c r="FK536" s="712"/>
      <c r="FL536" s="712"/>
      <c r="FM536" s="712"/>
      <c r="FN536" s="712"/>
      <c r="FO536" s="712"/>
      <c r="FP536" s="712"/>
      <c r="FQ536" s="712"/>
      <c r="FR536" s="712"/>
      <c r="FS536" s="712"/>
      <c r="FT536" s="712"/>
      <c r="FU536" s="712"/>
      <c r="FV536" s="712"/>
      <c r="FW536" s="712"/>
      <c r="FX536" s="712"/>
      <c r="FZ536" s="712"/>
      <c r="GA536" s="712"/>
      <c r="GB536" s="712"/>
      <c r="GC536" s="712"/>
      <c r="GD536" s="712"/>
      <c r="GE536" s="712"/>
      <c r="GF536" s="712"/>
      <c r="GG536" s="712"/>
      <c r="GH536" s="712"/>
      <c r="GI536" s="712"/>
      <c r="GJ536" s="712"/>
      <c r="GK536" s="712"/>
      <c r="GL536" s="712"/>
      <c r="GM536" s="712"/>
      <c r="GN536" s="712"/>
      <c r="GO536" s="712"/>
      <c r="GP536" s="712"/>
      <c r="GQ536" s="712"/>
      <c r="GR536" s="712"/>
      <c r="GS536" s="712"/>
      <c r="GT536" s="712"/>
      <c r="GU536" s="712"/>
      <c r="GV536" s="712"/>
      <c r="GW536" s="712"/>
      <c r="GX536" s="712"/>
      <c r="GY536" s="712"/>
      <c r="GZ536" s="712"/>
      <c r="HA536" s="712"/>
      <c r="HB536" s="712"/>
      <c r="HC536" s="712"/>
    </row>
    <row r="537" spans="1:211">
      <c r="A537" s="707"/>
      <c r="G537" s="712"/>
      <c r="H537" s="712"/>
      <c r="I537" s="712"/>
      <c r="J537" s="712"/>
      <c r="K537" s="712"/>
      <c r="L537" s="712"/>
      <c r="M537" s="712"/>
      <c r="N537" s="712"/>
      <c r="O537" s="712"/>
      <c r="P537" s="712"/>
      <c r="Q537" s="712"/>
      <c r="R537" s="712"/>
      <c r="S537" s="712"/>
      <c r="T537" s="712"/>
      <c r="U537" s="712"/>
      <c r="V537" s="712"/>
      <c r="W537" s="712"/>
      <c r="X537" s="712"/>
      <c r="Y537" s="712"/>
      <c r="Z537" s="712"/>
      <c r="AA537" s="712"/>
      <c r="AB537" s="712"/>
      <c r="AC537" s="712"/>
      <c r="AD537" s="712"/>
      <c r="AE537" s="712"/>
      <c r="AF537" s="712"/>
      <c r="AG537" s="712"/>
      <c r="AH537" s="712"/>
      <c r="AI537" s="712"/>
      <c r="AJ537" s="712"/>
      <c r="AK537" s="712"/>
      <c r="AL537" s="712"/>
      <c r="AM537" s="712"/>
      <c r="AN537" s="712"/>
      <c r="AO537" s="712"/>
      <c r="AP537" s="712"/>
      <c r="AQ537" s="712"/>
      <c r="AR537" s="712"/>
      <c r="AS537" s="712"/>
      <c r="AT537" s="712"/>
      <c r="AU537" s="712"/>
      <c r="AV537" s="712"/>
      <c r="AW537" s="712"/>
      <c r="AX537" s="712"/>
      <c r="AY537" s="712"/>
      <c r="AZ537" s="712"/>
      <c r="BA537" s="712"/>
      <c r="BB537" s="712"/>
      <c r="BC537" s="712"/>
      <c r="BD537" s="712"/>
      <c r="BE537" s="712"/>
      <c r="BF537" s="712"/>
      <c r="BG537" s="712"/>
      <c r="BH537" s="712"/>
      <c r="BI537" s="712"/>
      <c r="BJ537" s="712"/>
      <c r="BK537" s="712"/>
      <c r="BL537" s="712"/>
      <c r="BM537" s="712"/>
      <c r="BN537" s="712"/>
      <c r="BO537" s="712"/>
      <c r="BP537" s="712"/>
      <c r="BQ537" s="712"/>
      <c r="BR537" s="712"/>
      <c r="BS537" s="712"/>
      <c r="BT537" s="712"/>
      <c r="BU537" s="712"/>
      <c r="BV537" s="712"/>
      <c r="BW537" s="712"/>
      <c r="BX537" s="712"/>
      <c r="BY537" s="712"/>
      <c r="BZ537" s="712"/>
      <c r="CA537" s="712"/>
      <c r="CB537" s="712"/>
      <c r="CC537" s="712"/>
      <c r="CD537" s="712"/>
      <c r="CE537" s="712"/>
      <c r="CF537" s="712"/>
      <c r="CG537" s="712"/>
      <c r="CH537" s="712"/>
      <c r="CI537" s="712"/>
      <c r="CJ537" s="712"/>
      <c r="CK537" s="712"/>
      <c r="CL537" s="712"/>
      <c r="CM537" s="712"/>
      <c r="CN537" s="712"/>
      <c r="CO537" s="712"/>
      <c r="CP537" s="712"/>
      <c r="CQ537" s="712"/>
      <c r="CR537" s="712"/>
      <c r="CS537" s="712"/>
      <c r="CT537" s="712"/>
      <c r="CU537" s="712"/>
      <c r="CV537" s="712"/>
      <c r="CW537" s="712"/>
      <c r="CX537" s="712"/>
      <c r="CY537" s="712"/>
      <c r="CZ537" s="712"/>
      <c r="DA537" s="712"/>
      <c r="DB537" s="712"/>
      <c r="DC537" s="712"/>
      <c r="DD537" s="712"/>
      <c r="DE537" s="712"/>
      <c r="DF537" s="712"/>
      <c r="DG537" s="712"/>
      <c r="DH537" s="712"/>
      <c r="DI537" s="712"/>
      <c r="DJ537" s="712"/>
      <c r="DK537" s="712"/>
      <c r="DL537" s="712"/>
      <c r="DM537" s="712"/>
      <c r="DN537" s="712"/>
      <c r="DO537" s="712"/>
      <c r="DP537" s="712"/>
      <c r="DQ537" s="712"/>
      <c r="DR537" s="712"/>
      <c r="DS537" s="712"/>
      <c r="DT537" s="712"/>
      <c r="DU537" s="712"/>
      <c r="DV537" s="712"/>
      <c r="DW537" s="712"/>
      <c r="DX537" s="712"/>
      <c r="DY537" s="712"/>
      <c r="DZ537" s="712"/>
      <c r="EA537" s="712"/>
      <c r="EB537" s="712"/>
      <c r="EC537" s="712"/>
      <c r="ED537" s="712"/>
      <c r="EE537" s="712"/>
      <c r="EF537" s="712"/>
      <c r="EG537" s="712"/>
      <c r="EH537" s="712"/>
      <c r="EI537" s="712"/>
      <c r="EJ537" s="712"/>
      <c r="EK537" s="712"/>
      <c r="EL537" s="712"/>
      <c r="EM537" s="712"/>
      <c r="EN537" s="712"/>
      <c r="EO537" s="712"/>
      <c r="EP537" s="712"/>
      <c r="EQ537" s="712"/>
      <c r="ER537" s="712"/>
      <c r="ES537" s="712"/>
      <c r="ET537" s="794"/>
      <c r="EU537" s="794"/>
      <c r="EV537" s="794"/>
      <c r="EW537" s="794"/>
      <c r="EX537" s="794"/>
      <c r="EY537" s="794"/>
      <c r="EZ537" s="794"/>
      <c r="FA537" s="712"/>
      <c r="FB537" s="712"/>
      <c r="FC537" s="712"/>
      <c r="FD537" s="712"/>
      <c r="FE537" s="712"/>
      <c r="FF537" s="712"/>
      <c r="FG537" s="712"/>
      <c r="FH537" s="712"/>
      <c r="FI537" s="712"/>
      <c r="FJ537" s="712"/>
      <c r="FK537" s="712"/>
      <c r="FL537" s="712"/>
      <c r="FM537" s="712"/>
      <c r="FN537" s="712"/>
      <c r="FO537" s="712"/>
      <c r="FP537" s="712"/>
      <c r="FQ537" s="712"/>
      <c r="FR537" s="712"/>
      <c r="FS537" s="712"/>
      <c r="FT537" s="712"/>
      <c r="FU537" s="712"/>
      <c r="FV537" s="712"/>
      <c r="FW537" s="712"/>
      <c r="FX537" s="712"/>
      <c r="FZ537" s="712"/>
      <c r="GA537" s="712"/>
      <c r="GB537" s="712"/>
      <c r="GC537" s="712"/>
      <c r="GD537" s="712"/>
      <c r="GE537" s="712"/>
      <c r="GF537" s="712"/>
      <c r="GG537" s="712"/>
      <c r="GH537" s="712"/>
      <c r="GI537" s="712"/>
      <c r="GJ537" s="712"/>
      <c r="GK537" s="712"/>
      <c r="GL537" s="712"/>
      <c r="GM537" s="712"/>
      <c r="GN537" s="712"/>
      <c r="GO537" s="712"/>
      <c r="GP537" s="712"/>
      <c r="GQ537" s="712"/>
      <c r="GR537" s="712"/>
      <c r="GS537" s="712"/>
      <c r="GT537" s="712"/>
      <c r="GU537" s="712"/>
      <c r="GV537" s="712"/>
      <c r="GW537" s="712"/>
      <c r="GX537" s="712"/>
      <c r="GY537" s="712"/>
      <c r="GZ537" s="712"/>
      <c r="HA537" s="712"/>
      <c r="HB537" s="712"/>
      <c r="HC537" s="712"/>
    </row>
    <row r="538" spans="1:211">
      <c r="A538" s="707"/>
      <c r="G538" s="712"/>
      <c r="H538" s="712"/>
      <c r="I538" s="712"/>
      <c r="J538" s="712"/>
      <c r="K538" s="712"/>
      <c r="L538" s="712"/>
      <c r="M538" s="712"/>
      <c r="N538" s="712"/>
      <c r="O538" s="712"/>
      <c r="P538" s="712"/>
      <c r="Q538" s="712"/>
      <c r="R538" s="712"/>
      <c r="S538" s="712"/>
      <c r="T538" s="712"/>
      <c r="U538" s="712"/>
      <c r="V538" s="712"/>
      <c r="W538" s="712"/>
      <c r="X538" s="712"/>
      <c r="Y538" s="712"/>
      <c r="Z538" s="712"/>
      <c r="AA538" s="712"/>
      <c r="AB538" s="712"/>
      <c r="AC538" s="712"/>
      <c r="AD538" s="712"/>
      <c r="AE538" s="712"/>
      <c r="AF538" s="712"/>
      <c r="AG538" s="712"/>
      <c r="AH538" s="712"/>
      <c r="AI538" s="712"/>
      <c r="AJ538" s="712"/>
      <c r="AK538" s="712"/>
      <c r="AL538" s="712"/>
      <c r="AM538" s="712"/>
      <c r="AN538" s="712"/>
      <c r="AO538" s="712"/>
      <c r="AP538" s="712"/>
      <c r="AQ538" s="712"/>
      <c r="AR538" s="712"/>
      <c r="AS538" s="712"/>
      <c r="AT538" s="712"/>
      <c r="AU538" s="712"/>
      <c r="AV538" s="712"/>
      <c r="AW538" s="712"/>
      <c r="AX538" s="712"/>
      <c r="AY538" s="712"/>
      <c r="AZ538" s="712"/>
      <c r="BA538" s="712"/>
      <c r="BB538" s="712"/>
      <c r="BC538" s="712"/>
      <c r="BD538" s="712"/>
      <c r="BE538" s="712"/>
      <c r="BF538" s="712"/>
      <c r="BG538" s="712"/>
      <c r="BH538" s="712"/>
      <c r="BI538" s="712"/>
      <c r="BJ538" s="712"/>
      <c r="BK538" s="712"/>
      <c r="BL538" s="712"/>
      <c r="BM538" s="712"/>
      <c r="BN538" s="712"/>
      <c r="BO538" s="712"/>
      <c r="BP538" s="712"/>
      <c r="BQ538" s="712"/>
      <c r="BR538" s="712"/>
      <c r="BS538" s="712"/>
      <c r="BT538" s="712"/>
      <c r="BU538" s="712"/>
      <c r="BV538" s="712"/>
      <c r="BW538" s="712"/>
      <c r="BX538" s="712"/>
      <c r="BY538" s="712"/>
      <c r="BZ538" s="712"/>
      <c r="CA538" s="712"/>
      <c r="CB538" s="712"/>
      <c r="CC538" s="712"/>
      <c r="CD538" s="712"/>
      <c r="CE538" s="712"/>
      <c r="CF538" s="712"/>
      <c r="CG538" s="712"/>
      <c r="CH538" s="712"/>
      <c r="CI538" s="712"/>
      <c r="CJ538" s="712"/>
      <c r="CK538" s="712"/>
      <c r="CL538" s="712"/>
      <c r="CM538" s="712"/>
      <c r="CN538" s="712"/>
      <c r="CO538" s="712"/>
      <c r="CP538" s="712"/>
      <c r="CQ538" s="712"/>
      <c r="CR538" s="712"/>
      <c r="CS538" s="712"/>
      <c r="CT538" s="712"/>
      <c r="CU538" s="712"/>
      <c r="CV538" s="712"/>
      <c r="CW538" s="712"/>
      <c r="CX538" s="712"/>
      <c r="CY538" s="712"/>
      <c r="CZ538" s="712"/>
      <c r="DA538" s="712"/>
      <c r="DB538" s="712"/>
      <c r="DC538" s="712"/>
      <c r="DD538" s="712"/>
      <c r="DE538" s="712"/>
      <c r="DF538" s="712"/>
      <c r="DG538" s="712"/>
      <c r="DH538" s="712"/>
      <c r="DI538" s="712"/>
      <c r="DJ538" s="712"/>
      <c r="DK538" s="712"/>
      <c r="DL538" s="712"/>
      <c r="DM538" s="712"/>
      <c r="DN538" s="712"/>
      <c r="DO538" s="712"/>
      <c r="DP538" s="712"/>
      <c r="DQ538" s="712"/>
      <c r="DR538" s="712"/>
      <c r="DS538" s="712"/>
      <c r="DT538" s="712"/>
      <c r="DU538" s="712"/>
      <c r="DV538" s="712"/>
      <c r="DW538" s="712"/>
      <c r="DX538" s="712"/>
      <c r="DY538" s="712"/>
      <c r="DZ538" s="712"/>
      <c r="EA538" s="712"/>
      <c r="EB538" s="712"/>
      <c r="EC538" s="712"/>
      <c r="ED538" s="712"/>
      <c r="EE538" s="712"/>
      <c r="EF538" s="712"/>
      <c r="EG538" s="712"/>
      <c r="EH538" s="712"/>
      <c r="EI538" s="712"/>
      <c r="EJ538" s="712"/>
      <c r="EK538" s="712"/>
      <c r="EL538" s="712"/>
      <c r="EM538" s="712"/>
      <c r="EN538" s="712"/>
      <c r="EO538" s="712"/>
      <c r="EP538" s="712"/>
      <c r="EQ538" s="712"/>
      <c r="ER538" s="712"/>
      <c r="ES538" s="712"/>
      <c r="ET538" s="794"/>
      <c r="EU538" s="794"/>
      <c r="EV538" s="794"/>
      <c r="EW538" s="794"/>
      <c r="EX538" s="794"/>
      <c r="EY538" s="794"/>
      <c r="EZ538" s="794"/>
      <c r="FA538" s="712"/>
      <c r="FB538" s="712"/>
      <c r="FC538" s="712"/>
      <c r="FD538" s="712"/>
      <c r="FE538" s="712"/>
      <c r="FF538" s="712"/>
      <c r="FG538" s="712"/>
      <c r="FH538" s="712"/>
      <c r="FI538" s="712"/>
      <c r="FJ538" s="712"/>
      <c r="FK538" s="712"/>
      <c r="FL538" s="712"/>
      <c r="FM538" s="712"/>
      <c r="FN538" s="712"/>
      <c r="FO538" s="712"/>
      <c r="FP538" s="712"/>
      <c r="FQ538" s="712"/>
      <c r="FR538" s="712"/>
      <c r="FS538" s="712"/>
      <c r="FT538" s="712"/>
      <c r="FU538" s="712"/>
      <c r="FV538" s="712"/>
      <c r="FW538" s="712"/>
      <c r="FX538" s="712"/>
      <c r="FZ538" s="712"/>
      <c r="GA538" s="712"/>
      <c r="GB538" s="712"/>
      <c r="GC538" s="712"/>
      <c r="GD538" s="712"/>
      <c r="GE538" s="712"/>
      <c r="GF538" s="712"/>
      <c r="GG538" s="712"/>
      <c r="GH538" s="712"/>
      <c r="GI538" s="712"/>
      <c r="GJ538" s="712"/>
      <c r="GK538" s="712"/>
      <c r="GL538" s="712"/>
      <c r="GM538" s="712"/>
      <c r="GN538" s="712"/>
      <c r="GO538" s="712"/>
      <c r="GP538" s="712"/>
      <c r="GQ538" s="712"/>
      <c r="GR538" s="712"/>
      <c r="GS538" s="712"/>
      <c r="GT538" s="712"/>
      <c r="GU538" s="712"/>
      <c r="GV538" s="712"/>
      <c r="GW538" s="712"/>
      <c r="GX538" s="712"/>
      <c r="GY538" s="712"/>
      <c r="GZ538" s="712"/>
      <c r="HA538" s="712"/>
      <c r="HB538" s="712"/>
      <c r="HC538" s="712"/>
    </row>
    <row r="539" spans="1:211">
      <c r="A539" s="707"/>
      <c r="G539" s="712"/>
      <c r="H539" s="712"/>
      <c r="I539" s="712"/>
      <c r="J539" s="712"/>
      <c r="K539" s="712"/>
      <c r="L539" s="712"/>
      <c r="M539" s="712"/>
      <c r="N539" s="712"/>
      <c r="O539" s="712"/>
      <c r="P539" s="712"/>
      <c r="Q539" s="712"/>
      <c r="R539" s="712"/>
      <c r="S539" s="712"/>
      <c r="T539" s="712"/>
      <c r="U539" s="712"/>
      <c r="V539" s="712"/>
      <c r="W539" s="712"/>
      <c r="X539" s="712"/>
      <c r="Y539" s="712"/>
      <c r="Z539" s="712"/>
      <c r="AA539" s="712"/>
      <c r="AB539" s="712"/>
      <c r="AC539" s="712"/>
      <c r="AD539" s="712"/>
      <c r="AE539" s="712"/>
      <c r="AF539" s="712"/>
      <c r="AG539" s="712"/>
      <c r="AH539" s="712"/>
      <c r="AI539" s="712"/>
      <c r="AJ539" s="712"/>
      <c r="AK539" s="712"/>
      <c r="AL539" s="712"/>
      <c r="AM539" s="712"/>
      <c r="AN539" s="712"/>
      <c r="AO539" s="712"/>
      <c r="AP539" s="712"/>
      <c r="AQ539" s="712"/>
      <c r="AR539" s="712"/>
      <c r="AS539" s="712"/>
      <c r="AT539" s="712"/>
      <c r="AU539" s="712"/>
      <c r="AV539" s="712"/>
      <c r="AW539" s="712"/>
      <c r="AX539" s="712"/>
      <c r="AY539" s="712"/>
      <c r="AZ539" s="712"/>
      <c r="BA539" s="712"/>
      <c r="BB539" s="712"/>
      <c r="BC539" s="712"/>
      <c r="BD539" s="712"/>
      <c r="BE539" s="712"/>
      <c r="BF539" s="712"/>
      <c r="BG539" s="712"/>
      <c r="BH539" s="712"/>
      <c r="BI539" s="712"/>
      <c r="BJ539" s="712"/>
      <c r="BK539" s="712"/>
      <c r="BL539" s="712"/>
      <c r="BM539" s="712"/>
      <c r="BN539" s="712"/>
      <c r="BO539" s="712"/>
      <c r="BP539" s="712"/>
      <c r="BQ539" s="712"/>
      <c r="BR539" s="712"/>
      <c r="BS539" s="712"/>
      <c r="BT539" s="712"/>
      <c r="BU539" s="712"/>
      <c r="BV539" s="712"/>
      <c r="BW539" s="712"/>
      <c r="BX539" s="712"/>
      <c r="BY539" s="712"/>
      <c r="BZ539" s="712"/>
      <c r="CA539" s="712"/>
      <c r="CB539" s="712"/>
      <c r="CC539" s="712"/>
      <c r="CD539" s="712"/>
      <c r="CE539" s="712"/>
      <c r="CF539" s="712"/>
      <c r="CG539" s="712"/>
      <c r="CH539" s="712"/>
      <c r="CI539" s="712"/>
      <c r="CJ539" s="712"/>
      <c r="CK539" s="712"/>
      <c r="CL539" s="712"/>
      <c r="CM539" s="712"/>
      <c r="CN539" s="712"/>
      <c r="CO539" s="712"/>
      <c r="CP539" s="712"/>
      <c r="CQ539" s="712"/>
      <c r="CR539" s="712"/>
      <c r="CS539" s="712"/>
      <c r="CT539" s="712"/>
      <c r="CU539" s="712"/>
      <c r="CV539" s="712"/>
      <c r="CW539" s="712"/>
      <c r="CX539" s="712"/>
      <c r="CY539" s="712"/>
      <c r="CZ539" s="712"/>
      <c r="DA539" s="712"/>
      <c r="DB539" s="712"/>
      <c r="DC539" s="712"/>
      <c r="DD539" s="712"/>
      <c r="DE539" s="712"/>
      <c r="DF539" s="712"/>
      <c r="DG539" s="712"/>
      <c r="DH539" s="712"/>
      <c r="DI539" s="712"/>
      <c r="DJ539" s="712"/>
      <c r="DK539" s="712"/>
      <c r="DL539" s="712"/>
      <c r="DM539" s="712"/>
      <c r="DN539" s="712"/>
      <c r="DO539" s="712"/>
      <c r="DP539" s="712"/>
      <c r="DQ539" s="712"/>
      <c r="DR539" s="712"/>
      <c r="DS539" s="712"/>
      <c r="DT539" s="712"/>
      <c r="DU539" s="712"/>
      <c r="DV539" s="712"/>
      <c r="DW539" s="712"/>
      <c r="DX539" s="712"/>
      <c r="DY539" s="712"/>
      <c r="DZ539" s="712"/>
      <c r="EA539" s="712"/>
      <c r="EB539" s="712"/>
      <c r="EC539" s="712"/>
      <c r="ED539" s="712"/>
      <c r="EE539" s="712"/>
      <c r="EF539" s="712"/>
      <c r="EG539" s="712"/>
      <c r="EH539" s="712"/>
      <c r="EI539" s="712"/>
      <c r="EJ539" s="712"/>
      <c r="EK539" s="712"/>
      <c r="EL539" s="712"/>
      <c r="EM539" s="712"/>
      <c r="EN539" s="712"/>
      <c r="EO539" s="712"/>
      <c r="EP539" s="712"/>
      <c r="EQ539" s="712"/>
      <c r="ER539" s="712"/>
      <c r="ES539" s="712"/>
      <c r="ET539" s="794"/>
      <c r="EU539" s="794"/>
      <c r="EV539" s="794"/>
      <c r="EW539" s="794"/>
      <c r="EX539" s="794"/>
      <c r="EY539" s="794"/>
      <c r="EZ539" s="794"/>
      <c r="FA539" s="712"/>
      <c r="FB539" s="712"/>
      <c r="FC539" s="712"/>
      <c r="FD539" s="712"/>
      <c r="FE539" s="712"/>
      <c r="FF539" s="712"/>
      <c r="FG539" s="712"/>
      <c r="FH539" s="712"/>
      <c r="FI539" s="712"/>
      <c r="FJ539" s="712"/>
      <c r="FK539" s="712"/>
      <c r="FL539" s="712"/>
      <c r="FM539" s="712"/>
      <c r="FN539" s="712"/>
      <c r="FO539" s="712"/>
      <c r="FP539" s="712"/>
      <c r="FQ539" s="712"/>
      <c r="FR539" s="712"/>
      <c r="FS539" s="712"/>
      <c r="FT539" s="712"/>
      <c r="FU539" s="712"/>
      <c r="FV539" s="712"/>
      <c r="FW539" s="712"/>
      <c r="FX539" s="712"/>
      <c r="FZ539" s="712"/>
      <c r="GA539" s="712"/>
      <c r="GB539" s="712"/>
      <c r="GC539" s="712"/>
      <c r="GD539" s="712"/>
      <c r="GE539" s="712"/>
      <c r="GF539" s="712"/>
      <c r="GG539" s="712"/>
      <c r="GH539" s="712"/>
      <c r="GI539" s="712"/>
      <c r="GJ539" s="712"/>
      <c r="GK539" s="712"/>
      <c r="GL539" s="712"/>
      <c r="GM539" s="712"/>
      <c r="GN539" s="712"/>
      <c r="GO539" s="712"/>
      <c r="GP539" s="712"/>
      <c r="GQ539" s="712"/>
      <c r="GR539" s="712"/>
      <c r="GS539" s="712"/>
      <c r="GT539" s="712"/>
      <c r="GU539" s="712"/>
      <c r="GV539" s="712"/>
      <c r="GW539" s="712"/>
      <c r="GX539" s="712"/>
      <c r="GY539" s="712"/>
      <c r="GZ539" s="712"/>
      <c r="HA539" s="712"/>
      <c r="HB539" s="712"/>
      <c r="HC539" s="712"/>
    </row>
    <row r="540" spans="1:211">
      <c r="A540" s="707"/>
      <c r="G540" s="712"/>
      <c r="H540" s="712"/>
      <c r="I540" s="712"/>
      <c r="J540" s="712"/>
      <c r="K540" s="712"/>
      <c r="L540" s="712"/>
      <c r="M540" s="712"/>
      <c r="N540" s="712"/>
      <c r="O540" s="712"/>
      <c r="P540" s="712"/>
      <c r="Q540" s="712"/>
      <c r="R540" s="712"/>
      <c r="S540" s="712"/>
      <c r="T540" s="712"/>
      <c r="U540" s="712"/>
      <c r="V540" s="712"/>
      <c r="W540" s="712"/>
      <c r="X540" s="712"/>
      <c r="Y540" s="712"/>
      <c r="Z540" s="712"/>
      <c r="AA540" s="712"/>
      <c r="AB540" s="712"/>
      <c r="AC540" s="712"/>
      <c r="AD540" s="712"/>
      <c r="AE540" s="712"/>
      <c r="AF540" s="712"/>
      <c r="AG540" s="712"/>
      <c r="AH540" s="712"/>
      <c r="AI540" s="712"/>
      <c r="AJ540" s="712"/>
      <c r="AK540" s="712"/>
      <c r="AL540" s="712"/>
      <c r="AM540" s="712"/>
      <c r="AN540" s="712"/>
      <c r="AO540" s="712"/>
      <c r="AP540" s="712"/>
      <c r="AQ540" s="712"/>
      <c r="AR540" s="712"/>
      <c r="AS540" s="712"/>
      <c r="AT540" s="712"/>
      <c r="AU540" s="712"/>
      <c r="AV540" s="712"/>
      <c r="AW540" s="712"/>
      <c r="AX540" s="712"/>
      <c r="AY540" s="712"/>
      <c r="AZ540" s="712"/>
      <c r="BA540" s="712"/>
      <c r="BB540" s="712"/>
      <c r="BC540" s="712"/>
      <c r="BD540" s="712"/>
      <c r="BE540" s="712"/>
      <c r="BF540" s="712"/>
      <c r="BG540" s="712"/>
      <c r="BH540" s="712"/>
      <c r="BI540" s="712"/>
      <c r="BJ540" s="712"/>
      <c r="BK540" s="712"/>
      <c r="BL540" s="712"/>
      <c r="BM540" s="712"/>
      <c r="BN540" s="712"/>
      <c r="BO540" s="712"/>
      <c r="BP540" s="712"/>
      <c r="BQ540" s="712"/>
      <c r="BR540" s="712"/>
      <c r="BS540" s="712"/>
      <c r="BT540" s="712"/>
      <c r="BU540" s="712"/>
      <c r="BV540" s="712"/>
      <c r="BW540" s="712"/>
      <c r="BX540" s="712"/>
      <c r="BY540" s="712"/>
      <c r="BZ540" s="712"/>
      <c r="CA540" s="712"/>
      <c r="CB540" s="712"/>
      <c r="CC540" s="712"/>
      <c r="CD540" s="712"/>
      <c r="CE540" s="712"/>
      <c r="CF540" s="712"/>
      <c r="CG540" s="712"/>
      <c r="CH540" s="712"/>
      <c r="CI540" s="712"/>
      <c r="CJ540" s="712"/>
      <c r="CK540" s="712"/>
      <c r="CL540" s="712"/>
      <c r="CM540" s="712"/>
      <c r="CN540" s="712"/>
      <c r="CO540" s="712"/>
      <c r="CP540" s="712"/>
      <c r="CQ540" s="712"/>
      <c r="CR540" s="712"/>
      <c r="CS540" s="712"/>
      <c r="CT540" s="712"/>
      <c r="CU540" s="712"/>
      <c r="CV540" s="712"/>
      <c r="CW540" s="712"/>
      <c r="CX540" s="712"/>
      <c r="CY540" s="712"/>
      <c r="CZ540" s="712"/>
      <c r="DA540" s="712"/>
      <c r="DB540" s="712"/>
      <c r="DC540" s="712"/>
      <c r="DD540" s="712"/>
      <c r="DE540" s="712"/>
      <c r="DF540" s="712"/>
      <c r="DG540" s="712"/>
      <c r="DH540" s="712"/>
      <c r="DI540" s="712"/>
      <c r="DJ540" s="712"/>
      <c r="DK540" s="712"/>
      <c r="DL540" s="712"/>
      <c r="DM540" s="712"/>
      <c r="DN540" s="712"/>
      <c r="DO540" s="712"/>
      <c r="DP540" s="712"/>
      <c r="DQ540" s="712"/>
      <c r="DR540" s="712"/>
      <c r="DS540" s="712"/>
      <c r="DT540" s="712"/>
      <c r="DU540" s="712"/>
      <c r="DV540" s="712"/>
      <c r="DW540" s="712"/>
      <c r="DX540" s="712"/>
      <c r="DY540" s="712"/>
      <c r="DZ540" s="712"/>
      <c r="EA540" s="712"/>
      <c r="EB540" s="712"/>
      <c r="EC540" s="712"/>
      <c r="ED540" s="712"/>
      <c r="EE540" s="712"/>
      <c r="EF540" s="712"/>
      <c r="EG540" s="712"/>
      <c r="EH540" s="712"/>
      <c r="EI540" s="712"/>
      <c r="EJ540" s="712"/>
      <c r="EK540" s="712"/>
      <c r="EL540" s="712"/>
      <c r="EM540" s="712"/>
      <c r="EN540" s="712"/>
      <c r="EO540" s="712"/>
      <c r="EP540" s="712"/>
      <c r="EQ540" s="712"/>
      <c r="ER540" s="712"/>
      <c r="ES540" s="712"/>
      <c r="ET540" s="794"/>
      <c r="EU540" s="794"/>
      <c r="EV540" s="794"/>
      <c r="EW540" s="794"/>
      <c r="EX540" s="794"/>
      <c r="EY540" s="794"/>
      <c r="EZ540" s="794"/>
      <c r="FA540" s="712"/>
      <c r="FB540" s="712"/>
      <c r="FC540" s="712"/>
      <c r="FD540" s="712"/>
      <c r="FE540" s="712"/>
      <c r="FF540" s="712"/>
      <c r="FG540" s="712"/>
      <c r="FH540" s="712"/>
      <c r="FI540" s="712"/>
      <c r="FJ540" s="712"/>
      <c r="FK540" s="712"/>
      <c r="FL540" s="712"/>
      <c r="FM540" s="712"/>
      <c r="FN540" s="712"/>
      <c r="FO540" s="712"/>
      <c r="FP540" s="712"/>
      <c r="FQ540" s="712"/>
      <c r="FR540" s="712"/>
      <c r="FS540" s="712"/>
      <c r="FT540" s="712"/>
      <c r="FU540" s="712"/>
      <c r="FV540" s="712"/>
      <c r="FW540" s="712"/>
      <c r="FX540" s="712"/>
      <c r="FZ540" s="712"/>
      <c r="GA540" s="712"/>
      <c r="GB540" s="712"/>
      <c r="GC540" s="712"/>
      <c r="GD540" s="712"/>
      <c r="GE540" s="712"/>
      <c r="GF540" s="712"/>
      <c r="GG540" s="712"/>
      <c r="GH540" s="712"/>
      <c r="GI540" s="712"/>
      <c r="GJ540" s="712"/>
      <c r="GK540" s="712"/>
      <c r="GL540" s="712"/>
      <c r="GM540" s="712"/>
      <c r="GN540" s="712"/>
      <c r="GO540" s="712"/>
      <c r="GP540" s="712"/>
      <c r="GQ540" s="712"/>
      <c r="GR540" s="712"/>
      <c r="GS540" s="712"/>
      <c r="GT540" s="712"/>
      <c r="GU540" s="712"/>
      <c r="GV540" s="712"/>
      <c r="GW540" s="712"/>
      <c r="GX540" s="712"/>
      <c r="GY540" s="712"/>
      <c r="GZ540" s="712"/>
      <c r="HA540" s="712"/>
      <c r="HB540" s="712"/>
      <c r="HC540" s="712"/>
    </row>
    <row r="541" spans="1:211">
      <c r="A541" s="707"/>
      <c r="G541" s="712"/>
      <c r="H541" s="712"/>
      <c r="I541" s="712"/>
      <c r="J541" s="712"/>
      <c r="K541" s="712"/>
      <c r="L541" s="712"/>
      <c r="M541" s="712"/>
      <c r="N541" s="712"/>
      <c r="O541" s="712"/>
      <c r="P541" s="712"/>
      <c r="Q541" s="712"/>
      <c r="R541" s="712"/>
      <c r="S541" s="712"/>
      <c r="T541" s="712"/>
      <c r="U541" s="712"/>
      <c r="V541" s="712"/>
      <c r="W541" s="712"/>
      <c r="X541" s="712"/>
      <c r="Y541" s="712"/>
      <c r="Z541" s="712"/>
      <c r="AA541" s="712"/>
      <c r="AB541" s="712"/>
      <c r="AC541" s="712"/>
      <c r="AD541" s="712"/>
      <c r="AE541" s="712"/>
      <c r="AF541" s="712"/>
      <c r="AG541" s="712"/>
      <c r="AH541" s="712"/>
      <c r="AI541" s="712"/>
      <c r="AJ541" s="712"/>
      <c r="AK541" s="712"/>
      <c r="AL541" s="712"/>
      <c r="AM541" s="712"/>
      <c r="AN541" s="712"/>
      <c r="AO541" s="712"/>
      <c r="AP541" s="712"/>
      <c r="AQ541" s="712"/>
      <c r="AR541" s="712"/>
      <c r="AS541" s="712"/>
      <c r="AT541" s="712"/>
      <c r="AU541" s="712"/>
      <c r="AV541" s="712"/>
      <c r="AW541" s="712"/>
      <c r="AX541" s="712"/>
      <c r="AY541" s="712"/>
      <c r="AZ541" s="712"/>
      <c r="BA541" s="712"/>
      <c r="BB541" s="712"/>
      <c r="BC541" s="712"/>
      <c r="BD541" s="712"/>
      <c r="BE541" s="712"/>
      <c r="BF541" s="712"/>
      <c r="BG541" s="712"/>
      <c r="BH541" s="712"/>
      <c r="BI541" s="712"/>
      <c r="BJ541" s="712"/>
      <c r="BK541" s="712"/>
      <c r="BL541" s="712"/>
      <c r="BM541" s="712"/>
      <c r="BN541" s="712"/>
      <c r="BO541" s="712"/>
      <c r="BP541" s="712"/>
      <c r="BQ541" s="712"/>
      <c r="BR541" s="712"/>
      <c r="BS541" s="712"/>
      <c r="BT541" s="712"/>
      <c r="BU541" s="712"/>
      <c r="BV541" s="712"/>
      <c r="BW541" s="712"/>
      <c r="BX541" s="712"/>
      <c r="BY541" s="712"/>
      <c r="BZ541" s="712"/>
      <c r="CA541" s="712"/>
      <c r="CB541" s="712"/>
      <c r="CC541" s="712"/>
      <c r="CD541" s="712"/>
      <c r="CE541" s="712"/>
      <c r="CF541" s="712"/>
      <c r="CG541" s="712"/>
      <c r="CH541" s="712"/>
      <c r="CI541" s="712"/>
      <c r="CJ541" s="712"/>
      <c r="CK541" s="712"/>
      <c r="CL541" s="712"/>
      <c r="CM541" s="712"/>
      <c r="CN541" s="712"/>
      <c r="CO541" s="712"/>
      <c r="CP541" s="712"/>
      <c r="CQ541" s="712"/>
      <c r="CR541" s="712"/>
      <c r="CS541" s="712"/>
      <c r="CT541" s="712"/>
      <c r="CU541" s="712"/>
      <c r="CV541" s="712"/>
      <c r="CW541" s="712"/>
      <c r="CX541" s="712"/>
      <c r="CY541" s="712"/>
      <c r="CZ541" s="712"/>
      <c r="DA541" s="712"/>
      <c r="DB541" s="712"/>
      <c r="DC541" s="712"/>
      <c r="DD541" s="712"/>
      <c r="DE541" s="712"/>
      <c r="DF541" s="712"/>
      <c r="DG541" s="712"/>
      <c r="DH541" s="712"/>
      <c r="DI541" s="712"/>
      <c r="DJ541" s="712"/>
      <c r="DK541" s="712"/>
      <c r="DL541" s="712"/>
      <c r="DM541" s="712"/>
      <c r="DN541" s="712"/>
      <c r="DO541" s="712"/>
      <c r="DP541" s="712"/>
      <c r="DQ541" s="712"/>
      <c r="DR541" s="712"/>
      <c r="DS541" s="712"/>
      <c r="DT541" s="712"/>
      <c r="DU541" s="712"/>
      <c r="DV541" s="712"/>
      <c r="DW541" s="712"/>
      <c r="DX541" s="712"/>
      <c r="DY541" s="712"/>
      <c r="DZ541" s="712"/>
      <c r="EA541" s="712"/>
      <c r="EB541" s="712"/>
      <c r="EC541" s="712"/>
      <c r="ED541" s="712"/>
      <c r="EE541" s="712"/>
      <c r="EF541" s="712"/>
      <c r="EG541" s="712"/>
      <c r="EH541" s="712"/>
      <c r="EI541" s="712"/>
      <c r="EJ541" s="712"/>
      <c r="EK541" s="712"/>
      <c r="EL541" s="712"/>
      <c r="EM541" s="712"/>
      <c r="EN541" s="712"/>
      <c r="EO541" s="712"/>
      <c r="EP541" s="712"/>
      <c r="EQ541" s="712"/>
      <c r="ER541" s="712"/>
      <c r="ES541" s="712"/>
      <c r="ET541" s="794"/>
      <c r="EU541" s="794"/>
      <c r="EV541" s="794"/>
      <c r="EW541" s="794"/>
      <c r="EX541" s="794"/>
      <c r="EY541" s="794"/>
      <c r="EZ541" s="794"/>
      <c r="FA541" s="712"/>
      <c r="FB541" s="712"/>
      <c r="FC541" s="712"/>
      <c r="FD541" s="712"/>
      <c r="FE541" s="712"/>
      <c r="FF541" s="712"/>
      <c r="FG541" s="712"/>
      <c r="FH541" s="712"/>
      <c r="FI541" s="712"/>
      <c r="FJ541" s="712"/>
      <c r="FK541" s="712"/>
      <c r="FL541" s="712"/>
      <c r="FM541" s="712"/>
      <c r="FN541" s="712"/>
      <c r="FO541" s="712"/>
      <c r="FP541" s="712"/>
      <c r="FQ541" s="712"/>
      <c r="FR541" s="712"/>
      <c r="FS541" s="712"/>
      <c r="FT541" s="712"/>
      <c r="FU541" s="712"/>
      <c r="FV541" s="712"/>
      <c r="FW541" s="712"/>
      <c r="FX541" s="712"/>
      <c r="FZ541" s="712"/>
      <c r="GA541" s="712"/>
      <c r="GB541" s="712"/>
      <c r="GC541" s="712"/>
      <c r="GD541" s="712"/>
      <c r="GE541" s="712"/>
      <c r="GF541" s="712"/>
      <c r="GG541" s="712"/>
      <c r="GH541" s="712"/>
      <c r="GI541" s="712"/>
      <c r="GJ541" s="712"/>
      <c r="GK541" s="712"/>
      <c r="GL541" s="712"/>
      <c r="GM541" s="712"/>
      <c r="GN541" s="712"/>
      <c r="GO541" s="712"/>
      <c r="GP541" s="712"/>
      <c r="GQ541" s="712"/>
      <c r="GR541" s="712"/>
      <c r="GS541" s="712"/>
      <c r="GT541" s="712"/>
      <c r="GU541" s="712"/>
      <c r="GV541" s="712"/>
      <c r="GW541" s="712"/>
      <c r="GX541" s="712"/>
      <c r="GY541" s="712"/>
      <c r="GZ541" s="712"/>
      <c r="HA541" s="712"/>
      <c r="HB541" s="712"/>
      <c r="HC541" s="712"/>
    </row>
    <row r="542" spans="1:211">
      <c r="A542" s="707"/>
      <c r="G542" s="712"/>
      <c r="H542" s="712"/>
      <c r="I542" s="712"/>
      <c r="J542" s="712"/>
      <c r="K542" s="712"/>
      <c r="L542" s="712"/>
      <c r="M542" s="712"/>
      <c r="N542" s="712"/>
      <c r="O542" s="712"/>
      <c r="P542" s="712"/>
      <c r="Q542" s="712"/>
      <c r="R542" s="712"/>
      <c r="S542" s="712"/>
      <c r="T542" s="712"/>
      <c r="U542" s="712"/>
      <c r="V542" s="712"/>
      <c r="W542" s="712"/>
      <c r="X542" s="712"/>
      <c r="Y542" s="712"/>
      <c r="Z542" s="712"/>
      <c r="AA542" s="712"/>
      <c r="AB542" s="712"/>
      <c r="AC542" s="712"/>
      <c r="AD542" s="712"/>
      <c r="AE542" s="712"/>
      <c r="AF542" s="712"/>
      <c r="AG542" s="712"/>
      <c r="AH542" s="712"/>
      <c r="AI542" s="712"/>
      <c r="AJ542" s="712"/>
      <c r="AK542" s="712"/>
      <c r="AL542" s="712"/>
      <c r="AM542" s="712"/>
      <c r="AN542" s="712"/>
      <c r="AO542" s="712"/>
      <c r="AP542" s="712"/>
      <c r="AQ542" s="712"/>
      <c r="AR542" s="712"/>
      <c r="AS542" s="712"/>
      <c r="AT542" s="712"/>
      <c r="AU542" s="712"/>
      <c r="AV542" s="712"/>
      <c r="AW542" s="712"/>
      <c r="AX542" s="712"/>
      <c r="AY542" s="712"/>
      <c r="AZ542" s="712"/>
      <c r="BA542" s="712"/>
      <c r="BB542" s="712"/>
      <c r="BC542" s="712"/>
      <c r="BD542" s="712"/>
      <c r="BE542" s="712"/>
      <c r="BF542" s="712"/>
      <c r="BG542" s="712"/>
      <c r="BH542" s="712"/>
      <c r="BI542" s="712"/>
      <c r="BJ542" s="712"/>
      <c r="BK542" s="712"/>
      <c r="BL542" s="712"/>
      <c r="BM542" s="712"/>
      <c r="BN542" s="712"/>
      <c r="BO542" s="712"/>
      <c r="BP542" s="712"/>
      <c r="BQ542" s="712"/>
      <c r="BR542" s="712"/>
      <c r="BS542" s="712"/>
      <c r="BT542" s="712"/>
      <c r="BU542" s="712"/>
      <c r="BV542" s="712"/>
      <c r="BW542" s="712"/>
      <c r="BX542" s="712"/>
      <c r="BY542" s="712"/>
      <c r="BZ542" s="712"/>
      <c r="CA542" s="712"/>
      <c r="CB542" s="712"/>
      <c r="CC542" s="712"/>
      <c r="CD542" s="712"/>
      <c r="CE542" s="712"/>
      <c r="CF542" s="712"/>
      <c r="CG542" s="712"/>
      <c r="CH542" s="712"/>
      <c r="CI542" s="712"/>
      <c r="CJ542" s="712"/>
      <c r="CK542" s="712"/>
      <c r="CL542" s="712"/>
      <c r="CM542" s="712"/>
      <c r="CN542" s="712"/>
      <c r="CO542" s="712"/>
      <c r="CP542" s="712"/>
      <c r="CQ542" s="712"/>
      <c r="CR542" s="712"/>
      <c r="CS542" s="712"/>
      <c r="CT542" s="712"/>
      <c r="CU542" s="712"/>
      <c r="CV542" s="712"/>
      <c r="CW542" s="712"/>
      <c r="CX542" s="712"/>
      <c r="CY542" s="712"/>
      <c r="CZ542" s="712"/>
      <c r="DA542" s="712"/>
      <c r="DB542" s="712"/>
      <c r="DC542" s="712"/>
      <c r="DD542" s="712"/>
      <c r="DE542" s="712"/>
      <c r="DF542" s="712"/>
      <c r="DG542" s="712"/>
      <c r="DH542" s="712"/>
      <c r="DI542" s="712"/>
      <c r="DJ542" s="712"/>
      <c r="DK542" s="712"/>
      <c r="DL542" s="712"/>
      <c r="DM542" s="712"/>
      <c r="DN542" s="712"/>
      <c r="DO542" s="712"/>
      <c r="DP542" s="712"/>
      <c r="DQ542" s="712"/>
      <c r="DR542" s="712"/>
      <c r="DS542" s="712"/>
      <c r="DT542" s="712"/>
      <c r="DU542" s="712"/>
      <c r="DV542" s="712"/>
      <c r="DW542" s="712"/>
      <c r="DX542" s="712"/>
      <c r="DY542" s="712"/>
      <c r="DZ542" s="712"/>
      <c r="EA542" s="712"/>
      <c r="EB542" s="712"/>
      <c r="EC542" s="712"/>
      <c r="ED542" s="712"/>
      <c r="EE542" s="712"/>
      <c r="EF542" s="712"/>
      <c r="EG542" s="712"/>
      <c r="EH542" s="712"/>
      <c r="EI542" s="712"/>
      <c r="EJ542" s="712"/>
      <c r="EK542" s="712"/>
      <c r="EL542" s="712"/>
      <c r="EM542" s="712"/>
      <c r="EN542" s="712"/>
      <c r="EO542" s="712"/>
      <c r="EP542" s="712"/>
      <c r="EQ542" s="712"/>
      <c r="ER542" s="712"/>
      <c r="ES542" s="712"/>
      <c r="ET542" s="794"/>
      <c r="EU542" s="794"/>
      <c r="EV542" s="794"/>
      <c r="EW542" s="794"/>
      <c r="EX542" s="794"/>
      <c r="EY542" s="794"/>
      <c r="EZ542" s="794"/>
      <c r="FA542" s="712"/>
      <c r="FB542" s="712"/>
      <c r="FC542" s="712"/>
      <c r="FD542" s="712"/>
      <c r="FE542" s="712"/>
      <c r="FF542" s="712"/>
      <c r="FG542" s="712"/>
      <c r="FH542" s="712"/>
      <c r="FI542" s="712"/>
      <c r="FJ542" s="712"/>
      <c r="FK542" s="712"/>
      <c r="FL542" s="712"/>
      <c r="FM542" s="712"/>
      <c r="FN542" s="712"/>
      <c r="FO542" s="712"/>
      <c r="FP542" s="712"/>
      <c r="FQ542" s="712"/>
      <c r="FR542" s="712"/>
      <c r="FS542" s="712"/>
      <c r="FT542" s="712"/>
      <c r="FU542" s="712"/>
      <c r="FV542" s="712"/>
      <c r="FW542" s="712"/>
      <c r="FX542" s="712"/>
      <c r="FZ542" s="712"/>
      <c r="GA542" s="712"/>
      <c r="GB542" s="712"/>
      <c r="GC542" s="712"/>
      <c r="GD542" s="712"/>
      <c r="GE542" s="712"/>
      <c r="GF542" s="712"/>
      <c r="GG542" s="712"/>
      <c r="GH542" s="712"/>
      <c r="GI542" s="712"/>
      <c r="GJ542" s="712"/>
      <c r="GK542" s="712"/>
      <c r="GL542" s="712"/>
      <c r="GM542" s="712"/>
      <c r="GN542" s="712"/>
      <c r="GO542" s="712"/>
      <c r="GP542" s="712"/>
      <c r="GQ542" s="712"/>
      <c r="GR542" s="712"/>
      <c r="GS542" s="712"/>
      <c r="GT542" s="712"/>
      <c r="GU542" s="712"/>
      <c r="GV542" s="712"/>
      <c r="GW542" s="712"/>
      <c r="GX542" s="712"/>
      <c r="GY542" s="712"/>
      <c r="GZ542" s="712"/>
      <c r="HA542" s="712"/>
      <c r="HB542" s="712"/>
      <c r="HC542" s="712"/>
    </row>
    <row r="543" spans="1:211">
      <c r="A543" s="707"/>
      <c r="G543" s="712"/>
      <c r="H543" s="712"/>
      <c r="I543" s="712"/>
      <c r="J543" s="712"/>
      <c r="K543" s="712"/>
      <c r="L543" s="712"/>
      <c r="M543" s="712"/>
      <c r="N543" s="712"/>
      <c r="O543" s="712"/>
      <c r="P543" s="712"/>
      <c r="Q543" s="712"/>
      <c r="R543" s="712"/>
      <c r="S543" s="712"/>
      <c r="T543" s="712"/>
      <c r="U543" s="712"/>
      <c r="V543" s="712"/>
      <c r="W543" s="712"/>
      <c r="X543" s="712"/>
      <c r="Y543" s="712"/>
      <c r="Z543" s="712"/>
      <c r="AA543" s="712"/>
      <c r="AB543" s="712"/>
      <c r="AC543" s="712"/>
      <c r="AD543" s="712"/>
      <c r="AE543" s="712"/>
      <c r="AF543" s="712"/>
      <c r="AG543" s="712"/>
      <c r="AH543" s="712"/>
      <c r="AI543" s="712"/>
      <c r="AJ543" s="712"/>
      <c r="AK543" s="712"/>
      <c r="AL543" s="712"/>
      <c r="AM543" s="712"/>
      <c r="AN543" s="712"/>
      <c r="AO543" s="712"/>
      <c r="AP543" s="712"/>
      <c r="AQ543" s="712"/>
      <c r="AR543" s="712"/>
      <c r="AS543" s="712"/>
      <c r="AT543" s="712"/>
      <c r="AU543" s="712"/>
      <c r="AV543" s="712"/>
      <c r="AW543" s="712"/>
      <c r="AX543" s="712"/>
      <c r="AY543" s="712"/>
      <c r="AZ543" s="712"/>
      <c r="BA543" s="712"/>
      <c r="BB543" s="712"/>
      <c r="BC543" s="712"/>
      <c r="BD543" s="712"/>
      <c r="BE543" s="712"/>
      <c r="BF543" s="712"/>
      <c r="BG543" s="712"/>
      <c r="BH543" s="712"/>
      <c r="BI543" s="712"/>
      <c r="BJ543" s="712"/>
      <c r="BK543" s="712"/>
      <c r="BL543" s="712"/>
      <c r="BM543" s="712"/>
      <c r="BN543" s="712"/>
      <c r="BO543" s="712"/>
      <c r="BP543" s="712"/>
      <c r="BQ543" s="712"/>
      <c r="BR543" s="712"/>
      <c r="BS543" s="712"/>
      <c r="BT543" s="712"/>
      <c r="BU543" s="712"/>
      <c r="BV543" s="712"/>
      <c r="BW543" s="712"/>
      <c r="BX543" s="712"/>
      <c r="BY543" s="712"/>
      <c r="BZ543" s="712"/>
      <c r="CA543" s="712"/>
      <c r="CB543" s="712"/>
      <c r="CC543" s="712"/>
      <c r="CD543" s="712"/>
      <c r="CE543" s="712"/>
      <c r="CF543" s="712"/>
      <c r="CG543" s="712"/>
      <c r="CH543" s="712"/>
      <c r="CI543" s="712"/>
      <c r="CJ543" s="712"/>
      <c r="CK543" s="712"/>
      <c r="CL543" s="712"/>
      <c r="CM543" s="712"/>
      <c r="CN543" s="712"/>
      <c r="CO543" s="712"/>
      <c r="CP543" s="712"/>
      <c r="CQ543" s="712"/>
      <c r="CR543" s="712"/>
      <c r="CS543" s="712"/>
      <c r="CT543" s="712"/>
      <c r="CU543" s="712"/>
      <c r="CV543" s="712"/>
      <c r="CW543" s="712"/>
      <c r="CX543" s="712"/>
      <c r="CY543" s="712"/>
      <c r="CZ543" s="712"/>
      <c r="DA543" s="712"/>
      <c r="DB543" s="712"/>
      <c r="DC543" s="712"/>
      <c r="DD543" s="712"/>
      <c r="DE543" s="712"/>
      <c r="DF543" s="712"/>
      <c r="DG543" s="712"/>
      <c r="DH543" s="712"/>
      <c r="DI543" s="712"/>
      <c r="DJ543" s="712"/>
      <c r="DK543" s="712"/>
      <c r="DL543" s="712"/>
      <c r="DM543" s="712"/>
      <c r="DN543" s="712"/>
      <c r="DO543" s="712"/>
      <c r="DP543" s="712"/>
      <c r="DQ543" s="712"/>
      <c r="DR543" s="712"/>
      <c r="DS543" s="712"/>
      <c r="DT543" s="712"/>
      <c r="DU543" s="712"/>
      <c r="DV543" s="712"/>
      <c r="DW543" s="712"/>
      <c r="DX543" s="712"/>
      <c r="DY543" s="712"/>
      <c r="DZ543" s="712"/>
      <c r="EA543" s="712"/>
      <c r="EB543" s="712"/>
      <c r="EC543" s="712"/>
      <c r="ED543" s="712"/>
      <c r="EE543" s="712"/>
      <c r="EF543" s="712"/>
      <c r="EG543" s="712"/>
      <c r="EH543" s="712"/>
      <c r="EI543" s="712"/>
      <c r="EJ543" s="712"/>
      <c r="EK543" s="712"/>
      <c r="EL543" s="712"/>
      <c r="EM543" s="712"/>
      <c r="EN543" s="712"/>
      <c r="EO543" s="712"/>
      <c r="EP543" s="712"/>
      <c r="EQ543" s="712"/>
      <c r="ER543" s="712"/>
      <c r="ES543" s="712"/>
      <c r="ET543" s="794"/>
      <c r="EU543" s="794"/>
      <c r="EV543" s="794"/>
      <c r="EW543" s="794"/>
      <c r="EX543" s="794"/>
      <c r="EY543" s="794"/>
      <c r="EZ543" s="794"/>
      <c r="FA543" s="712"/>
      <c r="FB543" s="712"/>
      <c r="FC543" s="712"/>
      <c r="FD543" s="712"/>
      <c r="FE543" s="712"/>
      <c r="FF543" s="712"/>
      <c r="FG543" s="712"/>
      <c r="FH543" s="712"/>
      <c r="FI543" s="712"/>
      <c r="FJ543" s="712"/>
      <c r="FK543" s="712"/>
      <c r="FL543" s="712"/>
      <c r="FM543" s="712"/>
      <c r="FN543" s="712"/>
      <c r="FO543" s="712"/>
      <c r="FP543" s="712"/>
      <c r="FQ543" s="712"/>
      <c r="FR543" s="712"/>
      <c r="FS543" s="712"/>
      <c r="FT543" s="712"/>
      <c r="FU543" s="712"/>
      <c r="FV543" s="712"/>
      <c r="FW543" s="712"/>
      <c r="FX543" s="712"/>
      <c r="FZ543" s="712"/>
      <c r="GA543" s="712"/>
      <c r="GB543" s="712"/>
      <c r="GC543" s="712"/>
      <c r="GD543" s="712"/>
      <c r="GE543" s="712"/>
      <c r="GF543" s="712"/>
      <c r="GG543" s="712"/>
      <c r="GH543" s="712"/>
      <c r="GI543" s="712"/>
      <c r="GJ543" s="712"/>
      <c r="GK543" s="712"/>
      <c r="GL543" s="712"/>
      <c r="GM543" s="712"/>
      <c r="GN543" s="712"/>
      <c r="GO543" s="712"/>
      <c r="GP543" s="712"/>
      <c r="GQ543" s="712"/>
      <c r="GR543" s="712"/>
      <c r="GS543" s="712"/>
      <c r="GT543" s="712"/>
      <c r="GU543" s="712"/>
      <c r="GV543" s="712"/>
      <c r="GW543" s="712"/>
      <c r="GX543" s="712"/>
      <c r="GY543" s="712"/>
      <c r="GZ543" s="712"/>
      <c r="HA543" s="712"/>
      <c r="HB543" s="712"/>
      <c r="HC543" s="712"/>
    </row>
    <row r="544" spans="1:211">
      <c r="A544" s="707"/>
      <c r="G544" s="712"/>
      <c r="H544" s="712"/>
      <c r="I544" s="712"/>
      <c r="J544" s="712"/>
      <c r="K544" s="712"/>
      <c r="L544" s="712"/>
      <c r="M544" s="712"/>
      <c r="N544" s="712"/>
      <c r="O544" s="712"/>
      <c r="P544" s="712"/>
      <c r="Q544" s="712"/>
      <c r="R544" s="712"/>
      <c r="S544" s="712"/>
      <c r="T544" s="712"/>
      <c r="U544" s="712"/>
      <c r="V544" s="712"/>
      <c r="W544" s="712"/>
      <c r="X544" s="712"/>
      <c r="Y544" s="712"/>
      <c r="Z544" s="712"/>
      <c r="AA544" s="712"/>
      <c r="AB544" s="712"/>
      <c r="AC544" s="712"/>
      <c r="AD544" s="712"/>
      <c r="AE544" s="712"/>
      <c r="AF544" s="712"/>
      <c r="AG544" s="712"/>
      <c r="AH544" s="712"/>
      <c r="AI544" s="712"/>
      <c r="AJ544" s="712"/>
      <c r="AK544" s="712"/>
      <c r="AL544" s="712"/>
      <c r="AM544" s="712"/>
      <c r="AN544" s="712"/>
      <c r="AO544" s="712"/>
      <c r="AP544" s="712"/>
      <c r="AQ544" s="712"/>
      <c r="AR544" s="712"/>
      <c r="AS544" s="712"/>
      <c r="AT544" s="712"/>
      <c r="AU544" s="712"/>
      <c r="AV544" s="712"/>
      <c r="AW544" s="712"/>
      <c r="AX544" s="712"/>
      <c r="AY544" s="712"/>
      <c r="AZ544" s="712"/>
      <c r="BA544" s="712"/>
      <c r="BB544" s="712"/>
      <c r="BC544" s="712"/>
      <c r="BD544" s="712"/>
      <c r="BE544" s="712"/>
      <c r="BF544" s="712"/>
      <c r="BG544" s="712"/>
      <c r="BH544" s="712"/>
      <c r="BI544" s="712"/>
      <c r="BJ544" s="712"/>
      <c r="BK544" s="712"/>
      <c r="BL544" s="712"/>
      <c r="BM544" s="712"/>
      <c r="BN544" s="712"/>
      <c r="BO544" s="712"/>
      <c r="BP544" s="712"/>
      <c r="BQ544" s="712"/>
      <c r="BR544" s="712"/>
      <c r="BS544" s="712"/>
      <c r="BT544" s="712"/>
      <c r="BU544" s="712"/>
      <c r="BV544" s="712"/>
      <c r="BW544" s="712"/>
      <c r="BX544" s="712"/>
      <c r="BY544" s="712"/>
      <c r="BZ544" s="712"/>
      <c r="CA544" s="712"/>
      <c r="CB544" s="712"/>
      <c r="CC544" s="712"/>
      <c r="CD544" s="712"/>
      <c r="CE544" s="712"/>
      <c r="CF544" s="712"/>
      <c r="CG544" s="712"/>
      <c r="CH544" s="712"/>
      <c r="CI544" s="712"/>
      <c r="CJ544" s="712"/>
      <c r="CK544" s="712"/>
      <c r="CL544" s="712"/>
      <c r="CM544" s="712"/>
      <c r="CN544" s="712"/>
      <c r="CO544" s="712"/>
      <c r="CP544" s="712"/>
      <c r="CQ544" s="712"/>
      <c r="CR544" s="712"/>
      <c r="CS544" s="712"/>
      <c r="CT544" s="712"/>
      <c r="CU544" s="712"/>
      <c r="CV544" s="712"/>
      <c r="CW544" s="712"/>
      <c r="CX544" s="712"/>
      <c r="CY544" s="712"/>
      <c r="CZ544" s="712"/>
      <c r="DA544" s="712"/>
      <c r="DB544" s="712"/>
      <c r="DC544" s="712"/>
      <c r="DD544" s="712"/>
      <c r="DE544" s="712"/>
      <c r="DF544" s="712"/>
      <c r="DG544" s="712"/>
      <c r="DH544" s="712"/>
      <c r="DI544" s="712"/>
      <c r="DJ544" s="712"/>
      <c r="DK544" s="712"/>
      <c r="DL544" s="712"/>
      <c r="DM544" s="712"/>
      <c r="DN544" s="712"/>
      <c r="DO544" s="712"/>
      <c r="DP544" s="712"/>
      <c r="DQ544" s="712"/>
      <c r="DR544" s="712"/>
      <c r="DS544" s="712"/>
      <c r="DT544" s="712"/>
      <c r="DU544" s="712"/>
      <c r="DV544" s="712"/>
      <c r="DW544" s="712"/>
      <c r="DX544" s="712"/>
      <c r="DY544" s="712"/>
      <c r="DZ544" s="712"/>
      <c r="EA544" s="712"/>
      <c r="EB544" s="712"/>
      <c r="EC544" s="712"/>
      <c r="ED544" s="712"/>
      <c r="EE544" s="712"/>
      <c r="EF544" s="712"/>
      <c r="EG544" s="712"/>
      <c r="EH544" s="712"/>
      <c r="EI544" s="712"/>
      <c r="EJ544" s="712"/>
      <c r="EK544" s="712"/>
      <c r="EL544" s="712"/>
      <c r="EM544" s="712"/>
      <c r="EN544" s="712"/>
      <c r="EO544" s="712"/>
      <c r="EP544" s="712"/>
      <c r="EQ544" s="712"/>
      <c r="ER544" s="712"/>
      <c r="ES544" s="712"/>
      <c r="ET544" s="794"/>
      <c r="EU544" s="794"/>
      <c r="EV544" s="794"/>
      <c r="EW544" s="794"/>
      <c r="EX544" s="794"/>
      <c r="EY544" s="794"/>
      <c r="EZ544" s="794"/>
      <c r="FA544" s="712"/>
      <c r="FB544" s="712"/>
      <c r="FC544" s="712"/>
      <c r="FD544" s="712"/>
      <c r="FE544" s="712"/>
      <c r="FF544" s="712"/>
      <c r="FG544" s="712"/>
      <c r="FH544" s="712"/>
      <c r="FI544" s="712"/>
      <c r="FJ544" s="712"/>
      <c r="FK544" s="712"/>
      <c r="FL544" s="712"/>
      <c r="FM544" s="712"/>
      <c r="FN544" s="712"/>
      <c r="FO544" s="712"/>
      <c r="FP544" s="712"/>
      <c r="FQ544" s="712"/>
      <c r="FR544" s="712"/>
      <c r="FS544" s="712"/>
      <c r="FT544" s="712"/>
      <c r="FU544" s="712"/>
      <c r="FV544" s="712"/>
      <c r="FW544" s="712"/>
      <c r="FX544" s="712"/>
      <c r="FZ544" s="712"/>
      <c r="GA544" s="712"/>
      <c r="GB544" s="712"/>
      <c r="GC544" s="712"/>
      <c r="GD544" s="712"/>
      <c r="GE544" s="712"/>
      <c r="GF544" s="712"/>
      <c r="GG544" s="712"/>
      <c r="GH544" s="712"/>
      <c r="GI544" s="712"/>
      <c r="GJ544" s="712"/>
      <c r="GK544" s="712"/>
      <c r="GL544" s="712"/>
      <c r="GM544" s="712"/>
      <c r="GN544" s="712"/>
      <c r="GO544" s="712"/>
      <c r="GP544" s="712"/>
      <c r="GQ544" s="712"/>
      <c r="GR544" s="712"/>
      <c r="GS544" s="712"/>
      <c r="GT544" s="712"/>
      <c r="GU544" s="712"/>
      <c r="GV544" s="712"/>
      <c r="GW544" s="712"/>
      <c r="GX544" s="712"/>
      <c r="GY544" s="712"/>
      <c r="GZ544" s="712"/>
      <c r="HA544" s="712"/>
      <c r="HB544" s="712"/>
      <c r="HC544" s="712"/>
    </row>
    <row r="545" spans="1:211">
      <c r="A545" s="707"/>
      <c r="G545" s="712"/>
      <c r="H545" s="712"/>
      <c r="I545" s="712"/>
      <c r="J545" s="712"/>
      <c r="K545" s="712"/>
      <c r="L545" s="712"/>
      <c r="M545" s="712"/>
      <c r="N545" s="712"/>
      <c r="O545" s="712"/>
      <c r="P545" s="712"/>
      <c r="Q545" s="712"/>
      <c r="R545" s="712"/>
      <c r="S545" s="712"/>
      <c r="T545" s="712"/>
      <c r="U545" s="712"/>
      <c r="V545" s="712"/>
      <c r="W545" s="712"/>
      <c r="X545" s="712"/>
      <c r="Y545" s="712"/>
      <c r="Z545" s="712"/>
      <c r="AA545" s="712"/>
      <c r="AB545" s="712"/>
      <c r="AC545" s="712"/>
      <c r="AD545" s="712"/>
      <c r="AE545" s="712"/>
      <c r="AF545" s="712"/>
      <c r="AG545" s="712"/>
      <c r="AH545" s="712"/>
      <c r="AI545" s="712"/>
      <c r="AJ545" s="712"/>
      <c r="AK545" s="712"/>
      <c r="AL545" s="712"/>
      <c r="AM545" s="712"/>
      <c r="AN545" s="712"/>
      <c r="AO545" s="712"/>
      <c r="AP545" s="712"/>
      <c r="AQ545" s="712"/>
      <c r="AR545" s="712"/>
      <c r="AS545" s="712"/>
      <c r="AT545" s="712"/>
      <c r="AU545" s="712"/>
      <c r="AV545" s="712"/>
      <c r="AW545" s="712"/>
      <c r="AX545" s="712"/>
      <c r="AY545" s="712"/>
      <c r="AZ545" s="712"/>
      <c r="BA545" s="712"/>
      <c r="BB545" s="712"/>
      <c r="BC545" s="712"/>
      <c r="BD545" s="712"/>
      <c r="BE545" s="712"/>
      <c r="BF545" s="712"/>
      <c r="BG545" s="712"/>
      <c r="BH545" s="712"/>
      <c r="BI545" s="712"/>
      <c r="BJ545" s="712"/>
      <c r="BK545" s="712"/>
      <c r="BL545" s="712"/>
      <c r="BM545" s="712"/>
      <c r="BN545" s="712"/>
      <c r="BO545" s="712"/>
      <c r="BP545" s="712"/>
      <c r="BQ545" s="712"/>
      <c r="BR545" s="712"/>
      <c r="BS545" s="712"/>
      <c r="BT545" s="712"/>
      <c r="BU545" s="712"/>
      <c r="BV545" s="712"/>
      <c r="BW545" s="712"/>
      <c r="BX545" s="712"/>
      <c r="BY545" s="712"/>
      <c r="BZ545" s="712"/>
      <c r="CA545" s="712"/>
      <c r="CB545" s="712"/>
      <c r="CC545" s="712"/>
      <c r="CD545" s="712"/>
      <c r="CE545" s="712"/>
      <c r="CF545" s="712"/>
      <c r="CG545" s="712"/>
      <c r="CH545" s="712"/>
      <c r="CI545" s="712"/>
      <c r="CJ545" s="712"/>
      <c r="CK545" s="712"/>
      <c r="CL545" s="712"/>
      <c r="CM545" s="712"/>
      <c r="CN545" s="712"/>
      <c r="CO545" s="712"/>
      <c r="CP545" s="712"/>
      <c r="CQ545" s="712"/>
      <c r="CR545" s="712"/>
      <c r="CS545" s="712"/>
      <c r="CT545" s="712"/>
      <c r="CU545" s="712"/>
      <c r="CV545" s="712"/>
      <c r="CW545" s="712"/>
      <c r="CX545" s="712"/>
      <c r="CY545" s="712"/>
      <c r="CZ545" s="712"/>
      <c r="DA545" s="712"/>
      <c r="DB545" s="712"/>
      <c r="DC545" s="712"/>
      <c r="DD545" s="712"/>
      <c r="DE545" s="712"/>
      <c r="DF545" s="712"/>
      <c r="DG545" s="712"/>
      <c r="DH545" s="712"/>
      <c r="DI545" s="712"/>
      <c r="DJ545" s="712"/>
      <c r="DK545" s="712"/>
      <c r="DL545" s="712"/>
      <c r="DM545" s="712"/>
      <c r="DN545" s="712"/>
      <c r="DO545" s="712"/>
      <c r="DP545" s="712"/>
      <c r="DQ545" s="712"/>
      <c r="DR545" s="712"/>
      <c r="DS545" s="712"/>
      <c r="DT545" s="712"/>
      <c r="DU545" s="712"/>
      <c r="DV545" s="712"/>
      <c r="DW545" s="712"/>
      <c r="DX545" s="712"/>
      <c r="DY545" s="712"/>
      <c r="DZ545" s="712"/>
      <c r="EA545" s="712"/>
      <c r="EB545" s="712"/>
      <c r="EC545" s="712"/>
      <c r="ED545" s="712"/>
      <c r="EE545" s="712"/>
      <c r="EF545" s="712"/>
      <c r="EG545" s="712"/>
      <c r="EH545" s="712"/>
      <c r="EI545" s="712"/>
      <c r="EJ545" s="712"/>
      <c r="EK545" s="712"/>
      <c r="EL545" s="712"/>
      <c r="EM545" s="712"/>
      <c r="EN545" s="712"/>
      <c r="EO545" s="712"/>
      <c r="EP545" s="712"/>
      <c r="EQ545" s="712"/>
      <c r="ER545" s="712"/>
      <c r="ES545" s="712"/>
      <c r="ET545" s="794"/>
      <c r="EU545" s="794"/>
      <c r="EV545" s="794"/>
      <c r="EW545" s="794"/>
      <c r="EX545" s="794"/>
      <c r="EY545" s="794"/>
      <c r="EZ545" s="794"/>
      <c r="FA545" s="712"/>
      <c r="FB545" s="712"/>
      <c r="FC545" s="712"/>
      <c r="FD545" s="712"/>
      <c r="FE545" s="712"/>
      <c r="FF545" s="712"/>
      <c r="FG545" s="712"/>
      <c r="FH545" s="712"/>
      <c r="FI545" s="712"/>
      <c r="FJ545" s="712"/>
      <c r="FK545" s="712"/>
      <c r="FL545" s="712"/>
      <c r="FM545" s="712"/>
      <c r="FN545" s="712"/>
      <c r="FO545" s="712"/>
      <c r="FP545" s="712"/>
      <c r="FQ545" s="712"/>
      <c r="FR545" s="712"/>
      <c r="FS545" s="712"/>
      <c r="FT545" s="712"/>
      <c r="FU545" s="712"/>
      <c r="FV545" s="712"/>
      <c r="FW545" s="712"/>
      <c r="FX545" s="712"/>
      <c r="FZ545" s="712"/>
      <c r="GA545" s="712"/>
      <c r="GB545" s="712"/>
      <c r="GC545" s="712"/>
      <c r="GD545" s="712"/>
      <c r="GE545" s="712"/>
      <c r="GF545" s="712"/>
      <c r="GG545" s="712"/>
      <c r="GH545" s="712"/>
      <c r="GI545" s="712"/>
      <c r="GJ545" s="712"/>
      <c r="GK545" s="712"/>
      <c r="GL545" s="712"/>
      <c r="GM545" s="712"/>
      <c r="GN545" s="712"/>
      <c r="GO545" s="712"/>
      <c r="GP545" s="712"/>
      <c r="GQ545" s="712"/>
      <c r="GR545" s="712"/>
      <c r="GS545" s="712"/>
      <c r="GT545" s="712"/>
      <c r="GU545" s="712"/>
      <c r="GV545" s="712"/>
      <c r="GW545" s="712"/>
      <c r="GX545" s="712"/>
      <c r="GY545" s="712"/>
      <c r="GZ545" s="712"/>
      <c r="HA545" s="712"/>
      <c r="HB545" s="712"/>
      <c r="HC545" s="712"/>
    </row>
    <row r="546" spans="1:211">
      <c r="A546" s="707"/>
      <c r="G546" s="712"/>
      <c r="H546" s="712"/>
      <c r="I546" s="712"/>
      <c r="J546" s="712"/>
      <c r="K546" s="712"/>
      <c r="L546" s="712"/>
      <c r="M546" s="712"/>
      <c r="N546" s="712"/>
      <c r="O546" s="712"/>
      <c r="P546" s="712"/>
      <c r="Q546" s="712"/>
      <c r="R546" s="712"/>
      <c r="S546" s="712"/>
      <c r="T546" s="712"/>
      <c r="U546" s="712"/>
      <c r="V546" s="712"/>
      <c r="W546" s="712"/>
      <c r="X546" s="712"/>
      <c r="Y546" s="712"/>
      <c r="Z546" s="712"/>
      <c r="AA546" s="712"/>
      <c r="AB546" s="712"/>
      <c r="AC546" s="712"/>
      <c r="AD546" s="712"/>
      <c r="AE546" s="712"/>
      <c r="AF546" s="712"/>
      <c r="AG546" s="712"/>
      <c r="AH546" s="712"/>
      <c r="AI546" s="712"/>
      <c r="AJ546" s="712"/>
      <c r="AK546" s="712"/>
      <c r="AL546" s="712"/>
      <c r="AM546" s="712"/>
      <c r="AN546" s="712"/>
      <c r="AO546" s="712"/>
      <c r="AP546" s="712"/>
      <c r="AQ546" s="712"/>
      <c r="AR546" s="712"/>
      <c r="AS546" s="712"/>
      <c r="AT546" s="712"/>
      <c r="AU546" s="712"/>
      <c r="AV546" s="712"/>
      <c r="AW546" s="712"/>
      <c r="AX546" s="712"/>
      <c r="AY546" s="712"/>
      <c r="AZ546" s="712"/>
      <c r="BA546" s="712"/>
      <c r="BB546" s="712"/>
      <c r="BC546" s="712"/>
      <c r="BD546" s="712"/>
      <c r="BE546" s="712"/>
      <c r="BF546" s="712"/>
      <c r="BG546" s="712"/>
      <c r="BH546" s="712"/>
      <c r="BI546" s="712"/>
      <c r="BJ546" s="712"/>
      <c r="BK546" s="712"/>
      <c r="BL546" s="712"/>
      <c r="BM546" s="712"/>
      <c r="BN546" s="712"/>
      <c r="BO546" s="712"/>
      <c r="BP546" s="712"/>
      <c r="BQ546" s="712"/>
      <c r="BR546" s="712"/>
      <c r="BS546" s="712"/>
      <c r="BT546" s="712"/>
      <c r="BU546" s="712"/>
      <c r="BV546" s="712"/>
      <c r="BW546" s="712"/>
      <c r="BX546" s="712"/>
      <c r="BY546" s="712"/>
      <c r="BZ546" s="712"/>
      <c r="CA546" s="712"/>
      <c r="CB546" s="712"/>
      <c r="CC546" s="712"/>
      <c r="CD546" s="712"/>
      <c r="CE546" s="712"/>
      <c r="CF546" s="712"/>
      <c r="CG546" s="712"/>
      <c r="CH546" s="712"/>
      <c r="CI546" s="712"/>
      <c r="CJ546" s="712"/>
      <c r="CK546" s="712"/>
      <c r="CL546" s="712"/>
      <c r="CM546" s="712"/>
      <c r="CN546" s="712"/>
      <c r="CO546" s="712"/>
      <c r="CP546" s="712"/>
      <c r="CQ546" s="712"/>
      <c r="CR546" s="712"/>
      <c r="CS546" s="712"/>
      <c r="CT546" s="712"/>
      <c r="CU546" s="712"/>
      <c r="CV546" s="712"/>
      <c r="CW546" s="712"/>
      <c r="CX546" s="712"/>
      <c r="CY546" s="712"/>
      <c r="CZ546" s="712"/>
      <c r="DA546" s="712"/>
      <c r="DB546" s="712"/>
      <c r="DC546" s="712"/>
      <c r="DD546" s="712"/>
      <c r="DE546" s="712"/>
      <c r="DF546" s="712"/>
      <c r="DG546" s="712"/>
      <c r="DH546" s="712"/>
      <c r="DI546" s="712"/>
      <c r="DJ546" s="712"/>
      <c r="DK546" s="712"/>
      <c r="DL546" s="712"/>
      <c r="DM546" s="712"/>
      <c r="DN546" s="712"/>
      <c r="DO546" s="712"/>
      <c r="DP546" s="712"/>
      <c r="DQ546" s="712"/>
      <c r="DR546" s="712"/>
      <c r="DS546" s="712"/>
      <c r="DT546" s="712"/>
      <c r="DU546" s="712"/>
      <c r="DV546" s="712"/>
      <c r="DW546" s="712"/>
      <c r="DX546" s="712"/>
      <c r="DY546" s="712"/>
      <c r="DZ546" s="712"/>
      <c r="EA546" s="712"/>
      <c r="EB546" s="712"/>
      <c r="EC546" s="712"/>
      <c r="ED546" s="712"/>
      <c r="EE546" s="712"/>
      <c r="EF546" s="712"/>
      <c r="EG546" s="712"/>
      <c r="EH546" s="712"/>
      <c r="EI546" s="712"/>
      <c r="EJ546" s="712"/>
      <c r="EK546" s="712"/>
      <c r="EL546" s="712"/>
      <c r="EM546" s="712"/>
      <c r="EN546" s="712"/>
      <c r="EO546" s="712"/>
      <c r="EP546" s="712"/>
      <c r="EQ546" s="712"/>
      <c r="ER546" s="712"/>
      <c r="ES546" s="712"/>
      <c r="ET546" s="794"/>
      <c r="EU546" s="794"/>
      <c r="EV546" s="794"/>
      <c r="EW546" s="794"/>
      <c r="EX546" s="794"/>
      <c r="EY546" s="794"/>
      <c r="EZ546" s="794"/>
      <c r="FA546" s="712"/>
      <c r="FB546" s="712"/>
      <c r="FC546" s="712"/>
      <c r="FD546" s="712"/>
      <c r="FE546" s="712"/>
      <c r="FF546" s="712"/>
      <c r="FG546" s="712"/>
      <c r="FH546" s="712"/>
      <c r="FI546" s="712"/>
      <c r="FJ546" s="712"/>
      <c r="FK546" s="712"/>
      <c r="FL546" s="712"/>
      <c r="FM546" s="712"/>
      <c r="FN546" s="712"/>
      <c r="FO546" s="712"/>
      <c r="FP546" s="712"/>
      <c r="FQ546" s="712"/>
      <c r="FR546" s="712"/>
      <c r="FS546" s="712"/>
      <c r="FT546" s="712"/>
      <c r="FU546" s="712"/>
      <c r="FV546" s="712"/>
      <c r="FW546" s="712"/>
      <c r="FX546" s="712"/>
      <c r="FZ546" s="712"/>
      <c r="GA546" s="712"/>
      <c r="GB546" s="712"/>
      <c r="GC546" s="712"/>
      <c r="GD546" s="712"/>
      <c r="GE546" s="712"/>
      <c r="GF546" s="712"/>
      <c r="GG546" s="712"/>
      <c r="GH546" s="712"/>
      <c r="GI546" s="712"/>
      <c r="GJ546" s="712"/>
      <c r="GK546" s="712"/>
      <c r="GL546" s="712"/>
      <c r="GM546" s="712"/>
      <c r="GN546" s="712"/>
      <c r="GO546" s="712"/>
      <c r="GP546" s="712"/>
      <c r="GQ546" s="712"/>
      <c r="GR546" s="712"/>
      <c r="GS546" s="712"/>
      <c r="GT546" s="712"/>
      <c r="GU546" s="712"/>
      <c r="GV546" s="712"/>
      <c r="GW546" s="712"/>
      <c r="GX546" s="712"/>
      <c r="GY546" s="712"/>
      <c r="GZ546" s="712"/>
      <c r="HA546" s="712"/>
      <c r="HB546" s="712"/>
      <c r="HC546" s="712"/>
    </row>
    <row r="547" spans="1:211">
      <c r="A547" s="707"/>
      <c r="G547" s="712"/>
      <c r="H547" s="712"/>
      <c r="I547" s="712"/>
      <c r="J547" s="712"/>
      <c r="K547" s="712"/>
      <c r="L547" s="712"/>
      <c r="M547" s="712"/>
      <c r="N547" s="712"/>
      <c r="O547" s="712"/>
      <c r="P547" s="712"/>
      <c r="Q547" s="712"/>
      <c r="R547" s="712"/>
      <c r="S547" s="712"/>
      <c r="T547" s="712"/>
      <c r="U547" s="712"/>
      <c r="V547" s="712"/>
      <c r="W547" s="712"/>
      <c r="X547" s="712"/>
      <c r="Y547" s="712"/>
      <c r="Z547" s="712"/>
      <c r="AA547" s="712"/>
      <c r="AB547" s="712"/>
      <c r="AC547" s="712"/>
      <c r="AD547" s="712"/>
      <c r="AE547" s="712"/>
      <c r="AF547" s="712"/>
      <c r="AG547" s="712"/>
      <c r="AH547" s="712"/>
      <c r="AI547" s="712"/>
      <c r="AJ547" s="712"/>
      <c r="AK547" s="712"/>
      <c r="AL547" s="712"/>
      <c r="AM547" s="712"/>
      <c r="AN547" s="712"/>
      <c r="AO547" s="712"/>
      <c r="AP547" s="712"/>
      <c r="AQ547" s="712"/>
      <c r="AR547" s="712"/>
      <c r="AS547" s="712"/>
      <c r="AT547" s="712"/>
      <c r="AU547" s="712"/>
      <c r="AV547" s="712"/>
      <c r="AW547" s="712"/>
      <c r="AX547" s="712"/>
      <c r="AY547" s="712"/>
      <c r="AZ547" s="712"/>
      <c r="BA547" s="712"/>
      <c r="BB547" s="712"/>
      <c r="BC547" s="712"/>
      <c r="BD547" s="712"/>
      <c r="BE547" s="712"/>
      <c r="BF547" s="712"/>
      <c r="BG547" s="712"/>
      <c r="BH547" s="712"/>
      <c r="BI547" s="712"/>
      <c r="BJ547" s="712"/>
      <c r="BK547" s="712"/>
      <c r="BL547" s="712"/>
      <c r="BM547" s="712"/>
      <c r="BN547" s="712"/>
      <c r="BO547" s="712"/>
      <c r="BP547" s="712"/>
      <c r="BQ547" s="712"/>
      <c r="BR547" s="712"/>
      <c r="BS547" s="712"/>
      <c r="BT547" s="712"/>
      <c r="BU547" s="712"/>
      <c r="BV547" s="712"/>
      <c r="BW547" s="712"/>
      <c r="BX547" s="712"/>
      <c r="BY547" s="712"/>
      <c r="BZ547" s="712"/>
      <c r="CA547" s="712"/>
      <c r="CB547" s="712"/>
      <c r="CC547" s="712"/>
      <c r="CD547" s="712"/>
      <c r="CE547" s="712"/>
      <c r="CF547" s="712"/>
      <c r="CG547" s="712"/>
      <c r="CH547" s="712"/>
      <c r="CI547" s="712"/>
      <c r="CJ547" s="712"/>
      <c r="CK547" s="712"/>
      <c r="CL547" s="712"/>
      <c r="CM547" s="712"/>
      <c r="CN547" s="712"/>
      <c r="CO547" s="712"/>
      <c r="CP547" s="712"/>
      <c r="CQ547" s="712"/>
      <c r="CR547" s="712"/>
      <c r="CS547" s="712"/>
      <c r="CT547" s="712"/>
      <c r="CU547" s="712"/>
      <c r="CV547" s="712"/>
      <c r="CW547" s="712"/>
      <c r="CX547" s="712"/>
      <c r="CY547" s="712"/>
      <c r="CZ547" s="712"/>
      <c r="DA547" s="712"/>
      <c r="DB547" s="712"/>
      <c r="DC547" s="712"/>
      <c r="DD547" s="712"/>
      <c r="DE547" s="712"/>
      <c r="DF547" s="712"/>
      <c r="DG547" s="712"/>
      <c r="DH547" s="712"/>
      <c r="DI547" s="712"/>
      <c r="DJ547" s="712"/>
      <c r="DK547" s="712"/>
      <c r="DL547" s="712"/>
      <c r="DM547" s="712"/>
      <c r="DN547" s="712"/>
      <c r="DO547" s="712"/>
      <c r="DP547" s="712"/>
      <c r="DQ547" s="712"/>
      <c r="DR547" s="712"/>
      <c r="DS547" s="712"/>
      <c r="DT547" s="712"/>
      <c r="DU547" s="712"/>
      <c r="DV547" s="712"/>
      <c r="DW547" s="712"/>
      <c r="DX547" s="712"/>
      <c r="DY547" s="712"/>
      <c r="DZ547" s="712"/>
      <c r="EA547" s="712"/>
      <c r="EB547" s="712"/>
      <c r="EC547" s="712"/>
      <c r="ED547" s="712"/>
      <c r="EE547" s="712"/>
      <c r="EF547" s="712"/>
      <c r="EG547" s="712"/>
      <c r="EH547" s="712"/>
      <c r="EI547" s="712"/>
      <c r="EJ547" s="712"/>
      <c r="EK547" s="712"/>
      <c r="EL547" s="712"/>
      <c r="EM547" s="712"/>
      <c r="EN547" s="712"/>
      <c r="EO547" s="712"/>
      <c r="EP547" s="712"/>
      <c r="EQ547" s="712"/>
      <c r="ER547" s="712"/>
      <c r="ES547" s="712"/>
      <c r="ET547" s="794"/>
      <c r="EU547" s="794"/>
      <c r="EV547" s="794"/>
      <c r="EW547" s="794"/>
      <c r="EX547" s="794"/>
      <c r="EY547" s="794"/>
      <c r="EZ547" s="794"/>
      <c r="FA547" s="712"/>
      <c r="FB547" s="712"/>
      <c r="FC547" s="712"/>
      <c r="FD547" s="712"/>
      <c r="FE547" s="712"/>
      <c r="FF547" s="712"/>
      <c r="FG547" s="712"/>
      <c r="FH547" s="712"/>
      <c r="FI547" s="712"/>
      <c r="FJ547" s="712"/>
      <c r="FK547" s="712"/>
      <c r="FL547" s="712"/>
      <c r="FM547" s="712"/>
      <c r="FN547" s="712"/>
      <c r="FO547" s="712"/>
      <c r="FP547" s="712"/>
      <c r="FQ547" s="712"/>
      <c r="FR547" s="712"/>
      <c r="FS547" s="712"/>
      <c r="FT547" s="712"/>
      <c r="FU547" s="712"/>
      <c r="FV547" s="712"/>
      <c r="FW547" s="712"/>
      <c r="FX547" s="712"/>
      <c r="FZ547" s="712"/>
      <c r="GA547" s="712"/>
      <c r="GB547" s="712"/>
      <c r="GC547" s="712"/>
      <c r="GD547" s="712"/>
      <c r="GE547" s="712"/>
      <c r="GF547" s="712"/>
      <c r="GG547" s="712"/>
      <c r="GH547" s="712"/>
      <c r="GI547" s="712"/>
      <c r="GJ547" s="712"/>
      <c r="GK547" s="712"/>
      <c r="GL547" s="712"/>
      <c r="GM547" s="712"/>
      <c r="GN547" s="712"/>
      <c r="GO547" s="712"/>
      <c r="GP547" s="712"/>
      <c r="GQ547" s="712"/>
      <c r="GR547" s="712"/>
      <c r="GS547" s="712"/>
      <c r="GT547" s="712"/>
      <c r="GU547" s="712"/>
      <c r="GV547" s="712"/>
      <c r="GW547" s="712"/>
      <c r="GX547" s="712"/>
      <c r="GY547" s="712"/>
      <c r="GZ547" s="712"/>
      <c r="HA547" s="712"/>
      <c r="HB547" s="712"/>
      <c r="HC547" s="712"/>
    </row>
    <row r="548" spans="1:211">
      <c r="A548" s="707"/>
      <c r="G548" s="712"/>
      <c r="H548" s="712"/>
      <c r="I548" s="712"/>
      <c r="J548" s="712"/>
      <c r="K548" s="712"/>
      <c r="L548" s="712"/>
      <c r="M548" s="712"/>
      <c r="N548" s="712"/>
      <c r="O548" s="712"/>
      <c r="P548" s="712"/>
      <c r="Q548" s="712"/>
      <c r="R548" s="712"/>
      <c r="S548" s="712"/>
      <c r="T548" s="712"/>
      <c r="U548" s="712"/>
      <c r="V548" s="712"/>
      <c r="W548" s="712"/>
      <c r="X548" s="712"/>
      <c r="Y548" s="712"/>
      <c r="Z548" s="712"/>
      <c r="AA548" s="712"/>
      <c r="AB548" s="712"/>
      <c r="AC548" s="712"/>
      <c r="AD548" s="712"/>
      <c r="AE548" s="712"/>
      <c r="AF548" s="712"/>
      <c r="AG548" s="712"/>
      <c r="AH548" s="712"/>
      <c r="AI548" s="712"/>
      <c r="AJ548" s="712"/>
      <c r="AK548" s="712"/>
      <c r="AL548" s="712"/>
      <c r="AM548" s="712"/>
      <c r="AN548" s="712"/>
      <c r="AO548" s="712"/>
      <c r="AP548" s="712"/>
      <c r="AQ548" s="712"/>
      <c r="AR548" s="712"/>
      <c r="AS548" s="712"/>
      <c r="AT548" s="712"/>
      <c r="AU548" s="712"/>
      <c r="AV548" s="712"/>
      <c r="AW548" s="712"/>
      <c r="AX548" s="712"/>
      <c r="AY548" s="712"/>
      <c r="AZ548" s="712"/>
      <c r="BA548" s="712"/>
      <c r="BB548" s="712"/>
      <c r="BC548" s="712"/>
      <c r="BD548" s="712"/>
      <c r="BE548" s="712"/>
      <c r="BF548" s="712"/>
      <c r="BG548" s="712"/>
      <c r="BH548" s="712"/>
      <c r="BI548" s="712"/>
      <c r="BJ548" s="712"/>
      <c r="BK548" s="712"/>
      <c r="BL548" s="712"/>
      <c r="BM548" s="712"/>
      <c r="BN548" s="712"/>
      <c r="BO548" s="712"/>
      <c r="BP548" s="712"/>
      <c r="BQ548" s="712"/>
      <c r="BR548" s="712"/>
      <c r="BS548" s="712"/>
      <c r="BT548" s="712"/>
      <c r="BU548" s="712"/>
      <c r="BV548" s="712"/>
      <c r="BW548" s="712"/>
      <c r="BX548" s="712"/>
      <c r="BY548" s="712"/>
      <c r="BZ548" s="712"/>
      <c r="CA548" s="712"/>
      <c r="CB548" s="712"/>
      <c r="CC548" s="712"/>
      <c r="CD548" s="712"/>
      <c r="CE548" s="712"/>
      <c r="CF548" s="712"/>
      <c r="CG548" s="712"/>
      <c r="CH548" s="712"/>
      <c r="CI548" s="712"/>
      <c r="CJ548" s="712"/>
      <c r="CK548" s="712"/>
      <c r="CL548" s="712"/>
      <c r="CM548" s="712"/>
      <c r="CN548" s="712"/>
      <c r="CO548" s="712"/>
      <c r="CP548" s="712"/>
      <c r="CQ548" s="712"/>
      <c r="CR548" s="712"/>
      <c r="CS548" s="712"/>
      <c r="CT548" s="712"/>
      <c r="CU548" s="712"/>
      <c r="CV548" s="712"/>
      <c r="CW548" s="712"/>
      <c r="CX548" s="712"/>
      <c r="CY548" s="712"/>
      <c r="CZ548" s="712"/>
      <c r="DA548" s="712"/>
      <c r="DB548" s="712"/>
      <c r="DC548" s="712"/>
      <c r="DD548" s="712"/>
      <c r="DE548" s="712"/>
      <c r="DF548" s="712"/>
      <c r="DG548" s="712"/>
      <c r="DH548" s="712"/>
      <c r="DI548" s="712"/>
      <c r="DJ548" s="712"/>
      <c r="DK548" s="712"/>
      <c r="DL548" s="712"/>
      <c r="DM548" s="712"/>
      <c r="DN548" s="712"/>
      <c r="DO548" s="712"/>
      <c r="DP548" s="712"/>
      <c r="DQ548" s="712"/>
      <c r="DR548" s="712"/>
      <c r="DS548" s="712"/>
      <c r="DT548" s="712"/>
      <c r="DU548" s="712"/>
      <c r="DV548" s="712"/>
      <c r="DW548" s="712"/>
      <c r="DX548" s="712"/>
      <c r="DY548" s="712"/>
      <c r="DZ548" s="712"/>
      <c r="EA548" s="712"/>
      <c r="EB548" s="712"/>
      <c r="EC548" s="712"/>
      <c r="ED548" s="712"/>
      <c r="EE548" s="712"/>
      <c r="EF548" s="712"/>
      <c r="EG548" s="712"/>
      <c r="EH548" s="712"/>
      <c r="EI548" s="712"/>
      <c r="EJ548" s="712"/>
      <c r="EK548" s="712"/>
      <c r="EL548" s="712"/>
      <c r="EM548" s="712"/>
      <c r="EN548" s="712"/>
      <c r="EO548" s="712"/>
      <c r="EP548" s="712"/>
      <c r="EQ548" s="712"/>
      <c r="ER548" s="712"/>
      <c r="ES548" s="712"/>
      <c r="ET548" s="794"/>
      <c r="EU548" s="794"/>
      <c r="EV548" s="794"/>
      <c r="EW548" s="794"/>
      <c r="EX548" s="794"/>
      <c r="EY548" s="794"/>
      <c r="EZ548" s="794"/>
      <c r="FA548" s="712"/>
      <c r="FB548" s="712"/>
      <c r="FC548" s="712"/>
      <c r="FD548" s="712"/>
      <c r="FE548" s="712"/>
      <c r="FF548" s="712"/>
      <c r="FG548" s="712"/>
      <c r="FH548" s="712"/>
      <c r="FI548" s="712"/>
      <c r="FJ548" s="712"/>
      <c r="FK548" s="712"/>
      <c r="FL548" s="712"/>
      <c r="FM548" s="712"/>
      <c r="FN548" s="712"/>
      <c r="FO548" s="712"/>
      <c r="FP548" s="712"/>
      <c r="FQ548" s="712"/>
      <c r="FR548" s="712"/>
      <c r="FS548" s="712"/>
      <c r="FT548" s="712"/>
      <c r="FU548" s="712"/>
      <c r="FV548" s="712"/>
      <c r="FW548" s="712"/>
      <c r="FX548" s="712"/>
      <c r="FZ548" s="712"/>
      <c r="GA548" s="712"/>
      <c r="GB548" s="712"/>
      <c r="GC548" s="712"/>
      <c r="GD548" s="712"/>
      <c r="GE548" s="712"/>
      <c r="GF548" s="712"/>
      <c r="GG548" s="712"/>
      <c r="GH548" s="712"/>
      <c r="GI548" s="712"/>
      <c r="GJ548" s="712"/>
      <c r="GK548" s="712"/>
      <c r="GL548" s="712"/>
      <c r="GM548" s="712"/>
      <c r="GN548" s="712"/>
      <c r="GO548" s="712"/>
      <c r="GP548" s="712"/>
      <c r="GQ548" s="712"/>
      <c r="GR548" s="712"/>
      <c r="GS548" s="712"/>
      <c r="GT548" s="712"/>
      <c r="GU548" s="712"/>
      <c r="GV548" s="712"/>
      <c r="GW548" s="712"/>
      <c r="GX548" s="712"/>
      <c r="GY548" s="712"/>
      <c r="GZ548" s="712"/>
      <c r="HA548" s="712"/>
      <c r="HB548" s="712"/>
      <c r="HC548" s="712"/>
    </row>
    <row r="549" spans="1:211">
      <c r="A549" s="707"/>
      <c r="G549" s="712"/>
      <c r="H549" s="712"/>
      <c r="I549" s="712"/>
      <c r="J549" s="712"/>
      <c r="K549" s="712"/>
      <c r="L549" s="712"/>
      <c r="M549" s="712"/>
      <c r="N549" s="712"/>
      <c r="O549" s="712"/>
      <c r="P549" s="712"/>
      <c r="Q549" s="712"/>
      <c r="R549" s="712"/>
      <c r="S549" s="712"/>
      <c r="T549" s="712"/>
      <c r="U549" s="712"/>
      <c r="V549" s="712"/>
      <c r="W549" s="712"/>
      <c r="X549" s="712"/>
      <c r="Y549" s="712"/>
      <c r="Z549" s="712"/>
      <c r="AA549" s="712"/>
      <c r="AB549" s="712"/>
      <c r="AC549" s="712"/>
      <c r="AD549" s="712"/>
      <c r="AE549" s="712"/>
      <c r="AF549" s="712"/>
      <c r="AG549" s="712"/>
      <c r="AH549" s="712"/>
      <c r="AI549" s="712"/>
      <c r="AJ549" s="712"/>
      <c r="AK549" s="712"/>
      <c r="AL549" s="712"/>
      <c r="AM549" s="712"/>
      <c r="AN549" s="712"/>
      <c r="AO549" s="712"/>
      <c r="AP549" s="712"/>
      <c r="AQ549" s="712"/>
      <c r="AR549" s="712"/>
      <c r="AS549" s="712"/>
      <c r="AT549" s="712"/>
      <c r="AU549" s="712"/>
      <c r="AV549" s="712"/>
      <c r="AW549" s="712"/>
      <c r="AX549" s="712"/>
      <c r="AY549" s="712"/>
      <c r="AZ549" s="712"/>
      <c r="BA549" s="712"/>
      <c r="BB549" s="712"/>
      <c r="BC549" s="712"/>
      <c r="BD549" s="712"/>
      <c r="BE549" s="712"/>
      <c r="BF549" s="712"/>
      <c r="BG549" s="712"/>
      <c r="BH549" s="712"/>
      <c r="BI549" s="712"/>
      <c r="BJ549" s="712"/>
      <c r="BK549" s="712"/>
      <c r="BL549" s="712"/>
      <c r="BM549" s="712"/>
      <c r="BN549" s="712"/>
      <c r="BO549" s="712"/>
      <c r="BP549" s="712"/>
      <c r="BQ549" s="712"/>
      <c r="BR549" s="712"/>
      <c r="BS549" s="712"/>
      <c r="BT549" s="712"/>
      <c r="BU549" s="712"/>
      <c r="BV549" s="712"/>
      <c r="BW549" s="712"/>
      <c r="BX549" s="712"/>
      <c r="BY549" s="712"/>
      <c r="BZ549" s="712"/>
      <c r="CA549" s="712"/>
      <c r="CB549" s="712"/>
      <c r="CC549" s="712"/>
      <c r="CD549" s="712"/>
      <c r="CE549" s="712"/>
      <c r="CF549" s="712"/>
      <c r="CG549" s="712"/>
      <c r="CH549" s="712"/>
      <c r="CI549" s="712"/>
      <c r="CJ549" s="712"/>
      <c r="CK549" s="712"/>
      <c r="CL549" s="712"/>
      <c r="CM549" s="712"/>
      <c r="CN549" s="712"/>
      <c r="CO549" s="712"/>
      <c r="CP549" s="712"/>
      <c r="CQ549" s="712"/>
      <c r="CR549" s="712"/>
      <c r="CS549" s="712"/>
      <c r="CT549" s="712"/>
      <c r="CU549" s="712"/>
      <c r="CV549" s="712"/>
      <c r="CW549" s="712"/>
      <c r="CX549" s="712"/>
      <c r="CY549" s="712"/>
      <c r="CZ549" s="712"/>
      <c r="DA549" s="712"/>
      <c r="DB549" s="712"/>
      <c r="DC549" s="712"/>
      <c r="DD549" s="712"/>
      <c r="DE549" s="712"/>
      <c r="DF549" s="712"/>
      <c r="DG549" s="712"/>
      <c r="DH549" s="712"/>
      <c r="DI549" s="712"/>
      <c r="DJ549" s="712"/>
      <c r="DK549" s="712"/>
      <c r="DL549" s="712"/>
      <c r="DM549" s="712"/>
      <c r="DN549" s="712"/>
      <c r="DO549" s="712"/>
      <c r="DP549" s="712"/>
      <c r="DQ549" s="712"/>
      <c r="DR549" s="712"/>
      <c r="DS549" s="712"/>
      <c r="DT549" s="712"/>
      <c r="DU549" s="712"/>
      <c r="DV549" s="712"/>
      <c r="DW549" s="712"/>
      <c r="DX549" s="712"/>
      <c r="DY549" s="712"/>
      <c r="DZ549" s="712"/>
      <c r="EA549" s="712"/>
      <c r="EB549" s="712"/>
      <c r="EC549" s="712"/>
      <c r="ED549" s="712"/>
      <c r="EE549" s="712"/>
      <c r="EF549" s="712"/>
      <c r="EG549" s="712"/>
      <c r="EH549" s="712"/>
      <c r="EI549" s="712"/>
      <c r="EJ549" s="712"/>
      <c r="EK549" s="712"/>
      <c r="EL549" s="712"/>
      <c r="EM549" s="712"/>
      <c r="EN549" s="712"/>
      <c r="EO549" s="712"/>
      <c r="EP549" s="712"/>
      <c r="EQ549" s="712"/>
      <c r="ER549" s="712"/>
      <c r="ES549" s="712"/>
      <c r="ET549" s="794"/>
      <c r="EU549" s="794"/>
      <c r="EV549" s="794"/>
      <c r="EW549" s="794"/>
      <c r="EX549" s="794"/>
      <c r="EY549" s="794"/>
      <c r="EZ549" s="794"/>
      <c r="FA549" s="712"/>
      <c r="FB549" s="712"/>
      <c r="FC549" s="712"/>
      <c r="FD549" s="712"/>
      <c r="FE549" s="712"/>
      <c r="FF549" s="712"/>
      <c r="FG549" s="712"/>
      <c r="FH549" s="712"/>
      <c r="FI549" s="712"/>
      <c r="FJ549" s="712"/>
      <c r="FK549" s="712"/>
      <c r="FL549" s="712"/>
      <c r="FM549" s="712"/>
      <c r="FN549" s="712"/>
      <c r="FO549" s="712"/>
      <c r="FP549" s="712"/>
      <c r="FQ549" s="712"/>
      <c r="FR549" s="712"/>
      <c r="FS549" s="712"/>
      <c r="FT549" s="712"/>
      <c r="FU549" s="712"/>
      <c r="FV549" s="712"/>
      <c r="FW549" s="712"/>
      <c r="FX549" s="712"/>
      <c r="FZ549" s="712"/>
      <c r="GA549" s="712"/>
      <c r="GB549" s="712"/>
      <c r="GC549" s="712"/>
      <c r="GD549" s="712"/>
      <c r="GE549" s="712"/>
      <c r="GF549" s="712"/>
      <c r="GG549" s="712"/>
      <c r="GH549" s="712"/>
      <c r="GI549" s="712"/>
      <c r="GJ549" s="712"/>
      <c r="GK549" s="712"/>
      <c r="GL549" s="712"/>
      <c r="GM549" s="712"/>
      <c r="GN549" s="712"/>
      <c r="GO549" s="712"/>
      <c r="GP549" s="712"/>
      <c r="GQ549" s="712"/>
      <c r="GR549" s="712"/>
      <c r="GS549" s="712"/>
      <c r="GT549" s="712"/>
      <c r="GU549" s="712"/>
      <c r="GV549" s="712"/>
      <c r="GW549" s="712"/>
      <c r="GX549" s="712"/>
      <c r="GY549" s="712"/>
      <c r="GZ549" s="712"/>
      <c r="HA549" s="712"/>
      <c r="HB549" s="712"/>
      <c r="HC549" s="712"/>
    </row>
    <row r="550" spans="1:211">
      <c r="A550" s="707"/>
      <c r="G550" s="712"/>
      <c r="H550" s="712"/>
      <c r="I550" s="712"/>
      <c r="J550" s="712"/>
      <c r="K550" s="712"/>
      <c r="L550" s="712"/>
      <c r="M550" s="712"/>
      <c r="N550" s="712"/>
      <c r="O550" s="712"/>
      <c r="P550" s="712"/>
      <c r="Q550" s="712"/>
      <c r="R550" s="712"/>
      <c r="S550" s="712"/>
      <c r="T550" s="712"/>
      <c r="U550" s="712"/>
      <c r="V550" s="712"/>
      <c r="W550" s="712"/>
      <c r="X550" s="712"/>
      <c r="Y550" s="712"/>
      <c r="Z550" s="712"/>
      <c r="AA550" s="712"/>
      <c r="AB550" s="712"/>
      <c r="AC550" s="712"/>
      <c r="AD550" s="712"/>
      <c r="AE550" s="712"/>
      <c r="AF550" s="712"/>
      <c r="AG550" s="712"/>
      <c r="AH550" s="712"/>
      <c r="AI550" s="712"/>
      <c r="AJ550" s="712"/>
      <c r="AK550" s="712"/>
      <c r="AL550" s="712"/>
      <c r="AM550" s="712"/>
      <c r="AN550" s="712"/>
      <c r="AO550" s="712"/>
      <c r="AP550" s="712"/>
      <c r="AQ550" s="712"/>
      <c r="AR550" s="712"/>
      <c r="AS550" s="712"/>
      <c r="AT550" s="712"/>
      <c r="AU550" s="712"/>
      <c r="AV550" s="712"/>
      <c r="AW550" s="712"/>
      <c r="AX550" s="712"/>
      <c r="AY550" s="712"/>
      <c r="AZ550" s="712"/>
      <c r="BA550" s="712"/>
      <c r="BB550" s="712"/>
      <c r="BC550" s="712"/>
      <c r="BD550" s="712"/>
      <c r="BE550" s="712"/>
      <c r="BF550" s="712"/>
      <c r="BG550" s="712"/>
      <c r="BH550" s="712"/>
      <c r="BI550" s="712"/>
      <c r="BJ550" s="712"/>
      <c r="BK550" s="712"/>
      <c r="BL550" s="712"/>
      <c r="BM550" s="712"/>
      <c r="BN550" s="712"/>
      <c r="BO550" s="712"/>
      <c r="BP550" s="712"/>
      <c r="BQ550" s="712"/>
      <c r="BR550" s="712"/>
      <c r="BS550" s="712"/>
      <c r="BT550" s="712"/>
      <c r="BU550" s="712"/>
      <c r="BV550" s="712"/>
      <c r="BW550" s="712"/>
      <c r="BX550" s="712"/>
      <c r="BY550" s="712"/>
      <c r="BZ550" s="712"/>
      <c r="CA550" s="712"/>
      <c r="CB550" s="712"/>
      <c r="CC550" s="712"/>
      <c r="CD550" s="712"/>
      <c r="CE550" s="712"/>
      <c r="CF550" s="712"/>
      <c r="CG550" s="712"/>
      <c r="CH550" s="712"/>
      <c r="CI550" s="712"/>
      <c r="CJ550" s="712"/>
      <c r="CK550" s="712"/>
      <c r="CL550" s="712"/>
      <c r="CM550" s="712"/>
      <c r="CN550" s="712"/>
      <c r="CO550" s="712"/>
      <c r="CP550" s="712"/>
      <c r="CQ550" s="712"/>
      <c r="CR550" s="712"/>
      <c r="CS550" s="712"/>
      <c r="CT550" s="712"/>
      <c r="CU550" s="712"/>
      <c r="CV550" s="712"/>
      <c r="CW550" s="712"/>
      <c r="CX550" s="712"/>
      <c r="CY550" s="712"/>
      <c r="CZ550" s="712"/>
      <c r="DA550" s="712"/>
      <c r="DB550" s="712"/>
      <c r="DC550" s="712"/>
      <c r="DD550" s="712"/>
      <c r="DE550" s="712"/>
      <c r="DF550" s="712"/>
      <c r="DG550" s="712"/>
      <c r="DH550" s="712"/>
      <c r="DI550" s="712"/>
      <c r="DJ550" s="712"/>
      <c r="DK550" s="712"/>
      <c r="DL550" s="712"/>
      <c r="DM550" s="712"/>
      <c r="DN550" s="712"/>
      <c r="DO550" s="712"/>
      <c r="DP550" s="712"/>
      <c r="DQ550" s="712"/>
      <c r="DR550" s="712"/>
      <c r="DS550" s="712"/>
      <c r="DT550" s="712"/>
      <c r="DU550" s="712"/>
      <c r="DV550" s="712"/>
      <c r="DW550" s="712"/>
      <c r="DX550" s="712"/>
      <c r="DY550" s="712"/>
      <c r="DZ550" s="712"/>
      <c r="EA550" s="712"/>
      <c r="EB550" s="712"/>
      <c r="EC550" s="712"/>
      <c r="ED550" s="712"/>
      <c r="EE550" s="712"/>
      <c r="EF550" s="712"/>
      <c r="EG550" s="712"/>
      <c r="EH550" s="712"/>
      <c r="EI550" s="712"/>
      <c r="EJ550" s="712"/>
      <c r="EK550" s="712"/>
      <c r="EL550" s="712"/>
      <c r="EM550" s="712"/>
      <c r="EN550" s="712"/>
      <c r="EO550" s="712"/>
      <c r="EP550" s="712"/>
      <c r="EQ550" s="712"/>
      <c r="ER550" s="712"/>
      <c r="ES550" s="712"/>
      <c r="ET550" s="794"/>
      <c r="EU550" s="794"/>
      <c r="EV550" s="794"/>
      <c r="EW550" s="794"/>
      <c r="EX550" s="794"/>
      <c r="EY550" s="794"/>
      <c r="EZ550" s="794"/>
      <c r="FA550" s="712"/>
      <c r="FB550" s="712"/>
      <c r="FC550" s="712"/>
      <c r="FD550" s="712"/>
      <c r="FE550" s="712"/>
      <c r="FF550" s="712"/>
      <c r="FG550" s="712"/>
      <c r="FH550" s="712"/>
      <c r="FI550" s="712"/>
      <c r="FJ550" s="712"/>
      <c r="FK550" s="712"/>
      <c r="FL550" s="712"/>
      <c r="FM550" s="712"/>
      <c r="FN550" s="712"/>
      <c r="FO550" s="712"/>
      <c r="FP550" s="712"/>
      <c r="FQ550" s="712"/>
      <c r="FR550" s="712"/>
      <c r="FS550" s="712"/>
      <c r="FT550" s="712"/>
      <c r="FU550" s="712"/>
      <c r="FV550" s="712"/>
      <c r="FW550" s="712"/>
      <c r="FX550" s="712"/>
      <c r="FZ550" s="712"/>
      <c r="GA550" s="712"/>
      <c r="GB550" s="712"/>
      <c r="GC550" s="712"/>
      <c r="GD550" s="712"/>
      <c r="GE550" s="712"/>
      <c r="GF550" s="712"/>
      <c r="GG550" s="712"/>
      <c r="GH550" s="712"/>
      <c r="GI550" s="712"/>
      <c r="GJ550" s="712"/>
      <c r="GK550" s="712"/>
      <c r="GL550" s="712"/>
      <c r="GM550" s="712"/>
      <c r="GN550" s="712"/>
      <c r="GO550" s="712"/>
      <c r="GP550" s="712"/>
      <c r="GQ550" s="712"/>
      <c r="GR550" s="712"/>
      <c r="GS550" s="712"/>
      <c r="GT550" s="712"/>
      <c r="GU550" s="712"/>
      <c r="GV550" s="712"/>
      <c r="GW550" s="712"/>
      <c r="GX550" s="712"/>
      <c r="GY550" s="712"/>
      <c r="GZ550" s="712"/>
      <c r="HA550" s="712"/>
      <c r="HB550" s="712"/>
      <c r="HC550" s="712"/>
    </row>
    <row r="551" spans="1:211">
      <c r="A551" s="707"/>
      <c r="G551" s="712"/>
      <c r="H551" s="712"/>
      <c r="I551" s="712"/>
      <c r="J551" s="712"/>
      <c r="K551" s="712"/>
      <c r="L551" s="712"/>
      <c r="M551" s="712"/>
      <c r="N551" s="712"/>
      <c r="O551" s="712"/>
      <c r="P551" s="712"/>
      <c r="Q551" s="712"/>
      <c r="R551" s="712"/>
      <c r="S551" s="712"/>
      <c r="T551" s="712"/>
      <c r="U551" s="712"/>
      <c r="V551" s="712"/>
      <c r="W551" s="712"/>
      <c r="X551" s="712"/>
      <c r="Y551" s="712"/>
      <c r="Z551" s="712"/>
      <c r="AA551" s="712"/>
      <c r="AB551" s="712"/>
      <c r="AC551" s="712"/>
      <c r="AD551" s="712"/>
      <c r="AE551" s="712"/>
      <c r="AF551" s="712"/>
      <c r="AG551" s="712"/>
      <c r="AH551" s="712"/>
      <c r="AI551" s="712"/>
      <c r="AJ551" s="712"/>
      <c r="AK551" s="712"/>
      <c r="AL551" s="712"/>
      <c r="AM551" s="712"/>
      <c r="AN551" s="712"/>
      <c r="AO551" s="712"/>
      <c r="AP551" s="712"/>
      <c r="AQ551" s="712"/>
      <c r="AR551" s="712"/>
      <c r="AS551" s="712"/>
      <c r="AT551" s="712"/>
      <c r="AU551" s="712"/>
      <c r="AV551" s="712"/>
      <c r="AW551" s="712"/>
      <c r="AX551" s="712"/>
      <c r="AY551" s="712"/>
      <c r="AZ551" s="712"/>
      <c r="BA551" s="712"/>
      <c r="BB551" s="712"/>
      <c r="BC551" s="712"/>
      <c r="BD551" s="712"/>
      <c r="BE551" s="712"/>
      <c r="BF551" s="712"/>
      <c r="BG551" s="712"/>
      <c r="BH551" s="712"/>
      <c r="BI551" s="712"/>
      <c r="BJ551" s="712"/>
      <c r="BK551" s="712"/>
      <c r="BL551" s="712"/>
      <c r="BM551" s="712"/>
      <c r="BN551" s="712"/>
      <c r="BO551" s="712"/>
      <c r="BP551" s="712"/>
      <c r="BQ551" s="712"/>
      <c r="BR551" s="712"/>
      <c r="BS551" s="712"/>
      <c r="BT551" s="712"/>
      <c r="BU551" s="712"/>
      <c r="BV551" s="712"/>
      <c r="BW551" s="712"/>
      <c r="BX551" s="712"/>
      <c r="BY551" s="712"/>
      <c r="BZ551" s="712"/>
      <c r="CA551" s="712"/>
      <c r="CB551" s="712"/>
      <c r="CC551" s="712"/>
      <c r="CD551" s="712"/>
      <c r="CE551" s="712"/>
      <c r="CF551" s="712"/>
      <c r="CG551" s="712"/>
      <c r="CH551" s="712"/>
      <c r="CI551" s="712"/>
      <c r="CJ551" s="712"/>
      <c r="CK551" s="712"/>
      <c r="CL551" s="712"/>
      <c r="CM551" s="712"/>
      <c r="CN551" s="712"/>
      <c r="CO551" s="712"/>
      <c r="CP551" s="712"/>
      <c r="CQ551" s="712"/>
      <c r="CR551" s="712"/>
      <c r="CS551" s="712"/>
      <c r="CT551" s="712"/>
      <c r="CU551" s="712"/>
      <c r="CV551" s="712"/>
      <c r="CW551" s="712"/>
      <c r="CX551" s="712"/>
      <c r="CY551" s="712"/>
      <c r="CZ551" s="712"/>
      <c r="DA551" s="712"/>
      <c r="DB551" s="712"/>
      <c r="DC551" s="712"/>
      <c r="DD551" s="712"/>
      <c r="DE551" s="712"/>
      <c r="DF551" s="712"/>
      <c r="DG551" s="712"/>
      <c r="DH551" s="712"/>
      <c r="DI551" s="712"/>
      <c r="DJ551" s="712"/>
      <c r="DK551" s="712"/>
      <c r="DL551" s="712"/>
      <c r="DM551" s="712"/>
      <c r="DN551" s="712"/>
      <c r="DO551" s="712"/>
      <c r="DP551" s="712"/>
      <c r="DQ551" s="712"/>
      <c r="DR551" s="712"/>
      <c r="DS551" s="712"/>
      <c r="DT551" s="712"/>
      <c r="DU551" s="712"/>
      <c r="DV551" s="712"/>
      <c r="DW551" s="712"/>
      <c r="DX551" s="712"/>
      <c r="DY551" s="712"/>
      <c r="DZ551" s="712"/>
      <c r="EA551" s="712"/>
      <c r="EB551" s="712"/>
      <c r="EC551" s="712"/>
      <c r="ED551" s="712"/>
      <c r="EE551" s="712"/>
      <c r="EF551" s="712"/>
      <c r="EG551" s="712"/>
      <c r="EH551" s="712"/>
      <c r="EI551" s="712"/>
      <c r="EJ551" s="712"/>
      <c r="EK551" s="712"/>
      <c r="EL551" s="712"/>
      <c r="EM551" s="712"/>
      <c r="EN551" s="712"/>
      <c r="EO551" s="712"/>
      <c r="EP551" s="712"/>
      <c r="EQ551" s="712"/>
      <c r="ER551" s="712"/>
      <c r="ES551" s="712"/>
      <c r="ET551" s="794"/>
      <c r="EU551" s="794"/>
      <c r="EV551" s="794"/>
      <c r="EW551" s="794"/>
      <c r="EX551" s="794"/>
      <c r="EY551" s="794"/>
      <c r="EZ551" s="794"/>
      <c r="FA551" s="712"/>
      <c r="FB551" s="712"/>
      <c r="FC551" s="712"/>
      <c r="FD551" s="712"/>
      <c r="FE551" s="712"/>
      <c r="FF551" s="712"/>
      <c r="FG551" s="712"/>
      <c r="FH551" s="712"/>
      <c r="FI551" s="712"/>
      <c r="FJ551" s="712"/>
      <c r="FK551" s="712"/>
      <c r="FL551" s="712"/>
      <c r="FM551" s="712"/>
      <c r="FN551" s="712"/>
      <c r="FO551" s="712"/>
      <c r="FP551" s="712"/>
      <c r="FQ551" s="712"/>
      <c r="FR551" s="712"/>
      <c r="FS551" s="712"/>
      <c r="FT551" s="712"/>
      <c r="FU551" s="712"/>
      <c r="FV551" s="712"/>
      <c r="FW551" s="712"/>
      <c r="FX551" s="712"/>
      <c r="FZ551" s="712"/>
      <c r="GA551" s="712"/>
      <c r="GB551" s="712"/>
      <c r="GC551" s="712"/>
      <c r="GD551" s="712"/>
      <c r="GE551" s="712"/>
      <c r="GF551" s="712"/>
      <c r="GG551" s="712"/>
      <c r="GH551" s="712"/>
      <c r="GI551" s="712"/>
      <c r="GJ551" s="712"/>
      <c r="GK551" s="712"/>
      <c r="GL551" s="712"/>
      <c r="GM551" s="712"/>
      <c r="GN551" s="712"/>
      <c r="GO551" s="712"/>
      <c r="GP551" s="712"/>
      <c r="GQ551" s="712"/>
      <c r="GR551" s="712"/>
      <c r="GS551" s="712"/>
      <c r="GT551" s="712"/>
      <c r="GU551" s="712"/>
      <c r="GV551" s="712"/>
      <c r="GW551" s="712"/>
      <c r="GX551" s="712"/>
      <c r="GY551" s="712"/>
      <c r="GZ551" s="712"/>
      <c r="HA551" s="712"/>
      <c r="HB551" s="712"/>
      <c r="HC551" s="712"/>
    </row>
    <row r="552" spans="1:211">
      <c r="A552" s="707"/>
      <c r="G552" s="712"/>
      <c r="H552" s="712"/>
      <c r="I552" s="712"/>
      <c r="J552" s="712"/>
      <c r="K552" s="712"/>
      <c r="L552" s="712"/>
      <c r="M552" s="712"/>
      <c r="N552" s="712"/>
      <c r="O552" s="712"/>
      <c r="P552" s="712"/>
      <c r="Q552" s="712"/>
      <c r="R552" s="712"/>
      <c r="S552" s="712"/>
      <c r="T552" s="712"/>
      <c r="U552" s="712"/>
      <c r="V552" s="712"/>
      <c r="W552" s="712"/>
      <c r="X552" s="712"/>
      <c r="Y552" s="712"/>
      <c r="Z552" s="712"/>
      <c r="AA552" s="712"/>
      <c r="AB552" s="712"/>
      <c r="AC552" s="712"/>
      <c r="AD552" s="712"/>
      <c r="AE552" s="712"/>
      <c r="AF552" s="712"/>
      <c r="AG552" s="712"/>
      <c r="AH552" s="712"/>
      <c r="AI552" s="712"/>
      <c r="AJ552" s="712"/>
      <c r="AK552" s="712"/>
      <c r="AL552" s="712"/>
      <c r="AM552" s="712"/>
      <c r="AN552" s="712"/>
      <c r="AO552" s="712"/>
      <c r="AP552" s="712"/>
      <c r="AQ552" s="712"/>
      <c r="AR552" s="712"/>
      <c r="AS552" s="712"/>
      <c r="AT552" s="712"/>
      <c r="AU552" s="712"/>
      <c r="AV552" s="712"/>
      <c r="AW552" s="712"/>
      <c r="AX552" s="712"/>
      <c r="AY552" s="712"/>
      <c r="AZ552" s="712"/>
      <c r="BA552" s="712"/>
      <c r="BB552" s="712"/>
      <c r="BC552" s="712"/>
      <c r="BD552" s="712"/>
      <c r="BE552" s="712"/>
      <c r="BF552" s="712"/>
      <c r="BG552" s="712"/>
      <c r="BH552" s="712"/>
      <c r="BI552" s="712"/>
      <c r="BJ552" s="712"/>
      <c r="BK552" s="712"/>
      <c r="BL552" s="712"/>
      <c r="BM552" s="712"/>
      <c r="BN552" s="712"/>
      <c r="BO552" s="712"/>
      <c r="BP552" s="712"/>
      <c r="BQ552" s="712"/>
      <c r="BR552" s="712"/>
      <c r="BS552" s="712"/>
      <c r="BT552" s="712"/>
      <c r="BU552" s="712"/>
      <c r="BV552" s="712"/>
      <c r="BW552" s="712"/>
      <c r="BX552" s="712"/>
      <c r="BY552" s="712"/>
      <c r="BZ552" s="712"/>
      <c r="CA552" s="712"/>
      <c r="CB552" s="712"/>
      <c r="CC552" s="712"/>
      <c r="CD552" s="712"/>
      <c r="CE552" s="712"/>
      <c r="CF552" s="712"/>
      <c r="CG552" s="712"/>
      <c r="CH552" s="712"/>
      <c r="CI552" s="712"/>
      <c r="CJ552" s="712"/>
      <c r="CK552" s="712"/>
      <c r="CL552" s="712"/>
      <c r="CM552" s="712"/>
      <c r="CN552" s="712"/>
      <c r="CO552" s="712"/>
      <c r="CP552" s="712"/>
      <c r="CQ552" s="712"/>
      <c r="CR552" s="712"/>
      <c r="CS552" s="712"/>
      <c r="CT552" s="712"/>
      <c r="CU552" s="712"/>
      <c r="CV552" s="712"/>
      <c r="CW552" s="712"/>
      <c r="CX552" s="712"/>
      <c r="CY552" s="712"/>
      <c r="CZ552" s="712"/>
      <c r="DA552" s="712"/>
      <c r="DB552" s="712"/>
      <c r="DC552" s="712"/>
      <c r="DD552" s="712"/>
      <c r="DE552" s="712"/>
      <c r="DF552" s="712"/>
      <c r="DG552" s="712"/>
      <c r="DH552" s="712"/>
      <c r="DI552" s="712"/>
      <c r="DJ552" s="712"/>
      <c r="DK552" s="712"/>
      <c r="DL552" s="712"/>
      <c r="DM552" s="712"/>
      <c r="DN552" s="712"/>
      <c r="DO552" s="712"/>
      <c r="DP552" s="712"/>
      <c r="DQ552" s="712"/>
      <c r="DR552" s="712"/>
      <c r="DS552" s="712"/>
      <c r="DT552" s="712"/>
      <c r="DU552" s="712"/>
      <c r="DV552" s="712"/>
      <c r="DW552" s="712"/>
      <c r="DX552" s="712"/>
      <c r="DY552" s="712"/>
      <c r="DZ552" s="712"/>
      <c r="EA552" s="712"/>
      <c r="EB552" s="712"/>
      <c r="EC552" s="712"/>
      <c r="ED552" s="712"/>
      <c r="EE552" s="712"/>
      <c r="EF552" s="712"/>
      <c r="EG552" s="712"/>
      <c r="EH552" s="712"/>
      <c r="EI552" s="712"/>
      <c r="EJ552" s="712"/>
      <c r="EK552" s="712"/>
      <c r="EL552" s="712"/>
      <c r="EM552" s="712"/>
      <c r="EN552" s="712"/>
      <c r="EO552" s="712"/>
      <c r="EP552" s="712"/>
      <c r="EQ552" s="712"/>
      <c r="ER552" s="712"/>
      <c r="ES552" s="712"/>
      <c r="ET552" s="794"/>
      <c r="EU552" s="794"/>
      <c r="EV552" s="794"/>
      <c r="EW552" s="794"/>
      <c r="EX552" s="794"/>
      <c r="EY552" s="794"/>
      <c r="EZ552" s="794"/>
      <c r="FA552" s="712"/>
      <c r="FB552" s="712"/>
      <c r="FC552" s="712"/>
      <c r="FD552" s="712"/>
      <c r="FE552" s="712"/>
      <c r="FF552" s="712"/>
      <c r="FG552" s="712"/>
      <c r="FH552" s="712"/>
      <c r="FI552" s="712"/>
      <c r="FJ552" s="712"/>
      <c r="FK552" s="712"/>
      <c r="FL552" s="712"/>
      <c r="FM552" s="712"/>
      <c r="FN552" s="712"/>
      <c r="FO552" s="712"/>
      <c r="FP552" s="712"/>
      <c r="FQ552" s="712"/>
      <c r="FR552" s="712"/>
      <c r="FS552" s="712"/>
      <c r="FT552" s="712"/>
      <c r="FU552" s="712"/>
      <c r="FV552" s="712"/>
      <c r="FW552" s="712"/>
      <c r="FX552" s="712"/>
      <c r="FZ552" s="712"/>
      <c r="GA552" s="712"/>
      <c r="GB552" s="712"/>
      <c r="GC552" s="712"/>
      <c r="GD552" s="712"/>
      <c r="GE552" s="712"/>
      <c r="GF552" s="712"/>
      <c r="GG552" s="712"/>
      <c r="GH552" s="712"/>
      <c r="GI552" s="712"/>
      <c r="GJ552" s="712"/>
      <c r="GK552" s="712"/>
      <c r="GL552" s="712"/>
      <c r="GM552" s="712"/>
      <c r="GN552" s="712"/>
      <c r="GO552" s="712"/>
      <c r="GP552" s="712"/>
      <c r="GQ552" s="712"/>
      <c r="GR552" s="712"/>
      <c r="GS552" s="712"/>
      <c r="GT552" s="712"/>
      <c r="GU552" s="712"/>
      <c r="GV552" s="712"/>
      <c r="GW552" s="712"/>
      <c r="GX552" s="712"/>
      <c r="GY552" s="712"/>
      <c r="GZ552" s="712"/>
      <c r="HA552" s="712"/>
      <c r="HB552" s="712"/>
      <c r="HC552" s="712"/>
    </row>
    <row r="553" spans="1:211">
      <c r="A553" s="707"/>
      <c r="G553" s="712"/>
      <c r="H553" s="712"/>
      <c r="I553" s="712"/>
      <c r="J553" s="712"/>
      <c r="K553" s="712"/>
      <c r="L553" s="712"/>
      <c r="M553" s="712"/>
      <c r="N553" s="712"/>
      <c r="O553" s="712"/>
      <c r="P553" s="712"/>
      <c r="Q553" s="712"/>
      <c r="R553" s="712"/>
      <c r="S553" s="712"/>
      <c r="T553" s="712"/>
      <c r="U553" s="712"/>
      <c r="V553" s="712"/>
      <c r="W553" s="712"/>
      <c r="X553" s="712"/>
      <c r="Y553" s="712"/>
      <c r="Z553" s="712"/>
      <c r="AA553" s="712"/>
      <c r="AB553" s="712"/>
      <c r="AC553" s="712"/>
      <c r="AD553" s="712"/>
      <c r="AE553" s="712"/>
      <c r="AF553" s="712"/>
      <c r="AG553" s="712"/>
      <c r="AH553" s="712"/>
      <c r="AI553" s="712"/>
      <c r="AJ553" s="712"/>
      <c r="AK553" s="712"/>
      <c r="AL553" s="712"/>
      <c r="AM553" s="712"/>
      <c r="AN553" s="712"/>
      <c r="AO553" s="712"/>
      <c r="AP553" s="712"/>
      <c r="AQ553" s="712"/>
      <c r="AR553" s="712"/>
      <c r="AS553" s="712"/>
      <c r="AT553" s="712"/>
      <c r="AU553" s="712"/>
      <c r="AV553" s="712"/>
      <c r="AW553" s="712"/>
      <c r="AX553" s="712"/>
      <c r="AY553" s="712"/>
      <c r="AZ553" s="712"/>
      <c r="BA553" s="712"/>
      <c r="BB553" s="712"/>
      <c r="BC553" s="712"/>
      <c r="BD553" s="712"/>
      <c r="BE553" s="712"/>
      <c r="BF553" s="712"/>
      <c r="BG553" s="712"/>
      <c r="BH553" s="712"/>
      <c r="BI553" s="712"/>
      <c r="BJ553" s="712"/>
      <c r="BK553" s="712"/>
      <c r="BL553" s="712"/>
      <c r="BM553" s="712"/>
      <c r="BN553" s="712"/>
      <c r="BO553" s="712"/>
      <c r="BP553" s="712"/>
      <c r="BQ553" s="712"/>
      <c r="BR553" s="712"/>
      <c r="BS553" s="712"/>
      <c r="BT553" s="712"/>
      <c r="BU553" s="712"/>
      <c r="BV553" s="712"/>
      <c r="BW553" s="712"/>
      <c r="BX553" s="712"/>
      <c r="BY553" s="712"/>
      <c r="BZ553" s="712"/>
      <c r="CA553" s="712"/>
      <c r="CB553" s="712"/>
      <c r="CC553" s="712"/>
      <c r="CD553" s="712"/>
      <c r="CE553" s="712"/>
      <c r="CF553" s="712"/>
      <c r="CG553" s="712"/>
      <c r="CH553" s="712"/>
      <c r="CI553" s="712"/>
      <c r="CJ553" s="712"/>
      <c r="CK553" s="712"/>
      <c r="CL553" s="712"/>
      <c r="CM553" s="712"/>
      <c r="CN553" s="712"/>
      <c r="CO553" s="712"/>
      <c r="CP553" s="712"/>
      <c r="CQ553" s="712"/>
      <c r="CR553" s="712"/>
      <c r="CS553" s="712"/>
      <c r="CT553" s="712"/>
      <c r="CU553" s="712"/>
      <c r="CV553" s="712"/>
      <c r="CW553" s="712"/>
      <c r="CX553" s="712"/>
      <c r="CY553" s="712"/>
      <c r="CZ553" s="712"/>
      <c r="DA553" s="712"/>
      <c r="DB553" s="712"/>
      <c r="DC553" s="712"/>
      <c r="DD553" s="712"/>
      <c r="DE553" s="712"/>
      <c r="DF553" s="712"/>
      <c r="DG553" s="712"/>
      <c r="DH553" s="712"/>
      <c r="DI553" s="712"/>
      <c r="DJ553" s="712"/>
      <c r="DK553" s="712"/>
      <c r="DL553" s="712"/>
      <c r="DM553" s="712"/>
      <c r="DN553" s="712"/>
      <c r="DO553" s="712"/>
      <c r="DP553" s="712"/>
      <c r="DQ553" s="712"/>
      <c r="DR553" s="712"/>
      <c r="DS553" s="712"/>
      <c r="DT553" s="712"/>
      <c r="DU553" s="712"/>
      <c r="DV553" s="712"/>
      <c r="DW553" s="712"/>
      <c r="DX553" s="712"/>
      <c r="DY553" s="712"/>
      <c r="DZ553" s="712"/>
      <c r="EA553" s="712"/>
      <c r="EB553" s="712"/>
      <c r="EC553" s="712"/>
      <c r="ED553" s="712"/>
      <c r="EE553" s="712"/>
      <c r="EF553" s="712"/>
      <c r="EG553" s="712"/>
      <c r="EH553" s="712"/>
      <c r="EI553" s="712"/>
      <c r="EJ553" s="712"/>
      <c r="EK553" s="712"/>
      <c r="EL553" s="712"/>
      <c r="EM553" s="712"/>
      <c r="EN553" s="712"/>
      <c r="EO553" s="712"/>
      <c r="EP553" s="712"/>
      <c r="EQ553" s="712"/>
      <c r="ER553" s="712"/>
      <c r="ES553" s="712"/>
      <c r="ET553" s="794"/>
      <c r="EU553" s="794"/>
      <c r="EV553" s="794"/>
      <c r="EW553" s="794"/>
      <c r="EX553" s="794"/>
      <c r="EY553" s="794"/>
      <c r="EZ553" s="794"/>
      <c r="FA553" s="712"/>
      <c r="FB553" s="712"/>
      <c r="FC553" s="712"/>
      <c r="FD553" s="712"/>
      <c r="FE553" s="712"/>
      <c r="FF553" s="712"/>
      <c r="FG553" s="712"/>
      <c r="FH553" s="712"/>
      <c r="FI553" s="712"/>
      <c r="FJ553" s="712"/>
      <c r="FK553" s="712"/>
      <c r="FL553" s="712"/>
      <c r="FM553" s="712"/>
      <c r="FN553" s="712"/>
      <c r="FO553" s="712"/>
      <c r="FP553" s="712"/>
      <c r="FQ553" s="712"/>
      <c r="FR553" s="712"/>
      <c r="FS553" s="712"/>
      <c r="FT553" s="712"/>
      <c r="FU553" s="712"/>
      <c r="FV553" s="712"/>
      <c r="FW553" s="712"/>
      <c r="FX553" s="712"/>
      <c r="FZ553" s="712"/>
      <c r="GA553" s="712"/>
      <c r="GB553" s="712"/>
      <c r="GC553" s="712"/>
      <c r="GD553" s="712"/>
      <c r="GE553" s="712"/>
      <c r="GF553" s="712"/>
      <c r="GG553" s="712"/>
      <c r="GH553" s="712"/>
      <c r="GI553" s="712"/>
      <c r="GJ553" s="712"/>
      <c r="GK553" s="712"/>
      <c r="GL553" s="712"/>
      <c r="GM553" s="712"/>
      <c r="GN553" s="712"/>
      <c r="GO553" s="712"/>
      <c r="GP553" s="712"/>
      <c r="GQ553" s="712"/>
      <c r="GR553" s="712"/>
      <c r="GS553" s="712"/>
      <c r="GT553" s="712"/>
      <c r="GU553" s="712"/>
      <c r="GV553" s="712"/>
      <c r="GW553" s="712"/>
      <c r="GX553" s="712"/>
      <c r="GY553" s="712"/>
      <c r="GZ553" s="712"/>
      <c r="HA553" s="712"/>
      <c r="HB553" s="712"/>
      <c r="HC553" s="712"/>
    </row>
    <row r="554" spans="1:211">
      <c r="A554" s="707"/>
      <c r="G554" s="712"/>
      <c r="H554" s="712"/>
      <c r="I554" s="712"/>
      <c r="J554" s="712"/>
      <c r="K554" s="712"/>
      <c r="L554" s="712"/>
      <c r="M554" s="712"/>
      <c r="N554" s="712"/>
      <c r="O554" s="712"/>
      <c r="P554" s="712"/>
      <c r="Q554" s="712"/>
      <c r="R554" s="712"/>
      <c r="S554" s="712"/>
      <c r="T554" s="712"/>
      <c r="U554" s="712"/>
      <c r="V554" s="712"/>
      <c r="W554" s="712"/>
      <c r="X554" s="712"/>
      <c r="Y554" s="712"/>
      <c r="Z554" s="712"/>
      <c r="AA554" s="712"/>
      <c r="AB554" s="712"/>
      <c r="AC554" s="712"/>
      <c r="AD554" s="712"/>
      <c r="AE554" s="712"/>
      <c r="AF554" s="712"/>
      <c r="AG554" s="712"/>
      <c r="AH554" s="712"/>
      <c r="AI554" s="712"/>
      <c r="AJ554" s="712"/>
      <c r="AK554" s="712"/>
      <c r="AL554" s="712"/>
      <c r="AM554" s="712"/>
      <c r="AN554" s="712"/>
      <c r="AO554" s="712"/>
      <c r="AP554" s="712"/>
      <c r="AQ554" s="712"/>
      <c r="AR554" s="712"/>
      <c r="AS554" s="712"/>
      <c r="AT554" s="712"/>
      <c r="AU554" s="712"/>
      <c r="AV554" s="712"/>
      <c r="AW554" s="712"/>
      <c r="AX554" s="712"/>
      <c r="AY554" s="712"/>
      <c r="AZ554" s="712"/>
      <c r="BA554" s="712"/>
      <c r="BB554" s="712"/>
      <c r="BC554" s="712"/>
      <c r="BD554" s="712"/>
      <c r="BE554" s="712"/>
      <c r="BF554" s="712"/>
      <c r="BG554" s="712"/>
      <c r="BH554" s="712"/>
      <c r="BI554" s="712"/>
      <c r="BJ554" s="712"/>
      <c r="BK554" s="712"/>
      <c r="BL554" s="712"/>
      <c r="BM554" s="712"/>
      <c r="BN554" s="712"/>
      <c r="BO554" s="712"/>
      <c r="BP554" s="712"/>
      <c r="BQ554" s="712"/>
      <c r="BR554" s="712"/>
      <c r="BS554" s="712"/>
      <c r="BT554" s="712"/>
      <c r="BU554" s="712"/>
      <c r="BV554" s="712"/>
      <c r="BW554" s="712"/>
      <c r="BX554" s="712"/>
      <c r="BY554" s="712"/>
      <c r="BZ554" s="712"/>
      <c r="CA554" s="712"/>
      <c r="CB554" s="712"/>
      <c r="CC554" s="712"/>
      <c r="CD554" s="712"/>
      <c r="CE554" s="712"/>
      <c r="CF554" s="712"/>
      <c r="CG554" s="712"/>
      <c r="CH554" s="712"/>
      <c r="CI554" s="712"/>
      <c r="CJ554" s="712"/>
      <c r="CK554" s="712"/>
      <c r="CL554" s="712"/>
      <c r="CM554" s="712"/>
      <c r="CN554" s="712"/>
      <c r="CO554" s="712"/>
      <c r="CP554" s="712"/>
      <c r="CQ554" s="712"/>
      <c r="CR554" s="712"/>
      <c r="CS554" s="712"/>
      <c r="CT554" s="712"/>
      <c r="CU554" s="712"/>
      <c r="CV554" s="712"/>
      <c r="CW554" s="712"/>
      <c r="CX554" s="712"/>
      <c r="CY554" s="712"/>
      <c r="CZ554" s="712"/>
      <c r="DA554" s="712"/>
      <c r="DB554" s="712"/>
      <c r="DC554" s="712"/>
      <c r="DD554" s="712"/>
      <c r="DE554" s="712"/>
      <c r="DF554" s="712"/>
      <c r="DG554" s="712"/>
      <c r="DH554" s="712"/>
      <c r="DI554" s="712"/>
      <c r="DJ554" s="712"/>
      <c r="DK554" s="712"/>
      <c r="DL554" s="712"/>
      <c r="DM554" s="712"/>
      <c r="DN554" s="712"/>
      <c r="DO554" s="712"/>
      <c r="DP554" s="712"/>
      <c r="DQ554" s="712"/>
      <c r="DR554" s="712"/>
      <c r="DS554" s="712"/>
      <c r="DT554" s="712"/>
      <c r="DU554" s="712"/>
      <c r="DV554" s="712"/>
      <c r="DW554" s="712"/>
      <c r="DX554" s="712"/>
      <c r="DY554" s="712"/>
      <c r="DZ554" s="712"/>
      <c r="EA554" s="712"/>
      <c r="EB554" s="712"/>
      <c r="EC554" s="712"/>
      <c r="ED554" s="712"/>
      <c r="EE554" s="712"/>
      <c r="EF554" s="712"/>
      <c r="EG554" s="712"/>
      <c r="EH554" s="712"/>
      <c r="EI554" s="712"/>
      <c r="EJ554" s="712"/>
      <c r="EK554" s="712"/>
      <c r="EL554" s="712"/>
      <c r="EM554" s="712"/>
      <c r="EN554" s="712"/>
      <c r="EO554" s="712"/>
      <c r="EP554" s="712"/>
      <c r="EQ554" s="712"/>
      <c r="ER554" s="712"/>
      <c r="ES554" s="712"/>
      <c r="ET554" s="794"/>
      <c r="EU554" s="794"/>
      <c r="EV554" s="794"/>
      <c r="EW554" s="794"/>
      <c r="EX554" s="794"/>
      <c r="EY554" s="794"/>
      <c r="EZ554" s="794"/>
      <c r="FA554" s="712"/>
      <c r="FB554" s="712"/>
      <c r="FC554" s="712"/>
      <c r="FD554" s="712"/>
      <c r="FE554" s="712"/>
      <c r="FF554" s="712"/>
      <c r="FG554" s="712"/>
      <c r="FH554" s="712"/>
      <c r="FI554" s="712"/>
      <c r="FJ554" s="712"/>
      <c r="FK554" s="712"/>
      <c r="FL554" s="712"/>
      <c r="FM554" s="712"/>
      <c r="FN554" s="712"/>
      <c r="FO554" s="712"/>
      <c r="FP554" s="712"/>
      <c r="FQ554" s="712"/>
      <c r="FR554" s="712"/>
      <c r="FS554" s="712"/>
      <c r="FT554" s="712"/>
      <c r="FU554" s="712"/>
      <c r="FV554" s="712"/>
      <c r="FW554" s="712"/>
      <c r="FX554" s="712"/>
      <c r="FZ554" s="712"/>
      <c r="GA554" s="712"/>
      <c r="GB554" s="712"/>
      <c r="GC554" s="712"/>
      <c r="GD554" s="712"/>
      <c r="GE554" s="712"/>
      <c r="GF554" s="712"/>
      <c r="GG554" s="712"/>
      <c r="GH554" s="712"/>
      <c r="GI554" s="712"/>
      <c r="GJ554" s="712"/>
      <c r="GK554" s="712"/>
      <c r="GL554" s="712"/>
      <c r="GM554" s="712"/>
      <c r="GN554" s="712"/>
      <c r="GO554" s="712"/>
      <c r="GP554" s="712"/>
      <c r="GQ554" s="712"/>
      <c r="GR554" s="712"/>
      <c r="GS554" s="712"/>
      <c r="GT554" s="712"/>
      <c r="GU554" s="712"/>
      <c r="GV554" s="712"/>
      <c r="GW554" s="712"/>
      <c r="GX554" s="712"/>
      <c r="GY554" s="712"/>
      <c r="GZ554" s="712"/>
      <c r="HA554" s="712"/>
      <c r="HB554" s="712"/>
      <c r="HC554" s="712"/>
    </row>
    <row r="555" spans="1:211">
      <c r="A555" s="707"/>
      <c r="G555" s="712"/>
      <c r="H555" s="712"/>
      <c r="I555" s="712"/>
      <c r="J555" s="712"/>
      <c r="K555" s="712"/>
      <c r="L555" s="712"/>
      <c r="M555" s="712"/>
      <c r="N555" s="712"/>
      <c r="O555" s="712"/>
      <c r="P555" s="712"/>
      <c r="Q555" s="712"/>
      <c r="R555" s="712"/>
      <c r="S555" s="712"/>
      <c r="T555" s="712"/>
      <c r="U555" s="712"/>
      <c r="V555" s="712"/>
      <c r="W555" s="712"/>
      <c r="X555" s="712"/>
      <c r="Y555" s="712"/>
      <c r="Z555" s="712"/>
      <c r="AA555" s="712"/>
      <c r="AB555" s="712"/>
      <c r="AC555" s="712"/>
      <c r="AD555" s="712"/>
      <c r="AE555" s="712"/>
      <c r="AF555" s="712"/>
      <c r="AG555" s="712"/>
      <c r="AH555" s="712"/>
      <c r="AI555" s="712"/>
      <c r="AJ555" s="712"/>
      <c r="AK555" s="712"/>
      <c r="AL555" s="712"/>
      <c r="AM555" s="712"/>
      <c r="AN555" s="712"/>
      <c r="AO555" s="712"/>
      <c r="AP555" s="712"/>
      <c r="AQ555" s="712"/>
      <c r="AR555" s="712"/>
      <c r="AS555" s="712"/>
      <c r="AT555" s="712"/>
      <c r="AU555" s="712"/>
      <c r="AV555" s="712"/>
      <c r="AW555" s="712"/>
      <c r="AX555" s="712"/>
      <c r="AY555" s="712"/>
      <c r="AZ555" s="712"/>
      <c r="BA555" s="712"/>
      <c r="BB555" s="712"/>
      <c r="BC555" s="712"/>
      <c r="BD555" s="712"/>
      <c r="BE555" s="712"/>
      <c r="BF555" s="712"/>
      <c r="BG555" s="712"/>
      <c r="BH555" s="712"/>
      <c r="BI555" s="712"/>
      <c r="BJ555" s="712"/>
      <c r="BK555" s="712"/>
      <c r="BL555" s="712"/>
      <c r="BM555" s="712"/>
      <c r="BN555" s="712"/>
      <c r="BO555" s="712"/>
      <c r="BP555" s="712"/>
      <c r="BQ555" s="712"/>
      <c r="BR555" s="712"/>
      <c r="BS555" s="712"/>
      <c r="BT555" s="712"/>
      <c r="BU555" s="712"/>
      <c r="BV555" s="712"/>
      <c r="BW555" s="712"/>
      <c r="BX555" s="712"/>
      <c r="BY555" s="712"/>
      <c r="BZ555" s="712"/>
      <c r="CA555" s="712"/>
      <c r="CB555" s="712"/>
      <c r="CC555" s="712"/>
      <c r="CD555" s="712"/>
      <c r="CE555" s="712"/>
      <c r="CF555" s="712"/>
      <c r="CG555" s="712"/>
      <c r="CH555" s="712"/>
      <c r="CI555" s="712"/>
      <c r="CJ555" s="712"/>
      <c r="CK555" s="712"/>
      <c r="CL555" s="712"/>
      <c r="CM555" s="712"/>
      <c r="CN555" s="712"/>
      <c r="CO555" s="712"/>
      <c r="CP555" s="712"/>
      <c r="CQ555" s="712"/>
      <c r="CR555" s="712"/>
      <c r="CS555" s="712"/>
      <c r="CT555" s="712"/>
      <c r="CU555" s="712"/>
      <c r="CV555" s="712"/>
      <c r="CW555" s="712"/>
      <c r="CX555" s="712"/>
      <c r="CY555" s="712"/>
      <c r="CZ555" s="712"/>
      <c r="DA555" s="712"/>
      <c r="DB555" s="712"/>
      <c r="DC555" s="712"/>
      <c r="DD555" s="712"/>
      <c r="DE555" s="712"/>
      <c r="DF555" s="712"/>
      <c r="DG555" s="712"/>
      <c r="DH555" s="712"/>
      <c r="DI555" s="712"/>
      <c r="DJ555" s="712"/>
      <c r="DK555" s="712"/>
      <c r="DL555" s="712"/>
      <c r="DM555" s="712"/>
      <c r="DN555" s="712"/>
      <c r="DO555" s="712"/>
      <c r="DP555" s="712"/>
      <c r="DQ555" s="712"/>
      <c r="DR555" s="712"/>
      <c r="DS555" s="712"/>
      <c r="DT555" s="712"/>
      <c r="DU555" s="712"/>
      <c r="DV555" s="712"/>
      <c r="DW555" s="712"/>
      <c r="DX555" s="712"/>
      <c r="DY555" s="712"/>
      <c r="DZ555" s="712"/>
      <c r="EA555" s="712"/>
      <c r="EB555" s="712"/>
      <c r="EC555" s="712"/>
      <c r="ED555" s="712"/>
      <c r="EE555" s="712"/>
      <c r="EF555" s="712"/>
      <c r="EG555" s="712"/>
      <c r="EH555" s="712"/>
      <c r="EI555" s="712"/>
      <c r="EJ555" s="712"/>
      <c r="EK555" s="712"/>
      <c r="EL555" s="712"/>
      <c r="EM555" s="712"/>
      <c r="EN555" s="712"/>
      <c r="EO555" s="712"/>
      <c r="EP555" s="712"/>
      <c r="EQ555" s="712"/>
      <c r="ER555" s="712"/>
      <c r="ES555" s="712"/>
      <c r="ET555" s="794"/>
      <c r="EU555" s="794"/>
      <c r="EV555" s="794"/>
      <c r="EW555" s="794"/>
      <c r="EX555" s="794"/>
      <c r="EY555" s="794"/>
      <c r="EZ555" s="794"/>
      <c r="FA555" s="712"/>
      <c r="FB555" s="712"/>
      <c r="FC555" s="712"/>
      <c r="FD555" s="712"/>
      <c r="FE555" s="712"/>
      <c r="FF555" s="712"/>
      <c r="FG555" s="712"/>
      <c r="FH555" s="712"/>
      <c r="FI555" s="712"/>
      <c r="FJ555" s="712"/>
      <c r="FK555" s="712"/>
      <c r="FL555" s="712"/>
      <c r="FM555" s="712"/>
      <c r="FN555" s="712"/>
      <c r="FO555" s="712"/>
      <c r="FP555" s="712"/>
      <c r="FQ555" s="712"/>
      <c r="FR555" s="712"/>
      <c r="FS555" s="712"/>
      <c r="FT555" s="712"/>
      <c r="FU555" s="712"/>
      <c r="FV555" s="712"/>
      <c r="FW555" s="712"/>
      <c r="FX555" s="712"/>
      <c r="FZ555" s="712"/>
      <c r="GA555" s="712"/>
      <c r="GB555" s="712"/>
      <c r="GC555" s="712"/>
      <c r="GD555" s="712"/>
      <c r="GE555" s="712"/>
      <c r="GF555" s="712"/>
      <c r="GG555" s="712"/>
      <c r="GH555" s="712"/>
      <c r="GI555" s="712"/>
      <c r="GJ555" s="712"/>
      <c r="GK555" s="712"/>
      <c r="GL555" s="712"/>
      <c r="GM555" s="712"/>
      <c r="GN555" s="712"/>
      <c r="GO555" s="712"/>
      <c r="GP555" s="712"/>
      <c r="GQ555" s="712"/>
      <c r="GR555" s="712"/>
      <c r="GS555" s="712"/>
      <c r="GT555" s="712"/>
      <c r="GU555" s="712"/>
      <c r="GV555" s="712"/>
      <c r="GW555" s="712"/>
      <c r="GX555" s="712"/>
      <c r="GY555" s="712"/>
      <c r="GZ555" s="712"/>
      <c r="HA555" s="712"/>
      <c r="HB555" s="712"/>
      <c r="HC555" s="712"/>
    </row>
    <row r="556" spans="1:211">
      <c r="A556" s="707"/>
      <c r="G556" s="712"/>
      <c r="H556" s="712"/>
      <c r="I556" s="712"/>
      <c r="J556" s="712"/>
      <c r="K556" s="712"/>
      <c r="L556" s="712"/>
      <c r="M556" s="712"/>
      <c r="N556" s="712"/>
      <c r="O556" s="712"/>
      <c r="P556" s="712"/>
      <c r="Q556" s="712"/>
      <c r="R556" s="712"/>
      <c r="S556" s="712"/>
      <c r="T556" s="712"/>
      <c r="U556" s="712"/>
      <c r="V556" s="712"/>
      <c r="W556" s="712"/>
      <c r="X556" s="712"/>
      <c r="Y556" s="712"/>
      <c r="Z556" s="712"/>
      <c r="AA556" s="712"/>
      <c r="AB556" s="712"/>
      <c r="AC556" s="712"/>
      <c r="AD556" s="712"/>
      <c r="AE556" s="712"/>
      <c r="AF556" s="712"/>
      <c r="AG556" s="712"/>
      <c r="AH556" s="712"/>
      <c r="AI556" s="712"/>
      <c r="AJ556" s="712"/>
      <c r="AK556" s="712"/>
      <c r="AL556" s="712"/>
      <c r="AM556" s="712"/>
      <c r="AN556" s="712"/>
      <c r="AO556" s="712"/>
      <c r="AP556" s="712"/>
      <c r="AQ556" s="712"/>
      <c r="AR556" s="712"/>
      <c r="AS556" s="712"/>
      <c r="AT556" s="712"/>
      <c r="AU556" s="712"/>
      <c r="AV556" s="712"/>
      <c r="AW556" s="712"/>
      <c r="AX556" s="712"/>
      <c r="AY556" s="712"/>
      <c r="AZ556" s="712"/>
      <c r="BA556" s="712"/>
      <c r="BB556" s="712"/>
      <c r="BC556" s="712"/>
      <c r="BD556" s="712"/>
      <c r="BE556" s="712"/>
      <c r="BF556" s="712"/>
      <c r="BG556" s="712"/>
      <c r="BH556" s="712"/>
      <c r="BI556" s="712"/>
      <c r="BJ556" s="712"/>
      <c r="BK556" s="712"/>
      <c r="BL556" s="712"/>
      <c r="BM556" s="712"/>
      <c r="BN556" s="712"/>
      <c r="BO556" s="712"/>
      <c r="BP556" s="712"/>
      <c r="BQ556" s="712"/>
      <c r="BR556" s="712"/>
      <c r="BS556" s="712"/>
      <c r="BT556" s="712"/>
      <c r="BU556" s="712"/>
      <c r="BV556" s="712"/>
      <c r="BW556" s="712"/>
      <c r="BX556" s="712"/>
      <c r="BY556" s="712"/>
      <c r="BZ556" s="712"/>
      <c r="CA556" s="712"/>
      <c r="CB556" s="712"/>
      <c r="CC556" s="712"/>
      <c r="CD556" s="712"/>
      <c r="CE556" s="712"/>
      <c r="CF556" s="712"/>
      <c r="CG556" s="712"/>
      <c r="CH556" s="712"/>
      <c r="CI556" s="712"/>
      <c r="CJ556" s="712"/>
      <c r="CK556" s="712"/>
      <c r="CL556" s="712"/>
      <c r="CM556" s="712"/>
      <c r="CN556" s="712"/>
      <c r="CO556" s="712"/>
      <c r="CP556" s="712"/>
      <c r="CQ556" s="712"/>
      <c r="CR556" s="712"/>
      <c r="CS556" s="712"/>
      <c r="CT556" s="712"/>
      <c r="CU556" s="712"/>
      <c r="CV556" s="712"/>
      <c r="CW556" s="712"/>
      <c r="CX556" s="712"/>
      <c r="CY556" s="712"/>
      <c r="CZ556" s="712"/>
      <c r="DA556" s="712"/>
      <c r="DB556" s="712"/>
      <c r="DC556" s="712"/>
      <c r="DD556" s="712"/>
      <c r="DE556" s="712"/>
      <c r="DF556" s="712"/>
      <c r="DG556" s="712"/>
      <c r="DH556" s="712"/>
      <c r="DI556" s="712"/>
      <c r="DJ556" s="712"/>
      <c r="DK556" s="712"/>
      <c r="DL556" s="712"/>
      <c r="DM556" s="712"/>
      <c r="DN556" s="712"/>
      <c r="DO556" s="712"/>
      <c r="DP556" s="712"/>
      <c r="DQ556" s="712"/>
      <c r="DR556" s="712"/>
      <c r="DS556" s="712"/>
      <c r="DT556" s="712"/>
      <c r="DU556" s="712"/>
      <c r="DV556" s="712"/>
      <c r="DW556" s="712"/>
      <c r="DX556" s="712"/>
      <c r="DY556" s="712"/>
      <c r="DZ556" s="712"/>
      <c r="EA556" s="712"/>
      <c r="EB556" s="712"/>
      <c r="EC556" s="712"/>
      <c r="ED556" s="712"/>
      <c r="EE556" s="712"/>
      <c r="EF556" s="712"/>
      <c r="EG556" s="712"/>
      <c r="EH556" s="712"/>
      <c r="EI556" s="712"/>
      <c r="EJ556" s="712"/>
      <c r="EK556" s="712"/>
      <c r="EL556" s="712"/>
      <c r="EM556" s="712"/>
      <c r="EN556" s="712"/>
      <c r="EO556" s="712"/>
      <c r="EP556" s="712"/>
      <c r="EQ556" s="712"/>
      <c r="ER556" s="712"/>
      <c r="ES556" s="712"/>
      <c r="ET556" s="794"/>
      <c r="EU556" s="794"/>
      <c r="EV556" s="794"/>
      <c r="EW556" s="794"/>
      <c r="EX556" s="794"/>
      <c r="EY556" s="794"/>
      <c r="EZ556" s="794"/>
      <c r="FA556" s="712"/>
      <c r="FB556" s="712"/>
      <c r="FC556" s="712"/>
      <c r="FD556" s="712"/>
      <c r="FE556" s="712"/>
      <c r="FF556" s="712"/>
      <c r="FG556" s="712"/>
      <c r="FH556" s="712"/>
      <c r="FI556" s="712"/>
      <c r="FJ556" s="712"/>
      <c r="FK556" s="712"/>
      <c r="FL556" s="712"/>
      <c r="FM556" s="712"/>
      <c r="FN556" s="712"/>
      <c r="FO556" s="712"/>
      <c r="FP556" s="712"/>
      <c r="FQ556" s="712"/>
      <c r="FR556" s="712"/>
      <c r="FS556" s="712"/>
      <c r="FT556" s="712"/>
      <c r="FU556" s="712"/>
      <c r="FV556" s="712"/>
      <c r="FW556" s="712"/>
      <c r="FX556" s="712"/>
      <c r="FZ556" s="712"/>
      <c r="GA556" s="712"/>
      <c r="GB556" s="712"/>
      <c r="GC556" s="712"/>
      <c r="GD556" s="712"/>
      <c r="GE556" s="712"/>
      <c r="GF556" s="712"/>
      <c r="GG556" s="712"/>
      <c r="GH556" s="712"/>
      <c r="GI556" s="712"/>
      <c r="GJ556" s="712"/>
      <c r="GK556" s="712"/>
      <c r="GL556" s="712"/>
      <c r="GM556" s="712"/>
      <c r="GN556" s="712"/>
      <c r="GO556" s="712"/>
      <c r="GP556" s="712"/>
      <c r="GQ556" s="712"/>
      <c r="GR556" s="712"/>
      <c r="GS556" s="712"/>
      <c r="GT556" s="712"/>
      <c r="GU556" s="712"/>
      <c r="GV556" s="712"/>
      <c r="GW556" s="712"/>
      <c r="GX556" s="712"/>
      <c r="GY556" s="712"/>
      <c r="GZ556" s="712"/>
      <c r="HA556" s="712"/>
      <c r="HB556" s="712"/>
      <c r="HC556" s="712"/>
    </row>
    <row r="557" spans="1:211">
      <c r="A557" s="707"/>
      <c r="G557" s="712"/>
      <c r="H557" s="712"/>
      <c r="I557" s="712"/>
      <c r="J557" s="712"/>
      <c r="K557" s="712"/>
      <c r="L557" s="712"/>
      <c r="M557" s="712"/>
      <c r="N557" s="712"/>
      <c r="O557" s="712"/>
      <c r="P557" s="712"/>
      <c r="Q557" s="712"/>
      <c r="R557" s="712"/>
      <c r="S557" s="712"/>
      <c r="T557" s="712"/>
      <c r="U557" s="712"/>
      <c r="V557" s="712"/>
      <c r="W557" s="712"/>
      <c r="X557" s="712"/>
      <c r="Y557" s="712"/>
      <c r="Z557" s="712"/>
      <c r="AA557" s="712"/>
      <c r="AB557" s="712"/>
      <c r="AC557" s="712"/>
      <c r="AD557" s="712"/>
      <c r="AE557" s="712"/>
      <c r="AF557" s="712"/>
      <c r="AG557" s="712"/>
      <c r="AH557" s="712"/>
      <c r="AI557" s="712"/>
      <c r="AJ557" s="712"/>
      <c r="AK557" s="712"/>
      <c r="AL557" s="712"/>
      <c r="AM557" s="712"/>
      <c r="AN557" s="712"/>
      <c r="AO557" s="712"/>
      <c r="AP557" s="712"/>
      <c r="AQ557" s="712"/>
      <c r="AR557" s="712"/>
      <c r="AS557" s="712"/>
      <c r="AT557" s="712"/>
      <c r="AU557" s="712"/>
      <c r="AV557" s="712"/>
      <c r="AW557" s="712"/>
      <c r="AX557" s="712"/>
      <c r="AY557" s="712"/>
      <c r="AZ557" s="712"/>
      <c r="BA557" s="712"/>
      <c r="BB557" s="712"/>
      <c r="BC557" s="712"/>
      <c r="BD557" s="712"/>
      <c r="BE557" s="712"/>
      <c r="BF557" s="712"/>
      <c r="BG557" s="712"/>
      <c r="BH557" s="712"/>
      <c r="BI557" s="712"/>
      <c r="BJ557" s="712"/>
      <c r="BK557" s="712"/>
      <c r="BL557" s="712"/>
      <c r="BM557" s="712"/>
      <c r="BN557" s="712"/>
      <c r="BO557" s="712"/>
      <c r="BP557" s="712"/>
      <c r="BQ557" s="712"/>
      <c r="BR557" s="712"/>
      <c r="BS557" s="712"/>
      <c r="BT557" s="712"/>
      <c r="BU557" s="712"/>
      <c r="BV557" s="712"/>
      <c r="BW557" s="712"/>
      <c r="BX557" s="712"/>
      <c r="BY557" s="712"/>
      <c r="BZ557" s="712"/>
      <c r="CA557" s="712"/>
      <c r="CB557" s="712"/>
      <c r="CC557" s="712"/>
      <c r="CD557" s="712"/>
      <c r="CE557" s="712"/>
      <c r="CF557" s="712"/>
      <c r="CG557" s="712"/>
      <c r="CH557" s="712"/>
      <c r="CI557" s="712"/>
      <c r="CJ557" s="712"/>
      <c r="CK557" s="712"/>
      <c r="CL557" s="712"/>
      <c r="CM557" s="712"/>
      <c r="CN557" s="712"/>
      <c r="CO557" s="712"/>
      <c r="CP557" s="712"/>
      <c r="CQ557" s="712"/>
      <c r="CR557" s="712"/>
      <c r="CS557" s="712"/>
      <c r="CT557" s="712"/>
      <c r="CU557" s="712"/>
      <c r="CV557" s="712"/>
      <c r="CW557" s="712"/>
      <c r="CX557" s="712"/>
      <c r="CY557" s="712"/>
      <c r="CZ557" s="712"/>
      <c r="DA557" s="712"/>
      <c r="DB557" s="712"/>
      <c r="DC557" s="712"/>
      <c r="DD557" s="712"/>
      <c r="DE557" s="712"/>
      <c r="DF557" s="712"/>
      <c r="DG557" s="712"/>
      <c r="DH557" s="712"/>
      <c r="DI557" s="712"/>
      <c r="DJ557" s="712"/>
      <c r="DK557" s="712"/>
      <c r="DL557" s="712"/>
      <c r="DM557" s="712"/>
      <c r="DN557" s="712"/>
      <c r="DO557" s="712"/>
      <c r="DP557" s="712"/>
      <c r="DQ557" s="712"/>
      <c r="DR557" s="712"/>
      <c r="DS557" s="712"/>
      <c r="DT557" s="712"/>
      <c r="DU557" s="712"/>
      <c r="DV557" s="712"/>
      <c r="DW557" s="712"/>
      <c r="DX557" s="712"/>
      <c r="DY557" s="712"/>
      <c r="DZ557" s="712"/>
      <c r="EA557" s="712"/>
      <c r="EB557" s="712"/>
      <c r="EC557" s="712"/>
      <c r="ED557" s="712"/>
      <c r="EE557" s="712"/>
      <c r="EF557" s="712"/>
      <c r="EG557" s="712"/>
      <c r="EH557" s="712"/>
      <c r="EI557" s="712"/>
      <c r="EJ557" s="712"/>
      <c r="EK557" s="712"/>
      <c r="EL557" s="712"/>
      <c r="EM557" s="712"/>
      <c r="EN557" s="712"/>
      <c r="EO557" s="712"/>
      <c r="EP557" s="712"/>
      <c r="EQ557" s="712"/>
      <c r="ER557" s="712"/>
      <c r="ES557" s="712"/>
      <c r="ET557" s="794"/>
      <c r="EU557" s="794"/>
      <c r="EV557" s="794"/>
      <c r="EW557" s="794"/>
      <c r="EX557" s="794"/>
      <c r="EY557" s="794"/>
      <c r="EZ557" s="794"/>
      <c r="FA557" s="712"/>
      <c r="FB557" s="712"/>
      <c r="FC557" s="712"/>
      <c r="FD557" s="712"/>
      <c r="FE557" s="712"/>
      <c r="FF557" s="712"/>
      <c r="FG557" s="712"/>
      <c r="FH557" s="712"/>
      <c r="FI557" s="712"/>
      <c r="FJ557" s="712"/>
      <c r="FK557" s="712"/>
      <c r="FL557" s="712"/>
      <c r="FM557" s="712"/>
      <c r="FN557" s="712"/>
      <c r="FO557" s="712"/>
      <c r="FP557" s="712"/>
      <c r="FQ557" s="712"/>
      <c r="FR557" s="712"/>
      <c r="FS557" s="712"/>
      <c r="FT557" s="712"/>
      <c r="FU557" s="712"/>
      <c r="FV557" s="712"/>
      <c r="FW557" s="712"/>
      <c r="FX557" s="712"/>
      <c r="FZ557" s="712"/>
      <c r="GA557" s="712"/>
      <c r="GB557" s="712"/>
      <c r="GC557" s="712"/>
      <c r="GD557" s="712"/>
      <c r="GE557" s="712"/>
      <c r="GF557" s="712"/>
      <c r="GG557" s="712"/>
      <c r="GH557" s="712"/>
      <c r="GI557" s="712"/>
      <c r="GJ557" s="712"/>
      <c r="GK557" s="712"/>
      <c r="GL557" s="712"/>
      <c r="GM557" s="712"/>
      <c r="GN557" s="712"/>
      <c r="GO557" s="712"/>
      <c r="GP557" s="712"/>
      <c r="GQ557" s="712"/>
      <c r="GR557" s="712"/>
      <c r="GS557" s="712"/>
      <c r="GT557" s="712"/>
      <c r="GU557" s="712"/>
      <c r="GV557" s="712"/>
      <c r="GW557" s="712"/>
      <c r="GX557" s="712"/>
      <c r="GY557" s="712"/>
      <c r="GZ557" s="712"/>
      <c r="HA557" s="712"/>
      <c r="HB557" s="712"/>
      <c r="HC557" s="712"/>
    </row>
    <row r="558" spans="1:211">
      <c r="A558" s="707"/>
      <c r="G558" s="712"/>
      <c r="H558" s="712"/>
      <c r="I558" s="712"/>
      <c r="J558" s="712"/>
      <c r="K558" s="712"/>
      <c r="L558" s="712"/>
      <c r="M558" s="712"/>
      <c r="N558" s="712"/>
      <c r="O558" s="712"/>
      <c r="P558" s="712"/>
      <c r="Q558" s="712"/>
      <c r="R558" s="712"/>
      <c r="S558" s="712"/>
      <c r="T558" s="712"/>
      <c r="U558" s="712"/>
      <c r="V558" s="712"/>
      <c r="W558" s="712"/>
      <c r="X558" s="712"/>
      <c r="Y558" s="712"/>
      <c r="Z558" s="712"/>
      <c r="AA558" s="712"/>
      <c r="AB558" s="712"/>
      <c r="AC558" s="712"/>
      <c r="AD558" s="712"/>
      <c r="AE558" s="712"/>
      <c r="AF558" s="712"/>
      <c r="AG558" s="712"/>
      <c r="AH558" s="712"/>
      <c r="AI558" s="712"/>
      <c r="AJ558" s="712"/>
      <c r="AK558" s="712"/>
      <c r="AL558" s="712"/>
      <c r="AM558" s="712"/>
      <c r="AN558" s="712"/>
      <c r="AO558" s="712"/>
      <c r="AP558" s="712"/>
      <c r="AQ558" s="712"/>
      <c r="AR558" s="712"/>
      <c r="AS558" s="712"/>
      <c r="AT558" s="712"/>
      <c r="AU558" s="712"/>
      <c r="AV558" s="712"/>
      <c r="AW558" s="712"/>
      <c r="AX558" s="712"/>
      <c r="AY558" s="712"/>
      <c r="AZ558" s="712"/>
      <c r="BA558" s="712"/>
      <c r="BB558" s="712"/>
      <c r="BC558" s="712"/>
      <c r="BD558" s="712"/>
      <c r="BE558" s="712"/>
      <c r="BF558" s="712"/>
      <c r="BG558" s="712"/>
      <c r="BH558" s="712"/>
      <c r="BI558" s="712"/>
      <c r="BJ558" s="712"/>
      <c r="BK558" s="712"/>
      <c r="BL558" s="712"/>
      <c r="BM558" s="712"/>
      <c r="BN558" s="712"/>
      <c r="BO558" s="712"/>
      <c r="BP558" s="712"/>
      <c r="BQ558" s="712"/>
      <c r="BR558" s="712"/>
      <c r="BS558" s="712"/>
      <c r="BT558" s="712"/>
      <c r="BU558" s="712"/>
      <c r="BV558" s="712"/>
      <c r="BW558" s="712"/>
      <c r="BX558" s="712"/>
      <c r="BY558" s="712"/>
      <c r="BZ558" s="712"/>
      <c r="CA558" s="712"/>
      <c r="CB558" s="712"/>
      <c r="CC558" s="712"/>
      <c r="CD558" s="712"/>
      <c r="CE558" s="712"/>
      <c r="CF558" s="712"/>
      <c r="CG558" s="712"/>
      <c r="CH558" s="712"/>
      <c r="CI558" s="712"/>
      <c r="CJ558" s="712"/>
      <c r="CK558" s="712"/>
      <c r="CL558" s="712"/>
      <c r="CM558" s="712"/>
      <c r="CN558" s="712"/>
      <c r="CO558" s="712"/>
      <c r="CP558" s="712"/>
      <c r="CQ558" s="712"/>
      <c r="CR558" s="712"/>
      <c r="CS558" s="712"/>
      <c r="CT558" s="712"/>
      <c r="CU558" s="712"/>
      <c r="CV558" s="712"/>
      <c r="CW558" s="712"/>
      <c r="CX558" s="712"/>
      <c r="CY558" s="712"/>
      <c r="CZ558" s="712"/>
      <c r="DA558" s="712"/>
      <c r="DB558" s="712"/>
      <c r="DC558" s="712"/>
      <c r="DD558" s="712"/>
      <c r="DE558" s="712"/>
      <c r="DF558" s="712"/>
      <c r="DG558" s="712"/>
      <c r="DH558" s="712"/>
      <c r="DI558" s="712"/>
      <c r="DJ558" s="712"/>
      <c r="DK558" s="712"/>
      <c r="DL558" s="712"/>
      <c r="DM558" s="712"/>
      <c r="DN558" s="712"/>
      <c r="DO558" s="712"/>
      <c r="DP558" s="712"/>
      <c r="DQ558" s="712"/>
      <c r="DR558" s="712"/>
      <c r="DS558" s="712"/>
      <c r="DT558" s="712"/>
      <c r="DU558" s="712"/>
      <c r="DV558" s="712"/>
      <c r="DW558" s="712"/>
      <c r="DX558" s="712"/>
      <c r="DY558" s="712"/>
      <c r="DZ558" s="712"/>
      <c r="EA558" s="712"/>
      <c r="EB558" s="712"/>
      <c r="EC558" s="712"/>
      <c r="ED558" s="712"/>
      <c r="EE558" s="712"/>
      <c r="EF558" s="712"/>
      <c r="EG558" s="712"/>
      <c r="EH558" s="712"/>
      <c r="EI558" s="712"/>
      <c r="EJ558" s="712"/>
      <c r="EK558" s="712"/>
      <c r="EL558" s="712"/>
      <c r="EM558" s="712"/>
      <c r="EN558" s="712"/>
      <c r="EO558" s="712"/>
      <c r="EP558" s="712"/>
      <c r="EQ558" s="712"/>
      <c r="ER558" s="712"/>
      <c r="ES558" s="712"/>
      <c r="ET558" s="794"/>
      <c r="EU558" s="794"/>
      <c r="EV558" s="794"/>
      <c r="EW558" s="794"/>
      <c r="EX558" s="794"/>
      <c r="EY558" s="794"/>
      <c r="EZ558" s="794"/>
      <c r="FA558" s="712"/>
      <c r="FB558" s="712"/>
      <c r="FC558" s="712"/>
      <c r="FD558" s="712"/>
      <c r="FE558" s="712"/>
      <c r="FF558" s="712"/>
      <c r="FG558" s="712"/>
      <c r="FH558" s="712"/>
      <c r="FI558" s="712"/>
      <c r="FJ558" s="712"/>
      <c r="FK558" s="712"/>
      <c r="FL558" s="712"/>
      <c r="FM558" s="712"/>
      <c r="FN558" s="712"/>
      <c r="FO558" s="712"/>
      <c r="FP558" s="712"/>
      <c r="FQ558" s="712"/>
      <c r="FR558" s="712"/>
      <c r="FS558" s="712"/>
      <c r="FT558" s="712"/>
      <c r="FU558" s="712"/>
      <c r="FV558" s="712"/>
      <c r="FW558" s="712"/>
      <c r="FX558" s="712"/>
      <c r="FZ558" s="712"/>
      <c r="GA558" s="712"/>
      <c r="GB558" s="712"/>
      <c r="GC558" s="712"/>
      <c r="GD558" s="712"/>
      <c r="GE558" s="712"/>
      <c r="GF558" s="712"/>
      <c r="GG558" s="712"/>
      <c r="GH558" s="712"/>
      <c r="GI558" s="712"/>
      <c r="GJ558" s="712"/>
      <c r="GK558" s="712"/>
      <c r="GL558" s="712"/>
      <c r="GM558" s="712"/>
      <c r="GN558" s="712"/>
      <c r="GO558" s="712"/>
      <c r="GP558" s="712"/>
      <c r="GQ558" s="712"/>
      <c r="GR558" s="712"/>
      <c r="GS558" s="712"/>
      <c r="GT558" s="712"/>
      <c r="GU558" s="712"/>
      <c r="GV558" s="712"/>
      <c r="GW558" s="712"/>
      <c r="GX558" s="712"/>
      <c r="GY558" s="712"/>
      <c r="GZ558" s="712"/>
      <c r="HA558" s="712"/>
      <c r="HB558" s="712"/>
      <c r="HC558" s="712"/>
    </row>
    <row r="559" spans="1:211">
      <c r="A559" s="707"/>
      <c r="G559" s="712"/>
      <c r="H559" s="712"/>
      <c r="I559" s="712"/>
      <c r="J559" s="712"/>
      <c r="K559" s="712"/>
      <c r="L559" s="712"/>
      <c r="M559" s="712"/>
      <c r="N559" s="712"/>
      <c r="O559" s="712"/>
      <c r="P559" s="712"/>
      <c r="Q559" s="712"/>
      <c r="R559" s="712"/>
      <c r="S559" s="712"/>
      <c r="T559" s="712"/>
      <c r="U559" s="712"/>
      <c r="V559" s="712"/>
      <c r="W559" s="712"/>
      <c r="X559" s="712"/>
      <c r="Y559" s="712"/>
      <c r="Z559" s="712"/>
      <c r="AA559" s="712"/>
      <c r="AB559" s="712"/>
      <c r="AC559" s="712"/>
      <c r="AD559" s="712"/>
      <c r="AE559" s="712"/>
      <c r="AF559" s="712"/>
      <c r="AG559" s="712"/>
      <c r="AH559" s="712"/>
      <c r="AI559" s="712"/>
      <c r="AJ559" s="712"/>
      <c r="AK559" s="712"/>
      <c r="AL559" s="712"/>
      <c r="AM559" s="712"/>
      <c r="AN559" s="712"/>
      <c r="AO559" s="712"/>
      <c r="AP559" s="712"/>
      <c r="AQ559" s="712"/>
      <c r="AR559" s="712"/>
      <c r="AS559" s="712"/>
      <c r="AT559" s="712"/>
      <c r="AU559" s="712"/>
      <c r="AV559" s="712"/>
      <c r="AW559" s="712"/>
      <c r="AX559" s="712"/>
      <c r="AY559" s="712"/>
      <c r="AZ559" s="712"/>
      <c r="BA559" s="712"/>
      <c r="BB559" s="712"/>
      <c r="BC559" s="712"/>
      <c r="BD559" s="712"/>
      <c r="BE559" s="712"/>
      <c r="BF559" s="712"/>
      <c r="BG559" s="712"/>
      <c r="BH559" s="712"/>
      <c r="BI559" s="712"/>
      <c r="BJ559" s="712"/>
      <c r="BK559" s="712"/>
      <c r="BL559" s="712"/>
      <c r="BM559" s="712"/>
      <c r="BN559" s="712"/>
      <c r="BO559" s="712"/>
      <c r="BP559" s="712"/>
      <c r="BQ559" s="712"/>
      <c r="BR559" s="712"/>
      <c r="BS559" s="712"/>
      <c r="BT559" s="712"/>
      <c r="BU559" s="712"/>
      <c r="BV559" s="712"/>
      <c r="BW559" s="712"/>
      <c r="BX559" s="712"/>
      <c r="BY559" s="712"/>
      <c r="BZ559" s="712"/>
      <c r="CA559" s="712"/>
      <c r="CB559" s="712"/>
      <c r="CC559" s="712"/>
      <c r="CD559" s="712"/>
      <c r="CE559" s="712"/>
      <c r="CF559" s="712"/>
      <c r="CG559" s="712"/>
      <c r="CH559" s="712"/>
      <c r="CI559" s="712"/>
      <c r="CJ559" s="712"/>
      <c r="CK559" s="712"/>
      <c r="CL559" s="712"/>
      <c r="CM559" s="712"/>
      <c r="CN559" s="712"/>
      <c r="CO559" s="712"/>
      <c r="CP559" s="712"/>
      <c r="CQ559" s="712"/>
      <c r="CR559" s="712"/>
      <c r="CS559" s="712"/>
      <c r="CT559" s="712"/>
      <c r="CU559" s="712"/>
      <c r="CV559" s="712"/>
      <c r="CW559" s="712"/>
      <c r="CX559" s="712"/>
      <c r="CY559" s="712"/>
      <c r="CZ559" s="712"/>
      <c r="DA559" s="712"/>
      <c r="DB559" s="712"/>
      <c r="DC559" s="712"/>
      <c r="DD559" s="712"/>
      <c r="DE559" s="712"/>
      <c r="DF559" s="712"/>
      <c r="DG559" s="712"/>
      <c r="DH559" s="712"/>
      <c r="DI559" s="712"/>
      <c r="DJ559" s="712"/>
      <c r="DK559" s="712"/>
      <c r="DL559" s="712"/>
      <c r="DM559" s="712"/>
      <c r="DN559" s="712"/>
      <c r="DO559" s="712"/>
      <c r="DP559" s="712"/>
      <c r="DQ559" s="712"/>
      <c r="DR559" s="712"/>
      <c r="DS559" s="712"/>
      <c r="DT559" s="712"/>
      <c r="DU559" s="712"/>
      <c r="DV559" s="712"/>
      <c r="DW559" s="712"/>
      <c r="DX559" s="712"/>
      <c r="DY559" s="712"/>
      <c r="DZ559" s="712"/>
      <c r="EA559" s="712"/>
      <c r="EB559" s="712"/>
      <c r="EC559" s="712"/>
      <c r="ED559" s="712"/>
      <c r="EE559" s="712"/>
      <c r="EF559" s="712"/>
      <c r="EG559" s="712"/>
      <c r="EH559" s="712"/>
      <c r="EI559" s="712"/>
      <c r="EJ559" s="712"/>
      <c r="EK559" s="712"/>
      <c r="EL559" s="712"/>
      <c r="EM559" s="712"/>
      <c r="EN559" s="712"/>
      <c r="EO559" s="712"/>
      <c r="EP559" s="712"/>
      <c r="EQ559" s="712"/>
      <c r="ER559" s="712"/>
      <c r="ES559" s="712"/>
      <c r="ET559" s="794"/>
      <c r="EU559" s="794"/>
      <c r="EV559" s="794"/>
      <c r="EW559" s="794"/>
      <c r="EX559" s="794"/>
      <c r="EY559" s="794"/>
      <c r="EZ559" s="794"/>
      <c r="FA559" s="712"/>
      <c r="FB559" s="712"/>
      <c r="FC559" s="712"/>
      <c r="FD559" s="712"/>
      <c r="FE559" s="712"/>
      <c r="FF559" s="712"/>
      <c r="FG559" s="712"/>
      <c r="FH559" s="712"/>
      <c r="FI559" s="712"/>
      <c r="FJ559" s="712"/>
      <c r="FK559" s="712"/>
      <c r="FL559" s="712"/>
      <c r="FM559" s="712"/>
      <c r="FN559" s="712"/>
      <c r="FO559" s="712"/>
      <c r="FP559" s="712"/>
      <c r="FQ559" s="712"/>
      <c r="FR559" s="712"/>
      <c r="FS559" s="712"/>
      <c r="FT559" s="712"/>
      <c r="FU559" s="712"/>
      <c r="FV559" s="712"/>
      <c r="FW559" s="712"/>
      <c r="FX559" s="712"/>
      <c r="FZ559" s="712"/>
      <c r="GA559" s="712"/>
      <c r="GB559" s="712"/>
      <c r="GC559" s="712"/>
      <c r="GD559" s="712"/>
      <c r="GE559" s="712"/>
      <c r="GF559" s="712"/>
      <c r="GG559" s="712"/>
      <c r="GH559" s="712"/>
      <c r="GI559" s="712"/>
      <c r="GJ559" s="712"/>
      <c r="GK559" s="712"/>
      <c r="GL559" s="712"/>
      <c r="GM559" s="712"/>
      <c r="GN559" s="712"/>
      <c r="GO559" s="712"/>
      <c r="GP559" s="712"/>
      <c r="GQ559" s="712"/>
      <c r="GR559" s="712"/>
      <c r="GS559" s="712"/>
      <c r="GT559" s="712"/>
      <c r="GU559" s="712"/>
      <c r="GV559" s="712"/>
      <c r="GW559" s="712"/>
      <c r="GX559" s="712"/>
      <c r="GY559" s="712"/>
      <c r="GZ559" s="712"/>
      <c r="HA559" s="712"/>
      <c r="HB559" s="712"/>
      <c r="HC559" s="712"/>
    </row>
    <row r="560" spans="1:211">
      <c r="A560" s="707"/>
      <c r="G560" s="712"/>
      <c r="H560" s="712"/>
      <c r="I560" s="712"/>
      <c r="J560" s="712"/>
      <c r="K560" s="712"/>
      <c r="L560" s="712"/>
      <c r="M560" s="712"/>
      <c r="N560" s="712"/>
      <c r="O560" s="712"/>
      <c r="P560" s="712"/>
      <c r="Q560" s="712"/>
      <c r="R560" s="712"/>
      <c r="S560" s="712"/>
      <c r="T560" s="712"/>
      <c r="U560" s="712"/>
      <c r="V560" s="712"/>
      <c r="W560" s="712"/>
      <c r="X560" s="712"/>
      <c r="Y560" s="712"/>
      <c r="Z560" s="712"/>
      <c r="AA560" s="712"/>
      <c r="AB560" s="712"/>
      <c r="AC560" s="712"/>
      <c r="AD560" s="712"/>
      <c r="AE560" s="712"/>
      <c r="AF560" s="712"/>
      <c r="AG560" s="712"/>
      <c r="AH560" s="712"/>
      <c r="AI560" s="712"/>
      <c r="AJ560" s="712"/>
      <c r="AK560" s="712"/>
      <c r="AL560" s="712"/>
      <c r="AM560" s="712"/>
      <c r="AN560" s="712"/>
      <c r="AO560" s="712"/>
      <c r="AP560" s="712"/>
      <c r="AQ560" s="712"/>
      <c r="AR560" s="712"/>
      <c r="AS560" s="712"/>
      <c r="AT560" s="712"/>
      <c r="AU560" s="712"/>
      <c r="AV560" s="712"/>
      <c r="AW560" s="712"/>
      <c r="AX560" s="712"/>
      <c r="AY560" s="712"/>
      <c r="AZ560" s="712"/>
      <c r="BA560" s="712"/>
      <c r="BB560" s="712"/>
      <c r="BC560" s="712"/>
      <c r="BD560" s="712"/>
      <c r="BE560" s="712"/>
      <c r="BF560" s="712"/>
      <c r="BG560" s="712"/>
      <c r="BH560" s="712"/>
      <c r="BI560" s="712"/>
      <c r="BJ560" s="712"/>
      <c r="BK560" s="712"/>
      <c r="BL560" s="712"/>
      <c r="BM560" s="712"/>
      <c r="BN560" s="712"/>
      <c r="BO560" s="712"/>
      <c r="BP560" s="712"/>
      <c r="BQ560" s="712"/>
      <c r="BR560" s="712"/>
      <c r="BS560" s="712"/>
      <c r="BT560" s="712"/>
      <c r="BU560" s="712"/>
      <c r="BV560" s="712"/>
      <c r="BW560" s="712"/>
      <c r="BX560" s="712"/>
      <c r="BY560" s="712"/>
      <c r="BZ560" s="712"/>
      <c r="CA560" s="712"/>
      <c r="CB560" s="712"/>
      <c r="CC560" s="712"/>
      <c r="CD560" s="712"/>
      <c r="CE560" s="712"/>
      <c r="CF560" s="712"/>
      <c r="CG560" s="712"/>
      <c r="CH560" s="712"/>
      <c r="CI560" s="712"/>
      <c r="CJ560" s="712"/>
      <c r="CK560" s="712"/>
      <c r="CL560" s="712"/>
      <c r="CM560" s="712"/>
      <c r="CN560" s="712"/>
      <c r="CO560" s="712"/>
      <c r="CP560" s="712"/>
      <c r="CQ560" s="712"/>
      <c r="CR560" s="712"/>
      <c r="CS560" s="712"/>
      <c r="CT560" s="712"/>
      <c r="CU560" s="712"/>
      <c r="CV560" s="712"/>
      <c r="CW560" s="712"/>
      <c r="CX560" s="712"/>
      <c r="CY560" s="712"/>
      <c r="CZ560" s="712"/>
      <c r="DA560" s="712"/>
      <c r="DB560" s="712"/>
      <c r="DC560" s="712"/>
      <c r="DD560" s="712"/>
      <c r="DE560" s="712"/>
      <c r="DF560" s="712"/>
      <c r="DG560" s="712"/>
      <c r="DH560" s="712"/>
      <c r="DI560" s="712"/>
      <c r="DJ560" s="712"/>
      <c r="DK560" s="712"/>
      <c r="DL560" s="712"/>
      <c r="DM560" s="712"/>
      <c r="DN560" s="712"/>
      <c r="DO560" s="712"/>
      <c r="DP560" s="712"/>
      <c r="DQ560" s="712"/>
      <c r="DR560" s="712"/>
      <c r="DS560" s="712"/>
      <c r="DT560" s="712"/>
      <c r="DU560" s="712"/>
      <c r="DV560" s="712"/>
      <c r="DW560" s="712"/>
      <c r="DX560" s="712"/>
      <c r="DY560" s="712"/>
      <c r="DZ560" s="712"/>
      <c r="EA560" s="712"/>
      <c r="EB560" s="712"/>
      <c r="EC560" s="712"/>
      <c r="ED560" s="712"/>
      <c r="EE560" s="712"/>
      <c r="EF560" s="712"/>
      <c r="EG560" s="712"/>
      <c r="EH560" s="712"/>
      <c r="EI560" s="712"/>
      <c r="EJ560" s="712"/>
      <c r="EK560" s="712"/>
      <c r="EL560" s="712"/>
      <c r="EM560" s="712"/>
      <c r="EN560" s="712"/>
      <c r="EO560" s="712"/>
      <c r="EP560" s="712"/>
      <c r="EQ560" s="712"/>
      <c r="ER560" s="712"/>
      <c r="ES560" s="712"/>
      <c r="ET560" s="794"/>
      <c r="EU560" s="794"/>
      <c r="EV560" s="794"/>
      <c r="EW560" s="794"/>
      <c r="EX560" s="794"/>
      <c r="EY560" s="794"/>
      <c r="EZ560" s="794"/>
      <c r="FA560" s="712"/>
      <c r="FB560" s="712"/>
      <c r="FC560" s="712"/>
      <c r="FD560" s="712"/>
      <c r="FE560" s="712"/>
      <c r="FF560" s="712"/>
      <c r="FG560" s="712"/>
      <c r="FH560" s="712"/>
      <c r="FI560" s="712"/>
      <c r="FJ560" s="712"/>
      <c r="FK560" s="712"/>
      <c r="FL560" s="712"/>
      <c r="FM560" s="712"/>
      <c r="FN560" s="712"/>
      <c r="FO560" s="712"/>
      <c r="FP560" s="712"/>
      <c r="FQ560" s="712"/>
      <c r="FR560" s="712"/>
      <c r="FS560" s="712"/>
      <c r="FT560" s="712"/>
      <c r="FU560" s="712"/>
      <c r="FV560" s="712"/>
      <c r="FW560" s="712"/>
      <c r="FX560" s="712"/>
      <c r="FZ560" s="712"/>
      <c r="GA560" s="712"/>
      <c r="GB560" s="712"/>
      <c r="GC560" s="712"/>
      <c r="GD560" s="712"/>
      <c r="GE560" s="712"/>
      <c r="GF560" s="712"/>
      <c r="GG560" s="712"/>
      <c r="GH560" s="712"/>
      <c r="GI560" s="712"/>
      <c r="GJ560" s="712"/>
      <c r="GK560" s="712"/>
      <c r="GL560" s="712"/>
      <c r="GM560" s="712"/>
      <c r="GN560" s="712"/>
      <c r="GO560" s="712"/>
      <c r="GP560" s="712"/>
      <c r="GQ560" s="712"/>
      <c r="GR560" s="712"/>
      <c r="GS560" s="712"/>
      <c r="GT560" s="712"/>
      <c r="GU560" s="712"/>
      <c r="GV560" s="712"/>
      <c r="GW560" s="712"/>
      <c r="GX560" s="712"/>
      <c r="GY560" s="712"/>
      <c r="GZ560" s="712"/>
      <c r="HA560" s="712"/>
      <c r="HB560" s="712"/>
      <c r="HC560" s="712"/>
    </row>
    <row r="561" spans="1:211">
      <c r="A561" s="707"/>
      <c r="G561" s="712"/>
      <c r="H561" s="712"/>
      <c r="I561" s="712"/>
      <c r="J561" s="712"/>
      <c r="K561" s="712"/>
      <c r="L561" s="712"/>
      <c r="M561" s="712"/>
      <c r="N561" s="712"/>
      <c r="O561" s="712"/>
      <c r="P561" s="712"/>
      <c r="Q561" s="712"/>
      <c r="R561" s="712"/>
      <c r="S561" s="712"/>
      <c r="T561" s="712"/>
      <c r="U561" s="712"/>
      <c r="V561" s="712"/>
      <c r="W561" s="712"/>
      <c r="X561" s="712"/>
      <c r="Y561" s="712"/>
      <c r="Z561" s="712"/>
      <c r="AA561" s="712"/>
      <c r="AB561" s="712"/>
      <c r="AC561" s="712"/>
      <c r="AD561" s="712"/>
      <c r="AE561" s="712"/>
      <c r="AF561" s="712"/>
      <c r="AG561" s="712"/>
      <c r="AH561" s="712"/>
      <c r="AI561" s="712"/>
      <c r="AJ561" s="712"/>
      <c r="AK561" s="712"/>
      <c r="AL561" s="712"/>
      <c r="AM561" s="712"/>
      <c r="AN561" s="712"/>
      <c r="AO561" s="712"/>
      <c r="AP561" s="712"/>
      <c r="AQ561" s="712"/>
      <c r="AR561" s="712"/>
      <c r="AS561" s="712"/>
      <c r="AT561" s="712"/>
      <c r="AU561" s="712"/>
      <c r="AV561" s="712"/>
      <c r="AW561" s="712"/>
      <c r="AX561" s="712"/>
      <c r="AY561" s="712"/>
      <c r="AZ561" s="712"/>
      <c r="BA561" s="712"/>
      <c r="BB561" s="712"/>
      <c r="BC561" s="712"/>
      <c r="BD561" s="712"/>
      <c r="BE561" s="712"/>
      <c r="BF561" s="712"/>
      <c r="BG561" s="712"/>
      <c r="BH561" s="712"/>
      <c r="BI561" s="712"/>
      <c r="BJ561" s="712"/>
      <c r="BK561" s="712"/>
      <c r="BL561" s="712"/>
      <c r="BM561" s="712"/>
      <c r="BN561" s="712"/>
      <c r="BO561" s="712"/>
      <c r="BP561" s="712"/>
      <c r="BQ561" s="712"/>
      <c r="BR561" s="712"/>
      <c r="BS561" s="712"/>
      <c r="BT561" s="712"/>
      <c r="BU561" s="712"/>
      <c r="BV561" s="712"/>
      <c r="BW561" s="712"/>
      <c r="BX561" s="712"/>
      <c r="BY561" s="712"/>
      <c r="BZ561" s="712"/>
      <c r="CA561" s="712"/>
      <c r="CB561" s="712"/>
      <c r="CC561" s="712"/>
      <c r="CD561" s="712"/>
      <c r="CE561" s="712"/>
      <c r="CF561" s="712"/>
      <c r="CG561" s="712"/>
      <c r="CH561" s="712"/>
      <c r="CI561" s="712"/>
      <c r="CJ561" s="712"/>
      <c r="CK561" s="712"/>
      <c r="CL561" s="712"/>
      <c r="CM561" s="712"/>
      <c r="CN561" s="712"/>
      <c r="CO561" s="712"/>
      <c r="CP561" s="712"/>
      <c r="CQ561" s="712"/>
      <c r="CR561" s="712"/>
      <c r="CS561" s="712"/>
      <c r="CT561" s="712"/>
      <c r="CU561" s="712"/>
      <c r="CV561" s="712"/>
      <c r="CW561" s="712"/>
      <c r="CX561" s="712"/>
      <c r="CY561" s="712"/>
      <c r="CZ561" s="712"/>
      <c r="DA561" s="712"/>
      <c r="DB561" s="712"/>
      <c r="DC561" s="712"/>
      <c r="DD561" s="712"/>
      <c r="DE561" s="712"/>
      <c r="DF561" s="712"/>
      <c r="DG561" s="712"/>
      <c r="DH561" s="712"/>
      <c r="DI561" s="712"/>
      <c r="DJ561" s="712"/>
      <c r="DK561" s="712"/>
      <c r="DL561" s="712"/>
      <c r="DM561" s="712"/>
      <c r="DN561" s="712"/>
      <c r="DO561" s="712"/>
      <c r="DP561" s="712"/>
      <c r="DQ561" s="712"/>
      <c r="DR561" s="712"/>
      <c r="DS561" s="712"/>
      <c r="DT561" s="712"/>
      <c r="DU561" s="712"/>
      <c r="DV561" s="712"/>
      <c r="DW561" s="712"/>
      <c r="DX561" s="712"/>
      <c r="DY561" s="712"/>
      <c r="DZ561" s="712"/>
      <c r="EA561" s="712"/>
      <c r="EB561" s="712"/>
      <c r="EC561" s="712"/>
      <c r="ED561" s="712"/>
      <c r="EE561" s="712"/>
      <c r="EF561" s="712"/>
      <c r="EG561" s="712"/>
      <c r="EH561" s="712"/>
      <c r="EI561" s="712"/>
      <c r="EJ561" s="712"/>
      <c r="EK561" s="712"/>
      <c r="EL561" s="712"/>
      <c r="EM561" s="712"/>
      <c r="EN561" s="712"/>
      <c r="EO561" s="712"/>
      <c r="EP561" s="712"/>
      <c r="EQ561" s="712"/>
      <c r="ER561" s="712"/>
      <c r="ES561" s="712"/>
      <c r="ET561" s="794"/>
      <c r="EU561" s="794"/>
      <c r="EV561" s="794"/>
      <c r="EW561" s="794"/>
      <c r="EX561" s="794"/>
      <c r="EY561" s="794"/>
      <c r="EZ561" s="794"/>
      <c r="FA561" s="712"/>
      <c r="FB561" s="712"/>
      <c r="FC561" s="712"/>
      <c r="FD561" s="712"/>
      <c r="FE561" s="712"/>
      <c r="FF561" s="712"/>
      <c r="FG561" s="712"/>
      <c r="FH561" s="712"/>
      <c r="FI561" s="712"/>
      <c r="FJ561" s="712"/>
      <c r="FK561" s="712"/>
      <c r="FL561" s="712"/>
      <c r="FM561" s="712"/>
      <c r="FN561" s="712"/>
      <c r="FO561" s="712"/>
      <c r="FP561" s="712"/>
      <c r="FQ561" s="712"/>
      <c r="FR561" s="712"/>
      <c r="FS561" s="712"/>
      <c r="FT561" s="712"/>
      <c r="FU561" s="712"/>
      <c r="FV561" s="712"/>
      <c r="FW561" s="712"/>
      <c r="FX561" s="712"/>
      <c r="FZ561" s="712"/>
      <c r="GA561" s="712"/>
      <c r="GB561" s="712"/>
      <c r="GC561" s="712"/>
      <c r="GD561" s="712"/>
      <c r="GE561" s="712"/>
      <c r="GF561" s="712"/>
      <c r="GG561" s="712"/>
      <c r="GH561" s="712"/>
      <c r="GI561" s="712"/>
      <c r="GJ561" s="712"/>
      <c r="GK561" s="712"/>
      <c r="GL561" s="712"/>
      <c r="GM561" s="712"/>
      <c r="GN561" s="712"/>
      <c r="GO561" s="712"/>
      <c r="GP561" s="712"/>
      <c r="GQ561" s="712"/>
      <c r="GR561" s="712"/>
      <c r="GS561" s="712"/>
      <c r="GT561" s="712"/>
      <c r="GU561" s="712"/>
      <c r="GV561" s="712"/>
      <c r="GW561" s="712"/>
      <c r="GX561" s="712"/>
      <c r="GY561" s="712"/>
      <c r="GZ561" s="712"/>
      <c r="HA561" s="712"/>
      <c r="HB561" s="712"/>
      <c r="HC561" s="712"/>
    </row>
    <row r="562" spans="1:211">
      <c r="A562" s="707"/>
      <c r="G562" s="712"/>
      <c r="H562" s="712"/>
      <c r="I562" s="712"/>
      <c r="J562" s="712"/>
      <c r="K562" s="712"/>
      <c r="L562" s="712"/>
      <c r="M562" s="712"/>
      <c r="N562" s="712"/>
      <c r="O562" s="712"/>
      <c r="P562" s="712"/>
      <c r="Q562" s="712"/>
      <c r="R562" s="712"/>
      <c r="S562" s="712"/>
      <c r="T562" s="712"/>
      <c r="U562" s="712"/>
      <c r="V562" s="712"/>
      <c r="W562" s="712"/>
      <c r="X562" s="712"/>
      <c r="Y562" s="712"/>
      <c r="Z562" s="712"/>
      <c r="AA562" s="712"/>
      <c r="AB562" s="712"/>
      <c r="AC562" s="712"/>
      <c r="AD562" s="712"/>
      <c r="AE562" s="712"/>
      <c r="AF562" s="712"/>
      <c r="AG562" s="712"/>
      <c r="AH562" s="712"/>
      <c r="AI562" s="712"/>
      <c r="AJ562" s="712"/>
      <c r="AK562" s="712"/>
      <c r="AL562" s="712"/>
      <c r="AM562" s="712"/>
      <c r="AN562" s="712"/>
      <c r="AO562" s="712"/>
      <c r="AP562" s="712"/>
      <c r="AQ562" s="712"/>
      <c r="AR562" s="712"/>
      <c r="AS562" s="712"/>
      <c r="AT562" s="712"/>
      <c r="AU562" s="712"/>
      <c r="AV562" s="712"/>
      <c r="AW562" s="712"/>
      <c r="AX562" s="712"/>
      <c r="AY562" s="712"/>
      <c r="AZ562" s="712"/>
      <c r="BA562" s="712"/>
      <c r="BB562" s="712"/>
      <c r="BC562" s="712"/>
      <c r="BD562" s="712"/>
      <c r="BE562" s="712"/>
      <c r="BF562" s="712"/>
      <c r="BG562" s="712"/>
      <c r="BH562" s="712"/>
      <c r="BI562" s="712"/>
      <c r="BJ562" s="712"/>
      <c r="BK562" s="712"/>
      <c r="BL562" s="712"/>
      <c r="BM562" s="712"/>
      <c r="BN562" s="712"/>
      <c r="BO562" s="712"/>
      <c r="BP562" s="712"/>
      <c r="BQ562" s="712"/>
      <c r="BR562" s="712"/>
      <c r="BS562" s="712"/>
      <c r="BT562" s="712"/>
      <c r="BU562" s="712"/>
      <c r="BV562" s="712"/>
      <c r="BW562" s="712"/>
      <c r="BX562" s="712"/>
      <c r="BY562" s="712"/>
      <c r="BZ562" s="712"/>
      <c r="CA562" s="712"/>
      <c r="CB562" s="712"/>
      <c r="CC562" s="712"/>
      <c r="CD562" s="712"/>
      <c r="CE562" s="712"/>
      <c r="CF562" s="712"/>
      <c r="CG562" s="712"/>
      <c r="CH562" s="712"/>
      <c r="CI562" s="712"/>
      <c r="CJ562" s="712"/>
      <c r="CK562" s="712"/>
      <c r="CL562" s="712"/>
      <c r="CM562" s="712"/>
      <c r="CN562" s="712"/>
      <c r="CO562" s="712"/>
      <c r="CP562" s="712"/>
      <c r="CQ562" s="712"/>
      <c r="CR562" s="712"/>
      <c r="CS562" s="712"/>
      <c r="CT562" s="712"/>
      <c r="CU562" s="712"/>
      <c r="CV562" s="712"/>
      <c r="CW562" s="712"/>
      <c r="CX562" s="712"/>
      <c r="CY562" s="712"/>
      <c r="CZ562" s="712"/>
      <c r="DA562" s="712"/>
      <c r="DB562" s="712"/>
      <c r="DC562" s="712"/>
      <c r="DD562" s="712"/>
      <c r="DE562" s="712"/>
      <c r="DF562" s="712"/>
      <c r="DG562" s="712"/>
      <c r="DH562" s="712"/>
      <c r="DI562" s="712"/>
      <c r="DJ562" s="712"/>
      <c r="DK562" s="712"/>
      <c r="DL562" s="712"/>
      <c r="DM562" s="712"/>
      <c r="DN562" s="712"/>
      <c r="DO562" s="712"/>
      <c r="DP562" s="712"/>
      <c r="DQ562" s="712"/>
      <c r="DR562" s="712"/>
      <c r="DS562" s="712"/>
      <c r="DT562" s="712"/>
      <c r="DU562" s="712"/>
      <c r="DV562" s="712"/>
      <c r="DW562" s="712"/>
      <c r="DX562" s="712"/>
      <c r="DY562" s="712"/>
      <c r="DZ562" s="712"/>
      <c r="EA562" s="712"/>
      <c r="EB562" s="712"/>
      <c r="EC562" s="712"/>
      <c r="ED562" s="712"/>
      <c r="EE562" s="712"/>
      <c r="EF562" s="712"/>
      <c r="EG562" s="712"/>
      <c r="EH562" s="712"/>
      <c r="EI562" s="712"/>
      <c r="EJ562" s="712"/>
      <c r="EK562" s="712"/>
      <c r="EL562" s="712"/>
      <c r="EM562" s="712"/>
      <c r="EN562" s="712"/>
      <c r="EO562" s="712"/>
      <c r="EP562" s="712"/>
      <c r="EQ562" s="712"/>
      <c r="ER562" s="712"/>
      <c r="ES562" s="712"/>
      <c r="ET562" s="794"/>
      <c r="EU562" s="794"/>
      <c r="EV562" s="794"/>
      <c r="EW562" s="794"/>
      <c r="EX562" s="794"/>
      <c r="EY562" s="794"/>
      <c r="EZ562" s="794"/>
      <c r="FA562" s="712"/>
      <c r="FB562" s="712"/>
      <c r="FC562" s="712"/>
      <c r="FD562" s="712"/>
      <c r="FE562" s="712"/>
      <c r="FF562" s="712"/>
      <c r="FG562" s="712"/>
      <c r="FH562" s="712"/>
      <c r="FI562" s="712"/>
      <c r="FJ562" s="712"/>
      <c r="FK562" s="712"/>
      <c r="FL562" s="712"/>
      <c r="FM562" s="712"/>
      <c r="FN562" s="712"/>
      <c r="FO562" s="712"/>
      <c r="FP562" s="712"/>
      <c r="FQ562" s="712"/>
      <c r="FR562" s="712"/>
      <c r="FS562" s="712"/>
      <c r="FT562" s="712"/>
      <c r="FU562" s="712"/>
      <c r="FV562" s="712"/>
      <c r="FW562" s="712"/>
      <c r="FX562" s="712"/>
      <c r="FZ562" s="712"/>
      <c r="GA562" s="712"/>
      <c r="GB562" s="712"/>
      <c r="GC562" s="712"/>
      <c r="GD562" s="712"/>
      <c r="GE562" s="712"/>
      <c r="GF562" s="712"/>
      <c r="GG562" s="712"/>
      <c r="GH562" s="712"/>
      <c r="GI562" s="712"/>
      <c r="GJ562" s="712"/>
      <c r="GK562" s="712"/>
      <c r="GL562" s="712"/>
      <c r="GM562" s="712"/>
      <c r="GN562" s="712"/>
      <c r="GO562" s="712"/>
      <c r="GP562" s="712"/>
      <c r="GQ562" s="712"/>
      <c r="GR562" s="712"/>
      <c r="GS562" s="712"/>
      <c r="GT562" s="712"/>
      <c r="GU562" s="712"/>
      <c r="GV562" s="712"/>
      <c r="GW562" s="712"/>
      <c r="GX562" s="712"/>
      <c r="GY562" s="712"/>
      <c r="GZ562" s="712"/>
      <c r="HA562" s="712"/>
      <c r="HB562" s="712"/>
      <c r="HC562" s="712"/>
    </row>
    <row r="563" spans="1:211">
      <c r="A563" s="707"/>
      <c r="G563" s="712"/>
      <c r="H563" s="712"/>
      <c r="I563" s="712"/>
      <c r="J563" s="712"/>
      <c r="K563" s="712"/>
      <c r="L563" s="712"/>
      <c r="M563" s="712"/>
      <c r="N563" s="712"/>
      <c r="O563" s="712"/>
      <c r="P563" s="712"/>
      <c r="Q563" s="712"/>
      <c r="R563" s="712"/>
      <c r="S563" s="712"/>
      <c r="T563" s="712"/>
      <c r="U563" s="712"/>
      <c r="V563" s="712"/>
      <c r="W563" s="712"/>
      <c r="X563" s="712"/>
      <c r="Y563" s="712"/>
      <c r="Z563" s="712"/>
      <c r="AA563" s="712"/>
      <c r="AB563" s="712"/>
      <c r="AC563" s="712"/>
      <c r="AD563" s="712"/>
      <c r="AE563" s="712"/>
      <c r="AF563" s="712"/>
      <c r="AG563" s="712"/>
      <c r="AH563" s="712"/>
      <c r="AI563" s="712"/>
      <c r="AJ563" s="712"/>
      <c r="AK563" s="712"/>
      <c r="AL563" s="712"/>
      <c r="AM563" s="712"/>
      <c r="AN563" s="712"/>
      <c r="AO563" s="712"/>
      <c r="AP563" s="712"/>
      <c r="AQ563" s="712"/>
      <c r="AR563" s="712"/>
      <c r="AS563" s="712"/>
      <c r="AT563" s="712"/>
      <c r="AU563" s="712"/>
      <c r="AV563" s="712"/>
      <c r="AW563" s="712"/>
      <c r="AX563" s="712"/>
      <c r="AY563" s="712"/>
      <c r="AZ563" s="712"/>
      <c r="BA563" s="712"/>
      <c r="BB563" s="712"/>
      <c r="BC563" s="712"/>
      <c r="BD563" s="712"/>
      <c r="BE563" s="712"/>
      <c r="BF563" s="712"/>
      <c r="BG563" s="712"/>
      <c r="BH563" s="712"/>
      <c r="BI563" s="712"/>
      <c r="BJ563" s="712"/>
      <c r="BK563" s="712"/>
      <c r="BL563" s="712"/>
      <c r="BM563" s="712"/>
      <c r="BN563" s="712"/>
      <c r="BO563" s="712"/>
      <c r="BP563" s="712"/>
      <c r="BQ563" s="712"/>
      <c r="BR563" s="712"/>
      <c r="BS563" s="712"/>
      <c r="BT563" s="712"/>
      <c r="BU563" s="712"/>
      <c r="BV563" s="712"/>
      <c r="BW563" s="712"/>
      <c r="BX563" s="712"/>
      <c r="BY563" s="712"/>
      <c r="BZ563" s="712"/>
      <c r="CA563" s="712"/>
      <c r="CB563" s="712"/>
      <c r="CC563" s="712"/>
      <c r="CD563" s="712"/>
      <c r="CE563" s="712"/>
      <c r="CF563" s="712"/>
      <c r="CG563" s="712"/>
      <c r="CH563" s="712"/>
      <c r="CI563" s="712"/>
      <c r="CJ563" s="712"/>
      <c r="CK563" s="712"/>
      <c r="CL563" s="712"/>
      <c r="CM563" s="712"/>
      <c r="CN563" s="712"/>
      <c r="CO563" s="712"/>
      <c r="CP563" s="712"/>
      <c r="CQ563" s="712"/>
      <c r="CR563" s="712"/>
      <c r="CS563" s="712"/>
      <c r="CT563" s="712"/>
      <c r="CU563" s="712"/>
      <c r="CV563" s="712"/>
      <c r="CW563" s="712"/>
      <c r="CX563" s="712"/>
      <c r="CY563" s="712"/>
      <c r="CZ563" s="712"/>
      <c r="DA563" s="712"/>
      <c r="DB563" s="712"/>
      <c r="DC563" s="712"/>
      <c r="DD563" s="712"/>
      <c r="DE563" s="712"/>
      <c r="DF563" s="712"/>
      <c r="DG563" s="712"/>
      <c r="DH563" s="712"/>
      <c r="DI563" s="712"/>
      <c r="DJ563" s="712"/>
      <c r="DK563" s="712"/>
      <c r="DL563" s="712"/>
      <c r="DM563" s="712"/>
      <c r="DN563" s="712"/>
      <c r="DO563" s="712"/>
      <c r="DP563" s="712"/>
      <c r="DQ563" s="712"/>
      <c r="DR563" s="712"/>
      <c r="DS563" s="712"/>
      <c r="DT563" s="712"/>
      <c r="DU563" s="712"/>
      <c r="DV563" s="712"/>
      <c r="DW563" s="712"/>
      <c r="DX563" s="712"/>
      <c r="DY563" s="712"/>
      <c r="DZ563" s="712"/>
      <c r="EA563" s="712"/>
      <c r="EB563" s="712"/>
      <c r="EC563" s="712"/>
      <c r="ED563" s="712"/>
      <c r="EE563" s="712"/>
      <c r="EF563" s="712"/>
      <c r="EG563" s="712"/>
      <c r="EH563" s="712"/>
      <c r="EI563" s="712"/>
      <c r="EJ563" s="712"/>
      <c r="EK563" s="712"/>
      <c r="EL563" s="712"/>
      <c r="EM563" s="712"/>
      <c r="EN563" s="712"/>
      <c r="EO563" s="712"/>
      <c r="EP563" s="712"/>
      <c r="EQ563" s="712"/>
      <c r="ER563" s="712"/>
      <c r="ES563" s="712"/>
      <c r="ET563" s="794"/>
      <c r="EU563" s="794"/>
      <c r="EV563" s="794"/>
      <c r="EW563" s="794"/>
      <c r="EX563" s="794"/>
      <c r="EY563" s="794"/>
      <c r="EZ563" s="794"/>
      <c r="FA563" s="712"/>
      <c r="FB563" s="712"/>
      <c r="FC563" s="712"/>
      <c r="FD563" s="712"/>
      <c r="FE563" s="712"/>
      <c r="FF563" s="712"/>
      <c r="FG563" s="712"/>
      <c r="FH563" s="712"/>
      <c r="FI563" s="712"/>
      <c r="FJ563" s="712"/>
      <c r="FK563" s="712"/>
      <c r="FL563" s="712"/>
      <c r="FM563" s="712"/>
      <c r="FN563" s="712"/>
      <c r="FO563" s="712"/>
      <c r="FP563" s="712"/>
      <c r="FQ563" s="712"/>
      <c r="FR563" s="712"/>
      <c r="FS563" s="712"/>
      <c r="FT563" s="712"/>
      <c r="FU563" s="712"/>
      <c r="FV563" s="712"/>
      <c r="FW563" s="712"/>
      <c r="FX563" s="712"/>
      <c r="FZ563" s="712"/>
      <c r="GA563" s="712"/>
      <c r="GB563" s="712"/>
      <c r="GC563" s="712"/>
      <c r="GD563" s="712"/>
      <c r="GE563" s="712"/>
      <c r="GF563" s="712"/>
      <c r="GG563" s="712"/>
      <c r="GH563" s="712"/>
      <c r="GI563" s="712"/>
      <c r="GJ563" s="712"/>
      <c r="GK563" s="712"/>
      <c r="GL563" s="712"/>
      <c r="GM563" s="712"/>
      <c r="GN563" s="712"/>
      <c r="GO563" s="712"/>
      <c r="GP563" s="712"/>
      <c r="GQ563" s="712"/>
      <c r="GR563" s="712"/>
      <c r="GS563" s="712"/>
      <c r="GT563" s="712"/>
      <c r="GU563" s="712"/>
      <c r="GV563" s="712"/>
      <c r="GW563" s="712"/>
      <c r="GX563" s="712"/>
      <c r="GY563" s="712"/>
      <c r="GZ563" s="712"/>
      <c r="HA563" s="712"/>
      <c r="HB563" s="712"/>
      <c r="HC563" s="712"/>
    </row>
    <row r="564" spans="1:211">
      <c r="A564" s="707"/>
      <c r="G564" s="712"/>
      <c r="H564" s="712"/>
      <c r="I564" s="712"/>
      <c r="J564" s="712"/>
      <c r="K564" s="712"/>
      <c r="L564" s="712"/>
      <c r="M564" s="712"/>
      <c r="N564" s="712"/>
      <c r="O564" s="712"/>
      <c r="P564" s="712"/>
      <c r="Q564" s="712"/>
      <c r="R564" s="712"/>
      <c r="S564" s="712"/>
      <c r="T564" s="712"/>
      <c r="U564" s="712"/>
      <c r="V564" s="712"/>
      <c r="W564" s="712"/>
      <c r="X564" s="712"/>
      <c r="Y564" s="712"/>
      <c r="Z564" s="712"/>
      <c r="AA564" s="712"/>
      <c r="AB564" s="712"/>
      <c r="AC564" s="712"/>
      <c r="AD564" s="712"/>
      <c r="AE564" s="712"/>
      <c r="AF564" s="712"/>
      <c r="AG564" s="712"/>
      <c r="AH564" s="712"/>
      <c r="AI564" s="712"/>
      <c r="AJ564" s="712"/>
      <c r="AK564" s="712"/>
      <c r="AL564" s="712"/>
      <c r="AM564" s="712"/>
      <c r="AN564" s="712"/>
      <c r="AO564" s="712"/>
      <c r="AP564" s="712"/>
      <c r="AQ564" s="712"/>
      <c r="AR564" s="712"/>
      <c r="AS564" s="712"/>
      <c r="AT564" s="712"/>
      <c r="AU564" s="712"/>
      <c r="AV564" s="712"/>
      <c r="AW564" s="712"/>
      <c r="AX564" s="712"/>
      <c r="AY564" s="712"/>
      <c r="AZ564" s="712"/>
      <c r="BA564" s="712"/>
      <c r="BB564" s="712"/>
      <c r="BC564" s="712"/>
      <c r="BD564" s="712"/>
      <c r="BE564" s="712"/>
      <c r="BF564" s="712"/>
      <c r="BG564" s="712"/>
      <c r="BH564" s="712"/>
      <c r="BI564" s="712"/>
      <c r="BJ564" s="712"/>
      <c r="BK564" s="712"/>
      <c r="BL564" s="712"/>
      <c r="BM564" s="712"/>
      <c r="BN564" s="712"/>
      <c r="BO564" s="712"/>
      <c r="BP564" s="712"/>
      <c r="BQ564" s="712"/>
      <c r="BR564" s="712"/>
      <c r="BS564" s="712"/>
      <c r="BT564" s="712"/>
      <c r="BU564" s="712"/>
      <c r="BV564" s="712"/>
      <c r="BW564" s="712"/>
      <c r="BX564" s="712"/>
      <c r="BY564" s="712"/>
      <c r="BZ564" s="712"/>
      <c r="CA564" s="712"/>
      <c r="CB564" s="712"/>
      <c r="CC564" s="712"/>
      <c r="CD564" s="712"/>
      <c r="CE564" s="712"/>
      <c r="CF564" s="712"/>
      <c r="CG564" s="712"/>
      <c r="CH564" s="712"/>
      <c r="CI564" s="712"/>
      <c r="CJ564" s="712"/>
      <c r="CK564" s="712"/>
      <c r="CL564" s="712"/>
      <c r="CM564" s="712"/>
      <c r="CN564" s="712"/>
      <c r="CO564" s="712"/>
      <c r="CP564" s="712"/>
      <c r="CQ564" s="712"/>
      <c r="CR564" s="712"/>
      <c r="CS564" s="712"/>
      <c r="CT564" s="712"/>
      <c r="CU564" s="712"/>
      <c r="CV564" s="712"/>
      <c r="CW564" s="712"/>
      <c r="CX564" s="712"/>
      <c r="CY564" s="712"/>
      <c r="CZ564" s="712"/>
      <c r="DA564" s="712"/>
      <c r="DB564" s="712"/>
      <c r="DC564" s="712"/>
      <c r="DD564" s="712"/>
      <c r="DE564" s="712"/>
      <c r="DF564" s="712"/>
      <c r="DG564" s="712"/>
      <c r="DH564" s="712"/>
      <c r="DI564" s="712"/>
      <c r="DJ564" s="712"/>
      <c r="DK564" s="712"/>
      <c r="DL564" s="712"/>
      <c r="DM564" s="712"/>
      <c r="DN564" s="712"/>
      <c r="DO564" s="712"/>
      <c r="DP564" s="712"/>
      <c r="DQ564" s="712"/>
      <c r="DR564" s="712"/>
      <c r="DS564" s="712"/>
      <c r="DT564" s="712"/>
      <c r="DU564" s="712"/>
      <c r="DV564" s="712"/>
      <c r="DW564" s="712"/>
      <c r="DX564" s="712"/>
      <c r="DY564" s="712"/>
      <c r="DZ564" s="712"/>
      <c r="EA564" s="712"/>
      <c r="EB564" s="712"/>
      <c r="EC564" s="712"/>
      <c r="ED564" s="712"/>
      <c r="EE564" s="712"/>
      <c r="EF564" s="712"/>
      <c r="EG564" s="712"/>
      <c r="EH564" s="712"/>
      <c r="EI564" s="712"/>
      <c r="EJ564" s="712"/>
      <c r="EK564" s="712"/>
      <c r="EL564" s="712"/>
      <c r="EM564" s="712"/>
      <c r="EN564" s="712"/>
      <c r="EO564" s="712"/>
      <c r="EP564" s="712"/>
      <c r="EQ564" s="712"/>
      <c r="ER564" s="712"/>
      <c r="ES564" s="712"/>
      <c r="ET564" s="794"/>
      <c r="EU564" s="794"/>
      <c r="EV564" s="794"/>
      <c r="EW564" s="794"/>
      <c r="EX564" s="794"/>
      <c r="EY564" s="794"/>
      <c r="EZ564" s="794"/>
      <c r="FA564" s="712"/>
      <c r="FB564" s="712"/>
      <c r="FC564" s="712"/>
      <c r="FD564" s="712"/>
      <c r="FE564" s="712"/>
      <c r="FF564" s="712"/>
      <c r="FG564" s="712"/>
      <c r="FH564" s="712"/>
      <c r="FI564" s="712"/>
      <c r="FJ564" s="712"/>
      <c r="FK564" s="712"/>
      <c r="FL564" s="712"/>
      <c r="FM564" s="712"/>
      <c r="FN564" s="712"/>
      <c r="FO564" s="712"/>
      <c r="FP564" s="712"/>
      <c r="FQ564" s="712"/>
      <c r="FR564" s="712"/>
      <c r="FS564" s="712"/>
      <c r="FT564" s="712"/>
      <c r="FU564" s="712"/>
      <c r="FV564" s="712"/>
      <c r="FW564" s="712"/>
      <c r="FX564" s="712"/>
      <c r="FZ564" s="712"/>
      <c r="GA564" s="712"/>
      <c r="GB564" s="712"/>
      <c r="GC564" s="712"/>
      <c r="GD564" s="712"/>
      <c r="GE564" s="712"/>
      <c r="GF564" s="712"/>
      <c r="GG564" s="712"/>
      <c r="GH564" s="712"/>
      <c r="GI564" s="712"/>
      <c r="GJ564" s="712"/>
      <c r="GK564" s="712"/>
      <c r="GL564" s="712"/>
      <c r="GM564" s="712"/>
      <c r="GN564" s="712"/>
      <c r="GO564" s="712"/>
      <c r="GP564" s="712"/>
      <c r="GQ564" s="712"/>
      <c r="GR564" s="712"/>
      <c r="GS564" s="712"/>
      <c r="GT564" s="712"/>
      <c r="GU564" s="712"/>
      <c r="GV564" s="712"/>
      <c r="GW564" s="712"/>
      <c r="GX564" s="712"/>
      <c r="GY564" s="712"/>
      <c r="GZ564" s="712"/>
      <c r="HA564" s="712"/>
      <c r="HB564" s="712"/>
      <c r="HC564" s="712"/>
    </row>
    <row r="565" spans="1:211">
      <c r="A565" s="707"/>
      <c r="G565" s="712"/>
      <c r="H565" s="712"/>
      <c r="I565" s="712"/>
      <c r="J565" s="712"/>
      <c r="K565" s="712"/>
      <c r="L565" s="712"/>
      <c r="M565" s="712"/>
      <c r="N565" s="712"/>
      <c r="O565" s="712"/>
      <c r="P565" s="712"/>
      <c r="Q565" s="712"/>
      <c r="R565" s="712"/>
      <c r="S565" s="712"/>
      <c r="T565" s="712"/>
      <c r="U565" s="712"/>
      <c r="V565" s="712"/>
      <c r="W565" s="712"/>
      <c r="X565" s="712"/>
      <c r="Y565" s="712"/>
      <c r="Z565" s="712"/>
      <c r="AA565" s="712"/>
      <c r="AB565" s="712"/>
      <c r="AC565" s="712"/>
      <c r="AD565" s="712"/>
      <c r="AE565" s="712"/>
      <c r="AF565" s="712"/>
      <c r="AG565" s="712"/>
      <c r="AH565" s="712"/>
      <c r="AI565" s="712"/>
      <c r="AJ565" s="712"/>
      <c r="AK565" s="712"/>
      <c r="AL565" s="712"/>
      <c r="AM565" s="712"/>
      <c r="AN565" s="712"/>
      <c r="AO565" s="712"/>
      <c r="AP565" s="712"/>
      <c r="AQ565" s="712"/>
      <c r="AR565" s="712"/>
      <c r="AS565" s="712"/>
      <c r="AT565" s="712"/>
      <c r="AU565" s="712"/>
      <c r="AV565" s="712"/>
      <c r="AW565" s="712"/>
      <c r="AX565" s="712"/>
      <c r="AY565" s="712"/>
      <c r="AZ565" s="712"/>
      <c r="BA565" s="712"/>
      <c r="BB565" s="712"/>
      <c r="BC565" s="712"/>
      <c r="BD565" s="712"/>
      <c r="BE565" s="712"/>
      <c r="BF565" s="712"/>
      <c r="BG565" s="712"/>
      <c r="BH565" s="712"/>
      <c r="BI565" s="712"/>
      <c r="BJ565" s="712"/>
      <c r="BK565" s="712"/>
      <c r="BL565" s="712"/>
      <c r="BM565" s="712"/>
      <c r="BN565" s="712"/>
      <c r="BO565" s="712"/>
      <c r="BP565" s="712"/>
      <c r="BQ565" s="712"/>
      <c r="BR565" s="712"/>
      <c r="BS565" s="712"/>
      <c r="BT565" s="712"/>
      <c r="BU565" s="712"/>
      <c r="BV565" s="712"/>
      <c r="BW565" s="712"/>
      <c r="BX565" s="712"/>
      <c r="BY565" s="712"/>
      <c r="BZ565" s="712"/>
      <c r="CA565" s="712"/>
      <c r="CB565" s="712"/>
      <c r="CC565" s="712"/>
      <c r="CD565" s="712"/>
      <c r="CE565" s="712"/>
      <c r="CF565" s="712"/>
      <c r="CG565" s="712"/>
      <c r="CH565" s="712"/>
      <c r="CI565" s="712"/>
      <c r="CJ565" s="712"/>
      <c r="CK565" s="712"/>
      <c r="CL565" s="712"/>
      <c r="CM565" s="712"/>
      <c r="CN565" s="712"/>
      <c r="CO565" s="712"/>
      <c r="CP565" s="712"/>
      <c r="CQ565" s="712"/>
      <c r="CR565" s="712"/>
      <c r="CS565" s="712"/>
      <c r="CT565" s="712"/>
      <c r="CU565" s="712"/>
      <c r="CV565" s="712"/>
      <c r="CW565" s="712"/>
      <c r="CX565" s="712"/>
      <c r="CY565" s="712"/>
      <c r="CZ565" s="712"/>
      <c r="DA565" s="712"/>
      <c r="DB565" s="712"/>
      <c r="DC565" s="712"/>
      <c r="DD565" s="712"/>
      <c r="DE565" s="712"/>
      <c r="DF565" s="712"/>
      <c r="DG565" s="712"/>
      <c r="DH565" s="712"/>
      <c r="DI565" s="712"/>
      <c r="DJ565" s="712"/>
      <c r="DK565" s="712"/>
      <c r="DL565" s="712"/>
      <c r="DM565" s="712"/>
      <c r="DN565" s="712"/>
      <c r="DO565" s="712"/>
      <c r="DP565" s="712"/>
      <c r="DQ565" s="712"/>
      <c r="DR565" s="712"/>
      <c r="DS565" s="712"/>
      <c r="DT565" s="712"/>
      <c r="DU565" s="712"/>
      <c r="DV565" s="712"/>
      <c r="DW565" s="712"/>
      <c r="DX565" s="712"/>
      <c r="DY565" s="712"/>
      <c r="DZ565" s="712"/>
      <c r="EA565" s="712"/>
      <c r="EB565" s="712"/>
      <c r="EC565" s="712"/>
      <c r="ED565" s="712"/>
      <c r="EE565" s="712"/>
      <c r="EF565" s="712"/>
      <c r="EG565" s="712"/>
      <c r="EH565" s="712"/>
      <c r="EI565" s="712"/>
      <c r="EJ565" s="712"/>
      <c r="EK565" s="712"/>
      <c r="EL565" s="712"/>
      <c r="EM565" s="712"/>
      <c r="EN565" s="712"/>
      <c r="EO565" s="712"/>
      <c r="EP565" s="712"/>
      <c r="EQ565" s="712"/>
      <c r="ER565" s="712"/>
      <c r="ES565" s="712"/>
      <c r="ET565" s="794"/>
      <c r="EU565" s="794"/>
      <c r="EV565" s="794"/>
      <c r="EW565" s="794"/>
      <c r="EX565" s="794"/>
      <c r="EY565" s="794"/>
      <c r="EZ565" s="794"/>
      <c r="FA565" s="712"/>
      <c r="FB565" s="712"/>
      <c r="FC565" s="712"/>
      <c r="FD565" s="712"/>
      <c r="FE565" s="712"/>
      <c r="FF565" s="712"/>
      <c r="FG565" s="712"/>
      <c r="FH565" s="712"/>
      <c r="FI565" s="712"/>
      <c r="FJ565" s="712"/>
      <c r="FK565" s="712"/>
      <c r="FL565" s="712"/>
      <c r="FM565" s="712"/>
      <c r="FN565" s="712"/>
      <c r="FO565" s="712"/>
      <c r="FP565" s="712"/>
      <c r="FQ565" s="712"/>
      <c r="FR565" s="712"/>
      <c r="FS565" s="712"/>
      <c r="FT565" s="712"/>
      <c r="FU565" s="712"/>
      <c r="FV565" s="712"/>
      <c r="FW565" s="712"/>
      <c r="FX565" s="712"/>
      <c r="FZ565" s="712"/>
      <c r="GA565" s="712"/>
      <c r="GB565" s="712"/>
      <c r="GC565" s="712"/>
      <c r="GD565" s="712"/>
      <c r="GE565" s="712"/>
      <c r="GF565" s="712"/>
      <c r="GG565" s="712"/>
      <c r="GH565" s="712"/>
      <c r="GI565" s="712"/>
      <c r="GJ565" s="712"/>
      <c r="GK565" s="712"/>
      <c r="GL565" s="712"/>
      <c r="GM565" s="712"/>
      <c r="GN565" s="712"/>
      <c r="GO565" s="712"/>
      <c r="GP565" s="712"/>
      <c r="GQ565" s="712"/>
      <c r="GR565" s="712"/>
      <c r="GS565" s="712"/>
      <c r="GT565" s="712"/>
      <c r="GU565" s="712"/>
      <c r="GV565" s="712"/>
      <c r="GW565" s="712"/>
      <c r="GX565" s="712"/>
      <c r="GY565" s="712"/>
      <c r="GZ565" s="712"/>
      <c r="HA565" s="712"/>
      <c r="HB565" s="712"/>
      <c r="HC565" s="712"/>
    </row>
    <row r="566" spans="1:211">
      <c r="A566" s="707"/>
      <c r="G566" s="712"/>
      <c r="H566" s="712"/>
      <c r="I566" s="712"/>
      <c r="J566" s="712"/>
      <c r="K566" s="712"/>
      <c r="L566" s="712"/>
      <c r="M566" s="712"/>
      <c r="N566" s="712"/>
      <c r="O566" s="712"/>
      <c r="P566" s="712"/>
      <c r="Q566" s="712"/>
      <c r="R566" s="712"/>
      <c r="S566" s="712"/>
      <c r="T566" s="712"/>
      <c r="U566" s="712"/>
      <c r="V566" s="712"/>
      <c r="W566" s="712"/>
      <c r="X566" s="712"/>
      <c r="Y566" s="712"/>
      <c r="Z566" s="712"/>
      <c r="AA566" s="712"/>
      <c r="AB566" s="712"/>
      <c r="AC566" s="712"/>
      <c r="AD566" s="712"/>
      <c r="AE566" s="712"/>
      <c r="AF566" s="712"/>
      <c r="AG566" s="712"/>
      <c r="AH566" s="712"/>
      <c r="AI566" s="712"/>
      <c r="AJ566" s="712"/>
      <c r="AK566" s="712"/>
      <c r="AL566" s="712"/>
      <c r="AM566" s="712"/>
      <c r="AN566" s="712"/>
      <c r="AO566" s="712"/>
      <c r="AP566" s="712"/>
      <c r="AQ566" s="712"/>
      <c r="AR566" s="712"/>
      <c r="AS566" s="712"/>
      <c r="AT566" s="712"/>
      <c r="AU566" s="712"/>
      <c r="AV566" s="712"/>
      <c r="AW566" s="712"/>
      <c r="AX566" s="712"/>
      <c r="AY566" s="712"/>
      <c r="AZ566" s="712"/>
      <c r="BA566" s="712"/>
      <c r="BB566" s="712"/>
      <c r="BC566" s="712"/>
      <c r="BD566" s="712"/>
      <c r="BE566" s="712"/>
      <c r="BF566" s="712"/>
      <c r="BG566" s="712"/>
      <c r="BH566" s="712"/>
      <c r="BI566" s="712"/>
      <c r="BJ566" s="712"/>
      <c r="BK566" s="712"/>
      <c r="BL566" s="712"/>
      <c r="BM566" s="712"/>
      <c r="BN566" s="712"/>
      <c r="BO566" s="712"/>
      <c r="BP566" s="712"/>
      <c r="BQ566" s="712"/>
      <c r="BR566" s="712"/>
      <c r="BS566" s="712"/>
      <c r="BT566" s="712"/>
      <c r="BU566" s="712"/>
      <c r="BV566" s="712"/>
      <c r="BW566" s="712"/>
      <c r="BX566" s="712"/>
      <c r="BY566" s="712"/>
      <c r="BZ566" s="712"/>
      <c r="CA566" s="712"/>
      <c r="CB566" s="712"/>
      <c r="CC566" s="712"/>
      <c r="CD566" s="712"/>
      <c r="CE566" s="712"/>
      <c r="CF566" s="712"/>
      <c r="CG566" s="712"/>
      <c r="CH566" s="712"/>
      <c r="CI566" s="712"/>
      <c r="CJ566" s="712"/>
      <c r="CK566" s="712"/>
      <c r="CL566" s="712"/>
      <c r="CM566" s="712"/>
      <c r="CN566" s="712"/>
      <c r="CO566" s="712"/>
      <c r="CP566" s="712"/>
      <c r="CQ566" s="712"/>
      <c r="CR566" s="712"/>
      <c r="CS566" s="712"/>
      <c r="CT566" s="712"/>
      <c r="CU566" s="712"/>
      <c r="CV566" s="712"/>
      <c r="CW566" s="712"/>
      <c r="CX566" s="712"/>
      <c r="CY566" s="712"/>
      <c r="CZ566" s="712"/>
      <c r="DA566" s="712"/>
      <c r="DB566" s="712"/>
      <c r="DC566" s="712"/>
      <c r="DD566" s="712"/>
      <c r="DE566" s="712"/>
      <c r="DF566" s="712"/>
      <c r="DG566" s="712"/>
      <c r="DH566" s="712"/>
      <c r="DI566" s="712"/>
      <c r="DJ566" s="712"/>
      <c r="DK566" s="712"/>
      <c r="DL566" s="712"/>
      <c r="DM566" s="712"/>
      <c r="DN566" s="712"/>
      <c r="DO566" s="712"/>
      <c r="DP566" s="712"/>
      <c r="DQ566" s="712"/>
      <c r="DR566" s="712"/>
      <c r="DS566" s="712"/>
      <c r="DT566" s="712"/>
      <c r="DU566" s="712"/>
      <c r="DV566" s="712"/>
      <c r="DW566" s="712"/>
      <c r="DX566" s="712"/>
      <c r="DY566" s="712"/>
      <c r="DZ566" s="712"/>
      <c r="EA566" s="712"/>
      <c r="EB566" s="712"/>
      <c r="EC566" s="712"/>
      <c r="ED566" s="712"/>
      <c r="EE566" s="712"/>
      <c r="EF566" s="712"/>
      <c r="EG566" s="712"/>
      <c r="EH566" s="712"/>
      <c r="EI566" s="712"/>
      <c r="EJ566" s="712"/>
      <c r="EK566" s="712"/>
      <c r="EL566" s="712"/>
      <c r="EM566" s="712"/>
      <c r="EN566" s="712"/>
      <c r="EO566" s="712"/>
      <c r="EP566" s="712"/>
      <c r="EQ566" s="712"/>
      <c r="ER566" s="712"/>
      <c r="ES566" s="712"/>
      <c r="ET566" s="794"/>
      <c r="EU566" s="794"/>
      <c r="EV566" s="794"/>
      <c r="EW566" s="794"/>
      <c r="EX566" s="794"/>
      <c r="EY566" s="794"/>
      <c r="EZ566" s="794"/>
      <c r="FA566" s="712"/>
      <c r="FB566" s="712"/>
      <c r="FC566" s="712"/>
      <c r="FD566" s="712"/>
      <c r="FE566" s="712"/>
      <c r="FF566" s="712"/>
      <c r="FG566" s="712"/>
      <c r="FH566" s="712"/>
      <c r="FI566" s="712"/>
      <c r="FJ566" s="712"/>
      <c r="FK566" s="712"/>
      <c r="FL566" s="712"/>
      <c r="FM566" s="712"/>
      <c r="FN566" s="712"/>
      <c r="FO566" s="712"/>
      <c r="FP566" s="712"/>
      <c r="FQ566" s="712"/>
      <c r="FR566" s="712"/>
      <c r="FS566" s="712"/>
      <c r="FT566" s="712"/>
      <c r="FU566" s="712"/>
      <c r="FV566" s="712"/>
      <c r="FW566" s="712"/>
      <c r="FX566" s="712"/>
      <c r="FZ566" s="712"/>
      <c r="GA566" s="712"/>
      <c r="GB566" s="712"/>
      <c r="GC566" s="712"/>
      <c r="GD566" s="712"/>
      <c r="GE566" s="712"/>
      <c r="GF566" s="712"/>
      <c r="GG566" s="712"/>
      <c r="GH566" s="712"/>
      <c r="GI566" s="712"/>
      <c r="GJ566" s="712"/>
      <c r="GK566" s="712"/>
      <c r="GL566" s="712"/>
      <c r="GM566" s="712"/>
      <c r="GN566" s="712"/>
      <c r="GO566" s="712"/>
      <c r="GP566" s="712"/>
      <c r="GQ566" s="712"/>
      <c r="GR566" s="712"/>
      <c r="GS566" s="712"/>
      <c r="GT566" s="712"/>
      <c r="GU566" s="712"/>
      <c r="GV566" s="712"/>
      <c r="GW566" s="712"/>
      <c r="GX566" s="712"/>
      <c r="GY566" s="712"/>
      <c r="GZ566" s="712"/>
      <c r="HA566" s="712"/>
      <c r="HB566" s="712"/>
      <c r="HC566" s="712"/>
    </row>
    <row r="567" spans="1:211">
      <c r="A567" s="707"/>
      <c r="G567" s="712"/>
      <c r="H567" s="712"/>
      <c r="I567" s="712"/>
      <c r="J567" s="712"/>
      <c r="K567" s="712"/>
      <c r="L567" s="712"/>
      <c r="M567" s="712"/>
      <c r="N567" s="712"/>
      <c r="O567" s="712"/>
      <c r="P567" s="712"/>
      <c r="Q567" s="712"/>
      <c r="R567" s="712"/>
      <c r="S567" s="712"/>
      <c r="T567" s="712"/>
      <c r="U567" s="712"/>
      <c r="V567" s="712"/>
      <c r="W567" s="712"/>
      <c r="X567" s="712"/>
      <c r="Y567" s="712"/>
      <c r="Z567" s="712"/>
      <c r="AA567" s="712"/>
      <c r="AB567" s="712"/>
      <c r="AC567" s="712"/>
      <c r="AD567" s="712"/>
      <c r="AE567" s="712"/>
      <c r="AF567" s="712"/>
      <c r="AG567" s="712"/>
      <c r="AH567" s="712"/>
      <c r="AI567" s="712"/>
      <c r="AJ567" s="712"/>
      <c r="AK567" s="712"/>
      <c r="AL567" s="712"/>
      <c r="AM567" s="712"/>
      <c r="AN567" s="712"/>
      <c r="AO567" s="712"/>
      <c r="AP567" s="712"/>
      <c r="AQ567" s="712"/>
      <c r="AR567" s="712"/>
      <c r="AS567" s="712"/>
      <c r="AT567" s="712"/>
      <c r="AU567" s="712"/>
      <c r="AV567" s="712"/>
      <c r="AW567" s="712"/>
      <c r="AX567" s="712"/>
      <c r="AY567" s="712"/>
      <c r="AZ567" s="712"/>
      <c r="BA567" s="712"/>
      <c r="BB567" s="712"/>
      <c r="BC567" s="712"/>
      <c r="BD567" s="712"/>
      <c r="BE567" s="712"/>
      <c r="BF567" s="712"/>
      <c r="BG567" s="712"/>
      <c r="BH567" s="712"/>
      <c r="BI567" s="712"/>
      <c r="BJ567" s="712"/>
      <c r="BK567" s="712"/>
      <c r="BL567" s="712"/>
      <c r="BM567" s="712"/>
      <c r="BN567" s="712"/>
      <c r="BO567" s="712"/>
      <c r="BP567" s="712"/>
      <c r="BQ567" s="712"/>
      <c r="BR567" s="712"/>
      <c r="BS567" s="712"/>
      <c r="BT567" s="712"/>
      <c r="BU567" s="712"/>
      <c r="BV567" s="712"/>
      <c r="BW567" s="712"/>
      <c r="BX567" s="712"/>
      <c r="BY567" s="712"/>
      <c r="BZ567" s="712"/>
      <c r="CA567" s="712"/>
      <c r="CB567" s="712"/>
      <c r="CC567" s="712"/>
      <c r="CD567" s="712"/>
      <c r="CE567" s="712"/>
      <c r="CF567" s="712"/>
      <c r="CG567" s="712"/>
      <c r="CH567" s="712"/>
      <c r="CI567" s="712"/>
      <c r="CJ567" s="712"/>
      <c r="CK567" s="712"/>
      <c r="CL567" s="712"/>
      <c r="CM567" s="712"/>
      <c r="CN567" s="712"/>
      <c r="CO567" s="712"/>
      <c r="CP567" s="712"/>
      <c r="CQ567" s="712"/>
      <c r="CR567" s="712"/>
      <c r="CS567" s="712"/>
      <c r="CT567" s="712"/>
      <c r="CU567" s="712"/>
      <c r="CV567" s="712"/>
      <c r="CW567" s="712"/>
      <c r="CX567" s="712"/>
      <c r="CY567" s="712"/>
      <c r="CZ567" s="712"/>
      <c r="DA567" s="712"/>
      <c r="DB567" s="712"/>
      <c r="DC567" s="712"/>
      <c r="DD567" s="712"/>
      <c r="DE567" s="712"/>
      <c r="DF567" s="712"/>
      <c r="DG567" s="712"/>
      <c r="DH567" s="712"/>
      <c r="DI567" s="712"/>
      <c r="DJ567" s="712"/>
      <c r="DK567" s="712"/>
      <c r="DL567" s="712"/>
      <c r="DM567" s="712"/>
      <c r="DN567" s="712"/>
      <c r="DO567" s="712"/>
      <c r="DP567" s="712"/>
      <c r="DQ567" s="712"/>
      <c r="DR567" s="712"/>
      <c r="DS567" s="712"/>
      <c r="DT567" s="712"/>
      <c r="DU567" s="712"/>
      <c r="DV567" s="712"/>
      <c r="DW567" s="712"/>
      <c r="DX567" s="712"/>
      <c r="DY567" s="712"/>
      <c r="DZ567" s="712"/>
      <c r="EA567" s="712"/>
      <c r="EB567" s="712"/>
      <c r="EC567" s="712"/>
      <c r="ED567" s="712"/>
      <c r="EE567" s="712"/>
      <c r="EF567" s="712"/>
      <c r="EG567" s="712"/>
      <c r="EH567" s="712"/>
      <c r="EI567" s="712"/>
      <c r="EJ567" s="712"/>
      <c r="EK567" s="712"/>
      <c r="EL567" s="712"/>
      <c r="EM567" s="712"/>
      <c r="EN567" s="712"/>
      <c r="EO567" s="712"/>
      <c r="EP567" s="712"/>
      <c r="EQ567" s="712"/>
      <c r="ER567" s="712"/>
      <c r="ES567" s="712"/>
      <c r="ET567" s="794"/>
      <c r="EU567" s="794"/>
      <c r="EV567" s="794"/>
      <c r="EW567" s="794"/>
      <c r="EX567" s="794"/>
      <c r="EY567" s="794"/>
      <c r="EZ567" s="794"/>
      <c r="FA567" s="712"/>
      <c r="FB567" s="712"/>
      <c r="FC567" s="712"/>
      <c r="FD567" s="712"/>
      <c r="FE567" s="712"/>
      <c r="FF567" s="712"/>
      <c r="FG567" s="712"/>
      <c r="FH567" s="712"/>
      <c r="FI567" s="712"/>
      <c r="FJ567" s="712"/>
      <c r="FK567" s="712"/>
      <c r="FL567" s="712"/>
      <c r="FM567" s="712"/>
      <c r="FN567" s="712"/>
      <c r="FO567" s="712"/>
      <c r="FP567" s="712"/>
      <c r="FQ567" s="712"/>
      <c r="FR567" s="712"/>
      <c r="FS567" s="712"/>
      <c r="FT567" s="712"/>
      <c r="FU567" s="712"/>
      <c r="FV567" s="712"/>
      <c r="FW567" s="712"/>
      <c r="FX567" s="712"/>
      <c r="FZ567" s="712"/>
      <c r="GA567" s="712"/>
      <c r="GB567" s="712"/>
      <c r="GC567" s="712"/>
      <c r="GD567" s="712"/>
      <c r="GE567" s="712"/>
      <c r="GF567" s="712"/>
      <c r="GG567" s="712"/>
      <c r="GH567" s="712"/>
      <c r="GI567" s="712"/>
      <c r="GJ567" s="712"/>
      <c r="GK567" s="712"/>
      <c r="GL567" s="712"/>
      <c r="GM567" s="712"/>
      <c r="GN567" s="712"/>
      <c r="GO567" s="712"/>
      <c r="GP567" s="712"/>
      <c r="GQ567" s="712"/>
      <c r="GR567" s="712"/>
      <c r="GS567" s="712"/>
      <c r="GT567" s="712"/>
      <c r="GU567" s="712"/>
      <c r="GV567" s="712"/>
      <c r="GW567" s="712"/>
      <c r="GX567" s="712"/>
      <c r="GY567" s="712"/>
      <c r="GZ567" s="712"/>
      <c r="HA567" s="712"/>
      <c r="HB567" s="712"/>
      <c r="HC567" s="712"/>
    </row>
    <row r="568" spans="1:211">
      <c r="A568" s="707"/>
      <c r="G568" s="712"/>
      <c r="H568" s="712"/>
      <c r="I568" s="712"/>
      <c r="J568" s="712"/>
      <c r="K568" s="712"/>
      <c r="L568" s="712"/>
      <c r="M568" s="712"/>
      <c r="N568" s="712"/>
      <c r="O568" s="712"/>
      <c r="P568" s="712"/>
      <c r="Q568" s="712"/>
      <c r="R568" s="712"/>
      <c r="S568" s="712"/>
      <c r="T568" s="712"/>
      <c r="U568" s="712"/>
      <c r="V568" s="712"/>
      <c r="W568" s="712"/>
      <c r="X568" s="712"/>
      <c r="Y568" s="712"/>
      <c r="Z568" s="712"/>
      <c r="AA568" s="712"/>
      <c r="AB568" s="712"/>
      <c r="AC568" s="712"/>
      <c r="AD568" s="712"/>
      <c r="AE568" s="712"/>
      <c r="AF568" s="712"/>
      <c r="AG568" s="712"/>
      <c r="AH568" s="712"/>
      <c r="AI568" s="712"/>
      <c r="AJ568" s="712"/>
      <c r="AK568" s="712"/>
      <c r="AL568" s="712"/>
      <c r="AM568" s="712"/>
      <c r="AN568" s="712"/>
      <c r="AO568" s="712"/>
      <c r="AP568" s="712"/>
      <c r="AQ568" s="712"/>
      <c r="AR568" s="712"/>
      <c r="AS568" s="712"/>
      <c r="AT568" s="712"/>
      <c r="AU568" s="712"/>
      <c r="AV568" s="712"/>
      <c r="AW568" s="712"/>
      <c r="AX568" s="712"/>
      <c r="AY568" s="712"/>
      <c r="AZ568" s="712"/>
      <c r="BA568" s="712"/>
      <c r="BB568" s="712"/>
      <c r="BC568" s="712"/>
      <c r="BD568" s="712"/>
      <c r="BE568" s="712"/>
      <c r="BF568" s="712"/>
      <c r="BG568" s="712"/>
      <c r="BH568" s="712"/>
      <c r="BI568" s="712"/>
      <c r="BJ568" s="712"/>
      <c r="BK568" s="712"/>
      <c r="BL568" s="712"/>
      <c r="BM568" s="712"/>
      <c r="BN568" s="712"/>
      <c r="BO568" s="712"/>
      <c r="BP568" s="712"/>
      <c r="BQ568" s="712"/>
      <c r="BR568" s="712"/>
      <c r="BS568" s="712"/>
      <c r="BT568" s="712"/>
      <c r="BU568" s="712"/>
      <c r="BV568" s="712"/>
      <c r="BW568" s="712"/>
      <c r="BX568" s="712"/>
      <c r="BY568" s="712"/>
      <c r="BZ568" s="712"/>
      <c r="CA568" s="712"/>
      <c r="CB568" s="712"/>
      <c r="CC568" s="712"/>
      <c r="CD568" s="712"/>
      <c r="CE568" s="712"/>
      <c r="CF568" s="712"/>
      <c r="CG568" s="712"/>
      <c r="CH568" s="712"/>
      <c r="CI568" s="712"/>
      <c r="CJ568" s="712"/>
      <c r="CK568" s="712"/>
      <c r="CL568" s="712"/>
      <c r="CM568" s="712"/>
      <c r="CN568" s="712"/>
      <c r="CO568" s="712"/>
      <c r="CP568" s="712"/>
      <c r="CQ568" s="712"/>
      <c r="CR568" s="712"/>
      <c r="CS568" s="712"/>
      <c r="CT568" s="712"/>
      <c r="CU568" s="712"/>
      <c r="CV568" s="712"/>
      <c r="CW568" s="712"/>
      <c r="CX568" s="712"/>
      <c r="CY568" s="712"/>
      <c r="CZ568" s="712"/>
      <c r="DA568" s="712"/>
      <c r="DB568" s="712"/>
      <c r="DC568" s="712"/>
      <c r="DD568" s="712"/>
      <c r="DE568" s="712"/>
      <c r="DF568" s="712"/>
      <c r="DG568" s="712"/>
      <c r="DH568" s="712"/>
      <c r="DI568" s="712"/>
      <c r="DJ568" s="712"/>
      <c r="DK568" s="712"/>
      <c r="DL568" s="712"/>
      <c r="DM568" s="712"/>
      <c r="DN568" s="712"/>
      <c r="DO568" s="712"/>
      <c r="DP568" s="712"/>
      <c r="DQ568" s="712"/>
      <c r="DR568" s="712"/>
      <c r="DS568" s="712"/>
      <c r="DT568" s="712"/>
      <c r="DU568" s="712"/>
      <c r="DV568" s="712"/>
      <c r="DW568" s="712"/>
      <c r="DX568" s="712"/>
      <c r="DY568" s="712"/>
      <c r="DZ568" s="712"/>
      <c r="EA568" s="712"/>
      <c r="EB568" s="712"/>
      <c r="EC568" s="712"/>
      <c r="ED568" s="712"/>
      <c r="EE568" s="712"/>
      <c r="EF568" s="712"/>
      <c r="EG568" s="712"/>
      <c r="EH568" s="712"/>
      <c r="EI568" s="712"/>
      <c r="EJ568" s="712"/>
      <c r="EK568" s="712"/>
      <c r="EL568" s="712"/>
      <c r="EM568" s="712"/>
      <c r="EN568" s="712"/>
      <c r="EO568" s="712"/>
      <c r="EP568" s="712"/>
      <c r="EQ568" s="712"/>
      <c r="ER568" s="712"/>
      <c r="ES568" s="712"/>
      <c r="ET568" s="794"/>
      <c r="EU568" s="794"/>
      <c r="EV568" s="794"/>
      <c r="EW568" s="794"/>
      <c r="EX568" s="794"/>
      <c r="EY568" s="794"/>
      <c r="EZ568" s="794"/>
      <c r="FA568" s="712"/>
      <c r="FB568" s="712"/>
      <c r="FC568" s="712"/>
      <c r="FD568" s="712"/>
      <c r="FE568" s="712"/>
      <c r="FF568" s="712"/>
      <c r="FG568" s="712"/>
      <c r="FH568" s="712"/>
      <c r="FI568" s="712"/>
      <c r="FJ568" s="712"/>
      <c r="FK568" s="712"/>
      <c r="FL568" s="712"/>
      <c r="FM568" s="712"/>
      <c r="FN568" s="712"/>
      <c r="FO568" s="712"/>
      <c r="FP568" s="712"/>
      <c r="FQ568" s="712"/>
      <c r="FR568" s="712"/>
      <c r="FS568" s="712"/>
      <c r="FT568" s="712"/>
      <c r="FU568" s="712"/>
      <c r="FV568" s="712"/>
      <c r="FW568" s="712"/>
      <c r="FX568" s="712"/>
      <c r="FZ568" s="712"/>
      <c r="GA568" s="712"/>
      <c r="GB568" s="712"/>
      <c r="GC568" s="712"/>
      <c r="GD568" s="712"/>
      <c r="GE568" s="712"/>
      <c r="GF568" s="712"/>
      <c r="GG568" s="712"/>
      <c r="GH568" s="712"/>
      <c r="GI568" s="712"/>
      <c r="GJ568" s="712"/>
      <c r="GK568" s="712"/>
      <c r="GL568" s="712"/>
      <c r="GM568" s="712"/>
      <c r="GN568" s="712"/>
      <c r="GO568" s="712"/>
      <c r="GP568" s="712"/>
      <c r="GQ568" s="712"/>
      <c r="GR568" s="712"/>
      <c r="GS568" s="712"/>
      <c r="GT568" s="712"/>
      <c r="GU568" s="712"/>
      <c r="GV568" s="712"/>
      <c r="GW568" s="712"/>
      <c r="GX568" s="712"/>
      <c r="GY568" s="712"/>
      <c r="GZ568" s="712"/>
      <c r="HA568" s="712"/>
      <c r="HB568" s="712"/>
      <c r="HC568" s="712"/>
    </row>
    <row r="569" spans="1:211">
      <c r="A569" s="707"/>
      <c r="G569" s="712"/>
      <c r="H569" s="712"/>
      <c r="I569" s="712"/>
      <c r="J569" s="712"/>
      <c r="K569" s="712"/>
      <c r="L569" s="712"/>
      <c r="M569" s="712"/>
      <c r="N569" s="712"/>
      <c r="O569" s="712"/>
      <c r="P569" s="712"/>
      <c r="Q569" s="712"/>
      <c r="R569" s="712"/>
      <c r="S569" s="712"/>
      <c r="T569" s="712"/>
      <c r="U569" s="712"/>
      <c r="V569" s="712"/>
      <c r="W569" s="712"/>
      <c r="X569" s="712"/>
      <c r="Y569" s="712"/>
      <c r="Z569" s="712"/>
      <c r="AA569" s="712"/>
      <c r="AB569" s="712"/>
      <c r="AC569" s="712"/>
      <c r="AD569" s="712"/>
      <c r="AE569" s="712"/>
      <c r="AF569" s="712"/>
      <c r="AG569" s="712"/>
      <c r="AH569" s="712"/>
      <c r="AI569" s="712"/>
      <c r="AJ569" s="712"/>
      <c r="AK569" s="712"/>
      <c r="AL569" s="712"/>
      <c r="AM569" s="712"/>
      <c r="AN569" s="712"/>
      <c r="AO569" s="712"/>
      <c r="AP569" s="712"/>
      <c r="AQ569" s="712"/>
      <c r="AR569" s="712"/>
      <c r="AS569" s="712"/>
      <c r="AT569" s="712"/>
      <c r="AU569" s="712"/>
      <c r="AV569" s="712"/>
      <c r="AW569" s="712"/>
      <c r="AX569" s="712"/>
      <c r="AY569" s="712"/>
      <c r="AZ569" s="712"/>
      <c r="BA569" s="712"/>
      <c r="BB569" s="712"/>
      <c r="BC569" s="712"/>
      <c r="BD569" s="712"/>
      <c r="BE569" s="712"/>
      <c r="BF569" s="712"/>
      <c r="BG569" s="712"/>
      <c r="BH569" s="712"/>
      <c r="BI569" s="712"/>
      <c r="BJ569" s="712"/>
      <c r="BK569" s="712"/>
      <c r="BL569" s="712"/>
      <c r="BM569" s="712"/>
      <c r="BN569" s="712"/>
      <c r="BO569" s="712"/>
      <c r="BP569" s="712"/>
      <c r="BQ569" s="712"/>
      <c r="BR569" s="712"/>
      <c r="BS569" s="712"/>
      <c r="BT569" s="712"/>
      <c r="BU569" s="712"/>
      <c r="BV569" s="712"/>
      <c r="BW569" s="712"/>
      <c r="BX569" s="712"/>
      <c r="BY569" s="712"/>
      <c r="BZ569" s="712"/>
      <c r="CA569" s="712"/>
      <c r="CB569" s="712"/>
      <c r="CC569" s="712"/>
      <c r="CD569" s="712"/>
      <c r="CE569" s="712"/>
      <c r="CF569" s="712"/>
      <c r="CG569" s="712"/>
      <c r="CH569" s="712"/>
      <c r="CI569" s="712"/>
      <c r="CJ569" s="712"/>
      <c r="CK569" s="712"/>
      <c r="CL569" s="712"/>
      <c r="CM569" s="712"/>
      <c r="CN569" s="712"/>
      <c r="CO569" s="712"/>
      <c r="CP569" s="712"/>
      <c r="CQ569" s="712"/>
      <c r="CR569" s="712"/>
      <c r="CS569" s="712"/>
      <c r="CT569" s="712"/>
      <c r="CU569" s="712"/>
      <c r="CV569" s="712"/>
      <c r="CW569" s="712"/>
      <c r="CX569" s="712"/>
      <c r="CY569" s="712"/>
      <c r="CZ569" s="712"/>
      <c r="DA569" s="712"/>
      <c r="DB569" s="712"/>
      <c r="DC569" s="712"/>
      <c r="DD569" s="712"/>
      <c r="DE569" s="712"/>
      <c r="DF569" s="712"/>
      <c r="DG569" s="712"/>
      <c r="DH569" s="712"/>
      <c r="DI569" s="712"/>
      <c r="DJ569" s="712"/>
      <c r="DK569" s="712"/>
      <c r="DL569" s="712"/>
      <c r="DM569" s="712"/>
      <c r="DN569" s="712"/>
      <c r="DO569" s="712"/>
      <c r="DP569" s="712"/>
      <c r="DQ569" s="712"/>
      <c r="DR569" s="712"/>
      <c r="DS569" s="712"/>
      <c r="DT569" s="712"/>
      <c r="DU569" s="712"/>
      <c r="DV569" s="712"/>
      <c r="DW569" s="712"/>
      <c r="DX569" s="712"/>
      <c r="DY569" s="712"/>
      <c r="DZ569" s="712"/>
      <c r="EA569" s="712"/>
      <c r="EB569" s="712"/>
      <c r="EC569" s="712"/>
      <c r="ED569" s="712"/>
      <c r="EE569" s="712"/>
      <c r="EF569" s="712"/>
      <c r="EG569" s="712"/>
      <c r="EH569" s="712"/>
      <c r="EI569" s="712"/>
      <c r="EJ569" s="712"/>
      <c r="EK569" s="712"/>
      <c r="EL569" s="712"/>
      <c r="EM569" s="712"/>
      <c r="EN569" s="712"/>
      <c r="EO569" s="712"/>
      <c r="EP569" s="712"/>
      <c r="EQ569" s="712"/>
      <c r="ER569" s="712"/>
      <c r="ES569" s="712"/>
      <c r="ET569" s="794"/>
      <c r="EU569" s="794"/>
      <c r="EV569" s="794"/>
      <c r="EW569" s="794"/>
      <c r="EX569" s="794"/>
      <c r="EY569" s="794"/>
      <c r="EZ569" s="794"/>
      <c r="FA569" s="712"/>
      <c r="FB569" s="712"/>
      <c r="FC569" s="712"/>
      <c r="FD569" s="712"/>
      <c r="FE569" s="712"/>
      <c r="FF569" s="712"/>
      <c r="FG569" s="712"/>
      <c r="FH569" s="712"/>
      <c r="FI569" s="712"/>
      <c r="FJ569" s="712"/>
      <c r="FK569" s="712"/>
      <c r="FL569" s="712"/>
      <c r="FM569" s="712"/>
      <c r="FN569" s="712"/>
      <c r="FO569" s="712"/>
      <c r="FP569" s="712"/>
      <c r="FQ569" s="712"/>
      <c r="FR569" s="712"/>
      <c r="FS569" s="712"/>
      <c r="FT569" s="712"/>
      <c r="FU569" s="712"/>
      <c r="FV569" s="712"/>
      <c r="FW569" s="712"/>
      <c r="FX569" s="712"/>
      <c r="FZ569" s="712"/>
      <c r="GA569" s="712"/>
      <c r="GB569" s="712"/>
      <c r="GC569" s="712"/>
      <c r="GD569" s="712"/>
      <c r="GE569" s="712"/>
      <c r="GF569" s="712"/>
      <c r="GG569" s="712"/>
      <c r="GH569" s="712"/>
      <c r="GI569" s="712"/>
      <c r="GJ569" s="712"/>
      <c r="GK569" s="712"/>
      <c r="GL569" s="712"/>
      <c r="GM569" s="712"/>
      <c r="GN569" s="712"/>
      <c r="GO569" s="712"/>
      <c r="GP569" s="712"/>
      <c r="GQ569" s="712"/>
      <c r="GR569" s="712"/>
      <c r="GS569" s="712"/>
      <c r="GT569" s="712"/>
      <c r="GU569" s="712"/>
      <c r="GV569" s="712"/>
      <c r="GW569" s="712"/>
      <c r="GX569" s="712"/>
      <c r="GY569" s="712"/>
      <c r="GZ569" s="712"/>
      <c r="HA569" s="712"/>
      <c r="HB569" s="712"/>
      <c r="HC569" s="712"/>
    </row>
    <row r="570" spans="1:211">
      <c r="A570" s="707"/>
      <c r="G570" s="712"/>
      <c r="H570" s="712"/>
      <c r="I570" s="712"/>
      <c r="J570" s="712"/>
      <c r="K570" s="712"/>
      <c r="L570" s="712"/>
      <c r="M570" s="712"/>
      <c r="N570" s="712"/>
      <c r="O570" s="712"/>
      <c r="P570" s="712"/>
      <c r="Q570" s="712"/>
      <c r="R570" s="712"/>
      <c r="S570" s="712"/>
      <c r="T570" s="712"/>
      <c r="U570" s="712"/>
      <c r="V570" s="712"/>
      <c r="W570" s="712"/>
      <c r="X570" s="712"/>
      <c r="Y570" s="712"/>
      <c r="Z570" s="712"/>
      <c r="AA570" s="712"/>
      <c r="AB570" s="712"/>
      <c r="AC570" s="712"/>
      <c r="AD570" s="712"/>
      <c r="AE570" s="712"/>
      <c r="AF570" s="712"/>
      <c r="AG570" s="712"/>
      <c r="AH570" s="712"/>
      <c r="AI570" s="712"/>
      <c r="AJ570" s="712"/>
      <c r="AK570" s="712"/>
      <c r="AL570" s="712"/>
      <c r="AM570" s="712"/>
      <c r="AN570" s="712"/>
      <c r="AO570" s="712"/>
      <c r="AP570" s="712"/>
      <c r="AQ570" s="712"/>
      <c r="AR570" s="712"/>
      <c r="AS570" s="712"/>
      <c r="AT570" s="712"/>
      <c r="AU570" s="712"/>
      <c r="AV570" s="712"/>
      <c r="AW570" s="712"/>
      <c r="AX570" s="712"/>
      <c r="AY570" s="712"/>
      <c r="AZ570" s="712"/>
      <c r="BA570" s="712"/>
      <c r="BB570" s="712"/>
      <c r="BC570" s="712"/>
      <c r="BD570" s="712"/>
      <c r="BE570" s="712"/>
      <c r="BF570" s="712"/>
      <c r="BG570" s="712"/>
      <c r="BH570" s="712"/>
      <c r="BI570" s="712"/>
      <c r="BJ570" s="712"/>
      <c r="BK570" s="712"/>
      <c r="BL570" s="712"/>
      <c r="BM570" s="712"/>
      <c r="BN570" s="712"/>
      <c r="BO570" s="712"/>
      <c r="BP570" s="712"/>
      <c r="BQ570" s="712"/>
      <c r="BR570" s="712"/>
      <c r="BS570" s="712"/>
      <c r="BT570" s="712"/>
      <c r="BU570" s="712"/>
      <c r="BV570" s="712"/>
      <c r="BW570" s="712"/>
      <c r="BX570" s="712"/>
      <c r="BY570" s="712"/>
      <c r="BZ570" s="712"/>
      <c r="CA570" s="712"/>
      <c r="CB570" s="712"/>
      <c r="CC570" s="712"/>
      <c r="CD570" s="712"/>
      <c r="CE570" s="712"/>
      <c r="CF570" s="712"/>
      <c r="CG570" s="712"/>
      <c r="CH570" s="712"/>
      <c r="CI570" s="712"/>
      <c r="CJ570" s="712"/>
      <c r="CK570" s="712"/>
      <c r="CL570" s="712"/>
      <c r="CM570" s="712"/>
      <c r="CN570" s="712"/>
      <c r="CO570" s="712"/>
      <c r="CP570" s="712"/>
      <c r="CQ570" s="712"/>
      <c r="CR570" s="712"/>
      <c r="CS570" s="712"/>
      <c r="CT570" s="712"/>
      <c r="CU570" s="712"/>
      <c r="CV570" s="712"/>
      <c r="CW570" s="712"/>
      <c r="CX570" s="712"/>
      <c r="CY570" s="712"/>
      <c r="CZ570" s="712"/>
      <c r="DA570" s="712"/>
      <c r="DB570" s="712"/>
      <c r="DC570" s="712"/>
      <c r="DD570" s="712"/>
      <c r="DE570" s="712"/>
      <c r="DF570" s="712"/>
      <c r="DG570" s="712"/>
      <c r="DH570" s="712"/>
      <c r="DI570" s="712"/>
      <c r="DJ570" s="712"/>
      <c r="DK570" s="712"/>
      <c r="DL570" s="712"/>
      <c r="DM570" s="712"/>
      <c r="DN570" s="712"/>
      <c r="DO570" s="712"/>
      <c r="DP570" s="712"/>
      <c r="DQ570" s="712"/>
      <c r="DR570" s="712"/>
      <c r="DS570" s="712"/>
      <c r="DT570" s="712"/>
      <c r="DU570" s="712"/>
      <c r="DV570" s="712"/>
      <c r="DW570" s="712"/>
      <c r="DX570" s="712"/>
      <c r="DY570" s="712"/>
      <c r="DZ570" s="712"/>
      <c r="EA570" s="712"/>
      <c r="EB570" s="712"/>
      <c r="EC570" s="712"/>
      <c r="ED570" s="712"/>
      <c r="EE570" s="712"/>
      <c r="EF570" s="712"/>
      <c r="EG570" s="712"/>
      <c r="EH570" s="712"/>
      <c r="EI570" s="712"/>
      <c r="EJ570" s="712"/>
      <c r="EK570" s="712"/>
      <c r="EL570" s="712"/>
      <c r="EM570" s="712"/>
      <c r="EN570" s="712"/>
      <c r="EO570" s="712"/>
      <c r="EP570" s="712"/>
      <c r="EQ570" s="712"/>
      <c r="ER570" s="712"/>
      <c r="ES570" s="712"/>
      <c r="ET570" s="794"/>
      <c r="EU570" s="794"/>
      <c r="EV570" s="794"/>
      <c r="EW570" s="794"/>
      <c r="EX570" s="794"/>
      <c r="EY570" s="794"/>
      <c r="EZ570" s="794"/>
      <c r="FA570" s="712"/>
      <c r="FB570" s="712"/>
      <c r="FC570" s="712"/>
      <c r="FD570" s="712"/>
      <c r="FE570" s="712"/>
      <c r="FF570" s="712"/>
      <c r="FG570" s="712"/>
      <c r="FH570" s="712"/>
      <c r="FI570" s="712"/>
      <c r="FJ570" s="712"/>
      <c r="FK570" s="712"/>
      <c r="FL570" s="712"/>
      <c r="FM570" s="712"/>
      <c r="FN570" s="712"/>
      <c r="FO570" s="712"/>
      <c r="FP570" s="712"/>
      <c r="FQ570" s="712"/>
      <c r="FR570" s="712"/>
      <c r="FS570" s="712"/>
      <c r="FT570" s="712"/>
      <c r="FU570" s="712"/>
      <c r="FV570" s="712"/>
      <c r="FW570" s="712"/>
      <c r="FX570" s="712"/>
      <c r="FZ570" s="712"/>
      <c r="GA570" s="712"/>
      <c r="GB570" s="712"/>
      <c r="GC570" s="712"/>
      <c r="GD570" s="712"/>
      <c r="GE570" s="712"/>
      <c r="GF570" s="712"/>
      <c r="GG570" s="712"/>
      <c r="GH570" s="712"/>
      <c r="GI570" s="712"/>
      <c r="GJ570" s="712"/>
      <c r="GK570" s="712"/>
      <c r="GL570" s="712"/>
      <c r="GM570" s="712"/>
      <c r="GN570" s="712"/>
      <c r="GO570" s="712"/>
      <c r="GP570" s="712"/>
      <c r="GQ570" s="712"/>
      <c r="GR570" s="712"/>
      <c r="GS570" s="712"/>
      <c r="GT570" s="712"/>
      <c r="GU570" s="712"/>
      <c r="GV570" s="712"/>
      <c r="GW570" s="712"/>
      <c r="GX570" s="712"/>
      <c r="GY570" s="712"/>
      <c r="GZ570" s="712"/>
      <c r="HA570" s="712"/>
      <c r="HB570" s="712"/>
      <c r="HC570" s="712"/>
    </row>
    <row r="571" spans="1:211">
      <c r="A571" s="707"/>
    </row>
    <row r="572" spans="1:211">
      <c r="A572" s="707"/>
    </row>
    <row r="573" spans="1:211">
      <c r="A573" s="707"/>
    </row>
    <row r="574" spans="1:211">
      <c r="A574" s="707"/>
    </row>
    <row r="575" spans="1:211">
      <c r="A575" s="707"/>
    </row>
    <row r="576" spans="1:211">
      <c r="A576" s="707"/>
    </row>
    <row r="577" spans="1:1">
      <c r="A577" s="707"/>
    </row>
    <row r="578" spans="1:1">
      <c r="A578" s="707"/>
    </row>
    <row r="579" spans="1:1">
      <c r="A579" s="707"/>
    </row>
    <row r="580" spans="1:1">
      <c r="A580" s="707"/>
    </row>
    <row r="581" spans="1:1">
      <c r="A581" s="707"/>
    </row>
    <row r="582" spans="1:1">
      <c r="A582" s="707"/>
    </row>
    <row r="583" spans="1:1">
      <c r="A583" s="707"/>
    </row>
    <row r="584" spans="1:1">
      <c r="A584" s="707"/>
    </row>
    <row r="585" spans="1:1">
      <c r="A585" s="707"/>
    </row>
    <row r="586" spans="1:1">
      <c r="A586" s="707"/>
    </row>
    <row r="587" spans="1:1">
      <c r="A587" s="707"/>
    </row>
    <row r="588" spans="1:1">
      <c r="A588" s="707"/>
    </row>
    <row r="589" spans="1:1">
      <c r="A589" s="707"/>
    </row>
    <row r="590" spans="1:1">
      <c r="A590" s="707"/>
    </row>
    <row r="591" spans="1:1">
      <c r="A591" s="707"/>
    </row>
    <row r="592" spans="1:1">
      <c r="A592" s="707"/>
    </row>
    <row r="593" spans="1:1">
      <c r="A593" s="707"/>
    </row>
    <row r="594" spans="1:1">
      <c r="A594" s="707"/>
    </row>
    <row r="595" spans="1:1">
      <c r="A595" s="707"/>
    </row>
    <row r="596" spans="1:1">
      <c r="A596" s="707"/>
    </row>
    <row r="597" spans="1:1">
      <c r="A597" s="707"/>
    </row>
    <row r="598" spans="1:1">
      <c r="A598" s="707"/>
    </row>
    <row r="599" spans="1:1">
      <c r="A599" s="707"/>
    </row>
    <row r="600" spans="1:1">
      <c r="A600" s="707"/>
    </row>
    <row r="601" spans="1:1">
      <c r="A601" s="707"/>
    </row>
    <row r="602" spans="1:1">
      <c r="A602" s="707"/>
    </row>
    <row r="603" spans="1:1">
      <c r="A603" s="707"/>
    </row>
    <row r="604" spans="1:1">
      <c r="A604" s="707"/>
    </row>
    <row r="605" spans="1:1">
      <c r="A605" s="707"/>
    </row>
    <row r="606" spans="1:1">
      <c r="A606" s="707"/>
    </row>
    <row r="607" spans="1:1">
      <c r="A607" s="707"/>
    </row>
    <row r="608" spans="1:1">
      <c r="A608" s="707"/>
    </row>
    <row r="609" spans="1:1">
      <c r="A609" s="707"/>
    </row>
    <row r="610" spans="1:1">
      <c r="A610" s="707"/>
    </row>
    <row r="611" spans="1:1">
      <c r="A611" s="707"/>
    </row>
    <row r="612" spans="1:1">
      <c r="A612" s="707"/>
    </row>
    <row r="613" spans="1:1">
      <c r="A613" s="707"/>
    </row>
    <row r="614" spans="1:1">
      <c r="A614" s="707"/>
    </row>
    <row r="615" spans="1:1">
      <c r="A615" s="707"/>
    </row>
    <row r="616" spans="1:1">
      <c r="A616" s="707"/>
    </row>
    <row r="617" spans="1:1">
      <c r="A617" s="707"/>
    </row>
    <row r="618" spans="1:1">
      <c r="A618" s="707"/>
    </row>
    <row r="619" spans="1:1">
      <c r="A619" s="707"/>
    </row>
    <row r="620" spans="1:1">
      <c r="A620" s="707"/>
    </row>
    <row r="621" spans="1:1">
      <c r="A621" s="707"/>
    </row>
    <row r="622" spans="1:1">
      <c r="A622" s="707"/>
    </row>
    <row r="623" spans="1:1">
      <c r="A623" s="707"/>
    </row>
    <row r="624" spans="1:1">
      <c r="A624" s="707"/>
    </row>
    <row r="625" spans="1:1">
      <c r="A625" s="707"/>
    </row>
    <row r="626" spans="1:1">
      <c r="A626" s="707"/>
    </row>
    <row r="627" spans="1:1">
      <c r="A627" s="707"/>
    </row>
    <row r="628" spans="1:1">
      <c r="A628" s="707"/>
    </row>
    <row r="629" spans="1:1">
      <c r="A629" s="707"/>
    </row>
    <row r="630" spans="1:1">
      <c r="A630" s="707"/>
    </row>
    <row r="631" spans="1:1">
      <c r="A631" s="707"/>
    </row>
    <row r="632" spans="1:1">
      <c r="A632" s="707"/>
    </row>
    <row r="633" spans="1:1">
      <c r="A633" s="707"/>
    </row>
    <row r="634" spans="1:1">
      <c r="A634" s="707"/>
    </row>
    <row r="635" spans="1:1">
      <c r="A635" s="707"/>
    </row>
    <row r="636" spans="1:1">
      <c r="A636" s="707"/>
    </row>
    <row r="637" spans="1:1">
      <c r="A637" s="707"/>
    </row>
    <row r="638" spans="1:1">
      <c r="A638" s="707"/>
    </row>
    <row r="639" spans="1:1">
      <c r="A639" s="707"/>
    </row>
    <row r="640" spans="1:1">
      <c r="A640" s="707"/>
    </row>
    <row r="641" spans="1:1">
      <c r="A641" s="707"/>
    </row>
    <row r="642" spans="1:1">
      <c r="A642" s="707"/>
    </row>
    <row r="643" spans="1:1">
      <c r="A643" s="707"/>
    </row>
    <row r="644" spans="1:1">
      <c r="A644" s="707"/>
    </row>
    <row r="645" spans="1:1">
      <c r="A645" s="707"/>
    </row>
    <row r="646" spans="1:1">
      <c r="A646" s="707"/>
    </row>
    <row r="647" spans="1:1">
      <c r="A647" s="707"/>
    </row>
    <row r="648" spans="1:1">
      <c r="A648" s="707"/>
    </row>
    <row r="649" spans="1:1">
      <c r="A649" s="707"/>
    </row>
    <row r="650" spans="1:1">
      <c r="A650" s="707"/>
    </row>
    <row r="651" spans="1:1">
      <c r="A651" s="707"/>
    </row>
    <row r="652" spans="1:1">
      <c r="A652" s="707"/>
    </row>
    <row r="653" spans="1:1">
      <c r="A653" s="707"/>
    </row>
    <row r="654" spans="1:1">
      <c r="A654" s="707"/>
    </row>
    <row r="655" spans="1:1">
      <c r="A655" s="707"/>
    </row>
    <row r="656" spans="1:1">
      <c r="A656" s="707"/>
    </row>
    <row r="657" spans="1:1">
      <c r="A657" s="707"/>
    </row>
    <row r="658" spans="1:1">
      <c r="A658" s="707"/>
    </row>
    <row r="659" spans="1:1">
      <c r="A659" s="707"/>
    </row>
    <row r="660" spans="1:1">
      <c r="A660" s="707"/>
    </row>
    <row r="661" spans="1:1">
      <c r="A661" s="707"/>
    </row>
    <row r="662" spans="1:1">
      <c r="A662" s="707"/>
    </row>
    <row r="663" spans="1:1">
      <c r="A663" s="707"/>
    </row>
    <row r="664" spans="1:1">
      <c r="A664" s="707"/>
    </row>
    <row r="665" spans="1:1">
      <c r="A665" s="707"/>
    </row>
    <row r="666" spans="1:1">
      <c r="A666" s="707"/>
    </row>
    <row r="667" spans="1:1">
      <c r="A667" s="707"/>
    </row>
    <row r="668" spans="1:1">
      <c r="A668" s="707"/>
    </row>
    <row r="669" spans="1:1">
      <c r="A669" s="707"/>
    </row>
    <row r="670" spans="1:1">
      <c r="A670" s="707"/>
    </row>
    <row r="671" spans="1:1">
      <c r="A671" s="707"/>
    </row>
    <row r="672" spans="1:1">
      <c r="A672" s="707"/>
    </row>
    <row r="673" spans="1:1">
      <c r="A673" s="707"/>
    </row>
    <row r="674" spans="1:1">
      <c r="A674" s="707"/>
    </row>
    <row r="675" spans="1:1">
      <c r="A675" s="707"/>
    </row>
    <row r="676" spans="1:1">
      <c r="A676" s="707"/>
    </row>
    <row r="677" spans="1:1">
      <c r="A677" s="707"/>
    </row>
    <row r="678" spans="1:1">
      <c r="A678" s="707"/>
    </row>
    <row r="679" spans="1:1">
      <c r="A679" s="707"/>
    </row>
    <row r="680" spans="1:1">
      <c r="A680" s="707"/>
    </row>
    <row r="681" spans="1:1">
      <c r="A681" s="707"/>
    </row>
    <row r="682" spans="1:1">
      <c r="A682" s="707"/>
    </row>
    <row r="683" spans="1:1">
      <c r="A683" s="707"/>
    </row>
    <row r="684" spans="1:1">
      <c r="A684" s="707"/>
    </row>
    <row r="685" spans="1:1">
      <c r="A685" s="707"/>
    </row>
    <row r="686" spans="1:1">
      <c r="A686" s="707"/>
    </row>
    <row r="687" spans="1:1">
      <c r="A687" s="707"/>
    </row>
    <row r="688" spans="1:1">
      <c r="A688" s="707"/>
    </row>
    <row r="689" spans="1:1">
      <c r="A689" s="707"/>
    </row>
    <row r="690" spans="1:1">
      <c r="A690" s="707"/>
    </row>
    <row r="691" spans="1:1">
      <c r="A691" s="707"/>
    </row>
    <row r="692" spans="1:1">
      <c r="A692" s="707"/>
    </row>
    <row r="693" spans="1:1">
      <c r="A693" s="707"/>
    </row>
    <row r="694" spans="1:1">
      <c r="A694" s="707"/>
    </row>
    <row r="695" spans="1:1">
      <c r="A695" s="707"/>
    </row>
    <row r="696" spans="1:1">
      <c r="A696" s="707"/>
    </row>
    <row r="697" spans="1:1">
      <c r="A697" s="707"/>
    </row>
    <row r="698" spans="1:1">
      <c r="A698" s="707"/>
    </row>
    <row r="699" spans="1:1">
      <c r="A699" s="707"/>
    </row>
    <row r="700" spans="1:1">
      <c r="A700" s="707"/>
    </row>
    <row r="701" spans="1:1">
      <c r="A701" s="707"/>
    </row>
    <row r="702" spans="1:1">
      <c r="A702" s="707"/>
    </row>
    <row r="703" spans="1:1">
      <c r="A703" s="707"/>
    </row>
    <row r="704" spans="1:1">
      <c r="A704" s="707"/>
    </row>
    <row r="705" spans="1:1">
      <c r="A705" s="707"/>
    </row>
    <row r="706" spans="1:1">
      <c r="A706" s="707"/>
    </row>
    <row r="707" spans="1:1">
      <c r="A707" s="707"/>
    </row>
    <row r="708" spans="1:1">
      <c r="A708" s="707"/>
    </row>
    <row r="709" spans="1:1">
      <c r="A709" s="707"/>
    </row>
    <row r="710" spans="1:1">
      <c r="A710" s="707"/>
    </row>
    <row r="711" spans="1:1">
      <c r="A711" s="707"/>
    </row>
    <row r="712" spans="1:1">
      <c r="A712" s="707"/>
    </row>
    <row r="713" spans="1:1">
      <c r="A713" s="707"/>
    </row>
    <row r="714" spans="1:1">
      <c r="A714" s="707"/>
    </row>
    <row r="715" spans="1:1">
      <c r="A715" s="707"/>
    </row>
    <row r="716" spans="1:1">
      <c r="A716" s="707"/>
    </row>
    <row r="717" spans="1:1">
      <c r="A717" s="707"/>
    </row>
    <row r="718" spans="1:1">
      <c r="A718" s="707"/>
    </row>
    <row r="719" spans="1:1">
      <c r="A719" s="707"/>
    </row>
    <row r="720" spans="1:1">
      <c r="A720" s="707"/>
    </row>
    <row r="721" spans="1:1">
      <c r="A721" s="707"/>
    </row>
    <row r="722" spans="1:1">
      <c r="A722" s="707"/>
    </row>
    <row r="723" spans="1:1">
      <c r="A723" s="707"/>
    </row>
    <row r="724" spans="1:1">
      <c r="A724" s="707"/>
    </row>
    <row r="725" spans="1:1">
      <c r="A725" s="707"/>
    </row>
    <row r="726" spans="1:1">
      <c r="A726" s="707"/>
    </row>
    <row r="727" spans="1:1">
      <c r="A727" s="707"/>
    </row>
    <row r="728" spans="1:1">
      <c r="A728" s="707"/>
    </row>
    <row r="729" spans="1:1">
      <c r="A729" s="707"/>
    </row>
    <row r="730" spans="1:1">
      <c r="A730" s="707"/>
    </row>
    <row r="731" spans="1:1">
      <c r="A731" s="707"/>
    </row>
    <row r="732" spans="1:1">
      <c r="A732" s="707"/>
    </row>
    <row r="733" spans="1:1">
      <c r="A733" s="707"/>
    </row>
    <row r="734" spans="1:1">
      <c r="A734" s="707"/>
    </row>
    <row r="735" spans="1:1">
      <c r="A735" s="707"/>
    </row>
    <row r="736" spans="1:1">
      <c r="A736" s="707"/>
    </row>
    <row r="737" spans="1:1">
      <c r="A737" s="707"/>
    </row>
    <row r="738" spans="1:1">
      <c r="A738" s="707"/>
    </row>
    <row r="739" spans="1:1">
      <c r="A739" s="707"/>
    </row>
    <row r="740" spans="1:1">
      <c r="A740" s="707"/>
    </row>
    <row r="741" spans="1:1">
      <c r="A741" s="707"/>
    </row>
    <row r="742" spans="1:1">
      <c r="A742" s="707"/>
    </row>
    <row r="743" spans="1:1">
      <c r="A743" s="707"/>
    </row>
    <row r="744" spans="1:1">
      <c r="A744" s="707"/>
    </row>
    <row r="745" spans="1:1">
      <c r="A745" s="707"/>
    </row>
    <row r="746" spans="1:1">
      <c r="A746" s="707"/>
    </row>
    <row r="747" spans="1:1">
      <c r="A747" s="707"/>
    </row>
    <row r="748" spans="1:1">
      <c r="A748" s="707"/>
    </row>
    <row r="749" spans="1:1">
      <c r="A749" s="707"/>
    </row>
    <row r="750" spans="1:1">
      <c r="A750" s="707"/>
    </row>
    <row r="751" spans="1:1">
      <c r="A751" s="707"/>
    </row>
    <row r="752" spans="1:1">
      <c r="A752" s="707"/>
    </row>
    <row r="753" spans="1:1">
      <c r="A753" s="707"/>
    </row>
    <row r="754" spans="1:1">
      <c r="A754" s="707"/>
    </row>
    <row r="755" spans="1:1">
      <c r="A755" s="707"/>
    </row>
    <row r="756" spans="1:1">
      <c r="A756" s="707"/>
    </row>
    <row r="757" spans="1:1">
      <c r="A757" s="707"/>
    </row>
    <row r="758" spans="1:1">
      <c r="A758" s="707"/>
    </row>
    <row r="759" spans="1:1">
      <c r="A759" s="707"/>
    </row>
    <row r="760" spans="1:1">
      <c r="A760" s="707"/>
    </row>
    <row r="761" spans="1:1">
      <c r="A761" s="707"/>
    </row>
    <row r="762" spans="1:1">
      <c r="A762" s="707"/>
    </row>
    <row r="763" spans="1:1">
      <c r="A763" s="707"/>
    </row>
    <row r="764" spans="1:1">
      <c r="A764" s="707"/>
    </row>
    <row r="765" spans="1:1">
      <c r="A765" s="707"/>
    </row>
    <row r="766" spans="1:1">
      <c r="A766" s="707"/>
    </row>
    <row r="767" spans="1:1">
      <c r="A767" s="707"/>
    </row>
    <row r="768" spans="1:1">
      <c r="A768" s="707"/>
    </row>
    <row r="769" spans="1:1">
      <c r="A769" s="707"/>
    </row>
    <row r="770" spans="1:1">
      <c r="A770" s="707"/>
    </row>
    <row r="771" spans="1:1">
      <c r="A771" s="707"/>
    </row>
    <row r="772" spans="1:1">
      <c r="A772" s="707"/>
    </row>
    <row r="773" spans="1:1">
      <c r="A773" s="707"/>
    </row>
    <row r="774" spans="1:1">
      <c r="A774" s="707"/>
    </row>
    <row r="775" spans="1:1">
      <c r="A775" s="707"/>
    </row>
    <row r="776" spans="1:1">
      <c r="A776" s="707"/>
    </row>
    <row r="777" spans="1:1">
      <c r="A777" s="707"/>
    </row>
    <row r="778" spans="1:1">
      <c r="A778" s="707"/>
    </row>
    <row r="779" spans="1:1">
      <c r="A779" s="707"/>
    </row>
    <row r="780" spans="1:1">
      <c r="A780" s="707"/>
    </row>
    <row r="781" spans="1:1">
      <c r="A781" s="707"/>
    </row>
    <row r="782" spans="1:1">
      <c r="A782" s="707"/>
    </row>
    <row r="783" spans="1:1">
      <c r="A783" s="707"/>
    </row>
    <row r="784" spans="1:1">
      <c r="A784" s="707"/>
    </row>
    <row r="785" spans="1:1">
      <c r="A785" s="707"/>
    </row>
    <row r="786" spans="1:1">
      <c r="A786" s="707"/>
    </row>
    <row r="787" spans="1:1">
      <c r="A787" s="707"/>
    </row>
    <row r="788" spans="1:1">
      <c r="A788" s="707"/>
    </row>
    <row r="789" spans="1:1">
      <c r="A789" s="707"/>
    </row>
    <row r="790" spans="1:1">
      <c r="A790" s="707"/>
    </row>
    <row r="791" spans="1:1">
      <c r="A791" s="707"/>
    </row>
    <row r="792" spans="1:1">
      <c r="A792" s="707"/>
    </row>
    <row r="793" spans="1:1">
      <c r="A793" s="707"/>
    </row>
    <row r="794" spans="1:1">
      <c r="A794" s="707"/>
    </row>
    <row r="795" spans="1:1">
      <c r="A795" s="707"/>
    </row>
    <row r="796" spans="1:1">
      <c r="A796" s="707"/>
    </row>
    <row r="797" spans="1:1">
      <c r="A797" s="707"/>
    </row>
    <row r="798" spans="1:1">
      <c r="A798" s="707"/>
    </row>
    <row r="799" spans="1:1">
      <c r="A799" s="707"/>
    </row>
    <row r="800" spans="1:1">
      <c r="A800" s="707"/>
    </row>
    <row r="801" spans="1:1">
      <c r="A801" s="707"/>
    </row>
    <row r="802" spans="1:1">
      <c r="A802" s="707"/>
    </row>
    <row r="803" spans="1:1">
      <c r="A803" s="707"/>
    </row>
    <row r="804" spans="1:1">
      <c r="A804" s="707"/>
    </row>
    <row r="805" spans="1:1">
      <c r="A805" s="707"/>
    </row>
    <row r="806" spans="1:1">
      <c r="A806" s="707"/>
    </row>
    <row r="807" spans="1:1">
      <c r="A807" s="707"/>
    </row>
    <row r="808" spans="1:1">
      <c r="A808" s="707"/>
    </row>
    <row r="809" spans="1:1">
      <c r="A809" s="707"/>
    </row>
    <row r="810" spans="1:1">
      <c r="A810" s="707"/>
    </row>
    <row r="811" spans="1:1">
      <c r="A811" s="707"/>
    </row>
    <row r="812" spans="1:1">
      <c r="A812" s="707"/>
    </row>
    <row r="813" spans="1:1">
      <c r="A813" s="707"/>
    </row>
    <row r="814" spans="1:1">
      <c r="A814" s="707"/>
    </row>
    <row r="815" spans="1:1">
      <c r="A815" s="707"/>
    </row>
    <row r="816" spans="1:1">
      <c r="A816" s="707"/>
    </row>
    <row r="817" spans="1:1">
      <c r="A817" s="707"/>
    </row>
    <row r="818" spans="1:1">
      <c r="A818" s="707"/>
    </row>
    <row r="819" spans="1:1">
      <c r="A819" s="707"/>
    </row>
    <row r="820" spans="1:1">
      <c r="A820" s="707"/>
    </row>
    <row r="821" spans="1:1">
      <c r="A821" s="707"/>
    </row>
    <row r="822" spans="1:1">
      <c r="A822" s="707"/>
    </row>
    <row r="823" spans="1:1">
      <c r="A823" s="707"/>
    </row>
    <row r="824" spans="1:1">
      <c r="A824" s="707"/>
    </row>
    <row r="825" spans="1:1">
      <c r="A825" s="707"/>
    </row>
    <row r="826" spans="1:1">
      <c r="A826" s="707"/>
    </row>
    <row r="827" spans="1:1">
      <c r="A827" s="707"/>
    </row>
    <row r="828" spans="1:1">
      <c r="A828" s="707"/>
    </row>
    <row r="829" spans="1:1">
      <c r="A829" s="707"/>
    </row>
    <row r="830" spans="1:1">
      <c r="A830" s="707"/>
    </row>
    <row r="831" spans="1:1">
      <c r="A831" s="707"/>
    </row>
    <row r="832" spans="1:1">
      <c r="A832" s="707"/>
    </row>
    <row r="833" spans="1:1">
      <c r="A833" s="707"/>
    </row>
    <row r="834" spans="1:1">
      <c r="A834" s="707"/>
    </row>
    <row r="835" spans="1:1">
      <c r="A835" s="707"/>
    </row>
    <row r="836" spans="1:1">
      <c r="A836" s="707"/>
    </row>
    <row r="837" spans="1:1">
      <c r="A837" s="707"/>
    </row>
    <row r="838" spans="1:1">
      <c r="A838" s="707"/>
    </row>
    <row r="839" spans="1:1">
      <c r="A839" s="707"/>
    </row>
    <row r="840" spans="1:1">
      <c r="A840" s="707"/>
    </row>
    <row r="841" spans="1:1">
      <c r="A841" s="707"/>
    </row>
    <row r="842" spans="1:1">
      <c r="A842" s="707"/>
    </row>
    <row r="843" spans="1:1">
      <c r="A843" s="707"/>
    </row>
    <row r="844" spans="1:1">
      <c r="A844" s="707"/>
    </row>
    <row r="845" spans="1:1">
      <c r="A845" s="707"/>
    </row>
    <row r="846" spans="1:1">
      <c r="A846" s="707"/>
    </row>
    <row r="847" spans="1:1">
      <c r="A847" s="707"/>
    </row>
    <row r="848" spans="1:1">
      <c r="A848" s="707"/>
    </row>
    <row r="849" spans="1:1">
      <c r="A849" s="707"/>
    </row>
    <row r="850" spans="1:1">
      <c r="A850" s="707"/>
    </row>
    <row r="851" spans="1:1">
      <c r="A851" s="707"/>
    </row>
    <row r="852" spans="1:1">
      <c r="A852" s="707"/>
    </row>
    <row r="853" spans="1:1">
      <c r="A853" s="707"/>
    </row>
    <row r="854" spans="1:1">
      <c r="A854" s="707"/>
    </row>
    <row r="855" spans="1:1">
      <c r="A855" s="707"/>
    </row>
    <row r="856" spans="1:1">
      <c r="A856" s="707"/>
    </row>
    <row r="857" spans="1:1">
      <c r="A857" s="707"/>
    </row>
    <row r="858" spans="1:1">
      <c r="A858" s="707"/>
    </row>
    <row r="859" spans="1:1">
      <c r="A859" s="707"/>
    </row>
    <row r="860" spans="1:1">
      <c r="A860" s="707"/>
    </row>
    <row r="861" spans="1:1">
      <c r="A861" s="707"/>
    </row>
    <row r="862" spans="1:1">
      <c r="A862" s="707"/>
    </row>
    <row r="863" spans="1:1">
      <c r="A863" s="707"/>
    </row>
    <row r="864" spans="1:1">
      <c r="A864" s="707"/>
    </row>
    <row r="865" spans="1:1">
      <c r="A865" s="707"/>
    </row>
    <row r="866" spans="1:1">
      <c r="A866" s="707"/>
    </row>
    <row r="867" spans="1:1">
      <c r="A867" s="707"/>
    </row>
    <row r="868" spans="1:1">
      <c r="A868" s="707"/>
    </row>
    <row r="869" spans="1:1">
      <c r="A869" s="707"/>
    </row>
    <row r="870" spans="1:1">
      <c r="A870" s="707"/>
    </row>
    <row r="871" spans="1:1">
      <c r="A871" s="707"/>
    </row>
    <row r="872" spans="1:1">
      <c r="A872" s="707"/>
    </row>
    <row r="873" spans="1:1">
      <c r="A873" s="707"/>
    </row>
    <row r="874" spans="1:1">
      <c r="A874" s="707"/>
    </row>
    <row r="875" spans="1:1">
      <c r="A875" s="707"/>
    </row>
    <row r="876" spans="1:1">
      <c r="A876" s="707"/>
    </row>
    <row r="877" spans="1:1">
      <c r="A877" s="707"/>
    </row>
    <row r="878" spans="1:1">
      <c r="A878" s="707"/>
    </row>
    <row r="879" spans="1:1">
      <c r="A879" s="707"/>
    </row>
    <row r="880" spans="1:1">
      <c r="A880" s="707"/>
    </row>
    <row r="881" spans="1:1">
      <c r="A881" s="707"/>
    </row>
    <row r="882" spans="1:1">
      <c r="A882" s="707"/>
    </row>
    <row r="883" spans="1:1">
      <c r="A883" s="707"/>
    </row>
    <row r="884" spans="1:1">
      <c r="A884" s="707"/>
    </row>
    <row r="885" spans="1:1">
      <c r="A885" s="707"/>
    </row>
  </sheetData>
  <mergeCells count="10">
    <mergeCell ref="B5:C5"/>
    <mergeCell ref="B6:C6"/>
    <mergeCell ref="Q5:Q7"/>
    <mergeCell ref="AF5:AF7"/>
    <mergeCell ref="GH5:GH7"/>
    <mergeCell ref="AG5:AG7"/>
    <mergeCell ref="AH5:AH7"/>
    <mergeCell ref="AJ5:AJ7"/>
    <mergeCell ref="GF5:GF7"/>
    <mergeCell ref="GG5:GG7"/>
  </mergeCells>
  <phoneticPr fontId="0" type="noConversion"/>
  <conditionalFormatting sqref="EV8:EX385">
    <cfRule type="expression" dxfId="20" priority="25" stopIfTrue="1">
      <formula>ISERROR(EV8)</formula>
    </cfRule>
    <cfRule type="expression" dxfId="19" priority="26" stopIfTrue="1">
      <formula>AND($B8&gt;0,EV8=0)</formula>
    </cfRule>
    <cfRule type="expression" dxfId="18" priority="27" stopIfTrue="1">
      <formula>OR(EV8=0,$B8&lt;=0)</formula>
    </cfRule>
  </conditionalFormatting>
  <conditionalFormatting sqref="EZ236:EZ349">
    <cfRule type="expression" dxfId="17" priority="22" stopIfTrue="1">
      <formula>ISERROR(EZ236)</formula>
    </cfRule>
    <cfRule type="expression" dxfId="16" priority="23" stopIfTrue="1">
      <formula>AND($B236&gt;0,EZ236=0)</formula>
    </cfRule>
    <cfRule type="expression" dxfId="15" priority="24" stopIfTrue="1">
      <formula>OR(EZ236=0,$B236&lt;=0)</formula>
    </cfRule>
  </conditionalFormatting>
  <conditionalFormatting sqref="EZ196:EZ235">
    <cfRule type="expression" dxfId="14" priority="19" stopIfTrue="1">
      <formula>ISERROR(EZ196)</formula>
    </cfRule>
    <cfRule type="expression" dxfId="13" priority="20" stopIfTrue="1">
      <formula>AND($B195&gt;0,EZ196=0)</formula>
    </cfRule>
    <cfRule type="expression" dxfId="12" priority="21" stopIfTrue="1">
      <formula>OR(EZ196=0,$B195&lt;=0)</formula>
    </cfRule>
  </conditionalFormatting>
  <conditionalFormatting sqref="EV8:EX385">
    <cfRule type="expression" dxfId="11" priority="10" stopIfTrue="1">
      <formula>ISERROR(EV8)</formula>
    </cfRule>
    <cfRule type="expression" dxfId="10" priority="11" stopIfTrue="1">
      <formula>AND($B8&gt;0,EV8=0)</formula>
    </cfRule>
    <cfRule type="expression" dxfId="9" priority="12" stopIfTrue="1">
      <formula>OR(EV8=0,$B8&lt;=0)</formula>
    </cfRule>
  </conditionalFormatting>
  <conditionalFormatting sqref="EZ236:EZ349">
    <cfRule type="expression" dxfId="8" priority="7" stopIfTrue="1">
      <formula>ISERROR(EZ236)</formula>
    </cfRule>
    <cfRule type="expression" dxfId="7" priority="8" stopIfTrue="1">
      <formula>AND($B236&gt;0,EZ236=0)</formula>
    </cfRule>
    <cfRule type="expression" dxfId="6" priority="9" stopIfTrue="1">
      <formula>OR(EZ236=0,$B236&lt;=0)</formula>
    </cfRule>
  </conditionalFormatting>
  <conditionalFormatting sqref="EZ196:EZ235">
    <cfRule type="expression" dxfId="5" priority="4" stopIfTrue="1">
      <formula>ISERROR(EZ196)</formula>
    </cfRule>
    <cfRule type="expression" dxfId="4" priority="5" stopIfTrue="1">
      <formula>AND($B195&gt;0,EZ196=0)</formula>
    </cfRule>
    <cfRule type="expression" dxfId="3" priority="6" stopIfTrue="1">
      <formula>OR(EZ196=0,$B195&lt;=0)</formula>
    </cfRule>
  </conditionalFormatting>
  <conditionalFormatting sqref="EP204:EP221">
    <cfRule type="expression" dxfId="2" priority="1" stopIfTrue="1">
      <formula>ISERROR(EP204)</formula>
    </cfRule>
    <cfRule type="expression" dxfId="1" priority="2" stopIfTrue="1">
      <formula>AND($B204&gt;0,EP204=0)</formula>
    </cfRule>
    <cfRule type="expression" dxfId="0" priority="3" stopIfTrue="1">
      <formula>OR(EP204=0,$B204&lt;=0)</formula>
    </cfRule>
  </conditionalFormatting>
  <pageMargins left="0.7" right="0.7" top="0.75" bottom="0.75" header="0.3" footer="0.3"/>
  <pageSetup paperSize="5" orientation="landscape" r:id="rId1"/>
  <headerFooter alignWithMargins="0">
    <oddFooter>&amp;C&amp;P</oddFooter>
  </headerFooter>
  <legacyDrawing r:id="rId2"/>
</worksheet>
</file>

<file path=xl/worksheets/sheet8.xml><?xml version="1.0" encoding="utf-8"?>
<worksheet xmlns="http://schemas.openxmlformats.org/spreadsheetml/2006/main" xmlns:r="http://schemas.openxmlformats.org/officeDocument/2006/relationships">
  <sheetPr codeName="Sheet9"/>
  <dimension ref="A1:IV891"/>
  <sheetViews>
    <sheetView workbookViewId="0">
      <pane xSplit="2" ySplit="7" topLeftCell="C358" activePane="bottomRight" state="frozen"/>
      <selection activeCell="C24" sqref="C24"/>
      <selection pane="topRight" activeCell="C24" sqref="C24"/>
      <selection pane="bottomLeft" activeCell="C24" sqref="C24"/>
      <selection pane="bottomRight" activeCell="M249" sqref="M249:N385"/>
    </sheetView>
  </sheetViews>
  <sheetFormatPr defaultRowHeight="12.75"/>
  <cols>
    <col min="1" max="1" width="10.42578125" customWidth="1"/>
    <col min="2" max="2" width="12.7109375" customWidth="1"/>
    <col min="10" max="10" width="1.7109375" customWidth="1"/>
    <col min="12" max="12" width="1.7109375" customWidth="1"/>
    <col min="15" max="15" width="10" customWidth="1"/>
    <col min="39" max="39" width="10.28515625" customWidth="1"/>
  </cols>
  <sheetData>
    <row r="1" spans="1:256" s="442" customFormat="1">
      <c r="A1" s="2"/>
      <c r="B1" s="441">
        <v>1</v>
      </c>
      <c r="C1" s="441">
        <v>2</v>
      </c>
      <c r="D1" s="442">
        <v>3</v>
      </c>
      <c r="E1" s="442">
        <v>4</v>
      </c>
      <c r="F1" s="441">
        <v>5</v>
      </c>
      <c r="G1" s="441">
        <v>6</v>
      </c>
      <c r="H1" s="442">
        <v>7</v>
      </c>
      <c r="I1" s="442">
        <v>8</v>
      </c>
      <c r="J1" s="441">
        <v>9</v>
      </c>
      <c r="K1" s="441">
        <v>10</v>
      </c>
      <c r="L1" s="442">
        <v>11</v>
      </c>
      <c r="M1" s="442">
        <v>12</v>
      </c>
      <c r="N1" s="441">
        <v>13</v>
      </c>
      <c r="O1" s="441">
        <v>14</v>
      </c>
      <c r="P1" s="442">
        <v>15</v>
      </c>
      <c r="Q1" s="442">
        <v>16</v>
      </c>
      <c r="R1" s="441">
        <v>17</v>
      </c>
      <c r="S1" s="441">
        <v>18</v>
      </c>
      <c r="T1" s="442">
        <v>19</v>
      </c>
      <c r="U1" s="442">
        <v>20</v>
      </c>
      <c r="V1" s="441">
        <v>21</v>
      </c>
      <c r="W1" s="441">
        <v>22</v>
      </c>
      <c r="X1" s="442">
        <v>23</v>
      </c>
      <c r="Y1" s="442">
        <v>24</v>
      </c>
      <c r="Z1" s="441">
        <v>25</v>
      </c>
      <c r="AA1" s="441">
        <v>26</v>
      </c>
      <c r="AB1" s="442">
        <v>27</v>
      </c>
      <c r="AC1" s="442">
        <v>28</v>
      </c>
      <c r="AD1" s="441">
        <v>29</v>
      </c>
      <c r="AE1" s="441">
        <v>30</v>
      </c>
      <c r="AF1" s="442">
        <v>31</v>
      </c>
      <c r="AG1" s="442">
        <v>32</v>
      </c>
      <c r="AH1" s="441">
        <v>33</v>
      </c>
      <c r="AI1" s="441">
        <v>34</v>
      </c>
      <c r="AJ1" s="442">
        <v>35</v>
      </c>
      <c r="AK1" s="442">
        <v>36</v>
      </c>
      <c r="AL1" s="441">
        <v>37</v>
      </c>
      <c r="AM1" s="441">
        <v>38</v>
      </c>
      <c r="AN1" s="442">
        <v>39</v>
      </c>
      <c r="AO1" s="442">
        <v>40</v>
      </c>
      <c r="AP1" s="441">
        <v>41</v>
      </c>
      <c r="AQ1" s="441">
        <v>42</v>
      </c>
      <c r="AR1" s="442">
        <v>43</v>
      </c>
      <c r="AS1" s="442">
        <v>44</v>
      </c>
      <c r="AT1" s="441">
        <v>45</v>
      </c>
      <c r="AU1" s="441">
        <v>46</v>
      </c>
      <c r="AV1" s="442">
        <v>47</v>
      </c>
      <c r="AW1" s="442">
        <v>48</v>
      </c>
      <c r="AX1" s="441">
        <v>49</v>
      </c>
      <c r="AY1" s="441">
        <v>50</v>
      </c>
      <c r="AZ1" s="442">
        <v>51</v>
      </c>
      <c r="BA1" s="442">
        <v>52</v>
      </c>
      <c r="BB1" s="441">
        <v>53</v>
      </c>
      <c r="BC1" s="441">
        <v>54</v>
      </c>
      <c r="BD1" s="442">
        <v>55</v>
      </c>
      <c r="BE1" s="442">
        <v>56</v>
      </c>
      <c r="BF1" s="441">
        <v>57</v>
      </c>
      <c r="BG1" s="441">
        <v>58</v>
      </c>
      <c r="BH1" s="442">
        <v>59</v>
      </c>
      <c r="BI1" s="442">
        <v>60</v>
      </c>
      <c r="BJ1" s="441">
        <v>61</v>
      </c>
      <c r="BK1" s="441">
        <v>62</v>
      </c>
      <c r="BL1" s="442">
        <v>63</v>
      </c>
      <c r="BM1" s="442">
        <v>64</v>
      </c>
      <c r="BN1" s="441">
        <v>65</v>
      </c>
      <c r="BO1" s="441">
        <v>66</v>
      </c>
      <c r="BP1" s="442">
        <v>67</v>
      </c>
      <c r="BQ1" s="442">
        <v>68</v>
      </c>
      <c r="BR1" s="441">
        <v>69</v>
      </c>
      <c r="BS1" s="441">
        <v>70</v>
      </c>
      <c r="BT1" s="442">
        <v>71</v>
      </c>
      <c r="BU1" s="442">
        <v>72</v>
      </c>
      <c r="BV1" s="441">
        <v>73</v>
      </c>
      <c r="BW1" s="441">
        <v>74</v>
      </c>
      <c r="BX1" s="442">
        <v>75</v>
      </c>
      <c r="BY1" s="442">
        <v>76</v>
      </c>
      <c r="BZ1" s="441">
        <v>77</v>
      </c>
      <c r="CA1" s="441">
        <v>78</v>
      </c>
      <c r="CB1" s="442">
        <v>79</v>
      </c>
      <c r="CC1" s="442">
        <v>80</v>
      </c>
      <c r="CD1" s="441">
        <v>81</v>
      </c>
      <c r="CE1" s="441">
        <v>82</v>
      </c>
      <c r="CF1" s="442">
        <v>83</v>
      </c>
      <c r="CG1" s="442">
        <v>84</v>
      </c>
      <c r="CH1" s="441">
        <v>85</v>
      </c>
      <c r="CI1" s="441">
        <v>86</v>
      </c>
      <c r="CJ1" s="442">
        <v>87</v>
      </c>
      <c r="CK1" s="442">
        <v>88</v>
      </c>
      <c r="CL1" s="441">
        <v>89</v>
      </c>
      <c r="CM1" s="441">
        <v>90</v>
      </c>
      <c r="CN1" s="442">
        <v>91</v>
      </c>
      <c r="CO1" s="442">
        <v>92</v>
      </c>
      <c r="CP1" s="441">
        <v>93</v>
      </c>
      <c r="CQ1" s="441">
        <v>94</v>
      </c>
      <c r="CR1" s="442">
        <v>95</v>
      </c>
      <c r="CS1" s="442">
        <v>96</v>
      </c>
      <c r="CT1" s="441">
        <v>97</v>
      </c>
      <c r="CU1" s="441">
        <v>98</v>
      </c>
      <c r="CV1" s="442">
        <v>99</v>
      </c>
      <c r="CW1" s="442">
        <v>100</v>
      </c>
      <c r="CX1" s="441">
        <v>101</v>
      </c>
      <c r="CY1" s="441">
        <v>102</v>
      </c>
      <c r="CZ1" s="442">
        <v>103</v>
      </c>
      <c r="DA1" s="442">
        <v>104</v>
      </c>
      <c r="DB1" s="441">
        <v>105</v>
      </c>
      <c r="DC1" s="441">
        <v>106</v>
      </c>
      <c r="DD1" s="442">
        <v>107</v>
      </c>
      <c r="DE1" s="442">
        <v>108</v>
      </c>
      <c r="DF1" s="441">
        <v>109</v>
      </c>
      <c r="DG1" s="441">
        <v>110</v>
      </c>
      <c r="DH1" s="442">
        <v>111</v>
      </c>
      <c r="DI1" s="442">
        <v>112</v>
      </c>
      <c r="DJ1" s="441">
        <v>113</v>
      </c>
      <c r="DK1" s="441">
        <v>114</v>
      </c>
      <c r="DL1" s="442">
        <v>115</v>
      </c>
      <c r="DM1" s="442">
        <v>116</v>
      </c>
      <c r="DN1" s="441">
        <v>117</v>
      </c>
      <c r="DO1" s="441">
        <v>118</v>
      </c>
      <c r="DP1" s="442">
        <v>119</v>
      </c>
      <c r="DQ1" s="442">
        <v>120</v>
      </c>
      <c r="DR1" s="441">
        <v>121</v>
      </c>
      <c r="DS1" s="441">
        <v>122</v>
      </c>
      <c r="DT1" s="442">
        <v>123</v>
      </c>
      <c r="DU1" s="442">
        <v>124</v>
      </c>
      <c r="DV1" s="441">
        <v>125</v>
      </c>
      <c r="DW1" s="441">
        <v>126</v>
      </c>
      <c r="DX1" s="442">
        <v>127</v>
      </c>
      <c r="DY1" s="442">
        <v>128</v>
      </c>
      <c r="DZ1" s="441">
        <v>129</v>
      </c>
      <c r="EA1" s="441">
        <v>130</v>
      </c>
      <c r="EB1" s="442">
        <v>131</v>
      </c>
      <c r="EC1" s="442">
        <v>132</v>
      </c>
      <c r="ED1" s="441">
        <v>133</v>
      </c>
      <c r="EE1" s="441">
        <v>134</v>
      </c>
      <c r="EF1" s="442">
        <v>135</v>
      </c>
      <c r="EG1" s="442">
        <v>136</v>
      </c>
      <c r="EH1" s="441">
        <v>137</v>
      </c>
      <c r="EI1" s="441">
        <v>138</v>
      </c>
      <c r="EJ1" s="442">
        <v>139</v>
      </c>
      <c r="EK1" s="442">
        <v>140</v>
      </c>
      <c r="EL1" s="441">
        <v>141</v>
      </c>
      <c r="EM1" s="441">
        <v>142</v>
      </c>
      <c r="EN1" s="442">
        <v>143</v>
      </c>
      <c r="EO1" s="442">
        <v>144</v>
      </c>
      <c r="EP1" s="441">
        <v>145</v>
      </c>
      <c r="EQ1" s="441">
        <v>146</v>
      </c>
      <c r="ER1" s="442">
        <v>147</v>
      </c>
      <c r="ES1" s="442">
        <v>148</v>
      </c>
      <c r="ET1" s="441">
        <v>149</v>
      </c>
      <c r="EU1" s="441">
        <v>150</v>
      </c>
      <c r="EV1" s="442">
        <v>151</v>
      </c>
      <c r="EW1" s="442">
        <v>152</v>
      </c>
      <c r="EX1" s="441">
        <v>153</v>
      </c>
      <c r="EY1" s="441">
        <v>154</v>
      </c>
      <c r="EZ1" s="442">
        <v>155</v>
      </c>
      <c r="FA1" s="442">
        <v>156</v>
      </c>
      <c r="FB1" s="441">
        <v>157</v>
      </c>
      <c r="FC1" s="441">
        <v>158</v>
      </c>
      <c r="FD1" s="442">
        <v>159</v>
      </c>
      <c r="FE1" s="442">
        <v>160</v>
      </c>
      <c r="FF1" s="441">
        <v>161</v>
      </c>
      <c r="FG1" s="441">
        <v>162</v>
      </c>
      <c r="FH1" s="442">
        <v>163</v>
      </c>
      <c r="FI1" s="442">
        <v>164</v>
      </c>
      <c r="FJ1" s="441">
        <v>165</v>
      </c>
      <c r="FK1" s="441">
        <v>166</v>
      </c>
      <c r="FL1" s="442">
        <v>167</v>
      </c>
      <c r="FM1" s="442">
        <v>168</v>
      </c>
      <c r="FN1" s="441">
        <v>169</v>
      </c>
      <c r="FO1" s="441">
        <v>170</v>
      </c>
      <c r="FP1" s="442">
        <v>171</v>
      </c>
      <c r="FQ1" s="442">
        <v>172</v>
      </c>
      <c r="FR1" s="441">
        <v>173</v>
      </c>
      <c r="FS1" s="441">
        <v>174</v>
      </c>
      <c r="FT1" s="442">
        <v>175</v>
      </c>
      <c r="FU1" s="442">
        <v>176</v>
      </c>
      <c r="FV1" s="441">
        <v>177</v>
      </c>
      <c r="FW1" s="441">
        <v>178</v>
      </c>
      <c r="FX1" s="442">
        <v>179</v>
      </c>
      <c r="FY1" s="442">
        <v>180</v>
      </c>
      <c r="FZ1" s="441">
        <v>181</v>
      </c>
      <c r="GA1" s="441">
        <v>182</v>
      </c>
      <c r="GB1" s="442">
        <v>183</v>
      </c>
      <c r="GC1" s="442">
        <v>184</v>
      </c>
      <c r="GD1" s="441">
        <v>185</v>
      </c>
      <c r="GE1" s="441">
        <v>186</v>
      </c>
      <c r="GF1" s="442">
        <v>187</v>
      </c>
      <c r="GG1" s="442">
        <v>188</v>
      </c>
      <c r="GH1" s="441">
        <v>189</v>
      </c>
      <c r="GI1" s="441">
        <v>190</v>
      </c>
      <c r="GJ1" s="442">
        <v>191</v>
      </c>
      <c r="GK1" s="442">
        <v>192</v>
      </c>
      <c r="GL1" s="441">
        <v>193</v>
      </c>
      <c r="GM1" s="441">
        <v>194</v>
      </c>
      <c r="GN1" s="442">
        <v>195</v>
      </c>
      <c r="GO1" s="442">
        <v>196</v>
      </c>
      <c r="GP1" s="441">
        <v>197</v>
      </c>
      <c r="GQ1" s="441">
        <v>198</v>
      </c>
      <c r="GR1" s="442">
        <v>199</v>
      </c>
      <c r="GS1" s="442">
        <v>200</v>
      </c>
      <c r="GT1" s="441">
        <v>201</v>
      </c>
      <c r="GU1" s="441">
        <v>202</v>
      </c>
      <c r="GV1" s="442">
        <v>203</v>
      </c>
      <c r="GW1" s="442">
        <v>204</v>
      </c>
      <c r="GX1" s="441">
        <v>205</v>
      </c>
      <c r="GY1" s="441">
        <v>206</v>
      </c>
      <c r="GZ1" s="442">
        <v>207</v>
      </c>
      <c r="HA1" s="442">
        <v>208</v>
      </c>
      <c r="HB1" s="441">
        <v>209</v>
      </c>
      <c r="HC1" s="441">
        <v>210</v>
      </c>
      <c r="HD1" s="442">
        <v>211</v>
      </c>
      <c r="HE1" s="442">
        <v>212</v>
      </c>
      <c r="HF1" s="441">
        <v>213</v>
      </c>
      <c r="HG1" s="441">
        <v>214</v>
      </c>
      <c r="HH1" s="442">
        <v>215</v>
      </c>
      <c r="HI1" s="442">
        <v>216</v>
      </c>
      <c r="HJ1" s="441">
        <v>217</v>
      </c>
      <c r="HK1" s="441">
        <v>218</v>
      </c>
      <c r="HL1" s="442">
        <v>219</v>
      </c>
      <c r="HM1" s="442">
        <v>220</v>
      </c>
      <c r="HN1" s="441">
        <v>221</v>
      </c>
      <c r="HO1" s="441">
        <v>222</v>
      </c>
      <c r="HP1" s="442">
        <v>223</v>
      </c>
      <c r="HQ1" s="442">
        <v>224</v>
      </c>
      <c r="HR1" s="441">
        <v>225</v>
      </c>
      <c r="HS1" s="441">
        <v>226</v>
      </c>
      <c r="HT1" s="442">
        <v>227</v>
      </c>
      <c r="HU1" s="442">
        <v>228</v>
      </c>
      <c r="HV1" s="441">
        <v>229</v>
      </c>
      <c r="HW1" s="441">
        <v>230</v>
      </c>
      <c r="HX1" s="442">
        <v>231</v>
      </c>
      <c r="HY1" s="442">
        <v>232</v>
      </c>
      <c r="HZ1" s="441">
        <v>233</v>
      </c>
      <c r="IA1" s="441">
        <v>234</v>
      </c>
      <c r="IB1" s="442">
        <v>235</v>
      </c>
      <c r="IC1" s="442">
        <v>236</v>
      </c>
      <c r="ID1" s="441">
        <v>237</v>
      </c>
      <c r="IE1" s="441">
        <v>238</v>
      </c>
      <c r="IF1" s="442">
        <v>239</v>
      </c>
      <c r="IG1" s="442">
        <v>240</v>
      </c>
      <c r="IH1" s="441">
        <v>241</v>
      </c>
      <c r="II1" s="441">
        <v>242</v>
      </c>
      <c r="IJ1" s="442">
        <v>243</v>
      </c>
      <c r="IK1" s="442">
        <v>244</v>
      </c>
      <c r="IL1" s="441">
        <v>245</v>
      </c>
      <c r="IM1" s="441">
        <v>246</v>
      </c>
      <c r="IN1" s="442">
        <v>247</v>
      </c>
      <c r="IO1" s="442">
        <v>248</v>
      </c>
      <c r="IP1" s="441">
        <v>249</v>
      </c>
      <c r="IQ1" s="441">
        <v>250</v>
      </c>
      <c r="IR1" s="442">
        <v>251</v>
      </c>
      <c r="IS1" s="442">
        <v>252</v>
      </c>
      <c r="IT1" s="441">
        <v>253</v>
      </c>
      <c r="IU1" s="441">
        <v>254</v>
      </c>
      <c r="IV1" s="442">
        <v>255</v>
      </c>
    </row>
    <row r="2" spans="1:256">
      <c r="A2" s="2"/>
      <c r="B2" s="2"/>
      <c r="C2" s="2"/>
      <c r="R2" s="2"/>
      <c r="S2" s="2"/>
      <c r="T2" s="2"/>
      <c r="U2" s="2"/>
      <c r="V2" s="2"/>
      <c r="W2" s="2"/>
      <c r="X2" s="2"/>
      <c r="Y2" s="2"/>
      <c r="Z2" s="2"/>
      <c r="AA2" s="2"/>
      <c r="AC2" s="2"/>
      <c r="AD2" s="2"/>
      <c r="AE2" s="2"/>
      <c r="AF2" s="2"/>
      <c r="AG2" s="2"/>
      <c r="AH2" s="2"/>
      <c r="AI2" s="2"/>
      <c r="AJ2" s="2"/>
      <c r="AK2" s="2"/>
      <c r="AL2" s="2"/>
      <c r="AM2" s="2"/>
      <c r="AN2" s="2"/>
      <c r="AO2" s="2"/>
      <c r="AP2" s="2"/>
      <c r="AQ2" s="2"/>
      <c r="AR2" s="2"/>
      <c r="AS2" s="2"/>
    </row>
    <row r="3" spans="1:256">
      <c r="A3" s="2"/>
      <c r="B3" s="2"/>
      <c r="C3" s="2"/>
      <c r="R3" s="2"/>
      <c r="S3" s="2"/>
      <c r="T3" s="2"/>
      <c r="U3" s="2"/>
      <c r="V3" s="2"/>
      <c r="W3" s="2"/>
      <c r="X3" s="2"/>
      <c r="Y3" s="2"/>
      <c r="Z3" s="2"/>
      <c r="AA3" s="2"/>
      <c r="AC3" s="2"/>
      <c r="AD3" s="2"/>
      <c r="AE3" s="2"/>
      <c r="AF3" s="2"/>
      <c r="AG3" s="2"/>
      <c r="AH3" s="2"/>
      <c r="AI3" s="2"/>
      <c r="AJ3" s="2"/>
      <c r="AK3" s="2"/>
      <c r="AL3" s="2"/>
      <c r="AM3" s="2"/>
      <c r="AN3" s="2"/>
      <c r="AO3" s="2"/>
      <c r="AP3" s="2"/>
      <c r="AQ3" s="2"/>
      <c r="AR3" s="2"/>
      <c r="AS3" s="2"/>
    </row>
    <row r="4" spans="1:256" ht="13.5" thickBot="1">
      <c r="A4" s="1"/>
      <c r="B4" s="1"/>
      <c r="C4" s="1"/>
      <c r="D4" s="91" t="s">
        <v>280</v>
      </c>
      <c r="F4" s="2"/>
      <c r="G4" s="2"/>
      <c r="H4" s="2"/>
      <c r="I4" s="122">
        <v>77</v>
      </c>
      <c r="J4" s="93" t="s">
        <v>193</v>
      </c>
      <c r="K4" s="120"/>
      <c r="L4" s="93" t="s">
        <v>193</v>
      </c>
      <c r="M4" s="2"/>
      <c r="N4" s="2"/>
      <c r="O4" s="2"/>
      <c r="P4" s="2"/>
      <c r="Q4" s="122">
        <v>77</v>
      </c>
      <c r="R4" s="2"/>
      <c r="S4" s="2"/>
      <c r="T4" s="2"/>
      <c r="U4" s="2"/>
      <c r="V4" s="2"/>
      <c r="W4" s="2"/>
      <c r="X4" s="2"/>
      <c r="Y4" s="2"/>
      <c r="Z4" s="2"/>
      <c r="AA4" s="2"/>
      <c r="AC4" s="2"/>
      <c r="AD4" s="2"/>
      <c r="AE4" s="2"/>
      <c r="AF4" s="2"/>
      <c r="AG4" s="2"/>
      <c r="AH4" s="2"/>
      <c r="AI4" s="2"/>
      <c r="AJ4" s="2"/>
      <c r="AK4" s="2"/>
      <c r="AL4" s="2"/>
      <c r="AM4" s="2"/>
      <c r="AN4" s="2"/>
      <c r="AO4" s="2"/>
      <c r="AP4" s="2"/>
      <c r="AQ4" s="2"/>
      <c r="AR4" s="2"/>
      <c r="AS4" s="2"/>
    </row>
    <row r="5" spans="1:256" ht="13.5" thickBot="1">
      <c r="A5" s="2"/>
      <c r="B5" s="934"/>
      <c r="C5" s="934"/>
      <c r="D5" s="91" t="s">
        <v>282</v>
      </c>
      <c r="F5" s="92">
        <v>421</v>
      </c>
      <c r="G5" s="92">
        <v>260</v>
      </c>
      <c r="H5" s="92">
        <v>160</v>
      </c>
      <c r="I5" s="121">
        <v>175</v>
      </c>
      <c r="J5" s="93" t="s">
        <v>193</v>
      </c>
      <c r="K5" s="119">
        <v>175</v>
      </c>
      <c r="L5" s="93" t="s">
        <v>193</v>
      </c>
      <c r="M5" s="94">
        <v>106.5</v>
      </c>
      <c r="N5" s="92">
        <v>325</v>
      </c>
      <c r="O5" s="2"/>
      <c r="P5" s="2"/>
      <c r="Q5" s="121">
        <v>78</v>
      </c>
      <c r="R5" s="2"/>
      <c r="S5" s="2"/>
      <c r="T5" s="2"/>
      <c r="U5" s="2"/>
      <c r="V5" s="2"/>
      <c r="W5" s="2"/>
      <c r="X5" s="2"/>
      <c r="Y5" s="2"/>
      <c r="Z5" s="2"/>
      <c r="AA5" s="2"/>
      <c r="AC5" s="2"/>
      <c r="AD5" s="2"/>
      <c r="AE5" s="2"/>
      <c r="AF5" s="2"/>
      <c r="AG5" s="2"/>
      <c r="AH5" s="2"/>
      <c r="AI5" s="2"/>
      <c r="AJ5" s="2"/>
      <c r="AK5" s="2"/>
      <c r="AL5" s="2"/>
      <c r="AM5" s="2"/>
      <c r="AN5" s="2"/>
      <c r="AO5" s="2"/>
      <c r="AP5" s="2"/>
      <c r="AQ5" s="2"/>
      <c r="AR5" s="2"/>
      <c r="AS5" s="2"/>
    </row>
    <row r="6" spans="1:256" ht="13.5" thickBot="1">
      <c r="A6" s="2"/>
      <c r="B6" s="935" t="s">
        <v>0</v>
      </c>
      <c r="C6" s="936"/>
      <c r="D6" s="95" t="s">
        <v>194</v>
      </c>
      <c r="F6" s="96">
        <f>(PI()/4)*F5^2</f>
        <v>139204.75587872713</v>
      </c>
      <c r="G6" s="96">
        <f>(PI()/4)*G5^2</f>
        <v>53092.915845667507</v>
      </c>
      <c r="H6" s="96">
        <f>(PI()/4)*H5^2</f>
        <v>20106.192982974677</v>
      </c>
      <c r="I6" s="97">
        <f>(PI()/4)*I5^2</f>
        <v>24052.818754046853</v>
      </c>
      <c r="J6" s="98" t="s">
        <v>193</v>
      </c>
      <c r="K6" s="97">
        <f>(PI()/4)*K5^2</f>
        <v>24052.818754046853</v>
      </c>
      <c r="L6" s="98" t="s">
        <v>193</v>
      </c>
      <c r="M6" s="99">
        <f>(PI()/4)*M5^2</f>
        <v>8908.1823187947084</v>
      </c>
      <c r="N6" s="96">
        <f>(PI()/4)*N5^2</f>
        <v>82957.681008855478</v>
      </c>
      <c r="O6" s="123"/>
      <c r="P6" s="2"/>
      <c r="Q6" s="97">
        <f>Q4*Q5</f>
        <v>6006</v>
      </c>
      <c r="R6" s="3"/>
      <c r="S6" s="3"/>
      <c r="T6" s="3"/>
      <c r="U6" s="3"/>
      <c r="V6" s="3"/>
      <c r="W6" s="3"/>
      <c r="X6" s="3"/>
      <c r="Y6" s="3"/>
      <c r="Z6" s="3"/>
      <c r="AA6" s="3"/>
      <c r="AC6" s="3"/>
      <c r="AD6" s="3"/>
      <c r="AE6" s="3"/>
      <c r="AF6" s="3"/>
      <c r="AG6" s="3"/>
      <c r="AH6" s="3"/>
      <c r="AI6" s="3"/>
      <c r="AJ6" s="3"/>
      <c r="AK6" s="3"/>
      <c r="AL6" s="3"/>
      <c r="AM6" s="3"/>
      <c r="AN6" s="3"/>
      <c r="AO6" s="3"/>
      <c r="AP6" s="3"/>
      <c r="AQ6" s="3"/>
      <c r="AR6" s="3"/>
      <c r="AS6" s="3"/>
    </row>
    <row r="7" spans="1:256" ht="134.25" customHeight="1">
      <c r="A7" s="4"/>
      <c r="B7" s="110" t="s">
        <v>1</v>
      </c>
      <c r="C7" s="110" t="s">
        <v>2</v>
      </c>
      <c r="F7" s="33" t="s">
        <v>202</v>
      </c>
      <c r="G7" s="31" t="s">
        <v>197</v>
      </c>
      <c r="H7" s="31" t="s">
        <v>196</v>
      </c>
      <c r="I7" s="100" t="s">
        <v>290</v>
      </c>
      <c r="J7" s="100"/>
      <c r="K7" s="32" t="s">
        <v>289</v>
      </c>
      <c r="L7" s="100"/>
      <c r="M7" s="100" t="s">
        <v>236</v>
      </c>
      <c r="N7" s="32" t="s">
        <v>195</v>
      </c>
      <c r="O7" s="32" t="s">
        <v>203</v>
      </c>
      <c r="P7" s="32" t="s">
        <v>449</v>
      </c>
      <c r="Q7" s="33" t="s">
        <v>204</v>
      </c>
      <c r="R7" s="32" t="s">
        <v>206</v>
      </c>
      <c r="S7" s="32" t="s">
        <v>205</v>
      </c>
      <c r="T7" s="32" t="s">
        <v>208</v>
      </c>
      <c r="U7" s="32" t="s">
        <v>207</v>
      </c>
      <c r="V7" s="32" t="s">
        <v>209</v>
      </c>
      <c r="W7" s="32" t="s">
        <v>210</v>
      </c>
      <c r="X7" s="32" t="s">
        <v>574</v>
      </c>
      <c r="Y7" s="32" t="s">
        <v>231</v>
      </c>
      <c r="Z7" s="32" t="s">
        <v>172</v>
      </c>
      <c r="AA7" s="32" t="s">
        <v>211</v>
      </c>
      <c r="AC7" s="32" t="s">
        <v>491</v>
      </c>
      <c r="AD7" s="32" t="s">
        <v>451</v>
      </c>
      <c r="AE7" s="32" t="s">
        <v>450</v>
      </c>
      <c r="AF7" s="32" t="s">
        <v>452</v>
      </c>
      <c r="AG7" s="32" t="s">
        <v>764</v>
      </c>
      <c r="AH7" s="32" t="s">
        <v>765</v>
      </c>
      <c r="AI7" s="32" t="s">
        <v>766</v>
      </c>
      <c r="AJ7" s="33"/>
      <c r="AK7" s="33"/>
      <c r="AL7" s="33"/>
      <c r="AM7" s="32" t="s">
        <v>1</v>
      </c>
      <c r="AN7" s="33"/>
      <c r="AO7" s="33"/>
      <c r="AP7" s="33"/>
      <c r="AQ7" s="33"/>
      <c r="AR7" s="33"/>
      <c r="AS7" s="33"/>
      <c r="AT7" s="33" t="s">
        <v>363</v>
      </c>
      <c r="AU7" s="33" t="s">
        <v>364</v>
      </c>
      <c r="AV7" s="33" t="s">
        <v>425</v>
      </c>
      <c r="AW7" s="33" t="s">
        <v>365</v>
      </c>
      <c r="AX7" s="33" t="s">
        <v>366</v>
      </c>
      <c r="AY7" s="33" t="s">
        <v>367</v>
      </c>
      <c r="AZ7" s="33" t="s">
        <v>368</v>
      </c>
      <c r="BA7" s="33" t="s">
        <v>369</v>
      </c>
      <c r="BB7" s="47" t="s">
        <v>370</v>
      </c>
      <c r="BC7" s="47" t="s">
        <v>371</v>
      </c>
      <c r="BD7" s="32" t="s">
        <v>372</v>
      </c>
      <c r="BE7" s="32" t="s">
        <v>373</v>
      </c>
      <c r="BF7" s="32" t="s">
        <v>374</v>
      </c>
      <c r="BG7" s="32" t="s">
        <v>375</v>
      </c>
      <c r="BH7" s="32" t="s">
        <v>376</v>
      </c>
      <c r="BI7" s="32" t="s">
        <v>424</v>
      </c>
      <c r="BK7" s="32" t="s">
        <v>589</v>
      </c>
      <c r="BM7" s="32" t="s">
        <v>704</v>
      </c>
      <c r="BN7" s="32" t="s">
        <v>707</v>
      </c>
      <c r="BP7" s="32" t="s">
        <v>703</v>
      </c>
    </row>
    <row r="8" spans="1:256" s="101" customFormat="1">
      <c r="A8" s="101" t="s">
        <v>8</v>
      </c>
      <c r="B8" s="103">
        <v>40537</v>
      </c>
      <c r="C8" s="104">
        <v>0.33333333333357501</v>
      </c>
      <c r="E8" s="30"/>
      <c r="F8" s="30" t="e">
        <f>-(VLOOKUP(Sheet1!BZ8,Lookup!$I$4:$J$216,2)-VLOOKUP(Sheet1!#REF!,Lookup!$I$4:$J$216,2))/1000000</f>
        <v>#REF!</v>
      </c>
      <c r="G8" s="106" t="e">
        <f>-$G$6*(Sheet1!CB8-Sheet1!#REF!)*7.48/1000000</f>
        <v>#REF!</v>
      </c>
      <c r="H8" s="106" t="e">
        <f>-$H$6*(Sheet1!CA8-Sheet1!#REF!)*7.48/1000000</f>
        <v>#REF!</v>
      </c>
      <c r="I8" s="106" t="e">
        <f>-$I$6*(Sheet1!CC8-Sheet1!#REF!)*7.48/1000000</f>
        <v>#REF!</v>
      </c>
      <c r="J8" s="107" t="s">
        <v>193</v>
      </c>
      <c r="K8" s="106" t="e">
        <f>-$I$6*(Sheet1!CD8-Sheet1!#REF!)*7.48/1000000</f>
        <v>#REF!</v>
      </c>
      <c r="L8" s="107" t="s">
        <v>193</v>
      </c>
      <c r="M8" s="106" t="e">
        <f>-$M$6*(Sheet1!CE8-Sheet1!#REF!)*7.48/1000000</f>
        <v>#REF!</v>
      </c>
      <c r="N8" s="106" t="e">
        <f>-$N$6*(Sheet1!CF8-Sheet1!#REF!)*7.48/1000000</f>
        <v>#REF!</v>
      </c>
      <c r="O8" s="106" t="e">
        <f t="shared" ref="O8:O17" si="0">SUM(F8:I8)+K8+SUM(M8:N8)</f>
        <v>#REF!</v>
      </c>
      <c r="P8" s="106" t="e">
        <f ca="1">O8+Calculation!EI8</f>
        <v>#REF!</v>
      </c>
      <c r="Q8" s="101" t="str">
        <f>IF(Sheet1!BQ8&gt;21.75,"spill elevation","-")</f>
        <v>-</v>
      </c>
      <c r="R8" s="101" t="str">
        <f>IF(Sheet1!BR8&gt;21.75,"spill elevation","-")</f>
        <v>-</v>
      </c>
      <c r="S8" s="101" t="str">
        <f>IF(Sheet1!BS8&gt;21.75,"spill elevation","-")</f>
        <v>-</v>
      </c>
      <c r="T8" s="105">
        <f>IF(Sheet1!DQ8=1,Sheet1!AA8-(SUM(AT8:BA8)+BE8),Sheet1!AA8-SUM(AT8:BA8))</f>
        <v>28.762896000000001</v>
      </c>
      <c r="U8" s="105">
        <f>Sheet1!BU8</f>
        <v>22.4</v>
      </c>
      <c r="V8" s="105">
        <f t="shared" ref="V8:V13" si="1">T8-U8</f>
        <v>6.3628960000000028</v>
      </c>
      <c r="W8" s="105">
        <f t="shared" ref="W8:W17" si="2">IF(AND(OR(Q8="spill elevation",R8="spill elevation",S8="spill elevation",Q9="spill elevation",R9="spill elevation",S9="spill elevation"),V8&gt;0),V8,0)</f>
        <v>0</v>
      </c>
      <c r="Y8" s="106" t="e">
        <f ca="1">Calculation!DZ9+Calculation!EI8+'Calculations II'!O8-'Calculations II'!W8</f>
        <v>#REF!</v>
      </c>
      <c r="Z8" s="106" t="e">
        <f ca="1">Y8-Sheet1!CP9</f>
        <v>#REF!</v>
      </c>
      <c r="AA8" s="106" t="e">
        <f ca="1">Y8+Calculation!CZ9+Calculation!AI9</f>
        <v>#REF!</v>
      </c>
      <c r="AC8" s="106">
        <f ca="1">IF(B8&lt;Summary!A1,Sheet1!AA8+Sheet1!AB8+BC8,"n/a")</f>
        <v>48</v>
      </c>
      <c r="AD8" s="106">
        <f>Sheet1!AA8+Sheet1!BN8+'Calculations II'!BC8-Calculation!AI8-Calculation!CZ8</f>
        <v>41.850847457627118</v>
      </c>
      <c r="AE8" s="106">
        <f>Sheet1!AA8+Sheet1!AB8+'Calculations II'!BC8-Calculation!AI8-Calculation!CZ8</f>
        <v>45.050847457627121</v>
      </c>
      <c r="AF8" s="106" t="e">
        <f ca="1">Sheet1!AA8+Sheet1!BN8+P8+'Calculations II'!BC8+Calculation!AI8+Calculation!CZ8</f>
        <v>#REF!</v>
      </c>
      <c r="AG8" s="106" t="e">
        <f ca="1">Sheet1!AA8+Sheet1!BN8+'Calculations II'!BC8+'Calculations II'!P8-Sheet1!CP8-BP8</f>
        <v>#REF!</v>
      </c>
      <c r="AH8" s="106" t="e">
        <f ca="1">Sheet1!AA8+Sheet1!BN8+'Calculations II'!BC8+'Calculations II'!P8-BP8</f>
        <v>#REF!</v>
      </c>
      <c r="AI8" s="106" t="e">
        <f ca="1">BC8+Sheet1!AA8+Calculation!EI8+O8+W8+Sheet1!BN8+Calculation!AI8+Calculation!CZ8-BP8</f>
        <v>#REF!</v>
      </c>
      <c r="AJ8" s="106"/>
      <c r="AM8" s="102">
        <f t="shared" ref="AM8:AM17" si="3">B8</f>
        <v>40537</v>
      </c>
      <c r="AN8" s="106"/>
      <c r="AO8" s="106"/>
      <c r="AR8" s="106"/>
      <c r="AT8" s="101">
        <f>Sheet1!AR8*GPMtoMGD</f>
        <v>0</v>
      </c>
      <c r="AU8" s="101">
        <f>Sheet1!AS8*GPMtoMGD</f>
        <v>5.2991999999999997E-2</v>
      </c>
      <c r="AV8" s="101">
        <f>Sheet1!AT8*GPMtoMGD</f>
        <v>0</v>
      </c>
      <c r="AW8" s="101">
        <f>Sheet1!AV8*GPMtoMGD</f>
        <v>0.56764800000000004</v>
      </c>
      <c r="AX8" s="101">
        <f>Sheet1!AW8*GPMtoMGD</f>
        <v>0.61646400000000012</v>
      </c>
      <c r="AY8" s="101">
        <f>Sheet1!AX8*GPMtoMGD</f>
        <v>0</v>
      </c>
      <c r="AZ8" s="101">
        <f>Sheet1!AY8*GPMtoMGD</f>
        <v>0</v>
      </c>
      <c r="BA8" s="101">
        <f>Sheet1!AZ8*GPMtoMGD</f>
        <v>0</v>
      </c>
      <c r="BB8" s="101">
        <f>Sheet1!BP8*GPMtoMGD</f>
        <v>0</v>
      </c>
      <c r="BC8" s="101">
        <f>Sheet1!CO8*GPMtoMGD</f>
        <v>0</v>
      </c>
      <c r="BD8" s="101">
        <f>Sheet1!BO8*GPMtoMGD</f>
        <v>2.6013600000000001</v>
      </c>
      <c r="BE8" s="101">
        <f>Sheet1!BV8*GPMtoMGD</f>
        <v>0.65390400000000004</v>
      </c>
      <c r="BF8" s="101">
        <f>Sheet1!CJ8*GPMtoMGD</f>
        <v>0.27979200000000004</v>
      </c>
      <c r="BG8" s="101">
        <f>Sheet1!CK8*GPMtoMGD</f>
        <v>0.54014400000000007</v>
      </c>
      <c r="BH8" s="101">
        <f>Sheet1!CL8*GPMtoMGD</f>
        <v>0.58910400000000007</v>
      </c>
      <c r="BI8" s="101">
        <f t="shared" ref="BI8:BI17" si="4">BD8+BB8</f>
        <v>2.6013600000000001</v>
      </c>
      <c r="BK8" s="106">
        <f>SUM(AT8:BA8,BE8,Sheet1!BU8,'Calculations II'!BC8,Calculation!AG8)</f>
        <v>39.341855457627119</v>
      </c>
      <c r="BM8" s="439">
        <f>IF(AND(Sheet1!BQ8&lt;=11.5,Sheet1!BQ7&gt;Sheet1!BQ8),(MIN(Lookup!$C$119,VLOOKUP(Sheet1!BQ7,Lookup!$B$4:$J$236,2))-VLOOKUP(Sheet1!BQ8,Lookup!$B$4:$J$236,2))/1000000,0)</f>
        <v>0</v>
      </c>
      <c r="BN8" s="439">
        <f>IF(AND(Sheet1!BR8&lt;=11.5,Sheet1!BR7&gt;Sheet1!BR8),(MIN(Lookup!$D$119,VLOOKUP(Sheet1!BR7,Lookup!$B$4:$J$236,3))-VLOOKUP(Sheet1!BR8,Lookup!$B$4:$J$236,3))/1000000,0)</f>
        <v>0</v>
      </c>
      <c r="BP8" s="105">
        <f>SUM(BM8:BN8,W8,Sheet1!DT8)</f>
        <v>0</v>
      </c>
    </row>
    <row r="9" spans="1:256" s="101" customFormat="1">
      <c r="A9" s="101" t="s">
        <v>9</v>
      </c>
      <c r="B9" s="103">
        <v>40538</v>
      </c>
      <c r="C9" s="104">
        <v>0.33333333333357501</v>
      </c>
      <c r="E9" s="30"/>
      <c r="F9" s="30">
        <f>-(VLOOKUP(Sheet1!BZ9,Lookup!$I$4:$J$216,2)-VLOOKUP(Sheet1!BZ8,Lookup!$I$4:$J$216,2))/1000000</f>
        <v>0.31091081564339806</v>
      </c>
      <c r="G9" s="106">
        <f>-$G$6*(Sheet1!CB9-Sheet1!CB8)*7.48/1000000</f>
        <v>-0.46067661220968786</v>
      </c>
      <c r="H9" s="106">
        <f>-$H$6*(Sheet1!CA9-Sheet1!CA8)*7.48/1000000</f>
        <v>-0.60157729405060234</v>
      </c>
      <c r="I9" s="106">
        <f>-$I$6*(Sheet1!CC9-Sheet1!CC8)*7.48/1000000</f>
        <v>0.67827986773661975</v>
      </c>
      <c r="J9" s="107" t="s">
        <v>193</v>
      </c>
      <c r="K9" s="106">
        <f>-$I$6*(Sheet1!CD9-Sheet1!CD8)*7.48/1000000</f>
        <v>0.67288241520821168</v>
      </c>
      <c r="L9" s="107" t="s">
        <v>193</v>
      </c>
      <c r="M9" s="106">
        <f>-$M$6*(Sheet1!CE9-Sheet1!CE8)*7.48/1000000</f>
        <v>0.24987451404219158</v>
      </c>
      <c r="N9" s="106">
        <f>-$N$6*(Sheet1!CF9-Sheet1!CF8)*7.48/1000000</f>
        <v>-6.2052345394623676E-2</v>
      </c>
      <c r="O9" s="106">
        <f t="shared" si="0"/>
        <v>0.7876413609755073</v>
      </c>
      <c r="P9" s="106">
        <f>O9+Calculation!EI9</f>
        <v>0.24714136097550732</v>
      </c>
      <c r="Q9" s="101" t="str">
        <f>IF(Sheet1!BQ9&gt;21.75,"spill elevation","-")</f>
        <v>-</v>
      </c>
      <c r="R9" s="101" t="str">
        <f>IF(Sheet1!BR9&gt;21.75,"spill elevation","-")</f>
        <v>-</v>
      </c>
      <c r="S9" s="101" t="str">
        <f>IF(Sheet1!BS9&gt;21.75,"spill elevation","-")</f>
        <v>-</v>
      </c>
      <c r="T9" s="105">
        <f>IF(Sheet1!DQ9=1,Sheet1!AA9-(SUM(AT9:BA9)+BE9),Sheet1!AA9-SUM(AT9:BA9))</f>
        <v>28.533791999999998</v>
      </c>
      <c r="U9" s="105">
        <f>Sheet1!BU9</f>
        <v>24.9</v>
      </c>
      <c r="V9" s="105">
        <f t="shared" si="1"/>
        <v>3.6337919999999997</v>
      </c>
      <c r="W9" s="105">
        <f t="shared" si="2"/>
        <v>0</v>
      </c>
      <c r="X9" s="101">
        <f>IF((Sheet1!EX9-Sheet1!EX8)&lt;0,(Sheet1!EX9+100000-Sheet1!EX8)/1000,(Sheet1!EX9-Sheet1!EX8)/1000)</f>
        <v>0.79</v>
      </c>
      <c r="Y9" s="106">
        <f>Calculation!DZ10+Calculation!EI9+'Calculations II'!O9-'Calculations II'!W9</f>
        <v>53.061829360978415</v>
      </c>
      <c r="Z9" s="106">
        <f>Y9-Sheet1!CP10</f>
        <v>37.131829360978415</v>
      </c>
      <c r="AA9" s="106">
        <f>Y9+Calculation!CZ10+Calculation!AI10</f>
        <v>61.760427280474097</v>
      </c>
      <c r="AC9" s="106">
        <f>Sheet1!AA9+Sheet1!AB9+BC9</f>
        <v>49.94999999999709</v>
      </c>
      <c r="AD9" s="106">
        <f>Sheet1!AA9+Sheet1!BN9+'Calculations II'!BC9-Calculation!AI9-Calculation!CZ9</f>
        <v>38.099295774648752</v>
      </c>
      <c r="AE9" s="106">
        <f>Sheet1!AA9+Sheet1!AB9+'Calculations II'!BC9-Calculation!AI9-Calculation!CZ9</f>
        <v>44.049295774645842</v>
      </c>
      <c r="AF9" s="106">
        <f>Sheet1!AA9+Sheet1!BN9+P9+'Calculations II'!BC9+Calculation!AI9+Calculation!CZ9</f>
        <v>50.147845586326753</v>
      </c>
      <c r="AG9" s="106">
        <f>Sheet1!AA9+Sheet1!BN9+'Calculations II'!BC9+'Calculations II'!P9-Sheet1!CP9-BP9</f>
        <v>28.027141360975506</v>
      </c>
      <c r="AH9" s="106">
        <f>Sheet1!AA9+Sheet1!BN9+'Calculations II'!BC9+'Calculations II'!P9-BP9</f>
        <v>44.247141360975505</v>
      </c>
      <c r="AI9" s="106">
        <f>BC9+Sheet1!AA9+Calculation!EI9+O9+W9+Sheet1!BN9+Calculation!AI9+Calculation!CZ9-BP9</f>
        <v>50.147845586326753</v>
      </c>
      <c r="AJ9" s="106"/>
      <c r="AM9" s="102">
        <f t="shared" si="3"/>
        <v>40538</v>
      </c>
      <c r="AN9" s="106"/>
      <c r="AO9" s="106"/>
      <c r="AR9" s="106"/>
      <c r="AT9" s="101">
        <f>Sheet1!AR9*GPMtoMGD</f>
        <v>0</v>
      </c>
      <c r="AU9" s="101">
        <f>Sheet1!AS9*GPMtoMGD</f>
        <v>5.2991999999999997E-2</v>
      </c>
      <c r="AV9" s="101">
        <f>Sheet1!AT9*GPMtoMGD</f>
        <v>0</v>
      </c>
      <c r="AW9" s="101">
        <f>Sheet1!AV9*GPMtoMGD</f>
        <v>0.67824000000000007</v>
      </c>
      <c r="AX9" s="101">
        <f>Sheet1!AW9*GPMtoMGD</f>
        <v>0.73497599999999996</v>
      </c>
      <c r="AY9" s="101">
        <f>Sheet1!AX9*GPMtoMGD</f>
        <v>0</v>
      </c>
      <c r="AZ9" s="101">
        <f>Sheet1!AY9*GPMtoMGD</f>
        <v>0</v>
      </c>
      <c r="BA9" s="101">
        <f>Sheet1!AZ9*GPMtoMGD</f>
        <v>0</v>
      </c>
      <c r="BB9" s="101">
        <f>Sheet1!BP9*GPMtoMGD</f>
        <v>0</v>
      </c>
      <c r="BC9" s="101">
        <f>Sheet1!CO9*GPMtoMGD</f>
        <v>0</v>
      </c>
      <c r="BD9" s="101">
        <f>Sheet1!BO9*GPMtoMGD</f>
        <v>0.88848000000000005</v>
      </c>
      <c r="BE9" s="101">
        <f>Sheet1!BV9*GPMtoMGD</f>
        <v>0.92534400000000006</v>
      </c>
      <c r="BF9" s="101">
        <f>Sheet1!CJ9*GPMtoMGD</f>
        <v>0.38203200000000004</v>
      </c>
      <c r="BG9" s="101">
        <f>Sheet1!CK9*GPMtoMGD</f>
        <v>0.58795200000000003</v>
      </c>
      <c r="BH9" s="101">
        <f>Sheet1!CL9*GPMtoMGD</f>
        <v>0.63734400000000002</v>
      </c>
      <c r="BI9" s="101">
        <f t="shared" si="4"/>
        <v>0.88848000000000005</v>
      </c>
      <c r="BK9" s="106">
        <f>SUM(AT9:BA9,BE9,Sheet1!BU9,'Calculations II'!BC9,Calculation!AG9)</f>
        <v>41.340847774645837</v>
      </c>
      <c r="BM9" s="439">
        <f>IF(AND(Sheet1!BQ9&lt;=11.5,Sheet1!BQ8&gt;Sheet1!BQ9),(MIN(Lookup!$C$119,VLOOKUP(Sheet1!BQ8,Lookup!$B$4:$J$236,2))-VLOOKUP(Sheet1!BQ9,Lookup!$B$4:$J$236,2))/1000000,0)</f>
        <v>0</v>
      </c>
      <c r="BN9" s="439">
        <f>IF(AND(Sheet1!BR9&lt;=11.5,Sheet1!BR8&gt;Sheet1!BR9),(MIN(Lookup!$D$119,VLOOKUP(Sheet1!BR8,Lookup!$B$4:$J$236,3))-VLOOKUP(Sheet1!BR9,Lookup!$B$4:$J$236,3))/1000000,0)</f>
        <v>0</v>
      </c>
      <c r="BP9" s="105">
        <f>SUM(BM9:BN9,W9,Sheet1!DT9)</f>
        <v>0</v>
      </c>
    </row>
    <row r="10" spans="1:256" s="101" customFormat="1">
      <c r="A10" s="101" t="s">
        <v>3</v>
      </c>
      <c r="B10" s="103">
        <v>40539</v>
      </c>
      <c r="C10" s="104">
        <v>0.33333333333357501</v>
      </c>
      <c r="E10" s="30"/>
      <c r="F10" s="30">
        <f>-(VLOOKUP(Sheet1!BZ10,Lookup!$I$4:$J$216,2)-VLOOKUP(Sheet1!BZ9,Lookup!$I$4:$J$216,2))/1000000</f>
        <v>-0.10363693854779936</v>
      </c>
      <c r="G10" s="106">
        <f>-$G$6*(Sheet1!CB10-Sheet1!CB9)*7.48/1000000</f>
        <v>-0.29387990778893819</v>
      </c>
      <c r="H10" s="106">
        <f>-$H$6*(Sheet1!CA10-Sheet1!CA9)*7.48/1000000</f>
        <v>0.22559148526897588</v>
      </c>
      <c r="I10" s="106">
        <f>-$I$6*(Sheet1!CC10-Sheet1!CC9)*7.48/1000000</f>
        <v>0.19790659270829761</v>
      </c>
      <c r="J10" s="107" t="s">
        <v>193</v>
      </c>
      <c r="K10" s="106">
        <f>-$I$6*(Sheet1!CD10-Sheet1!CD9)*7.48/1000000</f>
        <v>0.17451763175186216</v>
      </c>
      <c r="L10" s="107" t="s">
        <v>193</v>
      </c>
      <c r="M10" s="106">
        <f>-$M$6*(Sheet1!CE10-Sheet1!CE9)*7.48/1000000</f>
        <v>8.6623164867959679E-2</v>
      </c>
      <c r="N10" s="106">
        <f>-$N$6*(Sheet1!CF10-Sheet1!CF9)*7.48/1000000</f>
        <v>-6.2052345394623676E-2</v>
      </c>
      <c r="O10" s="106">
        <f t="shared" si="0"/>
        <v>0.22506968286573409</v>
      </c>
      <c r="P10" s="106">
        <f>O10+Calculation!EI10</f>
        <v>1.5765696828657343</v>
      </c>
      <c r="Q10" s="101" t="str">
        <f>IF(Sheet1!BQ10&gt;21.75,"spill elevation","-")</f>
        <v>-</v>
      </c>
      <c r="R10" s="101" t="str">
        <f>IF(Sheet1!BR10&gt;21.75,"spill elevation","-")</f>
        <v>-</v>
      </c>
      <c r="S10" s="101" t="str">
        <f>IF(Sheet1!BS10&gt;21.75,"spill elevation","-")</f>
        <v>-</v>
      </c>
      <c r="T10" s="105">
        <f>IF(Sheet1!DQ10=1,Sheet1!AA10-(SUM(AT10:BA10)+BE10),Sheet1!AA10-SUM(AT10:BA10))</f>
        <v>28.985215999997088</v>
      </c>
      <c r="U10" s="105">
        <f>Sheet1!BU10</f>
        <v>27.4</v>
      </c>
      <c r="V10" s="105">
        <f t="shared" si="1"/>
        <v>1.5852159999970894</v>
      </c>
      <c r="W10" s="105">
        <f t="shared" si="2"/>
        <v>0</v>
      </c>
      <c r="X10" s="101">
        <f>IF((Sheet1!EX10-Sheet1!EX9)&lt;0,(Sheet1!EX10+100000-Sheet1!EX9)/1000,(Sheet1!EX10-Sheet1!EX9)/1000)</f>
        <v>0.76500000000000001</v>
      </c>
      <c r="Y10" s="106">
        <f>Calculation!DZ11+Calculation!EI10+'Calculations II'!O10-'Calculations II'!W10</f>
        <v>49.476569682859918</v>
      </c>
      <c r="Z10" s="106">
        <f>Y10-Sheet1!CP11</f>
        <v>33.496569682859914</v>
      </c>
      <c r="AA10" s="106">
        <f>Y10+Calculation!CZ11+Calculation!AI11</f>
        <v>53.710503887455459</v>
      </c>
      <c r="AC10" s="106">
        <f>Sheet1!AA10+Sheet1!AB10+BC10</f>
        <v>52.81468800000291</v>
      </c>
      <c r="AD10" s="106">
        <f>Sheet1!AA10+Sheet1!BN10+'Calculations II'!BC10-Calculation!AI10-Calculation!CZ10</f>
        <v>35.116090080501408</v>
      </c>
      <c r="AE10" s="106">
        <f>Sheet1!AA10+Sheet1!AB10+'Calculations II'!BC10-Calculation!AI10-Calculation!CZ10</f>
        <v>44.116090080507227</v>
      </c>
      <c r="AF10" s="106">
        <f>Sheet1!AA10+Sheet1!BN10+P10+'Calculations II'!BC10+Calculation!AI10+Calculation!CZ10</f>
        <v>54.089855602358504</v>
      </c>
      <c r="AG10" s="106">
        <f>Sheet1!AA10+Sheet1!BN10+'Calculations II'!BC10+'Calculations II'!P10-Sheet1!CP10-BP10</f>
        <v>29.461257682862822</v>
      </c>
      <c r="AH10" s="106">
        <f>Sheet1!AA10+Sheet1!BN10+'Calculations II'!BC10+'Calculations II'!P10-BP10</f>
        <v>45.391257682862822</v>
      </c>
      <c r="AI10" s="106">
        <f>BC10+Sheet1!AA10+Calculation!EI10+O10+W10+Sheet1!BN10+Calculation!AI10+Calculation!CZ10-BP10</f>
        <v>54.089855602358504</v>
      </c>
      <c r="AJ10" s="106"/>
      <c r="AM10" s="102">
        <f t="shared" si="3"/>
        <v>40539</v>
      </c>
      <c r="AN10" s="106"/>
      <c r="AO10" s="106"/>
      <c r="AR10" s="106"/>
      <c r="AT10" s="101">
        <f>Sheet1!AR10*GPMtoMGD</f>
        <v>0</v>
      </c>
      <c r="AU10" s="101">
        <f>Sheet1!AS10*GPMtoMGD</f>
        <v>5.2991999999999997E-2</v>
      </c>
      <c r="AV10" s="101">
        <f>Sheet1!AT10*GPMtoMGD</f>
        <v>0</v>
      </c>
      <c r="AW10" s="101">
        <f>Sheet1!AV10*GPMtoMGD</f>
        <v>0.56577600000000006</v>
      </c>
      <c r="AX10" s="101">
        <f>Sheet1!AW10*GPMtoMGD</f>
        <v>0.59601599999999999</v>
      </c>
      <c r="AY10" s="101">
        <f>Sheet1!AX10*GPMtoMGD</f>
        <v>0</v>
      </c>
      <c r="AZ10" s="101">
        <f>Sheet1!AY10*GPMtoMGD</f>
        <v>0</v>
      </c>
      <c r="BA10" s="101">
        <f>Sheet1!AZ10*GPMtoMGD</f>
        <v>0</v>
      </c>
      <c r="BB10" s="101">
        <f>Sheet1!BP10*GPMtoMGD</f>
        <v>0</v>
      </c>
      <c r="BC10" s="101">
        <f>Sheet1!CO10*GPMtoMGD</f>
        <v>1.4688E-2</v>
      </c>
      <c r="BD10" s="101">
        <f>Sheet1!BO10*GPMtoMGD</f>
        <v>1.5533280000000003</v>
      </c>
      <c r="BE10" s="101">
        <f>Sheet1!BV10*GPMtoMGD</f>
        <v>0.65505599999999997</v>
      </c>
      <c r="BF10" s="101">
        <f>Sheet1!CJ10*GPMtoMGD</f>
        <v>0.35712000000000005</v>
      </c>
      <c r="BG10" s="101">
        <f>Sheet1!CK10*GPMtoMGD</f>
        <v>0.55670400000000009</v>
      </c>
      <c r="BH10" s="101">
        <f>Sheet1!CL10*GPMtoMGD</f>
        <v>0.67564800000000003</v>
      </c>
      <c r="BI10" s="101">
        <f t="shared" si="4"/>
        <v>1.5533280000000003</v>
      </c>
      <c r="BK10" s="106">
        <f>SUM(AT10:BA10,BE10,Sheet1!BU10,'Calculations II'!BC10,Calculation!AG10)</f>
        <v>43.185930080510133</v>
      </c>
      <c r="BM10" s="439">
        <f>IF(AND(Sheet1!BQ10&lt;=11.5,Sheet1!BQ9&gt;Sheet1!BQ10),(MIN(Lookup!$C$119,VLOOKUP(Sheet1!BQ9,Lookup!$B$4:$J$236,2))-VLOOKUP(Sheet1!BQ10,Lookup!$B$4:$J$236,2))/1000000,0)</f>
        <v>0</v>
      </c>
      <c r="BN10" s="439">
        <f>IF(AND(Sheet1!BR10&lt;=11.5,Sheet1!BR9&gt;Sheet1!BR10),(MIN(Lookup!$D$119,VLOOKUP(Sheet1!BR9,Lookup!$B$4:$J$236,3))-VLOOKUP(Sheet1!BR10,Lookup!$B$4:$J$236,3))/1000000,0)</f>
        <v>0</v>
      </c>
      <c r="BP10" s="105">
        <f>SUM(BM10:BN10,W10,Sheet1!DT10)</f>
        <v>0</v>
      </c>
    </row>
    <row r="11" spans="1:256" s="101" customFormat="1">
      <c r="A11" s="101" t="s">
        <v>4</v>
      </c>
      <c r="B11" s="103">
        <v>40540</v>
      </c>
      <c r="C11" s="104">
        <v>0.33333333333357601</v>
      </c>
      <c r="E11" s="30"/>
      <c r="F11" s="30">
        <f>-(VLOOKUP(Sheet1!BZ11,Lookup!$I$4:$J$216,2)-VLOOKUP(Sheet1!BZ10,Lookup!$I$4:$J$216,2))/1000000</f>
        <v>0</v>
      </c>
      <c r="G11" s="106">
        <f>-$G$6*(Sheet1!CB11-Sheet1!CB10)*7.48/1000000</f>
        <v>0</v>
      </c>
      <c r="H11" s="106">
        <f>-$H$6*(Sheet1!CA11-Sheet1!CA10)*7.48/1000000</f>
        <v>0</v>
      </c>
      <c r="I11" s="106">
        <f>-$I$6*(Sheet1!CC11-Sheet1!CC10)*7.48/1000000</f>
        <v>-1.7991508428027141E-2</v>
      </c>
      <c r="J11" s="107" t="s">
        <v>193</v>
      </c>
      <c r="K11" s="106">
        <f>-$I$6*(Sheet1!CD11-Sheet1!CD10)*7.48/1000000</f>
        <v>0</v>
      </c>
      <c r="L11" s="107" t="s">
        <v>193</v>
      </c>
      <c r="M11" s="106">
        <f>-$M$6*(Sheet1!CE11-Sheet1!CE10)*7.48/1000000</f>
        <v>0</v>
      </c>
      <c r="N11" s="106">
        <f>-$N$6*(Sheet1!CF11-Sheet1!CF10)*7.48/1000000</f>
        <v>0</v>
      </c>
      <c r="O11" s="106">
        <f t="shared" si="0"/>
        <v>-1.7991508428027141E-2</v>
      </c>
      <c r="P11" s="106">
        <f>O11+Calculation!EI11</f>
        <v>-1.7991508428027141E-2</v>
      </c>
      <c r="Q11" s="101" t="str">
        <f>IF(Sheet1!BQ11&gt;21.75,"spill elevation","-")</f>
        <v>-</v>
      </c>
      <c r="R11" s="101" t="str">
        <f>IF(Sheet1!BR11&gt;21.75,"spill elevation","-")</f>
        <v>-</v>
      </c>
      <c r="S11" s="101" t="str">
        <f>IF(Sheet1!BS11&gt;21.75,"spill elevation","-")</f>
        <v>-</v>
      </c>
      <c r="T11" s="105">
        <f>IF(Sheet1!DQ11=1,Sheet1!AA11-(SUM(AT11:BA11)+BE11),Sheet1!AA11-SUM(AT11:BA11))</f>
        <v>24.767935999999999</v>
      </c>
      <c r="U11" s="105">
        <f>Sheet1!BU11</f>
        <v>23.4</v>
      </c>
      <c r="V11" s="105">
        <f t="shared" si="1"/>
        <v>1.3679360000000003</v>
      </c>
      <c r="W11" s="105">
        <f t="shared" si="2"/>
        <v>0</v>
      </c>
      <c r="X11" s="101">
        <f>IF((Sheet1!EX11-Sheet1!EX10)&lt;0,(Sheet1!EX11+100000-Sheet1!EX10)/1000,(Sheet1!EX11-Sheet1!EX10)/1000)</f>
        <v>0.76900000000000002</v>
      </c>
      <c r="Y11" s="106">
        <f>Calculation!DZ12+Calculation!EI11+'Calculations II'!O11-'Calculations II'!W11</f>
        <v>51.722008491584489</v>
      </c>
      <c r="Z11" s="106">
        <f>Y11-Sheet1!CP12</f>
        <v>36.812008491584493</v>
      </c>
      <c r="AA11" s="106">
        <f>Y11+Calculation!CZ12+Calculation!AI12</f>
        <v>54.703734379909903</v>
      </c>
      <c r="AC11" s="106">
        <f>Sheet1!AA11+Sheet1!AB11+BC11</f>
        <v>47.899999999994179</v>
      </c>
      <c r="AD11" s="106">
        <f>Sheet1!AA11+Sheet1!BN11+'Calculations II'!BC11-Calculation!AI11-Calculation!CZ11</f>
        <v>39.666065795404457</v>
      </c>
      <c r="AE11" s="106">
        <f>Sheet1!AA11+Sheet1!AB11+'Calculations II'!BC11-Calculation!AI11-Calculation!CZ11</f>
        <v>43.666065795398637</v>
      </c>
      <c r="AF11" s="106">
        <f>Sheet1!AA11+Sheet1!BN11+P11+'Calculations II'!BC11+Calculation!AI11+Calculation!CZ11</f>
        <v>48.115942696167515</v>
      </c>
      <c r="AG11" s="106">
        <f>Sheet1!AA11+Sheet1!BN11+'Calculations II'!BC11+'Calculations II'!P11-Sheet1!CP11-BP11</f>
        <v>27.902008491571973</v>
      </c>
      <c r="AH11" s="106">
        <f>Sheet1!AA11+Sheet1!BN11+'Calculations II'!BC11+'Calculations II'!P11-BP11</f>
        <v>43.882008491571973</v>
      </c>
      <c r="AI11" s="106">
        <f>BC11+Sheet1!AA11+Calculation!EI11+O11+W11+Sheet1!BN11+Calculation!AI11+Calculation!CZ11-BP11</f>
        <v>48.115942696167508</v>
      </c>
      <c r="AJ11" s="106"/>
      <c r="AM11" s="102">
        <f t="shared" si="3"/>
        <v>40540</v>
      </c>
      <c r="AN11" s="106"/>
      <c r="AO11" s="106"/>
      <c r="AR11" s="106"/>
      <c r="AT11" s="101">
        <f>Sheet1!AR11*GPMtoMGD</f>
        <v>0</v>
      </c>
      <c r="AU11" s="101">
        <f>Sheet1!AS11*GPMtoMGD</f>
        <v>5.1695999999999999E-2</v>
      </c>
      <c r="AV11" s="101">
        <f>Sheet1!AT11*GPMtoMGD</f>
        <v>0</v>
      </c>
      <c r="AW11" s="101">
        <f>Sheet1!AV11*GPMtoMGD</f>
        <v>0.56001599999999996</v>
      </c>
      <c r="AX11" s="101">
        <f>Sheet1!AW11*GPMtoMGD</f>
        <v>0.62035200000000001</v>
      </c>
      <c r="AY11" s="101">
        <f>Sheet1!AX11*GPMtoMGD</f>
        <v>0</v>
      </c>
      <c r="AZ11" s="101">
        <f>Sheet1!AY11*GPMtoMGD</f>
        <v>0</v>
      </c>
      <c r="BA11" s="101">
        <f>Sheet1!AZ11*GPMtoMGD</f>
        <v>0</v>
      </c>
      <c r="BB11" s="101">
        <f>Sheet1!BP11*GPMtoMGD</f>
        <v>0</v>
      </c>
      <c r="BC11" s="101">
        <f>Sheet1!CO11*GPMtoMGD</f>
        <v>0</v>
      </c>
      <c r="BD11" s="101">
        <f>Sheet1!BO11*GPMtoMGD</f>
        <v>2.6566560000000004</v>
      </c>
      <c r="BE11" s="101">
        <f>Sheet1!BV11*GPMtoMGD</f>
        <v>0.62208000000000008</v>
      </c>
      <c r="BF11" s="101">
        <f>Sheet1!CJ11*GPMtoMGD</f>
        <v>0.39326400000000006</v>
      </c>
      <c r="BG11" s="101">
        <f>Sheet1!CK11*GPMtoMGD</f>
        <v>0.56476800000000005</v>
      </c>
      <c r="BH11" s="101">
        <f>Sheet1!CL11*GPMtoMGD</f>
        <v>0.68702400000000008</v>
      </c>
      <c r="BI11" s="101">
        <f t="shared" si="4"/>
        <v>2.6566560000000004</v>
      </c>
      <c r="BK11" s="106">
        <f>SUM(AT11:BA11,BE11,Sheet1!BU11,'Calculations II'!BC11,Calculation!AG11)</f>
        <v>42.920209795398634</v>
      </c>
      <c r="BM11" s="439">
        <f>IF(AND(Sheet1!BQ11&lt;=11.5,Sheet1!BQ10&gt;Sheet1!BQ11),(MIN(Lookup!$C$119,VLOOKUP(Sheet1!BQ10,Lookup!$B$4:$J$236,2))-VLOOKUP(Sheet1!BQ11,Lookup!$B$4:$J$236,2))/1000000,0)</f>
        <v>0</v>
      </c>
      <c r="BN11" s="439">
        <f>IF(AND(Sheet1!BR11&lt;=11.5,Sheet1!BR10&gt;Sheet1!BR11),(MIN(Lookup!$D$119,VLOOKUP(Sheet1!BR10,Lookup!$B$4:$J$236,3))-VLOOKUP(Sheet1!BR11,Lookup!$B$4:$J$236,3))/1000000,0)</f>
        <v>0</v>
      </c>
      <c r="BP11" s="105">
        <f>SUM(BM11:BN11,W11,Sheet1!DT11)</f>
        <v>0</v>
      </c>
    </row>
    <row r="12" spans="1:256" s="101" customFormat="1">
      <c r="A12" s="101" t="s">
        <v>5</v>
      </c>
      <c r="B12" s="103">
        <v>40541</v>
      </c>
      <c r="C12" s="104">
        <v>0.33333333333357601</v>
      </c>
      <c r="E12" s="30"/>
      <c r="F12" s="30">
        <f>-(VLOOKUP(Sheet1!BZ12,Lookup!$I$4:$J$216,2)-VLOOKUP(Sheet1!BZ11,Lookup!$I$4:$J$216,2))/1000000</f>
        <v>0</v>
      </c>
      <c r="G12" s="106">
        <f>-$G$6*(Sheet1!CB12-Sheet1!CB11)*7.48/1000000</f>
        <v>0.31770800842047398</v>
      </c>
      <c r="H12" s="106">
        <f>-$H$6*(Sheet1!CA12-Sheet1!CA11)*7.48/1000000</f>
        <v>0.21055205291771062</v>
      </c>
      <c r="I12" s="106">
        <f>-$I$6*(Sheet1!CC12-Sheet1!CC11)*7.48/1000000</f>
        <v>-0.50376223598475733</v>
      </c>
      <c r="J12" s="107" t="s">
        <v>193</v>
      </c>
      <c r="K12" s="106">
        <f>-$I$6*(Sheet1!CD12-Sheet1!CD11)*7.48/1000000</f>
        <v>-0.52175374441278444</v>
      </c>
      <c r="L12" s="107" t="s">
        <v>193</v>
      </c>
      <c r="M12" s="106">
        <f>-$M$6*(Sheet1!CE12-Sheet1!CE11)*7.48/1000000</f>
        <v>-0.19323629085929486</v>
      </c>
      <c r="N12" s="106">
        <f>-$N$6*(Sheet1!CF12-Sheet1!CF11)*7.48/1000000</f>
        <v>0.12410469078924735</v>
      </c>
      <c r="O12" s="106">
        <f t="shared" si="0"/>
        <v>-0.56638751912940466</v>
      </c>
      <c r="P12" s="106">
        <f>O12+Calculation!EI12</f>
        <v>-3.2687519129404596E-2</v>
      </c>
      <c r="Q12" s="101" t="str">
        <f>IF(Sheet1!BQ12&gt;21.75,"spill elevation","-")</f>
        <v>-</v>
      </c>
      <c r="R12" s="101" t="str">
        <f>IF(Sheet1!BR12&gt;21.75,"spill elevation","-")</f>
        <v>-</v>
      </c>
      <c r="S12" s="101" t="str">
        <f>IF(Sheet1!BS12&gt;21.75,"spill elevation","-")</f>
        <v>-</v>
      </c>
      <c r="T12" s="105">
        <f>IF(Sheet1!DQ12=1,Sheet1!AA12-(SUM(AT12:BA12)+BE12),Sheet1!AA12-SUM(AT12:BA12))</f>
        <v>26.373744000008148</v>
      </c>
      <c r="U12" s="105">
        <f>Sheet1!BU12</f>
        <v>21</v>
      </c>
      <c r="V12" s="105">
        <f t="shared" si="1"/>
        <v>5.3737440000081484</v>
      </c>
      <c r="W12" s="105">
        <f t="shared" si="2"/>
        <v>0</v>
      </c>
      <c r="X12" s="101">
        <f>IF((Sheet1!EX12-Sheet1!EX11)&lt;0,(Sheet1!EX12+100000-Sheet1!EX11)/1000,(Sheet1!EX12-Sheet1!EX11)/1000)</f>
        <v>0.77600000000000002</v>
      </c>
      <c r="Y12" s="106">
        <f>Calculation!DZ13+Calculation!EI12+'Calculations II'!O12-'Calculations II'!W12</f>
        <v>52.287312480870305</v>
      </c>
      <c r="Z12" s="106">
        <f>Y12-Sheet1!CP13</f>
        <v>37.497312480870306</v>
      </c>
      <c r="AA12" s="106">
        <f>Y12+Calculation!CZ13+Calculation!AI13</f>
        <v>60.496435134732707</v>
      </c>
      <c r="AC12" s="106">
        <f>Sheet1!AA12+Sheet1!AB12+BC12</f>
        <v>51.740000000012515</v>
      </c>
      <c r="AD12" s="106">
        <f>Sheet1!AA12+Sheet1!BN12+'Calculations II'!BC12-Calculation!AI12-Calculation!CZ12</f>
        <v>43.558274111682735</v>
      </c>
      <c r="AE12" s="106">
        <f>Sheet1!AA12+Sheet1!AB12+'Calculations II'!BC12-Calculation!AI12-Calculation!CZ12</f>
        <v>48.758274111687101</v>
      </c>
      <c r="AF12" s="106">
        <f>Sheet1!AA12+Sheet1!BN12+P12+'Calculations II'!BC12+Calculation!AI12+Calculation!CZ12</f>
        <v>49.48903836920416</v>
      </c>
      <c r="AG12" s="106">
        <f>Sheet1!AA12+Sheet1!BN12+'Calculations II'!BC12+'Calculations II'!P12-Sheet1!CP12-BP12</f>
        <v>31.597312480878745</v>
      </c>
      <c r="AH12" s="106">
        <f>Sheet1!AA12+Sheet1!BN12+'Calculations II'!BC12+'Calculations II'!P12-BP12</f>
        <v>46.507312480878745</v>
      </c>
      <c r="AI12" s="106">
        <f>BC12+Sheet1!AA12+Calculation!EI12+O12+W12+Sheet1!BN12+Calculation!AI12+Calculation!CZ12-BP12</f>
        <v>49.48903836920416</v>
      </c>
      <c r="AJ12" s="106"/>
      <c r="AM12" s="102">
        <f t="shared" si="3"/>
        <v>40541</v>
      </c>
      <c r="AN12" s="106"/>
      <c r="AO12" s="106"/>
      <c r="AR12" s="106"/>
      <c r="AT12" s="101">
        <f>Sheet1!AR12*GPMtoMGD</f>
        <v>0</v>
      </c>
      <c r="AU12" s="101">
        <f>Sheet1!AS12*GPMtoMGD</f>
        <v>2.8368000000000001E-2</v>
      </c>
      <c r="AV12" s="101">
        <f>Sheet1!AT12*GPMtoMGD</f>
        <v>0</v>
      </c>
      <c r="AW12" s="101">
        <f>Sheet1!AV12*GPMtoMGD</f>
        <v>0.56548799999999999</v>
      </c>
      <c r="AX12" s="101">
        <f>Sheet1!AW12*GPMtoMGD</f>
        <v>0.57240000000000002</v>
      </c>
      <c r="AY12" s="101">
        <f>Sheet1!AX12*GPMtoMGD</f>
        <v>0</v>
      </c>
      <c r="AZ12" s="101">
        <f>Sheet1!AY12*GPMtoMGD</f>
        <v>0</v>
      </c>
      <c r="BA12" s="101">
        <f>Sheet1!AZ12*GPMtoMGD</f>
        <v>0</v>
      </c>
      <c r="BB12" s="101">
        <f>Sheet1!BP12*GPMtoMGD</f>
        <v>0</v>
      </c>
      <c r="BC12" s="101">
        <f>Sheet1!CO12*GPMtoMGD</f>
        <v>0</v>
      </c>
      <c r="BD12" s="101">
        <f>Sheet1!BO12*GPMtoMGD</f>
        <v>2.2514400000000001</v>
      </c>
      <c r="BE12" s="101">
        <f>Sheet1!BV12*GPMtoMGD</f>
        <v>0.91670400000000007</v>
      </c>
      <c r="BF12" s="101">
        <f>Sheet1!CJ12*GPMtoMGD</f>
        <v>0.30398400000000003</v>
      </c>
      <c r="BG12" s="101">
        <f>Sheet1!CK12*GPMtoMGD</f>
        <v>0.5523840000000001</v>
      </c>
      <c r="BH12" s="101">
        <f>Sheet1!CL12*GPMtoMGD</f>
        <v>0.68414400000000009</v>
      </c>
      <c r="BI12" s="101">
        <f t="shared" si="4"/>
        <v>2.2514400000000001</v>
      </c>
      <c r="BK12" s="106">
        <f>SUM(AT12:BA12,BE12,Sheet1!BU12,'Calculations II'!BC12,Calculation!AG12)</f>
        <v>44.301234111678951</v>
      </c>
      <c r="BM12" s="439">
        <f>IF(AND(Sheet1!BQ12&lt;=11.5,Sheet1!BQ11&gt;Sheet1!BQ12),(MIN(Lookup!$C$119,VLOOKUP(Sheet1!BQ11,Lookup!$B$4:$J$236,2))-VLOOKUP(Sheet1!BQ12,Lookup!$B$4:$J$236,2))/1000000,0)</f>
        <v>0</v>
      </c>
      <c r="BN12" s="439">
        <f>IF(AND(Sheet1!BR12&lt;=11.5,Sheet1!BR11&gt;Sheet1!BR12),(MIN(Lookup!$D$119,VLOOKUP(Sheet1!BR11,Lookup!$B$4:$J$236,3))-VLOOKUP(Sheet1!BR12,Lookup!$B$4:$J$236,3))/1000000,0)</f>
        <v>0</v>
      </c>
      <c r="BP12" s="105">
        <f>SUM(BM12:BN12,W12,Sheet1!DT12)</f>
        <v>0</v>
      </c>
    </row>
    <row r="13" spans="1:256" s="101" customFormat="1">
      <c r="A13" s="101" t="s">
        <v>6</v>
      </c>
      <c r="B13" s="103">
        <v>40542</v>
      </c>
      <c r="C13" s="104">
        <v>0.33333333333357601</v>
      </c>
      <c r="E13" s="30"/>
      <c r="F13" s="30">
        <f>-(VLOOKUP(Sheet1!BZ13,Lookup!$I$4:$J$216,2)-VLOOKUP(Sheet1!BZ12,Lookup!$I$4:$J$216,2))/1000000</f>
        <v>0.31091081564340367</v>
      </c>
      <c r="G13" s="106">
        <f>-$G$6*(Sheet1!CB13-Sheet1!CB12)*7.48/1000000</f>
        <v>0.27799450736791548</v>
      </c>
      <c r="H13" s="106">
        <f>-$H$6*(Sheet1!CA13-Sheet1!CA12)*7.48/1000000</f>
        <v>0.19551262056644639</v>
      </c>
      <c r="I13" s="106">
        <f>-$I$6*(Sheet1!CC13-Sheet1!CC12)*7.48/1000000</f>
        <v>-0.30585564327645964</v>
      </c>
      <c r="J13" s="107" t="s">
        <v>193</v>
      </c>
      <c r="K13" s="106">
        <f>-$I$6*(Sheet1!CD13-Sheet1!CD12)*7.48/1000000</f>
        <v>-0.28786413484843265</v>
      </c>
      <c r="L13" s="107" t="s">
        <v>193</v>
      </c>
      <c r="M13" s="106">
        <f>-$M$6*(Sheet1!CE13-Sheet1!CE12)*7.48/1000000</f>
        <v>-0.12660308711471033</v>
      </c>
      <c r="N13" s="106">
        <f>-$N$6*(Sheet1!CF13-Sheet1!CF12)*7.48/1000000</f>
        <v>-6.2052345394623676E-2</v>
      </c>
      <c r="O13" s="106">
        <f t="shared" si="0"/>
        <v>2.0427329435392105E-3</v>
      </c>
      <c r="P13" s="106">
        <f>O13+Calculation!EI13</f>
        <v>-5.3966572670564608</v>
      </c>
      <c r="Q13" s="101" t="str">
        <f>IF(Sheet1!BQ13&gt;21.75,"spill elevation","-")</f>
        <v>-</v>
      </c>
      <c r="R13" s="101" t="str">
        <f>IF(Sheet1!BR13&gt;21.75,"spill elevation","-")</f>
        <v>-</v>
      </c>
      <c r="S13" s="101" t="str">
        <f>IF(Sheet1!BS13&gt;21.75,"spill elevation","-")</f>
        <v>-</v>
      </c>
      <c r="T13" s="105">
        <f>IF(Sheet1!DQ13=1,Sheet1!AA13-(SUM(AT13:BA13)+BE13),Sheet1!AA13-SUM(AT13:BA13))</f>
        <v>28.966912000001166</v>
      </c>
      <c r="U13" s="105">
        <f>Sheet1!BU13</f>
        <v>25.5</v>
      </c>
      <c r="V13" s="105">
        <f t="shared" si="1"/>
        <v>3.4669120000011659</v>
      </c>
      <c r="W13" s="105">
        <f t="shared" si="2"/>
        <v>0</v>
      </c>
      <c r="X13" s="101">
        <f>IF((Sheet1!EX13-Sheet1!EX12)&lt;0,(Sheet1!EX13+100000-Sheet1!EX12)/1000,(Sheet1!EX13-Sheet1!EX12)/1000)</f>
        <v>0.80400000000000005</v>
      </c>
      <c r="Y13" s="106">
        <f>Calculation!DZ14+Calculation!EI13+'Calculations II'!O13-'Calculations II'!W13</f>
        <v>47.443342732940046</v>
      </c>
      <c r="Z13" s="106">
        <f>Y13-Sheet1!CP14</f>
        <v>32.183342732940048</v>
      </c>
      <c r="AA13" s="106">
        <f>Y13+Calculation!CZ14+Calculation!AI14</f>
        <v>55.981631021229447</v>
      </c>
      <c r="AC13" s="106">
        <f>Sheet1!AA13+Sheet1!AB13+BC13</f>
        <v>52.319999999999709</v>
      </c>
      <c r="AD13" s="106">
        <f>Sheet1!AA13+Sheet1!BN13+'Calculations II'!BC13-Calculation!AI13-Calculation!CZ13</f>
        <v>36.410877346138761</v>
      </c>
      <c r="AE13" s="106">
        <f>Sheet1!AA13+Sheet1!AB13+'Calculations II'!BC13-Calculation!AI13-Calculation!CZ13</f>
        <v>44.110877346137308</v>
      </c>
      <c r="AF13" s="106">
        <f>Sheet1!AA13+Sheet1!BN13+P13+'Calculations II'!BC13+Calculation!AI13+Calculation!CZ13</f>
        <v>47.432465386807102</v>
      </c>
      <c r="AG13" s="106">
        <f>Sheet1!AA13+Sheet1!BN13+'Calculations II'!BC13+'Calculations II'!P13-Sheet1!CP13-BP13</f>
        <v>24.433342732944702</v>
      </c>
      <c r="AH13" s="106">
        <f>Sheet1!AA13+Sheet1!BN13+'Calculations II'!BC13+'Calculations II'!P13-BP13</f>
        <v>39.223342732944701</v>
      </c>
      <c r="AI13" s="106">
        <f>BC13+Sheet1!AA13+Calculation!EI13+O13+W13+Sheet1!BN13+Calculation!AI13+Calculation!CZ13-BP13</f>
        <v>47.43246538680711</v>
      </c>
      <c r="AJ13" s="106"/>
      <c r="AM13" s="102">
        <f t="shared" si="3"/>
        <v>40542</v>
      </c>
      <c r="AN13" s="106"/>
      <c r="AO13" s="106"/>
      <c r="AR13" s="106"/>
      <c r="AT13" s="101">
        <f>Sheet1!AR13*GPMtoMGD</f>
        <v>0</v>
      </c>
      <c r="AU13" s="101">
        <f>Sheet1!AS13*GPMtoMGD</f>
        <v>5.5584000000000008E-2</v>
      </c>
      <c r="AV13" s="101">
        <f>Sheet1!AT13*GPMtoMGD</f>
        <v>0</v>
      </c>
      <c r="AW13" s="101">
        <f>Sheet1!AV13*GPMtoMGD</f>
        <v>0.61675200000000008</v>
      </c>
      <c r="AX13" s="101">
        <f>Sheet1!AW13*GPMtoMGD</f>
        <v>0.58075200000000005</v>
      </c>
      <c r="AY13" s="101">
        <f>Sheet1!AX13*GPMtoMGD</f>
        <v>0</v>
      </c>
      <c r="AZ13" s="101">
        <f>Sheet1!AY13*GPMtoMGD</f>
        <v>0</v>
      </c>
      <c r="BA13" s="101">
        <f>Sheet1!AZ13*GPMtoMGD</f>
        <v>0</v>
      </c>
      <c r="BB13" s="101">
        <f>Sheet1!BP13*GPMtoMGD</f>
        <v>0</v>
      </c>
      <c r="BC13" s="101">
        <f>Sheet1!CO13*GPMtoMGD</f>
        <v>0</v>
      </c>
      <c r="BD13" s="101">
        <f>Sheet1!BO13*GPMtoMGD</f>
        <v>0.80827199999999999</v>
      </c>
      <c r="BE13" s="101">
        <f>Sheet1!BV13*GPMtoMGD</f>
        <v>0.84729600000000005</v>
      </c>
      <c r="BF13" s="101">
        <f>Sheet1!CJ13*GPMtoMGD</f>
        <v>0.27230399999999999</v>
      </c>
      <c r="BG13" s="101">
        <f>Sheet1!CK13*GPMtoMGD</f>
        <v>0.55728</v>
      </c>
      <c r="BH13" s="101">
        <f>Sheet1!CL13*GPMtoMGD</f>
        <v>0.69235200000000008</v>
      </c>
      <c r="BI13" s="101">
        <f t="shared" si="4"/>
        <v>0.80827199999999999</v>
      </c>
      <c r="BK13" s="106">
        <f>SUM(AT13:BA13,BE13,Sheet1!BU13,'Calculations II'!BC13,Calculation!AG13)</f>
        <v>41.491261346136142</v>
      </c>
      <c r="BM13" s="439">
        <f>IF(AND(Sheet1!BQ13&lt;=11.5,Sheet1!BQ12&gt;Sheet1!BQ13),(MIN(Lookup!$C$119,VLOOKUP(Sheet1!BQ12,Lookup!$B$4:$J$236,2))-VLOOKUP(Sheet1!BQ13,Lookup!$B$4:$J$236,2))/1000000,0)</f>
        <v>0</v>
      </c>
      <c r="BN13" s="439">
        <f>IF(AND(Sheet1!BR13&lt;=11.5,Sheet1!BR12&gt;Sheet1!BR13),(MIN(Lookup!$D$119,VLOOKUP(Sheet1!BR12,Lookup!$B$4:$J$236,3))-VLOOKUP(Sheet1!BR13,Lookup!$B$4:$J$236,3))/1000000,0)</f>
        <v>0</v>
      </c>
      <c r="BP13" s="105">
        <f>SUM(BM13:BN13,W13,Sheet1!DT13)</f>
        <v>0</v>
      </c>
    </row>
    <row r="14" spans="1:256" s="101" customFormat="1">
      <c r="A14" s="101" t="s">
        <v>7</v>
      </c>
      <c r="B14" s="103">
        <v>40543</v>
      </c>
      <c r="C14" s="104">
        <v>0.33333333333357701</v>
      </c>
      <c r="E14" s="30"/>
      <c r="F14" s="30">
        <f>-(VLOOKUP(Sheet1!BZ14,Lookup!$I$4:$J$216,2)-VLOOKUP(Sheet1!BZ13,Lookup!$I$4:$J$216,2))/1000000</f>
        <v>-0.82909550838240054</v>
      </c>
      <c r="G14" s="106">
        <f>-$G$6*(Sheet1!CB14-Sheet1!CB13)*7.48/1000000</f>
        <v>0.31770800842047398</v>
      </c>
      <c r="H14" s="106">
        <f>-$H$6*(Sheet1!CA14-Sheet1!CA13)*7.48/1000000</f>
        <v>0.21055205291771062</v>
      </c>
      <c r="I14" s="106">
        <f>-$I$6*(Sheet1!CC14-Sheet1!CC13)*7.48/1000000</f>
        <v>0.68367732026502759</v>
      </c>
      <c r="J14" s="107" t="s">
        <v>193</v>
      </c>
      <c r="K14" s="106">
        <f>-$I$6*(Sheet1!CD14-Sheet1!CD13)*7.48/1000000</f>
        <v>0.70166882869305491</v>
      </c>
      <c r="L14" s="107" t="s">
        <v>193</v>
      </c>
      <c r="M14" s="106">
        <f>-$M$6*(Sheet1!CE14-Sheet1!CE13)*7.48/1000000</f>
        <v>0.25320617422942077</v>
      </c>
      <c r="N14" s="106">
        <f>-$N$6*(Sheet1!CF14-Sheet1!CF13)*7.48/1000000</f>
        <v>-0.18615703618387214</v>
      </c>
      <c r="O14" s="106">
        <f t="shared" si="0"/>
        <v>1.1515598399594151</v>
      </c>
      <c r="P14" s="106">
        <f>O14+Calculation!EI14</f>
        <v>2.7735598399594155</v>
      </c>
      <c r="Q14" s="101" t="str">
        <f>IF(Sheet1!BQ14&gt;21.75,"spill elevation","-")</f>
        <v>-</v>
      </c>
      <c r="R14" s="101" t="str">
        <f>IF(Sheet1!BR14&gt;21.75,"spill elevation","-")</f>
        <v>-</v>
      </c>
      <c r="S14" s="101" t="str">
        <f>IF(Sheet1!BS14&gt;21.75,"spill elevation","-")</f>
        <v>-</v>
      </c>
      <c r="T14" s="105">
        <f>IF(Sheet1!DQ14=1,Sheet1!AA14-(SUM(AT14:BA14)+BE14),Sheet1!AA14-SUM(AT14:BA14))</f>
        <v>29.003951999993596</v>
      </c>
      <c r="U14" s="105">
        <f>Sheet1!BU14</f>
        <v>27.2</v>
      </c>
      <c r="V14" s="105">
        <f>T14-U14</f>
        <v>1.8039519999935969</v>
      </c>
      <c r="W14" s="105">
        <f t="shared" si="2"/>
        <v>0</v>
      </c>
      <c r="X14" s="101">
        <f>IF((Sheet1!EX14-Sheet1!EX13)&lt;0,(Sheet1!EX14+100000-Sheet1!EX13)/1000,(Sheet1!EX14-Sheet1!EX13)/1000)</f>
        <v>0.81399999999999995</v>
      </c>
      <c r="Y14" s="106">
        <f>Calculation!DZ15+Calculation!EI14+'Calculations II'!O14-'Calculations II'!W14</f>
        <v>55.773559839959418</v>
      </c>
      <c r="Z14" s="106">
        <f>Y14-Sheet1!CP15</f>
        <v>39.813559839959417</v>
      </c>
      <c r="AA14" s="106">
        <f>Y14+Calculation!CZ15+Calculation!AI15</f>
        <v>64.356360380254358</v>
      </c>
      <c r="AC14" s="106">
        <f>Sheet1!AA14+Sheet1!AB14+BC14</f>
        <v>52.839999999996508</v>
      </c>
      <c r="AD14" s="106">
        <f>Sheet1!AA14+Sheet1!BN14+'Calculations II'!BC14-Calculation!AI14-Calculation!CZ14</f>
        <v>35.701711711704199</v>
      </c>
      <c r="AE14" s="106">
        <f>Sheet1!AA14+Sheet1!AB14+'Calculations II'!BC14-Calculation!AI14-Calculation!CZ14</f>
        <v>44.301711711707107</v>
      </c>
      <c r="AF14" s="106">
        <f>Sheet1!AA14+Sheet1!BN14+P14+'Calculations II'!BC14+Calculation!AI14+Calculation!CZ14</f>
        <v>55.551848128242419</v>
      </c>
      <c r="AG14" s="106">
        <f>Sheet1!AA14+Sheet1!BN14+'Calculations II'!BC14+'Calculations II'!P14-Sheet1!CP14-BP14</f>
        <v>31.75355983995302</v>
      </c>
      <c r="AH14" s="106">
        <f>Sheet1!AA14+Sheet1!BN14+'Calculations II'!BC14+'Calculations II'!P14-BP14</f>
        <v>47.013559839953018</v>
      </c>
      <c r="AI14" s="106">
        <f>BC14+Sheet1!AA14+Calculation!EI14+O14+W14+Sheet1!BN14+Calculation!AI14+Calculation!CZ14-BP14</f>
        <v>55.551848128242419</v>
      </c>
      <c r="AJ14" s="106"/>
      <c r="AM14" s="102">
        <f t="shared" si="3"/>
        <v>40543</v>
      </c>
      <c r="AN14" s="106"/>
      <c r="AO14" s="106"/>
      <c r="AR14" s="106"/>
      <c r="AT14" s="101">
        <f>Sheet1!AR14*GPMtoMGD</f>
        <v>0</v>
      </c>
      <c r="AU14" s="101">
        <f>Sheet1!AS14*GPMtoMGD</f>
        <v>2.7648000000000002E-2</v>
      </c>
      <c r="AV14" s="101">
        <f>Sheet1!AT14*GPMtoMGD</f>
        <v>0</v>
      </c>
      <c r="AW14" s="101">
        <f>Sheet1!AV14*GPMtoMGD</f>
        <v>0.72835200000000011</v>
      </c>
      <c r="AX14" s="101">
        <f>Sheet1!AW14*GPMtoMGD</f>
        <v>0.78004800000000007</v>
      </c>
      <c r="AY14" s="101">
        <f>Sheet1!AX14*GPMtoMGD</f>
        <v>0</v>
      </c>
      <c r="AZ14" s="101">
        <f>Sheet1!AY14*GPMtoMGD</f>
        <v>0</v>
      </c>
      <c r="BA14" s="101">
        <f>Sheet1!AZ14*GPMtoMGD</f>
        <v>0</v>
      </c>
      <c r="BB14" s="101">
        <f>Sheet1!BP14*GPMtoMGD</f>
        <v>0</v>
      </c>
      <c r="BC14" s="101">
        <f>Sheet1!CO14*GPMtoMGD</f>
        <v>0</v>
      </c>
      <c r="BD14" s="101">
        <f>Sheet1!BO14*GPMtoMGD</f>
        <v>1.5675839999999999</v>
      </c>
      <c r="BE14" s="101">
        <f>Sheet1!BV14*GPMtoMGD</f>
        <v>0.55036799999999997</v>
      </c>
      <c r="BF14" s="101">
        <f>Sheet1!CJ14*GPMtoMGD</f>
        <v>0.43012800000000001</v>
      </c>
      <c r="BG14" s="101">
        <f>Sheet1!CK14*GPMtoMGD</f>
        <v>0.59284800000000004</v>
      </c>
      <c r="BH14" s="101">
        <f>Sheet1!CL14*GPMtoMGD</f>
        <v>0.69854400000000005</v>
      </c>
      <c r="BI14" s="101">
        <f t="shared" si="4"/>
        <v>1.5675839999999999</v>
      </c>
      <c r="BK14" s="106">
        <f>SUM(AT14:BA14,BE14,Sheet1!BU14,'Calculations II'!BC14,Calculation!AG14)</f>
        <v>43.048127711713505</v>
      </c>
      <c r="BM14" s="439">
        <f>IF(AND(Sheet1!BQ14&lt;=11.5,Sheet1!BQ13&gt;Sheet1!BQ14),(MIN(Lookup!$C$119,VLOOKUP(Sheet1!BQ13,Lookup!$B$4:$J$236,2))-VLOOKUP(Sheet1!BQ14,Lookup!$B$4:$J$236,2))/1000000,0)</f>
        <v>0</v>
      </c>
      <c r="BN14" s="439">
        <f>IF(AND(Sheet1!BR14&lt;=11.5,Sheet1!BR13&gt;Sheet1!BR14),(MIN(Lookup!$D$119,VLOOKUP(Sheet1!BR13,Lookup!$B$4:$J$236,3))-VLOOKUP(Sheet1!BR14,Lookup!$B$4:$J$236,3))/1000000,0)</f>
        <v>0</v>
      </c>
      <c r="BP14" s="105">
        <f>SUM(BM14:BN14,W14,Sheet1!DT14)</f>
        <v>0</v>
      </c>
    </row>
    <row r="15" spans="1:256" s="101" customFormat="1">
      <c r="A15" s="101" t="s">
        <v>8</v>
      </c>
      <c r="B15" s="103">
        <v>40544</v>
      </c>
      <c r="C15" s="104">
        <v>0.33333333333357701</v>
      </c>
      <c r="E15" s="30"/>
      <c r="F15" s="30">
        <f>-(VLOOKUP(Sheet1!BZ15,Lookup!$I$4:$J$216,2)-VLOOKUP(Sheet1!BZ14,Lookup!$I$4:$J$216,2))/1000000</f>
        <v>0.82909550838240054</v>
      </c>
      <c r="G15" s="106">
        <f>-$G$6*(Sheet1!CB15-Sheet1!CB14)*7.48/1000000</f>
        <v>-1.191405031576779</v>
      </c>
      <c r="H15" s="106">
        <f>-$H$6*(Sheet1!CA15-Sheet1!CA14)*7.48/1000000</f>
        <v>0.10527602645885531</v>
      </c>
      <c r="I15" s="106">
        <f>-$I$6*(Sheet1!CC15-Sheet1!CC14)*7.48/1000000</f>
        <v>0.19790659270829761</v>
      </c>
      <c r="J15" s="107" t="s">
        <v>193</v>
      </c>
      <c r="K15" s="106">
        <f>-$I$6*(Sheet1!CD15-Sheet1!CD14)*7.48/1000000</f>
        <v>0.16192357585224348</v>
      </c>
      <c r="L15" s="107" t="s">
        <v>193</v>
      </c>
      <c r="M15" s="106">
        <f>-$M$6*(Sheet1!CE15-Sheet1!CE14)*7.48/1000000</f>
        <v>8.6623164867959804E-2</v>
      </c>
      <c r="N15" s="106">
        <f>-$N$6*(Sheet1!CF15-Sheet1!CF14)*7.48/1000000</f>
        <v>0.18615703618387214</v>
      </c>
      <c r="O15" s="106">
        <f t="shared" si="0"/>
        <v>0.37557687287684982</v>
      </c>
      <c r="P15" s="106">
        <f>O15+Calculation!EI15</f>
        <v>1.7265768728768498</v>
      </c>
      <c r="Q15" s="101" t="str">
        <f>IF(Sheet1!BQ15&gt;21.75,"spill elevation","-")</f>
        <v>-</v>
      </c>
      <c r="R15" s="101" t="str">
        <f>IF(Sheet1!BR15&gt;21.75,"spill elevation","-")</f>
        <v>-</v>
      </c>
      <c r="S15" s="101" t="str">
        <f>IF(Sheet1!BS15&gt;21.75,"spill elevation","-")</f>
        <v>-</v>
      </c>
      <c r="T15" s="105">
        <f>IF(Sheet1!DQ15=1,Sheet1!AA15-(SUM(AT15:BA15)+BE15),Sheet1!AA15-SUM(AT15:BA15))</f>
        <v>29.184624000005819</v>
      </c>
      <c r="U15" s="105">
        <f>Sheet1!BU15</f>
        <v>28.4</v>
      </c>
      <c r="V15" s="105">
        <f>T15-U15</f>
        <v>0.78462400000582022</v>
      </c>
      <c r="W15" s="105">
        <f t="shared" si="2"/>
        <v>0</v>
      </c>
      <c r="X15" s="101">
        <f>IF((Sheet1!EX15-Sheet1!EX14)&lt;0,(Sheet1!EX15+100000-Sheet1!EX14)/1000,(Sheet1!EX15-Sheet1!EX14)/1000)</f>
        <v>0.82699999999999996</v>
      </c>
      <c r="Y15" s="106">
        <f>Calculation!DZ16+Calculation!EI15+'Calculations II'!O15-'Calculations II'!W15</f>
        <v>54.076576872882669</v>
      </c>
      <c r="Z15" s="106">
        <f>Y15-Sheet1!CP16</f>
        <v>38.216576872882669</v>
      </c>
      <c r="AA15" s="106">
        <f>Y15+Calculation!CZ16+Calculation!AI16</f>
        <v>62.582727935752388</v>
      </c>
      <c r="AC15" s="106">
        <f>Sheet1!AA15+Sheet1!AB15+BC15</f>
        <v>53</v>
      </c>
      <c r="AD15" s="106">
        <f>Sheet1!AA15+Sheet1!BN15+'Calculations II'!BC15-Calculation!AI15-Calculation!CZ15</f>
        <v>35.717199459710891</v>
      </c>
      <c r="AE15" s="106">
        <f>Sheet1!AA15+Sheet1!AB15+'Calculations II'!BC15-Calculation!AI15-Calculation!CZ15</f>
        <v>44.417199459705067</v>
      </c>
      <c r="AF15" s="106">
        <f>Sheet1!AA15+Sheet1!BN15+P15+'Calculations II'!BC15+Calculation!AI15+Calculation!CZ15</f>
        <v>54.609377413177604</v>
      </c>
      <c r="AG15" s="106">
        <f>Sheet1!AA15+Sheet1!BN15+'Calculations II'!BC15+'Calculations II'!P15-Sheet1!CP15-BP15</f>
        <v>30.066576872882671</v>
      </c>
      <c r="AH15" s="106">
        <f>Sheet1!AA15+Sheet1!BN15+'Calculations II'!BC15+'Calculations II'!P15-BP15</f>
        <v>46.026576872882671</v>
      </c>
      <c r="AI15" s="106">
        <f>BC15+Sheet1!AA15+Calculation!EI15+O15+W15+Sheet1!BN15+Calculation!AI15+Calculation!CZ15-BP15</f>
        <v>54.609377413177604</v>
      </c>
      <c r="AJ15" s="106"/>
      <c r="AM15" s="102">
        <f t="shared" si="3"/>
        <v>40544</v>
      </c>
      <c r="AN15" s="106"/>
      <c r="AO15" s="106"/>
      <c r="AR15" s="106"/>
      <c r="AT15" s="101">
        <f>Sheet1!AR15*GPMtoMGD</f>
        <v>0</v>
      </c>
      <c r="AU15" s="101">
        <f>Sheet1!AS15*GPMtoMGD</f>
        <v>5.3424000000000006E-2</v>
      </c>
      <c r="AV15" s="101">
        <f>Sheet1!AT15*GPMtoMGD</f>
        <v>0</v>
      </c>
      <c r="AW15" s="101">
        <f>Sheet1!AV15*GPMtoMGD</f>
        <v>0.64281600000000005</v>
      </c>
      <c r="AX15" s="101">
        <f>Sheet1!AW15*GPMtoMGD</f>
        <v>0.719136</v>
      </c>
      <c r="AY15" s="101">
        <f>Sheet1!AX15*GPMtoMGD</f>
        <v>0</v>
      </c>
      <c r="AZ15" s="101">
        <f>Sheet1!AY15*GPMtoMGD</f>
        <v>0</v>
      </c>
      <c r="BA15" s="101">
        <f>Sheet1!AZ15*GPMtoMGD</f>
        <v>0</v>
      </c>
      <c r="BB15" s="101">
        <f>Sheet1!BP15*GPMtoMGD</f>
        <v>0</v>
      </c>
      <c r="BC15" s="101">
        <f>Sheet1!CO15*GPMtoMGD</f>
        <v>0</v>
      </c>
      <c r="BD15" s="101">
        <f>Sheet1!BO15*GPMtoMGD</f>
        <v>2.3630400000000003</v>
      </c>
      <c r="BE15" s="101">
        <f>Sheet1!BV15*GPMtoMGD</f>
        <v>1.486944</v>
      </c>
      <c r="BF15" s="101">
        <f>Sheet1!CJ15*GPMtoMGD</f>
        <v>0.29232000000000002</v>
      </c>
      <c r="BG15" s="101">
        <f>Sheet1!CK15*GPMtoMGD</f>
        <v>0.58032000000000006</v>
      </c>
      <c r="BH15" s="101">
        <f>Sheet1!CL15*GPMtoMGD</f>
        <v>0.64123200000000002</v>
      </c>
      <c r="BI15" s="101">
        <f t="shared" si="4"/>
        <v>2.3630400000000003</v>
      </c>
      <c r="BK15" s="106">
        <f>SUM(AT15:BA15,BE15,Sheet1!BU15,'Calculations II'!BC15,Calculation!AG15)</f>
        <v>45.119519459699241</v>
      </c>
      <c r="BM15" s="439">
        <f>IF(AND(Sheet1!BQ15&lt;=11.5,Sheet1!BQ14&gt;Sheet1!BQ15),(MIN(Lookup!$C$119,VLOOKUP(Sheet1!BQ14,Lookup!$B$4:$J$236,2))-VLOOKUP(Sheet1!BQ15,Lookup!$B$4:$J$236,2))/1000000,0)</f>
        <v>0</v>
      </c>
      <c r="BN15" s="439">
        <f>IF(AND(Sheet1!BR15&lt;=11.5,Sheet1!BR14&gt;Sheet1!BR15),(MIN(Lookup!$D$119,VLOOKUP(Sheet1!BR14,Lookup!$B$4:$J$236,3))-VLOOKUP(Sheet1!BR15,Lookup!$B$4:$J$236,3))/1000000,0)</f>
        <v>0</v>
      </c>
      <c r="BP15" s="105">
        <f>SUM(BM15:BN15,W15,Sheet1!DT15)</f>
        <v>0</v>
      </c>
    </row>
    <row r="16" spans="1:256" s="101" customFormat="1">
      <c r="A16" s="101" t="s">
        <v>9</v>
      </c>
      <c r="B16" s="103">
        <v>40545</v>
      </c>
      <c r="C16" s="104">
        <v>0.33333333333357601</v>
      </c>
      <c r="E16" s="30"/>
      <c r="F16" s="30">
        <f>-(VLOOKUP(Sheet1!BZ16,Lookup!$I$4:$J$216,2)-VLOOKUP(Sheet1!BZ15,Lookup!$I$4:$J$216,2))/1000000</f>
        <v>-0.41454775419120304</v>
      </c>
      <c r="G16" s="106">
        <f>-$G$6*(Sheet1!CB16-Sheet1!CB15)*7.48/1000000</f>
        <v>0.3574215094730338</v>
      </c>
      <c r="H16" s="106">
        <f>-$H$6*(Sheet1!CA16-Sheet1!CA15)*7.48/1000000</f>
        <v>-0.12031545881012057</v>
      </c>
      <c r="I16" s="106">
        <f>-$I$6*(Sheet1!CC16-Sheet1!CC15)*7.48/1000000</f>
        <v>-0.30585564327645981</v>
      </c>
      <c r="J16" s="107" t="s">
        <v>193</v>
      </c>
      <c r="K16" s="106">
        <f>-$I$6*(Sheet1!CD16-Sheet1!CD15)*7.48/1000000</f>
        <v>-0.28786413484843265</v>
      </c>
      <c r="L16" s="107" t="s">
        <v>193</v>
      </c>
      <c r="M16" s="106">
        <f>-$M$6*(Sheet1!CE16-Sheet1!CE15)*7.48/1000000</f>
        <v>-0.11327644636579358</v>
      </c>
      <c r="N16" s="106">
        <f>-$N$6*(Sheet1!CF16-Sheet1!CF15)*7.48/1000000</f>
        <v>-0.24820938157849581</v>
      </c>
      <c r="O16" s="106">
        <f t="shared" si="0"/>
        <v>-1.1326473095974716</v>
      </c>
      <c r="P16" s="106">
        <f>O16+Calculation!EI16</f>
        <v>1.5596526904025283</v>
      </c>
      <c r="Q16" s="101" t="str">
        <f>IF(Sheet1!BQ16&gt;21.75,"spill elevation","-")</f>
        <v>-</v>
      </c>
      <c r="R16" s="101" t="str">
        <f>IF(Sheet1!BR16&gt;21.75,"spill elevation","-")</f>
        <v>-</v>
      </c>
      <c r="S16" s="101" t="str">
        <f>IF(Sheet1!BS16&gt;21.75,"spill elevation","-")</f>
        <v>-</v>
      </c>
      <c r="T16" s="105">
        <f>IF(Sheet1!DQ16=1,Sheet1!AA16-(SUM(AT16:BA16)+BE16),Sheet1!AA16-SUM(AT16:BA16))</f>
        <v>28.608256000000001</v>
      </c>
      <c r="U16" s="105">
        <f>Sheet1!BU16</f>
        <v>29.5</v>
      </c>
      <c r="V16" s="105">
        <f>T16-U16</f>
        <v>-0.8917439999999992</v>
      </c>
      <c r="W16" s="105">
        <f t="shared" si="2"/>
        <v>0</v>
      </c>
      <c r="X16" s="101">
        <f>IF((Sheet1!EX16-Sheet1!EX15)&lt;0,(Sheet1!EX16+100000-Sheet1!EX15)/1000,(Sheet1!EX16-Sheet1!EX15)/1000)</f>
        <v>1.415</v>
      </c>
      <c r="Y16" s="106">
        <f>Calculation!DZ17+Calculation!EI16+'Calculations II'!O16-'Calculations II'!W16</f>
        <v>52.409652690393798</v>
      </c>
      <c r="Z16" s="106">
        <f>Y16-Sheet1!CP17</f>
        <v>37.449652690393798</v>
      </c>
      <c r="AA16" s="106">
        <f>Y16+Calculation!CZ17+Calculation!AI17</f>
        <v>60.647608566125449</v>
      </c>
      <c r="AC16" s="106">
        <f>Sheet1!AA16+Sheet1!AB16+BC16</f>
        <v>52.350000000005821</v>
      </c>
      <c r="AD16" s="106">
        <f>Sheet1!AA16+Sheet1!BN16+'Calculations II'!BC16-Calculation!AI16-Calculation!CZ16</f>
        <v>35.343848937130282</v>
      </c>
      <c r="AE16" s="106">
        <f>Sheet1!AA16+Sheet1!AB16+'Calculations II'!BC16-Calculation!AI16-Calculation!CZ16</f>
        <v>43.843848937136102</v>
      </c>
      <c r="AF16" s="106">
        <f>Sheet1!AA16+Sheet1!BN16+P16+'Calculations II'!BC16+Calculation!AI16+Calculation!CZ16</f>
        <v>53.91580375327225</v>
      </c>
      <c r="AG16" s="106">
        <f>Sheet1!AA16+Sheet1!BN16+'Calculations II'!BC16+'Calculations II'!P16-Sheet1!CP16-BP16</f>
        <v>29.549652690402532</v>
      </c>
      <c r="AH16" s="106">
        <f>Sheet1!AA16+Sheet1!BN16+'Calculations II'!BC16+'Calculations II'!P16-BP16</f>
        <v>45.409652690402531</v>
      </c>
      <c r="AI16" s="106">
        <f>BC16+Sheet1!AA16+Calculation!EI16+O16+W16+Sheet1!BN16+Calculation!AI16+Calculation!CZ16-BP16</f>
        <v>53.91580375327225</v>
      </c>
      <c r="AJ16" s="106"/>
      <c r="AM16" s="102">
        <f t="shared" si="3"/>
        <v>40545</v>
      </c>
      <c r="AN16" s="106"/>
      <c r="AO16" s="106"/>
      <c r="AR16" s="106"/>
      <c r="AT16" s="101">
        <f>Sheet1!AR16*GPMtoMGD</f>
        <v>0</v>
      </c>
      <c r="AU16" s="101">
        <f>Sheet1!AS16*GPMtoMGD</f>
        <v>2.9375999999999999E-2</v>
      </c>
      <c r="AV16" s="101">
        <f>Sheet1!AT16*GPMtoMGD</f>
        <v>0</v>
      </c>
      <c r="AW16" s="101">
        <f>Sheet1!AV16*GPMtoMGD</f>
        <v>0.76636800000000016</v>
      </c>
      <c r="AX16" s="101">
        <f>Sheet1!AW16*GPMtoMGD</f>
        <v>0.84600000000000009</v>
      </c>
      <c r="AY16" s="101">
        <f>Sheet1!AX16*GPMtoMGD</f>
        <v>0</v>
      </c>
      <c r="AZ16" s="101">
        <f>Sheet1!AY16*GPMtoMGD</f>
        <v>0</v>
      </c>
      <c r="BA16" s="101">
        <f>Sheet1!AZ16*GPMtoMGD</f>
        <v>0</v>
      </c>
      <c r="BB16" s="101">
        <f>Sheet1!BP16*GPMtoMGD</f>
        <v>0</v>
      </c>
      <c r="BC16" s="101">
        <f>Sheet1!CO16*GPMtoMGD</f>
        <v>0</v>
      </c>
      <c r="BD16" s="101">
        <f>Sheet1!BO16*GPMtoMGD</f>
        <v>3.0525120000000006</v>
      </c>
      <c r="BE16" s="101">
        <f>Sheet1!BV16*GPMtoMGD</f>
        <v>1.980864</v>
      </c>
      <c r="BF16" s="101">
        <f>Sheet1!CJ16*GPMtoMGD</f>
        <v>0.49665599999999999</v>
      </c>
      <c r="BG16" s="101">
        <f>Sheet1!CK16*GPMtoMGD</f>
        <v>0.64224000000000003</v>
      </c>
      <c r="BH16" s="101">
        <f>Sheet1!CL16*GPMtoMGD</f>
        <v>0.70660800000000001</v>
      </c>
      <c r="BI16" s="101">
        <f t="shared" si="4"/>
        <v>3.0525120000000006</v>
      </c>
      <c r="BK16" s="106">
        <f>SUM(AT16:BA16,BE16,Sheet1!BU16,'Calculations II'!BC16,Calculation!AG16)</f>
        <v>46.716456937136101</v>
      </c>
      <c r="BM16" s="439">
        <f>IF(AND(Sheet1!BQ16&lt;=11.5,Sheet1!BQ15&gt;Sheet1!BQ16),(MIN(Lookup!$C$119,VLOOKUP(Sheet1!BQ15,Lookup!$B$4:$J$236,2))-VLOOKUP(Sheet1!BQ16,Lookup!$B$4:$J$236,2))/1000000,0)</f>
        <v>0</v>
      </c>
      <c r="BN16" s="439">
        <f>IF(AND(Sheet1!BR16&lt;=11.5,Sheet1!BR15&gt;Sheet1!BR16),(MIN(Lookup!$D$119,VLOOKUP(Sheet1!BR15,Lookup!$B$4:$J$236,3))-VLOOKUP(Sheet1!BR16,Lookup!$B$4:$J$236,3))/1000000,0)</f>
        <v>0</v>
      </c>
      <c r="BP16" s="105">
        <f>SUM(BM16:BN16,W16,Sheet1!DT16)</f>
        <v>0</v>
      </c>
    </row>
    <row r="17" spans="1:68" s="101" customFormat="1">
      <c r="A17" s="101" t="s">
        <v>3</v>
      </c>
      <c r="B17" s="103">
        <v>40546</v>
      </c>
      <c r="C17" s="104">
        <v>0.33333333333357601</v>
      </c>
      <c r="E17" s="30"/>
      <c r="F17" s="30">
        <f>-(VLOOKUP(Sheet1!BZ17,Lookup!$I$4:$J$216,2)-VLOOKUP(Sheet1!BZ16,Lookup!$I$4:$J$216,2))/1000000</f>
        <v>-0.72545856983459556</v>
      </c>
      <c r="G17" s="106">
        <f>-$G$6*(Sheet1!CB17-Sheet1!CB16)*7.48/1000000</f>
        <v>0.75455651999862683</v>
      </c>
      <c r="H17" s="106">
        <f>-$H$6*(Sheet1!CA17-Sheet1!CA16)*7.48/1000000</f>
        <v>1.5039432351265274E-2</v>
      </c>
      <c r="I17" s="106">
        <f>-$I$6*(Sheet1!CC17-Sheet1!CC16)*7.48/1000000</f>
        <v>8.9957542140135238E-2</v>
      </c>
      <c r="J17" s="107" t="s">
        <v>193</v>
      </c>
      <c r="K17" s="106">
        <f>-$I$6*(Sheet1!CD17-Sheet1!CD16)*7.48/1000000</f>
        <v>0.10794905056816222</v>
      </c>
      <c r="L17" s="107" t="s">
        <v>193</v>
      </c>
      <c r="M17" s="106">
        <f>-$M$6*(Sheet1!CE17-Sheet1!CE16)*7.48/1000000</f>
        <v>1.3326640748916953E-2</v>
      </c>
      <c r="N17" s="106">
        <f>-$N$6*(Sheet1!CF17-Sheet1!CF16)*7.48/1000000</f>
        <v>0.24820938157849581</v>
      </c>
      <c r="O17" s="106">
        <f t="shared" si="0"/>
        <v>0.50357999755100669</v>
      </c>
      <c r="P17" s="106">
        <f>O17+Calculation!EI17</f>
        <v>5.5672799975510072</v>
      </c>
      <c r="Q17" s="101" t="str">
        <f>IF(Sheet1!BQ17&gt;21.75,"spill elevation","-")</f>
        <v>-</v>
      </c>
      <c r="R17" s="101" t="str">
        <f>IF(Sheet1!BR17&gt;21.75,"spill elevation","-")</f>
        <v>-</v>
      </c>
      <c r="S17" s="101" t="str">
        <f>IF(Sheet1!BS17&gt;21.75,"spill elevation","-")</f>
        <v>-</v>
      </c>
      <c r="T17" s="105">
        <f>IF(Sheet1!DQ17=1,Sheet1!AA17-(SUM(AT17:BA17)+BE17),Sheet1!AA17-SUM(AT17:BA17))</f>
        <v>27.96313599999127</v>
      </c>
      <c r="U17" s="105">
        <f>Sheet1!BU17</f>
        <v>27.9</v>
      </c>
      <c r="V17" s="105">
        <f>T17-U17</f>
        <v>6.3135999991271063E-2</v>
      </c>
      <c r="W17" s="105">
        <f t="shared" si="2"/>
        <v>0</v>
      </c>
      <c r="X17" s="101">
        <f>IF((Sheet1!EX17-Sheet1!EX16)&lt;0,(Sheet1!EX17+100000-Sheet1!EX16)/1000,(Sheet1!EX17-Sheet1!EX16)/1000)</f>
        <v>0.156</v>
      </c>
      <c r="Y17" s="106">
        <f>Calculation!DZ18+Calculation!EI17+'Calculations II'!O17-'Calculations II'!W17</f>
        <v>61.967279997559736</v>
      </c>
      <c r="Z17" s="106">
        <f>Y17-Sheet1!CP18</f>
        <v>46.557279997559732</v>
      </c>
      <c r="AA17" s="106">
        <f>Y17+Calculation!CZ18+Calculation!AI18</f>
        <v>70.48097355788542</v>
      </c>
      <c r="AC17" s="106">
        <f>Sheet1!AA17+Sheet1!AB17+BC17</f>
        <v>50.849999999991269</v>
      </c>
      <c r="AD17" s="106">
        <f>Sheet1!AA17+Sheet1!BN17+'Calculations II'!BC17-Calculation!AI17-Calculation!CZ17</f>
        <v>34.812044124259621</v>
      </c>
      <c r="AE17" s="106">
        <f>Sheet1!AA17+Sheet1!AB17+'Calculations II'!BC17-Calculation!AI17-Calculation!CZ17</f>
        <v>42.612044124259619</v>
      </c>
      <c r="AF17" s="106">
        <f>Sheet1!AA17+Sheet1!BN17+P17+'Calculations II'!BC17+Calculation!AI17+Calculation!CZ17</f>
        <v>56.855235873273926</v>
      </c>
      <c r="AG17" s="106">
        <f>Sheet1!AA17+Sheet1!BN17+'Calculations II'!BC17+'Calculations II'!P17-Sheet1!CP17-BP17</f>
        <v>33.657279997542275</v>
      </c>
      <c r="AH17" s="106">
        <f>Sheet1!AA17+Sheet1!BN17+'Calculations II'!BC17+'Calculations II'!P17-BP17</f>
        <v>48.617279997542276</v>
      </c>
      <c r="AI17" s="106">
        <f>BC17+Sheet1!AA17+Calculation!EI17+O17+W17+Sheet1!BN17+Calculation!AI17+Calculation!CZ17-BP17</f>
        <v>56.855235873273919</v>
      </c>
      <c r="AJ17" s="106"/>
      <c r="AM17" s="102">
        <f t="shared" si="3"/>
        <v>40546</v>
      </c>
      <c r="AN17" s="106"/>
      <c r="AO17" s="106"/>
      <c r="AR17" s="106"/>
      <c r="AT17" s="101">
        <f>Sheet1!AR17*GPMtoMGD</f>
        <v>0</v>
      </c>
      <c r="AU17" s="101">
        <f>Sheet1!AS17*GPMtoMGD</f>
        <v>5.2560000000000003E-2</v>
      </c>
      <c r="AV17" s="101">
        <f>Sheet1!AT17*GPMtoMGD</f>
        <v>0</v>
      </c>
      <c r="AW17" s="101">
        <f>Sheet1!AV17*GPMtoMGD</f>
        <v>0.24292800000000001</v>
      </c>
      <c r="AX17" s="101">
        <f>Sheet1!AW17*GPMtoMGD</f>
        <v>1.0913760000000001</v>
      </c>
      <c r="AY17" s="101">
        <f>Sheet1!AX17*GPMtoMGD</f>
        <v>0</v>
      </c>
      <c r="AZ17" s="101">
        <f>Sheet1!AY17*GPMtoMGD</f>
        <v>0</v>
      </c>
      <c r="BA17" s="101">
        <f>Sheet1!AZ17*GPMtoMGD</f>
        <v>0</v>
      </c>
      <c r="BB17" s="101">
        <f>Sheet1!BP17*GPMtoMGD</f>
        <v>0</v>
      </c>
      <c r="BC17" s="101">
        <f>Sheet1!CO17*GPMtoMGD</f>
        <v>0</v>
      </c>
      <c r="BD17" s="101">
        <f>Sheet1!BO17*GPMtoMGD</f>
        <v>0.82152000000000003</v>
      </c>
      <c r="BE17" s="101">
        <f>Sheet1!BV17*GPMtoMGD</f>
        <v>1.7498880000000001</v>
      </c>
      <c r="BF17" s="101">
        <f>Sheet1!CJ17*GPMtoMGD</f>
        <v>0.48499200000000003</v>
      </c>
      <c r="BG17" s="101">
        <f>Sheet1!CK17*GPMtoMGD</f>
        <v>0.47376000000000001</v>
      </c>
      <c r="BH17" s="101">
        <f>Sheet1!CL17*GPMtoMGD</f>
        <v>0.46843200000000007</v>
      </c>
      <c r="BI17" s="101">
        <f t="shared" si="4"/>
        <v>0.82152000000000003</v>
      </c>
      <c r="BK17" s="106">
        <f>SUM(AT17:BA17,BE17,Sheet1!BU17,'Calculations II'!BC17,Calculation!AG17)</f>
        <v>44.29879612426835</v>
      </c>
      <c r="BM17" s="439">
        <f>IF(AND(Sheet1!BQ17&lt;=11.5,Sheet1!BQ16&gt;Sheet1!BQ17),(MIN(Lookup!$C$119,VLOOKUP(Sheet1!BQ16,Lookup!$B$4:$J$236,2))-VLOOKUP(Sheet1!BQ17,Lookup!$B$4:$J$236,2))/1000000,0)</f>
        <v>0</v>
      </c>
      <c r="BN17" s="439">
        <f>IF(AND(Sheet1!BR17&lt;=11.5,Sheet1!BR16&gt;Sheet1!BR17),(MIN(Lookup!$D$119,VLOOKUP(Sheet1!BR16,Lookup!$B$4:$J$236,3))-VLOOKUP(Sheet1!BR17,Lookup!$B$4:$J$236,3))/1000000,0)</f>
        <v>0</v>
      </c>
      <c r="BP17" s="105">
        <f>SUM(BM17:BN17,W17,Sheet1!DT17)</f>
        <v>0</v>
      </c>
    </row>
    <row r="18" spans="1:68" s="101" customFormat="1">
      <c r="A18" s="101" t="s">
        <v>4</v>
      </c>
      <c r="B18" s="103">
        <v>40547</v>
      </c>
      <c r="C18" s="104">
        <v>0.33333333333357601</v>
      </c>
      <c r="E18" s="30"/>
      <c r="F18" s="30">
        <f>-(VLOOKUP(Sheet1!BZ18,Lookup!$I$4:$J$216,2)-VLOOKUP(Sheet1!BZ17,Lookup!$I$4:$J$216,2))/1000000</f>
        <v>1.4509171396691967</v>
      </c>
      <c r="G18" s="106">
        <f>-$G$6*(Sheet1!CB18-Sheet1!CB17)*7.48/1000000</f>
        <v>-1.1516915305242199</v>
      </c>
      <c r="H18" s="106">
        <f>-$H$6*(Sheet1!CA18-Sheet1!CA17)*7.48/1000000</f>
        <v>1.503943235126474E-2</v>
      </c>
      <c r="I18" s="106">
        <f>-$I$6*(Sheet1!CC18-Sheet1!CC17)*7.48/1000000</f>
        <v>-5.3974525284081108E-2</v>
      </c>
      <c r="J18" s="107" t="s">
        <v>193</v>
      </c>
      <c r="K18" s="106">
        <f>-$I$6*(Sheet1!CD18-Sheet1!CD17)*7.48/1000000</f>
        <v>-7.196603371210826E-2</v>
      </c>
      <c r="L18" s="107" t="s">
        <v>193</v>
      </c>
      <c r="M18" s="106">
        <f>-$M$6*(Sheet1!CE18-Sheet1!CE17)*7.48/1000000</f>
        <v>0</v>
      </c>
      <c r="N18" s="106">
        <f>-$N$6*(Sheet1!CF18-Sheet1!CF17)*7.48/1000000</f>
        <v>0.31026172697311949</v>
      </c>
      <c r="O18" s="106">
        <f t="shared" ref="O18:O26" si="5">SUM(F18:I18)+K18+SUM(M18:N18)</f>
        <v>0.49858620947317167</v>
      </c>
      <c r="P18" s="106">
        <f>O18+Calculation!EI18</f>
        <v>-0.82911379052682843</v>
      </c>
      <c r="Q18" s="101" t="str">
        <f>IF(Sheet1!BQ18&gt;21.75,"spill elevation","-")</f>
        <v>-</v>
      </c>
      <c r="R18" s="101" t="str">
        <f>IF(Sheet1!BR18&gt;21.75,"spill elevation","-")</f>
        <v>-</v>
      </c>
      <c r="S18" s="101" t="str">
        <f>IF(Sheet1!BS18&gt;21.75,"spill elevation","-")</f>
        <v>-</v>
      </c>
      <c r="T18" s="105">
        <f>IF(Sheet1!DQ18=1,Sheet1!AA18-(SUM(AT18:BA18)+BE18),Sheet1!AA18-SUM(AT18:BA18))</f>
        <v>27.56644800000873</v>
      </c>
      <c r="U18" s="105">
        <f>Sheet1!BU18</f>
        <v>25</v>
      </c>
      <c r="V18" s="105">
        <f t="shared" ref="V18:V26" si="6">T18-U18</f>
        <v>2.5664480000087302</v>
      </c>
      <c r="W18" s="105">
        <f t="shared" ref="W18:W26" si="7">IF(AND(OR(Q18="spill elevation",R18="spill elevation",S18="spill elevation",Q19="spill elevation",R19="spill elevation",S19="spill elevation"),V18&gt;0),V18,0)</f>
        <v>0</v>
      </c>
      <c r="X18" s="101">
        <f>IF((Sheet1!EX18-Sheet1!EX17)&lt;0,(Sheet1!EX18+100000-Sheet1!EX17)/1000,(Sheet1!EX18-Sheet1!EX17)/1000)</f>
        <v>0.84699999999999998</v>
      </c>
      <c r="Y18" s="106">
        <f>Calculation!DZ19+Calculation!EI18+'Calculations II'!O18-'Calculations II'!W18</f>
        <v>56.770886209464443</v>
      </c>
      <c r="Z18" s="106">
        <f>Y18-Sheet1!CP19</f>
        <v>41.800886209464444</v>
      </c>
      <c r="AA18" s="106">
        <f>Y18+Calculation!CZ19+Calculation!AI19</f>
        <v>65.448057616074749</v>
      </c>
      <c r="AC18" s="106">
        <f>Sheet1!AA18+Sheet1!AB18+BC18</f>
        <v>56.400000000008731</v>
      </c>
      <c r="AD18" s="106">
        <f>Sheet1!AA18+Sheet1!BN18+'Calculations II'!BC18-Calculation!AI18-Calculation!CZ18</f>
        <v>39.386306439683047</v>
      </c>
      <c r="AE18" s="106">
        <f>Sheet1!AA18+Sheet1!AB18+'Calculations II'!BC18-Calculation!AI18-Calculation!CZ18</f>
        <v>47.886306439683047</v>
      </c>
      <c r="AF18" s="106">
        <f>Sheet1!AA18+Sheet1!BN18+P18+'Calculations II'!BC18+Calculation!AI18+Calculation!CZ18</f>
        <v>55.58457976980759</v>
      </c>
      <c r="AG18" s="106">
        <f>Sheet1!AA18+Sheet1!BN18+'Calculations II'!BC18+'Calculations II'!P18-Sheet1!CP18-BP18</f>
        <v>31.660886209481905</v>
      </c>
      <c r="AH18" s="106">
        <f>Sheet1!AA18+Sheet1!BN18+'Calculations II'!BC18+'Calculations II'!P18-BP18</f>
        <v>47.070886209481905</v>
      </c>
      <c r="AI18" s="106">
        <f>BC18+Sheet1!AA18+Calculation!EI18+O18+W18+Sheet1!BN18+Calculation!AI18+Calculation!CZ18-BP18</f>
        <v>55.584579769807583</v>
      </c>
      <c r="AJ18" s="106"/>
      <c r="AM18" s="102">
        <f t="shared" ref="AM18:AM26" si="8">B18</f>
        <v>40547</v>
      </c>
      <c r="AN18" s="106"/>
      <c r="AO18" s="106"/>
      <c r="AR18" s="106"/>
      <c r="AT18" s="101">
        <f>Sheet1!AR18*GPMtoMGD</f>
        <v>0</v>
      </c>
      <c r="AU18" s="101">
        <f>Sheet1!AS18*GPMtoMGD</f>
        <v>2.7216000000000001E-2</v>
      </c>
      <c r="AV18" s="101">
        <f>Sheet1!AT18*GPMtoMGD</f>
        <v>0</v>
      </c>
      <c r="AW18" s="101">
        <f>Sheet1!AV18*GPMtoMGD</f>
        <v>0</v>
      </c>
      <c r="AX18" s="101">
        <f>Sheet1!AW18*GPMtoMGD</f>
        <v>1.8063360000000002</v>
      </c>
      <c r="AY18" s="101">
        <f>Sheet1!AX18*GPMtoMGD</f>
        <v>0</v>
      </c>
      <c r="AZ18" s="101">
        <f>Sheet1!AY18*GPMtoMGD</f>
        <v>0</v>
      </c>
      <c r="BA18" s="101">
        <f>Sheet1!AZ18*GPMtoMGD</f>
        <v>0</v>
      </c>
      <c r="BB18" s="101">
        <f>Sheet1!BP18*GPMtoMGD</f>
        <v>6.3504000000000005E-2</v>
      </c>
      <c r="BC18" s="101">
        <f>Sheet1!CO18*GPMtoMGD</f>
        <v>0</v>
      </c>
      <c r="BD18" s="101">
        <f>Sheet1!BO18*GPMtoMGD</f>
        <v>1.7370719999999999</v>
      </c>
      <c r="BE18" s="101">
        <f>Sheet1!BV18*GPMtoMGD</f>
        <v>1.3343040000000002</v>
      </c>
      <c r="BF18" s="101">
        <f>Sheet1!CJ18*GPMtoMGD</f>
        <v>0.20880000000000001</v>
      </c>
      <c r="BG18" s="101">
        <f>Sheet1!CK18*GPMtoMGD</f>
        <v>0.36360000000000003</v>
      </c>
      <c r="BH18" s="101">
        <f>Sheet1!CL18*GPMtoMGD</f>
        <v>0.49536000000000002</v>
      </c>
      <c r="BI18" s="101">
        <f t="shared" ref="BI18:BI26" si="9">BD18+BB18</f>
        <v>1.800576</v>
      </c>
      <c r="BK18" s="106">
        <f>SUM(AT18:BA18,BE18,Sheet1!BU18,'Calculations II'!BC18,Calculation!AG18)</f>
        <v>46.654162439674316</v>
      </c>
      <c r="BM18" s="439">
        <f>IF(AND(Sheet1!BQ18&lt;=11.5,Sheet1!BQ17&gt;Sheet1!BQ18),(MIN(Lookup!$C$119,VLOOKUP(Sheet1!BQ17,Lookup!$B$4:$J$236,2))-VLOOKUP(Sheet1!BQ18,Lookup!$B$4:$J$236,2))/1000000,0)</f>
        <v>0</v>
      </c>
      <c r="BN18" s="439">
        <f>IF(AND(Sheet1!BR18&lt;=11.5,Sheet1!BR17&gt;Sheet1!BR18),(MIN(Lookup!$D$119,VLOOKUP(Sheet1!BR17,Lookup!$B$4:$J$236,3))-VLOOKUP(Sheet1!BR18,Lookup!$B$4:$J$236,3))/1000000,0)</f>
        <v>0</v>
      </c>
      <c r="BP18" s="105">
        <f>SUM(BM18:BN18,W18,Sheet1!DT18)</f>
        <v>0</v>
      </c>
    </row>
    <row r="19" spans="1:68" s="101" customFormat="1">
      <c r="A19" s="101" t="s">
        <v>5</v>
      </c>
      <c r="B19" s="103">
        <v>40548</v>
      </c>
      <c r="C19" s="104">
        <v>0.33333333333357601</v>
      </c>
      <c r="E19" s="30"/>
      <c r="F19" s="30">
        <f>-(VLOOKUP(Sheet1!BZ19,Lookup!$I$4:$J$216,2)-VLOOKUP(Sheet1!BZ18,Lookup!$I$4:$J$216,2))/1000000</f>
        <v>-0.51818469273900236</v>
      </c>
      <c r="G19" s="106">
        <f>-$G$6*(Sheet1!CB19-Sheet1!CB18)*7.48/1000000</f>
        <v>0.3177080084204747</v>
      </c>
      <c r="H19" s="106">
        <f>-$H$6*(Sheet1!CA19-Sheet1!CA18)*7.48/1000000</f>
        <v>-1.503943235126474E-2</v>
      </c>
      <c r="I19" s="106">
        <f>-$I$6*(Sheet1!CC19-Sheet1!CC18)*7.48/1000000</f>
        <v>-0.59371977812489263</v>
      </c>
      <c r="J19" s="107" t="s">
        <v>193</v>
      </c>
      <c r="K19" s="106">
        <f>-$I$6*(Sheet1!CD19-Sheet1!CD18)*7.48/1000000</f>
        <v>-0.59371977812489274</v>
      </c>
      <c r="L19" s="107" t="s">
        <v>193</v>
      </c>
      <c r="M19" s="106">
        <f>-$M$6*(Sheet1!CE19-Sheet1!CE18)*7.48/1000000</f>
        <v>-0.21988957235712853</v>
      </c>
      <c r="N19" s="106">
        <f>-$N$6*(Sheet1!CF19-Sheet1!CF18)*7.48/1000000</f>
        <v>-0.18615703618387214</v>
      </c>
      <c r="O19" s="106">
        <f t="shared" si="5"/>
        <v>-1.8090022814605784</v>
      </c>
      <c r="P19" s="106">
        <f>O19+Calculation!EI19</f>
        <v>-1.2754022814605783</v>
      </c>
      <c r="Q19" s="101" t="str">
        <f>IF(Sheet1!BQ19&gt;21.75,"spill elevation","-")</f>
        <v>-</v>
      </c>
      <c r="R19" s="101" t="str">
        <f>IF(Sheet1!BR19&gt;21.75,"spill elevation","-")</f>
        <v>-</v>
      </c>
      <c r="S19" s="101" t="str">
        <f>IF(Sheet1!BS19&gt;21.75,"spill elevation","-")</f>
        <v>-</v>
      </c>
      <c r="T19" s="105">
        <f>IF(Sheet1!DQ19=1,Sheet1!AA19-(SUM(AT19:BA19)+BE19),Sheet1!AA19-SUM(AT19:BA19))</f>
        <v>29.66014399999127</v>
      </c>
      <c r="U19" s="105">
        <f>Sheet1!BU19</f>
        <v>26.5</v>
      </c>
      <c r="V19" s="105">
        <f t="shared" si="6"/>
        <v>3.1601439999912699</v>
      </c>
      <c r="W19" s="105">
        <f t="shared" si="7"/>
        <v>0</v>
      </c>
      <c r="X19" s="101">
        <f>IF((Sheet1!EX19-Sheet1!EX18)&lt;0,(Sheet1!EX19+100000-Sheet1!EX18)/1000,(Sheet1!EX19-Sheet1!EX18)/1000)</f>
        <v>0.82799999999999996</v>
      </c>
      <c r="Y19" s="106">
        <f>Calculation!DZ20+Calculation!EI19+'Calculations II'!O19-'Calculations II'!W19</f>
        <v>55.154597718532436</v>
      </c>
      <c r="Z19" s="106">
        <f>Y19-Sheet1!CP20</f>
        <v>40.484597718532434</v>
      </c>
      <c r="AA19" s="106">
        <f>Y19+Calculation!CZ20+Calculation!AI20</f>
        <v>60.819955135902809</v>
      </c>
      <c r="AC19" s="106">
        <f>Sheet1!AA19+Sheet1!AB19+BC19</f>
        <v>57.599999999991269</v>
      </c>
      <c r="AD19" s="106">
        <f>Sheet1!AA19+Sheet1!BN19+'Calculations II'!BC19-Calculation!AI19-Calculation!CZ19</f>
        <v>39.92282859338097</v>
      </c>
      <c r="AE19" s="106">
        <f>Sheet1!AA19+Sheet1!AB19+'Calculations II'!BC19-Calculation!AI19-Calculation!CZ19</f>
        <v>48.92282859338097</v>
      </c>
      <c r="AF19" s="106">
        <f>Sheet1!AA19+Sheet1!BN19+P19+'Calculations II'!BC19+Calculation!AI19+Calculation!CZ19</f>
        <v>56.001769125140989</v>
      </c>
      <c r="AG19" s="106">
        <f>Sheet1!AA19+Sheet1!BN19+'Calculations II'!BC19+'Calculations II'!P19-Sheet1!CP19-BP19</f>
        <v>32.354597718530691</v>
      </c>
      <c r="AH19" s="106">
        <f>Sheet1!AA19+Sheet1!BN19+'Calculations II'!BC19+'Calculations II'!P19-BP19</f>
        <v>47.32459771853069</v>
      </c>
      <c r="AI19" s="106">
        <f>BC19+Sheet1!AA19+Calculation!EI19+O19+W19+Sheet1!BN19+Calculation!AI19+Calculation!CZ19-BP19</f>
        <v>56.001769125140989</v>
      </c>
      <c r="AJ19" s="106"/>
      <c r="AM19" s="102">
        <f t="shared" si="8"/>
        <v>40548</v>
      </c>
      <c r="AN19" s="106"/>
      <c r="AO19" s="106"/>
      <c r="AR19" s="106"/>
      <c r="AT19" s="101">
        <f>Sheet1!AR19*GPMtoMGD</f>
        <v>0</v>
      </c>
      <c r="AU19" s="101">
        <f>Sheet1!AS19*GPMtoMGD</f>
        <v>5.3711999999999996E-2</v>
      </c>
      <c r="AV19" s="101">
        <f>Sheet1!AT19*GPMtoMGD</f>
        <v>0</v>
      </c>
      <c r="AW19" s="101">
        <f>Sheet1!AV19*GPMtoMGD</f>
        <v>0.35568</v>
      </c>
      <c r="AX19" s="101">
        <f>Sheet1!AW19*GPMtoMGD</f>
        <v>1.030464</v>
      </c>
      <c r="AY19" s="101">
        <f>Sheet1!AX19*GPMtoMGD</f>
        <v>0</v>
      </c>
      <c r="AZ19" s="101">
        <f>Sheet1!AY19*GPMtoMGD</f>
        <v>0</v>
      </c>
      <c r="BA19" s="101">
        <f>Sheet1!AZ19*GPMtoMGD</f>
        <v>0</v>
      </c>
      <c r="BB19" s="101">
        <f>Sheet1!BP19*GPMtoMGD</f>
        <v>0</v>
      </c>
      <c r="BC19" s="101">
        <f>Sheet1!CO19*GPMtoMGD</f>
        <v>0</v>
      </c>
      <c r="BD19" s="101">
        <f>Sheet1!BO19*GPMtoMGD</f>
        <v>2.7303839999999999</v>
      </c>
      <c r="BE19" s="101">
        <f>Sheet1!BV19*GPMtoMGD</f>
        <v>1.1482559999999999</v>
      </c>
      <c r="BF19" s="101">
        <f>Sheet1!CJ19*GPMtoMGD</f>
        <v>0.29592000000000002</v>
      </c>
      <c r="BG19" s="101">
        <f>Sheet1!CK19*GPMtoMGD</f>
        <v>0.55641600000000002</v>
      </c>
      <c r="BH19" s="101">
        <f>Sheet1!CL19*GPMtoMGD</f>
        <v>0.7511040000000001</v>
      </c>
      <c r="BI19" s="101">
        <f t="shared" si="9"/>
        <v>2.7303839999999999</v>
      </c>
      <c r="BK19" s="106">
        <f>SUM(AT19:BA19,BE19,Sheet1!BU19,'Calculations II'!BC19,Calculation!AG19)</f>
        <v>46.910940593389697</v>
      </c>
      <c r="BM19" s="439">
        <f>IF(AND(Sheet1!BQ19&lt;=11.5,Sheet1!BQ18&gt;Sheet1!BQ19),(MIN(Lookup!$C$119,VLOOKUP(Sheet1!BQ18,Lookup!$B$4:$J$236,2))-VLOOKUP(Sheet1!BQ19,Lookup!$B$4:$J$236,2))/1000000,0)</f>
        <v>0</v>
      </c>
      <c r="BN19" s="439">
        <f>IF(AND(Sheet1!BR19&lt;=11.5,Sheet1!BR18&gt;Sheet1!BR19),(MIN(Lookup!$D$119,VLOOKUP(Sheet1!BR18,Lookup!$B$4:$J$236,3))-VLOOKUP(Sheet1!BR19,Lookup!$B$4:$J$236,3))/1000000,0)</f>
        <v>0</v>
      </c>
      <c r="BP19" s="105">
        <f>SUM(BM19:BN19,W19,Sheet1!DT19)</f>
        <v>0</v>
      </c>
    </row>
    <row r="20" spans="1:68" s="101" customFormat="1">
      <c r="A20" s="101" t="s">
        <v>6</v>
      </c>
      <c r="B20" s="103">
        <v>40549</v>
      </c>
      <c r="C20" s="104">
        <v>0.33333333333357601</v>
      </c>
      <c r="E20" s="30"/>
      <c r="F20" s="30">
        <f>-(VLOOKUP(Sheet1!BZ20,Lookup!$I$4:$J$216,2)-VLOOKUP(Sheet1!BZ19,Lookup!$I$4:$J$216,2))/1000000</f>
        <v>-0.9327324469301943</v>
      </c>
      <c r="G20" s="106">
        <f>-$G$6*(Sheet1!CB20-Sheet1!CB19)*7.48/1000000</f>
        <v>0.27799450736791476</v>
      </c>
      <c r="H20" s="106">
        <f>-$H$6*(Sheet1!CA20-Sheet1!CA19)*7.48/1000000</f>
        <v>-6.0157729405060562E-2</v>
      </c>
      <c r="I20" s="106">
        <f>-$I$6*(Sheet1!CC20-Sheet1!CC19)*7.48/1000000</f>
        <v>0.32384715170448686</v>
      </c>
      <c r="J20" s="107" t="s">
        <v>193</v>
      </c>
      <c r="K20" s="106">
        <f>-$I$6*(Sheet1!CD20-Sheet1!CD19)*7.48/1000000</f>
        <v>0.34183866013251396</v>
      </c>
      <c r="L20" s="107" t="s">
        <v>193</v>
      </c>
      <c r="M20" s="106">
        <f>-$M$6*(Sheet1!CE20-Sheet1!CE19)*7.48/1000000</f>
        <v>9.9949805616876636E-2</v>
      </c>
      <c r="N20" s="106">
        <f>-$N$6*(Sheet1!CF20-Sheet1!CF19)*7.48/1000000</f>
        <v>-0.49641876315699052</v>
      </c>
      <c r="O20" s="106">
        <f t="shared" si="5"/>
        <v>-0.44567881467045323</v>
      </c>
      <c r="P20" s="106">
        <f>O20+Calculation!EI20</f>
        <v>-2.3133788146704535</v>
      </c>
      <c r="Q20" s="101" t="str">
        <f>IF(Sheet1!BQ20&gt;21.75,"spill elevation","-")</f>
        <v>-</v>
      </c>
      <c r="R20" s="101" t="str">
        <f>IF(Sheet1!BR20&gt;21.75,"spill elevation","-")</f>
        <v>-</v>
      </c>
      <c r="S20" s="101" t="str">
        <f>IF(Sheet1!BS20&gt;21.75,"spill elevation","-")</f>
        <v>-</v>
      </c>
      <c r="T20" s="105">
        <f>IF(Sheet1!DQ20=1,Sheet1!AA20-(SUM(AT20:BA20)+BE20),Sheet1!AA20-SUM(AT20:BA20))</f>
        <v>28.591231999997088</v>
      </c>
      <c r="U20" s="105">
        <f>Sheet1!BU20</f>
        <v>24.3</v>
      </c>
      <c r="V20" s="105">
        <f t="shared" si="6"/>
        <v>4.2912319999970876</v>
      </c>
      <c r="W20" s="105">
        <f t="shared" si="7"/>
        <v>0</v>
      </c>
      <c r="X20" s="101">
        <f>IF((Sheet1!EX20-Sheet1!EX19)&lt;0,(Sheet1!EX20+100000-Sheet1!EX19)/1000,(Sheet1!EX20-Sheet1!EX19)/1000)</f>
        <v>0.82399999999999995</v>
      </c>
      <c r="Y20" s="106">
        <f>Calculation!DZ21+Calculation!EI20+'Calculations II'!O20-'Calculations II'!W20</f>
        <v>48.256621185329259</v>
      </c>
      <c r="Z20" s="106">
        <f>Y20-Sheet1!CP21</f>
        <v>33.556621185329263</v>
      </c>
      <c r="AA20" s="106">
        <f>Y20+Calculation!CZ21+Calculation!AI21</f>
        <v>48.256621185329259</v>
      </c>
      <c r="AC20" s="106">
        <f>Sheet1!AA20+Sheet1!AB20+BC20</f>
        <v>56.429999999993015</v>
      </c>
      <c r="AD20" s="106">
        <f>Sheet1!AA20+Sheet1!BN20+'Calculations II'!BC20-Calculation!AI20-Calculation!CZ20</f>
        <v>44.934642582626715</v>
      </c>
      <c r="AE20" s="106">
        <f>Sheet1!AA20+Sheet1!AB20+'Calculations II'!BC20-Calculation!AI20-Calculation!CZ20</f>
        <v>50.764642582622642</v>
      </c>
      <c r="AF20" s="106">
        <f>Sheet1!AA20+Sheet1!BN20+P20+'Calculations II'!BC20+Calculation!AI20+Calculation!CZ20</f>
        <v>53.951978602697011</v>
      </c>
      <c r="AG20" s="106">
        <f>Sheet1!AA20+Sheet1!BN20+'Calculations II'!BC20+'Calculations II'!P20-Sheet1!CP20-BP20</f>
        <v>33.616621185326636</v>
      </c>
      <c r="AH20" s="106">
        <f>Sheet1!AA20+Sheet1!BN20+'Calculations II'!BC20+'Calculations II'!P20-BP20</f>
        <v>48.286621185326638</v>
      </c>
      <c r="AI20" s="106">
        <f>BC20+Sheet1!AA20+Calculation!EI20+O20+W20+Sheet1!BN20+Calculation!AI20+Calculation!CZ20-BP20</f>
        <v>53.951978602697011</v>
      </c>
      <c r="AJ20" s="106"/>
      <c r="AM20" s="102">
        <f t="shared" si="8"/>
        <v>40549</v>
      </c>
      <c r="AN20" s="106"/>
      <c r="AO20" s="106"/>
      <c r="AR20" s="106"/>
      <c r="AT20" s="101">
        <f>Sheet1!AR20*GPMtoMGD</f>
        <v>0</v>
      </c>
      <c r="AU20" s="101">
        <f>Sheet1!AS20*GPMtoMGD</f>
        <v>4.6511999999999998E-2</v>
      </c>
      <c r="AV20" s="101">
        <f>Sheet1!AT20*GPMtoMGD</f>
        <v>0</v>
      </c>
      <c r="AW20" s="101">
        <f>Sheet1!AV20*GPMtoMGD</f>
        <v>0.99518400000000007</v>
      </c>
      <c r="AX20" s="101">
        <f>Sheet1!AW20*GPMtoMGD</f>
        <v>0.56707200000000002</v>
      </c>
      <c r="AY20" s="101">
        <f>Sheet1!AX20*GPMtoMGD</f>
        <v>0</v>
      </c>
      <c r="AZ20" s="101">
        <f>Sheet1!AY20*GPMtoMGD</f>
        <v>0</v>
      </c>
      <c r="BA20" s="101">
        <f>Sheet1!AZ20*GPMtoMGD</f>
        <v>0</v>
      </c>
      <c r="BB20" s="101">
        <f>Sheet1!BP20*GPMtoMGD</f>
        <v>0</v>
      </c>
      <c r="BC20" s="101">
        <f>Sheet1!CO20*GPMtoMGD</f>
        <v>0</v>
      </c>
      <c r="BD20" s="101">
        <f>Sheet1!BO20*GPMtoMGD</f>
        <v>1.3272480000000002</v>
      </c>
      <c r="BE20" s="101">
        <f>Sheet1!BV20*GPMtoMGD</f>
        <v>0.96638400000000013</v>
      </c>
      <c r="BF20" s="101">
        <f>Sheet1!CJ20*GPMtoMGD</f>
        <v>0.23572799999999999</v>
      </c>
      <c r="BG20" s="101">
        <f>Sheet1!CK20*GPMtoMGD</f>
        <v>0.55382400000000009</v>
      </c>
      <c r="BH20" s="101">
        <f>Sheet1!CL20*GPMtoMGD</f>
        <v>0.74563199999999996</v>
      </c>
      <c r="BI20" s="101">
        <f t="shared" si="9"/>
        <v>1.3272480000000002</v>
      </c>
      <c r="BK20" s="106">
        <f>SUM(AT20:BA20,BE20,Sheet1!BU20,'Calculations II'!BC20,Calculation!AG20)</f>
        <v>47.439794582625552</v>
      </c>
      <c r="BM20" s="439">
        <f>IF(AND(Sheet1!BQ20&lt;=11.5,Sheet1!BQ19&gt;Sheet1!BQ20),(MIN(Lookup!$C$119,VLOOKUP(Sheet1!BQ19,Lookup!$B$4:$J$236,2))-VLOOKUP(Sheet1!BQ20,Lookup!$B$4:$J$236,2))/1000000,0)</f>
        <v>0</v>
      </c>
      <c r="BN20" s="439">
        <f>IF(AND(Sheet1!BR20&lt;=11.5,Sheet1!BR19&gt;Sheet1!BR20),(MIN(Lookup!$D$119,VLOOKUP(Sheet1!BR19,Lookup!$B$4:$J$236,3))-VLOOKUP(Sheet1!BR20,Lookup!$B$4:$J$236,3))/1000000,0)</f>
        <v>0</v>
      </c>
      <c r="BP20" s="105">
        <f>SUM(BM20:BN20,W20,Sheet1!DT20)</f>
        <v>0</v>
      </c>
    </row>
    <row r="21" spans="1:68" s="101" customFormat="1">
      <c r="A21" s="101" t="s">
        <v>7</v>
      </c>
      <c r="B21" s="103">
        <v>40550</v>
      </c>
      <c r="C21" s="104">
        <v>0.33333333333357601</v>
      </c>
      <c r="E21" s="30"/>
      <c r="F21" s="30">
        <f>-(VLOOKUP(Sheet1!BZ21,Lookup!$I$4:$J$216,2)-VLOOKUP(Sheet1!BZ20,Lookup!$I$4:$J$216,2))/1000000</f>
        <v>1.0363693854779992</v>
      </c>
      <c r="G21" s="106">
        <f>-$G$6*(Sheet1!CB21-Sheet1!CB20)*7.48/1000000</f>
        <v>0.3177080084204747</v>
      </c>
      <c r="H21" s="106">
        <f>-$H$6*(Sheet1!CA21-Sheet1!CA20)*7.48/1000000</f>
        <v>-0.16543375586391532</v>
      </c>
      <c r="I21" s="106">
        <f>-$I$6*(Sheet1!CC21-Sheet1!CC20)*7.48/1000000</f>
        <v>0.53974525284081154</v>
      </c>
      <c r="J21" s="107" t="s">
        <v>193</v>
      </c>
      <c r="K21" s="106">
        <f>-$I$6*(Sheet1!CD21-Sheet1!CD20)*7.48/1000000</f>
        <v>0.52175374441278444</v>
      </c>
      <c r="L21" s="107" t="s">
        <v>193</v>
      </c>
      <c r="M21" s="106">
        <f>-$M$6*(Sheet1!CE21-Sheet1!CE20)*7.48/1000000</f>
        <v>0.21988957235712853</v>
      </c>
      <c r="N21" s="106">
        <f>-$N$6*(Sheet1!CF21-Sheet1!CF20)*7.48/1000000</f>
        <v>0.55847110855161419</v>
      </c>
      <c r="O21" s="106">
        <f t="shared" si="5"/>
        <v>3.0285033161968968</v>
      </c>
      <c r="P21" s="106">
        <f>O21+Calculation!EI21</f>
        <v>-6.6730966838031023</v>
      </c>
      <c r="Q21" s="101" t="str">
        <f>IF(Sheet1!BQ21&gt;21.75,"spill elevation","-")</f>
        <v>-</v>
      </c>
      <c r="R21" s="101" t="str">
        <f>IF(Sheet1!BR21&gt;21.75,"spill elevation","-")</f>
        <v>-</v>
      </c>
      <c r="S21" s="101" t="str">
        <f>IF(Sheet1!BS21&gt;21.75,"spill elevation","-")</f>
        <v>-</v>
      </c>
      <c r="T21" s="105">
        <f>IF(Sheet1!DQ21=1,Sheet1!AA21-(SUM(AT21:BA21)+BE21),Sheet1!AA21-SUM(AT21:BA21))</f>
        <v>28.057984000000001</v>
      </c>
      <c r="U21" s="105">
        <f>Sheet1!BU21</f>
        <v>17.100000000000001</v>
      </c>
      <c r="V21" s="105">
        <f t="shared" si="6"/>
        <v>10.957984</v>
      </c>
      <c r="W21" s="105">
        <f t="shared" si="7"/>
        <v>0</v>
      </c>
      <c r="X21" s="101">
        <f>IF((Sheet1!EX21-Sheet1!EX20)&lt;0,(Sheet1!EX21+100000-Sheet1!EX20)/1000,(Sheet1!EX21-Sheet1!EX20)/1000)</f>
        <v>0.85</v>
      </c>
      <c r="Y21" s="106">
        <f>Calculation!DZ22+Calculation!EI21+'Calculations II'!O21-'Calculations II'!W21</f>
        <v>41.326903316196898</v>
      </c>
      <c r="Z21" s="106">
        <f>Y21-Sheet1!CP22</f>
        <v>25.876903316196898</v>
      </c>
      <c r="AA21" s="106">
        <f>Y21+Calculation!CZ22+Calculation!AI22</f>
        <v>41.326903316196898</v>
      </c>
      <c r="AC21" s="106">
        <f>Sheet1!AA21+Sheet1!AB21+BC21</f>
        <v>50.569999999999709</v>
      </c>
      <c r="AD21" s="106">
        <f>Sheet1!AA21+Sheet1!BN21+'Calculations II'!BC21-Calculation!AI21-Calculation!CZ21</f>
        <v>51.2</v>
      </c>
      <c r="AE21" s="106">
        <f>Sheet1!AA21+Sheet1!AB21+'Calculations II'!BC21-Calculation!AI21-Calculation!CZ21</f>
        <v>50.569999999999709</v>
      </c>
      <c r="AF21" s="106">
        <f>Sheet1!AA21+Sheet1!BN21+P21+'Calculations II'!BC21+Calculation!AI21+Calculation!CZ21</f>
        <v>44.526903316196901</v>
      </c>
      <c r="AG21" s="106">
        <f>Sheet1!AA21+Sheet1!BN21+'Calculations II'!BC21+'Calculations II'!P21-Sheet1!CP21-BP21</f>
        <v>29.826903316196901</v>
      </c>
      <c r="AH21" s="106">
        <f>Sheet1!AA21+Sheet1!BN21+'Calculations II'!BC21+'Calculations II'!P21-BP21</f>
        <v>44.526903316196901</v>
      </c>
      <c r="AI21" s="106">
        <f>BC21+Sheet1!AA21+Calculation!EI21+O21+W21+Sheet1!BN21+Calculation!AI21+Calculation!CZ21-BP21</f>
        <v>44.526903316196893</v>
      </c>
      <c r="AJ21" s="106"/>
      <c r="AM21" s="102">
        <f t="shared" si="8"/>
        <v>40550</v>
      </c>
      <c r="AN21" s="106"/>
      <c r="AO21" s="106"/>
      <c r="AR21" s="106"/>
      <c r="AT21" s="101">
        <f>Sheet1!AR21*GPMtoMGD</f>
        <v>0</v>
      </c>
      <c r="AU21" s="101">
        <f>Sheet1!AS21*GPMtoMGD</f>
        <v>3.4704000000000006E-2</v>
      </c>
      <c r="AV21" s="101">
        <f>Sheet1!AT21*GPMtoMGD</f>
        <v>0</v>
      </c>
      <c r="AW21" s="101">
        <f>Sheet1!AV21*GPMtoMGD</f>
        <v>0.66441600000000001</v>
      </c>
      <c r="AX21" s="101">
        <f>Sheet1!AW21*GPMtoMGD</f>
        <v>0.742896</v>
      </c>
      <c r="AY21" s="101">
        <f>Sheet1!AX21*GPMtoMGD</f>
        <v>0</v>
      </c>
      <c r="AZ21" s="101">
        <f>Sheet1!AY21*GPMtoMGD</f>
        <v>0</v>
      </c>
      <c r="BA21" s="101">
        <f>Sheet1!AZ21*GPMtoMGD</f>
        <v>0</v>
      </c>
      <c r="BB21" s="101">
        <f>Sheet1!BP21*GPMtoMGD</f>
        <v>0</v>
      </c>
      <c r="BC21" s="101">
        <f>Sheet1!CO21*GPMtoMGD</f>
        <v>0</v>
      </c>
      <c r="BD21" s="101">
        <f>Sheet1!BO21*GPMtoMGD</f>
        <v>0.8906400000000001</v>
      </c>
      <c r="BE21" s="101">
        <f>Sheet1!BV21*GPMtoMGD</f>
        <v>0.65088000000000001</v>
      </c>
      <c r="BF21" s="101">
        <f>Sheet1!CJ21*GPMtoMGD</f>
        <v>0.23558400000000002</v>
      </c>
      <c r="BG21" s="101">
        <f>Sheet1!CK21*GPMtoMGD</f>
        <v>0.55396800000000002</v>
      </c>
      <c r="BH21" s="101">
        <f>Sheet1!CL21*GPMtoMGD</f>
        <v>0.69062400000000013</v>
      </c>
      <c r="BI21" s="101">
        <f t="shared" si="9"/>
        <v>0.8906400000000001</v>
      </c>
      <c r="BK21" s="106">
        <f>SUM(AT21:BA21,BE21,Sheet1!BU21,'Calculations II'!BC21,Calculation!AG21)</f>
        <v>40.262895999999714</v>
      </c>
      <c r="BM21" s="439">
        <f>IF(AND(Sheet1!BQ21&lt;=11.5,Sheet1!BQ20&gt;Sheet1!BQ21),(MIN(Lookup!$C$119,VLOOKUP(Sheet1!BQ20,Lookup!$B$4:$J$236,2))-VLOOKUP(Sheet1!BQ21,Lookup!$B$4:$J$236,2))/1000000,0)</f>
        <v>0</v>
      </c>
      <c r="BN21" s="439">
        <f>IF(AND(Sheet1!BR21&lt;=11.5,Sheet1!BR20&gt;Sheet1!BR21),(MIN(Lookup!$D$119,VLOOKUP(Sheet1!BR20,Lookup!$B$4:$J$236,3))-VLOOKUP(Sheet1!BR21,Lookup!$B$4:$J$236,3))/1000000,0)</f>
        <v>0</v>
      </c>
      <c r="BP21" s="105">
        <f>SUM(BM21:BN21,W21,Sheet1!DT21)</f>
        <v>0</v>
      </c>
    </row>
    <row r="22" spans="1:68" s="101" customFormat="1">
      <c r="A22" s="101" t="s">
        <v>8</v>
      </c>
      <c r="B22" s="103">
        <v>40551</v>
      </c>
      <c r="C22" s="104">
        <v>0.33333333333357601</v>
      </c>
      <c r="E22" s="30"/>
      <c r="F22" s="30">
        <f>-(VLOOKUP(Sheet1!BZ22,Lookup!$I$4:$J$216,2)-VLOOKUP(Sheet1!BZ21,Lookup!$I$4:$J$216,2))/1000000</f>
        <v>0</v>
      </c>
      <c r="G22" s="106">
        <f>-$G$6*(Sheet1!CB22-Sheet1!CB21)*7.48/1000000</f>
        <v>0.31770800842047398</v>
      </c>
      <c r="H22" s="106">
        <f>-$H$6*(Sheet1!CA22-Sheet1!CA21)*7.48/1000000</f>
        <v>-0.18047318821518116</v>
      </c>
      <c r="I22" s="106">
        <f>-$I$6*(Sheet1!CC22-Sheet1!CC21)*7.48/1000000</f>
        <v>-7.196603371210826E-2</v>
      </c>
      <c r="J22" s="107" t="s">
        <v>193</v>
      </c>
      <c r="K22" s="106">
        <f>-$I$6*(Sheet1!CD22-Sheet1!CD21)*7.48/1000000</f>
        <v>-8.9957542140135238E-2</v>
      </c>
      <c r="L22" s="107" t="s">
        <v>193</v>
      </c>
      <c r="M22" s="106">
        <f>-$M$6*(Sheet1!CE22-Sheet1!CE21)*7.48/1000000</f>
        <v>-2.6653281497833796E-2</v>
      </c>
      <c r="N22" s="106">
        <f>-$N$6*(Sheet1!CF22-Sheet1!CF21)*7.48/1000000</f>
        <v>-0.12410469078924735</v>
      </c>
      <c r="O22" s="106">
        <f t="shared" si="5"/>
        <v>-0.17544672793403182</v>
      </c>
      <c r="P22" s="106">
        <f>O22+Calculation!EI22</f>
        <v>-2.9114467279340315</v>
      </c>
      <c r="Q22" s="101" t="str">
        <f>IF(Sheet1!BQ22&gt;21.75,"spill elevation","-")</f>
        <v>-</v>
      </c>
      <c r="R22" s="101" t="str">
        <f>IF(Sheet1!BR22&gt;21.75,"spill elevation","-")</f>
        <v>-</v>
      </c>
      <c r="S22" s="101" t="str">
        <f>IF(Sheet1!BS22&gt;21.75,"spill elevation","-")</f>
        <v>-</v>
      </c>
      <c r="T22" s="105">
        <f>IF(Sheet1!DQ22=1,Sheet1!AA22-(SUM(AT22:BA22)+BE22),Sheet1!AA22-SUM(AT22:BA22))</f>
        <v>28.923023999999998</v>
      </c>
      <c r="U22" s="105">
        <f>Sheet1!BU22</f>
        <v>23.5</v>
      </c>
      <c r="V22" s="105">
        <f t="shared" si="6"/>
        <v>5.4230239999999981</v>
      </c>
      <c r="W22" s="105">
        <f t="shared" si="7"/>
        <v>0</v>
      </c>
      <c r="X22" s="101">
        <f>IF((Sheet1!EX22-Sheet1!EX21)&lt;0,(Sheet1!EX22+100000-Sheet1!EX21)/1000,(Sheet1!EX22-Sheet1!EX21)/1000)</f>
        <v>0.93500000000000005</v>
      </c>
      <c r="Y22" s="106">
        <f>Calculation!DZ23+Calculation!EI22+'Calculations II'!O22-'Calculations II'!W22</f>
        <v>40.028553272075577</v>
      </c>
      <c r="Z22" s="106">
        <f>Y22-Sheet1!CP23</f>
        <v>24.128553272075578</v>
      </c>
      <c r="AA22" s="106">
        <f>Y22+Calculation!CZ23+Calculation!AI23</f>
        <v>40.028553272075577</v>
      </c>
      <c r="AC22" s="106">
        <f>Sheet1!AA22+Sheet1!AB22+BC22</f>
        <v>48</v>
      </c>
      <c r="AD22" s="106">
        <f>Sheet1!AA22+Sheet1!BN22+'Calculations II'!BC22-Calculation!AI22-Calculation!CZ22</f>
        <v>48</v>
      </c>
      <c r="AE22" s="106">
        <f>Sheet1!AA22+Sheet1!AB22+'Calculations II'!BC22-Calculation!AI22-Calculation!CZ22</f>
        <v>48</v>
      </c>
      <c r="AF22" s="106">
        <f>Sheet1!AA22+Sheet1!BN22+P22+'Calculations II'!BC22+Calculation!AI22+Calculation!CZ22</f>
        <v>45.088553272065965</v>
      </c>
      <c r="AG22" s="106">
        <f>Sheet1!AA22+Sheet1!BN22+'Calculations II'!BC22+'Calculations II'!P22-Sheet1!CP22-BP22</f>
        <v>29.638553272065966</v>
      </c>
      <c r="AH22" s="106">
        <f>Sheet1!AA22+Sheet1!BN22+'Calculations II'!BC22+'Calculations II'!P22-BP22</f>
        <v>45.088553272065965</v>
      </c>
      <c r="AI22" s="106">
        <f>BC22+Sheet1!AA22+Calculation!EI22+O22+W22+Sheet1!BN22+Calculation!AI22+Calculation!CZ22-BP22</f>
        <v>45.088553272065965</v>
      </c>
      <c r="AJ22" s="106"/>
      <c r="AM22" s="102">
        <f t="shared" si="8"/>
        <v>40551</v>
      </c>
      <c r="AN22" s="106"/>
      <c r="AO22" s="106"/>
      <c r="AR22" s="106"/>
      <c r="AT22" s="101">
        <f>Sheet1!AR22*GPMtoMGD</f>
        <v>0</v>
      </c>
      <c r="AU22" s="101">
        <f>Sheet1!AS22*GPMtoMGD</f>
        <v>2.7935999999999999E-2</v>
      </c>
      <c r="AV22" s="101">
        <f>Sheet1!AT22*GPMtoMGD</f>
        <v>0</v>
      </c>
      <c r="AW22" s="101">
        <f>Sheet1!AV22*GPMtoMGD</f>
        <v>0.47592000000000001</v>
      </c>
      <c r="AX22" s="101">
        <f>Sheet1!AW22*GPMtoMGD</f>
        <v>0.57312000000000007</v>
      </c>
      <c r="AY22" s="101">
        <f>Sheet1!AX22*GPMtoMGD</f>
        <v>0</v>
      </c>
      <c r="AZ22" s="101">
        <f>Sheet1!AY22*GPMtoMGD</f>
        <v>0</v>
      </c>
      <c r="BA22" s="101">
        <f>Sheet1!AZ22*GPMtoMGD</f>
        <v>0</v>
      </c>
      <c r="BB22" s="101">
        <f>Sheet1!BP22*GPMtoMGD</f>
        <v>0</v>
      </c>
      <c r="BC22" s="101">
        <f>Sheet1!CO22*GPMtoMGD</f>
        <v>0</v>
      </c>
      <c r="BD22" s="101">
        <f>Sheet1!BO22*GPMtoMGD</f>
        <v>2.0944800000000003</v>
      </c>
      <c r="BE22" s="101">
        <f>Sheet1!BV22*GPMtoMGD</f>
        <v>0.95875200000000005</v>
      </c>
      <c r="BF22" s="101">
        <f>Sheet1!CJ22*GPMtoMGD</f>
        <v>0.35352</v>
      </c>
      <c r="BG22" s="101">
        <f>Sheet1!CK22*GPMtoMGD</f>
        <v>0.58190400000000009</v>
      </c>
      <c r="BH22" s="101">
        <f>Sheet1!CL22*GPMtoMGD</f>
        <v>0.67104000000000008</v>
      </c>
      <c r="BI22" s="101">
        <f t="shared" si="9"/>
        <v>2.0944800000000003</v>
      </c>
      <c r="BK22" s="106">
        <f>SUM(AT22:BA22,BE22,Sheet1!BU22,'Calculations II'!BC22,Calculation!AG22)</f>
        <v>43.535727999999999</v>
      </c>
      <c r="BM22" s="439">
        <f>IF(AND(Sheet1!BQ22&lt;=11.5,Sheet1!BQ21&gt;Sheet1!BQ22),(MIN(Lookup!$C$119,VLOOKUP(Sheet1!BQ21,Lookup!$B$4:$J$236,2))-VLOOKUP(Sheet1!BQ22,Lookup!$B$4:$J$236,2))/1000000,0)</f>
        <v>0</v>
      </c>
      <c r="BN22" s="439">
        <f>IF(AND(Sheet1!BR22&lt;=11.5,Sheet1!BR21&gt;Sheet1!BR22),(MIN(Lookup!$D$119,VLOOKUP(Sheet1!BR21,Lookup!$B$4:$J$236,3))-VLOOKUP(Sheet1!BR22,Lookup!$B$4:$J$236,3))/1000000,0)</f>
        <v>0</v>
      </c>
      <c r="BP22" s="105">
        <f>SUM(BM22:BN22,W22,Sheet1!DT22)</f>
        <v>0</v>
      </c>
    </row>
    <row r="23" spans="1:68" s="101" customFormat="1">
      <c r="A23" s="101" t="s">
        <v>9</v>
      </c>
      <c r="B23" s="103">
        <v>40552</v>
      </c>
      <c r="C23" s="104">
        <v>0.33333333333357601</v>
      </c>
      <c r="E23" s="30"/>
      <c r="F23" s="30">
        <f>-(VLOOKUP(Sheet1!BZ23,Lookup!$I$4:$J$216,2)-VLOOKUP(Sheet1!BZ22,Lookup!$I$4:$J$216,2))/1000000</f>
        <v>0.20727387709559872</v>
      </c>
      <c r="G23" s="106">
        <f>-$G$6*(Sheet1!CB23-Sheet1!CB22)*7.48/1000000</f>
        <v>-1.1119780294716601</v>
      </c>
      <c r="H23" s="106">
        <f>-$H$6*(Sheet1!CA23-Sheet1!CA22)*7.48/1000000</f>
        <v>-7.5197161756325293E-2</v>
      </c>
      <c r="I23" s="106">
        <f>-$I$6*(Sheet1!CC23-Sheet1!CC22)*7.48/1000000</f>
        <v>-0.70166882869305469</v>
      </c>
      <c r="J23" s="107" t="s">
        <v>193</v>
      </c>
      <c r="K23" s="106">
        <f>-$I$6*(Sheet1!CD23-Sheet1!CD22)*7.48/1000000</f>
        <v>-0.70166882869305491</v>
      </c>
      <c r="L23" s="107" t="s">
        <v>193</v>
      </c>
      <c r="M23" s="106">
        <f>-$M$6*(Sheet1!CE23-Sheet1!CE22)*7.48/1000000</f>
        <v>-0.25986949460387915</v>
      </c>
      <c r="N23" s="106">
        <f>-$N$6*(Sheet1!CF23-Sheet1!CF22)*7.48/1000000</f>
        <v>6.2052345394623676E-2</v>
      </c>
      <c r="O23" s="106">
        <f t="shared" si="5"/>
        <v>-2.5810561207277516</v>
      </c>
      <c r="P23" s="106">
        <f>O23+Calculation!EI23</f>
        <v>4.2218438792722477</v>
      </c>
      <c r="Q23" s="101" t="str">
        <f>IF(Sheet1!BQ23&gt;21.75,"spill elevation","-")</f>
        <v>-</v>
      </c>
      <c r="R23" s="101" t="str">
        <f>IF(Sheet1!BR23&gt;21.75,"spill elevation","-")</f>
        <v>-</v>
      </c>
      <c r="S23" s="101" t="str">
        <f>IF(Sheet1!BS23&gt;21.75,"spill elevation","-")</f>
        <v>-</v>
      </c>
      <c r="T23" s="105">
        <f>IF(Sheet1!DQ23=1,Sheet1!AA23-(SUM(AT23:BA23)+BE23),Sheet1!AA23-SUM(AT23:BA23))</f>
        <v>26.533056000011058</v>
      </c>
      <c r="U23" s="105">
        <f>Sheet1!BU23</f>
        <v>30.1</v>
      </c>
      <c r="V23" s="105">
        <f t="shared" si="6"/>
        <v>-3.5669439999889434</v>
      </c>
      <c r="W23" s="105">
        <f t="shared" si="7"/>
        <v>0</v>
      </c>
      <c r="X23" s="101">
        <f>IF((Sheet1!EX23-Sheet1!EX22)&lt;0,(Sheet1!EX23+100000-Sheet1!EX22)/1000,(Sheet1!EX23-Sheet1!EX22)/1000)</f>
        <v>0.85199999999999998</v>
      </c>
      <c r="Y23" s="106">
        <f>Calculation!DZ24+Calculation!EI23+'Calculations II'!O23-'Calculations II'!W23</f>
        <v>45.681843879278652</v>
      </c>
      <c r="Z23" s="106">
        <f>Y23-Sheet1!CP24</f>
        <v>30.541843879278652</v>
      </c>
      <c r="AA23" s="106">
        <f>Y23+Calculation!CZ24+Calculation!AI24</f>
        <v>45.681843879278652</v>
      </c>
      <c r="AC23" s="106">
        <f>Sheet1!AA23+Sheet1!AB23+BC23</f>
        <v>42.940000000009604</v>
      </c>
      <c r="AD23" s="106">
        <f>Sheet1!AA23+Sheet1!BN23+'Calculations II'!BC23-Calculation!AI23-Calculation!CZ23</f>
        <v>42.940000000011061</v>
      </c>
      <c r="AE23" s="106">
        <f>Sheet1!AA23+Sheet1!AB23+'Calculations II'!BC23-Calculation!AI23-Calculation!CZ23</f>
        <v>42.940000000009604</v>
      </c>
      <c r="AF23" s="106">
        <f>Sheet1!AA23+Sheet1!BN23+P23+'Calculations II'!BC23+Calculation!AI23+Calculation!CZ23</f>
        <v>47.16184387928331</v>
      </c>
      <c r="AG23" s="106">
        <f>Sheet1!AA23+Sheet1!BN23+'Calculations II'!BC23+'Calculations II'!P23-Sheet1!CP23-BP23</f>
        <v>31.261843879283312</v>
      </c>
      <c r="AH23" s="106">
        <f>Sheet1!AA23+Sheet1!BN23+'Calculations II'!BC23+'Calculations II'!P23-BP23</f>
        <v>47.16184387928331</v>
      </c>
      <c r="AI23" s="106">
        <f>BC23+Sheet1!AA23+Calculation!EI23+O23+W23+Sheet1!BN23+Calculation!AI23+Calculation!CZ23-BP23</f>
        <v>47.16184387928331</v>
      </c>
      <c r="AJ23" s="106"/>
      <c r="AM23" s="102">
        <f t="shared" si="8"/>
        <v>40552</v>
      </c>
      <c r="AN23" s="106"/>
      <c r="AO23" s="106"/>
      <c r="AR23" s="106"/>
      <c r="AT23" s="101">
        <f>Sheet1!AR23*GPMtoMGD</f>
        <v>0</v>
      </c>
      <c r="AU23" s="101">
        <f>Sheet1!AS23*GPMtoMGD</f>
        <v>2.7935999999999999E-2</v>
      </c>
      <c r="AV23" s="101">
        <f>Sheet1!AT23*GPMtoMGD</f>
        <v>0</v>
      </c>
      <c r="AW23" s="101">
        <f>Sheet1!AV23*GPMtoMGD</f>
        <v>0.60883200000000004</v>
      </c>
      <c r="AX23" s="101">
        <f>Sheet1!AW23*GPMtoMGD</f>
        <v>0.67017599999999999</v>
      </c>
      <c r="AY23" s="101">
        <f>Sheet1!AX23*GPMtoMGD</f>
        <v>0</v>
      </c>
      <c r="AZ23" s="101">
        <f>Sheet1!AY23*GPMtoMGD</f>
        <v>0</v>
      </c>
      <c r="BA23" s="101">
        <f>Sheet1!AZ23*GPMtoMGD</f>
        <v>0</v>
      </c>
      <c r="BB23" s="101">
        <f>Sheet1!BP23*GPMtoMGD</f>
        <v>0</v>
      </c>
      <c r="BC23" s="101">
        <f>Sheet1!CO23*GPMtoMGD</f>
        <v>0</v>
      </c>
      <c r="BD23" s="101">
        <f>Sheet1!BO23*GPMtoMGD</f>
        <v>3.1423679999999998</v>
      </c>
      <c r="BE23" s="101">
        <f>Sheet1!BV23*GPMtoMGD</f>
        <v>0.972576</v>
      </c>
      <c r="BF23" s="101">
        <f>Sheet1!CJ23*GPMtoMGD</f>
        <v>0.44539200000000007</v>
      </c>
      <c r="BG23" s="101">
        <f>Sheet1!CK23*GPMtoMGD</f>
        <v>0.62496000000000007</v>
      </c>
      <c r="BH23" s="101">
        <f>Sheet1!CL23*GPMtoMGD</f>
        <v>0.69696000000000002</v>
      </c>
      <c r="BI23" s="101">
        <f t="shared" si="9"/>
        <v>3.1423679999999998</v>
      </c>
      <c r="BK23" s="106">
        <f>SUM(AT23:BA23,BE23,Sheet1!BU23,'Calculations II'!BC23,Calculation!AG23)</f>
        <v>47.479519999998544</v>
      </c>
      <c r="BM23" s="439">
        <f>IF(AND(Sheet1!BQ23&lt;=11.5,Sheet1!BQ22&gt;Sheet1!BQ23),(MIN(Lookup!$C$119,VLOOKUP(Sheet1!BQ22,Lookup!$B$4:$J$236,2))-VLOOKUP(Sheet1!BQ23,Lookup!$B$4:$J$236,2))/1000000,0)</f>
        <v>0</v>
      </c>
      <c r="BN23" s="439">
        <f>IF(AND(Sheet1!BR23&lt;=11.5,Sheet1!BR22&gt;Sheet1!BR23),(MIN(Lookup!$D$119,VLOOKUP(Sheet1!BR22,Lookup!$B$4:$J$236,3))-VLOOKUP(Sheet1!BR23,Lookup!$B$4:$J$236,3))/1000000,0)</f>
        <v>0</v>
      </c>
      <c r="BP23" s="105">
        <f>SUM(BM23:BN23,W23,Sheet1!DT23)</f>
        <v>0</v>
      </c>
    </row>
    <row r="24" spans="1:68" s="101" customFormat="1">
      <c r="A24" s="101" t="s">
        <v>3</v>
      </c>
      <c r="B24" s="103">
        <v>40553</v>
      </c>
      <c r="C24" s="104">
        <v>0.33333333333357601</v>
      </c>
      <c r="E24" s="30"/>
      <c r="F24" s="30">
        <f>-(VLOOKUP(Sheet1!BZ24,Lookup!$I$4:$J$216,2)-VLOOKUP(Sheet1!BZ23,Lookup!$I$4:$J$216,2))/1000000</f>
        <v>-0.51818469273900236</v>
      </c>
      <c r="G24" s="106">
        <f>-$G$6*(Sheet1!CB24-Sheet1!CB23)*7.48/1000000</f>
        <v>0.27799450736791476</v>
      </c>
      <c r="H24" s="106">
        <f>-$H$6*(Sheet1!CA24-Sheet1!CA23)*7.48/1000000</f>
        <v>-1.5039432351265274E-2</v>
      </c>
      <c r="I24" s="106">
        <f>-$I$6*(Sheet1!CC24-Sheet1!CC23)*7.48/1000000</f>
        <v>0.25188111799237861</v>
      </c>
      <c r="J24" s="107" t="s">
        <v>193</v>
      </c>
      <c r="K24" s="106">
        <f>-$I$6*(Sheet1!CD24-Sheet1!CD23)*7.48/1000000</f>
        <v>0.26987262642040577</v>
      </c>
      <c r="L24" s="107" t="s">
        <v>193</v>
      </c>
      <c r="M24" s="106">
        <f>-$M$6*(Sheet1!CE24-Sheet1!CE23)*7.48/1000000</f>
        <v>7.3296524119042722E-2</v>
      </c>
      <c r="N24" s="106">
        <f>-$N$6*(Sheet1!CF24-Sheet1!CF23)*7.48/1000000</f>
        <v>-0.37231407236774317</v>
      </c>
      <c r="O24" s="106">
        <f t="shared" si="5"/>
        <v>-3.2493421558268898E-2</v>
      </c>
      <c r="P24" s="106">
        <f>O24+Calculation!EI24</f>
        <v>4.801406578441731</v>
      </c>
      <c r="Q24" s="101" t="str">
        <f>IF(Sheet1!BQ24&gt;21.75,"spill elevation","-")</f>
        <v>-</v>
      </c>
      <c r="R24" s="101" t="str">
        <f>IF(Sheet1!BR24&gt;21.75,"spill elevation","-")</f>
        <v>-</v>
      </c>
      <c r="S24" s="101" t="str">
        <f>IF(Sheet1!BS24&gt;21.75,"spill elevation","-")</f>
        <v>-</v>
      </c>
      <c r="T24" s="105">
        <f>IF(Sheet1!DQ24=1,Sheet1!AA24-(SUM(AT24:BA24)+BE24),Sheet1!AA24-SUM(AT24:BA24))</f>
        <v>25.486352000000583</v>
      </c>
      <c r="U24" s="105">
        <f>Sheet1!BU24</f>
        <v>27.5</v>
      </c>
      <c r="V24" s="105">
        <f t="shared" si="6"/>
        <v>-2.0136479999994172</v>
      </c>
      <c r="W24" s="105">
        <f t="shared" si="7"/>
        <v>0</v>
      </c>
      <c r="X24" s="101">
        <f>IF((Sheet1!EX24-Sheet1!EX23)&lt;0,(Sheet1!EX24+100000-Sheet1!EX23)/1000,(Sheet1!EX24-Sheet1!EX23)/1000)</f>
        <v>0.80300000000000005</v>
      </c>
      <c r="Y24" s="106">
        <f>Calculation!DZ25+Calculation!EI24+'Calculations II'!O24-'Calculations II'!W24</f>
        <v>47.631406578428923</v>
      </c>
      <c r="Z24" s="106">
        <f>Y24-Sheet1!CP25</f>
        <v>33.161406578428924</v>
      </c>
      <c r="AA24" s="106">
        <f>Y24+Calculation!CZ25+Calculation!AI25</f>
        <v>47.631406578428923</v>
      </c>
      <c r="AC24" s="106">
        <f>Sheet1!AA24+Sheet1!AB24+BC24</f>
        <v>41.460000000006403</v>
      </c>
      <c r="AD24" s="106">
        <f>Sheet1!AA24+Sheet1!BN24+'Calculations II'!BC24-Calculation!AI24-Calculation!CZ24</f>
        <v>41.360000000000582</v>
      </c>
      <c r="AE24" s="106">
        <f>Sheet1!AA24+Sheet1!AB24+'Calculations II'!BC24-Calculation!AI24-Calculation!CZ24</f>
        <v>41.460000000006403</v>
      </c>
      <c r="AF24" s="106">
        <f>Sheet1!AA24+Sheet1!BN24+P24+'Calculations II'!BC24+Calculation!AI24+Calculation!CZ24</f>
        <v>46.16140657844231</v>
      </c>
      <c r="AG24" s="106">
        <f>Sheet1!AA24+Sheet1!BN24+'Calculations II'!BC24+'Calculations II'!P24-Sheet1!CP24-BP24</f>
        <v>31.02140657844231</v>
      </c>
      <c r="AH24" s="106">
        <f>Sheet1!AA24+Sheet1!BN24+'Calculations II'!BC24+'Calculations II'!P24-BP24</f>
        <v>46.16140657844231</v>
      </c>
      <c r="AI24" s="106">
        <f>BC24+Sheet1!AA24+Calculation!EI24+O24+W24+Sheet1!BN24+Calculation!AI24+Calculation!CZ24-BP24</f>
        <v>46.16140657844231</v>
      </c>
      <c r="AJ24" s="106"/>
      <c r="AM24" s="102">
        <f t="shared" si="8"/>
        <v>40553</v>
      </c>
      <c r="AN24" s="106"/>
      <c r="AO24" s="106"/>
      <c r="AR24" s="106"/>
      <c r="AT24" s="101">
        <f>Sheet1!AR24*GPMtoMGD</f>
        <v>0</v>
      </c>
      <c r="AU24" s="101">
        <f>Sheet1!AS24*GPMtoMGD</f>
        <v>5.5871999999999998E-2</v>
      </c>
      <c r="AV24" s="101">
        <f>Sheet1!AT24*GPMtoMGD</f>
        <v>0</v>
      </c>
      <c r="AW24" s="101">
        <f>Sheet1!AV24*GPMtoMGD</f>
        <v>0.26107200000000003</v>
      </c>
      <c r="AX24" s="101">
        <f>Sheet1!AW24*GPMtoMGD</f>
        <v>0.55670400000000009</v>
      </c>
      <c r="AY24" s="101">
        <f>Sheet1!AX24*GPMtoMGD</f>
        <v>0</v>
      </c>
      <c r="AZ24" s="101">
        <f>Sheet1!AY24*GPMtoMGD</f>
        <v>0</v>
      </c>
      <c r="BA24" s="101">
        <f>Sheet1!AZ24*GPMtoMGD</f>
        <v>0</v>
      </c>
      <c r="BB24" s="101">
        <f>Sheet1!BP24*GPMtoMGD</f>
        <v>0</v>
      </c>
      <c r="BC24" s="101">
        <f>Sheet1!CO24*GPMtoMGD</f>
        <v>0</v>
      </c>
      <c r="BD24" s="101">
        <f>Sheet1!BO24*GPMtoMGD</f>
        <v>1.4816160000000003</v>
      </c>
      <c r="BE24" s="101">
        <f>Sheet1!BV24*GPMtoMGD</f>
        <v>0.69840000000000002</v>
      </c>
      <c r="BF24" s="101">
        <f>Sheet1!CJ24*GPMtoMGD</f>
        <v>0.31622400000000001</v>
      </c>
      <c r="BG24" s="101">
        <f>Sheet1!CK24*GPMtoMGD</f>
        <v>0.56577600000000006</v>
      </c>
      <c r="BH24" s="101">
        <f>Sheet1!CL24*GPMtoMGD</f>
        <v>0.73065599999999997</v>
      </c>
      <c r="BI24" s="101">
        <f t="shared" si="9"/>
        <v>1.4816160000000003</v>
      </c>
      <c r="BK24" s="106">
        <f>SUM(AT24:BA24,BE24,Sheet1!BU24,'Calculations II'!BC24,Calculation!AG24)</f>
        <v>44.172048000005816</v>
      </c>
      <c r="BM24" s="439">
        <f>IF(AND(Sheet1!BQ24&lt;=11.5,Sheet1!BQ23&gt;Sheet1!BQ24),(MIN(Lookup!$C$119,VLOOKUP(Sheet1!BQ23,Lookup!$B$4:$J$236,2))-VLOOKUP(Sheet1!BQ24,Lookup!$B$4:$J$236,2))/1000000,0)</f>
        <v>0</v>
      </c>
      <c r="BN24" s="439">
        <f>IF(AND(Sheet1!BR24&lt;=11.5,Sheet1!BR23&gt;Sheet1!BR24),(MIN(Lookup!$D$119,VLOOKUP(Sheet1!BR23,Lookup!$B$4:$J$236,3))-VLOOKUP(Sheet1!BR24,Lookup!$B$4:$J$236,3))/1000000,0)</f>
        <v>0</v>
      </c>
      <c r="BP24" s="105">
        <f>SUM(BM24:BN24,W24,Sheet1!DT24)</f>
        <v>0</v>
      </c>
    </row>
    <row r="25" spans="1:68" s="101" customFormat="1">
      <c r="A25" s="101" t="s">
        <v>4</v>
      </c>
      <c r="B25" s="103">
        <v>40554</v>
      </c>
      <c r="C25" s="104">
        <v>0.33333333333357601</v>
      </c>
      <c r="E25" s="30"/>
      <c r="F25" s="30">
        <f>-(VLOOKUP(Sheet1!BZ25,Lookup!$I$4:$J$216,2)-VLOOKUP(Sheet1!BZ24,Lookup!$I$4:$J$216,2))/1000000</f>
        <v>0.51818469273900236</v>
      </c>
      <c r="G25" s="106">
        <f>-$G$6*(Sheet1!CB25-Sheet1!CB24)*7.48/1000000</f>
        <v>0.3177080084204747</v>
      </c>
      <c r="H25" s="106">
        <f>-$H$6*(Sheet1!CA25-Sheet1!CA24)*7.48/1000000</f>
        <v>0.58653786169933764</v>
      </c>
      <c r="I25" s="106">
        <f>-$I$6*(Sheet1!CC25-Sheet1!CC24)*7.48/1000000</f>
        <v>0.52175374441278444</v>
      </c>
      <c r="J25" s="107" t="s">
        <v>193</v>
      </c>
      <c r="K25" s="106">
        <f>-$I$6*(Sheet1!CD25-Sheet1!CD24)*7.48/1000000</f>
        <v>0.52175374441278444</v>
      </c>
      <c r="L25" s="107" t="s">
        <v>193</v>
      </c>
      <c r="M25" s="106">
        <f>-$M$6*(Sheet1!CE25-Sheet1!CE24)*7.48/1000000</f>
        <v>0.21322625198267023</v>
      </c>
      <c r="N25" s="106">
        <f>-$N$6*(Sheet1!CF25-Sheet1!CF24)*7.48/1000000</f>
        <v>0.36610883782828091</v>
      </c>
      <c r="O25" s="106">
        <f t="shared" si="5"/>
        <v>3.0452731414953345</v>
      </c>
      <c r="P25" s="106">
        <f>O25+Calculation!EI25</f>
        <v>4.3797731414953347</v>
      </c>
      <c r="Q25" s="101" t="str">
        <f>IF(Sheet1!BQ25&gt;21.75,"spill elevation","-")</f>
        <v>-</v>
      </c>
      <c r="R25" s="101" t="str">
        <f>IF(Sheet1!BR25&gt;21.75,"spill elevation","-")</f>
        <v>-</v>
      </c>
      <c r="S25" s="101" t="str">
        <f>IF(Sheet1!BS25&gt;21.75,"spill elevation","-")</f>
        <v>-</v>
      </c>
      <c r="T25" s="105">
        <f>IF(Sheet1!DQ25=1,Sheet1!AA25-(SUM(AT25:BA25)+BE25),Sheet1!AA25-SUM(AT25:BA25))</f>
        <v>25.57217599998836</v>
      </c>
      <c r="U25" s="105">
        <f>Sheet1!BU25</f>
        <v>24.3</v>
      </c>
      <c r="V25" s="105">
        <f t="shared" si="6"/>
        <v>1.2721759999883595</v>
      </c>
      <c r="W25" s="105">
        <f t="shared" si="7"/>
        <v>0</v>
      </c>
      <c r="X25" s="101">
        <f>IF((Sheet1!EX25-Sheet1!EX24)&lt;0,(Sheet1!EX25+100000-Sheet1!EX24)/1000,(Sheet1!EX25-Sheet1!EX24)/1000)</f>
        <v>0.79100000000000004</v>
      </c>
      <c r="Y25" s="106">
        <f>Calculation!DZ26+Calculation!EI25+'Calculations II'!O25-'Calculations II'!W25</f>
        <v>49.319773141497663</v>
      </c>
      <c r="Z25" s="106">
        <f>Y25-Sheet1!CP26</f>
        <v>35.289773141497662</v>
      </c>
      <c r="AA25" s="106">
        <f>Y25+Calculation!CZ26+Calculation!AI26</f>
        <v>49.319773141497663</v>
      </c>
      <c r="AC25" s="106">
        <f>Sheet1!AA25+Sheet1!AB25+BC25</f>
        <v>42.829999999987194</v>
      </c>
      <c r="AD25" s="106">
        <f>Sheet1!AA25+Sheet1!BN25+'Calculations II'!BC25-Calculation!AI25-Calculation!CZ25</f>
        <v>42.799999999988358</v>
      </c>
      <c r="AE25" s="106">
        <f>Sheet1!AA25+Sheet1!AB25+'Calculations II'!BC25-Calculation!AI25-Calculation!CZ25</f>
        <v>42.829999999987194</v>
      </c>
      <c r="AF25" s="106">
        <f>Sheet1!AA25+Sheet1!BN25+P25+'Calculations II'!BC25+Calculation!AI25+Calculation!CZ25</f>
        <v>47.179773141483693</v>
      </c>
      <c r="AG25" s="106">
        <f>Sheet1!AA25+Sheet1!BN25+'Calculations II'!BC25+'Calculations II'!P25-Sheet1!CP25-BP25</f>
        <v>32.709773141483694</v>
      </c>
      <c r="AH25" s="106">
        <f>Sheet1!AA25+Sheet1!BN25+'Calculations II'!BC25+'Calculations II'!P25-BP25</f>
        <v>47.179773141483693</v>
      </c>
      <c r="AI25" s="106">
        <f>BC25+Sheet1!AA25+Calculation!EI25+O25+W25+Sheet1!BN25+Calculation!AI25+Calculation!CZ25-BP25</f>
        <v>47.179773141483693</v>
      </c>
      <c r="AJ25" s="106"/>
      <c r="AM25" s="102">
        <f t="shared" si="8"/>
        <v>40554</v>
      </c>
      <c r="AN25" s="106"/>
      <c r="AO25" s="106"/>
      <c r="AR25" s="106"/>
      <c r="AT25" s="101">
        <f>Sheet1!AR25*GPMtoMGD</f>
        <v>0</v>
      </c>
      <c r="AU25" s="101">
        <f>Sheet1!AS25*GPMtoMGD</f>
        <v>2.6495999999999999E-2</v>
      </c>
      <c r="AV25" s="101">
        <f>Sheet1!AT25*GPMtoMGD</f>
        <v>0</v>
      </c>
      <c r="AW25" s="101">
        <f>Sheet1!AV25*GPMtoMGD</f>
        <v>0.23889600000000002</v>
      </c>
      <c r="AX25" s="101">
        <f>Sheet1!AW25*GPMtoMGD</f>
        <v>1.962432</v>
      </c>
      <c r="AY25" s="101">
        <f>Sheet1!AX25*GPMtoMGD</f>
        <v>0</v>
      </c>
      <c r="AZ25" s="101">
        <f>Sheet1!AY25*GPMtoMGD</f>
        <v>0</v>
      </c>
      <c r="BA25" s="101">
        <f>Sheet1!AZ25*GPMtoMGD</f>
        <v>0</v>
      </c>
      <c r="BB25" s="101">
        <f>Sheet1!BP25*GPMtoMGD</f>
        <v>0</v>
      </c>
      <c r="BC25" s="101">
        <f>Sheet1!CO25*GPMtoMGD</f>
        <v>0</v>
      </c>
      <c r="BD25" s="101">
        <f>Sheet1!BO25*GPMtoMGD</f>
        <v>0.92880000000000007</v>
      </c>
      <c r="BE25" s="101">
        <f>Sheet1!BV25*GPMtoMGD</f>
        <v>0.94291199999999997</v>
      </c>
      <c r="BF25" s="101">
        <f>Sheet1!CJ25*GPMtoMGD</f>
        <v>0.20145600000000002</v>
      </c>
      <c r="BG25" s="101">
        <f>Sheet1!CK25*GPMtoMGD</f>
        <v>0.54489600000000005</v>
      </c>
      <c r="BH25" s="101">
        <f>Sheet1!CL25*GPMtoMGD</f>
        <v>0.71510400000000007</v>
      </c>
      <c r="BI25" s="101">
        <f t="shared" si="9"/>
        <v>0.92880000000000007</v>
      </c>
      <c r="BK25" s="106">
        <f>SUM(AT25:BA25,BE25,Sheet1!BU25,'Calculations II'!BC25,Calculation!AG25)</f>
        <v>42.500735999998838</v>
      </c>
      <c r="BM25" s="439">
        <f>IF(AND(Sheet1!BQ25&lt;=11.5,Sheet1!BQ24&gt;Sheet1!BQ25),(MIN(Lookup!$C$119,VLOOKUP(Sheet1!BQ24,Lookup!$B$4:$J$236,2))-VLOOKUP(Sheet1!BQ25,Lookup!$B$4:$J$236,2))/1000000,0)</f>
        <v>0</v>
      </c>
      <c r="BN25" s="439">
        <f>IF(AND(Sheet1!BR25&lt;=11.5,Sheet1!BR24&gt;Sheet1!BR25),(MIN(Lookup!$D$119,VLOOKUP(Sheet1!BR24,Lookup!$B$4:$J$236,3))-VLOOKUP(Sheet1!BR25,Lookup!$B$4:$J$236,3))/1000000,0)</f>
        <v>0</v>
      </c>
      <c r="BP25" s="105">
        <f>SUM(BM25:BN25,W25,Sheet1!DT25)</f>
        <v>0</v>
      </c>
    </row>
    <row r="26" spans="1:68" s="101" customFormat="1">
      <c r="A26" s="101" t="s">
        <v>5</v>
      </c>
      <c r="B26" s="103">
        <v>40555</v>
      </c>
      <c r="C26" s="104">
        <v>0.33333333333357601</v>
      </c>
      <c r="E26" s="30"/>
      <c r="F26" s="30">
        <f>-(VLOOKUP(Sheet1!BZ26,Lookup!$I$4:$J$216,2)-VLOOKUP(Sheet1!BZ25,Lookup!$I$4:$J$216,2))/1000000</f>
        <v>-0.20727387709559872</v>
      </c>
      <c r="G26" s="106">
        <f>-$G$6*(Sheet1!CB26-Sheet1!CB25)*7.48/1000000</f>
        <v>0.27799450736791476</v>
      </c>
      <c r="H26" s="106">
        <f>-$H$6*(Sheet1!CA26-Sheet1!CA25)*7.48/1000000</f>
        <v>-0.81212934696831351</v>
      </c>
      <c r="I26" s="106">
        <f>-$I$6*(Sheet1!CC26-Sheet1!CC25)*7.48/1000000</f>
        <v>-0.41380469384462204</v>
      </c>
      <c r="J26" s="107" t="s">
        <v>193</v>
      </c>
      <c r="K26" s="106">
        <f>-$I$6*(Sheet1!CD26-Sheet1!CD25)*7.48/1000000</f>
        <v>-0.41380469384462221</v>
      </c>
      <c r="L26" s="107" t="s">
        <v>193</v>
      </c>
      <c r="M26" s="106">
        <f>-$M$6*(Sheet1!CE26-Sheet1!CE25)*7.48/1000000</f>
        <v>-8.6623164867959804E-2</v>
      </c>
      <c r="N26" s="106">
        <f>-$N$6*(Sheet1!CF26-Sheet1!CF25)*7.48/1000000</f>
        <v>-0.17995180164440877</v>
      </c>
      <c r="O26" s="106">
        <f t="shared" si="5"/>
        <v>-1.8355930708976103</v>
      </c>
      <c r="P26" s="106">
        <f>O26+Calculation!EI26</f>
        <v>-1.5689930708976103</v>
      </c>
      <c r="Q26" s="101" t="str">
        <f>IF(Sheet1!BQ26&gt;21.75,"spill elevation","-")</f>
        <v>-</v>
      </c>
      <c r="R26" s="101" t="str">
        <f>IF(Sheet1!BR26&gt;21.75,"spill elevation","-")</f>
        <v>-</v>
      </c>
      <c r="S26" s="101" t="str">
        <f>IF(Sheet1!BS26&gt;21.75,"spill elevation","-")</f>
        <v>-</v>
      </c>
      <c r="T26" s="105">
        <f>IF(Sheet1!DQ26=1,Sheet1!AA26-(SUM(AT26:BA26)+BE26),Sheet1!AA26-SUM(AT26:BA26))</f>
        <v>28.183120000004074</v>
      </c>
      <c r="U26" s="105">
        <f>Sheet1!BU26</f>
        <v>26.8</v>
      </c>
      <c r="V26" s="105">
        <f t="shared" si="6"/>
        <v>1.3831200000040731</v>
      </c>
      <c r="W26" s="105">
        <f t="shared" si="7"/>
        <v>0</v>
      </c>
      <c r="X26" s="101">
        <f>IF((Sheet1!EX26-Sheet1!EX25)&lt;0,(Sheet1!EX26+100000-Sheet1!EX25)/1000,(Sheet1!EX26-Sheet1!EX25)/1000)</f>
        <v>0.878</v>
      </c>
      <c r="Y26" s="106">
        <f>Calculation!DZ27+Calculation!EI26+'Calculations II'!O26-'Calculations II'!W26</f>
        <v>42.891006929108791</v>
      </c>
      <c r="Z26" s="106">
        <f>Y26-Sheet1!CP27</f>
        <v>28.231006929108791</v>
      </c>
      <c r="AA26" s="106">
        <f>Y26+Calculation!CZ27+Calculation!AI27</f>
        <v>42.891006929108791</v>
      </c>
      <c r="AC26" s="106">
        <f>Sheet1!AA26+Sheet1!AB26+BC26</f>
        <v>44.940000000002328</v>
      </c>
      <c r="AD26" s="106">
        <f>Sheet1!AA26+Sheet1!BN26+'Calculations II'!BC26-Calculation!AI26-Calculation!CZ26</f>
        <v>44.970000000004077</v>
      </c>
      <c r="AE26" s="106">
        <f>Sheet1!AA26+Sheet1!AB26+'Calculations II'!BC26-Calculation!AI26-Calculation!CZ26</f>
        <v>44.940000000002328</v>
      </c>
      <c r="AF26" s="106">
        <f>Sheet1!AA26+Sheet1!BN26+P26+'Calculations II'!BC26+Calculation!AI26+Calculation!CZ26</f>
        <v>43.401006929106465</v>
      </c>
      <c r="AG26" s="106">
        <f>Sheet1!AA26+Sheet1!BN26+'Calculations II'!BC26+'Calculations II'!P26-Sheet1!CP26-BP26</f>
        <v>29.371006929106464</v>
      </c>
      <c r="AH26" s="106">
        <f>Sheet1!AA26+Sheet1!BN26+'Calculations II'!BC26+'Calculations II'!P26-BP26</f>
        <v>43.401006929106465</v>
      </c>
      <c r="AI26" s="106">
        <f>BC26+Sheet1!AA26+Calculation!EI26+O26+W26+Sheet1!BN26+Calculation!AI26+Calculation!CZ26-BP26</f>
        <v>43.401006929106465</v>
      </c>
      <c r="AJ26" s="106"/>
      <c r="AM26" s="102">
        <f t="shared" si="8"/>
        <v>40555</v>
      </c>
      <c r="AN26" s="106"/>
      <c r="AO26" s="106"/>
      <c r="AR26" s="106"/>
      <c r="AT26" s="101">
        <f>Sheet1!AR26*GPMtoMGD</f>
        <v>0</v>
      </c>
      <c r="AU26" s="101">
        <f>Sheet1!AS26*GPMtoMGD</f>
        <v>5.3568000000000005E-2</v>
      </c>
      <c r="AV26" s="101">
        <f>Sheet1!AT26*GPMtoMGD</f>
        <v>0</v>
      </c>
      <c r="AW26" s="101">
        <f>Sheet1!AV26*GPMtoMGD</f>
        <v>0.73569600000000002</v>
      </c>
      <c r="AX26" s="101">
        <f>Sheet1!AW26*GPMtoMGD</f>
        <v>0.79761599999999999</v>
      </c>
      <c r="AY26" s="101">
        <f>Sheet1!AX26*GPMtoMGD</f>
        <v>0</v>
      </c>
      <c r="AZ26" s="101">
        <f>Sheet1!AY26*GPMtoMGD</f>
        <v>0</v>
      </c>
      <c r="BA26" s="101">
        <f>Sheet1!AZ26*GPMtoMGD</f>
        <v>0</v>
      </c>
      <c r="BB26" s="101">
        <f>Sheet1!BP26*GPMtoMGD</f>
        <v>0</v>
      </c>
      <c r="BC26" s="101">
        <f>Sheet1!CO26*GPMtoMGD</f>
        <v>0</v>
      </c>
      <c r="BD26" s="101">
        <f>Sheet1!BO26*GPMtoMGD</f>
        <v>2.4181919999999999</v>
      </c>
      <c r="BE26" s="101">
        <f>Sheet1!BV26*GPMtoMGD</f>
        <v>0.95356800000000008</v>
      </c>
      <c r="BF26" s="101">
        <f>Sheet1!CJ26*GPMtoMGD</f>
        <v>0.22968000000000002</v>
      </c>
      <c r="BG26" s="101">
        <f>Sheet1!CK26*GPMtoMGD</f>
        <v>0.55296000000000001</v>
      </c>
      <c r="BH26" s="101">
        <f>Sheet1!CL26*GPMtoMGD</f>
        <v>0.7142400000000001</v>
      </c>
      <c r="BI26" s="101">
        <f t="shared" si="9"/>
        <v>2.4181919999999999</v>
      </c>
      <c r="BK26" s="106">
        <f>SUM(AT26:BA26,BE26,Sheet1!BU26,'Calculations II'!BC26,Calculation!AG26)</f>
        <v>44.510447999998256</v>
      </c>
      <c r="BM26" s="439">
        <f>IF(AND(Sheet1!BQ26&lt;=11.5,Sheet1!BQ25&gt;Sheet1!BQ26),(MIN(Lookup!$C$119,VLOOKUP(Sheet1!BQ25,Lookup!$B$4:$J$236,2))-VLOOKUP(Sheet1!BQ26,Lookup!$B$4:$J$236,2))/1000000,0)</f>
        <v>0</v>
      </c>
      <c r="BN26" s="439">
        <f>IF(AND(Sheet1!BR26&lt;=11.5,Sheet1!BR25&gt;Sheet1!BR26),(MIN(Lookup!$D$119,VLOOKUP(Sheet1!BR25,Lookup!$B$4:$J$236,3))-VLOOKUP(Sheet1!BR26,Lookup!$B$4:$J$236,3))/1000000,0)</f>
        <v>0</v>
      </c>
      <c r="BP26" s="105">
        <f>SUM(BM26:BN26,W26,Sheet1!DT26)</f>
        <v>0</v>
      </c>
    </row>
    <row r="27" spans="1:68" s="101" customFormat="1">
      <c r="A27" s="101" t="s">
        <v>6</v>
      </c>
      <c r="B27" s="103">
        <v>40556</v>
      </c>
      <c r="C27" s="104">
        <v>0.33333333333357601</v>
      </c>
      <c r="E27" s="30"/>
      <c r="F27" s="30">
        <f>-(VLOOKUP(Sheet1!BZ27,Lookup!$I$4:$J$216,2)-VLOOKUP(Sheet1!BZ26,Lookup!$I$4:$J$216,2))/1000000</f>
        <v>0.72545856983459556</v>
      </c>
      <c r="G27" s="106">
        <f>-$G$6*(Sheet1!CB27-Sheet1!CB26)*7.48/1000000</f>
        <v>-0.15885400421023735</v>
      </c>
      <c r="H27" s="106">
        <f>-$H$6*(Sheet1!CA27-Sheet1!CA26)*7.48/1000000</f>
        <v>-0.33086751172783063</v>
      </c>
      <c r="I27" s="106">
        <f>-$I$6*(Sheet1!CC27-Sheet1!CC26)*7.48/1000000</f>
        <v>-0.61171128655291962</v>
      </c>
      <c r="J27" s="107" t="s">
        <v>193</v>
      </c>
      <c r="K27" s="106">
        <f>-$I$6*(Sheet1!CD27-Sheet1!CD26)*7.48/1000000</f>
        <v>-0.61171128655291929</v>
      </c>
      <c r="L27" s="107" t="s">
        <v>193</v>
      </c>
      <c r="M27" s="106">
        <f>-$M$6*(Sheet1!CE27-Sheet1!CE26)*7.48/1000000</f>
        <v>-0.29318609647617144</v>
      </c>
      <c r="N27" s="106">
        <f>-$N$6*(Sheet1!CF27-Sheet1!CF26)*7.48/1000000</f>
        <v>0.12410469078924735</v>
      </c>
      <c r="O27" s="106">
        <f t="shared" ref="O27:O45" si="10">SUM(F27:I27)+K27+SUM(M27:N27)</f>
        <v>-1.1567669248962353</v>
      </c>
      <c r="P27" s="106">
        <f>O27+Calculation!EI27</f>
        <v>-1.4233669248962353</v>
      </c>
      <c r="Q27" s="101" t="str">
        <f>IF(Sheet1!BQ27&gt;21.75,"spill elevation","-")</f>
        <v>-</v>
      </c>
      <c r="R27" s="101" t="str">
        <f>IF(Sheet1!BR27&gt;21.75,"spill elevation","-")</f>
        <v>-</v>
      </c>
      <c r="S27" s="101" t="str">
        <f>IF(Sheet1!BS27&gt;21.75,"spill elevation","-")</f>
        <v>-</v>
      </c>
      <c r="T27" s="105">
        <f>IF(Sheet1!DQ27=1,Sheet1!AA27-(SUM(AT27:BA27)+BE27),Sheet1!AA27-SUM(AT27:BA27))</f>
        <v>28.989792000007569</v>
      </c>
      <c r="U27" s="105">
        <f>Sheet1!BU27</f>
        <v>27.2</v>
      </c>
      <c r="V27" s="105">
        <f t="shared" ref="V27:V45" si="11">T27-U27</f>
        <v>1.7897920000075693</v>
      </c>
      <c r="W27" s="105">
        <f t="shared" ref="W27:W45" si="12">IF(AND(OR(Q27="spill elevation",R27="spill elevation",S27="spill elevation",Q28="spill elevation",R28="spill elevation",S28="spill elevation"),V27&gt;0),V27,0)</f>
        <v>0</v>
      </c>
      <c r="X27" s="101">
        <f>IF((Sheet1!EX27-Sheet1!EX26)&lt;0,(Sheet1!EX27+100000-Sheet1!EX26)/1000,(Sheet1!EX27-Sheet1!EX26)/1000)</f>
        <v>0.75800000000000001</v>
      </c>
      <c r="Y27" s="106">
        <f>Calculation!DZ28+Calculation!EI27+'Calculations II'!O27-'Calculations II'!W27</f>
        <v>45.746633075102025</v>
      </c>
      <c r="Z27" s="106">
        <f>Y27-Sheet1!CP28</f>
        <v>30.476633075102026</v>
      </c>
      <c r="AA27" s="106">
        <f>Y27+Calculation!CZ28+Calculation!AI28</f>
        <v>45.746633075102025</v>
      </c>
      <c r="AC27" s="106">
        <f>Sheet1!AA27+Sheet1!AB27+BC27</f>
        <v>44.460000000006403</v>
      </c>
      <c r="AD27" s="106">
        <f>Sheet1!AA27+Sheet1!BN27+'Calculations II'!BC27-Calculation!AI27-Calculation!CZ27</f>
        <v>44.530000000007568</v>
      </c>
      <c r="AE27" s="106">
        <f>Sheet1!AA27+Sheet1!AB27+'Calculations II'!BC27-Calculation!AI27-Calculation!CZ27</f>
        <v>44.460000000006403</v>
      </c>
      <c r="AF27" s="106">
        <f>Sheet1!AA27+Sheet1!BN27+P27+'Calculations II'!BC27+Calculation!AI27+Calculation!CZ27</f>
        <v>43.106633075111333</v>
      </c>
      <c r="AG27" s="106">
        <f>Sheet1!AA27+Sheet1!BN27+'Calculations II'!BC27+'Calculations II'!P27-Sheet1!CP27-BP27</f>
        <v>28.446633075111333</v>
      </c>
      <c r="AH27" s="106">
        <f>Sheet1!AA27+Sheet1!BN27+'Calculations II'!BC27+'Calculations II'!P27-BP27</f>
        <v>43.106633075111333</v>
      </c>
      <c r="AI27" s="106">
        <f>BC27+Sheet1!AA27+Calculation!EI27+O27+W27+Sheet1!BN27+Calculation!AI27+Calculation!CZ27-BP27</f>
        <v>43.106633075111333</v>
      </c>
      <c r="AJ27" s="106"/>
      <c r="AM27" s="102">
        <f t="shared" ref="AM27:AM45" si="13">B27</f>
        <v>40556</v>
      </c>
      <c r="AN27" s="106"/>
      <c r="AO27" s="106"/>
      <c r="AR27" s="106"/>
      <c r="AT27" s="101">
        <f>Sheet1!AR27*GPMtoMGD</f>
        <v>0</v>
      </c>
      <c r="AU27" s="101">
        <f>Sheet1!AS27*GPMtoMGD</f>
        <v>2.6495999999999999E-2</v>
      </c>
      <c r="AV27" s="101">
        <f>Sheet1!AT27*GPMtoMGD</f>
        <v>0</v>
      </c>
      <c r="AW27" s="101">
        <f>Sheet1!AV27*GPMtoMGD</f>
        <v>0</v>
      </c>
      <c r="AX27" s="101">
        <f>Sheet1!AW27*GPMtoMGD</f>
        <v>0.41371200000000002</v>
      </c>
      <c r="AY27" s="101">
        <f>Sheet1!AX27*GPMtoMGD</f>
        <v>0</v>
      </c>
      <c r="AZ27" s="101">
        <f>Sheet1!AY27*GPMtoMGD</f>
        <v>0</v>
      </c>
      <c r="BA27" s="101">
        <f>Sheet1!AZ27*GPMtoMGD</f>
        <v>0</v>
      </c>
      <c r="BB27" s="101">
        <f>Sheet1!BP27*GPMtoMGD</f>
        <v>0</v>
      </c>
      <c r="BC27" s="101">
        <f>Sheet1!CO27*GPMtoMGD</f>
        <v>0</v>
      </c>
      <c r="BD27" s="101">
        <f>Sheet1!BO27*GPMtoMGD</f>
        <v>2.7089280000000002</v>
      </c>
      <c r="BE27" s="101">
        <f>Sheet1!BV27*GPMtoMGD</f>
        <v>0.64900800000000003</v>
      </c>
      <c r="BF27" s="101">
        <f>Sheet1!CJ27*GPMtoMGD</f>
        <v>0.26236799999999999</v>
      </c>
      <c r="BG27" s="101">
        <f>Sheet1!CK27*GPMtoMGD</f>
        <v>0.54489600000000005</v>
      </c>
      <c r="BH27" s="101">
        <f>Sheet1!CL27*GPMtoMGD</f>
        <v>0.73785600000000007</v>
      </c>
      <c r="BI27" s="101">
        <f t="shared" ref="BI27:BI45" si="14">BD27+BB27</f>
        <v>2.7089280000000002</v>
      </c>
      <c r="BK27" s="106">
        <f>SUM(AT27:BA27,BE27,Sheet1!BU27,'Calculations II'!BC27,Calculation!AG27)</f>
        <v>43.319215999998832</v>
      </c>
      <c r="BM27" s="439">
        <f>IF(AND(Sheet1!BQ27&lt;=11.5,Sheet1!BQ26&gt;Sheet1!BQ27),(MIN(Lookup!$C$119,VLOOKUP(Sheet1!BQ26,Lookup!$B$4:$J$236,2))-VLOOKUP(Sheet1!BQ27,Lookup!$B$4:$J$236,2))/1000000,0)</f>
        <v>0</v>
      </c>
      <c r="BN27" s="439">
        <f>IF(AND(Sheet1!BR27&lt;=11.5,Sheet1!BR26&gt;Sheet1!BR27),(MIN(Lookup!$D$119,VLOOKUP(Sheet1!BR26,Lookup!$B$4:$J$236,3))-VLOOKUP(Sheet1!BR27,Lookup!$B$4:$J$236,3))/1000000,0)</f>
        <v>0</v>
      </c>
      <c r="BP27" s="105">
        <f>SUM(BM27:BN27,W27,Sheet1!DT27)</f>
        <v>0</v>
      </c>
    </row>
    <row r="28" spans="1:68" s="101" customFormat="1">
      <c r="A28" s="101" t="s">
        <v>7</v>
      </c>
      <c r="B28" s="103">
        <v>40557</v>
      </c>
      <c r="C28" s="104">
        <v>0.33333333333357601</v>
      </c>
      <c r="E28" s="30"/>
      <c r="F28" s="30">
        <f>-(VLOOKUP(Sheet1!BZ28,Lookup!$I$4:$J$216,2)-VLOOKUP(Sheet1!BZ27,Lookup!$I$4:$J$216,2))/1000000</f>
        <v>-0.72545856983459556</v>
      </c>
      <c r="G28" s="106">
        <f>-$G$6*(Sheet1!CB28-Sheet1!CB27)*7.48/1000000</f>
        <v>-0.43684851157815213</v>
      </c>
      <c r="H28" s="106">
        <f>-$H$6*(Sheet1!CA28-Sheet1!CA27)*7.48/1000000</f>
        <v>0.76701104991451829</v>
      </c>
      <c r="I28" s="106">
        <f>-$I$6*(Sheet1!CC28-Sheet1!CC27)*7.48/1000000</f>
        <v>0.19790659270829747</v>
      </c>
      <c r="J28" s="107" t="s">
        <v>193</v>
      </c>
      <c r="K28" s="106">
        <f>-$I$6*(Sheet1!CD28-Sheet1!CD27)*7.48/1000000</f>
        <v>0.17991508428027048</v>
      </c>
      <c r="L28" s="107" t="s">
        <v>193</v>
      </c>
      <c r="M28" s="106">
        <f>-$M$6*(Sheet1!CE28-Sheet1!CE27)*7.48/1000000</f>
        <v>7.3296524119042972E-2</v>
      </c>
      <c r="N28" s="106">
        <f>-$N$6*(Sheet1!CF28-Sheet1!CF27)*7.48/1000000</f>
        <v>-1.861570361838677E-2</v>
      </c>
      <c r="O28" s="106">
        <f t="shared" si="10"/>
        <v>3.7206465990994808E-2</v>
      </c>
      <c r="P28" s="106">
        <f>O28+Calculation!EI28</f>
        <v>1.6383064659909947</v>
      </c>
      <c r="Q28" s="101" t="str">
        <f>IF(Sheet1!BQ28&gt;21.75,"spill elevation","-")</f>
        <v>-</v>
      </c>
      <c r="R28" s="101" t="str">
        <f>IF(Sheet1!BR28&gt;21.75,"spill elevation","-")</f>
        <v>-</v>
      </c>
      <c r="S28" s="101" t="str">
        <f>IF(Sheet1!BS28&gt;21.75,"spill elevation","-")</f>
        <v>-</v>
      </c>
      <c r="T28" s="105">
        <f>IF(Sheet1!DQ28=1,Sheet1!AA28-(SUM(AT28:BA28)+BE28),Sheet1!AA28-SUM(AT28:BA28))</f>
        <v>28.732239999997091</v>
      </c>
      <c r="U28" s="105">
        <f>Sheet1!BU28</f>
        <v>27.7</v>
      </c>
      <c r="V28" s="105">
        <f t="shared" si="11"/>
        <v>1.0322399999970919</v>
      </c>
      <c r="W28" s="105">
        <f t="shared" si="12"/>
        <v>0</v>
      </c>
      <c r="X28" s="101">
        <f>IF((Sheet1!EX28-Sheet1!EX27)&lt;0,(Sheet1!EX28+100000-Sheet1!EX27)/1000,(Sheet1!EX28-Sheet1!EX27)/1000)</f>
        <v>0.78600000000000003</v>
      </c>
      <c r="Y28" s="106">
        <f>Calculation!DZ29+Calculation!EI28+'Calculations II'!O28-'Calculations II'!W28</f>
        <v>47.638306465991</v>
      </c>
      <c r="Z28" s="106">
        <f>Y28-Sheet1!CP29</f>
        <v>32.238306465991002</v>
      </c>
      <c r="AA28" s="106">
        <f>Y28+Calculation!CZ29+Calculation!AI29</f>
        <v>47.638306465991</v>
      </c>
      <c r="AC28" s="106">
        <f>Sheet1!AA28+Sheet1!AB28+BC28</f>
        <v>47.169999999998254</v>
      </c>
      <c r="AD28" s="106">
        <f>Sheet1!AA28+Sheet1!BN28+'Calculations II'!BC28-Calculation!AI28-Calculation!CZ28</f>
        <v>46.299999999997091</v>
      </c>
      <c r="AE28" s="106">
        <f>Sheet1!AA28+Sheet1!AB28+'Calculations II'!BC28-Calculation!AI28-Calculation!CZ28</f>
        <v>47.169999999998254</v>
      </c>
      <c r="AF28" s="106">
        <f>Sheet1!AA28+Sheet1!BN28+P28+'Calculations II'!BC28+Calculation!AI28+Calculation!CZ28</f>
        <v>47.938306465988084</v>
      </c>
      <c r="AG28" s="106">
        <f>Sheet1!AA28+Sheet1!BN28+'Calculations II'!BC28+'Calculations II'!P28-Sheet1!CP28-BP28</f>
        <v>32.668306465988081</v>
      </c>
      <c r="AH28" s="106">
        <f>Sheet1!AA28+Sheet1!BN28+'Calculations II'!BC28+'Calculations II'!P28-BP28</f>
        <v>47.938306465988084</v>
      </c>
      <c r="AI28" s="106">
        <f>BC28+Sheet1!AA28+Calculation!EI28+O28+W28+Sheet1!BN28+Calculation!AI28+Calculation!CZ28-BP28</f>
        <v>47.938306465988092</v>
      </c>
      <c r="AJ28" s="106"/>
      <c r="AM28" s="102">
        <f t="shared" si="13"/>
        <v>40557</v>
      </c>
      <c r="AN28" s="106"/>
      <c r="AO28" s="106"/>
      <c r="AR28" s="106"/>
      <c r="AT28" s="101">
        <f>Sheet1!AR28*GPMtoMGD</f>
        <v>0</v>
      </c>
      <c r="AU28" s="101">
        <f>Sheet1!AS28*GPMtoMGD</f>
        <v>2.7072000000000002E-2</v>
      </c>
      <c r="AV28" s="101">
        <f>Sheet1!AT28*GPMtoMGD</f>
        <v>0</v>
      </c>
      <c r="AW28" s="101">
        <f>Sheet1!AV28*GPMtoMGD</f>
        <v>0.25747200000000003</v>
      </c>
      <c r="AX28" s="101">
        <f>Sheet1!AW28*GPMtoMGD</f>
        <v>1.6832160000000003</v>
      </c>
      <c r="AY28" s="101">
        <f>Sheet1!AX28*GPMtoMGD</f>
        <v>0</v>
      </c>
      <c r="AZ28" s="101">
        <f>Sheet1!AY28*GPMtoMGD</f>
        <v>0</v>
      </c>
      <c r="BA28" s="101">
        <f>Sheet1!AZ28*GPMtoMGD</f>
        <v>0</v>
      </c>
      <c r="BB28" s="101">
        <f>Sheet1!BP28*GPMtoMGD</f>
        <v>0</v>
      </c>
      <c r="BC28" s="101">
        <f>Sheet1!CO28*GPMtoMGD</f>
        <v>0</v>
      </c>
      <c r="BD28" s="101">
        <f>Sheet1!BO28*GPMtoMGD</f>
        <v>1.439424</v>
      </c>
      <c r="BE28" s="101">
        <f>Sheet1!BV28*GPMtoMGD</f>
        <v>0.96609600000000007</v>
      </c>
      <c r="BF28" s="101">
        <f>Sheet1!CJ28*GPMtoMGD</f>
        <v>0.38347200000000004</v>
      </c>
      <c r="BG28" s="101">
        <f>Sheet1!CK28*GPMtoMGD</f>
        <v>0.55555200000000005</v>
      </c>
      <c r="BH28" s="101">
        <f>Sheet1!CL28*GPMtoMGD</f>
        <v>0.754992</v>
      </c>
      <c r="BI28" s="101">
        <f t="shared" si="14"/>
        <v>1.439424</v>
      </c>
      <c r="BK28" s="106">
        <f>SUM(AT28:BA28,BE28,Sheet1!BU28,'Calculations II'!BC28,Calculation!AG28)</f>
        <v>47.103856000001166</v>
      </c>
      <c r="BM28" s="439">
        <f>IF(AND(Sheet1!BQ28&lt;=11.5,Sheet1!BQ27&gt;Sheet1!BQ28),(MIN(Lookup!$C$119,VLOOKUP(Sheet1!BQ27,Lookup!$B$4:$J$236,2))-VLOOKUP(Sheet1!BQ28,Lookup!$B$4:$J$236,2))/1000000,0)</f>
        <v>0</v>
      </c>
      <c r="BN28" s="439">
        <f>IF(AND(Sheet1!BR28&lt;=11.5,Sheet1!BR27&gt;Sheet1!BR28),(MIN(Lookup!$D$119,VLOOKUP(Sheet1!BR27,Lookup!$B$4:$J$236,3))-VLOOKUP(Sheet1!BR28,Lookup!$B$4:$J$236,3))/1000000,0)</f>
        <v>0</v>
      </c>
      <c r="BP28" s="105">
        <f>SUM(BM28:BN28,W28,Sheet1!DT28)</f>
        <v>0</v>
      </c>
    </row>
    <row r="29" spans="1:68" s="101" customFormat="1">
      <c r="A29" s="101" t="s">
        <v>8</v>
      </c>
      <c r="B29" s="103">
        <v>40558</v>
      </c>
      <c r="C29" s="104">
        <v>0.33333333333357601</v>
      </c>
      <c r="E29" s="30"/>
      <c r="F29" s="30">
        <f>-(VLOOKUP(Sheet1!BZ29,Lookup!$I$4:$J$216,2)-VLOOKUP(Sheet1!BZ28,Lookup!$I$4:$J$216,2))/1000000</f>
        <v>0.10363693854779936</v>
      </c>
      <c r="G29" s="106">
        <f>-$G$6*(Sheet1!CB29-Sheet1!CB28)*7.48/1000000</f>
        <v>0.3177080084204747</v>
      </c>
      <c r="H29" s="106">
        <f>-$H$6*(Sheet1!CA29-Sheet1!CA28)*7.48/1000000</f>
        <v>0</v>
      </c>
      <c r="I29" s="106">
        <f>-$I$6*(Sheet1!CC29-Sheet1!CC28)*7.48/1000000</f>
        <v>0.12594055899618953</v>
      </c>
      <c r="J29" s="107" t="s">
        <v>193</v>
      </c>
      <c r="K29" s="106">
        <f>-$I$6*(Sheet1!CD29-Sheet1!CD28)*7.48/1000000</f>
        <v>0.14393206742421619</v>
      </c>
      <c r="L29" s="107" t="s">
        <v>193</v>
      </c>
      <c r="M29" s="106">
        <f>-$M$6*(Sheet1!CE29-Sheet1!CE28)*7.48/1000000</f>
        <v>4.6643242621209044E-2</v>
      </c>
      <c r="N29" s="106">
        <f>-$N$6*(Sheet1!CF29-Sheet1!CF28)*7.48/1000000</f>
        <v>6.2052345394622583E-3</v>
      </c>
      <c r="O29" s="106">
        <f t="shared" si="10"/>
        <v>0.74406605054935104</v>
      </c>
      <c r="P29" s="106">
        <f>O29+Calculation!EI29</f>
        <v>-1.6578339494506489</v>
      </c>
      <c r="Q29" s="101" t="str">
        <f>IF(Sheet1!BQ29&gt;21.75,"spill elevation","-")</f>
        <v>-</v>
      </c>
      <c r="R29" s="101" t="str">
        <f>IF(Sheet1!BR29&gt;21.75,"spill elevation","-")</f>
        <v>-</v>
      </c>
      <c r="S29" s="101" t="str">
        <f>IF(Sheet1!BS29&gt;21.75,"spill elevation","-")</f>
        <v>-</v>
      </c>
      <c r="T29" s="105">
        <f>IF(Sheet1!DQ29=1,Sheet1!AA29-(SUM(AT29:BA29)+BE29),Sheet1!AA29-SUM(AT29:BA29))</f>
        <v>27.11750400000291</v>
      </c>
      <c r="U29" s="105">
        <f>Sheet1!BU29</f>
        <v>23.4</v>
      </c>
      <c r="V29" s="105">
        <f t="shared" si="11"/>
        <v>3.7175040000029114</v>
      </c>
      <c r="W29" s="105">
        <f t="shared" si="12"/>
        <v>0</v>
      </c>
      <c r="X29" s="101">
        <f>IF((Sheet1!EX29-Sheet1!EX28)&lt;0,(Sheet1!EX29+100000-Sheet1!EX28)/1000,(Sheet1!EX29-Sheet1!EX28)/1000)</f>
        <v>0.754</v>
      </c>
      <c r="Y29" s="106">
        <f>Calculation!DZ30+Calculation!EI29+'Calculations II'!O29-'Calculations II'!W29</f>
        <v>42.942166050555173</v>
      </c>
      <c r="Z29" s="106">
        <f>Y29-Sheet1!CP30</f>
        <v>27.762166050555173</v>
      </c>
      <c r="AA29" s="106">
        <f>Y29+Calculation!CZ30+Calculation!AI30</f>
        <v>42.942166050555173</v>
      </c>
      <c r="AC29" s="106">
        <f>Sheet1!AA29+Sheet1!AB29+BC29</f>
        <v>46</v>
      </c>
      <c r="AD29" s="106">
        <f>Sheet1!AA29+Sheet1!BN29+'Calculations II'!BC29-Calculation!AI29-Calculation!CZ29</f>
        <v>45.900000000002912</v>
      </c>
      <c r="AE29" s="106">
        <f>Sheet1!AA29+Sheet1!AB29+'Calculations II'!BC29-Calculation!AI29-Calculation!CZ29</f>
        <v>46</v>
      </c>
      <c r="AF29" s="106">
        <f>Sheet1!AA29+Sheet1!BN29+P29+'Calculations II'!BC29+Calculation!AI29+Calculation!CZ29</f>
        <v>44.242166050552264</v>
      </c>
      <c r="AG29" s="106">
        <f>Sheet1!AA29+Sheet1!BN29+'Calculations II'!BC29+'Calculations II'!P29-Sheet1!CP29-BP29</f>
        <v>28.842166050552265</v>
      </c>
      <c r="AH29" s="106">
        <f>Sheet1!AA29+Sheet1!BN29+'Calculations II'!BC29+'Calculations II'!P29-BP29</f>
        <v>44.242166050552264</v>
      </c>
      <c r="AI29" s="106">
        <f>BC29+Sheet1!AA29+Calculation!EI29+O29+W29+Sheet1!BN29+Calculation!AI29+Calculation!CZ29-BP29</f>
        <v>44.242166050552257</v>
      </c>
      <c r="AJ29" s="106"/>
      <c r="AM29" s="102">
        <f t="shared" si="13"/>
        <v>40558</v>
      </c>
      <c r="AN29" s="106"/>
      <c r="AO29" s="106"/>
      <c r="AR29" s="106"/>
      <c r="AT29" s="101">
        <f>Sheet1!AR29*GPMtoMGD</f>
        <v>0</v>
      </c>
      <c r="AU29" s="101">
        <f>Sheet1!AS29*GPMtoMGD</f>
        <v>5.2991999999999997E-2</v>
      </c>
      <c r="AV29" s="101">
        <f>Sheet1!AT29*GPMtoMGD</f>
        <v>0</v>
      </c>
      <c r="AW29" s="101">
        <f>Sheet1!AV29*GPMtoMGD</f>
        <v>0.78220800000000013</v>
      </c>
      <c r="AX29" s="101">
        <f>Sheet1!AW29*GPMtoMGD</f>
        <v>0.84729600000000005</v>
      </c>
      <c r="AY29" s="101">
        <f>Sheet1!AX29*GPMtoMGD</f>
        <v>0</v>
      </c>
      <c r="AZ29" s="101">
        <f>Sheet1!AY29*GPMtoMGD</f>
        <v>0</v>
      </c>
      <c r="BA29" s="101">
        <f>Sheet1!AZ29*GPMtoMGD</f>
        <v>0</v>
      </c>
      <c r="BB29" s="101">
        <f>Sheet1!BP29*GPMtoMGD</f>
        <v>0</v>
      </c>
      <c r="BC29" s="101">
        <f>Sheet1!CO29*GPMtoMGD</f>
        <v>0</v>
      </c>
      <c r="BD29" s="101">
        <f>Sheet1!BO29*GPMtoMGD</f>
        <v>1.7182080000000002</v>
      </c>
      <c r="BE29" s="101">
        <f>Sheet1!BV29*GPMtoMGD</f>
        <v>0.96436800000000011</v>
      </c>
      <c r="BF29" s="101">
        <f>Sheet1!CJ29*GPMtoMGD</f>
        <v>0.42163200000000006</v>
      </c>
      <c r="BG29" s="101">
        <f>Sheet1!CK29*GPMtoMGD</f>
        <v>0.57528000000000001</v>
      </c>
      <c r="BH29" s="101">
        <f>Sheet1!CL29*GPMtoMGD</f>
        <v>0.843696</v>
      </c>
      <c r="BI29" s="101">
        <f t="shared" si="14"/>
        <v>1.7182080000000002</v>
      </c>
      <c r="BK29" s="106">
        <f>SUM(AT29:BA29,BE29,Sheet1!BU29,'Calculations II'!BC29,Calculation!AG29)</f>
        <v>43.246863999997089</v>
      </c>
      <c r="BM29" s="439">
        <f>IF(AND(Sheet1!BQ29&lt;=11.5,Sheet1!BQ28&gt;Sheet1!BQ29),(MIN(Lookup!$C$119,VLOOKUP(Sheet1!BQ28,Lookup!$B$4:$J$236,2))-VLOOKUP(Sheet1!BQ29,Lookup!$B$4:$J$236,2))/1000000,0)</f>
        <v>0</v>
      </c>
      <c r="BN29" s="439">
        <f>IF(AND(Sheet1!BR29&lt;=11.5,Sheet1!BR28&gt;Sheet1!BR29),(MIN(Lookup!$D$119,VLOOKUP(Sheet1!BR28,Lookup!$B$4:$J$236,3))-VLOOKUP(Sheet1!BR29,Lookup!$B$4:$J$236,3))/1000000,0)</f>
        <v>0</v>
      </c>
      <c r="BP29" s="105">
        <f>SUM(BM29:BN29,W29,Sheet1!DT29)</f>
        <v>0</v>
      </c>
    </row>
    <row r="30" spans="1:68" s="101" customFormat="1">
      <c r="A30" s="101" t="s">
        <v>9</v>
      </c>
      <c r="B30" s="103">
        <v>40559</v>
      </c>
      <c r="C30" s="104">
        <v>0.33333333333357601</v>
      </c>
      <c r="E30" s="30"/>
      <c r="F30" s="30">
        <f>-(VLOOKUP(Sheet1!BZ30,Lookup!$I$4:$J$216,2)-VLOOKUP(Sheet1!BZ29,Lookup!$I$4:$J$216,2))/1000000</f>
        <v>-0.20727387709560433</v>
      </c>
      <c r="G30" s="106">
        <f>-$G$6*(Sheet1!CB30-Sheet1!CB29)*7.48/1000000</f>
        <v>0.31770800842047398</v>
      </c>
      <c r="H30" s="106">
        <f>-$H$6*(Sheet1!CA30-Sheet1!CA29)*7.48/1000000</f>
        <v>-0.12031545881012112</v>
      </c>
      <c r="I30" s="106">
        <f>-$I$6*(Sheet1!CC30-Sheet1!CC29)*7.48/1000000</f>
        <v>0.14393206742421619</v>
      </c>
      <c r="J30" s="107" t="s">
        <v>193</v>
      </c>
      <c r="K30" s="106">
        <f>-$I$6*(Sheet1!CD30-Sheet1!CD29)*7.48/1000000</f>
        <v>0.14393206742421652</v>
      </c>
      <c r="L30" s="107" t="s">
        <v>193</v>
      </c>
      <c r="M30" s="106">
        <f>-$M$6*(Sheet1!CE30-Sheet1!CE29)*7.48/1000000</f>
        <v>5.3306562995667592E-2</v>
      </c>
      <c r="N30" s="106">
        <f>-$N$6*(Sheet1!CF30-Sheet1!CF29)*7.48/1000000</f>
        <v>-0.11169422171032285</v>
      </c>
      <c r="O30" s="106">
        <f t="shared" si="10"/>
        <v>0.219595148648526</v>
      </c>
      <c r="P30" s="106">
        <f>O30+Calculation!EI30</f>
        <v>-3.7965048513514739</v>
      </c>
      <c r="Q30" s="101" t="str">
        <f>IF(Sheet1!BQ30&gt;21.75,"spill elevation","-")</f>
        <v>-</v>
      </c>
      <c r="R30" s="101" t="str">
        <f>IF(Sheet1!BR30&gt;21.75,"spill elevation","-")</f>
        <v>-</v>
      </c>
      <c r="S30" s="101" t="str">
        <f>IF(Sheet1!BS30&gt;21.75,"spill elevation","-")</f>
        <v>-</v>
      </c>
      <c r="T30" s="105">
        <f>IF(Sheet1!DQ30=1,Sheet1!AA30-(SUM(AT30:BA30)+BE30),Sheet1!AA30-SUM(AT30:BA30))</f>
        <v>26.674911999999999</v>
      </c>
      <c r="U30" s="105">
        <f>Sheet1!BU30</f>
        <v>21.8</v>
      </c>
      <c r="V30" s="105">
        <f t="shared" si="11"/>
        <v>4.8749119999999984</v>
      </c>
      <c r="W30" s="105">
        <f t="shared" si="12"/>
        <v>0</v>
      </c>
      <c r="X30" s="101">
        <f>IF((Sheet1!EX30-Sheet1!EX29)&lt;0,(Sheet1!EX30+100000-Sheet1!EX29)/1000,(Sheet1!EX30-Sheet1!EX29)/1000)</f>
        <v>0.82899999999999996</v>
      </c>
      <c r="Y30" s="106">
        <f>Calculation!DZ31+Calculation!EI30+'Calculations II'!O30-'Calculations II'!W30</f>
        <v>40.6034951486427</v>
      </c>
      <c r="Z30" s="106">
        <f>Y30-Sheet1!CP31</f>
        <v>25.333495148642701</v>
      </c>
      <c r="AA30" s="106">
        <f>Y30+Calculation!CZ31+Calculation!AI31</f>
        <v>40.6034951486427</v>
      </c>
      <c r="AC30" s="106">
        <f>Sheet1!AA30+Sheet1!AB30+BC30</f>
        <v>44.600000000005821</v>
      </c>
      <c r="AD30" s="106">
        <f>Sheet1!AA30+Sheet1!BN30+'Calculations II'!BC30-Calculation!AI30-Calculation!CZ30</f>
        <v>45</v>
      </c>
      <c r="AE30" s="106">
        <f>Sheet1!AA30+Sheet1!AB30+'Calculations II'!BC30-Calculation!AI30-Calculation!CZ30</f>
        <v>44.600000000005821</v>
      </c>
      <c r="AF30" s="106">
        <f>Sheet1!AA30+Sheet1!BN30+P30+'Calculations II'!BC30+Calculation!AI30+Calculation!CZ30</f>
        <v>41.203495148648528</v>
      </c>
      <c r="AG30" s="106">
        <f>Sheet1!AA30+Sheet1!BN30+'Calculations II'!BC30+'Calculations II'!P30-Sheet1!CP30-BP30</f>
        <v>26.023495148648529</v>
      </c>
      <c r="AH30" s="106">
        <f>Sheet1!AA30+Sheet1!BN30+'Calculations II'!BC30+'Calculations II'!P30-BP30</f>
        <v>41.203495148648528</v>
      </c>
      <c r="AI30" s="106">
        <f>BC30+Sheet1!AA30+Calculation!EI30+O30+W30+Sheet1!BN30+Calculation!AI30+Calculation!CZ30-BP30</f>
        <v>41.203495148648528</v>
      </c>
      <c r="AJ30" s="106"/>
      <c r="AM30" s="102">
        <f t="shared" si="13"/>
        <v>40559</v>
      </c>
      <c r="AN30" s="106"/>
      <c r="AO30" s="106"/>
      <c r="AR30" s="106"/>
      <c r="AT30" s="101">
        <f>Sheet1!AR30*GPMtoMGD</f>
        <v>0</v>
      </c>
      <c r="AU30" s="101">
        <f>Sheet1!AS30*GPMtoMGD</f>
        <v>2.8224000000000003E-2</v>
      </c>
      <c r="AV30" s="101">
        <f>Sheet1!AT30*GPMtoMGD</f>
        <v>0</v>
      </c>
      <c r="AW30" s="101">
        <f>Sheet1!AV30*GPMtoMGD</f>
        <v>0.57340800000000003</v>
      </c>
      <c r="AX30" s="101">
        <f>Sheet1!AW30*GPMtoMGD</f>
        <v>0.72345599999999999</v>
      </c>
      <c r="AY30" s="101">
        <f>Sheet1!AX30*GPMtoMGD</f>
        <v>0</v>
      </c>
      <c r="AZ30" s="101">
        <f>Sheet1!AY30*GPMtoMGD</f>
        <v>0</v>
      </c>
      <c r="BA30" s="101">
        <f>Sheet1!AZ30*GPMtoMGD</f>
        <v>0</v>
      </c>
      <c r="BB30" s="101">
        <f>Sheet1!BP30*GPMtoMGD</f>
        <v>0</v>
      </c>
      <c r="BC30" s="101">
        <f>Sheet1!CO30*GPMtoMGD</f>
        <v>0</v>
      </c>
      <c r="BD30" s="101">
        <f>Sheet1!BO30*GPMtoMGD</f>
        <v>1.7023680000000001</v>
      </c>
      <c r="BE30" s="101">
        <f>Sheet1!BV30*GPMtoMGD</f>
        <v>0.68212800000000007</v>
      </c>
      <c r="BF30" s="101">
        <f>Sheet1!CJ30*GPMtoMGD</f>
        <v>0.42724800000000002</v>
      </c>
      <c r="BG30" s="101">
        <f>Sheet1!CK30*GPMtoMGD</f>
        <v>0.59630400000000006</v>
      </c>
      <c r="BH30" s="101">
        <f>Sheet1!CL30*GPMtoMGD</f>
        <v>0.79156800000000016</v>
      </c>
      <c r="BI30" s="101">
        <f t="shared" si="14"/>
        <v>1.7023680000000001</v>
      </c>
      <c r="BK30" s="106">
        <f>SUM(AT30:BA30,BE30,Sheet1!BU30,'Calculations II'!BC30,Calculation!AG30)</f>
        <v>40.407216000005818</v>
      </c>
      <c r="BM30" s="439">
        <f>IF(AND(Sheet1!BQ30&lt;=11.5,Sheet1!BQ29&gt;Sheet1!BQ30),(MIN(Lookup!$C$119,VLOOKUP(Sheet1!BQ29,Lookup!$B$4:$J$236,2))-VLOOKUP(Sheet1!BQ30,Lookup!$B$4:$J$236,2))/1000000,0)</f>
        <v>0</v>
      </c>
      <c r="BN30" s="439">
        <f>IF(AND(Sheet1!BR30&lt;=11.5,Sheet1!BR29&gt;Sheet1!BR30),(MIN(Lookup!$D$119,VLOOKUP(Sheet1!BR29,Lookup!$B$4:$J$236,3))-VLOOKUP(Sheet1!BR30,Lookup!$B$4:$J$236,3))/1000000,0)</f>
        <v>0</v>
      </c>
      <c r="BP30" s="105">
        <f>SUM(BM30:BN30,W30,Sheet1!DT30)</f>
        <v>0</v>
      </c>
    </row>
    <row r="31" spans="1:68" s="101" customFormat="1">
      <c r="A31" s="101" t="s">
        <v>3</v>
      </c>
      <c r="B31" s="103">
        <v>40560</v>
      </c>
      <c r="C31" s="104">
        <v>0.33333333333357601</v>
      </c>
      <c r="E31" s="30"/>
      <c r="F31" s="30">
        <f>-(VLOOKUP(Sheet1!BZ31,Lookup!$I$4:$J$216,2)-VLOOKUP(Sheet1!BZ30,Lookup!$I$4:$J$216,2))/1000000</f>
        <v>0.10363693854780495</v>
      </c>
      <c r="G31" s="106">
        <f>-$G$6*(Sheet1!CB31-Sheet1!CB30)*7.48/1000000</f>
        <v>0.10722645284190993</v>
      </c>
      <c r="H31" s="106">
        <f>-$H$6*(Sheet1!CA31-Sheet1!CA30)*7.48/1000000</f>
        <v>-1.5039432351265274E-2</v>
      </c>
      <c r="I31" s="106">
        <f>-$I$6*(Sheet1!CC31-Sheet1!CC30)*7.48/1000000</f>
        <v>-0.24828281630677307</v>
      </c>
      <c r="J31" s="107" t="s">
        <v>193</v>
      </c>
      <c r="K31" s="106">
        <f>-$I$6*(Sheet1!CD31-Sheet1!CD30)*7.48/1000000</f>
        <v>-0.25188111799237872</v>
      </c>
      <c r="L31" s="107" t="s">
        <v>193</v>
      </c>
      <c r="M31" s="106">
        <f>-$M$6*(Sheet1!CE31-Sheet1!CE30)*7.48/1000000</f>
        <v>-9.6618145429647362E-2</v>
      </c>
      <c r="N31" s="106">
        <f>-$N$6*(Sheet1!CF31-Sheet1!CF30)*7.48/1000000</f>
        <v>1.2410469078924517E-2</v>
      </c>
      <c r="O31" s="106">
        <f t="shared" si="10"/>
        <v>-0.38854765161142507</v>
      </c>
      <c r="P31" s="106">
        <f>O31+Calculation!EI31</f>
        <v>-0.929047651611425</v>
      </c>
      <c r="Q31" s="101" t="str">
        <f>IF(Sheet1!BQ31&gt;21.75,"spill elevation","-")</f>
        <v>-</v>
      </c>
      <c r="R31" s="101" t="str">
        <f>IF(Sheet1!BR31&gt;21.75,"spill elevation","-")</f>
        <v>-</v>
      </c>
      <c r="S31" s="101" t="str">
        <f>IF(Sheet1!BS31&gt;21.75,"spill elevation","-")</f>
        <v>-</v>
      </c>
      <c r="T31" s="105">
        <f>IF(Sheet1!DQ31=1,Sheet1!AA31-(SUM(AT31:BA31)+BE31),Sheet1!AA31-SUM(AT31:BA31))</f>
        <v>26.993967999997089</v>
      </c>
      <c r="U31" s="105">
        <f>Sheet1!BU31</f>
        <v>25.5</v>
      </c>
      <c r="V31" s="105">
        <f t="shared" si="11"/>
        <v>1.4939679999970892</v>
      </c>
      <c r="W31" s="105">
        <f t="shared" si="12"/>
        <v>0</v>
      </c>
      <c r="X31" s="101">
        <f>IF((Sheet1!EX31-Sheet1!EX30)&lt;0,(Sheet1!EX31+100000-Sheet1!EX30)/1000,(Sheet1!EX31-Sheet1!EX30)/1000)</f>
        <v>0.67800000000000005</v>
      </c>
      <c r="Y31" s="106">
        <f>Calculation!DZ32+Calculation!EI31+'Calculations II'!O31-'Calculations II'!W31</f>
        <v>44.920952348387118</v>
      </c>
      <c r="Z31" s="106">
        <f>Y31-Sheet1!CP32</f>
        <v>29.450952348387119</v>
      </c>
      <c r="AA31" s="106">
        <f>Y31+Calculation!CZ32+Calculation!AI32</f>
        <v>44.920952348387118</v>
      </c>
      <c r="AC31" s="106">
        <f>Sheet1!AA31+Sheet1!AB31+BC31</f>
        <v>44.399999999994179</v>
      </c>
      <c r="AD31" s="106">
        <f>Sheet1!AA31+Sheet1!BN31+'Calculations II'!BC31-Calculation!AI31-Calculation!CZ31</f>
        <v>44.899999999997092</v>
      </c>
      <c r="AE31" s="106">
        <f>Sheet1!AA31+Sheet1!AB31+'Calculations II'!BC31-Calculation!AI31-Calculation!CZ31</f>
        <v>44.399999999994179</v>
      </c>
      <c r="AF31" s="106">
        <f>Sheet1!AA31+Sheet1!BN31+P31+'Calculations II'!BC31+Calculation!AI31+Calculation!CZ31</f>
        <v>43.970952348385666</v>
      </c>
      <c r="AG31" s="106">
        <f>Sheet1!AA31+Sheet1!BN31+'Calculations II'!BC31+'Calculations II'!P31-Sheet1!CP31-BP31</f>
        <v>28.700952348385666</v>
      </c>
      <c r="AH31" s="106">
        <f>Sheet1!AA31+Sheet1!BN31+'Calculations II'!BC31+'Calculations II'!P31-BP31</f>
        <v>43.970952348385666</v>
      </c>
      <c r="AI31" s="106">
        <f>BC31+Sheet1!AA31+Calculation!EI31+O31+W31+Sheet1!BN31+Calculation!AI31+Calculation!CZ31-BP31</f>
        <v>43.970952348385666</v>
      </c>
      <c r="AJ31" s="106"/>
      <c r="AM31" s="102">
        <f t="shared" si="13"/>
        <v>40560</v>
      </c>
      <c r="AN31" s="106"/>
      <c r="AO31" s="106"/>
      <c r="AR31" s="106"/>
      <c r="AT31" s="101">
        <f>Sheet1!AR31*GPMtoMGD</f>
        <v>0</v>
      </c>
      <c r="AU31" s="101">
        <f>Sheet1!AS31*GPMtoMGD</f>
        <v>5.2991999999999997E-2</v>
      </c>
      <c r="AV31" s="101">
        <f>Sheet1!AT31*GPMtoMGD</f>
        <v>0</v>
      </c>
      <c r="AW31" s="101">
        <f>Sheet1!AV31*GPMtoMGD</f>
        <v>6.8688000000000013E-2</v>
      </c>
      <c r="AX31" s="101">
        <f>Sheet1!AW31*GPMtoMGD</f>
        <v>0.58435200000000009</v>
      </c>
      <c r="AY31" s="101">
        <f>Sheet1!AX31*GPMtoMGD</f>
        <v>0</v>
      </c>
      <c r="AZ31" s="101">
        <f>Sheet1!AY31*GPMtoMGD</f>
        <v>0</v>
      </c>
      <c r="BA31" s="101">
        <f>Sheet1!AZ31*GPMtoMGD</f>
        <v>0</v>
      </c>
      <c r="BB31" s="101">
        <f>Sheet1!BP31*GPMtoMGD</f>
        <v>0</v>
      </c>
      <c r="BC31" s="101">
        <f>Sheet1!CO31*GPMtoMGD</f>
        <v>0</v>
      </c>
      <c r="BD31" s="101">
        <f>Sheet1!BO31*GPMtoMGD</f>
        <v>2.466288</v>
      </c>
      <c r="BE31" s="101">
        <f>Sheet1!BV31*GPMtoMGD</f>
        <v>0.97416000000000003</v>
      </c>
      <c r="BF31" s="101">
        <f>Sheet1!CJ31*GPMtoMGD</f>
        <v>0.55713599999999996</v>
      </c>
      <c r="BG31" s="101">
        <f>Sheet1!CK31*GPMtoMGD</f>
        <v>0.59630400000000006</v>
      </c>
      <c r="BH31" s="101">
        <f>Sheet1!CL31*GPMtoMGD</f>
        <v>0.83361600000000002</v>
      </c>
      <c r="BI31" s="101">
        <f t="shared" si="14"/>
        <v>2.466288</v>
      </c>
      <c r="BK31" s="106">
        <f>SUM(AT31:BA31,BE31,Sheet1!BU31,'Calculations II'!BC31,Calculation!AG31)</f>
        <v>43.880191999997095</v>
      </c>
      <c r="BM31" s="439">
        <f>IF(AND(Sheet1!BQ31&lt;=11.5,Sheet1!BQ30&gt;Sheet1!BQ31),(MIN(Lookup!$C$119,VLOOKUP(Sheet1!BQ30,Lookup!$B$4:$J$236,2))-VLOOKUP(Sheet1!BQ31,Lookup!$B$4:$J$236,2))/1000000,0)</f>
        <v>0</v>
      </c>
      <c r="BN31" s="439">
        <f>IF(AND(Sheet1!BR31&lt;=11.5,Sheet1!BR30&gt;Sheet1!BR31),(MIN(Lookup!$D$119,VLOOKUP(Sheet1!BR30,Lookup!$B$4:$J$236,3))-VLOOKUP(Sheet1!BR31,Lookup!$B$4:$J$236,3))/1000000,0)</f>
        <v>0</v>
      </c>
      <c r="BP31" s="105">
        <f>SUM(BM31:BN31,W31,Sheet1!DT31)</f>
        <v>0</v>
      </c>
    </row>
    <row r="32" spans="1:68" s="101" customFormat="1">
      <c r="A32" s="101" t="s">
        <v>4</v>
      </c>
      <c r="B32" s="103">
        <v>40561</v>
      </c>
      <c r="C32" s="104">
        <v>0.33333333333357601</v>
      </c>
      <c r="E32" s="30"/>
      <c r="F32" s="30">
        <f>-(VLOOKUP(Sheet1!BZ32,Lookup!$I$4:$J$216,2)-VLOOKUP(Sheet1!BZ31,Lookup!$I$4:$J$216,2))/1000000</f>
        <v>0.20727387709559872</v>
      </c>
      <c r="G32" s="106">
        <f>-$G$6*(Sheet1!CB32-Sheet1!CB31)*7.48/1000000</f>
        <v>-0.97695212589295821</v>
      </c>
      <c r="H32" s="106">
        <f>-$H$6*(Sheet1!CA32-Sheet1!CA31)*7.48/1000000</f>
        <v>0</v>
      </c>
      <c r="I32" s="106">
        <f>-$I$6*(Sheet1!CC32-Sheet1!CC31)*7.48/1000000</f>
        <v>1.9790659270829649E-2</v>
      </c>
      <c r="J32" s="107" t="s">
        <v>193</v>
      </c>
      <c r="K32" s="106">
        <f>-$I$6*(Sheet1!CD32-Sheet1!CD31)*7.48/1000000</f>
        <v>1.6192357585224318E-2</v>
      </c>
      <c r="L32" s="107" t="s">
        <v>193</v>
      </c>
      <c r="M32" s="106">
        <f>-$M$6*(Sheet1!CE32-Sheet1!CE31)*7.48/1000000</f>
        <v>9.9949805616875685E-3</v>
      </c>
      <c r="N32" s="106">
        <f>-$N$6*(Sheet1!CF32-Sheet1!CF31)*7.48/1000000</f>
        <v>7.4462814473548189E-2</v>
      </c>
      <c r="O32" s="106">
        <f t="shared" si="10"/>
        <v>-0.64923743690606972</v>
      </c>
      <c r="P32" s="106">
        <f>O32+Calculation!EI32</f>
        <v>-0.3792374369060697</v>
      </c>
      <c r="Q32" s="101" t="str">
        <f>IF(Sheet1!BQ32&gt;21.75,"spill elevation","-")</f>
        <v>-</v>
      </c>
      <c r="R32" s="101" t="str">
        <f>IF(Sheet1!BR32&gt;21.75,"spill elevation","-")</f>
        <v>-</v>
      </c>
      <c r="S32" s="101" t="str">
        <f>IF(Sheet1!BS32&gt;21.75,"spill elevation","-")</f>
        <v>-</v>
      </c>
      <c r="T32" s="105">
        <f>IF(Sheet1!DQ32=1,Sheet1!AA32-(SUM(AT32:BA32)+BE32),Sheet1!AA32-SUM(AT32:BA32))</f>
        <v>26.853088</v>
      </c>
      <c r="U32" s="105">
        <f>Sheet1!BU32</f>
        <v>25.3</v>
      </c>
      <c r="V32" s="105">
        <f t="shared" si="11"/>
        <v>1.5530879999999989</v>
      </c>
      <c r="W32" s="105">
        <f t="shared" si="12"/>
        <v>0</v>
      </c>
      <c r="X32" s="101">
        <f>IF((Sheet1!EX32-Sheet1!EX31)&lt;0,(Sheet1!EX32+100000-Sheet1!EX31)/1000,(Sheet1!EX32-Sheet1!EX31)/1000)</f>
        <v>0.879</v>
      </c>
      <c r="Y32" s="106">
        <f>Calculation!DZ33+Calculation!EI32+'Calculations II'!O32-'Calculations II'!W32</f>
        <v>48.070762563091023</v>
      </c>
      <c r="Z32" s="106">
        <f>Y32-Sheet1!CP33</f>
        <v>32.260762563091021</v>
      </c>
      <c r="AA32" s="106">
        <f>Y32+Calculation!CZ33+Calculation!AI33</f>
        <v>48.070762563091023</v>
      </c>
      <c r="AC32" s="106">
        <f>Sheet1!AA32+Sheet1!AB32+BC32</f>
        <v>45.849999999998545</v>
      </c>
      <c r="AD32" s="106">
        <f>Sheet1!AA32+Sheet1!BN32+'Calculations II'!BC32-Calculation!AI32-Calculation!CZ32</f>
        <v>45.85</v>
      </c>
      <c r="AE32" s="106">
        <f>Sheet1!AA32+Sheet1!AB32+'Calculations II'!BC32-Calculation!AI32-Calculation!CZ32</f>
        <v>45.849999999998545</v>
      </c>
      <c r="AF32" s="106">
        <f>Sheet1!AA32+Sheet1!BN32+P32+'Calculations II'!BC32+Calculation!AI32+Calculation!CZ32</f>
        <v>45.470762563093935</v>
      </c>
      <c r="AG32" s="106">
        <f>Sheet1!AA32+Sheet1!BN32+'Calculations II'!BC32+'Calculations II'!P32-Sheet1!CP32-BP32</f>
        <v>30.000762563093936</v>
      </c>
      <c r="AH32" s="106">
        <f>Sheet1!AA32+Sheet1!BN32+'Calculations II'!BC32+'Calculations II'!P32-BP32</f>
        <v>45.470762563093935</v>
      </c>
      <c r="AI32" s="106">
        <f>BC32+Sheet1!AA32+Calculation!EI32+O32+W32+Sheet1!BN32+Calculation!AI32+Calculation!CZ32-BP32</f>
        <v>45.470762563093928</v>
      </c>
      <c r="AJ32" s="106"/>
      <c r="AM32" s="102">
        <f t="shared" si="13"/>
        <v>40561</v>
      </c>
      <c r="AN32" s="106"/>
      <c r="AO32" s="106"/>
      <c r="AR32" s="106"/>
      <c r="AT32" s="101">
        <f>Sheet1!AR32*GPMtoMGD</f>
        <v>0</v>
      </c>
      <c r="AU32" s="101">
        <f>Sheet1!AS32*GPMtoMGD</f>
        <v>2.664E-2</v>
      </c>
      <c r="AV32" s="101">
        <f>Sheet1!AT32*GPMtoMGD</f>
        <v>0</v>
      </c>
      <c r="AW32" s="101">
        <f>Sheet1!AV32*GPMtoMGD</f>
        <v>0.343584</v>
      </c>
      <c r="AX32" s="101">
        <f>Sheet1!AW32*GPMtoMGD</f>
        <v>1.5266880000000003</v>
      </c>
      <c r="AY32" s="101">
        <f>Sheet1!AX32*GPMtoMGD</f>
        <v>0</v>
      </c>
      <c r="AZ32" s="101">
        <f>Sheet1!AY32*GPMtoMGD</f>
        <v>0</v>
      </c>
      <c r="BA32" s="101">
        <f>Sheet1!AZ32*GPMtoMGD</f>
        <v>0</v>
      </c>
      <c r="BB32" s="101">
        <f>Sheet1!BP32*GPMtoMGD</f>
        <v>0</v>
      </c>
      <c r="BC32" s="101">
        <f>Sheet1!CO32*GPMtoMGD</f>
        <v>0</v>
      </c>
      <c r="BD32" s="101">
        <f>Sheet1!BO32*GPMtoMGD</f>
        <v>1.304352</v>
      </c>
      <c r="BE32" s="101">
        <f>Sheet1!BV32*GPMtoMGD</f>
        <v>0.944496</v>
      </c>
      <c r="BF32" s="101">
        <f>Sheet1!CJ32*GPMtoMGD</f>
        <v>0.51422400000000001</v>
      </c>
      <c r="BG32" s="101">
        <f>Sheet1!CK32*GPMtoMGD</f>
        <v>0.54057600000000006</v>
      </c>
      <c r="BH32" s="101">
        <f>Sheet1!CL32*GPMtoMGD</f>
        <v>0.83376000000000006</v>
      </c>
      <c r="BI32" s="101">
        <f t="shared" si="14"/>
        <v>1.304352</v>
      </c>
      <c r="BK32" s="106">
        <f>SUM(AT32:BA32,BE32,Sheet1!BU32,'Calculations II'!BC32,Calculation!AG32)</f>
        <v>45.241407999998543</v>
      </c>
      <c r="BM32" s="439">
        <f>IF(AND(Sheet1!BQ32&lt;=11.5,Sheet1!BQ31&gt;Sheet1!BQ32),(MIN(Lookup!$C$119,VLOOKUP(Sheet1!BQ31,Lookup!$B$4:$J$236,2))-VLOOKUP(Sheet1!BQ32,Lookup!$B$4:$J$236,2))/1000000,0)</f>
        <v>0</v>
      </c>
      <c r="BN32" s="439">
        <f>IF(AND(Sheet1!BR32&lt;=11.5,Sheet1!BR31&gt;Sheet1!BR32),(MIN(Lookup!$D$119,VLOOKUP(Sheet1!BR31,Lookup!$B$4:$J$236,3))-VLOOKUP(Sheet1!BR32,Lookup!$B$4:$J$236,3))/1000000,0)</f>
        <v>0</v>
      </c>
      <c r="BP32" s="105">
        <f>SUM(BM32:BN32,W32,Sheet1!DT32)</f>
        <v>0</v>
      </c>
    </row>
    <row r="33" spans="1:68" s="101" customFormat="1">
      <c r="A33" s="101" t="s">
        <v>5</v>
      </c>
      <c r="B33" s="103">
        <v>40562</v>
      </c>
      <c r="C33" s="104">
        <v>0.33333333333357601</v>
      </c>
      <c r="E33" s="30"/>
      <c r="F33" s="30">
        <f>-(VLOOKUP(Sheet1!BZ33,Lookup!$I$4:$J$216,2)-VLOOKUP(Sheet1!BZ32,Lookup!$I$4:$J$216,2))/1000000</f>
        <v>0</v>
      </c>
      <c r="G33" s="106">
        <f>-$G$6*(Sheet1!CB33-Sheet1!CB32)*7.48/1000000</f>
        <v>0.25019505663112318</v>
      </c>
      <c r="H33" s="106">
        <f>-$H$6*(Sheet1!CA33-Sheet1!CA32)*7.48/1000000</f>
        <v>0</v>
      </c>
      <c r="I33" s="106">
        <f>-$I$6*(Sheet1!CC33-Sheet1!CC32)*7.48/1000000</f>
        <v>4.6777921912870279E-2</v>
      </c>
      <c r="J33" s="107" t="s">
        <v>193</v>
      </c>
      <c r="K33" s="106">
        <f>-$I$6*(Sheet1!CD33-Sheet1!CD32)*7.48/1000000</f>
        <v>5.0376223598475621E-2</v>
      </c>
      <c r="L33" s="107" t="s">
        <v>193</v>
      </c>
      <c r="M33" s="106">
        <f>-$M$6*(Sheet1!CE33-Sheet1!CE32)*7.48/1000000</f>
        <v>1.5991968898700155E-2</v>
      </c>
      <c r="N33" s="106">
        <f>-$N$6*(Sheet1!CF33-Sheet1!CF32)*7.48/1000000</f>
        <v>0</v>
      </c>
      <c r="O33" s="106">
        <f t="shared" si="10"/>
        <v>0.3633411710411692</v>
      </c>
      <c r="P33" s="106">
        <f>O33+Calculation!EI33</f>
        <v>1.7148411710411693</v>
      </c>
      <c r="Q33" s="101" t="str">
        <f>IF(Sheet1!BQ33&gt;21.75,"spill elevation","-")</f>
        <v>-</v>
      </c>
      <c r="R33" s="101" t="str">
        <f>IF(Sheet1!BR33&gt;21.75,"spill elevation","-")</f>
        <v>-</v>
      </c>
      <c r="S33" s="101" t="str">
        <f>IF(Sheet1!BS33&gt;21.75,"spill elevation","-")</f>
        <v>-</v>
      </c>
      <c r="T33" s="105">
        <f>IF(Sheet1!DQ33=1,Sheet1!AA33-(SUM(AT33:BA33)+BE33),Sheet1!AA33-SUM(AT33:BA33))</f>
        <v>26.853455999994178</v>
      </c>
      <c r="U33" s="105">
        <f>Sheet1!BU33</f>
        <v>26.4</v>
      </c>
      <c r="V33" s="105">
        <f t="shared" si="11"/>
        <v>0.45345599999417985</v>
      </c>
      <c r="W33" s="105">
        <f t="shared" si="12"/>
        <v>0</v>
      </c>
      <c r="X33" s="101">
        <f>IF((Sheet1!EX33-Sheet1!EX32)&lt;0,(Sheet1!EX33+100000-Sheet1!EX32)/1000,(Sheet1!EX33-Sheet1!EX32)/1000)</f>
        <v>0.746</v>
      </c>
      <c r="Y33" s="106">
        <f>Calculation!DZ34+Calculation!EI33+'Calculations II'!O33-'Calculations II'!W33</f>
        <v>44.814841171039717</v>
      </c>
      <c r="Z33" s="106">
        <f>Y33-Sheet1!CP34</f>
        <v>28.464841171039716</v>
      </c>
      <c r="AA33" s="106">
        <f>Y33+Calculation!CZ34+Calculation!AI34</f>
        <v>44.814841171039717</v>
      </c>
      <c r="AC33" s="106">
        <f>Sheet1!AA33+Sheet1!AB33+BC33</f>
        <v>48.44999999999709</v>
      </c>
      <c r="AD33" s="106">
        <f>Sheet1!AA33+Sheet1!BN33+'Calculations II'!BC33-Calculation!AI33-Calculation!CZ33</f>
        <v>45.649999999994179</v>
      </c>
      <c r="AE33" s="106">
        <f>Sheet1!AA33+Sheet1!AB33+'Calculations II'!BC33-Calculation!AI33-Calculation!CZ33</f>
        <v>48.44999999999709</v>
      </c>
      <c r="AF33" s="106">
        <f>Sheet1!AA33+Sheet1!BN33+P33+'Calculations II'!BC33+Calculation!AI33+Calculation!CZ33</f>
        <v>47.364841171035351</v>
      </c>
      <c r="AG33" s="106">
        <f>Sheet1!AA33+Sheet1!BN33+'Calculations II'!BC33+'Calculations II'!P33-Sheet1!CP33-BP33</f>
        <v>31.554841171035349</v>
      </c>
      <c r="AH33" s="106">
        <f>Sheet1!AA33+Sheet1!BN33+'Calculations II'!BC33+'Calculations II'!P33-BP33</f>
        <v>47.364841171035351</v>
      </c>
      <c r="AI33" s="106">
        <f>BC33+Sheet1!AA33+Calculation!EI33+O33+W33+Sheet1!BN33+Calculation!AI33+Calculation!CZ33-BP33</f>
        <v>47.364841171035351</v>
      </c>
      <c r="AJ33" s="106"/>
      <c r="AM33" s="102">
        <f t="shared" si="13"/>
        <v>40562</v>
      </c>
      <c r="AN33" s="106"/>
      <c r="AO33" s="106"/>
      <c r="AR33" s="106"/>
      <c r="AT33" s="101">
        <f>Sheet1!AR33*GPMtoMGD</f>
        <v>0</v>
      </c>
      <c r="AU33" s="101">
        <f>Sheet1!AS33*GPMtoMGD</f>
        <v>2.9375999999999999E-2</v>
      </c>
      <c r="AV33" s="101">
        <f>Sheet1!AT33*GPMtoMGD</f>
        <v>0</v>
      </c>
      <c r="AW33" s="101">
        <f>Sheet1!AV33*GPMtoMGD</f>
        <v>0.8640000000000001</v>
      </c>
      <c r="AX33" s="101">
        <f>Sheet1!AW33*GPMtoMGD</f>
        <v>0.90316800000000008</v>
      </c>
      <c r="AY33" s="101">
        <f>Sheet1!AX33*GPMtoMGD</f>
        <v>0</v>
      </c>
      <c r="AZ33" s="101">
        <f>Sheet1!AY33*GPMtoMGD</f>
        <v>0</v>
      </c>
      <c r="BA33" s="101">
        <f>Sheet1!AZ33*GPMtoMGD</f>
        <v>0</v>
      </c>
      <c r="BB33" s="101">
        <f>Sheet1!BP33*GPMtoMGD</f>
        <v>0</v>
      </c>
      <c r="BC33" s="101">
        <f>Sheet1!CO33*GPMtoMGD</f>
        <v>0</v>
      </c>
      <c r="BD33" s="101">
        <f>Sheet1!BO33*GPMtoMGD</f>
        <v>2.1407039999999999</v>
      </c>
      <c r="BE33" s="101">
        <f>Sheet1!BV33*GPMtoMGD</f>
        <v>0.65476800000000002</v>
      </c>
      <c r="BF33" s="101">
        <f>Sheet1!CJ33*GPMtoMGD</f>
        <v>0.44870400000000005</v>
      </c>
      <c r="BG33" s="101">
        <f>Sheet1!CK33*GPMtoMGD</f>
        <v>0.53323200000000004</v>
      </c>
      <c r="BH33" s="101">
        <f>Sheet1!CL33*GPMtoMGD</f>
        <v>0.83390400000000009</v>
      </c>
      <c r="BI33" s="101">
        <f t="shared" si="14"/>
        <v>2.1407039999999999</v>
      </c>
      <c r="BK33" s="106">
        <f>SUM(AT33:BA33,BE33,Sheet1!BU33,'Calculations II'!BC33,Calculation!AG33)</f>
        <v>48.65131200000291</v>
      </c>
      <c r="BM33" s="439">
        <f>IF(AND(Sheet1!BQ33&lt;=11.5,Sheet1!BQ32&gt;Sheet1!BQ33),(MIN(Lookup!$C$119,VLOOKUP(Sheet1!BQ32,Lookup!$B$4:$J$236,2))-VLOOKUP(Sheet1!BQ33,Lookup!$B$4:$J$236,2))/1000000,0)</f>
        <v>0</v>
      </c>
      <c r="BN33" s="439">
        <f>IF(AND(Sheet1!BR33&lt;=11.5,Sheet1!BR32&gt;Sheet1!BR33),(MIN(Lookup!$D$119,VLOOKUP(Sheet1!BR32,Lookup!$B$4:$J$236,3))-VLOOKUP(Sheet1!BR33,Lookup!$B$4:$J$236,3))/1000000,0)</f>
        <v>0</v>
      </c>
      <c r="BP33" s="105">
        <f>SUM(BM33:BN33,W33,Sheet1!DT33)</f>
        <v>0</v>
      </c>
    </row>
    <row r="34" spans="1:68" s="101" customFormat="1">
      <c r="A34" s="101" t="s">
        <v>6</v>
      </c>
      <c r="B34" s="103">
        <v>40563</v>
      </c>
      <c r="C34" s="104">
        <v>0.33333333333357601</v>
      </c>
      <c r="E34" s="30"/>
      <c r="F34" s="30">
        <f>-(VLOOKUP(Sheet1!BZ34,Lookup!$I$4:$J$216,2)-VLOOKUP(Sheet1!BZ33,Lookup!$I$4:$J$216,2))/1000000</f>
        <v>-0.20727387709559872</v>
      </c>
      <c r="G34" s="106">
        <f>-$G$6*(Sheet1!CB34-Sheet1!CB33)*7.48/1000000</f>
        <v>0.28990855768368307</v>
      </c>
      <c r="H34" s="106">
        <f>-$H$6*(Sheet1!CA34-Sheet1!CA33)*7.48/1000000</f>
        <v>0</v>
      </c>
      <c r="I34" s="106">
        <f>-$I$6*(Sheet1!CC34-Sheet1!CC33)*7.48/1000000</f>
        <v>-0.10255159803975422</v>
      </c>
      <c r="J34" s="107" t="s">
        <v>193</v>
      </c>
      <c r="K34" s="106">
        <f>-$I$6*(Sheet1!CD34-Sheet1!CD33)*7.48/1000000</f>
        <v>-0.10435074888255688</v>
      </c>
      <c r="L34" s="107" t="s">
        <v>193</v>
      </c>
      <c r="M34" s="106">
        <f>-$M$6*(Sheet1!CE34-Sheet1!CE33)*7.48/1000000</f>
        <v>-7.9959844493499611E-3</v>
      </c>
      <c r="N34" s="106">
        <f>-$N$6*(Sheet1!CF34-Sheet1!CF33)*7.48/1000000</f>
        <v>1.2410469078925616E-2</v>
      </c>
      <c r="O34" s="106">
        <f t="shared" si="10"/>
        <v>-0.1198531817046511</v>
      </c>
      <c r="P34" s="106">
        <f>O34+Calculation!EI34</f>
        <v>-0.39035318170465111</v>
      </c>
      <c r="Q34" s="101" t="str">
        <f>IF(Sheet1!BQ34&gt;21.75,"spill elevation","-")</f>
        <v>-</v>
      </c>
      <c r="R34" s="101" t="str">
        <f>IF(Sheet1!BR34&gt;21.75,"spill elevation","-")</f>
        <v>-</v>
      </c>
      <c r="S34" s="101" t="str">
        <f>IF(Sheet1!BS34&gt;21.75,"spill elevation","-")</f>
        <v>-</v>
      </c>
      <c r="T34" s="105">
        <f>IF(Sheet1!DQ34=1,Sheet1!AA34-(SUM(AT34:BA34)+BE34),Sheet1!AA34-SUM(AT34:BA34))</f>
        <v>27.49377600000291</v>
      </c>
      <c r="U34" s="105">
        <f>Sheet1!BU34</f>
        <v>25.4</v>
      </c>
      <c r="V34" s="105">
        <f t="shared" si="11"/>
        <v>2.0937760000029115</v>
      </c>
      <c r="W34" s="105">
        <f t="shared" si="12"/>
        <v>0</v>
      </c>
      <c r="X34" s="101">
        <f>IF((Sheet1!EX34-Sheet1!EX33)&lt;0,(Sheet1!EX34+100000-Sheet1!EX33)/1000,(Sheet1!EX34-Sheet1!EX33)/1000)</f>
        <v>0.79500000000000004</v>
      </c>
      <c r="Y34" s="106">
        <f>Calculation!DZ35+Calculation!EI34+'Calculations II'!O34-'Calculations II'!W34</f>
        <v>45.109646818302629</v>
      </c>
      <c r="Z34" s="106">
        <f>Y34-Sheet1!CP35</f>
        <v>29.269646818302629</v>
      </c>
      <c r="AA34" s="106">
        <f>Y34+Calculation!CZ35+Calculation!AI35</f>
        <v>45.109646818302629</v>
      </c>
      <c r="AC34" s="106">
        <f>Sheet1!AA34+Sheet1!AB34+BC34</f>
        <v>43.099999999998545</v>
      </c>
      <c r="AD34" s="106">
        <f>Sheet1!AA34+Sheet1!BN34+'Calculations II'!BC34-Calculation!AI34-Calculation!CZ34</f>
        <v>45.80000000000291</v>
      </c>
      <c r="AE34" s="106">
        <f>Sheet1!AA34+Sheet1!AB34+'Calculations II'!BC34-Calculation!AI34-Calculation!CZ34</f>
        <v>43.099999999998545</v>
      </c>
      <c r="AF34" s="106">
        <f>Sheet1!AA34+Sheet1!BN34+P34+'Calculations II'!BC34+Calculation!AI34+Calculation!CZ34</f>
        <v>45.409646818298256</v>
      </c>
      <c r="AG34" s="106">
        <f>Sheet1!AA34+Sheet1!BN34+'Calculations II'!BC34+'Calculations II'!P34-Sheet1!CP34-BP34</f>
        <v>29.059646818298255</v>
      </c>
      <c r="AH34" s="106">
        <f>Sheet1!AA34+Sheet1!BN34+'Calculations II'!BC34+'Calculations II'!P34-BP34</f>
        <v>45.409646818298256</v>
      </c>
      <c r="AI34" s="106">
        <f>BC34+Sheet1!AA34+Calculation!EI34+O34+W34+Sheet1!BN34+Calculation!AI34+Calculation!CZ34-BP34</f>
        <v>45.409646818298256</v>
      </c>
      <c r="AJ34" s="106"/>
      <c r="AM34" s="102">
        <f t="shared" si="13"/>
        <v>40563</v>
      </c>
      <c r="AN34" s="106"/>
      <c r="AO34" s="106"/>
      <c r="AR34" s="106"/>
      <c r="AT34" s="101">
        <f>Sheet1!AR34*GPMtoMGD</f>
        <v>0</v>
      </c>
      <c r="AU34" s="101">
        <f>Sheet1!AS34*GPMtoMGD</f>
        <v>5.0544000000000006E-2</v>
      </c>
      <c r="AV34" s="101">
        <f>Sheet1!AT34*GPMtoMGD</f>
        <v>0</v>
      </c>
      <c r="AW34" s="101">
        <f>Sheet1!AV34*GPMtoMGD</f>
        <v>0.59385600000000005</v>
      </c>
      <c r="AX34" s="101">
        <f>Sheet1!AW34*GPMtoMGD</f>
        <v>0.66182400000000008</v>
      </c>
      <c r="AY34" s="101">
        <f>Sheet1!AX34*GPMtoMGD</f>
        <v>0</v>
      </c>
      <c r="AZ34" s="101">
        <f>Sheet1!AY34*GPMtoMGD</f>
        <v>0</v>
      </c>
      <c r="BA34" s="101">
        <f>Sheet1!AZ34*GPMtoMGD</f>
        <v>0</v>
      </c>
      <c r="BB34" s="101">
        <f>Sheet1!BP34*GPMtoMGD</f>
        <v>0</v>
      </c>
      <c r="BC34" s="101">
        <f>Sheet1!CO34*GPMtoMGD</f>
        <v>0</v>
      </c>
      <c r="BD34" s="101">
        <f>Sheet1!BO34*GPMtoMGD</f>
        <v>1.7256960000000003</v>
      </c>
      <c r="BE34" s="101">
        <f>Sheet1!BV34*GPMtoMGD</f>
        <v>0.9449280000000001</v>
      </c>
      <c r="BF34" s="101">
        <f>Sheet1!CJ34*GPMtoMGD</f>
        <v>0.433008</v>
      </c>
      <c r="BG34" s="101">
        <f>Sheet1!CK34*GPMtoMGD</f>
        <v>0.56419200000000003</v>
      </c>
      <c r="BH34" s="101">
        <f>Sheet1!CL34*GPMtoMGD</f>
        <v>0.83376000000000006</v>
      </c>
      <c r="BI34" s="101">
        <f t="shared" si="14"/>
        <v>1.7256960000000003</v>
      </c>
      <c r="BK34" s="106">
        <f>SUM(AT34:BA34,BE34,Sheet1!BU34,'Calculations II'!BC34,Calculation!AG34)</f>
        <v>41.951151999995631</v>
      </c>
      <c r="BM34" s="439">
        <f>IF(AND(Sheet1!BQ34&lt;=11.5,Sheet1!BQ33&gt;Sheet1!BQ34),(MIN(Lookup!$C$119,VLOOKUP(Sheet1!BQ33,Lookup!$B$4:$J$236,2))-VLOOKUP(Sheet1!BQ34,Lookup!$B$4:$J$236,2))/1000000,0)</f>
        <v>0</v>
      </c>
      <c r="BN34" s="439">
        <f>IF(AND(Sheet1!BR34&lt;=11.5,Sheet1!BR33&gt;Sheet1!BR34),(MIN(Lookup!$D$119,VLOOKUP(Sheet1!BR33,Lookup!$B$4:$J$236,3))-VLOOKUP(Sheet1!BR34,Lookup!$B$4:$J$236,3))/1000000,0)</f>
        <v>0</v>
      </c>
      <c r="BP34" s="105">
        <f>SUM(BM34:BN34,W34,Sheet1!DT34)</f>
        <v>0</v>
      </c>
    </row>
    <row r="35" spans="1:68" s="101" customFormat="1">
      <c r="A35" s="101" t="s">
        <v>7</v>
      </c>
      <c r="B35" s="103">
        <v>40564</v>
      </c>
      <c r="C35" s="104">
        <v>0.33333333333357601</v>
      </c>
      <c r="E35" s="30"/>
      <c r="F35" s="30">
        <f>-(VLOOKUP(Sheet1!BZ35,Lookup!$I$4:$J$216,2)-VLOOKUP(Sheet1!BZ34,Lookup!$I$4:$J$216,2))/1000000</f>
        <v>0.10363693854779936</v>
      </c>
      <c r="G35" s="106">
        <f>-$G$6*(Sheet1!CB35-Sheet1!CB34)*7.48/1000000</f>
        <v>0.30976530820996295</v>
      </c>
      <c r="H35" s="106">
        <f>-$H$6*(Sheet1!CA35-Sheet1!CA34)*7.48/1000000</f>
        <v>0</v>
      </c>
      <c r="I35" s="106">
        <f>-$I$6*(Sheet1!CC35-Sheet1!CC34)*7.48/1000000</f>
        <v>6.8367732026502925E-2</v>
      </c>
      <c r="J35" s="107" t="s">
        <v>193</v>
      </c>
      <c r="K35" s="106">
        <f>-$I$6*(Sheet1!CD35-Sheet1!CD34)*7.48/1000000</f>
        <v>6.6568581183700251E-2</v>
      </c>
      <c r="L35" s="107" t="s">
        <v>193</v>
      </c>
      <c r="M35" s="106">
        <f>-$M$6*(Sheet1!CE35-Sheet1!CE34)*7.48/1000000</f>
        <v>-4.6643242621209283E-3</v>
      </c>
      <c r="N35" s="106">
        <f>-$N$6*(Sheet1!CF35-Sheet1!CF34)*7.48/1000000</f>
        <v>1.2410469078924517E-2</v>
      </c>
      <c r="O35" s="106">
        <f t="shared" si="10"/>
        <v>0.55608470478476912</v>
      </c>
      <c r="P35" s="106">
        <f>O35+Calculation!EI35</f>
        <v>-0.79491529521523085</v>
      </c>
      <c r="Q35" s="101" t="str">
        <f>IF(Sheet1!BQ35&gt;21.75,"spill elevation","-")</f>
        <v>-</v>
      </c>
      <c r="R35" s="101" t="str">
        <f>IF(Sheet1!BR35&gt;21.75,"spill elevation","-")</f>
        <v>-</v>
      </c>
      <c r="S35" s="101" t="str">
        <f>IF(Sheet1!BS35&gt;21.75,"spill elevation","-")</f>
        <v>-</v>
      </c>
      <c r="T35" s="105">
        <f>IF(Sheet1!DQ35=1,Sheet1!AA35-(SUM(AT35:BA35)+BE35),Sheet1!AA35-SUM(AT35:BA35))</f>
        <v>28.113712000005819</v>
      </c>
      <c r="U35" s="105">
        <f>Sheet1!BU35</f>
        <v>25</v>
      </c>
      <c r="V35" s="105">
        <f t="shared" si="11"/>
        <v>3.1137120000058189</v>
      </c>
      <c r="W35" s="105">
        <f t="shared" si="12"/>
        <v>0</v>
      </c>
      <c r="X35" s="101">
        <f>IF((Sheet1!EX35-Sheet1!EX34)&lt;0,(Sheet1!EX35+100000-Sheet1!EX34)/1000,(Sheet1!EX35-Sheet1!EX34)/1000)</f>
        <v>0.79400000000000004</v>
      </c>
      <c r="Y35" s="106">
        <f>Calculation!DZ36+Calculation!EI35+'Calculations II'!O35-'Calculations II'!W35</f>
        <v>45.19508470478273</v>
      </c>
      <c r="Z35" s="106">
        <f>Y35-Sheet1!CP36</f>
        <v>29.095084704782728</v>
      </c>
      <c r="AA35" s="106">
        <f>Y35+Calculation!CZ36+Calculation!AI36</f>
        <v>45.19508470478273</v>
      </c>
      <c r="AC35" s="106">
        <f>Sheet1!AA35+Sheet1!AB35+BC35</f>
        <v>45.500000000007276</v>
      </c>
      <c r="AD35" s="106">
        <f>Sheet1!AA35+Sheet1!BN35+'Calculations II'!BC35-Calculation!AI35-Calculation!CZ35</f>
        <v>45.600000000005821</v>
      </c>
      <c r="AE35" s="106">
        <f>Sheet1!AA35+Sheet1!AB35+'Calculations II'!BC35-Calculation!AI35-Calculation!CZ35</f>
        <v>45.500000000007276</v>
      </c>
      <c r="AF35" s="106">
        <f>Sheet1!AA35+Sheet1!BN35+P35+'Calculations II'!BC35+Calculation!AI35+Calculation!CZ35</f>
        <v>44.805084704790588</v>
      </c>
      <c r="AG35" s="106">
        <f>Sheet1!AA35+Sheet1!BN35+'Calculations II'!BC35+'Calculations II'!P35-Sheet1!CP35-BP35</f>
        <v>28.965084704790588</v>
      </c>
      <c r="AH35" s="106">
        <f>Sheet1!AA35+Sheet1!BN35+'Calculations II'!BC35+'Calculations II'!P35-BP35</f>
        <v>44.805084704790588</v>
      </c>
      <c r="AI35" s="106">
        <f>BC35+Sheet1!AA35+Calculation!EI35+O35+W35+Sheet1!BN35+Calculation!AI35+Calculation!CZ35-BP35</f>
        <v>44.805084704790588</v>
      </c>
      <c r="AJ35" s="106"/>
      <c r="AM35" s="102">
        <f t="shared" si="13"/>
        <v>40564</v>
      </c>
      <c r="AN35" s="106"/>
      <c r="AO35" s="106"/>
      <c r="AR35" s="106"/>
      <c r="AT35" s="101">
        <f>Sheet1!AR35*GPMtoMGD</f>
        <v>0</v>
      </c>
      <c r="AU35" s="101">
        <f>Sheet1!AS35*GPMtoMGD</f>
        <v>2.6208000000000002E-2</v>
      </c>
      <c r="AV35" s="101">
        <f>Sheet1!AT35*GPMtoMGD</f>
        <v>0</v>
      </c>
      <c r="AW35" s="101">
        <f>Sheet1!AV35*GPMtoMGD</f>
        <v>0.10281600000000002</v>
      </c>
      <c r="AX35" s="101">
        <f>Sheet1!AW35*GPMtoMGD</f>
        <v>0.35726400000000003</v>
      </c>
      <c r="AY35" s="101">
        <f>Sheet1!AX35*GPMtoMGD</f>
        <v>0</v>
      </c>
      <c r="AZ35" s="101">
        <f>Sheet1!AY35*GPMtoMGD</f>
        <v>0</v>
      </c>
      <c r="BA35" s="101">
        <f>Sheet1!AZ35*GPMtoMGD</f>
        <v>0</v>
      </c>
      <c r="BB35" s="101">
        <f>Sheet1!BP35*GPMtoMGD</f>
        <v>0</v>
      </c>
      <c r="BC35" s="101">
        <f>Sheet1!CO35*GPMtoMGD</f>
        <v>0</v>
      </c>
      <c r="BD35" s="101">
        <f>Sheet1!BO35*GPMtoMGD</f>
        <v>1.332576</v>
      </c>
      <c r="BE35" s="101">
        <f>Sheet1!BV35*GPMtoMGD</f>
        <v>0.65275200000000011</v>
      </c>
      <c r="BF35" s="101">
        <f>Sheet1!CJ35*GPMtoMGD</f>
        <v>0.44064000000000003</v>
      </c>
      <c r="BG35" s="101">
        <f>Sheet1!CK35*GPMtoMGD</f>
        <v>0.54216000000000009</v>
      </c>
      <c r="BH35" s="101">
        <f>Sheet1!CL35*GPMtoMGD</f>
        <v>0.83376000000000006</v>
      </c>
      <c r="BI35" s="101">
        <f t="shared" si="14"/>
        <v>1.332576</v>
      </c>
      <c r="BK35" s="106">
        <f>SUM(AT35:BA35,BE35,Sheet1!BU35,'Calculations II'!BC35,Calculation!AG35)</f>
        <v>43.039040000001457</v>
      </c>
      <c r="BM35" s="439">
        <f>IF(AND(Sheet1!BQ35&lt;=11.5,Sheet1!BQ34&gt;Sheet1!BQ35),(MIN(Lookup!$C$119,VLOOKUP(Sheet1!BQ34,Lookup!$B$4:$J$236,2))-VLOOKUP(Sheet1!BQ35,Lookup!$B$4:$J$236,2))/1000000,0)</f>
        <v>0</v>
      </c>
      <c r="BN35" s="439">
        <f>IF(AND(Sheet1!BR35&lt;=11.5,Sheet1!BR34&gt;Sheet1!BR35),(MIN(Lookup!$D$119,VLOOKUP(Sheet1!BR34,Lookup!$B$4:$J$236,3))-VLOOKUP(Sheet1!BR35,Lookup!$B$4:$J$236,3))/1000000,0)</f>
        <v>0</v>
      </c>
      <c r="BP35" s="105">
        <f>SUM(BM35:BN35,W35,Sheet1!DT35)</f>
        <v>0</v>
      </c>
    </row>
    <row r="36" spans="1:68" s="101" customFormat="1">
      <c r="A36" s="101" t="s">
        <v>8</v>
      </c>
      <c r="B36" s="103">
        <v>40565</v>
      </c>
      <c r="C36" s="104">
        <v>0.33333333333357601</v>
      </c>
      <c r="E36" s="30"/>
      <c r="F36" s="30">
        <f>-(VLOOKUP(Sheet1!BZ36,Lookup!$I$4:$J$216,2)-VLOOKUP(Sheet1!BZ35,Lookup!$I$4:$J$216,2))/1000000</f>
        <v>-0.20727387709560433</v>
      </c>
      <c r="G36" s="106">
        <f>-$G$6*(Sheet1!CB36-Sheet1!CB35)*7.48/1000000</f>
        <v>-5.5598901473583241E-2</v>
      </c>
      <c r="H36" s="106">
        <f>-$H$6*(Sheet1!CA36-Sheet1!CA35)*7.48/1000000</f>
        <v>0</v>
      </c>
      <c r="I36" s="106">
        <f>-$I$6*(Sheet1!CC36-Sheet1!CC35)*7.48/1000000</f>
        <v>-1.6192357585224318E-2</v>
      </c>
      <c r="J36" s="107" t="s">
        <v>193</v>
      </c>
      <c r="K36" s="106">
        <f>-$I$6*(Sheet1!CD36-Sheet1!CD35)*7.48/1000000</f>
        <v>-1.0794905056816318E-2</v>
      </c>
      <c r="L36" s="107" t="s">
        <v>193</v>
      </c>
      <c r="M36" s="106">
        <f>-$M$6*(Sheet1!CE36-Sheet1!CE35)*7.48/1000000</f>
        <v>-6.6633203744585374E-3</v>
      </c>
      <c r="N36" s="106">
        <f>-$N$6*(Sheet1!CF36-Sheet1!CF35)*7.48/1000000</f>
        <v>2.4820938157849033E-2</v>
      </c>
      <c r="O36" s="106">
        <f t="shared" si="10"/>
        <v>-0.27170242342783768</v>
      </c>
      <c r="P36" s="106">
        <f>O36+Calculation!EI36</f>
        <v>1.8834975765721622</v>
      </c>
      <c r="Q36" s="101" t="str">
        <f>IF(Sheet1!BQ36&gt;21.75,"spill elevation","-")</f>
        <v>-</v>
      </c>
      <c r="R36" s="101" t="str">
        <f>IF(Sheet1!BR36&gt;21.75,"spill elevation","-")</f>
        <v>-</v>
      </c>
      <c r="S36" s="101" t="str">
        <f>IF(Sheet1!BS36&gt;21.75,"spill elevation","-")</f>
        <v>-</v>
      </c>
      <c r="T36" s="105">
        <f>IF(Sheet1!DQ36=1,Sheet1!AA36-(SUM(AT36:BA36)+BE36),Sheet1!AA36-SUM(AT36:BA36))</f>
        <v>26.024767999993596</v>
      </c>
      <c r="U36" s="105">
        <f>Sheet1!BU36</f>
        <v>27.1</v>
      </c>
      <c r="V36" s="105">
        <f t="shared" si="11"/>
        <v>-1.0752320000064053</v>
      </c>
      <c r="W36" s="105">
        <f t="shared" si="12"/>
        <v>0</v>
      </c>
      <c r="X36" s="101">
        <f>IF((Sheet1!EX36-Sheet1!EX35)&lt;0,(Sheet1!EX36+100000-Sheet1!EX35)/1000,(Sheet1!EX36-Sheet1!EX35)/1000)</f>
        <v>0.81200000000000006</v>
      </c>
      <c r="Y36" s="106">
        <f>Calculation!DZ37+Calculation!EI36+'Calculations II'!O36-'Calculations II'!W36</f>
        <v>48.293497576568377</v>
      </c>
      <c r="Z36" s="106">
        <f>Y36-Sheet1!CP37</f>
        <v>32.493497576568373</v>
      </c>
      <c r="AA36" s="106">
        <f>Y36+Calculation!CZ37+Calculation!AI37</f>
        <v>48.293497576568377</v>
      </c>
      <c r="AC36" s="106">
        <f>Sheet1!AA36+Sheet1!AB36+BC36</f>
        <v>45.989999999997963</v>
      </c>
      <c r="AD36" s="106">
        <f>Sheet1!AA36+Sheet1!BN36+'Calculations II'!BC36-Calculation!AI36-Calculation!CZ36</f>
        <v>45.889999999993599</v>
      </c>
      <c r="AE36" s="106">
        <f>Sheet1!AA36+Sheet1!AB36+'Calculations II'!BC36-Calculation!AI36-Calculation!CZ36</f>
        <v>45.989999999997963</v>
      </c>
      <c r="AF36" s="106">
        <f>Sheet1!AA36+Sheet1!BN36+P36+'Calculations II'!BC36+Calculation!AI36+Calculation!CZ36</f>
        <v>47.773497576565759</v>
      </c>
      <c r="AG36" s="106">
        <f>Sheet1!AA36+Sheet1!BN36+'Calculations II'!BC36+'Calculations II'!P36-Sheet1!CP36-BP36</f>
        <v>31.673497576565758</v>
      </c>
      <c r="AH36" s="106">
        <f>Sheet1!AA36+Sheet1!BN36+'Calculations II'!BC36+'Calculations II'!P36-BP36</f>
        <v>47.773497576565759</v>
      </c>
      <c r="AI36" s="106">
        <f>BC36+Sheet1!AA36+Calculation!EI36+O36+W36+Sheet1!BN36+Calculation!AI36+Calculation!CZ36-BP36</f>
        <v>47.773497576565759</v>
      </c>
      <c r="AJ36" s="106"/>
      <c r="AM36" s="102">
        <f t="shared" si="13"/>
        <v>40565</v>
      </c>
      <c r="AN36" s="106"/>
      <c r="AO36" s="106"/>
      <c r="AR36" s="106"/>
      <c r="AT36" s="101">
        <f>Sheet1!AR36*GPMtoMGD</f>
        <v>0</v>
      </c>
      <c r="AU36" s="101">
        <f>Sheet1!AS36*GPMtoMGD</f>
        <v>4.1328000000000004E-2</v>
      </c>
      <c r="AV36" s="101">
        <f>Sheet1!AT36*GPMtoMGD</f>
        <v>0</v>
      </c>
      <c r="AW36" s="101">
        <f>Sheet1!AV36*GPMtoMGD</f>
        <v>0</v>
      </c>
      <c r="AX36" s="101">
        <f>Sheet1!AW36*GPMtoMGD</f>
        <v>2.7239040000000001</v>
      </c>
      <c r="AY36" s="101">
        <f>Sheet1!AX36*GPMtoMGD</f>
        <v>0</v>
      </c>
      <c r="AZ36" s="101">
        <f>Sheet1!AY36*GPMtoMGD</f>
        <v>0</v>
      </c>
      <c r="BA36" s="101">
        <f>Sheet1!AZ36*GPMtoMGD</f>
        <v>0</v>
      </c>
      <c r="BB36" s="101">
        <f>Sheet1!BP36*GPMtoMGD</f>
        <v>0</v>
      </c>
      <c r="BC36" s="101">
        <f>Sheet1!CO36*GPMtoMGD</f>
        <v>0</v>
      </c>
      <c r="BD36" s="101">
        <f>Sheet1!BO36*GPMtoMGD</f>
        <v>2.4998400000000003</v>
      </c>
      <c r="BE36" s="101">
        <f>Sheet1!BV36*GPMtoMGD</f>
        <v>0.97214400000000012</v>
      </c>
      <c r="BF36" s="101">
        <f>Sheet1!CJ36*GPMtoMGD</f>
        <v>0.51364799999999999</v>
      </c>
      <c r="BG36" s="101">
        <f>Sheet1!CK36*GPMtoMGD</f>
        <v>0.59112000000000009</v>
      </c>
      <c r="BH36" s="101">
        <f>Sheet1!CL36*GPMtoMGD</f>
        <v>0.83376000000000006</v>
      </c>
      <c r="BI36" s="101">
        <f t="shared" si="14"/>
        <v>2.4998400000000003</v>
      </c>
      <c r="BK36" s="106">
        <f>SUM(AT36:BA36,BE36,Sheet1!BU36,'Calculations II'!BC36,Calculation!AG36)</f>
        <v>48.037376000004372</v>
      </c>
      <c r="BM36" s="439">
        <f>IF(AND(Sheet1!BQ36&lt;=11.5,Sheet1!BQ35&gt;Sheet1!BQ36),(MIN(Lookup!$C$119,VLOOKUP(Sheet1!BQ35,Lookup!$B$4:$J$236,2))-VLOOKUP(Sheet1!BQ36,Lookup!$B$4:$J$236,2))/1000000,0)</f>
        <v>0</v>
      </c>
      <c r="BN36" s="439">
        <f>IF(AND(Sheet1!BR36&lt;=11.5,Sheet1!BR35&gt;Sheet1!BR36),(MIN(Lookup!$D$119,VLOOKUP(Sheet1!BR35,Lookup!$B$4:$J$236,3))-VLOOKUP(Sheet1!BR36,Lookup!$B$4:$J$236,3))/1000000,0)</f>
        <v>0</v>
      </c>
      <c r="BP36" s="105">
        <f>SUM(BM36:BN36,W36,Sheet1!DT36)</f>
        <v>0</v>
      </c>
    </row>
    <row r="37" spans="1:68" s="101" customFormat="1">
      <c r="A37" s="101" t="s">
        <v>9</v>
      </c>
      <c r="B37" s="103">
        <v>40566</v>
      </c>
      <c r="C37" s="104">
        <v>0.33333333333357601</v>
      </c>
      <c r="E37" s="30"/>
      <c r="F37" s="30">
        <f>-(VLOOKUP(Sheet1!BZ37,Lookup!$I$4:$J$216,2)-VLOOKUP(Sheet1!BZ36,Lookup!$I$4:$J$216,2))/1000000</f>
        <v>-0.10363693854779936</v>
      </c>
      <c r="G37" s="106">
        <f>-$G$6*(Sheet1!CB37-Sheet1!CB36)*7.48/1000000</f>
        <v>-0.5281895639990386</v>
      </c>
      <c r="H37" s="106">
        <f>-$H$6*(Sheet1!CA37-Sheet1!CA36)*7.48/1000000</f>
        <v>0</v>
      </c>
      <c r="I37" s="106">
        <f>-$I$6*(Sheet1!CC37-Sheet1!CC36)*7.48/1000000</f>
        <v>-1.6192357585224318E-2</v>
      </c>
      <c r="J37" s="107" t="s">
        <v>193</v>
      </c>
      <c r="K37" s="106">
        <f>-$I$6*(Sheet1!CD37-Sheet1!CD36)*7.48/1000000</f>
        <v>-2.338896095643498E-2</v>
      </c>
      <c r="L37" s="107" t="s">
        <v>193</v>
      </c>
      <c r="M37" s="106">
        <f>-$M$6*(Sheet1!CE37-Sheet1!CE36)*7.48/1000000</f>
        <v>-3.9979922246749806E-3</v>
      </c>
      <c r="N37" s="106">
        <f>-$N$6*(Sheet1!CF37-Sheet1!CF36)*7.48/1000000</f>
        <v>-6.2052345394623676E-2</v>
      </c>
      <c r="O37" s="106">
        <f t="shared" si="10"/>
        <v>-0.73745815870779585</v>
      </c>
      <c r="P37" s="106">
        <f>O37+Calculation!EI37</f>
        <v>-1.0045581587077959</v>
      </c>
      <c r="Q37" s="101" t="str">
        <f>IF(Sheet1!BQ37&gt;21.75,"spill elevation","-")</f>
        <v>-</v>
      </c>
      <c r="R37" s="101" t="str">
        <f>IF(Sheet1!BR37&gt;21.75,"spill elevation","-")</f>
        <v>-</v>
      </c>
      <c r="S37" s="101" t="str">
        <f>IF(Sheet1!BS37&gt;21.75,"spill elevation","-")</f>
        <v>-</v>
      </c>
      <c r="T37" s="105">
        <f>IF(Sheet1!DQ37=1,Sheet1!AA37-(SUM(AT37:BA37)+BE37),Sheet1!AA37-SUM(AT37:BA37))</f>
        <v>27.820768000000584</v>
      </c>
      <c r="U37" s="105">
        <f>Sheet1!BU37</f>
        <v>25.3</v>
      </c>
      <c r="V37" s="105">
        <f t="shared" si="11"/>
        <v>2.520768000000583</v>
      </c>
      <c r="W37" s="105">
        <f t="shared" si="12"/>
        <v>0</v>
      </c>
      <c r="X37" s="101">
        <f>IF((Sheet1!EX37-Sheet1!EX36)&lt;0,(Sheet1!EX37+100000-Sheet1!EX36)/1000,(Sheet1!EX37-Sheet1!EX36)/1000)</f>
        <v>0.78500000000000003</v>
      </c>
      <c r="Y37" s="106">
        <f>Calculation!DZ38+Calculation!EI37+'Calculations II'!O37-'Calculations II'!W37</f>
        <v>44.245441841284929</v>
      </c>
      <c r="Z37" s="106">
        <f>Y37-Sheet1!CP38</f>
        <v>28.29544184128493</v>
      </c>
      <c r="AA37" s="106">
        <f>Y37+Calculation!CZ38+Calculation!AI38</f>
        <v>44.245441841284929</v>
      </c>
      <c r="AC37" s="106">
        <f>Sheet1!AA37+Sheet1!AB37+BC37</f>
        <v>46.409999999996217</v>
      </c>
      <c r="AD37" s="106">
        <f>Sheet1!AA37+Sheet1!BN37+'Calculations II'!BC37-Calculation!AI37-Calculation!CZ37</f>
        <v>46.110000000000582</v>
      </c>
      <c r="AE37" s="106">
        <f>Sheet1!AA37+Sheet1!AB37+'Calculations II'!BC37-Calculation!AI37-Calculation!CZ37</f>
        <v>46.409999999996217</v>
      </c>
      <c r="AF37" s="106">
        <f>Sheet1!AA37+Sheet1!BN37+P37+'Calculations II'!BC37+Calculation!AI37+Calculation!CZ37</f>
        <v>45.105441841292787</v>
      </c>
      <c r="AG37" s="106">
        <f>Sheet1!AA37+Sheet1!BN37+'Calculations II'!BC37+'Calculations II'!P37-Sheet1!CP37-BP37</f>
        <v>29.305441841292787</v>
      </c>
      <c r="AH37" s="106">
        <f>Sheet1!AA37+Sheet1!BN37+'Calculations II'!BC37+'Calculations II'!P37-BP37</f>
        <v>45.105441841292787</v>
      </c>
      <c r="AI37" s="106">
        <f>BC37+Sheet1!AA37+Calculation!EI37+O37+W37+Sheet1!BN37+Calculation!AI37+Calculation!CZ37-BP37</f>
        <v>45.105441841292787</v>
      </c>
      <c r="AJ37" s="106"/>
      <c r="AM37" s="102">
        <f t="shared" si="13"/>
        <v>40566</v>
      </c>
      <c r="AN37" s="106"/>
      <c r="AO37" s="106"/>
      <c r="AR37" s="106"/>
      <c r="AT37" s="101">
        <f>Sheet1!AR37*GPMtoMGD</f>
        <v>0</v>
      </c>
      <c r="AU37" s="101">
        <f>Sheet1!AS37*GPMtoMGD</f>
        <v>3.8304000000000005E-2</v>
      </c>
      <c r="AV37" s="101">
        <f>Sheet1!AT37*GPMtoMGD</f>
        <v>0</v>
      </c>
      <c r="AW37" s="101">
        <f>Sheet1!AV37*GPMtoMGD</f>
        <v>0.40420800000000001</v>
      </c>
      <c r="AX37" s="101">
        <f>Sheet1!AW37*GPMtoMGD</f>
        <v>0.84672000000000003</v>
      </c>
      <c r="AY37" s="101">
        <f>Sheet1!AX37*GPMtoMGD</f>
        <v>0</v>
      </c>
      <c r="AZ37" s="101">
        <f>Sheet1!AY37*GPMtoMGD</f>
        <v>0</v>
      </c>
      <c r="BA37" s="101">
        <f>Sheet1!AZ37*GPMtoMGD</f>
        <v>0</v>
      </c>
      <c r="BB37" s="101">
        <f>Sheet1!BP37*GPMtoMGD</f>
        <v>0</v>
      </c>
      <c r="BC37" s="101">
        <f>Sheet1!CO37*GPMtoMGD</f>
        <v>0</v>
      </c>
      <c r="BD37" s="101">
        <f>Sheet1!BO37*GPMtoMGD</f>
        <v>1.8047520000000001</v>
      </c>
      <c r="BE37" s="101">
        <f>Sheet1!BV37*GPMtoMGD</f>
        <v>0.96955199999999997</v>
      </c>
      <c r="BF37" s="101">
        <f>Sheet1!CJ37*GPMtoMGD</f>
        <v>0.62928000000000006</v>
      </c>
      <c r="BG37" s="101">
        <f>Sheet1!CK37*GPMtoMGD</f>
        <v>0.61905600000000005</v>
      </c>
      <c r="BH37" s="101">
        <f>Sheet1!CL37*GPMtoMGD</f>
        <v>0.83376000000000006</v>
      </c>
      <c r="BI37" s="101">
        <f t="shared" si="14"/>
        <v>1.8047520000000001</v>
      </c>
      <c r="BK37" s="106">
        <f>SUM(AT37:BA37,BE37,Sheet1!BU37,'Calculations II'!BC37,Calculation!AG37)</f>
        <v>44.858783999995637</v>
      </c>
      <c r="BM37" s="439">
        <f>IF(AND(Sheet1!BQ37&lt;=11.5,Sheet1!BQ36&gt;Sheet1!BQ37),(MIN(Lookup!$C$119,VLOOKUP(Sheet1!BQ36,Lookup!$B$4:$J$236,2))-VLOOKUP(Sheet1!BQ37,Lookup!$B$4:$J$236,2))/1000000,0)</f>
        <v>0</v>
      </c>
      <c r="BN37" s="439">
        <f>IF(AND(Sheet1!BR37&lt;=11.5,Sheet1!BR36&gt;Sheet1!BR37),(MIN(Lookup!$D$119,VLOOKUP(Sheet1!BR36,Lookup!$B$4:$J$236,3))-VLOOKUP(Sheet1!BR37,Lookup!$B$4:$J$236,3))/1000000,0)</f>
        <v>0</v>
      </c>
      <c r="BP37" s="105">
        <f>SUM(BM37:BN37,W37,Sheet1!DT37)</f>
        <v>0</v>
      </c>
    </row>
    <row r="38" spans="1:68" s="101" customFormat="1">
      <c r="A38" s="101" t="s">
        <v>3</v>
      </c>
      <c r="B38" s="103">
        <v>40567</v>
      </c>
      <c r="C38" s="104">
        <v>0.33333333333357601</v>
      </c>
      <c r="E38" s="30"/>
      <c r="F38" s="30">
        <f>-(VLOOKUP(Sheet1!BZ38,Lookup!$I$4:$J$216,2)-VLOOKUP(Sheet1!BZ37,Lookup!$I$4:$J$216,2))/1000000</f>
        <v>0</v>
      </c>
      <c r="G38" s="106">
        <f>-$G$6*(Sheet1!CB38-Sheet1!CB37)*7.48/1000000</f>
        <v>0.52421821389378276</v>
      </c>
      <c r="H38" s="106">
        <f>-$H$6*(Sheet1!CA38-Sheet1!CA37)*7.48/1000000</f>
        <v>-3.0078864702529479E-2</v>
      </c>
      <c r="I38" s="106">
        <f>-$I$6*(Sheet1!CC38-Sheet1!CC37)*7.48/1000000</f>
        <v>0.19430829102269215</v>
      </c>
      <c r="J38" s="107" t="s">
        <v>193</v>
      </c>
      <c r="K38" s="106">
        <f>-$I$6*(Sheet1!CD38-Sheet1!CD37)*7.48/1000000</f>
        <v>0.20330404523670545</v>
      </c>
      <c r="L38" s="107" t="s">
        <v>193</v>
      </c>
      <c r="M38" s="106">
        <f>-$M$6*(Sheet1!CE38-Sheet1!CE37)*7.48/1000000</f>
        <v>6.0636215407571838E-2</v>
      </c>
      <c r="N38" s="106">
        <f>-$N$6*(Sheet1!CF38-Sheet1!CF37)*7.48/1000000</f>
        <v>-1.861570361838677E-2</v>
      </c>
      <c r="O38" s="106">
        <f t="shared" si="10"/>
        <v>0.93377219723983595</v>
      </c>
      <c r="P38" s="106">
        <f>O38+Calculation!EI38</f>
        <v>-0.14382780276016394</v>
      </c>
      <c r="Q38" s="101" t="str">
        <f>IF(Sheet1!BQ38&gt;21.75,"spill elevation","-")</f>
        <v>-</v>
      </c>
      <c r="R38" s="101" t="str">
        <f>IF(Sheet1!BR38&gt;21.75,"spill elevation","-")</f>
        <v>-</v>
      </c>
      <c r="S38" s="101" t="str">
        <f>IF(Sheet1!BS38&gt;21.75,"spill elevation","-")</f>
        <v>-</v>
      </c>
      <c r="T38" s="105">
        <f>IF(Sheet1!DQ38=1,Sheet1!AA38-(SUM(AT38:BA38)+BE38),Sheet1!AA38-SUM(AT38:BA38))</f>
        <v>27.438655999994179</v>
      </c>
      <c r="U38" s="105">
        <f>Sheet1!BU38</f>
        <v>24.9</v>
      </c>
      <c r="V38" s="105">
        <f t="shared" si="11"/>
        <v>2.5386559999941802</v>
      </c>
      <c r="W38" s="105">
        <f t="shared" si="12"/>
        <v>0</v>
      </c>
      <c r="X38" s="101">
        <f>IF((Sheet1!EX38-Sheet1!EX37)&lt;0,(Sheet1!EX38+100000-Sheet1!EX37)/1000,(Sheet1!EX38-Sheet1!EX37)/1000)</f>
        <v>0.81799999999999995</v>
      </c>
      <c r="Y38" s="106">
        <f>Calculation!DZ39+Calculation!EI38+'Calculations II'!O38-'Calculations II'!W38</f>
        <v>45.606172197254388</v>
      </c>
      <c r="Z38" s="106">
        <f>Y38-Sheet1!CP39</f>
        <v>29.956172197254389</v>
      </c>
      <c r="AA38" s="106">
        <f>Y38+Calculation!CZ39+Calculation!AI39</f>
        <v>45.606172197254388</v>
      </c>
      <c r="AC38" s="106">
        <f>Sheet1!AA38+Sheet1!AB38+BC38</f>
        <v>45.249999999992724</v>
      </c>
      <c r="AD38" s="106">
        <f>Sheet1!AA38+Sheet1!BN38+'Calculations II'!BC38-Calculation!AI38-Calculation!CZ38</f>
        <v>45.399999999994179</v>
      </c>
      <c r="AE38" s="106">
        <f>Sheet1!AA38+Sheet1!AB38+'Calculations II'!BC38-Calculation!AI38-Calculation!CZ38</f>
        <v>45.249999999992724</v>
      </c>
      <c r="AF38" s="106">
        <f>Sheet1!AA38+Sheet1!BN38+P38+'Calculations II'!BC38+Calculation!AI38+Calculation!CZ38</f>
        <v>45.256172197234015</v>
      </c>
      <c r="AG38" s="106">
        <f>Sheet1!AA38+Sheet1!BN38+'Calculations II'!BC38+'Calculations II'!P38-Sheet1!CP38-BP38</f>
        <v>29.306172197234016</v>
      </c>
      <c r="AH38" s="106">
        <f>Sheet1!AA38+Sheet1!BN38+'Calculations II'!BC38+'Calculations II'!P38-BP38</f>
        <v>45.256172197234015</v>
      </c>
      <c r="AI38" s="106">
        <f>BC38+Sheet1!AA38+Calculation!EI38+O38+W38+Sheet1!BN38+Calculation!AI38+Calculation!CZ38-BP38</f>
        <v>45.256172197234015</v>
      </c>
      <c r="AJ38" s="106"/>
      <c r="AM38" s="102">
        <f t="shared" si="13"/>
        <v>40567</v>
      </c>
      <c r="AN38" s="106"/>
      <c r="AO38" s="106"/>
      <c r="AR38" s="106"/>
      <c r="AT38" s="101">
        <f>Sheet1!AR38*GPMtoMGD</f>
        <v>0</v>
      </c>
      <c r="AU38" s="101">
        <f>Sheet1!AS38*GPMtoMGD</f>
        <v>2.6495999999999999E-2</v>
      </c>
      <c r="AV38" s="101">
        <f>Sheet1!AT38*GPMtoMGD</f>
        <v>0</v>
      </c>
      <c r="AW38" s="101">
        <f>Sheet1!AV38*GPMtoMGD</f>
        <v>0.47750400000000004</v>
      </c>
      <c r="AX38" s="101">
        <f>Sheet1!AW38*GPMtoMGD</f>
        <v>0.45734400000000008</v>
      </c>
      <c r="AY38" s="101">
        <f>Sheet1!AX38*GPMtoMGD</f>
        <v>0</v>
      </c>
      <c r="AZ38" s="101">
        <f>Sheet1!AY38*GPMtoMGD</f>
        <v>0</v>
      </c>
      <c r="BA38" s="101">
        <f>Sheet1!AZ38*GPMtoMGD</f>
        <v>0</v>
      </c>
      <c r="BB38" s="101">
        <f>Sheet1!BP38*GPMtoMGD</f>
        <v>4.1472000000000002E-2</v>
      </c>
      <c r="BC38" s="101">
        <f>Sheet1!CO38*GPMtoMGD</f>
        <v>0</v>
      </c>
      <c r="BD38" s="101">
        <f>Sheet1!BO38*GPMtoMGD</f>
        <v>1.5937920000000001</v>
      </c>
      <c r="BE38" s="101">
        <f>Sheet1!BV38*GPMtoMGD</f>
        <v>0.70732800000000007</v>
      </c>
      <c r="BF38" s="101">
        <f>Sheet1!CJ38*GPMtoMGD</f>
        <v>0.35150400000000004</v>
      </c>
      <c r="BG38" s="101">
        <f>Sheet1!CK38*GPMtoMGD</f>
        <v>0.54921600000000004</v>
      </c>
      <c r="BH38" s="101">
        <f>Sheet1!CL38*GPMtoMGD</f>
        <v>0.83390400000000009</v>
      </c>
      <c r="BI38" s="101">
        <f t="shared" si="14"/>
        <v>1.6352640000000001</v>
      </c>
      <c r="BK38" s="106">
        <f>SUM(AT38:BA38,BE38,Sheet1!BU38,'Calculations II'!BC38,Calculation!AG38)</f>
        <v>43.418671999998544</v>
      </c>
      <c r="BM38" s="439">
        <f>IF(AND(Sheet1!BQ38&lt;=11.5,Sheet1!BQ37&gt;Sheet1!BQ38),(MIN(Lookup!$C$119,VLOOKUP(Sheet1!BQ37,Lookup!$B$4:$J$236,2))-VLOOKUP(Sheet1!BQ38,Lookup!$B$4:$J$236,2))/1000000,0)</f>
        <v>0</v>
      </c>
      <c r="BN38" s="439">
        <f>IF(AND(Sheet1!BR38&lt;=11.5,Sheet1!BR37&gt;Sheet1!BR38),(MIN(Lookup!$D$119,VLOOKUP(Sheet1!BR37,Lookup!$B$4:$J$236,3))-VLOOKUP(Sheet1!BR38,Lookup!$B$4:$J$236,3))/1000000,0)</f>
        <v>0</v>
      </c>
      <c r="BP38" s="105">
        <f>SUM(BM38:BN38,W38,Sheet1!DT38)</f>
        <v>0</v>
      </c>
    </row>
    <row r="39" spans="1:68" s="101" customFormat="1">
      <c r="A39" s="101" t="s">
        <v>4</v>
      </c>
      <c r="B39" s="103">
        <v>40568</v>
      </c>
      <c r="C39" s="104">
        <v>0.33333333333357601</v>
      </c>
      <c r="E39" s="30"/>
      <c r="F39" s="30">
        <f>-(VLOOKUP(Sheet1!BZ39,Lookup!$I$4:$J$216,2)-VLOOKUP(Sheet1!BZ38,Lookup!$I$4:$J$216,2))/1000000</f>
        <v>0.20727387709560433</v>
      </c>
      <c r="G39" s="106">
        <f>-$G$6*(Sheet1!CB39-Sheet1!CB38)*7.48/1000000</f>
        <v>0.27799450736791476</v>
      </c>
      <c r="H39" s="106">
        <f>-$H$6*(Sheet1!CA39-Sheet1!CA38)*7.48/1000000</f>
        <v>0.42110410583542124</v>
      </c>
      <c r="I39" s="106">
        <f>-$I$6*(Sheet1!CC39-Sheet1!CC38)*7.48/1000000</f>
        <v>-0.26987262642040577</v>
      </c>
      <c r="J39" s="107" t="s">
        <v>193</v>
      </c>
      <c r="K39" s="106">
        <f>-$I$6*(Sheet1!CD39-Sheet1!CD38)*7.48/1000000</f>
        <v>-0.26987262642040577</v>
      </c>
      <c r="L39" s="107" t="s">
        <v>193</v>
      </c>
      <c r="M39" s="106">
        <f>-$M$6*(Sheet1!CE39-Sheet1!CE38)*7.48/1000000</f>
        <v>-8.6623164867959804E-2</v>
      </c>
      <c r="N39" s="106">
        <f>-$N$6*(Sheet1!CF39-Sheet1!CF38)*7.48/1000000</f>
        <v>0.161336098026022</v>
      </c>
      <c r="O39" s="106">
        <f t="shared" si="10"/>
        <v>0.44134017061619096</v>
      </c>
      <c r="P39" s="106">
        <f>O39+Calculation!EI39</f>
        <v>0.44134017061619096</v>
      </c>
      <c r="Q39" s="101" t="str">
        <f>IF(Sheet1!BQ39&gt;21.75,"spill elevation","-")</f>
        <v>-</v>
      </c>
      <c r="R39" s="101" t="str">
        <f>IF(Sheet1!BR39&gt;21.75,"spill elevation","-")</f>
        <v>-</v>
      </c>
      <c r="S39" s="101" t="str">
        <f>IF(Sheet1!BS39&gt;21.75,"spill elevation","-")</f>
        <v>-</v>
      </c>
      <c r="T39" s="105">
        <f>IF(Sheet1!DQ39=1,Sheet1!AA39-(SUM(AT39:BA39)+BE39),Sheet1!AA39-SUM(AT39:BA39))</f>
        <v>26.746064000011643</v>
      </c>
      <c r="U39" s="105">
        <f>Sheet1!BU39</f>
        <v>25.4</v>
      </c>
      <c r="V39" s="105">
        <f t="shared" si="11"/>
        <v>1.3460640000116442</v>
      </c>
      <c r="W39" s="105">
        <f t="shared" si="12"/>
        <v>0</v>
      </c>
      <c r="X39" s="101">
        <f>IF((Sheet1!EX39-Sheet1!EX38)&lt;0,(Sheet1!EX39+100000-Sheet1!EX38)/1000,(Sheet1!EX39-Sheet1!EX38)/1000)</f>
        <v>0.77800000000000002</v>
      </c>
      <c r="Y39" s="106">
        <f>Calculation!DZ40+Calculation!EI39+'Calculations II'!O39-'Calculations II'!W39</f>
        <v>46.441340170608918</v>
      </c>
      <c r="Z39" s="106">
        <f>Y39-Sheet1!CP40</f>
        <v>30.981340170608917</v>
      </c>
      <c r="AA39" s="106">
        <f>Y39+Calculation!CZ40+Calculation!AI40</f>
        <v>46.441340170608918</v>
      </c>
      <c r="AC39" s="106">
        <f>Sheet1!AA39+Sheet1!AB39+BC39</f>
        <v>45.750000000014552</v>
      </c>
      <c r="AD39" s="106">
        <f>Sheet1!AA39+Sheet1!BN39+'Calculations II'!BC39-Calculation!AI39-Calculation!CZ39</f>
        <v>45.800000000011643</v>
      </c>
      <c r="AE39" s="106">
        <f>Sheet1!AA39+Sheet1!AB39+'Calculations II'!BC39-Calculation!AI39-Calculation!CZ39</f>
        <v>45.750000000014552</v>
      </c>
      <c r="AF39" s="106">
        <f>Sheet1!AA39+Sheet1!BN39+P39+'Calculations II'!BC39+Calculation!AI39+Calculation!CZ39</f>
        <v>46.241340170627836</v>
      </c>
      <c r="AG39" s="106">
        <f>Sheet1!AA39+Sheet1!BN39+'Calculations II'!BC39+'Calculations II'!P39-Sheet1!CP39-BP39</f>
        <v>30.591340170627838</v>
      </c>
      <c r="AH39" s="106">
        <f>Sheet1!AA39+Sheet1!BN39+'Calculations II'!BC39+'Calculations II'!P39-BP39</f>
        <v>46.241340170627836</v>
      </c>
      <c r="AI39" s="106">
        <f>BC39+Sheet1!AA39+Calculation!EI39+O39+W39+Sheet1!BN39+Calculation!AI39+Calculation!CZ39-BP39</f>
        <v>46.241340170627836</v>
      </c>
      <c r="AJ39" s="106"/>
      <c r="AM39" s="102">
        <f t="shared" si="13"/>
        <v>40568</v>
      </c>
      <c r="AN39" s="106"/>
      <c r="AO39" s="106"/>
      <c r="AR39" s="106"/>
      <c r="AT39" s="101">
        <f>Sheet1!AR39*GPMtoMGD</f>
        <v>0</v>
      </c>
      <c r="AU39" s="101">
        <f>Sheet1!AS39*GPMtoMGD</f>
        <v>5.2416000000000004E-2</v>
      </c>
      <c r="AV39" s="101">
        <f>Sheet1!AT39*GPMtoMGD</f>
        <v>0</v>
      </c>
      <c r="AW39" s="101">
        <f>Sheet1!AV39*GPMtoMGD</f>
        <v>0.8785440000000001</v>
      </c>
      <c r="AX39" s="101">
        <f>Sheet1!AW39*GPMtoMGD</f>
        <v>1.0229760000000001</v>
      </c>
      <c r="AY39" s="101">
        <f>Sheet1!AX39*GPMtoMGD</f>
        <v>0</v>
      </c>
      <c r="AZ39" s="101">
        <f>Sheet1!AY39*GPMtoMGD</f>
        <v>0</v>
      </c>
      <c r="BA39" s="101">
        <f>Sheet1!AZ39*GPMtoMGD</f>
        <v>0</v>
      </c>
      <c r="BB39" s="101">
        <f>Sheet1!BP39*GPMtoMGD</f>
        <v>0</v>
      </c>
      <c r="BC39" s="101">
        <f>Sheet1!CO39*GPMtoMGD</f>
        <v>0</v>
      </c>
      <c r="BD39" s="101">
        <f>Sheet1!BO39*GPMtoMGD</f>
        <v>2.108304</v>
      </c>
      <c r="BE39" s="101">
        <f>Sheet1!BV39*GPMtoMGD</f>
        <v>0.90417599999999998</v>
      </c>
      <c r="BF39" s="101">
        <f>Sheet1!CJ39*GPMtoMGD</f>
        <v>0.28123200000000004</v>
      </c>
      <c r="BG39" s="101">
        <f>Sheet1!CK39*GPMtoMGD</f>
        <v>0.53424000000000005</v>
      </c>
      <c r="BH39" s="101">
        <f>Sheet1!CL39*GPMtoMGD</f>
        <v>0.67233600000000004</v>
      </c>
      <c r="BI39" s="101">
        <f t="shared" si="14"/>
        <v>2.108304</v>
      </c>
      <c r="BK39" s="106">
        <f>SUM(AT39:BA39,BE39,Sheet1!BU39,'Calculations II'!BC39,Calculation!AG39)</f>
        <v>45.308112000002907</v>
      </c>
      <c r="BM39" s="439">
        <f>IF(AND(Sheet1!BQ39&lt;=11.5,Sheet1!BQ38&gt;Sheet1!BQ39),(MIN(Lookup!$C$119,VLOOKUP(Sheet1!BQ38,Lookup!$B$4:$J$236,2))-VLOOKUP(Sheet1!BQ39,Lookup!$B$4:$J$236,2))/1000000,0)</f>
        <v>0</v>
      </c>
      <c r="BN39" s="439">
        <f>IF(AND(Sheet1!BR39&lt;=11.5,Sheet1!BR38&gt;Sheet1!BR39),(MIN(Lookup!$D$119,VLOOKUP(Sheet1!BR38,Lookup!$B$4:$J$236,3))-VLOOKUP(Sheet1!BR39,Lookup!$B$4:$J$236,3))/1000000,0)</f>
        <v>0</v>
      </c>
      <c r="BP39" s="105">
        <f>SUM(BM39:BN39,W39,Sheet1!DT39)</f>
        <v>0</v>
      </c>
    </row>
    <row r="40" spans="1:68" s="101" customFormat="1">
      <c r="A40" s="101" t="s">
        <v>5</v>
      </c>
      <c r="B40" s="103">
        <v>40569</v>
      </c>
      <c r="C40" s="104">
        <v>0.33333333333357601</v>
      </c>
      <c r="E40" s="30"/>
      <c r="F40" s="30">
        <f>-(VLOOKUP(Sheet1!BZ40,Lookup!$I$4:$J$216,2)-VLOOKUP(Sheet1!BZ39,Lookup!$I$4:$J$216,2))/1000000</f>
        <v>0.10363693854779936</v>
      </c>
      <c r="G40" s="106">
        <f>-$G$6*(Sheet1!CB40-Sheet1!CB39)*7.48/1000000</f>
        <v>-1.1119780294716601</v>
      </c>
      <c r="H40" s="106">
        <f>-$H$6*(Sheet1!CA40-Sheet1!CA39)*7.48/1000000</f>
        <v>-1.3385094792625902</v>
      </c>
      <c r="I40" s="106">
        <f>-$I$6*(Sheet1!CC40-Sheet1!CC39)*7.48/1000000</f>
        <v>0.28786413484843265</v>
      </c>
      <c r="J40" s="107" t="s">
        <v>193</v>
      </c>
      <c r="K40" s="106">
        <f>-$I$6*(Sheet1!CD40-Sheet1!CD39)*7.48/1000000</f>
        <v>0.26987262642040577</v>
      </c>
      <c r="L40" s="107" t="s">
        <v>193</v>
      </c>
      <c r="M40" s="106">
        <f>-$M$6*(Sheet1!CE40-Sheet1!CE39)*7.48/1000000</f>
        <v>0.10661312599133518</v>
      </c>
      <c r="N40" s="106">
        <f>-$N$6*(Sheet1!CF40-Sheet1!CF39)*7.48/1000000</f>
        <v>7.4462814473548189E-2</v>
      </c>
      <c r="O40" s="106">
        <f t="shared" si="10"/>
        <v>-1.608037868452729</v>
      </c>
      <c r="P40" s="106">
        <f>O40+Calculation!EI40</f>
        <v>3.2621315472709522E-3</v>
      </c>
      <c r="Q40" s="101" t="str">
        <f>IF(Sheet1!BQ40&gt;21.75,"spill elevation","-")</f>
        <v>-</v>
      </c>
      <c r="R40" s="101" t="str">
        <f>IF(Sheet1!BR40&gt;21.75,"spill elevation","-")</f>
        <v>-</v>
      </c>
      <c r="S40" s="101" t="str">
        <f>IF(Sheet1!BS40&gt;21.75,"spill elevation","-")</f>
        <v>-</v>
      </c>
      <c r="T40" s="105">
        <f>IF(Sheet1!DQ40=1,Sheet1!AA40-(SUM(AT40:BA40)+BE40),Sheet1!AA40-SUM(AT40:BA40))</f>
        <v>27.729999999994178</v>
      </c>
      <c r="U40" s="105">
        <f>Sheet1!BU40</f>
        <v>27.3</v>
      </c>
      <c r="V40" s="105">
        <f t="shared" si="11"/>
        <v>0.42999999999417682</v>
      </c>
      <c r="W40" s="105">
        <f t="shared" si="12"/>
        <v>0</v>
      </c>
      <c r="X40" s="101">
        <f>IF((Sheet1!EX40-Sheet1!EX39)&lt;0,(Sheet1!EX40+100000-Sheet1!EX39)/1000,(Sheet1!EX40-Sheet1!EX39)/1000)</f>
        <v>0.80300000000000005</v>
      </c>
      <c r="Y40" s="106">
        <f>Calculation!DZ41+Calculation!EI40+'Calculations II'!O40-'Calculations II'!W40</f>
        <v>45.903262131541453</v>
      </c>
      <c r="Z40" s="106">
        <f>Y40-Sheet1!CP41</f>
        <v>30.353262131541452</v>
      </c>
      <c r="AA40" s="106">
        <f>Y40+Calculation!CZ41+Calculation!AI41</f>
        <v>45.903262131541453</v>
      </c>
      <c r="AC40" s="106">
        <f>Sheet1!AA40+Sheet1!AB40+BC40</f>
        <v>45.999999999992724</v>
      </c>
      <c r="AD40" s="106">
        <f>Sheet1!AA40+Sheet1!BN40+'Calculations II'!BC40-Calculation!AI40-Calculation!CZ40</f>
        <v>46.099999999994182</v>
      </c>
      <c r="AE40" s="106">
        <f>Sheet1!AA40+Sheet1!AB40+'Calculations II'!BC40-Calculation!AI40-Calculation!CZ40</f>
        <v>45.999999999992724</v>
      </c>
      <c r="AF40" s="106">
        <f>Sheet1!AA40+Sheet1!BN40+P40+'Calculations II'!BC40+Calculation!AI40+Calculation!CZ40</f>
        <v>46.103262131541456</v>
      </c>
      <c r="AG40" s="106">
        <f>Sheet1!AA40+Sheet1!BN40+'Calculations II'!BC40+'Calculations II'!P40-Sheet1!CP40-BP40</f>
        <v>30.643262131541455</v>
      </c>
      <c r="AH40" s="106">
        <f>Sheet1!AA40+Sheet1!BN40+'Calculations II'!BC40+'Calculations II'!P40-BP40</f>
        <v>46.103262131541456</v>
      </c>
      <c r="AI40" s="106">
        <f>BC40+Sheet1!AA40+Calculation!EI40+O40+W40+Sheet1!BN40+Calculation!AI40+Calculation!CZ40-BP40</f>
        <v>46.103262131541449</v>
      </c>
      <c r="AJ40" s="106"/>
      <c r="AM40" s="102">
        <f t="shared" si="13"/>
        <v>40569</v>
      </c>
      <c r="AN40" s="106"/>
      <c r="AO40" s="106"/>
      <c r="AR40" s="106"/>
      <c r="AT40" s="101">
        <f>Sheet1!AR40*GPMtoMGD</f>
        <v>0</v>
      </c>
      <c r="AU40" s="101">
        <f>Sheet1!AS40*GPMtoMGD</f>
        <v>2.7216000000000001E-2</v>
      </c>
      <c r="AV40" s="101">
        <f>Sheet1!AT40*GPMtoMGD</f>
        <v>0</v>
      </c>
      <c r="AW40" s="101">
        <f>Sheet1!AV40*GPMtoMGD</f>
        <v>0.56548799999999999</v>
      </c>
      <c r="AX40" s="101">
        <f>Sheet1!AW40*GPMtoMGD</f>
        <v>0.57729600000000003</v>
      </c>
      <c r="AY40" s="101">
        <f>Sheet1!AX40*GPMtoMGD</f>
        <v>0</v>
      </c>
      <c r="AZ40" s="101">
        <f>Sheet1!AY40*GPMtoMGD</f>
        <v>0</v>
      </c>
      <c r="BA40" s="101">
        <f>Sheet1!AZ40*GPMtoMGD</f>
        <v>0</v>
      </c>
      <c r="BB40" s="101">
        <f>Sheet1!BP40*GPMtoMGD</f>
        <v>0</v>
      </c>
      <c r="BC40" s="101">
        <f>Sheet1!CO40*GPMtoMGD</f>
        <v>0</v>
      </c>
      <c r="BD40" s="101">
        <f>Sheet1!BO40*GPMtoMGD</f>
        <v>1.3279680000000003</v>
      </c>
      <c r="BE40" s="101">
        <f>Sheet1!BV40*GPMtoMGD</f>
        <v>0.947376</v>
      </c>
      <c r="BF40" s="101">
        <f>Sheet1!CJ40*GPMtoMGD</f>
        <v>0.39988800000000002</v>
      </c>
      <c r="BG40" s="101">
        <f>Sheet1!CK40*GPMtoMGD</f>
        <v>0.55137599999999998</v>
      </c>
      <c r="BH40" s="101">
        <f>Sheet1!CL40*GPMtoMGD</f>
        <v>0.62049600000000005</v>
      </c>
      <c r="BI40" s="101">
        <f t="shared" si="14"/>
        <v>1.3279680000000003</v>
      </c>
      <c r="BK40" s="106">
        <f>SUM(AT40:BA40,BE40,Sheet1!BU40,'Calculations II'!BC40,Calculation!AG40)</f>
        <v>46.517375999998549</v>
      </c>
      <c r="BM40" s="439">
        <f>IF(AND(Sheet1!BQ40&lt;=11.5,Sheet1!BQ39&gt;Sheet1!BQ40),(MIN(Lookup!$C$119,VLOOKUP(Sheet1!BQ39,Lookup!$B$4:$J$236,2))-VLOOKUP(Sheet1!BQ40,Lookup!$B$4:$J$236,2))/1000000,0)</f>
        <v>0</v>
      </c>
      <c r="BN40" s="439">
        <f>IF(AND(Sheet1!BR40&lt;=11.5,Sheet1!BR39&gt;Sheet1!BR40),(MIN(Lookup!$D$119,VLOOKUP(Sheet1!BR39,Lookup!$B$4:$J$236,3))-VLOOKUP(Sheet1!BR40,Lookup!$B$4:$J$236,3))/1000000,0)</f>
        <v>0</v>
      </c>
      <c r="BP40" s="105">
        <f>SUM(BM40:BN40,W40,Sheet1!DT40)</f>
        <v>0</v>
      </c>
    </row>
    <row r="41" spans="1:68" s="101" customFormat="1">
      <c r="A41" s="101" t="s">
        <v>6</v>
      </c>
      <c r="B41" s="103">
        <v>40570</v>
      </c>
      <c r="C41" s="104">
        <v>0.33333333333357601</v>
      </c>
      <c r="E41" s="30"/>
      <c r="F41" s="30">
        <f>-(VLOOKUP(Sheet1!BZ41,Lookup!$I$4:$J$216,2)-VLOOKUP(Sheet1!BZ40,Lookup!$I$4:$J$216,2))/1000000</f>
        <v>0</v>
      </c>
      <c r="G41" s="106">
        <f>-$G$6*(Sheet1!CB41-Sheet1!CB40)*7.48/1000000</f>
        <v>0.31373665831521813</v>
      </c>
      <c r="H41" s="106">
        <f>-$H$6*(Sheet1!CA41-Sheet1!CA40)*7.48/1000000</f>
        <v>0.18047318821518116</v>
      </c>
      <c r="I41" s="106">
        <f>-$I$6*(Sheet1!CC41-Sheet1!CC40)*7.48/1000000</f>
        <v>-0.2824666823200247</v>
      </c>
      <c r="J41" s="107" t="s">
        <v>193</v>
      </c>
      <c r="K41" s="106">
        <f>-$I$6*(Sheet1!CD41-Sheet1!CD40)*7.48/1000000</f>
        <v>-0.25188111799237872</v>
      </c>
      <c r="L41" s="107" t="s">
        <v>193</v>
      </c>
      <c r="M41" s="106">
        <f>-$M$6*(Sheet1!CE41-Sheet1!CE40)*7.48/1000000</f>
        <v>-0.119939766740252</v>
      </c>
      <c r="N41" s="106">
        <f>-$N$6*(Sheet1!CF41-Sheet1!CF40)*7.48/1000000</f>
        <v>-0.17374656710494654</v>
      </c>
      <c r="O41" s="106">
        <f t="shared" si="10"/>
        <v>-0.33382428762720268</v>
      </c>
      <c r="P41" s="106">
        <f>O41+Calculation!EI41</f>
        <v>-1.1341242876272026</v>
      </c>
      <c r="Q41" s="101" t="str">
        <f>IF(Sheet1!BQ41&gt;21.75,"spill elevation","-")</f>
        <v>-</v>
      </c>
      <c r="R41" s="101" t="str">
        <f>IF(Sheet1!BR41&gt;21.75,"spill elevation","-")</f>
        <v>-</v>
      </c>
      <c r="S41" s="101" t="str">
        <f>IF(Sheet1!BS41&gt;21.75,"spill elevation","-")</f>
        <v>-</v>
      </c>
      <c r="T41" s="105">
        <f>IF(Sheet1!DQ41=1,Sheet1!AA41-(SUM(AT41:BA41)+BE41),Sheet1!AA41-SUM(AT41:BA41))</f>
        <v>27.840447999994179</v>
      </c>
      <c r="U41" s="105">
        <f>Sheet1!BU41</f>
        <v>25</v>
      </c>
      <c r="V41" s="105">
        <f t="shared" si="11"/>
        <v>2.8404479999941792</v>
      </c>
      <c r="W41" s="105">
        <f t="shared" si="12"/>
        <v>0</v>
      </c>
      <c r="X41" s="101">
        <f>IF((Sheet1!EX41-Sheet1!EX40)&lt;0,(Sheet1!EX41+100000-Sheet1!EX40)/1000,(Sheet1!EX41-Sheet1!EX40)/1000)</f>
        <v>0.84399999999999997</v>
      </c>
      <c r="Y41" s="106">
        <f>Calculation!DZ42+Calculation!EI41+'Calculations II'!O41-'Calculations II'!W41</f>
        <v>45.765875712374253</v>
      </c>
      <c r="Z41" s="106">
        <f>Y41-Sheet1!CP42</f>
        <v>30.375875712374253</v>
      </c>
      <c r="AA41" s="106">
        <f>Y41+Calculation!CZ42+Calculation!AI42</f>
        <v>45.765875712374253</v>
      </c>
      <c r="AC41" s="106">
        <f>Sheet1!AA41+Sheet1!AB41+BC41</f>
        <v>45.899999999994179</v>
      </c>
      <c r="AD41" s="106">
        <f>Sheet1!AA41+Sheet1!BN41+'Calculations II'!BC41-Calculation!AI41-Calculation!CZ41</f>
        <v>45.899999999994179</v>
      </c>
      <c r="AE41" s="106">
        <f>Sheet1!AA41+Sheet1!AB41+'Calculations II'!BC41-Calculation!AI41-Calculation!CZ41</f>
        <v>45.899999999994179</v>
      </c>
      <c r="AF41" s="106">
        <f>Sheet1!AA41+Sheet1!BN41+P41+'Calculations II'!BC41+Calculation!AI41+Calculation!CZ41</f>
        <v>44.765875712366977</v>
      </c>
      <c r="AG41" s="106">
        <f>Sheet1!AA41+Sheet1!BN41+'Calculations II'!BC41+'Calculations II'!P41-Sheet1!CP41-BP41</f>
        <v>29.215875712366977</v>
      </c>
      <c r="AH41" s="106">
        <f>Sheet1!AA41+Sheet1!BN41+'Calculations II'!BC41+'Calculations II'!P41-BP41</f>
        <v>44.765875712366977</v>
      </c>
      <c r="AI41" s="106">
        <f>BC41+Sheet1!AA41+Calculation!EI41+O41+W41+Sheet1!BN41+Calculation!AI41+Calculation!CZ41-BP41</f>
        <v>44.765875712366977</v>
      </c>
      <c r="AJ41" s="106"/>
      <c r="AM41" s="102">
        <f t="shared" si="13"/>
        <v>40570</v>
      </c>
      <c r="AN41" s="106"/>
      <c r="AO41" s="106"/>
      <c r="AR41" s="106"/>
      <c r="AT41" s="101">
        <f>Sheet1!AR41*GPMtoMGD</f>
        <v>0</v>
      </c>
      <c r="AU41" s="101">
        <f>Sheet1!AS41*GPMtoMGD</f>
        <v>2.6352000000000004E-2</v>
      </c>
      <c r="AV41" s="101">
        <f>Sheet1!AT41*GPMtoMGD</f>
        <v>0</v>
      </c>
      <c r="AW41" s="101">
        <f>Sheet1!AV41*GPMtoMGD</f>
        <v>0.47894400000000004</v>
      </c>
      <c r="AX41" s="101">
        <f>Sheet1!AW41*GPMtoMGD</f>
        <v>0.55425599999999997</v>
      </c>
      <c r="AY41" s="101">
        <f>Sheet1!AX41*GPMtoMGD</f>
        <v>0</v>
      </c>
      <c r="AZ41" s="101">
        <f>Sheet1!AY41*GPMtoMGD</f>
        <v>0</v>
      </c>
      <c r="BA41" s="101">
        <f>Sheet1!AZ41*GPMtoMGD</f>
        <v>0</v>
      </c>
      <c r="BB41" s="101">
        <f>Sheet1!BP41*GPMtoMGD</f>
        <v>0</v>
      </c>
      <c r="BC41" s="101">
        <f>Sheet1!CO41*GPMtoMGD</f>
        <v>0</v>
      </c>
      <c r="BD41" s="101">
        <f>Sheet1!BO41*GPMtoMGD</f>
        <v>2.2320000000000002</v>
      </c>
      <c r="BE41" s="101">
        <f>Sheet1!BV41*GPMtoMGD</f>
        <v>0.65462400000000009</v>
      </c>
      <c r="BF41" s="101">
        <f>Sheet1!CJ41*GPMtoMGD</f>
        <v>0.34977600000000003</v>
      </c>
      <c r="BG41" s="101">
        <f>Sheet1!CK41*GPMtoMGD</f>
        <v>0.54590400000000006</v>
      </c>
      <c r="BH41" s="101">
        <f>Sheet1!CL41*GPMtoMGD</f>
        <v>0.66268800000000005</v>
      </c>
      <c r="BI41" s="101">
        <f t="shared" si="14"/>
        <v>2.2320000000000002</v>
      </c>
      <c r="BK41" s="106">
        <f>SUM(AT41:BA41,BE41,Sheet1!BU41,'Calculations II'!BC41,Calculation!AG41)</f>
        <v>43.714176000000002</v>
      </c>
      <c r="BM41" s="439">
        <f>IF(AND(Sheet1!BQ41&lt;=11.5,Sheet1!BQ40&gt;Sheet1!BQ41),(MIN(Lookup!$C$119,VLOOKUP(Sheet1!BQ40,Lookup!$B$4:$J$236,2))-VLOOKUP(Sheet1!BQ41,Lookup!$B$4:$J$236,2))/1000000,0)</f>
        <v>0</v>
      </c>
      <c r="BN41" s="439">
        <f>IF(AND(Sheet1!BR41&lt;=11.5,Sheet1!BR40&gt;Sheet1!BR41),(MIN(Lookup!$D$119,VLOOKUP(Sheet1!BR40,Lookup!$B$4:$J$236,3))-VLOOKUP(Sheet1!BR41,Lookup!$B$4:$J$236,3))/1000000,0)</f>
        <v>0</v>
      </c>
      <c r="BP41" s="105">
        <f>SUM(BM41:BN41,W41,Sheet1!DT41)</f>
        <v>0</v>
      </c>
    </row>
    <row r="42" spans="1:68" s="101" customFormat="1">
      <c r="A42" s="101" t="s">
        <v>7</v>
      </c>
      <c r="B42" s="103">
        <v>40571</v>
      </c>
      <c r="C42" s="104">
        <v>0.33333333333357601</v>
      </c>
      <c r="E42" s="30"/>
      <c r="F42" s="30">
        <f>-(VLOOKUP(Sheet1!BZ42,Lookup!$I$4:$J$216,2)-VLOOKUP(Sheet1!BZ41,Lookup!$I$4:$J$216,2))/1000000</f>
        <v>-0.20727387709560433</v>
      </c>
      <c r="G42" s="106">
        <f>-$G$6*(Sheet1!CB42-Sheet1!CB41)*7.48/1000000</f>
        <v>0.28196585747317138</v>
      </c>
      <c r="H42" s="106">
        <f>-$H$6*(Sheet1!CA42-Sheet1!CA41)*7.48/1000000</f>
        <v>0</v>
      </c>
      <c r="I42" s="106">
        <f>-$I$6*(Sheet1!CC42-Sheet1!CC41)*7.48/1000000</f>
        <v>4.8577072755672954E-2</v>
      </c>
      <c r="J42" s="107" t="s">
        <v>193</v>
      </c>
      <c r="K42" s="106">
        <f>-$I$6*(Sheet1!CD42-Sheet1!CD41)*7.48/1000000</f>
        <v>3.0585564327645968E-2</v>
      </c>
      <c r="L42" s="107" t="s">
        <v>193</v>
      </c>
      <c r="M42" s="106">
        <f>-$M$6*(Sheet1!CE42-Sheet1!CE41)*7.48/1000000</f>
        <v>3.3316601872292212E-2</v>
      </c>
      <c r="N42" s="106">
        <f>-$N$6*(Sheet1!CF42-Sheet1!CF41)*7.48/1000000</f>
        <v>1.2410469078924517E-2</v>
      </c>
      <c r="O42" s="106">
        <f t="shared" si="10"/>
        <v>0.19958168841210269</v>
      </c>
      <c r="P42" s="106">
        <f>O42+Calculation!EI42</f>
        <v>-7.0918311587897326E-2</v>
      </c>
      <c r="Q42" s="101" t="str">
        <f>IF(Sheet1!BQ42&gt;21.75,"spill elevation","-")</f>
        <v>-</v>
      </c>
      <c r="R42" s="101" t="str">
        <f>IF(Sheet1!BR42&gt;21.75,"spill elevation","-")</f>
        <v>-</v>
      </c>
      <c r="S42" s="101" t="str">
        <f>IF(Sheet1!BS42&gt;21.75,"spill elevation","-")</f>
        <v>-</v>
      </c>
      <c r="T42" s="105">
        <f>IF(Sheet1!DQ42=1,Sheet1!AA42-(SUM(AT42:BA42)+BE42),Sheet1!AA42-SUM(AT42:BA42))</f>
        <v>26.815695999999999</v>
      </c>
      <c r="U42" s="105">
        <f>Sheet1!BU42</f>
        <v>24.8</v>
      </c>
      <c r="V42" s="105">
        <f t="shared" si="11"/>
        <v>2.0156959999999984</v>
      </c>
      <c r="W42" s="105">
        <f t="shared" si="12"/>
        <v>0</v>
      </c>
      <c r="X42" s="101">
        <f>IF((Sheet1!EX42-Sheet1!EX41)&lt;0,(Sheet1!EX42+100000-Sheet1!EX41)/1000,(Sheet1!EX42-Sheet1!EX41)/1000)</f>
        <v>0.81799999999999995</v>
      </c>
      <c r="Y42" s="106">
        <f>Calculation!DZ43+Calculation!EI42+'Calculations II'!O42-'Calculations II'!W42</f>
        <v>45.449081688416179</v>
      </c>
      <c r="Z42" s="106">
        <f>Y42-Sheet1!CP43</f>
        <v>30.269081688416179</v>
      </c>
      <c r="AA42" s="106">
        <f>Y42+Calculation!CZ43+Calculation!AI43</f>
        <v>45.449081688416179</v>
      </c>
      <c r="AC42" s="106">
        <f>Sheet1!AA42+Sheet1!AB42+BC42</f>
        <v>46.900000000001455</v>
      </c>
      <c r="AD42" s="106">
        <f>Sheet1!AA42+Sheet1!BN42+'Calculations II'!BC42-Calculation!AI42-Calculation!CZ42</f>
        <v>46.5</v>
      </c>
      <c r="AE42" s="106">
        <f>Sheet1!AA42+Sheet1!AB42+'Calculations II'!BC42-Calculation!AI42-Calculation!CZ42</f>
        <v>46.900000000001455</v>
      </c>
      <c r="AF42" s="106">
        <f>Sheet1!AA42+Sheet1!BN42+P42+'Calculations II'!BC42+Calculation!AI42+Calculation!CZ42</f>
        <v>46.429081688412104</v>
      </c>
      <c r="AG42" s="106">
        <f>Sheet1!AA42+Sheet1!BN42+'Calculations II'!BC42+'Calculations II'!P42-Sheet1!CP42-BP42</f>
        <v>31.039081688412104</v>
      </c>
      <c r="AH42" s="106">
        <f>Sheet1!AA42+Sheet1!BN42+'Calculations II'!BC42+'Calculations II'!P42-BP42</f>
        <v>46.429081688412104</v>
      </c>
      <c r="AI42" s="106">
        <f>BC42+Sheet1!AA42+Calculation!EI42+O42+W42+Sheet1!BN42+Calculation!AI42+Calculation!CZ42-BP42</f>
        <v>46.429081688412104</v>
      </c>
      <c r="AJ42" s="106"/>
      <c r="AM42" s="102">
        <f t="shared" si="13"/>
        <v>40571</v>
      </c>
      <c r="AN42" s="106"/>
      <c r="AO42" s="106"/>
      <c r="AR42" s="106"/>
      <c r="AT42" s="101">
        <f>Sheet1!AR42*GPMtoMGD</f>
        <v>0</v>
      </c>
      <c r="AU42" s="101">
        <f>Sheet1!AS42*GPMtoMGD</f>
        <v>3.8304000000000005E-2</v>
      </c>
      <c r="AV42" s="101">
        <f>Sheet1!AT42*GPMtoMGD</f>
        <v>0</v>
      </c>
      <c r="AW42" s="101">
        <f>Sheet1!AV42*GPMtoMGD</f>
        <v>0</v>
      </c>
      <c r="AX42" s="101">
        <f>Sheet1!AW42*GPMtoMGD</f>
        <v>2.6460000000000004</v>
      </c>
      <c r="AY42" s="101">
        <f>Sheet1!AX42*GPMtoMGD</f>
        <v>0</v>
      </c>
      <c r="AZ42" s="101">
        <f>Sheet1!AY42*GPMtoMGD</f>
        <v>0</v>
      </c>
      <c r="BA42" s="101">
        <f>Sheet1!AZ42*GPMtoMGD</f>
        <v>0</v>
      </c>
      <c r="BB42" s="101">
        <f>Sheet1!BP42*GPMtoMGD</f>
        <v>0</v>
      </c>
      <c r="BC42" s="101">
        <f>Sheet1!CO42*GPMtoMGD</f>
        <v>0</v>
      </c>
      <c r="BD42" s="101">
        <f>Sheet1!BO42*GPMtoMGD</f>
        <v>1.6421760000000003</v>
      </c>
      <c r="BE42" s="101">
        <f>Sheet1!BV42*GPMtoMGD</f>
        <v>0.93672000000000011</v>
      </c>
      <c r="BF42" s="101">
        <f>Sheet1!CJ42*GPMtoMGD</f>
        <v>0.36446400000000001</v>
      </c>
      <c r="BG42" s="101">
        <f>Sheet1!CK42*GPMtoMGD</f>
        <v>0.55713599999999996</v>
      </c>
      <c r="BH42" s="101">
        <f>Sheet1!CL42*GPMtoMGD</f>
        <v>0.71726400000000012</v>
      </c>
      <c r="BI42" s="101">
        <f t="shared" si="14"/>
        <v>1.6421760000000003</v>
      </c>
      <c r="BK42" s="106">
        <f>SUM(AT42:BA42,BE42,Sheet1!BU42,'Calculations II'!BC42,Calculation!AG42)</f>
        <v>45.821024000001458</v>
      </c>
      <c r="BM42" s="439">
        <f>IF(AND(Sheet1!BQ42&lt;=11.5,Sheet1!BQ41&gt;Sheet1!BQ42),(MIN(Lookup!$C$119,VLOOKUP(Sheet1!BQ41,Lookup!$B$4:$J$236,2))-VLOOKUP(Sheet1!BQ42,Lookup!$B$4:$J$236,2))/1000000,0)</f>
        <v>0</v>
      </c>
      <c r="BN42" s="439">
        <f>IF(AND(Sheet1!BR42&lt;=11.5,Sheet1!BR41&gt;Sheet1!BR42),(MIN(Lookup!$D$119,VLOOKUP(Sheet1!BR41,Lookup!$B$4:$J$236,3))-VLOOKUP(Sheet1!BR42,Lookup!$B$4:$J$236,3))/1000000,0)</f>
        <v>0</v>
      </c>
      <c r="BP42" s="105">
        <f>SUM(BM42:BN42,W42,Sheet1!DT42)</f>
        <v>0</v>
      </c>
    </row>
    <row r="43" spans="1:68" s="101" customFormat="1">
      <c r="A43" s="101" t="s">
        <v>8</v>
      </c>
      <c r="B43" s="103">
        <v>40572</v>
      </c>
      <c r="C43" s="104">
        <v>0.33333333333357601</v>
      </c>
      <c r="E43" s="30"/>
      <c r="F43" s="30">
        <f>-(VLOOKUP(Sheet1!BZ43,Lookup!$I$4:$J$216,2)-VLOOKUP(Sheet1!BZ42,Lookup!$I$4:$J$216,2))/1000000</f>
        <v>-0.51818469273899681</v>
      </c>
      <c r="G43" s="106">
        <f>-$G$6*(Sheet1!CB43-Sheet1!CB42)*7.48/1000000</f>
        <v>0.35742150947303314</v>
      </c>
      <c r="H43" s="106">
        <f>-$H$6*(Sheet1!CA43-Sheet1!CA42)*7.48/1000000</f>
        <v>0</v>
      </c>
      <c r="I43" s="106">
        <f>-$I$6*(Sheet1!CC43-Sheet1!CC42)*7.48/1000000</f>
        <v>0.10794905056816222</v>
      </c>
      <c r="J43" s="107" t="s">
        <v>193</v>
      </c>
      <c r="K43" s="106">
        <f>-$I$6*(Sheet1!CD43-Sheet1!CD42)*7.48/1000000</f>
        <v>0.11334650309657053</v>
      </c>
      <c r="L43" s="107" t="s">
        <v>193</v>
      </c>
      <c r="M43" s="106">
        <f>-$M$6*(Sheet1!CE43-Sheet1!CE42)*7.48/1000000</f>
        <v>4.0646254284196458E-2</v>
      </c>
      <c r="N43" s="106">
        <f>-$N$6*(Sheet1!CF43-Sheet1!CF42)*7.48/1000000</f>
        <v>-0.14892562894709749</v>
      </c>
      <c r="O43" s="106">
        <f t="shared" si="10"/>
        <v>-4.7747004264131948E-2</v>
      </c>
      <c r="P43" s="106">
        <f>O43+Calculation!EI43</f>
        <v>-1.6692470042641321</v>
      </c>
      <c r="Q43" s="101" t="str">
        <f>IF(Sheet1!BQ43&gt;21.75,"spill elevation","-")</f>
        <v>-</v>
      </c>
      <c r="R43" s="101" t="str">
        <f>IF(Sheet1!BR43&gt;21.75,"spill elevation","-")</f>
        <v>-</v>
      </c>
      <c r="S43" s="101" t="str">
        <f>IF(Sheet1!BS43&gt;21.75,"spill elevation","-")</f>
        <v>-</v>
      </c>
      <c r="T43" s="105">
        <f>IF(Sheet1!DQ43=1,Sheet1!AA43-(SUM(AT43:BA43)+BE43),Sheet1!AA43-SUM(AT43:BA43))</f>
        <v>27.633328000005822</v>
      </c>
      <c r="U43" s="105">
        <f>Sheet1!BU43</f>
        <v>24.7</v>
      </c>
      <c r="V43" s="105">
        <f t="shared" si="11"/>
        <v>2.9333280000058224</v>
      </c>
      <c r="W43" s="105">
        <f t="shared" si="12"/>
        <v>0</v>
      </c>
      <c r="X43" s="101">
        <f>IF((Sheet1!EX43-Sheet1!EX42)&lt;0,(Sheet1!EX43+100000-Sheet1!EX42)/1000,(Sheet1!EX43-Sheet1!EX42)/1000)</f>
        <v>0.77800000000000002</v>
      </c>
      <c r="Y43" s="106">
        <f>Calculation!DZ44+Calculation!EI43+'Calculations II'!O43-'Calculations II'!W43</f>
        <v>43.960752995740528</v>
      </c>
      <c r="Z43" s="106">
        <f>Y43-Sheet1!CP44</f>
        <v>26.980752995740527</v>
      </c>
      <c r="AA43" s="106">
        <f>Y43+Calculation!CZ44+Calculation!AI44</f>
        <v>43.960752995740528</v>
      </c>
      <c r="AC43" s="106">
        <f>Sheet1!AA43+Sheet1!AB43+BC43</f>
        <v>45.520000000004075</v>
      </c>
      <c r="AD43" s="106">
        <f>Sheet1!AA43+Sheet1!BN43+'Calculations II'!BC43-Calculation!AI43-Calculation!CZ43</f>
        <v>45.600000000005821</v>
      </c>
      <c r="AE43" s="106">
        <f>Sheet1!AA43+Sheet1!AB43+'Calculations II'!BC43-Calculation!AI43-Calculation!CZ43</f>
        <v>45.520000000004075</v>
      </c>
      <c r="AF43" s="106">
        <f>Sheet1!AA43+Sheet1!BN43+P43+'Calculations II'!BC43+Calculation!AI43+Calculation!CZ43</f>
        <v>43.930752995741692</v>
      </c>
      <c r="AG43" s="106">
        <f>Sheet1!AA43+Sheet1!BN43+'Calculations II'!BC43+'Calculations II'!P43-Sheet1!CP43-BP43</f>
        <v>28.750752995741692</v>
      </c>
      <c r="AH43" s="106">
        <f>Sheet1!AA43+Sheet1!BN43+'Calculations II'!BC43+'Calculations II'!P43-BP43</f>
        <v>43.930752995741692</v>
      </c>
      <c r="AI43" s="106">
        <f>BC43+Sheet1!AA43+Calculation!EI43+O43+W43+Sheet1!BN43+Calculation!AI43+Calculation!CZ43-BP43</f>
        <v>43.930752995741685</v>
      </c>
      <c r="AJ43" s="106"/>
      <c r="AM43" s="102">
        <f t="shared" si="13"/>
        <v>40572</v>
      </c>
      <c r="AN43" s="106"/>
      <c r="AO43" s="106"/>
      <c r="AR43" s="106"/>
      <c r="AT43" s="101">
        <f>Sheet1!AR43*GPMtoMGD</f>
        <v>0</v>
      </c>
      <c r="AU43" s="101">
        <f>Sheet1!AS43*GPMtoMGD</f>
        <v>4.0752000000000003E-2</v>
      </c>
      <c r="AV43" s="101">
        <f>Sheet1!AT43*GPMtoMGD</f>
        <v>0</v>
      </c>
      <c r="AW43" s="101">
        <f>Sheet1!AV43*GPMtoMGD</f>
        <v>0</v>
      </c>
      <c r="AX43" s="101">
        <f>Sheet1!AW43*GPMtoMGD</f>
        <v>0.92592000000000008</v>
      </c>
      <c r="AY43" s="101">
        <f>Sheet1!AX43*GPMtoMGD</f>
        <v>0</v>
      </c>
      <c r="AZ43" s="101">
        <f>Sheet1!AY43*GPMtoMGD</f>
        <v>0</v>
      </c>
      <c r="BA43" s="101">
        <f>Sheet1!AZ43*GPMtoMGD</f>
        <v>0</v>
      </c>
      <c r="BB43" s="101">
        <f>Sheet1!BP43*GPMtoMGD</f>
        <v>0</v>
      </c>
      <c r="BC43" s="101">
        <f>Sheet1!CO43*GPMtoMGD</f>
        <v>0</v>
      </c>
      <c r="BD43" s="101">
        <f>Sheet1!BO43*GPMtoMGD</f>
        <v>1.7457120000000002</v>
      </c>
      <c r="BE43" s="101">
        <f>Sheet1!BV43*GPMtoMGD</f>
        <v>0.95083200000000001</v>
      </c>
      <c r="BF43" s="101">
        <f>Sheet1!CJ43*GPMtoMGD</f>
        <v>0.43776000000000004</v>
      </c>
      <c r="BG43" s="101">
        <f>Sheet1!CK43*GPMtoMGD</f>
        <v>0.58953599999999995</v>
      </c>
      <c r="BH43" s="101">
        <f>Sheet1!CL43*GPMtoMGD</f>
        <v>0.71697600000000006</v>
      </c>
      <c r="BI43" s="101">
        <f t="shared" si="14"/>
        <v>1.7457120000000002</v>
      </c>
      <c r="BK43" s="106">
        <f>SUM(AT43:BA43,BE43,Sheet1!BU43,'Calculations II'!BC43,Calculation!AG43)</f>
        <v>43.53750399999825</v>
      </c>
      <c r="BM43" s="439">
        <f>IF(AND(Sheet1!BQ43&lt;=11.5,Sheet1!BQ42&gt;Sheet1!BQ43),(MIN(Lookup!$C$119,VLOOKUP(Sheet1!BQ42,Lookup!$B$4:$J$236,2))-VLOOKUP(Sheet1!BQ43,Lookup!$B$4:$J$236,2))/1000000,0)</f>
        <v>0</v>
      </c>
      <c r="BN43" s="439">
        <f>IF(AND(Sheet1!BR43&lt;=11.5,Sheet1!BR42&gt;Sheet1!BR43),(MIN(Lookup!$D$119,VLOOKUP(Sheet1!BR42,Lookup!$B$4:$J$236,3))-VLOOKUP(Sheet1!BR43,Lookup!$B$4:$J$236,3))/1000000,0)</f>
        <v>0</v>
      </c>
      <c r="BP43" s="105">
        <f>SUM(BM43:BN43,W43,Sheet1!DT43)</f>
        <v>0</v>
      </c>
    </row>
    <row r="44" spans="1:68" s="101" customFormat="1">
      <c r="A44" s="101" t="s">
        <v>9</v>
      </c>
      <c r="B44" s="103">
        <v>40573</v>
      </c>
      <c r="C44" s="104">
        <v>0.33333333333357601</v>
      </c>
      <c r="E44" s="30"/>
      <c r="F44" s="30">
        <f>-(VLOOKUP(Sheet1!BZ44,Lookup!$I$4:$J$216,2)-VLOOKUP(Sheet1!BZ43,Lookup!$I$4:$J$216,2))/1000000</f>
        <v>1.0363693854779992</v>
      </c>
      <c r="G44" s="106">
        <f>-$G$6*(Sheet1!CB44-Sheet1!CB43)*7.48/1000000</f>
        <v>-0.67512951789350772</v>
      </c>
      <c r="H44" s="106">
        <f>-$H$6*(Sheet1!CA44-Sheet1!CA43)*7.48/1000000</f>
        <v>0.12031545881012005</v>
      </c>
      <c r="I44" s="106">
        <f>-$I$6*(Sheet1!CC44-Sheet1!CC43)*7.48/1000000</f>
        <v>0.70166882869305491</v>
      </c>
      <c r="J44" s="107" t="s">
        <v>193</v>
      </c>
      <c r="K44" s="106">
        <f>-$I$6*(Sheet1!CD44-Sheet1!CD43)*7.48/1000000</f>
        <v>0.16192357585224348</v>
      </c>
      <c r="L44" s="107" t="s">
        <v>193</v>
      </c>
      <c r="M44" s="106">
        <f>-$M$6*(Sheet1!CE44-Sheet1!CE43)*7.48/1000000</f>
        <v>7.2630192081597003E-2</v>
      </c>
      <c r="N44" s="106">
        <f>-$N$6*(Sheet1!CF44-Sheet1!CF43)*7.48/1000000</f>
        <v>-1.8429546582203291</v>
      </c>
      <c r="O44" s="106">
        <f t="shared" si="10"/>
        <v>-0.42517673519882226</v>
      </c>
      <c r="P44" s="106">
        <f>O44+Calculation!EI44</f>
        <v>0.11532326480117772</v>
      </c>
      <c r="Q44" s="101" t="str">
        <f>IF(Sheet1!BQ44&gt;21.75,"spill elevation","-")</f>
        <v>-</v>
      </c>
      <c r="R44" s="101" t="str">
        <f>IF(Sheet1!BR44&gt;21.75,"spill elevation","-")</f>
        <v>-</v>
      </c>
      <c r="S44" s="101" t="str">
        <f>IF(Sheet1!BS44&gt;21.75,"spill elevation","-")</f>
        <v>-</v>
      </c>
      <c r="T44" s="105">
        <f>IF(Sheet1!DQ44=1,Sheet1!AA44-(SUM(AT44:BA44)+BE44),Sheet1!AA44-SUM(AT44:BA44))</f>
        <v>25.979008</v>
      </c>
      <c r="U44" s="105">
        <f>Sheet1!BU44</f>
        <v>25.6</v>
      </c>
      <c r="V44" s="105">
        <f t="shared" si="11"/>
        <v>0.3790079999999989</v>
      </c>
      <c r="W44" s="105">
        <f t="shared" si="12"/>
        <v>0</v>
      </c>
      <c r="X44" s="101">
        <f>IF((Sheet1!EX44-Sheet1!EX43)&lt;0,(Sheet1!EX44+100000-Sheet1!EX43)/1000,(Sheet1!EX44-Sheet1!EX43)/1000)</f>
        <v>0.77800000000000002</v>
      </c>
      <c r="Y44" s="106">
        <f>Calculation!DZ45+Calculation!EI44+'Calculations II'!O44-'Calculations II'!W44</f>
        <v>45.665323264796811</v>
      </c>
      <c r="Z44" s="106">
        <f>Y44-Sheet1!CP45</f>
        <v>29.22532326479681</v>
      </c>
      <c r="AA44" s="106">
        <f>Y44+Calculation!CZ45+Calculation!AI45</f>
        <v>45.665323264796811</v>
      </c>
      <c r="AC44" s="106">
        <f>Sheet1!AA44+Sheet1!AB44+BC44</f>
        <v>45.630000000004657</v>
      </c>
      <c r="AD44" s="106">
        <f>Sheet1!AA44+Sheet1!BN44+'Calculations II'!BC44-Calculation!AI44-Calculation!CZ44</f>
        <v>45.75</v>
      </c>
      <c r="AE44" s="106">
        <f>Sheet1!AA44+Sheet1!AB44+'Calculations II'!BC44-Calculation!AI44-Calculation!CZ44</f>
        <v>45.630000000004657</v>
      </c>
      <c r="AF44" s="106">
        <f>Sheet1!AA44+Sheet1!BN44+P44+'Calculations II'!BC44+Calculation!AI44+Calculation!CZ44</f>
        <v>45.865323264801177</v>
      </c>
      <c r="AG44" s="106">
        <f>Sheet1!AA44+Sheet1!BN44+'Calculations II'!BC44+'Calculations II'!P44-Sheet1!CP44-BP44</f>
        <v>28.885323264801176</v>
      </c>
      <c r="AH44" s="106">
        <f>Sheet1!AA44+Sheet1!BN44+'Calculations II'!BC44+'Calculations II'!P44-BP44</f>
        <v>45.865323264801177</v>
      </c>
      <c r="AI44" s="106">
        <f>BC44+Sheet1!AA44+Calculation!EI44+O44+W44+Sheet1!BN44+Calculation!AI44+Calculation!CZ44-BP44</f>
        <v>45.865323264801177</v>
      </c>
      <c r="AJ44" s="106"/>
      <c r="AM44" s="102">
        <f t="shared" si="13"/>
        <v>40573</v>
      </c>
      <c r="AN44" s="106"/>
      <c r="AO44" s="106"/>
      <c r="AR44" s="106"/>
      <c r="AT44" s="101">
        <f>Sheet1!AR44*GPMtoMGD</f>
        <v>0</v>
      </c>
      <c r="AU44" s="101">
        <f>Sheet1!AS44*GPMtoMGD</f>
        <v>2.8368000000000001E-2</v>
      </c>
      <c r="AV44" s="101">
        <f>Sheet1!AT44*GPMtoMGD</f>
        <v>0</v>
      </c>
      <c r="AW44" s="101">
        <f>Sheet1!AV44*GPMtoMGD</f>
        <v>0</v>
      </c>
      <c r="AX44" s="101">
        <f>Sheet1!AW44*GPMtoMGD</f>
        <v>2.7426240000000002</v>
      </c>
      <c r="AY44" s="101">
        <f>Sheet1!AX44*GPMtoMGD</f>
        <v>0</v>
      </c>
      <c r="AZ44" s="101">
        <f>Sheet1!AY44*GPMtoMGD</f>
        <v>0</v>
      </c>
      <c r="BA44" s="101">
        <f>Sheet1!AZ44*GPMtoMGD</f>
        <v>0</v>
      </c>
      <c r="BB44" s="101">
        <f>Sheet1!BP44*GPMtoMGD</f>
        <v>0</v>
      </c>
      <c r="BC44" s="101">
        <f>Sheet1!CO44*GPMtoMGD</f>
        <v>0</v>
      </c>
      <c r="BD44" s="101">
        <f>Sheet1!BO44*GPMtoMGD</f>
        <v>2.8946880000000004</v>
      </c>
      <c r="BE44" s="101">
        <f>Sheet1!BV44*GPMtoMGD</f>
        <v>0.76766400000000012</v>
      </c>
      <c r="BF44" s="101">
        <f>Sheet1!CJ44*GPMtoMGD</f>
        <v>0.58867200000000008</v>
      </c>
      <c r="BG44" s="101">
        <f>Sheet1!CK44*GPMtoMGD</f>
        <v>0.62136000000000002</v>
      </c>
      <c r="BH44" s="101">
        <f>Sheet1!CL44*GPMtoMGD</f>
        <v>0.71726400000000012</v>
      </c>
      <c r="BI44" s="101">
        <f t="shared" si="14"/>
        <v>2.8946880000000004</v>
      </c>
      <c r="BK44" s="106">
        <f>SUM(AT44:BA44,BE44,Sheet1!BU44,'Calculations II'!BC44,Calculation!AG44)</f>
        <v>46.018656000004654</v>
      </c>
      <c r="BM44" s="439">
        <f>IF(AND(Sheet1!BQ44&lt;=11.5,Sheet1!BQ43&gt;Sheet1!BQ44),(MIN(Lookup!$C$119,VLOOKUP(Sheet1!BQ43,Lookup!$B$4:$J$236,2))-VLOOKUP(Sheet1!BQ44,Lookup!$B$4:$J$236,2))/1000000,0)</f>
        <v>0</v>
      </c>
      <c r="BN44" s="439">
        <f>IF(AND(Sheet1!BR44&lt;=11.5,Sheet1!BR43&gt;Sheet1!BR44),(MIN(Lookup!$D$119,VLOOKUP(Sheet1!BR43,Lookup!$B$4:$J$236,3))-VLOOKUP(Sheet1!BR44,Lookup!$B$4:$J$236,3))/1000000,0)</f>
        <v>0</v>
      </c>
      <c r="BP44" s="105">
        <f>SUM(BM44:BN44,W44,Sheet1!DT44)</f>
        <v>0</v>
      </c>
    </row>
    <row r="45" spans="1:68" s="101" customFormat="1">
      <c r="A45" s="101" t="s">
        <v>3</v>
      </c>
      <c r="B45" s="103">
        <v>40574</v>
      </c>
      <c r="C45" s="104">
        <v>0.33333333333357601</v>
      </c>
      <c r="E45" s="30"/>
      <c r="F45" s="30">
        <f>-(VLOOKUP(Sheet1!BZ45,Lookup!$I$4:$J$216,2)-VLOOKUP(Sheet1!BZ44,Lookup!$I$4:$J$216,2))/1000000</f>
        <v>-0.72545856983460111</v>
      </c>
      <c r="G45" s="106">
        <f>-$G$6*(Sheet1!CB45-Sheet1!CB44)*7.48/1000000</f>
        <v>0.28196585747317138</v>
      </c>
      <c r="H45" s="106">
        <f>-$H$6*(Sheet1!CA45-Sheet1!CA44)*7.48/1000000</f>
        <v>0.31582807937656648</v>
      </c>
      <c r="I45" s="106">
        <f>-$I$6*(Sheet1!CC45-Sheet1!CC44)*7.48/1000000</f>
        <v>-0.95354994668543336</v>
      </c>
      <c r="J45" s="107" t="s">
        <v>193</v>
      </c>
      <c r="K45" s="106">
        <f>-$I$6*(Sheet1!CD45-Sheet1!CD44)*7.48/1000000</f>
        <v>-0.4317962022726492</v>
      </c>
      <c r="L45" s="107" t="s">
        <v>193</v>
      </c>
      <c r="M45" s="106">
        <f>-$M$6*(Sheet1!CE45-Sheet1!CE44)*7.48/1000000</f>
        <v>-0.16991466954869036</v>
      </c>
      <c r="N45" s="106">
        <f>-$N$6*(Sheet1!CF45-Sheet1!CF44)*7.48/1000000</f>
        <v>1.8305441891414047</v>
      </c>
      <c r="O45" s="106">
        <f t="shared" si="10"/>
        <v>0.14761873764976863</v>
      </c>
      <c r="P45" s="106">
        <f>O45+Calculation!EI45</f>
        <v>-2.8248812623502317</v>
      </c>
      <c r="Q45" s="101" t="str">
        <f>IF(Sheet1!BQ45&gt;21.75,"spill elevation","-")</f>
        <v>-</v>
      </c>
      <c r="R45" s="101" t="str">
        <f>IF(Sheet1!BR45&gt;21.75,"spill elevation","-")</f>
        <v>-</v>
      </c>
      <c r="S45" s="101" t="str">
        <f>IF(Sheet1!BS45&gt;21.75,"spill elevation","-")</f>
        <v>-</v>
      </c>
      <c r="T45" s="105">
        <f>IF(Sheet1!DQ45=1,Sheet1!AA45-(SUM(AT45:BA45)+BE45),Sheet1!AA45-SUM(AT45:BA45))</f>
        <v>27.48937599999709</v>
      </c>
      <c r="U45" s="105">
        <f>Sheet1!BU45</f>
        <v>27.5</v>
      </c>
      <c r="V45" s="105">
        <f t="shared" si="11"/>
        <v>-1.0624000002909639E-2</v>
      </c>
      <c r="W45" s="105">
        <f t="shared" si="12"/>
        <v>0</v>
      </c>
      <c r="X45" s="101">
        <f>IF((Sheet1!EX45-Sheet1!EX44)&lt;0,(Sheet1!EX45+100000-Sheet1!EX44)/1000,(Sheet1!EX45-Sheet1!EX44)/1000)</f>
        <v>0.78900000000000003</v>
      </c>
      <c r="Y45" s="106">
        <f>Calculation!DZ46+Calculation!EI45+'Calculations II'!O45-'Calculations II'!W45</f>
        <v>42.475118737652686</v>
      </c>
      <c r="Z45" s="106">
        <f>Y45-Sheet1!CP46</f>
        <v>26.835118737652685</v>
      </c>
      <c r="AA45" s="106">
        <f>Y45+Calculation!CZ46+Calculation!AI46</f>
        <v>42.475118737652686</v>
      </c>
      <c r="AC45" s="106">
        <f>Sheet1!AA45+Sheet1!AB45+BC45</f>
        <v>45.549999999995634</v>
      </c>
      <c r="AD45" s="106">
        <f>Sheet1!AA45+Sheet1!BN45+'Calculations II'!BC45-Calculation!AI45-Calculation!CZ45</f>
        <v>45.549999999997091</v>
      </c>
      <c r="AE45" s="106">
        <f>Sheet1!AA45+Sheet1!AB45+'Calculations II'!BC45-Calculation!AI45-Calculation!CZ45</f>
        <v>45.549999999995634</v>
      </c>
      <c r="AF45" s="106">
        <f>Sheet1!AA45+Sheet1!BN45+P45+'Calculations II'!BC45+Calculation!AI45+Calculation!CZ45</f>
        <v>42.725118737646859</v>
      </c>
      <c r="AG45" s="106">
        <f>Sheet1!AA45+Sheet1!BN45+'Calculations II'!BC45+'Calculations II'!P45-Sheet1!CP45-BP45</f>
        <v>26.285118737646858</v>
      </c>
      <c r="AH45" s="106">
        <f>Sheet1!AA45+Sheet1!BN45+'Calculations II'!BC45+'Calculations II'!P45-BP45</f>
        <v>42.725118737646859</v>
      </c>
      <c r="AI45" s="106">
        <f>BC45+Sheet1!AA45+Calculation!EI45+O45+W45+Sheet1!BN45+Calculation!AI45+Calculation!CZ45-BP45</f>
        <v>42.725118737646859</v>
      </c>
      <c r="AJ45" s="106"/>
      <c r="AM45" s="102">
        <f t="shared" si="13"/>
        <v>40574</v>
      </c>
      <c r="AN45" s="106"/>
      <c r="AO45" s="106"/>
      <c r="AR45" s="106"/>
      <c r="AT45" s="101">
        <f>Sheet1!AR45*GPMtoMGD</f>
        <v>0</v>
      </c>
      <c r="AU45" s="101">
        <f>Sheet1!AS45*GPMtoMGD</f>
        <v>2.664E-2</v>
      </c>
      <c r="AV45" s="101">
        <f>Sheet1!AT45*GPMtoMGD</f>
        <v>0</v>
      </c>
      <c r="AW45" s="101">
        <f>Sheet1!AV45*GPMtoMGD</f>
        <v>0.19526399999999999</v>
      </c>
      <c r="AX45" s="101">
        <f>Sheet1!AW45*GPMtoMGD</f>
        <v>0.73872000000000004</v>
      </c>
      <c r="AY45" s="101">
        <f>Sheet1!AX45*GPMtoMGD</f>
        <v>0</v>
      </c>
      <c r="AZ45" s="101">
        <f>Sheet1!AY45*GPMtoMGD</f>
        <v>0</v>
      </c>
      <c r="BA45" s="101">
        <f>Sheet1!AZ45*GPMtoMGD</f>
        <v>0</v>
      </c>
      <c r="BB45" s="101">
        <f>Sheet1!BP45*GPMtoMGD</f>
        <v>0</v>
      </c>
      <c r="BC45" s="101">
        <f>Sheet1!CO45*GPMtoMGD</f>
        <v>0</v>
      </c>
      <c r="BD45" s="101">
        <f>Sheet1!BO45*GPMtoMGD</f>
        <v>2.4982560000000005</v>
      </c>
      <c r="BE45" s="101">
        <f>Sheet1!BV45*GPMtoMGD</f>
        <v>0.75513600000000003</v>
      </c>
      <c r="BF45" s="101">
        <f>Sheet1!CJ45*GPMtoMGD</f>
        <v>0.500112</v>
      </c>
      <c r="BG45" s="101">
        <f>Sheet1!CK45*GPMtoMGD</f>
        <v>0.54892799999999997</v>
      </c>
      <c r="BH45" s="101">
        <f>Sheet1!CL45*GPMtoMGD</f>
        <v>0.59112000000000009</v>
      </c>
      <c r="BI45" s="101">
        <f t="shared" si="14"/>
        <v>2.4982560000000005</v>
      </c>
      <c r="BK45" s="106">
        <f>SUM(AT45:BA45,BE45,Sheet1!BU45,'Calculations II'!BC45,Calculation!AG45)</f>
        <v>46.315759999998548</v>
      </c>
      <c r="BM45" s="439">
        <f>IF(AND(Sheet1!BQ45&lt;=11.5,Sheet1!BQ44&gt;Sheet1!BQ45),(MIN(Lookup!$C$119,VLOOKUP(Sheet1!BQ44,Lookup!$B$4:$J$236,2))-VLOOKUP(Sheet1!BQ45,Lookup!$B$4:$J$236,2))/1000000,0)</f>
        <v>0</v>
      </c>
      <c r="BN45" s="439">
        <f>IF(AND(Sheet1!BR45&lt;=11.5,Sheet1!BR44&gt;Sheet1!BR45),(MIN(Lookup!$D$119,VLOOKUP(Sheet1!BR44,Lookup!$B$4:$J$236,3))-VLOOKUP(Sheet1!BR45,Lookup!$B$4:$J$236,3))/1000000,0)</f>
        <v>0</v>
      </c>
      <c r="BP45" s="105">
        <f>SUM(BM45:BN45,W45,Sheet1!DT45)</f>
        <v>0</v>
      </c>
    </row>
    <row r="46" spans="1:68" s="101" customFormat="1">
      <c r="A46" s="101" t="s">
        <v>4</v>
      </c>
      <c r="B46" s="103">
        <v>40575</v>
      </c>
      <c r="C46" s="104">
        <v>0.33333333333357601</v>
      </c>
      <c r="E46" s="30"/>
      <c r="F46" s="30">
        <f>-(VLOOKUP(Sheet1!BZ46,Lookup!$I$4:$J$216,2)-VLOOKUP(Sheet1!BZ45,Lookup!$I$4:$J$216,2))/1000000</f>
        <v>-0.10363693854779936</v>
      </c>
      <c r="G46" s="106">
        <f>-$G$6*(Sheet1!CB46-Sheet1!CB45)*7.48/1000000</f>
        <v>0.28196585747317066</v>
      </c>
      <c r="H46" s="106">
        <f>-$H$6*(Sheet1!CA46-Sheet1!CA45)*7.48/1000000</f>
        <v>-0.57149842934807282</v>
      </c>
      <c r="I46" s="106">
        <f>-$I$6*(Sheet1!CC46-Sheet1!CC45)*7.48/1000000</f>
        <v>0.28786413484843265</v>
      </c>
      <c r="J46" s="107" t="s">
        <v>193</v>
      </c>
      <c r="K46" s="106">
        <f>-$I$6*(Sheet1!CD46-Sheet1!CD45)*7.48/1000000</f>
        <v>0.29146243653403803</v>
      </c>
      <c r="L46" s="107" t="s">
        <v>193</v>
      </c>
      <c r="M46" s="106">
        <f>-$M$6*(Sheet1!CE46-Sheet1!CE45)*7.48/1000000</f>
        <v>0.10994478617856443</v>
      </c>
      <c r="N46" s="106">
        <f>-$N$6*(Sheet1!CF46-Sheet1!CF45)*7.48/1000000</f>
        <v>3.723140723677465E-2</v>
      </c>
      <c r="O46" s="106">
        <f t="shared" ref="O46:O109" si="15">SUM(F46:I46)+K46+SUM(M46:N46)</f>
        <v>0.33333325437510819</v>
      </c>
      <c r="P46" s="106">
        <f>O46+Calculation!EI46</f>
        <v>5.7247332543751082</v>
      </c>
      <c r="Q46" s="101" t="str">
        <f>IF(Sheet1!BQ46&gt;21.75,"spill elevation","-")</f>
        <v>-</v>
      </c>
      <c r="R46" s="101" t="str">
        <f>IF(Sheet1!BR46&gt;21.75,"spill elevation","-")</f>
        <v>-</v>
      </c>
      <c r="S46" s="101" t="str">
        <f>IF(Sheet1!BS46&gt;21.75,"spill elevation","-")</f>
        <v>-</v>
      </c>
      <c r="T46" s="105">
        <f>IF(Sheet1!DQ46=1,Sheet1!AA46-(SUM(AT46:BA46)+BE46),Sheet1!AA46-SUM(AT46:BA46))</f>
        <v>27.68612800000291</v>
      </c>
      <c r="U46" s="105">
        <f>Sheet1!BU46</f>
        <v>25.2</v>
      </c>
      <c r="V46" s="105">
        <f t="shared" ref="V46:V109" si="16">T46-U46</f>
        <v>2.4861280000029105</v>
      </c>
      <c r="W46" s="105">
        <f t="shared" ref="W46:W109" si="17">IF(AND(OR(Q46="spill elevation",R46="spill elevation",S46="spill elevation",Q47="spill elevation",R47="spill elevation",S47="spill elevation"),V46&gt;0),V46,0)</f>
        <v>0</v>
      </c>
      <c r="X46" s="101">
        <f>IF((Sheet1!EX46-Sheet1!EX45)&lt;0,(Sheet1!EX46+100000-Sheet1!EX45)/1000,(Sheet1!EX46-Sheet1!EX45)/1000)</f>
        <v>0.81200000000000006</v>
      </c>
      <c r="Y46" s="106">
        <f>Calculation!DZ47+Calculation!EI46+'Calculations II'!O46-'Calculations II'!W46</f>
        <v>53.024733254378013</v>
      </c>
      <c r="Z46" s="106">
        <f>Y46-Sheet1!CP47</f>
        <v>37.854733254378012</v>
      </c>
      <c r="AA46" s="106">
        <f>Y46+Calculation!CZ47+Calculation!AI47</f>
        <v>53.024733254378013</v>
      </c>
      <c r="AC46" s="106">
        <f>Sheet1!AA46+Sheet1!AB46+BC46</f>
        <v>45.30000000000291</v>
      </c>
      <c r="AD46" s="106">
        <f>Sheet1!AA46+Sheet1!BN46+'Calculations II'!BC46-Calculation!AI46-Calculation!CZ46</f>
        <v>45.30000000000291</v>
      </c>
      <c r="AE46" s="106">
        <f>Sheet1!AA46+Sheet1!AB46+'Calculations II'!BC46-Calculation!AI46-Calculation!CZ46</f>
        <v>45.30000000000291</v>
      </c>
      <c r="AF46" s="106">
        <f>Sheet1!AA46+Sheet1!BN46+P46+'Calculations II'!BC46+Calculation!AI46+Calculation!CZ46</f>
        <v>51.02473325437802</v>
      </c>
      <c r="AG46" s="106">
        <f>Sheet1!AA46+Sheet1!BN46+'Calculations II'!BC46+'Calculations II'!P46-Sheet1!CP46-BP46</f>
        <v>35.38473325437802</v>
      </c>
      <c r="AH46" s="106">
        <f>Sheet1!AA46+Sheet1!BN46+'Calculations II'!BC46+'Calculations II'!P46-BP46</f>
        <v>51.02473325437802</v>
      </c>
      <c r="AI46" s="106">
        <f>BC46+Sheet1!AA46+Calculation!EI46+O46+W46+Sheet1!BN46+Calculation!AI46+Calculation!CZ46-BP46</f>
        <v>51.024733254378013</v>
      </c>
      <c r="AJ46" s="106"/>
      <c r="AM46" s="102">
        <f t="shared" ref="AM46:AM109" si="18">B46</f>
        <v>40575</v>
      </c>
      <c r="AN46" s="106"/>
      <c r="AO46" s="106"/>
      <c r="AR46" s="106"/>
      <c r="AT46" s="101">
        <f>Sheet1!AR46*GPMtoMGD</f>
        <v>0</v>
      </c>
      <c r="AU46" s="101">
        <f>Sheet1!AS46*GPMtoMGD</f>
        <v>5.1120000000000006E-2</v>
      </c>
      <c r="AV46" s="101">
        <f>Sheet1!AT46*GPMtoMGD</f>
        <v>0</v>
      </c>
      <c r="AW46" s="101">
        <f>Sheet1!AV46*GPMtoMGD</f>
        <v>5.0111999999999997E-2</v>
      </c>
      <c r="AX46" s="101">
        <f>Sheet1!AW46*GPMtoMGD</f>
        <v>0.51263999999999998</v>
      </c>
      <c r="AY46" s="101">
        <f>Sheet1!AX46*GPMtoMGD</f>
        <v>0</v>
      </c>
      <c r="AZ46" s="101">
        <f>Sheet1!AY46*GPMtoMGD</f>
        <v>0</v>
      </c>
      <c r="BA46" s="101">
        <f>Sheet1!AZ46*GPMtoMGD</f>
        <v>0</v>
      </c>
      <c r="BB46" s="101">
        <f>Sheet1!BP46*GPMtoMGD</f>
        <v>0</v>
      </c>
      <c r="BC46" s="101">
        <f>Sheet1!CO46*GPMtoMGD</f>
        <v>0</v>
      </c>
      <c r="BD46" s="101">
        <f>Sheet1!BO46*GPMtoMGD</f>
        <v>1.3507200000000001</v>
      </c>
      <c r="BE46" s="101">
        <f>Sheet1!BV46*GPMtoMGD</f>
        <v>0.44956800000000002</v>
      </c>
      <c r="BF46" s="101">
        <f>Sheet1!CJ46*GPMtoMGD</f>
        <v>0.42465599999999998</v>
      </c>
      <c r="BG46" s="101">
        <f>Sheet1!CK46*GPMtoMGD</f>
        <v>0.53568000000000005</v>
      </c>
      <c r="BH46" s="101">
        <f>Sheet1!CL46*GPMtoMGD</f>
        <v>0.73728000000000005</v>
      </c>
      <c r="BI46" s="101">
        <f t="shared" ref="BI46:BI109" si="19">BD46+BB46</f>
        <v>1.3507200000000001</v>
      </c>
      <c r="BK46" s="106">
        <f>SUM(AT46:BA46,BE46,Sheet1!BU46,'Calculations II'!BC46,Calculation!AG46)</f>
        <v>43.263440000000003</v>
      </c>
      <c r="BM46" s="439">
        <f>IF(AND(Sheet1!BQ46&lt;=11.5,Sheet1!BQ45&gt;Sheet1!BQ46),(MIN(Lookup!$C$119,VLOOKUP(Sheet1!BQ45,Lookup!$B$4:$J$236,2))-VLOOKUP(Sheet1!BQ46,Lookup!$B$4:$J$236,2))/1000000,0)</f>
        <v>0</v>
      </c>
      <c r="BN46" s="439">
        <f>IF(AND(Sheet1!BR46&lt;=11.5,Sheet1!BR45&gt;Sheet1!BR46),(MIN(Lookup!$D$119,VLOOKUP(Sheet1!BR45,Lookup!$B$4:$J$236,3))-VLOOKUP(Sheet1!BR46,Lookup!$B$4:$J$236,3))/1000000,0)</f>
        <v>0</v>
      </c>
      <c r="BP46" s="105">
        <f>SUM(BM46:BN46,W46,Sheet1!DT46)</f>
        <v>0</v>
      </c>
    </row>
    <row r="47" spans="1:68" s="101" customFormat="1">
      <c r="A47" s="101" t="s">
        <v>5</v>
      </c>
      <c r="B47" s="103">
        <v>40576</v>
      </c>
      <c r="C47" s="104">
        <v>0.33333333333357601</v>
      </c>
      <c r="E47" s="30"/>
      <c r="F47" s="30">
        <f>-(VLOOKUP(Sheet1!BZ47,Lookup!$I$4:$J$216,2)-VLOOKUP(Sheet1!BZ46,Lookup!$I$4:$J$216,2))/1000000</f>
        <v>0.10363693854779936</v>
      </c>
      <c r="G47" s="106">
        <f>-$G$6*(Sheet1!CB47-Sheet1!CB46)*7.48/1000000</f>
        <v>0.30976530820996229</v>
      </c>
      <c r="H47" s="106">
        <f>-$H$6*(Sheet1!CA47-Sheet1!CA46)*7.48/1000000</f>
        <v>0.37598580878162652</v>
      </c>
      <c r="I47" s="106">
        <f>-$I$6*(Sheet1!CC47-Sheet1!CC46)*7.48/1000000</f>
        <v>-1.7991508428026985E-2</v>
      </c>
      <c r="J47" s="107" t="s">
        <v>193</v>
      </c>
      <c r="K47" s="106">
        <f>-$I$6*(Sheet1!CD47-Sheet1!CD46)*7.48/1000000</f>
        <v>1.799150842802986E-3</v>
      </c>
      <c r="L47" s="107" t="s">
        <v>193</v>
      </c>
      <c r="M47" s="106">
        <f>-$M$6*(Sheet1!CE47-Sheet1!CE46)*7.48/1000000</f>
        <v>-2.0656293160821321E-2</v>
      </c>
      <c r="N47" s="106">
        <f>-$N$6*(Sheet1!CF47-Sheet1!CF46)*7.48/1000000</f>
        <v>0.1054889871708606</v>
      </c>
      <c r="O47" s="106">
        <f t="shared" si="15"/>
        <v>0.85802839196420344</v>
      </c>
      <c r="P47" s="106">
        <f>O47+Calculation!EI47</f>
        <v>5.7228391964203484E-2</v>
      </c>
      <c r="Q47" s="101" t="str">
        <f>IF(Sheet1!BQ47&gt;21.75,"spill elevation","-")</f>
        <v>-</v>
      </c>
      <c r="R47" s="101" t="str">
        <f>IF(Sheet1!BR47&gt;21.75,"spill elevation","-")</f>
        <v>-</v>
      </c>
      <c r="S47" s="101" t="str">
        <f>IF(Sheet1!BS47&gt;21.75,"spill elevation","-")</f>
        <v>-</v>
      </c>
      <c r="T47" s="105">
        <f>IF(Sheet1!DQ47=1,Sheet1!AA47-(SUM(AT47:BA47)+BE47),Sheet1!AA47-SUM(AT47:BA47))</f>
        <v>28.643824000002912</v>
      </c>
      <c r="U47" s="105">
        <f>Sheet1!BU47</f>
        <v>24.8</v>
      </c>
      <c r="V47" s="105">
        <f t="shared" si="16"/>
        <v>3.8438240000029111</v>
      </c>
      <c r="W47" s="105">
        <f t="shared" si="17"/>
        <v>0</v>
      </c>
      <c r="X47" s="101">
        <f>IF((Sheet1!EX47-Sheet1!EX46)&lt;0,(Sheet1!EX47+100000-Sheet1!EX46)/1000,(Sheet1!EX47-Sheet1!EX46)/1000)</f>
        <v>0.73599999999999999</v>
      </c>
      <c r="Y47" s="106">
        <f>Calculation!DZ48+Calculation!EI47+'Calculations II'!O47-'Calculations II'!W47</f>
        <v>45.957228391958381</v>
      </c>
      <c r="Z47" s="106">
        <f>Y47-Sheet1!CP48</f>
        <v>30.337228391958384</v>
      </c>
      <c r="AA47" s="106">
        <f>Y47+Calculation!CZ48+Calculation!AI48</f>
        <v>45.957228391958381</v>
      </c>
      <c r="AC47" s="106">
        <f>Sheet1!AA47+Sheet1!AB47+BC47</f>
        <v>47.30000000000291</v>
      </c>
      <c r="AD47" s="106">
        <f>Sheet1!AA47+Sheet1!BN47+'Calculations II'!BC47-Calculation!AI47-Calculation!CZ47</f>
        <v>46.80000000000291</v>
      </c>
      <c r="AE47" s="106">
        <f>Sheet1!AA47+Sheet1!AB47+'Calculations II'!BC47-Calculation!AI47-Calculation!CZ47</f>
        <v>47.30000000000291</v>
      </c>
      <c r="AF47" s="106">
        <f>Sheet1!AA47+Sheet1!BN47+P47+'Calculations II'!BC47+Calculation!AI47+Calculation!CZ47</f>
        <v>46.857228391967112</v>
      </c>
      <c r="AG47" s="106">
        <f>Sheet1!AA47+Sheet1!BN47+'Calculations II'!BC47+'Calculations II'!P47-Sheet1!CP47-BP47</f>
        <v>31.68722839196711</v>
      </c>
      <c r="AH47" s="106">
        <f>Sheet1!AA47+Sheet1!BN47+'Calculations II'!BC47+'Calculations II'!P47-BP47</f>
        <v>46.857228391967112</v>
      </c>
      <c r="AI47" s="106">
        <f>BC47+Sheet1!AA47+Calculation!EI47+O47+W47+Sheet1!BN47+Calculation!AI47+Calculation!CZ47-BP47</f>
        <v>46.857228391967112</v>
      </c>
      <c r="AJ47" s="106"/>
      <c r="AM47" s="102">
        <f t="shared" si="18"/>
        <v>40576</v>
      </c>
      <c r="AN47" s="106"/>
      <c r="AO47" s="106"/>
      <c r="AR47" s="106"/>
      <c r="AT47" s="101">
        <f>Sheet1!AR47*GPMtoMGD</f>
        <v>0</v>
      </c>
      <c r="AU47" s="101">
        <f>Sheet1!AS47*GPMtoMGD</f>
        <v>2.6784000000000002E-2</v>
      </c>
      <c r="AV47" s="101">
        <f>Sheet1!AT47*GPMtoMGD</f>
        <v>0</v>
      </c>
      <c r="AW47" s="101">
        <f>Sheet1!AV47*GPMtoMGD</f>
        <v>0.52315200000000006</v>
      </c>
      <c r="AX47" s="101">
        <f>Sheet1!AW47*GPMtoMGD</f>
        <v>0.60624</v>
      </c>
      <c r="AY47" s="101">
        <f>Sheet1!AX47*GPMtoMGD</f>
        <v>0</v>
      </c>
      <c r="AZ47" s="101">
        <f>Sheet1!AY47*GPMtoMGD</f>
        <v>0</v>
      </c>
      <c r="BA47" s="101">
        <f>Sheet1!AZ47*GPMtoMGD</f>
        <v>0</v>
      </c>
      <c r="BB47" s="101">
        <f>Sheet1!BP47*GPMtoMGD</f>
        <v>0</v>
      </c>
      <c r="BC47" s="101">
        <f>Sheet1!CO47*GPMtoMGD</f>
        <v>0</v>
      </c>
      <c r="BD47" s="101">
        <f>Sheet1!BO47*GPMtoMGD</f>
        <v>1.8577440000000001</v>
      </c>
      <c r="BE47" s="101">
        <f>Sheet1!BV47*GPMtoMGD</f>
        <v>0.77299200000000001</v>
      </c>
      <c r="BF47" s="101">
        <f>Sheet1!CJ47*GPMtoMGD</f>
        <v>0.40896000000000005</v>
      </c>
      <c r="BG47" s="101">
        <f>Sheet1!CK47*GPMtoMGD</f>
        <v>0.54604799999999998</v>
      </c>
      <c r="BH47" s="101">
        <f>Sheet1!CL47*GPMtoMGD</f>
        <v>0.72504000000000002</v>
      </c>
      <c r="BI47" s="101">
        <f t="shared" si="19"/>
        <v>1.8577440000000001</v>
      </c>
      <c r="BK47" s="106">
        <f>SUM(AT47:BA47,BE47,Sheet1!BU47,'Calculations II'!BC47,Calculation!AG47)</f>
        <v>44.229168000000001</v>
      </c>
      <c r="BM47" s="439">
        <f>IF(AND(Sheet1!BQ47&lt;=11.5,Sheet1!BQ46&gt;Sheet1!BQ47),(MIN(Lookup!$C$119,VLOOKUP(Sheet1!BQ46,Lookup!$B$4:$J$236,2))-VLOOKUP(Sheet1!BQ47,Lookup!$B$4:$J$236,2))/1000000,0)</f>
        <v>0</v>
      </c>
      <c r="BN47" s="439">
        <f>IF(AND(Sheet1!BR47&lt;=11.5,Sheet1!BR46&gt;Sheet1!BR47),(MIN(Lookup!$D$119,VLOOKUP(Sheet1!BR46,Lookup!$B$4:$J$236,3))-VLOOKUP(Sheet1!BR47,Lookup!$B$4:$J$236,3))/1000000,0)</f>
        <v>0</v>
      </c>
      <c r="BP47" s="105">
        <f>SUM(BM47:BN47,W47,Sheet1!DT47)</f>
        <v>0</v>
      </c>
    </row>
    <row r="48" spans="1:68" s="101" customFormat="1">
      <c r="A48" s="101" t="s">
        <v>6</v>
      </c>
      <c r="B48" s="103">
        <v>40577</v>
      </c>
      <c r="C48" s="104">
        <v>0.33333333333357601</v>
      </c>
      <c r="E48" s="30"/>
      <c r="F48" s="30">
        <f>-(VLOOKUP(Sheet1!BZ48,Lookup!$I$4:$J$216,2)-VLOOKUP(Sheet1!BZ47,Lookup!$I$4:$J$216,2))/1000000</f>
        <v>-0.20727387709559872</v>
      </c>
      <c r="G48" s="106">
        <f>-$G$6*(Sheet1!CB48-Sheet1!CB47)*7.48/1000000</f>
        <v>-1.0325510273665417</v>
      </c>
      <c r="H48" s="106">
        <f>-$H$6*(Sheet1!CA48-Sheet1!CA47)*7.48/1000000</f>
        <v>0.28574921467403702</v>
      </c>
      <c r="I48" s="106">
        <f>-$I$6*(Sheet1!CC48-Sheet1!CC47)*7.48/1000000</f>
        <v>-0.16192357585224348</v>
      </c>
      <c r="J48" s="107" t="s">
        <v>193</v>
      </c>
      <c r="K48" s="106">
        <f>-$I$6*(Sheet1!CD48-Sheet1!CD47)*7.48/1000000</f>
        <v>-0.18531253680867879</v>
      </c>
      <c r="L48" s="107" t="s">
        <v>193</v>
      </c>
      <c r="M48" s="106">
        <f>-$M$6*(Sheet1!CE48-Sheet1!CE47)*7.48/1000000</f>
        <v>-4.5976910583763096E-2</v>
      </c>
      <c r="N48" s="106">
        <f>-$N$6*(Sheet1!CF48-Sheet1!CF47)*7.48/1000000</f>
        <v>-0.1737465671049476</v>
      </c>
      <c r="O48" s="106">
        <f t="shared" si="15"/>
        <v>-1.5210352801377363</v>
      </c>
      <c r="P48" s="106">
        <f>O48+Calculation!EI48</f>
        <v>-0.18703528013773618</v>
      </c>
      <c r="Q48" s="101" t="str">
        <f>IF(Sheet1!BQ48&gt;21.75,"spill elevation","-")</f>
        <v>-</v>
      </c>
      <c r="R48" s="101" t="str">
        <f>IF(Sheet1!BR48&gt;21.75,"spill elevation","-")</f>
        <v>-</v>
      </c>
      <c r="S48" s="101" t="str">
        <f>IF(Sheet1!BS48&gt;21.75,"spill elevation","-")</f>
        <v>-</v>
      </c>
      <c r="T48" s="105">
        <f>IF(Sheet1!DQ48=1,Sheet1!AA48-(SUM(AT48:BA48)+BE48),Sheet1!AA48-SUM(AT48:BA48))</f>
        <v>27.755343999994178</v>
      </c>
      <c r="U48" s="105">
        <f>Sheet1!BU48</f>
        <v>26.4</v>
      </c>
      <c r="V48" s="105">
        <f t="shared" si="16"/>
        <v>1.3553439999941794</v>
      </c>
      <c r="W48" s="105">
        <f t="shared" si="17"/>
        <v>0</v>
      </c>
      <c r="X48" s="101">
        <f>IF((Sheet1!EX48-Sheet1!EX47)&lt;0,(Sheet1!EX48+100000-Sheet1!EX47)/1000,(Sheet1!EX48-Sheet1!EX47)/1000)</f>
        <v>0.78200000000000003</v>
      </c>
      <c r="Y48" s="106">
        <f>Calculation!DZ49+Calculation!EI48+'Calculations II'!O48-'Calculations II'!W48</f>
        <v>45.242964719869832</v>
      </c>
      <c r="Z48" s="106">
        <f>Y48-Sheet1!CP49</f>
        <v>29.652964719869832</v>
      </c>
      <c r="AA48" s="106">
        <f>Y48+Calculation!CZ49+Calculation!AI49</f>
        <v>45.242964719869832</v>
      </c>
      <c r="AC48" s="106">
        <f>Sheet1!AA48+Sheet1!AB48+BC48</f>
        <v>45.899999999994179</v>
      </c>
      <c r="AD48" s="106">
        <f>Sheet1!AA48+Sheet1!BN48+'Calculations II'!BC48-Calculation!AI48-Calculation!CZ48</f>
        <v>45.899999999994179</v>
      </c>
      <c r="AE48" s="106">
        <f>Sheet1!AA48+Sheet1!AB48+'Calculations II'!BC48-Calculation!AI48-Calculation!CZ48</f>
        <v>45.899999999994179</v>
      </c>
      <c r="AF48" s="106">
        <f>Sheet1!AA48+Sheet1!BN48+P48+'Calculations II'!BC48+Calculation!AI48+Calculation!CZ48</f>
        <v>45.712964719856444</v>
      </c>
      <c r="AG48" s="106">
        <f>Sheet1!AA48+Sheet1!BN48+'Calculations II'!BC48+'Calculations II'!P48-Sheet1!CP48-BP48</f>
        <v>30.092964719856447</v>
      </c>
      <c r="AH48" s="106">
        <f>Sheet1!AA48+Sheet1!BN48+'Calculations II'!BC48+'Calculations II'!P48-BP48</f>
        <v>45.712964719856444</v>
      </c>
      <c r="AI48" s="106">
        <f>BC48+Sheet1!AA48+Calculation!EI48+O48+W48+Sheet1!BN48+Calculation!AI48+Calculation!CZ48-BP48</f>
        <v>45.712964719856444</v>
      </c>
      <c r="AJ48" s="106"/>
      <c r="AM48" s="102">
        <f t="shared" si="18"/>
        <v>40577</v>
      </c>
      <c r="AN48" s="106"/>
      <c r="AO48" s="106"/>
      <c r="AR48" s="106"/>
      <c r="AT48" s="101">
        <f>Sheet1!AR48*GPMtoMGD</f>
        <v>0</v>
      </c>
      <c r="AU48" s="101">
        <f>Sheet1!AS48*GPMtoMGD</f>
        <v>2.5488E-2</v>
      </c>
      <c r="AV48" s="101">
        <f>Sheet1!AT48*GPMtoMGD</f>
        <v>0</v>
      </c>
      <c r="AW48" s="101">
        <f>Sheet1!AV48*GPMtoMGD</f>
        <v>1.1191680000000002</v>
      </c>
      <c r="AX48" s="101">
        <f>Sheet1!AW48*GPMtoMGD</f>
        <v>0</v>
      </c>
      <c r="AY48" s="101">
        <f>Sheet1!AX48*GPMtoMGD</f>
        <v>0</v>
      </c>
      <c r="AZ48" s="101">
        <f>Sheet1!AY48*GPMtoMGD</f>
        <v>0</v>
      </c>
      <c r="BA48" s="101">
        <f>Sheet1!AZ48*GPMtoMGD</f>
        <v>0</v>
      </c>
      <c r="BB48" s="101">
        <f>Sheet1!BP48*GPMtoMGD</f>
        <v>0</v>
      </c>
      <c r="BC48" s="101">
        <f>Sheet1!CO48*GPMtoMGD</f>
        <v>0</v>
      </c>
      <c r="BD48" s="101">
        <f>Sheet1!BO48*GPMtoMGD</f>
        <v>1.9848960000000002</v>
      </c>
      <c r="BE48" s="101">
        <f>Sheet1!BV48*GPMtoMGD</f>
        <v>0.66916799999999999</v>
      </c>
      <c r="BF48" s="101">
        <f>Sheet1!CJ48*GPMtoMGD</f>
        <v>0.40953600000000001</v>
      </c>
      <c r="BG48" s="101">
        <f>Sheet1!CK48*GPMtoMGD</f>
        <v>0.53769599999999995</v>
      </c>
      <c r="BH48" s="101">
        <f>Sheet1!CL48*GPMtoMGD</f>
        <v>0.72100799999999998</v>
      </c>
      <c r="BI48" s="101">
        <f t="shared" si="19"/>
        <v>1.9848960000000002</v>
      </c>
      <c r="BK48" s="106">
        <f>SUM(AT48:BA48,BE48,Sheet1!BU48,'Calculations II'!BC48,Calculation!AG48)</f>
        <v>45.213824000000002</v>
      </c>
      <c r="BM48" s="439">
        <f>IF(AND(Sheet1!BQ48&lt;=11.5,Sheet1!BQ47&gt;Sheet1!BQ48),(MIN(Lookup!$C$119,VLOOKUP(Sheet1!BQ47,Lookup!$B$4:$J$236,2))-VLOOKUP(Sheet1!BQ48,Lookup!$B$4:$J$236,2))/1000000,0)</f>
        <v>0</v>
      </c>
      <c r="BN48" s="439">
        <f>IF(AND(Sheet1!BR48&lt;=11.5,Sheet1!BR47&gt;Sheet1!BR48),(MIN(Lookup!$D$119,VLOOKUP(Sheet1!BR47,Lookup!$B$4:$J$236,3))-VLOOKUP(Sheet1!BR48,Lookup!$B$4:$J$236,3))/1000000,0)</f>
        <v>0</v>
      </c>
      <c r="BP48" s="105">
        <f>SUM(BM48:BN48,W48,Sheet1!DT48)</f>
        <v>0</v>
      </c>
    </row>
    <row r="49" spans="1:68" s="101" customFormat="1">
      <c r="A49" s="101" t="s">
        <v>7</v>
      </c>
      <c r="B49" s="103">
        <v>40578</v>
      </c>
      <c r="C49" s="104">
        <v>0.33333333333357601</v>
      </c>
      <c r="E49" s="30"/>
      <c r="F49" s="30">
        <f>-(VLOOKUP(Sheet1!BZ49,Lookup!$I$4:$J$216,2)-VLOOKUP(Sheet1!BZ48,Lookup!$I$4:$J$216,2))/1000000</f>
        <v>0.20727387709559872</v>
      </c>
      <c r="G49" s="106">
        <f>-$G$6*(Sheet1!CB49-Sheet1!CB48)*7.48/1000000</f>
        <v>0.27799450736791548</v>
      </c>
      <c r="H49" s="106">
        <f>-$H$6*(Sheet1!CA49-Sheet1!CA48)*7.48/1000000</f>
        <v>-0.10527602645885584</v>
      </c>
      <c r="I49" s="106">
        <f>-$I$6*(Sheet1!CC49-Sheet1!CC48)*7.48/1000000</f>
        <v>0.26987262642040577</v>
      </c>
      <c r="J49" s="107" t="s">
        <v>193</v>
      </c>
      <c r="K49" s="106">
        <f>-$I$6*(Sheet1!CD49-Sheet1!CD48)*7.48/1000000</f>
        <v>0.26987262642040577</v>
      </c>
      <c r="L49" s="107" t="s">
        <v>193</v>
      </c>
      <c r="M49" s="106">
        <f>-$M$6*(Sheet1!CE49-Sheet1!CE48)*7.48/1000000</f>
        <v>9.9949805616876636E-2</v>
      </c>
      <c r="N49" s="106">
        <f>-$N$6*(Sheet1!CF49-Sheet1!CF48)*7.48/1000000</f>
        <v>1.2410469078925616E-2</v>
      </c>
      <c r="O49" s="106">
        <f t="shared" si="15"/>
        <v>1.0320978855412721</v>
      </c>
      <c r="P49" s="106">
        <f>O49+Calculation!EI49</f>
        <v>-0.83900211445872785</v>
      </c>
      <c r="Q49" s="101" t="str">
        <f>IF(Sheet1!BQ49&gt;21.75,"spill elevation","-")</f>
        <v>-</v>
      </c>
      <c r="R49" s="101" t="str">
        <f>IF(Sheet1!BR49&gt;21.75,"spill elevation","-")</f>
        <v>-</v>
      </c>
      <c r="S49" s="101" t="str">
        <f>IF(Sheet1!BS49&gt;21.75,"spill elevation","-")</f>
        <v>-</v>
      </c>
      <c r="T49" s="105">
        <f>IF(Sheet1!DQ49=1,Sheet1!AA49-(SUM(AT49:BA49)+BE49),Sheet1!AA49-SUM(AT49:BA49))</f>
        <v>27.08238400000582</v>
      </c>
      <c r="U49" s="105">
        <f>Sheet1!BU49</f>
        <v>24.1</v>
      </c>
      <c r="V49" s="105">
        <f t="shared" si="16"/>
        <v>2.982384000005819</v>
      </c>
      <c r="W49" s="105">
        <f t="shared" si="17"/>
        <v>0</v>
      </c>
      <c r="X49" s="101">
        <f>IF((Sheet1!EX49-Sheet1!EX48)&lt;0,(Sheet1!EX49+100000-Sheet1!EX48)/1000,(Sheet1!EX49-Sheet1!EX48)/1000)</f>
        <v>0.78400000000000003</v>
      </c>
      <c r="Y49" s="106">
        <f>Calculation!DZ50+Calculation!EI49+'Calculations II'!O49-'Calculations II'!W49</f>
        <v>45.030997885529338</v>
      </c>
      <c r="Z49" s="106">
        <f>Y49-Sheet1!CP50</f>
        <v>30.130997885529339</v>
      </c>
      <c r="AA49" s="106">
        <f>Y49+Calculation!CZ50+Calculation!AI50</f>
        <v>45.030997885529338</v>
      </c>
      <c r="AC49" s="106">
        <f>Sheet1!AA49+Sheet1!AB49+BC49</f>
        <v>45.430000000007567</v>
      </c>
      <c r="AD49" s="106">
        <f>Sheet1!AA49+Sheet1!BN49+'Calculations II'!BC49-Calculation!AI49-Calculation!CZ49</f>
        <v>45.600000000005821</v>
      </c>
      <c r="AE49" s="106">
        <f>Sheet1!AA49+Sheet1!AB49+'Calculations II'!BC49-Calculation!AI49-Calculation!CZ49</f>
        <v>45.430000000007567</v>
      </c>
      <c r="AF49" s="106">
        <f>Sheet1!AA49+Sheet1!BN49+P49+'Calculations II'!BC49+Calculation!AI49+Calculation!CZ49</f>
        <v>44.760997885547091</v>
      </c>
      <c r="AG49" s="106">
        <f>Sheet1!AA49+Sheet1!BN49+'Calculations II'!BC49+'Calculations II'!P49-Sheet1!CP49-BP49</f>
        <v>29.170997885547091</v>
      </c>
      <c r="AH49" s="106">
        <f>Sheet1!AA49+Sheet1!BN49+'Calculations II'!BC49+'Calculations II'!P49-BP49</f>
        <v>44.760997885547091</v>
      </c>
      <c r="AI49" s="106">
        <f>BC49+Sheet1!AA49+Calculation!EI49+O49+W49+Sheet1!BN49+Calculation!AI49+Calculation!CZ49-BP49</f>
        <v>44.760997885547098</v>
      </c>
      <c r="AJ49" s="106"/>
      <c r="AM49" s="102">
        <f t="shared" si="18"/>
        <v>40578</v>
      </c>
      <c r="AN49" s="106"/>
      <c r="AO49" s="106"/>
      <c r="AR49" s="106"/>
      <c r="AT49" s="101">
        <f>Sheet1!AR49*GPMtoMGD</f>
        <v>0</v>
      </c>
      <c r="AU49" s="101">
        <f>Sheet1!AS49*GPMtoMGD</f>
        <v>5.3136000000000003E-2</v>
      </c>
      <c r="AV49" s="101">
        <f>Sheet1!AT49*GPMtoMGD</f>
        <v>0</v>
      </c>
      <c r="AW49" s="101">
        <f>Sheet1!AV49*GPMtoMGD</f>
        <v>0.70761600000000002</v>
      </c>
      <c r="AX49" s="101">
        <f>Sheet1!AW49*GPMtoMGD</f>
        <v>0.75686400000000009</v>
      </c>
      <c r="AY49" s="101">
        <f>Sheet1!AX49*GPMtoMGD</f>
        <v>0</v>
      </c>
      <c r="AZ49" s="101">
        <f>Sheet1!AY49*GPMtoMGD</f>
        <v>0</v>
      </c>
      <c r="BA49" s="101">
        <f>Sheet1!AZ49*GPMtoMGD</f>
        <v>0</v>
      </c>
      <c r="BB49" s="101">
        <f>Sheet1!BP49*GPMtoMGD</f>
        <v>0</v>
      </c>
      <c r="BC49" s="101">
        <f>Sheet1!CO49*GPMtoMGD</f>
        <v>0</v>
      </c>
      <c r="BD49" s="101">
        <f>Sheet1!BO49*GPMtoMGD</f>
        <v>1.3115520000000001</v>
      </c>
      <c r="BE49" s="101">
        <f>Sheet1!BV49*GPMtoMGD</f>
        <v>0.93024000000000007</v>
      </c>
      <c r="BF49" s="101">
        <f>Sheet1!CJ49*GPMtoMGD</f>
        <v>0.29692800000000003</v>
      </c>
      <c r="BG49" s="101">
        <f>Sheet1!CK49*GPMtoMGD</f>
        <v>0.263376</v>
      </c>
      <c r="BH49" s="101">
        <f>Sheet1!CL49*GPMtoMGD</f>
        <v>0.31939200000000001</v>
      </c>
      <c r="BI49" s="101">
        <f t="shared" si="19"/>
        <v>1.3115520000000001</v>
      </c>
      <c r="BK49" s="106">
        <f>SUM(AT49:BA49,BE49,Sheet1!BU49,'Calculations II'!BC49,Calculation!AG49)</f>
        <v>43.377856000001749</v>
      </c>
      <c r="BM49" s="439">
        <f>IF(AND(Sheet1!BQ49&lt;=11.5,Sheet1!BQ48&gt;Sheet1!BQ49),(MIN(Lookup!$C$119,VLOOKUP(Sheet1!BQ48,Lookup!$B$4:$J$236,2))-VLOOKUP(Sheet1!BQ49,Lookup!$B$4:$J$236,2))/1000000,0)</f>
        <v>0</v>
      </c>
      <c r="BN49" s="439">
        <f>IF(AND(Sheet1!BR49&lt;=11.5,Sheet1!BR48&gt;Sheet1!BR49),(MIN(Lookup!$D$119,VLOOKUP(Sheet1!BR48,Lookup!$B$4:$J$236,3))-VLOOKUP(Sheet1!BR49,Lookup!$B$4:$J$236,3))/1000000,0)</f>
        <v>0</v>
      </c>
      <c r="BP49" s="105">
        <f>SUM(BM49:BN49,W49,Sheet1!DT49)</f>
        <v>0</v>
      </c>
    </row>
    <row r="50" spans="1:68" s="101" customFormat="1">
      <c r="A50" s="101" t="s">
        <v>8</v>
      </c>
      <c r="B50" s="103">
        <v>40579</v>
      </c>
      <c r="C50" s="104">
        <v>0.33333333333357601</v>
      </c>
      <c r="E50" s="30"/>
      <c r="F50" s="30">
        <f>-(VLOOKUP(Sheet1!BZ50,Lookup!$I$4:$J$216,2)-VLOOKUP(Sheet1!BZ49,Lookup!$I$4:$J$216,2))/1000000</f>
        <v>0</v>
      </c>
      <c r="G50" s="106">
        <f>-$G$6*(Sheet1!CB50-Sheet1!CB49)*7.48/1000000</f>
        <v>0.31770800842047398</v>
      </c>
      <c r="H50" s="106">
        <f>-$H$6*(Sheet1!CA50-Sheet1!CA49)*7.48/1000000</f>
        <v>-0.39102524113289178</v>
      </c>
      <c r="I50" s="106">
        <f>-$I$6*(Sheet1!CC50-Sheet1!CC49)*7.48/1000000</f>
        <v>-0.34183866013251396</v>
      </c>
      <c r="J50" s="107" t="s">
        <v>193</v>
      </c>
      <c r="K50" s="106">
        <f>-$I$6*(Sheet1!CD50-Sheet1!CD49)*7.48/1000000</f>
        <v>-0.33464205676130299</v>
      </c>
      <c r="L50" s="107" t="s">
        <v>193</v>
      </c>
      <c r="M50" s="106">
        <f>-$M$6*(Sheet1!CE50-Sheet1!CE49)*7.48/1000000</f>
        <v>-0.12660308711471052</v>
      </c>
      <c r="N50" s="106">
        <f>-$N$6*(Sheet1!CF50-Sheet1!CF49)*7.48/1000000</f>
        <v>2.4820938157849033E-2</v>
      </c>
      <c r="O50" s="106">
        <f t="shared" si="15"/>
        <v>-0.85158009856309635</v>
      </c>
      <c r="P50" s="106">
        <f>O50+Calculation!EI50</f>
        <v>-1.6620800985630964</v>
      </c>
      <c r="Q50" s="101" t="str">
        <f>IF(Sheet1!BQ50&gt;21.75,"spill elevation","-")</f>
        <v>-</v>
      </c>
      <c r="R50" s="101" t="str">
        <f>IF(Sheet1!BR50&gt;21.75,"spill elevation","-")</f>
        <v>-</v>
      </c>
      <c r="S50" s="101" t="str">
        <f>IF(Sheet1!BS50&gt;21.75,"spill elevation","-")</f>
        <v>-</v>
      </c>
      <c r="T50" s="105">
        <f>IF(Sheet1!DQ50=1,Sheet1!AA50-(SUM(AT50:BA50)+BE50),Sheet1!AA50-SUM(AT50:BA50))</f>
        <v>27.889263999994178</v>
      </c>
      <c r="U50" s="105">
        <f>Sheet1!BU50</f>
        <v>25</v>
      </c>
      <c r="V50" s="105">
        <f t="shared" si="16"/>
        <v>2.8892639999941778</v>
      </c>
      <c r="W50" s="105">
        <f t="shared" si="17"/>
        <v>0</v>
      </c>
      <c r="X50" s="101">
        <f>IF((Sheet1!EX50-Sheet1!EX49)&lt;0,(Sheet1!EX50+100000-Sheet1!EX49)/1000,(Sheet1!EX50-Sheet1!EX49)/1000)</f>
        <v>0.80300000000000005</v>
      </c>
      <c r="Y50" s="106">
        <f>Calculation!DZ51+Calculation!EI50+'Calculations II'!O50-'Calculations II'!W50</f>
        <v>44.437919901442726</v>
      </c>
      <c r="Z50" s="106">
        <f>Y50-Sheet1!CP51</f>
        <v>29.217919901442727</v>
      </c>
      <c r="AA50" s="106">
        <f>Y50+Calculation!CZ51+Calculation!AI51</f>
        <v>44.437919901442726</v>
      </c>
      <c r="AC50" s="106">
        <f>Sheet1!AA50+Sheet1!AB50+BC50</f>
        <v>45.869999999988067</v>
      </c>
      <c r="AD50" s="106">
        <f>Sheet1!AA50+Sheet1!BN50+'Calculations II'!BC50-Calculation!AI50-Calculation!CZ50</f>
        <v>45.899999999994179</v>
      </c>
      <c r="AE50" s="106">
        <f>Sheet1!AA50+Sheet1!AB50+'Calculations II'!BC50-Calculation!AI50-Calculation!CZ50</f>
        <v>45.869999999988067</v>
      </c>
      <c r="AF50" s="106">
        <f>Sheet1!AA50+Sheet1!BN50+P50+'Calculations II'!BC50+Calculation!AI50+Calculation!CZ50</f>
        <v>44.237919901431084</v>
      </c>
      <c r="AG50" s="106">
        <f>Sheet1!AA50+Sheet1!BN50+'Calculations II'!BC50+'Calculations II'!P50-Sheet1!CP50-BP50</f>
        <v>29.337919901431086</v>
      </c>
      <c r="AH50" s="106">
        <f>Sheet1!AA50+Sheet1!BN50+'Calculations II'!BC50+'Calculations II'!P50-BP50</f>
        <v>44.237919901431084</v>
      </c>
      <c r="AI50" s="106">
        <f>BC50+Sheet1!AA50+Calculation!EI50+O50+W50+Sheet1!BN50+Calculation!AI50+Calculation!CZ50-BP50</f>
        <v>44.237919901431084</v>
      </c>
      <c r="AJ50" s="106"/>
      <c r="AM50" s="102">
        <f t="shared" si="18"/>
        <v>40579</v>
      </c>
      <c r="AN50" s="106"/>
      <c r="AO50" s="106"/>
      <c r="AR50" s="106"/>
      <c r="AT50" s="101">
        <f>Sheet1!AR50*GPMtoMGD</f>
        <v>0</v>
      </c>
      <c r="AU50" s="101">
        <f>Sheet1!AS50*GPMtoMGD</f>
        <v>2.7648000000000002E-2</v>
      </c>
      <c r="AV50" s="101">
        <f>Sheet1!AT50*GPMtoMGD</f>
        <v>0</v>
      </c>
      <c r="AW50" s="101">
        <f>Sheet1!AV50*GPMtoMGD</f>
        <v>0.44856000000000001</v>
      </c>
      <c r="AX50" s="101">
        <f>Sheet1!AW50*GPMtoMGD</f>
        <v>0.534528</v>
      </c>
      <c r="AY50" s="101">
        <f>Sheet1!AX50*GPMtoMGD</f>
        <v>0</v>
      </c>
      <c r="AZ50" s="101">
        <f>Sheet1!AY50*GPMtoMGD</f>
        <v>0</v>
      </c>
      <c r="BA50" s="101">
        <f>Sheet1!AZ50*GPMtoMGD</f>
        <v>0</v>
      </c>
      <c r="BB50" s="101">
        <f>Sheet1!BP50*GPMtoMGD</f>
        <v>0</v>
      </c>
      <c r="BC50" s="101">
        <f>Sheet1!CO50*GPMtoMGD</f>
        <v>0</v>
      </c>
      <c r="BD50" s="101">
        <f>Sheet1!BO50*GPMtoMGD</f>
        <v>2.4636960000000001</v>
      </c>
      <c r="BE50" s="101">
        <f>Sheet1!BV50*GPMtoMGD</f>
        <v>0.95011199999999996</v>
      </c>
      <c r="BF50" s="101">
        <f>Sheet1!CJ50*GPMtoMGD</f>
        <v>0.61516800000000005</v>
      </c>
      <c r="BG50" s="101">
        <f>Sheet1!CK50*GPMtoMGD</f>
        <v>0.5796</v>
      </c>
      <c r="BH50" s="101">
        <f>Sheet1!CL50*GPMtoMGD</f>
        <v>0.65822400000000003</v>
      </c>
      <c r="BI50" s="101">
        <f t="shared" si="19"/>
        <v>2.4636960000000001</v>
      </c>
      <c r="BK50" s="106">
        <f>SUM(AT50:BA50,BE50,Sheet1!BU50,'Calculations II'!BC50,Calculation!AG50)</f>
        <v>43.930847999993887</v>
      </c>
      <c r="BM50" s="439">
        <f>IF(AND(Sheet1!BQ50&lt;=11.5,Sheet1!BQ49&gt;Sheet1!BQ50),(MIN(Lookup!$C$119,VLOOKUP(Sheet1!BQ49,Lookup!$B$4:$J$236,2))-VLOOKUP(Sheet1!BQ50,Lookup!$B$4:$J$236,2))/1000000,0)</f>
        <v>0</v>
      </c>
      <c r="BN50" s="439">
        <f>IF(AND(Sheet1!BR50&lt;=11.5,Sheet1!BR49&gt;Sheet1!BR50),(MIN(Lookup!$D$119,VLOOKUP(Sheet1!BR49,Lookup!$B$4:$J$236,3))-VLOOKUP(Sheet1!BR50,Lookup!$B$4:$J$236,3))/1000000,0)</f>
        <v>0</v>
      </c>
      <c r="BP50" s="105">
        <f>SUM(BM50:BN50,W50,Sheet1!DT50)</f>
        <v>0</v>
      </c>
    </row>
    <row r="51" spans="1:68" s="101" customFormat="1">
      <c r="A51" s="101" t="s">
        <v>9</v>
      </c>
      <c r="B51" s="103">
        <v>40580</v>
      </c>
      <c r="C51" s="104">
        <v>0.33333333333357601</v>
      </c>
      <c r="E51" s="30"/>
      <c r="F51" s="30">
        <f>-(VLOOKUP(Sheet1!BZ51,Lookup!$I$4:$J$216,2)-VLOOKUP(Sheet1!BZ50,Lookup!$I$4:$J$216,2))/1000000</f>
        <v>-0.10363693854779936</v>
      </c>
      <c r="G51" s="106">
        <f>-$G$6*(Sheet1!CB51-Sheet1!CB50)*7.48/1000000</f>
        <v>0.32962205873624217</v>
      </c>
      <c r="H51" s="106">
        <f>-$H$6*(Sheet1!CA51-Sheet1!CA50)*7.48/1000000</f>
        <v>0.42110410583542229</v>
      </c>
      <c r="I51" s="106">
        <f>-$I$6*(Sheet1!CC51-Sheet1!CC50)*7.48/1000000</f>
        <v>0.21589810113632443</v>
      </c>
      <c r="J51" s="107" t="s">
        <v>193</v>
      </c>
      <c r="K51" s="106">
        <f>-$I$6*(Sheet1!CD51-Sheet1!CD50)*7.48/1000000</f>
        <v>0.22309470450753544</v>
      </c>
      <c r="L51" s="107" t="s">
        <v>193</v>
      </c>
      <c r="M51" s="106">
        <f>-$M$6*(Sheet1!CE51-Sheet1!CE50)*7.48/1000000</f>
        <v>7.995984449350127E-2</v>
      </c>
      <c r="N51" s="106">
        <f>-$N$6*(Sheet1!CF51-Sheet1!CF50)*7.48/1000000</f>
        <v>9.9283752631398325E-2</v>
      </c>
      <c r="O51" s="106">
        <f t="shared" si="15"/>
        <v>1.2653256287926247</v>
      </c>
      <c r="P51" s="106">
        <f>O51+Calculation!EI51</f>
        <v>-1.1671743712073754</v>
      </c>
      <c r="Q51" s="101" t="str">
        <f>IF(Sheet1!BQ51&gt;21.75,"spill elevation","-")</f>
        <v>-</v>
      </c>
      <c r="R51" s="101" t="str">
        <f>IF(Sheet1!BR51&gt;21.75,"spill elevation","-")</f>
        <v>-</v>
      </c>
      <c r="S51" s="101" t="str">
        <f>IF(Sheet1!BS51&gt;21.75,"spill elevation","-")</f>
        <v>-</v>
      </c>
      <c r="T51" s="105">
        <f>IF(Sheet1!DQ51=1,Sheet1!AA51-(SUM(AT51:BA51)+BE51),Sheet1!AA51-SUM(AT51:BA51))</f>
        <v>28.212607999999999</v>
      </c>
      <c r="U51" s="105">
        <f>Sheet1!BU51</f>
        <v>23.1</v>
      </c>
      <c r="V51" s="105">
        <f t="shared" si="16"/>
        <v>5.112607999999998</v>
      </c>
      <c r="W51" s="105">
        <f t="shared" si="17"/>
        <v>0</v>
      </c>
      <c r="X51" s="101">
        <f>IF((Sheet1!EX51-Sheet1!EX50)&lt;0,(Sheet1!EX51+100000-Sheet1!EX50)/1000,(Sheet1!EX51-Sheet1!EX50)/1000)</f>
        <v>0.81499999999999995</v>
      </c>
      <c r="Y51" s="106">
        <f>Calculation!DZ52+Calculation!EI51+'Calculations II'!O51-'Calculations II'!W51</f>
        <v>44.202825628802522</v>
      </c>
      <c r="Z51" s="106">
        <f>Y51-Sheet1!CP52</f>
        <v>28.992825628802521</v>
      </c>
      <c r="AA51" s="106">
        <f>Y51+Calculation!CZ52+Calculation!AI52</f>
        <v>44.202825628802522</v>
      </c>
      <c r="AC51" s="106">
        <f>Sheet1!AA51+Sheet1!AB51+BC51</f>
        <v>46.100000000005821</v>
      </c>
      <c r="AD51" s="106">
        <f>Sheet1!AA51+Sheet1!BN51+'Calculations II'!BC51-Calculation!AI51-Calculation!CZ51</f>
        <v>46</v>
      </c>
      <c r="AE51" s="106">
        <f>Sheet1!AA51+Sheet1!AB51+'Calculations II'!BC51-Calculation!AI51-Calculation!CZ51</f>
        <v>46.100000000005821</v>
      </c>
      <c r="AF51" s="106">
        <f>Sheet1!AA51+Sheet1!BN51+P51+'Calculations II'!BC51+Calculation!AI51+Calculation!CZ51</f>
        <v>44.832825628792627</v>
      </c>
      <c r="AG51" s="106">
        <f>Sheet1!AA51+Sheet1!BN51+'Calculations II'!BC51+'Calculations II'!P51-Sheet1!CP51-BP51</f>
        <v>29.612825628792628</v>
      </c>
      <c r="AH51" s="106">
        <f>Sheet1!AA51+Sheet1!BN51+'Calculations II'!BC51+'Calculations II'!P51-BP51</f>
        <v>44.832825628792627</v>
      </c>
      <c r="AI51" s="106">
        <f>BC51+Sheet1!AA51+Calculation!EI51+O51+W51+Sheet1!BN51+Calculation!AI51+Calculation!CZ51-BP51</f>
        <v>44.832825628792619</v>
      </c>
      <c r="AJ51" s="106"/>
      <c r="AM51" s="102">
        <f t="shared" si="18"/>
        <v>40580</v>
      </c>
      <c r="AN51" s="106"/>
      <c r="AO51" s="106"/>
      <c r="AR51" s="106"/>
      <c r="AT51" s="101">
        <f>Sheet1!AR51*GPMtoMGD</f>
        <v>0</v>
      </c>
      <c r="AU51" s="101">
        <f>Sheet1!AS51*GPMtoMGD</f>
        <v>2.7504000000000004E-2</v>
      </c>
      <c r="AV51" s="101">
        <f>Sheet1!AT51*GPMtoMGD</f>
        <v>0</v>
      </c>
      <c r="AW51" s="101">
        <f>Sheet1!AV51*GPMtoMGD</f>
        <v>0.57513599999999998</v>
      </c>
      <c r="AX51" s="101">
        <f>Sheet1!AW51*GPMtoMGD</f>
        <v>0.18475200000000003</v>
      </c>
      <c r="AY51" s="101">
        <f>Sheet1!AX51*GPMtoMGD</f>
        <v>0</v>
      </c>
      <c r="AZ51" s="101">
        <f>Sheet1!AY51*GPMtoMGD</f>
        <v>0</v>
      </c>
      <c r="BA51" s="101">
        <f>Sheet1!AZ51*GPMtoMGD</f>
        <v>0</v>
      </c>
      <c r="BB51" s="101">
        <f>Sheet1!BP51*GPMtoMGD</f>
        <v>0</v>
      </c>
      <c r="BC51" s="101">
        <f>Sheet1!CO51*GPMtoMGD</f>
        <v>0</v>
      </c>
      <c r="BD51" s="101">
        <f>Sheet1!BO51*GPMtoMGD</f>
        <v>1.7010720000000001</v>
      </c>
      <c r="BE51" s="101">
        <f>Sheet1!BV51*GPMtoMGD</f>
        <v>0.75528000000000006</v>
      </c>
      <c r="BF51" s="101">
        <f>Sheet1!CJ51*GPMtoMGD</f>
        <v>0.55368000000000006</v>
      </c>
      <c r="BG51" s="101">
        <f>Sheet1!CK51*GPMtoMGD</f>
        <v>0.59054400000000007</v>
      </c>
      <c r="BH51" s="101">
        <f>Sheet1!CL51*GPMtoMGD</f>
        <v>0.65534400000000004</v>
      </c>
      <c r="BI51" s="101">
        <f t="shared" si="19"/>
        <v>1.7010720000000001</v>
      </c>
      <c r="BK51" s="106">
        <f>SUM(AT51:BA51,BE51,Sheet1!BU51,'Calculations II'!BC51,Calculation!AG51)</f>
        <v>41.742672000005825</v>
      </c>
      <c r="BM51" s="439">
        <f>IF(AND(Sheet1!BQ51&lt;=11.5,Sheet1!BQ50&gt;Sheet1!BQ51),(MIN(Lookup!$C$119,VLOOKUP(Sheet1!BQ50,Lookup!$B$4:$J$236,2))-VLOOKUP(Sheet1!BQ51,Lookup!$B$4:$J$236,2))/1000000,0)</f>
        <v>0</v>
      </c>
      <c r="BN51" s="439">
        <f>IF(AND(Sheet1!BR51&lt;=11.5,Sheet1!BR50&gt;Sheet1!BR51),(MIN(Lookup!$D$119,VLOOKUP(Sheet1!BR50,Lookup!$B$4:$J$236,3))-VLOOKUP(Sheet1!BR51,Lookup!$B$4:$J$236,3))/1000000,0)</f>
        <v>0</v>
      </c>
      <c r="BP51" s="105">
        <f>SUM(BM51:BN51,W51,Sheet1!DT51)</f>
        <v>0</v>
      </c>
    </row>
    <row r="52" spans="1:68" s="101" customFormat="1">
      <c r="A52" s="101" t="s">
        <v>3</v>
      </c>
      <c r="B52" s="103">
        <v>40581</v>
      </c>
      <c r="C52" s="104">
        <v>0.33333333333357601</v>
      </c>
      <c r="E52" s="30"/>
      <c r="F52" s="30">
        <f>-(VLOOKUP(Sheet1!BZ52,Lookup!$I$4:$J$216,2)-VLOOKUP(Sheet1!BZ51,Lookup!$I$4:$J$216,2))/1000000</f>
        <v>0</v>
      </c>
      <c r="G52" s="106">
        <f>-$G$6*(Sheet1!CB52-Sheet1!CB51)*7.48/1000000</f>
        <v>2.7799450736791621E-2</v>
      </c>
      <c r="H52" s="106">
        <f>-$H$6*(Sheet1!CA52-Sheet1!CA51)*7.48/1000000</f>
        <v>0</v>
      </c>
      <c r="I52" s="106">
        <f>-$I$6*(Sheet1!CC52-Sheet1!CC51)*7.48/1000000</f>
        <v>0</v>
      </c>
      <c r="J52" s="107" t="s">
        <v>193</v>
      </c>
      <c r="K52" s="106">
        <f>-$I$6*(Sheet1!CD52-Sheet1!CD51)*7.48/1000000</f>
        <v>3.5983016856053333E-3</v>
      </c>
      <c r="L52" s="107" t="s">
        <v>193</v>
      </c>
      <c r="M52" s="106">
        <f>-$M$6*(Sheet1!CE52-Sheet1!CE51)*7.48/1000000</f>
        <v>0</v>
      </c>
      <c r="N52" s="106">
        <f>-$N$6*(Sheet1!CF52-Sheet1!CF51)*7.48/1000000</f>
        <v>-1.2410469078924517E-2</v>
      </c>
      <c r="O52" s="106">
        <f t="shared" si="15"/>
        <v>1.8987283343472435E-2</v>
      </c>
      <c r="P52" s="106">
        <f>O52+Calculation!EI52</f>
        <v>-0.52151271665652754</v>
      </c>
      <c r="Q52" s="101" t="str">
        <f>IF(Sheet1!BQ52&gt;21.75,"spill elevation","-")</f>
        <v>-</v>
      </c>
      <c r="R52" s="101" t="str">
        <f>IF(Sheet1!BR52&gt;21.75,"spill elevation","-")</f>
        <v>-</v>
      </c>
      <c r="S52" s="101" t="str">
        <f>IF(Sheet1!BS52&gt;21.75,"spill elevation","-")</f>
        <v>-</v>
      </c>
      <c r="T52" s="105">
        <f>IF(Sheet1!DQ52=1,Sheet1!AA52-(SUM(AT52:BA52)+BE52),Sheet1!AA52-SUM(AT52:BA52))</f>
        <v>27.422336000009896</v>
      </c>
      <c r="U52" s="105">
        <f>Sheet1!BU52</f>
        <v>25.2</v>
      </c>
      <c r="V52" s="105">
        <f t="shared" si="16"/>
        <v>2.2223360000098964</v>
      </c>
      <c r="W52" s="105">
        <f t="shared" si="17"/>
        <v>0</v>
      </c>
      <c r="X52" s="101">
        <f>IF((Sheet1!EX52-Sheet1!EX51)&lt;0,(Sheet1!EX52+100000-Sheet1!EX51)/1000,(Sheet1!EX52-Sheet1!EX51)/1000)</f>
        <v>0.78400000000000003</v>
      </c>
      <c r="Y52" s="106">
        <f>Calculation!DZ53+Calculation!EI52+'Calculations II'!O52-'Calculations II'!W52</f>
        <v>46.925863283343467</v>
      </c>
      <c r="Z52" s="106">
        <f>Y52-Sheet1!CP53</f>
        <v>31.725863283343468</v>
      </c>
      <c r="AA52" s="106">
        <f>Y52+Calculation!CZ53+Calculation!AI53</f>
        <v>46.925863283343467</v>
      </c>
      <c r="AC52" s="106">
        <f>Sheet1!AA52+Sheet1!AB52+BC52</f>
        <v>45.370000000009895</v>
      </c>
      <c r="AD52" s="106">
        <f>Sheet1!AA52+Sheet1!BN52+'Calculations II'!BC52-Calculation!AI52-Calculation!CZ52</f>
        <v>45.370000000009895</v>
      </c>
      <c r="AE52" s="106">
        <f>Sheet1!AA52+Sheet1!AB52+'Calculations II'!BC52-Calculation!AI52-Calculation!CZ52</f>
        <v>45.370000000009895</v>
      </c>
      <c r="AF52" s="106">
        <f>Sheet1!AA52+Sheet1!BN52+P52+'Calculations II'!BC52+Calculation!AI52+Calculation!CZ52</f>
        <v>44.848487283353364</v>
      </c>
      <c r="AG52" s="106">
        <f>Sheet1!AA52+Sheet1!BN52+'Calculations II'!BC52+'Calculations II'!P52-Sheet1!CP52-BP52</f>
        <v>29.638487283353363</v>
      </c>
      <c r="AH52" s="106">
        <f>Sheet1!AA52+Sheet1!BN52+'Calculations II'!BC52+'Calculations II'!P52-BP52</f>
        <v>44.848487283353364</v>
      </c>
      <c r="AI52" s="106">
        <f>BC52+Sheet1!AA52+Calculation!EI52+O52+W52+Sheet1!BN52+Calculation!AI52+Calculation!CZ52-BP52</f>
        <v>44.848487283353364</v>
      </c>
      <c r="AJ52" s="106"/>
      <c r="AM52" s="102">
        <f t="shared" si="18"/>
        <v>40581</v>
      </c>
      <c r="AN52" s="106"/>
      <c r="AO52" s="106"/>
      <c r="AR52" s="106"/>
      <c r="AT52" s="101">
        <f>Sheet1!AR52*GPMtoMGD</f>
        <v>0</v>
      </c>
      <c r="AU52" s="101">
        <f>Sheet1!AS52*GPMtoMGD</f>
        <v>2.6064000000000004E-2</v>
      </c>
      <c r="AV52" s="101">
        <f>Sheet1!AT52*GPMtoMGD</f>
        <v>0</v>
      </c>
      <c r="AW52" s="101">
        <f>Sheet1!AV52*GPMtoMGD</f>
        <v>0.92160000000000009</v>
      </c>
      <c r="AX52" s="101">
        <f>Sheet1!AW52*GPMtoMGD</f>
        <v>0</v>
      </c>
      <c r="AY52" s="101">
        <f>Sheet1!AX52*GPMtoMGD</f>
        <v>0</v>
      </c>
      <c r="AZ52" s="101">
        <f>Sheet1!AY52*GPMtoMGD</f>
        <v>0</v>
      </c>
      <c r="BA52" s="101">
        <f>Sheet1!AZ52*GPMtoMGD</f>
        <v>0</v>
      </c>
      <c r="BB52" s="101">
        <f>Sheet1!BP52*GPMtoMGD</f>
        <v>0</v>
      </c>
      <c r="BC52" s="101">
        <f>Sheet1!CO52*GPMtoMGD</f>
        <v>0</v>
      </c>
      <c r="BD52" s="101">
        <f>Sheet1!BO52*GPMtoMGD</f>
        <v>1.80288</v>
      </c>
      <c r="BE52" s="101">
        <f>Sheet1!BV52*GPMtoMGD</f>
        <v>0.85924800000000012</v>
      </c>
      <c r="BF52" s="101">
        <f>Sheet1!CJ52*GPMtoMGD</f>
        <v>0.49752000000000002</v>
      </c>
      <c r="BG52" s="101">
        <f>Sheet1!CK52*GPMtoMGD</f>
        <v>0.54705599999999999</v>
      </c>
      <c r="BH52" s="101">
        <f>Sheet1!CL52*GPMtoMGD</f>
        <v>0.72792000000000001</v>
      </c>
      <c r="BI52" s="101">
        <f t="shared" si="19"/>
        <v>1.80288</v>
      </c>
      <c r="BK52" s="106">
        <f>SUM(AT52:BA52,BE52,Sheet1!BU52,'Calculations II'!BC52,Calculation!AG52)</f>
        <v>44.006912</v>
      </c>
      <c r="BM52" s="439">
        <f>IF(AND(Sheet1!BQ52&lt;=11.5,Sheet1!BQ51&gt;Sheet1!BQ52),(MIN(Lookup!$C$119,VLOOKUP(Sheet1!BQ51,Lookup!$B$4:$J$236,2))-VLOOKUP(Sheet1!BQ52,Lookup!$B$4:$J$236,2))/1000000,0)</f>
        <v>0</v>
      </c>
      <c r="BN52" s="439">
        <f>IF(AND(Sheet1!BR52&lt;=11.5,Sheet1!BR51&gt;Sheet1!BR52),(MIN(Lookup!$D$119,VLOOKUP(Sheet1!BR51,Lookup!$B$4:$J$236,3))-VLOOKUP(Sheet1!BR52,Lookup!$B$4:$J$236,3))/1000000,0)</f>
        <v>0</v>
      </c>
      <c r="BP52" s="105">
        <f>SUM(BM52:BN52,W52,Sheet1!DT52)</f>
        <v>0</v>
      </c>
    </row>
    <row r="53" spans="1:68" s="101" customFormat="1">
      <c r="A53" s="101" t="s">
        <v>4</v>
      </c>
      <c r="B53" s="103">
        <v>40582</v>
      </c>
      <c r="C53" s="104">
        <v>0.33333333333357601</v>
      </c>
      <c r="E53" s="30"/>
      <c r="F53" s="30">
        <f>-(VLOOKUP(Sheet1!BZ53,Lookup!$I$4:$J$216,2)-VLOOKUP(Sheet1!BZ52,Lookup!$I$4:$J$216,2))/1000000</f>
        <v>0.20727387709559872</v>
      </c>
      <c r="G53" s="106">
        <f>-$G$6*(Sheet1!CB53-Sheet1!CB52)*7.48/1000000</f>
        <v>-1.1119780294716608</v>
      </c>
      <c r="H53" s="106">
        <f>-$H$6*(Sheet1!CA53-Sheet1!CA52)*7.48/1000000</f>
        <v>-0.345906944079097</v>
      </c>
      <c r="I53" s="106">
        <f>-$I$6*(Sheet1!CC53-Sheet1!CC52)*7.48/1000000</f>
        <v>5.3974525284081275E-2</v>
      </c>
      <c r="J53" s="107" t="s">
        <v>193</v>
      </c>
      <c r="K53" s="106">
        <f>-$I$6*(Sheet1!CD53-Sheet1!CD52)*7.48/1000000</f>
        <v>5.3974525284081275E-2</v>
      </c>
      <c r="L53" s="107" t="s">
        <v>193</v>
      </c>
      <c r="M53" s="106">
        <f>-$M$6*(Sheet1!CE53-Sheet1!CE52)*7.48/1000000</f>
        <v>0</v>
      </c>
      <c r="N53" s="106">
        <f>-$N$6*(Sheet1!CF53-Sheet1!CF52)*7.48/1000000</f>
        <v>-0.12410469078924848</v>
      </c>
      <c r="O53" s="106">
        <f t="shared" si="15"/>
        <v>-1.266766736676245</v>
      </c>
      <c r="P53" s="106">
        <f>O53+Calculation!EI53</f>
        <v>-0.72626673667624497</v>
      </c>
      <c r="Q53" s="101" t="str">
        <f>IF(Sheet1!BQ53&gt;21.75,"spill elevation","-")</f>
        <v>-</v>
      </c>
      <c r="R53" s="101" t="str">
        <f>IF(Sheet1!BR53&gt;21.75,"spill elevation","-")</f>
        <v>-</v>
      </c>
      <c r="S53" s="101" t="str">
        <f>IF(Sheet1!BS53&gt;21.75,"spill elevation","-")</f>
        <v>-</v>
      </c>
      <c r="T53" s="105">
        <f>IF(Sheet1!DQ53=1,Sheet1!AA53-(SUM(AT53:BA53)+BE53),Sheet1!AA53-SUM(AT53:BA53))</f>
        <v>28.387039999999999</v>
      </c>
      <c r="U53" s="105">
        <f>Sheet1!BU53</f>
        <v>22.9</v>
      </c>
      <c r="V53" s="105">
        <f t="shared" si="16"/>
        <v>5.4870400000000004</v>
      </c>
      <c r="W53" s="105">
        <f t="shared" si="17"/>
        <v>0</v>
      </c>
      <c r="X53" s="101">
        <f>IF((Sheet1!EX53-Sheet1!EX52)&lt;0,(Sheet1!EX53+100000-Sheet1!EX52)/1000,(Sheet1!EX53-Sheet1!EX52)/1000)</f>
        <v>0.873</v>
      </c>
      <c r="Y53" s="106">
        <f>Calculation!DZ54+Calculation!EI53+'Calculations II'!O53-'Calculations II'!W53</f>
        <v>45.316469263328123</v>
      </c>
      <c r="Z53" s="106">
        <f>Y53-Sheet1!CP54</f>
        <v>28.666469263328125</v>
      </c>
      <c r="AA53" s="106">
        <f>Y53+Calculation!CZ54+Calculation!AI54</f>
        <v>45.316469263328123</v>
      </c>
      <c r="AC53" s="106">
        <f>Sheet1!AA53+Sheet1!AB53+BC53</f>
        <v>47.447375999999998</v>
      </c>
      <c r="AD53" s="106">
        <f>Sheet1!AA53+Sheet1!BN53+'Calculations II'!BC53-Calculation!AI53-Calculation!CZ53</f>
        <v>47.247376000000003</v>
      </c>
      <c r="AE53" s="106">
        <f>Sheet1!AA53+Sheet1!AB53+'Calculations II'!BC53-Calculation!AI53-Calculation!CZ53</f>
        <v>47.447375999999998</v>
      </c>
      <c r="AF53" s="106">
        <f>Sheet1!AA53+Sheet1!BN53+P53+'Calculations II'!BC53+Calculation!AI53+Calculation!CZ53</f>
        <v>46.521109263323758</v>
      </c>
      <c r="AG53" s="106">
        <f>Sheet1!AA53+Sheet1!BN53+'Calculations II'!BC53+'Calculations II'!P53-Sheet1!CP53-BP53</f>
        <v>31.321109263323759</v>
      </c>
      <c r="AH53" s="106">
        <f>Sheet1!AA53+Sheet1!BN53+'Calculations II'!BC53+'Calculations II'!P53-BP53</f>
        <v>46.521109263323758</v>
      </c>
      <c r="AI53" s="106">
        <f>BC53+Sheet1!AA53+Calculation!EI53+O53+W53+Sheet1!BN53+Calculation!AI53+Calculation!CZ53-BP53</f>
        <v>46.521109263323751</v>
      </c>
      <c r="AJ53" s="106"/>
      <c r="AM53" s="102">
        <f t="shared" si="18"/>
        <v>40582</v>
      </c>
      <c r="AN53" s="106"/>
      <c r="AO53" s="106"/>
      <c r="AR53" s="106"/>
      <c r="AT53" s="101">
        <f>Sheet1!AR53*GPMtoMGD</f>
        <v>0</v>
      </c>
      <c r="AU53" s="101">
        <f>Sheet1!AS53*GPMtoMGD</f>
        <v>3.7440000000000001E-2</v>
      </c>
      <c r="AV53" s="101">
        <f>Sheet1!AT53*GPMtoMGD</f>
        <v>0</v>
      </c>
      <c r="AW53" s="101">
        <f>Sheet1!AV53*GPMtoMGD</f>
        <v>1.5055200000000002</v>
      </c>
      <c r="AX53" s="101">
        <f>Sheet1!AW53*GPMtoMGD</f>
        <v>0</v>
      </c>
      <c r="AY53" s="101">
        <f>Sheet1!AX53*GPMtoMGD</f>
        <v>0</v>
      </c>
      <c r="AZ53" s="101">
        <f>Sheet1!AY53*GPMtoMGD</f>
        <v>0</v>
      </c>
      <c r="BA53" s="101">
        <f>Sheet1!AZ53*GPMtoMGD</f>
        <v>0</v>
      </c>
      <c r="BB53" s="101">
        <f>Sheet1!BP53*GPMtoMGD</f>
        <v>0</v>
      </c>
      <c r="BC53" s="101">
        <f>Sheet1!CO53*GPMtoMGD</f>
        <v>0.31737600000000005</v>
      </c>
      <c r="BD53" s="101">
        <f>Sheet1!BO53*GPMtoMGD</f>
        <v>1.9651680000000002</v>
      </c>
      <c r="BE53" s="101">
        <f>Sheet1!BV53*GPMtoMGD</f>
        <v>0.93499200000000005</v>
      </c>
      <c r="BF53" s="101">
        <f>Sheet1!CJ53*GPMtoMGD</f>
        <v>0.47059200000000007</v>
      </c>
      <c r="BG53" s="101">
        <f>Sheet1!CK53*GPMtoMGD</f>
        <v>0.53568000000000005</v>
      </c>
      <c r="BH53" s="101">
        <f>Sheet1!CL53*GPMtoMGD</f>
        <v>0.72288000000000008</v>
      </c>
      <c r="BI53" s="101">
        <f t="shared" si="19"/>
        <v>1.9651680000000002</v>
      </c>
      <c r="BK53" s="106">
        <f>SUM(AT53:BA53,BE53,Sheet1!BU53,'Calculations II'!BC53,Calculation!AG53)</f>
        <v>42.895327999999999</v>
      </c>
      <c r="BM53" s="439">
        <f>IF(AND(Sheet1!BQ53&lt;=11.5,Sheet1!BQ52&gt;Sheet1!BQ53),(MIN(Lookup!$C$119,VLOOKUP(Sheet1!BQ52,Lookup!$B$4:$J$236,2))-VLOOKUP(Sheet1!BQ53,Lookup!$B$4:$J$236,2))/1000000,0)</f>
        <v>0</v>
      </c>
      <c r="BN53" s="439">
        <f>IF(AND(Sheet1!BR53&lt;=11.5,Sheet1!BR52&gt;Sheet1!BR53),(MIN(Lookup!$D$119,VLOOKUP(Sheet1!BR52,Lookup!$B$4:$J$236,3))-VLOOKUP(Sheet1!BR53,Lookup!$B$4:$J$236,3))/1000000,0)</f>
        <v>0</v>
      </c>
      <c r="BP53" s="105">
        <f>SUM(BM53:BN53,W53,Sheet1!DT53)</f>
        <v>0</v>
      </c>
    </row>
    <row r="54" spans="1:68" s="101" customFormat="1">
      <c r="A54" s="101" t="s">
        <v>5</v>
      </c>
      <c r="B54" s="103">
        <v>40583</v>
      </c>
      <c r="C54" s="104">
        <v>0.33333333333357601</v>
      </c>
      <c r="E54" s="30"/>
      <c r="F54" s="30">
        <f>-(VLOOKUP(Sheet1!BZ54,Lookup!$I$4:$J$216,2)-VLOOKUP(Sheet1!BZ53,Lookup!$I$4:$J$216,2))/1000000</f>
        <v>0.31091081564340367</v>
      </c>
      <c r="G54" s="106">
        <f>-$G$6*(Sheet1!CB54-Sheet1!CB53)*7.48/1000000</f>
        <v>0.27799450736791548</v>
      </c>
      <c r="H54" s="106">
        <f>-$H$6*(Sheet1!CA54-Sheet1!CA53)*7.48/1000000</f>
        <v>7.5197161756325293E-2</v>
      </c>
      <c r="I54" s="106">
        <f>-$I$6*(Sheet1!CC54-Sheet1!CC53)*7.48/1000000</f>
        <v>-0.14393206742421652</v>
      </c>
      <c r="J54" s="107" t="s">
        <v>193</v>
      </c>
      <c r="K54" s="106">
        <f>-$I$6*(Sheet1!CD54-Sheet1!CD53)*7.48/1000000</f>
        <v>-0.16192357585224348</v>
      </c>
      <c r="L54" s="107" t="s">
        <v>193</v>
      </c>
      <c r="M54" s="106">
        <f>-$M$6*(Sheet1!CE54-Sheet1!CE53)*7.48/1000000</f>
        <v>-3.3316601872292212E-2</v>
      </c>
      <c r="N54" s="106">
        <f>-$N$6*(Sheet1!CF54-Sheet1!CF53)*7.48/1000000</f>
        <v>0.12410469078924848</v>
      </c>
      <c r="O54" s="106">
        <f t="shared" si="15"/>
        <v>0.44903493040814074</v>
      </c>
      <c r="P54" s="106">
        <f>O54+Calculation!EI54</f>
        <v>-0.63246506959185944</v>
      </c>
      <c r="Q54" s="101" t="str">
        <f>IF(Sheet1!BQ54&gt;21.75,"spill elevation","-")</f>
        <v>-</v>
      </c>
      <c r="R54" s="101" t="str">
        <f>IF(Sheet1!BR54&gt;21.75,"spill elevation","-")</f>
        <v>-</v>
      </c>
      <c r="S54" s="101" t="str">
        <f>IF(Sheet1!BS54&gt;21.75,"spill elevation","-")</f>
        <v>-</v>
      </c>
      <c r="T54" s="105">
        <f>IF(Sheet1!DQ54=1,Sheet1!AA54-(SUM(AT54:BA54)+BE54),Sheet1!AA54-SUM(AT54:BA54))</f>
        <v>28.307968000006404</v>
      </c>
      <c r="U54" s="105">
        <f>Sheet1!BU54</f>
        <v>25.2</v>
      </c>
      <c r="V54" s="105">
        <f t="shared" si="16"/>
        <v>3.1079680000064052</v>
      </c>
      <c r="W54" s="105">
        <f t="shared" si="17"/>
        <v>0</v>
      </c>
      <c r="X54" s="101">
        <f>IF((Sheet1!EX54-Sheet1!EX53)&lt;0,(Sheet1!EX54+100000-Sheet1!EX53)/1000,(Sheet1!EX54-Sheet1!EX53)/1000)</f>
        <v>0.85899999999999999</v>
      </c>
      <c r="Y54" s="106">
        <f>Calculation!DZ55+Calculation!EI54+'Calculations II'!O54-'Calculations II'!W54</f>
        <v>45.547534930401156</v>
      </c>
      <c r="Z54" s="106">
        <f>Y54-Sheet1!CP55</f>
        <v>29.917534930401153</v>
      </c>
      <c r="AA54" s="106">
        <f>Y54+Calculation!CZ55+Calculation!AI55</f>
        <v>45.547534930401156</v>
      </c>
      <c r="AC54" s="106">
        <f>Sheet1!AA54+Sheet1!AB54+BC54</f>
        <v>46.042736000004368</v>
      </c>
      <c r="AD54" s="106">
        <f>Sheet1!AA54+Sheet1!BN54+'Calculations II'!BC54-Calculation!AI54-Calculation!CZ54</f>
        <v>46.052736000006405</v>
      </c>
      <c r="AE54" s="106">
        <f>Sheet1!AA54+Sheet1!AB54+'Calculations II'!BC54-Calculation!AI54-Calculation!CZ54</f>
        <v>46.042736000004368</v>
      </c>
      <c r="AF54" s="106">
        <f>Sheet1!AA54+Sheet1!BN54+P54+'Calculations II'!BC54+Calculation!AI54+Calculation!CZ54</f>
        <v>45.420270930414546</v>
      </c>
      <c r="AG54" s="106">
        <f>Sheet1!AA54+Sheet1!BN54+'Calculations II'!BC54+'Calculations II'!P54-Sheet1!CP54-BP54</f>
        <v>28.770270930414547</v>
      </c>
      <c r="AH54" s="106">
        <f>Sheet1!AA54+Sheet1!BN54+'Calculations II'!BC54+'Calculations II'!P54-BP54</f>
        <v>45.420270930414546</v>
      </c>
      <c r="AI54" s="106">
        <f>BC54+Sheet1!AA54+Calculation!EI54+O54+W54+Sheet1!BN54+Calculation!AI54+Calculation!CZ54-BP54</f>
        <v>45.420270930414539</v>
      </c>
      <c r="AJ54" s="106"/>
      <c r="AM54" s="102">
        <f t="shared" si="18"/>
        <v>40583</v>
      </c>
      <c r="AN54" s="106"/>
      <c r="AO54" s="106"/>
      <c r="AR54" s="106"/>
      <c r="AT54" s="101">
        <f>Sheet1!AR54*GPMtoMGD</f>
        <v>0</v>
      </c>
      <c r="AU54" s="101">
        <f>Sheet1!AS54*GPMtoMGD</f>
        <v>4.0176000000000003E-2</v>
      </c>
      <c r="AV54" s="101">
        <f>Sheet1!AT54*GPMtoMGD</f>
        <v>0</v>
      </c>
      <c r="AW54" s="101">
        <f>Sheet1!AV54*GPMtoMGD</f>
        <v>0.30758400000000002</v>
      </c>
      <c r="AX54" s="101">
        <f>Sheet1!AW54*GPMtoMGD</f>
        <v>0.30427200000000004</v>
      </c>
      <c r="AY54" s="101">
        <f>Sheet1!AX54*GPMtoMGD</f>
        <v>0</v>
      </c>
      <c r="AZ54" s="101">
        <f>Sheet1!AY54*GPMtoMGD</f>
        <v>0</v>
      </c>
      <c r="BA54" s="101">
        <f>Sheet1!AZ54*GPMtoMGD</f>
        <v>0</v>
      </c>
      <c r="BB54" s="101">
        <f>Sheet1!BP54*GPMtoMGD</f>
        <v>0</v>
      </c>
      <c r="BC54" s="101">
        <f>Sheet1!CO54*GPMtoMGD</f>
        <v>9.2736000000000013E-2</v>
      </c>
      <c r="BD54" s="101">
        <f>Sheet1!BO54*GPMtoMGD</f>
        <v>1.3167360000000001</v>
      </c>
      <c r="BE54" s="101">
        <f>Sheet1!BV54*GPMtoMGD</f>
        <v>0.57484800000000003</v>
      </c>
      <c r="BF54" s="101">
        <f>Sheet1!CJ54*GPMtoMGD</f>
        <v>0.435168</v>
      </c>
      <c r="BG54" s="101">
        <f>Sheet1!CK54*GPMtoMGD</f>
        <v>0.5523840000000001</v>
      </c>
      <c r="BH54" s="101">
        <f>Sheet1!CL54*GPMtoMGD</f>
        <v>0.69825599999999999</v>
      </c>
      <c r="BI54" s="101">
        <f t="shared" si="19"/>
        <v>1.3167360000000001</v>
      </c>
      <c r="BK54" s="106">
        <f>SUM(AT54:BA54,BE54,Sheet1!BU54,'Calculations II'!BC54,Calculation!AG54)</f>
        <v>43.509615999997962</v>
      </c>
      <c r="BM54" s="439">
        <f>IF(AND(Sheet1!BQ54&lt;=11.5,Sheet1!BQ53&gt;Sheet1!BQ54),(MIN(Lookup!$C$119,VLOOKUP(Sheet1!BQ53,Lookup!$B$4:$J$236,2))-VLOOKUP(Sheet1!BQ54,Lookup!$B$4:$J$236,2))/1000000,0)</f>
        <v>0</v>
      </c>
      <c r="BN54" s="439">
        <f>IF(AND(Sheet1!BR54&lt;=11.5,Sheet1!BR53&gt;Sheet1!BR54),(MIN(Lookup!$D$119,VLOOKUP(Sheet1!BR53,Lookup!$B$4:$J$236,3))-VLOOKUP(Sheet1!BR54,Lookup!$B$4:$J$236,3))/1000000,0)</f>
        <v>0</v>
      </c>
      <c r="BP54" s="105">
        <f>SUM(BM54:BN54,W54,Sheet1!DT54)</f>
        <v>0</v>
      </c>
    </row>
    <row r="55" spans="1:68" s="101" customFormat="1">
      <c r="A55" s="101" t="s">
        <v>6</v>
      </c>
      <c r="B55" s="103">
        <v>40584</v>
      </c>
      <c r="C55" s="104">
        <v>0.33333333333357601</v>
      </c>
      <c r="E55" s="30"/>
      <c r="F55" s="30">
        <f>-(VLOOKUP(Sheet1!BZ55,Lookup!$I$4:$J$216,2)-VLOOKUP(Sheet1!BZ54,Lookup!$I$4:$J$216,2))/1000000</f>
        <v>-0.10363693854779936</v>
      </c>
      <c r="G55" s="106">
        <f>-$G$6*(Sheet1!CB55-Sheet1!CB54)*7.48/1000000</f>
        <v>0.27799450736791476</v>
      </c>
      <c r="H55" s="106">
        <f>-$H$6*(Sheet1!CA55-Sheet1!CA54)*7.48/1000000</f>
        <v>0.15039432351265059</v>
      </c>
      <c r="I55" s="106">
        <f>-$I$6*(Sheet1!CC55-Sheet1!CC54)*7.48/1000000</f>
        <v>0.26987262642040588</v>
      </c>
      <c r="J55" s="107" t="s">
        <v>193</v>
      </c>
      <c r="K55" s="106">
        <f>-$I$6*(Sheet1!CD55-Sheet1!CD54)*7.48/1000000</f>
        <v>0.28786413484843265</v>
      </c>
      <c r="L55" s="107" t="s">
        <v>193</v>
      </c>
      <c r="M55" s="106">
        <f>-$M$6*(Sheet1!CE55-Sheet1!CE54)*7.48/1000000</f>
        <v>9.9949805616876636E-2</v>
      </c>
      <c r="N55" s="106">
        <f>-$N$6*(Sheet1!CF55-Sheet1!CF54)*7.48/1000000</f>
        <v>-0.43436641776236795</v>
      </c>
      <c r="O55" s="106">
        <f t="shared" si="15"/>
        <v>0.5480720414561131</v>
      </c>
      <c r="P55" s="106">
        <f>O55+Calculation!EI55</f>
        <v>1.6295720414561132</v>
      </c>
      <c r="Q55" s="101" t="str">
        <f>IF(Sheet1!BQ55&gt;21.75,"spill elevation","-")</f>
        <v>-</v>
      </c>
      <c r="R55" s="101" t="str">
        <f>IF(Sheet1!BR55&gt;21.75,"spill elevation","-")</f>
        <v>-</v>
      </c>
      <c r="S55" s="101" t="str">
        <f>IF(Sheet1!BS55&gt;21.75,"spill elevation","-")</f>
        <v>-</v>
      </c>
      <c r="T55" s="105">
        <f>IF(Sheet1!DQ55=1,Sheet1!AA55-(SUM(AT55:BA55)+BE55),Sheet1!AA55-SUM(AT55:BA55))</f>
        <v>28.191023999992431</v>
      </c>
      <c r="U55" s="105">
        <f>Sheet1!BU55</f>
        <v>24.4</v>
      </c>
      <c r="V55" s="105">
        <f t="shared" si="16"/>
        <v>3.7910239999924329</v>
      </c>
      <c r="W55" s="105">
        <f t="shared" si="17"/>
        <v>0</v>
      </c>
      <c r="X55" s="101">
        <f>IF((Sheet1!EX55-Sheet1!EX54)&lt;0,(Sheet1!EX55+100000-Sheet1!EX54)/1000,(Sheet1!EX55-Sheet1!EX54)/1000)</f>
        <v>0.8</v>
      </c>
      <c r="Y55" s="106">
        <f>Calculation!DZ56+Calculation!EI55+'Calculations II'!O55-'Calculations II'!W55</f>
        <v>47.699572041463099</v>
      </c>
      <c r="Z55" s="106">
        <f>Y55-Sheet1!CP56</f>
        <v>31.709572041463097</v>
      </c>
      <c r="AA55" s="106">
        <f>Y55+Calculation!CZ56+Calculation!AI56</f>
        <v>47.699572041463099</v>
      </c>
      <c r="AC55" s="106">
        <f>Sheet1!AA55+Sheet1!AB55+BC55</f>
        <v>46.179999999993015</v>
      </c>
      <c r="AD55" s="106">
        <f>Sheet1!AA55+Sheet1!BN55+'Calculations II'!BC55-Calculation!AI55-Calculation!CZ55</f>
        <v>46.069999999992433</v>
      </c>
      <c r="AE55" s="106">
        <f>Sheet1!AA55+Sheet1!AB55+'Calculations II'!BC55-Calculation!AI55-Calculation!CZ55</f>
        <v>46.179999999993015</v>
      </c>
      <c r="AF55" s="106">
        <f>Sheet1!AA55+Sheet1!BN55+P55+'Calculations II'!BC55+Calculation!AI55+Calculation!CZ55</f>
        <v>47.699572041448548</v>
      </c>
      <c r="AG55" s="106">
        <f>Sheet1!AA55+Sheet1!BN55+'Calculations II'!BC55+'Calculations II'!P55-Sheet1!CP55-BP55</f>
        <v>32.069572041448545</v>
      </c>
      <c r="AH55" s="106">
        <f>Sheet1!AA55+Sheet1!BN55+'Calculations II'!BC55+'Calculations II'!P55-BP55</f>
        <v>47.699572041448548</v>
      </c>
      <c r="AI55" s="106">
        <f>BC55+Sheet1!AA55+Calculation!EI55+O55+W55+Sheet1!BN55+Calculation!AI55+Calculation!CZ55-BP55</f>
        <v>47.699572041448548</v>
      </c>
      <c r="AJ55" s="106"/>
      <c r="AM55" s="102">
        <f t="shared" si="18"/>
        <v>40584</v>
      </c>
      <c r="AN55" s="106"/>
      <c r="AO55" s="106"/>
      <c r="AR55" s="106"/>
      <c r="AT55" s="101">
        <f>Sheet1!AR55*GPMtoMGD</f>
        <v>0</v>
      </c>
      <c r="AU55" s="101">
        <f>Sheet1!AS55*GPMtoMGD</f>
        <v>2.6352000000000004E-2</v>
      </c>
      <c r="AV55" s="101">
        <f>Sheet1!AT55*GPMtoMGD</f>
        <v>0</v>
      </c>
      <c r="AW55" s="101">
        <f>Sheet1!AV55*GPMtoMGD</f>
        <v>0.44020799999999999</v>
      </c>
      <c r="AX55" s="101">
        <f>Sheet1!AW55*GPMtoMGD</f>
        <v>0.412416</v>
      </c>
      <c r="AY55" s="101">
        <f>Sheet1!AX55*GPMtoMGD</f>
        <v>0</v>
      </c>
      <c r="AZ55" s="101">
        <f>Sheet1!AY55*GPMtoMGD</f>
        <v>0</v>
      </c>
      <c r="BA55" s="101">
        <f>Sheet1!AZ55*GPMtoMGD</f>
        <v>0</v>
      </c>
      <c r="BB55" s="101">
        <f>Sheet1!BP55*GPMtoMGD</f>
        <v>0</v>
      </c>
      <c r="BC55" s="101">
        <f>Sheet1!CO55*GPMtoMGD</f>
        <v>0</v>
      </c>
      <c r="BD55" s="101">
        <f>Sheet1!BO55*GPMtoMGD</f>
        <v>2.3637600000000001</v>
      </c>
      <c r="BE55" s="101">
        <f>Sheet1!BV55*GPMtoMGD</f>
        <v>0.93470400000000009</v>
      </c>
      <c r="BF55" s="101">
        <f>Sheet1!CJ55*GPMtoMGD</f>
        <v>0.433728</v>
      </c>
      <c r="BG55" s="101">
        <f>Sheet1!CK55*GPMtoMGD</f>
        <v>0.54432000000000003</v>
      </c>
      <c r="BH55" s="101">
        <f>Sheet1!CL55*GPMtoMGD</f>
        <v>0.67795200000000011</v>
      </c>
      <c r="BI55" s="101">
        <f t="shared" si="19"/>
        <v>2.3637600000000001</v>
      </c>
      <c r="BK55" s="106">
        <f>SUM(AT55:BA55,BE55,Sheet1!BU55,'Calculations II'!BC55,Calculation!AG55)</f>
        <v>43.323680000000579</v>
      </c>
      <c r="BM55" s="439">
        <f>IF(AND(Sheet1!BQ55&lt;=11.5,Sheet1!BQ54&gt;Sheet1!BQ55),(MIN(Lookup!$C$119,VLOOKUP(Sheet1!BQ54,Lookup!$B$4:$J$236,2))-VLOOKUP(Sheet1!BQ55,Lookup!$B$4:$J$236,2))/1000000,0)</f>
        <v>0</v>
      </c>
      <c r="BN55" s="439">
        <f>IF(AND(Sheet1!BR55&lt;=11.5,Sheet1!BR54&gt;Sheet1!BR55),(MIN(Lookup!$D$119,VLOOKUP(Sheet1!BR54,Lookup!$B$4:$J$236,3))-VLOOKUP(Sheet1!BR55,Lookup!$B$4:$J$236,3))/1000000,0)</f>
        <v>0</v>
      </c>
      <c r="BP55" s="105">
        <f>SUM(BM55:BN55,W55,Sheet1!DT55)</f>
        <v>0</v>
      </c>
    </row>
    <row r="56" spans="1:68" s="101" customFormat="1">
      <c r="A56" s="101" t="s">
        <v>7</v>
      </c>
      <c r="B56" s="103">
        <v>40585</v>
      </c>
      <c r="C56" s="104">
        <v>0.33333333333357601</v>
      </c>
      <c r="E56" s="30"/>
      <c r="F56" s="30">
        <f>-(VLOOKUP(Sheet1!BZ56,Lookup!$I$4:$J$216,2)-VLOOKUP(Sheet1!BZ55,Lookup!$I$4:$J$216,2))/1000000</f>
        <v>-0.20727387709560433</v>
      </c>
      <c r="G56" s="106">
        <f>-$G$6*(Sheet1!CB56-Sheet1!CB55)*7.48/1000000</f>
        <v>0.3177080084204747</v>
      </c>
      <c r="H56" s="106">
        <f>-$H$6*(Sheet1!CA56-Sheet1!CA55)*7.48/1000000</f>
        <v>0.15039432351265059</v>
      </c>
      <c r="I56" s="106">
        <f>-$I$6*(Sheet1!CC56-Sheet1!CC55)*7.48/1000000</f>
        <v>-0.35983016856054112</v>
      </c>
      <c r="J56" s="107" t="s">
        <v>193</v>
      </c>
      <c r="K56" s="106">
        <f>-$I$6*(Sheet1!CD56-Sheet1!CD55)*7.48/1000000</f>
        <v>-0.37782167698856794</v>
      </c>
      <c r="L56" s="107" t="s">
        <v>193</v>
      </c>
      <c r="M56" s="106">
        <f>-$M$6*(Sheet1!CE56-Sheet1!CE55)*7.48/1000000</f>
        <v>-0.13326640748916885</v>
      </c>
      <c r="N56" s="106">
        <f>-$N$6*(Sheet1!CF56-Sheet1!CF55)*7.48/1000000</f>
        <v>0.18615703618387214</v>
      </c>
      <c r="O56" s="106">
        <f t="shared" si="15"/>
        <v>-0.42393276201688485</v>
      </c>
      <c r="P56" s="106">
        <f>O56+Calculation!EI56</f>
        <v>0.65706723798311506</v>
      </c>
      <c r="Q56" s="101" t="str">
        <f>IF(Sheet1!BQ56&gt;21.75,"spill elevation","-")</f>
        <v>-</v>
      </c>
      <c r="R56" s="101" t="str">
        <f>IF(Sheet1!BR56&gt;21.75,"spill elevation","-")</f>
        <v>-</v>
      </c>
      <c r="S56" s="101" t="str">
        <f>IF(Sheet1!BS56&gt;21.75,"spill elevation","-")</f>
        <v>-</v>
      </c>
      <c r="T56" s="105">
        <f>IF(Sheet1!DQ56=1,Sheet1!AA56-(SUM(AT56:BA56)+BE56),Sheet1!AA56-SUM(AT56:BA56))</f>
        <v>28.135008000006984</v>
      </c>
      <c r="U56" s="105">
        <f>Sheet1!BU56</f>
        <v>23.5</v>
      </c>
      <c r="V56" s="105">
        <f t="shared" si="16"/>
        <v>4.6350080000069838</v>
      </c>
      <c r="W56" s="105">
        <f t="shared" si="17"/>
        <v>0</v>
      </c>
      <c r="X56" s="101">
        <f>IF((Sheet1!EX56-Sheet1!EX55)&lt;0,(Sheet1!EX56+100000-Sheet1!EX55)/1000,(Sheet1!EX56-Sheet1!EX55)/1000)</f>
        <v>0.86699999999999999</v>
      </c>
      <c r="Y56" s="106">
        <f>Calculation!DZ57+Calculation!EI56+'Calculations II'!O56-'Calculations II'!W56</f>
        <v>47.257067237981666</v>
      </c>
      <c r="Z56" s="106">
        <f>Y56-Sheet1!CP57</f>
        <v>31.437067237981665</v>
      </c>
      <c r="AA56" s="106">
        <f>Y56+Calculation!CZ57+Calculation!AI57</f>
        <v>47.257067237981666</v>
      </c>
      <c r="AC56" s="106">
        <f>Sheet1!AA56+Sheet1!AB56+BC56</f>
        <v>46.070000000006985</v>
      </c>
      <c r="AD56" s="106">
        <f>Sheet1!AA56+Sheet1!BN56+'Calculations II'!BC56-Calculation!AI56-Calculation!CZ56</f>
        <v>46.070000000006985</v>
      </c>
      <c r="AE56" s="106">
        <f>Sheet1!AA56+Sheet1!AB56+'Calculations II'!BC56-Calculation!AI56-Calculation!CZ56</f>
        <v>46.070000000006985</v>
      </c>
      <c r="AF56" s="106">
        <f>Sheet1!AA56+Sheet1!BN56+P56+'Calculations II'!BC56+Calculation!AI56+Calculation!CZ56</f>
        <v>46.727067237990099</v>
      </c>
      <c r="AG56" s="106">
        <f>Sheet1!AA56+Sheet1!BN56+'Calculations II'!BC56+'Calculations II'!P56-Sheet1!CP56-BP56</f>
        <v>30.737067237990097</v>
      </c>
      <c r="AH56" s="106">
        <f>Sheet1!AA56+Sheet1!BN56+'Calculations II'!BC56+'Calculations II'!P56-BP56</f>
        <v>46.727067237990099</v>
      </c>
      <c r="AI56" s="106">
        <f>BC56+Sheet1!AA56+Calculation!EI56+O56+W56+Sheet1!BN56+Calculation!AI56+Calculation!CZ56-BP56</f>
        <v>46.727067237990099</v>
      </c>
      <c r="AJ56" s="106"/>
      <c r="AM56" s="102">
        <f t="shared" si="18"/>
        <v>40585</v>
      </c>
      <c r="AN56" s="106"/>
      <c r="AO56" s="106"/>
      <c r="AR56" s="106"/>
      <c r="AT56" s="101">
        <f>Sheet1!AR56*GPMtoMGD</f>
        <v>0</v>
      </c>
      <c r="AU56" s="101">
        <f>Sheet1!AS56*GPMtoMGD</f>
        <v>2.6064000000000004E-2</v>
      </c>
      <c r="AV56" s="101">
        <f>Sheet1!AT56*GPMtoMGD</f>
        <v>0</v>
      </c>
      <c r="AW56" s="101">
        <f>Sheet1!AV56*GPMtoMGD</f>
        <v>0.46915200000000007</v>
      </c>
      <c r="AX56" s="101">
        <f>Sheet1!AW56*GPMtoMGD</f>
        <v>0.439776</v>
      </c>
      <c r="AY56" s="101">
        <f>Sheet1!AX56*GPMtoMGD</f>
        <v>0</v>
      </c>
      <c r="AZ56" s="101">
        <f>Sheet1!AY56*GPMtoMGD</f>
        <v>0</v>
      </c>
      <c r="BA56" s="101">
        <f>Sheet1!AZ56*GPMtoMGD</f>
        <v>0</v>
      </c>
      <c r="BB56" s="101">
        <f>Sheet1!BP56*GPMtoMGD</f>
        <v>0</v>
      </c>
      <c r="BC56" s="101">
        <f>Sheet1!CO56*GPMtoMGD</f>
        <v>0</v>
      </c>
      <c r="BD56" s="101">
        <f>Sheet1!BO56*GPMtoMGD</f>
        <v>1.3229280000000001</v>
      </c>
      <c r="BE56" s="101">
        <f>Sheet1!BV56*GPMtoMGD</f>
        <v>0.83779199999999998</v>
      </c>
      <c r="BF56" s="101">
        <f>Sheet1!CJ56*GPMtoMGD</f>
        <v>0.34617600000000004</v>
      </c>
      <c r="BG56" s="101">
        <f>Sheet1!CK56*GPMtoMGD</f>
        <v>0.50241599999999997</v>
      </c>
      <c r="BH56" s="101">
        <f>Sheet1!CL56*GPMtoMGD</f>
        <v>0.67305599999999999</v>
      </c>
      <c r="BI56" s="101">
        <f t="shared" si="19"/>
        <v>1.3229280000000001</v>
      </c>
      <c r="BK56" s="106">
        <f>SUM(AT56:BA56,BE56,Sheet1!BU56,'Calculations II'!BC56,Calculation!AG56)</f>
        <v>42.272784000000001</v>
      </c>
      <c r="BM56" s="439">
        <f>IF(AND(Sheet1!BQ56&lt;=11.5,Sheet1!BQ55&gt;Sheet1!BQ56),(MIN(Lookup!$C$119,VLOOKUP(Sheet1!BQ55,Lookup!$B$4:$J$236,2))-VLOOKUP(Sheet1!BQ56,Lookup!$B$4:$J$236,2))/1000000,0)</f>
        <v>0</v>
      </c>
      <c r="BN56" s="439">
        <f>IF(AND(Sheet1!BR56&lt;=11.5,Sheet1!BR55&gt;Sheet1!BR56),(MIN(Lookup!$D$119,VLOOKUP(Sheet1!BR55,Lookup!$B$4:$J$236,3))-VLOOKUP(Sheet1!BR56,Lookup!$B$4:$J$236,3))/1000000,0)</f>
        <v>0</v>
      </c>
      <c r="BP56" s="105">
        <f>SUM(BM56:BN56,W56,Sheet1!DT56)</f>
        <v>0</v>
      </c>
    </row>
    <row r="57" spans="1:68" s="101" customFormat="1">
      <c r="A57" s="101" t="s">
        <v>8</v>
      </c>
      <c r="B57" s="103">
        <v>40586</v>
      </c>
      <c r="C57" s="104">
        <v>0.33333333333357601</v>
      </c>
      <c r="E57" s="30"/>
      <c r="F57" s="30">
        <f>-(VLOOKUP(Sheet1!BZ57,Lookup!$I$4:$J$216,2)-VLOOKUP(Sheet1!BZ56,Lookup!$I$4:$J$216,2))/1000000</f>
        <v>-0.31091081564339806</v>
      </c>
      <c r="G57" s="106">
        <f>-$G$6*(Sheet1!CB57-Sheet1!CB56)*7.48/1000000</f>
        <v>0.3574215094730338</v>
      </c>
      <c r="H57" s="106">
        <f>-$H$6*(Sheet1!CA57-Sheet1!CA56)*7.48/1000000</f>
        <v>0</v>
      </c>
      <c r="I57" s="106">
        <f>-$I$6*(Sheet1!CC57-Sheet1!CC56)*7.48/1000000</f>
        <v>-0.10794905056816222</v>
      </c>
      <c r="J57" s="107" t="s">
        <v>193</v>
      </c>
      <c r="K57" s="106">
        <f>-$I$6*(Sheet1!CD57-Sheet1!CD56)*7.48/1000000</f>
        <v>-8.9957542140135238E-2</v>
      </c>
      <c r="L57" s="107" t="s">
        <v>193</v>
      </c>
      <c r="M57" s="106">
        <f>-$M$6*(Sheet1!CE57-Sheet1!CE56)*7.48/1000000</f>
        <v>-4.6643242621209044E-2</v>
      </c>
      <c r="N57" s="106">
        <f>-$N$6*(Sheet1!CF57-Sheet1!CF56)*7.48/1000000</f>
        <v>0.12410469078924735</v>
      </c>
      <c r="O57" s="106">
        <f t="shared" si="15"/>
        <v>-7.393445071062342E-2</v>
      </c>
      <c r="P57" s="106">
        <f>O57+Calculation!EI57</f>
        <v>-1.1549344507106234</v>
      </c>
      <c r="Q57" s="101" t="str">
        <f>IF(Sheet1!BQ57&gt;21.75,"spill elevation","-")</f>
        <v>-</v>
      </c>
      <c r="R57" s="101" t="str">
        <f>IF(Sheet1!BR57&gt;21.75,"spill elevation","-")</f>
        <v>-</v>
      </c>
      <c r="S57" s="101" t="str">
        <f>IF(Sheet1!BS57&gt;21.75,"spill elevation","-")</f>
        <v>-</v>
      </c>
      <c r="T57" s="105">
        <f>IF(Sheet1!DQ57=1,Sheet1!AA57-(SUM(AT57:BA57)+BE57),Sheet1!AA57-SUM(AT57:BA57))</f>
        <v>28.246479999999998</v>
      </c>
      <c r="U57" s="105">
        <f>Sheet1!BU57</f>
        <v>25.7</v>
      </c>
      <c r="V57" s="105">
        <f t="shared" si="16"/>
        <v>2.546479999999999</v>
      </c>
      <c r="W57" s="105">
        <f t="shared" si="17"/>
        <v>0</v>
      </c>
      <c r="X57" s="101">
        <f>IF((Sheet1!EX57-Sheet1!EX56)&lt;0,(Sheet1!EX57+100000-Sheet1!EX56)/1000,(Sheet1!EX57-Sheet1!EX56)/1000)</f>
        <v>0.81599999999999995</v>
      </c>
      <c r="Y57" s="106">
        <f>Calculation!DZ58+Calculation!EI57+'Calculations II'!O57-'Calculations II'!W57</f>
        <v>46.145065549277732</v>
      </c>
      <c r="Z57" s="106">
        <f>Y57-Sheet1!CP58</f>
        <v>29.875065549277732</v>
      </c>
      <c r="AA57" s="106">
        <f>Y57+Calculation!CZ58+Calculation!AI58</f>
        <v>46.145065549277732</v>
      </c>
      <c r="AC57" s="106">
        <f>Sheet1!AA57+Sheet1!AB57+BC57</f>
        <v>46.599999999998545</v>
      </c>
      <c r="AD57" s="106">
        <f>Sheet1!AA57+Sheet1!BN57+'Calculations II'!BC57-Calculation!AI57-Calculation!CZ57</f>
        <v>46.5</v>
      </c>
      <c r="AE57" s="106">
        <f>Sheet1!AA57+Sheet1!AB57+'Calculations II'!BC57-Calculation!AI57-Calculation!CZ57</f>
        <v>46.599999999998545</v>
      </c>
      <c r="AF57" s="106">
        <f>Sheet1!AA57+Sheet1!BN57+P57+'Calculations II'!BC57+Calculation!AI57+Calculation!CZ57</f>
        <v>45.345065549289373</v>
      </c>
      <c r="AG57" s="106">
        <f>Sheet1!AA57+Sheet1!BN57+'Calculations II'!BC57+'Calculations II'!P57-Sheet1!CP57-BP57</f>
        <v>29.525065549289373</v>
      </c>
      <c r="AH57" s="106">
        <f>Sheet1!AA57+Sheet1!BN57+'Calculations II'!BC57+'Calculations II'!P57-BP57</f>
        <v>45.345065549289373</v>
      </c>
      <c r="AI57" s="106">
        <f>BC57+Sheet1!AA57+Calculation!EI57+O57+W57+Sheet1!BN57+Calculation!AI57+Calculation!CZ57-BP57</f>
        <v>45.345065549289373</v>
      </c>
      <c r="AJ57" s="106"/>
      <c r="AM57" s="102">
        <f t="shared" si="18"/>
        <v>40586</v>
      </c>
      <c r="AN57" s="106"/>
      <c r="AO57" s="106"/>
      <c r="AR57" s="106"/>
      <c r="AT57" s="101">
        <f>Sheet1!AR57*GPMtoMGD</f>
        <v>0</v>
      </c>
      <c r="AU57" s="101">
        <f>Sheet1!AS57*GPMtoMGD</f>
        <v>2.8224000000000003E-2</v>
      </c>
      <c r="AV57" s="101">
        <f>Sheet1!AT57*GPMtoMGD</f>
        <v>0</v>
      </c>
      <c r="AW57" s="101">
        <f>Sheet1!AV57*GPMtoMGD</f>
        <v>0.63719999999999999</v>
      </c>
      <c r="AX57" s="101">
        <f>Sheet1!AW57*GPMtoMGD</f>
        <v>0.58809599999999995</v>
      </c>
      <c r="AY57" s="101">
        <f>Sheet1!AX57*GPMtoMGD</f>
        <v>0</v>
      </c>
      <c r="AZ57" s="101">
        <f>Sheet1!AY57*GPMtoMGD</f>
        <v>0</v>
      </c>
      <c r="BA57" s="101">
        <f>Sheet1!AZ57*GPMtoMGD</f>
        <v>0</v>
      </c>
      <c r="BB57" s="101">
        <f>Sheet1!BP57*GPMtoMGD</f>
        <v>0</v>
      </c>
      <c r="BC57" s="101">
        <f>Sheet1!CO57*GPMtoMGD</f>
        <v>0</v>
      </c>
      <c r="BD57" s="101">
        <f>Sheet1!BO57*GPMtoMGD</f>
        <v>2.2125600000000003</v>
      </c>
      <c r="BE57" s="101">
        <f>Sheet1!BV57*GPMtoMGD</f>
        <v>0.95241600000000004</v>
      </c>
      <c r="BF57" s="101">
        <f>Sheet1!CJ57*GPMtoMGD</f>
        <v>0.57988800000000007</v>
      </c>
      <c r="BG57" s="101">
        <f>Sheet1!CK57*GPMtoMGD</f>
        <v>0.56217600000000001</v>
      </c>
      <c r="BH57" s="101">
        <f>Sheet1!CL57*GPMtoMGD</f>
        <v>0.66168000000000005</v>
      </c>
      <c r="BI57" s="101">
        <f t="shared" si="19"/>
        <v>2.2125600000000003</v>
      </c>
      <c r="BK57" s="106">
        <f>SUM(AT57:BA57,BE57,Sheet1!BU57,'Calculations II'!BC57,Calculation!AG57)</f>
        <v>45.005935999998542</v>
      </c>
      <c r="BM57" s="439">
        <f>IF(AND(Sheet1!BQ57&lt;=11.5,Sheet1!BQ56&gt;Sheet1!BQ57),(MIN(Lookup!$C$119,VLOOKUP(Sheet1!BQ56,Lookup!$B$4:$J$236,2))-VLOOKUP(Sheet1!BQ57,Lookup!$B$4:$J$236,2))/1000000,0)</f>
        <v>0</v>
      </c>
      <c r="BN57" s="439">
        <f>IF(AND(Sheet1!BR57&lt;=11.5,Sheet1!BR56&gt;Sheet1!BR57),(MIN(Lookup!$D$119,VLOOKUP(Sheet1!BR56,Lookup!$B$4:$J$236,3))-VLOOKUP(Sheet1!BR57,Lookup!$B$4:$J$236,3))/1000000,0)</f>
        <v>0</v>
      </c>
      <c r="BP57" s="105">
        <f>SUM(BM57:BN57,W57,Sheet1!DT57)</f>
        <v>0</v>
      </c>
    </row>
    <row r="58" spans="1:68" s="101" customFormat="1">
      <c r="A58" s="101" t="s">
        <v>9</v>
      </c>
      <c r="B58" s="103">
        <v>40587</v>
      </c>
      <c r="C58" s="104">
        <v>0.33333333333357601</v>
      </c>
      <c r="E58" s="30"/>
      <c r="F58" s="30">
        <f>-(VLOOKUP(Sheet1!BZ58,Lookup!$I$4:$J$216,2)-VLOOKUP(Sheet1!BZ57,Lookup!$I$4:$J$216,2))/1000000</f>
        <v>-0.62182163128680368</v>
      </c>
      <c r="G58" s="106">
        <f>-$G$6*(Sheet1!CB58-Sheet1!CB57)*7.48/1000000</f>
        <v>-1.2311185326293388</v>
      </c>
      <c r="H58" s="106">
        <f>-$H$6*(Sheet1!CA58-Sheet1!CA57)*7.48/1000000</f>
        <v>0.25567034997150645</v>
      </c>
      <c r="I58" s="106">
        <f>-$I$6*(Sheet1!CC58-Sheet1!CC57)*7.48/1000000</f>
        <v>0.23388960956435173</v>
      </c>
      <c r="J58" s="107" t="s">
        <v>193</v>
      </c>
      <c r="K58" s="106">
        <f>-$I$6*(Sheet1!CD58-Sheet1!CD57)*7.48/1000000</f>
        <v>0.23388960956435145</v>
      </c>
      <c r="L58" s="107" t="s">
        <v>193</v>
      </c>
      <c r="M58" s="106">
        <f>-$M$6*(Sheet1!CE58-Sheet1!CE57)*7.48/1000000</f>
        <v>7.3296524119042972E-2</v>
      </c>
      <c r="N58" s="106">
        <f>-$N$6*(Sheet1!CF58-Sheet1!CF57)*7.48/1000000</f>
        <v>-0.12410469078924735</v>
      </c>
      <c r="O58" s="106">
        <f t="shared" si="15"/>
        <v>-1.1802987614861373</v>
      </c>
      <c r="P58" s="106">
        <f>O58+Calculation!EI58</f>
        <v>-2.8017987614861375</v>
      </c>
      <c r="Q58" s="101" t="str">
        <f>IF(Sheet1!BQ58&gt;21.75,"spill elevation","-")</f>
        <v>-</v>
      </c>
      <c r="R58" s="101" t="str">
        <f>IF(Sheet1!BR58&gt;21.75,"spill elevation","-")</f>
        <v>-</v>
      </c>
      <c r="S58" s="101" t="str">
        <f>IF(Sheet1!BS58&gt;21.75,"spill elevation","-")</f>
        <v>-</v>
      </c>
      <c r="T58" s="105">
        <f>IF(Sheet1!DQ58=1,Sheet1!AA58-(SUM(AT58:BA58)+BE58),Sheet1!AA58-SUM(AT58:BA58))</f>
        <v>28.726799999988359</v>
      </c>
      <c r="U58" s="105">
        <f>Sheet1!BU58</f>
        <v>23.3</v>
      </c>
      <c r="V58" s="105">
        <f t="shared" si="16"/>
        <v>5.4267999999883578</v>
      </c>
      <c r="W58" s="105">
        <f t="shared" si="17"/>
        <v>0</v>
      </c>
      <c r="X58" s="101">
        <f>IF((Sheet1!EX58-Sheet1!EX57)&lt;0,(Sheet1!EX58+100000-Sheet1!EX57)/1000,(Sheet1!EX58-Sheet1!EX57)/1000)</f>
        <v>0.83499999999999996</v>
      </c>
      <c r="Y58" s="106">
        <f>Calculation!DZ59+Calculation!EI58+'Calculations II'!O58-'Calculations II'!W58</f>
        <v>45.198201238513867</v>
      </c>
      <c r="Z58" s="106">
        <f>Y58-Sheet1!CP59</f>
        <v>28.808201238513867</v>
      </c>
      <c r="AA58" s="106">
        <f>Y58+Calculation!CZ59+Calculation!AI59</f>
        <v>48.249586919807172</v>
      </c>
      <c r="AC58" s="106">
        <f>Sheet1!AA58+Sheet1!AB58+BC58</f>
        <v>47.299999999988358</v>
      </c>
      <c r="AD58" s="106">
        <f>Sheet1!AA58+Sheet1!BN58+'Calculations II'!BC58-Calculation!AI58-Calculation!CZ58</f>
        <v>47.299999999988358</v>
      </c>
      <c r="AE58" s="106">
        <f>Sheet1!AA58+Sheet1!AB58+'Calculations II'!BC58-Calculation!AI58-Calculation!CZ58</f>
        <v>47.299999999988358</v>
      </c>
      <c r="AF58" s="106">
        <f>Sheet1!AA58+Sheet1!BN58+P58+'Calculations II'!BC58+Calculation!AI58+Calculation!CZ58</f>
        <v>44.498201238502219</v>
      </c>
      <c r="AG58" s="106">
        <f>Sheet1!AA58+Sheet1!BN58+'Calculations II'!BC58+'Calculations II'!P58-Sheet1!CP58-BP58</f>
        <v>28.228201238502219</v>
      </c>
      <c r="AH58" s="106">
        <f>Sheet1!AA58+Sheet1!BN58+'Calculations II'!BC58+'Calculations II'!P58-BP58</f>
        <v>44.498201238502219</v>
      </c>
      <c r="AI58" s="106">
        <f>BC58+Sheet1!AA58+Calculation!EI58+O58+W58+Sheet1!BN58+Calculation!AI58+Calculation!CZ58-BP58</f>
        <v>44.498201238502219</v>
      </c>
      <c r="AJ58" s="106"/>
      <c r="AM58" s="102">
        <f t="shared" si="18"/>
        <v>40587</v>
      </c>
      <c r="AN58" s="106"/>
      <c r="AO58" s="106"/>
      <c r="AR58" s="106"/>
      <c r="AT58" s="101">
        <f>Sheet1!AR58*GPMtoMGD</f>
        <v>0</v>
      </c>
      <c r="AU58" s="101">
        <f>Sheet1!AS58*GPMtoMGD</f>
        <v>5.1984000000000002E-2</v>
      </c>
      <c r="AV58" s="101">
        <f>Sheet1!AT58*GPMtoMGD</f>
        <v>0</v>
      </c>
      <c r="AW58" s="101">
        <f>Sheet1!AV58*GPMtoMGD</f>
        <v>0.7646400000000001</v>
      </c>
      <c r="AX58" s="101">
        <f>Sheet1!AW58*GPMtoMGD</f>
        <v>0.75657600000000003</v>
      </c>
      <c r="AY58" s="101">
        <f>Sheet1!AX58*GPMtoMGD</f>
        <v>0</v>
      </c>
      <c r="AZ58" s="101">
        <f>Sheet1!AY58*GPMtoMGD</f>
        <v>0</v>
      </c>
      <c r="BA58" s="101">
        <f>Sheet1!AZ58*GPMtoMGD</f>
        <v>0</v>
      </c>
      <c r="BB58" s="101">
        <f>Sheet1!BP58*GPMtoMGD</f>
        <v>0</v>
      </c>
      <c r="BC58" s="101">
        <f>Sheet1!CO58*GPMtoMGD</f>
        <v>0</v>
      </c>
      <c r="BD58" s="101">
        <f>Sheet1!BO58*GPMtoMGD</f>
        <v>2.1068639999999998</v>
      </c>
      <c r="BE58" s="101">
        <f>Sheet1!BV58*GPMtoMGD</f>
        <v>0.96379199999999998</v>
      </c>
      <c r="BF58" s="101">
        <f>Sheet1!CJ58*GPMtoMGD</f>
        <v>0.638208</v>
      </c>
      <c r="BG58" s="101">
        <f>Sheet1!CK58*GPMtoMGD</f>
        <v>0.62395200000000006</v>
      </c>
      <c r="BH58" s="101">
        <f>Sheet1!CL58*GPMtoMGD</f>
        <v>0.67377600000000004</v>
      </c>
      <c r="BI58" s="101">
        <f t="shared" si="19"/>
        <v>2.1068639999999998</v>
      </c>
      <c r="BK58" s="106">
        <f>SUM(AT58:BA58,BE58,Sheet1!BU58,'Calculations II'!BC58,Calculation!AG58)</f>
        <v>42.836992000000002</v>
      </c>
      <c r="BM58" s="439">
        <f>IF(AND(Sheet1!BQ58&lt;=11.5,Sheet1!BQ57&gt;Sheet1!BQ58),(MIN(Lookup!$C$119,VLOOKUP(Sheet1!BQ57,Lookup!$B$4:$J$236,2))-VLOOKUP(Sheet1!BQ58,Lookup!$B$4:$J$236,2))/1000000,0)</f>
        <v>0</v>
      </c>
      <c r="BN58" s="439">
        <f>IF(AND(Sheet1!BR58&lt;=11.5,Sheet1!BR57&gt;Sheet1!BR58),(MIN(Lookup!$D$119,VLOOKUP(Sheet1!BR57,Lookup!$B$4:$J$236,3))-VLOOKUP(Sheet1!BR58,Lookup!$B$4:$J$236,3))/1000000,0)</f>
        <v>0</v>
      </c>
      <c r="BP58" s="105">
        <f>SUM(BM58:BN58,W58,Sheet1!DT58)</f>
        <v>0</v>
      </c>
    </row>
    <row r="59" spans="1:68" s="101" customFormat="1">
      <c r="A59" s="101" t="s">
        <v>3</v>
      </c>
      <c r="B59" s="103">
        <v>40588</v>
      </c>
      <c r="C59" s="104">
        <v>0.33333333333357601</v>
      </c>
      <c r="E59" s="30"/>
      <c r="F59" s="30">
        <f>-(VLOOKUP(Sheet1!BZ59,Lookup!$I$4:$J$216,2)-VLOOKUP(Sheet1!BZ58,Lookup!$I$4:$J$216,2))/1000000</f>
        <v>0.93273244693020174</v>
      </c>
      <c r="G59" s="106">
        <f>-$G$6*(Sheet1!CB59-Sheet1!CB58)*7.48/1000000</f>
        <v>0.63541601684094939</v>
      </c>
      <c r="H59" s="106">
        <f>-$H$6*(Sheet1!CA59-Sheet1!CA58)*7.48/1000000</f>
        <v>-0.73693218521198767</v>
      </c>
      <c r="I59" s="106">
        <f>-$I$6*(Sheet1!CC59-Sheet1!CC58)*7.48/1000000</f>
        <v>0.21589810113632443</v>
      </c>
      <c r="J59" s="107" t="s">
        <v>193</v>
      </c>
      <c r="K59" s="106">
        <f>-$I$6*(Sheet1!CD59-Sheet1!CD58)*7.48/1000000</f>
        <v>0.21589810113632477</v>
      </c>
      <c r="L59" s="107" t="s">
        <v>193</v>
      </c>
      <c r="M59" s="106">
        <f>-$M$6*(Sheet1!CE59-Sheet1!CE58)*7.48/1000000</f>
        <v>9.9949805616876636E-2</v>
      </c>
      <c r="N59" s="106">
        <f>-$N$6*(Sheet1!CF59-Sheet1!CF58)*7.48/1000000</f>
        <v>0.18615703618387214</v>
      </c>
      <c r="O59" s="106">
        <f t="shared" si="15"/>
        <v>1.5491193226325612</v>
      </c>
      <c r="P59" s="106">
        <f>O59+Calculation!EI59</f>
        <v>4.2516193226325614</v>
      </c>
      <c r="Q59" s="101" t="str">
        <f>IF(Sheet1!BQ59&gt;21.75,"spill elevation","-")</f>
        <v>-</v>
      </c>
      <c r="R59" s="101" t="str">
        <f>IF(Sheet1!BR59&gt;21.75,"spill elevation","-")</f>
        <v>-</v>
      </c>
      <c r="S59" s="101" t="str">
        <f>IF(Sheet1!BS59&gt;21.75,"spill elevation","-")</f>
        <v>-</v>
      </c>
      <c r="T59" s="105">
        <f>IF(Sheet1!DQ59=1,Sheet1!AA59-(SUM(AT59:BA59)+BE59),Sheet1!AA59-SUM(AT59:BA59))</f>
        <v>29.110256</v>
      </c>
      <c r="U59" s="105">
        <f>Sheet1!BU59</f>
        <v>27.4</v>
      </c>
      <c r="V59" s="105">
        <f t="shared" si="16"/>
        <v>1.7102560000000011</v>
      </c>
      <c r="W59" s="105">
        <f t="shared" si="17"/>
        <v>0</v>
      </c>
      <c r="X59" s="101">
        <f>IF((Sheet1!EX59-Sheet1!EX58)&lt;0,(Sheet1!EX59+100000-Sheet1!EX58)/1000,(Sheet1!EX59-Sheet1!EX58)/1000)</f>
        <v>0.80700000000000005</v>
      </c>
      <c r="Y59" s="106">
        <f>Calculation!DZ60+Calculation!EI59+'Calculations II'!O59-'Calculations II'!W59</f>
        <v>57.40381452263955</v>
      </c>
      <c r="Z59" s="106">
        <f>Y59-Sheet1!CP60</f>
        <v>40.72381452263955</v>
      </c>
      <c r="AA59" s="106">
        <f>Y59+Calculation!CZ60+Calculation!AI60</f>
        <v>65.407208778517315</v>
      </c>
      <c r="AC59" s="106">
        <f>Sheet1!AA59+Sheet1!AB59+BC59</f>
        <v>48</v>
      </c>
      <c r="AD59" s="106">
        <f>Sheet1!AA59+Sheet1!BN59+'Calculations II'!BC59-Calculation!AI59-Calculation!CZ59</f>
        <v>41.748614318706693</v>
      </c>
      <c r="AE59" s="106">
        <f>Sheet1!AA59+Sheet1!AB59+'Calculations II'!BC59-Calculation!AI59-Calculation!CZ59</f>
        <v>44.948614318706696</v>
      </c>
      <c r="AF59" s="106">
        <f>Sheet1!AA59+Sheet1!BN59+P59+'Calculations II'!BC59+Calculation!AI59+Calculation!CZ59</f>
        <v>52.103005003925865</v>
      </c>
      <c r="AG59" s="106">
        <f>Sheet1!AA59+Sheet1!BN59+'Calculations II'!BC59+'Calculations II'!P59-Sheet1!CP59-BP59</f>
        <v>32.661619322632561</v>
      </c>
      <c r="AH59" s="106">
        <f>Sheet1!AA59+Sheet1!BN59+'Calculations II'!BC59+'Calculations II'!P59-BP59</f>
        <v>49.051619322632561</v>
      </c>
      <c r="AI59" s="106">
        <f>BC59+Sheet1!AA59+Calculation!EI59+O59+W59+Sheet1!BN59+Calculation!AI59+Calculation!CZ59-BP59</f>
        <v>52.103005003925865</v>
      </c>
      <c r="AJ59" s="106"/>
      <c r="AM59" s="102">
        <f t="shared" si="18"/>
        <v>40588</v>
      </c>
      <c r="AN59" s="106"/>
      <c r="AO59" s="106"/>
      <c r="AR59" s="106"/>
      <c r="AT59" s="101">
        <f>Sheet1!AR59*GPMtoMGD</f>
        <v>0</v>
      </c>
      <c r="AU59" s="101">
        <f>Sheet1!AS59*GPMtoMGD</f>
        <v>2.6495999999999999E-2</v>
      </c>
      <c r="AV59" s="101">
        <f>Sheet1!AT59*GPMtoMGD</f>
        <v>0</v>
      </c>
      <c r="AW59" s="101">
        <f>Sheet1!AV59*GPMtoMGD</f>
        <v>0.7021440000000001</v>
      </c>
      <c r="AX59" s="101">
        <f>Sheet1!AW59*GPMtoMGD</f>
        <v>0.66110400000000002</v>
      </c>
      <c r="AY59" s="101">
        <f>Sheet1!AX59*GPMtoMGD</f>
        <v>0</v>
      </c>
      <c r="AZ59" s="101">
        <f>Sheet1!AY59*GPMtoMGD</f>
        <v>0</v>
      </c>
      <c r="BA59" s="101">
        <f>Sheet1!AZ59*GPMtoMGD</f>
        <v>0</v>
      </c>
      <c r="BB59" s="101">
        <f>Sheet1!BP59*GPMtoMGD</f>
        <v>0</v>
      </c>
      <c r="BC59" s="101">
        <f>Sheet1!CO59*GPMtoMGD</f>
        <v>0</v>
      </c>
      <c r="BD59" s="101">
        <f>Sheet1!BO59*GPMtoMGD</f>
        <v>1.3629600000000002</v>
      </c>
      <c r="BE59" s="101">
        <f>Sheet1!BV59*GPMtoMGD</f>
        <v>0.64756800000000003</v>
      </c>
      <c r="BF59" s="101">
        <f>Sheet1!CJ59*GPMtoMGD</f>
        <v>0.57657599999999998</v>
      </c>
      <c r="BG59" s="101">
        <f>Sheet1!CK59*GPMtoMGD</f>
        <v>0.53092800000000007</v>
      </c>
      <c r="BH59" s="101">
        <f>Sheet1!CL59*GPMtoMGD</f>
        <v>0.72460800000000003</v>
      </c>
      <c r="BI59" s="101">
        <f t="shared" si="19"/>
        <v>1.3629600000000002</v>
      </c>
      <c r="BK59" s="106">
        <f>SUM(AT59:BA59,BE59,Sheet1!BU59,'Calculations II'!BC59,Calculation!AG59)</f>
        <v>43.885926318706694</v>
      </c>
      <c r="BM59" s="439">
        <f>IF(AND(Sheet1!BQ59&lt;=11.5,Sheet1!BQ58&gt;Sheet1!BQ59),(MIN(Lookup!$C$119,VLOOKUP(Sheet1!BQ58,Lookup!$B$4:$J$236,2))-VLOOKUP(Sheet1!BQ59,Lookup!$B$4:$J$236,2))/1000000,0)</f>
        <v>0</v>
      </c>
      <c r="BN59" s="439">
        <f>IF(AND(Sheet1!BR59&lt;=11.5,Sheet1!BR58&gt;Sheet1!BR59),(MIN(Lookup!$D$119,VLOOKUP(Sheet1!BR58,Lookup!$B$4:$J$236,3))-VLOOKUP(Sheet1!BR59,Lookup!$B$4:$J$236,3))/1000000,0)</f>
        <v>0</v>
      </c>
      <c r="BP59" s="105">
        <f>SUM(BM59:BN59,W59,Sheet1!DT59)</f>
        <v>0</v>
      </c>
    </row>
    <row r="60" spans="1:68" s="101" customFormat="1">
      <c r="A60" s="101" t="s">
        <v>4</v>
      </c>
      <c r="B60" s="103">
        <v>40589</v>
      </c>
      <c r="C60" s="104">
        <v>0.33333333333357601</v>
      </c>
      <c r="E60" s="30"/>
      <c r="F60" s="30">
        <f>-(VLOOKUP(Sheet1!BZ60,Lookup!$I$4:$J$216,2)-VLOOKUP(Sheet1!BZ59,Lookup!$I$4:$J$216,2))/1000000</f>
        <v>0.51818469273900236</v>
      </c>
      <c r="G60" s="106">
        <f>-$G$6*(Sheet1!CB60-Sheet1!CB59)*7.48/1000000</f>
        <v>0.27799450736791476</v>
      </c>
      <c r="H60" s="106">
        <f>-$H$6*(Sheet1!CA60-Sheet1!CA59)*7.48/1000000</f>
        <v>0.57149842934807182</v>
      </c>
      <c r="I60" s="106">
        <f>-$I$6*(Sheet1!CC60-Sheet1!CC59)*7.48/1000000</f>
        <v>-0.21589810113632443</v>
      </c>
      <c r="J60" s="107" t="s">
        <v>193</v>
      </c>
      <c r="K60" s="106">
        <f>-$I$6*(Sheet1!CD60-Sheet1!CD59)*7.48/1000000</f>
        <v>-0.21589810113632477</v>
      </c>
      <c r="L60" s="107" t="s">
        <v>193</v>
      </c>
      <c r="M60" s="106">
        <f>-$M$6*(Sheet1!CE60-Sheet1!CE59)*7.48/1000000</f>
        <v>-9.3286485242418338E-2</v>
      </c>
      <c r="N60" s="106">
        <f>-$N$6*(Sheet1!CF60-Sheet1!CF59)*7.48/1000000</f>
        <v>0.18615703618387103</v>
      </c>
      <c r="O60" s="106">
        <f t="shared" si="15"/>
        <v>1.0287519781237926</v>
      </c>
      <c r="P60" s="106">
        <f>O60+Calculation!EI60</f>
        <v>1.5692519781237926</v>
      </c>
      <c r="Q60" s="101" t="str">
        <f>IF(Sheet1!BQ60&gt;21.75,"spill elevation","-")</f>
        <v>-</v>
      </c>
      <c r="R60" s="101" t="str">
        <f>IF(Sheet1!BR60&gt;21.75,"spill elevation","-")</f>
        <v>-</v>
      </c>
      <c r="S60" s="101" t="str">
        <f>IF(Sheet1!BS60&gt;21.75,"spill elevation","-")</f>
        <v>-</v>
      </c>
      <c r="T60" s="105">
        <f>IF(Sheet1!DQ60=1,Sheet1!AA60-(SUM(AT60:BA60)+BE60),Sheet1!AA60-SUM(AT60:BA60))</f>
        <v>36.515744000001163</v>
      </c>
      <c r="U60" s="105">
        <f>Sheet1!BU60</f>
        <v>34</v>
      </c>
      <c r="V60" s="105">
        <f t="shared" si="16"/>
        <v>2.5157440000011633</v>
      </c>
      <c r="W60" s="105">
        <f t="shared" si="17"/>
        <v>0</v>
      </c>
      <c r="X60" s="101">
        <f>IF((Sheet1!EX60-Sheet1!EX59)&lt;0,(Sheet1!EX60+100000-Sheet1!EX59)/1000,(Sheet1!EX60-Sheet1!EX59)/1000)</f>
        <v>0.76900000000000002</v>
      </c>
      <c r="Y60" s="106">
        <f>Calculation!DZ61+Calculation!EI60+'Calculations II'!O60-'Calculations II'!W60</f>
        <v>52.463075978124671</v>
      </c>
      <c r="Z60" s="106">
        <f>Y60-Sheet1!CP61</f>
        <v>36.013075978124675</v>
      </c>
      <c r="AA60" s="106">
        <f>Y60+Calculation!CZ61+Calculation!AI61</f>
        <v>61.948845769283437</v>
      </c>
      <c r="AC60" s="106">
        <f>Sheet1!AA60+Sheet1!AB60+BC60</f>
        <v>53.152195200006986</v>
      </c>
      <c r="AD60" s="106">
        <f>Sheet1!AA60+Sheet1!BN60+'Calculations II'!BC60-Calculation!AI60-Calculation!CZ60</f>
        <v>37.24880094412341</v>
      </c>
      <c r="AE60" s="106">
        <f>Sheet1!AA60+Sheet1!AB60+'Calculations II'!BC60-Calculation!AI60-Calculation!CZ60</f>
        <v>45.148800944129228</v>
      </c>
      <c r="AF60" s="106">
        <f>Sheet1!AA60+Sheet1!BN60+P60+'Calculations II'!BC60+Calculation!AI60+Calculation!CZ60</f>
        <v>54.824841434002721</v>
      </c>
      <c r="AG60" s="106">
        <f>Sheet1!AA60+Sheet1!BN60+'Calculations II'!BC60+'Calculations II'!P60-Sheet1!CP60-BP60</f>
        <v>30.141447178124963</v>
      </c>
      <c r="AH60" s="106">
        <f>Sheet1!AA60+Sheet1!BN60+'Calculations II'!BC60+'Calculations II'!P60-BP60</f>
        <v>46.821447178124963</v>
      </c>
      <c r="AI60" s="106">
        <f>BC60+Sheet1!AA60+Calculation!EI60+O60+W60+Sheet1!BN60+Calculation!AI60+Calculation!CZ60-BP60</f>
        <v>54.824841434002721</v>
      </c>
      <c r="AJ60" s="106"/>
      <c r="AM60" s="102">
        <f t="shared" si="18"/>
        <v>40589</v>
      </c>
      <c r="AN60" s="106"/>
      <c r="AO60" s="106"/>
      <c r="AR60" s="106"/>
      <c r="AT60" s="101">
        <f>Sheet1!AR60*GPMtoMGD</f>
        <v>0</v>
      </c>
      <c r="AU60" s="101">
        <f>Sheet1!AS60*GPMtoMGD</f>
        <v>2.6064000000000004E-2</v>
      </c>
      <c r="AV60" s="101">
        <f>Sheet1!AT60*GPMtoMGD</f>
        <v>0</v>
      </c>
      <c r="AW60" s="101">
        <f>Sheet1!AV60*GPMtoMGD</f>
        <v>0.70516800000000002</v>
      </c>
      <c r="AX60" s="101">
        <f>Sheet1!AW60*GPMtoMGD</f>
        <v>0.72302400000000011</v>
      </c>
      <c r="AY60" s="101">
        <f>Sheet1!AX60*GPMtoMGD</f>
        <v>0</v>
      </c>
      <c r="AZ60" s="101">
        <f>Sheet1!AY60*GPMtoMGD</f>
        <v>0</v>
      </c>
      <c r="BA60" s="101">
        <f>Sheet1!AZ60*GPMtoMGD</f>
        <v>0</v>
      </c>
      <c r="BB60" s="101">
        <f>Sheet1!BP60*GPMtoMGD</f>
        <v>4.5792000000000006E-2</v>
      </c>
      <c r="BC60" s="101">
        <f>Sheet1!CO60*GPMtoMGD</f>
        <v>8.2195199999999996E-2</v>
      </c>
      <c r="BD60" s="101">
        <f>Sheet1!BO60*GPMtoMGD</f>
        <v>2.068848</v>
      </c>
      <c r="BE60" s="101">
        <f>Sheet1!BV60*GPMtoMGD</f>
        <v>0.93657600000000008</v>
      </c>
      <c r="BF60" s="101">
        <f>Sheet1!CJ60*GPMtoMGD</f>
        <v>0.51436800000000005</v>
      </c>
      <c r="BG60" s="101">
        <f>Sheet1!CK60*GPMtoMGD</f>
        <v>0.52747200000000005</v>
      </c>
      <c r="BH60" s="101">
        <f>Sheet1!CL60*GPMtoMGD</f>
        <v>0.72244799999999998</v>
      </c>
      <c r="BI60" s="101">
        <f t="shared" si="19"/>
        <v>2.1146400000000001</v>
      </c>
      <c r="BK60" s="106">
        <f>SUM(AT60:BA60,BE60,Sheet1!BU60,'Calculations II'!BC60,Calculation!AG60)</f>
        <v>43.569632944128067</v>
      </c>
      <c r="BM60" s="439">
        <f>IF(AND(Sheet1!BQ60&lt;=11.5,Sheet1!BQ59&gt;Sheet1!BQ60),(MIN(Lookup!$C$119,VLOOKUP(Sheet1!BQ59,Lookup!$B$4:$J$236,2))-VLOOKUP(Sheet1!BQ60,Lookup!$B$4:$J$236,2))/1000000,0)</f>
        <v>0</v>
      </c>
      <c r="BN60" s="439">
        <f>IF(AND(Sheet1!BR60&lt;=11.5,Sheet1!BR59&gt;Sheet1!BR60),(MIN(Lookup!$D$119,VLOOKUP(Sheet1!BR59,Lookup!$B$4:$J$236,3))-VLOOKUP(Sheet1!BR60,Lookup!$B$4:$J$236,3))/1000000,0)</f>
        <v>0</v>
      </c>
      <c r="BP60" s="105">
        <f>SUM(BM60:BN60,W60,Sheet1!DT60)</f>
        <v>0</v>
      </c>
    </row>
    <row r="61" spans="1:68" s="101" customFormat="1">
      <c r="A61" s="101" t="s">
        <v>5</v>
      </c>
      <c r="B61" s="103">
        <v>40590</v>
      </c>
      <c r="C61" s="104">
        <v>0.33333333333357601</v>
      </c>
      <c r="E61" s="30"/>
      <c r="F61" s="30">
        <f>-(VLOOKUP(Sheet1!BZ61,Lookup!$I$4:$J$216,2)-VLOOKUP(Sheet1!BZ60,Lookup!$I$4:$J$216,2))/1000000</f>
        <v>-0.10363693854779936</v>
      </c>
      <c r="G61" s="106">
        <f>-$G$6*(Sheet1!CB61-Sheet1!CB60)*7.48/1000000</f>
        <v>0.23828100631535562</v>
      </c>
      <c r="H61" s="106">
        <f>-$H$6*(Sheet1!CA61-Sheet1!CA60)*7.48/1000000</f>
        <v>-0.46622240288921701</v>
      </c>
      <c r="I61" s="106">
        <f>-$I$6*(Sheet1!CC61-Sheet1!CC60)*7.48/1000000</f>
        <v>-0.16192357585224348</v>
      </c>
      <c r="J61" s="107" t="s">
        <v>193</v>
      </c>
      <c r="K61" s="106">
        <f>-$I$6*(Sheet1!CD61-Sheet1!CD60)*7.48/1000000</f>
        <v>-0.16192357585224318</v>
      </c>
      <c r="L61" s="107" t="s">
        <v>193</v>
      </c>
      <c r="M61" s="106">
        <f>-$M$6*(Sheet1!CE61-Sheet1!CE60)*7.48/1000000</f>
        <v>-4.6643242621209044E-2</v>
      </c>
      <c r="N61" s="106">
        <f>-$N$6*(Sheet1!CF61-Sheet1!CF60)*7.48/1000000</f>
        <v>0</v>
      </c>
      <c r="O61" s="106">
        <f t="shared" si="15"/>
        <v>-0.70206872944735643</v>
      </c>
      <c r="P61" s="106">
        <f>O61+Calculation!EI61</f>
        <v>4.9258312705526439</v>
      </c>
      <c r="Q61" s="101" t="str">
        <f>IF(Sheet1!BQ61&gt;21.75,"spill elevation","-")</f>
        <v>-</v>
      </c>
      <c r="R61" s="101" t="str">
        <f>IF(Sheet1!BR61&gt;21.75,"spill elevation","-")</f>
        <v>-</v>
      </c>
      <c r="S61" s="101" t="str">
        <f>IF(Sheet1!BS61&gt;21.75,"spill elevation","-")</f>
        <v>-</v>
      </c>
      <c r="T61" s="105">
        <f>IF(Sheet1!DQ61=1,Sheet1!AA61-(SUM(AT61:BA61)+BE61),Sheet1!AA61-SUM(AT61:BA61))</f>
        <v>29.268128000005238</v>
      </c>
      <c r="U61" s="105">
        <f>Sheet1!BU61</f>
        <v>31.4</v>
      </c>
      <c r="V61" s="105">
        <f t="shared" si="16"/>
        <v>-2.1318719999947611</v>
      </c>
      <c r="W61" s="105">
        <f t="shared" si="17"/>
        <v>0</v>
      </c>
      <c r="X61" s="101">
        <f>IF((Sheet1!EX61-Sheet1!EX60)&lt;0,(Sheet1!EX61+100000-Sheet1!EX60)/1000,(Sheet1!EX61-Sheet1!EX60)/1000)</f>
        <v>0.78800000000000003</v>
      </c>
      <c r="Y61" s="106">
        <f>Calculation!DZ62+Calculation!EI61+'Calculations II'!O61-'Calculations II'!W61</f>
        <v>61.365831270547694</v>
      </c>
      <c r="Z61" s="106">
        <f>Y61-Sheet1!CP62</f>
        <v>44.465831270547696</v>
      </c>
      <c r="AA61" s="106">
        <f>Y61+Calculation!CZ62+Calculation!AI62</f>
        <v>71.272148624691667</v>
      </c>
      <c r="AC61" s="106">
        <f>Sheet1!AA61+Sheet1!AB61+BC61</f>
        <v>50.893824000000876</v>
      </c>
      <c r="AD61" s="106">
        <f>Sheet1!AA61+Sheet1!BN61+'Calculations II'!BC61-Calculation!AI61-Calculation!CZ61</f>
        <v>31.808054208846478</v>
      </c>
      <c r="AE61" s="106">
        <f>Sheet1!AA61+Sheet1!AB61+'Calculations II'!BC61-Calculation!AI61-Calculation!CZ61</f>
        <v>41.40805420884211</v>
      </c>
      <c r="AF61" s="106">
        <f>Sheet1!AA61+Sheet1!BN61+P61+'Calculations II'!BC61+Calculation!AI61+Calculation!CZ61</f>
        <v>55.705425061716653</v>
      </c>
      <c r="AG61" s="106">
        <f>Sheet1!AA61+Sheet1!BN61+'Calculations II'!BC61+'Calculations II'!P61-Sheet1!CP61-BP61</f>
        <v>29.769655270557887</v>
      </c>
      <c r="AH61" s="106">
        <f>Sheet1!AA61+Sheet1!BN61+'Calculations II'!BC61+'Calculations II'!P61-BP61</f>
        <v>46.219655270557887</v>
      </c>
      <c r="AI61" s="106">
        <f>BC61+Sheet1!AA61+Calculation!EI61+O61+W61+Sheet1!BN61+Calculation!AI61+Calculation!CZ61-BP61</f>
        <v>55.705425061716646</v>
      </c>
      <c r="AJ61" s="106"/>
      <c r="AM61" s="102">
        <f t="shared" si="18"/>
        <v>40590</v>
      </c>
      <c r="AN61" s="106"/>
      <c r="AO61" s="106"/>
      <c r="AR61" s="106"/>
      <c r="AT61" s="101">
        <f>Sheet1!AR61*GPMtoMGD</f>
        <v>0</v>
      </c>
      <c r="AU61" s="101">
        <f>Sheet1!AS61*GPMtoMGD</f>
        <v>2.6064000000000004E-2</v>
      </c>
      <c r="AV61" s="101">
        <f>Sheet1!AT61*GPMtoMGD</f>
        <v>0</v>
      </c>
      <c r="AW61" s="101">
        <f>Sheet1!AV61*GPMtoMGD</f>
        <v>0.34401600000000004</v>
      </c>
      <c r="AX61" s="101">
        <f>Sheet1!AW61*GPMtoMGD</f>
        <v>0.35179200000000005</v>
      </c>
      <c r="AY61" s="101">
        <f>Sheet1!AX61*GPMtoMGD</f>
        <v>0</v>
      </c>
      <c r="AZ61" s="101">
        <f>Sheet1!AY61*GPMtoMGD</f>
        <v>0</v>
      </c>
      <c r="BA61" s="101">
        <f>Sheet1!AZ61*GPMtoMGD</f>
        <v>0</v>
      </c>
      <c r="BB61" s="101">
        <f>Sheet1!BP61*GPMtoMGD</f>
        <v>0</v>
      </c>
      <c r="BC61" s="101">
        <f>Sheet1!CO61*GPMtoMGD</f>
        <v>0.103824</v>
      </c>
      <c r="BD61" s="101">
        <f>Sheet1!BO61*GPMtoMGD</f>
        <v>1.974672</v>
      </c>
      <c r="BE61" s="101">
        <f>Sheet1!BV61*GPMtoMGD</f>
        <v>0.91252800000000012</v>
      </c>
      <c r="BF61" s="101">
        <f>Sheet1!CJ61*GPMtoMGD</f>
        <v>0.52041599999999999</v>
      </c>
      <c r="BG61" s="101">
        <f>Sheet1!CK61*GPMtoMGD</f>
        <v>0.51580800000000004</v>
      </c>
      <c r="BH61" s="101">
        <f>Sheet1!CL61*GPMtoMGD</f>
        <v>0.71020800000000006</v>
      </c>
      <c r="BI61" s="101">
        <f t="shared" si="19"/>
        <v>1.974672</v>
      </c>
      <c r="BK61" s="106">
        <f>SUM(AT61:BA61,BE61,Sheet1!BU61,'Calculations II'!BC61,Calculation!AG61)</f>
        <v>44.452454208836869</v>
      </c>
      <c r="BM61" s="439">
        <f>IF(AND(Sheet1!BQ61&lt;=11.5,Sheet1!BQ60&gt;Sheet1!BQ61),(MIN(Lookup!$C$119,VLOOKUP(Sheet1!BQ60,Lookup!$B$4:$J$236,2))-VLOOKUP(Sheet1!BQ61,Lookup!$B$4:$J$236,2))/1000000,0)</f>
        <v>0</v>
      </c>
      <c r="BN61" s="439">
        <f>IF(AND(Sheet1!BR61&lt;=11.5,Sheet1!BR60&gt;Sheet1!BR61),(MIN(Lookup!$D$119,VLOOKUP(Sheet1!BR60,Lookup!$B$4:$J$236,3))-VLOOKUP(Sheet1!BR61,Lookup!$B$4:$J$236,3))/1000000,0)</f>
        <v>0</v>
      </c>
      <c r="BP61" s="105">
        <f>SUM(BM61:BN61,W61,Sheet1!DT61)</f>
        <v>0</v>
      </c>
    </row>
    <row r="62" spans="1:68" s="101" customFormat="1">
      <c r="A62" s="101" t="s">
        <v>6</v>
      </c>
      <c r="B62" s="103">
        <v>40591</v>
      </c>
      <c r="C62" s="104">
        <v>0.33333333333357601</v>
      </c>
      <c r="E62" s="30"/>
      <c r="F62" s="30">
        <f>-(VLOOKUP(Sheet1!BZ62,Lookup!$I$4:$J$216,2)-VLOOKUP(Sheet1!BZ61,Lookup!$I$4:$J$216,2))/1000000</f>
        <v>-0.20727387709559872</v>
      </c>
      <c r="G62" s="106">
        <f>-$G$6*(Sheet1!CB62-Sheet1!CB61)*7.48/1000000</f>
        <v>-1.0325510273665417</v>
      </c>
      <c r="H62" s="106">
        <f>-$H$6*(Sheet1!CA62-Sheet1!CA61)*7.48/1000000</f>
        <v>0.36094637643036126</v>
      </c>
      <c r="I62" s="106">
        <f>-$I$6*(Sheet1!CC62-Sheet1!CC61)*7.48/1000000</f>
        <v>0.30585564327645964</v>
      </c>
      <c r="J62" s="107" t="s">
        <v>193</v>
      </c>
      <c r="K62" s="106">
        <f>-$I$6*(Sheet1!CD62-Sheet1!CD61)*7.48/1000000</f>
        <v>0.28786413484843265</v>
      </c>
      <c r="L62" s="107" t="s">
        <v>193</v>
      </c>
      <c r="M62" s="106">
        <f>-$M$6*(Sheet1!CE62-Sheet1!CE61)*7.48/1000000</f>
        <v>0.10661312599133518</v>
      </c>
      <c r="N62" s="106">
        <f>-$N$6*(Sheet1!CF62-Sheet1!CF61)*7.48/1000000</f>
        <v>6.2052345394623676E-2</v>
      </c>
      <c r="O62" s="106">
        <f t="shared" si="15"/>
        <v>-0.11649327852092786</v>
      </c>
      <c r="P62" s="106">
        <f>O62+Calculation!EI62</f>
        <v>0.15010672147907214</v>
      </c>
      <c r="Q62" s="101" t="str">
        <f>IF(Sheet1!BQ62&gt;21.75,"spill elevation","-")</f>
        <v>-</v>
      </c>
      <c r="R62" s="101" t="str">
        <f>IF(Sheet1!BR62&gt;21.75,"spill elevation","-")</f>
        <v>-</v>
      </c>
      <c r="S62" s="101" t="str">
        <f>IF(Sheet1!BS62&gt;21.75,"spill elevation","-")</f>
        <v>-</v>
      </c>
      <c r="T62" s="105">
        <f>IF(Sheet1!DQ62=1,Sheet1!AA62-(SUM(AT62:BA62)+BE62),Sheet1!AA62-SUM(AT62:BA62))</f>
        <v>28.728847999993597</v>
      </c>
      <c r="U62" s="105">
        <f>Sheet1!BU62</f>
        <v>25.7</v>
      </c>
      <c r="V62" s="105">
        <f t="shared" si="16"/>
        <v>3.028847999993598</v>
      </c>
      <c r="W62" s="105">
        <f t="shared" si="17"/>
        <v>0</v>
      </c>
      <c r="X62" s="101">
        <f>IF((Sheet1!EX62-Sheet1!EX61)&lt;0,(Sheet1!EX62+100000-Sheet1!EX61)/1000,(Sheet1!EX62-Sheet1!EX61)/1000)</f>
        <v>0.746</v>
      </c>
      <c r="Y62" s="106">
        <f>Calculation!DZ63+Calculation!EI62+'Calculations II'!O62-'Calculations II'!W62</f>
        <v>56.650106721486345</v>
      </c>
      <c r="Z62" s="106">
        <f>Y62-Sheet1!CP63</f>
        <v>40.870106721486344</v>
      </c>
      <c r="AA62" s="106">
        <f>Y62+Calculation!CZ63+Calculation!AI63</f>
        <v>66.271383317230502</v>
      </c>
      <c r="AC62" s="106">
        <f>Sheet1!AA62+Sheet1!AB62+BC62</f>
        <v>56.439999999995052</v>
      </c>
      <c r="AD62" s="106">
        <f>Sheet1!AA62+Sheet1!BN62+'Calculations II'!BC62-Calculation!AI62-Calculation!CZ62</f>
        <v>36.633682645849618</v>
      </c>
      <c r="AE62" s="106">
        <f>Sheet1!AA62+Sheet1!AB62+'Calculations II'!BC62-Calculation!AI62-Calculation!CZ62</f>
        <v>46.533682645851073</v>
      </c>
      <c r="AF62" s="106">
        <f>Sheet1!AA62+Sheet1!BN62+P62+'Calculations II'!BC62+Calculation!AI62+Calculation!CZ62</f>
        <v>56.596424075616639</v>
      </c>
      <c r="AG62" s="106">
        <f>Sheet1!AA62+Sheet1!BN62+'Calculations II'!BC62+'Calculations II'!P62-Sheet1!CP62-BP62</f>
        <v>29.790106721472668</v>
      </c>
      <c r="AH62" s="106">
        <f>Sheet1!AA62+Sheet1!BN62+'Calculations II'!BC62+'Calculations II'!P62-BP62</f>
        <v>46.690106721472667</v>
      </c>
      <c r="AI62" s="106">
        <f>BC62+Sheet1!AA62+Calculation!EI62+O62+W62+Sheet1!BN62+Calculation!AI62+Calculation!CZ62-BP62</f>
        <v>56.596424075616653</v>
      </c>
      <c r="AJ62" s="106"/>
      <c r="AM62" s="102">
        <f t="shared" si="18"/>
        <v>40591</v>
      </c>
      <c r="AN62" s="106"/>
      <c r="AO62" s="106"/>
      <c r="AR62" s="106"/>
      <c r="AT62" s="101">
        <f>Sheet1!AR62*GPMtoMGD</f>
        <v>0</v>
      </c>
      <c r="AU62" s="101">
        <f>Sheet1!AS62*GPMtoMGD</f>
        <v>2.6784000000000002E-2</v>
      </c>
      <c r="AV62" s="101">
        <f>Sheet1!AT62*GPMtoMGD</f>
        <v>0</v>
      </c>
      <c r="AW62" s="101">
        <f>Sheet1!AV62*GPMtoMGD</f>
        <v>0.41716799999999998</v>
      </c>
      <c r="AX62" s="101">
        <f>Sheet1!AW62*GPMtoMGD</f>
        <v>0.36720000000000003</v>
      </c>
      <c r="AY62" s="101">
        <f>Sheet1!AX62*GPMtoMGD</f>
        <v>0</v>
      </c>
      <c r="AZ62" s="101">
        <f>Sheet1!AY62*GPMtoMGD</f>
        <v>0</v>
      </c>
      <c r="BA62" s="101">
        <f>Sheet1!AZ62*GPMtoMGD</f>
        <v>0</v>
      </c>
      <c r="BB62" s="101">
        <f>Sheet1!BP62*GPMtoMGD</f>
        <v>0</v>
      </c>
      <c r="BC62" s="101">
        <f>Sheet1!CO62*GPMtoMGD</f>
        <v>0</v>
      </c>
      <c r="BD62" s="101">
        <f>Sheet1!BO62*GPMtoMGD</f>
        <v>1.2441600000000002</v>
      </c>
      <c r="BE62" s="101">
        <f>Sheet1!BV62*GPMtoMGD</f>
        <v>0.68587200000000004</v>
      </c>
      <c r="BF62" s="101">
        <f>Sheet1!CJ62*GPMtoMGD</f>
        <v>0.48816000000000004</v>
      </c>
      <c r="BG62" s="101">
        <f>Sheet1!CK62*GPMtoMGD</f>
        <v>0.53582400000000008</v>
      </c>
      <c r="BH62" s="101">
        <f>Sheet1!CL62*GPMtoMGD</f>
        <v>0.7128000000000001</v>
      </c>
      <c r="BI62" s="101">
        <f t="shared" si="19"/>
        <v>1.2441600000000002</v>
      </c>
      <c r="BK62" s="106">
        <f>SUM(AT62:BA62,BE62,Sheet1!BU62,'Calculations II'!BC62,Calculation!AG62)</f>
        <v>44.190706645857475</v>
      </c>
      <c r="BM62" s="439">
        <f>IF(AND(Sheet1!BQ62&lt;=11.5,Sheet1!BQ61&gt;Sheet1!BQ62),(MIN(Lookup!$C$119,VLOOKUP(Sheet1!BQ61,Lookup!$B$4:$J$236,2))-VLOOKUP(Sheet1!BQ62,Lookup!$B$4:$J$236,2))/1000000,0)</f>
        <v>0</v>
      </c>
      <c r="BN62" s="439">
        <f>IF(AND(Sheet1!BR62&lt;=11.5,Sheet1!BR61&gt;Sheet1!BR62),(MIN(Lookup!$D$119,VLOOKUP(Sheet1!BR61,Lookup!$B$4:$J$236,3))-VLOOKUP(Sheet1!BR62,Lookup!$B$4:$J$236,3))/1000000,0)</f>
        <v>0</v>
      </c>
      <c r="BP62" s="105">
        <f>SUM(BM62:BN62,W62,Sheet1!DT62)</f>
        <v>0</v>
      </c>
    </row>
    <row r="63" spans="1:68" s="101" customFormat="1">
      <c r="A63" s="101" t="s">
        <v>7</v>
      </c>
      <c r="B63" s="103">
        <v>40592</v>
      </c>
      <c r="C63" s="104">
        <v>0.33333333333357601</v>
      </c>
      <c r="E63" s="30"/>
      <c r="F63" s="30">
        <f>-(VLOOKUP(Sheet1!BZ63,Lookup!$I$4:$J$216,2)-VLOOKUP(Sheet1!BZ62,Lookup!$I$4:$J$216,2))/1000000</f>
        <v>0.20727387709559872</v>
      </c>
      <c r="G63" s="106">
        <f>-$G$6*(Sheet1!CB63-Sheet1!CB62)*7.48/1000000</f>
        <v>0.3177080084204747</v>
      </c>
      <c r="H63" s="106">
        <f>-$H$6*(Sheet1!CA63-Sheet1!CA62)*7.48/1000000</f>
        <v>-0.34590694407909589</v>
      </c>
      <c r="I63" s="106">
        <f>-$I$6*(Sheet1!CC63-Sheet1!CC62)*7.48/1000000</f>
        <v>8.9957542140135391E-2</v>
      </c>
      <c r="J63" s="107" t="s">
        <v>193</v>
      </c>
      <c r="K63" s="106">
        <f>-$I$6*(Sheet1!CD63-Sheet1!CD62)*7.48/1000000</f>
        <v>8.9957542140135238E-2</v>
      </c>
      <c r="L63" s="107" t="s">
        <v>193</v>
      </c>
      <c r="M63" s="106">
        <f>-$M$6*(Sheet1!CE63-Sheet1!CE62)*7.48/1000000</f>
        <v>3.997992224675051E-2</v>
      </c>
      <c r="N63" s="106">
        <f>-$N$6*(Sheet1!CF63-Sheet1!CF62)*7.48/1000000</f>
        <v>0.12410469078924848</v>
      </c>
      <c r="O63" s="106">
        <f t="shared" si="15"/>
        <v>0.52307463875324711</v>
      </c>
      <c r="P63" s="106">
        <f>O63+Calculation!EI63</f>
        <v>-0.2772253612467529</v>
      </c>
      <c r="Q63" s="101" t="str">
        <f>IF(Sheet1!BQ63&gt;21.75,"spill elevation","-")</f>
        <v>-</v>
      </c>
      <c r="R63" s="101" t="str">
        <f>IF(Sheet1!BR63&gt;21.75,"spill elevation","-")</f>
        <v>-</v>
      </c>
      <c r="S63" s="101" t="str">
        <f>IF(Sheet1!BS63&gt;21.75,"spill elevation","-")</f>
        <v>-</v>
      </c>
      <c r="T63" s="105">
        <f>IF(Sheet1!DQ63=1,Sheet1!AA63-(SUM(AT63:BA63)+BE63),Sheet1!AA63-SUM(AT63:BA63))</f>
        <v>28.97537600000873</v>
      </c>
      <c r="U63" s="105">
        <f>Sheet1!BU63</f>
        <v>24.6</v>
      </c>
      <c r="V63" s="105">
        <f t="shared" si="16"/>
        <v>4.3753760000087283</v>
      </c>
      <c r="W63" s="105">
        <f t="shared" si="17"/>
        <v>0</v>
      </c>
      <c r="X63" s="101">
        <f>IF((Sheet1!EX63-Sheet1!EX62)&lt;0,(Sheet1!EX63+100000-Sheet1!EX62)/1000,(Sheet1!EX63-Sheet1!EX62)/1000)</f>
        <v>0.78800000000000003</v>
      </c>
      <c r="Y63" s="106">
        <f>Calculation!DZ64+Calculation!EI63+'Calculations II'!O63-'Calculations II'!W63</f>
        <v>56.902774638746266</v>
      </c>
      <c r="Z63" s="106">
        <f>Y63-Sheet1!CP64</f>
        <v>41.472774638746266</v>
      </c>
      <c r="AA63" s="106">
        <f>Y63+Calculation!CZ64+Calculation!AI64</f>
        <v>66.169441305413898</v>
      </c>
      <c r="AC63" s="106">
        <f>Sheet1!AA63+Sheet1!AB63+BC63</f>
        <v>56.500000000007276</v>
      </c>
      <c r="AD63" s="106">
        <f>Sheet1!AA63+Sheet1!BN63+'Calculations II'!BC63-Calculation!AI63-Calculation!CZ63</f>
        <v>37.078723404264572</v>
      </c>
      <c r="AE63" s="106">
        <f>Sheet1!AA63+Sheet1!AB63+'Calculations II'!BC63-Calculation!AI63-Calculation!CZ63</f>
        <v>46.87872340426312</v>
      </c>
      <c r="AF63" s="106">
        <f>Sheet1!AA63+Sheet1!BN63+P63+'Calculations II'!BC63+Calculation!AI63+Calculation!CZ63</f>
        <v>56.044051234506135</v>
      </c>
      <c r="AG63" s="106">
        <f>Sheet1!AA63+Sheet1!BN63+'Calculations II'!BC63+'Calculations II'!P63-Sheet1!CP63-BP63</f>
        <v>30.642774638761978</v>
      </c>
      <c r="AH63" s="106">
        <f>Sheet1!AA63+Sheet1!BN63+'Calculations II'!BC63+'Calculations II'!P63-BP63</f>
        <v>46.422774638761979</v>
      </c>
      <c r="AI63" s="106">
        <f>BC63+Sheet1!AA63+Calculation!EI63+O63+W63+Sheet1!BN63+Calculation!AI63+Calculation!CZ63-BP63</f>
        <v>56.044051234506135</v>
      </c>
      <c r="AJ63" s="106"/>
      <c r="AM63" s="102">
        <f t="shared" si="18"/>
        <v>40592</v>
      </c>
      <c r="AN63" s="106"/>
      <c r="AO63" s="106"/>
      <c r="AR63" s="106"/>
      <c r="AT63" s="101">
        <f>Sheet1!AR63*GPMtoMGD</f>
        <v>0</v>
      </c>
      <c r="AU63" s="101">
        <f>Sheet1!AS63*GPMtoMGD</f>
        <v>5.0832000000000002E-2</v>
      </c>
      <c r="AV63" s="101">
        <f>Sheet1!AT63*GPMtoMGD</f>
        <v>0</v>
      </c>
      <c r="AW63" s="101">
        <f>Sheet1!AV63*GPMtoMGD</f>
        <v>0.63806400000000008</v>
      </c>
      <c r="AX63" s="101">
        <f>Sheet1!AW63*GPMtoMGD</f>
        <v>0.23572799999999999</v>
      </c>
      <c r="AY63" s="101">
        <f>Sheet1!AX63*GPMtoMGD</f>
        <v>0</v>
      </c>
      <c r="AZ63" s="101">
        <f>Sheet1!AY63*GPMtoMGD</f>
        <v>0</v>
      </c>
      <c r="BA63" s="101">
        <f>Sheet1!AZ63*GPMtoMGD</f>
        <v>0</v>
      </c>
      <c r="BB63" s="101">
        <f>Sheet1!BP63*GPMtoMGD</f>
        <v>0</v>
      </c>
      <c r="BC63" s="101">
        <f>Sheet1!CO63*GPMtoMGD</f>
        <v>0</v>
      </c>
      <c r="BD63" s="101">
        <f>Sheet1!BO63*GPMtoMGD</f>
        <v>1.521504</v>
      </c>
      <c r="BE63" s="101">
        <f>Sheet1!BV63*GPMtoMGD</f>
        <v>0.93499200000000005</v>
      </c>
      <c r="BF63" s="101">
        <f>Sheet1!CJ63*GPMtoMGD</f>
        <v>0.390096</v>
      </c>
      <c r="BG63" s="101">
        <f>Sheet1!CK63*GPMtoMGD</f>
        <v>0.541296</v>
      </c>
      <c r="BH63" s="101">
        <f>Sheet1!CL63*GPMtoMGD</f>
        <v>0.68342400000000003</v>
      </c>
      <c r="BI63" s="101">
        <f t="shared" si="19"/>
        <v>1.521504</v>
      </c>
      <c r="BK63" s="106">
        <f>SUM(AT63:BA63,BE63,Sheet1!BU63,'Calculations II'!BC63,Calculation!AG63)</f>
        <v>43.438339404254393</v>
      </c>
      <c r="BM63" s="439">
        <f>IF(AND(Sheet1!BQ63&lt;=11.5,Sheet1!BQ62&gt;Sheet1!BQ63),(MIN(Lookup!$C$119,VLOOKUP(Sheet1!BQ62,Lookup!$B$4:$J$236,2))-VLOOKUP(Sheet1!BQ63,Lookup!$B$4:$J$236,2))/1000000,0)</f>
        <v>0</v>
      </c>
      <c r="BN63" s="439">
        <f>IF(AND(Sheet1!BR63&lt;=11.5,Sheet1!BR62&gt;Sheet1!BR63),(MIN(Lookup!$D$119,VLOOKUP(Sheet1!BR62,Lookup!$B$4:$J$236,3))-VLOOKUP(Sheet1!BR63,Lookup!$B$4:$J$236,3))/1000000,0)</f>
        <v>0</v>
      </c>
      <c r="BP63" s="105">
        <f>SUM(BM63:BN63,W63,Sheet1!DT63)</f>
        <v>0</v>
      </c>
    </row>
    <row r="64" spans="1:68" s="101" customFormat="1">
      <c r="A64" s="101" t="s">
        <v>8</v>
      </c>
      <c r="B64" s="103">
        <v>40593</v>
      </c>
      <c r="C64" s="104">
        <v>0.33333333333357601</v>
      </c>
      <c r="E64" s="30"/>
      <c r="F64" s="30">
        <f>-(VLOOKUP(Sheet1!BZ64,Lookup!$I$4:$J$216,2)-VLOOKUP(Sheet1!BZ63,Lookup!$I$4:$J$216,2))/1000000</f>
        <v>-0.10363693854779936</v>
      </c>
      <c r="G64" s="106">
        <f>-$G$6*(Sheet1!CB64-Sheet1!CB63)*7.48/1000000</f>
        <v>0.39713501052559297</v>
      </c>
      <c r="H64" s="106">
        <f>-$H$6*(Sheet1!CA64-Sheet1!CA63)*7.48/1000000</f>
        <v>0</v>
      </c>
      <c r="I64" s="106">
        <f>-$I$6*(Sheet1!CC64-Sheet1!CC63)*7.48/1000000</f>
        <v>-0.32384715170448686</v>
      </c>
      <c r="J64" s="107" t="s">
        <v>193</v>
      </c>
      <c r="K64" s="106">
        <f>-$I$6*(Sheet1!CD64-Sheet1!CD63)*7.48/1000000</f>
        <v>-0.30585564327645998</v>
      </c>
      <c r="L64" s="107" t="s">
        <v>193</v>
      </c>
      <c r="M64" s="106">
        <f>-$M$6*(Sheet1!CE64-Sheet1!CE63)*7.48/1000000</f>
        <v>-0.11993976674025177</v>
      </c>
      <c r="N64" s="106">
        <f>-$N$6*(Sheet1!CF64-Sheet1!CF63)*7.48/1000000</f>
        <v>6.2052345394623676E-2</v>
      </c>
      <c r="O64" s="106">
        <f t="shared" si="15"/>
        <v>-0.39409214434878131</v>
      </c>
      <c r="P64" s="106">
        <f>O64+Calculation!EI64</f>
        <v>-3.0625921443487814</v>
      </c>
      <c r="Q64" s="101" t="str">
        <f>IF(Sheet1!BQ64&gt;21.75,"spill elevation","-")</f>
        <v>-</v>
      </c>
      <c r="R64" s="101" t="str">
        <f>IF(Sheet1!BR64&gt;21.75,"spill elevation","-")</f>
        <v>-</v>
      </c>
      <c r="S64" s="101" t="str">
        <f>IF(Sheet1!BS64&gt;21.75,"spill elevation","-")</f>
        <v>-</v>
      </c>
      <c r="T64" s="105">
        <f>IF(Sheet1!DQ64=1,Sheet1!AA64-(SUM(AT64:BA64)+BE64),Sheet1!AA64-SUM(AT64:BA64))</f>
        <v>27.857055999990106</v>
      </c>
      <c r="U64" s="105">
        <f>Sheet1!BU64</f>
        <v>22.4</v>
      </c>
      <c r="V64" s="105">
        <f t="shared" si="16"/>
        <v>5.4570559999901072</v>
      </c>
      <c r="W64" s="105">
        <f t="shared" si="17"/>
        <v>0</v>
      </c>
      <c r="X64" s="101">
        <f>IF((Sheet1!EX64-Sheet1!EX63)&lt;0,(Sheet1!EX64+100000-Sheet1!EX63)/1000,(Sheet1!EX64-Sheet1!EX63)/1000)</f>
        <v>0.80800000000000005</v>
      </c>
      <c r="Y64" s="106">
        <f>Calculation!DZ65+Calculation!EI64+'Calculations II'!O64-'Calculations II'!W64</f>
        <v>54.447407855653253</v>
      </c>
      <c r="Z64" s="106">
        <f>Y64-Sheet1!CP65</f>
        <v>38.307407855653253</v>
      </c>
      <c r="AA64" s="106">
        <f>Y64+Calculation!CZ65+Calculation!AI65</f>
        <v>64.017665366382175</v>
      </c>
      <c r="AC64" s="106">
        <f>Sheet1!AA64+Sheet1!AB64+BC64</f>
        <v>57.179999999993015</v>
      </c>
      <c r="AD64" s="106">
        <f>Sheet1!AA64+Sheet1!BN64+'Calculations II'!BC64-Calculation!AI64-Calculation!CZ64</f>
        <v>38.613333333322466</v>
      </c>
      <c r="AE64" s="106">
        <f>Sheet1!AA64+Sheet1!AB64+'Calculations II'!BC64-Calculation!AI64-Calculation!CZ64</f>
        <v>47.913333333325376</v>
      </c>
      <c r="AF64" s="106">
        <f>Sheet1!AA64+Sheet1!BN64+P64+'Calculations II'!BC64+Calculation!AI64+Calculation!CZ64</f>
        <v>54.08407452230896</v>
      </c>
      <c r="AG64" s="106">
        <f>Sheet1!AA64+Sheet1!BN64+'Calculations II'!BC64+'Calculations II'!P64-Sheet1!CP64-BP64</f>
        <v>29.387407855641321</v>
      </c>
      <c r="AH64" s="106">
        <f>Sheet1!AA64+Sheet1!BN64+'Calculations II'!BC64+'Calculations II'!P64-BP64</f>
        <v>44.817407855641321</v>
      </c>
      <c r="AI64" s="106">
        <f>BC64+Sheet1!AA64+Calculation!EI64+O64+W64+Sheet1!BN64+Calculation!AI64+Calculation!CZ64-BP64</f>
        <v>54.08407452230896</v>
      </c>
      <c r="AJ64" s="106"/>
      <c r="AM64" s="102">
        <f t="shared" si="18"/>
        <v>40593</v>
      </c>
      <c r="AN64" s="106"/>
      <c r="AO64" s="106"/>
      <c r="AR64" s="106"/>
      <c r="AT64" s="101">
        <f>Sheet1!AR64*GPMtoMGD</f>
        <v>0</v>
      </c>
      <c r="AU64" s="101">
        <f>Sheet1!AS64*GPMtoMGD</f>
        <v>2.6495999999999999E-2</v>
      </c>
      <c r="AV64" s="101">
        <f>Sheet1!AT64*GPMtoMGD</f>
        <v>0</v>
      </c>
      <c r="AW64" s="101">
        <f>Sheet1!AV64*GPMtoMGD</f>
        <v>0.85046400000000011</v>
      </c>
      <c r="AX64" s="101">
        <f>Sheet1!AW64*GPMtoMGD</f>
        <v>0.64598400000000011</v>
      </c>
      <c r="AY64" s="101">
        <f>Sheet1!AX64*GPMtoMGD</f>
        <v>0</v>
      </c>
      <c r="AZ64" s="101">
        <f>Sheet1!AY64*GPMtoMGD</f>
        <v>0</v>
      </c>
      <c r="BA64" s="101">
        <f>Sheet1!AZ64*GPMtoMGD</f>
        <v>0</v>
      </c>
      <c r="BB64" s="101">
        <f>Sheet1!BP64*GPMtoMGD</f>
        <v>0</v>
      </c>
      <c r="BC64" s="101">
        <f>Sheet1!CO64*GPMtoMGD</f>
        <v>0</v>
      </c>
      <c r="BD64" s="101">
        <f>Sheet1!BO64*GPMtoMGD</f>
        <v>2.3588640000000001</v>
      </c>
      <c r="BE64" s="101">
        <f>Sheet1!BV64*GPMtoMGD</f>
        <v>0.69436799999999999</v>
      </c>
      <c r="BF64" s="101">
        <f>Sheet1!CJ64*GPMtoMGD</f>
        <v>0.561168</v>
      </c>
      <c r="BG64" s="101">
        <f>Sheet1!CK64*GPMtoMGD</f>
        <v>0.6755040000000001</v>
      </c>
      <c r="BH64" s="101">
        <f>Sheet1!CL64*GPMtoMGD</f>
        <v>0.65635200000000005</v>
      </c>
      <c r="BI64" s="101">
        <f t="shared" si="19"/>
        <v>2.3588640000000001</v>
      </c>
      <c r="BK64" s="106">
        <f>SUM(AT64:BA64,BE64,Sheet1!BU64,'Calculations II'!BC64,Calculation!AG64)</f>
        <v>43.150645333335277</v>
      </c>
      <c r="BM64" s="439">
        <f>IF(AND(Sheet1!BQ64&lt;=11.5,Sheet1!BQ63&gt;Sheet1!BQ64),(MIN(Lookup!$C$119,VLOOKUP(Sheet1!BQ63,Lookup!$B$4:$J$236,2))-VLOOKUP(Sheet1!BQ64,Lookup!$B$4:$J$236,2))/1000000,0)</f>
        <v>0</v>
      </c>
      <c r="BN64" s="439">
        <f>IF(AND(Sheet1!BR64&lt;=11.5,Sheet1!BR63&gt;Sheet1!BR64),(MIN(Lookup!$D$119,VLOOKUP(Sheet1!BR63,Lookup!$B$4:$J$236,3))-VLOOKUP(Sheet1!BR64,Lookup!$B$4:$J$236,3))/1000000,0)</f>
        <v>0</v>
      </c>
      <c r="BP64" s="105">
        <f>SUM(BM64:BN64,W64,Sheet1!DT64)</f>
        <v>0</v>
      </c>
    </row>
    <row r="65" spans="1:68" s="101" customFormat="1">
      <c r="A65" s="101" t="s">
        <v>9</v>
      </c>
      <c r="B65" s="103">
        <v>40594</v>
      </c>
      <c r="C65" s="104">
        <v>0.33333333333357601</v>
      </c>
      <c r="E65" s="30"/>
      <c r="F65" s="30">
        <f>-(VLOOKUP(Sheet1!BZ65,Lookup!$I$4:$J$216,2)-VLOOKUP(Sheet1!BZ64,Lookup!$I$4:$J$216,2))/1000000</f>
        <v>0.10363693854779936</v>
      </c>
      <c r="G65" s="106">
        <f>-$G$6*(Sheet1!CB65-Sheet1!CB64)*7.48/1000000</f>
        <v>0.35742150947303314</v>
      </c>
      <c r="H65" s="106">
        <f>-$H$6*(Sheet1!CA65-Sheet1!CA64)*7.48/1000000</f>
        <v>9.0236594107590579E-2</v>
      </c>
      <c r="I65" s="106">
        <f>-$I$6*(Sheet1!CC65-Sheet1!CC64)*7.48/1000000</f>
        <v>0.16192357585224348</v>
      </c>
      <c r="J65" s="107" t="s">
        <v>193</v>
      </c>
      <c r="K65" s="106">
        <f>-$I$6*(Sheet1!CD65-Sheet1!CD64)*7.48/1000000</f>
        <v>0.14393206742421652</v>
      </c>
      <c r="L65" s="107" t="s">
        <v>193</v>
      </c>
      <c r="M65" s="106">
        <f>-$M$6*(Sheet1!CE65-Sheet1!CE64)*7.48/1000000</f>
        <v>5.9969883370125883E-2</v>
      </c>
      <c r="N65" s="106">
        <f>-$N$6*(Sheet1!CF65-Sheet1!CF64)*7.48/1000000</f>
        <v>-0.12410469078924735</v>
      </c>
      <c r="O65" s="106">
        <f t="shared" si="15"/>
        <v>0.79301587798576156</v>
      </c>
      <c r="P65" s="106">
        <f>O65+Calculation!EI65</f>
        <v>-2.1731841220142383</v>
      </c>
      <c r="Q65" s="101" t="str">
        <f>IF(Sheet1!BQ65&gt;21.75,"spill elevation","-")</f>
        <v>-</v>
      </c>
      <c r="R65" s="101" t="str">
        <f>IF(Sheet1!BR65&gt;21.75,"spill elevation","-")</f>
        <v>-</v>
      </c>
      <c r="S65" s="101" t="str">
        <f>IF(Sheet1!BS65&gt;21.75,"spill elevation","-")</f>
        <v>-</v>
      </c>
      <c r="T65" s="105">
        <f>IF(Sheet1!DQ65=1,Sheet1!AA65-(SUM(AT65:BA65)+BE65),Sheet1!AA65-SUM(AT65:BA65))</f>
        <v>27.983808000004075</v>
      </c>
      <c r="U65" s="105">
        <f>Sheet1!BU65</f>
        <v>21.8</v>
      </c>
      <c r="V65" s="105">
        <f t="shared" si="16"/>
        <v>6.183808000004074</v>
      </c>
      <c r="W65" s="105">
        <f t="shared" si="17"/>
        <v>0</v>
      </c>
      <c r="X65" s="101">
        <f>IF((Sheet1!EX65-Sheet1!EX64)&lt;0,(Sheet1!EX65+100000-Sheet1!EX64)/1000,(Sheet1!EX65-Sheet1!EX64)/1000)</f>
        <v>0.78500000000000003</v>
      </c>
      <c r="Y65" s="106">
        <f>Calculation!DZ66+Calculation!EI65+'Calculations II'!O65-'Calculations II'!W65</f>
        <v>55.666815877982266</v>
      </c>
      <c r="Z65" s="106">
        <f>Y65-Sheet1!CP66</f>
        <v>39.316815877982265</v>
      </c>
      <c r="AA65" s="106">
        <f>Y65+Calculation!CZ66+Calculation!AI66</f>
        <v>65.301597865115738</v>
      </c>
      <c r="AC65" s="106">
        <f>Sheet1!AA65+Sheet1!AB65+BC65</f>
        <v>57.510000000002037</v>
      </c>
      <c r="AD65" s="106">
        <f>Sheet1!AA65+Sheet1!BN65+'Calculations II'!BC65-Calculation!AI65-Calculation!CZ65</f>
        <v>38.349742489275158</v>
      </c>
      <c r="AE65" s="106">
        <f>Sheet1!AA65+Sheet1!AB65+'Calculations II'!BC65-Calculation!AI65-Calculation!CZ65</f>
        <v>47.939742489273122</v>
      </c>
      <c r="AF65" s="106">
        <f>Sheet1!AA65+Sheet1!BN65+P65+'Calculations II'!BC65+Calculation!AI65+Calculation!CZ65</f>
        <v>55.317073388718747</v>
      </c>
      <c r="AG65" s="106">
        <f>Sheet1!AA65+Sheet1!BN65+'Calculations II'!BC65+'Calculations II'!P65-Sheet1!CP65-BP65</f>
        <v>29.606815877989831</v>
      </c>
      <c r="AH65" s="106">
        <f>Sheet1!AA65+Sheet1!BN65+'Calculations II'!BC65+'Calculations II'!P65-BP65</f>
        <v>45.746815877989832</v>
      </c>
      <c r="AI65" s="106">
        <f>BC65+Sheet1!AA65+Calculation!EI65+O65+W65+Sheet1!BN65+Calculation!AI65+Calculation!CZ65-BP65</f>
        <v>55.317073388718747</v>
      </c>
      <c r="AJ65" s="106"/>
      <c r="AM65" s="102">
        <f t="shared" si="18"/>
        <v>40594</v>
      </c>
      <c r="AN65" s="106"/>
      <c r="AO65" s="106"/>
      <c r="AR65" s="106"/>
      <c r="AT65" s="101">
        <f>Sheet1!AR65*GPMtoMGD</f>
        <v>0</v>
      </c>
      <c r="AU65" s="101">
        <f>Sheet1!AS65*GPMtoMGD</f>
        <v>2.7792000000000004E-2</v>
      </c>
      <c r="AV65" s="101">
        <f>Sheet1!AT65*GPMtoMGD</f>
        <v>0</v>
      </c>
      <c r="AW65" s="101">
        <f>Sheet1!AV65*GPMtoMGD</f>
        <v>0.83145599999999997</v>
      </c>
      <c r="AX65" s="101">
        <f>Sheet1!AW65*GPMtoMGD</f>
        <v>0.6769440000000001</v>
      </c>
      <c r="AY65" s="101">
        <f>Sheet1!AX65*GPMtoMGD</f>
        <v>0</v>
      </c>
      <c r="AZ65" s="101">
        <f>Sheet1!AY65*GPMtoMGD</f>
        <v>0</v>
      </c>
      <c r="BA65" s="101">
        <f>Sheet1!AZ65*GPMtoMGD</f>
        <v>0</v>
      </c>
      <c r="BB65" s="101">
        <f>Sheet1!BP65*GPMtoMGD</f>
        <v>0</v>
      </c>
      <c r="BC65" s="101">
        <f>Sheet1!CO65*GPMtoMGD</f>
        <v>0</v>
      </c>
      <c r="BD65" s="101">
        <f>Sheet1!BO65*GPMtoMGD</f>
        <v>1.619424</v>
      </c>
      <c r="BE65" s="101">
        <f>Sheet1!BV65*GPMtoMGD</f>
        <v>0.93283199999999999</v>
      </c>
      <c r="BF65" s="101">
        <f>Sheet1!CJ65*GPMtoMGD</f>
        <v>0.53193599999999996</v>
      </c>
      <c r="BG65" s="101">
        <f>Sheet1!CK65*GPMtoMGD</f>
        <v>0.58795200000000003</v>
      </c>
      <c r="BH65" s="101">
        <f>Sheet1!CL65*GPMtoMGD</f>
        <v>0.63777600000000001</v>
      </c>
      <c r="BI65" s="101">
        <f t="shared" si="19"/>
        <v>1.619424</v>
      </c>
      <c r="BK65" s="106">
        <f>SUM(AT65:BA65,BE65,Sheet1!BU65,'Calculations II'!BC65,Calculation!AG65)</f>
        <v>42.688766489269042</v>
      </c>
      <c r="BM65" s="439">
        <f>IF(AND(Sheet1!BQ65&lt;=11.5,Sheet1!BQ64&gt;Sheet1!BQ65),(MIN(Lookup!$C$119,VLOOKUP(Sheet1!BQ64,Lookup!$B$4:$J$236,2))-VLOOKUP(Sheet1!BQ65,Lookup!$B$4:$J$236,2))/1000000,0)</f>
        <v>0</v>
      </c>
      <c r="BN65" s="439">
        <f>IF(AND(Sheet1!BR65&lt;=11.5,Sheet1!BR64&gt;Sheet1!BR65),(MIN(Lookup!$D$119,VLOOKUP(Sheet1!BR64,Lookup!$B$4:$J$236,3))-VLOOKUP(Sheet1!BR65,Lookup!$B$4:$J$236,3))/1000000,0)</f>
        <v>0</v>
      </c>
      <c r="BP65" s="105">
        <f>SUM(BM65:BN65,W65,Sheet1!DT65)</f>
        <v>0</v>
      </c>
    </row>
    <row r="66" spans="1:68" s="101" customFormat="1">
      <c r="A66" s="101" t="s">
        <v>3</v>
      </c>
      <c r="B66" s="103">
        <v>40595</v>
      </c>
      <c r="C66" s="104">
        <v>0.33333333333357601</v>
      </c>
      <c r="E66" s="30"/>
      <c r="F66" s="30">
        <f>-(VLOOKUP(Sheet1!BZ66,Lookup!$I$4:$J$216,2)-VLOOKUP(Sheet1!BZ65,Lookup!$I$4:$J$216,2))/1000000</f>
        <v>0</v>
      </c>
      <c r="G66" s="106">
        <f>-$G$6*(Sheet1!CB66-Sheet1!CB65)*7.48/1000000</f>
        <v>-1.1119780294716601</v>
      </c>
      <c r="H66" s="106">
        <f>-$H$6*(Sheet1!CA66-Sheet1!CA65)*7.48/1000000</f>
        <v>0.12031545881012005</v>
      </c>
      <c r="I66" s="106">
        <f>-$I$6*(Sheet1!CC66-Sheet1!CC65)*7.48/1000000</f>
        <v>0.10794905056816222</v>
      </c>
      <c r="J66" s="107" t="s">
        <v>193</v>
      </c>
      <c r="K66" s="106">
        <f>-$I$6*(Sheet1!CD66-Sheet1!CD65)*7.48/1000000</f>
        <v>0.10794905056816222</v>
      </c>
      <c r="L66" s="107" t="s">
        <v>193</v>
      </c>
      <c r="M66" s="106">
        <f>-$M$6*(Sheet1!CE66-Sheet1!CE65)*7.48/1000000</f>
        <v>3.9979922246750753E-2</v>
      </c>
      <c r="N66" s="106">
        <f>-$N$6*(Sheet1!CF66-Sheet1!CF65)*7.48/1000000</f>
        <v>-9.3078518091936069E-2</v>
      </c>
      <c r="O66" s="106">
        <f t="shared" si="15"/>
        <v>-0.828863065370401</v>
      </c>
      <c r="P66" s="106">
        <f>O66+Calculation!EI66</f>
        <v>-1.639363065370401</v>
      </c>
      <c r="Q66" s="101" t="str">
        <f>IF(Sheet1!BQ66&gt;21.75,"spill elevation","-")</f>
        <v>-</v>
      </c>
      <c r="R66" s="101" t="str">
        <f>IF(Sheet1!BR66&gt;21.75,"spill elevation","-")</f>
        <v>-</v>
      </c>
      <c r="S66" s="101" t="str">
        <f>IF(Sheet1!BS66&gt;21.75,"spill elevation","-")</f>
        <v>-</v>
      </c>
      <c r="T66" s="105">
        <f>IF(Sheet1!DQ66=1,Sheet1!AA66-(SUM(AT66:BA66)+BE66),Sheet1!AA66-SUM(AT66:BA66))</f>
        <v>28.46476799999709</v>
      </c>
      <c r="U66" s="105">
        <f>Sheet1!BU66</f>
        <v>24.2</v>
      </c>
      <c r="V66" s="105">
        <f t="shared" si="16"/>
        <v>4.2647679999970904</v>
      </c>
      <c r="W66" s="105">
        <f t="shared" si="17"/>
        <v>0</v>
      </c>
      <c r="X66" s="101">
        <f>IF((Sheet1!EX66-Sheet1!EX65)&lt;0,(Sheet1!EX66+100000-Sheet1!EX65)/1000,(Sheet1!EX66-Sheet1!EX65)/1000)</f>
        <v>0.85099999999999998</v>
      </c>
      <c r="Y66" s="106">
        <f>Calculation!DZ67+Calculation!EI66+'Calculations II'!O66-'Calculations II'!W66</f>
        <v>56.66063693463979</v>
      </c>
      <c r="Z66" s="106">
        <f>Y66-Sheet1!CP67</f>
        <v>40.810636934639788</v>
      </c>
      <c r="AA66" s="106">
        <f>Y66+Calculation!CZ67+Calculation!AI67</f>
        <v>67.225983195028988</v>
      </c>
      <c r="AC66" s="106">
        <f>Sheet1!AA66+Sheet1!AB66+BC66</f>
        <v>57.839999999996508</v>
      </c>
      <c r="AD66" s="106">
        <f>Sheet1!AA66+Sheet1!BN66+'Calculations II'!BC66-Calculation!AI66-Calculation!CZ66</f>
        <v>38.465218012863616</v>
      </c>
      <c r="AE66" s="106">
        <f>Sheet1!AA66+Sheet1!AB66+'Calculations II'!BC66-Calculation!AI66-Calculation!CZ66</f>
        <v>48.205218012863043</v>
      </c>
      <c r="AF66" s="106">
        <f>Sheet1!AA66+Sheet1!BN66+P66+'Calculations II'!BC66+Calculation!AI66+Calculation!CZ66</f>
        <v>56.095418921760157</v>
      </c>
      <c r="AG66" s="106">
        <f>Sheet1!AA66+Sheet1!BN66+'Calculations II'!BC66+'Calculations II'!P66-Sheet1!CP66-BP66</f>
        <v>30.110636934626683</v>
      </c>
      <c r="AH66" s="106">
        <f>Sheet1!AA66+Sheet1!BN66+'Calculations II'!BC66+'Calculations II'!P66-BP66</f>
        <v>46.460636934626685</v>
      </c>
      <c r="AI66" s="106">
        <f>BC66+Sheet1!AA66+Calculation!EI66+O66+W66+Sheet1!BN66+Calculation!AI66+Calculation!CZ66-BP66</f>
        <v>56.095418921760157</v>
      </c>
      <c r="AJ66" s="106"/>
      <c r="AM66" s="102">
        <f t="shared" si="18"/>
        <v>40595</v>
      </c>
      <c r="AN66" s="106"/>
      <c r="AO66" s="106"/>
      <c r="AR66" s="106"/>
      <c r="AT66" s="101">
        <f>Sheet1!AR66*GPMtoMGD</f>
        <v>0</v>
      </c>
      <c r="AU66" s="101">
        <f>Sheet1!AS66*GPMtoMGD</f>
        <v>5.2128000000000008E-2</v>
      </c>
      <c r="AV66" s="101">
        <f>Sheet1!AT66*GPMtoMGD</f>
        <v>0</v>
      </c>
      <c r="AW66" s="101">
        <f>Sheet1!AV66*GPMtoMGD</f>
        <v>0.58723200000000009</v>
      </c>
      <c r="AX66" s="101">
        <f>Sheet1!AW66*GPMtoMGD</f>
        <v>0.59587200000000007</v>
      </c>
      <c r="AY66" s="101">
        <f>Sheet1!AX66*GPMtoMGD</f>
        <v>0</v>
      </c>
      <c r="AZ66" s="101">
        <f>Sheet1!AY66*GPMtoMGD</f>
        <v>0</v>
      </c>
      <c r="BA66" s="101">
        <f>Sheet1!AZ66*GPMtoMGD</f>
        <v>0</v>
      </c>
      <c r="BB66" s="101">
        <f>Sheet1!BP66*GPMtoMGD</f>
        <v>7.3440000000000005E-2</v>
      </c>
      <c r="BC66" s="101">
        <f>Sheet1!CO66*GPMtoMGD</f>
        <v>0</v>
      </c>
      <c r="BD66" s="101">
        <f>Sheet1!BO66*GPMtoMGD</f>
        <v>1.641024</v>
      </c>
      <c r="BE66" s="101">
        <f>Sheet1!BV66*GPMtoMGD</f>
        <v>0.97689599999999999</v>
      </c>
      <c r="BF66" s="101">
        <f>Sheet1!CJ66*GPMtoMGD</f>
        <v>0.65332800000000002</v>
      </c>
      <c r="BG66" s="101">
        <f>Sheet1!CK66*GPMtoMGD</f>
        <v>0.58838400000000002</v>
      </c>
      <c r="BH66" s="101">
        <f>Sheet1!CL66*GPMtoMGD</f>
        <v>0.67910400000000004</v>
      </c>
      <c r="BI66" s="101">
        <f t="shared" si="19"/>
        <v>1.714464</v>
      </c>
      <c r="BK66" s="106">
        <f>SUM(AT66:BA66,BE66,Sheet1!BU66,'Calculations II'!BC66,Calculation!AG66)</f>
        <v>44.917346012865949</v>
      </c>
      <c r="BM66" s="439">
        <f>IF(AND(Sheet1!BQ66&lt;=11.5,Sheet1!BQ65&gt;Sheet1!BQ66),(MIN(Lookup!$C$119,VLOOKUP(Sheet1!BQ65,Lookup!$B$4:$J$236,2))-VLOOKUP(Sheet1!BQ66,Lookup!$B$4:$J$236,2))/1000000,0)</f>
        <v>0</v>
      </c>
      <c r="BN66" s="439">
        <f>IF(AND(Sheet1!BR66&lt;=11.5,Sheet1!BR65&gt;Sheet1!BR66),(MIN(Lookup!$D$119,VLOOKUP(Sheet1!BR65,Lookup!$B$4:$J$236,3))-VLOOKUP(Sheet1!BR66,Lookup!$B$4:$J$236,3))/1000000,0)</f>
        <v>0</v>
      </c>
      <c r="BP66" s="105">
        <f>SUM(BM66:BN66,W66,Sheet1!DT66)</f>
        <v>0</v>
      </c>
    </row>
    <row r="67" spans="1:68" s="101" customFormat="1">
      <c r="A67" s="101" t="s">
        <v>4</v>
      </c>
      <c r="B67" s="103">
        <v>40596</v>
      </c>
      <c r="C67" s="104">
        <v>0.33333333333357601</v>
      </c>
      <c r="E67" s="30"/>
      <c r="F67" s="30">
        <f>-(VLOOKUP(Sheet1!BZ67,Lookup!$I$4:$J$216,2)-VLOOKUP(Sheet1!BZ66,Lookup!$I$4:$J$216,2))/1000000</f>
        <v>-0.20727387709559872</v>
      </c>
      <c r="G67" s="106">
        <f>-$G$6*(Sheet1!CB67-Sheet1!CB66)*7.48/1000000</f>
        <v>0.27799450736791476</v>
      </c>
      <c r="H67" s="106">
        <f>-$H$6*(Sheet1!CA67-Sheet1!CA66)*7.48/1000000</f>
        <v>0.15039432351265059</v>
      </c>
      <c r="I67" s="106">
        <f>-$I$6*(Sheet1!CC67-Sheet1!CC66)*7.48/1000000</f>
        <v>-0.28786413484843265</v>
      </c>
      <c r="J67" s="107" t="s">
        <v>193</v>
      </c>
      <c r="K67" s="106">
        <f>-$I$6*(Sheet1!CD67-Sheet1!CD66)*7.48/1000000</f>
        <v>-0.26087687220639211</v>
      </c>
      <c r="L67" s="107" t="s">
        <v>193</v>
      </c>
      <c r="M67" s="106">
        <f>-$M$6*(Sheet1!CE67-Sheet1!CE66)*7.48/1000000</f>
        <v>-0.12460409100237292</v>
      </c>
      <c r="N67" s="106">
        <f>-$N$6*(Sheet1!CF67-Sheet1!CF66)*7.48/1000000</f>
        <v>-8.6873283552473798E-2</v>
      </c>
      <c r="O67" s="106">
        <f t="shared" si="15"/>
        <v>-0.53910342782470488</v>
      </c>
      <c r="P67" s="106">
        <f>O67+Calculation!EI67</f>
        <v>-2.4311034278247048</v>
      </c>
      <c r="Q67" s="101" t="str">
        <f>IF(Sheet1!BQ67&gt;21.75,"spill elevation","-")</f>
        <v>-</v>
      </c>
      <c r="R67" s="101" t="str">
        <f>IF(Sheet1!BR67&gt;21.75,"spill elevation","-")</f>
        <v>-</v>
      </c>
      <c r="S67" s="101" t="str">
        <f>IF(Sheet1!BS67&gt;21.75,"spill elevation","-")</f>
        <v>-</v>
      </c>
      <c r="T67" s="105">
        <f>IF(Sheet1!DQ67=1,Sheet1!AA67-(SUM(AT67:BA67)+BE67),Sheet1!AA67-SUM(AT67:BA67))</f>
        <v>28.782912000006402</v>
      </c>
      <c r="U67" s="105">
        <f>Sheet1!BU67</f>
        <v>23.2</v>
      </c>
      <c r="V67" s="105">
        <f t="shared" si="16"/>
        <v>5.5829120000064023</v>
      </c>
      <c r="W67" s="105">
        <f t="shared" si="17"/>
        <v>0</v>
      </c>
      <c r="X67" s="101">
        <f>IF((Sheet1!EX67-Sheet1!EX66)&lt;0,(Sheet1!EX67+100000-Sheet1!EX66)/1000,(Sheet1!EX67-Sheet1!EX66)/1000)</f>
        <v>0.85</v>
      </c>
      <c r="Y67" s="106">
        <f>Calculation!DZ68+Calculation!EI67+'Calculations II'!O67-'Calculations II'!W67</f>
        <v>49.878896572165687</v>
      </c>
      <c r="Z67" s="106">
        <f>Y67-Sheet1!CP68</f>
        <v>32.588896572165687</v>
      </c>
      <c r="AA67" s="106">
        <f>Y67+Calculation!CZ68+Calculation!AI68</f>
        <v>57.021161860708148</v>
      </c>
      <c r="AC67" s="106">
        <f>Sheet1!AA67+Sheet1!AB67+BC67</f>
        <v>58.300000000010186</v>
      </c>
      <c r="AD67" s="106">
        <f>Sheet1!AA67+Sheet1!BN67+'Calculations II'!BC67-Calculation!AI67-Calculation!CZ67</f>
        <v>37.194653739617202</v>
      </c>
      <c r="AE67" s="106">
        <f>Sheet1!AA67+Sheet1!AB67+'Calculations II'!BC67-Calculation!AI67-Calculation!CZ67</f>
        <v>47.734653739620988</v>
      </c>
      <c r="AF67" s="106">
        <f>Sheet1!AA67+Sheet1!BN67+P67+'Calculations II'!BC67+Calculation!AI67+Calculation!CZ67</f>
        <v>55.894242832570896</v>
      </c>
      <c r="AG67" s="106">
        <f>Sheet1!AA67+Sheet1!BN67+'Calculations II'!BC67+'Calculations II'!P67-Sheet1!CP67-BP67</f>
        <v>29.478896572181696</v>
      </c>
      <c r="AH67" s="106">
        <f>Sheet1!AA67+Sheet1!BN67+'Calculations II'!BC67+'Calculations II'!P67-BP67</f>
        <v>45.328896572181698</v>
      </c>
      <c r="AI67" s="106">
        <f>BC67+Sheet1!AA67+Calculation!EI67+O67+W67+Sheet1!BN67+Calculation!AI67+Calculation!CZ67-BP67</f>
        <v>55.894242832570896</v>
      </c>
      <c r="AJ67" s="106"/>
      <c r="AM67" s="102">
        <f t="shared" si="18"/>
        <v>40596</v>
      </c>
      <c r="AN67" s="106"/>
      <c r="AO67" s="106"/>
      <c r="AR67" s="106"/>
      <c r="AT67" s="101">
        <f>Sheet1!AR67*GPMtoMGD</f>
        <v>0</v>
      </c>
      <c r="AU67" s="101">
        <f>Sheet1!AS67*GPMtoMGD</f>
        <v>2.6495999999999999E-2</v>
      </c>
      <c r="AV67" s="101">
        <f>Sheet1!AT67*GPMtoMGD</f>
        <v>0</v>
      </c>
      <c r="AW67" s="101">
        <f>Sheet1!AV67*GPMtoMGD</f>
        <v>0.332928</v>
      </c>
      <c r="AX67" s="101">
        <f>Sheet1!AW67*GPMtoMGD</f>
        <v>0.317664</v>
      </c>
      <c r="AY67" s="101">
        <f>Sheet1!AX67*GPMtoMGD</f>
        <v>0</v>
      </c>
      <c r="AZ67" s="101">
        <f>Sheet1!AY67*GPMtoMGD</f>
        <v>0</v>
      </c>
      <c r="BA67" s="101">
        <f>Sheet1!AZ67*GPMtoMGD</f>
        <v>0</v>
      </c>
      <c r="BB67" s="101">
        <f>Sheet1!BP67*GPMtoMGD</f>
        <v>0</v>
      </c>
      <c r="BC67" s="101">
        <f>Sheet1!CO67*GPMtoMGD</f>
        <v>0</v>
      </c>
      <c r="BD67" s="101">
        <f>Sheet1!BO67*GPMtoMGD</f>
        <v>2.1889440000000002</v>
      </c>
      <c r="BE67" s="101">
        <f>Sheet1!BV67*GPMtoMGD</f>
        <v>0.94723199999999996</v>
      </c>
      <c r="BF67" s="101">
        <f>Sheet1!CJ67*GPMtoMGD</f>
        <v>0.58593600000000001</v>
      </c>
      <c r="BG67" s="101">
        <f>Sheet1!CK67*GPMtoMGD</f>
        <v>0.53568000000000005</v>
      </c>
      <c r="BH67" s="101">
        <f>Sheet1!CL67*GPMtoMGD</f>
        <v>0.70200000000000007</v>
      </c>
      <c r="BI67" s="101">
        <f t="shared" si="19"/>
        <v>2.1889440000000002</v>
      </c>
      <c r="BK67" s="106">
        <f>SUM(AT67:BA67,BE67,Sheet1!BU67,'Calculations II'!BC67,Calculation!AG67)</f>
        <v>43.098973739614586</v>
      </c>
      <c r="BM67" s="439">
        <f>IF(AND(Sheet1!BQ67&lt;=11.5,Sheet1!BQ66&gt;Sheet1!BQ67),(MIN(Lookup!$C$119,VLOOKUP(Sheet1!BQ66,Lookup!$B$4:$J$236,2))-VLOOKUP(Sheet1!BQ67,Lookup!$B$4:$J$236,2))/1000000,0)</f>
        <v>0</v>
      </c>
      <c r="BN67" s="439">
        <f>IF(AND(Sheet1!BR67&lt;=11.5,Sheet1!BR66&gt;Sheet1!BR67),(MIN(Lookup!$D$119,VLOOKUP(Sheet1!BR66,Lookup!$B$4:$J$236,3))-VLOOKUP(Sheet1!BR67,Lookup!$B$4:$J$236,3))/1000000,0)</f>
        <v>0</v>
      </c>
      <c r="BP67" s="105">
        <f>SUM(BM67:BN67,W67,Sheet1!DT67)</f>
        <v>0</v>
      </c>
    </row>
    <row r="68" spans="1:68" s="101" customFormat="1">
      <c r="A68" s="101" t="s">
        <v>5</v>
      </c>
      <c r="B68" s="103">
        <v>40597</v>
      </c>
      <c r="C68" s="104">
        <v>0.33333333333357601</v>
      </c>
      <c r="E68" s="30"/>
      <c r="F68" s="30">
        <f>-(VLOOKUP(Sheet1!BZ68,Lookup!$I$4:$J$216,2)-VLOOKUP(Sheet1!BZ67,Lookup!$I$4:$J$216,2))/1000000</f>
        <v>-0.31091081564340367</v>
      </c>
      <c r="G68" s="106">
        <f>-$G$6*(Sheet1!CB68-Sheet1!CB67)*7.48/1000000</f>
        <v>0.23828100631535562</v>
      </c>
      <c r="H68" s="106">
        <f>-$H$6*(Sheet1!CA68-Sheet1!CA67)*7.48/1000000</f>
        <v>0.15039432351265059</v>
      </c>
      <c r="I68" s="106">
        <f>-$I$6*(Sheet1!CC68-Sheet1!CC67)*7.48/1000000</f>
        <v>5.3974525284080956E-2</v>
      </c>
      <c r="J68" s="107" t="s">
        <v>193</v>
      </c>
      <c r="K68" s="106">
        <f>-$I$6*(Sheet1!CD68-Sheet1!CD67)*7.48/1000000</f>
        <v>4.4978771070067619E-2</v>
      </c>
      <c r="L68" s="107" t="s">
        <v>193</v>
      </c>
      <c r="M68" s="106">
        <f>-$M$6*(Sheet1!CE68-Sheet1!CE67)*7.48/1000000</f>
        <v>3.7980926134413139E-2</v>
      </c>
      <c r="N68" s="106">
        <f>-$N$6*(Sheet1!CF68-Sheet1!CF67)*7.48/1000000</f>
        <v>-6.8257579934085932E-2</v>
      </c>
      <c r="O68" s="106">
        <f t="shared" si="15"/>
        <v>0.14644115673907832</v>
      </c>
      <c r="P68" s="106">
        <f>O68+Calculation!EI68</f>
        <v>0.68644115673907835</v>
      </c>
      <c r="Q68" s="101" t="str">
        <f>IF(Sheet1!BQ68&gt;21.75,"spill elevation","-")</f>
        <v>-</v>
      </c>
      <c r="R68" s="101" t="str">
        <f>IF(Sheet1!BR68&gt;21.75,"spill elevation","-")</f>
        <v>-</v>
      </c>
      <c r="S68" s="101" t="str">
        <f>IF(Sheet1!BS68&gt;21.75,"spill elevation","-")</f>
        <v>-</v>
      </c>
      <c r="T68" s="105">
        <f>IF(Sheet1!DQ68=1,Sheet1!AA68-(SUM(AT68:BA68)+BE68),Sheet1!AA68-SUM(AT68:BA68))</f>
        <v>28.416239999996506</v>
      </c>
      <c r="U68" s="105">
        <f>Sheet1!BU68</f>
        <v>25.8</v>
      </c>
      <c r="V68" s="105">
        <f t="shared" si="16"/>
        <v>2.6162399999965054</v>
      </c>
      <c r="W68" s="105">
        <f t="shared" si="17"/>
        <v>0</v>
      </c>
      <c r="X68" s="101">
        <f>IF((Sheet1!EX68-Sheet1!EX67)&lt;0,(Sheet1!EX68+100000-Sheet1!EX67)/1000,(Sheet1!EX68-Sheet1!EX67)/1000)</f>
        <v>0.93700000000000006</v>
      </c>
      <c r="Y68" s="106">
        <f>Calculation!DZ69+Calculation!EI68+'Calculations II'!O68-'Calculations II'!W68</f>
        <v>52.146441156738206</v>
      </c>
      <c r="Z68" s="106">
        <f>Y68-Sheet1!CP69</f>
        <v>35.466441156738206</v>
      </c>
      <c r="AA68" s="106">
        <f>Y68+Calculation!CZ69+Calculation!AI69</f>
        <v>57.833189738969374</v>
      </c>
      <c r="AC68" s="106">
        <f>Sheet1!AA68+Sheet1!AB68+BC68</f>
        <v>52.309999999990396</v>
      </c>
      <c r="AD68" s="106">
        <f>Sheet1!AA68+Sheet1!BN68+'Calculations II'!BC68-Calculation!AI68-Calculation!CZ68</f>
        <v>38.197734711454046</v>
      </c>
      <c r="AE68" s="106">
        <f>Sheet1!AA68+Sheet1!AB68+'Calculations II'!BC68-Calculation!AI68-Calculation!CZ68</f>
        <v>45.167734711447935</v>
      </c>
      <c r="AF68" s="106">
        <f>Sheet1!AA68+Sheet1!BN68+P68+'Calculations II'!BC68+Calculation!AI68+Calculation!CZ68</f>
        <v>53.168706445278048</v>
      </c>
      <c r="AG68" s="106">
        <f>Sheet1!AA68+Sheet1!BN68+'Calculations II'!BC68+'Calculations II'!P68-Sheet1!CP68-BP68</f>
        <v>28.736441156735587</v>
      </c>
      <c r="AH68" s="106">
        <f>Sheet1!AA68+Sheet1!BN68+'Calculations II'!BC68+'Calculations II'!P68-BP68</f>
        <v>46.026441156735586</v>
      </c>
      <c r="AI68" s="106">
        <f>BC68+Sheet1!AA68+Calculation!EI68+O68+W68+Sheet1!BN68+Calculation!AI68+Calculation!CZ68-BP68</f>
        <v>53.168706445278048</v>
      </c>
      <c r="AJ68" s="106"/>
      <c r="AM68" s="102">
        <f t="shared" si="18"/>
        <v>40597</v>
      </c>
      <c r="AN68" s="106"/>
      <c r="AO68" s="106"/>
      <c r="AR68" s="106"/>
      <c r="AT68" s="101">
        <f>Sheet1!AR68*GPMtoMGD</f>
        <v>0</v>
      </c>
      <c r="AU68" s="101">
        <f>Sheet1!AS68*GPMtoMGD</f>
        <v>2.6208000000000002E-2</v>
      </c>
      <c r="AV68" s="101">
        <f>Sheet1!AT68*GPMtoMGD</f>
        <v>0</v>
      </c>
      <c r="AW68" s="101">
        <f>Sheet1!AV68*GPMtoMGD</f>
        <v>0.46929599999999999</v>
      </c>
      <c r="AX68" s="101">
        <f>Sheet1!AW68*GPMtoMGD</f>
        <v>0.42825599999999997</v>
      </c>
      <c r="AY68" s="101">
        <f>Sheet1!AX68*GPMtoMGD</f>
        <v>0</v>
      </c>
      <c r="AZ68" s="101">
        <f>Sheet1!AY68*GPMtoMGD</f>
        <v>0</v>
      </c>
      <c r="BA68" s="101">
        <f>Sheet1!AZ68*GPMtoMGD</f>
        <v>0</v>
      </c>
      <c r="BB68" s="101">
        <f>Sheet1!BP68*GPMtoMGD</f>
        <v>0</v>
      </c>
      <c r="BC68" s="101">
        <f>Sheet1!CO68*GPMtoMGD</f>
        <v>0</v>
      </c>
      <c r="BD68" s="101">
        <f>Sheet1!BO68*GPMtoMGD</f>
        <v>1.6799040000000001</v>
      </c>
      <c r="BE68" s="101">
        <f>Sheet1!BV68*GPMtoMGD</f>
        <v>0.6638400000000001</v>
      </c>
      <c r="BF68" s="101">
        <f>Sheet1!CJ68*GPMtoMGD</f>
        <v>0.47347200000000006</v>
      </c>
      <c r="BG68" s="101">
        <f>Sheet1!CK68*GPMtoMGD</f>
        <v>0.53179200000000004</v>
      </c>
      <c r="BH68" s="101">
        <f>Sheet1!CL68*GPMtoMGD</f>
        <v>0.70329600000000003</v>
      </c>
      <c r="BI68" s="101">
        <f t="shared" si="19"/>
        <v>1.6799040000000001</v>
      </c>
      <c r="BK68" s="106">
        <f>SUM(AT68:BA68,BE68,Sheet1!BU68,'Calculations II'!BC68,Calculation!AG68)</f>
        <v>43.215334711451433</v>
      </c>
      <c r="BM68" s="439">
        <f>IF(AND(Sheet1!BQ68&lt;=11.5,Sheet1!BQ67&gt;Sheet1!BQ68),(MIN(Lookup!$C$119,VLOOKUP(Sheet1!BQ67,Lookup!$B$4:$J$236,2))-VLOOKUP(Sheet1!BQ68,Lookup!$B$4:$J$236,2))/1000000,0)</f>
        <v>0</v>
      </c>
      <c r="BN68" s="439">
        <f>IF(AND(Sheet1!BR68&lt;=11.5,Sheet1!BR67&gt;Sheet1!BR68),(MIN(Lookup!$D$119,VLOOKUP(Sheet1!BR67,Lookup!$B$4:$J$236,3))-VLOOKUP(Sheet1!BR68,Lookup!$B$4:$J$236,3))/1000000,0)</f>
        <v>0</v>
      </c>
      <c r="BP68" s="105">
        <f>SUM(BM68:BN68,W68,Sheet1!DT68)</f>
        <v>0</v>
      </c>
    </row>
    <row r="69" spans="1:68" s="101" customFormat="1">
      <c r="A69" s="101" t="s">
        <v>6</v>
      </c>
      <c r="B69" s="103">
        <v>40598</v>
      </c>
      <c r="C69" s="104">
        <v>0.33333333333357601</v>
      </c>
      <c r="E69" s="30"/>
      <c r="F69" s="30">
        <f>-(VLOOKUP(Sheet1!BZ69,Lookup!$I$4:$J$216,2)-VLOOKUP(Sheet1!BZ68,Lookup!$I$4:$J$216,2))/1000000</f>
        <v>0.51818469273900236</v>
      </c>
      <c r="G69" s="106">
        <f>-$G$6*(Sheet1!CB69-Sheet1!CB68)*7.48/1000000</f>
        <v>0.3177080084204747</v>
      </c>
      <c r="H69" s="106">
        <f>-$H$6*(Sheet1!CA69-Sheet1!CA68)*7.48/1000000</f>
        <v>-6.0157729405060027E-2</v>
      </c>
      <c r="I69" s="106">
        <f>-$I$6*(Sheet1!CC69-Sheet1!CC68)*7.48/1000000</f>
        <v>0.19790659270829747</v>
      </c>
      <c r="J69" s="107" t="s">
        <v>193</v>
      </c>
      <c r="K69" s="106">
        <f>-$I$6*(Sheet1!CD69-Sheet1!CD68)*7.48/1000000</f>
        <v>0.19790659270829747</v>
      </c>
      <c r="L69" s="107" t="s">
        <v>193</v>
      </c>
      <c r="M69" s="106">
        <f>-$M$6*(Sheet1!CE69-Sheet1!CE68)*7.48/1000000</f>
        <v>7.3296524119042722E-2</v>
      </c>
      <c r="N69" s="106">
        <f>-$N$6*(Sheet1!CF69-Sheet1!CF68)*7.48/1000000</f>
        <v>6.8257579934085932E-2</v>
      </c>
      <c r="O69" s="106">
        <f t="shared" si="15"/>
        <v>1.3131022612241405</v>
      </c>
      <c r="P69" s="106">
        <f>O69+Calculation!EI69</f>
        <v>1.3131022612241405</v>
      </c>
      <c r="Q69" s="101" t="str">
        <f>IF(Sheet1!BQ69&gt;21.75,"spill elevation","-")</f>
        <v>-</v>
      </c>
      <c r="R69" s="101" t="str">
        <f>IF(Sheet1!BR69&gt;21.75,"spill elevation","-")</f>
        <v>-</v>
      </c>
      <c r="S69" s="101" t="str">
        <f>IF(Sheet1!BS69&gt;21.75,"spill elevation","-")</f>
        <v>-</v>
      </c>
      <c r="T69" s="105">
        <f>IF(Sheet1!DQ69=1,Sheet1!AA69-(SUM(AT69:BA69)+BE69),Sheet1!AA69-SUM(AT69:BA69))</f>
        <v>29.020783999997089</v>
      </c>
      <c r="U69" s="105">
        <f>Sheet1!BU69</f>
        <v>25.2</v>
      </c>
      <c r="V69" s="105">
        <f t="shared" si="16"/>
        <v>3.8207839999970901</v>
      </c>
      <c r="W69" s="105">
        <f t="shared" si="17"/>
        <v>0</v>
      </c>
      <c r="X69" s="101">
        <f>IF((Sheet1!EX69-Sheet1!EX68)&lt;0,(Sheet1!EX69+100000-Sheet1!EX68)/1000,(Sheet1!EX69-Sheet1!EX68)/1000)</f>
        <v>0.80700000000000005</v>
      </c>
      <c r="Y69" s="106">
        <f>Calculation!DZ70+Calculation!EI69+'Calculations II'!O69-'Calculations II'!W69</f>
        <v>55.413102261237235</v>
      </c>
      <c r="Z69" s="106">
        <f>Y69-Sheet1!CP70</f>
        <v>37.953102261237234</v>
      </c>
      <c r="AA69" s="106">
        <f>Y69+Calculation!CZ70+Calculation!AI70</f>
        <v>64.022911072543863</v>
      </c>
      <c r="AC69" s="106">
        <f>Sheet1!AA69+Sheet1!AB69+BC69</f>
        <v>51.459999999999127</v>
      </c>
      <c r="AD69" s="106">
        <f>Sheet1!AA69+Sheet1!BN69+'Calculations II'!BC69-Calculation!AI69-Calculation!CZ69</f>
        <v>40.013251417765922</v>
      </c>
      <c r="AE69" s="106">
        <f>Sheet1!AA69+Sheet1!AB69+'Calculations II'!BC69-Calculation!AI69-Calculation!CZ69</f>
        <v>45.773251417767959</v>
      </c>
      <c r="AF69" s="106">
        <f>Sheet1!AA69+Sheet1!BN69+P69+'Calculations II'!BC69+Calculation!AI69+Calculation!CZ69</f>
        <v>52.699850843452396</v>
      </c>
      <c r="AG69" s="106">
        <f>Sheet1!AA69+Sheet1!BN69+'Calculations II'!BC69+'Calculations II'!P69-Sheet1!CP69-BP69</f>
        <v>30.333102261221228</v>
      </c>
      <c r="AH69" s="106">
        <f>Sheet1!AA69+Sheet1!BN69+'Calculations II'!BC69+'Calculations II'!P69-BP69</f>
        <v>47.013102261221228</v>
      </c>
      <c r="AI69" s="106">
        <f>BC69+Sheet1!AA69+Calculation!EI69+O69+W69+Sheet1!BN69+Calculation!AI69+Calculation!CZ69-BP69</f>
        <v>52.699850843452403</v>
      </c>
      <c r="AJ69" s="106"/>
      <c r="AM69" s="102">
        <f t="shared" si="18"/>
        <v>40598</v>
      </c>
      <c r="AN69" s="106"/>
      <c r="AO69" s="106"/>
      <c r="AR69" s="106"/>
      <c r="AT69" s="101">
        <f>Sheet1!AR69*GPMtoMGD</f>
        <v>0</v>
      </c>
      <c r="AU69" s="101">
        <f>Sheet1!AS69*GPMtoMGD</f>
        <v>5.2560000000000003E-2</v>
      </c>
      <c r="AV69" s="101">
        <f>Sheet1!AT69*GPMtoMGD</f>
        <v>0</v>
      </c>
      <c r="AW69" s="101">
        <f>Sheet1!AV69*GPMtoMGD</f>
        <v>0.59400000000000008</v>
      </c>
      <c r="AX69" s="101">
        <f>Sheet1!AW69*GPMtoMGD</f>
        <v>0.53265600000000002</v>
      </c>
      <c r="AY69" s="101">
        <f>Sheet1!AX69*GPMtoMGD</f>
        <v>0</v>
      </c>
      <c r="AZ69" s="101">
        <f>Sheet1!AY69*GPMtoMGD</f>
        <v>0</v>
      </c>
      <c r="BA69" s="101">
        <f>Sheet1!AZ69*GPMtoMGD</f>
        <v>0</v>
      </c>
      <c r="BB69" s="101">
        <f>Sheet1!BP69*GPMtoMGD</f>
        <v>0</v>
      </c>
      <c r="BC69" s="101">
        <f>Sheet1!CO69*GPMtoMGD</f>
        <v>0</v>
      </c>
      <c r="BD69" s="101">
        <f>Sheet1!BO69*GPMtoMGD</f>
        <v>1.465776</v>
      </c>
      <c r="BE69" s="101">
        <f>Sheet1!BV69*GPMtoMGD</f>
        <v>0.93787200000000004</v>
      </c>
      <c r="BF69" s="101">
        <f>Sheet1!CJ69*GPMtoMGD</f>
        <v>0.486288</v>
      </c>
      <c r="BG69" s="101">
        <f>Sheet1!CK69*GPMtoMGD</f>
        <v>0.54576000000000002</v>
      </c>
      <c r="BH69" s="101">
        <f>Sheet1!CL69*GPMtoMGD</f>
        <v>0.67406400000000011</v>
      </c>
      <c r="BI69" s="101">
        <f t="shared" si="19"/>
        <v>1.465776</v>
      </c>
      <c r="BK69" s="106">
        <f>SUM(AT69:BA69,BE69,Sheet1!BU69,'Calculations II'!BC69,Calculation!AG69)</f>
        <v>42.890339417770868</v>
      </c>
      <c r="BM69" s="439">
        <f>IF(AND(Sheet1!BQ69&lt;=11.5,Sheet1!BQ68&gt;Sheet1!BQ69),(MIN(Lookup!$C$119,VLOOKUP(Sheet1!BQ68,Lookup!$B$4:$J$236,2))-VLOOKUP(Sheet1!BQ69,Lookup!$B$4:$J$236,2))/1000000,0)</f>
        <v>0</v>
      </c>
      <c r="BN69" s="439">
        <f>IF(AND(Sheet1!BR69&lt;=11.5,Sheet1!BR68&gt;Sheet1!BR69),(MIN(Lookup!$D$119,VLOOKUP(Sheet1!BR68,Lookup!$B$4:$J$236,3))-VLOOKUP(Sheet1!BR69,Lookup!$B$4:$J$236,3))/1000000,0)</f>
        <v>0</v>
      </c>
      <c r="BP69" s="105">
        <f>SUM(BM69:BN69,W69,Sheet1!DT69)</f>
        <v>0</v>
      </c>
    </row>
    <row r="70" spans="1:68" s="101" customFormat="1">
      <c r="A70" s="101" t="s">
        <v>7</v>
      </c>
      <c r="B70" s="103">
        <v>40599</v>
      </c>
      <c r="C70" s="104">
        <v>0.33333333333357601</v>
      </c>
      <c r="E70" s="30"/>
      <c r="F70" s="30">
        <f>-(VLOOKUP(Sheet1!BZ70,Lookup!$I$4:$J$216,2)-VLOOKUP(Sheet1!BZ69,Lookup!$I$4:$J$216,2))/1000000</f>
        <v>-0.31091081564340367</v>
      </c>
      <c r="G70" s="106">
        <f>-$G$6*(Sheet1!CB70-Sheet1!CB69)*7.48/1000000</f>
        <v>0.27799450736791476</v>
      </c>
      <c r="H70" s="106">
        <f>-$H$6*(Sheet1!CA70-Sheet1!CA69)*7.48/1000000</f>
        <v>-0.66173502345566237</v>
      </c>
      <c r="I70" s="106">
        <f>-$I$6*(Sheet1!CC70-Sheet1!CC69)*7.48/1000000</f>
        <v>1.7991508428027301E-2</v>
      </c>
      <c r="J70" s="107" t="s">
        <v>193</v>
      </c>
      <c r="K70" s="106">
        <f>-$I$6*(Sheet1!CD70-Sheet1!CD69)*7.48/1000000</f>
        <v>1.7991508428026985E-2</v>
      </c>
      <c r="L70" s="107" t="s">
        <v>193</v>
      </c>
      <c r="M70" s="106">
        <f>-$M$6*(Sheet1!CE70-Sheet1!CE69)*7.48/1000000</f>
        <v>-6.6633203744583007E-3</v>
      </c>
      <c r="N70" s="106">
        <f>-$N$6*(Sheet1!CF70-Sheet1!CF69)*7.48/1000000</f>
        <v>-6.2052345394622583E-3</v>
      </c>
      <c r="O70" s="106">
        <f t="shared" si="15"/>
        <v>-0.67153686978901761</v>
      </c>
      <c r="P70" s="106">
        <f>O70+Calculation!EI70</f>
        <v>2.5719631302109827</v>
      </c>
      <c r="Q70" s="101" t="str">
        <f>IF(Sheet1!BQ70&gt;21.75,"spill elevation","-")</f>
        <v>-</v>
      </c>
      <c r="R70" s="101" t="str">
        <f>IF(Sheet1!BR70&gt;21.75,"spill elevation","-")</f>
        <v>-</v>
      </c>
      <c r="S70" s="101" t="str">
        <f>IF(Sheet1!BS70&gt;21.75,"spill elevation","-")</f>
        <v>-</v>
      </c>
      <c r="T70" s="105">
        <f>IF(Sheet1!DQ70=1,Sheet1!AA70-(SUM(AT70:BA70)+BE70),Sheet1!AA70-SUM(AT70:BA70))</f>
        <v>28.87889600000873</v>
      </c>
      <c r="U70" s="105">
        <f>Sheet1!BU70</f>
        <v>27.5</v>
      </c>
      <c r="V70" s="105">
        <f t="shared" si="16"/>
        <v>1.37889600000873</v>
      </c>
      <c r="W70" s="105">
        <f t="shared" si="17"/>
        <v>0</v>
      </c>
      <c r="X70" s="101">
        <f>IF((Sheet1!EX70-Sheet1!EX69)&lt;0,(Sheet1!EX70+100000-Sheet1!EX69)/1000,(Sheet1!EX70-Sheet1!EX69)/1000)</f>
        <v>0.80800000000000005</v>
      </c>
      <c r="Y70" s="106">
        <f>Calculation!DZ71+Calculation!EI70+'Calculations II'!O70-'Calculations II'!W70</f>
        <v>53.471963130210987</v>
      </c>
      <c r="Z70" s="106">
        <f>Y70-Sheet1!CP71</f>
        <v>35.651963130210987</v>
      </c>
      <c r="AA70" s="106">
        <f>Y70+Calculation!CZ71+Calculation!AI71</f>
        <v>59.027902655049004</v>
      </c>
      <c r="AC70" s="106">
        <f>Sheet1!AA70+Sheet1!AB70+BC70</f>
        <v>54.100000000013097</v>
      </c>
      <c r="AD70" s="106">
        <f>Sheet1!AA70+Sheet1!BN70+'Calculations II'!BC70-Calculation!AI70-Calculation!CZ70</f>
        <v>36.79019118870211</v>
      </c>
      <c r="AE70" s="106">
        <f>Sheet1!AA70+Sheet1!AB70+'Calculations II'!BC70-Calculation!AI70-Calculation!CZ70</f>
        <v>45.490191188706476</v>
      </c>
      <c r="AF70" s="106">
        <f>Sheet1!AA70+Sheet1!BN70+P70+'Calculations II'!BC70+Calculation!AI70+Calculation!CZ70</f>
        <v>56.581771941526334</v>
      </c>
      <c r="AG70" s="106">
        <f>Sheet1!AA70+Sheet1!BN70+'Calculations II'!BC70+'Calculations II'!P70-Sheet1!CP70-BP70</f>
        <v>30.511963130219712</v>
      </c>
      <c r="AH70" s="106">
        <f>Sheet1!AA70+Sheet1!BN70+'Calculations II'!BC70+'Calculations II'!P70-BP70</f>
        <v>47.971963130219713</v>
      </c>
      <c r="AI70" s="106">
        <f>BC70+Sheet1!AA70+Calculation!EI70+O70+W70+Sheet1!BN70+Calculation!AI70+Calculation!CZ70-BP70</f>
        <v>56.581771941526334</v>
      </c>
      <c r="AJ70" s="106"/>
      <c r="AM70" s="102">
        <f t="shared" si="18"/>
        <v>40599</v>
      </c>
      <c r="AN70" s="106"/>
      <c r="AO70" s="106"/>
      <c r="AR70" s="106"/>
      <c r="AT70" s="101">
        <f>Sheet1!AR70*GPMtoMGD</f>
        <v>0</v>
      </c>
      <c r="AU70" s="101">
        <f>Sheet1!AS70*GPMtoMGD</f>
        <v>4.1760000000000005E-2</v>
      </c>
      <c r="AV70" s="101">
        <f>Sheet1!AT70*GPMtoMGD</f>
        <v>0</v>
      </c>
      <c r="AW70" s="101">
        <f>Sheet1!AV70*GPMtoMGD</f>
        <v>0.53265600000000002</v>
      </c>
      <c r="AX70" s="101">
        <f>Sheet1!AW70*GPMtoMGD</f>
        <v>0.44668800000000003</v>
      </c>
      <c r="AY70" s="101">
        <f>Sheet1!AX70*GPMtoMGD</f>
        <v>0</v>
      </c>
      <c r="AZ70" s="101">
        <f>Sheet1!AY70*GPMtoMGD</f>
        <v>0</v>
      </c>
      <c r="BA70" s="101">
        <f>Sheet1!AZ70*GPMtoMGD</f>
        <v>0</v>
      </c>
      <c r="BB70" s="101">
        <f>Sheet1!BP70*GPMtoMGD</f>
        <v>0</v>
      </c>
      <c r="BC70" s="101">
        <f>Sheet1!CO70*GPMtoMGD</f>
        <v>0</v>
      </c>
      <c r="BD70" s="101">
        <f>Sheet1!BO70*GPMtoMGD</f>
        <v>1.7354880000000001</v>
      </c>
      <c r="BE70" s="101">
        <f>Sheet1!BV70*GPMtoMGD</f>
        <v>0.56750400000000012</v>
      </c>
      <c r="BF70" s="101">
        <f>Sheet1!CJ70*GPMtoMGD</f>
        <v>0.459648</v>
      </c>
      <c r="BG70" s="101">
        <f>Sheet1!CK70*GPMtoMGD</f>
        <v>0.54748799999999997</v>
      </c>
      <c r="BH70" s="101">
        <f>Sheet1!CL70*GPMtoMGD</f>
        <v>0.68270400000000009</v>
      </c>
      <c r="BI70" s="101">
        <f t="shared" si="19"/>
        <v>1.7354880000000001</v>
      </c>
      <c r="BK70" s="106">
        <f>SUM(AT70:BA70,BE70,Sheet1!BU70,'Calculations II'!BC70,Calculation!AG70)</f>
        <v>44.678799188697738</v>
      </c>
      <c r="BM70" s="439">
        <f>IF(AND(Sheet1!BQ70&lt;=11.5,Sheet1!BQ69&gt;Sheet1!BQ70),(MIN(Lookup!$C$119,VLOOKUP(Sheet1!BQ69,Lookup!$B$4:$J$236,2))-VLOOKUP(Sheet1!BQ70,Lookup!$B$4:$J$236,2))/1000000,0)</f>
        <v>0</v>
      </c>
      <c r="BN70" s="439">
        <f>IF(AND(Sheet1!BR70&lt;=11.5,Sheet1!BR69&gt;Sheet1!BR70),(MIN(Lookup!$D$119,VLOOKUP(Sheet1!BR69,Lookup!$B$4:$J$236,3))-VLOOKUP(Sheet1!BR70,Lookup!$B$4:$J$236,3))/1000000,0)</f>
        <v>0</v>
      </c>
      <c r="BP70" s="105">
        <f>SUM(BM70:BN70,W70,Sheet1!DT70)</f>
        <v>0</v>
      </c>
    </row>
    <row r="71" spans="1:68" s="101" customFormat="1">
      <c r="A71" s="101" t="s">
        <v>8</v>
      </c>
      <c r="B71" s="103">
        <v>40600</v>
      </c>
      <c r="C71" s="104">
        <v>0.33333333333357601</v>
      </c>
      <c r="E71" s="30"/>
      <c r="F71" s="30">
        <f>-(VLOOKUP(Sheet1!BZ71,Lookup!$I$4:$J$216,2)-VLOOKUP(Sheet1!BZ70,Lookup!$I$4:$J$216,2))/1000000</f>
        <v>0</v>
      </c>
      <c r="G71" s="106">
        <f>-$G$6*(Sheet1!CB71-Sheet1!CB70)*7.48/1000000</f>
        <v>-0.87369702315630426</v>
      </c>
      <c r="H71" s="106">
        <f>-$H$6*(Sheet1!CA71-Sheet1!CA70)*7.48/1000000</f>
        <v>0.46622240288921701</v>
      </c>
      <c r="I71" s="106">
        <f>-$I$6*(Sheet1!CC71-Sheet1!CC70)*7.48/1000000</f>
        <v>-0.25188111799237872</v>
      </c>
      <c r="J71" s="107" t="s">
        <v>193</v>
      </c>
      <c r="K71" s="106">
        <f>-$I$6*(Sheet1!CD71-Sheet1!CD70)*7.48/1000000</f>
        <v>-0.26987262642040577</v>
      </c>
      <c r="L71" s="107" t="s">
        <v>193</v>
      </c>
      <c r="M71" s="106">
        <f>-$M$6*(Sheet1!CE71-Sheet1!CE70)*7.48/1000000</f>
        <v>-7.995984449350127E-2</v>
      </c>
      <c r="N71" s="106">
        <f>-$N$6*(Sheet1!CF71-Sheet1!CF70)*7.48/1000000</f>
        <v>0</v>
      </c>
      <c r="O71" s="106">
        <f t="shared" si="15"/>
        <v>-1.009188209173373</v>
      </c>
      <c r="P71" s="106">
        <f>O71+Calculation!EI71</f>
        <v>3.0108117908266268</v>
      </c>
      <c r="Q71" s="101" t="str">
        <f>IF(Sheet1!BQ71&gt;21.75,"spill elevation","-")</f>
        <v>-</v>
      </c>
      <c r="R71" s="101" t="str">
        <f>IF(Sheet1!BR71&gt;21.75,"spill elevation","-")</f>
        <v>-</v>
      </c>
      <c r="S71" s="101" t="str">
        <f>IF(Sheet1!BS71&gt;21.75,"spill elevation","-")</f>
        <v>-</v>
      </c>
      <c r="T71" s="105">
        <f>IF(Sheet1!DQ71=1,Sheet1!AA71-(SUM(AT71:BA71)+BE71),Sheet1!AA71-SUM(AT71:BA71))</f>
        <v>26.002127999999999</v>
      </c>
      <c r="U71" s="105">
        <f>Sheet1!BU71</f>
        <v>26.6</v>
      </c>
      <c r="V71" s="105">
        <f t="shared" si="16"/>
        <v>-0.5978720000000024</v>
      </c>
      <c r="W71" s="105">
        <f t="shared" si="17"/>
        <v>0</v>
      </c>
      <c r="X71" s="101">
        <f>IF((Sheet1!EX71-Sheet1!EX70)&lt;0,(Sheet1!EX71+100000-Sheet1!EX70)/1000,(Sheet1!EX71-Sheet1!EX70)/1000)</f>
        <v>0.89300000000000002</v>
      </c>
      <c r="Y71" s="106">
        <f>Calculation!DZ72+Calculation!EI71+'Calculations II'!O71-'Calculations II'!W71</f>
        <v>46.210811790826625</v>
      </c>
      <c r="Z71" s="106">
        <f>Y71-Sheet1!CP72</f>
        <v>28.900811790826626</v>
      </c>
      <c r="AA71" s="106">
        <f>Y71+Calculation!CZ72+Calculation!AI72</f>
        <v>46.210811790826625</v>
      </c>
      <c r="AC71" s="106">
        <f>Sheet1!AA71+Sheet1!AB71+BC71</f>
        <v>50.900000000000006</v>
      </c>
      <c r="AD71" s="106">
        <f>Sheet1!AA71+Sheet1!BN71+'Calculations II'!BC71-Calculation!AI71-Calculation!CZ71</f>
        <v>39.44406047516199</v>
      </c>
      <c r="AE71" s="106">
        <f>Sheet1!AA71+Sheet1!AB71+'Calculations II'!BC71-Calculation!AI71-Calculation!CZ71</f>
        <v>45.344060475161996</v>
      </c>
      <c r="AF71" s="106">
        <f>Sheet1!AA71+Sheet1!BN71+P71+'Calculations II'!BC71+Calculation!AI71+Calculation!CZ71</f>
        <v>53.566751315664646</v>
      </c>
      <c r="AG71" s="106">
        <f>Sheet1!AA71+Sheet1!BN71+'Calculations II'!BC71+'Calculations II'!P71-Sheet1!CP71-BP71</f>
        <v>30.190811790826629</v>
      </c>
      <c r="AH71" s="106">
        <f>Sheet1!AA71+Sheet1!BN71+'Calculations II'!BC71+'Calculations II'!P71-BP71</f>
        <v>48.010811790826629</v>
      </c>
      <c r="AI71" s="106">
        <f>BC71+Sheet1!AA71+Calculation!EI71+O71+W71+Sheet1!BN71+Calculation!AI71+Calculation!CZ71-BP71</f>
        <v>53.566751315664632</v>
      </c>
      <c r="AJ71" s="106"/>
      <c r="AM71" s="102">
        <f t="shared" si="18"/>
        <v>40600</v>
      </c>
      <c r="AN71" s="106"/>
      <c r="AO71" s="106"/>
      <c r="AR71" s="106"/>
      <c r="AT71" s="101">
        <f>Sheet1!AR71*GPMtoMGD</f>
        <v>0</v>
      </c>
      <c r="AU71" s="101">
        <f>Sheet1!AS71*GPMtoMGD</f>
        <v>2.8368000000000001E-2</v>
      </c>
      <c r="AV71" s="101">
        <f>Sheet1!AT71*GPMtoMGD</f>
        <v>0</v>
      </c>
      <c r="AW71" s="101">
        <f>Sheet1!AV71*GPMtoMGD</f>
        <v>0.66484799999999999</v>
      </c>
      <c r="AX71" s="101">
        <f>Sheet1!AW71*GPMtoMGD</f>
        <v>0.60465599999999997</v>
      </c>
      <c r="AY71" s="101">
        <f>Sheet1!AX71*GPMtoMGD</f>
        <v>0</v>
      </c>
      <c r="AZ71" s="101">
        <f>Sheet1!AY71*GPMtoMGD</f>
        <v>0</v>
      </c>
      <c r="BA71" s="101">
        <f>Sheet1!AZ71*GPMtoMGD</f>
        <v>0</v>
      </c>
      <c r="BB71" s="101">
        <f>Sheet1!BP71*GPMtoMGD</f>
        <v>0</v>
      </c>
      <c r="BC71" s="101">
        <f>Sheet1!CO71*GPMtoMGD</f>
        <v>0</v>
      </c>
      <c r="BD71" s="101">
        <f>Sheet1!BO71*GPMtoMGD</f>
        <v>2.28816</v>
      </c>
      <c r="BE71" s="101">
        <f>Sheet1!BV71*GPMtoMGD</f>
        <v>0.68241600000000002</v>
      </c>
      <c r="BF71" s="101">
        <f>Sheet1!CJ71*GPMtoMGD</f>
        <v>0.56174400000000002</v>
      </c>
      <c r="BG71" s="101">
        <f>Sheet1!CK71*GPMtoMGD</f>
        <v>0.59414400000000012</v>
      </c>
      <c r="BH71" s="101">
        <f>Sheet1!CL71*GPMtoMGD</f>
        <v>0.66571200000000008</v>
      </c>
      <c r="BI71" s="101">
        <f t="shared" si="19"/>
        <v>2.28816</v>
      </c>
      <c r="BK71" s="106">
        <f>SUM(AT71:BA71,BE71,Sheet1!BU71,'Calculations II'!BC71,Calculation!AG71)</f>
        <v>46.624348475161995</v>
      </c>
      <c r="BM71" s="439">
        <f>IF(AND(Sheet1!BQ71&lt;=11.5,Sheet1!BQ70&gt;Sheet1!BQ71),(MIN(Lookup!$C$119,VLOOKUP(Sheet1!BQ70,Lookup!$B$4:$J$236,2))-VLOOKUP(Sheet1!BQ71,Lookup!$B$4:$J$236,2))/1000000,0)</f>
        <v>0</v>
      </c>
      <c r="BN71" s="439">
        <f>IF(AND(Sheet1!BR71&lt;=11.5,Sheet1!BR70&gt;Sheet1!BR71),(MIN(Lookup!$D$119,VLOOKUP(Sheet1!BR70,Lookup!$B$4:$J$236,3))-VLOOKUP(Sheet1!BR71,Lookup!$B$4:$J$236,3))/1000000,0)</f>
        <v>0</v>
      </c>
      <c r="BP71" s="105">
        <f>SUM(BM71:BN71,W71,Sheet1!DT71)</f>
        <v>0</v>
      </c>
    </row>
    <row r="72" spans="1:68" s="101" customFormat="1">
      <c r="A72" s="101" t="s">
        <v>9</v>
      </c>
      <c r="B72" s="103">
        <v>40601</v>
      </c>
      <c r="C72" s="104">
        <v>0.33333333333357601</v>
      </c>
      <c r="E72" s="30"/>
      <c r="F72" s="30">
        <f>-(VLOOKUP(Sheet1!BZ72,Lookup!$I$4:$J$216,2)-VLOOKUP(Sheet1!BZ71,Lookup!$I$4:$J$216,2))/1000000</f>
        <v>0.20727387709560433</v>
      </c>
      <c r="G72" s="106">
        <f>-$G$6*(Sheet1!CB72-Sheet1!CB71)*7.48/1000000</f>
        <v>0.3574215094730338</v>
      </c>
      <c r="H72" s="106">
        <f>-$H$6*(Sheet1!CA72-Sheet1!CA71)*7.48/1000000</f>
        <v>-0.25567034997150645</v>
      </c>
      <c r="I72" s="106">
        <f>-$I$6*(Sheet1!CC72-Sheet1!CC71)*7.48/1000000</f>
        <v>0.23748791124995708</v>
      </c>
      <c r="J72" s="107" t="s">
        <v>193</v>
      </c>
      <c r="K72" s="106">
        <f>-$I$6*(Sheet1!CD72-Sheet1!CD71)*7.48/1000000</f>
        <v>0.25188111799237872</v>
      </c>
      <c r="L72" s="107" t="s">
        <v>193</v>
      </c>
      <c r="M72" s="106">
        <f>-$M$6*(Sheet1!CE72-Sheet1!CE71)*7.48/1000000</f>
        <v>8.6623164867959568E-2</v>
      </c>
      <c r="N72" s="106">
        <f>-$N$6*(Sheet1!CF72-Sheet1!CF71)*7.48/1000000</f>
        <v>0</v>
      </c>
      <c r="O72" s="106">
        <f t="shared" si="15"/>
        <v>0.8850172307074271</v>
      </c>
      <c r="P72" s="106">
        <f>O72+Calculation!EI72</f>
        <v>5.3978172307074272</v>
      </c>
      <c r="Q72" s="101" t="str">
        <f>IF(Sheet1!BQ72&gt;21.75,"spill elevation","-")</f>
        <v>-</v>
      </c>
      <c r="R72" s="101" t="str">
        <f>IF(Sheet1!BR72&gt;21.75,"spill elevation","-")</f>
        <v>-</v>
      </c>
      <c r="S72" s="101" t="str">
        <f>IF(Sheet1!BS72&gt;21.75,"spill elevation","-")</f>
        <v>-</v>
      </c>
      <c r="T72" s="105">
        <f>IF(Sheet1!DQ72=1,Sheet1!AA72-(SUM(AT72:BA72)+BE72),Sheet1!AA72-SUM(AT72:BA72))</f>
        <v>20.614768000000002</v>
      </c>
      <c r="U72" s="105">
        <f>Sheet1!BU72</f>
        <v>21.5</v>
      </c>
      <c r="V72" s="105">
        <f t="shared" si="16"/>
        <v>-0.88523199999999846</v>
      </c>
      <c r="W72" s="105">
        <f t="shared" si="17"/>
        <v>0</v>
      </c>
      <c r="X72" s="101">
        <f>IF((Sheet1!EX72-Sheet1!EX71)&lt;0,(Sheet1!EX72+100000-Sheet1!EX71)/1000,(Sheet1!EX72-Sheet1!EX71)/1000)</f>
        <v>0.76200000000000001</v>
      </c>
      <c r="Y72" s="106">
        <f>Calculation!DZ73+Calculation!EI72+'Calculations II'!O72-'Calculations II'!W72</f>
        <v>54.417817230711499</v>
      </c>
      <c r="Z72" s="106">
        <f>Y72-Sheet1!CP73</f>
        <v>38.037817230711497</v>
      </c>
      <c r="AA72" s="106">
        <f>Y72+Calculation!CZ73+Calculation!AI73</f>
        <v>54.417817230711499</v>
      </c>
      <c r="AC72" s="106">
        <f>Sheet1!AA72+Sheet1!AB72+BC72</f>
        <v>43.2</v>
      </c>
      <c r="AD72" s="106">
        <f>Sheet1!AA72+Sheet1!BN72+'Calculations II'!BC72-Calculation!AI72-Calculation!CZ72</f>
        <v>43.5</v>
      </c>
      <c r="AE72" s="106">
        <f>Sheet1!AA72+Sheet1!AB72+'Calculations II'!BC72-Calculation!AI72-Calculation!CZ72</f>
        <v>43.2</v>
      </c>
      <c r="AF72" s="106">
        <f>Sheet1!AA72+Sheet1!BN72+P72+'Calculations II'!BC72+Calculation!AI72+Calculation!CZ72</f>
        <v>48.897817230707425</v>
      </c>
      <c r="AG72" s="106">
        <f>Sheet1!AA72+Sheet1!BN72+'Calculations II'!BC72+'Calculations II'!P72-Sheet1!CP72-BP72</f>
        <v>31.587817230707426</v>
      </c>
      <c r="AH72" s="106">
        <f>Sheet1!AA72+Sheet1!BN72+'Calculations II'!BC72+'Calculations II'!P72-BP72</f>
        <v>48.897817230707425</v>
      </c>
      <c r="AI72" s="106">
        <f>BC72+Sheet1!AA72+Calculation!EI72+O72+W72+Sheet1!BN72+Calculation!AI72+Calculation!CZ72-BP72</f>
        <v>48.897817230707432</v>
      </c>
      <c r="AJ72" s="106"/>
      <c r="AM72" s="102">
        <f t="shared" si="18"/>
        <v>40601</v>
      </c>
      <c r="AN72" s="106"/>
      <c r="AO72" s="106"/>
      <c r="AR72" s="106"/>
      <c r="AT72" s="101">
        <f>Sheet1!AR72*GPMtoMGD</f>
        <v>0</v>
      </c>
      <c r="AU72" s="101">
        <f>Sheet1!AS72*GPMtoMGD</f>
        <v>5.1840000000000004E-2</v>
      </c>
      <c r="AV72" s="101">
        <f>Sheet1!AT72*GPMtoMGD</f>
        <v>0</v>
      </c>
      <c r="AW72" s="101">
        <f>Sheet1!AV72*GPMtoMGD</f>
        <v>0.852912</v>
      </c>
      <c r="AX72" s="101">
        <f>Sheet1!AW72*GPMtoMGD</f>
        <v>0.78048000000000006</v>
      </c>
      <c r="AY72" s="101">
        <f>Sheet1!AX72*GPMtoMGD</f>
        <v>0</v>
      </c>
      <c r="AZ72" s="101">
        <f>Sheet1!AY72*GPMtoMGD</f>
        <v>0</v>
      </c>
      <c r="BA72" s="101">
        <f>Sheet1!AZ72*GPMtoMGD</f>
        <v>0</v>
      </c>
      <c r="BB72" s="101">
        <f>Sheet1!BP72*GPMtoMGD</f>
        <v>0</v>
      </c>
      <c r="BC72" s="101">
        <f>Sheet1!CO72*GPMtoMGD</f>
        <v>0</v>
      </c>
      <c r="BD72" s="101">
        <f>Sheet1!BO72*GPMtoMGD</f>
        <v>1.6738560000000002</v>
      </c>
      <c r="BE72" s="101">
        <f>Sheet1!BV72*GPMtoMGD</f>
        <v>0.64497599999999999</v>
      </c>
      <c r="BF72" s="101">
        <f>Sheet1!CJ72*GPMtoMGD</f>
        <v>0.57859200000000011</v>
      </c>
      <c r="BG72" s="101">
        <f>Sheet1!CK72*GPMtoMGD</f>
        <v>0.62683200000000006</v>
      </c>
      <c r="BH72" s="101">
        <f>Sheet1!CL72*GPMtoMGD</f>
        <v>0.69364800000000004</v>
      </c>
      <c r="BI72" s="101">
        <f t="shared" si="19"/>
        <v>1.6738560000000002</v>
      </c>
      <c r="BK72" s="106">
        <f>SUM(AT72:BA72,BE72,Sheet1!BU72,'Calculations II'!BC72,Calculation!AG72)</f>
        <v>44.730207999999998</v>
      </c>
      <c r="BM72" s="439">
        <f>IF(AND(Sheet1!BQ72&lt;=11.5,Sheet1!BQ71&gt;Sheet1!BQ72),(MIN(Lookup!$C$119,VLOOKUP(Sheet1!BQ71,Lookup!$B$4:$J$236,2))-VLOOKUP(Sheet1!BQ72,Lookup!$B$4:$J$236,2))/1000000,0)</f>
        <v>0</v>
      </c>
      <c r="BN72" s="439">
        <f>IF(AND(Sheet1!BR72&lt;=11.5,Sheet1!BR71&gt;Sheet1!BR72),(MIN(Lookup!$D$119,VLOOKUP(Sheet1!BR71,Lookup!$B$4:$J$236,3))-VLOOKUP(Sheet1!BR72,Lookup!$B$4:$J$236,3))/1000000,0)</f>
        <v>0</v>
      </c>
      <c r="BP72" s="105">
        <f>SUM(BM72:BN72,W72,Sheet1!DT72)</f>
        <v>0</v>
      </c>
    </row>
    <row r="73" spans="1:68" s="101" customFormat="1">
      <c r="A73" s="101" t="s">
        <v>3</v>
      </c>
      <c r="B73" s="103">
        <v>40602</v>
      </c>
      <c r="C73" s="104">
        <v>0.33333333333357601</v>
      </c>
      <c r="E73" s="30"/>
      <c r="F73" s="30">
        <f>-(VLOOKUP(Sheet1!BZ73,Lookup!$I$4:$J$216,2)-VLOOKUP(Sheet1!BZ72,Lookup!$I$4:$J$216,2))/1000000</f>
        <v>-0.10363693854779936</v>
      </c>
      <c r="G73" s="106">
        <f>-$G$6*(Sheet1!CB73-Sheet1!CB72)*7.48/1000000</f>
        <v>0.12311185326293402</v>
      </c>
      <c r="H73" s="106">
        <f>-$H$6*(Sheet1!CA73-Sheet1!CA72)*7.48/1000000</f>
        <v>-0.12031545881012005</v>
      </c>
      <c r="I73" s="106">
        <f>-$I$6*(Sheet1!CC73-Sheet1!CC72)*7.48/1000000</f>
        <v>-0.10974820141096521</v>
      </c>
      <c r="J73" s="107" t="s">
        <v>193</v>
      </c>
      <c r="K73" s="106">
        <f>-$I$6*(Sheet1!CD73-Sheet1!CD72)*7.48/1000000</f>
        <v>-0.11154735225376756</v>
      </c>
      <c r="L73" s="107" t="s">
        <v>193</v>
      </c>
      <c r="M73" s="106">
        <f>-$M$6*(Sheet1!CE73-Sheet1!CE72)*7.48/1000000</f>
        <v>-4.3311582433979784E-2</v>
      </c>
      <c r="N73" s="106">
        <f>-$N$6*(Sheet1!CF73-Sheet1!CF72)*7.48/1000000</f>
        <v>-9.9283752631398325E-2</v>
      </c>
      <c r="O73" s="106">
        <f t="shared" si="15"/>
        <v>-0.46473143282509632</v>
      </c>
      <c r="P73" s="106">
        <f>O73+Calculation!EI73</f>
        <v>-2.0457314328250962</v>
      </c>
      <c r="Q73" s="101" t="str">
        <f>IF(Sheet1!BQ73&gt;21.75,"spill elevation","-")</f>
        <v>-</v>
      </c>
      <c r="R73" s="101" t="str">
        <f>IF(Sheet1!BR73&gt;21.75,"spill elevation","-")</f>
        <v>-</v>
      </c>
      <c r="S73" s="101" t="str">
        <f>IF(Sheet1!BS73&gt;21.75,"spill elevation","-")</f>
        <v>-</v>
      </c>
      <c r="T73" s="105">
        <f>IF(Sheet1!DQ73=1,Sheet1!AA73-(SUM(AT73:BA73)+BE73),Sheet1!AA73-SUM(AT73:BA73))</f>
        <v>25.893392000006983</v>
      </c>
      <c r="U73" s="105">
        <f>Sheet1!BU73</f>
        <v>21.2</v>
      </c>
      <c r="V73" s="105">
        <f t="shared" si="16"/>
        <v>4.693392000006984</v>
      </c>
      <c r="W73" s="105">
        <f t="shared" si="17"/>
        <v>0</v>
      </c>
      <c r="X73" s="101">
        <f>IF((Sheet1!EX73-Sheet1!EX72)&lt;0,(Sheet1!EX73+100000-Sheet1!EX72)/1000,(Sheet1!EX73-Sheet1!EX72)/1000)</f>
        <v>0.76800000000000002</v>
      </c>
      <c r="Y73" s="106">
        <f>Calculation!DZ74+Calculation!EI73+'Calculations II'!O73-'Calculations II'!W73</f>
        <v>48.03426856716937</v>
      </c>
      <c r="Z73" s="106">
        <f>Y73-Sheet1!CP74</f>
        <v>31.404268567169371</v>
      </c>
      <c r="AA73" s="106">
        <f>Y73+Calculation!CZ74+Calculation!AI74</f>
        <v>48.03426856716937</v>
      </c>
      <c r="AC73" s="106">
        <f>Sheet1!AA73+Sheet1!AB73+BC73</f>
        <v>49.020000000004075</v>
      </c>
      <c r="AD73" s="106">
        <f>Sheet1!AA73+Sheet1!BN73+'Calculations II'!BC73-Calculation!AI73-Calculation!CZ73</f>
        <v>49.020000000006988</v>
      </c>
      <c r="AE73" s="106">
        <f>Sheet1!AA73+Sheet1!AB73+'Calculations II'!BC73-Calculation!AI73-Calculation!CZ73</f>
        <v>49.020000000004075</v>
      </c>
      <c r="AF73" s="106">
        <f>Sheet1!AA73+Sheet1!BN73+P73+'Calculations II'!BC73+Calculation!AI73+Calculation!CZ73</f>
        <v>46.974268567181895</v>
      </c>
      <c r="AG73" s="106">
        <f>Sheet1!AA73+Sheet1!BN73+'Calculations II'!BC73+'Calculations II'!P73-Sheet1!CP73-BP73</f>
        <v>30.594268567181896</v>
      </c>
      <c r="AH73" s="106">
        <f>Sheet1!AA73+Sheet1!BN73+'Calculations II'!BC73+'Calculations II'!P73-BP73</f>
        <v>46.974268567181895</v>
      </c>
      <c r="AI73" s="106">
        <f>BC73+Sheet1!AA73+Calculation!EI73+O73+W73+Sheet1!BN73+Calculation!AI73+Calculation!CZ73-BP73</f>
        <v>46.974268567181888</v>
      </c>
      <c r="AJ73" s="106"/>
      <c r="AM73" s="102">
        <f t="shared" si="18"/>
        <v>40602</v>
      </c>
      <c r="AN73" s="106"/>
      <c r="AO73" s="106"/>
      <c r="AR73" s="106"/>
      <c r="AT73" s="101">
        <f>Sheet1!AR73*GPMtoMGD</f>
        <v>0</v>
      </c>
      <c r="AU73" s="101">
        <f>Sheet1!AS73*GPMtoMGD</f>
        <v>2.7216000000000001E-2</v>
      </c>
      <c r="AV73" s="101">
        <f>Sheet1!AT73*GPMtoMGD</f>
        <v>0</v>
      </c>
      <c r="AW73" s="101">
        <f>Sheet1!AV73*GPMtoMGD</f>
        <v>0.72979200000000011</v>
      </c>
      <c r="AX73" s="101">
        <f>Sheet1!AW73*GPMtoMGD</f>
        <v>0.66960000000000008</v>
      </c>
      <c r="AY73" s="101">
        <f>Sheet1!AX73*GPMtoMGD</f>
        <v>0</v>
      </c>
      <c r="AZ73" s="101">
        <f>Sheet1!AY73*GPMtoMGD</f>
        <v>0</v>
      </c>
      <c r="BA73" s="101">
        <f>Sheet1!AZ73*GPMtoMGD</f>
        <v>0</v>
      </c>
      <c r="BB73" s="101">
        <f>Sheet1!BP73*GPMtoMGD</f>
        <v>0</v>
      </c>
      <c r="BC73" s="101">
        <f>Sheet1!CO73*GPMtoMGD</f>
        <v>0</v>
      </c>
      <c r="BD73" s="101">
        <f>Sheet1!BO73*GPMtoMGD</f>
        <v>2.1723840000000001</v>
      </c>
      <c r="BE73" s="101">
        <f>Sheet1!BV73*GPMtoMGD</f>
        <v>0.86457600000000001</v>
      </c>
      <c r="BF73" s="101">
        <f>Sheet1!CJ73*GPMtoMGD</f>
        <v>0.501552</v>
      </c>
      <c r="BG73" s="101">
        <f>Sheet1!CK73*GPMtoMGD</f>
        <v>0.57024000000000008</v>
      </c>
      <c r="BH73" s="101">
        <f>Sheet1!CL73*GPMtoMGD</f>
        <v>0.72561600000000004</v>
      </c>
      <c r="BI73" s="101">
        <f t="shared" si="19"/>
        <v>2.1723840000000001</v>
      </c>
      <c r="BK73" s="106">
        <f>SUM(AT73:BA73,BE73,Sheet1!BU73,'Calculations II'!BC73,Calculation!AG73)</f>
        <v>45.191183999997094</v>
      </c>
      <c r="BM73" s="439">
        <f>IF(AND(Sheet1!BQ73&lt;=11.5,Sheet1!BQ72&gt;Sheet1!BQ73),(MIN(Lookup!$C$119,VLOOKUP(Sheet1!BQ72,Lookup!$B$4:$J$236,2))-VLOOKUP(Sheet1!BQ73,Lookup!$B$4:$J$236,2))/1000000,0)</f>
        <v>0</v>
      </c>
      <c r="BN73" s="439">
        <f>IF(AND(Sheet1!BR73&lt;=11.5,Sheet1!BR72&gt;Sheet1!BR73),(MIN(Lookup!$D$119,VLOOKUP(Sheet1!BR72,Lookup!$B$4:$J$236,3))-VLOOKUP(Sheet1!BR73,Lookup!$B$4:$J$236,3))/1000000,0)</f>
        <v>0</v>
      </c>
      <c r="BP73" s="105">
        <f>SUM(BM73:BN73,W73,Sheet1!DT73)</f>
        <v>0</v>
      </c>
    </row>
    <row r="74" spans="1:68" s="101" customFormat="1">
      <c r="A74" s="101" t="s">
        <v>4</v>
      </c>
      <c r="B74" s="103">
        <v>40603</v>
      </c>
      <c r="C74" s="104">
        <v>0.33333333333357601</v>
      </c>
      <c r="E74" s="30"/>
      <c r="F74" s="30">
        <f>-(VLOOKUP(Sheet1!BZ74,Lookup!$I$4:$J$216,2)-VLOOKUP(Sheet1!BZ73,Lookup!$I$4:$J$216,2))/1000000</f>
        <v>0.10363693854779936</v>
      </c>
      <c r="G74" s="106">
        <f>-$G$6*(Sheet1!CB74-Sheet1!CB73)*7.48/1000000</f>
        <v>0.27799450736791476</v>
      </c>
      <c r="H74" s="106">
        <f>-$H$6*(Sheet1!CA74-Sheet1!CA73)*7.48/1000000</f>
        <v>3.0078864702529479E-2</v>
      </c>
      <c r="I74" s="106">
        <f>-$I$6*(Sheet1!CC74-Sheet1!CC73)*7.48/1000000</f>
        <v>-0.10255159803975422</v>
      </c>
      <c r="J74" s="107" t="s">
        <v>193</v>
      </c>
      <c r="K74" s="106">
        <f>-$I$6*(Sheet1!CD74-Sheet1!CD73)*7.48/1000000</f>
        <v>-0.10435074888255688</v>
      </c>
      <c r="L74" s="107" t="s">
        <v>193</v>
      </c>
      <c r="M74" s="106">
        <f>-$M$6*(Sheet1!CE74-Sheet1!CE73)*7.48/1000000</f>
        <v>-3.7314594096967191E-2</v>
      </c>
      <c r="N74" s="106">
        <f>-$N$6*(Sheet1!CF74-Sheet1!CF73)*7.48/1000000</f>
        <v>1.861570361838677E-2</v>
      </c>
      <c r="O74" s="106">
        <f t="shared" si="15"/>
        <v>0.18610907321735207</v>
      </c>
      <c r="P74" s="106">
        <f>O74+Calculation!EI74</f>
        <v>-4.0805909267826479</v>
      </c>
      <c r="Q74" s="101" t="str">
        <f>IF(Sheet1!BQ74&gt;21.75,"spill elevation","-")</f>
        <v>-</v>
      </c>
      <c r="R74" s="101" t="str">
        <f>IF(Sheet1!BR74&gt;21.75,"spill elevation","-")</f>
        <v>-</v>
      </c>
      <c r="S74" s="101" t="str">
        <f>IF(Sheet1!BS74&gt;21.75,"spill elevation","-")</f>
        <v>-</v>
      </c>
      <c r="T74" s="105">
        <f>IF(Sheet1!DQ74=1,Sheet1!AA74-(SUM(AT74:BA74)+BE74),Sheet1!AA74-SUM(AT74:BA74))</f>
        <v>29.685647999993016</v>
      </c>
      <c r="U74" s="105">
        <f>Sheet1!BU74</f>
        <v>22.3</v>
      </c>
      <c r="V74" s="105">
        <f t="shared" si="16"/>
        <v>7.3856479999930151</v>
      </c>
      <c r="W74" s="105">
        <f t="shared" si="17"/>
        <v>0</v>
      </c>
      <c r="X74" s="101">
        <f>IF((Sheet1!EX74-Sheet1!EX73)&lt;0,(Sheet1!EX74+100000-Sheet1!EX73)/1000,(Sheet1!EX74-Sheet1!EX73)/1000)</f>
        <v>0.78800000000000003</v>
      </c>
      <c r="Y74" s="106">
        <f>Calculation!DZ75+Calculation!EI74+'Calculations II'!O74-'Calculations II'!W74</f>
        <v>52.819409073218807</v>
      </c>
      <c r="Z74" s="106">
        <f>Y74-Sheet1!CP75</f>
        <v>36.139409073218808</v>
      </c>
      <c r="AA74" s="106">
        <f>Y74+Calculation!CZ75+Calculation!AI75</f>
        <v>59.381258784201826</v>
      </c>
      <c r="AC74" s="106">
        <f>Sheet1!AA74+Sheet1!AB74+BC74</f>
        <v>50.07999999999447</v>
      </c>
      <c r="AD74" s="106">
        <f>Sheet1!AA74+Sheet1!BN74+'Calculations II'!BC74-Calculation!AI74-Calculation!CZ74</f>
        <v>50.079999999993014</v>
      </c>
      <c r="AE74" s="106">
        <f>Sheet1!AA74+Sheet1!AB74+'Calculations II'!BC74-Calculation!AI74-Calculation!CZ74</f>
        <v>50.07999999999447</v>
      </c>
      <c r="AF74" s="106">
        <f>Sheet1!AA74+Sheet1!BN74+P74+'Calculations II'!BC74+Calculation!AI74+Calculation!CZ74</f>
        <v>45.999409073210366</v>
      </c>
      <c r="AG74" s="106">
        <f>Sheet1!AA74+Sheet1!BN74+'Calculations II'!BC74+'Calculations II'!P74-Sheet1!CP74-BP74</f>
        <v>29.369409073210367</v>
      </c>
      <c r="AH74" s="106">
        <f>Sheet1!AA74+Sheet1!BN74+'Calculations II'!BC74+'Calculations II'!P74-BP74</f>
        <v>45.999409073210366</v>
      </c>
      <c r="AI74" s="106">
        <f>BC74+Sheet1!AA74+Calculation!EI74+O74+W74+Sheet1!BN74+Calculation!AI74+Calculation!CZ74-BP74</f>
        <v>45.999409073210366</v>
      </c>
      <c r="AJ74" s="106"/>
      <c r="AM74" s="102">
        <f t="shared" si="18"/>
        <v>40603</v>
      </c>
      <c r="AN74" s="106"/>
      <c r="AO74" s="106"/>
      <c r="AR74" s="106"/>
      <c r="AT74" s="101">
        <f>Sheet1!AR74*GPMtoMGD</f>
        <v>0</v>
      </c>
      <c r="AU74" s="101">
        <f>Sheet1!AS74*GPMtoMGD</f>
        <v>2.6495999999999999E-2</v>
      </c>
      <c r="AV74" s="101">
        <f>Sheet1!AT74*GPMtoMGD</f>
        <v>0</v>
      </c>
      <c r="AW74" s="101">
        <f>Sheet1!AV74*GPMtoMGD</f>
        <v>0.46785599999999999</v>
      </c>
      <c r="AX74" s="101">
        <f>Sheet1!AW74*GPMtoMGD</f>
        <v>0</v>
      </c>
      <c r="AY74" s="101">
        <f>Sheet1!AX74*GPMtoMGD</f>
        <v>0</v>
      </c>
      <c r="AZ74" s="101">
        <f>Sheet1!AY74*GPMtoMGD</f>
        <v>0</v>
      </c>
      <c r="BA74" s="101">
        <f>Sheet1!AZ74*GPMtoMGD</f>
        <v>0</v>
      </c>
      <c r="BB74" s="101">
        <f>Sheet1!BP74*GPMtoMGD</f>
        <v>0</v>
      </c>
      <c r="BC74" s="101">
        <f>Sheet1!CO74*GPMtoMGD</f>
        <v>0</v>
      </c>
      <c r="BD74" s="101">
        <f>Sheet1!BO74*GPMtoMGD</f>
        <v>1.5912000000000002</v>
      </c>
      <c r="BE74" s="101">
        <f>Sheet1!BV74*GPMtoMGD</f>
        <v>0.65808</v>
      </c>
      <c r="BF74" s="101">
        <f>Sheet1!CJ74*GPMtoMGD</f>
        <v>0.41500799999999999</v>
      </c>
      <c r="BG74" s="101">
        <f>Sheet1!CK74*GPMtoMGD</f>
        <v>0.53337599999999996</v>
      </c>
      <c r="BH74" s="101">
        <f>Sheet1!CL74*GPMtoMGD</f>
        <v>0.7259040000000001</v>
      </c>
      <c r="BI74" s="101">
        <f t="shared" si="19"/>
        <v>1.5912000000000002</v>
      </c>
      <c r="BK74" s="106">
        <f>SUM(AT74:BA74,BE74,Sheet1!BU74,'Calculations II'!BC74,Calculation!AG74)</f>
        <v>43.352432000001457</v>
      </c>
      <c r="BM74" s="439">
        <f>IF(AND(Sheet1!BQ74&lt;=11.5,Sheet1!BQ73&gt;Sheet1!BQ74),(MIN(Lookup!$C$119,VLOOKUP(Sheet1!BQ73,Lookup!$B$4:$J$236,2))-VLOOKUP(Sheet1!BQ74,Lookup!$B$4:$J$236,2))/1000000,0)</f>
        <v>0</v>
      </c>
      <c r="BN74" s="439">
        <f>IF(AND(Sheet1!BR74&lt;=11.5,Sheet1!BR73&gt;Sheet1!BR74),(MIN(Lookup!$D$119,VLOOKUP(Sheet1!BR73,Lookup!$B$4:$J$236,3))-VLOOKUP(Sheet1!BR74,Lookup!$B$4:$J$236,3))/1000000,0)</f>
        <v>0</v>
      </c>
      <c r="BP74" s="105">
        <f>SUM(BM74:BN74,W74,Sheet1!DT74)</f>
        <v>0</v>
      </c>
    </row>
    <row r="75" spans="1:68" s="101" customFormat="1">
      <c r="A75" s="101" t="s">
        <v>5</v>
      </c>
      <c r="B75" s="103">
        <v>40604</v>
      </c>
      <c r="C75" s="104">
        <v>0.33333333333357601</v>
      </c>
      <c r="E75" s="30"/>
      <c r="F75" s="30">
        <f>-(VLOOKUP(Sheet1!BZ75,Lookup!$I$4:$J$216,2)-VLOOKUP(Sheet1!BZ74,Lookup!$I$4:$J$216,2))/1000000</f>
        <v>0.10363693854779936</v>
      </c>
      <c r="G75" s="106">
        <f>-$G$6*(Sheet1!CB75-Sheet1!CB74)*7.48/1000000</f>
        <v>-0.81809812168272178</v>
      </c>
      <c r="H75" s="106">
        <f>-$H$6*(Sheet1!CA75-Sheet1!CA74)*7.48/1000000</f>
        <v>0.19551262056644639</v>
      </c>
      <c r="I75" s="106">
        <f>-$I$6*(Sheet1!CC75-Sheet1!CC74)*7.48/1000000</f>
        <v>8.6359240454529904E-2</v>
      </c>
      <c r="J75" s="107" t="s">
        <v>193</v>
      </c>
      <c r="K75" s="106">
        <f>-$I$6*(Sheet1!CD75-Sheet1!CD74)*7.48/1000000</f>
        <v>8.6359240454529584E-2</v>
      </c>
      <c r="L75" s="107" t="s">
        <v>193</v>
      </c>
      <c r="M75" s="106">
        <f>-$M$6*(Sheet1!CE75-Sheet1!CE74)*7.48/1000000</f>
        <v>3.3316601872292212E-2</v>
      </c>
      <c r="N75" s="106">
        <f>-$N$6*(Sheet1!CF75-Sheet1!CF74)*7.48/1000000</f>
        <v>-3.102617269731129E-2</v>
      </c>
      <c r="O75" s="106">
        <f t="shared" si="15"/>
        <v>-0.3439396524844357</v>
      </c>
      <c r="P75" s="106">
        <f>O75+Calculation!EI75</f>
        <v>-2.4885396524844352</v>
      </c>
      <c r="Q75" s="101" t="str">
        <f>IF(Sheet1!BQ75&gt;21.75,"spill elevation","-")</f>
        <v>-</v>
      </c>
      <c r="R75" s="101" t="str">
        <f>IF(Sheet1!BR75&gt;21.75,"spill elevation","-")</f>
        <v>-</v>
      </c>
      <c r="S75" s="101" t="str">
        <f>IF(Sheet1!BS75&gt;21.75,"spill elevation","-")</f>
        <v>-</v>
      </c>
      <c r="T75" s="105">
        <f>IF(Sheet1!DQ75=1,Sheet1!AA75-(SUM(AT75:BA75)+BE75),Sheet1!AA75-SUM(AT75:BA75))</f>
        <v>29.616992</v>
      </c>
      <c r="U75" s="105">
        <f>Sheet1!BU75</f>
        <v>23.4</v>
      </c>
      <c r="V75" s="105">
        <f t="shared" si="16"/>
        <v>6.2169920000000012</v>
      </c>
      <c r="W75" s="105">
        <f t="shared" si="17"/>
        <v>0</v>
      </c>
      <c r="X75" s="101">
        <f>IF((Sheet1!EX75-Sheet1!EX74)&lt;0,(Sheet1!EX75+100000-Sheet1!EX74)/1000,(Sheet1!EX75-Sheet1!EX74)/1000)</f>
        <v>0.80400000000000005</v>
      </c>
      <c r="Y75" s="106">
        <f>Calculation!DZ76+Calculation!EI75+'Calculations II'!O75-'Calculations II'!W75</f>
        <v>53.411460347524297</v>
      </c>
      <c r="Z75" s="106">
        <f>Y75-Sheet1!CP76</f>
        <v>36.851460347524295</v>
      </c>
      <c r="AA75" s="106">
        <f>Y75+Calculation!CZ76+Calculation!AI76</f>
        <v>61.904726988540077</v>
      </c>
      <c r="AC75" s="106">
        <f>Sheet1!AA75+Sheet1!AB75+BC75</f>
        <v>56.900000000001455</v>
      </c>
      <c r="AD75" s="106">
        <f>Sheet1!AA75+Sheet1!BN75+'Calculations II'!BC75-Calculation!AI75-Calculation!CZ75</f>
        <v>43.438150289016981</v>
      </c>
      <c r="AE75" s="106">
        <f>Sheet1!AA75+Sheet1!AB75+'Calculations II'!BC75-Calculation!AI75-Calculation!CZ75</f>
        <v>50.338150289018436</v>
      </c>
      <c r="AF75" s="106">
        <f>Sheet1!AA75+Sheet1!BN75+P75+'Calculations II'!BC75+Calculation!AI75+Calculation!CZ75</f>
        <v>54.073310058498585</v>
      </c>
      <c r="AG75" s="106">
        <f>Sheet1!AA75+Sheet1!BN75+'Calculations II'!BC75+'Calculations II'!P75-Sheet1!CP75-BP75</f>
        <v>30.831460347515566</v>
      </c>
      <c r="AH75" s="106">
        <f>Sheet1!AA75+Sheet1!BN75+'Calculations II'!BC75+'Calculations II'!P75-BP75</f>
        <v>47.511460347515566</v>
      </c>
      <c r="AI75" s="106">
        <f>BC75+Sheet1!AA75+Calculation!EI75+O75+W75+Sheet1!BN75+Calculation!AI75+Calculation!CZ75-BP75</f>
        <v>54.073310058498585</v>
      </c>
      <c r="AJ75" s="106"/>
      <c r="AM75" s="102">
        <f t="shared" si="18"/>
        <v>40604</v>
      </c>
      <c r="AN75" s="106"/>
      <c r="AO75" s="106"/>
      <c r="AR75" s="106"/>
      <c r="AT75" s="101">
        <f>Sheet1!AR75*GPMtoMGD</f>
        <v>0</v>
      </c>
      <c r="AU75" s="101">
        <f>Sheet1!AS75*GPMtoMGD</f>
        <v>0.11505600000000002</v>
      </c>
      <c r="AV75" s="101">
        <f>Sheet1!AT75*GPMtoMGD</f>
        <v>0</v>
      </c>
      <c r="AW75" s="101">
        <f>Sheet1!AV75*GPMtoMGD</f>
        <v>0.76795199999999997</v>
      </c>
      <c r="AX75" s="101">
        <f>Sheet1!AW75*GPMtoMGD</f>
        <v>0</v>
      </c>
      <c r="AY75" s="101">
        <f>Sheet1!AX75*GPMtoMGD</f>
        <v>0</v>
      </c>
      <c r="AZ75" s="101">
        <f>Sheet1!AY75*GPMtoMGD</f>
        <v>0</v>
      </c>
      <c r="BA75" s="101">
        <f>Sheet1!AZ75*GPMtoMGD</f>
        <v>0</v>
      </c>
      <c r="BB75" s="101">
        <f>Sheet1!BP75*GPMtoMGD</f>
        <v>0</v>
      </c>
      <c r="BC75" s="101">
        <f>Sheet1!CO75*GPMtoMGD</f>
        <v>0</v>
      </c>
      <c r="BD75" s="101">
        <f>Sheet1!BO75*GPMtoMGD</f>
        <v>1.3533120000000001</v>
      </c>
      <c r="BE75" s="101">
        <f>Sheet1!BV75*GPMtoMGD</f>
        <v>0.89712000000000003</v>
      </c>
      <c r="BF75" s="101">
        <f>Sheet1!CJ75*GPMtoMGD</f>
        <v>0.43617600000000001</v>
      </c>
      <c r="BG75" s="101">
        <f>Sheet1!CK75*GPMtoMGD</f>
        <v>0.53495999999999999</v>
      </c>
      <c r="BH75" s="101">
        <f>Sheet1!CL75*GPMtoMGD</f>
        <v>0.69465600000000005</v>
      </c>
      <c r="BI75" s="101">
        <f t="shared" si="19"/>
        <v>1.3533120000000001</v>
      </c>
      <c r="BK75" s="106">
        <f>SUM(AT75:BA75,BE75,Sheet1!BU75,'Calculations II'!BC75,Calculation!AG75)</f>
        <v>45.01827828901844</v>
      </c>
      <c r="BM75" s="439">
        <f>IF(AND(Sheet1!BQ75&lt;=11.5,Sheet1!BQ74&gt;Sheet1!BQ75),(MIN(Lookup!$C$119,VLOOKUP(Sheet1!BQ74,Lookup!$B$4:$J$236,2))-VLOOKUP(Sheet1!BQ75,Lookup!$B$4:$J$236,2))/1000000,0)</f>
        <v>0</v>
      </c>
      <c r="BN75" s="439">
        <f>IF(AND(Sheet1!BR75&lt;=11.5,Sheet1!BR74&gt;Sheet1!BR75),(MIN(Lookup!$D$119,VLOOKUP(Sheet1!BR74,Lookup!$B$4:$J$236,3))-VLOOKUP(Sheet1!BR75,Lookup!$B$4:$J$236,3))/1000000,0)</f>
        <v>0</v>
      </c>
      <c r="BP75" s="105">
        <f>SUM(BM75:BN75,W75,Sheet1!DT75)</f>
        <v>0</v>
      </c>
    </row>
    <row r="76" spans="1:68" s="101" customFormat="1">
      <c r="A76" s="101" t="s">
        <v>6</v>
      </c>
      <c r="B76" s="103">
        <v>40605</v>
      </c>
      <c r="C76" s="104">
        <v>0.33333333333357601</v>
      </c>
      <c r="E76" s="30"/>
      <c r="F76" s="30">
        <f>-(VLOOKUP(Sheet1!BZ76,Lookup!$I$4:$J$216,2)-VLOOKUP(Sheet1!BZ75,Lookup!$I$4:$J$216,2))/1000000</f>
        <v>-0.51818469273900236</v>
      </c>
      <c r="G76" s="106">
        <f>-$G$6*(Sheet1!CB76-Sheet1!CB75)*7.48/1000000</f>
        <v>4.7656201263071553E-2</v>
      </c>
      <c r="H76" s="106">
        <f>-$H$6*(Sheet1!CA76-Sheet1!CA75)*7.48/1000000</f>
        <v>0.19551262056644533</v>
      </c>
      <c r="I76" s="106">
        <f>-$I$6*(Sheet1!CC76-Sheet1!CC75)*7.48/1000000</f>
        <v>-5.937197781248927E-2</v>
      </c>
      <c r="J76" s="107" t="s">
        <v>193</v>
      </c>
      <c r="K76" s="106">
        <f>-$I$6*(Sheet1!CD76-Sheet1!CD75)*7.48/1000000</f>
        <v>-5.5773676126883623E-2</v>
      </c>
      <c r="L76" s="107" t="s">
        <v>193</v>
      </c>
      <c r="M76" s="106">
        <f>-$M$6*(Sheet1!CE76-Sheet1!CE75)*7.48/1000000</f>
        <v>-2.5320617422942254E-2</v>
      </c>
      <c r="N76" s="106">
        <f>-$N$6*(Sheet1!CF76-Sheet1!CF75)*7.48/1000000</f>
        <v>-3.1026172697312393E-2</v>
      </c>
      <c r="O76" s="106">
        <f t="shared" si="15"/>
        <v>-0.44650831496911292</v>
      </c>
      <c r="P76" s="106">
        <f>O76+Calculation!EI76</f>
        <v>-0.9870083149691129</v>
      </c>
      <c r="Q76" s="101" t="str">
        <f>IF(Sheet1!BQ76&gt;21.75,"spill elevation","-")</f>
        <v>-</v>
      </c>
      <c r="R76" s="101" t="str">
        <f>IF(Sheet1!BR76&gt;21.75,"spill elevation","-")</f>
        <v>-</v>
      </c>
      <c r="S76" s="101" t="str">
        <f>IF(Sheet1!BS76&gt;21.75,"spill elevation","-")</f>
        <v>-</v>
      </c>
      <c r="T76" s="105">
        <f>IF(Sheet1!DQ76=1,Sheet1!AA76-(SUM(AT76:BA76)+BE76),Sheet1!AA76-SUM(AT76:BA76))</f>
        <v>28.381520000008731</v>
      </c>
      <c r="U76" s="105">
        <f>Sheet1!BU76</f>
        <v>24.7</v>
      </c>
      <c r="V76" s="105">
        <f t="shared" si="16"/>
        <v>3.6815200000087316</v>
      </c>
      <c r="W76" s="105">
        <f t="shared" si="17"/>
        <v>0</v>
      </c>
      <c r="X76" s="101">
        <f>IF((Sheet1!EX76-Sheet1!EX75)&lt;0,(Sheet1!EX76+100000-Sheet1!EX75)/1000,(Sheet1!EX76-Sheet1!EX75)/1000)</f>
        <v>0.79800000000000004</v>
      </c>
      <c r="Y76" s="106">
        <f>Calculation!DZ77+Calculation!EI76+'Calculations II'!O76-'Calculations II'!W76</f>
        <v>55.282991685020406</v>
      </c>
      <c r="Z76" s="106">
        <f>Y76-Sheet1!CP77</f>
        <v>38.51299168502041</v>
      </c>
      <c r="AA76" s="106">
        <f>Y76+Calculation!CZ77+Calculation!AI77</f>
        <v>63.871601723629873</v>
      </c>
      <c r="AC76" s="106">
        <f>Sheet1!AA76+Sheet1!AB76+BC76</f>
        <v>55.900000000008731</v>
      </c>
      <c r="AD76" s="106">
        <f>Sheet1!AA76+Sheet1!BN76+'Calculations II'!BC76-Calculation!AI76-Calculation!CZ76</f>
        <v>38.906733358992952</v>
      </c>
      <c r="AE76" s="106">
        <f>Sheet1!AA76+Sheet1!AB76+'Calculations II'!BC76-Calculation!AI76-Calculation!CZ76</f>
        <v>47.406733358992952</v>
      </c>
      <c r="AF76" s="106">
        <f>Sheet1!AA76+Sheet1!BN76+P76+'Calculations II'!BC76+Calculation!AI76+Calculation!CZ76</f>
        <v>54.906258326055394</v>
      </c>
      <c r="AG76" s="106">
        <f>Sheet1!AA76+Sheet1!BN76+'Calculations II'!BC76+'Calculations II'!P76-Sheet1!CP76-BP76</f>
        <v>29.852991685039623</v>
      </c>
      <c r="AH76" s="106">
        <f>Sheet1!AA76+Sheet1!BN76+'Calculations II'!BC76+'Calculations II'!P76-BP76</f>
        <v>46.412991685039621</v>
      </c>
      <c r="AI76" s="106">
        <f>BC76+Sheet1!AA76+Calculation!EI76+O76+W76+Sheet1!BN76+Calculation!AI76+Calculation!CZ76-BP76</f>
        <v>54.906258326055394</v>
      </c>
      <c r="AJ76" s="106"/>
      <c r="AM76" s="102">
        <f t="shared" si="18"/>
        <v>40605</v>
      </c>
      <c r="AN76" s="106"/>
      <c r="AO76" s="106"/>
      <c r="AR76" s="106"/>
      <c r="AT76" s="101">
        <f>Sheet1!AR76*GPMtoMGD</f>
        <v>0</v>
      </c>
      <c r="AU76" s="101">
        <f>Sheet1!AS76*GPMtoMGD</f>
        <v>0.14112</v>
      </c>
      <c r="AV76" s="101">
        <f>Sheet1!AT76*GPMtoMGD</f>
        <v>0</v>
      </c>
      <c r="AW76" s="101">
        <f>Sheet1!AV76*GPMtoMGD</f>
        <v>0.72028800000000004</v>
      </c>
      <c r="AX76" s="101">
        <f>Sheet1!AW76*GPMtoMGD</f>
        <v>0.6570720000000001</v>
      </c>
      <c r="AY76" s="101">
        <f>Sheet1!AX76*GPMtoMGD</f>
        <v>0</v>
      </c>
      <c r="AZ76" s="101">
        <f>Sheet1!AY76*GPMtoMGD</f>
        <v>0</v>
      </c>
      <c r="BA76" s="101">
        <f>Sheet1!AZ76*GPMtoMGD</f>
        <v>0</v>
      </c>
      <c r="BB76" s="101">
        <f>Sheet1!BP76*GPMtoMGD</f>
        <v>0</v>
      </c>
      <c r="BC76" s="101">
        <f>Sheet1!CO76*GPMtoMGD</f>
        <v>0</v>
      </c>
      <c r="BD76" s="101">
        <f>Sheet1!BO76*GPMtoMGD</f>
        <v>2.2466880000000002</v>
      </c>
      <c r="BE76" s="101">
        <f>Sheet1!BV76*GPMtoMGD</f>
        <v>0.63158400000000003</v>
      </c>
      <c r="BF76" s="101">
        <f>Sheet1!CJ76*GPMtoMGD</f>
        <v>0.43200000000000005</v>
      </c>
      <c r="BG76" s="101">
        <f>Sheet1!CK76*GPMtoMGD</f>
        <v>0.52704000000000006</v>
      </c>
      <c r="BH76" s="101">
        <f>Sheet1!CL76*GPMtoMGD</f>
        <v>0.74059200000000003</v>
      </c>
      <c r="BI76" s="101">
        <f t="shared" si="19"/>
        <v>2.2466880000000002</v>
      </c>
      <c r="BK76" s="106">
        <f>SUM(AT76:BA76,BE76,Sheet1!BU76,'Calculations II'!BC76,Calculation!AG76)</f>
        <v>44.356797358984224</v>
      </c>
      <c r="BM76" s="439">
        <f>IF(AND(Sheet1!BQ76&lt;=11.5,Sheet1!BQ75&gt;Sheet1!BQ76),(MIN(Lookup!$C$119,VLOOKUP(Sheet1!BQ75,Lookup!$B$4:$J$236,2))-VLOOKUP(Sheet1!BQ76,Lookup!$B$4:$J$236,2))/1000000,0)</f>
        <v>0</v>
      </c>
      <c r="BN76" s="439">
        <f>IF(AND(Sheet1!BR76&lt;=11.5,Sheet1!BR75&gt;Sheet1!BR76),(MIN(Lookup!$D$119,VLOOKUP(Sheet1!BR75,Lookup!$B$4:$J$236,3))-VLOOKUP(Sheet1!BR76,Lookup!$B$4:$J$236,3))/1000000,0)</f>
        <v>0</v>
      </c>
      <c r="BP76" s="105">
        <f>SUM(BM76:BN76,W76,Sheet1!DT76)</f>
        <v>0</v>
      </c>
    </row>
    <row r="77" spans="1:68" s="101" customFormat="1">
      <c r="A77" s="101" t="s">
        <v>7</v>
      </c>
      <c r="B77" s="103">
        <v>40606</v>
      </c>
      <c r="C77" s="104">
        <v>0.33333333333357601</v>
      </c>
      <c r="E77" s="30"/>
      <c r="F77" s="30">
        <f>-(VLOOKUP(Sheet1!BZ77,Lookup!$I$4:$J$216,2)-VLOOKUP(Sheet1!BZ76,Lookup!$I$4:$J$216,2))/1000000</f>
        <v>0.10363693854779936</v>
      </c>
      <c r="G77" s="106">
        <f>-$G$6*(Sheet1!CB77-Sheet1!CB76)*7.48/1000000</f>
        <v>0.25813775684163487</v>
      </c>
      <c r="H77" s="106">
        <f>-$H$6*(Sheet1!CA77-Sheet1!CA76)*7.48/1000000</f>
        <v>0.18047318821518116</v>
      </c>
      <c r="I77" s="106">
        <f>-$I$6*(Sheet1!CC77-Sheet1!CC76)*7.48/1000000</f>
        <v>1.9790659270829968E-2</v>
      </c>
      <c r="J77" s="107" t="s">
        <v>193</v>
      </c>
      <c r="K77" s="106">
        <f>-$I$6*(Sheet1!CD77-Sheet1!CD76)*7.48/1000000</f>
        <v>1.6192357585224318E-2</v>
      </c>
      <c r="L77" s="107" t="s">
        <v>193</v>
      </c>
      <c r="M77" s="106">
        <f>-$M$6*(Sheet1!CE77-Sheet1!CE76)*7.48/1000000</f>
        <v>1.0661312599133518E-2</v>
      </c>
      <c r="N77" s="106">
        <f>-$N$6*(Sheet1!CF77-Sheet1!CF76)*7.48/1000000</f>
        <v>0.13030992532871072</v>
      </c>
      <c r="O77" s="106">
        <f t="shared" si="15"/>
        <v>0.71920213838851399</v>
      </c>
      <c r="P77" s="106">
        <f>O77+Calculation!EI77</f>
        <v>-0.36179786161148597</v>
      </c>
      <c r="Q77" s="101" t="str">
        <f>IF(Sheet1!BQ77&gt;21.75,"spill elevation","-")</f>
        <v>-</v>
      </c>
      <c r="R77" s="101" t="str">
        <f>IF(Sheet1!BR77&gt;21.75,"spill elevation","-")</f>
        <v>-</v>
      </c>
      <c r="S77" s="101" t="str">
        <f>IF(Sheet1!BS77&gt;21.75,"spill elevation","-")</f>
        <v>-</v>
      </c>
      <c r="T77" s="105">
        <f>IF(Sheet1!DQ77=1,Sheet1!AA77-(SUM(AT77:BA77)+BE77),Sheet1!AA77-SUM(AT77:BA77))</f>
        <v>28.726095999991269</v>
      </c>
      <c r="U77" s="105">
        <f>Sheet1!BU77</f>
        <v>24.1</v>
      </c>
      <c r="V77" s="105">
        <f t="shared" si="16"/>
        <v>4.6260959999912679</v>
      </c>
      <c r="W77" s="105">
        <f t="shared" si="17"/>
        <v>0</v>
      </c>
      <c r="X77" s="101">
        <f>IF((Sheet1!EX77-Sheet1!EX76)&lt;0,(Sheet1!EX77+100000-Sheet1!EX76)/1000,(Sheet1!EX77-Sheet1!EX76)/1000)</f>
        <v>0.77700000000000002</v>
      </c>
      <c r="Y77" s="106">
        <f>Calculation!DZ78+Calculation!EI77+'Calculations II'!O77-'Calculations II'!W77</f>
        <v>54.408202138392582</v>
      </c>
      <c r="Z77" s="106">
        <f>Y77-Sheet1!CP78</f>
        <v>37.358202138392585</v>
      </c>
      <c r="AA77" s="106">
        <f>Y77+Calculation!CZ78+Calculation!AI78</f>
        <v>62.859312392825316</v>
      </c>
      <c r="AC77" s="106">
        <f>Sheet1!AA77+Sheet1!AB77+BC77</f>
        <v>56.269999999989523</v>
      </c>
      <c r="AD77" s="106">
        <f>Sheet1!AA77+Sheet1!BN77+'Calculations II'!BC77-Calculation!AI77-Calculation!CZ77</f>
        <v>38.911389961381801</v>
      </c>
      <c r="AE77" s="106">
        <f>Sheet1!AA77+Sheet1!AB77+'Calculations II'!BC77-Calculation!AI77-Calculation!CZ77</f>
        <v>47.681389961380056</v>
      </c>
      <c r="AF77" s="106">
        <f>Sheet1!AA77+Sheet1!BN77+P77+'Calculations II'!BC77+Calculation!AI77+Calculation!CZ77</f>
        <v>55.726812176989249</v>
      </c>
      <c r="AG77" s="106">
        <f>Sheet1!AA77+Sheet1!BN77+'Calculations II'!BC77+'Calculations II'!P77-Sheet1!CP77-BP77</f>
        <v>30.368202138379782</v>
      </c>
      <c r="AH77" s="106">
        <f>Sheet1!AA77+Sheet1!BN77+'Calculations II'!BC77+'Calculations II'!P77-BP77</f>
        <v>47.138202138379782</v>
      </c>
      <c r="AI77" s="106">
        <f>BC77+Sheet1!AA77+Calculation!EI77+O77+W77+Sheet1!BN77+Calculation!AI77+Calculation!CZ77-BP77</f>
        <v>55.726812176989249</v>
      </c>
      <c r="AJ77" s="106"/>
      <c r="AM77" s="102">
        <f t="shared" si="18"/>
        <v>40606</v>
      </c>
      <c r="AN77" s="106"/>
      <c r="AO77" s="106"/>
      <c r="AR77" s="106"/>
      <c r="AT77" s="101">
        <f>Sheet1!AR77*GPMtoMGD</f>
        <v>0</v>
      </c>
      <c r="AU77" s="101">
        <f>Sheet1!AS77*GPMtoMGD</f>
        <v>3.8159999999999999E-2</v>
      </c>
      <c r="AV77" s="101">
        <f>Sheet1!AT77*GPMtoMGD</f>
        <v>0</v>
      </c>
      <c r="AW77" s="101">
        <f>Sheet1!AV77*GPMtoMGD</f>
        <v>0.66312000000000004</v>
      </c>
      <c r="AX77" s="101">
        <f>Sheet1!AW77*GPMtoMGD</f>
        <v>0.67262400000000011</v>
      </c>
      <c r="AY77" s="101">
        <f>Sheet1!AX77*GPMtoMGD</f>
        <v>0</v>
      </c>
      <c r="AZ77" s="101">
        <f>Sheet1!AY77*GPMtoMGD</f>
        <v>0</v>
      </c>
      <c r="BA77" s="101">
        <f>Sheet1!AZ77*GPMtoMGD</f>
        <v>0</v>
      </c>
      <c r="BB77" s="101">
        <f>Sheet1!BP77*GPMtoMGD</f>
        <v>0</v>
      </c>
      <c r="BC77" s="101">
        <f>Sheet1!CO77*GPMtoMGD</f>
        <v>0</v>
      </c>
      <c r="BD77" s="101">
        <f>Sheet1!BO77*GPMtoMGD</f>
        <v>1.2942720000000001</v>
      </c>
      <c r="BE77" s="101">
        <f>Sheet1!BV77*GPMtoMGD</f>
        <v>0.84758400000000012</v>
      </c>
      <c r="BF77" s="101">
        <f>Sheet1!CJ77*GPMtoMGD</f>
        <v>0.36489600000000005</v>
      </c>
      <c r="BG77" s="101">
        <f>Sheet1!CK77*GPMtoMGD</f>
        <v>0.5271840000000001</v>
      </c>
      <c r="BH77" s="101">
        <f>Sheet1!CL77*GPMtoMGD</f>
        <v>0.78508800000000012</v>
      </c>
      <c r="BI77" s="101">
        <f t="shared" si="19"/>
        <v>1.2942720000000001</v>
      </c>
      <c r="BK77" s="106">
        <f>SUM(AT77:BA77,BE77,Sheet1!BU77,'Calculations II'!BC77,Calculation!AG77)</f>
        <v>43.902877961388789</v>
      </c>
      <c r="BM77" s="439">
        <f>IF(AND(Sheet1!BQ77&lt;=11.5,Sheet1!BQ76&gt;Sheet1!BQ77),(MIN(Lookup!$C$119,VLOOKUP(Sheet1!BQ76,Lookup!$B$4:$J$236,2))-VLOOKUP(Sheet1!BQ77,Lookup!$B$4:$J$236,2))/1000000,0)</f>
        <v>0</v>
      </c>
      <c r="BN77" s="439">
        <f>IF(AND(Sheet1!BR77&lt;=11.5,Sheet1!BR76&gt;Sheet1!BR77),(MIN(Lookup!$D$119,VLOOKUP(Sheet1!BR76,Lookup!$B$4:$J$236,3))-VLOOKUP(Sheet1!BR77,Lookup!$B$4:$J$236,3))/1000000,0)</f>
        <v>0</v>
      </c>
      <c r="BP77" s="105">
        <f>SUM(BM77:BN77,W77,Sheet1!DT77)</f>
        <v>0</v>
      </c>
    </row>
    <row r="78" spans="1:68" s="101" customFormat="1">
      <c r="A78" s="101" t="s">
        <v>8</v>
      </c>
      <c r="B78" s="103">
        <v>40607</v>
      </c>
      <c r="C78" s="104">
        <v>0.33333333333357601</v>
      </c>
      <c r="E78" s="30"/>
      <c r="F78" s="30">
        <f>-(VLOOKUP(Sheet1!BZ78,Lookup!$I$4:$J$216,2)-VLOOKUP(Sheet1!BZ77,Lookup!$I$4:$J$216,2))/1000000</f>
        <v>0.20727387709560433</v>
      </c>
      <c r="G78" s="106">
        <f>-$G$6*(Sheet1!CB78-Sheet1!CB77)*7.48/1000000</f>
        <v>0.28990855768368307</v>
      </c>
      <c r="H78" s="106">
        <f>-$H$6*(Sheet1!CA78-Sheet1!CA77)*7.48/1000000</f>
        <v>-0.28574921467403702</v>
      </c>
      <c r="I78" s="106">
        <f>-$I$6*(Sheet1!CC78-Sheet1!CC77)*7.48/1000000</f>
        <v>5.7572826969686276E-2</v>
      </c>
      <c r="J78" s="107" t="s">
        <v>193</v>
      </c>
      <c r="K78" s="106">
        <f>-$I$6*(Sheet1!CD78-Sheet1!CD77)*7.48/1000000</f>
        <v>5.937197781248927E-2</v>
      </c>
      <c r="L78" s="107" t="s">
        <v>193</v>
      </c>
      <c r="M78" s="106">
        <f>-$M$6*(Sheet1!CE78-Sheet1!CE77)*7.48/1000000</f>
        <v>2.0656293160821321E-2</v>
      </c>
      <c r="N78" s="106">
        <f>-$N$6*(Sheet1!CF78-Sheet1!CF77)*7.48/1000000</f>
        <v>4.3436641776236899E-2</v>
      </c>
      <c r="O78" s="106">
        <f t="shared" si="15"/>
        <v>0.3924709598244841</v>
      </c>
      <c r="P78" s="106">
        <f>O78+Calculation!EI78</f>
        <v>0.93297095982448408</v>
      </c>
      <c r="Q78" s="101" t="str">
        <f>IF(Sheet1!BQ78&gt;21.75,"spill elevation","-")</f>
        <v>-</v>
      </c>
      <c r="R78" s="101" t="str">
        <f>IF(Sheet1!BR78&gt;21.75,"spill elevation","-")</f>
        <v>-</v>
      </c>
      <c r="S78" s="101" t="str">
        <f>IF(Sheet1!BS78&gt;21.75,"spill elevation","-")</f>
        <v>-</v>
      </c>
      <c r="T78" s="105">
        <f>IF(Sheet1!DQ78=1,Sheet1!AA78-(SUM(AT78:BA78)+BE78),Sheet1!AA78-SUM(AT78:BA78))</f>
        <v>27.747120000005822</v>
      </c>
      <c r="U78" s="105">
        <f>Sheet1!BU78</f>
        <v>25.3</v>
      </c>
      <c r="V78" s="105">
        <f t="shared" si="16"/>
        <v>2.4471200000058211</v>
      </c>
      <c r="W78" s="105">
        <f t="shared" si="17"/>
        <v>0</v>
      </c>
      <c r="X78" s="101">
        <f>IF((Sheet1!EX78-Sheet1!EX77)&lt;0,(Sheet1!EX78+100000-Sheet1!EX77)/1000,(Sheet1!EX78-Sheet1!EX77)/1000)</f>
        <v>0.86699999999999999</v>
      </c>
      <c r="Y78" s="106">
        <f>Calculation!DZ79+Calculation!EI78+'Calculations II'!O78-'Calculations II'!W78</f>
        <v>57.582970959818667</v>
      </c>
      <c r="Z78" s="106">
        <f>Y78-Sheet1!CP79</f>
        <v>41.142970959818669</v>
      </c>
      <c r="AA78" s="106">
        <f>Y78+Calculation!CZ79+Calculation!AI79</f>
        <v>66.292681272680014</v>
      </c>
      <c r="AC78" s="106">
        <f>Sheet1!AA78+Sheet1!AB78+BC78</f>
        <v>54.770000000004075</v>
      </c>
      <c r="AD78" s="106">
        <f>Sheet1!AA78+Sheet1!BN78+'Calculations II'!BC78-Calculation!AI78-Calculation!CZ78</f>
        <v>38.048889745573085</v>
      </c>
      <c r="AE78" s="106">
        <f>Sheet1!AA78+Sheet1!AB78+'Calculations II'!BC78-Calculation!AI78-Calculation!CZ78</f>
        <v>46.31888974557134</v>
      </c>
      <c r="AF78" s="106">
        <f>Sheet1!AA78+Sheet1!BN78+P78+'Calculations II'!BC78+Calculation!AI78+Calculation!CZ78</f>
        <v>55.884081214263041</v>
      </c>
      <c r="AG78" s="106">
        <f>Sheet1!AA78+Sheet1!BN78+'Calculations II'!BC78+'Calculations II'!P78-Sheet1!CP78-BP78</f>
        <v>30.382970959830306</v>
      </c>
      <c r="AH78" s="106">
        <f>Sheet1!AA78+Sheet1!BN78+'Calculations II'!BC78+'Calculations II'!P78-BP78</f>
        <v>47.432970959830307</v>
      </c>
      <c r="AI78" s="106">
        <f>BC78+Sheet1!AA78+Calculation!EI78+O78+W78+Sheet1!BN78+Calculation!AI78+Calculation!CZ78-BP78</f>
        <v>55.884081214263034</v>
      </c>
      <c r="AJ78" s="106"/>
      <c r="AM78" s="102">
        <f t="shared" si="18"/>
        <v>40607</v>
      </c>
      <c r="AN78" s="106"/>
      <c r="AO78" s="106"/>
      <c r="AR78" s="106"/>
      <c r="AT78" s="101">
        <f>Sheet1!AR78*GPMtoMGD</f>
        <v>0</v>
      </c>
      <c r="AU78" s="101">
        <f>Sheet1!AS78*GPMtoMGD</f>
        <v>4.3632000000000004E-2</v>
      </c>
      <c r="AV78" s="101">
        <f>Sheet1!AT78*GPMtoMGD</f>
        <v>0</v>
      </c>
      <c r="AW78" s="101">
        <f>Sheet1!AV78*GPMtoMGD</f>
        <v>0.6822720000000001</v>
      </c>
      <c r="AX78" s="101">
        <f>Sheet1!AW78*GPMtoMGD</f>
        <v>0.62697599999999998</v>
      </c>
      <c r="AY78" s="101">
        <f>Sheet1!AX78*GPMtoMGD</f>
        <v>0</v>
      </c>
      <c r="AZ78" s="101">
        <f>Sheet1!AY78*GPMtoMGD</f>
        <v>0</v>
      </c>
      <c r="BA78" s="101">
        <f>Sheet1!AZ78*GPMtoMGD</f>
        <v>0</v>
      </c>
      <c r="BB78" s="101">
        <f>Sheet1!BP78*GPMtoMGD</f>
        <v>0</v>
      </c>
      <c r="BC78" s="101">
        <f>Sheet1!CO78*GPMtoMGD</f>
        <v>0</v>
      </c>
      <c r="BD78" s="101">
        <f>Sheet1!BO78*GPMtoMGD</f>
        <v>2.1618720000000002</v>
      </c>
      <c r="BE78" s="101">
        <f>Sheet1!BV78*GPMtoMGD</f>
        <v>0.69019200000000003</v>
      </c>
      <c r="BF78" s="101">
        <f>Sheet1!CJ78*GPMtoMGD</f>
        <v>0.60638400000000003</v>
      </c>
      <c r="BG78" s="101">
        <f>Sheet1!CK78*GPMtoMGD</f>
        <v>0.58464000000000005</v>
      </c>
      <c r="BH78" s="101">
        <f>Sheet1!CL78*GPMtoMGD</f>
        <v>0.74980800000000014</v>
      </c>
      <c r="BI78" s="101">
        <f t="shared" si="19"/>
        <v>2.1618720000000002</v>
      </c>
      <c r="BK78" s="106">
        <f>SUM(AT78:BA78,BE78,Sheet1!BU78,'Calculations II'!BC78,Calculation!AG78)</f>
        <v>44.561961745565519</v>
      </c>
      <c r="BM78" s="439">
        <f>IF(AND(Sheet1!BQ78&lt;=11.5,Sheet1!BQ77&gt;Sheet1!BQ78),(MIN(Lookup!$C$119,VLOOKUP(Sheet1!BQ77,Lookup!$B$4:$J$236,2))-VLOOKUP(Sheet1!BQ78,Lookup!$B$4:$J$236,2))/1000000,0)</f>
        <v>0</v>
      </c>
      <c r="BN78" s="439">
        <f>IF(AND(Sheet1!BR78&lt;=11.5,Sheet1!BR77&gt;Sheet1!BR78),(MIN(Lookup!$D$119,VLOOKUP(Sheet1!BR77,Lookup!$B$4:$J$236,3))-VLOOKUP(Sheet1!BR78,Lookup!$B$4:$J$236,3))/1000000,0)</f>
        <v>0</v>
      </c>
      <c r="BP78" s="105">
        <f>SUM(BM78:BN78,W78,Sheet1!DT78)</f>
        <v>0</v>
      </c>
    </row>
    <row r="79" spans="1:68" s="101" customFormat="1">
      <c r="A79" s="101" t="s">
        <v>9</v>
      </c>
      <c r="B79" s="103">
        <v>40608</v>
      </c>
      <c r="C79" s="104">
        <v>0.33333333333357601</v>
      </c>
      <c r="E79" s="30"/>
      <c r="F79" s="30">
        <f>-(VLOOKUP(Sheet1!BZ79,Lookup!$I$4:$J$216,2)-VLOOKUP(Sheet1!BZ78,Lookup!$I$4:$J$216,2))/1000000</f>
        <v>-0.20727387709560433</v>
      </c>
      <c r="G79" s="106">
        <f>-$G$6*(Sheet1!CB79-Sheet1!CB78)*7.48/1000000</f>
        <v>6.7512951789350767E-2</v>
      </c>
      <c r="H79" s="106">
        <f>-$H$6*(Sheet1!CA79-Sheet1!CA78)*7.48/1000000</f>
        <v>-0.22559148526897588</v>
      </c>
      <c r="I79" s="106">
        <f>-$I$6*(Sheet1!CC79-Sheet1!CC78)*7.48/1000000</f>
        <v>-0.1205431064677812</v>
      </c>
      <c r="J79" s="107" t="s">
        <v>193</v>
      </c>
      <c r="K79" s="106">
        <f>-$I$6*(Sheet1!CD79-Sheet1!CD78)*7.48/1000000</f>
        <v>-0.11334650309657053</v>
      </c>
      <c r="L79" s="107" t="s">
        <v>193</v>
      </c>
      <c r="M79" s="106">
        <f>-$M$6*(Sheet1!CE79-Sheet1!CE78)*7.48/1000000</f>
        <v>-4.5976910583763332E-2</v>
      </c>
      <c r="N79" s="106">
        <f>-$N$6*(Sheet1!CF79-Sheet1!CF78)*7.48/1000000</f>
        <v>-0.11169422171032393</v>
      </c>
      <c r="O79" s="106">
        <f t="shared" si="15"/>
        <v>-0.75691315243366841</v>
      </c>
      <c r="P79" s="106">
        <f>O79+Calculation!EI79</f>
        <v>0.32408684756633155</v>
      </c>
      <c r="Q79" s="101" t="str">
        <f>IF(Sheet1!BQ79&gt;21.75,"spill elevation","-")</f>
        <v>-</v>
      </c>
      <c r="R79" s="101" t="str">
        <f>IF(Sheet1!BR79&gt;21.75,"spill elevation","-")</f>
        <v>-</v>
      </c>
      <c r="S79" s="101" t="str">
        <f>IF(Sheet1!BS79&gt;21.75,"spill elevation","-")</f>
        <v>-</v>
      </c>
      <c r="T79" s="105">
        <f>IF(Sheet1!DQ79=1,Sheet1!AA79-(SUM(AT79:BA79)+BE79),Sheet1!AA79-SUM(AT79:BA79))</f>
        <v>29.045567999996507</v>
      </c>
      <c r="U79" s="105">
        <f>Sheet1!BU79</f>
        <v>26.1</v>
      </c>
      <c r="V79" s="105">
        <f t="shared" si="16"/>
        <v>2.9455679999965056</v>
      </c>
      <c r="W79" s="105">
        <f t="shared" si="17"/>
        <v>0</v>
      </c>
      <c r="X79" s="101">
        <f>IF((Sheet1!EX79-Sheet1!EX78)&lt;0,(Sheet1!EX79+100000-Sheet1!EX78)/1000,(Sheet1!EX79-Sheet1!EX78)/1000)</f>
        <v>0.81100000000000005</v>
      </c>
      <c r="Y79" s="106">
        <f>Calculation!DZ80+Calculation!EI79+'Calculations II'!O79-'Calculations II'!W79</f>
        <v>55.534086847565462</v>
      </c>
      <c r="Z79" s="106">
        <f>Y79-Sheet1!CP80</f>
        <v>39.204086847565463</v>
      </c>
      <c r="AA79" s="106">
        <f>Y79+Calculation!CZ80+Calculation!AI80</f>
        <v>64.094340791390493</v>
      </c>
      <c r="AC79" s="106">
        <f>Sheet1!AA79+Sheet1!AB79+BC79</f>
        <v>56.649999999994179</v>
      </c>
      <c r="AD79" s="106">
        <f>Sheet1!AA79+Sheet1!BN79+'Calculations II'!BC79-Calculation!AI79-Calculation!CZ79</f>
        <v>38.780289687135159</v>
      </c>
      <c r="AE79" s="106">
        <f>Sheet1!AA79+Sheet1!AB79+'Calculations II'!BC79-Calculation!AI79-Calculation!CZ79</f>
        <v>47.940289687132832</v>
      </c>
      <c r="AF79" s="106">
        <f>Sheet1!AA79+Sheet1!BN79+P79+'Calculations II'!BC79+Calculation!AI79+Calculation!CZ79</f>
        <v>56.523797160424188</v>
      </c>
      <c r="AG79" s="106">
        <f>Sheet1!AA79+Sheet1!BN79+'Calculations II'!BC79+'Calculations II'!P79-Sheet1!CP79-BP79</f>
        <v>31.37408684756284</v>
      </c>
      <c r="AH79" s="106">
        <f>Sheet1!AA79+Sheet1!BN79+'Calculations II'!BC79+'Calculations II'!P79-BP79</f>
        <v>47.814086847562841</v>
      </c>
      <c r="AI79" s="106">
        <f>BC79+Sheet1!AA79+Calculation!EI79+O79+W79+Sheet1!BN79+Calculation!AI79+Calculation!CZ79-BP79</f>
        <v>56.523797160424181</v>
      </c>
      <c r="AJ79" s="106"/>
      <c r="AM79" s="102">
        <f t="shared" si="18"/>
        <v>40608</v>
      </c>
      <c r="AN79" s="106"/>
      <c r="AO79" s="106"/>
      <c r="AR79" s="106"/>
      <c r="AT79" s="101">
        <f>Sheet1!AR79*GPMtoMGD</f>
        <v>0</v>
      </c>
      <c r="AU79" s="101">
        <f>Sheet1!AS79*GPMtoMGD</f>
        <v>5.3568000000000005E-2</v>
      </c>
      <c r="AV79" s="101">
        <f>Sheet1!AT79*GPMtoMGD</f>
        <v>0</v>
      </c>
      <c r="AW79" s="101">
        <f>Sheet1!AV79*GPMtoMGD</f>
        <v>0.49953599999999998</v>
      </c>
      <c r="AX79" s="101">
        <f>Sheet1!AW79*GPMtoMGD</f>
        <v>0.49132799999999999</v>
      </c>
      <c r="AY79" s="101">
        <f>Sheet1!AX79*GPMtoMGD</f>
        <v>0</v>
      </c>
      <c r="AZ79" s="101">
        <f>Sheet1!AY79*GPMtoMGD</f>
        <v>0</v>
      </c>
      <c r="BA79" s="101">
        <f>Sheet1!AZ79*GPMtoMGD</f>
        <v>0</v>
      </c>
      <c r="BB79" s="101">
        <f>Sheet1!BP79*GPMtoMGD</f>
        <v>0</v>
      </c>
      <c r="BC79" s="101">
        <f>Sheet1!CO79*GPMtoMGD</f>
        <v>0</v>
      </c>
      <c r="BD79" s="101">
        <f>Sheet1!BO79*GPMtoMGD</f>
        <v>2.2821120000000001</v>
      </c>
      <c r="BE79" s="101">
        <f>Sheet1!BV79*GPMtoMGD</f>
        <v>0.64425600000000005</v>
      </c>
      <c r="BF79" s="101">
        <f>Sheet1!CJ79*GPMtoMGD</f>
        <v>0.62236800000000003</v>
      </c>
      <c r="BG79" s="101">
        <f>Sheet1!CK79*GPMtoMGD</f>
        <v>0.62366400000000011</v>
      </c>
      <c r="BH79" s="101">
        <f>Sheet1!CL79*GPMtoMGD</f>
        <v>0.75686400000000009</v>
      </c>
      <c r="BI79" s="101">
        <f t="shared" si="19"/>
        <v>2.2821120000000001</v>
      </c>
      <c r="BK79" s="106">
        <f>SUM(AT79:BA79,BE79,Sheet1!BU79,'Calculations II'!BC79,Calculation!AG79)</f>
        <v>45.638977687136332</v>
      </c>
      <c r="BM79" s="439">
        <f>IF(AND(Sheet1!BQ79&lt;=11.5,Sheet1!BQ78&gt;Sheet1!BQ79),(MIN(Lookup!$C$119,VLOOKUP(Sheet1!BQ78,Lookup!$B$4:$J$236,2))-VLOOKUP(Sheet1!BQ79,Lookup!$B$4:$J$236,2))/1000000,0)</f>
        <v>0</v>
      </c>
      <c r="BN79" s="439">
        <f>IF(AND(Sheet1!BR79&lt;=11.5,Sheet1!BR78&gt;Sheet1!BR79),(MIN(Lookup!$D$119,VLOOKUP(Sheet1!BR78,Lookup!$B$4:$J$236,3))-VLOOKUP(Sheet1!BR79,Lookup!$B$4:$J$236,3))/1000000,0)</f>
        <v>0</v>
      </c>
      <c r="BP79" s="105">
        <f>SUM(BM79:BN79,W79,Sheet1!DT79)</f>
        <v>0</v>
      </c>
    </row>
    <row r="80" spans="1:68" s="101" customFormat="1">
      <c r="A80" s="101" t="s">
        <v>3</v>
      </c>
      <c r="B80" s="103">
        <v>40609</v>
      </c>
      <c r="C80" s="104">
        <v>0.33333333333357601</v>
      </c>
      <c r="E80" s="30"/>
      <c r="F80" s="30">
        <f>-(VLOOKUP(Sheet1!BZ80,Lookup!$I$4:$J$216,2)-VLOOKUP(Sheet1!BZ79,Lookup!$I$4:$J$216,2))/1000000</f>
        <v>0.20727387709560433</v>
      </c>
      <c r="G80" s="106">
        <f>-$G$6*(Sheet1!CB80-Sheet1!CB79)*7.48/1000000</f>
        <v>-0.52421821389378276</v>
      </c>
      <c r="H80" s="106">
        <f>-$H$6*(Sheet1!CA80-Sheet1!CA79)*7.48/1000000</f>
        <v>0.37598580878162652</v>
      </c>
      <c r="I80" s="106">
        <f>-$I$6*(Sheet1!CC80-Sheet1!CC79)*7.48/1000000</f>
        <v>0.24288536377836539</v>
      </c>
      <c r="J80" s="107" t="s">
        <v>193</v>
      </c>
      <c r="K80" s="106">
        <f>-$I$6*(Sheet1!CD80-Sheet1!CD79)*7.48/1000000</f>
        <v>0.2410862129355624</v>
      </c>
      <c r="L80" s="107" t="s">
        <v>193</v>
      </c>
      <c r="M80" s="106">
        <f>-$M$6*(Sheet1!CE80-Sheet1!CE79)*7.48/1000000</f>
        <v>9.3952817279864043E-2</v>
      </c>
      <c r="N80" s="106">
        <f>-$N$6*(Sheet1!CF80-Sheet1!CF79)*7.48/1000000</f>
        <v>2.482093815785013E-2</v>
      </c>
      <c r="O80" s="106">
        <f t="shared" si="15"/>
        <v>0.66178680413509006</v>
      </c>
      <c r="P80" s="106">
        <f>O80+Calculation!EI80</f>
        <v>-0.95971319586491011</v>
      </c>
      <c r="Q80" s="101" t="str">
        <f>IF(Sheet1!BQ80&gt;21.75,"spill elevation","-")</f>
        <v>-</v>
      </c>
      <c r="R80" s="101" t="str">
        <f>IF(Sheet1!BR80&gt;21.75,"spill elevation","-")</f>
        <v>-</v>
      </c>
      <c r="S80" s="101" t="str">
        <f>IF(Sheet1!BS80&gt;21.75,"spill elevation","-")</f>
        <v>-</v>
      </c>
      <c r="T80" s="105">
        <f>IF(Sheet1!DQ80=1,Sheet1!AA80-(SUM(AT80:BA80)+BE80),Sheet1!AA80-SUM(AT80:BA80))</f>
        <v>28.427423999997671</v>
      </c>
      <c r="U80" s="105">
        <f>Sheet1!BU80</f>
        <v>23.5</v>
      </c>
      <c r="V80" s="105">
        <f t="shared" si="16"/>
        <v>4.9274239999976714</v>
      </c>
      <c r="W80" s="105">
        <f t="shared" si="17"/>
        <v>0</v>
      </c>
      <c r="X80" s="101">
        <f>IF((Sheet1!EX80-Sheet1!EX79)&lt;0,(Sheet1!EX80+100000-Sheet1!EX79)/1000,(Sheet1!EX80-Sheet1!EX79)/1000)</f>
        <v>0.80600000000000005</v>
      </c>
      <c r="Y80" s="106">
        <f>Calculation!DZ81+Calculation!EI80+'Calculations II'!O80-'Calculations II'!W80</f>
        <v>54.440286804143824</v>
      </c>
      <c r="Z80" s="106">
        <f>Y80-Sheet1!CP81</f>
        <v>38.160286804143823</v>
      </c>
      <c r="AA80" s="106">
        <f>Y80+Calculation!CZ81+Calculation!AI81</f>
        <v>63.013476326485886</v>
      </c>
      <c r="AC80" s="106">
        <f>Sheet1!AA80+Sheet1!AB80+BC80</f>
        <v>55.209999999999127</v>
      </c>
      <c r="AD80" s="106">
        <f>Sheet1!AA80+Sheet1!BN80+'Calculations II'!BC80-Calculation!AI80-Calculation!CZ80</f>
        <v>38.149746056172638</v>
      </c>
      <c r="AE80" s="106">
        <f>Sheet1!AA80+Sheet1!AB80+'Calculations II'!BC80-Calculation!AI80-Calculation!CZ80</f>
        <v>46.649746056174095</v>
      </c>
      <c r="AF80" s="106">
        <f>Sheet1!AA80+Sheet1!BN80+P80+'Calculations II'!BC80+Calculation!AI80+Calculation!CZ80</f>
        <v>54.310540747957795</v>
      </c>
      <c r="AG80" s="106">
        <f>Sheet1!AA80+Sheet1!BN80+'Calculations II'!BC80+'Calculations II'!P80-Sheet1!CP80-BP80</f>
        <v>29.420286804132765</v>
      </c>
      <c r="AH80" s="106">
        <f>Sheet1!AA80+Sheet1!BN80+'Calculations II'!BC80+'Calculations II'!P80-BP80</f>
        <v>45.750286804132763</v>
      </c>
      <c r="AI80" s="106">
        <f>BC80+Sheet1!AA80+Calculation!EI80+O80+W80+Sheet1!BN80+Calculation!AI80+Calculation!CZ80-BP80</f>
        <v>54.310540747957788</v>
      </c>
      <c r="AJ80" s="106"/>
      <c r="AM80" s="102">
        <f t="shared" si="18"/>
        <v>40609</v>
      </c>
      <c r="AN80" s="106"/>
      <c r="AO80" s="106"/>
      <c r="AR80" s="106"/>
      <c r="AT80" s="101">
        <f>Sheet1!AR80*GPMtoMGD</f>
        <v>0</v>
      </c>
      <c r="AU80" s="101">
        <f>Sheet1!AS80*GPMtoMGD</f>
        <v>2.7648000000000002E-2</v>
      </c>
      <c r="AV80" s="101">
        <f>Sheet1!AT80*GPMtoMGD</f>
        <v>0</v>
      </c>
      <c r="AW80" s="101">
        <f>Sheet1!AV80*GPMtoMGD</f>
        <v>0.44726400000000005</v>
      </c>
      <c r="AX80" s="101">
        <f>Sheet1!AW80*GPMtoMGD</f>
        <v>0.40766400000000008</v>
      </c>
      <c r="AY80" s="101">
        <f>Sheet1!AX80*GPMtoMGD</f>
        <v>0</v>
      </c>
      <c r="AZ80" s="101">
        <f>Sheet1!AY80*GPMtoMGD</f>
        <v>0</v>
      </c>
      <c r="BA80" s="101">
        <f>Sheet1!AZ80*GPMtoMGD</f>
        <v>0</v>
      </c>
      <c r="BB80" s="101">
        <f>Sheet1!BP80*GPMtoMGD</f>
        <v>0</v>
      </c>
      <c r="BC80" s="101">
        <f>Sheet1!CO80*GPMtoMGD</f>
        <v>0</v>
      </c>
      <c r="BD80" s="101">
        <f>Sheet1!BO80*GPMtoMGD</f>
        <v>1.3112640000000002</v>
      </c>
      <c r="BE80" s="101">
        <f>Sheet1!BV80*GPMtoMGD</f>
        <v>0.91512000000000004</v>
      </c>
      <c r="BF80" s="101">
        <f>Sheet1!CJ80*GPMtoMGD</f>
        <v>0.52027200000000007</v>
      </c>
      <c r="BG80" s="101">
        <f>Sheet1!CK80*GPMtoMGD</f>
        <v>0.56606400000000012</v>
      </c>
      <c r="BH80" s="101">
        <f>Sheet1!CL80*GPMtoMGD</f>
        <v>0.81115199999999998</v>
      </c>
      <c r="BI80" s="101">
        <f t="shared" si="19"/>
        <v>1.3112640000000002</v>
      </c>
      <c r="BK80" s="106">
        <f>SUM(AT80:BA80,BE80,Sheet1!BU80,'Calculations II'!BC80,Calculation!AG80)</f>
        <v>42.637442056176425</v>
      </c>
      <c r="BM80" s="439">
        <f>IF(AND(Sheet1!BQ80&lt;=11.5,Sheet1!BQ79&gt;Sheet1!BQ80),(MIN(Lookup!$C$119,VLOOKUP(Sheet1!BQ79,Lookup!$B$4:$J$236,2))-VLOOKUP(Sheet1!BQ80,Lookup!$B$4:$J$236,2))/1000000,0)</f>
        <v>0</v>
      </c>
      <c r="BN80" s="439">
        <f>IF(AND(Sheet1!BR80&lt;=11.5,Sheet1!BR79&gt;Sheet1!BR80),(MIN(Lookup!$D$119,VLOOKUP(Sheet1!BR79,Lookup!$B$4:$J$236,3))-VLOOKUP(Sheet1!BR80,Lookup!$B$4:$J$236,3))/1000000,0)</f>
        <v>0</v>
      </c>
      <c r="BP80" s="105">
        <f>SUM(BM80:BN80,W80,Sheet1!DT80)</f>
        <v>0</v>
      </c>
    </row>
    <row r="81" spans="1:68" s="101" customFormat="1">
      <c r="A81" s="101" t="s">
        <v>4</v>
      </c>
      <c r="B81" s="103">
        <v>40610</v>
      </c>
      <c r="C81" s="104">
        <v>0.33333333333357601</v>
      </c>
      <c r="E81" s="30"/>
      <c r="F81" s="30">
        <f>-(VLOOKUP(Sheet1!BZ81,Lookup!$I$4:$J$216,2)-VLOOKUP(Sheet1!BZ80,Lookup!$I$4:$J$216,2))/1000000</f>
        <v>0.10363693854779936</v>
      </c>
      <c r="G81" s="106">
        <f>-$G$6*(Sheet1!CB81-Sheet1!CB80)*7.48/1000000</f>
        <v>0.26608045705214722</v>
      </c>
      <c r="H81" s="106">
        <f>-$H$6*(Sheet1!CA81-Sheet1!CA80)*7.48/1000000</f>
        <v>-0.10527602645885477</v>
      </c>
      <c r="I81" s="106">
        <f>-$I$6*(Sheet1!CC81-Sheet1!CC80)*7.48/1000000</f>
        <v>-0.1331371623674002</v>
      </c>
      <c r="J81" s="107" t="s">
        <v>193</v>
      </c>
      <c r="K81" s="106">
        <f>-$I$6*(Sheet1!CD81-Sheet1!CD80)*7.48/1000000</f>
        <v>-0.12414140815338653</v>
      </c>
      <c r="L81" s="107" t="s">
        <v>193</v>
      </c>
      <c r="M81" s="106">
        <f>-$M$6*(Sheet1!CE81-Sheet1!CE80)*7.48/1000000</f>
        <v>-6.5300539669692764E-2</v>
      </c>
      <c r="N81" s="106">
        <f>-$N$6*(Sheet1!CF81-Sheet1!CF80)*7.48/1000000</f>
        <v>0.18615703618387214</v>
      </c>
      <c r="O81" s="106">
        <f t="shared" si="15"/>
        <v>0.12801929513448448</v>
      </c>
      <c r="P81" s="106">
        <f>O81+Calculation!EI81</f>
        <v>-0.95298070486551545</v>
      </c>
      <c r="Q81" s="101" t="str">
        <f>IF(Sheet1!BQ81&gt;21.75,"spill elevation","-")</f>
        <v>-</v>
      </c>
      <c r="R81" s="101" t="str">
        <f>IF(Sheet1!BR81&gt;21.75,"spill elevation","-")</f>
        <v>-</v>
      </c>
      <c r="S81" s="101" t="str">
        <f>IF(Sheet1!BS81&gt;21.75,"spill elevation","-")</f>
        <v>-</v>
      </c>
      <c r="T81" s="105">
        <f>IF(Sheet1!DQ81=1,Sheet1!AA81-(SUM(AT81:BA81)+BE81),Sheet1!AA81-SUM(AT81:BA81))</f>
        <v>28.468608000008732</v>
      </c>
      <c r="U81" s="105">
        <f>Sheet1!BU81</f>
        <v>23.9</v>
      </c>
      <c r="V81" s="105">
        <f t="shared" si="16"/>
        <v>4.5686080000087337</v>
      </c>
      <c r="W81" s="105">
        <f t="shared" si="17"/>
        <v>0</v>
      </c>
      <c r="X81" s="101">
        <f>IF((Sheet1!EX81-Sheet1!EX80)&lt;0,(Sheet1!EX81+100000-Sheet1!EX80)/1000,(Sheet1!EX81-Sheet1!EX80)/1000)</f>
        <v>0.78400000000000003</v>
      </c>
      <c r="Y81" s="106">
        <f>Calculation!DZ82+Calculation!EI81+'Calculations II'!O81-'Calculations II'!W81</f>
        <v>54.027019295130408</v>
      </c>
      <c r="Z81" s="106">
        <f>Y81-Sheet1!CP82</f>
        <v>38.01701929513041</v>
      </c>
      <c r="AA81" s="106">
        <f>Y81+Calculation!CZ82+Calculation!AI82</f>
        <v>62.521007734436381</v>
      </c>
      <c r="AC81" s="106">
        <f>Sheet1!AA81+Sheet1!AB81+BC81</f>
        <v>55.400000000008731</v>
      </c>
      <c r="AD81" s="106">
        <f>Sheet1!AA81+Sheet1!BN81+'Calculations II'!BC81-Calculation!AI81-Calculation!CZ81</f>
        <v>38.22681047766666</v>
      </c>
      <c r="AE81" s="106">
        <f>Sheet1!AA81+Sheet1!AB81+'Calculations II'!BC81-Calculation!AI81-Calculation!CZ81</f>
        <v>46.826810477666669</v>
      </c>
      <c r="AF81" s="106">
        <f>Sheet1!AA81+Sheet1!BN81+P81+'Calculations II'!BC81+Calculation!AI81+Calculation!CZ81</f>
        <v>54.420208817485275</v>
      </c>
      <c r="AG81" s="106">
        <f>Sheet1!AA81+Sheet1!BN81+'Calculations II'!BC81+'Calculations II'!P81-Sheet1!CP81-BP81</f>
        <v>29.567019295143211</v>
      </c>
      <c r="AH81" s="106">
        <f>Sheet1!AA81+Sheet1!BN81+'Calculations II'!BC81+'Calculations II'!P81-BP81</f>
        <v>45.847019295143213</v>
      </c>
      <c r="AI81" s="106">
        <f>BC81+Sheet1!AA81+Calculation!EI81+O81+W81+Sheet1!BN81+Calculation!AI81+Calculation!CZ81-BP81</f>
        <v>54.420208817485275</v>
      </c>
      <c r="AJ81" s="106"/>
      <c r="AM81" s="102">
        <f t="shared" si="18"/>
        <v>40610</v>
      </c>
      <c r="AN81" s="106"/>
      <c r="AO81" s="106"/>
      <c r="AR81" s="106"/>
      <c r="AT81" s="101">
        <f>Sheet1!AR81*GPMtoMGD</f>
        <v>0</v>
      </c>
      <c r="AU81" s="101">
        <f>Sheet1!AS81*GPMtoMGD</f>
        <v>2.6352000000000004E-2</v>
      </c>
      <c r="AV81" s="101">
        <f>Sheet1!AT81*GPMtoMGD</f>
        <v>0</v>
      </c>
      <c r="AW81" s="101">
        <f>Sheet1!AV81*GPMtoMGD</f>
        <v>0.47721599999999997</v>
      </c>
      <c r="AX81" s="101">
        <f>Sheet1!AW81*GPMtoMGD</f>
        <v>0.42782400000000004</v>
      </c>
      <c r="AY81" s="101">
        <f>Sheet1!AX81*GPMtoMGD</f>
        <v>0</v>
      </c>
      <c r="AZ81" s="101">
        <f>Sheet1!AY81*GPMtoMGD</f>
        <v>0</v>
      </c>
      <c r="BA81" s="101">
        <f>Sheet1!AZ81*GPMtoMGD</f>
        <v>0</v>
      </c>
      <c r="BB81" s="101">
        <f>Sheet1!BP81*GPMtoMGD</f>
        <v>0</v>
      </c>
      <c r="BC81" s="101">
        <f>Sheet1!CO81*GPMtoMGD</f>
        <v>0</v>
      </c>
      <c r="BD81" s="101">
        <f>Sheet1!BO81*GPMtoMGD</f>
        <v>1.9330560000000003</v>
      </c>
      <c r="BE81" s="101">
        <f>Sheet1!BV81*GPMtoMGD</f>
        <v>0.64123200000000002</v>
      </c>
      <c r="BF81" s="101">
        <f>Sheet1!CJ81*GPMtoMGD</f>
        <v>0.48657600000000001</v>
      </c>
      <c r="BG81" s="101">
        <f>Sheet1!CK81*GPMtoMGD</f>
        <v>0.54288000000000003</v>
      </c>
      <c r="BH81" s="101">
        <f>Sheet1!CL81*GPMtoMGD</f>
        <v>0.81158400000000008</v>
      </c>
      <c r="BI81" s="101">
        <f t="shared" si="19"/>
        <v>1.9330560000000003</v>
      </c>
      <c r="BK81" s="106">
        <f>SUM(AT81:BA81,BE81,Sheet1!BU81,'Calculations II'!BC81,Calculation!AG81)</f>
        <v>42.899434477657934</v>
      </c>
      <c r="BM81" s="439">
        <f>IF(AND(Sheet1!BQ81&lt;=11.5,Sheet1!BQ80&gt;Sheet1!BQ81),(MIN(Lookup!$C$119,VLOOKUP(Sheet1!BQ80,Lookup!$B$4:$J$236,2))-VLOOKUP(Sheet1!BQ81,Lookup!$B$4:$J$236,2))/1000000,0)</f>
        <v>0</v>
      </c>
      <c r="BN81" s="439">
        <f>IF(AND(Sheet1!BR81&lt;=11.5,Sheet1!BR80&gt;Sheet1!BR81),(MIN(Lookup!$D$119,VLOOKUP(Sheet1!BR80,Lookup!$B$4:$J$236,3))-VLOOKUP(Sheet1!BR81,Lookup!$B$4:$J$236,3))/1000000,0)</f>
        <v>0</v>
      </c>
      <c r="BP81" s="105">
        <f>SUM(BM81:BN81,W81,Sheet1!DT81)</f>
        <v>0</v>
      </c>
    </row>
    <row r="82" spans="1:68" s="101" customFormat="1">
      <c r="A82" s="101" t="s">
        <v>5</v>
      </c>
      <c r="B82" s="103">
        <v>40611</v>
      </c>
      <c r="C82" s="104">
        <v>0.33333333333357601</v>
      </c>
      <c r="E82" s="30"/>
      <c r="F82" s="30">
        <f>-(VLOOKUP(Sheet1!BZ82,Lookup!$I$4:$J$216,2)-VLOOKUP(Sheet1!BZ81,Lookup!$I$4:$J$216,2))/1000000</f>
        <v>-0.10363693854779936</v>
      </c>
      <c r="G82" s="106">
        <f>-$G$6*(Sheet1!CB82-Sheet1!CB81)*7.48/1000000</f>
        <v>0.28990855768368307</v>
      </c>
      <c r="H82" s="106">
        <f>-$H$6*(Sheet1!CA82-Sheet1!CA81)*7.48/1000000</f>
        <v>-0.28574921467403591</v>
      </c>
      <c r="I82" s="106">
        <f>-$I$6*(Sheet1!CC82-Sheet1!CC81)*7.48/1000000</f>
        <v>-0.10974820141096521</v>
      </c>
      <c r="J82" s="107" t="s">
        <v>193</v>
      </c>
      <c r="K82" s="106">
        <f>-$I$6*(Sheet1!CD82-Sheet1!CD81)*7.48/1000000</f>
        <v>-0.12773970983899219</v>
      </c>
      <c r="L82" s="107" t="s">
        <v>193</v>
      </c>
      <c r="M82" s="106">
        <f>-$M$6*(Sheet1!CE82-Sheet1!CE81)*7.48/1000000</f>
        <v>-2.7985945572725334E-2</v>
      </c>
      <c r="N82" s="106">
        <f>-$N$6*(Sheet1!CF82-Sheet1!CF81)*7.48/1000000</f>
        <v>-8.066804901301157E-2</v>
      </c>
      <c r="O82" s="106">
        <f t="shared" si="15"/>
        <v>-0.44561950137384654</v>
      </c>
      <c r="P82" s="106">
        <f>O82+Calculation!EI82</f>
        <v>-2.0671195013738468</v>
      </c>
      <c r="Q82" s="101" t="str">
        <f>IF(Sheet1!BQ82&gt;21.75,"spill elevation","-")</f>
        <v>-</v>
      </c>
      <c r="R82" s="101" t="str">
        <f>IF(Sheet1!BR82&gt;21.75,"spill elevation","-")</f>
        <v>-</v>
      </c>
      <c r="S82" s="101" t="str">
        <f>IF(Sheet1!BS82&gt;21.75,"spill elevation","-")</f>
        <v>-</v>
      </c>
      <c r="T82" s="105">
        <f>IF(Sheet1!DQ82=1,Sheet1!AA82-(SUM(AT82:BA82)+BE82),Sheet1!AA82-SUM(AT82:BA82))</f>
        <v>28.222095999997091</v>
      </c>
      <c r="U82" s="105">
        <f>Sheet1!BU82</f>
        <v>24</v>
      </c>
      <c r="V82" s="105">
        <f t="shared" si="16"/>
        <v>4.2220959999970908</v>
      </c>
      <c r="W82" s="105">
        <f t="shared" si="17"/>
        <v>0</v>
      </c>
      <c r="X82" s="101">
        <f>IF((Sheet1!EX82-Sheet1!EX81)&lt;0,(Sheet1!EX82+100000-Sheet1!EX81)/1000,(Sheet1!EX82-Sheet1!EX81)/1000)</f>
        <v>0.81599999999999995</v>
      </c>
      <c r="Y82" s="106">
        <f>Calculation!DZ83+Calculation!EI82+'Calculations II'!O82-'Calculations II'!W82</f>
        <v>45.892880498625281</v>
      </c>
      <c r="Z82" s="106">
        <f>Y82-Sheet1!CP83</f>
        <v>29.192880498625282</v>
      </c>
      <c r="AA82" s="106">
        <f>Y82+Calculation!CZ83+Calculation!AI83</f>
        <v>48.004032874376207</v>
      </c>
      <c r="AC82" s="106">
        <f>Sheet1!AA82+Sheet1!AB82+BC82</f>
        <v>54.979999999995925</v>
      </c>
      <c r="AD82" s="106">
        <f>Sheet1!AA82+Sheet1!BN82+'Calculations II'!BC82-Calculation!AI82-Calculation!CZ82</f>
        <v>38.106011560691115</v>
      </c>
      <c r="AE82" s="106">
        <f>Sheet1!AA82+Sheet1!AB82+'Calculations II'!BC82-Calculation!AI82-Calculation!CZ82</f>
        <v>46.486011560689953</v>
      </c>
      <c r="AF82" s="106">
        <f>Sheet1!AA82+Sheet1!BN82+P82+'Calculations II'!BC82+Calculation!AI82+Calculation!CZ82</f>
        <v>53.026868937929216</v>
      </c>
      <c r="AG82" s="106">
        <f>Sheet1!AA82+Sheet1!BN82+'Calculations II'!BC82+'Calculations II'!P82-Sheet1!CP82-BP82</f>
        <v>28.522880498623241</v>
      </c>
      <c r="AH82" s="106">
        <f>Sheet1!AA82+Sheet1!BN82+'Calculations II'!BC82+'Calculations II'!P82-BP82</f>
        <v>44.532880498623243</v>
      </c>
      <c r="AI82" s="106">
        <f>BC82+Sheet1!AA82+Calculation!EI82+O82+W82+Sheet1!BN82+Calculation!AI82+Calculation!CZ82-BP82</f>
        <v>53.026868937929216</v>
      </c>
      <c r="AJ82" s="106"/>
      <c r="AM82" s="102">
        <f t="shared" si="18"/>
        <v>40611</v>
      </c>
      <c r="AN82" s="106"/>
      <c r="AO82" s="106"/>
      <c r="AR82" s="106"/>
      <c r="AT82" s="101">
        <f>Sheet1!AR82*GPMtoMGD</f>
        <v>0</v>
      </c>
      <c r="AU82" s="101">
        <f>Sheet1!AS82*GPMtoMGD</f>
        <v>5.2704000000000008E-2</v>
      </c>
      <c r="AV82" s="101">
        <f>Sheet1!AT82*GPMtoMGD</f>
        <v>0</v>
      </c>
      <c r="AW82" s="101">
        <f>Sheet1!AV82*GPMtoMGD</f>
        <v>0.46987200000000007</v>
      </c>
      <c r="AX82" s="101">
        <f>Sheet1!AW82*GPMtoMGD</f>
        <v>0.45532800000000001</v>
      </c>
      <c r="AY82" s="101">
        <f>Sheet1!AX82*GPMtoMGD</f>
        <v>0</v>
      </c>
      <c r="AZ82" s="101">
        <f>Sheet1!AY82*GPMtoMGD</f>
        <v>0</v>
      </c>
      <c r="BA82" s="101">
        <f>Sheet1!AZ82*GPMtoMGD</f>
        <v>0</v>
      </c>
      <c r="BB82" s="101">
        <f>Sheet1!BP82*GPMtoMGD</f>
        <v>0</v>
      </c>
      <c r="BC82" s="101">
        <f>Sheet1!CO82*GPMtoMGD</f>
        <v>0</v>
      </c>
      <c r="BD82" s="101">
        <f>Sheet1!BO82*GPMtoMGD</f>
        <v>1.8620639999999999</v>
      </c>
      <c r="BE82" s="101">
        <f>Sheet1!BV82*GPMtoMGD</f>
        <v>0.64396799999999998</v>
      </c>
      <c r="BF82" s="101">
        <f>Sheet1!CJ82*GPMtoMGD</f>
        <v>0.45086400000000004</v>
      </c>
      <c r="BG82" s="101">
        <f>Sheet1!CK82*GPMtoMGD</f>
        <v>0.54158400000000007</v>
      </c>
      <c r="BH82" s="101">
        <f>Sheet1!CL82*GPMtoMGD</f>
        <v>0.79660800000000009</v>
      </c>
      <c r="BI82" s="101">
        <f t="shared" si="19"/>
        <v>1.8620639999999999</v>
      </c>
      <c r="BK82" s="106">
        <f>SUM(AT82:BA82,BE82,Sheet1!BU82,'Calculations II'!BC82,Calculation!AG82)</f>
        <v>42.907883560692859</v>
      </c>
      <c r="BM82" s="439">
        <f>IF(AND(Sheet1!BQ82&lt;=11.5,Sheet1!BQ81&gt;Sheet1!BQ82),(MIN(Lookup!$C$119,VLOOKUP(Sheet1!BQ81,Lookup!$B$4:$J$236,2))-VLOOKUP(Sheet1!BQ82,Lookup!$B$4:$J$236,2))/1000000,0)</f>
        <v>0</v>
      </c>
      <c r="BN82" s="439">
        <f>IF(AND(Sheet1!BR82&lt;=11.5,Sheet1!BR81&gt;Sheet1!BR82),(MIN(Lookup!$D$119,VLOOKUP(Sheet1!BR81,Lookup!$B$4:$J$236,3))-VLOOKUP(Sheet1!BR82,Lookup!$B$4:$J$236,3))/1000000,0)</f>
        <v>0</v>
      </c>
      <c r="BP82" s="105">
        <f>SUM(BM82:BN82,W82,Sheet1!DT82)</f>
        <v>0</v>
      </c>
    </row>
    <row r="83" spans="1:68" s="101" customFormat="1">
      <c r="A83" s="101" t="s">
        <v>6</v>
      </c>
      <c r="B83" s="103">
        <v>40612</v>
      </c>
      <c r="C83" s="104">
        <v>0.33333333333357601</v>
      </c>
      <c r="E83" s="30"/>
      <c r="F83" s="30">
        <f>-(VLOOKUP(Sheet1!BZ83,Lookup!$I$4:$J$216,2)-VLOOKUP(Sheet1!BZ82,Lookup!$I$4:$J$216,2))/1000000</f>
        <v>0</v>
      </c>
      <c r="G83" s="106">
        <f>-$G$6*(Sheet1!CB83-Sheet1!CB82)*7.48/1000000</f>
        <v>0.27799450736791548</v>
      </c>
      <c r="H83" s="106">
        <f>-$H$6*(Sheet1!CA83-Sheet1!CA82)*7.48/1000000</f>
        <v>0.25567034997150534</v>
      </c>
      <c r="I83" s="106">
        <f>-$I$6*(Sheet1!CC83-Sheet1!CC82)*7.48/1000000</f>
        <v>0.27886838063441938</v>
      </c>
      <c r="J83" s="107" t="s">
        <v>193</v>
      </c>
      <c r="K83" s="106">
        <f>-$I$6*(Sheet1!CD83-Sheet1!CD82)*7.48/1000000</f>
        <v>0.26987262642040577</v>
      </c>
      <c r="L83" s="107" t="s">
        <v>193</v>
      </c>
      <c r="M83" s="106">
        <f>-$M$6*(Sheet1!CE83-Sheet1!CE82)*7.48/1000000</f>
        <v>0.10661312599133493</v>
      </c>
      <c r="N83" s="106">
        <f>-$N$6*(Sheet1!CF83-Sheet1!CF82)*7.48/1000000</f>
        <v>-9.3078518091936069E-2</v>
      </c>
      <c r="O83" s="106">
        <f t="shared" si="15"/>
        <v>1.0959404722936448</v>
      </c>
      <c r="P83" s="106">
        <f>O83+Calculation!EI83</f>
        <v>1.3659404722936448</v>
      </c>
      <c r="Q83" s="101" t="str">
        <f>IF(Sheet1!BQ83&gt;21.75,"spill elevation","-")</f>
        <v>-</v>
      </c>
      <c r="R83" s="101" t="str">
        <f>IF(Sheet1!BR83&gt;21.75,"spill elevation","-")</f>
        <v>-</v>
      </c>
      <c r="S83" s="101" t="str">
        <f>IF(Sheet1!BS83&gt;21.75,"spill elevation","-")</f>
        <v>-</v>
      </c>
      <c r="T83" s="105">
        <f>IF(Sheet1!DQ83=1,Sheet1!AA83-(SUM(AT83:BA83)+BE83),Sheet1!AA83-SUM(AT83:BA83))</f>
        <v>27.688799999999418</v>
      </c>
      <c r="U83" s="105">
        <f>Sheet1!BU83</f>
        <v>25</v>
      </c>
      <c r="V83" s="105">
        <f t="shared" si="16"/>
        <v>2.6887999999994179</v>
      </c>
      <c r="W83" s="105">
        <f t="shared" si="17"/>
        <v>0</v>
      </c>
      <c r="X83" s="101">
        <f>IF((Sheet1!EX83-Sheet1!EX82)&lt;0,(Sheet1!EX83+100000-Sheet1!EX82)/1000,(Sheet1!EX83-Sheet1!EX82)/1000)</f>
        <v>0.79900000000000004</v>
      </c>
      <c r="Y83" s="106">
        <f>Calculation!DZ84+Calculation!EI83+'Calculations II'!O83-'Calculations II'!W83</f>
        <v>47.225940472294226</v>
      </c>
      <c r="Z83" s="106">
        <f>Y83-Sheet1!CP84</f>
        <v>30.795940472294227</v>
      </c>
      <c r="AA83" s="106">
        <f>Y83+Calculation!CZ84+Calculation!AI84</f>
        <v>47.225940472294226</v>
      </c>
      <c r="AC83" s="106">
        <f>Sheet1!AA83+Sheet1!AB83+BC83</f>
        <v>47.959999999999127</v>
      </c>
      <c r="AD83" s="106">
        <f>Sheet1!AA83+Sheet1!BN83+'Calculations II'!BC83-Calculation!AI83-Calculation!CZ83</f>
        <v>43.728847624248502</v>
      </c>
      <c r="AE83" s="106">
        <f>Sheet1!AA83+Sheet1!AB83+'Calculations II'!BC83-Calculation!AI83-Calculation!CZ83</f>
        <v>45.848847624248208</v>
      </c>
      <c r="AF83" s="106">
        <f>Sheet1!AA83+Sheet1!BN83+P83+'Calculations II'!BC83+Calculation!AI83+Calculation!CZ83</f>
        <v>49.317092848043984</v>
      </c>
      <c r="AG83" s="106">
        <f>Sheet1!AA83+Sheet1!BN83+'Calculations II'!BC83+'Calculations II'!P83-Sheet1!CP83-BP83</f>
        <v>30.505940472293066</v>
      </c>
      <c r="AH83" s="106">
        <f>Sheet1!AA83+Sheet1!BN83+'Calculations II'!BC83+'Calculations II'!P83-BP83</f>
        <v>47.205940472293065</v>
      </c>
      <c r="AI83" s="106">
        <f>BC83+Sheet1!AA83+Calculation!EI83+O83+W83+Sheet1!BN83+Calculation!AI83+Calculation!CZ83-BP83</f>
        <v>49.317092848043984</v>
      </c>
      <c r="AJ83" s="106"/>
      <c r="AM83" s="102">
        <f t="shared" si="18"/>
        <v>40612</v>
      </c>
      <c r="AN83" s="106"/>
      <c r="AO83" s="106"/>
      <c r="AR83" s="106"/>
      <c r="AT83" s="101">
        <f>Sheet1!AR83*GPMtoMGD</f>
        <v>0</v>
      </c>
      <c r="AU83" s="101">
        <f>Sheet1!AS83*GPMtoMGD</f>
        <v>2.6495999999999999E-2</v>
      </c>
      <c r="AV83" s="101">
        <f>Sheet1!AT83*GPMtoMGD</f>
        <v>0</v>
      </c>
      <c r="AW83" s="101">
        <f>Sheet1!AV83*GPMtoMGD</f>
        <v>0.99964800000000009</v>
      </c>
      <c r="AX83" s="101">
        <f>Sheet1!AW83*GPMtoMGD</f>
        <v>0.92505599999999999</v>
      </c>
      <c r="AY83" s="101">
        <f>Sheet1!AX83*GPMtoMGD</f>
        <v>0</v>
      </c>
      <c r="AZ83" s="101">
        <f>Sheet1!AY83*GPMtoMGD</f>
        <v>0</v>
      </c>
      <c r="BA83" s="101">
        <f>Sheet1!AZ83*GPMtoMGD</f>
        <v>0</v>
      </c>
      <c r="BB83" s="101">
        <f>Sheet1!BP83*GPMtoMGD</f>
        <v>0</v>
      </c>
      <c r="BC83" s="101">
        <f>Sheet1!CO83*GPMtoMGD</f>
        <v>0</v>
      </c>
      <c r="BD83" s="101">
        <f>Sheet1!BO83*GPMtoMGD</f>
        <v>1.2962880000000001</v>
      </c>
      <c r="BE83" s="101">
        <f>Sheet1!BV83*GPMtoMGD</f>
        <v>0.76881600000000005</v>
      </c>
      <c r="BF83" s="101">
        <f>Sheet1!CJ83*GPMtoMGD</f>
        <v>0.42465599999999998</v>
      </c>
      <c r="BG83" s="101">
        <f>Sheet1!CK83*GPMtoMGD</f>
        <v>0.54777600000000004</v>
      </c>
      <c r="BH83" s="101">
        <f>Sheet1!CL83*GPMtoMGD</f>
        <v>0.80409600000000003</v>
      </c>
      <c r="BI83" s="101">
        <f t="shared" si="19"/>
        <v>1.2962880000000001</v>
      </c>
      <c r="BK83" s="106">
        <f>SUM(AT83:BA83,BE83,Sheet1!BU83,'Calculations II'!BC83,Calculation!AG83)</f>
        <v>43.928863624248791</v>
      </c>
      <c r="BM83" s="439">
        <f>IF(AND(Sheet1!BQ83&lt;=11.5,Sheet1!BQ82&gt;Sheet1!BQ83),(MIN(Lookup!$C$119,VLOOKUP(Sheet1!BQ82,Lookup!$B$4:$J$236,2))-VLOOKUP(Sheet1!BQ83,Lookup!$B$4:$J$236,2))/1000000,0)</f>
        <v>0</v>
      </c>
      <c r="BN83" s="439">
        <f>IF(AND(Sheet1!BR83&lt;=11.5,Sheet1!BR82&gt;Sheet1!BR83),(MIN(Lookup!$D$119,VLOOKUP(Sheet1!BR82,Lookup!$B$4:$J$236,3))-VLOOKUP(Sheet1!BR83,Lookup!$B$4:$J$236,3))/1000000,0)</f>
        <v>0</v>
      </c>
      <c r="BP83" s="105">
        <f>SUM(BM83:BN83,W83,Sheet1!DT83)</f>
        <v>0</v>
      </c>
    </row>
    <row r="84" spans="1:68" s="101" customFormat="1">
      <c r="A84" s="101" t="s">
        <v>7</v>
      </c>
      <c r="B84" s="103">
        <v>40613</v>
      </c>
      <c r="C84" s="104">
        <v>0.33333333333357601</v>
      </c>
      <c r="E84" s="30"/>
      <c r="F84" s="30">
        <f>-(VLOOKUP(Sheet1!BZ84,Lookup!$I$4:$J$216,2)-VLOOKUP(Sheet1!BZ83,Lookup!$I$4:$J$216,2))/1000000</f>
        <v>0.41454775419119744</v>
      </c>
      <c r="G84" s="106">
        <f>-$G$6*(Sheet1!CB84-Sheet1!CB83)*7.48/1000000</f>
        <v>-0.11914050315767817</v>
      </c>
      <c r="H84" s="106">
        <f>-$H$6*(Sheet1!CA84-Sheet1!CA83)*7.48/1000000</f>
        <v>-1.5039432351265274E-2</v>
      </c>
      <c r="I84" s="106">
        <f>-$I$6*(Sheet1!CC84-Sheet1!CC83)*7.48/1000000</f>
        <v>-0.30585564327645964</v>
      </c>
      <c r="J84" s="107" t="s">
        <v>193</v>
      </c>
      <c r="K84" s="106">
        <f>-$I$6*(Sheet1!CD84-Sheet1!CD83)*7.48/1000000</f>
        <v>-0.28606498400563002</v>
      </c>
      <c r="L84" s="107" t="s">
        <v>193</v>
      </c>
      <c r="M84" s="106">
        <f>-$M$6*(Sheet1!CE84-Sheet1!CE83)*7.48/1000000</f>
        <v>-0.12660308711471033</v>
      </c>
      <c r="N84" s="106">
        <f>-$N$6*(Sheet1!CF84-Sheet1!CF83)*7.48/1000000</f>
        <v>0.19236227072333439</v>
      </c>
      <c r="O84" s="106">
        <f t="shared" si="15"/>
        <v>-0.24579362499121157</v>
      </c>
      <c r="P84" s="106">
        <f>O84+Calculation!EI84</f>
        <v>0.56520637500878845</v>
      </c>
      <c r="Q84" s="101" t="str">
        <f>IF(Sheet1!BQ84&gt;21.75,"spill elevation","-")</f>
        <v>-</v>
      </c>
      <c r="R84" s="101" t="str">
        <f>IF(Sheet1!BR84&gt;21.75,"spill elevation","-")</f>
        <v>-</v>
      </c>
      <c r="S84" s="101" t="str">
        <f>IF(Sheet1!BS84&gt;21.75,"spill elevation","-")</f>
        <v>-</v>
      </c>
      <c r="T84" s="105">
        <f>IF(Sheet1!DQ84=1,Sheet1!AA84-(SUM(AT84:BA84)+BE84),Sheet1!AA84-SUM(AT84:BA84))</f>
        <v>26.775247999997671</v>
      </c>
      <c r="U84" s="105">
        <f>Sheet1!BU84</f>
        <v>26.5</v>
      </c>
      <c r="V84" s="105">
        <f t="shared" si="16"/>
        <v>0.27524799999767069</v>
      </c>
      <c r="W84" s="105">
        <f t="shared" si="17"/>
        <v>0</v>
      </c>
      <c r="X84" s="101">
        <f>IF((Sheet1!EX84-Sheet1!EX83)&lt;0,(Sheet1!EX84+100000-Sheet1!EX83)/1000,(Sheet1!EX84-Sheet1!EX83)/1000)</f>
        <v>0.77900000000000003</v>
      </c>
      <c r="Y84" s="106">
        <f>Calculation!DZ85+Calculation!EI84+'Calculations II'!O84-'Calculations II'!W84</f>
        <v>47.565206375008792</v>
      </c>
      <c r="Z84" s="106">
        <f>Y84-Sheet1!CP85</f>
        <v>31.05520637500879</v>
      </c>
      <c r="AA84" s="106">
        <f>Y84+Calculation!CZ85+Calculation!AI85</f>
        <v>50.01665481069783</v>
      </c>
      <c r="AC84" s="106">
        <f>Sheet1!AA84+Sheet1!AB84+BC84</f>
        <v>45.860000000000582</v>
      </c>
      <c r="AD84" s="106">
        <f>Sheet1!AA84+Sheet1!BN84+'Calculations II'!BC84-Calculation!AI84-Calculation!CZ84</f>
        <v>45.559999999997672</v>
      </c>
      <c r="AE84" s="106">
        <f>Sheet1!AA84+Sheet1!AB84+'Calculations II'!BC84-Calculation!AI84-Calculation!CZ84</f>
        <v>45.860000000000582</v>
      </c>
      <c r="AF84" s="106">
        <f>Sheet1!AA84+Sheet1!BN84+P84+'Calculations II'!BC84+Calculation!AI84+Calculation!CZ84</f>
        <v>46.125206375006464</v>
      </c>
      <c r="AG84" s="106">
        <f>Sheet1!AA84+Sheet1!BN84+'Calculations II'!BC84+'Calculations II'!P84-Sheet1!CP84-BP84</f>
        <v>29.695206375006464</v>
      </c>
      <c r="AH84" s="106">
        <f>Sheet1!AA84+Sheet1!BN84+'Calculations II'!BC84+'Calculations II'!P84-BP84</f>
        <v>46.125206375006464</v>
      </c>
      <c r="AI84" s="106">
        <f>BC84+Sheet1!AA84+Calculation!EI84+O84+W84+Sheet1!BN84+Calculation!AI84+Calculation!CZ84-BP84</f>
        <v>46.125206375006456</v>
      </c>
      <c r="AJ84" s="106"/>
      <c r="AM84" s="102">
        <f t="shared" si="18"/>
        <v>40613</v>
      </c>
      <c r="AN84" s="106"/>
      <c r="AO84" s="106"/>
      <c r="AR84" s="106"/>
      <c r="AT84" s="101">
        <f>Sheet1!AR84*GPMtoMGD</f>
        <v>0</v>
      </c>
      <c r="AU84" s="101">
        <f>Sheet1!AS84*GPMtoMGD</f>
        <v>5.5008000000000008E-2</v>
      </c>
      <c r="AV84" s="101">
        <f>Sheet1!AT84*GPMtoMGD</f>
        <v>0</v>
      </c>
      <c r="AW84" s="101">
        <f>Sheet1!AV84*GPMtoMGD</f>
        <v>0.36676799999999998</v>
      </c>
      <c r="AX84" s="101">
        <f>Sheet1!AW84*GPMtoMGD</f>
        <v>3.3629760000000002</v>
      </c>
      <c r="AY84" s="101">
        <f>Sheet1!AX84*GPMtoMGD</f>
        <v>0</v>
      </c>
      <c r="AZ84" s="101">
        <f>Sheet1!AY84*GPMtoMGD</f>
        <v>0</v>
      </c>
      <c r="BA84" s="101">
        <f>Sheet1!AZ84*GPMtoMGD</f>
        <v>0</v>
      </c>
      <c r="BB84" s="101">
        <f>Sheet1!BP84*GPMtoMGD</f>
        <v>0</v>
      </c>
      <c r="BC84" s="101">
        <f>Sheet1!CO84*GPMtoMGD</f>
        <v>0</v>
      </c>
      <c r="BD84" s="101">
        <f>Sheet1!BO84*GPMtoMGD</f>
        <v>2.1574080000000002</v>
      </c>
      <c r="BE84" s="101">
        <f>Sheet1!BV84*GPMtoMGD</f>
        <v>0.73440000000000005</v>
      </c>
      <c r="BF84" s="101">
        <f>Sheet1!CJ84*GPMtoMGD</f>
        <v>0.39499200000000007</v>
      </c>
      <c r="BG84" s="101">
        <f>Sheet1!CK84*GPMtoMGD</f>
        <v>0.53006400000000009</v>
      </c>
      <c r="BH84" s="101">
        <f>Sheet1!CL84*GPMtoMGD</f>
        <v>0.79315199999999997</v>
      </c>
      <c r="BI84" s="101">
        <f t="shared" si="19"/>
        <v>2.1574080000000002</v>
      </c>
      <c r="BK84" s="106">
        <f>SUM(AT84:BA84,BE84,Sheet1!BU84,'Calculations II'!BC84,Calculation!AG84)</f>
        <v>46.319152000002909</v>
      </c>
      <c r="BM84" s="439">
        <f>IF(AND(Sheet1!BQ84&lt;=11.5,Sheet1!BQ83&gt;Sheet1!BQ84),(MIN(Lookup!$C$119,VLOOKUP(Sheet1!BQ83,Lookup!$B$4:$J$236,2))-VLOOKUP(Sheet1!BQ84,Lookup!$B$4:$J$236,2))/1000000,0)</f>
        <v>0</v>
      </c>
      <c r="BN84" s="439">
        <f>IF(AND(Sheet1!BR84&lt;=11.5,Sheet1!BR83&gt;Sheet1!BR84),(MIN(Lookup!$D$119,VLOOKUP(Sheet1!BR83,Lookup!$B$4:$J$236,3))-VLOOKUP(Sheet1!BR84,Lookup!$B$4:$J$236,3))/1000000,0)</f>
        <v>0</v>
      </c>
      <c r="BP84" s="105">
        <f>SUM(BM84:BN84,W84,Sheet1!DT84)</f>
        <v>0</v>
      </c>
    </row>
    <row r="85" spans="1:68" s="101" customFormat="1">
      <c r="A85" s="101" t="s">
        <v>8</v>
      </c>
      <c r="B85" s="103">
        <v>40614</v>
      </c>
      <c r="C85" s="104">
        <v>0.33333333333357601</v>
      </c>
      <c r="E85" s="30"/>
      <c r="F85" s="30">
        <f>-(VLOOKUP(Sheet1!BZ85,Lookup!$I$4:$J$216,2)-VLOOKUP(Sheet1!BZ84,Lookup!$I$4:$J$216,2))/1000000</f>
        <v>0</v>
      </c>
      <c r="G85" s="106">
        <f>-$G$6*(Sheet1!CB85-Sheet1!CB84)*7.48/1000000</f>
        <v>-0.59570251578838951</v>
      </c>
      <c r="H85" s="106">
        <f>-$H$6*(Sheet1!CA85-Sheet1!CA84)*7.48/1000000</f>
        <v>-0.12031545881012005</v>
      </c>
      <c r="I85" s="106">
        <f>-$I$6*(Sheet1!CC85-Sheet1!CC84)*7.48/1000000</f>
        <v>0</v>
      </c>
      <c r="J85" s="107" t="s">
        <v>193</v>
      </c>
      <c r="K85" s="106">
        <f>-$I$6*(Sheet1!CD85-Sheet1!CD84)*7.48/1000000</f>
        <v>-1.9790659270829649E-2</v>
      </c>
      <c r="L85" s="107" t="s">
        <v>193</v>
      </c>
      <c r="M85" s="106">
        <f>-$M$6*(Sheet1!CE85-Sheet1!CE84)*7.48/1000000</f>
        <v>1.3326640748916837E-2</v>
      </c>
      <c r="N85" s="106">
        <f>-$N$6*(Sheet1!CF85-Sheet1!CF84)*7.48/1000000</f>
        <v>4.3436641776236899E-2</v>
      </c>
      <c r="O85" s="106">
        <f t="shared" si="15"/>
        <v>-0.67904535134418553</v>
      </c>
      <c r="P85" s="106">
        <f>O85+Calculation!EI85</f>
        <v>0.40195464865581443</v>
      </c>
      <c r="Q85" s="101" t="str">
        <f>IF(Sheet1!BQ85&gt;21.75,"spill elevation","-")</f>
        <v>-</v>
      </c>
      <c r="R85" s="101" t="str">
        <f>IF(Sheet1!BR85&gt;21.75,"spill elevation","-")</f>
        <v>-</v>
      </c>
      <c r="S85" s="101" t="str">
        <f>IF(Sheet1!BS85&gt;21.75,"spill elevation","-")</f>
        <v>-</v>
      </c>
      <c r="T85" s="105">
        <f>IF(Sheet1!DQ85=1,Sheet1!AA85-(SUM(AT85:BA85)+BE85),Sheet1!AA85-SUM(AT85:BA85))</f>
        <v>28.439776000002912</v>
      </c>
      <c r="U85" s="105">
        <f>Sheet1!BU85</f>
        <v>27</v>
      </c>
      <c r="V85" s="105">
        <f t="shared" si="16"/>
        <v>1.4397760000029116</v>
      </c>
      <c r="W85" s="105">
        <f t="shared" si="17"/>
        <v>0</v>
      </c>
      <c r="X85" s="101">
        <f>IF((Sheet1!EX85-Sheet1!EX84)&lt;0,(Sheet1!EX85+100000-Sheet1!EX84)/1000,(Sheet1!EX85-Sheet1!EX84)/1000)</f>
        <v>0.77900000000000003</v>
      </c>
      <c r="Y85" s="106">
        <f>Calculation!DZ86+Calculation!EI85+'Calculations II'!O85-'Calculations II'!W85</f>
        <v>51.131954648659018</v>
      </c>
      <c r="Z85" s="106">
        <f>Y85-Sheet1!CP86</f>
        <v>34.991954648659018</v>
      </c>
      <c r="AA85" s="106">
        <f>Y85+Calculation!CZ86+Calculation!AI86</f>
        <v>59.36060048199397</v>
      </c>
      <c r="AC85" s="106">
        <f>Sheet1!AA85+Sheet1!AB85+BC85</f>
        <v>47</v>
      </c>
      <c r="AD85" s="106">
        <f>Sheet1!AA85+Sheet1!BN85+'Calculations II'!BC85-Calculation!AI85-Calculation!CZ85</f>
        <v>42.14855156431387</v>
      </c>
      <c r="AE85" s="106">
        <f>Sheet1!AA85+Sheet1!AB85+'Calculations II'!BC85-Calculation!AI85-Calculation!CZ85</f>
        <v>44.548551564310962</v>
      </c>
      <c r="AF85" s="106">
        <f>Sheet1!AA85+Sheet1!BN85+P85+'Calculations II'!BC85+Calculation!AI85+Calculation!CZ85</f>
        <v>47.453403084347762</v>
      </c>
      <c r="AG85" s="106">
        <f>Sheet1!AA85+Sheet1!BN85+'Calculations II'!BC85+'Calculations II'!P85-Sheet1!CP85-BP85</f>
        <v>28.491954648658723</v>
      </c>
      <c r="AH85" s="106">
        <f>Sheet1!AA85+Sheet1!BN85+'Calculations II'!BC85+'Calculations II'!P85-BP85</f>
        <v>45.001954648658725</v>
      </c>
      <c r="AI85" s="106">
        <f>BC85+Sheet1!AA85+Calculation!EI85+O85+W85+Sheet1!BN85+Calculation!AI85+Calculation!CZ85-BP85</f>
        <v>47.453403084347762</v>
      </c>
      <c r="AJ85" s="106"/>
      <c r="AM85" s="102">
        <f t="shared" si="18"/>
        <v>40614</v>
      </c>
      <c r="AN85" s="106"/>
      <c r="AO85" s="106"/>
      <c r="AR85" s="106"/>
      <c r="AT85" s="101">
        <f>Sheet1!AR85*GPMtoMGD</f>
        <v>0</v>
      </c>
      <c r="AU85" s="101">
        <f>Sheet1!AS85*GPMtoMGD</f>
        <v>2.7360000000000002E-2</v>
      </c>
      <c r="AV85" s="101">
        <f>Sheet1!AT85*GPMtoMGD</f>
        <v>0</v>
      </c>
      <c r="AW85" s="101">
        <f>Sheet1!AV85*GPMtoMGD</f>
        <v>0.67622400000000005</v>
      </c>
      <c r="AX85" s="101">
        <f>Sheet1!AW85*GPMtoMGD</f>
        <v>0.65664</v>
      </c>
      <c r="AY85" s="101">
        <f>Sheet1!AX85*GPMtoMGD</f>
        <v>0</v>
      </c>
      <c r="AZ85" s="101">
        <f>Sheet1!AY85*GPMtoMGD</f>
        <v>0</v>
      </c>
      <c r="BA85" s="101">
        <f>Sheet1!AZ85*GPMtoMGD</f>
        <v>0</v>
      </c>
      <c r="BB85" s="101">
        <f>Sheet1!BP85*GPMtoMGD</f>
        <v>0</v>
      </c>
      <c r="BC85" s="101">
        <f>Sheet1!CO85*GPMtoMGD</f>
        <v>0</v>
      </c>
      <c r="BD85" s="101">
        <f>Sheet1!BO85*GPMtoMGD</f>
        <v>1.841472</v>
      </c>
      <c r="BE85" s="101">
        <f>Sheet1!BV85*GPMtoMGD</f>
        <v>0.64411200000000002</v>
      </c>
      <c r="BF85" s="101">
        <f>Sheet1!CJ85*GPMtoMGD</f>
        <v>0.59515200000000001</v>
      </c>
      <c r="BG85" s="101">
        <f>Sheet1!CK85*GPMtoMGD</f>
        <v>0.56275200000000003</v>
      </c>
      <c r="BH85" s="101">
        <f>Sheet1!CL85*GPMtoMGD</f>
        <v>0.74764800000000009</v>
      </c>
      <c r="BI85" s="101">
        <f t="shared" si="19"/>
        <v>1.841472</v>
      </c>
      <c r="BK85" s="106">
        <f>SUM(AT85:BA85,BE85,Sheet1!BU85,'Calculations II'!BC85,Calculation!AG85)</f>
        <v>43.752887564308054</v>
      </c>
      <c r="BM85" s="439">
        <f>IF(AND(Sheet1!BQ85&lt;=11.5,Sheet1!BQ84&gt;Sheet1!BQ85),(MIN(Lookup!$C$119,VLOOKUP(Sheet1!BQ84,Lookup!$B$4:$J$236,2))-VLOOKUP(Sheet1!BQ85,Lookup!$B$4:$J$236,2))/1000000,0)</f>
        <v>0</v>
      </c>
      <c r="BN85" s="439">
        <f>IF(AND(Sheet1!BR85&lt;=11.5,Sheet1!BR84&gt;Sheet1!BR85),(MIN(Lookup!$D$119,VLOOKUP(Sheet1!BR84,Lookup!$B$4:$J$236,3))-VLOOKUP(Sheet1!BR85,Lookup!$B$4:$J$236,3))/1000000,0)</f>
        <v>0</v>
      </c>
      <c r="BP85" s="105">
        <f>SUM(BM85:BN85,W85,Sheet1!DT85)</f>
        <v>0</v>
      </c>
    </row>
    <row r="86" spans="1:68" s="101" customFormat="1">
      <c r="A86" s="101" t="s">
        <v>9</v>
      </c>
      <c r="B86" s="103">
        <v>40615</v>
      </c>
      <c r="C86" s="104">
        <v>0.33333333333357601</v>
      </c>
      <c r="E86" s="30"/>
      <c r="F86" s="30">
        <f>-(VLOOKUP(Sheet1!BZ86,Lookup!$I$4:$J$216,2)-VLOOKUP(Sheet1!BZ85,Lookup!$I$4:$J$216,2))/1000000</f>
        <v>-0.31091081564339806</v>
      </c>
      <c r="G86" s="106">
        <f>-$G$6*(Sheet1!CB86-Sheet1!CB85)*7.48/1000000</f>
        <v>0.23828100631535562</v>
      </c>
      <c r="H86" s="106">
        <f>-$H$6*(Sheet1!CA86-Sheet1!CA85)*7.48/1000000</f>
        <v>0.36094637643036126</v>
      </c>
      <c r="I86" s="106">
        <f>-$I$6*(Sheet1!CC86-Sheet1!CC85)*7.48/1000000</f>
        <v>5.3974525284080956E-2</v>
      </c>
      <c r="J86" s="107" t="s">
        <v>193</v>
      </c>
      <c r="K86" s="106">
        <f>-$I$6*(Sheet1!CD86-Sheet1!CD85)*7.48/1000000</f>
        <v>7.196603371210826E-2</v>
      </c>
      <c r="L86" s="107" t="s">
        <v>193</v>
      </c>
      <c r="M86" s="106">
        <f>-$M$6*(Sheet1!CE86-Sheet1!CE85)*7.48/1000000</f>
        <v>1.9989961123375376E-2</v>
      </c>
      <c r="N86" s="106">
        <f>-$N$6*(Sheet1!CF86-Sheet1!CF85)*7.48/1000000</f>
        <v>-0.11789945624978621</v>
      </c>
      <c r="O86" s="106">
        <f t="shared" si="15"/>
        <v>0.31634763097209717</v>
      </c>
      <c r="P86" s="106">
        <f>O86+Calculation!EI86</f>
        <v>1.3973476309720971</v>
      </c>
      <c r="Q86" s="101" t="str">
        <f>IF(Sheet1!BQ86&gt;21.75,"spill elevation","-")</f>
        <v>-</v>
      </c>
      <c r="R86" s="101" t="str">
        <f>IF(Sheet1!BR86&gt;21.75,"spill elevation","-")</f>
        <v>-</v>
      </c>
      <c r="S86" s="101" t="str">
        <f>IF(Sheet1!BS86&gt;21.75,"spill elevation","-")</f>
        <v>-</v>
      </c>
      <c r="T86" s="105">
        <f>IF(Sheet1!DQ86=1,Sheet1!AA86-(SUM(AT86:BA86)+BE86),Sheet1!AA86-SUM(AT86:BA86))</f>
        <v>27.044063999998837</v>
      </c>
      <c r="U86" s="105">
        <f>Sheet1!BU86</f>
        <v>25.9</v>
      </c>
      <c r="V86" s="105">
        <f t="shared" si="16"/>
        <v>1.1440639999988385</v>
      </c>
      <c r="W86" s="105">
        <f t="shared" si="17"/>
        <v>0</v>
      </c>
      <c r="X86" s="101">
        <f>IF((Sheet1!EX86-Sheet1!EX85)&lt;0,(Sheet1!EX86+100000-Sheet1!EX85)/1000,(Sheet1!EX86-Sheet1!EX85)/1000)</f>
        <v>0.73199999999999998</v>
      </c>
      <c r="Y86" s="106">
        <f>Calculation!DZ87+Calculation!EI86+'Calculations II'!O86-'Calculations II'!W86</f>
        <v>53.067347630970353</v>
      </c>
      <c r="Z86" s="106">
        <f>Y86-Sheet1!CP87</f>
        <v>37.29734763097035</v>
      </c>
      <c r="AA86" s="106">
        <f>Y86+Calculation!CZ87+Calculation!AI87</f>
        <v>60.099021839114229</v>
      </c>
      <c r="AC86" s="106">
        <f>Sheet1!AA86+Sheet1!AB86+BC86</f>
        <v>50.730000000003201</v>
      </c>
      <c r="AD86" s="106">
        <f>Sheet1!AA86+Sheet1!BN86+'Calculations II'!BC86-Calculation!AI86-Calculation!CZ86</f>
        <v>34.801354166663884</v>
      </c>
      <c r="AE86" s="106">
        <f>Sheet1!AA86+Sheet1!AB86+'Calculations II'!BC86-Calculation!AI86-Calculation!CZ86</f>
        <v>42.50135416666825</v>
      </c>
      <c r="AF86" s="106">
        <f>Sheet1!AA86+Sheet1!BN86+P86+'Calculations II'!BC86+Calculation!AI86+Calculation!CZ86</f>
        <v>52.655993464305887</v>
      </c>
      <c r="AG86" s="106">
        <f>Sheet1!AA86+Sheet1!BN86+'Calculations II'!BC86+'Calculations II'!P86-Sheet1!CP86-BP86</f>
        <v>28.287347630970935</v>
      </c>
      <c r="AH86" s="106">
        <f>Sheet1!AA86+Sheet1!BN86+'Calculations II'!BC86+'Calculations II'!P86-BP86</f>
        <v>44.427347630970935</v>
      </c>
      <c r="AI86" s="106">
        <f>BC86+Sheet1!AA86+Calculation!EI86+O86+W86+Sheet1!BN86+Calculation!AI86+Calculation!CZ86-BP86</f>
        <v>52.65599346430588</v>
      </c>
      <c r="AJ86" s="106"/>
      <c r="AM86" s="102">
        <f t="shared" si="18"/>
        <v>40615</v>
      </c>
      <c r="AN86" s="106"/>
      <c r="AO86" s="106"/>
      <c r="AR86" s="106"/>
      <c r="AT86" s="101">
        <f>Sheet1!AR86*GPMtoMGD</f>
        <v>0</v>
      </c>
      <c r="AU86" s="101">
        <f>Sheet1!AS86*GPMtoMGD</f>
        <v>5.2991999999999997E-2</v>
      </c>
      <c r="AV86" s="101">
        <f>Sheet1!AT86*GPMtoMGD</f>
        <v>0</v>
      </c>
      <c r="AW86" s="101">
        <f>Sheet1!AV86*GPMtoMGD</f>
        <v>0.7302240000000001</v>
      </c>
      <c r="AX86" s="101">
        <f>Sheet1!AW86*GPMtoMGD</f>
        <v>0.70272000000000001</v>
      </c>
      <c r="AY86" s="101">
        <f>Sheet1!AX86*GPMtoMGD</f>
        <v>0</v>
      </c>
      <c r="AZ86" s="101">
        <f>Sheet1!AY86*GPMtoMGD</f>
        <v>0</v>
      </c>
      <c r="BA86" s="101">
        <f>Sheet1!AZ86*GPMtoMGD</f>
        <v>0</v>
      </c>
      <c r="BB86" s="101">
        <f>Sheet1!BP86*GPMtoMGD</f>
        <v>0</v>
      </c>
      <c r="BC86" s="101">
        <f>Sheet1!CO86*GPMtoMGD</f>
        <v>0</v>
      </c>
      <c r="BD86" s="101">
        <f>Sheet1!BO86*GPMtoMGD</f>
        <v>1.838592</v>
      </c>
      <c r="BE86" s="101">
        <f>Sheet1!BV86*GPMtoMGD</f>
        <v>0.63115200000000005</v>
      </c>
      <c r="BF86" s="101">
        <f>Sheet1!CJ86*GPMtoMGD</f>
        <v>0.56534400000000007</v>
      </c>
      <c r="BG86" s="101">
        <f>Sheet1!CK86*GPMtoMGD</f>
        <v>0.59342400000000006</v>
      </c>
      <c r="BH86" s="101">
        <f>Sheet1!CL86*GPMtoMGD</f>
        <v>0.75052800000000008</v>
      </c>
      <c r="BI86" s="101">
        <f t="shared" si="19"/>
        <v>1.838592</v>
      </c>
      <c r="BK86" s="106">
        <f>SUM(AT86:BA86,BE86,Sheet1!BU86,'Calculations II'!BC86,Calculation!AG86)</f>
        <v>41.988442166669415</v>
      </c>
      <c r="BM86" s="439">
        <f>IF(AND(Sheet1!BQ86&lt;=11.5,Sheet1!BQ85&gt;Sheet1!BQ86),(MIN(Lookup!$C$119,VLOOKUP(Sheet1!BQ85,Lookup!$B$4:$J$236,2))-VLOOKUP(Sheet1!BQ86,Lookup!$B$4:$J$236,2))/1000000,0)</f>
        <v>0</v>
      </c>
      <c r="BN86" s="439">
        <f>IF(AND(Sheet1!BR86&lt;=11.5,Sheet1!BR85&gt;Sheet1!BR86),(MIN(Lookup!$D$119,VLOOKUP(Sheet1!BR85,Lookup!$B$4:$J$236,3))-VLOOKUP(Sheet1!BR86,Lookup!$B$4:$J$236,3))/1000000,0)</f>
        <v>0</v>
      </c>
      <c r="BP86" s="105">
        <f>SUM(BM86:BN86,W86,Sheet1!DT86)</f>
        <v>0</v>
      </c>
    </row>
    <row r="87" spans="1:68" s="101" customFormat="1">
      <c r="A87" s="101" t="s">
        <v>3</v>
      </c>
      <c r="B87" s="103">
        <v>40616</v>
      </c>
      <c r="C87" s="104">
        <v>0.33333333333357601</v>
      </c>
      <c r="E87" s="30"/>
      <c r="F87" s="30">
        <f>-(VLOOKUP(Sheet1!BZ87,Lookup!$I$4:$J$216,2)-VLOOKUP(Sheet1!BZ86,Lookup!$I$4:$J$216,2))/1000000</f>
        <v>0</v>
      </c>
      <c r="G87" s="106">
        <f>-$G$6*(Sheet1!CB87-Sheet1!CB86)*7.48/1000000</f>
        <v>0.27799450736791548</v>
      </c>
      <c r="H87" s="106">
        <f>-$H$6*(Sheet1!CA87-Sheet1!CA86)*7.48/1000000</f>
        <v>-4.5118297053794748E-2</v>
      </c>
      <c r="I87" s="106">
        <f>-$I$6*(Sheet1!CC87-Sheet1!CC86)*7.48/1000000</f>
        <v>0.12594055899618953</v>
      </c>
      <c r="J87" s="107" t="s">
        <v>193</v>
      </c>
      <c r="K87" s="106">
        <f>-$I$6*(Sheet1!CD87-Sheet1!CD86)*7.48/1000000</f>
        <v>0.21589810113632443</v>
      </c>
      <c r="L87" s="107" t="s">
        <v>193</v>
      </c>
      <c r="M87" s="106">
        <f>-$M$6*(Sheet1!CE87-Sheet1!CE86)*7.48/1000000</f>
        <v>7.995984449350127E-2</v>
      </c>
      <c r="N87" s="106">
        <f>-$N$6*(Sheet1!CF87-Sheet1!CF86)*7.48/1000000</f>
        <v>0</v>
      </c>
      <c r="O87" s="106">
        <f t="shared" si="15"/>
        <v>0.65467471494013596</v>
      </c>
      <c r="P87" s="106">
        <f>O87+Calculation!EI87</f>
        <v>0.65467471494013596</v>
      </c>
      <c r="Q87" s="101" t="str">
        <f>IF(Sheet1!BQ87&gt;21.75,"spill elevation","-")</f>
        <v>-</v>
      </c>
      <c r="R87" s="101" t="str">
        <f>IF(Sheet1!BR87&gt;21.75,"spill elevation","-")</f>
        <v>-</v>
      </c>
      <c r="S87" s="101" t="str">
        <f>IF(Sheet1!BS87&gt;21.75,"spill elevation","-")</f>
        <v>-</v>
      </c>
      <c r="T87" s="105">
        <f>IF(Sheet1!DQ87=1,Sheet1!AA87-(SUM(AT87:BA87)+BE87),Sheet1!AA87-SUM(AT87:BA87))</f>
        <v>28.456096000001164</v>
      </c>
      <c r="U87" s="105">
        <f>Sheet1!BU87</f>
        <v>25.5</v>
      </c>
      <c r="V87" s="105">
        <f t="shared" si="16"/>
        <v>2.956096000001164</v>
      </c>
      <c r="W87" s="105">
        <f t="shared" si="17"/>
        <v>0</v>
      </c>
      <c r="X87" s="101">
        <f>IF((Sheet1!EX87-Sheet1!EX86)&lt;0,(Sheet1!EX87+100000-Sheet1!EX86)/1000,(Sheet1!EX87-Sheet1!EX86)/1000)</f>
        <v>0.79200000000000004</v>
      </c>
      <c r="Y87" s="106">
        <f>Calculation!DZ88+Calculation!EI87+'Calculations II'!O87-'Calculations II'!W87</f>
        <v>50.50467471493868</v>
      </c>
      <c r="Z87" s="106">
        <f>Y87-Sheet1!CP88</f>
        <v>34.694674714938678</v>
      </c>
      <c r="AA87" s="106">
        <f>Y87+Calculation!CZ88+Calculation!AI88</f>
        <v>54.395308720702651</v>
      </c>
      <c r="AC87" s="106">
        <f>Sheet1!AA87+Sheet1!AB87+BC87</f>
        <v>51.669999999998254</v>
      </c>
      <c r="AD87" s="106">
        <f>Sheet1!AA87+Sheet1!BN87+'Calculations II'!BC87-Calculation!AI87-Calculation!CZ87</f>
        <v>37.538325791857289</v>
      </c>
      <c r="AE87" s="106">
        <f>Sheet1!AA87+Sheet1!AB87+'Calculations II'!BC87-Calculation!AI87-Calculation!CZ87</f>
        <v>44.638325791854378</v>
      </c>
      <c r="AF87" s="106">
        <f>Sheet1!AA87+Sheet1!BN87+P87+'Calculations II'!BC87+Calculation!AI87+Calculation!CZ87</f>
        <v>52.256348923085177</v>
      </c>
      <c r="AG87" s="106">
        <f>Sheet1!AA87+Sheet1!BN87+'Calculations II'!BC87+'Calculations II'!P87-Sheet1!CP87-BP87</f>
        <v>29.454674714941302</v>
      </c>
      <c r="AH87" s="106">
        <f>Sheet1!AA87+Sheet1!BN87+'Calculations II'!BC87+'Calculations II'!P87-BP87</f>
        <v>45.224674714941301</v>
      </c>
      <c r="AI87" s="106">
        <f>BC87+Sheet1!AA87+Calculation!EI87+O87+W87+Sheet1!BN87+Calculation!AI87+Calculation!CZ87-BP87</f>
        <v>52.256348923085177</v>
      </c>
      <c r="AJ87" s="106"/>
      <c r="AM87" s="102">
        <f t="shared" si="18"/>
        <v>40616</v>
      </c>
      <c r="AN87" s="106"/>
      <c r="AO87" s="106"/>
      <c r="AR87" s="106"/>
      <c r="AT87" s="101">
        <f>Sheet1!AR87*GPMtoMGD</f>
        <v>0</v>
      </c>
      <c r="AU87" s="101">
        <f>Sheet1!AS87*GPMtoMGD</f>
        <v>2.6928000000000001E-2</v>
      </c>
      <c r="AV87" s="101">
        <f>Sheet1!AT87*GPMtoMGD</f>
        <v>0</v>
      </c>
      <c r="AW87" s="101">
        <f>Sheet1!AV87*GPMtoMGD</f>
        <v>0.51854400000000012</v>
      </c>
      <c r="AX87" s="101">
        <f>Sheet1!AW87*GPMtoMGD</f>
        <v>0.46843200000000007</v>
      </c>
      <c r="AY87" s="101">
        <f>Sheet1!AX87*GPMtoMGD</f>
        <v>0</v>
      </c>
      <c r="AZ87" s="101">
        <f>Sheet1!AY87*GPMtoMGD</f>
        <v>0</v>
      </c>
      <c r="BA87" s="101">
        <f>Sheet1!AZ87*GPMtoMGD</f>
        <v>0</v>
      </c>
      <c r="BB87" s="101">
        <f>Sheet1!BP87*GPMtoMGD</f>
        <v>5.2271999999999999E-2</v>
      </c>
      <c r="BC87" s="101">
        <f>Sheet1!CO87*GPMtoMGD</f>
        <v>0</v>
      </c>
      <c r="BD87" s="101">
        <f>Sheet1!BO87*GPMtoMGD</f>
        <v>1.3746240000000001</v>
      </c>
      <c r="BE87" s="101">
        <f>Sheet1!BV87*GPMtoMGD</f>
        <v>0.90648000000000006</v>
      </c>
      <c r="BF87" s="101">
        <f>Sheet1!CJ87*GPMtoMGD</f>
        <v>0.46656000000000003</v>
      </c>
      <c r="BG87" s="101">
        <f>Sheet1!CK87*GPMtoMGD</f>
        <v>0.55123200000000006</v>
      </c>
      <c r="BH87" s="101">
        <f>Sheet1!CL87*GPMtoMGD</f>
        <v>0.80222400000000005</v>
      </c>
      <c r="BI87" s="101">
        <f t="shared" si="19"/>
        <v>1.4268960000000002</v>
      </c>
      <c r="BK87" s="106">
        <f>SUM(AT87:BA87,BE87,Sheet1!BU87,'Calculations II'!BC87,Calculation!AG87)</f>
        <v>42.588709791853212</v>
      </c>
      <c r="BM87" s="439">
        <f>IF(AND(Sheet1!BQ87&lt;=11.5,Sheet1!BQ86&gt;Sheet1!BQ87),(MIN(Lookup!$C$119,VLOOKUP(Sheet1!BQ86,Lookup!$B$4:$J$236,2))-VLOOKUP(Sheet1!BQ87,Lookup!$B$4:$J$236,2))/1000000,0)</f>
        <v>0</v>
      </c>
      <c r="BN87" s="439">
        <f>IF(AND(Sheet1!BR87&lt;=11.5,Sheet1!BR86&gt;Sheet1!BR87),(MIN(Lookup!$D$119,VLOOKUP(Sheet1!BR86,Lookup!$B$4:$J$236,3))-VLOOKUP(Sheet1!BR87,Lookup!$B$4:$J$236,3))/1000000,0)</f>
        <v>0</v>
      </c>
      <c r="BP87" s="105">
        <f>SUM(BM87:BN87,W87,Sheet1!DT87)</f>
        <v>0</v>
      </c>
    </row>
    <row r="88" spans="1:68" s="101" customFormat="1">
      <c r="A88" s="101" t="s">
        <v>4</v>
      </c>
      <c r="B88" s="103">
        <v>40617</v>
      </c>
      <c r="C88" s="104">
        <v>0.33333333333357601</v>
      </c>
      <c r="E88" s="30"/>
      <c r="F88" s="30">
        <f>-(VLOOKUP(Sheet1!BZ88,Lookup!$I$4:$J$216,2)-VLOOKUP(Sheet1!BZ87,Lookup!$I$4:$J$216,2))/1000000</f>
        <v>-0.31091081564340367</v>
      </c>
      <c r="G88" s="106">
        <f>-$G$6*(Sheet1!CB88-Sheet1!CB87)*7.48/1000000</f>
        <v>-0.95312402526142337</v>
      </c>
      <c r="H88" s="106">
        <f>-$H$6*(Sheet1!CA88-Sheet1!CA87)*7.48/1000000</f>
        <v>-0.40606467348415709</v>
      </c>
      <c r="I88" s="106">
        <f>-$I$6*(Sheet1!CC88-Sheet1!CC87)*7.48/1000000</f>
        <v>-8.9957542140135238E-2</v>
      </c>
      <c r="J88" s="107" t="s">
        <v>193</v>
      </c>
      <c r="K88" s="106">
        <f>-$I$6*(Sheet1!CD88-Sheet1!CD87)*7.48/1000000</f>
        <v>-0.17991508428027048</v>
      </c>
      <c r="L88" s="107" t="s">
        <v>193</v>
      </c>
      <c r="M88" s="106">
        <f>-$M$6*(Sheet1!CE88-Sheet1!CE87)*7.48/1000000</f>
        <v>-8.6623164867959804E-2</v>
      </c>
      <c r="N88" s="106">
        <f>-$N$6*(Sheet1!CF88-Sheet1!CF87)*7.48/1000000</f>
        <v>-0.19856750526279557</v>
      </c>
      <c r="O88" s="106">
        <f t="shared" si="15"/>
        <v>-2.2251628109401453</v>
      </c>
      <c r="P88" s="106">
        <f>O88+Calculation!EI88</f>
        <v>-1.6846628109401454</v>
      </c>
      <c r="Q88" s="101" t="str">
        <f>IF(Sheet1!BQ88&gt;21.75,"spill elevation","-")</f>
        <v>-</v>
      </c>
      <c r="R88" s="101" t="str">
        <f>IF(Sheet1!BR88&gt;21.75,"spill elevation","-")</f>
        <v>-</v>
      </c>
      <c r="S88" s="101" t="str">
        <f>IF(Sheet1!BS88&gt;21.75,"spill elevation","-")</f>
        <v>-</v>
      </c>
      <c r="T88" s="105">
        <f>IF(Sheet1!DQ88=1,Sheet1!AA88-(SUM(AT88:BA88)+BE88),Sheet1!AA88-SUM(AT88:BA88))</f>
        <v>28.685807999997088</v>
      </c>
      <c r="U88" s="105">
        <f>Sheet1!BU88</f>
        <v>26.5</v>
      </c>
      <c r="V88" s="105">
        <f t="shared" si="16"/>
        <v>2.1858079999970883</v>
      </c>
      <c r="W88" s="105">
        <f t="shared" si="17"/>
        <v>0</v>
      </c>
      <c r="X88" s="101">
        <f>IF((Sheet1!EX88-Sheet1!EX87)&lt;0,(Sheet1!EX88+100000-Sheet1!EX87)/1000,(Sheet1!EX88-Sheet1!EX87)/1000)</f>
        <v>1.321</v>
      </c>
      <c r="Y88" s="106">
        <f>Calculation!DZ89+Calculation!EI88+'Calculations II'!O88-'Calculations II'!W88</f>
        <v>52.465337189068585</v>
      </c>
      <c r="Z88" s="106">
        <f>Y88-Sheet1!CP89</f>
        <v>36.045337189068583</v>
      </c>
      <c r="AA88" s="106">
        <f>Y88+Calculation!CZ89+Calculation!AI89</f>
        <v>61.128943199085278</v>
      </c>
      <c r="AC88" s="106">
        <f>Sheet1!AA88+Sheet1!AB88+BC88</f>
        <v>49.849999999998545</v>
      </c>
      <c r="AD88" s="106">
        <f>Sheet1!AA88+Sheet1!BN88+'Calculations II'!BC88-Calculation!AI88-Calculation!CZ88</f>
        <v>42.609365994233116</v>
      </c>
      <c r="AE88" s="106">
        <f>Sheet1!AA88+Sheet1!AB88+'Calculations II'!BC88-Calculation!AI88-Calculation!CZ88</f>
        <v>45.959365994234574</v>
      </c>
      <c r="AF88" s="106">
        <f>Sheet1!AA88+Sheet1!BN88+P88+'Calculations II'!BC88+Calculation!AI88+Calculation!CZ88</f>
        <v>48.705971194820911</v>
      </c>
      <c r="AG88" s="106">
        <f>Sheet1!AA88+Sheet1!BN88+'Calculations II'!BC88+'Calculations II'!P88-Sheet1!CP88-BP88</f>
        <v>29.005337189056938</v>
      </c>
      <c r="AH88" s="106">
        <f>Sheet1!AA88+Sheet1!BN88+'Calculations II'!BC88+'Calculations II'!P88-BP88</f>
        <v>44.81533718905694</v>
      </c>
      <c r="AI88" s="106">
        <f>BC88+Sheet1!AA88+Calculation!EI88+O88+W88+Sheet1!BN88+Calculation!AI88+Calculation!CZ88-BP88</f>
        <v>48.705971194820918</v>
      </c>
      <c r="AJ88" s="106"/>
      <c r="AM88" s="102">
        <f t="shared" si="18"/>
        <v>40617</v>
      </c>
      <c r="AN88" s="106"/>
      <c r="AO88" s="106"/>
      <c r="AR88" s="106"/>
      <c r="AT88" s="101">
        <f>Sheet1!AR88*GPMtoMGD</f>
        <v>0</v>
      </c>
      <c r="AU88" s="101">
        <f>Sheet1!AS88*GPMtoMGD</f>
        <v>5.4000000000000006E-2</v>
      </c>
      <c r="AV88" s="101">
        <f>Sheet1!AT88*GPMtoMGD</f>
        <v>0</v>
      </c>
      <c r="AW88" s="101">
        <f>Sheet1!AV88*GPMtoMGD</f>
        <v>0.49838400000000005</v>
      </c>
      <c r="AX88" s="101">
        <f>Sheet1!AW88*GPMtoMGD</f>
        <v>0.461808</v>
      </c>
      <c r="AY88" s="101">
        <f>Sheet1!AX88*GPMtoMGD</f>
        <v>0</v>
      </c>
      <c r="AZ88" s="101">
        <f>Sheet1!AY88*GPMtoMGD</f>
        <v>0</v>
      </c>
      <c r="BA88" s="101">
        <f>Sheet1!AZ88*GPMtoMGD</f>
        <v>0</v>
      </c>
      <c r="BB88" s="101">
        <f>Sheet1!BP88*GPMtoMGD</f>
        <v>0</v>
      </c>
      <c r="BC88" s="101">
        <f>Sheet1!CO88*GPMtoMGD</f>
        <v>0</v>
      </c>
      <c r="BD88" s="101">
        <f>Sheet1!BO88*GPMtoMGD</f>
        <v>2.0636640000000002</v>
      </c>
      <c r="BE88" s="101">
        <f>Sheet1!BV88*GPMtoMGD</f>
        <v>0.640656</v>
      </c>
      <c r="BF88" s="101">
        <f>Sheet1!CJ88*GPMtoMGD</f>
        <v>0.71323200000000009</v>
      </c>
      <c r="BG88" s="101">
        <f>Sheet1!CK88*GPMtoMGD</f>
        <v>0.39340800000000004</v>
      </c>
      <c r="BH88" s="101">
        <f>Sheet1!CL88*GPMtoMGD</f>
        <v>0.56015999999999999</v>
      </c>
      <c r="BI88" s="101">
        <f t="shared" si="19"/>
        <v>2.0636640000000002</v>
      </c>
      <c r="BK88" s="106">
        <f>SUM(AT88:BA88,BE88,Sheet1!BU88,'Calculations II'!BC88,Calculation!AG88)</f>
        <v>44.414213994237485</v>
      </c>
      <c r="BM88" s="439">
        <f>IF(AND(Sheet1!BQ88&lt;=11.5,Sheet1!BQ87&gt;Sheet1!BQ88),(MIN(Lookup!$C$119,VLOOKUP(Sheet1!BQ87,Lookup!$B$4:$J$236,2))-VLOOKUP(Sheet1!BQ88,Lookup!$B$4:$J$236,2))/1000000,0)</f>
        <v>0</v>
      </c>
      <c r="BN88" s="439">
        <f>IF(AND(Sheet1!BR88&lt;=11.5,Sheet1!BR87&gt;Sheet1!BR88),(MIN(Lookup!$D$119,VLOOKUP(Sheet1!BR87,Lookup!$B$4:$J$236,3))-VLOOKUP(Sheet1!BR88,Lookup!$B$4:$J$236,3))/1000000,0)</f>
        <v>0</v>
      </c>
      <c r="BP88" s="105">
        <f>SUM(BM88:BN88,W88,Sheet1!DT88)</f>
        <v>0</v>
      </c>
    </row>
    <row r="89" spans="1:68" s="101" customFormat="1">
      <c r="A89" s="101" t="s">
        <v>5</v>
      </c>
      <c r="B89" s="103">
        <v>40618</v>
      </c>
      <c r="C89" s="104">
        <v>0.33333333333357601</v>
      </c>
      <c r="E89" s="30"/>
      <c r="F89" s="30">
        <f>-(VLOOKUP(Sheet1!BZ89,Lookup!$I$4:$J$216,2)-VLOOKUP(Sheet1!BZ88,Lookup!$I$4:$J$216,2))/1000000</f>
        <v>0.51818469273900236</v>
      </c>
      <c r="G89" s="106">
        <f>-$G$6*(Sheet1!CB89-Sheet1!CB88)*7.48/1000000</f>
        <v>0.27799450736791476</v>
      </c>
      <c r="H89" s="106">
        <f>-$H$6*(Sheet1!CA89-Sheet1!CA88)*7.48/1000000</f>
        <v>0.22559148526897588</v>
      </c>
      <c r="I89" s="106">
        <f>-$I$6*(Sheet1!CC89-Sheet1!CC88)*7.48/1000000</f>
        <v>-0.10794905056816255</v>
      </c>
      <c r="J89" s="107" t="s">
        <v>193</v>
      </c>
      <c r="K89" s="106">
        <f>-$I$6*(Sheet1!CD89-Sheet1!CD88)*7.48/1000000</f>
        <v>-0.12594055899618922</v>
      </c>
      <c r="L89" s="107" t="s">
        <v>193</v>
      </c>
      <c r="M89" s="106">
        <f>-$M$6*(Sheet1!CE89-Sheet1!CE88)*7.48/1000000</f>
        <v>-2.4654285385496303E-2</v>
      </c>
      <c r="N89" s="106">
        <f>-$N$6*(Sheet1!CF89-Sheet1!CF88)*7.48/1000000</f>
        <v>0.17374656710494654</v>
      </c>
      <c r="O89" s="106">
        <f t="shared" si="15"/>
        <v>0.93697335753099154</v>
      </c>
      <c r="P89" s="106">
        <f>O89+Calculation!EI89</f>
        <v>1.4774733575309915</v>
      </c>
      <c r="Q89" s="101" t="str">
        <f>IF(Sheet1!BQ89&gt;21.75,"spill elevation","-")</f>
        <v>-</v>
      </c>
      <c r="R89" s="101" t="str">
        <f>IF(Sheet1!BR89&gt;21.75,"spill elevation","-")</f>
        <v>-</v>
      </c>
      <c r="S89" s="101" t="str">
        <f>IF(Sheet1!BS89&gt;21.75,"spill elevation","-")</f>
        <v>-</v>
      </c>
      <c r="T89" s="105">
        <f>IF(Sheet1!DQ89=1,Sheet1!AA89-(SUM(AT89:BA89)+BE89),Sheet1!AA89-SUM(AT89:BA89))</f>
        <v>28.988048000008732</v>
      </c>
      <c r="U89" s="105">
        <f>Sheet1!BU89</f>
        <v>25.8</v>
      </c>
      <c r="V89" s="105">
        <f t="shared" si="16"/>
        <v>3.188048000008731</v>
      </c>
      <c r="W89" s="105">
        <f t="shared" si="17"/>
        <v>0</v>
      </c>
      <c r="X89" s="101">
        <f>IF((Sheet1!EX89-Sheet1!EX88)&lt;0,(Sheet1!EX89+100000-Sheet1!EX88)/1000,(Sheet1!EX89-Sheet1!EX88)/1000)</f>
        <v>0.23</v>
      </c>
      <c r="Y89" s="106">
        <f>Calculation!DZ90+Calculation!EI89+'Calculations II'!O89-'Calculations II'!W89</f>
        <v>57.177473357528086</v>
      </c>
      <c r="Z89" s="106">
        <f>Y89-Sheet1!CP90</f>
        <v>40.607473357528086</v>
      </c>
      <c r="AA89" s="106">
        <f>Y89+Calculation!CZ90+Calculation!AI90</f>
        <v>65.770740759583049</v>
      </c>
      <c r="AC89" s="106">
        <f>Sheet1!AA89+Sheet1!AB89+BC89</f>
        <v>54.150000000008731</v>
      </c>
      <c r="AD89" s="106">
        <f>Sheet1!AA89+Sheet1!BN89+'Calculations II'!BC89-Calculation!AI89-Calculation!CZ89</f>
        <v>36.636393989992037</v>
      </c>
      <c r="AE89" s="106">
        <f>Sheet1!AA89+Sheet1!AB89+'Calculations II'!BC89-Calculation!AI89-Calculation!CZ89</f>
        <v>45.486393989992038</v>
      </c>
      <c r="AF89" s="106">
        <f>Sheet1!AA89+Sheet1!BN89+P89+'Calculations II'!BC89+Calculation!AI89+Calculation!CZ89</f>
        <v>55.441079367556412</v>
      </c>
      <c r="AG89" s="106">
        <f>Sheet1!AA89+Sheet1!BN89+'Calculations II'!BC89+'Calculations II'!P89-Sheet1!CP89-BP89</f>
        <v>30.357473357539718</v>
      </c>
      <c r="AH89" s="106">
        <f>Sheet1!AA89+Sheet1!BN89+'Calculations II'!BC89+'Calculations II'!P89-BP89</f>
        <v>46.777473357539719</v>
      </c>
      <c r="AI89" s="106">
        <f>BC89+Sheet1!AA89+Calculation!EI89+O89+W89+Sheet1!BN89+Calculation!AI89+Calculation!CZ89-BP89</f>
        <v>55.441079367556419</v>
      </c>
      <c r="AJ89" s="106"/>
      <c r="AM89" s="102">
        <f t="shared" si="18"/>
        <v>40618</v>
      </c>
      <c r="AN89" s="106"/>
      <c r="AO89" s="106"/>
      <c r="AR89" s="106"/>
      <c r="AT89" s="101">
        <f>Sheet1!AR89*GPMtoMGD</f>
        <v>0</v>
      </c>
      <c r="AU89" s="101">
        <f>Sheet1!AS89*GPMtoMGD</f>
        <v>2.6784000000000002E-2</v>
      </c>
      <c r="AV89" s="101">
        <f>Sheet1!AT89*GPMtoMGD</f>
        <v>0</v>
      </c>
      <c r="AW89" s="101">
        <f>Sheet1!AV89*GPMtoMGD</f>
        <v>0.48124800000000001</v>
      </c>
      <c r="AX89" s="101">
        <f>Sheet1!AW89*GPMtoMGD</f>
        <v>0.40392</v>
      </c>
      <c r="AY89" s="101">
        <f>Sheet1!AX89*GPMtoMGD</f>
        <v>0</v>
      </c>
      <c r="AZ89" s="101">
        <f>Sheet1!AY89*GPMtoMGD</f>
        <v>0</v>
      </c>
      <c r="BA89" s="101">
        <f>Sheet1!AZ89*GPMtoMGD</f>
        <v>0</v>
      </c>
      <c r="BB89" s="101">
        <f>Sheet1!BP89*GPMtoMGD</f>
        <v>0</v>
      </c>
      <c r="BC89" s="101">
        <f>Sheet1!CO89*GPMtoMGD</f>
        <v>0</v>
      </c>
      <c r="BD89" s="101">
        <f>Sheet1!BO89*GPMtoMGD</f>
        <v>1.794384</v>
      </c>
      <c r="BE89" s="101">
        <f>Sheet1!BV89*GPMtoMGD</f>
        <v>0.6318720000000001</v>
      </c>
      <c r="BF89" s="101">
        <f>Sheet1!CJ89*GPMtoMGD</f>
        <v>0.44712000000000002</v>
      </c>
      <c r="BG89" s="101">
        <f>Sheet1!CK89*GPMtoMGD</f>
        <v>0.53726400000000007</v>
      </c>
      <c r="BH89" s="101">
        <f>Sheet1!CL89*GPMtoMGD</f>
        <v>0.79732800000000015</v>
      </c>
      <c r="BI89" s="101">
        <f t="shared" si="19"/>
        <v>1.794384</v>
      </c>
      <c r="BK89" s="106">
        <f>SUM(AT89:BA89,BE89,Sheet1!BU89,'Calculations II'!BC89,Calculation!AG89)</f>
        <v>42.930217989983305</v>
      </c>
      <c r="BM89" s="439">
        <f>IF(AND(Sheet1!BQ89&lt;=11.5,Sheet1!BQ88&gt;Sheet1!BQ89),(MIN(Lookup!$C$119,VLOOKUP(Sheet1!BQ88,Lookup!$B$4:$J$236,2))-VLOOKUP(Sheet1!BQ89,Lookup!$B$4:$J$236,2))/1000000,0)</f>
        <v>0</v>
      </c>
      <c r="BN89" s="439">
        <f>IF(AND(Sheet1!BR89&lt;=11.5,Sheet1!BR88&gt;Sheet1!BR89),(MIN(Lookup!$D$119,VLOOKUP(Sheet1!BR88,Lookup!$B$4:$J$236,3))-VLOOKUP(Sheet1!BR89,Lookup!$B$4:$J$236,3))/1000000,0)</f>
        <v>0</v>
      </c>
      <c r="BP89" s="105">
        <f>SUM(BM89:BN89,W89,Sheet1!DT89)</f>
        <v>0</v>
      </c>
    </row>
    <row r="90" spans="1:68" s="101" customFormat="1">
      <c r="A90" s="101" t="s">
        <v>6</v>
      </c>
      <c r="B90" s="103">
        <v>40619</v>
      </c>
      <c r="C90" s="104">
        <v>0.33333333333357601</v>
      </c>
      <c r="E90" s="30"/>
      <c r="F90" s="30">
        <f>-(VLOOKUP(Sheet1!BZ90,Lookup!$I$4:$J$216,2)-VLOOKUP(Sheet1!BZ89,Lookup!$I$4:$J$216,2))/1000000</f>
        <v>-0.51818469273900236</v>
      </c>
      <c r="G90" s="106">
        <f>-$G$6*(Sheet1!CB90-Sheet1!CB89)*7.48/1000000</f>
        <v>0.27799450736791548</v>
      </c>
      <c r="H90" s="106">
        <f>-$H$6*(Sheet1!CA90-Sheet1!CA89)*7.48/1000000</f>
        <v>0.30078864702530117</v>
      </c>
      <c r="I90" s="106">
        <f>-$I$6*(Sheet1!CC90-Sheet1!CC89)*7.48/1000000</f>
        <v>0.32384715170448697</v>
      </c>
      <c r="J90" s="107" t="s">
        <v>193</v>
      </c>
      <c r="K90" s="106">
        <f>-$I$6*(Sheet1!CD90-Sheet1!CD89)*7.48/1000000</f>
        <v>0.34183866013251396</v>
      </c>
      <c r="L90" s="107" t="s">
        <v>193</v>
      </c>
      <c r="M90" s="106">
        <f>-$M$6*(Sheet1!CE90-Sheet1!CE89)*7.48/1000000</f>
        <v>0.12460409100237292</v>
      </c>
      <c r="N90" s="106">
        <f>-$N$6*(Sheet1!CF90-Sheet1!CF89)*7.48/1000000</f>
        <v>-0.20477273980225894</v>
      </c>
      <c r="O90" s="106">
        <f t="shared" si="15"/>
        <v>0.6461156246913291</v>
      </c>
      <c r="P90" s="106">
        <f>O90+Calculation!EI90</f>
        <v>0.10561562469132912</v>
      </c>
      <c r="Q90" s="101" t="str">
        <f>IF(Sheet1!BQ90&gt;21.75,"spill elevation","-")</f>
        <v>-</v>
      </c>
      <c r="R90" s="101" t="str">
        <f>IF(Sheet1!BR90&gt;21.75,"spill elevation","-")</f>
        <v>-</v>
      </c>
      <c r="S90" s="101" t="str">
        <f>IF(Sheet1!BS90&gt;21.75,"spill elevation","-")</f>
        <v>-</v>
      </c>
      <c r="T90" s="105">
        <f>IF(Sheet1!DQ90=1,Sheet1!AA90-(SUM(AT90:BA90)+BE90),Sheet1!AA90-SUM(AT90:BA90))</f>
        <v>28.05575999999418</v>
      </c>
      <c r="U90" s="105">
        <f>Sheet1!BU90</f>
        <v>25.4</v>
      </c>
      <c r="V90" s="105">
        <f t="shared" si="16"/>
        <v>2.6557599999941814</v>
      </c>
      <c r="W90" s="105">
        <f t="shared" si="17"/>
        <v>0</v>
      </c>
      <c r="X90" s="101">
        <f>IF((Sheet1!EX90-Sheet1!EX89)&lt;0,(Sheet1!EX90+100000-Sheet1!EX89)/1000,(Sheet1!EX90-Sheet1!EX89)/1000)</f>
        <v>0.78</v>
      </c>
      <c r="Y90" s="106">
        <f>Calculation!DZ91+Calculation!EI90+'Calculations II'!O90-'Calculations II'!W90</f>
        <v>53.975615624686668</v>
      </c>
      <c r="Z90" s="106">
        <f>Y90-Sheet1!CP91</f>
        <v>37.365615624686669</v>
      </c>
      <c r="AA90" s="106">
        <f>Y90+Calculation!CZ91+Calculation!AI91</f>
        <v>62.386646799745627</v>
      </c>
      <c r="AC90" s="106">
        <f>Sheet1!AA90+Sheet1!AB90+BC90</f>
        <v>55.69999999999709</v>
      </c>
      <c r="AD90" s="106">
        <f>Sheet1!AA90+Sheet1!BN90+'Calculations II'!BC90-Calculation!AI90-Calculation!CZ90</f>
        <v>38.506732597939219</v>
      </c>
      <c r="AE90" s="106">
        <f>Sheet1!AA90+Sheet1!AB90+'Calculations II'!BC90-Calculation!AI90-Calculation!CZ90</f>
        <v>47.106732597942127</v>
      </c>
      <c r="AF90" s="106">
        <f>Sheet1!AA90+Sheet1!BN90+P90+'Calculations II'!BC90+Calculation!AI90+Calculation!CZ90</f>
        <v>55.798883026740477</v>
      </c>
      <c r="AG90" s="106">
        <f>Sheet1!AA90+Sheet1!BN90+'Calculations II'!BC90+'Calculations II'!P90-Sheet1!CP90-BP90</f>
        <v>30.635615624685514</v>
      </c>
      <c r="AH90" s="106">
        <f>Sheet1!AA90+Sheet1!BN90+'Calculations II'!BC90+'Calculations II'!P90-BP90</f>
        <v>47.205615624685514</v>
      </c>
      <c r="AI90" s="106">
        <f>BC90+Sheet1!AA90+Calculation!EI90+O90+W90+Sheet1!BN90+Calculation!AI90+Calculation!CZ90-BP90</f>
        <v>55.798883026740469</v>
      </c>
      <c r="AJ90" s="106"/>
      <c r="AM90" s="102">
        <f t="shared" si="18"/>
        <v>40619</v>
      </c>
      <c r="AN90" s="106"/>
      <c r="AO90" s="106"/>
      <c r="AR90" s="106"/>
      <c r="AT90" s="101">
        <f>Sheet1!AR90*GPMtoMGD</f>
        <v>0</v>
      </c>
      <c r="AU90" s="101">
        <f>Sheet1!AS90*GPMtoMGD</f>
        <v>5.2991999999999997E-2</v>
      </c>
      <c r="AV90" s="101">
        <f>Sheet1!AT90*GPMtoMGD</f>
        <v>0</v>
      </c>
      <c r="AW90" s="101">
        <f>Sheet1!AV90*GPMtoMGD</f>
        <v>0.63633600000000001</v>
      </c>
      <c r="AX90" s="101">
        <f>Sheet1!AW90*GPMtoMGD</f>
        <v>0.65491200000000005</v>
      </c>
      <c r="AY90" s="101">
        <f>Sheet1!AX90*GPMtoMGD</f>
        <v>0</v>
      </c>
      <c r="AZ90" s="101">
        <f>Sheet1!AY90*GPMtoMGD</f>
        <v>0</v>
      </c>
      <c r="BA90" s="101">
        <f>Sheet1!AZ90*GPMtoMGD</f>
        <v>0</v>
      </c>
      <c r="BB90" s="101">
        <f>Sheet1!BP90*GPMtoMGD</f>
        <v>0</v>
      </c>
      <c r="BC90" s="101">
        <f>Sheet1!CO90*GPMtoMGD</f>
        <v>0</v>
      </c>
      <c r="BD90" s="101">
        <f>Sheet1!BO90*GPMtoMGD</f>
        <v>1.1773440000000002</v>
      </c>
      <c r="BE90" s="101">
        <f>Sheet1!BV90*GPMtoMGD</f>
        <v>0.89438400000000007</v>
      </c>
      <c r="BF90" s="101">
        <f>Sheet1!CJ90*GPMtoMGD</f>
        <v>0.49464000000000002</v>
      </c>
      <c r="BG90" s="101">
        <f>Sheet1!CK90*GPMtoMGD</f>
        <v>0.54201600000000005</v>
      </c>
      <c r="BH90" s="101">
        <f>Sheet1!CL90*GPMtoMGD</f>
        <v>0.80337599999999998</v>
      </c>
      <c r="BI90" s="101">
        <f t="shared" si="19"/>
        <v>1.1773440000000002</v>
      </c>
      <c r="BK90" s="106">
        <f>SUM(AT90:BA90,BE90,Sheet1!BU90,'Calculations II'!BC90,Calculation!AG90)</f>
        <v>45.345356597947948</v>
      </c>
      <c r="BM90" s="439">
        <f>IF(AND(Sheet1!BQ90&lt;=11.5,Sheet1!BQ89&gt;Sheet1!BQ90),(MIN(Lookup!$C$119,VLOOKUP(Sheet1!BQ89,Lookup!$B$4:$J$236,2))-VLOOKUP(Sheet1!BQ90,Lookup!$B$4:$J$236,2))/1000000,0)</f>
        <v>0</v>
      </c>
      <c r="BN90" s="439">
        <f>IF(AND(Sheet1!BR90&lt;=11.5,Sheet1!BR89&gt;Sheet1!BR90),(MIN(Lookup!$D$119,VLOOKUP(Sheet1!BR89,Lookup!$B$4:$J$236,3))-VLOOKUP(Sheet1!BR90,Lookup!$B$4:$J$236,3))/1000000,0)</f>
        <v>0</v>
      </c>
      <c r="BP90" s="105">
        <f>SUM(BM90:BN90,W90,Sheet1!DT90)</f>
        <v>0</v>
      </c>
    </row>
    <row r="91" spans="1:68" s="101" customFormat="1">
      <c r="A91" s="101" t="s">
        <v>7</v>
      </c>
      <c r="B91" s="103">
        <v>40620</v>
      </c>
      <c r="C91" s="104">
        <v>0.33333333333357601</v>
      </c>
      <c r="E91" s="30"/>
      <c r="F91" s="30">
        <f>-(VLOOKUP(Sheet1!BZ91,Lookup!$I$4:$J$216,2)-VLOOKUP(Sheet1!BZ90,Lookup!$I$4:$J$216,2))/1000000</f>
        <v>0</v>
      </c>
      <c r="G91" s="106">
        <f>-$G$6*(Sheet1!CB91-Sheet1!CB90)*7.48/1000000</f>
        <v>0.27799450736791476</v>
      </c>
      <c r="H91" s="106">
        <f>-$H$6*(Sheet1!CA91-Sheet1!CA90)*7.48/1000000</f>
        <v>0.10527602645885584</v>
      </c>
      <c r="I91" s="106">
        <f>-$I$6*(Sheet1!CC91-Sheet1!CC90)*7.48/1000000</f>
        <v>-0.41380469384462221</v>
      </c>
      <c r="J91" s="107" t="s">
        <v>193</v>
      </c>
      <c r="K91" s="106">
        <f>-$I$6*(Sheet1!CD91-Sheet1!CD90)*7.48/1000000</f>
        <v>-0.4084072413162142</v>
      </c>
      <c r="L91" s="107" t="s">
        <v>193</v>
      </c>
      <c r="M91" s="106">
        <f>-$M$6*(Sheet1!CE91-Sheet1!CE90)*7.48/1000000</f>
        <v>-0.16991466954869036</v>
      </c>
      <c r="N91" s="106">
        <f>-$N$6*(Sheet1!CF91-Sheet1!CF90)*7.48/1000000</f>
        <v>4.9641876315699163E-2</v>
      </c>
      <c r="O91" s="106">
        <f t="shared" si="15"/>
        <v>-0.55921419456705701</v>
      </c>
      <c r="P91" s="106">
        <f>O91+Calculation!EI91</f>
        <v>-0.55921419456705701</v>
      </c>
      <c r="Q91" s="101" t="str">
        <f>IF(Sheet1!BQ91&gt;21.75,"spill elevation","-")</f>
        <v>-</v>
      </c>
      <c r="R91" s="101" t="str">
        <f>IF(Sheet1!BR91&gt;21.75,"spill elevation","-")</f>
        <v>-</v>
      </c>
      <c r="S91" s="101" t="str">
        <f>IF(Sheet1!BS91&gt;21.75,"spill elevation","-")</f>
        <v>-</v>
      </c>
      <c r="T91" s="105">
        <f>IF(Sheet1!DQ91=1,Sheet1!AA91-(SUM(AT91:BA91)+BE91),Sheet1!AA91-SUM(AT91:BA91))</f>
        <v>27.763407999998254</v>
      </c>
      <c r="U91" s="105">
        <f>Sheet1!BU91</f>
        <v>26.4</v>
      </c>
      <c r="V91" s="105">
        <f t="shared" si="16"/>
        <v>1.3634079999982553</v>
      </c>
      <c r="W91" s="105">
        <f t="shared" si="17"/>
        <v>0</v>
      </c>
      <c r="X91" s="101">
        <f>IF((Sheet1!EX91-Sheet1!EX90)&lt;0,(Sheet1!EX91+100000-Sheet1!EX90)/1000,(Sheet1!EX91-Sheet1!EX90)/1000)</f>
        <v>0.75600000000000001</v>
      </c>
      <c r="Y91" s="106">
        <f>Calculation!DZ92+Calculation!EI91+'Calculations II'!O91-'Calculations II'!W91</f>
        <v>55.040785805438766</v>
      </c>
      <c r="Z91" s="106">
        <f>Y91-Sheet1!CP92</f>
        <v>37.320785805438767</v>
      </c>
      <c r="AA91" s="106">
        <f>Y91+Calculation!CZ92+Calculation!AI92</f>
        <v>63.785978113131073</v>
      </c>
      <c r="AC91" s="106">
        <f>Sheet1!AA91+Sheet1!AB91+BC91</f>
        <v>53.869999999995343</v>
      </c>
      <c r="AD91" s="106">
        <f>Sheet1!AA91+Sheet1!BN91+'Calculations II'!BC91-Calculation!AI91-Calculation!CZ91</f>
        <v>37.258968824939295</v>
      </c>
      <c r="AE91" s="106">
        <f>Sheet1!AA91+Sheet1!AB91+'Calculations II'!BC91-Calculation!AI91-Calculation!CZ91</f>
        <v>45.458968824936385</v>
      </c>
      <c r="AF91" s="106">
        <f>Sheet1!AA91+Sheet1!BN91+P91+'Calculations II'!BC91+Calculation!AI91+Calculation!CZ91</f>
        <v>53.521816980490158</v>
      </c>
      <c r="AG91" s="106">
        <f>Sheet1!AA91+Sheet1!BN91+'Calculations II'!BC91+'Calculations II'!P91-Sheet1!CP91-BP91</f>
        <v>28.5007858054312</v>
      </c>
      <c r="AH91" s="106">
        <f>Sheet1!AA91+Sheet1!BN91+'Calculations II'!BC91+'Calculations II'!P91-BP91</f>
        <v>45.110785805431199</v>
      </c>
      <c r="AI91" s="106">
        <f>BC91+Sheet1!AA91+Calculation!EI91+O91+W91+Sheet1!BN91+Calculation!AI91+Calculation!CZ91-BP91</f>
        <v>53.521816980490151</v>
      </c>
      <c r="AJ91" s="106"/>
      <c r="AM91" s="102">
        <f t="shared" si="18"/>
        <v>40620</v>
      </c>
      <c r="AN91" s="106"/>
      <c r="AO91" s="106"/>
      <c r="AR91" s="106"/>
      <c r="AT91" s="101">
        <f>Sheet1!AR91*GPMtoMGD</f>
        <v>0</v>
      </c>
      <c r="AU91" s="101">
        <f>Sheet1!AS91*GPMtoMGD</f>
        <v>2.7504000000000004E-2</v>
      </c>
      <c r="AV91" s="101">
        <f>Sheet1!AT91*GPMtoMGD</f>
        <v>0</v>
      </c>
      <c r="AW91" s="101">
        <f>Sheet1!AV91*GPMtoMGD</f>
        <v>0.72388799999999998</v>
      </c>
      <c r="AX91" s="101">
        <f>Sheet1!AW91*GPMtoMGD</f>
        <v>0.6552</v>
      </c>
      <c r="AY91" s="101">
        <f>Sheet1!AX91*GPMtoMGD</f>
        <v>0</v>
      </c>
      <c r="AZ91" s="101">
        <f>Sheet1!AY91*GPMtoMGD</f>
        <v>0</v>
      </c>
      <c r="BA91" s="101">
        <f>Sheet1!AZ91*GPMtoMGD</f>
        <v>0</v>
      </c>
      <c r="BB91" s="101">
        <f>Sheet1!BP91*GPMtoMGD</f>
        <v>0</v>
      </c>
      <c r="BC91" s="101">
        <f>Sheet1!CO91*GPMtoMGD</f>
        <v>0</v>
      </c>
      <c r="BD91" s="101">
        <f>Sheet1!BO91*GPMtoMGD</f>
        <v>2.3641920000000001</v>
      </c>
      <c r="BE91" s="101">
        <f>Sheet1!BV91*GPMtoMGD</f>
        <v>0.63115200000000005</v>
      </c>
      <c r="BF91" s="101">
        <f>Sheet1!CJ91*GPMtoMGD</f>
        <v>0.38160000000000005</v>
      </c>
      <c r="BG91" s="101">
        <f>Sheet1!CK91*GPMtoMGD</f>
        <v>0.539856</v>
      </c>
      <c r="BH91" s="101">
        <f>Sheet1!CL91*GPMtoMGD</f>
        <v>0.78177600000000003</v>
      </c>
      <c r="BI91" s="101">
        <f t="shared" si="19"/>
        <v>2.3641920000000001</v>
      </c>
      <c r="BK91" s="106">
        <f>SUM(AT91:BA91,BE91,Sheet1!BU91,'Calculations II'!BC91,Calculation!AG91)</f>
        <v>44.726712824938126</v>
      </c>
      <c r="BM91" s="439">
        <f>IF(AND(Sheet1!BQ91&lt;=11.5,Sheet1!BQ90&gt;Sheet1!BQ91),(MIN(Lookup!$C$119,VLOOKUP(Sheet1!BQ90,Lookup!$B$4:$J$236,2))-VLOOKUP(Sheet1!BQ91,Lookup!$B$4:$J$236,2))/1000000,0)</f>
        <v>0</v>
      </c>
      <c r="BN91" s="439">
        <f>IF(AND(Sheet1!BR91&lt;=11.5,Sheet1!BR90&gt;Sheet1!BR91),(MIN(Lookup!$D$119,VLOOKUP(Sheet1!BR90,Lookup!$B$4:$J$236,3))-VLOOKUP(Sheet1!BR91,Lookup!$B$4:$J$236,3))/1000000,0)</f>
        <v>0</v>
      </c>
      <c r="BP91" s="105">
        <f>SUM(BM91:BN91,W91,Sheet1!DT91)</f>
        <v>0</v>
      </c>
    </row>
    <row r="92" spans="1:68" s="101" customFormat="1">
      <c r="A92" s="101" t="s">
        <v>8</v>
      </c>
      <c r="B92" s="103">
        <v>40621</v>
      </c>
      <c r="C92" s="104">
        <v>0.33333333333357601</v>
      </c>
      <c r="E92" s="30"/>
      <c r="F92" s="30">
        <f>-(VLOOKUP(Sheet1!BZ92,Lookup!$I$4:$J$216,2)-VLOOKUP(Sheet1!BZ91,Lookup!$I$4:$J$216,2))/1000000</f>
        <v>0.20727387709560433</v>
      </c>
      <c r="G92" s="106">
        <f>-$G$6*(Sheet1!CB92-Sheet1!CB91)*7.48/1000000</f>
        <v>9.9283752631398242E-2</v>
      </c>
      <c r="H92" s="106">
        <f>-$H$6*(Sheet1!CA92-Sheet1!CA91)*7.48/1000000</f>
        <v>-7.5197161756325293E-2</v>
      </c>
      <c r="I92" s="106">
        <f>-$I$6*(Sheet1!CC92-Sheet1!CC91)*7.48/1000000</f>
        <v>0.14393206742421652</v>
      </c>
      <c r="J92" s="107" t="s">
        <v>193</v>
      </c>
      <c r="K92" s="106">
        <f>-$I$6*(Sheet1!CD92-Sheet1!CD91)*7.48/1000000</f>
        <v>0.1205431064677812</v>
      </c>
      <c r="L92" s="107" t="s">
        <v>193</v>
      </c>
      <c r="M92" s="106">
        <f>-$M$6*(Sheet1!CE92-Sheet1!CE91)*7.48/1000000</f>
        <v>6.9964863931813684E-2</v>
      </c>
      <c r="N92" s="106">
        <f>-$N$6*(Sheet1!CF92-Sheet1!CF91)*7.48/1000000</f>
        <v>-0.26682508519688258</v>
      </c>
      <c r="O92" s="106">
        <f t="shared" si="15"/>
        <v>0.29897542059760612</v>
      </c>
      <c r="P92" s="106">
        <f>O92+Calculation!EI92</f>
        <v>0.83947542059760605</v>
      </c>
      <c r="Q92" s="101" t="str">
        <f>IF(Sheet1!BQ92&gt;21.75,"spill elevation","-")</f>
        <v>-</v>
      </c>
      <c r="R92" s="101" t="str">
        <f>IF(Sheet1!BR92&gt;21.75,"spill elevation","-")</f>
        <v>-</v>
      </c>
      <c r="S92" s="101" t="str">
        <f>IF(Sheet1!BS92&gt;21.75,"spill elevation","-")</f>
        <v>-</v>
      </c>
      <c r="T92" s="105">
        <f>IF(Sheet1!DQ92=1,Sheet1!AA92-(SUM(AT92:BA92)+BE92),Sheet1!AA92-SUM(AT92:BA92))</f>
        <v>28.60528000000582</v>
      </c>
      <c r="U92" s="105">
        <f>Sheet1!BU92</f>
        <v>26.2</v>
      </c>
      <c r="V92" s="105">
        <f t="shared" si="16"/>
        <v>2.4052800000058205</v>
      </c>
      <c r="W92" s="105">
        <f t="shared" si="17"/>
        <v>0</v>
      </c>
      <c r="X92" s="101">
        <f>IF((Sheet1!EX92-Sheet1!EX91)&lt;0,(Sheet1!EX92+100000-Sheet1!EX91)/1000,(Sheet1!EX92-Sheet1!EX91)/1000)</f>
        <v>0.78</v>
      </c>
      <c r="Y92" s="106">
        <f>Calculation!DZ93+Calculation!EI92+'Calculations II'!O92-'Calculations II'!W92</f>
        <v>54.869475420596444</v>
      </c>
      <c r="Z92" s="106">
        <f>Y92-Sheet1!CP93</f>
        <v>37.859475420596439</v>
      </c>
      <c r="AA92" s="106">
        <f>Y92+Calculation!CZ93+Calculation!AI93</f>
        <v>63.374603625725648</v>
      </c>
      <c r="AC92" s="106">
        <f>Sheet1!AA92+Sheet1!AB92+BC92</f>
        <v>55.600000000005821</v>
      </c>
      <c r="AD92" s="106">
        <f>Sheet1!AA92+Sheet1!BN92+'Calculations II'!BC92-Calculation!AI92-Calculation!CZ92</f>
        <v>37.754807692313513</v>
      </c>
      <c r="AE92" s="106">
        <f>Sheet1!AA92+Sheet1!AB92+'Calculations II'!BC92-Calculation!AI92-Calculation!CZ92</f>
        <v>46.854807692313514</v>
      </c>
      <c r="AF92" s="106">
        <f>Sheet1!AA92+Sheet1!BN92+P92+'Calculations II'!BC92+Calculation!AI92+Calculation!CZ92</f>
        <v>56.084667728295734</v>
      </c>
      <c r="AG92" s="106">
        <f>Sheet1!AA92+Sheet1!BN92+'Calculations II'!BC92+'Calculations II'!P92-Sheet1!CP92-BP92</f>
        <v>29.619475420603429</v>
      </c>
      <c r="AH92" s="106">
        <f>Sheet1!AA92+Sheet1!BN92+'Calculations II'!BC92+'Calculations II'!P92-BP92</f>
        <v>47.339475420603428</v>
      </c>
      <c r="AI92" s="106">
        <f>BC92+Sheet1!AA92+Calculation!EI92+O92+W92+Sheet1!BN92+Calculation!AI92+Calculation!CZ92-BP92</f>
        <v>56.084667728295734</v>
      </c>
      <c r="AJ92" s="106"/>
      <c r="AM92" s="102">
        <f t="shared" si="18"/>
        <v>40621</v>
      </c>
      <c r="AN92" s="106"/>
      <c r="AO92" s="106"/>
      <c r="AR92" s="106"/>
      <c r="AT92" s="101">
        <f>Sheet1!AR92*GPMtoMGD</f>
        <v>0</v>
      </c>
      <c r="AU92" s="101">
        <f>Sheet1!AS92*GPMtoMGD</f>
        <v>4.5792000000000006E-2</v>
      </c>
      <c r="AV92" s="101">
        <f>Sheet1!AT92*GPMtoMGD</f>
        <v>0</v>
      </c>
      <c r="AW92" s="101">
        <f>Sheet1!AV92*GPMtoMGD</f>
        <v>0.72792000000000001</v>
      </c>
      <c r="AX92" s="101">
        <f>Sheet1!AW92*GPMtoMGD</f>
        <v>0.72100799999999998</v>
      </c>
      <c r="AY92" s="101">
        <f>Sheet1!AX92*GPMtoMGD</f>
        <v>0</v>
      </c>
      <c r="AZ92" s="101">
        <f>Sheet1!AY92*GPMtoMGD</f>
        <v>0</v>
      </c>
      <c r="BA92" s="101">
        <f>Sheet1!AZ92*GPMtoMGD</f>
        <v>0</v>
      </c>
      <c r="BB92" s="101">
        <f>Sheet1!BP92*GPMtoMGD</f>
        <v>0</v>
      </c>
      <c r="BC92" s="101">
        <f>Sheet1!CO92*GPMtoMGD</f>
        <v>0</v>
      </c>
      <c r="BD92" s="101">
        <f>Sheet1!BO92*GPMtoMGD</f>
        <v>1.7042400000000002</v>
      </c>
      <c r="BE92" s="101">
        <f>Sheet1!BV92*GPMtoMGD</f>
        <v>0.64094400000000007</v>
      </c>
      <c r="BF92" s="101">
        <f>Sheet1!CJ92*GPMtoMGD</f>
        <v>0.53553600000000001</v>
      </c>
      <c r="BG92" s="101">
        <f>Sheet1!CK92*GPMtoMGD</f>
        <v>0.60004800000000003</v>
      </c>
      <c r="BH92" s="101">
        <f>Sheet1!CL92*GPMtoMGD</f>
        <v>0.74030400000000007</v>
      </c>
      <c r="BI92" s="101">
        <f t="shared" si="19"/>
        <v>1.7042400000000002</v>
      </c>
      <c r="BK92" s="106">
        <f>SUM(AT92:BA92,BE92,Sheet1!BU92,'Calculations II'!BC92,Calculation!AG92)</f>
        <v>45.090471692307688</v>
      </c>
      <c r="BM92" s="439">
        <f>IF(AND(Sheet1!BQ92&lt;=11.5,Sheet1!BQ91&gt;Sheet1!BQ92),(MIN(Lookup!$C$119,VLOOKUP(Sheet1!BQ91,Lookup!$B$4:$J$236,2))-VLOOKUP(Sheet1!BQ92,Lookup!$B$4:$J$236,2))/1000000,0)</f>
        <v>0</v>
      </c>
      <c r="BN92" s="439">
        <f>IF(AND(Sheet1!BR92&lt;=11.5,Sheet1!BR91&gt;Sheet1!BR92),(MIN(Lookup!$D$119,VLOOKUP(Sheet1!BR91,Lookup!$B$4:$J$236,3))-VLOOKUP(Sheet1!BR92,Lookup!$B$4:$J$236,3))/1000000,0)</f>
        <v>0</v>
      </c>
      <c r="BP92" s="105">
        <f>SUM(BM92:BN92,W92,Sheet1!DT92)</f>
        <v>0</v>
      </c>
    </row>
    <row r="93" spans="1:68" s="101" customFormat="1">
      <c r="A93" s="101" t="s">
        <v>9</v>
      </c>
      <c r="B93" s="103">
        <v>40622</v>
      </c>
      <c r="C93" s="104">
        <v>0.33333333333357601</v>
      </c>
      <c r="E93" s="30"/>
      <c r="F93" s="30">
        <f>-(VLOOKUP(Sheet1!BZ93,Lookup!$I$4:$J$216,2)-VLOOKUP(Sheet1!BZ92,Lookup!$I$4:$J$216,2))/1000000</f>
        <v>-0.72545856983460111</v>
      </c>
      <c r="G93" s="106">
        <f>-$G$6*(Sheet1!CB93-Sheet1!CB92)*7.48/1000000</f>
        <v>-0.6552727673672285</v>
      </c>
      <c r="H93" s="106">
        <f>-$H$6*(Sheet1!CA93-Sheet1!CA92)*7.48/1000000</f>
        <v>-0.57149842934807282</v>
      </c>
      <c r="I93" s="106">
        <f>-$I$6*(Sheet1!CC93-Sheet1!CC92)*7.48/1000000</f>
        <v>0.10794905056816222</v>
      </c>
      <c r="J93" s="107" t="s">
        <v>193</v>
      </c>
      <c r="K93" s="106">
        <f>-$I$6*(Sheet1!CD93-Sheet1!CD92)*7.48/1000000</f>
        <v>0.12594055899618953</v>
      </c>
      <c r="L93" s="107" t="s">
        <v>193</v>
      </c>
      <c r="M93" s="106">
        <f>-$M$6*(Sheet1!CE93-Sheet1!CE92)*7.48/1000000</f>
        <v>3.9979922246750753E-2</v>
      </c>
      <c r="N93" s="106">
        <f>-$N$6*(Sheet1!CF93-Sheet1!CF92)*7.48/1000000</f>
        <v>4.9641876315699163E-2</v>
      </c>
      <c r="O93" s="106">
        <f t="shared" si="15"/>
        <v>-1.6287183584231006</v>
      </c>
      <c r="P93" s="106">
        <f>O93+Calculation!EI93</f>
        <v>1.0499816415768994</v>
      </c>
      <c r="Q93" s="101" t="str">
        <f>IF(Sheet1!BQ93&gt;21.75,"spill elevation","-")</f>
        <v>-</v>
      </c>
      <c r="R93" s="101" t="str">
        <f>IF(Sheet1!BR93&gt;21.75,"spill elevation","-")</f>
        <v>-</v>
      </c>
      <c r="S93" s="101" t="str">
        <f>IF(Sheet1!BS93&gt;21.75,"spill elevation","-")</f>
        <v>-</v>
      </c>
      <c r="T93" s="105">
        <f>IF(Sheet1!DQ93=1,Sheet1!AA93-(SUM(AT93:BA93)+BE93),Sheet1!AA93-SUM(AT93:BA93))</f>
        <v>27.179439999995925</v>
      </c>
      <c r="U93" s="105">
        <f>Sheet1!BU93</f>
        <v>28.4</v>
      </c>
      <c r="V93" s="105">
        <f t="shared" si="16"/>
        <v>-1.2205600000040739</v>
      </c>
      <c r="W93" s="105">
        <f t="shared" si="17"/>
        <v>0</v>
      </c>
      <c r="X93" s="101">
        <f>IF((Sheet1!EX93-Sheet1!EX92)&lt;0,(Sheet1!EX93+100000-Sheet1!EX92)/1000,(Sheet1!EX93-Sheet1!EX92)/1000)</f>
        <v>0.76600000000000001</v>
      </c>
      <c r="Y93" s="106">
        <f>Calculation!DZ94+Calculation!EI93+'Calculations II'!O93-'Calculations II'!W93</f>
        <v>54.999981641573989</v>
      </c>
      <c r="Z93" s="106">
        <f>Y93-Sheet1!CP94</f>
        <v>40.079981641573987</v>
      </c>
      <c r="AA93" s="106">
        <f>Y93+Calculation!CZ94+Calculation!AI94</f>
        <v>63.372194953521671</v>
      </c>
      <c r="AC93" s="106">
        <f>Sheet1!AA93+Sheet1!AB93+BC93</f>
        <v>54.029999999998836</v>
      </c>
      <c r="AD93" s="106">
        <f>Sheet1!AA93+Sheet1!BN93+'Calculations II'!BC93-Calculation!AI93-Calculation!CZ93</f>
        <v>37.124871794866721</v>
      </c>
      <c r="AE93" s="106">
        <f>Sheet1!AA93+Sheet1!AB93+'Calculations II'!BC93-Calculation!AI93-Calculation!CZ93</f>
        <v>45.524871794869632</v>
      </c>
      <c r="AF93" s="106">
        <f>Sheet1!AA93+Sheet1!BN93+P93+'Calculations II'!BC93+Calculation!AI93+Calculation!CZ93</f>
        <v>55.185109846702026</v>
      </c>
      <c r="AG93" s="106">
        <f>Sheet1!AA93+Sheet1!BN93+'Calculations II'!BC93+'Calculations II'!P93-Sheet1!CP93-BP93</f>
        <v>29.669981641572821</v>
      </c>
      <c r="AH93" s="106">
        <f>Sheet1!AA93+Sheet1!BN93+'Calculations II'!BC93+'Calculations II'!P93-BP93</f>
        <v>46.679981641572823</v>
      </c>
      <c r="AI93" s="106">
        <f>BC93+Sheet1!AA93+Calculation!EI93+O93+W93+Sheet1!BN93+Calculation!AI93+Calculation!CZ93-BP93</f>
        <v>55.185109846702026</v>
      </c>
      <c r="AJ93" s="106"/>
      <c r="AM93" s="102">
        <f t="shared" si="18"/>
        <v>40622</v>
      </c>
      <c r="AN93" s="106"/>
      <c r="AO93" s="106"/>
      <c r="AR93" s="106"/>
      <c r="AT93" s="101">
        <f>Sheet1!AR93*GPMtoMGD</f>
        <v>0</v>
      </c>
      <c r="AU93" s="101">
        <f>Sheet1!AS93*GPMtoMGD</f>
        <v>3.5424000000000004E-2</v>
      </c>
      <c r="AV93" s="101">
        <f>Sheet1!AT93*GPMtoMGD</f>
        <v>0</v>
      </c>
      <c r="AW93" s="101">
        <f>Sheet1!AV93*GPMtoMGD</f>
        <v>1.0261440000000002</v>
      </c>
      <c r="AX93" s="101">
        <f>Sheet1!AW93*GPMtoMGD</f>
        <v>0.98899199999999998</v>
      </c>
      <c r="AY93" s="101">
        <f>Sheet1!AX93*GPMtoMGD</f>
        <v>0</v>
      </c>
      <c r="AZ93" s="101">
        <f>Sheet1!AY93*GPMtoMGD</f>
        <v>0</v>
      </c>
      <c r="BA93" s="101">
        <f>Sheet1!AZ93*GPMtoMGD</f>
        <v>0</v>
      </c>
      <c r="BB93" s="101">
        <f>Sheet1!BP93*GPMtoMGD</f>
        <v>0</v>
      </c>
      <c r="BC93" s="101">
        <f>Sheet1!CO93*GPMtoMGD</f>
        <v>0</v>
      </c>
      <c r="BD93" s="101">
        <f>Sheet1!BO93*GPMtoMGD</f>
        <v>1.8516960000000002</v>
      </c>
      <c r="BE93" s="101">
        <f>Sheet1!BV93*GPMtoMGD</f>
        <v>0.92174400000000012</v>
      </c>
      <c r="BF93" s="101">
        <f>Sheet1!CJ93*GPMtoMGD</f>
        <v>0.68788800000000005</v>
      </c>
      <c r="BG93" s="101">
        <f>Sheet1!CK93*GPMtoMGD</f>
        <v>0.61876799999999998</v>
      </c>
      <c r="BH93" s="101">
        <f>Sheet1!CL93*GPMtoMGD</f>
        <v>0.74649600000000005</v>
      </c>
      <c r="BI93" s="101">
        <f t="shared" si="19"/>
        <v>1.8516960000000002</v>
      </c>
      <c r="BK93" s="106">
        <f>SUM(AT93:BA93,BE93,Sheet1!BU93,'Calculations II'!BC93,Calculation!AG93)</f>
        <v>47.6671757948737</v>
      </c>
      <c r="BM93" s="439">
        <f>IF(AND(Sheet1!BQ93&lt;=11.5,Sheet1!BQ92&gt;Sheet1!BQ93),(MIN(Lookup!$C$119,VLOOKUP(Sheet1!BQ92,Lookup!$B$4:$J$236,2))-VLOOKUP(Sheet1!BQ93,Lookup!$B$4:$J$236,2))/1000000,0)</f>
        <v>0</v>
      </c>
      <c r="BN93" s="439">
        <f>IF(AND(Sheet1!BR93&lt;=11.5,Sheet1!BR92&gt;Sheet1!BR93),(MIN(Lookup!$D$119,VLOOKUP(Sheet1!BR92,Lookup!$B$4:$J$236,3))-VLOOKUP(Sheet1!BR93,Lookup!$B$4:$J$236,3))/1000000,0)</f>
        <v>0</v>
      </c>
      <c r="BP93" s="105">
        <f>SUM(BM93:BN93,W93,Sheet1!DT93)</f>
        <v>0</v>
      </c>
    </row>
    <row r="94" spans="1:68" s="101" customFormat="1">
      <c r="A94" s="101" t="s">
        <v>3</v>
      </c>
      <c r="B94" s="103">
        <v>40623</v>
      </c>
      <c r="C94" s="104">
        <v>0.33333333333357601</v>
      </c>
      <c r="E94" s="30"/>
      <c r="F94" s="30">
        <f>-(VLOOKUP(Sheet1!BZ94,Lookup!$I$4:$J$216,2)-VLOOKUP(Sheet1!BZ93,Lookup!$I$4:$J$216,2))/1000000</f>
        <v>0</v>
      </c>
      <c r="G94" s="106">
        <f>-$G$6*(Sheet1!CB94-Sheet1!CB93)*7.48/1000000</f>
        <v>0</v>
      </c>
      <c r="H94" s="106">
        <f>-$H$6*(Sheet1!CA94-Sheet1!CA93)*7.48/1000000</f>
        <v>1.5039432351265274E-2</v>
      </c>
      <c r="I94" s="106">
        <f>-$I$6*(Sheet1!CC94-Sheet1!CC93)*7.48/1000000</f>
        <v>0</v>
      </c>
      <c r="J94" s="107" t="s">
        <v>193</v>
      </c>
      <c r="K94" s="106">
        <f>-$I$6*(Sheet1!CD94-Sheet1!CD93)*7.48/1000000</f>
        <v>0</v>
      </c>
      <c r="L94" s="107" t="s">
        <v>193</v>
      </c>
      <c r="M94" s="106">
        <f>-$M$6*(Sheet1!CE94-Sheet1!CE93)*7.48/1000000</f>
        <v>0</v>
      </c>
      <c r="N94" s="106">
        <f>-$N$6*(Sheet1!CF94-Sheet1!CF93)*7.48/1000000</f>
        <v>1.2410469078924517E-2</v>
      </c>
      <c r="O94" s="106">
        <f t="shared" si="15"/>
        <v>2.7449901430189792E-2</v>
      </c>
      <c r="P94" s="106">
        <f>O94+Calculation!EI94</f>
        <v>2.7449901430189792E-2</v>
      </c>
      <c r="Q94" s="101" t="str">
        <f>IF(Sheet1!BQ94&gt;21.75,"spill elevation","-")</f>
        <v>-</v>
      </c>
      <c r="R94" s="101" t="str">
        <f>IF(Sheet1!BR94&gt;21.75,"spill elevation","-")</f>
        <v>-</v>
      </c>
      <c r="S94" s="101" t="str">
        <f>IF(Sheet1!BS94&gt;21.75,"spill elevation","-")</f>
        <v>-</v>
      </c>
      <c r="T94" s="105">
        <f>IF(Sheet1!DQ94=1,Sheet1!AA94-(SUM(AT94:BA94)+BE94),Sheet1!AA94-SUM(AT94:BA94))</f>
        <v>28.681072</v>
      </c>
      <c r="U94" s="105">
        <f>Sheet1!BU94</f>
        <v>23.7</v>
      </c>
      <c r="V94" s="105">
        <f t="shared" si="16"/>
        <v>4.9810720000000011</v>
      </c>
      <c r="W94" s="105">
        <f t="shared" si="17"/>
        <v>0</v>
      </c>
      <c r="X94" s="101">
        <f>IF((Sheet1!EX94-Sheet1!EX93)&lt;0,(Sheet1!EX94+100000-Sheet1!EX93)/1000,(Sheet1!EX94-Sheet1!EX93)/1000)</f>
        <v>0.78500000000000003</v>
      </c>
      <c r="Y94" s="106">
        <f>Calculation!DZ95+Calculation!EI94+'Calculations II'!O94-'Calculations II'!W94</f>
        <v>56.027449901430188</v>
      </c>
      <c r="Z94" s="106">
        <f>Y94-Sheet1!CP95</f>
        <v>40.957449901430188</v>
      </c>
      <c r="AA94" s="106">
        <f>Y94+Calculation!CZ95+Calculation!AI95</f>
        <v>65.088981516189264</v>
      </c>
      <c r="AC94" s="106">
        <f>Sheet1!AA94+Sheet1!AB94+BC94</f>
        <v>53.94999999999709</v>
      </c>
      <c r="AD94" s="106">
        <f>Sheet1!AA94+Sheet1!BN94+'Calculations II'!BC94-Calculation!AI94-Calculation!CZ94</f>
        <v>37.527786688052316</v>
      </c>
      <c r="AE94" s="106">
        <f>Sheet1!AA94+Sheet1!AB94+'Calculations II'!BC94-Calculation!AI94-Calculation!CZ94</f>
        <v>45.577786688049407</v>
      </c>
      <c r="AF94" s="106">
        <f>Sheet1!AA94+Sheet1!BN94+P94+'Calculations II'!BC94+Calculation!AI94+Calculation!CZ94</f>
        <v>54.299663213377869</v>
      </c>
      <c r="AG94" s="106">
        <f>Sheet1!AA94+Sheet1!BN94+'Calculations II'!BC94+'Calculations II'!P94-Sheet1!CP94-BP94</f>
        <v>31.007449901430185</v>
      </c>
      <c r="AH94" s="106">
        <f>Sheet1!AA94+Sheet1!BN94+'Calculations II'!BC94+'Calculations II'!P94-BP94</f>
        <v>45.927449901430187</v>
      </c>
      <c r="AI94" s="106">
        <f>BC94+Sheet1!AA94+Calculation!EI94+O94+W94+Sheet1!BN94+Calculation!AI94+Calculation!CZ94-BP94</f>
        <v>54.299663213377869</v>
      </c>
      <c r="AJ94" s="106"/>
      <c r="AM94" s="102">
        <f t="shared" si="18"/>
        <v>40623</v>
      </c>
      <c r="AN94" s="106"/>
      <c r="AO94" s="106"/>
      <c r="AR94" s="106"/>
      <c r="AT94" s="101">
        <f>Sheet1!AR94*GPMtoMGD</f>
        <v>0</v>
      </c>
      <c r="AU94" s="101">
        <f>Sheet1!AS94*GPMtoMGD</f>
        <v>4.1472000000000002E-2</v>
      </c>
      <c r="AV94" s="101">
        <f>Sheet1!AT94*GPMtoMGD</f>
        <v>0</v>
      </c>
      <c r="AW94" s="101">
        <f>Sheet1!AV94*GPMtoMGD</f>
        <v>0.37022400000000005</v>
      </c>
      <c r="AX94" s="101">
        <f>Sheet1!AW94*GPMtoMGD</f>
        <v>0.40723200000000004</v>
      </c>
      <c r="AY94" s="101">
        <f>Sheet1!AX94*GPMtoMGD</f>
        <v>0</v>
      </c>
      <c r="AZ94" s="101">
        <f>Sheet1!AY94*GPMtoMGD</f>
        <v>0</v>
      </c>
      <c r="BA94" s="101">
        <f>Sheet1!AZ94*GPMtoMGD</f>
        <v>0</v>
      </c>
      <c r="BB94" s="101">
        <f>Sheet1!BP94*GPMtoMGD</f>
        <v>0</v>
      </c>
      <c r="BC94" s="101">
        <f>Sheet1!CO94*GPMtoMGD</f>
        <v>0</v>
      </c>
      <c r="BD94" s="101">
        <f>Sheet1!BO94*GPMtoMGD</f>
        <v>1.7808480000000002</v>
      </c>
      <c r="BE94" s="101">
        <f>Sheet1!BV94*GPMtoMGD</f>
        <v>0.65952</v>
      </c>
      <c r="BF94" s="101">
        <f>Sheet1!CJ94*GPMtoMGD</f>
        <v>0.59227200000000002</v>
      </c>
      <c r="BG94" s="101">
        <f>Sheet1!CK94*GPMtoMGD</f>
        <v>0.55166400000000004</v>
      </c>
      <c r="BH94" s="101">
        <f>Sheet1!CL94*GPMtoMGD</f>
        <v>0.77630400000000011</v>
      </c>
      <c r="BI94" s="101">
        <f t="shared" si="19"/>
        <v>1.7808480000000002</v>
      </c>
      <c r="BK94" s="106">
        <f>SUM(AT94:BA94,BE94,Sheet1!BU94,'Calculations II'!BC94,Calculation!AG94)</f>
        <v>41.25623468804941</v>
      </c>
      <c r="BM94" s="439">
        <f>IF(AND(Sheet1!BQ94&lt;=11.5,Sheet1!BQ93&gt;Sheet1!BQ94),(MIN(Lookup!$C$119,VLOOKUP(Sheet1!BQ93,Lookup!$B$4:$J$236,2))-VLOOKUP(Sheet1!BQ94,Lookup!$B$4:$J$236,2))/1000000,0)</f>
        <v>0</v>
      </c>
      <c r="BN94" s="439">
        <f>IF(AND(Sheet1!BR94&lt;=11.5,Sheet1!BR93&gt;Sheet1!BR94),(MIN(Lookup!$D$119,VLOOKUP(Sheet1!BR93,Lookup!$B$4:$J$236,3))-VLOOKUP(Sheet1!BR94,Lookup!$B$4:$J$236,3))/1000000,0)</f>
        <v>0</v>
      </c>
      <c r="BP94" s="105">
        <f>SUM(BM94:BN94,W94,Sheet1!DT94)</f>
        <v>0</v>
      </c>
    </row>
    <row r="95" spans="1:68" s="101" customFormat="1">
      <c r="A95" s="101" t="s">
        <v>4</v>
      </c>
      <c r="B95" s="103">
        <v>40624</v>
      </c>
      <c r="C95" s="104">
        <v>0.33333333333357601</v>
      </c>
      <c r="E95" s="30"/>
      <c r="F95" s="30">
        <f>-(VLOOKUP(Sheet1!BZ95,Lookup!$I$4:$J$216,2)-VLOOKUP(Sheet1!BZ94,Lookup!$I$4:$J$216,2))/1000000</f>
        <v>0.31091081564339806</v>
      </c>
      <c r="G95" s="106">
        <f>-$G$6*(Sheet1!CB95-Sheet1!CB94)*7.48/1000000</f>
        <v>0.27799450736791548</v>
      </c>
      <c r="H95" s="106">
        <f>-$H$6*(Sheet1!CA95-Sheet1!CA94)*7.48/1000000</f>
        <v>0.36094637643036126</v>
      </c>
      <c r="I95" s="106">
        <f>-$I$6*(Sheet1!CC95-Sheet1!CC94)*7.48/1000000</f>
        <v>3.5983016856054283E-2</v>
      </c>
      <c r="J95" s="107" t="s">
        <v>193</v>
      </c>
      <c r="K95" s="106">
        <f>-$I$6*(Sheet1!CD95-Sheet1!CD94)*7.48/1000000</f>
        <v>3.598301685605397E-2</v>
      </c>
      <c r="L95" s="107" t="s">
        <v>193</v>
      </c>
      <c r="M95" s="106">
        <f>-$M$6*(Sheet1!CE95-Sheet1!CE94)*7.48/1000000</f>
        <v>-6.6633203744585374E-3</v>
      </c>
      <c r="N95" s="106">
        <f>-$N$6*(Sheet1!CF95-Sheet1!CF94)*7.48/1000000</f>
        <v>0.12410469078924735</v>
      </c>
      <c r="O95" s="106">
        <f t="shared" si="15"/>
        <v>1.1392591035685717</v>
      </c>
      <c r="P95" s="106">
        <f>O95+Calculation!EI95</f>
        <v>-2.0799408964314283</v>
      </c>
      <c r="Q95" s="101" t="str">
        <f>IF(Sheet1!BQ95&gt;21.75,"spill elevation","-")</f>
        <v>-</v>
      </c>
      <c r="R95" s="101" t="str">
        <f>IF(Sheet1!BR95&gt;21.75,"spill elevation","-")</f>
        <v>-</v>
      </c>
      <c r="S95" s="101" t="str">
        <f>IF(Sheet1!BS95&gt;21.75,"spill elevation","-")</f>
        <v>-</v>
      </c>
      <c r="T95" s="105">
        <f>IF(Sheet1!DQ95=1,Sheet1!AA95-(SUM(AT95:BA95)+BE95),Sheet1!AA95-SUM(AT95:BA95))</f>
        <v>29.043984000000002</v>
      </c>
      <c r="U95" s="105">
        <f>Sheet1!BU95</f>
        <v>24.6</v>
      </c>
      <c r="V95" s="105">
        <f t="shared" si="16"/>
        <v>4.4439840000000004</v>
      </c>
      <c r="W95" s="105">
        <f t="shared" si="17"/>
        <v>0</v>
      </c>
      <c r="X95" s="101">
        <f>IF((Sheet1!EX95-Sheet1!EX94)&lt;0,(Sheet1!EX95+100000-Sheet1!EX94)/1000,(Sheet1!EX95-Sheet1!EX94)/1000)</f>
        <v>0.73</v>
      </c>
      <c r="Y95" s="106">
        <f>Calculation!DZ96+Calculation!EI95+'Calculations II'!O95-'Calculations II'!W95</f>
        <v>52.370059103565659</v>
      </c>
      <c r="Z95" s="106">
        <f>Y95-Sheet1!CP96</f>
        <v>35.940059103565659</v>
      </c>
      <c r="AA95" s="106">
        <f>Y95+Calculation!CZ96+Calculation!AI96</f>
        <v>61.457295273308794</v>
      </c>
      <c r="AC95" s="106">
        <f>Sheet1!AA95+Sheet1!AB95+BC95</f>
        <v>56</v>
      </c>
      <c r="AD95" s="106">
        <f>Sheet1!AA95+Sheet1!BN95+'Calculations II'!BC95-Calculation!AI95-Calculation!CZ95</f>
        <v>37.238468385240921</v>
      </c>
      <c r="AE95" s="106">
        <f>Sheet1!AA95+Sheet1!AB95+'Calculations II'!BC95-Calculation!AI95-Calculation!CZ95</f>
        <v>46.938468385240924</v>
      </c>
      <c r="AF95" s="106">
        <f>Sheet1!AA95+Sheet1!BN95+P95+'Calculations II'!BC95+Calculation!AI95+Calculation!CZ95</f>
        <v>53.281590718327642</v>
      </c>
      <c r="AG95" s="106">
        <f>Sheet1!AA95+Sheet1!BN95+'Calculations II'!BC95+'Calculations II'!P95-Sheet1!CP95-BP95</f>
        <v>29.150059103568566</v>
      </c>
      <c r="AH95" s="106">
        <f>Sheet1!AA95+Sheet1!BN95+'Calculations II'!BC95+'Calculations II'!P95-BP95</f>
        <v>44.220059103568566</v>
      </c>
      <c r="AI95" s="106">
        <f>BC95+Sheet1!AA95+Calculation!EI95+O95+W95+Sheet1!BN95+Calculation!AI95+Calculation!CZ95-BP95</f>
        <v>53.281590718327649</v>
      </c>
      <c r="AJ95" s="106"/>
      <c r="AM95" s="102">
        <f t="shared" si="18"/>
        <v>40624</v>
      </c>
      <c r="AN95" s="106"/>
      <c r="AO95" s="106"/>
      <c r="AR95" s="106"/>
      <c r="AT95" s="101">
        <f>Sheet1!AR95*GPMtoMGD</f>
        <v>0</v>
      </c>
      <c r="AU95" s="101">
        <f>Sheet1!AS95*GPMtoMGD</f>
        <v>3.9600000000000003E-2</v>
      </c>
      <c r="AV95" s="101">
        <f>Sheet1!AT95*GPMtoMGD</f>
        <v>0</v>
      </c>
      <c r="AW95" s="101">
        <f>Sheet1!AV95*GPMtoMGD</f>
        <v>0.47217599999999998</v>
      </c>
      <c r="AX95" s="101">
        <f>Sheet1!AW95*GPMtoMGD</f>
        <v>0.44424000000000002</v>
      </c>
      <c r="AY95" s="101">
        <f>Sheet1!AX95*GPMtoMGD</f>
        <v>0</v>
      </c>
      <c r="AZ95" s="101">
        <f>Sheet1!AY95*GPMtoMGD</f>
        <v>0</v>
      </c>
      <c r="BA95" s="101">
        <f>Sheet1!AZ95*GPMtoMGD</f>
        <v>0</v>
      </c>
      <c r="BB95" s="101">
        <f>Sheet1!BP95*GPMtoMGD</f>
        <v>0</v>
      </c>
      <c r="BC95" s="101">
        <f>Sheet1!CO95*GPMtoMGD</f>
        <v>0</v>
      </c>
      <c r="BD95" s="101">
        <f>Sheet1!BO95*GPMtoMGD</f>
        <v>1.9925280000000003</v>
      </c>
      <c r="BE95" s="101">
        <f>Sheet1!BV95*GPMtoMGD</f>
        <v>0.52660799999999997</v>
      </c>
      <c r="BF95" s="101">
        <f>Sheet1!CJ95*GPMtoMGD</f>
        <v>0.47534400000000004</v>
      </c>
      <c r="BG95" s="101">
        <f>Sheet1!CK95*GPMtoMGD</f>
        <v>0.55871999999999999</v>
      </c>
      <c r="BH95" s="101">
        <f>Sheet1!CL95*GPMtoMGD</f>
        <v>0.78192000000000006</v>
      </c>
      <c r="BI95" s="101">
        <f t="shared" si="19"/>
        <v>1.9925280000000003</v>
      </c>
      <c r="BK95" s="106">
        <f>SUM(AT95:BA95,BE95,Sheet1!BU95,'Calculations II'!BC95,Calculation!AG95)</f>
        <v>43.21198575699885</v>
      </c>
      <c r="BM95" s="439">
        <f>IF(AND(Sheet1!BQ95&lt;=11.5,Sheet1!BQ94&gt;Sheet1!BQ95),(MIN(Lookup!$C$119,VLOOKUP(Sheet1!BQ94,Lookup!$B$4:$J$236,2))-VLOOKUP(Sheet1!BQ95,Lookup!$B$4:$J$236,2))/1000000,0)</f>
        <v>0</v>
      </c>
      <c r="BN95" s="439">
        <f>IF(AND(Sheet1!BR95&lt;=11.5,Sheet1!BR94&gt;Sheet1!BR95),(MIN(Lookup!$D$119,VLOOKUP(Sheet1!BR94,Lookup!$B$4:$J$236,3))-VLOOKUP(Sheet1!BR95,Lookup!$B$4:$J$236,3))/1000000,0)</f>
        <v>0</v>
      </c>
      <c r="BP95" s="105">
        <f>SUM(BM95:BN95,W95,Sheet1!DT95)</f>
        <v>0</v>
      </c>
    </row>
    <row r="96" spans="1:68" s="101" customFormat="1">
      <c r="A96" s="101" t="s">
        <v>5</v>
      </c>
      <c r="B96" s="103">
        <v>40625</v>
      </c>
      <c r="C96" s="104">
        <v>0.33333333333357601</v>
      </c>
      <c r="E96" s="30"/>
      <c r="F96" s="30">
        <f>-(VLOOKUP(Sheet1!BZ96,Lookup!$I$4:$J$216,2)-VLOOKUP(Sheet1!BZ95,Lookup!$I$4:$J$216,2))/1000000</f>
        <v>0.41454775419120304</v>
      </c>
      <c r="G96" s="106">
        <f>-$G$6*(Sheet1!CB96-Sheet1!CB95)*7.48/1000000</f>
        <v>0.31770800842047398</v>
      </c>
      <c r="H96" s="106">
        <f>-$H$6*(Sheet1!CA96-Sheet1!CA95)*7.48/1000000</f>
        <v>0.19551262056644639</v>
      </c>
      <c r="I96" s="106">
        <f>-$I$6*(Sheet1!CC96-Sheet1!CC95)*7.48/1000000</f>
        <v>-0.17991508428027048</v>
      </c>
      <c r="J96" s="107" t="s">
        <v>193</v>
      </c>
      <c r="K96" s="106">
        <f>-$I$6*(Sheet1!CD96-Sheet1!CD95)*7.48/1000000</f>
        <v>-0.19790659270829747</v>
      </c>
      <c r="L96" s="107" t="s">
        <v>193</v>
      </c>
      <c r="M96" s="106">
        <f>-$M$6*(Sheet1!CE96-Sheet1!CE95)*7.48/1000000</f>
        <v>-4.6643242621209044E-2</v>
      </c>
      <c r="N96" s="106">
        <f>-$N$6*(Sheet1!CF96-Sheet1!CF95)*7.48/1000000</f>
        <v>0.12410469078924848</v>
      </c>
      <c r="O96" s="106">
        <f t="shared" si="15"/>
        <v>0.62740815435759489</v>
      </c>
      <c r="P96" s="106">
        <f>O96+Calculation!EI96</f>
        <v>-1.534591845642405</v>
      </c>
      <c r="Q96" s="101" t="str">
        <f>IF(Sheet1!BQ96&gt;21.75,"spill elevation","-")</f>
        <v>-</v>
      </c>
      <c r="R96" s="101" t="str">
        <f>IF(Sheet1!BR96&gt;21.75,"spill elevation","-")</f>
        <v>-</v>
      </c>
      <c r="S96" s="101" t="str">
        <f>IF(Sheet1!BS96&gt;21.75,"spill elevation","-")</f>
        <v>-</v>
      </c>
      <c r="T96" s="105">
        <f>IF(Sheet1!DQ96=1,Sheet1!AA96-(SUM(AT96:BA96)+BE96),Sheet1!AA96-SUM(AT96:BA96))</f>
        <v>28.539231999999998</v>
      </c>
      <c r="U96" s="105">
        <f>Sheet1!BU96</f>
        <v>27.2</v>
      </c>
      <c r="V96" s="105">
        <f t="shared" si="16"/>
        <v>1.3392319999999991</v>
      </c>
      <c r="W96" s="105">
        <f t="shared" si="17"/>
        <v>0</v>
      </c>
      <c r="X96" s="101">
        <f>IF((Sheet1!EX96-Sheet1!EX95)&lt;0,(Sheet1!EX96+100000-Sheet1!EX95)/1000,(Sheet1!EX96-Sheet1!EX95)/1000)</f>
        <v>0.85199999999999998</v>
      </c>
      <c r="Y96" s="106">
        <f>Calculation!DZ97+Calculation!EI96+'Calculations II'!O96-'Calculations II'!W96</f>
        <v>54.735408154361672</v>
      </c>
      <c r="Z96" s="106">
        <f>Y96-Sheet1!CP97</f>
        <v>38.335408154361673</v>
      </c>
      <c r="AA96" s="106">
        <f>Y96+Calculation!CZ97+Calculation!AI97</f>
        <v>64.492525447072694</v>
      </c>
      <c r="AC96" s="106">
        <f>Sheet1!AA96+Sheet1!AB96+BC96</f>
        <v>54.44999999999709</v>
      </c>
      <c r="AD96" s="106">
        <f>Sheet1!AA96+Sheet1!BN96+'Calculations II'!BC96-Calculation!AI96-Calculation!CZ96</f>
        <v>36.212763830256861</v>
      </c>
      <c r="AE96" s="106">
        <f>Sheet1!AA96+Sheet1!AB96+'Calculations II'!BC96-Calculation!AI96-Calculation!CZ96</f>
        <v>45.362763830253954</v>
      </c>
      <c r="AF96" s="106">
        <f>Sheet1!AA96+Sheet1!BN96+P96+'Calculations II'!BC96+Calculation!AI96+Calculation!CZ96</f>
        <v>52.85264432410073</v>
      </c>
      <c r="AG96" s="106">
        <f>Sheet1!AA96+Sheet1!BN96+'Calculations II'!BC96+'Calculations II'!P96-Sheet1!CP96-BP96</f>
        <v>27.335408154357594</v>
      </c>
      <c r="AH96" s="106">
        <f>Sheet1!AA96+Sheet1!BN96+'Calculations II'!BC96+'Calculations II'!P96-BP96</f>
        <v>43.765408154357594</v>
      </c>
      <c r="AI96" s="106">
        <f>BC96+Sheet1!AA96+Calculation!EI96+O96+W96+Sheet1!BN96+Calculation!AI96+Calculation!CZ96-BP96</f>
        <v>52.852644324100737</v>
      </c>
      <c r="AJ96" s="106"/>
      <c r="AM96" s="102">
        <f t="shared" si="18"/>
        <v>40625</v>
      </c>
      <c r="AN96" s="106"/>
      <c r="AO96" s="106"/>
      <c r="AR96" s="106"/>
      <c r="AT96" s="101">
        <f>Sheet1!AR96*GPMtoMGD</f>
        <v>0</v>
      </c>
      <c r="AU96" s="101">
        <f>Sheet1!AS96*GPMtoMGD</f>
        <v>2.6208000000000002E-2</v>
      </c>
      <c r="AV96" s="101">
        <f>Sheet1!AT96*GPMtoMGD</f>
        <v>0</v>
      </c>
      <c r="AW96" s="101">
        <f>Sheet1!AV96*GPMtoMGD</f>
        <v>0.49665599999999999</v>
      </c>
      <c r="AX96" s="101">
        <f>Sheet1!AW96*GPMtoMGD</f>
        <v>0.43790400000000007</v>
      </c>
      <c r="AY96" s="101">
        <f>Sheet1!AX96*GPMtoMGD</f>
        <v>0</v>
      </c>
      <c r="AZ96" s="101">
        <f>Sheet1!AY96*GPMtoMGD</f>
        <v>0</v>
      </c>
      <c r="BA96" s="101">
        <f>Sheet1!AZ96*GPMtoMGD</f>
        <v>0</v>
      </c>
      <c r="BB96" s="101">
        <f>Sheet1!BP96*GPMtoMGD</f>
        <v>0</v>
      </c>
      <c r="BC96" s="101">
        <f>Sheet1!CO96*GPMtoMGD</f>
        <v>0</v>
      </c>
      <c r="BD96" s="101">
        <f>Sheet1!BO96*GPMtoMGD</f>
        <v>1.3445280000000002</v>
      </c>
      <c r="BE96" s="101">
        <f>Sheet1!BV96*GPMtoMGD</f>
        <v>0.89568000000000003</v>
      </c>
      <c r="BF96" s="101">
        <f>Sheet1!CJ96*GPMtoMGD</f>
        <v>0.56836799999999998</v>
      </c>
      <c r="BG96" s="101">
        <f>Sheet1!CK96*GPMtoMGD</f>
        <v>0.55396800000000002</v>
      </c>
      <c r="BH96" s="101">
        <f>Sheet1!CL96*GPMtoMGD</f>
        <v>0.80092800000000008</v>
      </c>
      <c r="BI96" s="101">
        <f t="shared" si="19"/>
        <v>1.3445280000000002</v>
      </c>
      <c r="BK96" s="106">
        <f>SUM(AT96:BA96,BE96,Sheet1!BU96,'Calculations II'!BC96,Calculation!AG96)</f>
        <v>45.423534596824553</v>
      </c>
      <c r="BM96" s="439">
        <f>IF(AND(Sheet1!BQ96&lt;=11.5,Sheet1!BQ95&gt;Sheet1!BQ96),(MIN(Lookup!$C$119,VLOOKUP(Sheet1!BQ95,Lookup!$B$4:$J$236,2))-VLOOKUP(Sheet1!BQ96,Lookup!$B$4:$J$236,2))/1000000,0)</f>
        <v>0</v>
      </c>
      <c r="BN96" s="439">
        <f>IF(AND(Sheet1!BR96&lt;=11.5,Sheet1!BR95&gt;Sheet1!BR96),(MIN(Lookup!$D$119,VLOOKUP(Sheet1!BR95,Lookup!$B$4:$J$236,3))-VLOOKUP(Sheet1!BR96,Lookup!$B$4:$J$236,3))/1000000,0)</f>
        <v>0</v>
      </c>
      <c r="BP96" s="105">
        <f>SUM(BM96:BN96,W96,Sheet1!DT96)</f>
        <v>0</v>
      </c>
    </row>
    <row r="97" spans="1:68" s="101" customFormat="1">
      <c r="A97" s="101" t="s">
        <v>6</v>
      </c>
      <c r="B97" s="103">
        <v>40626</v>
      </c>
      <c r="C97" s="104">
        <v>0.33333333333357601</v>
      </c>
      <c r="E97" s="30"/>
      <c r="F97" s="30">
        <f>-(VLOOKUP(Sheet1!BZ97,Lookup!$I$4:$J$216,2)-VLOOKUP(Sheet1!BZ96,Lookup!$I$4:$J$216,2))/1000000</f>
        <v>0.51818469273899681</v>
      </c>
      <c r="G97" s="106">
        <f>-$G$6*(Sheet1!CB97-Sheet1!CB96)*7.48/1000000</f>
        <v>0.27799450736791548</v>
      </c>
      <c r="H97" s="106">
        <f>-$H$6*(Sheet1!CA97-Sheet1!CA96)*7.48/1000000</f>
        <v>-0.52638013229427705</v>
      </c>
      <c r="I97" s="106">
        <f>-$I$6*(Sheet1!CC97-Sheet1!CC96)*7.48/1000000</f>
        <v>0.26987262642040577</v>
      </c>
      <c r="J97" s="107" t="s">
        <v>193</v>
      </c>
      <c r="K97" s="106">
        <f>-$I$6*(Sheet1!CD97-Sheet1!CD96)*7.48/1000000</f>
        <v>0.26987262642040577</v>
      </c>
      <c r="L97" s="107" t="s">
        <v>193</v>
      </c>
      <c r="M97" s="106">
        <f>-$M$6*(Sheet1!CE97-Sheet1!CE96)*7.48/1000000</f>
        <v>9.9949805616876636E-2</v>
      </c>
      <c r="N97" s="106">
        <f>-$N$6*(Sheet1!CF97-Sheet1!CF96)*7.48/1000000</f>
        <v>6.2052345394623676E-2</v>
      </c>
      <c r="O97" s="106">
        <f t="shared" si="15"/>
        <v>0.97154647166494712</v>
      </c>
      <c r="P97" s="106">
        <f>O97+Calculation!EI97</f>
        <v>1.5120464716649471</v>
      </c>
      <c r="Q97" s="101" t="str">
        <f>IF(Sheet1!BQ97&gt;21.75,"spill elevation","-")</f>
        <v>-</v>
      </c>
      <c r="R97" s="101" t="str">
        <f>IF(Sheet1!BR97&gt;21.75,"spill elevation","-")</f>
        <v>-</v>
      </c>
      <c r="S97" s="101" t="str">
        <f>IF(Sheet1!BS97&gt;21.75,"spill elevation","-")</f>
        <v>-</v>
      </c>
      <c r="T97" s="105">
        <f>IF(Sheet1!DQ97=1,Sheet1!AA97-(SUM(AT97:BA97)+BE97),Sheet1!AA97-SUM(AT97:BA97))</f>
        <v>27.846720000002911</v>
      </c>
      <c r="U97" s="105">
        <f>Sheet1!BU97</f>
        <v>27.1</v>
      </c>
      <c r="V97" s="105">
        <f t="shared" si="16"/>
        <v>0.7467200000029095</v>
      </c>
      <c r="W97" s="105">
        <f t="shared" si="17"/>
        <v>0</v>
      </c>
      <c r="X97" s="101">
        <f>IF((Sheet1!EX97-Sheet1!EX96)&lt;0,(Sheet1!EX97+100000-Sheet1!EX96)/1000,(Sheet1!EX97-Sheet1!EX96)/1000)</f>
        <v>1.3779999999999999</v>
      </c>
      <c r="Y97" s="106">
        <f>Calculation!DZ98+Calculation!EI97+'Calculations II'!O97-'Calculations II'!W97</f>
        <v>56.792046471663781</v>
      </c>
      <c r="Z97" s="106">
        <f>Y97-Sheet1!CP98</f>
        <v>40.952046471663778</v>
      </c>
      <c r="AA97" s="106">
        <f>Y97+Calculation!CZ98+Calculation!AI98</f>
        <v>65.938905199969071</v>
      </c>
      <c r="AC97" s="106">
        <f>Sheet1!AA97+Sheet1!AB97+BC97</f>
        <v>56.270000000004075</v>
      </c>
      <c r="AD97" s="106">
        <f>Sheet1!AA97+Sheet1!BN97+'Calculations II'!BC97-Calculation!AI97-Calculation!CZ97</f>
        <v>37.042882707291888</v>
      </c>
      <c r="AE97" s="106">
        <f>Sheet1!AA97+Sheet1!AB97+'Calculations II'!BC97-Calculation!AI97-Calculation!CZ97</f>
        <v>46.512882707293052</v>
      </c>
      <c r="AF97" s="106">
        <f>Sheet1!AA97+Sheet1!BN97+P97+'Calculations II'!BC97+Calculation!AI97+Calculation!CZ97</f>
        <v>58.069163764378878</v>
      </c>
      <c r="AG97" s="106">
        <f>Sheet1!AA97+Sheet1!BN97+'Calculations II'!BC97+'Calculations II'!P97-Sheet1!CP97-BP97</f>
        <v>31.912046471667857</v>
      </c>
      <c r="AH97" s="106">
        <f>Sheet1!AA97+Sheet1!BN97+'Calculations II'!BC97+'Calculations II'!P97-BP97</f>
        <v>48.312046471667855</v>
      </c>
      <c r="AI97" s="106">
        <f>BC97+Sheet1!AA97+Calculation!EI97+O97+W97+Sheet1!BN97+Calculation!AI97+Calculation!CZ97-BP97</f>
        <v>58.069163764378878</v>
      </c>
      <c r="AJ97" s="106"/>
      <c r="AM97" s="102">
        <f t="shared" si="18"/>
        <v>40626</v>
      </c>
      <c r="AN97" s="106"/>
      <c r="AO97" s="106"/>
      <c r="AR97" s="106"/>
      <c r="AT97" s="101">
        <f>Sheet1!AR97*GPMtoMGD</f>
        <v>0</v>
      </c>
      <c r="AU97" s="101">
        <f>Sheet1!AS97*GPMtoMGD</f>
        <v>7.2000000000000008E-2</v>
      </c>
      <c r="AV97" s="101">
        <f>Sheet1!AT97*GPMtoMGD</f>
        <v>0</v>
      </c>
      <c r="AW97" s="101">
        <f>Sheet1!AV97*GPMtoMGD</f>
        <v>0.45720000000000005</v>
      </c>
      <c r="AX97" s="101">
        <f>Sheet1!AW97*GPMtoMGD</f>
        <v>0.42408000000000001</v>
      </c>
      <c r="AY97" s="101">
        <f>Sheet1!AX97*GPMtoMGD</f>
        <v>0</v>
      </c>
      <c r="AZ97" s="101">
        <f>Sheet1!AY97*GPMtoMGD</f>
        <v>0</v>
      </c>
      <c r="BA97" s="101">
        <f>Sheet1!AZ97*GPMtoMGD</f>
        <v>0</v>
      </c>
      <c r="BB97" s="101">
        <f>Sheet1!BP97*GPMtoMGD</f>
        <v>0</v>
      </c>
      <c r="BC97" s="101">
        <f>Sheet1!CO97*GPMtoMGD</f>
        <v>0</v>
      </c>
      <c r="BD97" s="101">
        <f>Sheet1!BO97*GPMtoMGD</f>
        <v>2.1729600000000002</v>
      </c>
      <c r="BE97" s="101">
        <f>Sheet1!BV97*GPMtoMGD</f>
        <v>0.63763200000000009</v>
      </c>
      <c r="BF97" s="101">
        <f>Sheet1!CJ97*GPMtoMGD</f>
        <v>0.48931200000000002</v>
      </c>
      <c r="BG97" s="101">
        <f>Sheet1!CK97*GPMtoMGD</f>
        <v>0.54964800000000003</v>
      </c>
      <c r="BH97" s="101">
        <f>Sheet1!CL97*GPMtoMGD</f>
        <v>0.77716800000000008</v>
      </c>
      <c r="BI97" s="101">
        <f t="shared" si="19"/>
        <v>2.1729600000000002</v>
      </c>
      <c r="BK97" s="106">
        <f>SUM(AT97:BA97,BE97,Sheet1!BU97,'Calculations II'!BC97,Calculation!AG97)</f>
        <v>47.268348021411185</v>
      </c>
      <c r="BM97" s="439">
        <f>IF(AND(Sheet1!BQ97&lt;=11.5,Sheet1!BQ96&gt;Sheet1!BQ97),(MIN(Lookup!$C$119,VLOOKUP(Sheet1!BQ96,Lookup!$B$4:$J$236,2))-VLOOKUP(Sheet1!BQ97,Lookup!$B$4:$J$236,2))/1000000,0)</f>
        <v>0</v>
      </c>
      <c r="BN97" s="439">
        <f>IF(AND(Sheet1!BR97&lt;=11.5,Sheet1!BR96&gt;Sheet1!BR97),(MIN(Lookup!$D$119,VLOOKUP(Sheet1!BR96,Lookup!$B$4:$J$236,3))-VLOOKUP(Sheet1!BR97,Lookup!$B$4:$J$236,3))/1000000,0)</f>
        <v>0</v>
      </c>
      <c r="BP97" s="105">
        <f>SUM(BM97:BN97,W97,Sheet1!DT97)</f>
        <v>0</v>
      </c>
    </row>
    <row r="98" spans="1:68" s="101" customFormat="1">
      <c r="A98" s="101" t="s">
        <v>7</v>
      </c>
      <c r="B98" s="103">
        <v>40627</v>
      </c>
      <c r="C98" s="104">
        <v>0.33333333333357601</v>
      </c>
      <c r="E98" s="30"/>
      <c r="F98" s="30">
        <f>-(VLOOKUP(Sheet1!BZ98,Lookup!$I$4:$J$216,2)-VLOOKUP(Sheet1!BZ97,Lookup!$I$4:$J$216,2))/1000000</f>
        <v>-0.82909550838240054</v>
      </c>
      <c r="G98" s="106">
        <f>-$G$6*(Sheet1!CB98-Sheet1!CB97)*7.48/1000000</f>
        <v>-1.1516915305242199</v>
      </c>
      <c r="H98" s="106">
        <f>-$H$6*(Sheet1!CA98-Sheet1!CA97)*7.48/1000000</f>
        <v>0.54141956464554231</v>
      </c>
      <c r="I98" s="106">
        <f>-$I$6*(Sheet1!CC98-Sheet1!CC97)*7.48/1000000</f>
        <v>-0.25188111799237872</v>
      </c>
      <c r="J98" s="107" t="s">
        <v>193</v>
      </c>
      <c r="K98" s="106">
        <f>-$I$6*(Sheet1!CD98-Sheet1!CD97)*7.48/1000000</f>
        <v>-0.21589810113632443</v>
      </c>
      <c r="L98" s="107" t="s">
        <v>193</v>
      </c>
      <c r="M98" s="106">
        <f>-$M$6*(Sheet1!CE98-Sheet1!CE97)*7.48/1000000</f>
        <v>-0.11327644636579347</v>
      </c>
      <c r="N98" s="106">
        <f>-$N$6*(Sheet1!CF98-Sheet1!CF97)*7.48/1000000</f>
        <v>-0.18615703618387214</v>
      </c>
      <c r="O98" s="106">
        <f t="shared" si="15"/>
        <v>-2.2065801759394468</v>
      </c>
      <c r="P98" s="106">
        <f>O98+Calculation!EI98</f>
        <v>-1.6660801759394468</v>
      </c>
      <c r="Q98" s="101" t="str">
        <f>IF(Sheet1!BQ98&gt;21.75,"spill elevation","-")</f>
        <v>-</v>
      </c>
      <c r="R98" s="101" t="str">
        <f>IF(Sheet1!BR98&gt;21.75,"spill elevation","-")</f>
        <v>-</v>
      </c>
      <c r="S98" s="101" t="str">
        <f>IF(Sheet1!BS98&gt;21.75,"spill elevation","-")</f>
        <v>-</v>
      </c>
      <c r="T98" s="105">
        <f>IF(Sheet1!DQ98=1,Sheet1!AA98-(SUM(AT98:BA98)+BE98),Sheet1!AA98-SUM(AT98:BA98))</f>
        <v>28.040831999997089</v>
      </c>
      <c r="U98" s="105">
        <f>Sheet1!BU98</f>
        <v>25.8</v>
      </c>
      <c r="V98" s="105">
        <f t="shared" si="16"/>
        <v>2.2408319999970878</v>
      </c>
      <c r="W98" s="105">
        <f t="shared" si="17"/>
        <v>0</v>
      </c>
      <c r="X98" s="101">
        <f>IF((Sheet1!EX98-Sheet1!EX97)&lt;0,(Sheet1!EX98+100000-Sheet1!EX97)/1000,(Sheet1!EX98-Sheet1!EX97)/1000)</f>
        <v>0.192</v>
      </c>
      <c r="Y98" s="106">
        <f>Calculation!DZ99+Calculation!EI98+'Calculations II'!O98-'Calculations II'!W98</f>
        <v>51.333919824060558</v>
      </c>
      <c r="Z98" s="106">
        <f>Y98-Sheet1!CP99</f>
        <v>36.103919824060554</v>
      </c>
      <c r="AA98" s="106">
        <f>Y98+Calculation!CZ99+Calculation!AI99</f>
        <v>59.616764339930384</v>
      </c>
      <c r="AC98" s="106">
        <f>Sheet1!AA98+Sheet1!AB98+BC98</f>
        <v>55.279999999998836</v>
      </c>
      <c r="AD98" s="106">
        <f>Sheet1!AA98+Sheet1!BN98+'Calculations II'!BC98-Calculation!AI98-Calculation!CZ98</f>
        <v>36.553141271691793</v>
      </c>
      <c r="AE98" s="106">
        <f>Sheet1!AA98+Sheet1!AB98+'Calculations II'!BC98-Calculation!AI98-Calculation!CZ98</f>
        <v>46.133141271693539</v>
      </c>
      <c r="AF98" s="106">
        <f>Sheet1!AA98+Sheet1!BN98+P98+'Calculations II'!BC98+Calculation!AI98+Calculation!CZ98</f>
        <v>53.180778552362938</v>
      </c>
      <c r="AG98" s="106">
        <f>Sheet1!AA98+Sheet1!BN98+'Calculations II'!BC98+'Calculations II'!P98-Sheet1!CP98-BP98</f>
        <v>28.193919824057641</v>
      </c>
      <c r="AH98" s="106">
        <f>Sheet1!AA98+Sheet1!BN98+'Calculations II'!BC98+'Calculations II'!P98-BP98</f>
        <v>44.033919824057641</v>
      </c>
      <c r="AI98" s="106">
        <f>BC98+Sheet1!AA98+Calculation!EI98+O98+W98+Sheet1!BN98+Calculation!AI98+Calculation!CZ98-BP98</f>
        <v>53.180778552362945</v>
      </c>
      <c r="AJ98" s="106"/>
      <c r="AM98" s="102">
        <f t="shared" si="18"/>
        <v>40627</v>
      </c>
      <c r="AN98" s="106"/>
      <c r="AO98" s="106"/>
      <c r="AR98" s="106"/>
      <c r="AT98" s="101">
        <f>Sheet1!AR98*GPMtoMGD</f>
        <v>0</v>
      </c>
      <c r="AU98" s="101">
        <f>Sheet1!AS98*GPMtoMGD</f>
        <v>2.6784000000000002E-2</v>
      </c>
      <c r="AV98" s="101">
        <f>Sheet1!AT98*GPMtoMGD</f>
        <v>0</v>
      </c>
      <c r="AW98" s="101">
        <f>Sheet1!AV98*GPMtoMGD</f>
        <v>0.54360000000000008</v>
      </c>
      <c r="AX98" s="101">
        <f>Sheet1!AW98*GPMtoMGD</f>
        <v>1.0887840000000002</v>
      </c>
      <c r="AY98" s="101">
        <f>Sheet1!AX98*GPMtoMGD</f>
        <v>0</v>
      </c>
      <c r="AZ98" s="101">
        <f>Sheet1!AY98*GPMtoMGD</f>
        <v>0</v>
      </c>
      <c r="BA98" s="101">
        <f>Sheet1!AZ98*GPMtoMGD</f>
        <v>0</v>
      </c>
      <c r="BB98" s="101">
        <f>Sheet1!BP98*GPMtoMGD</f>
        <v>0</v>
      </c>
      <c r="BC98" s="101">
        <f>Sheet1!CO98*GPMtoMGD</f>
        <v>0</v>
      </c>
      <c r="BD98" s="101">
        <f>Sheet1!BO98*GPMtoMGD</f>
        <v>1.6735680000000002</v>
      </c>
      <c r="BE98" s="101">
        <f>Sheet1!BV98*GPMtoMGD</f>
        <v>0.61891200000000002</v>
      </c>
      <c r="BF98" s="101">
        <f>Sheet1!CJ98*GPMtoMGD</f>
        <v>0.45748800000000001</v>
      </c>
      <c r="BG98" s="101">
        <f>Sheet1!CK98*GPMtoMGD</f>
        <v>0.54561599999999999</v>
      </c>
      <c r="BH98" s="101">
        <f>Sheet1!CL98*GPMtoMGD</f>
        <v>0.78220800000000013</v>
      </c>
      <c r="BI98" s="101">
        <f t="shared" si="19"/>
        <v>1.6735680000000002</v>
      </c>
      <c r="BK98" s="106">
        <f>SUM(AT98:BA98,BE98,Sheet1!BU98,'Calculations II'!BC98,Calculation!AG98)</f>
        <v>44.871451819246879</v>
      </c>
      <c r="BM98" s="439">
        <f>IF(AND(Sheet1!BQ98&lt;=11.5,Sheet1!BQ97&gt;Sheet1!BQ98),(MIN(Lookup!$C$119,VLOOKUP(Sheet1!BQ97,Lookup!$B$4:$J$236,2))-VLOOKUP(Sheet1!BQ98,Lookup!$B$4:$J$236,2))/1000000,0)</f>
        <v>0</v>
      </c>
      <c r="BN98" s="439">
        <f>IF(AND(Sheet1!BR98&lt;=11.5,Sheet1!BR97&gt;Sheet1!BR98),(MIN(Lookup!$D$119,VLOOKUP(Sheet1!BR97,Lookup!$B$4:$J$236,3))-VLOOKUP(Sheet1!BR98,Lookup!$B$4:$J$236,3))/1000000,0)</f>
        <v>0</v>
      </c>
      <c r="BP98" s="105">
        <f>SUM(BM98:BN98,W98,Sheet1!DT98)</f>
        <v>0</v>
      </c>
    </row>
    <row r="99" spans="1:68" s="101" customFormat="1">
      <c r="A99" s="101" t="s">
        <v>8</v>
      </c>
      <c r="B99" s="103">
        <v>40628</v>
      </c>
      <c r="C99" s="104">
        <v>0.33333333333357601</v>
      </c>
      <c r="E99" s="30"/>
      <c r="F99" s="30">
        <f>-(VLOOKUP(Sheet1!BZ99,Lookup!$I$4:$J$216,2)-VLOOKUP(Sheet1!BZ98,Lookup!$I$4:$J$216,2))/1000000</f>
        <v>0.20727387709559872</v>
      </c>
      <c r="G99" s="106">
        <f>-$G$6*(Sheet1!CB99-Sheet1!CB98)*7.48/1000000</f>
        <v>0.23828100631535562</v>
      </c>
      <c r="H99" s="106">
        <f>-$H$6*(Sheet1!CA99-Sheet1!CA98)*7.48/1000000</f>
        <v>-0.54141956464554231</v>
      </c>
      <c r="I99" s="106">
        <f>-$I$6*(Sheet1!CC99-Sheet1!CC98)*7.48/1000000</f>
        <v>3.598301685605397E-2</v>
      </c>
      <c r="J99" s="107" t="s">
        <v>193</v>
      </c>
      <c r="K99" s="106">
        <f>-$I$6*(Sheet1!CD99-Sheet1!CD98)*7.48/1000000</f>
        <v>0</v>
      </c>
      <c r="L99" s="107" t="s">
        <v>193</v>
      </c>
      <c r="M99" s="106">
        <f>-$M$6*(Sheet1!CE99-Sheet1!CE98)*7.48/1000000</f>
        <v>3.3316601872292212E-2</v>
      </c>
      <c r="N99" s="106">
        <f>-$N$6*(Sheet1!CF99-Sheet1!CF98)*7.48/1000000</f>
        <v>0.12410469078924848</v>
      </c>
      <c r="O99" s="106">
        <f t="shared" si="15"/>
        <v>9.7539628283006705E-2</v>
      </c>
      <c r="P99" s="106">
        <f>O99+Calculation!EI99</f>
        <v>-0.44296037171699326</v>
      </c>
      <c r="Q99" s="101" t="str">
        <f>IF(Sheet1!BQ99&gt;21.75,"spill elevation","-")</f>
        <v>-</v>
      </c>
      <c r="R99" s="101" t="str">
        <f>IF(Sheet1!BR99&gt;21.75,"spill elevation","-")</f>
        <v>-</v>
      </c>
      <c r="S99" s="101" t="str">
        <f>IF(Sheet1!BS99&gt;21.75,"spill elevation","-")</f>
        <v>-</v>
      </c>
      <c r="T99" s="105">
        <f>IF(Sheet1!DQ99=1,Sheet1!AA99-(SUM(AT99:BA99)+BE99),Sheet1!AA99-SUM(AT99:BA99))</f>
        <v>27.487711999999998</v>
      </c>
      <c r="U99" s="105">
        <f>Sheet1!BU99</f>
        <v>24</v>
      </c>
      <c r="V99" s="105">
        <f t="shared" si="16"/>
        <v>3.4877119999999984</v>
      </c>
      <c r="W99" s="105">
        <f t="shared" si="17"/>
        <v>0</v>
      </c>
      <c r="X99" s="101">
        <f>IF((Sheet1!EX99-Sheet1!EX98)&lt;0,(Sheet1!EX99+100000-Sheet1!EX98)/1000,(Sheet1!EX99-Sheet1!EX98)/1000)</f>
        <v>0.78900000000000003</v>
      </c>
      <c r="Y99" s="106">
        <f>Calculation!DZ100+Calculation!EI99+'Calculations II'!O99-'Calculations II'!W99</f>
        <v>54.557039628283007</v>
      </c>
      <c r="Z99" s="106">
        <f>Y99-Sheet1!CP100</f>
        <v>38.887039628283006</v>
      </c>
      <c r="AA99" s="106">
        <f>Y99+Calculation!CZ100+Calculation!AI100</f>
        <v>63.200012164631957</v>
      </c>
      <c r="AC99" s="106">
        <f>Sheet1!AA99+Sheet1!AB99+BC99</f>
        <v>53</v>
      </c>
      <c r="AD99" s="106">
        <f>Sheet1!AA99+Sheet1!BN99+'Calculations II'!BC99-Calculation!AI99-Calculation!CZ99</f>
        <v>37.017155484130171</v>
      </c>
      <c r="AE99" s="106">
        <f>Sheet1!AA99+Sheet1!AB99+'Calculations II'!BC99-Calculation!AI99-Calculation!CZ99</f>
        <v>44.717155484130174</v>
      </c>
      <c r="AF99" s="106">
        <f>Sheet1!AA99+Sheet1!BN99+P99+'Calculations II'!BC99+Calculation!AI99+Calculation!CZ99</f>
        <v>53.13988414415283</v>
      </c>
      <c r="AG99" s="106">
        <f>Sheet1!AA99+Sheet1!BN99+'Calculations II'!BC99+'Calculations II'!P99-Sheet1!CP99-BP99</f>
        <v>29.627039628283004</v>
      </c>
      <c r="AH99" s="106">
        <f>Sheet1!AA99+Sheet1!BN99+'Calculations II'!BC99+'Calculations II'!P99-BP99</f>
        <v>44.857039628283005</v>
      </c>
      <c r="AI99" s="106">
        <f>BC99+Sheet1!AA99+Calculation!EI99+O99+W99+Sheet1!BN99+Calculation!AI99+Calculation!CZ99-BP99</f>
        <v>53.13988414415283</v>
      </c>
      <c r="AJ99" s="106"/>
      <c r="AM99" s="102">
        <f t="shared" si="18"/>
        <v>40628</v>
      </c>
      <c r="AN99" s="106"/>
      <c r="AO99" s="106"/>
      <c r="AR99" s="106"/>
      <c r="AT99" s="101">
        <f>Sheet1!AR99*GPMtoMGD</f>
        <v>0</v>
      </c>
      <c r="AU99" s="101">
        <f>Sheet1!AS99*GPMtoMGD</f>
        <v>2.8512000000000003E-2</v>
      </c>
      <c r="AV99" s="101">
        <f>Sheet1!AT99*GPMtoMGD</f>
        <v>0</v>
      </c>
      <c r="AW99" s="101">
        <f>Sheet1!AV99*GPMtoMGD</f>
        <v>0.73929600000000006</v>
      </c>
      <c r="AX99" s="101">
        <f>Sheet1!AW99*GPMtoMGD</f>
        <v>0.74448000000000003</v>
      </c>
      <c r="AY99" s="101">
        <f>Sheet1!AX99*GPMtoMGD</f>
        <v>0</v>
      </c>
      <c r="AZ99" s="101">
        <f>Sheet1!AY99*GPMtoMGD</f>
        <v>0</v>
      </c>
      <c r="BA99" s="101">
        <f>Sheet1!AZ99*GPMtoMGD</f>
        <v>0</v>
      </c>
      <c r="BB99" s="101">
        <f>Sheet1!BP99*GPMtoMGD</f>
        <v>0</v>
      </c>
      <c r="BC99" s="101">
        <f>Sheet1!CO99*GPMtoMGD</f>
        <v>0</v>
      </c>
      <c r="BD99" s="101">
        <f>Sheet1!BO99*GPMtoMGD</f>
        <v>1.7131680000000002</v>
      </c>
      <c r="BE99" s="101">
        <f>Sheet1!BV99*GPMtoMGD</f>
        <v>0.61214400000000002</v>
      </c>
      <c r="BF99" s="101">
        <f>Sheet1!CJ99*GPMtoMGD</f>
        <v>0.54144000000000003</v>
      </c>
      <c r="BG99" s="101">
        <f>Sheet1!CK99*GPMtoMGD</f>
        <v>0.574272</v>
      </c>
      <c r="BH99" s="101">
        <f>Sheet1!CL99*GPMtoMGD</f>
        <v>0.73080000000000001</v>
      </c>
      <c r="BI99" s="101">
        <f t="shared" si="19"/>
        <v>1.7131680000000002</v>
      </c>
      <c r="BK99" s="106">
        <f>SUM(AT99:BA99,BE99,Sheet1!BU99,'Calculations II'!BC99,Calculation!AG99)</f>
        <v>41.841587484130173</v>
      </c>
      <c r="BM99" s="439">
        <f>IF(AND(Sheet1!BQ99&lt;=11.5,Sheet1!BQ98&gt;Sheet1!BQ99),(MIN(Lookup!$C$119,VLOOKUP(Sheet1!BQ98,Lookup!$B$4:$J$236,2))-VLOOKUP(Sheet1!BQ99,Lookup!$B$4:$J$236,2))/1000000,0)</f>
        <v>0</v>
      </c>
      <c r="BN99" s="439">
        <f>IF(AND(Sheet1!BR99&lt;=11.5,Sheet1!BR98&gt;Sheet1!BR99),(MIN(Lookup!$D$119,VLOOKUP(Sheet1!BR98,Lookup!$B$4:$J$236,3))-VLOOKUP(Sheet1!BR99,Lookup!$B$4:$J$236,3))/1000000,0)</f>
        <v>0</v>
      </c>
      <c r="BP99" s="105">
        <f>SUM(BM99:BN99,W99,Sheet1!DT99)</f>
        <v>0</v>
      </c>
    </row>
    <row r="100" spans="1:68" s="101" customFormat="1">
      <c r="A100" s="101" t="s">
        <v>9</v>
      </c>
      <c r="B100" s="103">
        <v>40629</v>
      </c>
      <c r="C100" s="104">
        <v>0.33333333333357601</v>
      </c>
      <c r="E100" s="30"/>
      <c r="F100" s="30">
        <f>-(VLOOKUP(Sheet1!BZ100,Lookup!$I$4:$J$216,2)-VLOOKUP(Sheet1!BZ99,Lookup!$I$4:$J$216,2))/1000000</f>
        <v>-0.31091081564339806</v>
      </c>
      <c r="G100" s="106">
        <f>-$G$6*(Sheet1!CB100-Sheet1!CB99)*7.48/1000000</f>
        <v>0.3177080084204747</v>
      </c>
      <c r="H100" s="106">
        <f>-$H$6*(Sheet1!CA100-Sheet1!CA99)*7.48/1000000</f>
        <v>0.12031545881012005</v>
      </c>
      <c r="I100" s="106">
        <f>-$I$6*(Sheet1!CC100-Sheet1!CC99)*7.48/1000000</f>
        <v>0.10794905056816222</v>
      </c>
      <c r="J100" s="107" t="s">
        <v>193</v>
      </c>
      <c r="K100" s="106">
        <f>-$I$6*(Sheet1!CD100-Sheet1!CD99)*7.48/1000000</f>
        <v>0.12594055899618922</v>
      </c>
      <c r="L100" s="107" t="s">
        <v>193</v>
      </c>
      <c r="M100" s="106">
        <f>-$M$6*(Sheet1!CE100-Sheet1!CE99)*7.48/1000000</f>
        <v>3.997992224675051E-2</v>
      </c>
      <c r="N100" s="106">
        <f>-$N$6*(Sheet1!CF100-Sheet1!CF99)*7.48/1000000</f>
        <v>-0.12410469078924848</v>
      </c>
      <c r="O100" s="106">
        <f t="shared" si="15"/>
        <v>0.2768774926090502</v>
      </c>
      <c r="P100" s="106">
        <f>O100+Calculation!EI100</f>
        <v>-2.4289225073909497</v>
      </c>
      <c r="Q100" s="101" t="str">
        <f>IF(Sheet1!BQ100&gt;21.75,"spill elevation","-")</f>
        <v>-</v>
      </c>
      <c r="R100" s="101" t="str">
        <f>IF(Sheet1!BR100&gt;21.75,"spill elevation","-")</f>
        <v>-</v>
      </c>
      <c r="S100" s="101" t="str">
        <f>IF(Sheet1!BS100&gt;21.75,"spill elevation","-")</f>
        <v>-</v>
      </c>
      <c r="T100" s="105">
        <f>IF(Sheet1!DQ100=1,Sheet1!AA100-(SUM(AT100:BA100)+BE100),Sheet1!AA100-SUM(AT100:BA100))</f>
        <v>28.524432000000001</v>
      </c>
      <c r="U100" s="105">
        <f>Sheet1!BU100</f>
        <v>24.3</v>
      </c>
      <c r="V100" s="105">
        <f t="shared" si="16"/>
        <v>4.2244320000000002</v>
      </c>
      <c r="W100" s="105">
        <f t="shared" si="17"/>
        <v>0</v>
      </c>
      <c r="X100" s="101">
        <f>IF((Sheet1!EX100-Sheet1!EX99)&lt;0,(Sheet1!EX100+100000-Sheet1!EX99)/1000,(Sheet1!EX100-Sheet1!EX99)/1000)</f>
        <v>0.77100000000000002</v>
      </c>
      <c r="Y100" s="106">
        <f>Calculation!DZ101+Calculation!EI100+'Calculations II'!O100-'Calculations II'!W100</f>
        <v>53.08107749261837</v>
      </c>
      <c r="Z100" s="106">
        <f>Y100-Sheet1!CP101</f>
        <v>36.991077492618373</v>
      </c>
      <c r="AA100" s="106">
        <f>Y100+Calculation!CZ101+Calculation!AI101</f>
        <v>61.851665727913485</v>
      </c>
      <c r="AC100" s="106">
        <f>Sheet1!AA100+Sheet1!AB100+BC100</f>
        <v>55</v>
      </c>
      <c r="AD100" s="106">
        <f>Sheet1!AA100+Sheet1!BN100+'Calculations II'!BC100-Calculation!AI100-Calculation!CZ100</f>
        <v>37.557027463651053</v>
      </c>
      <c r="AE100" s="106">
        <f>Sheet1!AA100+Sheet1!AB100+'Calculations II'!BC100-Calculation!AI100-Calculation!CZ100</f>
        <v>46.35702746365105</v>
      </c>
      <c r="AF100" s="106">
        <f>Sheet1!AA100+Sheet1!BN100+P100+'Calculations II'!BC100+Calculation!AI100+Calculation!CZ100</f>
        <v>52.414050028958002</v>
      </c>
      <c r="AG100" s="106">
        <f>Sheet1!AA100+Sheet1!BN100+'Calculations II'!BC100+'Calculations II'!P100-Sheet1!CP100-BP100</f>
        <v>28.101077492609051</v>
      </c>
      <c r="AH100" s="106">
        <f>Sheet1!AA100+Sheet1!BN100+'Calculations II'!BC100+'Calculations II'!P100-BP100</f>
        <v>43.771077492609052</v>
      </c>
      <c r="AI100" s="106">
        <f>BC100+Sheet1!AA100+Calculation!EI100+O100+W100+Sheet1!BN100+Calculation!AI100+Calculation!CZ100-BP100</f>
        <v>52.414050028958002</v>
      </c>
      <c r="AJ100" s="106"/>
      <c r="AM100" s="102">
        <f t="shared" si="18"/>
        <v>40629</v>
      </c>
      <c r="AN100" s="106"/>
      <c r="AO100" s="106"/>
      <c r="AR100" s="106"/>
      <c r="AT100" s="101">
        <f>Sheet1!AR100*GPMtoMGD</f>
        <v>0</v>
      </c>
      <c r="AU100" s="101">
        <f>Sheet1!AS100*GPMtoMGD</f>
        <v>5.9904000000000006E-2</v>
      </c>
      <c r="AV100" s="101">
        <f>Sheet1!AT100*GPMtoMGD</f>
        <v>0</v>
      </c>
      <c r="AW100" s="101">
        <f>Sheet1!AV100*GPMtoMGD</f>
        <v>0.71049600000000002</v>
      </c>
      <c r="AX100" s="101">
        <f>Sheet1!AW100*GPMtoMGD</f>
        <v>0.70516800000000002</v>
      </c>
      <c r="AY100" s="101">
        <f>Sheet1!AX100*GPMtoMGD</f>
        <v>0</v>
      </c>
      <c r="AZ100" s="101">
        <f>Sheet1!AY100*GPMtoMGD</f>
        <v>0</v>
      </c>
      <c r="BA100" s="101">
        <f>Sheet1!AZ100*GPMtoMGD</f>
        <v>0</v>
      </c>
      <c r="BB100" s="101">
        <f>Sheet1!BP100*GPMtoMGD</f>
        <v>0</v>
      </c>
      <c r="BC100" s="101">
        <f>Sheet1!CO100*GPMtoMGD</f>
        <v>0</v>
      </c>
      <c r="BD100" s="101">
        <f>Sheet1!BO100*GPMtoMGD</f>
        <v>1.7796960000000002</v>
      </c>
      <c r="BE100" s="101">
        <f>Sheet1!BV100*GPMtoMGD</f>
        <v>0.91252800000000012</v>
      </c>
      <c r="BF100" s="101">
        <f>Sheet1!CJ100*GPMtoMGD</f>
        <v>0.64872000000000007</v>
      </c>
      <c r="BG100" s="101">
        <f>Sheet1!CK100*GPMtoMGD</f>
        <v>0.59976000000000007</v>
      </c>
      <c r="BH100" s="101">
        <f>Sheet1!CL100*GPMtoMGD</f>
        <v>0.73900800000000011</v>
      </c>
      <c r="BI100" s="101">
        <f t="shared" si="19"/>
        <v>1.7796960000000002</v>
      </c>
      <c r="BK100" s="106">
        <f>SUM(AT100:BA100,BE100,Sheet1!BU100,'Calculations II'!BC100,Calculation!AG100)</f>
        <v>43.045123463651052</v>
      </c>
      <c r="BM100" s="439">
        <f>IF(AND(Sheet1!BQ100&lt;=11.5,Sheet1!BQ99&gt;Sheet1!BQ100),(MIN(Lookup!$C$119,VLOOKUP(Sheet1!BQ99,Lookup!$B$4:$J$236,2))-VLOOKUP(Sheet1!BQ100,Lookup!$B$4:$J$236,2))/1000000,0)</f>
        <v>0</v>
      </c>
      <c r="BN100" s="439">
        <f>IF(AND(Sheet1!BR100&lt;=11.5,Sheet1!BR99&gt;Sheet1!BR100),(MIN(Lookup!$D$119,VLOOKUP(Sheet1!BR99,Lookup!$B$4:$J$236,3))-VLOOKUP(Sheet1!BR100,Lookup!$B$4:$J$236,3))/1000000,0)</f>
        <v>0</v>
      </c>
      <c r="BP100" s="105">
        <f>SUM(BM100:BN100,W100,Sheet1!DT100)</f>
        <v>0</v>
      </c>
    </row>
    <row r="101" spans="1:68" s="101" customFormat="1">
      <c r="A101" s="101" t="s">
        <v>3</v>
      </c>
      <c r="B101" s="103">
        <v>40630</v>
      </c>
      <c r="C101" s="104">
        <v>0.33333333333357601</v>
      </c>
      <c r="E101" s="30"/>
      <c r="F101" s="30">
        <f>-(VLOOKUP(Sheet1!BZ101,Lookup!$I$4:$J$216,2)-VLOOKUP(Sheet1!BZ100,Lookup!$I$4:$J$216,2))/1000000</f>
        <v>0.31091081564339806</v>
      </c>
      <c r="G101" s="106">
        <f>-$G$6*(Sheet1!CB101-Sheet1!CB100)*7.48/1000000</f>
        <v>0.35742150947303314</v>
      </c>
      <c r="H101" s="106">
        <f>-$H$6*(Sheet1!CA101-Sheet1!CA100)*7.48/1000000</f>
        <v>0.21055205291771062</v>
      </c>
      <c r="I101" s="106">
        <f>-$I$6*(Sheet1!CC101-Sheet1!CC100)*7.48/1000000</f>
        <v>0.10794905056816255</v>
      </c>
      <c r="J101" s="107" t="s">
        <v>193</v>
      </c>
      <c r="K101" s="106">
        <f>-$I$6*(Sheet1!CD101-Sheet1!CD100)*7.48/1000000</f>
        <v>0.10794905056816222</v>
      </c>
      <c r="L101" s="107" t="s">
        <v>193</v>
      </c>
      <c r="M101" s="106">
        <f>-$M$6*(Sheet1!CE101-Sheet1!CE100)*7.48/1000000</f>
        <v>3.9979922246750753E-2</v>
      </c>
      <c r="N101" s="106">
        <f>-$N$6*(Sheet1!CF101-Sheet1!CF100)*7.48/1000000</f>
        <v>0.18615703618387214</v>
      </c>
      <c r="O101" s="106">
        <f t="shared" si="15"/>
        <v>1.3209194376010895</v>
      </c>
      <c r="P101" s="106">
        <f>O101+Calculation!EI101</f>
        <v>-3.6038805623989099</v>
      </c>
      <c r="Q101" s="101" t="str">
        <f>IF(Sheet1!BQ101&gt;21.75,"spill elevation","-")</f>
        <v>-</v>
      </c>
      <c r="R101" s="101" t="str">
        <f>IF(Sheet1!BR101&gt;21.75,"spill elevation","-")</f>
        <v>-</v>
      </c>
      <c r="S101" s="101" t="str">
        <f>IF(Sheet1!BS101&gt;21.75,"spill elevation","-")</f>
        <v>-</v>
      </c>
      <c r="T101" s="105">
        <f>IF(Sheet1!DQ101=1,Sheet1!AA101-(SUM(AT101:BA101)+BE101),Sheet1!AA101-SUM(AT101:BA101))</f>
        <v>29.227760000006402</v>
      </c>
      <c r="U101" s="105">
        <f>Sheet1!BU101</f>
        <v>27.3</v>
      </c>
      <c r="V101" s="105">
        <f t="shared" si="16"/>
        <v>1.9277600000064012</v>
      </c>
      <c r="W101" s="105">
        <f t="shared" si="17"/>
        <v>0</v>
      </c>
      <c r="X101" s="101">
        <f>IF((Sheet1!EX101-Sheet1!EX100)&lt;0,(Sheet1!EX101+100000-Sheet1!EX100)/1000,(Sheet1!EX101-Sheet1!EX100)/1000)</f>
        <v>0.80200000000000005</v>
      </c>
      <c r="Y101" s="106">
        <f>Calculation!DZ102+Calculation!EI101+'Calculations II'!O101-'Calculations II'!W101</f>
        <v>50.936119437594691</v>
      </c>
      <c r="Z101" s="106">
        <f>Y101-Sheet1!CP102</f>
        <v>35.036119437594692</v>
      </c>
      <c r="AA101" s="106">
        <f>Y101+Calculation!CZ102+Calculation!AI102</f>
        <v>59.503253706131765</v>
      </c>
      <c r="AC101" s="106">
        <f>Sheet1!AA101+Sheet1!AB101+BC101</f>
        <v>55.510000000009313</v>
      </c>
      <c r="AD101" s="106">
        <f>Sheet1!AA101+Sheet1!BN101+'Calculations II'!BC101-Calculation!AI101-Calculation!CZ101</f>
        <v>37.489411764711285</v>
      </c>
      <c r="AE101" s="106">
        <f>Sheet1!AA101+Sheet1!AB101+'Calculations II'!BC101-Calculation!AI101-Calculation!CZ101</f>
        <v>46.739411764714198</v>
      </c>
      <c r="AF101" s="106">
        <f>Sheet1!AA101+Sheet1!BN101+P101+'Calculations II'!BC101+Calculation!AI101+Calculation!CZ101</f>
        <v>51.426707672902602</v>
      </c>
      <c r="AG101" s="106">
        <f>Sheet1!AA101+Sheet1!BN101+'Calculations II'!BC101+'Calculations II'!P101-Sheet1!CP101-BP101</f>
        <v>26.566119437607487</v>
      </c>
      <c r="AH101" s="106">
        <f>Sheet1!AA101+Sheet1!BN101+'Calculations II'!BC101+'Calculations II'!P101-BP101</f>
        <v>42.656119437607487</v>
      </c>
      <c r="AI101" s="106">
        <f>BC101+Sheet1!AA101+Calculation!EI101+O101+W101+Sheet1!BN101+Calculation!AI101+Calculation!CZ101-BP101</f>
        <v>51.426707672902616</v>
      </c>
      <c r="AJ101" s="106"/>
      <c r="AM101" s="102">
        <f t="shared" si="18"/>
        <v>40630</v>
      </c>
      <c r="AN101" s="106"/>
      <c r="AO101" s="106"/>
      <c r="AR101" s="106"/>
      <c r="AT101" s="101">
        <f>Sheet1!AR101*GPMtoMGD</f>
        <v>0</v>
      </c>
      <c r="AU101" s="101">
        <f>Sheet1!AS101*GPMtoMGD</f>
        <v>0</v>
      </c>
      <c r="AV101" s="101">
        <f>Sheet1!AT101*GPMtoMGD</f>
        <v>0</v>
      </c>
      <c r="AW101" s="101">
        <f>Sheet1!AV101*GPMtoMGD</f>
        <v>0.362016</v>
      </c>
      <c r="AX101" s="101">
        <f>Sheet1!AW101*GPMtoMGD</f>
        <v>0.37022400000000005</v>
      </c>
      <c r="AY101" s="101">
        <f>Sheet1!AX101*GPMtoMGD</f>
        <v>0</v>
      </c>
      <c r="AZ101" s="101">
        <f>Sheet1!AY101*GPMtoMGD</f>
        <v>0</v>
      </c>
      <c r="BA101" s="101">
        <f>Sheet1!AZ101*GPMtoMGD</f>
        <v>0</v>
      </c>
      <c r="BB101" s="101">
        <f>Sheet1!BP101*GPMtoMGD</f>
        <v>0</v>
      </c>
      <c r="BC101" s="101">
        <f>Sheet1!CO101*GPMtoMGD</f>
        <v>0</v>
      </c>
      <c r="BD101" s="101">
        <f>Sheet1!BO101*GPMtoMGD</f>
        <v>2.203344</v>
      </c>
      <c r="BE101" s="101">
        <f>Sheet1!BV101*GPMtoMGD</f>
        <v>0.64036800000000005</v>
      </c>
      <c r="BF101" s="101">
        <f>Sheet1!CJ101*GPMtoMGD</f>
        <v>0.62150400000000006</v>
      </c>
      <c r="BG101" s="101">
        <f>Sheet1!CK101*GPMtoMGD</f>
        <v>0.54388800000000004</v>
      </c>
      <c r="BH101" s="101">
        <f>Sheet1!CL101*GPMtoMGD</f>
        <v>0.77126400000000006</v>
      </c>
      <c r="BI101" s="101">
        <f t="shared" si="19"/>
        <v>2.203344</v>
      </c>
      <c r="BK101" s="106">
        <f>SUM(AT101:BA101,BE101,Sheet1!BU101,'Calculations II'!BC101,Calculation!AG101)</f>
        <v>45.452019764707799</v>
      </c>
      <c r="BM101" s="439">
        <f>IF(AND(Sheet1!BQ101&lt;=11.5,Sheet1!BQ100&gt;Sheet1!BQ101),(MIN(Lookup!$C$119,VLOOKUP(Sheet1!BQ100,Lookup!$B$4:$J$236,2))-VLOOKUP(Sheet1!BQ101,Lookup!$B$4:$J$236,2))/1000000,0)</f>
        <v>0</v>
      </c>
      <c r="BN101" s="439">
        <f>IF(AND(Sheet1!BR101&lt;=11.5,Sheet1!BR100&gt;Sheet1!BR101),(MIN(Lookup!$D$119,VLOOKUP(Sheet1!BR100,Lookup!$B$4:$J$236,3))-VLOOKUP(Sheet1!BR101,Lookup!$B$4:$J$236,3))/1000000,0)</f>
        <v>0</v>
      </c>
      <c r="BP101" s="105">
        <f>SUM(BM101:BN101,W101,Sheet1!DT101)</f>
        <v>0</v>
      </c>
    </row>
    <row r="102" spans="1:68" s="101" customFormat="1">
      <c r="A102" s="101" t="s">
        <v>4</v>
      </c>
      <c r="B102" s="103">
        <v>40631</v>
      </c>
      <c r="C102" s="104">
        <v>0.33333333333357601</v>
      </c>
      <c r="E102" s="30"/>
      <c r="F102" s="30">
        <f>-(VLOOKUP(Sheet1!BZ102,Lookup!$I$4:$J$216,2)-VLOOKUP(Sheet1!BZ101,Lookup!$I$4:$J$216,2))/1000000</f>
        <v>0.10363693854780495</v>
      </c>
      <c r="G102" s="106">
        <f>-$G$6*(Sheet1!CB102-Sheet1!CB101)*7.48/1000000</f>
        <v>-0.79427002105118594</v>
      </c>
      <c r="H102" s="106">
        <f>-$H$6*(Sheet1!CA102-Sheet1!CA101)*7.48/1000000</f>
        <v>-0.36094637643036126</v>
      </c>
      <c r="I102" s="106">
        <f>-$I$6*(Sheet1!CC102-Sheet1!CC101)*7.48/1000000</f>
        <v>-0.28786413484843304</v>
      </c>
      <c r="J102" s="107" t="s">
        <v>193</v>
      </c>
      <c r="K102" s="106">
        <f>-$I$6*(Sheet1!CD102-Sheet1!CD101)*7.48/1000000</f>
        <v>-0.28786413484843265</v>
      </c>
      <c r="L102" s="107" t="s">
        <v>193</v>
      </c>
      <c r="M102" s="106">
        <f>-$M$6*(Sheet1!CE102-Sheet1!CE101)*7.48/1000000</f>
        <v>-0.10661312599133518</v>
      </c>
      <c r="N102" s="106">
        <f>-$N$6*(Sheet1!CF102-Sheet1!CF101)*7.48/1000000</f>
        <v>0</v>
      </c>
      <c r="O102" s="106">
        <f t="shared" si="15"/>
        <v>-1.7339208546219431</v>
      </c>
      <c r="P102" s="106">
        <f>O102+Calculation!EI102</f>
        <v>0.45487914537805652</v>
      </c>
      <c r="Q102" s="101" t="str">
        <f>IF(Sheet1!BQ102&gt;21.75,"spill elevation","-")</f>
        <v>-</v>
      </c>
      <c r="R102" s="101" t="str">
        <f>IF(Sheet1!BR102&gt;21.75,"spill elevation","-")</f>
        <v>-</v>
      </c>
      <c r="S102" s="101" t="str">
        <f>IF(Sheet1!BS102&gt;21.75,"spill elevation","-")</f>
        <v>-</v>
      </c>
      <c r="T102" s="105">
        <f>IF(Sheet1!DQ102=1,Sheet1!AA102-(SUM(AT102:BA102)+BE102),Sheet1!AA102-SUM(AT102:BA102))</f>
        <v>28.769167999993599</v>
      </c>
      <c r="U102" s="105">
        <f>Sheet1!BU102</f>
        <v>26.2</v>
      </c>
      <c r="V102" s="105">
        <f t="shared" si="16"/>
        <v>2.5691679999935992</v>
      </c>
      <c r="W102" s="105">
        <f t="shared" si="17"/>
        <v>0</v>
      </c>
      <c r="X102" s="101">
        <f>IF((Sheet1!EX102-Sheet1!EX101)&lt;0,(Sheet1!EX102+100000-Sheet1!EX101)/1000,(Sheet1!EX102-Sheet1!EX101)/1000)</f>
        <v>0.83499999999999996</v>
      </c>
      <c r="Y102" s="106">
        <f>Calculation!DZ103+Calculation!EI102+'Calculations II'!O102-'Calculations II'!W102</f>
        <v>51.894879145380386</v>
      </c>
      <c r="Z102" s="106">
        <f>Y102-Sheet1!CP103</f>
        <v>35.824879145380386</v>
      </c>
      <c r="AA102" s="106">
        <f>Y102+Calculation!CZ103+Calculation!AI103</f>
        <v>56.146125180722478</v>
      </c>
      <c r="AC102" s="106">
        <f>Sheet1!AA102+Sheet1!AB102+BC102</f>
        <v>54.539999999993597</v>
      </c>
      <c r="AD102" s="106">
        <f>Sheet1!AA102+Sheet1!BN102+'Calculations II'!BC102-Calculation!AI102-Calculation!CZ102</f>
        <v>37.372865731456521</v>
      </c>
      <c r="AE102" s="106">
        <f>Sheet1!AA102+Sheet1!AB102+'Calculations II'!BC102-Calculation!AI102-Calculation!CZ102</f>
        <v>45.972865731456523</v>
      </c>
      <c r="AF102" s="106">
        <f>Sheet1!AA102+Sheet1!BN102+P102+'Calculations II'!BC102+Calculation!AI102+Calculation!CZ102</f>
        <v>54.962013413908728</v>
      </c>
      <c r="AG102" s="106">
        <f>Sheet1!AA102+Sheet1!BN102+'Calculations II'!BC102+'Calculations II'!P102-Sheet1!CP102-BP102</f>
        <v>30.494879145371655</v>
      </c>
      <c r="AH102" s="106">
        <f>Sheet1!AA102+Sheet1!BN102+'Calculations II'!BC102+'Calculations II'!P102-BP102</f>
        <v>46.394879145371654</v>
      </c>
      <c r="AI102" s="106">
        <f>BC102+Sheet1!AA102+Calculation!EI102+O102+W102+Sheet1!BN102+Calculation!AI102+Calculation!CZ102-BP102</f>
        <v>54.962013413908728</v>
      </c>
      <c r="AJ102" s="106"/>
      <c r="AM102" s="102">
        <f t="shared" si="18"/>
        <v>40631</v>
      </c>
      <c r="AN102" s="106"/>
      <c r="AO102" s="106"/>
      <c r="AR102" s="106"/>
      <c r="AT102" s="101">
        <f>Sheet1!AR102*GPMtoMGD</f>
        <v>0</v>
      </c>
      <c r="AU102" s="101">
        <f>Sheet1!AS102*GPMtoMGD</f>
        <v>2.7216000000000001E-2</v>
      </c>
      <c r="AV102" s="101">
        <f>Sheet1!AT102*GPMtoMGD</f>
        <v>0</v>
      </c>
      <c r="AW102" s="101">
        <f>Sheet1!AV102*GPMtoMGD</f>
        <v>0.38822400000000007</v>
      </c>
      <c r="AX102" s="101">
        <f>Sheet1!AW102*GPMtoMGD</f>
        <v>0.35539200000000004</v>
      </c>
      <c r="AY102" s="101">
        <f>Sheet1!AX102*GPMtoMGD</f>
        <v>0</v>
      </c>
      <c r="AZ102" s="101">
        <f>Sheet1!AY102*GPMtoMGD</f>
        <v>0</v>
      </c>
      <c r="BA102" s="101">
        <f>Sheet1!AZ102*GPMtoMGD</f>
        <v>0</v>
      </c>
      <c r="BB102" s="101">
        <f>Sheet1!BP102*GPMtoMGD</f>
        <v>0</v>
      </c>
      <c r="BC102" s="101">
        <f>Sheet1!CO102*GPMtoMGD</f>
        <v>0</v>
      </c>
      <c r="BD102" s="101">
        <f>Sheet1!BO102*GPMtoMGD</f>
        <v>1.7190719999999999</v>
      </c>
      <c r="BE102" s="101">
        <f>Sheet1!BV102*GPMtoMGD</f>
        <v>0.61617600000000006</v>
      </c>
      <c r="BF102" s="101">
        <f>Sheet1!CJ102*GPMtoMGD</f>
        <v>0.53366400000000003</v>
      </c>
      <c r="BG102" s="101">
        <f>Sheet1!CK102*GPMtoMGD</f>
        <v>0.53611200000000003</v>
      </c>
      <c r="BH102" s="101">
        <f>Sheet1!CL102*GPMtoMGD</f>
        <v>0.78854400000000013</v>
      </c>
      <c r="BI102" s="101">
        <f t="shared" si="19"/>
        <v>1.7190719999999999</v>
      </c>
      <c r="BK102" s="106">
        <f>SUM(AT102:BA102,BE102,Sheet1!BU102,'Calculations II'!BC102,Calculation!AG102)</f>
        <v>44.01987373146293</v>
      </c>
      <c r="BM102" s="439">
        <f>IF(AND(Sheet1!BQ102&lt;=11.5,Sheet1!BQ101&gt;Sheet1!BQ102),(MIN(Lookup!$C$119,VLOOKUP(Sheet1!BQ101,Lookup!$B$4:$J$236,2))-VLOOKUP(Sheet1!BQ102,Lookup!$B$4:$J$236,2))/1000000,0)</f>
        <v>0</v>
      </c>
      <c r="BN102" s="439">
        <f>IF(AND(Sheet1!BR102&lt;=11.5,Sheet1!BR101&gt;Sheet1!BR102),(MIN(Lookup!$D$119,VLOOKUP(Sheet1!BR101,Lookup!$B$4:$J$236,3))-VLOOKUP(Sheet1!BR102,Lookup!$B$4:$J$236,3))/1000000,0)</f>
        <v>0</v>
      </c>
      <c r="BP102" s="105">
        <f>SUM(BM102:BN102,W102,Sheet1!DT102)</f>
        <v>0</v>
      </c>
    </row>
    <row r="103" spans="1:68" s="101" customFormat="1">
      <c r="A103" s="101" t="s">
        <v>5</v>
      </c>
      <c r="B103" s="103">
        <v>40632</v>
      </c>
      <c r="C103" s="104">
        <v>0.33333333333357601</v>
      </c>
      <c r="E103" s="30"/>
      <c r="F103" s="30">
        <f>-(VLOOKUP(Sheet1!BZ103,Lookup!$I$4:$J$216,2)-VLOOKUP(Sheet1!BZ102,Lookup!$I$4:$J$216,2))/1000000</f>
        <v>0.10363693854779936</v>
      </c>
      <c r="G103" s="106">
        <f>-$G$6*(Sheet1!CB103-Sheet1!CB102)*7.48/1000000</f>
        <v>0.27799450736791548</v>
      </c>
      <c r="H103" s="106">
        <f>-$H$6*(Sheet1!CA103-Sheet1!CA102)*7.48/1000000</f>
        <v>0.28574921467403591</v>
      </c>
      <c r="I103" s="106">
        <f>-$I$6*(Sheet1!CC103-Sheet1!CC102)*7.48/1000000</f>
        <v>0.25188111799237872</v>
      </c>
      <c r="J103" s="107" t="s">
        <v>193</v>
      </c>
      <c r="K103" s="106">
        <f>-$I$6*(Sheet1!CD103-Sheet1!CD102)*7.48/1000000</f>
        <v>0.23388960956435173</v>
      </c>
      <c r="L103" s="107" t="s">
        <v>193</v>
      </c>
      <c r="M103" s="106">
        <f>-$M$6*(Sheet1!CE103-Sheet1!CE102)*7.48/1000000</f>
        <v>9.3286485242418338E-2</v>
      </c>
      <c r="N103" s="106">
        <f>-$N$6*(Sheet1!CF103-Sheet1!CF102)*7.48/1000000</f>
        <v>6.2052345394623676E-2</v>
      </c>
      <c r="O103" s="106">
        <f t="shared" si="15"/>
        <v>1.3084902187835232</v>
      </c>
      <c r="P103" s="106">
        <f>O103+Calculation!EI103</f>
        <v>-1.9849097812164769</v>
      </c>
      <c r="Q103" s="101" t="str">
        <f>IF(Sheet1!BQ103&gt;21.75,"spill elevation","-")</f>
        <v>-</v>
      </c>
      <c r="R103" s="101" t="str">
        <f>IF(Sheet1!BR103&gt;21.75,"spill elevation","-")</f>
        <v>-</v>
      </c>
      <c r="S103" s="101" t="str">
        <f>IF(Sheet1!BS103&gt;21.75,"spill elevation","-")</f>
        <v>-</v>
      </c>
      <c r="T103" s="105">
        <f>IF(Sheet1!DQ103=1,Sheet1!AA103-(SUM(AT103:BA103)+BE103),Sheet1!AA103-SUM(AT103:BA103))</f>
        <v>28.097744000002329</v>
      </c>
      <c r="U103" s="105">
        <f>Sheet1!BU103</f>
        <v>23.2</v>
      </c>
      <c r="V103" s="105">
        <f t="shared" si="16"/>
        <v>4.89774400000233</v>
      </c>
      <c r="W103" s="105">
        <f t="shared" si="17"/>
        <v>0</v>
      </c>
      <c r="X103" s="101">
        <f>IF((Sheet1!EX103-Sheet1!EX102)&lt;0,(Sheet1!EX103+100000-Sheet1!EX102)/1000,(Sheet1!EX103-Sheet1!EX102)/1000)</f>
        <v>0.83899999999999997</v>
      </c>
      <c r="Y103" s="106">
        <f>Calculation!DZ104+Calculation!EI103+'Calculations II'!O103-'Calculations II'!W103</f>
        <v>41.525090218778288</v>
      </c>
      <c r="Z103" s="106">
        <f>Y103-Sheet1!CP104</f>
        <v>25.185090218778289</v>
      </c>
      <c r="AA103" s="106">
        <f>Y103+Calculation!CZ104+Calculation!AI104</f>
        <v>42.190843643435706</v>
      </c>
      <c r="AC103" s="106">
        <f>Sheet1!AA103+Sheet1!AB103+BC103</f>
        <v>51.440000000002328</v>
      </c>
      <c r="AD103" s="106">
        <f>Sheet1!AA103+Sheet1!BN103+'Calculations II'!BC103-Calculation!AI103-Calculation!CZ103</f>
        <v>42.588753964660235</v>
      </c>
      <c r="AE103" s="106">
        <f>Sheet1!AA103+Sheet1!AB103+'Calculations II'!BC103-Calculation!AI103-Calculation!CZ103</f>
        <v>47.188753964660236</v>
      </c>
      <c r="AF103" s="106">
        <f>Sheet1!AA103+Sheet1!BN103+P103+'Calculations II'!BC103+Calculation!AI103+Calculation!CZ103</f>
        <v>49.106336254127939</v>
      </c>
      <c r="AG103" s="106">
        <f>Sheet1!AA103+Sheet1!BN103+'Calculations II'!BC103+'Calculations II'!P103-Sheet1!CP103-BP103</f>
        <v>28.785090218785847</v>
      </c>
      <c r="AH103" s="106">
        <f>Sheet1!AA103+Sheet1!BN103+'Calculations II'!BC103+'Calculations II'!P103-BP103</f>
        <v>44.855090218785847</v>
      </c>
      <c r="AI103" s="106">
        <f>BC103+Sheet1!AA103+Calculation!EI103+O103+W103+Sheet1!BN103+Calculation!AI103+Calculation!CZ103-BP103</f>
        <v>49.106336254127939</v>
      </c>
      <c r="AJ103" s="106"/>
      <c r="AM103" s="102">
        <f t="shared" si="18"/>
        <v>40632</v>
      </c>
      <c r="AN103" s="106"/>
      <c r="AO103" s="106"/>
      <c r="AR103" s="106"/>
      <c r="AT103" s="101">
        <f>Sheet1!AR103*GPMtoMGD</f>
        <v>0</v>
      </c>
      <c r="AU103" s="101">
        <f>Sheet1!AS103*GPMtoMGD</f>
        <v>1.5840000000000001E-3</v>
      </c>
      <c r="AV103" s="101">
        <f>Sheet1!AT103*GPMtoMGD</f>
        <v>0</v>
      </c>
      <c r="AW103" s="101">
        <f>Sheet1!AV103*GPMtoMGD</f>
        <v>0.45273599999999997</v>
      </c>
      <c r="AX103" s="101">
        <f>Sheet1!AW103*GPMtoMGD</f>
        <v>0.387936</v>
      </c>
      <c r="AY103" s="101">
        <f>Sheet1!AX103*GPMtoMGD</f>
        <v>0</v>
      </c>
      <c r="AZ103" s="101">
        <f>Sheet1!AY103*GPMtoMGD</f>
        <v>0</v>
      </c>
      <c r="BA103" s="101">
        <f>Sheet1!AZ103*GPMtoMGD</f>
        <v>0</v>
      </c>
      <c r="BB103" s="101">
        <f>Sheet1!BP103*GPMtoMGD</f>
        <v>0</v>
      </c>
      <c r="BC103" s="101">
        <f>Sheet1!CO103*GPMtoMGD</f>
        <v>0</v>
      </c>
      <c r="BD103" s="101">
        <f>Sheet1!BO103*GPMtoMGD</f>
        <v>1.2523680000000001</v>
      </c>
      <c r="BE103" s="101">
        <f>Sheet1!BV103*GPMtoMGD</f>
        <v>0.60710400000000009</v>
      </c>
      <c r="BF103" s="101">
        <f>Sheet1!CJ103*GPMtoMGD</f>
        <v>0.47390400000000005</v>
      </c>
      <c r="BG103" s="101">
        <f>Sheet1!CK103*GPMtoMGD</f>
        <v>0.53712000000000004</v>
      </c>
      <c r="BH103" s="101">
        <f>Sheet1!CL103*GPMtoMGD</f>
        <v>0.78566400000000003</v>
      </c>
      <c r="BI103" s="101">
        <f t="shared" si="19"/>
        <v>1.2523680000000001</v>
      </c>
      <c r="BK103" s="106">
        <f>SUM(AT103:BA103,BE103,Sheet1!BU103,'Calculations II'!BC103,Calculation!AG103)</f>
        <v>42.898113964657902</v>
      </c>
      <c r="BM103" s="439">
        <f>IF(AND(Sheet1!BQ103&lt;=11.5,Sheet1!BQ102&gt;Sheet1!BQ103),(MIN(Lookup!$C$119,VLOOKUP(Sheet1!BQ102,Lookup!$B$4:$J$236,2))-VLOOKUP(Sheet1!BQ103,Lookup!$B$4:$J$236,2))/1000000,0)</f>
        <v>0</v>
      </c>
      <c r="BN103" s="439">
        <f>IF(AND(Sheet1!BR103&lt;=11.5,Sheet1!BR102&gt;Sheet1!BR103),(MIN(Lookup!$D$119,VLOOKUP(Sheet1!BR102,Lookup!$B$4:$J$236,3))-VLOOKUP(Sheet1!BR103,Lookup!$B$4:$J$236,3))/1000000,0)</f>
        <v>0</v>
      </c>
      <c r="BP103" s="105">
        <f>SUM(BM103:BN103,W103,Sheet1!DT103)</f>
        <v>0</v>
      </c>
    </row>
    <row r="104" spans="1:68" s="101" customFormat="1">
      <c r="A104" s="101" t="s">
        <v>6</v>
      </c>
      <c r="B104" s="103">
        <v>40633</v>
      </c>
      <c r="C104" s="104">
        <v>0.33333333333357601</v>
      </c>
      <c r="E104" s="30"/>
      <c r="F104" s="30">
        <f>-(VLOOKUP(Sheet1!BZ104,Lookup!$I$4:$J$216,2)-VLOOKUP(Sheet1!BZ103,Lookup!$I$4:$J$216,2))/1000000</f>
        <v>0.20727387709559872</v>
      </c>
      <c r="G104" s="106">
        <f>-$G$6*(Sheet1!CB104-Sheet1!CB103)*7.48/1000000</f>
        <v>0.27799450736791476</v>
      </c>
      <c r="H104" s="106">
        <f>-$H$6*(Sheet1!CA104-Sheet1!CA103)*7.48/1000000</f>
        <v>0.36094637643036231</v>
      </c>
      <c r="I104" s="106">
        <f>-$I$6*(Sheet1!CC104-Sheet1!CC103)*7.48/1000000</f>
        <v>-1.7991508428026985E-2</v>
      </c>
      <c r="J104" s="107" t="s">
        <v>193</v>
      </c>
      <c r="K104" s="106">
        <f>-$I$6*(Sheet1!CD104-Sheet1!CD103)*7.48/1000000</f>
        <v>0</v>
      </c>
      <c r="L104" s="107" t="s">
        <v>193</v>
      </c>
      <c r="M104" s="106">
        <f>-$M$6*(Sheet1!CE104-Sheet1!CE103)*7.48/1000000</f>
        <v>-1.9989961123375376E-2</v>
      </c>
      <c r="N104" s="106">
        <f>-$N$6*(Sheet1!CF104-Sheet1!CF103)*7.48/1000000</f>
        <v>0.24820938157849581</v>
      </c>
      <c r="O104" s="106">
        <f t="shared" si="15"/>
        <v>1.0564426729209693</v>
      </c>
      <c r="P104" s="106">
        <f>O104+Calculation!EI104</f>
        <v>3.8026426729209692</v>
      </c>
      <c r="Q104" s="101" t="str">
        <f>IF(Sheet1!BQ104&gt;21.75,"spill elevation","-")</f>
        <v>-</v>
      </c>
      <c r="R104" s="101" t="str">
        <f>IF(Sheet1!BR104&gt;21.75,"spill elevation","-")</f>
        <v>-</v>
      </c>
      <c r="S104" s="101" t="str">
        <f>IF(Sheet1!BS104&gt;21.75,"spill elevation","-")</f>
        <v>-</v>
      </c>
      <c r="T104" s="105">
        <f>IF(Sheet1!DQ104=1,Sheet1!AA104-(SUM(AT104:BA104)+BE104),Sheet1!AA104-SUM(AT104:BA104))</f>
        <v>24.670911999997671</v>
      </c>
      <c r="U104" s="105">
        <f>Sheet1!BU104</f>
        <v>26.7</v>
      </c>
      <c r="V104" s="105">
        <f t="shared" si="16"/>
        <v>-2.0290880000023286</v>
      </c>
      <c r="W104" s="105">
        <f t="shared" si="17"/>
        <v>0</v>
      </c>
      <c r="X104" s="101">
        <f>IF((Sheet1!EX104-Sheet1!EX103)&lt;0,(Sheet1!EX104+100000-Sheet1!EX103)/1000,(Sheet1!EX104-Sheet1!EX103)/1000)</f>
        <v>0.81899999999999995</v>
      </c>
      <c r="Y104" s="106">
        <f>Calculation!DZ105+Calculation!EI104+'Calculations II'!O104-'Calculations II'!W104</f>
        <v>44.452642672915147</v>
      </c>
      <c r="Z104" s="106">
        <f>Y104-Sheet1!CP105</f>
        <v>28.462642672915145</v>
      </c>
      <c r="AA104" s="106">
        <f>Y104+Calculation!CZ105+Calculation!AI105</f>
        <v>44.452642672915147</v>
      </c>
      <c r="AC104" s="106">
        <f>Sheet1!AA104+Sheet1!AB104+BC104</f>
        <v>43.509999999994761</v>
      </c>
      <c r="AD104" s="106">
        <f>Sheet1!AA104+Sheet1!BN104+'Calculations II'!BC104-Calculation!AI104-Calculation!CZ104</f>
        <v>42.044246575340253</v>
      </c>
      <c r="AE104" s="106">
        <f>Sheet1!AA104+Sheet1!AB104+'Calculations II'!BC104-Calculation!AI104-Calculation!CZ104</f>
        <v>42.844246575337344</v>
      </c>
      <c r="AF104" s="106">
        <f>Sheet1!AA104+Sheet1!BN104+P104+'Calculations II'!BC104+Calculation!AI104+Calculation!CZ104</f>
        <v>47.178396097576055</v>
      </c>
      <c r="AG104" s="106">
        <f>Sheet1!AA104+Sheet1!BN104+'Calculations II'!BC104+'Calculations II'!P104-Sheet1!CP104-BP104</f>
        <v>30.172642672918638</v>
      </c>
      <c r="AH104" s="106">
        <f>Sheet1!AA104+Sheet1!BN104+'Calculations II'!BC104+'Calculations II'!P104-BP104</f>
        <v>46.512642672918638</v>
      </c>
      <c r="AI104" s="106">
        <f>BC104+Sheet1!AA104+Calculation!EI104+O104+W104+Sheet1!BN104+Calculation!AI104+Calculation!CZ104-BP104</f>
        <v>47.178396097576062</v>
      </c>
      <c r="AJ104" s="106"/>
      <c r="AM104" s="102">
        <f t="shared" si="18"/>
        <v>40633</v>
      </c>
      <c r="AN104" s="106"/>
      <c r="AO104" s="106"/>
      <c r="AR104" s="106"/>
      <c r="AT104" s="101">
        <f>Sheet1!AR104*GPMtoMGD</f>
        <v>0</v>
      </c>
      <c r="AU104" s="101">
        <f>Sheet1!AS104*GPMtoMGD</f>
        <v>2.6784000000000002E-2</v>
      </c>
      <c r="AV104" s="101">
        <f>Sheet1!AT104*GPMtoMGD</f>
        <v>0</v>
      </c>
      <c r="AW104" s="101">
        <f>Sheet1!AV104*GPMtoMGD</f>
        <v>0</v>
      </c>
      <c r="AX104" s="101">
        <f>Sheet1!AW104*GPMtoMGD</f>
        <v>2.5450560000000002</v>
      </c>
      <c r="AY104" s="101">
        <f>Sheet1!AX104*GPMtoMGD</f>
        <v>6.7248000000000002E-2</v>
      </c>
      <c r="AZ104" s="101">
        <f>Sheet1!AY104*GPMtoMGD</f>
        <v>0</v>
      </c>
      <c r="BA104" s="101">
        <f>Sheet1!AZ104*GPMtoMGD</f>
        <v>0</v>
      </c>
      <c r="BB104" s="101">
        <f>Sheet1!BP104*GPMtoMGD</f>
        <v>0</v>
      </c>
      <c r="BC104" s="101">
        <f>Sheet1!CO104*GPMtoMGD</f>
        <v>0</v>
      </c>
      <c r="BD104" s="101">
        <f>Sheet1!BO104*GPMtoMGD</f>
        <v>1.6796160000000002</v>
      </c>
      <c r="BE104" s="101">
        <f>Sheet1!BV104*GPMtoMGD</f>
        <v>0.87523200000000001</v>
      </c>
      <c r="BF104" s="101">
        <f>Sheet1!CJ104*GPMtoMGD</f>
        <v>0.47361599999999998</v>
      </c>
      <c r="BG104" s="101">
        <f>Sheet1!CK104*GPMtoMGD</f>
        <v>0.54360000000000008</v>
      </c>
      <c r="BH104" s="101">
        <f>Sheet1!CL104*GPMtoMGD</f>
        <v>0.77515199999999995</v>
      </c>
      <c r="BI104" s="101">
        <f t="shared" si="19"/>
        <v>1.6796160000000002</v>
      </c>
      <c r="BK104" s="106">
        <f>SUM(AT104:BA104,BE104,Sheet1!BU104,'Calculations II'!BC104,Calculation!AG104)</f>
        <v>45.74856657533968</v>
      </c>
      <c r="BM104" s="439">
        <f>IF(AND(Sheet1!BQ104&lt;=11.5,Sheet1!BQ103&gt;Sheet1!BQ104),(MIN(Lookup!$C$119,VLOOKUP(Sheet1!BQ103,Lookup!$B$4:$J$236,2))-VLOOKUP(Sheet1!BQ104,Lookup!$B$4:$J$236,2))/1000000,0)</f>
        <v>0</v>
      </c>
      <c r="BN104" s="439">
        <f>IF(AND(Sheet1!BR104&lt;=11.5,Sheet1!BR103&gt;Sheet1!BR104),(MIN(Lookup!$D$119,VLOOKUP(Sheet1!BR103,Lookup!$B$4:$J$236,3))-VLOOKUP(Sheet1!BR104,Lookup!$B$4:$J$236,3))/1000000,0)</f>
        <v>0</v>
      </c>
      <c r="BP104" s="105">
        <f>SUM(BM104:BN104,W104,Sheet1!DT104)</f>
        <v>0</v>
      </c>
    </row>
    <row r="105" spans="1:68" s="101" customFormat="1">
      <c r="A105" s="101" t="s">
        <v>7</v>
      </c>
      <c r="B105" s="103">
        <v>40634</v>
      </c>
      <c r="C105" s="104">
        <v>0.33333333333357601</v>
      </c>
      <c r="E105" s="30"/>
      <c r="F105" s="30">
        <f>-(VLOOKUP(Sheet1!BZ105,Lookup!$I$4:$J$216,2)-VLOOKUP(Sheet1!BZ104,Lookup!$I$4:$J$216,2))/1000000</f>
        <v>0.10363693854779936</v>
      </c>
      <c r="G105" s="106">
        <f>-$G$6*(Sheet1!CB105-Sheet1!CB104)*7.48/1000000</f>
        <v>0.23828100631535562</v>
      </c>
      <c r="H105" s="106">
        <f>-$H$6*(Sheet1!CA105-Sheet1!CA104)*7.48/1000000</f>
        <v>-0.66173502345566348</v>
      </c>
      <c r="I105" s="106">
        <f>-$I$6*(Sheet1!CC105-Sheet1!CC104)*7.48/1000000</f>
        <v>-0.28786413484843265</v>
      </c>
      <c r="J105" s="107" t="s">
        <v>193</v>
      </c>
      <c r="K105" s="106">
        <f>-$I$6*(Sheet1!CD105-Sheet1!CD104)*7.48/1000000</f>
        <v>-0.30585564327645998</v>
      </c>
      <c r="L105" s="107" t="s">
        <v>193</v>
      </c>
      <c r="M105" s="106">
        <f>-$M$6*(Sheet1!CE105-Sheet1!CE104)*7.48/1000000</f>
        <v>-9.9949805616876636E-2</v>
      </c>
      <c r="N105" s="106">
        <f>-$N$6*(Sheet1!CF105-Sheet1!CF104)*7.48/1000000</f>
        <v>6.2052345394623676E-2</v>
      </c>
      <c r="O105" s="106">
        <f t="shared" si="15"/>
        <v>-0.95143431693965408</v>
      </c>
      <c r="P105" s="106">
        <f>O105+Calculation!EI105</f>
        <v>1.5111656830603462</v>
      </c>
      <c r="Q105" s="101" t="str">
        <f>IF(Sheet1!BQ105&gt;21.75,"spill elevation","-")</f>
        <v>-</v>
      </c>
      <c r="R105" s="101" t="str">
        <f>IF(Sheet1!BR105&gt;21.75,"spill elevation","-")</f>
        <v>-</v>
      </c>
      <c r="S105" s="101" t="str">
        <f>IF(Sheet1!BS105&gt;21.75,"spill elevation","-")</f>
        <v>-</v>
      </c>
      <c r="T105" s="105">
        <f>IF(Sheet1!DQ105=1,Sheet1!AA105-(SUM(AT105:BA105)+BE105),Sheet1!AA105-SUM(AT105:BA105))</f>
        <v>26.99163199999418</v>
      </c>
      <c r="U105" s="105">
        <f>Sheet1!BU105</f>
        <v>28.6</v>
      </c>
      <c r="V105" s="105">
        <f t="shared" si="16"/>
        <v>-1.6083680000058216</v>
      </c>
      <c r="W105" s="105">
        <f t="shared" si="17"/>
        <v>0</v>
      </c>
      <c r="X105" s="101">
        <f>IF((Sheet1!EX105-Sheet1!EX104)&lt;0,(Sheet1!EX105+100000-Sheet1!EX104)/1000,(Sheet1!EX105-Sheet1!EX104)/1000)</f>
        <v>0.83099999999999996</v>
      </c>
      <c r="Y105" s="106">
        <f>Calculation!DZ106+Calculation!EI105+'Calculations II'!O105-'Calculations II'!W105</f>
        <v>44.211165683064714</v>
      </c>
      <c r="Z105" s="106">
        <f>Y105-Sheet1!CP106</f>
        <v>28.001165683064713</v>
      </c>
      <c r="AA105" s="106">
        <f>Y105+Calculation!CZ106+Calculation!AI106</f>
        <v>44.211165683064714</v>
      </c>
      <c r="AC105" s="106">
        <f>Sheet1!AA105+Sheet1!AB105+BC105</f>
        <v>40.649999999994179</v>
      </c>
      <c r="AD105" s="106">
        <f>Sheet1!AA105+Sheet1!BN105+'Calculations II'!BC105-Calculation!AI105-Calculation!CZ105</f>
        <v>41.549999999994178</v>
      </c>
      <c r="AE105" s="106">
        <f>Sheet1!AA105+Sheet1!AB105+'Calculations II'!BC105-Calculation!AI105-Calculation!CZ105</f>
        <v>40.649999999994179</v>
      </c>
      <c r="AF105" s="106">
        <f>Sheet1!AA105+Sheet1!BN105+P105+'Calculations II'!BC105+Calculation!AI105+Calculation!CZ105</f>
        <v>43.061165683054526</v>
      </c>
      <c r="AG105" s="106">
        <f>Sheet1!AA105+Sheet1!BN105+'Calculations II'!BC105+'Calculations II'!P105-Sheet1!CP105-BP105</f>
        <v>27.071165683054524</v>
      </c>
      <c r="AH105" s="106">
        <f>Sheet1!AA105+Sheet1!BN105+'Calculations II'!BC105+'Calculations II'!P105-BP105</f>
        <v>43.061165683054526</v>
      </c>
      <c r="AI105" s="106">
        <f>BC105+Sheet1!AA105+Calculation!EI105+O105+W105+Sheet1!BN105+Calculation!AI105+Calculation!CZ105-BP105</f>
        <v>43.061165683054526</v>
      </c>
      <c r="AJ105" s="106"/>
      <c r="AM105" s="102">
        <f t="shared" si="18"/>
        <v>40634</v>
      </c>
      <c r="AN105" s="106"/>
      <c r="AO105" s="106"/>
      <c r="AR105" s="106"/>
      <c r="AT105" s="101">
        <f>Sheet1!AR105*GPMtoMGD</f>
        <v>0</v>
      </c>
      <c r="AU105" s="101">
        <f>Sheet1!AS105*GPMtoMGD</f>
        <v>2.6064000000000004E-2</v>
      </c>
      <c r="AV105" s="101">
        <f>Sheet1!AT105*GPMtoMGD</f>
        <v>0</v>
      </c>
      <c r="AW105" s="101">
        <f>Sheet1!AV105*GPMtoMGD</f>
        <v>7.6176000000000008E-2</v>
      </c>
      <c r="AX105" s="101">
        <f>Sheet1!AW105*GPMtoMGD</f>
        <v>0.54201600000000005</v>
      </c>
      <c r="AY105" s="101">
        <f>Sheet1!AX105*GPMtoMGD</f>
        <v>1.4112000000000001E-2</v>
      </c>
      <c r="AZ105" s="101">
        <f>Sheet1!AY105*GPMtoMGD</f>
        <v>0</v>
      </c>
      <c r="BA105" s="101">
        <f>Sheet1!AZ105*GPMtoMGD</f>
        <v>0</v>
      </c>
      <c r="BB105" s="101">
        <f>Sheet1!BP105*GPMtoMGD</f>
        <v>0</v>
      </c>
      <c r="BC105" s="101">
        <f>Sheet1!CO105*GPMtoMGD</f>
        <v>0</v>
      </c>
      <c r="BD105" s="101">
        <f>Sheet1!BO105*GPMtoMGD</f>
        <v>2.1042719999999999</v>
      </c>
      <c r="BE105" s="101">
        <f>Sheet1!BV105*GPMtoMGD</f>
        <v>0.61790400000000012</v>
      </c>
      <c r="BF105" s="101">
        <f>Sheet1!CJ105*GPMtoMGD</f>
        <v>0.46368000000000004</v>
      </c>
      <c r="BG105" s="101">
        <f>Sheet1!CK105*GPMtoMGD</f>
        <v>0.53136000000000005</v>
      </c>
      <c r="BH105" s="101">
        <f>Sheet1!CL105*GPMtoMGD</f>
        <v>0.77486400000000011</v>
      </c>
      <c r="BI105" s="101">
        <f t="shared" si="19"/>
        <v>2.1042719999999999</v>
      </c>
      <c r="BK105" s="106">
        <f>SUM(AT105:BA105,BE105,Sheet1!BU105,'Calculations II'!BC105,Calculation!AG105)</f>
        <v>42.876272</v>
      </c>
      <c r="BM105" s="439">
        <f>IF(AND(Sheet1!BQ105&lt;=11.5,Sheet1!BQ104&gt;Sheet1!BQ105),(MIN(Lookup!$C$119,VLOOKUP(Sheet1!BQ104,Lookup!$B$4:$J$236,2))-VLOOKUP(Sheet1!BQ105,Lookup!$B$4:$J$236,2))/1000000,0)</f>
        <v>0</v>
      </c>
      <c r="BN105" s="439">
        <f>IF(AND(Sheet1!BR105&lt;=11.5,Sheet1!BR104&gt;Sheet1!BR105),(MIN(Lookup!$D$119,VLOOKUP(Sheet1!BR104,Lookup!$B$4:$J$236,3))-VLOOKUP(Sheet1!BR105,Lookup!$B$4:$J$236,3))/1000000,0)</f>
        <v>0</v>
      </c>
      <c r="BP105" s="105">
        <f>SUM(BM105:BN105,W105,Sheet1!DT105)</f>
        <v>0</v>
      </c>
    </row>
    <row r="106" spans="1:68" s="101" customFormat="1">
      <c r="A106" s="101" t="s">
        <v>8</v>
      </c>
      <c r="B106" s="103">
        <v>40635</v>
      </c>
      <c r="C106" s="104">
        <v>0.33333333333357601</v>
      </c>
      <c r="E106" s="30"/>
      <c r="F106" s="30">
        <f>-(VLOOKUP(Sheet1!BZ106,Lookup!$I$4:$J$216,2)-VLOOKUP(Sheet1!BZ105,Lookup!$I$4:$J$216,2))/1000000</f>
        <v>-0.10363693854779936</v>
      </c>
      <c r="G106" s="106">
        <f>-$G$6*(Sheet1!CB106-Sheet1!CB105)*7.48/1000000</f>
        <v>-1.0325510273665417</v>
      </c>
      <c r="H106" s="106">
        <f>-$H$6*(Sheet1!CA106-Sheet1!CA105)*7.48/1000000</f>
        <v>0.45118297053795176</v>
      </c>
      <c r="I106" s="106">
        <f>-$I$6*(Sheet1!CC106-Sheet1!CC105)*7.48/1000000</f>
        <v>8.9957542140135238E-2</v>
      </c>
      <c r="J106" s="107" t="s">
        <v>193</v>
      </c>
      <c r="K106" s="106">
        <f>-$I$6*(Sheet1!CD106-Sheet1!CD105)*7.48/1000000</f>
        <v>8.9957542140135238E-2</v>
      </c>
      <c r="L106" s="107" t="s">
        <v>193</v>
      </c>
      <c r="M106" s="106">
        <f>-$M$6*(Sheet1!CE106-Sheet1!CE105)*7.48/1000000</f>
        <v>3.9979922246750753E-2</v>
      </c>
      <c r="N106" s="106">
        <f>-$N$6*(Sheet1!CF106-Sheet1!CF105)*7.48/1000000</f>
        <v>-0.12410469078924735</v>
      </c>
      <c r="O106" s="106">
        <f t="shared" si="15"/>
        <v>-0.58921467963861529</v>
      </c>
      <c r="P106" s="106">
        <f>O106+Calculation!EI106</f>
        <v>4.0181853203613844</v>
      </c>
      <c r="Q106" s="101" t="str">
        <f>IF(Sheet1!BQ106&gt;21.75,"spill elevation","-")</f>
        <v>-</v>
      </c>
      <c r="R106" s="101" t="str">
        <f>IF(Sheet1!BR106&gt;21.75,"spill elevation","-")</f>
        <v>-</v>
      </c>
      <c r="S106" s="101" t="str">
        <f>IF(Sheet1!BS106&gt;21.75,"spill elevation","-")</f>
        <v>-</v>
      </c>
      <c r="T106" s="105">
        <f>IF(Sheet1!DQ106=1,Sheet1!AA106-(SUM(AT106:BA106)+BE106),Sheet1!AA106-SUM(AT106:BA106))</f>
        <v>26.286720000005822</v>
      </c>
      <c r="U106" s="105">
        <f>Sheet1!BU106</f>
        <v>28.8</v>
      </c>
      <c r="V106" s="105">
        <f t="shared" si="16"/>
        <v>-2.5132799999941788</v>
      </c>
      <c r="W106" s="105">
        <f t="shared" si="17"/>
        <v>0</v>
      </c>
      <c r="X106" s="101">
        <f>IF((Sheet1!EX106-Sheet1!EX105)&lt;0,(Sheet1!EX106+100000-Sheet1!EX105)/1000,(Sheet1!EX106-Sheet1!EX105)/1000)</f>
        <v>0.76700000000000002</v>
      </c>
      <c r="Y106" s="106">
        <f>Calculation!DZ107+Calculation!EI106+'Calculations II'!O106-'Calculations II'!W106</f>
        <v>45.818185320357017</v>
      </c>
      <c r="Z106" s="106">
        <f>Y106-Sheet1!CP107</f>
        <v>29.438185320357018</v>
      </c>
      <c r="AA106" s="106">
        <f>Y106+Calculation!CZ107+Calculation!AI107</f>
        <v>45.818185320357017</v>
      </c>
      <c r="AC106" s="106">
        <f>Sheet1!AA106+Sheet1!AB106+BC106</f>
        <v>42.700000000004366</v>
      </c>
      <c r="AD106" s="106">
        <f>Sheet1!AA106+Sheet1!BN106+'Calculations II'!BC106-Calculation!AI106-Calculation!CZ106</f>
        <v>41.600000000005821</v>
      </c>
      <c r="AE106" s="106">
        <f>Sheet1!AA106+Sheet1!AB106+'Calculations II'!BC106-Calculation!AI106-Calculation!CZ106</f>
        <v>42.700000000004366</v>
      </c>
      <c r="AF106" s="106">
        <f>Sheet1!AA106+Sheet1!BN106+P106+'Calculations II'!BC106+Calculation!AI106+Calculation!CZ106</f>
        <v>45.618185320367203</v>
      </c>
      <c r="AG106" s="106">
        <f>Sheet1!AA106+Sheet1!BN106+'Calculations II'!BC106+'Calculations II'!P106-Sheet1!CP106-BP106</f>
        <v>29.408185320367203</v>
      </c>
      <c r="AH106" s="106">
        <f>Sheet1!AA106+Sheet1!BN106+'Calculations II'!BC106+'Calculations II'!P106-BP106</f>
        <v>45.618185320367203</v>
      </c>
      <c r="AI106" s="106">
        <f>BC106+Sheet1!AA106+Calculation!EI106+O106+W106+Sheet1!BN106+Calculation!AI106+Calculation!CZ106-BP106</f>
        <v>45.618185320367203</v>
      </c>
      <c r="AJ106" s="106"/>
      <c r="AM106" s="102">
        <f t="shared" si="18"/>
        <v>40635</v>
      </c>
      <c r="AN106" s="106"/>
      <c r="AO106" s="106"/>
      <c r="AR106" s="106"/>
      <c r="AT106" s="101">
        <f>Sheet1!AR106*GPMtoMGD</f>
        <v>0</v>
      </c>
      <c r="AU106" s="101">
        <f>Sheet1!AS106*GPMtoMGD</f>
        <v>2.7216000000000001E-2</v>
      </c>
      <c r="AV106" s="101">
        <f>Sheet1!AT106*GPMtoMGD</f>
        <v>0</v>
      </c>
      <c r="AW106" s="101">
        <f>Sheet1!AV106*GPMtoMGD</f>
        <v>0.49593599999999999</v>
      </c>
      <c r="AX106" s="101">
        <f>Sheet1!AW106*GPMtoMGD</f>
        <v>0.79012800000000016</v>
      </c>
      <c r="AY106" s="101">
        <f>Sheet1!AX106*GPMtoMGD</f>
        <v>0</v>
      </c>
      <c r="AZ106" s="101">
        <f>Sheet1!AY106*GPMtoMGD</f>
        <v>0</v>
      </c>
      <c r="BA106" s="101">
        <f>Sheet1!AZ106*GPMtoMGD</f>
        <v>0</v>
      </c>
      <c r="BB106" s="101">
        <f>Sheet1!BP106*GPMtoMGD</f>
        <v>0</v>
      </c>
      <c r="BC106" s="101">
        <f>Sheet1!CO106*GPMtoMGD</f>
        <v>0</v>
      </c>
      <c r="BD106" s="101">
        <f>Sheet1!BO106*GPMtoMGD</f>
        <v>1.7303040000000001</v>
      </c>
      <c r="BE106" s="101">
        <f>Sheet1!BV106*GPMtoMGD</f>
        <v>0.63863999999999999</v>
      </c>
      <c r="BF106" s="101">
        <f>Sheet1!CJ106*GPMtoMGD</f>
        <v>0.65203200000000006</v>
      </c>
      <c r="BG106" s="101">
        <f>Sheet1!CK106*GPMtoMGD</f>
        <v>0.56750400000000012</v>
      </c>
      <c r="BH106" s="101">
        <f>Sheet1!CL106*GPMtoMGD</f>
        <v>0.72504000000000002</v>
      </c>
      <c r="BI106" s="101">
        <f t="shared" si="19"/>
        <v>1.7303040000000001</v>
      </c>
      <c r="BK106" s="106">
        <f>SUM(AT106:BA106,BE106,Sheet1!BU106,'Calculations II'!BC106,Calculation!AG106)</f>
        <v>45.851919999998543</v>
      </c>
      <c r="BM106" s="439">
        <f>IF(AND(Sheet1!BQ106&lt;=11.5,Sheet1!BQ105&gt;Sheet1!BQ106),(MIN(Lookup!$C$119,VLOOKUP(Sheet1!BQ105,Lookup!$B$4:$J$236,2))-VLOOKUP(Sheet1!BQ106,Lookup!$B$4:$J$236,2))/1000000,0)</f>
        <v>0</v>
      </c>
      <c r="BN106" s="439">
        <f>IF(AND(Sheet1!BR106&lt;=11.5,Sheet1!BR105&gt;Sheet1!BR106),(MIN(Lookup!$D$119,VLOOKUP(Sheet1!BR105,Lookup!$B$4:$J$236,3))-VLOOKUP(Sheet1!BR106,Lookup!$B$4:$J$236,3))/1000000,0)</f>
        <v>0</v>
      </c>
      <c r="BP106" s="105">
        <f>SUM(BM106:BN106,W106,Sheet1!DT106)</f>
        <v>0</v>
      </c>
    </row>
    <row r="107" spans="1:68" s="101" customFormat="1">
      <c r="A107" s="101" t="s">
        <v>9</v>
      </c>
      <c r="B107" s="103">
        <v>40636</v>
      </c>
      <c r="C107" s="104">
        <v>0.33333333333357601</v>
      </c>
      <c r="E107" s="30"/>
      <c r="F107" s="30">
        <f>-(VLOOKUP(Sheet1!BZ107,Lookup!$I$4:$J$216,2)-VLOOKUP(Sheet1!BZ106,Lookup!$I$4:$J$216,2))/1000000</f>
        <v>-0.20727387709559872</v>
      </c>
      <c r="G107" s="106">
        <f>-$G$6*(Sheet1!CB107-Sheet1!CB106)*7.48/1000000</f>
        <v>0.39713501052559297</v>
      </c>
      <c r="H107" s="106">
        <f>-$H$6*(Sheet1!CA107-Sheet1!CA106)*7.48/1000000</f>
        <v>-0.39102524113289067</v>
      </c>
      <c r="I107" s="106">
        <f>-$I$6*(Sheet1!CC107-Sheet1!CC106)*7.48/1000000</f>
        <v>-3.5983016856054283E-2</v>
      </c>
      <c r="J107" s="107" t="s">
        <v>193</v>
      </c>
      <c r="K107" s="106">
        <f>-$I$6*(Sheet1!CD107-Sheet1!CD106)*7.48/1000000</f>
        <v>-1.7991508428026985E-2</v>
      </c>
      <c r="L107" s="107" t="s">
        <v>193</v>
      </c>
      <c r="M107" s="106">
        <f>-$M$6*(Sheet1!CE107-Sheet1!CE106)*7.48/1000000</f>
        <v>-1.3326640748917075E-2</v>
      </c>
      <c r="N107" s="106">
        <f>-$N$6*(Sheet1!CF107-Sheet1!CF106)*7.48/1000000</f>
        <v>-6.2052345394623676E-2</v>
      </c>
      <c r="O107" s="106">
        <f t="shared" si="15"/>
        <v>-0.33051761913051847</v>
      </c>
      <c r="P107" s="106">
        <f>O107+Calculation!EI107</f>
        <v>4.4965823808694809</v>
      </c>
      <c r="Q107" s="101" t="str">
        <f>IF(Sheet1!BQ107&gt;21.75,"spill elevation","-")</f>
        <v>-</v>
      </c>
      <c r="R107" s="101" t="str">
        <f>IF(Sheet1!BR107&gt;21.75,"spill elevation","-")</f>
        <v>-</v>
      </c>
      <c r="S107" s="101" t="str">
        <f>IF(Sheet1!BS107&gt;21.75,"spill elevation","-")</f>
        <v>-</v>
      </c>
      <c r="T107" s="105">
        <f>IF(Sheet1!DQ107=1,Sheet1!AA107-(SUM(AT107:BA107)+BE107),Sheet1!AA107-SUM(AT107:BA107))</f>
        <v>24.92727999999709</v>
      </c>
      <c r="U107" s="105">
        <f>Sheet1!BU107</f>
        <v>28.5</v>
      </c>
      <c r="V107" s="105">
        <f t="shared" si="16"/>
        <v>-3.57272000000291</v>
      </c>
      <c r="W107" s="105">
        <f t="shared" si="17"/>
        <v>0</v>
      </c>
      <c r="X107" s="101">
        <f>IF((Sheet1!EX107-Sheet1!EX106)&lt;0,(Sheet1!EX107+100000-Sheet1!EX106)/1000,(Sheet1!EX107-Sheet1!EX106)/1000)</f>
        <v>0.78200000000000003</v>
      </c>
      <c r="Y107" s="106">
        <f>Calculation!DZ108+Calculation!EI107+'Calculations II'!O107-'Calculations II'!W107</f>
        <v>45.346582380875304</v>
      </c>
      <c r="Z107" s="106">
        <f>Y107-Sheet1!CP108</f>
        <v>29.346582380875304</v>
      </c>
      <c r="AA107" s="106">
        <f>Y107+Calculation!CZ108+Calculation!AI108</f>
        <v>45.346582380875304</v>
      </c>
      <c r="AC107" s="106">
        <f>Sheet1!AA107+Sheet1!AB107+BC107</f>
        <v>41.799999999995634</v>
      </c>
      <c r="AD107" s="106">
        <f>Sheet1!AA107+Sheet1!BN107+'Calculations II'!BC107-Calculation!AI107-Calculation!CZ107</f>
        <v>41.69999999999709</v>
      </c>
      <c r="AE107" s="106">
        <f>Sheet1!AA107+Sheet1!AB107+'Calculations II'!BC107-Calculation!AI107-Calculation!CZ107</f>
        <v>41.799999999995634</v>
      </c>
      <c r="AF107" s="106">
        <f>Sheet1!AA107+Sheet1!BN107+P107+'Calculations II'!BC107+Calculation!AI107+Calculation!CZ107</f>
        <v>46.196582380866573</v>
      </c>
      <c r="AG107" s="106">
        <f>Sheet1!AA107+Sheet1!BN107+'Calculations II'!BC107+'Calculations II'!P107-Sheet1!CP107-BP107</f>
        <v>29.816582380866574</v>
      </c>
      <c r="AH107" s="106">
        <f>Sheet1!AA107+Sheet1!BN107+'Calculations II'!BC107+'Calculations II'!P107-BP107</f>
        <v>46.196582380866573</v>
      </c>
      <c r="AI107" s="106">
        <f>BC107+Sheet1!AA107+Calculation!EI107+O107+W107+Sheet1!BN107+Calculation!AI107+Calculation!CZ107-BP107</f>
        <v>46.196582380866573</v>
      </c>
      <c r="AJ107" s="106"/>
      <c r="AM107" s="102">
        <f t="shared" si="18"/>
        <v>40636</v>
      </c>
      <c r="AN107" s="106"/>
      <c r="AO107" s="106"/>
      <c r="AR107" s="106"/>
      <c r="AT107" s="101">
        <f>Sheet1!AR107*GPMtoMGD</f>
        <v>0</v>
      </c>
      <c r="AU107" s="101">
        <f>Sheet1!AS107*GPMtoMGD</f>
        <v>5.2991999999999997E-2</v>
      </c>
      <c r="AV107" s="101">
        <f>Sheet1!AT107*GPMtoMGD</f>
        <v>0</v>
      </c>
      <c r="AW107" s="101">
        <f>Sheet1!AV107*GPMtoMGD</f>
        <v>0</v>
      </c>
      <c r="AX107" s="101">
        <f>Sheet1!AW107*GPMtoMGD</f>
        <v>2.7197280000000004</v>
      </c>
      <c r="AY107" s="101">
        <f>Sheet1!AX107*GPMtoMGD</f>
        <v>0</v>
      </c>
      <c r="AZ107" s="101">
        <f>Sheet1!AY107*GPMtoMGD</f>
        <v>0</v>
      </c>
      <c r="BA107" s="101">
        <f>Sheet1!AZ107*GPMtoMGD</f>
        <v>0</v>
      </c>
      <c r="BB107" s="101">
        <f>Sheet1!BP107*GPMtoMGD</f>
        <v>0</v>
      </c>
      <c r="BC107" s="101">
        <f>Sheet1!CO107*GPMtoMGD</f>
        <v>0</v>
      </c>
      <c r="BD107" s="101">
        <f>Sheet1!BO107*GPMtoMGD</f>
        <v>1.9776960000000003</v>
      </c>
      <c r="BE107" s="101">
        <f>Sheet1!BV107*GPMtoMGD</f>
        <v>0.63216000000000006</v>
      </c>
      <c r="BF107" s="101">
        <f>Sheet1!CJ107*GPMtoMGD</f>
        <v>0.62337600000000004</v>
      </c>
      <c r="BG107" s="101">
        <f>Sheet1!CK107*GPMtoMGD</f>
        <v>0.61819200000000007</v>
      </c>
      <c r="BH107" s="101">
        <f>Sheet1!CL107*GPMtoMGD</f>
        <v>0.74462400000000006</v>
      </c>
      <c r="BI107" s="101">
        <f t="shared" si="19"/>
        <v>1.9776960000000003</v>
      </c>
      <c r="BK107" s="106">
        <f>SUM(AT107:BA107,BE107,Sheet1!BU107,'Calculations II'!BC107,Calculation!AG107)</f>
        <v>46.004879999998543</v>
      </c>
      <c r="BM107" s="439">
        <f>IF(AND(Sheet1!BQ107&lt;=11.5,Sheet1!BQ106&gt;Sheet1!BQ107),(MIN(Lookup!$C$119,VLOOKUP(Sheet1!BQ106,Lookup!$B$4:$J$236,2))-VLOOKUP(Sheet1!BQ107,Lookup!$B$4:$J$236,2))/1000000,0)</f>
        <v>0</v>
      </c>
      <c r="BN107" s="439">
        <f>IF(AND(Sheet1!BR107&lt;=11.5,Sheet1!BR106&gt;Sheet1!BR107),(MIN(Lookup!$D$119,VLOOKUP(Sheet1!BR106,Lookup!$B$4:$J$236,3))-VLOOKUP(Sheet1!BR107,Lookup!$B$4:$J$236,3))/1000000,0)</f>
        <v>0</v>
      </c>
      <c r="BP107" s="105">
        <f>SUM(BM107:BN107,W107,Sheet1!DT107)</f>
        <v>0</v>
      </c>
    </row>
    <row r="108" spans="1:68" s="101" customFormat="1">
      <c r="A108" s="101" t="s">
        <v>3</v>
      </c>
      <c r="B108" s="103">
        <v>40637</v>
      </c>
      <c r="C108" s="104">
        <v>0.33333333333357601</v>
      </c>
      <c r="E108" s="30"/>
      <c r="F108" s="30">
        <f>-(VLOOKUP(Sheet1!BZ108,Lookup!$I$4:$J$216,2)-VLOOKUP(Sheet1!BZ107,Lookup!$I$4:$J$216,2))/1000000</f>
        <v>0</v>
      </c>
      <c r="G108" s="106">
        <f>-$G$6*(Sheet1!CB108-Sheet1!CB107)*7.48/1000000</f>
        <v>0.27799450736791548</v>
      </c>
      <c r="H108" s="106">
        <f>-$H$6*(Sheet1!CA108-Sheet1!CA107)*7.48/1000000</f>
        <v>5.6849054287781922</v>
      </c>
      <c r="I108" s="106">
        <f>-$I$6*(Sheet1!CC108-Sheet1!CC107)*7.48/1000000</f>
        <v>0.17991508428027048</v>
      </c>
      <c r="J108" s="107" t="s">
        <v>193</v>
      </c>
      <c r="K108" s="106">
        <f>-$I$6*(Sheet1!CD108-Sheet1!CD107)*7.48/1000000</f>
        <v>0.17991508428027048</v>
      </c>
      <c r="L108" s="107" t="s">
        <v>193</v>
      </c>
      <c r="M108" s="106">
        <f>-$M$6*(Sheet1!CE108-Sheet1!CE107)*7.48/1000000</f>
        <v>6.6633203744584424E-2</v>
      </c>
      <c r="N108" s="106">
        <f>-$N$6*(Sheet1!CF108-Sheet1!CF107)*7.48/1000000</f>
        <v>-0.55847110855161541</v>
      </c>
      <c r="O108" s="106">
        <f t="shared" si="15"/>
        <v>5.8308921998996164</v>
      </c>
      <c r="P108" s="106">
        <f>O108+Calculation!EI108</f>
        <v>4.4964921998996168</v>
      </c>
      <c r="Q108" s="101" t="str">
        <f>IF(Sheet1!BQ108&gt;21.75,"spill elevation","-")</f>
        <v>-</v>
      </c>
      <c r="R108" s="101" t="str">
        <f>IF(Sheet1!BR108&gt;21.75,"spill elevation","-")</f>
        <v>-</v>
      </c>
      <c r="S108" s="101" t="str">
        <f>IF(Sheet1!BS108&gt;21.75,"spill elevation","-")</f>
        <v>-</v>
      </c>
      <c r="T108" s="105">
        <f>IF(Sheet1!DQ108=1,Sheet1!AA108-(SUM(AT108:BA108)+BE108),Sheet1!AA108-SUM(AT108:BA108))</f>
        <v>26.761152000002909</v>
      </c>
      <c r="U108" s="105">
        <f>Sheet1!BU108</f>
        <v>23.9</v>
      </c>
      <c r="V108" s="105">
        <f t="shared" si="16"/>
        <v>2.8611520000029103</v>
      </c>
      <c r="W108" s="105">
        <f t="shared" si="17"/>
        <v>0</v>
      </c>
      <c r="X108" s="101">
        <f>IF((Sheet1!EX108-Sheet1!EX107)&lt;0,(Sheet1!EX108+100000-Sheet1!EX107)/1000,(Sheet1!EX108-Sheet1!EX107)/1000)</f>
        <v>0.79800000000000004</v>
      </c>
      <c r="Y108" s="106">
        <f>Calculation!DZ109+Calculation!EI108+'Calculations II'!O108-'Calculations II'!W108</f>
        <v>46.553452199899617</v>
      </c>
      <c r="Z108" s="106">
        <f>Y108-Sheet1!CP109</f>
        <v>30.413452199899616</v>
      </c>
      <c r="AA108" s="106">
        <f>Y108+Calculation!CZ109+Calculation!AI109</f>
        <v>46.553452199899617</v>
      </c>
      <c r="AC108" s="106">
        <f>Sheet1!AA108+Sheet1!AB108+BC108</f>
        <v>40.850000000005821</v>
      </c>
      <c r="AD108" s="106">
        <f>Sheet1!AA108+Sheet1!BN108+'Calculations II'!BC108-Calculation!AI108-Calculation!CZ108</f>
        <v>41.30000000000291</v>
      </c>
      <c r="AE108" s="106">
        <f>Sheet1!AA108+Sheet1!AB108+'Calculations II'!BC108-Calculation!AI108-Calculation!CZ108</f>
        <v>40.850000000005821</v>
      </c>
      <c r="AF108" s="106">
        <f>Sheet1!AA108+Sheet1!BN108+P108+'Calculations II'!BC108+Calculation!AI108+Calculation!CZ108</f>
        <v>45.796492199902531</v>
      </c>
      <c r="AG108" s="106">
        <f>Sheet1!AA108+Sheet1!BN108+'Calculations II'!BC108+'Calculations II'!P108-Sheet1!CP108-BP108</f>
        <v>29.796492199902531</v>
      </c>
      <c r="AH108" s="106">
        <f>Sheet1!AA108+Sheet1!BN108+'Calculations II'!BC108+'Calculations II'!P108-BP108</f>
        <v>45.796492199902531</v>
      </c>
      <c r="AI108" s="106">
        <f>BC108+Sheet1!AA108+Calculation!EI108+O108+W108+Sheet1!BN108+Calculation!AI108+Calculation!CZ108-BP108</f>
        <v>45.796492199902531</v>
      </c>
      <c r="AJ108" s="106"/>
      <c r="AM108" s="102">
        <f t="shared" si="18"/>
        <v>40637</v>
      </c>
      <c r="AN108" s="106"/>
      <c r="AO108" s="106"/>
      <c r="AR108" s="106"/>
      <c r="AT108" s="101">
        <f>Sheet1!AR108*GPMtoMGD</f>
        <v>0</v>
      </c>
      <c r="AU108" s="101">
        <f>Sheet1!AS108*GPMtoMGD</f>
        <v>2.6064000000000004E-2</v>
      </c>
      <c r="AV108" s="101">
        <f>Sheet1!AT108*GPMtoMGD</f>
        <v>0</v>
      </c>
      <c r="AW108" s="101">
        <f>Sheet1!AV108*GPMtoMGD</f>
        <v>0.25559999999999999</v>
      </c>
      <c r="AX108" s="101">
        <f>Sheet1!AW108*GPMtoMGD</f>
        <v>0.25718400000000002</v>
      </c>
      <c r="AY108" s="101">
        <f>Sheet1!AX108*GPMtoMGD</f>
        <v>0</v>
      </c>
      <c r="AZ108" s="101">
        <f>Sheet1!AY108*GPMtoMGD</f>
        <v>0</v>
      </c>
      <c r="BA108" s="101">
        <f>Sheet1!AZ108*GPMtoMGD</f>
        <v>0</v>
      </c>
      <c r="BB108" s="101">
        <f>Sheet1!BP108*GPMtoMGD</f>
        <v>0</v>
      </c>
      <c r="BC108" s="101">
        <f>Sheet1!CO108*GPMtoMGD</f>
        <v>0</v>
      </c>
      <c r="BD108" s="101">
        <f>Sheet1!BO108*GPMtoMGD</f>
        <v>1.4754240000000001</v>
      </c>
      <c r="BE108" s="101">
        <f>Sheet1!BV108*GPMtoMGD</f>
        <v>0.88876800000000011</v>
      </c>
      <c r="BF108" s="101">
        <f>Sheet1!CJ108*GPMtoMGD</f>
        <v>0.61704000000000003</v>
      </c>
      <c r="BG108" s="101">
        <f>Sheet1!CK108*GPMtoMGD</f>
        <v>0.54835200000000006</v>
      </c>
      <c r="BH108" s="101">
        <f>Sheet1!CL108*GPMtoMGD</f>
        <v>0.78768000000000005</v>
      </c>
      <c r="BI108" s="101">
        <f t="shared" si="19"/>
        <v>1.4754240000000001</v>
      </c>
      <c r="BK108" s="106">
        <f>SUM(AT108:BA108,BE108,Sheet1!BU108,'Calculations II'!BC108,Calculation!AG108)</f>
        <v>38.877616000002909</v>
      </c>
      <c r="BM108" s="439">
        <f>IF(AND(Sheet1!BQ108&lt;=11.5,Sheet1!BQ107&gt;Sheet1!BQ108),(MIN(Lookup!$C$119,VLOOKUP(Sheet1!BQ107,Lookup!$B$4:$J$236,2))-VLOOKUP(Sheet1!BQ108,Lookup!$B$4:$J$236,2))/1000000,0)</f>
        <v>0</v>
      </c>
      <c r="BN108" s="439">
        <f>IF(AND(Sheet1!BR108&lt;=11.5,Sheet1!BR107&gt;Sheet1!BR108),(MIN(Lookup!$D$119,VLOOKUP(Sheet1!BR107,Lookup!$B$4:$J$236,3))-VLOOKUP(Sheet1!BR108,Lookup!$B$4:$J$236,3))/1000000,0)</f>
        <v>0</v>
      </c>
      <c r="BP108" s="105">
        <f>SUM(BM108:BN108,W108,Sheet1!DT108)</f>
        <v>0</v>
      </c>
    </row>
    <row r="109" spans="1:68" s="101" customFormat="1">
      <c r="A109" s="101" t="s">
        <v>4</v>
      </c>
      <c r="B109" s="103">
        <v>40638</v>
      </c>
      <c r="C109" s="104">
        <v>0.33333333333357601</v>
      </c>
      <c r="E109" s="30"/>
      <c r="F109" s="30">
        <f>-(VLOOKUP(Sheet1!BZ109,Lookup!$I$4:$J$216,2)-VLOOKUP(Sheet1!BZ108,Lookup!$I$4:$J$216,2))/1000000</f>
        <v>-0.41454775419120304</v>
      </c>
      <c r="G109" s="106">
        <f>-$G$6*(Sheet1!CB109-Sheet1!CB108)*7.48/1000000</f>
        <v>0.27799450736791476</v>
      </c>
      <c r="H109" s="106">
        <f>-$H$6*(Sheet1!CA109-Sheet1!CA108)*7.48/1000000</f>
        <v>-0.79708991461704815</v>
      </c>
      <c r="I109" s="106">
        <f>-$I$6*(Sheet1!CC109-Sheet1!CC108)*7.48/1000000</f>
        <v>8.9957542140135238E-2</v>
      </c>
      <c r="J109" s="107" t="s">
        <v>193</v>
      </c>
      <c r="K109" s="106">
        <f>-$I$6*(Sheet1!CD109-Sheet1!CD108)*7.48/1000000</f>
        <v>7.196603371210826E-2</v>
      </c>
      <c r="L109" s="107" t="s">
        <v>193</v>
      </c>
      <c r="M109" s="106">
        <f>-$M$6*(Sheet1!CE109-Sheet1!CE108)*7.48/1000000</f>
        <v>3.3316601872292212E-2</v>
      </c>
      <c r="N109" s="106">
        <f>-$N$6*(Sheet1!CF109-Sheet1!CF108)*7.48/1000000</f>
        <v>4.9641876315699163E-2</v>
      </c>
      <c r="O109" s="106">
        <f t="shared" si="15"/>
        <v>-0.68876110740010144</v>
      </c>
      <c r="P109" s="106">
        <f>O109+Calculation!EI109</f>
        <v>2.2468388925998983</v>
      </c>
      <c r="Q109" s="101" t="str">
        <f>IF(Sheet1!BQ109&gt;21.75,"spill elevation","-")</f>
        <v>-</v>
      </c>
      <c r="R109" s="101" t="str">
        <f>IF(Sheet1!BR109&gt;21.75,"spill elevation","-")</f>
        <v>-</v>
      </c>
      <c r="S109" s="101" t="str">
        <f>IF(Sheet1!BS109&gt;21.75,"spill elevation","-")</f>
        <v>-</v>
      </c>
      <c r="T109" s="105">
        <f>IF(Sheet1!DQ109=1,Sheet1!AA109-(SUM(AT109:BA109)+BE109),Sheet1!AA109-SUM(AT109:BA109))</f>
        <v>24.350256000000002</v>
      </c>
      <c r="U109" s="105">
        <f>Sheet1!BU109</f>
        <v>27.6</v>
      </c>
      <c r="V109" s="105">
        <f t="shared" si="16"/>
        <v>-3.2497439999999997</v>
      </c>
      <c r="W109" s="105">
        <f t="shared" si="17"/>
        <v>0</v>
      </c>
      <c r="X109" s="101">
        <f>IF((Sheet1!EX109-Sheet1!EX108)&lt;0,(Sheet1!EX109+100000-Sheet1!EX108)/1000,(Sheet1!EX109-Sheet1!EX108)/1000)</f>
        <v>0.70299999999999996</v>
      </c>
      <c r="Y109" s="106">
        <f>Calculation!DZ110+Calculation!EI109+'Calculations II'!O109-'Calculations II'!W109</f>
        <v>52.319398892596986</v>
      </c>
      <c r="Z109" s="106">
        <f>Y109-Sheet1!CP110</f>
        <v>36.349398892596987</v>
      </c>
      <c r="AA109" s="106">
        <f>Y109+Calculation!CZ110+Calculation!AI110</f>
        <v>52.395009412321471</v>
      </c>
      <c r="AC109" s="106">
        <f>Sheet1!AA109+Sheet1!AB109+BC109</f>
        <v>42.056960000000004</v>
      </c>
      <c r="AD109" s="106">
        <f>Sheet1!AA109+Sheet1!BN109+'Calculations II'!BC109-Calculation!AI109-Calculation!CZ109</f>
        <v>42.656959999999998</v>
      </c>
      <c r="AE109" s="106">
        <f>Sheet1!AA109+Sheet1!AB109+'Calculations II'!BC109-Calculation!AI109-Calculation!CZ109</f>
        <v>42.056960000000004</v>
      </c>
      <c r="AF109" s="106">
        <f>Sheet1!AA109+Sheet1!BN109+P109+'Calculations II'!BC109+Calculation!AI109+Calculation!CZ109</f>
        <v>44.903798892599895</v>
      </c>
      <c r="AG109" s="106">
        <f>Sheet1!AA109+Sheet1!BN109+'Calculations II'!BC109+'Calculations II'!P109-Sheet1!CP109-BP109</f>
        <v>28.763798892599894</v>
      </c>
      <c r="AH109" s="106">
        <f>Sheet1!AA109+Sheet1!BN109+'Calculations II'!BC109+'Calculations II'!P109-BP109</f>
        <v>44.903798892599895</v>
      </c>
      <c r="AI109" s="106">
        <f>BC109+Sheet1!AA109+Calculation!EI109+O109+W109+Sheet1!BN109+Calculation!AI109+Calculation!CZ109-BP109</f>
        <v>44.903798892599902</v>
      </c>
      <c r="AJ109" s="106"/>
      <c r="AM109" s="102">
        <f t="shared" si="18"/>
        <v>40638</v>
      </c>
      <c r="AN109" s="106"/>
      <c r="AO109" s="106"/>
      <c r="AR109" s="106"/>
      <c r="AT109" s="101">
        <f>Sheet1!AR109*GPMtoMGD</f>
        <v>0</v>
      </c>
      <c r="AU109" s="101">
        <f>Sheet1!AS109*GPMtoMGD</f>
        <v>2.6495999999999999E-2</v>
      </c>
      <c r="AV109" s="101">
        <f>Sheet1!AT109*GPMtoMGD</f>
        <v>0</v>
      </c>
      <c r="AW109" s="101">
        <f>Sheet1!AV109*GPMtoMGD</f>
        <v>0</v>
      </c>
      <c r="AX109" s="101">
        <f>Sheet1!AW109*GPMtoMGD</f>
        <v>2.6232480000000002</v>
      </c>
      <c r="AY109" s="101">
        <f>Sheet1!AX109*GPMtoMGD</f>
        <v>0</v>
      </c>
      <c r="AZ109" s="101">
        <f>Sheet1!AY109*GPMtoMGD</f>
        <v>0</v>
      </c>
      <c r="BA109" s="101">
        <f>Sheet1!AZ109*GPMtoMGD</f>
        <v>0</v>
      </c>
      <c r="BB109" s="101">
        <f>Sheet1!BP109*GPMtoMGD</f>
        <v>6.480000000000001E-2</v>
      </c>
      <c r="BC109" s="101">
        <f>Sheet1!CO109*GPMtoMGD</f>
        <v>1.0569600000000001</v>
      </c>
      <c r="BD109" s="101">
        <f>Sheet1!BO109*GPMtoMGD</f>
        <v>1.5986880000000001</v>
      </c>
      <c r="BE109" s="101">
        <f>Sheet1!BV109*GPMtoMGD</f>
        <v>0.62856000000000001</v>
      </c>
      <c r="BF109" s="101">
        <f>Sheet1!CJ109*GPMtoMGD</f>
        <v>0.51667200000000002</v>
      </c>
      <c r="BG109" s="101">
        <f>Sheet1!CK109*GPMtoMGD</f>
        <v>0.55800000000000005</v>
      </c>
      <c r="BH109" s="101">
        <f>Sheet1!CL109*GPMtoMGD</f>
        <v>0.80985600000000002</v>
      </c>
      <c r="BI109" s="101">
        <f t="shared" si="19"/>
        <v>1.6634880000000001</v>
      </c>
      <c r="BK109" s="106">
        <f>SUM(AT109:BA109,BE109,Sheet1!BU109,'Calculations II'!BC109,Calculation!AG109)</f>
        <v>45.935264000000004</v>
      </c>
      <c r="BM109" s="439">
        <f>IF(AND(Sheet1!BQ109&lt;=11.5,Sheet1!BQ108&gt;Sheet1!BQ109),(MIN(Lookup!$C$119,VLOOKUP(Sheet1!BQ108,Lookup!$B$4:$J$236,2))-VLOOKUP(Sheet1!BQ109,Lookup!$B$4:$J$236,2))/1000000,0)</f>
        <v>0</v>
      </c>
      <c r="BN109" s="439">
        <f>IF(AND(Sheet1!BR109&lt;=11.5,Sheet1!BR108&gt;Sheet1!BR109),(MIN(Lookup!$D$119,VLOOKUP(Sheet1!BR108,Lookup!$B$4:$J$236,3))-VLOOKUP(Sheet1!BR109,Lookup!$B$4:$J$236,3))/1000000,0)</f>
        <v>0</v>
      </c>
      <c r="BP109" s="105">
        <f>SUM(BM109:BN109,W109,Sheet1!DT109)</f>
        <v>0</v>
      </c>
    </row>
    <row r="110" spans="1:68" s="101" customFormat="1">
      <c r="A110" s="101" t="s">
        <v>5</v>
      </c>
      <c r="B110" s="103">
        <v>40639</v>
      </c>
      <c r="C110" s="104">
        <v>0.33333333333357601</v>
      </c>
      <c r="E110" s="30"/>
      <c r="F110" s="30">
        <f>-(VLOOKUP(Sheet1!BZ110,Lookup!$I$4:$J$216,2)-VLOOKUP(Sheet1!BZ109,Lookup!$I$4:$J$216,2))/1000000</f>
        <v>0.20727387709559872</v>
      </c>
      <c r="G110" s="106">
        <f>-$G$6*(Sheet1!CB110-Sheet1!CB109)*7.48/1000000</f>
        <v>0.3177080084204747</v>
      </c>
      <c r="H110" s="106">
        <f>-$H$6*(Sheet1!CA110-Sheet1!CA109)*7.48/1000000</f>
        <v>-2.0604022321233129</v>
      </c>
      <c r="I110" s="106">
        <f>-$I$6*(Sheet1!CC110-Sheet1!CC109)*7.48/1000000</f>
        <v>4.4978771070067619E-2</v>
      </c>
      <c r="J110" s="107" t="s">
        <v>193</v>
      </c>
      <c r="K110" s="106">
        <f>-$I$6*(Sheet1!CD110-Sheet1!CD109)*7.48/1000000</f>
        <v>6.2970279498094611E-2</v>
      </c>
      <c r="L110" s="107" t="s">
        <v>193</v>
      </c>
      <c r="M110" s="106">
        <f>-$M$6*(Sheet1!CE110-Sheet1!CE109)*7.48/1000000</f>
        <v>9.3286485242418567E-3</v>
      </c>
      <c r="N110" s="106">
        <f>-$N$6*(Sheet1!CF110-Sheet1!CF109)*7.48/1000000</f>
        <v>0.65775486118301263</v>
      </c>
      <c r="O110" s="106">
        <f t="shared" ref="O110:O156" si="20">SUM(F110:I110)+K110+SUM(M110:N110)</f>
        <v>-0.76038778633182291</v>
      </c>
      <c r="P110" s="106">
        <f>O110+Calculation!EI110</f>
        <v>-2.6281877863318228</v>
      </c>
      <c r="Q110" s="101" t="str">
        <f>IF(Sheet1!BQ110&gt;21.75,"spill elevation","-")</f>
        <v>-</v>
      </c>
      <c r="R110" s="101" t="str">
        <f>IF(Sheet1!BR110&gt;21.75,"spill elevation","-")</f>
        <v>-</v>
      </c>
      <c r="S110" s="101" t="str">
        <f>IF(Sheet1!BS110&gt;21.75,"spill elevation","-")</f>
        <v>-</v>
      </c>
      <c r="T110" s="105">
        <f>IF(Sheet1!DQ110=1,Sheet1!AA110-(SUM(AT110:BA110)+BE110),Sheet1!AA110-SUM(AT110:BA110))</f>
        <v>29.115711999997089</v>
      </c>
      <c r="U110" s="105">
        <f>Sheet1!BU110</f>
        <v>25</v>
      </c>
      <c r="V110" s="105">
        <f t="shared" ref="V110:V156" si="21">T110-U110</f>
        <v>4.1157119999970888</v>
      </c>
      <c r="W110" s="105">
        <f t="shared" ref="W110:W156" si="22">IF(AND(OR(Q110="spill elevation",R110="spill elevation",S110="spill elevation",Q111="spill elevation",R111="spill elevation",S111="spill elevation"),V110&gt;0),V110,0)</f>
        <v>0</v>
      </c>
      <c r="X110" s="101">
        <f>IF((Sheet1!EX110-Sheet1!EX109)&lt;0,(Sheet1!EX110+100000-Sheet1!EX109)/1000,(Sheet1!EX110-Sheet1!EX109)/1000)</f>
        <v>0.76200000000000001</v>
      </c>
      <c r="Y110" s="106">
        <f>Calculation!DZ111+Calculation!EI110+'Calculations II'!O110-'Calculations II'!W110</f>
        <v>44.189988213666716</v>
      </c>
      <c r="Z110" s="106">
        <f>Y110-Sheet1!CP111</f>
        <v>28.409988213666715</v>
      </c>
      <c r="AA110" s="106">
        <f>Y110+Calculation!CZ111+Calculation!AI111</f>
        <v>44.189988213666716</v>
      </c>
      <c r="AC110" s="106">
        <f>Sheet1!AA110+Sheet1!AB110+BC110</f>
        <v>50.07255999999709</v>
      </c>
      <c r="AD110" s="106">
        <f>Sheet1!AA110+Sheet1!BN110+'Calculations II'!BC110-Calculation!AI110-Calculation!CZ110</f>
        <v>48.646949480272603</v>
      </c>
      <c r="AE110" s="106">
        <f>Sheet1!AA110+Sheet1!AB110+'Calculations II'!BC110-Calculation!AI110-Calculation!CZ110</f>
        <v>49.996949480272605</v>
      </c>
      <c r="AF110" s="106">
        <f>Sheet1!AA110+Sheet1!BN110+P110+'Calculations II'!BC110+Calculation!AI110+Calculation!CZ110</f>
        <v>46.169982733389752</v>
      </c>
      <c r="AG110" s="106">
        <f>Sheet1!AA110+Sheet1!BN110+'Calculations II'!BC110+'Calculations II'!P110-Sheet1!CP110-BP110</f>
        <v>30.124372213665268</v>
      </c>
      <c r="AH110" s="106">
        <f>Sheet1!AA110+Sheet1!BN110+'Calculations II'!BC110+'Calculations II'!P110-BP110</f>
        <v>46.094372213665267</v>
      </c>
      <c r="AI110" s="106">
        <f>BC110+Sheet1!AA110+Calculation!EI110+O110+W110+Sheet1!BN110+Calculation!AI110+Calculation!CZ110-BP110</f>
        <v>46.169982733389752</v>
      </c>
      <c r="AJ110" s="106"/>
      <c r="AM110" s="102">
        <f t="shared" ref="AM110:AM156" si="23">B110</f>
        <v>40639</v>
      </c>
      <c r="AN110" s="106"/>
      <c r="AO110" s="106"/>
      <c r="AR110" s="106"/>
      <c r="AT110" s="101">
        <f>Sheet1!AR110*GPMtoMGD</f>
        <v>0</v>
      </c>
      <c r="AU110" s="101">
        <f>Sheet1!AS110*GPMtoMGD</f>
        <v>2.6208000000000002E-2</v>
      </c>
      <c r="AV110" s="101">
        <f>Sheet1!AT110*GPMtoMGD</f>
        <v>0</v>
      </c>
      <c r="AW110" s="101">
        <f>Sheet1!AV110*GPMtoMGD</f>
        <v>0.20304000000000003</v>
      </c>
      <c r="AX110" s="101">
        <f>Sheet1!AW110*GPMtoMGD</f>
        <v>1.35504</v>
      </c>
      <c r="AY110" s="101">
        <f>Sheet1!AX110*GPMtoMGD</f>
        <v>0</v>
      </c>
      <c r="AZ110" s="101">
        <f>Sheet1!AY110*GPMtoMGD</f>
        <v>0</v>
      </c>
      <c r="BA110" s="101">
        <f>Sheet1!AZ110*GPMtoMGD</f>
        <v>0</v>
      </c>
      <c r="BB110" s="101">
        <f>Sheet1!BP110*GPMtoMGD</f>
        <v>0</v>
      </c>
      <c r="BC110" s="101">
        <f>Sheet1!CO110*GPMtoMGD</f>
        <v>2.12256</v>
      </c>
      <c r="BD110" s="101">
        <f>Sheet1!BO110*GPMtoMGD</f>
        <v>1.7850239999999999</v>
      </c>
      <c r="BE110" s="101">
        <f>Sheet1!BV110*GPMtoMGD</f>
        <v>0.63259200000000004</v>
      </c>
      <c r="BF110" s="101">
        <f>Sheet1!CJ110*GPMtoMGD</f>
        <v>0.53078400000000003</v>
      </c>
      <c r="BG110" s="101">
        <f>Sheet1!CK110*GPMtoMGD</f>
        <v>0.57412799999999997</v>
      </c>
      <c r="BH110" s="101">
        <f>Sheet1!CL110*GPMtoMGD</f>
        <v>0.78969600000000006</v>
      </c>
      <c r="BI110" s="101">
        <f t="shared" ref="BI110:BI156" si="24">BD110+BB110</f>
        <v>1.7850239999999999</v>
      </c>
      <c r="BK110" s="106">
        <f>SUM(AT110:BA110,BE110,Sheet1!BU110,'Calculations II'!BC110,Calculation!AG110)</f>
        <v>46.513829480275518</v>
      </c>
      <c r="BM110" s="439">
        <f>IF(AND(Sheet1!BQ110&lt;=11.5,Sheet1!BQ109&gt;Sheet1!BQ110),(MIN(Lookup!$C$119,VLOOKUP(Sheet1!BQ109,Lookup!$B$4:$J$236,2))-VLOOKUP(Sheet1!BQ110,Lookup!$B$4:$J$236,2))/1000000,0)</f>
        <v>0</v>
      </c>
      <c r="BN110" s="439">
        <f>IF(AND(Sheet1!BR110&lt;=11.5,Sheet1!BR109&gt;Sheet1!BR110),(MIN(Lookup!$D$119,VLOOKUP(Sheet1!BR109,Lookup!$B$4:$J$236,3))-VLOOKUP(Sheet1!BR110,Lookup!$B$4:$J$236,3))/1000000,0)</f>
        <v>0</v>
      </c>
      <c r="BP110" s="105">
        <f>SUM(BM110:BN110,W110,Sheet1!DT110)</f>
        <v>0</v>
      </c>
    </row>
    <row r="111" spans="1:68" s="101" customFormat="1">
      <c r="A111" s="101" t="s">
        <v>6</v>
      </c>
      <c r="B111" s="103">
        <v>40640</v>
      </c>
      <c r="C111" s="104">
        <v>0.33333333333357601</v>
      </c>
      <c r="E111" s="30"/>
      <c r="F111" s="30">
        <f>-(VLOOKUP(Sheet1!BZ111,Lookup!$I$4:$J$216,2)-VLOOKUP(Sheet1!BZ110,Lookup!$I$4:$J$216,2))/1000000</f>
        <v>0.10363693854780495</v>
      </c>
      <c r="G111" s="106">
        <f>-$G$6*(Sheet1!CB111-Sheet1!CB110)*7.48/1000000</f>
        <v>-0.95312402526142337</v>
      </c>
      <c r="H111" s="106">
        <f>-$H$6*(Sheet1!CA111-Sheet1!CA110)*7.48/1000000</f>
        <v>-1.5941798292340965</v>
      </c>
      <c r="I111" s="106">
        <f>-$I$6*(Sheet1!CC111-Sheet1!CC110)*7.48/1000000</f>
        <v>-0.38681743120258122</v>
      </c>
      <c r="J111" s="107" t="s">
        <v>193</v>
      </c>
      <c r="K111" s="106">
        <f>-$I$6*(Sheet1!CD111-Sheet1!CD110)*7.48/1000000</f>
        <v>-0.4048089396306086</v>
      </c>
      <c r="L111" s="107" t="s">
        <v>193</v>
      </c>
      <c r="M111" s="106">
        <f>-$M$6*(Sheet1!CE111-Sheet1!CE110)*7.48/1000000</f>
        <v>-0.13593173563895214</v>
      </c>
      <c r="N111" s="106">
        <f>-$N$6*(Sheet1!CF111-Sheet1!CF110)*7.48/1000000</f>
        <v>-0.35990360328881754</v>
      </c>
      <c r="O111" s="106">
        <f t="shared" si="20"/>
        <v>-3.7311286257086742</v>
      </c>
      <c r="P111" s="106">
        <f>O111+Calculation!EI111</f>
        <v>-2.9308286257086742</v>
      </c>
      <c r="Q111" s="101" t="str">
        <f>IF(Sheet1!BQ111&gt;21.75,"spill elevation","-")</f>
        <v>-</v>
      </c>
      <c r="R111" s="101" t="str">
        <f>IF(Sheet1!BR111&gt;21.75,"spill elevation","-")</f>
        <v>-</v>
      </c>
      <c r="S111" s="101" t="str">
        <f>IF(Sheet1!BS111&gt;21.75,"spill elevation","-")</f>
        <v>-</v>
      </c>
      <c r="T111" s="105">
        <f>IF(Sheet1!DQ111=1,Sheet1!AA111-(SUM(AT111:BA111)+BE111),Sheet1!AA111-SUM(AT111:BA111))</f>
        <v>27.173599999997091</v>
      </c>
      <c r="U111" s="105">
        <f>Sheet1!BU111</f>
        <v>27</v>
      </c>
      <c r="V111" s="105">
        <f t="shared" si="21"/>
        <v>0.17359999999709075</v>
      </c>
      <c r="W111" s="105">
        <f t="shared" si="22"/>
        <v>0</v>
      </c>
      <c r="X111" s="101">
        <f>IF((Sheet1!EX111-Sheet1!EX110)&lt;0,(Sheet1!EX111+100000-Sheet1!EX110)/1000,(Sheet1!EX111-Sheet1!EX110)/1000)</f>
        <v>0.74</v>
      </c>
      <c r="Y111" s="106">
        <f>Calculation!DZ112+Calculation!EI111+'Calculations II'!O111-'Calculations II'!W111</f>
        <v>43.153283374295697</v>
      </c>
      <c r="Z111" s="106">
        <f>Y111-Sheet1!CP112</f>
        <v>26.783283374295696</v>
      </c>
      <c r="AA111" s="106">
        <f>Y111+Calculation!CZ112+Calculation!AI112</f>
        <v>43.153283374295697</v>
      </c>
      <c r="AC111" s="106">
        <f>Sheet1!AA111+Sheet1!AB111+BC111</f>
        <v>46.818175999998545</v>
      </c>
      <c r="AD111" s="106">
        <f>Sheet1!AA111+Sheet1!BN111+'Calculations II'!BC111-Calculation!AI111-Calculation!CZ111</f>
        <v>46.918175999997089</v>
      </c>
      <c r="AE111" s="106">
        <f>Sheet1!AA111+Sheet1!AB111+'Calculations II'!BC111-Calculation!AI111-Calculation!CZ111</f>
        <v>46.818175999998545</v>
      </c>
      <c r="AF111" s="106">
        <f>Sheet1!AA111+Sheet1!BN111+P111+'Calculations II'!BC111+Calculation!AI111+Calculation!CZ111</f>
        <v>43.987347374288419</v>
      </c>
      <c r="AG111" s="106">
        <f>Sheet1!AA111+Sheet1!BN111+'Calculations II'!BC111+'Calculations II'!P111-Sheet1!CP111-BP111</f>
        <v>28.207347374288418</v>
      </c>
      <c r="AH111" s="106">
        <f>Sheet1!AA111+Sheet1!BN111+'Calculations II'!BC111+'Calculations II'!P111-BP111</f>
        <v>43.987347374288419</v>
      </c>
      <c r="AI111" s="106">
        <f>BC111+Sheet1!AA111+Calculation!EI111+O111+W111+Sheet1!BN111+Calculation!AI111+Calculation!CZ111-BP111</f>
        <v>43.987347374288419</v>
      </c>
      <c r="AJ111" s="106"/>
      <c r="AM111" s="102">
        <f t="shared" si="23"/>
        <v>40640</v>
      </c>
      <c r="AN111" s="106"/>
      <c r="AO111" s="106"/>
      <c r="AR111" s="106"/>
      <c r="AT111" s="101">
        <f>Sheet1!AR111*GPMtoMGD</f>
        <v>0</v>
      </c>
      <c r="AU111" s="101">
        <f>Sheet1!AS111*GPMtoMGD</f>
        <v>5.1552000000000001E-2</v>
      </c>
      <c r="AV111" s="101">
        <f>Sheet1!AT111*GPMtoMGD</f>
        <v>0</v>
      </c>
      <c r="AW111" s="101">
        <f>Sheet1!AV111*GPMtoMGD</f>
        <v>0.69768000000000008</v>
      </c>
      <c r="AX111" s="101">
        <f>Sheet1!AW111*GPMtoMGD</f>
        <v>0.77716800000000008</v>
      </c>
      <c r="AY111" s="101">
        <f>Sheet1!AX111*GPMtoMGD</f>
        <v>0</v>
      </c>
      <c r="AZ111" s="101">
        <f>Sheet1!AY111*GPMtoMGD</f>
        <v>0</v>
      </c>
      <c r="BA111" s="101">
        <f>Sheet1!AZ111*GPMtoMGD</f>
        <v>0</v>
      </c>
      <c r="BB111" s="101">
        <f>Sheet1!BP111*GPMtoMGD</f>
        <v>0</v>
      </c>
      <c r="BC111" s="101">
        <f>Sheet1!CO111*GPMtoMGD</f>
        <v>2.2181760000000001</v>
      </c>
      <c r="BD111" s="101">
        <f>Sheet1!BO111*GPMtoMGD</f>
        <v>2.3564160000000003</v>
      </c>
      <c r="BE111" s="101">
        <f>Sheet1!BV111*GPMtoMGD</f>
        <v>0.62683200000000006</v>
      </c>
      <c r="BF111" s="101">
        <f>Sheet1!CJ111*GPMtoMGD</f>
        <v>0.49838400000000005</v>
      </c>
      <c r="BG111" s="101">
        <f>Sheet1!CK111*GPMtoMGD</f>
        <v>0.5562720000000001</v>
      </c>
      <c r="BH111" s="101">
        <f>Sheet1!CL111*GPMtoMGD</f>
        <v>0.77169600000000005</v>
      </c>
      <c r="BI111" s="101">
        <f t="shared" si="24"/>
        <v>2.3564160000000003</v>
      </c>
      <c r="BK111" s="106">
        <f>SUM(AT111:BA111,BE111,Sheet1!BU111,'Calculations II'!BC111,Calculation!AG111)</f>
        <v>47.271408000001458</v>
      </c>
      <c r="BM111" s="439">
        <f>IF(AND(Sheet1!BQ111&lt;=11.5,Sheet1!BQ110&gt;Sheet1!BQ111),(MIN(Lookup!$C$119,VLOOKUP(Sheet1!BQ110,Lookup!$B$4:$J$236,2))-VLOOKUP(Sheet1!BQ111,Lookup!$B$4:$J$236,2))/1000000,0)</f>
        <v>0</v>
      </c>
      <c r="BN111" s="439">
        <f>IF(AND(Sheet1!BR111&lt;=11.5,Sheet1!BR110&gt;Sheet1!BR111),(MIN(Lookup!$D$119,VLOOKUP(Sheet1!BR110,Lookup!$B$4:$J$236,3))-VLOOKUP(Sheet1!BR111,Lookup!$B$4:$J$236,3))/1000000,0)</f>
        <v>0</v>
      </c>
      <c r="BP111" s="105">
        <f>SUM(BM111:BN111,W111,Sheet1!DT111)</f>
        <v>0</v>
      </c>
    </row>
    <row r="112" spans="1:68" s="101" customFormat="1">
      <c r="A112" s="101" t="s">
        <v>7</v>
      </c>
      <c r="B112" s="103">
        <v>40641</v>
      </c>
      <c r="C112" s="104">
        <v>0.33333333333357601</v>
      </c>
      <c r="E112" s="30"/>
      <c r="F112" s="30">
        <f>-(VLOOKUP(Sheet1!BZ112,Lookup!$I$4:$J$216,2)-VLOOKUP(Sheet1!BZ111,Lookup!$I$4:$J$216,2))/1000000</f>
        <v>0</v>
      </c>
      <c r="G112" s="106">
        <f>-$G$6*(Sheet1!CB112-Sheet1!CB111)*7.48/1000000</f>
        <v>0.31770800842047398</v>
      </c>
      <c r="H112" s="106">
        <f>-$H$6*(Sheet1!CA112-Sheet1!CA111)*7.48/1000000</f>
        <v>-1.2933911822087951</v>
      </c>
      <c r="I112" s="106">
        <f>-$I$6*(Sheet1!CC112-Sheet1!CC111)*7.48/1000000</f>
        <v>0.14393206742421619</v>
      </c>
      <c r="J112" s="107" t="s">
        <v>193</v>
      </c>
      <c r="K112" s="106">
        <f>-$I$6*(Sheet1!CD112-Sheet1!CD111)*7.48/1000000</f>
        <v>0.14393206742421652</v>
      </c>
      <c r="L112" s="107" t="s">
        <v>193</v>
      </c>
      <c r="M112" s="106">
        <f>-$M$6*(Sheet1!CE112-Sheet1!CE111)*7.48/1000000</f>
        <v>5.3306562995667592E-2</v>
      </c>
      <c r="N112" s="106">
        <f>-$N$6*(Sheet1!CF112-Sheet1!CF111)*7.48/1000000</f>
        <v>6.2052345394623676E-2</v>
      </c>
      <c r="O112" s="106">
        <f t="shared" si="20"/>
        <v>-0.57246013054959721</v>
      </c>
      <c r="P112" s="106">
        <f>O112+Calculation!EI112</f>
        <v>-0.83906013054959727</v>
      </c>
      <c r="Q112" s="101" t="str">
        <f>IF(Sheet1!BQ112&gt;21.75,"spill elevation","-")</f>
        <v>-</v>
      </c>
      <c r="R112" s="101" t="str">
        <f>IF(Sheet1!BR112&gt;21.75,"spill elevation","-")</f>
        <v>-</v>
      </c>
      <c r="S112" s="101" t="str">
        <f>IF(Sheet1!BS112&gt;21.75,"spill elevation","-")</f>
        <v>-</v>
      </c>
      <c r="T112" s="105">
        <f>IF(Sheet1!DQ112=1,Sheet1!AA112-(SUM(AT112:BA112)+BE112),Sheet1!AA112-SUM(AT112:BA112))</f>
        <v>27.255616000005819</v>
      </c>
      <c r="U112" s="105">
        <f>Sheet1!BU112</f>
        <v>26</v>
      </c>
      <c r="V112" s="105">
        <f t="shared" si="21"/>
        <v>1.2556160000058192</v>
      </c>
      <c r="W112" s="105">
        <f t="shared" si="22"/>
        <v>0</v>
      </c>
      <c r="X112" s="101">
        <f>IF((Sheet1!EX112-Sheet1!EX111)&lt;0,(Sheet1!EX112+100000-Sheet1!EX111)/1000,(Sheet1!EX112-Sheet1!EX111)/1000)</f>
        <v>0.75</v>
      </c>
      <c r="Y112" s="106">
        <f>Calculation!DZ113+Calculation!EI112+'Calculations II'!O112-'Calculations II'!W112</f>
        <v>44.160939869450409</v>
      </c>
      <c r="Z112" s="106">
        <f>Y112-Sheet1!CP113</f>
        <v>29.670939869450407</v>
      </c>
      <c r="AA112" s="106">
        <f>Y112+Calculation!CZ113+Calculation!AI113</f>
        <v>44.160939869450409</v>
      </c>
      <c r="AC112" s="106">
        <f>Sheet1!AA112+Sheet1!AB112+BC112</f>
        <v>46.084112000004367</v>
      </c>
      <c r="AD112" s="106">
        <f>Sheet1!AA112+Sheet1!BN112+'Calculations II'!BC112-Calculation!AI112-Calculation!CZ112</f>
        <v>46.434112000005825</v>
      </c>
      <c r="AE112" s="106">
        <f>Sheet1!AA112+Sheet1!AB112+'Calculations II'!BC112-Calculation!AI112-Calculation!CZ112</f>
        <v>46.084112000004367</v>
      </c>
      <c r="AF112" s="106">
        <f>Sheet1!AA112+Sheet1!BN112+P112+'Calculations II'!BC112+Calculation!AI112+Calculation!CZ112</f>
        <v>45.595051869456228</v>
      </c>
      <c r="AG112" s="106">
        <f>Sheet1!AA112+Sheet1!BN112+'Calculations II'!BC112+'Calculations II'!P112-Sheet1!CP112-BP112</f>
        <v>29.225051869456227</v>
      </c>
      <c r="AH112" s="106">
        <f>Sheet1!AA112+Sheet1!BN112+'Calculations II'!BC112+'Calculations II'!P112-BP112</f>
        <v>45.595051869456228</v>
      </c>
      <c r="AI112" s="106">
        <f>BC112+Sheet1!AA112+Calculation!EI112+O112+W112+Sheet1!BN112+Calculation!AI112+Calculation!CZ112-BP112</f>
        <v>45.595051869456228</v>
      </c>
      <c r="AJ112" s="106"/>
      <c r="AM112" s="102">
        <f t="shared" si="23"/>
        <v>40641</v>
      </c>
      <c r="AN112" s="106"/>
      <c r="AO112" s="106"/>
      <c r="AR112" s="106"/>
      <c r="AT112" s="101">
        <f>Sheet1!AR112*GPMtoMGD</f>
        <v>0</v>
      </c>
      <c r="AU112" s="101">
        <f>Sheet1!AS112*GPMtoMGD</f>
        <v>2.6495999999999999E-2</v>
      </c>
      <c r="AV112" s="101">
        <f>Sheet1!AT112*GPMtoMGD</f>
        <v>0</v>
      </c>
      <c r="AW112" s="101">
        <f>Sheet1!AV112*GPMtoMGD</f>
        <v>0</v>
      </c>
      <c r="AX112" s="101">
        <f>Sheet1!AW112*GPMtoMGD</f>
        <v>1.3178880000000002</v>
      </c>
      <c r="AY112" s="101">
        <f>Sheet1!AX112*GPMtoMGD</f>
        <v>0</v>
      </c>
      <c r="AZ112" s="101">
        <f>Sheet1!AY112*GPMtoMGD</f>
        <v>0</v>
      </c>
      <c r="BA112" s="101">
        <f>Sheet1!AZ112*GPMtoMGD</f>
        <v>0</v>
      </c>
      <c r="BB112" s="101">
        <f>Sheet1!BP112*GPMtoMGD</f>
        <v>0</v>
      </c>
      <c r="BC112" s="101">
        <f>Sheet1!CO112*GPMtoMGD</f>
        <v>1.634112</v>
      </c>
      <c r="BD112" s="101">
        <f>Sheet1!BO112*GPMtoMGD</f>
        <v>1.5562080000000003</v>
      </c>
      <c r="BE112" s="101">
        <f>Sheet1!BV112*GPMtoMGD</f>
        <v>1.0451520000000001</v>
      </c>
      <c r="BF112" s="101">
        <f>Sheet1!CJ112*GPMtoMGD</f>
        <v>0.54460799999999998</v>
      </c>
      <c r="BG112" s="101">
        <f>Sheet1!CK112*GPMtoMGD</f>
        <v>0.56318400000000002</v>
      </c>
      <c r="BH112" s="101">
        <f>Sheet1!CL112*GPMtoMGD</f>
        <v>0.75067200000000001</v>
      </c>
      <c r="BI112" s="101">
        <f t="shared" si="24"/>
        <v>1.5562080000000003</v>
      </c>
      <c r="BK112" s="106">
        <f>SUM(AT112:BA112,BE112,Sheet1!BU112,'Calculations II'!BC112,Calculation!AG112)</f>
        <v>45.873647999998546</v>
      </c>
      <c r="BM112" s="439">
        <f>IF(AND(Sheet1!BQ112&lt;=11.5,Sheet1!BQ111&gt;Sheet1!BQ112),(MIN(Lookup!$C$119,VLOOKUP(Sheet1!BQ111,Lookup!$B$4:$J$236,2))-VLOOKUP(Sheet1!BQ112,Lookup!$B$4:$J$236,2))/1000000,0)</f>
        <v>0</v>
      </c>
      <c r="BN112" s="439">
        <f>IF(AND(Sheet1!BR112&lt;=11.5,Sheet1!BR111&gt;Sheet1!BR112),(MIN(Lookup!$D$119,VLOOKUP(Sheet1!BR111,Lookup!$B$4:$J$236,3))-VLOOKUP(Sheet1!BR112,Lookup!$B$4:$J$236,3))/1000000,0)</f>
        <v>0</v>
      </c>
      <c r="BP112" s="105">
        <f>SUM(BM112:BN112,W112,Sheet1!DT112)</f>
        <v>0</v>
      </c>
    </row>
    <row r="113" spans="1:68" s="101" customFormat="1">
      <c r="A113" s="101" t="s">
        <v>8</v>
      </c>
      <c r="B113" s="103">
        <v>40642</v>
      </c>
      <c r="C113" s="104">
        <v>0.33333333333357601</v>
      </c>
      <c r="E113" s="30"/>
      <c r="F113" s="30">
        <f>-(VLOOKUP(Sheet1!BZ113,Lookup!$I$4:$J$216,2)-VLOOKUP(Sheet1!BZ112,Lookup!$I$4:$J$216,2))/1000000</f>
        <v>-0.10363693854780495</v>
      </c>
      <c r="G113" s="106">
        <f>-$G$6*(Sheet1!CB113-Sheet1!CB112)*7.48/1000000</f>
        <v>0.12708320336818987</v>
      </c>
      <c r="H113" s="106">
        <f>-$H$6*(Sheet1!CA113-Sheet1!CA112)*7.48/1000000</f>
        <v>4.5118297053795817E-2</v>
      </c>
      <c r="I113" s="106">
        <f>-$I$6*(Sheet1!CC113-Sheet1!CC112)*7.48/1000000</f>
        <v>4.4978771070067619E-2</v>
      </c>
      <c r="J113" s="107" t="s">
        <v>193</v>
      </c>
      <c r="K113" s="106">
        <f>-$I$6*(Sheet1!CD113-Sheet1!CD112)*7.48/1000000</f>
        <v>5.3974525284080956E-2</v>
      </c>
      <c r="L113" s="107" t="s">
        <v>193</v>
      </c>
      <c r="M113" s="106">
        <f>-$M$6*(Sheet1!CE113-Sheet1!CE112)*7.48/1000000</f>
        <v>1.3992972786362785E-2</v>
      </c>
      <c r="N113" s="106">
        <f>-$N$6*(Sheet1!CF113-Sheet1!CF112)*7.48/1000000</f>
        <v>-5.5847110855161426E-2</v>
      </c>
      <c r="O113" s="106">
        <f t="shared" si="20"/>
        <v>0.12566372015953067</v>
      </c>
      <c r="P113" s="106">
        <f>O113+Calculation!EI113</f>
        <v>1.1930637201595309</v>
      </c>
      <c r="Q113" s="101" t="str">
        <f>IF(Sheet1!BQ113&gt;21.75,"spill elevation","-")</f>
        <v>-</v>
      </c>
      <c r="R113" s="101" t="str">
        <f>IF(Sheet1!BR113&gt;21.75,"spill elevation","-")</f>
        <v>-</v>
      </c>
      <c r="S113" s="101" t="str">
        <f>IF(Sheet1!BS113&gt;21.75,"spill elevation","-")</f>
        <v>-</v>
      </c>
      <c r="T113" s="105">
        <f>IF(Sheet1!DQ113=1,Sheet1!AA113-(SUM(AT113:BA113)+BE113),Sheet1!AA113-SUM(AT113:BA113))</f>
        <v>27.211952</v>
      </c>
      <c r="U113" s="105">
        <f>Sheet1!BU113</f>
        <v>26.9</v>
      </c>
      <c r="V113" s="105">
        <f t="shared" si="21"/>
        <v>0.31195200000000156</v>
      </c>
      <c r="W113" s="105">
        <f t="shared" si="22"/>
        <v>0</v>
      </c>
      <c r="X113" s="101">
        <f>IF((Sheet1!EX113-Sheet1!EX112)&lt;0,(Sheet1!EX113+100000-Sheet1!EX112)/1000,(Sheet1!EX113-Sheet1!EX112)/1000)</f>
        <v>0.77800000000000002</v>
      </c>
      <c r="Y113" s="106">
        <f>Calculation!DZ114+Calculation!EI113+'Calculations II'!O113-'Calculations II'!W113</f>
        <v>46.193063720159529</v>
      </c>
      <c r="Z113" s="106">
        <f>Y113-Sheet1!CP114</f>
        <v>30.203063720159527</v>
      </c>
      <c r="AA113" s="106">
        <f>Y113+Calculation!CZ114+Calculation!AI114</f>
        <v>46.193063720159529</v>
      </c>
      <c r="AC113" s="106">
        <f>Sheet1!AA113+Sheet1!AB113+BC113</f>
        <v>45</v>
      </c>
      <c r="AD113" s="106">
        <f>Sheet1!AA113+Sheet1!BN113+'Calculations II'!BC113-Calculation!AI113-Calculation!CZ113</f>
        <v>45</v>
      </c>
      <c r="AE113" s="106">
        <f>Sheet1!AA113+Sheet1!AB113+'Calculations II'!BC113-Calculation!AI113-Calculation!CZ113</f>
        <v>45</v>
      </c>
      <c r="AF113" s="106">
        <f>Sheet1!AA113+Sheet1!BN113+P113+'Calculations II'!BC113+Calculation!AI113+Calculation!CZ113</f>
        <v>46.193063720159529</v>
      </c>
      <c r="AG113" s="106">
        <f>Sheet1!AA113+Sheet1!BN113+'Calculations II'!BC113+'Calculations II'!P113-Sheet1!CP113-BP113</f>
        <v>31.703063720159527</v>
      </c>
      <c r="AH113" s="106">
        <f>Sheet1!AA113+Sheet1!BN113+'Calculations II'!BC113+'Calculations II'!P113-BP113</f>
        <v>46.193063720159529</v>
      </c>
      <c r="AI113" s="106">
        <f>BC113+Sheet1!AA113+Calculation!EI113+O113+W113+Sheet1!BN113+Calculation!AI113+Calculation!CZ113-BP113</f>
        <v>46.193063720159529</v>
      </c>
      <c r="AJ113" s="106"/>
      <c r="AM113" s="102">
        <f t="shared" si="23"/>
        <v>40642</v>
      </c>
      <c r="AN113" s="106"/>
      <c r="AO113" s="106"/>
      <c r="AR113" s="106"/>
      <c r="AT113" s="101">
        <f>Sheet1!AR113*GPMtoMGD</f>
        <v>0</v>
      </c>
      <c r="AU113" s="101">
        <f>Sheet1!AS113*GPMtoMGD</f>
        <v>2.7216000000000001E-2</v>
      </c>
      <c r="AV113" s="101">
        <f>Sheet1!AT113*GPMtoMGD</f>
        <v>0</v>
      </c>
      <c r="AW113" s="101">
        <f>Sheet1!AV113*GPMtoMGD</f>
        <v>0.20649600000000001</v>
      </c>
      <c r="AX113" s="101">
        <f>Sheet1!AW113*GPMtoMGD</f>
        <v>1.5543360000000002</v>
      </c>
      <c r="AY113" s="101">
        <f>Sheet1!AX113*GPMtoMGD</f>
        <v>0</v>
      </c>
      <c r="AZ113" s="101">
        <f>Sheet1!AY113*GPMtoMGD</f>
        <v>0</v>
      </c>
      <c r="BA113" s="101">
        <f>Sheet1!AZ113*GPMtoMGD</f>
        <v>0</v>
      </c>
      <c r="BB113" s="101">
        <f>Sheet1!BP113*GPMtoMGD</f>
        <v>0</v>
      </c>
      <c r="BC113" s="101">
        <f>Sheet1!CO113*GPMtoMGD</f>
        <v>0</v>
      </c>
      <c r="BD113" s="101">
        <f>Sheet1!BO113*GPMtoMGD</f>
        <v>1.9257120000000001</v>
      </c>
      <c r="BE113" s="101">
        <f>Sheet1!BV113*GPMtoMGD</f>
        <v>0.66239999999999999</v>
      </c>
      <c r="BF113" s="101">
        <f>Sheet1!CJ113*GPMtoMGD</f>
        <v>0.65736000000000006</v>
      </c>
      <c r="BG113" s="101">
        <f>Sheet1!CK113*GPMtoMGD</f>
        <v>0.59385600000000005</v>
      </c>
      <c r="BH113" s="101">
        <f>Sheet1!CL113*GPMtoMGD</f>
        <v>0.69710400000000006</v>
      </c>
      <c r="BI113" s="101">
        <f t="shared" si="24"/>
        <v>1.9257120000000001</v>
      </c>
      <c r="BK113" s="106">
        <f>SUM(AT113:BA113,BE113,Sheet1!BU113,'Calculations II'!BC113,Calculation!AG113)</f>
        <v>45.350448</v>
      </c>
      <c r="BM113" s="439">
        <f>IF(AND(Sheet1!BQ113&lt;=11.5,Sheet1!BQ112&gt;Sheet1!BQ113),(MIN(Lookup!$C$119,VLOOKUP(Sheet1!BQ112,Lookup!$B$4:$J$236,2))-VLOOKUP(Sheet1!BQ113,Lookup!$B$4:$J$236,2))/1000000,0)</f>
        <v>0</v>
      </c>
      <c r="BN113" s="439">
        <f>IF(AND(Sheet1!BR113&lt;=11.5,Sheet1!BR112&gt;Sheet1!BR113),(MIN(Lookup!$D$119,VLOOKUP(Sheet1!BR112,Lookup!$B$4:$J$236,3))-VLOOKUP(Sheet1!BR113,Lookup!$B$4:$J$236,3))/1000000,0)</f>
        <v>0</v>
      </c>
      <c r="BP113" s="105">
        <f>SUM(BM113:BN113,W113,Sheet1!DT113)</f>
        <v>0</v>
      </c>
    </row>
    <row r="114" spans="1:68" s="101" customFormat="1">
      <c r="A114" s="101" t="s">
        <v>9</v>
      </c>
      <c r="B114" s="103">
        <v>40643</v>
      </c>
      <c r="C114" s="104">
        <v>0.33333333333357601</v>
      </c>
      <c r="E114" s="30"/>
      <c r="F114" s="30">
        <f>-(VLOOKUP(Sheet1!BZ114,Lookup!$I$4:$J$216,2)-VLOOKUP(Sheet1!BZ113,Lookup!$I$4:$J$216,2))/1000000</f>
        <v>-0.10363693854779936</v>
      </c>
      <c r="G114" s="106">
        <f>-$G$6*(Sheet1!CB114-Sheet1!CB113)*7.48/1000000</f>
        <v>7.1484301894606611E-2</v>
      </c>
      <c r="H114" s="106">
        <f>-$H$6*(Sheet1!CA114-Sheet1!CA113)*7.48/1000000</f>
        <v>0.46622240288921701</v>
      </c>
      <c r="I114" s="106">
        <f>-$I$6*(Sheet1!CC114-Sheet1!CC113)*7.48/1000000</f>
        <v>-8.9957542140133313E-3</v>
      </c>
      <c r="J114" s="107" t="s">
        <v>193</v>
      </c>
      <c r="K114" s="106">
        <f>-$I$6*(Sheet1!CD114-Sheet1!CD113)*7.48/1000000</f>
        <v>-1.7991508428026985E-2</v>
      </c>
      <c r="L114" s="107" t="s">
        <v>193</v>
      </c>
      <c r="M114" s="106">
        <f>-$M$6*(Sheet1!CE114-Sheet1!CE113)*7.48/1000000</f>
        <v>-6.6633203744594831E-4</v>
      </c>
      <c r="N114" s="106">
        <f>-$N$6*(Sheet1!CF114-Sheet1!CF113)*7.48/1000000</f>
        <v>0.17995180164440877</v>
      </c>
      <c r="O114" s="106">
        <f t="shared" si="20"/>
        <v>0.5863679732009468</v>
      </c>
      <c r="P114" s="106">
        <f>O114+Calculation!EI114</f>
        <v>0.3192679732009468</v>
      </c>
      <c r="Q114" s="101" t="str">
        <f>IF(Sheet1!BQ114&gt;21.75,"spill elevation","-")</f>
        <v>-</v>
      </c>
      <c r="R114" s="101" t="str">
        <f>IF(Sheet1!BR114&gt;21.75,"spill elevation","-")</f>
        <v>-</v>
      </c>
      <c r="S114" s="101" t="str">
        <f>IF(Sheet1!BS114&gt;21.75,"spill elevation","-")</f>
        <v>-</v>
      </c>
      <c r="T114" s="105">
        <f>IF(Sheet1!DQ114=1,Sheet1!AA114-(SUM(AT114:BA114)+BE114),Sheet1!AA114-SUM(AT114:BA114))</f>
        <v>26.418303999999999</v>
      </c>
      <c r="U114" s="105">
        <f>Sheet1!BU114</f>
        <v>25.7</v>
      </c>
      <c r="V114" s="105">
        <f t="shared" si="21"/>
        <v>0.71830399999999983</v>
      </c>
      <c r="W114" s="105">
        <f t="shared" si="22"/>
        <v>0</v>
      </c>
      <c r="X114" s="101">
        <f>IF((Sheet1!EX114-Sheet1!EX113)&lt;0,(Sheet1!EX114+100000-Sheet1!EX113)/1000,(Sheet1!EX114-Sheet1!EX113)/1000)</f>
        <v>0.72499999999999998</v>
      </c>
      <c r="Y114" s="106">
        <f>Calculation!DZ115+Calculation!EI114+'Calculations II'!O114-'Calculations II'!W114</f>
        <v>46.729267973197167</v>
      </c>
      <c r="Z114" s="106">
        <f>Y114-Sheet1!CP115</f>
        <v>30.799267973197168</v>
      </c>
      <c r="AA114" s="106">
        <f>Y114+Calculation!CZ115+Calculation!AI115</f>
        <v>46.729267973197167</v>
      </c>
      <c r="AC114" s="106">
        <f>Sheet1!AA114+Sheet1!AB114+BC114</f>
        <v>45</v>
      </c>
      <c r="AD114" s="106">
        <f>Sheet1!AA114+Sheet1!BN114+'Calculations II'!BC114-Calculation!AI114-Calculation!CZ114</f>
        <v>44</v>
      </c>
      <c r="AE114" s="106">
        <f>Sheet1!AA114+Sheet1!AB114+'Calculations II'!BC114-Calculation!AI114-Calculation!CZ114</f>
        <v>45</v>
      </c>
      <c r="AF114" s="106">
        <f>Sheet1!AA114+Sheet1!BN114+P114+'Calculations II'!BC114+Calculation!AI114+Calculation!CZ114</f>
        <v>44.319267973200944</v>
      </c>
      <c r="AG114" s="106">
        <f>Sheet1!AA114+Sheet1!BN114+'Calculations II'!BC114+'Calculations II'!P114-Sheet1!CP114-BP114</f>
        <v>28.329267973200942</v>
      </c>
      <c r="AH114" s="106">
        <f>Sheet1!AA114+Sheet1!BN114+'Calculations II'!BC114+'Calculations II'!P114-BP114</f>
        <v>44.319267973200944</v>
      </c>
      <c r="AI114" s="106">
        <f>BC114+Sheet1!AA114+Calculation!EI114+O114+W114+Sheet1!BN114+Calculation!AI114+Calculation!CZ114-BP114</f>
        <v>44.319267973200951</v>
      </c>
      <c r="AJ114" s="106"/>
      <c r="AM114" s="102">
        <f t="shared" si="23"/>
        <v>40643</v>
      </c>
      <c r="AN114" s="106"/>
      <c r="AO114" s="106"/>
      <c r="AR114" s="106"/>
      <c r="AT114" s="101">
        <f>Sheet1!AR114*GPMtoMGD</f>
        <v>0</v>
      </c>
      <c r="AU114" s="101">
        <f>Sheet1!AS114*GPMtoMGD</f>
        <v>4.9680000000000002E-2</v>
      </c>
      <c r="AV114" s="101">
        <f>Sheet1!AT114*GPMtoMGD</f>
        <v>0</v>
      </c>
      <c r="AW114" s="101">
        <f>Sheet1!AV114*GPMtoMGD</f>
        <v>0.76435200000000003</v>
      </c>
      <c r="AX114" s="101">
        <f>Sheet1!AW114*GPMtoMGD</f>
        <v>0.76766400000000012</v>
      </c>
      <c r="AY114" s="101">
        <f>Sheet1!AX114*GPMtoMGD</f>
        <v>0</v>
      </c>
      <c r="AZ114" s="101">
        <f>Sheet1!AY114*GPMtoMGD</f>
        <v>0</v>
      </c>
      <c r="BA114" s="101">
        <f>Sheet1!AZ114*GPMtoMGD</f>
        <v>0</v>
      </c>
      <c r="BB114" s="101">
        <f>Sheet1!BP114*GPMtoMGD</f>
        <v>0</v>
      </c>
      <c r="BC114" s="101">
        <f>Sheet1!CO114*GPMtoMGD</f>
        <v>0</v>
      </c>
      <c r="BD114" s="101">
        <f>Sheet1!BO114*GPMtoMGD</f>
        <v>1.969344</v>
      </c>
      <c r="BE114" s="101">
        <f>Sheet1!BV114*GPMtoMGD</f>
        <v>0.64584000000000008</v>
      </c>
      <c r="BF114" s="101">
        <f>Sheet1!CJ114*GPMtoMGD</f>
        <v>0.6179616</v>
      </c>
      <c r="BG114" s="101">
        <f>Sheet1!CK114*GPMtoMGD</f>
        <v>0.60566400000000009</v>
      </c>
      <c r="BH114" s="101">
        <f>Sheet1!CL114*GPMtoMGD</f>
        <v>0.72979200000000011</v>
      </c>
      <c r="BI114" s="101">
        <f t="shared" si="24"/>
        <v>1.969344</v>
      </c>
      <c r="BK114" s="106">
        <f>SUM(AT114:BA114,BE114,Sheet1!BU114,'Calculations II'!BC114,Calculation!AG114)</f>
        <v>44.927536000000003</v>
      </c>
      <c r="BM114" s="439">
        <f>IF(AND(Sheet1!BQ114&lt;=11.5,Sheet1!BQ113&gt;Sheet1!BQ114),(MIN(Lookup!$C$119,VLOOKUP(Sheet1!BQ113,Lookup!$B$4:$J$236,2))-VLOOKUP(Sheet1!BQ114,Lookup!$B$4:$J$236,2))/1000000,0)</f>
        <v>0</v>
      </c>
      <c r="BN114" s="439">
        <f>IF(AND(Sheet1!BR114&lt;=11.5,Sheet1!BR113&gt;Sheet1!BR114),(MIN(Lookup!$D$119,VLOOKUP(Sheet1!BR113,Lookup!$B$4:$J$236,3))-VLOOKUP(Sheet1!BR114,Lookup!$B$4:$J$236,3))/1000000,0)</f>
        <v>0</v>
      </c>
      <c r="BP114" s="105">
        <f>SUM(BM114:BN114,W114,Sheet1!DT114)</f>
        <v>0</v>
      </c>
    </row>
    <row r="115" spans="1:68" s="101" customFormat="1">
      <c r="A115" s="101" t="s">
        <v>3</v>
      </c>
      <c r="B115" s="103">
        <v>40644</v>
      </c>
      <c r="C115" s="104">
        <v>0.33333333333357601</v>
      </c>
      <c r="E115" s="30"/>
      <c r="F115" s="30">
        <f>-(VLOOKUP(Sheet1!BZ115,Lookup!$I$4:$J$216,2)-VLOOKUP(Sheet1!BZ114,Lookup!$I$4:$J$216,2))/1000000</f>
        <v>0.31091081564340367</v>
      </c>
      <c r="G115" s="106">
        <f>-$G$6*(Sheet1!CB115-Sheet1!CB114)*7.48/1000000</f>
        <v>-0.64733006715671615</v>
      </c>
      <c r="H115" s="106">
        <f>-$H$6*(Sheet1!CA115-Sheet1!CA114)*7.48/1000000</f>
        <v>6.0157729405060027E-2</v>
      </c>
      <c r="I115" s="106">
        <f>-$I$6*(Sheet1!CC115-Sheet1!CC114)*7.48/1000000</f>
        <v>2.6987262642040318E-2</v>
      </c>
      <c r="J115" s="107" t="s">
        <v>193</v>
      </c>
      <c r="K115" s="106">
        <f>-$I$6*(Sheet1!CD115-Sheet1!CD114)*7.48/1000000</f>
        <v>3.778216769885695E-2</v>
      </c>
      <c r="L115" s="107" t="s">
        <v>193</v>
      </c>
      <c r="M115" s="106">
        <f>-$M$6*(Sheet1!CE115-Sheet1!CE114)*7.48/1000000</f>
        <v>9.3286485242418567E-3</v>
      </c>
      <c r="N115" s="106">
        <f>-$N$6*(Sheet1!CF115-Sheet1!CF114)*7.48/1000000</f>
        <v>0.14892562894709749</v>
      </c>
      <c r="O115" s="106">
        <f t="shared" si="20"/>
        <v>-5.3237814296015817E-2</v>
      </c>
      <c r="P115" s="106">
        <f>O115+Calculation!EI115</f>
        <v>0.48056218570398423</v>
      </c>
      <c r="Q115" s="101" t="str">
        <f>IF(Sheet1!BQ115&gt;21.75,"spill elevation","-")</f>
        <v>-</v>
      </c>
      <c r="R115" s="101" t="str">
        <f>IF(Sheet1!BR115&gt;21.75,"spill elevation","-")</f>
        <v>-</v>
      </c>
      <c r="S115" s="101" t="str">
        <f>IF(Sheet1!BS115&gt;21.75,"spill elevation","-")</f>
        <v>-</v>
      </c>
      <c r="T115" s="105">
        <f>IF(Sheet1!DQ115=1,Sheet1!AA115-(SUM(AT115:BA115)+BE115),Sheet1!AA115-SUM(AT115:BA115))</f>
        <v>28.306895999994179</v>
      </c>
      <c r="U115" s="105">
        <f>Sheet1!BU115</f>
        <v>26.8</v>
      </c>
      <c r="V115" s="105">
        <f t="shared" si="21"/>
        <v>1.5068959999941782</v>
      </c>
      <c r="W115" s="105">
        <f t="shared" si="22"/>
        <v>0</v>
      </c>
      <c r="X115" s="101">
        <f>IF((Sheet1!EX115-Sheet1!EX114)&lt;0,(Sheet1!EX115+100000-Sheet1!EX114)/1000,(Sheet1!EX115-Sheet1!EX114)/1000)</f>
        <v>0.68899999999999995</v>
      </c>
      <c r="Y115" s="106">
        <f>Calculation!DZ116+Calculation!EI115+'Calculations II'!O115-'Calculations II'!W115</f>
        <v>46.920562185706309</v>
      </c>
      <c r="Z115" s="106">
        <f>Y115-Sheet1!CP116</f>
        <v>31.65056218570631</v>
      </c>
      <c r="AA115" s="106">
        <f>Y115+Calculation!CZ116+Calculation!AI116</f>
        <v>46.920562185706309</v>
      </c>
      <c r="AC115" s="106">
        <f>Sheet1!AA115+Sheet1!AB115+BC115</f>
        <v>46.409999999996217</v>
      </c>
      <c r="AD115" s="106">
        <f>Sheet1!AA115+Sheet1!BN115+'Calculations II'!BC115-Calculation!AI115-Calculation!CZ115</f>
        <v>46.099999999994182</v>
      </c>
      <c r="AE115" s="106">
        <f>Sheet1!AA115+Sheet1!AB115+'Calculations II'!BC115-Calculation!AI115-Calculation!CZ115</f>
        <v>46.409999999996217</v>
      </c>
      <c r="AF115" s="106">
        <f>Sheet1!AA115+Sheet1!BN115+P115+'Calculations II'!BC115+Calculation!AI115+Calculation!CZ115</f>
        <v>46.580562185698163</v>
      </c>
      <c r="AG115" s="106">
        <f>Sheet1!AA115+Sheet1!BN115+'Calculations II'!BC115+'Calculations II'!P115-Sheet1!CP115-BP115</f>
        <v>30.650562185698163</v>
      </c>
      <c r="AH115" s="106">
        <f>Sheet1!AA115+Sheet1!BN115+'Calculations II'!BC115+'Calculations II'!P115-BP115</f>
        <v>46.580562185698163</v>
      </c>
      <c r="AI115" s="106">
        <f>BC115+Sheet1!AA115+Calculation!EI115+O115+W115+Sheet1!BN115+Calculation!AI115+Calculation!CZ115-BP115</f>
        <v>46.580562185698163</v>
      </c>
      <c r="AJ115" s="106"/>
      <c r="AM115" s="102">
        <f t="shared" si="23"/>
        <v>40644</v>
      </c>
      <c r="AN115" s="106"/>
      <c r="AO115" s="106"/>
      <c r="AR115" s="106"/>
      <c r="AT115" s="101">
        <f>Sheet1!AR115*GPMtoMGD</f>
        <v>0</v>
      </c>
      <c r="AU115" s="101">
        <f>Sheet1!AS115*GPMtoMGD</f>
        <v>2.8368000000000001E-2</v>
      </c>
      <c r="AV115" s="101">
        <f>Sheet1!AT115*GPMtoMGD</f>
        <v>0</v>
      </c>
      <c r="AW115" s="101">
        <f>Sheet1!AV115*GPMtoMGD</f>
        <v>0.53870400000000007</v>
      </c>
      <c r="AX115" s="101">
        <f>Sheet1!AW115*GPMtoMGD</f>
        <v>0.52603200000000006</v>
      </c>
      <c r="AY115" s="101">
        <f>Sheet1!AX115*GPMtoMGD</f>
        <v>0</v>
      </c>
      <c r="AZ115" s="101">
        <f>Sheet1!AY115*GPMtoMGD</f>
        <v>0</v>
      </c>
      <c r="BA115" s="101">
        <f>Sheet1!AZ115*GPMtoMGD</f>
        <v>0</v>
      </c>
      <c r="BB115" s="101">
        <f>Sheet1!BP115*GPMtoMGD</f>
        <v>0</v>
      </c>
      <c r="BC115" s="101">
        <f>Sheet1!CO115*GPMtoMGD</f>
        <v>0</v>
      </c>
      <c r="BD115" s="101">
        <f>Sheet1!BO115*GPMtoMGD</f>
        <v>1.5999840000000001</v>
      </c>
      <c r="BE115" s="101">
        <f>Sheet1!BV115*GPMtoMGD</f>
        <v>0.89380800000000016</v>
      </c>
      <c r="BF115" s="101">
        <f>Sheet1!CJ115*GPMtoMGD</f>
        <v>0.46468799999999999</v>
      </c>
      <c r="BG115" s="101">
        <f>Sheet1!CK115*GPMtoMGD</f>
        <v>0.57916800000000002</v>
      </c>
      <c r="BH115" s="101">
        <f>Sheet1!CL115*GPMtoMGD</f>
        <v>0.75225600000000004</v>
      </c>
      <c r="BI115" s="101">
        <f t="shared" si="24"/>
        <v>1.5999840000000001</v>
      </c>
      <c r="BK115" s="106">
        <f>SUM(AT115:BA115,BE115,Sheet1!BU115,'Calculations II'!BC115,Calculation!AG115)</f>
        <v>45.796912000002038</v>
      </c>
      <c r="BM115" s="439">
        <f>IF(AND(Sheet1!BQ115&lt;=11.5,Sheet1!BQ114&gt;Sheet1!BQ115),(MIN(Lookup!$C$119,VLOOKUP(Sheet1!BQ114,Lookup!$B$4:$J$236,2))-VLOOKUP(Sheet1!BQ115,Lookup!$B$4:$J$236,2))/1000000,0)</f>
        <v>0</v>
      </c>
      <c r="BN115" s="439">
        <f>IF(AND(Sheet1!BR115&lt;=11.5,Sheet1!BR114&gt;Sheet1!BR115),(MIN(Lookup!$D$119,VLOOKUP(Sheet1!BR114,Lookup!$B$4:$J$236,3))-VLOOKUP(Sheet1!BR115,Lookup!$B$4:$J$236,3))/1000000,0)</f>
        <v>0</v>
      </c>
      <c r="BP115" s="105">
        <f>SUM(BM115:BN115,W115,Sheet1!DT115)</f>
        <v>0</v>
      </c>
    </row>
    <row r="116" spans="1:68" s="101" customFormat="1">
      <c r="A116" s="101" t="s">
        <v>4</v>
      </c>
      <c r="B116" s="103">
        <v>40645</v>
      </c>
      <c r="C116" s="104">
        <v>0.33333333333357601</v>
      </c>
      <c r="E116" s="30"/>
      <c r="F116" s="30">
        <f>-(VLOOKUP(Sheet1!BZ116,Lookup!$I$4:$J$216,2)-VLOOKUP(Sheet1!BZ115,Lookup!$I$4:$J$216,2))/1000000</f>
        <v>0</v>
      </c>
      <c r="G116" s="106">
        <f>-$G$6*(Sheet1!CB116-Sheet1!CB115)*7.48/1000000</f>
        <v>0.26608045705214722</v>
      </c>
      <c r="H116" s="106">
        <f>-$H$6*(Sheet1!CA116-Sheet1!CA115)*7.48/1000000</f>
        <v>-9.0236594107590579E-2</v>
      </c>
      <c r="I116" s="106">
        <f>-$I$6*(Sheet1!CC116-Sheet1!CC115)*7.48/1000000</f>
        <v>1.4393206742421649E-2</v>
      </c>
      <c r="J116" s="107" t="s">
        <v>193</v>
      </c>
      <c r="K116" s="106">
        <f>-$I$6*(Sheet1!CD116-Sheet1!CD115)*7.48/1000000</f>
        <v>1.6192357585224318E-2</v>
      </c>
      <c r="L116" s="107" t="s">
        <v>193</v>
      </c>
      <c r="M116" s="106">
        <f>-$M$6*(Sheet1!CE116-Sheet1!CE115)*7.48/1000000</f>
        <v>2.6653281497833205E-3</v>
      </c>
      <c r="N116" s="106">
        <f>-$N$6*(Sheet1!CF116-Sheet1!CF115)*7.48/1000000</f>
        <v>-4.9641876315699163E-2</v>
      </c>
      <c r="O116" s="106">
        <f t="shared" si="20"/>
        <v>0.15945287910628675</v>
      </c>
      <c r="P116" s="106">
        <f>O116+Calculation!EI116</f>
        <v>-0.3743471208937133</v>
      </c>
      <c r="Q116" s="101" t="str">
        <f>IF(Sheet1!BQ116&gt;21.75,"spill elevation","-")</f>
        <v>-</v>
      </c>
      <c r="R116" s="101" t="str">
        <f>IF(Sheet1!BR116&gt;21.75,"spill elevation","-")</f>
        <v>-</v>
      </c>
      <c r="S116" s="101" t="str">
        <f>IF(Sheet1!BS116&gt;21.75,"spill elevation","-")</f>
        <v>-</v>
      </c>
      <c r="T116" s="105">
        <f>IF(Sheet1!DQ116=1,Sheet1!AA116-(SUM(AT116:BA116)+BE116),Sheet1!AA116-SUM(AT116:BA116))</f>
        <v>27.54875200000291</v>
      </c>
      <c r="U116" s="105">
        <f>Sheet1!BU116</f>
        <v>25.4</v>
      </c>
      <c r="V116" s="105">
        <f t="shared" si="21"/>
        <v>2.1487520000029114</v>
      </c>
      <c r="W116" s="105">
        <f t="shared" si="22"/>
        <v>0</v>
      </c>
      <c r="X116" s="101">
        <f>IF((Sheet1!EX116-Sheet1!EX115)&lt;0,(Sheet1!EX116+100000-Sheet1!EX115)/1000,(Sheet1!EX116-Sheet1!EX115)/1000)</f>
        <v>0.70299999999999996</v>
      </c>
      <c r="Y116" s="106">
        <f>Calculation!DZ117+Calculation!EI116+'Calculations II'!O116-'Calculations II'!W116</f>
        <v>45.775652879107746</v>
      </c>
      <c r="Z116" s="106">
        <f>Y116-Sheet1!CP117</f>
        <v>31.465652879107743</v>
      </c>
      <c r="AA116" s="106">
        <f>Y116+Calculation!CZ117+Calculation!AI117</f>
        <v>45.784299879107749</v>
      </c>
      <c r="AC116" s="106">
        <f>Sheet1!AA116+Sheet1!AB116+BC116</f>
        <v>46.440000000002328</v>
      </c>
      <c r="AD116" s="106">
        <f>Sheet1!AA116+Sheet1!BN116+'Calculations II'!BC116-Calculation!AI116-Calculation!CZ116</f>
        <v>46.200000000002909</v>
      </c>
      <c r="AE116" s="106">
        <f>Sheet1!AA116+Sheet1!AB116+'Calculations II'!BC116-Calculation!AI116-Calculation!CZ116</f>
        <v>46.440000000002328</v>
      </c>
      <c r="AF116" s="106">
        <f>Sheet1!AA116+Sheet1!BN116+P116+'Calculations II'!BC116+Calculation!AI116+Calculation!CZ116</f>
        <v>45.825652879109192</v>
      </c>
      <c r="AG116" s="106">
        <f>Sheet1!AA116+Sheet1!BN116+'Calculations II'!BC116+'Calculations II'!P116-Sheet1!CP116-BP116</f>
        <v>30.555652879109193</v>
      </c>
      <c r="AH116" s="106">
        <f>Sheet1!AA116+Sheet1!BN116+'Calculations II'!BC116+'Calculations II'!P116-BP116</f>
        <v>45.825652879109192</v>
      </c>
      <c r="AI116" s="106">
        <f>BC116+Sheet1!AA116+Calculation!EI116+O116+W116+Sheet1!BN116+Calculation!AI116+Calculation!CZ116-BP116</f>
        <v>45.825652879109199</v>
      </c>
      <c r="AJ116" s="106"/>
      <c r="AM116" s="102">
        <f t="shared" si="23"/>
        <v>40645</v>
      </c>
      <c r="AN116" s="106"/>
      <c r="AO116" s="106"/>
      <c r="AR116" s="106"/>
      <c r="AT116" s="101">
        <f>Sheet1!AR116*GPMtoMGD</f>
        <v>0</v>
      </c>
      <c r="AU116" s="101">
        <f>Sheet1!AS116*GPMtoMGD</f>
        <v>2.6928000000000001E-2</v>
      </c>
      <c r="AV116" s="101">
        <f>Sheet1!AT116*GPMtoMGD</f>
        <v>0</v>
      </c>
      <c r="AW116" s="101">
        <f>Sheet1!AV116*GPMtoMGD</f>
        <v>0.37080000000000002</v>
      </c>
      <c r="AX116" s="101">
        <f>Sheet1!AW116*GPMtoMGD</f>
        <v>0.35352</v>
      </c>
      <c r="AY116" s="101">
        <f>Sheet1!AX116*GPMtoMGD</f>
        <v>0</v>
      </c>
      <c r="AZ116" s="101">
        <f>Sheet1!AY116*GPMtoMGD</f>
        <v>0</v>
      </c>
      <c r="BA116" s="101">
        <f>Sheet1!AZ116*GPMtoMGD</f>
        <v>0</v>
      </c>
      <c r="BB116" s="101">
        <f>Sheet1!BP116*GPMtoMGD</f>
        <v>0</v>
      </c>
      <c r="BC116" s="101">
        <f>Sheet1!CO116*GPMtoMGD</f>
        <v>0</v>
      </c>
      <c r="BD116" s="101">
        <f>Sheet1!BO116*GPMtoMGD</f>
        <v>2.2893120000000002</v>
      </c>
      <c r="BE116" s="101">
        <f>Sheet1!BV116*GPMtoMGD</f>
        <v>0.62985599999999997</v>
      </c>
      <c r="BF116" s="101">
        <f>Sheet1!CJ116*GPMtoMGD</f>
        <v>0.59688000000000008</v>
      </c>
      <c r="BG116" s="101">
        <f>Sheet1!CK116*GPMtoMGD</f>
        <v>0.56332800000000005</v>
      </c>
      <c r="BH116" s="101">
        <f>Sheet1!CL116*GPMtoMGD</f>
        <v>0.80884800000000012</v>
      </c>
      <c r="BI116" s="101">
        <f t="shared" si="24"/>
        <v>2.2893120000000002</v>
      </c>
      <c r="BK116" s="106">
        <f>SUM(AT116:BA116,BE116,Sheet1!BU116,'Calculations II'!BC116,Calculation!AG116)</f>
        <v>44.921103999999417</v>
      </c>
      <c r="BM116" s="439">
        <f>IF(AND(Sheet1!BQ116&lt;=11.5,Sheet1!BQ115&gt;Sheet1!BQ116),(MIN(Lookup!$C$119,VLOOKUP(Sheet1!BQ115,Lookup!$B$4:$J$236,2))-VLOOKUP(Sheet1!BQ116,Lookup!$B$4:$J$236,2))/1000000,0)</f>
        <v>0</v>
      </c>
      <c r="BN116" s="439">
        <f>IF(AND(Sheet1!BR116&lt;=11.5,Sheet1!BR115&gt;Sheet1!BR116),(MIN(Lookup!$D$119,VLOOKUP(Sheet1!BR115,Lookup!$B$4:$J$236,3))-VLOOKUP(Sheet1!BR116,Lookup!$B$4:$J$236,3))/1000000,0)</f>
        <v>0</v>
      </c>
      <c r="BP116" s="105">
        <f>SUM(BM116:BN116,W116,Sheet1!DT116)</f>
        <v>0</v>
      </c>
    </row>
    <row r="117" spans="1:68" s="101" customFormat="1">
      <c r="A117" s="101" t="s">
        <v>5</v>
      </c>
      <c r="B117" s="103">
        <v>40646</v>
      </c>
      <c r="C117" s="104">
        <v>0.33333333333357601</v>
      </c>
      <c r="E117" s="30"/>
      <c r="F117" s="30">
        <f>-(VLOOKUP(Sheet1!BZ117,Lookup!$I$4:$J$216,2)-VLOOKUP(Sheet1!BZ116,Lookup!$I$4:$J$216,2))/1000000</f>
        <v>-0.31091081564340367</v>
      </c>
      <c r="G117" s="106">
        <f>-$G$6*(Sheet1!CB117-Sheet1!CB116)*7.48/1000000</f>
        <v>0.35345015936777791</v>
      </c>
      <c r="H117" s="106">
        <f>-$H$6*(Sheet1!CA117-Sheet1!CA116)*7.48/1000000</f>
        <v>-0.15039432351265059</v>
      </c>
      <c r="I117" s="106">
        <f>-$I$6*(Sheet1!CC117-Sheet1!CC116)*7.48/1000000</f>
        <v>-9.5354994668543233E-2</v>
      </c>
      <c r="J117" s="107" t="s">
        <v>193</v>
      </c>
      <c r="K117" s="106">
        <f>-$I$6*(Sheet1!CD117-Sheet1!CD116)*7.48/1000000</f>
        <v>-9.7154145511346213E-2</v>
      </c>
      <c r="L117" s="107" t="s">
        <v>193</v>
      </c>
      <c r="M117" s="106">
        <f>-$M$6*(Sheet1!CE117-Sheet1!CE116)*7.48/1000000</f>
        <v>-3.5315597984629819E-2</v>
      </c>
      <c r="N117" s="106">
        <f>-$N$6*(Sheet1!CF117-Sheet1!CF116)*7.48/1000000</f>
        <v>-1.861570361838677E-2</v>
      </c>
      <c r="O117" s="106">
        <f t="shared" si="20"/>
        <v>-0.35429542157118238</v>
      </c>
      <c r="P117" s="106">
        <f>O117+Calculation!EI117</f>
        <v>-3.2893954215711823</v>
      </c>
      <c r="Q117" s="101" t="str">
        <f>IF(Sheet1!BQ117&gt;21.75,"spill elevation","-")</f>
        <v>-</v>
      </c>
      <c r="R117" s="101" t="str">
        <f>IF(Sheet1!BR117&gt;21.75,"spill elevation","-")</f>
        <v>-</v>
      </c>
      <c r="S117" s="101" t="str">
        <f>IF(Sheet1!BS117&gt;21.75,"spill elevation","-")</f>
        <v>-</v>
      </c>
      <c r="T117" s="105">
        <f>IF(Sheet1!DQ117=1,Sheet1!AA117-(SUM(AT117:BA117)+BE117),Sheet1!AA117-SUM(AT117:BA117))</f>
        <v>27.231376000002911</v>
      </c>
      <c r="U117" s="105">
        <f>Sheet1!BU117</f>
        <v>22.5</v>
      </c>
      <c r="V117" s="105">
        <f t="shared" si="21"/>
        <v>4.7313760000029106</v>
      </c>
      <c r="W117" s="105">
        <f t="shared" si="22"/>
        <v>0</v>
      </c>
      <c r="X117" s="101">
        <f>IF((Sheet1!EX117-Sheet1!EX116)&lt;0,(Sheet1!EX117+100000-Sheet1!EX116)/1000,(Sheet1!EX117-Sheet1!EX116)/1000)</f>
        <v>0.78</v>
      </c>
      <c r="Y117" s="106">
        <f>Calculation!DZ118+Calculation!EI117+'Calculations II'!O117-'Calculations II'!W117</f>
        <v>41.710604578428821</v>
      </c>
      <c r="Z117" s="106">
        <f>Y117-Sheet1!CP118</f>
        <v>27.340604578428824</v>
      </c>
      <c r="AA117" s="106">
        <f>Y117+Calculation!CZ118+Calculation!AI118</f>
        <v>43.996752202291312</v>
      </c>
      <c r="AC117" s="106">
        <f>Sheet1!AA117+Sheet1!AB117+BC117</f>
        <v>46.150000000001455</v>
      </c>
      <c r="AD117" s="106">
        <f>Sheet1!AA117+Sheet1!BN117+'Calculations II'!BC117-Calculation!AI117-Calculation!CZ117</f>
        <v>46.191353000002906</v>
      </c>
      <c r="AE117" s="106">
        <f>Sheet1!AA117+Sheet1!AB117+'Calculations II'!BC117-Calculation!AI117-Calculation!CZ117</f>
        <v>46.141353000001452</v>
      </c>
      <c r="AF117" s="106">
        <f>Sheet1!AA117+Sheet1!BN117+P117+'Calculations II'!BC117+Calculation!AI117+Calculation!CZ117</f>
        <v>42.919251578431734</v>
      </c>
      <c r="AG117" s="106">
        <f>Sheet1!AA117+Sheet1!BN117+'Calculations II'!BC117+'Calculations II'!P117-Sheet1!CP117-BP117</f>
        <v>28.600604578431728</v>
      </c>
      <c r="AH117" s="106">
        <f>Sheet1!AA117+Sheet1!BN117+'Calculations II'!BC117+'Calculations II'!P117-BP117</f>
        <v>42.91060457843173</v>
      </c>
      <c r="AI117" s="106">
        <f>BC117+Sheet1!AA117+Calculation!EI117+O117+W117+Sheet1!BN117+Calculation!AI117+Calculation!CZ117-BP117</f>
        <v>42.919251578431734</v>
      </c>
      <c r="AJ117" s="106"/>
      <c r="AM117" s="102">
        <f t="shared" si="23"/>
        <v>40646</v>
      </c>
      <c r="AN117" s="106"/>
      <c r="AO117" s="106"/>
      <c r="AR117" s="106"/>
      <c r="AT117" s="101">
        <f>Sheet1!AR117*GPMtoMGD</f>
        <v>0</v>
      </c>
      <c r="AU117" s="101">
        <f>Sheet1!AS117*GPMtoMGD</f>
        <v>2.6208000000000002E-2</v>
      </c>
      <c r="AV117" s="101">
        <f>Sheet1!AT117*GPMtoMGD</f>
        <v>0</v>
      </c>
      <c r="AW117" s="101">
        <f>Sheet1!AV117*GPMtoMGD</f>
        <v>0.52113600000000004</v>
      </c>
      <c r="AX117" s="101">
        <f>Sheet1!AW117*GPMtoMGD</f>
        <v>0.52128000000000008</v>
      </c>
      <c r="AY117" s="101">
        <f>Sheet1!AX117*GPMtoMGD</f>
        <v>0</v>
      </c>
      <c r="AZ117" s="101">
        <f>Sheet1!AY117*GPMtoMGD</f>
        <v>0</v>
      </c>
      <c r="BA117" s="101">
        <f>Sheet1!AZ117*GPMtoMGD</f>
        <v>0</v>
      </c>
      <c r="BB117" s="101">
        <f>Sheet1!BP117*GPMtoMGD</f>
        <v>0</v>
      </c>
      <c r="BC117" s="101">
        <f>Sheet1!CO117*GPMtoMGD</f>
        <v>0</v>
      </c>
      <c r="BD117" s="101">
        <f>Sheet1!BO117*GPMtoMGD</f>
        <v>1.8305280000000002</v>
      </c>
      <c r="BE117" s="101">
        <f>Sheet1!BV117*GPMtoMGD</f>
        <v>0.63777600000000001</v>
      </c>
      <c r="BF117" s="101">
        <f>Sheet1!CJ117*GPMtoMGD</f>
        <v>0.537408</v>
      </c>
      <c r="BG117" s="101">
        <f>Sheet1!CK117*GPMtoMGD</f>
        <v>0.55929600000000002</v>
      </c>
      <c r="BH117" s="101">
        <f>Sheet1!CL117*GPMtoMGD</f>
        <v>0.78652800000000012</v>
      </c>
      <c r="BI117" s="101">
        <f t="shared" si="24"/>
        <v>1.8305280000000002</v>
      </c>
      <c r="BK117" s="106">
        <f>SUM(AT117:BA117,BE117,Sheet1!BU117,'Calculations II'!BC117,Calculation!AG117)</f>
        <v>42.056399999998547</v>
      </c>
      <c r="BM117" s="439">
        <f>IF(AND(Sheet1!BQ117&lt;=11.5,Sheet1!BQ116&gt;Sheet1!BQ117),(MIN(Lookup!$C$119,VLOOKUP(Sheet1!BQ116,Lookup!$B$4:$J$236,2))-VLOOKUP(Sheet1!BQ117,Lookup!$B$4:$J$236,2))/1000000,0)</f>
        <v>0</v>
      </c>
      <c r="BN117" s="439">
        <f>IF(AND(Sheet1!BR117&lt;=11.5,Sheet1!BR116&gt;Sheet1!BR117),(MIN(Lookup!$D$119,VLOOKUP(Sheet1!BR116,Lookup!$B$4:$J$236,3))-VLOOKUP(Sheet1!BR117,Lookup!$B$4:$J$236,3))/1000000,0)</f>
        <v>0</v>
      </c>
      <c r="BP117" s="105">
        <f>SUM(BM117:BN117,W117,Sheet1!DT117)</f>
        <v>0</v>
      </c>
    </row>
    <row r="118" spans="1:68" s="101" customFormat="1">
      <c r="A118" s="101" t="s">
        <v>6</v>
      </c>
      <c r="B118" s="103">
        <v>40647</v>
      </c>
      <c r="C118" s="104">
        <v>0.33333333333357601</v>
      </c>
      <c r="E118" s="30"/>
      <c r="F118" s="30">
        <f>-(VLOOKUP(Sheet1!BZ118,Lookup!$I$4:$J$216,2)-VLOOKUP(Sheet1!BZ117,Lookup!$I$4:$J$216,2))/1000000</f>
        <v>-0.10363693854779936</v>
      </c>
      <c r="G118" s="106">
        <f>-$G$6*(Sheet1!CB118-Sheet1!CB117)*7.48/1000000</f>
        <v>0.34153610905200976</v>
      </c>
      <c r="H118" s="106">
        <f>-$H$6*(Sheet1!CA118-Sheet1!CA117)*7.48/1000000</f>
        <v>-0.15039432351265059</v>
      </c>
      <c r="I118" s="106">
        <f>-$I$6*(Sheet1!CC118-Sheet1!CC117)*7.48/1000000</f>
        <v>6.4769430340897272E-2</v>
      </c>
      <c r="J118" s="107" t="s">
        <v>193</v>
      </c>
      <c r="K118" s="106">
        <f>-$I$6*(Sheet1!CD118-Sheet1!CD117)*7.48/1000000</f>
        <v>6.2970279498094611E-2</v>
      </c>
      <c r="L118" s="107" t="s">
        <v>193</v>
      </c>
      <c r="M118" s="106">
        <f>-$M$6*(Sheet1!CE118-Sheet1!CE117)*7.48/1000000</f>
        <v>2.5986949460387966E-2</v>
      </c>
      <c r="N118" s="106">
        <f>-$N$6*(Sheet1!CF118-Sheet1!CF117)*7.48/1000000</f>
        <v>-8.6873283552473798E-2</v>
      </c>
      <c r="O118" s="106">
        <f t="shared" si="20"/>
        <v>0.15435822273846586</v>
      </c>
      <c r="P118" s="106">
        <f>O118+Calculation!EI118</f>
        <v>-1.453541777261534</v>
      </c>
      <c r="Q118" s="101" t="str">
        <f>IF(Sheet1!BQ118&gt;21.75,"spill elevation","-")</f>
        <v>-</v>
      </c>
      <c r="R118" s="101" t="str">
        <f>IF(Sheet1!BR118&gt;21.75,"spill elevation","-")</f>
        <v>-</v>
      </c>
      <c r="S118" s="101" t="str">
        <f>IF(Sheet1!BS118&gt;21.75,"spill elevation","-")</f>
        <v>-</v>
      </c>
      <c r="T118" s="105">
        <f>IF(Sheet1!DQ118=1,Sheet1!AA118-(SUM(AT118:BA118)+BE118),Sheet1!AA118-SUM(AT118:BA118))</f>
        <v>25.080416</v>
      </c>
      <c r="U118" s="105">
        <f>Sheet1!BU118</f>
        <v>23.7</v>
      </c>
      <c r="V118" s="105">
        <f t="shared" si="21"/>
        <v>1.3804160000000003</v>
      </c>
      <c r="W118" s="105">
        <f t="shared" si="22"/>
        <v>0</v>
      </c>
      <c r="X118" s="101">
        <f>IF((Sheet1!EX118-Sheet1!EX117)&lt;0,(Sheet1!EX118+100000-Sheet1!EX117)/1000,(Sheet1!EX118-Sheet1!EX117)/1000)</f>
        <v>0.76400000000000001</v>
      </c>
      <c r="Y118" s="106">
        <f>Calculation!DZ119+Calculation!EI118+'Calculations II'!O118-'Calculations II'!W118</f>
        <v>50.546458222738465</v>
      </c>
      <c r="Z118" s="106">
        <f>Y118-Sheet1!CP119</f>
        <v>35.716458222738467</v>
      </c>
      <c r="AA118" s="106">
        <f>Y118+Calculation!CZ119+Calculation!AI119</f>
        <v>58.66782358304188</v>
      </c>
      <c r="AC118" s="106">
        <f>Sheet1!AA118+Sheet1!AB118+BC118</f>
        <v>45</v>
      </c>
      <c r="AD118" s="106">
        <f>Sheet1!AA118+Sheet1!BN118+'Calculations II'!BC118-Calculation!AI118-Calculation!CZ118</f>
        <v>41.113852376137508</v>
      </c>
      <c r="AE118" s="106">
        <f>Sheet1!AA118+Sheet1!AB118+'Calculations II'!BC118-Calculation!AI118-Calculation!CZ118</f>
        <v>42.71385237613751</v>
      </c>
      <c r="AF118" s="106">
        <f>Sheet1!AA118+Sheet1!BN118+P118+'Calculations II'!BC118+Calculation!AI118+Calculation!CZ118</f>
        <v>44.232605846600954</v>
      </c>
      <c r="AG118" s="106">
        <f>Sheet1!AA118+Sheet1!BN118+'Calculations II'!BC118+'Calculations II'!P118-Sheet1!CP118-BP118</f>
        <v>27.576458222738466</v>
      </c>
      <c r="AH118" s="106">
        <f>Sheet1!AA118+Sheet1!BN118+'Calculations II'!BC118+'Calculations II'!P118-BP118</f>
        <v>41.946458222738464</v>
      </c>
      <c r="AI118" s="106">
        <f>BC118+Sheet1!AA118+Calculation!EI118+O118+W118+Sheet1!BN118+Calculation!AI118+Calculation!CZ118-BP118</f>
        <v>44.232605846600954</v>
      </c>
      <c r="AJ118" s="106"/>
      <c r="AM118" s="102">
        <f t="shared" si="23"/>
        <v>40647</v>
      </c>
      <c r="AN118" s="106"/>
      <c r="AO118" s="106"/>
      <c r="AR118" s="106"/>
      <c r="AT118" s="101">
        <f>Sheet1!AR118*GPMtoMGD</f>
        <v>0</v>
      </c>
      <c r="AU118" s="101">
        <f>Sheet1!AS118*GPMtoMGD</f>
        <v>2.664E-2</v>
      </c>
      <c r="AV118" s="101">
        <f>Sheet1!AT118*GPMtoMGD</f>
        <v>0</v>
      </c>
      <c r="AW118" s="101">
        <f>Sheet1!AV118*GPMtoMGD</f>
        <v>0.46929599999999999</v>
      </c>
      <c r="AX118" s="101">
        <f>Sheet1!AW118*GPMtoMGD</f>
        <v>0.42364800000000002</v>
      </c>
      <c r="AY118" s="101">
        <f>Sheet1!AX118*GPMtoMGD</f>
        <v>0</v>
      </c>
      <c r="AZ118" s="101">
        <f>Sheet1!AY118*GPMtoMGD</f>
        <v>0</v>
      </c>
      <c r="BA118" s="101">
        <f>Sheet1!AZ118*GPMtoMGD</f>
        <v>0</v>
      </c>
      <c r="BB118" s="101">
        <f>Sheet1!BP118*GPMtoMGD</f>
        <v>0</v>
      </c>
      <c r="BC118" s="101">
        <f>Sheet1!CO118*GPMtoMGD</f>
        <v>0</v>
      </c>
      <c r="BD118" s="101">
        <f>Sheet1!BO118*GPMtoMGD</f>
        <v>1.530864</v>
      </c>
      <c r="BE118" s="101">
        <f>Sheet1!BV118*GPMtoMGD</f>
        <v>0.79531200000000002</v>
      </c>
      <c r="BF118" s="101">
        <f>Sheet1!CJ118*GPMtoMGD</f>
        <v>0.36849600000000005</v>
      </c>
      <c r="BG118" s="101">
        <f>Sheet1!CK118*GPMtoMGD</f>
        <v>0.55641600000000002</v>
      </c>
      <c r="BH118" s="101">
        <f>Sheet1!CL118*GPMtoMGD</f>
        <v>0.79358400000000007</v>
      </c>
      <c r="BI118" s="101">
        <f t="shared" si="24"/>
        <v>1.530864</v>
      </c>
      <c r="BK118" s="106">
        <f>SUM(AT118:BA118,BE118,Sheet1!BU118,'Calculations II'!BC118,Calculation!AG118)</f>
        <v>42.128748376137509</v>
      </c>
      <c r="BM118" s="439">
        <f>IF(AND(Sheet1!BQ118&lt;=11.5,Sheet1!BQ117&gt;Sheet1!BQ118),(MIN(Lookup!$C$119,VLOOKUP(Sheet1!BQ117,Lookup!$B$4:$J$236,2))-VLOOKUP(Sheet1!BQ118,Lookup!$B$4:$J$236,2))/1000000,0)</f>
        <v>0</v>
      </c>
      <c r="BN118" s="439">
        <f>IF(AND(Sheet1!BR118&lt;=11.5,Sheet1!BR117&gt;Sheet1!BR118),(MIN(Lookup!$D$119,VLOOKUP(Sheet1!BR117,Lookup!$B$4:$J$236,3))-VLOOKUP(Sheet1!BR118,Lookup!$B$4:$J$236,3))/1000000,0)</f>
        <v>0</v>
      </c>
      <c r="BP118" s="105">
        <f>SUM(BM118:BN118,W118,Sheet1!DT118)</f>
        <v>0</v>
      </c>
    </row>
    <row r="119" spans="1:68" s="101" customFormat="1">
      <c r="A119" s="101" t="s">
        <v>7</v>
      </c>
      <c r="B119" s="103">
        <v>40648</v>
      </c>
      <c r="C119" s="104">
        <v>0.33333333333357601</v>
      </c>
      <c r="E119" s="30"/>
      <c r="F119" s="30">
        <f>-(VLOOKUP(Sheet1!BZ119,Lookup!$I$4:$J$216,2)-VLOOKUP(Sheet1!BZ118,Lookup!$I$4:$J$216,2))/1000000</f>
        <v>0</v>
      </c>
      <c r="G119" s="106">
        <f>-$G$6*(Sheet1!CB119-Sheet1!CB118)*7.48/1000000</f>
        <v>0.68704356820927603</v>
      </c>
      <c r="H119" s="106">
        <f>-$H$6*(Sheet1!CA119-Sheet1!CA118)*7.48/1000000</f>
        <v>3.0078864702530548E-2</v>
      </c>
      <c r="I119" s="106">
        <f>-$I$6*(Sheet1!CC119-Sheet1!CC118)*7.48/1000000</f>
        <v>3.5983016856054283E-2</v>
      </c>
      <c r="J119" s="107" t="s">
        <v>193</v>
      </c>
      <c r="K119" s="106">
        <f>-$I$6*(Sheet1!CD119-Sheet1!CD118)*7.48/1000000</f>
        <v>3.9581318541659617E-2</v>
      </c>
      <c r="L119" s="107" t="s">
        <v>193</v>
      </c>
      <c r="M119" s="106">
        <f>-$M$6*(Sheet1!CE119-Sheet1!CE118)*7.48/1000000</f>
        <v>1.1993976674025176E-2</v>
      </c>
      <c r="N119" s="106">
        <f>-$N$6*(Sheet1!CF119-Sheet1!CF118)*7.48/1000000</f>
        <v>-0.18615703618387214</v>
      </c>
      <c r="O119" s="106">
        <f t="shared" si="20"/>
        <v>0.61852370879967355</v>
      </c>
      <c r="P119" s="106">
        <f>O119+Calculation!EI119</f>
        <v>-0.73297629120032659</v>
      </c>
      <c r="Q119" s="101" t="str">
        <f>IF(Sheet1!BQ119&gt;21.75,"spill elevation","-")</f>
        <v>-</v>
      </c>
      <c r="R119" s="101" t="str">
        <f>IF(Sheet1!BR119&gt;21.75,"spill elevation","-")</f>
        <v>-</v>
      </c>
      <c r="S119" s="101" t="str">
        <f>IF(Sheet1!BS119&gt;21.75,"spill elevation","-")</f>
        <v>-</v>
      </c>
      <c r="T119" s="105">
        <f>IF(Sheet1!DQ119=1,Sheet1!AA119-(SUM(AT119:BA119)+BE119),Sheet1!AA119-SUM(AT119:BA119))</f>
        <v>25.930432</v>
      </c>
      <c r="U119" s="105">
        <f>Sheet1!BU119</f>
        <v>22.6</v>
      </c>
      <c r="V119" s="105">
        <f t="shared" si="21"/>
        <v>3.3304319999999983</v>
      </c>
      <c r="W119" s="105">
        <f t="shared" si="22"/>
        <v>0</v>
      </c>
      <c r="X119" s="101">
        <f>IF((Sheet1!EX119-Sheet1!EX118)&lt;0,(Sheet1!EX119+100000-Sheet1!EX118)/1000,(Sheet1!EX119-Sheet1!EX118)/1000)</f>
        <v>0.74</v>
      </c>
      <c r="Y119" s="106">
        <f>Calculation!DZ120+Calculation!EI119+'Calculations II'!O119-'Calculations II'!W119</f>
        <v>50.967023708796759</v>
      </c>
      <c r="Z119" s="106">
        <f>Y119-Sheet1!CP120</f>
        <v>35.797023708796758</v>
      </c>
      <c r="AA119" s="106">
        <f>Y119+Calculation!CZ120+Calculation!AI120</f>
        <v>59.583697357728468</v>
      </c>
      <c r="AC119" s="106">
        <f>Sheet1!AA119+Sheet1!AB119+BC119</f>
        <v>52</v>
      </c>
      <c r="AD119" s="106">
        <f>Sheet1!AA119+Sheet1!BN119+'Calculations II'!BC119-Calculation!AI119-Calculation!CZ119</f>
        <v>35.578634639696588</v>
      </c>
      <c r="AE119" s="106">
        <f>Sheet1!AA119+Sheet1!AB119+'Calculations II'!BC119-Calculation!AI119-Calculation!CZ119</f>
        <v>43.878634639696585</v>
      </c>
      <c r="AF119" s="106">
        <f>Sheet1!AA119+Sheet1!BN119+P119+'Calculations II'!BC119+Calculation!AI119+Calculation!CZ119</f>
        <v>51.088389069103094</v>
      </c>
      <c r="AG119" s="106">
        <f>Sheet1!AA119+Sheet1!BN119+'Calculations II'!BC119+'Calculations II'!P119-Sheet1!CP119-BP119</f>
        <v>28.137023708799681</v>
      </c>
      <c r="AH119" s="106">
        <f>Sheet1!AA119+Sheet1!BN119+'Calculations II'!BC119+'Calculations II'!P119-BP119</f>
        <v>42.96702370879968</v>
      </c>
      <c r="AI119" s="106">
        <f>BC119+Sheet1!AA119+Calculation!EI119+O119+W119+Sheet1!BN119+Calculation!AI119+Calculation!CZ119-BP119</f>
        <v>51.088389069103087</v>
      </c>
      <c r="AJ119" s="106"/>
      <c r="AM119" s="102">
        <f t="shared" si="23"/>
        <v>40648</v>
      </c>
      <c r="AN119" s="106"/>
      <c r="AO119" s="106"/>
      <c r="AR119" s="106"/>
      <c r="AT119" s="101">
        <f>Sheet1!AR119*GPMtoMGD</f>
        <v>0</v>
      </c>
      <c r="AU119" s="101">
        <f>Sheet1!AS119*GPMtoMGD</f>
        <v>5.0976E-2</v>
      </c>
      <c r="AV119" s="101">
        <f>Sheet1!AT119*GPMtoMGD</f>
        <v>0</v>
      </c>
      <c r="AW119" s="101">
        <f>Sheet1!AV119*GPMtoMGD</f>
        <v>0.33768000000000004</v>
      </c>
      <c r="AX119" s="101">
        <f>Sheet1!AW119*GPMtoMGD</f>
        <v>1.680912</v>
      </c>
      <c r="AY119" s="101">
        <f>Sheet1!AX119*GPMtoMGD</f>
        <v>0</v>
      </c>
      <c r="AZ119" s="101">
        <f>Sheet1!AY119*GPMtoMGD</f>
        <v>0</v>
      </c>
      <c r="BA119" s="101">
        <f>Sheet1!AZ119*GPMtoMGD</f>
        <v>0</v>
      </c>
      <c r="BB119" s="101">
        <f>Sheet1!BP119*GPMtoMGD</f>
        <v>0</v>
      </c>
      <c r="BC119" s="101">
        <f>Sheet1!CO119*GPMtoMGD</f>
        <v>0</v>
      </c>
      <c r="BD119" s="101">
        <f>Sheet1!BO119*GPMtoMGD</f>
        <v>1.945584</v>
      </c>
      <c r="BE119" s="101">
        <f>Sheet1!BV119*GPMtoMGD</f>
        <v>0.70948800000000001</v>
      </c>
      <c r="BF119" s="101">
        <f>Sheet1!CJ119*GPMtoMGD</f>
        <v>1.6524000000000001</v>
      </c>
      <c r="BG119" s="101">
        <f>Sheet1!CK119*GPMtoMGD</f>
        <v>0.613008</v>
      </c>
      <c r="BH119" s="101">
        <f>Sheet1!CL119*GPMtoMGD</f>
        <v>0.76334400000000013</v>
      </c>
      <c r="BI119" s="101">
        <f t="shared" si="24"/>
        <v>1.945584</v>
      </c>
      <c r="BK119" s="106">
        <f>SUM(AT119:BA119,BE119,Sheet1!BU119,'Calculations II'!BC119,Calculation!AG119)</f>
        <v>41.257690639696591</v>
      </c>
      <c r="BM119" s="439">
        <f>IF(AND(Sheet1!BQ119&lt;=11.5,Sheet1!BQ118&gt;Sheet1!BQ119),(MIN(Lookup!$C$119,VLOOKUP(Sheet1!BQ118,Lookup!$B$4:$J$236,2))-VLOOKUP(Sheet1!BQ119,Lookup!$B$4:$J$236,2))/1000000,0)</f>
        <v>0</v>
      </c>
      <c r="BN119" s="439">
        <f>IF(AND(Sheet1!BR119&lt;=11.5,Sheet1!BR118&gt;Sheet1!BR119),(MIN(Lookup!$D$119,VLOOKUP(Sheet1!BR118,Lookup!$B$4:$J$236,3))-VLOOKUP(Sheet1!BR119,Lookup!$B$4:$J$236,3))/1000000,0)</f>
        <v>0</v>
      </c>
      <c r="BP119" s="105">
        <f>SUM(BM119:BN119,W119,Sheet1!DT119)</f>
        <v>0</v>
      </c>
    </row>
    <row r="120" spans="1:68" s="101" customFormat="1">
      <c r="A120" s="101" t="s">
        <v>8</v>
      </c>
      <c r="B120" s="103">
        <v>40649</v>
      </c>
      <c r="C120" s="104">
        <v>0.33333333333357601</v>
      </c>
      <c r="E120" s="30"/>
      <c r="F120" s="30">
        <f>-(VLOOKUP(Sheet1!BZ120,Lookup!$I$4:$J$216,2)-VLOOKUP(Sheet1!BZ119,Lookup!$I$4:$J$216,2))/1000000</f>
        <v>0.31091081564340367</v>
      </c>
      <c r="G120" s="106">
        <f>-$G$6*(Sheet1!CB120-Sheet1!CB119)*7.48/1000000</f>
        <v>2.4503230149429083</v>
      </c>
      <c r="H120" s="106">
        <f>-$H$6*(Sheet1!CA120-Sheet1!CA119)*7.48/1000000</f>
        <v>0.24063091762024011</v>
      </c>
      <c r="I120" s="106">
        <f>-$I$6*(Sheet1!CC120-Sheet1!CC119)*7.48/1000000</f>
        <v>-0.10614989972535956</v>
      </c>
      <c r="J120" s="107" t="s">
        <v>193</v>
      </c>
      <c r="K120" s="106">
        <f>-$I$6*(Sheet1!CD120-Sheet1!CD119)*7.48/1000000</f>
        <v>-0.10614989972535956</v>
      </c>
      <c r="L120" s="107" t="s">
        <v>193</v>
      </c>
      <c r="M120" s="106">
        <f>-$M$6*(Sheet1!CE120-Sheet1!CE119)*7.48/1000000</f>
        <v>-4.0646254284196458E-2</v>
      </c>
      <c r="N120" s="106">
        <f>-$N$6*(Sheet1!CF120-Sheet1!CF119)*7.48/1000000</f>
        <v>0.14272039440763523</v>
      </c>
      <c r="O120" s="106">
        <f t="shared" si="20"/>
        <v>2.891639088879272</v>
      </c>
      <c r="P120" s="106">
        <f>O120+Calculation!EI120</f>
        <v>3.4321390888792722</v>
      </c>
      <c r="Q120" s="101" t="str">
        <f>IF(Sheet1!BQ120&gt;21.75,"spill elevation","-")</f>
        <v>-</v>
      </c>
      <c r="R120" s="101" t="str">
        <f>IF(Sheet1!BR120&gt;21.75,"spill elevation","-")</f>
        <v>-</v>
      </c>
      <c r="S120" s="101" t="str">
        <f>IF(Sheet1!BS120&gt;21.75,"spill elevation","-")</f>
        <v>-</v>
      </c>
      <c r="T120" s="105">
        <f>IF(Sheet1!DQ120=1,Sheet1!AA120-(SUM(AT120:BA120)+BE120),Sheet1!AA120-SUM(AT120:BA120))</f>
        <v>26.13198399999709</v>
      </c>
      <c r="U120" s="105">
        <f>Sheet1!BU120</f>
        <v>25</v>
      </c>
      <c r="V120" s="105">
        <f t="shared" si="21"/>
        <v>1.1319839999970895</v>
      </c>
      <c r="W120" s="105">
        <f t="shared" si="22"/>
        <v>0</v>
      </c>
      <c r="X120" s="101">
        <f>IF((Sheet1!EX120-Sheet1!EX119)&lt;0,(Sheet1!EX120+100000-Sheet1!EX119)/1000,(Sheet1!EX120-Sheet1!EX119)/1000)</f>
        <v>0.78700000000000003</v>
      </c>
      <c r="Y120" s="106">
        <f>Calculation!DZ121+Calculation!EI120+'Calculations II'!O120-'Calculations II'!W120</f>
        <v>55.642139088885678</v>
      </c>
      <c r="Z120" s="106">
        <f>Y120-Sheet1!CP121</f>
        <v>40.812139088885679</v>
      </c>
      <c r="AA120" s="106">
        <f>Y120+Calculation!CZ121+Calculation!AI121</f>
        <v>64.521434981593131</v>
      </c>
      <c r="AC120" s="106">
        <f>Sheet1!AA120+Sheet1!AB120+BC120</f>
        <v>51.69999999999709</v>
      </c>
      <c r="AD120" s="106">
        <f>Sheet1!AA120+Sheet1!BN120+'Calculations II'!BC120-Calculation!AI120-Calculation!CZ120</f>
        <v>34.383326351065378</v>
      </c>
      <c r="AE120" s="106">
        <f>Sheet1!AA120+Sheet1!AB120+'Calculations II'!BC120-Calculation!AI120-Calculation!CZ120</f>
        <v>43.083326351065381</v>
      </c>
      <c r="AF120" s="106">
        <f>Sheet1!AA120+Sheet1!BN120+P120+'Calculations II'!BC120+Calculation!AI120+Calculation!CZ120</f>
        <v>55.048812737808078</v>
      </c>
      <c r="AG120" s="106">
        <f>Sheet1!AA120+Sheet1!BN120+'Calculations II'!BC120+'Calculations II'!P120-Sheet1!CP120-BP120</f>
        <v>31.26213908887636</v>
      </c>
      <c r="AH120" s="106">
        <f>Sheet1!AA120+Sheet1!BN120+'Calculations II'!BC120+'Calculations II'!P120-BP120</f>
        <v>46.432139088876362</v>
      </c>
      <c r="AI120" s="106">
        <f>BC120+Sheet1!AA120+Calculation!EI120+O120+W120+Sheet1!BN120+Calculation!AI120+Calculation!CZ120-BP120</f>
        <v>55.048812737808078</v>
      </c>
      <c r="AJ120" s="106"/>
      <c r="AM120" s="102">
        <f t="shared" si="23"/>
        <v>40649</v>
      </c>
      <c r="AN120" s="106"/>
      <c r="AO120" s="106"/>
      <c r="AR120" s="106"/>
      <c r="AT120" s="101">
        <f>Sheet1!AR120*GPMtoMGD</f>
        <v>0</v>
      </c>
      <c r="AU120" s="101">
        <f>Sheet1!AS120*GPMtoMGD</f>
        <v>2.7072000000000002E-2</v>
      </c>
      <c r="AV120" s="101">
        <f>Sheet1!AT120*GPMtoMGD</f>
        <v>0</v>
      </c>
      <c r="AW120" s="101">
        <f>Sheet1!AV120*GPMtoMGD</f>
        <v>0.74563199999999996</v>
      </c>
      <c r="AX120" s="101">
        <f>Sheet1!AW120*GPMtoMGD</f>
        <v>0.79531200000000002</v>
      </c>
      <c r="AY120" s="101">
        <f>Sheet1!AX120*GPMtoMGD</f>
        <v>0</v>
      </c>
      <c r="AZ120" s="101">
        <f>Sheet1!AY120*GPMtoMGD</f>
        <v>0</v>
      </c>
      <c r="BA120" s="101">
        <f>Sheet1!AZ120*GPMtoMGD</f>
        <v>0</v>
      </c>
      <c r="BB120" s="101">
        <f>Sheet1!BP120*GPMtoMGD</f>
        <v>0</v>
      </c>
      <c r="BC120" s="101">
        <f>Sheet1!CO120*GPMtoMGD</f>
        <v>0</v>
      </c>
      <c r="BD120" s="101">
        <f>Sheet1!BO120*GPMtoMGD</f>
        <v>2.170512</v>
      </c>
      <c r="BE120" s="101">
        <f>Sheet1!BV120*GPMtoMGD</f>
        <v>0.64368000000000003</v>
      </c>
      <c r="BF120" s="101">
        <f>Sheet1!CJ120*GPMtoMGD</f>
        <v>1.7755200000000002</v>
      </c>
      <c r="BG120" s="101">
        <f>Sheet1!CK120*GPMtoMGD</f>
        <v>0.63892800000000005</v>
      </c>
      <c r="BH120" s="101">
        <f>Sheet1!CL120*GPMtoMGD</f>
        <v>0.73368</v>
      </c>
      <c r="BI120" s="101">
        <f t="shared" si="24"/>
        <v>2.170512</v>
      </c>
      <c r="BK120" s="106">
        <f>SUM(AT120:BA120,BE120,Sheet1!BU120,'Calculations II'!BC120,Calculation!AG120)</f>
        <v>42.595022351068287</v>
      </c>
      <c r="BM120" s="439">
        <f>IF(AND(Sheet1!BQ120&lt;=11.5,Sheet1!BQ119&gt;Sheet1!BQ120),(MIN(Lookup!$C$119,VLOOKUP(Sheet1!BQ119,Lookup!$B$4:$J$236,2))-VLOOKUP(Sheet1!BQ120,Lookup!$B$4:$J$236,2))/1000000,0)</f>
        <v>0</v>
      </c>
      <c r="BN120" s="439">
        <f>IF(AND(Sheet1!BR120&lt;=11.5,Sheet1!BR119&gt;Sheet1!BR120),(MIN(Lookup!$D$119,VLOOKUP(Sheet1!BR119,Lookup!$B$4:$J$236,3))-VLOOKUP(Sheet1!BR120,Lookup!$B$4:$J$236,3))/1000000,0)</f>
        <v>0</v>
      </c>
      <c r="BP120" s="105">
        <f>SUM(BM120:BN120,W120,Sheet1!DT120)</f>
        <v>0</v>
      </c>
    </row>
    <row r="121" spans="1:68" s="101" customFormat="1">
      <c r="A121" s="101" t="s">
        <v>9</v>
      </c>
      <c r="B121" s="103">
        <v>40650</v>
      </c>
      <c r="C121" s="104">
        <v>0.33333333333357601</v>
      </c>
      <c r="E121" s="30"/>
      <c r="F121" s="30">
        <f>-(VLOOKUP(Sheet1!BZ121,Lookup!$I$4:$J$216,2)-VLOOKUP(Sheet1!BZ120,Lookup!$I$4:$J$216,2))/1000000</f>
        <v>-0.20727387709560433</v>
      </c>
      <c r="G121" s="106">
        <f>-$G$6*(Sheet1!CB121-Sheet1!CB120)*7.48/1000000</f>
        <v>0.80221272126169807</v>
      </c>
      <c r="H121" s="106">
        <f>-$H$6*(Sheet1!CA121-Sheet1!CA120)*7.48/1000000</f>
        <v>-0.33086751172783063</v>
      </c>
      <c r="I121" s="106">
        <f>-$I$6*(Sheet1!CC121-Sheet1!CC120)*7.48/1000000</f>
        <v>3.4183866013251296E-2</v>
      </c>
      <c r="J121" s="107" t="s">
        <v>193</v>
      </c>
      <c r="K121" s="106">
        <f>-$I$6*(Sheet1!CD121-Sheet1!CD120)*7.48/1000000</f>
        <v>3.2384715170448636E-2</v>
      </c>
      <c r="L121" s="107" t="s">
        <v>193</v>
      </c>
      <c r="M121" s="106">
        <f>-$M$6*(Sheet1!CE121-Sheet1!CE120)*7.48/1000000</f>
        <v>1.4659304823808497E-2</v>
      </c>
      <c r="N121" s="106">
        <f>-$N$6*(Sheet1!CF121-Sheet1!CF120)*7.48/1000000</f>
        <v>-6.8257579934085932E-2</v>
      </c>
      <c r="O121" s="106">
        <f t="shared" si="20"/>
        <v>0.27704163851168567</v>
      </c>
      <c r="P121" s="106">
        <f>O121+Calculation!EI121</f>
        <v>2.4288416385116856</v>
      </c>
      <c r="Q121" s="101" t="str">
        <f>IF(Sheet1!BQ121&gt;21.75,"spill elevation","-")</f>
        <v>-</v>
      </c>
      <c r="R121" s="101" t="str">
        <f>IF(Sheet1!BR121&gt;21.75,"spill elevation","-")</f>
        <v>-</v>
      </c>
      <c r="S121" s="101" t="str">
        <f>IF(Sheet1!BS121&gt;21.75,"spill elevation","-")</f>
        <v>-</v>
      </c>
      <c r="T121" s="105">
        <f>IF(Sheet1!DQ121=1,Sheet1!AA121-(SUM(AT121:BA121)+BE121),Sheet1!AA121-SUM(AT121:BA121))</f>
        <v>25.865776000006402</v>
      </c>
      <c r="U121" s="105">
        <f>Sheet1!BU121</f>
        <v>26.5</v>
      </c>
      <c r="V121" s="105">
        <f t="shared" si="21"/>
        <v>-0.63422399999359769</v>
      </c>
      <c r="W121" s="105">
        <f t="shared" si="22"/>
        <v>0</v>
      </c>
      <c r="X121" s="101">
        <f>IF((Sheet1!EX121-Sheet1!EX120)&lt;0,(Sheet1!EX121+100000-Sheet1!EX120)/1000,(Sheet1!EX121-Sheet1!EX120)/1000)</f>
        <v>0.751</v>
      </c>
      <c r="Y121" s="106">
        <f>Calculation!DZ122+Calculation!EI121+'Calculations II'!O121-'Calculations II'!W121</f>
        <v>52.518841638508192</v>
      </c>
      <c r="Z121" s="106">
        <f>Y121-Sheet1!CP122</f>
        <v>37.798841638508193</v>
      </c>
      <c r="AA121" s="106">
        <f>Y121+Calculation!CZ122+Calculation!AI122</f>
        <v>62.254501294339931</v>
      </c>
      <c r="AC121" s="106">
        <f>Sheet1!AA121+Sheet1!AB121+BC121</f>
        <v>52.210000000006403</v>
      </c>
      <c r="AD121" s="106">
        <f>Sheet1!AA121+Sheet1!BN121+'Calculations II'!BC121-Calculation!AI121-Calculation!CZ121</f>
        <v>33.880704107298939</v>
      </c>
      <c r="AE121" s="106">
        <f>Sheet1!AA121+Sheet1!AB121+'Calculations II'!BC121-Calculation!AI121-Calculation!CZ121</f>
        <v>43.330704107298942</v>
      </c>
      <c r="AF121" s="106">
        <f>Sheet1!AA121+Sheet1!BN121+P121+'Calculations II'!BC121+Calculation!AI121+Calculation!CZ121</f>
        <v>54.068137531225545</v>
      </c>
      <c r="AG121" s="106">
        <f>Sheet1!AA121+Sheet1!BN121+'Calculations II'!BC121+'Calculations II'!P121-Sheet1!CP121-BP121</f>
        <v>30.358841638518086</v>
      </c>
      <c r="AH121" s="106">
        <f>Sheet1!AA121+Sheet1!BN121+'Calculations II'!BC121+'Calculations II'!P121-BP121</f>
        <v>45.188841638518085</v>
      </c>
      <c r="AI121" s="106">
        <f>BC121+Sheet1!AA121+Calculation!EI121+O121+W121+Sheet1!BN121+Calculation!AI121+Calculation!CZ121-BP121</f>
        <v>54.068137531225553</v>
      </c>
      <c r="AJ121" s="106"/>
      <c r="AM121" s="102">
        <f t="shared" si="23"/>
        <v>40650</v>
      </c>
      <c r="AN121" s="106"/>
      <c r="AO121" s="106"/>
      <c r="AR121" s="106"/>
      <c r="AT121" s="101">
        <f>Sheet1!AR121*GPMtoMGD</f>
        <v>0</v>
      </c>
      <c r="AU121" s="101">
        <f>Sheet1!AS121*GPMtoMGD</f>
        <v>2.8656000000000001E-2</v>
      </c>
      <c r="AV121" s="101">
        <f>Sheet1!AT121*GPMtoMGD</f>
        <v>0</v>
      </c>
      <c r="AW121" s="101">
        <f>Sheet1!AV121*GPMtoMGD</f>
        <v>0.71784000000000003</v>
      </c>
      <c r="AX121" s="101">
        <f>Sheet1!AW121*GPMtoMGD</f>
        <v>0.84772800000000015</v>
      </c>
      <c r="AY121" s="101">
        <f>Sheet1!AX121*GPMtoMGD</f>
        <v>0</v>
      </c>
      <c r="AZ121" s="101">
        <f>Sheet1!AY121*GPMtoMGD</f>
        <v>0</v>
      </c>
      <c r="BA121" s="101">
        <f>Sheet1!AZ121*GPMtoMGD</f>
        <v>0</v>
      </c>
      <c r="BB121" s="101">
        <f>Sheet1!BP121*GPMtoMGD</f>
        <v>0</v>
      </c>
      <c r="BC121" s="101">
        <f>Sheet1!CO121*GPMtoMGD</f>
        <v>0</v>
      </c>
      <c r="BD121" s="101">
        <f>Sheet1!BO121*GPMtoMGD</f>
        <v>1.971792</v>
      </c>
      <c r="BE121" s="101">
        <f>Sheet1!BV121*GPMtoMGD</f>
        <v>0.91512000000000004</v>
      </c>
      <c r="BF121" s="101">
        <f>Sheet1!CJ121*GPMtoMGD</f>
        <v>0.76579200000000003</v>
      </c>
      <c r="BG121" s="101">
        <f>Sheet1!CK121*GPMtoMGD</f>
        <v>0.67248000000000008</v>
      </c>
      <c r="BH121" s="101">
        <f>Sheet1!CL121*GPMtoMGD</f>
        <v>0.75988800000000012</v>
      </c>
      <c r="BI121" s="101">
        <f t="shared" si="24"/>
        <v>1.971792</v>
      </c>
      <c r="BK121" s="106">
        <f>SUM(AT121:BA121,BE121,Sheet1!BU121,'Calculations II'!BC121,Calculation!AG121)</f>
        <v>44.880048107292538</v>
      </c>
      <c r="BM121" s="439">
        <f>IF(AND(Sheet1!BQ121&lt;=11.5,Sheet1!BQ120&gt;Sheet1!BQ121),(MIN(Lookup!$C$119,VLOOKUP(Sheet1!BQ120,Lookup!$B$4:$J$236,2))-VLOOKUP(Sheet1!BQ121,Lookup!$B$4:$J$236,2))/1000000,0)</f>
        <v>0</v>
      </c>
      <c r="BN121" s="439">
        <f>IF(AND(Sheet1!BR121&lt;=11.5,Sheet1!BR120&gt;Sheet1!BR121),(MIN(Lookup!$D$119,VLOOKUP(Sheet1!BR120,Lookup!$B$4:$J$236,3))-VLOOKUP(Sheet1!BR121,Lookup!$B$4:$J$236,3))/1000000,0)</f>
        <v>0</v>
      </c>
      <c r="BP121" s="105">
        <f>SUM(BM121:BN121,W121,Sheet1!DT121)</f>
        <v>0</v>
      </c>
    </row>
    <row r="122" spans="1:68" s="101" customFormat="1">
      <c r="A122" s="101" t="s">
        <v>3</v>
      </c>
      <c r="B122" s="103">
        <v>40651</v>
      </c>
      <c r="C122" s="104">
        <v>0.33333333333357601</v>
      </c>
      <c r="E122" s="30"/>
      <c r="F122" s="30">
        <f>-(VLOOKUP(Sheet1!BZ122,Lookup!$I$4:$J$216,2)-VLOOKUP(Sheet1!BZ121,Lookup!$I$4:$J$216,2))/1000000</f>
        <v>0.31091081564340367</v>
      </c>
      <c r="G122" s="106">
        <f>-$G$6*(Sheet1!CB122-Sheet1!CB121)*7.48/1000000</f>
        <v>1.0285796772612856</v>
      </c>
      <c r="H122" s="106">
        <f>-$H$6*(Sheet1!CA122-Sheet1!CA121)*7.48/1000000</f>
        <v>-6.0157729405060027E-2</v>
      </c>
      <c r="I122" s="106">
        <f>-$I$6*(Sheet1!CC122-Sheet1!CC121)*7.48/1000000</f>
        <v>0.24828281630677324</v>
      </c>
      <c r="J122" s="107" t="s">
        <v>193</v>
      </c>
      <c r="K122" s="106">
        <f>-$I$6*(Sheet1!CD122-Sheet1!CD121)*7.48/1000000</f>
        <v>0.2482828163067734</v>
      </c>
      <c r="L122" s="107" t="s">
        <v>193</v>
      </c>
      <c r="M122" s="106">
        <f>-$M$6*(Sheet1!CE122-Sheet1!CE121)*7.48/1000000</f>
        <v>9.2620153204972369E-2</v>
      </c>
      <c r="N122" s="106">
        <f>-$N$6*(Sheet1!CF122-Sheet1!CF121)*7.48/1000000</f>
        <v>6.2052345394623676E-2</v>
      </c>
      <c r="O122" s="106">
        <f t="shared" si="20"/>
        <v>1.930570894712772</v>
      </c>
      <c r="P122" s="106">
        <f>O122+Calculation!EI122</f>
        <v>3.265070894712772</v>
      </c>
      <c r="Q122" s="101" t="str">
        <f>IF(Sheet1!BQ122&gt;21.75,"spill elevation","-")</f>
        <v>-</v>
      </c>
      <c r="R122" s="101" t="str">
        <f>IF(Sheet1!BR122&gt;21.75,"spill elevation","-")</f>
        <v>-</v>
      </c>
      <c r="S122" s="101" t="str">
        <f>IF(Sheet1!BS122&gt;21.75,"spill elevation","-")</f>
        <v>-</v>
      </c>
      <c r="T122" s="105">
        <f>IF(Sheet1!DQ122=1,Sheet1!AA122-(SUM(AT122:BA122)+BE122),Sheet1!AA122-SUM(AT122:BA122))</f>
        <v>26.079679999996507</v>
      </c>
      <c r="U122" s="105">
        <f>Sheet1!BU122</f>
        <v>26.2</v>
      </c>
      <c r="V122" s="105">
        <f t="shared" si="21"/>
        <v>-0.12032000000349186</v>
      </c>
      <c r="W122" s="105">
        <f t="shared" si="22"/>
        <v>0</v>
      </c>
      <c r="X122" s="101">
        <f>IF((Sheet1!EX122-Sheet1!EX121)&lt;0,(Sheet1!EX122+100000-Sheet1!EX121)/1000,(Sheet1!EX122-Sheet1!EX121)/1000)</f>
        <v>0.77100000000000002</v>
      </c>
      <c r="Y122" s="106">
        <f>Calculation!DZ123+Calculation!EI122+'Calculations II'!O122-'Calculations II'!W122</f>
        <v>56.265070894712771</v>
      </c>
      <c r="Z122" s="106">
        <f>Y122-Sheet1!CP123</f>
        <v>39.885070894712769</v>
      </c>
      <c r="AA122" s="106">
        <f>Y122+Calculation!CZ123+Calculation!AI123</f>
        <v>65.234056644922333</v>
      </c>
      <c r="AC122" s="106">
        <f>Sheet1!AA122+Sheet1!AB122+BC122</f>
        <v>50.089999999996508</v>
      </c>
      <c r="AD122" s="106">
        <f>Sheet1!AA122+Sheet1!BN122+'Calculations II'!BC122-Calculation!AI122-Calculation!CZ122</f>
        <v>32.304340344164771</v>
      </c>
      <c r="AE122" s="106">
        <f>Sheet1!AA122+Sheet1!AB122+'Calculations II'!BC122-Calculation!AI122-Calculation!CZ122</f>
        <v>40.354340344164768</v>
      </c>
      <c r="AF122" s="106">
        <f>Sheet1!AA122+Sheet1!BN122+P122+'Calculations II'!BC122+Calculation!AI122+Calculation!CZ122</f>
        <v>55.040730550541021</v>
      </c>
      <c r="AG122" s="106">
        <f>Sheet1!AA122+Sheet1!BN122+'Calculations II'!BC122+'Calculations II'!P122-Sheet1!CP122-BP122</f>
        <v>30.585070894709283</v>
      </c>
      <c r="AH122" s="106">
        <f>Sheet1!AA122+Sheet1!BN122+'Calculations II'!BC122+'Calculations II'!P122-BP122</f>
        <v>45.305070894709282</v>
      </c>
      <c r="AI122" s="106">
        <f>BC122+Sheet1!AA122+Calculation!EI122+O122+W122+Sheet1!BN122+Calculation!AI122+Calculation!CZ122-BP122</f>
        <v>55.040730550541014</v>
      </c>
      <c r="AJ122" s="106"/>
      <c r="AM122" s="102">
        <f t="shared" si="23"/>
        <v>40651</v>
      </c>
      <c r="AN122" s="106"/>
      <c r="AO122" s="106"/>
      <c r="AR122" s="106"/>
      <c r="AT122" s="101">
        <f>Sheet1!AR122*GPMtoMGD</f>
        <v>0</v>
      </c>
      <c r="AU122" s="101">
        <f>Sheet1!AS122*GPMtoMGD</f>
        <v>2.7072000000000002E-2</v>
      </c>
      <c r="AV122" s="101">
        <f>Sheet1!AT122*GPMtoMGD</f>
        <v>0</v>
      </c>
      <c r="AW122" s="101">
        <f>Sheet1!AV122*GPMtoMGD</f>
        <v>0.34747200000000006</v>
      </c>
      <c r="AX122" s="101">
        <f>Sheet1!AW122*GPMtoMGD</f>
        <v>0.38577600000000001</v>
      </c>
      <c r="AY122" s="101">
        <f>Sheet1!AX122*GPMtoMGD</f>
        <v>0</v>
      </c>
      <c r="AZ122" s="101">
        <f>Sheet1!AY122*GPMtoMGD</f>
        <v>0</v>
      </c>
      <c r="BA122" s="101">
        <f>Sheet1!AZ122*GPMtoMGD</f>
        <v>0</v>
      </c>
      <c r="BB122" s="101">
        <f>Sheet1!BP122*GPMtoMGD</f>
        <v>0</v>
      </c>
      <c r="BC122" s="101">
        <f>Sheet1!CO122*GPMtoMGD</f>
        <v>0</v>
      </c>
      <c r="BD122" s="101">
        <f>Sheet1!BO122*GPMtoMGD</f>
        <v>1.409616</v>
      </c>
      <c r="BE122" s="101">
        <f>Sheet1!BV122*GPMtoMGD</f>
        <v>0.63115200000000005</v>
      </c>
      <c r="BF122" s="101">
        <f>Sheet1!CJ122*GPMtoMGD</f>
        <v>0.413136</v>
      </c>
      <c r="BG122" s="101">
        <f>Sheet1!CK122*GPMtoMGD</f>
        <v>0.23515200000000003</v>
      </c>
      <c r="BH122" s="101">
        <f>Sheet1!CL122*GPMtoMGD</f>
        <v>0.79934400000000005</v>
      </c>
      <c r="BI122" s="101">
        <f t="shared" si="24"/>
        <v>1.409616</v>
      </c>
      <c r="BK122" s="106">
        <f>SUM(AT122:BA122,BE122,Sheet1!BU122,'Calculations II'!BC122,Calculation!AG122)</f>
        <v>41.105812344168257</v>
      </c>
      <c r="BM122" s="439">
        <f>IF(AND(Sheet1!BQ122&lt;=11.5,Sheet1!BQ121&gt;Sheet1!BQ122),(MIN(Lookup!$C$119,VLOOKUP(Sheet1!BQ121,Lookup!$B$4:$J$236,2))-VLOOKUP(Sheet1!BQ122,Lookup!$B$4:$J$236,2))/1000000,0)</f>
        <v>0</v>
      </c>
      <c r="BN122" s="439">
        <f>IF(AND(Sheet1!BR122&lt;=11.5,Sheet1!BR121&gt;Sheet1!BR122),(MIN(Lookup!$D$119,VLOOKUP(Sheet1!BR121,Lookup!$B$4:$J$236,3))-VLOOKUP(Sheet1!BR122,Lookup!$B$4:$J$236,3))/1000000,0)</f>
        <v>0</v>
      </c>
      <c r="BP122" s="105">
        <f>SUM(BM122:BN122,W122,Sheet1!DT122)</f>
        <v>0</v>
      </c>
    </row>
    <row r="123" spans="1:68" s="101" customFormat="1">
      <c r="A123" s="101" t="s">
        <v>4</v>
      </c>
      <c r="B123" s="103">
        <v>40652</v>
      </c>
      <c r="C123" s="104">
        <v>0.33333333333357601</v>
      </c>
      <c r="E123" s="30"/>
      <c r="F123" s="30">
        <f>-(VLOOKUP(Sheet1!BZ123,Lookup!$I$4:$J$216,2)-VLOOKUP(Sheet1!BZ122,Lookup!$I$4:$J$216,2))/1000000</f>
        <v>0.31091081564339806</v>
      </c>
      <c r="G123" s="106">
        <f>-$G$6*(Sheet1!CB123-Sheet1!CB122)*7.48/1000000</f>
        <v>-0.27799450736791509</v>
      </c>
      <c r="H123" s="106">
        <f>-$H$6*(Sheet1!CA123-Sheet1!CA122)*7.48/1000000</f>
        <v>0.15039432351265059</v>
      </c>
      <c r="I123" s="106">
        <f>-$I$6*(Sheet1!CC123-Sheet1!CC122)*7.48/1000000</f>
        <v>-0.33104375507569778</v>
      </c>
      <c r="J123" s="107" t="s">
        <v>193</v>
      </c>
      <c r="K123" s="106">
        <f>-$I$6*(Sheet1!CD123-Sheet1!CD122)*7.48/1000000</f>
        <v>-0.31844969917607902</v>
      </c>
      <c r="L123" s="107" t="s">
        <v>193</v>
      </c>
      <c r="M123" s="106">
        <f>-$M$6*(Sheet1!CE123-Sheet1!CE122)*7.48/1000000</f>
        <v>-0.13992972786362717</v>
      </c>
      <c r="N123" s="106">
        <f>-$N$6*(Sheet1!CF123-Sheet1!CF122)*7.48/1000000</f>
        <v>9.3078518091936069E-2</v>
      </c>
      <c r="O123" s="106">
        <f t="shared" si="20"/>
        <v>-0.51303403223533439</v>
      </c>
      <c r="P123" s="106">
        <f>O123+Calculation!EI123</f>
        <v>3.7431659677646651</v>
      </c>
      <c r="Q123" s="101" t="str">
        <f>IF(Sheet1!BQ123&gt;21.75,"spill elevation","-")</f>
        <v>-</v>
      </c>
      <c r="R123" s="101" t="str">
        <f>IF(Sheet1!BR123&gt;21.75,"spill elevation","-")</f>
        <v>-</v>
      </c>
      <c r="S123" s="101" t="str">
        <f>IF(Sheet1!BS123&gt;21.75,"spill elevation","-")</f>
        <v>-</v>
      </c>
      <c r="T123" s="105">
        <f>IF(Sheet1!DQ123=1,Sheet1!AA123-(SUM(AT123:BA123)+BE123),Sheet1!AA123-SUM(AT123:BA123))</f>
        <v>26.919280000000001</v>
      </c>
      <c r="U123" s="105">
        <f>Sheet1!BU123</f>
        <v>29</v>
      </c>
      <c r="V123" s="105">
        <f t="shared" si="21"/>
        <v>-2.0807199999999995</v>
      </c>
      <c r="W123" s="105">
        <f t="shared" si="22"/>
        <v>0</v>
      </c>
      <c r="X123" s="101">
        <f>IF((Sheet1!EX123-Sheet1!EX122)&lt;0,(Sheet1!EX123+100000-Sheet1!EX122)/1000,(Sheet1!EX123-Sheet1!EX122)/1000)</f>
        <v>0.72699999999999998</v>
      </c>
      <c r="Y123" s="106">
        <f>Calculation!DZ124+Calculation!EI123+'Calculations II'!O123-'Calculations II'!W123</f>
        <v>56.983165967769907</v>
      </c>
      <c r="Z123" s="106">
        <f>Y123-Sheet1!CP124</f>
        <v>40.393165967769903</v>
      </c>
      <c r="AA123" s="106">
        <f>Y123+Calculation!CZ124+Calculation!AI124</f>
        <v>65.259949546886048</v>
      </c>
      <c r="AC123" s="106">
        <f>Sheet1!AA123+Sheet1!AB123+BC123</f>
        <v>53</v>
      </c>
      <c r="AD123" s="106">
        <f>Sheet1!AA123+Sheet1!BN123+'Calculations II'!BC123-Calculation!AI123-Calculation!CZ123</f>
        <v>34.331014249790442</v>
      </c>
      <c r="AE123" s="106">
        <f>Sheet1!AA123+Sheet1!AB123+'Calculations II'!BC123-Calculation!AI123-Calculation!CZ123</f>
        <v>44.031014249790445</v>
      </c>
      <c r="AF123" s="106">
        <f>Sheet1!AA123+Sheet1!BN123+P123+'Calculations II'!BC123+Calculation!AI123+Calculation!CZ123</f>
        <v>56.01215171797422</v>
      </c>
      <c r="AG123" s="106">
        <f>Sheet1!AA123+Sheet1!BN123+'Calculations II'!BC123+'Calculations II'!P123-Sheet1!CP123-BP123</f>
        <v>30.663165967764666</v>
      </c>
      <c r="AH123" s="106">
        <f>Sheet1!AA123+Sheet1!BN123+'Calculations II'!BC123+'Calculations II'!P123-BP123</f>
        <v>47.043165967764665</v>
      </c>
      <c r="AI123" s="106">
        <f>BC123+Sheet1!AA123+Calculation!EI123+O123+W123+Sheet1!BN123+Calculation!AI123+Calculation!CZ123-BP123</f>
        <v>56.01215171797422</v>
      </c>
      <c r="AJ123" s="106"/>
      <c r="AM123" s="102">
        <f t="shared" si="23"/>
        <v>40652</v>
      </c>
      <c r="AN123" s="106"/>
      <c r="AO123" s="106"/>
      <c r="AR123" s="106"/>
      <c r="AT123" s="101">
        <f>Sheet1!AR123*GPMtoMGD</f>
        <v>0</v>
      </c>
      <c r="AU123" s="101">
        <f>Sheet1!AS123*GPMtoMGD</f>
        <v>5.1408000000000009E-2</v>
      </c>
      <c r="AV123" s="101">
        <f>Sheet1!AT123*GPMtoMGD</f>
        <v>0</v>
      </c>
      <c r="AW123" s="101">
        <f>Sheet1!AV123*GPMtoMGD</f>
        <v>0.54518400000000011</v>
      </c>
      <c r="AX123" s="101">
        <f>Sheet1!AW123*GPMtoMGD</f>
        <v>0.484128</v>
      </c>
      <c r="AY123" s="101">
        <f>Sheet1!AX123*GPMtoMGD</f>
        <v>0</v>
      </c>
      <c r="AZ123" s="101">
        <f>Sheet1!AY123*GPMtoMGD</f>
        <v>0</v>
      </c>
      <c r="BA123" s="101">
        <f>Sheet1!AZ123*GPMtoMGD</f>
        <v>0</v>
      </c>
      <c r="BB123" s="101">
        <f>Sheet1!BP123*GPMtoMGD</f>
        <v>4.780800000000001E-2</v>
      </c>
      <c r="BC123" s="101">
        <f>Sheet1!CO123*GPMtoMGD</f>
        <v>0</v>
      </c>
      <c r="BD123" s="101">
        <f>Sheet1!BO123*GPMtoMGD</f>
        <v>2.4217919999999999</v>
      </c>
      <c r="BE123" s="101">
        <f>Sheet1!BV123*GPMtoMGD</f>
        <v>0.643536</v>
      </c>
      <c r="BF123" s="101">
        <f>Sheet1!CJ123*GPMtoMGD</f>
        <v>0.29808000000000001</v>
      </c>
      <c r="BG123" s="101">
        <f>Sheet1!CK123*GPMtoMGD</f>
        <v>0.60739200000000004</v>
      </c>
      <c r="BH123" s="101">
        <f>Sheet1!CL123*GPMtoMGD</f>
        <v>0.80078400000000005</v>
      </c>
      <c r="BI123" s="101">
        <f t="shared" si="24"/>
        <v>2.4695999999999998</v>
      </c>
      <c r="BK123" s="106">
        <f>SUM(AT123:BA123,BE123,Sheet1!BU123,'Calculations II'!BC123,Calculation!AG123)</f>
        <v>46.755270249790442</v>
      </c>
      <c r="BM123" s="439">
        <f>IF(AND(Sheet1!BQ123&lt;=11.5,Sheet1!BQ122&gt;Sheet1!BQ123),(MIN(Lookup!$C$119,VLOOKUP(Sheet1!BQ122,Lookup!$B$4:$J$236,2))-VLOOKUP(Sheet1!BQ123,Lookup!$B$4:$J$236,2))/1000000,0)</f>
        <v>0</v>
      </c>
      <c r="BN123" s="439">
        <f>IF(AND(Sheet1!BR123&lt;=11.5,Sheet1!BR122&gt;Sheet1!BR123),(MIN(Lookup!$D$119,VLOOKUP(Sheet1!BR122,Lookup!$B$4:$J$236,3))-VLOOKUP(Sheet1!BR123,Lookup!$B$4:$J$236,3))/1000000,0)</f>
        <v>0</v>
      </c>
      <c r="BP123" s="105">
        <f>SUM(BM123:BN123,W123,Sheet1!DT123)</f>
        <v>0</v>
      </c>
    </row>
    <row r="124" spans="1:68" s="101" customFormat="1">
      <c r="A124" s="101" t="s">
        <v>5</v>
      </c>
      <c r="B124" s="103">
        <v>40653</v>
      </c>
      <c r="C124" s="104">
        <v>0.33333333333357601</v>
      </c>
      <c r="E124" s="30"/>
      <c r="F124" s="30">
        <f>-(VLOOKUP(Sheet1!BZ124,Lookup!$I$4:$J$216,2)-VLOOKUP(Sheet1!BZ123,Lookup!$I$4:$J$216,2))/1000000</f>
        <v>-0.20727387709559872</v>
      </c>
      <c r="G124" s="106">
        <f>-$G$6*(Sheet1!CB124-Sheet1!CB123)*7.48/1000000</f>
        <v>-2.2636695599958805</v>
      </c>
      <c r="H124" s="106">
        <f>-$H$6*(Sheet1!CA124-Sheet1!CA123)*7.48/1000000</f>
        <v>0.22559148526897588</v>
      </c>
      <c r="I124" s="106">
        <f>-$I$6*(Sheet1!CC124-Sheet1!CC123)*7.48/1000000</f>
        <v>0.16192357585224348</v>
      </c>
      <c r="J124" s="107" t="s">
        <v>193</v>
      </c>
      <c r="K124" s="106">
        <f>-$I$6*(Sheet1!CD124-Sheet1!CD123)*7.48/1000000</f>
        <v>0.13853461489580848</v>
      </c>
      <c r="L124" s="107" t="s">
        <v>193</v>
      </c>
      <c r="M124" s="106">
        <f>-$M$6*(Sheet1!CE124-Sheet1!CE123)*7.48/1000000</f>
        <v>7.7294516343717937E-2</v>
      </c>
      <c r="N124" s="106">
        <f>-$N$6*(Sheet1!CF124-Sheet1!CF123)*7.48/1000000</f>
        <v>-0.18615703618387214</v>
      </c>
      <c r="O124" s="106">
        <f t="shared" si="20"/>
        <v>-2.0537562809146057</v>
      </c>
      <c r="P124" s="106">
        <f>O124+Calculation!EI124</f>
        <v>2.682643719085394</v>
      </c>
      <c r="Q124" s="101" t="str">
        <f>IF(Sheet1!BQ124&gt;21.75,"spill elevation","-")</f>
        <v>-</v>
      </c>
      <c r="R124" s="101" t="str">
        <f>IF(Sheet1!BR124&gt;21.75,"spill elevation","-")</f>
        <v>-</v>
      </c>
      <c r="S124" s="101" t="str">
        <f>IF(Sheet1!BS124&gt;21.75,"spill elevation","-")</f>
        <v>-</v>
      </c>
      <c r="T124" s="105">
        <f>IF(Sheet1!DQ124=1,Sheet1!AA124-(SUM(AT124:BA124)+BE124),Sheet1!AA124-SUM(AT124:BA124))</f>
        <v>27.343712000002327</v>
      </c>
      <c r="U124" s="105">
        <f>Sheet1!BU124</f>
        <v>30.4</v>
      </c>
      <c r="V124" s="105">
        <f t="shared" si="21"/>
        <v>-3.0562879999976715</v>
      </c>
      <c r="W124" s="105">
        <f t="shared" si="22"/>
        <v>0</v>
      </c>
      <c r="X124" s="101">
        <f>IF((Sheet1!EX124-Sheet1!EX123)&lt;0,(Sheet1!EX124+100000-Sheet1!EX123)/1000,(Sheet1!EX124-Sheet1!EX123)/1000)</f>
        <v>0.68899999999999995</v>
      </c>
      <c r="Y124" s="106">
        <f>Calculation!DZ125+Calculation!EI124+'Calculations II'!O124-'Calculations II'!W124</f>
        <v>63.832643719086853</v>
      </c>
      <c r="Z124" s="106">
        <f>Y124-Sheet1!CP125</f>
        <v>48.522643719086851</v>
      </c>
      <c r="AA124" s="106">
        <f>Y124+Calculation!CZ125+Calculation!AI125</f>
        <v>72.450825537268273</v>
      </c>
      <c r="AC124" s="106">
        <f>Sheet1!AA124+Sheet1!AB124+BC124</f>
        <v>53.240000000005239</v>
      </c>
      <c r="AD124" s="106">
        <f>Sheet1!AA124+Sheet1!BN124+'Calculations II'!BC124-Calculation!AI124-Calculation!CZ124</f>
        <v>36.713216420886177</v>
      </c>
      <c r="AE124" s="106">
        <f>Sheet1!AA124+Sheet1!AB124+'Calculations II'!BC124-Calculation!AI124-Calculation!CZ124</f>
        <v>44.96321642088909</v>
      </c>
      <c r="AF124" s="106">
        <f>Sheet1!AA124+Sheet1!BN124+P124+'Calculations II'!BC124+Calculation!AI124+Calculation!CZ124</f>
        <v>55.949427298203865</v>
      </c>
      <c r="AG124" s="106">
        <f>Sheet1!AA124+Sheet1!BN124+'Calculations II'!BC124+'Calculations II'!P124-Sheet1!CP124-BP124</f>
        <v>31.082643719087717</v>
      </c>
      <c r="AH124" s="106">
        <f>Sheet1!AA124+Sheet1!BN124+'Calculations II'!BC124+'Calculations II'!P124-BP124</f>
        <v>47.672643719087716</v>
      </c>
      <c r="AI124" s="106">
        <f>BC124+Sheet1!AA124+Calculation!EI124+O124+W124+Sheet1!BN124+Calculation!AI124+Calculation!CZ124-BP124</f>
        <v>55.949427298203879</v>
      </c>
      <c r="AJ124" s="106"/>
      <c r="AM124" s="102">
        <f t="shared" si="23"/>
        <v>40653</v>
      </c>
      <c r="AN124" s="106"/>
      <c r="AO124" s="106"/>
      <c r="AR124" s="106"/>
      <c r="AT124" s="101">
        <f>Sheet1!AR124*GPMtoMGD</f>
        <v>0</v>
      </c>
      <c r="AU124" s="101">
        <f>Sheet1!AS124*GPMtoMGD</f>
        <v>2.6784000000000002E-2</v>
      </c>
      <c r="AV124" s="101">
        <f>Sheet1!AT124*GPMtoMGD</f>
        <v>0</v>
      </c>
      <c r="AW124" s="101">
        <f>Sheet1!AV124*GPMtoMGD</f>
        <v>0.38779200000000003</v>
      </c>
      <c r="AX124" s="101">
        <f>Sheet1!AW124*GPMtoMGD</f>
        <v>0.43171200000000004</v>
      </c>
      <c r="AY124" s="101">
        <f>Sheet1!AX124*GPMtoMGD</f>
        <v>0</v>
      </c>
      <c r="AZ124" s="101">
        <f>Sheet1!AY124*GPMtoMGD</f>
        <v>0</v>
      </c>
      <c r="BA124" s="101">
        <f>Sheet1!AZ124*GPMtoMGD</f>
        <v>0</v>
      </c>
      <c r="BB124" s="101">
        <f>Sheet1!BP124*GPMtoMGD</f>
        <v>0</v>
      </c>
      <c r="BC124" s="101">
        <f>Sheet1!CO124*GPMtoMGD</f>
        <v>0</v>
      </c>
      <c r="BD124" s="101">
        <f>Sheet1!BO124*GPMtoMGD</f>
        <v>1.523952</v>
      </c>
      <c r="BE124" s="101">
        <f>Sheet1!BV124*GPMtoMGD</f>
        <v>0.90014400000000006</v>
      </c>
      <c r="BF124" s="101">
        <f>Sheet1!CJ124*GPMtoMGD</f>
        <v>0.47160000000000002</v>
      </c>
      <c r="BG124" s="101">
        <f>Sheet1!CK124*GPMtoMGD</f>
        <v>0.59083200000000002</v>
      </c>
      <c r="BH124" s="101">
        <f>Sheet1!CL124*GPMtoMGD</f>
        <v>0.81259199999999998</v>
      </c>
      <c r="BI124" s="101">
        <f t="shared" si="24"/>
        <v>1.523952</v>
      </c>
      <c r="BK124" s="106">
        <f>SUM(AT124:BA124,BE124,Sheet1!BU124,'Calculations II'!BC124,Calculation!AG124)</f>
        <v>48.919648420886759</v>
      </c>
      <c r="BM124" s="439">
        <f>IF(AND(Sheet1!BQ124&lt;=11.5,Sheet1!BQ123&gt;Sheet1!BQ124),(MIN(Lookup!$C$119,VLOOKUP(Sheet1!BQ123,Lookup!$B$4:$J$236,2))-VLOOKUP(Sheet1!BQ124,Lookup!$B$4:$J$236,2))/1000000,0)</f>
        <v>0</v>
      </c>
      <c r="BN124" s="439">
        <f>IF(AND(Sheet1!BR124&lt;=11.5,Sheet1!BR123&gt;Sheet1!BR124),(MIN(Lookup!$D$119,VLOOKUP(Sheet1!BR123,Lookup!$B$4:$J$236,3))-VLOOKUP(Sheet1!BR124,Lookup!$B$4:$J$236,3))/1000000,0)</f>
        <v>0</v>
      </c>
      <c r="BP124" s="105">
        <f>SUM(BM124:BN124,W124,Sheet1!DT124)</f>
        <v>0</v>
      </c>
    </row>
    <row r="125" spans="1:68" s="101" customFormat="1">
      <c r="A125" s="101" t="s">
        <v>6</v>
      </c>
      <c r="B125" s="103">
        <v>40654</v>
      </c>
      <c r="C125" s="104">
        <v>0.33333333333357601</v>
      </c>
      <c r="E125" s="30"/>
      <c r="F125" s="30">
        <f>-(VLOOKUP(Sheet1!BZ125,Lookup!$I$4:$J$216,2)-VLOOKUP(Sheet1!BZ124,Lookup!$I$4:$J$216,2))/1000000</f>
        <v>0.10363693854779936</v>
      </c>
      <c r="G125" s="106">
        <f>-$G$6*(Sheet1!CB125-Sheet1!CB124)*7.48/1000000</f>
        <v>-3.4153610905200997</v>
      </c>
      <c r="H125" s="106">
        <f>-$H$6*(Sheet1!CA125-Sheet1!CA124)*7.48/1000000</f>
        <v>0.12031545881012005</v>
      </c>
      <c r="I125" s="106">
        <f>-$I$6*(Sheet1!CC125-Sheet1!CC124)*7.48/1000000</f>
        <v>-3.2384715170448636E-2</v>
      </c>
      <c r="J125" s="107" t="s">
        <v>193</v>
      </c>
      <c r="K125" s="106">
        <f>-$I$6*(Sheet1!CD125-Sheet1!CD124)*7.48/1000000</f>
        <v>0</v>
      </c>
      <c r="L125" s="107" t="s">
        <v>193</v>
      </c>
      <c r="M125" s="106">
        <f>-$M$6*(Sheet1!CE125-Sheet1!CE124)*7.48/1000000</f>
        <v>-3.0651273722508889E-2</v>
      </c>
      <c r="N125" s="106">
        <f>-$N$6*(Sheet1!CF125-Sheet1!CF124)*7.48/1000000</f>
        <v>0.13030992532871072</v>
      </c>
      <c r="O125" s="106">
        <f t="shared" si="20"/>
        <v>-3.1241347567264275</v>
      </c>
      <c r="P125" s="106">
        <f>O125+Calculation!EI125</f>
        <v>-6.8065347567264283</v>
      </c>
      <c r="Q125" s="101" t="str">
        <f>IF(Sheet1!BQ125&gt;21.75,"spill elevation","-")</f>
        <v>-</v>
      </c>
      <c r="R125" s="101" t="str">
        <f>IF(Sheet1!BR125&gt;21.75,"spill elevation","-")</f>
        <v>-</v>
      </c>
      <c r="S125" s="101" t="str">
        <f>IF(Sheet1!BS125&gt;21.75,"spill elevation","-")</f>
        <v>-</v>
      </c>
      <c r="T125" s="105">
        <f>IF(Sheet1!DQ125=1,Sheet1!AA125-(SUM(AT125:BA125)+BE125),Sheet1!AA125-SUM(AT125:BA125))</f>
        <v>28.289136000002909</v>
      </c>
      <c r="U125" s="105">
        <f>Sheet1!BU125</f>
        <v>23.7</v>
      </c>
      <c r="V125" s="105">
        <f t="shared" si="21"/>
        <v>4.5891360000029096</v>
      </c>
      <c r="W125" s="105">
        <f t="shared" si="22"/>
        <v>0</v>
      </c>
      <c r="X125" s="101">
        <f>IF((Sheet1!EX125-Sheet1!EX124)&lt;0,(Sheet1!EX125+100000-Sheet1!EX124)/1000,(Sheet1!EX125-Sheet1!EX124)/1000)</f>
        <v>0.751</v>
      </c>
      <c r="Y125" s="106">
        <f>Calculation!DZ126+Calculation!EI125+'Calculations II'!O125-'Calculations II'!W125</f>
        <v>50.803465243266878</v>
      </c>
      <c r="Z125" s="106">
        <f>Y125-Sheet1!CP126</f>
        <v>35.073465243266881</v>
      </c>
      <c r="AA125" s="106">
        <f>Y125+Calculation!CZ126+Calculation!AI126</f>
        <v>59.593808270857764</v>
      </c>
      <c r="AC125" s="106">
        <f>Sheet1!AA125+Sheet1!AB125+BC125</f>
        <v>61.150000000001455</v>
      </c>
      <c r="AD125" s="106">
        <f>Sheet1!AA125+Sheet1!BN125+'Calculations II'!BC125-Calculation!AI125-Calculation!CZ125</f>
        <v>43.731818181821488</v>
      </c>
      <c r="AE125" s="106">
        <f>Sheet1!AA125+Sheet1!AB125+'Calculations II'!BC125-Calculation!AI125-Calculation!CZ125</f>
        <v>52.531818181820036</v>
      </c>
      <c r="AF125" s="106">
        <f>Sheet1!AA125+Sheet1!BN125+P125+'Calculations II'!BC125+Calculation!AI125+Calculation!CZ125</f>
        <v>54.161647061457899</v>
      </c>
      <c r="AG125" s="106">
        <f>Sheet1!AA125+Sheet1!BN125+'Calculations II'!BC125+'Calculations II'!P125-Sheet1!CP125-BP125</f>
        <v>30.233465243276477</v>
      </c>
      <c r="AH125" s="106">
        <f>Sheet1!AA125+Sheet1!BN125+'Calculations II'!BC125+'Calculations II'!P125-BP125</f>
        <v>45.543465243276479</v>
      </c>
      <c r="AI125" s="106">
        <f>BC125+Sheet1!AA125+Calculation!EI125+O125+W125+Sheet1!BN125+Calculation!AI125+Calculation!CZ125-BP125</f>
        <v>54.161647061457906</v>
      </c>
      <c r="AJ125" s="106"/>
      <c r="AM125" s="102">
        <f t="shared" si="23"/>
        <v>40654</v>
      </c>
      <c r="AN125" s="106"/>
      <c r="AO125" s="106"/>
      <c r="AR125" s="106"/>
      <c r="AT125" s="101">
        <f>Sheet1!AR125*GPMtoMGD</f>
        <v>0</v>
      </c>
      <c r="AU125" s="101">
        <f>Sheet1!AS125*GPMtoMGD</f>
        <v>2.5632000000000002E-2</v>
      </c>
      <c r="AV125" s="101">
        <f>Sheet1!AT125*GPMtoMGD</f>
        <v>0</v>
      </c>
      <c r="AW125" s="101">
        <f>Sheet1!AV125*GPMtoMGD</f>
        <v>1.2352320000000001</v>
      </c>
      <c r="AX125" s="101">
        <f>Sheet1!AW125*GPMtoMGD</f>
        <v>0</v>
      </c>
      <c r="AY125" s="101">
        <f>Sheet1!AX125*GPMtoMGD</f>
        <v>0</v>
      </c>
      <c r="AZ125" s="101">
        <f>Sheet1!AY125*GPMtoMGD</f>
        <v>0</v>
      </c>
      <c r="BA125" s="101">
        <f>Sheet1!AZ125*GPMtoMGD</f>
        <v>0</v>
      </c>
      <c r="BB125" s="101">
        <f>Sheet1!BP125*GPMtoMGD</f>
        <v>0</v>
      </c>
      <c r="BC125" s="101">
        <f>Sheet1!CO125*GPMtoMGD</f>
        <v>0</v>
      </c>
      <c r="BD125" s="101">
        <f>Sheet1!BO125*GPMtoMGD</f>
        <v>1.877184</v>
      </c>
      <c r="BE125" s="101">
        <f>Sheet1!BV125*GPMtoMGD</f>
        <v>0.62668800000000002</v>
      </c>
      <c r="BF125" s="101">
        <f>Sheet1!CJ125*GPMtoMGD</f>
        <v>0.45878400000000008</v>
      </c>
      <c r="BG125" s="101">
        <f>Sheet1!CK125*GPMtoMGD</f>
        <v>0.62928000000000006</v>
      </c>
      <c r="BH125" s="101">
        <f>Sheet1!CL125*GPMtoMGD</f>
        <v>0.8150400000000001</v>
      </c>
      <c r="BI125" s="101">
        <f t="shared" si="24"/>
        <v>1.877184</v>
      </c>
      <c r="BK125" s="106">
        <f>SUM(AT125:BA125,BE125,Sheet1!BU125,'Calculations II'!BC125,Calculation!AG125)</f>
        <v>48.569370181817121</v>
      </c>
      <c r="BM125" s="439">
        <f>IF(AND(Sheet1!BQ125&lt;=11.5,Sheet1!BQ124&gt;Sheet1!BQ125),(MIN(Lookup!$C$119,VLOOKUP(Sheet1!BQ124,Lookup!$B$4:$J$236,2))-VLOOKUP(Sheet1!BQ125,Lookup!$B$4:$J$236,2))/1000000,0)</f>
        <v>0</v>
      </c>
      <c r="BN125" s="439">
        <f>IF(AND(Sheet1!BR125&lt;=11.5,Sheet1!BR124&gt;Sheet1!BR125),(MIN(Lookup!$D$119,VLOOKUP(Sheet1!BR124,Lookup!$B$4:$J$236,3))-VLOOKUP(Sheet1!BR125,Lookup!$B$4:$J$236,3))/1000000,0)</f>
        <v>0</v>
      </c>
      <c r="BP125" s="105">
        <f>SUM(BM125:BN125,W125,Sheet1!DT125)</f>
        <v>0</v>
      </c>
    </row>
    <row r="126" spans="1:68" s="101" customFormat="1">
      <c r="A126" s="101" t="s">
        <v>7</v>
      </c>
      <c r="B126" s="103">
        <v>40655</v>
      </c>
      <c r="C126" s="104">
        <v>0.33333333333357601</v>
      </c>
      <c r="E126" s="30"/>
      <c r="F126" s="30">
        <f>-(VLOOKUP(Sheet1!BZ126,Lookup!$I$4:$J$216,2)-VLOOKUP(Sheet1!BZ125,Lookup!$I$4:$J$216,2))/1000000</f>
        <v>-0.20727387709559872</v>
      </c>
      <c r="G126" s="106">
        <f>-$G$6*(Sheet1!CB126-Sheet1!CB125)*7.48/1000000</f>
        <v>0.34550745915726555</v>
      </c>
      <c r="H126" s="106">
        <f>-$H$6*(Sheet1!CA126-Sheet1!CA125)*7.48/1000000</f>
        <v>-0.40606467348415709</v>
      </c>
      <c r="I126" s="106">
        <f>-$I$6*(Sheet1!CC126-Sheet1!CC125)*7.48/1000000</f>
        <v>-3.5983016856053333E-3</v>
      </c>
      <c r="J126" s="107" t="s">
        <v>193</v>
      </c>
      <c r="K126" s="106">
        <f>-$I$6*(Sheet1!CD126-Sheet1!CD125)*7.48/1000000</f>
        <v>-3.5983016856054283E-2</v>
      </c>
      <c r="L126" s="107" t="s">
        <v>193</v>
      </c>
      <c r="M126" s="106">
        <f>-$M$6*(Sheet1!CE126-Sheet1!CE125)*7.48/1000000</f>
        <v>1.8657297048483713E-2</v>
      </c>
      <c r="N126" s="106">
        <f>-$N$6*(Sheet1!CF126-Sheet1!CF125)*7.48/1000000</f>
        <v>-7.4462814473549299E-2</v>
      </c>
      <c r="O126" s="106">
        <f t="shared" si="20"/>
        <v>-0.36321792738921543</v>
      </c>
      <c r="P126" s="106">
        <f>O126+Calculation!EI126</f>
        <v>-1.4172179273892151</v>
      </c>
      <c r="Q126" s="101" t="str">
        <f>IF(Sheet1!BQ126&gt;21.75,"spill elevation","-")</f>
        <v>-</v>
      </c>
      <c r="R126" s="101" t="str">
        <f>IF(Sheet1!BR126&gt;21.75,"spill elevation","-")</f>
        <v>-</v>
      </c>
      <c r="S126" s="101" t="str">
        <f>IF(Sheet1!BS126&gt;21.75,"spill elevation","-")</f>
        <v>-</v>
      </c>
      <c r="T126" s="105">
        <f>IF(Sheet1!DQ126=1,Sheet1!AA126-(SUM(AT126:BA126)+BE126),Sheet1!AA126-SUM(AT126:BA126))</f>
        <v>28.951615999994761</v>
      </c>
      <c r="U126" s="105">
        <f>Sheet1!BU126</f>
        <v>26.2</v>
      </c>
      <c r="V126" s="105">
        <f t="shared" si="21"/>
        <v>2.7516159999947618</v>
      </c>
      <c r="W126" s="105">
        <f t="shared" si="22"/>
        <v>0</v>
      </c>
      <c r="X126" s="101">
        <f>IF((Sheet1!EX126-Sheet1!EX125)&lt;0,(Sheet1!EX126+100000-Sheet1!EX125)/1000,(Sheet1!EX126-Sheet1!EX125)/1000)</f>
        <v>0.73799999999999999</v>
      </c>
      <c r="Y126" s="106">
        <f>Calculation!DZ127+Calculation!EI126+'Calculations II'!O126-'Calculations II'!W126</f>
        <v>53.582782072610783</v>
      </c>
      <c r="Z126" s="106">
        <f>Y126-Sheet1!CP127</f>
        <v>37.912782072610781</v>
      </c>
      <c r="AA126" s="106">
        <f>Y126+Calculation!CZ127+Calculation!AI127</f>
        <v>61.848902087519463</v>
      </c>
      <c r="AC126" s="106">
        <f>Sheet1!AA126+Sheet1!AB126+BC126</f>
        <v>57.609999999993306</v>
      </c>
      <c r="AD126" s="106">
        <f>Sheet1!AA126+Sheet1!BN126+'Calculations II'!BC126-Calculation!AI126-Calculation!CZ126</f>
        <v>39.669656972403885</v>
      </c>
      <c r="AE126" s="106">
        <f>Sheet1!AA126+Sheet1!AB126+'Calculations II'!BC126-Calculation!AI126-Calculation!CZ126</f>
        <v>48.819656972402427</v>
      </c>
      <c r="AF126" s="106">
        <f>Sheet1!AA126+Sheet1!BN126+P126+'Calculations II'!BC126+Calculation!AI126+Calculation!CZ126</f>
        <v>55.833125100196426</v>
      </c>
      <c r="AG126" s="106">
        <f>Sheet1!AA126+Sheet1!BN126+'Calculations II'!BC126+'Calculations II'!P126-Sheet1!CP126-BP126</f>
        <v>31.312782072605547</v>
      </c>
      <c r="AH126" s="106">
        <f>Sheet1!AA126+Sheet1!BN126+'Calculations II'!BC126+'Calculations II'!P126-BP126</f>
        <v>47.042782072605547</v>
      </c>
      <c r="AI126" s="106">
        <f>BC126+Sheet1!AA126+Calculation!EI126+O126+W126+Sheet1!BN126+Calculation!AI126+Calculation!CZ126-BP126</f>
        <v>55.833125100196426</v>
      </c>
      <c r="AJ126" s="106"/>
      <c r="AM126" s="102">
        <f t="shared" si="23"/>
        <v>40655</v>
      </c>
      <c r="AN126" s="106"/>
      <c r="AO126" s="106"/>
      <c r="AR126" s="106"/>
      <c r="AT126" s="101">
        <f>Sheet1!AR126*GPMtoMGD</f>
        <v>0</v>
      </c>
      <c r="AU126" s="101">
        <f>Sheet1!AS126*GPMtoMGD</f>
        <v>2.664E-2</v>
      </c>
      <c r="AV126" s="101">
        <f>Sheet1!AT126*GPMtoMGD</f>
        <v>0</v>
      </c>
      <c r="AW126" s="101">
        <f>Sheet1!AV126*GPMtoMGD</f>
        <v>1.2732480000000002</v>
      </c>
      <c r="AX126" s="101">
        <f>Sheet1!AW126*GPMtoMGD</f>
        <v>8.4960000000000018E-3</v>
      </c>
      <c r="AY126" s="101">
        <f>Sheet1!AX126*GPMtoMGD</f>
        <v>0</v>
      </c>
      <c r="AZ126" s="101">
        <f>Sheet1!AY126*GPMtoMGD</f>
        <v>0</v>
      </c>
      <c r="BA126" s="101">
        <f>Sheet1!AZ126*GPMtoMGD</f>
        <v>0</v>
      </c>
      <c r="BB126" s="101">
        <f>Sheet1!BP126*GPMtoMGD</f>
        <v>0</v>
      </c>
      <c r="BC126" s="101">
        <f>Sheet1!CO126*GPMtoMGD</f>
        <v>0</v>
      </c>
      <c r="BD126" s="101">
        <f>Sheet1!BO126*GPMtoMGD</f>
        <v>1.7596800000000001</v>
      </c>
      <c r="BE126" s="101">
        <f>Sheet1!BV126*GPMtoMGD</f>
        <v>0.64814400000000005</v>
      </c>
      <c r="BF126" s="101">
        <f>Sheet1!CJ126*GPMtoMGD</f>
        <v>0.65764800000000001</v>
      </c>
      <c r="BG126" s="101">
        <f>Sheet1!CK126*GPMtoMGD</f>
        <v>0.59155200000000008</v>
      </c>
      <c r="BH126" s="101">
        <f>Sheet1!CL126*GPMtoMGD</f>
        <v>0.81316800000000011</v>
      </c>
      <c r="BI126" s="101">
        <f t="shared" si="24"/>
        <v>1.7596800000000001</v>
      </c>
      <c r="BK126" s="106">
        <f>SUM(AT126:BA126,BE126,Sheet1!BU126,'Calculations II'!BC126,Calculation!AG126)</f>
        <v>46.71618497240766</v>
      </c>
      <c r="BM126" s="439">
        <f>IF(AND(Sheet1!BQ126&lt;=11.5,Sheet1!BQ125&gt;Sheet1!BQ126),(MIN(Lookup!$C$119,VLOOKUP(Sheet1!BQ125,Lookup!$B$4:$J$236,2))-VLOOKUP(Sheet1!BQ126,Lookup!$B$4:$J$236,2))/1000000,0)</f>
        <v>0</v>
      </c>
      <c r="BN126" s="439">
        <f>IF(AND(Sheet1!BR126&lt;=11.5,Sheet1!BR125&gt;Sheet1!BR126),(MIN(Lookup!$D$119,VLOOKUP(Sheet1!BR125,Lookup!$B$4:$J$236,3))-VLOOKUP(Sheet1!BR126,Lookup!$B$4:$J$236,3))/1000000,0)</f>
        <v>0</v>
      </c>
      <c r="BP126" s="105">
        <f>SUM(BM126:BN126,W126,Sheet1!DT126)</f>
        <v>0</v>
      </c>
    </row>
    <row r="127" spans="1:68" s="101" customFormat="1">
      <c r="A127" s="101" t="s">
        <v>8</v>
      </c>
      <c r="B127" s="103">
        <v>40656</v>
      </c>
      <c r="C127" s="104">
        <v>0.33333333333357601</v>
      </c>
      <c r="E127" s="30"/>
      <c r="F127" s="30">
        <f>-(VLOOKUP(Sheet1!BZ127,Lookup!$I$4:$J$216,2)-VLOOKUP(Sheet1!BZ126,Lookup!$I$4:$J$216,2))/1000000</f>
        <v>0</v>
      </c>
      <c r="G127" s="106">
        <f>-$G$6*(Sheet1!CB127-Sheet1!CB126)*7.48/1000000</f>
        <v>0.40904906084136122</v>
      </c>
      <c r="H127" s="106">
        <f>-$H$6*(Sheet1!CA127-Sheet1!CA126)*7.48/1000000</f>
        <v>3.0078864702530548E-2</v>
      </c>
      <c r="I127" s="106">
        <f>-$I$6*(Sheet1!CC127-Sheet1!CC126)*7.48/1000000</f>
        <v>0.19790659270829747</v>
      </c>
      <c r="J127" s="107" t="s">
        <v>193</v>
      </c>
      <c r="K127" s="106">
        <f>-$I$6*(Sheet1!CD127-Sheet1!CD126)*7.48/1000000</f>
        <v>0.20510319607950844</v>
      </c>
      <c r="L127" s="107" t="s">
        <v>193</v>
      </c>
      <c r="M127" s="106">
        <f>-$M$6*(Sheet1!CE127-Sheet1!CE126)*7.48/1000000</f>
        <v>4.6643242621209044E-2</v>
      </c>
      <c r="N127" s="106">
        <f>-$N$6*(Sheet1!CF127-Sheet1!CF126)*7.48/1000000</f>
        <v>7.4462814473549299E-2</v>
      </c>
      <c r="O127" s="106">
        <f t="shared" si="20"/>
        <v>0.96324377142645601</v>
      </c>
      <c r="P127" s="106">
        <f>O127+Calculation!EI127</f>
        <v>-1.1581562285735445</v>
      </c>
      <c r="Q127" s="101" t="str">
        <f>IF(Sheet1!BQ127&gt;21.75,"spill elevation","-")</f>
        <v>-</v>
      </c>
      <c r="R127" s="101" t="str">
        <f>IF(Sheet1!BR127&gt;21.75,"spill elevation","-")</f>
        <v>-</v>
      </c>
      <c r="S127" s="101" t="str">
        <f>IF(Sheet1!BS127&gt;21.75,"spill elevation","-")</f>
        <v>-</v>
      </c>
      <c r="T127" s="105">
        <f>IF(Sheet1!DQ127=1,Sheet1!AA127-(SUM(AT127:BA127)+BE127),Sheet1!AA127-SUM(AT127:BA127))</f>
        <v>28.294543999999998</v>
      </c>
      <c r="U127" s="105">
        <f>Sheet1!BU127</f>
        <v>25.4</v>
      </c>
      <c r="V127" s="105">
        <f t="shared" si="21"/>
        <v>2.8945439999999998</v>
      </c>
      <c r="W127" s="105">
        <f t="shared" si="22"/>
        <v>0</v>
      </c>
      <c r="X127" s="101">
        <f>IF((Sheet1!EX127-Sheet1!EX126)&lt;0,(Sheet1!EX127+100000-Sheet1!EX126)/1000,(Sheet1!EX127-Sheet1!EX126)/1000)</f>
        <v>0.70699999999999996</v>
      </c>
      <c r="Y127" s="106">
        <f>Calculation!DZ128+Calculation!EI127+'Calculations II'!O127-'Calculations II'!W127</f>
        <v>56.841843771426454</v>
      </c>
      <c r="Z127" s="106">
        <f>Y127-Sheet1!CP128</f>
        <v>40.571843771426458</v>
      </c>
      <c r="AA127" s="106">
        <f>Y127+Calculation!CZ128+Calculation!AI128</f>
        <v>65.793516633879989</v>
      </c>
      <c r="AC127" s="106">
        <f>Sheet1!AA127+Sheet1!AB127+BC127</f>
        <v>55</v>
      </c>
      <c r="AD127" s="106">
        <f>Sheet1!AA127+Sheet1!BN127+'Calculations II'!BC127-Calculation!AI127-Calculation!CZ127</f>
        <v>39.033879985091318</v>
      </c>
      <c r="AE127" s="106">
        <f>Sheet1!AA127+Sheet1!AB127+'Calculations II'!BC127-Calculation!AI127-Calculation!CZ127</f>
        <v>46.73387998509132</v>
      </c>
      <c r="AF127" s="106">
        <f>Sheet1!AA127+Sheet1!BN127+P127+'Calculations II'!BC127+Calculation!AI127+Calculation!CZ127</f>
        <v>54.407963786335131</v>
      </c>
      <c r="AG127" s="106">
        <f>Sheet1!AA127+Sheet1!BN127+'Calculations II'!BC127+'Calculations II'!P127-Sheet1!CP127-BP127</f>
        <v>30.47184377142645</v>
      </c>
      <c r="AH127" s="106">
        <f>Sheet1!AA127+Sheet1!BN127+'Calculations II'!BC127+'Calculations II'!P127-BP127</f>
        <v>46.141843771426451</v>
      </c>
      <c r="AI127" s="106">
        <f>BC127+Sheet1!AA127+Calculation!EI127+O127+W127+Sheet1!BN127+Calculation!AI127+Calculation!CZ127-BP127</f>
        <v>54.407963786335131</v>
      </c>
      <c r="AJ127" s="106"/>
      <c r="AM127" s="102">
        <f t="shared" si="23"/>
        <v>40656</v>
      </c>
      <c r="AN127" s="106"/>
      <c r="AO127" s="106"/>
      <c r="AR127" s="106"/>
      <c r="AT127" s="101">
        <f>Sheet1!AR127*GPMtoMGD</f>
        <v>0</v>
      </c>
      <c r="AU127" s="101">
        <f>Sheet1!AS127*GPMtoMGD</f>
        <v>5.1264000000000004E-2</v>
      </c>
      <c r="AV127" s="101">
        <f>Sheet1!AT127*GPMtoMGD</f>
        <v>0</v>
      </c>
      <c r="AW127" s="101">
        <f>Sheet1!AV127*GPMtoMGD</f>
        <v>0.65419200000000011</v>
      </c>
      <c r="AX127" s="101">
        <f>Sheet1!AW127*GPMtoMGD</f>
        <v>0</v>
      </c>
      <c r="AY127" s="101">
        <f>Sheet1!AX127*GPMtoMGD</f>
        <v>0</v>
      </c>
      <c r="AZ127" s="101">
        <f>Sheet1!AY127*GPMtoMGD</f>
        <v>0</v>
      </c>
      <c r="BA127" s="101">
        <f>Sheet1!AZ127*GPMtoMGD</f>
        <v>0</v>
      </c>
      <c r="BB127" s="101">
        <f>Sheet1!BP127*GPMtoMGD</f>
        <v>0</v>
      </c>
      <c r="BC127" s="101">
        <f>Sheet1!CO127*GPMtoMGD</f>
        <v>0</v>
      </c>
      <c r="BD127" s="101">
        <f>Sheet1!BO127*GPMtoMGD</f>
        <v>1.803744</v>
      </c>
      <c r="BE127" s="101">
        <f>Sheet1!BV127*GPMtoMGD</f>
        <v>0.93715199999999999</v>
      </c>
      <c r="BF127" s="101">
        <f>Sheet1!CJ127*GPMtoMGD</f>
        <v>0.63014400000000004</v>
      </c>
      <c r="BG127" s="101">
        <f>Sheet1!CK127*GPMtoMGD</f>
        <v>0.67262400000000011</v>
      </c>
      <c r="BH127" s="101">
        <f>Sheet1!CL127*GPMtoMGD</f>
        <v>0.77097599999999999</v>
      </c>
      <c r="BI127" s="101">
        <f t="shared" si="24"/>
        <v>1.803744</v>
      </c>
      <c r="BK127" s="106">
        <f>SUM(AT127:BA127,BE127,Sheet1!BU127,'Calculations II'!BC127,Calculation!AG127)</f>
        <v>44.776487985091315</v>
      </c>
      <c r="BM127" s="439">
        <f>IF(AND(Sheet1!BQ127&lt;=11.5,Sheet1!BQ126&gt;Sheet1!BQ127),(MIN(Lookup!$C$119,VLOOKUP(Sheet1!BQ126,Lookup!$B$4:$J$236,2))-VLOOKUP(Sheet1!BQ127,Lookup!$B$4:$J$236,2))/1000000,0)</f>
        <v>0</v>
      </c>
      <c r="BN127" s="439">
        <f>IF(AND(Sheet1!BR127&lt;=11.5,Sheet1!BR126&gt;Sheet1!BR127),(MIN(Lookup!$D$119,VLOOKUP(Sheet1!BR126,Lookup!$B$4:$J$236,3))-VLOOKUP(Sheet1!BR127,Lookup!$B$4:$J$236,3))/1000000,0)</f>
        <v>0</v>
      </c>
      <c r="BP127" s="105">
        <f>SUM(BM127:BN127,W127,Sheet1!DT127)</f>
        <v>0</v>
      </c>
    </row>
    <row r="128" spans="1:68" s="101" customFormat="1">
      <c r="A128" s="101" t="s">
        <v>9</v>
      </c>
      <c r="B128" s="103">
        <v>40657</v>
      </c>
      <c r="C128" s="104">
        <v>0.33333333333357601</v>
      </c>
      <c r="E128" s="30"/>
      <c r="F128" s="30">
        <f>-(VLOOKUP(Sheet1!BZ128,Lookup!$I$4:$J$216,2)-VLOOKUP(Sheet1!BZ127,Lookup!$I$4:$J$216,2))/1000000</f>
        <v>0.10363693854779936</v>
      </c>
      <c r="G128" s="106">
        <f>-$G$6*(Sheet1!CB128-Sheet1!CB127)*7.48/1000000</f>
        <v>-0.8300121719984892</v>
      </c>
      <c r="H128" s="106">
        <f>-$H$6*(Sheet1!CA128-Sheet1!CA127)*7.48/1000000</f>
        <v>0.10527602645885584</v>
      </c>
      <c r="I128" s="106">
        <f>-$I$6*(Sheet1!CC128-Sheet1!CC127)*7.48/1000000</f>
        <v>-0.19790659270829747</v>
      </c>
      <c r="J128" s="107" t="s">
        <v>193</v>
      </c>
      <c r="K128" s="106">
        <f>-$I$6*(Sheet1!CD128-Sheet1!CD127)*7.48/1000000</f>
        <v>-0.20510319607950844</v>
      </c>
      <c r="L128" s="107" t="s">
        <v>193</v>
      </c>
      <c r="M128" s="106">
        <f>-$M$6*(Sheet1!CE128-Sheet1!CE127)*7.48/1000000</f>
        <v>-4.6643242621209044E-2</v>
      </c>
      <c r="N128" s="106">
        <f>-$N$6*(Sheet1!CF128-Sheet1!CF127)*7.48/1000000</f>
        <v>6.2052345394622583E-3</v>
      </c>
      <c r="O128" s="106">
        <f t="shared" si="20"/>
        <v>-1.0645470038613869</v>
      </c>
      <c r="P128" s="106">
        <f>O128+Calculation!EI128</f>
        <v>-3.4664470038613868</v>
      </c>
      <c r="Q128" s="101" t="str">
        <f>IF(Sheet1!BQ128&gt;21.75,"spill elevation","-")</f>
        <v>-</v>
      </c>
      <c r="R128" s="101" t="str">
        <f>IF(Sheet1!BR128&gt;21.75,"spill elevation","-")</f>
        <v>-</v>
      </c>
      <c r="S128" s="101" t="str">
        <f>IF(Sheet1!BS128&gt;21.75,"spill elevation","-")</f>
        <v>-</v>
      </c>
      <c r="T128" s="105">
        <f>IF(Sheet1!DQ128=1,Sheet1!AA128-(SUM(AT128:BA128)+BE128),Sheet1!AA128-SUM(AT128:BA128))</f>
        <v>29.054352000000002</v>
      </c>
      <c r="U128" s="105">
        <f>Sheet1!BU128</f>
        <v>25.2</v>
      </c>
      <c r="V128" s="105">
        <f t="shared" si="21"/>
        <v>3.8543520000000022</v>
      </c>
      <c r="W128" s="105">
        <f t="shared" si="22"/>
        <v>0</v>
      </c>
      <c r="X128" s="101">
        <f>IF((Sheet1!EX128-Sheet1!EX127)&lt;0,(Sheet1!EX128+100000-Sheet1!EX127)/1000,(Sheet1!EX128-Sheet1!EX127)/1000)</f>
        <v>0.748</v>
      </c>
      <c r="Y128" s="106">
        <f>Calculation!DZ129+Calculation!EI128+'Calculations II'!O128-'Calculations II'!W128</f>
        <v>52.585824996138619</v>
      </c>
      <c r="Z128" s="106">
        <f>Y128-Sheet1!CP129</f>
        <v>36.555824996138618</v>
      </c>
      <c r="AA128" s="106">
        <f>Y128+Calculation!CZ129+Calculation!AI129</f>
        <v>61.452541302914497</v>
      </c>
      <c r="AC128" s="106">
        <f>Sheet1!AA128+Sheet1!AB128+BC128</f>
        <v>58</v>
      </c>
      <c r="AD128" s="106">
        <f>Sheet1!AA128+Sheet1!BN128+'Calculations II'!BC128-Calculation!AI128-Calculation!CZ128</f>
        <v>39.348327137546462</v>
      </c>
      <c r="AE128" s="106">
        <f>Sheet1!AA128+Sheet1!AB128+'Calculations II'!BC128-Calculation!AI128-Calculation!CZ128</f>
        <v>49.048327137546465</v>
      </c>
      <c r="AF128" s="106">
        <f>Sheet1!AA128+Sheet1!BN128+P128+'Calculations II'!BC128+Calculation!AI128+Calculation!CZ128</f>
        <v>53.785225858592142</v>
      </c>
      <c r="AG128" s="106">
        <f>Sheet1!AA128+Sheet1!BN128+'Calculations II'!BC128+'Calculations II'!P128-Sheet1!CP128-BP128</f>
        <v>28.563552996138608</v>
      </c>
      <c r="AH128" s="106">
        <f>Sheet1!AA128+Sheet1!BN128+'Calculations II'!BC128+'Calculations II'!P128-BP128</f>
        <v>44.833552996138607</v>
      </c>
      <c r="AI128" s="106">
        <f>BC128+Sheet1!AA128+Calculation!EI128+O128+W128+Sheet1!BN128+Calculation!AI128+Calculation!CZ128-BP128</f>
        <v>53.785225858592142</v>
      </c>
      <c r="AJ128" s="106"/>
      <c r="AM128" s="102">
        <f t="shared" si="23"/>
        <v>40657</v>
      </c>
      <c r="AN128" s="106"/>
      <c r="AO128" s="106"/>
      <c r="AR128" s="106"/>
      <c r="AT128" s="101">
        <f>Sheet1!AR128*GPMtoMGD</f>
        <v>0</v>
      </c>
      <c r="AU128" s="101">
        <f>Sheet1!AS128*GPMtoMGD</f>
        <v>2.7648000000000002E-2</v>
      </c>
      <c r="AV128" s="101">
        <f>Sheet1!AT128*GPMtoMGD</f>
        <v>0</v>
      </c>
      <c r="AW128" s="101">
        <f>Sheet1!AV128*GPMtoMGD</f>
        <v>0.91800000000000004</v>
      </c>
      <c r="AX128" s="101">
        <f>Sheet1!AW128*GPMtoMGD</f>
        <v>0</v>
      </c>
      <c r="AY128" s="101">
        <f>Sheet1!AX128*GPMtoMGD</f>
        <v>0</v>
      </c>
      <c r="AZ128" s="101">
        <f>Sheet1!AY128*GPMtoMGD</f>
        <v>0</v>
      </c>
      <c r="BA128" s="101">
        <f>Sheet1!AZ128*GPMtoMGD</f>
        <v>0</v>
      </c>
      <c r="BB128" s="101">
        <f>Sheet1!BP128*GPMtoMGD</f>
        <v>0</v>
      </c>
      <c r="BC128" s="101">
        <f>Sheet1!CO128*GPMtoMGD</f>
        <v>0</v>
      </c>
      <c r="BD128" s="101">
        <f>Sheet1!BO128*GPMtoMGD</f>
        <v>2.3254560000000004</v>
      </c>
      <c r="BE128" s="101">
        <f>Sheet1!BV128*GPMtoMGD</f>
        <v>0.66168000000000005</v>
      </c>
      <c r="BF128" s="101">
        <f>Sheet1!CJ128*GPMtoMGD</f>
        <v>0.37526400000000004</v>
      </c>
      <c r="BG128" s="101">
        <f>Sheet1!CK128*GPMtoMGD</f>
        <v>0.61315200000000003</v>
      </c>
      <c r="BH128" s="101">
        <f>Sheet1!CL128*GPMtoMGD</f>
        <v>0.74822400000000011</v>
      </c>
      <c r="BI128" s="101">
        <f t="shared" si="24"/>
        <v>2.3254560000000004</v>
      </c>
      <c r="BK128" s="106">
        <f>SUM(AT128:BA128,BE128,Sheet1!BU128,'Calculations II'!BC128,Calculation!AG128)</f>
        <v>45.855655137546464</v>
      </c>
      <c r="BM128" s="439">
        <f>IF(AND(Sheet1!BQ128&lt;=11.5,Sheet1!BQ127&gt;Sheet1!BQ128),(MIN(Lookup!$C$119,VLOOKUP(Sheet1!BQ127,Lookup!$B$4:$J$236,2))-VLOOKUP(Sheet1!BQ128,Lookup!$B$4:$J$236,2))/1000000,0)</f>
        <v>0</v>
      </c>
      <c r="BN128" s="439">
        <f>IF(AND(Sheet1!BR128&lt;=11.5,Sheet1!BR127&gt;Sheet1!BR128),(MIN(Lookup!$D$119,VLOOKUP(Sheet1!BR127,Lookup!$B$4:$J$236,3))-VLOOKUP(Sheet1!BR128,Lookup!$B$4:$J$236,3))/1000000,0)</f>
        <v>0</v>
      </c>
      <c r="BP128" s="105">
        <f>SUM(BM128:BN128,W128,Sheet1!DT128)</f>
        <v>0</v>
      </c>
    </row>
    <row r="129" spans="1:68" s="101" customFormat="1">
      <c r="A129" s="101" t="s">
        <v>3</v>
      </c>
      <c r="B129" s="103">
        <v>40658</v>
      </c>
      <c r="C129" s="104">
        <v>0.33333333333357601</v>
      </c>
      <c r="E129" s="30"/>
      <c r="F129" s="30">
        <f>-(VLOOKUP(Sheet1!BZ129,Lookup!$I$4:$J$216,2)-VLOOKUP(Sheet1!BZ128,Lookup!$I$4:$J$216,2))/1000000</f>
        <v>0.20727387709559872</v>
      </c>
      <c r="G129" s="106">
        <f>-$G$6*(Sheet1!CB129-Sheet1!CB128)*7.48/1000000</f>
        <v>0.27402315726265891</v>
      </c>
      <c r="H129" s="106">
        <f>-$H$6*(Sheet1!CA129-Sheet1!CA128)*7.48/1000000</f>
        <v>0.18047318821518007</v>
      </c>
      <c r="I129" s="106">
        <f>-$I$6*(Sheet1!CC129-Sheet1!CC128)*7.48/1000000</f>
        <v>7.196603371210826E-2</v>
      </c>
      <c r="J129" s="107" t="s">
        <v>193</v>
      </c>
      <c r="K129" s="106">
        <f>-$I$6*(Sheet1!CD129-Sheet1!CD128)*7.48/1000000</f>
        <v>8.9957542140135238E-2</v>
      </c>
      <c r="L129" s="107" t="s">
        <v>193</v>
      </c>
      <c r="M129" s="106">
        <f>-$M$6*(Sheet1!CE129-Sheet1!CE128)*7.48/1000000</f>
        <v>6.6633203744583007E-3</v>
      </c>
      <c r="N129" s="106">
        <f>-$N$6*(Sheet1!CF129-Sheet1!CF128)*7.48/1000000</f>
        <v>0.161336098026022</v>
      </c>
      <c r="O129" s="106">
        <f t="shared" si="20"/>
        <v>0.99169321682616163</v>
      </c>
      <c r="P129" s="106">
        <f>O129+Calculation!EI129</f>
        <v>-1.1465067831738387</v>
      </c>
      <c r="Q129" s="101" t="str">
        <f>IF(Sheet1!BQ129&gt;21.75,"spill elevation","-")</f>
        <v>-</v>
      </c>
      <c r="R129" s="101" t="str">
        <f>IF(Sheet1!BR129&gt;21.75,"spill elevation","-")</f>
        <v>-</v>
      </c>
      <c r="S129" s="101" t="str">
        <f>IF(Sheet1!BS129&gt;21.75,"spill elevation","-")</f>
        <v>-</v>
      </c>
      <c r="T129" s="105">
        <f>IF(Sheet1!DQ129=1,Sheet1!AA129-(SUM(AT129:BA129)+BE129),Sheet1!AA129-SUM(AT129:BA129))</f>
        <v>28.242767999999998</v>
      </c>
      <c r="U129" s="105">
        <f>Sheet1!BU129</f>
        <v>24.9</v>
      </c>
      <c r="V129" s="105">
        <f t="shared" si="21"/>
        <v>3.3427679999999995</v>
      </c>
      <c r="W129" s="105">
        <f t="shared" si="22"/>
        <v>0</v>
      </c>
      <c r="X129" s="101">
        <f>IF((Sheet1!EX129-Sheet1!EX128)&lt;0,(Sheet1!EX129+100000-Sheet1!EX128)/1000,(Sheet1!EX129-Sheet1!EX128)/1000)</f>
        <v>0.72199999999999998</v>
      </c>
      <c r="Y129" s="106">
        <f>Calculation!DZ130+Calculation!EI129+'Calculations II'!O129-'Calculations II'!W129</f>
        <v>58.994341216829078</v>
      </c>
      <c r="Z129" s="106">
        <f>Y129-Sheet1!CP130</f>
        <v>43.384341216829078</v>
      </c>
      <c r="AA129" s="106">
        <f>Y129+Calculation!CZ130+Calculation!AI130</f>
        <v>68.924185314824626</v>
      </c>
      <c r="AC129" s="106">
        <f>Sheet1!AA129+Sheet1!AB129+BC129</f>
        <v>56.052272000000002</v>
      </c>
      <c r="AD129" s="106">
        <f>Sheet1!AA129+Sheet1!BN129+'Calculations II'!BC129-Calculation!AI129-Calculation!CZ129</f>
        <v>38.885555693224134</v>
      </c>
      <c r="AE129" s="106">
        <f>Sheet1!AA129+Sheet1!AB129+'Calculations II'!BC129-Calculation!AI129-Calculation!CZ129</f>
        <v>47.185555693224131</v>
      </c>
      <c r="AF129" s="106">
        <f>Sheet1!AA129+Sheet1!BN129+P129+'Calculations II'!BC129+Calculation!AI129+Calculation!CZ129</f>
        <v>55.472481523602042</v>
      </c>
      <c r="AG129" s="106">
        <f>Sheet1!AA129+Sheet1!BN129+'Calculations II'!BC129+'Calculations II'!P129-Sheet1!CP129-BP129</f>
        <v>30.575765216826163</v>
      </c>
      <c r="AH129" s="106">
        <f>Sheet1!AA129+Sheet1!BN129+'Calculations II'!BC129+'Calculations II'!P129-BP129</f>
        <v>46.605765216826164</v>
      </c>
      <c r="AI129" s="106">
        <f>BC129+Sheet1!AA129+Calculation!EI129+O129+W129+Sheet1!BN129+Calculation!AI129+Calculation!CZ129-BP129</f>
        <v>55.472481523602028</v>
      </c>
      <c r="AJ129" s="106"/>
      <c r="AM129" s="102">
        <f t="shared" si="23"/>
        <v>40658</v>
      </c>
      <c r="AN129" s="106"/>
      <c r="AO129" s="106"/>
      <c r="AR129" s="106"/>
      <c r="AT129" s="101">
        <f>Sheet1!AR129*GPMtoMGD</f>
        <v>0</v>
      </c>
      <c r="AU129" s="101">
        <f>Sheet1!AS129*GPMtoMGD</f>
        <v>2.6352000000000004E-2</v>
      </c>
      <c r="AV129" s="101">
        <f>Sheet1!AT129*GPMtoMGD</f>
        <v>0</v>
      </c>
      <c r="AW129" s="101">
        <f>Sheet1!AV129*GPMtoMGD</f>
        <v>1.4832000000000001</v>
      </c>
      <c r="AX129" s="101">
        <f>Sheet1!AW129*GPMtoMGD</f>
        <v>0.24768000000000001</v>
      </c>
      <c r="AY129" s="101">
        <f>Sheet1!AX129*GPMtoMGD</f>
        <v>0</v>
      </c>
      <c r="AZ129" s="101">
        <f>Sheet1!AY129*GPMtoMGD</f>
        <v>0</v>
      </c>
      <c r="BA129" s="101">
        <f>Sheet1!AZ129*GPMtoMGD</f>
        <v>0</v>
      </c>
      <c r="BB129" s="101">
        <f>Sheet1!BP129*GPMtoMGD</f>
        <v>0</v>
      </c>
      <c r="BC129" s="101">
        <f>Sheet1!CO129*GPMtoMGD</f>
        <v>5.2271999999999999E-2</v>
      </c>
      <c r="BD129" s="101">
        <f>Sheet1!BO129*GPMtoMGD</f>
        <v>1.7892000000000001</v>
      </c>
      <c r="BE129" s="101">
        <f>Sheet1!BV129*GPMtoMGD</f>
        <v>0.90676800000000013</v>
      </c>
      <c r="BF129" s="101">
        <f>Sheet1!CJ129*GPMtoMGD</f>
        <v>0.590256</v>
      </c>
      <c r="BG129" s="101">
        <f>Sheet1!CK129*GPMtoMGD</f>
        <v>0.54043200000000002</v>
      </c>
      <c r="BH129" s="101">
        <f>Sheet1!CL129*GPMtoMGD</f>
        <v>0.80510400000000004</v>
      </c>
      <c r="BI129" s="101">
        <f t="shared" si="24"/>
        <v>1.7892000000000001</v>
      </c>
      <c r="BK129" s="106">
        <f>SUM(AT129:BA129,BE129,Sheet1!BU129,'Calculations II'!BC129,Calculation!AG129)</f>
        <v>44.749555693224124</v>
      </c>
      <c r="BM129" s="439">
        <f>IF(AND(Sheet1!BQ129&lt;=11.5,Sheet1!BQ128&gt;Sheet1!BQ129),(MIN(Lookup!$C$119,VLOOKUP(Sheet1!BQ128,Lookup!$B$4:$J$236,2))-VLOOKUP(Sheet1!BQ129,Lookup!$B$4:$J$236,2))/1000000,0)</f>
        <v>0</v>
      </c>
      <c r="BN129" s="439">
        <f>IF(AND(Sheet1!BR129&lt;=11.5,Sheet1!BR128&gt;Sheet1!BR129),(MIN(Lookup!$D$119,VLOOKUP(Sheet1!BR128,Lookup!$B$4:$J$236,3))-VLOOKUP(Sheet1!BR129,Lookup!$B$4:$J$236,3))/1000000,0)</f>
        <v>0</v>
      </c>
      <c r="BP129" s="105">
        <f>SUM(BM129:BN129,W129,Sheet1!DT129)</f>
        <v>0</v>
      </c>
    </row>
    <row r="130" spans="1:68" s="101" customFormat="1">
      <c r="A130" s="101" t="s">
        <v>4</v>
      </c>
      <c r="B130" s="103">
        <v>40659</v>
      </c>
      <c r="C130" s="104">
        <v>0.33333333333357601</v>
      </c>
      <c r="E130" s="30"/>
      <c r="F130" s="30">
        <f>-(VLOOKUP(Sheet1!BZ130,Lookup!$I$4:$J$216,2)-VLOOKUP(Sheet1!BZ129,Lookup!$I$4:$J$216,2))/1000000</f>
        <v>-0.41454775419119744</v>
      </c>
      <c r="G130" s="106">
        <f>-$G$6*(Sheet1!CB130-Sheet1!CB129)*7.48/1000000</f>
        <v>7.9427002105118313E-2</v>
      </c>
      <c r="H130" s="106">
        <f>-$H$6*(Sheet1!CA130-Sheet1!CA129)*7.48/1000000</f>
        <v>6.0157729405060027E-2</v>
      </c>
      <c r="I130" s="106">
        <f>-$I$6*(Sheet1!CC130-Sheet1!CC129)*7.48/1000000</f>
        <v>-0.12594055899618953</v>
      </c>
      <c r="J130" s="107" t="s">
        <v>193</v>
      </c>
      <c r="K130" s="106">
        <f>-$I$6*(Sheet1!CD130-Sheet1!CD129)*7.48/1000000</f>
        <v>-0.12594055899618922</v>
      </c>
      <c r="L130" s="107" t="s">
        <v>193</v>
      </c>
      <c r="M130" s="106">
        <f>-$M$6*(Sheet1!CE130-Sheet1!CE129)*7.48/1000000</f>
        <v>-3.3316601872292212E-2</v>
      </c>
      <c r="N130" s="106">
        <f>-$N$6*(Sheet1!CF130-Sheet1!CF129)*7.48/1000000</f>
        <v>-0.31026172697311949</v>
      </c>
      <c r="O130" s="106">
        <f t="shared" si="20"/>
        <v>-0.87042246951880964</v>
      </c>
      <c r="P130" s="106">
        <f>O130+Calculation!EI130</f>
        <v>-5.1949224695188096</v>
      </c>
      <c r="Q130" s="101" t="str">
        <f>IF(Sheet1!BQ130&gt;21.75,"spill elevation","-")</f>
        <v>-</v>
      </c>
      <c r="R130" s="101" t="str">
        <f>IF(Sheet1!BR130&gt;21.75,"spill elevation","-")</f>
        <v>-</v>
      </c>
      <c r="S130" s="101" t="str">
        <f>IF(Sheet1!BS130&gt;21.75,"spill elevation","-")</f>
        <v>-</v>
      </c>
      <c r="T130" s="105">
        <f>IF(Sheet1!DQ130=1,Sheet1!AA130-(SUM(AT130:BA130)+BE130),Sheet1!AA130-SUM(AT130:BA130))</f>
        <v>29.06300800000291</v>
      </c>
      <c r="U130" s="105">
        <f>Sheet1!BU130</f>
        <v>23.4</v>
      </c>
      <c r="V130" s="105">
        <f t="shared" si="21"/>
        <v>5.663008000002911</v>
      </c>
      <c r="W130" s="105">
        <f t="shared" si="22"/>
        <v>0</v>
      </c>
      <c r="X130" s="101">
        <f>IF((Sheet1!EX130-Sheet1!EX129)&lt;0,(Sheet1!EX130+100000-Sheet1!EX129)/1000,(Sheet1!EX130-Sheet1!EX129)/1000)</f>
        <v>0.77</v>
      </c>
      <c r="Y130" s="106">
        <f>Calculation!DZ131+Calculation!EI130+'Calculations II'!O130-'Calculations II'!W130</f>
        <v>55.302261530478283</v>
      </c>
      <c r="Z130" s="106">
        <f>Y130-Sheet1!CP131</f>
        <v>39.622261530478283</v>
      </c>
      <c r="AA130" s="106">
        <f>Y130+Calculation!CZ131+Calculation!AI131</f>
        <v>64.845763733121458</v>
      </c>
      <c r="AC130" s="106">
        <f>Sheet1!AA130+Sheet1!AB130+BC130</f>
        <v>60.140848000002912</v>
      </c>
      <c r="AD130" s="106">
        <f>Sheet1!AA130+Sheet1!BN130+'Calculations II'!BC130-Calculation!AI130-Calculation!CZ130</f>
        <v>39.76100390200736</v>
      </c>
      <c r="AE130" s="106">
        <f>Sheet1!AA130+Sheet1!AB130+'Calculations II'!BC130-Calculation!AI130-Calculation!CZ130</f>
        <v>50.211003902007363</v>
      </c>
      <c r="AF130" s="106">
        <f>Sheet1!AA130+Sheet1!BN130+P130+'Calculations II'!BC130+Calculation!AI130+Calculation!CZ130</f>
        <v>54.425769628479642</v>
      </c>
      <c r="AG130" s="106">
        <f>Sheet1!AA130+Sheet1!BN130+'Calculations II'!BC130+'Calculations II'!P130-Sheet1!CP130-BP130</f>
        <v>28.885925530484101</v>
      </c>
      <c r="AH130" s="106">
        <f>Sheet1!AA130+Sheet1!BN130+'Calculations II'!BC130+'Calculations II'!P130-BP130</f>
        <v>44.495925530484101</v>
      </c>
      <c r="AI130" s="106">
        <f>BC130+Sheet1!AA130+Calculation!EI130+O130+W130+Sheet1!BN130+Calculation!AI130+Calculation!CZ130-BP130</f>
        <v>54.425769628479642</v>
      </c>
      <c r="AJ130" s="106"/>
      <c r="AM130" s="102">
        <f t="shared" si="23"/>
        <v>40659</v>
      </c>
      <c r="AN130" s="106"/>
      <c r="AO130" s="106"/>
      <c r="AR130" s="106"/>
      <c r="AT130" s="101">
        <f>Sheet1!AR130*GPMtoMGD</f>
        <v>0</v>
      </c>
      <c r="AU130" s="101">
        <f>Sheet1!AS130*GPMtoMGD</f>
        <v>5.0688000000000004E-2</v>
      </c>
      <c r="AV130" s="101">
        <f>Sheet1!AT130*GPMtoMGD</f>
        <v>0</v>
      </c>
      <c r="AW130" s="101">
        <f>Sheet1!AV130*GPMtoMGD</f>
        <v>0.18547200000000003</v>
      </c>
      <c r="AX130" s="101">
        <f>Sheet1!AW130*GPMtoMGD</f>
        <v>0.50083200000000005</v>
      </c>
      <c r="AY130" s="101">
        <f>Sheet1!AX130*GPMtoMGD</f>
        <v>0</v>
      </c>
      <c r="AZ130" s="101">
        <f>Sheet1!AY130*GPMtoMGD</f>
        <v>0</v>
      </c>
      <c r="BA130" s="101">
        <f>Sheet1!AZ130*GPMtoMGD</f>
        <v>0</v>
      </c>
      <c r="BB130" s="101">
        <f>Sheet1!BP130*GPMtoMGD</f>
        <v>0</v>
      </c>
      <c r="BC130" s="101">
        <f>Sheet1!CO130*GPMtoMGD</f>
        <v>2.5908480000000003</v>
      </c>
      <c r="BD130" s="101">
        <f>Sheet1!BO130*GPMtoMGD</f>
        <v>1.7704800000000001</v>
      </c>
      <c r="BE130" s="101">
        <f>Sheet1!BV130*GPMtoMGD</f>
        <v>0.63144</v>
      </c>
      <c r="BF130" s="101">
        <f>Sheet1!CJ130*GPMtoMGD</f>
        <v>0.43876799999999999</v>
      </c>
      <c r="BG130" s="101">
        <f>Sheet1!CK130*GPMtoMGD</f>
        <v>0.55756800000000006</v>
      </c>
      <c r="BH130" s="101">
        <f>Sheet1!CL130*GPMtoMGD</f>
        <v>0.8029440000000001</v>
      </c>
      <c r="BI130" s="101">
        <f t="shared" si="24"/>
        <v>1.7704800000000001</v>
      </c>
      <c r="BK130" s="106">
        <f>SUM(AT130:BA130,BE130,Sheet1!BU130,'Calculations II'!BC130,Calculation!AG130)</f>
        <v>45.179435902004457</v>
      </c>
      <c r="BM130" s="439">
        <f>IF(AND(Sheet1!BQ130&lt;=11.5,Sheet1!BQ129&gt;Sheet1!BQ130),(MIN(Lookup!$C$119,VLOOKUP(Sheet1!BQ129,Lookup!$B$4:$J$236,2))-VLOOKUP(Sheet1!BQ130,Lookup!$B$4:$J$236,2))/1000000,0)</f>
        <v>0</v>
      </c>
      <c r="BN130" s="439">
        <f>IF(AND(Sheet1!BR130&lt;=11.5,Sheet1!BR129&gt;Sheet1!BR130),(MIN(Lookup!$D$119,VLOOKUP(Sheet1!BR129,Lookup!$B$4:$J$236,3))-VLOOKUP(Sheet1!BR130,Lookup!$B$4:$J$236,3))/1000000,0)</f>
        <v>0</v>
      </c>
      <c r="BP130" s="105">
        <f>SUM(BM130:BN130,W130,Sheet1!DT130)</f>
        <v>0</v>
      </c>
    </row>
    <row r="131" spans="1:68" s="101" customFormat="1">
      <c r="A131" s="101" t="s">
        <v>5</v>
      </c>
      <c r="B131" s="103">
        <v>40660</v>
      </c>
      <c r="C131" s="104">
        <v>0.33333333333357601</v>
      </c>
      <c r="E131" s="30"/>
      <c r="F131" s="30">
        <f>-(VLOOKUP(Sheet1!BZ131,Lookup!$I$4:$J$216,2)-VLOOKUP(Sheet1!BZ130,Lookup!$I$4:$J$216,2))/1000000</f>
        <v>0</v>
      </c>
      <c r="G131" s="106">
        <f>-$G$6*(Sheet1!CB131-Sheet1!CB130)*7.48/1000000</f>
        <v>0.43684851157815285</v>
      </c>
      <c r="H131" s="106">
        <f>-$H$6*(Sheet1!CA131-Sheet1!CA130)*7.48/1000000</f>
        <v>-0.42110410583542124</v>
      </c>
      <c r="I131" s="106">
        <f>-$I$6*(Sheet1!CC131-Sheet1!CC130)*7.48/1000000</f>
        <v>0.10794905056816222</v>
      </c>
      <c r="J131" s="107" t="s">
        <v>193</v>
      </c>
      <c r="K131" s="106">
        <f>-$I$6*(Sheet1!CD131-Sheet1!CD130)*7.48/1000000</f>
        <v>0.11334650309657021</v>
      </c>
      <c r="L131" s="107" t="s">
        <v>193</v>
      </c>
      <c r="M131" s="106">
        <f>-$M$6*(Sheet1!CE131-Sheet1!CE130)*7.48/1000000</f>
        <v>2.8652277610171282E-2</v>
      </c>
      <c r="N131" s="106">
        <f>-$N$6*(Sheet1!CF131-Sheet1!CF130)*7.48/1000000</f>
        <v>-7.4462814473548189E-2</v>
      </c>
      <c r="O131" s="106">
        <f t="shared" si="20"/>
        <v>0.19122942254408712</v>
      </c>
      <c r="P131" s="106">
        <f>O131+Calculation!EI131</f>
        <v>-4.7229705774559134</v>
      </c>
      <c r="Q131" s="101" t="str">
        <f>IF(Sheet1!BQ131&gt;21.75,"spill elevation","-")</f>
        <v>-</v>
      </c>
      <c r="R131" s="101" t="str">
        <f>IF(Sheet1!BR131&gt;21.75,"spill elevation","-")</f>
        <v>-</v>
      </c>
      <c r="S131" s="101" t="str">
        <f>IF(Sheet1!BS131&gt;21.75,"spill elevation","-")</f>
        <v>-</v>
      </c>
      <c r="T131" s="105">
        <f>IF(Sheet1!DQ131=1,Sheet1!AA131-(SUM(AT131:BA131)+BE131),Sheet1!AA131-SUM(AT131:BA131))</f>
        <v>29.183791999997091</v>
      </c>
      <c r="U131" s="105">
        <f>Sheet1!BU131</f>
        <v>22.6</v>
      </c>
      <c r="V131" s="105">
        <f t="shared" si="21"/>
        <v>6.5837919999970893</v>
      </c>
      <c r="W131" s="105">
        <f t="shared" si="22"/>
        <v>0</v>
      </c>
      <c r="X131" s="101">
        <f>IF((Sheet1!EX131-Sheet1!EX130)&lt;0,(Sheet1!EX131+100000-Sheet1!EX130)/1000,(Sheet1!EX131-Sheet1!EX130)/1000)</f>
        <v>0.76200000000000001</v>
      </c>
      <c r="Y131" s="106">
        <f>Calculation!DZ132+Calculation!EI131+'Calculations II'!O131-'Calculations II'!W131</f>
        <v>47.302901422544089</v>
      </c>
      <c r="Z131" s="106">
        <f>Y131-Sheet1!CP132</f>
        <v>31.622901422544089</v>
      </c>
      <c r="AA131" s="106">
        <f>Y131+Calculation!CZ132+Calculation!AI132</f>
        <v>56.404818677841767</v>
      </c>
      <c r="AC131" s="106">
        <f>Sheet1!AA131+Sheet1!AB131+BC131</f>
        <v>60.497183999997091</v>
      </c>
      <c r="AD131" s="106">
        <f>Sheet1!AA131+Sheet1!BN131+'Calculations II'!BC131-Calculation!AI131-Calculation!CZ131</f>
        <v>41.403681797353926</v>
      </c>
      <c r="AE131" s="106">
        <f>Sheet1!AA131+Sheet1!AB131+'Calculations II'!BC131-Calculation!AI131-Calculation!CZ131</f>
        <v>50.953681797353923</v>
      </c>
      <c r="AF131" s="106">
        <f>Sheet1!AA131+Sheet1!BN131+P131+'Calculations II'!BC131+Calculation!AI131+Calculation!CZ131</f>
        <v>55.767715625184351</v>
      </c>
      <c r="AG131" s="106">
        <f>Sheet1!AA131+Sheet1!BN131+'Calculations II'!BC131+'Calculations II'!P131-Sheet1!CP131-BP131</f>
        <v>30.544213422541183</v>
      </c>
      <c r="AH131" s="106">
        <f>Sheet1!AA131+Sheet1!BN131+'Calculations II'!BC131+'Calculations II'!P131-BP131</f>
        <v>46.224213422541183</v>
      </c>
      <c r="AI131" s="106">
        <f>BC131+Sheet1!AA131+Calculation!EI131+O131+W131+Sheet1!BN131+Calculation!AI131+Calculation!CZ131-BP131</f>
        <v>55.767715625184351</v>
      </c>
      <c r="AJ131" s="106"/>
      <c r="AM131" s="102">
        <f t="shared" si="23"/>
        <v>40660</v>
      </c>
      <c r="AN131" s="106"/>
      <c r="AO131" s="106"/>
      <c r="AR131" s="106"/>
      <c r="AT131" s="101">
        <f>Sheet1!AR131*GPMtoMGD</f>
        <v>0</v>
      </c>
      <c r="AU131" s="101">
        <f>Sheet1!AS131*GPMtoMGD</f>
        <v>2.7072000000000002E-2</v>
      </c>
      <c r="AV131" s="101">
        <f>Sheet1!AT131*GPMtoMGD</f>
        <v>0</v>
      </c>
      <c r="AW131" s="101">
        <f>Sheet1!AV131*GPMtoMGD</f>
        <v>0.37972800000000001</v>
      </c>
      <c r="AX131" s="101">
        <f>Sheet1!AW131*GPMtoMGD</f>
        <v>0.60940800000000006</v>
      </c>
      <c r="AY131" s="101">
        <f>Sheet1!AX131*GPMtoMGD</f>
        <v>0</v>
      </c>
      <c r="AZ131" s="101">
        <f>Sheet1!AY131*GPMtoMGD</f>
        <v>0</v>
      </c>
      <c r="BA131" s="101">
        <f>Sheet1!AZ131*GPMtoMGD</f>
        <v>0</v>
      </c>
      <c r="BB131" s="101">
        <f>Sheet1!BP131*GPMtoMGD</f>
        <v>0</v>
      </c>
      <c r="BC131" s="101">
        <f>Sheet1!CO131*GPMtoMGD</f>
        <v>3.0471840000000001</v>
      </c>
      <c r="BD131" s="101">
        <f>Sheet1!BO131*GPMtoMGD</f>
        <v>1.832112</v>
      </c>
      <c r="BE131" s="101">
        <f>Sheet1!BV131*GPMtoMGD</f>
        <v>0.65664</v>
      </c>
      <c r="BF131" s="101">
        <f>Sheet1!CJ131*GPMtoMGD</f>
        <v>4.3920000000000001E-3</v>
      </c>
      <c r="BG131" s="101">
        <f>Sheet1!CK131*GPMtoMGD</f>
        <v>0.53683200000000009</v>
      </c>
      <c r="BH131" s="101">
        <f>Sheet1!CL131*GPMtoMGD</f>
        <v>0.79790400000000006</v>
      </c>
      <c r="BI131" s="101">
        <f t="shared" si="24"/>
        <v>1.832112</v>
      </c>
      <c r="BK131" s="106">
        <f>SUM(AT131:BA131,BE131,Sheet1!BU131,'Calculations II'!BC131,Calculation!AG131)</f>
        <v>45.026529797356829</v>
      </c>
      <c r="BM131" s="439">
        <f>IF(AND(Sheet1!BQ131&lt;=11.5,Sheet1!BQ130&gt;Sheet1!BQ131),(MIN(Lookup!$C$119,VLOOKUP(Sheet1!BQ130,Lookup!$B$4:$J$236,2))-VLOOKUP(Sheet1!BQ131,Lookup!$B$4:$J$236,2))/1000000,0)</f>
        <v>0</v>
      </c>
      <c r="BN131" s="439">
        <f>IF(AND(Sheet1!BR131&lt;=11.5,Sheet1!BR130&gt;Sheet1!BR131),(MIN(Lookup!$D$119,VLOOKUP(Sheet1!BR130,Lookup!$B$4:$J$236,3))-VLOOKUP(Sheet1!BR131,Lookup!$B$4:$J$236,3))/1000000,0)</f>
        <v>0</v>
      </c>
      <c r="BP131" s="105">
        <f>SUM(BM131:BN131,W131,Sheet1!DT131)</f>
        <v>0</v>
      </c>
    </row>
    <row r="132" spans="1:68" s="101" customFormat="1">
      <c r="A132" s="101" t="s">
        <v>6</v>
      </c>
      <c r="B132" s="103">
        <v>40661</v>
      </c>
      <c r="C132" s="104">
        <v>0.33333333333357601</v>
      </c>
      <c r="E132" s="30"/>
      <c r="F132" s="30">
        <f>-(VLOOKUP(Sheet1!BZ132,Lookup!$I$4:$J$216,2)-VLOOKUP(Sheet1!BZ131,Lookup!$I$4:$J$216,2))/1000000</f>
        <v>-0.20727387709560433</v>
      </c>
      <c r="G132" s="106">
        <f>-$G$6*(Sheet1!CB132-Sheet1!CB131)*7.48/1000000</f>
        <v>0.25813775684163487</v>
      </c>
      <c r="H132" s="106">
        <f>-$H$6*(Sheet1!CA132-Sheet1!CA131)*7.48/1000000</f>
        <v>0.2707097823227706</v>
      </c>
      <c r="I132" s="106">
        <f>-$I$6*(Sheet1!CC132-Sheet1!CC131)*7.48/1000000</f>
        <v>-0.10794905056816222</v>
      </c>
      <c r="J132" s="107" t="s">
        <v>193</v>
      </c>
      <c r="K132" s="106">
        <f>-$I$6*(Sheet1!CD132-Sheet1!CD131)*7.48/1000000</f>
        <v>-0.11334650309657021</v>
      </c>
      <c r="L132" s="107" t="s">
        <v>193</v>
      </c>
      <c r="M132" s="106">
        <f>-$M$6*(Sheet1!CE132-Sheet1!CE131)*7.48/1000000</f>
        <v>-2.1988957235712748E-2</v>
      </c>
      <c r="N132" s="106">
        <f>-$N$6*(Sheet1!CF132-Sheet1!CF131)*7.48/1000000</f>
        <v>-0.1675413325654854</v>
      </c>
      <c r="O132" s="106">
        <f t="shared" si="20"/>
        <v>-8.9252181397129482E-2</v>
      </c>
      <c r="P132" s="106">
        <f>O132+Calculation!EI132</f>
        <v>2.3733478186028707</v>
      </c>
      <c r="Q132" s="101" t="str">
        <f>IF(Sheet1!BQ132&gt;21.75,"spill elevation","-")</f>
        <v>-</v>
      </c>
      <c r="R132" s="101" t="str">
        <f>IF(Sheet1!BR132&gt;21.75,"spill elevation","-")</f>
        <v>-</v>
      </c>
      <c r="S132" s="101" t="str">
        <f>IF(Sheet1!BS132&gt;21.75,"spill elevation","-")</f>
        <v>-</v>
      </c>
      <c r="T132" s="105">
        <f>IF(Sheet1!DQ132=1,Sheet1!AA132-(SUM(AT132:BA132)+BE132),Sheet1!AA132-SUM(AT132:BA132))</f>
        <v>27.566768</v>
      </c>
      <c r="U132" s="105">
        <f>Sheet1!BU132</f>
        <v>29.4</v>
      </c>
      <c r="V132" s="105">
        <f t="shared" si="21"/>
        <v>-1.8332319999999989</v>
      </c>
      <c r="W132" s="105">
        <f t="shared" si="22"/>
        <v>0</v>
      </c>
      <c r="X132" s="101">
        <f>IF((Sheet1!EX132-Sheet1!EX131)&lt;0,(Sheet1!EX132+100000-Sheet1!EX131)/1000,(Sheet1!EX132-Sheet1!EX131)/1000)</f>
        <v>0.80500000000000005</v>
      </c>
      <c r="Y132" s="106">
        <f>Calculation!DZ133+Calculation!EI132+'Calculations II'!O132-'Calculations II'!W132</f>
        <v>55.382947818602872</v>
      </c>
      <c r="Z132" s="106">
        <f>Y132-Sheet1!CP133</f>
        <v>40.342947818602873</v>
      </c>
      <c r="AA132" s="106">
        <f>Y132+Calculation!CZ133+Calculation!AI133</f>
        <v>63.752625907907131</v>
      </c>
      <c r="AC132" s="106">
        <f>Sheet1!AA132+Sheet1!AB132+BC132</f>
        <v>52.025872</v>
      </c>
      <c r="AD132" s="106">
        <f>Sheet1!AA132+Sheet1!BN132+'Calculations II'!BC132-Calculation!AI132-Calculation!CZ132</f>
        <v>33.723954744702318</v>
      </c>
      <c r="AE132" s="106">
        <f>Sheet1!AA132+Sheet1!AB132+'Calculations II'!BC132-Calculation!AI132-Calculation!CZ132</f>
        <v>42.923954744702321</v>
      </c>
      <c r="AF132" s="106">
        <f>Sheet1!AA132+Sheet1!BN132+P132+'Calculations II'!BC132+Calculation!AI132+Calculation!CZ132</f>
        <v>54.301137073900549</v>
      </c>
      <c r="AG132" s="106">
        <f>Sheet1!AA132+Sheet1!BN132+'Calculations II'!BC132+'Calculations II'!P132-Sheet1!CP132-BP132</f>
        <v>29.51921981860287</v>
      </c>
      <c r="AH132" s="106">
        <f>Sheet1!AA132+Sheet1!BN132+'Calculations II'!BC132+'Calculations II'!P132-BP132</f>
        <v>45.19921981860287</v>
      </c>
      <c r="AI132" s="106">
        <f>BC132+Sheet1!AA132+Calculation!EI132+O132+W132+Sheet1!BN132+Calculation!AI132+Calculation!CZ132-BP132</f>
        <v>54.301137073900549</v>
      </c>
      <c r="AJ132" s="106"/>
      <c r="AM132" s="102">
        <f t="shared" si="23"/>
        <v>40661</v>
      </c>
      <c r="AN132" s="106"/>
      <c r="AO132" s="106"/>
      <c r="AR132" s="106"/>
      <c r="AT132" s="101">
        <f>Sheet1!AR132*GPMtoMGD</f>
        <v>0</v>
      </c>
      <c r="AU132" s="101">
        <f>Sheet1!AS132*GPMtoMGD</f>
        <v>2.6064000000000004E-2</v>
      </c>
      <c r="AV132" s="101">
        <f>Sheet1!AT132*GPMtoMGD</f>
        <v>0</v>
      </c>
      <c r="AW132" s="101">
        <f>Sheet1!AV132*GPMtoMGD</f>
        <v>0.54662400000000011</v>
      </c>
      <c r="AX132" s="101">
        <f>Sheet1!AW132*GPMtoMGD</f>
        <v>0.86054400000000009</v>
      </c>
      <c r="AY132" s="101">
        <f>Sheet1!AX132*GPMtoMGD</f>
        <v>0</v>
      </c>
      <c r="AZ132" s="101">
        <f>Sheet1!AY132*GPMtoMGD</f>
        <v>0</v>
      </c>
      <c r="BA132" s="101">
        <f>Sheet1!AZ132*GPMtoMGD</f>
        <v>0</v>
      </c>
      <c r="BB132" s="101">
        <f>Sheet1!BP132*GPMtoMGD</f>
        <v>0</v>
      </c>
      <c r="BC132" s="101">
        <f>Sheet1!CO132*GPMtoMGD</f>
        <v>3.0258720000000006</v>
      </c>
      <c r="BD132" s="101">
        <f>Sheet1!BO132*GPMtoMGD</f>
        <v>1.9121760000000003</v>
      </c>
      <c r="BE132" s="101">
        <f>Sheet1!BV132*GPMtoMGD</f>
        <v>0.90633600000000003</v>
      </c>
      <c r="BF132" s="101">
        <f>Sheet1!CJ132*GPMtoMGD</f>
        <v>0.68270400000000009</v>
      </c>
      <c r="BG132" s="101">
        <f>Sheet1!CK132*GPMtoMGD</f>
        <v>0.52473599999999998</v>
      </c>
      <c r="BH132" s="101">
        <f>Sheet1!CL132*GPMtoMGD</f>
        <v>0.80150400000000011</v>
      </c>
      <c r="BI132" s="101">
        <f t="shared" si="24"/>
        <v>1.9121760000000003</v>
      </c>
      <c r="BK132" s="106">
        <f>SUM(AT132:BA132,BE132,Sheet1!BU132,'Calculations II'!BC132,Calculation!AG132)</f>
        <v>45.66352274470232</v>
      </c>
      <c r="BM132" s="439">
        <f>IF(AND(Sheet1!BQ132&lt;=11.5,Sheet1!BQ131&gt;Sheet1!BQ132),(MIN(Lookup!$C$119,VLOOKUP(Sheet1!BQ131,Lookup!$B$4:$J$236,2))-VLOOKUP(Sheet1!BQ132,Lookup!$B$4:$J$236,2))/1000000,0)</f>
        <v>0</v>
      </c>
      <c r="BN132" s="439">
        <f>IF(AND(Sheet1!BR132&lt;=11.5,Sheet1!BR131&gt;Sheet1!BR132),(MIN(Lookup!$D$119,VLOOKUP(Sheet1!BR131,Lookup!$B$4:$J$236,3))-VLOOKUP(Sheet1!BR132,Lookup!$B$4:$J$236,3))/1000000,0)</f>
        <v>0</v>
      </c>
      <c r="BP132" s="105">
        <f>SUM(BM132:BN132,W132,Sheet1!DT132)</f>
        <v>0</v>
      </c>
    </row>
    <row r="133" spans="1:68" s="101" customFormat="1">
      <c r="A133" s="101" t="s">
        <v>7</v>
      </c>
      <c r="B133" s="103">
        <v>40662</v>
      </c>
      <c r="C133" s="104">
        <v>0.33333333333357601</v>
      </c>
      <c r="E133" s="30"/>
      <c r="F133" s="30">
        <f>-(VLOOKUP(Sheet1!BZ133,Lookup!$I$4:$J$216,2)-VLOOKUP(Sheet1!BZ132,Lookup!$I$4:$J$216,2))/1000000</f>
        <v>0</v>
      </c>
      <c r="G133" s="106">
        <f>-$G$6*(Sheet1!CB133-Sheet1!CB132)*7.48/1000000</f>
        <v>-0.89355377368258415</v>
      </c>
      <c r="H133" s="106">
        <f>-$H$6*(Sheet1!CA133-Sheet1!CA132)*7.48/1000000</f>
        <v>0.21055205291771167</v>
      </c>
      <c r="I133" s="106">
        <f>-$I$6*(Sheet1!CC133-Sheet1!CC132)*7.48/1000000</f>
        <v>0.25188111799237872</v>
      </c>
      <c r="J133" s="107" t="s">
        <v>193</v>
      </c>
      <c r="K133" s="106">
        <f>-$I$6*(Sheet1!CD133-Sheet1!CD132)*7.48/1000000</f>
        <v>0.24648366546397041</v>
      </c>
      <c r="L133" s="107" t="s">
        <v>193</v>
      </c>
      <c r="M133" s="106">
        <f>-$M$6*(Sheet1!CE133-Sheet1!CE132)*7.48/1000000</f>
        <v>9.3286485242418088E-2</v>
      </c>
      <c r="N133" s="106">
        <f>-$N$6*(Sheet1!CF133-Sheet1!CF132)*7.48/1000000</f>
        <v>7.4462814473549299E-2</v>
      </c>
      <c r="O133" s="106">
        <f t="shared" si="20"/>
        <v>-1.6887637592555904E-2</v>
      </c>
      <c r="P133" s="106">
        <f>O133+Calculation!EI133</f>
        <v>1.0775123624074439</v>
      </c>
      <c r="Q133" s="101" t="str">
        <f>IF(Sheet1!BQ133&gt;21.75,"spill elevation","-")</f>
        <v>-</v>
      </c>
      <c r="R133" s="101" t="str">
        <f>IF(Sheet1!BR133&gt;21.75,"spill elevation","-")</f>
        <v>-</v>
      </c>
      <c r="S133" s="101" t="str">
        <f>IF(Sheet1!BS133&gt;21.75,"spill elevation","-")</f>
        <v>-</v>
      </c>
      <c r="T133" s="105">
        <f>IF(Sheet1!DQ133=1,Sheet1!AA133-(SUM(AT133:BA133)+BE133),Sheet1!AA133-SUM(AT133:BA133))</f>
        <v>27.510672</v>
      </c>
      <c r="U133" s="105">
        <f>Sheet1!BU133</f>
        <v>27.8</v>
      </c>
      <c r="V133" s="105">
        <f t="shared" si="21"/>
        <v>-0.28932800000000114</v>
      </c>
      <c r="W133" s="105">
        <f t="shared" si="22"/>
        <v>0</v>
      </c>
      <c r="X133" s="101">
        <f>IF((Sheet1!EX133-Sheet1!EX132)&lt;0,(Sheet1!EX133+100000-Sheet1!EX132)/1000,(Sheet1!EX133-Sheet1!EX132)/1000)</f>
        <v>0.78500000000000003</v>
      </c>
      <c r="Y133" s="106">
        <f>Calculation!DZ134+Calculation!EI133+'Calculations II'!O133-'Calculations II'!W133</f>
        <v>55.332792362407446</v>
      </c>
      <c r="Z133" s="106">
        <f>Y133-Sheet1!CP134</f>
        <v>39.332792362407446</v>
      </c>
      <c r="AA133" s="106">
        <f>Y133+Calculation!CZ134+Calculation!AI134</f>
        <v>62.888151310840207</v>
      </c>
      <c r="AC133" s="106">
        <f>Sheet1!AA133+Sheet1!AB133+BC133</f>
        <v>53.009599999999999</v>
      </c>
      <c r="AD133" s="106">
        <f>Sheet1!AA133+Sheet1!BN133+'Calculations II'!BC133-Calculation!AI133-Calculation!CZ133</f>
        <v>35.839921910695743</v>
      </c>
      <c r="AE133" s="106">
        <f>Sheet1!AA133+Sheet1!AB133+'Calculations II'!BC133-Calculation!AI133-Calculation!CZ133</f>
        <v>44.63992191069574</v>
      </c>
      <c r="AF133" s="106">
        <f>Sheet1!AA133+Sheet1!BN133+P133+'Calculations II'!BC133+Calculation!AI133+Calculation!CZ133</f>
        <v>53.656790451711707</v>
      </c>
      <c r="AG133" s="106">
        <f>Sheet1!AA133+Sheet1!BN133+'Calculations II'!BC133+'Calculations II'!P133-Sheet1!CP133-BP133</f>
        <v>30.247112362407449</v>
      </c>
      <c r="AH133" s="106">
        <f>Sheet1!AA133+Sheet1!BN133+'Calculations II'!BC133+'Calculations II'!P133-BP133</f>
        <v>45.287112362407449</v>
      </c>
      <c r="AI133" s="106">
        <f>BC133+Sheet1!AA133+Calculation!EI133+O133+W133+Sheet1!BN133+Calculation!AI133+Calculation!CZ133-BP133</f>
        <v>53.6567904517117</v>
      </c>
      <c r="AJ133" s="106"/>
      <c r="AM133" s="102">
        <f t="shared" si="23"/>
        <v>40662</v>
      </c>
      <c r="AN133" s="106"/>
      <c r="AO133" s="106"/>
      <c r="AR133" s="106"/>
      <c r="AT133" s="101">
        <f>Sheet1!AR133*GPMtoMGD</f>
        <v>0</v>
      </c>
      <c r="AU133" s="101">
        <f>Sheet1!AS133*GPMtoMGD</f>
        <v>2.6064000000000004E-2</v>
      </c>
      <c r="AV133" s="101">
        <f>Sheet1!AT133*GPMtoMGD</f>
        <v>0</v>
      </c>
      <c r="AW133" s="101">
        <f>Sheet1!AV133*GPMtoMGD</f>
        <v>0.34056000000000003</v>
      </c>
      <c r="AX133" s="101">
        <f>Sheet1!AW133*GPMtoMGD</f>
        <v>2.1227040000000001</v>
      </c>
      <c r="AY133" s="101">
        <f>Sheet1!AX133*GPMtoMGD</f>
        <v>0</v>
      </c>
      <c r="AZ133" s="101">
        <f>Sheet1!AY133*GPMtoMGD</f>
        <v>0</v>
      </c>
      <c r="BA133" s="101">
        <f>Sheet1!AZ133*GPMtoMGD</f>
        <v>0</v>
      </c>
      <c r="BB133" s="101">
        <f>Sheet1!BP133*GPMtoMGD</f>
        <v>0</v>
      </c>
      <c r="BC133" s="101">
        <f>Sheet1!CO133*GPMtoMGD</f>
        <v>3.0096000000000003</v>
      </c>
      <c r="BD133" s="101">
        <f>Sheet1!BO133*GPMtoMGD</f>
        <v>1.4052960000000001</v>
      </c>
      <c r="BE133" s="101">
        <f>Sheet1!BV133*GPMtoMGD</f>
        <v>0.63273599999999997</v>
      </c>
      <c r="BF133" s="101">
        <f>Sheet1!CJ133*GPMtoMGD</f>
        <v>0.55929600000000002</v>
      </c>
      <c r="BG133" s="101">
        <f>Sheet1!CK133*GPMtoMGD</f>
        <v>0.52156800000000003</v>
      </c>
      <c r="BH133" s="101">
        <f>Sheet1!CL133*GPMtoMGD</f>
        <v>0.77630400000000011</v>
      </c>
      <c r="BI133" s="101">
        <f t="shared" si="24"/>
        <v>1.4052960000000001</v>
      </c>
      <c r="BK133" s="106">
        <f>SUM(AT133:BA133,BE133,Sheet1!BU133,'Calculations II'!BC133,Calculation!AG133)</f>
        <v>45.561985910695746</v>
      </c>
      <c r="BM133" s="439">
        <f>IF(AND(Sheet1!BQ133&lt;=11.5,Sheet1!BQ132&gt;Sheet1!BQ133),(MIN(Lookup!$C$119,VLOOKUP(Sheet1!BQ132,Lookup!$B$4:$J$236,2))-VLOOKUP(Sheet1!BQ133,Lookup!$B$4:$J$236,2))/1000000,0)</f>
        <v>0</v>
      </c>
      <c r="BN133" s="439">
        <f>IF(AND(Sheet1!BR133&lt;=11.5,Sheet1!BR132&gt;Sheet1!BR133),(MIN(Lookup!$D$119,VLOOKUP(Sheet1!BR132,Lookup!$B$4:$J$236,3))-VLOOKUP(Sheet1!BR133,Lookup!$B$4:$J$236,3))/1000000,0)</f>
        <v>0</v>
      </c>
      <c r="BP133" s="105">
        <f>SUM(BM133:BN133,W133,Sheet1!DT133)</f>
        <v>0</v>
      </c>
    </row>
    <row r="134" spans="1:68" s="101" customFormat="1">
      <c r="A134" s="101" t="s">
        <v>8</v>
      </c>
      <c r="B134" s="103">
        <v>40663</v>
      </c>
      <c r="C134" s="104">
        <v>0.33333333333357601</v>
      </c>
      <c r="E134" s="30"/>
      <c r="F134" s="30">
        <f>-(VLOOKUP(Sheet1!BZ134,Lookup!$I$4:$J$216,2)-VLOOKUP(Sheet1!BZ133,Lookup!$I$4:$J$216,2))/1000000</f>
        <v>0.20727387709560433</v>
      </c>
      <c r="G134" s="106">
        <f>-$G$6*(Sheet1!CB134-Sheet1!CB133)*7.48/1000000</f>
        <v>0.3177080084204747</v>
      </c>
      <c r="H134" s="106">
        <f>-$H$6*(Sheet1!CA134-Sheet1!CA133)*7.48/1000000</f>
        <v>-0.13535489116138638</v>
      </c>
      <c r="I134" s="106">
        <f>-$I$6*(Sheet1!CC134-Sheet1!CC133)*7.48/1000000</f>
        <v>-0.33284290591850035</v>
      </c>
      <c r="J134" s="107" t="s">
        <v>193</v>
      </c>
      <c r="K134" s="106">
        <f>-$I$6*(Sheet1!CD134-Sheet1!CD133)*7.48/1000000</f>
        <v>-0.33644120760410562</v>
      </c>
      <c r="L134" s="107" t="s">
        <v>193</v>
      </c>
      <c r="M134" s="106">
        <f>-$M$6*(Sheet1!CE134-Sheet1!CE133)*7.48/1000000</f>
        <v>-0.12193876285258938</v>
      </c>
      <c r="N134" s="106">
        <f>-$N$6*(Sheet1!CF134-Sheet1!CF133)*7.48/1000000</f>
        <v>0.11169422171032285</v>
      </c>
      <c r="O134" s="106">
        <f t="shared" si="20"/>
        <v>-0.28990166031017983</v>
      </c>
      <c r="P134" s="106">
        <f>O134+Calculation!EI134</f>
        <v>-1.6501660310179855E-2</v>
      </c>
      <c r="Q134" s="101" t="str">
        <f>IF(Sheet1!BQ134&gt;21.75,"spill elevation","-")</f>
        <v>-</v>
      </c>
      <c r="R134" s="101" t="str">
        <f>IF(Sheet1!BR134&gt;21.75,"spill elevation","-")</f>
        <v>-</v>
      </c>
      <c r="S134" s="101" t="str">
        <f>IF(Sheet1!BS134&gt;21.75,"spill elevation","-")</f>
        <v>-</v>
      </c>
      <c r="T134" s="105">
        <f>IF(Sheet1!DQ134=1,Sheet1!AA134-(SUM(AT134:BA134)+BE134),Sheet1!AA134-SUM(AT134:BA134))</f>
        <v>30.270064000000001</v>
      </c>
      <c r="U134" s="105">
        <f>Sheet1!BU134</f>
        <v>27.7</v>
      </c>
      <c r="V134" s="105">
        <f t="shared" si="21"/>
        <v>2.5700640000000021</v>
      </c>
      <c r="W134" s="105">
        <f t="shared" si="22"/>
        <v>0</v>
      </c>
      <c r="X134" s="101">
        <f>IF((Sheet1!EX134-Sheet1!EX133)&lt;0,(Sheet1!EX134+100000-Sheet1!EX133)/1000,(Sheet1!EX134-Sheet1!EX133)/1000)</f>
        <v>0.78900000000000003</v>
      </c>
      <c r="Y134" s="106">
        <f>Calculation!DZ135+Calculation!EI134+'Calculations II'!O134-'Calculations II'!W134</f>
        <v>53.091658339695648</v>
      </c>
      <c r="Z134" s="106">
        <f>Y134-Sheet1!CP135</f>
        <v>37.351658339695646</v>
      </c>
      <c r="AA134" s="106">
        <f>Y134+Calculation!CZ135+Calculation!AI135</f>
        <v>60.762199016805297</v>
      </c>
      <c r="AC134" s="106">
        <f>Sheet1!AA134+Sheet1!AB134+BC134</f>
        <v>54.255279999999999</v>
      </c>
      <c r="AD134" s="106">
        <f>Sheet1!AA134+Sheet1!BN134+'Calculations II'!BC134-Calculation!AI134-Calculation!CZ134</f>
        <v>38.849921051567236</v>
      </c>
      <c r="AE134" s="106">
        <f>Sheet1!AA134+Sheet1!AB134+'Calculations II'!BC134-Calculation!AI134-Calculation!CZ134</f>
        <v>46.699921051567237</v>
      </c>
      <c r="AF134" s="106">
        <f>Sheet1!AA134+Sheet1!BN134+P134+'Calculations II'!BC134+Calculation!AI134+Calculation!CZ134</f>
        <v>53.944137288122576</v>
      </c>
      <c r="AG134" s="106">
        <f>Sheet1!AA134+Sheet1!BN134+'Calculations II'!BC134+'Calculations II'!P134-Sheet1!CP134-BP134</f>
        <v>30.388778339689814</v>
      </c>
      <c r="AH134" s="106">
        <f>Sheet1!AA134+Sheet1!BN134+'Calculations II'!BC134+'Calculations II'!P134-BP134</f>
        <v>46.388778339689814</v>
      </c>
      <c r="AI134" s="106">
        <f>BC134+Sheet1!AA134+Calculation!EI134+O134+W134+Sheet1!BN134+Calculation!AI134+Calculation!CZ134-BP134</f>
        <v>53.944137288122583</v>
      </c>
      <c r="AJ134" s="106"/>
      <c r="AM134" s="102">
        <f t="shared" si="23"/>
        <v>40663</v>
      </c>
      <c r="AN134" s="106"/>
      <c r="AO134" s="106"/>
      <c r="AR134" s="106"/>
      <c r="AT134" s="101">
        <f>Sheet1!AR134*GPMtoMGD</f>
        <v>0</v>
      </c>
      <c r="AU134" s="101">
        <f>Sheet1!AS134*GPMtoMGD</f>
        <v>2.6064000000000004E-2</v>
      </c>
      <c r="AV134" s="101">
        <f>Sheet1!AT134*GPMtoMGD</f>
        <v>0</v>
      </c>
      <c r="AW134" s="101">
        <f>Sheet1!AV134*GPMtoMGD</f>
        <v>0.34185600000000005</v>
      </c>
      <c r="AX134" s="101">
        <f>Sheet1!AW134*GPMtoMGD</f>
        <v>0.362016</v>
      </c>
      <c r="AY134" s="101">
        <f>Sheet1!AX134*GPMtoMGD</f>
        <v>0</v>
      </c>
      <c r="AZ134" s="101">
        <f>Sheet1!AY134*GPMtoMGD</f>
        <v>0</v>
      </c>
      <c r="BA134" s="101">
        <f>Sheet1!AZ134*GPMtoMGD</f>
        <v>0</v>
      </c>
      <c r="BB134" s="101">
        <f>Sheet1!BP134*GPMtoMGD</f>
        <v>0</v>
      </c>
      <c r="BC134" s="101">
        <f>Sheet1!CO134*GPMtoMGD</f>
        <v>3.0052800000000004</v>
      </c>
      <c r="BD134" s="101">
        <f>Sheet1!BO134*GPMtoMGD</f>
        <v>2.4891839999999998</v>
      </c>
      <c r="BE134" s="101">
        <f>Sheet1!BV134*GPMtoMGD</f>
        <v>0.71121599999999996</v>
      </c>
      <c r="BF134" s="101">
        <f>Sheet1!CJ134*GPMtoMGD</f>
        <v>0.71035200000000009</v>
      </c>
      <c r="BG134" s="101">
        <f>Sheet1!CK134*GPMtoMGD</f>
        <v>0.59472000000000003</v>
      </c>
      <c r="BH134" s="101">
        <f>Sheet1!CL134*GPMtoMGD</f>
        <v>0.72676800000000008</v>
      </c>
      <c r="BI134" s="101">
        <f t="shared" si="24"/>
        <v>2.4891839999999998</v>
      </c>
      <c r="BK134" s="106">
        <f>SUM(AT134:BA134,BE134,Sheet1!BU134,'Calculations II'!BC134,Calculation!AG134)</f>
        <v>44.841073051567236</v>
      </c>
      <c r="BM134" s="439">
        <f>IF(AND(Sheet1!BQ134&lt;=11.5,Sheet1!BQ133&gt;Sheet1!BQ134),(MIN(Lookup!$C$119,VLOOKUP(Sheet1!BQ133,Lookup!$B$4:$J$236,2))-VLOOKUP(Sheet1!BQ134,Lookup!$B$4:$J$236,2))/1000000,0)</f>
        <v>0</v>
      </c>
      <c r="BN134" s="439">
        <f>IF(AND(Sheet1!BR134&lt;=11.5,Sheet1!BR133&gt;Sheet1!BR134),(MIN(Lookup!$D$119,VLOOKUP(Sheet1!BR133,Lookup!$B$4:$J$236,3))-VLOOKUP(Sheet1!BR134,Lookup!$B$4:$J$236,3))/1000000,0)</f>
        <v>0</v>
      </c>
      <c r="BP134" s="105">
        <f>SUM(BM134:BN134,W134,Sheet1!DT134)</f>
        <v>0</v>
      </c>
    </row>
    <row r="135" spans="1:68" s="101" customFormat="1">
      <c r="A135" s="101" t="s">
        <v>9</v>
      </c>
      <c r="B135" s="103">
        <v>40664</v>
      </c>
      <c r="C135" s="104">
        <v>0.33333333333357601</v>
      </c>
      <c r="E135" s="30"/>
      <c r="F135" s="30">
        <f>-(VLOOKUP(Sheet1!BZ135,Lookup!$I$4:$J$216,2)-VLOOKUP(Sheet1!BZ134,Lookup!$I$4:$J$216,2))/1000000</f>
        <v>-0.31091081564340367</v>
      </c>
      <c r="G135" s="106">
        <f>-$G$6*(Sheet1!CB135-Sheet1!CB134)*7.48/1000000</f>
        <v>0.39713501052559297</v>
      </c>
      <c r="H135" s="106">
        <f>-$H$6*(Sheet1!CA135-Sheet1!CA134)*7.48/1000000</f>
        <v>-7.5197161756325293E-2</v>
      </c>
      <c r="I135" s="106">
        <f>-$I$6*(Sheet1!CC135-Sheet1!CC134)*7.48/1000000</f>
        <v>0.13493631321020289</v>
      </c>
      <c r="J135" s="107" t="s">
        <v>193</v>
      </c>
      <c r="K135" s="106">
        <f>-$I$6*(Sheet1!CD135-Sheet1!CD134)*7.48/1000000</f>
        <v>0.12594055899618922</v>
      </c>
      <c r="L135" s="107" t="s">
        <v>193</v>
      </c>
      <c r="M135" s="106">
        <f>-$M$6*(Sheet1!CE135-Sheet1!CE134)*7.48/1000000</f>
        <v>4.8642238733546658E-2</v>
      </c>
      <c r="N135" s="106">
        <f>-$N$6*(Sheet1!CF135-Sheet1!CF134)*7.48/1000000</f>
        <v>-4.3436641776236899E-2</v>
      </c>
      <c r="O135" s="106">
        <f t="shared" si="20"/>
        <v>0.27710950228956588</v>
      </c>
      <c r="P135" s="106">
        <f>O135+Calculation!EI135</f>
        <v>1.9019095022895658</v>
      </c>
      <c r="Q135" s="101" t="str">
        <f>IF(Sheet1!BQ135&gt;21.75,"spill elevation","-")</f>
        <v>-</v>
      </c>
      <c r="R135" s="101" t="str">
        <f>IF(Sheet1!BR135&gt;21.75,"spill elevation","-")</f>
        <v>-</v>
      </c>
      <c r="S135" s="101" t="str">
        <f>IF(Sheet1!BS135&gt;21.75,"spill elevation","-")</f>
        <v>-</v>
      </c>
      <c r="T135" s="105">
        <f>IF(Sheet1!DQ135=1,Sheet1!AA135-(SUM(AT135:BA135)+BE135),Sheet1!AA135-SUM(AT135:BA135))</f>
        <v>28.427728000005821</v>
      </c>
      <c r="U135" s="105">
        <f>Sheet1!BU135</f>
        <v>28.8</v>
      </c>
      <c r="V135" s="105">
        <f t="shared" si="21"/>
        <v>-0.37227199999417948</v>
      </c>
      <c r="W135" s="105">
        <f t="shared" si="22"/>
        <v>0</v>
      </c>
      <c r="X135" s="101">
        <f>IF((Sheet1!EX135-Sheet1!EX134)&lt;0,(Sheet1!EX135+100000-Sheet1!EX134)/1000,(Sheet1!EX135-Sheet1!EX134)/1000)</f>
        <v>0.79</v>
      </c>
      <c r="Y135" s="106">
        <f>Calculation!DZ136+Calculation!EI135+'Calculations II'!O135-'Calculations II'!W135</f>
        <v>54.548261502283751</v>
      </c>
      <c r="Z135" s="106">
        <f>Y135-Sheet1!CP136</f>
        <v>38.578261502283752</v>
      </c>
      <c r="AA135" s="106">
        <f>Y135+Calculation!CZ136+Calculation!AI136</f>
        <v>63.006887379916648</v>
      </c>
      <c r="AC135" s="106">
        <f>Sheet1!AA135+Sheet1!AB135+BC135</f>
        <v>53.108160000005824</v>
      </c>
      <c r="AD135" s="106">
        <f>Sheet1!AA135+Sheet1!BN135+'Calculations II'!BC135-Calculation!AI135-Calculation!CZ135</f>
        <v>37.637619322896178</v>
      </c>
      <c r="AE135" s="106">
        <f>Sheet1!AA135+Sheet1!AB135+'Calculations II'!BC135-Calculation!AI135-Calculation!CZ135</f>
        <v>45.437619322896175</v>
      </c>
      <c r="AF135" s="106">
        <f>Sheet1!AA135+Sheet1!BN135+P135+'Calculations II'!BC135+Calculation!AI135+Calculation!CZ135</f>
        <v>54.880610179405032</v>
      </c>
      <c r="AG135" s="106">
        <f>Sheet1!AA135+Sheet1!BN135+'Calculations II'!BC135+'Calculations II'!P135-Sheet1!CP135-BP135</f>
        <v>31.470069502295388</v>
      </c>
      <c r="AH135" s="106">
        <f>Sheet1!AA135+Sheet1!BN135+'Calculations II'!BC135+'Calculations II'!P135-BP135</f>
        <v>47.21006950229539</v>
      </c>
      <c r="AI135" s="106">
        <f>BC135+Sheet1!AA135+Calculation!EI135+O135+W135+Sheet1!BN135+Calculation!AI135+Calculation!CZ135-BP135</f>
        <v>54.880610179405046</v>
      </c>
      <c r="AJ135" s="106"/>
      <c r="AM135" s="102">
        <f t="shared" si="23"/>
        <v>40664</v>
      </c>
      <c r="AN135" s="106"/>
      <c r="AO135" s="106"/>
      <c r="AR135" s="106"/>
      <c r="AT135" s="101">
        <f>Sheet1!AR135*GPMtoMGD</f>
        <v>0</v>
      </c>
      <c r="AU135" s="101">
        <f>Sheet1!AS135*GPMtoMGD</f>
        <v>2.6064000000000004E-2</v>
      </c>
      <c r="AV135" s="101">
        <f>Sheet1!AT135*GPMtoMGD</f>
        <v>0</v>
      </c>
      <c r="AW135" s="101">
        <f>Sheet1!AV135*GPMtoMGD</f>
        <v>0.77616000000000007</v>
      </c>
      <c r="AX135" s="101">
        <f>Sheet1!AW135*GPMtoMGD</f>
        <v>0.87004800000000015</v>
      </c>
      <c r="AY135" s="101">
        <f>Sheet1!AX135*GPMtoMGD</f>
        <v>0</v>
      </c>
      <c r="AZ135" s="101">
        <f>Sheet1!AY135*GPMtoMGD</f>
        <v>0</v>
      </c>
      <c r="BA135" s="101">
        <f>Sheet1!AZ135*GPMtoMGD</f>
        <v>0</v>
      </c>
      <c r="BB135" s="101">
        <f>Sheet1!BP135*GPMtoMGD</f>
        <v>0</v>
      </c>
      <c r="BC135" s="101">
        <f>Sheet1!CO135*GPMtoMGD</f>
        <v>3.0081600000000002</v>
      </c>
      <c r="BD135" s="101">
        <f>Sheet1!BO135*GPMtoMGD</f>
        <v>1.9565280000000003</v>
      </c>
      <c r="BE135" s="101">
        <f>Sheet1!BV135*GPMtoMGD</f>
        <v>0.91108800000000012</v>
      </c>
      <c r="BF135" s="101">
        <f>Sheet1!CJ135*GPMtoMGD</f>
        <v>0.73209599999999997</v>
      </c>
      <c r="BG135" s="101">
        <f>Sheet1!CK135*GPMtoMGD</f>
        <v>0.69652800000000004</v>
      </c>
      <c r="BH135" s="101">
        <f>Sheet1!CL135*GPMtoMGD</f>
        <v>0.7511040000000001</v>
      </c>
      <c r="BI135" s="101">
        <f t="shared" si="24"/>
        <v>1.9565280000000003</v>
      </c>
      <c r="BK135" s="106">
        <f>SUM(AT135:BA135,BE135,Sheet1!BU135,'Calculations II'!BC135,Calculation!AG135)</f>
        <v>46.720979322890351</v>
      </c>
      <c r="BM135" s="439">
        <f>IF(AND(Sheet1!BQ135&lt;=11.5,Sheet1!BQ134&gt;Sheet1!BQ135),(MIN(Lookup!$C$119,VLOOKUP(Sheet1!BQ134,Lookup!$B$4:$J$236,2))-VLOOKUP(Sheet1!BQ135,Lookup!$B$4:$J$236,2))/1000000,0)</f>
        <v>0</v>
      </c>
      <c r="BN135" s="439">
        <f>IF(AND(Sheet1!BR135&lt;=11.5,Sheet1!BR134&gt;Sheet1!BR135),(MIN(Lookup!$D$119,VLOOKUP(Sheet1!BR134,Lookup!$B$4:$J$236,3))-VLOOKUP(Sheet1!BR135,Lookup!$B$4:$J$236,3))/1000000,0)</f>
        <v>0</v>
      </c>
      <c r="BP135" s="105">
        <f>SUM(BM135:BN135,W135,Sheet1!DT135)</f>
        <v>0</v>
      </c>
    </row>
    <row r="136" spans="1:68" s="101" customFormat="1">
      <c r="A136" s="101" t="s">
        <v>3</v>
      </c>
      <c r="B136" s="103">
        <v>40665</v>
      </c>
      <c r="C136" s="104">
        <v>0.33333333333357601</v>
      </c>
      <c r="E136" s="30"/>
      <c r="F136" s="30">
        <f>-(VLOOKUP(Sheet1!BZ136,Lookup!$I$4:$J$216,2)-VLOOKUP(Sheet1!BZ135,Lookup!$I$4:$J$216,2))/1000000</f>
        <v>0</v>
      </c>
      <c r="G136" s="106">
        <f>-$G$6*(Sheet1!CB136-Sheet1!CB135)*7.48/1000000</f>
        <v>0</v>
      </c>
      <c r="H136" s="106">
        <f>-$H$6*(Sheet1!CA136-Sheet1!CA135)*7.48/1000000</f>
        <v>0</v>
      </c>
      <c r="I136" s="106">
        <f>-$I$6*(Sheet1!CC136-Sheet1!CC135)*7.48/1000000</f>
        <v>0</v>
      </c>
      <c r="J136" s="107" t="s">
        <v>193</v>
      </c>
      <c r="K136" s="106">
        <f>-$I$6*(Sheet1!CD136-Sheet1!CD135)*7.48/1000000</f>
        <v>0</v>
      </c>
      <c r="L136" s="107" t="s">
        <v>193</v>
      </c>
      <c r="M136" s="106">
        <f>-$M$6*(Sheet1!CE136-Sheet1!CE135)*7.48/1000000</f>
        <v>0</v>
      </c>
      <c r="N136" s="106">
        <f>-$N$6*(Sheet1!CF136-Sheet1!CF135)*7.48/1000000</f>
        <v>-2.4820938157849033E-2</v>
      </c>
      <c r="O136" s="106">
        <f t="shared" si="20"/>
        <v>-2.4820938157849033E-2</v>
      </c>
      <c r="P136" s="106">
        <f>O136+Calculation!EI136</f>
        <v>-2.4820938157849033E-2</v>
      </c>
      <c r="Q136" s="101" t="str">
        <f>IF(Sheet1!BQ136&gt;21.75,"spill elevation","-")</f>
        <v>-</v>
      </c>
      <c r="R136" s="101" t="str">
        <f>IF(Sheet1!BR136&gt;21.75,"spill elevation","-")</f>
        <v>-</v>
      </c>
      <c r="S136" s="101" t="str">
        <f>IF(Sheet1!BS136&gt;21.75,"spill elevation","-")</f>
        <v>-</v>
      </c>
      <c r="T136" s="105">
        <f>IF(Sheet1!DQ136=1,Sheet1!AA136-(SUM(AT136:BA136)+BE136),Sheet1!AA136-SUM(AT136:BA136))</f>
        <v>27.938863999994179</v>
      </c>
      <c r="U136" s="105">
        <f>Sheet1!BU136</f>
        <v>28.5</v>
      </c>
      <c r="V136" s="105">
        <f t="shared" si="21"/>
        <v>-0.56113600000582053</v>
      </c>
      <c r="W136" s="105">
        <f t="shared" si="22"/>
        <v>0</v>
      </c>
      <c r="X136" s="101">
        <f>IF((Sheet1!EX136-Sheet1!EX135)&lt;0,(Sheet1!EX136+100000-Sheet1!EX135)/1000,(Sheet1!EX136-Sheet1!EX135)/1000)</f>
        <v>0.77300000000000002</v>
      </c>
      <c r="Y136" s="106">
        <f>Calculation!DZ137+Calculation!EI136+'Calculations II'!O136-'Calculations II'!W136</f>
        <v>56.33549906184215</v>
      </c>
      <c r="Z136" s="106">
        <f>Y136-Sheet1!CP137</f>
        <v>40.065499061842146</v>
      </c>
      <c r="AA136" s="106">
        <f>Y136+Calculation!CZ137+Calculation!AI137</f>
        <v>65.416865209506639</v>
      </c>
      <c r="AC136" s="106">
        <f>Sheet1!AA136+Sheet1!AB136+BC136</f>
        <v>52.646351999994181</v>
      </c>
      <c r="AD136" s="106">
        <f>Sheet1!AA136+Sheet1!BN136+'Calculations II'!BC136-Calculation!AI136-Calculation!CZ136</f>
        <v>35.837726122361282</v>
      </c>
      <c r="AE136" s="106">
        <f>Sheet1!AA136+Sheet1!AB136+'Calculations II'!BC136-Calculation!AI136-Calculation!CZ136</f>
        <v>44.187726122361283</v>
      </c>
      <c r="AF136" s="106">
        <f>Sheet1!AA136+Sheet1!BN136+P136+'Calculations II'!BC136+Calculation!AI136+Calculation!CZ136</f>
        <v>52.730156939469225</v>
      </c>
      <c r="AG136" s="106">
        <f>Sheet1!AA136+Sheet1!BN136+'Calculations II'!BC136+'Calculations II'!P136-Sheet1!CP136-BP136</f>
        <v>28.301531061836329</v>
      </c>
      <c r="AH136" s="106">
        <f>Sheet1!AA136+Sheet1!BN136+'Calculations II'!BC136+'Calculations II'!P136-BP136</f>
        <v>44.271531061836328</v>
      </c>
      <c r="AI136" s="106">
        <f>BC136+Sheet1!AA136+Calculation!EI136+O136+W136+Sheet1!BN136+Calculation!AI136+Calculation!CZ136-BP136</f>
        <v>52.730156939469225</v>
      </c>
      <c r="AJ136" s="106"/>
      <c r="AM136" s="102">
        <f t="shared" si="23"/>
        <v>40665</v>
      </c>
      <c r="AN136" s="106"/>
      <c r="AO136" s="106"/>
      <c r="AR136" s="106"/>
      <c r="AT136" s="101">
        <f>Sheet1!AR136*GPMtoMGD</f>
        <v>0</v>
      </c>
      <c r="AU136" s="101">
        <f>Sheet1!AS136*GPMtoMGD</f>
        <v>2.6064000000000004E-2</v>
      </c>
      <c r="AV136" s="101">
        <f>Sheet1!AT136*GPMtoMGD</f>
        <v>0</v>
      </c>
      <c r="AW136" s="101">
        <f>Sheet1!AV136*GPMtoMGD</f>
        <v>0.82454400000000005</v>
      </c>
      <c r="AX136" s="101">
        <f>Sheet1!AW136*GPMtoMGD</f>
        <v>1.1105280000000002</v>
      </c>
      <c r="AY136" s="101">
        <f>Sheet1!AX136*GPMtoMGD</f>
        <v>0</v>
      </c>
      <c r="AZ136" s="101">
        <f>Sheet1!AY136*GPMtoMGD</f>
        <v>0</v>
      </c>
      <c r="BA136" s="101">
        <f>Sheet1!AZ136*GPMtoMGD</f>
        <v>0</v>
      </c>
      <c r="BB136" s="101">
        <f>Sheet1!BP136*GPMtoMGD</f>
        <v>0</v>
      </c>
      <c r="BC136" s="101">
        <f>Sheet1!CO136*GPMtoMGD</f>
        <v>2.9963520000000003</v>
      </c>
      <c r="BD136" s="101">
        <f>Sheet1!BO136*GPMtoMGD</f>
        <v>1.5219360000000002</v>
      </c>
      <c r="BE136" s="101">
        <f>Sheet1!BV136*GPMtoMGD</f>
        <v>0.70804800000000001</v>
      </c>
      <c r="BF136" s="101">
        <f>Sheet1!CJ136*GPMtoMGD</f>
        <v>0.56001599999999996</v>
      </c>
      <c r="BG136" s="101">
        <f>Sheet1!CK136*GPMtoMGD</f>
        <v>0.54820800000000003</v>
      </c>
      <c r="BH136" s="101">
        <f>Sheet1!CL136*GPMtoMGD</f>
        <v>0.78393599999999997</v>
      </c>
      <c r="BI136" s="101">
        <f t="shared" si="24"/>
        <v>1.5219360000000002</v>
      </c>
      <c r="BK136" s="106">
        <f>SUM(AT136:BA136,BE136,Sheet1!BU136,'Calculations II'!BC136,Calculation!AG136)</f>
        <v>45.456910122367105</v>
      </c>
      <c r="BM136" s="439">
        <f>IF(AND(Sheet1!BQ136&lt;=11.5,Sheet1!BQ135&gt;Sheet1!BQ136),(MIN(Lookup!$C$119,VLOOKUP(Sheet1!BQ135,Lookup!$B$4:$J$236,2))-VLOOKUP(Sheet1!BQ136,Lookup!$B$4:$J$236,2))/1000000,0)</f>
        <v>0</v>
      </c>
      <c r="BN136" s="439">
        <f>IF(AND(Sheet1!BR136&lt;=11.5,Sheet1!BR135&gt;Sheet1!BR136),(MIN(Lookup!$D$119,VLOOKUP(Sheet1!BR135,Lookup!$B$4:$J$236,3))-VLOOKUP(Sheet1!BR136,Lookup!$B$4:$J$236,3))/1000000,0)</f>
        <v>0</v>
      </c>
      <c r="BP136" s="105">
        <f>SUM(BM136:BN136,W136,Sheet1!DT136)</f>
        <v>0</v>
      </c>
    </row>
    <row r="137" spans="1:68" s="101" customFormat="1">
      <c r="A137" s="101" t="s">
        <v>4</v>
      </c>
      <c r="B137" s="103">
        <v>40666</v>
      </c>
      <c r="C137" s="104">
        <v>0.33333333333357601</v>
      </c>
      <c r="E137" s="30"/>
      <c r="F137" s="30">
        <f>-(VLOOKUP(Sheet1!BZ137,Lookup!$I$4:$J$216,2)-VLOOKUP(Sheet1!BZ136,Lookup!$I$4:$J$216,2))/1000000</f>
        <v>0.10363693854779936</v>
      </c>
      <c r="G137" s="106">
        <f>-$G$6*(Sheet1!CB137-Sheet1!CB136)*7.48/1000000</f>
        <v>0</v>
      </c>
      <c r="H137" s="106">
        <f>-$H$6*(Sheet1!CA137-Sheet1!CA136)*7.48/1000000</f>
        <v>-6.0157729405060027E-2</v>
      </c>
      <c r="I137" s="106">
        <f>-$I$6*(Sheet1!CC137-Sheet1!CC136)*7.48/1000000</f>
        <v>-0.26987262642040577</v>
      </c>
      <c r="J137" s="107" t="s">
        <v>193</v>
      </c>
      <c r="K137" s="106">
        <f>-$I$6*(Sheet1!CD137-Sheet1!CD136)*7.48/1000000</f>
        <v>-0.30585564327645964</v>
      </c>
      <c r="L137" s="107" t="s">
        <v>193</v>
      </c>
      <c r="M137" s="106">
        <f>-$M$6*(Sheet1!CE137-Sheet1!CE136)*7.48/1000000</f>
        <v>0.19323629085929472</v>
      </c>
      <c r="N137" s="106">
        <f>-$N$6*(Sheet1!CF137-Sheet1!CF136)*7.48/1000000</f>
        <v>-6.2052345394624786E-2</v>
      </c>
      <c r="O137" s="106">
        <f t="shared" si="20"/>
        <v>-0.40106511508945619</v>
      </c>
      <c r="P137" s="106">
        <f>O137+Calculation!EI137</f>
        <v>0.67993488491054377</v>
      </c>
      <c r="Q137" s="101" t="str">
        <f>IF(Sheet1!BQ137&gt;21.75,"spill elevation","-")</f>
        <v>-</v>
      </c>
      <c r="R137" s="101" t="str">
        <f>IF(Sheet1!BR137&gt;21.75,"spill elevation","-")</f>
        <v>-</v>
      </c>
      <c r="S137" s="101" t="str">
        <f>IF(Sheet1!BS137&gt;21.75,"spill elevation","-")</f>
        <v>-</v>
      </c>
      <c r="T137" s="105">
        <f>IF(Sheet1!DQ137=1,Sheet1!AA137-(SUM(AT137:BA137)+BE137),Sheet1!AA137-SUM(AT137:BA137))</f>
        <v>30.110368000000001</v>
      </c>
      <c r="U137" s="105">
        <f>Sheet1!BU137</f>
        <v>27.2</v>
      </c>
      <c r="V137" s="105">
        <f t="shared" si="21"/>
        <v>2.9103680000000018</v>
      </c>
      <c r="W137" s="105">
        <f t="shared" si="22"/>
        <v>0</v>
      </c>
      <c r="X137" s="101">
        <f>IF((Sheet1!EX137-Sheet1!EX136)&lt;0,(Sheet1!EX137+100000-Sheet1!EX136)/1000,(Sheet1!EX137-Sheet1!EX136)/1000)</f>
        <v>0.77100000000000002</v>
      </c>
      <c r="Y137" s="106">
        <f>Calculation!DZ138+Calculation!EI137+'Calculations II'!O137-'Calculations II'!W137</f>
        <v>48.679934884910544</v>
      </c>
      <c r="Z137" s="106">
        <f>Y137-Sheet1!CP138</f>
        <v>32.899934884910543</v>
      </c>
      <c r="AA137" s="106">
        <f>Y137+Calculation!CZ138+Calculation!AI138</f>
        <v>56.782179273937977</v>
      </c>
      <c r="AC137" s="106">
        <f>Sheet1!AA137+Sheet1!AB137+BC137</f>
        <v>56.360320000000002</v>
      </c>
      <c r="AD137" s="106">
        <f>Sheet1!AA137+Sheet1!BN137+'Calculations II'!BC137-Calculation!AI137-Calculation!CZ137</f>
        <v>37.578953852335509</v>
      </c>
      <c r="AE137" s="106">
        <f>Sheet1!AA137+Sheet1!AB137+'Calculations II'!BC137-Calculation!AI137-Calculation!CZ137</f>
        <v>47.278953852335512</v>
      </c>
      <c r="AF137" s="106">
        <f>Sheet1!AA137+Sheet1!BN137+P137+'Calculations II'!BC137+Calculation!AI137+Calculation!CZ137</f>
        <v>56.421621032575032</v>
      </c>
      <c r="AG137" s="106">
        <f>Sheet1!AA137+Sheet1!BN137+'Calculations II'!BC137+'Calculations II'!P137-Sheet1!CP137-BP137</f>
        <v>31.070254884910543</v>
      </c>
      <c r="AH137" s="106">
        <f>Sheet1!AA137+Sheet1!BN137+'Calculations II'!BC137+'Calculations II'!P137-BP137</f>
        <v>47.340254884910543</v>
      </c>
      <c r="AI137" s="106">
        <f>BC137+Sheet1!AA137+Calculation!EI137+O137+W137+Sheet1!BN137+Calculation!AI137+Calculation!CZ137-BP137</f>
        <v>56.42162103257504</v>
      </c>
      <c r="AJ137" s="106"/>
      <c r="AM137" s="102">
        <f t="shared" si="23"/>
        <v>40666</v>
      </c>
      <c r="AN137" s="106"/>
      <c r="AO137" s="106"/>
      <c r="AR137" s="106"/>
      <c r="AT137" s="101">
        <f>Sheet1!AR137*GPMtoMGD</f>
        <v>0</v>
      </c>
      <c r="AU137" s="101">
        <f>Sheet1!AS137*GPMtoMGD</f>
        <v>2.6064000000000004E-2</v>
      </c>
      <c r="AV137" s="101">
        <f>Sheet1!AT137*GPMtoMGD</f>
        <v>0</v>
      </c>
      <c r="AW137" s="101">
        <f>Sheet1!AV137*GPMtoMGD</f>
        <v>0.42364800000000002</v>
      </c>
      <c r="AX137" s="101">
        <f>Sheet1!AW137*GPMtoMGD</f>
        <v>0.43992000000000003</v>
      </c>
      <c r="AY137" s="101">
        <f>Sheet1!AX137*GPMtoMGD</f>
        <v>0</v>
      </c>
      <c r="AZ137" s="101">
        <f>Sheet1!AY137*GPMtoMGD</f>
        <v>0</v>
      </c>
      <c r="BA137" s="101">
        <f>Sheet1!AZ137*GPMtoMGD</f>
        <v>0</v>
      </c>
      <c r="BB137" s="101">
        <f>Sheet1!BP137*GPMtoMGD</f>
        <v>3.0528E-2</v>
      </c>
      <c r="BC137" s="101">
        <f>Sheet1!CO137*GPMtoMGD</f>
        <v>4.3603200000000006</v>
      </c>
      <c r="BD137" s="101">
        <f>Sheet1!BO137*GPMtoMGD</f>
        <v>0</v>
      </c>
      <c r="BE137" s="101">
        <f>Sheet1!BV137*GPMtoMGD</f>
        <v>0.86572800000000016</v>
      </c>
      <c r="BF137" s="101">
        <f>Sheet1!CJ137*GPMtoMGD</f>
        <v>0.71366400000000008</v>
      </c>
      <c r="BG137" s="101">
        <f>Sheet1!CK137*GPMtoMGD</f>
        <v>0.55742400000000003</v>
      </c>
      <c r="BH137" s="101">
        <f>Sheet1!CL137*GPMtoMGD</f>
        <v>0.778752</v>
      </c>
      <c r="BI137" s="101">
        <f t="shared" si="24"/>
        <v>3.0528E-2</v>
      </c>
      <c r="BK137" s="106">
        <f>SUM(AT137:BA137,BE137,Sheet1!BU137,'Calculations II'!BC137,Calculation!AG137)</f>
        <v>45.234313852335511</v>
      </c>
      <c r="BM137" s="439">
        <f>IF(AND(Sheet1!BQ137&lt;=11.5,Sheet1!BQ136&gt;Sheet1!BQ137),(MIN(Lookup!$C$119,VLOOKUP(Sheet1!BQ136,Lookup!$B$4:$J$236,2))-VLOOKUP(Sheet1!BQ137,Lookup!$B$4:$J$236,2))/1000000,0)</f>
        <v>0</v>
      </c>
      <c r="BN137" s="439">
        <f>IF(AND(Sheet1!BR137&lt;=11.5,Sheet1!BR136&gt;Sheet1!BR137),(MIN(Lookup!$D$119,VLOOKUP(Sheet1!BR136,Lookup!$B$4:$J$236,3))-VLOOKUP(Sheet1!BR137,Lookup!$B$4:$J$236,3))/1000000,0)</f>
        <v>0</v>
      </c>
      <c r="BP137" s="105">
        <f>SUM(BM137:BN137,W137,Sheet1!DT137)</f>
        <v>0</v>
      </c>
    </row>
    <row r="138" spans="1:68" s="101" customFormat="1">
      <c r="A138" s="101" t="s">
        <v>5</v>
      </c>
      <c r="B138" s="103">
        <v>40667</v>
      </c>
      <c r="C138" s="104">
        <v>0.33333333333357601</v>
      </c>
      <c r="E138" s="30"/>
      <c r="F138" s="30">
        <f>-(VLOOKUP(Sheet1!BZ138,Lookup!$I$4:$J$216,2)-VLOOKUP(Sheet1!BZ137,Lookup!$I$4:$J$216,2))/1000000</f>
        <v>0.20727387709560433</v>
      </c>
      <c r="G138" s="106">
        <f>-$G$6*(Sheet1!CB138-Sheet1!CB137)*7.48/1000000</f>
        <v>-0.63541601684094862</v>
      </c>
      <c r="H138" s="106">
        <f>-$H$6*(Sheet1!CA138-Sheet1!CA137)*7.48/1000000</f>
        <v>0</v>
      </c>
      <c r="I138" s="106">
        <f>-$I$6*(Sheet1!CC138-Sheet1!CC137)*7.48/1000000</f>
        <v>0.53974525284081154</v>
      </c>
      <c r="J138" s="107" t="s">
        <v>193</v>
      </c>
      <c r="K138" s="106">
        <f>-$I$6*(Sheet1!CD138-Sheet1!CD137)*7.48/1000000</f>
        <v>0.48577072755673018</v>
      </c>
      <c r="L138" s="107" t="s">
        <v>193</v>
      </c>
      <c r="M138" s="106">
        <f>-$M$6*(Sheet1!CE138-Sheet1!CE137)*7.48/1000000</f>
        <v>0.55971891145450914</v>
      </c>
      <c r="N138" s="106">
        <f>-$N$6*(Sheet1!CF138-Sheet1!CF137)*7.48/1000000</f>
        <v>0.31026172697311949</v>
      </c>
      <c r="O138" s="106">
        <f t="shared" si="20"/>
        <v>1.4673544790798259</v>
      </c>
      <c r="P138" s="106">
        <f>O138+Calculation!EI138</f>
        <v>1.4673544790798259</v>
      </c>
      <c r="Q138" s="101" t="str">
        <f>IF(Sheet1!BQ138&gt;21.75,"spill elevation","-")</f>
        <v>-</v>
      </c>
      <c r="R138" s="101" t="str">
        <f>IF(Sheet1!BR138&gt;21.75,"spill elevation","-")</f>
        <v>-</v>
      </c>
      <c r="S138" s="101" t="str">
        <f>IF(Sheet1!BS138&gt;21.75,"spill elevation","-")</f>
        <v>-</v>
      </c>
      <c r="T138" s="105">
        <f>IF(Sheet1!DQ138=1,Sheet1!AA138-(SUM(AT138:BA138)+BE138),Sheet1!AA138-SUM(AT138:BA138))</f>
        <v>27.747199999999999</v>
      </c>
      <c r="U138" s="105">
        <f>Sheet1!BU138</f>
        <v>31.3</v>
      </c>
      <c r="V138" s="105">
        <f t="shared" si="21"/>
        <v>-3.5528000000000013</v>
      </c>
      <c r="W138" s="105">
        <f t="shared" si="22"/>
        <v>0</v>
      </c>
      <c r="X138" s="101">
        <f>IF((Sheet1!EX138-Sheet1!EX137)&lt;0,(Sheet1!EX138+100000-Sheet1!EX137)/1000,(Sheet1!EX138-Sheet1!EX137)/1000)</f>
        <v>0.748</v>
      </c>
      <c r="Y138" s="106">
        <f>Calculation!DZ139+Calculation!EI138+'Calculations II'!O138-'Calculations II'!W138</f>
        <v>52.467354479079823</v>
      </c>
      <c r="Z138" s="106">
        <f>Y138-Sheet1!CP139</f>
        <v>36.207354479079825</v>
      </c>
      <c r="AA138" s="106">
        <f>Y138+Calculation!CZ139+Calculation!AI139</f>
        <v>61.032489486185462</v>
      </c>
      <c r="AC138" s="106">
        <f>Sheet1!AA138+Sheet1!AB138+BC138</f>
        <v>48</v>
      </c>
      <c r="AD138" s="106">
        <f>Sheet1!AA138+Sheet1!BN138+'Calculations II'!BC138-Calculation!AI138-Calculation!CZ138</f>
        <v>32.397755610972567</v>
      </c>
      <c r="AE138" s="106">
        <f>Sheet1!AA138+Sheet1!AB138+'Calculations II'!BC138-Calculation!AI138-Calculation!CZ138</f>
        <v>39.897755610972567</v>
      </c>
      <c r="AF138" s="106">
        <f>Sheet1!AA138+Sheet1!BN138+P138+'Calculations II'!BC138+Calculation!AI138+Calculation!CZ138</f>
        <v>50.069598868107256</v>
      </c>
      <c r="AG138" s="106">
        <f>Sheet1!AA138+Sheet1!BN138+'Calculations II'!BC138+'Calculations II'!P138-Sheet1!CP138-BP138</f>
        <v>26.187354479079822</v>
      </c>
      <c r="AH138" s="106">
        <f>Sheet1!AA138+Sheet1!BN138+'Calculations II'!BC138+'Calculations II'!P138-BP138</f>
        <v>41.967354479079823</v>
      </c>
      <c r="AI138" s="106">
        <f>BC138+Sheet1!AA138+Calculation!EI138+O138+W138+Sheet1!BN138+Calculation!AI138+Calculation!CZ138-BP138</f>
        <v>50.069598868107263</v>
      </c>
      <c r="AJ138" s="106"/>
      <c r="AM138" s="102">
        <f t="shared" si="23"/>
        <v>40667</v>
      </c>
      <c r="AN138" s="106"/>
      <c r="AO138" s="106"/>
      <c r="AR138" s="106"/>
      <c r="AT138" s="101">
        <f>Sheet1!AR138*GPMtoMGD</f>
        <v>0</v>
      </c>
      <c r="AU138" s="101">
        <f>Sheet1!AS138*GPMtoMGD</f>
        <v>4.4064000000000006E-2</v>
      </c>
      <c r="AV138" s="101">
        <f>Sheet1!AT138*GPMtoMGD</f>
        <v>0</v>
      </c>
      <c r="AW138" s="101">
        <f>Sheet1!AV138*GPMtoMGD</f>
        <v>0.55871999999999999</v>
      </c>
      <c r="AX138" s="101">
        <f>Sheet1!AW138*GPMtoMGD</f>
        <v>0.65001600000000004</v>
      </c>
      <c r="AY138" s="101">
        <f>Sheet1!AX138*GPMtoMGD</f>
        <v>0</v>
      </c>
      <c r="AZ138" s="101">
        <f>Sheet1!AY138*GPMtoMGD</f>
        <v>0</v>
      </c>
      <c r="BA138" s="101">
        <f>Sheet1!AZ138*GPMtoMGD</f>
        <v>0</v>
      </c>
      <c r="BB138" s="101">
        <f>Sheet1!BP138*GPMtoMGD</f>
        <v>0</v>
      </c>
      <c r="BC138" s="101">
        <f>Sheet1!CO138*GPMtoMGD</f>
        <v>0</v>
      </c>
      <c r="BD138" s="101">
        <f>Sheet1!BO138*GPMtoMGD</f>
        <v>1.41984</v>
      </c>
      <c r="BE138" s="101">
        <f>Sheet1!BV138*GPMtoMGD</f>
        <v>0.65347200000000005</v>
      </c>
      <c r="BF138" s="101">
        <f>Sheet1!CJ138*GPMtoMGD</f>
        <v>2.32056</v>
      </c>
      <c r="BG138" s="101">
        <f>Sheet1!CK138*GPMtoMGD</f>
        <v>1.0249919999999999</v>
      </c>
      <c r="BH138" s="101">
        <f>Sheet1!CL138*GPMtoMGD</f>
        <v>1.271952</v>
      </c>
      <c r="BI138" s="101">
        <f t="shared" si="24"/>
        <v>1.41984</v>
      </c>
      <c r="BK138" s="106">
        <f>SUM(AT138:BA138,BE138,Sheet1!BU138,'Calculations II'!BC138,Calculation!AG138)</f>
        <v>44.104027610972565</v>
      </c>
      <c r="BM138" s="439">
        <f>IF(AND(Sheet1!BQ138&lt;=11.5,Sheet1!BQ137&gt;Sheet1!BQ138),(MIN(Lookup!$C$119,VLOOKUP(Sheet1!BQ137,Lookup!$B$4:$J$236,2))-VLOOKUP(Sheet1!BQ138,Lookup!$B$4:$J$236,2))/1000000,0)</f>
        <v>0</v>
      </c>
      <c r="BN138" s="439">
        <f>IF(AND(Sheet1!BR138&lt;=11.5,Sheet1!BR137&gt;Sheet1!BR138),(MIN(Lookup!$D$119,VLOOKUP(Sheet1!BR137,Lookup!$B$4:$J$236,3))-VLOOKUP(Sheet1!BR138,Lookup!$B$4:$J$236,3))/1000000,0)</f>
        <v>0</v>
      </c>
      <c r="BP138" s="105">
        <f>SUM(BM138:BN138,W138,Sheet1!DT138)</f>
        <v>0</v>
      </c>
    </row>
    <row r="139" spans="1:68" s="101" customFormat="1">
      <c r="A139" s="101" t="s">
        <v>6</v>
      </c>
      <c r="B139" s="103">
        <v>40668</v>
      </c>
      <c r="C139" s="104">
        <v>0.33333333333357601</v>
      </c>
      <c r="E139" s="30"/>
      <c r="F139" s="30">
        <f>-(VLOOKUP(Sheet1!BZ139,Lookup!$I$4:$J$216,2)-VLOOKUP(Sheet1!BZ138,Lookup!$I$4:$J$216,2))/1000000</f>
        <v>0.10363693854779936</v>
      </c>
      <c r="G139" s="106">
        <f>-$G$6*(Sheet1!CB139-Sheet1!CB138)*7.48/1000000</f>
        <v>0.31770800842047398</v>
      </c>
      <c r="H139" s="106">
        <f>-$H$6*(Sheet1!CA139-Sheet1!CA138)*7.48/1000000</f>
        <v>1.5039432351265274E-2</v>
      </c>
      <c r="I139" s="106">
        <f>-$I$6*(Sheet1!CC139-Sheet1!CC138)*7.48/1000000</f>
        <v>-0.64769430340897372</v>
      </c>
      <c r="J139" s="107" t="s">
        <v>193</v>
      </c>
      <c r="K139" s="106">
        <f>-$I$6*(Sheet1!CD139-Sheet1!CD138)*7.48/1000000</f>
        <v>-0.48577072755673018</v>
      </c>
      <c r="L139" s="107" t="s">
        <v>193</v>
      </c>
      <c r="M139" s="106">
        <f>-$M$6*(Sheet1!CE139-Sheet1!CE138)*7.48/1000000</f>
        <v>0.39979922246750654</v>
      </c>
      <c r="N139" s="106">
        <f>-$N$6*(Sheet1!CF139-Sheet1!CF138)*7.48/1000000</f>
        <v>-0.2482093815784947</v>
      </c>
      <c r="O139" s="106">
        <f t="shared" si="20"/>
        <v>-0.54549081075715344</v>
      </c>
      <c r="P139" s="106">
        <f>O139+Calculation!EI139</f>
        <v>3.4949091892428465</v>
      </c>
      <c r="Q139" s="101" t="str">
        <f>IF(Sheet1!BQ139&gt;21.75,"spill elevation","-")</f>
        <v>-</v>
      </c>
      <c r="R139" s="101" t="str">
        <f>IF(Sheet1!BR139&gt;21.75,"spill elevation","-")</f>
        <v>-</v>
      </c>
      <c r="S139" s="101" t="str">
        <f>IF(Sheet1!BS139&gt;21.75,"spill elevation","-")</f>
        <v>-</v>
      </c>
      <c r="T139" s="105">
        <f>IF(Sheet1!DQ139=1,Sheet1!AA139-(SUM(AT139:BA139)+BE139),Sheet1!AA139-SUM(AT139:BA139))</f>
        <v>28.004591999999999</v>
      </c>
      <c r="U139" s="105">
        <f>Sheet1!BU139</f>
        <v>31.8</v>
      </c>
      <c r="V139" s="105">
        <f t="shared" si="21"/>
        <v>-3.7954080000000019</v>
      </c>
      <c r="W139" s="105">
        <f t="shared" si="22"/>
        <v>0</v>
      </c>
      <c r="X139" s="101">
        <f>IF((Sheet1!EX139-Sheet1!EX138)&lt;0,(Sheet1!EX139+100000-Sheet1!EX138)/1000,(Sheet1!EX139-Sheet1!EX138)/1000)</f>
        <v>0.73199999999999998</v>
      </c>
      <c r="Y139" s="106">
        <f>Calculation!DZ140+Calculation!EI139+'Calculations II'!O139-'Calculations II'!W139</f>
        <v>57.494909189242847</v>
      </c>
      <c r="Z139" s="106">
        <f>Y139-Sheet1!CP140</f>
        <v>40.464909189242846</v>
      </c>
      <c r="AA139" s="106">
        <f>Y139+Calculation!CZ140+Calculation!AI140</f>
        <v>66.541307775190703</v>
      </c>
      <c r="AC139" s="106">
        <f>Sheet1!AA139+Sheet1!AB139+BC139</f>
        <v>51</v>
      </c>
      <c r="AD139" s="106">
        <f>Sheet1!AA139+Sheet1!BN139+'Calculations II'!BC139-Calculation!AI139-Calculation!CZ139</f>
        <v>33.934864992894362</v>
      </c>
      <c r="AE139" s="106">
        <f>Sheet1!AA139+Sheet1!AB139+'Calculations II'!BC139-Calculation!AI139-Calculation!CZ139</f>
        <v>42.434864992894362</v>
      </c>
      <c r="AF139" s="106">
        <f>Sheet1!AA139+Sheet1!BN139+P139+'Calculations II'!BC139+Calculation!AI139+Calculation!CZ139</f>
        <v>54.560044196348485</v>
      </c>
      <c r="AG139" s="106">
        <f>Sheet1!AA139+Sheet1!BN139+'Calculations II'!BC139+'Calculations II'!P139-Sheet1!CP139-BP139</f>
        <v>29.734909189242845</v>
      </c>
      <c r="AH139" s="106">
        <f>Sheet1!AA139+Sheet1!BN139+'Calculations II'!BC139+'Calculations II'!P139-BP139</f>
        <v>45.994909189242847</v>
      </c>
      <c r="AI139" s="106">
        <f>BC139+Sheet1!AA139+Calculation!EI139+O139+W139+Sheet1!BN139+Calculation!AI139+Calculation!CZ139-BP139</f>
        <v>54.560044196348485</v>
      </c>
      <c r="AJ139" s="106"/>
      <c r="AM139" s="102">
        <f t="shared" si="23"/>
        <v>40668</v>
      </c>
      <c r="AN139" s="106"/>
      <c r="AO139" s="106"/>
      <c r="AR139" s="106"/>
      <c r="AT139" s="101">
        <f>Sheet1!AR139*GPMtoMGD</f>
        <v>0</v>
      </c>
      <c r="AU139" s="101">
        <f>Sheet1!AS139*GPMtoMGD</f>
        <v>3.4704000000000006E-2</v>
      </c>
      <c r="AV139" s="101">
        <f>Sheet1!AT139*GPMtoMGD</f>
        <v>0</v>
      </c>
      <c r="AW139" s="101">
        <f>Sheet1!AV139*GPMtoMGD</f>
        <v>0.54187200000000002</v>
      </c>
      <c r="AX139" s="101">
        <f>Sheet1!AW139*GPMtoMGD</f>
        <v>1.4188320000000001</v>
      </c>
      <c r="AY139" s="101">
        <f>Sheet1!AX139*GPMtoMGD</f>
        <v>0</v>
      </c>
      <c r="AZ139" s="101">
        <f>Sheet1!AY139*GPMtoMGD</f>
        <v>0</v>
      </c>
      <c r="BA139" s="101">
        <f>Sheet1!AZ139*GPMtoMGD</f>
        <v>0</v>
      </c>
      <c r="BB139" s="101">
        <f>Sheet1!BP139*GPMtoMGD</f>
        <v>0</v>
      </c>
      <c r="BC139" s="101">
        <f>Sheet1!CO139*GPMtoMGD</f>
        <v>0</v>
      </c>
      <c r="BD139" s="101">
        <f>Sheet1!BO139*GPMtoMGD</f>
        <v>2.0345760000000004</v>
      </c>
      <c r="BE139" s="101">
        <f>Sheet1!BV139*GPMtoMGD</f>
        <v>0.91324800000000017</v>
      </c>
      <c r="BF139" s="101">
        <f>Sheet1!CJ139*GPMtoMGD</f>
        <v>0.62668800000000002</v>
      </c>
      <c r="BG139" s="101">
        <f>Sheet1!CK139*GPMtoMGD</f>
        <v>0.542736</v>
      </c>
      <c r="BH139" s="101">
        <f>Sheet1!CL139*GPMtoMGD</f>
        <v>0.77299200000000001</v>
      </c>
      <c r="BI139" s="101">
        <f t="shared" si="24"/>
        <v>2.0345760000000004</v>
      </c>
      <c r="BK139" s="106">
        <f>SUM(AT139:BA139,BE139,Sheet1!BU139,'Calculations II'!BC139,Calculation!AG139)</f>
        <v>47.143520992894359</v>
      </c>
      <c r="BM139" s="439">
        <f>IF(AND(Sheet1!BQ139&lt;=11.5,Sheet1!BQ138&gt;Sheet1!BQ139),(MIN(Lookup!$C$119,VLOOKUP(Sheet1!BQ138,Lookup!$B$4:$J$236,2))-VLOOKUP(Sheet1!BQ139,Lookup!$B$4:$J$236,2))/1000000,0)</f>
        <v>0</v>
      </c>
      <c r="BN139" s="439">
        <f>IF(AND(Sheet1!BR139&lt;=11.5,Sheet1!BR138&gt;Sheet1!BR139),(MIN(Lookup!$D$119,VLOOKUP(Sheet1!BR138,Lookup!$B$4:$J$236,3))-VLOOKUP(Sheet1!BR139,Lookup!$B$4:$J$236,3))/1000000,0)</f>
        <v>0</v>
      </c>
      <c r="BP139" s="105">
        <f>SUM(BM139:BN139,W139,Sheet1!DT139)</f>
        <v>0</v>
      </c>
    </row>
    <row r="140" spans="1:68" s="101" customFormat="1">
      <c r="A140" s="101" t="s">
        <v>7</v>
      </c>
      <c r="B140" s="103">
        <v>40669</v>
      </c>
      <c r="C140" s="104">
        <v>0.33333333333357601</v>
      </c>
      <c r="E140" s="30"/>
      <c r="F140" s="30">
        <f>-(VLOOKUP(Sheet1!BZ140,Lookup!$I$4:$J$216,2)-VLOOKUP(Sheet1!BZ139,Lookup!$I$4:$J$216,2))/1000000</f>
        <v>-0.51818469273900236</v>
      </c>
      <c r="G140" s="106">
        <f>-$G$6*(Sheet1!CB140-Sheet1!CB139)*7.48/1000000</f>
        <v>0.23828100631535634</v>
      </c>
      <c r="H140" s="106">
        <f>-$H$6*(Sheet1!CA140-Sheet1!CA139)*7.48/1000000</f>
        <v>1.5039432351265274E-2</v>
      </c>
      <c r="I140" s="106">
        <f>-$I$6*(Sheet1!CC140-Sheet1!CC139)*7.48/1000000</f>
        <v>0.52175374441278422</v>
      </c>
      <c r="J140" s="107" t="s">
        <v>193</v>
      </c>
      <c r="K140" s="106">
        <f>-$I$6*(Sheet1!CD140-Sheet1!CD139)*7.48/1000000</f>
        <v>0.55773676126883842</v>
      </c>
      <c r="L140" s="107" t="s">
        <v>193</v>
      </c>
      <c r="M140" s="106">
        <f>-$M$6*(Sheet1!CE140-Sheet1!CE139)*7.48/1000000</f>
        <v>-0.20656293160821171</v>
      </c>
      <c r="N140" s="106">
        <f>-$N$6*(Sheet1!CF140-Sheet1!CF139)*7.48/1000000</f>
        <v>6.2052345394623676E-2</v>
      </c>
      <c r="O140" s="106">
        <f t="shared" si="20"/>
        <v>0.67011566539565381</v>
      </c>
      <c r="P140" s="106">
        <f>O140+Calculation!EI140</f>
        <v>5.4667156653956539</v>
      </c>
      <c r="Q140" s="101" t="str">
        <f>IF(Sheet1!BQ140&gt;21.75,"spill elevation","-")</f>
        <v>-</v>
      </c>
      <c r="R140" s="101" t="str">
        <f>IF(Sheet1!BR140&gt;21.75,"spill elevation","-")</f>
        <v>-</v>
      </c>
      <c r="S140" s="101" t="str">
        <f>IF(Sheet1!BS140&gt;21.75,"spill elevation","-")</f>
        <v>-</v>
      </c>
      <c r="T140" s="105">
        <f>IF(Sheet1!DQ140=1,Sheet1!AA140-(SUM(AT140:BA140)+BE140),Sheet1!AA140-SUM(AT140:BA140))</f>
        <v>28.540416</v>
      </c>
      <c r="U140" s="105">
        <f>Sheet1!BU140</f>
        <v>30.2</v>
      </c>
      <c r="V140" s="105">
        <f t="shared" si="21"/>
        <v>-1.6595839999999988</v>
      </c>
      <c r="W140" s="105">
        <f t="shared" si="22"/>
        <v>0</v>
      </c>
      <c r="X140" s="101">
        <f>IF((Sheet1!EX140-Sheet1!EX139)&lt;0,(Sheet1!EX140+100000-Sheet1!EX139)/1000,(Sheet1!EX140-Sheet1!EX139)/1000)</f>
        <v>0.67600000000000005</v>
      </c>
      <c r="Y140" s="106">
        <f>Calculation!DZ141+Calculation!EI140+'Calculations II'!O140-'Calculations II'!W140</f>
        <v>59.466715665395654</v>
      </c>
      <c r="Z140" s="106">
        <f>Y140-Sheet1!CP141</f>
        <v>43.37671566539565</v>
      </c>
      <c r="AA140" s="106">
        <f>Y140+Calculation!CZ141+Calculation!AI141</f>
        <v>68.02948622816622</v>
      </c>
      <c r="AC140" s="106">
        <f>Sheet1!AA140+Sheet1!AB140+BC140</f>
        <v>54</v>
      </c>
      <c r="AD140" s="106">
        <f>Sheet1!AA140+Sheet1!BN140+'Calculations II'!BC140-Calculation!AI140-Calculation!CZ140</f>
        <v>35.053601414052146</v>
      </c>
      <c r="AE140" s="106">
        <f>Sheet1!AA140+Sheet1!AB140+'Calculations II'!BC140-Calculation!AI140-Calculation!CZ140</f>
        <v>44.953601414052144</v>
      </c>
      <c r="AF140" s="106">
        <f>Sheet1!AA140+Sheet1!BN140+P140+'Calculations II'!BC140+Calculation!AI140+Calculation!CZ140</f>
        <v>58.613114251343511</v>
      </c>
      <c r="AG140" s="106">
        <f>Sheet1!AA140+Sheet1!BN140+'Calculations II'!BC140+'Calculations II'!P140-Sheet1!CP140-BP140</f>
        <v>32.536715665395654</v>
      </c>
      <c r="AH140" s="106">
        <f>Sheet1!AA140+Sheet1!BN140+'Calculations II'!BC140+'Calculations II'!P140-BP140</f>
        <v>49.566715665395655</v>
      </c>
      <c r="AI140" s="106">
        <f>BC140+Sheet1!AA140+Calculation!EI140+O140+W140+Sheet1!BN140+Calculation!AI140+Calculation!CZ140-BP140</f>
        <v>58.613114251343511</v>
      </c>
      <c r="AJ140" s="106"/>
      <c r="AM140" s="102">
        <f t="shared" si="23"/>
        <v>40669</v>
      </c>
      <c r="AN140" s="106"/>
      <c r="AO140" s="106"/>
      <c r="AR140" s="106"/>
      <c r="AT140" s="101">
        <f>Sheet1!AR140*GPMtoMGD</f>
        <v>0</v>
      </c>
      <c r="AU140" s="101">
        <f>Sheet1!AS140*GPMtoMGD</f>
        <v>2.6208000000000002E-2</v>
      </c>
      <c r="AV140" s="101">
        <f>Sheet1!AT140*GPMtoMGD</f>
        <v>0</v>
      </c>
      <c r="AW140" s="101">
        <f>Sheet1!AV140*GPMtoMGD</f>
        <v>0.67449599999999998</v>
      </c>
      <c r="AX140" s="101">
        <f>Sheet1!AW140*GPMtoMGD</f>
        <v>0.75888</v>
      </c>
      <c r="AY140" s="101">
        <f>Sheet1!AX140*GPMtoMGD</f>
        <v>0</v>
      </c>
      <c r="AZ140" s="101">
        <f>Sheet1!AY140*GPMtoMGD</f>
        <v>0</v>
      </c>
      <c r="BA140" s="101">
        <f>Sheet1!AZ140*GPMtoMGD</f>
        <v>0</v>
      </c>
      <c r="BB140" s="101">
        <f>Sheet1!BP140*GPMtoMGD</f>
        <v>0</v>
      </c>
      <c r="BC140" s="101">
        <f>Sheet1!CO140*GPMtoMGD</f>
        <v>0</v>
      </c>
      <c r="BD140" s="101">
        <f>Sheet1!BO140*GPMtoMGD</f>
        <v>2.7128160000000001</v>
      </c>
      <c r="BE140" s="101">
        <f>Sheet1!BV140*GPMtoMGD</f>
        <v>0.63028800000000007</v>
      </c>
      <c r="BF140" s="101">
        <f>Sheet1!CJ140*GPMtoMGD</f>
        <v>0.54460799999999998</v>
      </c>
      <c r="BG140" s="101">
        <f>Sheet1!CK140*GPMtoMGD</f>
        <v>0.53409600000000002</v>
      </c>
      <c r="BH140" s="101">
        <f>Sheet1!CL140*GPMtoMGD</f>
        <v>0.73728000000000005</v>
      </c>
      <c r="BI140" s="101">
        <f t="shared" si="24"/>
        <v>2.7128160000000001</v>
      </c>
      <c r="BK140" s="106">
        <f>SUM(AT140:BA140,BE140,Sheet1!BU140,'Calculations II'!BC140,Calculation!AG140)</f>
        <v>47.243473414052147</v>
      </c>
      <c r="BM140" s="439">
        <f>IF(AND(Sheet1!BQ140&lt;=11.5,Sheet1!BQ139&gt;Sheet1!BQ140),(MIN(Lookup!$C$119,VLOOKUP(Sheet1!BQ139,Lookup!$B$4:$J$236,2))-VLOOKUP(Sheet1!BQ140,Lookup!$B$4:$J$236,2))/1000000,0)</f>
        <v>0</v>
      </c>
      <c r="BN140" s="439">
        <f>IF(AND(Sheet1!BR140&lt;=11.5,Sheet1!BR139&gt;Sheet1!BR140),(MIN(Lookup!$D$119,VLOOKUP(Sheet1!BR139,Lookup!$B$4:$J$236,3))-VLOOKUP(Sheet1!BR140,Lookup!$B$4:$J$236,3))/1000000,0)</f>
        <v>0</v>
      </c>
      <c r="BP140" s="105">
        <f>SUM(BM140:BN140,W140,Sheet1!DT140)</f>
        <v>0</v>
      </c>
    </row>
    <row r="141" spans="1:68" s="101" customFormat="1">
      <c r="A141" s="101" t="s">
        <v>8</v>
      </c>
      <c r="B141" s="103">
        <v>40670</v>
      </c>
      <c r="C141" s="104">
        <v>0.33333333333357601</v>
      </c>
      <c r="E141" s="30"/>
      <c r="F141" s="30">
        <f>-(VLOOKUP(Sheet1!BZ141,Lookup!$I$4:$J$216,2)-VLOOKUP(Sheet1!BZ140,Lookup!$I$4:$J$216,2))/1000000</f>
        <v>0.41454775419120304</v>
      </c>
      <c r="G141" s="106">
        <f>-$G$6*(Sheet1!CB141-Sheet1!CB140)*7.48/1000000</f>
        <v>0.31770800842047398</v>
      </c>
      <c r="H141" s="106">
        <f>-$H$6*(Sheet1!CA141-Sheet1!CA140)*7.48/1000000</f>
        <v>0</v>
      </c>
      <c r="I141" s="106">
        <f>-$I$6*(Sheet1!CC141-Sheet1!CC140)*7.48/1000000</f>
        <v>-0.10794905056816222</v>
      </c>
      <c r="J141" s="107" t="s">
        <v>193</v>
      </c>
      <c r="K141" s="106">
        <f>-$I$6*(Sheet1!CD141-Sheet1!CD140)*7.48/1000000</f>
        <v>-0.12594055899618922</v>
      </c>
      <c r="L141" s="107" t="s">
        <v>193</v>
      </c>
      <c r="M141" s="106">
        <f>-$M$6*(Sheet1!CE141-Sheet1!CE140)*7.48/1000000</f>
        <v>-0.31983937797400525</v>
      </c>
      <c r="N141" s="106">
        <f>-$N$6*(Sheet1!CF141-Sheet1!CF140)*7.48/1000000</f>
        <v>0</v>
      </c>
      <c r="O141" s="106">
        <f t="shared" si="20"/>
        <v>0.17852677507332038</v>
      </c>
      <c r="P141" s="106">
        <f>O141+Calculation!EI141</f>
        <v>2.8135267750733202</v>
      </c>
      <c r="Q141" s="101" t="str">
        <f>IF(Sheet1!BQ141&gt;21.75,"spill elevation","-")</f>
        <v>-</v>
      </c>
      <c r="R141" s="101" t="str">
        <f>IF(Sheet1!BR141&gt;21.75,"spill elevation","-")</f>
        <v>-</v>
      </c>
      <c r="S141" s="101" t="str">
        <f>IF(Sheet1!BS141&gt;21.75,"spill elevation","-")</f>
        <v>-</v>
      </c>
      <c r="T141" s="105">
        <f>IF(Sheet1!DQ141=1,Sheet1!AA141-(SUM(AT141:BA141)+BE141),Sheet1!AA141-SUM(AT141:BA141))</f>
        <v>29.485551999999998</v>
      </c>
      <c r="U141" s="105">
        <f>Sheet1!BU141</f>
        <v>30.5</v>
      </c>
      <c r="V141" s="105">
        <f t="shared" si="21"/>
        <v>-1.0144480000000016</v>
      </c>
      <c r="W141" s="105">
        <f t="shared" si="22"/>
        <v>0</v>
      </c>
      <c r="X141" s="101">
        <f>IF((Sheet1!EX141-Sheet1!EX140)&lt;0,(Sheet1!EX141+100000-Sheet1!EX140)/1000,(Sheet1!EX141-Sheet1!EX140)/1000)</f>
        <v>0.72099999999999997</v>
      </c>
      <c r="Y141" s="106">
        <f>Calculation!DZ142+Calculation!EI141+'Calculations II'!O141-'Calculations II'!W141</f>
        <v>58.813526775073321</v>
      </c>
      <c r="Z141" s="106">
        <f>Y141-Sheet1!CP142</f>
        <v>42.92352677507332</v>
      </c>
      <c r="AA141" s="106">
        <f>Y141+Calculation!CZ142+Calculation!AI142</f>
        <v>67.404435865982407</v>
      </c>
      <c r="AC141" s="106">
        <f>Sheet1!AA141+Sheet1!AB141+BC141</f>
        <v>54</v>
      </c>
      <c r="AD141" s="106">
        <f>Sheet1!AA141+Sheet1!BN141+'Calculations II'!BC141-Calculation!AI141-Calculation!CZ141</f>
        <v>36.937229437229433</v>
      </c>
      <c r="AE141" s="106">
        <f>Sheet1!AA141+Sheet1!AB141+'Calculations II'!BC141-Calculation!AI141-Calculation!CZ141</f>
        <v>45.437229437229433</v>
      </c>
      <c r="AF141" s="106">
        <f>Sheet1!AA141+Sheet1!BN141+P141+'Calculations II'!BC141+Calculation!AI141+Calculation!CZ141</f>
        <v>56.87629733784388</v>
      </c>
      <c r="AG141" s="106">
        <f>Sheet1!AA141+Sheet1!BN141+'Calculations II'!BC141+'Calculations II'!P141-Sheet1!CP141-BP141</f>
        <v>32.223526775073324</v>
      </c>
      <c r="AH141" s="106">
        <f>Sheet1!AA141+Sheet1!BN141+'Calculations II'!BC141+'Calculations II'!P141-BP141</f>
        <v>48.313526775073321</v>
      </c>
      <c r="AI141" s="106">
        <f>BC141+Sheet1!AA141+Calculation!EI141+O141+W141+Sheet1!BN141+Calculation!AI141+Calculation!CZ141-BP141</f>
        <v>56.87629733784388</v>
      </c>
      <c r="AJ141" s="106"/>
      <c r="AM141" s="102">
        <f t="shared" si="23"/>
        <v>40670</v>
      </c>
      <c r="AN141" s="106"/>
      <c r="AO141" s="106"/>
      <c r="AR141" s="106"/>
      <c r="AT141" s="101">
        <f>Sheet1!AR141*GPMtoMGD</f>
        <v>0</v>
      </c>
      <c r="AU141" s="101">
        <f>Sheet1!AS141*GPMtoMGD</f>
        <v>2.6495999999999999E-2</v>
      </c>
      <c r="AV141" s="101">
        <f>Sheet1!AT141*GPMtoMGD</f>
        <v>0</v>
      </c>
      <c r="AW141" s="101">
        <f>Sheet1!AV141*GPMtoMGD</f>
        <v>0.71640000000000004</v>
      </c>
      <c r="AX141" s="101">
        <f>Sheet1!AW141*GPMtoMGD</f>
        <v>0.77155200000000002</v>
      </c>
      <c r="AY141" s="101">
        <f>Sheet1!AX141*GPMtoMGD</f>
        <v>0</v>
      </c>
      <c r="AZ141" s="101">
        <f>Sheet1!AY141*GPMtoMGD</f>
        <v>0</v>
      </c>
      <c r="BA141" s="101">
        <f>Sheet1!AZ141*GPMtoMGD</f>
        <v>0</v>
      </c>
      <c r="BB141" s="101">
        <f>Sheet1!BP141*GPMtoMGD</f>
        <v>0</v>
      </c>
      <c r="BC141" s="101">
        <f>Sheet1!CO141*GPMtoMGD</f>
        <v>0</v>
      </c>
      <c r="BD141" s="101">
        <f>Sheet1!BO141*GPMtoMGD</f>
        <v>2.7434880000000001</v>
      </c>
      <c r="BE141" s="101">
        <f>Sheet1!BV141*GPMtoMGD</f>
        <v>0.63619200000000009</v>
      </c>
      <c r="BF141" s="101">
        <f>Sheet1!CJ141*GPMtoMGD</f>
        <v>0.61660800000000004</v>
      </c>
      <c r="BG141" s="101">
        <f>Sheet1!CK141*GPMtoMGD</f>
        <v>0.62942400000000009</v>
      </c>
      <c r="BH141" s="101">
        <f>Sheet1!CL141*GPMtoMGD</f>
        <v>0.712368</v>
      </c>
      <c r="BI141" s="101">
        <f t="shared" si="24"/>
        <v>2.7434880000000001</v>
      </c>
      <c r="BK141" s="106">
        <f>SUM(AT141:BA141,BE141,Sheet1!BU141,'Calculations II'!BC141,Calculation!AG141)</f>
        <v>47.087869437229443</v>
      </c>
      <c r="BM141" s="439">
        <f>IF(AND(Sheet1!BQ141&lt;=11.5,Sheet1!BQ140&gt;Sheet1!BQ141),(MIN(Lookup!$C$119,VLOOKUP(Sheet1!BQ140,Lookup!$B$4:$J$236,2))-VLOOKUP(Sheet1!BQ141,Lookup!$B$4:$J$236,2))/1000000,0)</f>
        <v>0</v>
      </c>
      <c r="BN141" s="439">
        <f>IF(AND(Sheet1!BR141&lt;=11.5,Sheet1!BR140&gt;Sheet1!BR141),(MIN(Lookup!$D$119,VLOOKUP(Sheet1!BR140,Lookup!$B$4:$J$236,3))-VLOOKUP(Sheet1!BR141,Lookup!$B$4:$J$236,3))/1000000,0)</f>
        <v>0</v>
      </c>
      <c r="BP141" s="105">
        <f>SUM(BM141:BN141,W141,Sheet1!DT141)</f>
        <v>0</v>
      </c>
    </row>
    <row r="142" spans="1:68" s="101" customFormat="1">
      <c r="A142" s="101" t="s">
        <v>9</v>
      </c>
      <c r="B142" s="103">
        <v>40671</v>
      </c>
      <c r="C142" s="104">
        <v>0.33333333333357601</v>
      </c>
      <c r="E142" s="30"/>
      <c r="F142" s="30">
        <f>-(VLOOKUP(Sheet1!BZ142,Lookup!$I$4:$J$216,2)-VLOOKUP(Sheet1!BZ141,Lookup!$I$4:$J$216,2))/1000000</f>
        <v>-0.20727387709560433</v>
      </c>
      <c r="G142" s="106">
        <f>-$G$6*(Sheet1!CB142-Sheet1!CB141)*7.48/1000000</f>
        <v>-0.91341052420886337</v>
      </c>
      <c r="H142" s="106">
        <f>-$H$6*(Sheet1!CA142-Sheet1!CA141)*7.48/1000000</f>
        <v>-6.0157729405060027E-2</v>
      </c>
      <c r="I142" s="106">
        <f>-$I$6*(Sheet1!CC142-Sheet1!CC141)*7.48/1000000</f>
        <v>-3.598301685605397E-2</v>
      </c>
      <c r="J142" s="107" t="s">
        <v>193</v>
      </c>
      <c r="K142" s="106">
        <f>-$I$6*(Sheet1!CD142-Sheet1!CD141)*7.48/1000000</f>
        <v>-3.5983016856054283E-2</v>
      </c>
      <c r="L142" s="107" t="s">
        <v>193</v>
      </c>
      <c r="M142" s="106">
        <f>-$M$6*(Sheet1!CE142-Sheet1!CE141)*7.48/1000000</f>
        <v>-0.35315597984629754</v>
      </c>
      <c r="N142" s="106">
        <f>-$N$6*(Sheet1!CF142-Sheet1!CF141)*7.48/1000000</f>
        <v>6.2052345394623676E-2</v>
      </c>
      <c r="O142" s="106">
        <f t="shared" si="20"/>
        <v>-1.5439117988733098</v>
      </c>
      <c r="P142" s="106">
        <f>O142+Calculation!EI142</f>
        <v>1.0844882011266903</v>
      </c>
      <c r="Q142" s="101" t="str">
        <f>IF(Sheet1!BQ142&gt;21.75,"spill elevation","-")</f>
        <v>-</v>
      </c>
      <c r="R142" s="101" t="str">
        <f>IF(Sheet1!BR142&gt;21.75,"spill elevation","-")</f>
        <v>-</v>
      </c>
      <c r="S142" s="101" t="str">
        <f>IF(Sheet1!BS142&gt;21.75,"spill elevation","-")</f>
        <v>-</v>
      </c>
      <c r="T142" s="105">
        <f>IF(Sheet1!DQ142=1,Sheet1!AA142-(SUM(AT142:BA142)+BE142),Sheet1!AA142-SUM(AT142:BA142))</f>
        <v>27.977167999999999</v>
      </c>
      <c r="U142" s="105">
        <f>Sheet1!BU142</f>
        <v>24.6</v>
      </c>
      <c r="V142" s="105">
        <f t="shared" si="21"/>
        <v>3.3771679999999975</v>
      </c>
      <c r="W142" s="105">
        <f t="shared" si="22"/>
        <v>0</v>
      </c>
      <c r="X142" s="101">
        <f>IF((Sheet1!EX142-Sheet1!EX141)&lt;0,(Sheet1!EX142+100000-Sheet1!EX141)/1000,(Sheet1!EX142-Sheet1!EX141)/1000)</f>
        <v>0.66600000000000004</v>
      </c>
      <c r="Y142" s="106">
        <f>Calculation!DZ143+Calculation!EI142+'Calculations II'!O142-'Calculations II'!W142</f>
        <v>57.634488201122323</v>
      </c>
      <c r="Z142" s="106">
        <f>Y142-Sheet1!CP143</f>
        <v>41.784488201122322</v>
      </c>
      <c r="AA142" s="106">
        <f>Y142+Calculation!CZ143+Calculation!AI143</f>
        <v>64.001764766921411</v>
      </c>
      <c r="AC142" s="106">
        <f>Sheet1!AA142+Sheet1!AB142+BC142</f>
        <v>56</v>
      </c>
      <c r="AD142" s="106">
        <f>Sheet1!AA142+Sheet1!BN142+'Calculations II'!BC142-Calculation!AI142-Calculation!CZ142</f>
        <v>38.709090909090904</v>
      </c>
      <c r="AE142" s="106">
        <f>Sheet1!AA142+Sheet1!AB142+'Calculations II'!BC142-Calculation!AI142-Calculation!CZ142</f>
        <v>47.409090909090907</v>
      </c>
      <c r="AF142" s="106">
        <f>Sheet1!AA142+Sheet1!BN142+P142+'Calculations II'!BC142+Calculation!AI142+Calculation!CZ142</f>
        <v>56.97539729203578</v>
      </c>
      <c r="AG142" s="106">
        <f>Sheet1!AA142+Sheet1!BN142+'Calculations II'!BC142+'Calculations II'!P142-Sheet1!CP142-BP142</f>
        <v>32.494488201126686</v>
      </c>
      <c r="AH142" s="106">
        <f>Sheet1!AA142+Sheet1!BN142+'Calculations II'!BC142+'Calculations II'!P142-BP142</f>
        <v>48.384488201126686</v>
      </c>
      <c r="AI142" s="106">
        <f>BC142+Sheet1!AA142+Calculation!EI142+O142+W142+Sheet1!BN142+Calculation!AI142+Calculation!CZ142-BP142</f>
        <v>56.97539729203578</v>
      </c>
      <c r="AJ142" s="106"/>
      <c r="AM142" s="102">
        <f t="shared" si="23"/>
        <v>40671</v>
      </c>
      <c r="AN142" s="106"/>
      <c r="AO142" s="106"/>
      <c r="AR142" s="106"/>
      <c r="AT142" s="101">
        <f>Sheet1!AR142*GPMtoMGD</f>
        <v>0</v>
      </c>
      <c r="AU142" s="101">
        <f>Sheet1!AS142*GPMtoMGD</f>
        <v>2.7504000000000004E-2</v>
      </c>
      <c r="AV142" s="101">
        <f>Sheet1!AT142*GPMtoMGD</f>
        <v>0</v>
      </c>
      <c r="AW142" s="101">
        <f>Sheet1!AV142*GPMtoMGD</f>
        <v>0.45</v>
      </c>
      <c r="AX142" s="101">
        <f>Sheet1!AW142*GPMtoMGD</f>
        <v>0.54532800000000003</v>
      </c>
      <c r="AY142" s="101">
        <f>Sheet1!AX142*GPMtoMGD</f>
        <v>0</v>
      </c>
      <c r="AZ142" s="101">
        <f>Sheet1!AY142*GPMtoMGD</f>
        <v>0</v>
      </c>
      <c r="BA142" s="101">
        <f>Sheet1!AZ142*GPMtoMGD</f>
        <v>0</v>
      </c>
      <c r="BB142" s="101">
        <f>Sheet1!BP142*GPMtoMGD</f>
        <v>0</v>
      </c>
      <c r="BC142" s="101">
        <f>Sheet1!CO142*GPMtoMGD</f>
        <v>0</v>
      </c>
      <c r="BD142" s="101">
        <f>Sheet1!BO142*GPMtoMGD</f>
        <v>2.3960160000000004</v>
      </c>
      <c r="BE142" s="101">
        <f>Sheet1!BV142*GPMtoMGD</f>
        <v>1.0045440000000001</v>
      </c>
      <c r="BF142" s="101">
        <f>Sheet1!CJ142*GPMtoMGD</f>
        <v>0.60048000000000001</v>
      </c>
      <c r="BG142" s="101">
        <f>Sheet1!CK142*GPMtoMGD</f>
        <v>0.65188800000000002</v>
      </c>
      <c r="BH142" s="101">
        <f>Sheet1!CL142*GPMtoMGD</f>
        <v>0.713808</v>
      </c>
      <c r="BI142" s="101">
        <f t="shared" si="24"/>
        <v>2.3960160000000004</v>
      </c>
      <c r="BK142" s="106">
        <f>SUM(AT142:BA142,BE142,Sheet1!BU142,'Calculations II'!BC142,Calculation!AG142)</f>
        <v>45.036466909090912</v>
      </c>
      <c r="BM142" s="439">
        <f>IF(AND(Sheet1!BQ142&lt;=11.5,Sheet1!BQ141&gt;Sheet1!BQ142),(MIN(Lookup!$C$119,VLOOKUP(Sheet1!BQ141,Lookup!$B$4:$J$236,2))-VLOOKUP(Sheet1!BQ142,Lookup!$B$4:$J$236,2))/1000000,0)</f>
        <v>0</v>
      </c>
      <c r="BN142" s="439">
        <f>IF(AND(Sheet1!BR142&lt;=11.5,Sheet1!BR141&gt;Sheet1!BR142),(MIN(Lookup!$D$119,VLOOKUP(Sheet1!BR141,Lookup!$B$4:$J$236,3))-VLOOKUP(Sheet1!BR142,Lookup!$B$4:$J$236,3))/1000000,0)</f>
        <v>0</v>
      </c>
      <c r="BP142" s="105">
        <f>SUM(BM142:BN142,W142,Sheet1!DT142)</f>
        <v>0</v>
      </c>
    </row>
    <row r="143" spans="1:68" s="101" customFormat="1">
      <c r="A143" s="101" t="s">
        <v>3</v>
      </c>
      <c r="B143" s="103">
        <v>40672</v>
      </c>
      <c r="C143" s="104">
        <v>0.33333333333357601</v>
      </c>
      <c r="E143" s="30"/>
      <c r="F143" s="30">
        <f>-(VLOOKUP(Sheet1!BZ143,Lookup!$I$4:$J$216,2)-VLOOKUP(Sheet1!BZ142,Lookup!$I$4:$J$216,2))/1000000</f>
        <v>0.10363693854779936</v>
      </c>
      <c r="G143" s="106">
        <f>-$G$6*(Sheet1!CB143-Sheet1!CB142)*7.48/1000000</f>
        <v>0.59570251578838951</v>
      </c>
      <c r="H143" s="106">
        <f>-$H$6*(Sheet1!CA143-Sheet1!CA142)*7.48/1000000</f>
        <v>0.45118297053795176</v>
      </c>
      <c r="I143" s="106">
        <f>-$I$6*(Sheet1!CC143-Sheet1!CC142)*7.48/1000000</f>
        <v>0.14393206742421619</v>
      </c>
      <c r="J143" s="107" t="s">
        <v>193</v>
      </c>
      <c r="K143" s="106">
        <f>-$I$6*(Sheet1!CD143-Sheet1!CD142)*7.48/1000000</f>
        <v>5.3974525284081275E-2</v>
      </c>
      <c r="L143" s="107" t="s">
        <v>193</v>
      </c>
      <c r="M143" s="106">
        <f>-$M$6*(Sheet1!CE143-Sheet1!CE142)*7.48/1000000</f>
        <v>-0.21988957235712864</v>
      </c>
      <c r="N143" s="106">
        <f>-$N$6*(Sheet1!CF143-Sheet1!CF142)*7.48/1000000</f>
        <v>0</v>
      </c>
      <c r="O143" s="106">
        <f t="shared" si="20"/>
        <v>1.1285394452253095</v>
      </c>
      <c r="P143" s="106">
        <f>O143+Calculation!EI143</f>
        <v>-5.46256055477469</v>
      </c>
      <c r="Q143" s="101" t="str">
        <f>IF(Sheet1!BQ143&gt;21.75,"spill elevation","-")</f>
        <v>-</v>
      </c>
      <c r="R143" s="101" t="str">
        <f>IF(Sheet1!BR143&gt;21.75,"spill elevation","-")</f>
        <v>-</v>
      </c>
      <c r="S143" s="101" t="str">
        <f>IF(Sheet1!BS143&gt;21.75,"spill elevation","-")</f>
        <v>-</v>
      </c>
      <c r="T143" s="105">
        <f>IF(Sheet1!DQ143=1,Sheet1!AA143-(SUM(AT143:BA143)+BE143),Sheet1!AA143-SUM(AT143:BA143))</f>
        <v>29.505183999994181</v>
      </c>
      <c r="U143" s="105">
        <f>Sheet1!BU143</f>
        <v>24.6</v>
      </c>
      <c r="V143" s="105">
        <f t="shared" si="21"/>
        <v>4.9051839999941791</v>
      </c>
      <c r="W143" s="105">
        <f t="shared" si="22"/>
        <v>0</v>
      </c>
      <c r="X143" s="101">
        <f>IF((Sheet1!EX143-Sheet1!EX142)&lt;0,(Sheet1!EX143+100000-Sheet1!EX142)/1000,(Sheet1!EX143-Sheet1!EX142)/1000)</f>
        <v>0.66500000000000004</v>
      </c>
      <c r="Y143" s="106">
        <f>Calculation!DZ144+Calculation!EI143+'Calculations II'!O143-'Calculations II'!W143</f>
        <v>47.557439445229384</v>
      </c>
      <c r="Z143" s="106">
        <f>Y143-Sheet1!CP144</f>
        <v>31.127439445229385</v>
      </c>
      <c r="AA143" s="106">
        <f>Y143+Calculation!CZ144+Calculation!AI144</f>
        <v>55.271038046016443</v>
      </c>
      <c r="AC143" s="106">
        <f>Sheet1!AA143+Sheet1!AB143+BC143</f>
        <v>56.549999999995634</v>
      </c>
      <c r="AD143" s="106">
        <f>Sheet1!AA143+Sheet1!BN143+'Calculations II'!BC143-Calculation!AI143-Calculation!CZ143</f>
        <v>45.532723434195091</v>
      </c>
      <c r="AE143" s="106">
        <f>Sheet1!AA143+Sheet1!AB143+'Calculations II'!BC143-Calculation!AI143-Calculation!CZ143</f>
        <v>50.182723434196546</v>
      </c>
      <c r="AF143" s="106">
        <f>Sheet1!AA143+Sheet1!BN143+P143+'Calculations II'!BC143+Calculation!AI143+Calculation!CZ143</f>
        <v>52.804716011018577</v>
      </c>
      <c r="AG143" s="106">
        <f>Sheet1!AA143+Sheet1!BN143+'Calculations II'!BC143+'Calculations II'!P143-Sheet1!CP143-BP143</f>
        <v>30.587439445219488</v>
      </c>
      <c r="AH143" s="106">
        <f>Sheet1!AA143+Sheet1!BN143+'Calculations II'!BC143+'Calculations II'!P143-BP143</f>
        <v>46.437439445219489</v>
      </c>
      <c r="AI143" s="106">
        <f>BC143+Sheet1!AA143+Calculation!EI143+O143+W143+Sheet1!BN143+Calculation!AI143+Calculation!CZ143-BP143</f>
        <v>52.804716011018577</v>
      </c>
      <c r="AJ143" s="106"/>
      <c r="AM143" s="102">
        <f t="shared" si="23"/>
        <v>40672</v>
      </c>
      <c r="AN143" s="106"/>
      <c r="AO143" s="106"/>
      <c r="AR143" s="106"/>
      <c r="AT143" s="101">
        <f>Sheet1!AR143*GPMtoMGD</f>
        <v>0</v>
      </c>
      <c r="AU143" s="101">
        <f>Sheet1!AS143*GPMtoMGD</f>
        <v>5.0976E-2</v>
      </c>
      <c r="AV143" s="101">
        <f>Sheet1!AT143*GPMtoMGD</f>
        <v>0</v>
      </c>
      <c r="AW143" s="101">
        <f>Sheet1!AV143*GPMtoMGD</f>
        <v>0.29894399999999999</v>
      </c>
      <c r="AX143" s="101">
        <f>Sheet1!AW143*GPMtoMGD</f>
        <v>0.54489600000000005</v>
      </c>
      <c r="AY143" s="101">
        <f>Sheet1!AX143*GPMtoMGD</f>
        <v>0</v>
      </c>
      <c r="AZ143" s="101">
        <f>Sheet1!AY143*GPMtoMGD</f>
        <v>0</v>
      </c>
      <c r="BA143" s="101">
        <f>Sheet1!AZ143*GPMtoMGD</f>
        <v>0</v>
      </c>
      <c r="BB143" s="101">
        <f>Sheet1!BP143*GPMtoMGD</f>
        <v>0</v>
      </c>
      <c r="BC143" s="101">
        <f>Sheet1!CO143*GPMtoMGD</f>
        <v>0</v>
      </c>
      <c r="BD143" s="101">
        <f>Sheet1!BO143*GPMtoMGD</f>
        <v>5.4364320000000008</v>
      </c>
      <c r="BE143" s="101">
        <f>Sheet1!BV143*GPMtoMGD</f>
        <v>0.68875200000000003</v>
      </c>
      <c r="BF143" s="101">
        <f>Sheet1!CJ143*GPMtoMGD</f>
        <v>0.85982400000000003</v>
      </c>
      <c r="BG143" s="101">
        <f>Sheet1!CK143*GPMtoMGD</f>
        <v>0.58823999999999999</v>
      </c>
      <c r="BH143" s="101">
        <f>Sheet1!CL143*GPMtoMGD</f>
        <v>0.77371199999999996</v>
      </c>
      <c r="BI143" s="101">
        <f t="shared" si="24"/>
        <v>5.4364320000000008</v>
      </c>
      <c r="BK143" s="106">
        <f>SUM(AT143:BA143,BE143,Sheet1!BU143,'Calculations II'!BC143,Calculation!AG143)</f>
        <v>45.966291434202368</v>
      </c>
      <c r="BM143" s="439">
        <f>IF(AND(Sheet1!BQ143&lt;=11.5,Sheet1!BQ142&gt;Sheet1!BQ143),(MIN(Lookup!$C$119,VLOOKUP(Sheet1!BQ142,Lookup!$B$4:$J$236,2))-VLOOKUP(Sheet1!BQ143,Lookup!$B$4:$J$236,2))/1000000,0)</f>
        <v>0</v>
      </c>
      <c r="BN143" s="439">
        <f>IF(AND(Sheet1!BR143&lt;=11.5,Sheet1!BR142&gt;Sheet1!BR143),(MIN(Lookup!$D$119,VLOOKUP(Sheet1!BR142,Lookup!$B$4:$J$236,3))-VLOOKUP(Sheet1!BR143,Lookup!$B$4:$J$236,3))/1000000,0)</f>
        <v>0</v>
      </c>
      <c r="BP143" s="105">
        <f>SUM(BM143:BN143,W143,Sheet1!DT143)</f>
        <v>0</v>
      </c>
    </row>
    <row r="144" spans="1:68" s="101" customFormat="1">
      <c r="A144" s="101" t="s">
        <v>4</v>
      </c>
      <c r="B144" s="103">
        <v>40673</v>
      </c>
      <c r="C144" s="104">
        <v>0.33333333333357601</v>
      </c>
      <c r="E144" s="30"/>
      <c r="F144" s="30">
        <f>-(VLOOKUP(Sheet1!BZ144,Lookup!$I$4:$J$216,2)-VLOOKUP(Sheet1!BZ143,Lookup!$I$4:$J$216,2))/1000000</f>
        <v>0.51818469273900236</v>
      </c>
      <c r="G144" s="106">
        <f>-$G$6*(Sheet1!CB144-Sheet1!CB143)*7.48/1000000</f>
        <v>0.31770800842047398</v>
      </c>
      <c r="H144" s="106">
        <f>-$H$6*(Sheet1!CA144-Sheet1!CA143)*7.48/1000000</f>
        <v>-0.54141956464554231</v>
      </c>
      <c r="I144" s="106">
        <f>-$I$6*(Sheet1!CC144-Sheet1!CC143)*7.48/1000000</f>
        <v>-0.10794905056816222</v>
      </c>
      <c r="J144" s="107" t="s">
        <v>193</v>
      </c>
      <c r="K144" s="106">
        <f>-$I$6*(Sheet1!CD144-Sheet1!CD143)*7.48/1000000</f>
        <v>-8.9957542140135238E-2</v>
      </c>
      <c r="L144" s="107" t="s">
        <v>193</v>
      </c>
      <c r="M144" s="106">
        <f>-$M$6*(Sheet1!CE144-Sheet1!CE143)*7.48/1000000</f>
        <v>-5.3306562995667349E-2</v>
      </c>
      <c r="N144" s="106">
        <f>-$N$6*(Sheet1!CF144-Sheet1!CF143)*7.48/1000000</f>
        <v>0.18615703618387214</v>
      </c>
      <c r="O144" s="106">
        <f t="shared" si="20"/>
        <v>0.22941701699384134</v>
      </c>
      <c r="P144" s="106">
        <f>O144+Calculation!EI144</f>
        <v>2.0841170169938414</v>
      </c>
      <c r="Q144" s="101" t="str">
        <f>IF(Sheet1!BQ144&gt;21.75,"spill elevation","-")</f>
        <v>-</v>
      </c>
      <c r="R144" s="101" t="str">
        <f>IF(Sheet1!BR144&gt;21.75,"spill elevation","-")</f>
        <v>-</v>
      </c>
      <c r="S144" s="101" t="str">
        <f>IF(Sheet1!BS144&gt;21.75,"spill elevation","-")</f>
        <v>-</v>
      </c>
      <c r="T144" s="105">
        <f>IF(Sheet1!DQ144=1,Sheet1!AA144-(SUM(AT144:BA144)+BE144),Sheet1!AA144-SUM(AT144:BA144))</f>
        <v>28.719680000004075</v>
      </c>
      <c r="U144" s="105">
        <f>Sheet1!BU144</f>
        <v>28.6</v>
      </c>
      <c r="V144" s="105">
        <f t="shared" si="21"/>
        <v>0.11968000000407386</v>
      </c>
      <c r="W144" s="105">
        <f t="shared" si="22"/>
        <v>0</v>
      </c>
      <c r="X144" s="101">
        <f>IF((Sheet1!EX144-Sheet1!EX143)&lt;0,(Sheet1!EX144+100000-Sheet1!EX143)/1000,(Sheet1!EX144-Sheet1!EX143)/1000)</f>
        <v>0.71499999999999997</v>
      </c>
      <c r="Y144" s="106">
        <f>Calculation!DZ145+Calculation!EI144+'Calculations II'!O144-'Calculations II'!W144</f>
        <v>52.514117016994135</v>
      </c>
      <c r="Z144" s="106">
        <f>Y144-Sheet1!CP145</f>
        <v>36.334117016994135</v>
      </c>
      <c r="AA144" s="106">
        <f>Y144+Calculation!CZ145+Calculation!AI145</f>
        <v>61.081789430786642</v>
      </c>
      <c r="AC144" s="106">
        <f>Sheet1!AA144+Sheet1!AB144+BC144</f>
        <v>53.020000000004075</v>
      </c>
      <c r="AD144" s="106">
        <f>Sheet1!AA144+Sheet1!BN144+'Calculations II'!BC144-Calculation!AI144-Calculation!CZ144</f>
        <v>37.506401399217019</v>
      </c>
      <c r="AE144" s="106">
        <f>Sheet1!AA144+Sheet1!AB144+'Calculations II'!BC144-Calculation!AI144-Calculation!CZ144</f>
        <v>45.306401399217016</v>
      </c>
      <c r="AF144" s="106">
        <f>Sheet1!AA144+Sheet1!BN144+P144+'Calculations II'!BC144+Calculation!AI144+Calculation!CZ144</f>
        <v>55.01771561778498</v>
      </c>
      <c r="AG144" s="106">
        <f>Sheet1!AA144+Sheet1!BN144+'Calculations II'!BC144+'Calculations II'!P144-Sheet1!CP144-BP144</f>
        <v>30.874117016997921</v>
      </c>
      <c r="AH144" s="106">
        <f>Sheet1!AA144+Sheet1!BN144+'Calculations II'!BC144+'Calculations II'!P144-BP144</f>
        <v>47.304117016997921</v>
      </c>
      <c r="AI144" s="106">
        <f>BC144+Sheet1!AA144+Calculation!EI144+O144+W144+Sheet1!BN144+Calculation!AI144+Calculation!CZ144-BP144</f>
        <v>55.01771561778498</v>
      </c>
      <c r="AJ144" s="106"/>
      <c r="AM144" s="102">
        <f t="shared" si="23"/>
        <v>40673</v>
      </c>
      <c r="AN144" s="106"/>
      <c r="AO144" s="106"/>
      <c r="AR144" s="106"/>
      <c r="AT144" s="101">
        <f>Sheet1!AR144*GPMtoMGD</f>
        <v>0</v>
      </c>
      <c r="AU144" s="101">
        <f>Sheet1!AS144*GPMtoMGD</f>
        <v>2.6928000000000001E-2</v>
      </c>
      <c r="AV144" s="101">
        <f>Sheet1!AT144*GPMtoMGD</f>
        <v>0</v>
      </c>
      <c r="AW144" s="101">
        <f>Sheet1!AV144*GPMtoMGD</f>
        <v>0.58881600000000001</v>
      </c>
      <c r="AX144" s="101">
        <f>Sheet1!AW144*GPMtoMGD</f>
        <v>0.68457599999999996</v>
      </c>
      <c r="AY144" s="101">
        <f>Sheet1!AX144*GPMtoMGD</f>
        <v>0</v>
      </c>
      <c r="AZ144" s="101">
        <f>Sheet1!AY144*GPMtoMGD</f>
        <v>0</v>
      </c>
      <c r="BA144" s="101">
        <f>Sheet1!AZ144*GPMtoMGD</f>
        <v>0</v>
      </c>
      <c r="BB144" s="101">
        <f>Sheet1!BP144*GPMtoMGD</f>
        <v>0</v>
      </c>
      <c r="BC144" s="101">
        <f>Sheet1!CO144*GPMtoMGD</f>
        <v>0</v>
      </c>
      <c r="BD144" s="101">
        <f>Sheet1!BO144*GPMtoMGD</f>
        <v>2.0018880000000001</v>
      </c>
      <c r="BE144" s="101">
        <f>Sheet1!BV144*GPMtoMGD</f>
        <v>0.95428800000000014</v>
      </c>
      <c r="BF144" s="101">
        <f>Sheet1!CJ144*GPMtoMGD</f>
        <v>0.78580800000000006</v>
      </c>
      <c r="BG144" s="101">
        <f>Sheet1!CK144*GPMtoMGD</f>
        <v>0.57369599999999998</v>
      </c>
      <c r="BH144" s="101">
        <f>Sheet1!CL144*GPMtoMGD</f>
        <v>0.77241599999999999</v>
      </c>
      <c r="BI144" s="101">
        <f t="shared" si="24"/>
        <v>2.0018880000000001</v>
      </c>
      <c r="BK144" s="106">
        <f>SUM(AT144:BA144,BE144,Sheet1!BU144,'Calculations II'!BC144,Calculation!AG144)</f>
        <v>46.141009399212948</v>
      </c>
      <c r="BM144" s="439">
        <f>IF(AND(Sheet1!BQ144&lt;=11.5,Sheet1!BQ143&gt;Sheet1!BQ144),(MIN(Lookup!$C$119,VLOOKUP(Sheet1!BQ143,Lookup!$B$4:$J$236,2))-VLOOKUP(Sheet1!BQ144,Lookup!$B$4:$J$236,2))/1000000,0)</f>
        <v>0</v>
      </c>
      <c r="BN144" s="439">
        <f>IF(AND(Sheet1!BR144&lt;=11.5,Sheet1!BR143&gt;Sheet1!BR144),(MIN(Lookup!$D$119,VLOOKUP(Sheet1!BR143,Lookup!$B$4:$J$236,3))-VLOOKUP(Sheet1!BR144,Lookup!$B$4:$J$236,3))/1000000,0)</f>
        <v>0</v>
      </c>
      <c r="BP144" s="105">
        <f>SUM(BM144:BN144,W144,Sheet1!DT144)</f>
        <v>0</v>
      </c>
    </row>
    <row r="145" spans="1:68" s="101" customFormat="1">
      <c r="A145" s="101" t="s">
        <v>5</v>
      </c>
      <c r="B145" s="103">
        <v>40674</v>
      </c>
      <c r="C145" s="104">
        <v>0.33333333333357601</v>
      </c>
      <c r="E145" s="30"/>
      <c r="F145" s="30">
        <f>-(VLOOKUP(Sheet1!BZ145,Lookup!$I$4:$J$216,2)-VLOOKUP(Sheet1!BZ144,Lookup!$I$4:$J$216,2))/1000000</f>
        <v>0.20727387709559872</v>
      </c>
      <c r="G145" s="106">
        <f>-$G$6*(Sheet1!CB145-Sheet1!CB144)*7.48/1000000</f>
        <v>-1.1119780294716601</v>
      </c>
      <c r="H145" s="106">
        <f>-$H$6*(Sheet1!CA145-Sheet1!CA144)*7.48/1000000</f>
        <v>0.12031545881012005</v>
      </c>
      <c r="I145" s="106">
        <f>-$I$6*(Sheet1!CC145-Sheet1!CC144)*7.48/1000000</f>
        <v>-0.26987262642040577</v>
      </c>
      <c r="J145" s="107" t="s">
        <v>193</v>
      </c>
      <c r="K145" s="106">
        <f>-$I$6*(Sheet1!CD145-Sheet1!CD144)*7.48/1000000</f>
        <v>-0.28786413484843265</v>
      </c>
      <c r="L145" s="107" t="s">
        <v>193</v>
      </c>
      <c r="M145" s="106">
        <f>-$M$6*(Sheet1!CE145-Sheet1!CE144)*7.48/1000000</f>
        <v>-9.3286485242418338E-2</v>
      </c>
      <c r="N145" s="106">
        <f>-$N$6*(Sheet1!CF145-Sheet1!CF144)*7.48/1000000</f>
        <v>6.2052345394623676E-2</v>
      </c>
      <c r="O145" s="106">
        <f t="shared" si="20"/>
        <v>-1.3733595946825745</v>
      </c>
      <c r="P145" s="106">
        <f>O145+Calculation!EI145</f>
        <v>2.8426404053174248</v>
      </c>
      <c r="Q145" s="101" t="str">
        <f>IF(Sheet1!BQ145&gt;21.75,"spill elevation","-")</f>
        <v>-</v>
      </c>
      <c r="R145" s="101" t="str">
        <f>IF(Sheet1!BR145&gt;21.75,"spill elevation","-")</f>
        <v>-</v>
      </c>
      <c r="S145" s="101" t="str">
        <f>IF(Sheet1!BS145&gt;21.75,"spill elevation","-")</f>
        <v>-</v>
      </c>
      <c r="T145" s="105">
        <f>IF(Sheet1!DQ145=1,Sheet1!AA145-(SUM(AT145:BA145)+BE145),Sheet1!AA145-SUM(AT145:BA145))</f>
        <v>28.401360000001745</v>
      </c>
      <c r="U145" s="105">
        <f>Sheet1!BU145</f>
        <v>30.9</v>
      </c>
      <c r="V145" s="105">
        <f t="shared" si="21"/>
        <v>-2.4986399999982538</v>
      </c>
      <c r="W145" s="105">
        <f t="shared" si="22"/>
        <v>0</v>
      </c>
      <c r="X145" s="101">
        <f>IF((Sheet1!EX145-Sheet1!EX144)&lt;0,(Sheet1!EX145+100000-Sheet1!EX144)/1000,(Sheet1!EX145-Sheet1!EX144)/1000)</f>
        <v>0.66200000000000003</v>
      </c>
      <c r="Y145" s="106">
        <f>Calculation!DZ146+Calculation!EI145+'Calculations II'!O145-'Calculations II'!W145</f>
        <v>54.842640405317425</v>
      </c>
      <c r="Z145" s="106">
        <f>Y145-Sheet1!CP146</f>
        <v>39.482640405317426</v>
      </c>
      <c r="AA145" s="106">
        <f>Y145+Calculation!CZ146+Calculation!AI146</f>
        <v>63.466023251508133</v>
      </c>
      <c r="AC145" s="106">
        <f>Sheet1!AA145+Sheet1!AB145+BC145</f>
        <v>50.430000000000291</v>
      </c>
      <c r="AD145" s="106">
        <f>Sheet1!AA145+Sheet1!BN145+'Calculations II'!BC145-Calculation!AI145-Calculation!CZ145</f>
        <v>33.312327586209236</v>
      </c>
      <c r="AE145" s="106">
        <f>Sheet1!AA145+Sheet1!AB145+'Calculations II'!BC145-Calculation!AI145-Calculation!CZ145</f>
        <v>41.862327586207783</v>
      </c>
      <c r="AF145" s="106">
        <f>Sheet1!AA145+Sheet1!BN145+P145+'Calculations II'!BC145+Calculation!AI145+Calculation!CZ145</f>
        <v>53.290312819111676</v>
      </c>
      <c r="AG145" s="106">
        <f>Sheet1!AA145+Sheet1!BN145+'Calculations II'!BC145+'Calculations II'!P145-Sheet1!CP145-BP145</f>
        <v>28.542640405319169</v>
      </c>
      <c r="AH145" s="106">
        <f>Sheet1!AA145+Sheet1!BN145+'Calculations II'!BC145+'Calculations II'!P145-BP145</f>
        <v>44.722640405319169</v>
      </c>
      <c r="AI145" s="106">
        <f>BC145+Sheet1!AA145+Calculation!EI145+O145+W145+Sheet1!BN145+Calculation!AI145+Calculation!CZ145-BP145</f>
        <v>53.290312819111676</v>
      </c>
      <c r="AJ145" s="106"/>
      <c r="AM145" s="102">
        <f t="shared" si="23"/>
        <v>40674</v>
      </c>
      <c r="AN145" s="106"/>
      <c r="AO145" s="106"/>
      <c r="AR145" s="106"/>
      <c r="AT145" s="101">
        <f>Sheet1!AR145*GPMtoMGD</f>
        <v>0</v>
      </c>
      <c r="AU145" s="101">
        <f>Sheet1!AS145*GPMtoMGD</f>
        <v>2.6784000000000002E-2</v>
      </c>
      <c r="AV145" s="101">
        <f>Sheet1!AT145*GPMtoMGD</f>
        <v>0</v>
      </c>
      <c r="AW145" s="101">
        <f>Sheet1!AV145*GPMtoMGD</f>
        <v>0.45648000000000005</v>
      </c>
      <c r="AX145" s="101">
        <f>Sheet1!AW145*GPMtoMGD</f>
        <v>0.69537599999999999</v>
      </c>
      <c r="AY145" s="101">
        <f>Sheet1!AX145*GPMtoMGD</f>
        <v>0</v>
      </c>
      <c r="AZ145" s="101">
        <f>Sheet1!AY145*GPMtoMGD</f>
        <v>0</v>
      </c>
      <c r="BA145" s="101">
        <f>Sheet1!AZ145*GPMtoMGD</f>
        <v>0</v>
      </c>
      <c r="BB145" s="101">
        <f>Sheet1!BP145*GPMtoMGD</f>
        <v>0</v>
      </c>
      <c r="BC145" s="101">
        <f>Sheet1!CO145*GPMtoMGD</f>
        <v>0</v>
      </c>
      <c r="BD145" s="101">
        <f>Sheet1!BO145*GPMtoMGD</f>
        <v>2.1672000000000002</v>
      </c>
      <c r="BE145" s="101">
        <f>Sheet1!BV145*GPMtoMGD</f>
        <v>0.72691200000000011</v>
      </c>
      <c r="BF145" s="101">
        <f>Sheet1!CJ145*GPMtoMGD</f>
        <v>0.69264000000000003</v>
      </c>
      <c r="BG145" s="101">
        <f>Sheet1!CK145*GPMtoMGD</f>
        <v>0.54777600000000004</v>
      </c>
      <c r="BH145" s="101">
        <f>Sheet1!CL145*GPMtoMGD</f>
        <v>0.76190400000000003</v>
      </c>
      <c r="BI145" s="101">
        <f t="shared" si="24"/>
        <v>2.1672000000000002</v>
      </c>
      <c r="BK145" s="106">
        <f>SUM(AT145:BA145,BE145,Sheet1!BU145,'Calculations II'!BC145,Calculation!AG145)</f>
        <v>45.087879586206043</v>
      </c>
      <c r="BM145" s="439">
        <f>IF(AND(Sheet1!BQ145&lt;=11.5,Sheet1!BQ144&gt;Sheet1!BQ145),(MIN(Lookup!$C$119,VLOOKUP(Sheet1!BQ144,Lookup!$B$4:$J$236,2))-VLOOKUP(Sheet1!BQ145,Lookup!$B$4:$J$236,2))/1000000,0)</f>
        <v>0</v>
      </c>
      <c r="BN145" s="439">
        <f>IF(AND(Sheet1!BR145&lt;=11.5,Sheet1!BR144&gt;Sheet1!BR145),(MIN(Lookup!$D$119,VLOOKUP(Sheet1!BR144,Lookup!$B$4:$J$236,3))-VLOOKUP(Sheet1!BR145,Lookup!$B$4:$J$236,3))/1000000,0)</f>
        <v>0</v>
      </c>
      <c r="BP145" s="105">
        <f>SUM(BM145:BN145,W145,Sheet1!DT145)</f>
        <v>0</v>
      </c>
    </row>
    <row r="146" spans="1:68" s="101" customFormat="1">
      <c r="A146" s="101" t="s">
        <v>6</v>
      </c>
      <c r="B146" s="103">
        <v>40675</v>
      </c>
      <c r="C146" s="104">
        <v>0.33333333333357601</v>
      </c>
      <c r="E146" s="30"/>
      <c r="F146" s="30">
        <f>-(VLOOKUP(Sheet1!BZ146,Lookup!$I$4:$J$216,2)-VLOOKUP(Sheet1!BZ145,Lookup!$I$4:$J$216,2))/1000000</f>
        <v>-0.41454775419119744</v>
      </c>
      <c r="G146" s="106">
        <f>-$G$6*(Sheet1!CB146-Sheet1!CB145)*7.48/1000000</f>
        <v>0.27799450736791476</v>
      </c>
      <c r="H146" s="106">
        <f>-$H$6*(Sheet1!CA146-Sheet1!CA145)*7.48/1000000</f>
        <v>0.25567034997150645</v>
      </c>
      <c r="I146" s="106">
        <f>-$I$6*(Sheet1!CC146-Sheet1!CC145)*7.48/1000000</f>
        <v>0.16192357585224348</v>
      </c>
      <c r="J146" s="107" t="s">
        <v>193</v>
      </c>
      <c r="K146" s="106">
        <f>-$I$6*(Sheet1!CD146-Sheet1!CD145)*7.48/1000000</f>
        <v>0.16192357585224318</v>
      </c>
      <c r="L146" s="107" t="s">
        <v>193</v>
      </c>
      <c r="M146" s="106">
        <f>-$M$6*(Sheet1!CE146-Sheet1!CE145)*7.48/1000000</f>
        <v>6.6633203744584424E-2</v>
      </c>
      <c r="N146" s="106">
        <f>-$N$6*(Sheet1!CF146-Sheet1!CF145)*7.48/1000000</f>
        <v>0</v>
      </c>
      <c r="O146" s="106">
        <f t="shared" si="20"/>
        <v>0.50959745859729488</v>
      </c>
      <c r="P146" s="106">
        <f>O146+Calculation!EI146</f>
        <v>3.3723974585972947</v>
      </c>
      <c r="Q146" s="101" t="str">
        <f>IF(Sheet1!BQ146&gt;21.75,"spill elevation","-")</f>
        <v>-</v>
      </c>
      <c r="R146" s="101" t="str">
        <f>IF(Sheet1!BR146&gt;21.75,"spill elevation","-")</f>
        <v>-</v>
      </c>
      <c r="S146" s="101" t="str">
        <f>IF(Sheet1!BS146&gt;21.75,"spill elevation","-")</f>
        <v>-</v>
      </c>
      <c r="T146" s="105">
        <f>IF(Sheet1!DQ146=1,Sheet1!AA146-(SUM(AT146:BA146)+BE146),Sheet1!AA146-SUM(AT146:BA146))</f>
        <v>29.858944000000001</v>
      </c>
      <c r="U146" s="105">
        <f>Sheet1!BU146</f>
        <v>29.6</v>
      </c>
      <c r="V146" s="105">
        <f t="shared" si="21"/>
        <v>0.25894399999999962</v>
      </c>
      <c r="W146" s="105">
        <f t="shared" si="22"/>
        <v>0</v>
      </c>
      <c r="X146" s="101">
        <f>IF((Sheet1!EX146-Sheet1!EX145)&lt;0,(Sheet1!EX146+100000-Sheet1!EX145)/1000,(Sheet1!EX146-Sheet1!EX145)/1000)</f>
        <v>0.65100000000000002</v>
      </c>
      <c r="Y146" s="106">
        <f>Calculation!DZ147+Calculation!EI146+'Calculations II'!O146-'Calculations II'!W146</f>
        <v>54.722397458588567</v>
      </c>
      <c r="Z146" s="106">
        <f>Y146-Sheet1!CP147</f>
        <v>39.322397458588568</v>
      </c>
      <c r="AA146" s="106">
        <f>Y146+Calculation!CZ147+Calculation!AI147</f>
        <v>63.369367155557114</v>
      </c>
      <c r="AC146" s="106">
        <f>Sheet1!AA146+Sheet1!AB146+BC146</f>
        <v>52</v>
      </c>
      <c r="AD146" s="106">
        <f>Sheet1!AA146+Sheet1!BN146+'Calculations II'!BC146-Calculation!AI146-Calculation!CZ146</f>
        <v>34.676617153809289</v>
      </c>
      <c r="AE146" s="106">
        <f>Sheet1!AA146+Sheet1!AB146+'Calculations II'!BC146-Calculation!AI146-Calculation!CZ146</f>
        <v>43.376617153809292</v>
      </c>
      <c r="AF146" s="106">
        <f>Sheet1!AA146+Sheet1!BN146+P146+'Calculations II'!BC146+Calculation!AI146+Calculation!CZ146</f>
        <v>55.295780304787996</v>
      </c>
      <c r="AG146" s="106">
        <f>Sheet1!AA146+Sheet1!BN146+'Calculations II'!BC146+'Calculations II'!P146-Sheet1!CP146-BP146</f>
        <v>31.312397458597289</v>
      </c>
      <c r="AH146" s="106">
        <f>Sheet1!AA146+Sheet1!BN146+'Calculations II'!BC146+'Calculations II'!P146-BP146</f>
        <v>46.672397458597288</v>
      </c>
      <c r="AI146" s="106">
        <f>BC146+Sheet1!AA146+Calculation!EI146+O146+W146+Sheet1!BN146+Calculation!AI146+Calculation!CZ146-BP146</f>
        <v>55.295780304788011</v>
      </c>
      <c r="AJ146" s="106"/>
      <c r="AM146" s="102">
        <f t="shared" si="23"/>
        <v>40675</v>
      </c>
      <c r="AN146" s="106"/>
      <c r="AO146" s="106"/>
      <c r="AR146" s="106"/>
      <c r="AT146" s="101">
        <f>Sheet1!AR146*GPMtoMGD</f>
        <v>0</v>
      </c>
      <c r="AU146" s="101">
        <f>Sheet1!AS146*GPMtoMGD</f>
        <v>2.5776E-2</v>
      </c>
      <c r="AV146" s="101">
        <f>Sheet1!AT146*GPMtoMGD</f>
        <v>0</v>
      </c>
      <c r="AW146" s="101">
        <f>Sheet1!AV146*GPMtoMGD</f>
        <v>0.51249599999999995</v>
      </c>
      <c r="AX146" s="101">
        <f>Sheet1!AW146*GPMtoMGD</f>
        <v>0.6027840000000001</v>
      </c>
      <c r="AY146" s="101">
        <f>Sheet1!AX146*GPMtoMGD</f>
        <v>0</v>
      </c>
      <c r="AZ146" s="101">
        <f>Sheet1!AY146*GPMtoMGD</f>
        <v>0</v>
      </c>
      <c r="BA146" s="101">
        <f>Sheet1!AZ146*GPMtoMGD</f>
        <v>0</v>
      </c>
      <c r="BB146" s="101">
        <f>Sheet1!BP146*GPMtoMGD</f>
        <v>0</v>
      </c>
      <c r="BC146" s="101">
        <f>Sheet1!CO146*GPMtoMGD</f>
        <v>0</v>
      </c>
      <c r="BD146" s="101">
        <f>Sheet1!BO146*GPMtoMGD</f>
        <v>1.5163200000000001</v>
      </c>
      <c r="BE146" s="101">
        <f>Sheet1!BV146*GPMtoMGD</f>
        <v>0.53092800000000007</v>
      </c>
      <c r="BF146" s="101">
        <f>Sheet1!CJ146*GPMtoMGD</f>
        <v>0.65419200000000011</v>
      </c>
      <c r="BG146" s="101">
        <f>Sheet1!CK146*GPMtoMGD</f>
        <v>0.56764800000000004</v>
      </c>
      <c r="BH146" s="101">
        <f>Sheet1!CL146*GPMtoMGD</f>
        <v>0.76910400000000012</v>
      </c>
      <c r="BI146" s="101">
        <f t="shared" si="24"/>
        <v>1.5163200000000001</v>
      </c>
      <c r="BK146" s="106">
        <f>SUM(AT146:BA146,BE146,Sheet1!BU146,'Calculations II'!BC146,Calculation!AG146)</f>
        <v>43.648601153809295</v>
      </c>
      <c r="BM146" s="439">
        <f>IF(AND(Sheet1!BQ146&lt;=11.5,Sheet1!BQ145&gt;Sheet1!BQ146),(MIN(Lookup!$C$119,VLOOKUP(Sheet1!BQ145,Lookup!$B$4:$J$236,2))-VLOOKUP(Sheet1!BQ146,Lookup!$B$4:$J$236,2))/1000000,0)</f>
        <v>0</v>
      </c>
      <c r="BN146" s="439">
        <f>IF(AND(Sheet1!BR146&lt;=11.5,Sheet1!BR145&gt;Sheet1!BR146),(MIN(Lookup!$D$119,VLOOKUP(Sheet1!BR145,Lookup!$B$4:$J$236,3))-VLOOKUP(Sheet1!BR146,Lookup!$B$4:$J$236,3))/1000000,0)</f>
        <v>0</v>
      </c>
      <c r="BP146" s="105">
        <f>SUM(BM146:BN146,W146,Sheet1!DT146)</f>
        <v>0</v>
      </c>
    </row>
    <row r="147" spans="1:68" s="101" customFormat="1">
      <c r="A147" s="101" t="s">
        <v>7</v>
      </c>
      <c r="B147" s="103">
        <v>40676</v>
      </c>
      <c r="C147" s="104">
        <v>0.33333333333357601</v>
      </c>
      <c r="E147" s="30"/>
      <c r="F147" s="30">
        <f>-(VLOOKUP(Sheet1!BZ147,Lookup!$I$4:$J$216,2)-VLOOKUP(Sheet1!BZ146,Lookup!$I$4:$J$216,2))/1000000</f>
        <v>-0.10363693854779936</v>
      </c>
      <c r="G147" s="106">
        <f>-$G$6*(Sheet1!CB147-Sheet1!CB146)*7.48/1000000</f>
        <v>0.3177080084204747</v>
      </c>
      <c r="H147" s="106">
        <f>-$H$6*(Sheet1!CA147-Sheet1!CA146)*7.48/1000000</f>
        <v>0.16543375586391587</v>
      </c>
      <c r="I147" s="106">
        <f>-$I$6*(Sheet1!CC147-Sheet1!CC146)*7.48/1000000</f>
        <v>0.10794905056816222</v>
      </c>
      <c r="J147" s="107" t="s">
        <v>193</v>
      </c>
      <c r="K147" s="106">
        <f>-$I$6*(Sheet1!CD147-Sheet1!CD146)*7.48/1000000</f>
        <v>0.10794905056816255</v>
      </c>
      <c r="L147" s="107" t="s">
        <v>193</v>
      </c>
      <c r="M147" s="106">
        <f>-$M$6*(Sheet1!CE147-Sheet1!CE146)*7.48/1000000</f>
        <v>3.9979922246750753E-2</v>
      </c>
      <c r="N147" s="106">
        <f>-$N$6*(Sheet1!CF147-Sheet1!CF146)*7.48/1000000</f>
        <v>-0.24820938157849581</v>
      </c>
      <c r="O147" s="106">
        <f t="shared" si="20"/>
        <v>0.38717346754117088</v>
      </c>
      <c r="P147" s="106">
        <f>O147+Calculation!EI147</f>
        <v>3.4059734675411706</v>
      </c>
      <c r="Q147" s="101" t="str">
        <f>IF(Sheet1!BQ147&gt;21.75,"spill elevation","-")</f>
        <v>-</v>
      </c>
      <c r="R147" s="101" t="str">
        <f>IF(Sheet1!BR147&gt;21.75,"spill elevation","-")</f>
        <v>-</v>
      </c>
      <c r="S147" s="101" t="str">
        <f>IF(Sheet1!BS147&gt;21.75,"spill elevation","-")</f>
        <v>-</v>
      </c>
      <c r="T147" s="105">
        <f>IF(Sheet1!DQ147=1,Sheet1!AA147-(SUM(AT147:BA147)+BE147),Sheet1!AA147-SUM(AT147:BA147))</f>
        <v>27.624047999994179</v>
      </c>
      <c r="U147" s="105">
        <f>Sheet1!BU147</f>
        <v>29.2</v>
      </c>
      <c r="V147" s="105">
        <f t="shared" si="21"/>
        <v>-1.5759520000058203</v>
      </c>
      <c r="W147" s="105">
        <f t="shared" si="22"/>
        <v>0</v>
      </c>
      <c r="X147" s="101">
        <f>IF((Sheet1!EX147-Sheet1!EX146)&lt;0,(Sheet1!EX147+100000-Sheet1!EX146)/1000,(Sheet1!EX147-Sheet1!EX146)/1000)</f>
        <v>0.13</v>
      </c>
      <c r="Y147" s="106">
        <f>Calculation!DZ148+Calculation!EI147+'Calculations II'!O147-'Calculations II'!W147</f>
        <v>57.515973467556307</v>
      </c>
      <c r="Z147" s="106">
        <f>Y147-Sheet1!CP148</f>
        <v>41.935973467556309</v>
      </c>
      <c r="AA147" s="106">
        <f>Y147+Calculation!CZ148+Calculation!AI148</f>
        <v>66.19846505004999</v>
      </c>
      <c r="AC147" s="106">
        <f>Sheet1!AA147+Sheet1!AB147+BC147</f>
        <v>51.349999999991269</v>
      </c>
      <c r="AD147" s="106">
        <f>Sheet1!AA147+Sheet1!BN147+'Calculations II'!BC147-Calculation!AI147-Calculation!CZ147</f>
        <v>33.953030303025628</v>
      </c>
      <c r="AE147" s="106">
        <f>Sheet1!AA147+Sheet1!AB147+'Calculations II'!BC147-Calculation!AI147-Calculation!CZ147</f>
        <v>42.703030303022715</v>
      </c>
      <c r="AF147" s="106">
        <f>Sheet1!AA147+Sheet1!BN147+P147+'Calculations II'!BC147+Calculation!AI147+Calculation!CZ147</f>
        <v>54.65294316450391</v>
      </c>
      <c r="AG147" s="106">
        <f>Sheet1!AA147+Sheet1!BN147+'Calculations II'!BC147+'Calculations II'!P147-Sheet1!CP147-BP147</f>
        <v>30.605973467535357</v>
      </c>
      <c r="AH147" s="106">
        <f>Sheet1!AA147+Sheet1!BN147+'Calculations II'!BC147+'Calculations II'!P147-BP147</f>
        <v>46.005973467535355</v>
      </c>
      <c r="AI147" s="106">
        <f>BC147+Sheet1!AA147+Calculation!EI147+O147+W147+Sheet1!BN147+Calculation!AI147+Calculation!CZ147-BP147</f>
        <v>54.65294316450391</v>
      </c>
      <c r="AJ147" s="106"/>
      <c r="AM147" s="102">
        <f t="shared" si="23"/>
        <v>40676</v>
      </c>
      <c r="AN147" s="106"/>
      <c r="AO147" s="106"/>
      <c r="AR147" s="106"/>
      <c r="AT147" s="101">
        <f>Sheet1!AR147*GPMtoMGD</f>
        <v>0</v>
      </c>
      <c r="AU147" s="101">
        <f>Sheet1!AS147*GPMtoMGD</f>
        <v>2.4624000000000004E-2</v>
      </c>
      <c r="AV147" s="101">
        <f>Sheet1!AT147*GPMtoMGD</f>
        <v>0</v>
      </c>
      <c r="AW147" s="101">
        <f>Sheet1!AV147*GPMtoMGD</f>
        <v>0.48528000000000004</v>
      </c>
      <c r="AX147" s="101">
        <f>Sheet1!AW147*GPMtoMGD</f>
        <v>1.2660480000000001</v>
      </c>
      <c r="AY147" s="101">
        <f>Sheet1!AX147*GPMtoMGD</f>
        <v>0</v>
      </c>
      <c r="AZ147" s="101">
        <f>Sheet1!AY147*GPMtoMGD</f>
        <v>0</v>
      </c>
      <c r="BA147" s="101">
        <f>Sheet1!AZ147*GPMtoMGD</f>
        <v>0</v>
      </c>
      <c r="BB147" s="101">
        <f>Sheet1!BP147*GPMtoMGD</f>
        <v>0</v>
      </c>
      <c r="BC147" s="101">
        <f>Sheet1!CO147*GPMtoMGD</f>
        <v>0</v>
      </c>
      <c r="BD147" s="101">
        <f>Sheet1!BO147*GPMtoMGD</f>
        <v>1.587744</v>
      </c>
      <c r="BE147" s="101">
        <f>Sheet1!BV147*GPMtoMGD</f>
        <v>0.50241599999999997</v>
      </c>
      <c r="BF147" s="101">
        <f>Sheet1!CJ147*GPMtoMGD</f>
        <v>0.56275200000000003</v>
      </c>
      <c r="BG147" s="101">
        <f>Sheet1!CK147*GPMtoMGD</f>
        <v>0.55828800000000001</v>
      </c>
      <c r="BH147" s="101">
        <f>Sheet1!CL147*GPMtoMGD</f>
        <v>0.74404800000000015</v>
      </c>
      <c r="BI147" s="101">
        <f t="shared" si="24"/>
        <v>1.587744</v>
      </c>
      <c r="BK147" s="106">
        <f>SUM(AT147:BA147,BE147,Sheet1!BU147,'Calculations II'!BC147,Calculation!AG147)</f>
        <v>44.781398303028539</v>
      </c>
      <c r="BM147" s="439">
        <f>IF(AND(Sheet1!BQ147&lt;=11.5,Sheet1!BQ146&gt;Sheet1!BQ147),(MIN(Lookup!$C$119,VLOOKUP(Sheet1!BQ146,Lookup!$B$4:$J$236,2))-VLOOKUP(Sheet1!BQ147,Lookup!$B$4:$J$236,2))/1000000,0)</f>
        <v>0</v>
      </c>
      <c r="BN147" s="439">
        <f>IF(AND(Sheet1!BR147&lt;=11.5,Sheet1!BR146&gt;Sheet1!BR147),(MIN(Lookup!$D$119,VLOOKUP(Sheet1!BR146,Lookup!$B$4:$J$236,3))-VLOOKUP(Sheet1!BR147,Lookup!$B$4:$J$236,3))/1000000,0)</f>
        <v>0</v>
      </c>
      <c r="BP147" s="105">
        <f>SUM(BM147:BN147,W147,Sheet1!DT147)</f>
        <v>0</v>
      </c>
    </row>
    <row r="148" spans="1:68" s="101" customFormat="1">
      <c r="A148" s="101" t="s">
        <v>8</v>
      </c>
      <c r="B148" s="103">
        <v>40677</v>
      </c>
      <c r="C148" s="104">
        <v>0.33333333333357601</v>
      </c>
      <c r="E148" s="30"/>
      <c r="F148" s="30">
        <f>-(VLOOKUP(Sheet1!BZ148,Lookup!$I$4:$J$216,2)-VLOOKUP(Sheet1!BZ147,Lookup!$I$4:$J$216,2))/1000000</f>
        <v>-0.72545856983460111</v>
      </c>
      <c r="G148" s="106">
        <f>-$G$6*(Sheet1!CB148-Sheet1!CB147)*7.48/1000000</f>
        <v>0.35742150947303314</v>
      </c>
      <c r="H148" s="106">
        <f>-$H$6*(Sheet1!CA148-Sheet1!CA147)*7.48/1000000</f>
        <v>-6.0157729405061096E-2</v>
      </c>
      <c r="I148" s="106">
        <f>-$I$6*(Sheet1!CC148-Sheet1!CC147)*7.48/1000000</f>
        <v>3.5983016856054283E-2</v>
      </c>
      <c r="J148" s="107" t="s">
        <v>193</v>
      </c>
      <c r="K148" s="106">
        <f>-$I$6*(Sheet1!CD148-Sheet1!CD147)*7.48/1000000</f>
        <v>4.3179620227264633E-2</v>
      </c>
      <c r="L148" s="107" t="s">
        <v>193</v>
      </c>
      <c r="M148" s="106">
        <f>-$M$6*(Sheet1!CE148-Sheet1!CE147)*7.48/1000000</f>
        <v>1.3326640748916837E-2</v>
      </c>
      <c r="N148" s="106">
        <f>-$N$6*(Sheet1!CF148-Sheet1!CF147)*7.48/1000000</f>
        <v>-0.1178994562497851</v>
      </c>
      <c r="O148" s="106">
        <f t="shared" si="20"/>
        <v>-0.45360496818417845</v>
      </c>
      <c r="P148" s="106">
        <f>O148+Calculation!EI148</f>
        <v>9.5782950318158218</v>
      </c>
      <c r="Q148" s="101" t="str">
        <f>IF(Sheet1!BQ148&gt;21.75,"spill elevation","-")</f>
        <v>-</v>
      </c>
      <c r="R148" s="101" t="str">
        <f>IF(Sheet1!BR148&gt;21.75,"spill elevation","-")</f>
        <v>-</v>
      </c>
      <c r="S148" s="101" t="str">
        <f>IF(Sheet1!BS148&gt;21.75,"spill elevation","-")</f>
        <v>-</v>
      </c>
      <c r="T148" s="105">
        <f>IF(Sheet1!DQ148=1,Sheet1!AA148-(SUM(AT148:BA148)+BE148),Sheet1!AA148-SUM(AT148:BA148))</f>
        <v>28.322752000009313</v>
      </c>
      <c r="U148" s="105">
        <f>Sheet1!BU148</f>
        <v>27.8</v>
      </c>
      <c r="V148" s="105">
        <f t="shared" si="21"/>
        <v>0.52275200000931221</v>
      </c>
      <c r="W148" s="105">
        <f t="shared" si="22"/>
        <v>0</v>
      </c>
      <c r="X148" s="101">
        <f>IF((Sheet1!EX148-Sheet1!EX147)&lt;0,(Sheet1!EX148+100000-Sheet1!EX147)/1000,(Sheet1!EX148-Sheet1!EX147)/1000)</f>
        <v>0</v>
      </c>
      <c r="Y148" s="106">
        <f>Calculation!DZ149+Calculation!EI148+'Calculations II'!O148-'Calculations II'!W148</f>
        <v>62.008295031808835</v>
      </c>
      <c r="Z148" s="106">
        <f>Y148-Sheet1!CP149</f>
        <v>46.308295031808839</v>
      </c>
      <c r="AA148" s="106">
        <f>Y148+Calculation!CZ149+Calculation!AI149</f>
        <v>68.084408392131138</v>
      </c>
      <c r="AC148" s="106">
        <f>Sheet1!AA148+Sheet1!AB148+BC148</f>
        <v>54.110000000015134</v>
      </c>
      <c r="AD148" s="106">
        <f>Sheet1!AA148+Sheet1!BN148+'Calculations II'!BC148-Calculation!AI148-Calculation!CZ148</f>
        <v>36.527508417515634</v>
      </c>
      <c r="AE148" s="106">
        <f>Sheet1!AA148+Sheet1!AB148+'Calculations II'!BC148-Calculation!AI148-Calculation!CZ148</f>
        <v>45.427508417521452</v>
      </c>
      <c r="AF148" s="106">
        <f>Sheet1!AA148+Sheet1!BN148+P148+'Calculations II'!BC148+Calculation!AI148+Calculation!CZ148</f>
        <v>63.470786614318811</v>
      </c>
      <c r="AG148" s="106">
        <f>Sheet1!AA148+Sheet1!BN148+'Calculations II'!BC148+'Calculations II'!P148-Sheet1!CP148-BP148</f>
        <v>30.758795031825137</v>
      </c>
      <c r="AH148" s="106">
        <f>Sheet1!AA148+Sheet1!BN148+'Calculations II'!BC148+'Calculations II'!P148-BP148</f>
        <v>46.338795031825136</v>
      </c>
      <c r="AI148" s="106">
        <f>BC148+Sheet1!AA148+Calculation!EI148+O148+W148+Sheet1!BN148+Calculation!AI148+Calculation!CZ148-BP148</f>
        <v>55.021286614318811</v>
      </c>
      <c r="AJ148" s="106"/>
      <c r="AM148" s="102">
        <f t="shared" si="23"/>
        <v>40677</v>
      </c>
      <c r="AN148" s="106"/>
      <c r="AO148" s="106"/>
      <c r="AR148" s="106"/>
      <c r="AT148" s="101">
        <f>Sheet1!AR148*GPMtoMGD</f>
        <v>0</v>
      </c>
      <c r="AU148" s="101">
        <f>Sheet1!AS148*GPMtoMGD</f>
        <v>5.0688000000000004E-2</v>
      </c>
      <c r="AV148" s="101">
        <f>Sheet1!AT148*GPMtoMGD</f>
        <v>0</v>
      </c>
      <c r="AW148" s="101">
        <f>Sheet1!AV148*GPMtoMGD</f>
        <v>0.79488000000000003</v>
      </c>
      <c r="AX148" s="101">
        <f>Sheet1!AW148*GPMtoMGD</f>
        <v>0.84168000000000009</v>
      </c>
      <c r="AY148" s="101">
        <f>Sheet1!AX148*GPMtoMGD</f>
        <v>0</v>
      </c>
      <c r="AZ148" s="101">
        <f>Sheet1!AY148*GPMtoMGD</f>
        <v>0</v>
      </c>
      <c r="BA148" s="101">
        <f>Sheet1!AZ148*GPMtoMGD</f>
        <v>0</v>
      </c>
      <c r="BB148" s="101">
        <f>Sheet1!BP148*GPMtoMGD</f>
        <v>0</v>
      </c>
      <c r="BC148" s="101">
        <f>Sheet1!CO148*GPMtoMGD</f>
        <v>0</v>
      </c>
      <c r="BD148" s="101">
        <f>Sheet1!BO148*GPMtoMGD</f>
        <v>1.9241280000000003</v>
      </c>
      <c r="BE148" s="101">
        <f>Sheet1!BV148*GPMtoMGD</f>
        <v>0.46094400000000008</v>
      </c>
      <c r="BF148" s="101">
        <f>Sheet1!CJ148*GPMtoMGD</f>
        <v>0.66844800000000004</v>
      </c>
      <c r="BG148" s="101">
        <f>Sheet1!CK148*GPMtoMGD</f>
        <v>0.62064000000000008</v>
      </c>
      <c r="BH148" s="101">
        <f>Sheet1!CL148*GPMtoMGD</f>
        <v>0.716256</v>
      </c>
      <c r="BI148" s="101">
        <f t="shared" si="24"/>
        <v>1.9241280000000003</v>
      </c>
      <c r="BK148" s="106">
        <f>SUM(AT148:BA148,BE148,Sheet1!BU148,'Calculations II'!BC148,Calculation!AG148)</f>
        <v>45.365700417512144</v>
      </c>
      <c r="BM148" s="439">
        <f>IF(AND(Sheet1!BQ148&lt;=11.5,Sheet1!BQ147&gt;Sheet1!BQ148),(MIN(Lookup!$C$119,VLOOKUP(Sheet1!BQ147,Lookup!$B$4:$J$236,2))-VLOOKUP(Sheet1!BQ148,Lookup!$B$4:$J$236,2))/1000000,0)</f>
        <v>0</v>
      </c>
      <c r="BN148" s="439">
        <f>IF(AND(Sheet1!BR148&lt;=11.5,Sheet1!BR147&gt;Sheet1!BR148),(MIN(Lookup!$D$119,VLOOKUP(Sheet1!BR147,Lookup!$B$4:$J$236,3))-VLOOKUP(Sheet1!BR148,Lookup!$B$4:$J$236,3))/1000000,0)</f>
        <v>8.4495000000000005</v>
      </c>
      <c r="BP148" s="105">
        <f>SUM(BM148:BN148,W148,Sheet1!DT148)</f>
        <v>8.4495000000000005</v>
      </c>
    </row>
    <row r="149" spans="1:68" s="101" customFormat="1">
      <c r="A149" s="101" t="s">
        <v>9</v>
      </c>
      <c r="B149" s="103">
        <v>40678</v>
      </c>
      <c r="C149" s="104">
        <v>0.33333333333357601</v>
      </c>
      <c r="E149" s="30"/>
      <c r="F149" s="30">
        <f>-(VLOOKUP(Sheet1!BZ149,Lookup!$I$4:$J$216,2)-VLOOKUP(Sheet1!BZ148,Lookup!$I$4:$J$216,2))/1000000</f>
        <v>0.51818469273899681</v>
      </c>
      <c r="G149" s="106">
        <f>-$G$6*(Sheet1!CB149-Sheet1!CB148)*7.48/1000000</f>
        <v>-1.0325510273665417</v>
      </c>
      <c r="H149" s="106">
        <f>-$H$6*(Sheet1!CA149-Sheet1!CA148)*7.48/1000000</f>
        <v>-4.5118297053794748E-2</v>
      </c>
      <c r="I149" s="106">
        <f>-$I$6*(Sheet1!CC149-Sheet1!CC148)*7.48/1000000</f>
        <v>0.16192357585224335</v>
      </c>
      <c r="J149" s="107" t="s">
        <v>193</v>
      </c>
      <c r="K149" s="106">
        <f>-$I$6*(Sheet1!CD149-Sheet1!CD148)*7.48/1000000</f>
        <v>0.17271848090905981</v>
      </c>
      <c r="L149" s="107" t="s">
        <v>193</v>
      </c>
      <c r="M149" s="106">
        <f>-$M$6*(Sheet1!CE149-Sheet1!CE148)*7.48/1000000</f>
        <v>5.9969883370125883E-2</v>
      </c>
      <c r="N149" s="106">
        <f>-$N$6*(Sheet1!CF149-Sheet1!CF148)*7.48/1000000</f>
        <v>0.17995180164440877</v>
      </c>
      <c r="O149" s="106">
        <f t="shared" si="20"/>
        <v>1.5079110094498166E-2</v>
      </c>
      <c r="P149" s="106">
        <f>O149+Calculation!EI149</f>
        <v>9.5933791100944994</v>
      </c>
      <c r="Q149" s="101" t="str">
        <f>IF(Sheet1!BQ149&gt;21.75,"spill elevation","-")</f>
        <v>-</v>
      </c>
      <c r="R149" s="101" t="str">
        <f>IF(Sheet1!BR149&gt;21.75,"spill elevation","-")</f>
        <v>-</v>
      </c>
      <c r="S149" s="101" t="str">
        <f>IF(Sheet1!BS149&gt;21.75,"spill elevation","-")</f>
        <v>-</v>
      </c>
      <c r="T149" s="105">
        <f>IF(Sheet1!DQ149=1,Sheet1!AA149-(SUM(AT149:BA149)+BE149),Sheet1!AA149-SUM(AT149:BA149))</f>
        <v>28.424111999998836</v>
      </c>
      <c r="U149" s="105">
        <f>Sheet1!BU149</f>
        <v>26.4</v>
      </c>
      <c r="V149" s="105">
        <f t="shared" si="21"/>
        <v>2.0241119999988371</v>
      </c>
      <c r="W149" s="105">
        <f t="shared" si="22"/>
        <v>0</v>
      </c>
      <c r="X149" s="101">
        <f>IF((Sheet1!EX149-Sheet1!EX148)&lt;0,(Sheet1!EX149+100000-Sheet1!EX148)/1000,(Sheet1!EX149-Sheet1!EX148)/1000)</f>
        <v>0</v>
      </c>
      <c r="Y149" s="106">
        <f>Calculation!DZ150+Calculation!EI149+'Calculations II'!O149-'Calculations II'!W149</f>
        <v>57.703379110095078</v>
      </c>
      <c r="Z149" s="106">
        <f>Y149-Sheet1!CP150</f>
        <v>41.62337911009508</v>
      </c>
      <c r="AA149" s="106">
        <f>Y149+Calculation!CZ150+Calculation!AI150</f>
        <v>57.703379110095078</v>
      </c>
      <c r="AC149" s="106">
        <f>Sheet1!AA149+Sheet1!AB149+BC149</f>
        <v>52.429999999993015</v>
      </c>
      <c r="AD149" s="106">
        <f>Sheet1!AA149+Sheet1!BN149+'Calculations II'!BC149-Calculation!AI149-Calculation!CZ149</f>
        <v>40.153886639676529</v>
      </c>
      <c r="AE149" s="106">
        <f>Sheet1!AA149+Sheet1!AB149+'Calculations II'!BC149-Calculation!AI149-Calculation!CZ149</f>
        <v>46.353886639670705</v>
      </c>
      <c r="AF149" s="106">
        <f>Sheet1!AA149+Sheet1!BN149+P149+'Calculations II'!BC149+Calculation!AI149+Calculation!CZ149</f>
        <v>61.899492470415652</v>
      </c>
      <c r="AG149" s="106">
        <f>Sheet1!AA149+Sheet1!BN149+'Calculations II'!BC149+'Calculations II'!P149-Sheet1!CP149-BP149</f>
        <v>30.277979110093341</v>
      </c>
      <c r="AH149" s="106">
        <f>Sheet1!AA149+Sheet1!BN149+'Calculations II'!BC149+'Calculations II'!P149-BP149</f>
        <v>45.977979110093344</v>
      </c>
      <c r="AI149" s="106">
        <f>BC149+Sheet1!AA149+Calculation!EI149+O149+W149+Sheet1!BN149+Calculation!AI149+Calculation!CZ149-BP149</f>
        <v>52.05409247041564</v>
      </c>
      <c r="AJ149" s="106"/>
      <c r="AM149" s="102">
        <f t="shared" si="23"/>
        <v>40678</v>
      </c>
      <c r="AN149" s="106"/>
      <c r="AO149" s="106"/>
      <c r="AR149" s="106"/>
      <c r="AT149" s="101">
        <f>Sheet1!AR149*GPMtoMGD</f>
        <v>0</v>
      </c>
      <c r="AU149" s="101">
        <f>Sheet1!AS149*GPMtoMGD</f>
        <v>2.6208000000000002E-2</v>
      </c>
      <c r="AV149" s="101">
        <f>Sheet1!AT149*GPMtoMGD</f>
        <v>0</v>
      </c>
      <c r="AW149" s="101">
        <f>Sheet1!AV149*GPMtoMGD</f>
        <v>0.73094400000000004</v>
      </c>
      <c r="AX149" s="101">
        <f>Sheet1!AW149*GPMtoMGD</f>
        <v>0.84873600000000005</v>
      </c>
      <c r="AY149" s="101">
        <f>Sheet1!AX149*GPMtoMGD</f>
        <v>0</v>
      </c>
      <c r="AZ149" s="101">
        <f>Sheet1!AY149*GPMtoMGD</f>
        <v>0</v>
      </c>
      <c r="BA149" s="101">
        <f>Sheet1!AZ149*GPMtoMGD</f>
        <v>0</v>
      </c>
      <c r="BB149" s="101">
        <f>Sheet1!BP149*GPMtoMGD</f>
        <v>0</v>
      </c>
      <c r="BC149" s="101">
        <f>Sheet1!CO149*GPMtoMGD</f>
        <v>0</v>
      </c>
      <c r="BD149" s="101">
        <f>Sheet1!BO149*GPMtoMGD</f>
        <v>1.7254080000000003</v>
      </c>
      <c r="BE149" s="101">
        <f>Sheet1!BV149*GPMtoMGD</f>
        <v>0.10137600000000001</v>
      </c>
      <c r="BF149" s="101">
        <f>Sheet1!CJ149*GPMtoMGD</f>
        <v>0.69321600000000005</v>
      </c>
      <c r="BG149" s="101">
        <f>Sheet1!CK149*GPMtoMGD</f>
        <v>0.58910400000000007</v>
      </c>
      <c r="BH149" s="101">
        <f>Sheet1!CL149*GPMtoMGD</f>
        <v>0.73195200000000005</v>
      </c>
      <c r="BI149" s="101">
        <f t="shared" si="24"/>
        <v>1.7254080000000003</v>
      </c>
      <c r="BK149" s="106">
        <f>SUM(AT149:BA149,BE149,Sheet1!BU149,'Calculations II'!BC149,Calculation!AG149)</f>
        <v>44.43115063967187</v>
      </c>
      <c r="BM149" s="439">
        <f>IF(AND(Sheet1!BQ149&lt;=11.5,Sheet1!BQ148&gt;Sheet1!BQ149),(MIN(Lookup!$C$119,VLOOKUP(Sheet1!BQ148,Lookup!$B$4:$J$236,2))-VLOOKUP(Sheet1!BQ149,Lookup!$B$4:$J$236,2))/1000000,0)</f>
        <v>0</v>
      </c>
      <c r="BN149" s="439">
        <f>IF(AND(Sheet1!BR149&lt;=11.5,Sheet1!BR148&gt;Sheet1!BR149),(MIN(Lookup!$D$119,VLOOKUP(Sheet1!BR148,Lookup!$B$4:$J$236,3))-VLOOKUP(Sheet1!BR149,Lookup!$B$4:$J$236,3))/1000000,0)</f>
        <v>9.8453999999999997</v>
      </c>
      <c r="BP149" s="105">
        <f>SUM(BM149:BN149,W149,Sheet1!DT149)</f>
        <v>9.8453999999999997</v>
      </c>
    </row>
    <row r="150" spans="1:68" s="101" customFormat="1">
      <c r="A150" s="101" t="s">
        <v>3</v>
      </c>
      <c r="B150" s="103">
        <v>40679</v>
      </c>
      <c r="C150" s="104">
        <v>0.33333333333357601</v>
      </c>
      <c r="E150" s="30"/>
      <c r="F150" s="30">
        <f>-(VLOOKUP(Sheet1!BZ150,Lookup!$I$4:$J$216,2)-VLOOKUP(Sheet1!BZ149,Lookup!$I$4:$J$216,2))/1000000</f>
        <v>0.62182163128680179</v>
      </c>
      <c r="G150" s="106">
        <f>-$G$6*(Sheet1!CB150-Sheet1!CB149)*7.48/1000000</f>
        <v>0.3177080084204747</v>
      </c>
      <c r="H150" s="106">
        <f>-$H$6*(Sheet1!CA150-Sheet1!CA149)*7.48/1000000</f>
        <v>4.5118297053794748E-2</v>
      </c>
      <c r="I150" s="106">
        <f>-$I$6*(Sheet1!CC150-Sheet1!CC149)*7.48/1000000</f>
        <v>-0.28786413484843287</v>
      </c>
      <c r="J150" s="107" t="s">
        <v>193</v>
      </c>
      <c r="K150" s="106">
        <f>-$I$6*(Sheet1!CD150-Sheet1!CD149)*7.48/1000000</f>
        <v>-0.30585564327645964</v>
      </c>
      <c r="L150" s="107" t="s">
        <v>193</v>
      </c>
      <c r="M150" s="106">
        <f>-$M$6*(Sheet1!CE150-Sheet1!CE149)*7.48/1000000</f>
        <v>-0.11327644636579347</v>
      </c>
      <c r="N150" s="106">
        <f>-$N$6*(Sheet1!CF150-Sheet1!CF149)*7.48/1000000</f>
        <v>0.16754133256548429</v>
      </c>
      <c r="O150" s="106">
        <f t="shared" si="20"/>
        <v>0.44519304483586963</v>
      </c>
      <c r="P150" s="106">
        <f>O150+Calculation!EI150</f>
        <v>3.4356930448358698</v>
      </c>
      <c r="Q150" s="101" t="str">
        <f>IF(Sheet1!BQ150&gt;21.75,"spill elevation","-")</f>
        <v>-</v>
      </c>
      <c r="R150" s="101" t="str">
        <f>IF(Sheet1!BR150&gt;21.75,"spill elevation","-")</f>
        <v>-</v>
      </c>
      <c r="S150" s="101" t="str">
        <f>IF(Sheet1!BS150&gt;21.75,"spill elevation","-")</f>
        <v>-</v>
      </c>
      <c r="T150" s="105">
        <f>IF(Sheet1!DQ150=1,Sheet1!AA150-(SUM(AT150:BA150)+BE150),Sheet1!AA150-SUM(AT150:BA150))</f>
        <v>29.68275199999767</v>
      </c>
      <c r="U150" s="105">
        <f>Sheet1!BU150</f>
        <v>24.6</v>
      </c>
      <c r="V150" s="105">
        <f t="shared" si="21"/>
        <v>5.0827519999976687</v>
      </c>
      <c r="W150" s="105">
        <f t="shared" si="22"/>
        <v>0</v>
      </c>
      <c r="X150" s="101">
        <f>IF((Sheet1!EX150-Sheet1!EX149)&lt;0,(Sheet1!EX150+100000-Sheet1!EX149)/1000,(Sheet1!EX150-Sheet1!EX149)/1000)</f>
        <v>0</v>
      </c>
      <c r="Y150" s="106">
        <f>Calculation!DZ151+Calculation!EI150+'Calculations II'!O150-'Calculations II'!W150</f>
        <v>50.435693044835865</v>
      </c>
      <c r="Z150" s="106">
        <f>Y150-Sheet1!CP151</f>
        <v>34.955693044835868</v>
      </c>
      <c r="AA150" s="106">
        <f>Y150+Calculation!CZ151+Calculation!AI151</f>
        <v>50.435693044835865</v>
      </c>
      <c r="AC150" s="106">
        <f>Sheet1!AA150+Sheet1!AB150+BC150</f>
        <v>48.110000000000582</v>
      </c>
      <c r="AD150" s="106">
        <f>Sheet1!AA150+Sheet1!BN150+'Calculations II'!BC150-Calculation!AI150-Calculation!CZ150</f>
        <v>48.45999999999767</v>
      </c>
      <c r="AE150" s="106">
        <f>Sheet1!AA150+Sheet1!AB150+'Calculations II'!BC150-Calculation!AI150-Calculation!CZ150</f>
        <v>48.110000000000582</v>
      </c>
      <c r="AF150" s="106">
        <f>Sheet1!AA150+Sheet1!BN150+P150+'Calculations II'!BC150+Calculation!AI150+Calculation!CZ150</f>
        <v>51.895693044833543</v>
      </c>
      <c r="AG150" s="106">
        <f>Sheet1!AA150+Sheet1!BN150+'Calculations II'!BC150+'Calculations II'!P150-Sheet1!CP150-BP150</f>
        <v>30.133793044833546</v>
      </c>
      <c r="AH150" s="106">
        <f>Sheet1!AA150+Sheet1!BN150+'Calculations II'!BC150+'Calculations II'!P150-BP150</f>
        <v>46.213793044833544</v>
      </c>
      <c r="AI150" s="106">
        <f>BC150+Sheet1!AA150+Calculation!EI150+O150+W150+Sheet1!BN150+Calculation!AI150+Calculation!CZ150-BP150</f>
        <v>46.213793044833537</v>
      </c>
      <c r="AJ150" s="106"/>
      <c r="AM150" s="102">
        <f t="shared" si="23"/>
        <v>40679</v>
      </c>
      <c r="AN150" s="106"/>
      <c r="AO150" s="106"/>
      <c r="AR150" s="106"/>
      <c r="AT150" s="101">
        <f>Sheet1!AR150*GPMtoMGD</f>
        <v>0</v>
      </c>
      <c r="AU150" s="101">
        <f>Sheet1!AS150*GPMtoMGD</f>
        <v>2.5632000000000002E-2</v>
      </c>
      <c r="AV150" s="101">
        <f>Sheet1!AT150*GPMtoMGD</f>
        <v>0</v>
      </c>
      <c r="AW150" s="101">
        <f>Sheet1!AV150*GPMtoMGD</f>
        <v>0.39888000000000001</v>
      </c>
      <c r="AX150" s="101">
        <f>Sheet1!AW150*GPMtoMGD</f>
        <v>0.45273599999999997</v>
      </c>
      <c r="AY150" s="101">
        <f>Sheet1!AX150*GPMtoMGD</f>
        <v>0</v>
      </c>
      <c r="AZ150" s="101">
        <f>Sheet1!AY150*GPMtoMGD</f>
        <v>0</v>
      </c>
      <c r="BA150" s="101">
        <f>Sheet1!AZ150*GPMtoMGD</f>
        <v>0</v>
      </c>
      <c r="BB150" s="101">
        <f>Sheet1!BP150*GPMtoMGD</f>
        <v>7.2000000000000007E-3</v>
      </c>
      <c r="BC150" s="101">
        <f>Sheet1!CO150*GPMtoMGD</f>
        <v>0</v>
      </c>
      <c r="BD150" s="101">
        <f>Sheet1!BO150*GPMtoMGD</f>
        <v>2.2213440000000002</v>
      </c>
      <c r="BE150" s="101">
        <f>Sheet1!BV150*GPMtoMGD</f>
        <v>6.2928000000000012E-2</v>
      </c>
      <c r="BF150" s="101">
        <f>Sheet1!CJ150*GPMtoMGD</f>
        <v>0.5775840000000001</v>
      </c>
      <c r="BG150" s="101">
        <f>Sheet1!CK150*GPMtoMGD</f>
        <v>0.57240000000000002</v>
      </c>
      <c r="BH150" s="101">
        <f>Sheet1!CL150*GPMtoMGD</f>
        <v>0.78177600000000003</v>
      </c>
      <c r="BI150" s="101">
        <f t="shared" si="24"/>
        <v>2.2285440000000003</v>
      </c>
      <c r="BK150" s="106">
        <f>SUM(AT150:BA150,BE150,Sheet1!BU150,'Calculations II'!BC150,Calculation!AG150)</f>
        <v>43.090176000002913</v>
      </c>
      <c r="BM150" s="439">
        <f>IF(AND(Sheet1!BQ150&lt;=11.5,Sheet1!BQ149&gt;Sheet1!BQ150),(MIN(Lookup!$C$119,VLOOKUP(Sheet1!BQ149,Lookup!$B$4:$J$236,2))-VLOOKUP(Sheet1!BQ150,Lookup!$B$4:$J$236,2))/1000000,0)</f>
        <v>0</v>
      </c>
      <c r="BN150" s="439">
        <f>IF(AND(Sheet1!BR150&lt;=11.5,Sheet1!BR149&gt;Sheet1!BR150),(MIN(Lookup!$D$119,VLOOKUP(Sheet1!BR149,Lookup!$B$4:$J$236,3))-VLOOKUP(Sheet1!BR150,Lookup!$B$4:$J$236,3))/1000000,0)</f>
        <v>5.6818999999999997</v>
      </c>
      <c r="BP150" s="105">
        <f>SUM(BM150:BN150,W150,Sheet1!DT150)</f>
        <v>5.6818999999999997</v>
      </c>
    </row>
    <row r="151" spans="1:68" s="101" customFormat="1">
      <c r="A151" s="101" t="s">
        <v>4</v>
      </c>
      <c r="B151" s="103">
        <v>40680</v>
      </c>
      <c r="C151" s="104">
        <v>0.33333333333357601</v>
      </c>
      <c r="E151" s="30"/>
      <c r="F151" s="30">
        <f>-(VLOOKUP(Sheet1!BZ151,Lookup!$I$4:$J$216,2)-VLOOKUP(Sheet1!BZ150,Lookup!$I$4:$J$216,2))/1000000</f>
        <v>-0.41454775419119744</v>
      </c>
      <c r="G151" s="106">
        <f>-$G$6*(Sheet1!CB151-Sheet1!CB150)*7.48/1000000</f>
        <v>0.31770800842047398</v>
      </c>
      <c r="H151" s="106">
        <f>-$H$6*(Sheet1!CA151-Sheet1!CA150)*7.48/1000000</f>
        <v>-0.48126183524048127</v>
      </c>
      <c r="I151" s="106">
        <f>-$I$6*(Sheet1!CC151-Sheet1!CC150)*7.48/1000000</f>
        <v>0.25188111799237872</v>
      </c>
      <c r="J151" s="107" t="s">
        <v>193</v>
      </c>
      <c r="K151" s="106">
        <f>-$I$6*(Sheet1!CD151-Sheet1!CD150)*7.48/1000000</f>
        <v>0.25188111799237844</v>
      </c>
      <c r="L151" s="107" t="s">
        <v>193</v>
      </c>
      <c r="M151" s="106">
        <f>-$M$6*(Sheet1!CE151-Sheet1!CE150)*7.48/1000000</f>
        <v>9.9949805616876636E-2</v>
      </c>
      <c r="N151" s="106">
        <f>-$N$6*(Sheet1!CF151-Sheet1!CF150)*7.48/1000000</f>
        <v>-0.22959367796010793</v>
      </c>
      <c r="O151" s="106">
        <f t="shared" si="20"/>
        <v>-0.20398321736967881</v>
      </c>
      <c r="P151" s="106">
        <f>O151+Calculation!EI151</f>
        <v>3.7949387826303216</v>
      </c>
      <c r="Q151" s="101" t="str">
        <f>IF(Sheet1!BQ151&gt;21.75,"spill elevation","-")</f>
        <v>-</v>
      </c>
      <c r="R151" s="101" t="str">
        <f>IF(Sheet1!BR151&gt;21.75,"spill elevation","-")</f>
        <v>-</v>
      </c>
      <c r="S151" s="101" t="str">
        <f>IF(Sheet1!BS151&gt;21.75,"spill elevation","-")</f>
        <v>-</v>
      </c>
      <c r="T151" s="105">
        <f>IF(Sheet1!DQ151=1,Sheet1!AA151-(SUM(AT151:BA151)+BE151),Sheet1!AA151-SUM(AT151:BA151))</f>
        <v>29.945343999999999</v>
      </c>
      <c r="U151" s="105">
        <f>Sheet1!BU151</f>
        <v>27.9</v>
      </c>
      <c r="V151" s="105">
        <f t="shared" si="21"/>
        <v>2.0453440000000001</v>
      </c>
      <c r="W151" s="105">
        <f t="shared" si="22"/>
        <v>0</v>
      </c>
      <c r="X151" s="101">
        <f>IF((Sheet1!EX151-Sheet1!EX150)&lt;0,(Sheet1!EX151+100000-Sheet1!EX150)/1000,(Sheet1!EX151-Sheet1!EX150)/1000)</f>
        <v>0</v>
      </c>
      <c r="Y151" s="106">
        <f>Calculation!DZ152+Calculation!EI151+'Calculations II'!O151-'Calculations II'!W151</f>
        <v>57.354938782635266</v>
      </c>
      <c r="Z151" s="106">
        <f>Y151-Sheet1!CP152</f>
        <v>41.054938782635261</v>
      </c>
      <c r="AA151" s="106">
        <f>Y151+Calculation!CZ152+Calculation!AI152</f>
        <v>57.354938782635266</v>
      </c>
      <c r="AC151" s="106">
        <f>Sheet1!AA151+Sheet1!AB151+BC151</f>
        <v>47</v>
      </c>
      <c r="AD151" s="106">
        <f>Sheet1!AA151+Sheet1!BN151+'Calculations II'!BC151-Calculation!AI151-Calculation!CZ151</f>
        <v>47</v>
      </c>
      <c r="AE151" s="106">
        <f>Sheet1!AA151+Sheet1!AB151+'Calculations II'!BC151-Calculation!AI151-Calculation!CZ151</f>
        <v>47</v>
      </c>
      <c r="AF151" s="106">
        <f>Sheet1!AA151+Sheet1!BN151+P151+'Calculations II'!BC151+Calculation!AI151+Calculation!CZ151</f>
        <v>50.794938782630325</v>
      </c>
      <c r="AG151" s="106">
        <f>Sheet1!AA151+Sheet1!BN151+'Calculations II'!BC151+'Calculations II'!P151-Sheet1!CP151-BP151</f>
        <v>32.939016782630318</v>
      </c>
      <c r="AH151" s="106">
        <f>Sheet1!AA151+Sheet1!BN151+'Calculations II'!BC151+'Calculations II'!P151-BP151</f>
        <v>48.419016782630322</v>
      </c>
      <c r="AI151" s="106">
        <f>BC151+Sheet1!AA151+Calculation!EI151+O151+W151+Sheet1!BN151+Calculation!AI151+Calculation!CZ151-BP151</f>
        <v>48.419016782630315</v>
      </c>
      <c r="AJ151" s="106"/>
      <c r="AM151" s="102">
        <f t="shared" si="23"/>
        <v>40680</v>
      </c>
      <c r="AN151" s="106"/>
      <c r="AO151" s="106"/>
      <c r="AR151" s="106"/>
      <c r="AT151" s="101">
        <f>Sheet1!AR151*GPMtoMGD</f>
        <v>0</v>
      </c>
      <c r="AU151" s="101">
        <f>Sheet1!AS151*GPMtoMGD</f>
        <v>2.5632000000000002E-2</v>
      </c>
      <c r="AV151" s="101">
        <f>Sheet1!AT151*GPMtoMGD</f>
        <v>0</v>
      </c>
      <c r="AW151" s="101">
        <f>Sheet1!AV151*GPMtoMGD</f>
        <v>0.58348800000000001</v>
      </c>
      <c r="AX151" s="101">
        <f>Sheet1!AW151*GPMtoMGD</f>
        <v>0.44553599999999999</v>
      </c>
      <c r="AY151" s="101">
        <f>Sheet1!AX151*GPMtoMGD</f>
        <v>0</v>
      </c>
      <c r="AZ151" s="101">
        <f>Sheet1!AY151*GPMtoMGD</f>
        <v>0</v>
      </c>
      <c r="BA151" s="101">
        <f>Sheet1!AZ151*GPMtoMGD</f>
        <v>0</v>
      </c>
      <c r="BB151" s="101">
        <f>Sheet1!BP151*GPMtoMGD</f>
        <v>8.2799999999999999E-2</v>
      </c>
      <c r="BC151" s="101">
        <f>Sheet1!CO151*GPMtoMGD</f>
        <v>0</v>
      </c>
      <c r="BD151" s="101">
        <f>Sheet1!BO151*GPMtoMGD</f>
        <v>1.3504320000000001</v>
      </c>
      <c r="BE151" s="101">
        <f>Sheet1!BV151*GPMtoMGD</f>
        <v>0.59299200000000007</v>
      </c>
      <c r="BF151" s="101">
        <f>Sheet1!CJ151*GPMtoMGD</f>
        <v>0.67305599999999999</v>
      </c>
      <c r="BG151" s="101">
        <f>Sheet1!CK151*GPMtoMGD</f>
        <v>0.60321599999999997</v>
      </c>
      <c r="BH151" s="101">
        <f>Sheet1!CL151*GPMtoMGD</f>
        <v>0.78249599999999997</v>
      </c>
      <c r="BI151" s="101">
        <f t="shared" si="24"/>
        <v>1.4332320000000001</v>
      </c>
      <c r="BK151" s="106">
        <f>SUM(AT151:BA151,BE151,Sheet1!BU151,'Calculations II'!BC151,Calculation!AG151)</f>
        <v>45.547647999999995</v>
      </c>
      <c r="BM151" s="439">
        <f>IF(AND(Sheet1!BQ151&lt;=11.5,Sheet1!BQ150&gt;Sheet1!BQ151),(MIN(Lookup!$C$119,VLOOKUP(Sheet1!BQ150,Lookup!$B$4:$J$236,2))-VLOOKUP(Sheet1!BQ151,Lookup!$B$4:$J$236,2))/1000000,0)</f>
        <v>0</v>
      </c>
      <c r="BN151" s="439">
        <f>IF(AND(Sheet1!BR151&lt;=11.5,Sheet1!BR150&gt;Sheet1!BR151),(MIN(Lookup!$D$119,VLOOKUP(Sheet1!BR150,Lookup!$B$4:$J$236,3))-VLOOKUP(Sheet1!BR151,Lookup!$B$4:$J$236,3))/1000000,0)</f>
        <v>2.3759220000000001</v>
      </c>
      <c r="BP151" s="105">
        <f>SUM(BM151:BN151,W151,Sheet1!DT151)</f>
        <v>2.3759220000000001</v>
      </c>
    </row>
    <row r="152" spans="1:68" s="101" customFormat="1">
      <c r="A152" s="101" t="s">
        <v>5</v>
      </c>
      <c r="B152" s="103">
        <v>40681</v>
      </c>
      <c r="C152" s="104">
        <v>0.33333333333357601</v>
      </c>
      <c r="E152" s="30"/>
      <c r="F152" s="30">
        <f>-(VLOOKUP(Sheet1!BZ152,Lookup!$I$4:$J$216,2)-VLOOKUP(Sheet1!BZ151,Lookup!$I$4:$J$216,2))/1000000</f>
        <v>0.10363693854779936</v>
      </c>
      <c r="G152" s="106">
        <f>-$G$6*(Sheet1!CB152-Sheet1!CB151)*7.48/1000000</f>
        <v>0.39713501052559297</v>
      </c>
      <c r="H152" s="106">
        <f>-$H$6*(Sheet1!CA152-Sheet1!CA151)*7.48/1000000</f>
        <v>0.1353548911613853</v>
      </c>
      <c r="I152" s="106">
        <f>-$I$6*(Sheet1!CC152-Sheet1!CC151)*7.48/1000000</f>
        <v>-0.46777921912870318</v>
      </c>
      <c r="J152" s="107" t="s">
        <v>193</v>
      </c>
      <c r="K152" s="106">
        <f>-$I$6*(Sheet1!CD152-Sheet1!CD151)*7.48/1000000</f>
        <v>-0.44978771070067619</v>
      </c>
      <c r="L152" s="107" t="s">
        <v>193</v>
      </c>
      <c r="M152" s="106">
        <f>-$M$6*(Sheet1!CE152-Sheet1!CE151)*7.48/1000000</f>
        <v>-0.17990965011037791</v>
      </c>
      <c r="N152" s="106">
        <f>-$N$6*(Sheet1!CF152-Sheet1!CF151)*7.48/1000000</f>
        <v>0</v>
      </c>
      <c r="O152" s="106">
        <f t="shared" si="20"/>
        <v>-0.46134973970497967</v>
      </c>
      <c r="P152" s="106">
        <f>O152+Calculation!EI152</f>
        <v>-2.0460717397049799</v>
      </c>
      <c r="Q152" s="101" t="str">
        <f>IF(Sheet1!BQ152&gt;21.75,"spill elevation","-")</f>
        <v>-</v>
      </c>
      <c r="R152" s="101" t="str">
        <f>IF(Sheet1!BR152&gt;21.75,"spill elevation","-")</f>
        <v>-</v>
      </c>
      <c r="S152" s="101" t="str">
        <f>IF(Sheet1!BS152&gt;21.75,"spill elevation","-")</f>
        <v>-</v>
      </c>
      <c r="T152" s="105">
        <f>IF(Sheet1!DQ152=1,Sheet1!AA152-(SUM(AT152:BA152)+BE152),Sheet1!AA152-SUM(AT152:BA152))</f>
        <v>31.740048000006404</v>
      </c>
      <c r="U152" s="105">
        <f>Sheet1!BU152</f>
        <v>25.6</v>
      </c>
      <c r="V152" s="105">
        <f t="shared" si="21"/>
        <v>6.1400480000064022</v>
      </c>
      <c r="W152" s="105">
        <f t="shared" si="22"/>
        <v>0</v>
      </c>
      <c r="X152" s="101">
        <f>IF((Sheet1!EX152-Sheet1!EX151)&lt;0,(Sheet1!EX152+100000-Sheet1!EX151)/1000,(Sheet1!EX152-Sheet1!EX151)/1000)</f>
        <v>3.0000000000000001E-3</v>
      </c>
      <c r="Y152" s="106">
        <f>Calculation!DZ153+Calculation!EI152+'Calculations II'!O152-'Calculations II'!W152</f>
        <v>64.664120260287163</v>
      </c>
      <c r="Z152" s="106">
        <f>Y152-Sheet1!CP153</f>
        <v>48.584120260287165</v>
      </c>
      <c r="AA152" s="106">
        <f>Y152+Calculation!CZ153+Calculation!AI153</f>
        <v>64.664120260287163</v>
      </c>
      <c r="AC152" s="106">
        <f>Sheet1!AA152+Sheet1!AB152+BC152</f>
        <v>53.560000000004948</v>
      </c>
      <c r="AD152" s="106">
        <f>Sheet1!AA152+Sheet1!BN152+'Calculations II'!BC152-Calculation!AI152-Calculation!CZ152</f>
        <v>52.910000000006406</v>
      </c>
      <c r="AE152" s="106">
        <f>Sheet1!AA152+Sheet1!AB152+'Calculations II'!BC152-Calculation!AI152-Calculation!CZ152</f>
        <v>53.560000000004948</v>
      </c>
      <c r="AF152" s="106">
        <f>Sheet1!AA152+Sheet1!BN152+P152+'Calculations II'!BC152+Calculation!AI152+Calculation!CZ152</f>
        <v>50.863928260301428</v>
      </c>
      <c r="AG152" s="106">
        <f>Sheet1!AA152+Sheet1!BN152+'Calculations II'!BC152+'Calculations II'!P152-Sheet1!CP152-BP152</f>
        <v>34.563928260301424</v>
      </c>
      <c r="AH152" s="106">
        <f>Sheet1!AA152+Sheet1!BN152+'Calculations II'!BC152+'Calculations II'!P152-BP152</f>
        <v>50.863928260301428</v>
      </c>
      <c r="AI152" s="106">
        <f>BC152+Sheet1!AA152+Calculation!EI152+O152+W152+Sheet1!BN152+Calculation!AI152+Calculation!CZ152-BP152</f>
        <v>50.863928260301421</v>
      </c>
      <c r="AJ152" s="106"/>
      <c r="AM152" s="102">
        <f t="shared" si="23"/>
        <v>40681</v>
      </c>
      <c r="AN152" s="106"/>
      <c r="AO152" s="106"/>
      <c r="AR152" s="106"/>
      <c r="AT152" s="101">
        <f>Sheet1!AR152*GPMtoMGD</f>
        <v>0</v>
      </c>
      <c r="AU152" s="101">
        <f>Sheet1!AS152*GPMtoMGD</f>
        <v>5.1552000000000001E-2</v>
      </c>
      <c r="AV152" s="101">
        <f>Sheet1!AT152*GPMtoMGD</f>
        <v>0</v>
      </c>
      <c r="AW152" s="101">
        <f>Sheet1!AV152*GPMtoMGD</f>
        <v>0.66844800000000004</v>
      </c>
      <c r="AX152" s="101">
        <f>Sheet1!AW152*GPMtoMGD</f>
        <v>0.74995199999999995</v>
      </c>
      <c r="AY152" s="101">
        <f>Sheet1!AX152*GPMtoMGD</f>
        <v>0</v>
      </c>
      <c r="AZ152" s="101">
        <f>Sheet1!AY152*GPMtoMGD</f>
        <v>0</v>
      </c>
      <c r="BA152" s="101">
        <f>Sheet1!AZ152*GPMtoMGD</f>
        <v>0</v>
      </c>
      <c r="BB152" s="101">
        <f>Sheet1!BP152*GPMtoMGD</f>
        <v>0</v>
      </c>
      <c r="BC152" s="101">
        <f>Sheet1!CO152*GPMtoMGD</f>
        <v>0</v>
      </c>
      <c r="BD152" s="101">
        <f>Sheet1!BO152*GPMtoMGD</f>
        <v>2.7053280000000002</v>
      </c>
      <c r="BE152" s="101">
        <f>Sheet1!BV152*GPMtoMGD</f>
        <v>0.66268800000000005</v>
      </c>
      <c r="BF152" s="101">
        <f>Sheet1!CJ152*GPMtoMGD</f>
        <v>0.76276800000000011</v>
      </c>
      <c r="BG152" s="101">
        <f>Sheet1!CK152*GPMtoMGD</f>
        <v>0.63230400000000009</v>
      </c>
      <c r="BH152" s="101">
        <f>Sheet1!CL152*GPMtoMGD</f>
        <v>0.78480000000000005</v>
      </c>
      <c r="BI152" s="101">
        <f t="shared" si="24"/>
        <v>2.7053280000000002</v>
      </c>
      <c r="BK152" s="106">
        <f>SUM(AT152:BA152,BE152,Sheet1!BU152,'Calculations II'!BC152,Calculation!AG152)</f>
        <v>48.082639999998548</v>
      </c>
      <c r="BM152" s="439">
        <f>IF(AND(Sheet1!BQ152&lt;=11.5,Sheet1!BQ151&gt;Sheet1!BQ152),(MIN(Lookup!$C$119,VLOOKUP(Sheet1!BQ151,Lookup!$B$4:$J$236,2))-VLOOKUP(Sheet1!BQ152,Lookup!$B$4:$J$236,2))/1000000,0)</f>
        <v>0</v>
      </c>
      <c r="BN152" s="439">
        <f>IF(AND(Sheet1!BR152&lt;=11.5,Sheet1!BR151&gt;Sheet1!BR152),(MIN(Lookup!$D$119,VLOOKUP(Sheet1!BR151,Lookup!$B$4:$J$236,3))-VLOOKUP(Sheet1!BR152,Lookup!$B$4:$J$236,3))/1000000,0)</f>
        <v>0</v>
      </c>
      <c r="BP152" s="105">
        <f>SUM(BM152:BN152,W152,Sheet1!DT152)</f>
        <v>0</v>
      </c>
    </row>
    <row r="153" spans="1:68" s="101" customFormat="1">
      <c r="A153" s="101" t="s">
        <v>6</v>
      </c>
      <c r="B153" s="103">
        <v>40682</v>
      </c>
      <c r="C153" s="104">
        <v>0.33333333333357601</v>
      </c>
      <c r="E153" s="30"/>
      <c r="F153" s="30">
        <f>-(VLOOKUP(Sheet1!BZ153,Lookup!$I$4:$J$216,2)-VLOOKUP(Sheet1!BZ152,Lookup!$I$4:$J$216,2))/1000000</f>
        <v>-0.51818469273900236</v>
      </c>
      <c r="G153" s="106">
        <f>-$G$6*(Sheet1!CB153-Sheet1!CB152)*7.48/1000000</f>
        <v>-1.0126942768402616</v>
      </c>
      <c r="H153" s="106">
        <f>-$H$6*(Sheet1!CA153-Sheet1!CA152)*7.48/1000000</f>
        <v>0.37598580878162652</v>
      </c>
      <c r="I153" s="106">
        <f>-$I$6*(Sheet1!CC153-Sheet1!CC152)*7.48/1000000</f>
        <v>0.4317962022726492</v>
      </c>
      <c r="J153" s="107" t="s">
        <v>193</v>
      </c>
      <c r="K153" s="106">
        <f>-$I$6*(Sheet1!CD153-Sheet1!CD152)*7.48/1000000</f>
        <v>0.4317962022726492</v>
      </c>
      <c r="L153" s="107" t="s">
        <v>193</v>
      </c>
      <c r="M153" s="106">
        <f>-$M$6*(Sheet1!CE153-Sheet1!CE152)*7.48/1000000</f>
        <v>0.17324632973591961</v>
      </c>
      <c r="N153" s="106">
        <f>-$N$6*(Sheet1!CF153-Sheet1!CF152)*7.48/1000000</f>
        <v>-0.74462814473548633</v>
      </c>
      <c r="O153" s="106">
        <f t="shared" si="20"/>
        <v>-0.86268257125190573</v>
      </c>
      <c r="P153" s="106">
        <f>O153+Calculation!EI153</f>
        <v>-16.646982571251904</v>
      </c>
      <c r="Q153" s="101" t="str">
        <f>IF(Sheet1!BQ153&gt;21.75,"spill elevation","-")</f>
        <v>-</v>
      </c>
      <c r="R153" s="101" t="str">
        <f>IF(Sheet1!BR153&gt;21.75,"spill elevation","-")</f>
        <v>-</v>
      </c>
      <c r="S153" s="101" t="str">
        <f>IF(Sheet1!BS153&gt;21.75,"spill elevation","-")</f>
        <v>-</v>
      </c>
      <c r="T153" s="105">
        <f>IF(Sheet1!DQ153=1,Sheet1!AA153-(SUM(AT153:BA153)+BE153),Sheet1!AA153-SUM(AT153:BA153))</f>
        <v>38.843231999993598</v>
      </c>
      <c r="U153" s="105">
        <f>Sheet1!BU153</f>
        <v>21.4</v>
      </c>
      <c r="V153" s="105">
        <f t="shared" si="21"/>
        <v>17.4432319999936</v>
      </c>
      <c r="W153" s="105">
        <f t="shared" si="22"/>
        <v>0</v>
      </c>
      <c r="X153" s="101">
        <f>IF((Sheet1!EX153-Sheet1!EX152)&lt;0,(Sheet1!EX153+100000-Sheet1!EX152)/1000,(Sheet1!EX153-Sheet1!EX152)/1000)</f>
        <v>0</v>
      </c>
      <c r="Y153" s="106">
        <f>Calculation!DZ154+Calculation!EI153+'Calculations II'!O153-'Calculations II'!W153</f>
        <v>45.189145428756817</v>
      </c>
      <c r="Z153" s="106">
        <f>Y153-Sheet1!CP154</f>
        <v>28.049145428756816</v>
      </c>
      <c r="AA153" s="106">
        <f>Y153+Calculation!CZ154+Calculation!AI154</f>
        <v>45.189145428756817</v>
      </c>
      <c r="AC153" s="106">
        <f>Sheet1!AA153+Sheet1!AB153+BC153</f>
        <v>66.710191999992148</v>
      </c>
      <c r="AD153" s="106">
        <f>Sheet1!AA153+Sheet1!BN153+'Calculations II'!BC153-Calculation!AI153-Calculation!CZ153</f>
        <v>66.510191999993594</v>
      </c>
      <c r="AE153" s="106">
        <f>Sheet1!AA153+Sheet1!AB153+'Calculations II'!BC153-Calculation!AI153-Calculation!CZ153</f>
        <v>66.710191999992148</v>
      </c>
      <c r="AF153" s="106">
        <f>Sheet1!AA153+Sheet1!BN153+P153+'Calculations II'!BC153+Calculation!AI153+Calculation!CZ153</f>
        <v>49.86320942874169</v>
      </c>
      <c r="AG153" s="106">
        <f>Sheet1!AA153+Sheet1!BN153+'Calculations II'!BC153+'Calculations II'!P153-Sheet1!CP153-BP153</f>
        <v>33.783209428741692</v>
      </c>
      <c r="AH153" s="106">
        <f>Sheet1!AA153+Sheet1!BN153+'Calculations II'!BC153+'Calculations II'!P153-BP153</f>
        <v>49.86320942874169</v>
      </c>
      <c r="AI153" s="106">
        <f>BC153+Sheet1!AA153+Calculation!EI153+O153+W153+Sheet1!BN153+Calculation!AI153+Calculation!CZ153-BP153</f>
        <v>49.86320942874169</v>
      </c>
      <c r="AJ153" s="106"/>
      <c r="AM153" s="102">
        <f t="shared" si="23"/>
        <v>40682</v>
      </c>
      <c r="AN153" s="106"/>
      <c r="AO153" s="106"/>
      <c r="AR153" s="106"/>
      <c r="AT153" s="101">
        <f>Sheet1!AR153*GPMtoMGD</f>
        <v>0</v>
      </c>
      <c r="AU153" s="101">
        <f>Sheet1!AS153*GPMtoMGD</f>
        <v>2.6928000000000001E-2</v>
      </c>
      <c r="AV153" s="101">
        <f>Sheet1!AT153*GPMtoMGD</f>
        <v>0</v>
      </c>
      <c r="AW153" s="101">
        <f>Sheet1!AV153*GPMtoMGD</f>
        <v>0.66412800000000005</v>
      </c>
      <c r="AX153" s="101">
        <f>Sheet1!AW153*GPMtoMGD</f>
        <v>0.7554240000000001</v>
      </c>
      <c r="AY153" s="101">
        <f>Sheet1!AX153*GPMtoMGD</f>
        <v>2.8800000000000001E-4</v>
      </c>
      <c r="AZ153" s="101">
        <f>Sheet1!AY153*GPMtoMGD</f>
        <v>0</v>
      </c>
      <c r="BA153" s="101">
        <f>Sheet1!AZ153*GPMtoMGD</f>
        <v>0</v>
      </c>
      <c r="BB153" s="101">
        <f>Sheet1!BP153*GPMtoMGD</f>
        <v>0</v>
      </c>
      <c r="BC153" s="101">
        <f>Sheet1!CO153*GPMtoMGD</f>
        <v>10.320192</v>
      </c>
      <c r="BD153" s="101">
        <f>Sheet1!BO153*GPMtoMGD</f>
        <v>1.3082400000000001</v>
      </c>
      <c r="BE153" s="101">
        <f>Sheet1!BV153*GPMtoMGD</f>
        <v>1.2068640000000002</v>
      </c>
      <c r="BF153" s="101">
        <f>Sheet1!CJ153*GPMtoMGD</f>
        <v>0.76910400000000012</v>
      </c>
      <c r="BG153" s="101">
        <f>Sheet1!CK153*GPMtoMGD</f>
        <v>0.69134400000000007</v>
      </c>
      <c r="BH153" s="101">
        <f>Sheet1!CL153*GPMtoMGD</f>
        <v>0.79272000000000009</v>
      </c>
      <c r="BI153" s="101">
        <f t="shared" si="24"/>
        <v>1.3082400000000001</v>
      </c>
      <c r="BK153" s="106">
        <f>SUM(AT153:BA153,BE153,Sheet1!BU153,'Calculations II'!BC153,Calculation!AG153)</f>
        <v>50.473823999998544</v>
      </c>
      <c r="BM153" s="439">
        <f>IF(AND(Sheet1!BQ153&lt;=11.5,Sheet1!BQ152&gt;Sheet1!BQ153),(MIN(Lookup!$C$119,VLOOKUP(Sheet1!BQ152,Lookup!$B$4:$J$236,2))-VLOOKUP(Sheet1!BQ153,Lookup!$B$4:$J$236,2))/1000000,0)</f>
        <v>0</v>
      </c>
      <c r="BN153" s="439">
        <f>IF(AND(Sheet1!BR153&lt;=11.5,Sheet1!BR152&gt;Sheet1!BR153),(MIN(Lookup!$D$119,VLOOKUP(Sheet1!BR152,Lookup!$B$4:$J$236,3))-VLOOKUP(Sheet1!BR153,Lookup!$B$4:$J$236,3))/1000000,0)</f>
        <v>0</v>
      </c>
      <c r="BP153" s="105">
        <f>SUM(BM153:BN153,W153,Sheet1!DT153)</f>
        <v>0</v>
      </c>
    </row>
    <row r="154" spans="1:68" s="101" customFormat="1">
      <c r="A154" s="101" t="s">
        <v>7</v>
      </c>
      <c r="B154" s="103">
        <v>40683</v>
      </c>
      <c r="C154" s="104">
        <v>0.33333333333357601</v>
      </c>
      <c r="E154" s="30"/>
      <c r="F154" s="30">
        <f>-(VLOOKUP(Sheet1!BZ154,Lookup!$I$4:$J$216,2)-VLOOKUP(Sheet1!BZ153,Lookup!$I$4:$J$216,2))/1000000</f>
        <v>0.41454775419120304</v>
      </c>
      <c r="G154" s="106">
        <f>-$G$6*(Sheet1!CB154-Sheet1!CB153)*7.48/1000000</f>
        <v>0.45670526210443207</v>
      </c>
      <c r="H154" s="106">
        <f>-$H$6*(Sheet1!CA154-Sheet1!CA153)*7.48/1000000</f>
        <v>-0.52638013229427705</v>
      </c>
      <c r="I154" s="106">
        <f>-$I$6*(Sheet1!CC154-Sheet1!CC153)*7.48/1000000</f>
        <v>-0.34183866013251396</v>
      </c>
      <c r="J154" s="107" t="s">
        <v>193</v>
      </c>
      <c r="K154" s="106">
        <f>-$I$6*(Sheet1!CD154-Sheet1!CD153)*7.48/1000000</f>
        <v>-0.34183866013251396</v>
      </c>
      <c r="L154" s="107" t="s">
        <v>193</v>
      </c>
      <c r="M154" s="106">
        <f>-$M$6*(Sheet1!CE154-Sheet1!CE153)*7.48/1000000</f>
        <v>-0.14659304823808594</v>
      </c>
      <c r="N154" s="106">
        <f>-$N$6*(Sheet1!CF154-Sheet1!CF153)*7.48/1000000</f>
        <v>0.58949728124892653</v>
      </c>
      <c r="O154" s="106">
        <f t="shared" si="20"/>
        <v>0.10409979674717074</v>
      </c>
      <c r="P154" s="106">
        <f>O154+Calculation!EI154</f>
        <v>-11.651400203252827</v>
      </c>
      <c r="Q154" s="101" t="str">
        <f>IF(Sheet1!BQ154&gt;21.75,"spill elevation","-")</f>
        <v>-</v>
      </c>
      <c r="R154" s="101" t="str">
        <f>IF(Sheet1!BR154&gt;21.75,"spill elevation","-")</f>
        <v>-</v>
      </c>
      <c r="S154" s="101" t="str">
        <f>IF(Sheet1!BS154&gt;21.75,"spill elevation","-")</f>
        <v>-</v>
      </c>
      <c r="T154" s="105">
        <f>IF(Sheet1!DQ154=1,Sheet1!AA154-(SUM(AT154:BA154)+BE154),Sheet1!AA154-SUM(AT154:BA154))</f>
        <v>36.74334400000582</v>
      </c>
      <c r="U154" s="105">
        <f>Sheet1!BU154</f>
        <v>21.8</v>
      </c>
      <c r="V154" s="105">
        <f t="shared" si="21"/>
        <v>14.943344000005819</v>
      </c>
      <c r="W154" s="105">
        <f t="shared" si="22"/>
        <v>0</v>
      </c>
      <c r="X154" s="101">
        <f>IF((Sheet1!EX154-Sheet1!EX153)&lt;0,(Sheet1!EX154+100000-Sheet1!EX153)/1000,(Sheet1!EX154-Sheet1!EX153)/1000)</f>
        <v>0</v>
      </c>
      <c r="Y154" s="106">
        <f>Calculation!DZ155+Calculation!EI154+'Calculations II'!O154-'Calculations II'!W154</f>
        <v>40.412663796741356</v>
      </c>
      <c r="Z154" s="106">
        <f>Y154-Sheet1!CP155</f>
        <v>23.622663796741357</v>
      </c>
      <c r="AA154" s="106">
        <f>Y154+Calculation!CZ155+Calculation!AI155</f>
        <v>40.412663796741356</v>
      </c>
      <c r="AC154" s="106">
        <f>Sheet1!AA154+Sheet1!AB154+BC154</f>
        <v>61.836128000008728</v>
      </c>
      <c r="AD154" s="106">
        <f>Sheet1!AA154+Sheet1!BN154+'Calculations II'!BC154-Calculation!AI154-Calculation!CZ154</f>
        <v>61.836128000005814</v>
      </c>
      <c r="AE154" s="106">
        <f>Sheet1!AA154+Sheet1!AB154+'Calculations II'!BC154-Calculation!AI154-Calculation!CZ154</f>
        <v>61.836128000008728</v>
      </c>
      <c r="AF154" s="106">
        <f>Sheet1!AA154+Sheet1!BN154+P154+'Calculations II'!BC154+Calculation!AI154+Calculation!CZ154</f>
        <v>50.184727796752995</v>
      </c>
      <c r="AG154" s="106">
        <f>Sheet1!AA154+Sheet1!BN154+'Calculations II'!BC154+'Calculations II'!P154-Sheet1!CP154-BP154</f>
        <v>33.044727796752987</v>
      </c>
      <c r="AH154" s="106">
        <f>Sheet1!AA154+Sheet1!BN154+'Calculations II'!BC154+'Calculations II'!P154-BP154</f>
        <v>50.184727796752988</v>
      </c>
      <c r="AI154" s="106">
        <f>BC154+Sheet1!AA154+Calculation!EI154+O154+W154+Sheet1!BN154+Calculation!AI154+Calculation!CZ154-BP154</f>
        <v>50.184727796752995</v>
      </c>
      <c r="AJ154" s="106"/>
      <c r="AM154" s="102">
        <f t="shared" si="23"/>
        <v>40683</v>
      </c>
      <c r="AN154" s="106"/>
      <c r="AO154" s="106"/>
      <c r="AR154" s="106"/>
      <c r="AT154" s="101">
        <f>Sheet1!AR154*GPMtoMGD</f>
        <v>0</v>
      </c>
      <c r="AU154" s="101">
        <f>Sheet1!AS154*GPMtoMGD</f>
        <v>2.5920000000000002E-2</v>
      </c>
      <c r="AV154" s="101">
        <f>Sheet1!AT154*GPMtoMGD</f>
        <v>0</v>
      </c>
      <c r="AW154" s="101">
        <f>Sheet1!AV154*GPMtoMGD</f>
        <v>0.41731200000000002</v>
      </c>
      <c r="AX154" s="101">
        <f>Sheet1!AW154*GPMtoMGD</f>
        <v>0.41328000000000004</v>
      </c>
      <c r="AY154" s="101">
        <f>Sheet1!AX154*GPMtoMGD</f>
        <v>1.44E-4</v>
      </c>
      <c r="AZ154" s="101">
        <f>Sheet1!AY154*GPMtoMGD</f>
        <v>0</v>
      </c>
      <c r="BA154" s="101">
        <f>Sheet1!AZ154*GPMtoMGD</f>
        <v>0</v>
      </c>
      <c r="BB154" s="101">
        <f>Sheet1!BP154*GPMtoMGD</f>
        <v>0</v>
      </c>
      <c r="BC154" s="101">
        <f>Sheet1!CO154*GPMtoMGD</f>
        <v>7.9361280000000001</v>
      </c>
      <c r="BD154" s="101">
        <f>Sheet1!BO154*GPMtoMGD</f>
        <v>2.6298720000000002</v>
      </c>
      <c r="BE154" s="101">
        <f>Sheet1!BV154*GPMtoMGD</f>
        <v>1.3690080000000002</v>
      </c>
      <c r="BF154" s="101">
        <f>Sheet1!CJ154*GPMtoMGD</f>
        <v>0.73828800000000017</v>
      </c>
      <c r="BG154" s="101">
        <f>Sheet1!CK154*GPMtoMGD</f>
        <v>0.70761600000000002</v>
      </c>
      <c r="BH154" s="101">
        <f>Sheet1!CL154*GPMtoMGD</f>
        <v>0.78004800000000007</v>
      </c>
      <c r="BI154" s="101">
        <f t="shared" si="24"/>
        <v>2.6298720000000002</v>
      </c>
      <c r="BK154" s="106">
        <f>SUM(AT154:BA154,BE154,Sheet1!BU154,'Calculations II'!BC154,Calculation!AG154)</f>
        <v>48.261792000002913</v>
      </c>
      <c r="BM154" s="439">
        <f>IF(AND(Sheet1!BQ154&lt;=11.5,Sheet1!BQ153&gt;Sheet1!BQ154),(MIN(Lookup!$C$119,VLOOKUP(Sheet1!BQ153,Lookup!$B$4:$J$236,2))-VLOOKUP(Sheet1!BQ154,Lookup!$B$4:$J$236,2))/1000000,0)</f>
        <v>0</v>
      </c>
      <c r="BN154" s="439">
        <f>IF(AND(Sheet1!BR154&lt;=11.5,Sheet1!BR153&gt;Sheet1!BR154),(MIN(Lookup!$D$119,VLOOKUP(Sheet1!BR153,Lookup!$B$4:$J$236,3))-VLOOKUP(Sheet1!BR154,Lookup!$B$4:$J$236,3))/1000000,0)</f>
        <v>0</v>
      </c>
      <c r="BP154" s="105">
        <f>SUM(BM154:BN154,W154,Sheet1!DT154)</f>
        <v>0</v>
      </c>
    </row>
    <row r="155" spans="1:68" s="101" customFormat="1">
      <c r="A155" s="101" t="s">
        <v>8</v>
      </c>
      <c r="B155" s="103">
        <v>40684</v>
      </c>
      <c r="C155" s="104">
        <v>0.33333333333357601</v>
      </c>
      <c r="E155" s="30"/>
      <c r="F155" s="30">
        <f>-(VLOOKUP(Sheet1!BZ155,Lookup!$I$4:$J$216,2)-VLOOKUP(Sheet1!BZ154,Lookup!$I$4:$J$216,2))/1000000</f>
        <v>-0.10363693854779936</v>
      </c>
      <c r="G155" s="106">
        <f>-$G$6*(Sheet1!CB155-Sheet1!CB154)*7.48/1000000</f>
        <v>0.11914050315767746</v>
      </c>
      <c r="H155" s="106">
        <f>-$H$6*(Sheet1!CA155-Sheet1!CA154)*7.48/1000000</f>
        <v>0</v>
      </c>
      <c r="I155" s="106">
        <f>-$I$6*(Sheet1!CC155-Sheet1!CC154)*7.48/1000000</f>
        <v>0.39221488373098962</v>
      </c>
      <c r="J155" s="107" t="s">
        <v>193</v>
      </c>
      <c r="K155" s="106">
        <f>-$I$6*(Sheet1!CD155-Sheet1!CD154)*7.48/1000000</f>
        <v>0.39221488373098989</v>
      </c>
      <c r="L155" s="107" t="s">
        <v>193</v>
      </c>
      <c r="M155" s="106">
        <f>-$M$6*(Sheet1!CE155-Sheet1!CE154)*7.48/1000000</f>
        <v>0.15192370453765255</v>
      </c>
      <c r="N155" s="106">
        <f>-$N$6*(Sheet1!CF155-Sheet1!CF154)*7.48/1000000</f>
        <v>0.31026172697311949</v>
      </c>
      <c r="O155" s="106">
        <f t="shared" si="20"/>
        <v>1.2621187635826296</v>
      </c>
      <c r="P155" s="106">
        <f>O155+Calculation!EI155</f>
        <v>12.01871876358263</v>
      </c>
      <c r="Q155" s="101" t="str">
        <f>IF(Sheet1!BQ155&gt;21.75,"spill elevation","-")</f>
        <v>-</v>
      </c>
      <c r="R155" s="101" t="str">
        <f>IF(Sheet1!BR155&gt;21.75,"spill elevation","-")</f>
        <v>-</v>
      </c>
      <c r="S155" s="101" t="str">
        <f>IF(Sheet1!BS155&gt;21.75,"spill elevation","-")</f>
        <v>-</v>
      </c>
      <c r="T155" s="105">
        <f>IF(Sheet1!DQ155=1,Sheet1!AA155-(SUM(AT155:BA155)+BE155),Sheet1!AA155-SUM(AT155:BA155))</f>
        <v>34.030767999994183</v>
      </c>
      <c r="U155" s="105">
        <f>Sheet1!BU155</f>
        <v>26.3</v>
      </c>
      <c r="V155" s="105">
        <f t="shared" si="21"/>
        <v>7.7307679999941818</v>
      </c>
      <c r="W155" s="105">
        <f t="shared" si="22"/>
        <v>0</v>
      </c>
      <c r="X155" s="101">
        <f>IF((Sheet1!EX155-Sheet1!EX154)&lt;0,(Sheet1!EX155+100000-Sheet1!EX154)/1000,(Sheet1!EX155-Sheet1!EX154)/1000)</f>
        <v>0</v>
      </c>
      <c r="Y155" s="106">
        <f>Calculation!DZ156+Calculation!EI155+'Calculations II'!O155-'Calculations II'!W155</f>
        <v>59.718718763586992</v>
      </c>
      <c r="Z155" s="106">
        <f>Y155-Sheet1!CP156</f>
        <v>43.36871876358699</v>
      </c>
      <c r="AA155" s="106">
        <f>Y155+Calculation!CZ156+Calculation!AI156</f>
        <v>59.718718763586992</v>
      </c>
      <c r="AC155" s="106">
        <f>Sheet1!AA155+Sheet1!AB155+BC155</f>
        <v>52.064063999994183</v>
      </c>
      <c r="AD155" s="106">
        <f>Sheet1!AA155+Sheet1!BN155+'Calculations II'!BC155-Calculation!AI155-Calculation!CZ155</f>
        <v>51.86406399999418</v>
      </c>
      <c r="AE155" s="106">
        <f>Sheet1!AA155+Sheet1!AB155+'Calculations II'!BC155-Calculation!AI155-Calculation!CZ155</f>
        <v>52.064063999994183</v>
      </c>
      <c r="AF155" s="106">
        <f>Sheet1!AA155+Sheet1!BN155+P155+'Calculations II'!BC155+Calculation!AI155+Calculation!CZ155</f>
        <v>63.882782763576806</v>
      </c>
      <c r="AG155" s="106">
        <f>Sheet1!AA155+Sheet1!BN155+'Calculations II'!BC155+'Calculations II'!P155-Sheet1!CP155-BP155</f>
        <v>38.864982763576812</v>
      </c>
      <c r="AH155" s="106">
        <f>Sheet1!AA155+Sheet1!BN155+'Calculations II'!BC155+'Calculations II'!P155-BP155</f>
        <v>55.654982763576811</v>
      </c>
      <c r="AI155" s="106">
        <f>BC155+Sheet1!AA155+Calculation!EI155+O155+W155+Sheet1!BN155+Calculation!AI155+Calculation!CZ155-BP155</f>
        <v>55.654982763576811</v>
      </c>
      <c r="AJ155" s="106"/>
      <c r="AM155" s="102">
        <f t="shared" si="23"/>
        <v>40684</v>
      </c>
      <c r="AN155" s="106"/>
      <c r="AO155" s="106"/>
      <c r="AR155" s="106"/>
      <c r="AT155" s="101">
        <f>Sheet1!AR155*GPMtoMGD</f>
        <v>0</v>
      </c>
      <c r="AU155" s="101">
        <f>Sheet1!AS155*GPMtoMGD</f>
        <v>2.6495999999999999E-2</v>
      </c>
      <c r="AV155" s="101">
        <f>Sheet1!AT155*GPMtoMGD</f>
        <v>0</v>
      </c>
      <c r="AW155" s="101">
        <f>Sheet1!AV155*GPMtoMGD</f>
        <v>0.29808000000000001</v>
      </c>
      <c r="AX155" s="101">
        <f>Sheet1!AW155*GPMtoMGD</f>
        <v>2.0446560000000003</v>
      </c>
      <c r="AY155" s="101">
        <f>Sheet1!AX155*GPMtoMGD</f>
        <v>0</v>
      </c>
      <c r="AZ155" s="101">
        <f>Sheet1!AY155*GPMtoMGD</f>
        <v>0</v>
      </c>
      <c r="BA155" s="101">
        <f>Sheet1!AZ155*GPMtoMGD</f>
        <v>0</v>
      </c>
      <c r="BB155" s="101">
        <f>Sheet1!BP155*GPMtoMGD</f>
        <v>0</v>
      </c>
      <c r="BC155" s="101">
        <f>Sheet1!CO155*GPMtoMGD</f>
        <v>1.664064</v>
      </c>
      <c r="BD155" s="101">
        <f>Sheet1!BO155*GPMtoMGD</f>
        <v>1.8488160000000002</v>
      </c>
      <c r="BE155" s="101">
        <f>Sheet1!BV155*GPMtoMGD</f>
        <v>0.74275199999999997</v>
      </c>
      <c r="BF155" s="101">
        <f>Sheet1!CJ155*GPMtoMGD</f>
        <v>0.63950400000000007</v>
      </c>
      <c r="BG155" s="101">
        <f>Sheet1!CK155*GPMtoMGD</f>
        <v>0.62452799999999997</v>
      </c>
      <c r="BH155" s="101">
        <f>Sheet1!CL155*GPMtoMGD</f>
        <v>0.7341120000000001</v>
      </c>
      <c r="BI155" s="101">
        <f t="shared" si="24"/>
        <v>1.8488160000000002</v>
      </c>
      <c r="BK155" s="106">
        <f>SUM(AT155:BA155,BE155,Sheet1!BU155,'Calculations II'!BC155,Calculation!AG155)</f>
        <v>45.076048</v>
      </c>
      <c r="BM155" s="439">
        <f>IF(AND(Sheet1!BQ155&lt;=11.5,Sheet1!BQ154&gt;Sheet1!BQ155),(MIN(Lookup!$C$119,VLOOKUP(Sheet1!BQ154,Lookup!$B$4:$J$236,2))-VLOOKUP(Sheet1!BQ155,Lookup!$B$4:$J$236,2))/1000000,0)</f>
        <v>8.2278000000000002</v>
      </c>
      <c r="BN155" s="439">
        <f>IF(AND(Sheet1!BR155&lt;=11.5,Sheet1!BR154&gt;Sheet1!BR155),(MIN(Lookup!$D$119,VLOOKUP(Sheet1!BR154,Lookup!$B$4:$J$236,3))-VLOOKUP(Sheet1!BR155,Lookup!$B$4:$J$236,3))/1000000,0)</f>
        <v>0</v>
      </c>
      <c r="BP155" s="105">
        <f>SUM(BM155:BN155,W155,Sheet1!DT155)</f>
        <v>8.2278000000000002</v>
      </c>
    </row>
    <row r="156" spans="1:68" s="101" customFormat="1">
      <c r="A156" s="101" t="s">
        <v>9</v>
      </c>
      <c r="B156" s="103">
        <v>40685</v>
      </c>
      <c r="C156" s="104">
        <v>0.33333333333357601</v>
      </c>
      <c r="E156" s="30"/>
      <c r="F156" s="30">
        <f>-(VLOOKUP(Sheet1!BZ156,Lookup!$I$4:$J$216,2)-VLOOKUP(Sheet1!BZ155,Lookup!$I$4:$J$216,2))/1000000</f>
        <v>-0.31091081564340367</v>
      </c>
      <c r="G156" s="106">
        <f>-$G$6*(Sheet1!CB156-Sheet1!CB155)*7.48/1000000</f>
        <v>0.69498626841978772</v>
      </c>
      <c r="H156" s="106">
        <f>-$H$6*(Sheet1!CA156-Sheet1!CA155)*7.48/1000000</f>
        <v>0.24063091762024114</v>
      </c>
      <c r="I156" s="106">
        <f>-$I$6*(Sheet1!CC156-Sheet1!CC155)*7.48/1000000</f>
        <v>-0.26627432473480039</v>
      </c>
      <c r="J156" s="107" t="s">
        <v>193</v>
      </c>
      <c r="K156" s="106">
        <f>-$I$6*(Sheet1!CD156-Sheet1!CD155)*7.48/1000000</f>
        <v>-0.26627432473480039</v>
      </c>
      <c r="L156" s="107" t="s">
        <v>193</v>
      </c>
      <c r="M156" s="106">
        <f>-$M$6*(Sheet1!CE156-Sheet1!CE155)*7.48/1000000</f>
        <v>-9.1953821167526428E-2</v>
      </c>
      <c r="N156" s="106">
        <f>-$N$6*(Sheet1!CF156-Sheet1!CF155)*7.48/1000000</f>
        <v>-0.40334024506505556</v>
      </c>
      <c r="O156" s="106">
        <f t="shared" si="20"/>
        <v>-0.40313634530555764</v>
      </c>
      <c r="P156" s="106">
        <f>O156+Calculation!EI156</f>
        <v>10.852563654694441</v>
      </c>
      <c r="Q156" s="101" t="str">
        <f>IF(Sheet1!BQ156&gt;21.75,"spill elevation","-")</f>
        <v>-</v>
      </c>
      <c r="R156" s="101" t="str">
        <f>IF(Sheet1!BR156&gt;21.75,"spill elevation","-")</f>
        <v>-</v>
      </c>
      <c r="S156" s="101" t="str">
        <f>IF(Sheet1!BS156&gt;21.75,"spill elevation","-")</f>
        <v>-</v>
      </c>
      <c r="T156" s="105">
        <f>IF(Sheet1!DQ156=1,Sheet1!AA156-(SUM(AT156:BA156)+BE156),Sheet1!AA156-SUM(AT156:BA156))</f>
        <v>32.407552000002909</v>
      </c>
      <c r="U156" s="105">
        <f>Sheet1!BU156</f>
        <v>30.6</v>
      </c>
      <c r="V156" s="105">
        <f t="shared" si="21"/>
        <v>1.8075520000029073</v>
      </c>
      <c r="W156" s="105">
        <f t="shared" si="22"/>
        <v>0</v>
      </c>
      <c r="X156" s="101">
        <f>IF((Sheet1!EX156-Sheet1!EX155)&lt;0,(Sheet1!EX156+100000-Sheet1!EX155)/1000,(Sheet1!EX156-Sheet1!EX155)/1000)</f>
        <v>0</v>
      </c>
      <c r="Y156" s="106">
        <f>Calculation!DZ157+Calculation!EI156+'Calculations II'!O156-'Calculations II'!W156</f>
        <v>60.744627654684258</v>
      </c>
      <c r="Z156" s="106">
        <f>Y156-Sheet1!CP157</f>
        <v>44.634627654684259</v>
      </c>
      <c r="AA156" s="106">
        <f>Y156+Calculation!CZ157+Calculation!AI157</f>
        <v>60.744627654684258</v>
      </c>
      <c r="AC156" s="106">
        <f>Sheet1!AA156+Sheet1!AB156+BC156</f>
        <v>47.700000000004366</v>
      </c>
      <c r="AD156" s="106">
        <f>Sheet1!AA156+Sheet1!BN156+'Calculations II'!BC156-Calculation!AI156-Calculation!CZ156</f>
        <v>47.700000000002909</v>
      </c>
      <c r="AE156" s="106">
        <f>Sheet1!AA156+Sheet1!AB156+'Calculations II'!BC156-Calculation!AI156-Calculation!CZ156</f>
        <v>47.700000000004366</v>
      </c>
      <c r="AF156" s="106">
        <f>Sheet1!AA156+Sheet1!BN156+P156+'Calculations II'!BC156+Calculation!AI156+Calculation!CZ156</f>
        <v>58.552563654697352</v>
      </c>
      <c r="AG156" s="106">
        <f>Sheet1!AA156+Sheet1!BN156+'Calculations II'!BC156+'Calculations II'!P156-Sheet1!CP156-BP156</f>
        <v>32.549863654697347</v>
      </c>
      <c r="AH156" s="106">
        <f>Sheet1!AA156+Sheet1!BN156+'Calculations II'!BC156+'Calculations II'!P156-BP156</f>
        <v>48.899863654697356</v>
      </c>
      <c r="AI156" s="106">
        <f>BC156+Sheet1!AA156+Calculation!EI156+O156+W156+Sheet1!BN156+Calculation!AI156+Calculation!CZ156-BP156</f>
        <v>48.899863654697356</v>
      </c>
      <c r="AJ156" s="106"/>
      <c r="AM156" s="102">
        <f t="shared" si="23"/>
        <v>40685</v>
      </c>
      <c r="AN156" s="106"/>
      <c r="AO156" s="106"/>
      <c r="AR156" s="106"/>
      <c r="AT156" s="101">
        <f>Sheet1!AR156*GPMtoMGD</f>
        <v>0</v>
      </c>
      <c r="AU156" s="101">
        <f>Sheet1!AS156*GPMtoMGD</f>
        <v>3.2975999999999998E-2</v>
      </c>
      <c r="AV156" s="101">
        <f>Sheet1!AT156*GPMtoMGD</f>
        <v>0</v>
      </c>
      <c r="AW156" s="101">
        <f>Sheet1!AV156*GPMtoMGD</f>
        <v>0.82252800000000015</v>
      </c>
      <c r="AX156" s="101">
        <f>Sheet1!AW156*GPMtoMGD</f>
        <v>1.0369440000000001</v>
      </c>
      <c r="AY156" s="101">
        <f>Sheet1!AX156*GPMtoMGD</f>
        <v>0</v>
      </c>
      <c r="AZ156" s="101">
        <f>Sheet1!AY156*GPMtoMGD</f>
        <v>0</v>
      </c>
      <c r="BA156" s="101">
        <f>Sheet1!AZ156*GPMtoMGD</f>
        <v>0</v>
      </c>
      <c r="BB156" s="101">
        <f>Sheet1!BP156*GPMtoMGD</f>
        <v>0</v>
      </c>
      <c r="BC156" s="101">
        <f>Sheet1!CO156*GPMtoMGD</f>
        <v>0</v>
      </c>
      <c r="BD156" s="101">
        <f>Sheet1!BO156*GPMtoMGD</f>
        <v>2.2321439999999999</v>
      </c>
      <c r="BE156" s="101">
        <f>Sheet1!BV156*GPMtoMGD</f>
        <v>1.1086560000000001</v>
      </c>
      <c r="BF156" s="101">
        <f>Sheet1!CJ156*GPMtoMGD</f>
        <v>0.79156800000000016</v>
      </c>
      <c r="BG156" s="101">
        <f>Sheet1!CK156*GPMtoMGD</f>
        <v>0.70084800000000003</v>
      </c>
      <c r="BH156" s="101">
        <f>Sheet1!CL156*GPMtoMGD</f>
        <v>0.73483200000000004</v>
      </c>
      <c r="BI156" s="101">
        <f t="shared" si="24"/>
        <v>2.2321439999999999</v>
      </c>
      <c r="BK156" s="106">
        <f>SUM(AT156:BA156,BE156,Sheet1!BU156,'Calculations II'!BC156,Calculation!AG156)</f>
        <v>47.001104000001455</v>
      </c>
      <c r="BM156" s="439">
        <f>IF(AND(Sheet1!BQ156&lt;=11.5,Sheet1!BQ155&gt;Sheet1!BQ156),(MIN(Lookup!$C$119,VLOOKUP(Sheet1!BQ155,Lookup!$B$4:$J$236,2))-VLOOKUP(Sheet1!BQ156,Lookup!$B$4:$J$236,2))/1000000,0)</f>
        <v>9.6526999999999994</v>
      </c>
      <c r="BN156" s="439">
        <f>IF(AND(Sheet1!BR156&lt;=11.5,Sheet1!BR155&gt;Sheet1!BR156),(MIN(Lookup!$D$119,VLOOKUP(Sheet1!BR155,Lookup!$B$4:$J$236,3))-VLOOKUP(Sheet1!BR156,Lookup!$B$4:$J$236,3))/1000000,0)</f>
        <v>0</v>
      </c>
      <c r="BP156" s="105">
        <f>SUM(BM156:BN156,W156,Sheet1!DT156)</f>
        <v>9.6526999999999994</v>
      </c>
    </row>
    <row r="157" spans="1:68" s="101" customFormat="1">
      <c r="A157" s="101" t="s">
        <v>3</v>
      </c>
      <c r="B157" s="103">
        <v>40686</v>
      </c>
      <c r="C157" s="104">
        <v>0.33333333333357601</v>
      </c>
      <c r="E157" s="30"/>
      <c r="F157" s="30">
        <f>-(VLOOKUP(Sheet1!BZ157,Lookup!$I$4:$J$216,2)-VLOOKUP(Sheet1!BZ156,Lookup!$I$4:$J$216,2))/1000000</f>
        <v>0.10363693854779936</v>
      </c>
      <c r="G157" s="106">
        <f>-$G$6*(Sheet1!CB157-Sheet1!CB156)*7.48/1000000</f>
        <v>-0.74661381978811436</v>
      </c>
      <c r="H157" s="106">
        <f>-$H$6*(Sheet1!CA157-Sheet1!CA156)*7.48/1000000</f>
        <v>0.30078864702530117</v>
      </c>
      <c r="I157" s="106">
        <f>-$I$6*(Sheet1!CC157-Sheet1!CC156)*7.48/1000000</f>
        <v>5.937197781248927E-2</v>
      </c>
      <c r="J157" s="107" t="s">
        <v>193</v>
      </c>
      <c r="K157" s="106">
        <f>-$I$6*(Sheet1!CD157-Sheet1!CD156)*7.48/1000000</f>
        <v>5.2175374441278281E-2</v>
      </c>
      <c r="L157" s="107" t="s">
        <v>193</v>
      </c>
      <c r="M157" s="106">
        <f>-$M$6*(Sheet1!CE157-Sheet1!CE156)*7.48/1000000</f>
        <v>2.1322625198267036E-2</v>
      </c>
      <c r="N157" s="106">
        <f>-$N$6*(Sheet1!CF157-Sheet1!CF156)*7.48/1000000</f>
        <v>0.12410469078924848</v>
      </c>
      <c r="O157" s="106">
        <f t="shared" ref="O157:O220" si="25">SUM(F157:I157)+K157+SUM(M157:N157)</f>
        <v>-8.5213565973730809E-2</v>
      </c>
      <c r="P157" s="106">
        <f>O157+Calculation!EI157</f>
        <v>3.245786434026269</v>
      </c>
      <c r="Q157" s="101" t="str">
        <f>IF(Sheet1!BQ157&gt;21.75,"spill elevation","-")</f>
        <v>-</v>
      </c>
      <c r="R157" s="101" t="str">
        <f>IF(Sheet1!BR157&gt;21.75,"spill elevation","-")</f>
        <v>-</v>
      </c>
      <c r="S157" s="101" t="str">
        <f>IF(Sheet1!BS157&gt;21.75,"spill elevation","-")</f>
        <v>-</v>
      </c>
      <c r="T157" s="105">
        <f>IF(Sheet1!DQ157=1,Sheet1!AA157-(SUM(AT157:BA157)+BE157),Sheet1!AA157-SUM(AT157:BA157))</f>
        <v>32.352687999994181</v>
      </c>
      <c r="U157" s="105">
        <f>Sheet1!BU157</f>
        <v>30</v>
      </c>
      <c r="V157" s="105">
        <f t="shared" ref="V157:V220" si="26">T157-U157</f>
        <v>2.3526879999941812</v>
      </c>
      <c r="W157" s="105">
        <f t="shared" ref="W157:W220" si="27">IF(AND(OR(Q157="spill elevation",R157="spill elevation",S157="spill elevation",Q158="spill elevation",R158="spill elevation",S158="spill elevation"),V157&gt;0),V157,0)</f>
        <v>0</v>
      </c>
      <c r="X157" s="101">
        <f>IF((Sheet1!EX157-Sheet1!EX156)&lt;0,(Sheet1!EX157+100000-Sheet1!EX156)/1000,(Sheet1!EX157-Sheet1!EX156)/1000)</f>
        <v>0</v>
      </c>
      <c r="Y157" s="106">
        <f>Calculation!DZ158+Calculation!EI157+'Calculations II'!O157-'Calculations II'!W157</f>
        <v>56.542138434023364</v>
      </c>
      <c r="Z157" s="106">
        <f>Y157-Sheet1!CP158</f>
        <v>40.662138434023362</v>
      </c>
      <c r="AA157" s="106">
        <f>Y157+Calculation!CZ158+Calculation!AI158</f>
        <v>56.542138434023364</v>
      </c>
      <c r="AC157" s="106">
        <f>Sheet1!AA157+Sheet1!AB157+BC157</f>
        <v>49.892063999989816</v>
      </c>
      <c r="AD157" s="106">
        <f>Sheet1!AA157+Sheet1!BN157+'Calculations II'!BC157-Calculation!AI157-Calculation!CZ157</f>
        <v>49.692063999994183</v>
      </c>
      <c r="AE157" s="106">
        <f>Sheet1!AA157+Sheet1!AB157+'Calculations II'!BC157-Calculation!AI157-Calculation!CZ157</f>
        <v>49.892063999989816</v>
      </c>
      <c r="AF157" s="106">
        <f>Sheet1!AA157+Sheet1!BN157+P157+'Calculations II'!BC157+Calculation!AI157+Calculation!CZ157</f>
        <v>52.937850434020454</v>
      </c>
      <c r="AG157" s="106">
        <f>Sheet1!AA157+Sheet1!BN157+'Calculations II'!BC157+'Calculations II'!P157-Sheet1!CP157-BP157</f>
        <v>34.829850434020457</v>
      </c>
      <c r="AH157" s="106">
        <f>Sheet1!AA157+Sheet1!BN157+'Calculations II'!BC157+'Calculations II'!P157-BP157</f>
        <v>50.939850434020457</v>
      </c>
      <c r="AI157" s="106">
        <f>BC157+Sheet1!AA157+Calculation!EI157+O157+W157+Sheet1!BN157+Calculation!AI157+Calculation!CZ157-BP157</f>
        <v>50.939850434020457</v>
      </c>
      <c r="AJ157" s="106"/>
      <c r="AM157" s="102">
        <f t="shared" ref="AM157:AM220" si="28">B157</f>
        <v>40686</v>
      </c>
      <c r="AN157" s="106"/>
      <c r="AO157" s="106"/>
      <c r="AR157" s="106"/>
      <c r="AT157" s="101">
        <f>Sheet1!AR157*GPMtoMGD</f>
        <v>0</v>
      </c>
      <c r="AU157" s="101">
        <f>Sheet1!AS157*GPMtoMGD</f>
        <v>4.5648000000000001E-2</v>
      </c>
      <c r="AV157" s="101">
        <f>Sheet1!AT157*GPMtoMGD</f>
        <v>0</v>
      </c>
      <c r="AW157" s="101">
        <f>Sheet1!AV157*GPMtoMGD</f>
        <v>0.47016000000000002</v>
      </c>
      <c r="AX157" s="101">
        <f>Sheet1!AW157*GPMtoMGD</f>
        <v>0.53150400000000009</v>
      </c>
      <c r="AY157" s="101">
        <f>Sheet1!AX157*GPMtoMGD</f>
        <v>0</v>
      </c>
      <c r="AZ157" s="101">
        <f>Sheet1!AY157*GPMtoMGD</f>
        <v>0</v>
      </c>
      <c r="BA157" s="101">
        <f>Sheet1!AZ157*GPMtoMGD</f>
        <v>0</v>
      </c>
      <c r="BB157" s="101">
        <f>Sheet1!BP157*GPMtoMGD</f>
        <v>0</v>
      </c>
      <c r="BC157" s="101">
        <f>Sheet1!CO157*GPMtoMGD</f>
        <v>5.1920640000000002</v>
      </c>
      <c r="BD157" s="101">
        <f>Sheet1!BO157*GPMtoMGD</f>
        <v>1.8542880000000002</v>
      </c>
      <c r="BE157" s="101">
        <f>Sheet1!BV157*GPMtoMGD</f>
        <v>1.4654880000000001</v>
      </c>
      <c r="BF157" s="101">
        <f>Sheet1!CJ157*GPMtoMGD</f>
        <v>0.84211199999999997</v>
      </c>
      <c r="BG157" s="101">
        <f>Sheet1!CK157*GPMtoMGD</f>
        <v>0.70588800000000007</v>
      </c>
      <c r="BH157" s="101">
        <f>Sheet1!CL157*GPMtoMGD</f>
        <v>0.81590400000000007</v>
      </c>
      <c r="BI157" s="101">
        <f t="shared" ref="BI157:BI220" si="29">BD157+BB157</f>
        <v>1.8542880000000002</v>
      </c>
      <c r="BK157" s="106">
        <f>SUM(AT157:BA157,BE157,Sheet1!BU157,'Calculations II'!BC157,Calculation!AG157)</f>
        <v>49.004863999995635</v>
      </c>
      <c r="BM157" s="439">
        <f>IF(AND(Sheet1!BQ157&lt;=11.5,Sheet1!BQ156&gt;Sheet1!BQ157),(MIN(Lookup!$C$119,VLOOKUP(Sheet1!BQ156,Lookup!$B$4:$J$236,2))-VLOOKUP(Sheet1!BQ157,Lookup!$B$4:$J$236,2))/1000000,0)</f>
        <v>1.998</v>
      </c>
      <c r="BN157" s="439">
        <f>IF(AND(Sheet1!BR157&lt;=11.5,Sheet1!BR156&gt;Sheet1!BR157),(MIN(Lookup!$D$119,VLOOKUP(Sheet1!BR156,Lookup!$B$4:$J$236,3))-VLOOKUP(Sheet1!BR157,Lookup!$B$4:$J$236,3))/1000000,0)</f>
        <v>0</v>
      </c>
      <c r="BP157" s="105">
        <f>SUM(BM157:BN157,W157,Sheet1!DT157)</f>
        <v>1.998</v>
      </c>
    </row>
    <row r="158" spans="1:68" s="101" customFormat="1">
      <c r="A158" s="101" t="s">
        <v>4</v>
      </c>
      <c r="B158" s="103">
        <v>40687</v>
      </c>
      <c r="C158" s="104">
        <v>0.33333333333357601</v>
      </c>
      <c r="E158" s="30"/>
      <c r="F158" s="30">
        <f>-(VLOOKUP(Sheet1!BZ158,Lookup!$I$4:$J$216,2)-VLOOKUP(Sheet1!BZ157,Lookup!$I$4:$J$216,2))/1000000</f>
        <v>0</v>
      </c>
      <c r="G158" s="106">
        <f>-$G$6*(Sheet1!CB158-Sheet1!CB157)*7.48/1000000</f>
        <v>0.26608045705214722</v>
      </c>
      <c r="H158" s="106">
        <f>-$H$6*(Sheet1!CA158-Sheet1!CA157)*7.48/1000000</f>
        <v>3.0078864702529479E-2</v>
      </c>
      <c r="I158" s="106">
        <f>-$I$6*(Sheet1!CC158-Sheet1!CC157)*7.48/1000000</f>
        <v>0</v>
      </c>
      <c r="J158" s="107" t="s">
        <v>193</v>
      </c>
      <c r="K158" s="106">
        <f>-$I$6*(Sheet1!CD158-Sheet1!CD157)*7.48/1000000</f>
        <v>3.5983016856056525E-3</v>
      </c>
      <c r="L158" s="107" t="s">
        <v>193</v>
      </c>
      <c r="M158" s="106">
        <f>-$M$6*(Sheet1!CE158-Sheet1!CE157)*7.48/1000000</f>
        <v>-3.3316601872292687E-3</v>
      </c>
      <c r="N158" s="106">
        <f>-$N$6*(Sheet1!CF158-Sheet1!CF157)*7.48/1000000</f>
        <v>-0.50262399769645394</v>
      </c>
      <c r="O158" s="106">
        <f t="shared" si="25"/>
        <v>-0.2061980344434009</v>
      </c>
      <c r="P158" s="106">
        <f>O158+Calculation!EI158</f>
        <v>6.3226019655565997</v>
      </c>
      <c r="Q158" s="101" t="str">
        <f>IF(Sheet1!BQ158&gt;21.75,"spill elevation","-")</f>
        <v>-</v>
      </c>
      <c r="R158" s="101" t="str">
        <f>IF(Sheet1!BR158&gt;21.75,"spill elevation","-")</f>
        <v>-</v>
      </c>
      <c r="S158" s="101" t="str">
        <f>IF(Sheet1!BS158&gt;21.75,"spill elevation","-")</f>
        <v>-</v>
      </c>
      <c r="T158" s="105">
        <f>IF(Sheet1!DQ158=1,Sheet1!AA158-(SUM(AT158:BA158)+BE158),Sheet1!AA158-SUM(AT158:BA158))</f>
        <v>31.995151999997091</v>
      </c>
      <c r="U158" s="105">
        <f>Sheet1!BU158</f>
        <v>26.7</v>
      </c>
      <c r="V158" s="105">
        <f t="shared" si="26"/>
        <v>5.295151999997092</v>
      </c>
      <c r="W158" s="105">
        <f t="shared" si="27"/>
        <v>0</v>
      </c>
      <c r="X158" s="101">
        <f>IF((Sheet1!EX158-Sheet1!EX157)&lt;0,(Sheet1!EX158+100000-Sheet1!EX157)/1000,(Sheet1!EX158-Sheet1!EX157)/1000)</f>
        <v>0</v>
      </c>
      <c r="Y158" s="106">
        <f>Calculation!DZ159+Calculation!EI158+'Calculations II'!O158-'Calculations II'!W158</f>
        <v>57.315241965569697</v>
      </c>
      <c r="Z158" s="106">
        <f>Y158-Sheet1!CP159</f>
        <v>40.435241965569702</v>
      </c>
      <c r="AA158" s="106">
        <f>Y158+Calculation!CZ159+Calculation!AI159</f>
        <v>57.315241965569697</v>
      </c>
      <c r="AC158" s="106">
        <f>Sheet1!AA158+Sheet1!AB158+BC158</f>
        <v>53.296351999997093</v>
      </c>
      <c r="AD158" s="106">
        <f>Sheet1!AA158+Sheet1!BN158+'Calculations II'!BC158-Calculation!AI158-Calculation!CZ158</f>
        <v>53.09635199999709</v>
      </c>
      <c r="AE158" s="106">
        <f>Sheet1!AA158+Sheet1!AB158+'Calculations II'!BC158-Calculation!AI158-Calculation!CZ158</f>
        <v>53.296351999997093</v>
      </c>
      <c r="AF158" s="106">
        <f>Sheet1!AA158+Sheet1!BN158+P158+'Calculations II'!BC158+Calculation!AI158+Calculation!CZ158</f>
        <v>59.41895396555369</v>
      </c>
      <c r="AG158" s="106">
        <f>Sheet1!AA158+Sheet1!BN158+'Calculations II'!BC158+'Calculations II'!P158-Sheet1!CP158-BP158</f>
        <v>37.010153965553684</v>
      </c>
      <c r="AH158" s="106">
        <f>Sheet1!AA158+Sheet1!BN158+'Calculations II'!BC158+'Calculations II'!P158-BP158</f>
        <v>52.890153965553694</v>
      </c>
      <c r="AI158" s="106">
        <f>BC158+Sheet1!AA158+Calculation!EI158+O158+W158+Sheet1!BN158+Calculation!AI158+Calculation!CZ158-BP158</f>
        <v>52.890153965553679</v>
      </c>
      <c r="AJ158" s="106"/>
      <c r="AM158" s="102">
        <f t="shared" si="28"/>
        <v>40687</v>
      </c>
      <c r="AN158" s="106"/>
      <c r="AO158" s="106"/>
      <c r="AR158" s="106"/>
      <c r="AT158" s="101">
        <f>Sheet1!AR158*GPMtoMGD</f>
        <v>0</v>
      </c>
      <c r="AU158" s="101">
        <f>Sheet1!AS158*GPMtoMGD</f>
        <v>2.7072000000000002E-2</v>
      </c>
      <c r="AV158" s="101">
        <f>Sheet1!AT158*GPMtoMGD</f>
        <v>0</v>
      </c>
      <c r="AW158" s="101">
        <f>Sheet1!AV158*GPMtoMGD</f>
        <v>0.54964800000000003</v>
      </c>
      <c r="AX158" s="101">
        <f>Sheet1!AW158*GPMtoMGD</f>
        <v>0.62812800000000002</v>
      </c>
      <c r="AY158" s="101">
        <f>Sheet1!AX158*GPMtoMGD</f>
        <v>0</v>
      </c>
      <c r="AZ158" s="101">
        <f>Sheet1!AY158*GPMtoMGD</f>
        <v>0</v>
      </c>
      <c r="BA158" s="101">
        <f>Sheet1!AZ158*GPMtoMGD</f>
        <v>0</v>
      </c>
      <c r="BB158" s="101">
        <f>Sheet1!BP158*GPMtoMGD</f>
        <v>0</v>
      </c>
      <c r="BC158" s="101">
        <f>Sheet1!CO158*GPMtoMGD</f>
        <v>11.096352000000001</v>
      </c>
      <c r="BD158" s="101">
        <f>Sheet1!BO158*GPMtoMGD</f>
        <v>2.843712</v>
      </c>
      <c r="BE158" s="101">
        <f>Sheet1!BV158*GPMtoMGD</f>
        <v>2.1192480000000002</v>
      </c>
      <c r="BF158" s="101">
        <f>Sheet1!CJ158*GPMtoMGD</f>
        <v>0.83937600000000001</v>
      </c>
      <c r="BG158" s="101">
        <f>Sheet1!CK158*GPMtoMGD</f>
        <v>0.65203200000000006</v>
      </c>
      <c r="BH158" s="101">
        <f>Sheet1!CL158*GPMtoMGD</f>
        <v>0.80928</v>
      </c>
      <c r="BI158" s="101">
        <f t="shared" si="29"/>
        <v>2.843712</v>
      </c>
      <c r="BK158" s="106">
        <f>SUM(AT158:BA158,BE158,Sheet1!BU158,'Calculations II'!BC158,Calculation!AG158)</f>
        <v>50.120448000000003</v>
      </c>
      <c r="BM158" s="439">
        <f>IF(AND(Sheet1!BQ158&lt;=11.5,Sheet1!BQ157&gt;Sheet1!BQ158),(MIN(Lookup!$C$119,VLOOKUP(Sheet1!BQ157,Lookup!$B$4:$J$236,2))-VLOOKUP(Sheet1!BQ158,Lookup!$B$4:$J$236,2))/1000000,0)</f>
        <v>6.5288000000000004</v>
      </c>
      <c r="BN158" s="439">
        <f>IF(AND(Sheet1!BR158&lt;=11.5,Sheet1!BR157&gt;Sheet1!BR158),(MIN(Lookup!$D$119,VLOOKUP(Sheet1!BR157,Lookup!$B$4:$J$236,3))-VLOOKUP(Sheet1!BR158,Lookup!$B$4:$J$236,3))/1000000,0)</f>
        <v>0</v>
      </c>
      <c r="BP158" s="105">
        <f>SUM(BM158:BN158,W158,Sheet1!DT158)</f>
        <v>6.5288000000000004</v>
      </c>
    </row>
    <row r="159" spans="1:68" s="101" customFormat="1">
      <c r="A159" s="101" t="s">
        <v>5</v>
      </c>
      <c r="B159" s="103">
        <v>40688</v>
      </c>
      <c r="C159" s="104">
        <v>0.33333333333357601</v>
      </c>
      <c r="E159" s="30"/>
      <c r="F159" s="30">
        <f>-(VLOOKUP(Sheet1!BZ159,Lookup!$I$4:$J$216,2)-VLOOKUP(Sheet1!BZ158,Lookup!$I$4:$J$216,2))/1000000</f>
        <v>0.72545856983460111</v>
      </c>
      <c r="G159" s="106">
        <f>-$G$6*(Sheet1!CB159-Sheet1!CB158)*7.48/1000000</f>
        <v>0.22239560589433155</v>
      </c>
      <c r="H159" s="106">
        <f>-$H$6*(Sheet1!CA159-Sheet1!CA158)*7.48/1000000</f>
        <v>-0.30078864702530117</v>
      </c>
      <c r="I159" s="106">
        <f>-$I$6*(Sheet1!CC159-Sheet1!CC158)*7.48/1000000</f>
        <v>2.518811179923797E-2</v>
      </c>
      <c r="J159" s="107" t="s">
        <v>193</v>
      </c>
      <c r="K159" s="106">
        <f>-$I$6*(Sheet1!CD159-Sheet1!CD158)*7.48/1000000</f>
        <v>2.1589810113632316E-2</v>
      </c>
      <c r="L159" s="107" t="s">
        <v>193</v>
      </c>
      <c r="M159" s="106">
        <f>-$M$6*(Sheet1!CE159-Sheet1!CE158)*7.48/1000000</f>
        <v>1.3326640748916837E-2</v>
      </c>
      <c r="N159" s="106">
        <f>-$N$6*(Sheet1!CF159-Sheet1!CF158)*7.48/1000000</f>
        <v>0.7136019720381751</v>
      </c>
      <c r="O159" s="106">
        <f t="shared" si="25"/>
        <v>1.4207720634035939</v>
      </c>
      <c r="P159" s="106">
        <f>O159+Calculation!EI159</f>
        <v>1.4207720634035939</v>
      </c>
      <c r="Q159" s="101" t="str">
        <f>IF(Sheet1!BQ159&gt;21.75,"spill elevation","-")</f>
        <v>-</v>
      </c>
      <c r="R159" s="101" t="str">
        <f>IF(Sheet1!BR159&gt;21.75,"spill elevation","-")</f>
        <v>-</v>
      </c>
      <c r="S159" s="101" t="str">
        <f>IF(Sheet1!BS159&gt;21.75,"spill elevation","-")</f>
        <v>-</v>
      </c>
      <c r="T159" s="105">
        <f>IF(Sheet1!DQ159=1,Sheet1!AA159-(SUM(AT159:BA159)+BE159),Sheet1!AA159-SUM(AT159:BA159))</f>
        <v>31.93740800001164</v>
      </c>
      <c r="U159" s="105">
        <f>Sheet1!BU159</f>
        <v>27.1</v>
      </c>
      <c r="V159" s="105">
        <f t="shared" si="26"/>
        <v>4.8374080000116386</v>
      </c>
      <c r="W159" s="105">
        <f t="shared" si="27"/>
        <v>0</v>
      </c>
      <c r="X159" s="101">
        <f>IF((Sheet1!EX159-Sheet1!EX158)&lt;0,(Sheet1!EX159+100000-Sheet1!EX158)/1000,(Sheet1!EX159-Sheet1!EX158)/1000)</f>
        <v>0</v>
      </c>
      <c r="Y159" s="106">
        <f>Calculation!DZ160+Calculation!EI159+'Calculations II'!O159-'Calculations II'!W159</f>
        <v>54.481540063400686</v>
      </c>
      <c r="Z159" s="106">
        <f>Y159-Sheet1!CP160</f>
        <v>37.231540063400686</v>
      </c>
      <c r="AA159" s="106">
        <f>Y159+Calculation!CZ160+Calculation!AI160</f>
        <v>54.481540063400686</v>
      </c>
      <c r="AC159" s="106">
        <f>Sheet1!AA159+Sheet1!AB159+BC159</f>
        <v>50.992640000013097</v>
      </c>
      <c r="AD159" s="106">
        <f>Sheet1!AA159+Sheet1!BN159+'Calculations II'!BC159-Calculation!AI159-Calculation!CZ159</f>
        <v>50.892640000011639</v>
      </c>
      <c r="AE159" s="106">
        <f>Sheet1!AA159+Sheet1!AB159+'Calculations II'!BC159-Calculation!AI159-Calculation!CZ159</f>
        <v>50.992640000013097</v>
      </c>
      <c r="AF159" s="106">
        <f>Sheet1!AA159+Sheet1!BN159+P159+'Calculations II'!BC159+Calculation!AI159+Calculation!CZ159</f>
        <v>52.313412063415235</v>
      </c>
      <c r="AG159" s="106">
        <f>Sheet1!AA159+Sheet1!BN159+'Calculations II'!BC159+'Calculations II'!P159-Sheet1!CP159-BP159</f>
        <v>35.433412063415233</v>
      </c>
      <c r="AH159" s="106">
        <f>Sheet1!AA159+Sheet1!BN159+'Calculations II'!BC159+'Calculations II'!P159-BP159</f>
        <v>52.313412063415235</v>
      </c>
      <c r="AI159" s="106">
        <f>BC159+Sheet1!AA159+Calculation!EI159+O159+W159+Sheet1!BN159+Calculation!AI159+Calculation!CZ159-BP159</f>
        <v>52.313412063415242</v>
      </c>
      <c r="AJ159" s="106"/>
      <c r="AM159" s="102">
        <f t="shared" si="28"/>
        <v>40688</v>
      </c>
      <c r="AN159" s="106"/>
      <c r="AO159" s="106"/>
      <c r="AR159" s="106"/>
      <c r="AT159" s="101">
        <f>Sheet1!AR159*GPMtoMGD</f>
        <v>0</v>
      </c>
      <c r="AU159" s="101">
        <f>Sheet1!AS159*GPMtoMGD</f>
        <v>2.5055999999999998E-2</v>
      </c>
      <c r="AV159" s="101">
        <f>Sheet1!AT159*GPMtoMGD</f>
        <v>0</v>
      </c>
      <c r="AW159" s="101">
        <f>Sheet1!AV159*GPMtoMGD</f>
        <v>0.58550400000000002</v>
      </c>
      <c r="AX159" s="101">
        <f>Sheet1!AW159*GPMtoMGD</f>
        <v>0.65203200000000006</v>
      </c>
      <c r="AY159" s="101">
        <f>Sheet1!AX159*GPMtoMGD</f>
        <v>0</v>
      </c>
      <c r="AZ159" s="101">
        <f>Sheet1!AY159*GPMtoMGD</f>
        <v>0</v>
      </c>
      <c r="BA159" s="101">
        <f>Sheet1!AZ159*GPMtoMGD</f>
        <v>0</v>
      </c>
      <c r="BB159" s="101">
        <f>Sheet1!BP159*GPMtoMGD</f>
        <v>0</v>
      </c>
      <c r="BC159" s="101">
        <f>Sheet1!CO159*GPMtoMGD</f>
        <v>7.8926400000000001</v>
      </c>
      <c r="BD159" s="101">
        <f>Sheet1!BO159*GPMtoMGD</f>
        <v>1.57104</v>
      </c>
      <c r="BE159" s="101">
        <f>Sheet1!BV159*GPMtoMGD</f>
        <v>1.069056</v>
      </c>
      <c r="BF159" s="101">
        <f>Sheet1!CJ159*GPMtoMGD</f>
        <v>0.6755040000000001</v>
      </c>
      <c r="BG159" s="101">
        <f>Sheet1!CK159*GPMtoMGD</f>
        <v>0.60883200000000004</v>
      </c>
      <c r="BH159" s="101">
        <f>Sheet1!CL159*GPMtoMGD</f>
        <v>0.80121600000000004</v>
      </c>
      <c r="BI159" s="101">
        <f t="shared" si="29"/>
        <v>1.57104</v>
      </c>
      <c r="BK159" s="106">
        <f>SUM(AT159:BA159,BE159,Sheet1!BU159,'Calculations II'!BC159,Calculation!AG159)</f>
        <v>47.224288000001458</v>
      </c>
      <c r="BM159" s="439">
        <f>IF(AND(Sheet1!BQ159&lt;=11.5,Sheet1!BQ158&gt;Sheet1!BQ159),(MIN(Lookup!$C$119,VLOOKUP(Sheet1!BQ158,Lookup!$B$4:$J$236,2))-VLOOKUP(Sheet1!BQ159,Lookup!$B$4:$J$236,2))/1000000,0)</f>
        <v>0</v>
      </c>
      <c r="BN159" s="439">
        <f>IF(AND(Sheet1!BR159&lt;=11.5,Sheet1!BR158&gt;Sheet1!BR159),(MIN(Lookup!$D$119,VLOOKUP(Sheet1!BR158,Lookup!$B$4:$J$236,3))-VLOOKUP(Sheet1!BR159,Lookup!$B$4:$J$236,3))/1000000,0)</f>
        <v>0</v>
      </c>
      <c r="BP159" s="105">
        <f>SUM(BM159:BN159,W159,Sheet1!DT159)</f>
        <v>0</v>
      </c>
    </row>
    <row r="160" spans="1:68" s="101" customFormat="1">
      <c r="A160" s="101" t="s">
        <v>6</v>
      </c>
      <c r="B160" s="103">
        <v>40689</v>
      </c>
      <c r="C160" s="104">
        <v>0.33333333333357601</v>
      </c>
      <c r="E160" s="30"/>
      <c r="F160" s="30">
        <f>-(VLOOKUP(Sheet1!BZ160,Lookup!$I$4:$J$216,2)-VLOOKUP(Sheet1!BZ159,Lookup!$I$4:$J$216,2))/1000000</f>
        <v>0</v>
      </c>
      <c r="G160" s="106">
        <f>-$G$6*(Sheet1!CB160-Sheet1!CB159)*7.48/1000000</f>
        <v>-4.3684851157815001E-2</v>
      </c>
      <c r="H160" s="106">
        <f>-$H$6*(Sheet1!CA160-Sheet1!CA159)*7.48/1000000</f>
        <v>-0.1353548911613853</v>
      </c>
      <c r="I160" s="106">
        <f>-$I$6*(Sheet1!CC160-Sheet1!CC159)*7.48/1000000</f>
        <v>-0.16012442500944082</v>
      </c>
      <c r="J160" s="107" t="s">
        <v>193</v>
      </c>
      <c r="K160" s="106">
        <f>-$I$6*(Sheet1!CD160-Sheet1!CD159)*7.48/1000000</f>
        <v>-0.1655218775378488</v>
      </c>
      <c r="L160" s="107" t="s">
        <v>193</v>
      </c>
      <c r="M160" s="106">
        <f>-$M$6*(Sheet1!CE160-Sheet1!CE159)*7.48/1000000</f>
        <v>-6.3301543557355164E-2</v>
      </c>
      <c r="N160" s="106">
        <f>-$N$6*(Sheet1!CF160-Sheet1!CF159)*7.48/1000000</f>
        <v>9.9283752631398325E-2</v>
      </c>
      <c r="O160" s="106">
        <f t="shared" si="25"/>
        <v>-0.46870383579244679</v>
      </c>
      <c r="P160" s="106">
        <f>O160+Calculation!EI160</f>
        <v>-4.8085038357924468</v>
      </c>
      <c r="Q160" s="101" t="str">
        <f>IF(Sheet1!BQ160&gt;21.75,"spill elevation","-")</f>
        <v>-</v>
      </c>
      <c r="R160" s="101" t="str">
        <f>IF(Sheet1!BR160&gt;21.75,"spill elevation","-")</f>
        <v>-</v>
      </c>
      <c r="S160" s="101" t="str">
        <f>IF(Sheet1!BS160&gt;21.75,"spill elevation","-")</f>
        <v>-</v>
      </c>
      <c r="T160" s="105">
        <f>IF(Sheet1!DQ160=1,Sheet1!AA160-(SUM(AT160:BA160)+BE160),Sheet1!AA160-SUM(AT160:BA160))</f>
        <v>33.63569599999709</v>
      </c>
      <c r="U160" s="105">
        <f>Sheet1!BU160</f>
        <v>35.9</v>
      </c>
      <c r="V160" s="105">
        <f t="shared" si="26"/>
        <v>-2.2643040000029089</v>
      </c>
      <c r="W160" s="105">
        <f t="shared" si="27"/>
        <v>0</v>
      </c>
      <c r="X160" s="101">
        <f>IF((Sheet1!EX160-Sheet1!EX159)&lt;0,(Sheet1!EX160+100000-Sheet1!EX159)/1000,(Sheet1!EX160-Sheet1!EX159)/1000)</f>
        <v>99.995999999999995</v>
      </c>
      <c r="Y160" s="106">
        <f>Calculation!DZ161+Calculation!EI160+'Calculations II'!O160-'Calculations II'!W160</f>
        <v>53.330376164210172</v>
      </c>
      <c r="Z160" s="106">
        <f>Y160-Sheet1!CP161</f>
        <v>36.250376164210174</v>
      </c>
      <c r="AA160" s="106">
        <f>Y160+Calculation!CZ161+Calculation!AI161</f>
        <v>53.888195389461302</v>
      </c>
      <c r="AC160" s="106">
        <f>Sheet1!AA160+Sheet1!AB160+BC160</f>
        <v>53.06076799999709</v>
      </c>
      <c r="AD160" s="106">
        <f>Sheet1!AA160+Sheet1!BN160+'Calculations II'!BC160-Calculation!AI160-Calculation!CZ160</f>
        <v>52.960767999997088</v>
      </c>
      <c r="AE160" s="106">
        <f>Sheet1!AA160+Sheet1!AB160+'Calculations II'!BC160-Calculation!AI160-Calculation!CZ160</f>
        <v>53.06076799999709</v>
      </c>
      <c r="AF160" s="106">
        <f>Sheet1!AA160+Sheet1!BN160+P160+'Calculations II'!BC160+Calculation!AI160+Calculation!CZ160</f>
        <v>48.152264164204645</v>
      </c>
      <c r="AG160" s="106">
        <f>Sheet1!AA160+Sheet1!BN160+'Calculations II'!BC160+'Calculations II'!P160-Sheet1!CP160-BP160</f>
        <v>30.902264164204638</v>
      </c>
      <c r="AH160" s="106">
        <f>Sheet1!AA160+Sheet1!BN160+'Calculations II'!BC160+'Calculations II'!P160-BP160</f>
        <v>48.152264164204638</v>
      </c>
      <c r="AI160" s="106">
        <f>BC160+Sheet1!AA160+Calculation!EI160+O160+W160+Sheet1!BN160+Calculation!AI160+Calculation!CZ160-BP160</f>
        <v>48.152264164204638</v>
      </c>
      <c r="AJ160" s="106"/>
      <c r="AM160" s="102">
        <f t="shared" si="28"/>
        <v>40689</v>
      </c>
      <c r="AN160" s="106"/>
      <c r="AO160" s="106"/>
      <c r="AR160" s="106"/>
      <c r="AT160" s="101">
        <f>Sheet1!AR160*GPMtoMGD</f>
        <v>0</v>
      </c>
      <c r="AU160" s="101">
        <f>Sheet1!AS160*GPMtoMGD</f>
        <v>2.5776E-2</v>
      </c>
      <c r="AV160" s="101">
        <f>Sheet1!AT160*GPMtoMGD</f>
        <v>0</v>
      </c>
      <c r="AW160" s="101">
        <f>Sheet1!AV160*GPMtoMGD</f>
        <v>0.43459200000000003</v>
      </c>
      <c r="AX160" s="101">
        <f>Sheet1!AW160*GPMtoMGD</f>
        <v>0.60393600000000003</v>
      </c>
      <c r="AY160" s="101">
        <f>Sheet1!AX160*GPMtoMGD</f>
        <v>0</v>
      </c>
      <c r="AZ160" s="101">
        <f>Sheet1!AY160*GPMtoMGD</f>
        <v>0</v>
      </c>
      <c r="BA160" s="101">
        <f>Sheet1!AZ160*GPMtoMGD</f>
        <v>0</v>
      </c>
      <c r="BB160" s="101">
        <f>Sheet1!BP160*GPMtoMGD</f>
        <v>0</v>
      </c>
      <c r="BC160" s="101">
        <f>Sheet1!CO160*GPMtoMGD</f>
        <v>6.3607680000000002</v>
      </c>
      <c r="BD160" s="101">
        <f>Sheet1!BO160*GPMtoMGD</f>
        <v>2.3797440000000001</v>
      </c>
      <c r="BE160" s="101">
        <f>Sheet1!BV160*GPMtoMGD</f>
        <v>0.9928800000000001</v>
      </c>
      <c r="BF160" s="101">
        <f>Sheet1!CJ160*GPMtoMGD</f>
        <v>0.68126400000000009</v>
      </c>
      <c r="BG160" s="101">
        <f>Sheet1!CK160*GPMtoMGD</f>
        <v>0.57974400000000004</v>
      </c>
      <c r="BH160" s="101">
        <f>Sheet1!CL160*GPMtoMGD</f>
        <v>0.76737600000000006</v>
      </c>
      <c r="BI160" s="101">
        <f t="shared" si="29"/>
        <v>2.3797440000000001</v>
      </c>
      <c r="BK160" s="106">
        <f>SUM(AT160:BA160,BE160,Sheet1!BU160,'Calculations II'!BC160,Calculation!AG160)</f>
        <v>56.317951999999998</v>
      </c>
      <c r="BM160" s="439">
        <f>IF(AND(Sheet1!BQ160&lt;=11.5,Sheet1!BQ159&gt;Sheet1!BQ160),(MIN(Lookup!$C$119,VLOOKUP(Sheet1!BQ159,Lookup!$B$4:$J$236,2))-VLOOKUP(Sheet1!BQ160,Lookup!$B$4:$J$236,2))/1000000,0)</f>
        <v>0</v>
      </c>
      <c r="BN160" s="439">
        <f>IF(AND(Sheet1!BR160&lt;=11.5,Sheet1!BR159&gt;Sheet1!BR160),(MIN(Lookup!$D$119,VLOOKUP(Sheet1!BR159,Lookup!$B$4:$J$236,3))-VLOOKUP(Sheet1!BR160,Lookup!$B$4:$J$236,3))/1000000,0)</f>
        <v>0</v>
      </c>
      <c r="BP160" s="105">
        <f>SUM(BM160:BN160,W160,Sheet1!DT160)</f>
        <v>0</v>
      </c>
    </row>
    <row r="161" spans="1:86" s="101" customFormat="1">
      <c r="A161" s="101" t="s">
        <v>7</v>
      </c>
      <c r="B161" s="103">
        <v>40690</v>
      </c>
      <c r="C161" s="104">
        <v>0.33333333333357601</v>
      </c>
      <c r="E161" s="30"/>
      <c r="F161" s="30">
        <f>-(VLOOKUP(Sheet1!BZ161,Lookup!$I$4:$J$216,2)-VLOOKUP(Sheet1!BZ160,Lookup!$I$4:$J$216,2))/1000000</f>
        <v>-0.20727387709559872</v>
      </c>
      <c r="G161" s="106">
        <f>-$G$6*(Sheet1!CB161-Sheet1!CB160)*7.48/1000000</f>
        <v>-0.71881436905132345</v>
      </c>
      <c r="H161" s="106">
        <f>-$H$6*(Sheet1!CA161-Sheet1!CA160)*7.48/1000000</f>
        <v>0.30078864702530117</v>
      </c>
      <c r="I161" s="106">
        <f>-$I$6*(Sheet1!CC161-Sheet1!CC160)*7.48/1000000</f>
        <v>8.6359240454529904E-2</v>
      </c>
      <c r="J161" s="107" t="s">
        <v>193</v>
      </c>
      <c r="K161" s="106">
        <f>-$I$6*(Sheet1!CD161-Sheet1!CD160)*7.48/1000000</f>
        <v>9.1756692982937912E-2</v>
      </c>
      <c r="L161" s="107" t="s">
        <v>193</v>
      </c>
      <c r="M161" s="106">
        <f>-$M$6*(Sheet1!CE161-Sheet1!CE160)*7.48/1000000</f>
        <v>3.5315597984629819E-2</v>
      </c>
      <c r="N161" s="106">
        <f>-$N$6*(Sheet1!CF161-Sheet1!CF160)*7.48/1000000</f>
        <v>-0.27923555427580821</v>
      </c>
      <c r="O161" s="106">
        <f t="shared" si="25"/>
        <v>-0.69110362197533159</v>
      </c>
      <c r="P161" s="106">
        <f>O161+Calculation!EI161</f>
        <v>-11.053603621975332</v>
      </c>
      <c r="Q161" s="101" t="str">
        <f>IF(Sheet1!BQ161&gt;21.75,"spill elevation","-")</f>
        <v>-</v>
      </c>
      <c r="R161" s="101" t="str">
        <f>IF(Sheet1!BR161&gt;21.75,"spill elevation","-")</f>
        <v>-</v>
      </c>
      <c r="S161" s="101" t="str">
        <f>IF(Sheet1!BS161&gt;21.75,"spill elevation","-")</f>
        <v>-</v>
      </c>
      <c r="T161" s="105">
        <f>IF(Sheet1!DQ161=1,Sheet1!AA161-(SUM(AT161:BA161)+BE161),Sheet1!AA161-SUM(AT161:BA161))</f>
        <v>33.704960000001165</v>
      </c>
      <c r="U161" s="105">
        <f>Sheet1!BU161</f>
        <v>21.3</v>
      </c>
      <c r="V161" s="105">
        <f t="shared" si="26"/>
        <v>12.404960000001164</v>
      </c>
      <c r="W161" s="105">
        <f t="shared" si="27"/>
        <v>0</v>
      </c>
      <c r="X161" s="101">
        <f>IF((Sheet1!EX161-Sheet1!EX160)&lt;0,(Sheet1!EX161+100000-Sheet1!EX160)/1000,(Sheet1!EX161-Sheet1!EX160)/1000)</f>
        <v>1.157</v>
      </c>
      <c r="Y161" s="106">
        <f>Calculation!DZ162+Calculation!EI161+'Calculations II'!O161-'Calculations II'!W161</f>
        <v>44.823756378016526</v>
      </c>
      <c r="Z161" s="106">
        <f>Y161-Sheet1!CP162</f>
        <v>28.333756378016528</v>
      </c>
      <c r="AA161" s="106">
        <f>Y161+Calculation!CZ162+Calculation!AI162</f>
        <v>45.061883468317568</v>
      </c>
      <c r="AC161" s="106">
        <f>Sheet1!AA161+Sheet1!AB161+BC161</f>
        <v>58.138880000002622</v>
      </c>
      <c r="AD161" s="106">
        <f>Sheet1!AA161+Sheet1!BN161+'Calculations II'!BC161-Calculation!AI161-Calculation!CZ161</f>
        <v>56.581060774750036</v>
      </c>
      <c r="AE161" s="106">
        <f>Sheet1!AA161+Sheet1!AB161+'Calculations II'!BC161-Calculation!AI161-Calculation!CZ161</f>
        <v>57.581060774751492</v>
      </c>
      <c r="AF161" s="106">
        <f>Sheet1!AA161+Sheet1!BN161+P161+'Calculations II'!BC161+Calculation!AI161+Calculation!CZ161</f>
        <v>46.643095603276961</v>
      </c>
      <c r="AG161" s="106">
        <f>Sheet1!AA161+Sheet1!BN161+'Calculations II'!BC161+'Calculations II'!P161-Sheet1!CP161-BP161</f>
        <v>29.005276378025833</v>
      </c>
      <c r="AH161" s="106">
        <f>Sheet1!AA161+Sheet1!BN161+'Calculations II'!BC161+'Calculations II'!P161-BP161</f>
        <v>46.085276378025831</v>
      </c>
      <c r="AI161" s="106">
        <f>BC161+Sheet1!AA161+Calculation!EI161+O161+W161+Sheet1!BN161+Calculation!AI161+Calculation!CZ161-BP161</f>
        <v>46.643095603276961</v>
      </c>
      <c r="AJ161" s="106"/>
      <c r="AM161" s="102">
        <f t="shared" si="28"/>
        <v>40690</v>
      </c>
      <c r="AN161" s="106"/>
      <c r="AO161" s="106"/>
      <c r="AR161" s="106"/>
      <c r="AT161" s="101">
        <f>Sheet1!AR161*GPMtoMGD</f>
        <v>0</v>
      </c>
      <c r="AU161" s="101">
        <f>Sheet1!AS161*GPMtoMGD</f>
        <v>2.5488E-2</v>
      </c>
      <c r="AV161" s="101">
        <f>Sheet1!AT161*GPMtoMGD</f>
        <v>0</v>
      </c>
      <c r="AW161" s="101">
        <f>Sheet1!AV161*GPMtoMGD</f>
        <v>0.53654400000000002</v>
      </c>
      <c r="AX161" s="101">
        <f>Sheet1!AW161*GPMtoMGD</f>
        <v>0.70300800000000008</v>
      </c>
      <c r="AY161" s="101">
        <f>Sheet1!AX161*GPMtoMGD</f>
        <v>0</v>
      </c>
      <c r="AZ161" s="101">
        <f>Sheet1!AY161*GPMtoMGD</f>
        <v>0</v>
      </c>
      <c r="BA161" s="101">
        <f>Sheet1!AZ161*GPMtoMGD</f>
        <v>0</v>
      </c>
      <c r="BB161" s="101">
        <f>Sheet1!BP161*GPMtoMGD</f>
        <v>0</v>
      </c>
      <c r="BC161" s="101">
        <f>Sheet1!CO161*GPMtoMGD</f>
        <v>8.7688800000000011</v>
      </c>
      <c r="BD161" s="101">
        <f>Sheet1!BO161*GPMtoMGD</f>
        <v>1.418112</v>
      </c>
      <c r="BE161" s="101">
        <f>Sheet1!BV161*GPMtoMGD</f>
        <v>0.817056</v>
      </c>
      <c r="BF161" s="101">
        <f>Sheet1!CJ161*GPMtoMGD</f>
        <v>0.54604799999999998</v>
      </c>
      <c r="BG161" s="101">
        <f>Sheet1!CK161*GPMtoMGD</f>
        <v>0.58852800000000005</v>
      </c>
      <c r="BH161" s="101">
        <f>Sheet1!CL161*GPMtoMGD</f>
        <v>0.7632000000000001</v>
      </c>
      <c r="BI161" s="101">
        <f t="shared" si="29"/>
        <v>1.418112</v>
      </c>
      <c r="BK161" s="106">
        <f>SUM(AT161:BA161,BE161,Sheet1!BU161,'Calculations II'!BC161,Calculation!AG161)</f>
        <v>45.993156774750318</v>
      </c>
      <c r="BM161" s="439">
        <f>IF(AND(Sheet1!BQ161&lt;=11.5,Sheet1!BQ160&gt;Sheet1!BQ161),(MIN(Lookup!$C$119,VLOOKUP(Sheet1!BQ160,Lookup!$B$4:$J$236,2))-VLOOKUP(Sheet1!BQ161,Lookup!$B$4:$J$236,2))/1000000,0)</f>
        <v>0</v>
      </c>
      <c r="BN161" s="439">
        <f>IF(AND(Sheet1!BR161&lt;=11.5,Sheet1!BR160&gt;Sheet1!BR161),(MIN(Lookup!$D$119,VLOOKUP(Sheet1!BR160,Lookup!$B$4:$J$236,3))-VLOOKUP(Sheet1!BR161,Lookup!$B$4:$J$236,3))/1000000,0)</f>
        <v>0</v>
      </c>
      <c r="BP161" s="105">
        <f>SUM(BM161:BN161,W161,Sheet1!DT161)</f>
        <v>0</v>
      </c>
    </row>
    <row r="162" spans="1:86" s="101" customFormat="1">
      <c r="A162" s="101" t="s">
        <v>8</v>
      </c>
      <c r="B162" s="103">
        <v>40691</v>
      </c>
      <c r="C162" s="104">
        <v>0.33333333333357601</v>
      </c>
      <c r="E162" s="30"/>
      <c r="F162" s="30">
        <f>-(VLOOKUP(Sheet1!BZ162,Lookup!$I$4:$J$216,2)-VLOOKUP(Sheet1!BZ161,Lookup!$I$4:$J$216,2))/1000000</f>
        <v>-0.31091081564339806</v>
      </c>
      <c r="G162" s="106">
        <f>-$G$6*(Sheet1!CB162-Sheet1!CB161)*7.48/1000000</f>
        <v>0.15488265410498148</v>
      </c>
      <c r="H162" s="106">
        <f>-$H$6*(Sheet1!CA162-Sheet1!CA161)*7.48/1000000</f>
        <v>0.36094637643036176</v>
      </c>
      <c r="I162" s="106">
        <f>-$I$6*(Sheet1!CC162-Sheet1!CC161)*7.48/1000000</f>
        <v>3.4183866013251296E-2</v>
      </c>
      <c r="J162" s="107" t="s">
        <v>193</v>
      </c>
      <c r="K162" s="106">
        <f>-$I$6*(Sheet1!CD162-Sheet1!CD161)*7.48/1000000</f>
        <v>3.778216769885695E-2</v>
      </c>
      <c r="L162" s="107" t="s">
        <v>193</v>
      </c>
      <c r="M162" s="106">
        <f>-$M$6*(Sheet1!CE162-Sheet1!CE161)*7.48/1000000</f>
        <v>9.9949805616875685E-3</v>
      </c>
      <c r="N162" s="106">
        <f>-$N$6*(Sheet1!CF162-Sheet1!CF161)*7.48/1000000</f>
        <v>9.9283752631398325E-2</v>
      </c>
      <c r="O162" s="106">
        <f t="shared" si="25"/>
        <v>0.38616298179713932</v>
      </c>
      <c r="P162" s="106">
        <f>O162+Calculation!EI162</f>
        <v>-5.5193370182028607</v>
      </c>
      <c r="Q162" s="101" t="str">
        <f>IF(Sheet1!BQ162&gt;21.75,"spill elevation","-")</f>
        <v>-</v>
      </c>
      <c r="R162" s="101" t="str">
        <f>IF(Sheet1!BR162&gt;21.75,"spill elevation","-")</f>
        <v>-</v>
      </c>
      <c r="S162" s="101" t="str">
        <f>IF(Sheet1!BS162&gt;21.75,"spill elevation","-")</f>
        <v>-</v>
      </c>
      <c r="T162" s="105">
        <f>IF(Sheet1!DQ162=1,Sheet1!AA162-(SUM(AT162:BA162)+BE162),Sheet1!AA162-SUM(AT162:BA162))</f>
        <v>32.454591999988942</v>
      </c>
      <c r="U162" s="105">
        <f>Sheet1!BU162</f>
        <v>22.6</v>
      </c>
      <c r="V162" s="105">
        <f t="shared" si="26"/>
        <v>9.8545919999889406</v>
      </c>
      <c r="W162" s="105">
        <f t="shared" si="27"/>
        <v>0</v>
      </c>
      <c r="X162" s="101">
        <f>IF((Sheet1!EX162-Sheet1!EX161)&lt;0,(Sheet1!EX162+100000-Sheet1!EX161)/1000,(Sheet1!EX162-Sheet1!EX161)/1000)</f>
        <v>1.238</v>
      </c>
      <c r="Y162" s="106">
        <f>Calculation!DZ163+Calculation!EI162+'Calculations II'!O162-'Calculations II'!W162</f>
        <v>50.448150981798307</v>
      </c>
      <c r="Z162" s="106">
        <f>Y162-Sheet1!CP163</f>
        <v>34.118150981798308</v>
      </c>
      <c r="AA162" s="106">
        <f>Y162+Calculation!CZ163+Calculation!AI163</f>
        <v>50.448150981798307</v>
      </c>
      <c r="AC162" s="106">
        <f>Sheet1!AA162+Sheet1!AB162+BC162</f>
        <v>55.877359999991853</v>
      </c>
      <c r="AD162" s="106">
        <f>Sheet1!AA162+Sheet1!BN162+'Calculations II'!BC162-Calculation!AI162-Calculation!CZ162</f>
        <v>55.539232909687904</v>
      </c>
      <c r="AE162" s="106">
        <f>Sheet1!AA162+Sheet1!AB162+'Calculations II'!BC162-Calculation!AI162-Calculation!CZ162</f>
        <v>55.639232909690811</v>
      </c>
      <c r="AF162" s="106">
        <f>Sheet1!AA162+Sheet1!BN162+P162+'Calculations II'!BC162+Calculation!AI162+Calculation!CZ162</f>
        <v>50.496150072087126</v>
      </c>
      <c r="AG162" s="106">
        <f>Sheet1!AA162+Sheet1!BN162+'Calculations II'!BC162+'Calculations II'!P162-Sheet1!CP162-BP162</f>
        <v>33.768022981786089</v>
      </c>
      <c r="AH162" s="106">
        <f>Sheet1!AA162+Sheet1!BN162+'Calculations II'!BC162+'Calculations II'!P162-BP162</f>
        <v>50.258022981786084</v>
      </c>
      <c r="AI162" s="106">
        <f>BC162+Sheet1!AA162+Calculation!EI162+O162+W162+Sheet1!BN162+Calculation!AI162+Calculation!CZ162-BP162</f>
        <v>50.496150072087126</v>
      </c>
      <c r="AJ162" s="106"/>
      <c r="AM162" s="102">
        <f t="shared" si="28"/>
        <v>40691</v>
      </c>
      <c r="AN162" s="106"/>
      <c r="AO162" s="106"/>
      <c r="AR162" s="106"/>
      <c r="AT162" s="101">
        <f>Sheet1!AR162*GPMtoMGD</f>
        <v>0</v>
      </c>
      <c r="AU162" s="101">
        <f>Sheet1!AS162*GPMtoMGD</f>
        <v>4.9824000000000007E-2</v>
      </c>
      <c r="AV162" s="101">
        <f>Sheet1!AT162*GPMtoMGD</f>
        <v>0</v>
      </c>
      <c r="AW162" s="101">
        <f>Sheet1!AV162*GPMtoMGD</f>
        <v>0.67392000000000007</v>
      </c>
      <c r="AX162" s="101">
        <f>Sheet1!AW162*GPMtoMGD</f>
        <v>0.73166400000000009</v>
      </c>
      <c r="AY162" s="101">
        <f>Sheet1!AX162*GPMtoMGD</f>
        <v>0</v>
      </c>
      <c r="AZ162" s="101">
        <f>Sheet1!AY162*GPMtoMGD</f>
        <v>0</v>
      </c>
      <c r="BA162" s="101">
        <f>Sheet1!AZ162*GPMtoMGD</f>
        <v>0</v>
      </c>
      <c r="BB162" s="101">
        <f>Sheet1!BP162*GPMtoMGD</f>
        <v>0</v>
      </c>
      <c r="BC162" s="101">
        <f>Sheet1!CO162*GPMtoMGD</f>
        <v>4.1673600000000004</v>
      </c>
      <c r="BD162" s="101">
        <f>Sheet1!BO162*GPMtoMGD</f>
        <v>2.5410240000000002</v>
      </c>
      <c r="BE162" s="101">
        <f>Sheet1!BV162*GPMtoMGD</f>
        <v>1.005984</v>
      </c>
      <c r="BF162" s="101">
        <f>Sheet1!CJ162*GPMtoMGD</f>
        <v>0.60537600000000003</v>
      </c>
      <c r="BG162" s="101">
        <f>Sheet1!CK162*GPMtoMGD</f>
        <v>0.59904000000000002</v>
      </c>
      <c r="BH162" s="101">
        <f>Sheet1!CL162*GPMtoMGD</f>
        <v>0.69897600000000004</v>
      </c>
      <c r="BI162" s="101">
        <f t="shared" si="29"/>
        <v>2.5410240000000002</v>
      </c>
      <c r="BK162" s="106">
        <f>SUM(AT162:BA162,BE162,Sheet1!BU162,'Calculations II'!BC162,Calculation!AG162)</f>
        <v>46.790624909701869</v>
      </c>
      <c r="BM162" s="439">
        <f>IF(AND(Sheet1!BQ162&lt;=11.5,Sheet1!BQ161&gt;Sheet1!BQ162),(MIN(Lookup!$C$119,VLOOKUP(Sheet1!BQ161,Lookup!$B$4:$J$236,2))-VLOOKUP(Sheet1!BQ162,Lookup!$B$4:$J$236,2))/1000000,0)</f>
        <v>0</v>
      </c>
      <c r="BN162" s="439">
        <f>IF(AND(Sheet1!BR162&lt;=11.5,Sheet1!BR161&gt;Sheet1!BR162),(MIN(Lookup!$D$119,VLOOKUP(Sheet1!BR161,Lookup!$B$4:$J$236,3))-VLOOKUP(Sheet1!BR162,Lookup!$B$4:$J$236,3))/1000000,0)</f>
        <v>0</v>
      </c>
      <c r="BP162" s="105">
        <f>SUM(BM162:BN162,W162,Sheet1!DT162)</f>
        <v>0</v>
      </c>
    </row>
    <row r="163" spans="1:86" s="101" customFormat="1">
      <c r="A163" s="101" t="s">
        <v>9</v>
      </c>
      <c r="B163" s="103">
        <v>40692</v>
      </c>
      <c r="C163" s="104">
        <v>0.33333333333357601</v>
      </c>
      <c r="E163" s="30"/>
      <c r="F163" s="30">
        <f>-(VLOOKUP(Sheet1!BZ163,Lookup!$I$4:$J$216,2)-VLOOKUP(Sheet1!BZ162,Lookup!$I$4:$J$216,2))/1000000</f>
        <v>0.10363693854779936</v>
      </c>
      <c r="G163" s="106">
        <f>-$G$6*(Sheet1!CB163-Sheet1!CB162)*7.48/1000000</f>
        <v>0.3574215094730338</v>
      </c>
      <c r="H163" s="106">
        <f>-$H$6*(Sheet1!CA163-Sheet1!CA162)*7.48/1000000</f>
        <v>-0.45118297053795225</v>
      </c>
      <c r="I163" s="106">
        <f>-$I$6*(Sheet1!CC163-Sheet1!CC162)*7.48/1000000</f>
        <v>2.1589810113632635E-2</v>
      </c>
      <c r="J163" s="107" t="s">
        <v>193</v>
      </c>
      <c r="K163" s="106">
        <f>-$I$6*(Sheet1!CD163-Sheet1!CD162)*7.48/1000000</f>
        <v>1.6192357585224318E-2</v>
      </c>
      <c r="L163" s="107" t="s">
        <v>193</v>
      </c>
      <c r="M163" s="106">
        <f>-$M$6*(Sheet1!CE163-Sheet1!CE162)*7.48/1000000</f>
        <v>9.9949805616875685E-3</v>
      </c>
      <c r="N163" s="106">
        <f>-$N$6*(Sheet1!CF163-Sheet1!CF162)*7.48/1000000</f>
        <v>-4.3436641776236899E-2</v>
      </c>
      <c r="O163" s="106">
        <f t="shared" si="25"/>
        <v>1.4215983967188539E-2</v>
      </c>
      <c r="P163" s="106">
        <f>O163+Calculation!EI163</f>
        <v>-12.192784016032812</v>
      </c>
      <c r="Q163" s="101" t="str">
        <f>IF(Sheet1!BQ163&gt;21.75,"spill elevation","-")</f>
        <v>-</v>
      </c>
      <c r="R163" s="101" t="str">
        <f>IF(Sheet1!BR163&gt;21.75,"spill elevation","-")</f>
        <v>-</v>
      </c>
      <c r="S163" s="101" t="str">
        <f>IF(Sheet1!BS163&gt;21.75,"spill elevation","-")</f>
        <v>-</v>
      </c>
      <c r="T163" s="105">
        <f>IF(Sheet1!DQ163=1,Sheet1!AA163-(SUM(AT163:BA163)+BE163),Sheet1!AA163-SUM(AT163:BA163))</f>
        <v>33.506800000001164</v>
      </c>
      <c r="U163" s="105">
        <f>Sheet1!BU163</f>
        <v>19.5</v>
      </c>
      <c r="V163" s="105">
        <f t="shared" si="26"/>
        <v>14.006800000001164</v>
      </c>
      <c r="W163" s="105">
        <f t="shared" si="27"/>
        <v>0</v>
      </c>
      <c r="X163" s="101">
        <f>IF((Sheet1!EX163-Sheet1!EX162)&lt;0,(Sheet1!EX163+100000-Sheet1!EX162)/1000,(Sheet1!EX163-Sheet1!EX162)/1000)</f>
        <v>1.306</v>
      </c>
      <c r="Y163" s="106">
        <f>Calculation!DZ164+Calculation!EI163+'Calculations II'!O163-'Calculations II'!W163</f>
        <v>44.469887983965734</v>
      </c>
      <c r="Z163" s="106">
        <f>Y163-Sheet1!CP164</f>
        <v>28.449887983965734</v>
      </c>
      <c r="AA163" s="106">
        <f>Y163+Calculation!CZ164+Calculation!AI164</f>
        <v>44.469887983965734</v>
      </c>
      <c r="AC163" s="106">
        <f>Sheet1!AA163+Sheet1!AB163+BC163</f>
        <v>55.967488000001161</v>
      </c>
      <c r="AD163" s="106">
        <f>Sheet1!AA163+Sheet1!BN163+'Calculations II'!BC163-Calculation!AI163-Calculation!CZ163</f>
        <v>55.86748800000116</v>
      </c>
      <c r="AE163" s="106">
        <f>Sheet1!AA163+Sheet1!AB163+'Calculations II'!BC163-Calculation!AI163-Calculation!CZ163</f>
        <v>55.967488000001161</v>
      </c>
      <c r="AF163" s="106">
        <f>Sheet1!AA163+Sheet1!BN163+P163+'Calculations II'!BC163+Calculation!AI163+Calculation!CZ163</f>
        <v>43.67470398396835</v>
      </c>
      <c r="AG163" s="106">
        <f>Sheet1!AA163+Sheet1!BN163+'Calculations II'!BC163+'Calculations II'!P163-Sheet1!CP163-BP163</f>
        <v>27.344703983968351</v>
      </c>
      <c r="AH163" s="106">
        <f>Sheet1!AA163+Sheet1!BN163+'Calculations II'!BC163+'Calculations II'!P163-BP163</f>
        <v>43.67470398396835</v>
      </c>
      <c r="AI163" s="106">
        <f>BC163+Sheet1!AA163+Calculation!EI163+O163+W163+Sheet1!BN163+Calculation!AI163+Calculation!CZ163-BP163</f>
        <v>43.674703983968342</v>
      </c>
      <c r="AJ163" s="106"/>
      <c r="AM163" s="102">
        <f t="shared" si="28"/>
        <v>40692</v>
      </c>
      <c r="AN163" s="106"/>
      <c r="AO163" s="106"/>
      <c r="AR163" s="106"/>
      <c r="AT163" s="101">
        <f>Sheet1!AR163*GPMtoMGD</f>
        <v>0</v>
      </c>
      <c r="AU163" s="101">
        <f>Sheet1!AS163*GPMtoMGD</f>
        <v>2.7072000000000002E-2</v>
      </c>
      <c r="AV163" s="101">
        <f>Sheet1!AT163*GPMtoMGD</f>
        <v>0</v>
      </c>
      <c r="AW163" s="101">
        <f>Sheet1!AV163*GPMtoMGD</f>
        <v>0.48196800000000001</v>
      </c>
      <c r="AX163" s="101">
        <f>Sheet1!AW163*GPMtoMGD</f>
        <v>0.70416000000000001</v>
      </c>
      <c r="AY163" s="101">
        <f>Sheet1!AX163*GPMtoMGD</f>
        <v>0</v>
      </c>
      <c r="AZ163" s="101">
        <f>Sheet1!AY163*GPMtoMGD</f>
        <v>0</v>
      </c>
      <c r="BA163" s="101">
        <f>Sheet1!AZ163*GPMtoMGD</f>
        <v>0</v>
      </c>
      <c r="BB163" s="101">
        <f>Sheet1!BP163*GPMtoMGD</f>
        <v>0</v>
      </c>
      <c r="BC163" s="101">
        <f>Sheet1!CO163*GPMtoMGD</f>
        <v>3.2474880000000002</v>
      </c>
      <c r="BD163" s="101">
        <f>Sheet1!BO163*GPMtoMGD</f>
        <v>1.5975360000000003</v>
      </c>
      <c r="BE163" s="101">
        <f>Sheet1!BV163*GPMtoMGD</f>
        <v>0.78134400000000004</v>
      </c>
      <c r="BF163" s="101">
        <f>Sheet1!CJ163*GPMtoMGD</f>
        <v>0.45734400000000008</v>
      </c>
      <c r="BG163" s="101">
        <f>Sheet1!CK163*GPMtoMGD</f>
        <v>0.62755200000000011</v>
      </c>
      <c r="BH163" s="101">
        <f>Sheet1!CL163*GPMtoMGD</f>
        <v>0.69710400000000006</v>
      </c>
      <c r="BI163" s="101">
        <f t="shared" si="29"/>
        <v>1.5975360000000003</v>
      </c>
      <c r="BK163" s="106">
        <f>SUM(AT163:BA163,BE163,Sheet1!BU163,'Calculations II'!BC163,Calculation!AG163)</f>
        <v>42.742032000000002</v>
      </c>
      <c r="BM163" s="439">
        <f>IF(AND(Sheet1!BQ163&lt;=11.5,Sheet1!BQ162&gt;Sheet1!BQ163),(MIN(Lookup!$C$119,VLOOKUP(Sheet1!BQ162,Lookup!$B$4:$J$236,2))-VLOOKUP(Sheet1!BQ163,Lookup!$B$4:$J$236,2))/1000000,0)</f>
        <v>0</v>
      </c>
      <c r="BN163" s="439">
        <f>IF(AND(Sheet1!BR163&lt;=11.5,Sheet1!BR162&gt;Sheet1!BR163),(MIN(Lookup!$D$119,VLOOKUP(Sheet1!BR162,Lookup!$B$4:$J$236,3))-VLOOKUP(Sheet1!BR163,Lookup!$B$4:$J$236,3))/1000000,0)</f>
        <v>0</v>
      </c>
      <c r="BP163" s="105">
        <f>SUM(BM163:BN163,W163,Sheet1!DT163)</f>
        <v>0</v>
      </c>
    </row>
    <row r="164" spans="1:86" s="101" customFormat="1">
      <c r="A164" s="101" t="s">
        <v>3</v>
      </c>
      <c r="B164" s="103">
        <v>40693</v>
      </c>
      <c r="C164" s="104">
        <v>0.33333333333357601</v>
      </c>
      <c r="E164" s="30"/>
      <c r="F164" s="30">
        <f>-(VLOOKUP(Sheet1!BZ164,Lookup!$I$4:$J$216,2)-VLOOKUP(Sheet1!BZ163,Lookup!$I$4:$J$216,2))/1000000</f>
        <v>0.31091081564339806</v>
      </c>
      <c r="G164" s="106">
        <f>-$G$6*(Sheet1!CB164-Sheet1!CB163)*7.48/1000000</f>
        <v>0.40904906084136056</v>
      </c>
      <c r="H164" s="106">
        <f>-$H$6*(Sheet1!CA164-Sheet1!CA163)*7.48/1000000</f>
        <v>-1.5039432351264204E-2</v>
      </c>
      <c r="I164" s="106">
        <f>-$I$6*(Sheet1!CC164-Sheet1!CC163)*7.48/1000000</f>
        <v>1.7991508428026666E-3</v>
      </c>
      <c r="J164" s="107" t="s">
        <v>193</v>
      </c>
      <c r="K164" s="106">
        <f>-$I$6*(Sheet1!CD164-Sheet1!CD163)*7.48/1000000</f>
        <v>-3.5983016856056525E-3</v>
      </c>
      <c r="L164" s="107" t="s">
        <v>193</v>
      </c>
      <c r="M164" s="106">
        <f>-$M$6*(Sheet1!CE164-Sheet1!CE163)*7.48/1000000</f>
        <v>3.3316601872292687E-3</v>
      </c>
      <c r="N164" s="106">
        <f>-$N$6*(Sheet1!CF164-Sheet1!CF163)*7.48/1000000</f>
        <v>0.22338844342064679</v>
      </c>
      <c r="O164" s="106">
        <f t="shared" si="25"/>
        <v>0.9298413968985676</v>
      </c>
      <c r="P164" s="106">
        <f>O164+Calculation!EI164</f>
        <v>-9.6897586031014331</v>
      </c>
      <c r="Q164" s="101" t="str">
        <f>IF(Sheet1!BQ164&gt;21.75,"spill elevation","-")</f>
        <v>-</v>
      </c>
      <c r="R164" s="101" t="str">
        <f>IF(Sheet1!BR164&gt;21.75,"spill elevation","-")</f>
        <v>-</v>
      </c>
      <c r="S164" s="101" t="str">
        <f>IF(Sheet1!BS164&gt;21.75,"spill elevation","-")</f>
        <v>-</v>
      </c>
      <c r="T164" s="105">
        <f>IF(Sheet1!DQ164=1,Sheet1!AA164-(SUM(AT164:BA164)+BE164),Sheet1!AA164-SUM(AT164:BA164))</f>
        <v>32.688048000000002</v>
      </c>
      <c r="U164" s="105">
        <f>Sheet1!BU164</f>
        <v>22.4</v>
      </c>
      <c r="V164" s="105">
        <f t="shared" si="26"/>
        <v>10.288048000000003</v>
      </c>
      <c r="W164" s="105">
        <f t="shared" si="27"/>
        <v>0</v>
      </c>
      <c r="X164" s="101">
        <f>IF((Sheet1!EX164-Sheet1!EX163)&lt;0,(Sheet1!EX164+100000-Sheet1!EX163)/1000,(Sheet1!EX164-Sheet1!EX163)/1000)</f>
        <v>1.427</v>
      </c>
      <c r="Y164" s="106">
        <f>Calculation!DZ165+Calculation!EI164+'Calculations II'!O164-'Calculations II'!W164</f>
        <v>42.610241396908755</v>
      </c>
      <c r="Z164" s="106">
        <f>Y164-Sheet1!CP165</f>
        <v>26.140241396908756</v>
      </c>
      <c r="AA164" s="106">
        <f>Y164+Calculation!CZ165+Calculation!AI165</f>
        <v>42.610241396908755</v>
      </c>
      <c r="AC164" s="106">
        <f>Sheet1!AA164+Sheet1!AB164+BC164</f>
        <v>56.662671999998544</v>
      </c>
      <c r="AD164" s="106">
        <f>Sheet1!AA164+Sheet1!BN164+'Calculations II'!BC164-Calculation!AI164-Calculation!CZ164</f>
        <v>56.562671999999999</v>
      </c>
      <c r="AE164" s="106">
        <f>Sheet1!AA164+Sheet1!AB164+'Calculations II'!BC164-Calculation!AI164-Calculation!CZ164</f>
        <v>56.662671999998544</v>
      </c>
      <c r="AF164" s="106">
        <f>Sheet1!AA164+Sheet1!BN164+P164+'Calculations II'!BC164+Calculation!AI164+Calculation!CZ164</f>
        <v>46.872913396898568</v>
      </c>
      <c r="AG164" s="106">
        <f>Sheet1!AA164+Sheet1!BN164+'Calculations II'!BC164+'Calculations II'!P164-Sheet1!CP164-BP164</f>
        <v>30.852913396898568</v>
      </c>
      <c r="AH164" s="106">
        <f>Sheet1!AA164+Sheet1!BN164+'Calculations II'!BC164+'Calculations II'!P164-BP164</f>
        <v>46.872913396898568</v>
      </c>
      <c r="AI164" s="106">
        <f>BC164+Sheet1!AA164+Calculation!EI164+O164+W164+Sheet1!BN164+Calculation!AI164+Calculation!CZ164-BP164</f>
        <v>46.872913396898568</v>
      </c>
      <c r="AJ164" s="106"/>
      <c r="AM164" s="102">
        <f t="shared" si="28"/>
        <v>40693</v>
      </c>
      <c r="AN164" s="106"/>
      <c r="AO164" s="106"/>
      <c r="AR164" s="106"/>
      <c r="AT164" s="101">
        <f>Sheet1!AR164*GPMtoMGD</f>
        <v>0</v>
      </c>
      <c r="AU164" s="101">
        <f>Sheet1!AS164*GPMtoMGD</f>
        <v>2.7504000000000004E-2</v>
      </c>
      <c r="AV164" s="101">
        <f>Sheet1!AT164*GPMtoMGD</f>
        <v>0</v>
      </c>
      <c r="AW164" s="101">
        <f>Sheet1!AV164*GPMtoMGD</f>
        <v>0.86860800000000016</v>
      </c>
      <c r="AX164" s="101">
        <f>Sheet1!AW164*GPMtoMGD</f>
        <v>0.9158400000000001</v>
      </c>
      <c r="AY164" s="101">
        <f>Sheet1!AX164*GPMtoMGD</f>
        <v>0</v>
      </c>
      <c r="AZ164" s="101">
        <f>Sheet1!AY164*GPMtoMGD</f>
        <v>0</v>
      </c>
      <c r="BA164" s="101">
        <f>Sheet1!AZ164*GPMtoMGD</f>
        <v>0</v>
      </c>
      <c r="BB164" s="101">
        <f>Sheet1!BP164*GPMtoMGD</f>
        <v>0</v>
      </c>
      <c r="BC164" s="101">
        <f>Sheet1!CO164*GPMtoMGD</f>
        <v>4.0626720000000009</v>
      </c>
      <c r="BD164" s="101">
        <f>Sheet1!BO164*GPMtoMGD</f>
        <v>2.7604800000000003</v>
      </c>
      <c r="BE164" s="101">
        <f>Sheet1!BV164*GPMtoMGD</f>
        <v>1.0949759999999999</v>
      </c>
      <c r="BF164" s="101">
        <f>Sheet1!CJ164*GPMtoMGD</f>
        <v>0.76262400000000008</v>
      </c>
      <c r="BG164" s="101">
        <f>Sheet1!CK164*GPMtoMGD</f>
        <v>0.73310400000000009</v>
      </c>
      <c r="BH164" s="101">
        <f>Sheet1!CL164*GPMtoMGD</f>
        <v>0.76190400000000003</v>
      </c>
      <c r="BI164" s="101">
        <f t="shared" si="29"/>
        <v>2.7604800000000003</v>
      </c>
      <c r="BK164" s="106">
        <f>SUM(AT164:BA164,BE164,Sheet1!BU164,'Calculations II'!BC164,Calculation!AG164)</f>
        <v>47.469599999998543</v>
      </c>
      <c r="BM164" s="439">
        <f>IF(AND(Sheet1!BQ164&lt;=11.5,Sheet1!BQ163&gt;Sheet1!BQ164),(MIN(Lookup!$C$119,VLOOKUP(Sheet1!BQ163,Lookup!$B$4:$J$236,2))-VLOOKUP(Sheet1!BQ164,Lookup!$B$4:$J$236,2))/1000000,0)</f>
        <v>0</v>
      </c>
      <c r="BN164" s="439">
        <f>IF(AND(Sheet1!BR164&lt;=11.5,Sheet1!BR163&gt;Sheet1!BR164),(MIN(Lookup!$D$119,VLOOKUP(Sheet1!BR163,Lookup!$B$4:$J$236,3))-VLOOKUP(Sheet1!BR164,Lookup!$B$4:$J$236,3))/1000000,0)</f>
        <v>0</v>
      </c>
      <c r="BP164" s="105">
        <f>SUM(BM164:BN164,W164,Sheet1!DT164)</f>
        <v>0</v>
      </c>
    </row>
    <row r="165" spans="1:86" s="101" customFormat="1">
      <c r="A165" s="101" t="s">
        <v>4</v>
      </c>
      <c r="B165" s="103">
        <v>40694</v>
      </c>
      <c r="C165" s="104">
        <v>0.33333333333357601</v>
      </c>
      <c r="E165" s="30"/>
      <c r="F165" s="30">
        <f>-(VLOOKUP(Sheet1!BZ165,Lookup!$I$4:$J$216,2)-VLOOKUP(Sheet1!BZ164,Lookup!$I$4:$J$216,2))/1000000</f>
        <v>-0.72545856983460111</v>
      </c>
      <c r="G165" s="106">
        <f>-$G$6*(Sheet1!CB165-Sheet1!CB164)*7.48/1000000</f>
        <v>-0.87369702315630426</v>
      </c>
      <c r="H165" s="106">
        <f>-$H$6*(Sheet1!CA165-Sheet1!CA164)*7.48/1000000</f>
        <v>0.57149842934807182</v>
      </c>
      <c r="I165" s="106">
        <f>-$I$6*(Sheet1!CC165-Sheet1!CC164)*7.48/1000000</f>
        <v>4.3179620227264952E-2</v>
      </c>
      <c r="J165" s="107" t="s">
        <v>193</v>
      </c>
      <c r="K165" s="106">
        <f>-$I$6*(Sheet1!CD165-Sheet1!CD164)*7.48/1000000</f>
        <v>7.196603371210826E-2</v>
      </c>
      <c r="L165" s="107" t="s">
        <v>193</v>
      </c>
      <c r="M165" s="106">
        <f>-$M$6*(Sheet1!CE165-Sheet1!CE164)*7.48/1000000</f>
        <v>0</v>
      </c>
      <c r="N165" s="106">
        <f>-$N$6*(Sheet1!CF165-Sheet1!CF164)*7.48/1000000</f>
        <v>-0.26061985065742033</v>
      </c>
      <c r="O165" s="106">
        <f t="shared" si="25"/>
        <v>-1.1731313603608806</v>
      </c>
      <c r="P165" s="106">
        <f>O165+Calculation!EI165</f>
        <v>-6.0070313603608803</v>
      </c>
      <c r="Q165" s="101" t="str">
        <f>IF(Sheet1!BQ165&gt;21.75,"spill elevation","-")</f>
        <v>-</v>
      </c>
      <c r="R165" s="101" t="str">
        <f>IF(Sheet1!BR165&gt;21.75,"spill elevation","-")</f>
        <v>-</v>
      </c>
      <c r="S165" s="101" t="str">
        <f>IF(Sheet1!BS165&gt;21.75,"spill elevation","-")</f>
        <v>-</v>
      </c>
      <c r="T165" s="105">
        <f>IF(Sheet1!DQ165=1,Sheet1!AA165-(SUM(AT165:BA165)+BE165),Sheet1!AA165-SUM(AT165:BA165))</f>
        <v>33.364640000008734</v>
      </c>
      <c r="U165" s="105">
        <f>Sheet1!BU165</f>
        <v>26.7</v>
      </c>
      <c r="V165" s="105">
        <f t="shared" si="26"/>
        <v>6.6646400000087347</v>
      </c>
      <c r="W165" s="105">
        <f t="shared" si="27"/>
        <v>0</v>
      </c>
      <c r="X165" s="101">
        <f>IF((Sheet1!EX165-Sheet1!EX164)&lt;0,(Sheet1!EX165+100000-Sheet1!EX164)/1000,(Sheet1!EX165-Sheet1!EX164)/1000)</f>
        <v>1.4350000000000001</v>
      </c>
      <c r="Y165" s="106">
        <f>Calculation!DZ166+Calculation!EI165+'Calculations II'!O165-'Calculations II'!W165</f>
        <v>44.692968639636206</v>
      </c>
      <c r="Z165" s="106">
        <f>Y165-Sheet1!CP166</f>
        <v>29.502968639636208</v>
      </c>
      <c r="AA165" s="106">
        <f>Y165+Calculation!CZ166+Calculation!AI166</f>
        <v>44.692968639636206</v>
      </c>
      <c r="AC165" s="106">
        <f>Sheet1!AA165+Sheet1!AB165+BC165</f>
        <v>52.300000000010186</v>
      </c>
      <c r="AD165" s="106">
        <f>Sheet1!AA165+Sheet1!BN165+'Calculations II'!BC165-Calculation!AI165-Calculation!CZ165</f>
        <v>52.30000000000873</v>
      </c>
      <c r="AE165" s="106">
        <f>Sheet1!AA165+Sheet1!AB165+'Calculations II'!BC165-Calculation!AI165-Calculation!CZ165</f>
        <v>52.300000000010186</v>
      </c>
      <c r="AF165" s="106">
        <f>Sheet1!AA165+Sheet1!BN165+P165+'Calculations II'!BC165+Calculation!AI165+Calculation!CZ165</f>
        <v>46.292968639647853</v>
      </c>
      <c r="AG165" s="106">
        <f>Sheet1!AA165+Sheet1!BN165+'Calculations II'!BC165+'Calculations II'!P165-Sheet1!CP165-BP165</f>
        <v>29.822968639647854</v>
      </c>
      <c r="AH165" s="106">
        <f>Sheet1!AA165+Sheet1!BN165+'Calculations II'!BC165+'Calculations II'!P165-BP165</f>
        <v>46.292968639647853</v>
      </c>
      <c r="AI165" s="106">
        <f>BC165+Sheet1!AA165+Calculation!EI165+O165+W165+Sheet1!BN165+Calculation!AI165+Calculation!CZ165-BP165</f>
        <v>46.292968639647853</v>
      </c>
      <c r="AJ165" s="106"/>
      <c r="AM165" s="102">
        <f t="shared" si="28"/>
        <v>40694</v>
      </c>
      <c r="AN165" s="106"/>
      <c r="AO165" s="106"/>
      <c r="AR165" s="106"/>
      <c r="AT165" s="101">
        <f>Sheet1!AR165*GPMtoMGD</f>
        <v>0</v>
      </c>
      <c r="AU165" s="101">
        <f>Sheet1!AS165*GPMtoMGD</f>
        <v>2.664E-2</v>
      </c>
      <c r="AV165" s="101">
        <f>Sheet1!AT165*GPMtoMGD</f>
        <v>0</v>
      </c>
      <c r="AW165" s="101">
        <f>Sheet1!AV165*GPMtoMGD</f>
        <v>0.47520000000000001</v>
      </c>
      <c r="AX165" s="101">
        <f>Sheet1!AW165*GPMtoMGD</f>
        <v>0.53351999999999999</v>
      </c>
      <c r="AY165" s="101">
        <f>Sheet1!AX165*GPMtoMGD</f>
        <v>0</v>
      </c>
      <c r="AZ165" s="101">
        <f>Sheet1!AY165*GPMtoMGD</f>
        <v>0</v>
      </c>
      <c r="BA165" s="101">
        <f>Sheet1!AZ165*GPMtoMGD</f>
        <v>0</v>
      </c>
      <c r="BB165" s="101">
        <f>Sheet1!BP165*GPMtoMGD</f>
        <v>4.8384000000000003E-2</v>
      </c>
      <c r="BC165" s="101">
        <f>Sheet1!CO165*GPMtoMGD</f>
        <v>0</v>
      </c>
      <c r="BD165" s="101">
        <f>Sheet1!BO165*GPMtoMGD</f>
        <v>1.9867680000000001</v>
      </c>
      <c r="BE165" s="101">
        <f>Sheet1!BV165*GPMtoMGD</f>
        <v>0.73224</v>
      </c>
      <c r="BF165" s="101">
        <f>Sheet1!CJ165*GPMtoMGD</f>
        <v>0.69206400000000012</v>
      </c>
      <c r="BG165" s="101">
        <f>Sheet1!CK165*GPMtoMGD</f>
        <v>0.67996800000000002</v>
      </c>
      <c r="BH165" s="101">
        <f>Sheet1!CL165*GPMtoMGD</f>
        <v>0.82065600000000005</v>
      </c>
      <c r="BI165" s="101">
        <f t="shared" si="29"/>
        <v>2.0351520000000001</v>
      </c>
      <c r="BK165" s="106">
        <f>SUM(AT165:BA165,BE165,Sheet1!BU165,'Calculations II'!BC165,Calculation!AG165)</f>
        <v>46.36760000000146</v>
      </c>
      <c r="BM165" s="439">
        <f>IF(AND(Sheet1!BQ165&lt;=11.5,Sheet1!BQ164&gt;Sheet1!BQ165),(MIN(Lookup!$C$119,VLOOKUP(Sheet1!BQ164,Lookup!$B$4:$J$236,2))-VLOOKUP(Sheet1!BQ165,Lookup!$B$4:$J$236,2))/1000000,0)</f>
        <v>0</v>
      </c>
      <c r="BN165" s="439">
        <f>IF(AND(Sheet1!BR165&lt;=11.5,Sheet1!BR164&gt;Sheet1!BR165),(MIN(Lookup!$D$119,VLOOKUP(Sheet1!BR164,Lookup!$B$4:$J$236,3))-VLOOKUP(Sheet1!BR165,Lookup!$B$4:$J$236,3))/1000000,0)</f>
        <v>0</v>
      </c>
      <c r="BP165" s="105">
        <f>SUM(BM165:BN165,W165,Sheet1!DT165)</f>
        <v>0</v>
      </c>
    </row>
    <row r="166" spans="1:86" s="101" customFormat="1">
      <c r="A166" s="101" t="s">
        <v>5</v>
      </c>
      <c r="B166" s="103">
        <v>40695</v>
      </c>
      <c r="C166" s="104">
        <v>0.33333333333357601</v>
      </c>
      <c r="E166" s="30"/>
      <c r="F166" s="30">
        <f>-(VLOOKUP(Sheet1!BZ166,Lookup!$I$4:$J$216,2)-VLOOKUP(Sheet1!BZ165,Lookup!$I$4:$J$216,2))/1000000</f>
        <v>-0.10363693854779936</v>
      </c>
      <c r="G166" s="106">
        <f>-$G$6*(Sheet1!CB166-Sheet1!CB165)*7.48/1000000</f>
        <v>0.39713501052559297</v>
      </c>
      <c r="H166" s="106">
        <f>-$H$6*(Sheet1!CA166-Sheet1!CA165)*7.48/1000000</f>
        <v>-0.64669559110439712</v>
      </c>
      <c r="I166" s="106">
        <f>-$I$6*(Sheet1!CC166-Sheet1!CC165)*7.48/1000000</f>
        <v>6.8367732026502592E-2</v>
      </c>
      <c r="J166" s="107" t="s">
        <v>193</v>
      </c>
      <c r="K166" s="106">
        <f>-$I$6*(Sheet1!CD166-Sheet1!CD165)*7.48/1000000</f>
        <v>4.4978771070067619E-2</v>
      </c>
      <c r="L166" s="107" t="s">
        <v>193</v>
      </c>
      <c r="M166" s="106">
        <f>-$M$6*(Sheet1!CE166-Sheet1!CE165)*7.48/1000000</f>
        <v>3.9979922246750753E-2</v>
      </c>
      <c r="N166" s="106">
        <f>-$N$6*(Sheet1!CF166-Sheet1!CF165)*7.48/1000000</f>
        <v>-9.9283752631398325E-2</v>
      </c>
      <c r="O166" s="106">
        <f t="shared" si="25"/>
        <v>-0.29915484641468088</v>
      </c>
      <c r="P166" s="106">
        <f>O166+Calculation!EI166</f>
        <v>-3.0016548464146808</v>
      </c>
      <c r="Q166" s="101" t="str">
        <f>IF(Sheet1!BQ166&gt;21.75,"spill elevation","-")</f>
        <v>-</v>
      </c>
      <c r="R166" s="101" t="str">
        <f>IF(Sheet1!BR166&gt;21.75,"spill elevation","-")</f>
        <v>-</v>
      </c>
      <c r="S166" s="101" t="str">
        <f>IF(Sheet1!BS166&gt;21.75,"spill elevation","-")</f>
        <v>-</v>
      </c>
      <c r="T166" s="105">
        <f>IF(Sheet1!DQ166=1,Sheet1!AA166-(SUM(AT166:BA166)+BE166),Sheet1!AA166-SUM(AT166:BA166))</f>
        <v>32.97297599999709</v>
      </c>
      <c r="U166" s="105">
        <f>Sheet1!BU166</f>
        <v>28.3</v>
      </c>
      <c r="V166" s="105">
        <f t="shared" si="26"/>
        <v>4.6729759999970888</v>
      </c>
      <c r="W166" s="105">
        <f t="shared" si="27"/>
        <v>0</v>
      </c>
      <c r="X166" s="101">
        <f>IF((Sheet1!EX166-Sheet1!EX165)&lt;0,(Sheet1!EX166+100000-Sheet1!EX165)/1000,(Sheet1!EX166-Sheet1!EX165)/1000)</f>
        <v>1.4139999999999999</v>
      </c>
      <c r="Y166" s="106">
        <f>Calculation!DZ167+Calculation!EI166+'Calculations II'!O166-'Calculations II'!W166</f>
        <v>47.318345153585028</v>
      </c>
      <c r="Z166" s="106">
        <f>Y166-Sheet1!CP167</f>
        <v>31.478345153585028</v>
      </c>
      <c r="AA166" s="106">
        <f>Y166+Calculation!CZ167+Calculation!AI167</f>
        <v>51.926418971347047</v>
      </c>
      <c r="AC166" s="106">
        <f>Sheet1!AA166+Sheet1!AB166+BC166</f>
        <v>50.69999999999709</v>
      </c>
      <c r="AD166" s="106">
        <f>Sheet1!AA166+Sheet1!BN166+'Calculations II'!BC166-Calculation!AI166-Calculation!CZ166</f>
        <v>50.499999999997087</v>
      </c>
      <c r="AE166" s="106">
        <f>Sheet1!AA166+Sheet1!AB166+'Calculations II'!BC166-Calculation!AI166-Calculation!CZ166</f>
        <v>50.69999999999709</v>
      </c>
      <c r="AF166" s="106">
        <f>Sheet1!AA166+Sheet1!BN166+P166+'Calculations II'!BC166+Calculation!AI166+Calculation!CZ166</f>
        <v>47.498345153582406</v>
      </c>
      <c r="AG166" s="106">
        <f>Sheet1!AA166+Sheet1!BN166+'Calculations II'!BC166+'Calculations II'!P166-Sheet1!CP166-BP166</f>
        <v>32.308345153582408</v>
      </c>
      <c r="AH166" s="106">
        <f>Sheet1!AA166+Sheet1!BN166+'Calculations II'!BC166+'Calculations II'!P166-BP166</f>
        <v>47.498345153582406</v>
      </c>
      <c r="AI166" s="106">
        <f>BC166+Sheet1!AA166+Calculation!EI166+O166+W166+Sheet1!BN166+Calculation!AI166+Calculation!CZ166-BP166</f>
        <v>47.498345153582406</v>
      </c>
      <c r="AJ166" s="106"/>
      <c r="AM166" s="102">
        <f t="shared" si="28"/>
        <v>40695</v>
      </c>
      <c r="AN166" s="106"/>
      <c r="AO166" s="106"/>
      <c r="AR166" s="106"/>
      <c r="AT166" s="101">
        <f>Sheet1!AR166*GPMtoMGD</f>
        <v>0</v>
      </c>
      <c r="AU166" s="101">
        <f>Sheet1!AS166*GPMtoMGD</f>
        <v>5.0832000000000002E-2</v>
      </c>
      <c r="AV166" s="101">
        <f>Sheet1!AT166*GPMtoMGD</f>
        <v>0</v>
      </c>
      <c r="AW166" s="101">
        <f>Sheet1!AV166*GPMtoMGD</f>
        <v>0.56015999999999999</v>
      </c>
      <c r="AX166" s="101">
        <f>Sheet1!AW166*GPMtoMGD</f>
        <v>0.61603200000000002</v>
      </c>
      <c r="AY166" s="101">
        <f>Sheet1!AX166*GPMtoMGD</f>
        <v>0</v>
      </c>
      <c r="AZ166" s="101">
        <f>Sheet1!AY166*GPMtoMGD</f>
        <v>0</v>
      </c>
      <c r="BA166" s="101">
        <f>Sheet1!AZ166*GPMtoMGD</f>
        <v>0</v>
      </c>
      <c r="BB166" s="101">
        <f>Sheet1!BP166*GPMtoMGD</f>
        <v>0</v>
      </c>
      <c r="BC166" s="101">
        <f>Sheet1!CO166*GPMtoMGD</f>
        <v>0</v>
      </c>
      <c r="BD166" s="101">
        <f>Sheet1!BO166*GPMtoMGD</f>
        <v>1.8423360000000002</v>
      </c>
      <c r="BE166" s="101">
        <f>Sheet1!BV166*GPMtoMGD</f>
        <v>1.0392480000000002</v>
      </c>
      <c r="BF166" s="101">
        <f>Sheet1!CJ166*GPMtoMGD</f>
        <v>0.65980800000000006</v>
      </c>
      <c r="BG166" s="101">
        <f>Sheet1!CK166*GPMtoMGD</f>
        <v>0.63504000000000005</v>
      </c>
      <c r="BH166" s="101">
        <f>Sheet1!CL166*GPMtoMGD</f>
        <v>0.82828800000000014</v>
      </c>
      <c r="BI166" s="101">
        <f t="shared" si="29"/>
        <v>1.8423360000000002</v>
      </c>
      <c r="BK166" s="106">
        <f>SUM(AT166:BA166,BE166,Sheet1!BU166,'Calculations II'!BC166,Calculation!AG166)</f>
        <v>47.066271999999998</v>
      </c>
      <c r="BM166" s="439">
        <f>IF(AND(Sheet1!BQ166&lt;=11.5,Sheet1!BQ165&gt;Sheet1!BQ166),(MIN(Lookup!$C$119,VLOOKUP(Sheet1!BQ165,Lookup!$B$4:$J$236,2))-VLOOKUP(Sheet1!BQ166,Lookup!$B$4:$J$236,2))/1000000,0)</f>
        <v>0</v>
      </c>
      <c r="BN166" s="439">
        <f>IF(AND(Sheet1!BR166&lt;=11.5,Sheet1!BR165&gt;Sheet1!BR166),(MIN(Lookup!$D$119,VLOOKUP(Sheet1!BR165,Lookup!$B$4:$J$236,3))-VLOOKUP(Sheet1!BR166,Lookup!$B$4:$J$236,3))/1000000,0)</f>
        <v>0</v>
      </c>
      <c r="BP166" s="105">
        <f>SUM(BM166:BN166,W166,Sheet1!DT166)</f>
        <v>0</v>
      </c>
    </row>
    <row r="167" spans="1:86" s="101" customFormat="1">
      <c r="A167" s="101" t="s">
        <v>6</v>
      </c>
      <c r="B167" s="103">
        <v>40696</v>
      </c>
      <c r="C167" s="104">
        <v>0.33333333333357601</v>
      </c>
      <c r="E167" s="30"/>
      <c r="F167" s="30">
        <f>-(VLOOKUP(Sheet1!BZ167,Lookup!$I$4:$J$216,2)-VLOOKUP(Sheet1!BZ166,Lookup!$I$4:$J$216,2))/1000000</f>
        <v>0.41454775419120304</v>
      </c>
      <c r="G167" s="106">
        <f>-$G$6*(Sheet1!CB167-Sheet1!CB166)*7.48/1000000</f>
        <v>0.3574215094730338</v>
      </c>
      <c r="H167" s="106">
        <f>-$H$6*(Sheet1!CA167-Sheet1!CA166)*7.48/1000000</f>
        <v>0.40606467348415598</v>
      </c>
      <c r="I167" s="106">
        <f>-$I$6*(Sheet1!CC167-Sheet1!CC166)*7.48/1000000</f>
        <v>-7.196603371210826E-2</v>
      </c>
      <c r="J167" s="107" t="s">
        <v>193</v>
      </c>
      <c r="K167" s="106">
        <f>-$I$6*(Sheet1!CD167-Sheet1!CD166)*7.48/1000000</f>
        <v>-5.7572826969686595E-2</v>
      </c>
      <c r="L167" s="107" t="s">
        <v>193</v>
      </c>
      <c r="M167" s="106">
        <f>-$M$6*(Sheet1!CE167-Sheet1!CE166)*7.48/1000000</f>
        <v>-3.9979922246750753E-2</v>
      </c>
      <c r="N167" s="106">
        <f>-$N$6*(Sheet1!CF167-Sheet1!CF166)*7.48/1000000</f>
        <v>0.35990360328881865</v>
      </c>
      <c r="O167" s="106">
        <f t="shared" si="25"/>
        <v>1.3684187575086657</v>
      </c>
      <c r="P167" s="106">
        <f>O167+Calculation!EI167</f>
        <v>2.9899187575086659</v>
      </c>
      <c r="Q167" s="101" t="str">
        <f>IF(Sheet1!BQ167&gt;21.75,"spill elevation","-")</f>
        <v>-</v>
      </c>
      <c r="R167" s="101" t="str">
        <f>IF(Sheet1!BR167&gt;21.75,"spill elevation","-")</f>
        <v>-</v>
      </c>
      <c r="S167" s="101" t="str">
        <f>IF(Sheet1!BS167&gt;21.75,"spill elevation","-")</f>
        <v>-</v>
      </c>
      <c r="T167" s="105">
        <f>IF(Sheet1!DQ167=1,Sheet1!AA167-(SUM(AT167:BA167)+BE167),Sheet1!AA167-SUM(AT167:BA167))</f>
        <v>31.565984000001166</v>
      </c>
      <c r="U167" s="105">
        <f>Sheet1!BU167</f>
        <v>30.8</v>
      </c>
      <c r="V167" s="105">
        <f t="shared" si="26"/>
        <v>0.76598400000116484</v>
      </c>
      <c r="W167" s="105">
        <f t="shared" si="27"/>
        <v>0</v>
      </c>
      <c r="X167" s="101">
        <f>IF((Sheet1!EX167-Sheet1!EX166)&lt;0,(Sheet1!EX167+100000-Sheet1!EX166)/1000,(Sheet1!EX167-Sheet1!EX166)/1000)</f>
        <v>1.2529999999999999</v>
      </c>
      <c r="Y167" s="106">
        <f>Calculation!DZ168+Calculation!EI167+'Calculations II'!O167-'Calculations II'!W167</f>
        <v>59.569918757510408</v>
      </c>
      <c r="Z167" s="106">
        <f>Y167-Sheet1!CP168</f>
        <v>43.749918757510407</v>
      </c>
      <c r="AA167" s="106">
        <f>Y167+Calculation!CZ168+Calculation!AI168</f>
        <v>68.663801404200953</v>
      </c>
      <c r="AC167" s="106">
        <f>Sheet1!AA167+Sheet1!AB167+BC167</f>
        <v>50.319999999999709</v>
      </c>
      <c r="AD167" s="106">
        <f>Sheet1!AA167+Sheet1!BN167+'Calculations II'!BC167-Calculation!AI167-Calculation!CZ167</f>
        <v>40.911926182239142</v>
      </c>
      <c r="AE167" s="106">
        <f>Sheet1!AA167+Sheet1!AB167+'Calculations II'!BC167-Calculation!AI167-Calculation!CZ167</f>
        <v>45.71192618223769</v>
      </c>
      <c r="AF167" s="106">
        <f>Sheet1!AA167+Sheet1!BN167+P167+'Calculations II'!BC167+Calculation!AI167+Calculation!CZ167</f>
        <v>53.117992575271849</v>
      </c>
      <c r="AG167" s="106">
        <f>Sheet1!AA167+Sheet1!BN167+'Calculations II'!BC167+'Calculations II'!P167-Sheet1!CP167-BP167</f>
        <v>32.669918757509834</v>
      </c>
      <c r="AH167" s="106">
        <f>Sheet1!AA167+Sheet1!BN167+'Calculations II'!BC167+'Calculations II'!P167-BP167</f>
        <v>48.50991875750983</v>
      </c>
      <c r="AI167" s="106">
        <f>BC167+Sheet1!AA167+Calculation!EI167+O167+W167+Sheet1!BN167+Calculation!AI167+Calculation!CZ167-BP167</f>
        <v>53.117992575271842</v>
      </c>
      <c r="AJ167" s="106"/>
      <c r="AM167" s="102">
        <f t="shared" si="28"/>
        <v>40696</v>
      </c>
      <c r="AN167" s="106"/>
      <c r="AO167" s="106"/>
      <c r="AR167" s="106"/>
      <c r="AT167" s="101">
        <f>Sheet1!AR167*GPMtoMGD</f>
        <v>0</v>
      </c>
      <c r="AU167" s="101">
        <f>Sheet1!AS167*GPMtoMGD</f>
        <v>2.5920000000000002E-2</v>
      </c>
      <c r="AV167" s="101">
        <f>Sheet1!AT167*GPMtoMGD</f>
        <v>0</v>
      </c>
      <c r="AW167" s="101">
        <f>Sheet1!AV167*GPMtoMGD</f>
        <v>0.54244800000000004</v>
      </c>
      <c r="AX167" s="101">
        <f>Sheet1!AW167*GPMtoMGD</f>
        <v>0.58564800000000006</v>
      </c>
      <c r="AY167" s="101">
        <f>Sheet1!AX167*GPMtoMGD</f>
        <v>0</v>
      </c>
      <c r="AZ167" s="101">
        <f>Sheet1!AY167*GPMtoMGD</f>
        <v>0</v>
      </c>
      <c r="BA167" s="101">
        <f>Sheet1!AZ167*GPMtoMGD</f>
        <v>0</v>
      </c>
      <c r="BB167" s="101">
        <f>Sheet1!BP167*GPMtoMGD</f>
        <v>0</v>
      </c>
      <c r="BC167" s="101">
        <f>Sheet1!CO167*GPMtoMGD</f>
        <v>0</v>
      </c>
      <c r="BD167" s="101">
        <f>Sheet1!BO167*GPMtoMGD</f>
        <v>2.1306240000000001</v>
      </c>
      <c r="BE167" s="101">
        <f>Sheet1!BV167*GPMtoMGD</f>
        <v>0.73166400000000009</v>
      </c>
      <c r="BF167" s="101">
        <f>Sheet1!CJ167*GPMtoMGD</f>
        <v>0.65908800000000001</v>
      </c>
      <c r="BG167" s="101">
        <f>Sheet1!CK167*GPMtoMGD</f>
        <v>0.62164799999999998</v>
      </c>
      <c r="BH167" s="101">
        <f>Sheet1!CL167*GPMtoMGD</f>
        <v>0.81907200000000002</v>
      </c>
      <c r="BI167" s="101">
        <f t="shared" si="29"/>
        <v>2.1306240000000001</v>
      </c>
      <c r="BK167" s="106">
        <f>SUM(AT167:BA167,BE167,Sheet1!BU167,'Calculations II'!BC167,Calculation!AG167)</f>
        <v>45.677606182236524</v>
      </c>
      <c r="BM167" s="439">
        <f>IF(AND(Sheet1!BQ167&lt;=11.5,Sheet1!BQ166&gt;Sheet1!BQ167),(MIN(Lookup!$C$119,VLOOKUP(Sheet1!BQ166,Lookup!$B$4:$J$236,2))-VLOOKUP(Sheet1!BQ167,Lookup!$B$4:$J$236,2))/1000000,0)</f>
        <v>0</v>
      </c>
      <c r="BN167" s="439">
        <f>IF(AND(Sheet1!BR167&lt;=11.5,Sheet1!BR166&gt;Sheet1!BR167),(MIN(Lookup!$D$119,VLOOKUP(Sheet1!BR166,Lookup!$B$4:$J$236,3))-VLOOKUP(Sheet1!BR167,Lookup!$B$4:$J$236,3))/1000000,0)</f>
        <v>0</v>
      </c>
      <c r="BP167" s="105">
        <f>SUM(BM167:BN167,W167,Sheet1!DT167)</f>
        <v>0</v>
      </c>
    </row>
    <row r="168" spans="1:86" s="101" customFormat="1">
      <c r="A168" s="101" t="s">
        <v>7</v>
      </c>
      <c r="B168" s="103">
        <v>40697</v>
      </c>
      <c r="C168" s="104">
        <v>0.33333333333357601</v>
      </c>
      <c r="E168" s="30"/>
      <c r="F168" s="30">
        <f>-(VLOOKUP(Sheet1!BZ168,Lookup!$I$4:$J$216,2)-VLOOKUP(Sheet1!BZ167,Lookup!$I$4:$J$216,2))/1000000</f>
        <v>-0.10363693854780495</v>
      </c>
      <c r="G168" s="106">
        <f>-$G$6*(Sheet1!CB168-Sheet1!CB167)*7.48/1000000</f>
        <v>-0.87369702315630493</v>
      </c>
      <c r="H168" s="106">
        <f>-$H$6*(Sheet1!CA168-Sheet1!CA167)*7.48/1000000</f>
        <v>0.36094637643036176</v>
      </c>
      <c r="I168" s="106">
        <f>-$I$6*(Sheet1!CC168-Sheet1!CC167)*7.48/1000000</f>
        <v>-0.20330404523670545</v>
      </c>
      <c r="J168" s="107" t="s">
        <v>193</v>
      </c>
      <c r="K168" s="106">
        <f>-$I$6*(Sheet1!CD168-Sheet1!CD167)*7.48/1000000</f>
        <v>-0.22129555366473247</v>
      </c>
      <c r="L168" s="107" t="s">
        <v>193</v>
      </c>
      <c r="M168" s="106">
        <f>-$M$6*(Sheet1!CE168-Sheet1!CE167)*7.48/1000000</f>
        <v>-5.9969883370125883E-2</v>
      </c>
      <c r="N168" s="106">
        <f>-$N$6*(Sheet1!CF168-Sheet1!CF167)*7.48/1000000</f>
        <v>-0.31026172697311949</v>
      </c>
      <c r="O168" s="106">
        <f t="shared" si="25"/>
        <v>-1.4112187945184314</v>
      </c>
      <c r="P168" s="106">
        <f>O168+Calculation!EI168</f>
        <v>3.7029812054815689</v>
      </c>
      <c r="Q168" s="101" t="str">
        <f>IF(Sheet1!BQ168&gt;21.75,"spill elevation","-")</f>
        <v>-</v>
      </c>
      <c r="R168" s="101" t="str">
        <f>IF(Sheet1!BR168&gt;21.75,"spill elevation","-")</f>
        <v>-</v>
      </c>
      <c r="S168" s="101" t="str">
        <f>IF(Sheet1!BS168&gt;21.75,"spill elevation","-")</f>
        <v>-</v>
      </c>
      <c r="T168" s="105">
        <f>IF(Sheet1!DQ168=1,Sheet1!AA168-(SUM(AT168:BA168)+BE168),Sheet1!AA168-SUM(AT168:BA168))</f>
        <v>30.932368000004658</v>
      </c>
      <c r="U168" s="105">
        <f>Sheet1!BU168</f>
        <v>33.299999999999997</v>
      </c>
      <c r="V168" s="105">
        <f t="shared" si="26"/>
        <v>-2.3676319999953392</v>
      </c>
      <c r="W168" s="105">
        <f t="shared" si="27"/>
        <v>0</v>
      </c>
      <c r="X168" s="101">
        <f>IF((Sheet1!EX168-Sheet1!EX167)&lt;0,(Sheet1!EX168+100000-Sheet1!EX167)/1000,(Sheet1!EX168-Sheet1!EX167)/1000)</f>
        <v>1.33</v>
      </c>
      <c r="Y168" s="106">
        <f>Calculation!DZ169+Calculation!EI168+'Calculations II'!O168-'Calculations II'!W168</f>
        <v>62.542981205470795</v>
      </c>
      <c r="Z168" s="106">
        <f>Y168-Sheet1!CP169</f>
        <v>45.932981205470796</v>
      </c>
      <c r="AA168" s="106">
        <f>Y168+Calculation!CZ169+Calculation!AI169</f>
        <v>71.87138767198401</v>
      </c>
      <c r="AC168" s="106">
        <f>Sheet1!AA168+Sheet1!AB168+BC168</f>
        <v>56.580000000001746</v>
      </c>
      <c r="AD168" s="106">
        <f>Sheet1!AA168+Sheet1!BN168+'Calculations II'!BC168-Calculation!AI168-Calculation!CZ168</f>
        <v>38.286117353314111</v>
      </c>
      <c r="AE168" s="106">
        <f>Sheet1!AA168+Sheet1!AB168+'Calculations II'!BC168-Calculation!AI168-Calculation!CZ168</f>
        <v>47.486117353311201</v>
      </c>
      <c r="AF168" s="106">
        <f>Sheet1!AA168+Sheet1!BN168+P168+'Calculations II'!BC168+Calculation!AI168+Calculation!CZ168</f>
        <v>60.176863852176766</v>
      </c>
      <c r="AG168" s="106">
        <f>Sheet1!AA168+Sheet1!BN168+'Calculations II'!BC168+'Calculations II'!P168-Sheet1!CP168-BP168</f>
        <v>35.262981205486227</v>
      </c>
      <c r="AH168" s="106">
        <f>Sheet1!AA168+Sheet1!BN168+'Calculations II'!BC168+'Calculations II'!P168-BP168</f>
        <v>51.082981205486227</v>
      </c>
      <c r="AI168" s="106">
        <f>BC168+Sheet1!AA168+Calculation!EI168+O168+W168+Sheet1!BN168+Calculation!AI168+Calculation!CZ168-BP168</f>
        <v>60.176863852176766</v>
      </c>
      <c r="AJ168" s="106"/>
      <c r="AM168" s="102">
        <f t="shared" si="28"/>
        <v>40697</v>
      </c>
      <c r="AN168" s="106"/>
      <c r="AO168" s="106"/>
      <c r="AR168" s="106"/>
      <c r="AT168" s="101">
        <f>Sheet1!AR168*GPMtoMGD</f>
        <v>0</v>
      </c>
      <c r="AU168" s="101">
        <f>Sheet1!AS168*GPMtoMGD</f>
        <v>2.6352000000000004E-2</v>
      </c>
      <c r="AV168" s="101">
        <f>Sheet1!AT168*GPMtoMGD</f>
        <v>0</v>
      </c>
      <c r="AW168" s="101">
        <f>Sheet1!AV168*GPMtoMGD</f>
        <v>0.67809600000000003</v>
      </c>
      <c r="AX168" s="101">
        <f>Sheet1!AW168*GPMtoMGD</f>
        <v>0.74318400000000007</v>
      </c>
      <c r="AY168" s="101">
        <f>Sheet1!AX168*GPMtoMGD</f>
        <v>0</v>
      </c>
      <c r="AZ168" s="101">
        <f>Sheet1!AY168*GPMtoMGD</f>
        <v>0</v>
      </c>
      <c r="BA168" s="101">
        <f>Sheet1!AZ168*GPMtoMGD</f>
        <v>0</v>
      </c>
      <c r="BB168" s="101">
        <f>Sheet1!BP168*GPMtoMGD</f>
        <v>0</v>
      </c>
      <c r="BC168" s="101">
        <f>Sheet1!CO168*GPMtoMGD</f>
        <v>0</v>
      </c>
      <c r="BD168" s="101">
        <f>Sheet1!BO168*GPMtoMGD</f>
        <v>2.4318720000000003</v>
      </c>
      <c r="BE168" s="101">
        <f>Sheet1!BV168*GPMtoMGD</f>
        <v>1.0573920000000001</v>
      </c>
      <c r="BF168" s="101">
        <f>Sheet1!CJ168*GPMtoMGD</f>
        <v>0.85737600000000003</v>
      </c>
      <c r="BG168" s="101">
        <f>Sheet1!CK168*GPMtoMGD</f>
        <v>0.72849600000000003</v>
      </c>
      <c r="BH168" s="101">
        <f>Sheet1!CL168*GPMtoMGD</f>
        <v>0.82296000000000002</v>
      </c>
      <c r="BI168" s="101">
        <f t="shared" si="29"/>
        <v>2.4318720000000003</v>
      </c>
      <c r="BK168" s="106">
        <f>SUM(AT168:BA168,BE168,Sheet1!BU168,'Calculations II'!BC168,Calculation!AG168)</f>
        <v>50.911141353306547</v>
      </c>
      <c r="BM168" s="439">
        <f>IF(AND(Sheet1!BQ168&lt;=11.5,Sheet1!BQ167&gt;Sheet1!BQ168),(MIN(Lookup!$C$119,VLOOKUP(Sheet1!BQ167,Lookup!$B$4:$J$236,2))-VLOOKUP(Sheet1!BQ168,Lookup!$B$4:$J$236,2))/1000000,0)</f>
        <v>0</v>
      </c>
      <c r="BN168" s="439">
        <f>IF(AND(Sheet1!BR168&lt;=11.5,Sheet1!BR167&gt;Sheet1!BR168),(MIN(Lookup!$D$119,VLOOKUP(Sheet1!BR167,Lookup!$B$4:$J$236,3))-VLOOKUP(Sheet1!BR168,Lookup!$B$4:$J$236,3))/1000000,0)</f>
        <v>0</v>
      </c>
      <c r="BP168" s="105">
        <f>SUM(BM168:BN168,W168,Sheet1!DT168)</f>
        <v>0</v>
      </c>
    </row>
    <row r="169" spans="1:86" s="101" customFormat="1">
      <c r="A169" s="101" t="s">
        <v>8</v>
      </c>
      <c r="B169" s="103">
        <v>40698</v>
      </c>
      <c r="C169" s="104">
        <v>0.33333333333357601</v>
      </c>
      <c r="E169" s="30"/>
      <c r="F169" s="30">
        <f>-(VLOOKUP(Sheet1!BZ169,Lookup!$I$4:$J$216,2)-VLOOKUP(Sheet1!BZ168,Lookup!$I$4:$J$216,2))/1000000</f>
        <v>0.20727387709560433</v>
      </c>
      <c r="G169" s="106">
        <f>-$G$6*(Sheet1!CB169-Sheet1!CB168)*7.48/1000000</f>
        <v>0.7426424696828593</v>
      </c>
      <c r="H169" s="106">
        <f>-$H$6*(Sheet1!CA169-Sheet1!CA168)*7.48/1000000</f>
        <v>-0.22559148526897588</v>
      </c>
      <c r="I169" s="106">
        <f>-$I$6*(Sheet1!CC169-Sheet1!CC168)*7.48/1000000</f>
        <v>5.3974525284079993E-3</v>
      </c>
      <c r="J169" s="107" t="s">
        <v>193</v>
      </c>
      <c r="K169" s="106">
        <f>-$I$6*(Sheet1!CD169-Sheet1!CD168)*7.48/1000000</f>
        <v>8.9957542140133313E-3</v>
      </c>
      <c r="L169" s="107" t="s">
        <v>193</v>
      </c>
      <c r="M169" s="106">
        <f>-$M$6*(Sheet1!CE169-Sheet1!CE168)*7.48/1000000</f>
        <v>-1.9989961123375376E-2</v>
      </c>
      <c r="N169" s="106">
        <f>-$N$6*(Sheet1!CF169-Sheet1!CF168)*7.48/1000000</f>
        <v>8.6873283552472716E-2</v>
      </c>
      <c r="O169" s="106">
        <f t="shared" si="25"/>
        <v>0.80560139068100634</v>
      </c>
      <c r="P169" s="106">
        <f>O169+Calculation!EI169</f>
        <v>5.5959013906810062</v>
      </c>
      <c r="Q169" s="101" t="str">
        <f>IF(Sheet1!BQ169&gt;21.75,"spill elevation","-")</f>
        <v>-</v>
      </c>
      <c r="R169" s="101" t="str">
        <f>IF(Sheet1!BR169&gt;21.75,"spill elevation","-")</f>
        <v>-</v>
      </c>
      <c r="S169" s="101" t="str">
        <f>IF(Sheet1!BS169&gt;21.75,"spill elevation","-")</f>
        <v>-</v>
      </c>
      <c r="T169" s="105">
        <f>IF(Sheet1!DQ169=1,Sheet1!AA169-(SUM(AT169:BA169)+BE169),Sheet1!AA169-SUM(AT169:BA169))</f>
        <v>30.369279999987775</v>
      </c>
      <c r="U169" s="105">
        <f>Sheet1!BU169</f>
        <v>32.9</v>
      </c>
      <c r="V169" s="105">
        <f t="shared" si="26"/>
        <v>-2.5307200000122236</v>
      </c>
      <c r="W169" s="105">
        <f t="shared" si="27"/>
        <v>0</v>
      </c>
      <c r="X169" s="101">
        <f>IF((Sheet1!EX169-Sheet1!EX168)&lt;0,(Sheet1!EX169+100000-Sheet1!EX168)/1000,(Sheet1!EX169-Sheet1!EX168)/1000)</f>
        <v>1.1870000000000001</v>
      </c>
      <c r="Y169" s="106">
        <f>Calculation!DZ170+Calculation!EI169+'Calculations II'!O169-'Calculations II'!W169</f>
        <v>69.695901390686828</v>
      </c>
      <c r="Z169" s="106">
        <f>Y169-Sheet1!CP170</f>
        <v>53.295901390686829</v>
      </c>
      <c r="AA169" s="106">
        <f>Y169+Calculation!CZ170+Calculation!AI170</f>
        <v>79.033421782204655</v>
      </c>
      <c r="AC169" s="106">
        <f>Sheet1!AA169+Sheet1!AB169+BC169</f>
        <v>58.839999999989232</v>
      </c>
      <c r="AD169" s="106">
        <f>Sheet1!AA169+Sheet1!BN169+'Calculations II'!BC169-Calculation!AI169-Calculation!CZ169</f>
        <v>39.911593533474559</v>
      </c>
      <c r="AE169" s="106">
        <f>Sheet1!AA169+Sheet1!AB169+'Calculations II'!BC169-Calculation!AI169-Calculation!CZ169</f>
        <v>49.511593533476017</v>
      </c>
      <c r="AF169" s="106">
        <f>Sheet1!AA169+Sheet1!BN169+P169+'Calculations II'!BC169+Calculation!AI169+Calculation!CZ169</f>
        <v>64.164307857181996</v>
      </c>
      <c r="AG169" s="106">
        <f>Sheet1!AA169+Sheet1!BN169+'Calculations II'!BC169+'Calculations II'!P169-Sheet1!CP169-BP169</f>
        <v>38.225901390668781</v>
      </c>
      <c r="AH169" s="106">
        <f>Sheet1!AA169+Sheet1!BN169+'Calculations II'!BC169+'Calculations II'!P169-BP169</f>
        <v>54.835901390668781</v>
      </c>
      <c r="AI169" s="106">
        <f>BC169+Sheet1!AA169+Calculation!EI169+O169+W169+Sheet1!BN169+Calculation!AI169+Calculation!CZ169-BP169</f>
        <v>64.164307857181996</v>
      </c>
      <c r="AJ169" s="106"/>
      <c r="AM169" s="102">
        <f t="shared" si="28"/>
        <v>40698</v>
      </c>
      <c r="AN169" s="106"/>
      <c r="AO169" s="106"/>
      <c r="AR169" s="106"/>
      <c r="AT169" s="101">
        <f>Sheet1!AR169*GPMtoMGD</f>
        <v>0</v>
      </c>
      <c r="AU169" s="101">
        <f>Sheet1!AS169*GPMtoMGD</f>
        <v>3.1536000000000002E-2</v>
      </c>
      <c r="AV169" s="101">
        <f>Sheet1!AT169*GPMtoMGD</f>
        <v>0</v>
      </c>
      <c r="AW169" s="101">
        <f>Sheet1!AV169*GPMtoMGD</f>
        <v>0.94550400000000012</v>
      </c>
      <c r="AX169" s="101">
        <f>Sheet1!AW169*GPMtoMGD</f>
        <v>1.09368</v>
      </c>
      <c r="AY169" s="101">
        <f>Sheet1!AX169*GPMtoMGD</f>
        <v>0</v>
      </c>
      <c r="AZ169" s="101">
        <f>Sheet1!AY169*GPMtoMGD</f>
        <v>0</v>
      </c>
      <c r="BA169" s="101">
        <f>Sheet1!AZ169*GPMtoMGD</f>
        <v>0</v>
      </c>
      <c r="BB169" s="101">
        <f>Sheet1!BP169*GPMtoMGD</f>
        <v>0</v>
      </c>
      <c r="BC169" s="101">
        <f>Sheet1!CO169*GPMtoMGD</f>
        <v>0</v>
      </c>
      <c r="BD169" s="101">
        <f>Sheet1!BO169*GPMtoMGD</f>
        <v>2.5973280000000001</v>
      </c>
      <c r="BE169" s="101">
        <f>Sheet1!BV169*GPMtoMGD</f>
        <v>1.1643840000000001</v>
      </c>
      <c r="BF169" s="101">
        <f>Sheet1!CJ169*GPMtoMGD</f>
        <v>0.96062400000000014</v>
      </c>
      <c r="BG169" s="101">
        <f>Sheet1!CK169*GPMtoMGD</f>
        <v>0.96724800000000011</v>
      </c>
      <c r="BH169" s="101">
        <f>Sheet1!CL169*GPMtoMGD</f>
        <v>0.81259199999999998</v>
      </c>
      <c r="BI169" s="101">
        <f t="shared" si="29"/>
        <v>2.5973280000000001</v>
      </c>
      <c r="BK169" s="106">
        <f>SUM(AT169:BA169,BE169,Sheet1!BU169,'Calculations II'!BC169,Calculation!AG169)</f>
        <v>53.206697533488239</v>
      </c>
      <c r="BM169" s="439">
        <f>IF(AND(Sheet1!BQ169&lt;=11.5,Sheet1!BQ168&gt;Sheet1!BQ169),(MIN(Lookup!$C$119,VLOOKUP(Sheet1!BQ168,Lookup!$B$4:$J$236,2))-VLOOKUP(Sheet1!BQ169,Lookup!$B$4:$J$236,2))/1000000,0)</f>
        <v>0</v>
      </c>
      <c r="BN169" s="439">
        <f>IF(AND(Sheet1!BR169&lt;=11.5,Sheet1!BR168&gt;Sheet1!BR169),(MIN(Lookup!$D$119,VLOOKUP(Sheet1!BR168,Lookup!$B$4:$J$236,3))-VLOOKUP(Sheet1!BR169,Lookup!$B$4:$J$236,3))/1000000,0)</f>
        <v>0</v>
      </c>
      <c r="BP169" s="105">
        <f>SUM(BM169:BN169,W169,Sheet1!DT169)</f>
        <v>0</v>
      </c>
      <c r="CH169" s="438"/>
    </row>
    <row r="170" spans="1:86" s="101" customFormat="1">
      <c r="A170" s="101" t="s">
        <v>9</v>
      </c>
      <c r="B170" s="103">
        <v>40699</v>
      </c>
      <c r="C170" s="104">
        <v>0.33333333333357601</v>
      </c>
      <c r="E170" s="30"/>
      <c r="F170" s="30">
        <f>-(VLOOKUP(Sheet1!BZ170,Lookup!$I$4:$J$216,2)-VLOOKUP(Sheet1!BZ169,Lookup!$I$4:$J$216,2))/1000000</f>
        <v>-0.31091081564340367</v>
      </c>
      <c r="G170" s="106">
        <f>-$G$6*(Sheet1!CB170-Sheet1!CB169)*7.48/1000000</f>
        <v>-0.82206947178797762</v>
      </c>
      <c r="H170" s="106">
        <f>-$H$6*(Sheet1!CA170-Sheet1!CA169)*7.48/1000000</f>
        <v>1.503943235126474E-2</v>
      </c>
      <c r="I170" s="106">
        <f>-$I$6*(Sheet1!CC170-Sheet1!CC169)*7.48/1000000</f>
        <v>0.34183866013251396</v>
      </c>
      <c r="J170" s="107" t="s">
        <v>193</v>
      </c>
      <c r="K170" s="106">
        <f>-$I$6*(Sheet1!CD170-Sheet1!CD169)*7.48/1000000</f>
        <v>0.35083441434652762</v>
      </c>
      <c r="L170" s="107" t="s">
        <v>193</v>
      </c>
      <c r="M170" s="106">
        <f>-$M$6*(Sheet1!CE170-Sheet1!CE169)*7.48/1000000</f>
        <v>0.15192370453765255</v>
      </c>
      <c r="N170" s="106">
        <f>-$N$6*(Sheet1!CF170-Sheet1!CF169)*7.48/1000000</f>
        <v>-0.161336098026022</v>
      </c>
      <c r="O170" s="106">
        <f t="shared" si="25"/>
        <v>-0.43468017408944426</v>
      </c>
      <c r="P170" s="106">
        <f>O170+Calculation!EI170</f>
        <v>-1.2253801740894441</v>
      </c>
      <c r="Q170" s="101" t="str">
        <f>IF(Sheet1!BQ170&gt;21.75,"spill elevation","-")</f>
        <v>-</v>
      </c>
      <c r="R170" s="101" t="str">
        <f>IF(Sheet1!BR170&gt;21.75,"spill elevation","-")</f>
        <v>-</v>
      </c>
      <c r="S170" s="101" t="str">
        <f>IF(Sheet1!BS170&gt;21.75,"spill elevation","-")</f>
        <v>-</v>
      </c>
      <c r="T170" s="105">
        <f>IF(Sheet1!DQ170=1,Sheet1!AA170-(SUM(AT170:BA170)+BE170),Sheet1!AA170-SUM(AT170:BA170))</f>
        <v>31.235152000003492</v>
      </c>
      <c r="U170" s="105">
        <f>Sheet1!BU170</f>
        <v>28.6</v>
      </c>
      <c r="V170" s="105">
        <f t="shared" si="26"/>
        <v>2.6351520000034903</v>
      </c>
      <c r="W170" s="105">
        <f t="shared" si="27"/>
        <v>0</v>
      </c>
      <c r="X170" s="101">
        <f>IF((Sheet1!EX170-Sheet1!EX169)&lt;0,(Sheet1!EX170+100000-Sheet1!EX169)/1000,(Sheet1!EX170-Sheet1!EX169)/1000)</f>
        <v>0.99</v>
      </c>
      <c r="Y170" s="106">
        <f>Calculation!DZ171+Calculation!EI170+'Calculations II'!O170-'Calculations II'!W170</f>
        <v>63.034619825905317</v>
      </c>
      <c r="Z170" s="106">
        <f>Y170-Sheet1!CP171</f>
        <v>46.004619825905316</v>
      </c>
      <c r="AA170" s="106">
        <f>Y170+Calculation!CZ171+Calculation!AI171</f>
        <v>72.372920479499385</v>
      </c>
      <c r="AC170" s="106">
        <f>Sheet1!AA170+Sheet1!AB170+BC170</f>
        <v>64.100000000005821</v>
      </c>
      <c r="AD170" s="106">
        <f>Sheet1!AA170+Sheet1!BN170+'Calculations II'!BC170-Calculation!AI170-Calculation!CZ170</f>
        <v>45.222479608485656</v>
      </c>
      <c r="AE170" s="106">
        <f>Sheet1!AA170+Sheet1!AB170+'Calculations II'!BC170-Calculation!AI170-Calculation!CZ170</f>
        <v>54.762479608487993</v>
      </c>
      <c r="AF170" s="106">
        <f>Sheet1!AA170+Sheet1!BN170+P170+'Calculations II'!BC170+Calculation!AI170+Calculation!CZ170</f>
        <v>62.672140217431874</v>
      </c>
      <c r="AG170" s="106">
        <f>Sheet1!AA170+Sheet1!BN170+'Calculations II'!BC170+'Calculations II'!P170-Sheet1!CP170-BP170</f>
        <v>36.934619825914048</v>
      </c>
      <c r="AH170" s="106">
        <f>Sheet1!AA170+Sheet1!BN170+'Calculations II'!BC170+'Calculations II'!P170-BP170</f>
        <v>53.334619825914046</v>
      </c>
      <c r="AI170" s="106">
        <f>BC170+Sheet1!AA170+Calculation!EI170+O170+W170+Sheet1!BN170+Calculation!AI170+Calculation!CZ170-BP170</f>
        <v>62.672140217431874</v>
      </c>
      <c r="AJ170" s="106"/>
      <c r="AM170" s="102">
        <f t="shared" si="28"/>
        <v>40699</v>
      </c>
      <c r="AN170" s="106"/>
      <c r="AO170" s="106"/>
      <c r="AR170" s="106"/>
      <c r="AT170" s="101">
        <f>Sheet1!AR170*GPMtoMGD</f>
        <v>0</v>
      </c>
      <c r="AU170" s="101">
        <f>Sheet1!AS170*GPMtoMGD</f>
        <v>4.8384000000000003E-2</v>
      </c>
      <c r="AV170" s="101">
        <f>Sheet1!AT170*GPMtoMGD</f>
        <v>0</v>
      </c>
      <c r="AW170" s="101">
        <f>Sheet1!AV170*GPMtoMGD</f>
        <v>0.87465599999999999</v>
      </c>
      <c r="AX170" s="101">
        <f>Sheet1!AW170*GPMtoMGD</f>
        <v>1.001808</v>
      </c>
      <c r="AY170" s="101">
        <f>Sheet1!AX170*GPMtoMGD</f>
        <v>0</v>
      </c>
      <c r="AZ170" s="101">
        <f>Sheet1!AY170*GPMtoMGD</f>
        <v>0</v>
      </c>
      <c r="BA170" s="101">
        <f>Sheet1!AZ170*GPMtoMGD</f>
        <v>0</v>
      </c>
      <c r="BB170" s="101">
        <f>Sheet1!BP170*GPMtoMGD</f>
        <v>0</v>
      </c>
      <c r="BC170" s="101">
        <f>Sheet1!CO170*GPMtoMGD</f>
        <v>0</v>
      </c>
      <c r="BD170" s="101">
        <f>Sheet1!BO170*GPMtoMGD</f>
        <v>2.2379039999999999</v>
      </c>
      <c r="BE170" s="101">
        <f>Sheet1!BV170*GPMtoMGD</f>
        <v>1.0326240000000002</v>
      </c>
      <c r="BF170" s="101">
        <f>Sheet1!CJ170*GPMtoMGD</f>
        <v>0.9381600000000001</v>
      </c>
      <c r="BG170" s="101">
        <f>Sheet1!CK170*GPMtoMGD</f>
        <v>0.97617600000000004</v>
      </c>
      <c r="BH170" s="101">
        <f>Sheet1!CL170*GPMtoMGD</f>
        <v>0.85795199999999994</v>
      </c>
      <c r="BI170" s="101">
        <f t="shared" si="29"/>
        <v>2.2379039999999999</v>
      </c>
      <c r="BK170" s="106">
        <f>SUM(AT170:BA170,BE170,Sheet1!BU170,'Calculations II'!BC170,Calculation!AG170)</f>
        <v>53.159951608484498</v>
      </c>
      <c r="BM170" s="439">
        <f>IF(AND(Sheet1!BQ170&lt;=11.5,Sheet1!BQ169&gt;Sheet1!BQ170),(MIN(Lookup!$C$119,VLOOKUP(Sheet1!BQ169,Lookup!$B$4:$J$236,2))-VLOOKUP(Sheet1!BQ170,Lookup!$B$4:$J$236,2))/1000000,0)</f>
        <v>0</v>
      </c>
      <c r="BN170" s="439">
        <f>IF(AND(Sheet1!BR170&lt;=11.5,Sheet1!BR169&gt;Sheet1!BR170),(MIN(Lookup!$D$119,VLOOKUP(Sheet1!BR169,Lookup!$B$4:$J$236,3))-VLOOKUP(Sheet1!BR170,Lookup!$B$4:$J$236,3))/1000000,0)</f>
        <v>0</v>
      </c>
      <c r="BP170" s="105">
        <f>SUM(BM170:BN170,W170,Sheet1!DT170)</f>
        <v>0</v>
      </c>
    </row>
    <row r="171" spans="1:86" s="101" customFormat="1">
      <c r="A171" s="101" t="s">
        <v>3</v>
      </c>
      <c r="B171" s="103">
        <v>40700</v>
      </c>
      <c r="C171" s="104">
        <v>0.33333333333357601</v>
      </c>
      <c r="E171" s="30"/>
      <c r="F171" s="30">
        <f>-(VLOOKUP(Sheet1!BZ171,Lookup!$I$4:$J$216,2)-VLOOKUP(Sheet1!BZ170,Lookup!$I$4:$J$216,2))/1000000</f>
        <v>0.72545856983460111</v>
      </c>
      <c r="G171" s="106">
        <f>-$G$6*(Sheet1!CB171-Sheet1!CB170)*7.48/1000000</f>
        <v>0.65130141726197199</v>
      </c>
      <c r="H171" s="106">
        <f>-$H$6*(Sheet1!CA171-Sheet1!CA170)*7.48/1000000</f>
        <v>0.36094637643036176</v>
      </c>
      <c r="I171" s="106">
        <f>-$I$6*(Sheet1!CC171-Sheet1!CC170)*7.48/1000000</f>
        <v>-0.41380469384462221</v>
      </c>
      <c r="J171" s="107" t="s">
        <v>193</v>
      </c>
      <c r="K171" s="106">
        <f>-$I$6*(Sheet1!CD171-Sheet1!CD170)*7.48/1000000</f>
        <v>-0.4317962022726492</v>
      </c>
      <c r="L171" s="107" t="s">
        <v>193</v>
      </c>
      <c r="M171" s="106">
        <f>-$M$6*(Sheet1!CE171-Sheet1!CE170)*7.48/1000000</f>
        <v>-0.1585870249121111</v>
      </c>
      <c r="N171" s="106">
        <f>-$N$6*(Sheet1!CF171-Sheet1!CF170)*7.48/1000000</f>
        <v>0.322672196052044</v>
      </c>
      <c r="O171" s="106">
        <f t="shared" si="25"/>
        <v>1.0561906385495965</v>
      </c>
      <c r="P171" s="106">
        <f>O171+Calculation!EI171</f>
        <v>-0.54160936145040339</v>
      </c>
      <c r="Q171" s="101" t="str">
        <f>IF(Sheet1!BQ171&gt;21.75,"spill elevation","-")</f>
        <v>-</v>
      </c>
      <c r="R171" s="101" t="str">
        <f>IF(Sheet1!BR171&gt;21.75,"spill elevation","-")</f>
        <v>-</v>
      </c>
      <c r="S171" s="101" t="str">
        <f>IF(Sheet1!BS171&gt;21.75,"spill elevation","-")</f>
        <v>-</v>
      </c>
      <c r="T171" s="105">
        <f>IF(Sheet1!DQ171=1,Sheet1!AA171-(SUM(AT171:BA171)+BE171),Sheet1!AA171-SUM(AT171:BA171))</f>
        <v>31.922719999997089</v>
      </c>
      <c r="U171" s="105">
        <f>Sheet1!BU171</f>
        <v>28.3</v>
      </c>
      <c r="V171" s="105">
        <f t="shared" si="26"/>
        <v>3.6227199999970878</v>
      </c>
      <c r="W171" s="105">
        <f t="shared" si="27"/>
        <v>0</v>
      </c>
      <c r="X171" s="101">
        <f>IF((Sheet1!EX171-Sheet1!EX170)&lt;0,(Sheet1!EX171+100000-Sheet1!EX170)/1000,(Sheet1!EX171-Sheet1!EX170)/1000)</f>
        <v>1.141</v>
      </c>
      <c r="Y171" s="106">
        <f>Calculation!DZ172+Calculation!EI171+'Calculations II'!O171-'Calculations II'!W171</f>
        <v>64.658390638553968</v>
      </c>
      <c r="Z171" s="106">
        <f>Y171-Sheet1!CP172</f>
        <v>47.118390638553969</v>
      </c>
      <c r="AA171" s="106">
        <f>Y171+Calculation!CZ172+Calculation!AI172</f>
        <v>73.887392521792719</v>
      </c>
      <c r="AC171" s="106">
        <f>Sheet1!AA171+Sheet1!AB171+BC171</f>
        <v>64.259999999994761</v>
      </c>
      <c r="AD171" s="106">
        <f>Sheet1!AA171+Sheet1!BN171+'Calculations II'!BC171-Calculation!AI171-Calculation!CZ171</f>
        <v>45.26169934640302</v>
      </c>
      <c r="AE171" s="106">
        <f>Sheet1!AA171+Sheet1!AB171+'Calculations II'!BC171-Calculation!AI171-Calculation!CZ171</f>
        <v>54.921699346400686</v>
      </c>
      <c r="AF171" s="106">
        <f>Sheet1!AA171+Sheet1!BN171+P171+'Calculations II'!BC171+Calculation!AI171+Calculation!CZ171</f>
        <v>63.396691292140758</v>
      </c>
      <c r="AG171" s="106">
        <f>Sheet1!AA171+Sheet1!BN171+'Calculations II'!BC171+'Calculations II'!P171-Sheet1!CP171-BP171</f>
        <v>37.028390638546682</v>
      </c>
      <c r="AH171" s="106">
        <f>Sheet1!AA171+Sheet1!BN171+'Calculations II'!BC171+'Calculations II'!P171-BP171</f>
        <v>54.058390638546683</v>
      </c>
      <c r="AI171" s="106">
        <f>BC171+Sheet1!AA171+Calculation!EI171+O171+W171+Sheet1!BN171+Calculation!AI171+Calculation!CZ171-BP171</f>
        <v>63.396691292140758</v>
      </c>
      <c r="AJ171" s="106"/>
      <c r="AM171" s="102">
        <f t="shared" si="28"/>
        <v>40700</v>
      </c>
      <c r="AN171" s="106"/>
      <c r="AO171" s="106"/>
      <c r="AR171" s="106"/>
      <c r="AT171" s="101">
        <f>Sheet1!AR171*GPMtoMGD</f>
        <v>0</v>
      </c>
      <c r="AU171" s="101">
        <f>Sheet1!AS171*GPMtoMGD</f>
        <v>2.6208000000000002E-2</v>
      </c>
      <c r="AV171" s="101">
        <f>Sheet1!AT171*GPMtoMGD</f>
        <v>0</v>
      </c>
      <c r="AW171" s="101">
        <f>Sheet1!AV171*GPMtoMGD</f>
        <v>0.59198400000000007</v>
      </c>
      <c r="AX171" s="101">
        <f>Sheet1!AW171*GPMtoMGD</f>
        <v>0.65808</v>
      </c>
      <c r="AY171" s="101">
        <f>Sheet1!AX171*GPMtoMGD</f>
        <v>1.008E-3</v>
      </c>
      <c r="AZ171" s="101">
        <f>Sheet1!AY171*GPMtoMGD</f>
        <v>0</v>
      </c>
      <c r="BA171" s="101">
        <f>Sheet1!AZ171*GPMtoMGD</f>
        <v>0</v>
      </c>
      <c r="BB171" s="101">
        <f>Sheet1!BP171*GPMtoMGD</f>
        <v>0</v>
      </c>
      <c r="BC171" s="101">
        <f>Sheet1!CO171*GPMtoMGD</f>
        <v>0</v>
      </c>
      <c r="BD171" s="101">
        <f>Sheet1!BO171*GPMtoMGD</f>
        <v>3.2109120000000004</v>
      </c>
      <c r="BE171" s="101">
        <f>Sheet1!BV171*GPMtoMGD</f>
        <v>1.0311840000000001</v>
      </c>
      <c r="BF171" s="101">
        <f>Sheet1!CJ171*GPMtoMGD</f>
        <v>0.99561600000000006</v>
      </c>
      <c r="BG171" s="101">
        <f>Sheet1!CK171*GPMtoMGD</f>
        <v>0.87105600000000005</v>
      </c>
      <c r="BH171" s="101">
        <f>Sheet1!CL171*GPMtoMGD</f>
        <v>0.89496000000000009</v>
      </c>
      <c r="BI171" s="101">
        <f t="shared" si="29"/>
        <v>3.2109120000000004</v>
      </c>
      <c r="BK171" s="106">
        <f>SUM(AT171:BA171,BE171,Sheet1!BU171,'Calculations II'!BC171,Calculation!AG171)</f>
        <v>52.330163346403602</v>
      </c>
      <c r="BM171" s="439">
        <f>IF(AND(Sheet1!BQ171&lt;=11.5,Sheet1!BQ170&gt;Sheet1!BQ171),(MIN(Lookup!$C$119,VLOOKUP(Sheet1!BQ170,Lookup!$B$4:$J$236,2))-VLOOKUP(Sheet1!BQ171,Lookup!$B$4:$J$236,2))/1000000,0)</f>
        <v>0</v>
      </c>
      <c r="BN171" s="439">
        <f>IF(AND(Sheet1!BR171&lt;=11.5,Sheet1!BR170&gt;Sheet1!BR171),(MIN(Lookup!$D$119,VLOOKUP(Sheet1!BR170,Lookup!$B$4:$J$236,3))-VLOOKUP(Sheet1!BR171,Lookup!$B$4:$J$236,3))/1000000,0)</f>
        <v>0</v>
      </c>
      <c r="BP171" s="105">
        <f>SUM(BM171:BN171,W171,Sheet1!DT171)</f>
        <v>0</v>
      </c>
    </row>
    <row r="172" spans="1:86" s="101" customFormat="1">
      <c r="A172" s="101" t="s">
        <v>4</v>
      </c>
      <c r="B172" s="103">
        <v>40701</v>
      </c>
      <c r="C172" s="104">
        <v>0.33333333333357601</v>
      </c>
      <c r="E172" s="30"/>
      <c r="F172" s="30">
        <f>-(VLOOKUP(Sheet1!BZ172,Lookup!$I$4:$J$216,2)-VLOOKUP(Sheet1!BZ171,Lookup!$I$4:$J$216,2))/1000000</f>
        <v>-0.51818469273899681</v>
      </c>
      <c r="G172" s="106">
        <f>-$G$6*(Sheet1!CB172-Sheet1!CB171)*7.48/1000000</f>
        <v>0.4408198616834087</v>
      </c>
      <c r="H172" s="106">
        <f>-$H$6*(Sheet1!CA172-Sheet1!CA171)*7.48/1000000</f>
        <v>-0.51134069994301234</v>
      </c>
      <c r="I172" s="106">
        <f>-$I$6*(Sheet1!CC172-Sheet1!CC171)*7.48/1000000</f>
        <v>0.28426583316282739</v>
      </c>
      <c r="J172" s="107" t="s">
        <v>193</v>
      </c>
      <c r="K172" s="106">
        <f>-$I$6*(Sheet1!CD172-Sheet1!CD171)*7.48/1000000</f>
        <v>0.31125309580486799</v>
      </c>
      <c r="L172" s="107" t="s">
        <v>193</v>
      </c>
      <c r="M172" s="106">
        <f>-$M$6*(Sheet1!CE172-Sheet1!CE171)*7.48/1000000</f>
        <v>8.8622160980297404E-2</v>
      </c>
      <c r="N172" s="106">
        <f>-$N$6*(Sheet1!CF172-Sheet1!CF171)*7.48/1000000</f>
        <v>-0.20477273980225894</v>
      </c>
      <c r="O172" s="106">
        <f t="shared" si="25"/>
        <v>-0.10933718085286662</v>
      </c>
      <c r="P172" s="106">
        <f>O172+Calculation!EI172</f>
        <v>-3.0444371808528663</v>
      </c>
      <c r="Q172" s="101" t="str">
        <f>IF(Sheet1!BQ172&gt;21.75,"spill elevation","-")</f>
        <v>-</v>
      </c>
      <c r="R172" s="101" t="str">
        <f>IF(Sheet1!BR172&gt;21.75,"spill elevation","-")</f>
        <v>-</v>
      </c>
      <c r="S172" s="101" t="str">
        <f>IF(Sheet1!BS172&gt;21.75,"spill elevation","-")</f>
        <v>-</v>
      </c>
      <c r="T172" s="105">
        <f>IF(Sheet1!DQ172=1,Sheet1!AA172-(SUM(AT172:BA172)+BE172),Sheet1!AA172-SUM(AT172:BA172))</f>
        <v>31.804000000005821</v>
      </c>
      <c r="U172" s="105">
        <f>Sheet1!BU172</f>
        <v>27.4</v>
      </c>
      <c r="V172" s="105">
        <f t="shared" si="26"/>
        <v>4.4040000000058228</v>
      </c>
      <c r="W172" s="105">
        <f t="shared" si="27"/>
        <v>0</v>
      </c>
      <c r="X172" s="101">
        <f>IF((Sheet1!EX172-Sheet1!EX171)&lt;0,(Sheet1!EX172+100000-Sheet1!EX171)/1000,(Sheet1!EX172-Sheet1!EX171)/1000)</f>
        <v>1.087</v>
      </c>
      <c r="Y172" s="106">
        <f>Calculation!DZ173+Calculation!EI172+'Calculations II'!O172-'Calculations II'!W172</f>
        <v>61.061178819149177</v>
      </c>
      <c r="Z172" s="106">
        <f>Y172-Sheet1!CP173</f>
        <v>43.90117881914918</v>
      </c>
      <c r="AA172" s="106">
        <f>Y172+Calculation!CZ173+Calculation!AI173</f>
        <v>70.206289640531622</v>
      </c>
      <c r="AC172" s="106">
        <f>Sheet1!AA172+Sheet1!AB172+BC172</f>
        <v>65.200000000004366</v>
      </c>
      <c r="AD172" s="106">
        <f>Sheet1!AA172+Sheet1!BN172+'Calculations II'!BC172-Calculation!AI172-Calculation!CZ172</f>
        <v>46.570998116767072</v>
      </c>
      <c r="AE172" s="106">
        <f>Sheet1!AA172+Sheet1!AB172+'Calculations II'!BC172-Calculation!AI172-Calculation!CZ172</f>
        <v>55.970998116765614</v>
      </c>
      <c r="AF172" s="106">
        <f>Sheet1!AA172+Sheet1!BN172+P172+'Calculations II'!BC172+Calculation!AI172+Calculation!CZ172</f>
        <v>61.984564702391708</v>
      </c>
      <c r="AG172" s="106">
        <f>Sheet1!AA172+Sheet1!BN172+'Calculations II'!BC172+'Calculations II'!P172-Sheet1!CP172-BP172</f>
        <v>35.215562819152957</v>
      </c>
      <c r="AH172" s="106">
        <f>Sheet1!AA172+Sheet1!BN172+'Calculations II'!BC172+'Calculations II'!P172-BP172</f>
        <v>52.755562819152956</v>
      </c>
      <c r="AI172" s="106">
        <f>BC172+Sheet1!AA172+Calculation!EI172+O172+W172+Sheet1!BN172+Calculation!AI172+Calculation!CZ172-BP172</f>
        <v>61.984564702391708</v>
      </c>
      <c r="AJ172" s="106"/>
      <c r="AM172" s="102">
        <f t="shared" si="28"/>
        <v>40701</v>
      </c>
      <c r="AN172" s="106"/>
      <c r="AO172" s="106"/>
      <c r="AR172" s="106"/>
      <c r="AT172" s="101">
        <f>Sheet1!AR172*GPMtoMGD</f>
        <v>0</v>
      </c>
      <c r="AU172" s="101">
        <f>Sheet1!AS172*GPMtoMGD</f>
        <v>2.6064000000000004E-2</v>
      </c>
      <c r="AV172" s="101">
        <f>Sheet1!AT172*GPMtoMGD</f>
        <v>0</v>
      </c>
      <c r="AW172" s="101">
        <f>Sheet1!AV172*GPMtoMGD</f>
        <v>0.59616000000000002</v>
      </c>
      <c r="AX172" s="101">
        <f>Sheet1!AW172*GPMtoMGD</f>
        <v>0.67118400000000011</v>
      </c>
      <c r="AY172" s="101">
        <f>Sheet1!AX172*GPMtoMGD</f>
        <v>2.5920000000000001E-3</v>
      </c>
      <c r="AZ172" s="101">
        <f>Sheet1!AY172*GPMtoMGD</f>
        <v>0</v>
      </c>
      <c r="BA172" s="101">
        <f>Sheet1!AZ172*GPMtoMGD</f>
        <v>0</v>
      </c>
      <c r="BB172" s="101">
        <f>Sheet1!BP172*GPMtoMGD</f>
        <v>5.0832000000000002E-2</v>
      </c>
      <c r="BC172" s="101">
        <f>Sheet1!CO172*GPMtoMGD</f>
        <v>0</v>
      </c>
      <c r="BD172" s="101">
        <f>Sheet1!BO172*GPMtoMGD</f>
        <v>1.7825760000000002</v>
      </c>
      <c r="BE172" s="101">
        <f>Sheet1!BV172*GPMtoMGD</f>
        <v>1.234944</v>
      </c>
      <c r="BF172" s="101">
        <f>Sheet1!CJ172*GPMtoMGD</f>
        <v>0.76579200000000003</v>
      </c>
      <c r="BG172" s="101">
        <f>Sheet1!CK172*GPMtoMGD</f>
        <v>0.68918400000000013</v>
      </c>
      <c r="BH172" s="101">
        <f>Sheet1!CL172*GPMtoMGD</f>
        <v>0.852912</v>
      </c>
      <c r="BI172" s="101">
        <f t="shared" si="29"/>
        <v>1.8334080000000001</v>
      </c>
      <c r="BK172" s="106">
        <f>SUM(AT172:BA172,BE172,Sheet1!BU172,'Calculations II'!BC172,Calculation!AG172)</f>
        <v>52.80194211675979</v>
      </c>
      <c r="BM172" s="439">
        <f>IF(AND(Sheet1!BQ172&lt;=11.5,Sheet1!BQ171&gt;Sheet1!BQ172),(MIN(Lookup!$C$119,VLOOKUP(Sheet1!BQ171,Lookup!$B$4:$J$236,2))-VLOOKUP(Sheet1!BQ172,Lookup!$B$4:$J$236,2))/1000000,0)</f>
        <v>0</v>
      </c>
      <c r="BN172" s="439">
        <f>IF(AND(Sheet1!BR172&lt;=11.5,Sheet1!BR171&gt;Sheet1!BR172),(MIN(Lookup!$D$119,VLOOKUP(Sheet1!BR171,Lookup!$B$4:$J$236,3))-VLOOKUP(Sheet1!BR172,Lookup!$B$4:$J$236,3))/1000000,0)</f>
        <v>0</v>
      </c>
      <c r="BP172" s="105">
        <f>SUM(BM172:BN172,W172,Sheet1!DT172)</f>
        <v>0</v>
      </c>
    </row>
    <row r="173" spans="1:86" s="101" customFormat="1">
      <c r="A173" s="101" t="s">
        <v>5</v>
      </c>
      <c r="B173" s="103">
        <v>40702</v>
      </c>
      <c r="C173" s="104">
        <v>0.33333333333357601</v>
      </c>
      <c r="E173" s="30"/>
      <c r="F173" s="30">
        <f>-(VLOOKUP(Sheet1!BZ173,Lookup!$I$4:$J$216,2)-VLOOKUP(Sheet1!BZ172,Lookup!$I$4:$J$216,2))/1000000</f>
        <v>-0.10363693854780495</v>
      </c>
      <c r="G173" s="106">
        <f>-$G$6*(Sheet1!CB173-Sheet1!CB172)*7.48/1000000</f>
        <v>-0.81809812168272178</v>
      </c>
      <c r="H173" s="106">
        <f>-$H$6*(Sheet1!CA173-Sheet1!CA172)*7.48/1000000</f>
        <v>-0.6166167264018676</v>
      </c>
      <c r="I173" s="106">
        <f>-$I$6*(Sheet1!CC173-Sheet1!CC172)*7.48/1000000</f>
        <v>0.16552187753784897</v>
      </c>
      <c r="J173" s="107" t="s">
        <v>193</v>
      </c>
      <c r="K173" s="106">
        <f>-$I$6*(Sheet1!CD173-Sheet1!CD172)*7.48/1000000</f>
        <v>0.15652612332383517</v>
      </c>
      <c r="L173" s="107" t="s">
        <v>193</v>
      </c>
      <c r="M173" s="106">
        <f>-$M$6*(Sheet1!CE173-Sheet1!CE172)*7.48/1000000</f>
        <v>7.7960848381163655E-2</v>
      </c>
      <c r="N173" s="106">
        <f>-$N$6*(Sheet1!CF173-Sheet1!CF172)*7.48/1000000</f>
        <v>-1.861570361838677E-2</v>
      </c>
      <c r="O173" s="106">
        <f t="shared" si="25"/>
        <v>-1.1569586410079333</v>
      </c>
      <c r="P173" s="106">
        <f>O173+Calculation!EI173</f>
        <v>-3.5758586410079332</v>
      </c>
      <c r="Q173" s="101" t="str">
        <f>IF(Sheet1!BQ173&gt;21.75,"spill elevation","-")</f>
        <v>-</v>
      </c>
      <c r="R173" s="101" t="str">
        <f>IF(Sheet1!BR173&gt;21.75,"spill elevation","-")</f>
        <v>-</v>
      </c>
      <c r="S173" s="101" t="str">
        <f>IF(Sheet1!BS173&gt;21.75,"spill elevation","-")</f>
        <v>-</v>
      </c>
      <c r="T173" s="105">
        <f>IF(Sheet1!DQ173=1,Sheet1!AA173-(SUM(AT173:BA173)+BE173),Sheet1!AA173-SUM(AT173:BA173))</f>
        <v>31.976576000000581</v>
      </c>
      <c r="U173" s="105">
        <f>Sheet1!BU173</f>
        <v>27.8</v>
      </c>
      <c r="V173" s="105">
        <f t="shared" si="26"/>
        <v>4.1765760000005798</v>
      </c>
      <c r="W173" s="105">
        <f t="shared" si="27"/>
        <v>0</v>
      </c>
      <c r="X173" s="101">
        <f>IF((Sheet1!EX173-Sheet1!EX172)&lt;0,(Sheet1!EX173+100000-Sheet1!EX172)/1000,(Sheet1!EX173-Sheet1!EX172)/1000)</f>
        <v>1.073</v>
      </c>
      <c r="Y173" s="106">
        <f>Calculation!DZ174+Calculation!EI173+'Calculations II'!O173-'Calculations II'!W173</f>
        <v>60.714141358985664</v>
      </c>
      <c r="Z173" s="106">
        <f>Y173-Sheet1!CP174</f>
        <v>43.984141358985667</v>
      </c>
      <c r="AA173" s="106">
        <f>Y173+Calculation!CZ174+Calculation!AI174</f>
        <v>69.910168711639528</v>
      </c>
      <c r="AC173" s="106">
        <f>Sheet1!AA173+Sheet1!AB173+BC173</f>
        <v>64.105616000002044</v>
      </c>
      <c r="AD173" s="106">
        <f>Sheet1!AA173+Sheet1!BN173+'Calculations II'!BC173-Calculation!AI173-Calculation!CZ173</f>
        <v>45.660505178618145</v>
      </c>
      <c r="AE173" s="106">
        <f>Sheet1!AA173+Sheet1!AB173+'Calculations II'!BC173-Calculation!AI173-Calculation!CZ173</f>
        <v>54.960505178619606</v>
      </c>
      <c r="AF173" s="106">
        <f>Sheet1!AA173+Sheet1!BN173+P173+'Calculations II'!BC173+Calculation!AI173+Calculation!CZ173</f>
        <v>60.374868180375088</v>
      </c>
      <c r="AG173" s="106">
        <f>Sheet1!AA173+Sheet1!BN173+'Calculations II'!BC173+'Calculations II'!P173-Sheet1!CP173-BP173</f>
        <v>34.069757358992646</v>
      </c>
      <c r="AH173" s="106">
        <f>Sheet1!AA173+Sheet1!BN173+'Calculations II'!BC173+'Calculations II'!P173-BP173</f>
        <v>51.22975735899265</v>
      </c>
      <c r="AI173" s="106">
        <f>BC173+Sheet1!AA173+Calculation!EI173+O173+W173+Sheet1!BN173+Calculation!AI173+Calculation!CZ173-BP173</f>
        <v>60.374868180375088</v>
      </c>
      <c r="AJ173" s="106"/>
      <c r="AM173" s="102">
        <f t="shared" si="28"/>
        <v>40702</v>
      </c>
      <c r="AN173" s="106"/>
      <c r="AO173" s="106"/>
      <c r="AR173" s="106"/>
      <c r="AT173" s="101">
        <f>Sheet1!AR173*GPMtoMGD</f>
        <v>0</v>
      </c>
      <c r="AU173" s="101">
        <f>Sheet1!AS173*GPMtoMGD</f>
        <v>5.0976E-2</v>
      </c>
      <c r="AV173" s="101">
        <f>Sheet1!AT173*GPMtoMGD</f>
        <v>0</v>
      </c>
      <c r="AW173" s="101">
        <f>Sheet1!AV173*GPMtoMGD</f>
        <v>0.49780800000000003</v>
      </c>
      <c r="AX173" s="101">
        <f>Sheet1!AW173*GPMtoMGD</f>
        <v>0.58449600000000002</v>
      </c>
      <c r="AY173" s="101">
        <f>Sheet1!AX173*GPMtoMGD</f>
        <v>1.44E-4</v>
      </c>
      <c r="AZ173" s="101">
        <f>Sheet1!AY173*GPMtoMGD</f>
        <v>0</v>
      </c>
      <c r="BA173" s="101">
        <f>Sheet1!AZ173*GPMtoMGD</f>
        <v>0</v>
      </c>
      <c r="BB173" s="101">
        <f>Sheet1!BP173*GPMtoMGD</f>
        <v>0</v>
      </c>
      <c r="BC173" s="101">
        <f>Sheet1!CO173*GPMtoMGD</f>
        <v>9.561600000000002E-2</v>
      </c>
      <c r="BD173" s="101">
        <f>Sheet1!BO173*GPMtoMGD</f>
        <v>1.8712800000000001</v>
      </c>
      <c r="BE173" s="101">
        <f>Sheet1!BV173*GPMtoMGD</f>
        <v>0.90417599999999998</v>
      </c>
      <c r="BF173" s="101">
        <f>Sheet1!CJ173*GPMtoMGD</f>
        <v>0.73008000000000006</v>
      </c>
      <c r="BG173" s="101">
        <f>Sheet1!CK173*GPMtoMGD</f>
        <v>0.72475200000000006</v>
      </c>
      <c r="BH173" s="101">
        <f>Sheet1!CL173*GPMtoMGD</f>
        <v>0.868896</v>
      </c>
      <c r="BI173" s="101">
        <f t="shared" si="29"/>
        <v>1.8712800000000001</v>
      </c>
      <c r="BK173" s="106">
        <f>SUM(AT173:BA173,BE173,Sheet1!BU173,'Calculations II'!BC173,Calculation!AG173)</f>
        <v>51.688105178619018</v>
      </c>
      <c r="BM173" s="439">
        <f>IF(AND(Sheet1!BQ173&lt;=11.5,Sheet1!BQ172&gt;Sheet1!BQ173),(MIN(Lookup!$C$119,VLOOKUP(Sheet1!BQ172,Lookup!$B$4:$J$236,2))-VLOOKUP(Sheet1!BQ173,Lookup!$B$4:$J$236,2))/1000000,0)</f>
        <v>0</v>
      </c>
      <c r="BN173" s="439">
        <f>IF(AND(Sheet1!BR173&lt;=11.5,Sheet1!BR172&gt;Sheet1!BR173),(MIN(Lookup!$D$119,VLOOKUP(Sheet1!BR172,Lookup!$B$4:$J$236,3))-VLOOKUP(Sheet1!BR173,Lookup!$B$4:$J$236,3))/1000000,0)</f>
        <v>0</v>
      </c>
      <c r="BP173" s="105">
        <f>SUM(BM173:BN173,W173,Sheet1!DT173)</f>
        <v>0</v>
      </c>
    </row>
    <row r="174" spans="1:86" s="101" customFormat="1">
      <c r="A174" s="101" t="s">
        <v>6</v>
      </c>
      <c r="B174" s="103">
        <v>40703</v>
      </c>
      <c r="C174" s="104">
        <v>0.33333333333357601</v>
      </c>
      <c r="E174" s="30"/>
      <c r="F174" s="30">
        <f>-(VLOOKUP(Sheet1!BZ174,Lookup!$I$4:$J$216,2)-VLOOKUP(Sheet1!BZ173,Lookup!$I$4:$J$216,2))/1000000</f>
        <v>0.10363693854780495</v>
      </c>
      <c r="G174" s="106">
        <f>-$G$6*(Sheet1!CB174-Sheet1!CB173)*7.48/1000000</f>
        <v>0.59967386589364535</v>
      </c>
      <c r="H174" s="106">
        <f>-$H$6*(Sheet1!CA174-Sheet1!CA173)*7.48/1000000</f>
        <v>0.64669559110439812</v>
      </c>
      <c r="I174" s="106">
        <f>-$I$6*(Sheet1!CC174-Sheet1!CC173)*7.48/1000000</f>
        <v>-3.5983016856054924E-3</v>
      </c>
      <c r="J174" s="107" t="s">
        <v>193</v>
      </c>
      <c r="K174" s="106">
        <f>-$I$6*(Sheet1!CD174-Sheet1!CD173)*7.48/1000000</f>
        <v>-8.9957542140136505E-3</v>
      </c>
      <c r="L174" s="107" t="s">
        <v>193</v>
      </c>
      <c r="M174" s="106">
        <f>-$M$6*(Sheet1!CE174-Sheet1!CE173)*7.48/1000000</f>
        <v>-4.6643242621209283E-3</v>
      </c>
      <c r="N174" s="106">
        <f>-$N$6*(Sheet1!CF174-Sheet1!CF173)*7.48/1000000</f>
        <v>5.5847110855161426E-2</v>
      </c>
      <c r="O174" s="106">
        <f t="shared" si="25"/>
        <v>1.38859512623927</v>
      </c>
      <c r="P174" s="106">
        <f>O174+Calculation!EI174</f>
        <v>-2.3949048737607299</v>
      </c>
      <c r="Q174" s="101" t="str">
        <f>IF(Sheet1!BQ174&gt;21.75,"spill elevation","-")</f>
        <v>-</v>
      </c>
      <c r="R174" s="101" t="str">
        <f>IF(Sheet1!BR174&gt;21.75,"spill elevation","-")</f>
        <v>-</v>
      </c>
      <c r="S174" s="101" t="str">
        <f>IF(Sheet1!BS174&gt;21.75,"spill elevation","-")</f>
        <v>-</v>
      </c>
      <c r="T174" s="105">
        <f>IF(Sheet1!DQ174=1,Sheet1!AA174-(SUM(AT174:BA174)+BE174),Sheet1!AA174-SUM(AT174:BA174))</f>
        <v>32.280271999993595</v>
      </c>
      <c r="U174" s="105">
        <f>Sheet1!BU174</f>
        <v>26.4</v>
      </c>
      <c r="V174" s="105">
        <f t="shared" si="26"/>
        <v>5.880271999993596</v>
      </c>
      <c r="W174" s="105">
        <f t="shared" si="27"/>
        <v>0</v>
      </c>
      <c r="X174" s="101">
        <f>IF((Sheet1!EX174-Sheet1!EX173)&lt;0,(Sheet1!EX174+100000-Sheet1!EX173)/1000,(Sheet1!EX174-Sheet1!EX173)/1000)</f>
        <v>1.097</v>
      </c>
      <c r="Y174" s="106">
        <f>Calculation!DZ175+Calculation!EI174+'Calculations II'!O174-'Calculations II'!W174</f>
        <v>61.855095126253815</v>
      </c>
      <c r="Z174" s="106">
        <f>Y174-Sheet1!CP175</f>
        <v>45.73509512625381</v>
      </c>
      <c r="AA174" s="106">
        <f>Y174+Calculation!CZ175+Calculation!AI175</f>
        <v>71.390293564771298</v>
      </c>
      <c r="AC174" s="106">
        <f>Sheet1!AA174+Sheet1!AB174+BC174</f>
        <v>64.289999999993597</v>
      </c>
      <c r="AD174" s="106">
        <f>Sheet1!AA174+Sheet1!BN174+'Calculations II'!BC174-Calculation!AI174-Calculation!CZ174</f>
        <v>45.693972647339741</v>
      </c>
      <c r="AE174" s="106">
        <f>Sheet1!AA174+Sheet1!AB174+'Calculations II'!BC174-Calculation!AI174-Calculation!CZ174</f>
        <v>55.09397264733974</v>
      </c>
      <c r="AF174" s="106">
        <f>Sheet1!AA174+Sheet1!BN174+P174+'Calculations II'!BC174+Calculation!AI174+Calculation!CZ174</f>
        <v>61.691122478886726</v>
      </c>
      <c r="AG174" s="106">
        <f>Sheet1!AA174+Sheet1!BN174+'Calculations II'!BC174+'Calculations II'!P174-Sheet1!CP174-BP174</f>
        <v>35.765095126232865</v>
      </c>
      <c r="AH174" s="106">
        <f>Sheet1!AA174+Sheet1!BN174+'Calculations II'!BC174+'Calculations II'!P174-BP174</f>
        <v>52.495095126232869</v>
      </c>
      <c r="AI174" s="106">
        <f>BC174+Sheet1!AA174+Calculation!EI174+O174+W174+Sheet1!BN174+Calculation!AI174+Calculation!CZ174-BP174</f>
        <v>61.691122478886726</v>
      </c>
      <c r="AJ174" s="106"/>
      <c r="AM174" s="102">
        <f t="shared" si="28"/>
        <v>40703</v>
      </c>
      <c r="AN174" s="106"/>
      <c r="AO174" s="106"/>
      <c r="AR174" s="106"/>
      <c r="AT174" s="101">
        <f>Sheet1!AR174*GPMtoMGD</f>
        <v>0</v>
      </c>
      <c r="AU174" s="101">
        <f>Sheet1!AS174*GPMtoMGD</f>
        <v>2.6495999999999999E-2</v>
      </c>
      <c r="AV174" s="101">
        <f>Sheet1!AT174*GPMtoMGD</f>
        <v>0</v>
      </c>
      <c r="AW174" s="101">
        <f>Sheet1!AV174*GPMtoMGD</f>
        <v>0.59558400000000011</v>
      </c>
      <c r="AX174" s="101">
        <f>Sheet1!AW174*GPMtoMGD</f>
        <v>0.38764799999999999</v>
      </c>
      <c r="AY174" s="101">
        <f>Sheet1!AX174*GPMtoMGD</f>
        <v>0</v>
      </c>
      <c r="AZ174" s="101">
        <f>Sheet1!AY174*GPMtoMGD</f>
        <v>0</v>
      </c>
      <c r="BA174" s="101">
        <f>Sheet1!AZ174*GPMtoMGD</f>
        <v>0</v>
      </c>
      <c r="BB174" s="101">
        <f>Sheet1!BP174*GPMtoMGD</f>
        <v>0</v>
      </c>
      <c r="BC174" s="101">
        <f>Sheet1!CO174*GPMtoMGD</f>
        <v>0</v>
      </c>
      <c r="BD174" s="101">
        <f>Sheet1!BO174*GPMtoMGD</f>
        <v>2.2878720000000001</v>
      </c>
      <c r="BE174" s="101">
        <f>Sheet1!BV174*GPMtoMGD</f>
        <v>1.0882080000000001</v>
      </c>
      <c r="BF174" s="101">
        <f>Sheet1!CJ174*GPMtoMGD</f>
        <v>0.88185599999999997</v>
      </c>
      <c r="BG174" s="101">
        <f>Sheet1!CK174*GPMtoMGD</f>
        <v>0.82555199999999995</v>
      </c>
      <c r="BH174" s="101">
        <f>Sheet1!CL174*GPMtoMGD</f>
        <v>0.86155199999999998</v>
      </c>
      <c r="BI174" s="101">
        <f t="shared" si="29"/>
        <v>2.2878720000000001</v>
      </c>
      <c r="BK174" s="106">
        <f>SUM(AT174:BA174,BE174,Sheet1!BU174,'Calculations II'!BC174,Calculation!AG174)</f>
        <v>50.301908647346139</v>
      </c>
      <c r="BM174" s="439">
        <f>IF(AND(Sheet1!BQ174&lt;=11.5,Sheet1!BQ173&gt;Sheet1!BQ174),(MIN(Lookup!$C$119,VLOOKUP(Sheet1!BQ173,Lookup!$B$4:$J$236,2))-VLOOKUP(Sheet1!BQ174,Lookup!$B$4:$J$236,2))/1000000,0)</f>
        <v>0</v>
      </c>
      <c r="BN174" s="439">
        <f>IF(AND(Sheet1!BR174&lt;=11.5,Sheet1!BR173&gt;Sheet1!BR174),(MIN(Lookup!$D$119,VLOOKUP(Sheet1!BR173,Lookup!$B$4:$J$236,3))-VLOOKUP(Sheet1!BR174,Lookup!$B$4:$J$236,3))/1000000,0)</f>
        <v>0</v>
      </c>
      <c r="BP174" s="105">
        <f>SUM(BM174:BN174,W174,Sheet1!DT174)</f>
        <v>0</v>
      </c>
    </row>
    <row r="175" spans="1:86" s="101" customFormat="1">
      <c r="A175" s="101" t="s">
        <v>7</v>
      </c>
      <c r="B175" s="103">
        <v>40704</v>
      </c>
      <c r="C175" s="104">
        <v>0.33333333333357601</v>
      </c>
      <c r="E175" s="30"/>
      <c r="F175" s="30">
        <f>-(VLOOKUP(Sheet1!BZ175,Lookup!$I$4:$J$216,2)-VLOOKUP(Sheet1!BZ174,Lookup!$I$4:$J$216,2))/1000000</f>
        <v>-0.10363693854780495</v>
      </c>
      <c r="G175" s="106">
        <f>-$G$6*(Sheet1!CB175-Sheet1!CB174)*7.48/1000000</f>
        <v>-0.59570251578838951</v>
      </c>
      <c r="H175" s="106">
        <f>-$H$6*(Sheet1!CA175-Sheet1!CA174)*7.48/1000000</f>
        <v>-0.55645899699680768</v>
      </c>
      <c r="I175" s="106">
        <f>-$I$6*(Sheet1!CC175-Sheet1!CC174)*7.48/1000000</f>
        <v>-8.6359240454529904E-2</v>
      </c>
      <c r="J175" s="107" t="s">
        <v>193</v>
      </c>
      <c r="K175" s="106">
        <f>-$I$6*(Sheet1!CD175-Sheet1!CD174)*7.48/1000000</f>
        <v>-9.8953296354148568E-2</v>
      </c>
      <c r="L175" s="107" t="s">
        <v>193</v>
      </c>
      <c r="M175" s="106">
        <f>-$M$6*(Sheet1!CE175-Sheet1!CE174)*7.48/1000000</f>
        <v>-2.8652277610171282E-2</v>
      </c>
      <c r="N175" s="106">
        <f>-$N$6*(Sheet1!CF175-Sheet1!CF174)*7.48/1000000</f>
        <v>4.9641876315699163E-2</v>
      </c>
      <c r="O175" s="106">
        <f t="shared" si="25"/>
        <v>-1.4201213894361526</v>
      </c>
      <c r="P175" s="106">
        <f>O175+Calculation!EI175</f>
        <v>-1.9639213894361527</v>
      </c>
      <c r="Q175" s="101" t="str">
        <f>IF(Sheet1!BQ175&gt;21.75,"spill elevation","-")</f>
        <v>-</v>
      </c>
      <c r="R175" s="101" t="str">
        <f>IF(Sheet1!BR175&gt;21.75,"spill elevation","-")</f>
        <v>-</v>
      </c>
      <c r="S175" s="101" t="str">
        <f>IF(Sheet1!BS175&gt;21.75,"spill elevation","-")</f>
        <v>-</v>
      </c>
      <c r="T175" s="105">
        <f>IF(Sheet1!DQ175=1,Sheet1!AA175-(SUM(AT175:BA175)+BE175),Sheet1!AA175-SUM(AT175:BA175))</f>
        <v>32.044544000011641</v>
      </c>
      <c r="U175" s="105">
        <f>Sheet1!BU175</f>
        <v>29.3</v>
      </c>
      <c r="V175" s="105">
        <f t="shared" si="26"/>
        <v>2.7445440000116399</v>
      </c>
      <c r="W175" s="105">
        <f t="shared" si="27"/>
        <v>0</v>
      </c>
      <c r="X175" s="101">
        <f>IF((Sheet1!EX175-Sheet1!EX174)&lt;0,(Sheet1!EX175+100000-Sheet1!EX174)/1000,(Sheet1!EX175-Sheet1!EX174)/1000)</f>
        <v>1.0780000000000001</v>
      </c>
      <c r="Y175" s="106">
        <f>Calculation!DZ176+Calculation!EI175+'Calculations II'!O175-'Calculations II'!W175</f>
        <v>62.386078610547841</v>
      </c>
      <c r="Z175" s="106">
        <f>Y175-Sheet1!CP176</f>
        <v>45.686078610547838</v>
      </c>
      <c r="AA175" s="106">
        <f>Y175+Calculation!CZ176+Calculation!AI176</f>
        <v>72.102473921520101</v>
      </c>
      <c r="AC175" s="106">
        <f>Sheet1!AA175+Sheet1!AB175+BC175</f>
        <v>64.250000000014552</v>
      </c>
      <c r="AD175" s="106">
        <f>Sheet1!AA175+Sheet1!BN175+'Calculations II'!BC175-Calculation!AI175-Calculation!CZ175</f>
        <v>44.964801561494156</v>
      </c>
      <c r="AE175" s="106">
        <f>Sheet1!AA175+Sheet1!AB175+'Calculations II'!BC175-Calculation!AI175-Calculation!CZ175</f>
        <v>54.714801561497069</v>
      </c>
      <c r="AF175" s="106">
        <f>Sheet1!AA175+Sheet1!BN175+P175+'Calculations II'!BC175+Calculation!AI175+Calculation!CZ175</f>
        <v>62.07127704909297</v>
      </c>
      <c r="AG175" s="106">
        <f>Sheet1!AA175+Sheet1!BN175+'Calculations II'!BC175+'Calculations II'!P175-Sheet1!CP175-BP175</f>
        <v>36.416078610575482</v>
      </c>
      <c r="AH175" s="106">
        <f>Sheet1!AA175+Sheet1!BN175+'Calculations II'!BC175+'Calculations II'!P175-BP175</f>
        <v>52.536078610575487</v>
      </c>
      <c r="AI175" s="106">
        <f>BC175+Sheet1!AA175+Calculation!EI175+O175+W175+Sheet1!BN175+Calculation!AI175+Calculation!CZ175-BP175</f>
        <v>62.07127704909297</v>
      </c>
      <c r="AJ175" s="106"/>
      <c r="AM175" s="102">
        <f t="shared" si="28"/>
        <v>40704</v>
      </c>
      <c r="AN175" s="106"/>
      <c r="AO175" s="106"/>
      <c r="AR175" s="106"/>
      <c r="AT175" s="101">
        <f>Sheet1!AR175*GPMtoMGD</f>
        <v>0</v>
      </c>
      <c r="AU175" s="101">
        <f>Sheet1!AS175*GPMtoMGD</f>
        <v>2.6208000000000002E-2</v>
      </c>
      <c r="AV175" s="101">
        <f>Sheet1!AT175*GPMtoMGD</f>
        <v>0</v>
      </c>
      <c r="AW175" s="101">
        <f>Sheet1!AV175*GPMtoMGD</f>
        <v>0.45345599999999997</v>
      </c>
      <c r="AX175" s="101">
        <f>Sheet1!AW175*GPMtoMGD</f>
        <v>0.67579200000000006</v>
      </c>
      <c r="AY175" s="101">
        <f>Sheet1!AX175*GPMtoMGD</f>
        <v>0</v>
      </c>
      <c r="AZ175" s="101">
        <f>Sheet1!AY175*GPMtoMGD</f>
        <v>0</v>
      </c>
      <c r="BA175" s="101">
        <f>Sheet1!AZ175*GPMtoMGD</f>
        <v>0</v>
      </c>
      <c r="BB175" s="101">
        <f>Sheet1!BP175*GPMtoMGD</f>
        <v>0</v>
      </c>
      <c r="BC175" s="101">
        <f>Sheet1!CO175*GPMtoMGD</f>
        <v>0</v>
      </c>
      <c r="BD175" s="101">
        <f>Sheet1!BO175*GPMtoMGD</f>
        <v>2.4744960000000003</v>
      </c>
      <c r="BE175" s="101">
        <f>Sheet1!BV175*GPMtoMGD</f>
        <v>1.0700640000000001</v>
      </c>
      <c r="BF175" s="101">
        <f>Sheet1!CJ175*GPMtoMGD</f>
        <v>0.90072000000000008</v>
      </c>
      <c r="BG175" s="101">
        <f>Sheet1!CK175*GPMtoMGD</f>
        <v>0.88459200000000004</v>
      </c>
      <c r="BH175" s="101">
        <f>Sheet1!CL175*GPMtoMGD</f>
        <v>0.87580800000000014</v>
      </c>
      <c r="BI175" s="101">
        <f t="shared" si="29"/>
        <v>2.4744960000000003</v>
      </c>
      <c r="BK175" s="106">
        <f>SUM(AT175:BA175,BE175,Sheet1!BU175,'Calculations II'!BC175,Calculation!AG175)</f>
        <v>53.040321561485428</v>
      </c>
      <c r="BM175" s="439">
        <f>IF(AND(Sheet1!BQ175&lt;=11.5,Sheet1!BQ174&gt;Sheet1!BQ175),(MIN(Lookup!$C$119,VLOOKUP(Sheet1!BQ174,Lookup!$B$4:$J$236,2))-VLOOKUP(Sheet1!BQ175,Lookup!$B$4:$J$236,2))/1000000,0)</f>
        <v>0</v>
      </c>
      <c r="BN175" s="439">
        <f>IF(AND(Sheet1!BR175&lt;=11.5,Sheet1!BR174&gt;Sheet1!BR175),(MIN(Lookup!$D$119,VLOOKUP(Sheet1!BR174,Lookup!$B$4:$J$236,3))-VLOOKUP(Sheet1!BR175,Lookup!$B$4:$J$236,3))/1000000,0)</f>
        <v>0</v>
      </c>
      <c r="BP175" s="105">
        <f>SUM(BM175:BN175,W175,Sheet1!DT175)</f>
        <v>0</v>
      </c>
    </row>
    <row r="176" spans="1:86" s="101" customFormat="1">
      <c r="A176" s="101" t="s">
        <v>8</v>
      </c>
      <c r="B176" s="103">
        <v>40705</v>
      </c>
      <c r="C176" s="104">
        <v>0.33333333333357601</v>
      </c>
      <c r="E176" s="30"/>
      <c r="F176" s="30">
        <f>-(VLOOKUP(Sheet1!BZ176,Lookup!$I$4:$J$216,2)-VLOOKUP(Sheet1!BZ175,Lookup!$I$4:$J$216,2))/1000000</f>
        <v>0.10363693854780495</v>
      </c>
      <c r="G176" s="106">
        <f>-$G$6*(Sheet1!CB176-Sheet1!CB175)*7.48/1000000</f>
        <v>0.27799450736791548</v>
      </c>
      <c r="H176" s="106">
        <f>-$H$6*(Sheet1!CA176-Sheet1!CA175)*7.48/1000000</f>
        <v>-3.0078864702529479E-2</v>
      </c>
      <c r="I176" s="106">
        <f>-$I$6*(Sheet1!CC176-Sheet1!CC175)*7.48/1000000</f>
        <v>-0.25188111799237844</v>
      </c>
      <c r="J176" s="107" t="s">
        <v>193</v>
      </c>
      <c r="K176" s="106">
        <f>-$I$6*(Sheet1!CD176-Sheet1!CD175)*7.48/1000000</f>
        <v>-0.23388960956435173</v>
      </c>
      <c r="L176" s="107" t="s">
        <v>193</v>
      </c>
      <c r="M176" s="106">
        <f>-$M$6*(Sheet1!CE176-Sheet1!CE175)*7.48/1000000</f>
        <v>-8.6623164867959568E-2</v>
      </c>
      <c r="N176" s="106">
        <f>-$N$6*(Sheet1!CF176-Sheet1!CF175)*7.48/1000000</f>
        <v>0</v>
      </c>
      <c r="O176" s="106">
        <f t="shared" si="25"/>
        <v>-0.2208413112114988</v>
      </c>
      <c r="P176" s="106">
        <f>O176+Calculation!EI176</f>
        <v>-0.76804131121149877</v>
      </c>
      <c r="Q176" s="101" t="str">
        <f>IF(Sheet1!BQ176&gt;21.75,"spill elevation","-")</f>
        <v>-</v>
      </c>
      <c r="R176" s="101" t="str">
        <f>IF(Sheet1!BR176&gt;21.75,"spill elevation","-")</f>
        <v>-</v>
      </c>
      <c r="S176" s="101" t="str">
        <f>IF(Sheet1!BS176&gt;21.75,"spill elevation","-")</f>
        <v>-</v>
      </c>
      <c r="T176" s="105">
        <f>IF(Sheet1!DQ176=1,Sheet1!AA176-(SUM(AT176:BA176)+BE176),Sheet1!AA176-SUM(AT176:BA176))</f>
        <v>31.62412799998836</v>
      </c>
      <c r="U176" s="105">
        <f>Sheet1!BU176</f>
        <v>29.2</v>
      </c>
      <c r="V176" s="105">
        <f t="shared" si="26"/>
        <v>2.4241279999883609</v>
      </c>
      <c r="W176" s="105">
        <f t="shared" si="27"/>
        <v>0</v>
      </c>
      <c r="X176" s="101">
        <f>IF((Sheet1!EX176-Sheet1!EX175)&lt;0,(Sheet1!EX176+100000-Sheet1!EX175)/1000,(Sheet1!EX176-Sheet1!EX175)/1000)</f>
        <v>1.2869999999999999</v>
      </c>
      <c r="Y176" s="106">
        <f>Calculation!DZ177+Calculation!EI176+'Calculations II'!O176-'Calculations II'!W176</f>
        <v>63.331958688801599</v>
      </c>
      <c r="Z176" s="106">
        <f>Y176-Sheet1!CP177</f>
        <v>46.771958688801604</v>
      </c>
      <c r="AA176" s="106">
        <f>Y176+Calculation!CZ177+Calculation!AI177</f>
        <v>72.966792348293239</v>
      </c>
      <c r="AC176" s="106">
        <f>Sheet1!AA176+Sheet1!AB176+BC176</f>
        <v>64.349999999983993</v>
      </c>
      <c r="AD176" s="106">
        <f>Sheet1!AA176+Sheet1!BN176+'Calculations II'!BC176-Calculation!AI176-Calculation!CZ176</f>
        <v>44.683604689016107</v>
      </c>
      <c r="AE176" s="106">
        <f>Sheet1!AA176+Sheet1!AB176+'Calculations II'!BC176-Calculation!AI176-Calculation!CZ176</f>
        <v>54.633604689011733</v>
      </c>
      <c r="AF176" s="106">
        <f>Sheet1!AA176+Sheet1!BN176+P176+'Calculations II'!BC176+Calculation!AI176+Calculation!CZ176</f>
        <v>63.348353999749122</v>
      </c>
      <c r="AG176" s="106">
        <f>Sheet1!AA176+Sheet1!BN176+'Calculations II'!BC176+'Calculations II'!P176-Sheet1!CP176-BP176</f>
        <v>36.931958688776859</v>
      </c>
      <c r="AH176" s="106">
        <f>Sheet1!AA176+Sheet1!BN176+'Calculations II'!BC176+'Calculations II'!P176-BP176</f>
        <v>53.631958688776862</v>
      </c>
      <c r="AI176" s="106">
        <f>BC176+Sheet1!AA176+Calculation!EI176+O176+W176+Sheet1!BN176+Calculation!AI176+Calculation!CZ176-BP176</f>
        <v>63.348353999749122</v>
      </c>
      <c r="AJ176" s="106"/>
      <c r="AM176" s="102">
        <f t="shared" si="28"/>
        <v>40705</v>
      </c>
      <c r="AN176" s="106"/>
      <c r="AO176" s="106"/>
      <c r="AR176" s="106"/>
      <c r="AT176" s="101">
        <f>Sheet1!AR176*GPMtoMGD</f>
        <v>0</v>
      </c>
      <c r="AU176" s="101">
        <f>Sheet1!AS176*GPMtoMGD</f>
        <v>2.7072000000000002E-2</v>
      </c>
      <c r="AV176" s="101">
        <f>Sheet1!AT176*GPMtoMGD</f>
        <v>0</v>
      </c>
      <c r="AW176" s="101">
        <f>Sheet1!AV176*GPMtoMGD</f>
        <v>0.71496000000000004</v>
      </c>
      <c r="AX176" s="101">
        <f>Sheet1!AW176*GPMtoMGD</f>
        <v>0.93384</v>
      </c>
      <c r="AY176" s="101">
        <f>Sheet1!AX176*GPMtoMGD</f>
        <v>0</v>
      </c>
      <c r="AZ176" s="101">
        <f>Sheet1!AY176*GPMtoMGD</f>
        <v>0</v>
      </c>
      <c r="BA176" s="101">
        <f>Sheet1!AZ176*GPMtoMGD</f>
        <v>0</v>
      </c>
      <c r="BB176" s="101">
        <f>Sheet1!BP176*GPMtoMGD</f>
        <v>0</v>
      </c>
      <c r="BC176" s="101">
        <f>Sheet1!CO176*GPMtoMGD</f>
        <v>0</v>
      </c>
      <c r="BD176" s="101">
        <f>Sheet1!BO176*GPMtoMGD</f>
        <v>2.992464</v>
      </c>
      <c r="BE176" s="101">
        <f>Sheet1!BV176*GPMtoMGD</f>
        <v>1.0939680000000001</v>
      </c>
      <c r="BF176" s="101">
        <f>Sheet1!CJ176*GPMtoMGD</f>
        <v>0.91771199999999997</v>
      </c>
      <c r="BG176" s="101">
        <f>Sheet1!CK176*GPMtoMGD</f>
        <v>0.9066240000000001</v>
      </c>
      <c r="BH176" s="101">
        <f>Sheet1!CL176*GPMtoMGD</f>
        <v>0.86068800000000012</v>
      </c>
      <c r="BI176" s="101">
        <f t="shared" si="29"/>
        <v>2.992464</v>
      </c>
      <c r="BK176" s="106">
        <f>SUM(AT176:BA176,BE176,Sheet1!BU176,'Calculations II'!BC176,Calculation!AG176)</f>
        <v>53.30344468902338</v>
      </c>
      <c r="BM176" s="439">
        <f>IF(AND(Sheet1!BQ176&lt;=11.5,Sheet1!BQ175&gt;Sheet1!BQ176),(MIN(Lookup!$C$119,VLOOKUP(Sheet1!BQ175,Lookup!$B$4:$J$236,2))-VLOOKUP(Sheet1!BQ176,Lookup!$B$4:$J$236,2))/1000000,0)</f>
        <v>0</v>
      </c>
      <c r="BN176" s="439">
        <f>IF(AND(Sheet1!BR176&lt;=11.5,Sheet1!BR175&gt;Sheet1!BR176),(MIN(Lookup!$D$119,VLOOKUP(Sheet1!BR175,Lookup!$B$4:$J$236,3))-VLOOKUP(Sheet1!BR176,Lookup!$B$4:$J$236,3))/1000000,0)</f>
        <v>0</v>
      </c>
      <c r="BP176" s="105">
        <f>SUM(BM176:BN176,W176,Sheet1!DT176)</f>
        <v>0</v>
      </c>
    </row>
    <row r="177" spans="1:68" s="101" customFormat="1">
      <c r="A177" s="101" t="s">
        <v>9</v>
      </c>
      <c r="B177" s="103">
        <v>40706</v>
      </c>
      <c r="C177" s="104">
        <v>0.33333333333357601</v>
      </c>
      <c r="E177" s="30"/>
      <c r="F177" s="30">
        <f>-(VLOOKUP(Sheet1!BZ177,Lookup!$I$4:$J$216,2)-VLOOKUP(Sheet1!BZ176,Lookup!$I$4:$J$216,2))/1000000</f>
        <v>0.10363693854779936</v>
      </c>
      <c r="G177" s="106">
        <f>-$G$6*(Sheet1!CB177-Sheet1!CB176)*7.48/1000000</f>
        <v>0.23828100631535562</v>
      </c>
      <c r="H177" s="106">
        <f>-$H$6*(Sheet1!CA177-Sheet1!CA176)*7.48/1000000</f>
        <v>3.0078864702529479E-2</v>
      </c>
      <c r="I177" s="106">
        <f>-$I$6*(Sheet1!CC177-Sheet1!CC176)*7.48/1000000</f>
        <v>0.16192357585224318</v>
      </c>
      <c r="J177" s="107" t="s">
        <v>193</v>
      </c>
      <c r="K177" s="106">
        <f>-$I$6*(Sheet1!CD177-Sheet1!CD176)*7.48/1000000</f>
        <v>0.1745176317518625</v>
      </c>
      <c r="L177" s="107" t="s">
        <v>193</v>
      </c>
      <c r="M177" s="106">
        <f>-$M$6*(Sheet1!CE177-Sheet1!CE176)*7.48/1000000</f>
        <v>3.997992224675051E-2</v>
      </c>
      <c r="N177" s="106">
        <f>-$N$6*(Sheet1!CF177-Sheet1!CF176)*7.48/1000000</f>
        <v>3.723140723677465E-2</v>
      </c>
      <c r="O177" s="106">
        <f t="shared" si="25"/>
        <v>0.78564934665331532</v>
      </c>
      <c r="P177" s="106">
        <f>O177+Calculation!EI177</f>
        <v>0.78564934665331532</v>
      </c>
      <c r="Q177" s="101" t="str">
        <f>IF(Sheet1!BQ177&gt;21.75,"spill elevation","-")</f>
        <v>-</v>
      </c>
      <c r="R177" s="101" t="str">
        <f>IF(Sheet1!BR177&gt;21.75,"spill elevation","-")</f>
        <v>-</v>
      </c>
      <c r="S177" s="101" t="str">
        <f>IF(Sheet1!BS177&gt;21.75,"spill elevation","-")</f>
        <v>-</v>
      </c>
      <c r="T177" s="105">
        <f>IF(Sheet1!DQ177=1,Sheet1!AA177-(SUM(AT177:BA177)+BE177),Sheet1!AA177-SUM(AT177:BA177))</f>
        <v>31.226048000011641</v>
      </c>
      <c r="U177" s="105">
        <f>Sheet1!BU177</f>
        <v>29.6</v>
      </c>
      <c r="V177" s="105">
        <f t="shared" si="26"/>
        <v>1.6260480000116395</v>
      </c>
      <c r="W177" s="105">
        <f t="shared" si="27"/>
        <v>0</v>
      </c>
      <c r="X177" s="101">
        <f>IF((Sheet1!EX177-Sheet1!EX176)&lt;0,(Sheet1!EX177+100000-Sheet1!EX176)/1000,(Sheet1!EX177-Sheet1!EX176)/1000)</f>
        <v>0.91300000000000003</v>
      </c>
      <c r="Y177" s="106">
        <f>Calculation!DZ178+Calculation!EI177+'Calculations II'!O177-'Calculations II'!W177</f>
        <v>65.685649346647494</v>
      </c>
      <c r="Z177" s="106">
        <f>Y177-Sheet1!CP178</f>
        <v>48.895649346647495</v>
      </c>
      <c r="AA177" s="106">
        <f>Y177+Calculation!CZ178+Calculation!AI178</f>
        <v>75.636740196534433</v>
      </c>
      <c r="AC177" s="106">
        <f>Sheet1!AA177+Sheet1!AB177+BC177</f>
        <v>64.100000000013097</v>
      </c>
      <c r="AD177" s="106">
        <f>Sheet1!AA177+Sheet1!BN177+'Calculations II'!BC177-Calculation!AI177-Calculation!CZ177</f>
        <v>44.665166340519995</v>
      </c>
      <c r="AE177" s="106">
        <f>Sheet1!AA177+Sheet1!AB177+'Calculations II'!BC177-Calculation!AI177-Calculation!CZ177</f>
        <v>54.465166340521449</v>
      </c>
      <c r="AF177" s="106">
        <f>Sheet1!AA177+Sheet1!BN177+P177+'Calculations II'!BC177+Calculation!AI177+Calculation!CZ177</f>
        <v>64.720483006156599</v>
      </c>
      <c r="AG177" s="106">
        <f>Sheet1!AA177+Sheet1!BN177+'Calculations II'!BC177+'Calculations II'!P177-Sheet1!CP177-BP177</f>
        <v>38.525649346664963</v>
      </c>
      <c r="AH177" s="106">
        <f>Sheet1!AA177+Sheet1!BN177+'Calculations II'!BC177+'Calculations II'!P177-BP177</f>
        <v>55.085649346664958</v>
      </c>
      <c r="AI177" s="106">
        <f>BC177+Sheet1!AA177+Calculation!EI177+O177+W177+Sheet1!BN177+Calculation!AI177+Calculation!CZ177-BP177</f>
        <v>64.720483006156599</v>
      </c>
      <c r="AJ177" s="106"/>
      <c r="AM177" s="102">
        <f t="shared" si="28"/>
        <v>40706</v>
      </c>
      <c r="AN177" s="106"/>
      <c r="AO177" s="106"/>
      <c r="AR177" s="106"/>
      <c r="AT177" s="101">
        <f>Sheet1!AR177*GPMtoMGD</f>
        <v>0</v>
      </c>
      <c r="AU177" s="101">
        <f>Sheet1!AS177*GPMtoMGD</f>
        <v>5.1552000000000001E-2</v>
      </c>
      <c r="AV177" s="101">
        <f>Sheet1!AT177*GPMtoMGD</f>
        <v>0</v>
      </c>
      <c r="AW177" s="101">
        <f>Sheet1!AV177*GPMtoMGD</f>
        <v>0.9303840000000001</v>
      </c>
      <c r="AX177" s="101">
        <f>Sheet1!AW177*GPMtoMGD</f>
        <v>0.99187199999999998</v>
      </c>
      <c r="AY177" s="101">
        <f>Sheet1!AX177*GPMtoMGD</f>
        <v>1.44E-4</v>
      </c>
      <c r="AZ177" s="101">
        <f>Sheet1!AY177*GPMtoMGD</f>
        <v>0</v>
      </c>
      <c r="BA177" s="101">
        <f>Sheet1!AZ177*GPMtoMGD</f>
        <v>0</v>
      </c>
      <c r="BB177" s="101">
        <f>Sheet1!BP177*GPMtoMGD</f>
        <v>0</v>
      </c>
      <c r="BC177" s="101">
        <f>Sheet1!CO177*GPMtoMGD</f>
        <v>0</v>
      </c>
      <c r="BD177" s="101">
        <f>Sheet1!BO177*GPMtoMGD</f>
        <v>2.652768</v>
      </c>
      <c r="BE177" s="101">
        <f>Sheet1!BV177*GPMtoMGD</f>
        <v>1.1532960000000001</v>
      </c>
      <c r="BF177" s="101">
        <f>Sheet1!CJ177*GPMtoMGD</f>
        <v>1.022688</v>
      </c>
      <c r="BG177" s="101">
        <f>Sheet1!CK177*GPMtoMGD</f>
        <v>1.010016</v>
      </c>
      <c r="BH177" s="101">
        <f>Sheet1!CL177*GPMtoMGD</f>
        <v>0.86025600000000002</v>
      </c>
      <c r="BI177" s="101">
        <f t="shared" si="29"/>
        <v>2.652768</v>
      </c>
      <c r="BK177" s="106">
        <f>SUM(AT177:BA177,BE177,Sheet1!BU177,'Calculations II'!BC177,Calculation!AG177)</f>
        <v>53.992414340509811</v>
      </c>
      <c r="BM177" s="439">
        <f>IF(AND(Sheet1!BQ177&lt;=11.5,Sheet1!BQ176&gt;Sheet1!BQ177),(MIN(Lookup!$C$119,VLOOKUP(Sheet1!BQ176,Lookup!$B$4:$J$236,2))-VLOOKUP(Sheet1!BQ177,Lookup!$B$4:$J$236,2))/1000000,0)</f>
        <v>0</v>
      </c>
      <c r="BN177" s="439">
        <f>IF(AND(Sheet1!BR177&lt;=11.5,Sheet1!BR176&gt;Sheet1!BR177),(MIN(Lookup!$D$119,VLOOKUP(Sheet1!BR176,Lookup!$B$4:$J$236,3))-VLOOKUP(Sheet1!BR177,Lookup!$B$4:$J$236,3))/1000000,0)</f>
        <v>0</v>
      </c>
      <c r="BP177" s="105">
        <f>SUM(BM177:BN177,W177,Sheet1!DT177)</f>
        <v>0</v>
      </c>
    </row>
    <row r="178" spans="1:68" s="101" customFormat="1">
      <c r="A178" s="101" t="s">
        <v>3</v>
      </c>
      <c r="B178" s="103">
        <v>40707</v>
      </c>
      <c r="C178" s="104">
        <v>0.33333333333357601</v>
      </c>
      <c r="E178" s="30"/>
      <c r="F178" s="30">
        <f>-(VLOOKUP(Sheet1!BZ178,Lookup!$I$4:$J$216,2)-VLOOKUP(Sheet1!BZ177,Lookup!$I$4:$J$216,2))/1000000</f>
        <v>0</v>
      </c>
      <c r="G178" s="106">
        <f>-$G$6*(Sheet1!CB178-Sheet1!CB177)*7.48/1000000</f>
        <v>0</v>
      </c>
      <c r="H178" s="106">
        <f>-$H$6*(Sheet1!CA178-Sheet1!CA177)*7.48/1000000</f>
        <v>0</v>
      </c>
      <c r="I178" s="106">
        <f>-$I$6*(Sheet1!CC178-Sheet1!CC177)*7.48/1000000</f>
        <v>0</v>
      </c>
      <c r="J178" s="107" t="s">
        <v>193</v>
      </c>
      <c r="K178" s="106">
        <f>-$I$6*(Sheet1!CD178-Sheet1!CD177)*7.48/1000000</f>
        <v>5.3974525284079993E-3</v>
      </c>
      <c r="L178" s="107" t="s">
        <v>193</v>
      </c>
      <c r="M178" s="106">
        <f>-$M$6*(Sheet1!CE178-Sheet1!CE177)*7.48/1000000</f>
        <v>0</v>
      </c>
      <c r="N178" s="106">
        <f>-$N$6*(Sheet1!CF178-Sheet1!CF177)*7.48/1000000</f>
        <v>1.861570361838677E-2</v>
      </c>
      <c r="O178" s="106">
        <f t="shared" si="25"/>
        <v>2.4013156146794768E-2</v>
      </c>
      <c r="P178" s="106">
        <f>O178+Calculation!EI178</f>
        <v>2.4013156146794768E-2</v>
      </c>
      <c r="Q178" s="101" t="str">
        <f>IF(Sheet1!BQ178&gt;21.75,"spill elevation","-")</f>
        <v>-</v>
      </c>
      <c r="R178" s="101" t="str">
        <f>IF(Sheet1!BR178&gt;21.75,"spill elevation","-")</f>
        <v>-</v>
      </c>
      <c r="S178" s="101" t="str">
        <f>IF(Sheet1!BS178&gt;21.75,"spill elevation","-")</f>
        <v>-</v>
      </c>
      <c r="T178" s="105">
        <f>IF(Sheet1!DQ178=1,Sheet1!AA178-(SUM(AT178:BA178)+BE178),Sheet1!AA178-SUM(AT178:BA178))</f>
        <v>31.827759999991269</v>
      </c>
      <c r="U178" s="105">
        <f>Sheet1!BU178</f>
        <v>29.7</v>
      </c>
      <c r="V178" s="105">
        <f t="shared" si="26"/>
        <v>2.1277599999912695</v>
      </c>
      <c r="W178" s="105">
        <f t="shared" si="27"/>
        <v>0</v>
      </c>
      <c r="X178" s="101">
        <f>IF((Sheet1!EX178-Sheet1!EX177)&lt;0,(Sheet1!EX178+100000-Sheet1!EX177)/1000,(Sheet1!EX178-Sheet1!EX177)/1000)</f>
        <v>1.081</v>
      </c>
      <c r="Y178" s="106">
        <f>Calculation!DZ179+Calculation!EI178+'Calculations II'!O178-'Calculations II'!W178</f>
        <v>63.214013156149122</v>
      </c>
      <c r="Z178" s="106">
        <f>Y178-Sheet1!CP179</f>
        <v>46.704013156149117</v>
      </c>
      <c r="AA178" s="106">
        <f>Y178+Calculation!CZ179+Calculation!AI179</f>
        <v>72.568220592548343</v>
      </c>
      <c r="AC178" s="106">
        <f>Sheet1!AA178+Sheet1!AB178+BC178</f>
        <v>64.899999999994179</v>
      </c>
      <c r="AD178" s="106">
        <f>Sheet1!AA178+Sheet1!BN178+'Calculations II'!BC178-Calculation!AI178-Calculation!CZ178</f>
        <v>44.248909150104332</v>
      </c>
      <c r="AE178" s="106">
        <f>Sheet1!AA178+Sheet1!AB178+'Calculations II'!BC178-Calculation!AI178-Calculation!CZ178</f>
        <v>54.948909150107241</v>
      </c>
      <c r="AF178" s="106">
        <f>Sheet1!AA178+Sheet1!BN178+P178+'Calculations II'!BC178+Calculation!AI178+Calculation!CZ178</f>
        <v>64.175104006025009</v>
      </c>
      <c r="AG178" s="106">
        <f>Sheet1!AA178+Sheet1!BN178+'Calculations II'!BC178+'Calculations II'!P178-Sheet1!CP178-BP178</f>
        <v>37.434013156138064</v>
      </c>
      <c r="AH178" s="106">
        <f>Sheet1!AA178+Sheet1!BN178+'Calculations II'!BC178+'Calculations II'!P178-BP178</f>
        <v>54.224013156138064</v>
      </c>
      <c r="AI178" s="106">
        <f>BC178+Sheet1!AA178+Calculation!EI178+O178+W178+Sheet1!BN178+Calculation!AI178+Calculation!CZ178-BP178</f>
        <v>64.175104006025009</v>
      </c>
      <c r="AJ178" s="106"/>
      <c r="AM178" s="102">
        <f t="shared" si="28"/>
        <v>40707</v>
      </c>
      <c r="AN178" s="106"/>
      <c r="AO178" s="106"/>
      <c r="AR178" s="106"/>
      <c r="AT178" s="101">
        <f>Sheet1!AR178*GPMtoMGD</f>
        <v>0</v>
      </c>
      <c r="AU178" s="101">
        <f>Sheet1!AS178*GPMtoMGD</f>
        <v>2.5920000000000002E-2</v>
      </c>
      <c r="AV178" s="101">
        <f>Sheet1!AT178*GPMtoMGD</f>
        <v>0</v>
      </c>
      <c r="AW178" s="101">
        <f>Sheet1!AV178*GPMtoMGD</f>
        <v>0.58204800000000001</v>
      </c>
      <c r="AX178" s="101">
        <f>Sheet1!AW178*GPMtoMGD</f>
        <v>0.66427200000000008</v>
      </c>
      <c r="AY178" s="101">
        <f>Sheet1!AX178*GPMtoMGD</f>
        <v>0</v>
      </c>
      <c r="AZ178" s="101">
        <f>Sheet1!AY178*GPMtoMGD</f>
        <v>0</v>
      </c>
      <c r="BA178" s="101">
        <f>Sheet1!AZ178*GPMtoMGD</f>
        <v>0</v>
      </c>
      <c r="BB178" s="101">
        <f>Sheet1!BP178*GPMtoMGD</f>
        <v>0</v>
      </c>
      <c r="BC178" s="101">
        <f>Sheet1!CO178*GPMtoMGD</f>
        <v>0</v>
      </c>
      <c r="BD178" s="101">
        <f>Sheet1!BO178*GPMtoMGD</f>
        <v>2.3529599999999999</v>
      </c>
      <c r="BE178" s="101">
        <f>Sheet1!BV178*GPMtoMGD</f>
        <v>0.39470400000000005</v>
      </c>
      <c r="BF178" s="101">
        <f>Sheet1!CJ178*GPMtoMGD</f>
        <v>0.9144000000000001</v>
      </c>
      <c r="BG178" s="101">
        <f>Sheet1!CK178*GPMtoMGD</f>
        <v>0.86688000000000009</v>
      </c>
      <c r="BH178" s="101">
        <f>Sheet1!CL178*GPMtoMGD</f>
        <v>0.90360000000000007</v>
      </c>
      <c r="BI178" s="101">
        <f t="shared" si="29"/>
        <v>2.3529599999999999</v>
      </c>
      <c r="BK178" s="106">
        <f>SUM(AT178:BA178,BE178,Sheet1!BU178,'Calculations II'!BC178,Calculation!AG178)</f>
        <v>53.215853150115969</v>
      </c>
      <c r="BM178" s="439">
        <f>IF(AND(Sheet1!BQ178&lt;=11.5,Sheet1!BQ177&gt;Sheet1!BQ178),(MIN(Lookup!$C$119,VLOOKUP(Sheet1!BQ177,Lookup!$B$4:$J$236,2))-VLOOKUP(Sheet1!BQ178,Lookup!$B$4:$J$236,2))/1000000,0)</f>
        <v>0</v>
      </c>
      <c r="BN178" s="439">
        <f>IF(AND(Sheet1!BR178&lt;=11.5,Sheet1!BR177&gt;Sheet1!BR178),(MIN(Lookup!$D$119,VLOOKUP(Sheet1!BR177,Lookup!$B$4:$J$236,3))-VLOOKUP(Sheet1!BR178,Lookup!$B$4:$J$236,3))/1000000,0)</f>
        <v>0</v>
      </c>
      <c r="BP178" s="105">
        <f>SUM(BM178:BN178,W178,Sheet1!DT178)</f>
        <v>0</v>
      </c>
    </row>
    <row r="179" spans="1:68" s="101" customFormat="1">
      <c r="A179" s="101" t="s">
        <v>4</v>
      </c>
      <c r="B179" s="103">
        <v>40708</v>
      </c>
      <c r="C179" s="104">
        <v>0.33333333333357601</v>
      </c>
      <c r="E179" s="30"/>
      <c r="F179" s="30">
        <f>-(VLOOKUP(Sheet1!BZ179,Lookup!$I$4:$J$216,2)-VLOOKUP(Sheet1!BZ178,Lookup!$I$4:$J$216,2))/1000000</f>
        <v>-0.10363693854779936</v>
      </c>
      <c r="G179" s="106">
        <f>-$G$6*(Sheet1!CB179-Sheet1!CB178)*7.48/1000000</f>
        <v>-0.5559890147358304</v>
      </c>
      <c r="H179" s="106">
        <f>-$H$6*(Sheet1!CA179-Sheet1!CA178)*7.48/1000000</f>
        <v>0.24063091762024114</v>
      </c>
      <c r="I179" s="106">
        <f>-$I$6*(Sheet1!CC179-Sheet1!CC178)*7.48/1000000</f>
        <v>3.5983016856054283E-2</v>
      </c>
      <c r="J179" s="107" t="s">
        <v>193</v>
      </c>
      <c r="K179" s="106">
        <f>-$I$6*(Sheet1!CD179-Sheet1!CD178)*7.48/1000000</f>
        <v>0</v>
      </c>
      <c r="L179" s="107" t="s">
        <v>193</v>
      </c>
      <c r="M179" s="106">
        <f>-$M$6*(Sheet1!CE179-Sheet1!CE178)*7.48/1000000</f>
        <v>1.3326640748916837E-2</v>
      </c>
      <c r="N179" s="106">
        <f>-$N$6*(Sheet1!CF179-Sheet1!CF178)*7.48/1000000</f>
        <v>-0.18615703618387103</v>
      </c>
      <c r="O179" s="106">
        <f t="shared" si="25"/>
        <v>-0.55584241424228853</v>
      </c>
      <c r="P179" s="106">
        <f>O179+Calculation!EI179</f>
        <v>-1.1030424142422883</v>
      </c>
      <c r="Q179" s="101" t="str">
        <f>IF(Sheet1!BQ179&gt;21.75,"spill elevation","-")</f>
        <v>-</v>
      </c>
      <c r="R179" s="101" t="str">
        <f>IF(Sheet1!BR179&gt;21.75,"spill elevation","-")</f>
        <v>-</v>
      </c>
      <c r="S179" s="101" t="str">
        <f>IF(Sheet1!BS179&gt;21.75,"spill elevation","-")</f>
        <v>-</v>
      </c>
      <c r="T179" s="105">
        <f>IF(Sheet1!DQ179=1,Sheet1!AA179-(SUM(AT179:BA179)+BE179),Sheet1!AA179-SUM(AT179:BA179))</f>
        <v>31.931008000002329</v>
      </c>
      <c r="U179" s="105">
        <f>Sheet1!BU179</f>
        <v>28.7</v>
      </c>
      <c r="V179" s="105">
        <f t="shared" si="26"/>
        <v>3.2310080000023298</v>
      </c>
      <c r="W179" s="105">
        <f t="shared" si="27"/>
        <v>0</v>
      </c>
      <c r="X179" s="101">
        <f>IF((Sheet1!EX179-Sheet1!EX178)&lt;0,(Sheet1!EX179+100000-Sheet1!EX178)/1000,(Sheet1!EX179-Sheet1!EX178)/1000)</f>
        <v>1.056</v>
      </c>
      <c r="Y179" s="106">
        <f>Calculation!DZ180+Calculation!EI179+'Calculations II'!O179-'Calculations II'!W179</f>
        <v>62.017619985764121</v>
      </c>
      <c r="Z179" s="106">
        <f>Y179-Sheet1!CP180</f>
        <v>44.997619985764118</v>
      </c>
      <c r="AA179" s="106">
        <f>Y179+Calculation!CZ180+Calculation!AI180</f>
        <v>71.673446335076889</v>
      </c>
      <c r="AC179" s="106">
        <f>Sheet1!AA179+Sheet1!AB179+BC179</f>
        <v>63.190000000002328</v>
      </c>
      <c r="AD179" s="106">
        <f>Sheet1!AA179+Sheet1!BN179+'Calculations II'!BC179-Calculation!AI179-Calculation!CZ179</f>
        <v>44.935792563603115</v>
      </c>
      <c r="AE179" s="106">
        <f>Sheet1!AA179+Sheet1!AB179+'Calculations II'!BC179-Calculation!AI179-Calculation!CZ179</f>
        <v>53.835792563603114</v>
      </c>
      <c r="AF179" s="106">
        <f>Sheet1!AA179+Sheet1!BN179+P179+'Calculations II'!BC179+Calculation!AI179+Calculation!CZ179</f>
        <v>62.541165022159255</v>
      </c>
      <c r="AG179" s="106">
        <f>Sheet1!AA179+Sheet1!BN179+'Calculations II'!BC179+'Calculations II'!P179-Sheet1!CP179-BP179</f>
        <v>36.676957585760036</v>
      </c>
      <c r="AH179" s="106">
        <f>Sheet1!AA179+Sheet1!BN179+'Calculations II'!BC179+'Calculations II'!P179-BP179</f>
        <v>53.186957585760041</v>
      </c>
      <c r="AI179" s="106">
        <f>BC179+Sheet1!AA179+Calculation!EI179+O179+W179+Sheet1!BN179+Calculation!AI179+Calculation!CZ179-BP179</f>
        <v>62.541165022159262</v>
      </c>
      <c r="AJ179" s="106"/>
      <c r="AM179" s="102">
        <f t="shared" si="28"/>
        <v>40708</v>
      </c>
      <c r="AN179" s="106"/>
      <c r="AO179" s="106"/>
      <c r="AR179" s="106"/>
      <c r="AT179" s="101">
        <f>Sheet1!AR179*GPMtoMGD</f>
        <v>0</v>
      </c>
      <c r="AU179" s="101">
        <f>Sheet1!AS179*GPMtoMGD</f>
        <v>2.5920000000000002E-2</v>
      </c>
      <c r="AV179" s="101">
        <f>Sheet1!AT179*GPMtoMGD</f>
        <v>0</v>
      </c>
      <c r="AW179" s="101">
        <f>Sheet1!AV179*GPMtoMGD</f>
        <v>0.56865600000000005</v>
      </c>
      <c r="AX179" s="101">
        <f>Sheet1!AW179*GPMtoMGD</f>
        <v>0.66254400000000002</v>
      </c>
      <c r="AY179" s="101">
        <f>Sheet1!AX179*GPMtoMGD</f>
        <v>1.8720000000000002E-3</v>
      </c>
      <c r="AZ179" s="101">
        <f>Sheet1!AY179*GPMtoMGD</f>
        <v>0</v>
      </c>
      <c r="BA179" s="101">
        <f>Sheet1!AZ179*GPMtoMGD</f>
        <v>0</v>
      </c>
      <c r="BB179" s="101">
        <f>Sheet1!BP179*GPMtoMGD</f>
        <v>0</v>
      </c>
      <c r="BC179" s="101">
        <f>Sheet1!CO179*GPMtoMGD</f>
        <v>0</v>
      </c>
      <c r="BD179" s="101">
        <f>Sheet1!BO179*GPMtoMGD</f>
        <v>2.3212800000000002</v>
      </c>
      <c r="BE179" s="101">
        <f>Sheet1!BV179*GPMtoMGD</f>
        <v>0.67708800000000002</v>
      </c>
      <c r="BF179" s="101">
        <f>Sheet1!CJ179*GPMtoMGD</f>
        <v>0.94089600000000007</v>
      </c>
      <c r="BG179" s="101">
        <f>Sheet1!CK179*GPMtoMGD</f>
        <v>0.79070400000000007</v>
      </c>
      <c r="BH179" s="101">
        <f>Sheet1!CL179*GPMtoMGD</f>
        <v>0.86328000000000005</v>
      </c>
      <c r="BI179" s="101">
        <f t="shared" si="29"/>
        <v>2.3212800000000002</v>
      </c>
      <c r="BK179" s="106">
        <f>SUM(AT179:BA179,BE179,Sheet1!BU179,'Calculations II'!BC179,Calculation!AG179)</f>
        <v>51.281872563600785</v>
      </c>
      <c r="BM179" s="439">
        <f>IF(AND(Sheet1!BQ179&lt;=11.5,Sheet1!BQ178&gt;Sheet1!BQ179),(MIN(Lookup!$C$119,VLOOKUP(Sheet1!BQ178,Lookup!$B$4:$J$236,2))-VLOOKUP(Sheet1!BQ179,Lookup!$B$4:$J$236,2))/1000000,0)</f>
        <v>0</v>
      </c>
      <c r="BN179" s="439">
        <f>IF(AND(Sheet1!BR179&lt;=11.5,Sheet1!BR178&gt;Sheet1!BR179),(MIN(Lookup!$D$119,VLOOKUP(Sheet1!BR178,Lookup!$B$4:$J$236,3))-VLOOKUP(Sheet1!BR179,Lookup!$B$4:$J$236,3))/1000000,0)</f>
        <v>0</v>
      </c>
      <c r="BP179" s="105">
        <f>SUM(BM179:BN179,W179,Sheet1!DT179)</f>
        <v>0</v>
      </c>
    </row>
    <row r="180" spans="1:68" s="101" customFormat="1">
      <c r="A180" s="101" t="s">
        <v>5</v>
      </c>
      <c r="B180" s="103">
        <v>40709</v>
      </c>
      <c r="C180" s="104">
        <v>0.33333333333357601</v>
      </c>
      <c r="E180" s="30"/>
      <c r="F180" s="30">
        <f>-(VLOOKUP(Sheet1!BZ180,Lookup!$I$4:$J$216,2)-VLOOKUP(Sheet1!BZ179,Lookup!$I$4:$J$216,2))/1000000</f>
        <v>-0.41454775419120304</v>
      </c>
      <c r="G180" s="106">
        <f>-$G$6*(Sheet1!CB180-Sheet1!CB179)*7.48/1000000</f>
        <v>0.15885400421023735</v>
      </c>
      <c r="H180" s="106">
        <f>-$H$6*(Sheet1!CA180-Sheet1!CA179)*7.48/1000000</f>
        <v>0.2707097823227706</v>
      </c>
      <c r="I180" s="106">
        <f>-$I$6*(Sheet1!CC180-Sheet1!CC179)*7.48/1000000</f>
        <v>6.1171128655291937E-2</v>
      </c>
      <c r="J180" s="107" t="s">
        <v>193</v>
      </c>
      <c r="K180" s="106">
        <f>-$I$6*(Sheet1!CD180-Sheet1!CD179)*7.48/1000000</f>
        <v>8.9957542140135238E-2</v>
      </c>
      <c r="L180" s="107" t="s">
        <v>193</v>
      </c>
      <c r="M180" s="106">
        <f>-$M$6*(Sheet1!CE180-Sheet1!CE179)*7.48/1000000</f>
        <v>2.6653281497833907E-2</v>
      </c>
      <c r="N180" s="106">
        <f>-$N$6*(Sheet1!CF180-Sheet1!CF179)*7.48/1000000</f>
        <v>-6.2052345394624786E-2</v>
      </c>
      <c r="O180" s="106">
        <f t="shared" si="25"/>
        <v>0.13074563924044119</v>
      </c>
      <c r="P180" s="106">
        <f>O180+Calculation!EI180</f>
        <v>-1.5108543607595588</v>
      </c>
      <c r="Q180" s="101" t="str">
        <f>IF(Sheet1!BQ180&gt;21.75,"spill elevation","-")</f>
        <v>-</v>
      </c>
      <c r="R180" s="101" t="str">
        <f>IF(Sheet1!BR180&gt;21.75,"spill elevation","-")</f>
        <v>-</v>
      </c>
      <c r="S180" s="101" t="str">
        <f>IF(Sheet1!BS180&gt;21.75,"spill elevation","-")</f>
        <v>-</v>
      </c>
      <c r="T180" s="105">
        <f>IF(Sheet1!DQ180=1,Sheet1!AA180-(SUM(AT180:BA180)+BE180),Sheet1!AA180-SUM(AT180:BA180))</f>
        <v>31.884480000006402</v>
      </c>
      <c r="U180" s="105">
        <f>Sheet1!BU180</f>
        <v>29.3</v>
      </c>
      <c r="V180" s="105">
        <f t="shared" si="26"/>
        <v>2.5844800000064012</v>
      </c>
      <c r="W180" s="105">
        <f t="shared" si="27"/>
        <v>0</v>
      </c>
      <c r="X180" s="101">
        <f>IF((Sheet1!EX180-Sheet1!EX179)&lt;0,(Sheet1!EX180+100000-Sheet1!EX179)/1000,(Sheet1!EX180-Sheet1!EX179)/1000)</f>
        <v>1.0149999999999999</v>
      </c>
      <c r="Y180" s="106">
        <f>Calculation!DZ181+Calculation!EI180+'Calculations II'!O180-'Calculations II'!W180</f>
        <v>61.039145639240445</v>
      </c>
      <c r="Z180" s="106">
        <f>Y180-Sheet1!CP181</f>
        <v>44.839145639240442</v>
      </c>
      <c r="AA180" s="106">
        <f>Y180+Calculation!CZ181+Calculation!AI181</f>
        <v>70.675537605999452</v>
      </c>
      <c r="AC180" s="106">
        <f>Sheet1!AA180+Sheet1!AB180+BC180</f>
        <v>63.120662400006402</v>
      </c>
      <c r="AD180" s="106">
        <f>Sheet1!AA180+Sheet1!BN180+'Calculations II'!BC180-Calculation!AI180-Calculation!CZ180</f>
        <v>43.75483605069364</v>
      </c>
      <c r="AE180" s="106">
        <f>Sheet1!AA180+Sheet1!AB180+'Calculations II'!BC180-Calculation!AI180-Calculation!CZ180</f>
        <v>53.464836050693634</v>
      </c>
      <c r="AF180" s="106">
        <f>Sheet1!AA180+Sheet1!BN180+P180+'Calculations II'!BC180+Calculation!AI180+Calculation!CZ180</f>
        <v>61.555634388559625</v>
      </c>
      <c r="AG180" s="106">
        <f>Sheet1!AA180+Sheet1!BN180+'Calculations II'!BC180+'Calculations II'!P180-Sheet1!CP180-BP180</f>
        <v>34.879808039246853</v>
      </c>
      <c r="AH180" s="106">
        <f>Sheet1!AA180+Sheet1!BN180+'Calculations II'!BC180+'Calculations II'!P180-BP180</f>
        <v>51.899808039246849</v>
      </c>
      <c r="AI180" s="106">
        <f>BC180+Sheet1!AA180+Calculation!EI180+O180+W180+Sheet1!BN180+Calculation!AI180+Calculation!CZ180-BP180</f>
        <v>61.555634388559625</v>
      </c>
      <c r="AJ180" s="106"/>
      <c r="AM180" s="102">
        <f t="shared" si="28"/>
        <v>40709</v>
      </c>
      <c r="AN180" s="106"/>
      <c r="AO180" s="106"/>
      <c r="AR180" s="106"/>
      <c r="AT180" s="101">
        <f>Sheet1!AR180*GPMtoMGD</f>
        <v>0</v>
      </c>
      <c r="AU180" s="101">
        <f>Sheet1!AS180*GPMtoMGD</f>
        <v>4.1616E-2</v>
      </c>
      <c r="AV180" s="101">
        <f>Sheet1!AT180*GPMtoMGD</f>
        <v>0</v>
      </c>
      <c r="AW180" s="101">
        <f>Sheet1!AV180*GPMtoMGD</f>
        <v>0.60292800000000002</v>
      </c>
      <c r="AX180" s="101">
        <f>Sheet1!AW180*GPMtoMGD</f>
        <v>0.68068800000000007</v>
      </c>
      <c r="AY180" s="101">
        <f>Sheet1!AX180*GPMtoMGD</f>
        <v>2.8800000000000001E-4</v>
      </c>
      <c r="AZ180" s="101">
        <f>Sheet1!AY180*GPMtoMGD</f>
        <v>0</v>
      </c>
      <c r="BA180" s="101">
        <f>Sheet1!AZ180*GPMtoMGD</f>
        <v>0</v>
      </c>
      <c r="BB180" s="101">
        <f>Sheet1!BP180*GPMtoMGD</f>
        <v>0</v>
      </c>
      <c r="BC180" s="101">
        <f>Sheet1!CO180*GPMtoMGD</f>
        <v>6.6240000000000005E-4</v>
      </c>
      <c r="BD180" s="101">
        <f>Sheet1!BO180*GPMtoMGD</f>
        <v>2.5541280000000004</v>
      </c>
      <c r="BE180" s="101">
        <f>Sheet1!BV180*GPMtoMGD</f>
        <v>1.7712000000000001</v>
      </c>
      <c r="BF180" s="101">
        <f>Sheet1!CJ180*GPMtoMGD</f>
        <v>0.89654400000000012</v>
      </c>
      <c r="BG180" s="101">
        <f>Sheet1!CK180*GPMtoMGD</f>
        <v>0.82756800000000008</v>
      </c>
      <c r="BH180" s="101">
        <f>Sheet1!CL180*GPMtoMGD</f>
        <v>0.89352000000000009</v>
      </c>
      <c r="BI180" s="101">
        <f t="shared" si="29"/>
        <v>2.5541280000000004</v>
      </c>
      <c r="BK180" s="106">
        <f>SUM(AT180:BA180,BE180,Sheet1!BU180,'Calculations II'!BC180,Calculation!AG180)</f>
        <v>52.651556050687233</v>
      </c>
      <c r="BM180" s="439">
        <f>IF(AND(Sheet1!BQ180&lt;=11.5,Sheet1!BQ179&gt;Sheet1!BQ180),(MIN(Lookup!$C$119,VLOOKUP(Sheet1!BQ179,Lookup!$B$4:$J$236,2))-VLOOKUP(Sheet1!BQ180,Lookup!$B$4:$J$236,2))/1000000,0)</f>
        <v>0</v>
      </c>
      <c r="BN180" s="439">
        <f>IF(AND(Sheet1!BR180&lt;=11.5,Sheet1!BR179&gt;Sheet1!BR180),(MIN(Lookup!$D$119,VLOOKUP(Sheet1!BR179,Lookup!$B$4:$J$236,3))-VLOOKUP(Sheet1!BR180,Lookup!$B$4:$J$236,3))/1000000,0)</f>
        <v>0</v>
      </c>
      <c r="BP180" s="105">
        <f>SUM(BM180:BN180,W180,Sheet1!DT180)</f>
        <v>0</v>
      </c>
    </row>
    <row r="181" spans="1:68" s="101" customFormat="1">
      <c r="A181" s="101" t="s">
        <v>6</v>
      </c>
      <c r="B181" s="103">
        <v>40710</v>
      </c>
      <c r="C181" s="104">
        <v>0.33333333333357601</v>
      </c>
      <c r="E181" s="30"/>
      <c r="F181" s="30">
        <f>-(VLOOKUP(Sheet1!BZ181,Lookup!$I$4:$J$216,2)-VLOOKUP(Sheet1!BZ180,Lookup!$I$4:$J$216,2))/1000000</f>
        <v>0.72545856983460111</v>
      </c>
      <c r="G181" s="106">
        <f>-$G$6*(Sheet1!CB181-Sheet1!CB180)*7.48/1000000</f>
        <v>0.59570251578838951</v>
      </c>
      <c r="H181" s="106">
        <f>-$H$6*(Sheet1!CA181-Sheet1!CA180)*7.48/1000000</f>
        <v>-7.5197161756325293E-2</v>
      </c>
      <c r="I181" s="106">
        <f>-$I$6*(Sheet1!CC181-Sheet1!CC180)*7.48/1000000</f>
        <v>-4.3179620227264952E-2</v>
      </c>
      <c r="J181" s="107" t="s">
        <v>193</v>
      </c>
      <c r="K181" s="106">
        <f>-$I$6*(Sheet1!CD181-Sheet1!CD180)*7.48/1000000</f>
        <v>-3.598301685605397E-2</v>
      </c>
      <c r="L181" s="107" t="s">
        <v>193</v>
      </c>
      <c r="M181" s="106">
        <f>-$M$6*(Sheet1!CE181-Sheet1!CE180)*7.48/1000000</f>
        <v>-1.3326640748916837E-2</v>
      </c>
      <c r="N181" s="106">
        <f>-$N$6*(Sheet1!CF181-Sheet1!CF180)*7.48/1000000</f>
        <v>0.24820938157849581</v>
      </c>
      <c r="O181" s="106">
        <f t="shared" si="25"/>
        <v>1.4016840276129252</v>
      </c>
      <c r="P181" s="106">
        <f>O181+Calculation!EI181</f>
        <v>0.58108402761292521</v>
      </c>
      <c r="Q181" s="101" t="str">
        <f>IF(Sheet1!BQ181&gt;21.75,"spill elevation","-")</f>
        <v>-</v>
      </c>
      <c r="R181" s="101" t="str">
        <f>IF(Sheet1!BR181&gt;21.75,"spill elevation","-")</f>
        <v>-</v>
      </c>
      <c r="S181" s="101" t="str">
        <f>IF(Sheet1!BS181&gt;21.75,"spill elevation","-")</f>
        <v>-</v>
      </c>
      <c r="T181" s="105">
        <f>IF(Sheet1!DQ181=1,Sheet1!AA181-(SUM(AT181:BA181)+BE181),Sheet1!AA181-SUM(AT181:BA181))</f>
        <v>32.151440000000001</v>
      </c>
      <c r="U181" s="105">
        <f>Sheet1!BU181</f>
        <v>34.799999999999997</v>
      </c>
      <c r="V181" s="105">
        <f t="shared" si="26"/>
        <v>-2.6485599999999963</v>
      </c>
      <c r="W181" s="105">
        <f t="shared" si="27"/>
        <v>0</v>
      </c>
      <c r="X181" s="101">
        <f>IF((Sheet1!EX181-Sheet1!EX180)&lt;0,(Sheet1!EX181+100000-Sheet1!EX180)/1000,(Sheet1!EX181-Sheet1!EX180)/1000)</f>
        <v>0.97</v>
      </c>
      <c r="Y181" s="106">
        <f>Calculation!DZ182+Calculation!EI181+'Calculations II'!O181-'Calculations II'!W181</f>
        <v>62.571084027603611</v>
      </c>
      <c r="Z181" s="106">
        <f>Y181-Sheet1!CP182</f>
        <v>45.651084027603609</v>
      </c>
      <c r="AA181" s="106">
        <f>Y181+Calculation!CZ182+Calculation!AI182</f>
        <v>72.174435808993934</v>
      </c>
      <c r="AC181" s="106">
        <f>Sheet1!AA181+Sheet1!AB181+BC181</f>
        <v>62.55</v>
      </c>
      <c r="AD181" s="106">
        <f>Sheet1!AA181+Sheet1!BN181+'Calculations II'!BC181-Calculation!AI181-Calculation!CZ181</f>
        <v>43.163608033240997</v>
      </c>
      <c r="AE181" s="106">
        <f>Sheet1!AA181+Sheet1!AB181+'Calculations II'!BC181-Calculation!AI181-Calculation!CZ181</f>
        <v>52.913608033240997</v>
      </c>
      <c r="AF181" s="106">
        <f>Sheet1!AA181+Sheet1!BN181+P181+'Calculations II'!BC181+Calculation!AI181+Calculation!CZ181</f>
        <v>63.017475994371921</v>
      </c>
      <c r="AG181" s="106">
        <f>Sheet1!AA181+Sheet1!BN181+'Calculations II'!BC181+'Calculations II'!P181-Sheet1!CP181-BP181</f>
        <v>37.181084027612926</v>
      </c>
      <c r="AH181" s="106">
        <f>Sheet1!AA181+Sheet1!BN181+'Calculations II'!BC181+'Calculations II'!P181-BP181</f>
        <v>53.381084027612921</v>
      </c>
      <c r="AI181" s="106">
        <f>BC181+Sheet1!AA181+Calculation!EI181+O181+W181+Sheet1!BN181+Calculation!AI181+Calculation!CZ181-BP181</f>
        <v>63.017475994371928</v>
      </c>
      <c r="AJ181" s="106"/>
      <c r="AM181" s="102">
        <f t="shared" si="28"/>
        <v>40710</v>
      </c>
      <c r="AN181" s="106"/>
      <c r="AO181" s="106"/>
      <c r="AR181" s="106"/>
      <c r="AT181" s="101">
        <f>Sheet1!AR181*GPMtoMGD</f>
        <v>0</v>
      </c>
      <c r="AU181" s="101">
        <f>Sheet1!AS181*GPMtoMGD</f>
        <v>2.6208000000000002E-2</v>
      </c>
      <c r="AV181" s="101">
        <f>Sheet1!AT181*GPMtoMGD</f>
        <v>0</v>
      </c>
      <c r="AW181" s="101">
        <f>Sheet1!AV181*GPMtoMGD</f>
        <v>0.62769600000000003</v>
      </c>
      <c r="AX181" s="101">
        <f>Sheet1!AW181*GPMtoMGD</f>
        <v>0.69436799999999999</v>
      </c>
      <c r="AY181" s="101">
        <f>Sheet1!AX181*GPMtoMGD</f>
        <v>2.8800000000000001E-4</v>
      </c>
      <c r="AZ181" s="101">
        <f>Sheet1!AY181*GPMtoMGD</f>
        <v>0</v>
      </c>
      <c r="BA181" s="101">
        <f>Sheet1!AZ181*GPMtoMGD</f>
        <v>0</v>
      </c>
      <c r="BB181" s="101">
        <f>Sheet1!BP181*GPMtoMGD</f>
        <v>0</v>
      </c>
      <c r="BC181" s="101">
        <f>Sheet1!CO181*GPMtoMGD</f>
        <v>0</v>
      </c>
      <c r="BD181" s="101">
        <f>Sheet1!BO181*GPMtoMGD</f>
        <v>2.789568</v>
      </c>
      <c r="BE181" s="101">
        <f>Sheet1!BV181*GPMtoMGD</f>
        <v>1.8175680000000001</v>
      </c>
      <c r="BF181" s="101">
        <f>Sheet1!CJ181*GPMtoMGD</f>
        <v>1.065744</v>
      </c>
      <c r="BG181" s="101">
        <f>Sheet1!CK181*GPMtoMGD</f>
        <v>0.89769600000000005</v>
      </c>
      <c r="BH181" s="101">
        <f>Sheet1!CL181*GPMtoMGD</f>
        <v>0.89193600000000006</v>
      </c>
      <c r="BI181" s="101">
        <f t="shared" si="29"/>
        <v>2.789568</v>
      </c>
      <c r="BK181" s="106">
        <f>SUM(AT181:BA181,BE181,Sheet1!BU181,'Calculations II'!BC181,Calculation!AG181)</f>
        <v>57.379736033240995</v>
      </c>
      <c r="BM181" s="439">
        <f>IF(AND(Sheet1!BQ181&lt;=11.5,Sheet1!BQ180&gt;Sheet1!BQ181),(MIN(Lookup!$C$119,VLOOKUP(Sheet1!BQ180,Lookup!$B$4:$J$236,2))-VLOOKUP(Sheet1!BQ181,Lookup!$B$4:$J$236,2))/1000000,0)</f>
        <v>0</v>
      </c>
      <c r="BN181" s="439">
        <f>IF(AND(Sheet1!BR181&lt;=11.5,Sheet1!BR180&gt;Sheet1!BR181),(MIN(Lookup!$D$119,VLOOKUP(Sheet1!BR180,Lookup!$B$4:$J$236,3))-VLOOKUP(Sheet1!BR181,Lookup!$B$4:$J$236,3))/1000000,0)</f>
        <v>0</v>
      </c>
      <c r="BP181" s="105">
        <f>SUM(BM181:BN181,W181,Sheet1!DT181)</f>
        <v>0</v>
      </c>
    </row>
    <row r="182" spans="1:68" s="101" customFormat="1">
      <c r="A182" s="101" t="s">
        <v>7</v>
      </c>
      <c r="B182" s="103">
        <v>40711</v>
      </c>
      <c r="C182" s="104">
        <v>0.33333333333357601</v>
      </c>
      <c r="E182" s="30"/>
      <c r="F182" s="30">
        <f>-(VLOOKUP(Sheet1!BZ182,Lookup!$I$4:$J$216,2)-VLOOKUP(Sheet1!BZ181,Lookup!$I$4:$J$216,2))/1000000</f>
        <v>-0.51818469273900236</v>
      </c>
      <c r="G182" s="106">
        <f>-$G$6*(Sheet1!CB182-Sheet1!CB181)*7.48/1000000</f>
        <v>-0.87369702315630493</v>
      </c>
      <c r="H182" s="106">
        <f>-$H$6*(Sheet1!CA182-Sheet1!CA181)*7.48/1000000</f>
        <v>-0.33086751172783063</v>
      </c>
      <c r="I182" s="106">
        <f>-$I$6*(Sheet1!CC182-Sheet1!CC181)*7.48/1000000</f>
        <v>-3.598301685605397E-2</v>
      </c>
      <c r="J182" s="107" t="s">
        <v>193</v>
      </c>
      <c r="K182" s="106">
        <f>-$I$6*(Sheet1!CD182-Sheet1!CD181)*7.48/1000000</f>
        <v>-5.3974525284081275E-2</v>
      </c>
      <c r="L182" s="107" t="s">
        <v>193</v>
      </c>
      <c r="M182" s="106">
        <f>-$M$6*(Sheet1!CE182-Sheet1!CE181)*7.48/1000000</f>
        <v>-3.3316601872292687E-3</v>
      </c>
      <c r="N182" s="106">
        <f>-$N$6*(Sheet1!CF182-Sheet1!CF181)*7.48/1000000</f>
        <v>-6.2052345394623676E-2</v>
      </c>
      <c r="O182" s="106">
        <f t="shared" si="25"/>
        <v>-1.8780907753451259</v>
      </c>
      <c r="P182" s="106">
        <f>O182+Calculation!EI182</f>
        <v>2.4923092246548739</v>
      </c>
      <c r="Q182" s="101" t="str">
        <f>IF(Sheet1!BQ182&gt;21.75,"spill elevation","-")</f>
        <v>-</v>
      </c>
      <c r="R182" s="101" t="str">
        <f>IF(Sheet1!BR182&gt;21.75,"spill elevation","-")</f>
        <v>-</v>
      </c>
      <c r="S182" s="101" t="str">
        <f>IF(Sheet1!BS182&gt;21.75,"spill elevation","-")</f>
        <v>-</v>
      </c>
      <c r="T182" s="105">
        <f>IF(Sheet1!DQ182=1,Sheet1!AA182-(SUM(AT182:BA182)+BE182),Sheet1!AA182-SUM(AT182:BA182))</f>
        <v>31.455375999991269</v>
      </c>
      <c r="U182" s="105">
        <f>Sheet1!BU182</f>
        <v>34.6</v>
      </c>
      <c r="V182" s="105">
        <f t="shared" si="26"/>
        <v>-3.1446240000087329</v>
      </c>
      <c r="W182" s="105">
        <f t="shared" si="27"/>
        <v>0</v>
      </c>
      <c r="X182" s="101">
        <f>IF((Sheet1!EX182-Sheet1!EX181)&lt;0,(Sheet1!EX182+100000-Sheet1!EX181)/1000,(Sheet1!EX182-Sheet1!EX181)/1000)</f>
        <v>1.034</v>
      </c>
      <c r="Y182" s="106">
        <f>Calculation!DZ183+Calculation!EI182+'Calculations II'!O182-'Calculations II'!W182</f>
        <v>70.04907722466389</v>
      </c>
      <c r="Z182" s="106">
        <f>Y182-Sheet1!CP183</f>
        <v>53.069077224663886</v>
      </c>
      <c r="AA182" s="106">
        <f>Y182+Calculation!CZ183+Calculation!AI183</f>
        <v>79.665390460979154</v>
      </c>
      <c r="AC182" s="106">
        <f>Sheet1!AA182+Sheet1!AB182+BC182</f>
        <v>61.989999999990687</v>
      </c>
      <c r="AD182" s="106">
        <f>Sheet1!AA182+Sheet1!BN182+'Calculations II'!BC182-Calculation!AI182-Calculation!CZ182</f>
        <v>42.796648218600936</v>
      </c>
      <c r="AE182" s="106">
        <f>Sheet1!AA182+Sheet1!AB182+'Calculations II'!BC182-Calculation!AI182-Calculation!CZ182</f>
        <v>52.386648218600357</v>
      </c>
      <c r="AF182" s="106">
        <f>Sheet1!AA182+Sheet1!BN182+P182+'Calculations II'!BC182+Calculation!AI182+Calculation!CZ182</f>
        <v>64.495661006036471</v>
      </c>
      <c r="AG182" s="106">
        <f>Sheet1!AA182+Sheet1!BN182+'Calculations II'!BC182+'Calculations II'!P182-Sheet1!CP182-BP182</f>
        <v>37.972309224646139</v>
      </c>
      <c r="AH182" s="106">
        <f>Sheet1!AA182+Sheet1!BN182+'Calculations II'!BC182+'Calculations II'!P182-BP182</f>
        <v>54.892309224646141</v>
      </c>
      <c r="AI182" s="106">
        <f>BC182+Sheet1!AA182+Calculation!EI182+O182+W182+Sheet1!BN182+Calculation!AI182+Calculation!CZ182-BP182</f>
        <v>64.495661006036471</v>
      </c>
      <c r="AJ182" s="106"/>
      <c r="AM182" s="102">
        <f t="shared" si="28"/>
        <v>40711</v>
      </c>
      <c r="AN182" s="106"/>
      <c r="AO182" s="106"/>
      <c r="AR182" s="106"/>
      <c r="AT182" s="101">
        <f>Sheet1!AR182*GPMtoMGD</f>
        <v>0</v>
      </c>
      <c r="AU182" s="101">
        <f>Sheet1!AS182*GPMtoMGD</f>
        <v>3.7440000000000001E-2</v>
      </c>
      <c r="AV182" s="101">
        <f>Sheet1!AT182*GPMtoMGD</f>
        <v>0</v>
      </c>
      <c r="AW182" s="101">
        <f>Sheet1!AV182*GPMtoMGD</f>
        <v>0.7539840000000001</v>
      </c>
      <c r="AX182" s="101">
        <f>Sheet1!AW182*GPMtoMGD</f>
        <v>0.85003200000000001</v>
      </c>
      <c r="AY182" s="101">
        <f>Sheet1!AX182*GPMtoMGD</f>
        <v>3.1680000000000002E-3</v>
      </c>
      <c r="AZ182" s="101">
        <f>Sheet1!AY182*GPMtoMGD</f>
        <v>0</v>
      </c>
      <c r="BA182" s="101">
        <f>Sheet1!AZ182*GPMtoMGD</f>
        <v>0</v>
      </c>
      <c r="BB182" s="101">
        <f>Sheet1!BP182*GPMtoMGD</f>
        <v>0</v>
      </c>
      <c r="BC182" s="101">
        <f>Sheet1!CO182*GPMtoMGD</f>
        <v>0</v>
      </c>
      <c r="BD182" s="101">
        <f>Sheet1!BO182*GPMtoMGD</f>
        <v>3.1582080000000001</v>
      </c>
      <c r="BE182" s="101">
        <f>Sheet1!BV182*GPMtoMGD</f>
        <v>1.1864160000000001</v>
      </c>
      <c r="BF182" s="101">
        <f>Sheet1!CJ182*GPMtoMGD</f>
        <v>1.2543840000000002</v>
      </c>
      <c r="BG182" s="101">
        <f>Sheet1!CK182*GPMtoMGD</f>
        <v>1.085472</v>
      </c>
      <c r="BH182" s="101">
        <f>Sheet1!CL182*GPMtoMGD</f>
        <v>0.94680000000000009</v>
      </c>
      <c r="BI182" s="101">
        <f t="shared" si="29"/>
        <v>3.1582080000000001</v>
      </c>
      <c r="BK182" s="106">
        <f>SUM(AT182:BA182,BE182,Sheet1!BU182,'Calculations II'!BC182,Calculation!AG182)</f>
        <v>56.717688218609098</v>
      </c>
      <c r="BM182" s="439">
        <f>IF(AND(Sheet1!BQ182&lt;=11.5,Sheet1!BQ181&gt;Sheet1!BQ182),(MIN(Lookup!$C$119,VLOOKUP(Sheet1!BQ181,Lookup!$B$4:$J$236,2))-VLOOKUP(Sheet1!BQ182,Lookup!$B$4:$J$236,2))/1000000,0)</f>
        <v>0</v>
      </c>
      <c r="BN182" s="439">
        <f>IF(AND(Sheet1!BR182&lt;=11.5,Sheet1!BR181&gt;Sheet1!BR182),(MIN(Lookup!$D$119,VLOOKUP(Sheet1!BR181,Lookup!$B$4:$J$236,3))-VLOOKUP(Sheet1!BR182,Lookup!$B$4:$J$236,3))/1000000,0)</f>
        <v>0</v>
      </c>
      <c r="BP182" s="105">
        <f>SUM(BM182:BN182,W182,Sheet1!DT182)</f>
        <v>0</v>
      </c>
    </row>
    <row r="183" spans="1:68" s="101" customFormat="1">
      <c r="A183" s="101" t="s">
        <v>8</v>
      </c>
      <c r="B183" s="103">
        <v>40712</v>
      </c>
      <c r="C183" s="104">
        <v>0.33333333333357601</v>
      </c>
      <c r="E183" s="30"/>
      <c r="F183" s="30">
        <f>-(VLOOKUP(Sheet1!BZ183,Lookup!$I$4:$J$216,2)-VLOOKUP(Sheet1!BZ182,Lookup!$I$4:$J$216,2))/1000000</f>
        <v>0.10363693854779936</v>
      </c>
      <c r="G183" s="106">
        <f>-$G$6*(Sheet1!CB183-Sheet1!CB182)*7.48/1000000</f>
        <v>0.87369702315630493</v>
      </c>
      <c r="H183" s="106">
        <f>-$H$6*(Sheet1!CA183-Sheet1!CA182)*7.48/1000000</f>
        <v>-0.15039432351265059</v>
      </c>
      <c r="I183" s="106">
        <f>-$I$6*(Sheet1!CC183-Sheet1!CC182)*7.48/1000000</f>
        <v>-8.9957542140135238E-2</v>
      </c>
      <c r="J183" s="107" t="s">
        <v>193</v>
      </c>
      <c r="K183" s="106">
        <f>-$I$6*(Sheet1!CD183-Sheet1!CD182)*7.48/1000000</f>
        <v>-0.10794905056816222</v>
      </c>
      <c r="L183" s="107" t="s">
        <v>193</v>
      </c>
      <c r="M183" s="106">
        <f>-$M$6*(Sheet1!CE183-Sheet1!CE182)*7.48/1000000</f>
        <v>-5.1973898920775932E-2</v>
      </c>
      <c r="N183" s="106">
        <f>-$N$6*(Sheet1!CF183-Sheet1!CF182)*7.48/1000000</f>
        <v>3.1026172697312393E-2</v>
      </c>
      <c r="O183" s="106">
        <f t="shared" si="25"/>
        <v>0.60808531925969278</v>
      </c>
      <c r="P183" s="106">
        <f>O183+Calculation!EI183</f>
        <v>5.4730853192596927</v>
      </c>
      <c r="Q183" s="101" t="str">
        <f>IF(Sheet1!BQ183&gt;21.75,"spill elevation","-")</f>
        <v>-</v>
      </c>
      <c r="R183" s="101" t="str">
        <f>IF(Sheet1!BR183&gt;21.75,"spill elevation","-")</f>
        <v>-</v>
      </c>
      <c r="S183" s="101" t="str">
        <f>IF(Sheet1!BS183&gt;21.75,"spill elevation","-")</f>
        <v>-</v>
      </c>
      <c r="T183" s="105">
        <f>IF(Sheet1!DQ183=1,Sheet1!AA183-(SUM(AT183:BA183)+BE183),Sheet1!AA183-SUM(AT183:BA183))</f>
        <v>31.942368000002912</v>
      </c>
      <c r="U183" s="105">
        <f>Sheet1!BU183</f>
        <v>31.1</v>
      </c>
      <c r="V183" s="105">
        <f t="shared" si="26"/>
        <v>0.84236800000291012</v>
      </c>
      <c r="W183" s="105">
        <f t="shared" si="27"/>
        <v>0</v>
      </c>
      <c r="X183" s="101">
        <f>IF((Sheet1!EX183-Sheet1!EX182)&lt;0,(Sheet1!EX183+100000-Sheet1!EX182)/1000,(Sheet1!EX183-Sheet1!EX182)/1000)</f>
        <v>0.86599999999999999</v>
      </c>
      <c r="Y183" s="106">
        <f>Calculation!DZ184+Calculation!EI183+'Calculations II'!O183-'Calculations II'!W183</f>
        <v>74.049149319259385</v>
      </c>
      <c r="Z183" s="106">
        <f>Y183-Sheet1!CP184</f>
        <v>57.099149319259382</v>
      </c>
      <c r="AA183" s="106">
        <f>Y183+Calculation!CZ184+Calculation!AI184</f>
        <v>83.719045584819455</v>
      </c>
      <c r="AC183" s="106">
        <f>Sheet1!AA183+Sheet1!AB183+BC183</f>
        <v>67.556768000009015</v>
      </c>
      <c r="AD183" s="106">
        <f>Sheet1!AA183+Sheet1!BN183+'Calculations II'!BC183-Calculation!AI183-Calculation!CZ183</f>
        <v>48.21045476368765</v>
      </c>
      <c r="AE183" s="106">
        <f>Sheet1!AA183+Sheet1!AB183+'Calculations II'!BC183-Calculation!AI183-Calculation!CZ183</f>
        <v>57.940454763693751</v>
      </c>
      <c r="AF183" s="106">
        <f>Sheet1!AA183+Sheet1!BN183+P183+'Calculations II'!BC183+Calculation!AI183+Calculation!CZ183</f>
        <v>72.91616655557786</v>
      </c>
      <c r="AG183" s="106">
        <f>Sheet1!AA183+Sheet1!BN183+'Calculations II'!BC183+'Calculations II'!P183-Sheet1!CP183-BP183</f>
        <v>46.319853319262606</v>
      </c>
      <c r="AH183" s="106">
        <f>Sheet1!AA183+Sheet1!BN183+'Calculations II'!BC183+'Calculations II'!P183-BP183</f>
        <v>63.299853319262603</v>
      </c>
      <c r="AI183" s="106">
        <f>BC183+Sheet1!AA183+Calculation!EI183+O183+W183+Sheet1!BN183+Calculation!AI183+Calculation!CZ183-BP183</f>
        <v>72.916166555577874</v>
      </c>
      <c r="AJ183" s="106"/>
      <c r="AM183" s="102">
        <f t="shared" si="28"/>
        <v>40712</v>
      </c>
      <c r="AN183" s="106"/>
      <c r="AO183" s="106"/>
      <c r="AR183" s="106"/>
      <c r="AT183" s="101">
        <f>Sheet1!AR183*GPMtoMGD</f>
        <v>0</v>
      </c>
      <c r="AU183" s="101">
        <f>Sheet1!AS183*GPMtoMGD</f>
        <v>4.0752000000000003E-2</v>
      </c>
      <c r="AV183" s="101">
        <f>Sheet1!AT183*GPMtoMGD</f>
        <v>0</v>
      </c>
      <c r="AW183" s="101">
        <f>Sheet1!AV183*GPMtoMGD</f>
        <v>0.61560000000000004</v>
      </c>
      <c r="AX183" s="101">
        <f>Sheet1!AW183*GPMtoMGD</f>
        <v>0.70128000000000001</v>
      </c>
      <c r="AY183" s="101">
        <f>Sheet1!AX183*GPMtoMGD</f>
        <v>0</v>
      </c>
      <c r="AZ183" s="101">
        <f>Sheet1!AY183*GPMtoMGD</f>
        <v>0</v>
      </c>
      <c r="BA183" s="101">
        <f>Sheet1!AZ183*GPMtoMGD</f>
        <v>0</v>
      </c>
      <c r="BB183" s="101">
        <f>Sheet1!BP183*GPMtoMGD</f>
        <v>0</v>
      </c>
      <c r="BC183" s="101">
        <f>Sheet1!CO183*GPMtoMGD</f>
        <v>5.2267679999999999</v>
      </c>
      <c r="BD183" s="101">
        <f>Sheet1!BO183*GPMtoMGD</f>
        <v>2.2908960000000005</v>
      </c>
      <c r="BE183" s="101">
        <f>Sheet1!BV183*GPMtoMGD</f>
        <v>1.0512000000000001</v>
      </c>
      <c r="BF183" s="101">
        <f>Sheet1!CJ183*GPMtoMGD</f>
        <v>0.77716800000000008</v>
      </c>
      <c r="BG183" s="101">
        <f>Sheet1!CK183*GPMtoMGD</f>
        <v>0.89668800000000015</v>
      </c>
      <c r="BH183" s="101">
        <f>Sheet1!CL183*GPMtoMGD</f>
        <v>0.80812800000000007</v>
      </c>
      <c r="BI183" s="101">
        <f t="shared" si="29"/>
        <v>2.2908960000000005</v>
      </c>
      <c r="BK183" s="106">
        <f>SUM(AT183:BA183,BE183,Sheet1!BU183,'Calculations II'!BC183,Calculation!AG183)</f>
        <v>58.149286763690853</v>
      </c>
      <c r="BM183" s="439">
        <f>IF(AND(Sheet1!BQ183&lt;=11.5,Sheet1!BQ182&gt;Sheet1!BQ183),(MIN(Lookup!$C$119,VLOOKUP(Sheet1!BQ182,Lookup!$B$4:$J$236,2))-VLOOKUP(Sheet1!BQ183,Lookup!$B$4:$J$236,2))/1000000,0)</f>
        <v>0</v>
      </c>
      <c r="BN183" s="439">
        <f>IF(AND(Sheet1!BR183&lt;=11.5,Sheet1!BR182&gt;Sheet1!BR183),(MIN(Lookup!$D$119,VLOOKUP(Sheet1!BR182,Lookup!$B$4:$J$236,3))-VLOOKUP(Sheet1!BR183,Lookup!$B$4:$J$236,3))/1000000,0)</f>
        <v>0</v>
      </c>
      <c r="BP183" s="105">
        <f>SUM(BM183:BN183,W183,Sheet1!DT183)</f>
        <v>0</v>
      </c>
    </row>
    <row r="184" spans="1:68" s="101" customFormat="1">
      <c r="A184" s="101" t="s">
        <v>9</v>
      </c>
      <c r="B184" s="103">
        <v>40713</v>
      </c>
      <c r="C184" s="104">
        <v>0.33333333333357601</v>
      </c>
      <c r="E184" s="30"/>
      <c r="F184" s="30">
        <f>-(VLOOKUP(Sheet1!BZ184,Lookup!$I$4:$J$216,2)-VLOOKUP(Sheet1!BZ183,Lookup!$I$4:$J$216,2))/1000000</f>
        <v>-1.0363693854780012</v>
      </c>
      <c r="G184" s="106">
        <f>-$G$6*(Sheet1!CB184-Sheet1!CB183)*7.48/1000000</f>
        <v>-3.2962205873624213</v>
      </c>
      <c r="H184" s="106">
        <f>-$H$6*(Sheet1!CA184-Sheet1!CA183)*7.48/1000000</f>
        <v>0.18047318821518007</v>
      </c>
      <c r="I184" s="106">
        <f>-$I$6*(Sheet1!CC184-Sheet1!CC183)*7.48/1000000</f>
        <v>0.10794905056816222</v>
      </c>
      <c r="J184" s="107" t="s">
        <v>193</v>
      </c>
      <c r="K184" s="106">
        <f>-$I$6*(Sheet1!CD184-Sheet1!CD183)*7.48/1000000</f>
        <v>0.12594055899618922</v>
      </c>
      <c r="L184" s="107" t="s">
        <v>193</v>
      </c>
      <c r="M184" s="106">
        <f>-$M$6*(Sheet1!CE184-Sheet1!CE183)*7.48/1000000</f>
        <v>6.196887948246349E-2</v>
      </c>
      <c r="N184" s="106">
        <f>-$N$6*(Sheet1!CF184-Sheet1!CF183)*7.48/1000000</f>
        <v>-0.65154962664355143</v>
      </c>
      <c r="O184" s="106">
        <f t="shared" si="25"/>
        <v>-4.5078079222219776</v>
      </c>
      <c r="P184" s="106">
        <f>O184+Calculation!EI184</f>
        <v>-3.9741079222219775</v>
      </c>
      <c r="Q184" s="101" t="str">
        <f>IF(Sheet1!BQ184&gt;21.75,"spill elevation","-")</f>
        <v>-</v>
      </c>
      <c r="R184" s="101" t="str">
        <f>IF(Sheet1!BR184&gt;21.75,"spill elevation","-")</f>
        <v>-</v>
      </c>
      <c r="S184" s="101" t="str">
        <f>IF(Sheet1!BS184&gt;21.75,"spill elevation","-")</f>
        <v>-</v>
      </c>
      <c r="T184" s="105">
        <f>IF(Sheet1!DQ184=1,Sheet1!AA184-(SUM(AT184:BA184)+BE184),Sheet1!AA184-SUM(AT184:BA184))</f>
        <v>31.820352</v>
      </c>
      <c r="U184" s="105">
        <f>Sheet1!BU184</f>
        <v>23.3</v>
      </c>
      <c r="V184" s="105">
        <f t="shared" si="26"/>
        <v>8.520351999999999</v>
      </c>
      <c r="W184" s="105">
        <f t="shared" si="27"/>
        <v>0</v>
      </c>
      <c r="X184" s="101">
        <f>IF((Sheet1!EX184-Sheet1!EX183)&lt;0,(Sheet1!EX184+100000-Sheet1!EX183)/1000,(Sheet1!EX184-Sheet1!EX183)/1000)</f>
        <v>0.88900000000000001</v>
      </c>
      <c r="Y184" s="106">
        <f>Calculation!DZ185+Calculation!EI184+'Calculations II'!O184-'Calculations II'!W184</f>
        <v>63.785369837773651</v>
      </c>
      <c r="Z184" s="106">
        <f>Y184-Sheet1!CP185</f>
        <v>47.025369837773653</v>
      </c>
      <c r="AA184" s="106">
        <f>Y184+Calculation!CZ185+Calculation!AI185</f>
        <v>73.359931909363837</v>
      </c>
      <c r="AC184" s="106">
        <f>Sheet1!AA184+Sheet1!AB184+BC184</f>
        <v>68.576063999999704</v>
      </c>
      <c r="AD184" s="106">
        <f>Sheet1!AA184+Sheet1!BN184+'Calculations II'!BC184-Calculation!AI184-Calculation!CZ184</f>
        <v>49.13616773443993</v>
      </c>
      <c r="AE184" s="106">
        <f>Sheet1!AA184+Sheet1!AB184+'Calculations II'!BC184-Calculation!AI184-Calculation!CZ184</f>
        <v>58.906167734439634</v>
      </c>
      <c r="AF184" s="106">
        <f>Sheet1!AA184+Sheet1!BN184+P184+'Calculations II'!BC184+Calculation!AI184+Calculation!CZ184</f>
        <v>64.501852343338101</v>
      </c>
      <c r="AG184" s="106">
        <f>Sheet1!AA184+Sheet1!BN184+'Calculations II'!BC184+'Calculations II'!P184-Sheet1!CP184-BP184</f>
        <v>37.881956077778028</v>
      </c>
      <c r="AH184" s="106">
        <f>Sheet1!AA184+Sheet1!BN184+'Calculations II'!BC184+'Calculations II'!P184-BP184</f>
        <v>54.831956077778024</v>
      </c>
      <c r="AI184" s="106">
        <f>BC184+Sheet1!AA184+Calculation!EI184+O184+W184+Sheet1!BN184+Calculation!AI184+Calculation!CZ184-BP184</f>
        <v>64.501852343338101</v>
      </c>
      <c r="AJ184" s="106"/>
      <c r="AM184" s="102">
        <f t="shared" si="28"/>
        <v>40713</v>
      </c>
      <c r="AN184" s="106"/>
      <c r="AO184" s="106"/>
      <c r="AR184" s="106"/>
      <c r="AT184" s="101">
        <f>Sheet1!AR184*GPMtoMGD</f>
        <v>0</v>
      </c>
      <c r="AU184" s="101">
        <f>Sheet1!AS184*GPMtoMGD</f>
        <v>2.7360000000000002E-2</v>
      </c>
      <c r="AV184" s="101">
        <f>Sheet1!AT184*GPMtoMGD</f>
        <v>0</v>
      </c>
      <c r="AW184" s="101">
        <f>Sheet1!AV184*GPMtoMGD</f>
        <v>0.71020800000000006</v>
      </c>
      <c r="AX184" s="101">
        <f>Sheet1!AW184*GPMtoMGD</f>
        <v>0.80208000000000002</v>
      </c>
      <c r="AY184" s="101">
        <f>Sheet1!AX184*GPMtoMGD</f>
        <v>0</v>
      </c>
      <c r="AZ184" s="101">
        <f>Sheet1!AY184*GPMtoMGD</f>
        <v>0</v>
      </c>
      <c r="BA184" s="101">
        <f>Sheet1!AZ184*GPMtoMGD</f>
        <v>0</v>
      </c>
      <c r="BB184" s="101">
        <f>Sheet1!BP184*GPMtoMGD</f>
        <v>0</v>
      </c>
      <c r="BC184" s="101">
        <f>Sheet1!CO184*GPMtoMGD</f>
        <v>6.1460640000000009</v>
      </c>
      <c r="BD184" s="101">
        <f>Sheet1!BO184*GPMtoMGD</f>
        <v>2.9164319999999999</v>
      </c>
      <c r="BE184" s="101">
        <f>Sheet1!BV184*GPMtoMGD</f>
        <v>1.226736</v>
      </c>
      <c r="BF184" s="101">
        <f>Sheet1!CJ184*GPMtoMGD</f>
        <v>0.74692800000000015</v>
      </c>
      <c r="BG184" s="101">
        <f>Sheet1!CK184*GPMtoMGD</f>
        <v>0.95918400000000015</v>
      </c>
      <c r="BH184" s="101">
        <f>Sheet1!CL184*GPMtoMGD</f>
        <v>0.8121600000000001</v>
      </c>
      <c r="BI184" s="101">
        <f t="shared" si="29"/>
        <v>2.9164319999999999</v>
      </c>
      <c r="BK184" s="106">
        <f>SUM(AT184:BA184,BE184,Sheet1!BU184,'Calculations II'!BC184,Calculation!AG184)</f>
        <v>51.612551734439641</v>
      </c>
      <c r="BM184" s="439">
        <f>IF(AND(Sheet1!BQ184&lt;=11.5,Sheet1!BQ183&gt;Sheet1!BQ184),(MIN(Lookup!$C$119,VLOOKUP(Sheet1!BQ183,Lookup!$B$4:$J$236,2))-VLOOKUP(Sheet1!BQ184,Lookup!$B$4:$J$236,2))/1000000,0)</f>
        <v>0</v>
      </c>
      <c r="BN184" s="439">
        <f>IF(AND(Sheet1!BR184&lt;=11.5,Sheet1!BR183&gt;Sheet1!BR184),(MIN(Lookup!$D$119,VLOOKUP(Sheet1!BR183,Lookup!$B$4:$J$236,3))-VLOOKUP(Sheet1!BR184,Lookup!$B$4:$J$236,3))/1000000,0)</f>
        <v>0</v>
      </c>
      <c r="BP184" s="105">
        <f>SUM(BM184:BN184,W184,Sheet1!DT184)</f>
        <v>0</v>
      </c>
    </row>
    <row r="185" spans="1:68" s="101" customFormat="1">
      <c r="A185" s="101" t="s">
        <v>3</v>
      </c>
      <c r="B185" s="103">
        <v>40714</v>
      </c>
      <c r="C185" s="104">
        <v>0.33333333333357601</v>
      </c>
      <c r="E185" s="30"/>
      <c r="F185" s="30">
        <f>-(VLOOKUP(Sheet1!BZ185,Lookup!$I$4:$J$216,2)-VLOOKUP(Sheet1!BZ184,Lookup!$I$4:$J$216,2))/1000000</f>
        <v>-3.109108156433996</v>
      </c>
      <c r="G185" s="106">
        <f>-$G$6*(Sheet1!CB185-Sheet1!CB184)*7.48/1000000</f>
        <v>0.51627551368326974</v>
      </c>
      <c r="H185" s="106">
        <f>-$H$6*(Sheet1!CA185-Sheet1!CA184)*7.48/1000000</f>
        <v>0.12031545881012112</v>
      </c>
      <c r="I185" s="106">
        <f>-$I$6*(Sheet1!CC185-Sheet1!CC184)*7.48/1000000</f>
        <v>-5.3974525284081275E-2</v>
      </c>
      <c r="J185" s="107" t="s">
        <v>193</v>
      </c>
      <c r="K185" s="106">
        <f>-$I$6*(Sheet1!CD185-Sheet1!CD184)*7.48/1000000</f>
        <v>-5.3974525284080956E-2</v>
      </c>
      <c r="L185" s="107" t="s">
        <v>193</v>
      </c>
      <c r="M185" s="106">
        <f>-$M$6*(Sheet1!CE185-Sheet1!CE184)*7.48/1000000</f>
        <v>-3.997992224675051E-2</v>
      </c>
      <c r="N185" s="106">
        <f>-$N$6*(Sheet1!CF185-Sheet1!CF184)*7.48/1000000</f>
        <v>0.62052345394623898</v>
      </c>
      <c r="O185" s="106">
        <f t="shared" si="25"/>
        <v>-1.9999227028092785</v>
      </c>
      <c r="P185" s="106">
        <f>O185+Calculation!EI185</f>
        <v>-10.12742270280928</v>
      </c>
      <c r="Q185" s="101" t="str">
        <f>IF(Sheet1!BQ185&gt;21.75,"spill elevation","-")</f>
        <v>-</v>
      </c>
      <c r="R185" s="101" t="str">
        <f>IF(Sheet1!BR185&gt;21.75,"spill elevation","-")</f>
        <v>-</v>
      </c>
      <c r="S185" s="101" t="str">
        <f>IF(Sheet1!BS185&gt;21.75,"spill elevation","-")</f>
        <v>-</v>
      </c>
      <c r="T185" s="105">
        <f>IF(Sheet1!DQ185=1,Sheet1!AA185-(SUM(AT185:BA185)+BE185),Sheet1!AA185-SUM(AT185:BA185))</f>
        <v>31.885819199999997</v>
      </c>
      <c r="U185" s="105">
        <f>Sheet1!BU185</f>
        <v>29.2</v>
      </c>
      <c r="V185" s="105">
        <f t="shared" si="26"/>
        <v>2.6858191999999974</v>
      </c>
      <c r="W185" s="105">
        <f t="shared" si="27"/>
        <v>0</v>
      </c>
      <c r="X185" s="101">
        <f>IF((Sheet1!EX185-Sheet1!EX184)&lt;0,(Sheet1!EX185+100000-Sheet1!EX184)/1000,(Sheet1!EX185-Sheet1!EX184)/1000)</f>
        <v>0.91</v>
      </c>
      <c r="Y185" s="106">
        <f>Calculation!DZ186+Calculation!EI185+'Calculations II'!O185-'Calculations II'!W185</f>
        <v>54.032497297193338</v>
      </c>
      <c r="Z185" s="106">
        <f>Y185-Sheet1!CP186</f>
        <v>36.302497297193341</v>
      </c>
      <c r="AA185" s="106">
        <f>Y185+Calculation!CZ186+Calculation!AI186</f>
        <v>63.727369092065842</v>
      </c>
      <c r="AC185" s="106">
        <f>Sheet1!AA185+Sheet1!AB185+BC185</f>
        <v>67.759477759995633</v>
      </c>
      <c r="AD185" s="106">
        <f>Sheet1!AA185+Sheet1!BN185+'Calculations II'!BC185-Calculation!AI185-Calculation!CZ185</f>
        <v>48.584915688409815</v>
      </c>
      <c r="AE185" s="106">
        <f>Sheet1!AA185+Sheet1!AB185+'Calculations II'!BC185-Calculation!AI185-Calculation!CZ185</f>
        <v>58.184915688405447</v>
      </c>
      <c r="AF185" s="106">
        <f>Sheet1!AA185+Sheet1!BN185+P185+'Calculations II'!BC185+Calculation!AI185+Calculation!CZ185</f>
        <v>57.606617128780904</v>
      </c>
      <c r="AG185" s="106">
        <f>Sheet1!AA185+Sheet1!BN185+'Calculations II'!BC185+'Calculations II'!P185-Sheet1!CP185-BP185</f>
        <v>31.272055057190716</v>
      </c>
      <c r="AH185" s="106">
        <f>Sheet1!AA185+Sheet1!BN185+'Calculations II'!BC185+'Calculations II'!P185-BP185</f>
        <v>48.032055057190718</v>
      </c>
      <c r="AI185" s="106">
        <f>BC185+Sheet1!AA185+Calculation!EI185+O185+W185+Sheet1!BN185+Calculation!AI185+Calculation!CZ185-BP185</f>
        <v>57.606617128780904</v>
      </c>
      <c r="AJ185" s="106"/>
      <c r="AM185" s="102">
        <f t="shared" si="28"/>
        <v>40714</v>
      </c>
      <c r="AN185" s="106"/>
      <c r="AO185" s="106"/>
      <c r="AR185" s="106"/>
      <c r="AT185" s="101">
        <f>Sheet1!AR185*GPMtoMGD</f>
        <v>0</v>
      </c>
      <c r="AU185" s="101">
        <f>Sheet1!AS185*GPMtoMGD</f>
        <v>5.04E-2</v>
      </c>
      <c r="AV185" s="101">
        <f>Sheet1!AT185*GPMtoMGD</f>
        <v>0</v>
      </c>
      <c r="AW185" s="101">
        <f>Sheet1!AV185*GPMtoMGD</f>
        <v>0.64656000000000002</v>
      </c>
      <c r="AX185" s="101">
        <f>Sheet1!AW185*GPMtoMGD</f>
        <v>0.71712000000000009</v>
      </c>
      <c r="AY185" s="101">
        <f>Sheet1!AX185*GPMtoMGD</f>
        <v>1.0080000000000001E-4</v>
      </c>
      <c r="AZ185" s="101">
        <f>Sheet1!AY185*GPMtoMGD</f>
        <v>0</v>
      </c>
      <c r="BA185" s="101">
        <f>Sheet1!AZ185*GPMtoMGD</f>
        <v>0</v>
      </c>
      <c r="BB185" s="101">
        <f>Sheet1!BP185*GPMtoMGD</f>
        <v>1.5840000000000001E-3</v>
      </c>
      <c r="BC185" s="101">
        <f>Sheet1!CO185*GPMtoMGD</f>
        <v>8.1594777600000015</v>
      </c>
      <c r="BD185" s="101">
        <f>Sheet1!BO185*GPMtoMGD</f>
        <v>2.2684320000000002</v>
      </c>
      <c r="BE185" s="101">
        <f>Sheet1!BV185*GPMtoMGD</f>
        <v>1.2816000000000001</v>
      </c>
      <c r="BF185" s="101">
        <f>Sheet1!CJ185*GPMtoMGD</f>
        <v>1.0123200000000001</v>
      </c>
      <c r="BG185" s="101">
        <f>Sheet1!CK185*GPMtoMGD</f>
        <v>1.0843200000000002</v>
      </c>
      <c r="BH185" s="101">
        <f>Sheet1!CL185*GPMtoMGD</f>
        <v>0.89971199999999996</v>
      </c>
      <c r="BI185" s="101">
        <f t="shared" si="29"/>
        <v>2.270016</v>
      </c>
      <c r="BK185" s="106">
        <f>SUM(AT185:BA185,BE185,Sheet1!BU185,'Calculations II'!BC185,Calculation!AG185)</f>
        <v>56.780696488405447</v>
      </c>
      <c r="BM185" s="439">
        <f>IF(AND(Sheet1!BQ185&lt;=11.5,Sheet1!BQ184&gt;Sheet1!BQ185),(MIN(Lookup!$C$119,VLOOKUP(Sheet1!BQ184,Lookup!$B$4:$J$236,2))-VLOOKUP(Sheet1!BQ185,Lookup!$B$4:$J$236,2))/1000000,0)</f>
        <v>0</v>
      </c>
      <c r="BN185" s="439">
        <f>IF(AND(Sheet1!BR185&lt;=11.5,Sheet1!BR184&gt;Sheet1!BR185),(MIN(Lookup!$D$119,VLOOKUP(Sheet1!BR184,Lookup!$B$4:$J$236,3))-VLOOKUP(Sheet1!BR185,Lookup!$B$4:$J$236,3))/1000000,0)</f>
        <v>0</v>
      </c>
      <c r="BP185" s="105">
        <f>SUM(BM185:BN185,W185,Sheet1!DT185)</f>
        <v>0</v>
      </c>
    </row>
    <row r="186" spans="1:68" s="101" customFormat="1">
      <c r="A186" s="101" t="s">
        <v>4</v>
      </c>
      <c r="B186" s="103">
        <v>40715</v>
      </c>
      <c r="C186" s="104">
        <v>0.33333333333357601</v>
      </c>
      <c r="E186" s="30"/>
      <c r="F186" s="30">
        <f>-(VLOOKUP(Sheet1!BZ186,Lookup!$I$4:$J$216,2)-VLOOKUP(Sheet1!BZ185,Lookup!$I$4:$J$216,2))/1000000</f>
        <v>0.31091081564338879</v>
      </c>
      <c r="G186" s="106">
        <f>-$G$6*(Sheet1!CB186-Sheet1!CB185)*7.48/1000000</f>
        <v>0.95312402526142392</v>
      </c>
      <c r="H186" s="106">
        <f>-$H$6*(Sheet1!CA186-Sheet1!CA185)*7.48/1000000</f>
        <v>0.19551262056644533</v>
      </c>
      <c r="I186" s="106">
        <f>-$I$6*(Sheet1!CC186-Sheet1!CC185)*7.48/1000000</f>
        <v>-0.23388960956435145</v>
      </c>
      <c r="J186" s="107" t="s">
        <v>193</v>
      </c>
      <c r="K186" s="106">
        <f>-$I$6*(Sheet1!CD186-Sheet1!CD185)*7.48/1000000</f>
        <v>-0.23388960956435173</v>
      </c>
      <c r="L186" s="107" t="s">
        <v>193</v>
      </c>
      <c r="M186" s="106">
        <f>-$M$6*(Sheet1!CE186-Sheet1!CE185)*7.48/1000000</f>
        <v>-8.6623164867959804E-2</v>
      </c>
      <c r="N186" s="106">
        <f>-$N$6*(Sheet1!CF186-Sheet1!CF185)*7.48/1000000</f>
        <v>0</v>
      </c>
      <c r="O186" s="106">
        <f t="shared" si="25"/>
        <v>0.90514507747459505</v>
      </c>
      <c r="P186" s="106">
        <f>O186+Calculation!EI186</f>
        <v>5.796445077474595</v>
      </c>
      <c r="Q186" s="101" t="str">
        <f>IF(Sheet1!BQ186&gt;21.75,"spill elevation","-")</f>
        <v>-</v>
      </c>
      <c r="R186" s="101" t="str">
        <f>IF(Sheet1!BR186&gt;21.75,"spill elevation","-")</f>
        <v>-</v>
      </c>
      <c r="S186" s="101" t="str">
        <f>IF(Sheet1!BS186&gt;21.75,"spill elevation","-")</f>
        <v>-</v>
      </c>
      <c r="T186" s="105">
        <f>IF(Sheet1!DQ186=1,Sheet1!AA186-(SUM(AT186:BA186)+BE186),Sheet1!AA186-SUM(AT186:BA186))</f>
        <v>31.759424000001165</v>
      </c>
      <c r="U186" s="105">
        <f>Sheet1!BU186</f>
        <v>35</v>
      </c>
      <c r="V186" s="105">
        <f t="shared" si="26"/>
        <v>-3.2405759999988355</v>
      </c>
      <c r="W186" s="105">
        <f t="shared" si="27"/>
        <v>0</v>
      </c>
      <c r="X186" s="101">
        <f>IF((Sheet1!EX186-Sheet1!EX185)&lt;0,(Sheet1!EX186+100000-Sheet1!EX185)/1000,(Sheet1!EX186-Sheet1!EX185)/1000)</f>
        <v>0.873</v>
      </c>
      <c r="Y186" s="106">
        <f>Calculation!DZ187+Calculation!EI186+'Calculations II'!O186-'Calculations II'!W186</f>
        <v>68.155943957458888</v>
      </c>
      <c r="Z186" s="106">
        <f>Y186-Sheet1!CP187</f>
        <v>52.505943957458889</v>
      </c>
      <c r="AA186" s="106">
        <f>Y186+Calculation!CZ187+Calculation!AI187</f>
        <v>78.036267680269802</v>
      </c>
      <c r="AC186" s="106">
        <f>Sheet1!AA186+Sheet1!AB186+BC186</f>
        <v>64.159920000002614</v>
      </c>
      <c r="AD186" s="106">
        <f>Sheet1!AA186+Sheet1!BN186+'Calculations II'!BC186-Calculation!AI186-Calculation!CZ186</f>
        <v>44.765048205128664</v>
      </c>
      <c r="AE186" s="106">
        <f>Sheet1!AA186+Sheet1!AB186+'Calculations II'!BC186-Calculation!AI186-Calculation!CZ186</f>
        <v>54.46504820513011</v>
      </c>
      <c r="AF186" s="106">
        <f>Sheet1!AA186+Sheet1!BN186+P186+'Calculations II'!BC186+Calculation!AI186+Calculation!CZ186</f>
        <v>69.951236872348261</v>
      </c>
      <c r="AG186" s="106">
        <f>Sheet1!AA186+Sheet1!BN186+'Calculations II'!BC186+'Calculations II'!P186-Sheet1!CP186-BP186</f>
        <v>42.526365077475759</v>
      </c>
      <c r="AH186" s="106">
        <f>Sheet1!AA186+Sheet1!BN186+'Calculations II'!BC186+'Calculations II'!P186-BP186</f>
        <v>60.256365077475763</v>
      </c>
      <c r="AI186" s="106">
        <f>BC186+Sheet1!AA186+Calculation!EI186+O186+W186+Sheet1!BN186+Calculation!AI186+Calculation!CZ186-BP186</f>
        <v>69.951236872348261</v>
      </c>
      <c r="AJ186" s="106"/>
      <c r="AM186" s="102">
        <f t="shared" si="28"/>
        <v>40715</v>
      </c>
      <c r="AN186" s="106"/>
      <c r="AO186" s="106"/>
      <c r="AR186" s="106"/>
      <c r="AT186" s="101">
        <f>Sheet1!AR186*GPMtoMGD</f>
        <v>0</v>
      </c>
      <c r="AU186" s="101">
        <f>Sheet1!AS186*GPMtoMGD</f>
        <v>2.8800000000000003E-2</v>
      </c>
      <c r="AV186" s="101">
        <f>Sheet1!AT186*GPMtoMGD</f>
        <v>0</v>
      </c>
      <c r="AW186" s="101">
        <f>Sheet1!AV186*GPMtoMGD</f>
        <v>0.78336000000000006</v>
      </c>
      <c r="AX186" s="101">
        <f>Sheet1!AW186*GPMtoMGD</f>
        <v>0.88963199999999998</v>
      </c>
      <c r="AY186" s="101">
        <f>Sheet1!AX186*GPMtoMGD</f>
        <v>8.7840000000000001E-3</v>
      </c>
      <c r="AZ186" s="101">
        <f>Sheet1!AY186*GPMtoMGD</f>
        <v>0</v>
      </c>
      <c r="BA186" s="101">
        <f>Sheet1!AZ186*GPMtoMGD</f>
        <v>0</v>
      </c>
      <c r="BB186" s="101">
        <f>Sheet1!BP186*GPMtoMGD</f>
        <v>6.4079999999999998E-2</v>
      </c>
      <c r="BC186" s="101">
        <f>Sheet1!CO186*GPMtoMGD</f>
        <v>10.78992</v>
      </c>
      <c r="BD186" s="101">
        <f>Sheet1!BO186*GPMtoMGD</f>
        <v>3.3612479999999998</v>
      </c>
      <c r="BE186" s="101">
        <f>Sheet1!BV186*GPMtoMGD</f>
        <v>1.344816</v>
      </c>
      <c r="BF186" s="101">
        <f>Sheet1!CJ186*GPMtoMGD</f>
        <v>1.3089600000000001</v>
      </c>
      <c r="BG186" s="101">
        <f>Sheet1!CK186*GPMtoMGD</f>
        <v>1.127232</v>
      </c>
      <c r="BH186" s="101">
        <f>Sheet1!CL186*GPMtoMGD</f>
        <v>0.95644800000000008</v>
      </c>
      <c r="BI186" s="101">
        <f t="shared" si="29"/>
        <v>3.4253279999999999</v>
      </c>
      <c r="BK186" s="106">
        <f>SUM(AT186:BA186,BE186,Sheet1!BU186,'Calculations II'!BC186,Calculation!AG186)</f>
        <v>59.05044020512895</v>
      </c>
      <c r="BM186" s="439">
        <f>IF(AND(Sheet1!BQ186&lt;=11.5,Sheet1!BQ185&gt;Sheet1!BQ186),(MIN(Lookup!$C$119,VLOOKUP(Sheet1!BQ185,Lookup!$B$4:$J$236,2))-VLOOKUP(Sheet1!BQ186,Lookup!$B$4:$J$236,2))/1000000,0)</f>
        <v>0</v>
      </c>
      <c r="BN186" s="439">
        <f>IF(AND(Sheet1!BR186&lt;=11.5,Sheet1!BR185&gt;Sheet1!BR186),(MIN(Lookup!$D$119,VLOOKUP(Sheet1!BR185,Lookup!$B$4:$J$236,3))-VLOOKUP(Sheet1!BR186,Lookup!$B$4:$J$236,3))/1000000,0)</f>
        <v>0</v>
      </c>
      <c r="BP186" s="105">
        <f>SUM(BM186:BN186,W186,Sheet1!DT186)</f>
        <v>0</v>
      </c>
    </row>
    <row r="187" spans="1:68" s="101" customFormat="1">
      <c r="A187" s="101" t="s">
        <v>5</v>
      </c>
      <c r="B187" s="103">
        <v>40716</v>
      </c>
      <c r="C187" s="104">
        <v>0.33333333333357601</v>
      </c>
      <c r="E187" s="30"/>
      <c r="F187" s="30">
        <f>-(VLOOKUP(Sheet1!BZ187,Lookup!$I$4:$J$216,2)-VLOOKUP(Sheet1!BZ186,Lookup!$I$4:$J$216,2))/1000000</f>
        <v>0.31091081564340367</v>
      </c>
      <c r="G187" s="106">
        <f>-$G$6*(Sheet1!CB187-Sheet1!CB186)*7.48/1000000</f>
        <v>-1.2311185326293388</v>
      </c>
      <c r="H187" s="106">
        <f>-$H$6*(Sheet1!CA187-Sheet1!CA186)*7.48/1000000</f>
        <v>0.31582807937656648</v>
      </c>
      <c r="I187" s="106">
        <f>-$I$6*(Sheet1!CC187-Sheet1!CC186)*7.48/1000000</f>
        <v>0.41380469384462187</v>
      </c>
      <c r="J187" s="107" t="s">
        <v>193</v>
      </c>
      <c r="K187" s="106">
        <f>-$I$6*(Sheet1!CD187-Sheet1!CD186)*7.48/1000000</f>
        <v>0.41380469384462221</v>
      </c>
      <c r="L187" s="107" t="s">
        <v>193</v>
      </c>
      <c r="M187" s="106">
        <f>-$M$6*(Sheet1!CE187-Sheet1!CE186)*7.48/1000000</f>
        <v>0.17324632973591936</v>
      </c>
      <c r="N187" s="106">
        <f>-$N$6*(Sheet1!CF187-Sheet1!CF186)*7.48/1000000</f>
        <v>0.4343664177623669</v>
      </c>
      <c r="O187" s="106">
        <f t="shared" si="25"/>
        <v>0.83084249757816164</v>
      </c>
      <c r="P187" s="106">
        <f>O187+Calculation!EI187</f>
        <v>2.9928424975781613</v>
      </c>
      <c r="Q187" s="101" t="str">
        <f>IF(Sheet1!BQ187&gt;21.75,"spill elevation","-")</f>
        <v>-</v>
      </c>
      <c r="R187" s="101" t="str">
        <f>IF(Sheet1!BR187&gt;21.75,"spill elevation","-")</f>
        <v>-</v>
      </c>
      <c r="S187" s="101" t="str">
        <f>IF(Sheet1!BS187&gt;21.75,"spill elevation","-")</f>
        <v>-</v>
      </c>
      <c r="T187" s="105">
        <f>IF(Sheet1!DQ187=1,Sheet1!AA187-(SUM(AT187:BA187)+BE187),Sheet1!AA187-SUM(AT187:BA187))</f>
        <v>32.905263999987191</v>
      </c>
      <c r="U187" s="105">
        <f>Sheet1!BU187</f>
        <v>41.8</v>
      </c>
      <c r="V187" s="105">
        <f t="shared" si="26"/>
        <v>-8.8947360000128057</v>
      </c>
      <c r="W187" s="105">
        <f t="shared" si="27"/>
        <v>0</v>
      </c>
      <c r="X187" s="101">
        <f>IF((Sheet1!EX187-Sheet1!EX186)&lt;0,(Sheet1!EX187+100000-Sheet1!EX186)/1000,(Sheet1!EX187-Sheet1!EX186)/1000)</f>
        <v>0.61199999999999999</v>
      </c>
      <c r="Y187" s="106">
        <f>Calculation!DZ188+Calculation!EI187+'Calculations II'!O187-'Calculations II'!W187</f>
        <v>67.352152577583993</v>
      </c>
      <c r="Z187" s="106">
        <f>Y187-Sheet1!CP188</f>
        <v>50.912152577583996</v>
      </c>
      <c r="AA187" s="106">
        <f>Y187+Calculation!CZ188+Calculation!AI188</f>
        <v>77.166006481866106</v>
      </c>
      <c r="AC187" s="106">
        <f>Sheet1!AA187+Sheet1!AB187+BC187</f>
        <v>62.359498879984287</v>
      </c>
      <c r="AD187" s="106">
        <f>Sheet1!AA187+Sheet1!BN187+'Calculations II'!BC187-Calculation!AI187-Calculation!CZ187</f>
        <v>42.379175157176277</v>
      </c>
      <c r="AE187" s="106">
        <f>Sheet1!AA187+Sheet1!AB187+'Calculations II'!BC187-Calculation!AI187-Calculation!CZ187</f>
        <v>52.479175157173373</v>
      </c>
      <c r="AF187" s="106">
        <f>Sheet1!AA187+Sheet1!BN187+P187+'Calculations II'!BC187+Calculation!AI187+Calculation!CZ187</f>
        <v>65.132665100376272</v>
      </c>
      <c r="AG187" s="106">
        <f>Sheet1!AA187+Sheet1!BN187+'Calculations II'!BC187+'Calculations II'!P187-Sheet1!CP187-BP187</f>
        <v>39.602341377565359</v>
      </c>
      <c r="AH187" s="106">
        <f>Sheet1!AA187+Sheet1!BN187+'Calculations II'!BC187+'Calculations II'!P187-BP187</f>
        <v>55.252341377565358</v>
      </c>
      <c r="AI187" s="106">
        <f>BC187+Sheet1!AA187+Calculation!EI187+O187+W187+Sheet1!BN187+Calculation!AI187+Calculation!CZ187-BP187</f>
        <v>65.132665100376272</v>
      </c>
      <c r="AJ187" s="106"/>
      <c r="AM187" s="102">
        <f t="shared" si="28"/>
        <v>40716</v>
      </c>
      <c r="AN187" s="106"/>
      <c r="AO187" s="106"/>
      <c r="AR187" s="106"/>
      <c r="AT187" s="101">
        <f>Sheet1!AR187*GPMtoMGD</f>
        <v>0</v>
      </c>
      <c r="AU187" s="101">
        <f>Sheet1!AS187*GPMtoMGD</f>
        <v>2.8080000000000001E-2</v>
      </c>
      <c r="AV187" s="101">
        <f>Sheet1!AT187*GPMtoMGD</f>
        <v>0</v>
      </c>
      <c r="AW187" s="101">
        <f>Sheet1!AV187*GPMtoMGD</f>
        <v>0.642096</v>
      </c>
      <c r="AX187" s="101">
        <f>Sheet1!AW187*GPMtoMGD</f>
        <v>0.74419199999999996</v>
      </c>
      <c r="AY187" s="101">
        <f>Sheet1!AX187*GPMtoMGD</f>
        <v>1.0368E-2</v>
      </c>
      <c r="AZ187" s="101">
        <f>Sheet1!AY187*GPMtoMGD</f>
        <v>0</v>
      </c>
      <c r="BA187" s="101">
        <f>Sheet1!AZ187*GPMtoMGD</f>
        <v>0</v>
      </c>
      <c r="BB187" s="101">
        <f>Sheet1!BP187*GPMtoMGD</f>
        <v>0</v>
      </c>
      <c r="BC187" s="101">
        <f>Sheet1!CO187*GPMtoMGD</f>
        <v>7.8294988800000009</v>
      </c>
      <c r="BD187" s="101">
        <f>Sheet1!BO187*GPMtoMGD</f>
        <v>2.2537440000000002</v>
      </c>
      <c r="BE187" s="101">
        <f>Sheet1!BV187*GPMtoMGD</f>
        <v>1.1450880000000001</v>
      </c>
      <c r="BF187" s="101">
        <f>Sheet1!CJ187*GPMtoMGD</f>
        <v>1.2574080000000001</v>
      </c>
      <c r="BG187" s="101">
        <f>Sheet1!CK187*GPMtoMGD</f>
        <v>1.0275840000000001</v>
      </c>
      <c r="BH187" s="101">
        <f>Sheet1!CL187*GPMtoMGD</f>
        <v>0.93801600000000007</v>
      </c>
      <c r="BI187" s="101">
        <f t="shared" si="29"/>
        <v>2.2537440000000002</v>
      </c>
      <c r="BK187" s="106">
        <f>SUM(AT187:BA187,BE187,Sheet1!BU187,'Calculations II'!BC187,Calculation!AG187)</f>
        <v>62.518999157186165</v>
      </c>
      <c r="BM187" s="439">
        <f>IF(AND(Sheet1!BQ187&lt;=11.5,Sheet1!BQ186&gt;Sheet1!BQ187),(MIN(Lookup!$C$119,VLOOKUP(Sheet1!BQ186,Lookup!$B$4:$J$236,2))-VLOOKUP(Sheet1!BQ187,Lookup!$B$4:$J$236,2))/1000000,0)</f>
        <v>0</v>
      </c>
      <c r="BN187" s="439">
        <f>IF(AND(Sheet1!BR187&lt;=11.5,Sheet1!BR186&gt;Sheet1!BR187),(MIN(Lookup!$D$119,VLOOKUP(Sheet1!BR186,Lookup!$B$4:$J$236,3))-VLOOKUP(Sheet1!BR187,Lookup!$B$4:$J$236,3))/1000000,0)</f>
        <v>0</v>
      </c>
      <c r="BP187" s="105">
        <f>SUM(BM187:BN187,W187,Sheet1!DT187)</f>
        <v>0</v>
      </c>
    </row>
    <row r="188" spans="1:68" s="101" customFormat="1">
      <c r="A188" s="101" t="s">
        <v>6</v>
      </c>
      <c r="B188" s="103">
        <v>40717</v>
      </c>
      <c r="C188" s="104">
        <v>0.33333333333357601</v>
      </c>
      <c r="E188" s="30"/>
      <c r="F188" s="30">
        <f>-(VLOOKUP(Sheet1!BZ188,Lookup!$I$4:$J$216,2)-VLOOKUP(Sheet1!BZ187,Lookup!$I$4:$J$216,2))/1000000</f>
        <v>0.41454775419120493</v>
      </c>
      <c r="G188" s="106">
        <f>-$G$6*(Sheet1!CB188-Sheet1!CB187)*7.48/1000000</f>
        <v>-3.9713501052558449E-2</v>
      </c>
      <c r="H188" s="106">
        <f>-$H$6*(Sheet1!CA188-Sheet1!CA187)*7.48/1000000</f>
        <v>6.0157729405060027E-2</v>
      </c>
      <c r="I188" s="106">
        <f>-$I$6*(Sheet1!CC188-Sheet1!CC187)*7.48/1000000</f>
        <v>-0.26987262642040577</v>
      </c>
      <c r="J188" s="107" t="s">
        <v>193</v>
      </c>
      <c r="K188" s="106">
        <f>-$I$6*(Sheet1!CD188-Sheet1!CD187)*7.48/1000000</f>
        <v>-0.25188111799237872</v>
      </c>
      <c r="L188" s="107" t="s">
        <v>193</v>
      </c>
      <c r="M188" s="106">
        <f>-$M$6*(Sheet1!CE188-Sheet1!CE187)*7.48/1000000</f>
        <v>-0.11327644636579347</v>
      </c>
      <c r="N188" s="106">
        <f>-$N$6*(Sheet1!CF188-Sheet1!CF187)*7.48/1000000</f>
        <v>-0.62052345394623898</v>
      </c>
      <c r="O188" s="106">
        <f t="shared" si="25"/>
        <v>-0.82056166218111048</v>
      </c>
      <c r="P188" s="106">
        <f>O188+Calculation!EI188</f>
        <v>2.3884383378188896</v>
      </c>
      <c r="Q188" s="101" t="str">
        <f>IF(Sheet1!BQ188&gt;21.75,"spill elevation","-")</f>
        <v>-</v>
      </c>
      <c r="R188" s="101" t="str">
        <f>IF(Sheet1!BR188&gt;21.75,"spill elevation","-")</f>
        <v>-</v>
      </c>
      <c r="S188" s="101" t="str">
        <f>IF(Sheet1!BS188&gt;21.75,"spill elevation","-")</f>
        <v>-</v>
      </c>
      <c r="T188" s="105">
        <f>IF(Sheet1!DQ188=1,Sheet1!AA188-(SUM(AT188:BA188)+BE188),Sheet1!AA188-SUM(AT188:BA188))</f>
        <v>32.077992000005821</v>
      </c>
      <c r="U188" s="105">
        <f>Sheet1!BU188</f>
        <v>47</v>
      </c>
      <c r="V188" s="105">
        <f t="shared" si="26"/>
        <v>-14.922007999994179</v>
      </c>
      <c r="W188" s="105">
        <f t="shared" si="27"/>
        <v>0</v>
      </c>
      <c r="X188" s="101">
        <f>IF((Sheet1!EX188-Sheet1!EX187)&lt;0,(Sheet1!EX188+100000-Sheet1!EX187)/1000,(Sheet1!EX188-Sheet1!EX187)/1000)</f>
        <v>0.59099999999999997</v>
      </c>
      <c r="Y188" s="106">
        <f>Calculation!DZ189+Calculation!EI188+'Calculations II'!O188-'Calculations II'!W188</f>
        <v>68.257750977825296</v>
      </c>
      <c r="Z188" s="106">
        <f>Y188-Sheet1!CP189</f>
        <v>50.887750977825291</v>
      </c>
      <c r="AA188" s="106">
        <f>Y188+Calculation!CZ189+Calculation!AI189</f>
        <v>78.474476889892642</v>
      </c>
      <c r="AC188" s="106">
        <f>Sheet1!AA188+Sheet1!AB188+BC188</f>
        <v>64.359310080005827</v>
      </c>
      <c r="AD188" s="106">
        <f>Sheet1!AA188+Sheet1!BN188+'Calculations II'!BC188-Calculation!AI188-Calculation!CZ188</f>
        <v>44.665456175723705</v>
      </c>
      <c r="AE188" s="106">
        <f>Sheet1!AA188+Sheet1!AB188+'Calculations II'!BC188-Calculation!AI188-Calculation!CZ188</f>
        <v>54.545456175723714</v>
      </c>
      <c r="AF188" s="106">
        <f>Sheet1!AA188+Sheet1!BN188+P188+'Calculations II'!BC188+Calculation!AI188+Calculation!CZ188</f>
        <v>66.681602322106826</v>
      </c>
      <c r="AG188" s="106">
        <f>Sheet1!AA188+Sheet1!BN188+'Calculations II'!BC188+'Calculations II'!P188-Sheet1!CP188-BP188</f>
        <v>40.427748417824716</v>
      </c>
      <c r="AH188" s="106">
        <f>Sheet1!AA188+Sheet1!BN188+'Calculations II'!BC188+'Calculations II'!P188-BP188</f>
        <v>56.867748417824714</v>
      </c>
      <c r="AI188" s="106">
        <f>BC188+Sheet1!AA188+Calculation!EI188+O188+W188+Sheet1!BN188+Calculation!AI188+Calculation!CZ188-BP188</f>
        <v>66.681602322106826</v>
      </c>
      <c r="AJ188" s="106"/>
      <c r="AM188" s="102">
        <f t="shared" si="28"/>
        <v>40717</v>
      </c>
      <c r="AN188" s="106"/>
      <c r="AO188" s="106"/>
      <c r="AR188" s="106"/>
      <c r="AT188" s="101">
        <f>Sheet1!AR188*GPMtoMGD</f>
        <v>0</v>
      </c>
      <c r="AU188" s="101">
        <f>Sheet1!AS188*GPMtoMGD</f>
        <v>5.1408000000000009E-2</v>
      </c>
      <c r="AV188" s="101">
        <f>Sheet1!AT188*GPMtoMGD</f>
        <v>0</v>
      </c>
      <c r="AW188" s="101">
        <f>Sheet1!AV188*GPMtoMGD</f>
        <v>0.68918400000000013</v>
      </c>
      <c r="AX188" s="101">
        <f>Sheet1!AW188*GPMtoMGD</f>
        <v>0.78134400000000004</v>
      </c>
      <c r="AY188" s="101">
        <f>Sheet1!AX188*GPMtoMGD</f>
        <v>7.2000000000000002E-5</v>
      </c>
      <c r="AZ188" s="101">
        <f>Sheet1!AY188*GPMtoMGD</f>
        <v>0</v>
      </c>
      <c r="BA188" s="101">
        <f>Sheet1!AZ188*GPMtoMGD</f>
        <v>0</v>
      </c>
      <c r="BB188" s="101">
        <f>Sheet1!BP188*GPMtoMGD</f>
        <v>0</v>
      </c>
      <c r="BC188" s="101">
        <f>Sheet1!CO188*GPMtoMGD</f>
        <v>10.77931008</v>
      </c>
      <c r="BD188" s="101">
        <f>Sheet1!BO188*GPMtoMGD</f>
        <v>3.3023520000000004</v>
      </c>
      <c r="BE188" s="101">
        <f>Sheet1!BV188*GPMtoMGD</f>
        <v>1.3003200000000001</v>
      </c>
      <c r="BF188" s="101">
        <f>Sheet1!CJ188*GPMtoMGD</f>
        <v>1.2150719999999999</v>
      </c>
      <c r="BG188" s="101">
        <f>Sheet1!CK188*GPMtoMGD</f>
        <v>1.0376640000000001</v>
      </c>
      <c r="BH188" s="101">
        <f>Sheet1!CL188*GPMtoMGD</f>
        <v>0.95169599999999999</v>
      </c>
      <c r="BI188" s="101">
        <f t="shared" si="29"/>
        <v>3.3023520000000004</v>
      </c>
      <c r="BK188" s="106">
        <f>SUM(AT188:BA188,BE188,Sheet1!BU188,'Calculations II'!BC188,Calculation!AG188)</f>
        <v>70.767784175717878</v>
      </c>
      <c r="BM188" s="439">
        <f>IF(AND(Sheet1!BQ188&lt;=11.5,Sheet1!BQ187&gt;Sheet1!BQ188),(MIN(Lookup!$C$119,VLOOKUP(Sheet1!BQ187,Lookup!$B$4:$J$236,2))-VLOOKUP(Sheet1!BQ188,Lookup!$B$4:$J$236,2))/1000000,0)</f>
        <v>0</v>
      </c>
      <c r="BN188" s="439">
        <f>IF(AND(Sheet1!BR188&lt;=11.5,Sheet1!BR187&gt;Sheet1!BR188),(MIN(Lookup!$D$119,VLOOKUP(Sheet1!BR187,Lookup!$B$4:$J$236,3))-VLOOKUP(Sheet1!BR188,Lookup!$B$4:$J$236,3))/1000000,0)</f>
        <v>0</v>
      </c>
      <c r="BP188" s="105">
        <f>SUM(BM188:BN188,W188,Sheet1!DT188)</f>
        <v>0</v>
      </c>
    </row>
    <row r="189" spans="1:68" s="101" customFormat="1">
      <c r="A189" s="101" t="s">
        <v>7</v>
      </c>
      <c r="B189" s="103">
        <v>40718</v>
      </c>
      <c r="C189" s="104">
        <v>0.33333333333357601</v>
      </c>
      <c r="E189" s="30"/>
      <c r="F189" s="30">
        <f>-(VLOOKUP(Sheet1!BZ189,Lookup!$I$4:$J$216,2)-VLOOKUP(Sheet1!BZ188,Lookup!$I$4:$J$216,2))/1000000</f>
        <v>-0.20727387709560247</v>
      </c>
      <c r="G189" s="106">
        <f>-$G$6*(Sheet1!CB189-Sheet1!CB188)*7.48/1000000</f>
        <v>-7.9427002105119729E-2</v>
      </c>
      <c r="H189" s="106">
        <f>-$H$6*(Sheet1!CA189-Sheet1!CA188)*7.48/1000000</f>
        <v>3.0078864702530548E-2</v>
      </c>
      <c r="I189" s="106">
        <f>-$I$6*(Sheet1!CC189-Sheet1!CC188)*7.48/1000000</f>
        <v>-1.7991508428026985E-2</v>
      </c>
      <c r="J189" s="107" t="s">
        <v>193</v>
      </c>
      <c r="K189" s="106">
        <f>-$I$6*(Sheet1!CD189-Sheet1!CD188)*7.48/1000000</f>
        <v>-3.598301685605397E-2</v>
      </c>
      <c r="L189" s="107" t="s">
        <v>193</v>
      </c>
      <c r="M189" s="106">
        <f>-$M$6*(Sheet1!CE189-Sheet1!CE188)*7.48/1000000</f>
        <v>6.6633203744585374E-3</v>
      </c>
      <c r="N189" s="106">
        <f>-$N$6*(Sheet1!CF189-Sheet1!CF188)*7.48/1000000</f>
        <v>0.18615703618387214</v>
      </c>
      <c r="O189" s="106">
        <f t="shared" si="25"/>
        <v>-0.1177761832239419</v>
      </c>
      <c r="P189" s="106">
        <f>O189+Calculation!EI189</f>
        <v>-0.65147618322394196</v>
      </c>
      <c r="Q189" s="101" t="str">
        <f>IF(Sheet1!BQ189&gt;21.75,"spill elevation","-")</f>
        <v>-</v>
      </c>
      <c r="R189" s="101" t="str">
        <f>IF(Sheet1!BR189&gt;21.75,"spill elevation","-")</f>
        <v>-</v>
      </c>
      <c r="S189" s="101" t="str">
        <f>IF(Sheet1!BS189&gt;21.75,"spill elevation","-")</f>
        <v>-</v>
      </c>
      <c r="T189" s="105">
        <f>IF(Sheet1!DQ189=1,Sheet1!AA189-(SUM(AT189:BA189)+BE189),Sheet1!AA189-SUM(AT189:BA189))</f>
        <v>32.528176000006404</v>
      </c>
      <c r="U189" s="105">
        <f>Sheet1!BU189</f>
        <v>30.3</v>
      </c>
      <c r="V189" s="105">
        <f t="shared" si="26"/>
        <v>2.2281760000064033</v>
      </c>
      <c r="W189" s="105">
        <f t="shared" si="27"/>
        <v>0</v>
      </c>
      <c r="X189" s="101">
        <f>IF((Sheet1!EX189-Sheet1!EX188)&lt;0,(Sheet1!EX189+100000-Sheet1!EX188)/1000,(Sheet1!EX189-Sheet1!EX188)/1000)</f>
        <v>0.55500000000000005</v>
      </c>
      <c r="Y189" s="106">
        <f>Calculation!DZ190+Calculation!EI189+'Calculations II'!O189-'Calculations II'!W189</f>
        <v>69.297838376766748</v>
      </c>
      <c r="Z189" s="106">
        <f>Y189-Sheet1!CP190</f>
        <v>52.077838376766749</v>
      </c>
      <c r="AA189" s="106">
        <f>Y189+Calculation!CZ190+Calculation!AI190</f>
        <v>79.823372005442948</v>
      </c>
      <c r="AC189" s="106">
        <f>Sheet1!AA189+Sheet1!AB189+BC189</f>
        <v>65.869312640006399</v>
      </c>
      <c r="AD189" s="106">
        <f>Sheet1!AA189+Sheet1!BN189+'Calculations II'!BC189-Calculation!AI189-Calculation!CZ189</f>
        <v>45.282586727939048</v>
      </c>
      <c r="AE189" s="106">
        <f>Sheet1!AA189+Sheet1!AB189+'Calculations II'!BC189-Calculation!AI189-Calculation!CZ189</f>
        <v>55.652586727939045</v>
      </c>
      <c r="AF189" s="106">
        <f>Sheet1!AA189+Sheet1!BN189+P189+'Calculations II'!BC189+Calculation!AI189+Calculation!CZ189</f>
        <v>65.064562368849806</v>
      </c>
      <c r="AG189" s="106">
        <f>Sheet1!AA189+Sheet1!BN189+'Calculations II'!BC189+'Calculations II'!P189-Sheet1!CP189-BP189</f>
        <v>37.477836456782455</v>
      </c>
      <c r="AH189" s="106">
        <f>Sheet1!AA189+Sheet1!BN189+'Calculations II'!BC189+'Calculations II'!P189-BP189</f>
        <v>54.84783645678246</v>
      </c>
      <c r="AI189" s="106">
        <f>BC189+Sheet1!AA189+Calculation!EI189+O189+W189+Sheet1!BN189+Calculation!AI189+Calculation!CZ189-BP189</f>
        <v>65.064562368849806</v>
      </c>
      <c r="AJ189" s="106"/>
      <c r="AM189" s="102">
        <f t="shared" si="28"/>
        <v>40718</v>
      </c>
      <c r="AN189" s="106"/>
      <c r="AO189" s="106"/>
      <c r="AR189" s="106"/>
      <c r="AT189" s="101">
        <f>Sheet1!AR189*GPMtoMGD</f>
        <v>0</v>
      </c>
      <c r="AU189" s="101">
        <f>Sheet1!AS189*GPMtoMGD</f>
        <v>2.6064000000000004E-2</v>
      </c>
      <c r="AV189" s="101">
        <f>Sheet1!AT189*GPMtoMGD</f>
        <v>0</v>
      </c>
      <c r="AW189" s="101">
        <f>Sheet1!AV189*GPMtoMGD</f>
        <v>0.15134400000000001</v>
      </c>
      <c r="AX189" s="101">
        <f>Sheet1!AW189*GPMtoMGD</f>
        <v>0.74779200000000001</v>
      </c>
      <c r="AY189" s="101">
        <f>Sheet1!AX189*GPMtoMGD</f>
        <v>6.6239999999999997E-3</v>
      </c>
      <c r="AZ189" s="101">
        <f>Sheet1!AY189*GPMtoMGD</f>
        <v>0</v>
      </c>
      <c r="BA189" s="101">
        <f>Sheet1!AZ189*GPMtoMGD</f>
        <v>0</v>
      </c>
      <c r="BB189" s="101">
        <f>Sheet1!BP189*GPMtoMGD</f>
        <v>0</v>
      </c>
      <c r="BC189" s="101">
        <f>Sheet1!CO189*GPMtoMGD</f>
        <v>10.73931264</v>
      </c>
      <c r="BD189" s="101">
        <f>Sheet1!BO189*GPMtoMGD</f>
        <v>3.0372479999999999</v>
      </c>
      <c r="BE189" s="101">
        <f>Sheet1!BV189*GPMtoMGD</f>
        <v>0.70041600000000004</v>
      </c>
      <c r="BF189" s="101">
        <f>Sheet1!CJ189*GPMtoMGD</f>
        <v>1.1746080000000001</v>
      </c>
      <c r="BG189" s="101">
        <f>Sheet1!CK189*GPMtoMGD</f>
        <v>1.0582560000000001</v>
      </c>
      <c r="BH189" s="101">
        <f>Sheet1!CL189*GPMtoMGD</f>
        <v>0.91224000000000005</v>
      </c>
      <c r="BI189" s="101">
        <f t="shared" si="29"/>
        <v>3.0372479999999999</v>
      </c>
      <c r="BK189" s="106">
        <f>SUM(AT189:BA189,BE189,Sheet1!BU189,'Calculations II'!BC189,Calculation!AG189)</f>
        <v>54.12482672793265</v>
      </c>
      <c r="BM189" s="439">
        <f>IF(AND(Sheet1!BQ189&lt;=11.5,Sheet1!BQ188&gt;Sheet1!BQ189),(MIN(Lookup!$C$119,VLOOKUP(Sheet1!BQ188,Lookup!$B$4:$J$236,2))-VLOOKUP(Sheet1!BQ189,Lookup!$B$4:$J$236,2))/1000000,0)</f>
        <v>0</v>
      </c>
      <c r="BN189" s="439">
        <f>IF(AND(Sheet1!BR189&lt;=11.5,Sheet1!BR188&gt;Sheet1!BR189),(MIN(Lookup!$D$119,VLOOKUP(Sheet1!BR188,Lookup!$B$4:$J$236,3))-VLOOKUP(Sheet1!BR189,Lookup!$B$4:$J$236,3))/1000000,0)</f>
        <v>0</v>
      </c>
      <c r="BP189" s="105">
        <f>SUM(BM189:BN189,W189,Sheet1!DT189)</f>
        <v>0</v>
      </c>
    </row>
    <row r="190" spans="1:68" s="101" customFormat="1">
      <c r="A190" s="101" t="s">
        <v>8</v>
      </c>
      <c r="B190" s="103">
        <v>40719</v>
      </c>
      <c r="C190" s="104">
        <v>0.33333333333357601</v>
      </c>
      <c r="E190" s="30"/>
      <c r="F190" s="30">
        <f>-(VLOOKUP(Sheet1!BZ190,Lookup!$I$4:$J$216,2)-VLOOKUP(Sheet1!BZ189,Lookup!$I$4:$J$216,2))/1000000</f>
        <v>0.31091081564339623</v>
      </c>
      <c r="G190" s="106">
        <f>-$G$6*(Sheet1!CB190-Sheet1!CB189)*7.48/1000000</f>
        <v>7.9427002105119729E-2</v>
      </c>
      <c r="H190" s="106">
        <f>-$H$6*(Sheet1!CA190-Sheet1!CA189)*7.48/1000000</f>
        <v>-6.0157729405060562E-2</v>
      </c>
      <c r="I190" s="106">
        <f>-$I$6*(Sheet1!CC190-Sheet1!CC189)*7.48/1000000</f>
        <v>0.12594055899618922</v>
      </c>
      <c r="J190" s="107" t="s">
        <v>193</v>
      </c>
      <c r="K190" s="106">
        <f>-$I$6*(Sheet1!CD190-Sheet1!CD189)*7.48/1000000</f>
        <v>0.12594055899618922</v>
      </c>
      <c r="L190" s="107" t="s">
        <v>193</v>
      </c>
      <c r="M190" s="106">
        <f>-$M$6*(Sheet1!CE190-Sheet1!CE189)*7.48/1000000</f>
        <v>2.6653281497833674E-2</v>
      </c>
      <c r="N190" s="106">
        <f>-$N$6*(Sheet1!CF190-Sheet1!CF189)*7.48/1000000</f>
        <v>0</v>
      </c>
      <c r="O190" s="106">
        <f t="shared" si="25"/>
        <v>0.60871448783366744</v>
      </c>
      <c r="P190" s="106">
        <f>O190+Calculation!EI190</f>
        <v>-3.1475855121663328</v>
      </c>
      <c r="Q190" s="101" t="str">
        <f>IF(Sheet1!BQ190&gt;21.75,"spill elevation","-")</f>
        <v>-</v>
      </c>
      <c r="R190" s="101" t="str">
        <f>IF(Sheet1!BR190&gt;21.75,"spill elevation","-")</f>
        <v>-</v>
      </c>
      <c r="S190" s="101" t="str">
        <f>IF(Sheet1!BS190&gt;21.75,"spill elevation","-")</f>
        <v>-</v>
      </c>
      <c r="T190" s="105">
        <f>IF(Sheet1!DQ190=1,Sheet1!AA190-(SUM(AT190:BA190)+BE190),Sheet1!AA190-SUM(AT190:BA190))</f>
        <v>32.228559999987773</v>
      </c>
      <c r="U190" s="105">
        <f>Sheet1!BU190</f>
        <v>25.8</v>
      </c>
      <c r="V190" s="105">
        <f t="shared" si="26"/>
        <v>6.4285599999877725</v>
      </c>
      <c r="W190" s="105">
        <f t="shared" si="27"/>
        <v>0</v>
      </c>
      <c r="X190" s="101">
        <f>IF((Sheet1!EX190-Sheet1!EX189)&lt;0,(Sheet1!EX190+100000-Sheet1!EX189)/1000,(Sheet1!EX190-Sheet1!EX189)/1000)</f>
        <v>0.58099999999999996</v>
      </c>
      <c r="Y190" s="106">
        <f>Calculation!DZ191+Calculation!EI190+'Calculations II'!O190-'Calculations II'!W190</f>
        <v>65.441730327842407</v>
      </c>
      <c r="Z190" s="106">
        <f>Y190-Sheet1!CP191</f>
        <v>48.011730327842407</v>
      </c>
      <c r="AA190" s="106">
        <f>Y190+Calculation!CZ191+Calculation!AI191</f>
        <v>75.653461719426957</v>
      </c>
      <c r="AC190" s="106">
        <f>Sheet1!AA190+Sheet1!AB190+BC190</f>
        <v>69.949314559990682</v>
      </c>
      <c r="AD190" s="106">
        <f>Sheet1!AA190+Sheet1!BN190+'Calculations II'!BC190-Calculation!AI190-Calculation!CZ190</f>
        <v>48.623780931311579</v>
      </c>
      <c r="AE190" s="106">
        <f>Sheet1!AA190+Sheet1!AB190+'Calculations II'!BC190-Calculation!AI190-Calculation!CZ190</f>
        <v>59.423780931314482</v>
      </c>
      <c r="AF190" s="106">
        <f>Sheet1!AA190+Sheet1!BN190+P190+'Calculations II'!BC190+Calculation!AI190+Calculation!CZ190</f>
        <v>66.527262676497656</v>
      </c>
      <c r="AG190" s="106">
        <f>Sheet1!AA190+Sheet1!BN190+'Calculations II'!BC190+'Calculations II'!P190-Sheet1!CP190-BP190</f>
        <v>38.78172904782145</v>
      </c>
      <c r="AH190" s="106">
        <f>Sheet1!AA190+Sheet1!BN190+'Calculations II'!BC190+'Calculations II'!P190-BP190</f>
        <v>56.001729047821449</v>
      </c>
      <c r="AI190" s="106">
        <f>BC190+Sheet1!AA190+Calculation!EI190+O190+W190+Sheet1!BN190+Calculation!AI190+Calculation!CZ190-BP190</f>
        <v>66.527262676497642</v>
      </c>
      <c r="AJ190" s="106"/>
      <c r="AM190" s="102">
        <f t="shared" si="28"/>
        <v>40719</v>
      </c>
      <c r="AN190" s="106"/>
      <c r="AO190" s="106"/>
      <c r="AR190" s="106"/>
      <c r="AT190" s="101">
        <f>Sheet1!AR190*GPMtoMGD</f>
        <v>0</v>
      </c>
      <c r="AU190" s="101">
        <f>Sheet1!AS190*GPMtoMGD</f>
        <v>2.7216000000000001E-2</v>
      </c>
      <c r="AV190" s="101">
        <f>Sheet1!AT190*GPMtoMGD</f>
        <v>0</v>
      </c>
      <c r="AW190" s="101">
        <f>Sheet1!AV190*GPMtoMGD</f>
        <v>0.53380800000000006</v>
      </c>
      <c r="AX190" s="101">
        <f>Sheet1!AW190*GPMtoMGD</f>
        <v>1.1504160000000001</v>
      </c>
      <c r="AY190" s="101">
        <f>Sheet1!AX190*GPMtoMGD</f>
        <v>0</v>
      </c>
      <c r="AZ190" s="101">
        <f>Sheet1!AY190*GPMtoMGD</f>
        <v>0</v>
      </c>
      <c r="BA190" s="101">
        <f>Sheet1!AZ190*GPMtoMGD</f>
        <v>0</v>
      </c>
      <c r="BB190" s="101">
        <f>Sheet1!BP190*GPMtoMGD</f>
        <v>0</v>
      </c>
      <c r="BC190" s="101">
        <f>Sheet1!CO190*GPMtoMGD</f>
        <v>10.709314560000001</v>
      </c>
      <c r="BD190" s="101">
        <f>Sheet1!BO190*GPMtoMGD</f>
        <v>2.6195040000000001</v>
      </c>
      <c r="BE190" s="101">
        <f>Sheet1!BV190*GPMtoMGD</f>
        <v>0.8678880000000001</v>
      </c>
      <c r="BF190" s="101">
        <f>Sheet1!CJ190*GPMtoMGD</f>
        <v>1.1496960000000001</v>
      </c>
      <c r="BG190" s="101">
        <f>Sheet1!CK190*GPMtoMGD</f>
        <v>1.0249919999999999</v>
      </c>
      <c r="BH190" s="101">
        <f>Sheet1!CL190*GPMtoMGD</f>
        <v>0.87062400000000006</v>
      </c>
      <c r="BI190" s="101">
        <f t="shared" si="29"/>
        <v>2.6195040000000001</v>
      </c>
      <c r="BK190" s="106">
        <f>SUM(AT190:BA190,BE190,Sheet1!BU190,'Calculations II'!BC190,Calculation!AG190)</f>
        <v>53.863108931326714</v>
      </c>
      <c r="BM190" s="439">
        <f>IF(AND(Sheet1!BQ190&lt;=11.5,Sheet1!BQ189&gt;Sheet1!BQ190),(MIN(Lookup!$C$119,VLOOKUP(Sheet1!BQ189,Lookup!$B$4:$J$236,2))-VLOOKUP(Sheet1!BQ190,Lookup!$B$4:$J$236,2))/1000000,0)</f>
        <v>0</v>
      </c>
      <c r="BN190" s="439">
        <f>IF(AND(Sheet1!BR190&lt;=11.5,Sheet1!BR189&gt;Sheet1!BR190),(MIN(Lookup!$D$119,VLOOKUP(Sheet1!BR189,Lookup!$B$4:$J$236,3))-VLOOKUP(Sheet1!BR190,Lookup!$B$4:$J$236,3))/1000000,0)</f>
        <v>0</v>
      </c>
      <c r="BP190" s="105">
        <f>SUM(BM190:BN190,W190,Sheet1!DT190)</f>
        <v>0</v>
      </c>
    </row>
    <row r="191" spans="1:68" s="101" customFormat="1">
      <c r="A191" s="101" t="s">
        <v>9</v>
      </c>
      <c r="B191" s="103">
        <v>40720</v>
      </c>
      <c r="C191" s="104">
        <v>0.33333333333357601</v>
      </c>
      <c r="E191" s="30"/>
      <c r="F191" s="30">
        <f>-(VLOOKUP(Sheet1!BZ191,Lookup!$I$4:$J$216,2)-VLOOKUP(Sheet1!BZ190,Lookup!$I$4:$J$216,2))/1000000</f>
        <v>0.31091081564340367</v>
      </c>
      <c r="G191" s="106">
        <f>-$G$6*(Sheet1!CB191-Sheet1!CB190)*7.48/1000000</f>
        <v>0.11914050315767677</v>
      </c>
      <c r="H191" s="106">
        <f>-$H$6*(Sheet1!CA191-Sheet1!CA190)*7.48/1000000</f>
        <v>0.15039432351265059</v>
      </c>
      <c r="I191" s="106">
        <f>-$I$6*(Sheet1!CC191-Sheet1!CC190)*7.48/1000000</f>
        <v>-0.28786413484843265</v>
      </c>
      <c r="J191" s="107" t="s">
        <v>193</v>
      </c>
      <c r="K191" s="106">
        <f>-$I$6*(Sheet1!CD191-Sheet1!CD190)*7.48/1000000</f>
        <v>-0.30585564327645964</v>
      </c>
      <c r="L191" s="107" t="s">
        <v>193</v>
      </c>
      <c r="M191" s="106">
        <f>-$M$6*(Sheet1!CE191-Sheet1!CE190)*7.48/1000000</f>
        <v>-9.3286485242418088E-2</v>
      </c>
      <c r="N191" s="106">
        <f>-$N$6*(Sheet1!CF191-Sheet1!CF190)*7.48/1000000</f>
        <v>0.12410469078924735</v>
      </c>
      <c r="O191" s="106">
        <f t="shared" si="25"/>
        <v>1.7544069735667939E-2</v>
      </c>
      <c r="P191" s="106">
        <f>O191+Calculation!EI191</f>
        <v>1.6390440697356681</v>
      </c>
      <c r="Q191" s="101" t="str">
        <f>IF(Sheet1!BQ191&gt;21.75,"spill elevation","-")</f>
        <v>-</v>
      </c>
      <c r="R191" s="101" t="str">
        <f>IF(Sheet1!BR191&gt;21.75,"spill elevation","-")</f>
        <v>-</v>
      </c>
      <c r="S191" s="101" t="str">
        <f>IF(Sheet1!BS191&gt;21.75,"spill elevation","-")</f>
        <v>-</v>
      </c>
      <c r="T191" s="105">
        <f>IF(Sheet1!DQ191=1,Sheet1!AA191-(SUM(AT191:BA191)+BE191),Sheet1!AA191-SUM(AT191:BA191))</f>
        <v>30.653360000011642</v>
      </c>
      <c r="U191" s="105">
        <f>Sheet1!BU191</f>
        <v>30.4</v>
      </c>
      <c r="V191" s="105">
        <f t="shared" si="26"/>
        <v>0.25336000001164294</v>
      </c>
      <c r="W191" s="105">
        <f t="shared" si="27"/>
        <v>0</v>
      </c>
      <c r="X191" s="101">
        <f>IF((Sheet1!EX191-Sheet1!EX190)&lt;0,(Sheet1!EX191+100000-Sheet1!EX190)/1000,(Sheet1!EX191-Sheet1!EX190)/1000)</f>
        <v>0.57799999999999996</v>
      </c>
      <c r="Y191" s="106">
        <f>Calculation!DZ192+Calculation!EI191+'Calculations II'!O191-'Calculations II'!W191</f>
        <v>71.60109206973857</v>
      </c>
      <c r="Z191" s="106">
        <f>Y191-Sheet1!CP192</f>
        <v>54.751092069738569</v>
      </c>
      <c r="AA191" s="106">
        <f>Y191+Calculation!CZ192+Calculation!AI192</f>
        <v>81.807342069739747</v>
      </c>
      <c r="AC191" s="106">
        <f>Sheet1!AA191+Sheet1!AB191+BC191</f>
        <v>68.589315840008737</v>
      </c>
      <c r="AD191" s="106">
        <f>Sheet1!AA191+Sheet1!BN191+'Calculations II'!BC191-Calculation!AI191-Calculation!CZ191</f>
        <v>48.177584448427083</v>
      </c>
      <c r="AE191" s="106">
        <f>Sheet1!AA191+Sheet1!AB191+'Calculations II'!BC191-Calculation!AI191-Calculation!CZ191</f>
        <v>58.37758444842418</v>
      </c>
      <c r="AF191" s="106">
        <f>Sheet1!AA191+Sheet1!BN191+P191+'Calculations II'!BC191+Calculation!AI191+Calculation!CZ191</f>
        <v>70.240091301331859</v>
      </c>
      <c r="AG191" s="106">
        <f>Sheet1!AA191+Sheet1!BN191+'Calculations II'!BC191+'Calculations II'!P191-Sheet1!CP191-BP191</f>
        <v>42.598359909747309</v>
      </c>
      <c r="AH191" s="106">
        <f>Sheet1!AA191+Sheet1!BN191+'Calculations II'!BC191+'Calculations II'!P191-BP191</f>
        <v>60.028359909747309</v>
      </c>
      <c r="AI191" s="106">
        <f>BC191+Sheet1!AA191+Calculation!EI191+O191+W191+Sheet1!BN191+Calculation!AI191+Calculation!CZ191-BP191</f>
        <v>70.240091301331859</v>
      </c>
      <c r="AJ191" s="106"/>
      <c r="AM191" s="102">
        <f t="shared" si="28"/>
        <v>40720</v>
      </c>
      <c r="AN191" s="106"/>
      <c r="AO191" s="106"/>
      <c r="AR191" s="106"/>
      <c r="AT191" s="101">
        <f>Sheet1!AR191*GPMtoMGD</f>
        <v>0</v>
      </c>
      <c r="AU191" s="101">
        <f>Sheet1!AS191*GPMtoMGD</f>
        <v>5.7024000000000005E-2</v>
      </c>
      <c r="AV191" s="101">
        <f>Sheet1!AT191*GPMtoMGD</f>
        <v>0</v>
      </c>
      <c r="AW191" s="101">
        <f>Sheet1!AV191*GPMtoMGD</f>
        <v>1.171152</v>
      </c>
      <c r="AX191" s="101">
        <f>Sheet1!AW191*GPMtoMGD</f>
        <v>1.3164480000000001</v>
      </c>
      <c r="AY191" s="101">
        <f>Sheet1!AX191*GPMtoMGD</f>
        <v>2.016E-3</v>
      </c>
      <c r="AZ191" s="101">
        <f>Sheet1!AY191*GPMtoMGD</f>
        <v>0</v>
      </c>
      <c r="BA191" s="101">
        <f>Sheet1!AZ191*GPMtoMGD</f>
        <v>0</v>
      </c>
      <c r="BB191" s="101">
        <f>Sheet1!BP191*GPMtoMGD</f>
        <v>0</v>
      </c>
      <c r="BC191" s="101">
        <f>Sheet1!CO191*GPMtoMGD</f>
        <v>10.689315840000001</v>
      </c>
      <c r="BD191" s="101">
        <f>Sheet1!BO191*GPMtoMGD</f>
        <v>3.6613440000000002</v>
      </c>
      <c r="BE191" s="101">
        <f>Sheet1!BV191*GPMtoMGD</f>
        <v>0.91137600000000007</v>
      </c>
      <c r="BF191" s="101">
        <f>Sheet1!CJ191*GPMtoMGD</f>
        <v>1.4158080000000002</v>
      </c>
      <c r="BG191" s="101">
        <f>Sheet1!CK191*GPMtoMGD</f>
        <v>1.2794400000000001</v>
      </c>
      <c r="BH191" s="101">
        <f>Sheet1!CL191*GPMtoMGD</f>
        <v>0.945936</v>
      </c>
      <c r="BI191" s="101">
        <f t="shared" si="29"/>
        <v>3.6613440000000002</v>
      </c>
      <c r="BK191" s="106">
        <f>SUM(AT191:BA191,BE191,Sheet1!BU191,'Calculations II'!BC191,Calculation!AG191)</f>
        <v>59.035600448412531</v>
      </c>
      <c r="BM191" s="439">
        <f>IF(AND(Sheet1!BQ191&lt;=11.5,Sheet1!BQ190&gt;Sheet1!BQ191),(MIN(Lookup!$C$119,VLOOKUP(Sheet1!BQ190,Lookup!$B$4:$J$236,2))-VLOOKUP(Sheet1!BQ191,Lookup!$B$4:$J$236,2))/1000000,0)</f>
        <v>0</v>
      </c>
      <c r="BN191" s="439">
        <f>IF(AND(Sheet1!BR191&lt;=11.5,Sheet1!BR190&gt;Sheet1!BR191),(MIN(Lookup!$D$119,VLOOKUP(Sheet1!BR190,Lookup!$B$4:$J$236,3))-VLOOKUP(Sheet1!BR191,Lookup!$B$4:$J$236,3))/1000000,0)</f>
        <v>0</v>
      </c>
      <c r="BP191" s="105">
        <f>SUM(BM191:BN191,W191,Sheet1!DT191)</f>
        <v>0</v>
      </c>
    </row>
    <row r="192" spans="1:68" s="101" customFormat="1">
      <c r="A192" s="101" t="s">
        <v>3</v>
      </c>
      <c r="B192" s="103">
        <v>40721</v>
      </c>
      <c r="C192" s="104">
        <v>0.33333333333357601</v>
      </c>
      <c r="E192" s="30"/>
      <c r="F192" s="30">
        <f>-(VLOOKUP(Sheet1!BZ192,Lookup!$I$4:$J$216,2)-VLOOKUP(Sheet1!BZ191,Lookup!$I$4:$J$216,2))/1000000</f>
        <v>-0.5181846927389987</v>
      </c>
      <c r="G192" s="106">
        <f>-$G$6*(Sheet1!CB192-Sheet1!CB191)*7.48/1000000</f>
        <v>-0.15885400421023663</v>
      </c>
      <c r="H192" s="106">
        <f>-$H$6*(Sheet1!CA192-Sheet1!CA191)*7.48/1000000</f>
        <v>-0.57149842934807238</v>
      </c>
      <c r="I192" s="106">
        <f>-$I$6*(Sheet1!CC192-Sheet1!CC191)*7.48/1000000</f>
        <v>0.35983016856054095</v>
      </c>
      <c r="J192" s="107" t="s">
        <v>193</v>
      </c>
      <c r="K192" s="106">
        <f>-$I$6*(Sheet1!CD192-Sheet1!CD191)*7.48/1000000</f>
        <v>0.37782167698856794</v>
      </c>
      <c r="L192" s="107" t="s">
        <v>193</v>
      </c>
      <c r="M192" s="106">
        <f>-$M$6*(Sheet1!CE192-Sheet1!CE191)*7.48/1000000</f>
        <v>0.119939766740252</v>
      </c>
      <c r="N192" s="106">
        <f>-$N$6*(Sheet1!CF192-Sheet1!CF191)*7.48/1000000</f>
        <v>0</v>
      </c>
      <c r="O192" s="106">
        <f t="shared" si="25"/>
        <v>-0.39094551400794686</v>
      </c>
      <c r="P192" s="106">
        <f>O192+Calculation!EI192</f>
        <v>-1.4719455140079467</v>
      </c>
      <c r="Q192" s="101" t="str">
        <f>IF(Sheet1!BQ192&gt;21.75,"spill elevation","-")</f>
        <v>-</v>
      </c>
      <c r="R192" s="101" t="str">
        <f>IF(Sheet1!BR192&gt;21.75,"spill elevation","-")</f>
        <v>-</v>
      </c>
      <c r="S192" s="101" t="str">
        <f>IF(Sheet1!BS192&gt;21.75,"spill elevation","-")</f>
        <v>-</v>
      </c>
      <c r="T192" s="105">
        <f>IF(Sheet1!DQ192=1,Sheet1!AA192-(SUM(AT192:BA192)+BE192),Sheet1!AA192-SUM(AT192:BA192))</f>
        <v>32.427664</v>
      </c>
      <c r="U192" s="105">
        <f>Sheet1!BU192</f>
        <v>28.6</v>
      </c>
      <c r="V192" s="105">
        <f t="shared" si="26"/>
        <v>3.8276639999999986</v>
      </c>
      <c r="W192" s="105">
        <f t="shared" si="27"/>
        <v>0</v>
      </c>
      <c r="X192" s="101">
        <f>IF((Sheet1!EX192-Sheet1!EX191)&lt;0,(Sheet1!EX192+100000-Sheet1!EX191)/1000,(Sheet1!EX192-Sheet1!EX191)/1000)</f>
        <v>0.59899999999999998</v>
      </c>
      <c r="Y192" s="106">
        <f>Calculation!DZ193+Calculation!EI192+'Calculations II'!O192-'Calculations II'!W192</f>
        <v>67.90373448598622</v>
      </c>
      <c r="Z192" s="106">
        <f>Y192-Sheet1!CP193</f>
        <v>51.90373448598622</v>
      </c>
      <c r="AA192" s="106">
        <f>Y192+Calculation!CZ193+Calculation!AI193</f>
        <v>78.026584708026647</v>
      </c>
      <c r="AC192" s="106">
        <f>Sheet1!AA192+Sheet1!AB192+BC192</f>
        <v>69.962048000002909</v>
      </c>
      <c r="AD192" s="106">
        <f>Sheet1!AA192+Sheet1!BN192+'Calculations II'!BC192-Calculation!AI192-Calculation!CZ192</f>
        <v>49.155797999998825</v>
      </c>
      <c r="AE192" s="106">
        <f>Sheet1!AA192+Sheet1!AB192+'Calculations II'!BC192-Calculation!AI192-Calculation!CZ192</f>
        <v>59.755798000001732</v>
      </c>
      <c r="AF192" s="106">
        <f>Sheet1!AA192+Sheet1!BN192+P192+'Calculations II'!BC192+Calculation!AI192+Calculation!CZ192</f>
        <v>68.096352485993222</v>
      </c>
      <c r="AG192" s="106">
        <f>Sheet1!AA192+Sheet1!BN192+'Calculations II'!BC192+'Calculations II'!P192-Sheet1!CP192-BP192</f>
        <v>41.040102485992051</v>
      </c>
      <c r="AH192" s="106">
        <f>Sheet1!AA192+Sheet1!BN192+'Calculations II'!BC192+'Calculations II'!P192-BP192</f>
        <v>57.890102485992053</v>
      </c>
      <c r="AI192" s="106">
        <f>BC192+Sheet1!AA192+Calculation!EI192+O192+W192+Sheet1!BN192+Calculation!AI192+Calculation!CZ192-BP192</f>
        <v>68.096352485993222</v>
      </c>
      <c r="AJ192" s="106"/>
      <c r="AM192" s="102">
        <f t="shared" si="28"/>
        <v>40721</v>
      </c>
      <c r="AN192" s="106"/>
      <c r="AO192" s="106"/>
      <c r="AR192" s="106"/>
      <c r="AT192" s="101">
        <f>Sheet1!AR192*GPMtoMGD</f>
        <v>0</v>
      </c>
      <c r="AU192" s="101">
        <f>Sheet1!AS192*GPMtoMGD</f>
        <v>2.6784000000000002E-2</v>
      </c>
      <c r="AV192" s="101">
        <f>Sheet1!AT192*GPMtoMGD</f>
        <v>0</v>
      </c>
      <c r="AW192" s="101">
        <f>Sheet1!AV192*GPMtoMGD</f>
        <v>0.66960000000000008</v>
      </c>
      <c r="AX192" s="101">
        <f>Sheet1!AW192*GPMtoMGD</f>
        <v>0.87292800000000015</v>
      </c>
      <c r="AY192" s="101">
        <f>Sheet1!AX192*GPMtoMGD</f>
        <v>3.0240000000000002E-3</v>
      </c>
      <c r="AZ192" s="101">
        <f>Sheet1!AY192*GPMtoMGD</f>
        <v>0</v>
      </c>
      <c r="BA192" s="101">
        <f>Sheet1!AZ192*GPMtoMGD</f>
        <v>0</v>
      </c>
      <c r="BB192" s="101">
        <f>Sheet1!BP192*GPMtoMGD</f>
        <v>2.9952000000000003E-2</v>
      </c>
      <c r="BC192" s="101">
        <f>Sheet1!CO192*GPMtoMGD</f>
        <v>10.662048</v>
      </c>
      <c r="BD192" s="101">
        <f>Sheet1!BO192*GPMtoMGD</f>
        <v>2.5164</v>
      </c>
      <c r="BE192" s="101">
        <f>Sheet1!BV192*GPMtoMGD</f>
        <v>0.86328000000000005</v>
      </c>
      <c r="BF192" s="101">
        <f>Sheet1!CJ192*GPMtoMGD</f>
        <v>0.91915199999999997</v>
      </c>
      <c r="BG192" s="101">
        <f>Sheet1!CK192*GPMtoMGD</f>
        <v>1.1306880000000001</v>
      </c>
      <c r="BH192" s="101">
        <f>Sheet1!CL192*GPMtoMGD</f>
        <v>0.94075200000000003</v>
      </c>
      <c r="BI192" s="101">
        <f t="shared" si="29"/>
        <v>2.5463520000000002</v>
      </c>
      <c r="BK192" s="106">
        <f>SUM(AT192:BA192,BE192,Sheet1!BU192,'Calculations II'!BC192,Calculation!AG192)</f>
        <v>56.791414000001737</v>
      </c>
      <c r="BM192" s="439">
        <f>IF(AND(Sheet1!BQ192&lt;=11.5,Sheet1!BQ191&gt;Sheet1!BQ192),(MIN(Lookup!$C$119,VLOOKUP(Sheet1!BQ191,Lookup!$B$4:$J$236,2))-VLOOKUP(Sheet1!BQ192,Lookup!$B$4:$J$236,2))/1000000,0)</f>
        <v>0</v>
      </c>
      <c r="BN192" s="439">
        <f>IF(AND(Sheet1!BR192&lt;=11.5,Sheet1!BR191&gt;Sheet1!BR192),(MIN(Lookup!$D$119,VLOOKUP(Sheet1!BR191,Lookup!$B$4:$J$236,3))-VLOOKUP(Sheet1!BR192,Lookup!$B$4:$J$236,3))/1000000,0)</f>
        <v>0</v>
      </c>
      <c r="BP192" s="105">
        <f>SUM(BM192:BN192,W192,Sheet1!DT192)</f>
        <v>0</v>
      </c>
    </row>
    <row r="193" spans="1:68" s="101" customFormat="1">
      <c r="A193" s="101" t="s">
        <v>4</v>
      </c>
      <c r="B193" s="103">
        <v>40722</v>
      </c>
      <c r="C193" s="104">
        <v>0.33333333333357601</v>
      </c>
      <c r="E193" s="30"/>
      <c r="F193" s="30">
        <f>-(VLOOKUP(Sheet1!BZ193,Lookup!$I$4:$J$216,2)-VLOOKUP(Sheet1!BZ192,Lookup!$I$4:$J$216,2))/1000000</f>
        <v>-0.31091081564340367</v>
      </c>
      <c r="G193" s="106">
        <f>-$G$6*(Sheet1!CB193-Sheet1!CB192)*7.48/1000000</f>
        <v>0</v>
      </c>
      <c r="H193" s="106">
        <f>-$H$6*(Sheet1!CA193-Sheet1!CA192)*7.48/1000000</f>
        <v>9.0236594107590579E-2</v>
      </c>
      <c r="I193" s="106">
        <f>-$I$6*(Sheet1!CC193-Sheet1!CC192)*7.48/1000000</f>
        <v>-0.39581318541659494</v>
      </c>
      <c r="J193" s="107" t="s">
        <v>193</v>
      </c>
      <c r="K193" s="106">
        <f>-$I$6*(Sheet1!CD193-Sheet1!CD192)*7.48/1000000</f>
        <v>-0.39581318541659521</v>
      </c>
      <c r="L193" s="107" t="s">
        <v>193</v>
      </c>
      <c r="M193" s="106">
        <f>-$M$6*(Sheet1!CE193-Sheet1!CE192)*7.48/1000000</f>
        <v>-0.13326640748916885</v>
      </c>
      <c r="N193" s="106">
        <f>-$N$6*(Sheet1!CF193-Sheet1!CF192)*7.48/1000000</f>
        <v>-0.2482093815784947</v>
      </c>
      <c r="O193" s="106">
        <f t="shared" si="25"/>
        <v>-1.3937763814366666</v>
      </c>
      <c r="P193" s="106">
        <f>O193+Calculation!EI193</f>
        <v>-4.0962763814366667</v>
      </c>
      <c r="Q193" s="101" t="str">
        <f>IF(Sheet1!BQ193&gt;21.75,"spill elevation","-")</f>
        <v>-</v>
      </c>
      <c r="R193" s="101" t="str">
        <f>IF(Sheet1!BR193&gt;21.75,"spill elevation","-")</f>
        <v>-</v>
      </c>
      <c r="S193" s="101" t="str">
        <f>IF(Sheet1!BS193&gt;21.75,"spill elevation","-")</f>
        <v>-</v>
      </c>
      <c r="T193" s="105">
        <f>IF(Sheet1!DQ193=1,Sheet1!AA193-(SUM(AT193:BA193)+BE193),Sheet1!AA193-SUM(AT193:BA193))</f>
        <v>32.620016</v>
      </c>
      <c r="U193" s="105">
        <f>Sheet1!BU193</f>
        <v>28.2</v>
      </c>
      <c r="V193" s="105">
        <f t="shared" si="26"/>
        <v>4.4200160000000004</v>
      </c>
      <c r="W193" s="105">
        <f t="shared" si="27"/>
        <v>0</v>
      </c>
      <c r="X193" s="101">
        <f>IF((Sheet1!EX193-Sheet1!EX192)&lt;0,(Sheet1!EX193+100000-Sheet1!EX192)/1000,(Sheet1!EX193-Sheet1!EX192)/1000)</f>
        <v>0.57999999999999996</v>
      </c>
      <c r="Y193" s="106">
        <f>Calculation!DZ194+Calculation!EI193+'Calculations II'!O193-'Calculations II'!W193</f>
        <v>64.53151561855897</v>
      </c>
      <c r="Z193" s="106">
        <f>Y193-Sheet1!CP194</f>
        <v>46.771515618558965</v>
      </c>
      <c r="AA193" s="106">
        <f>Y193+Calculation!CZ194+Calculation!AI194</f>
        <v>74.573057806691551</v>
      </c>
      <c r="AC193" s="106">
        <f>Sheet1!AA193+Sheet1!AB193+BC193</f>
        <v>69.375679999994176</v>
      </c>
      <c r="AD193" s="106">
        <f>Sheet1!AA193+Sheet1!BN193+'Calculations II'!BC193-Calculation!AI193-Calculation!CZ193</f>
        <v>49.052829777959573</v>
      </c>
      <c r="AE193" s="106">
        <f>Sheet1!AA193+Sheet1!AB193+'Calculations II'!BC193-Calculation!AI193-Calculation!CZ193</f>
        <v>59.25282977795375</v>
      </c>
      <c r="AF193" s="106">
        <f>Sheet1!AA193+Sheet1!BN193+P193+'Calculations II'!BC193+Calculation!AI193+Calculation!CZ193</f>
        <v>65.20225384060376</v>
      </c>
      <c r="AG193" s="106">
        <f>Sheet1!AA193+Sheet1!BN193+'Calculations II'!BC193+'Calculations II'!P193-Sheet1!CP193-BP193</f>
        <v>39.079403618563333</v>
      </c>
      <c r="AH193" s="106">
        <f>Sheet1!AA193+Sheet1!BN193+'Calculations II'!BC193+'Calculations II'!P193-BP193</f>
        <v>55.079403618563333</v>
      </c>
      <c r="AI193" s="106">
        <f>BC193+Sheet1!AA193+Calculation!EI193+O193+W193+Sheet1!BN193+Calculation!AI193+Calculation!CZ193-BP193</f>
        <v>65.20225384060376</v>
      </c>
      <c r="AJ193" s="106"/>
      <c r="AM193" s="102">
        <f t="shared" si="28"/>
        <v>40722</v>
      </c>
      <c r="AN193" s="106"/>
      <c r="AO193" s="106"/>
      <c r="AR193" s="106"/>
      <c r="AT193" s="101">
        <f>Sheet1!AR193*GPMtoMGD</f>
        <v>0</v>
      </c>
      <c r="AU193" s="101">
        <f>Sheet1!AS193*GPMtoMGD</f>
        <v>3.5424000000000004E-2</v>
      </c>
      <c r="AV193" s="101">
        <f>Sheet1!AT193*GPMtoMGD</f>
        <v>0</v>
      </c>
      <c r="AW193" s="101">
        <f>Sheet1!AV193*GPMtoMGD</f>
        <v>0</v>
      </c>
      <c r="AX193" s="101">
        <f>Sheet1!AW193*GPMtoMGD</f>
        <v>0.84009600000000006</v>
      </c>
      <c r="AY193" s="101">
        <f>Sheet1!AX193*GPMtoMGD</f>
        <v>4.4640000000000001E-3</v>
      </c>
      <c r="AZ193" s="101">
        <f>Sheet1!AY193*GPMtoMGD</f>
        <v>0</v>
      </c>
      <c r="BA193" s="101">
        <f>Sheet1!AZ193*GPMtoMGD</f>
        <v>0</v>
      </c>
      <c r="BB193" s="101">
        <f>Sheet1!BP193*GPMtoMGD</f>
        <v>2.0736000000000001E-2</v>
      </c>
      <c r="BC193" s="101">
        <f>Sheet1!CO193*GPMtoMGD</f>
        <v>10.975680000000001</v>
      </c>
      <c r="BD193" s="101">
        <f>Sheet1!BO193*GPMtoMGD</f>
        <v>3.4770240000000001</v>
      </c>
      <c r="BE193" s="101">
        <f>Sheet1!BV193*GPMtoMGD</f>
        <v>0.86731199999999997</v>
      </c>
      <c r="BF193" s="101">
        <f>Sheet1!CJ193*GPMtoMGD</f>
        <v>0.80899199999999993</v>
      </c>
      <c r="BG193" s="101">
        <f>Sheet1!CK193*GPMtoMGD</f>
        <v>1.0673280000000001</v>
      </c>
      <c r="BH193" s="101">
        <f>Sheet1!CL193*GPMtoMGD</f>
        <v>0.95572800000000013</v>
      </c>
      <c r="BI193" s="101">
        <f t="shared" si="29"/>
        <v>3.49776</v>
      </c>
      <c r="BK193" s="106">
        <f>SUM(AT193:BA193,BE193,Sheet1!BU193,'Calculations II'!BC193,Calculation!AG193)</f>
        <v>55.700125777953751</v>
      </c>
      <c r="BM193" s="439">
        <f>IF(AND(Sheet1!BQ193&lt;=11.5,Sheet1!BQ192&gt;Sheet1!BQ193),(MIN(Lookup!$C$119,VLOOKUP(Sheet1!BQ192,Lookup!$B$4:$J$236,2))-VLOOKUP(Sheet1!BQ193,Lookup!$B$4:$J$236,2))/1000000,0)</f>
        <v>0</v>
      </c>
      <c r="BN193" s="439">
        <f>IF(AND(Sheet1!BR193&lt;=11.5,Sheet1!BR192&gt;Sheet1!BR193),(MIN(Lookup!$D$119,VLOOKUP(Sheet1!BR192,Lookup!$B$4:$J$236,3))-VLOOKUP(Sheet1!BR193,Lookup!$B$4:$J$236,3))/1000000,0)</f>
        <v>0</v>
      </c>
      <c r="BP193" s="105">
        <f>SUM(BM193:BN193,W193,Sheet1!DT193)</f>
        <v>0</v>
      </c>
    </row>
    <row r="194" spans="1:68" s="101" customFormat="1">
      <c r="A194" s="101" t="s">
        <v>5</v>
      </c>
      <c r="B194" s="103">
        <v>40723</v>
      </c>
      <c r="C194" s="104">
        <v>0.33333333333357601</v>
      </c>
      <c r="E194" s="30"/>
      <c r="F194" s="30">
        <f>-(VLOOKUP(Sheet1!BZ194,Lookup!$I$4:$J$216,2)-VLOOKUP(Sheet1!BZ193,Lookup!$I$4:$J$216,2))/1000000</f>
        <v>0.10363693854780123</v>
      </c>
      <c r="G194" s="106">
        <f>-$G$6*(Sheet1!CB194-Sheet1!CB193)*7.48/1000000</f>
        <v>0.3177080084204747</v>
      </c>
      <c r="H194" s="106">
        <f>-$H$6*(Sheet1!CA194-Sheet1!CA193)*7.48/1000000</f>
        <v>0.18047318821518063</v>
      </c>
      <c r="I194" s="106">
        <f>-$I$6*(Sheet1!CC194-Sheet1!CC193)*7.48/1000000</f>
        <v>0.32384715170448669</v>
      </c>
      <c r="J194" s="107" t="s">
        <v>193</v>
      </c>
      <c r="K194" s="106">
        <f>-$I$6*(Sheet1!CD194-Sheet1!CD193)*7.48/1000000</f>
        <v>0.34183866013251396</v>
      </c>
      <c r="L194" s="107" t="s">
        <v>193</v>
      </c>
      <c r="M194" s="106">
        <f>-$M$6*(Sheet1!CE194-Sheet1!CE193)*7.48/1000000</f>
        <v>0.11327644636579347</v>
      </c>
      <c r="N194" s="106">
        <f>-$N$6*(Sheet1!CF194-Sheet1!CF193)*7.48/1000000</f>
        <v>0.2482093815784947</v>
      </c>
      <c r="O194" s="106">
        <f t="shared" si="25"/>
        <v>1.6289897749647455</v>
      </c>
      <c r="P194" s="106">
        <f>O194+Calculation!EI194</f>
        <v>-1.0869102250352545</v>
      </c>
      <c r="Q194" s="101" t="str">
        <f>IF(Sheet1!BQ194&gt;21.75,"spill elevation","-")</f>
        <v>-</v>
      </c>
      <c r="R194" s="101" t="str">
        <f>IF(Sheet1!BR194&gt;21.75,"spill elevation","-")</f>
        <v>-</v>
      </c>
      <c r="S194" s="101" t="str">
        <f>IF(Sheet1!BS194&gt;21.75,"spill elevation","-")</f>
        <v>-</v>
      </c>
      <c r="T194" s="105">
        <f>IF(Sheet1!DQ194=1,Sheet1!AA194-(SUM(AT194:BA194)+BE194),Sheet1!AA194-SUM(AT194:BA194))</f>
        <v>31.442559999991268</v>
      </c>
      <c r="U194" s="105">
        <f>Sheet1!BU194</f>
        <v>26.8</v>
      </c>
      <c r="V194" s="105">
        <f t="shared" si="26"/>
        <v>4.642559999991267</v>
      </c>
      <c r="W194" s="105">
        <f t="shared" si="27"/>
        <v>0</v>
      </c>
      <c r="X194" s="101">
        <f>IF((Sheet1!EX194-Sheet1!EX193)&lt;0,(Sheet1!EX194+100000-Sheet1!EX193)/1000,(Sheet1!EX194-Sheet1!EX193)/1000)</f>
        <v>0.58099999999999996</v>
      </c>
      <c r="Y194" s="106">
        <f>Calculation!DZ195+Calculation!EI194+'Calculations II'!O194-'Calculations II'!W194</f>
        <v>68.852409454969703</v>
      </c>
      <c r="Z194" s="106">
        <f>Y194-Sheet1!CP195</f>
        <v>52.612409454969708</v>
      </c>
      <c r="AA194" s="106">
        <f>Y194+Calculation!CZ195+Calculation!AI195</f>
        <v>79.050551619751019</v>
      </c>
      <c r="AC194" s="106">
        <f>Sheet1!AA194+Sheet1!AB194+BC194</f>
        <v>68.627791999995637</v>
      </c>
      <c r="AD194" s="106">
        <f>Sheet1!AA194+Sheet1!BN194+'Calculations II'!BC194-Calculation!AI194-Calculation!CZ194</f>
        <v>48.586249811858693</v>
      </c>
      <c r="AE194" s="106">
        <f>Sheet1!AA194+Sheet1!AB194+'Calculations II'!BC194-Calculation!AI194-Calculation!CZ194</f>
        <v>58.586249811863055</v>
      </c>
      <c r="AF194" s="106">
        <f>Sheet1!AA194+Sheet1!BN194+P194+'Calculations II'!BC194+Calculation!AI194+Calculation!CZ194</f>
        <v>67.582423963088601</v>
      </c>
      <c r="AG194" s="106">
        <f>Sheet1!AA194+Sheet1!BN194+'Calculations II'!BC194+'Calculations II'!P194-Sheet1!CP194-BP194</f>
        <v>39.780881774956015</v>
      </c>
      <c r="AH194" s="106">
        <f>Sheet1!AA194+Sheet1!BN194+'Calculations II'!BC194+'Calculations II'!P194-BP194</f>
        <v>57.54088177495602</v>
      </c>
      <c r="AI194" s="106">
        <f>BC194+Sheet1!AA194+Calculation!EI194+O194+W194+Sheet1!BN194+Calculation!AI194+Calculation!CZ194-BP194</f>
        <v>67.582423963088601</v>
      </c>
      <c r="AJ194" s="106"/>
      <c r="AM194" s="102">
        <f t="shared" si="28"/>
        <v>40723</v>
      </c>
      <c r="AN194" s="106"/>
      <c r="AO194" s="106"/>
      <c r="AR194" s="106"/>
      <c r="AT194" s="101">
        <f>Sheet1!AR194*GPMtoMGD</f>
        <v>0</v>
      </c>
      <c r="AU194" s="101">
        <f>Sheet1!AS194*GPMtoMGD</f>
        <v>4.1472000000000002E-2</v>
      </c>
      <c r="AV194" s="101">
        <f>Sheet1!AT194*GPMtoMGD</f>
        <v>0</v>
      </c>
      <c r="AW194" s="101">
        <f>Sheet1!AV194*GPMtoMGD</f>
        <v>0.45230400000000004</v>
      </c>
      <c r="AX194" s="101">
        <f>Sheet1!AW194*GPMtoMGD</f>
        <v>1.150272</v>
      </c>
      <c r="AY194" s="101">
        <f>Sheet1!AX194*GPMtoMGD</f>
        <v>1.3392000000000001E-2</v>
      </c>
      <c r="AZ194" s="101">
        <f>Sheet1!AY194*GPMtoMGD</f>
        <v>0</v>
      </c>
      <c r="BA194" s="101">
        <f>Sheet1!AZ194*GPMtoMGD</f>
        <v>0</v>
      </c>
      <c r="BB194" s="101">
        <f>Sheet1!BP194*GPMtoMGD</f>
        <v>0</v>
      </c>
      <c r="BC194" s="101">
        <f>Sheet1!CO194*GPMtoMGD</f>
        <v>10.827792000000001</v>
      </c>
      <c r="BD194" s="101">
        <f>Sheet1!BO194*GPMtoMGD</f>
        <v>2.5718400000000003</v>
      </c>
      <c r="BE194" s="101">
        <f>Sheet1!BV194*GPMtoMGD</f>
        <v>0.85248000000000002</v>
      </c>
      <c r="BF194" s="101">
        <f>Sheet1!CJ194*GPMtoMGD</f>
        <v>0.91684800000000011</v>
      </c>
      <c r="BG194" s="101">
        <f>Sheet1!CK194*GPMtoMGD</f>
        <v>1.1773440000000002</v>
      </c>
      <c r="BH194" s="101">
        <f>Sheet1!CL194*GPMtoMGD</f>
        <v>0.97430400000000006</v>
      </c>
      <c r="BI194" s="101">
        <f t="shared" si="29"/>
        <v>2.5718400000000003</v>
      </c>
      <c r="BK194" s="106">
        <f>SUM(AT194:BA194,BE194,Sheet1!BU194,'Calculations II'!BC194,Calculation!AG194)</f>
        <v>54.796169811871785</v>
      </c>
      <c r="BM194" s="439">
        <f>IF(AND(Sheet1!BQ194&lt;=11.5,Sheet1!BQ193&gt;Sheet1!BQ194),(MIN(Lookup!$C$119,VLOOKUP(Sheet1!BQ193,Lookup!$B$4:$J$236,2))-VLOOKUP(Sheet1!BQ194,Lookup!$B$4:$J$236,2))/1000000,0)</f>
        <v>0</v>
      </c>
      <c r="BN194" s="439">
        <f>IF(AND(Sheet1!BR194&lt;=11.5,Sheet1!BR193&gt;Sheet1!BR194),(MIN(Lookup!$D$119,VLOOKUP(Sheet1!BR193,Lookup!$B$4:$J$236,3))-VLOOKUP(Sheet1!BR194,Lookup!$B$4:$J$236,3))/1000000,0)</f>
        <v>0</v>
      </c>
      <c r="BP194" s="105">
        <f>SUM(BM194:BN194,W194,Sheet1!DT194)</f>
        <v>0</v>
      </c>
    </row>
    <row r="195" spans="1:68" s="101" customFormat="1">
      <c r="A195" s="101" t="s">
        <v>6</v>
      </c>
      <c r="B195" s="103">
        <v>40724</v>
      </c>
      <c r="C195" s="104">
        <v>0.33333333333357601</v>
      </c>
      <c r="E195" s="30"/>
      <c r="F195" s="30">
        <f>-(VLOOKUP(Sheet1!BZ195,Lookup!$I$4:$J$216,2)-VLOOKUP(Sheet1!BZ194,Lookup!$I$4:$J$216,2))/1000000</f>
        <v>-0.41454775419120493</v>
      </c>
      <c r="G195" s="106">
        <f>-$G$6*(Sheet1!CB195-Sheet1!CB194)*7.48/1000000</f>
        <v>0.47656201263071124</v>
      </c>
      <c r="H195" s="106">
        <f>-$H$6*(Sheet1!CA195-Sheet1!CA194)*7.48/1000000</f>
        <v>0.19551262056644589</v>
      </c>
      <c r="I195" s="106">
        <f>-$I$6*(Sheet1!CC195-Sheet1!CC194)*7.48/1000000</f>
        <v>7.196603371210826E-2</v>
      </c>
      <c r="J195" s="107" t="s">
        <v>193</v>
      </c>
      <c r="K195" s="106">
        <f>-$I$6*(Sheet1!CD195-Sheet1!CD194)*7.48/1000000</f>
        <v>5.3974525284081275E-2</v>
      </c>
      <c r="L195" s="107" t="s">
        <v>193</v>
      </c>
      <c r="M195" s="106">
        <f>-$M$6*(Sheet1!CE195-Sheet1!CE194)*7.48/1000000</f>
        <v>1.9989961123375376E-2</v>
      </c>
      <c r="N195" s="106">
        <f>-$N$6*(Sheet1!CF195-Sheet1!CF194)*7.48/1000000</f>
        <v>-0.37231407236774317</v>
      </c>
      <c r="O195" s="106">
        <f t="shared" si="25"/>
        <v>3.114332675777387E-2</v>
      </c>
      <c r="P195" s="106">
        <f>O195+Calculation!EI195</f>
        <v>-2.1576566732422258</v>
      </c>
      <c r="Q195" s="101" t="str">
        <f>IF(Sheet1!BQ195&gt;21.75,"spill elevation","-")</f>
        <v>-</v>
      </c>
      <c r="R195" s="101" t="str">
        <f>IF(Sheet1!BR195&gt;21.75,"spill elevation","-")</f>
        <v>-</v>
      </c>
      <c r="S195" s="101" t="str">
        <f>IF(Sheet1!BS195&gt;21.75,"spill elevation","-")</f>
        <v>-</v>
      </c>
      <c r="T195" s="105">
        <f>IF(Sheet1!DQ195=1,Sheet1!AA195-(SUM(AT195:BA195)+BE195),Sheet1!AA195-SUM(AT195:BA195))</f>
        <v>32.644432000006404</v>
      </c>
      <c r="U195" s="105">
        <f>Sheet1!BU195</f>
        <v>28</v>
      </c>
      <c r="V195" s="105">
        <f t="shared" si="26"/>
        <v>4.6444320000064039</v>
      </c>
      <c r="W195" s="105">
        <f t="shared" si="27"/>
        <v>0</v>
      </c>
      <c r="X195" s="101">
        <f>IF((Sheet1!EX195-Sheet1!EX194)&lt;0,(Sheet1!EX195+100000-Sheet1!EX194)/1000,(Sheet1!EX195-Sheet1!EX194)/1000)</f>
        <v>0.54600000000000004</v>
      </c>
      <c r="Y195" s="106">
        <f>Calculation!DZ196+Calculation!EI195+'Calculations II'!O195-'Calculations II'!W195</f>
        <v>68.550071326757191</v>
      </c>
      <c r="Z195" s="106">
        <f>Y195-Sheet1!CP196</f>
        <v>52.170071326757196</v>
      </c>
      <c r="AA195" s="106">
        <f>Y195+Calculation!CZ196+Calculation!AI196</f>
        <v>79.541452720231561</v>
      </c>
      <c r="AC195" s="106">
        <f>Sheet1!AA195+Sheet1!AB195+BC195</f>
        <v>69.939319680004957</v>
      </c>
      <c r="AD195" s="106">
        <f>Sheet1!AA195+Sheet1!BN195+'Calculations II'!BC195-Calculation!AI195-Calculation!CZ195</f>
        <v>49.341177515225091</v>
      </c>
      <c r="AE195" s="106">
        <f>Sheet1!AA195+Sheet1!AB195+'Calculations II'!BC195-Calculation!AI195-Calculation!CZ195</f>
        <v>59.74117751522364</v>
      </c>
      <c r="AF195" s="106">
        <f>Sheet1!AA195+Sheet1!BN195+P195+'Calculations II'!BC195+Calculation!AI195+Calculation!CZ195</f>
        <v>67.579805171545502</v>
      </c>
      <c r="AG195" s="106">
        <f>Sheet1!AA195+Sheet1!BN195+'Calculations II'!BC195+'Calculations II'!P195-Sheet1!CP195-BP195</f>
        <v>41.14166300676419</v>
      </c>
      <c r="AH195" s="106">
        <f>Sheet1!AA195+Sheet1!BN195+'Calculations II'!BC195+'Calculations II'!P195-BP195</f>
        <v>57.381663006764185</v>
      </c>
      <c r="AI195" s="106">
        <f>BC195+Sheet1!AA195+Calculation!EI195+O195+W195+Sheet1!BN195+Calculation!AI195+Calculation!CZ195-BP195</f>
        <v>67.579805171545487</v>
      </c>
      <c r="AJ195" s="106"/>
      <c r="AM195" s="102">
        <f t="shared" si="28"/>
        <v>40724</v>
      </c>
      <c r="AN195" s="106"/>
      <c r="AO195" s="106"/>
      <c r="AR195" s="106"/>
      <c r="AT195" s="101">
        <f>Sheet1!AR195*GPMtoMGD</f>
        <v>0</v>
      </c>
      <c r="AU195" s="101">
        <f>Sheet1!AS195*GPMtoMGD</f>
        <v>2.5920000000000002E-2</v>
      </c>
      <c r="AV195" s="101">
        <f>Sheet1!AT195*GPMtoMGD</f>
        <v>0</v>
      </c>
      <c r="AW195" s="101">
        <f>Sheet1!AV195*GPMtoMGD</f>
        <v>0.72547200000000012</v>
      </c>
      <c r="AX195" s="101">
        <f>Sheet1!AW195*GPMtoMGD</f>
        <v>0.8029440000000001</v>
      </c>
      <c r="AY195" s="101">
        <f>Sheet1!AX195*GPMtoMGD</f>
        <v>1.1232000000000001E-2</v>
      </c>
      <c r="AZ195" s="101">
        <f>Sheet1!AY195*GPMtoMGD</f>
        <v>0</v>
      </c>
      <c r="BA195" s="101">
        <f>Sheet1!AZ195*GPMtoMGD</f>
        <v>0</v>
      </c>
      <c r="BB195" s="101">
        <f>Sheet1!BP195*GPMtoMGD</f>
        <v>0</v>
      </c>
      <c r="BC195" s="101">
        <f>Sheet1!CO195*GPMtoMGD</f>
        <v>10.629319680000002</v>
      </c>
      <c r="BD195" s="101">
        <f>Sheet1!BO195*GPMtoMGD</f>
        <v>3.0185279999999999</v>
      </c>
      <c r="BE195" s="101">
        <f>Sheet1!BV195*GPMtoMGD</f>
        <v>0.85824</v>
      </c>
      <c r="BF195" s="101">
        <f>Sheet1!CJ195*GPMtoMGD</f>
        <v>0.9066240000000001</v>
      </c>
      <c r="BG195" s="101">
        <f>Sheet1!CK195*GPMtoMGD</f>
        <v>1.1328480000000001</v>
      </c>
      <c r="BH195" s="101">
        <f>Sheet1!CL195*GPMtoMGD</f>
        <v>0.97516800000000015</v>
      </c>
      <c r="BI195" s="101">
        <f t="shared" si="29"/>
        <v>3.0185279999999999</v>
      </c>
      <c r="BK195" s="106">
        <f>SUM(AT195:BA195,BE195,Sheet1!BU195,'Calculations II'!BC195,Calculation!AG195)</f>
        <v>55.954985515217231</v>
      </c>
      <c r="BM195" s="439">
        <f>IF(AND(Sheet1!BQ195&lt;=11.5,Sheet1!BQ194&gt;Sheet1!BQ195),(MIN(Lookup!$C$119,VLOOKUP(Sheet1!BQ194,Lookup!$B$4:$J$236,2))-VLOOKUP(Sheet1!BQ195,Lookup!$B$4:$J$236,2))/1000000,0)</f>
        <v>0</v>
      </c>
      <c r="BN195" s="439">
        <f>IF(AND(Sheet1!BR195&lt;=11.5,Sheet1!BR194&gt;Sheet1!BR195),(MIN(Lookup!$D$119,VLOOKUP(Sheet1!BR194,Lookup!$B$4:$J$236,3))-VLOOKUP(Sheet1!BR195,Lookup!$B$4:$J$236,3))/1000000,0)</f>
        <v>0</v>
      </c>
      <c r="BP195" s="105">
        <f>SUM(BM195:BN195,W195,Sheet1!DT195)</f>
        <v>0</v>
      </c>
    </row>
    <row r="196" spans="1:68" s="101" customFormat="1">
      <c r="A196" s="101" t="s">
        <v>7</v>
      </c>
      <c r="B196" s="103">
        <v>40725</v>
      </c>
      <c r="C196" s="104">
        <v>0.33333333333357601</v>
      </c>
      <c r="E196" s="30"/>
      <c r="F196" s="30">
        <f>-(VLOOKUP(Sheet1!BZ196,Lookup!$I$4:$J$216,2)-VLOOKUP(Sheet1!BZ195,Lookup!$I$4:$J$216,2))/1000000</f>
        <v>0.41454775419120493</v>
      </c>
      <c r="G196" s="106">
        <f>-$G$6*(Sheet1!CB196-Sheet1!CB195)*7.48/1000000</f>
        <v>-0.23033830610484324</v>
      </c>
      <c r="H196" s="106">
        <f>-$H$6*(Sheet1!CA196-Sheet1!CA195)*7.48/1000000</f>
        <v>-0.10527602645885531</v>
      </c>
      <c r="I196" s="106">
        <f>-$I$6*(Sheet1!CC196-Sheet1!CC195)*7.48/1000000</f>
        <v>-0.14393206742421619</v>
      </c>
      <c r="J196" s="107" t="s">
        <v>193</v>
      </c>
      <c r="K196" s="106">
        <f>-$I$6*(Sheet1!CD196-Sheet1!CD195)*7.48/1000000</f>
        <v>-0.12594055899618953</v>
      </c>
      <c r="L196" s="107" t="s">
        <v>193</v>
      </c>
      <c r="M196" s="106">
        <f>-$M$6*(Sheet1!CE196-Sheet1!CE195)*7.48/1000000</f>
        <v>-4.664324262120928E-2</v>
      </c>
      <c r="N196" s="106">
        <f>-$N$6*(Sheet1!CF196-Sheet1!CF195)*7.48/1000000</f>
        <v>-0.31026172697311949</v>
      </c>
      <c r="O196" s="106">
        <f t="shared" si="25"/>
        <v>-0.5478441743872281</v>
      </c>
      <c r="P196" s="106">
        <f>O196+Calculation!EI196</f>
        <v>3.2753558256127717</v>
      </c>
      <c r="Q196" s="101" t="str">
        <f>IF(Sheet1!BQ196&gt;21.75,"spill elevation","-")</f>
        <v>-</v>
      </c>
      <c r="R196" s="101" t="str">
        <f>IF(Sheet1!BR196&gt;21.75,"spill elevation","-")</f>
        <v>-</v>
      </c>
      <c r="S196" s="101" t="str">
        <f>IF(Sheet1!BS196&gt;21.75,"spill elevation","-")</f>
        <v>-</v>
      </c>
      <c r="T196" s="105">
        <f>IF(Sheet1!DQ196=1,Sheet1!AA196-(SUM(AT196:BA196)+BE196),Sheet1!AA196-SUM(AT196:BA196))</f>
        <v>32.605616000002328</v>
      </c>
      <c r="U196" s="105">
        <f>Sheet1!BU196</f>
        <v>34</v>
      </c>
      <c r="V196" s="105">
        <f t="shared" si="26"/>
        <v>-1.3943839999976717</v>
      </c>
      <c r="W196" s="105">
        <f t="shared" si="27"/>
        <v>0</v>
      </c>
      <c r="X196" s="101">
        <f>IF((Sheet1!EX196-Sheet1!EX195)&lt;0,(Sheet1!EX196+100000-Sheet1!EX195)/1000,(Sheet1!EX196-Sheet1!EX195)/1000)</f>
        <v>0.64800000000000002</v>
      </c>
      <c r="Y196" s="106">
        <f>Calculation!DZ197+Calculation!EI196+'Calculations II'!O196-'Calculations II'!W196</f>
        <v>75.168715825601723</v>
      </c>
      <c r="Z196" s="106">
        <f>Y196-Sheet1!CP197</f>
        <v>57.598715825601722</v>
      </c>
      <c r="AA196" s="106">
        <f>Y196+Calculation!CZ197+Calculation!AI197</f>
        <v>86.278937868395687</v>
      </c>
      <c r="AC196" s="106">
        <f>Sheet1!AA196+Sheet1!AB196+BC196</f>
        <v>70.70772799999942</v>
      </c>
      <c r="AD196" s="106">
        <f>Sheet1!AA196+Sheet1!BN196+'Calculations II'!BC196-Calculation!AI196-Calculation!CZ196</f>
        <v>48.516346606527961</v>
      </c>
      <c r="AE196" s="106">
        <f>Sheet1!AA196+Sheet1!AB196+'Calculations II'!BC196-Calculation!AI196-Calculation!CZ196</f>
        <v>59.71634660652505</v>
      </c>
      <c r="AF196" s="106">
        <f>Sheet1!AA196+Sheet1!BN196+P196+'Calculations II'!BC196+Calculation!AI196+Calculation!CZ196</f>
        <v>73.774465219089464</v>
      </c>
      <c r="AG196" s="106">
        <f>Sheet1!AA196+Sheet1!BN196+'Calculations II'!BC196+'Calculations II'!P196-Sheet1!CP196-BP196</f>
        <v>46.403083825615099</v>
      </c>
      <c r="AH196" s="106">
        <f>Sheet1!AA196+Sheet1!BN196+'Calculations II'!BC196+'Calculations II'!P196-BP196</f>
        <v>62.783083825615101</v>
      </c>
      <c r="AI196" s="106">
        <f>BC196+Sheet1!AA196+Calculation!EI196+O196+W196+Sheet1!BN196+Calculation!AI196+Calculation!CZ196-BP196</f>
        <v>73.774465219089464</v>
      </c>
      <c r="AJ196" s="106"/>
      <c r="AM196" s="102">
        <f t="shared" si="28"/>
        <v>40725</v>
      </c>
      <c r="AN196" s="106"/>
      <c r="AO196" s="106"/>
      <c r="AR196" s="106"/>
      <c r="AT196" s="101">
        <f>Sheet1!AR196*GPMtoMGD</f>
        <v>0</v>
      </c>
      <c r="AU196" s="101">
        <f>Sheet1!AS196*GPMtoMGD</f>
        <v>4.1472000000000002E-2</v>
      </c>
      <c r="AV196" s="101">
        <f>Sheet1!AT196*GPMtoMGD</f>
        <v>0</v>
      </c>
      <c r="AW196" s="101">
        <f>Sheet1!AV196*GPMtoMGD</f>
        <v>0.83016000000000001</v>
      </c>
      <c r="AX196" s="101">
        <f>Sheet1!AW196*GPMtoMGD</f>
        <v>1.4251680000000002</v>
      </c>
      <c r="AY196" s="101">
        <f>Sheet1!AX196*GPMtoMGD</f>
        <v>3.7584000000000006E-2</v>
      </c>
      <c r="AZ196" s="101">
        <f>Sheet1!AY196*GPMtoMGD</f>
        <v>0</v>
      </c>
      <c r="BA196" s="101">
        <f>Sheet1!AZ196*GPMtoMGD</f>
        <v>0</v>
      </c>
      <c r="BB196" s="101">
        <f>Sheet1!BP196*GPMtoMGD</f>
        <v>0</v>
      </c>
      <c r="BC196" s="101">
        <f>Sheet1!CO196*GPMtoMGD</f>
        <v>10.567728000000001</v>
      </c>
      <c r="BD196" s="101">
        <f>Sheet1!BO196*GPMtoMGD</f>
        <v>3.7689120000000007</v>
      </c>
      <c r="BE196" s="101">
        <f>Sheet1!BV196*GPMtoMGD</f>
        <v>1.1996640000000001</v>
      </c>
      <c r="BF196" s="101">
        <f>Sheet1!CJ196*GPMtoMGD</f>
        <v>1.1943360000000001</v>
      </c>
      <c r="BG196" s="101">
        <f>Sheet1!CK196*GPMtoMGD</f>
        <v>1.47384</v>
      </c>
      <c r="BH196" s="101">
        <f>Sheet1!CL196*GPMtoMGD</f>
        <v>1.009296</v>
      </c>
      <c r="BI196" s="101">
        <f t="shared" si="29"/>
        <v>3.7689120000000007</v>
      </c>
      <c r="BK196" s="106">
        <f>SUM(AT196:BA196,BE196,Sheet1!BU196,'Calculations II'!BC196,Calculation!AG196)</f>
        <v>62.310394606522728</v>
      </c>
      <c r="BM196" s="439">
        <f>IF(AND(Sheet1!BQ196&lt;=11.5,Sheet1!BQ195&gt;Sheet1!BQ196),(MIN(Lookup!$C$119,VLOOKUP(Sheet1!BQ195,Lookup!$B$4:$J$236,2))-VLOOKUP(Sheet1!BQ196,Lookup!$B$4:$J$236,2))/1000000,0)</f>
        <v>0</v>
      </c>
      <c r="BN196" s="439">
        <f>IF(AND(Sheet1!BR196&lt;=11.5,Sheet1!BR195&gt;Sheet1!BR196),(MIN(Lookup!$D$119,VLOOKUP(Sheet1!BR195,Lookup!$B$4:$J$236,3))-VLOOKUP(Sheet1!BR196,Lookup!$B$4:$J$236,3))/1000000,0)</f>
        <v>0</v>
      </c>
      <c r="BP196" s="105">
        <f>SUM(BM196:BN196,W196,Sheet1!DT196)</f>
        <v>0</v>
      </c>
    </row>
    <row r="197" spans="1:68" s="101" customFormat="1">
      <c r="A197" s="101" t="s">
        <v>8</v>
      </c>
      <c r="B197" s="103">
        <v>40726</v>
      </c>
      <c r="C197" s="104">
        <v>0.33333333333357601</v>
      </c>
      <c r="E197" s="30"/>
      <c r="F197" s="30">
        <f>-(VLOOKUP(Sheet1!BZ197,Lookup!$I$4:$J$216,2)-VLOOKUP(Sheet1!BZ196,Lookup!$I$4:$J$216,2))/1000000</f>
        <v>0</v>
      </c>
      <c r="G197" s="106">
        <f>-$G$6*(Sheet1!CB197-Sheet1!CB196)*7.48/1000000</f>
        <v>0.69498626841978772</v>
      </c>
      <c r="H197" s="106">
        <f>-$H$6*(Sheet1!CA197-Sheet1!CA196)*7.48/1000000</f>
        <v>-0.39102524113289122</v>
      </c>
      <c r="I197" s="106">
        <f>-$I$6*(Sheet1!CC197-Sheet1!CC196)*7.48/1000000</f>
        <v>-5.3974525284081275E-2</v>
      </c>
      <c r="J197" s="107" t="s">
        <v>193</v>
      </c>
      <c r="K197" s="106">
        <f>-$I$6*(Sheet1!CD197-Sheet1!CD196)*7.48/1000000</f>
        <v>-7.1966033712107941E-2</v>
      </c>
      <c r="L197" s="107" t="s">
        <v>193</v>
      </c>
      <c r="M197" s="106">
        <f>-$M$6*(Sheet1!CE197-Sheet1!CE196)*7.48/1000000</f>
        <v>-1.9989961123375137E-2</v>
      </c>
      <c r="N197" s="106">
        <f>-$N$6*(Sheet1!CF197-Sheet1!CF196)*7.48/1000000</f>
        <v>-0.26061985065742033</v>
      </c>
      <c r="O197" s="106">
        <f t="shared" si="25"/>
        <v>-0.10258934349008819</v>
      </c>
      <c r="P197" s="106">
        <f>O197+Calculation!EI197</f>
        <v>4.2219106565099125</v>
      </c>
      <c r="Q197" s="101" t="str">
        <f>IF(Sheet1!BQ197&gt;21.75,"spill elevation","-")</f>
        <v>-</v>
      </c>
      <c r="R197" s="101" t="str">
        <f>IF(Sheet1!BR197&gt;21.75,"spill elevation","-")</f>
        <v>-</v>
      </c>
      <c r="S197" s="101" t="str">
        <f>IF(Sheet1!BS197&gt;21.75,"spill elevation","-")</f>
        <v>-</v>
      </c>
      <c r="T197" s="105">
        <f>IF(Sheet1!DQ197=1,Sheet1!AA197-(SUM(AT197:BA197)+BE197),Sheet1!AA197-SUM(AT197:BA197))</f>
        <v>32.171407999988361</v>
      </c>
      <c r="U197" s="105">
        <f>Sheet1!BU197</f>
        <v>34.200000000000003</v>
      </c>
      <c r="V197" s="105">
        <f t="shared" si="26"/>
        <v>-2.028592000011642</v>
      </c>
      <c r="W197" s="105">
        <f t="shared" si="27"/>
        <v>0</v>
      </c>
      <c r="X197" s="101">
        <f>IF((Sheet1!EX197-Sheet1!EX196)&lt;0,(Sheet1!EX197+100000-Sheet1!EX196)/1000,(Sheet1!EX197-Sheet1!EX196)/1000)</f>
        <v>0.55800000000000005</v>
      </c>
      <c r="Y197" s="106">
        <f>Calculation!DZ198+Calculation!EI197+'Calculations II'!O197-'Calculations II'!W197</f>
        <v>74.309478656518053</v>
      </c>
      <c r="Z197" s="106">
        <f>Y197-Sheet1!CP198</f>
        <v>56.819478656518058</v>
      </c>
      <c r="AA197" s="106">
        <f>Y197+Calculation!CZ198+Calculation!AI198</f>
        <v>85.455453626240526</v>
      </c>
      <c r="AC197" s="106">
        <f>Sheet1!AA197+Sheet1!AB197+BC197</f>
        <v>71.893359999988945</v>
      </c>
      <c r="AD197" s="106">
        <f>Sheet1!AA197+Sheet1!BN197+'Calculations II'!BC197-Calculation!AI197-Calculation!CZ197</f>
        <v>49.623137957194402</v>
      </c>
      <c r="AE197" s="106">
        <f>Sheet1!AA197+Sheet1!AB197+'Calculations II'!BC197-Calculation!AI197-Calculation!CZ197</f>
        <v>60.783137957194981</v>
      </c>
      <c r="AF197" s="106">
        <f>Sheet1!AA197+Sheet1!BN197+P197+'Calculations II'!BC197+Calculation!AI197+Calculation!CZ197</f>
        <v>76.065492699292236</v>
      </c>
      <c r="AG197" s="106">
        <f>Sheet1!AA197+Sheet1!BN197+'Calculations II'!BC197+'Calculations II'!P197-Sheet1!CP197-BP197</f>
        <v>47.385270656498271</v>
      </c>
      <c r="AH197" s="106">
        <f>Sheet1!AA197+Sheet1!BN197+'Calculations II'!BC197+'Calculations II'!P197-BP197</f>
        <v>64.955270656498271</v>
      </c>
      <c r="AI197" s="106">
        <f>BC197+Sheet1!AA197+Calculation!EI197+O197+W197+Sheet1!BN197+Calculation!AI197+Calculation!CZ197-BP197</f>
        <v>76.065492699292236</v>
      </c>
      <c r="AJ197" s="106"/>
      <c r="AM197" s="102">
        <f t="shared" si="28"/>
        <v>40726</v>
      </c>
      <c r="AN197" s="106"/>
      <c r="AO197" s="106"/>
      <c r="AR197" s="106"/>
      <c r="AT197" s="101">
        <f>Sheet1!AR197*GPMtoMGD</f>
        <v>0</v>
      </c>
      <c r="AU197" s="101">
        <f>Sheet1!AS197*GPMtoMGD</f>
        <v>3.9024000000000003E-2</v>
      </c>
      <c r="AV197" s="101">
        <f>Sheet1!AT197*GPMtoMGD</f>
        <v>0</v>
      </c>
      <c r="AW197" s="101">
        <f>Sheet1!AV197*GPMtoMGD</f>
        <v>1.0651680000000001</v>
      </c>
      <c r="AX197" s="101">
        <f>Sheet1!AW197*GPMtoMGD</f>
        <v>1.243152</v>
      </c>
      <c r="AY197" s="101">
        <f>Sheet1!AX197*GPMtoMGD</f>
        <v>3.1248000000000001E-2</v>
      </c>
      <c r="AZ197" s="101">
        <f>Sheet1!AY197*GPMtoMGD</f>
        <v>0</v>
      </c>
      <c r="BA197" s="101">
        <f>Sheet1!AZ197*GPMtoMGD</f>
        <v>0</v>
      </c>
      <c r="BB197" s="101">
        <f>Sheet1!BP197*GPMtoMGD</f>
        <v>0</v>
      </c>
      <c r="BC197" s="101">
        <f>Sheet1!CO197*GPMtoMGD</f>
        <v>12.483360000000001</v>
      </c>
      <c r="BD197" s="101">
        <f>Sheet1!BO197*GPMtoMGD</f>
        <v>4.1847840000000005</v>
      </c>
      <c r="BE197" s="101">
        <f>Sheet1!BV197*GPMtoMGD</f>
        <v>0.97948800000000014</v>
      </c>
      <c r="BF197" s="101">
        <f>Sheet1!CJ197*GPMtoMGD</f>
        <v>1.5511680000000001</v>
      </c>
      <c r="BG197" s="101">
        <f>Sheet1!CK197*GPMtoMGD</f>
        <v>1.5058080000000003</v>
      </c>
      <c r="BH197" s="101">
        <f>Sheet1!CL197*GPMtoMGD</f>
        <v>0.97646400000000011</v>
      </c>
      <c r="BI197" s="101">
        <f t="shared" si="29"/>
        <v>4.1847840000000005</v>
      </c>
      <c r="BK197" s="106">
        <f>SUM(AT197:BA197,BE197,Sheet1!BU197,'Calculations II'!BC197,Calculation!AG197)</f>
        <v>63.791217957206626</v>
      </c>
      <c r="BM197" s="439">
        <f>IF(AND(Sheet1!BQ197&lt;=11.5,Sheet1!BQ196&gt;Sheet1!BQ197),(MIN(Lookup!$C$119,VLOOKUP(Sheet1!BQ196,Lookup!$B$4:$J$236,2))-VLOOKUP(Sheet1!BQ197,Lookup!$B$4:$J$236,2))/1000000,0)</f>
        <v>0</v>
      </c>
      <c r="BN197" s="439">
        <f>IF(AND(Sheet1!BR197&lt;=11.5,Sheet1!BR196&gt;Sheet1!BR197),(MIN(Lookup!$D$119,VLOOKUP(Sheet1!BR196,Lookup!$B$4:$J$236,3))-VLOOKUP(Sheet1!BR197,Lookup!$B$4:$J$236,3))/1000000,0)</f>
        <v>0</v>
      </c>
      <c r="BP197" s="105">
        <f>SUM(BM197:BN197,W197,Sheet1!DT197)</f>
        <v>0</v>
      </c>
    </row>
    <row r="198" spans="1:68" s="101" customFormat="1">
      <c r="A198" s="101" t="s">
        <v>9</v>
      </c>
      <c r="B198" s="103">
        <v>40727</v>
      </c>
      <c r="C198" s="104">
        <v>0.33333333333357601</v>
      </c>
      <c r="E198" s="30"/>
      <c r="F198" s="30">
        <f>-(VLOOKUP(Sheet1!BZ198,Lookup!$I$4:$J$216,2)-VLOOKUP(Sheet1!BZ197,Lookup!$I$4:$J$216,2))/1000000</f>
        <v>0</v>
      </c>
      <c r="G198" s="106">
        <f>-$G$6*(Sheet1!CB198-Sheet1!CB197)*7.48/1000000</f>
        <v>-0.50436146336750431</v>
      </c>
      <c r="H198" s="106">
        <f>-$H$6*(Sheet1!CA198-Sheet1!CA197)*7.48/1000000</f>
        <v>7.5197161756325293E-2</v>
      </c>
      <c r="I198" s="106">
        <f>-$I$6*(Sheet1!CC198-Sheet1!CC197)*7.48/1000000</f>
        <v>-0.17991508428027048</v>
      </c>
      <c r="J198" s="107" t="s">
        <v>193</v>
      </c>
      <c r="K198" s="106">
        <f>-$I$6*(Sheet1!CD198-Sheet1!CD197)*7.48/1000000</f>
        <v>-0.17991508428027048</v>
      </c>
      <c r="L198" s="107" t="s">
        <v>193</v>
      </c>
      <c r="M198" s="106">
        <f>-$M$6*(Sheet1!CE198-Sheet1!CE197)*7.48/1000000</f>
        <v>-6.6633203744584424E-2</v>
      </c>
      <c r="N198" s="106">
        <f>-$N$6*(Sheet1!CF198-Sheet1!CF197)*7.48/1000000</f>
        <v>0.88114330460365931</v>
      </c>
      <c r="O198" s="106">
        <f t="shared" si="25"/>
        <v>2.5515630687354962E-2</v>
      </c>
      <c r="P198" s="106">
        <f>O198+Calculation!EI198</f>
        <v>3.7682156306873553</v>
      </c>
      <c r="Q198" s="101" t="str">
        <f>IF(Sheet1!BQ198&gt;21.75,"spill elevation","-")</f>
        <v>-</v>
      </c>
      <c r="R198" s="101" t="str">
        <f>IF(Sheet1!BR198&gt;21.75,"spill elevation","-")</f>
        <v>-</v>
      </c>
      <c r="S198" s="101" t="str">
        <f>IF(Sheet1!BS198&gt;21.75,"spill elevation","-")</f>
        <v>-</v>
      </c>
      <c r="T198" s="105">
        <f>IF(Sheet1!DQ198=1,Sheet1!AA198-(SUM(AT198:BA198)+BE198),Sheet1!AA198-SUM(AT198:BA198))</f>
        <v>32.914192000005819</v>
      </c>
      <c r="U198" s="105">
        <f>Sheet1!BU198</f>
        <v>34.5</v>
      </c>
      <c r="V198" s="105">
        <f t="shared" si="26"/>
        <v>-1.5858079999941808</v>
      </c>
      <c r="W198" s="105">
        <f t="shared" si="27"/>
        <v>0</v>
      </c>
      <c r="X198" s="101">
        <f>IF((Sheet1!EX198-Sheet1!EX197)&lt;0,(Sheet1!EX198+100000-Sheet1!EX197)/1000,(Sheet1!EX198-Sheet1!EX197)/1000)</f>
        <v>0.57999999999999996</v>
      </c>
      <c r="Y198" s="106">
        <f>Calculation!DZ199+Calculation!EI198+'Calculations II'!O198-'Calculations II'!W198</f>
        <v>75.516647630691722</v>
      </c>
      <c r="Z198" s="106">
        <f>Y198-Sheet1!CP199</f>
        <v>58.066647630691719</v>
      </c>
      <c r="AA198" s="106">
        <f>Y198+Calculation!CZ199+Calculation!AI199</f>
        <v>86.564340509030117</v>
      </c>
      <c r="AC198" s="106">
        <f>Sheet1!AA198+Sheet1!AB198+BC198</f>
        <v>70.087568000008147</v>
      </c>
      <c r="AD198" s="106">
        <f>Sheet1!AA198+Sheet1!BN198+'Calculations II'!BC198-Calculation!AI198-Calculation!CZ198</f>
        <v>47.701593030283341</v>
      </c>
      <c r="AE198" s="106">
        <f>Sheet1!AA198+Sheet1!AB198+'Calculations II'!BC198-Calculation!AI198-Calculation!CZ198</f>
        <v>58.941593030285667</v>
      </c>
      <c r="AF198" s="106">
        <f>Sheet1!AA198+Sheet1!BN198+P198+'Calculations II'!BC198+Calculation!AI198+Calculation!CZ198</f>
        <v>73.761758600415661</v>
      </c>
      <c r="AG198" s="106">
        <f>Sheet1!AA198+Sheet1!BN198+'Calculations II'!BC198+'Calculations II'!P198-Sheet1!CP198-BP198</f>
        <v>45.125783630693178</v>
      </c>
      <c r="AH198" s="106">
        <f>Sheet1!AA198+Sheet1!BN198+'Calculations II'!BC198+'Calculations II'!P198-BP198</f>
        <v>62.61578363069318</v>
      </c>
      <c r="AI198" s="106">
        <f>BC198+Sheet1!AA198+Calculation!EI198+O198+W198+Sheet1!BN198+Calculation!AI198+Calculation!CZ198-BP198</f>
        <v>73.761758600415646</v>
      </c>
      <c r="AJ198" s="106"/>
      <c r="AM198" s="102">
        <f t="shared" si="28"/>
        <v>40727</v>
      </c>
      <c r="AN198" s="106"/>
      <c r="AO198" s="106"/>
      <c r="AR198" s="106"/>
      <c r="AT198" s="101">
        <f>Sheet1!AR198*GPMtoMGD</f>
        <v>0</v>
      </c>
      <c r="AU198" s="101">
        <f>Sheet1!AS198*GPMtoMGD</f>
        <v>5.2271999999999999E-2</v>
      </c>
      <c r="AV198" s="101">
        <f>Sheet1!AT198*GPMtoMGD</f>
        <v>0</v>
      </c>
      <c r="AW198" s="101">
        <f>Sheet1!AV198*GPMtoMGD</f>
        <v>0.49867200000000006</v>
      </c>
      <c r="AX198" s="101">
        <f>Sheet1!AW198*GPMtoMGD</f>
        <v>1.0922400000000001</v>
      </c>
      <c r="AY198" s="101">
        <f>Sheet1!AX198*GPMtoMGD</f>
        <v>4.2624000000000002E-2</v>
      </c>
      <c r="AZ198" s="101">
        <f>Sheet1!AY198*GPMtoMGD</f>
        <v>0</v>
      </c>
      <c r="BA198" s="101">
        <f>Sheet1!AZ198*GPMtoMGD</f>
        <v>0</v>
      </c>
      <c r="BB198" s="101">
        <f>Sheet1!BP198*GPMtoMGD</f>
        <v>0</v>
      </c>
      <c r="BC198" s="101">
        <f>Sheet1!CO198*GPMtoMGD</f>
        <v>10.547568</v>
      </c>
      <c r="BD198" s="101">
        <f>Sheet1!BO198*GPMtoMGD</f>
        <v>4.0868640000000003</v>
      </c>
      <c r="BE198" s="101">
        <f>Sheet1!BV198*GPMtoMGD</f>
        <v>1.23336</v>
      </c>
      <c r="BF198" s="101">
        <f>Sheet1!CJ198*GPMtoMGD</f>
        <v>1.305072</v>
      </c>
      <c r="BG198" s="101">
        <f>Sheet1!CK198*GPMtoMGD</f>
        <v>1.447776</v>
      </c>
      <c r="BH198" s="101">
        <f>Sheet1!CL198*GPMtoMGD</f>
        <v>0.96048000000000011</v>
      </c>
      <c r="BI198" s="101">
        <f t="shared" si="29"/>
        <v>4.0868640000000003</v>
      </c>
      <c r="BK198" s="106">
        <f>SUM(AT198:BA198,BE198,Sheet1!BU198,'Calculations II'!BC198,Calculation!AG198)</f>
        <v>61.760761030279845</v>
      </c>
      <c r="BM198" s="439">
        <f>IF(AND(Sheet1!BQ198&lt;=11.5,Sheet1!BQ197&gt;Sheet1!BQ198),(MIN(Lookup!$C$119,VLOOKUP(Sheet1!BQ197,Lookup!$B$4:$J$236,2))-VLOOKUP(Sheet1!BQ198,Lookup!$B$4:$J$236,2))/1000000,0)</f>
        <v>0</v>
      </c>
      <c r="BN198" s="439">
        <f>IF(AND(Sheet1!BR198&lt;=11.5,Sheet1!BR197&gt;Sheet1!BR198),(MIN(Lookup!$D$119,VLOOKUP(Sheet1!BR197,Lookup!$B$4:$J$236,3))-VLOOKUP(Sheet1!BR198,Lookup!$B$4:$J$236,3))/1000000,0)</f>
        <v>0</v>
      </c>
      <c r="BP198" s="105">
        <f>SUM(BM198:BN198,W198,Sheet1!DT198)</f>
        <v>0</v>
      </c>
    </row>
    <row r="199" spans="1:68" s="101" customFormat="1">
      <c r="A199" s="101" t="s">
        <v>3</v>
      </c>
      <c r="B199" s="103">
        <v>40728</v>
      </c>
      <c r="C199" s="104">
        <v>0.33333333333357601</v>
      </c>
      <c r="E199" s="30"/>
      <c r="F199" s="30">
        <f>-(VLOOKUP(Sheet1!BZ199,Lookup!$I$4:$J$216,2)-VLOOKUP(Sheet1!BZ198,Lookup!$I$4:$J$216,2))/1000000</f>
        <v>0.20727387709560247</v>
      </c>
      <c r="G199" s="106">
        <f>-$G$6*(Sheet1!CB199-Sheet1!CB198)*7.48/1000000</f>
        <v>-0.18268210484177172</v>
      </c>
      <c r="H199" s="106">
        <f>-$H$6*(Sheet1!CA199-Sheet1!CA198)*7.48/1000000</f>
        <v>7.5197161756325293E-2</v>
      </c>
      <c r="I199" s="106">
        <f>-$I$6*(Sheet1!CC199-Sheet1!CC198)*7.48/1000000</f>
        <v>0.41200554300181924</v>
      </c>
      <c r="J199" s="107" t="s">
        <v>193</v>
      </c>
      <c r="K199" s="106">
        <f>-$I$6*(Sheet1!CD199-Sheet1!CD198)*7.48/1000000</f>
        <v>0.41020639215901655</v>
      </c>
      <c r="L199" s="107" t="s">
        <v>193</v>
      </c>
      <c r="M199" s="106">
        <f>-$M$6*(Sheet1!CE199-Sheet1!CE198)*7.48/1000000</f>
        <v>0.16058602102444847</v>
      </c>
      <c r="N199" s="106">
        <f>-$N$6*(Sheet1!CF199-Sheet1!CF198)*7.48/1000000</f>
        <v>2.482093815785013E-2</v>
      </c>
      <c r="O199" s="106">
        <f t="shared" si="25"/>
        <v>1.1074078283532904</v>
      </c>
      <c r="P199" s="106">
        <f>O199+Calculation!EI199</f>
        <v>6.6679078283532895</v>
      </c>
      <c r="Q199" s="101" t="str">
        <f>IF(Sheet1!BQ199&gt;21.75,"spill elevation","-")</f>
        <v>-</v>
      </c>
      <c r="R199" s="101" t="str">
        <f>IF(Sheet1!BR199&gt;21.75,"spill elevation","-")</f>
        <v>-</v>
      </c>
      <c r="S199" s="101" t="str">
        <f>IF(Sheet1!BS199&gt;21.75,"spill elevation","-")</f>
        <v>-</v>
      </c>
      <c r="T199" s="105">
        <f>IF(Sheet1!DQ199=1,Sheet1!AA199-(SUM(AT199:BA199)+BE199),Sheet1!AA199-SUM(AT199:BA199))</f>
        <v>31.837984000004074</v>
      </c>
      <c r="U199" s="105">
        <f>Sheet1!BU199</f>
        <v>35.5</v>
      </c>
      <c r="V199" s="105">
        <f t="shared" si="26"/>
        <v>-3.6620159999959263</v>
      </c>
      <c r="W199" s="105">
        <f t="shared" si="27"/>
        <v>0</v>
      </c>
      <c r="X199" s="101">
        <f>IF((Sheet1!EX199-Sheet1!EX198)&lt;0,(Sheet1!EX199+100000-Sheet1!EX198)/1000,(Sheet1!EX199-Sheet1!EX198)/1000)</f>
        <v>0.52900000000000003</v>
      </c>
      <c r="Y199" s="106">
        <f>Calculation!DZ200+Calculation!EI199+'Calculations II'!O199-'Calculations II'!W199</f>
        <v>85.908115828354454</v>
      </c>
      <c r="Z199" s="106">
        <f>Y199-Sheet1!CP200</f>
        <v>68.168115828354459</v>
      </c>
      <c r="AA199" s="106">
        <f>Y199+Calculation!CZ200+Calculation!AI200</f>
        <v>97.363065552648337</v>
      </c>
      <c r="AC199" s="106">
        <f>Sheet1!AA199+Sheet1!AB199+BC199</f>
        <v>71.748432000004371</v>
      </c>
      <c r="AD199" s="106">
        <f>Sheet1!AA199+Sheet1!BN199+'Calculations II'!BC199-Calculation!AI199-Calculation!CZ199</f>
        <v>49.670739121665676</v>
      </c>
      <c r="AE199" s="106">
        <f>Sheet1!AA199+Sheet1!AB199+'Calculations II'!BC199-Calculation!AI199-Calculation!CZ199</f>
        <v>60.700739121665976</v>
      </c>
      <c r="AF199" s="106">
        <f>Sheet1!AA199+Sheet1!BN199+P199+'Calculations II'!BC199+Calculation!AI199+Calculation!CZ199</f>
        <v>78.43403270669576</v>
      </c>
      <c r="AG199" s="106">
        <f>Sheet1!AA199+Sheet1!BN199+'Calculations II'!BC199+'Calculations II'!P199-Sheet1!CP199-BP199</f>
        <v>49.936339828357362</v>
      </c>
      <c r="AH199" s="106">
        <f>Sheet1!AA199+Sheet1!BN199+'Calculations II'!BC199+'Calculations II'!P199-BP199</f>
        <v>67.386339828357364</v>
      </c>
      <c r="AI199" s="106">
        <f>BC199+Sheet1!AA199+Calculation!EI199+O199+W199+Sheet1!BN199+Calculation!AI199+Calculation!CZ199-BP199</f>
        <v>78.43403270669576</v>
      </c>
      <c r="AJ199" s="106"/>
      <c r="AM199" s="102">
        <f t="shared" si="28"/>
        <v>40728</v>
      </c>
      <c r="AN199" s="106"/>
      <c r="AO199" s="106"/>
      <c r="AR199" s="106"/>
      <c r="AT199" s="101">
        <f>Sheet1!AR199*GPMtoMGD</f>
        <v>0</v>
      </c>
      <c r="AU199" s="101">
        <f>Sheet1!AS199*GPMtoMGD</f>
        <v>2.8080000000000001E-2</v>
      </c>
      <c r="AV199" s="101">
        <f>Sheet1!AT199*GPMtoMGD</f>
        <v>0</v>
      </c>
      <c r="AW199" s="101">
        <f>Sheet1!AV199*GPMtoMGD</f>
        <v>1.10304</v>
      </c>
      <c r="AX199" s="101">
        <f>Sheet1!AW199*GPMtoMGD</f>
        <v>1.26864</v>
      </c>
      <c r="AY199" s="101">
        <f>Sheet1!AX199*GPMtoMGD</f>
        <v>3.2256E-2</v>
      </c>
      <c r="AZ199" s="101">
        <f>Sheet1!AY199*GPMtoMGD</f>
        <v>0</v>
      </c>
      <c r="BA199" s="101">
        <f>Sheet1!AZ199*GPMtoMGD</f>
        <v>0</v>
      </c>
      <c r="BB199" s="101">
        <f>Sheet1!BP199*GPMtoMGD</f>
        <v>7.8191999999999998E-2</v>
      </c>
      <c r="BC199" s="101">
        <f>Sheet1!CO199*GPMtoMGD</f>
        <v>10.548432000000002</v>
      </c>
      <c r="BD199" s="101">
        <f>Sheet1!BO199*GPMtoMGD</f>
        <v>3.9965760000000006</v>
      </c>
      <c r="BE199" s="101">
        <f>Sheet1!BV199*GPMtoMGD</f>
        <v>0.41011200000000003</v>
      </c>
      <c r="BF199" s="101">
        <f>Sheet1!CJ199*GPMtoMGD</f>
        <v>1.5644160000000003</v>
      </c>
      <c r="BG199" s="101">
        <f>Sheet1!CK199*GPMtoMGD</f>
        <v>1.631664</v>
      </c>
      <c r="BH199" s="101">
        <f>Sheet1!CL199*GPMtoMGD</f>
        <v>0.98913600000000002</v>
      </c>
      <c r="BI199" s="101">
        <f t="shared" si="29"/>
        <v>4.0747680000000006</v>
      </c>
      <c r="BK199" s="106">
        <f>SUM(AT199:BA199,BE199,Sheet1!BU199,'Calculations II'!BC199,Calculation!AG199)</f>
        <v>64.772867121661903</v>
      </c>
      <c r="BM199" s="439">
        <f>IF(AND(Sheet1!BQ199&lt;=11.5,Sheet1!BQ198&gt;Sheet1!BQ199),(MIN(Lookup!$C$119,VLOOKUP(Sheet1!BQ198,Lookup!$B$4:$J$236,2))-VLOOKUP(Sheet1!BQ199,Lookup!$B$4:$J$236,2))/1000000,0)</f>
        <v>0</v>
      </c>
      <c r="BN199" s="439">
        <f>IF(AND(Sheet1!BR199&lt;=11.5,Sheet1!BR198&gt;Sheet1!BR199),(MIN(Lookup!$D$119,VLOOKUP(Sheet1!BR198,Lookup!$B$4:$J$236,3))-VLOOKUP(Sheet1!BR199,Lookup!$B$4:$J$236,3))/1000000,0)</f>
        <v>0</v>
      </c>
      <c r="BP199" s="105">
        <f>SUM(BM199:BN199,W199,Sheet1!DT199)</f>
        <v>0</v>
      </c>
    </row>
    <row r="200" spans="1:68" s="101" customFormat="1">
      <c r="A200" s="101" t="s">
        <v>4</v>
      </c>
      <c r="B200" s="103">
        <v>40729</v>
      </c>
      <c r="C200" s="104">
        <v>0.33333333333357601</v>
      </c>
      <c r="E200" s="30"/>
      <c r="F200" s="30">
        <f>-(VLOOKUP(Sheet1!BZ200,Lookup!$I$4:$J$216,2)-VLOOKUP(Sheet1!BZ199,Lookup!$I$4:$J$216,2))/1000000</f>
        <v>0</v>
      </c>
      <c r="G200" s="106">
        <f>-$G$6*(Sheet1!CB200-Sheet1!CB199)*7.48/1000000</f>
        <v>0.18268210484177172</v>
      </c>
      <c r="H200" s="106">
        <f>-$H$6*(Sheet1!CA200-Sheet1!CA199)*7.48/1000000</f>
        <v>0.21055205291771062</v>
      </c>
      <c r="I200" s="106">
        <f>-$I$6*(Sheet1!CC200-Sheet1!CC199)*7.48/1000000</f>
        <v>-0.18531253680867849</v>
      </c>
      <c r="J200" s="107" t="s">
        <v>193</v>
      </c>
      <c r="K200" s="106">
        <f>-$I$6*(Sheet1!CD200-Sheet1!CD199)*7.48/1000000</f>
        <v>-0.18351338596587582</v>
      </c>
      <c r="L200" s="107" t="s">
        <v>193</v>
      </c>
      <c r="M200" s="106">
        <f>-$M$6*(Sheet1!CE200-Sheet1!CE199)*7.48/1000000</f>
        <v>-6.9964863931813684E-2</v>
      </c>
      <c r="N200" s="106">
        <f>-$N$6*(Sheet1!CF200-Sheet1!CF199)*7.48/1000000</f>
        <v>0.17374656710494654</v>
      </c>
      <c r="O200" s="106">
        <f t="shared" si="25"/>
        <v>0.1281899381580609</v>
      </c>
      <c r="P200" s="106">
        <f>O200+Calculation!EI200</f>
        <v>0.91888993815806086</v>
      </c>
      <c r="Q200" s="101" t="str">
        <f>IF(Sheet1!BQ200&gt;21.75,"spill elevation","-")</f>
        <v>-</v>
      </c>
      <c r="R200" s="101" t="str">
        <f>IF(Sheet1!BR200&gt;21.75,"spill elevation","-")</f>
        <v>-</v>
      </c>
      <c r="S200" s="101" t="str">
        <f>IF(Sheet1!BS200&gt;21.75,"spill elevation","-")</f>
        <v>-</v>
      </c>
      <c r="T200" s="105">
        <f>IF(Sheet1!DQ200=1,Sheet1!AA200-(SUM(AT200:BA200)+BE200),Sheet1!AA200-SUM(AT200:BA200))</f>
        <v>35.377328000002912</v>
      </c>
      <c r="U200" s="105">
        <f>Sheet1!BU200</f>
        <v>34.200000000000003</v>
      </c>
      <c r="V200" s="105">
        <f t="shared" si="26"/>
        <v>1.1773280000029089</v>
      </c>
      <c r="W200" s="105">
        <f t="shared" si="27"/>
        <v>0</v>
      </c>
      <c r="X200" s="101">
        <f>IF((Sheet1!EX200-Sheet1!EX199)&lt;0,(Sheet1!EX200+100000-Sheet1!EX199)/1000,(Sheet1!EX200-Sheet1!EX199)/1000)</f>
        <v>0.51200000000000001</v>
      </c>
      <c r="Y200" s="106">
        <f>Calculation!DZ201+Calculation!EI200+'Calculations II'!O200-'Calculations II'!W200</f>
        <v>88.496489938152536</v>
      </c>
      <c r="Z200" s="106">
        <f>Y200-Sheet1!CP201</f>
        <v>71.126489938152531</v>
      </c>
      <c r="AA200" s="106">
        <f>Y200+Calculation!CZ201+Calculation!AI201</f>
        <v>100.21877337861727</v>
      </c>
      <c r="AC200" s="106">
        <f>Sheet1!AA200+Sheet1!AB200+BC200</f>
        <v>79.240208000001161</v>
      </c>
      <c r="AD200" s="106">
        <f>Sheet1!AA200+Sheet1!BN200+'Calculations II'!BC200-Calculation!AI200-Calculation!CZ200</f>
        <v>56.115258275709031</v>
      </c>
      <c r="AE200" s="106">
        <f>Sheet1!AA200+Sheet1!AB200+'Calculations II'!BC200-Calculation!AI200-Calculation!CZ200</f>
        <v>67.785258275707278</v>
      </c>
      <c r="AF200" s="106">
        <f>Sheet1!AA200+Sheet1!BN200+P200+'Calculations II'!BC200+Calculation!AI200+Calculation!CZ200</f>
        <v>79.94404766245485</v>
      </c>
      <c r="AG200" s="106">
        <f>Sheet1!AA200+Sheet1!BN200+'Calculations II'!BC200+'Calculations II'!P200-Sheet1!CP200-BP200</f>
        <v>50.749097938160972</v>
      </c>
      <c r="AH200" s="106">
        <f>Sheet1!AA200+Sheet1!BN200+'Calculations II'!BC200+'Calculations II'!P200-BP200</f>
        <v>68.489097938160967</v>
      </c>
      <c r="AI200" s="106">
        <f>BC200+Sheet1!AA200+Calculation!EI200+O200+W200+Sheet1!BN200+Calculation!AI200+Calculation!CZ200-BP200</f>
        <v>79.94404766245485</v>
      </c>
      <c r="AJ200" s="106"/>
      <c r="AM200" s="102">
        <f t="shared" si="28"/>
        <v>40729</v>
      </c>
      <c r="AN200" s="106"/>
      <c r="AO200" s="106"/>
      <c r="AR200" s="106"/>
      <c r="AT200" s="101">
        <f>Sheet1!AR200*GPMtoMGD</f>
        <v>0</v>
      </c>
      <c r="AU200" s="101">
        <f>Sheet1!AS200*GPMtoMGD</f>
        <v>5.5728000000000007E-2</v>
      </c>
      <c r="AV200" s="101">
        <f>Sheet1!AT200*GPMtoMGD</f>
        <v>0</v>
      </c>
      <c r="AW200" s="101">
        <f>Sheet1!AV200*GPMtoMGD</f>
        <v>0.73296000000000006</v>
      </c>
      <c r="AX200" s="101">
        <f>Sheet1!AW200*GPMtoMGD</f>
        <v>1.330416</v>
      </c>
      <c r="AY200" s="101">
        <f>Sheet1!AX200*GPMtoMGD</f>
        <v>5.3568000000000005E-2</v>
      </c>
      <c r="AZ200" s="101">
        <f>Sheet1!AY200*GPMtoMGD</f>
        <v>0</v>
      </c>
      <c r="BA200" s="101">
        <f>Sheet1!AZ200*GPMtoMGD</f>
        <v>0</v>
      </c>
      <c r="BB200" s="101">
        <f>Sheet1!BP200*GPMtoMGD</f>
        <v>0</v>
      </c>
      <c r="BC200" s="101">
        <f>Sheet1!CO200*GPMtoMGD</f>
        <v>10.520208</v>
      </c>
      <c r="BD200" s="101">
        <f>Sheet1!BO200*GPMtoMGD</f>
        <v>4.2665760000000006</v>
      </c>
      <c r="BE200" s="101">
        <f>Sheet1!BV200*GPMtoMGD</f>
        <v>0.70401599999999998</v>
      </c>
      <c r="BF200" s="101">
        <f>Sheet1!CJ200*GPMtoMGD</f>
        <v>1.6590240000000001</v>
      </c>
      <c r="BG200" s="101">
        <f>Sheet1!CK200*GPMtoMGD</f>
        <v>1.58328</v>
      </c>
      <c r="BH200" s="101">
        <f>Sheet1!CL200*GPMtoMGD</f>
        <v>1.0651680000000001</v>
      </c>
      <c r="BI200" s="101">
        <f t="shared" si="29"/>
        <v>4.2665760000000006</v>
      </c>
      <c r="BK200" s="106">
        <f>SUM(AT200:BA200,BE200,Sheet1!BU200,'Calculations II'!BC200,Calculation!AG200)</f>
        <v>67.311946275704372</v>
      </c>
      <c r="BM200" s="439">
        <f>IF(AND(Sheet1!BQ200&lt;=11.5,Sheet1!BQ199&gt;Sheet1!BQ200),(MIN(Lookup!$C$119,VLOOKUP(Sheet1!BQ199,Lookup!$B$4:$J$236,2))-VLOOKUP(Sheet1!BQ200,Lookup!$B$4:$J$236,2))/1000000,0)</f>
        <v>0</v>
      </c>
      <c r="BN200" s="439">
        <f>IF(AND(Sheet1!BR200&lt;=11.5,Sheet1!BR199&gt;Sheet1!BR200),(MIN(Lookup!$D$119,VLOOKUP(Sheet1!BR199,Lookup!$B$4:$J$236,3))-VLOOKUP(Sheet1!BR200,Lookup!$B$4:$J$236,3))/1000000,0)</f>
        <v>0</v>
      </c>
      <c r="BP200" s="105">
        <f>SUM(BM200:BN200,W200,Sheet1!DT200)</f>
        <v>0</v>
      </c>
    </row>
    <row r="201" spans="1:68" s="101" customFormat="1">
      <c r="A201" s="101" t="s">
        <v>5</v>
      </c>
      <c r="B201" s="103">
        <v>40730</v>
      </c>
      <c r="C201" s="104">
        <v>0.33333333333357601</v>
      </c>
      <c r="E201" s="30"/>
      <c r="F201" s="30">
        <f>-(VLOOKUP(Sheet1!BZ201,Lookup!$I$4:$J$216,2)-VLOOKUP(Sheet1!BZ200,Lookup!$I$4:$J$216,2))/1000000</f>
        <v>-1.3472802011214011</v>
      </c>
      <c r="G201" s="106">
        <f>-$G$6*(Sheet1!CB201-Sheet1!CB200)*7.48/1000000</f>
        <v>0.29387990778893952</v>
      </c>
      <c r="H201" s="106">
        <f>-$H$6*(Sheet1!CA201-Sheet1!CA200)*7.48/1000000</f>
        <v>0.2707097823227706</v>
      </c>
      <c r="I201" s="106">
        <f>-$I$6*(Sheet1!CC201-Sheet1!CC200)*7.48/1000000</f>
        <v>3.9581318541659617E-2</v>
      </c>
      <c r="J201" s="107" t="s">
        <v>193</v>
      </c>
      <c r="K201" s="106">
        <f>-$I$6*(Sheet1!CD201-Sheet1!CD200)*7.48/1000000</f>
        <v>4.1380469384461958E-2</v>
      </c>
      <c r="L201" s="107" t="s">
        <v>193</v>
      </c>
      <c r="M201" s="106">
        <f>-$M$6*(Sheet1!CE201-Sheet1!CE200)*7.48/1000000</f>
        <v>1.5991968898700155E-2</v>
      </c>
      <c r="N201" s="106">
        <f>-$N$6*(Sheet1!CF201-Sheet1!CF200)*7.48/1000000</f>
        <v>-0.34749313420989419</v>
      </c>
      <c r="O201" s="106">
        <f t="shared" si="25"/>
        <v>-1.0332298883947635</v>
      </c>
      <c r="P201" s="106">
        <f>O201+Calculation!EI201</f>
        <v>-2.6142298883947634</v>
      </c>
      <c r="Q201" s="101" t="str">
        <f>IF(Sheet1!BQ201&gt;21.75,"spill elevation","-")</f>
        <v>-</v>
      </c>
      <c r="R201" s="101" t="str">
        <f>IF(Sheet1!BR201&gt;21.75,"spill elevation","-")</f>
        <v>-</v>
      </c>
      <c r="S201" s="101" t="str">
        <f>IF(Sheet1!BS201&gt;21.75,"spill elevation","-")</f>
        <v>-</v>
      </c>
      <c r="T201" s="105">
        <f>IF(Sheet1!DQ201=1,Sheet1!AA201-(SUM(AT201:BA201)+BE201),Sheet1!AA201-SUM(AT201:BA201))</f>
        <v>41.572895999995922</v>
      </c>
      <c r="U201" s="105">
        <f>Sheet1!BU201</f>
        <v>38.5</v>
      </c>
      <c r="V201" s="105">
        <f t="shared" si="26"/>
        <v>3.0728959999959216</v>
      </c>
      <c r="W201" s="105">
        <f t="shared" si="27"/>
        <v>0</v>
      </c>
      <c r="X201" s="101">
        <f>IF((Sheet1!EX201-Sheet1!EX200)&lt;0,(Sheet1!EX201+100000-Sheet1!EX200)/1000,(Sheet1!EX201-Sheet1!EX200)/1000)</f>
        <v>0.54800000000000004</v>
      </c>
      <c r="Y201" s="106">
        <f>Calculation!DZ202+Calculation!EI201+'Calculations II'!O201-'Calculations II'!W201</f>
        <v>81.998890111605249</v>
      </c>
      <c r="Z201" s="106">
        <f>Y201-Sheet1!CP202</f>
        <v>64.298890111605246</v>
      </c>
      <c r="AA201" s="106">
        <f>Y201+Calculation!CZ202+Calculation!AI202</f>
        <v>93.855739646414364</v>
      </c>
      <c r="AC201" s="106">
        <f>Sheet1!AA201+Sheet1!AB201+BC201</f>
        <v>87.577599999994476</v>
      </c>
      <c r="AD201" s="106">
        <f>Sheet1!AA201+Sheet1!BN201+'Calculations II'!BC201-Calculation!AI201-Calculation!CZ201</f>
        <v>63.855316559531182</v>
      </c>
      <c r="AE201" s="106">
        <f>Sheet1!AA201+Sheet1!AB201+'Calculations II'!BC201-Calculation!AI201-Calculation!CZ201</f>
        <v>75.85531655952974</v>
      </c>
      <c r="AF201" s="106">
        <f>Sheet1!AA201+Sheet1!BN201+P201+'Calculations II'!BC201+Calculation!AI201+Calculation!CZ201</f>
        <v>84.685653552065901</v>
      </c>
      <c r="AG201" s="106">
        <f>Sheet1!AA201+Sheet1!BN201+'Calculations II'!BC201+'Calculations II'!P201-Sheet1!CP201-BP201</f>
        <v>55.59337011160116</v>
      </c>
      <c r="AH201" s="106">
        <f>Sheet1!AA201+Sheet1!BN201+'Calculations II'!BC201+'Calculations II'!P201-BP201</f>
        <v>72.963370111601165</v>
      </c>
      <c r="AI201" s="106">
        <f>BC201+Sheet1!AA201+Calculation!EI201+O201+W201+Sheet1!BN201+Calculation!AI201+Calculation!CZ201-BP201</f>
        <v>84.685653552065901</v>
      </c>
      <c r="AJ201" s="106"/>
      <c r="AM201" s="102">
        <f t="shared" si="28"/>
        <v>40730</v>
      </c>
      <c r="AN201" s="106"/>
      <c r="AO201" s="106"/>
      <c r="AR201" s="106"/>
      <c r="AT201" s="101">
        <f>Sheet1!AR201*GPMtoMGD</f>
        <v>0</v>
      </c>
      <c r="AU201" s="101">
        <f>Sheet1!AS201*GPMtoMGD</f>
        <v>5.9471999999999997E-2</v>
      </c>
      <c r="AV201" s="101">
        <f>Sheet1!AT201*GPMtoMGD</f>
        <v>0</v>
      </c>
      <c r="AW201" s="101">
        <f>Sheet1!AV201*GPMtoMGD</f>
        <v>1.0372319999999999</v>
      </c>
      <c r="AX201" s="101">
        <f>Sheet1!AW201*GPMtoMGD</f>
        <v>1.2312000000000001</v>
      </c>
      <c r="AY201" s="101">
        <f>Sheet1!AX201*GPMtoMGD</f>
        <v>7.9200000000000007E-2</v>
      </c>
      <c r="AZ201" s="101">
        <f>Sheet1!AY201*GPMtoMGD</f>
        <v>0</v>
      </c>
      <c r="BA201" s="101">
        <f>Sheet1!AZ201*GPMtoMGD</f>
        <v>0</v>
      </c>
      <c r="BB201" s="101">
        <f>Sheet1!BP201*GPMtoMGD</f>
        <v>0</v>
      </c>
      <c r="BC201" s="101">
        <f>Sheet1!CO201*GPMtoMGD</f>
        <v>10.4976</v>
      </c>
      <c r="BD201" s="101">
        <f>Sheet1!BO201*GPMtoMGD</f>
        <v>4.6764000000000001</v>
      </c>
      <c r="BE201" s="101">
        <f>Sheet1!BV201*GPMtoMGD</f>
        <v>1.3508640000000001</v>
      </c>
      <c r="BF201" s="101">
        <f>Sheet1!CJ201*GPMtoMGD</f>
        <v>1.8365760000000002</v>
      </c>
      <c r="BG201" s="101">
        <f>Sheet1!CK201*GPMtoMGD</f>
        <v>1.6951680000000002</v>
      </c>
      <c r="BH201" s="101">
        <f>Sheet1!CL201*GPMtoMGD</f>
        <v>1.1020319999999999</v>
      </c>
      <c r="BI201" s="101">
        <f t="shared" si="29"/>
        <v>4.6764000000000001</v>
      </c>
      <c r="BK201" s="106">
        <f>SUM(AT201:BA201,BE201,Sheet1!BU201,'Calculations II'!BC201,Calculation!AG201)</f>
        <v>74.133284559533791</v>
      </c>
      <c r="BM201" s="439">
        <f>IF(AND(Sheet1!BQ201&lt;=11.5,Sheet1!BQ200&gt;Sheet1!BQ201),(MIN(Lookup!$C$119,VLOOKUP(Sheet1!BQ200,Lookup!$B$4:$J$236,2))-VLOOKUP(Sheet1!BQ201,Lookup!$B$4:$J$236,2))/1000000,0)</f>
        <v>0</v>
      </c>
      <c r="BN201" s="439">
        <f>IF(AND(Sheet1!BR201&lt;=11.5,Sheet1!BR200&gt;Sheet1!BR201),(MIN(Lookup!$D$119,VLOOKUP(Sheet1!BR200,Lookup!$B$4:$J$236,3))-VLOOKUP(Sheet1!BR201,Lookup!$B$4:$J$236,3))/1000000,0)</f>
        <v>0</v>
      </c>
      <c r="BP201" s="105">
        <f>SUM(BM201:BN201,W201,Sheet1!DT201)</f>
        <v>0</v>
      </c>
    </row>
    <row r="202" spans="1:68" s="101" customFormat="1">
      <c r="A202" s="101" t="s">
        <v>6</v>
      </c>
      <c r="B202" s="103">
        <v>40731</v>
      </c>
      <c r="C202" s="104">
        <v>0.33333333333357601</v>
      </c>
      <c r="E202" s="30"/>
      <c r="F202" s="30">
        <f>-(VLOOKUP(Sheet1!BZ202,Lookup!$I$4:$J$216,2)-VLOOKUP(Sheet1!BZ201,Lookup!$I$4:$J$216,2))/1000000</f>
        <v>0.20727387709560247</v>
      </c>
      <c r="G202" s="106">
        <f>-$G$6*(Sheet1!CB202-Sheet1!CB201)*7.48/1000000</f>
        <v>3.9713501052551399E-3</v>
      </c>
      <c r="H202" s="106">
        <f>-$H$6*(Sheet1!CA202-Sheet1!CA201)*7.48/1000000</f>
        <v>-0.1353548911613853</v>
      </c>
      <c r="I202" s="106">
        <f>-$I$6*(Sheet1!CC202-Sheet1!CC201)*7.48/1000000</f>
        <v>-0.1655218775378488</v>
      </c>
      <c r="J202" s="107" t="s">
        <v>193</v>
      </c>
      <c r="K202" s="106">
        <f>-$I$6*(Sheet1!CD202-Sheet1!CD201)*7.48/1000000</f>
        <v>-0.16912017922345415</v>
      </c>
      <c r="L202" s="107" t="s">
        <v>193</v>
      </c>
      <c r="M202" s="106">
        <f>-$M$6*(Sheet1!CE202-Sheet1!CE201)*7.48/1000000</f>
        <v>-6.3301543557355164E-2</v>
      </c>
      <c r="N202" s="106">
        <f>-$N$6*(Sheet1!CF202-Sheet1!CF201)*7.48/1000000</f>
        <v>-6.8257579934085932E-2</v>
      </c>
      <c r="O202" s="106">
        <f t="shared" si="25"/>
        <v>-0.39031084421327172</v>
      </c>
      <c r="P202" s="106">
        <f>O202+Calculation!EI202</f>
        <v>0.66328915578672842</v>
      </c>
      <c r="Q202" s="101" t="str">
        <f>IF(Sheet1!BQ202&gt;21.75,"spill elevation","-")</f>
        <v>-</v>
      </c>
      <c r="R202" s="101" t="str">
        <f>IF(Sheet1!BR202&gt;21.75,"spill elevation","-")</f>
        <v>-</v>
      </c>
      <c r="S202" s="101" t="str">
        <f>IF(Sheet1!BS202&gt;21.75,"spill elevation","-")</f>
        <v>-</v>
      </c>
      <c r="T202" s="105">
        <f>IF(Sheet1!DQ202=1,Sheet1!AA202-(SUM(AT202:BA202)+BE202),Sheet1!AA202-SUM(AT202:BA202))</f>
        <v>40.650992000000002</v>
      </c>
      <c r="U202" s="105">
        <f>Sheet1!BU202</f>
        <v>30.2</v>
      </c>
      <c r="V202" s="105">
        <f t="shared" si="26"/>
        <v>10.450992000000003</v>
      </c>
      <c r="W202" s="105">
        <f t="shared" si="27"/>
        <v>0</v>
      </c>
      <c r="X202" s="101">
        <f>IF((Sheet1!EX202-Sheet1!EX201)&lt;0,(Sheet1!EX202+100000-Sheet1!EX201)/1000,(Sheet1!EX202-Sheet1!EX201)/1000)</f>
        <v>0.55500000000000005</v>
      </c>
      <c r="Y202" s="106">
        <f>Calculation!DZ203+Calculation!EI202+'Calculations II'!O202-'Calculations II'!W202</f>
        <v>74.941529155786725</v>
      </c>
      <c r="Z202" s="106">
        <f>Y202-Sheet1!CP203</f>
        <v>57.641529155786728</v>
      </c>
      <c r="AA202" s="106">
        <f>Y202+Calculation!CZ203+Calculation!AI203</f>
        <v>88.159749916463454</v>
      </c>
      <c r="AC202" s="106">
        <f>Sheet1!AA202+Sheet1!AB202+BC202</f>
        <v>84.613120000000009</v>
      </c>
      <c r="AD202" s="106">
        <f>Sheet1!AA202+Sheet1!BN202+'Calculations II'!BC202-Calculation!AI202-Calculation!CZ202</f>
        <v>60.756270465190894</v>
      </c>
      <c r="AE202" s="106">
        <f>Sheet1!AA202+Sheet1!AB202+'Calculations II'!BC202-Calculation!AI202-Calculation!CZ202</f>
        <v>72.756270465190894</v>
      </c>
      <c r="AF202" s="106">
        <f>Sheet1!AA202+Sheet1!BN202+P202+'Calculations II'!BC202+Calculation!AI202+Calculation!CZ202</f>
        <v>85.133258690595838</v>
      </c>
      <c r="AG202" s="106">
        <f>Sheet1!AA202+Sheet1!BN202+'Calculations II'!BC202+'Calculations II'!P202-Sheet1!CP202-BP202</f>
        <v>55.576409155786735</v>
      </c>
      <c r="AH202" s="106">
        <f>Sheet1!AA202+Sheet1!BN202+'Calculations II'!BC202+'Calculations II'!P202-BP202</f>
        <v>73.276409155786737</v>
      </c>
      <c r="AI202" s="106">
        <f>BC202+Sheet1!AA202+Calculation!EI202+O202+W202+Sheet1!BN202+Calculation!AI202+Calculation!CZ202-BP202</f>
        <v>85.133258690595838</v>
      </c>
      <c r="AJ202" s="106"/>
      <c r="AM202" s="102">
        <f t="shared" si="28"/>
        <v>40731</v>
      </c>
      <c r="AN202" s="106"/>
      <c r="AO202" s="106"/>
      <c r="AR202" s="106"/>
      <c r="AT202" s="101">
        <f>Sheet1!AR202*GPMtoMGD</f>
        <v>0</v>
      </c>
      <c r="AU202" s="101">
        <f>Sheet1!AS202*GPMtoMGD</f>
        <v>5.4576E-2</v>
      </c>
      <c r="AV202" s="101">
        <f>Sheet1!AT202*GPMtoMGD</f>
        <v>0</v>
      </c>
      <c r="AW202" s="101">
        <f>Sheet1!AV202*GPMtoMGD</f>
        <v>1.0399680000000002</v>
      </c>
      <c r="AX202" s="101">
        <f>Sheet1!AW202*GPMtoMGD</f>
        <v>0.96220800000000017</v>
      </c>
      <c r="AY202" s="101">
        <f>Sheet1!AX202*GPMtoMGD</f>
        <v>3.2256E-2</v>
      </c>
      <c r="AZ202" s="101">
        <f>Sheet1!AY202*GPMtoMGD</f>
        <v>0</v>
      </c>
      <c r="BA202" s="101">
        <f>Sheet1!AZ202*GPMtoMGD</f>
        <v>0</v>
      </c>
      <c r="BB202" s="101">
        <f>Sheet1!BP202*GPMtoMGD</f>
        <v>0</v>
      </c>
      <c r="BC202" s="101">
        <f>Sheet1!CO202*GPMtoMGD</f>
        <v>10.473120000000002</v>
      </c>
      <c r="BD202" s="101">
        <f>Sheet1!BO202*GPMtoMGD</f>
        <v>3.5308800000000002</v>
      </c>
      <c r="BE202" s="101">
        <f>Sheet1!BV202*GPMtoMGD</f>
        <v>1.3307040000000001</v>
      </c>
      <c r="BF202" s="101">
        <f>Sheet1!CJ202*GPMtoMGD</f>
        <v>0.97747200000000001</v>
      </c>
      <c r="BG202" s="101">
        <f>Sheet1!CK202*GPMtoMGD</f>
        <v>1.271808</v>
      </c>
      <c r="BH202" s="101">
        <f>Sheet1!CL202*GPMtoMGD</f>
        <v>0.98496000000000006</v>
      </c>
      <c r="BI202" s="101">
        <f t="shared" si="29"/>
        <v>3.5308800000000002</v>
      </c>
      <c r="BK202" s="106">
        <f>SUM(AT202:BA202,BE202,Sheet1!BU202,'Calculations II'!BC202,Calculation!AG202)</f>
        <v>63.635982465190892</v>
      </c>
      <c r="BM202" s="439">
        <f>IF(AND(Sheet1!BQ202&lt;=11.5,Sheet1!BQ201&gt;Sheet1!BQ202),(MIN(Lookup!$C$119,VLOOKUP(Sheet1!BQ201,Lookup!$B$4:$J$236,2))-VLOOKUP(Sheet1!BQ202,Lookup!$B$4:$J$236,2))/1000000,0)</f>
        <v>0</v>
      </c>
      <c r="BN202" s="439">
        <f>IF(AND(Sheet1!BR202&lt;=11.5,Sheet1!BR201&gt;Sheet1!BR202),(MIN(Lookup!$D$119,VLOOKUP(Sheet1!BR201,Lookup!$B$4:$J$236,3))-VLOOKUP(Sheet1!BR202,Lookup!$B$4:$J$236,3))/1000000,0)</f>
        <v>0</v>
      </c>
      <c r="BP202" s="105">
        <f>SUM(BM202:BN202,W202,Sheet1!DT202)</f>
        <v>0</v>
      </c>
    </row>
    <row r="203" spans="1:68" s="101" customFormat="1">
      <c r="A203" s="101" t="s">
        <v>7</v>
      </c>
      <c r="B203" s="103">
        <v>40732</v>
      </c>
      <c r="C203" s="104">
        <v>0.33333333333357601</v>
      </c>
      <c r="E203" s="30"/>
      <c r="F203" s="30">
        <f>-(VLOOKUP(Sheet1!BZ203,Lookup!$I$4:$J$216,2)-VLOOKUP(Sheet1!BZ202,Lookup!$I$4:$J$216,2))/1000000</f>
        <v>0.72545856983459367</v>
      </c>
      <c r="G203" s="106">
        <f>-$G$6*(Sheet1!CB203-Sheet1!CB202)*7.48/1000000</f>
        <v>-5.5598901473581833E-2</v>
      </c>
      <c r="H203" s="106">
        <f>-$H$6*(Sheet1!CA203-Sheet1!CA202)*7.48/1000000</f>
        <v>0.12031545881012057</v>
      </c>
      <c r="I203" s="106">
        <f>-$I$6*(Sheet1!CC203-Sheet1!CC202)*7.48/1000000</f>
        <v>0.16012442500944049</v>
      </c>
      <c r="J203" s="107" t="s">
        <v>193</v>
      </c>
      <c r="K203" s="106">
        <f>-$I$6*(Sheet1!CD203-Sheet1!CD202)*7.48/1000000</f>
        <v>0.16012442500944082</v>
      </c>
      <c r="L203" s="107" t="s">
        <v>193</v>
      </c>
      <c r="M203" s="106">
        <f>-$M$6*(Sheet1!CE203-Sheet1!CE202)*7.48/1000000</f>
        <v>5.9969883370125883E-2</v>
      </c>
      <c r="N203" s="106">
        <f>-$N$6*(Sheet1!CF203-Sheet1!CF202)*7.48/1000000</f>
        <v>4.9641876315699163E-2</v>
      </c>
      <c r="O203" s="106">
        <f t="shared" si="25"/>
        <v>1.2200357368758388</v>
      </c>
      <c r="P203" s="106">
        <f>O203+Calculation!EI203</f>
        <v>-6.7385642631241618</v>
      </c>
      <c r="Q203" s="101" t="str">
        <f>IF(Sheet1!BQ203&gt;21.75,"spill elevation","-")</f>
        <v>-</v>
      </c>
      <c r="R203" s="101" t="str">
        <f>IF(Sheet1!BR203&gt;21.75,"spill elevation","-")</f>
        <v>-</v>
      </c>
      <c r="S203" s="101" t="str">
        <f>IF(Sheet1!BS203&gt;21.75,"spill elevation","-")</f>
        <v>-</v>
      </c>
      <c r="T203" s="105">
        <f>IF(Sheet1!DQ203=1,Sheet1!AA203-(SUM(AT203:BA203)+BE203),Sheet1!AA203-SUM(AT203:BA203))</f>
        <v>37.378447999999999</v>
      </c>
      <c r="U203" s="105">
        <f>Sheet1!BU203</f>
        <v>38.4</v>
      </c>
      <c r="V203" s="105">
        <f t="shared" si="26"/>
        <v>-1.0215519999999998</v>
      </c>
      <c r="W203" s="105">
        <f t="shared" si="27"/>
        <v>0</v>
      </c>
      <c r="X203" s="101">
        <f>IF((Sheet1!EX203-Sheet1!EX202)&lt;0,(Sheet1!EX203+100000-Sheet1!EX202)/1000,(Sheet1!EX203-Sheet1!EX202)/1000)</f>
        <v>0.55500000000000005</v>
      </c>
      <c r="Y203" s="106">
        <f>Calculation!DZ204+Calculation!EI203+'Calculations II'!O203-'Calculations II'!W203</f>
        <v>69.073115736880212</v>
      </c>
      <c r="Z203" s="106">
        <f>Y203-Sheet1!CP204</f>
        <v>51.563115736880206</v>
      </c>
      <c r="AA203" s="106">
        <f>Y203+Calculation!CZ204+Calculation!AI204</f>
        <v>82.929645362028381</v>
      </c>
      <c r="AC203" s="106">
        <f>Sheet1!AA203+Sheet1!AB203+BC203</f>
        <v>74.278239999999997</v>
      </c>
      <c r="AD203" s="106">
        <f>Sheet1!AA203+Sheet1!BN203+'Calculations II'!BC203-Calculation!AI203-Calculation!CZ203</f>
        <v>47.760019239323263</v>
      </c>
      <c r="AE203" s="106">
        <f>Sheet1!AA203+Sheet1!AB203+'Calculations II'!BC203-Calculation!AI203-Calculation!CZ203</f>
        <v>61.06001923932326</v>
      </c>
      <c r="AF203" s="106">
        <f>Sheet1!AA203+Sheet1!BN203+P203+'Calculations II'!BC203+Calculation!AI203+Calculation!CZ203</f>
        <v>67.457896497552582</v>
      </c>
      <c r="AG203" s="106">
        <f>Sheet1!AA203+Sheet1!BN203+'Calculations II'!BC203+'Calculations II'!P203-Sheet1!CP203-BP203</f>
        <v>36.939675736875841</v>
      </c>
      <c r="AH203" s="106">
        <f>Sheet1!AA203+Sheet1!BN203+'Calculations II'!BC203+'Calculations II'!P203-BP203</f>
        <v>54.239675736875839</v>
      </c>
      <c r="AI203" s="106">
        <f>BC203+Sheet1!AA203+Calculation!EI203+O203+W203+Sheet1!BN203+Calculation!AI203+Calculation!CZ203-BP203</f>
        <v>67.457896497552568</v>
      </c>
      <c r="AJ203" s="106"/>
      <c r="AM203" s="102">
        <f t="shared" si="28"/>
        <v>40732</v>
      </c>
      <c r="AN203" s="106"/>
      <c r="AO203" s="106"/>
      <c r="AR203" s="106"/>
      <c r="AT203" s="101">
        <f>Sheet1!AR203*GPMtoMGD</f>
        <v>0</v>
      </c>
      <c r="AU203" s="101">
        <f>Sheet1!AS203*GPMtoMGD</f>
        <v>5.5728000000000007E-2</v>
      </c>
      <c r="AV203" s="101">
        <f>Sheet1!AT203*GPMtoMGD</f>
        <v>0</v>
      </c>
      <c r="AW203" s="101">
        <f>Sheet1!AV203*GPMtoMGD</f>
        <v>1.0764</v>
      </c>
      <c r="AX203" s="101">
        <f>Sheet1!AW203*GPMtoMGD</f>
        <v>1.294416</v>
      </c>
      <c r="AY203" s="101">
        <f>Sheet1!AX203*GPMtoMGD</f>
        <v>5.5008000000000008E-2</v>
      </c>
      <c r="AZ203" s="101">
        <f>Sheet1!AY203*GPMtoMGD</f>
        <v>0</v>
      </c>
      <c r="BA203" s="101">
        <f>Sheet1!AZ203*GPMtoMGD</f>
        <v>0</v>
      </c>
      <c r="BB203" s="101">
        <f>Sheet1!BP203*GPMtoMGD</f>
        <v>0</v>
      </c>
      <c r="BC203" s="101">
        <f>Sheet1!CO203*GPMtoMGD</f>
        <v>11.11824</v>
      </c>
      <c r="BD203" s="101">
        <f>Sheet1!BO203*GPMtoMGD</f>
        <v>3.8682720000000006</v>
      </c>
      <c r="BE203" s="101">
        <f>Sheet1!BV203*GPMtoMGD</f>
        <v>1.246464</v>
      </c>
      <c r="BF203" s="101">
        <f>Sheet1!CJ203*GPMtoMGD</f>
        <v>1.5140160000000003</v>
      </c>
      <c r="BG203" s="101">
        <f>Sheet1!CK203*GPMtoMGD</f>
        <v>1.4368320000000001</v>
      </c>
      <c r="BH203" s="101">
        <f>Sheet1!CL203*GPMtoMGD</f>
        <v>1.0077119999999999</v>
      </c>
      <c r="BI203" s="101">
        <f t="shared" si="29"/>
        <v>3.8682720000000006</v>
      </c>
      <c r="BK203" s="106">
        <f>SUM(AT203:BA203,BE203,Sheet1!BU203,'Calculations II'!BC203,Calculation!AG203)</f>
        <v>63.328035239323263</v>
      </c>
      <c r="BM203" s="439">
        <f>IF(AND(Sheet1!BQ203&lt;=11.5,Sheet1!BQ202&gt;Sheet1!BQ203),(MIN(Lookup!$C$119,VLOOKUP(Sheet1!BQ202,Lookup!$B$4:$J$236,2))-VLOOKUP(Sheet1!BQ203,Lookup!$B$4:$J$236,2))/1000000,0)</f>
        <v>0</v>
      </c>
      <c r="BN203" s="439">
        <f>IF(AND(Sheet1!BR203&lt;=11.5,Sheet1!BR202&gt;Sheet1!BR203),(MIN(Lookup!$D$119,VLOOKUP(Sheet1!BR202,Lookup!$B$4:$J$236,3))-VLOOKUP(Sheet1!BR203,Lookup!$B$4:$J$236,3))/1000000,0)</f>
        <v>0</v>
      </c>
      <c r="BP203" s="105">
        <f>SUM(BM203:BN203,W203,Sheet1!DT203)</f>
        <v>0</v>
      </c>
    </row>
    <row r="204" spans="1:68" s="101" customFormat="1">
      <c r="A204" s="101" t="s">
        <v>8</v>
      </c>
      <c r="B204" s="103">
        <v>40733</v>
      </c>
      <c r="C204" s="104">
        <v>0.33333333333357601</v>
      </c>
      <c r="E204" s="30"/>
      <c r="F204" s="30">
        <f>-(VLOOKUP(Sheet1!BZ204,Lookup!$I$4:$J$216,2)-VLOOKUP(Sheet1!BZ203,Lookup!$I$4:$J$216,2))/1000000</f>
        <v>1.6581910167648104</v>
      </c>
      <c r="G204" s="106">
        <f>-$G$6*(Sheet1!CB204-Sheet1!CB203)*7.48/1000000</f>
        <v>8.7369702315630002E-2</v>
      </c>
      <c r="H204" s="106">
        <f>-$H$6*(Sheet1!CA204-Sheet1!CA203)*7.48/1000000</f>
        <v>0.18047318821518063</v>
      </c>
      <c r="I204" s="106">
        <f>-$I$6*(Sheet1!CC204-Sheet1!CC203)*7.48/1000000</f>
        <v>0.15472697248103284</v>
      </c>
      <c r="J204" s="107" t="s">
        <v>193</v>
      </c>
      <c r="K204" s="106">
        <f>-$I$6*(Sheet1!CD204-Sheet1!CD203)*7.48/1000000</f>
        <v>0.15652612332383517</v>
      </c>
      <c r="L204" s="107" t="s">
        <v>193</v>
      </c>
      <c r="M204" s="106">
        <f>-$M$6*(Sheet1!CE204-Sheet1!CE203)*7.48/1000000</f>
        <v>5.73045552203428E-2</v>
      </c>
      <c r="N204" s="106">
        <f>-$N$6*(Sheet1!CF204-Sheet1!CF203)*7.48/1000000</f>
        <v>-1.2410469078924517E-2</v>
      </c>
      <c r="O204" s="106">
        <f t="shared" si="25"/>
        <v>2.2821810892419072</v>
      </c>
      <c r="P204" s="106">
        <f>O204+Calculation!EI204</f>
        <v>10.768181089241908</v>
      </c>
      <c r="Q204" s="101" t="str">
        <f>IF(Sheet1!BQ204&gt;21.75,"spill elevation","-")</f>
        <v>-</v>
      </c>
      <c r="R204" s="101" t="str">
        <f>IF(Sheet1!BR204&gt;21.75,"spill elevation","-")</f>
        <v>-</v>
      </c>
      <c r="S204" s="101" t="str">
        <f>IF(Sheet1!BS204&gt;21.75,"spill elevation","-")</f>
        <v>-</v>
      </c>
      <c r="T204" s="105">
        <f>IF(Sheet1!DQ204=1,Sheet1!AA204-(SUM(AT204:BA204)+BE204),Sheet1!AA204-SUM(AT204:BA204))</f>
        <v>38.263792000008728</v>
      </c>
      <c r="U204" s="105">
        <f>Sheet1!BU204</f>
        <v>44.4</v>
      </c>
      <c r="V204" s="105">
        <f t="shared" si="26"/>
        <v>-6.1362079999912709</v>
      </c>
      <c r="W204" s="105">
        <f t="shared" si="27"/>
        <v>0</v>
      </c>
      <c r="X204" s="101">
        <f>IF((Sheet1!EX204-Sheet1!EX203)&lt;0,(Sheet1!EX204+100000-Sheet1!EX203)/1000,(Sheet1!EX204-Sheet1!EX203)/1000)</f>
        <v>0.52700000000000002</v>
      </c>
      <c r="Y204" s="106">
        <f>Calculation!DZ205+Calculation!EI204+'Calculations II'!O204-'Calculations II'!W204</f>
        <v>99.668277089250637</v>
      </c>
      <c r="Z204" s="106">
        <f>Y204-Sheet1!CP205</f>
        <v>83.878277089250645</v>
      </c>
      <c r="AA204" s="106">
        <f>Y204+Calculation!CZ205+Calculation!AI205</f>
        <v>113.19574567094111</v>
      </c>
      <c r="AC204" s="106">
        <f>Sheet1!AA204+Sheet1!AB204+BC204</f>
        <v>75.811680000004372</v>
      </c>
      <c r="AD204" s="106">
        <f>Sheet1!AA204+Sheet1!BN204+'Calculations II'!BC204-Calculation!AI204-Calculation!CZ204</f>
        <v>47.955150374860558</v>
      </c>
      <c r="AE204" s="106">
        <f>Sheet1!AA204+Sheet1!AB204+'Calculations II'!BC204-Calculation!AI204-Calculation!CZ204</f>
        <v>61.955150374856203</v>
      </c>
      <c r="AF204" s="106">
        <f>Sheet1!AA204+Sheet1!BN204+P204+'Calculations II'!BC204+Calculation!AI204+Calculation!CZ204</f>
        <v>86.436390714398811</v>
      </c>
      <c r="AG204" s="106">
        <f>Sheet1!AA204+Sheet1!BN204+'Calculations II'!BC204+'Calculations II'!P204-Sheet1!CP204-BP204</f>
        <v>55.069861089250637</v>
      </c>
      <c r="AH204" s="106">
        <f>Sheet1!AA204+Sheet1!BN204+'Calculations II'!BC204+'Calculations II'!P204-BP204</f>
        <v>72.579861089250642</v>
      </c>
      <c r="AI204" s="106">
        <f>BC204+Sheet1!AA204+Calculation!EI204+O204+W204+Sheet1!BN204+Calculation!AI204+Calculation!CZ204-BP204</f>
        <v>86.436390714398797</v>
      </c>
      <c r="AJ204" s="106"/>
      <c r="AM204" s="102">
        <f t="shared" si="28"/>
        <v>40733</v>
      </c>
      <c r="AN204" s="106"/>
      <c r="AO204" s="106"/>
      <c r="AR204" s="106"/>
      <c r="AT204" s="101">
        <f>Sheet1!AR204*GPMtoMGD</f>
        <v>0</v>
      </c>
      <c r="AU204" s="101">
        <f>Sheet1!AS204*GPMtoMGD</f>
        <v>5.5440000000000003E-2</v>
      </c>
      <c r="AV204" s="101">
        <f>Sheet1!AT204*GPMtoMGD</f>
        <v>0</v>
      </c>
      <c r="AW204" s="101">
        <f>Sheet1!AV204*GPMtoMGD</f>
        <v>1.1681280000000001</v>
      </c>
      <c r="AX204" s="101">
        <f>Sheet1!AW204*GPMtoMGD</f>
        <v>1.3645440000000002</v>
      </c>
      <c r="AY204" s="101">
        <f>Sheet1!AX204*GPMtoMGD</f>
        <v>4.8096E-2</v>
      </c>
      <c r="AZ204" s="101">
        <f>Sheet1!AY204*GPMtoMGD</f>
        <v>0</v>
      </c>
      <c r="BA204" s="101">
        <f>Sheet1!AZ204*GPMtoMGD</f>
        <v>0</v>
      </c>
      <c r="BB204" s="101">
        <f>Sheet1!BP204*GPMtoMGD</f>
        <v>0</v>
      </c>
      <c r="BC204" s="101">
        <f>Sheet1!CO204*GPMtoMGD</f>
        <v>14.611680000000002</v>
      </c>
      <c r="BD204" s="101">
        <f>Sheet1!BO204*GPMtoMGD</f>
        <v>4.4870400000000004</v>
      </c>
      <c r="BE204" s="101">
        <f>Sheet1!BV204*GPMtoMGD</f>
        <v>1.35</v>
      </c>
      <c r="BF204" s="101">
        <f>Sheet1!CJ204*GPMtoMGD</f>
        <v>1.76688</v>
      </c>
      <c r="BG204" s="101">
        <f>Sheet1!CK204*GPMtoMGD</f>
        <v>1.5940800000000002</v>
      </c>
      <c r="BH204" s="101">
        <f>Sheet1!CL204*GPMtoMGD</f>
        <v>1.002672</v>
      </c>
      <c r="BI204" s="101">
        <f t="shared" si="29"/>
        <v>4.4870400000000004</v>
      </c>
      <c r="BK204" s="106">
        <f>SUM(AT204:BA204,BE204,Sheet1!BU204,'Calculations II'!BC204,Calculation!AG204)</f>
        <v>69.441358374847468</v>
      </c>
      <c r="BM204" s="439">
        <f>IF(AND(Sheet1!BQ204&lt;=11.5,Sheet1!BQ203&gt;Sheet1!BQ204),(MIN(Lookup!$C$119,VLOOKUP(Sheet1!BQ203,Lookup!$B$4:$J$236,2))-VLOOKUP(Sheet1!BQ204,Lookup!$B$4:$J$236,2))/1000000,0)</f>
        <v>0</v>
      </c>
      <c r="BN204" s="439">
        <f>IF(AND(Sheet1!BR204&lt;=11.5,Sheet1!BR203&gt;Sheet1!BR204),(MIN(Lookup!$D$119,VLOOKUP(Sheet1!BR203,Lookup!$B$4:$J$236,3))-VLOOKUP(Sheet1!BR204,Lookup!$B$4:$J$236,3))/1000000,0)</f>
        <v>0</v>
      </c>
      <c r="BP204" s="105">
        <f>SUM(BM204:BN204,W204,Sheet1!DT204)</f>
        <v>0</v>
      </c>
    </row>
    <row r="205" spans="1:68" s="101" customFormat="1">
      <c r="A205" s="101" t="s">
        <v>9</v>
      </c>
      <c r="B205" s="103">
        <v>40734</v>
      </c>
      <c r="C205" s="104">
        <v>0.33333333333357601</v>
      </c>
      <c r="E205" s="30"/>
      <c r="F205" s="30">
        <f>-(VLOOKUP(Sheet1!BZ205,Lookup!$I$4:$J$216,2)-VLOOKUP(Sheet1!BZ204,Lookup!$I$4:$J$216,2))/1000000</f>
        <v>0</v>
      </c>
      <c r="G205" s="106">
        <f>-$G$6*(Sheet1!CB205-Sheet1!CB204)*7.48/1000000</f>
        <v>0.22636695599958809</v>
      </c>
      <c r="H205" s="106">
        <f>-$H$6*(Sheet1!CA205-Sheet1!CA204)*7.48/1000000</f>
        <v>-0.40606467348415648</v>
      </c>
      <c r="I205" s="106">
        <f>-$I$6*(Sheet1!CC205-Sheet1!CC204)*7.48/1000000</f>
        <v>-0.18171423512307314</v>
      </c>
      <c r="J205" s="107" t="s">
        <v>193</v>
      </c>
      <c r="K205" s="106">
        <f>-$I$6*(Sheet1!CD205-Sheet1!CD204)*7.48/1000000</f>
        <v>-0.18171423512307314</v>
      </c>
      <c r="L205" s="107" t="s">
        <v>193</v>
      </c>
      <c r="M205" s="106">
        <f>-$M$6*(Sheet1!CE205-Sheet1!CE204)*7.48/1000000</f>
        <v>-6.7299535782030365E-2</v>
      </c>
      <c r="N205" s="106">
        <f>-$N$6*(Sheet1!CF205-Sheet1!CF204)*7.48/1000000</f>
        <v>-0.25441461611795807</v>
      </c>
      <c r="O205" s="106">
        <f t="shared" si="25"/>
        <v>-0.86484033963070306</v>
      </c>
      <c r="P205" s="106">
        <f>O205+Calculation!EI205</f>
        <v>-11.499240339630703</v>
      </c>
      <c r="Q205" s="101" t="str">
        <f>IF(Sheet1!BQ205&gt;21.75,"spill elevation","-")</f>
        <v>-</v>
      </c>
      <c r="R205" s="101" t="str">
        <f>IF(Sheet1!BR205&gt;21.75,"spill elevation","-")</f>
        <v>-</v>
      </c>
      <c r="S205" s="101" t="str">
        <f>IF(Sheet1!BS205&gt;21.75,"spill elevation","-")</f>
        <v>-</v>
      </c>
      <c r="T205" s="105">
        <f>IF(Sheet1!DQ205=1,Sheet1!AA205-(SUM(AT205:BA205)+BE205),Sheet1!AA205-SUM(AT205:BA205))</f>
        <v>37.615264000002909</v>
      </c>
      <c r="U205" s="105">
        <f>Sheet1!BU205</f>
        <v>25.6</v>
      </c>
      <c r="V205" s="105">
        <f t="shared" si="26"/>
        <v>12.015264000002908</v>
      </c>
      <c r="W205" s="105">
        <f t="shared" si="27"/>
        <v>0</v>
      </c>
      <c r="X205" s="101">
        <f>IF((Sheet1!EX205-Sheet1!EX204)&lt;0,(Sheet1!EX205+100000-Sheet1!EX204)/1000,(Sheet1!EX205-Sheet1!EX204)/1000)</f>
        <v>0.55500000000000005</v>
      </c>
      <c r="Y205" s="106">
        <f>Calculation!DZ206+Calculation!EI205+'Calculations II'!O205-'Calculations II'!W205</f>
        <v>70.791815660362019</v>
      </c>
      <c r="Z205" s="106">
        <f>Y205-Sheet1!CP206</f>
        <v>58.661815660362016</v>
      </c>
      <c r="AA205" s="106">
        <f>Y205+Calculation!CZ206+Calculation!AI206</f>
        <v>84.538578250289362</v>
      </c>
      <c r="AC205" s="106">
        <f>Sheet1!AA205+Sheet1!AB205+BC205</f>
        <v>88.90009600000873</v>
      </c>
      <c r="AD205" s="106">
        <f>Sheet1!AA205+Sheet1!BN205+'Calculations II'!BC205-Calculation!AI205-Calculation!CZ205</f>
        <v>61.972627418312449</v>
      </c>
      <c r="AE205" s="106">
        <f>Sheet1!AA205+Sheet1!AB205+'Calculations II'!BC205-Calculation!AI205-Calculation!CZ205</f>
        <v>75.37262741831826</v>
      </c>
      <c r="AF205" s="106">
        <f>Sheet1!AA205+Sheet1!BN205+P205+'Calculations II'!BC205+Calculation!AI205+Calculation!CZ205</f>
        <v>77.528324242062681</v>
      </c>
      <c r="AG205" s="106">
        <f>Sheet1!AA205+Sheet1!BN205+'Calculations II'!BC205+'Calculations II'!P205-Sheet1!CP205-BP205</f>
        <v>48.210855660372211</v>
      </c>
      <c r="AH205" s="106">
        <f>Sheet1!AA205+Sheet1!BN205+'Calculations II'!BC205+'Calculations II'!P205-BP205</f>
        <v>64.00085566037221</v>
      </c>
      <c r="AI205" s="106">
        <f>BC205+Sheet1!AA205+Calculation!EI205+O205+W205+Sheet1!BN205+Calculation!AI205+Calculation!CZ205-BP205</f>
        <v>77.528324242062681</v>
      </c>
      <c r="AJ205" s="106"/>
      <c r="AM205" s="102">
        <f t="shared" si="28"/>
        <v>40734</v>
      </c>
      <c r="AN205" s="106"/>
      <c r="AO205" s="106"/>
      <c r="AR205" s="106"/>
      <c r="AT205" s="101">
        <f>Sheet1!AR205*GPMtoMGD</f>
        <v>0</v>
      </c>
      <c r="AU205" s="101">
        <f>Sheet1!AS205*GPMtoMGD</f>
        <v>5.2560000000000003E-2</v>
      </c>
      <c r="AV205" s="101">
        <f>Sheet1!AT205*GPMtoMGD</f>
        <v>0</v>
      </c>
      <c r="AW205" s="101">
        <f>Sheet1!AV205*GPMtoMGD</f>
        <v>1.1437919999999999</v>
      </c>
      <c r="AX205" s="101">
        <f>Sheet1!AW205*GPMtoMGD</f>
        <v>1.4292</v>
      </c>
      <c r="AY205" s="101">
        <f>Sheet1!AX205*GPMtoMGD</f>
        <v>5.9184000000000007E-2</v>
      </c>
      <c r="AZ205" s="101">
        <f>Sheet1!AY205*GPMtoMGD</f>
        <v>0</v>
      </c>
      <c r="BA205" s="101">
        <f>Sheet1!AZ205*GPMtoMGD</f>
        <v>0</v>
      </c>
      <c r="BB205" s="101">
        <f>Sheet1!BP205*GPMtoMGD</f>
        <v>0</v>
      </c>
      <c r="BC205" s="101">
        <f>Sheet1!CO205*GPMtoMGD</f>
        <v>21.000095999999999</v>
      </c>
      <c r="BD205" s="101">
        <f>Sheet1!BO205*GPMtoMGD</f>
        <v>4.5996480000000002</v>
      </c>
      <c r="BE205" s="101">
        <f>Sheet1!BV205*GPMtoMGD</f>
        <v>1.5819840000000001</v>
      </c>
      <c r="BF205" s="101">
        <f>Sheet1!CJ205*GPMtoMGD</f>
        <v>1.6191360000000001</v>
      </c>
      <c r="BG205" s="101">
        <f>Sheet1!CK205*GPMtoMGD</f>
        <v>1.5229440000000001</v>
      </c>
      <c r="BH205" s="101">
        <f>Sheet1!CL205*GPMtoMGD</f>
        <v>0.99432000000000009</v>
      </c>
      <c r="BI205" s="101">
        <f t="shared" si="29"/>
        <v>4.5996480000000002</v>
      </c>
      <c r="BK205" s="106">
        <f>SUM(AT205:BA205,BE205,Sheet1!BU205,'Calculations II'!BC205,Calculation!AG205)</f>
        <v>64.93934741831535</v>
      </c>
      <c r="BM205" s="439">
        <f>IF(AND(Sheet1!BQ205&lt;=11.5,Sheet1!BQ204&gt;Sheet1!BQ205),(MIN(Lookup!$C$119,VLOOKUP(Sheet1!BQ204,Lookup!$B$4:$J$236,2))-VLOOKUP(Sheet1!BQ205,Lookup!$B$4:$J$236,2))/1000000,0)</f>
        <v>0</v>
      </c>
      <c r="BN205" s="439">
        <f>IF(AND(Sheet1!BR205&lt;=11.5,Sheet1!BR204&gt;Sheet1!BR205),(MIN(Lookup!$D$119,VLOOKUP(Sheet1!BR204,Lookup!$B$4:$J$236,3))-VLOOKUP(Sheet1!BR205,Lookup!$B$4:$J$236,3))/1000000,0)</f>
        <v>0</v>
      </c>
      <c r="BP205" s="105">
        <f>SUM(BM205:BN205,W205,Sheet1!DT205)</f>
        <v>0</v>
      </c>
    </row>
    <row r="206" spans="1:68" s="101" customFormat="1">
      <c r="A206" s="101" t="s">
        <v>3</v>
      </c>
      <c r="B206" s="103">
        <v>40735</v>
      </c>
      <c r="C206" s="104">
        <v>0.33333333333357601</v>
      </c>
      <c r="E206" s="30"/>
      <c r="F206" s="30">
        <f>-(VLOOKUP(Sheet1!BZ206,Lookup!$I$4:$J$216,2)-VLOOKUP(Sheet1!BZ205,Lookup!$I$4:$J$216,2))/1000000</f>
        <v>-0.20727387709560433</v>
      </c>
      <c r="G206" s="106">
        <f>-$G$6*(Sheet1!CB206-Sheet1!CB205)*7.48/1000000</f>
        <v>-0.99283752631398237</v>
      </c>
      <c r="H206" s="106">
        <f>-$H$6*(Sheet1!CA206-Sheet1!CA205)*7.48/1000000</f>
        <v>-0.69181388815819245</v>
      </c>
      <c r="I206" s="106">
        <f>-$I$6*(Sheet1!CC206-Sheet1!CC205)*7.48/1000000</f>
        <v>-7.196603371210826E-2</v>
      </c>
      <c r="J206" s="107" t="s">
        <v>193</v>
      </c>
      <c r="K206" s="106">
        <f>-$I$6*(Sheet1!CD206-Sheet1!CD205)*7.48/1000000</f>
        <v>-7.5564335397713581E-2</v>
      </c>
      <c r="L206" s="107" t="s">
        <v>193</v>
      </c>
      <c r="M206" s="106">
        <f>-$M$6*(Sheet1!CE206-Sheet1!CE205)*7.48/1000000</f>
        <v>-2.6653281497833674E-2</v>
      </c>
      <c r="N206" s="106">
        <f>-$N$6*(Sheet1!CF206-Sheet1!CF205)*7.48/1000000</f>
        <v>0.31026172697311949</v>
      </c>
      <c r="O206" s="106">
        <f t="shared" si="25"/>
        <v>-1.7558472152023155</v>
      </c>
      <c r="P206" s="106">
        <f>O206+Calculation!EI206</f>
        <v>-11.829047215202316</v>
      </c>
      <c r="Q206" s="101" t="str">
        <f>IF(Sheet1!BQ206&gt;21.75,"spill elevation","-")</f>
        <v>-</v>
      </c>
      <c r="R206" s="101" t="str">
        <f>IF(Sheet1!BR206&gt;21.75,"spill elevation","-")</f>
        <v>-</v>
      </c>
      <c r="S206" s="101" t="str">
        <f>IF(Sheet1!BS206&gt;21.75,"spill elevation","-")</f>
        <v>-</v>
      </c>
      <c r="T206" s="105">
        <f>IF(Sheet1!DQ206=1,Sheet1!AA206-(SUM(AT206:BA206)+BE206),Sheet1!AA206-SUM(AT206:BA206))</f>
        <v>38.743167999994178</v>
      </c>
      <c r="U206" s="105">
        <f>Sheet1!BU206</f>
        <v>26.5</v>
      </c>
      <c r="V206" s="105">
        <f t="shared" si="26"/>
        <v>12.243167999994178</v>
      </c>
      <c r="W206" s="105">
        <f t="shared" si="27"/>
        <v>0</v>
      </c>
      <c r="X206" s="101">
        <f>IF((Sheet1!EX206-Sheet1!EX205)&lt;0,(Sheet1!EX206+100000-Sheet1!EX205)/1000,(Sheet1!EX206-Sheet1!EX205)/1000)</f>
        <v>0.59499999999999997</v>
      </c>
      <c r="Y206" s="106">
        <f>Calculation!DZ207+Calculation!EI206+'Calculations II'!O206-'Calculations II'!W206</f>
        <v>56.538568784797683</v>
      </c>
      <c r="Z206" s="106">
        <f>Y206-Sheet1!CP207</f>
        <v>45.258568784797681</v>
      </c>
      <c r="AA206" s="106">
        <f>Y206+Calculation!CZ207+Calculation!AI207</f>
        <v>70.290688485543825</v>
      </c>
      <c r="AC206" s="106">
        <f>Sheet1!AA206+Sheet1!AB206+BC206</f>
        <v>82.291055999992722</v>
      </c>
      <c r="AD206" s="106">
        <f>Sheet1!AA206+Sheet1!BN206+'Calculations II'!BC206-Calculation!AI206-Calculation!CZ206</f>
        <v>54.644293410066837</v>
      </c>
      <c r="AE206" s="106">
        <f>Sheet1!AA206+Sheet1!AB206+'Calculations II'!BC206-Calculation!AI206-Calculation!CZ206</f>
        <v>68.544293410065379</v>
      </c>
      <c r="AF206" s="106">
        <f>Sheet1!AA206+Sheet1!BN206+P206+'Calculations II'!BC206+Calculation!AI206+Calculation!CZ206</f>
        <v>70.308771374719214</v>
      </c>
      <c r="AG206" s="106">
        <f>Sheet1!AA206+Sheet1!BN206+'Calculations II'!BC206+'Calculations II'!P206-Sheet1!CP206-BP206</f>
        <v>44.432008784791861</v>
      </c>
      <c r="AH206" s="106">
        <f>Sheet1!AA206+Sheet1!BN206+'Calculations II'!BC206+'Calculations II'!P206-BP206</f>
        <v>56.562008784791864</v>
      </c>
      <c r="AI206" s="106">
        <f>BC206+Sheet1!AA206+Calculation!EI206+O206+W206+Sheet1!BN206+Calculation!AI206+Calculation!CZ206-BP206</f>
        <v>70.3087713747192</v>
      </c>
      <c r="AJ206" s="106"/>
      <c r="AM206" s="102">
        <f t="shared" si="28"/>
        <v>40735</v>
      </c>
      <c r="AN206" s="106"/>
      <c r="AO206" s="106"/>
      <c r="AR206" s="106"/>
      <c r="AT206" s="101">
        <f>Sheet1!AR206*GPMtoMGD</f>
        <v>0</v>
      </c>
      <c r="AU206" s="101">
        <f>Sheet1!AS206*GPMtoMGD</f>
        <v>5.4720000000000005E-2</v>
      </c>
      <c r="AV206" s="101">
        <f>Sheet1!AT206*GPMtoMGD</f>
        <v>0</v>
      </c>
      <c r="AW206" s="101">
        <f>Sheet1!AV206*GPMtoMGD</f>
        <v>0.94896000000000003</v>
      </c>
      <c r="AX206" s="101">
        <f>Sheet1!AW206*GPMtoMGD</f>
        <v>1.1083680000000002</v>
      </c>
      <c r="AY206" s="101">
        <f>Sheet1!AX206*GPMtoMGD</f>
        <v>4.4784000000000004E-2</v>
      </c>
      <c r="AZ206" s="101">
        <f>Sheet1!AY206*GPMtoMGD</f>
        <v>0</v>
      </c>
      <c r="BA206" s="101">
        <f>Sheet1!AZ206*GPMtoMGD</f>
        <v>0</v>
      </c>
      <c r="BB206" s="101">
        <f>Sheet1!BP206*GPMtoMGD</f>
        <v>2.16E-3</v>
      </c>
      <c r="BC206" s="101">
        <f>Sheet1!CO206*GPMtoMGD</f>
        <v>13.291056000000001</v>
      </c>
      <c r="BD206" s="101">
        <f>Sheet1!BO206*GPMtoMGD</f>
        <v>4.0615200000000007</v>
      </c>
      <c r="BE206" s="101">
        <f>Sheet1!BV206*GPMtoMGD</f>
        <v>1.4165280000000002</v>
      </c>
      <c r="BF206" s="101">
        <f>Sheet1!CJ206*GPMtoMGD</f>
        <v>1.3311360000000001</v>
      </c>
      <c r="BG206" s="101">
        <f>Sheet1!CK206*GPMtoMGD</f>
        <v>1.421136</v>
      </c>
      <c r="BH206" s="101">
        <f>Sheet1!CL206*GPMtoMGD</f>
        <v>1.043712</v>
      </c>
      <c r="BI206" s="101">
        <f t="shared" si="29"/>
        <v>4.0636800000000006</v>
      </c>
      <c r="BK206" s="106">
        <f>SUM(AT206:BA206,BE206,Sheet1!BU206,'Calculations II'!BC206,Calculation!AG206)</f>
        <v>57.717653410071208</v>
      </c>
      <c r="BM206" s="439">
        <f>IF(AND(Sheet1!BQ206&lt;=11.5,Sheet1!BQ205&gt;Sheet1!BQ206),(MIN(Lookup!$C$119,VLOOKUP(Sheet1!BQ205,Lookup!$B$4:$J$236,2))-VLOOKUP(Sheet1!BQ206,Lookup!$B$4:$J$236,2))/1000000,0)</f>
        <v>0</v>
      </c>
      <c r="BN206" s="439">
        <f>IF(AND(Sheet1!BR206&lt;=11.5,Sheet1!BR205&gt;Sheet1!BR206),(MIN(Lookup!$D$119,VLOOKUP(Sheet1!BR205,Lookup!$B$4:$J$236,3))-VLOOKUP(Sheet1!BR206,Lookup!$B$4:$J$236,3))/1000000,0)</f>
        <v>0</v>
      </c>
      <c r="BP206" s="105">
        <f>SUM(BM206:BN206,W206,Sheet1!DT206)</f>
        <v>0</v>
      </c>
    </row>
    <row r="207" spans="1:68" s="101" customFormat="1">
      <c r="A207" s="101" t="s">
        <v>4</v>
      </c>
      <c r="B207" s="103">
        <v>40736</v>
      </c>
      <c r="C207" s="104">
        <v>0.33333333333357601</v>
      </c>
      <c r="E207" s="30"/>
      <c r="F207" s="30">
        <f>-(VLOOKUP(Sheet1!BZ207,Lookup!$I$4:$J$216,2)-VLOOKUP(Sheet1!BZ206,Lookup!$I$4:$J$216,2))/1000000</f>
        <v>-1.8654648938604108</v>
      </c>
      <c r="G207" s="106">
        <f>-$G$6*(Sheet1!CB207-Sheet1!CB206)*7.48/1000000</f>
        <v>0.39713501052559297</v>
      </c>
      <c r="H207" s="106">
        <f>-$H$6*(Sheet1!CA207-Sheet1!CA206)*7.48/1000000</f>
        <v>-0.22559148526897588</v>
      </c>
      <c r="I207" s="106">
        <f>-$I$6*(Sheet1!CC207-Sheet1!CC206)*7.48/1000000</f>
        <v>0.12594055899618922</v>
      </c>
      <c r="J207" s="107" t="s">
        <v>193</v>
      </c>
      <c r="K207" s="106">
        <f>-$I$6*(Sheet1!CD207-Sheet1!CD206)*7.48/1000000</f>
        <v>0.11694480478217587</v>
      </c>
      <c r="L207" s="107" t="s">
        <v>193</v>
      </c>
      <c r="M207" s="106">
        <f>-$M$6*(Sheet1!CE207-Sheet1!CE206)*7.48/1000000</f>
        <v>3.997992224675051E-2</v>
      </c>
      <c r="N207" s="106">
        <f>-$N$6*(Sheet1!CF207-Sheet1!CF206)*7.48/1000000</f>
        <v>0.13030992532870961</v>
      </c>
      <c r="O207" s="106">
        <f t="shared" si="25"/>
        <v>-1.2807461572499683</v>
      </c>
      <c r="P207" s="106">
        <f>O207+Calculation!EI207</f>
        <v>1.4586538427500315</v>
      </c>
      <c r="Q207" s="101" t="str">
        <f>IF(Sheet1!BQ207&gt;21.75,"spill elevation","-")</f>
        <v>-</v>
      </c>
      <c r="R207" s="101" t="str">
        <f>IF(Sheet1!BR207&gt;21.75,"spill elevation","-")</f>
        <v>-</v>
      </c>
      <c r="S207" s="101" t="str">
        <f>IF(Sheet1!BS207&gt;21.75,"spill elevation","-")</f>
        <v>-</v>
      </c>
      <c r="T207" s="105">
        <f>IF(Sheet1!DQ207=1,Sheet1!AA207-(SUM(AT207:BA207)+BE207),Sheet1!AA207-SUM(AT207:BA207))</f>
        <v>39.471168000002912</v>
      </c>
      <c r="U207" s="105">
        <f>Sheet1!BU207</f>
        <v>40.1</v>
      </c>
      <c r="V207" s="105">
        <f t="shared" si="26"/>
        <v>-0.6288319999970895</v>
      </c>
      <c r="W207" s="105">
        <f t="shared" si="27"/>
        <v>0</v>
      </c>
      <c r="X207" s="101">
        <f>IF((Sheet1!EX207-Sheet1!EX206)&lt;0,(Sheet1!EX207+100000-Sheet1!EX206)/1000,(Sheet1!EX207-Sheet1!EX206)/1000)</f>
        <v>0.60699999999999998</v>
      </c>
      <c r="Y207" s="106">
        <f>Calculation!DZ208+Calculation!EI207+'Calculations II'!O207-'Calculations II'!W207</f>
        <v>71.838157842747137</v>
      </c>
      <c r="Z207" s="106">
        <f>Y207-Sheet1!CP208</f>
        <v>60.558157842747136</v>
      </c>
      <c r="AA207" s="106">
        <f>Y207+Calculation!CZ208+Calculation!AI208</f>
        <v>85.388658844753138</v>
      </c>
      <c r="AC207" s="106">
        <f>Sheet1!AA207+Sheet1!AB207+BC207</f>
        <v>68.367615999999998</v>
      </c>
      <c r="AD207" s="106">
        <f>Sheet1!AA207+Sheet1!BN207+'Calculations II'!BC207-Calculation!AI207-Calculation!CZ207</f>
        <v>40.815496299256765</v>
      </c>
      <c r="AE207" s="106">
        <f>Sheet1!AA207+Sheet1!AB207+'Calculations II'!BC207-Calculation!AI207-Calculation!CZ207</f>
        <v>54.615496299253849</v>
      </c>
      <c r="AF207" s="106">
        <f>Sheet1!AA207+Sheet1!BN207+P207+'Calculations II'!BC207+Calculation!AI207+Calculation!CZ207</f>
        <v>69.778389543499088</v>
      </c>
      <c r="AG207" s="106">
        <f>Sheet1!AA207+Sheet1!BN207+'Calculations II'!BC207+'Calculations II'!P207-Sheet1!CP207-BP207</f>
        <v>44.746269842752938</v>
      </c>
      <c r="AH207" s="106">
        <f>Sheet1!AA207+Sheet1!BN207+'Calculations II'!BC207+'Calculations II'!P207-BP207</f>
        <v>56.026269842752939</v>
      </c>
      <c r="AI207" s="106">
        <f>BC207+Sheet1!AA207+Calculation!EI207+O207+W207+Sheet1!BN207+Calculation!AI207+Calculation!CZ207-BP207</f>
        <v>69.778389543499088</v>
      </c>
      <c r="AJ207" s="106"/>
      <c r="AM207" s="102">
        <f t="shared" si="28"/>
        <v>40736</v>
      </c>
      <c r="AN207" s="106"/>
      <c r="AO207" s="106"/>
      <c r="AR207" s="106"/>
      <c r="AT207" s="101">
        <f>Sheet1!AR207*GPMtoMGD</f>
        <v>0</v>
      </c>
      <c r="AU207" s="101">
        <f>Sheet1!AS207*GPMtoMGD</f>
        <v>2.8368000000000001E-2</v>
      </c>
      <c r="AV207" s="101">
        <f>Sheet1!AT207*GPMtoMGD</f>
        <v>0</v>
      </c>
      <c r="AW207" s="101">
        <f>Sheet1!AV207*GPMtoMGD</f>
        <v>0.82008000000000003</v>
      </c>
      <c r="AX207" s="101">
        <f>Sheet1!AW207*GPMtoMGD</f>
        <v>0.43387200000000004</v>
      </c>
      <c r="AY207" s="101">
        <f>Sheet1!AX207*GPMtoMGD</f>
        <v>4.6511999999999998E-2</v>
      </c>
      <c r="AZ207" s="101">
        <f>Sheet1!AY207*GPMtoMGD</f>
        <v>0</v>
      </c>
      <c r="BA207" s="101">
        <f>Sheet1!AZ207*GPMtoMGD</f>
        <v>0</v>
      </c>
      <c r="BB207" s="101">
        <f>Sheet1!BP207*GPMtoMGD</f>
        <v>1.1520000000000001E-4</v>
      </c>
      <c r="BC207" s="101">
        <f>Sheet1!CO207*GPMtoMGD</f>
        <v>7.3676159999999999</v>
      </c>
      <c r="BD207" s="101">
        <f>Sheet1!BO207*GPMtoMGD</f>
        <v>3.0588479999999998</v>
      </c>
      <c r="BE207" s="101">
        <f>Sheet1!BV207*GPMtoMGD</f>
        <v>1.0372319999999999</v>
      </c>
      <c r="BF207" s="101">
        <f>Sheet1!CJ207*GPMtoMGD</f>
        <v>1.0926720000000001</v>
      </c>
      <c r="BG207" s="101">
        <f>Sheet1!CK207*GPMtoMGD</f>
        <v>1.2689280000000001</v>
      </c>
      <c r="BH207" s="101">
        <f>Sheet1!CL207*GPMtoMGD</f>
        <v>1.0167840000000001</v>
      </c>
      <c r="BI207" s="101">
        <f t="shared" si="29"/>
        <v>3.0589632</v>
      </c>
      <c r="BK207" s="106">
        <f>SUM(AT207:BA207,BE207,Sheet1!BU207,'Calculations II'!BC207,Calculation!AG207)</f>
        <v>56.281560299250941</v>
      </c>
      <c r="BM207" s="439">
        <f>IF(AND(Sheet1!BQ207&lt;=11.5,Sheet1!BQ206&gt;Sheet1!BQ207),(MIN(Lookup!$C$119,VLOOKUP(Sheet1!BQ206,Lookup!$B$4:$J$236,2))-VLOOKUP(Sheet1!BQ207,Lookup!$B$4:$J$236,2))/1000000,0)</f>
        <v>0</v>
      </c>
      <c r="BN207" s="439">
        <f>IF(AND(Sheet1!BR207&lt;=11.5,Sheet1!BR206&gt;Sheet1!BR207),(MIN(Lookup!$D$119,VLOOKUP(Sheet1!BR206,Lookup!$B$4:$J$236,3))-VLOOKUP(Sheet1!BR207,Lookup!$B$4:$J$236,3))/1000000,0)</f>
        <v>0</v>
      </c>
      <c r="BP207" s="105">
        <f>SUM(BM207:BN207,W207,Sheet1!DT207)</f>
        <v>0</v>
      </c>
    </row>
    <row r="208" spans="1:68" s="101" customFormat="1">
      <c r="A208" s="101" t="s">
        <v>5</v>
      </c>
      <c r="B208" s="103">
        <v>40737</v>
      </c>
      <c r="C208" s="104">
        <v>0.33333333333357601</v>
      </c>
      <c r="E208" s="30"/>
      <c r="F208" s="30">
        <f>-(VLOOKUP(Sheet1!BZ208,Lookup!$I$4:$J$216,2)-VLOOKUP(Sheet1!BZ207,Lookup!$I$4:$J$216,2))/1000000</f>
        <v>1.6581910167648122</v>
      </c>
      <c r="G208" s="106">
        <f>-$G$6*(Sheet1!CB208-Sheet1!CB207)*7.48/1000000</f>
        <v>8.7369702315630002E-2</v>
      </c>
      <c r="H208" s="106">
        <f>-$H$6*(Sheet1!CA208-Sheet1!CA207)*7.48/1000000</f>
        <v>1.5039432351264204E-2</v>
      </c>
      <c r="I208" s="106">
        <f>-$I$6*(Sheet1!CC208-Sheet1!CC207)*7.48/1000000</f>
        <v>-6.6568581183699932E-2</v>
      </c>
      <c r="J208" s="107" t="s">
        <v>193</v>
      </c>
      <c r="K208" s="106">
        <f>-$I$6*(Sheet1!CD208-Sheet1!CD207)*7.48/1000000</f>
        <v>-4.1380469384462285E-2</v>
      </c>
      <c r="L208" s="107" t="s">
        <v>193</v>
      </c>
      <c r="M208" s="106">
        <f>-$M$6*(Sheet1!CE208-Sheet1!CE207)*7.48/1000000</f>
        <v>-2.7985945572725334E-2</v>
      </c>
      <c r="N208" s="106">
        <f>-$N$6*(Sheet1!CF208-Sheet1!CF207)*7.48/1000000</f>
        <v>-0.29164602335473161</v>
      </c>
      <c r="O208" s="106">
        <f t="shared" si="25"/>
        <v>1.3330191319360869</v>
      </c>
      <c r="P208" s="106">
        <f>O208+Calculation!EI208</f>
        <v>-2.791180868063913</v>
      </c>
      <c r="Q208" s="101" t="str">
        <f>IF(Sheet1!BQ208&gt;21.75,"spill elevation","-")</f>
        <v>-</v>
      </c>
      <c r="R208" s="101" t="str">
        <f>IF(Sheet1!BR208&gt;21.75,"spill elevation","-")</f>
        <v>-</v>
      </c>
      <c r="S208" s="101" t="str">
        <f>IF(Sheet1!BS208&gt;21.75,"spill elevation","-")</f>
        <v>-</v>
      </c>
      <c r="T208" s="105">
        <f>IF(Sheet1!DQ208=1,Sheet1!AA208-(SUM(AT208:BA208)+BE208),Sheet1!AA208-SUM(AT208:BA208))</f>
        <v>38.57523199999418</v>
      </c>
      <c r="U208" s="105">
        <f>Sheet1!BU208</f>
        <v>33.4</v>
      </c>
      <c r="V208" s="105">
        <f t="shared" si="26"/>
        <v>5.1752319999941818</v>
      </c>
      <c r="W208" s="105">
        <f t="shared" si="27"/>
        <v>0</v>
      </c>
      <c r="X208" s="101">
        <f>IF((Sheet1!EX208-Sheet1!EX207)&lt;0,(Sheet1!EX208+100000-Sheet1!EX207)/1000,(Sheet1!EX208-Sheet1!EX207)/1000)</f>
        <v>0.60599999999999998</v>
      </c>
      <c r="Y208" s="106">
        <f>Calculation!DZ209+Calculation!EI208+'Calculations II'!O208-'Calculations II'!W208</f>
        <v>76.530899131933751</v>
      </c>
      <c r="Z208" s="106">
        <f>Y208-Sheet1!CP209</f>
        <v>65.970899131933749</v>
      </c>
      <c r="AA208" s="106">
        <f>Y208+Calculation!CZ209+Calculation!AI209</f>
        <v>90.018822519028959</v>
      </c>
      <c r="AC208" s="106">
        <f>Sheet1!AA208+Sheet1!AB208+BC208</f>
        <v>70.379503999997098</v>
      </c>
      <c r="AD208" s="106">
        <f>Sheet1!AA208+Sheet1!BN208+'Calculations II'!BC208-Calculation!AI208-Calculation!CZ208</f>
        <v>43.329002997988177</v>
      </c>
      <c r="AE208" s="106">
        <f>Sheet1!AA208+Sheet1!AB208+'Calculations II'!BC208-Calculation!AI208-Calculation!CZ208</f>
        <v>56.829002997991097</v>
      </c>
      <c r="AF208" s="106">
        <f>Sheet1!AA208+Sheet1!BN208+P208+'Calculations II'!BC208+Calculation!AI208+Calculation!CZ208</f>
        <v>67.638824133936268</v>
      </c>
      <c r="AG208" s="106">
        <f>Sheet1!AA208+Sheet1!BN208+'Calculations II'!BC208+'Calculations II'!P208-Sheet1!CP208-BP208</f>
        <v>42.808323131930266</v>
      </c>
      <c r="AH208" s="106">
        <f>Sheet1!AA208+Sheet1!BN208+'Calculations II'!BC208+'Calculations II'!P208-BP208</f>
        <v>54.088323131930267</v>
      </c>
      <c r="AI208" s="106">
        <f>BC208+Sheet1!AA208+Calculation!EI208+O208+W208+Sheet1!BN208+Calculation!AI208+Calculation!CZ208-BP208</f>
        <v>67.638824133936254</v>
      </c>
      <c r="AJ208" s="106"/>
      <c r="AM208" s="102">
        <f t="shared" si="28"/>
        <v>40737</v>
      </c>
      <c r="AN208" s="106"/>
      <c r="AO208" s="106"/>
      <c r="AR208" s="106"/>
      <c r="AT208" s="101">
        <f>Sheet1!AR208*GPMtoMGD</f>
        <v>0</v>
      </c>
      <c r="AU208" s="101">
        <f>Sheet1!AS208*GPMtoMGD</f>
        <v>2.6495999999999999E-2</v>
      </c>
      <c r="AV208" s="101">
        <f>Sheet1!AT208*GPMtoMGD</f>
        <v>0</v>
      </c>
      <c r="AW208" s="101">
        <f>Sheet1!AV208*GPMtoMGD</f>
        <v>0.84081600000000001</v>
      </c>
      <c r="AX208" s="101">
        <f>Sheet1!AW208*GPMtoMGD</f>
        <v>0.922176</v>
      </c>
      <c r="AY208" s="101">
        <f>Sheet1!AX208*GPMtoMGD</f>
        <v>3.5279999999999999E-2</v>
      </c>
      <c r="AZ208" s="101">
        <f>Sheet1!AY208*GPMtoMGD</f>
        <v>0</v>
      </c>
      <c r="BA208" s="101">
        <f>Sheet1!AZ208*GPMtoMGD</f>
        <v>0</v>
      </c>
      <c r="BB208" s="101">
        <f>Sheet1!BP208*GPMtoMGD</f>
        <v>0</v>
      </c>
      <c r="BC208" s="101">
        <f>Sheet1!CO208*GPMtoMGD</f>
        <v>10.179504000000001</v>
      </c>
      <c r="BD208" s="101">
        <f>Sheet1!BO208*GPMtoMGD</f>
        <v>3.30552</v>
      </c>
      <c r="BE208" s="101">
        <f>Sheet1!BV208*GPMtoMGD</f>
        <v>0.98985600000000007</v>
      </c>
      <c r="BF208" s="101">
        <f>Sheet1!CJ208*GPMtoMGD</f>
        <v>1.0673280000000001</v>
      </c>
      <c r="BG208" s="101">
        <f>Sheet1!CK208*GPMtoMGD</f>
        <v>1.2888000000000002</v>
      </c>
      <c r="BH208" s="101">
        <f>Sheet1!CL208*GPMtoMGD</f>
        <v>1.0190880000000002</v>
      </c>
      <c r="BI208" s="101">
        <f t="shared" si="29"/>
        <v>3.30552</v>
      </c>
      <c r="BK208" s="106">
        <f>SUM(AT208:BA208,BE208,Sheet1!BU208,'Calculations II'!BC208,Calculation!AG208)</f>
        <v>52.643626997996911</v>
      </c>
      <c r="BM208" s="439">
        <f>IF(AND(Sheet1!BQ208&lt;=11.5,Sheet1!BQ207&gt;Sheet1!BQ208),(MIN(Lookup!$C$119,VLOOKUP(Sheet1!BQ207,Lookup!$B$4:$J$236,2))-VLOOKUP(Sheet1!BQ208,Lookup!$B$4:$J$236,2))/1000000,0)</f>
        <v>0</v>
      </c>
      <c r="BN208" s="439">
        <f>IF(AND(Sheet1!BR208&lt;=11.5,Sheet1!BR207&gt;Sheet1!BR208),(MIN(Lookup!$D$119,VLOOKUP(Sheet1!BR207,Lookup!$B$4:$J$236,3))-VLOOKUP(Sheet1!BR208,Lookup!$B$4:$J$236,3))/1000000,0)</f>
        <v>0</v>
      </c>
      <c r="BP208" s="105">
        <f>SUM(BM208:BN208,W208,Sheet1!DT208)</f>
        <v>0</v>
      </c>
    </row>
    <row r="209" spans="1:68" s="101" customFormat="1">
      <c r="A209" s="101" t="s">
        <v>6</v>
      </c>
      <c r="B209" s="103">
        <v>40738</v>
      </c>
      <c r="C209" s="104">
        <v>0.33333333333357601</v>
      </c>
      <c r="E209" s="30"/>
      <c r="F209" s="30">
        <f>-(VLOOKUP(Sheet1!BZ209,Lookup!$I$4:$J$216,2)-VLOOKUP(Sheet1!BZ208,Lookup!$I$4:$J$216,2))/1000000</f>
        <v>0.82909550838240054</v>
      </c>
      <c r="G209" s="106">
        <f>-$G$6*(Sheet1!CB209-Sheet1!CB208)*7.48/1000000</f>
        <v>-8.7369702315630002E-2</v>
      </c>
      <c r="H209" s="106">
        <f>-$H$6*(Sheet1!CA209-Sheet1!CA208)*7.48/1000000</f>
        <v>4.5118297053795817E-2</v>
      </c>
      <c r="I209" s="106">
        <f>-$I$6*(Sheet1!CC209-Sheet1!CC208)*7.48/1000000</f>
        <v>-5.937197781248927E-2</v>
      </c>
      <c r="J209" s="107" t="s">
        <v>193</v>
      </c>
      <c r="K209" s="106">
        <f>-$I$6*(Sheet1!CD209-Sheet1!CD208)*7.48/1000000</f>
        <v>-7.196603371210826E-2</v>
      </c>
      <c r="L209" s="107" t="s">
        <v>193</v>
      </c>
      <c r="M209" s="106">
        <f>-$M$6*(Sheet1!CE209-Sheet1!CE208)*7.48/1000000</f>
        <v>-1.1993976674025176E-2</v>
      </c>
      <c r="N209" s="106">
        <f>-$N$6*(Sheet1!CF209-Sheet1!CF208)*7.48/1000000</f>
        <v>3.7231407236773539E-2</v>
      </c>
      <c r="O209" s="106">
        <f t="shared" si="25"/>
        <v>0.68074352215871714</v>
      </c>
      <c r="P209" s="106">
        <f>O209+Calculation!EI209</f>
        <v>5.8993435221587172</v>
      </c>
      <c r="Q209" s="101" t="str">
        <f>IF(Sheet1!BQ209&gt;21.75,"spill elevation","-")</f>
        <v>-</v>
      </c>
      <c r="R209" s="101" t="str">
        <f>IF(Sheet1!BR209&gt;21.75,"spill elevation","-")</f>
        <v>-</v>
      </c>
      <c r="S209" s="101" t="str">
        <f>IF(Sheet1!BS209&gt;21.75,"spill elevation","-")</f>
        <v>-</v>
      </c>
      <c r="T209" s="105">
        <f>IF(Sheet1!DQ209=1,Sheet1!AA209-(SUM(AT209:BA209)+BE209),Sheet1!AA209-SUM(AT209:BA209))</f>
        <v>38.864047999999997</v>
      </c>
      <c r="U209" s="105">
        <f>Sheet1!BU209</f>
        <v>21.7</v>
      </c>
      <c r="V209" s="105">
        <f t="shared" si="26"/>
        <v>17.164047999999998</v>
      </c>
      <c r="W209" s="105">
        <f t="shared" si="27"/>
        <v>0</v>
      </c>
      <c r="X209" s="101">
        <f>IF((Sheet1!EX209-Sheet1!EX208)&lt;0,(Sheet1!EX209+100000-Sheet1!EX208)/1000,(Sheet1!EX209-Sheet1!EX208)/1000)</f>
        <v>0.56899999999999995</v>
      </c>
      <c r="Y209" s="106">
        <f>Calculation!DZ210+Calculation!EI209+'Calculations II'!O209-'Calculations II'!W209</f>
        <v>86.034063522169191</v>
      </c>
      <c r="Z209" s="106">
        <f>Y209-Sheet1!CP210</f>
        <v>75.364063522169189</v>
      </c>
      <c r="AA209" s="106">
        <f>Y209+Calculation!CZ210+Calculation!AI210</f>
        <v>99.263968092738281</v>
      </c>
      <c r="AC209" s="106">
        <f>Sheet1!AA209+Sheet1!AB209+BC209</f>
        <v>79.322079999997669</v>
      </c>
      <c r="AD209" s="106">
        <f>Sheet1!AA209+Sheet1!BN209+'Calculations II'!BC209-Calculation!AI209-Calculation!CZ209</f>
        <v>52.27415661290479</v>
      </c>
      <c r="AE209" s="106">
        <f>Sheet1!AA209+Sheet1!AB209+'Calculations II'!BC209-Calculation!AI209-Calculation!CZ209</f>
        <v>65.834156612902461</v>
      </c>
      <c r="AF209" s="106">
        <f>Sheet1!AA209+Sheet1!BN209+P209+'Calculations II'!BC209+Calculation!AI209+Calculation!CZ209</f>
        <v>85.149346909253921</v>
      </c>
      <c r="AG209" s="106">
        <f>Sheet1!AA209+Sheet1!BN209+'Calculations II'!BC209+'Calculations II'!P209-Sheet1!CP209-BP209</f>
        <v>42.101423522158711</v>
      </c>
      <c r="AH209" s="106">
        <f>Sheet1!AA209+Sheet1!BN209+'Calculations II'!BC209+'Calculations II'!P209-BP209</f>
        <v>52.661423522158714</v>
      </c>
      <c r="AI209" s="106">
        <f>BC209+Sheet1!AA209+Calculation!EI209+O209+W209+Sheet1!BN209+Calculation!AI209+Calculation!CZ209-BP209</f>
        <v>66.149346909253921</v>
      </c>
      <c r="AJ209" s="106"/>
      <c r="AM209" s="102">
        <f t="shared" si="28"/>
        <v>40738</v>
      </c>
      <c r="AN209" s="106"/>
      <c r="AO209" s="106"/>
      <c r="AR209" s="106"/>
      <c r="AT209" s="101">
        <f>Sheet1!AR209*GPMtoMGD</f>
        <v>0</v>
      </c>
      <c r="AU209" s="101">
        <f>Sheet1!AS209*GPMtoMGD</f>
        <v>5.1408000000000009E-2</v>
      </c>
      <c r="AV209" s="101">
        <f>Sheet1!AT209*GPMtoMGD</f>
        <v>0</v>
      </c>
      <c r="AW209" s="101">
        <f>Sheet1!AV209*GPMtoMGD</f>
        <v>0.96652800000000016</v>
      </c>
      <c r="AX209" s="101">
        <f>Sheet1!AW209*GPMtoMGD</f>
        <v>1.103472</v>
      </c>
      <c r="AY209" s="101">
        <f>Sheet1!AX209*GPMtoMGD</f>
        <v>1.4544E-2</v>
      </c>
      <c r="AZ209" s="101">
        <f>Sheet1!AY209*GPMtoMGD</f>
        <v>0</v>
      </c>
      <c r="BA209" s="101">
        <f>Sheet1!AZ209*GPMtoMGD</f>
        <v>0</v>
      </c>
      <c r="BB209" s="101">
        <f>Sheet1!BP209*GPMtoMGD</f>
        <v>0</v>
      </c>
      <c r="BC209" s="101">
        <f>Sheet1!CO209*GPMtoMGD</f>
        <v>18.262080000000001</v>
      </c>
      <c r="BD209" s="101">
        <f>Sheet1!BO209*GPMtoMGD</f>
        <v>3.0143520000000006</v>
      </c>
      <c r="BE209" s="101">
        <f>Sheet1!BV209*GPMtoMGD</f>
        <v>0.95846400000000009</v>
      </c>
      <c r="BF209" s="101">
        <f>Sheet1!CJ209*GPMtoMGD</f>
        <v>0.843696</v>
      </c>
      <c r="BG209" s="101">
        <f>Sheet1!CK209*GPMtoMGD</f>
        <v>1.1443680000000001</v>
      </c>
      <c r="BH209" s="101">
        <f>Sheet1!CL209*GPMtoMGD</f>
        <v>0.99216000000000004</v>
      </c>
      <c r="BI209" s="101">
        <f t="shared" si="29"/>
        <v>3.0143520000000006</v>
      </c>
      <c r="BK209" s="106">
        <f>SUM(AT209:BA209,BE209,Sheet1!BU209,'Calculations II'!BC209,Calculation!AG209)</f>
        <v>49.62857261290246</v>
      </c>
      <c r="BM209" s="439">
        <f>IF(AND(Sheet1!BQ209&lt;=11.5,Sheet1!BQ208&gt;Sheet1!BQ209),(MIN(Lookup!$C$119,VLOOKUP(Sheet1!BQ208,Lookup!$B$4:$J$236,2))-VLOOKUP(Sheet1!BQ209,Lookup!$B$4:$J$236,2))/1000000,0)</f>
        <v>0</v>
      </c>
      <c r="BN209" s="439">
        <f>IF(AND(Sheet1!BR209&lt;=11.5,Sheet1!BR208&gt;Sheet1!BR209),(MIN(Lookup!$D$119,VLOOKUP(Sheet1!BR208,Lookup!$B$4:$J$236,3))-VLOOKUP(Sheet1!BR209,Lookup!$B$4:$J$236,3))/1000000,0)</f>
        <v>0</v>
      </c>
      <c r="BP209" s="105">
        <f>SUM(BM209:BN209,W209,Sheet1!DT209)</f>
        <v>19</v>
      </c>
    </row>
    <row r="210" spans="1:68" s="101" customFormat="1">
      <c r="A210" s="101" t="s">
        <v>7</v>
      </c>
      <c r="B210" s="103">
        <v>40739</v>
      </c>
      <c r="C210" s="104">
        <v>0.33333333333357601</v>
      </c>
      <c r="E210" s="30"/>
      <c r="F210" s="30">
        <f>-(VLOOKUP(Sheet1!BZ210,Lookup!$I$4:$J$216,2)-VLOOKUP(Sheet1!BZ209,Lookup!$I$4:$J$216,2))/1000000</f>
        <v>-0.10363693854779936</v>
      </c>
      <c r="G210" s="106">
        <f>-$G$6*(Sheet1!CB210-Sheet1!CB209)*7.48/1000000</f>
        <v>0</v>
      </c>
      <c r="H210" s="106">
        <f>-$H$6*(Sheet1!CA210-Sheet1!CA209)*7.48/1000000</f>
        <v>0.16543375586391587</v>
      </c>
      <c r="I210" s="106">
        <f>-$I$6*(Sheet1!CC210-Sheet1!CC209)*7.48/1000000</f>
        <v>-0.12953886068179485</v>
      </c>
      <c r="J210" s="107" t="s">
        <v>193</v>
      </c>
      <c r="K210" s="106">
        <f>-$I$6*(Sheet1!CD210-Sheet1!CD209)*7.48/1000000</f>
        <v>-0.14393206742421619</v>
      </c>
      <c r="L210" s="107" t="s">
        <v>193</v>
      </c>
      <c r="M210" s="106">
        <f>-$M$6*(Sheet1!CE210-Sheet1!CE209)*7.48/1000000</f>
        <v>-4.664324262120928E-2</v>
      </c>
      <c r="N210" s="106">
        <f>-$N$6*(Sheet1!CF210-Sheet1!CF209)*7.48/1000000</f>
        <v>0.32267219605204517</v>
      </c>
      <c r="O210" s="106">
        <f t="shared" si="25"/>
        <v>6.4354842640941379E-2</v>
      </c>
      <c r="P210" s="106">
        <f>O210+Calculation!EI210</f>
        <v>3.6012548426409414</v>
      </c>
      <c r="Q210" s="101" t="str">
        <f>IF(Sheet1!BQ210&gt;21.75,"spill elevation","-")</f>
        <v>-</v>
      </c>
      <c r="R210" s="101" t="str">
        <f>IF(Sheet1!BR210&gt;21.75,"spill elevation","-")</f>
        <v>-</v>
      </c>
      <c r="S210" s="101" t="str">
        <f>IF(Sheet1!BS210&gt;21.75,"spill elevation","-")</f>
        <v>-</v>
      </c>
      <c r="T210" s="105">
        <f>IF(Sheet1!DQ210=1,Sheet1!AA210-(SUM(AT210:BA210)+BE210),Sheet1!AA210-SUM(AT210:BA210))</f>
        <v>39.418400000008148</v>
      </c>
      <c r="U210" s="105">
        <f>Sheet1!BU210</f>
        <v>21.5</v>
      </c>
      <c r="V210" s="105">
        <f t="shared" si="26"/>
        <v>17.918400000008148</v>
      </c>
      <c r="W210" s="105">
        <f t="shared" si="27"/>
        <v>0</v>
      </c>
      <c r="X210" s="101">
        <f>IF((Sheet1!EX210-Sheet1!EX209)&lt;0,(Sheet1!EX210+100000-Sheet1!EX209)/1000,(Sheet1!EX210-Sheet1!EX209)/1000)</f>
        <v>0.65800000000000003</v>
      </c>
      <c r="Y210" s="106">
        <f>Calculation!DZ211+Calculation!EI210+'Calculations II'!O210-'Calculations II'!W210</f>
        <v>73.635766842641516</v>
      </c>
      <c r="Z210" s="106">
        <f>Y210-Sheet1!CP211</f>
        <v>62.975766842641519</v>
      </c>
      <c r="AA210" s="106">
        <f>Y210+Calculation!CZ211+Calculation!AI211</f>
        <v>87.096531430166664</v>
      </c>
      <c r="AC210" s="106">
        <f>Sheet1!AA210+Sheet1!AB210+BC210</f>
        <v>80.134720000010475</v>
      </c>
      <c r="AD210" s="106">
        <f>Sheet1!AA210+Sheet1!BN210+'Calculations II'!BC210-Calculation!AI210-Calculation!CZ210</f>
        <v>53.664815429439052</v>
      </c>
      <c r="AE210" s="106">
        <f>Sheet1!AA210+Sheet1!AB210+'Calculations II'!BC210-Calculation!AI210-Calculation!CZ210</f>
        <v>66.904815429441385</v>
      </c>
      <c r="AF210" s="106">
        <f>Sheet1!AA210+Sheet1!BN210+P210+'Calculations II'!BC210+Calculation!AI210+Calculation!CZ210</f>
        <v>83.725879413218195</v>
      </c>
      <c r="AG210" s="106">
        <f>Sheet1!AA210+Sheet1!BN210+'Calculations II'!BC210+'Calculations II'!P210-Sheet1!CP210-BP210</f>
        <v>40.825974842649089</v>
      </c>
      <c r="AH210" s="106">
        <f>Sheet1!AA210+Sheet1!BN210+'Calculations II'!BC210+'Calculations II'!P210-BP210</f>
        <v>51.49597484264909</v>
      </c>
      <c r="AI210" s="106">
        <f>BC210+Sheet1!AA210+Calculation!EI210+O210+W210+Sheet1!BN210+Calculation!AI210+Calculation!CZ210-BP210</f>
        <v>64.725879413218195</v>
      </c>
      <c r="AJ210" s="106"/>
      <c r="AM210" s="102">
        <f t="shared" si="28"/>
        <v>40739</v>
      </c>
      <c r="AN210" s="106"/>
      <c r="AO210" s="106"/>
      <c r="AR210" s="106"/>
      <c r="AT210" s="101">
        <f>Sheet1!AR210*GPMtoMGD</f>
        <v>0</v>
      </c>
      <c r="AU210" s="101">
        <f>Sheet1!AS210*GPMtoMGD</f>
        <v>2.6495999999999999E-2</v>
      </c>
      <c r="AV210" s="101">
        <f>Sheet1!AT210*GPMtoMGD</f>
        <v>0</v>
      </c>
      <c r="AW210" s="101">
        <f>Sheet1!AV210*GPMtoMGD</f>
        <v>0.60926400000000003</v>
      </c>
      <c r="AX210" s="101">
        <f>Sheet1!AW210*GPMtoMGD</f>
        <v>0.69696000000000002</v>
      </c>
      <c r="AY210" s="101">
        <f>Sheet1!AX210*GPMtoMGD</f>
        <v>3.8880000000000005E-2</v>
      </c>
      <c r="AZ210" s="101">
        <f>Sheet1!AY210*GPMtoMGD</f>
        <v>0</v>
      </c>
      <c r="BA210" s="101">
        <f>Sheet1!AZ210*GPMtoMGD</f>
        <v>0</v>
      </c>
      <c r="BB210" s="101">
        <f>Sheet1!BP210*GPMtoMGD</f>
        <v>0</v>
      </c>
      <c r="BC210" s="101">
        <f>Sheet1!CO210*GPMtoMGD</f>
        <v>19.404720000000001</v>
      </c>
      <c r="BD210" s="101">
        <f>Sheet1!BO210*GPMtoMGD</f>
        <v>3.444048</v>
      </c>
      <c r="BE210" s="101">
        <f>Sheet1!BV210*GPMtoMGD</f>
        <v>1.0023840000000002</v>
      </c>
      <c r="BF210" s="101">
        <f>Sheet1!CJ210*GPMtoMGD</f>
        <v>0.98870400000000014</v>
      </c>
      <c r="BG210" s="101">
        <f>Sheet1!CK210*GPMtoMGD</f>
        <v>1.0840320000000001</v>
      </c>
      <c r="BH210" s="101">
        <f>Sheet1!CL210*GPMtoMGD</f>
        <v>0.99547200000000002</v>
      </c>
      <c r="BI210" s="101">
        <f t="shared" si="29"/>
        <v>3.444048</v>
      </c>
      <c r="BK210" s="106">
        <f>SUM(AT210:BA210,BE210,Sheet1!BU210,'Calculations II'!BC210,Calculation!AG210)</f>
        <v>49.988799429433236</v>
      </c>
      <c r="BM210" s="439">
        <f>IF(AND(Sheet1!BQ210&lt;=11.5,Sheet1!BQ209&gt;Sheet1!BQ210),(MIN(Lookup!$C$119,VLOOKUP(Sheet1!BQ209,Lookup!$B$4:$J$236,2))-VLOOKUP(Sheet1!BQ210,Lookup!$B$4:$J$236,2))/1000000,0)</f>
        <v>0</v>
      </c>
      <c r="BN210" s="439">
        <f>IF(AND(Sheet1!BR210&lt;=11.5,Sheet1!BR209&gt;Sheet1!BR210),(MIN(Lookup!$D$119,VLOOKUP(Sheet1!BR209,Lookup!$B$4:$J$236,3))-VLOOKUP(Sheet1!BR210,Lookup!$B$4:$J$236,3))/1000000,0)</f>
        <v>0</v>
      </c>
      <c r="BP210" s="105">
        <f>SUM(BM210:BN210,W210,Sheet1!DT210)</f>
        <v>19</v>
      </c>
    </row>
    <row r="211" spans="1:68" s="101" customFormat="1">
      <c r="A211" s="101" t="s">
        <v>8</v>
      </c>
      <c r="B211" s="103">
        <v>40740</v>
      </c>
      <c r="C211" s="104">
        <v>0.33333333333357601</v>
      </c>
      <c r="E211" s="30"/>
      <c r="F211" s="30">
        <f>-(VLOOKUP(Sheet1!BZ211,Lookup!$I$4:$J$216,2)-VLOOKUP(Sheet1!BZ210,Lookup!$I$4:$J$216,2))/1000000</f>
        <v>-0.62182163128680179</v>
      </c>
      <c r="G211" s="106">
        <f>-$G$6*(Sheet1!CB211-Sheet1!CB210)*7.48/1000000</f>
        <v>-7.5455651999863177E-2</v>
      </c>
      <c r="H211" s="106">
        <f>-$H$6*(Sheet1!CA211-Sheet1!CA210)*7.48/1000000</f>
        <v>0.15039432351265059</v>
      </c>
      <c r="I211" s="106">
        <f>-$I$6*(Sheet1!CC211-Sheet1!CC210)*7.48/1000000</f>
        <v>0.21949640282193009</v>
      </c>
      <c r="J211" s="107" t="s">
        <v>193</v>
      </c>
      <c r="K211" s="106">
        <f>-$I$6*(Sheet1!CD211-Sheet1!CD210)*7.48/1000000</f>
        <v>0.23748791124995708</v>
      </c>
      <c r="L211" s="107" t="s">
        <v>193</v>
      </c>
      <c r="M211" s="106">
        <f>-$M$6*(Sheet1!CE211-Sheet1!CE210)*7.48/1000000</f>
        <v>7.4629188193934617E-2</v>
      </c>
      <c r="N211" s="106">
        <f>-$N$6*(Sheet1!CF211-Sheet1!CF210)*7.48/1000000</f>
        <v>3.7231407236773539E-2</v>
      </c>
      <c r="O211" s="106">
        <f t="shared" si="25"/>
        <v>2.196194972858094E-2</v>
      </c>
      <c r="P211" s="106">
        <f>O211+Calculation!EI211</f>
        <v>-8.7335380502714184</v>
      </c>
      <c r="Q211" s="101" t="str">
        <f>IF(Sheet1!BQ211&gt;21.75,"spill elevation","-")</f>
        <v>-</v>
      </c>
      <c r="R211" s="101" t="str">
        <f>IF(Sheet1!BR211&gt;21.75,"spill elevation","-")</f>
        <v>-</v>
      </c>
      <c r="S211" s="101" t="str">
        <f>IF(Sheet1!BS211&gt;21.75,"spill elevation","-")</f>
        <v>-</v>
      </c>
      <c r="T211" s="105">
        <f>IF(Sheet1!DQ211=1,Sheet1!AA211-(SUM(AT211:BA211)+BE211),Sheet1!AA211-SUM(AT211:BA211))</f>
        <v>38.872208000000583</v>
      </c>
      <c r="U211" s="105">
        <f>Sheet1!BU211</f>
        <v>29</v>
      </c>
      <c r="V211" s="105">
        <f t="shared" si="26"/>
        <v>9.8722080000005832</v>
      </c>
      <c r="W211" s="105">
        <f t="shared" si="27"/>
        <v>0</v>
      </c>
      <c r="X211" s="101">
        <f>IF((Sheet1!EX211-Sheet1!EX210)&lt;0,(Sheet1!EX211+100000-Sheet1!EX210)/1000,(Sheet1!EX211-Sheet1!EX210)/1000)</f>
        <v>0.69599999999999995</v>
      </c>
      <c r="Y211" s="106">
        <f>Calculation!DZ212+Calculation!EI211+'Calculations II'!O211-'Calculations II'!W211</f>
        <v>58.310061949726247</v>
      </c>
      <c r="Z211" s="106">
        <f>Y211-Sheet1!CP212</f>
        <v>47.320061949726245</v>
      </c>
      <c r="AA211" s="106">
        <f>Y211+Calculation!CZ212+Calculation!AI212</f>
        <v>72.038498823472153</v>
      </c>
      <c r="AC211" s="106">
        <f>Sheet1!AA211+Sheet1!AB211+BC211</f>
        <v>70.034512000000575</v>
      </c>
      <c r="AD211" s="106">
        <f>Sheet1!AA211+Sheet1!BN211+'Calculations II'!BC211-Calculation!AI211-Calculation!CZ211</f>
        <v>43.073747412475427</v>
      </c>
      <c r="AE211" s="106">
        <f>Sheet1!AA211+Sheet1!AB211+'Calculations II'!BC211-Calculation!AI211-Calculation!CZ211</f>
        <v>56.573747412475427</v>
      </c>
      <c r="AF211" s="106">
        <f>Sheet1!AA211+Sheet1!BN211+P211+'Calculations II'!BC211+Calculation!AI211+Calculation!CZ211</f>
        <v>61.261738537254317</v>
      </c>
      <c r="AG211" s="106">
        <f>Sheet1!AA211+Sheet1!BN211+'Calculations II'!BC211+'Calculations II'!P211-Sheet1!CP211-BP211</f>
        <v>37.140973949729158</v>
      </c>
      <c r="AH211" s="106">
        <f>Sheet1!AA211+Sheet1!BN211+'Calculations II'!BC211+'Calculations II'!P211-BP211</f>
        <v>47.800973949729162</v>
      </c>
      <c r="AI211" s="106">
        <f>BC211+Sheet1!AA211+Calculation!EI211+O211+W211+Sheet1!BN211+Calculation!AI211+Calculation!CZ211-BP211</f>
        <v>61.261738537254317</v>
      </c>
      <c r="AJ211" s="106"/>
      <c r="AM211" s="102">
        <f t="shared" si="28"/>
        <v>40740</v>
      </c>
      <c r="AN211" s="106"/>
      <c r="AO211" s="106"/>
      <c r="AR211" s="106"/>
      <c r="AT211" s="101">
        <f>Sheet1!AR211*GPMtoMGD</f>
        <v>0</v>
      </c>
      <c r="AU211" s="101">
        <f>Sheet1!AS211*GPMtoMGD</f>
        <v>2.7360000000000002E-2</v>
      </c>
      <c r="AV211" s="101">
        <f>Sheet1!AT211*GPMtoMGD</f>
        <v>0</v>
      </c>
      <c r="AW211" s="101">
        <f>Sheet1!AV211*GPMtoMGD</f>
        <v>0.78220800000000013</v>
      </c>
      <c r="AX211" s="101">
        <f>Sheet1!AW211*GPMtoMGD</f>
        <v>0.90921600000000002</v>
      </c>
      <c r="AY211" s="101">
        <f>Sheet1!AX211*GPMtoMGD</f>
        <v>1.9008000000000001E-2</v>
      </c>
      <c r="AZ211" s="101">
        <f>Sheet1!AY211*GPMtoMGD</f>
        <v>0</v>
      </c>
      <c r="BA211" s="101">
        <f>Sheet1!AZ211*GPMtoMGD</f>
        <v>0</v>
      </c>
      <c r="BB211" s="101">
        <f>Sheet1!BP211*GPMtoMGD</f>
        <v>0</v>
      </c>
      <c r="BC211" s="101">
        <f>Sheet1!CO211*GPMtoMGD</f>
        <v>9.424512</v>
      </c>
      <c r="BD211" s="101">
        <f>Sheet1!BO211*GPMtoMGD</f>
        <v>2.570112</v>
      </c>
      <c r="BE211" s="101">
        <f>Sheet1!BV211*GPMtoMGD</f>
        <v>1.1278080000000001</v>
      </c>
      <c r="BF211" s="101">
        <f>Sheet1!CJ211*GPMtoMGD</f>
        <v>0.56332800000000005</v>
      </c>
      <c r="BG211" s="101">
        <f>Sheet1!CK211*GPMtoMGD</f>
        <v>1.039104</v>
      </c>
      <c r="BH211" s="101">
        <f>Sheet1!CL211*GPMtoMGD</f>
        <v>0.928512</v>
      </c>
      <c r="BI211" s="101">
        <f t="shared" si="29"/>
        <v>2.570112</v>
      </c>
      <c r="BK211" s="106">
        <f>SUM(AT211:BA211,BE211,Sheet1!BU211,'Calculations II'!BC211,Calculation!AG211)</f>
        <v>47.829347412474853</v>
      </c>
      <c r="BM211" s="439">
        <f>IF(AND(Sheet1!BQ211&lt;=11.5,Sheet1!BQ210&gt;Sheet1!BQ211),(MIN(Lookup!$C$119,VLOOKUP(Sheet1!BQ210,Lookup!$B$4:$J$236,2))-VLOOKUP(Sheet1!BQ211,Lookup!$B$4:$J$236,2))/1000000,0)</f>
        <v>0</v>
      </c>
      <c r="BN211" s="439">
        <f>IF(AND(Sheet1!BR211&lt;=11.5,Sheet1!BR210&gt;Sheet1!BR211),(MIN(Lookup!$D$119,VLOOKUP(Sheet1!BR210,Lookup!$B$4:$J$236,3))-VLOOKUP(Sheet1!BR211,Lookup!$B$4:$J$236,3))/1000000,0)</f>
        <v>0</v>
      </c>
      <c r="BP211" s="105">
        <f>SUM(BM211:BN211,W211,Sheet1!DT211)</f>
        <v>0</v>
      </c>
    </row>
    <row r="212" spans="1:68" s="101" customFormat="1">
      <c r="A212" s="101" t="s">
        <v>9</v>
      </c>
      <c r="B212" s="103">
        <v>40741</v>
      </c>
      <c r="C212" s="104">
        <v>0.33333333333357601</v>
      </c>
      <c r="E212" s="30"/>
      <c r="F212" s="30">
        <f>-(VLOOKUP(Sheet1!BZ212,Lookup!$I$4:$J$216,2)-VLOOKUP(Sheet1!BZ211,Lookup!$I$4:$J$216,2))/1000000</f>
        <v>-0.51818469273900425</v>
      </c>
      <c r="G212" s="106">
        <f>-$G$6*(Sheet1!CB212-Sheet1!CB211)*7.48/1000000</f>
        <v>-3.1770800842046761E-2</v>
      </c>
      <c r="H212" s="106">
        <f>-$H$6*(Sheet1!CA212-Sheet1!CA211)*7.48/1000000</f>
        <v>0.1353548911613853</v>
      </c>
      <c r="I212" s="106">
        <f>-$I$6*(Sheet1!CC212-Sheet1!CC211)*7.48/1000000</f>
        <v>-7.196603371210826E-2</v>
      </c>
      <c r="J212" s="107" t="s">
        <v>193</v>
      </c>
      <c r="K212" s="106">
        <f>-$I$6*(Sheet1!CD212-Sheet1!CD211)*7.48/1000000</f>
        <v>-8.4560089611727229E-2</v>
      </c>
      <c r="L212" s="107" t="s">
        <v>193</v>
      </c>
      <c r="M212" s="106">
        <f>-$M$6*(Sheet1!CE212-Sheet1!CE211)*7.48/1000000</f>
        <v>-1.4659304823808497E-2</v>
      </c>
      <c r="N212" s="106">
        <f>-$N$6*(Sheet1!CF212-Sheet1!CF211)*7.48/1000000</f>
        <v>-0.23579891249957019</v>
      </c>
      <c r="O212" s="106">
        <f t="shared" si="25"/>
        <v>-0.82158494306687979</v>
      </c>
      <c r="P212" s="106">
        <f>O212+Calculation!EI212</f>
        <v>-1.6527849430668797</v>
      </c>
      <c r="Q212" s="101" t="str">
        <f>IF(Sheet1!BQ212&gt;21.75,"spill elevation","-")</f>
        <v>-</v>
      </c>
      <c r="R212" s="101" t="str">
        <f>IF(Sheet1!BR212&gt;21.75,"spill elevation","-")</f>
        <v>-</v>
      </c>
      <c r="S212" s="101" t="str">
        <f>IF(Sheet1!BS212&gt;21.75,"spill elevation","-")</f>
        <v>-</v>
      </c>
      <c r="T212" s="105">
        <f>IF(Sheet1!DQ212=1,Sheet1!AA212-(SUM(AT212:BA212)+BE212),Sheet1!AA212-SUM(AT212:BA212))</f>
        <v>33.792768000000002</v>
      </c>
      <c r="U212" s="105">
        <f>Sheet1!BU212</f>
        <v>31.2</v>
      </c>
      <c r="V212" s="105">
        <f t="shared" si="26"/>
        <v>2.5927680000000031</v>
      </c>
      <c r="W212" s="105">
        <f t="shared" si="27"/>
        <v>0</v>
      </c>
      <c r="X212" s="101">
        <f>IF((Sheet1!EX212-Sheet1!EX211)&lt;0,(Sheet1!EX212+100000-Sheet1!EX211)/1000,(Sheet1!EX212-Sheet1!EX211)/1000)</f>
        <v>0.69399999999999995</v>
      </c>
      <c r="Y212" s="106">
        <f>Calculation!DZ213+Calculation!EI212+'Calculations II'!O212-'Calculations II'!W212</f>
        <v>82.171823056931089</v>
      </c>
      <c r="Z212" s="106">
        <f>Y212-Sheet1!CP213</f>
        <v>71.551823056931084</v>
      </c>
      <c r="AA212" s="106">
        <f>Y212+Calculation!CZ213+Calculation!AI213</f>
        <v>95.864311744714485</v>
      </c>
      <c r="AC212" s="106">
        <f>Sheet1!AA212+Sheet1!AB212+BC212</f>
        <v>67.043599999997667</v>
      </c>
      <c r="AD212" s="106">
        <f>Sheet1!AA212+Sheet1!BN212+'Calculations II'!BC212-Calculation!AI212-Calculation!CZ212</f>
        <v>39.555163126254101</v>
      </c>
      <c r="AE212" s="106">
        <f>Sheet1!AA212+Sheet1!AB212+'Calculations II'!BC212-Calculation!AI212-Calculation!CZ212</f>
        <v>53.315163126251761</v>
      </c>
      <c r="AF212" s="106">
        <f>Sheet1!AA212+Sheet1!BN212+P212+'Calculations II'!BC212+Calculation!AI212+Calculation!CZ212</f>
        <v>65.359251930679022</v>
      </c>
      <c r="AG212" s="106">
        <f>Sheet1!AA212+Sheet1!BN212+'Calculations II'!BC212+'Calculations II'!P212-Sheet1!CP212-BP212</f>
        <v>40.640815056933121</v>
      </c>
      <c r="AH212" s="106">
        <f>Sheet1!AA212+Sheet1!BN212+'Calculations II'!BC212+'Calculations II'!P212-BP212</f>
        <v>51.630815056933123</v>
      </c>
      <c r="AI212" s="106">
        <f>BC212+Sheet1!AA212+Calculation!EI212+O212+W212+Sheet1!BN212+Calculation!AI212+Calculation!CZ212-BP212</f>
        <v>65.359251930679022</v>
      </c>
      <c r="AJ212" s="106"/>
      <c r="AM212" s="102">
        <f t="shared" si="28"/>
        <v>40741</v>
      </c>
      <c r="AN212" s="106"/>
      <c r="AO212" s="106"/>
      <c r="AR212" s="106"/>
      <c r="AT212" s="101">
        <f>Sheet1!AR212*GPMtoMGD</f>
        <v>0</v>
      </c>
      <c r="AU212" s="101">
        <f>Sheet1!AS212*GPMtoMGD</f>
        <v>5.0111999999999997E-2</v>
      </c>
      <c r="AV212" s="101">
        <f>Sheet1!AT212*GPMtoMGD</f>
        <v>0</v>
      </c>
      <c r="AW212" s="101">
        <f>Sheet1!AV212*GPMtoMGD</f>
        <v>1.0094400000000001</v>
      </c>
      <c r="AX212" s="101">
        <f>Sheet1!AW212*GPMtoMGD</f>
        <v>1.117872</v>
      </c>
      <c r="AY212" s="101">
        <f>Sheet1!AX212*GPMtoMGD</f>
        <v>2.9808000000000001E-2</v>
      </c>
      <c r="AZ212" s="101">
        <f>Sheet1!AY212*GPMtoMGD</f>
        <v>0</v>
      </c>
      <c r="BA212" s="101">
        <f>Sheet1!AZ212*GPMtoMGD</f>
        <v>0</v>
      </c>
      <c r="BB212" s="101">
        <f>Sheet1!BP212*GPMtoMGD</f>
        <v>0</v>
      </c>
      <c r="BC212" s="101">
        <f>Sheet1!CO212*GPMtoMGD</f>
        <v>10.983600000000001</v>
      </c>
      <c r="BD212" s="101">
        <f>Sheet1!BO212*GPMtoMGD</f>
        <v>2.9075039999999999</v>
      </c>
      <c r="BE212" s="101">
        <f>Sheet1!BV212*GPMtoMGD</f>
        <v>0.953712</v>
      </c>
      <c r="BF212" s="101">
        <f>Sheet1!CJ212*GPMtoMGD</f>
        <v>0.66009600000000002</v>
      </c>
      <c r="BG212" s="101">
        <f>Sheet1!CK212*GPMtoMGD</f>
        <v>1.03104</v>
      </c>
      <c r="BH212" s="101">
        <f>Sheet1!CL212*GPMtoMGD</f>
        <v>0.92203199999999996</v>
      </c>
      <c r="BI212" s="101">
        <f t="shared" si="29"/>
        <v>2.9075039999999999</v>
      </c>
      <c r="BK212" s="106">
        <f>SUM(AT212:BA212,BE212,Sheet1!BU212,'Calculations II'!BC212,Calculation!AG212)</f>
        <v>51.676107126251772</v>
      </c>
      <c r="BM212" s="439">
        <f>IF(AND(Sheet1!BQ212&lt;=11.5,Sheet1!BQ211&gt;Sheet1!BQ212),(MIN(Lookup!$C$119,VLOOKUP(Sheet1!BQ211,Lookup!$B$4:$J$236,2))-VLOOKUP(Sheet1!BQ212,Lookup!$B$4:$J$236,2))/1000000,0)</f>
        <v>0</v>
      </c>
      <c r="BN212" s="439">
        <f>IF(AND(Sheet1!BR212&lt;=11.5,Sheet1!BR211&gt;Sheet1!BR212),(MIN(Lookup!$D$119,VLOOKUP(Sheet1!BR211,Lookup!$B$4:$J$236,3))-VLOOKUP(Sheet1!BR212,Lookup!$B$4:$J$236,3))/1000000,0)</f>
        <v>0</v>
      </c>
      <c r="BP212" s="105">
        <f>SUM(BM212:BN212,W212,Sheet1!DT212)</f>
        <v>0</v>
      </c>
    </row>
    <row r="213" spans="1:68" s="101" customFormat="1">
      <c r="A213" s="101" t="s">
        <v>3</v>
      </c>
      <c r="B213" s="103">
        <v>40742</v>
      </c>
      <c r="C213" s="104">
        <v>0.33333333333357601</v>
      </c>
      <c r="E213" s="30"/>
      <c r="F213" s="30">
        <f>-(VLOOKUP(Sheet1!BZ213,Lookup!$I$4:$J$216,2)-VLOOKUP(Sheet1!BZ212,Lookup!$I$4:$J$216,2))/1000000</f>
        <v>1.6581910167648028</v>
      </c>
      <c r="G213" s="106">
        <f>-$G$6*(Sheet1!CB213-Sheet1!CB212)*7.48/1000000</f>
        <v>0.131054553473445</v>
      </c>
      <c r="H213" s="106">
        <f>-$H$6*(Sheet1!CA213-Sheet1!CA212)*7.48/1000000</f>
        <v>-0.15039432351265059</v>
      </c>
      <c r="I213" s="106">
        <f>-$I$6*(Sheet1!CC213-Sheet1!CC212)*7.48/1000000</f>
        <v>-0.1745176317518625</v>
      </c>
      <c r="J213" s="107" t="s">
        <v>193</v>
      </c>
      <c r="K213" s="106">
        <f>-$I$6*(Sheet1!CD213-Sheet1!CD212)*7.48/1000000</f>
        <v>-0.15292782163822982</v>
      </c>
      <c r="L213" s="107" t="s">
        <v>193</v>
      </c>
      <c r="M213" s="106">
        <f>-$M$6*(Sheet1!CE213-Sheet1!CE212)*7.48/1000000</f>
        <v>-8.1292508568393165E-2</v>
      </c>
      <c r="N213" s="106">
        <f>-$N$6*(Sheet1!CF213-Sheet1!CF212)*7.48/1000000</f>
        <v>0.21097797434172119</v>
      </c>
      <c r="O213" s="106">
        <f t="shared" si="25"/>
        <v>1.441091259108833</v>
      </c>
      <c r="P213" s="106">
        <f>O213+Calculation!EI213</f>
        <v>8.3118912591088332</v>
      </c>
      <c r="Q213" s="101" t="str">
        <f>IF(Sheet1!BQ213&gt;21.75,"spill elevation","-")</f>
        <v>-</v>
      </c>
      <c r="R213" s="101" t="str">
        <f>IF(Sheet1!BR213&gt;21.75,"spill elevation","-")</f>
        <v>-</v>
      </c>
      <c r="S213" s="101" t="str">
        <f>IF(Sheet1!BS213&gt;21.75,"spill elevation","-")</f>
        <v>-</v>
      </c>
      <c r="T213" s="105">
        <f>IF(Sheet1!DQ213=1,Sheet1!AA213-(SUM(AT213:BA213)+BE213),Sheet1!AA213-SUM(AT213:BA213))</f>
        <v>38.75596799999709</v>
      </c>
      <c r="U213" s="105">
        <f>Sheet1!BU213</f>
        <v>23.8</v>
      </c>
      <c r="V213" s="105">
        <f t="shared" si="26"/>
        <v>14.955967999997089</v>
      </c>
      <c r="W213" s="105">
        <f t="shared" si="27"/>
        <v>0</v>
      </c>
      <c r="X213" s="101">
        <f>IF((Sheet1!EX213-Sheet1!EX212)&lt;0,(Sheet1!EX213+100000-Sheet1!EX212)/1000,(Sheet1!EX213-Sheet1!EX212)/1000)</f>
        <v>1.3260000000000001</v>
      </c>
      <c r="Y213" s="106">
        <f>Calculation!DZ214+Calculation!EI213+'Calculations II'!O213-'Calculations II'!W213</f>
        <v>81.669657659107372</v>
      </c>
      <c r="Z213" s="106">
        <f>Y213-Sheet1!CP214</f>
        <v>71.119657659107375</v>
      </c>
      <c r="AA213" s="106">
        <f>Y213+Calculation!CZ214+Calculation!AI214</f>
        <v>95.266490238293883</v>
      </c>
      <c r="AC213" s="106">
        <f>Sheet1!AA213+Sheet1!AB213+BC213</f>
        <v>83.824607999997966</v>
      </c>
      <c r="AD213" s="106">
        <f>Sheet1!AA213+Sheet1!BN213+'Calculations II'!BC213-Calculation!AI213-Calculation!CZ213</f>
        <v>56.392119312213687</v>
      </c>
      <c r="AE213" s="106">
        <f>Sheet1!AA213+Sheet1!AB213+'Calculations II'!BC213-Calculation!AI213-Calculation!CZ213</f>
        <v>70.13211931221457</v>
      </c>
      <c r="AF213" s="106">
        <f>Sheet1!AA213+Sheet1!BN213+P213+'Calculations II'!BC213+Calculation!AI213+Calculation!CZ213</f>
        <v>92.088987946889318</v>
      </c>
      <c r="AG213" s="106">
        <f>Sheet1!AA213+Sheet1!BN213+'Calculations II'!BC213+'Calculations II'!P213-Sheet1!CP213-BP213</f>
        <v>48.776499259105918</v>
      </c>
      <c r="AH213" s="106">
        <f>Sheet1!AA213+Sheet1!BN213+'Calculations II'!BC213+'Calculations II'!P213-BP213</f>
        <v>59.396499259105923</v>
      </c>
      <c r="AI213" s="106">
        <f>BC213+Sheet1!AA213+Calculation!EI213+O213+W213+Sheet1!BN213+Calculation!AI213+Calculation!CZ213-BP213</f>
        <v>73.088987946889318</v>
      </c>
      <c r="AJ213" s="106"/>
      <c r="AM213" s="102">
        <f t="shared" si="28"/>
        <v>40742</v>
      </c>
      <c r="AN213" s="106"/>
      <c r="AO213" s="106"/>
      <c r="AR213" s="106"/>
      <c r="AT213" s="101">
        <f>Sheet1!AR213*GPMtoMGD</f>
        <v>0</v>
      </c>
      <c r="AU213" s="101">
        <f>Sheet1!AS213*GPMtoMGD</f>
        <v>2.6784000000000002E-2</v>
      </c>
      <c r="AV213" s="101">
        <f>Sheet1!AT213*GPMtoMGD</f>
        <v>0</v>
      </c>
      <c r="AW213" s="101">
        <f>Sheet1!AV213*GPMtoMGD</f>
        <v>0.59889599999999998</v>
      </c>
      <c r="AX213" s="101">
        <f>Sheet1!AW213*GPMtoMGD</f>
        <v>0.78753600000000001</v>
      </c>
      <c r="AY213" s="101">
        <f>Sheet1!AX213*GPMtoMGD</f>
        <v>3.0816E-2</v>
      </c>
      <c r="AZ213" s="101">
        <f>Sheet1!AY213*GPMtoMGD</f>
        <v>0</v>
      </c>
      <c r="BA213" s="101">
        <f>Sheet1!AZ213*GPMtoMGD</f>
        <v>0</v>
      </c>
      <c r="BB213" s="101">
        <f>Sheet1!BP213*GPMtoMGD</f>
        <v>0</v>
      </c>
      <c r="BC213" s="101">
        <f>Sheet1!CO213*GPMtoMGD</f>
        <v>23.584608000000003</v>
      </c>
      <c r="BD213" s="101">
        <f>Sheet1!BO213*GPMtoMGD</f>
        <v>3.3886080000000001</v>
      </c>
      <c r="BE213" s="101">
        <f>Sheet1!BV213*GPMtoMGD</f>
        <v>0.94233600000000006</v>
      </c>
      <c r="BF213" s="101">
        <f>Sheet1!CJ213*GPMtoMGD</f>
        <v>0.87235200000000002</v>
      </c>
      <c r="BG213" s="101">
        <f>Sheet1!CK213*GPMtoMGD</f>
        <v>1.164096</v>
      </c>
      <c r="BH213" s="101">
        <f>Sheet1!CL213*GPMtoMGD</f>
        <v>0.98337600000000003</v>
      </c>
      <c r="BI213" s="101">
        <f t="shared" si="29"/>
        <v>3.3886080000000001</v>
      </c>
      <c r="BK213" s="106">
        <f>SUM(AT213:BA213,BE213,Sheet1!BU213,'Calculations II'!BC213,Calculation!AG213)</f>
        <v>56.118487312217475</v>
      </c>
      <c r="BM213" s="439">
        <f>IF(AND(Sheet1!BQ213&lt;=11.5,Sheet1!BQ212&gt;Sheet1!BQ213),(MIN(Lookup!$C$119,VLOOKUP(Sheet1!BQ212,Lookup!$B$4:$J$236,2))-VLOOKUP(Sheet1!BQ213,Lookup!$B$4:$J$236,2))/1000000,0)</f>
        <v>0</v>
      </c>
      <c r="BN213" s="439">
        <f>IF(AND(Sheet1!BR213&lt;=11.5,Sheet1!BR212&gt;Sheet1!BR213),(MIN(Lookup!$D$119,VLOOKUP(Sheet1!BR212,Lookup!$B$4:$J$236,3))-VLOOKUP(Sheet1!BR213,Lookup!$B$4:$J$236,3))/1000000,0)</f>
        <v>0</v>
      </c>
      <c r="BP213" s="105">
        <f>SUM(BM213:BN213,W213,Sheet1!DT213)</f>
        <v>19</v>
      </c>
    </row>
    <row r="214" spans="1:68" s="101" customFormat="1">
      <c r="A214" s="101" t="s">
        <v>4</v>
      </c>
      <c r="B214" s="103">
        <v>40743</v>
      </c>
      <c r="C214" s="104">
        <v>0.33333333333357601</v>
      </c>
      <c r="E214" s="30"/>
      <c r="F214" s="30">
        <f>-(VLOOKUP(Sheet1!BZ214,Lookup!$I$4:$J$216,2)-VLOOKUP(Sheet1!BZ213,Lookup!$I$4:$J$216,2))/1000000</f>
        <v>-2.5909234636950065</v>
      </c>
      <c r="G214" s="106">
        <f>-$G$6*(Sheet1!CB214-Sheet1!CB213)*7.48/1000000</f>
        <v>-0.14296860378921322</v>
      </c>
      <c r="H214" s="106">
        <f>-$H$6*(Sheet1!CA214-Sheet1!CA213)*7.48/1000000</f>
        <v>0.22559148526897588</v>
      </c>
      <c r="I214" s="106">
        <f>-$I$6*(Sheet1!CC214-Sheet1!CC213)*7.48/1000000</f>
        <v>0.1565261233238355</v>
      </c>
      <c r="J214" s="107" t="s">
        <v>193</v>
      </c>
      <c r="K214" s="106">
        <f>-$I$6*(Sheet1!CD214-Sheet1!CD213)*7.48/1000000</f>
        <v>0.14393206742421619</v>
      </c>
      <c r="L214" s="107" t="s">
        <v>193</v>
      </c>
      <c r="M214" s="106">
        <f>-$M$6*(Sheet1!CE214-Sheet1!CE213)*7.48/1000000</f>
        <v>7.4629188193934617E-2</v>
      </c>
      <c r="N214" s="106">
        <f>-$N$6*(Sheet1!CF214-Sheet1!CF213)*7.48/1000000</f>
        <v>-0.12410469078924848</v>
      </c>
      <c r="O214" s="106">
        <f t="shared" si="25"/>
        <v>-2.2573178940625058</v>
      </c>
      <c r="P214" s="106">
        <f>O214+Calculation!EI214</f>
        <v>-1.4367178940625058</v>
      </c>
      <c r="Q214" s="101" t="str">
        <f>IF(Sheet1!BQ214&gt;21.75,"spill elevation","-")</f>
        <v>-</v>
      </c>
      <c r="R214" s="101" t="str">
        <f>IF(Sheet1!BR214&gt;21.75,"spill elevation","-")</f>
        <v>-</v>
      </c>
      <c r="S214" s="101" t="str">
        <f>IF(Sheet1!BS214&gt;21.75,"spill elevation","-")</f>
        <v>-</v>
      </c>
      <c r="T214" s="105">
        <f>IF(Sheet1!DQ214=1,Sheet1!AA214-(SUM(AT214:BA214)+BE214),Sheet1!AA214-SUM(AT214:BA214))</f>
        <v>38.881855999997093</v>
      </c>
      <c r="U214" s="105">
        <f>Sheet1!BU214</f>
        <v>28.7</v>
      </c>
      <c r="V214" s="105">
        <f t="shared" si="26"/>
        <v>10.181855999997094</v>
      </c>
      <c r="W214" s="105">
        <f t="shared" si="27"/>
        <v>0</v>
      </c>
      <c r="X214" s="101">
        <f>IF((Sheet1!EX214-Sheet1!EX213)&lt;0,(Sheet1!EX214+100000-Sheet1!EX213)/1000,(Sheet1!EX214-Sheet1!EX213)/1000)</f>
        <v>1.2E-2</v>
      </c>
      <c r="Y214" s="106">
        <f>Calculation!DZ215+Calculation!EI214+'Calculations II'!O214-'Calculations II'!W214</f>
        <v>65.873538105936035</v>
      </c>
      <c r="Z214" s="106">
        <f>Y214-Sheet1!CP215</f>
        <v>57.313538105936033</v>
      </c>
      <c r="AA214" s="106">
        <f>Y214+Calculation!CZ215+Calculation!AI215</f>
        <v>79.470370685122546</v>
      </c>
      <c r="AC214" s="106">
        <f>Sheet1!AA214+Sheet1!AB214+BC214</f>
        <v>73.357766399998539</v>
      </c>
      <c r="AD214" s="106">
        <f>Sheet1!AA214+Sheet1!BN214+'Calculations II'!BC214-Calculation!AI214-Calculation!CZ214</f>
        <v>46.16093382081057</v>
      </c>
      <c r="AE214" s="106">
        <f>Sheet1!AA214+Sheet1!AB214+'Calculations II'!BC214-Calculation!AI214-Calculation!CZ214</f>
        <v>59.760933820812028</v>
      </c>
      <c r="AF214" s="106">
        <f>Sheet1!AA214+Sheet1!BN214+P214+'Calculations II'!BC214+Calculation!AI214+Calculation!CZ214</f>
        <v>71.917881085121095</v>
      </c>
      <c r="AG214" s="106">
        <f>Sheet1!AA214+Sheet1!BN214+'Calculations II'!BC214+'Calculations II'!P214-Sheet1!CP214-BP214</f>
        <v>36.771048505934587</v>
      </c>
      <c r="AH214" s="106">
        <f>Sheet1!AA214+Sheet1!BN214+'Calculations II'!BC214+'Calculations II'!P214-BP214</f>
        <v>47.321048505934584</v>
      </c>
      <c r="AI214" s="106">
        <f>BC214+Sheet1!AA214+Calculation!EI214+O214+W214+Sheet1!BN214+Calculation!AI214+Calculation!CZ214-BP214</f>
        <v>60.917881085121095</v>
      </c>
      <c r="AJ214" s="106"/>
      <c r="AM214" s="102">
        <f t="shared" si="28"/>
        <v>40743</v>
      </c>
      <c r="AN214" s="106"/>
      <c r="AO214" s="106"/>
      <c r="AR214" s="106"/>
      <c r="AT214" s="101">
        <f>Sheet1!AR214*GPMtoMGD</f>
        <v>0</v>
      </c>
      <c r="AU214" s="101">
        <f>Sheet1!AS214*GPMtoMGD</f>
        <v>5.1264000000000004E-2</v>
      </c>
      <c r="AV214" s="101">
        <f>Sheet1!AT214*GPMtoMGD</f>
        <v>0</v>
      </c>
      <c r="AW214" s="101">
        <f>Sheet1!AV214*GPMtoMGD</f>
        <v>0.80467199999999994</v>
      </c>
      <c r="AX214" s="101">
        <f>Sheet1!AW214*GPMtoMGD</f>
        <v>0.92966400000000005</v>
      </c>
      <c r="AY214" s="101">
        <f>Sheet1!AX214*GPMtoMGD</f>
        <v>3.2544000000000003E-2</v>
      </c>
      <c r="AZ214" s="101">
        <f>Sheet1!AY214*GPMtoMGD</f>
        <v>0</v>
      </c>
      <c r="BA214" s="101">
        <f>Sheet1!AZ214*GPMtoMGD</f>
        <v>0</v>
      </c>
      <c r="BB214" s="101">
        <f>Sheet1!BP214*GPMtoMGD</f>
        <v>4.9104000000000002E-2</v>
      </c>
      <c r="BC214" s="101">
        <f>Sheet1!CO214*GPMtoMGD</f>
        <v>12.7577664</v>
      </c>
      <c r="BD214" s="101">
        <f>Sheet1!BO214*GPMtoMGD</f>
        <v>2.4588000000000001</v>
      </c>
      <c r="BE214" s="101">
        <f>Sheet1!BV214*GPMtoMGD</f>
        <v>0.90460800000000008</v>
      </c>
      <c r="BF214" s="101">
        <f>Sheet1!CJ214*GPMtoMGD</f>
        <v>0.744336</v>
      </c>
      <c r="BG214" s="101">
        <f>Sheet1!CK214*GPMtoMGD</f>
        <v>0.95817600000000003</v>
      </c>
      <c r="BH214" s="101">
        <f>Sheet1!CL214*GPMtoMGD</f>
        <v>0.98337600000000003</v>
      </c>
      <c r="BI214" s="101">
        <f t="shared" si="29"/>
        <v>2.5079039999999999</v>
      </c>
      <c r="BK214" s="106">
        <f>SUM(AT214:BA214,BE214,Sheet1!BU214,'Calculations II'!BC214,Calculation!AG214)</f>
        <v>50.483685820814941</v>
      </c>
      <c r="BM214" s="439">
        <f>IF(AND(Sheet1!BQ214&lt;=11.5,Sheet1!BQ213&gt;Sheet1!BQ214),(MIN(Lookup!$C$119,VLOOKUP(Sheet1!BQ213,Lookup!$B$4:$J$236,2))-VLOOKUP(Sheet1!BQ214,Lookup!$B$4:$J$236,2))/1000000,0)</f>
        <v>0</v>
      </c>
      <c r="BN214" s="439">
        <f>IF(AND(Sheet1!BR214&lt;=11.5,Sheet1!BR213&gt;Sheet1!BR214),(MIN(Lookup!$D$119,VLOOKUP(Sheet1!BR213,Lookup!$B$4:$J$236,3))-VLOOKUP(Sheet1!BR214,Lookup!$B$4:$J$236,3))/1000000,0)</f>
        <v>0</v>
      </c>
      <c r="BP214" s="105">
        <f>SUM(BM214:BN214,W214,Sheet1!DT214)</f>
        <v>11</v>
      </c>
    </row>
    <row r="215" spans="1:68" s="101" customFormat="1">
      <c r="A215" s="101" t="s">
        <v>5</v>
      </c>
      <c r="B215" s="103">
        <v>40744</v>
      </c>
      <c r="C215" s="104">
        <v>0.33333333333357601</v>
      </c>
      <c r="E215" s="30"/>
      <c r="F215" s="30">
        <f>-(VLOOKUP(Sheet1!BZ215,Lookup!$I$4:$J$216,2)-VLOOKUP(Sheet1!BZ214,Lookup!$I$4:$J$216,2))/1000000</f>
        <v>0.51818469273900614</v>
      </c>
      <c r="G215" s="106">
        <f>-$G$6*(Sheet1!CB215-Sheet1!CB214)*7.48/1000000</f>
        <v>0.25416640673637975</v>
      </c>
      <c r="H215" s="106">
        <f>-$H$6*(Sheet1!CA215-Sheet1!CA214)*7.48/1000000</f>
        <v>-0.31582807937656648</v>
      </c>
      <c r="I215" s="106">
        <f>-$I$6*(Sheet1!CC215-Sheet1!CC214)*7.48/1000000</f>
        <v>-0.11334650309657053</v>
      </c>
      <c r="J215" s="107" t="s">
        <v>193</v>
      </c>
      <c r="K215" s="106">
        <f>-$I$6*(Sheet1!CD215-Sheet1!CD214)*7.48/1000000</f>
        <v>-0.12594055899618922</v>
      </c>
      <c r="L215" s="107" t="s">
        <v>193</v>
      </c>
      <c r="M215" s="106">
        <f>-$M$6*(Sheet1!CE215-Sheet1!CE214)*7.48/1000000</f>
        <v>-4.6643242621209044E-2</v>
      </c>
      <c r="N215" s="106">
        <f>-$N$6*(Sheet1!CF215-Sheet1!CF214)*7.48/1000000</f>
        <v>-0.1054889871708606</v>
      </c>
      <c r="O215" s="106">
        <f t="shared" si="25"/>
        <v>6.5103728213990075E-2</v>
      </c>
      <c r="P215" s="106">
        <f>O215+Calculation!EI215</f>
        <v>-1.5764962717860098</v>
      </c>
      <c r="Q215" s="101" t="str">
        <f>IF(Sheet1!BQ215&gt;21.75,"spill elevation","-")</f>
        <v>-</v>
      </c>
      <c r="R215" s="101" t="str">
        <f>IF(Sheet1!BR215&gt;21.75,"spill elevation","-")</f>
        <v>-</v>
      </c>
      <c r="S215" s="101" t="str">
        <f>IF(Sheet1!BS215&gt;21.75,"spill elevation","-")</f>
        <v>-</v>
      </c>
      <c r="T215" s="105">
        <f>IF(Sheet1!DQ215=1,Sheet1!AA215-(SUM(AT215:BA215)+BE215),Sheet1!AA215-SUM(AT215:BA215))</f>
        <v>38.466127999997092</v>
      </c>
      <c r="U215" s="105">
        <f>Sheet1!BU215</f>
        <v>35.200000000000003</v>
      </c>
      <c r="V215" s="105">
        <f t="shared" si="26"/>
        <v>3.2661279999970887</v>
      </c>
      <c r="W215" s="105">
        <f t="shared" si="27"/>
        <v>0</v>
      </c>
      <c r="X215" s="101">
        <f>IF((Sheet1!EX215-Sheet1!EX214)&lt;0,(Sheet1!EX215+100000-Sheet1!EX214)/1000,(Sheet1!EX215-Sheet1!EX214)/1000)</f>
        <v>0.69899999999999995</v>
      </c>
      <c r="Y215" s="106">
        <f>Calculation!DZ216+Calculation!EI215+'Calculations II'!O215-'Calculations II'!W215</f>
        <v>65.273786928214562</v>
      </c>
      <c r="Z215" s="106">
        <f>Y215-Sheet1!CP216</f>
        <v>56.153786928214565</v>
      </c>
      <c r="AA215" s="106">
        <f>Y215+Calculation!CZ216+Calculation!AI216</f>
        <v>78.93894529925528</v>
      </c>
      <c r="AC215" s="106">
        <f>Sheet1!AA215+Sheet1!AB215+BC215</f>
        <v>67.310255999998546</v>
      </c>
      <c r="AD215" s="106">
        <f>Sheet1!AA215+Sheet1!BN215+'Calculations II'!BC215-Calculation!AI215-Calculation!CZ215</f>
        <v>40.113423420810577</v>
      </c>
      <c r="AE215" s="106">
        <f>Sheet1!AA215+Sheet1!AB215+'Calculations II'!BC215-Calculation!AI215-Calculation!CZ215</f>
        <v>53.713423420812035</v>
      </c>
      <c r="AF215" s="106">
        <f>Sheet1!AA215+Sheet1!BN215+P215+'Calculations II'!BC215+Calculation!AI215+Calculation!CZ215</f>
        <v>65.730592307397586</v>
      </c>
      <c r="AG215" s="106">
        <f>Sheet1!AA215+Sheet1!BN215+'Calculations II'!BC215+'Calculations II'!P215-Sheet1!CP215-BP215</f>
        <v>43.573759728211073</v>
      </c>
      <c r="AH215" s="106">
        <f>Sheet1!AA215+Sheet1!BN215+'Calculations II'!BC215+'Calculations II'!P215-BP215</f>
        <v>52.133759728211075</v>
      </c>
      <c r="AI215" s="106">
        <f>BC215+Sheet1!AA215+Calculation!EI215+O215+W215+Sheet1!BN215+Calculation!AI215+Calculation!CZ215-BP215</f>
        <v>65.7305923073976</v>
      </c>
      <c r="AJ215" s="106"/>
      <c r="AM215" s="102">
        <f t="shared" si="28"/>
        <v>40744</v>
      </c>
      <c r="AN215" s="106"/>
      <c r="AO215" s="106"/>
      <c r="AR215" s="106"/>
      <c r="AT215" s="101">
        <f>Sheet1!AR215*GPMtoMGD</f>
        <v>0</v>
      </c>
      <c r="AU215" s="101">
        <f>Sheet1!AS215*GPMtoMGD</f>
        <v>2.6064000000000004E-2</v>
      </c>
      <c r="AV215" s="101">
        <f>Sheet1!AT215*GPMtoMGD</f>
        <v>0</v>
      </c>
      <c r="AW215" s="101">
        <f>Sheet1!AV215*GPMtoMGD</f>
        <v>1.0052640000000002</v>
      </c>
      <c r="AX215" s="101">
        <f>Sheet1!AW215*GPMtoMGD</f>
        <v>1.1787840000000001</v>
      </c>
      <c r="AY215" s="101">
        <f>Sheet1!AX215*GPMtoMGD</f>
        <v>2.376E-2</v>
      </c>
      <c r="AZ215" s="101">
        <f>Sheet1!AY215*GPMtoMGD</f>
        <v>0</v>
      </c>
      <c r="BA215" s="101">
        <f>Sheet1!AZ215*GPMtoMGD</f>
        <v>0</v>
      </c>
      <c r="BB215" s="101">
        <f>Sheet1!BP215*GPMtoMGD</f>
        <v>0</v>
      </c>
      <c r="BC215" s="101">
        <f>Sheet1!CO215*GPMtoMGD</f>
        <v>6.7102560000000002</v>
      </c>
      <c r="BD215" s="101">
        <f>Sheet1!BO215*GPMtoMGD</f>
        <v>3.5127360000000003</v>
      </c>
      <c r="BE215" s="101">
        <f>Sheet1!BV215*GPMtoMGD</f>
        <v>1.257552</v>
      </c>
      <c r="BF215" s="101">
        <f>Sheet1!CJ215*GPMtoMGD</f>
        <v>1.219824</v>
      </c>
      <c r="BG215" s="101">
        <f>Sheet1!CK215*GPMtoMGD</f>
        <v>1.219536</v>
      </c>
      <c r="BH215" s="101">
        <f>Sheet1!CL215*GPMtoMGD</f>
        <v>1.039104</v>
      </c>
      <c r="BI215" s="101">
        <f t="shared" si="29"/>
        <v>3.5127360000000003</v>
      </c>
      <c r="BK215" s="106">
        <f>SUM(AT215:BA215,BE215,Sheet1!BU215,'Calculations II'!BC215,Calculation!AG215)</f>
        <v>51.704847420814943</v>
      </c>
      <c r="BM215" s="439">
        <f>IF(AND(Sheet1!BQ215&lt;=11.5,Sheet1!BQ214&gt;Sheet1!BQ215),(MIN(Lookup!$C$119,VLOOKUP(Sheet1!BQ214,Lookup!$B$4:$J$236,2))-VLOOKUP(Sheet1!BQ215,Lookup!$B$4:$J$236,2))/1000000,0)</f>
        <v>0</v>
      </c>
      <c r="BN215" s="439">
        <f>IF(AND(Sheet1!BR215&lt;=11.5,Sheet1!BR214&gt;Sheet1!BR215),(MIN(Lookup!$D$119,VLOOKUP(Sheet1!BR214,Lookup!$B$4:$J$236,3))-VLOOKUP(Sheet1!BR215,Lookup!$B$4:$J$236,3))/1000000,0)</f>
        <v>0</v>
      </c>
      <c r="BP215" s="105">
        <f>SUM(BM215:BN215,W215,Sheet1!DT215)</f>
        <v>0</v>
      </c>
    </row>
    <row r="216" spans="1:68" s="101" customFormat="1">
      <c r="A216" s="101" t="s">
        <v>6</v>
      </c>
      <c r="B216" s="103">
        <v>40745</v>
      </c>
      <c r="C216" s="104">
        <v>0.33333333333357601</v>
      </c>
      <c r="E216" s="30"/>
      <c r="F216" s="30">
        <f>-(VLOOKUP(Sheet1!BZ216,Lookup!$I$4:$J$216,2)-VLOOKUP(Sheet1!BZ215,Lookup!$I$4:$J$216,2))/1000000</f>
        <v>-0.20727387709560247</v>
      </c>
      <c r="G216" s="106">
        <f>-$G$6*(Sheet1!CB216-Sheet1!CB215)*7.48/1000000</f>
        <v>0.1906248050522848</v>
      </c>
      <c r="H216" s="106">
        <f>-$H$6*(Sheet1!CA216-Sheet1!CA215)*7.48/1000000</f>
        <v>0.37598580878162652</v>
      </c>
      <c r="I216" s="106">
        <f>-$I$6*(Sheet1!CC216-Sheet1!CC215)*7.48/1000000</f>
        <v>-6.6568581183699932E-2</v>
      </c>
      <c r="J216" s="107" t="s">
        <v>193</v>
      </c>
      <c r="K216" s="106">
        <f>-$I$6*(Sheet1!CD216-Sheet1!CD215)*7.48/1000000</f>
        <v>-5.3974525284081275E-2</v>
      </c>
      <c r="L216" s="107" t="s">
        <v>193</v>
      </c>
      <c r="M216" s="106">
        <f>-$M$6*(Sheet1!CE216-Sheet1!CE215)*7.48/1000000</f>
        <v>-2.6653281497833674E-2</v>
      </c>
      <c r="N216" s="106">
        <f>-$N$6*(Sheet1!CF216-Sheet1!CF215)*7.48/1000000</f>
        <v>-6.2052345394622583E-3</v>
      </c>
      <c r="O216" s="106">
        <f t="shared" si="25"/>
        <v>0.20593511423323169</v>
      </c>
      <c r="P216" s="106">
        <f>O216+Calculation!EI216</f>
        <v>-2.8034648857667688</v>
      </c>
      <c r="Q216" s="101" t="str">
        <f>IF(Sheet1!BQ216&gt;21.75,"spill elevation","-")</f>
        <v>-</v>
      </c>
      <c r="R216" s="101" t="str">
        <f>IF(Sheet1!BR216&gt;21.75,"spill elevation","-")</f>
        <v>-</v>
      </c>
      <c r="S216" s="101" t="str">
        <f>IF(Sheet1!BS216&gt;21.75,"spill elevation","-")</f>
        <v>-</v>
      </c>
      <c r="T216" s="105">
        <f>IF(Sheet1!DQ216=1,Sheet1!AA216-(SUM(AT216:BA216)+BE216),Sheet1!AA216-SUM(AT216:BA216))</f>
        <v>39.472976000000585</v>
      </c>
      <c r="U216" s="105">
        <f>Sheet1!BU216</f>
        <v>34.6</v>
      </c>
      <c r="V216" s="105">
        <f t="shared" si="26"/>
        <v>4.872976000000584</v>
      </c>
      <c r="W216" s="105">
        <f t="shared" si="27"/>
        <v>0</v>
      </c>
      <c r="X216" s="101">
        <f>IF((Sheet1!EX216-Sheet1!EX215)&lt;0,(Sheet1!EX216+100000-Sheet1!EX215)/1000,(Sheet1!EX216-Sheet1!EX215)/1000)</f>
        <v>0.69099999999999995</v>
      </c>
      <c r="Y216" s="106">
        <f>Calculation!DZ217+Calculation!EI216+'Calculations II'!O216-'Calculations II'!W216</f>
        <v>64.081111114232641</v>
      </c>
      <c r="Z216" s="106">
        <f>Y216-Sheet1!CP217</f>
        <v>54.37111111423264</v>
      </c>
      <c r="AA216" s="106">
        <f>Y216+Calculation!CZ217+Calculation!AI217</f>
        <v>78.447308297331233</v>
      </c>
      <c r="AC216" s="106">
        <f>Sheet1!AA216+Sheet1!AB216+BC216</f>
        <v>66.850283200000575</v>
      </c>
      <c r="AD216" s="106">
        <f>Sheet1!AA216+Sheet1!BN216+'Calculations II'!BC216-Calculation!AI216-Calculation!CZ216</f>
        <v>39.485124828959854</v>
      </c>
      <c r="AE216" s="106">
        <f>Sheet1!AA216+Sheet1!AB216+'Calculations II'!BC216-Calculation!AI216-Calculation!CZ216</f>
        <v>53.18512482895985</v>
      </c>
      <c r="AF216" s="106">
        <f>Sheet1!AA216+Sheet1!BN216+P216+'Calculations II'!BC216+Calculation!AI216+Calculation!CZ216</f>
        <v>64.011976685274533</v>
      </c>
      <c r="AG216" s="106">
        <f>Sheet1!AA216+Sheet1!BN216+'Calculations II'!BC216+'Calculations II'!P216-Sheet1!CP216-BP216</f>
        <v>41.22681831423381</v>
      </c>
      <c r="AH216" s="106">
        <f>Sheet1!AA216+Sheet1!BN216+'Calculations II'!BC216+'Calculations II'!P216-BP216</f>
        <v>50.346818314233808</v>
      </c>
      <c r="AI216" s="106">
        <f>BC216+Sheet1!AA216+Calculation!EI216+O216+W216+Sheet1!BN216+Calculation!AI216+Calculation!CZ216-BP216</f>
        <v>64.011976685274533</v>
      </c>
      <c r="AJ216" s="106"/>
      <c r="AM216" s="102">
        <f t="shared" si="28"/>
        <v>40745</v>
      </c>
      <c r="AN216" s="106"/>
      <c r="AO216" s="106"/>
      <c r="AR216" s="106"/>
      <c r="AT216" s="101">
        <f>Sheet1!AR216*GPMtoMGD</f>
        <v>0</v>
      </c>
      <c r="AU216" s="101">
        <f>Sheet1!AS216*GPMtoMGD</f>
        <v>2.5920000000000002E-2</v>
      </c>
      <c r="AV216" s="101">
        <f>Sheet1!AT216*GPMtoMGD</f>
        <v>0</v>
      </c>
      <c r="AW216" s="101">
        <f>Sheet1!AV216*GPMtoMGD</f>
        <v>0.53164800000000001</v>
      </c>
      <c r="AX216" s="101">
        <f>Sheet1!AW216*GPMtoMGD</f>
        <v>0.56376000000000004</v>
      </c>
      <c r="AY216" s="101">
        <f>Sheet1!AX216*GPMtoMGD</f>
        <v>1.5696000000000002E-2</v>
      </c>
      <c r="AZ216" s="101">
        <f>Sheet1!AY216*GPMtoMGD</f>
        <v>0</v>
      </c>
      <c r="BA216" s="101">
        <f>Sheet1!AZ216*GPMtoMGD</f>
        <v>0</v>
      </c>
      <c r="BB216" s="101">
        <f>Sheet1!BP216*GPMtoMGD</f>
        <v>0</v>
      </c>
      <c r="BC216" s="101">
        <f>Sheet1!CO216*GPMtoMGD</f>
        <v>6.2402832000000004</v>
      </c>
      <c r="BD216" s="101">
        <f>Sheet1!BO216*GPMtoMGD</f>
        <v>3.2353920000000005</v>
      </c>
      <c r="BE216" s="101">
        <f>Sheet1!BV216*GPMtoMGD</f>
        <v>0.99864000000000008</v>
      </c>
      <c r="BF216" s="101">
        <f>Sheet1!CJ216*GPMtoMGD</f>
        <v>1.112832</v>
      </c>
      <c r="BG216" s="101">
        <f>Sheet1!CK216*GPMtoMGD</f>
        <v>1.137456</v>
      </c>
      <c r="BH216" s="101">
        <f>Sheet1!CL216*GPMtoMGD</f>
        <v>0.978912</v>
      </c>
      <c r="BI216" s="101">
        <f t="shared" si="29"/>
        <v>3.2353920000000005</v>
      </c>
      <c r="BK216" s="106">
        <f>SUM(AT216:BA216,BE216,Sheet1!BU216,'Calculations II'!BC216,Calculation!AG216)</f>
        <v>49.310788828959275</v>
      </c>
      <c r="BM216" s="439">
        <f>IF(AND(Sheet1!BQ216&lt;=11.5,Sheet1!BQ215&gt;Sheet1!BQ216),(MIN(Lookup!$C$119,VLOOKUP(Sheet1!BQ215,Lookup!$B$4:$J$236,2))-VLOOKUP(Sheet1!BQ216,Lookup!$B$4:$J$236,2))/1000000,0)</f>
        <v>0</v>
      </c>
      <c r="BN216" s="439">
        <f>IF(AND(Sheet1!BR216&lt;=11.5,Sheet1!BR215&gt;Sheet1!BR216),(MIN(Lookup!$D$119,VLOOKUP(Sheet1!BR215,Lookup!$B$4:$J$236,3))-VLOOKUP(Sheet1!BR216,Lookup!$B$4:$J$236,3))/1000000,0)</f>
        <v>0</v>
      </c>
      <c r="BP216" s="105">
        <f>SUM(BM216:BN216,W216,Sheet1!DT216)</f>
        <v>0</v>
      </c>
    </row>
    <row r="217" spans="1:68" s="101" customFormat="1">
      <c r="A217" s="101" t="s">
        <v>7</v>
      </c>
      <c r="B217" s="103">
        <v>40746</v>
      </c>
      <c r="C217" s="104">
        <v>0.33333333333357601</v>
      </c>
      <c r="E217" s="30"/>
      <c r="F217" s="30">
        <f>-(VLOOKUP(Sheet1!BZ217,Lookup!$I$4:$J$216,2)-VLOOKUP(Sheet1!BZ216,Lookup!$I$4:$J$216,2))/1000000</f>
        <v>0</v>
      </c>
      <c r="G217" s="106">
        <f>-$G$6*(Sheet1!CB217-Sheet1!CB216)*7.48/1000000</f>
        <v>5.1627551368326689E-2</v>
      </c>
      <c r="H217" s="106">
        <f>-$H$6*(Sheet1!CA217-Sheet1!CA216)*7.48/1000000</f>
        <v>6.0157729405060027E-2</v>
      </c>
      <c r="I217" s="106">
        <f>-$I$6*(Sheet1!CC217-Sheet1!CC216)*7.48/1000000</f>
        <v>5.3974525284080956E-2</v>
      </c>
      <c r="J217" s="107" t="s">
        <v>193</v>
      </c>
      <c r="K217" s="106">
        <f>-$I$6*(Sheet1!CD217-Sheet1!CD216)*7.48/1000000</f>
        <v>4.1380469384462285E-2</v>
      </c>
      <c r="L217" s="107" t="s">
        <v>193</v>
      </c>
      <c r="M217" s="106">
        <f>-$M$6*(Sheet1!CE217-Sheet1!CE216)*7.48/1000000</f>
        <v>1.3326640748916837E-2</v>
      </c>
      <c r="N217" s="106">
        <f>-$N$6*(Sheet1!CF217-Sheet1!CF216)*7.48/1000000</f>
        <v>-1.861570361838677E-2</v>
      </c>
      <c r="O217" s="106">
        <f t="shared" si="25"/>
        <v>0.20185121257246005</v>
      </c>
      <c r="P217" s="106">
        <f>O217+Calculation!EI217</f>
        <v>5.9366512125724595</v>
      </c>
      <c r="Q217" s="101" t="str">
        <f>IF(Sheet1!BQ217&gt;21.75,"spill elevation","-")</f>
        <v>-</v>
      </c>
      <c r="R217" s="101" t="str">
        <f>IF(Sheet1!BR217&gt;21.75,"spill elevation","-")</f>
        <v>-</v>
      </c>
      <c r="S217" s="101" t="str">
        <f>IF(Sheet1!BS217&gt;21.75,"spill elevation","-")</f>
        <v>-</v>
      </c>
      <c r="T217" s="105">
        <f>IF(Sheet1!DQ217=1,Sheet1!AA217-(SUM(AT217:BA217)+BE217),Sheet1!AA217-SUM(AT217:BA217))</f>
        <v>37.982927999999418</v>
      </c>
      <c r="U217" s="105">
        <f>Sheet1!BU217</f>
        <v>41.9</v>
      </c>
      <c r="V217" s="105">
        <f t="shared" si="26"/>
        <v>-3.9170720000005801</v>
      </c>
      <c r="W217" s="105">
        <f t="shared" si="27"/>
        <v>0</v>
      </c>
      <c r="X217" s="101">
        <f>IF((Sheet1!EX217-Sheet1!EX216)&lt;0,(Sheet1!EX217+100000-Sheet1!EX216)/1000,(Sheet1!EX217-Sheet1!EX216)/1000)</f>
        <v>0.69699999999999995</v>
      </c>
      <c r="Y217" s="106">
        <f>Calculation!DZ218+Calculation!EI217+'Calculations II'!O217-'Calculations II'!W217</f>
        <v>76.848459212567505</v>
      </c>
      <c r="Z217" s="106">
        <f>Y217-Sheet1!CP218</f>
        <v>66.298459212567508</v>
      </c>
      <c r="AA217" s="106">
        <f>Y217+Calculation!CZ218+Calculation!AI218</f>
        <v>91.375092378393447</v>
      </c>
      <c r="AC217" s="106">
        <f>Sheet1!AA217+Sheet1!AB217+BC217</f>
        <v>66.884575999999413</v>
      </c>
      <c r="AD217" s="106">
        <f>Sheet1!AA217+Sheet1!BN217+'Calculations II'!BC217-Calculation!AI217-Calculation!CZ217</f>
        <v>38.11837881690083</v>
      </c>
      <c r="AE217" s="106">
        <f>Sheet1!AA217+Sheet1!AB217+'Calculations II'!BC217-Calculation!AI217-Calculation!CZ217</f>
        <v>52.518378816900821</v>
      </c>
      <c r="AF217" s="106">
        <f>Sheet1!AA217+Sheet1!BN217+P217+'Calculations II'!BC217+Calculation!AI217+Calculation!CZ217</f>
        <v>72.78742439567047</v>
      </c>
      <c r="AG217" s="106">
        <f>Sheet1!AA217+Sheet1!BN217+'Calculations II'!BC217+'Calculations II'!P217-Sheet1!CP217-BP217</f>
        <v>48.711227212571877</v>
      </c>
      <c r="AH217" s="106">
        <f>Sheet1!AA217+Sheet1!BN217+'Calculations II'!BC217+'Calculations II'!P217-BP217</f>
        <v>58.421227212571878</v>
      </c>
      <c r="AI217" s="106">
        <f>BC217+Sheet1!AA217+Calculation!EI217+O217+W217+Sheet1!BN217+Calculation!AI217+Calculation!CZ217-BP217</f>
        <v>72.78742439567047</v>
      </c>
      <c r="AJ217" s="106"/>
      <c r="AM217" s="102">
        <f t="shared" si="28"/>
        <v>40746</v>
      </c>
      <c r="AN217" s="106"/>
      <c r="AO217" s="106"/>
      <c r="AR217" s="106"/>
      <c r="AT217" s="101">
        <f>Sheet1!AR217*GPMtoMGD</f>
        <v>0</v>
      </c>
      <c r="AU217" s="101">
        <f>Sheet1!AS217*GPMtoMGD</f>
        <v>5.0976E-2</v>
      </c>
      <c r="AV217" s="101">
        <f>Sheet1!AT217*GPMtoMGD</f>
        <v>0</v>
      </c>
      <c r="AW217" s="101">
        <f>Sheet1!AV217*GPMtoMGD</f>
        <v>0.9676800000000001</v>
      </c>
      <c r="AX217" s="101">
        <f>Sheet1!AW217*GPMtoMGD</f>
        <v>1.8518400000000002</v>
      </c>
      <c r="AY217" s="101">
        <f>Sheet1!AX217*GPMtoMGD</f>
        <v>3.6575999999999997E-2</v>
      </c>
      <c r="AZ217" s="101">
        <f>Sheet1!AY217*GPMtoMGD</f>
        <v>0</v>
      </c>
      <c r="BA217" s="101">
        <f>Sheet1!AZ217*GPMtoMGD</f>
        <v>0</v>
      </c>
      <c r="BB217" s="101">
        <f>Sheet1!BP217*GPMtoMGD</f>
        <v>0</v>
      </c>
      <c r="BC217" s="101">
        <f>Sheet1!CO217*GPMtoMGD</f>
        <v>5.9945759999999995</v>
      </c>
      <c r="BD217" s="101">
        <f>Sheet1!BO217*GPMtoMGD</f>
        <v>3.7756800000000004</v>
      </c>
      <c r="BE217" s="101">
        <f>Sheet1!BV217*GPMtoMGD</f>
        <v>1.2276</v>
      </c>
      <c r="BF217" s="101">
        <f>Sheet1!CJ217*GPMtoMGD</f>
        <v>1.57752</v>
      </c>
      <c r="BG217" s="101">
        <f>Sheet1!CK217*GPMtoMGD</f>
        <v>1.3871519999999999</v>
      </c>
      <c r="BH217" s="101">
        <f>Sheet1!CL217*GPMtoMGD</f>
        <v>1.0598400000000001</v>
      </c>
      <c r="BI217" s="101">
        <f t="shared" si="29"/>
        <v>3.7756800000000004</v>
      </c>
      <c r="BK217" s="106">
        <f>SUM(AT217:BA217,BE217,Sheet1!BU217,'Calculations II'!BC217,Calculation!AG217)</f>
        <v>57.663050816901411</v>
      </c>
      <c r="BM217" s="439">
        <f>IF(AND(Sheet1!BQ217&lt;=11.5,Sheet1!BQ216&gt;Sheet1!BQ217),(MIN(Lookup!$C$119,VLOOKUP(Sheet1!BQ216,Lookup!$B$4:$J$236,2))-VLOOKUP(Sheet1!BQ217,Lookup!$B$4:$J$236,2))/1000000,0)</f>
        <v>0</v>
      </c>
      <c r="BN217" s="439">
        <f>IF(AND(Sheet1!BR217&lt;=11.5,Sheet1!BR216&gt;Sheet1!BR217),(MIN(Lookup!$D$119,VLOOKUP(Sheet1!BR216,Lookup!$B$4:$J$236,3))-VLOOKUP(Sheet1!BR217,Lookup!$B$4:$J$236,3))/1000000,0)</f>
        <v>0</v>
      </c>
      <c r="BP217" s="105">
        <f>SUM(BM217:BN217,W217,Sheet1!DT217)</f>
        <v>0</v>
      </c>
    </row>
    <row r="218" spans="1:68" s="101" customFormat="1">
      <c r="A218" s="101" t="s">
        <v>8</v>
      </c>
      <c r="B218" s="103">
        <v>40747</v>
      </c>
      <c r="C218" s="104">
        <v>0.33333333333357601</v>
      </c>
      <c r="E218" s="30"/>
      <c r="F218" s="30">
        <f>-(VLOOKUP(Sheet1!BZ218,Lookup!$I$4:$J$216,2)-VLOOKUP(Sheet1!BZ217,Lookup!$I$4:$J$216,2))/1000000</f>
        <v>1.1400063240258043</v>
      </c>
      <c r="G218" s="106">
        <f>-$G$6*(Sheet1!CB218-Sheet1!CB217)*7.48/1000000</f>
        <v>3.1770800842046761E-2</v>
      </c>
      <c r="H218" s="106">
        <f>-$H$6*(Sheet1!CA218-Sheet1!CA217)*7.48/1000000</f>
        <v>-7.5197161756325293E-2</v>
      </c>
      <c r="I218" s="106">
        <f>-$I$6*(Sheet1!CC218-Sheet1!CC217)*7.48/1000000</f>
        <v>-4.1380469384461958E-2</v>
      </c>
      <c r="J218" s="107" t="s">
        <v>193</v>
      </c>
      <c r="K218" s="106">
        <f>-$I$6*(Sheet1!CD218-Sheet1!CD217)*7.48/1000000</f>
        <v>-4.1380469384462285E-2</v>
      </c>
      <c r="L218" s="107" t="s">
        <v>193</v>
      </c>
      <c r="M218" s="106">
        <f>-$M$6*(Sheet1!CE218-Sheet1!CE217)*7.48/1000000</f>
        <v>-8.6623164867959089E-3</v>
      </c>
      <c r="N218" s="106">
        <f>-$N$6*(Sheet1!CF218-Sheet1!CF217)*7.48/1000000</f>
        <v>-0.34128789967043188</v>
      </c>
      <c r="O218" s="106">
        <f t="shared" si="25"/>
        <v>0.66386880818537375</v>
      </c>
      <c r="P218" s="106">
        <f>O218+Calculation!EI218</f>
        <v>3.0968688081853735</v>
      </c>
      <c r="Q218" s="101" t="str">
        <f>IF(Sheet1!BQ218&gt;21.75,"spill elevation","-")</f>
        <v>-</v>
      </c>
      <c r="R218" s="101" t="str">
        <f>IF(Sheet1!BR218&gt;21.75,"spill elevation","-")</f>
        <v>-</v>
      </c>
      <c r="S218" s="101" t="str">
        <f>IF(Sheet1!BS218&gt;21.75,"spill elevation","-")</f>
        <v>-</v>
      </c>
      <c r="T218" s="105">
        <f>IF(Sheet1!DQ218=1,Sheet1!AA218-(SUM(AT218:BA218)+BE218),Sheet1!AA218-SUM(AT218:BA218))</f>
        <v>38.153247999999415</v>
      </c>
      <c r="U218" s="105">
        <f>Sheet1!BU218</f>
        <v>39.1</v>
      </c>
      <c r="V218" s="105">
        <f t="shared" si="26"/>
        <v>-0.94675200000058624</v>
      </c>
      <c r="W218" s="105">
        <f t="shared" si="27"/>
        <v>0</v>
      </c>
      <c r="X218" s="101">
        <f>IF((Sheet1!EX218-Sheet1!EX217)&lt;0,(Sheet1!EX218+100000-Sheet1!EX217)/1000,(Sheet1!EX218-Sheet1!EX217)/1000)</f>
        <v>0.68100000000000005</v>
      </c>
      <c r="Y218" s="106">
        <f>Calculation!DZ219+Calculation!EI218+'Calculations II'!O218-'Calculations II'!W218</f>
        <v>76.886180808193515</v>
      </c>
      <c r="Z218" s="106">
        <f>Y218-Sheet1!CP219</f>
        <v>66.026180808193516</v>
      </c>
      <c r="AA218" s="106">
        <f>Y218+Calculation!CZ219+Calculation!AI219</f>
        <v>91.534863563347713</v>
      </c>
      <c r="AC218" s="106">
        <f>Sheet1!AA218+Sheet1!AB218+BC218</f>
        <v>70.911807999995048</v>
      </c>
      <c r="AD218" s="106">
        <f>Sheet1!AA218+Sheet1!BN218+'Calculations II'!BC218-Calculation!AI218-Calculation!CZ218</f>
        <v>41.885174834173476</v>
      </c>
      <c r="AE218" s="106">
        <f>Sheet1!AA218+Sheet1!AB218+'Calculations II'!BC218-Calculation!AI218-Calculation!CZ218</f>
        <v>56.385174834169106</v>
      </c>
      <c r="AF218" s="106">
        <f>Sheet1!AA218+Sheet1!BN218+P218+'Calculations II'!BC218+Calculation!AI218+Calculation!CZ218</f>
        <v>74.035309974010744</v>
      </c>
      <c r="AG218" s="106">
        <f>Sheet1!AA218+Sheet1!BN218+'Calculations II'!BC218+'Calculations II'!P218-Sheet1!CP218-BP218</f>
        <v>48.958676808184791</v>
      </c>
      <c r="AH218" s="106">
        <f>Sheet1!AA218+Sheet1!BN218+'Calculations II'!BC218+'Calculations II'!P218-BP218</f>
        <v>59.508676808184788</v>
      </c>
      <c r="AI218" s="106">
        <f>BC218+Sheet1!AA218+Calculation!EI218+O218+W218+Sheet1!BN218+Calculation!AI218+Calculation!CZ218-BP218</f>
        <v>74.035309974010744</v>
      </c>
      <c r="AJ218" s="106"/>
      <c r="AM218" s="102">
        <f t="shared" si="28"/>
        <v>40747</v>
      </c>
      <c r="AN218" s="106"/>
      <c r="AO218" s="106"/>
      <c r="AR218" s="106"/>
      <c r="AT218" s="101">
        <f>Sheet1!AR218*GPMtoMGD</f>
        <v>0</v>
      </c>
      <c r="AU218" s="101">
        <f>Sheet1!AS218*GPMtoMGD</f>
        <v>5.4864000000000003E-2</v>
      </c>
      <c r="AV218" s="101">
        <f>Sheet1!AT218*GPMtoMGD</f>
        <v>0</v>
      </c>
      <c r="AW218" s="101">
        <f>Sheet1!AV218*GPMtoMGD</f>
        <v>1.005984</v>
      </c>
      <c r="AX218" s="101">
        <f>Sheet1!AW218*GPMtoMGD</f>
        <v>1.1196000000000002</v>
      </c>
      <c r="AY218" s="101">
        <f>Sheet1!AX218*GPMtoMGD</f>
        <v>5.6304000000000007E-2</v>
      </c>
      <c r="AZ218" s="101">
        <f>Sheet1!AY218*GPMtoMGD</f>
        <v>0</v>
      </c>
      <c r="BA218" s="101">
        <f>Sheet1!AZ218*GPMtoMGD</f>
        <v>0</v>
      </c>
      <c r="BB218" s="101">
        <f>Sheet1!BP218*GPMtoMGD</f>
        <v>0</v>
      </c>
      <c r="BC218" s="101">
        <f>Sheet1!CO218*GPMtoMGD</f>
        <v>10.721808000000001</v>
      </c>
      <c r="BD218" s="101">
        <f>Sheet1!BO218*GPMtoMGD</f>
        <v>4.2292800000000002</v>
      </c>
      <c r="BE218" s="101">
        <f>Sheet1!BV218*GPMtoMGD</f>
        <v>1.359216</v>
      </c>
      <c r="BF218" s="101">
        <f>Sheet1!CJ218*GPMtoMGD</f>
        <v>1.6044480000000001</v>
      </c>
      <c r="BG218" s="101">
        <f>Sheet1!CK218*GPMtoMGD</f>
        <v>1.5073920000000001</v>
      </c>
      <c r="BH218" s="101">
        <f>Sheet1!CL218*GPMtoMGD</f>
        <v>1.02888</v>
      </c>
      <c r="BI218" s="101">
        <f t="shared" si="29"/>
        <v>4.2292800000000002</v>
      </c>
      <c r="BK218" s="106">
        <f>SUM(AT218:BA218,BE218,Sheet1!BU218,'Calculations II'!BC218,Calculation!AG218)</f>
        <v>58.691142834169696</v>
      </c>
      <c r="BM218" s="439">
        <f>IF(AND(Sheet1!BQ218&lt;=11.5,Sheet1!BQ217&gt;Sheet1!BQ218),(MIN(Lookup!$C$119,VLOOKUP(Sheet1!BQ217,Lookup!$B$4:$J$236,2))-VLOOKUP(Sheet1!BQ218,Lookup!$B$4:$J$236,2))/1000000,0)</f>
        <v>0</v>
      </c>
      <c r="BN218" s="439">
        <f>IF(AND(Sheet1!BR218&lt;=11.5,Sheet1!BR217&gt;Sheet1!BR218),(MIN(Lookup!$D$119,VLOOKUP(Sheet1!BR217,Lookup!$B$4:$J$236,3))-VLOOKUP(Sheet1!BR218,Lookup!$B$4:$J$236,3))/1000000,0)</f>
        <v>0</v>
      </c>
      <c r="BP218" s="105">
        <f>SUM(BM218:BN218,W218,Sheet1!DT218)</f>
        <v>0</v>
      </c>
    </row>
    <row r="219" spans="1:68" s="101" customFormat="1">
      <c r="A219" s="101" t="s">
        <v>9</v>
      </c>
      <c r="B219" s="103">
        <v>40748</v>
      </c>
      <c r="C219" s="104">
        <v>0.33333333333357601</v>
      </c>
      <c r="E219" s="30"/>
      <c r="F219" s="30">
        <f>-(VLOOKUP(Sheet1!BZ219,Lookup!$I$4:$J$216,2)-VLOOKUP(Sheet1!BZ218,Lookup!$I$4:$J$216,2))/1000000</f>
        <v>1.243643262573598</v>
      </c>
      <c r="G219" s="106">
        <f>-$G$6*(Sheet1!CB219-Sheet1!CB218)*7.48/1000000</f>
        <v>0.18665345494702967</v>
      </c>
      <c r="H219" s="106">
        <f>-$H$6*(Sheet1!CA219-Sheet1!CA218)*7.48/1000000</f>
        <v>4.5118297053795817E-2</v>
      </c>
      <c r="I219" s="106">
        <f>-$I$6*(Sheet1!CC219-Sheet1!CC218)*7.48/1000000</f>
        <v>0.23928706209275974</v>
      </c>
      <c r="J219" s="107" t="s">
        <v>193</v>
      </c>
      <c r="K219" s="106">
        <f>-$I$6*(Sheet1!CD219-Sheet1!CD218)*7.48/1000000</f>
        <v>0.25188111799237872</v>
      </c>
      <c r="L219" s="107" t="s">
        <v>193</v>
      </c>
      <c r="M219" s="106">
        <f>-$M$6*(Sheet1!CE219-Sheet1!CE218)*7.48/1000000</f>
        <v>7.8627180418609596E-2</v>
      </c>
      <c r="N219" s="106">
        <f>-$N$6*(Sheet1!CF219-Sheet1!CF218)*7.48/1000000</f>
        <v>-0.21097797434172119</v>
      </c>
      <c r="O219" s="106">
        <f t="shared" si="25"/>
        <v>1.8342324007364503</v>
      </c>
      <c r="P219" s="106">
        <f>O219+Calculation!EI219</f>
        <v>6.1310324007364496</v>
      </c>
      <c r="Q219" s="101" t="str">
        <f>IF(Sheet1!BQ219&gt;21.75,"spill elevation","-")</f>
        <v>-</v>
      </c>
      <c r="R219" s="101" t="str">
        <f>IF(Sheet1!BR219&gt;21.75,"spill elevation","-")</f>
        <v>-</v>
      </c>
      <c r="S219" s="101" t="str">
        <f>IF(Sheet1!BS219&gt;21.75,"spill elevation","-")</f>
        <v>-</v>
      </c>
      <c r="T219" s="105">
        <f>IF(Sheet1!DQ219=1,Sheet1!AA219-(SUM(AT219:BA219)+BE219),Sheet1!AA219-SUM(AT219:BA219))</f>
        <v>37.868144000006986</v>
      </c>
      <c r="U219" s="105">
        <f>Sheet1!BU219</f>
        <v>40.4</v>
      </c>
      <c r="V219" s="105">
        <f t="shared" si="26"/>
        <v>-2.531855999993013</v>
      </c>
      <c r="W219" s="105">
        <f t="shared" si="27"/>
        <v>0</v>
      </c>
      <c r="X219" s="101">
        <f>IF((Sheet1!EX219-Sheet1!EX218)&lt;0,(Sheet1!EX219+100000-Sheet1!EX218)/1000,(Sheet1!EX219-Sheet1!EX218)/1000)</f>
        <v>0.63700000000000001</v>
      </c>
      <c r="Y219" s="106">
        <f>Calculation!DZ220+Calculation!EI219+'Calculations II'!O219-'Calculations II'!W219</f>
        <v>79.661848400733263</v>
      </c>
      <c r="Z219" s="106">
        <f>Y219-Sheet1!CP220</f>
        <v>68.721848400733265</v>
      </c>
      <c r="AA219" s="106">
        <f>Y219+Calculation!CZ220+Calculation!AI220</f>
        <v>94.095168320250579</v>
      </c>
      <c r="AC219" s="106">
        <f>Sheet1!AA219+Sheet1!AB219+BC219</f>
        <v>73.789312000008152</v>
      </c>
      <c r="AD219" s="106">
        <f>Sheet1!AA219+Sheet1!BN219+'Calculations II'!BC219-Calculation!AI219-Calculation!CZ219</f>
        <v>44.470629244852788</v>
      </c>
      <c r="AE219" s="106">
        <f>Sheet1!AA219+Sheet1!AB219+'Calculations II'!BC219-Calculation!AI219-Calculation!CZ219</f>
        <v>59.140629244853955</v>
      </c>
      <c r="AF219" s="106">
        <f>Sheet1!AA219+Sheet1!BN219+P219+'Calculations II'!BC219+Calculation!AI219+Calculation!CZ219</f>
        <v>79.899027155897627</v>
      </c>
      <c r="AG219" s="106">
        <f>Sheet1!AA219+Sheet1!BN219+'Calculations II'!BC219+'Calculations II'!P219-Sheet1!CP219-BP219</f>
        <v>54.39034440074343</v>
      </c>
      <c r="AH219" s="106">
        <f>Sheet1!AA219+Sheet1!BN219+'Calculations II'!BC219+'Calculations II'!P219-BP219</f>
        <v>65.25034440074343</v>
      </c>
      <c r="AI219" s="106">
        <f>BC219+Sheet1!AA219+Calculation!EI219+O219+W219+Sheet1!BN219+Calculation!AI219+Calculation!CZ219-BP219</f>
        <v>79.899027155897627</v>
      </c>
      <c r="AJ219" s="106"/>
      <c r="AM219" s="102">
        <f t="shared" si="28"/>
        <v>40748</v>
      </c>
      <c r="AN219" s="106"/>
      <c r="AO219" s="106"/>
      <c r="AR219" s="106"/>
      <c r="AT219" s="101">
        <f>Sheet1!AR219*GPMtoMGD</f>
        <v>0</v>
      </c>
      <c r="AU219" s="101">
        <f>Sheet1!AS219*GPMtoMGD</f>
        <v>2.8944000000000004E-2</v>
      </c>
      <c r="AV219" s="101">
        <f>Sheet1!AT219*GPMtoMGD</f>
        <v>0</v>
      </c>
      <c r="AW219" s="101">
        <f>Sheet1!AV219*GPMtoMGD</f>
        <v>1.5835680000000001</v>
      </c>
      <c r="AX219" s="101">
        <f>Sheet1!AW219*GPMtoMGD</f>
        <v>1.2598560000000001</v>
      </c>
      <c r="AY219" s="101">
        <f>Sheet1!AX219*GPMtoMGD</f>
        <v>7.9488000000000003E-2</v>
      </c>
      <c r="AZ219" s="101">
        <f>Sheet1!AY219*GPMtoMGD</f>
        <v>0</v>
      </c>
      <c r="BA219" s="101">
        <f>Sheet1!AZ219*GPMtoMGD</f>
        <v>0</v>
      </c>
      <c r="BB219" s="101">
        <f>Sheet1!BP219*GPMtoMGD</f>
        <v>0</v>
      </c>
      <c r="BC219" s="101">
        <f>Sheet1!CO219*GPMtoMGD</f>
        <v>12.999312</v>
      </c>
      <c r="BD219" s="101">
        <f>Sheet1!BO219*GPMtoMGD</f>
        <v>4.2865920000000006</v>
      </c>
      <c r="BE219" s="101">
        <f>Sheet1!BV219*GPMtoMGD</f>
        <v>1.708272</v>
      </c>
      <c r="BF219" s="101">
        <f>Sheet1!CJ219*GPMtoMGD</f>
        <v>1.8934560000000002</v>
      </c>
      <c r="BG219" s="101">
        <f>Sheet1!CK219*GPMtoMGD</f>
        <v>1.7218080000000002</v>
      </c>
      <c r="BH219" s="101">
        <f>Sheet1!CL219*GPMtoMGD</f>
        <v>1.0609919999999999</v>
      </c>
      <c r="BI219" s="101">
        <f t="shared" si="29"/>
        <v>4.2865920000000006</v>
      </c>
      <c r="BK219" s="106">
        <f>SUM(AT219:BA219,BE219,Sheet1!BU219,'Calculations II'!BC219,Calculation!AG219)</f>
        <v>63.380757244846961</v>
      </c>
      <c r="BM219" s="439">
        <f>IF(AND(Sheet1!BQ219&lt;=11.5,Sheet1!BQ218&gt;Sheet1!BQ219),(MIN(Lookup!$C$119,VLOOKUP(Sheet1!BQ218,Lookup!$B$4:$J$236,2))-VLOOKUP(Sheet1!BQ219,Lookup!$B$4:$J$236,2))/1000000,0)</f>
        <v>0</v>
      </c>
      <c r="BN219" s="439">
        <f>IF(AND(Sheet1!BR219&lt;=11.5,Sheet1!BR218&gt;Sheet1!BR219),(MIN(Lookup!$D$119,VLOOKUP(Sheet1!BR218,Lookup!$B$4:$J$236,3))-VLOOKUP(Sheet1!BR219,Lookup!$B$4:$J$236,3))/1000000,0)</f>
        <v>0</v>
      </c>
      <c r="BP219" s="105">
        <f>SUM(BM219:BN219,W219,Sheet1!DT219)</f>
        <v>0</v>
      </c>
    </row>
    <row r="220" spans="1:68" s="101" customFormat="1">
      <c r="A220" s="101" t="s">
        <v>3</v>
      </c>
      <c r="B220" s="103">
        <v>40749</v>
      </c>
      <c r="C220" s="104">
        <v>0.33333333333357601</v>
      </c>
      <c r="E220" s="30"/>
      <c r="F220" s="30">
        <f>-(VLOOKUP(Sheet1!BZ220,Lookup!$I$4:$J$216,2)-VLOOKUP(Sheet1!BZ219,Lookup!$I$4:$J$216,2))/1000000</f>
        <v>0</v>
      </c>
      <c r="G220" s="106">
        <f>-$G$6*(Sheet1!CB220-Sheet1!CB219)*7.48/1000000</f>
        <v>0</v>
      </c>
      <c r="H220" s="106">
        <f>-$H$6*(Sheet1!CA220-Sheet1!CA219)*7.48/1000000</f>
        <v>0</v>
      </c>
      <c r="I220" s="106">
        <f>-$I$6*(Sheet1!CC220-Sheet1!CC219)*7.48/1000000</f>
        <v>-5.3974525284083185E-3</v>
      </c>
      <c r="J220" s="107" t="s">
        <v>193</v>
      </c>
      <c r="K220" s="106">
        <f>-$I$6*(Sheet1!CD220-Sheet1!CD219)*7.48/1000000</f>
        <v>0</v>
      </c>
      <c r="L220" s="107" t="s">
        <v>193</v>
      </c>
      <c r="M220" s="106">
        <f>-$M$6*(Sheet1!CE220-Sheet1!CE219)*7.48/1000000</f>
        <v>-3.3316601872292687E-3</v>
      </c>
      <c r="N220" s="106">
        <f>-$N$6*(Sheet1!CF220-Sheet1!CF219)*7.48/1000000</f>
        <v>-0.39713501052559219</v>
      </c>
      <c r="O220" s="106">
        <f t="shared" si="25"/>
        <v>-0.40586412324122978</v>
      </c>
      <c r="P220" s="106">
        <f>O220+Calculation!EI220</f>
        <v>-0.40586412324122978</v>
      </c>
      <c r="Q220" s="101" t="str">
        <f>IF(Sheet1!BQ220&gt;21.75,"spill elevation","-")</f>
        <v>-</v>
      </c>
      <c r="R220" s="101" t="str">
        <f>IF(Sheet1!BR220&gt;21.75,"spill elevation","-")</f>
        <v>-</v>
      </c>
      <c r="S220" s="101" t="str">
        <f>IF(Sheet1!BS220&gt;21.75,"spill elevation","-")</f>
        <v>-</v>
      </c>
      <c r="T220" s="105">
        <f>IF(Sheet1!DQ220=1,Sheet1!AA220-(SUM(AT220:BA220)+BE220),Sheet1!AA220-SUM(AT220:BA220))</f>
        <v>39.028319999996505</v>
      </c>
      <c r="U220" s="105">
        <f>Sheet1!BU220</f>
        <v>33</v>
      </c>
      <c r="V220" s="105">
        <f t="shared" si="26"/>
        <v>6.0283199999965049</v>
      </c>
      <c r="W220" s="105">
        <f t="shared" si="27"/>
        <v>0</v>
      </c>
      <c r="X220" s="101">
        <f>IF((Sheet1!EX220-Sheet1!EX219)&lt;0,(Sheet1!EX220+100000-Sheet1!EX219)/1000,(Sheet1!EX220-Sheet1!EX219)/1000)</f>
        <v>0.67900000000000005</v>
      </c>
      <c r="Y220" s="106">
        <f>Calculation!DZ221+Calculation!EI220+'Calculations II'!O220-'Calculations II'!W220</f>
        <v>70.916199876758768</v>
      </c>
      <c r="Z220" s="106">
        <f>Y220-Sheet1!CP221</f>
        <v>60.436199876758764</v>
      </c>
      <c r="AA220" s="106">
        <f>Y220+Calculation!CZ221+Calculation!AI221</f>
        <v>85.610894571453457</v>
      </c>
      <c r="AC220" s="106">
        <f>Sheet1!AA220+Sheet1!AB220+BC220</f>
        <v>73.530815999996804</v>
      </c>
      <c r="AD220" s="106">
        <f>Sheet1!AA220+Sheet1!BN220+'Calculations II'!BC220-Calculation!AI220-Calculation!CZ220</f>
        <v>44.717496080479187</v>
      </c>
      <c r="AE220" s="106">
        <f>Sheet1!AA220+Sheet1!AB220+'Calculations II'!BC220-Calculation!AI220-Calculation!CZ220</f>
        <v>59.097496080479488</v>
      </c>
      <c r="AF220" s="106">
        <f>Sheet1!AA220+Sheet1!BN220+P220+'Calculations II'!BC220+Calculation!AI220+Calculation!CZ220</f>
        <v>73.178271796272583</v>
      </c>
      <c r="AG220" s="106">
        <f>Sheet1!AA220+Sheet1!BN220+'Calculations II'!BC220+'Calculations II'!P220-Sheet1!CP220-BP220</f>
        <v>47.804951876755275</v>
      </c>
      <c r="AH220" s="106">
        <f>Sheet1!AA220+Sheet1!BN220+'Calculations II'!BC220+'Calculations II'!P220-BP220</f>
        <v>58.744951876755273</v>
      </c>
      <c r="AI220" s="106">
        <f>BC220+Sheet1!AA220+Calculation!EI220+O220+W220+Sheet1!BN220+Calculation!AI220+Calculation!CZ220-BP220</f>
        <v>73.178271796272583</v>
      </c>
      <c r="AJ220" s="106"/>
      <c r="AM220" s="102">
        <f t="shared" si="28"/>
        <v>40749</v>
      </c>
      <c r="AN220" s="106"/>
      <c r="AO220" s="106"/>
      <c r="AR220" s="106"/>
      <c r="AT220" s="101">
        <f>Sheet1!AR220*GPMtoMGD</f>
        <v>0</v>
      </c>
      <c r="AU220" s="101">
        <f>Sheet1!AS220*GPMtoMGD</f>
        <v>5.0688000000000004E-2</v>
      </c>
      <c r="AV220" s="101">
        <f>Sheet1!AT220*GPMtoMGD</f>
        <v>0</v>
      </c>
      <c r="AW220" s="101">
        <f>Sheet1!AV220*GPMtoMGD</f>
        <v>0.90532800000000013</v>
      </c>
      <c r="AX220" s="101">
        <f>Sheet1!AW220*GPMtoMGD</f>
        <v>0.54979200000000006</v>
      </c>
      <c r="AY220" s="101">
        <f>Sheet1!AX220*GPMtoMGD</f>
        <v>5.5871999999999998E-2</v>
      </c>
      <c r="AZ220" s="101">
        <f>Sheet1!AY220*GPMtoMGD</f>
        <v>0</v>
      </c>
      <c r="BA220" s="101">
        <f>Sheet1!AZ220*GPMtoMGD</f>
        <v>0</v>
      </c>
      <c r="BB220" s="101">
        <f>Sheet1!BP220*GPMtoMGD</f>
        <v>4.1472000000000002E-2</v>
      </c>
      <c r="BC220" s="101">
        <f>Sheet1!CO220*GPMtoMGD</f>
        <v>13.260816</v>
      </c>
      <c r="BD220" s="101">
        <f>Sheet1!BO220*GPMtoMGD</f>
        <v>3.1494240000000002</v>
      </c>
      <c r="BE220" s="101">
        <f>Sheet1!BV220*GPMtoMGD</f>
        <v>1.3420800000000002</v>
      </c>
      <c r="BF220" s="101">
        <f>Sheet1!CJ220*GPMtoMGD</f>
        <v>1.1741760000000001</v>
      </c>
      <c r="BG220" s="101">
        <f>Sheet1!CK220*GPMtoMGD</f>
        <v>1.2055680000000002</v>
      </c>
      <c r="BH220" s="101">
        <f>Sheet1!CL220*GPMtoMGD</f>
        <v>1.0094400000000001</v>
      </c>
      <c r="BI220" s="101">
        <f t="shared" si="29"/>
        <v>3.1908960000000004</v>
      </c>
      <c r="BK220" s="106">
        <f>SUM(AT220:BA220,BE220,Sheet1!BU220,'Calculations II'!BC220,Calculation!AG220)</f>
        <v>54.411256080482971</v>
      </c>
      <c r="BM220" s="439">
        <f>IF(AND(Sheet1!BQ220&lt;=11.5,Sheet1!BQ219&gt;Sheet1!BQ220),(MIN(Lookup!$C$119,VLOOKUP(Sheet1!BQ219,Lookup!$B$4:$J$236,2))-VLOOKUP(Sheet1!BQ220,Lookup!$B$4:$J$236,2))/1000000,0)</f>
        <v>0</v>
      </c>
      <c r="BN220" s="439">
        <f>IF(AND(Sheet1!BR220&lt;=11.5,Sheet1!BR219&gt;Sheet1!BR220),(MIN(Lookup!$D$119,VLOOKUP(Sheet1!BR219,Lookup!$B$4:$J$236,3))-VLOOKUP(Sheet1!BR220,Lookup!$B$4:$J$236,3))/1000000,0)</f>
        <v>0</v>
      </c>
      <c r="BP220" s="105">
        <f>SUM(BM220:BN220,W220,Sheet1!DT220)</f>
        <v>0</v>
      </c>
    </row>
    <row r="221" spans="1:68" s="101" customFormat="1">
      <c r="A221" s="101" t="s">
        <v>4</v>
      </c>
      <c r="B221" s="103">
        <v>40750</v>
      </c>
      <c r="C221" s="104">
        <v>0.33333333333357601</v>
      </c>
      <c r="E221" s="30"/>
      <c r="F221" s="30">
        <f>-(VLOOKUP(Sheet1!BZ221,Lookup!$I$4:$J$216,2)-VLOOKUP(Sheet1!BZ220,Lookup!$I$4:$J$216,2))/1000000</f>
        <v>-0.31091081564339806</v>
      </c>
      <c r="G221" s="106">
        <f>-$G$6*(Sheet1!CB221-Sheet1!CB220)*7.48/1000000</f>
        <v>-7.1484301894606611E-2</v>
      </c>
      <c r="H221" s="106">
        <f>-$H$6*(Sheet1!CA221-Sheet1!CA220)*7.48/1000000</f>
        <v>-7.5197161756325293E-2</v>
      </c>
      <c r="I221" s="106">
        <f>-$I$6*(Sheet1!CC221-Sheet1!CC220)*7.48/1000000</f>
        <v>-1.2594055899618985E-2</v>
      </c>
      <c r="J221" s="107" t="s">
        <v>193</v>
      </c>
      <c r="K221" s="106">
        <f>-$I$6*(Sheet1!CD221-Sheet1!CD220)*7.48/1000000</f>
        <v>-1.7991508428026985E-2</v>
      </c>
      <c r="L221" s="107" t="s">
        <v>193</v>
      </c>
      <c r="M221" s="106">
        <f>-$M$6*(Sheet1!CE221-Sheet1!CE220)*7.48/1000000</f>
        <v>1.9989961123375376E-2</v>
      </c>
      <c r="N221" s="106">
        <f>-$N$6*(Sheet1!CF221-Sheet1!CF220)*7.48/1000000</f>
        <v>0.4343664177623669</v>
      </c>
      <c r="O221" s="106">
        <f t="shared" ref="O221:O284" si="30">SUM(F221:I221)+K221+SUM(M221:N221)</f>
        <v>-3.3821464736233708E-2</v>
      </c>
      <c r="P221" s="106">
        <f>O221+Calculation!EI221</f>
        <v>-4.871121464736234</v>
      </c>
      <c r="Q221" s="101" t="str">
        <f>IF(Sheet1!BQ221&gt;21.75,"spill elevation","-")</f>
        <v>-</v>
      </c>
      <c r="R221" s="101" t="str">
        <f>IF(Sheet1!BR221&gt;21.75,"spill elevation","-")</f>
        <v>-</v>
      </c>
      <c r="S221" s="101" t="str">
        <f>IF(Sheet1!BS221&gt;21.75,"spill elevation","-")</f>
        <v>-</v>
      </c>
      <c r="T221" s="105">
        <f>IF(Sheet1!DQ221=1,Sheet1!AA221-(SUM(AT221:BA221)+BE221),Sheet1!AA221-SUM(AT221:BA221))</f>
        <v>38.656832000000001</v>
      </c>
      <c r="U221" s="105">
        <f>Sheet1!BU221</f>
        <v>35.700000000000003</v>
      </c>
      <c r="V221" s="105">
        <f t="shared" ref="V221:V284" si="31">T221-U221</f>
        <v>2.9568319999999986</v>
      </c>
      <c r="W221" s="105">
        <f t="shared" ref="W221:W284" si="32">IF(AND(OR(Q221="spill elevation",R221="spill elevation",S221="spill elevation",Q222="spill elevation",R222="spill elevation",S222="spill elevation"),V221&gt;0),V221,0)</f>
        <v>0</v>
      </c>
      <c r="X221" s="101">
        <f>IF((Sheet1!EX221-Sheet1!EX220)&lt;0,(Sheet1!EX221+100000-Sheet1!EX220)/1000,(Sheet1!EX221-Sheet1!EX220)/1000)</f>
        <v>0.628</v>
      </c>
      <c r="Y221" s="106">
        <f>Calculation!DZ222+Calculation!EI221+'Calculations II'!O221-'Calculations II'!W221</f>
        <v>64.489358535263477</v>
      </c>
      <c r="Z221" s="106">
        <f>Y221-Sheet1!CP222</f>
        <v>53.389358535263476</v>
      </c>
      <c r="AA221" s="106">
        <f>Y221+Calculation!CZ222+Calculation!AI222</f>
        <v>79.282239975981909</v>
      </c>
      <c r="AC221" s="106">
        <f>Sheet1!AA221+Sheet1!AB221+BC221</f>
        <v>71.322063999999997</v>
      </c>
      <c r="AD221" s="106">
        <f>Sheet1!AA221+Sheet1!BN221+'Calculations II'!BC221-Calculation!AI221-Calculation!CZ221</f>
        <v>41.927369305305298</v>
      </c>
      <c r="AE221" s="106">
        <f>Sheet1!AA221+Sheet1!AB221+'Calculations II'!BC221-Calculation!AI221-Calculation!CZ221</f>
        <v>56.627369305305301</v>
      </c>
      <c r="AF221" s="106">
        <f>Sheet1!AA221+Sheet1!BN221+P221+'Calculations II'!BC221+Calculation!AI221+Calculation!CZ221</f>
        <v>66.44563722995845</v>
      </c>
      <c r="AG221" s="106">
        <f>Sheet1!AA221+Sheet1!BN221+'Calculations II'!BC221+'Calculations II'!P221-Sheet1!CP221-BP221</f>
        <v>41.270942535263757</v>
      </c>
      <c r="AH221" s="106">
        <f>Sheet1!AA221+Sheet1!BN221+'Calculations II'!BC221+'Calculations II'!P221-BP221</f>
        <v>51.750942535263761</v>
      </c>
      <c r="AI221" s="106">
        <f>BC221+Sheet1!AA221+Calculation!EI221+O221+W221+Sheet1!BN221+Calculation!AI221+Calculation!CZ221-BP221</f>
        <v>66.44563722995845</v>
      </c>
      <c r="AJ221" s="106"/>
      <c r="AM221" s="102">
        <f t="shared" ref="AM221:AM284" si="33">B221</f>
        <v>40750</v>
      </c>
      <c r="AN221" s="106"/>
      <c r="AO221" s="106"/>
      <c r="AR221" s="106"/>
      <c r="AT221" s="101">
        <f>Sheet1!AR221*GPMtoMGD</f>
        <v>0</v>
      </c>
      <c r="AU221" s="101">
        <f>Sheet1!AS221*GPMtoMGD</f>
        <v>2.6208000000000002E-2</v>
      </c>
      <c r="AV221" s="101">
        <f>Sheet1!AT221*GPMtoMGD</f>
        <v>0</v>
      </c>
      <c r="AW221" s="101">
        <f>Sheet1!AV221*GPMtoMGD</f>
        <v>1.1086560000000001</v>
      </c>
      <c r="AX221" s="101">
        <f>Sheet1!AW221*GPMtoMGD</f>
        <v>1.1615040000000001</v>
      </c>
      <c r="AY221" s="101">
        <f>Sheet1!AX221*GPMtoMGD</f>
        <v>4.6800000000000001E-2</v>
      </c>
      <c r="AZ221" s="101">
        <f>Sheet1!AY221*GPMtoMGD</f>
        <v>0</v>
      </c>
      <c r="BA221" s="101">
        <f>Sheet1!AZ221*GPMtoMGD</f>
        <v>0</v>
      </c>
      <c r="BB221" s="101">
        <f>Sheet1!BP221*GPMtoMGD</f>
        <v>0</v>
      </c>
      <c r="BC221" s="101">
        <f>Sheet1!CO221*GPMtoMGD</f>
        <v>10.322064000000001</v>
      </c>
      <c r="BD221" s="101">
        <f>Sheet1!BO221*GPMtoMGD</f>
        <v>3.0702240000000001</v>
      </c>
      <c r="BE221" s="101">
        <f>Sheet1!BV221*GPMtoMGD</f>
        <v>1.1154240000000002</v>
      </c>
      <c r="BF221" s="101">
        <f>Sheet1!CJ221*GPMtoMGD</f>
        <v>1.2797280000000002</v>
      </c>
      <c r="BG221" s="101">
        <f>Sheet1!CK221*GPMtoMGD</f>
        <v>1.054656</v>
      </c>
      <c r="BH221" s="101">
        <f>Sheet1!CL221*GPMtoMGD</f>
        <v>0.99115200000000003</v>
      </c>
      <c r="BI221" s="101">
        <f t="shared" ref="BI221:BI284" si="34">BD221+BB221</f>
        <v>3.0702240000000001</v>
      </c>
      <c r="BK221" s="106">
        <f>SUM(AT221:BA221,BE221,Sheet1!BU221,'Calculations II'!BC221,Calculation!AG221)</f>
        <v>54.785961305305314</v>
      </c>
      <c r="BM221" s="439">
        <f>IF(AND(Sheet1!BQ221&lt;=11.5,Sheet1!BQ220&gt;Sheet1!BQ221),(MIN(Lookup!$C$119,VLOOKUP(Sheet1!BQ220,Lookup!$B$4:$J$236,2))-VLOOKUP(Sheet1!BQ221,Lookup!$B$4:$J$236,2))/1000000,0)</f>
        <v>0</v>
      </c>
      <c r="BN221" s="439">
        <f>IF(AND(Sheet1!BR221&lt;=11.5,Sheet1!BR220&gt;Sheet1!BR221),(MIN(Lookup!$D$119,VLOOKUP(Sheet1!BR220,Lookup!$B$4:$J$236,3))-VLOOKUP(Sheet1!BR221,Lookup!$B$4:$J$236,3))/1000000,0)</f>
        <v>0</v>
      </c>
      <c r="BP221" s="105">
        <f>SUM(BM221:BN221,W221,Sheet1!DT221)</f>
        <v>0</v>
      </c>
    </row>
    <row r="222" spans="1:68" s="101" customFormat="1">
      <c r="A222" s="101" t="s">
        <v>5</v>
      </c>
      <c r="B222" s="103">
        <v>40751</v>
      </c>
      <c r="C222" s="104">
        <v>0.33333333333357601</v>
      </c>
      <c r="E222" s="30"/>
      <c r="F222" s="30">
        <f>-(VLOOKUP(Sheet1!BZ222,Lookup!$I$4:$J$216,2)-VLOOKUP(Sheet1!BZ221,Lookup!$I$4:$J$216,2))/1000000</f>
        <v>-1.9691018324082028</v>
      </c>
      <c r="G222" s="106">
        <f>-$G$6*(Sheet1!CB222-Sheet1!CB221)*7.48/1000000</f>
        <v>-0.36536420968354621</v>
      </c>
      <c r="H222" s="106">
        <f>-$H$6*(Sheet1!CA222-Sheet1!CA221)*7.48/1000000</f>
        <v>9.0236594107589496E-2</v>
      </c>
      <c r="I222" s="106">
        <f>-$I$6*(Sheet1!CC222-Sheet1!CC221)*7.48/1000000</f>
        <v>-3.598301685605397E-2</v>
      </c>
      <c r="J222" s="107" t="s">
        <v>193</v>
      </c>
      <c r="K222" s="106">
        <f>-$I$6*(Sheet1!CD222-Sheet1!CD221)*7.48/1000000</f>
        <v>-5.3974525284081275E-2</v>
      </c>
      <c r="L222" s="107" t="s">
        <v>193</v>
      </c>
      <c r="M222" s="106">
        <f>-$M$6*(Sheet1!CE222-Sheet1!CE221)*7.48/1000000</f>
        <v>-1.9989961123375376E-2</v>
      </c>
      <c r="N222" s="106">
        <f>-$N$6*(Sheet1!CF222-Sheet1!CF221)*7.48/1000000</f>
        <v>0</v>
      </c>
      <c r="O222" s="106">
        <f t="shared" si="30"/>
        <v>-2.3541769512476702</v>
      </c>
      <c r="P222" s="106">
        <f>O222+Calculation!EI222</f>
        <v>-3.4351769512476702</v>
      </c>
      <c r="Q222" s="101" t="str">
        <f>IF(Sheet1!BQ222&gt;21.75,"spill elevation","-")</f>
        <v>-</v>
      </c>
      <c r="R222" s="101" t="str">
        <f>IF(Sheet1!BR222&gt;21.75,"spill elevation","-")</f>
        <v>-</v>
      </c>
      <c r="S222" s="101" t="str">
        <f>IF(Sheet1!BS222&gt;21.75,"spill elevation","-")</f>
        <v>-</v>
      </c>
      <c r="T222" s="105">
        <f>IF(Sheet1!DQ222=1,Sheet1!AA222-(SUM(AT222:BA222)+BE222),Sheet1!AA222-SUM(AT222:BA222))</f>
        <v>38.096256000002327</v>
      </c>
      <c r="U222" s="105">
        <f>Sheet1!BU222</f>
        <v>41.3</v>
      </c>
      <c r="V222" s="105">
        <f t="shared" si="31"/>
        <v>-3.2037439999976698</v>
      </c>
      <c r="W222" s="105">
        <f t="shared" si="32"/>
        <v>0</v>
      </c>
      <c r="X222" s="101">
        <f>IF((Sheet1!EX222-Sheet1!EX221)&lt;0,(Sheet1!EX222+100000-Sheet1!EX221)/1000,(Sheet1!EX222-Sheet1!EX221)/1000)</f>
        <v>1.262</v>
      </c>
      <c r="Y222" s="106">
        <f>Calculation!DZ223+Calculation!EI222+'Calculations II'!O222-'Calculations II'!W222</f>
        <v>73.651623048747382</v>
      </c>
      <c r="Z222" s="106">
        <f>Y222-Sheet1!CP223</f>
        <v>62.311623048747379</v>
      </c>
      <c r="AA222" s="106">
        <f>Y222+Calculation!CZ223+Calculation!AI223</f>
        <v>88.57591188901165</v>
      </c>
      <c r="AC222" s="106">
        <f>Sheet1!AA222+Sheet1!AB222+BC222</f>
        <v>69.360479999999711</v>
      </c>
      <c r="AD222" s="106">
        <f>Sheet1!AA222+Sheet1!BN222+'Calculations II'!BC222-Calculation!AI222-Calculation!CZ222</f>
        <v>39.737598559283896</v>
      </c>
      <c r="AE222" s="106">
        <f>Sheet1!AA222+Sheet1!AB222+'Calculations II'!BC222-Calculation!AI222-Calculation!CZ222</f>
        <v>54.567598559281279</v>
      </c>
      <c r="AF222" s="106">
        <f>Sheet1!AA222+Sheet1!BN222+P222+'Calculations II'!BC222+Calculation!AI222+Calculation!CZ222</f>
        <v>65.88818448947309</v>
      </c>
      <c r="AG222" s="106">
        <f>Sheet1!AA222+Sheet1!BN222+'Calculations II'!BC222+'Calculations II'!P222-Sheet1!CP222-BP222</f>
        <v>39.995303048754657</v>
      </c>
      <c r="AH222" s="106">
        <f>Sheet1!AA222+Sheet1!BN222+'Calculations II'!BC222+'Calculations II'!P222-BP222</f>
        <v>51.095303048754658</v>
      </c>
      <c r="AI222" s="106">
        <f>BC222+Sheet1!AA222+Calculation!EI222+O222+W222+Sheet1!BN222+Calculation!AI222+Calculation!CZ222-BP222</f>
        <v>65.88818448947309</v>
      </c>
      <c r="AJ222" s="106"/>
      <c r="AM222" s="102">
        <f t="shared" si="33"/>
        <v>40751</v>
      </c>
      <c r="AN222" s="106"/>
      <c r="AO222" s="106"/>
      <c r="AR222" s="106"/>
      <c r="AT222" s="101">
        <f>Sheet1!AR222*GPMtoMGD</f>
        <v>0</v>
      </c>
      <c r="AU222" s="101">
        <f>Sheet1!AS222*GPMtoMGD</f>
        <v>5.3280000000000001E-2</v>
      </c>
      <c r="AV222" s="101">
        <f>Sheet1!AT222*GPMtoMGD</f>
        <v>0</v>
      </c>
      <c r="AW222" s="101">
        <f>Sheet1!AV222*GPMtoMGD</f>
        <v>1.001952</v>
      </c>
      <c r="AX222" s="101">
        <f>Sheet1!AW222*GPMtoMGD</f>
        <v>1.2363840000000001</v>
      </c>
      <c r="AY222" s="101">
        <f>Sheet1!AX222*GPMtoMGD</f>
        <v>5.2128000000000008E-2</v>
      </c>
      <c r="AZ222" s="101">
        <f>Sheet1!AY222*GPMtoMGD</f>
        <v>0</v>
      </c>
      <c r="BA222" s="101">
        <f>Sheet1!AZ222*GPMtoMGD</f>
        <v>0</v>
      </c>
      <c r="BB222" s="101">
        <f>Sheet1!BP222*GPMtoMGD</f>
        <v>0</v>
      </c>
      <c r="BC222" s="101">
        <f>Sheet1!CO222*GPMtoMGD</f>
        <v>8.7904800000000005</v>
      </c>
      <c r="BD222" s="101">
        <f>Sheet1!BO222*GPMtoMGD</f>
        <v>3.9646080000000001</v>
      </c>
      <c r="BE222" s="101">
        <f>Sheet1!BV222*GPMtoMGD</f>
        <v>1.4528160000000001</v>
      </c>
      <c r="BF222" s="101">
        <f>Sheet1!CJ222*GPMtoMGD</f>
        <v>1.3668480000000001</v>
      </c>
      <c r="BG222" s="101">
        <f>Sheet1!CK222*GPMtoMGD</f>
        <v>1.2696480000000001</v>
      </c>
      <c r="BH222" s="101">
        <f>Sheet1!CL222*GPMtoMGD</f>
        <v>1.0332000000000001</v>
      </c>
      <c r="BI222" s="101">
        <f t="shared" si="34"/>
        <v>3.9646080000000001</v>
      </c>
      <c r="BK222" s="106">
        <f>SUM(AT222:BA222,BE222,Sheet1!BU222,'Calculations II'!BC222,Calculation!AG222)</f>
        <v>59.224158559278941</v>
      </c>
      <c r="BM222" s="439">
        <f>IF(AND(Sheet1!BQ222&lt;=11.5,Sheet1!BQ221&gt;Sheet1!BQ222),(MIN(Lookup!$C$119,VLOOKUP(Sheet1!BQ221,Lookup!$B$4:$J$236,2))-VLOOKUP(Sheet1!BQ222,Lookup!$B$4:$J$236,2))/1000000,0)</f>
        <v>0</v>
      </c>
      <c r="BN222" s="439">
        <f>IF(AND(Sheet1!BR222&lt;=11.5,Sheet1!BR221&gt;Sheet1!BR222),(MIN(Lookup!$D$119,VLOOKUP(Sheet1!BR221,Lookup!$B$4:$J$236,3))-VLOOKUP(Sheet1!BR222,Lookup!$B$4:$J$236,3))/1000000,0)</f>
        <v>0</v>
      </c>
      <c r="BP222" s="105">
        <f>SUM(BM222:BN222,W222,Sheet1!DT222)</f>
        <v>0</v>
      </c>
    </row>
    <row r="223" spans="1:68" s="101" customFormat="1">
      <c r="A223" s="101" t="s">
        <v>6</v>
      </c>
      <c r="B223" s="103">
        <v>40752</v>
      </c>
      <c r="C223" s="104">
        <v>0.33333333333357601</v>
      </c>
      <c r="E223" s="30"/>
      <c r="F223" s="30">
        <f>-(VLOOKUP(Sheet1!BZ223,Lookup!$I$4:$J$216,2)-VLOOKUP(Sheet1!BZ222,Lookup!$I$4:$J$216,2))/1000000</f>
        <v>-0.93273244693019619</v>
      </c>
      <c r="G223" s="106">
        <f>-$G$6*(Sheet1!CB223-Sheet1!CB222)*7.48/1000000</f>
        <v>0.15885400421023804</v>
      </c>
      <c r="H223" s="106">
        <f>-$H$6*(Sheet1!CA223-Sheet1!CA222)*7.48/1000000</f>
        <v>0.18047318821518116</v>
      </c>
      <c r="I223" s="106">
        <f>-$I$6*(Sheet1!CC223-Sheet1!CC222)*7.48/1000000</f>
        <v>-0.19790659270829747</v>
      </c>
      <c r="J223" s="107" t="s">
        <v>193</v>
      </c>
      <c r="K223" s="106">
        <f>-$I$6*(Sheet1!CD223-Sheet1!CD222)*7.48/1000000</f>
        <v>-0.17991508428027048</v>
      </c>
      <c r="L223" s="107" t="s">
        <v>193</v>
      </c>
      <c r="M223" s="106">
        <f>-$M$6*(Sheet1!CE223-Sheet1!CE222)*7.48/1000000</f>
        <v>-7.995984449350127E-2</v>
      </c>
      <c r="N223" s="106">
        <f>-$N$6*(Sheet1!CF223-Sheet1!CF222)*7.48/1000000</f>
        <v>0</v>
      </c>
      <c r="O223" s="106">
        <f t="shared" si="30"/>
        <v>-1.0511867759868463</v>
      </c>
      <c r="P223" s="106">
        <f>O223+Calculation!EI223</f>
        <v>3.7997132240131539</v>
      </c>
      <c r="Q223" s="101" t="str">
        <f>IF(Sheet1!BQ223&gt;21.75,"spill elevation","-")</f>
        <v>-</v>
      </c>
      <c r="R223" s="101" t="str">
        <f>IF(Sheet1!BR223&gt;21.75,"spill elevation","-")</f>
        <v>-</v>
      </c>
      <c r="S223" s="101" t="str">
        <f>IF(Sheet1!BS223&gt;21.75,"spill elevation","-")</f>
        <v>-</v>
      </c>
      <c r="T223" s="105">
        <f>IF(Sheet1!DQ223=1,Sheet1!AA223-(SUM(AT223:BA223)+BE223),Sheet1!AA223-SUM(AT223:BA223))</f>
        <v>38.784159999992433</v>
      </c>
      <c r="U223" s="105">
        <f>Sheet1!BU223</f>
        <v>34.9</v>
      </c>
      <c r="V223" s="105">
        <f t="shared" si="31"/>
        <v>3.8841599999924341</v>
      </c>
      <c r="W223" s="105">
        <f t="shared" si="32"/>
        <v>0</v>
      </c>
      <c r="X223" s="101">
        <f>IF((Sheet1!EX223-Sheet1!EX222)&lt;0,(Sheet1!EX223+100000-Sheet1!EX222)/1000,(Sheet1!EX223-Sheet1!EX222)/1000)</f>
        <v>6.2E-2</v>
      </c>
      <c r="Y223" s="106">
        <f>Calculation!DZ224+Calculation!EI223+'Calculations II'!O223-'Calculations II'!W223</f>
        <v>81.688321224018381</v>
      </c>
      <c r="Z223" s="106">
        <f>Y223-Sheet1!CP224</f>
        <v>69.148321224018389</v>
      </c>
      <c r="AA223" s="106">
        <f>Y223+Calculation!CZ224+Calculation!AI224</f>
        <v>96.826479118755231</v>
      </c>
      <c r="AC223" s="106">
        <f>Sheet1!AA223+Sheet1!AB223+BC223</f>
        <v>77.086799999995051</v>
      </c>
      <c r="AD223" s="106">
        <f>Sheet1!AA223+Sheet1!BN223+'Calculations II'!BC223-Calculation!AI223-Calculation!CZ223</f>
        <v>47.142511159728159</v>
      </c>
      <c r="AE223" s="106">
        <f>Sheet1!AA223+Sheet1!AB223+'Calculations II'!BC223-Calculation!AI223-Calculation!CZ223</f>
        <v>62.162511159730776</v>
      </c>
      <c r="AF223" s="106">
        <f>Sheet1!AA223+Sheet1!BN223+P223+'Calculations II'!BC223+Calculation!AI223+Calculation!CZ223</f>
        <v>80.790802064269855</v>
      </c>
      <c r="AG223" s="106">
        <f>Sheet1!AA223+Sheet1!BN223+'Calculations II'!BC223+'Calculations II'!P223-Sheet1!CP223-BP223</f>
        <v>54.526513224005583</v>
      </c>
      <c r="AH223" s="106">
        <f>Sheet1!AA223+Sheet1!BN223+'Calculations II'!BC223+'Calculations II'!P223-BP223</f>
        <v>65.866513224005587</v>
      </c>
      <c r="AI223" s="106">
        <f>BC223+Sheet1!AA223+Calculation!EI223+O223+W223+Sheet1!BN223+Calculation!AI223+Calculation!CZ223-BP223</f>
        <v>80.790802064269855</v>
      </c>
      <c r="AJ223" s="106"/>
      <c r="AM223" s="102">
        <f t="shared" si="33"/>
        <v>40752</v>
      </c>
      <c r="AN223" s="106"/>
      <c r="AO223" s="106"/>
      <c r="AR223" s="106"/>
      <c r="AT223" s="101">
        <f>Sheet1!AR223*GPMtoMGD</f>
        <v>0</v>
      </c>
      <c r="AU223" s="101">
        <f>Sheet1!AS223*GPMtoMGD</f>
        <v>5.5296000000000005E-2</v>
      </c>
      <c r="AV223" s="101">
        <f>Sheet1!AT223*GPMtoMGD</f>
        <v>0</v>
      </c>
      <c r="AW223" s="101">
        <f>Sheet1!AV223*GPMtoMGD</f>
        <v>1.171152</v>
      </c>
      <c r="AX223" s="101">
        <f>Sheet1!AW223*GPMtoMGD</f>
        <v>1.234656</v>
      </c>
      <c r="AY223" s="101">
        <f>Sheet1!AX223*GPMtoMGD</f>
        <v>7.4735999999999997E-2</v>
      </c>
      <c r="AZ223" s="101">
        <f>Sheet1!AY223*GPMtoMGD</f>
        <v>0</v>
      </c>
      <c r="BA223" s="101">
        <f>Sheet1!AZ223*GPMtoMGD</f>
        <v>0</v>
      </c>
      <c r="BB223" s="101">
        <f>Sheet1!BP223*GPMtoMGD</f>
        <v>0</v>
      </c>
      <c r="BC223" s="101">
        <f>Sheet1!CO223*GPMtoMGD</f>
        <v>12.646800000000001</v>
      </c>
      <c r="BD223" s="101">
        <f>Sheet1!BO223*GPMtoMGD</f>
        <v>3.7638720000000006</v>
      </c>
      <c r="BE223" s="101">
        <f>Sheet1!BV223*GPMtoMGD</f>
        <v>1.379232</v>
      </c>
      <c r="BF223" s="101">
        <f>Sheet1!CJ223*GPMtoMGD</f>
        <v>1.397664</v>
      </c>
      <c r="BG223" s="101">
        <f>Sheet1!CK223*GPMtoMGD</f>
        <v>1.4217120000000001</v>
      </c>
      <c r="BH223" s="101">
        <f>Sheet1!CL223*GPMtoMGD</f>
        <v>1.0316160000000001</v>
      </c>
      <c r="BI223" s="101">
        <f t="shared" si="34"/>
        <v>3.7638720000000006</v>
      </c>
      <c r="BK223" s="106">
        <f>SUM(AT223:BA223,BE223,Sheet1!BU223,'Calculations II'!BC223,Calculation!AG223)</f>
        <v>59.657583159738344</v>
      </c>
      <c r="BM223" s="439">
        <f>IF(AND(Sheet1!BQ223&lt;=11.5,Sheet1!BQ222&gt;Sheet1!BQ223),(MIN(Lookup!$C$119,VLOOKUP(Sheet1!BQ222,Lookup!$B$4:$J$236,2))-VLOOKUP(Sheet1!BQ223,Lookup!$B$4:$J$236,2))/1000000,0)</f>
        <v>0</v>
      </c>
      <c r="BN223" s="439">
        <f>IF(AND(Sheet1!BR223&lt;=11.5,Sheet1!BR222&gt;Sheet1!BR223),(MIN(Lookup!$D$119,VLOOKUP(Sheet1!BR222,Lookup!$B$4:$J$236,3))-VLOOKUP(Sheet1!BR223,Lookup!$B$4:$J$236,3))/1000000,0)</f>
        <v>0</v>
      </c>
      <c r="BP223" s="105">
        <f>SUM(BM223:BN223,W223,Sheet1!DT223)</f>
        <v>0</v>
      </c>
    </row>
    <row r="224" spans="1:68" s="101" customFormat="1">
      <c r="A224" s="101" t="s">
        <v>7</v>
      </c>
      <c r="B224" s="103">
        <v>40753</v>
      </c>
      <c r="C224" s="104">
        <v>0.33333333333357601</v>
      </c>
      <c r="E224" s="30"/>
      <c r="F224" s="30">
        <f>-(VLOOKUP(Sheet1!BZ224,Lookup!$I$4:$J$216,2)-VLOOKUP(Sheet1!BZ223,Lookup!$I$4:$J$216,2))/1000000</f>
        <v>2.7981973407905998</v>
      </c>
      <c r="G224" s="106">
        <f>-$G$6*(Sheet1!CB224-Sheet1!CB223)*7.48/1000000</f>
        <v>-0.15885400421023804</v>
      </c>
      <c r="H224" s="106">
        <f>-$H$6*(Sheet1!CA224-Sheet1!CA223)*7.48/1000000</f>
        <v>-0.40606467348415709</v>
      </c>
      <c r="I224" s="106">
        <f>-$I$6*(Sheet1!CC224-Sheet1!CC223)*7.48/1000000</f>
        <v>0.16192357585224348</v>
      </c>
      <c r="J224" s="107" t="s">
        <v>193</v>
      </c>
      <c r="K224" s="106">
        <f>-$I$6*(Sheet1!CD224-Sheet1!CD223)*7.48/1000000</f>
        <v>0.16192357585224348</v>
      </c>
      <c r="L224" s="107" t="s">
        <v>193</v>
      </c>
      <c r="M224" s="106">
        <f>-$M$6*(Sheet1!CE224-Sheet1!CE223)*7.48/1000000</f>
        <v>4.6643242621209044E-2</v>
      </c>
      <c r="N224" s="106">
        <f>-$N$6*(Sheet1!CF224-Sheet1!CF223)*7.48/1000000</f>
        <v>0.75083337927494975</v>
      </c>
      <c r="O224" s="106">
        <f t="shared" si="30"/>
        <v>3.3546024366968501</v>
      </c>
      <c r="P224" s="106">
        <f>O224+Calculation!EI224</f>
        <v>1.2062024366968505</v>
      </c>
      <c r="Q224" s="101" t="str">
        <f>IF(Sheet1!BQ224&gt;21.75,"spill elevation","-")</f>
        <v>-</v>
      </c>
      <c r="R224" s="101" t="str">
        <f>IF(Sheet1!BR224&gt;21.75,"spill elevation","-")</f>
        <v>-</v>
      </c>
      <c r="S224" s="101" t="str">
        <f>IF(Sheet1!BS224&gt;21.75,"spill elevation","-")</f>
        <v>-</v>
      </c>
      <c r="T224" s="105">
        <f>IF(Sheet1!DQ224=1,Sheet1!AA224-(SUM(AT224:BA224)+BE224),Sheet1!AA224-SUM(AT224:BA224))</f>
        <v>37.583488000005239</v>
      </c>
      <c r="U224" s="105">
        <f>Sheet1!BU224</f>
        <v>38.700000000000003</v>
      </c>
      <c r="V224" s="105">
        <f t="shared" si="31"/>
        <v>-1.1165119999947635</v>
      </c>
      <c r="W224" s="105">
        <f t="shared" si="32"/>
        <v>0</v>
      </c>
      <c r="X224" s="101">
        <f>IF((Sheet1!EX224-Sheet1!EX223)&lt;0,(Sheet1!EX224+100000-Sheet1!EX223)/1000,(Sheet1!EX224-Sheet1!EX223)/1000)</f>
        <v>0.63600000000000001</v>
      </c>
      <c r="Y224" s="106">
        <f>Calculation!DZ225+Calculation!EI224+'Calculations II'!O224-'Calculations II'!W224</f>
        <v>79.302586436696856</v>
      </c>
      <c r="Z224" s="106">
        <f>Y224-Sheet1!CP225</f>
        <v>68.312586436696861</v>
      </c>
      <c r="AA224" s="106">
        <f>Y224+Calculation!CZ225+Calculation!AI225</f>
        <v>94.937306147365931</v>
      </c>
      <c r="AC224" s="106">
        <f>Sheet1!AA224+Sheet1!AB224+BC224</f>
        <v>77.888608000005235</v>
      </c>
      <c r="AD224" s="106">
        <f>Sheet1!AA224+Sheet1!BN224+'Calculations II'!BC224-Calculation!AI224-Calculation!CZ224</f>
        <v>47.700450105268402</v>
      </c>
      <c r="AE224" s="106">
        <f>Sheet1!AA224+Sheet1!AB224+'Calculations II'!BC224-Calculation!AI224-Calculation!CZ224</f>
        <v>62.750450105268392</v>
      </c>
      <c r="AF224" s="106">
        <f>Sheet1!AA224+Sheet1!BN224+P224+'Calculations II'!BC224+Calculation!AI224+Calculation!CZ224</f>
        <v>79.182968331438929</v>
      </c>
      <c r="AG224" s="106">
        <f>Sheet1!AA224+Sheet1!BN224+'Calculations II'!BC224+'Calculations II'!P224-Sheet1!CP224-BP224</f>
        <v>51.504810436702094</v>
      </c>
      <c r="AH224" s="106">
        <f>Sheet1!AA224+Sheet1!BN224+'Calculations II'!BC224+'Calculations II'!P224-BP224</f>
        <v>64.044810436702093</v>
      </c>
      <c r="AI224" s="106">
        <f>BC224+Sheet1!AA224+Calculation!EI224+O224+W224+Sheet1!BN224+Calculation!AI224+Calculation!CZ224-BP224</f>
        <v>79.182968331438929</v>
      </c>
      <c r="AJ224" s="106"/>
      <c r="AM224" s="102">
        <f t="shared" si="33"/>
        <v>40753</v>
      </c>
      <c r="AN224" s="106"/>
      <c r="AO224" s="106"/>
      <c r="AR224" s="106"/>
      <c r="AT224" s="101">
        <f>Sheet1!AR224*GPMtoMGD</f>
        <v>0</v>
      </c>
      <c r="AU224" s="101">
        <f>Sheet1!AS224*GPMtoMGD</f>
        <v>5.7888000000000009E-2</v>
      </c>
      <c r="AV224" s="101">
        <f>Sheet1!AT224*GPMtoMGD</f>
        <v>0</v>
      </c>
      <c r="AW224" s="101">
        <f>Sheet1!AV224*GPMtoMGD</f>
        <v>1.1581920000000001</v>
      </c>
      <c r="AX224" s="101">
        <f>Sheet1!AW224*GPMtoMGD</f>
        <v>1.372752</v>
      </c>
      <c r="AY224" s="101">
        <f>Sheet1!AX224*GPMtoMGD</f>
        <v>6.7680000000000004E-2</v>
      </c>
      <c r="AZ224" s="101">
        <f>Sheet1!AY224*GPMtoMGD</f>
        <v>0</v>
      </c>
      <c r="BA224" s="101">
        <f>Sheet1!AZ224*GPMtoMGD</f>
        <v>0</v>
      </c>
      <c r="BB224" s="101">
        <f>Sheet1!BP224*GPMtoMGD</f>
        <v>0</v>
      </c>
      <c r="BC224" s="101">
        <f>Sheet1!CO224*GPMtoMGD</f>
        <v>15.898608000000001</v>
      </c>
      <c r="BD224" s="101">
        <f>Sheet1!BO224*GPMtoMGD</f>
        <v>4.3106400000000002</v>
      </c>
      <c r="BE224" s="101">
        <f>Sheet1!BV224*GPMtoMGD</f>
        <v>1.70208</v>
      </c>
      <c r="BF224" s="101">
        <f>Sheet1!CJ224*GPMtoMGD</f>
        <v>1.4581440000000001</v>
      </c>
      <c r="BG224" s="101">
        <f>Sheet1!CK224*GPMtoMGD</f>
        <v>1.5027839999999999</v>
      </c>
      <c r="BH224" s="101">
        <f>Sheet1!CL224*GPMtoMGD</f>
        <v>1.0774080000000001</v>
      </c>
      <c r="BI224" s="101">
        <f t="shared" si="34"/>
        <v>4.3106400000000002</v>
      </c>
      <c r="BK224" s="106">
        <f>SUM(AT224:BA224,BE224,Sheet1!BU224,'Calculations II'!BC224,Calculation!AG224)</f>
        <v>65.569042105263165</v>
      </c>
      <c r="BM224" s="439">
        <f>IF(AND(Sheet1!BQ224&lt;=11.5,Sheet1!BQ223&gt;Sheet1!BQ224),(MIN(Lookup!$C$119,VLOOKUP(Sheet1!BQ223,Lookup!$B$4:$J$236,2))-VLOOKUP(Sheet1!BQ224,Lookup!$B$4:$J$236,2))/1000000,0)</f>
        <v>0</v>
      </c>
      <c r="BN224" s="439">
        <f>IF(AND(Sheet1!BR224&lt;=11.5,Sheet1!BR223&gt;Sheet1!BR224),(MIN(Lookup!$D$119,VLOOKUP(Sheet1!BR223,Lookup!$B$4:$J$236,3))-VLOOKUP(Sheet1!BR224,Lookup!$B$4:$J$236,3))/1000000,0)</f>
        <v>0</v>
      </c>
      <c r="BP224" s="105">
        <f>SUM(BM224:BN224,W224,Sheet1!DT224)</f>
        <v>0</v>
      </c>
    </row>
    <row r="225" spans="1:68" s="101" customFormat="1">
      <c r="A225" s="101" t="s">
        <v>8</v>
      </c>
      <c r="B225" s="103">
        <v>40754</v>
      </c>
      <c r="C225" s="104">
        <v>0.33333333333357601</v>
      </c>
      <c r="E225" s="30"/>
      <c r="F225" s="30">
        <f>-(VLOOKUP(Sheet1!BZ225,Lookup!$I$4:$J$216,2)-VLOOKUP(Sheet1!BZ224,Lookup!$I$4:$J$216,2))/1000000</f>
        <v>0.41454775419119744</v>
      </c>
      <c r="G225" s="106">
        <f>-$G$6*(Sheet1!CB225-Sheet1!CB224)*7.48/1000000</f>
        <v>0.15885400421023804</v>
      </c>
      <c r="H225" s="106">
        <f>-$H$6*(Sheet1!CA225-Sheet1!CA224)*7.48/1000000</f>
        <v>-0.45118297053795176</v>
      </c>
      <c r="I225" s="106">
        <f>-$I$6*(Sheet1!CC225-Sheet1!CC224)*7.48/1000000</f>
        <v>-3.5983016856054283E-2</v>
      </c>
      <c r="J225" s="107" t="s">
        <v>193</v>
      </c>
      <c r="K225" s="106">
        <f>-$I$6*(Sheet1!CD225-Sheet1!CD224)*7.48/1000000</f>
        <v>-3.598301685605397E-2</v>
      </c>
      <c r="L225" s="107" t="s">
        <v>193</v>
      </c>
      <c r="M225" s="106">
        <f>-$M$6*(Sheet1!CE225-Sheet1!CE224)*7.48/1000000</f>
        <v>-1.3326640748916837E-2</v>
      </c>
      <c r="N225" s="106">
        <f>-$N$6*(Sheet1!CF225-Sheet1!CF224)*7.48/1000000</f>
        <v>-0.50262399769645394</v>
      </c>
      <c r="O225" s="106">
        <f t="shared" si="30"/>
        <v>-0.46569788429399533</v>
      </c>
      <c r="P225" s="106">
        <f>O225+Calculation!EI225</f>
        <v>1.6827021157060043</v>
      </c>
      <c r="Q225" s="101" t="str">
        <f>IF(Sheet1!BQ225&gt;21.75,"spill elevation","-")</f>
        <v>-</v>
      </c>
      <c r="R225" s="101" t="str">
        <f>IF(Sheet1!BR225&gt;21.75,"spill elevation","-")</f>
        <v>-</v>
      </c>
      <c r="S225" s="101" t="str">
        <f>IF(Sheet1!BS225&gt;21.75,"spill elevation","-")</f>
        <v>-</v>
      </c>
      <c r="T225" s="105">
        <f>IF(Sheet1!DQ225=1,Sheet1!AA225-(SUM(AT225:BA225)+BE225),Sheet1!AA225-SUM(AT225:BA225))</f>
        <v>38.210431999999997</v>
      </c>
      <c r="U225" s="105">
        <f>Sheet1!BU225</f>
        <v>39.200000000000003</v>
      </c>
      <c r="V225" s="105">
        <f t="shared" si="31"/>
        <v>-0.98956800000000555</v>
      </c>
      <c r="W225" s="105">
        <f t="shared" si="32"/>
        <v>0</v>
      </c>
      <c r="X225" s="101">
        <f>IF((Sheet1!EX225-Sheet1!EX224)&lt;0,(Sheet1!EX225+100000-Sheet1!EX224)/1000,(Sheet1!EX225-Sheet1!EX224)/1000)</f>
        <v>0.65400000000000003</v>
      </c>
      <c r="Y225" s="106">
        <f>Calculation!DZ226+Calculation!EI225+'Calculations II'!O225-'Calculations II'!W225</f>
        <v>78.123806115705989</v>
      </c>
      <c r="Z225" s="106">
        <f>Y225-Sheet1!CP226</f>
        <v>66.683806115705991</v>
      </c>
      <c r="AA225" s="106">
        <f>Y225+Calculation!CZ226+Calculation!AI226</f>
        <v>93.752765391724083</v>
      </c>
      <c r="AC225" s="106">
        <f>Sheet1!AA225+Sheet1!AB225+BC225</f>
        <v>78.096384</v>
      </c>
      <c r="AD225" s="106">
        <f>Sheet1!AA225+Sheet1!BN225+'Calculations II'!BC225-Calculation!AI225-Calculation!CZ225</f>
        <v>46.861664289330918</v>
      </c>
      <c r="AE225" s="106">
        <f>Sheet1!AA225+Sheet1!AB225+'Calculations II'!BC225-Calculation!AI225-Calculation!CZ225</f>
        <v>62.461664289330926</v>
      </c>
      <c r="AF225" s="106">
        <f>Sheet1!AA225+Sheet1!BN225+P225+'Calculations II'!BC225+Calculation!AI225+Calculation!CZ225</f>
        <v>79.813805826375088</v>
      </c>
      <c r="AG225" s="106">
        <f>Sheet1!AA225+Sheet1!BN225+'Calculations II'!BC225+'Calculations II'!P225-Sheet1!CP225-BP225</f>
        <v>53.189086115705997</v>
      </c>
      <c r="AH225" s="106">
        <f>Sheet1!AA225+Sheet1!BN225+'Calculations II'!BC225+'Calculations II'!P225-BP225</f>
        <v>64.179086115705999</v>
      </c>
      <c r="AI225" s="106">
        <f>BC225+Sheet1!AA225+Calculation!EI225+O225+W225+Sheet1!BN225+Calculation!AI225+Calculation!CZ225-BP225</f>
        <v>79.813805826375088</v>
      </c>
      <c r="AJ225" s="106"/>
      <c r="AM225" s="102">
        <f t="shared" si="33"/>
        <v>40754</v>
      </c>
      <c r="AN225" s="106"/>
      <c r="AO225" s="106"/>
      <c r="AR225" s="106"/>
      <c r="AT225" s="101">
        <f>Sheet1!AR225*GPMtoMGD</f>
        <v>0</v>
      </c>
      <c r="AU225" s="101">
        <f>Sheet1!AS225*GPMtoMGD</f>
        <v>5.5871999999999998E-2</v>
      </c>
      <c r="AV225" s="101">
        <f>Sheet1!AT225*GPMtoMGD</f>
        <v>0</v>
      </c>
      <c r="AW225" s="101">
        <f>Sheet1!AV225*GPMtoMGD</f>
        <v>1.512</v>
      </c>
      <c r="AX225" s="101">
        <f>Sheet1!AW225*GPMtoMGD</f>
        <v>1.160496</v>
      </c>
      <c r="AY225" s="101">
        <f>Sheet1!AX225*GPMtoMGD</f>
        <v>6.1200000000000004E-2</v>
      </c>
      <c r="AZ225" s="101">
        <f>Sheet1!AY225*GPMtoMGD</f>
        <v>0</v>
      </c>
      <c r="BA225" s="101">
        <f>Sheet1!AZ225*GPMtoMGD</f>
        <v>0</v>
      </c>
      <c r="BB225" s="101">
        <f>Sheet1!BP225*GPMtoMGD</f>
        <v>0</v>
      </c>
      <c r="BC225" s="101">
        <f>Sheet1!CO225*GPMtoMGD</f>
        <v>15.096384000000002</v>
      </c>
      <c r="BD225" s="101">
        <f>Sheet1!BO225*GPMtoMGD</f>
        <v>4.256208</v>
      </c>
      <c r="BE225" s="101">
        <f>Sheet1!BV225*GPMtoMGD</f>
        <v>1.7451360000000002</v>
      </c>
      <c r="BF225" s="101">
        <f>Sheet1!CJ225*GPMtoMGD</f>
        <v>1.5834239999999999</v>
      </c>
      <c r="BG225" s="101">
        <f>Sheet1!CK225*GPMtoMGD</f>
        <v>1.4785920000000001</v>
      </c>
      <c r="BH225" s="101">
        <f>Sheet1!CL225*GPMtoMGD</f>
        <v>1.0104480000000002</v>
      </c>
      <c r="BI225" s="101">
        <f t="shared" si="34"/>
        <v>4.256208</v>
      </c>
      <c r="BK225" s="106">
        <f>SUM(AT225:BA225,BE225,Sheet1!BU225,'Calculations II'!BC225,Calculation!AG225)</f>
        <v>65.19636828933092</v>
      </c>
      <c r="BM225" s="439">
        <f>IF(AND(Sheet1!BQ225&lt;=11.5,Sheet1!BQ224&gt;Sheet1!BQ225),(MIN(Lookup!$C$119,VLOOKUP(Sheet1!BQ224,Lookup!$B$4:$J$236,2))-VLOOKUP(Sheet1!BQ225,Lookup!$B$4:$J$236,2))/1000000,0)</f>
        <v>0</v>
      </c>
      <c r="BN225" s="439">
        <f>IF(AND(Sheet1!BR225&lt;=11.5,Sheet1!BR224&gt;Sheet1!BR225),(MIN(Lookup!$D$119,VLOOKUP(Sheet1!BR224,Lookup!$B$4:$J$236,3))-VLOOKUP(Sheet1!BR225,Lookup!$B$4:$J$236,3))/1000000,0)</f>
        <v>0</v>
      </c>
      <c r="BP225" s="105">
        <f>SUM(BM225:BN225,W225,Sheet1!DT225)</f>
        <v>0</v>
      </c>
    </row>
    <row r="226" spans="1:68" s="101" customFormat="1">
      <c r="A226" s="101" t="s">
        <v>9</v>
      </c>
      <c r="B226" s="103">
        <v>40755</v>
      </c>
      <c r="C226" s="104">
        <v>0.33333333333357601</v>
      </c>
      <c r="E226" s="30"/>
      <c r="F226" s="30">
        <f>-(VLOOKUP(Sheet1!BZ226,Lookup!$I$4:$J$216,2)-VLOOKUP(Sheet1!BZ225,Lookup!$I$4:$J$216,2))/1000000</f>
        <v>-2.280012648051601</v>
      </c>
      <c r="G226" s="106">
        <f>-$G$6*(Sheet1!CB226-Sheet1!CB225)*7.48/1000000</f>
        <v>3.9713501052558449E-2</v>
      </c>
      <c r="H226" s="106">
        <f>-$H$6*(Sheet1!CA226-Sheet1!CA225)*7.48/1000000</f>
        <v>0.15039432351265059</v>
      </c>
      <c r="I226" s="106">
        <f>-$I$6*(Sheet1!CC226-Sheet1!CC225)*7.48/1000000</f>
        <v>7.7363486240516255E-2</v>
      </c>
      <c r="J226" s="107" t="s">
        <v>193</v>
      </c>
      <c r="K226" s="106">
        <f>-$I$6*(Sheet1!CD226-Sheet1!CD225)*7.48/1000000</f>
        <v>8.9957542140135238E-2</v>
      </c>
      <c r="L226" s="107" t="s">
        <v>193</v>
      </c>
      <c r="M226" s="106">
        <f>-$M$6*(Sheet1!CE226-Sheet1!CE225)*7.48/1000000</f>
        <v>3.3316601872292212E-2</v>
      </c>
      <c r="N226" s="106">
        <f>-$N$6*(Sheet1!CF226-Sheet1!CF225)*7.48/1000000</f>
        <v>-0.12410469078924848</v>
      </c>
      <c r="O226" s="106">
        <f t="shared" si="30"/>
        <v>-2.0133718840226962</v>
      </c>
      <c r="P226" s="106">
        <f>O226+Calculation!EI226</f>
        <v>0.92222811597730381</v>
      </c>
      <c r="Q226" s="101" t="str">
        <f>IF(Sheet1!BQ226&gt;21.75,"spill elevation","-")</f>
        <v>-</v>
      </c>
      <c r="R226" s="101" t="str">
        <f>IF(Sheet1!BR226&gt;21.75,"spill elevation","-")</f>
        <v>-</v>
      </c>
      <c r="S226" s="101" t="str">
        <f>IF(Sheet1!BS226&gt;21.75,"spill elevation","-")</f>
        <v>-</v>
      </c>
      <c r="T226" s="105">
        <f>IF(Sheet1!DQ226=1,Sheet1!AA226-(SUM(AT226:BA226)+BE226),Sheet1!AA226-SUM(AT226:BA226))</f>
        <v>38.520032</v>
      </c>
      <c r="U226" s="105">
        <f>Sheet1!BU226</f>
        <v>34.299999999999997</v>
      </c>
      <c r="V226" s="105">
        <f t="shared" si="31"/>
        <v>4.2200320000000033</v>
      </c>
      <c r="W226" s="105">
        <f t="shared" si="32"/>
        <v>0</v>
      </c>
      <c r="X226" s="101">
        <f>IF((Sheet1!EX226-Sheet1!EX225)&lt;0,(Sheet1!EX226+100000-Sheet1!EX225)/1000,(Sheet1!EX226-Sheet1!EX225)/1000)</f>
        <v>0.56899999999999995</v>
      </c>
      <c r="Y226" s="106">
        <f>Calculation!DZ227+Calculation!EI226+'Calculations II'!O226-'Calculations II'!W226</f>
        <v>78.679204115983111</v>
      </c>
      <c r="Z226" s="106">
        <f>Y226-Sheet1!CP227</f>
        <v>66.919204115983106</v>
      </c>
      <c r="AA226" s="106">
        <f>Y226+Calculation!CZ227+Calculation!AI227</f>
        <v>94.100956693304568</v>
      </c>
      <c r="AC226" s="106">
        <f>Sheet1!AA226+Sheet1!AB226+BC226</f>
        <v>76.441103999999996</v>
      </c>
      <c r="AD226" s="106">
        <f>Sheet1!AA226+Sheet1!BN226+'Calculations II'!BC226-Calculation!AI226-Calculation!CZ226</f>
        <v>45.212144723981908</v>
      </c>
      <c r="AE226" s="106">
        <f>Sheet1!AA226+Sheet1!AB226+'Calculations II'!BC226-Calculation!AI226-Calculation!CZ226</f>
        <v>60.812144723981902</v>
      </c>
      <c r="AF226" s="106">
        <f>Sheet1!AA226+Sheet1!BN226+P226+'Calculations II'!BC226+Calculation!AI226+Calculation!CZ226</f>
        <v>77.3922913919954</v>
      </c>
      <c r="AG226" s="106">
        <f>Sheet1!AA226+Sheet1!BN226+'Calculations II'!BC226+'Calculations II'!P226-Sheet1!CP226-BP226</f>
        <v>50.323332115977308</v>
      </c>
      <c r="AH226" s="106">
        <f>Sheet1!AA226+Sheet1!BN226+'Calculations II'!BC226+'Calculations II'!P226-BP226</f>
        <v>61.763332115977306</v>
      </c>
      <c r="AI226" s="106">
        <f>BC226+Sheet1!AA226+Calculation!EI226+O226+W226+Sheet1!BN226+Calculation!AI226+Calculation!CZ226-BP226</f>
        <v>77.3922913919954</v>
      </c>
      <c r="AJ226" s="106"/>
      <c r="AM226" s="102">
        <f t="shared" si="33"/>
        <v>40755</v>
      </c>
      <c r="AN226" s="106"/>
      <c r="AO226" s="106"/>
      <c r="AR226" s="106"/>
      <c r="AT226" s="101">
        <f>Sheet1!AR226*GPMtoMGD</f>
        <v>0</v>
      </c>
      <c r="AU226" s="101">
        <f>Sheet1!AS226*GPMtoMGD</f>
        <v>2.7360000000000002E-2</v>
      </c>
      <c r="AV226" s="101">
        <f>Sheet1!AT226*GPMtoMGD</f>
        <v>0</v>
      </c>
      <c r="AW226" s="101">
        <f>Sheet1!AV226*GPMtoMGD</f>
        <v>1.124784</v>
      </c>
      <c r="AX226" s="101">
        <f>Sheet1!AW226*GPMtoMGD</f>
        <v>1.2601440000000002</v>
      </c>
      <c r="AY226" s="101">
        <f>Sheet1!AX226*GPMtoMGD</f>
        <v>6.7680000000000004E-2</v>
      </c>
      <c r="AZ226" s="101">
        <f>Sheet1!AY226*GPMtoMGD</f>
        <v>0</v>
      </c>
      <c r="BA226" s="101">
        <f>Sheet1!AZ226*GPMtoMGD</f>
        <v>0</v>
      </c>
      <c r="BB226" s="101">
        <f>Sheet1!BP226*GPMtoMGD</f>
        <v>0</v>
      </c>
      <c r="BC226" s="101">
        <f>Sheet1!CO226*GPMtoMGD</f>
        <v>13.441104000000001</v>
      </c>
      <c r="BD226" s="101">
        <f>Sheet1!BO226*GPMtoMGD</f>
        <v>4.1405760000000003</v>
      </c>
      <c r="BE226" s="101">
        <f>Sheet1!BV226*GPMtoMGD</f>
        <v>1.492704</v>
      </c>
      <c r="BF226" s="101">
        <f>Sheet1!CJ226*GPMtoMGD</f>
        <v>1.5370560000000002</v>
      </c>
      <c r="BG226" s="101">
        <f>Sheet1!CK226*GPMtoMGD</f>
        <v>1.5072480000000001</v>
      </c>
      <c r="BH226" s="101">
        <f>Sheet1!CL226*GPMtoMGD</f>
        <v>0.99172800000000016</v>
      </c>
      <c r="BI226" s="101">
        <f t="shared" si="34"/>
        <v>4.1405760000000003</v>
      </c>
      <c r="BK226" s="106">
        <f>SUM(AT226:BA226,BE226,Sheet1!BU226,'Calculations II'!BC226,Calculation!AG226)</f>
        <v>58.084816723981902</v>
      </c>
      <c r="BM226" s="439">
        <f>IF(AND(Sheet1!BQ226&lt;=11.5,Sheet1!BQ225&gt;Sheet1!BQ226),(MIN(Lookup!$C$119,VLOOKUP(Sheet1!BQ225,Lookup!$B$4:$J$236,2))-VLOOKUP(Sheet1!BQ226,Lookup!$B$4:$J$236,2))/1000000,0)</f>
        <v>0</v>
      </c>
      <c r="BN226" s="439">
        <f>IF(AND(Sheet1!BR226&lt;=11.5,Sheet1!BR225&gt;Sheet1!BR226),(MIN(Lookup!$D$119,VLOOKUP(Sheet1!BR225,Lookup!$B$4:$J$236,3))-VLOOKUP(Sheet1!BR226,Lookup!$B$4:$J$236,3))/1000000,0)</f>
        <v>0</v>
      </c>
      <c r="BP226" s="105">
        <f>SUM(BM226:BN226,W226,Sheet1!DT226)</f>
        <v>0</v>
      </c>
    </row>
    <row r="227" spans="1:68" s="101" customFormat="1">
      <c r="A227" s="101" t="s">
        <v>3</v>
      </c>
      <c r="B227" s="103">
        <v>40756</v>
      </c>
      <c r="C227" s="104">
        <v>0.33333333333357601</v>
      </c>
      <c r="E227" s="30"/>
      <c r="F227" s="30">
        <f>-(VLOOKUP(Sheet1!BZ227,Lookup!$I$4:$J$216,2)-VLOOKUP(Sheet1!BZ226,Lookup!$I$4:$J$216,2))/1000000</f>
        <v>-0.51818469273900614</v>
      </c>
      <c r="G227" s="106">
        <f>-$G$6*(Sheet1!CB227-Sheet1!CB226)*7.48/1000000</f>
        <v>0.11914050315767817</v>
      </c>
      <c r="H227" s="106">
        <f>-$H$6*(Sheet1!CA227-Sheet1!CA226)*7.48/1000000</f>
        <v>0.27070978232277171</v>
      </c>
      <c r="I227" s="106">
        <f>-$I$6*(Sheet1!CC227-Sheet1!CC226)*7.48/1000000</f>
        <v>1.2594055899618985E-2</v>
      </c>
      <c r="J227" s="107" t="s">
        <v>193</v>
      </c>
      <c r="K227" s="106">
        <f>-$I$6*(Sheet1!CD227-Sheet1!CD226)*7.48/1000000</f>
        <v>0</v>
      </c>
      <c r="L227" s="107" t="s">
        <v>193</v>
      </c>
      <c r="M227" s="106">
        <f>-$M$6*(Sheet1!CE227-Sheet1!CE226)*7.48/1000000</f>
        <v>0</v>
      </c>
      <c r="N227" s="106">
        <f>-$N$6*(Sheet1!CF227-Sheet1!CF226)*7.48/1000000</f>
        <v>0.18615703618387214</v>
      </c>
      <c r="O227" s="106">
        <f t="shared" si="30"/>
        <v>7.041668482493485E-2</v>
      </c>
      <c r="P227" s="106">
        <f>O227+Calculation!EI227</f>
        <v>1.1379166848249347</v>
      </c>
      <c r="Q227" s="101" t="str">
        <f>IF(Sheet1!BQ227&gt;21.75,"spill elevation","-")</f>
        <v>-</v>
      </c>
      <c r="R227" s="101" t="str">
        <f>IF(Sheet1!BR227&gt;21.75,"spill elevation","-")</f>
        <v>-</v>
      </c>
      <c r="S227" s="101" t="str">
        <f>IF(Sheet1!BS227&gt;21.75,"spill elevation","-")</f>
        <v>-</v>
      </c>
      <c r="T227" s="105">
        <f>IF(Sheet1!DQ227=1,Sheet1!AA227-(SUM(AT227:BA227)+BE227),Sheet1!AA227-SUM(AT227:BA227))</f>
        <v>37.465936000002912</v>
      </c>
      <c r="U227" s="105">
        <f>Sheet1!BU227</f>
        <v>40.4</v>
      </c>
      <c r="V227" s="105">
        <f t="shared" si="31"/>
        <v>-2.9340639999970861</v>
      </c>
      <c r="W227" s="105">
        <f t="shared" si="32"/>
        <v>0</v>
      </c>
      <c r="X227" s="101">
        <f>IF((Sheet1!EX227-Sheet1!EX226)&lt;0,(Sheet1!EX227+100000-Sheet1!EX226)/1000,(Sheet1!EX227-Sheet1!EX226)/1000)</f>
        <v>0.63100000000000001</v>
      </c>
      <c r="Y227" s="106">
        <f>Calculation!DZ228+Calculation!EI227+'Calculations II'!O227-'Calculations II'!W227</f>
        <v>83.067012364827846</v>
      </c>
      <c r="Z227" s="106">
        <f>Y227-Sheet1!CP228</f>
        <v>69.897012364827845</v>
      </c>
      <c r="AA227" s="106">
        <f>Y227+Calculation!CZ228+Calculation!AI228</f>
        <v>98.979332009666905</v>
      </c>
      <c r="AC227" s="106">
        <f>Sheet1!AA227+Sheet1!AB227+BC227</f>
        <v>77.756976000005821</v>
      </c>
      <c r="AD227" s="106">
        <f>Sheet1!AA227+Sheet1!BN227+'Calculations II'!BC227-Calculation!AI227-Calculation!CZ227</f>
        <v>46.985223422681457</v>
      </c>
      <c r="AE227" s="106">
        <f>Sheet1!AA227+Sheet1!AB227+'Calculations II'!BC227-Calculation!AI227-Calculation!CZ227</f>
        <v>62.335223422684365</v>
      </c>
      <c r="AF227" s="106">
        <f>Sheet1!AA227+Sheet1!BN227+P227+'Calculations II'!BC227+Calculation!AI227+Calculation!CZ227</f>
        <v>78.966645262149299</v>
      </c>
      <c r="AG227" s="106">
        <f>Sheet1!AA227+Sheet1!BN227+'Calculations II'!BC227+'Calculations II'!P227-Sheet1!CP227-BP227</f>
        <v>51.784892684827852</v>
      </c>
      <c r="AH227" s="106">
        <f>Sheet1!AA227+Sheet1!BN227+'Calculations II'!BC227+'Calculations II'!P227-BP227</f>
        <v>63.54489268482785</v>
      </c>
      <c r="AI227" s="106">
        <f>BC227+Sheet1!AA227+Calculation!EI227+O227+W227+Sheet1!BN227+Calculation!AI227+Calculation!CZ227-BP227</f>
        <v>78.966645262149299</v>
      </c>
      <c r="AJ227" s="106"/>
      <c r="AM227" s="102">
        <f t="shared" si="33"/>
        <v>40756</v>
      </c>
      <c r="AN227" s="106"/>
      <c r="AO227" s="106"/>
      <c r="AR227" s="106"/>
      <c r="AT227" s="101">
        <f>Sheet1!AR227*GPMtoMGD</f>
        <v>0</v>
      </c>
      <c r="AU227" s="101">
        <f>Sheet1!AS227*GPMtoMGD</f>
        <v>5.5871999999999998E-2</v>
      </c>
      <c r="AV227" s="101">
        <f>Sheet1!AT227*GPMtoMGD</f>
        <v>0</v>
      </c>
      <c r="AW227" s="101">
        <f>Sheet1!AV227*GPMtoMGD</f>
        <v>1.232496</v>
      </c>
      <c r="AX227" s="101">
        <f>Sheet1!AW227*GPMtoMGD</f>
        <v>1.47096</v>
      </c>
      <c r="AY227" s="101">
        <f>Sheet1!AX227*GPMtoMGD</f>
        <v>7.4735999999999997E-2</v>
      </c>
      <c r="AZ227" s="101">
        <f>Sheet1!AY227*GPMtoMGD</f>
        <v>0</v>
      </c>
      <c r="BA227" s="101">
        <f>Sheet1!AZ227*GPMtoMGD</f>
        <v>0</v>
      </c>
      <c r="BB227" s="101">
        <f>Sheet1!BP227*GPMtoMGD</f>
        <v>0</v>
      </c>
      <c r="BC227" s="101">
        <f>Sheet1!CO227*GPMtoMGD</f>
        <v>13.406976</v>
      </c>
      <c r="BD227" s="101">
        <f>Sheet1!BO227*GPMtoMGD</f>
        <v>4.38408</v>
      </c>
      <c r="BE227" s="101">
        <f>Sheet1!BV227*GPMtoMGD</f>
        <v>1.625904</v>
      </c>
      <c r="BF227" s="101">
        <f>Sheet1!CJ227*GPMtoMGD</f>
        <v>1.815264</v>
      </c>
      <c r="BG227" s="101">
        <f>Sheet1!CK227*GPMtoMGD</f>
        <v>1.5441119999999999</v>
      </c>
      <c r="BH227" s="101">
        <f>Sheet1!CL227*GPMtoMGD</f>
        <v>1.1008800000000001</v>
      </c>
      <c r="BI227" s="101">
        <f t="shared" si="34"/>
        <v>4.38408</v>
      </c>
      <c r="BK227" s="106">
        <f>SUM(AT227:BA227,BE227,Sheet1!BU227,'Calculations II'!BC227,Calculation!AG227)</f>
        <v>66.895191422681449</v>
      </c>
      <c r="BM227" s="439">
        <f>IF(AND(Sheet1!BQ227&lt;=11.5,Sheet1!BQ226&gt;Sheet1!BQ227),(MIN(Lookup!$C$119,VLOOKUP(Sheet1!BQ226,Lookup!$B$4:$J$236,2))-VLOOKUP(Sheet1!BQ227,Lookup!$B$4:$J$236,2))/1000000,0)</f>
        <v>0</v>
      </c>
      <c r="BN227" s="439">
        <f>IF(AND(Sheet1!BR227&lt;=11.5,Sheet1!BR226&gt;Sheet1!BR227),(MIN(Lookup!$D$119,VLOOKUP(Sheet1!BR226,Lookup!$B$4:$J$236,3))-VLOOKUP(Sheet1!BR227,Lookup!$B$4:$J$236,3))/1000000,0)</f>
        <v>0</v>
      </c>
      <c r="BP227" s="105">
        <f>SUM(BM227:BN227,W227,Sheet1!DT227)</f>
        <v>0</v>
      </c>
    </row>
    <row r="228" spans="1:68" s="101" customFormat="1">
      <c r="A228" s="101" t="s">
        <v>4</v>
      </c>
      <c r="B228" s="103">
        <v>40757</v>
      </c>
      <c r="C228" s="104">
        <v>0.33333333333357601</v>
      </c>
      <c r="E228" s="30"/>
      <c r="F228" s="30">
        <f>-(VLOOKUP(Sheet1!BZ228,Lookup!$I$4:$J$216,2)-VLOOKUP(Sheet1!BZ227,Lookup!$I$4:$J$216,2))/1000000</f>
        <v>3.1091081564340124</v>
      </c>
      <c r="G228" s="106">
        <f>-$G$6*(Sheet1!CB228-Sheet1!CB227)*7.48/1000000</f>
        <v>-7.9427002105118313E-2</v>
      </c>
      <c r="H228" s="106">
        <f>-$H$6*(Sheet1!CA228-Sheet1!CA227)*7.48/1000000</f>
        <v>-0.42110410583542229</v>
      </c>
      <c r="I228" s="106">
        <f>-$I$6*(Sheet1!CC228-Sheet1!CC227)*7.48/1000000</f>
        <v>0</v>
      </c>
      <c r="J228" s="107" t="s">
        <v>193</v>
      </c>
      <c r="K228" s="106">
        <f>-$I$6*(Sheet1!CD228-Sheet1!CD227)*7.48/1000000</f>
        <v>1.7991508428026985E-2</v>
      </c>
      <c r="L228" s="107" t="s">
        <v>193</v>
      </c>
      <c r="M228" s="106">
        <f>-$M$6*(Sheet1!CE228-Sheet1!CE227)*7.48/1000000</f>
        <v>6.6633203744583007E-3</v>
      </c>
      <c r="N228" s="106">
        <f>-$N$6*(Sheet1!CF228-Sheet1!CF227)*7.48/1000000</f>
        <v>0.37231407236774317</v>
      </c>
      <c r="O228" s="106">
        <f t="shared" si="30"/>
        <v>3.0055459496637003</v>
      </c>
      <c r="P228" s="106">
        <f>O228+Calculation!EI228</f>
        <v>0.60354594966370012</v>
      </c>
      <c r="Q228" s="101" t="str">
        <f>IF(Sheet1!BQ228&gt;21.75,"spill elevation","-")</f>
        <v>-</v>
      </c>
      <c r="R228" s="101" t="str">
        <f>IF(Sheet1!BR228&gt;21.75,"spill elevation","-")</f>
        <v>-</v>
      </c>
      <c r="S228" s="101" t="str">
        <f>IF(Sheet1!BS228&gt;21.75,"spill elevation","-")</f>
        <v>-</v>
      </c>
      <c r="T228" s="105">
        <f>IF(Sheet1!DQ228=1,Sheet1!AA228-(SUM(AT228:BA228)+BE228),Sheet1!AA228-SUM(AT228:BA228))</f>
        <v>37.81732800000291</v>
      </c>
      <c r="U228" s="105">
        <f>Sheet1!BU228</f>
        <v>34.200000000000003</v>
      </c>
      <c r="V228" s="105">
        <f t="shared" si="31"/>
        <v>3.6173280000029067</v>
      </c>
      <c r="W228" s="105">
        <f t="shared" si="32"/>
        <v>0</v>
      </c>
      <c r="X228" s="101">
        <f>IF((Sheet1!EX228-Sheet1!EX227)&lt;0,(Sheet1!EX228+100000-Sheet1!EX227)/1000,(Sheet1!EX228-Sheet1!EX227)/1000)</f>
        <v>0.61499999999999999</v>
      </c>
      <c r="Y228" s="106">
        <f>Calculation!DZ229+Calculation!EI228+'Calculations II'!O228-'Calculations II'!W228</f>
        <v>90.041273949654965</v>
      </c>
      <c r="Z228" s="106">
        <f>Y228-Sheet1!CP229</f>
        <v>72.78127394965496</v>
      </c>
      <c r="AA228" s="106">
        <f>Y228+Calculation!CZ229+Calculation!AI229</f>
        <v>105.87974182444749</v>
      </c>
      <c r="AC228" s="106">
        <f>Sheet1!AA228+Sheet1!AB228+BC228</f>
        <v>81.929095680002916</v>
      </c>
      <c r="AD228" s="106">
        <f>Sheet1!AA228+Sheet1!BN228+'Calculations II'!BC228-Calculation!AI228-Calculation!CZ228</f>
        <v>50.116776035163845</v>
      </c>
      <c r="AE228" s="106">
        <f>Sheet1!AA228+Sheet1!AB228+'Calculations II'!BC228-Calculation!AI228-Calculation!CZ228</f>
        <v>66.016776035163844</v>
      </c>
      <c r="AF228" s="106">
        <f>Sheet1!AA228+Sheet1!BN228+P228+'Calculations II'!BC228+Calculation!AI228+Calculation!CZ228</f>
        <v>82.544961274505681</v>
      </c>
      <c r="AG228" s="106">
        <f>Sheet1!AA228+Sheet1!BN228+'Calculations II'!BC228+'Calculations II'!P228-Sheet1!CP228-BP228</f>
        <v>53.462641629666606</v>
      </c>
      <c r="AH228" s="106">
        <f>Sheet1!AA228+Sheet1!BN228+'Calculations II'!BC228+'Calculations II'!P228-BP228</f>
        <v>66.632641629666608</v>
      </c>
      <c r="AI228" s="106">
        <f>BC228+Sheet1!AA228+Calculation!EI228+O228+W228+Sheet1!BN228+Calculation!AI228+Calculation!CZ228-BP228</f>
        <v>82.544961274505681</v>
      </c>
      <c r="AJ228" s="106"/>
      <c r="AM228" s="102">
        <f t="shared" si="33"/>
        <v>40757</v>
      </c>
      <c r="AN228" s="106"/>
      <c r="AO228" s="106"/>
      <c r="AR228" s="106"/>
      <c r="AT228" s="101">
        <f>Sheet1!AR228*GPMtoMGD</f>
        <v>0</v>
      </c>
      <c r="AU228" s="101">
        <f>Sheet1!AS228*GPMtoMGD</f>
        <v>6.0192000000000002E-2</v>
      </c>
      <c r="AV228" s="101">
        <f>Sheet1!AT228*GPMtoMGD</f>
        <v>0</v>
      </c>
      <c r="AW228" s="101">
        <f>Sheet1!AV228*GPMtoMGD</f>
        <v>1.314576</v>
      </c>
      <c r="AX228" s="101">
        <f>Sheet1!AW228*GPMtoMGD</f>
        <v>1.5347520000000001</v>
      </c>
      <c r="AY228" s="101">
        <f>Sheet1!AX228*GPMtoMGD</f>
        <v>7.3151999999999995E-2</v>
      </c>
      <c r="AZ228" s="101">
        <f>Sheet1!AY228*GPMtoMGD</f>
        <v>0</v>
      </c>
      <c r="BA228" s="101">
        <f>Sheet1!AZ228*GPMtoMGD</f>
        <v>0</v>
      </c>
      <c r="BB228" s="101">
        <f>Sheet1!BP228*GPMtoMGD</f>
        <v>6.1919999999999998E-4</v>
      </c>
      <c r="BC228" s="101">
        <f>Sheet1!CO228*GPMtoMGD</f>
        <v>14.129095680000001</v>
      </c>
      <c r="BD228" s="101">
        <f>Sheet1!BO228*GPMtoMGD</f>
        <v>4.1545440000000005</v>
      </c>
      <c r="BE228" s="101">
        <f>Sheet1!BV228*GPMtoMGD</f>
        <v>2.0885760000000002</v>
      </c>
      <c r="BF228" s="101">
        <f>Sheet1!CJ228*GPMtoMGD</f>
        <v>1.6632</v>
      </c>
      <c r="BG228" s="101">
        <f>Sheet1!CK228*GPMtoMGD</f>
        <v>1.32192</v>
      </c>
      <c r="BH228" s="101">
        <f>Sheet1!CL228*GPMtoMGD</f>
        <v>1.0658880000000002</v>
      </c>
      <c r="BI228" s="101">
        <f t="shared" si="34"/>
        <v>4.1551632000000005</v>
      </c>
      <c r="BK228" s="106">
        <f>SUM(AT228:BA228,BE228,Sheet1!BU228,'Calculations II'!BC228,Calculation!AG228)</f>
        <v>64.488024035160933</v>
      </c>
      <c r="BM228" s="439">
        <f>IF(AND(Sheet1!BQ228&lt;=11.5,Sheet1!BQ227&gt;Sheet1!BQ228),(MIN(Lookup!$C$119,VLOOKUP(Sheet1!BQ227,Lookup!$B$4:$J$236,2))-VLOOKUP(Sheet1!BQ228,Lookup!$B$4:$J$236,2))/1000000,0)</f>
        <v>0</v>
      </c>
      <c r="BN228" s="439">
        <f>IF(AND(Sheet1!BR228&lt;=11.5,Sheet1!BR227&gt;Sheet1!BR228),(MIN(Lookup!$D$119,VLOOKUP(Sheet1!BR227,Lookup!$B$4:$J$236,3))-VLOOKUP(Sheet1!BR228,Lookup!$B$4:$J$236,3))/1000000,0)</f>
        <v>0</v>
      </c>
      <c r="BP228" s="105">
        <f>SUM(BM228:BN228,W228,Sheet1!DT228)</f>
        <v>0</v>
      </c>
    </row>
    <row r="229" spans="1:68" s="101" customFormat="1">
      <c r="A229" s="101" t="s">
        <v>5</v>
      </c>
      <c r="B229" s="103">
        <v>40758</v>
      </c>
      <c r="C229" s="104">
        <v>0.33333333333357601</v>
      </c>
      <c r="E229" s="30"/>
      <c r="F229" s="30">
        <f>-(VLOOKUP(Sheet1!BZ229,Lookup!$I$4:$J$216,2)-VLOOKUP(Sheet1!BZ228,Lookup!$I$4:$J$216,2))/1000000</f>
        <v>-4.2491144804598111</v>
      </c>
      <c r="G229" s="106">
        <f>-$G$6*(Sheet1!CB229-Sheet1!CB228)*7.48/1000000</f>
        <v>0.19856750526279648</v>
      </c>
      <c r="H229" s="106">
        <f>-$H$6*(Sheet1!CA229-Sheet1!CA228)*7.48/1000000</f>
        <v>0.33086751172783174</v>
      </c>
      <c r="I229" s="106">
        <f>-$I$6*(Sheet1!CC229-Sheet1!CC228)*7.48/1000000</f>
        <v>-0.17991508428027048</v>
      </c>
      <c r="J229" s="107" t="s">
        <v>193</v>
      </c>
      <c r="K229" s="106">
        <f>-$I$6*(Sheet1!CD229-Sheet1!CD228)*7.48/1000000</f>
        <v>-0.21589810113632443</v>
      </c>
      <c r="L229" s="107" t="s">
        <v>193</v>
      </c>
      <c r="M229" s="106">
        <f>-$M$6*(Sheet1!CE229-Sheet1!CE228)*7.48/1000000</f>
        <v>-5.9969883370125883E-2</v>
      </c>
      <c r="N229" s="106">
        <f>-$N$6*(Sheet1!CF229-Sheet1!CF228)*7.48/1000000</f>
        <v>0.43436641776236795</v>
      </c>
      <c r="O229" s="106">
        <f t="shared" si="30"/>
        <v>-3.7410961144935357</v>
      </c>
      <c r="P229" s="106">
        <f>O229+Calculation!EI229</f>
        <v>0.77210388550646369</v>
      </c>
      <c r="Q229" s="101" t="str">
        <f>IF(Sheet1!BQ229&gt;21.75,"spill elevation","-")</f>
        <v>-</v>
      </c>
      <c r="R229" s="101" t="str">
        <f>IF(Sheet1!BR229&gt;21.75,"spill elevation","-")</f>
        <v>-</v>
      </c>
      <c r="S229" s="101" t="str">
        <f>IF(Sheet1!BS229&gt;21.75,"spill elevation","-")</f>
        <v>-</v>
      </c>
      <c r="T229" s="105">
        <f>IF(Sheet1!DQ229=1,Sheet1!AA229-(SUM(AT229:BA229)+BE229),Sheet1!AA229-SUM(AT229:BA229))</f>
        <v>39.017263999994178</v>
      </c>
      <c r="U229" s="105">
        <f>Sheet1!BU229</f>
        <v>41.2</v>
      </c>
      <c r="V229" s="105">
        <f t="shared" si="31"/>
        <v>-2.1827360000058249</v>
      </c>
      <c r="W229" s="105">
        <f t="shared" si="32"/>
        <v>0</v>
      </c>
      <c r="X229" s="101">
        <f>IF((Sheet1!EX229-Sheet1!EX228)&lt;0,(Sheet1!EX229+100000-Sheet1!EX228)/1000,(Sheet1!EX229-Sheet1!EX228)/1000)</f>
        <v>0.628</v>
      </c>
      <c r="Y229" s="106">
        <f>Calculation!DZ230+Calculation!EI229+'Calculations II'!O229-'Calculations II'!W229</f>
        <v>95.223591885506465</v>
      </c>
      <c r="Z229" s="106">
        <f>Y229-Sheet1!CP230</f>
        <v>76.23359188550647</v>
      </c>
      <c r="AA229" s="106">
        <f>Y229+Calculation!CZ230+Calculation!AI230</f>
        <v>111.56677743558856</v>
      </c>
      <c r="AC229" s="106">
        <f>Sheet1!AA229+Sheet1!AB229+BC229</f>
        <v>89.437727999991267</v>
      </c>
      <c r="AD229" s="106">
        <f>Sheet1!AA229+Sheet1!BN229+'Calculations II'!BC229-Calculation!AI229-Calculation!CZ229</f>
        <v>57.949260125201647</v>
      </c>
      <c r="AE229" s="106">
        <f>Sheet1!AA229+Sheet1!AB229+'Calculations II'!BC229-Calculation!AI229-Calculation!CZ229</f>
        <v>73.59926012519874</v>
      </c>
      <c r="AF229" s="106">
        <f>Sheet1!AA229+Sheet1!BN229+P229+'Calculations II'!BC229+Calculation!AI229+Calculation!CZ229</f>
        <v>90.39829976029317</v>
      </c>
      <c r="AG229" s="106">
        <f>Sheet1!AA229+Sheet1!BN229+'Calculations II'!BC229+'Calculations II'!P229-Sheet1!CP229-BP229</f>
        <v>57.299831885500637</v>
      </c>
      <c r="AH229" s="106">
        <f>Sheet1!AA229+Sheet1!BN229+'Calculations II'!BC229+'Calculations II'!P229-BP229</f>
        <v>74.559831885500643</v>
      </c>
      <c r="AI229" s="106">
        <f>BC229+Sheet1!AA229+Calculation!EI229+O229+W229+Sheet1!BN229+Calculation!AI229+Calculation!CZ229-BP229</f>
        <v>90.39829976029317</v>
      </c>
      <c r="AJ229" s="106"/>
      <c r="AM229" s="102">
        <f t="shared" si="33"/>
        <v>40758</v>
      </c>
      <c r="AN229" s="106"/>
      <c r="AO229" s="106"/>
      <c r="AR229" s="106"/>
      <c r="AT229" s="101">
        <f>Sheet1!AR229*GPMtoMGD</f>
        <v>0</v>
      </c>
      <c r="AU229" s="101">
        <f>Sheet1!AS229*GPMtoMGD</f>
        <v>6.1200000000000004E-2</v>
      </c>
      <c r="AV229" s="101">
        <f>Sheet1!AT229*GPMtoMGD</f>
        <v>0</v>
      </c>
      <c r="AW229" s="101">
        <f>Sheet1!AV229*GPMtoMGD</f>
        <v>1.628784</v>
      </c>
      <c r="AX229" s="101">
        <f>Sheet1!AW229*GPMtoMGD</f>
        <v>1.1041920000000001</v>
      </c>
      <c r="AY229" s="101">
        <f>Sheet1!AX229*GPMtoMGD</f>
        <v>8.856E-2</v>
      </c>
      <c r="AZ229" s="101">
        <f>Sheet1!AY229*GPMtoMGD</f>
        <v>0</v>
      </c>
      <c r="BA229" s="101">
        <f>Sheet1!AZ229*GPMtoMGD</f>
        <v>0</v>
      </c>
      <c r="BB229" s="101">
        <f>Sheet1!BP229*GPMtoMGD</f>
        <v>0</v>
      </c>
      <c r="BC229" s="101">
        <f>Sheet1!CO229*GPMtoMGD</f>
        <v>17.587728000000002</v>
      </c>
      <c r="BD229" s="101">
        <f>Sheet1!BO229*GPMtoMGD</f>
        <v>4.915584</v>
      </c>
      <c r="BE229" s="101">
        <f>Sheet1!BV229*GPMtoMGD</f>
        <v>3.6547200000000002</v>
      </c>
      <c r="BF229" s="101">
        <f>Sheet1!CJ229*GPMtoMGD</f>
        <v>1.845504</v>
      </c>
      <c r="BG229" s="101">
        <f>Sheet1!CK229*GPMtoMGD</f>
        <v>1.5150239999999999</v>
      </c>
      <c r="BH229" s="101">
        <f>Sheet1!CL229*GPMtoMGD</f>
        <v>1.1216159999999999</v>
      </c>
      <c r="BI229" s="101">
        <f t="shared" si="34"/>
        <v>4.915584</v>
      </c>
      <c r="BK229" s="106">
        <f>SUM(AT229:BA229,BE229,Sheet1!BU229,'Calculations II'!BC229,Calculation!AG229)</f>
        <v>79.436716125204569</v>
      </c>
      <c r="BM229" s="439">
        <f>IF(AND(Sheet1!BQ229&lt;=11.5,Sheet1!BQ228&gt;Sheet1!BQ229),(MIN(Lookup!$C$119,VLOOKUP(Sheet1!BQ228,Lookup!$B$4:$J$236,2))-VLOOKUP(Sheet1!BQ229,Lookup!$B$4:$J$236,2))/1000000,0)</f>
        <v>0</v>
      </c>
      <c r="BN229" s="439">
        <f>IF(AND(Sheet1!BR229&lt;=11.5,Sheet1!BR228&gt;Sheet1!BR229),(MIN(Lookup!$D$119,VLOOKUP(Sheet1!BR228,Lookup!$B$4:$J$236,3))-VLOOKUP(Sheet1!BR229,Lookup!$B$4:$J$236,3))/1000000,0)</f>
        <v>0</v>
      </c>
      <c r="BP229" s="105">
        <f>SUM(BM229:BN229,W229,Sheet1!DT229)</f>
        <v>0</v>
      </c>
    </row>
    <row r="230" spans="1:68" s="101" customFormat="1">
      <c r="A230" s="101" t="s">
        <v>6</v>
      </c>
      <c r="B230" s="103">
        <v>40759</v>
      </c>
      <c r="C230" s="104">
        <v>0.33333333333357601</v>
      </c>
      <c r="E230" s="30"/>
      <c r="F230" s="30">
        <f>-(VLOOKUP(Sheet1!BZ230,Lookup!$I$4:$J$216,2)-VLOOKUP(Sheet1!BZ229,Lookup!$I$4:$J$216,2))/1000000</f>
        <v>0.31091081564340367</v>
      </c>
      <c r="G230" s="106">
        <f>-$G$6*(Sheet1!CB230-Sheet1!CB229)*7.48/1000000</f>
        <v>-0.11914050315767817</v>
      </c>
      <c r="H230" s="106">
        <f>-$H$6*(Sheet1!CA230-Sheet1!CA229)*7.48/1000000</f>
        <v>0.25567034997150645</v>
      </c>
      <c r="I230" s="106">
        <f>-$I$6*(Sheet1!CC230-Sheet1!CC229)*7.48/1000000</f>
        <v>5.3974525284081275E-2</v>
      </c>
      <c r="J230" s="107" t="s">
        <v>193</v>
      </c>
      <c r="K230" s="106">
        <f>-$I$6*(Sheet1!CD230-Sheet1!CD229)*7.48/1000000</f>
        <v>8.9957542140135238E-2</v>
      </c>
      <c r="L230" s="107" t="s">
        <v>193</v>
      </c>
      <c r="M230" s="106">
        <f>-$M$6*(Sheet1!CE230-Sheet1!CE229)*7.48/1000000</f>
        <v>0</v>
      </c>
      <c r="N230" s="106">
        <f>-$N$6*(Sheet1!CF230-Sheet1!CF229)*7.48/1000000</f>
        <v>-0.93078518091935858</v>
      </c>
      <c r="O230" s="106">
        <f t="shared" si="30"/>
        <v>-0.33941245103791018</v>
      </c>
      <c r="P230" s="106">
        <f>O230+Calculation!EI230</f>
        <v>-2.98441245103791</v>
      </c>
      <c r="Q230" s="101" t="str">
        <f>IF(Sheet1!BQ230&gt;21.75,"spill elevation","-")</f>
        <v>-</v>
      </c>
      <c r="R230" s="101" t="str">
        <f>IF(Sheet1!BR230&gt;21.75,"spill elevation","-")</f>
        <v>-</v>
      </c>
      <c r="S230" s="101" t="str">
        <f>IF(Sheet1!BS230&gt;21.75,"spill elevation","-")</f>
        <v>-</v>
      </c>
      <c r="T230" s="105">
        <f>IF(Sheet1!DQ230=1,Sheet1!AA230-(SUM(AT230:BA230)+BE230),Sheet1!AA230-SUM(AT230:BA230))</f>
        <v>38.577264</v>
      </c>
      <c r="U230" s="105">
        <f>Sheet1!BU230</f>
        <v>36.1</v>
      </c>
      <c r="V230" s="105">
        <f t="shared" si="31"/>
        <v>2.4772639999999981</v>
      </c>
      <c r="W230" s="105">
        <f t="shared" si="32"/>
        <v>0</v>
      </c>
      <c r="X230" s="101">
        <f>IF((Sheet1!EX230-Sheet1!EX229)&lt;0,(Sheet1!EX230+100000-Sheet1!EX229)/1000,(Sheet1!EX230-Sheet1!EX229)/1000)</f>
        <v>0.61399999999999999</v>
      </c>
      <c r="Y230" s="106">
        <f>Calculation!DZ231+Calculation!EI230+'Calculations II'!O230-'Calculations II'!W230</f>
        <v>94.494880988964411</v>
      </c>
      <c r="Z230" s="106">
        <f>Y230-Sheet1!CP231</f>
        <v>76.144880988964417</v>
      </c>
      <c r="AA230" s="106">
        <f>Y230+Calculation!CZ231+Calculation!AI231</f>
        <v>112.76652104701931</v>
      </c>
      <c r="AC230" s="106">
        <f>Sheet1!AA230+Sheet1!AB230+BC230</f>
        <v>94.451487999999998</v>
      </c>
      <c r="AD230" s="106">
        <f>Sheet1!AA230+Sheet1!BN230+'Calculations II'!BC230-Calculation!AI230-Calculation!CZ230</f>
        <v>61.508302449917899</v>
      </c>
      <c r="AE230" s="106">
        <f>Sheet1!AA230+Sheet1!AB230+'Calculations II'!BC230-Calculation!AI230-Calculation!CZ230</f>
        <v>78.108302449917886</v>
      </c>
      <c r="AF230" s="106">
        <f>Sheet1!AA230+Sheet1!BN230+P230+'Calculations II'!BC230+Calculation!AI230+Calculation!CZ230</f>
        <v>91.210261099044203</v>
      </c>
      <c r="AG230" s="106">
        <f>Sheet1!AA230+Sheet1!BN230+'Calculations II'!BC230+'Calculations II'!P230-Sheet1!CP230-BP230</f>
        <v>55.877075548962097</v>
      </c>
      <c r="AH230" s="106">
        <f>Sheet1!AA230+Sheet1!BN230+'Calculations II'!BC230+'Calculations II'!P230-BP230</f>
        <v>74.867075548962092</v>
      </c>
      <c r="AI230" s="106">
        <f>BC230+Sheet1!AA230+Calculation!EI230+O230+W230+Sheet1!BN230+Calculation!AI230+Calculation!CZ230-BP230</f>
        <v>91.210261099044175</v>
      </c>
      <c r="AJ230" s="106"/>
      <c r="AM230" s="102">
        <f t="shared" si="33"/>
        <v>40759</v>
      </c>
      <c r="AN230" s="106"/>
      <c r="AO230" s="106"/>
      <c r="AR230" s="106"/>
      <c r="AT230" s="101">
        <f>Sheet1!AR230*GPMtoMGD</f>
        <v>0</v>
      </c>
      <c r="AU230" s="101">
        <f>Sheet1!AS230*GPMtoMGD</f>
        <v>5.8896000000000004E-2</v>
      </c>
      <c r="AV230" s="101">
        <f>Sheet1!AT230*GPMtoMGD</f>
        <v>0</v>
      </c>
      <c r="AW230" s="101">
        <f>Sheet1!AV230*GPMtoMGD</f>
        <v>1.3034880000000002</v>
      </c>
      <c r="AX230" s="101">
        <f>Sheet1!AW230*GPMtoMGD</f>
        <v>1.989072</v>
      </c>
      <c r="AY230" s="101">
        <f>Sheet1!AX230*GPMtoMGD</f>
        <v>7.128000000000001E-2</v>
      </c>
      <c r="AZ230" s="101">
        <f>Sheet1!AY230*GPMtoMGD</f>
        <v>0</v>
      </c>
      <c r="BA230" s="101">
        <f>Sheet1!AZ230*GPMtoMGD</f>
        <v>0</v>
      </c>
      <c r="BB230" s="101">
        <f>Sheet1!BP230*GPMtoMGD</f>
        <v>0</v>
      </c>
      <c r="BC230" s="101">
        <f>Sheet1!CO230*GPMtoMGD</f>
        <v>15.451488000000001</v>
      </c>
      <c r="BD230" s="101">
        <f>Sheet1!BO230*GPMtoMGD</f>
        <v>4.4824320000000002</v>
      </c>
      <c r="BE230" s="101">
        <f>Sheet1!BV230*GPMtoMGD</f>
        <v>1.7282880000000003</v>
      </c>
      <c r="BF230" s="101">
        <f>Sheet1!CJ230*GPMtoMGD</f>
        <v>1.8753120000000001</v>
      </c>
      <c r="BG230" s="101">
        <f>Sheet1!CK230*GPMtoMGD</f>
        <v>1.5634080000000001</v>
      </c>
      <c r="BH230" s="101">
        <f>Sheet1!CL230*GPMtoMGD</f>
        <v>1.0869120000000001</v>
      </c>
      <c r="BI230" s="101">
        <f t="shared" si="34"/>
        <v>4.4824320000000002</v>
      </c>
      <c r="BK230" s="106">
        <f>SUM(AT230:BA230,BE230,Sheet1!BU230,'Calculations II'!BC230,Calculation!AG230)</f>
        <v>77.359326449917887</v>
      </c>
      <c r="BM230" s="439">
        <f>IF(AND(Sheet1!BQ230&lt;=11.5,Sheet1!BQ229&gt;Sheet1!BQ230),(MIN(Lookup!$C$119,VLOOKUP(Sheet1!BQ229,Lookup!$B$4:$J$236,2))-VLOOKUP(Sheet1!BQ230,Lookup!$B$4:$J$236,2))/1000000,0)</f>
        <v>0</v>
      </c>
      <c r="BN230" s="439">
        <f>IF(AND(Sheet1!BR230&lt;=11.5,Sheet1!BR229&gt;Sheet1!BR230),(MIN(Lookup!$D$119,VLOOKUP(Sheet1!BR229,Lookup!$B$4:$J$236,3))-VLOOKUP(Sheet1!BR230,Lookup!$B$4:$J$236,3))/1000000,0)</f>
        <v>0</v>
      </c>
      <c r="BP230" s="105">
        <f>SUM(BM230:BN230,W230,Sheet1!DT230)</f>
        <v>0</v>
      </c>
    </row>
    <row r="231" spans="1:68" s="101" customFormat="1">
      <c r="A231" s="101" t="s">
        <v>7</v>
      </c>
      <c r="B231" s="103">
        <v>40760</v>
      </c>
      <c r="C231" s="104">
        <v>0.33333333333357601</v>
      </c>
      <c r="E231" s="30"/>
      <c r="F231" s="30">
        <f>-(VLOOKUP(Sheet1!BZ231,Lookup!$I$4:$J$216,2)-VLOOKUP(Sheet1!BZ230,Lookup!$I$4:$J$216,2))/1000000</f>
        <v>0.20727387709560247</v>
      </c>
      <c r="G231" s="106">
        <f>-$G$6*(Sheet1!CB231-Sheet1!CB230)*7.48/1000000</f>
        <v>-0.71484301894606761</v>
      </c>
      <c r="H231" s="106">
        <f>-$H$6*(Sheet1!CA231-Sheet1!CA230)*7.48/1000000</f>
        <v>-0.37598580878162652</v>
      </c>
      <c r="I231" s="106">
        <f>-$I$6*(Sheet1!CC231-Sheet1!CC230)*7.48/1000000</f>
        <v>3.598301685605397E-2</v>
      </c>
      <c r="J231" s="107" t="s">
        <v>193</v>
      </c>
      <c r="K231" s="106">
        <f>-$I$6*(Sheet1!CD231-Sheet1!CD230)*7.48/1000000</f>
        <v>3.598301685605397E-2</v>
      </c>
      <c r="L231" s="107" t="s">
        <v>193</v>
      </c>
      <c r="M231" s="106">
        <f>-$M$6*(Sheet1!CE231-Sheet1!CE230)*7.48/1000000</f>
        <v>1.9989961123375376E-2</v>
      </c>
      <c r="N231" s="106">
        <f>-$N$6*(Sheet1!CF231-Sheet1!CF230)*7.48/1000000</f>
        <v>0.4343664177623669</v>
      </c>
      <c r="O231" s="106">
        <f t="shared" si="30"/>
        <v>-0.35723253803424143</v>
      </c>
      <c r="P231" s="106">
        <f>O231+Calculation!EI231</f>
        <v>-9.7589325380342409</v>
      </c>
      <c r="Q231" s="101" t="str">
        <f>IF(Sheet1!BQ231&gt;21.75,"spill elevation","-")</f>
        <v>-</v>
      </c>
      <c r="R231" s="101" t="str">
        <f>IF(Sheet1!BR231&gt;21.75,"spill elevation","-")</f>
        <v>-</v>
      </c>
      <c r="S231" s="101" t="str">
        <f>IF(Sheet1!BS231&gt;21.75,"spill elevation","-")</f>
        <v>-</v>
      </c>
      <c r="T231" s="105">
        <f>IF(Sheet1!DQ231=1,Sheet1!AA231-(SUM(AT231:BA231)+BE231),Sheet1!AA231-SUM(AT231:BA231))</f>
        <v>42.355600000002909</v>
      </c>
      <c r="U231" s="105">
        <f>Sheet1!BU231</f>
        <v>30.8</v>
      </c>
      <c r="V231" s="105">
        <f t="shared" si="31"/>
        <v>11.555600000002908</v>
      </c>
      <c r="W231" s="105">
        <f t="shared" si="32"/>
        <v>0</v>
      </c>
      <c r="X231" s="101">
        <f>IF((Sheet1!EX231-Sheet1!EX230)&lt;0,(Sheet1!EX231+100000-Sheet1!EX230)/1000,(Sheet1!EX231-Sheet1!EX230)/1000)</f>
        <v>0.61399999999999999</v>
      </c>
      <c r="Y231" s="106">
        <f>Calculation!DZ232+Calculation!EI231+'Calculations II'!O231-'Calculations II'!W231</f>
        <v>81.415483461969245</v>
      </c>
      <c r="Z231" s="106">
        <f>Y231-Sheet1!CP232</f>
        <v>64.605483461969243</v>
      </c>
      <c r="AA231" s="106">
        <f>Y231+Calculation!CZ232+Calculation!AI232</f>
        <v>99.979567287871049</v>
      </c>
      <c r="AC231" s="106">
        <f>Sheet1!AA231+Sheet1!AB231+BC231</f>
        <v>97.479293440002323</v>
      </c>
      <c r="AD231" s="106">
        <f>Sheet1!AA231+Sheet1!BN231+'Calculations II'!BC231-Calculation!AI231-Calculation!CZ231</f>
        <v>60.767653381948008</v>
      </c>
      <c r="AE231" s="106">
        <f>Sheet1!AA231+Sheet1!AB231+'Calculations II'!BC231-Calculation!AI231-Calculation!CZ231</f>
        <v>79.207653381947424</v>
      </c>
      <c r="AF231" s="106">
        <f>Sheet1!AA231+Sheet1!BN231+P231+'Calculations II'!BC231+Calculation!AI231+Calculation!CZ231</f>
        <v>87.552000960023562</v>
      </c>
      <c r="AG231" s="106">
        <f>Sheet1!AA231+Sheet1!BN231+'Calculations II'!BC231+'Calculations II'!P231-Sheet1!CP231-BP231</f>
        <v>50.930360901968662</v>
      </c>
      <c r="AH231" s="106">
        <f>Sheet1!AA231+Sheet1!BN231+'Calculations II'!BC231+'Calculations II'!P231-BP231</f>
        <v>69.280360901968663</v>
      </c>
      <c r="AI231" s="106">
        <f>BC231+Sheet1!AA231+Calculation!EI231+O231+W231+Sheet1!BN231+Calculation!AI231+Calculation!CZ231-BP231</f>
        <v>87.552000960023577</v>
      </c>
      <c r="AJ231" s="106"/>
      <c r="AM231" s="102">
        <f t="shared" si="33"/>
        <v>40760</v>
      </c>
      <c r="AN231" s="106"/>
      <c r="AO231" s="106"/>
      <c r="AR231" s="106"/>
      <c r="AT231" s="101">
        <f>Sheet1!AR231*GPMtoMGD</f>
        <v>0</v>
      </c>
      <c r="AU231" s="101">
        <f>Sheet1!AS231*GPMtoMGD</f>
        <v>2.7648000000000002E-2</v>
      </c>
      <c r="AV231" s="101">
        <f>Sheet1!AT231*GPMtoMGD</f>
        <v>0</v>
      </c>
      <c r="AW231" s="101">
        <f>Sheet1!AV231*GPMtoMGD</f>
        <v>1.0867680000000002</v>
      </c>
      <c r="AX231" s="101">
        <f>Sheet1!AW231*GPMtoMGD</f>
        <v>1.2589920000000001</v>
      </c>
      <c r="AY231" s="101">
        <f>Sheet1!AX231*GPMtoMGD</f>
        <v>7.0992E-2</v>
      </c>
      <c r="AZ231" s="101">
        <f>Sheet1!AY231*GPMtoMGD</f>
        <v>0</v>
      </c>
      <c r="BA231" s="101">
        <f>Sheet1!AZ231*GPMtoMGD</f>
        <v>0</v>
      </c>
      <c r="BB231" s="101">
        <f>Sheet1!BP231*GPMtoMGD</f>
        <v>0</v>
      </c>
      <c r="BC231" s="101">
        <f>Sheet1!CO231*GPMtoMGD</f>
        <v>11.03929344</v>
      </c>
      <c r="BD231" s="101">
        <f>Sheet1!BO231*GPMtoMGD</f>
        <v>3.8256480000000002</v>
      </c>
      <c r="BE231" s="101">
        <f>Sheet1!BV231*GPMtoMGD</f>
        <v>1.616544</v>
      </c>
      <c r="BF231" s="101">
        <f>Sheet1!CJ231*GPMtoMGD</f>
        <v>1.6089120000000001</v>
      </c>
      <c r="BG231" s="101">
        <f>Sheet1!CK231*GPMtoMGD</f>
        <v>1.444032</v>
      </c>
      <c r="BH231" s="101">
        <f>Sheet1!CL231*GPMtoMGD</f>
        <v>1.048176</v>
      </c>
      <c r="BI231" s="101">
        <f t="shared" si="34"/>
        <v>3.8256480000000002</v>
      </c>
      <c r="BK231" s="106">
        <f>SUM(AT231:BA231,BE231,Sheet1!BU231,'Calculations II'!BC231,Calculation!AG231)</f>
        <v>69.268597381944517</v>
      </c>
      <c r="BM231" s="439">
        <f>IF(AND(Sheet1!BQ231&lt;=11.5,Sheet1!BQ230&gt;Sheet1!BQ231),(MIN(Lookup!$C$119,VLOOKUP(Sheet1!BQ230,Lookup!$B$4:$J$236,2))-VLOOKUP(Sheet1!BQ231,Lookup!$B$4:$J$236,2))/1000000,0)</f>
        <v>0</v>
      </c>
      <c r="BN231" s="439">
        <f>IF(AND(Sheet1!BR231&lt;=11.5,Sheet1!BR230&gt;Sheet1!BR231),(MIN(Lookup!$D$119,VLOOKUP(Sheet1!BR230,Lookup!$B$4:$J$236,3))-VLOOKUP(Sheet1!BR231,Lookup!$B$4:$J$236,3))/1000000,0)</f>
        <v>0</v>
      </c>
      <c r="BP231" s="105">
        <f>SUM(BM231:BN231,W231,Sheet1!DT231)</f>
        <v>0</v>
      </c>
    </row>
    <row r="232" spans="1:68" s="101" customFormat="1">
      <c r="A232" s="101" t="s">
        <v>8</v>
      </c>
      <c r="B232" s="103">
        <v>40761</v>
      </c>
      <c r="C232" s="104">
        <v>0.33333333333357601</v>
      </c>
      <c r="E232" s="30"/>
      <c r="F232" s="30">
        <f>-(VLOOKUP(Sheet1!BZ232,Lookup!$I$4:$J$216,2)-VLOOKUP(Sheet1!BZ231,Lookup!$I$4:$J$216,2))/1000000</f>
        <v>-0.20727387709560247</v>
      </c>
      <c r="G232" s="106">
        <f>-$G$6*(Sheet1!CB232-Sheet1!CB231)*7.48/1000000</f>
        <v>0.67512951789350772</v>
      </c>
      <c r="H232" s="106">
        <f>-$H$6*(Sheet1!CA232-Sheet1!CA231)*7.48/1000000</f>
        <v>-0.12031545881012112</v>
      </c>
      <c r="I232" s="106">
        <f>-$I$6*(Sheet1!CC232-Sheet1!CC231)*7.48/1000000</f>
        <v>-0.10794905056816222</v>
      </c>
      <c r="J232" s="107" t="s">
        <v>193</v>
      </c>
      <c r="K232" s="106">
        <f>-$I$6*(Sheet1!CD232-Sheet1!CD231)*7.48/1000000</f>
        <v>-0.14393206742421652</v>
      </c>
      <c r="L232" s="107" t="s">
        <v>193</v>
      </c>
      <c r="M232" s="106">
        <f>-$M$6*(Sheet1!CE232-Sheet1!CE231)*7.48/1000000</f>
        <v>-3.3316601872292212E-2</v>
      </c>
      <c r="N232" s="106">
        <f>-$N$6*(Sheet1!CF232-Sheet1!CF231)*7.48/1000000</f>
        <v>0</v>
      </c>
      <c r="O232" s="106">
        <f t="shared" si="30"/>
        <v>6.2342462123113174E-2</v>
      </c>
      <c r="P232" s="106">
        <f>O232+Calculation!EI232</f>
        <v>-5.9496575378768872</v>
      </c>
      <c r="Q232" s="101" t="str">
        <f>IF(Sheet1!BQ232&gt;21.75,"spill elevation","-")</f>
        <v>-</v>
      </c>
      <c r="R232" s="101" t="str">
        <f>IF(Sheet1!BR232&gt;21.75,"spill elevation","-")</f>
        <v>-</v>
      </c>
      <c r="S232" s="101" t="str">
        <f>IF(Sheet1!BS232&gt;21.75,"spill elevation","-")</f>
        <v>-</v>
      </c>
      <c r="T232" s="105">
        <f>IF(Sheet1!DQ232=1,Sheet1!AA232-(SUM(AT232:BA232)+BE232),Sheet1!AA232-SUM(AT232:BA232))</f>
        <v>43.004911999999997</v>
      </c>
      <c r="U232" s="105">
        <f>Sheet1!BU232</f>
        <v>35.5</v>
      </c>
      <c r="V232" s="105">
        <f t="shared" si="31"/>
        <v>7.5049119999999974</v>
      </c>
      <c r="W232" s="105">
        <f t="shared" si="32"/>
        <v>0</v>
      </c>
      <c r="X232" s="101">
        <f>IF((Sheet1!EX232-Sheet1!EX231)&lt;0,(Sheet1!EX232+100000-Sheet1!EX231)/1000,(Sheet1!EX232-Sheet1!EX231)/1000)</f>
        <v>0.73099999999999998</v>
      </c>
      <c r="Y232" s="106">
        <f>Calculation!DZ233+Calculation!EI232+'Calculations II'!O232-'Calculations II'!W232</f>
        <v>77.569800382118743</v>
      </c>
      <c r="Z232" s="106">
        <f>Y232-Sheet1!CP233</f>
        <v>59.859800382118742</v>
      </c>
      <c r="AA232" s="106">
        <f>Y232+Calculation!CZ233+Calculation!AI233</f>
        <v>94.758485906244346</v>
      </c>
      <c r="AC232" s="106">
        <f>Sheet1!AA232+Sheet1!AB232+BC232</f>
        <v>91.17441600000349</v>
      </c>
      <c r="AD232" s="106">
        <f>Sheet1!AA232+Sheet1!BN232+'Calculations II'!BC232-Calculation!AI232-Calculation!CZ232</f>
        <v>54.200332174098186</v>
      </c>
      <c r="AE232" s="106">
        <f>Sheet1!AA232+Sheet1!AB232+'Calculations II'!BC232-Calculation!AI232-Calculation!CZ232</f>
        <v>72.610332174101671</v>
      </c>
      <c r="AF232" s="106">
        <f>Sheet1!AA232+Sheet1!BN232+P232+'Calculations II'!BC232+Calculation!AI232+Calculation!CZ232</f>
        <v>85.378842288024913</v>
      </c>
      <c r="AG232" s="106">
        <f>Sheet1!AA232+Sheet1!BN232+'Calculations II'!BC232+'Calculations II'!P232-Sheet1!CP232-BP232</f>
        <v>50.004758462123107</v>
      </c>
      <c r="AH232" s="106">
        <f>Sheet1!AA232+Sheet1!BN232+'Calculations II'!BC232+'Calculations II'!P232-BP232</f>
        <v>66.814758462123109</v>
      </c>
      <c r="AI232" s="106">
        <f>BC232+Sheet1!AA232+Calculation!EI232+O232+W232+Sheet1!BN232+Calculation!AI232+Calculation!CZ232-BP232</f>
        <v>85.378842288024913</v>
      </c>
      <c r="AJ232" s="106"/>
      <c r="AM232" s="102">
        <f t="shared" si="33"/>
        <v>40761</v>
      </c>
      <c r="AN232" s="106"/>
      <c r="AO232" s="106"/>
      <c r="AR232" s="106"/>
      <c r="AT232" s="101">
        <f>Sheet1!AR232*GPMtoMGD</f>
        <v>0</v>
      </c>
      <c r="AU232" s="101">
        <f>Sheet1!AS232*GPMtoMGD</f>
        <v>5.4000000000000006E-2</v>
      </c>
      <c r="AV232" s="101">
        <f>Sheet1!AT232*GPMtoMGD</f>
        <v>0</v>
      </c>
      <c r="AW232" s="101">
        <f>Sheet1!AV232*GPMtoMGD</f>
        <v>1.0909440000000001</v>
      </c>
      <c r="AX232" s="101">
        <f>Sheet1!AW232*GPMtoMGD</f>
        <v>1.285344</v>
      </c>
      <c r="AY232" s="101">
        <f>Sheet1!AX232*GPMtoMGD</f>
        <v>6.480000000000001E-2</v>
      </c>
      <c r="AZ232" s="101">
        <f>Sheet1!AY232*GPMtoMGD</f>
        <v>0</v>
      </c>
      <c r="BA232" s="101">
        <f>Sheet1!AZ232*GPMtoMGD</f>
        <v>0</v>
      </c>
      <c r="BB232" s="101">
        <f>Sheet1!BP232*GPMtoMGD</f>
        <v>0</v>
      </c>
      <c r="BC232" s="101">
        <f>Sheet1!CO232*GPMtoMGD</f>
        <v>8.7644160000000007</v>
      </c>
      <c r="BD232" s="101">
        <f>Sheet1!BO232*GPMtoMGD</f>
        <v>4.4403839999999999</v>
      </c>
      <c r="BE232" s="101">
        <f>Sheet1!BV232*GPMtoMGD</f>
        <v>1.5732000000000002</v>
      </c>
      <c r="BF232" s="101">
        <f>Sheet1!CJ232*GPMtoMGD</f>
        <v>1.72584</v>
      </c>
      <c r="BG232" s="101">
        <f>Sheet1!CK232*GPMtoMGD</f>
        <v>1.5173280000000002</v>
      </c>
      <c r="BH232" s="101">
        <f>Sheet1!CL232*GPMtoMGD</f>
        <v>1.0229760000000001</v>
      </c>
      <c r="BI232" s="101">
        <f t="shared" si="34"/>
        <v>4.4403839999999999</v>
      </c>
      <c r="BK232" s="106">
        <f>SUM(AT232:BA232,BE232,Sheet1!BU232,'Calculations II'!BC232,Calculation!AG232)</f>
        <v>66.678620174101695</v>
      </c>
      <c r="BM232" s="439">
        <f>IF(AND(Sheet1!BQ232&lt;=11.5,Sheet1!BQ231&gt;Sheet1!BQ232),(MIN(Lookup!$C$119,VLOOKUP(Sheet1!BQ231,Lookup!$B$4:$J$236,2))-VLOOKUP(Sheet1!BQ232,Lookup!$B$4:$J$236,2))/1000000,0)</f>
        <v>0</v>
      </c>
      <c r="BN232" s="439">
        <f>IF(AND(Sheet1!BR232&lt;=11.5,Sheet1!BR231&gt;Sheet1!BR232),(MIN(Lookup!$D$119,VLOOKUP(Sheet1!BR231,Lookup!$B$4:$J$236,3))-VLOOKUP(Sheet1!BR232,Lookup!$B$4:$J$236,3))/1000000,0)</f>
        <v>0</v>
      </c>
      <c r="BP232" s="105">
        <f>SUM(BM232:BN232,W232,Sheet1!DT232)</f>
        <v>0</v>
      </c>
    </row>
    <row r="233" spans="1:68" s="101" customFormat="1">
      <c r="A233" s="101" t="s">
        <v>9</v>
      </c>
      <c r="B233" s="103">
        <v>40762</v>
      </c>
      <c r="C233" s="104">
        <v>0.33333333333357601</v>
      </c>
      <c r="E233" s="30"/>
      <c r="F233" s="30">
        <f>-(VLOOKUP(Sheet1!BZ233,Lookup!$I$4:$J$216,2)-VLOOKUP(Sheet1!BZ232,Lookup!$I$4:$J$216,2))/1000000</f>
        <v>0</v>
      </c>
      <c r="G233" s="106">
        <f>-$G$6*(Sheet1!CB233-Sheet1!CB232)*7.48/1000000</f>
        <v>0.43684851157815285</v>
      </c>
      <c r="H233" s="106">
        <f>-$H$6*(Sheet1!CA233-Sheet1!CA232)*7.48/1000000</f>
        <v>0.4361435381866865</v>
      </c>
      <c r="I233" s="106">
        <f>-$I$6*(Sheet1!CC233-Sheet1!CC232)*7.48/1000000</f>
        <v>8.9957542140135238E-2</v>
      </c>
      <c r="J233" s="107" t="s">
        <v>193</v>
      </c>
      <c r="K233" s="106">
        <f>-$I$6*(Sheet1!CD233-Sheet1!CD232)*7.48/1000000</f>
        <v>0.12594055899618953</v>
      </c>
      <c r="L233" s="107" t="s">
        <v>193</v>
      </c>
      <c r="M233" s="106">
        <f>-$M$6*(Sheet1!CE233-Sheet1!CE232)*7.48/1000000</f>
        <v>3.3316601872292212E-2</v>
      </c>
      <c r="N233" s="106">
        <f>-$N$6*(Sheet1!CF233-Sheet1!CF232)*7.48/1000000</f>
        <v>0.37231407236774317</v>
      </c>
      <c r="O233" s="106">
        <f t="shared" si="30"/>
        <v>1.4945208251411994</v>
      </c>
      <c r="P233" s="106">
        <f>O233+Calculation!EI233</f>
        <v>3.6833208251411991</v>
      </c>
      <c r="Q233" s="101" t="str">
        <f>IF(Sheet1!BQ233&gt;21.75,"spill elevation","-")</f>
        <v>-</v>
      </c>
      <c r="R233" s="101" t="str">
        <f>IF(Sheet1!BR233&gt;21.75,"spill elevation","-")</f>
        <v>-</v>
      </c>
      <c r="S233" s="101" t="str">
        <f>IF(Sheet1!BS233&gt;21.75,"spill elevation","-")</f>
        <v>-</v>
      </c>
      <c r="T233" s="105">
        <f>IF(Sheet1!DQ233=1,Sheet1!AA233-(SUM(AT233:BA233)+BE233),Sheet1!AA233-SUM(AT233:BA233))</f>
        <v>42.579215999997089</v>
      </c>
      <c r="U233" s="105">
        <f>Sheet1!BU233</f>
        <v>42.1</v>
      </c>
      <c r="V233" s="105">
        <f t="shared" si="31"/>
        <v>0.47921599999708775</v>
      </c>
      <c r="W233" s="105">
        <f t="shared" si="32"/>
        <v>0</v>
      </c>
      <c r="X233" s="101">
        <f>IF((Sheet1!EX233-Sheet1!EX232)&lt;0,(Sheet1!EX233+100000-Sheet1!EX232)/1000,(Sheet1!EX233-Sheet1!EX232)/1000)</f>
        <v>0.68200000000000005</v>
      </c>
      <c r="Y233" s="106">
        <f>Calculation!DZ234+Calculation!EI233+'Calculations II'!O233-'Calculations II'!W233</f>
        <v>92.936392825139748</v>
      </c>
      <c r="Z233" s="106">
        <f>Y233-Sheet1!CP234</f>
        <v>74.876392825139746</v>
      </c>
      <c r="AA233" s="106">
        <f>Y233+Calculation!CZ234+Calculation!AI234</f>
        <v>112.40997237059344</v>
      </c>
      <c r="AC233" s="106">
        <f>Sheet1!AA233+Sheet1!AB233+BC233</f>
        <v>83.519457919995631</v>
      </c>
      <c r="AD233" s="106">
        <f>Sheet1!AA233+Sheet1!BN233+'Calculations II'!BC233-Calculation!AI233-Calculation!CZ233</f>
        <v>49.330772395871485</v>
      </c>
      <c r="AE233" s="106">
        <f>Sheet1!AA233+Sheet1!AB233+'Calculations II'!BC233-Calculation!AI233-Calculation!CZ233</f>
        <v>66.330772395870014</v>
      </c>
      <c r="AF233" s="106">
        <f>Sheet1!AA233+Sheet1!BN233+P233+'Calculations II'!BC233+Calculation!AI233+Calculation!CZ233</f>
        <v>87.391464269263906</v>
      </c>
      <c r="AG233" s="106">
        <f>Sheet1!AA233+Sheet1!BN233+'Calculations II'!BC233+'Calculations II'!P233-Sheet1!CP233-BP233</f>
        <v>52.492778745138288</v>
      </c>
      <c r="AH233" s="106">
        <f>Sheet1!AA233+Sheet1!BN233+'Calculations II'!BC233+'Calculations II'!P233-BP233</f>
        <v>70.202778745138289</v>
      </c>
      <c r="AI233" s="106">
        <f>BC233+Sheet1!AA233+Calculation!EI233+O233+W233+Sheet1!BN233+Calculation!AI233+Calculation!CZ233-BP233</f>
        <v>87.391464269263906</v>
      </c>
      <c r="AJ233" s="106"/>
      <c r="AM233" s="102">
        <f t="shared" si="33"/>
        <v>40762</v>
      </c>
      <c r="AN233" s="106"/>
      <c r="AO233" s="106"/>
      <c r="AR233" s="106"/>
      <c r="AT233" s="101">
        <f>Sheet1!AR233*GPMtoMGD</f>
        <v>0</v>
      </c>
      <c r="AU233" s="101">
        <f>Sheet1!AS233*GPMtoMGD</f>
        <v>2.9520000000000001E-2</v>
      </c>
      <c r="AV233" s="101">
        <f>Sheet1!AT233*GPMtoMGD</f>
        <v>0</v>
      </c>
      <c r="AW233" s="101">
        <f>Sheet1!AV233*GPMtoMGD</f>
        <v>1.6657919999999999</v>
      </c>
      <c r="AX233" s="101">
        <f>Sheet1!AW233*GPMtoMGD</f>
        <v>1.0848960000000001</v>
      </c>
      <c r="AY233" s="101">
        <f>Sheet1!AX233*GPMtoMGD</f>
        <v>9.0576000000000004E-2</v>
      </c>
      <c r="AZ233" s="101">
        <f>Sheet1!AY233*GPMtoMGD</f>
        <v>0</v>
      </c>
      <c r="BA233" s="101">
        <f>Sheet1!AZ233*GPMtoMGD</f>
        <v>0</v>
      </c>
      <c r="BB233" s="101">
        <f>Sheet1!BP233*GPMtoMGD</f>
        <v>0</v>
      </c>
      <c r="BC233" s="101">
        <f>Sheet1!CO233*GPMtoMGD</f>
        <v>8.46945792</v>
      </c>
      <c r="BD233" s="101">
        <f>Sheet1!BO233*GPMtoMGD</f>
        <v>4.4189280000000002</v>
      </c>
      <c r="BE233" s="101">
        <f>Sheet1!BV233*GPMtoMGD</f>
        <v>1.66032</v>
      </c>
      <c r="BF233" s="101">
        <f>Sheet1!CJ233*GPMtoMGD</f>
        <v>1.7143200000000001</v>
      </c>
      <c r="BG233" s="101">
        <f>Sheet1!CK233*GPMtoMGD</f>
        <v>1.613232</v>
      </c>
      <c r="BH233" s="101">
        <f>Sheet1!CL233*GPMtoMGD</f>
        <v>1.0139040000000001</v>
      </c>
      <c r="BI233" s="101">
        <f t="shared" si="34"/>
        <v>4.4189280000000002</v>
      </c>
      <c r="BK233" s="106">
        <f>SUM(AT233:BA233,BE233,Sheet1!BU233,'Calculations II'!BC233,Calculation!AG233)</f>
        <v>67.511876395872946</v>
      </c>
      <c r="BM233" s="439">
        <f>IF(AND(Sheet1!BQ233&lt;=11.5,Sheet1!BQ232&gt;Sheet1!BQ233),(MIN(Lookup!$C$119,VLOOKUP(Sheet1!BQ232,Lookup!$B$4:$J$236,2))-VLOOKUP(Sheet1!BQ233,Lookup!$B$4:$J$236,2))/1000000,0)</f>
        <v>0</v>
      </c>
      <c r="BN233" s="439">
        <f>IF(AND(Sheet1!BR233&lt;=11.5,Sheet1!BR232&gt;Sheet1!BR233),(MIN(Lookup!$D$119,VLOOKUP(Sheet1!BR232,Lookup!$B$4:$J$236,3))-VLOOKUP(Sheet1!BR233,Lookup!$B$4:$J$236,3))/1000000,0)</f>
        <v>0</v>
      </c>
      <c r="BP233" s="105">
        <f>SUM(BM233:BN233,W233,Sheet1!DT233)</f>
        <v>0</v>
      </c>
    </row>
    <row r="234" spans="1:68" s="101" customFormat="1">
      <c r="A234" s="101" t="s">
        <v>3</v>
      </c>
      <c r="B234" s="103">
        <v>40763</v>
      </c>
      <c r="C234" s="104">
        <v>0.33333333333357601</v>
      </c>
      <c r="E234" s="30"/>
      <c r="F234" s="30">
        <f>-(VLOOKUP(Sheet1!BZ234,Lookup!$I$4:$J$216,2)-VLOOKUP(Sheet1!BZ233,Lookup!$I$4:$J$216,2))/1000000</f>
        <v>-0.20727387709560247</v>
      </c>
      <c r="G234" s="106">
        <f>-$G$6*(Sheet1!CB234-Sheet1!CB233)*7.48/1000000</f>
        <v>-0.63541601684094939</v>
      </c>
      <c r="H234" s="106">
        <f>-$H$6*(Sheet1!CA234-Sheet1!CA233)*7.48/1000000</f>
        <v>-0.18047318821518007</v>
      </c>
      <c r="I234" s="106">
        <f>-$I$6*(Sheet1!CC234-Sheet1!CC233)*7.48/1000000</f>
        <v>8.9957542140135238E-2</v>
      </c>
      <c r="J234" s="107" t="s">
        <v>193</v>
      </c>
      <c r="K234" s="106">
        <f>-$I$6*(Sheet1!CD234-Sheet1!CD233)*7.48/1000000</f>
        <v>7.196603371210826E-2</v>
      </c>
      <c r="L234" s="107" t="s">
        <v>193</v>
      </c>
      <c r="M234" s="106">
        <f>-$M$6*(Sheet1!CE234-Sheet1!CE233)*7.48/1000000</f>
        <v>2.6653281497833674E-2</v>
      </c>
      <c r="N234" s="106">
        <f>-$N$6*(Sheet1!CF234-Sheet1!CF233)*7.48/1000000</f>
        <v>6.2052345394623676E-2</v>
      </c>
      <c r="O234" s="106">
        <f t="shared" si="30"/>
        <v>-0.772533879407031</v>
      </c>
      <c r="P234" s="106">
        <f>O234+Calculation!EI234</f>
        <v>3.050666120592969</v>
      </c>
      <c r="Q234" s="101" t="str">
        <f>IF(Sheet1!BQ234&gt;21.75,"spill elevation","-")</f>
        <v>-</v>
      </c>
      <c r="R234" s="101" t="str">
        <f>IF(Sheet1!BR234&gt;21.75,"spill elevation","-")</f>
        <v>-</v>
      </c>
      <c r="S234" s="101" t="str">
        <f>IF(Sheet1!BS234&gt;21.75,"spill elevation","-")</f>
        <v>-</v>
      </c>
      <c r="T234" s="105">
        <f>IF(Sheet1!DQ234=1,Sheet1!AA234-(SUM(AT234:BA234)+BE234),Sheet1!AA234-SUM(AT234:BA234))</f>
        <v>44.962992</v>
      </c>
      <c r="U234" s="105">
        <f>Sheet1!BU234</f>
        <v>44.2</v>
      </c>
      <c r="V234" s="105">
        <f t="shared" si="31"/>
        <v>0.76299199999999701</v>
      </c>
      <c r="W234" s="105">
        <f t="shared" si="32"/>
        <v>0</v>
      </c>
      <c r="X234" s="101">
        <f>IF((Sheet1!EX234-Sheet1!EX233)&lt;0,(Sheet1!EX234+100000-Sheet1!EX233)/1000,(Sheet1!EX234-Sheet1!EX233)/1000)</f>
        <v>0.68400000000000005</v>
      </c>
      <c r="Y234" s="106">
        <f>Calculation!DZ235+Calculation!EI234+'Calculations II'!O234-'Calculations II'!W234</f>
        <v>89.686138120592958</v>
      </c>
      <c r="Z234" s="106">
        <f>Y234-Sheet1!CP235</f>
        <v>71.956138120592954</v>
      </c>
      <c r="AA234" s="106">
        <f>Y234+Calculation!CZ235+Calculation!AI235</f>
        <v>108.15548272947245</v>
      </c>
      <c r="AC234" s="106">
        <f>Sheet1!AA234+Sheet1!AB234+BC234</f>
        <v>89.253071999998554</v>
      </c>
      <c r="AD234" s="106">
        <f>Sheet1!AA234+Sheet1!BN234+'Calculations II'!BC234-Calculation!AI234-Calculation!CZ234</f>
        <v>49.829492454546319</v>
      </c>
      <c r="AE234" s="106">
        <f>Sheet1!AA234+Sheet1!AB234+'Calculations II'!BC234-Calculation!AI234-Calculation!CZ234</f>
        <v>69.779492454544879</v>
      </c>
      <c r="AF234" s="106">
        <f>Sheet1!AA234+Sheet1!BN234+P234+'Calculations II'!BC234+Calculation!AI234+Calculation!CZ234</f>
        <v>91.827317666046639</v>
      </c>
      <c r="AG234" s="106">
        <f>Sheet1!AA234+Sheet1!BN234+'Calculations II'!BC234+'Calculations II'!P234-Sheet1!CP234-BP234</f>
        <v>54.293738120592963</v>
      </c>
      <c r="AH234" s="106">
        <f>Sheet1!AA234+Sheet1!BN234+'Calculations II'!BC234+'Calculations II'!P234-BP234</f>
        <v>72.353738120592965</v>
      </c>
      <c r="AI234" s="106">
        <f>BC234+Sheet1!AA234+Calculation!EI234+O234+W234+Sheet1!BN234+Calculation!AI234+Calculation!CZ234-BP234</f>
        <v>91.827317666046667</v>
      </c>
      <c r="AJ234" s="106"/>
      <c r="AM234" s="102">
        <f t="shared" si="33"/>
        <v>40763</v>
      </c>
      <c r="AN234" s="106"/>
      <c r="AO234" s="106"/>
      <c r="AR234" s="106"/>
      <c r="AT234" s="101">
        <f>Sheet1!AR234*GPMtoMGD</f>
        <v>0</v>
      </c>
      <c r="AU234" s="101">
        <f>Sheet1!AS234*GPMtoMGD</f>
        <v>5.04E-2</v>
      </c>
      <c r="AV234" s="101">
        <f>Sheet1!AT234*GPMtoMGD</f>
        <v>0</v>
      </c>
      <c r="AW234" s="101">
        <f>Sheet1!AV234*GPMtoMGD</f>
        <v>1.6387200000000002</v>
      </c>
      <c r="AX234" s="101">
        <f>Sheet1!AW234*GPMtoMGD</f>
        <v>0.52848000000000006</v>
      </c>
      <c r="AY234" s="101">
        <f>Sheet1!AX234*GPMtoMGD</f>
        <v>6.9408000000000011E-2</v>
      </c>
      <c r="AZ234" s="101">
        <f>Sheet1!AY234*GPMtoMGD</f>
        <v>0</v>
      </c>
      <c r="BA234" s="101">
        <f>Sheet1!AZ234*GPMtoMGD</f>
        <v>0</v>
      </c>
      <c r="BB234" s="101">
        <f>Sheet1!BP234*GPMtoMGD</f>
        <v>4.3200000000000002E-2</v>
      </c>
      <c r="BC234" s="101">
        <f>Sheet1!CO234*GPMtoMGD</f>
        <v>9.1530720000000017</v>
      </c>
      <c r="BD234" s="101">
        <f>Sheet1!BO234*GPMtoMGD</f>
        <v>4.2232320000000003</v>
      </c>
      <c r="BE234" s="101">
        <f>Sheet1!BV234*GPMtoMGD</f>
        <v>1.5048000000000001</v>
      </c>
      <c r="BF234" s="101">
        <f>Sheet1!CJ234*GPMtoMGD</f>
        <v>1.5816960000000002</v>
      </c>
      <c r="BG234" s="101">
        <f>Sheet1!CK234*GPMtoMGD</f>
        <v>1.4721120000000001</v>
      </c>
      <c r="BH234" s="101">
        <f>Sheet1!CL234*GPMtoMGD</f>
        <v>1.0640160000000001</v>
      </c>
      <c r="BI234" s="101">
        <f t="shared" si="34"/>
        <v>4.266432</v>
      </c>
      <c r="BK234" s="106">
        <f>SUM(AT234:BA234,BE234,Sheet1!BU234,'Calculations II'!BC234,Calculation!AG234)</f>
        <v>70.521300454544871</v>
      </c>
      <c r="BM234" s="439">
        <f>IF(AND(Sheet1!BQ234&lt;=11.5,Sheet1!BQ233&gt;Sheet1!BQ234),(MIN(Lookup!$C$119,VLOOKUP(Sheet1!BQ233,Lookup!$B$4:$J$236,2))-VLOOKUP(Sheet1!BQ234,Lookup!$B$4:$J$236,2))/1000000,0)</f>
        <v>0</v>
      </c>
      <c r="BN234" s="439">
        <f>IF(AND(Sheet1!BR234&lt;=11.5,Sheet1!BR233&gt;Sheet1!BR234),(MIN(Lookup!$D$119,VLOOKUP(Sheet1!BR233,Lookup!$B$4:$J$236,3))-VLOOKUP(Sheet1!BR234,Lookup!$B$4:$J$236,3))/1000000,0)</f>
        <v>0</v>
      </c>
      <c r="BP234" s="105">
        <f>SUM(BM234:BN234,W234,Sheet1!DT234)</f>
        <v>0</v>
      </c>
    </row>
    <row r="235" spans="1:68" s="101" customFormat="1">
      <c r="A235" s="101" t="s">
        <v>4</v>
      </c>
      <c r="B235" s="103">
        <v>40764</v>
      </c>
      <c r="C235" s="104">
        <v>0.33333333333357601</v>
      </c>
      <c r="E235" s="30"/>
      <c r="F235" s="30">
        <f>-(VLOOKUP(Sheet1!BZ235,Lookup!$I$4:$J$216,2)-VLOOKUP(Sheet1!BZ234,Lookup!$I$4:$J$216,2))/1000000</f>
        <v>1.4509171396692022</v>
      </c>
      <c r="G235" s="106">
        <f>-$G$6*(Sheet1!CB235-Sheet1!CB234)*7.48/1000000</f>
        <v>0.23828100631535634</v>
      </c>
      <c r="H235" s="106">
        <f>-$H$6*(Sheet1!CA235-Sheet1!CA234)*7.48/1000000</f>
        <v>-0.30078864702530117</v>
      </c>
      <c r="I235" s="106">
        <f>-$I$6*(Sheet1!CC235-Sheet1!CC234)*7.48/1000000</f>
        <v>-8.9957542140135238E-2</v>
      </c>
      <c r="J235" s="107" t="s">
        <v>193</v>
      </c>
      <c r="K235" s="106">
        <f>-$I$6*(Sheet1!CD235-Sheet1!CD234)*7.48/1000000</f>
        <v>-8.9957542140135238E-2</v>
      </c>
      <c r="L235" s="107" t="s">
        <v>193</v>
      </c>
      <c r="M235" s="106">
        <f>-$M$6*(Sheet1!CE235-Sheet1!CE234)*7.48/1000000</f>
        <v>-3.3316601872292212E-2</v>
      </c>
      <c r="N235" s="106">
        <f>-$N$6*(Sheet1!CF235-Sheet1!CF234)*7.48/1000000</f>
        <v>-0.2482093815784947</v>
      </c>
      <c r="O235" s="106">
        <f t="shared" si="30"/>
        <v>0.92696843122819994</v>
      </c>
      <c r="P235" s="106">
        <f>O235+Calculation!EI235</f>
        <v>-1.2546315687718002</v>
      </c>
      <c r="Q235" s="101" t="str">
        <f>IF(Sheet1!BQ235&gt;21.75,"spill elevation","-")</f>
        <v>-</v>
      </c>
      <c r="R235" s="101" t="str">
        <f>IF(Sheet1!BR235&gt;21.75,"spill elevation","-")</f>
        <v>-</v>
      </c>
      <c r="S235" s="101" t="str">
        <f>IF(Sheet1!BS235&gt;21.75,"spill elevation","-")</f>
        <v>-</v>
      </c>
      <c r="T235" s="105">
        <f>IF(Sheet1!DQ235=1,Sheet1!AA235-(SUM(AT235:BA235)+BE235),Sheet1!AA235-SUM(AT235:BA235))</f>
        <v>42.585119999999996</v>
      </c>
      <c r="U235" s="105">
        <f>Sheet1!BU235</f>
        <v>38.299999999999997</v>
      </c>
      <c r="V235" s="105">
        <f t="shared" si="31"/>
        <v>4.2851199999999992</v>
      </c>
      <c r="W235" s="105">
        <f t="shared" si="32"/>
        <v>0</v>
      </c>
      <c r="X235" s="101">
        <f>IF((Sheet1!EX235-Sheet1!EX234)&lt;0,(Sheet1!EX235+100000-Sheet1!EX234)/1000,(Sheet1!EX235-Sheet1!EX234)/1000)</f>
        <v>0.68700000000000006</v>
      </c>
      <c r="Y235" s="106">
        <f>Calculation!DZ236+Calculation!EI235+'Calculations II'!O235-'Calculations II'!W235</f>
        <v>87.701272431231118</v>
      </c>
      <c r="Z235" s="106">
        <f>Y235-Sheet1!CP236</f>
        <v>70.921272431231117</v>
      </c>
      <c r="AA235" s="106">
        <f>Y235+Calculation!CZ236+Calculation!AI236</f>
        <v>106.40316236168002</v>
      </c>
      <c r="AC235" s="106">
        <f>Sheet1!AA235+Sheet1!AB235+BC235</f>
        <v>86.635471999999993</v>
      </c>
      <c r="AD235" s="106">
        <f>Sheet1!AA235+Sheet1!BN235+'Calculations II'!BC235-Calculation!AI235-Calculation!CZ235</f>
        <v>50.166127391120504</v>
      </c>
      <c r="AE235" s="106">
        <f>Sheet1!AA235+Sheet1!AB235+'Calculations II'!BC235-Calculation!AI235-Calculation!CZ235</f>
        <v>68.166127391120511</v>
      </c>
      <c r="AF235" s="106">
        <f>Sheet1!AA235+Sheet1!BN235+P235+'Calculations II'!BC235+Calculation!AI235+Calculation!CZ235</f>
        <v>85.850185040107675</v>
      </c>
      <c r="AG235" s="106">
        <f>Sheet1!AA235+Sheet1!BN235+'Calculations II'!BC235+'Calculations II'!P235-Sheet1!CP235-BP235</f>
        <v>49.65084043122819</v>
      </c>
      <c r="AH235" s="106">
        <f>Sheet1!AA235+Sheet1!BN235+'Calculations II'!BC235+'Calculations II'!P235-BP235</f>
        <v>67.380840431228194</v>
      </c>
      <c r="AI235" s="106">
        <f>BC235+Sheet1!AA235+Calculation!EI235+O235+W235+Sheet1!BN235+Calculation!AI235+Calculation!CZ235-BP235</f>
        <v>85.850185040107675</v>
      </c>
      <c r="AJ235" s="106"/>
      <c r="AM235" s="102">
        <f t="shared" si="33"/>
        <v>40764</v>
      </c>
      <c r="AN235" s="106"/>
      <c r="AO235" s="106"/>
      <c r="AR235" s="106"/>
      <c r="AT235" s="101">
        <f>Sheet1!AR235*GPMtoMGD</f>
        <v>0</v>
      </c>
      <c r="AU235" s="101">
        <f>Sheet1!AS235*GPMtoMGD</f>
        <v>5.7744000000000004E-2</v>
      </c>
      <c r="AV235" s="101">
        <f>Sheet1!AT235*GPMtoMGD</f>
        <v>0</v>
      </c>
      <c r="AW235" s="101">
        <f>Sheet1!AV235*GPMtoMGD</f>
        <v>1.0332000000000001</v>
      </c>
      <c r="AX235" s="101">
        <f>Sheet1!AW235*GPMtoMGD</f>
        <v>1.250928</v>
      </c>
      <c r="AY235" s="101">
        <f>Sheet1!AX235*GPMtoMGD</f>
        <v>7.3008000000000003E-2</v>
      </c>
      <c r="AZ235" s="101">
        <f>Sheet1!AY235*GPMtoMGD</f>
        <v>0</v>
      </c>
      <c r="BA235" s="101">
        <f>Sheet1!AZ235*GPMtoMGD</f>
        <v>0</v>
      </c>
      <c r="BB235" s="101">
        <f>Sheet1!BP235*GPMtoMGD</f>
        <v>0</v>
      </c>
      <c r="BC235" s="101">
        <f>Sheet1!CO235*GPMtoMGD</f>
        <v>9.635472</v>
      </c>
      <c r="BD235" s="101">
        <f>Sheet1!BO235*GPMtoMGD</f>
        <v>4.2094079999999998</v>
      </c>
      <c r="BE235" s="101">
        <f>Sheet1!BV235*GPMtoMGD</f>
        <v>1.5168960000000002</v>
      </c>
      <c r="BF235" s="101">
        <f>Sheet1!CJ235*GPMtoMGD</f>
        <v>1.4117760000000001</v>
      </c>
      <c r="BG235" s="101">
        <f>Sheet1!CK235*GPMtoMGD</f>
        <v>1.3464</v>
      </c>
      <c r="BH235" s="101">
        <f>Sheet1!CL235*GPMtoMGD</f>
        <v>1.0635840000000001</v>
      </c>
      <c r="BI235" s="101">
        <f t="shared" si="34"/>
        <v>4.2094079999999998</v>
      </c>
      <c r="BK235" s="106">
        <f>SUM(AT235:BA235,BE235,Sheet1!BU235,'Calculations II'!BC235,Calculation!AG235)</f>
        <v>65.397903391120508</v>
      </c>
      <c r="BM235" s="439">
        <f>IF(AND(Sheet1!BQ235&lt;=11.5,Sheet1!BQ234&gt;Sheet1!BQ235),(MIN(Lookup!$C$119,VLOOKUP(Sheet1!BQ234,Lookup!$B$4:$J$236,2))-VLOOKUP(Sheet1!BQ235,Lookup!$B$4:$J$236,2))/1000000,0)</f>
        <v>0</v>
      </c>
      <c r="BN235" s="439">
        <f>IF(AND(Sheet1!BR235&lt;=11.5,Sheet1!BR234&gt;Sheet1!BR235),(MIN(Lookup!$D$119,VLOOKUP(Sheet1!BR234,Lookup!$B$4:$J$236,3))-VLOOKUP(Sheet1!BR235,Lookup!$B$4:$J$236,3))/1000000,0)</f>
        <v>0</v>
      </c>
      <c r="BP235" s="105">
        <f>SUM(BM235:BN235,W235,Sheet1!DT235)</f>
        <v>0</v>
      </c>
    </row>
    <row r="236" spans="1:68" s="101" customFormat="1">
      <c r="A236" s="101" t="s">
        <v>5</v>
      </c>
      <c r="B236" s="103">
        <v>40765</v>
      </c>
      <c r="C236" s="104">
        <v>0.33333333333357601</v>
      </c>
      <c r="E236" s="30"/>
      <c r="F236" s="30">
        <f>-(VLOOKUP(Sheet1!BZ236,Lookup!$I$4:$J$216,2)-VLOOKUP(Sheet1!BZ235,Lookup!$I$4:$J$216,2))/1000000</f>
        <v>-0.10363693854780123</v>
      </c>
      <c r="G236" s="106">
        <f>-$G$6*(Sheet1!CB236-Sheet1!CB235)*7.48/1000000</f>
        <v>-0.39713501052559297</v>
      </c>
      <c r="H236" s="106">
        <f>-$H$6*(Sheet1!CA236-Sheet1!CA235)*7.48/1000000</f>
        <v>0.31582807937656648</v>
      </c>
      <c r="I236" s="106">
        <f>-$I$6*(Sheet1!CC236-Sheet1!CC235)*7.48/1000000</f>
        <v>3.598301685605397E-2</v>
      </c>
      <c r="J236" s="107" t="s">
        <v>193</v>
      </c>
      <c r="K236" s="106">
        <f>-$I$6*(Sheet1!CD236-Sheet1!CD235)*7.48/1000000</f>
        <v>5.3974525284080956E-2</v>
      </c>
      <c r="L236" s="107" t="s">
        <v>193</v>
      </c>
      <c r="M236" s="106">
        <f>-$M$6*(Sheet1!CE236-Sheet1!CE235)*7.48/1000000</f>
        <v>1.5325636861254445E-2</v>
      </c>
      <c r="N236" s="106">
        <f>-$N$6*(Sheet1!CF236-Sheet1!CF235)*7.48/1000000</f>
        <v>-6.2052345394624786E-2</v>
      </c>
      <c r="O236" s="106">
        <f t="shared" si="30"/>
        <v>-0.14171303609006308</v>
      </c>
      <c r="P236" s="106">
        <f>O236+Calculation!EI236</f>
        <v>-1.236113036090063</v>
      </c>
      <c r="Q236" s="101" t="str">
        <f>IF(Sheet1!BQ236&gt;21.75,"spill elevation","-")</f>
        <v>-</v>
      </c>
      <c r="R236" s="101" t="str">
        <f>IF(Sheet1!BR236&gt;21.75,"spill elevation","-")</f>
        <v>-</v>
      </c>
      <c r="S236" s="101" t="str">
        <f>IF(Sheet1!BS236&gt;21.75,"spill elevation","-")</f>
        <v>-</v>
      </c>
      <c r="T236" s="105">
        <f>IF(Sheet1!DQ236=1,Sheet1!AA236-(SUM(AT236:BA236)+BE236),Sheet1!AA236-SUM(AT236:BA236))</f>
        <v>43.53060800000582</v>
      </c>
      <c r="U236" s="105">
        <f>Sheet1!BU236</f>
        <v>39.4</v>
      </c>
      <c r="V236" s="105">
        <f t="shared" si="31"/>
        <v>4.1306080000058216</v>
      </c>
      <c r="W236" s="105">
        <f t="shared" si="32"/>
        <v>0</v>
      </c>
      <c r="X236" s="101">
        <f>IF((Sheet1!EX236-Sheet1!EX235)&lt;0,(Sheet1!EX236+100000-Sheet1!EX235)/1000,(Sheet1!EX236-Sheet1!EX235)/1000)</f>
        <v>0.68500000000000005</v>
      </c>
      <c r="Y236" s="106">
        <f>Calculation!DZ237+Calculation!EI236+'Calculations II'!O236-'Calculations II'!W236</f>
        <v>86.234526963904699</v>
      </c>
      <c r="Z236" s="106">
        <f>Y236-Sheet1!CP237</f>
        <v>69.434526963904702</v>
      </c>
      <c r="AA236" s="106">
        <f>Y236+Calculation!CZ237+Calculation!AI237</f>
        <v>104.14460448328455</v>
      </c>
      <c r="AC236" s="106">
        <f>Sheet1!AA236+Sheet1!AB236+BC236</f>
        <v>88.955904000002917</v>
      </c>
      <c r="AD236" s="106">
        <f>Sheet1!AA236+Sheet1!BN236+'Calculations II'!BC236-Calculation!AI236-Calculation!CZ236</f>
        <v>51.604014069556918</v>
      </c>
      <c r="AE236" s="106">
        <f>Sheet1!AA236+Sheet1!AB236+'Calculations II'!BC236-Calculation!AI236-Calculation!CZ236</f>
        <v>70.254014069554017</v>
      </c>
      <c r="AF236" s="106">
        <f>Sheet1!AA236+Sheet1!BN236+P236+'Calculations II'!BC236+Calculation!AI236+Calculation!CZ236</f>
        <v>87.771680894364664</v>
      </c>
      <c r="AG236" s="106">
        <f>Sheet1!AA236+Sheet1!BN236+'Calculations II'!BC236+'Calculations II'!P236-Sheet1!CP236-BP236</f>
        <v>52.289790963915763</v>
      </c>
      <c r="AH236" s="106">
        <f>Sheet1!AA236+Sheet1!BN236+'Calculations II'!BC236+'Calculations II'!P236-BP236</f>
        <v>69.069790963915764</v>
      </c>
      <c r="AI236" s="106">
        <f>BC236+Sheet1!AA236+Calculation!EI236+O236+W236+Sheet1!BN236+Calculation!AI236+Calculation!CZ236-BP236</f>
        <v>87.771680894364664</v>
      </c>
      <c r="AJ236" s="106"/>
      <c r="AM236" s="102">
        <f t="shared" si="33"/>
        <v>40765</v>
      </c>
      <c r="AN236" s="106"/>
      <c r="AO236" s="106"/>
      <c r="AR236" s="106"/>
      <c r="AT236" s="101">
        <f>Sheet1!AR236*GPMtoMGD</f>
        <v>0</v>
      </c>
      <c r="AU236" s="101">
        <f>Sheet1!AS236*GPMtoMGD</f>
        <v>4.7231999999999996E-2</v>
      </c>
      <c r="AV236" s="101">
        <f>Sheet1!AT236*GPMtoMGD</f>
        <v>0</v>
      </c>
      <c r="AW236" s="101">
        <f>Sheet1!AV236*GPMtoMGD</f>
        <v>1.1204640000000001</v>
      </c>
      <c r="AX236" s="101">
        <f>Sheet1!AW236*GPMtoMGD</f>
        <v>1.338624</v>
      </c>
      <c r="AY236" s="101">
        <f>Sheet1!AX236*GPMtoMGD</f>
        <v>6.3072000000000003E-2</v>
      </c>
      <c r="AZ236" s="101">
        <f>Sheet1!AY236*GPMtoMGD</f>
        <v>0</v>
      </c>
      <c r="BA236" s="101">
        <f>Sheet1!AZ236*GPMtoMGD</f>
        <v>0</v>
      </c>
      <c r="BB236" s="101">
        <f>Sheet1!BP236*GPMtoMGD</f>
        <v>0</v>
      </c>
      <c r="BC236" s="101">
        <f>Sheet1!CO236*GPMtoMGD</f>
        <v>9.9059040000000014</v>
      </c>
      <c r="BD236" s="101">
        <f>Sheet1!BO236*GPMtoMGD</f>
        <v>4.2848639999999998</v>
      </c>
      <c r="BE236" s="101">
        <f>Sheet1!BV236*GPMtoMGD</f>
        <v>1.693584</v>
      </c>
      <c r="BF236" s="101">
        <f>Sheet1!CJ236*GPMtoMGD</f>
        <v>1.4482080000000002</v>
      </c>
      <c r="BG236" s="101">
        <f>Sheet1!CK236*GPMtoMGD</f>
        <v>1.404576</v>
      </c>
      <c r="BH236" s="101">
        <f>Sheet1!CL236*GPMtoMGD</f>
        <v>1.0778400000000001</v>
      </c>
      <c r="BI236" s="101">
        <f t="shared" si="34"/>
        <v>4.2848639999999998</v>
      </c>
      <c r="BK236" s="106">
        <f>SUM(AT236:BA236,BE236,Sheet1!BU236,'Calculations II'!BC236,Calculation!AG236)</f>
        <v>67.816990069548183</v>
      </c>
      <c r="BM236" s="439">
        <f>IF(AND(Sheet1!BQ236&lt;=11.5,Sheet1!BQ235&gt;Sheet1!BQ236),(MIN(Lookup!$C$119,VLOOKUP(Sheet1!BQ235,Lookup!$B$4:$J$236,2))-VLOOKUP(Sheet1!BQ236,Lookup!$B$4:$J$236,2))/1000000,0)</f>
        <v>0</v>
      </c>
      <c r="BN236" s="439">
        <f>IF(AND(Sheet1!BR236&lt;=11.5,Sheet1!BR235&gt;Sheet1!BR236),(MIN(Lookup!$D$119,VLOOKUP(Sheet1!BR235,Lookup!$B$4:$J$236,3))-VLOOKUP(Sheet1!BR236,Lookup!$B$4:$J$236,3))/1000000,0)</f>
        <v>0</v>
      </c>
      <c r="BP236" s="105">
        <f>SUM(BM236:BN236,W236,Sheet1!DT236)</f>
        <v>0</v>
      </c>
    </row>
    <row r="237" spans="1:68" s="101" customFormat="1">
      <c r="A237" s="101" t="s">
        <v>6</v>
      </c>
      <c r="B237" s="103">
        <v>40766</v>
      </c>
      <c r="C237" s="104">
        <v>0.33333333333357601</v>
      </c>
      <c r="E237" s="30"/>
      <c r="F237" s="30">
        <f>-(VLOOKUP(Sheet1!BZ237,Lookup!$I$4:$J$216,2)-VLOOKUP(Sheet1!BZ236,Lookup!$I$4:$J$216,2))/1000000</f>
        <v>0.10363693854780123</v>
      </c>
      <c r="G237" s="106">
        <f>-$G$6*(Sheet1!CB237-Sheet1!CB236)*7.48/1000000</f>
        <v>-0.10325510273665479</v>
      </c>
      <c r="H237" s="106">
        <f>-$H$6*(Sheet1!CA237-Sheet1!CA236)*7.48/1000000</f>
        <v>0.30078864702530117</v>
      </c>
      <c r="I237" s="106">
        <f>-$I$6*(Sheet1!CC237-Sheet1!CC236)*7.48/1000000</f>
        <v>3.5983016856054283E-2</v>
      </c>
      <c r="J237" s="107" t="s">
        <v>193</v>
      </c>
      <c r="K237" s="106">
        <f>-$I$6*(Sheet1!CD237-Sheet1!CD236)*7.48/1000000</f>
        <v>3.5983016856054283E-2</v>
      </c>
      <c r="L237" s="107" t="s">
        <v>193</v>
      </c>
      <c r="M237" s="106">
        <f>-$M$6*(Sheet1!CE237-Sheet1!CE236)*7.48/1000000</f>
        <v>1.7990965011037766E-2</v>
      </c>
      <c r="N237" s="106">
        <f>-$N$6*(Sheet1!CF237-Sheet1!CF236)*7.48/1000000</f>
        <v>0.22338844342064679</v>
      </c>
      <c r="O237" s="106">
        <f t="shared" si="30"/>
        <v>0.61451592498024066</v>
      </c>
      <c r="P237" s="106">
        <f>O237+Calculation!EI237</f>
        <v>-1.0270840750197592</v>
      </c>
      <c r="Q237" s="101" t="str">
        <f>IF(Sheet1!BQ237&gt;21.75,"spill elevation","-")</f>
        <v>-</v>
      </c>
      <c r="R237" s="101" t="str">
        <f>IF(Sheet1!BR237&gt;21.75,"spill elevation","-")</f>
        <v>-</v>
      </c>
      <c r="S237" s="101" t="str">
        <f>IF(Sheet1!BS237&gt;21.75,"spill elevation","-")</f>
        <v>-</v>
      </c>
      <c r="T237" s="105">
        <f>IF(Sheet1!DQ237=1,Sheet1!AA237-(SUM(AT237:BA237)+BE237),Sheet1!AA237-SUM(AT237:BA237))</f>
        <v>43.087215999994761</v>
      </c>
      <c r="U237" s="105">
        <f>Sheet1!BU237</f>
        <v>39.5</v>
      </c>
      <c r="V237" s="105">
        <f t="shared" si="31"/>
        <v>3.5872159999947613</v>
      </c>
      <c r="W237" s="105">
        <f t="shared" si="32"/>
        <v>0</v>
      </c>
      <c r="X237" s="101">
        <f>IF((Sheet1!EX237-Sheet1!EX236)&lt;0,(Sheet1!EX237+100000-Sheet1!EX236)/1000,(Sheet1!EX237-Sheet1!EX236)/1000)</f>
        <v>0.68899999999999995</v>
      </c>
      <c r="Y237" s="106">
        <f>Calculation!DZ238+Calculation!EI237+'Calculations II'!O237-'Calculations II'!W237</f>
        <v>80.838419924982574</v>
      </c>
      <c r="Z237" s="106">
        <f>Y237-Sheet1!CP238</f>
        <v>63.808419924982573</v>
      </c>
      <c r="AA237" s="106">
        <f>Y237+Calculation!CZ238+Calculation!AI238</f>
        <v>98.725592283999745</v>
      </c>
      <c r="AC237" s="106">
        <f>Sheet1!AA237+Sheet1!AB237+BC237</f>
        <v>87.470639999994759</v>
      </c>
      <c r="AD237" s="106">
        <f>Sheet1!AA237+Sheet1!BN237+'Calculations II'!BC237-Calculation!AI237-Calculation!CZ237</f>
        <v>51.760562480614915</v>
      </c>
      <c r="AE237" s="106">
        <f>Sheet1!AA237+Sheet1!AB237+'Calculations II'!BC237-Calculation!AI237-Calculation!CZ237</f>
        <v>69.560562480614919</v>
      </c>
      <c r="AF237" s="106">
        <f>Sheet1!AA237+Sheet1!BN237+P237+'Calculations II'!BC237+Calculation!AI237+Calculation!CZ237</f>
        <v>86.553633444354858</v>
      </c>
      <c r="AG237" s="106">
        <f>Sheet1!AA237+Sheet1!BN237+'Calculations II'!BC237+'Calculations II'!P237-Sheet1!CP237-BP237</f>
        <v>51.843555924975007</v>
      </c>
      <c r="AH237" s="106">
        <f>Sheet1!AA237+Sheet1!BN237+'Calculations II'!BC237+'Calculations II'!P237-BP237</f>
        <v>68.643555924975004</v>
      </c>
      <c r="AI237" s="106">
        <f>BC237+Sheet1!AA237+Calculation!EI237+O237+W237+Sheet1!BN237+Calculation!AI237+Calculation!CZ237-BP237</f>
        <v>86.553633444354858</v>
      </c>
      <c r="AJ237" s="106"/>
      <c r="AM237" s="102">
        <f t="shared" si="33"/>
        <v>40766</v>
      </c>
      <c r="AN237" s="106"/>
      <c r="AO237" s="106"/>
      <c r="AR237" s="106"/>
      <c r="AT237" s="101">
        <f>Sheet1!AR237*GPMtoMGD</f>
        <v>0</v>
      </c>
      <c r="AU237" s="101">
        <f>Sheet1!AS237*GPMtoMGD</f>
        <v>3.0672000000000001E-2</v>
      </c>
      <c r="AV237" s="101">
        <f>Sheet1!AT237*GPMtoMGD</f>
        <v>0</v>
      </c>
      <c r="AW237" s="101">
        <f>Sheet1!AV237*GPMtoMGD</f>
        <v>1.17936</v>
      </c>
      <c r="AX237" s="101">
        <f>Sheet1!AW237*GPMtoMGD</f>
        <v>1.4107680000000002</v>
      </c>
      <c r="AY237" s="101">
        <f>Sheet1!AX237*GPMtoMGD</f>
        <v>5.1984000000000002E-2</v>
      </c>
      <c r="AZ237" s="101">
        <f>Sheet1!AY237*GPMtoMGD</f>
        <v>0</v>
      </c>
      <c r="BA237" s="101">
        <f>Sheet1!AZ237*GPMtoMGD</f>
        <v>0</v>
      </c>
      <c r="BB237" s="101">
        <f>Sheet1!BP237*GPMtoMGD</f>
        <v>0</v>
      </c>
      <c r="BC237" s="101">
        <f>Sheet1!CO237*GPMtoMGD</f>
        <v>9.7106400000000015</v>
      </c>
      <c r="BD237" s="101">
        <f>Sheet1!BO237*GPMtoMGD</f>
        <v>4.1585760000000001</v>
      </c>
      <c r="BE237" s="101">
        <f>Sheet1!BV237*GPMtoMGD</f>
        <v>1.4842080000000002</v>
      </c>
      <c r="BF237" s="101">
        <f>Sheet1!CJ237*GPMtoMGD</f>
        <v>1.3848480000000001</v>
      </c>
      <c r="BG237" s="101">
        <f>Sheet1!CK237*GPMtoMGD</f>
        <v>1.5058080000000003</v>
      </c>
      <c r="BH237" s="101">
        <f>Sheet1!CL237*GPMtoMGD</f>
        <v>1.052208</v>
      </c>
      <c r="BI237" s="101">
        <f t="shared" si="34"/>
        <v>4.1585760000000001</v>
      </c>
      <c r="BK237" s="106">
        <f>SUM(AT237:BA237,BE237,Sheet1!BU237,'Calculations II'!BC237,Calculation!AG237)</f>
        <v>67.457554480620161</v>
      </c>
      <c r="BM237" s="439">
        <f>IF(AND(Sheet1!BQ237&lt;=11.5,Sheet1!BQ236&gt;Sheet1!BQ237),(MIN(Lookup!$C$119,VLOOKUP(Sheet1!BQ236,Lookup!$B$4:$J$236,2))-VLOOKUP(Sheet1!BQ237,Lookup!$B$4:$J$236,2))/1000000,0)</f>
        <v>0</v>
      </c>
      <c r="BN237" s="439">
        <f>IF(AND(Sheet1!BR237&lt;=11.5,Sheet1!BR236&gt;Sheet1!BR237),(MIN(Lookup!$D$119,VLOOKUP(Sheet1!BR236,Lookup!$B$4:$J$236,3))-VLOOKUP(Sheet1!BR237,Lookup!$B$4:$J$236,3))/1000000,0)</f>
        <v>0</v>
      </c>
      <c r="BP237" s="105">
        <f>SUM(BM237:BN237,W237,Sheet1!DT237)</f>
        <v>0</v>
      </c>
    </row>
    <row r="238" spans="1:68" s="101" customFormat="1">
      <c r="A238" s="101" t="s">
        <v>7</v>
      </c>
      <c r="B238" s="103">
        <v>40767</v>
      </c>
      <c r="C238" s="104">
        <v>0.33333333333357601</v>
      </c>
      <c r="E238" s="30"/>
      <c r="F238" s="30">
        <f>-(VLOOKUP(Sheet1!BZ238,Lookup!$I$4:$J$216,2)-VLOOKUP(Sheet1!BZ237,Lookup!$I$4:$J$216,2))/1000000</f>
        <v>-0.41454775419120493</v>
      </c>
      <c r="G238" s="106">
        <f>-$G$6*(Sheet1!CB238-Sheet1!CB237)*7.48/1000000</f>
        <v>0.57981711536736613</v>
      </c>
      <c r="H238" s="106">
        <f>-$H$6*(Sheet1!CA238-Sheet1!CA237)*7.48/1000000</f>
        <v>-0.5113406999430129</v>
      </c>
      <c r="I238" s="106">
        <f>-$I$6*(Sheet1!CC238-Sheet1!CC237)*7.48/1000000</f>
        <v>8.9957542140135238E-2</v>
      </c>
      <c r="J238" s="107" t="s">
        <v>193</v>
      </c>
      <c r="K238" s="106">
        <f>-$I$6*(Sheet1!CD238-Sheet1!CD237)*7.48/1000000</f>
        <v>7.1966033712107941E-2</v>
      </c>
      <c r="L238" s="107" t="s">
        <v>193</v>
      </c>
      <c r="M238" s="106">
        <f>-$M$6*(Sheet1!CE238-Sheet1!CE237)*7.48/1000000</f>
        <v>3.3316601872292212E-2</v>
      </c>
      <c r="N238" s="106">
        <f>-$N$6*(Sheet1!CF238-Sheet1!CF237)*7.48/1000000</f>
        <v>-6.8257579934087043E-2</v>
      </c>
      <c r="O238" s="106">
        <f t="shared" si="30"/>
        <v>-0.21908874097640335</v>
      </c>
      <c r="P238" s="106">
        <f>O238+Calculation!EI238</f>
        <v>5.7800112590235972</v>
      </c>
      <c r="Q238" s="101" t="str">
        <f>IF(Sheet1!BQ238&gt;21.75,"spill elevation","-")</f>
        <v>-</v>
      </c>
      <c r="R238" s="101" t="str">
        <f>IF(Sheet1!BR238&gt;21.75,"spill elevation","-")</f>
        <v>-</v>
      </c>
      <c r="S238" s="101" t="str">
        <f>IF(Sheet1!BS238&gt;21.75,"spill elevation","-")</f>
        <v>-</v>
      </c>
      <c r="T238" s="105">
        <f>IF(Sheet1!DQ238=1,Sheet1!AA238-(SUM(AT238:BA238)+BE238),Sheet1!AA238-SUM(AT238:BA238))</f>
        <v>44.280303999999418</v>
      </c>
      <c r="U238" s="105">
        <f>Sheet1!BU238</f>
        <v>46.6</v>
      </c>
      <c r="V238" s="105">
        <f t="shared" si="31"/>
        <v>-2.3196960000005831</v>
      </c>
      <c r="W238" s="105">
        <f t="shared" si="32"/>
        <v>0</v>
      </c>
      <c r="X238" s="101">
        <f>IF((Sheet1!EX238-Sheet1!EX237)&lt;0,(Sheet1!EX238+100000-Sheet1!EX237)/1000,(Sheet1!EX238-Sheet1!EX237)/1000)</f>
        <v>0.65500000000000003</v>
      </c>
      <c r="Y238" s="106">
        <f>Calculation!DZ239+Calculation!EI238+'Calculations II'!O238-'Calculations II'!W238</f>
        <v>82.453787259023599</v>
      </c>
      <c r="Z238" s="106">
        <f>Y238-Sheet1!CP239</f>
        <v>65.643787259023597</v>
      </c>
      <c r="AA238" s="106">
        <f>Y238+Calculation!CZ239+Calculation!AI239</f>
        <v>99.68919813635587</v>
      </c>
      <c r="AC238" s="106">
        <f>Sheet1!AA238+Sheet1!AB238+BC238</f>
        <v>81.865504000002332</v>
      </c>
      <c r="AD238" s="106">
        <f>Sheet1!AA238+Sheet1!BN238+'Calculations II'!BC238-Calculation!AI238-Calculation!CZ238</f>
        <v>46.128331640982253</v>
      </c>
      <c r="AE238" s="106">
        <f>Sheet1!AA238+Sheet1!AB238+'Calculations II'!BC238-Calculation!AI238-Calculation!CZ238</f>
        <v>63.978331640985161</v>
      </c>
      <c r="AF238" s="106">
        <f>Sheet1!AA238+Sheet1!BN238+P238+'Calculations II'!BC238+Calculation!AI238+Calculation!CZ238</f>
        <v>87.682687618040191</v>
      </c>
      <c r="AG238" s="106">
        <f>Sheet1!AA238+Sheet1!BN238+'Calculations II'!BC238+'Calculations II'!P238-Sheet1!CP238-BP238</f>
        <v>52.765515259023019</v>
      </c>
      <c r="AH238" s="106">
        <f>Sheet1!AA238+Sheet1!BN238+'Calculations II'!BC238+'Calculations II'!P238-BP238</f>
        <v>69.79551525902302</v>
      </c>
      <c r="AI238" s="106">
        <f>BC238+Sheet1!AA238+Calculation!EI238+O238+W238+Sheet1!BN238+Calculation!AI238+Calculation!CZ238-BP238</f>
        <v>87.682687618040191</v>
      </c>
      <c r="AJ238" s="106"/>
      <c r="AM238" s="102">
        <f t="shared" si="33"/>
        <v>40767</v>
      </c>
      <c r="AN238" s="106"/>
      <c r="AO238" s="106"/>
      <c r="AR238" s="106"/>
      <c r="AT238" s="101">
        <f>Sheet1!AR238*GPMtoMGD</f>
        <v>0</v>
      </c>
      <c r="AU238" s="101">
        <f>Sheet1!AS238*GPMtoMGD</f>
        <v>5.3136000000000003E-2</v>
      </c>
      <c r="AV238" s="101">
        <f>Sheet1!AT238*GPMtoMGD</f>
        <v>0</v>
      </c>
      <c r="AW238" s="101">
        <f>Sheet1!AV238*GPMtoMGD</f>
        <v>1.348848</v>
      </c>
      <c r="AX238" s="101">
        <f>Sheet1!AW238*GPMtoMGD</f>
        <v>1.3933440000000001</v>
      </c>
      <c r="AY238" s="101">
        <f>Sheet1!AX238*GPMtoMGD</f>
        <v>6.4368000000000009E-2</v>
      </c>
      <c r="AZ238" s="101">
        <f>Sheet1!AY238*GPMtoMGD</f>
        <v>0</v>
      </c>
      <c r="BA238" s="101">
        <f>Sheet1!AZ238*GPMtoMGD</f>
        <v>0</v>
      </c>
      <c r="BB238" s="101">
        <f>Sheet1!BP238*GPMtoMGD</f>
        <v>0</v>
      </c>
      <c r="BC238" s="101">
        <f>Sheet1!CO238*GPMtoMGD</f>
        <v>9.6755040000000019</v>
      </c>
      <c r="BD238" s="101">
        <f>Sheet1!BO238*GPMtoMGD</f>
        <v>3.9666239999999999</v>
      </c>
      <c r="BE238" s="101">
        <f>Sheet1!BV238*GPMtoMGD</f>
        <v>1.7212320000000001</v>
      </c>
      <c r="BF238" s="101">
        <f>Sheet1!CJ238*GPMtoMGD</f>
        <v>1.4528160000000001</v>
      </c>
      <c r="BG238" s="101">
        <f>Sheet1!CK238*GPMtoMGD</f>
        <v>1.416096</v>
      </c>
      <c r="BH238" s="101">
        <f>Sheet1!CL238*GPMtoMGD</f>
        <v>1.0602720000000001</v>
      </c>
      <c r="BI238" s="101">
        <f t="shared" si="34"/>
        <v>3.9666239999999999</v>
      </c>
      <c r="BK238" s="106">
        <f>SUM(AT238:BA238,BE238,Sheet1!BU238,'Calculations II'!BC238,Calculation!AG238)</f>
        <v>68.019259640985752</v>
      </c>
      <c r="BM238" s="439">
        <f>IF(AND(Sheet1!BQ238&lt;=11.5,Sheet1!BQ237&gt;Sheet1!BQ238),(MIN(Lookup!$C$119,VLOOKUP(Sheet1!BQ237,Lookup!$B$4:$J$236,2))-VLOOKUP(Sheet1!BQ238,Lookup!$B$4:$J$236,2))/1000000,0)</f>
        <v>0</v>
      </c>
      <c r="BN238" s="439">
        <f>IF(AND(Sheet1!BR238&lt;=11.5,Sheet1!BR237&gt;Sheet1!BR238),(MIN(Lookup!$D$119,VLOOKUP(Sheet1!BR237,Lookup!$B$4:$J$236,3))-VLOOKUP(Sheet1!BR238,Lookup!$B$4:$J$236,3))/1000000,0)</f>
        <v>0</v>
      </c>
      <c r="BP238" s="105">
        <f>SUM(BM238:BN238,W238,Sheet1!DT238)</f>
        <v>0</v>
      </c>
    </row>
    <row r="239" spans="1:68" s="101" customFormat="1">
      <c r="A239" s="101" t="s">
        <v>8</v>
      </c>
      <c r="B239" s="103">
        <v>40768</v>
      </c>
      <c r="C239" s="104">
        <v>0.33333333333357601</v>
      </c>
      <c r="E239" s="30"/>
      <c r="F239" s="30">
        <f>-(VLOOKUP(Sheet1!BZ239,Lookup!$I$4:$J$216,2)-VLOOKUP(Sheet1!BZ238,Lookup!$I$4:$J$216,2))/1000000</f>
        <v>0.20727387709560247</v>
      </c>
      <c r="G239" s="106">
        <f>-$G$6*(Sheet1!CB239-Sheet1!CB238)*7.48/1000000</f>
        <v>1.8228496983124716</v>
      </c>
      <c r="H239" s="106">
        <f>-$H$6*(Sheet1!CA239-Sheet1!CA238)*7.48/1000000</f>
        <v>-4.5118297053794748E-2</v>
      </c>
      <c r="I239" s="106">
        <f>-$I$6*(Sheet1!CC239-Sheet1!CC238)*7.48/1000000</f>
        <v>-0.12594055899618953</v>
      </c>
      <c r="J239" s="107" t="s">
        <v>193</v>
      </c>
      <c r="K239" s="106">
        <f>-$I$6*(Sheet1!CD239-Sheet1!CD238)*7.48/1000000</f>
        <v>-0.12594055899618922</v>
      </c>
      <c r="L239" s="107" t="s">
        <v>193</v>
      </c>
      <c r="M239" s="106">
        <f>-$M$6*(Sheet1!CE239-Sheet1!CE238)*7.48/1000000</f>
        <v>-3.9979922246750753E-2</v>
      </c>
      <c r="N239" s="106">
        <f>-$N$6*(Sheet1!CF239-Sheet1!CF238)*7.48/1000000</f>
        <v>-9.3078518091934973E-2</v>
      </c>
      <c r="O239" s="106">
        <f t="shared" si="30"/>
        <v>1.6000657200232151</v>
      </c>
      <c r="P239" s="106">
        <f>O239+Calculation!EI239</f>
        <v>6.4509657200232153</v>
      </c>
      <c r="Q239" s="101" t="str">
        <f>IF(Sheet1!BQ239&gt;21.75,"spill elevation","-")</f>
        <v>-</v>
      </c>
      <c r="R239" s="101" t="str">
        <f>IF(Sheet1!BR239&gt;21.75,"spill elevation","-")</f>
        <v>-</v>
      </c>
      <c r="S239" s="101" t="str">
        <f>IF(Sheet1!BS239&gt;21.75,"spill elevation","-")</f>
        <v>-</v>
      </c>
      <c r="T239" s="105">
        <f>IF(Sheet1!DQ239=1,Sheet1!AA239-(SUM(AT239:BA239)+BE239),Sheet1!AA239-SUM(AT239:BA239))</f>
        <v>40.636815999999996</v>
      </c>
      <c r="U239" s="105">
        <f>Sheet1!BU239</f>
        <v>43.7</v>
      </c>
      <c r="V239" s="105">
        <f t="shared" si="31"/>
        <v>-3.0631840000000068</v>
      </c>
      <c r="W239" s="105">
        <f t="shared" si="32"/>
        <v>0</v>
      </c>
      <c r="X239" s="101">
        <f>IF((Sheet1!EX239-Sheet1!EX238)&lt;0,(Sheet1!EX239+100000-Sheet1!EX238)/1000,(Sheet1!EX239-Sheet1!EX238)/1000)</f>
        <v>0.64800000000000002</v>
      </c>
      <c r="Y239" s="106">
        <f>Calculation!DZ240+Calculation!EI239+'Calculations II'!O239-'Calculations II'!W239</f>
        <v>87.257077720023204</v>
      </c>
      <c r="Z239" s="106">
        <f>Y239-Sheet1!CP240</f>
        <v>70.397077720023205</v>
      </c>
      <c r="AA239" s="106">
        <f>Y239+Calculation!CZ240+Calculation!AI240</f>
        <v>105.93168089462638</v>
      </c>
      <c r="AC239" s="106">
        <f>Sheet1!AA239+Sheet1!AB239+BC239</f>
        <v>76.673776000000004</v>
      </c>
      <c r="AD239" s="106">
        <f>Sheet1!AA239+Sheet1!BN239+'Calculations II'!BC239-Calculation!AI239-Calculation!CZ239</f>
        <v>42.538365122667727</v>
      </c>
      <c r="AE239" s="106">
        <f>Sheet1!AA239+Sheet1!AB239+'Calculations II'!BC239-Calculation!AI239-Calculation!CZ239</f>
        <v>59.438365122667733</v>
      </c>
      <c r="AF239" s="106">
        <f>Sheet1!AA239+Sheet1!BN239+P239+'Calculations II'!BC239+Calculation!AI239+Calculation!CZ239</f>
        <v>83.460152597355489</v>
      </c>
      <c r="AG239" s="106">
        <f>Sheet1!AA239+Sheet1!BN239+'Calculations II'!BC239+'Calculations II'!P239-Sheet1!CP239-BP239</f>
        <v>49.414741720023216</v>
      </c>
      <c r="AH239" s="106">
        <f>Sheet1!AA239+Sheet1!BN239+'Calculations II'!BC239+'Calculations II'!P239-BP239</f>
        <v>66.224741720023218</v>
      </c>
      <c r="AI239" s="106">
        <f>BC239+Sheet1!AA239+Calculation!EI239+O239+W239+Sheet1!BN239+Calculation!AI239+Calculation!CZ239-BP239</f>
        <v>83.460152597355489</v>
      </c>
      <c r="AJ239" s="106"/>
      <c r="AM239" s="102">
        <f t="shared" si="33"/>
        <v>40768</v>
      </c>
      <c r="AN239" s="106"/>
      <c r="AO239" s="106"/>
      <c r="AR239" s="106"/>
      <c r="AT239" s="101">
        <f>Sheet1!AR239*GPMtoMGD</f>
        <v>0</v>
      </c>
      <c r="AU239" s="101">
        <f>Sheet1!AS239*GPMtoMGD</f>
        <v>6.6240000000000007E-2</v>
      </c>
      <c r="AV239" s="101">
        <f>Sheet1!AT239*GPMtoMGD</f>
        <v>0</v>
      </c>
      <c r="AW239" s="101">
        <f>Sheet1!AV239*GPMtoMGD</f>
        <v>1.0159200000000002</v>
      </c>
      <c r="AX239" s="101">
        <f>Sheet1!AW239*GPMtoMGD</f>
        <v>1.2352320000000001</v>
      </c>
      <c r="AY239" s="101">
        <f>Sheet1!AX239*GPMtoMGD</f>
        <v>4.5792000000000006E-2</v>
      </c>
      <c r="AZ239" s="101">
        <f>Sheet1!AY239*GPMtoMGD</f>
        <v>0</v>
      </c>
      <c r="BA239" s="101">
        <f>Sheet1!AZ239*GPMtoMGD</f>
        <v>0</v>
      </c>
      <c r="BB239" s="101">
        <f>Sheet1!BP239*GPMtoMGD</f>
        <v>0</v>
      </c>
      <c r="BC239" s="101">
        <f>Sheet1!CO239*GPMtoMGD</f>
        <v>9.6737760000000002</v>
      </c>
      <c r="BD239" s="101">
        <f>Sheet1!BO239*GPMtoMGD</f>
        <v>4.2062400000000002</v>
      </c>
      <c r="BE239" s="101">
        <f>Sheet1!BV239*GPMtoMGD</f>
        <v>1.577952</v>
      </c>
      <c r="BF239" s="101">
        <f>Sheet1!CJ239*GPMtoMGD</f>
        <v>1.331712</v>
      </c>
      <c r="BG239" s="101">
        <f>Sheet1!CK239*GPMtoMGD</f>
        <v>1.518624</v>
      </c>
      <c r="BH239" s="101">
        <f>Sheet1!CL239*GPMtoMGD</f>
        <v>0.98942400000000008</v>
      </c>
      <c r="BI239" s="101">
        <f t="shared" si="34"/>
        <v>4.2062400000000002</v>
      </c>
      <c r="BK239" s="106">
        <f>SUM(AT239:BA239,BE239,Sheet1!BU239,'Calculations II'!BC239,Calculation!AG239)</f>
        <v>64.079501122667736</v>
      </c>
      <c r="BM239" s="439">
        <f>IF(AND(Sheet1!BQ239&lt;=11.5,Sheet1!BQ238&gt;Sheet1!BQ239),(MIN(Lookup!$C$119,VLOOKUP(Sheet1!BQ238,Lookup!$B$4:$J$236,2))-VLOOKUP(Sheet1!BQ239,Lookup!$B$4:$J$236,2))/1000000,0)</f>
        <v>0</v>
      </c>
      <c r="BN239" s="439">
        <f>IF(AND(Sheet1!BR239&lt;=11.5,Sheet1!BR238&gt;Sheet1!BR239),(MIN(Lookup!$D$119,VLOOKUP(Sheet1!BR238,Lookup!$B$4:$J$236,3))-VLOOKUP(Sheet1!BR239,Lookup!$B$4:$J$236,3))/1000000,0)</f>
        <v>0</v>
      </c>
      <c r="BP239" s="105">
        <f>SUM(BM239:BN239,W239,Sheet1!DT239)</f>
        <v>0</v>
      </c>
    </row>
    <row r="240" spans="1:68" s="101" customFormat="1">
      <c r="A240" s="101" t="s">
        <v>9</v>
      </c>
      <c r="B240" s="103">
        <v>40769</v>
      </c>
      <c r="C240" s="104">
        <v>0.33333333333357601</v>
      </c>
      <c r="E240" s="30"/>
      <c r="F240" s="30">
        <f>-(VLOOKUP(Sheet1!BZ240,Lookup!$I$4:$J$216,2)-VLOOKUP(Sheet1!BZ239,Lookup!$I$4:$J$216,2))/1000000</f>
        <v>1.0363693854780047</v>
      </c>
      <c r="G240" s="106">
        <f>-$G$6*(Sheet1!CB240-Sheet1!CB239)*7.48/1000000</f>
        <v>-1.4654281888394372</v>
      </c>
      <c r="H240" s="106">
        <f>-$H$6*(Sheet1!CA240-Sheet1!CA239)*7.48/1000000</f>
        <v>1.5039432351265274E-2</v>
      </c>
      <c r="I240" s="106">
        <f>-$I$6*(Sheet1!CC240-Sheet1!CC239)*7.48/1000000</f>
        <v>-5.3974525284080956E-2</v>
      </c>
      <c r="J240" s="107" t="s">
        <v>193</v>
      </c>
      <c r="K240" s="106">
        <f>-$I$6*(Sheet1!CD240-Sheet1!CD239)*7.48/1000000</f>
        <v>-5.3974525284081275E-2</v>
      </c>
      <c r="L240" s="107" t="s">
        <v>193</v>
      </c>
      <c r="M240" s="106">
        <f>-$M$6*(Sheet1!CE240-Sheet1!CE239)*7.48/1000000</f>
        <v>-2.6653281497833674E-2</v>
      </c>
      <c r="N240" s="106">
        <f>-$N$6*(Sheet1!CF240-Sheet1!CF239)*7.48/1000000</f>
        <v>0.19236227072333331</v>
      </c>
      <c r="O240" s="106">
        <f t="shared" si="30"/>
        <v>-0.35625943235282981</v>
      </c>
      <c r="P240" s="106">
        <f>O240+Calculation!EI240</f>
        <v>2.3122405676471702</v>
      </c>
      <c r="Q240" s="101" t="str">
        <f>IF(Sheet1!BQ240&gt;21.75,"spill elevation","-")</f>
        <v>-</v>
      </c>
      <c r="R240" s="101" t="str">
        <f>IF(Sheet1!BR240&gt;21.75,"spill elevation","-")</f>
        <v>-</v>
      </c>
      <c r="S240" s="101" t="str">
        <f>IF(Sheet1!BS240&gt;21.75,"spill elevation","-")</f>
        <v>-</v>
      </c>
      <c r="T240" s="105">
        <f>IF(Sheet1!DQ240=1,Sheet1!AA240-(SUM(AT240:BA240)+BE240),Sheet1!AA240-SUM(AT240:BA240))</f>
        <v>42.809184000000002</v>
      </c>
      <c r="U240" s="105">
        <f>Sheet1!BU240</f>
        <v>41.7</v>
      </c>
      <c r="V240" s="105">
        <f t="shared" si="31"/>
        <v>1.1091839999999991</v>
      </c>
      <c r="W240" s="105">
        <f t="shared" si="32"/>
        <v>0</v>
      </c>
      <c r="X240" s="101">
        <f>IF((Sheet1!EX240-Sheet1!EX239)&lt;0,(Sheet1!EX240+100000-Sheet1!EX239)/1000,(Sheet1!EX240-Sheet1!EX239)/1000)</f>
        <v>0.60899999999999999</v>
      </c>
      <c r="Y240" s="106">
        <f>Calculation!DZ241+Calculation!EI240+'Calculations II'!O240-'Calculations II'!W240</f>
        <v>86.999312567648332</v>
      </c>
      <c r="Z240" s="106">
        <f>Y240-Sheet1!CP241</f>
        <v>70.189312567648329</v>
      </c>
      <c r="AA240" s="106">
        <f>Y240+Calculation!CZ241+Calculation!AI241</f>
        <v>104.16794810212406</v>
      </c>
      <c r="AC240" s="106">
        <f>Sheet1!AA240+Sheet1!AB240+BC240</f>
        <v>80.806111999999999</v>
      </c>
      <c r="AD240" s="106">
        <f>Sheet1!AA240+Sheet1!BN240+'Calculations II'!BC240-Calculation!AI240-Calculation!CZ240</f>
        <v>43.231508825396823</v>
      </c>
      <c r="AE240" s="106">
        <f>Sheet1!AA240+Sheet1!AB240+'Calculations II'!BC240-Calculation!AI240-Calculation!CZ240</f>
        <v>62.131508825396821</v>
      </c>
      <c r="AF240" s="106">
        <f>Sheet1!AA240+Sheet1!BN240+P240+'Calculations II'!BC240+Calculation!AI240+Calculation!CZ240</f>
        <v>82.892955742250351</v>
      </c>
      <c r="AG240" s="106">
        <f>Sheet1!AA240+Sheet1!BN240+'Calculations II'!BC240+'Calculations II'!P240-Sheet1!CP240-BP240</f>
        <v>47.358352567647174</v>
      </c>
      <c r="AH240" s="106">
        <f>Sheet1!AA240+Sheet1!BN240+'Calculations II'!BC240+'Calculations II'!P240-BP240</f>
        <v>64.218352567647173</v>
      </c>
      <c r="AI240" s="106">
        <f>BC240+Sheet1!AA240+Calculation!EI240+O240+W240+Sheet1!BN240+Calculation!AI240+Calculation!CZ240-BP240</f>
        <v>82.892955742250351</v>
      </c>
      <c r="AJ240" s="106"/>
      <c r="AM240" s="102">
        <f t="shared" si="33"/>
        <v>40769</v>
      </c>
      <c r="AN240" s="106"/>
      <c r="AO240" s="106"/>
      <c r="AR240" s="106"/>
      <c r="AT240" s="101">
        <f>Sheet1!AR240*GPMtoMGD</f>
        <v>0</v>
      </c>
      <c r="AU240" s="101">
        <f>Sheet1!AS240*GPMtoMGD</f>
        <v>5.4576E-2</v>
      </c>
      <c r="AV240" s="101">
        <f>Sheet1!AT240*GPMtoMGD</f>
        <v>0</v>
      </c>
      <c r="AW240" s="101">
        <f>Sheet1!AV240*GPMtoMGD</f>
        <v>0.91742400000000013</v>
      </c>
      <c r="AX240" s="101">
        <f>Sheet1!AW240*GPMtoMGD</f>
        <v>1.1602080000000001</v>
      </c>
      <c r="AY240" s="101">
        <f>Sheet1!AX240*GPMtoMGD</f>
        <v>5.8608000000000007E-2</v>
      </c>
      <c r="AZ240" s="101">
        <f>Sheet1!AY240*GPMtoMGD</f>
        <v>0</v>
      </c>
      <c r="BA240" s="101">
        <f>Sheet1!AZ240*GPMtoMGD</f>
        <v>0</v>
      </c>
      <c r="BB240" s="101">
        <f>Sheet1!BP240*GPMtoMGD</f>
        <v>0</v>
      </c>
      <c r="BC240" s="101">
        <f>Sheet1!CO240*GPMtoMGD</f>
        <v>9.8061120000000006</v>
      </c>
      <c r="BD240" s="101">
        <f>Sheet1!BO240*GPMtoMGD</f>
        <v>4.1924160000000006</v>
      </c>
      <c r="BE240" s="101">
        <f>Sheet1!BV240*GPMtoMGD</f>
        <v>1.47672</v>
      </c>
      <c r="BF240" s="101">
        <f>Sheet1!CJ240*GPMtoMGD</f>
        <v>1.3111200000000001</v>
      </c>
      <c r="BG240" s="101">
        <f>Sheet1!CK240*GPMtoMGD</f>
        <v>1.5232320000000001</v>
      </c>
      <c r="BH240" s="101">
        <f>Sheet1!CL240*GPMtoMGD</f>
        <v>1.009584</v>
      </c>
      <c r="BI240" s="101">
        <f t="shared" si="34"/>
        <v>4.1924160000000006</v>
      </c>
      <c r="BK240" s="106">
        <f>SUM(AT240:BA240,BE240,Sheet1!BU240,'Calculations II'!BC240,Calculation!AG240)</f>
        <v>62.499044825396822</v>
      </c>
      <c r="BM240" s="439">
        <f>IF(AND(Sheet1!BQ240&lt;=11.5,Sheet1!BQ239&gt;Sheet1!BQ240),(MIN(Lookup!$C$119,VLOOKUP(Sheet1!BQ239,Lookup!$B$4:$J$236,2))-VLOOKUP(Sheet1!BQ240,Lookup!$B$4:$J$236,2))/1000000,0)</f>
        <v>0</v>
      </c>
      <c r="BN240" s="439">
        <f>IF(AND(Sheet1!BR240&lt;=11.5,Sheet1!BR239&gt;Sheet1!BR240),(MIN(Lookup!$D$119,VLOOKUP(Sheet1!BR239,Lookup!$B$4:$J$236,3))-VLOOKUP(Sheet1!BR240,Lookup!$B$4:$J$236,3))/1000000,0)</f>
        <v>0</v>
      </c>
      <c r="BP240" s="105">
        <f>SUM(BM240:BN240,W240,Sheet1!DT240)</f>
        <v>0</v>
      </c>
    </row>
    <row r="241" spans="1:68" s="101" customFormat="1">
      <c r="A241" s="101" t="s">
        <v>3</v>
      </c>
      <c r="B241" s="103">
        <v>40770</v>
      </c>
      <c r="C241" s="104">
        <v>0.33333333333357601</v>
      </c>
      <c r="E241" s="30"/>
      <c r="F241" s="30">
        <f ca="1">IF(B241=TODAY(),0,-(VLOOKUP(Sheet1!BZ241,Lookup!$I$4:$J$216,2)-VLOOKUP(Sheet1!BZ240,Lookup!$I$4:$J$216,2))/1000000)</f>
        <v>0.31091081564340184</v>
      </c>
      <c r="G241" s="106">
        <f>-$G$6*(Sheet1!CB241-Sheet1!CB240)*7.48/1000000</f>
        <v>-0.26210910694689138</v>
      </c>
      <c r="H241" s="106">
        <f>-$H$6*(Sheet1!CA241-Sheet1!CA240)*7.48/1000000</f>
        <v>9.0236594107590579E-2</v>
      </c>
      <c r="I241" s="106">
        <f>-$I$6*(Sheet1!CC241-Sheet1!CC240)*7.48/1000000</f>
        <v>0.15472697248103251</v>
      </c>
      <c r="J241" s="107" t="s">
        <v>193</v>
      </c>
      <c r="K241" s="106">
        <f>-$I$6*(Sheet1!CD241-Sheet1!CD240)*7.48/1000000</f>
        <v>0.15472697248103284</v>
      </c>
      <c r="L241" s="107" t="s">
        <v>193</v>
      </c>
      <c r="M241" s="106">
        <f>-$M$6*(Sheet1!CE241-Sheet1!CE240)*7.48/1000000</f>
        <v>6.5300539669692764E-2</v>
      </c>
      <c r="N241" s="106">
        <f>-$N$6*(Sheet1!CF241-Sheet1!CF240)*7.48/1000000</f>
        <v>-0.1054889871708606</v>
      </c>
      <c r="O241" s="106">
        <f t="shared" ca="1" si="30"/>
        <v>0.40830380026499852</v>
      </c>
      <c r="P241" s="106">
        <f ca="1">O241+Calculation!EI241</f>
        <v>0.40830380026499852</v>
      </c>
      <c r="Q241" s="101" t="str">
        <f>IF(Sheet1!BQ241&gt;21.75,"spill elevation","-")</f>
        <v>-</v>
      </c>
      <c r="R241" s="101" t="str">
        <f>IF(Sheet1!BR241&gt;21.75,"spill elevation","-")</f>
        <v>-</v>
      </c>
      <c r="S241" s="101" t="str">
        <f>IF(Sheet1!BS241&gt;21.75,"spill elevation","-")</f>
        <v>-</v>
      </c>
      <c r="T241" s="105">
        <f>IF(Sheet1!DQ241=1,Sheet1!AA241-(SUM(AT241:BA241)+BE241),Sheet1!AA241-SUM(AT241:BA241))</f>
        <v>41.526912000002326</v>
      </c>
      <c r="U241" s="105">
        <f>Sheet1!BU241</f>
        <v>41.8</v>
      </c>
      <c r="V241" s="105">
        <f t="shared" si="31"/>
        <v>-0.27308799999767075</v>
      </c>
      <c r="W241" s="105">
        <f t="shared" si="32"/>
        <v>0</v>
      </c>
      <c r="X241" s="101">
        <f>IF((Sheet1!EX241-Sheet1!EX240)&lt;0,(Sheet1!EX241+100000-Sheet1!EX240)/1000,(Sheet1!EX241-Sheet1!EX240)/1000)</f>
        <v>0.624</v>
      </c>
      <c r="Y241" s="106">
        <f ca="1">Calculation!DZ242+Calculation!EI241+'Calculations II'!O241-'Calculations II'!W241</f>
        <v>93.055839800263257</v>
      </c>
      <c r="Z241" s="106">
        <f ca="1">Y241-Sheet1!CP242</f>
        <v>76.275839800263256</v>
      </c>
      <c r="AA241" s="106">
        <f ca="1">Y241+Calculation!CZ242+Calculation!AI242</f>
        <v>110.6061362121188</v>
      </c>
      <c r="AC241" s="106">
        <f>Sheet1!AA241+Sheet1!AB241+BC241</f>
        <v>84.687072000001166</v>
      </c>
      <c r="AD241" s="106">
        <f>Sheet1!AA241+Sheet1!BN241+'Calculations II'!BC241-Calculation!AI241-Calculation!CZ241</f>
        <v>50.488436465526604</v>
      </c>
      <c r="AE241" s="106">
        <f>Sheet1!AA241+Sheet1!AB241+'Calculations II'!BC241-Calculation!AI241-Calculation!CZ241</f>
        <v>67.51843646552544</v>
      </c>
      <c r="AF241" s="106">
        <f ca="1">Sheet1!AA241+Sheet1!BN241+P241+'Calculations II'!BC241+Calculation!AI241+Calculation!CZ241</f>
        <v>85.234011334743045</v>
      </c>
      <c r="AG241" s="106">
        <f ca="1">Sheet1!AA241+Sheet1!BN241+'Calculations II'!BC241+'Calculations II'!P241-Sheet1!CP241-BP241</f>
        <v>51.255375800267331</v>
      </c>
      <c r="AH241" s="106">
        <f ca="1">Sheet1!AA241+Sheet1!BN241+'Calculations II'!BC241+'Calculations II'!P241-BP241</f>
        <v>68.065375800267333</v>
      </c>
      <c r="AI241" s="106">
        <f ca="1">BC241+Sheet1!AA241+Calculation!EI241+O241+W241+Sheet1!BN241+Calculation!AI241+Calculation!CZ241-BP241</f>
        <v>85.234011334743059</v>
      </c>
      <c r="AJ241" s="106"/>
      <c r="AM241" s="102">
        <f t="shared" si="33"/>
        <v>40770</v>
      </c>
      <c r="AN241" s="106"/>
      <c r="AO241" s="106"/>
      <c r="AR241" s="106"/>
      <c r="AT241" s="101">
        <f>Sheet1!AR241*GPMtoMGD</f>
        <v>0</v>
      </c>
      <c r="AU241" s="101">
        <f>Sheet1!AS241*GPMtoMGD</f>
        <v>4.8096E-2</v>
      </c>
      <c r="AV241" s="101">
        <f>Sheet1!AT241*GPMtoMGD</f>
        <v>0</v>
      </c>
      <c r="AW241" s="101">
        <f>Sheet1!AV241*GPMtoMGD</f>
        <v>1.5792480000000002</v>
      </c>
      <c r="AX241" s="101">
        <f>Sheet1!AW241*GPMtoMGD</f>
        <v>1.719792</v>
      </c>
      <c r="AY241" s="101">
        <f>Sheet1!AX241*GPMtoMGD</f>
        <v>6.5951999999999997E-2</v>
      </c>
      <c r="AZ241" s="101">
        <f>Sheet1!AY241*GPMtoMGD</f>
        <v>0</v>
      </c>
      <c r="BA241" s="101">
        <f>Sheet1!AZ241*GPMtoMGD</f>
        <v>0</v>
      </c>
      <c r="BB241" s="101">
        <f>Sheet1!BP241*GPMtoMGD</f>
        <v>4.2912000000000006E-2</v>
      </c>
      <c r="BC241" s="101">
        <f>Sheet1!CO241*GPMtoMGD</f>
        <v>12.717072</v>
      </c>
      <c r="BD241" s="101">
        <f>Sheet1!BO241*GPMtoMGD</f>
        <v>4.4203679999999999</v>
      </c>
      <c r="BE241" s="101">
        <f>Sheet1!BV241*GPMtoMGD</f>
        <v>1.5084000000000002</v>
      </c>
      <c r="BF241" s="101">
        <f>Sheet1!CJ241*GPMtoMGD</f>
        <v>1.4732640000000001</v>
      </c>
      <c r="BG241" s="101">
        <f>Sheet1!CK241*GPMtoMGD</f>
        <v>1.5167520000000001</v>
      </c>
      <c r="BH241" s="101">
        <f>Sheet1!CL241*GPMtoMGD</f>
        <v>1.09944</v>
      </c>
      <c r="BI241" s="101">
        <f t="shared" si="34"/>
        <v>4.4632800000000001</v>
      </c>
      <c r="BK241" s="106">
        <f>SUM(AT241:BA241,BE241,Sheet1!BU241,'Calculations II'!BC241,Calculation!AG241)</f>
        <v>69.299924465523105</v>
      </c>
      <c r="BM241" s="439">
        <f>IF(AND(Sheet1!BQ241&lt;=11.5,Sheet1!BQ240&gt;Sheet1!BQ241),(MIN(Lookup!$C$119,VLOOKUP(Sheet1!BQ240,Lookup!$B$4:$J$236,2))-VLOOKUP(Sheet1!BQ241,Lookup!$B$4:$J$236,2))/1000000,0)</f>
        <v>0</v>
      </c>
      <c r="BN241" s="439">
        <f>IF(AND(Sheet1!BR241&lt;=11.5,Sheet1!BR240&gt;Sheet1!BR241),(MIN(Lookup!$D$119,VLOOKUP(Sheet1!BR240,Lookup!$B$4:$J$236,3))-VLOOKUP(Sheet1!BR241,Lookup!$B$4:$J$236,3))/1000000,0)</f>
        <v>0</v>
      </c>
      <c r="BP241" s="105">
        <f>SUM(BM241:BN241,W241,Sheet1!DT241)</f>
        <v>0</v>
      </c>
    </row>
    <row r="242" spans="1:68" s="101" customFormat="1">
      <c r="A242" s="101" t="s">
        <v>4</v>
      </c>
      <c r="B242" s="103">
        <v>40771</v>
      </c>
      <c r="C242" s="104">
        <v>0.33333333333357601</v>
      </c>
      <c r="E242" s="30"/>
      <c r="F242" s="30">
        <f ca="1">IF(B242=TODAY(),0,-(VLOOKUP(Sheet1!BZ242,Lookup!$I$4:$J$216,2)-VLOOKUP(Sheet1!BZ241,Lookup!$I$4:$J$216,2))/1000000)</f>
        <v>1.0363693854779992</v>
      </c>
      <c r="G242" s="106">
        <f>-$G$6*(Sheet1!CB242-Sheet1!CB241)*7.48/1000000</f>
        <v>-0.37727825999931441</v>
      </c>
      <c r="H242" s="106">
        <f>-$H$6*(Sheet1!CA242-Sheet1!CA241)*7.48/1000000</f>
        <v>0.10527602645885477</v>
      </c>
      <c r="I242" s="106">
        <f>-$I$6*(Sheet1!CC242-Sheet1!CC241)*7.48/1000000</f>
        <v>-3.5983016856053333E-3</v>
      </c>
      <c r="J242" s="107" t="s">
        <v>193</v>
      </c>
      <c r="K242" s="106">
        <f>-$I$6*(Sheet1!CD242-Sheet1!CD241)*7.48/1000000</f>
        <v>-3.5983016856056525E-3</v>
      </c>
      <c r="L242" s="107" t="s">
        <v>193</v>
      </c>
      <c r="M242" s="106">
        <f>-$M$6*(Sheet1!CE242-Sheet1!CE241)*7.48/1000000</f>
        <v>-1.3326640748916603E-3</v>
      </c>
      <c r="N242" s="106">
        <f>-$N$6*(Sheet1!CF242-Sheet1!CF241)*7.48/1000000</f>
        <v>-0.29785125789419387</v>
      </c>
      <c r="O242" s="106">
        <f t="shared" ca="1" si="30"/>
        <v>0.45798662659724304</v>
      </c>
      <c r="P242" s="106">
        <f ca="1">O242+Calculation!EI242</f>
        <v>-1.6772133734027572</v>
      </c>
      <c r="Q242" s="101" t="str">
        <f>IF(Sheet1!BQ242&gt;21.75,"spill elevation","-")</f>
        <v>-</v>
      </c>
      <c r="R242" s="101" t="str">
        <f>IF(Sheet1!BR242&gt;21.75,"spill elevation","-")</f>
        <v>-</v>
      </c>
      <c r="S242" s="101" t="str">
        <f>IF(Sheet1!BS242&gt;21.75,"spill elevation","-")</f>
        <v>-</v>
      </c>
      <c r="T242" s="105">
        <f>IF(Sheet1!DQ242=1,Sheet1!AA242-(SUM(AT242:BA242)+BE242),Sheet1!AA242-SUM(AT242:BA242))</f>
        <v>43.988655999999999</v>
      </c>
      <c r="U242" s="105">
        <f>Sheet1!BU242</f>
        <v>36.799999999999997</v>
      </c>
      <c r="V242" s="105">
        <f t="shared" si="31"/>
        <v>7.1886560000000017</v>
      </c>
      <c r="W242" s="105">
        <f t="shared" si="32"/>
        <v>0</v>
      </c>
      <c r="X242" s="101">
        <f>IF((Sheet1!EX242-Sheet1!EX241)&lt;0,(Sheet1!EX242+100000-Sheet1!EX241)/1000,(Sheet1!EX242-Sheet1!EX241)/1000)</f>
        <v>0.627</v>
      </c>
      <c r="Y242" s="106">
        <f ca="1">Calculation!DZ243+Calculation!EI242+'Calculations II'!O242-'Calculations II'!W242</f>
        <v>85.606962626597834</v>
      </c>
      <c r="Z242" s="106">
        <f ca="1">Y242-Sheet1!CP243</f>
        <v>68.456962626597829</v>
      </c>
      <c r="AA242" s="106">
        <f ca="1">Y242+Calculation!CZ243+Calculation!AI243</f>
        <v>102.84520714070607</v>
      </c>
      <c r="AC242" s="106">
        <f>Sheet1!AA242+Sheet1!AB242+BC242</f>
        <v>92.647535999998254</v>
      </c>
      <c r="AD242" s="106">
        <f>Sheet1!AA242+Sheet1!BN242+'Calculations II'!BC242-Calculation!AI242-Calculation!CZ242</f>
        <v>57.377239588144469</v>
      </c>
      <c r="AE242" s="106">
        <f>Sheet1!AA242+Sheet1!AB242+'Calculations II'!BC242-Calculation!AI242-Calculation!CZ242</f>
        <v>75.097239588142713</v>
      </c>
      <c r="AF242" s="106">
        <f ca="1">Sheet1!AA242+Sheet1!BN242+P242+'Calculations II'!BC242+Calculation!AI242+Calculation!CZ242</f>
        <v>90.800619038452766</v>
      </c>
      <c r="AG242" s="106">
        <f ca="1">Sheet1!AA242+Sheet1!BN242+'Calculations II'!BC242+'Calculations II'!P242-Sheet1!CP242-BP242</f>
        <v>56.470322626597252</v>
      </c>
      <c r="AH242" s="106">
        <f ca="1">Sheet1!AA242+Sheet1!BN242+'Calculations II'!BC242+'Calculations II'!P242-BP242</f>
        <v>73.250322626597253</v>
      </c>
      <c r="AI242" s="106">
        <f ca="1">BC242+Sheet1!AA242+Calculation!EI242+O242+W242+Sheet1!BN242+Calculation!AI242+Calculation!CZ242-BP242</f>
        <v>90.800619038452766</v>
      </c>
      <c r="AJ242" s="106"/>
      <c r="AM242" s="102">
        <f t="shared" si="33"/>
        <v>40771</v>
      </c>
      <c r="AN242" s="106"/>
      <c r="AO242" s="106"/>
      <c r="AR242" s="106"/>
      <c r="AT242" s="101">
        <f>Sheet1!AR242*GPMtoMGD</f>
        <v>0</v>
      </c>
      <c r="AU242" s="101">
        <f>Sheet1!AS242*GPMtoMGD</f>
        <v>5.8608000000000007E-2</v>
      </c>
      <c r="AV242" s="101">
        <f>Sheet1!AT242*GPMtoMGD</f>
        <v>0</v>
      </c>
      <c r="AW242" s="101">
        <f>Sheet1!AV242*GPMtoMGD</f>
        <v>1.1967840000000001</v>
      </c>
      <c r="AX242" s="101">
        <f>Sheet1!AW242*GPMtoMGD</f>
        <v>1.4319360000000001</v>
      </c>
      <c r="AY242" s="101">
        <f>Sheet1!AX242*GPMtoMGD</f>
        <v>7.4015999999999998E-2</v>
      </c>
      <c r="AZ242" s="101">
        <f>Sheet1!AY242*GPMtoMGD</f>
        <v>0</v>
      </c>
      <c r="BA242" s="101">
        <f>Sheet1!AZ242*GPMtoMGD</f>
        <v>0</v>
      </c>
      <c r="BB242" s="101">
        <f>Sheet1!BP242*GPMtoMGD</f>
        <v>0</v>
      </c>
      <c r="BC242" s="101">
        <f>Sheet1!CO242*GPMtoMGD</f>
        <v>13.477536000000001</v>
      </c>
      <c r="BD242" s="101">
        <f>Sheet1!BO242*GPMtoMGD</f>
        <v>4.1251680000000004</v>
      </c>
      <c r="BE242" s="101">
        <f>Sheet1!BV242*GPMtoMGD</f>
        <v>1.726704</v>
      </c>
      <c r="BF242" s="101">
        <f>Sheet1!CJ242*GPMtoMGD</f>
        <v>1.4790239999999999</v>
      </c>
      <c r="BG242" s="101">
        <f>Sheet1!CK242*GPMtoMGD</f>
        <v>1.467792</v>
      </c>
      <c r="BH242" s="101">
        <f>Sheet1!CL242*GPMtoMGD</f>
        <v>1.1037600000000001</v>
      </c>
      <c r="BI242" s="101">
        <f t="shared" si="34"/>
        <v>4.1251680000000004</v>
      </c>
      <c r="BK242" s="106">
        <f>SUM(AT242:BA242,BE242,Sheet1!BU242,'Calculations II'!BC242,Calculation!AG242)</f>
        <v>69.635287588142717</v>
      </c>
      <c r="BM242" s="439">
        <f>IF(AND(Sheet1!BQ242&lt;=11.5,Sheet1!BQ241&gt;Sheet1!BQ242),(MIN(Lookup!$C$119,VLOOKUP(Sheet1!BQ241,Lookup!$B$4:$J$236,2))-VLOOKUP(Sheet1!BQ242,Lookup!$B$4:$J$236,2))/1000000,0)</f>
        <v>0</v>
      </c>
      <c r="BN242" s="439">
        <f>IF(AND(Sheet1!BR242&lt;=11.5,Sheet1!BR241&gt;Sheet1!BR242),(MIN(Lookup!$D$119,VLOOKUP(Sheet1!BR241,Lookup!$B$4:$J$236,3))-VLOOKUP(Sheet1!BR242,Lookup!$B$4:$J$236,3))/1000000,0)</f>
        <v>0</v>
      </c>
      <c r="BP242" s="105">
        <f>SUM(BM242:BN242,W242,Sheet1!DT242)</f>
        <v>0</v>
      </c>
    </row>
    <row r="243" spans="1:68" s="101" customFormat="1">
      <c r="A243" s="101" t="s">
        <v>5</v>
      </c>
      <c r="B243" s="103">
        <v>40772</v>
      </c>
      <c r="C243" s="104">
        <v>0.33333333333357601</v>
      </c>
      <c r="E243" s="30"/>
      <c r="F243" s="30">
        <f ca="1">IF(B243=TODAY(),0,-(VLOOKUP(Sheet1!BZ243,Lookup!$I$4:$J$216,2)-VLOOKUP(Sheet1!BZ242,Lookup!$I$4:$J$216,2))/1000000)</f>
        <v>-1.6581910167648046</v>
      </c>
      <c r="G243" s="106">
        <f>-$G$6*(Sheet1!CB243-Sheet1!CB242)*7.48/1000000</f>
        <v>0.30182260799945121</v>
      </c>
      <c r="H243" s="106">
        <f>-$H$6*(Sheet1!CA243-Sheet1!CA242)*7.48/1000000</f>
        <v>0.19551262056644639</v>
      </c>
      <c r="I243" s="106">
        <f>-$I$6*(Sheet1!CC243-Sheet1!CC242)*7.48/1000000</f>
        <v>6.2970279498094611E-2</v>
      </c>
      <c r="J243" s="107" t="s">
        <v>193</v>
      </c>
      <c r="K243" s="106">
        <f>-$I$6*(Sheet1!CD243-Sheet1!CD242)*7.48/1000000</f>
        <v>6.2970279498094917E-2</v>
      </c>
      <c r="L243" s="107" t="s">
        <v>193</v>
      </c>
      <c r="M243" s="106">
        <f>-$M$6*(Sheet1!CE243-Sheet1!CE242)*7.48/1000000</f>
        <v>2.1988957235712748E-2</v>
      </c>
      <c r="N243" s="106">
        <f>-$N$6*(Sheet1!CF243-Sheet1!CF242)*7.48/1000000</f>
        <v>0.17374656710494654</v>
      </c>
      <c r="O243" s="106">
        <f t="shared" ca="1" si="30"/>
        <v>-0.83917970486205817</v>
      </c>
      <c r="P243" s="106">
        <f ca="1">O243+Calculation!EI243</f>
        <v>1.5631202951379417</v>
      </c>
      <c r="Q243" s="101" t="str">
        <f>IF(Sheet1!BQ243&gt;21.75,"spill elevation","-")</f>
        <v>-</v>
      </c>
      <c r="R243" s="101" t="str">
        <f>IF(Sheet1!BR243&gt;21.75,"spill elevation","-")</f>
        <v>-</v>
      </c>
      <c r="S243" s="101" t="str">
        <f>IF(Sheet1!BS243&gt;21.75,"spill elevation","-")</f>
        <v>-</v>
      </c>
      <c r="T243" s="105">
        <f>IF(Sheet1!DQ243=1,Sheet1!AA243-(SUM(AT243:BA243)+BE243),Sheet1!AA243-SUM(AT243:BA243))</f>
        <v>41.279087999997671</v>
      </c>
      <c r="U243" s="105">
        <f>Sheet1!BU243</f>
        <v>42.7</v>
      </c>
      <c r="V243" s="105">
        <f t="shared" si="31"/>
        <v>-1.4209120000023319</v>
      </c>
      <c r="W243" s="105">
        <f t="shared" si="32"/>
        <v>0</v>
      </c>
      <c r="X243" s="101">
        <f>IF((Sheet1!EX243-Sheet1!EX242)&lt;0,(Sheet1!EX243+100000-Sheet1!EX242)/1000,(Sheet1!EX243-Sheet1!EX242)/1000)</f>
        <v>0.61299999999999999</v>
      </c>
      <c r="Y243" s="106">
        <f ca="1">Calculation!DZ244+Calculation!EI243+'Calculations II'!O243-'Calculations II'!W243</f>
        <v>92.678416295137936</v>
      </c>
      <c r="Z243" s="106">
        <f ca="1">Y243-Sheet1!CP244</f>
        <v>75.578416295137941</v>
      </c>
      <c r="AA243" s="106">
        <f ca="1">Y243+Calculation!CZ244+Calculation!AI244</f>
        <v>110.83447504666793</v>
      </c>
      <c r="AC243" s="106">
        <f>Sheet1!AA243+Sheet1!AB243+BC243</f>
        <v>87.284176000000585</v>
      </c>
      <c r="AD243" s="106">
        <f>Sheet1!AA243+Sheet1!BN243+'Calculations II'!BC243-Calculation!AI243-Calculation!CZ243</f>
        <v>53.395931485889442</v>
      </c>
      <c r="AE243" s="106">
        <f>Sheet1!AA243+Sheet1!AB243+'Calculations II'!BC243-Calculation!AI243-Calculation!CZ243</f>
        <v>70.045931485892368</v>
      </c>
      <c r="AF243" s="106">
        <f ca="1">Sheet1!AA243+Sheet1!BN243+P243+'Calculations II'!BC243+Calculation!AI243+Calculation!CZ243</f>
        <v>89.435540809243832</v>
      </c>
      <c r="AG243" s="106">
        <f ca="1">Sheet1!AA243+Sheet1!BN243+'Calculations II'!BC243+'Calculations II'!P243-Sheet1!CP243-BP243</f>
        <v>55.047296295135602</v>
      </c>
      <c r="AH243" s="106">
        <f ca="1">Sheet1!AA243+Sheet1!BN243+'Calculations II'!BC243+'Calculations II'!P243-BP243</f>
        <v>72.197296295135601</v>
      </c>
      <c r="AI243" s="106">
        <f ca="1">BC243+Sheet1!AA243+Calculation!EI243+O243+W243+Sheet1!BN243+Calculation!AI243+Calculation!CZ243-BP243</f>
        <v>89.435540809243832</v>
      </c>
      <c r="AJ243" s="106"/>
      <c r="AM243" s="102">
        <f t="shared" si="33"/>
        <v>40772</v>
      </c>
      <c r="AN243" s="106"/>
      <c r="AO243" s="106"/>
      <c r="AR243" s="106"/>
      <c r="AT243" s="101">
        <f>Sheet1!AR243*GPMtoMGD</f>
        <v>0</v>
      </c>
      <c r="AU243" s="101">
        <f>Sheet1!AS243*GPMtoMGD</f>
        <v>5.8032E-2</v>
      </c>
      <c r="AV243" s="101">
        <f>Sheet1!AT243*GPMtoMGD</f>
        <v>0</v>
      </c>
      <c r="AW243" s="101">
        <f>Sheet1!AV243*GPMtoMGD</f>
        <v>1.2798720000000001</v>
      </c>
      <c r="AX243" s="101">
        <f>Sheet1!AW243*GPMtoMGD</f>
        <v>1.6207200000000002</v>
      </c>
      <c r="AY243" s="101">
        <f>Sheet1!AX243*GPMtoMGD</f>
        <v>7.2288000000000005E-2</v>
      </c>
      <c r="AZ243" s="101">
        <f>Sheet1!AY243*GPMtoMGD</f>
        <v>0</v>
      </c>
      <c r="BA243" s="101">
        <f>Sheet1!AZ243*GPMtoMGD</f>
        <v>0</v>
      </c>
      <c r="BB243" s="101">
        <f>Sheet1!BP243*GPMtoMGD</f>
        <v>0</v>
      </c>
      <c r="BC243" s="101">
        <f>Sheet1!CO243*GPMtoMGD</f>
        <v>12.424176000000001</v>
      </c>
      <c r="BD243" s="101">
        <f>Sheet1!BO243*GPMtoMGD</f>
        <v>5.1716160000000002</v>
      </c>
      <c r="BE243" s="101">
        <f>Sheet1!BV243*GPMtoMGD</f>
        <v>1.8620639999999999</v>
      </c>
      <c r="BF243" s="101">
        <f>Sheet1!CJ243*GPMtoMGD</f>
        <v>1.61856</v>
      </c>
      <c r="BG243" s="101">
        <f>Sheet1!CK243*GPMtoMGD</f>
        <v>1.5616800000000002</v>
      </c>
      <c r="BH243" s="101">
        <f>Sheet1!CL243*GPMtoMGD</f>
        <v>1.1270880000000001</v>
      </c>
      <c r="BI243" s="101">
        <f t="shared" si="34"/>
        <v>5.1716160000000002</v>
      </c>
      <c r="BK243" s="106">
        <f>SUM(AT243:BA243,BE243,Sheet1!BU243,'Calculations II'!BC243,Calculation!AG243)</f>
        <v>73.328907485894689</v>
      </c>
      <c r="BM243" s="439">
        <f>IF(AND(Sheet1!BQ243&lt;=11.5,Sheet1!BQ242&gt;Sheet1!BQ243),(MIN(Lookup!$C$119,VLOOKUP(Sheet1!BQ242,Lookup!$B$4:$J$236,2))-VLOOKUP(Sheet1!BQ243,Lookup!$B$4:$J$236,2))/1000000,0)</f>
        <v>0</v>
      </c>
      <c r="BN243" s="439">
        <f>IF(AND(Sheet1!BR243&lt;=11.5,Sheet1!BR242&gt;Sheet1!BR243),(MIN(Lookup!$D$119,VLOOKUP(Sheet1!BR242,Lookup!$B$4:$J$236,3))-VLOOKUP(Sheet1!BR243,Lookup!$B$4:$J$236,3))/1000000,0)</f>
        <v>0</v>
      </c>
      <c r="BP243" s="105">
        <f>SUM(BM243:BN243,W243,Sheet1!DT243)</f>
        <v>0</v>
      </c>
    </row>
    <row r="244" spans="1:68" s="101" customFormat="1">
      <c r="A244" s="101" t="s">
        <v>6</v>
      </c>
      <c r="B244" s="103">
        <v>40773</v>
      </c>
      <c r="C244" s="104">
        <v>0.33333333333357601</v>
      </c>
      <c r="E244" s="30"/>
      <c r="F244" s="30">
        <f ca="1">IF(B244=TODAY(),0,-(VLOOKUP(Sheet1!BZ244,Lookup!$I$4:$J$216,2)-VLOOKUP(Sheet1!BZ243,Lookup!$I$4:$J$216,2))/1000000)</f>
        <v>0.51818469273900614</v>
      </c>
      <c r="G244" s="106">
        <f>-$G$6*(Sheet1!CB244-Sheet1!CB243)*7.48/1000000</f>
        <v>-0.11516915305242162</v>
      </c>
      <c r="H244" s="106">
        <f>-$H$6*(Sheet1!CA244-Sheet1!CA243)*7.48/1000000</f>
        <v>1.5039432351264204E-2</v>
      </c>
      <c r="I244" s="106">
        <f>-$I$6*(Sheet1!CC244-Sheet1!CC243)*7.48/1000000</f>
        <v>-6.2970279498094611E-2</v>
      </c>
      <c r="J244" s="107" t="s">
        <v>193</v>
      </c>
      <c r="K244" s="106">
        <f>-$I$6*(Sheet1!CD244-Sheet1!CD243)*7.48/1000000</f>
        <v>-6.2970279498094917E-2</v>
      </c>
      <c r="L244" s="107" t="s">
        <v>193</v>
      </c>
      <c r="M244" s="106">
        <f>-$M$6*(Sheet1!CE244-Sheet1!CE243)*7.48/1000000</f>
        <v>-2.3987953348050352E-2</v>
      </c>
      <c r="N244" s="106">
        <f>-$N$6*(Sheet1!CF244-Sheet1!CF243)*7.48/1000000</f>
        <v>1.861570361838677E-2</v>
      </c>
      <c r="O244" s="106">
        <f t="shared" ca="1" si="30"/>
        <v>0.28674216331199565</v>
      </c>
      <c r="P244" s="106">
        <f ca="1">O244+Calculation!EI244</f>
        <v>-4.2567578366880046</v>
      </c>
      <c r="Q244" s="101" t="str">
        <f>IF(Sheet1!BQ244&gt;21.75,"spill elevation","-")</f>
        <v>-</v>
      </c>
      <c r="R244" s="101" t="str">
        <f>IF(Sheet1!BR244&gt;21.75,"spill elevation","-")</f>
        <v>-</v>
      </c>
      <c r="S244" s="101" t="str">
        <f>IF(Sheet1!BS244&gt;21.75,"spill elevation","-")</f>
        <v>-</v>
      </c>
      <c r="T244" s="105">
        <f>IF(Sheet1!DQ244=1,Sheet1!AA244-(SUM(AT244:BA244)+BE244),Sheet1!AA244-SUM(AT244:BA244))</f>
        <v>43.071615999999999</v>
      </c>
      <c r="U244" s="105">
        <f>Sheet1!BU244</f>
        <v>36.299999999999997</v>
      </c>
      <c r="V244" s="105">
        <f t="shared" si="31"/>
        <v>6.7716160000000016</v>
      </c>
      <c r="W244" s="105">
        <f t="shared" si="32"/>
        <v>0</v>
      </c>
      <c r="X244" s="101">
        <f>IF((Sheet1!EX244-Sheet1!EX243)&lt;0,(Sheet1!EX244+100000-Sheet1!EX243)/1000,(Sheet1!EX244-Sheet1!EX243)/1000)</f>
        <v>0.63700000000000001</v>
      </c>
      <c r="Y244" s="106">
        <f ca="1">Calculation!DZ245+Calculation!EI244+'Calculations II'!O244-'Calculations II'!W244</f>
        <v>90.750426163305605</v>
      </c>
      <c r="Z244" s="106">
        <f ca="1">Y244-Sheet1!CP245</f>
        <v>73.250426163305605</v>
      </c>
      <c r="AA244" s="106">
        <f ca="1">Y244+Calculation!CZ245+Calculation!AI245</f>
        <v>109.98685473473418</v>
      </c>
      <c r="AC244" s="106">
        <f>Sheet1!AA244+Sheet1!AB244+BC244</f>
        <v>91.115296000000001</v>
      </c>
      <c r="AD244" s="106">
        <f>Sheet1!AA244+Sheet1!BN244+'Calculations II'!BC244-Calculation!AI244-Calculation!CZ244</f>
        <v>54.659237248470014</v>
      </c>
      <c r="AE244" s="106">
        <f>Sheet1!AA244+Sheet1!AB244+'Calculations II'!BC244-Calculation!AI244-Calculation!CZ244</f>
        <v>72.959237248470004</v>
      </c>
      <c r="AF244" s="106">
        <f ca="1">Sheet1!AA244+Sheet1!BN244+P244+'Calculations II'!BC244+Calculation!AI244+Calculation!CZ244</f>
        <v>86.714596914841991</v>
      </c>
      <c r="AG244" s="106">
        <f ca="1">Sheet1!AA244+Sheet1!BN244+'Calculations II'!BC244+'Calculations II'!P244-Sheet1!CP244-BP244</f>
        <v>51.458538163311992</v>
      </c>
      <c r="AH244" s="106">
        <f ca="1">Sheet1!AA244+Sheet1!BN244+'Calculations II'!BC244+'Calculations II'!P244-BP244</f>
        <v>68.558538163311994</v>
      </c>
      <c r="AI244" s="106">
        <f ca="1">BC244+Sheet1!AA244+Calculation!EI244+O244+W244+Sheet1!BN244+Calculation!AI244+Calculation!CZ244-BP244</f>
        <v>86.714596914841991</v>
      </c>
      <c r="AJ244" s="106"/>
      <c r="AM244" s="102">
        <f t="shared" si="33"/>
        <v>40773</v>
      </c>
      <c r="AN244" s="106"/>
      <c r="AO244" s="106"/>
      <c r="AR244" s="106"/>
      <c r="AT244" s="101">
        <f>Sheet1!AR244*GPMtoMGD</f>
        <v>0</v>
      </c>
      <c r="AU244" s="101">
        <f>Sheet1!AS244*GPMtoMGD</f>
        <v>5.4432000000000001E-2</v>
      </c>
      <c r="AV244" s="101">
        <f>Sheet1!AT244*GPMtoMGD</f>
        <v>0</v>
      </c>
      <c r="AW244" s="101">
        <f>Sheet1!AV244*GPMtoMGD</f>
        <v>1.2450240000000001</v>
      </c>
      <c r="AX244" s="101">
        <f>Sheet1!AW244*GPMtoMGD</f>
        <v>1.5730560000000002</v>
      </c>
      <c r="AY244" s="101">
        <f>Sheet1!AX244*GPMtoMGD</f>
        <v>5.5871999999999998E-2</v>
      </c>
      <c r="AZ244" s="101">
        <f>Sheet1!AY244*GPMtoMGD</f>
        <v>0</v>
      </c>
      <c r="BA244" s="101">
        <f>Sheet1!AZ244*GPMtoMGD</f>
        <v>0</v>
      </c>
      <c r="BB244" s="101">
        <f>Sheet1!BP244*GPMtoMGD</f>
        <v>0</v>
      </c>
      <c r="BC244" s="101">
        <f>Sheet1!CO244*GPMtoMGD</f>
        <v>12.115296000000001</v>
      </c>
      <c r="BD244" s="101">
        <f>Sheet1!BO244*GPMtoMGD</f>
        <v>5.0110560000000008</v>
      </c>
      <c r="BE244" s="101">
        <f>Sheet1!BV244*GPMtoMGD</f>
        <v>1.611504</v>
      </c>
      <c r="BF244" s="101">
        <f>Sheet1!CJ244*GPMtoMGD</f>
        <v>1.6123680000000002</v>
      </c>
      <c r="BG244" s="101">
        <f>Sheet1!CK244*GPMtoMGD</f>
        <v>1.4964480000000002</v>
      </c>
      <c r="BH244" s="101">
        <f>Sheet1!CL244*GPMtoMGD</f>
        <v>1.06416</v>
      </c>
      <c r="BI244" s="101">
        <f t="shared" si="34"/>
        <v>5.0110560000000008</v>
      </c>
      <c r="BK244" s="106">
        <f>SUM(AT244:BA244,BE244,Sheet1!BU244,'Calculations II'!BC244,Calculation!AG244)</f>
        <v>67.799125248470006</v>
      </c>
      <c r="BM244" s="439">
        <f>IF(AND(Sheet1!BQ244&lt;=11.5,Sheet1!BQ243&gt;Sheet1!BQ244),(MIN(Lookup!$C$119,VLOOKUP(Sheet1!BQ243,Lookup!$B$4:$J$236,2))-VLOOKUP(Sheet1!BQ244,Lookup!$B$4:$J$236,2))/1000000,0)</f>
        <v>0</v>
      </c>
      <c r="BN244" s="439">
        <f>IF(AND(Sheet1!BR244&lt;=11.5,Sheet1!BR243&gt;Sheet1!BR244),(MIN(Lookup!$D$119,VLOOKUP(Sheet1!BR243,Lookup!$B$4:$J$236,3))-VLOOKUP(Sheet1!BR244,Lookup!$B$4:$J$236,3))/1000000,0)</f>
        <v>0</v>
      </c>
      <c r="BP244" s="105">
        <f>SUM(BM244:BN244,W244,Sheet1!DT244)</f>
        <v>0</v>
      </c>
    </row>
    <row r="245" spans="1:68" s="101" customFormat="1">
      <c r="A245" s="101" t="s">
        <v>7</v>
      </c>
      <c r="B245" s="103">
        <v>40774</v>
      </c>
      <c r="C245" s="104">
        <v>0.33333333333357601</v>
      </c>
      <c r="E245" s="30"/>
      <c r="F245" s="30">
        <f ca="1">IF(B245=TODAY(),0,-(VLOOKUP(Sheet1!BZ245,Lookup!$I$4:$J$216,2)-VLOOKUP(Sheet1!BZ244,Lookup!$I$4:$J$216,2))/1000000)</f>
        <v>0.51818469273900236</v>
      </c>
      <c r="G245" s="106">
        <f>-$G$6*(Sheet1!CB245-Sheet1!CB244)*7.48/1000000</f>
        <v>4.7656201263070137E-2</v>
      </c>
      <c r="H245" s="106">
        <f>-$H$6*(Sheet1!CA245-Sheet1!CA244)*7.48/1000000</f>
        <v>-0.30078864702530117</v>
      </c>
      <c r="I245" s="106">
        <f>-$I$6*(Sheet1!CC245-Sheet1!CC244)*7.48/1000000</f>
        <v>-5.3974525284079993E-3</v>
      </c>
      <c r="J245" s="107" t="s">
        <v>193</v>
      </c>
      <c r="K245" s="106">
        <f>-$I$6*(Sheet1!CD245-Sheet1!CD244)*7.48/1000000</f>
        <v>-7.1966033712106666E-3</v>
      </c>
      <c r="L245" s="107" t="s">
        <v>193</v>
      </c>
      <c r="M245" s="106">
        <f>-$M$6*(Sheet1!CE245-Sheet1!CE244)*7.48/1000000</f>
        <v>3.1983937797400552E-2</v>
      </c>
      <c r="N245" s="106">
        <f>-$N$6*(Sheet1!CF245-Sheet1!CF244)*7.48/1000000</f>
        <v>4.9641876315699163E-2</v>
      </c>
      <c r="O245" s="106">
        <f t="shared" ca="1" si="30"/>
        <v>0.33408400519025239</v>
      </c>
      <c r="P245" s="106">
        <f ca="1">O245+Calculation!EI245</f>
        <v>-2.9089159948097478</v>
      </c>
      <c r="Q245" s="101" t="str">
        <f>IF(Sheet1!BQ245&gt;21.75,"spill elevation","-")</f>
        <v>-</v>
      </c>
      <c r="R245" s="101" t="str">
        <f>IF(Sheet1!BR245&gt;21.75,"spill elevation","-")</f>
        <v>-</v>
      </c>
      <c r="S245" s="101" t="str">
        <f>IF(Sheet1!BS245&gt;21.75,"spill elevation","-")</f>
        <v>-</v>
      </c>
      <c r="T245" s="105">
        <f>IF(Sheet1!DQ245=1,Sheet1!AA245-(SUM(AT245:BA245)+BE245),Sheet1!AA245-SUM(AT245:BA245))</f>
        <v>43.671231999993594</v>
      </c>
      <c r="U245" s="105">
        <f>Sheet1!BU245</f>
        <v>37.700000000000003</v>
      </c>
      <c r="V245" s="105">
        <f t="shared" si="31"/>
        <v>5.9712319999935914</v>
      </c>
      <c r="W245" s="105">
        <f t="shared" si="32"/>
        <v>0</v>
      </c>
      <c r="X245" s="101">
        <f>IF((Sheet1!EX245-Sheet1!EX244)&lt;0,(Sheet1!EX245+100000-Sheet1!EX244)/1000,(Sheet1!EX245-Sheet1!EX244)/1000)</f>
        <v>0.626</v>
      </c>
      <c r="Y245" s="106">
        <f ca="1">Calculation!DZ246+Calculation!EI245+'Calculations II'!O245-'Calculations II'!W245</f>
        <v>86.528684005201896</v>
      </c>
      <c r="Z245" s="106">
        <f ca="1">Y245-Sheet1!CP246</f>
        <v>68.728684005201899</v>
      </c>
      <c r="AA245" s="106">
        <f ca="1">Y245+Calculation!CZ246+Calculation!AI246</f>
        <v>106.15933394818902</v>
      </c>
      <c r="AC245" s="106">
        <f>Sheet1!AA245+Sheet1!AB245+BC245</f>
        <v>95.0071839999936</v>
      </c>
      <c r="AD245" s="106">
        <f>Sheet1!AA245+Sheet1!BN245+'Calculations II'!BC245-Calculation!AI245-Calculation!CZ245</f>
        <v>56.420755428565023</v>
      </c>
      <c r="AE245" s="106">
        <f>Sheet1!AA245+Sheet1!AB245+'Calculations II'!BC245-Calculation!AI245-Calculation!CZ245</f>
        <v>75.770755428565025</v>
      </c>
      <c r="AF245" s="106">
        <f ca="1">Sheet1!AA245+Sheet1!BN245+P245+'Calculations II'!BC245+Calculation!AI245+Calculation!CZ245</f>
        <v>91.984696576612407</v>
      </c>
      <c r="AG245" s="106">
        <f ca="1">Sheet1!AA245+Sheet1!BN245+'Calculations II'!BC245+'Calculations II'!P245-Sheet1!CP245-BP245</f>
        <v>55.248268005183846</v>
      </c>
      <c r="AH245" s="106">
        <f ca="1">Sheet1!AA245+Sheet1!BN245+'Calculations II'!BC245+'Calculations II'!P245-BP245</f>
        <v>72.748268005183846</v>
      </c>
      <c r="AI245" s="106">
        <f ca="1">BC245+Sheet1!AA245+Calculation!EI245+O245+W245+Sheet1!BN245+Calculation!AI245+Calculation!CZ245-BP245</f>
        <v>91.984696576612407</v>
      </c>
      <c r="AJ245" s="106"/>
      <c r="AM245" s="102">
        <f t="shared" si="33"/>
        <v>40774</v>
      </c>
      <c r="AN245" s="106"/>
      <c r="AO245" s="106"/>
      <c r="AR245" s="106"/>
      <c r="AT245" s="101">
        <f>Sheet1!AR245*GPMtoMGD</f>
        <v>0</v>
      </c>
      <c r="AU245" s="101">
        <f>Sheet1!AS245*GPMtoMGD</f>
        <v>4.9391999999999998E-2</v>
      </c>
      <c r="AV245" s="101">
        <f>Sheet1!AT245*GPMtoMGD</f>
        <v>0</v>
      </c>
      <c r="AW245" s="101">
        <f>Sheet1!AV245*GPMtoMGD</f>
        <v>1.2012480000000001</v>
      </c>
      <c r="AX245" s="101">
        <f>Sheet1!AW245*GPMtoMGD</f>
        <v>1.5526080000000002</v>
      </c>
      <c r="AY245" s="101">
        <f>Sheet1!AX245*GPMtoMGD</f>
        <v>6.5520000000000009E-2</v>
      </c>
      <c r="AZ245" s="101">
        <f>Sheet1!AY245*GPMtoMGD</f>
        <v>0</v>
      </c>
      <c r="BA245" s="101">
        <f>Sheet1!AZ245*GPMtoMGD</f>
        <v>0</v>
      </c>
      <c r="BB245" s="101">
        <f>Sheet1!BP245*GPMtoMGD</f>
        <v>0</v>
      </c>
      <c r="BC245" s="101">
        <f>Sheet1!CO245*GPMtoMGD</f>
        <v>13.217184000000001</v>
      </c>
      <c r="BD245" s="101">
        <f>Sheet1!BO245*GPMtoMGD</f>
        <v>4.3364160000000007</v>
      </c>
      <c r="BE245" s="101">
        <f>Sheet1!BV245*GPMtoMGD</f>
        <v>1.7866080000000002</v>
      </c>
      <c r="BF245" s="101">
        <f>Sheet1!CJ245*GPMtoMGD</f>
        <v>1.5720480000000001</v>
      </c>
      <c r="BG245" s="101">
        <f>Sheet1!CK245*GPMtoMGD</f>
        <v>1.4960160000000002</v>
      </c>
      <c r="BH245" s="101">
        <f>Sheet1!CL245*GPMtoMGD</f>
        <v>1.0959840000000001</v>
      </c>
      <c r="BI245" s="101">
        <f t="shared" si="34"/>
        <v>4.3364160000000007</v>
      </c>
      <c r="BK245" s="106">
        <f>SUM(AT245:BA245,BE245,Sheet1!BU245,'Calculations II'!BC245,Calculation!AG245)</f>
        <v>71.586131428571434</v>
      </c>
      <c r="BM245" s="439">
        <f>IF(AND(Sheet1!BQ245&lt;=11.5,Sheet1!BQ244&gt;Sheet1!BQ245),(MIN(Lookup!$C$119,VLOOKUP(Sheet1!BQ244,Lookup!$B$4:$J$236,2))-VLOOKUP(Sheet1!BQ245,Lookup!$B$4:$J$236,2))/1000000,0)</f>
        <v>0</v>
      </c>
      <c r="BN245" s="439">
        <f>IF(AND(Sheet1!BR245&lt;=11.5,Sheet1!BR244&gt;Sheet1!BR245),(MIN(Lookup!$D$119,VLOOKUP(Sheet1!BR244,Lookup!$B$4:$J$236,3))-VLOOKUP(Sheet1!BR245,Lookup!$B$4:$J$236,3))/1000000,0)</f>
        <v>0</v>
      </c>
      <c r="BP245" s="105">
        <f>SUM(BM245:BN245,W245,Sheet1!DT245)</f>
        <v>0</v>
      </c>
    </row>
    <row r="246" spans="1:68" s="101" customFormat="1">
      <c r="A246" s="101" t="s">
        <v>8</v>
      </c>
      <c r="B246" s="103">
        <v>40775</v>
      </c>
      <c r="C246" s="104">
        <v>0.33333333333357601</v>
      </c>
      <c r="E246" s="30"/>
      <c r="F246" s="30">
        <f ca="1">IF(B246=TODAY(),0,-(VLOOKUP(Sheet1!BZ246,Lookup!$I$4:$J$216,2)-VLOOKUP(Sheet1!BZ245,Lookup!$I$4:$J$216,2))/1000000)</f>
        <v>-2.1763757095038145</v>
      </c>
      <c r="G246" s="106">
        <f>-$G$6*(Sheet1!CB246-Sheet1!CB245)*7.48/1000000</f>
        <v>7.1484301894608027E-2</v>
      </c>
      <c r="H246" s="106">
        <f>-$H$6*(Sheet1!CA246-Sheet1!CA245)*7.48/1000000</f>
        <v>0.21055205291771167</v>
      </c>
      <c r="I246" s="106">
        <f>-$I$6*(Sheet1!CC246-Sheet1!CC245)*7.48/1000000</f>
        <v>-6.2970279498094917E-2</v>
      </c>
      <c r="J246" s="107" t="s">
        <v>193</v>
      </c>
      <c r="K246" s="106">
        <f>-$I$6*(Sheet1!CD246-Sheet1!CD245)*7.48/1000000</f>
        <v>-7.5564335397713581E-2</v>
      </c>
      <c r="L246" s="107" t="s">
        <v>193</v>
      </c>
      <c r="M246" s="106">
        <f>-$M$6*(Sheet1!CE246-Sheet1!CE245)*7.48/1000000</f>
        <v>-6.1302547445017778E-2</v>
      </c>
      <c r="N246" s="106">
        <f>-$N$6*(Sheet1!CF246-Sheet1!CF245)*7.48/1000000</f>
        <v>0</v>
      </c>
      <c r="O246" s="106">
        <f t="shared" ca="1" si="30"/>
        <v>-2.0941765170323214</v>
      </c>
      <c r="P246" s="106">
        <f ca="1">O246+Calculation!EI246</f>
        <v>-1.0131765170323215</v>
      </c>
      <c r="Q246" s="101" t="str">
        <f>IF(Sheet1!BQ246&gt;21.75,"spill elevation","-")</f>
        <v>-</v>
      </c>
      <c r="R246" s="101" t="str">
        <f>IF(Sheet1!BR246&gt;21.75,"spill elevation","-")</f>
        <v>-</v>
      </c>
      <c r="S246" s="101" t="str">
        <f>IF(Sheet1!BS246&gt;21.75,"spill elevation","-")</f>
        <v>-</v>
      </c>
      <c r="T246" s="105">
        <f>IF(Sheet1!DQ246=1,Sheet1!AA246-(SUM(AT246:BA246)+BE246),Sheet1!AA246-SUM(AT246:BA246))</f>
        <v>42.478400000012222</v>
      </c>
      <c r="U246" s="105">
        <f>Sheet1!BU246</f>
        <v>41.5</v>
      </c>
      <c r="V246" s="105">
        <f t="shared" si="31"/>
        <v>0.97840000001222194</v>
      </c>
      <c r="W246" s="105">
        <f t="shared" si="32"/>
        <v>0</v>
      </c>
      <c r="X246" s="101">
        <f>IF((Sheet1!EX246-Sheet1!EX245)&lt;0,(Sheet1!EX246+100000-Sheet1!EX245)/1000,(Sheet1!EX246-Sheet1!EX245)/1000)</f>
        <v>0.67200000000000004</v>
      </c>
      <c r="Y246" s="106">
        <f ca="1">Calculation!DZ247+Calculation!EI246+'Calculations II'!O246-'Calculations II'!W246</f>
        <v>90.037671482956043</v>
      </c>
      <c r="Z246" s="106">
        <f ca="1">Y246-Sheet1!CP247</f>
        <v>72.827671482956049</v>
      </c>
      <c r="AA246" s="106">
        <f ca="1">Y246+Calculation!CZ247+Calculation!AI247</f>
        <v>110.30376140896662</v>
      </c>
      <c r="AC246" s="106">
        <f>Sheet1!AA246+Sheet1!AB246+BC246</f>
        <v>89.437600000011642</v>
      </c>
      <c r="AD246" s="106">
        <f>Sheet1!AA246+Sheet1!BN246+'Calculations II'!BC246-Calculation!AI246-Calculation!CZ246</f>
        <v>50.3669500570251</v>
      </c>
      <c r="AE246" s="106">
        <f>Sheet1!AA246+Sheet1!AB246+'Calculations II'!BC246-Calculation!AI246-Calculation!CZ246</f>
        <v>69.806950057024522</v>
      </c>
      <c r="AF246" s="106">
        <f ca="1">Sheet1!AA246+Sheet1!BN246+P246+'Calculations II'!BC246+Calculation!AI246+Calculation!CZ246</f>
        <v>88.61507342596704</v>
      </c>
      <c r="AG246" s="106">
        <f ca="1">Sheet1!AA246+Sheet1!BN246+'Calculations II'!BC246+'Calculations II'!P246-Sheet1!CP246-BP246</f>
        <v>51.184423482979909</v>
      </c>
      <c r="AH246" s="106">
        <f ca="1">Sheet1!AA246+Sheet1!BN246+'Calculations II'!BC246+'Calculations II'!P246-BP246</f>
        <v>68.984423482979906</v>
      </c>
      <c r="AI246" s="106">
        <f ca="1">BC246+Sheet1!AA246+Calculation!EI246+O246+W246+Sheet1!BN246+Calculation!AI246+Calculation!CZ246-BP246</f>
        <v>88.61507342596704</v>
      </c>
      <c r="AJ246" s="106"/>
      <c r="AM246" s="102">
        <f t="shared" si="33"/>
        <v>40775</v>
      </c>
      <c r="AN246" s="106"/>
      <c r="AO246" s="106"/>
      <c r="AR246" s="106"/>
      <c r="AT246" s="101">
        <f>Sheet1!AR246*GPMtoMGD</f>
        <v>0</v>
      </c>
      <c r="AU246" s="101">
        <f>Sheet1!AS246*GPMtoMGD</f>
        <v>5.8896000000000004E-2</v>
      </c>
      <c r="AV246" s="101">
        <f>Sheet1!AT246*GPMtoMGD</f>
        <v>0</v>
      </c>
      <c r="AW246" s="101">
        <f>Sheet1!AV246*GPMtoMGD</f>
        <v>1.3065120000000001</v>
      </c>
      <c r="AX246" s="101">
        <f>Sheet1!AW246*GPMtoMGD</f>
        <v>1.6572960000000003</v>
      </c>
      <c r="AY246" s="101">
        <f>Sheet1!AX246*GPMtoMGD</f>
        <v>5.8896000000000004E-2</v>
      </c>
      <c r="AZ246" s="101">
        <f>Sheet1!AY246*GPMtoMGD</f>
        <v>0</v>
      </c>
      <c r="BA246" s="101">
        <f>Sheet1!AZ246*GPMtoMGD</f>
        <v>0</v>
      </c>
      <c r="BB246" s="101">
        <f>Sheet1!BP246*GPMtoMGD</f>
        <v>0</v>
      </c>
      <c r="BC246" s="101">
        <f>Sheet1!CO246*GPMtoMGD</f>
        <v>9.2376000000000005</v>
      </c>
      <c r="BD246" s="101">
        <f>Sheet1!BO246*GPMtoMGD</f>
        <v>4.8303360000000009</v>
      </c>
      <c r="BE246" s="101">
        <f>Sheet1!BV246*GPMtoMGD</f>
        <v>1.841904</v>
      </c>
      <c r="BF246" s="101">
        <f>Sheet1!CJ246*GPMtoMGD</f>
        <v>1.7015039999999999</v>
      </c>
      <c r="BG246" s="101">
        <f>Sheet1!CK246*GPMtoMGD</f>
        <v>1.556352</v>
      </c>
      <c r="BH246" s="101">
        <f>Sheet1!CL246*GPMtoMGD</f>
        <v>1.056816</v>
      </c>
      <c r="BI246" s="101">
        <f t="shared" si="34"/>
        <v>4.8303360000000009</v>
      </c>
      <c r="BK246" s="106">
        <f>SUM(AT246:BA246,BE246,Sheet1!BU246,'Calculations II'!BC246,Calculation!AG246)</f>
        <v>70.670454057012293</v>
      </c>
      <c r="BM246" s="439">
        <f>IF(AND(Sheet1!BQ246&lt;=11.5,Sheet1!BQ245&gt;Sheet1!BQ246),(MIN(Lookup!$C$119,VLOOKUP(Sheet1!BQ245,Lookup!$B$4:$J$236,2))-VLOOKUP(Sheet1!BQ246,Lookup!$B$4:$J$236,2))/1000000,0)</f>
        <v>0</v>
      </c>
      <c r="BN246" s="439">
        <f>IF(AND(Sheet1!BR246&lt;=11.5,Sheet1!BR245&gt;Sheet1!BR246),(MIN(Lookup!$D$119,VLOOKUP(Sheet1!BR245,Lookup!$B$4:$J$236,3))-VLOOKUP(Sheet1!BR246,Lookup!$B$4:$J$236,3))/1000000,0)</f>
        <v>0</v>
      </c>
      <c r="BP246" s="105">
        <f>SUM(BM246:BN246,W246,Sheet1!DT246)</f>
        <v>0</v>
      </c>
    </row>
    <row r="247" spans="1:68" s="101" customFormat="1">
      <c r="A247" s="101" t="s">
        <v>9</v>
      </c>
      <c r="B247" s="103">
        <v>40776</v>
      </c>
      <c r="C247" s="104">
        <v>0.33333333333357601</v>
      </c>
      <c r="E247" s="30"/>
      <c r="F247" s="30">
        <f ca="1">IF(B247=TODAY(),0,-(VLOOKUP(Sheet1!BZ247,Lookup!$I$4:$J$216,2)-VLOOKUP(Sheet1!BZ246,Lookup!$I$4:$J$216,2))/1000000)</f>
        <v>0.41454775419120493</v>
      </c>
      <c r="G247" s="106">
        <f>-$G$6*(Sheet1!CB247-Sheet1!CB246)*7.48/1000000</f>
        <v>5.5598901473581833E-2</v>
      </c>
      <c r="H247" s="106">
        <f>-$H$6*(Sheet1!CA247-Sheet1!CA246)*7.48/1000000</f>
        <v>0.39102524113289122</v>
      </c>
      <c r="I247" s="106">
        <f>-$I$6*(Sheet1!CC247-Sheet1!CC246)*7.48/1000000</f>
        <v>-0.13673546405300552</v>
      </c>
      <c r="J247" s="107" t="s">
        <v>193</v>
      </c>
      <c r="K247" s="106">
        <f>-$I$6*(Sheet1!CD247-Sheet1!CD246)*7.48/1000000</f>
        <v>-0.12234225731058387</v>
      </c>
      <c r="L247" s="107" t="s">
        <v>193</v>
      </c>
      <c r="M247" s="106">
        <f>-$M$6*(Sheet1!CE247-Sheet1!CE246)*7.48/1000000</f>
        <v>-5.2640230958221637E-2</v>
      </c>
      <c r="N247" s="106">
        <f>-$N$6*(Sheet1!CF247-Sheet1!CF246)*7.48/1000000</f>
        <v>-0.19236227072333439</v>
      </c>
      <c r="O247" s="106">
        <f t="shared" ca="1" si="30"/>
        <v>0.35709167375253259</v>
      </c>
      <c r="P247" s="106">
        <f ca="1">O247+Calculation!EI247</f>
        <v>3.0595916737525326</v>
      </c>
      <c r="Q247" s="101" t="str">
        <f>IF(Sheet1!BQ247&gt;21.75,"spill elevation","-")</f>
        <v>-</v>
      </c>
      <c r="R247" s="101" t="str">
        <f>IF(Sheet1!BR247&gt;21.75,"spill elevation","-")</f>
        <v>-</v>
      </c>
      <c r="S247" s="101" t="str">
        <f>IF(Sheet1!BS247&gt;21.75,"spill elevation","-")</f>
        <v>-</v>
      </c>
      <c r="T247" s="105">
        <f>IF(Sheet1!DQ247=1,Sheet1!AA247-(SUM(AT247:BA247)+BE247),Sheet1!AA247-SUM(AT247:BA247))</f>
        <v>42.989471999987778</v>
      </c>
      <c r="U247" s="105">
        <f>Sheet1!BU247</f>
        <v>42.2</v>
      </c>
      <c r="V247" s="105">
        <f t="shared" si="31"/>
        <v>0.78947199998777506</v>
      </c>
      <c r="W247" s="105">
        <f t="shared" si="32"/>
        <v>0</v>
      </c>
      <c r="X247" s="101">
        <f>IF((Sheet1!EX247-Sheet1!EX246)&lt;0,(Sheet1!EX247+100000-Sheet1!EX246)/1000,(Sheet1!EX247-Sheet1!EX246)/1000)</f>
        <v>0.61699999999999999</v>
      </c>
      <c r="Y247" s="106">
        <f ca="1">Calculation!DZ248+Calculation!EI247+'Calculations II'!O247-'Calculations II'!W247</f>
        <v>93.295943673758941</v>
      </c>
      <c r="Z247" s="106">
        <f ca="1">Y247-Sheet1!CP248</f>
        <v>76.605943673758944</v>
      </c>
      <c r="AA247" s="106">
        <f ca="1">Y247+Calculation!CZ248+Calculation!AI248</f>
        <v>112.49363466577719</v>
      </c>
      <c r="AC247" s="106">
        <f>Sheet1!AA247+Sheet1!AB247+BC247</f>
        <v>91.050847999988363</v>
      </c>
      <c r="AD247" s="106">
        <f>Sheet1!AA247+Sheet1!BN247+'Calculations II'!BC247-Calculation!AI247-Calculation!CZ247</f>
        <v>50.424758073977202</v>
      </c>
      <c r="AE247" s="106">
        <f>Sheet1!AA247+Sheet1!AB247+'Calculations II'!BC247-Calculation!AI247-Calculation!CZ247</f>
        <v>70.784758073977784</v>
      </c>
      <c r="AF247" s="106">
        <f ca="1">Sheet1!AA247+Sheet1!BN247+P247+'Calculations II'!BC247+Calculation!AI247+Calculation!CZ247</f>
        <v>94.016529599750896</v>
      </c>
      <c r="AG247" s="106">
        <f ca="1">Sheet1!AA247+Sheet1!BN247+'Calculations II'!BC247+'Calculations II'!P247-Sheet1!CP247-BP247</f>
        <v>56.540439673740316</v>
      </c>
      <c r="AH247" s="106">
        <f ca="1">Sheet1!AA247+Sheet1!BN247+'Calculations II'!BC247+'Calculations II'!P247-BP247</f>
        <v>73.750439673740317</v>
      </c>
      <c r="AI247" s="106">
        <f ca="1">BC247+Sheet1!AA247+Calculation!EI247+O247+W247+Sheet1!BN247+Calculation!AI247+Calculation!CZ247-BP247</f>
        <v>94.016529599750896</v>
      </c>
      <c r="AJ247" s="106"/>
      <c r="AM247" s="102">
        <f t="shared" si="33"/>
        <v>40776</v>
      </c>
      <c r="AN247" s="106"/>
      <c r="AO247" s="106"/>
      <c r="AR247" s="106"/>
      <c r="AT247" s="101">
        <f>Sheet1!AR247*GPMtoMGD</f>
        <v>0</v>
      </c>
      <c r="AU247" s="101">
        <f>Sheet1!AS247*GPMtoMGD</f>
        <v>5.9616000000000002E-2</v>
      </c>
      <c r="AV247" s="101">
        <f>Sheet1!AT247*GPMtoMGD</f>
        <v>0</v>
      </c>
      <c r="AW247" s="101">
        <f>Sheet1!AV247*GPMtoMGD</f>
        <v>1.424736</v>
      </c>
      <c r="AX247" s="101">
        <f>Sheet1!AW247*GPMtoMGD</f>
        <v>1.8768960000000003</v>
      </c>
      <c r="AY247" s="101">
        <f>Sheet1!AX247*GPMtoMGD</f>
        <v>8.9280000000000012E-2</v>
      </c>
      <c r="AZ247" s="101">
        <f>Sheet1!AY247*GPMtoMGD</f>
        <v>0</v>
      </c>
      <c r="BA247" s="101">
        <f>Sheet1!AZ247*GPMtoMGD</f>
        <v>0</v>
      </c>
      <c r="BB247" s="101">
        <f>Sheet1!BP247*GPMtoMGD</f>
        <v>0</v>
      </c>
      <c r="BC247" s="101">
        <f>Sheet1!CO247*GPMtoMGD</f>
        <v>9.2508479999999995</v>
      </c>
      <c r="BD247" s="101">
        <f>Sheet1!BO247*GPMtoMGD</f>
        <v>5.3663040000000004</v>
      </c>
      <c r="BE247" s="101">
        <f>Sheet1!BV247*GPMtoMGD</f>
        <v>1.9673280000000002</v>
      </c>
      <c r="BF247" s="101">
        <f>Sheet1!CJ247*GPMtoMGD</f>
        <v>1.805904</v>
      </c>
      <c r="BG247" s="101">
        <f>Sheet1!CK247*GPMtoMGD</f>
        <v>1.6855200000000001</v>
      </c>
      <c r="BH247" s="101">
        <f>Sheet1!CL247*GPMtoMGD</f>
        <v>1.051776</v>
      </c>
      <c r="BI247" s="101">
        <f t="shared" si="34"/>
        <v>5.3663040000000004</v>
      </c>
      <c r="BK247" s="106">
        <f>SUM(AT247:BA247,BE247,Sheet1!BU247,'Calculations II'!BC247,Calculation!AG247)</f>
        <v>71.962614073990011</v>
      </c>
      <c r="BM247" s="439">
        <f>IF(AND(Sheet1!BQ247&lt;=11.5,Sheet1!BQ246&gt;Sheet1!BQ247),(MIN(Lookup!$C$119,VLOOKUP(Sheet1!BQ246,Lookup!$B$4:$J$236,2))-VLOOKUP(Sheet1!BQ247,Lookup!$B$4:$J$236,2))/1000000,0)</f>
        <v>0</v>
      </c>
      <c r="BN247" s="439">
        <f>IF(AND(Sheet1!BR247&lt;=11.5,Sheet1!BR246&gt;Sheet1!BR247),(MIN(Lookup!$D$119,VLOOKUP(Sheet1!BR246,Lookup!$B$4:$J$236,3))-VLOOKUP(Sheet1!BR247,Lookup!$B$4:$J$236,3))/1000000,0)</f>
        <v>0</v>
      </c>
      <c r="BP247" s="105">
        <f>SUM(BM247:BN247,W247,Sheet1!DT247)</f>
        <v>0</v>
      </c>
    </row>
    <row r="248" spans="1:68" s="101" customFormat="1">
      <c r="A248" s="101" t="s">
        <v>3</v>
      </c>
      <c r="B248" s="103">
        <v>40777</v>
      </c>
      <c r="C248" s="104">
        <v>0.33333333333357601</v>
      </c>
      <c r="E248" s="30"/>
      <c r="F248" s="30">
        <f ca="1">IF(B248=TODAY(),0,-(VLOOKUP(Sheet1!BZ248,Lookup!$I$4:$J$216,2)-VLOOKUP(Sheet1!BZ247,Lookup!$I$4:$J$216,2))/1000000)</f>
        <v>-1.1400063240257985</v>
      </c>
      <c r="G248" s="106">
        <f>-$G$6*(Sheet1!CB248-Sheet1!CB247)*7.48/1000000</f>
        <v>-0.11516915305242162</v>
      </c>
      <c r="H248" s="106">
        <f>-$H$6*(Sheet1!CA248-Sheet1!CA247)*7.48/1000000</f>
        <v>-0.64669559110439756</v>
      </c>
      <c r="I248" s="106">
        <f>-$I$6*(Sheet1!CC248-Sheet1!CC247)*7.48/1000000</f>
        <v>3.5983016856054283E-2</v>
      </c>
      <c r="J248" s="107" t="s">
        <v>193</v>
      </c>
      <c r="K248" s="106">
        <f>-$I$6*(Sheet1!CD248-Sheet1!CD247)*7.48/1000000</f>
        <v>4.3179620227264952E-2</v>
      </c>
      <c r="L248" s="107" t="s">
        <v>193</v>
      </c>
      <c r="M248" s="106">
        <f>-$M$6*(Sheet1!CE248-Sheet1!CE247)*7.48/1000000</f>
        <v>6.6633203744585374E-3</v>
      </c>
      <c r="N248" s="106">
        <f>-$N$6*(Sheet1!CF248-Sheet1!CF247)*7.48/1000000</f>
        <v>-0.29785125789419387</v>
      </c>
      <c r="O248" s="106">
        <f t="shared" ca="1" si="30"/>
        <v>-2.113896368619034</v>
      </c>
      <c r="P248" s="106">
        <f ca="1">O248+Calculation!EI248</f>
        <v>-6.4378963686190342</v>
      </c>
      <c r="Q248" s="101" t="str">
        <f>IF(Sheet1!BQ248&gt;21.75,"spill elevation","-")</f>
        <v>-</v>
      </c>
      <c r="R248" s="101" t="str">
        <f>IF(Sheet1!BR248&gt;21.75,"spill elevation","-")</f>
        <v>-</v>
      </c>
      <c r="S248" s="101" t="str">
        <f>IF(Sheet1!BS248&gt;21.75,"spill elevation","-")</f>
        <v>-</v>
      </c>
      <c r="T248" s="105">
        <f>IF(Sheet1!DQ248=1,Sheet1!AA248-(SUM(AT248:BA248)+BE248),Sheet1!AA248-SUM(AT248:BA248))</f>
        <v>43.871168000006406</v>
      </c>
      <c r="U248" s="105">
        <f>Sheet1!BU248</f>
        <v>36.6</v>
      </c>
      <c r="V248" s="105">
        <f t="shared" si="31"/>
        <v>7.271168000006405</v>
      </c>
      <c r="W248" s="105">
        <f t="shared" si="32"/>
        <v>0</v>
      </c>
      <c r="X248" s="101">
        <f>IF((Sheet1!EX248-Sheet1!EX247)&lt;0,(Sheet1!EX248+100000-Sheet1!EX247)/1000,(Sheet1!EX248-Sheet1!EX247)/1000)</f>
        <v>0.624</v>
      </c>
      <c r="Y248" s="106">
        <f ca="1">Calculation!DZ249+Calculation!EI248+'Calculations II'!O248-'Calculations II'!W248</f>
        <v>78.542007631380969</v>
      </c>
      <c r="Z248" s="106">
        <f ca="1">Y248-Sheet1!CP249</f>
        <v>61.182007631380969</v>
      </c>
      <c r="AA248" s="106">
        <f ca="1">Y248+Calculation!CZ249+Calculation!AI249</f>
        <v>95.601535292332116</v>
      </c>
      <c r="AC248" s="106">
        <f>Sheet1!AA248+Sheet1!AB248+BC248</f>
        <v>90.236352000006406</v>
      </c>
      <c r="AD248" s="106">
        <f>Sheet1!AA248+Sheet1!BN248+'Calculations II'!BC248-Calculation!AI248-Calculation!CZ248</f>
        <v>51.988661007988163</v>
      </c>
      <c r="AE248" s="106">
        <f>Sheet1!AA248+Sheet1!AB248+'Calculations II'!BC248-Calculation!AI248-Calculation!CZ248</f>
        <v>71.038661007988168</v>
      </c>
      <c r="AF248" s="106">
        <f ca="1">Sheet1!AA248+Sheet1!BN248+P248+'Calculations II'!BC248+Calculation!AI248+Calculation!CZ248</f>
        <v>83.94614662340561</v>
      </c>
      <c r="AG248" s="106">
        <f ca="1">IF(B248=TODAY(),0,Sheet1!AA248+Sheet1!BN248+'Calculations II'!BC248+'Calculations II'!P248-Sheet1!CP248-BP248)</f>
        <v>48.058455631387375</v>
      </c>
      <c r="AH248" s="106">
        <f ca="1">IF(B248=TODAY(),0,Sheet1!AA248+Sheet1!BN248+'Calculations II'!BC248+'Calculations II'!P248-BP248)</f>
        <v>64.748455631387372</v>
      </c>
      <c r="AI248" s="106">
        <f ca="1">IF(B248=TODAY(),0,BC248+Sheet1!AA248+Calculation!EI248+O248+W248+Sheet1!BN248+Calculation!AI248+Calculation!CZ248-BP248)</f>
        <v>83.94614662340561</v>
      </c>
      <c r="AJ248" s="106"/>
      <c r="AM248" s="102">
        <f t="shared" si="33"/>
        <v>40777</v>
      </c>
      <c r="AN248" s="106"/>
      <c r="AO248" s="106"/>
      <c r="AR248" s="106"/>
      <c r="AT248" s="101">
        <f>Sheet1!AR248*GPMtoMGD</f>
        <v>0</v>
      </c>
      <c r="AU248" s="101">
        <f>Sheet1!AS248*GPMtoMGD</f>
        <v>2.8800000000000003E-2</v>
      </c>
      <c r="AV248" s="101">
        <f>Sheet1!AT248*GPMtoMGD</f>
        <v>0</v>
      </c>
      <c r="AW248" s="101">
        <f>Sheet1!AV248*GPMtoMGD</f>
        <v>1.1041920000000001</v>
      </c>
      <c r="AX248" s="101">
        <f>Sheet1!AW248*GPMtoMGD</f>
        <v>1.4052960000000001</v>
      </c>
      <c r="AY248" s="101">
        <f>Sheet1!AX248*GPMtoMGD</f>
        <v>5.0544000000000006E-2</v>
      </c>
      <c r="AZ248" s="101">
        <f>Sheet1!AY248*GPMtoMGD</f>
        <v>0</v>
      </c>
      <c r="BA248" s="101">
        <f>Sheet1!AZ248*GPMtoMGD</f>
        <v>0</v>
      </c>
      <c r="BB248" s="101">
        <f>Sheet1!BP248*GPMtoMGD</f>
        <v>3.3119999999999998E-3</v>
      </c>
      <c r="BC248" s="101">
        <f>Sheet1!CO248*GPMtoMGD</f>
        <v>9.026352000000001</v>
      </c>
      <c r="BD248" s="101">
        <f>Sheet1!BO248*GPMtoMGD</f>
        <v>3.9667680000000001</v>
      </c>
      <c r="BE248" s="101">
        <f>Sheet1!BV248*GPMtoMGD</f>
        <v>1.341504</v>
      </c>
      <c r="BF248" s="101">
        <f>Sheet1!CJ248*GPMtoMGD</f>
        <v>1.3556160000000002</v>
      </c>
      <c r="BG248" s="101">
        <f>Sheet1!CK248*GPMtoMGD</f>
        <v>1.2653280000000002</v>
      </c>
      <c r="BH248" s="101">
        <f>Sheet1!CL248*GPMtoMGD</f>
        <v>1.0418400000000001</v>
      </c>
      <c r="BI248" s="101">
        <f t="shared" si="34"/>
        <v>3.9700800000000003</v>
      </c>
      <c r="BK248" s="106">
        <f>SUM(AT248:BA248,BE248,Sheet1!BU248,'Calculations II'!BC248,Calculation!AG248)</f>
        <v>65.108997007981756</v>
      </c>
      <c r="BM248" s="439">
        <f>IF(AND(Sheet1!BQ248&lt;=11.5,Sheet1!BQ247&gt;Sheet1!BQ248),(MIN(Lookup!$C$119,VLOOKUP(Sheet1!BQ247,Lookup!$B$4:$J$236,2))-VLOOKUP(Sheet1!BQ248,Lookup!$B$4:$J$236,2))/1000000,0)</f>
        <v>0</v>
      </c>
      <c r="BN248" s="439">
        <f>IF(AND(Sheet1!BR248&lt;=11.5,Sheet1!BR247&gt;Sheet1!BR248),(MIN(Lookup!$D$119,VLOOKUP(Sheet1!BR247,Lookup!$B$4:$J$236,3))-VLOOKUP(Sheet1!BR248,Lookup!$B$4:$J$236,3))/1000000,0)</f>
        <v>0</v>
      </c>
      <c r="BP248" s="105">
        <f>SUM(BM248:BN248,W248,Sheet1!DT248)</f>
        <v>0</v>
      </c>
    </row>
    <row r="249" spans="1:68" s="101" customFormat="1">
      <c r="A249" s="101" t="s">
        <v>4</v>
      </c>
      <c r="B249" s="103">
        <v>40778</v>
      </c>
      <c r="C249" s="104">
        <v>0.33333333333357601</v>
      </c>
      <c r="E249" s="30"/>
      <c r="F249" s="30">
        <f ca="1">IF(B249=TODAY(),0,-(VLOOKUP(Sheet1!BZ249,Lookup!$I$4:$J$216,2)-VLOOKUP(Sheet1!BZ248,Lookup!$I$4:$J$216,2))/1000000)</f>
        <v>-0.20727387709560247</v>
      </c>
      <c r="G249" s="106">
        <f ca="1">IF(B249=TODAY(),0,-$G$6*(Sheet1!CB249-Sheet1!CB248)*7.48/1000000)</f>
        <v>-0.32167935852572982</v>
      </c>
      <c r="H249" s="106">
        <f ca="1">IF(B249=TODAY(),0,-$G$6*(Sheet1!CC249-Sheet1!CC248)*7.48/1000000)</f>
        <v>0.21048155557856404</v>
      </c>
      <c r="I249" s="106">
        <f ca="1">IF(B249=TODAY(),0,-$G$6*(Sheet1!CD249-Sheet1!CD248)*7.48/1000000)</f>
        <v>0.18268210484177241</v>
      </c>
      <c r="J249" s="107" t="s">
        <v>193</v>
      </c>
      <c r="K249" s="106">
        <f ca="1">IF(B249=TODAY(),0,-$I$6*(Sheet1!CD249-Sheet1!CD248)*7.48/1000000)</f>
        <v>8.2760938768924264E-2</v>
      </c>
      <c r="L249" s="107" t="s">
        <v>193</v>
      </c>
      <c r="M249" s="106">
        <f ca="1">IF(B249=TODAY(),0,-$M$6*(Sheet1!CE249-Sheet1!CE248)*7.48/1000000)</f>
        <v>4.6643242621209044E-2</v>
      </c>
      <c r="N249" s="106">
        <f ca="1">IF(B249=TODAY(),0,-$N$6*(Sheet1!CF249-Sheet1!CF248)*7.48/1000000)</f>
        <v>0.74462814473548633</v>
      </c>
      <c r="O249" s="106">
        <f t="shared" ca="1" si="30"/>
        <v>0.73824275092462388</v>
      </c>
      <c r="P249" s="106">
        <f ca="1">IF(B249=TODAY(),0,O249+Calculation!EI249)</f>
        <v>-5.2675572490753755</v>
      </c>
      <c r="Q249" s="101" t="str">
        <f>IF(Sheet1!BQ249&gt;21.75,"spill elevation","-")</f>
        <v>-</v>
      </c>
      <c r="R249" s="101" t="str">
        <f>IF(Sheet1!BR249&gt;21.75,"spill elevation","-")</f>
        <v>-</v>
      </c>
      <c r="S249" s="101" t="str">
        <f>IF(Sheet1!BS249&gt;21.75,"spill elevation","-")</f>
        <v>-</v>
      </c>
      <c r="T249" s="105">
        <f>IF(Sheet1!DQ249=1,Sheet1!AA249-(SUM(AT249:BA249)+BE249),Sheet1!AA249-SUM(AT249:BA249))</f>
        <v>44.003583999999996</v>
      </c>
      <c r="U249" s="105">
        <f>Sheet1!BU249</f>
        <v>35.9</v>
      </c>
      <c r="V249" s="105">
        <f t="shared" si="31"/>
        <v>8.1035839999999979</v>
      </c>
      <c r="W249" s="105">
        <f t="shared" si="32"/>
        <v>0</v>
      </c>
      <c r="X249" s="101">
        <f>IF((Sheet1!EX249-Sheet1!EX248)&lt;0,(Sheet1!EX249+100000-Sheet1!EX248)/1000,(Sheet1!EX249-Sheet1!EX248)/1000)</f>
        <v>0.76</v>
      </c>
      <c r="Y249" s="106">
        <f ca="1">Calculation!DZ250+Calculation!EI249+'Calculations II'!O249-'Calculations II'!W249</f>
        <v>76.985546750918814</v>
      </c>
      <c r="Z249" s="106">
        <f ca="1">Y249-Sheet1!CP250</f>
        <v>59.675546750918812</v>
      </c>
      <c r="AA249" s="106">
        <f ca="1">Y249+Calculation!CZ250+Calculation!AI250</f>
        <v>94.455411230234077</v>
      </c>
      <c r="AC249" s="106">
        <f>Sheet1!AA249+Sheet1!AB249+BC249</f>
        <v>84.979904000000005</v>
      </c>
      <c r="AD249" s="106">
        <f>Sheet1!AA249+Sheet1!BN249+'Calculations II'!BC249-Calculation!AI249-Calculation!CZ249</f>
        <v>50.820376339048849</v>
      </c>
      <c r="AE249" s="106">
        <f>Sheet1!AA249+Sheet1!AB249+'Calculations II'!BC249-Calculation!AI249-Calculation!CZ249</f>
        <v>67.920376339048858</v>
      </c>
      <c r="AF249" s="106">
        <f ca="1">Sheet1!AA249+Sheet1!BN249+P249+'Calculations II'!BC249+Calculation!AI249+Calculation!CZ249</f>
        <v>79.671874411875777</v>
      </c>
      <c r="AG249" s="106">
        <f ca="1">IF(B249=TODAY(),0,Sheet1!AA249+Sheet1!BN249+'Calculations II'!BC249+'Calculations II'!P249-Sheet1!CP249-BP249)</f>
        <v>45.252346750924623</v>
      </c>
      <c r="AH249" s="106">
        <f ca="1">IF(B249=TODAY(),0,Sheet1!AA249+Sheet1!BN249+'Calculations II'!BC249+'Calculations II'!P249-BP249)</f>
        <v>62.612346750924623</v>
      </c>
      <c r="AI249" s="106">
        <f ca="1">IF(B249=TODAY(),0,BC249+Sheet1!AA249+Calculation!EI249+O249+W249+Sheet1!BN249+Calculation!AI249+Calculation!CZ249-BP249)</f>
        <v>79.671874411875777</v>
      </c>
      <c r="AJ249" s="106"/>
      <c r="AM249" s="102">
        <f t="shared" si="33"/>
        <v>40778</v>
      </c>
      <c r="AN249" s="106"/>
      <c r="AO249" s="106"/>
      <c r="AR249" s="106"/>
      <c r="AT249" s="101">
        <f>Sheet1!AR249*GPMtoMGD</f>
        <v>0</v>
      </c>
      <c r="AU249" s="101">
        <f>Sheet1!AS249*GPMtoMGD</f>
        <v>0.10324800000000001</v>
      </c>
      <c r="AV249" s="101">
        <f>Sheet1!AT249*GPMtoMGD</f>
        <v>0</v>
      </c>
      <c r="AW249" s="101">
        <f>Sheet1!AV249*GPMtoMGD</f>
        <v>0.81792000000000009</v>
      </c>
      <c r="AX249" s="101">
        <f>Sheet1!AW249*GPMtoMGD</f>
        <v>1.0326240000000002</v>
      </c>
      <c r="AY249" s="101">
        <f>Sheet1!AX249*GPMtoMGD</f>
        <v>4.2624000000000002E-2</v>
      </c>
      <c r="AZ249" s="101">
        <f>Sheet1!AY249*GPMtoMGD</f>
        <v>0</v>
      </c>
      <c r="BA249" s="101">
        <f>Sheet1!AZ249*GPMtoMGD</f>
        <v>0</v>
      </c>
      <c r="BB249" s="101">
        <f>Sheet1!BP249*GPMtoMGD</f>
        <v>6.1631999999999999E-2</v>
      </c>
      <c r="BC249" s="101">
        <f>Sheet1!CO249*GPMtoMGD</f>
        <v>7.9799040000000012</v>
      </c>
      <c r="BD249" s="101">
        <f>Sheet1!BO249*GPMtoMGD</f>
        <v>3.2209920000000003</v>
      </c>
      <c r="BE249" s="101">
        <f>Sheet1!BV249*GPMtoMGD</f>
        <v>1.3200480000000001</v>
      </c>
      <c r="BF249" s="101">
        <f>Sheet1!CJ249*GPMtoMGD</f>
        <v>1.0836000000000001</v>
      </c>
      <c r="BG249" s="101">
        <f>Sheet1!CK249*GPMtoMGD</f>
        <v>1.0971360000000001</v>
      </c>
      <c r="BH249" s="101">
        <f>Sheet1!CL249*GPMtoMGD</f>
        <v>1.0136160000000001</v>
      </c>
      <c r="BI249" s="101">
        <f t="shared" si="34"/>
        <v>3.2826240000000002</v>
      </c>
      <c r="BK249" s="106">
        <f>SUM(AT249:BA249,BE249,Sheet1!BU249,'Calculations II'!BC249,Calculation!AG249)</f>
        <v>61.13684033904886</v>
      </c>
      <c r="BM249" s="439">
        <f ca="1">IF(B249=TODAY(),0,IF(AND(Sheet1!BQ249&lt;=11.5,Sheet1!BQ248&gt;Sheet1!BQ249),(MIN(Lookup!$C$119,VLOOKUP(Sheet1!BQ248,Lookup!$B$4:$J$236,2))-VLOOKUP(Sheet1!BQ249,Lookup!$B$4:$J$236,2))/1000000,0))</f>
        <v>0</v>
      </c>
      <c r="BN249" s="439">
        <f ca="1">IF(B249=TODAY(),0,IF(AND(Sheet1!BR249&lt;=11.5,Sheet1!BR248&gt;Sheet1!BR249),(MIN(Lookup!$D$119,VLOOKUP(Sheet1!BR248,Lookup!$B$4:$J$236,3))-VLOOKUP(Sheet1!BR249,Lookup!$B$4:$J$236,3))/1000000,0))</f>
        <v>0</v>
      </c>
      <c r="BP249" s="105">
        <f ca="1">SUM(BM249:BN249,W249,Sheet1!DT249)</f>
        <v>0</v>
      </c>
    </row>
    <row r="250" spans="1:68" s="101" customFormat="1">
      <c r="A250" s="101" t="s">
        <v>5</v>
      </c>
      <c r="B250" s="103">
        <v>40779</v>
      </c>
      <c r="C250" s="104">
        <v>0.33333333333357601</v>
      </c>
      <c r="E250" s="30"/>
      <c r="F250" s="30">
        <f ca="1">IF(B250=TODAY(),0,-(VLOOKUP(Sheet1!BZ250,Lookup!$I$4:$J$216,2)-VLOOKUP(Sheet1!BZ249,Lookup!$I$4:$J$216,2))/1000000)</f>
        <v>0.41454775419120493</v>
      </c>
      <c r="G250" s="106">
        <f ca="1">IF(B250=TODAY(),0,-$G$6*(Sheet1!CB250-Sheet1!CB249)*7.48/1000000)</f>
        <v>0.25019505663112318</v>
      </c>
      <c r="H250" s="106">
        <f ca="1">IF(B250=TODAY(),0,-$G$6*(Sheet1!CC250-Sheet1!CC249)*7.48/1000000)</f>
        <v>-0.36933555978880134</v>
      </c>
      <c r="I250" s="106">
        <f ca="1">IF(B250=TODAY(),0,-$G$6*(Sheet1!CD250-Sheet1!CD249)*7.48/1000000)</f>
        <v>-0.3574215094730338</v>
      </c>
      <c r="J250" s="107" t="s">
        <v>193</v>
      </c>
      <c r="K250" s="106">
        <f ca="1">IF(B250=TODAY(),0,-$I$6*(Sheet1!CD250-Sheet1!CD249)*7.48/1000000)</f>
        <v>-0.16192357585224348</v>
      </c>
      <c r="L250" s="107" t="s">
        <v>193</v>
      </c>
      <c r="M250" s="106">
        <f ca="1">IF(B250=TODAY(),0,-$M$6*(Sheet1!CE250-Sheet1!CE249)*7.48/1000000)</f>
        <v>-6.196887948246349E-2</v>
      </c>
      <c r="N250" s="106">
        <f ca="1">IF(B250=TODAY(),0,-$N$6*(Sheet1!CF250-Sheet1!CF249)*7.48/1000000)</f>
        <v>-0.15513086348655974</v>
      </c>
      <c r="O250" s="106">
        <f t="shared" ca="1" si="30"/>
        <v>-0.44103757726077375</v>
      </c>
      <c r="P250" s="106">
        <f ca="1">O250+Calculation!EI250</f>
        <v>4.4837624227392254</v>
      </c>
      <c r="Q250" s="101" t="str">
        <f>IF(Sheet1!BQ250&gt;21.75,"spill elevation","-")</f>
        <v>-</v>
      </c>
      <c r="R250" s="101" t="str">
        <f>IF(Sheet1!BR250&gt;21.75,"spill elevation","-")</f>
        <v>-</v>
      </c>
      <c r="S250" s="101" t="str">
        <f>IF(Sheet1!BS250&gt;21.75,"spill elevation","-")</f>
        <v>-</v>
      </c>
      <c r="T250" s="105">
        <f>IF(Sheet1!DQ250=1,Sheet1!AA250-(SUM(AT250:BA250)+BE250),Sheet1!AA250-SUM(AT250:BA250))</f>
        <v>42.205183999994176</v>
      </c>
      <c r="U250" s="105">
        <f>Sheet1!BU250</f>
        <v>44</v>
      </c>
      <c r="V250" s="105">
        <f t="shared" si="31"/>
        <v>-1.7948160000058238</v>
      </c>
      <c r="W250" s="105">
        <f t="shared" si="32"/>
        <v>0</v>
      </c>
      <c r="X250" s="101">
        <f>IF((Sheet1!EX250-Sheet1!EX249)&lt;0,(Sheet1!EX250+100000-Sheet1!EX249)/1000,(Sheet1!EX250-Sheet1!EX249)/1000)</f>
        <v>0.65500000000000003</v>
      </c>
      <c r="Y250" s="106">
        <f ca="1">Calculation!DZ251+Calculation!EI250+'Calculations II'!O250-'Calculations II'!W250</f>
        <v>91.768364022746795</v>
      </c>
      <c r="Z250" s="106">
        <f ca="1">Y250-Sheet1!CP251</f>
        <v>74.068364022746792</v>
      </c>
      <c r="AA250" s="106">
        <f ca="1">Y250+Calculation!CZ251+Calculation!AI251</f>
        <v>110.49353511324817</v>
      </c>
      <c r="AC250" s="106">
        <f>Sheet1!AA250+Sheet1!AB250+BC250</f>
        <v>82.253103999994181</v>
      </c>
      <c r="AD250" s="106">
        <f>Sheet1!AA250+Sheet1!BN250+'Calculations II'!BC250-Calculation!AI250-Calculation!CZ250</f>
        <v>47.233239520678922</v>
      </c>
      <c r="AE250" s="106">
        <f>Sheet1!AA250+Sheet1!AB250+'Calculations II'!BC250-Calculation!AI250-Calculation!CZ250</f>
        <v>64.783239520678919</v>
      </c>
      <c r="AF250" s="106">
        <f ca="1">Sheet1!AA250+Sheet1!BN250+P250+'Calculations II'!BC250+Calculation!AI250+Calculation!CZ250</f>
        <v>86.656730902048665</v>
      </c>
      <c r="AG250" s="106">
        <f ca="1">IF(B250=TODAY(),0,Sheet1!AA250+Sheet1!BN250+'Calculations II'!BC250+'Calculations II'!P250-Sheet1!CP250-BP250)</f>
        <v>51.8768664227334</v>
      </c>
      <c r="AH250" s="106">
        <f ca="1">IF(B250=TODAY(),0,Sheet1!AA250+Sheet1!BN250+'Calculations II'!BC250+'Calculations II'!P250-BP250)</f>
        <v>69.186866422733402</v>
      </c>
      <c r="AI250" s="106">
        <f ca="1">IF(B250=TODAY(),0,BC250+Sheet1!AA250+Calculation!EI250+O250+W250+Sheet1!BN250+Calculation!AI250+Calculation!CZ250-BP250)</f>
        <v>86.656730902048665</v>
      </c>
      <c r="AJ250" s="106"/>
      <c r="AM250" s="102">
        <f t="shared" si="33"/>
        <v>40779</v>
      </c>
      <c r="AN250" s="106"/>
      <c r="AO250" s="106"/>
      <c r="AR250" s="106"/>
      <c r="AT250" s="101">
        <f>Sheet1!AR250*GPMtoMGD</f>
        <v>0</v>
      </c>
      <c r="AU250" s="101">
        <f>Sheet1!AS250*GPMtoMGD</f>
        <v>5.4720000000000005E-2</v>
      </c>
      <c r="AV250" s="101">
        <f>Sheet1!AT250*GPMtoMGD</f>
        <v>0</v>
      </c>
      <c r="AW250" s="101">
        <f>Sheet1!AV250*GPMtoMGD</f>
        <v>1.1373120000000001</v>
      </c>
      <c r="AX250" s="101">
        <f>Sheet1!AW250*GPMtoMGD</f>
        <v>1.439136</v>
      </c>
      <c r="AY250" s="101">
        <f>Sheet1!AX250*GPMtoMGD</f>
        <v>6.364800000000001E-2</v>
      </c>
      <c r="AZ250" s="101">
        <f>Sheet1!AY250*GPMtoMGD</f>
        <v>0</v>
      </c>
      <c r="BA250" s="101">
        <f>Sheet1!AZ250*GPMtoMGD</f>
        <v>0</v>
      </c>
      <c r="BB250" s="101">
        <f>Sheet1!BP250*GPMtoMGD</f>
        <v>0</v>
      </c>
      <c r="BC250" s="101">
        <f>Sheet1!CO250*GPMtoMGD</f>
        <v>9.1031040000000019</v>
      </c>
      <c r="BD250" s="101">
        <f>Sheet1!BO250*GPMtoMGD</f>
        <v>4.5650880000000003</v>
      </c>
      <c r="BE250" s="101">
        <f>Sheet1!BV250*GPMtoMGD</f>
        <v>1.41696</v>
      </c>
      <c r="BF250" s="101">
        <f>Sheet1!CJ250*GPMtoMGD</f>
        <v>1.6166880000000001</v>
      </c>
      <c r="BG250" s="101">
        <f>Sheet1!CK250*GPMtoMGD</f>
        <v>1.3982400000000001</v>
      </c>
      <c r="BH250" s="101">
        <f>Sheet1!CL250*GPMtoMGD</f>
        <v>1.0769759999999999</v>
      </c>
      <c r="BI250" s="101">
        <f t="shared" si="34"/>
        <v>4.5650880000000003</v>
      </c>
      <c r="BK250" s="106">
        <f>SUM(AT250:BA250,BE250,Sheet1!BU250,'Calculations II'!BC250,Calculation!AG250)</f>
        <v>67.995015520684731</v>
      </c>
      <c r="BM250" s="439">
        <f ca="1">IF(B250=TODAY(),0,IF(AND(Sheet1!BQ250&lt;=11.5,Sheet1!BQ249&gt;Sheet1!BQ250),(MIN(Lookup!$C$119,VLOOKUP(Sheet1!BQ249,Lookup!$B$4:$J$236,2))-VLOOKUP(Sheet1!BQ250,Lookup!$B$4:$J$236,2))/1000000,0))</f>
        <v>0</v>
      </c>
      <c r="BN250" s="439">
        <f ca="1">IF(B250=TODAY(),0,IF(AND(Sheet1!BR250&lt;=11.5,Sheet1!BR249&gt;Sheet1!BR250),(MIN(Lookup!$D$119,VLOOKUP(Sheet1!BR249,Lookup!$B$4:$J$236,3))-VLOOKUP(Sheet1!BR250,Lookup!$B$4:$J$236,3))/1000000,0))</f>
        <v>0</v>
      </c>
      <c r="BP250" s="105">
        <f ca="1">SUM(BM250:BN250,W250,Sheet1!DT250)</f>
        <v>0</v>
      </c>
    </row>
    <row r="251" spans="1:68" s="101" customFormat="1">
      <c r="A251" s="101" t="s">
        <v>6</v>
      </c>
      <c r="B251" s="103">
        <v>40780</v>
      </c>
      <c r="C251" s="104">
        <v>0.33333333333357601</v>
      </c>
      <c r="E251" s="30"/>
      <c r="F251" s="30">
        <f ca="1">IF(B251=TODAY(),0,-(VLOOKUP(Sheet1!BZ251,Lookup!$I$4:$J$216,2)-VLOOKUP(Sheet1!BZ250,Lookup!$I$4:$J$216,2))/1000000)</f>
        <v>-0.10363693854780123</v>
      </c>
      <c r="G251" s="106">
        <f ca="1">IF(B251=TODAY(),0,-$G$6*(Sheet1!CB251-Sheet1!CB250)*7.48/1000000)</f>
        <v>-3.9713501052551399E-3</v>
      </c>
      <c r="H251" s="106">
        <f ca="1">IF(B251=TODAY(),0,-$G$6*(Sheet1!CC251-Sheet1!CC250)*7.48/1000000)</f>
        <v>0.68704356820927603</v>
      </c>
      <c r="I251" s="106">
        <f ca="1">IF(B251=TODAY(),0,-$G$6*(Sheet1!CD251-Sheet1!CD250)*7.48/1000000)</f>
        <v>0.67910086799876423</v>
      </c>
      <c r="J251" s="107" t="s">
        <v>193</v>
      </c>
      <c r="K251" s="106">
        <f ca="1">IF(B251=TODAY(),0,-$I$6*(Sheet1!CD251-Sheet1!CD250)*7.48/1000000)</f>
        <v>0.30765479411926266</v>
      </c>
      <c r="L251" s="107" t="s">
        <v>193</v>
      </c>
      <c r="M251" s="106">
        <f ca="1">IF(B251=TODAY(),0,-$M$6*(Sheet1!CE251-Sheet1!CE250)*7.48/1000000)</f>
        <v>0.11527544247813108</v>
      </c>
      <c r="N251" s="106">
        <f ca="1">IF(B251=TODAY(),0,-$N$6*(Sheet1!CF251-Sheet1!CF250)*7.48/1000000)</f>
        <v>0.14892562894709749</v>
      </c>
      <c r="O251" s="106">
        <f t="shared" ca="1" si="30"/>
        <v>1.8303920130994751</v>
      </c>
      <c r="P251" s="106">
        <f ca="1">O251+Calculation!EI251</f>
        <v>6.1543920130994749</v>
      </c>
      <c r="Q251" s="101" t="str">
        <f>IF(Sheet1!BQ251&gt;21.75,"spill elevation","-")</f>
        <v>-</v>
      </c>
      <c r="R251" s="101" t="str">
        <f>IF(Sheet1!BR251&gt;21.75,"spill elevation","-")</f>
        <v>-</v>
      </c>
      <c r="S251" s="101" t="str">
        <f>IF(Sheet1!BS251&gt;21.75,"spill elevation","-")</f>
        <v>-</v>
      </c>
      <c r="T251" s="105">
        <f>IF(Sheet1!DQ251=1,Sheet1!AA251-(SUM(AT251:BA251)+BE251),Sheet1!AA251-SUM(AT251:BA251))</f>
        <v>44.338256000008734</v>
      </c>
      <c r="U251" s="105">
        <f>Sheet1!BU251</f>
        <v>45.2</v>
      </c>
      <c r="V251" s="105">
        <f t="shared" si="31"/>
        <v>-0.86174399999126905</v>
      </c>
      <c r="W251" s="105">
        <f t="shared" si="32"/>
        <v>0</v>
      </c>
      <c r="X251" s="101">
        <f>IF((Sheet1!EX251-Sheet1!EX250)&lt;0,(Sheet1!EX251+100000-Sheet1!EX250)/1000,(Sheet1!EX251-Sheet1!EX250)/1000)</f>
        <v>0.67100000000000004</v>
      </c>
      <c r="Y251" s="106">
        <f ca="1">Calculation!DZ252+Calculation!EI251+'Calculations II'!O251-'Calculations II'!W251</f>
        <v>95.14518241310499</v>
      </c>
      <c r="Z251" s="106">
        <f ca="1">Y251-Sheet1!CP252</f>
        <v>78.695182413104988</v>
      </c>
      <c r="AA251" s="106">
        <f ca="1">Y251+Calculation!CZ252+Calculation!AI252</f>
        <v>114.08721631141159</v>
      </c>
      <c r="AC251" s="106">
        <f>Sheet1!AA251+Sheet1!AB251+BC251</f>
        <v>87.284601600007562</v>
      </c>
      <c r="AD251" s="106">
        <f>Sheet1!AA251+Sheet1!BN251+'Calculations II'!BC251-Calculation!AI251-Calculation!CZ251</f>
        <v>49.929430509507355</v>
      </c>
      <c r="AE251" s="106">
        <f>Sheet1!AA251+Sheet1!AB251+'Calculations II'!BC251-Calculation!AI251-Calculation!CZ251</f>
        <v>68.559430509506186</v>
      </c>
      <c r="AF251" s="106">
        <f ca="1">Sheet1!AA251+Sheet1!BN251+P251+'Calculations II'!BC251+Calculation!AI251+Calculation!CZ251</f>
        <v>93.534164703609576</v>
      </c>
      <c r="AG251" s="106">
        <f ca="1">IF(B251=TODAY(),0,Sheet1!AA251+Sheet1!BN251+'Calculations II'!BC251+'Calculations II'!P251-Sheet1!CP251-BP251)</f>
        <v>57.108993613108211</v>
      </c>
      <c r="AH251" s="106">
        <f ca="1">IF(B251=TODAY(),0,Sheet1!AA251+Sheet1!BN251+'Calculations II'!BC251+'Calculations II'!P251-BP251)</f>
        <v>74.808993613108214</v>
      </c>
      <c r="AI251" s="106">
        <f ca="1">IF(B251=TODAY(),0,BC251+Sheet1!AA251+Calculation!EI251+O251+W251+Sheet1!BN251+Calculation!AI251+Calculation!CZ251-BP251)</f>
        <v>93.534164703609591</v>
      </c>
      <c r="AJ251" s="106"/>
      <c r="AM251" s="102">
        <f t="shared" si="33"/>
        <v>40780</v>
      </c>
      <c r="AN251" s="106"/>
      <c r="AO251" s="106"/>
      <c r="AR251" s="106"/>
      <c r="AT251" s="101">
        <f>Sheet1!AR251*GPMtoMGD</f>
        <v>0</v>
      </c>
      <c r="AU251" s="101">
        <f>Sheet1!AS251*GPMtoMGD</f>
        <v>5.5440000000000003E-2</v>
      </c>
      <c r="AV251" s="101">
        <f>Sheet1!AT251*GPMtoMGD</f>
        <v>0</v>
      </c>
      <c r="AW251" s="101">
        <f>Sheet1!AV251*GPMtoMGD</f>
        <v>1.1720159999999999</v>
      </c>
      <c r="AX251" s="101">
        <f>Sheet1!AW251*GPMtoMGD</f>
        <v>1.5258240000000001</v>
      </c>
      <c r="AY251" s="101">
        <f>Sheet1!AX251*GPMtoMGD</f>
        <v>5.8464000000000009E-2</v>
      </c>
      <c r="AZ251" s="101">
        <f>Sheet1!AY251*GPMtoMGD</f>
        <v>0</v>
      </c>
      <c r="BA251" s="101">
        <f>Sheet1!AZ251*GPMtoMGD</f>
        <v>0</v>
      </c>
      <c r="BB251" s="101">
        <f>Sheet1!BP251*GPMtoMGD</f>
        <v>0</v>
      </c>
      <c r="BC251" s="101">
        <f>Sheet1!CO251*GPMtoMGD</f>
        <v>9.1046016000000005</v>
      </c>
      <c r="BD251" s="101">
        <f>Sheet1!BO251*GPMtoMGD</f>
        <v>4.0544640000000003</v>
      </c>
      <c r="BE251" s="101">
        <f>Sheet1!BV251*GPMtoMGD</f>
        <v>1.793952</v>
      </c>
      <c r="BF251" s="101">
        <f>Sheet1!CJ251*GPMtoMGD</f>
        <v>1.7074080000000003</v>
      </c>
      <c r="BG251" s="101">
        <f>Sheet1!CK251*GPMtoMGD</f>
        <v>1.4538240000000002</v>
      </c>
      <c r="BH251" s="101">
        <f>Sheet1!CL251*GPMtoMGD</f>
        <v>1.0938240000000001</v>
      </c>
      <c r="BI251" s="101">
        <f t="shared" si="34"/>
        <v>4.0544640000000003</v>
      </c>
      <c r="BK251" s="106">
        <f>SUM(AT251:BA251,BE251,Sheet1!BU251,'Calculations II'!BC251,Calculation!AG251)</f>
        <v>71.215126509497466</v>
      </c>
      <c r="BM251" s="439">
        <f ca="1">IF(B251=TODAY(),0,IF(AND(Sheet1!BQ251&lt;=11.5,Sheet1!BQ250&gt;Sheet1!BQ251),(MIN(Lookup!$C$119,VLOOKUP(Sheet1!BQ250,Lookup!$B$4:$J$236,2))-VLOOKUP(Sheet1!BQ251,Lookup!$B$4:$J$236,2))/1000000,0))</f>
        <v>0</v>
      </c>
      <c r="BN251" s="439">
        <f ca="1">IF(B251=TODAY(),0,IF(AND(Sheet1!BR251&lt;=11.5,Sheet1!BR250&gt;Sheet1!BR251),(MIN(Lookup!$D$119,VLOOKUP(Sheet1!BR250,Lookup!$B$4:$J$236,3))-VLOOKUP(Sheet1!BR251,Lookup!$B$4:$J$236,3))/1000000,0))</f>
        <v>0</v>
      </c>
      <c r="BP251" s="105">
        <f ca="1">SUM(BM251:BN251,W251,Sheet1!DT251)</f>
        <v>0</v>
      </c>
    </row>
    <row r="252" spans="1:68" s="101" customFormat="1">
      <c r="A252" s="101" t="s">
        <v>7</v>
      </c>
      <c r="B252" s="103">
        <v>40781</v>
      </c>
      <c r="C252" s="104">
        <v>0.33333333333357601</v>
      </c>
      <c r="E252" s="30"/>
      <c r="F252" s="30">
        <f ca="1">IF(B252=TODAY(),0,-(VLOOKUP(Sheet1!BZ252,Lookup!$I$4:$J$216,2)-VLOOKUP(Sheet1!BZ251,Lookup!$I$4:$J$216,2))/1000000)</f>
        <v>0.31091081564340367</v>
      </c>
      <c r="G252" s="106">
        <f ca="1">IF(B252=TODAY(),0,-$G$6*(Sheet1!CB252-Sheet1!CB251)*7.48/1000000)</f>
        <v>-0.20651020547330959</v>
      </c>
      <c r="H252" s="106">
        <f ca="1">IF(B252=TODAY(),0,-$G$6*(Sheet1!CC252-Sheet1!CC251)*7.48/1000000)</f>
        <v>-0.60761656610415771</v>
      </c>
      <c r="I252" s="106">
        <f ca="1">IF(B252=TODAY(),0,-$G$6*(Sheet1!CD252-Sheet1!CD251)*7.48/1000000)</f>
        <v>-0.59967386589364535</v>
      </c>
      <c r="J252" s="107" t="s">
        <v>193</v>
      </c>
      <c r="K252" s="106">
        <f ca="1">IF(B252=TODAY(),0,-$I$6*(Sheet1!CD252-Sheet1!CD251)*7.48/1000000)</f>
        <v>-0.27167177726320835</v>
      </c>
      <c r="L252" s="107" t="s">
        <v>193</v>
      </c>
      <c r="M252" s="106">
        <f ca="1">IF(B252=TODAY(),0,-$M$6*(Sheet1!CE252-Sheet1!CE251)*7.48/1000000)</f>
        <v>-0.10661312599133518</v>
      </c>
      <c r="N252" s="106">
        <f ca="1">IF(B252=TODAY(),0,-$N$6*(Sheet1!CF252-Sheet1!CF251)*7.48/1000000)</f>
        <v>-0.40334024506505556</v>
      </c>
      <c r="O252" s="106">
        <f t="shared" ca="1" si="30"/>
        <v>-1.8845149701473081</v>
      </c>
      <c r="P252" s="106">
        <f ca="1">O252+Calculation!EI252</f>
        <v>-0.26981497014730804</v>
      </c>
      <c r="Q252" s="101" t="str">
        <f>IF(Sheet1!BQ252&gt;21.75,"spill elevation","-")</f>
        <v>-</v>
      </c>
      <c r="R252" s="101" t="str">
        <f>IF(Sheet1!BR252&gt;21.75,"spill elevation","-")</f>
        <v>-</v>
      </c>
      <c r="S252" s="101" t="str">
        <f>IF(Sheet1!BS252&gt;21.75,"spill elevation","-")</f>
        <v>-</v>
      </c>
      <c r="T252" s="105">
        <f>IF(Sheet1!DQ252=1,Sheet1!AA252-(SUM(AT252:BA252)+BE252),Sheet1!AA252-SUM(AT252:BA252))</f>
        <v>44.086048000002911</v>
      </c>
      <c r="U252" s="105">
        <f>Sheet1!BU252</f>
        <v>42.8</v>
      </c>
      <c r="V252" s="105">
        <f t="shared" si="31"/>
        <v>1.2860480000029142</v>
      </c>
      <c r="W252" s="105">
        <f t="shared" si="32"/>
        <v>0</v>
      </c>
      <c r="X252" s="101">
        <f>IF((Sheet1!EX252-Sheet1!EX251)&lt;0,(Sheet1!EX252+100000-Sheet1!EX251)/1000,(Sheet1!EX252-Sheet1!EX251)/1000)</f>
        <v>0.58899999999999997</v>
      </c>
      <c r="Y252" s="106">
        <f ca="1">Calculation!DZ253+Calculation!EI252+'Calculations II'!O252-'Calculations II'!W252</f>
        <v>89.58472902984542</v>
      </c>
      <c r="Z252" s="106">
        <f ca="1">Y252-Sheet1!CP253</f>
        <v>73.22472902984542</v>
      </c>
      <c r="AA252" s="106">
        <f ca="1">Y252+Calculation!CZ253+Calculation!AI253</f>
        <v>108.83409439702498</v>
      </c>
      <c r="AC252" s="106">
        <f>Sheet1!AA252+Sheet1!AB252+BC252</f>
        <v>88.990790400005523</v>
      </c>
      <c r="AD252" s="106">
        <f>Sheet1!AA252+Sheet1!BN252+'Calculations II'!BC252-Calculation!AI252-Calculation!CZ252</f>
        <v>51.178756501696306</v>
      </c>
      <c r="AE252" s="106">
        <f>Sheet1!AA252+Sheet1!AB252+'Calculations II'!BC252-Calculation!AI252-Calculation!CZ252</f>
        <v>70.048756501698932</v>
      </c>
      <c r="AF252" s="106">
        <f ca="1">Sheet1!AA252+Sheet1!BN252+P252+'Calculations II'!BC252+Calculation!AI252+Calculation!CZ252</f>
        <v>88.793009328162185</v>
      </c>
      <c r="AG252" s="106">
        <f ca="1">IF(B252=TODAY(),0,Sheet1!AA252+Sheet1!BN252+'Calculations II'!BC252+'Calculations II'!P252-Sheet1!CP252-BP252)</f>
        <v>53.400975429855592</v>
      </c>
      <c r="AH252" s="106">
        <f ca="1">IF(B252=TODAY(),0,Sheet1!AA252+Sheet1!BN252+'Calculations II'!BC252+'Calculations II'!P252-BP252)</f>
        <v>69.850975429855595</v>
      </c>
      <c r="AI252" s="106">
        <f ca="1">IF(B252=TODAY(),0,BC252+Sheet1!AA252+Calculation!EI252+O252+W252+Sheet1!BN252+Calculation!AI252+Calculation!CZ252-BP252)</f>
        <v>88.793009328162185</v>
      </c>
      <c r="AJ252" s="106"/>
      <c r="AM252" s="102">
        <f t="shared" si="33"/>
        <v>40781</v>
      </c>
      <c r="AN252" s="106"/>
      <c r="AO252" s="106"/>
      <c r="AR252" s="106"/>
      <c r="AT252" s="101">
        <f>Sheet1!AR252*GPMtoMGD</f>
        <v>0</v>
      </c>
      <c r="AU252" s="101">
        <f>Sheet1!AS252*GPMtoMGD</f>
        <v>6.7680000000000004E-2</v>
      </c>
      <c r="AV252" s="101">
        <f>Sheet1!AT252*GPMtoMGD</f>
        <v>0</v>
      </c>
      <c r="AW252" s="101">
        <f>Sheet1!AV252*GPMtoMGD</f>
        <v>1.2322080000000002</v>
      </c>
      <c r="AX252" s="101">
        <f>Sheet1!AW252*GPMtoMGD</f>
        <v>1.5819840000000001</v>
      </c>
      <c r="AY252" s="101">
        <f>Sheet1!AX252*GPMtoMGD</f>
        <v>8.208E-2</v>
      </c>
      <c r="AZ252" s="101">
        <f>Sheet1!AY252*GPMtoMGD</f>
        <v>0</v>
      </c>
      <c r="BA252" s="101">
        <f>Sheet1!AZ252*GPMtoMGD</f>
        <v>0</v>
      </c>
      <c r="BB252" s="101">
        <f>Sheet1!BP252*GPMtoMGD</f>
        <v>0</v>
      </c>
      <c r="BC252" s="101">
        <f>Sheet1!CO252*GPMtoMGD</f>
        <v>9.0707903999999999</v>
      </c>
      <c r="BD252" s="101">
        <f>Sheet1!BO252*GPMtoMGD</f>
        <v>5.0562720000000008</v>
      </c>
      <c r="BE252" s="101">
        <f>Sheet1!BV252*GPMtoMGD</f>
        <v>1.6263360000000002</v>
      </c>
      <c r="BF252" s="101">
        <f>Sheet1!CJ252*GPMtoMGD</f>
        <v>1.7081280000000001</v>
      </c>
      <c r="BG252" s="101">
        <f>Sheet1!CK252*GPMtoMGD</f>
        <v>1.4444640000000002</v>
      </c>
      <c r="BH252" s="101">
        <f>Sheet1!CL252*GPMtoMGD</f>
        <v>1.0944</v>
      </c>
      <c r="BI252" s="101">
        <f t="shared" si="34"/>
        <v>5.0562720000000008</v>
      </c>
      <c r="BK252" s="106">
        <f>SUM(AT252:BA252,BE252,Sheet1!BU252,'Calculations II'!BC252,Calculation!AG252)</f>
        <v>70.38904450169602</v>
      </c>
      <c r="BM252" s="439">
        <f ca="1">IF(B252=TODAY(),0,IF(AND(Sheet1!BQ252&lt;=11.5,Sheet1!BQ251&gt;Sheet1!BQ252),(MIN(Lookup!$C$119,VLOOKUP(Sheet1!BQ251,Lookup!$B$4:$J$236,2))-VLOOKUP(Sheet1!BQ252,Lookup!$B$4:$J$236,2))/1000000,0))</f>
        <v>0</v>
      </c>
      <c r="BN252" s="439">
        <f ca="1">IF(B252=TODAY(),0,IF(AND(Sheet1!BR252&lt;=11.5,Sheet1!BR251&gt;Sheet1!BR252),(MIN(Lookup!$D$119,VLOOKUP(Sheet1!BR251,Lookup!$B$4:$J$236,3))-VLOOKUP(Sheet1!BR252,Lookup!$B$4:$J$236,3))/1000000,0))</f>
        <v>0</v>
      </c>
      <c r="BP252" s="105">
        <f ca="1">SUM(BM252:BN252,W252,Sheet1!DT252)</f>
        <v>0</v>
      </c>
    </row>
    <row r="253" spans="1:68" s="101" customFormat="1">
      <c r="A253" s="101" t="s">
        <v>8</v>
      </c>
      <c r="B253" s="103">
        <v>40782</v>
      </c>
      <c r="C253" s="104">
        <v>0.33333333333357601</v>
      </c>
      <c r="E253" s="30"/>
      <c r="F253" s="30">
        <f ca="1">IF(B253=TODAY(),0,-(VLOOKUP(Sheet1!BZ253,Lookup!$I$4:$J$216,2)-VLOOKUP(Sheet1!BZ252,Lookup!$I$4:$J$216,2))/1000000)</f>
        <v>-0.20727387709560247</v>
      </c>
      <c r="G253" s="106">
        <f ca="1">IF(B253=TODAY(),0,-$G$6*(Sheet1!CB253-Sheet1!CB252)*7.48/1000000)</f>
        <v>-0.51627551368326974</v>
      </c>
      <c r="H253" s="106">
        <f ca="1">IF(B253=TODAY(),0,-$G$6*(Sheet1!CC253-Sheet1!CC252)*7.48/1000000)</f>
        <v>0.19856750526279648</v>
      </c>
      <c r="I253" s="106">
        <f ca="1">IF(B253=TODAY(),0,-$G$6*(Sheet1!CD253-Sheet1!CD252)*7.48/1000000)</f>
        <v>0.19856750526279648</v>
      </c>
      <c r="J253" s="107" t="s">
        <v>193</v>
      </c>
      <c r="K253" s="106">
        <f ca="1">IF(B253=TODAY(),0,-$I$6*(Sheet1!CD253-Sheet1!CD252)*7.48/1000000)</f>
        <v>8.9957542140135238E-2</v>
      </c>
      <c r="L253" s="107" t="s">
        <v>193</v>
      </c>
      <c r="M253" s="106">
        <f ca="1">IF(B253=TODAY(),0,-$M$6*(Sheet1!CE253-Sheet1!CE252)*7.48/1000000)</f>
        <v>3.3316601872292212E-2</v>
      </c>
      <c r="N253" s="106">
        <f ca="1">IF(B253=TODAY(),0,-$N$6*(Sheet1!CF253-Sheet1!CF252)*7.48/1000000)</f>
        <v>0.161336098026022</v>
      </c>
      <c r="O253" s="106">
        <f t="shared" ca="1" si="30"/>
        <v>-4.1804138214829784E-2</v>
      </c>
      <c r="P253" s="106">
        <f ca="1">O253+Calculation!EI253</f>
        <v>0.7589958617851702</v>
      </c>
      <c r="Q253" s="101" t="str">
        <f>IF(Sheet1!BQ253&gt;21.75,"spill elevation","-")</f>
        <v>-</v>
      </c>
      <c r="R253" s="101" t="str">
        <f>IF(Sheet1!BR253&gt;21.75,"spill elevation","-")</f>
        <v>-</v>
      </c>
      <c r="S253" s="101" t="str">
        <f>IF(Sheet1!BS253&gt;21.75,"spill elevation","-")</f>
        <v>-</v>
      </c>
      <c r="T253" s="105">
        <f>IF(Sheet1!DQ253=1,Sheet1!AA253-(SUM(AT253:BA253)+BE253),Sheet1!AA253-SUM(AT253:BA253))</f>
        <v>44.863471999994182</v>
      </c>
      <c r="U253" s="105">
        <f>Sheet1!BU253</f>
        <v>42.1</v>
      </c>
      <c r="V253" s="105">
        <f t="shared" si="31"/>
        <v>2.7634719999941808</v>
      </c>
      <c r="W253" s="105">
        <f t="shared" si="32"/>
        <v>0</v>
      </c>
      <c r="X253" s="101">
        <f>IF((Sheet1!EX253-Sheet1!EX252)&lt;0,(Sheet1!EX253+100000-Sheet1!EX252)/1000,(Sheet1!EX253-Sheet1!EX252)/1000)</f>
        <v>0.623</v>
      </c>
      <c r="Y253" s="106">
        <f ca="1">Calculation!DZ254+Calculation!EI253+'Calculations II'!O253-'Calculations II'!W253</f>
        <v>89.880387861785167</v>
      </c>
      <c r="Z253" s="106">
        <f ca="1">Y253-Sheet1!CP254</f>
        <v>73.72038786178517</v>
      </c>
      <c r="AA253" s="106">
        <f ca="1">Y253+Calculation!CZ254+Calculation!AI254</f>
        <v>109.39264944216663</v>
      </c>
      <c r="AC253" s="106">
        <f>Sheet1!AA253+Sheet1!AB253+BC253</f>
        <v>89.854543999992728</v>
      </c>
      <c r="AD253" s="106">
        <f>Sheet1!AA253+Sheet1!BN253+'Calculations II'!BC253-Calculation!AI253-Calculation!CZ253</f>
        <v>51.455178632814622</v>
      </c>
      <c r="AE253" s="106">
        <f>Sheet1!AA253+Sheet1!AB253+'Calculations II'!BC253-Calculation!AI253-Calculation!CZ253</f>
        <v>70.605178632813164</v>
      </c>
      <c r="AF253" s="106">
        <f ca="1">Sheet1!AA253+Sheet1!BN253+P253+'Calculations II'!BC253+Calculation!AI253+Calculation!CZ253</f>
        <v>90.712905228958917</v>
      </c>
      <c r="AG253" s="106">
        <f ca="1">IF(B253=TODAY(),0,Sheet1!AA253+Sheet1!BN253+'Calculations II'!BC253+'Calculations II'!P253-Sheet1!CP253-BP253)</f>
        <v>55.103539861779353</v>
      </c>
      <c r="AH253" s="106">
        <f ca="1">IF(B253=TODAY(),0,Sheet1!AA253+Sheet1!BN253+'Calculations II'!BC253+'Calculations II'!P253-BP253)</f>
        <v>71.463539861779353</v>
      </c>
      <c r="AI253" s="106">
        <f ca="1">IF(B253=TODAY(),0,BC253+Sheet1!AA253+Calculation!EI253+O253+W253+Sheet1!BN253+Calculation!AI253+Calculation!CZ253-BP253)</f>
        <v>90.712905228958917</v>
      </c>
      <c r="AJ253" s="106"/>
      <c r="AM253" s="102">
        <f t="shared" si="33"/>
        <v>40782</v>
      </c>
      <c r="AN253" s="106"/>
      <c r="AO253" s="106"/>
      <c r="AR253" s="106"/>
      <c r="AT253" s="101">
        <f>Sheet1!AR253*GPMtoMGD</f>
        <v>0</v>
      </c>
      <c r="AU253" s="101">
        <f>Sheet1!AS253*GPMtoMGD</f>
        <v>5.7024000000000005E-2</v>
      </c>
      <c r="AV253" s="101">
        <f>Sheet1!AT253*GPMtoMGD</f>
        <v>0</v>
      </c>
      <c r="AW253" s="101">
        <f>Sheet1!AV253*GPMtoMGD</f>
        <v>1.2614400000000001</v>
      </c>
      <c r="AX253" s="101">
        <f>Sheet1!AW253*GPMtoMGD</f>
        <v>1.6318080000000001</v>
      </c>
      <c r="AY253" s="101">
        <f>Sheet1!AX253*GPMtoMGD</f>
        <v>8.6255999999999999E-2</v>
      </c>
      <c r="AZ253" s="101">
        <f>Sheet1!AY253*GPMtoMGD</f>
        <v>0</v>
      </c>
      <c r="BA253" s="101">
        <f>Sheet1!AZ253*GPMtoMGD</f>
        <v>0</v>
      </c>
      <c r="BB253" s="101">
        <f>Sheet1!BP253*GPMtoMGD</f>
        <v>0</v>
      </c>
      <c r="BC253" s="101">
        <f>Sheet1!CO253*GPMtoMGD</f>
        <v>9.1045440000000006</v>
      </c>
      <c r="BD253" s="101">
        <f>Sheet1!BO253*GPMtoMGD</f>
        <v>4.4393760000000002</v>
      </c>
      <c r="BE253" s="101">
        <f>Sheet1!BV253*GPMtoMGD</f>
        <v>1.7498880000000001</v>
      </c>
      <c r="BF253" s="101">
        <f>Sheet1!CJ253*GPMtoMGD</f>
        <v>1.5226560000000002</v>
      </c>
      <c r="BG253" s="101">
        <f>Sheet1!CK253*GPMtoMGD</f>
        <v>1.507104</v>
      </c>
      <c r="BH253" s="101">
        <f>Sheet1!CL253*GPMtoMGD</f>
        <v>1.0320480000000001</v>
      </c>
      <c r="BI253" s="101">
        <f t="shared" si="34"/>
        <v>4.4393760000000002</v>
      </c>
      <c r="BK253" s="106">
        <f>SUM(AT253:BA253,BE253,Sheet1!BU253,'Calculations II'!BC253,Calculation!AG253)</f>
        <v>69.591594632818982</v>
      </c>
      <c r="BM253" s="439">
        <f ca="1">IF(B253=TODAY(),0,IF(AND(Sheet1!BQ253&lt;=11.5,Sheet1!BQ252&gt;Sheet1!BQ253),(MIN(Lookup!$C$119,VLOOKUP(Sheet1!BQ252,Lookup!$B$4:$J$236,2))-VLOOKUP(Sheet1!BQ253,Lookup!$B$4:$J$236,2))/1000000,0))</f>
        <v>0</v>
      </c>
      <c r="BN253" s="439">
        <f ca="1">IF(B253=TODAY(),0,IF(AND(Sheet1!BR253&lt;=11.5,Sheet1!BR252&gt;Sheet1!BR253),(MIN(Lookup!$D$119,VLOOKUP(Sheet1!BR252,Lookup!$B$4:$J$236,3))-VLOOKUP(Sheet1!BR253,Lookup!$B$4:$J$236,3))/1000000,0))</f>
        <v>0</v>
      </c>
      <c r="BP253" s="105">
        <f ca="1">SUM(BM253:BN253,W253,Sheet1!DT253)</f>
        <v>0</v>
      </c>
    </row>
    <row r="254" spans="1:68" s="101" customFormat="1">
      <c r="A254" s="101" t="s">
        <v>9</v>
      </c>
      <c r="B254" s="103">
        <v>40783</v>
      </c>
      <c r="C254" s="104">
        <v>0.33333333333357601</v>
      </c>
      <c r="E254" s="30"/>
      <c r="F254" s="30">
        <f ca="1">IF(B254=TODAY(),0,-(VLOOKUP(Sheet1!BZ254,Lookup!$I$4:$J$216,2)-VLOOKUP(Sheet1!BZ253,Lookup!$I$4:$J$216,2))/1000000)</f>
        <v>0.31091081564340367</v>
      </c>
      <c r="G254" s="106">
        <f ca="1">IF(B254=TODAY(),0,-$G$6*(Sheet1!CB254-Sheet1!CB253)*7.48/1000000)</f>
        <v>0.59967386589364446</v>
      </c>
      <c r="H254" s="106">
        <f ca="1">IF(B254=TODAY(),0,-$G$6*(Sheet1!CC254-Sheet1!CC253)*7.48/1000000)</f>
        <v>-0.1906248050522848</v>
      </c>
      <c r="I254" s="106">
        <f ca="1">IF(B254=TODAY(),0,-$G$6*(Sheet1!CD254-Sheet1!CD253)*7.48/1000000)</f>
        <v>-0.19856750526279648</v>
      </c>
      <c r="J254" s="107" t="s">
        <v>193</v>
      </c>
      <c r="K254" s="106">
        <f ca="1">IF(B254=TODAY(),0,-$I$6*(Sheet1!CD254-Sheet1!CD253)*7.48/1000000)</f>
        <v>-8.9957542140135238E-2</v>
      </c>
      <c r="L254" s="107" t="s">
        <v>193</v>
      </c>
      <c r="M254" s="106">
        <f ca="1">IF(B254=TODAY(),0,-$M$6*(Sheet1!CE254-Sheet1!CE253)*7.48/1000000)</f>
        <v>-3.3316601872292212E-2</v>
      </c>
      <c r="N254" s="106">
        <f ca="1">IF(B254=TODAY(),0,-$N$6*(Sheet1!CF254-Sheet1!CF253)*7.48/1000000)</f>
        <v>-0.2792355542758071</v>
      </c>
      <c r="O254" s="106">
        <f t="shared" ca="1" si="30"/>
        <v>0.1188826729337325</v>
      </c>
      <c r="P254" s="106">
        <f ca="1">O254+Calculation!EI254</f>
        <v>-0.68191732706626751</v>
      </c>
      <c r="Q254" s="101" t="str">
        <f>IF(Sheet1!BQ254&gt;21.75,"spill elevation","-")</f>
        <v>-</v>
      </c>
      <c r="R254" s="101" t="str">
        <f>IF(Sheet1!BR254&gt;21.75,"spill elevation","-")</f>
        <v>-</v>
      </c>
      <c r="S254" s="101" t="str">
        <f>IF(Sheet1!BS254&gt;21.75,"spill elevation","-")</f>
        <v>-</v>
      </c>
      <c r="T254" s="105">
        <f>IF(Sheet1!DQ254=1,Sheet1!AA254-(SUM(AT254:BA254)+BE254),Sheet1!AA254-SUM(AT254:BA254))</f>
        <v>43.894207999999999</v>
      </c>
      <c r="U254" s="105">
        <f>Sheet1!BU254</f>
        <v>40.200000000000003</v>
      </c>
      <c r="V254" s="105">
        <f t="shared" si="31"/>
        <v>3.6942079999999962</v>
      </c>
      <c r="W254" s="105">
        <f t="shared" si="32"/>
        <v>0</v>
      </c>
      <c r="X254" s="101">
        <f>IF((Sheet1!EX254-Sheet1!EX253)&lt;0,(Sheet1!EX254+100000-Sheet1!EX253)/1000,(Sheet1!EX254-Sheet1!EX253)/1000)</f>
        <v>0.627</v>
      </c>
      <c r="Y254" s="106">
        <f ca="1">Calculation!DZ255+Calculation!EI254+'Calculations II'!O254-'Calculations II'!W254</f>
        <v>88.508530672927918</v>
      </c>
      <c r="Z254" s="106">
        <f ca="1">Y254-Sheet1!CP255</f>
        <v>71.17853067292792</v>
      </c>
      <c r="AA254" s="106">
        <f ca="1">Y254+Calculation!CZ255+Calculation!AI255</f>
        <v>107.33578557488903</v>
      </c>
      <c r="AC254" s="106">
        <f>Sheet1!AA254+Sheet1!AB254+BC254</f>
        <v>89.121392</v>
      </c>
      <c r="AD254" s="106">
        <f>Sheet1!AA254+Sheet1!BN254+'Calculations II'!BC254-Calculation!AI254-Calculation!CZ254</f>
        <v>50.109130419618531</v>
      </c>
      <c r="AE254" s="106">
        <f>Sheet1!AA254+Sheet1!AB254+'Calculations II'!BC254-Calculation!AI254-Calculation!CZ254</f>
        <v>69.609130419618538</v>
      </c>
      <c r="AF254" s="106">
        <f ca="1">Sheet1!AA254+Sheet1!BN254+P254+'Calculations II'!BC254+Calculation!AI254+Calculation!CZ254</f>
        <v>88.451736253315204</v>
      </c>
      <c r="AG254" s="106">
        <f ca="1">IF(B254=TODAY(),0,Sheet1!AA254+Sheet1!BN254+'Calculations II'!BC254+'Calculations II'!P254-Sheet1!CP254-BP254)</f>
        <v>52.779474672933731</v>
      </c>
      <c r="AH254" s="106">
        <f ca="1">IF(B254=TODAY(),0,Sheet1!AA254+Sheet1!BN254+'Calculations II'!BC254+'Calculations II'!P254-BP254)</f>
        <v>68.939474672933727</v>
      </c>
      <c r="AI254" s="106">
        <f ca="1">IF(B254=TODAY(),0,BC254+Sheet1!AA254+Calculation!EI254+O254+W254+Sheet1!BN254+Calculation!AI254+Calculation!CZ254-BP254)</f>
        <v>88.451736253315204</v>
      </c>
      <c r="AJ254" s="106"/>
      <c r="AM254" s="102">
        <f t="shared" si="33"/>
        <v>40783</v>
      </c>
      <c r="AN254" s="106"/>
      <c r="AO254" s="106"/>
      <c r="AR254" s="106"/>
      <c r="AT254" s="101">
        <f>Sheet1!AR254*GPMtoMGD</f>
        <v>0</v>
      </c>
      <c r="AU254" s="101">
        <f>Sheet1!AS254*GPMtoMGD</f>
        <v>5.8175999999999999E-2</v>
      </c>
      <c r="AV254" s="101">
        <f>Sheet1!AT254*GPMtoMGD</f>
        <v>0</v>
      </c>
      <c r="AW254" s="101">
        <f>Sheet1!AV254*GPMtoMGD</f>
        <v>1.2947040000000001</v>
      </c>
      <c r="AX254" s="101">
        <f>Sheet1!AW254*GPMtoMGD</f>
        <v>1.6685280000000002</v>
      </c>
      <c r="AY254" s="101">
        <f>Sheet1!AX254*GPMtoMGD</f>
        <v>8.4384000000000001E-2</v>
      </c>
      <c r="AZ254" s="101">
        <f>Sheet1!AY254*GPMtoMGD</f>
        <v>0</v>
      </c>
      <c r="BA254" s="101">
        <f>Sheet1!AZ254*GPMtoMGD</f>
        <v>0</v>
      </c>
      <c r="BB254" s="101">
        <f>Sheet1!BP254*GPMtoMGD</f>
        <v>0</v>
      </c>
      <c r="BC254" s="101">
        <f>Sheet1!CO254*GPMtoMGD</f>
        <v>9.1213920000000002</v>
      </c>
      <c r="BD254" s="101">
        <f>Sheet1!BO254*GPMtoMGD</f>
        <v>4.7170079999999999</v>
      </c>
      <c r="BE254" s="101">
        <f>Sheet1!BV254*GPMtoMGD</f>
        <v>1.734912</v>
      </c>
      <c r="BF254" s="101">
        <f>Sheet1!CJ254*GPMtoMGD</f>
        <v>1.5585120000000001</v>
      </c>
      <c r="BG254" s="101">
        <f>Sheet1!CK254*GPMtoMGD</f>
        <v>1.5412319999999999</v>
      </c>
      <c r="BH254" s="101">
        <f>Sheet1!CL254*GPMtoMGD</f>
        <v>1.0404</v>
      </c>
      <c r="BI254" s="101">
        <f t="shared" si="34"/>
        <v>4.7170079999999999</v>
      </c>
      <c r="BK254" s="106">
        <f>SUM(AT254:BA254,BE254,Sheet1!BU254,'Calculations II'!BC254,Calculation!AG254)</f>
        <v>67.649834419618529</v>
      </c>
      <c r="BM254" s="439">
        <f ca="1">IF(B254=TODAY(),0,IF(AND(Sheet1!BQ254&lt;=11.5,Sheet1!BQ253&gt;Sheet1!BQ254),(MIN(Lookup!$C$119,VLOOKUP(Sheet1!BQ253,Lookup!$B$4:$J$236,2))-VLOOKUP(Sheet1!BQ254,Lookup!$B$4:$J$236,2))/1000000,0))</f>
        <v>0</v>
      </c>
      <c r="BN254" s="439">
        <f ca="1">IF(B254=TODAY(),0,IF(AND(Sheet1!BR254&lt;=11.5,Sheet1!BR253&gt;Sheet1!BR254),(MIN(Lookup!$D$119,VLOOKUP(Sheet1!BR253,Lookup!$B$4:$J$236,3))-VLOOKUP(Sheet1!BR254,Lookup!$B$4:$J$236,3))/1000000,0))</f>
        <v>0</v>
      </c>
      <c r="BP254" s="105">
        <f ca="1">SUM(BM254:BN254,W254,Sheet1!DT254)</f>
        <v>0</v>
      </c>
    </row>
    <row r="255" spans="1:68" s="101" customFormat="1">
      <c r="A255" s="101" t="s">
        <v>3</v>
      </c>
      <c r="B255" s="103">
        <v>40784</v>
      </c>
      <c r="C255" s="104">
        <v>0.33333333333357601</v>
      </c>
      <c r="E255" s="30"/>
      <c r="F255" s="30">
        <f ca="1">IF(B255=TODAY(),0,-(VLOOKUP(Sheet1!BZ255,Lookup!$I$4:$J$216,2)-VLOOKUP(Sheet1!BZ254,Lookup!$I$4:$J$216,2))/1000000)</f>
        <v>-0.20727387709560247</v>
      </c>
      <c r="G255" s="106">
        <f ca="1">IF(B255=TODAY(),0,-$G$6*(Sheet1!CB255-Sheet1!CB254)*7.48/1000000)</f>
        <v>0.13502590357870153</v>
      </c>
      <c r="H255" s="106">
        <f ca="1">IF(B255=TODAY(),0,-$G$6*(Sheet1!CC255-Sheet1!CC254)*7.48/1000000)</f>
        <v>0.23033830610484393</v>
      </c>
      <c r="I255" s="106">
        <f ca="1">IF(B255=TODAY(),0,-$G$6*(Sheet1!CD255-Sheet1!CD254)*7.48/1000000)</f>
        <v>0.23033830610484393</v>
      </c>
      <c r="J255" s="107" t="s">
        <v>193</v>
      </c>
      <c r="K255" s="106">
        <f ca="1">IF(B255=TODAY(),0,-$I$6*(Sheet1!CD255-Sheet1!CD254)*7.48/1000000)</f>
        <v>0.10435074888255688</v>
      </c>
      <c r="L255" s="107" t="s">
        <v>193</v>
      </c>
      <c r="M255" s="106">
        <f ca="1">IF(B255=TODAY(),0,-$M$6*(Sheet1!CE255-Sheet1!CE254)*7.48/1000000)</f>
        <v>3.9979922246750753E-2</v>
      </c>
      <c r="N255" s="106">
        <f ca="1">IF(B255=TODAY(),0,-$N$6*(Sheet1!CF255-Sheet1!CF254)*7.48/1000000)</f>
        <v>0.69498626841978717</v>
      </c>
      <c r="O255" s="106">
        <f t="shared" ca="1" si="30"/>
        <v>1.2277455782418816</v>
      </c>
      <c r="P255" s="106">
        <f ca="1">O255+Calculation!EI255</f>
        <v>-2.5489544217581184</v>
      </c>
      <c r="Q255" s="101" t="str">
        <f>IF(Sheet1!BQ255&gt;21.75,"spill elevation","-")</f>
        <v>-</v>
      </c>
      <c r="R255" s="101" t="str">
        <f>IF(Sheet1!BR255&gt;21.75,"spill elevation","-")</f>
        <v>-</v>
      </c>
      <c r="S255" s="101" t="str">
        <f>IF(Sheet1!BS255&gt;21.75,"spill elevation","-")</f>
        <v>-</v>
      </c>
      <c r="T255" s="105">
        <f>IF(Sheet1!DQ255=1,Sheet1!AA255-(SUM(AT255:BA255)+BE255),Sheet1!AA255-SUM(AT255:BA255))</f>
        <v>44.244223999993594</v>
      </c>
      <c r="U255" s="105">
        <f>Sheet1!BU255</f>
        <v>38.299999999999997</v>
      </c>
      <c r="V255" s="105">
        <f t="shared" si="31"/>
        <v>5.9442239999935964</v>
      </c>
      <c r="W255" s="105">
        <f t="shared" si="32"/>
        <v>0</v>
      </c>
      <c r="X255" s="101">
        <f>IF((Sheet1!EX255-Sheet1!EX254)&lt;0,(Sheet1!EX255+100000-Sheet1!EX254)/1000,(Sheet1!EX255-Sheet1!EX254)/1000)</f>
        <v>0.64800000000000002</v>
      </c>
      <c r="Y255" s="106">
        <f ca="1">Calculation!DZ256+Calculation!EI255+'Calculations II'!O255-'Calculations II'!W255</f>
        <v>92.214677578243624</v>
      </c>
      <c r="Z255" s="106">
        <f ca="1">Y255-Sheet1!CP256</f>
        <v>73.904677578243621</v>
      </c>
      <c r="AA255" s="106">
        <f ca="1">Y255+Calculation!CZ256+Calculation!AI256</f>
        <v>109.45481589082841</v>
      </c>
      <c r="AC255" s="106">
        <f>Sheet1!AA255+Sheet1!AB255+BC255</f>
        <v>89.190447999994177</v>
      </c>
      <c r="AD255" s="106">
        <f>Sheet1!AA255+Sheet1!BN255+'Calculations II'!BC255-Calculation!AI255-Calculation!CZ255</f>
        <v>51.55319309803248</v>
      </c>
      <c r="AE255" s="106">
        <f>Sheet1!AA255+Sheet1!AB255+'Calculations II'!BC255-Calculation!AI255-Calculation!CZ255</f>
        <v>70.363193098033065</v>
      </c>
      <c r="AF255" s="106">
        <f ca="1">Sheet1!AA255+Sheet1!BN255+P255+'Calculations II'!BC255+Calculation!AI255+Calculation!CZ255</f>
        <v>86.658748480196593</v>
      </c>
      <c r="AG255" s="106">
        <f ca="1">IF(B255=TODAY(),0,Sheet1!AA255+Sheet1!BN255+'Calculations II'!BC255+'Calculations II'!P255-Sheet1!CP255-BP255)</f>
        <v>50.501493578235468</v>
      </c>
      <c r="AH255" s="106">
        <f ca="1">IF(B255=TODAY(),0,Sheet1!AA255+Sheet1!BN255+'Calculations II'!BC255+'Calculations II'!P255-BP255)</f>
        <v>67.831493578235467</v>
      </c>
      <c r="AI255" s="106">
        <f ca="1">IF(B255=TODAY(),0,BC255+Sheet1!AA255+Calculation!EI255+O255+W255+Sheet1!BN255+Calculation!AI255+Calculation!CZ255-BP255)</f>
        <v>86.658748480196593</v>
      </c>
      <c r="AJ255" s="106"/>
      <c r="AM255" s="102">
        <f t="shared" si="33"/>
        <v>40784</v>
      </c>
      <c r="AN255" s="106"/>
      <c r="AO255" s="106"/>
      <c r="AR255" s="106"/>
      <c r="AT255" s="101">
        <f>Sheet1!AR255*GPMtoMGD</f>
        <v>0</v>
      </c>
      <c r="AU255" s="101">
        <f>Sheet1!AS255*GPMtoMGD</f>
        <v>2.7648000000000002E-2</v>
      </c>
      <c r="AV255" s="101">
        <f>Sheet1!AT255*GPMtoMGD</f>
        <v>0</v>
      </c>
      <c r="AW255" s="101">
        <f>Sheet1!AV255*GPMtoMGD</f>
        <v>1.077696</v>
      </c>
      <c r="AX255" s="101">
        <f>Sheet1!AW255*GPMtoMGD</f>
        <v>1.3826880000000001</v>
      </c>
      <c r="AY255" s="101">
        <f>Sheet1!AX255*GPMtoMGD</f>
        <v>5.7744000000000004E-2</v>
      </c>
      <c r="AZ255" s="101">
        <f>Sheet1!AY255*GPMtoMGD</f>
        <v>0</v>
      </c>
      <c r="BA255" s="101">
        <f>Sheet1!AZ255*GPMtoMGD</f>
        <v>0</v>
      </c>
      <c r="BB255" s="101">
        <f>Sheet1!BP255*GPMtoMGD</f>
        <v>0</v>
      </c>
      <c r="BC255" s="101">
        <f>Sheet1!CO255*GPMtoMGD</f>
        <v>9.2904479999999996</v>
      </c>
      <c r="BD255" s="101">
        <f>Sheet1!BO255*GPMtoMGD</f>
        <v>3.9831840000000001</v>
      </c>
      <c r="BE255" s="101">
        <f>Sheet1!BV255*GPMtoMGD</f>
        <v>1.3822560000000002</v>
      </c>
      <c r="BF255" s="101">
        <f>Sheet1!CJ255*GPMtoMGD</f>
        <v>1.26576</v>
      </c>
      <c r="BG255" s="101">
        <f>Sheet1!CK255*GPMtoMGD</f>
        <v>1.31616</v>
      </c>
      <c r="BH255" s="101">
        <f>Sheet1!CL255*GPMtoMGD</f>
        <v>1.06128</v>
      </c>
      <c r="BI255" s="101">
        <f t="shared" si="34"/>
        <v>3.9831840000000001</v>
      </c>
      <c r="BK255" s="106">
        <f>SUM(AT255:BA255,BE255,Sheet1!BU255,'Calculations II'!BC255,Calculation!AG255)</f>
        <v>65.801225098039467</v>
      </c>
      <c r="BM255" s="439">
        <f ca="1">IF(B255=TODAY(),0,IF(AND(Sheet1!BQ255&lt;=11.5,Sheet1!BQ254&gt;Sheet1!BQ255),(MIN(Lookup!$C$119,VLOOKUP(Sheet1!BQ254,Lookup!$B$4:$J$236,2))-VLOOKUP(Sheet1!BQ255,Lookup!$B$4:$J$236,2))/1000000,0))</f>
        <v>0</v>
      </c>
      <c r="BN255" s="439">
        <f ca="1">IF(B255=TODAY(),0,IF(AND(Sheet1!BR255&lt;=11.5,Sheet1!BR254&gt;Sheet1!BR255),(MIN(Lookup!$D$119,VLOOKUP(Sheet1!BR254,Lookup!$B$4:$J$236,3))-VLOOKUP(Sheet1!BR255,Lookup!$B$4:$J$236,3))/1000000,0))</f>
        <v>0</v>
      </c>
      <c r="BP255" s="105">
        <f ca="1">SUM(BM255:BN255,W255,Sheet1!DT255)</f>
        <v>0</v>
      </c>
    </row>
    <row r="256" spans="1:68" s="101" customFormat="1">
      <c r="A256" s="101" t="s">
        <v>4</v>
      </c>
      <c r="B256" s="103">
        <v>40785</v>
      </c>
      <c r="C256" s="104">
        <v>0.33333333333357601</v>
      </c>
      <c r="E256" s="30"/>
      <c r="F256" s="30">
        <f ca="1">IF(B256=TODAY(),0,-(VLOOKUP(Sheet1!BZ256,Lookup!$I$4:$J$216,2)-VLOOKUP(Sheet1!BZ255,Lookup!$I$4:$J$216,2))/1000000)</f>
        <v>-0.20727387709560247</v>
      </c>
      <c r="G256" s="106">
        <f ca="1">IF(B256=TODAY(),0,-$G$6*(Sheet1!CB256-Sheet1!CB255)*7.48/1000000)</f>
        <v>-0.89355377368258415</v>
      </c>
      <c r="H256" s="106">
        <f ca="1">IF(B256=TODAY(),0,-$G$6*(Sheet1!CC256-Sheet1!CC255)*7.48/1000000)</f>
        <v>0.27799450736791548</v>
      </c>
      <c r="I256" s="106">
        <f ca="1">IF(B256=TODAY(),0,-$G$6*(Sheet1!CD256-Sheet1!CD255)*7.48/1000000)</f>
        <v>0.27402315726265891</v>
      </c>
      <c r="J256" s="107" t="s">
        <v>193</v>
      </c>
      <c r="K256" s="106">
        <f ca="1">IF(B256=TODAY(),0,-$I$6*(Sheet1!CD256-Sheet1!CD255)*7.48/1000000)</f>
        <v>0.12414140815338653</v>
      </c>
      <c r="L256" s="107" t="s">
        <v>193</v>
      </c>
      <c r="M256" s="106">
        <f ca="1">IF(B256=TODAY(),0,-$M$6*(Sheet1!CE256-Sheet1!CE255)*7.48/1000000)</f>
        <v>5.9969883370125883E-2</v>
      </c>
      <c r="N256" s="106">
        <f ca="1">IF(B256=TODAY(),0,-$N$6*(Sheet1!CF256-Sheet1!CF255)*7.48/1000000)</f>
        <v>-0.45918735592021698</v>
      </c>
      <c r="O256" s="106">
        <f t="shared" ca="1" si="30"/>
        <v>-0.82388605054431685</v>
      </c>
      <c r="P256" s="106">
        <f ca="1">O256+Calculation!EI256</f>
        <v>-10.119886050544316</v>
      </c>
      <c r="Q256" s="101" t="str">
        <f>IF(Sheet1!BQ256&gt;21.75,"spill elevation","-")</f>
        <v>-</v>
      </c>
      <c r="R256" s="101" t="str">
        <f>IF(Sheet1!BR256&gt;21.75,"spill elevation","-")</f>
        <v>-</v>
      </c>
      <c r="S256" s="101" t="str">
        <f>IF(Sheet1!BS256&gt;21.75,"spill elevation","-")</f>
        <v>-</v>
      </c>
      <c r="T256" s="105">
        <f>IF(Sheet1!DQ256=1,Sheet1!AA256-(SUM(AT256:BA256)+BE256),Sheet1!AA256-SUM(AT256:BA256))</f>
        <v>44.988864000005236</v>
      </c>
      <c r="U256" s="105">
        <f>Sheet1!BU256</f>
        <v>33.299999999999997</v>
      </c>
      <c r="V256" s="105">
        <f t="shared" si="31"/>
        <v>11.688864000005239</v>
      </c>
      <c r="W256" s="105">
        <f t="shared" si="32"/>
        <v>0</v>
      </c>
      <c r="X256" s="101">
        <f>IF((Sheet1!EX256-Sheet1!EX255)&lt;0,(Sheet1!EX256+100000-Sheet1!EX255)/1000,(Sheet1!EX256-Sheet1!EX255)/1000)</f>
        <v>0.65300000000000002</v>
      </c>
      <c r="Y256" s="106">
        <f ca="1">Calculation!DZ257+Calculation!EI256+'Calculations II'!O256-'Calculations II'!W256</f>
        <v>74.428321949455679</v>
      </c>
      <c r="Z256" s="106">
        <f ca="1">Y256-Sheet1!CP257</f>
        <v>55.828321949455677</v>
      </c>
      <c r="AA256" s="106">
        <f ca="1">Y256+Calculation!CZ257+Calculation!AI257</f>
        <v>89.387356239168767</v>
      </c>
      <c r="AC256" s="106">
        <f>Sheet1!AA256+Sheet1!AB256+BC256</f>
        <v>94.763632000001749</v>
      </c>
      <c r="AD256" s="106">
        <f>Sheet1!AA256+Sheet1!BN256+'Calculations II'!BC256-Calculation!AI256-Calculation!CZ256</f>
        <v>60.183493687420452</v>
      </c>
      <c r="AE256" s="106">
        <f>Sheet1!AA256+Sheet1!AB256+'Calculations II'!BC256-Calculation!AI256-Calculation!CZ256</f>
        <v>77.523493687416959</v>
      </c>
      <c r="AF256" s="106">
        <f ca="1">Sheet1!AA256+Sheet1!BN256+P256+'Calculations II'!BC256+Calculation!AI256+Calculation!CZ256</f>
        <v>84.543884262045708</v>
      </c>
      <c r="AG256" s="106">
        <f ca="1">IF(B256=TODAY(),0,Sheet1!AA256+Sheet1!BN256+'Calculations II'!BC256+'Calculations II'!P256-Sheet1!CP256-BP256)</f>
        <v>48.99374594946093</v>
      </c>
      <c r="AH256" s="106">
        <f ca="1">IF(B256=TODAY(),0,Sheet1!AA256+Sheet1!BN256+'Calculations II'!BC256+'Calculations II'!P256-BP256)</f>
        <v>67.303745949460932</v>
      </c>
      <c r="AI256" s="106">
        <f ca="1">IF(B256=TODAY(),0,BC256+Sheet1!AA256+Calculation!EI256+O256+W256+Sheet1!BN256+Calculation!AI256+Calculation!CZ256-BP256)</f>
        <v>84.543884262045722</v>
      </c>
      <c r="AJ256" s="106"/>
      <c r="AM256" s="102">
        <f t="shared" si="33"/>
        <v>40785</v>
      </c>
      <c r="AN256" s="106"/>
      <c r="AO256" s="106"/>
      <c r="AR256" s="106"/>
      <c r="AT256" s="101">
        <f>Sheet1!AR256*GPMtoMGD</f>
        <v>0</v>
      </c>
      <c r="AU256" s="101">
        <f>Sheet1!AS256*GPMtoMGD</f>
        <v>0.22392000000000001</v>
      </c>
      <c r="AV256" s="101">
        <f>Sheet1!AT256*GPMtoMGD</f>
        <v>0</v>
      </c>
      <c r="AW256" s="101">
        <f>Sheet1!AV256*GPMtoMGD</f>
        <v>0.9928800000000001</v>
      </c>
      <c r="AX256" s="101">
        <f>Sheet1!AW256*GPMtoMGD</f>
        <v>1.24488</v>
      </c>
      <c r="AY256" s="101">
        <f>Sheet1!AX256*GPMtoMGD</f>
        <v>3.9455999999999998E-2</v>
      </c>
      <c r="AZ256" s="101">
        <f>Sheet1!AY256*GPMtoMGD</f>
        <v>0</v>
      </c>
      <c r="BA256" s="101">
        <f>Sheet1!AZ256*GPMtoMGD</f>
        <v>0</v>
      </c>
      <c r="BB256" s="101">
        <f>Sheet1!BP256*GPMtoMGD</f>
        <v>5.5008000000000008E-2</v>
      </c>
      <c r="BC256" s="101">
        <f>Sheet1!CO256*GPMtoMGD</f>
        <v>10.933632000000001</v>
      </c>
      <c r="BD256" s="101">
        <f>Sheet1!BO256*GPMtoMGD</f>
        <v>3.3073920000000006</v>
      </c>
      <c r="BE256" s="101">
        <f>Sheet1!BV256*GPMtoMGD</f>
        <v>1.2811680000000001</v>
      </c>
      <c r="BF256" s="101">
        <f>Sheet1!CJ256*GPMtoMGD</f>
        <v>1.0527840000000002</v>
      </c>
      <c r="BG256" s="101">
        <f>Sheet1!CK256*GPMtoMGD</f>
        <v>1.2070080000000001</v>
      </c>
      <c r="BH256" s="101">
        <f>Sheet1!CL256*GPMtoMGD</f>
        <v>1.0483200000000001</v>
      </c>
      <c r="BI256" s="101">
        <f t="shared" si="34"/>
        <v>3.3624000000000005</v>
      </c>
      <c r="BK256" s="106">
        <f>SUM(AT256:BA256,BE256,Sheet1!BU256,'Calculations II'!BC256,Calculation!AG256)</f>
        <v>67.115797687411728</v>
      </c>
      <c r="BM256" s="439">
        <f ca="1">IF(B256=TODAY(),0,IF(AND(Sheet1!BQ256&lt;=11.5,Sheet1!BQ255&gt;Sheet1!BQ256),(MIN(Lookup!$C$119,VLOOKUP(Sheet1!BQ255,Lookup!$B$4:$J$236,2))-VLOOKUP(Sheet1!BQ256,Lookup!$B$4:$J$236,2))/1000000,0))</f>
        <v>0</v>
      </c>
      <c r="BN256" s="439">
        <f ca="1">IF(B256=TODAY(),0,IF(AND(Sheet1!BR256&lt;=11.5,Sheet1!BR255&gt;Sheet1!BR256),(MIN(Lookup!$D$119,VLOOKUP(Sheet1!BR255,Lookup!$B$4:$J$236,3))-VLOOKUP(Sheet1!BR256,Lookup!$B$4:$J$236,3))/1000000,0))</f>
        <v>0</v>
      </c>
      <c r="BP256" s="105">
        <f ca="1">SUM(BM256:BN256,W256,Sheet1!DT256)</f>
        <v>0</v>
      </c>
    </row>
    <row r="257" spans="1:68" s="101" customFormat="1">
      <c r="A257" s="101" t="s">
        <v>5</v>
      </c>
      <c r="B257" s="103">
        <v>40786</v>
      </c>
      <c r="C257" s="104">
        <v>0.33333333333357601</v>
      </c>
      <c r="E257" s="30"/>
      <c r="F257" s="30">
        <f ca="1">IF(B257=TODAY(),0,-(VLOOKUP(Sheet1!BZ257,Lookup!$I$4:$J$216,2)-VLOOKUP(Sheet1!BZ256,Lookup!$I$4:$J$216,2))/1000000)</f>
        <v>-0.20727387709560247</v>
      </c>
      <c r="G257" s="106">
        <f ca="1">IF(B257=TODAY(),0,-$G$6*(Sheet1!CB257-Sheet1!CB256)*7.48/1000000)</f>
        <v>-3.9713501052558449E-2</v>
      </c>
      <c r="H257" s="106">
        <f ca="1">IF(B257=TODAY(),0,-$G$6*(Sheet1!CC257-Sheet1!CC256)*7.48/1000000)</f>
        <v>0.23828100631535562</v>
      </c>
      <c r="I257" s="106">
        <f ca="1">IF(B257=TODAY(),0,-$G$6*(Sheet1!CD257-Sheet1!CD256)*7.48/1000000)</f>
        <v>0.2501950566311239</v>
      </c>
      <c r="J257" s="107" t="s">
        <v>193</v>
      </c>
      <c r="K257" s="106">
        <f ca="1">IF(B257=TODAY(),0,-$I$6*(Sheet1!CD257-Sheet1!CD256)*7.48/1000000)</f>
        <v>0.11334650309657053</v>
      </c>
      <c r="L257" s="107" t="s">
        <v>193</v>
      </c>
      <c r="M257" s="106">
        <f ca="1">IF(B257=TODAY(),0,-$M$6*(Sheet1!CE257-Sheet1!CE256)*7.48/1000000)</f>
        <v>2.798594557272557E-2</v>
      </c>
      <c r="N257" s="106">
        <f ca="1">IF(B257=TODAY(),0,-$N$6*(Sheet1!CF257-Sheet1!CF256)*7.48/1000000)</f>
        <v>0.13651515986817297</v>
      </c>
      <c r="O257" s="106">
        <f t="shared" ca="1" si="30"/>
        <v>0.51933629333578768</v>
      </c>
      <c r="P257" s="106">
        <f ca="1">O257+Calculation!EI257</f>
        <v>-3.4663706664212368E-2</v>
      </c>
      <c r="Q257" s="101" t="str">
        <f>IF(Sheet1!BQ257&gt;21.75,"spill elevation","-")</f>
        <v>-</v>
      </c>
      <c r="R257" s="101" t="str">
        <f>IF(Sheet1!BR257&gt;21.75,"spill elevation","-")</f>
        <v>-</v>
      </c>
      <c r="S257" s="101" t="str">
        <f>IF(Sheet1!BS257&gt;21.75,"spill elevation","-")</f>
        <v>-</v>
      </c>
      <c r="T257" s="105">
        <f>IF(Sheet1!DQ257=1,Sheet1!AA257-(SUM(AT257:BA257)+BE257),Sheet1!AA257-SUM(AT257:BA257))</f>
        <v>43.593248000000003</v>
      </c>
      <c r="U257" s="105">
        <f>Sheet1!BU257</f>
        <v>40.299999999999997</v>
      </c>
      <c r="V257" s="105">
        <f t="shared" si="31"/>
        <v>3.2932480000000055</v>
      </c>
      <c r="W257" s="105">
        <f t="shared" si="32"/>
        <v>0</v>
      </c>
      <c r="X257" s="101">
        <f>IF((Sheet1!EX257-Sheet1!EX256)&lt;0,(Sheet1!EX257+100000-Sheet1!EX256)/1000,(Sheet1!EX257-Sheet1!EX256)/1000)</f>
        <v>0.70499999999999996</v>
      </c>
      <c r="Y257" s="106">
        <f ca="1">Calculation!DZ258+Calculation!EI257+'Calculations II'!O257-'Calculations II'!W257</f>
        <v>81.659496293335792</v>
      </c>
      <c r="Z257" s="106">
        <f ca="1">Y257-Sheet1!CP258</f>
        <v>64.09949629333579</v>
      </c>
      <c r="AA257" s="106">
        <f ca="1">Y257+Calculation!CZ258+Calculation!AI258</f>
        <v>98.960448674288173</v>
      </c>
      <c r="AC257" s="106">
        <f>Sheet1!AA257+Sheet1!AB257+BC257</f>
        <v>84.548208000000002</v>
      </c>
      <c r="AD257" s="106">
        <f>Sheet1!AA257+Sheet1!BN257+'Calculations II'!BC257-Calculation!AI257-Calculation!CZ257</f>
        <v>54.649173710286917</v>
      </c>
      <c r="AE257" s="106">
        <f>Sheet1!AA257+Sheet1!AB257+'Calculations II'!BC257-Calculation!AI257-Calculation!CZ257</f>
        <v>69.589173710286914</v>
      </c>
      <c r="AF257" s="106">
        <f ca="1">Sheet1!AA257+Sheet1!BN257+P257+'Calculations II'!BC257+Calculation!AI257+Calculation!CZ257</f>
        <v>84.532578583048874</v>
      </c>
      <c r="AG257" s="106">
        <f ca="1">IF(B257=TODAY(),0,Sheet1!AA257+Sheet1!BN257+'Calculations II'!BC257+'Calculations II'!P257-Sheet1!CP257-BP257)</f>
        <v>50.973544293335785</v>
      </c>
      <c r="AH257" s="106">
        <f ca="1">IF(B257=TODAY(),0,Sheet1!AA257+Sheet1!BN257+'Calculations II'!BC257+'Calculations II'!P257-BP257)</f>
        <v>69.573544293335786</v>
      </c>
      <c r="AI257" s="106">
        <f ca="1">IF(B257=TODAY(),0,BC257+Sheet1!AA257+Calculation!EI257+O257+W257+Sheet1!BN257+Calculation!AI257+Calculation!CZ257-BP257)</f>
        <v>84.532578583048874</v>
      </c>
      <c r="AJ257" s="106"/>
      <c r="AM257" s="102">
        <f t="shared" si="33"/>
        <v>40786</v>
      </c>
      <c r="AN257" s="106"/>
      <c r="AO257" s="106"/>
      <c r="AR257" s="106"/>
      <c r="AT257" s="101">
        <f>Sheet1!AR257*GPMtoMGD</f>
        <v>0</v>
      </c>
      <c r="AU257" s="101">
        <f>Sheet1!AS257*GPMtoMGD</f>
        <v>0.15004800000000001</v>
      </c>
      <c r="AV257" s="101">
        <f>Sheet1!AT257*GPMtoMGD</f>
        <v>0</v>
      </c>
      <c r="AW257" s="101">
        <f>Sheet1!AV257*GPMtoMGD</f>
        <v>1.0167840000000001</v>
      </c>
      <c r="AX257" s="101">
        <f>Sheet1!AW257*GPMtoMGD</f>
        <v>1.298448</v>
      </c>
      <c r="AY257" s="101">
        <f>Sheet1!AX257*GPMtoMGD</f>
        <v>4.1472000000000002E-2</v>
      </c>
      <c r="AZ257" s="101">
        <f>Sheet1!AY257*GPMtoMGD</f>
        <v>0</v>
      </c>
      <c r="BA257" s="101">
        <f>Sheet1!AZ257*GPMtoMGD</f>
        <v>0</v>
      </c>
      <c r="BB257" s="101">
        <f>Sheet1!BP257*GPMtoMGD</f>
        <v>0</v>
      </c>
      <c r="BC257" s="101">
        <f>Sheet1!CO257*GPMtoMGD</f>
        <v>9.9082080000000001</v>
      </c>
      <c r="BD257" s="101">
        <f>Sheet1!BO257*GPMtoMGD</f>
        <v>3.7588320000000004</v>
      </c>
      <c r="BE257" s="101">
        <f>Sheet1!BV257*GPMtoMGD</f>
        <v>1.3818240000000002</v>
      </c>
      <c r="BF257" s="101">
        <f>Sheet1!CJ257*GPMtoMGD</f>
        <v>1.249776</v>
      </c>
      <c r="BG257" s="101">
        <f>Sheet1!CK257*GPMtoMGD</f>
        <v>1.37016</v>
      </c>
      <c r="BH257" s="101">
        <f>Sheet1!CL257*GPMtoMGD</f>
        <v>1.081728</v>
      </c>
      <c r="BI257" s="101">
        <f t="shared" si="34"/>
        <v>3.7588320000000004</v>
      </c>
      <c r="BK257" s="106">
        <f>SUM(AT257:BA257,BE257,Sheet1!BU257,'Calculations II'!BC257,Calculation!AG257)</f>
        <v>67.677749710286918</v>
      </c>
      <c r="BM257" s="439">
        <f ca="1">IF(B257=TODAY(),0,IF(AND(Sheet1!BQ257&lt;=11.5,Sheet1!BQ256&gt;Sheet1!BQ257),(MIN(Lookup!$C$119,VLOOKUP(Sheet1!BQ256,Lookup!$B$4:$J$236,2))-VLOOKUP(Sheet1!BQ257,Lookup!$B$4:$J$236,2))/1000000,0))</f>
        <v>0</v>
      </c>
      <c r="BN257" s="439">
        <f ca="1">IF(B257=TODAY(),0,IF(AND(Sheet1!BR257&lt;=11.5,Sheet1!BR256&gt;Sheet1!BR257),(MIN(Lookup!$D$119,VLOOKUP(Sheet1!BR256,Lookup!$B$4:$J$236,3))-VLOOKUP(Sheet1!BR257,Lookup!$B$4:$J$236,3))/1000000,0))</f>
        <v>0</v>
      </c>
      <c r="BP257" s="105">
        <f ca="1">SUM(BM257:BN257,W257,Sheet1!DT257)</f>
        <v>0</v>
      </c>
    </row>
    <row r="258" spans="1:68" s="101" customFormat="1">
      <c r="A258" s="101" t="s">
        <v>6</v>
      </c>
      <c r="B258" s="103">
        <v>40787</v>
      </c>
      <c r="C258" s="104">
        <v>0.33333333333357601</v>
      </c>
      <c r="E258" s="30"/>
      <c r="F258" s="30">
        <f ca="1">IF(B258=TODAY(),0,-(VLOOKUP(Sheet1!BZ258,Lookup!$I$4:$J$216,2)-VLOOKUP(Sheet1!BZ257,Lookup!$I$4:$J$216,2))/1000000)</f>
        <v>0</v>
      </c>
      <c r="G258" s="106">
        <f ca="1">IF(B258=TODAY(),0,-$G$6*(Sheet1!CB258-Sheet1!CB257)*7.48/1000000)</f>
        <v>0.43684851157815141</v>
      </c>
      <c r="H258" s="106">
        <f ca="1">IF(B258=TODAY(),0,-$G$6*(Sheet1!CC258-Sheet1!CC257)*7.48/1000000)</f>
        <v>-0.51627551368327118</v>
      </c>
      <c r="I258" s="106">
        <f ca="1">IF(B258=TODAY(),0,-$G$6*(Sheet1!CD258-Sheet1!CD257)*7.48/1000000)</f>
        <v>-0.50436146336750365</v>
      </c>
      <c r="J258" s="107" t="s">
        <v>193</v>
      </c>
      <c r="K258" s="106">
        <f ca="1">IF(B258=TODAY(),0,-$I$6*(Sheet1!CD258-Sheet1!CD257)*7.48/1000000)</f>
        <v>-0.22849215703594372</v>
      </c>
      <c r="L258" s="107" t="s">
        <v>193</v>
      </c>
      <c r="M258" s="106">
        <f ca="1">IF(B258=TODAY(),0,-$M$6*(Sheet1!CE258-Sheet1!CE257)*7.48/1000000)</f>
        <v>-9.2620153204972369E-2</v>
      </c>
      <c r="N258" s="106">
        <f ca="1">IF(B258=TODAY(),0,-$N$6*(Sheet1!CF258-Sheet1!CF257)*7.48/1000000)</f>
        <v>-0.21097797434172119</v>
      </c>
      <c r="O258" s="106">
        <f t="shared" ca="1" si="30"/>
        <v>-1.1158787500552607</v>
      </c>
      <c r="P258" s="106">
        <f ca="1">O258+Calculation!EI258</f>
        <v>2.7417212499447388</v>
      </c>
      <c r="Q258" s="101" t="str">
        <f>IF(Sheet1!BQ258&gt;21.75,"spill elevation","-")</f>
        <v>-</v>
      </c>
      <c r="R258" s="101" t="str">
        <f>IF(Sheet1!BR258&gt;21.75,"spill elevation","-")</f>
        <v>-</v>
      </c>
      <c r="S258" s="101" t="str">
        <f>IF(Sheet1!BS258&gt;21.75,"spill elevation","-")</f>
        <v>-</v>
      </c>
      <c r="T258" s="105">
        <f>IF(Sheet1!DQ258=1,Sheet1!AA258-(SUM(AT258:BA258)+BE258),Sheet1!AA258-SUM(AT258:BA258))</f>
        <v>42.923168000000004</v>
      </c>
      <c r="U258" s="105">
        <f>Sheet1!BU258</f>
        <v>43.5</v>
      </c>
      <c r="V258" s="105">
        <f t="shared" si="31"/>
        <v>-0.57683199999999601</v>
      </c>
      <c r="W258" s="105">
        <f t="shared" si="32"/>
        <v>0</v>
      </c>
      <c r="X258" s="101">
        <f>IF((Sheet1!EX258-Sheet1!EX257)&lt;0,(Sheet1!EX258+100000-Sheet1!EX257)/1000,(Sheet1!EX258-Sheet1!EX257)/1000)</f>
        <v>0.75900000000000001</v>
      </c>
      <c r="Y258" s="106">
        <f ca="1">Calculation!DZ259+Calculation!EI258+'Calculations II'!O258-'Calculations II'!W258</f>
        <v>88.705849249944748</v>
      </c>
      <c r="Z258" s="106">
        <f ca="1">Y258-Sheet1!CP259</f>
        <v>71.575849249944753</v>
      </c>
      <c r="AA258" s="106">
        <f ca="1">Y258+Calculation!CZ259+Calculation!AI259</f>
        <v>105.7847120717108</v>
      </c>
      <c r="AC258" s="106">
        <f>Sheet1!AA258+Sheet1!AB258+BC258</f>
        <v>81.694160000000011</v>
      </c>
      <c r="AD258" s="106">
        <f>Sheet1!AA258+Sheet1!BN258+'Calculations II'!BC258-Calculation!AI258-Calculation!CZ258</f>
        <v>47.123207619047619</v>
      </c>
      <c r="AE258" s="106">
        <f>Sheet1!AA258+Sheet1!AB258+'Calculations II'!BC258-Calculation!AI258-Calculation!CZ258</f>
        <v>64.393207619047629</v>
      </c>
      <c r="AF258" s="106">
        <f ca="1">Sheet1!AA258+Sheet1!BN258+P258+'Calculations II'!BC258+Calculation!AI258+Calculation!CZ258</f>
        <v>84.466833630897128</v>
      </c>
      <c r="AG258" s="106">
        <f ca="1">IF(B258=TODAY(),0,Sheet1!AA258+Sheet1!BN258+'Calculations II'!BC258+'Calculations II'!P258-Sheet1!CP258-BP258)</f>
        <v>49.60588124994473</v>
      </c>
      <c r="AH258" s="106">
        <f ca="1">IF(B258=TODAY(),0,Sheet1!AA258+Sheet1!BN258+'Calculations II'!BC258+'Calculations II'!P258-BP258)</f>
        <v>67.165881249944732</v>
      </c>
      <c r="AI258" s="106">
        <f ca="1">IF(B258=TODAY(),0,BC258+Sheet1!AA258+Calculation!EI258+O258+W258+Sheet1!BN258+Calculation!AI258+Calculation!CZ258-BP258)</f>
        <v>84.466833630897113</v>
      </c>
      <c r="AJ258" s="106"/>
      <c r="AM258" s="102">
        <f t="shared" si="33"/>
        <v>40787</v>
      </c>
      <c r="AN258" s="106"/>
      <c r="AO258" s="106"/>
      <c r="AR258" s="106"/>
      <c r="AT258" s="101">
        <f>Sheet1!AR258*GPMtoMGD</f>
        <v>0</v>
      </c>
      <c r="AU258" s="101">
        <f>Sheet1!AS258*GPMtoMGD</f>
        <v>2.6495999999999999E-2</v>
      </c>
      <c r="AV258" s="101">
        <f>Sheet1!AT258*GPMtoMGD</f>
        <v>0</v>
      </c>
      <c r="AW258" s="101">
        <f>Sheet1!AV258*GPMtoMGD</f>
        <v>1.1226240000000001</v>
      </c>
      <c r="AX258" s="101">
        <f>Sheet1!AW258*GPMtoMGD</f>
        <v>1.4188320000000001</v>
      </c>
      <c r="AY258" s="101">
        <f>Sheet1!AX258*GPMtoMGD</f>
        <v>3.8880000000000005E-2</v>
      </c>
      <c r="AZ258" s="101">
        <f>Sheet1!AY258*GPMtoMGD</f>
        <v>0</v>
      </c>
      <c r="BA258" s="101">
        <f>Sheet1!AZ258*GPMtoMGD</f>
        <v>0</v>
      </c>
      <c r="BB258" s="101">
        <f>Sheet1!BP258*GPMtoMGD</f>
        <v>0</v>
      </c>
      <c r="BC258" s="101">
        <f>Sheet1!CO258*GPMtoMGD</f>
        <v>9.7941599999999998</v>
      </c>
      <c r="BD258" s="101">
        <f>Sheet1!BO258*GPMtoMGD</f>
        <v>4.2540480000000001</v>
      </c>
      <c r="BE258" s="101">
        <f>Sheet1!BV258*GPMtoMGD</f>
        <v>1.4159520000000001</v>
      </c>
      <c r="BF258" s="101">
        <f>Sheet1!CJ258*GPMtoMGD</f>
        <v>1.1273759999999999</v>
      </c>
      <c r="BG258" s="101">
        <f>Sheet1!CK258*GPMtoMGD</f>
        <v>1.273536</v>
      </c>
      <c r="BH258" s="101">
        <f>Sheet1!CL258*GPMtoMGD</f>
        <v>1.0540800000000001</v>
      </c>
      <c r="BI258" s="101">
        <f t="shared" si="34"/>
        <v>4.2540480000000001</v>
      </c>
      <c r="BK258" s="106">
        <f>SUM(AT258:BA258,BE258,Sheet1!BU258,'Calculations II'!BC258,Calculation!AG258)</f>
        <v>66.385991619047616</v>
      </c>
      <c r="BM258" s="439">
        <f ca="1">IF(B258=TODAY(),0,IF(AND(Sheet1!BQ258&lt;=11.5,Sheet1!BQ257&gt;Sheet1!BQ258),(MIN(Lookup!$C$119,VLOOKUP(Sheet1!BQ257,Lookup!$B$4:$J$236,2))-VLOOKUP(Sheet1!BQ258,Lookup!$B$4:$J$236,2))/1000000,0))</f>
        <v>0</v>
      </c>
      <c r="BN258" s="439">
        <f ca="1">IF(B258=TODAY(),0,IF(AND(Sheet1!BR258&lt;=11.5,Sheet1!BR257&gt;Sheet1!BR258),(MIN(Lookup!$D$119,VLOOKUP(Sheet1!BR257,Lookup!$B$4:$J$236,3))-VLOOKUP(Sheet1!BR258,Lookup!$B$4:$J$236,3))/1000000,0))</f>
        <v>0</v>
      </c>
      <c r="BP258" s="105">
        <f ca="1">SUM(BM258:BN258,W258,Sheet1!DT258)</f>
        <v>0</v>
      </c>
    </row>
    <row r="259" spans="1:68" s="101" customFormat="1">
      <c r="A259" s="101" t="s">
        <v>7</v>
      </c>
      <c r="B259" s="103">
        <v>40788</v>
      </c>
      <c r="C259" s="104">
        <v>0.33333333333357601</v>
      </c>
      <c r="E259" s="30"/>
      <c r="F259" s="30">
        <f ca="1">IF(B259=TODAY(),0,-(VLOOKUP(Sheet1!BZ259,Lookup!$I$4:$J$216,2)-VLOOKUP(Sheet1!BZ258,Lookup!$I$4:$J$216,2))/1000000)</f>
        <v>0.20727387709560247</v>
      </c>
      <c r="G259" s="106">
        <f ca="1">IF(B259=TODAY(),0,-$G$6*(Sheet1!CB259-Sheet1!CB258)*7.48/1000000)</f>
        <v>0.58378846547262264</v>
      </c>
      <c r="H259" s="106">
        <f ca="1">IF(B259=TODAY(),0,-$G$6*(Sheet1!CC259-Sheet1!CC258)*7.48/1000000)</f>
        <v>-0.15885400421023663</v>
      </c>
      <c r="I259" s="106">
        <f ca="1">IF(B259=TODAY(),0,-$G$6*(Sheet1!CD259-Sheet1!CD258)*7.48/1000000)</f>
        <v>-0.13105455347344569</v>
      </c>
      <c r="J259" s="107" t="s">
        <v>193</v>
      </c>
      <c r="K259" s="106">
        <f ca="1">IF(B259=TODAY(),0,-$I$6*(Sheet1!CD259-Sheet1!CD258)*7.48/1000000)</f>
        <v>-5.937197781248927E-2</v>
      </c>
      <c r="L259" s="107" t="s">
        <v>193</v>
      </c>
      <c r="M259" s="106">
        <f ca="1">IF(B259=TODAY(),0,-$M$6*(Sheet1!CE259-Sheet1!CE258)*7.48/1000000)</f>
        <v>-2.1988957235712984E-2</v>
      </c>
      <c r="N259" s="106">
        <f ca="1">IF(B259=TODAY(),0,-$N$6*(Sheet1!CF259-Sheet1!CF258)*7.48/1000000)</f>
        <v>8.066804901301157E-2</v>
      </c>
      <c r="O259" s="106">
        <f t="shared" ca="1" si="30"/>
        <v>0.50046089884935197</v>
      </c>
      <c r="P259" s="106">
        <f ca="1">O259+Calculation!EI259</f>
        <v>-1.141139101150648</v>
      </c>
      <c r="Q259" s="101" t="str">
        <f>IF(Sheet1!BQ259&gt;21.75,"spill elevation","-")</f>
        <v>-</v>
      </c>
      <c r="R259" s="101" t="str">
        <f>IF(Sheet1!BR259&gt;21.75,"spill elevation","-")</f>
        <v>-</v>
      </c>
      <c r="S259" s="101" t="str">
        <f>IF(Sheet1!BS259&gt;21.75,"spill elevation","-")</f>
        <v>-</v>
      </c>
      <c r="T259" s="105">
        <f>IF(Sheet1!DQ259=1,Sheet1!AA259-(SUM(AT259:BA259)+BE259),Sheet1!AA259-SUM(AT259:BA259))</f>
        <v>43.589376000000001</v>
      </c>
      <c r="U259" s="105">
        <f>Sheet1!BU259</f>
        <v>38.9</v>
      </c>
      <c r="V259" s="105">
        <f t="shared" si="31"/>
        <v>4.6893760000000029</v>
      </c>
      <c r="W259" s="105">
        <f t="shared" si="32"/>
        <v>0</v>
      </c>
      <c r="X259" s="101">
        <f>IF((Sheet1!EX259-Sheet1!EX258)&lt;0,(Sheet1!EX259+100000-Sheet1!EX258)/1000,(Sheet1!EX259-Sheet1!EX258)/1000)</f>
        <v>0.65700000000000003</v>
      </c>
      <c r="Y259" s="106">
        <f ca="1">Calculation!DZ260+Calculation!EI259+'Calculations II'!O259-'Calculations II'!W259</f>
        <v>82.754668898836556</v>
      </c>
      <c r="Z259" s="106">
        <f ca="1">Y259-Sheet1!CP260</f>
        <v>64.98466889883656</v>
      </c>
      <c r="AA259" s="106">
        <f ca="1">Y259+Calculation!CZ260+Calculation!AI260</f>
        <v>99.953271620374196</v>
      </c>
      <c r="AC259" s="106">
        <f>Sheet1!AA259+Sheet1!AB259+BC259</f>
        <v>85.964128000000002</v>
      </c>
      <c r="AD259" s="106">
        <f>Sheet1!AA259+Sheet1!BN259+'Calculations II'!BC259-Calculation!AI259-Calculation!CZ259</f>
        <v>51.815265178233943</v>
      </c>
      <c r="AE259" s="106">
        <f>Sheet1!AA259+Sheet1!AB259+'Calculations II'!BC259-Calculation!AI259-Calculation!CZ259</f>
        <v>68.885265178233951</v>
      </c>
      <c r="AF259" s="106">
        <f ca="1">Sheet1!AA259+Sheet1!BN259+P259+'Calculations II'!BC259+Calculation!AI259+Calculation!CZ259</f>
        <v>84.831851720615404</v>
      </c>
      <c r="AG259" s="106">
        <f ca="1">IF(B259=TODAY(),0,Sheet1!AA259+Sheet1!BN259+'Calculations II'!BC259+'Calculations II'!P259-Sheet1!CP259-BP259)</f>
        <v>50.622988898849357</v>
      </c>
      <c r="AH259" s="106">
        <f ca="1">IF(B259=TODAY(),0,Sheet1!AA259+Sheet1!BN259+'Calculations II'!BC259+'Calculations II'!P259-BP259)</f>
        <v>67.752988898849352</v>
      </c>
      <c r="AI259" s="106">
        <f ca="1">IF(B259=TODAY(),0,BC259+Sheet1!AA259+Calculation!EI259+O259+W259+Sheet1!BN259+Calculation!AI259+Calculation!CZ259-BP259)</f>
        <v>84.831851720615404</v>
      </c>
      <c r="AJ259" s="106"/>
      <c r="AM259" s="102">
        <f t="shared" si="33"/>
        <v>40788</v>
      </c>
      <c r="AN259" s="106"/>
      <c r="AO259" s="106"/>
      <c r="AR259" s="106"/>
      <c r="AT259" s="101">
        <f>Sheet1!AR259*GPMtoMGD</f>
        <v>0</v>
      </c>
      <c r="AU259" s="101">
        <f>Sheet1!AS259*GPMtoMGD</f>
        <v>5.2704000000000008E-2</v>
      </c>
      <c r="AV259" s="101">
        <f>Sheet1!AT259*GPMtoMGD</f>
        <v>0</v>
      </c>
      <c r="AW259" s="101">
        <f>Sheet1!AV259*GPMtoMGD</f>
        <v>1.113696</v>
      </c>
      <c r="AX259" s="101">
        <f>Sheet1!AW259*GPMtoMGD</f>
        <v>1.442016</v>
      </c>
      <c r="AY259" s="101">
        <f>Sheet1!AX259*GPMtoMGD</f>
        <v>6.2208000000000006E-2</v>
      </c>
      <c r="AZ259" s="101">
        <f>Sheet1!AY259*GPMtoMGD</f>
        <v>0</v>
      </c>
      <c r="BA259" s="101">
        <f>Sheet1!AZ259*GPMtoMGD</f>
        <v>0</v>
      </c>
      <c r="BB259" s="101">
        <f>Sheet1!BP259*GPMtoMGD</f>
        <v>0</v>
      </c>
      <c r="BC259" s="101">
        <f>Sheet1!CO259*GPMtoMGD</f>
        <v>9.0341280000000008</v>
      </c>
      <c r="BD259" s="101">
        <f>Sheet1!BO259*GPMtoMGD</f>
        <v>4.1041439999999998</v>
      </c>
      <c r="BE259" s="101">
        <f>Sheet1!BV259*GPMtoMGD</f>
        <v>1.5052320000000001</v>
      </c>
      <c r="BF259" s="101">
        <f>Sheet1!CJ259*GPMtoMGD</f>
        <v>1.346976</v>
      </c>
      <c r="BG259" s="101">
        <f>Sheet1!CK259*GPMtoMGD</f>
        <v>1.4221440000000001</v>
      </c>
      <c r="BH259" s="101">
        <f>Sheet1!CL259*GPMtoMGD</f>
        <v>1.07064</v>
      </c>
      <c r="BI259" s="101">
        <f t="shared" si="34"/>
        <v>4.1041439999999998</v>
      </c>
      <c r="BK259" s="106">
        <f>SUM(AT259:BA259,BE259,Sheet1!BU259,'Calculations II'!BC259,Calculation!AG259)</f>
        <v>65.701121178233961</v>
      </c>
      <c r="BM259" s="439">
        <f ca="1">IF(B259=TODAY(),0,IF(AND(Sheet1!BQ259&lt;=11.5,Sheet1!BQ258&gt;Sheet1!BQ259),(MIN(Lookup!$C$119,VLOOKUP(Sheet1!BQ258,Lookup!$B$4:$J$236,2))-VLOOKUP(Sheet1!BQ259,Lookup!$B$4:$J$236,2))/1000000,0))</f>
        <v>0</v>
      </c>
      <c r="BN259" s="439">
        <f ca="1">IF(B259=TODAY(),0,IF(AND(Sheet1!BR259&lt;=11.5,Sheet1!BR258&gt;Sheet1!BR259),(MIN(Lookup!$D$119,VLOOKUP(Sheet1!BR258,Lookup!$B$4:$J$236,3))-VLOOKUP(Sheet1!BR259,Lookup!$B$4:$J$236,3))/1000000,0))</f>
        <v>0</v>
      </c>
      <c r="BP259" s="105">
        <f ca="1">SUM(BM259:BN259,W259,Sheet1!DT259)</f>
        <v>0</v>
      </c>
    </row>
    <row r="260" spans="1:68" s="101" customFormat="1">
      <c r="A260" s="101" t="s">
        <v>8</v>
      </c>
      <c r="B260" s="103">
        <v>40789</v>
      </c>
      <c r="C260" s="104">
        <v>0.33333333333357601</v>
      </c>
      <c r="E260" s="30"/>
      <c r="F260" s="30">
        <f ca="1">IF(B260=TODAY(),0,-(VLOOKUP(Sheet1!BZ260,Lookup!$I$4:$J$216,2)-VLOOKUP(Sheet1!BZ259,Lookup!$I$4:$J$216,2))/1000000)</f>
        <v>0</v>
      </c>
      <c r="G260" s="106">
        <f ca="1">IF(B260=TODAY(),0,-$G$6*(Sheet1!CB260-Sheet1!CB259)*7.48/1000000)</f>
        <v>-0.4050777107361061</v>
      </c>
      <c r="H260" s="106">
        <f ca="1">IF(B260=TODAY(),0,-$G$6*(Sheet1!CC260-Sheet1!CC259)*7.48/1000000)</f>
        <v>-3.9713501052559864E-2</v>
      </c>
      <c r="I260" s="106">
        <f ca="1">IF(B260=TODAY(),0,-$G$6*(Sheet1!CD260-Sheet1!CD259)*7.48/1000000)</f>
        <v>-7.9427002105118313E-2</v>
      </c>
      <c r="J260" s="107" t="s">
        <v>193</v>
      </c>
      <c r="K260" s="106">
        <f ca="1">IF(B260=TODAY(),0,-$I$6*(Sheet1!CD260-Sheet1!CD259)*7.48/1000000)</f>
        <v>-3.598301685605397E-2</v>
      </c>
      <c r="L260" s="107" t="s">
        <v>193</v>
      </c>
      <c r="M260" s="106">
        <f ca="1">IF(B260=TODAY(),0,-$M$6*(Sheet1!CE260-Sheet1!CE259)*7.48/1000000)</f>
        <v>6.6633203744585374E-3</v>
      </c>
      <c r="N260" s="106">
        <f ca="1">IF(B260=TODAY(),0,-$N$6*(Sheet1!CF260-Sheet1!CF259)*7.48/1000000)</f>
        <v>-6.2052345394624786E-2</v>
      </c>
      <c r="O260" s="106">
        <f t="shared" ca="1" si="30"/>
        <v>-0.61559025577000459</v>
      </c>
      <c r="P260" s="106">
        <f ca="1">O260+Calculation!EI260</f>
        <v>1.573209744229995</v>
      </c>
      <c r="Q260" s="101" t="str">
        <f>IF(Sheet1!BQ260&gt;21.75,"spill elevation","-")</f>
        <v>-</v>
      </c>
      <c r="R260" s="101" t="str">
        <f>IF(Sheet1!BR260&gt;21.75,"spill elevation","-")</f>
        <v>-</v>
      </c>
      <c r="S260" s="101" t="str">
        <f>IF(Sheet1!BS260&gt;21.75,"spill elevation","-")</f>
        <v>-</v>
      </c>
      <c r="T260" s="105">
        <f>IF(Sheet1!DQ260=1,Sheet1!AA260-(SUM(AT260:BA260)+BE260),Sheet1!AA260-SUM(AT260:BA260))</f>
        <v>42.340671999991272</v>
      </c>
      <c r="U260" s="105">
        <f>Sheet1!BU260</f>
        <v>41.7</v>
      </c>
      <c r="V260" s="105">
        <f t="shared" si="31"/>
        <v>0.64067199999126956</v>
      </c>
      <c r="W260" s="105">
        <f t="shared" si="32"/>
        <v>0</v>
      </c>
      <c r="X260" s="101">
        <f>IF((Sheet1!EX260-Sheet1!EX259)&lt;0,(Sheet1!EX260+100000-Sheet1!EX259)/1000,(Sheet1!EX260-Sheet1!EX259)/1000)</f>
        <v>0.69199999999999995</v>
      </c>
      <c r="Y260" s="106">
        <f ca="1">Calculation!DZ261+Calculation!EI260+'Calculations II'!O260-'Calculations II'!W260</f>
        <v>86.612697744236399</v>
      </c>
      <c r="Z260" s="106">
        <f ca="1">Y260-Sheet1!CP261</f>
        <v>69.052697744236397</v>
      </c>
      <c r="AA260" s="106">
        <f ca="1">Y260+Calculation!CZ261+Calculation!AI261</f>
        <v>104.48366119938659</v>
      </c>
      <c r="AC260" s="106">
        <f>Sheet1!AA260+Sheet1!AB260+BC260</f>
        <v>83.895807999987198</v>
      </c>
      <c r="AD260" s="106">
        <f>Sheet1!AA260+Sheet1!BN260+'Calculations II'!BC260-Calculation!AI260-Calculation!CZ260</f>
        <v>49.667205278453636</v>
      </c>
      <c r="AE260" s="106">
        <f>Sheet1!AA260+Sheet1!AB260+'Calculations II'!BC260-Calculation!AI260-Calculation!CZ260</f>
        <v>66.697205278449559</v>
      </c>
      <c r="AF260" s="106">
        <f ca="1">Sheet1!AA260+Sheet1!BN260+P260+'Calculations II'!BC260+Calculation!AI260+Calculation!CZ260</f>
        <v>85.6376204657589</v>
      </c>
      <c r="AG260" s="106">
        <f ca="1">IF(B260=TODAY(),0,Sheet1!AA260+Sheet1!BN260+'Calculations II'!BC260+'Calculations II'!P260-Sheet1!CP260-BP260)</f>
        <v>50.669017744221279</v>
      </c>
      <c r="AH260" s="106">
        <f ca="1">IF(B260=TODAY(),0,Sheet1!AA260+Sheet1!BN260+'Calculations II'!BC260+'Calculations II'!P260-BP260)</f>
        <v>68.439017744221275</v>
      </c>
      <c r="AI260" s="106">
        <f ca="1">IF(B260=TODAY(),0,BC260+Sheet1!AA260+Calculation!EI260+O260+W260+Sheet1!BN260+Calculation!AI260+Calculation!CZ260-BP260)</f>
        <v>85.637620465758914</v>
      </c>
      <c r="AJ260" s="106"/>
      <c r="AM260" s="102">
        <f t="shared" si="33"/>
        <v>40789</v>
      </c>
      <c r="AN260" s="106"/>
      <c r="AO260" s="106"/>
      <c r="AR260" s="106"/>
      <c r="AT260" s="101">
        <f>Sheet1!AR260*GPMtoMGD</f>
        <v>0</v>
      </c>
      <c r="AU260" s="101">
        <f>Sheet1!AS260*GPMtoMGD</f>
        <v>5.6304000000000007E-2</v>
      </c>
      <c r="AV260" s="101">
        <f>Sheet1!AT260*GPMtoMGD</f>
        <v>0</v>
      </c>
      <c r="AW260" s="101">
        <f>Sheet1!AV260*GPMtoMGD</f>
        <v>1.1700000000000002</v>
      </c>
      <c r="AX260" s="101">
        <f>Sheet1!AW260*GPMtoMGD</f>
        <v>1.4865120000000001</v>
      </c>
      <c r="AY260" s="101">
        <f>Sheet1!AX260*GPMtoMGD</f>
        <v>4.6511999999999998E-2</v>
      </c>
      <c r="AZ260" s="101">
        <f>Sheet1!AY260*GPMtoMGD</f>
        <v>0</v>
      </c>
      <c r="BA260" s="101">
        <f>Sheet1!AZ260*GPMtoMGD</f>
        <v>0</v>
      </c>
      <c r="BB260" s="101">
        <f>Sheet1!BP260*GPMtoMGD</f>
        <v>0</v>
      </c>
      <c r="BC260" s="101">
        <f>Sheet1!CO260*GPMtoMGD</f>
        <v>9.0658080000000005</v>
      </c>
      <c r="BD260" s="101">
        <f>Sheet1!BO260*GPMtoMGD</f>
        <v>4.1474880000000001</v>
      </c>
      <c r="BE260" s="101">
        <f>Sheet1!BV260*GPMtoMGD</f>
        <v>1.6296480000000002</v>
      </c>
      <c r="BF260" s="101">
        <f>Sheet1!CJ260*GPMtoMGD</f>
        <v>1.4244480000000002</v>
      </c>
      <c r="BG260" s="101">
        <f>Sheet1!CK260*GPMtoMGD</f>
        <v>1.4810400000000001</v>
      </c>
      <c r="BH260" s="101">
        <f>Sheet1!CL260*GPMtoMGD</f>
        <v>0.99057600000000001</v>
      </c>
      <c r="BI260" s="101">
        <f t="shared" si="34"/>
        <v>4.1474880000000001</v>
      </c>
      <c r="BK260" s="106">
        <f>SUM(AT260:BA260,BE260,Sheet1!BU260,'Calculations II'!BC260,Calculation!AG260)</f>
        <v>67.686181278458292</v>
      </c>
      <c r="BM260" s="439">
        <f ca="1">IF(B260=TODAY(),0,IF(AND(Sheet1!BQ260&lt;=11.5,Sheet1!BQ259&gt;Sheet1!BQ260),(MIN(Lookup!$C$119,VLOOKUP(Sheet1!BQ259,Lookup!$B$4:$J$236,2))-VLOOKUP(Sheet1!BQ260,Lookup!$B$4:$J$236,2))/1000000,0))</f>
        <v>0</v>
      </c>
      <c r="BN260" s="439">
        <f ca="1">IF(B260=TODAY(),0,IF(AND(Sheet1!BR260&lt;=11.5,Sheet1!BR259&gt;Sheet1!BR260),(MIN(Lookup!$D$119,VLOOKUP(Sheet1!BR259,Lookup!$B$4:$J$236,3))-VLOOKUP(Sheet1!BR260,Lookup!$B$4:$J$236,3))/1000000,0))</f>
        <v>0</v>
      </c>
      <c r="BP260" s="105">
        <f ca="1">SUM(BM260:BN260,W260,Sheet1!DT260)</f>
        <v>0</v>
      </c>
    </row>
    <row r="261" spans="1:68" s="101" customFormat="1">
      <c r="A261" s="101" t="s">
        <v>9</v>
      </c>
      <c r="B261" s="103">
        <v>40790</v>
      </c>
      <c r="C261" s="104">
        <v>0.33333333333357601</v>
      </c>
      <c r="E261" s="30"/>
      <c r="F261" s="30">
        <f ca="1">IF(B261=TODAY(),0,-(VLOOKUP(Sheet1!BZ261,Lookup!$I$4:$J$216,2)-VLOOKUP(Sheet1!BZ260,Lookup!$I$4:$J$216,2))/1000000)</f>
        <v>0.20727387709560247</v>
      </c>
      <c r="G261" s="106">
        <f ca="1">IF(B261=TODAY(),0,-$G$6*(Sheet1!CB261-Sheet1!CB260)*7.48/1000000)</f>
        <v>9.9283752631398242E-2</v>
      </c>
      <c r="H261" s="106">
        <f ca="1">IF(B261=TODAY(),0,-$G$6*(Sheet1!CC261-Sheet1!CC260)*7.48/1000000)</f>
        <v>-7.9427002105118313E-2</v>
      </c>
      <c r="I261" s="106">
        <f ca="1">IF(B261=TODAY(),0,-$G$6*(Sheet1!CD261-Sheet1!CD260)*7.48/1000000)</f>
        <v>-7.9427002105118313E-2</v>
      </c>
      <c r="J261" s="107" t="s">
        <v>193</v>
      </c>
      <c r="K261" s="106">
        <f ca="1">IF(B261=TODAY(),0,-$I$6*(Sheet1!CD261-Sheet1!CD260)*7.48/1000000)</f>
        <v>-3.598301685605397E-2</v>
      </c>
      <c r="L261" s="107" t="s">
        <v>193</v>
      </c>
      <c r="M261" s="106">
        <f ca="1">IF(B261=TODAY(),0,-$M$6*(Sheet1!CE261-Sheet1!CE260)*7.48/1000000)</f>
        <v>-2.6653281497833674E-2</v>
      </c>
      <c r="N261" s="106">
        <f ca="1">IF(B261=TODAY(),0,-$N$6*(Sheet1!CF261-Sheet1!CF260)*7.48/1000000)</f>
        <v>0</v>
      </c>
      <c r="O261" s="106">
        <f t="shared" ca="1" si="30"/>
        <v>8.5067327162876433E-2</v>
      </c>
      <c r="P261" s="106">
        <f ca="1">O261+Calculation!EI261</f>
        <v>3.3682673271628762</v>
      </c>
      <c r="Q261" s="101" t="str">
        <f>IF(Sheet1!BQ261&gt;21.75,"spill elevation","-")</f>
        <v>-</v>
      </c>
      <c r="R261" s="101" t="str">
        <f>IF(Sheet1!BR261&gt;21.75,"spill elevation","-")</f>
        <v>-</v>
      </c>
      <c r="S261" s="101" t="str">
        <f>IF(Sheet1!BS261&gt;21.75,"spill elevation","-")</f>
        <v>-</v>
      </c>
      <c r="T261" s="105">
        <f>IF(Sheet1!DQ261=1,Sheet1!AA261-(SUM(AT261:BA261)+BE261),Sheet1!AA261-SUM(AT261:BA261))</f>
        <v>42.875696000005242</v>
      </c>
      <c r="U261" s="105">
        <f>Sheet1!BU261</f>
        <v>42.6</v>
      </c>
      <c r="V261" s="105">
        <f t="shared" si="31"/>
        <v>0.27569600000524019</v>
      </c>
      <c r="W261" s="105">
        <f t="shared" si="32"/>
        <v>0</v>
      </c>
      <c r="X261" s="101">
        <f>IF((Sheet1!EX261-Sheet1!EX260)&lt;0,(Sheet1!EX261+100000-Sheet1!EX260)/1000,(Sheet1!EX261-Sheet1!EX260)/1000)</f>
        <v>0.68200000000000005</v>
      </c>
      <c r="Y261" s="106">
        <f ca="1">Calculation!DZ262+Calculation!EI261+'Calculations II'!O261-'Calculations II'!W261</f>
        <v>87.354443327166365</v>
      </c>
      <c r="Z261" s="106">
        <f ca="1">Y261-Sheet1!CP262</f>
        <v>70.11444332716637</v>
      </c>
      <c r="AA261" s="106">
        <f ca="1">Y261+Calculation!CZ262+Calculation!AI262</f>
        <v>104.24706300801742</v>
      </c>
      <c r="AC261" s="106">
        <f>Sheet1!AA261+Sheet1!AB261+BC261</f>
        <v>85.039488000006401</v>
      </c>
      <c r="AD261" s="106">
        <f>Sheet1!AA261+Sheet1!BN261+'Calculations II'!BC261-Calculation!AI261-Calculation!CZ261</f>
        <v>49.248524544855044</v>
      </c>
      <c r="AE261" s="106">
        <f>Sheet1!AA261+Sheet1!AB261+'Calculations II'!BC261-Calculation!AI261-Calculation!CZ261</f>
        <v>67.168524544856211</v>
      </c>
      <c r="AF261" s="106">
        <f ca="1">Sheet1!AA261+Sheet1!BN261+P261+'Calculations II'!BC261+Calculation!AI261+Calculation!CZ261</f>
        <v>88.358718782318306</v>
      </c>
      <c r="AG261" s="106">
        <f ca="1">IF(B261=TODAY(),0,Sheet1!AA261+Sheet1!BN261+'Calculations II'!BC261+'Calculations II'!P261-Sheet1!CP261-BP261)</f>
        <v>52.927755327168114</v>
      </c>
      <c r="AH261" s="106">
        <f ca="1">IF(B261=TODAY(),0,Sheet1!AA261+Sheet1!BN261+'Calculations II'!BC261+'Calculations II'!P261-BP261)</f>
        <v>70.487755327168117</v>
      </c>
      <c r="AI261" s="106">
        <f ca="1">IF(B261=TODAY(),0,BC261+Sheet1!AA261+Calculation!EI261+O261+W261+Sheet1!BN261+Calculation!AI261+Calculation!CZ261-BP261)</f>
        <v>88.358718782318306</v>
      </c>
      <c r="AJ261" s="106"/>
      <c r="AM261" s="102">
        <f t="shared" si="33"/>
        <v>40790</v>
      </c>
      <c r="AN261" s="106"/>
      <c r="AO261" s="106"/>
      <c r="AR261" s="106"/>
      <c r="AT261" s="101">
        <f>Sheet1!AR261*GPMtoMGD</f>
        <v>0</v>
      </c>
      <c r="AU261" s="101">
        <f>Sheet1!AS261*GPMtoMGD</f>
        <v>5.9904000000000006E-2</v>
      </c>
      <c r="AV261" s="101">
        <f>Sheet1!AT261*GPMtoMGD</f>
        <v>0</v>
      </c>
      <c r="AW261" s="101">
        <f>Sheet1!AV261*GPMtoMGD</f>
        <v>1.2026880000000002</v>
      </c>
      <c r="AX261" s="101">
        <f>Sheet1!AW261*GPMtoMGD</f>
        <v>1.5503039999999999</v>
      </c>
      <c r="AY261" s="101">
        <f>Sheet1!AX261*GPMtoMGD</f>
        <v>5.1408000000000009E-2</v>
      </c>
      <c r="AZ261" s="101">
        <f>Sheet1!AY261*GPMtoMGD</f>
        <v>0</v>
      </c>
      <c r="BA261" s="101">
        <f>Sheet1!AZ261*GPMtoMGD</f>
        <v>0</v>
      </c>
      <c r="BB261" s="101">
        <f>Sheet1!BP261*GPMtoMGD</f>
        <v>0</v>
      </c>
      <c r="BC261" s="101">
        <f>Sheet1!CO261*GPMtoMGD</f>
        <v>9.0794879999999996</v>
      </c>
      <c r="BD261" s="101">
        <f>Sheet1!BO261*GPMtoMGD</f>
        <v>4.393008</v>
      </c>
      <c r="BE261" s="101">
        <f>Sheet1!BV261*GPMtoMGD</f>
        <v>1.6310880000000001</v>
      </c>
      <c r="BF261" s="101">
        <f>Sheet1!CJ261*GPMtoMGD</f>
        <v>1.4852160000000003</v>
      </c>
      <c r="BG261" s="101">
        <f>Sheet1!CK261*GPMtoMGD</f>
        <v>1.5311520000000001</v>
      </c>
      <c r="BH261" s="101">
        <f>Sheet1!CL261*GPMtoMGD</f>
        <v>0.9914400000000001</v>
      </c>
      <c r="BI261" s="101">
        <f t="shared" si="34"/>
        <v>4.393008</v>
      </c>
      <c r="BK261" s="106">
        <f>SUM(AT261:BA261,BE261,Sheet1!BU261,'Calculations II'!BC261,Calculation!AG261)</f>
        <v>68.523916544850977</v>
      </c>
      <c r="BM261" s="439">
        <f ca="1">IF(B261=TODAY(),0,IF(AND(Sheet1!BQ261&lt;=11.5,Sheet1!BQ260&gt;Sheet1!BQ261),(MIN(Lookup!$C$119,VLOOKUP(Sheet1!BQ260,Lookup!$B$4:$J$236,2))-VLOOKUP(Sheet1!BQ261,Lookup!$B$4:$J$236,2))/1000000,0))</f>
        <v>0</v>
      </c>
      <c r="BN261" s="439">
        <f ca="1">IF(B261=TODAY(),0,IF(AND(Sheet1!BR261&lt;=11.5,Sheet1!BR260&gt;Sheet1!BR261),(MIN(Lookup!$D$119,VLOOKUP(Sheet1!BR260,Lookup!$B$4:$J$236,3))-VLOOKUP(Sheet1!BR261,Lookup!$B$4:$J$236,3))/1000000,0))</f>
        <v>0</v>
      </c>
      <c r="BP261" s="105">
        <f ca="1">SUM(BM261:BN261,W261,Sheet1!DT261)</f>
        <v>0</v>
      </c>
    </row>
    <row r="262" spans="1:68" s="101" customFormat="1">
      <c r="A262" s="101" t="s">
        <v>3</v>
      </c>
      <c r="B262" s="103">
        <v>40791</v>
      </c>
      <c r="C262" s="104">
        <v>0.33333333333357601</v>
      </c>
      <c r="E262" s="30"/>
      <c r="F262" s="30">
        <f ca="1">IF(B262=TODAY(),0,-(VLOOKUP(Sheet1!BZ262,Lookup!$I$4:$J$216,2)-VLOOKUP(Sheet1!BZ261,Lookup!$I$4:$J$216,2))/1000000)</f>
        <v>0</v>
      </c>
      <c r="G262" s="106">
        <f ca="1">IF(B262=TODAY(),0,-$G$6*(Sheet1!CB262-Sheet1!CB261)*7.48/1000000)</f>
        <v>0</v>
      </c>
      <c r="H262" s="106">
        <f ca="1">IF(B262=TODAY(),0,-$G$6*(Sheet1!CC262-Sheet1!CC261)*7.48/1000000)</f>
        <v>0</v>
      </c>
      <c r="I262" s="106">
        <f ca="1">IF(B262=TODAY(),0,-$G$6*(Sheet1!CD262-Sheet1!CD261)*7.48/1000000)</f>
        <v>0</v>
      </c>
      <c r="J262" s="107" t="s">
        <v>193</v>
      </c>
      <c r="K262" s="106">
        <f ca="1">IF(B262=TODAY(),0,-$I$6*(Sheet1!CD262-Sheet1!CD261)*7.48/1000000)</f>
        <v>0</v>
      </c>
      <c r="L262" s="107" t="s">
        <v>193</v>
      </c>
      <c r="M262" s="106">
        <f ca="1">IF(B262=TODAY(),0,-$M$6*(Sheet1!CE262-Sheet1!CE261)*7.48/1000000)</f>
        <v>0</v>
      </c>
      <c r="N262" s="106">
        <f ca="1">IF(B262=TODAY(),0,-$N$6*(Sheet1!CF262-Sheet1!CF261)*7.48/1000000)</f>
        <v>6.2052345394624786E-2</v>
      </c>
      <c r="O262" s="106">
        <f t="shared" ca="1" si="30"/>
        <v>6.2052345394624786E-2</v>
      </c>
      <c r="P262" s="106">
        <f ca="1">O262+Calculation!EI262</f>
        <v>6.2052345394624786E-2</v>
      </c>
      <c r="Q262" s="101" t="str">
        <f>IF(Sheet1!BQ262&gt;21.75,"spill elevation","-")</f>
        <v>-</v>
      </c>
      <c r="R262" s="101" t="str">
        <f>IF(Sheet1!BR262&gt;21.75,"spill elevation","-")</f>
        <v>-</v>
      </c>
      <c r="S262" s="101" t="str">
        <f>IF(Sheet1!BS262&gt;21.75,"spill elevation","-")</f>
        <v>-</v>
      </c>
      <c r="T262" s="105">
        <f>IF(Sheet1!DQ262=1,Sheet1!AA262-(SUM(AT262:BA262)+BE262),Sheet1!AA262-SUM(AT262:BA262))</f>
        <v>41.851024000003491</v>
      </c>
      <c r="U262" s="105">
        <f>Sheet1!BU262</f>
        <v>44</v>
      </c>
      <c r="V262" s="105">
        <f t="shared" si="31"/>
        <v>-2.1489759999965088</v>
      </c>
      <c r="W262" s="105">
        <f t="shared" si="32"/>
        <v>0</v>
      </c>
      <c r="X262" s="101">
        <f>IF((Sheet1!EX262-Sheet1!EX261)&lt;0,(Sheet1!EX262+100000-Sheet1!EX261)/1000,(Sheet1!EX262-Sheet1!EX261)/1000)</f>
        <v>0.63800000000000001</v>
      </c>
      <c r="Y262" s="106">
        <f ca="1">Calculation!DZ263+Calculation!EI262+'Calculations II'!O262-'Calculations II'!W262</f>
        <v>87.005476345392879</v>
      </c>
      <c r="Z262" s="106">
        <f ca="1">Y262-Sheet1!CP263</f>
        <v>70.03547634539288</v>
      </c>
      <c r="AA262" s="106">
        <f ca="1">Y262+Calculation!CZ263+Calculation!AI263</f>
        <v>104.33504313239709</v>
      </c>
      <c r="AC262" s="106">
        <f>Sheet1!AA262+Sheet1!AB262+BC262</f>
        <v>83.986176000003496</v>
      </c>
      <c r="AD262" s="106">
        <f>Sheet1!AA262+Sheet1!BN262+'Calculations II'!BC262-Calculation!AI262-Calculation!CZ262</f>
        <v>50.343556319152434</v>
      </c>
      <c r="AE262" s="106">
        <f>Sheet1!AA262+Sheet1!AB262+'Calculations II'!BC262-Calculation!AI262-Calculation!CZ262</f>
        <v>67.093556319152441</v>
      </c>
      <c r="AF262" s="106">
        <f ca="1">Sheet1!AA262+Sheet1!BN262+P262+'Calculations II'!BC262+Calculation!AI262+Calculation!CZ262</f>
        <v>84.190848026249171</v>
      </c>
      <c r="AG262" s="106">
        <f ca="1">IF(B262=TODAY(),0,Sheet1!AA262+Sheet1!BN262+'Calculations II'!BC262+'Calculations II'!P262-Sheet1!CP262-BP262)</f>
        <v>50.05822834539812</v>
      </c>
      <c r="AH262" s="106">
        <f ca="1">IF(B262=TODAY(),0,Sheet1!AA262+Sheet1!BN262+'Calculations II'!BC262+'Calculations II'!P262-BP262)</f>
        <v>67.298228345398115</v>
      </c>
      <c r="AI262" s="106">
        <f ca="1">IF(B262=TODAY(),0,BC262+Sheet1!AA262+Calculation!EI262+O262+W262+Sheet1!BN262+Calculation!AI262+Calculation!CZ262-BP262)</f>
        <v>84.190848026249171</v>
      </c>
      <c r="AJ262" s="106"/>
      <c r="AM262" s="102">
        <f t="shared" si="33"/>
        <v>40791</v>
      </c>
      <c r="AN262" s="106"/>
      <c r="AO262" s="106"/>
      <c r="AR262" s="106"/>
      <c r="AT262" s="101">
        <f>Sheet1!AR262*GPMtoMGD</f>
        <v>0</v>
      </c>
      <c r="AU262" s="101">
        <f>Sheet1!AS262*GPMtoMGD</f>
        <v>6.480000000000001E-2</v>
      </c>
      <c r="AV262" s="101">
        <f>Sheet1!AT262*GPMtoMGD</f>
        <v>0</v>
      </c>
      <c r="AW262" s="101">
        <f>Sheet1!AV262*GPMtoMGD</f>
        <v>1.3893120000000001</v>
      </c>
      <c r="AX262" s="101">
        <f>Sheet1!AW262*GPMtoMGD</f>
        <v>1.7840160000000003</v>
      </c>
      <c r="AY262" s="101">
        <f>Sheet1!AX262*GPMtoMGD</f>
        <v>7.0848000000000008E-2</v>
      </c>
      <c r="AZ262" s="101">
        <f>Sheet1!AY262*GPMtoMGD</f>
        <v>0</v>
      </c>
      <c r="BA262" s="101">
        <f>Sheet1!AZ262*GPMtoMGD</f>
        <v>0</v>
      </c>
      <c r="BB262" s="101">
        <f>Sheet1!BP262*GPMtoMGD</f>
        <v>0</v>
      </c>
      <c r="BC262" s="101">
        <f>Sheet1!CO262*GPMtoMGD</f>
        <v>9.0761760000000002</v>
      </c>
      <c r="BD262" s="101">
        <f>Sheet1!BO262*GPMtoMGD</f>
        <v>4.3657920000000008</v>
      </c>
      <c r="BE262" s="101">
        <f>Sheet1!BV262*GPMtoMGD</f>
        <v>1.5680160000000003</v>
      </c>
      <c r="BF262" s="101">
        <f>Sheet1!CJ262*GPMtoMGD</f>
        <v>1.7244000000000002</v>
      </c>
      <c r="BG262" s="101">
        <f>Sheet1!CK262*GPMtoMGD</f>
        <v>1.6145280000000002</v>
      </c>
      <c r="BH262" s="101">
        <f>Sheet1!CL262*GPMtoMGD</f>
        <v>1.017072</v>
      </c>
      <c r="BI262" s="101">
        <f t="shared" si="34"/>
        <v>4.3657920000000008</v>
      </c>
      <c r="BK262" s="106">
        <f>SUM(AT262:BA262,BE262,Sheet1!BU262,'Calculations II'!BC262,Calculation!AG262)</f>
        <v>70.81054831914895</v>
      </c>
      <c r="BM262" s="439">
        <f ca="1">IF(B262=TODAY(),0,IF(AND(Sheet1!BQ262&lt;=11.5,Sheet1!BQ261&gt;Sheet1!BQ262),(MIN(Lookup!$C$119,VLOOKUP(Sheet1!BQ261,Lookup!$B$4:$J$236,2))-VLOOKUP(Sheet1!BQ262,Lookup!$B$4:$J$236,2))/1000000,0))</f>
        <v>0</v>
      </c>
      <c r="BN262" s="439">
        <f ca="1">IF(B262=TODAY(),0,IF(AND(Sheet1!BR262&lt;=11.5,Sheet1!BR261&gt;Sheet1!BR262),(MIN(Lookup!$D$119,VLOOKUP(Sheet1!BR261,Lookup!$B$4:$J$236,3))-VLOOKUP(Sheet1!BR262,Lookup!$B$4:$J$236,3))/1000000,0))</f>
        <v>0</v>
      </c>
      <c r="BP262" s="105">
        <f ca="1">SUM(BM262:BN262,W262,Sheet1!DT262)</f>
        <v>0</v>
      </c>
    </row>
    <row r="263" spans="1:68" s="101" customFormat="1">
      <c r="A263" s="101" t="s">
        <v>4</v>
      </c>
      <c r="B263" s="103">
        <v>40792</v>
      </c>
      <c r="C263" s="104">
        <v>0.33333333333357601</v>
      </c>
      <c r="E263" s="30"/>
      <c r="F263" s="30">
        <f ca="1">IF(B263=TODAY(),0,-(VLOOKUP(Sheet1!BZ263,Lookup!$I$4:$J$216,2)-VLOOKUP(Sheet1!BZ262,Lookup!$I$4:$J$216,2))/1000000)</f>
        <v>0.20727387709560247</v>
      </c>
      <c r="G263" s="106">
        <f ca="1">IF(B263=TODAY(),0,-$G$6*(Sheet1!CB263-Sheet1!CB262)*7.48/1000000)</f>
        <v>0.71484301894606761</v>
      </c>
      <c r="H263" s="106">
        <f ca="1">IF(B263=TODAY(),0,-$G$6*(Sheet1!CC263-Sheet1!CC262)*7.48/1000000)</f>
        <v>0.83398352210374516</v>
      </c>
      <c r="I263" s="106">
        <f ca="1">IF(B263=TODAY(),0,-$G$6*(Sheet1!CD263-Sheet1!CD262)*7.48/1000000)</f>
        <v>0.83398352210374516</v>
      </c>
      <c r="J263" s="107" t="s">
        <v>193</v>
      </c>
      <c r="K263" s="106">
        <f ca="1">IF(B263=TODAY(),0,-$I$6*(Sheet1!CD263-Sheet1!CD262)*7.48/1000000)</f>
        <v>0.37782167698856794</v>
      </c>
      <c r="L263" s="107" t="s">
        <v>193</v>
      </c>
      <c r="M263" s="106">
        <f ca="1">IF(B263=TODAY(),0,-$M$6*(Sheet1!CE263-Sheet1!CE262)*7.48/1000000)</f>
        <v>0.13992972786362717</v>
      </c>
      <c r="N263" s="106">
        <f ca="1">IF(B263=TODAY(),0,-$N$6*(Sheet1!CF263-Sheet1!CF262)*7.48/1000000)</f>
        <v>0</v>
      </c>
      <c r="O263" s="106">
        <f t="shared" ca="1" si="30"/>
        <v>3.1078353451013552</v>
      </c>
      <c r="P263" s="106">
        <f ca="1">O263+Calculation!EI263</f>
        <v>7.7023353451013552</v>
      </c>
      <c r="Q263" s="101" t="str">
        <f>IF(Sheet1!BQ263&gt;21.75,"spill elevation","-")</f>
        <v>-</v>
      </c>
      <c r="R263" s="101" t="str">
        <f>IF(Sheet1!BR263&gt;21.75,"spill elevation","-")</f>
        <v>-</v>
      </c>
      <c r="S263" s="101" t="str">
        <f>IF(Sheet1!BS263&gt;21.75,"spill elevation","-")</f>
        <v>-</v>
      </c>
      <c r="T263" s="105">
        <f>IF(Sheet1!DQ263=1,Sheet1!AA263-(SUM(AT263:BA263)+BE263),Sheet1!AA263-SUM(AT263:BA263))</f>
        <v>43.294799999997089</v>
      </c>
      <c r="U263" s="105">
        <f>Sheet1!BU263</f>
        <v>40.6</v>
      </c>
      <c r="V263" s="105">
        <f t="shared" si="31"/>
        <v>2.6947999999970875</v>
      </c>
      <c r="W263" s="105">
        <f t="shared" si="32"/>
        <v>0</v>
      </c>
      <c r="X263" s="101">
        <f>IF((Sheet1!EX263-Sheet1!EX262)&lt;0,(Sheet1!EX263+100000-Sheet1!EX262)/1000,(Sheet1!EX263-Sheet1!EX262)/1000)</f>
        <v>0.65600000000000003</v>
      </c>
      <c r="Y263" s="106">
        <f ca="1">Calculation!DZ264+Calculation!EI263+'Calculations II'!O263-'Calculations II'!W263</f>
        <v>104.36425534509058</v>
      </c>
      <c r="Z263" s="106">
        <f ca="1">Y263-Sheet1!CP264</f>
        <v>87.054255345090581</v>
      </c>
      <c r="AA263" s="106">
        <f ca="1">Y263+Calculation!CZ264+Calculation!AI264</f>
        <v>121.85428605133301</v>
      </c>
      <c r="AC263" s="106">
        <f>Sheet1!AA263+Sheet1!AB263+BC263</f>
        <v>86.943423999998259</v>
      </c>
      <c r="AD263" s="106">
        <f>Sheet1!AA263+Sheet1!BN263+'Calculations II'!BC263-Calculation!AI263-Calculation!CZ263</f>
        <v>52.293857212992869</v>
      </c>
      <c r="AE263" s="106">
        <f>Sheet1!AA263+Sheet1!AB263+'Calculations II'!BC263-Calculation!AI263-Calculation!CZ263</f>
        <v>69.613857212994048</v>
      </c>
      <c r="AF263" s="106">
        <f ca="1">Sheet1!AA263+Sheet1!BN263+P263+'Calculations II'!BC263+Calculation!AI263+Calculation!CZ263</f>
        <v>94.655326132102658</v>
      </c>
      <c r="AG263" s="106">
        <f ca="1">IF(B263=TODAY(),0,Sheet1!AA263+Sheet1!BN263+'Calculations II'!BC263+'Calculations II'!P263-Sheet1!CP263-BP263)</f>
        <v>60.355759345098448</v>
      </c>
      <c r="AH263" s="106">
        <f ca="1">IF(B263=TODAY(),0,Sheet1!AA263+Sheet1!BN263+'Calculations II'!BC263+'Calculations II'!P263-BP263)</f>
        <v>77.325759345098447</v>
      </c>
      <c r="AI263" s="106">
        <f ca="1">IF(B263=TODAY(),0,BC263+Sheet1!AA263+Calculation!EI263+O263+W263+Sheet1!BN263+Calculation!AI263+Calculation!CZ263-BP263)</f>
        <v>94.655326132102658</v>
      </c>
      <c r="AJ263" s="106"/>
      <c r="AM263" s="102">
        <f t="shared" si="33"/>
        <v>40792</v>
      </c>
      <c r="AN263" s="106"/>
      <c r="AO263" s="106"/>
      <c r="AR263" s="106"/>
      <c r="AT263" s="101">
        <f>Sheet1!AR263*GPMtoMGD</f>
        <v>0</v>
      </c>
      <c r="AU263" s="101">
        <f>Sheet1!AS263*GPMtoMGD</f>
        <v>5.428800000000001E-2</v>
      </c>
      <c r="AV263" s="101">
        <f>Sheet1!AT263*GPMtoMGD</f>
        <v>0</v>
      </c>
      <c r="AW263" s="101">
        <f>Sheet1!AV263*GPMtoMGD</f>
        <v>1.210032</v>
      </c>
      <c r="AX263" s="101">
        <f>Sheet1!AW263*GPMtoMGD</f>
        <v>1.5796800000000002</v>
      </c>
      <c r="AY263" s="101">
        <f>Sheet1!AX263*GPMtoMGD</f>
        <v>6.1200000000000004E-2</v>
      </c>
      <c r="AZ263" s="101">
        <f>Sheet1!AY263*GPMtoMGD</f>
        <v>0</v>
      </c>
      <c r="BA263" s="101">
        <f>Sheet1!AZ263*GPMtoMGD</f>
        <v>0</v>
      </c>
      <c r="BB263" s="101">
        <f>Sheet1!BP263*GPMtoMGD</f>
        <v>4.3776000000000002E-2</v>
      </c>
      <c r="BC263" s="101">
        <f>Sheet1!CO263*GPMtoMGD</f>
        <v>7.5234240000000012</v>
      </c>
      <c r="BD263" s="101">
        <f>Sheet1!BO263*GPMtoMGD</f>
        <v>4.7370239999999999</v>
      </c>
      <c r="BE263" s="101">
        <f>Sheet1!BV263*GPMtoMGD</f>
        <v>1.7340480000000003</v>
      </c>
      <c r="BF263" s="101">
        <f>Sheet1!CJ263*GPMtoMGD</f>
        <v>1.4675040000000001</v>
      </c>
      <c r="BG263" s="101">
        <f>Sheet1!CK263*GPMtoMGD</f>
        <v>1.4065920000000001</v>
      </c>
      <c r="BH263" s="101">
        <f>Sheet1!CL263*GPMtoMGD</f>
        <v>1.087056</v>
      </c>
      <c r="BI263" s="101">
        <f t="shared" si="34"/>
        <v>4.7808000000000002</v>
      </c>
      <c r="BK263" s="106">
        <f>SUM(AT263:BA263,BE263,Sheet1!BU263,'Calculations II'!BC263,Calculation!AG263)</f>
        <v>68.653105212996948</v>
      </c>
      <c r="BM263" s="439">
        <f ca="1">IF(B263=TODAY(),0,IF(AND(Sheet1!BQ263&lt;=11.5,Sheet1!BQ262&gt;Sheet1!BQ263),(MIN(Lookup!$C$119,VLOOKUP(Sheet1!BQ262,Lookup!$B$4:$J$236,2))-VLOOKUP(Sheet1!BQ263,Lookup!$B$4:$J$236,2))/1000000,0))</f>
        <v>0</v>
      </c>
      <c r="BN263" s="439">
        <f ca="1">IF(B263=TODAY(),0,IF(AND(Sheet1!BR263&lt;=11.5,Sheet1!BR262&gt;Sheet1!BR263),(MIN(Lookup!$D$119,VLOOKUP(Sheet1!BR262,Lookup!$B$4:$J$236,3))-VLOOKUP(Sheet1!BR263,Lookup!$B$4:$J$236,3))/1000000,0))</f>
        <v>0</v>
      </c>
      <c r="BP263" s="105">
        <f ca="1">SUM(BM263:BN263,W263,Sheet1!DT263)</f>
        <v>0</v>
      </c>
    </row>
    <row r="264" spans="1:68" s="101" customFormat="1">
      <c r="A264" s="101" t="s">
        <v>5</v>
      </c>
      <c r="B264" s="103">
        <v>40793</v>
      </c>
      <c r="C264" s="104">
        <v>0.33333333333357601</v>
      </c>
      <c r="E264" s="30"/>
      <c r="F264" s="30">
        <f ca="1">IF(B264=TODAY(),0,-(VLOOKUP(Sheet1!BZ264,Lookup!$I$4:$J$216,2)-VLOOKUP(Sheet1!BZ263,Lookup!$I$4:$J$216,2))/1000000)</f>
        <v>2.0727387709559983</v>
      </c>
      <c r="G264" s="106">
        <f ca="1">IF(B264=TODAY(),0,-$G$6*(Sheet1!CB264-Sheet1!CB263)*7.48/1000000)</f>
        <v>-3.9713501052558449E-2</v>
      </c>
      <c r="H264" s="106">
        <f ca="1">IF(B264=TODAY(),0,-$G$6*(Sheet1!CC264-Sheet1!CC263)*7.48/1000000)</f>
        <v>-0.83398352210374516</v>
      </c>
      <c r="I264" s="106">
        <f ca="1">IF(B264=TODAY(),0,-$G$6*(Sheet1!CD264-Sheet1!CD263)*7.48/1000000)</f>
        <v>-0.83398352210374516</v>
      </c>
      <c r="J264" s="107" t="s">
        <v>193</v>
      </c>
      <c r="K264" s="106">
        <f ca="1">IF(B264=TODAY(),0,-$I$6*(Sheet1!CD264-Sheet1!CD263)*7.48/1000000)</f>
        <v>-0.37782167698856794</v>
      </c>
      <c r="L264" s="107" t="s">
        <v>193</v>
      </c>
      <c r="M264" s="106">
        <f ca="1">IF(B264=TODAY(),0,-$M$6*(Sheet1!CE264-Sheet1!CE263)*7.48/1000000)</f>
        <v>-0.13326640748916885</v>
      </c>
      <c r="N264" s="106">
        <f ca="1">IF(B264=TODAY(),0,-$N$6*(Sheet1!CF264-Sheet1!CF263)*7.48/1000000)</f>
        <v>-0.37231407236774428</v>
      </c>
      <c r="O264" s="106">
        <f t="shared" ca="1" si="30"/>
        <v>-0.51834393114953137</v>
      </c>
      <c r="P264" s="106">
        <f ca="1">O264+Calculation!EI264</f>
        <v>-0.78884393114953144</v>
      </c>
      <c r="Q264" s="101" t="str">
        <f>IF(Sheet1!BQ264&gt;21.75,"spill elevation","-")</f>
        <v>-</v>
      </c>
      <c r="R264" s="101" t="str">
        <f>IF(Sheet1!BR264&gt;21.75,"spill elevation","-")</f>
        <v>-</v>
      </c>
      <c r="S264" s="101" t="str">
        <f>IF(Sheet1!BS264&gt;21.75,"spill elevation","-")</f>
        <v>-</v>
      </c>
      <c r="T264" s="105">
        <f>IF(Sheet1!DQ264=1,Sheet1!AA264-(SUM(AT264:BA264)+BE264),Sheet1!AA264-SUM(AT264:BA264))</f>
        <v>44.430671999991851</v>
      </c>
      <c r="U264" s="105">
        <f>Sheet1!BU264</f>
        <v>35.6</v>
      </c>
      <c r="V264" s="105">
        <f t="shared" si="31"/>
        <v>8.8306719999918499</v>
      </c>
      <c r="W264" s="105">
        <f t="shared" si="32"/>
        <v>0</v>
      </c>
      <c r="X264" s="101">
        <f>IF((Sheet1!EX264-Sheet1!EX263)&lt;0,(Sheet1!EX264+100000-Sheet1!EX263)/1000,(Sheet1!EX264-Sheet1!EX263)/1000)</f>
        <v>0.67</v>
      </c>
      <c r="Y264" s="106">
        <f ca="1">Calculation!DZ265+Calculation!EI264+'Calculations II'!O264-'Calculations II'!W264</f>
        <v>92.232708068859495</v>
      </c>
      <c r="Z264" s="106">
        <f ca="1">Y264-Sheet1!CP265</f>
        <v>75.072708068859498</v>
      </c>
      <c r="AA264" s="106">
        <f ca="1">Y264+Calculation!CZ265+Calculation!AI265</f>
        <v>109.69108383943244</v>
      </c>
      <c r="AC264" s="106">
        <f>Sheet1!AA264+Sheet1!AB264+BC264</f>
        <v>96.661919999989237</v>
      </c>
      <c r="AD264" s="106">
        <f>Sheet1!AA264+Sheet1!BN264+'Calculations II'!BC264-Calculation!AI264-Calculation!CZ264</f>
        <v>61.791889293749435</v>
      </c>
      <c r="AE264" s="106">
        <f>Sheet1!AA264+Sheet1!AB264+'Calculations II'!BC264-Calculation!AI264-Calculation!CZ264</f>
        <v>79.171889293746815</v>
      </c>
      <c r="AF264" s="106">
        <f ca="1">Sheet1!AA264+Sheet1!BN264+P264+'Calculations II'!BC264+Calculation!AI264+Calculation!CZ264</f>
        <v>95.98310677508475</v>
      </c>
      <c r="AG264" s="106">
        <f ca="1">IF(B264=TODAY(),0,Sheet1!AA264+Sheet1!BN264+'Calculations II'!BC264+'Calculations II'!P264-Sheet1!CP264-BP264)</f>
        <v>61.183076068842325</v>
      </c>
      <c r="AH264" s="106">
        <f ca="1">IF(B264=TODAY(),0,Sheet1!AA264+Sheet1!BN264+'Calculations II'!BC264+'Calculations II'!P264-BP264)</f>
        <v>78.493076068842328</v>
      </c>
      <c r="AI264" s="106">
        <f ca="1">IF(B264=TODAY(),0,BC264+Sheet1!AA264+Calculation!EI264+O264+W264+Sheet1!BN264+Calculation!AI264+Calculation!CZ264-BP264)</f>
        <v>95.98310677508475</v>
      </c>
      <c r="AJ264" s="106"/>
      <c r="AM264" s="102">
        <f t="shared" si="33"/>
        <v>40793</v>
      </c>
      <c r="AN264" s="106"/>
      <c r="AO264" s="106"/>
      <c r="AR264" s="106"/>
      <c r="AT264" s="101">
        <f>Sheet1!AR264*GPMtoMGD</f>
        <v>0</v>
      </c>
      <c r="AU264" s="101">
        <f>Sheet1!AS264*GPMtoMGD</f>
        <v>5.5152E-2</v>
      </c>
      <c r="AV264" s="101">
        <f>Sheet1!AT264*GPMtoMGD</f>
        <v>0</v>
      </c>
      <c r="AW264" s="101">
        <f>Sheet1!AV264*GPMtoMGD</f>
        <v>1.2659040000000001</v>
      </c>
      <c r="AX264" s="101">
        <f>Sheet1!AW264*GPMtoMGD</f>
        <v>1.6332480000000003</v>
      </c>
      <c r="AY264" s="101">
        <f>Sheet1!AX264*GPMtoMGD</f>
        <v>7.5024000000000007E-2</v>
      </c>
      <c r="AZ264" s="101">
        <f>Sheet1!AY264*GPMtoMGD</f>
        <v>0</v>
      </c>
      <c r="BA264" s="101">
        <f>Sheet1!AZ264*GPMtoMGD</f>
        <v>0</v>
      </c>
      <c r="BB264" s="101">
        <f>Sheet1!BP264*GPMtoMGD</f>
        <v>0</v>
      </c>
      <c r="BC264" s="101">
        <f>Sheet1!CO264*GPMtoMGD</f>
        <v>10.32192</v>
      </c>
      <c r="BD264" s="101">
        <f>Sheet1!BO264*GPMtoMGD</f>
        <v>4.1630400000000005</v>
      </c>
      <c r="BE264" s="101">
        <f>Sheet1!BV264*GPMtoMGD</f>
        <v>1.5978239999999999</v>
      </c>
      <c r="BF264" s="101">
        <f>Sheet1!CJ264*GPMtoMGD</f>
        <v>1.5835680000000001</v>
      </c>
      <c r="BG264" s="101">
        <f>Sheet1!CK264*GPMtoMGD</f>
        <v>1.4546880000000002</v>
      </c>
      <c r="BH264" s="101">
        <f>Sheet1!CL264*GPMtoMGD</f>
        <v>1.0726560000000001</v>
      </c>
      <c r="BI264" s="101">
        <f t="shared" si="34"/>
        <v>4.1630400000000005</v>
      </c>
      <c r="BK264" s="106">
        <f>SUM(AT264:BA264,BE264,Sheet1!BU264,'Calculations II'!BC264,Calculation!AG264)</f>
        <v>71.939041293754968</v>
      </c>
      <c r="BM264" s="439">
        <f ca="1">IF(B264=TODAY(),0,IF(AND(Sheet1!BQ264&lt;=11.5,Sheet1!BQ263&gt;Sheet1!BQ264),(MIN(Lookup!$C$119,VLOOKUP(Sheet1!BQ263,Lookup!$B$4:$J$236,2))-VLOOKUP(Sheet1!BQ264,Lookup!$B$4:$J$236,2))/1000000,0))</f>
        <v>0</v>
      </c>
      <c r="BN264" s="439">
        <f ca="1">IF(B264=TODAY(),0,IF(AND(Sheet1!BR264&lt;=11.5,Sheet1!BR263&gt;Sheet1!BR264),(MIN(Lookup!$D$119,VLOOKUP(Sheet1!BR263,Lookup!$B$4:$J$236,3))-VLOOKUP(Sheet1!BR264,Lookup!$B$4:$J$236,3))/1000000,0))</f>
        <v>0</v>
      </c>
      <c r="BP264" s="105">
        <f ca="1">SUM(BM264:BN264,W264,Sheet1!DT264)</f>
        <v>0</v>
      </c>
    </row>
    <row r="265" spans="1:68" s="101" customFormat="1">
      <c r="A265" s="101" t="s">
        <v>6</v>
      </c>
      <c r="B265" s="103">
        <v>40794</v>
      </c>
      <c r="C265" s="104">
        <v>0.33333333333357601</v>
      </c>
      <c r="E265" s="30"/>
      <c r="F265" s="30">
        <f ca="1">IF(B265=TODAY(),0,-(VLOOKUP(Sheet1!BZ265,Lookup!$I$4:$J$216,2)-VLOOKUP(Sheet1!BZ264,Lookup!$I$4:$J$216,2))/1000000)</f>
        <v>1.2436432625736054</v>
      </c>
      <c r="G265" s="106">
        <f ca="1">IF(B265=TODAY(),0,-$G$6*(Sheet1!CB265-Sheet1!CB264)*7.48/1000000)</f>
        <v>-3.9713501052559864E-2</v>
      </c>
      <c r="H265" s="106">
        <f ca="1">IF(B265=TODAY(),0,-$G$6*(Sheet1!CC265-Sheet1!CC264)*7.48/1000000)</f>
        <v>0.11914050315767817</v>
      </c>
      <c r="I265" s="106">
        <f ca="1">IF(B265=TODAY(),0,-$G$6*(Sheet1!CD265-Sheet1!CD264)*7.48/1000000)</f>
        <v>0.11914050315767746</v>
      </c>
      <c r="J265" s="107" t="s">
        <v>193</v>
      </c>
      <c r="K265" s="106">
        <f ca="1">IF(B265=TODAY(),0,-$I$6*(Sheet1!CD265-Sheet1!CD264)*7.48/1000000)</f>
        <v>5.3974525284080956E-2</v>
      </c>
      <c r="L265" s="107" t="s">
        <v>193</v>
      </c>
      <c r="M265" s="106">
        <f ca="1">IF(B265=TODAY(),0,-$M$6*(Sheet1!CE265-Sheet1!CE264)*7.48/1000000)</f>
        <v>2.6653281497833907E-2</v>
      </c>
      <c r="N265" s="106">
        <f ca="1">IF(B265=TODAY(),0,-$N$6*(Sheet1!CF265-Sheet1!CF264)*7.48/1000000)</f>
        <v>-0.68257579934086265</v>
      </c>
      <c r="O265" s="106">
        <f t="shared" ca="1" si="30"/>
        <v>0.84026277527745341</v>
      </c>
      <c r="P265" s="106">
        <f ca="1">O265+Calculation!EI265</f>
        <v>-6.4935372247225462</v>
      </c>
      <c r="Q265" s="101" t="str">
        <f>IF(Sheet1!BQ265&gt;21.75,"spill elevation","-")</f>
        <v>-</v>
      </c>
      <c r="R265" s="101" t="str">
        <f>IF(Sheet1!BR265&gt;21.75,"spill elevation","-")</f>
        <v>-</v>
      </c>
      <c r="S265" s="101" t="str">
        <f>IF(Sheet1!BS265&gt;21.75,"spill elevation","-")</f>
        <v>-</v>
      </c>
      <c r="T265" s="105">
        <f>IF(Sheet1!DQ265=1,Sheet1!AA265-(SUM(AT265:BA265)+BE265),Sheet1!AA265-SUM(AT265:BA265))</f>
        <v>44.316096000004656</v>
      </c>
      <c r="U265" s="105">
        <f>Sheet1!BU265</f>
        <v>37.5</v>
      </c>
      <c r="V265" s="105">
        <f t="shared" si="31"/>
        <v>6.8160960000046558</v>
      </c>
      <c r="W265" s="105">
        <f t="shared" si="32"/>
        <v>0</v>
      </c>
      <c r="X265" s="101">
        <f>IF((Sheet1!EX265-Sheet1!EX264)&lt;0,(Sheet1!EX265+100000-Sheet1!EX264)/1000,(Sheet1!EX265-Sheet1!EX264)/1000)</f>
        <v>0.748</v>
      </c>
      <c r="Y265" s="106">
        <f ca="1">Calculation!DZ266+Calculation!EI265+'Calculations II'!O265-'Calculations II'!W265</f>
        <v>72.766462775272217</v>
      </c>
      <c r="Z265" s="106">
        <f ca="1">Y265-Sheet1!CP266</f>
        <v>55.646462775272212</v>
      </c>
      <c r="AA265" s="106">
        <f ca="1">Y265+Calculation!CZ266+Calculation!AI266</f>
        <v>89.975872369368162</v>
      </c>
      <c r="AC265" s="106">
        <f>Sheet1!AA265+Sheet1!AB265+BC265</f>
        <v>93.021552000009024</v>
      </c>
      <c r="AD265" s="106">
        <f>Sheet1!AA265+Sheet1!BN265+'Calculations II'!BC265-Calculation!AI265-Calculation!CZ265</f>
        <v>58.163176229431713</v>
      </c>
      <c r="AE265" s="106">
        <f>Sheet1!AA265+Sheet1!AB265+'Calculations II'!BC265-Calculation!AI265-Calculation!CZ265</f>
        <v>75.563176229436081</v>
      </c>
      <c r="AF265" s="106">
        <f ca="1">Sheet1!AA265+Sheet1!BN265+P265+'Calculations II'!BC265+Calculation!AI265+Calculation!CZ265</f>
        <v>86.586390545855053</v>
      </c>
      <c r="AG265" s="106">
        <f ca="1">IF(B265=TODAY(),0,Sheet1!AA265+Sheet1!BN265+'Calculations II'!BC265+'Calculations II'!P265-Sheet1!CP265-BP265)</f>
        <v>51.968014775282114</v>
      </c>
      <c r="AH265" s="106">
        <f ca="1">IF(B265=TODAY(),0,Sheet1!AA265+Sheet1!BN265+'Calculations II'!BC265+'Calculations II'!P265-BP265)</f>
        <v>69.128014775282111</v>
      </c>
      <c r="AI265" s="106">
        <f ca="1">IF(B265=TODAY(),0,BC265+Sheet1!AA265+Calculation!EI265+O265+W265+Sheet1!BN265+Calculation!AI265+Calculation!CZ265-BP265)</f>
        <v>86.586390545855053</v>
      </c>
      <c r="AJ265" s="106"/>
      <c r="AM265" s="102">
        <f t="shared" si="33"/>
        <v>40794</v>
      </c>
      <c r="AN265" s="106"/>
      <c r="AO265" s="106"/>
      <c r="AR265" s="106"/>
      <c r="AT265" s="101">
        <f>Sheet1!AR265*GPMtoMGD</f>
        <v>0</v>
      </c>
      <c r="AU265" s="101">
        <f>Sheet1!AS265*GPMtoMGD</f>
        <v>5.0111999999999997E-2</v>
      </c>
      <c r="AV265" s="101">
        <f>Sheet1!AT265*GPMtoMGD</f>
        <v>0</v>
      </c>
      <c r="AW265" s="101">
        <f>Sheet1!AV265*GPMtoMGD</f>
        <v>1.1803680000000001</v>
      </c>
      <c r="AX265" s="101">
        <f>Sheet1!AW265*GPMtoMGD</f>
        <v>1.536192</v>
      </c>
      <c r="AY265" s="101">
        <f>Sheet1!AX265*GPMtoMGD</f>
        <v>4.7231999999999996E-2</v>
      </c>
      <c r="AZ265" s="101">
        <f>Sheet1!AY265*GPMtoMGD</f>
        <v>0</v>
      </c>
      <c r="BA265" s="101">
        <f>Sheet1!AZ265*GPMtoMGD</f>
        <v>0</v>
      </c>
      <c r="BB265" s="101">
        <f>Sheet1!BP265*GPMtoMGD</f>
        <v>0</v>
      </c>
      <c r="BC265" s="101">
        <f>Sheet1!CO265*GPMtoMGD</f>
        <v>8.6915520000000015</v>
      </c>
      <c r="BD265" s="101">
        <f>Sheet1!BO265*GPMtoMGD</f>
        <v>3.8034720000000006</v>
      </c>
      <c r="BE265" s="101">
        <f>Sheet1!BV265*GPMtoMGD</f>
        <v>1.7314560000000003</v>
      </c>
      <c r="BF265" s="101">
        <f>Sheet1!CJ265*GPMtoMGD</f>
        <v>1.4329440000000002</v>
      </c>
      <c r="BG265" s="101">
        <f>Sheet1!CK265*GPMtoMGD</f>
        <v>1.4008320000000001</v>
      </c>
      <c r="BH265" s="101">
        <f>Sheet1!CL265*GPMtoMGD</f>
        <v>1.048176</v>
      </c>
      <c r="BI265" s="101">
        <f t="shared" si="34"/>
        <v>3.8034720000000006</v>
      </c>
      <c r="BK265" s="106">
        <f>SUM(AT265:BA265,BE265,Sheet1!BU265,'Calculations II'!BC265,Calculation!AG265)</f>
        <v>70.478536229431427</v>
      </c>
      <c r="BM265" s="439">
        <f ca="1">IF(B265=TODAY(),0,IF(AND(Sheet1!BQ265&lt;=11.5,Sheet1!BQ264&gt;Sheet1!BQ265),(MIN(Lookup!$C$119,VLOOKUP(Sheet1!BQ264,Lookup!$B$4:$J$236,2))-VLOOKUP(Sheet1!BQ265,Lookup!$B$4:$J$236,2))/1000000,0))</f>
        <v>0</v>
      </c>
      <c r="BN265" s="439">
        <f ca="1">IF(B265=TODAY(),0,IF(AND(Sheet1!BR265&lt;=11.5,Sheet1!BR264&gt;Sheet1!BR265),(MIN(Lookup!$D$119,VLOOKUP(Sheet1!BR264,Lookup!$B$4:$J$236,3))-VLOOKUP(Sheet1!BR265,Lookup!$B$4:$J$236,3))/1000000,0))</f>
        <v>0</v>
      </c>
      <c r="BP265" s="105">
        <f ca="1">SUM(BM265:BN265,W265,Sheet1!DT265)</f>
        <v>0</v>
      </c>
    </row>
    <row r="266" spans="1:68" s="101" customFormat="1">
      <c r="A266" s="101" t="s">
        <v>7</v>
      </c>
      <c r="B266" s="103">
        <v>40795</v>
      </c>
      <c r="C266" s="104">
        <v>0.33333333333357601</v>
      </c>
      <c r="E266" s="30"/>
      <c r="F266" s="30">
        <f ca="1">IF(B266=TODAY(),0,-(VLOOKUP(Sheet1!BZ266,Lookup!$I$4:$J$216,2)-VLOOKUP(Sheet1!BZ265,Lookup!$I$4:$J$216,2))/1000000)</f>
        <v>-0.62182163128680368</v>
      </c>
      <c r="G266" s="106">
        <f ca="1">IF(B266=TODAY(),0,-$G$6*(Sheet1!CB266-Sheet1!CB265)*7.48/1000000)</f>
        <v>-1.0325510273665424</v>
      </c>
      <c r="H266" s="106">
        <f ca="1">IF(B266=TODAY(),0,-$G$6*(Sheet1!CC266-Sheet1!CC265)*7.48/1000000)</f>
        <v>0.39713501052559297</v>
      </c>
      <c r="I266" s="106">
        <f ca="1">IF(B266=TODAY(),0,-$G$6*(Sheet1!CD266-Sheet1!CD265)*7.48/1000000)</f>
        <v>0.39713501052559297</v>
      </c>
      <c r="J266" s="107" t="s">
        <v>193</v>
      </c>
      <c r="K266" s="106">
        <f ca="1">IF(B266=TODAY(),0,-$I$6*(Sheet1!CD266-Sheet1!CD265)*7.48/1000000)</f>
        <v>0.17991508428027048</v>
      </c>
      <c r="L266" s="107" t="s">
        <v>193</v>
      </c>
      <c r="M266" s="106">
        <f ca="1">IF(B266=TODAY(),0,-$M$6*(Sheet1!CE266-Sheet1!CE265)*7.48/1000000)</f>
        <v>5.3306562995667349E-2</v>
      </c>
      <c r="N266" s="106">
        <f ca="1">IF(B266=TODAY(),0,-$N$6*(Sheet1!CF266-Sheet1!CF265)*7.48/1000000)</f>
        <v>0.88734853914312162</v>
      </c>
      <c r="O266" s="106">
        <f t="shared" ca="1" si="30"/>
        <v>0.26046754881689926</v>
      </c>
      <c r="P266" s="106">
        <f ca="1">O266+Calculation!EI266</f>
        <v>-4.9717324511831009</v>
      </c>
      <c r="Q266" s="101" t="str">
        <f>IF(Sheet1!BQ266&gt;21.75,"spill elevation","-")</f>
        <v>-</v>
      </c>
      <c r="R266" s="101" t="str">
        <f>IF(Sheet1!BR266&gt;21.75,"spill elevation","-")</f>
        <v>-</v>
      </c>
      <c r="S266" s="101" t="str">
        <f>IF(Sheet1!BS266&gt;21.75,"spill elevation","-")</f>
        <v>-</v>
      </c>
      <c r="T266" s="105">
        <f>IF(Sheet1!DQ266=1,Sheet1!AA266-(SUM(AT266:BA266)+BE266),Sheet1!AA266-SUM(AT266:BA266))</f>
        <v>43.868911999994758</v>
      </c>
      <c r="U266" s="105">
        <f>Sheet1!BU266</f>
        <v>49.7</v>
      </c>
      <c r="V266" s="105">
        <f t="shared" si="31"/>
        <v>-5.831088000005245</v>
      </c>
      <c r="W266" s="105">
        <f t="shared" si="32"/>
        <v>0</v>
      </c>
      <c r="X266" s="101">
        <f>IF((Sheet1!EX266-Sheet1!EX265)&lt;0,(Sheet1!EX266+100000-Sheet1!EX265)/1000,(Sheet1!EX266-Sheet1!EX265)/1000)</f>
        <v>0.64</v>
      </c>
      <c r="Y266" s="106">
        <f ca="1">Calculation!DZ267+Calculation!EI266+'Calculations II'!O266-'Calculations II'!W266</f>
        <v>76.578267548819809</v>
      </c>
      <c r="Z266" s="106">
        <f ca="1">Y266-Sheet1!CP267</f>
        <v>59.748267548819811</v>
      </c>
      <c r="AA266" s="106">
        <f ca="1">Y266+Calculation!CZ267+Calculation!AI267</f>
        <v>93.56797595362255</v>
      </c>
      <c r="AC266" s="106">
        <f>Sheet1!AA266+Sheet1!AB266+BC266</f>
        <v>79.259999999994761</v>
      </c>
      <c r="AD266" s="106">
        <f>Sheet1!AA266+Sheet1!BN266+'Calculations II'!BC266-Calculation!AI266-Calculation!CZ266</f>
        <v>44.850590405898814</v>
      </c>
      <c r="AE266" s="106">
        <f>Sheet1!AA266+Sheet1!AB266+'Calculations II'!BC266-Calculation!AI266-Calculation!CZ266</f>
        <v>62.050590405898816</v>
      </c>
      <c r="AF266" s="106">
        <f ca="1">Sheet1!AA266+Sheet1!BN266+P266+'Calculations II'!BC266+Calculation!AI266+Calculation!CZ266</f>
        <v>74.297677142907602</v>
      </c>
      <c r="AG266" s="106">
        <f ca="1">IF(B266=TODAY(),0,Sheet1!AA266+Sheet1!BN266+'Calculations II'!BC266+'Calculations II'!P266-Sheet1!CP266-BP266)</f>
        <v>39.968267548811653</v>
      </c>
      <c r="AH266" s="106">
        <f ca="1">IF(B266=TODAY(),0,Sheet1!AA266+Sheet1!BN266+'Calculations II'!BC266+'Calculations II'!P266-BP266)</f>
        <v>57.088267548811658</v>
      </c>
      <c r="AI266" s="106">
        <f ca="1">IF(B266=TODAY(),0,BC266+Sheet1!AA266+Calculation!EI266+O266+W266+Sheet1!BN266+Calculation!AI266+Calculation!CZ266-BP266)</f>
        <v>74.297677142907602</v>
      </c>
      <c r="AJ266" s="106"/>
      <c r="AM266" s="102">
        <f t="shared" si="33"/>
        <v>40795</v>
      </c>
      <c r="AN266" s="106"/>
      <c r="AO266" s="106"/>
      <c r="AR266" s="106"/>
      <c r="AT266" s="101">
        <f>Sheet1!AR266*GPMtoMGD</f>
        <v>0</v>
      </c>
      <c r="AU266" s="101">
        <f>Sheet1!AS266*GPMtoMGD</f>
        <v>2.9664000000000003E-2</v>
      </c>
      <c r="AV266" s="101">
        <f>Sheet1!AT266*GPMtoMGD</f>
        <v>0</v>
      </c>
      <c r="AW266" s="101">
        <f>Sheet1!AV266*GPMtoMGD</f>
        <v>1.2277440000000002</v>
      </c>
      <c r="AX266" s="101">
        <f>Sheet1!AW266*GPMtoMGD</f>
        <v>1.57752</v>
      </c>
      <c r="AY266" s="101">
        <f>Sheet1!AX266*GPMtoMGD</f>
        <v>5.6160000000000002E-2</v>
      </c>
      <c r="AZ266" s="101">
        <f>Sheet1!AY266*GPMtoMGD</f>
        <v>0</v>
      </c>
      <c r="BA266" s="101">
        <f>Sheet1!AZ266*GPMtoMGD</f>
        <v>0</v>
      </c>
      <c r="BB266" s="101">
        <f>Sheet1!BP266*GPMtoMGD</f>
        <v>0</v>
      </c>
      <c r="BC266" s="101">
        <f>Sheet1!CO266*GPMtoMGD</f>
        <v>0</v>
      </c>
      <c r="BD266" s="101">
        <f>Sheet1!BO266*GPMtoMGD</f>
        <v>4.6398239999999999</v>
      </c>
      <c r="BE266" s="101">
        <f>Sheet1!BV266*GPMtoMGD</f>
        <v>1.9157760000000001</v>
      </c>
      <c r="BF266" s="101">
        <f>Sheet1!CJ266*GPMtoMGD</f>
        <v>1.5937920000000001</v>
      </c>
      <c r="BG266" s="101">
        <f>Sheet1!CK266*GPMtoMGD</f>
        <v>1.4751360000000002</v>
      </c>
      <c r="BH266" s="101">
        <f>Sheet1!CL266*GPMtoMGD</f>
        <v>1.0736640000000002</v>
      </c>
      <c r="BI266" s="101">
        <f t="shared" si="34"/>
        <v>4.6398239999999999</v>
      </c>
      <c r="BK266" s="106">
        <f>SUM(AT266:BA266,BE266,Sheet1!BU266,'Calculations II'!BC266,Calculation!AG266)</f>
        <v>69.797454405904062</v>
      </c>
      <c r="BM266" s="439">
        <f ca="1">IF(B266=TODAY(),0,IF(AND(Sheet1!BQ266&lt;=11.5,Sheet1!BQ265&gt;Sheet1!BQ266),(MIN(Lookup!$C$119,VLOOKUP(Sheet1!BQ265,Lookup!$B$4:$J$236,2))-VLOOKUP(Sheet1!BQ266,Lookup!$B$4:$J$236,2))/1000000,0))</f>
        <v>0</v>
      </c>
      <c r="BN266" s="439">
        <f ca="1">IF(B266=TODAY(),0,IF(AND(Sheet1!BR266&lt;=11.5,Sheet1!BR265&gt;Sheet1!BR266),(MIN(Lookup!$D$119,VLOOKUP(Sheet1!BR265,Lookup!$B$4:$J$236,3))-VLOOKUP(Sheet1!BR266,Lookup!$B$4:$J$236,3))/1000000,0))</f>
        <v>0</v>
      </c>
      <c r="BP266" s="105">
        <f ca="1">SUM(BM266:BN266,W266,Sheet1!DT266)</f>
        <v>0</v>
      </c>
    </row>
    <row r="267" spans="1:68" s="101" customFormat="1">
      <c r="A267" s="101" t="s">
        <v>8</v>
      </c>
      <c r="B267" s="103">
        <v>40796</v>
      </c>
      <c r="C267" s="104">
        <v>0.33333333333357601</v>
      </c>
      <c r="E267" s="30"/>
      <c r="F267" s="30">
        <f ca="1">IF(B267=TODAY(),0,-(VLOOKUP(Sheet1!BZ267,Lookup!$I$4:$J$216,2)-VLOOKUP(Sheet1!BZ266,Lookup!$I$4:$J$216,2))/1000000)</f>
        <v>1.554554078216998</v>
      </c>
      <c r="G267" s="106">
        <f ca="1">IF(B267=TODAY(),0,-$G$6*(Sheet1!CB267-Sheet1!CB266)*7.48/1000000)</f>
        <v>0.56790306505159782</v>
      </c>
      <c r="H267" s="106">
        <f ca="1">IF(B267=TODAY(),0,-$G$6*(Sheet1!CC267-Sheet1!CC266)*7.48/1000000)</f>
        <v>3.9713501052558451E-3</v>
      </c>
      <c r="I267" s="106">
        <f ca="1">IF(B267=TODAY(),0,-$G$6*(Sheet1!CD267-Sheet1!CD266)*7.48/1000000)</f>
        <v>-7.9427002105116901E-3</v>
      </c>
      <c r="J267" s="107" t="s">
        <v>193</v>
      </c>
      <c r="K267" s="106">
        <f ca="1">IF(B267=TODAY(),0,-$I$6*(Sheet1!CD267-Sheet1!CD266)*7.48/1000000)</f>
        <v>-3.5983016856053333E-3</v>
      </c>
      <c r="L267" s="107" t="s">
        <v>193</v>
      </c>
      <c r="M267" s="106">
        <f ca="1">IF(B267=TODAY(),0,-$M$6*(Sheet1!CE267-Sheet1!CE266)*7.48/1000000)</f>
        <v>5.9969883370125879E-3</v>
      </c>
      <c r="N267" s="106">
        <f ca="1">IF(B267=TODAY(),0,-$N$6*(Sheet1!CF267-Sheet1!CF266)*7.48/1000000)</f>
        <v>0.17995180164440988</v>
      </c>
      <c r="O267" s="106">
        <f t="shared" ca="1" si="30"/>
        <v>2.3008362814591572</v>
      </c>
      <c r="P267" s="106">
        <f ca="1">O267+Calculation!EI267</f>
        <v>15.947836281459155</v>
      </c>
      <c r="Q267" s="101" t="str">
        <f>IF(Sheet1!BQ267&gt;21.75,"spill elevation","-")</f>
        <v>-</v>
      </c>
      <c r="R267" s="101" t="str">
        <f>IF(Sheet1!BR267&gt;21.75,"spill elevation","-")</f>
        <v>-</v>
      </c>
      <c r="S267" s="101" t="str">
        <f>IF(Sheet1!BS267&gt;21.75,"spill elevation","-")</f>
        <v>-</v>
      </c>
      <c r="T267" s="105">
        <f>IF(Sheet1!DQ267=1,Sheet1!AA267-(SUM(AT267:BA267)+BE267),Sheet1!AA267-SUM(AT267:BA267))</f>
        <v>43.564016000002908</v>
      </c>
      <c r="U267" s="105">
        <f>Sheet1!BU267</f>
        <v>47.1</v>
      </c>
      <c r="V267" s="105">
        <f t="shared" si="31"/>
        <v>-3.535983999997093</v>
      </c>
      <c r="W267" s="105">
        <f t="shared" si="32"/>
        <v>0</v>
      </c>
      <c r="X267" s="101">
        <f>IF((Sheet1!EX267-Sheet1!EX266)&lt;0,(Sheet1!EX267+100000-Sheet1!EX266)/1000,(Sheet1!EX267-Sheet1!EX266)/1000)</f>
        <v>0.65700000000000003</v>
      </c>
      <c r="Y267" s="106">
        <f ca="1">Calculation!DZ268+Calculation!EI267+'Calculations II'!O267-'Calculations II'!W267</f>
        <v>106.96847628146061</v>
      </c>
      <c r="Z267" s="106">
        <f ca="1">Y267-Sheet1!CP268</f>
        <v>89.918476281460613</v>
      </c>
      <c r="AA267" s="106">
        <f ca="1">Y267+Calculation!CZ268+Calculation!AI268</f>
        <v>123.94550909173236</v>
      </c>
      <c r="AC267" s="106">
        <f>Sheet1!AA267+Sheet1!AB267+BC267</f>
        <v>81.55000000000291</v>
      </c>
      <c r="AD267" s="106">
        <f>Sheet1!AA267+Sheet1!BN267+'Calculations II'!BC267-Calculation!AI267-Calculation!CZ267</f>
        <v>47.560291595200169</v>
      </c>
      <c r="AE267" s="106">
        <f>Sheet1!AA267+Sheet1!AB267+'Calculations II'!BC267-Calculation!AI267-Calculation!CZ267</f>
        <v>64.560291595200169</v>
      </c>
      <c r="AF267" s="106">
        <f ca="1">Sheet1!AA267+Sheet1!BN267+P267+'Calculations II'!BC267+Calculation!AI267+Calculation!CZ267</f>
        <v>97.487544686264812</v>
      </c>
      <c r="AG267" s="106">
        <f ca="1">IF(B267=TODAY(),0,Sheet1!AA267+Sheet1!BN267+'Calculations II'!BC267+'Calculations II'!P267-Sheet1!CP267-BP267)</f>
        <v>63.667836281462073</v>
      </c>
      <c r="AH267" s="106">
        <f ca="1">IF(B267=TODAY(),0,Sheet1!AA267+Sheet1!BN267+'Calculations II'!BC267+'Calculations II'!P267-BP267)</f>
        <v>80.497836281462071</v>
      </c>
      <c r="AI267" s="106">
        <f ca="1">IF(B267=TODAY(),0,BC267+Sheet1!AA267+Calculation!EI267+O267+W267+Sheet1!BN267+Calculation!AI267+Calculation!CZ267-BP267)</f>
        <v>97.487544686264812</v>
      </c>
      <c r="AJ267" s="106"/>
      <c r="AM267" s="102">
        <f t="shared" si="33"/>
        <v>40796</v>
      </c>
      <c r="AN267" s="106"/>
      <c r="AO267" s="106"/>
      <c r="AR267" s="106"/>
      <c r="AT267" s="101">
        <f>Sheet1!AR267*GPMtoMGD</f>
        <v>0</v>
      </c>
      <c r="AU267" s="101">
        <f>Sheet1!AS267*GPMtoMGD</f>
        <v>5.2991999999999997E-2</v>
      </c>
      <c r="AV267" s="101">
        <f>Sheet1!AT267*GPMtoMGD</f>
        <v>0</v>
      </c>
      <c r="AW267" s="101">
        <f>Sheet1!AV267*GPMtoMGD</f>
        <v>1.2496320000000001</v>
      </c>
      <c r="AX267" s="101">
        <f>Sheet1!AW267*GPMtoMGD</f>
        <v>1.62216</v>
      </c>
      <c r="AY267" s="101">
        <f>Sheet1!AX267*GPMtoMGD</f>
        <v>6.1200000000000004E-2</v>
      </c>
      <c r="AZ267" s="101">
        <f>Sheet1!AY267*GPMtoMGD</f>
        <v>0</v>
      </c>
      <c r="BA267" s="101">
        <f>Sheet1!AZ267*GPMtoMGD</f>
        <v>0</v>
      </c>
      <c r="BB267" s="101">
        <f>Sheet1!BP267*GPMtoMGD</f>
        <v>0</v>
      </c>
      <c r="BC267" s="101">
        <f>Sheet1!CO267*GPMtoMGD</f>
        <v>0</v>
      </c>
      <c r="BD267" s="101">
        <f>Sheet1!BO267*GPMtoMGD</f>
        <v>4.3920000000000003</v>
      </c>
      <c r="BE267" s="101">
        <f>Sheet1!BV267*GPMtoMGD</f>
        <v>2.3755680000000003</v>
      </c>
      <c r="BF267" s="101">
        <f>Sheet1!CJ267*GPMtoMGD</f>
        <v>1.652544</v>
      </c>
      <c r="BG267" s="101">
        <f>Sheet1!CK267*GPMtoMGD</f>
        <v>1.557504</v>
      </c>
      <c r="BH267" s="101">
        <f>Sheet1!CL267*GPMtoMGD</f>
        <v>1.0389600000000001</v>
      </c>
      <c r="BI267" s="101">
        <f t="shared" si="34"/>
        <v>4.3920000000000003</v>
      </c>
      <c r="BK267" s="106">
        <f>SUM(AT267:BA267,BE267,Sheet1!BU267,'Calculations II'!BC267,Calculation!AG267)</f>
        <v>70.471843595197242</v>
      </c>
      <c r="BM267" s="439">
        <f ca="1">IF(B267=TODAY(),0,IF(AND(Sheet1!BQ267&lt;=11.5,Sheet1!BQ266&gt;Sheet1!BQ267),(MIN(Lookup!$C$119,VLOOKUP(Sheet1!BQ266,Lookup!$B$4:$J$236,2))-VLOOKUP(Sheet1!BQ267,Lookup!$B$4:$J$236,2))/1000000,0))</f>
        <v>0</v>
      </c>
      <c r="BN267" s="439">
        <f ca="1">IF(B267=TODAY(),0,IF(AND(Sheet1!BR267&lt;=11.5,Sheet1!BR266&gt;Sheet1!BR267),(MIN(Lookup!$D$119,VLOOKUP(Sheet1!BR266,Lookup!$B$4:$J$236,3))-VLOOKUP(Sheet1!BR267,Lookup!$B$4:$J$236,3))/1000000,0))</f>
        <v>0</v>
      </c>
      <c r="BP267" s="105">
        <f ca="1">SUM(BM267:BN267,W267,Sheet1!DT267)</f>
        <v>0</v>
      </c>
    </row>
    <row r="268" spans="1:68" s="101" customFormat="1">
      <c r="A268" s="101" t="s">
        <v>9</v>
      </c>
      <c r="B268" s="103">
        <v>40797</v>
      </c>
      <c r="C268" s="104">
        <v>0.33333333333357601</v>
      </c>
      <c r="E268" s="30"/>
      <c r="F268" s="30">
        <f ca="1">IF(B268=TODAY(),0,-(VLOOKUP(Sheet1!BZ268,Lookup!$I$4:$J$216,2)-VLOOKUP(Sheet1!BZ267,Lookup!$I$4:$J$216,2))/1000000)</f>
        <v>-0.31091081564339806</v>
      </c>
      <c r="G268" s="106">
        <f ca="1">IF(B268=TODAY(),0,-$G$6*(Sheet1!CB268-Sheet1!CB267)*7.48/1000000)</f>
        <v>-0.2104815555785633</v>
      </c>
      <c r="H268" s="106">
        <f ca="1">IF(B268=TODAY(),0,-$G$6*(Sheet1!CC268-Sheet1!CC267)*7.48/1000000)</f>
        <v>-0.12311185326293402</v>
      </c>
      <c r="I268" s="106">
        <f ca="1">IF(B268=TODAY(),0,-$G$6*(Sheet1!CD268-Sheet1!CD267)*7.48/1000000)</f>
        <v>-0.11119780294716577</v>
      </c>
      <c r="J268" s="107" t="s">
        <v>193</v>
      </c>
      <c r="K268" s="106">
        <f ca="1">IF(B268=TODAY(),0,-$I$6*(Sheet1!CD268-Sheet1!CD267)*7.48/1000000)</f>
        <v>-5.0376223598475621E-2</v>
      </c>
      <c r="L268" s="107" t="s">
        <v>193</v>
      </c>
      <c r="M268" s="106">
        <f ca="1">IF(B268=TODAY(),0,-$M$6*(Sheet1!CE268-Sheet1!CE267)*7.48/1000000)</f>
        <v>-5.9969883370125879E-3</v>
      </c>
      <c r="N268" s="106">
        <f ca="1">IF(B268=TODAY(),0,-$N$6*(Sheet1!CF268-Sheet1!CF267)*7.48/1000000)</f>
        <v>-0.26061985065742033</v>
      </c>
      <c r="O268" s="106">
        <f t="shared" ca="1" si="30"/>
        <v>-1.0726950900249697</v>
      </c>
      <c r="P268" s="106">
        <f ca="1">O268+Calculation!EI268</f>
        <v>-5.2950900249695287E-3</v>
      </c>
      <c r="Q268" s="101" t="str">
        <f>IF(Sheet1!BQ268&gt;21.75,"spill elevation","-")</f>
        <v>-</v>
      </c>
      <c r="R268" s="101" t="str">
        <f>IF(Sheet1!BR268&gt;21.75,"spill elevation","-")</f>
        <v>-</v>
      </c>
      <c r="S268" s="101" t="str">
        <f>IF(Sheet1!BS268&gt;21.75,"spill elevation","-")</f>
        <v>-</v>
      </c>
      <c r="T268" s="105">
        <f>IF(Sheet1!DQ268=1,Sheet1!AA268-(SUM(AT268:BA268)+BE268),Sheet1!AA268-SUM(AT268:BA268))</f>
        <v>43.341216000000003</v>
      </c>
      <c r="U268" s="105">
        <f>Sheet1!BU268</f>
        <v>41.3</v>
      </c>
      <c r="V268" s="105">
        <f t="shared" si="31"/>
        <v>2.0412160000000057</v>
      </c>
      <c r="W268" s="105">
        <f t="shared" si="32"/>
        <v>0</v>
      </c>
      <c r="X268" s="101">
        <f>IF((Sheet1!EX268-Sheet1!EX267)&lt;0,(Sheet1!EX268+100000-Sheet1!EX267)/1000,(Sheet1!EX268-Sheet1!EX267)/1000)</f>
        <v>0.64300000000000002</v>
      </c>
      <c r="Y268" s="106">
        <f ca="1">Calculation!DZ269+Calculation!EI268+'Calculations II'!O268-'Calculations II'!W268</f>
        <v>82.092826509978821</v>
      </c>
      <c r="Z268" s="106">
        <f ca="1">Y268-Sheet1!CP269</f>
        <v>64.932826509978824</v>
      </c>
      <c r="AA268" s="106">
        <f ca="1">Y268+Calculation!CZ269+Calculation!AI269</f>
        <v>98.581778700071794</v>
      </c>
      <c r="AC268" s="106">
        <f>Sheet1!AA268+Sheet1!AB268+BC268</f>
        <v>91.02064000000145</v>
      </c>
      <c r="AD268" s="106">
        <f>Sheet1!AA268+Sheet1!BN268+'Calculations II'!BC268-Calculation!AI268-Calculation!CZ268</f>
        <v>57.143607189728243</v>
      </c>
      <c r="AE268" s="106">
        <f>Sheet1!AA268+Sheet1!AB268+'Calculations II'!BC268-Calculation!AI268-Calculation!CZ268</f>
        <v>74.043607189729698</v>
      </c>
      <c r="AF268" s="106">
        <f ca="1">Sheet1!AA268+Sheet1!BN268+P268+'Calculations II'!BC268+Calculation!AI268+Calculation!CZ268</f>
        <v>91.092377720246773</v>
      </c>
      <c r="AG268" s="106">
        <f ca="1">IF(B268=TODAY(),0,Sheet1!AA268+Sheet1!BN268+'Calculations II'!BC268+'Calculations II'!P268-Sheet1!CP268-BP268)</f>
        <v>57.065344909975025</v>
      </c>
      <c r="AH268" s="106">
        <f ca="1">IF(B268=TODAY(),0,Sheet1!AA268+Sheet1!BN268+'Calculations II'!BC268+'Calculations II'!P268-BP268)</f>
        <v>74.115344909975022</v>
      </c>
      <c r="AI268" s="106">
        <f ca="1">IF(B268=TODAY(),0,BC268+Sheet1!AA268+Calculation!EI268+O268+W268+Sheet1!BN268+Calculation!AI268+Calculation!CZ268-BP268)</f>
        <v>91.092377720246773</v>
      </c>
      <c r="AJ268" s="106"/>
      <c r="AM268" s="102">
        <f t="shared" si="33"/>
        <v>40797</v>
      </c>
      <c r="AN268" s="106"/>
      <c r="AO268" s="106"/>
      <c r="AR268" s="106"/>
      <c r="AT268" s="101">
        <f>Sheet1!AR268*GPMtoMGD</f>
        <v>0</v>
      </c>
      <c r="AU268" s="101">
        <f>Sheet1!AS268*GPMtoMGD</f>
        <v>5.6304000000000007E-2</v>
      </c>
      <c r="AV268" s="101">
        <f>Sheet1!AT268*GPMtoMGD</f>
        <v>0</v>
      </c>
      <c r="AW268" s="101">
        <f>Sheet1!AV268*GPMtoMGD</f>
        <v>1.322352</v>
      </c>
      <c r="AX268" s="101">
        <f>Sheet1!AW268*GPMtoMGD</f>
        <v>1.7091360000000002</v>
      </c>
      <c r="AY268" s="101">
        <f>Sheet1!AX268*GPMtoMGD</f>
        <v>7.0992E-2</v>
      </c>
      <c r="AZ268" s="101">
        <f>Sheet1!AY268*GPMtoMGD</f>
        <v>0</v>
      </c>
      <c r="BA268" s="101">
        <f>Sheet1!AZ268*GPMtoMGD</f>
        <v>0</v>
      </c>
      <c r="BB268" s="101">
        <f>Sheet1!BP268*GPMtoMGD</f>
        <v>0</v>
      </c>
      <c r="BC268" s="101">
        <f>Sheet1!CO268*GPMtoMGD</f>
        <v>9.6206399999999999</v>
      </c>
      <c r="BD268" s="101">
        <f>Sheet1!BO268*GPMtoMGD</f>
        <v>4.2156000000000002</v>
      </c>
      <c r="BE268" s="101">
        <f>Sheet1!BV268*GPMtoMGD</f>
        <v>2.514672</v>
      </c>
      <c r="BF268" s="101">
        <f>Sheet1!CJ268*GPMtoMGD</f>
        <v>1.6984800000000002</v>
      </c>
      <c r="BG268" s="101">
        <f>Sheet1!CK268*GPMtoMGD</f>
        <v>1.6876800000000001</v>
      </c>
      <c r="BH268" s="101">
        <f>Sheet1!CL268*GPMtoMGD</f>
        <v>1.0631520000000001</v>
      </c>
      <c r="BI268" s="101">
        <f t="shared" si="34"/>
        <v>4.2156000000000002</v>
      </c>
      <c r="BK268" s="106">
        <f>SUM(AT268:BA268,BE268,Sheet1!BU268,'Calculations II'!BC268,Calculation!AG268)</f>
        <v>74.517063189729711</v>
      </c>
      <c r="BM268" s="439">
        <f ca="1">IF(B268=TODAY(),0,IF(AND(Sheet1!BQ268&lt;=11.5,Sheet1!BQ267&gt;Sheet1!BQ268),(MIN(Lookup!$C$119,VLOOKUP(Sheet1!BQ267,Lookup!$B$4:$J$236,2))-VLOOKUP(Sheet1!BQ268,Lookup!$B$4:$J$236,2))/1000000,0))</f>
        <v>0</v>
      </c>
      <c r="BN268" s="439">
        <f ca="1">IF(B268=TODAY(),0,IF(AND(Sheet1!BR268&lt;=11.5,Sheet1!BR267&gt;Sheet1!BR268),(MIN(Lookup!$D$119,VLOOKUP(Sheet1!BR267,Lookup!$B$4:$J$236,3))-VLOOKUP(Sheet1!BR268,Lookup!$B$4:$J$236,3))/1000000,0))</f>
        <v>0</v>
      </c>
      <c r="BP268" s="105">
        <f ca="1">SUM(BM268:BN268,W268,Sheet1!DT268)</f>
        <v>0</v>
      </c>
    </row>
    <row r="269" spans="1:68" s="101" customFormat="1">
      <c r="A269" s="101" t="s">
        <v>3</v>
      </c>
      <c r="B269" s="103">
        <v>40798</v>
      </c>
      <c r="C269" s="104">
        <v>0.33333333333357601</v>
      </c>
      <c r="E269" s="30"/>
      <c r="F269" s="30">
        <f ca="1">IF(B269=TODAY(),0,-(VLOOKUP(Sheet1!BZ269,Lookup!$I$4:$J$216,2)-VLOOKUP(Sheet1!BZ268,Lookup!$I$4:$J$216,2))/1000000)</f>
        <v>-0.10363693854779936</v>
      </c>
      <c r="G269" s="106">
        <f ca="1">IF(B269=TODAY(),0,-$G$6*(Sheet1!CB269-Sheet1!CB268)*7.48/1000000)</f>
        <v>0.15885400421023663</v>
      </c>
      <c r="H269" s="106">
        <f ca="1">IF(B269=TODAY(),0,-$G$6*(Sheet1!CC269-Sheet1!CC268)*7.48/1000000)</f>
        <v>-0.27799450736791476</v>
      </c>
      <c r="I269" s="106">
        <f ca="1">IF(B269=TODAY(),0,-$G$6*(Sheet1!CD269-Sheet1!CD268)*7.48/1000000)</f>
        <v>-0.27799450736791548</v>
      </c>
      <c r="J269" s="107" t="s">
        <v>193</v>
      </c>
      <c r="K269" s="106">
        <f ca="1">IF(B269=TODAY(),0,-$I$6*(Sheet1!CD269-Sheet1!CD268)*7.48/1000000)</f>
        <v>-0.12594055899618953</v>
      </c>
      <c r="L269" s="107" t="s">
        <v>193</v>
      </c>
      <c r="M269" s="106">
        <f ca="1">IF(B269=TODAY(),0,-$M$6*(Sheet1!CE269-Sheet1!CE268)*7.48/1000000)</f>
        <v>-5.3306562995667349E-2</v>
      </c>
      <c r="N269" s="106">
        <f ca="1">IF(B269=TODAY(),0,-$N$6*(Sheet1!CF269-Sheet1!CF268)*7.48/1000000)</f>
        <v>6.2052345394623676E-2</v>
      </c>
      <c r="O269" s="106">
        <f t="shared" ca="1" si="30"/>
        <v>-0.61796672567062616</v>
      </c>
      <c r="P269" s="106">
        <f ca="1">O269+Calculation!EI269</f>
        <v>-4.3878667256706256</v>
      </c>
      <c r="Q269" s="101" t="str">
        <f>IF(Sheet1!BQ269&gt;21.75,"spill elevation","-")</f>
        <v>-</v>
      </c>
      <c r="R269" s="101" t="str">
        <f>IF(Sheet1!BR269&gt;21.75,"spill elevation","-")</f>
        <v>-</v>
      </c>
      <c r="S269" s="101" t="str">
        <f>IF(Sheet1!BS269&gt;21.75,"spill elevation","-")</f>
        <v>-</v>
      </c>
      <c r="T269" s="105">
        <f>IF(Sheet1!DQ269=1,Sheet1!AA269-(SUM(AT269:BA269)+BE269),Sheet1!AA269-SUM(AT269:BA269))</f>
        <v>44.276672000006982</v>
      </c>
      <c r="U269" s="105">
        <f>Sheet1!BU269</f>
        <v>37.4</v>
      </c>
      <c r="V269" s="105">
        <f t="shared" si="31"/>
        <v>6.8766720000069839</v>
      </c>
      <c r="W269" s="105">
        <f t="shared" si="32"/>
        <v>0</v>
      </c>
      <c r="X269" s="101">
        <f>IF((Sheet1!EX269-Sheet1!EX268)&lt;0,(Sheet1!EX269+100000-Sheet1!EX268)/1000,(Sheet1!EX269-Sheet1!EX268)/1000)</f>
        <v>0.63800000000000001</v>
      </c>
      <c r="Y269" s="106">
        <f ca="1">Calculation!DZ270+Calculation!EI269+'Calculations II'!O269-'Calculations II'!W269</f>
        <v>76.322133274328493</v>
      </c>
      <c r="Z269" s="106">
        <f ca="1">Y269-Sheet1!CP270</f>
        <v>59.522133274328496</v>
      </c>
      <c r="AA269" s="106">
        <f ca="1">Y269+Calculation!CZ270+Calculation!AI270</f>
        <v>92.158360066672344</v>
      </c>
      <c r="AC269" s="106">
        <f>Sheet1!AA269+Sheet1!AB269+BC269</f>
        <v>82.098121600003779</v>
      </c>
      <c r="AD269" s="106">
        <f>Sheet1!AA269+Sheet1!BN269+'Calculations II'!BC269-Calculation!AI269-Calculation!CZ269</f>
        <v>48.939169409914001</v>
      </c>
      <c r="AE269" s="106">
        <f>Sheet1!AA269+Sheet1!AB269+'Calculations II'!BC269-Calculation!AI269-Calculation!CZ269</f>
        <v>65.609169409910805</v>
      </c>
      <c r="AF269" s="106">
        <f ca="1">Sheet1!AA269+Sheet1!BN269+P269+'Calculations II'!BC269+Calculation!AI269+Calculation!CZ269</f>
        <v>77.529207064429329</v>
      </c>
      <c r="AG269" s="106">
        <f ca="1">IF(B269=TODAY(),0,Sheet1!AA269+Sheet1!BN269+'Calculations II'!BC269+'Calculations II'!P269-Sheet1!CP269-BP269)</f>
        <v>43.880254874336345</v>
      </c>
      <c r="AH269" s="106">
        <f ca="1">IF(B269=TODAY(),0,Sheet1!AA269+Sheet1!BN269+'Calculations II'!BC269+'Calculations II'!P269-BP269)</f>
        <v>61.040254874336348</v>
      </c>
      <c r="AI269" s="106">
        <f ca="1">IF(B269=TODAY(),0,BC269+Sheet1!AA269+Calculation!EI269+O269+W269+Sheet1!BN269+Calculation!AI269+Calculation!CZ269-BP269)</f>
        <v>77.529207064429343</v>
      </c>
      <c r="AJ269" s="106"/>
      <c r="AM269" s="102">
        <f t="shared" si="33"/>
        <v>40798</v>
      </c>
      <c r="AN269" s="106"/>
      <c r="AO269" s="106"/>
      <c r="AR269" s="106"/>
      <c r="AT269" s="101">
        <f>Sheet1!AR269*GPMtoMGD</f>
        <v>0</v>
      </c>
      <c r="AU269" s="101">
        <f>Sheet1!AS269*GPMtoMGD</f>
        <v>5.3856000000000001E-2</v>
      </c>
      <c r="AV269" s="101">
        <f>Sheet1!AT269*GPMtoMGD</f>
        <v>0</v>
      </c>
      <c r="AW269" s="101">
        <f>Sheet1!AV269*GPMtoMGD</f>
        <v>1.062864</v>
      </c>
      <c r="AX269" s="101">
        <f>Sheet1!AW269*GPMtoMGD</f>
        <v>1.3600800000000002</v>
      </c>
      <c r="AY269" s="101">
        <f>Sheet1!AX269*GPMtoMGD</f>
        <v>6.6528000000000004E-2</v>
      </c>
      <c r="AZ269" s="101">
        <f>Sheet1!AY269*GPMtoMGD</f>
        <v>0</v>
      </c>
      <c r="BA269" s="101">
        <f>Sheet1!AZ269*GPMtoMGD</f>
        <v>0</v>
      </c>
      <c r="BB269" s="101">
        <f>Sheet1!BP269*GPMtoMGD</f>
        <v>0</v>
      </c>
      <c r="BC269" s="101">
        <f>Sheet1!CO269*GPMtoMGD</f>
        <v>8.1215999999999997E-3</v>
      </c>
      <c r="BD269" s="101">
        <f>Sheet1!BO269*GPMtoMGD</f>
        <v>4.0957920000000003</v>
      </c>
      <c r="BE269" s="101">
        <f>Sheet1!BV269*GPMtoMGD</f>
        <v>1.92456</v>
      </c>
      <c r="BF269" s="101">
        <f>Sheet1!CJ269*GPMtoMGD</f>
        <v>1.315296</v>
      </c>
      <c r="BG269" s="101">
        <f>Sheet1!CK269*GPMtoMGD</f>
        <v>1.3551840000000002</v>
      </c>
      <c r="BH269" s="101">
        <f>Sheet1!CL269*GPMtoMGD</f>
        <v>1.0428480000000002</v>
      </c>
      <c r="BI269" s="101">
        <f t="shared" si="34"/>
        <v>4.0957920000000003</v>
      </c>
      <c r="BK269" s="106">
        <f>SUM(AT269:BA269,BE269,Sheet1!BU269,'Calculations II'!BC269,Calculation!AG269)</f>
        <v>60.657057409903828</v>
      </c>
      <c r="BM269" s="439">
        <f ca="1">IF(B269=TODAY(),0,IF(AND(Sheet1!BQ269&lt;=11.5,Sheet1!BQ268&gt;Sheet1!BQ269),(MIN(Lookup!$C$119,VLOOKUP(Sheet1!BQ268,Lookup!$B$4:$J$236,2))-VLOOKUP(Sheet1!BQ269,Lookup!$B$4:$J$236,2))/1000000,0))</f>
        <v>0</v>
      </c>
      <c r="BN269" s="439">
        <f ca="1">IF(B269=TODAY(),0,IF(AND(Sheet1!BR269&lt;=11.5,Sheet1!BR268&gt;Sheet1!BR269),(MIN(Lookup!$D$119,VLOOKUP(Sheet1!BR268,Lookup!$B$4:$J$236,3))-VLOOKUP(Sheet1!BR269,Lookup!$B$4:$J$236,3))/1000000,0))</f>
        <v>0</v>
      </c>
      <c r="BP269" s="105">
        <f ca="1">SUM(BM269:BN269,W269,Sheet1!DT269)</f>
        <v>0</v>
      </c>
    </row>
    <row r="270" spans="1:68" s="101" customFormat="1">
      <c r="A270" s="101" t="s">
        <v>4</v>
      </c>
      <c r="B270" s="103">
        <v>40799</v>
      </c>
      <c r="C270" s="104">
        <v>0.33333333333357601</v>
      </c>
      <c r="E270" s="30"/>
      <c r="F270" s="30">
        <f ca="1">IF(B270=TODAY(),0,-(VLOOKUP(Sheet1!BZ270,Lookup!$I$4:$J$216,2)-VLOOKUP(Sheet1!BZ269,Lookup!$I$4:$J$216,2))/1000000)</f>
        <v>0.20727387709559872</v>
      </c>
      <c r="G270" s="106">
        <f ca="1">IF(B270=TODAY(),0,-$G$6*(Sheet1!CB270-Sheet1!CB269)*7.48/1000000)</f>
        <v>-0.55598901473582951</v>
      </c>
      <c r="H270" s="106">
        <f ca="1">IF(B270=TODAY(),0,-$G$6*(Sheet1!CC270-Sheet1!CC269)*7.48/1000000)</f>
        <v>0.11914050315767746</v>
      </c>
      <c r="I270" s="106">
        <f ca="1">IF(B270=TODAY(),0,-$G$6*(Sheet1!CD270-Sheet1!CD269)*7.48/1000000)</f>
        <v>7.9427002105119021E-2</v>
      </c>
      <c r="J270" s="107" t="s">
        <v>193</v>
      </c>
      <c r="K270" s="106">
        <f ca="1">IF(B270=TODAY(),0,-$I$6*(Sheet1!CD270-Sheet1!CD269)*7.48/1000000)</f>
        <v>3.5983016856054283E-2</v>
      </c>
      <c r="L270" s="107" t="s">
        <v>193</v>
      </c>
      <c r="M270" s="106">
        <f ca="1">IF(B270=TODAY(),0,-$M$6*(Sheet1!CE270-Sheet1!CE269)*7.48/1000000)</f>
        <v>1.9989961123375137E-2</v>
      </c>
      <c r="N270" s="106">
        <f ca="1">IF(B270=TODAY(),0,-$N$6*(Sheet1!CF270-Sheet1!CF269)*7.48/1000000)</f>
        <v>0</v>
      </c>
      <c r="O270" s="106">
        <f t="shared" ca="1" si="30"/>
        <v>-9.4174654398004848E-2</v>
      </c>
      <c r="P270" s="106">
        <f ca="1">O270+Calculation!EI270</f>
        <v>-2.526674654398005</v>
      </c>
      <c r="Q270" s="101" t="str">
        <f>IF(Sheet1!BQ270&gt;21.75,"spill elevation","-")</f>
        <v>-</v>
      </c>
      <c r="R270" s="101" t="str">
        <f>IF(Sheet1!BR270&gt;21.75,"spill elevation","-")</f>
        <v>-</v>
      </c>
      <c r="S270" s="101" t="str">
        <f>IF(Sheet1!BS270&gt;21.75,"spill elevation","-")</f>
        <v>-</v>
      </c>
      <c r="T270" s="105">
        <f>IF(Sheet1!DQ270=1,Sheet1!AA270-(SUM(AT270:BA270)+BE270),Sheet1!AA270-SUM(AT270:BA270))</f>
        <v>44.442720000001749</v>
      </c>
      <c r="U270" s="105">
        <f>Sheet1!BU270</f>
        <v>39.4</v>
      </c>
      <c r="V270" s="105">
        <f t="shared" si="31"/>
        <v>5.0427200000017507</v>
      </c>
      <c r="W270" s="105">
        <f t="shared" si="32"/>
        <v>0</v>
      </c>
      <c r="X270" s="101">
        <f>IF((Sheet1!EX270-Sheet1!EX269)&lt;0,(Sheet1!EX270+100000-Sheet1!EX269)/1000,(Sheet1!EX270-Sheet1!EX269)/1000)</f>
        <v>0.78800000000000003</v>
      </c>
      <c r="Y270" s="106">
        <f ca="1">Calculation!DZ271+Calculation!EI270+'Calculations II'!O270-'Calculations II'!W270</f>
        <v>78.993325345602003</v>
      </c>
      <c r="Z270" s="106">
        <f ca="1">Y270-Sheet1!CP271</f>
        <v>61.993325345602003</v>
      </c>
      <c r="AA270" s="106">
        <f ca="1">Y270+Calculation!CZ271+Calculation!AI271</f>
        <v>94.202854622295462</v>
      </c>
      <c r="AC270" s="106">
        <f>Sheet1!AA270+Sheet1!AB270+BC270</f>
        <v>80.709999999999127</v>
      </c>
      <c r="AD270" s="106">
        <f>Sheet1!AA270+Sheet1!BN270+'Calculations II'!BC270-Calculation!AI270-Calculation!CZ270</f>
        <v>49.243773207657895</v>
      </c>
      <c r="AE270" s="106">
        <f>Sheet1!AA270+Sheet1!AB270+'Calculations II'!BC270-Calculation!AI270-Calculation!CZ270</f>
        <v>64.873773207655276</v>
      </c>
      <c r="AF270" s="106">
        <f ca="1">Sheet1!AA270+Sheet1!BN270+P270+'Calculations II'!BC270+Calculation!AI270+Calculation!CZ270</f>
        <v>78.389552137947589</v>
      </c>
      <c r="AG270" s="106">
        <f ca="1">IF(B270=TODAY(),0,Sheet1!AA270+Sheet1!BN270+'Calculations II'!BC270+'Calculations II'!P270-Sheet1!CP270-BP270)</f>
        <v>45.753325345603741</v>
      </c>
      <c r="AH270" s="106">
        <f ca="1">IF(B270=TODAY(),0,Sheet1!AA270+Sheet1!BN270+'Calculations II'!BC270+'Calculations II'!P270-BP270)</f>
        <v>62.553325345603739</v>
      </c>
      <c r="AI270" s="106">
        <f ca="1">IF(B270=TODAY(),0,BC270+Sheet1!AA270+Calculation!EI270+O270+W270+Sheet1!BN270+Calculation!AI270+Calculation!CZ270-BP270)</f>
        <v>78.389552137947589</v>
      </c>
      <c r="AJ270" s="106"/>
      <c r="AM270" s="102">
        <f t="shared" si="33"/>
        <v>40799</v>
      </c>
      <c r="AN270" s="106"/>
      <c r="AO270" s="106"/>
      <c r="AR270" s="106"/>
      <c r="AT270" s="101">
        <f>Sheet1!AR270*GPMtoMGD</f>
        <v>0</v>
      </c>
      <c r="AU270" s="101">
        <f>Sheet1!AS270*GPMtoMGD</f>
        <v>2.5632000000000002E-2</v>
      </c>
      <c r="AV270" s="101">
        <f>Sheet1!AT270*GPMtoMGD</f>
        <v>0</v>
      </c>
      <c r="AW270" s="101">
        <f>Sheet1!AV270*GPMtoMGD</f>
        <v>0.84441600000000006</v>
      </c>
      <c r="AX270" s="101">
        <f>Sheet1!AW270*GPMtoMGD</f>
        <v>0.73051200000000005</v>
      </c>
      <c r="AY270" s="101">
        <f>Sheet1!AX270*GPMtoMGD</f>
        <v>3.6720000000000003E-2</v>
      </c>
      <c r="AZ270" s="101">
        <f>Sheet1!AY270*GPMtoMGD</f>
        <v>0</v>
      </c>
      <c r="BA270" s="101">
        <f>Sheet1!AZ270*GPMtoMGD</f>
        <v>0</v>
      </c>
      <c r="BB270" s="101">
        <f>Sheet1!BP270*GPMtoMGD</f>
        <v>6.7680000000000004E-2</v>
      </c>
      <c r="BC270" s="101">
        <f>Sheet1!CO270*GPMtoMGD</f>
        <v>0</v>
      </c>
      <c r="BD270" s="101">
        <f>Sheet1!BO270*GPMtoMGD</f>
        <v>3.2800320000000003</v>
      </c>
      <c r="BE270" s="101">
        <f>Sheet1!BV270*GPMtoMGD</f>
        <v>1.3308480000000003</v>
      </c>
      <c r="BF270" s="101">
        <f>Sheet1!CJ270*GPMtoMGD</f>
        <v>0.92332800000000015</v>
      </c>
      <c r="BG270" s="101">
        <f>Sheet1!CK270*GPMtoMGD</f>
        <v>1.176336</v>
      </c>
      <c r="BH270" s="101">
        <f>Sheet1!CL270*GPMtoMGD</f>
        <v>0.95184000000000002</v>
      </c>
      <c r="BI270" s="101">
        <f t="shared" si="34"/>
        <v>3.3477120000000005</v>
      </c>
      <c r="BK270" s="106">
        <f>SUM(AT270:BA270,BE270,Sheet1!BU270,'Calculations II'!BC270,Calculation!AG270)</f>
        <v>61.161901207653536</v>
      </c>
      <c r="BM270" s="439">
        <f ca="1">IF(B270=TODAY(),0,IF(AND(Sheet1!BQ270&lt;=11.5,Sheet1!BQ269&gt;Sheet1!BQ270),(MIN(Lookup!$C$119,VLOOKUP(Sheet1!BQ269,Lookup!$B$4:$J$236,2))-VLOOKUP(Sheet1!BQ270,Lookup!$B$4:$J$236,2))/1000000,0))</f>
        <v>0</v>
      </c>
      <c r="BN270" s="439">
        <f ca="1">IF(B270=TODAY(),0,IF(AND(Sheet1!BR270&lt;=11.5,Sheet1!BR269&gt;Sheet1!BR270),(MIN(Lookup!$D$119,VLOOKUP(Sheet1!BR269,Lookup!$B$4:$J$236,3))-VLOOKUP(Sheet1!BR270,Lookup!$B$4:$J$236,3))/1000000,0))</f>
        <v>0</v>
      </c>
      <c r="BP270" s="105">
        <f ca="1">SUM(BM270:BN270,W270,Sheet1!DT270)</f>
        <v>0</v>
      </c>
    </row>
    <row r="271" spans="1:68" s="101" customFormat="1">
      <c r="A271" s="101" t="s">
        <v>5</v>
      </c>
      <c r="B271" s="103">
        <v>40800</v>
      </c>
      <c r="C271" s="104">
        <v>0.33333333333357601</v>
      </c>
      <c r="E271" s="30"/>
      <c r="F271" s="30">
        <f ca="1">IF(B271=TODAY(),0,-(VLOOKUP(Sheet1!BZ271,Lookup!$I$4:$J$216,2)-VLOOKUP(Sheet1!BZ270,Lookup!$I$4:$J$216,2))/1000000)</f>
        <v>0</v>
      </c>
      <c r="G271" s="106">
        <f ca="1">IF(B271=TODAY(),0,-$G$6*(Sheet1!CB271-Sheet1!CB270)*7.48/1000000)</f>
        <v>0.35742150947303314</v>
      </c>
      <c r="H271" s="106">
        <f ca="1">IF(B271=TODAY(),0,-$G$6*(Sheet1!CC271-Sheet1!CC270)*7.48/1000000)</f>
        <v>7.9427002105119021E-2</v>
      </c>
      <c r="I271" s="106">
        <f ca="1">IF(B271=TODAY(),0,-$G$6*(Sheet1!CD271-Sheet1!CD270)*7.48/1000000)</f>
        <v>7.9427002105118313E-2</v>
      </c>
      <c r="J271" s="107" t="s">
        <v>193</v>
      </c>
      <c r="K271" s="106">
        <f ca="1">IF(B271=TODAY(),0,-$I$6*(Sheet1!CD271-Sheet1!CD270)*7.48/1000000)</f>
        <v>3.598301685605397E-2</v>
      </c>
      <c r="L271" s="107" t="s">
        <v>193</v>
      </c>
      <c r="M271" s="106">
        <f ca="1">IF(B271=TODAY(),0,-$M$6*(Sheet1!CE271-Sheet1!CE270)*7.48/1000000)</f>
        <v>1.3326640748917075E-2</v>
      </c>
      <c r="N271" s="106">
        <f ca="1">IF(B271=TODAY(),0,-$N$6*(Sheet1!CF271-Sheet1!CF270)*7.48/1000000)</f>
        <v>-6.2052345394623676E-2</v>
      </c>
      <c r="O271" s="106">
        <f t="shared" ca="1" si="30"/>
        <v>0.50353282589361792</v>
      </c>
      <c r="P271" s="106">
        <f ca="1">O271+Calculation!EI271</f>
        <v>-2.776267174106382</v>
      </c>
      <c r="Q271" s="101" t="str">
        <f>IF(Sheet1!BQ271&gt;21.75,"spill elevation","-")</f>
        <v>-</v>
      </c>
      <c r="R271" s="101" t="str">
        <f>IF(Sheet1!BR271&gt;21.75,"spill elevation","-")</f>
        <v>-</v>
      </c>
      <c r="S271" s="101" t="str">
        <f>IF(Sheet1!BS271&gt;21.75,"spill elevation","-")</f>
        <v>-</v>
      </c>
      <c r="T271" s="105">
        <f>IF(Sheet1!DQ271=1,Sheet1!AA271-(SUM(AT271:BA271)+BE271),Sheet1!AA271-SUM(AT271:BA271))</f>
        <v>43.931456000000004</v>
      </c>
      <c r="U271" s="105">
        <f>Sheet1!BU271</f>
        <v>38.700000000000003</v>
      </c>
      <c r="V271" s="105">
        <f t="shared" si="31"/>
        <v>5.2314560000000014</v>
      </c>
      <c r="W271" s="105">
        <f t="shared" si="32"/>
        <v>0</v>
      </c>
      <c r="X271" s="101">
        <f>IF((Sheet1!EX271-Sheet1!EX270)&lt;0,(Sheet1!EX271+100000-Sheet1!EX270)/1000,(Sheet1!EX271-Sheet1!EX270)/1000)</f>
        <v>1.141</v>
      </c>
      <c r="Y271" s="106">
        <f ca="1">Calculation!DZ272+Calculation!EI271+'Calculations II'!O271-'Calculations II'!W271</f>
        <v>77.539332825909042</v>
      </c>
      <c r="Z271" s="106">
        <f ca="1">Y271-Sheet1!CP272</f>
        <v>60.989332825909045</v>
      </c>
      <c r="AA271" s="106">
        <f ca="1">Y271+Calculation!CZ272+Calculation!AI272</f>
        <v>92.022894469746589</v>
      </c>
      <c r="AC271" s="106">
        <f>Sheet1!AA271+Sheet1!AB271+BC271</f>
        <v>81.52000000000001</v>
      </c>
      <c r="AD271" s="106">
        <f>Sheet1!AA271+Sheet1!BN271+'Calculations II'!BC271-Calculation!AI271-Calculation!CZ271</f>
        <v>51.01047072330654</v>
      </c>
      <c r="AE271" s="106">
        <f>Sheet1!AA271+Sheet1!AB271+'Calculations II'!BC271-Calculation!AI271-Calculation!CZ271</f>
        <v>66.310470723306551</v>
      </c>
      <c r="AF271" s="106">
        <f ca="1">Sheet1!AA271+Sheet1!BN271+P271+'Calculations II'!BC271+Calculation!AI271+Calculation!CZ271</f>
        <v>78.653262102587078</v>
      </c>
      <c r="AG271" s="106">
        <f ca="1">IF(B271=TODAY(),0,Sheet1!AA271+Sheet1!BN271+'Calculations II'!BC271+'Calculations II'!P271-Sheet1!CP271-BP271)</f>
        <v>46.443732825893619</v>
      </c>
      <c r="AH271" s="106">
        <f ca="1">IF(B271=TODAY(),0,Sheet1!AA271+Sheet1!BN271+'Calculations II'!BC271+'Calculations II'!P271-BP271)</f>
        <v>63.443732825893619</v>
      </c>
      <c r="AI271" s="106">
        <f ca="1">IF(B271=TODAY(),0,BC271+Sheet1!AA271+Calculation!EI271+O271+W271+Sheet1!BN271+Calculation!AI271+Calculation!CZ271-BP271)</f>
        <v>78.653262102587078</v>
      </c>
      <c r="AJ271" s="106"/>
      <c r="AM271" s="102">
        <f t="shared" si="33"/>
        <v>40800</v>
      </c>
      <c r="AN271" s="106"/>
      <c r="AO271" s="106"/>
      <c r="AR271" s="106"/>
      <c r="AT271" s="101">
        <f>Sheet1!AR271*GPMtoMGD</f>
        <v>0</v>
      </c>
      <c r="AU271" s="101">
        <f>Sheet1!AS271*GPMtoMGD</f>
        <v>5.2848000000000006E-2</v>
      </c>
      <c r="AV271" s="101">
        <f>Sheet1!AT271*GPMtoMGD</f>
        <v>0</v>
      </c>
      <c r="AW271" s="101">
        <f>Sheet1!AV271*GPMtoMGD</f>
        <v>0.31464000000000003</v>
      </c>
      <c r="AX271" s="101">
        <f>Sheet1!AW271*GPMtoMGD</f>
        <v>2.1807360000000005</v>
      </c>
      <c r="AY271" s="101">
        <f>Sheet1!AX271*GPMtoMGD</f>
        <v>4.0320000000000002E-2</v>
      </c>
      <c r="AZ271" s="101">
        <f>Sheet1!AY271*GPMtoMGD</f>
        <v>0</v>
      </c>
      <c r="BA271" s="101">
        <f>Sheet1!AZ271*GPMtoMGD</f>
        <v>0</v>
      </c>
      <c r="BB271" s="101">
        <f>Sheet1!BP271*GPMtoMGD</f>
        <v>0</v>
      </c>
      <c r="BC271" s="101">
        <f>Sheet1!CO271*GPMtoMGD</f>
        <v>0</v>
      </c>
      <c r="BD271" s="101">
        <f>Sheet1!BO271*GPMtoMGD</f>
        <v>3.4175520000000006</v>
      </c>
      <c r="BE271" s="101">
        <f>Sheet1!BV271*GPMtoMGD</f>
        <v>1.344096</v>
      </c>
      <c r="BF271" s="101">
        <f>Sheet1!CJ271*GPMtoMGD</f>
        <v>1.357056</v>
      </c>
      <c r="BG271" s="101">
        <f>Sheet1!CK271*GPMtoMGD</f>
        <v>1.1786400000000001</v>
      </c>
      <c r="BH271" s="101">
        <f>Sheet1!CL271*GPMtoMGD</f>
        <v>0.9928800000000001</v>
      </c>
      <c r="BI271" s="101">
        <f t="shared" si="34"/>
        <v>3.4175520000000006</v>
      </c>
      <c r="BK271" s="106">
        <f>SUM(AT271:BA271,BE271,Sheet1!BU271,'Calculations II'!BC271,Calculation!AG271)</f>
        <v>62.42311072330655</v>
      </c>
      <c r="BM271" s="439">
        <f ca="1">IF(B271=TODAY(),0,IF(AND(Sheet1!BQ271&lt;=11.5,Sheet1!BQ270&gt;Sheet1!BQ271),(MIN(Lookup!$C$119,VLOOKUP(Sheet1!BQ270,Lookup!$B$4:$J$236,2))-VLOOKUP(Sheet1!BQ271,Lookup!$B$4:$J$236,2))/1000000,0))</f>
        <v>0</v>
      </c>
      <c r="BN271" s="439">
        <f ca="1">IF(B271=TODAY(),0,IF(AND(Sheet1!BR271&lt;=11.5,Sheet1!BR270&gt;Sheet1!BR271),(MIN(Lookup!$D$119,VLOOKUP(Sheet1!BR270,Lookup!$B$4:$J$236,3))-VLOOKUP(Sheet1!BR271,Lookup!$B$4:$J$236,3))/1000000,0))</f>
        <v>0</v>
      </c>
      <c r="BP271" s="105">
        <f ca="1">SUM(BM271:BN271,W271,Sheet1!DT271)</f>
        <v>0</v>
      </c>
    </row>
    <row r="272" spans="1:68" s="101" customFormat="1">
      <c r="A272" s="101" t="s">
        <v>6</v>
      </c>
      <c r="B272" s="103">
        <v>40801</v>
      </c>
      <c r="C272" s="104">
        <v>0.33333333333357601</v>
      </c>
      <c r="E272" s="30"/>
      <c r="F272" s="30">
        <f ca="1">IF(B272=TODAY(),0,-(VLOOKUP(Sheet1!BZ272,Lookup!$I$4:$J$216,2)-VLOOKUP(Sheet1!BZ271,Lookup!$I$4:$J$216,2))/1000000)</f>
        <v>0.10363693854779936</v>
      </c>
      <c r="G272" s="106">
        <f ca="1">IF(B272=TODAY(),0,-$G$6*(Sheet1!CB272-Sheet1!CB271)*7.48/1000000)</f>
        <v>-3.9713501052558449E-2</v>
      </c>
      <c r="H272" s="106">
        <f ca="1">IF(B272=TODAY(),0,-$G$6*(Sheet1!CC272-Sheet1!CC271)*7.48/1000000)</f>
        <v>7.9427002105118313E-2</v>
      </c>
      <c r="I272" s="106">
        <f ca="1">IF(B272=TODAY(),0,-$G$6*(Sheet1!CD272-Sheet1!CD271)*7.48/1000000)</f>
        <v>0.11914050315767817</v>
      </c>
      <c r="J272" s="107" t="s">
        <v>193</v>
      </c>
      <c r="K272" s="106">
        <f ca="1">IF(B272=TODAY(),0,-$I$6*(Sheet1!CD272-Sheet1!CD271)*7.48/1000000)</f>
        <v>5.3974525284081275E-2</v>
      </c>
      <c r="L272" s="107" t="s">
        <v>193</v>
      </c>
      <c r="M272" s="106">
        <f ca="1">IF(B272=TODAY(),0,-$M$6*(Sheet1!CE272-Sheet1!CE271)*7.48/1000000)</f>
        <v>6.6633203744583007E-3</v>
      </c>
      <c r="N272" s="106">
        <f ca="1">IF(B272=TODAY(),0,-$N$6*(Sheet1!CF272-Sheet1!CF271)*7.48/1000000)</f>
        <v>-6.2052345394623676E-2</v>
      </c>
      <c r="O272" s="106">
        <f t="shared" ca="1" si="30"/>
        <v>0.26107644302195321</v>
      </c>
      <c r="P272" s="106">
        <f ca="1">O272+Calculation!EI272</f>
        <v>-3.8631235569780467</v>
      </c>
      <c r="Q272" s="101" t="str">
        <f>IF(Sheet1!BQ272&gt;21.75,"spill elevation","-")</f>
        <v>-</v>
      </c>
      <c r="R272" s="101" t="str">
        <f>IF(Sheet1!BR272&gt;21.75,"spill elevation","-")</f>
        <v>-</v>
      </c>
      <c r="S272" s="101" t="str">
        <f>IF(Sheet1!BS272&gt;21.75,"spill elevation","-")</f>
        <v>-</v>
      </c>
      <c r="T272" s="105">
        <f>IF(Sheet1!DQ272=1,Sheet1!AA272-(SUM(AT272:BA272)+BE272),Sheet1!AA272-SUM(AT272:BA272))</f>
        <v>45.409376000011058</v>
      </c>
      <c r="U272" s="105">
        <f>Sheet1!BU272</f>
        <v>37.4</v>
      </c>
      <c r="V272" s="105">
        <f t="shared" si="31"/>
        <v>8.0093760000110592</v>
      </c>
      <c r="W272" s="105">
        <f t="shared" si="32"/>
        <v>0</v>
      </c>
      <c r="X272" s="101">
        <f>IF((Sheet1!EX272-Sheet1!EX271)&lt;0,(Sheet1!EX272+100000-Sheet1!EX271)/1000,(Sheet1!EX272-Sheet1!EX271)/1000)</f>
        <v>1.3140000000000001</v>
      </c>
      <c r="Y272" s="106">
        <f ca="1">Calculation!DZ273+Calculation!EI272+'Calculations II'!O272-'Calculations II'!W272</f>
        <v>70.28687644300885</v>
      </c>
      <c r="Z272" s="106">
        <f ca="1">Y272-Sheet1!CP273</f>
        <v>53.756876443008849</v>
      </c>
      <c r="AA272" s="106">
        <f ca="1">Y272+Calculation!CZ273+Calculation!AI273</f>
        <v>83.766412001788979</v>
      </c>
      <c r="AC272" s="106">
        <f>Sheet1!AA272+Sheet1!AB272+BC272</f>
        <v>80.315600000015422</v>
      </c>
      <c r="AD272" s="106">
        <f>Sheet1!AA272+Sheet1!BN272+'Calculations II'!BC272-Calculation!AI272-Calculation!CZ272</f>
        <v>51.432038356173507</v>
      </c>
      <c r="AE272" s="106">
        <f>Sheet1!AA272+Sheet1!AB272+'Calculations II'!BC272-Calculation!AI272-Calculation!CZ272</f>
        <v>65.832038356177875</v>
      </c>
      <c r="AF272" s="106">
        <f ca="1">Sheet1!AA272+Sheet1!BN272+P272+'Calculations II'!BC272+Calculation!AI272+Calculation!CZ272</f>
        <v>76.536038086870562</v>
      </c>
      <c r="AG272" s="106">
        <f ca="1">IF(B272=TODAY(),0,Sheet1!AA272+Sheet1!BN272+'Calculations II'!BC272+'Calculations II'!P272-Sheet1!CP272-BP272)</f>
        <v>45.502476443033004</v>
      </c>
      <c r="AH272" s="106">
        <f ca="1">IF(B272=TODAY(),0,Sheet1!AA272+Sheet1!BN272+'Calculations II'!BC272+'Calculations II'!P272-BP272)</f>
        <v>62.052476443033008</v>
      </c>
      <c r="AI272" s="106">
        <f ca="1">IF(B272=TODAY(),0,BC272+Sheet1!AA272+Calculation!EI272+O272+W272+Sheet1!BN272+Calculation!AI272+Calculation!CZ272-BP272)</f>
        <v>76.536038086870562</v>
      </c>
      <c r="AJ272" s="106"/>
      <c r="AM272" s="102">
        <f t="shared" si="33"/>
        <v>40801</v>
      </c>
      <c r="AN272" s="106"/>
      <c r="AO272" s="106"/>
      <c r="AR272" s="106"/>
      <c r="AT272" s="101">
        <f>Sheet1!AR272*GPMtoMGD</f>
        <v>0</v>
      </c>
      <c r="AU272" s="101">
        <f>Sheet1!AS272*GPMtoMGD</f>
        <v>2.7216000000000001E-2</v>
      </c>
      <c r="AV272" s="101">
        <f>Sheet1!AT272*GPMtoMGD</f>
        <v>0</v>
      </c>
      <c r="AW272" s="101">
        <f>Sheet1!AV272*GPMtoMGD</f>
        <v>0</v>
      </c>
      <c r="AX272" s="101">
        <f>Sheet1!AW272*GPMtoMGD</f>
        <v>1.6352640000000001</v>
      </c>
      <c r="AY272" s="101">
        <f>Sheet1!AX272*GPMtoMGD</f>
        <v>1.8144E-2</v>
      </c>
      <c r="AZ272" s="101">
        <f>Sheet1!AY272*GPMtoMGD</f>
        <v>0</v>
      </c>
      <c r="BA272" s="101">
        <f>Sheet1!AZ272*GPMtoMGD</f>
        <v>0</v>
      </c>
      <c r="BB272" s="101">
        <f>Sheet1!BP272*GPMtoMGD</f>
        <v>0</v>
      </c>
      <c r="BC272" s="101">
        <f>Sheet1!CO272*GPMtoMGD</f>
        <v>0.52560000000000007</v>
      </c>
      <c r="BD272" s="101">
        <f>Sheet1!BO272*GPMtoMGD</f>
        <v>3.3701760000000003</v>
      </c>
      <c r="BE272" s="101">
        <f>Sheet1!BV272*GPMtoMGD</f>
        <v>1.3207680000000002</v>
      </c>
      <c r="BF272" s="101">
        <f>Sheet1!CJ272*GPMtoMGD</f>
        <v>1.1615040000000001</v>
      </c>
      <c r="BG272" s="101">
        <f>Sheet1!CK272*GPMtoMGD</f>
        <v>1.1517120000000001</v>
      </c>
      <c r="BH272" s="101">
        <f>Sheet1!CL272*GPMtoMGD</f>
        <v>0.97747200000000001</v>
      </c>
      <c r="BI272" s="101">
        <f t="shared" si="34"/>
        <v>3.3701760000000003</v>
      </c>
      <c r="BK272" s="106">
        <f>SUM(AT272:BA272,BE272,Sheet1!BU272,'Calculations II'!BC272,Calculation!AG272)</f>
        <v>59.143430356166817</v>
      </c>
      <c r="BM272" s="439">
        <f ca="1">IF(B272=TODAY(),0,IF(AND(Sheet1!BQ272&lt;=11.5,Sheet1!BQ271&gt;Sheet1!BQ272),(MIN(Lookup!$C$119,VLOOKUP(Sheet1!BQ271,Lookup!$B$4:$J$236,2))-VLOOKUP(Sheet1!BQ272,Lookup!$B$4:$J$236,2))/1000000,0))</f>
        <v>0</v>
      </c>
      <c r="BN272" s="439">
        <f ca="1">IF(B272=TODAY(),0,IF(AND(Sheet1!BR272&lt;=11.5,Sheet1!BR271&gt;Sheet1!BR272),(MIN(Lookup!$D$119,VLOOKUP(Sheet1!BR271,Lookup!$B$4:$J$236,3))-VLOOKUP(Sheet1!BR272,Lookup!$B$4:$J$236,3))/1000000,0))</f>
        <v>0</v>
      </c>
      <c r="BP272" s="105">
        <f ca="1">SUM(BM272:BN272,W272,Sheet1!DT272)</f>
        <v>0</v>
      </c>
    </row>
    <row r="273" spans="1:68" s="101" customFormat="1">
      <c r="A273" s="101" t="s">
        <v>7</v>
      </c>
      <c r="B273" s="103">
        <v>40802</v>
      </c>
      <c r="C273" s="104">
        <v>0.33333333333357601</v>
      </c>
      <c r="E273" s="30"/>
      <c r="F273" s="30">
        <f ca="1">IF(B273=TODAY(),0,-(VLOOKUP(Sheet1!BZ273,Lookup!$I$4:$J$216,2)-VLOOKUP(Sheet1!BZ272,Lookup!$I$4:$J$216,2))/1000000)</f>
        <v>-0.31091081564339806</v>
      </c>
      <c r="G273" s="106">
        <f ca="1">IF(B273=TODAY(),0,-$G$6*(Sheet1!CB273-Sheet1!CB272)*7.48/1000000)</f>
        <v>-0.67512951789350917</v>
      </c>
      <c r="H273" s="106">
        <f ca="1">IF(B273=TODAY(),0,-$G$6*(Sheet1!CC273-Sheet1!CC272)*7.48/1000000)</f>
        <v>-0.39713501052559297</v>
      </c>
      <c r="I273" s="106">
        <f ca="1">IF(B273=TODAY(),0,-$G$6*(Sheet1!CD273-Sheet1!CD272)*7.48/1000000)</f>
        <v>-0.39713501052559297</v>
      </c>
      <c r="J273" s="107" t="s">
        <v>193</v>
      </c>
      <c r="K273" s="106">
        <f ca="1">IF(B273=TODAY(),0,-$I$6*(Sheet1!CD273-Sheet1!CD272)*7.48/1000000)</f>
        <v>-0.17991508428027048</v>
      </c>
      <c r="L273" s="107" t="s">
        <v>193</v>
      </c>
      <c r="M273" s="106">
        <f ca="1">IF(B273=TODAY(),0,-$M$6*(Sheet1!CE273-Sheet1!CE272)*7.48/1000000)</f>
        <v>-7.995984449350127E-2</v>
      </c>
      <c r="N273" s="106">
        <f ca="1">IF(B273=TODAY(),0,-$N$6*(Sheet1!CF273-Sheet1!CF272)*7.48/1000000)</f>
        <v>6.2052345394623676E-2</v>
      </c>
      <c r="O273" s="106">
        <f t="shared" ca="1" si="30"/>
        <v>-1.9781329379672414</v>
      </c>
      <c r="P273" s="106">
        <f ca="1">O273+Calculation!EI273</f>
        <v>-3.3633329379672414</v>
      </c>
      <c r="Q273" s="101" t="str">
        <f>IF(Sheet1!BQ273&gt;21.75,"spill elevation","-")</f>
        <v>-</v>
      </c>
      <c r="R273" s="101" t="str">
        <f>IF(Sheet1!BR273&gt;21.75,"spill elevation","-")</f>
        <v>-</v>
      </c>
      <c r="S273" s="101" t="str">
        <f>IF(Sheet1!BS273&gt;21.75,"spill elevation","-")</f>
        <v>-</v>
      </c>
      <c r="T273" s="105">
        <f>IF(Sheet1!DQ273=1,Sheet1!AA273-(SUM(AT273:BA273)+BE273),Sheet1!AA273-SUM(AT273:BA273))</f>
        <v>45.370495999988357</v>
      </c>
      <c r="U273" s="105">
        <f>Sheet1!BU273</f>
        <v>41.9</v>
      </c>
      <c r="V273" s="105">
        <f t="shared" si="31"/>
        <v>3.4704959999883584</v>
      </c>
      <c r="W273" s="105">
        <f t="shared" si="32"/>
        <v>0</v>
      </c>
      <c r="X273" s="101">
        <f>IF((Sheet1!EX273-Sheet1!EX272)&lt;0,(Sheet1!EX273+100000-Sheet1!EX272)/1000,(Sheet1!EX273-Sheet1!EX272)/1000)</f>
        <v>1.2849999999999999</v>
      </c>
      <c r="Y273" s="106">
        <f ca="1">Calculation!DZ274+Calculation!EI273+'Calculations II'!O273-'Calculations II'!W273</f>
        <v>65.886667062040033</v>
      </c>
      <c r="Z273" s="106">
        <f ca="1">Y273-Sheet1!CP274</f>
        <v>49.786667062040031</v>
      </c>
      <c r="AA273" s="106">
        <f ca="1">Y273+Calculation!CZ274+Calculation!AI274</f>
        <v>78.918498518027477</v>
      </c>
      <c r="AC273" s="106">
        <f>Sheet1!AA273+Sheet1!AB273+BC273</f>
        <v>74.149999999986903</v>
      </c>
      <c r="AD273" s="106">
        <f>Sheet1!AA273+Sheet1!BN273+'Calculations II'!BC273-Calculation!AI273-Calculation!CZ273</f>
        <v>47.170464441208225</v>
      </c>
      <c r="AE273" s="106">
        <f>Sheet1!AA273+Sheet1!AB273+'Calculations II'!BC273-Calculation!AI273-Calculation!CZ273</f>
        <v>60.670464441206775</v>
      </c>
      <c r="AF273" s="106">
        <f ca="1">Sheet1!AA273+Sheet1!BN273+P273+'Calculations II'!BC273+Calculation!AI273+Calculation!CZ273</f>
        <v>70.766202620801252</v>
      </c>
      <c r="AG273" s="106">
        <f ca="1">IF(B273=TODAY(),0,Sheet1!AA273+Sheet1!BN273+'Calculations II'!BC273+'Calculations II'!P273-Sheet1!CP273-BP273)</f>
        <v>40.756667062021116</v>
      </c>
      <c r="AH273" s="106">
        <f ca="1">IF(B273=TODAY(),0,Sheet1!AA273+Sheet1!BN273+'Calculations II'!BC273+'Calculations II'!P273-BP273)</f>
        <v>57.286667062021117</v>
      </c>
      <c r="AI273" s="106">
        <f ca="1">IF(B273=TODAY(),0,BC273+Sheet1!AA273+Calculation!EI273+O273+W273+Sheet1!BN273+Calculation!AI273+Calculation!CZ273-BP273)</f>
        <v>70.766202620801252</v>
      </c>
      <c r="AJ273" s="106"/>
      <c r="AM273" s="102">
        <f t="shared" si="33"/>
        <v>40802</v>
      </c>
      <c r="AN273" s="106"/>
      <c r="AO273" s="106"/>
      <c r="AR273" s="106"/>
      <c r="AT273" s="101">
        <f>Sheet1!AR273*GPMtoMGD</f>
        <v>0</v>
      </c>
      <c r="AU273" s="101">
        <f>Sheet1!AS273*GPMtoMGD</f>
        <v>5.4864000000000003E-2</v>
      </c>
      <c r="AV273" s="101">
        <f>Sheet1!AT273*GPMtoMGD</f>
        <v>0</v>
      </c>
      <c r="AW273" s="101">
        <f>Sheet1!AV273*GPMtoMGD</f>
        <v>0</v>
      </c>
      <c r="AX273" s="101">
        <f>Sheet1!AW273*GPMtoMGD</f>
        <v>1.1246400000000001</v>
      </c>
      <c r="AY273" s="101">
        <f>Sheet1!AX273*GPMtoMGD</f>
        <v>0</v>
      </c>
      <c r="AZ273" s="101">
        <f>Sheet1!AY273*GPMtoMGD</f>
        <v>0</v>
      </c>
      <c r="BA273" s="101">
        <f>Sheet1!AZ273*GPMtoMGD</f>
        <v>0</v>
      </c>
      <c r="BB273" s="101">
        <f>Sheet1!BP273*GPMtoMGD</f>
        <v>0</v>
      </c>
      <c r="BC273" s="101">
        <f>Sheet1!CO273*GPMtoMGD</f>
        <v>0</v>
      </c>
      <c r="BD273" s="101">
        <f>Sheet1!BO273*GPMtoMGD</f>
        <v>3.4961760000000002</v>
      </c>
      <c r="BE273" s="101">
        <f>Sheet1!BV273*GPMtoMGD</f>
        <v>1.2535200000000002</v>
      </c>
      <c r="BF273" s="101">
        <f>Sheet1!CJ273*GPMtoMGD</f>
        <v>1.1695680000000002</v>
      </c>
      <c r="BG273" s="101">
        <f>Sheet1!CK273*GPMtoMGD</f>
        <v>1.1568960000000001</v>
      </c>
      <c r="BH273" s="101">
        <f>Sheet1!CL273*GPMtoMGD</f>
        <v>1.0012319999999999</v>
      </c>
      <c r="BI273" s="101">
        <f t="shared" si="34"/>
        <v>3.4961760000000002</v>
      </c>
      <c r="BK273" s="106">
        <f>SUM(AT273:BA273,BE273,Sheet1!BU273,'Calculations II'!BC273,Calculation!AG273)</f>
        <v>58.453488441218418</v>
      </c>
      <c r="BM273" s="439">
        <f ca="1">IF(B273=TODAY(),0,IF(AND(Sheet1!BQ273&lt;=11.5,Sheet1!BQ272&gt;Sheet1!BQ273),(MIN(Lookup!$C$119,VLOOKUP(Sheet1!BQ272,Lookup!$B$4:$J$236,2))-VLOOKUP(Sheet1!BQ273,Lookup!$B$4:$J$236,2))/1000000,0))</f>
        <v>0</v>
      </c>
      <c r="BN273" s="439">
        <f ca="1">IF(B273=TODAY(),0,IF(AND(Sheet1!BR273&lt;=11.5,Sheet1!BR272&gt;Sheet1!BR273),(MIN(Lookup!$D$119,VLOOKUP(Sheet1!BR272,Lookup!$B$4:$J$236,3))-VLOOKUP(Sheet1!BR273,Lookup!$B$4:$J$236,3))/1000000,0))</f>
        <v>0</v>
      </c>
      <c r="BP273" s="105">
        <f ca="1">SUM(BM273:BN273,W273,Sheet1!DT273)</f>
        <v>0</v>
      </c>
    </row>
    <row r="274" spans="1:68" s="101" customFormat="1">
      <c r="A274" s="101" t="s">
        <v>8</v>
      </c>
      <c r="B274" s="103">
        <v>40803</v>
      </c>
      <c r="C274" s="104">
        <v>0.33333333333357601</v>
      </c>
      <c r="E274" s="30"/>
      <c r="F274" s="30">
        <f ca="1">IF(B274=TODAY(),0,-(VLOOKUP(Sheet1!BZ274,Lookup!$I$4:$J$216,2)-VLOOKUP(Sheet1!BZ273,Lookup!$I$4:$J$216,2))/1000000)</f>
        <v>-0.20727387709559872</v>
      </c>
      <c r="G274" s="106">
        <f ca="1">IF(B274=TODAY(),0,-$G$6*(Sheet1!CB274-Sheet1!CB273)*7.48/1000000)</f>
        <v>0.11914050315767817</v>
      </c>
      <c r="H274" s="106">
        <f ca="1">IF(B274=TODAY(),0,-$G$6*(Sheet1!CC274-Sheet1!CC273)*7.48/1000000)</f>
        <v>7.9427002105118313E-2</v>
      </c>
      <c r="I274" s="106">
        <f ca="1">IF(B274=TODAY(),0,-$G$6*(Sheet1!CD274-Sheet1!CD273)*7.48/1000000)</f>
        <v>7.9427002105118313E-2</v>
      </c>
      <c r="J274" s="107" t="s">
        <v>193</v>
      </c>
      <c r="K274" s="106">
        <f ca="1">IF(B274=TODAY(),0,-$I$6*(Sheet1!CD274-Sheet1!CD273)*7.48/1000000)</f>
        <v>3.598301685605397E-2</v>
      </c>
      <c r="L274" s="107" t="s">
        <v>193</v>
      </c>
      <c r="M274" s="106">
        <f ca="1">IF(B274=TODAY(),0,-$M$6*(Sheet1!CE274-Sheet1!CE273)*7.48/1000000)</f>
        <v>1.9989961123375376E-2</v>
      </c>
      <c r="N274" s="106">
        <f ca="1">IF(B274=TODAY(),0,-$N$6*(Sheet1!CF274-Sheet1!CF273)*7.48/1000000)</f>
        <v>-0.18615703618387214</v>
      </c>
      <c r="O274" s="106">
        <f t="shared" ca="1" si="30"/>
        <v>-5.9463427932126722E-2</v>
      </c>
      <c r="P274" s="106">
        <f ca="1">O274+Calculation!EI274</f>
        <v>-1.7214634279321266</v>
      </c>
      <c r="Q274" s="101" t="str">
        <f>IF(Sheet1!BQ274&gt;21.75,"spill elevation","-")</f>
        <v>-</v>
      </c>
      <c r="R274" s="101" t="str">
        <f>IF(Sheet1!BR274&gt;21.75,"spill elevation","-")</f>
        <v>-</v>
      </c>
      <c r="S274" s="101" t="str">
        <f>IF(Sheet1!BS274&gt;21.75,"spill elevation","-")</f>
        <v>-</v>
      </c>
      <c r="T274" s="105">
        <f>IF(Sheet1!DQ274=1,Sheet1!AA274-(SUM(AT274:BA274)+BE274),Sheet1!AA274-SUM(AT274:BA274))</f>
        <v>42.448400000005819</v>
      </c>
      <c r="U274" s="105">
        <f>Sheet1!BU274</f>
        <v>39.700000000000003</v>
      </c>
      <c r="V274" s="105">
        <f t="shared" si="31"/>
        <v>2.748400000005816</v>
      </c>
      <c r="W274" s="105">
        <f t="shared" si="32"/>
        <v>0</v>
      </c>
      <c r="X274" s="101">
        <f>IF((Sheet1!EX274-Sheet1!EX273)&lt;0,(Sheet1!EX274+100000-Sheet1!EX273)/1000,(Sheet1!EX274-Sheet1!EX273)/1000)</f>
        <v>1.288</v>
      </c>
      <c r="Y274" s="106">
        <f ca="1">Calculation!DZ275+Calculation!EI274+'Calculations II'!O274-'Calculations II'!W274</f>
        <v>54.278536572075147</v>
      </c>
      <c r="Z274" s="106">
        <f ca="1">Y274-Sheet1!CP275</f>
        <v>37.728536572075143</v>
      </c>
      <c r="AA274" s="106">
        <f ca="1">Y274+Calculation!CZ275+Calculation!AI275</f>
        <v>67.142181990402776</v>
      </c>
      <c r="AC274" s="106">
        <f>Sheet1!AA274+Sheet1!AB274+BC274</f>
        <v>69.250000000007276</v>
      </c>
      <c r="AD274" s="106">
        <f>Sheet1!AA274+Sheet1!BN274+'Calculations II'!BC274-Calculation!AI274-Calculation!CZ274</f>
        <v>43.218168544018376</v>
      </c>
      <c r="AE274" s="106">
        <f>Sheet1!AA274+Sheet1!AB274+'Calculations II'!BC274-Calculation!AI274-Calculation!CZ274</f>
        <v>56.218168544019832</v>
      </c>
      <c r="AF274" s="106">
        <f ca="1">Sheet1!AA274+Sheet1!BN274+P274+'Calculations II'!BC274+Calculation!AI274+Calculation!CZ274</f>
        <v>67.560368028061134</v>
      </c>
      <c r="AG274" s="106">
        <f ca="1">IF(B274=TODAY(),0,Sheet1!AA274+Sheet1!BN274+'Calculations II'!BC274+'Calculations II'!P274-Sheet1!CP274-BP274)</f>
        <v>38.428536572073689</v>
      </c>
      <c r="AH274" s="106">
        <f ca="1">IF(B274=TODAY(),0,Sheet1!AA274+Sheet1!BN274+'Calculations II'!BC274+'Calculations II'!P274-BP274)</f>
        <v>54.528536572073691</v>
      </c>
      <c r="AI274" s="106">
        <f ca="1">IF(B274=TODAY(),0,BC274+Sheet1!AA274+Calculation!EI274+O274+W274+Sheet1!BN274+Calculation!AI274+Calculation!CZ274-BP274)</f>
        <v>67.560368028061134</v>
      </c>
      <c r="AJ274" s="106"/>
      <c r="AM274" s="102">
        <f t="shared" si="33"/>
        <v>40803</v>
      </c>
      <c r="AN274" s="106"/>
      <c r="AO274" s="106"/>
      <c r="AR274" s="106"/>
      <c r="AT274" s="101">
        <f>Sheet1!AR274*GPMtoMGD</f>
        <v>0</v>
      </c>
      <c r="AU274" s="101">
        <f>Sheet1!AS274*GPMtoMGD</f>
        <v>2.5920000000000002E-2</v>
      </c>
      <c r="AV274" s="101">
        <f>Sheet1!AT274*GPMtoMGD</f>
        <v>0</v>
      </c>
      <c r="AW274" s="101">
        <f>Sheet1!AV274*GPMtoMGD</f>
        <v>0</v>
      </c>
      <c r="AX274" s="101">
        <f>Sheet1!AW274*GPMtoMGD</f>
        <v>2.8651680000000002</v>
      </c>
      <c r="AY274" s="101">
        <f>Sheet1!AX274*GPMtoMGD</f>
        <v>1.0512000000000001E-2</v>
      </c>
      <c r="AZ274" s="101">
        <f>Sheet1!AY274*GPMtoMGD</f>
        <v>0</v>
      </c>
      <c r="BA274" s="101">
        <f>Sheet1!AZ274*GPMtoMGD</f>
        <v>0</v>
      </c>
      <c r="BB274" s="101">
        <f>Sheet1!BP274*GPMtoMGD</f>
        <v>0</v>
      </c>
      <c r="BC274" s="101">
        <f>Sheet1!CO274*GPMtoMGD</f>
        <v>0</v>
      </c>
      <c r="BD274" s="101">
        <f>Sheet1!BO274*GPMtoMGD</f>
        <v>2.8569600000000004</v>
      </c>
      <c r="BE274" s="101">
        <f>Sheet1!BV274*GPMtoMGD</f>
        <v>1.122336</v>
      </c>
      <c r="BF274" s="101">
        <f>Sheet1!CJ274*GPMtoMGD</f>
        <v>0.63417599999999996</v>
      </c>
      <c r="BG274" s="101">
        <f>Sheet1!CK274*GPMtoMGD</f>
        <v>1.0236959999999999</v>
      </c>
      <c r="BH274" s="101">
        <f>Sheet1!CL274*GPMtoMGD</f>
        <v>0.928512</v>
      </c>
      <c r="BI274" s="101">
        <f t="shared" si="34"/>
        <v>2.8569600000000004</v>
      </c>
      <c r="BK274" s="106">
        <f>SUM(AT274:BA274,BE274,Sheet1!BU274,'Calculations II'!BC274,Calculation!AG274)</f>
        <v>54.592104544014013</v>
      </c>
      <c r="BM274" s="439">
        <f ca="1">IF(B274=TODAY(),0,IF(AND(Sheet1!BQ274&lt;=11.5,Sheet1!BQ273&gt;Sheet1!BQ274),(MIN(Lookup!$C$119,VLOOKUP(Sheet1!BQ273,Lookup!$B$4:$J$236,2))-VLOOKUP(Sheet1!BQ274,Lookup!$B$4:$J$236,2))/1000000,0))</f>
        <v>0</v>
      </c>
      <c r="BN274" s="439">
        <f ca="1">IF(B274=TODAY(),0,IF(AND(Sheet1!BR274&lt;=11.5,Sheet1!BR273&gt;Sheet1!BR274),(MIN(Lookup!$D$119,VLOOKUP(Sheet1!BR273,Lookup!$B$4:$J$236,3))-VLOOKUP(Sheet1!BR274,Lookup!$B$4:$J$236,3))/1000000,0))</f>
        <v>0</v>
      </c>
      <c r="BP274" s="105">
        <f ca="1">SUM(BM274:BN274,W274,Sheet1!DT274)</f>
        <v>0</v>
      </c>
    </row>
    <row r="275" spans="1:68" s="101" customFormat="1">
      <c r="A275" s="101" t="s">
        <v>9</v>
      </c>
      <c r="B275" s="103">
        <v>40804</v>
      </c>
      <c r="C275" s="104">
        <v>0.33333333333357601</v>
      </c>
      <c r="E275" s="30"/>
      <c r="F275" s="30">
        <f ca="1">IF(B275=TODAY(),0,-(VLOOKUP(Sheet1!BZ275,Lookup!$I$4:$J$216,2)-VLOOKUP(Sheet1!BZ274,Lookup!$I$4:$J$216,2))/1000000)</f>
        <v>0</v>
      </c>
      <c r="G275" s="106">
        <f ca="1">IF(B275=TODAY(),0,-$G$6*(Sheet1!CB275-Sheet1!CB274)*7.48/1000000)</f>
        <v>0.15885400421023804</v>
      </c>
      <c r="H275" s="106">
        <f ca="1">IF(B275=TODAY(),0,-$G$6*(Sheet1!CC275-Sheet1!CC274)*7.48/1000000)</f>
        <v>-7.9427002105118313E-2</v>
      </c>
      <c r="I275" s="106">
        <f ca="1">IF(B275=TODAY(),0,-$G$6*(Sheet1!CD275-Sheet1!CD274)*7.48/1000000)</f>
        <v>-7.9427002105118313E-2</v>
      </c>
      <c r="J275" s="107" t="s">
        <v>193</v>
      </c>
      <c r="K275" s="106">
        <f ca="1">IF(B275=TODAY(),0,-$I$6*(Sheet1!CD275-Sheet1!CD274)*7.48/1000000)</f>
        <v>-3.598301685605397E-2</v>
      </c>
      <c r="L275" s="107" t="s">
        <v>193</v>
      </c>
      <c r="M275" s="106">
        <f ca="1">IF(B275=TODAY(),0,-$M$6*(Sheet1!CE275-Sheet1!CE274)*7.48/1000000)</f>
        <v>-1.3326640748916837E-2</v>
      </c>
      <c r="N275" s="106">
        <f ca="1">IF(B275=TODAY(),0,-$N$6*(Sheet1!CF275-Sheet1!CF274)*7.48/1000000)</f>
        <v>-6.2052345394623676E-2</v>
      </c>
      <c r="O275" s="106">
        <f t="shared" ca="1" si="30"/>
        <v>-0.11136200299959306</v>
      </c>
      <c r="P275" s="106">
        <f ca="1">O275+Calculation!EI275</f>
        <v>10.609837997000406</v>
      </c>
      <c r="Q275" s="101" t="str">
        <f>IF(Sheet1!BQ275&gt;21.75,"spill elevation","-")</f>
        <v>-</v>
      </c>
      <c r="R275" s="101" t="str">
        <f>IF(Sheet1!BR275&gt;21.75,"spill elevation","-")</f>
        <v>-</v>
      </c>
      <c r="S275" s="101" t="str">
        <f>IF(Sheet1!BS275&gt;21.75,"spill elevation","-")</f>
        <v>-</v>
      </c>
      <c r="T275" s="105">
        <f>IF(Sheet1!DQ275=1,Sheet1!AA275-(SUM(AT275:BA275)+BE275),Sheet1!AA275-SUM(AT275:BA275))</f>
        <v>33.840928000005817</v>
      </c>
      <c r="U275" s="105">
        <f>Sheet1!BU275</f>
        <v>42.4</v>
      </c>
      <c r="V275" s="105">
        <f t="shared" si="31"/>
        <v>-8.5590719999941811</v>
      </c>
      <c r="W275" s="105">
        <f t="shared" si="32"/>
        <v>0</v>
      </c>
      <c r="X275" s="101">
        <f>IF((Sheet1!EX275-Sheet1!EX274)&lt;0,(Sheet1!EX275+100000-Sheet1!EX274)/1000,(Sheet1!EX275-Sheet1!EX274)/1000)</f>
        <v>1.288</v>
      </c>
      <c r="Y275" s="106">
        <f ca="1">Calculation!DZ276+Calculation!EI275+'Calculations II'!O275-'Calculations II'!W275</f>
        <v>74.929837996985555</v>
      </c>
      <c r="Z275" s="106">
        <f ca="1">Y275-Sheet1!CP276</f>
        <v>57.469837996985554</v>
      </c>
      <c r="AA275" s="106">
        <f ca="1">Y275+Calculation!CZ276+Calculation!AI276</f>
        <v>87.389187590479864</v>
      </c>
      <c r="AC275" s="106">
        <f>Sheet1!AA275+Sheet1!AB275+BC275</f>
        <v>56.000000000007276</v>
      </c>
      <c r="AD275" s="106">
        <f>Sheet1!AA275+Sheet1!BN275+'Calculations II'!BC275-Calculation!AI275-Calculation!CZ275</f>
        <v>30.336354581678187</v>
      </c>
      <c r="AE275" s="106">
        <f>Sheet1!AA275+Sheet1!AB275+'Calculations II'!BC275-Calculation!AI275-Calculation!CZ275</f>
        <v>43.13635458167964</v>
      </c>
      <c r="AF275" s="106">
        <f ca="1">Sheet1!AA275+Sheet1!BN275+P275+'Calculations II'!BC275+Calculation!AI275+Calculation!CZ275</f>
        <v>66.673483415333862</v>
      </c>
      <c r="AG275" s="106">
        <f ca="1">IF(B275=TODAY(),0,Sheet1!AA275+Sheet1!BN275+'Calculations II'!BC275+'Calculations II'!P275-Sheet1!CP275-BP275)</f>
        <v>37.25983799700623</v>
      </c>
      <c r="AH275" s="106">
        <f ca="1">IF(B275=TODAY(),0,Sheet1!AA275+Sheet1!BN275+'Calculations II'!BC275+'Calculations II'!P275-BP275)</f>
        <v>53.809837997006227</v>
      </c>
      <c r="AI275" s="106">
        <f ca="1">IF(B275=TODAY(),0,BC275+Sheet1!AA275+Calculation!EI275+O275+W275+Sheet1!BN275+Calculation!AI275+Calculation!CZ275-BP275)</f>
        <v>66.673483415333862</v>
      </c>
      <c r="AJ275" s="106"/>
      <c r="AM275" s="102">
        <f t="shared" si="33"/>
        <v>40804</v>
      </c>
      <c r="AN275" s="106"/>
      <c r="AO275" s="106"/>
      <c r="AR275" s="106"/>
      <c r="AT275" s="101">
        <f>Sheet1!AR275*GPMtoMGD</f>
        <v>0</v>
      </c>
      <c r="AU275" s="101">
        <f>Sheet1!AS275*GPMtoMGD</f>
        <v>2.9087999999999999E-2</v>
      </c>
      <c r="AV275" s="101">
        <f>Sheet1!AT275*GPMtoMGD</f>
        <v>0</v>
      </c>
      <c r="AW275" s="101">
        <f>Sheet1!AV275*GPMtoMGD</f>
        <v>0</v>
      </c>
      <c r="AX275" s="101">
        <f>Sheet1!AW275*GPMtoMGD</f>
        <v>2.2213440000000002</v>
      </c>
      <c r="AY275" s="101">
        <f>Sheet1!AX275*GPMtoMGD</f>
        <v>8.6400000000000001E-3</v>
      </c>
      <c r="AZ275" s="101">
        <f>Sheet1!AY275*GPMtoMGD</f>
        <v>0</v>
      </c>
      <c r="BA275" s="101">
        <f>Sheet1!AZ275*GPMtoMGD</f>
        <v>0</v>
      </c>
      <c r="BB275" s="101">
        <f>Sheet1!BP275*GPMtoMGD</f>
        <v>0</v>
      </c>
      <c r="BC275" s="101">
        <f>Sheet1!CO275*GPMtoMGD</f>
        <v>0</v>
      </c>
      <c r="BD275" s="101">
        <f>Sheet1!BO275*GPMtoMGD</f>
        <v>2.8036800000000004</v>
      </c>
      <c r="BE275" s="101">
        <f>Sheet1!BV275*GPMtoMGD</f>
        <v>1.0392480000000002</v>
      </c>
      <c r="BF275" s="101">
        <f>Sheet1!CJ275*GPMtoMGD</f>
        <v>0.638208</v>
      </c>
      <c r="BG275" s="101">
        <f>Sheet1!CK275*GPMtoMGD</f>
        <v>0.98064000000000007</v>
      </c>
      <c r="BH275" s="101">
        <f>Sheet1!CL275*GPMtoMGD</f>
        <v>0.91555200000000003</v>
      </c>
      <c r="BI275" s="101">
        <f t="shared" si="34"/>
        <v>2.8036800000000004</v>
      </c>
      <c r="BK275" s="106">
        <f>SUM(AT275:BA275,BE275,Sheet1!BU275,'Calculations II'!BC275,Calculation!AG275)</f>
        <v>52.734674581673815</v>
      </c>
      <c r="BM275" s="439">
        <f ca="1">IF(B275=TODAY(),0,IF(AND(Sheet1!BQ275&lt;=11.5,Sheet1!BQ274&gt;Sheet1!BQ275),(MIN(Lookup!$C$119,VLOOKUP(Sheet1!BQ274,Lookup!$B$4:$J$236,2))-VLOOKUP(Sheet1!BQ275,Lookup!$B$4:$J$236,2))/1000000,0))</f>
        <v>0</v>
      </c>
      <c r="BN275" s="439">
        <f ca="1">IF(B275=TODAY(),0,IF(AND(Sheet1!BR275&lt;=11.5,Sheet1!BR274&gt;Sheet1!BR275),(MIN(Lookup!$D$119,VLOOKUP(Sheet1!BR274,Lookup!$B$4:$J$236,3))-VLOOKUP(Sheet1!BR275,Lookup!$B$4:$J$236,3))/1000000,0))</f>
        <v>0</v>
      </c>
      <c r="BP275" s="105">
        <f ca="1">SUM(BM275:BN275,W275,Sheet1!DT275)</f>
        <v>0</v>
      </c>
    </row>
    <row r="276" spans="1:68" s="101" customFormat="1">
      <c r="A276" s="101" t="s">
        <v>3</v>
      </c>
      <c r="B276" s="103">
        <v>40805</v>
      </c>
      <c r="C276" s="104">
        <v>0.33333333333357601</v>
      </c>
      <c r="E276" s="30"/>
      <c r="F276" s="30">
        <f ca="1">IF(B276=TODAY(),0,-(VLOOKUP(Sheet1!BZ276,Lookup!$I$4:$J$216,2)-VLOOKUP(Sheet1!BZ275,Lookup!$I$4:$J$216,2))/1000000)</f>
        <v>0.62182163128679613</v>
      </c>
      <c r="G276" s="106">
        <f ca="1">IF(B276=TODAY(),0,-$G$6*(Sheet1!CB276-Sheet1!CB275)*7.48/1000000)</f>
        <v>-0.15885400421023804</v>
      </c>
      <c r="H276" s="106">
        <f ca="1">IF(B276=TODAY(),0,-$G$6*(Sheet1!CC276-Sheet1!CC275)*7.48/1000000)</f>
        <v>0.39713501052559297</v>
      </c>
      <c r="I276" s="106">
        <f ca="1">IF(B276=TODAY(),0,-$G$6*(Sheet1!CD276-Sheet1!CD275)*7.48/1000000)</f>
        <v>0.43684851157815213</v>
      </c>
      <c r="J276" s="107" t="s">
        <v>193</v>
      </c>
      <c r="K276" s="106">
        <f ca="1">IF(B276=TODAY(),0,-$I$6*(Sheet1!CD276-Sheet1!CD275)*7.48/1000000)</f>
        <v>0.19790659270829747</v>
      </c>
      <c r="L276" s="107" t="s">
        <v>193</v>
      </c>
      <c r="M276" s="106">
        <f ca="1">IF(B276=TODAY(),0,-$M$6*(Sheet1!CE276-Sheet1!CE275)*7.48/1000000)</f>
        <v>5.9969883370125883E-2</v>
      </c>
      <c r="N276" s="106">
        <f ca="1">IF(B276=TODAY(),0,-$N$6*(Sheet1!CF276-Sheet1!CF275)*7.48/1000000)</f>
        <v>6.2052345394622583E-3</v>
      </c>
      <c r="O276" s="106">
        <f t="shared" ca="1" si="30"/>
        <v>1.5610328597981888</v>
      </c>
      <c r="P276" s="106">
        <f ca="1">O276+Calculation!EI276</f>
        <v>5.3450328597981889</v>
      </c>
      <c r="Q276" s="101" t="str">
        <f>IF(Sheet1!BQ276&gt;21.75,"spill elevation","-")</f>
        <v>-</v>
      </c>
      <c r="R276" s="101" t="str">
        <f>IF(Sheet1!BR276&gt;21.75,"spill elevation","-")</f>
        <v>-</v>
      </c>
      <c r="S276" s="101" t="str">
        <f>IF(Sheet1!BS276&gt;21.75,"spill elevation","-")</f>
        <v>-</v>
      </c>
      <c r="T276" s="105">
        <f>IF(Sheet1!DQ276=1,Sheet1!AA276-(SUM(AT276:BA276)+BE276),Sheet1!AA276-SUM(AT276:BA276))</f>
        <v>36.807103999988357</v>
      </c>
      <c r="U276" s="105">
        <f>Sheet1!BU276</f>
        <v>39.200000000000003</v>
      </c>
      <c r="V276" s="105">
        <f t="shared" si="31"/>
        <v>-2.3928960000116462</v>
      </c>
      <c r="W276" s="105">
        <f t="shared" si="32"/>
        <v>0</v>
      </c>
      <c r="X276" s="101">
        <f>IF((Sheet1!EX276-Sheet1!EX275)&lt;0,(Sheet1!EX276+100000-Sheet1!EX275)/1000,(Sheet1!EX276-Sheet1!EX275)/1000)</f>
        <v>1.236</v>
      </c>
      <c r="Y276" s="106">
        <f ca="1">Calculation!DZ277+Calculation!EI276+'Calculations II'!O276-'Calculations II'!W276</f>
        <v>76.11503285980227</v>
      </c>
      <c r="Z276" s="106">
        <f ca="1">Y276-Sheet1!CP277</f>
        <v>59.405032859802269</v>
      </c>
      <c r="AA276" s="106">
        <f ca="1">Y276+Calculation!CZ277+Calculation!AI277</f>
        <v>88.225333863147142</v>
      </c>
      <c r="AC276" s="106">
        <f>Sheet1!AA276+Sheet1!AB276+BC276</f>
        <v>64.319999999985157</v>
      </c>
      <c r="AD276" s="106">
        <f>Sheet1!AA276+Sheet1!BN276+'Calculations II'!BC276-Calculation!AI276-Calculation!CZ276</f>
        <v>39.440650406494051</v>
      </c>
      <c r="AE276" s="106">
        <f>Sheet1!AA276+Sheet1!AB276+'Calculations II'!BC276-Calculation!AI276-Calculation!CZ276</f>
        <v>51.860650406490848</v>
      </c>
      <c r="AF276" s="106">
        <f ca="1">Sheet1!AA276+Sheet1!BN276+P276+'Calculations II'!BC276+Calculation!AI276+Calculation!CZ276</f>
        <v>69.704382453280857</v>
      </c>
      <c r="AG276" s="106">
        <f ca="1">IF(B276=TODAY(),0,Sheet1!AA276+Sheet1!BN276+'Calculations II'!BC276+'Calculations II'!P276-Sheet1!CP276-BP276)</f>
        <v>39.785032859786547</v>
      </c>
      <c r="AH276" s="106">
        <f ca="1">IF(B276=TODAY(),0,Sheet1!AA276+Sheet1!BN276+'Calculations II'!BC276+'Calculations II'!P276-BP276)</f>
        <v>57.245032859786548</v>
      </c>
      <c r="AI276" s="106">
        <f ca="1">IF(B276=TODAY(),0,BC276+Sheet1!AA276+Calculation!EI276+O276+W276+Sheet1!BN276+Calculation!AI276+Calculation!CZ276-BP276)</f>
        <v>69.704382453280857</v>
      </c>
      <c r="AJ276" s="106"/>
      <c r="AM276" s="102">
        <f t="shared" si="33"/>
        <v>40805</v>
      </c>
      <c r="AN276" s="106"/>
      <c r="AO276" s="106"/>
      <c r="AR276" s="106"/>
      <c r="AT276" s="101">
        <f>Sheet1!AR276*GPMtoMGD</f>
        <v>0</v>
      </c>
      <c r="AU276" s="101">
        <f>Sheet1!AS276*GPMtoMGD</f>
        <v>5.0688000000000004E-2</v>
      </c>
      <c r="AV276" s="101">
        <f>Sheet1!AT276*GPMtoMGD</f>
        <v>0</v>
      </c>
      <c r="AW276" s="101">
        <f>Sheet1!AV276*GPMtoMGD</f>
        <v>0</v>
      </c>
      <c r="AX276" s="101">
        <f>Sheet1!AW276*GPMtoMGD</f>
        <v>2.9244960000000004</v>
      </c>
      <c r="AY276" s="101">
        <f>Sheet1!AX276*GPMtoMGD</f>
        <v>1.7712000000000002E-2</v>
      </c>
      <c r="AZ276" s="101">
        <f>Sheet1!AY276*GPMtoMGD</f>
        <v>0</v>
      </c>
      <c r="BA276" s="101">
        <f>Sheet1!AZ276*GPMtoMGD</f>
        <v>0</v>
      </c>
      <c r="BB276" s="101">
        <f>Sheet1!BP276*GPMtoMGD</f>
        <v>0</v>
      </c>
      <c r="BC276" s="101">
        <f>Sheet1!CO276*GPMtoMGD</f>
        <v>0</v>
      </c>
      <c r="BD276" s="101">
        <f>Sheet1!BO276*GPMtoMGD</f>
        <v>2.460528</v>
      </c>
      <c r="BE276" s="101">
        <f>Sheet1!BV276*GPMtoMGD</f>
        <v>0.92505599999999999</v>
      </c>
      <c r="BF276" s="101">
        <f>Sheet1!CJ276*GPMtoMGD</f>
        <v>0.56088000000000005</v>
      </c>
      <c r="BG276" s="101">
        <f>Sheet1!CK276*GPMtoMGD</f>
        <v>0.94291199999999997</v>
      </c>
      <c r="BH276" s="101">
        <f>Sheet1!CL276*GPMtoMGD</f>
        <v>0.97329600000000005</v>
      </c>
      <c r="BI276" s="101">
        <f t="shared" si="34"/>
        <v>2.460528</v>
      </c>
      <c r="BK276" s="106">
        <f>SUM(AT276:BA276,BE276,Sheet1!BU276,'Calculations II'!BC276,Calculation!AG276)</f>
        <v>55.178602406502492</v>
      </c>
      <c r="BM276" s="439">
        <f ca="1">IF(B276=TODAY(),0,IF(AND(Sheet1!BQ276&lt;=11.5,Sheet1!BQ275&gt;Sheet1!BQ276),(MIN(Lookup!$C$119,VLOOKUP(Sheet1!BQ275,Lookup!$B$4:$J$236,2))-VLOOKUP(Sheet1!BQ276,Lookup!$B$4:$J$236,2))/1000000,0))</f>
        <v>0</v>
      </c>
      <c r="BN276" s="439">
        <f ca="1">IF(B276=TODAY(),0,IF(AND(Sheet1!BR276&lt;=11.5,Sheet1!BR275&gt;Sheet1!BR276),(MIN(Lookup!$D$119,VLOOKUP(Sheet1!BR275,Lookup!$B$4:$J$236,3))-VLOOKUP(Sheet1!BR276,Lookup!$B$4:$J$236,3))/1000000,0))</f>
        <v>0</v>
      </c>
      <c r="BP276" s="105">
        <f ca="1">SUM(BM276:BN276,W276,Sheet1!DT276)</f>
        <v>0</v>
      </c>
    </row>
    <row r="277" spans="1:68" s="101" customFormat="1">
      <c r="A277" s="101" t="s">
        <v>4</v>
      </c>
      <c r="B277" s="103">
        <v>40806</v>
      </c>
      <c r="C277" s="104">
        <v>0.33333333333357601</v>
      </c>
      <c r="E277" s="30"/>
      <c r="F277" s="30">
        <f ca="1">IF(B277=TODAY(),0,-(VLOOKUP(Sheet1!BZ277,Lookup!$I$4:$J$216,2)-VLOOKUP(Sheet1!BZ276,Lookup!$I$4:$J$216,2))/1000000)</f>
        <v>-0.20727387709559872</v>
      </c>
      <c r="G277" s="106">
        <f ca="1">IF(B277=TODAY(),0,-$G$6*(Sheet1!CB277-Sheet1!CB276)*7.48/1000000)</f>
        <v>0.23828100631535634</v>
      </c>
      <c r="H277" s="106">
        <f ca="1">IF(B277=TODAY(),0,-$G$6*(Sheet1!CC277-Sheet1!CC276)*7.48/1000000)</f>
        <v>-0.39316366042033712</v>
      </c>
      <c r="I277" s="106">
        <f ca="1">IF(B277=TODAY(),0,-$G$6*(Sheet1!CD277-Sheet1!CD276)*7.48/1000000)</f>
        <v>-0.43684851157815213</v>
      </c>
      <c r="J277" s="107" t="s">
        <v>193</v>
      </c>
      <c r="K277" s="106">
        <f ca="1">IF(B277=TODAY(),0,-$I$6*(Sheet1!CD277-Sheet1!CD276)*7.48/1000000)</f>
        <v>-0.19790659270829747</v>
      </c>
      <c r="L277" s="107" t="s">
        <v>193</v>
      </c>
      <c r="M277" s="106">
        <f ca="1">IF(B277=TODAY(),0,-$M$6*(Sheet1!CE277-Sheet1!CE276)*7.48/1000000)</f>
        <v>-5.3306562995667592E-2</v>
      </c>
      <c r="N277" s="106">
        <f ca="1">IF(B277=TODAY(),0,-$N$6*(Sheet1!CF277-Sheet1!CF276)*7.48/1000000)</f>
        <v>0.29164602335473272</v>
      </c>
      <c r="O277" s="106">
        <f t="shared" ca="1" si="30"/>
        <v>-0.75857217512796393</v>
      </c>
      <c r="P277" s="106">
        <f ca="1">O277+Calculation!EI277</f>
        <v>-5.0825721751279636</v>
      </c>
      <c r="Q277" s="101" t="str">
        <f>IF(Sheet1!BQ277&gt;21.75,"spill elevation","-")</f>
        <v>-</v>
      </c>
      <c r="R277" s="101" t="str">
        <f>IF(Sheet1!BR277&gt;21.75,"spill elevation","-")</f>
        <v>-</v>
      </c>
      <c r="S277" s="101" t="str">
        <f>IF(Sheet1!BS277&gt;21.75,"spill elevation","-")</f>
        <v>-</v>
      </c>
      <c r="T277" s="105">
        <f>IF(Sheet1!DQ277=1,Sheet1!AA277-(SUM(AT277:BA277)+BE277),Sheet1!AA277-SUM(AT277:BA277))</f>
        <v>33.40766400000291</v>
      </c>
      <c r="U277" s="105">
        <f>Sheet1!BU277</f>
        <v>28.2</v>
      </c>
      <c r="V277" s="105">
        <f t="shared" si="31"/>
        <v>5.2076640000029109</v>
      </c>
      <c r="W277" s="105">
        <f t="shared" si="32"/>
        <v>0</v>
      </c>
      <c r="X277" s="101">
        <f>IF((Sheet1!EX277-Sheet1!EX276)&lt;0,(Sheet1!EX277+100000-Sheet1!EX276)/1000,(Sheet1!EX277-Sheet1!EX276)/1000)</f>
        <v>1.2450000000000001</v>
      </c>
      <c r="Y277" s="106">
        <f ca="1">Calculation!DZ278+Calculation!EI277+'Calculations II'!O277-'Calculations II'!W277</f>
        <v>66.367427824876401</v>
      </c>
      <c r="Z277" s="106">
        <f ca="1">Y277-Sheet1!CP278</f>
        <v>49.127427824876406</v>
      </c>
      <c r="AA277" s="106">
        <f ca="1">Y277+Calculation!CZ278+Calculation!AI278</f>
        <v>78.50390904879724</v>
      </c>
      <c r="AC277" s="106">
        <f>Sheet1!AA277+Sheet1!AB277+BC277</f>
        <v>70.770000000004075</v>
      </c>
      <c r="AD277" s="106">
        <f>Sheet1!AA277+Sheet1!BN277+'Calculations II'!BC277-Calculation!AI277-Calculation!CZ277</f>
        <v>46.489698996658035</v>
      </c>
      <c r="AE277" s="106">
        <f>Sheet1!AA277+Sheet1!AB277+'Calculations II'!BC277-Calculation!AI277-Calculation!CZ277</f>
        <v>58.659698996659202</v>
      </c>
      <c r="AF277" s="106">
        <f ca="1">Sheet1!AA277+Sheet1!BN277+P277+'Calculations II'!BC277+Calculation!AI277+Calculation!CZ277</f>
        <v>65.627728828219816</v>
      </c>
      <c r="AG277" s="106">
        <f ca="1">IF(B277=TODAY(),0,Sheet1!AA277+Sheet1!BN277+'Calculations II'!BC277+'Calculations II'!P277-Sheet1!CP277-BP277)</f>
        <v>36.807427824874942</v>
      </c>
      <c r="AH277" s="106">
        <f ca="1">IF(B277=TODAY(),0,Sheet1!AA277+Sheet1!BN277+'Calculations II'!BC277+'Calculations II'!P277-BP277)</f>
        <v>53.517427824874943</v>
      </c>
      <c r="AI277" s="106">
        <f ca="1">IF(B277=TODAY(),0,BC277+Sheet1!AA277+Calculation!EI277+O277+W277+Sheet1!BN277+Calculation!AI277+Calculation!CZ277-BP277)</f>
        <v>65.62772882821983</v>
      </c>
      <c r="AJ277" s="106"/>
      <c r="AM277" s="102">
        <f t="shared" si="33"/>
        <v>40806</v>
      </c>
      <c r="AN277" s="106"/>
      <c r="AO277" s="106"/>
      <c r="AR277" s="106"/>
      <c r="AT277" s="101">
        <f>Sheet1!AR277*GPMtoMGD</f>
        <v>0</v>
      </c>
      <c r="AU277" s="101">
        <f>Sheet1!AS277*GPMtoMGD</f>
        <v>2.6352000000000004E-2</v>
      </c>
      <c r="AV277" s="101">
        <f>Sheet1!AT277*GPMtoMGD</f>
        <v>0</v>
      </c>
      <c r="AW277" s="101">
        <f>Sheet1!AV277*GPMtoMGD</f>
        <v>0</v>
      </c>
      <c r="AX277" s="101">
        <f>Sheet1!AW277*GPMtoMGD</f>
        <v>1.3589280000000001</v>
      </c>
      <c r="AY277" s="101">
        <f>Sheet1!AX277*GPMtoMGD</f>
        <v>7.0560000000000006E-3</v>
      </c>
      <c r="AZ277" s="101">
        <f>Sheet1!AY277*GPMtoMGD</f>
        <v>0</v>
      </c>
      <c r="BA277" s="101">
        <f>Sheet1!AZ277*GPMtoMGD</f>
        <v>0</v>
      </c>
      <c r="BB277" s="101">
        <f>Sheet1!BP277*GPMtoMGD</f>
        <v>4.1760000000000005E-2</v>
      </c>
      <c r="BC277" s="101">
        <f>Sheet1!CO277*GPMtoMGD</f>
        <v>0</v>
      </c>
      <c r="BD277" s="101">
        <f>Sheet1!BO277*GPMtoMGD</f>
        <v>2.9371680000000002</v>
      </c>
      <c r="BE277" s="101">
        <f>Sheet1!BV277*GPMtoMGD</f>
        <v>0.81187200000000004</v>
      </c>
      <c r="BF277" s="101">
        <f>Sheet1!CJ277*GPMtoMGD</f>
        <v>0.52027200000000007</v>
      </c>
      <c r="BG277" s="101">
        <f>Sheet1!CK277*GPMtoMGD</f>
        <v>0.90360000000000007</v>
      </c>
      <c r="BH277" s="101">
        <f>Sheet1!CL277*GPMtoMGD</f>
        <v>0.97603200000000001</v>
      </c>
      <c r="BI277" s="101">
        <f t="shared" si="34"/>
        <v>2.9789280000000002</v>
      </c>
      <c r="BK277" s="106">
        <f>SUM(AT277:BA277,BE277,Sheet1!BU277,'Calculations II'!BC277,Calculation!AG277)</f>
        <v>54.263906996656289</v>
      </c>
      <c r="BM277" s="439">
        <f ca="1">IF(B277=TODAY(),0,IF(AND(Sheet1!BQ277&lt;=11.5,Sheet1!BQ276&gt;Sheet1!BQ277),(MIN(Lookup!$C$119,VLOOKUP(Sheet1!BQ276,Lookup!$B$4:$J$236,2))-VLOOKUP(Sheet1!BQ277,Lookup!$B$4:$J$236,2))/1000000,0))</f>
        <v>0</v>
      </c>
      <c r="BN277" s="439">
        <f ca="1">IF(B277=TODAY(),0,IF(AND(Sheet1!BR277&lt;=11.5,Sheet1!BR276&gt;Sheet1!BR277),(MIN(Lookup!$D$119,VLOOKUP(Sheet1!BR276,Lookup!$B$4:$J$236,3))-VLOOKUP(Sheet1!BR277,Lookup!$B$4:$J$236,3))/1000000,0))</f>
        <v>0</v>
      </c>
      <c r="BP277" s="105">
        <f ca="1">SUM(BM277:BN277,W277,Sheet1!DT277)</f>
        <v>0</v>
      </c>
    </row>
    <row r="278" spans="1:68" s="101" customFormat="1">
      <c r="A278" s="101" t="s">
        <v>5</v>
      </c>
      <c r="B278" s="103">
        <v>40807</v>
      </c>
      <c r="C278" s="104">
        <v>0.33333333333357601</v>
      </c>
      <c r="E278" s="30"/>
      <c r="F278" s="30">
        <f ca="1">IF(B278=TODAY(),0,-(VLOOKUP(Sheet1!BZ278,Lookup!$I$4:$J$216,2)-VLOOKUP(Sheet1!BZ277,Lookup!$I$4:$J$216,2))/1000000)</f>
        <v>0.10363693854779936</v>
      </c>
      <c r="G278" s="106">
        <f ca="1">IF(B278=TODAY(),0,-$G$6*(Sheet1!CB278-Sheet1!CB277)*7.48/1000000)</f>
        <v>0.39713501052559297</v>
      </c>
      <c r="H278" s="106">
        <f ca="1">IF(B278=TODAY(),0,-$G$6*(Sheet1!CC278-Sheet1!CC277)*7.48/1000000)</f>
        <v>3.5742150947303306E-2</v>
      </c>
      <c r="I278" s="106">
        <f ca="1">IF(B278=TODAY(),0,-$G$6*(Sheet1!CD278-Sheet1!CD277)*7.48/1000000)</f>
        <v>0</v>
      </c>
      <c r="J278" s="107" t="s">
        <v>193</v>
      </c>
      <c r="K278" s="106">
        <f ca="1">IF(B278=TODAY(),0,-$I$6*(Sheet1!CD278-Sheet1!CD277)*7.48/1000000)</f>
        <v>0</v>
      </c>
      <c r="L278" s="107" t="s">
        <v>193</v>
      </c>
      <c r="M278" s="106">
        <f ca="1">IF(B278=TODAY(),0,-$M$6*(Sheet1!CE278-Sheet1!CE277)*7.48/1000000)</f>
        <v>0</v>
      </c>
      <c r="N278" s="106">
        <f ca="1">IF(B278=TODAY(),0,-$N$6*(Sheet1!CF278-Sheet1!CF277)*7.48/1000000)</f>
        <v>-3.723140723677465E-2</v>
      </c>
      <c r="O278" s="106">
        <f t="shared" ca="1" si="30"/>
        <v>0.4992826927839209</v>
      </c>
      <c r="P278" s="106">
        <f ca="1">O278+Calculation!EI278</f>
        <v>-0.59511730721607892</v>
      </c>
      <c r="Q278" s="101" t="str">
        <f>IF(Sheet1!BQ278&gt;21.75,"spill elevation","-")</f>
        <v>-</v>
      </c>
      <c r="R278" s="101" t="str">
        <f>IF(Sheet1!BR278&gt;21.75,"spill elevation","-")</f>
        <v>-</v>
      </c>
      <c r="S278" s="101" t="str">
        <f>IF(Sheet1!BS278&gt;21.75,"spill elevation","-")</f>
        <v>-</v>
      </c>
      <c r="T278" s="105">
        <f>IF(Sheet1!DQ278=1,Sheet1!AA278-(SUM(AT278:BA278)+BE278),Sheet1!AA278-SUM(AT278:BA278))</f>
        <v>32.485472000008151</v>
      </c>
      <c r="U278" s="105">
        <f>Sheet1!BU278</f>
        <v>30.9</v>
      </c>
      <c r="V278" s="105">
        <f t="shared" si="31"/>
        <v>1.5854720000081528</v>
      </c>
      <c r="W278" s="105">
        <f t="shared" si="32"/>
        <v>0</v>
      </c>
      <c r="X278" s="101">
        <f>IF((Sheet1!EX278-Sheet1!EX277)&lt;0,(Sheet1!EX278+100000-Sheet1!EX277)/1000,(Sheet1!EX278-Sheet1!EX277)/1000)</f>
        <v>1.19</v>
      </c>
      <c r="Y278" s="106">
        <f ca="1">Calculation!DZ279+Calculation!EI278+'Calculations II'!O278-'Calculations II'!W278</f>
        <v>70.16488269277869</v>
      </c>
      <c r="Z278" s="106">
        <f ca="1">Y278-Sheet1!CP279</f>
        <v>52.254882692778693</v>
      </c>
      <c r="AA278" s="106">
        <f ca="1">Y278+Calculation!CZ279+Calculation!AI279</f>
        <v>82.377539810580501</v>
      </c>
      <c r="AC278" s="106">
        <f>Sheet1!AA278+Sheet1!AB278+BC278</f>
        <v>71.450000000004366</v>
      </c>
      <c r="AD278" s="106">
        <f>Sheet1!AA278+Sheet1!BN278+'Calculations II'!BC278-Calculation!AI278-Calculation!CZ278</f>
        <v>47.203518776087307</v>
      </c>
      <c r="AE278" s="106">
        <f>Sheet1!AA278+Sheet1!AB278+'Calculations II'!BC278-Calculation!AI278-Calculation!CZ278</f>
        <v>59.313518776083527</v>
      </c>
      <c r="AF278" s="106">
        <f ca="1">Sheet1!AA278+Sheet1!BN278+P278+'Calculations II'!BC278+Calculation!AI278+Calculation!CZ278</f>
        <v>70.8813639167129</v>
      </c>
      <c r="AG278" s="106">
        <f ca="1">IF(B278=TODAY(),0,Sheet1!AA278+Sheet1!BN278+'Calculations II'!BC278+'Calculations II'!P278-Sheet1!CP278-BP278)</f>
        <v>41.504882692792066</v>
      </c>
      <c r="AH278" s="106">
        <f ca="1">IF(B278=TODAY(),0,Sheet1!AA278+Sheet1!BN278+'Calculations II'!BC278+'Calculations II'!P278-BP278)</f>
        <v>58.744882692792068</v>
      </c>
      <c r="AI278" s="106">
        <f ca="1">IF(B278=TODAY(),0,BC278+Sheet1!AA278+Calculation!EI278+O278+W278+Sheet1!BN278+Calculation!AI278+Calculation!CZ278-BP278)</f>
        <v>70.881363916712914</v>
      </c>
      <c r="AJ278" s="106"/>
      <c r="AM278" s="102">
        <f t="shared" si="33"/>
        <v>40807</v>
      </c>
      <c r="AN278" s="106"/>
      <c r="AO278" s="106"/>
      <c r="AR278" s="106"/>
      <c r="AT278" s="101">
        <f>Sheet1!AR278*GPMtoMGD</f>
        <v>0</v>
      </c>
      <c r="AU278" s="101">
        <f>Sheet1!AS278*GPMtoMGD</f>
        <v>2.7072000000000002E-2</v>
      </c>
      <c r="AV278" s="101">
        <f>Sheet1!AT278*GPMtoMGD</f>
        <v>0</v>
      </c>
      <c r="AW278" s="101">
        <f>Sheet1!AV278*GPMtoMGD</f>
        <v>0</v>
      </c>
      <c r="AX278" s="101">
        <f>Sheet1!AW278*GPMtoMGD</f>
        <v>3.0111840000000001</v>
      </c>
      <c r="AY278" s="101">
        <f>Sheet1!AX278*GPMtoMGD</f>
        <v>1.6272000000000002E-2</v>
      </c>
      <c r="AZ278" s="101">
        <f>Sheet1!AY278*GPMtoMGD</f>
        <v>0</v>
      </c>
      <c r="BA278" s="101">
        <f>Sheet1!AZ278*GPMtoMGD</f>
        <v>0</v>
      </c>
      <c r="BB278" s="101">
        <f>Sheet1!BP278*GPMtoMGD</f>
        <v>0</v>
      </c>
      <c r="BC278" s="101">
        <f>Sheet1!CO278*GPMtoMGD</f>
        <v>0</v>
      </c>
      <c r="BD278" s="101">
        <f>Sheet1!BO278*GPMtoMGD</f>
        <v>2.869488</v>
      </c>
      <c r="BE278" s="101">
        <f>Sheet1!BV278*GPMtoMGD</f>
        <v>1.351728</v>
      </c>
      <c r="BF278" s="101">
        <f>Sheet1!CJ278*GPMtoMGD</f>
        <v>0.57859200000000011</v>
      </c>
      <c r="BG278" s="101">
        <f>Sheet1!CK278*GPMtoMGD</f>
        <v>0.95947199999999999</v>
      </c>
      <c r="BH278" s="101">
        <f>Sheet1!CL278*GPMtoMGD</f>
        <v>0.97430400000000006</v>
      </c>
      <c r="BI278" s="101">
        <f t="shared" si="34"/>
        <v>2.869488</v>
      </c>
      <c r="BK278" s="106">
        <f>SUM(AT278:BA278,BE278,Sheet1!BU278,'Calculations II'!BC278,Calculation!AG278)</f>
        <v>59.079774776075382</v>
      </c>
      <c r="BM278" s="439">
        <f ca="1">IF(B278=TODAY(),0,IF(AND(Sheet1!BQ278&lt;=11.5,Sheet1!BQ277&gt;Sheet1!BQ278),(MIN(Lookup!$C$119,VLOOKUP(Sheet1!BQ277,Lookup!$B$4:$J$236,2))-VLOOKUP(Sheet1!BQ278,Lookup!$B$4:$J$236,2))/1000000,0))</f>
        <v>0</v>
      </c>
      <c r="BN278" s="439">
        <f ca="1">IF(B278=TODAY(),0,IF(AND(Sheet1!BR278&lt;=11.5,Sheet1!BR277&gt;Sheet1!BR278),(MIN(Lookup!$D$119,VLOOKUP(Sheet1!BR277,Lookup!$B$4:$J$236,3))-VLOOKUP(Sheet1!BR278,Lookup!$B$4:$J$236,3))/1000000,0))</f>
        <v>0</v>
      </c>
      <c r="BP278" s="105">
        <f ca="1">SUM(BM278:BN278,W278,Sheet1!DT278)</f>
        <v>0</v>
      </c>
    </row>
    <row r="279" spans="1:68" s="101" customFormat="1">
      <c r="A279" s="101" t="s">
        <v>6</v>
      </c>
      <c r="B279" s="103">
        <v>40808</v>
      </c>
      <c r="C279" s="104">
        <v>0.33333333333357601</v>
      </c>
      <c r="E279" s="30"/>
      <c r="F279" s="30">
        <f ca="1">IF(B279=TODAY(),0,-(VLOOKUP(Sheet1!BZ279,Lookup!$I$4:$J$216,2)-VLOOKUP(Sheet1!BZ278,Lookup!$I$4:$J$216,2))/1000000)</f>
        <v>-0.20727387709559872</v>
      </c>
      <c r="G279" s="106">
        <f ca="1">IF(B279=TODAY(),0,-$G$6*(Sheet1!CB279-Sheet1!CB278)*7.48/1000000)</f>
        <v>3.9713501052558449E-2</v>
      </c>
      <c r="H279" s="106">
        <f ca="1">IF(B279=TODAY(),0,-$G$6*(Sheet1!CC279-Sheet1!CC278)*7.48/1000000)</f>
        <v>-3.9713501052559157E-2</v>
      </c>
      <c r="I279" s="106">
        <f ca="1">IF(B279=TODAY(),0,-$G$6*(Sheet1!CD279-Sheet1!CD278)*7.48/1000000)</f>
        <v>0</v>
      </c>
      <c r="J279" s="107" t="s">
        <v>193</v>
      </c>
      <c r="K279" s="106">
        <f ca="1">IF(B279=TODAY(),0,-$I$6*(Sheet1!CD279-Sheet1!CD278)*7.48/1000000)</f>
        <v>0</v>
      </c>
      <c r="L279" s="107" t="s">
        <v>193</v>
      </c>
      <c r="M279" s="106">
        <f ca="1">IF(B279=TODAY(),0,-$M$6*(Sheet1!CE279-Sheet1!CE278)*7.48/1000000)</f>
        <v>-6.6633203744583007E-3</v>
      </c>
      <c r="N279" s="106">
        <f ca="1">IF(B279=TODAY(),0,-$N$6*(Sheet1!CF279-Sheet1!CF278)*7.48/1000000)</f>
        <v>1.2410469078924517E-2</v>
      </c>
      <c r="O279" s="106">
        <f t="shared" ca="1" si="30"/>
        <v>-0.20152672839113323</v>
      </c>
      <c r="P279" s="106">
        <f ca="1">O279+Calculation!EI279</f>
        <v>-1.2959267283911331</v>
      </c>
      <c r="Q279" s="101" t="str">
        <f>IF(Sheet1!BQ279&gt;21.75,"spill elevation","-")</f>
        <v>-</v>
      </c>
      <c r="R279" s="101" t="str">
        <f>IF(Sheet1!BR279&gt;21.75,"spill elevation","-")</f>
        <v>-</v>
      </c>
      <c r="S279" s="101" t="str">
        <f>IF(Sheet1!BS279&gt;21.75,"spill elevation","-")</f>
        <v>-</v>
      </c>
      <c r="T279" s="105">
        <f>IF(Sheet1!DQ279=1,Sheet1!AA279-(SUM(AT279:BA279)+BE279),Sheet1!AA279-SUM(AT279:BA279))</f>
        <v>34.363951999994761</v>
      </c>
      <c r="U279" s="105">
        <f>Sheet1!BU279</f>
        <v>32.4</v>
      </c>
      <c r="V279" s="105">
        <f t="shared" si="31"/>
        <v>1.9639519999947623</v>
      </c>
      <c r="W279" s="105">
        <f t="shared" si="32"/>
        <v>0</v>
      </c>
      <c r="X279" s="101">
        <f>IF((Sheet1!EX279-Sheet1!EX278)&lt;0,(Sheet1!EX279+100000-Sheet1!EX278)/1000,(Sheet1!EX279-Sheet1!EX278)/1000)</f>
        <v>1.23</v>
      </c>
      <c r="Y279" s="106">
        <f ca="1">Calculation!DZ280+Calculation!EI279+'Calculations II'!O279-'Calculations II'!W279</f>
        <v>65.204073271616153</v>
      </c>
      <c r="Z279" s="106">
        <f ca="1">Y279-Sheet1!CP280</f>
        <v>46.614073271616149</v>
      </c>
      <c r="AA279" s="106">
        <f ca="1">Y279+Calculation!CZ280+Calculation!AI280</f>
        <v>76.592782949037129</v>
      </c>
      <c r="AC279" s="106">
        <f>Sheet1!AA279+Sheet1!AB279+BC279</f>
        <v>70.759999999994761</v>
      </c>
      <c r="AD279" s="106">
        <f>Sheet1!AA279+Sheet1!BN279+'Calculations II'!BC279-Calculation!AI279-Calculation!CZ279</f>
        <v>46.147342882192952</v>
      </c>
      <c r="AE279" s="106">
        <f>Sheet1!AA279+Sheet1!AB279+'Calculations II'!BC279-Calculation!AI279-Calculation!CZ279</f>
        <v>58.54734288219295</v>
      </c>
      <c r="AF279" s="106">
        <f ca="1">Sheet1!AA279+Sheet1!BN279+P279+'Calculations II'!BC279+Calculation!AI279+Calculation!CZ279</f>
        <v>69.276730389405444</v>
      </c>
      <c r="AG279" s="106">
        <f ca="1">IF(B279=TODAY(),0,Sheet1!AA279+Sheet1!BN279+'Calculations II'!BC279+'Calculations II'!P279-Sheet1!CP279-BP279)</f>
        <v>39.154073271603636</v>
      </c>
      <c r="AH279" s="106">
        <f ca="1">IF(B279=TODAY(),0,Sheet1!AA279+Sheet1!BN279+'Calculations II'!BC279+'Calculations II'!P279-BP279)</f>
        <v>57.064073271603633</v>
      </c>
      <c r="AI279" s="106">
        <f ca="1">IF(B279=TODAY(),0,BC279+Sheet1!AA279+Calculation!EI279+O279+W279+Sheet1!BN279+Calculation!AI279+Calculation!CZ279-BP279)</f>
        <v>69.276730389405444</v>
      </c>
      <c r="AJ279" s="106"/>
      <c r="AM279" s="102">
        <f t="shared" si="33"/>
        <v>40808</v>
      </c>
      <c r="AN279" s="106"/>
      <c r="AO279" s="106"/>
      <c r="AR279" s="106"/>
      <c r="AT279" s="101">
        <f>Sheet1!AR279*GPMtoMGD</f>
        <v>0</v>
      </c>
      <c r="AU279" s="101">
        <f>Sheet1!AS279*GPMtoMGD</f>
        <v>2.5776E-2</v>
      </c>
      <c r="AV279" s="101">
        <f>Sheet1!AT279*GPMtoMGD</f>
        <v>0</v>
      </c>
      <c r="AW279" s="101">
        <f>Sheet1!AV279*GPMtoMGD</f>
        <v>0</v>
      </c>
      <c r="AX279" s="101">
        <f>Sheet1!AW279*GPMtoMGD</f>
        <v>1.8604800000000001</v>
      </c>
      <c r="AY279" s="101">
        <f>Sheet1!AX279*GPMtoMGD</f>
        <v>9.7920000000000004E-3</v>
      </c>
      <c r="AZ279" s="101">
        <f>Sheet1!AY279*GPMtoMGD</f>
        <v>0</v>
      </c>
      <c r="BA279" s="101">
        <f>Sheet1!AZ279*GPMtoMGD</f>
        <v>0</v>
      </c>
      <c r="BB279" s="101">
        <f>Sheet1!BP279*GPMtoMGD</f>
        <v>0</v>
      </c>
      <c r="BC279" s="101">
        <f>Sheet1!CO279*GPMtoMGD</f>
        <v>0</v>
      </c>
      <c r="BD279" s="101">
        <f>Sheet1!BO279*GPMtoMGD</f>
        <v>2.7852480000000002</v>
      </c>
      <c r="BE279" s="101">
        <f>Sheet1!BV279*GPMtoMGD</f>
        <v>1.018224</v>
      </c>
      <c r="BF279" s="101">
        <f>Sheet1!CJ279*GPMtoMGD</f>
        <v>0.542736</v>
      </c>
      <c r="BG279" s="101">
        <f>Sheet1!CK279*GPMtoMGD</f>
        <v>0.85723199999999999</v>
      </c>
      <c r="BH279" s="101">
        <f>Sheet1!CL279*GPMtoMGD</f>
        <v>0.9822240000000001</v>
      </c>
      <c r="BI279" s="101">
        <f t="shared" si="34"/>
        <v>2.7852480000000002</v>
      </c>
      <c r="BK279" s="106">
        <f>SUM(AT279:BA279,BE279,Sheet1!BU279,'Calculations II'!BC279,Calculation!AG279)</f>
        <v>57.601614882198191</v>
      </c>
      <c r="BM279" s="439">
        <f ca="1">IF(B279=TODAY(),0,IF(AND(Sheet1!BQ279&lt;=11.5,Sheet1!BQ278&gt;Sheet1!BQ279),(MIN(Lookup!$C$119,VLOOKUP(Sheet1!BQ278,Lookup!$B$4:$J$236,2))-VLOOKUP(Sheet1!BQ279,Lookup!$B$4:$J$236,2))/1000000,0))</f>
        <v>0</v>
      </c>
      <c r="BN279" s="439">
        <f ca="1">IF(B279=TODAY(),0,IF(AND(Sheet1!BR279&lt;=11.5,Sheet1!BR278&gt;Sheet1!BR279),(MIN(Lookup!$D$119,VLOOKUP(Sheet1!BR278,Lookup!$B$4:$J$236,3))-VLOOKUP(Sheet1!BR279,Lookup!$B$4:$J$236,3))/1000000,0))</f>
        <v>0</v>
      </c>
      <c r="BP279" s="105">
        <f ca="1">SUM(BM279:BN279,W279,Sheet1!DT279)</f>
        <v>0</v>
      </c>
    </row>
    <row r="280" spans="1:68" s="101" customFormat="1">
      <c r="A280" s="101" t="s">
        <v>7</v>
      </c>
      <c r="B280" s="103">
        <v>40809</v>
      </c>
      <c r="C280" s="104">
        <v>0.33333333333357601</v>
      </c>
      <c r="E280" s="30"/>
      <c r="F280" s="30">
        <f ca="1">IF(B280=TODAY(),0,-(VLOOKUP(Sheet1!BZ280,Lookup!$I$4:$J$216,2)-VLOOKUP(Sheet1!BZ279,Lookup!$I$4:$J$216,2))/1000000)</f>
        <v>0</v>
      </c>
      <c r="G280" s="106">
        <f ca="1">IF(B280=TODAY(),0,-$G$6*(Sheet1!CB280-Sheet1!CB279)*7.48/1000000)</f>
        <v>-9.9283752631398242E-2</v>
      </c>
      <c r="H280" s="106">
        <f ca="1">IF(B280=TODAY(),0,-$G$6*(Sheet1!CC280-Sheet1!CC279)*7.48/1000000)</f>
        <v>0.39713501052559297</v>
      </c>
      <c r="I280" s="106">
        <f ca="1">IF(B280=TODAY(),0,-$G$6*(Sheet1!CD280-Sheet1!CD279)*7.48/1000000)</f>
        <v>0.39713501052559297</v>
      </c>
      <c r="J280" s="107" t="s">
        <v>193</v>
      </c>
      <c r="K280" s="106">
        <f ca="1">IF(B280=TODAY(),0,-$I$6*(Sheet1!CD280-Sheet1!CD279)*7.48/1000000)</f>
        <v>0.17991508428027048</v>
      </c>
      <c r="L280" s="107" t="s">
        <v>193</v>
      </c>
      <c r="M280" s="106">
        <f ca="1">IF(B280=TODAY(),0,-$M$6*(Sheet1!CE280-Sheet1!CE279)*7.48/1000000)</f>
        <v>7.995984449350127E-2</v>
      </c>
      <c r="N280" s="106">
        <f ca="1">IF(B280=TODAY(),0,-$N$6*(Sheet1!CF280-Sheet1!CF279)*7.48/1000000)</f>
        <v>8.6873283552473798E-2</v>
      </c>
      <c r="O280" s="106">
        <f t="shared" ca="1" si="30"/>
        <v>1.0417344807460331</v>
      </c>
      <c r="P280" s="106">
        <f ca="1">O280+Calculation!EI280</f>
        <v>6.4735344807460331</v>
      </c>
      <c r="Q280" s="101" t="str">
        <f>IF(Sheet1!BQ280&gt;21.75,"spill elevation","-")</f>
        <v>-</v>
      </c>
      <c r="R280" s="101" t="str">
        <f>IF(Sheet1!BR280&gt;21.75,"spill elevation","-")</f>
        <v>-</v>
      </c>
      <c r="S280" s="101" t="str">
        <f>IF(Sheet1!BS280&gt;21.75,"spill elevation","-")</f>
        <v>-</v>
      </c>
      <c r="T280" s="105">
        <f>IF(Sheet1!DQ280=1,Sheet1!AA280-(SUM(AT280:BA280)+BE280),Sheet1!AA280-SUM(AT280:BA280))</f>
        <v>33.287776000002907</v>
      </c>
      <c r="U280" s="105">
        <f>Sheet1!BU280</f>
        <v>37.700000000000003</v>
      </c>
      <c r="V280" s="105">
        <f t="shared" si="31"/>
        <v>-4.4122239999970958</v>
      </c>
      <c r="W280" s="105">
        <f t="shared" si="32"/>
        <v>0</v>
      </c>
      <c r="X280" s="101">
        <f>IF((Sheet1!EX280-Sheet1!EX279)&lt;0,(Sheet1!EX280+100000-Sheet1!EX279)/1000,(Sheet1!EX280-Sheet1!EX279)/1000)</f>
        <v>1.2210000000000001</v>
      </c>
      <c r="Y280" s="106">
        <f ca="1">Calculation!DZ281+Calculation!EI280+'Calculations II'!O280-'Calculations II'!W280</f>
        <v>73.443534480732637</v>
      </c>
      <c r="Z280" s="106">
        <f ca="1">Y280-Sheet1!CP281</f>
        <v>54.673534480732641</v>
      </c>
      <c r="AA280" s="106">
        <f ca="1">Y280+Calculation!CZ281+Calculation!AI281</f>
        <v>84.591526721274334</v>
      </c>
      <c r="AC280" s="106">
        <f>Sheet1!AA280+Sheet1!AB280+BC280</f>
        <v>66.500000000007276</v>
      </c>
      <c r="AD280" s="106">
        <f>Sheet1!AA280+Sheet1!BN280+'Calculations II'!BC280-Calculation!AI280-Calculation!CZ280</f>
        <v>43.911290322581934</v>
      </c>
      <c r="AE280" s="106">
        <f>Sheet1!AA280+Sheet1!AB280+'Calculations II'!BC280-Calculation!AI280-Calculation!CZ280</f>
        <v>55.111290322586299</v>
      </c>
      <c r="AF280" s="106">
        <f ca="1">Sheet1!AA280+Sheet1!BN280+P280+'Calculations II'!BC280+Calculation!AI280+Calculation!CZ280</f>
        <v>73.162244158169912</v>
      </c>
      <c r="AG280" s="106">
        <f ca="1">IF(B280=TODAY(),0,Sheet1!AA280+Sheet1!BN280+'Calculations II'!BC280+'Calculations II'!P280-Sheet1!CP280-BP280)</f>
        <v>43.183534480748946</v>
      </c>
      <c r="AH280" s="106">
        <f ca="1">IF(B280=TODAY(),0,Sheet1!AA280+Sheet1!BN280+'Calculations II'!BC280+'Calculations II'!P280-BP280)</f>
        <v>61.773534480748943</v>
      </c>
      <c r="AI280" s="106">
        <f ca="1">IF(B280=TODAY(),0,BC280+Sheet1!AA280+Calculation!EI280+O280+W280+Sheet1!BN280+Calculation!AI280+Calculation!CZ280-BP280)</f>
        <v>73.162244158169926</v>
      </c>
      <c r="AJ280" s="106"/>
      <c r="AM280" s="102">
        <f t="shared" si="33"/>
        <v>40809</v>
      </c>
      <c r="AN280" s="106"/>
      <c r="AO280" s="106"/>
      <c r="AR280" s="106"/>
      <c r="AT280" s="101">
        <f>Sheet1!AR280*GPMtoMGD</f>
        <v>0</v>
      </c>
      <c r="AU280" s="101">
        <f>Sheet1!AS280*GPMtoMGD</f>
        <v>5.1552000000000001E-2</v>
      </c>
      <c r="AV280" s="101">
        <f>Sheet1!AT280*GPMtoMGD</f>
        <v>0</v>
      </c>
      <c r="AW280" s="101">
        <f>Sheet1!AV280*GPMtoMGD</f>
        <v>0</v>
      </c>
      <c r="AX280" s="101">
        <f>Sheet1!AW280*GPMtoMGD</f>
        <v>2.4376320000000002</v>
      </c>
      <c r="AY280" s="101">
        <f>Sheet1!AX280*GPMtoMGD</f>
        <v>2.3040000000000001E-2</v>
      </c>
      <c r="AZ280" s="101">
        <f>Sheet1!AY280*GPMtoMGD</f>
        <v>0</v>
      </c>
      <c r="BA280" s="101">
        <f>Sheet1!AZ280*GPMtoMGD</f>
        <v>0</v>
      </c>
      <c r="BB280" s="101">
        <f>Sheet1!BP280*GPMtoMGD</f>
        <v>0</v>
      </c>
      <c r="BC280" s="101">
        <f>Sheet1!CO280*GPMtoMGD</f>
        <v>0</v>
      </c>
      <c r="BD280" s="101">
        <f>Sheet1!BO280*GPMtoMGD</f>
        <v>2.7204480000000002</v>
      </c>
      <c r="BE280" s="101">
        <f>Sheet1!BV280*GPMtoMGD</f>
        <v>0.85521599999999998</v>
      </c>
      <c r="BF280" s="101">
        <f>Sheet1!CJ280*GPMtoMGD</f>
        <v>0.96811199999999997</v>
      </c>
      <c r="BG280" s="101">
        <f>Sheet1!CK280*GPMtoMGD</f>
        <v>0.77544000000000002</v>
      </c>
      <c r="BH280" s="101">
        <f>Sheet1!CL280*GPMtoMGD</f>
        <v>1.13544</v>
      </c>
      <c r="BI280" s="101">
        <f t="shared" si="34"/>
        <v>2.7204480000000002</v>
      </c>
      <c r="BK280" s="106">
        <f>SUM(AT280:BA280,BE280,Sheet1!BU280,'Calculations II'!BC280,Calculation!AG280)</f>
        <v>60.378730322583394</v>
      </c>
      <c r="BM280" s="439">
        <f ca="1">IF(B280=TODAY(),0,IF(AND(Sheet1!BQ280&lt;=11.5,Sheet1!BQ279&gt;Sheet1!BQ280),(MIN(Lookup!$C$119,VLOOKUP(Sheet1!BQ279,Lookup!$B$4:$J$236,2))-VLOOKUP(Sheet1!BQ280,Lookup!$B$4:$J$236,2))/1000000,0))</f>
        <v>0</v>
      </c>
      <c r="BN280" s="439">
        <f ca="1">IF(B280=TODAY(),0,IF(AND(Sheet1!BR280&lt;=11.5,Sheet1!BR279&gt;Sheet1!BR280),(MIN(Lookup!$D$119,VLOOKUP(Sheet1!BR279,Lookup!$B$4:$J$236,3))-VLOOKUP(Sheet1!BR280,Lookup!$B$4:$J$236,3))/1000000,0))</f>
        <v>0</v>
      </c>
      <c r="BP280" s="105">
        <f ca="1">SUM(BM280:BN280,W280,Sheet1!DT280)</f>
        <v>0</v>
      </c>
    </row>
    <row r="281" spans="1:68" s="101" customFormat="1">
      <c r="A281" s="101" t="s">
        <v>8</v>
      </c>
      <c r="B281" s="103">
        <v>40810</v>
      </c>
      <c r="C281" s="104">
        <v>0.33333333333357601</v>
      </c>
      <c r="E281" s="30"/>
      <c r="F281" s="30">
        <f ca="1">IF(B281=TODAY(),0,-(VLOOKUP(Sheet1!BZ281,Lookup!$I$4:$J$216,2)-VLOOKUP(Sheet1!BZ280,Lookup!$I$4:$J$216,2))/1000000)</f>
        <v>0</v>
      </c>
      <c r="G281" s="106">
        <f ca="1">IF(B281=TODAY(),0,-$G$6*(Sheet1!CB281-Sheet1!CB280)*7.48/1000000)</f>
        <v>0.41699176105187291</v>
      </c>
      <c r="H281" s="106">
        <f ca="1">IF(B281=TODAY(),0,-$G$6*(Sheet1!CC281-Sheet1!CC280)*7.48/1000000)</f>
        <v>-0.19856750526279648</v>
      </c>
      <c r="I281" s="106">
        <f ca="1">IF(B281=TODAY(),0,-$G$6*(Sheet1!CD281-Sheet1!CD280)*7.48/1000000)</f>
        <v>-0.23828100631535634</v>
      </c>
      <c r="J281" s="107" t="s">
        <v>193</v>
      </c>
      <c r="K281" s="106">
        <f ca="1">IF(B281=TODAY(),0,-$I$6*(Sheet1!CD281-Sheet1!CD280)*7.48/1000000)</f>
        <v>-0.10794905056816255</v>
      </c>
      <c r="L281" s="107" t="s">
        <v>193</v>
      </c>
      <c r="M281" s="106">
        <f ca="1">IF(B281=TODAY(),0,-$M$6*(Sheet1!CE281-Sheet1!CE280)*7.48/1000000)</f>
        <v>-3.9979922246750753E-2</v>
      </c>
      <c r="N281" s="106">
        <f ca="1">IF(B281=TODAY(),0,-$N$6*(Sheet1!CF281-Sheet1!CF280)*7.48/1000000)</f>
        <v>3.1026172697312393E-2</v>
      </c>
      <c r="O281" s="106">
        <f t="shared" ca="1" si="30"/>
        <v>-0.13675955064388082</v>
      </c>
      <c r="P281" s="106">
        <f ca="1">O281+Calculation!EI281</f>
        <v>2.0252404493561191</v>
      </c>
      <c r="Q281" s="101" t="str">
        <f>IF(Sheet1!BQ281&gt;21.75,"spill elevation","-")</f>
        <v>-</v>
      </c>
      <c r="R281" s="101" t="str">
        <f>IF(Sheet1!BR281&gt;21.75,"spill elevation","-")</f>
        <v>-</v>
      </c>
      <c r="S281" s="101" t="str">
        <f>IF(Sheet1!BS281&gt;21.75,"spill elevation","-")</f>
        <v>-</v>
      </c>
      <c r="T281" s="105">
        <f>IF(Sheet1!DQ281=1,Sheet1!AA281-(SUM(AT281:BA281)+BE281),Sheet1!AA281-SUM(AT281:BA281))</f>
        <v>33.258031999990685</v>
      </c>
      <c r="U281" s="105">
        <f>Sheet1!BU281</f>
        <v>34.4</v>
      </c>
      <c r="V281" s="105">
        <f t="shared" si="31"/>
        <v>-1.1419680000093138</v>
      </c>
      <c r="W281" s="105">
        <f t="shared" si="32"/>
        <v>0</v>
      </c>
      <c r="X281" s="101">
        <f>IF((Sheet1!EX281-Sheet1!EX280)&lt;0,(Sheet1!EX281+100000-Sheet1!EX280)/1000,(Sheet1!EX281-Sheet1!EX280)/1000)</f>
        <v>1.258</v>
      </c>
      <c r="Y281" s="106">
        <f ca="1">Calculation!DZ282+Calculation!EI281+'Calculations II'!O281-'Calculations II'!W281</f>
        <v>68.955240449370962</v>
      </c>
      <c r="Z281" s="106">
        <f ca="1">Y281-Sheet1!CP282</f>
        <v>50.515240449370964</v>
      </c>
      <c r="AA281" s="106">
        <f ca="1">Y281+Calculation!CZ282+Calculation!AI282</f>
        <v>80.100821844721793</v>
      </c>
      <c r="AC281" s="106">
        <f>Sheet1!AA281+Sheet1!AB281+BC281</f>
        <v>66.969999999986612</v>
      </c>
      <c r="AD281" s="106">
        <f>Sheet1!AA281+Sheet1!BN281+'Calculations II'!BC281-Calculation!AI281-Calculation!CZ281</f>
        <v>44.642007759448987</v>
      </c>
      <c r="AE281" s="106">
        <f>Sheet1!AA281+Sheet1!AB281+'Calculations II'!BC281-Calculation!AI281-Calculation!CZ281</f>
        <v>55.822007759444915</v>
      </c>
      <c r="AF281" s="106">
        <f ca="1">Sheet1!AA281+Sheet1!BN281+P281+'Calculations II'!BC281+Calculation!AI281+Calculation!CZ281</f>
        <v>68.9632326898885</v>
      </c>
      <c r="AG281" s="106">
        <f ca="1">IF(B281=TODAY(),0,Sheet1!AA281+Sheet1!BN281+'Calculations II'!BC281+'Calculations II'!P281-Sheet1!CP281-BP281)</f>
        <v>39.045240449346807</v>
      </c>
      <c r="AH281" s="106">
        <f ca="1">IF(B281=TODAY(),0,Sheet1!AA281+Sheet1!BN281+'Calculations II'!BC281+'Calculations II'!P281-BP281)</f>
        <v>57.815240449346803</v>
      </c>
      <c r="AI281" s="106">
        <f ca="1">IF(B281=TODAY(),0,BC281+Sheet1!AA281+Calculation!EI281+O281+W281+Sheet1!BN281+Calculation!AI281+Calculation!CZ281-BP281)</f>
        <v>68.9632326898885</v>
      </c>
      <c r="AJ281" s="106"/>
      <c r="AM281" s="102">
        <f t="shared" si="33"/>
        <v>40810</v>
      </c>
      <c r="AN281" s="106"/>
      <c r="AO281" s="106"/>
      <c r="AR281" s="106"/>
      <c r="AT281" s="101">
        <f>Sheet1!AR281*GPMtoMGD</f>
        <v>0</v>
      </c>
      <c r="AU281" s="101">
        <f>Sheet1!AS281*GPMtoMGD</f>
        <v>2.5776E-2</v>
      </c>
      <c r="AV281" s="101">
        <f>Sheet1!AT281*GPMtoMGD</f>
        <v>0</v>
      </c>
      <c r="AW281" s="101">
        <f>Sheet1!AV281*GPMtoMGD</f>
        <v>0</v>
      </c>
      <c r="AX281" s="101">
        <f>Sheet1!AW281*GPMtoMGD</f>
        <v>2.6997119999999999</v>
      </c>
      <c r="AY281" s="101">
        <f>Sheet1!AX281*GPMtoMGD</f>
        <v>6.4800000000000005E-3</v>
      </c>
      <c r="AZ281" s="101">
        <f>Sheet1!AY281*GPMtoMGD</f>
        <v>0</v>
      </c>
      <c r="BA281" s="101">
        <f>Sheet1!AZ281*GPMtoMGD</f>
        <v>0</v>
      </c>
      <c r="BB281" s="101">
        <f>Sheet1!BP281*GPMtoMGD</f>
        <v>0</v>
      </c>
      <c r="BC281" s="101">
        <f>Sheet1!CO281*GPMtoMGD</f>
        <v>0</v>
      </c>
      <c r="BD281" s="101">
        <f>Sheet1!BO281*GPMtoMGD</f>
        <v>3.0360960000000001</v>
      </c>
      <c r="BE281" s="101">
        <f>Sheet1!BV281*GPMtoMGD</f>
        <v>0.27187200000000006</v>
      </c>
      <c r="BF281" s="101">
        <f>Sheet1!CJ281*GPMtoMGD</f>
        <v>0.69724799999999998</v>
      </c>
      <c r="BG281" s="101">
        <f>Sheet1!CK281*GPMtoMGD</f>
        <v>0.92793599999999998</v>
      </c>
      <c r="BH281" s="101">
        <f>Sheet1!CL281*GPMtoMGD</f>
        <v>0.92620800000000014</v>
      </c>
      <c r="BI281" s="101">
        <f t="shared" si="34"/>
        <v>3.0360960000000001</v>
      </c>
      <c r="BK281" s="106">
        <f>SUM(AT281:BA281,BE281,Sheet1!BU281,'Calculations II'!BC281,Calculation!AG281)</f>
        <v>57.235847759454231</v>
      </c>
      <c r="BM281" s="439">
        <f ca="1">IF(B281=TODAY(),0,IF(AND(Sheet1!BQ281&lt;=11.5,Sheet1!BQ280&gt;Sheet1!BQ281),(MIN(Lookup!$C$119,VLOOKUP(Sheet1!BQ280,Lookup!$B$4:$J$236,2))-VLOOKUP(Sheet1!BQ281,Lookup!$B$4:$J$236,2))/1000000,0))</f>
        <v>0</v>
      </c>
      <c r="BN281" s="439">
        <f ca="1">IF(B281=TODAY(),0,IF(AND(Sheet1!BR281&lt;=11.5,Sheet1!BR280&gt;Sheet1!BR281),(MIN(Lookup!$D$119,VLOOKUP(Sheet1!BR280,Lookup!$B$4:$J$236,3))-VLOOKUP(Sheet1!BR281,Lookup!$B$4:$J$236,3))/1000000,0))</f>
        <v>0</v>
      </c>
      <c r="BP281" s="105">
        <f ca="1">SUM(BM281:BN281,W281,Sheet1!DT281)</f>
        <v>0</v>
      </c>
    </row>
    <row r="282" spans="1:68" s="101" customFormat="1">
      <c r="A282" s="101" t="s">
        <v>9</v>
      </c>
      <c r="B282" s="103">
        <v>40811</v>
      </c>
      <c r="C282" s="104">
        <v>0.33333333333357601</v>
      </c>
      <c r="E282" s="30"/>
      <c r="F282" s="30">
        <f ca="1">IF(B282=TODAY(),0,-(VLOOKUP(Sheet1!BZ282,Lookup!$I$4:$J$216,2)-VLOOKUP(Sheet1!BZ281,Lookup!$I$4:$J$216,2))/1000000)</f>
        <v>-0.10363693854779936</v>
      </c>
      <c r="G282" s="106">
        <f ca="1">IF(B282=TODAY(),0,-$G$6*(Sheet1!CB282-Sheet1!CB281)*7.48/1000000)</f>
        <v>0.47656201263071124</v>
      </c>
      <c r="H282" s="106">
        <f ca="1">IF(B282=TODAY(),0,-$G$6*(Sheet1!CC282-Sheet1!CC281)*7.48/1000000)</f>
        <v>-0.11914050315767817</v>
      </c>
      <c r="I282" s="106">
        <f ca="1">IF(B282=TODAY(),0,-$G$6*(Sheet1!CD282-Sheet1!CD281)*7.48/1000000)</f>
        <v>-0.11119780294716577</v>
      </c>
      <c r="J282" s="107" t="s">
        <v>193</v>
      </c>
      <c r="K282" s="106">
        <f ca="1">IF(B282=TODAY(),0,-$I$6*(Sheet1!CD282-Sheet1!CD281)*7.48/1000000)</f>
        <v>-5.0376223598475621E-2</v>
      </c>
      <c r="L282" s="107" t="s">
        <v>193</v>
      </c>
      <c r="M282" s="106">
        <f ca="1">IF(B282=TODAY(),0,-$M$6*(Sheet1!CE282-Sheet1!CE281)*7.48/1000000)</f>
        <v>-1.5325636861254445E-2</v>
      </c>
      <c r="N282" s="106">
        <f ca="1">IF(B282=TODAY(),0,-$N$6*(Sheet1!CF282-Sheet1!CF281)*7.48/1000000)</f>
        <v>-0.16133609802602314</v>
      </c>
      <c r="O282" s="106">
        <f t="shared" ca="1" si="30"/>
        <v>-8.4451190507685264E-2</v>
      </c>
      <c r="P282" s="106">
        <f ca="1">O282+Calculation!EI282</f>
        <v>-1.7059511905076854</v>
      </c>
      <c r="Q282" s="101" t="str">
        <f>IF(Sheet1!BQ282&gt;21.75,"spill elevation","-")</f>
        <v>-</v>
      </c>
      <c r="R282" s="101" t="str">
        <f>IF(Sheet1!BR282&gt;21.75,"spill elevation","-")</f>
        <v>-</v>
      </c>
      <c r="S282" s="101" t="str">
        <f>IF(Sheet1!BS282&gt;21.75,"spill elevation","-")</f>
        <v>-</v>
      </c>
      <c r="T282" s="105">
        <f>IF(Sheet1!DQ282=1,Sheet1!AA282-(SUM(AT282:BA282)+BE282),Sheet1!AA282-SUM(AT282:BA282))</f>
        <v>33.807952000009315</v>
      </c>
      <c r="U282" s="105">
        <f>Sheet1!BU282</f>
        <v>31.2</v>
      </c>
      <c r="V282" s="105">
        <f t="shared" si="31"/>
        <v>2.6079520000093162</v>
      </c>
      <c r="W282" s="105">
        <f t="shared" si="32"/>
        <v>0</v>
      </c>
      <c r="X282" s="101">
        <f>IF((Sheet1!EX282-Sheet1!EX281)&lt;0,(Sheet1!EX282+100000-Sheet1!EX281)/1000,(Sheet1!EX282-Sheet1!EX281)/1000)</f>
        <v>1.1299999999999999</v>
      </c>
      <c r="Y282" s="106">
        <f ca="1">Calculation!DZ283+Calculation!EI282+'Calculations II'!O282-'Calculations II'!W282</f>
        <v>65.794048809492324</v>
      </c>
      <c r="Z282" s="106">
        <f ca="1">Y282-Sheet1!CP283</f>
        <v>47.224048809492324</v>
      </c>
      <c r="AA282" s="106">
        <f ca="1">Y282+Calculation!CZ283+Calculation!AI283</f>
        <v>77.053441966366677</v>
      </c>
      <c r="AC282" s="106">
        <f>Sheet1!AA282+Sheet1!AB282+BC282</f>
        <v>66.930000000014843</v>
      </c>
      <c r="AD282" s="106">
        <f>Sheet1!AA282+Sheet1!BN282+'Calculations II'!BC282-Calculation!AI282-Calculation!CZ282</f>
        <v>44.664418604658479</v>
      </c>
      <c r="AE282" s="106">
        <f>Sheet1!AA282+Sheet1!AB282+'Calculations II'!BC282-Calculation!AI282-Calculation!CZ282</f>
        <v>55.784418604664012</v>
      </c>
      <c r="AF282" s="106">
        <f ca="1">Sheet1!AA282+Sheet1!BN282+P282+'Calculations II'!BC282+Calculation!AI282+Calculation!CZ282</f>
        <v>65.249630204852451</v>
      </c>
      <c r="AG282" s="106">
        <f ca="1">IF(B282=TODAY(),0,Sheet1!AA282+Sheet1!BN282+'Calculations II'!BC282+'Calculations II'!P282-Sheet1!CP282-BP282)</f>
        <v>35.664048809501622</v>
      </c>
      <c r="AH282" s="106">
        <f ca="1">IF(B282=TODAY(),0,Sheet1!AA282+Sheet1!BN282+'Calculations II'!BC282+'Calculations II'!P282-BP282)</f>
        <v>54.104048809501627</v>
      </c>
      <c r="AI282" s="106">
        <f ca="1">IF(B282=TODAY(),0,BC282+Sheet1!AA282+Calculation!EI282+O282+W282+Sheet1!BN282+Calculation!AI282+Calculation!CZ282-BP282)</f>
        <v>65.249630204852465</v>
      </c>
      <c r="AJ282" s="106"/>
      <c r="AM282" s="102">
        <f t="shared" si="33"/>
        <v>40811</v>
      </c>
      <c r="AN282" s="106"/>
      <c r="AO282" s="106"/>
      <c r="AR282" s="106"/>
      <c r="AT282" s="101">
        <f>Sheet1!AR282*GPMtoMGD</f>
        <v>0</v>
      </c>
      <c r="AU282" s="101">
        <f>Sheet1!AS282*GPMtoMGD</f>
        <v>2.6064000000000004E-2</v>
      </c>
      <c r="AV282" s="101">
        <f>Sheet1!AT282*GPMtoMGD</f>
        <v>0</v>
      </c>
      <c r="AW282" s="101">
        <f>Sheet1!AV282*GPMtoMGD</f>
        <v>0</v>
      </c>
      <c r="AX282" s="101">
        <f>Sheet1!AW282*GPMtoMGD</f>
        <v>2.1695039999999999</v>
      </c>
      <c r="AY282" s="101">
        <f>Sheet1!AX282*GPMtoMGD</f>
        <v>6.4800000000000005E-3</v>
      </c>
      <c r="AZ282" s="101">
        <f>Sheet1!AY282*GPMtoMGD</f>
        <v>0</v>
      </c>
      <c r="BA282" s="101">
        <f>Sheet1!AZ282*GPMtoMGD</f>
        <v>0</v>
      </c>
      <c r="BB282" s="101">
        <f>Sheet1!BP282*GPMtoMGD</f>
        <v>0</v>
      </c>
      <c r="BC282" s="101">
        <f>Sheet1!CO282*GPMtoMGD</f>
        <v>0</v>
      </c>
      <c r="BD282" s="101">
        <f>Sheet1!BO282*GPMtoMGD</f>
        <v>2.8088640000000002</v>
      </c>
      <c r="BE282" s="101">
        <f>Sheet1!BV282*GPMtoMGD</f>
        <v>0.49377599999999999</v>
      </c>
      <c r="BF282" s="101">
        <f>Sheet1!CJ282*GPMtoMGD</f>
        <v>0.53121600000000002</v>
      </c>
      <c r="BG282" s="101">
        <f>Sheet1!CK282*GPMtoMGD</f>
        <v>0.89049600000000007</v>
      </c>
      <c r="BH282" s="101">
        <f>Sheet1!CL282*GPMtoMGD</f>
        <v>0.89539199999999997</v>
      </c>
      <c r="BI282" s="101">
        <f t="shared" si="34"/>
        <v>2.8088640000000002</v>
      </c>
      <c r="BK282" s="106">
        <f>SUM(AT282:BA282,BE282,Sheet1!BU282,'Calculations II'!BC282,Calculation!AG282)</f>
        <v>53.670242604654696</v>
      </c>
      <c r="BM282" s="439">
        <f ca="1">IF(B282=TODAY(),0,IF(AND(Sheet1!BQ282&lt;=11.5,Sheet1!BQ281&gt;Sheet1!BQ282),(MIN(Lookup!$C$119,VLOOKUP(Sheet1!BQ281,Lookup!$B$4:$J$236,2))-VLOOKUP(Sheet1!BQ282,Lookup!$B$4:$J$236,2))/1000000,0))</f>
        <v>0</v>
      </c>
      <c r="BN282" s="439">
        <f ca="1">IF(B282=TODAY(),0,IF(AND(Sheet1!BR282&lt;=11.5,Sheet1!BR281&gt;Sheet1!BR282),(MIN(Lookup!$D$119,VLOOKUP(Sheet1!BR281,Lookup!$B$4:$J$236,3))-VLOOKUP(Sheet1!BR282,Lookup!$B$4:$J$236,3))/1000000,0))</f>
        <v>0</v>
      </c>
      <c r="BP282" s="105">
        <f ca="1">SUM(BM282:BN282,W282,Sheet1!DT282)</f>
        <v>0</v>
      </c>
    </row>
    <row r="283" spans="1:68" s="101" customFormat="1">
      <c r="A283" s="101" t="s">
        <v>3</v>
      </c>
      <c r="B283" s="103">
        <v>40812</v>
      </c>
      <c r="C283" s="104">
        <v>0.33333333333357601</v>
      </c>
      <c r="E283" s="30"/>
      <c r="F283" s="30">
        <f ca="1">IF(B283=TODAY(),0,-(VLOOKUP(Sheet1!BZ283,Lookup!$I$4:$J$216,2)-VLOOKUP(Sheet1!BZ282,Lookup!$I$4:$J$216,2))/1000000)</f>
        <v>0.41454775419119744</v>
      </c>
      <c r="G283" s="106">
        <f ca="1">IF(B283=TODAY(),0,-$G$6*(Sheet1!CB283-Sheet1!CB282)*7.48/1000000)</f>
        <v>0.32167935852573121</v>
      </c>
      <c r="H283" s="106">
        <f ca="1">IF(B283=TODAY(),0,-$G$6*(Sheet1!CC283-Sheet1!CC282)*7.48/1000000)</f>
        <v>0.26608045705214722</v>
      </c>
      <c r="I283" s="106">
        <f ca="1">IF(B283=TODAY(),0,-$G$6*(Sheet1!CD283-Sheet1!CD282)*7.48/1000000)</f>
        <v>0.28196585747317138</v>
      </c>
      <c r="J283" s="107" t="s">
        <v>193</v>
      </c>
      <c r="K283" s="106">
        <f ca="1">IF(B283=TODAY(),0,-$I$6*(Sheet1!CD283-Sheet1!CD282)*7.48/1000000)</f>
        <v>0.12773970983899219</v>
      </c>
      <c r="L283" s="107" t="s">
        <v>193</v>
      </c>
      <c r="M283" s="106">
        <f ca="1">IF(B283=TODAY(),0,-$M$6*(Sheet1!CE283-Sheet1!CE282)*7.48/1000000)</f>
        <v>3.8647258171859086E-2</v>
      </c>
      <c r="N283" s="106">
        <f ca="1">IF(B283=TODAY(),0,-$N$6*(Sheet1!CF283-Sheet1!CF282)*7.48/1000000)</f>
        <v>0.11169422171032393</v>
      </c>
      <c r="O283" s="106">
        <f t="shared" ca="1" si="30"/>
        <v>1.5623546169634226</v>
      </c>
      <c r="P283" s="106">
        <f ca="1">O283+Calculation!EI283</f>
        <v>-2.2211453830365775</v>
      </c>
      <c r="Q283" s="101" t="str">
        <f>IF(Sheet1!BQ283&gt;21.75,"spill elevation","-")</f>
        <v>-</v>
      </c>
      <c r="R283" s="101" t="str">
        <f>IF(Sheet1!BR283&gt;21.75,"spill elevation","-")</f>
        <v>-</v>
      </c>
      <c r="S283" s="101" t="str">
        <f>IF(Sheet1!BS283&gt;21.75,"spill elevation","-")</f>
        <v>-</v>
      </c>
      <c r="T283" s="105">
        <f>IF(Sheet1!DQ283=1,Sheet1!AA283-(SUM(AT283:BA283)+BE283),Sheet1!AA283-SUM(AT283:BA283))</f>
        <v>34.407984000002912</v>
      </c>
      <c r="U283" s="105">
        <f>Sheet1!BU283</f>
        <v>29.5</v>
      </c>
      <c r="V283" s="105">
        <f t="shared" si="31"/>
        <v>4.9079840000029122</v>
      </c>
      <c r="W283" s="105">
        <f t="shared" si="32"/>
        <v>0</v>
      </c>
      <c r="X283" s="101">
        <f>IF((Sheet1!EX283-Sheet1!EX282)&lt;0,(Sheet1!EX283+100000-Sheet1!EX282)/1000,(Sheet1!EX283-Sheet1!EX282)/1000)</f>
        <v>1.1399999999999999</v>
      </c>
      <c r="Y283" s="106">
        <f ca="1">Calculation!DZ284+Calculation!EI283+'Calculations II'!O283-'Calculations II'!W283</f>
        <v>64.408854616953519</v>
      </c>
      <c r="Z283" s="106">
        <f ca="1">Y283-Sheet1!CP284</f>
        <v>47.93885461695352</v>
      </c>
      <c r="AA283" s="106">
        <f ca="1">Y283+Calculation!CZ284+Calculation!AI284</f>
        <v>75.489294461713357</v>
      </c>
      <c r="AC283" s="106">
        <f>Sheet1!AA283+Sheet1!AB283+BC283</f>
        <v>67.5</v>
      </c>
      <c r="AD283" s="106">
        <f>Sheet1!AA283+Sheet1!BN283+'Calculations II'!BC283-Calculation!AI283-Calculation!CZ283</f>
        <v>44.840606843128555</v>
      </c>
      <c r="AE283" s="106">
        <f>Sheet1!AA283+Sheet1!AB283+'Calculations II'!BC283-Calculation!AI283-Calculation!CZ283</f>
        <v>56.240606843125647</v>
      </c>
      <c r="AF283" s="106">
        <f ca="1">Sheet1!AA283+Sheet1!BN283+P283+'Calculations II'!BC283+Calculation!AI283+Calculation!CZ283</f>
        <v>65.138247773840675</v>
      </c>
      <c r="AG283" s="106">
        <f ca="1">IF(B283=TODAY(),0,Sheet1!AA283+Sheet1!BN283+'Calculations II'!BC283+'Calculations II'!P283-Sheet1!CP283-BP283)</f>
        <v>35.308854616966329</v>
      </c>
      <c r="AH283" s="106">
        <f ca="1">IF(B283=TODAY(),0,Sheet1!AA283+Sheet1!BN283+'Calculations II'!BC283+'Calculations II'!P283-BP283)</f>
        <v>53.878854616966329</v>
      </c>
      <c r="AI283" s="106">
        <f ca="1">IF(B283=TODAY(),0,BC283+Sheet1!AA283+Calculation!EI283+O283+W283+Sheet1!BN283+Calculation!AI283+Calculation!CZ283-BP283)</f>
        <v>65.138247773840689</v>
      </c>
      <c r="AJ283" s="106"/>
      <c r="AM283" s="102">
        <f t="shared" si="33"/>
        <v>40812</v>
      </c>
      <c r="AN283" s="106"/>
      <c r="AO283" s="106"/>
      <c r="AR283" s="106"/>
      <c r="AT283" s="101">
        <f>Sheet1!AR283*GPMtoMGD</f>
        <v>0</v>
      </c>
      <c r="AU283" s="101">
        <f>Sheet1!AS283*GPMtoMGD</f>
        <v>2.6064000000000004E-2</v>
      </c>
      <c r="AV283" s="101">
        <f>Sheet1!AT283*GPMtoMGD</f>
        <v>0</v>
      </c>
      <c r="AW283" s="101">
        <f>Sheet1!AV283*GPMtoMGD</f>
        <v>0</v>
      </c>
      <c r="AX283" s="101">
        <f>Sheet1!AW283*GPMtoMGD</f>
        <v>1.8564480000000001</v>
      </c>
      <c r="AY283" s="101">
        <f>Sheet1!AX283*GPMtoMGD</f>
        <v>9.5040000000000003E-3</v>
      </c>
      <c r="AZ283" s="101">
        <f>Sheet1!AY283*GPMtoMGD</f>
        <v>0</v>
      </c>
      <c r="BA283" s="101">
        <f>Sheet1!AZ283*GPMtoMGD</f>
        <v>0</v>
      </c>
      <c r="BB283" s="101">
        <f>Sheet1!BP283*GPMtoMGD</f>
        <v>5.0544000000000006E-2</v>
      </c>
      <c r="BC283" s="101">
        <f>Sheet1!CO283*GPMtoMGD</f>
        <v>0</v>
      </c>
      <c r="BD283" s="101">
        <f>Sheet1!BO283*GPMtoMGD</f>
        <v>2.1732480000000001</v>
      </c>
      <c r="BE283" s="101">
        <f>Sheet1!BV283*GPMtoMGD</f>
        <v>0.36633600000000005</v>
      </c>
      <c r="BF283" s="101">
        <f>Sheet1!CJ283*GPMtoMGD</f>
        <v>0.45288</v>
      </c>
      <c r="BG283" s="101">
        <f>Sheet1!CK283*GPMtoMGD</f>
        <v>0.80424000000000007</v>
      </c>
      <c r="BH283" s="101">
        <f>Sheet1!CL283*GPMtoMGD</f>
        <v>0.94622400000000007</v>
      </c>
      <c r="BI283" s="101">
        <f t="shared" si="34"/>
        <v>2.223792</v>
      </c>
      <c r="BK283" s="106">
        <f>SUM(AT283:BA283,BE283,Sheet1!BU283,'Calculations II'!BC283,Calculation!AG283)</f>
        <v>51.698958843122739</v>
      </c>
      <c r="BM283" s="439">
        <f ca="1">IF(B283=TODAY(),0,IF(AND(Sheet1!BQ283&lt;=11.5,Sheet1!BQ282&gt;Sheet1!BQ283),(MIN(Lookup!$C$119,VLOOKUP(Sheet1!BQ282,Lookup!$B$4:$J$236,2))-VLOOKUP(Sheet1!BQ283,Lookup!$B$4:$J$236,2))/1000000,0))</f>
        <v>0</v>
      </c>
      <c r="BN283" s="439">
        <f ca="1">IF(B283=TODAY(),0,IF(AND(Sheet1!BR283&lt;=11.5,Sheet1!BR282&gt;Sheet1!BR283),(MIN(Lookup!$D$119,VLOOKUP(Sheet1!BR282,Lookup!$B$4:$J$236,3))-VLOOKUP(Sheet1!BR283,Lookup!$B$4:$J$236,3))/1000000,0))</f>
        <v>0</v>
      </c>
      <c r="BP283" s="105">
        <f ca="1">SUM(BM283:BN283,W283,Sheet1!DT283)</f>
        <v>0</v>
      </c>
    </row>
    <row r="284" spans="1:68" s="101" customFormat="1">
      <c r="A284" s="101" t="s">
        <v>4</v>
      </c>
      <c r="B284" s="103">
        <v>40813</v>
      </c>
      <c r="C284" s="104">
        <v>0.33333333333357601</v>
      </c>
      <c r="E284" s="30"/>
      <c r="F284" s="30">
        <f ca="1">IF(B284=TODAY(),0,-(VLOOKUP(Sheet1!BZ284,Lookup!$I$4:$J$216,2)-VLOOKUP(Sheet1!BZ283,Lookup!$I$4:$J$216,2))/1000000)</f>
        <v>-0.41454775419119744</v>
      </c>
      <c r="G284" s="106">
        <f ca="1">IF(B284=TODAY(),0,-$G$6*(Sheet1!CB284-Sheet1!CB283)*7.48/1000000)</f>
        <v>-0.22636695599958809</v>
      </c>
      <c r="H284" s="106">
        <f ca="1">IF(B284=TODAY(),0,-$G$6*(Sheet1!CC284-Sheet1!CC283)*7.48/1000000)</f>
        <v>-4.3684851157815001E-2</v>
      </c>
      <c r="I284" s="106">
        <f ca="1">IF(B284=TODAY(),0,-$G$6*(Sheet1!CD284-Sheet1!CD283)*7.48/1000000)</f>
        <v>-3.5742150947304013E-2</v>
      </c>
      <c r="J284" s="107" t="s">
        <v>193</v>
      </c>
      <c r="K284" s="106">
        <f ca="1">IF(B284=TODAY(),0,-$I$6*(Sheet1!CD284-Sheet1!CD283)*7.48/1000000)</f>
        <v>-1.6192357585224637E-2</v>
      </c>
      <c r="L284" s="107" t="s">
        <v>193</v>
      </c>
      <c r="M284" s="106">
        <f ca="1">IF(B284=TODAY(),0,-$M$6*(Sheet1!CE284-Sheet1!CE283)*7.48/1000000)</f>
        <v>-8.6623164867959089E-3</v>
      </c>
      <c r="N284" s="106">
        <f ca="1">IF(B284=TODAY(),0,-$N$6*(Sheet1!CF284-Sheet1!CF283)*7.48/1000000)</f>
        <v>-0.32267219605204517</v>
      </c>
      <c r="O284" s="106">
        <f t="shared" ca="1" si="30"/>
        <v>-1.0678685824199703</v>
      </c>
      <c r="P284" s="106">
        <f ca="1">O284+Calculation!EI284</f>
        <v>-4.8982685824199699</v>
      </c>
      <c r="Q284" s="101" t="str">
        <f>IF(Sheet1!BQ284&gt;21.75,"spill elevation","-")</f>
        <v>-</v>
      </c>
      <c r="R284" s="101" t="str">
        <f>IF(Sheet1!BR284&gt;21.75,"spill elevation","-")</f>
        <v>-</v>
      </c>
      <c r="S284" s="101" t="str">
        <f>IF(Sheet1!BS284&gt;21.75,"spill elevation","-")</f>
        <v>-</v>
      </c>
      <c r="T284" s="105">
        <f>IF(Sheet1!DQ284=1,Sheet1!AA284-(SUM(AT284:BA284)+BE284),Sheet1!AA284-SUM(AT284:BA284))</f>
        <v>34.176959999992434</v>
      </c>
      <c r="U284" s="105">
        <f>Sheet1!BU284</f>
        <v>29.4</v>
      </c>
      <c r="V284" s="105">
        <f t="shared" si="31"/>
        <v>4.7769599999924353</v>
      </c>
      <c r="W284" s="105">
        <f t="shared" si="32"/>
        <v>0</v>
      </c>
      <c r="X284" s="101">
        <f>IF((Sheet1!EX284-Sheet1!EX283)&lt;0,(Sheet1!EX284+100000-Sheet1!EX283)/1000,(Sheet1!EX284-Sheet1!EX283)/1000)</f>
        <v>1.204</v>
      </c>
      <c r="Y284" s="106">
        <f ca="1">Calculation!DZ285+Calculation!EI284+'Calculations II'!O284-'Calculations II'!W284</f>
        <v>59.171731417587019</v>
      </c>
      <c r="Z284" s="106">
        <f ca="1">Y284-Sheet1!CP285</f>
        <v>41.781731417587018</v>
      </c>
      <c r="AA284" s="106">
        <f ca="1">Y284+Calculation!CZ285+Calculation!AI285</f>
        <v>70.2300590626391</v>
      </c>
      <c r="AC284" s="106">
        <f>Sheet1!AA284+Sheet1!AB284+BC284</f>
        <v>66.629999999990105</v>
      </c>
      <c r="AD284" s="106">
        <f>Sheet1!AA284+Sheet1!BN284+'Calculations II'!BC284-Calculation!AI284-Calculation!CZ284</f>
        <v>44.539560155232593</v>
      </c>
      <c r="AE284" s="106">
        <f>Sheet1!AA284+Sheet1!AB284+'Calculations II'!BC284-Calculation!AI284-Calculation!CZ284</f>
        <v>55.549560155230267</v>
      </c>
      <c r="AF284" s="106">
        <f ca="1">Sheet1!AA284+Sheet1!BN284+P284+'Calculations II'!BC284+Calculation!AI284+Calculation!CZ284</f>
        <v>61.802171262332294</v>
      </c>
      <c r="AG284" s="106">
        <f ca="1">IF(B284=TODAY(),0,Sheet1!AA284+Sheet1!BN284+'Calculations II'!BC284+'Calculations II'!P284-Sheet1!CP284-BP284)</f>
        <v>34.251731417572458</v>
      </c>
      <c r="AH284" s="106">
        <f ca="1">IF(B284=TODAY(),0,Sheet1!AA284+Sheet1!BN284+'Calculations II'!BC284+'Calculations II'!P284-BP284)</f>
        <v>50.721731417572457</v>
      </c>
      <c r="AI284" s="106">
        <f ca="1">IF(B284=TODAY(),0,BC284+Sheet1!AA284+Calculation!EI284+O284+W284+Sheet1!BN284+Calculation!AI284+Calculation!CZ284-BP284)</f>
        <v>61.802171262332294</v>
      </c>
      <c r="AJ284" s="106"/>
      <c r="AM284" s="102">
        <f t="shared" si="33"/>
        <v>40813</v>
      </c>
      <c r="AN284" s="106"/>
      <c r="AO284" s="106"/>
      <c r="AR284" s="106"/>
      <c r="AT284" s="101">
        <f>Sheet1!AR284*GPMtoMGD</f>
        <v>0</v>
      </c>
      <c r="AU284" s="101">
        <f>Sheet1!AS284*GPMtoMGD</f>
        <v>2.6208000000000002E-2</v>
      </c>
      <c r="AV284" s="101">
        <f>Sheet1!AT284*GPMtoMGD</f>
        <v>0</v>
      </c>
      <c r="AW284" s="101">
        <f>Sheet1!AV284*GPMtoMGD</f>
        <v>0</v>
      </c>
      <c r="AX284" s="101">
        <f>Sheet1!AW284*GPMtoMGD</f>
        <v>1.6119360000000003</v>
      </c>
      <c r="AY284" s="101">
        <f>Sheet1!AX284*GPMtoMGD</f>
        <v>4.8960000000000002E-3</v>
      </c>
      <c r="AZ284" s="101">
        <f>Sheet1!AY284*GPMtoMGD</f>
        <v>0</v>
      </c>
      <c r="BA284" s="101">
        <f>Sheet1!AZ284*GPMtoMGD</f>
        <v>0</v>
      </c>
      <c r="BB284" s="101">
        <f>Sheet1!BP284*GPMtoMGD</f>
        <v>0</v>
      </c>
      <c r="BC284" s="101">
        <f>Sheet1!CO284*GPMtoMGD</f>
        <v>0</v>
      </c>
      <c r="BD284" s="101">
        <f>Sheet1!BO284*GPMtoMGD</f>
        <v>2.2030560000000001</v>
      </c>
      <c r="BE284" s="101">
        <f>Sheet1!BV284*GPMtoMGD</f>
        <v>1.0504800000000001</v>
      </c>
      <c r="BF284" s="101">
        <f>Sheet1!CJ284*GPMtoMGD</f>
        <v>0.34387200000000001</v>
      </c>
      <c r="BG284" s="101">
        <f>Sheet1!CK284*GPMtoMGD</f>
        <v>0.73555200000000009</v>
      </c>
      <c r="BH284" s="101">
        <f>Sheet1!CL284*GPMtoMGD</f>
        <v>0.89856000000000003</v>
      </c>
      <c r="BI284" s="101">
        <f t="shared" si="34"/>
        <v>2.2030560000000001</v>
      </c>
      <c r="BK284" s="106">
        <f>SUM(AT284:BA284,BE284,Sheet1!BU284,'Calculations II'!BC284,Calculation!AG284)</f>
        <v>51.823080155237832</v>
      </c>
      <c r="BM284" s="439">
        <f ca="1">IF(B284=TODAY(),0,IF(AND(Sheet1!BQ284&lt;=11.5,Sheet1!BQ283&gt;Sheet1!BQ284),(MIN(Lookup!$C$119,VLOOKUP(Sheet1!BQ283,Lookup!$B$4:$J$236,2))-VLOOKUP(Sheet1!BQ284,Lookup!$B$4:$J$236,2))/1000000,0))</f>
        <v>0</v>
      </c>
      <c r="BN284" s="439">
        <f ca="1">IF(B284=TODAY(),0,IF(AND(Sheet1!BR284&lt;=11.5,Sheet1!BR283&gt;Sheet1!BR284),(MIN(Lookup!$D$119,VLOOKUP(Sheet1!BR283,Lookup!$B$4:$J$236,3))-VLOOKUP(Sheet1!BR284,Lookup!$B$4:$J$236,3))/1000000,0))</f>
        <v>0</v>
      </c>
      <c r="BP284" s="105">
        <f ca="1">SUM(BM284:BN284,W284,Sheet1!DT284)</f>
        <v>0</v>
      </c>
    </row>
    <row r="285" spans="1:68" s="101" customFormat="1">
      <c r="A285" s="101" t="s">
        <v>5</v>
      </c>
      <c r="B285" s="103">
        <v>40814</v>
      </c>
      <c r="C285" s="104">
        <v>0.33333333333357601</v>
      </c>
      <c r="E285" s="30"/>
      <c r="F285" s="30">
        <f ca="1">IF(B285=TODAY(),0,-(VLOOKUP(Sheet1!BZ285,Lookup!$I$4:$J$216,2)-VLOOKUP(Sheet1!BZ284,Lookup!$I$4:$J$216,2))/1000000)</f>
        <v>0.41454775419119744</v>
      </c>
      <c r="G285" s="106">
        <f ca="1">IF(B285=TODAY(),0,-$G$6*(Sheet1!CB285-Sheet1!CB284)*7.48/1000000)</f>
        <v>-0.9769521258929591</v>
      </c>
      <c r="H285" s="106">
        <f ca="1">IF(B285=TODAY(),0,-$G$6*(Sheet1!CC285-Sheet1!CC284)*7.48/1000000)</f>
        <v>1.5885400421024085E-2</v>
      </c>
      <c r="I285" s="106">
        <f ca="1">IF(B285=TODAY(),0,-$G$6*(Sheet1!CD285-Sheet1!CD284)*7.48/1000000)</f>
        <v>1.5885400421024085E-2</v>
      </c>
      <c r="J285" s="107" t="s">
        <v>193</v>
      </c>
      <c r="K285" s="106">
        <f ca="1">IF(B285=TODAY(),0,-$I$6*(Sheet1!CD285-Sheet1!CD284)*7.48/1000000)</f>
        <v>7.1966033712109849E-3</v>
      </c>
      <c r="L285" s="107" t="s">
        <v>193</v>
      </c>
      <c r="M285" s="106">
        <f ca="1">IF(B285=TODAY(),0,-$M$6*(Sheet1!CE285-Sheet1!CE284)*7.48/1000000)</f>
        <v>2.6653281497833205E-3</v>
      </c>
      <c r="N285" s="106">
        <f ca="1">IF(B285=TODAY(),0,-$N$6*(Sheet1!CF285-Sheet1!CF284)*7.48/1000000)</f>
        <v>0.22338844342064679</v>
      </c>
      <c r="O285" s="106">
        <f t="shared" ref="O285:O348" ca="1" si="35">SUM(F285:I285)+K285+SUM(M285:N285)</f>
        <v>-0.29738319591807255</v>
      </c>
      <c r="P285" s="106">
        <f ca="1">O285+Calculation!EI285</f>
        <v>-1.9389831959180726</v>
      </c>
      <c r="Q285" s="101" t="str">
        <f>IF(Sheet1!BQ285&gt;21.75,"spill elevation","-")</f>
        <v>-</v>
      </c>
      <c r="R285" s="101" t="str">
        <f>IF(Sheet1!BR285&gt;21.75,"spill elevation","-")</f>
        <v>-</v>
      </c>
      <c r="S285" s="101" t="str">
        <f>IF(Sheet1!BS285&gt;21.75,"spill elevation","-")</f>
        <v>-</v>
      </c>
      <c r="T285" s="105">
        <f>IF(Sheet1!DQ285=1,Sheet1!AA285-(SUM(AT285:BA285)+BE285),Sheet1!AA285-SUM(AT285:BA285))</f>
        <v>33.28232000000466</v>
      </c>
      <c r="U285" s="105">
        <f>Sheet1!BU285</f>
        <v>30.7</v>
      </c>
      <c r="V285" s="105">
        <f t="shared" ref="V285:V348" si="36">T285-U285</f>
        <v>2.5823200000046604</v>
      </c>
      <c r="W285" s="105">
        <f t="shared" ref="W285:W348" si="37">IF(AND(OR(Q285="spill elevation",R285="spill elevation",S285="spill elevation",Q286="spill elevation",R286="spill elevation",S286="spill elevation"),V285&gt;0),V285,0)</f>
        <v>0</v>
      </c>
      <c r="X285" s="101">
        <f>IF((Sheet1!EX285-Sheet1!EX284)&lt;0,(Sheet1!EX285+100000-Sheet1!EX284)/1000,(Sheet1!EX285-Sheet1!EX284)/1000)</f>
        <v>1.2430000000000001</v>
      </c>
      <c r="Y285" s="106">
        <f ca="1">Calculation!DZ286+Calculation!EI285+'Calculations II'!O285-'Calculations II'!W285</f>
        <v>59.531016804075819</v>
      </c>
      <c r="Z285" s="106">
        <f ca="1">Y285-Sheet1!CP286</f>
        <v>42.601016804075819</v>
      </c>
      <c r="AA285" s="106">
        <f ca="1">Y285+Calculation!CZ286+Calculation!AI286</f>
        <v>70.660354263123111</v>
      </c>
      <c r="AC285" s="106">
        <f>Sheet1!AA285+Sheet1!AB285+BC285</f>
        <v>64.070000000006985</v>
      </c>
      <c r="AD285" s="106">
        <f>Sheet1!AA285+Sheet1!BN285+'Calculations II'!BC285-Calculation!AI285-Calculation!CZ285</f>
        <v>42.021672354952585</v>
      </c>
      <c r="AE285" s="106">
        <f>Sheet1!AA285+Sheet1!AB285+'Calculations II'!BC285-Calculation!AI285-Calculation!CZ285</f>
        <v>53.011672354954911</v>
      </c>
      <c r="AF285" s="106">
        <f ca="1">Sheet1!AA285+Sheet1!BN285+P285+'Calculations II'!BC285+Calculation!AI285+Calculation!CZ285</f>
        <v>62.199344449138664</v>
      </c>
      <c r="AG285" s="106">
        <f ca="1">IF(B285=TODAY(),0,Sheet1!AA285+Sheet1!BN285+'Calculations II'!BC285+'Calculations II'!P285-Sheet1!CP285-BP285)</f>
        <v>33.751016804086589</v>
      </c>
      <c r="AH285" s="106">
        <f ca="1">IF(B285=TODAY(),0,Sheet1!AA285+Sheet1!BN285+'Calculations II'!BC285+'Calculations II'!P285-BP285)</f>
        <v>51.14101680408659</v>
      </c>
      <c r="AI285" s="106">
        <f ca="1">IF(B285=TODAY(),0,BC285+Sheet1!AA285+Calculation!EI285+O285+W285+Sheet1!BN285+Calculation!AI285+Calculation!CZ285-BP285)</f>
        <v>62.199344449138664</v>
      </c>
      <c r="AJ285" s="106"/>
      <c r="AM285" s="102">
        <f t="shared" ref="AM285:AM348" si="38">B285</f>
        <v>40814</v>
      </c>
      <c r="AN285" s="106"/>
      <c r="AO285" s="106"/>
      <c r="AR285" s="106"/>
      <c r="AT285" s="101">
        <f>Sheet1!AR285*GPMtoMGD</f>
        <v>0</v>
      </c>
      <c r="AU285" s="101">
        <f>Sheet1!AS285*GPMtoMGD</f>
        <v>5.04E-2</v>
      </c>
      <c r="AV285" s="101">
        <f>Sheet1!AT285*GPMtoMGD</f>
        <v>0</v>
      </c>
      <c r="AW285" s="101">
        <f>Sheet1!AV285*GPMtoMGD</f>
        <v>1.008</v>
      </c>
      <c r="AX285" s="101">
        <f>Sheet1!AW285*GPMtoMGD</f>
        <v>0.53467200000000004</v>
      </c>
      <c r="AY285" s="101">
        <f>Sheet1!AX285*GPMtoMGD</f>
        <v>4.6080000000000001E-3</v>
      </c>
      <c r="AZ285" s="101">
        <f>Sheet1!AY285*GPMtoMGD</f>
        <v>0</v>
      </c>
      <c r="BA285" s="101">
        <f>Sheet1!AZ285*GPMtoMGD</f>
        <v>0</v>
      </c>
      <c r="BB285" s="101">
        <f>Sheet1!BP285*GPMtoMGD</f>
        <v>0</v>
      </c>
      <c r="BC285" s="101">
        <f>Sheet1!CO285*GPMtoMGD</f>
        <v>0</v>
      </c>
      <c r="BD285" s="101">
        <f>Sheet1!BO285*GPMtoMGD</f>
        <v>2.3847840000000002</v>
      </c>
      <c r="BE285" s="101">
        <f>Sheet1!BV285*GPMtoMGD</f>
        <v>0.58982400000000001</v>
      </c>
      <c r="BF285" s="101">
        <f>Sheet1!CJ285*GPMtoMGD</f>
        <v>0.29059200000000002</v>
      </c>
      <c r="BG285" s="101">
        <f>Sheet1!CK285*GPMtoMGD</f>
        <v>0.78321600000000002</v>
      </c>
      <c r="BH285" s="101">
        <f>Sheet1!CL285*GPMtoMGD</f>
        <v>0.90561599999999998</v>
      </c>
      <c r="BI285" s="101">
        <f t="shared" ref="BI285:BI348" si="39">BD285+BB285</f>
        <v>2.3847840000000002</v>
      </c>
      <c r="BK285" s="106">
        <f>SUM(AT285:BA285,BE285,Sheet1!BU285,'Calculations II'!BC285,Calculation!AG285)</f>
        <v>51.019176354950254</v>
      </c>
      <c r="BM285" s="439">
        <f ca="1">IF(B285=TODAY(),0,IF(AND(Sheet1!BQ285&lt;=11.5,Sheet1!BQ284&gt;Sheet1!BQ285),(MIN(Lookup!$C$119,VLOOKUP(Sheet1!BQ284,Lookup!$B$4:$J$236,2))-VLOOKUP(Sheet1!BQ285,Lookup!$B$4:$J$236,2))/1000000,0))</f>
        <v>0</v>
      </c>
      <c r="BN285" s="439">
        <f ca="1">IF(B285=TODAY(),0,IF(AND(Sheet1!BR285&lt;=11.5,Sheet1!BR284&gt;Sheet1!BR285),(MIN(Lookup!$D$119,VLOOKUP(Sheet1!BR284,Lookup!$B$4:$J$236,3))-VLOOKUP(Sheet1!BR285,Lookup!$B$4:$J$236,3))/1000000,0))</f>
        <v>0</v>
      </c>
      <c r="BP285" s="105">
        <f ca="1">SUM(BM285:BN285,W285,Sheet1!DT285)</f>
        <v>0</v>
      </c>
    </row>
    <row r="286" spans="1:68" s="101" customFormat="1">
      <c r="A286" s="101" t="s">
        <v>6</v>
      </c>
      <c r="B286" s="103">
        <v>40815</v>
      </c>
      <c r="C286" s="104">
        <v>0.33333333333357601</v>
      </c>
      <c r="E286" s="30"/>
      <c r="F286" s="30">
        <f ca="1">IF(B286=TODAY(),0,-(VLOOKUP(Sheet1!BZ286,Lookup!$I$4:$J$216,2)-VLOOKUP(Sheet1!BZ285,Lookup!$I$4:$J$216,2))/1000000)</f>
        <v>-0.62182163128679613</v>
      </c>
      <c r="G286" s="106">
        <f ca="1">IF(B286=TODAY(),0,-$G$6*(Sheet1!CB286-Sheet1!CB285)*7.48/1000000)</f>
        <v>0.50436146336750287</v>
      </c>
      <c r="H286" s="106">
        <f ca="1">IF(B286=TODAY(),0,-$G$6*(Sheet1!CC286-Sheet1!CC285)*7.48/1000000)</f>
        <v>3.5742150947303306E-2</v>
      </c>
      <c r="I286" s="106">
        <f ca="1">IF(B286=TODAY(),0,-$G$6*(Sheet1!CD286-Sheet1!CD285)*7.48/1000000)</f>
        <v>3.1770800842047468E-2</v>
      </c>
      <c r="J286" s="107" t="s">
        <v>193</v>
      </c>
      <c r="K286" s="106">
        <f ca="1">IF(B286=TODAY(),0,-$I$6*(Sheet1!CD286-Sheet1!CD285)*7.48/1000000)</f>
        <v>1.4393206742421649E-2</v>
      </c>
      <c r="L286" s="107" t="s">
        <v>193</v>
      </c>
      <c r="M286" s="106">
        <f ca="1">IF(B286=TODAY(),0,-$M$6*(Sheet1!CE286-Sheet1!CE285)*7.48/1000000)</f>
        <v>6.6633203744583007E-3</v>
      </c>
      <c r="N286" s="106">
        <f ca="1">IF(B286=TODAY(),0,-$N$6*(Sheet1!CF286-Sheet1!CF285)*7.48/1000000)</f>
        <v>-0.44057165230183026</v>
      </c>
      <c r="O286" s="106">
        <f t="shared" ca="1" si="35"/>
        <v>-0.46946234131489278</v>
      </c>
      <c r="P286" s="106">
        <f ca="1">O286+Calculation!EI286</f>
        <v>-0.46946234131489278</v>
      </c>
      <c r="Q286" s="101" t="str">
        <f>IF(Sheet1!BQ286&gt;21.75,"spill elevation","-")</f>
        <v>-</v>
      </c>
      <c r="R286" s="101" t="str">
        <f>IF(Sheet1!BR286&gt;21.75,"spill elevation","-")</f>
        <v>-</v>
      </c>
      <c r="S286" s="101" t="str">
        <f>IF(Sheet1!BS286&gt;21.75,"spill elevation","-")</f>
        <v>-</v>
      </c>
      <c r="T286" s="105">
        <f>IF(Sheet1!DQ286=1,Sheet1!AA286-(SUM(AT286:BA286)+BE286),Sheet1!AA286-SUM(AT286:BA286))</f>
        <v>32.583967999991266</v>
      </c>
      <c r="U286" s="105">
        <f>Sheet1!BU286</f>
        <v>30.8</v>
      </c>
      <c r="V286" s="105">
        <f t="shared" si="36"/>
        <v>1.7839679999912654</v>
      </c>
      <c r="W286" s="105">
        <f t="shared" si="37"/>
        <v>0</v>
      </c>
      <c r="X286" s="101">
        <f>IF((Sheet1!EX286-Sheet1!EX285)&lt;0,(Sheet1!EX286+100000-Sheet1!EX285)/1000,(Sheet1!EX286-Sheet1!EX285)/1000)</f>
        <v>1.246</v>
      </c>
      <c r="Y286" s="106">
        <f ca="1">Calculation!DZ287+Calculation!EI286+'Calculations II'!O286-'Calculations II'!W286</f>
        <v>59.940537658685109</v>
      </c>
      <c r="Z286" s="106">
        <f ca="1">Y286-Sheet1!CP287</f>
        <v>43.100537658685113</v>
      </c>
      <c r="AA286" s="106">
        <f ca="1">Y286+Calculation!CZ287+Calculation!AI287</f>
        <v>71.143507192044154</v>
      </c>
      <c r="AC286" s="106">
        <f>Sheet1!AA286+Sheet1!AB286+BC286</f>
        <v>61.469999999993888</v>
      </c>
      <c r="AD286" s="106">
        <f>Sheet1!AA286+Sheet1!BN286+'Calculations II'!BC286-Calculation!AI286-Calculation!CZ286</f>
        <v>39.270662540943967</v>
      </c>
      <c r="AE286" s="106">
        <f>Sheet1!AA286+Sheet1!AB286+'Calculations II'!BC286-Calculation!AI286-Calculation!CZ286</f>
        <v>50.340662540946589</v>
      </c>
      <c r="AF286" s="106">
        <f ca="1">Sheet1!AA286+Sheet1!BN286+P286+'Calculations II'!BC286+Calculation!AI286+Calculation!CZ286</f>
        <v>61.059875117723671</v>
      </c>
      <c r="AG286" s="106">
        <f ca="1">IF(B286=TODAY(),0,Sheet1!AA286+Sheet1!BN286+'Calculations II'!BC286+'Calculations II'!P286-Sheet1!CP286-BP286)</f>
        <v>33.000537658676372</v>
      </c>
      <c r="AH286" s="106">
        <f ca="1">IF(B286=TODAY(),0,Sheet1!AA286+Sheet1!BN286+'Calculations II'!BC286+'Calculations II'!P286-BP286)</f>
        <v>49.930537658676371</v>
      </c>
      <c r="AI286" s="106">
        <f ca="1">IF(B286=TODAY(),0,BC286+Sheet1!AA286+Calculation!EI286+O286+W286+Sheet1!BN286+Calculation!AI286+Calculation!CZ286-BP286)</f>
        <v>61.059875117723671</v>
      </c>
      <c r="AJ286" s="106"/>
      <c r="AM286" s="102">
        <f t="shared" si="38"/>
        <v>40815</v>
      </c>
      <c r="AN286" s="106"/>
      <c r="AO286" s="106"/>
      <c r="AR286" s="106"/>
      <c r="AT286" s="101">
        <f>Sheet1!AR286*GPMtoMGD</f>
        <v>0</v>
      </c>
      <c r="AU286" s="101">
        <f>Sheet1!AS286*GPMtoMGD</f>
        <v>2.7360000000000002E-2</v>
      </c>
      <c r="AV286" s="101">
        <f>Sheet1!AT286*GPMtoMGD</f>
        <v>0</v>
      </c>
      <c r="AW286" s="101">
        <f>Sheet1!AV286*GPMtoMGD</f>
        <v>1.008</v>
      </c>
      <c r="AX286" s="101">
        <f>Sheet1!AW286*GPMtoMGD</f>
        <v>0.47952000000000006</v>
      </c>
      <c r="AY286" s="101">
        <f>Sheet1!AX286*GPMtoMGD</f>
        <v>1.152E-3</v>
      </c>
      <c r="AZ286" s="101">
        <f>Sheet1!AY286*GPMtoMGD</f>
        <v>0</v>
      </c>
      <c r="BA286" s="101">
        <f>Sheet1!AZ286*GPMtoMGD</f>
        <v>0</v>
      </c>
      <c r="BB286" s="101">
        <f>Sheet1!BP286*GPMtoMGD</f>
        <v>0</v>
      </c>
      <c r="BC286" s="101">
        <f>Sheet1!CO286*GPMtoMGD</f>
        <v>0</v>
      </c>
      <c r="BD286" s="101">
        <f>Sheet1!BO286*GPMtoMGD</f>
        <v>1.9653119999999999</v>
      </c>
      <c r="BE286" s="101">
        <f>Sheet1!BV286*GPMtoMGD</f>
        <v>0.9807840000000001</v>
      </c>
      <c r="BF286" s="101">
        <f>Sheet1!CJ286*GPMtoMGD</f>
        <v>0.29217600000000005</v>
      </c>
      <c r="BG286" s="101">
        <f>Sheet1!CK286*GPMtoMGD</f>
        <v>0.73843199999999998</v>
      </c>
      <c r="BH286" s="101">
        <f>Sheet1!CL286*GPMtoMGD</f>
        <v>0.87768000000000002</v>
      </c>
      <c r="BI286" s="101">
        <f t="shared" si="39"/>
        <v>1.9653119999999999</v>
      </c>
      <c r="BK286" s="106">
        <f>SUM(AT286:BA286,BE286,Sheet1!BU286,'Calculations II'!BC286,Calculation!AG286)</f>
        <v>49.53747854095532</v>
      </c>
      <c r="BM286" s="439">
        <f ca="1">IF(B286=TODAY(),0,IF(AND(Sheet1!BQ286&lt;=11.5,Sheet1!BQ285&gt;Sheet1!BQ286),(MIN(Lookup!$C$119,VLOOKUP(Sheet1!BQ285,Lookup!$B$4:$J$236,2))-VLOOKUP(Sheet1!BQ286,Lookup!$B$4:$J$236,2))/1000000,0))</f>
        <v>0</v>
      </c>
      <c r="BN286" s="439">
        <f ca="1">IF(B286=TODAY(),0,IF(AND(Sheet1!BR286&lt;=11.5,Sheet1!BR285&gt;Sheet1!BR286),(MIN(Lookup!$D$119,VLOOKUP(Sheet1!BR285,Lookup!$B$4:$J$236,3))-VLOOKUP(Sheet1!BR286,Lookup!$B$4:$J$236,3))/1000000,0))</f>
        <v>0</v>
      </c>
      <c r="BP286" s="105">
        <f ca="1">SUM(BM286:BN286,W286,Sheet1!DT286)</f>
        <v>0</v>
      </c>
    </row>
    <row r="287" spans="1:68" s="101" customFormat="1">
      <c r="A287" s="101" t="s">
        <v>7</v>
      </c>
      <c r="B287" s="103">
        <v>40816</v>
      </c>
      <c r="C287" s="104">
        <v>0.33333333333357601</v>
      </c>
      <c r="E287" s="30"/>
      <c r="F287" s="30">
        <f ca="1">IF(B287=TODAY(),0,-(VLOOKUP(Sheet1!BZ287,Lookup!$I$4:$J$216,2)-VLOOKUP(Sheet1!BZ286,Lookup!$I$4:$J$216,2))/1000000)</f>
        <v>0</v>
      </c>
      <c r="G287" s="106">
        <f ca="1">IF(B287=TODAY(),0,-$G$6*(Sheet1!CB287-Sheet1!CB286)*7.48/1000000)</f>
        <v>0.49244741305173539</v>
      </c>
      <c r="H287" s="106">
        <f ca="1">IF(B287=TODAY(),0,-$G$6*(Sheet1!CC287-Sheet1!CC286)*7.48/1000000)</f>
        <v>-3.5742150947303306E-2</v>
      </c>
      <c r="I287" s="106">
        <f ca="1">IF(B287=TODAY(),0,-$G$6*(Sheet1!CD287-Sheet1!CD286)*7.48/1000000)</f>
        <v>-3.1770800842047468E-2</v>
      </c>
      <c r="J287" s="107" t="s">
        <v>193</v>
      </c>
      <c r="K287" s="106">
        <f ca="1">IF(B287=TODAY(),0,-$I$6*(Sheet1!CD287-Sheet1!CD286)*7.48/1000000)</f>
        <v>-1.4393206742421649E-2</v>
      </c>
      <c r="L287" s="107" t="s">
        <v>193</v>
      </c>
      <c r="M287" s="106">
        <f ca="1">IF(B287=TODAY(),0,-$M$6*(Sheet1!CE287-Sheet1!CE286)*7.48/1000000)</f>
        <v>-6.6633203744583007E-3</v>
      </c>
      <c r="N287" s="106">
        <f ca="1">IF(B287=TODAY(),0,-$N$6*(Sheet1!CF287-Sheet1!CF286)*7.48/1000000)</f>
        <v>0.13651515986817297</v>
      </c>
      <c r="O287" s="106">
        <f t="shared" ca="1" si="35"/>
        <v>0.54039309401367763</v>
      </c>
      <c r="P287" s="106">
        <f ca="1">O287+Calculation!EI287</f>
        <v>0.54039309401367763</v>
      </c>
      <c r="Q287" s="101" t="str">
        <f>IF(Sheet1!BQ287&gt;21.75,"spill elevation","-")</f>
        <v>-</v>
      </c>
      <c r="R287" s="101" t="str">
        <f>IF(Sheet1!BR287&gt;21.75,"spill elevation","-")</f>
        <v>-</v>
      </c>
      <c r="S287" s="101" t="str">
        <f>IF(Sheet1!BS287&gt;21.75,"spill elevation","-")</f>
        <v>-</v>
      </c>
      <c r="T287" s="105">
        <f>IF(Sheet1!DQ287=1,Sheet1!AA287-(SUM(AT287:BA287)+BE287),Sheet1!AA287-SUM(AT287:BA287))</f>
        <v>32.713616000000002</v>
      </c>
      <c r="U287" s="105">
        <f>Sheet1!BU287</f>
        <v>31.3</v>
      </c>
      <c r="V287" s="105">
        <f t="shared" si="36"/>
        <v>1.4136160000000011</v>
      </c>
      <c r="W287" s="105">
        <f t="shared" si="37"/>
        <v>0</v>
      </c>
      <c r="X287" s="101">
        <f>IF((Sheet1!EX287-Sheet1!EX286)&lt;0,(Sheet1!EX287+100000-Sheet1!EX286)/1000,(Sheet1!EX287-Sheet1!EX286)/1000)</f>
        <v>1.266</v>
      </c>
      <c r="Y287" s="106">
        <f ca="1">Calculation!DZ288+Calculation!EI287+'Calculations II'!O287-'Calculations II'!W287</f>
        <v>60.630393094013677</v>
      </c>
      <c r="Z287" s="106">
        <f ca="1">Y287-Sheet1!CP288</f>
        <v>43.840393094013677</v>
      </c>
      <c r="AA287" s="106">
        <f ca="1">Y287+Calculation!CZ288+Calculation!AI288</f>
        <v>72.047169029223852</v>
      </c>
      <c r="AC287" s="106">
        <f>Sheet1!AA287+Sheet1!AB287+BC287</f>
        <v>60.410000000000004</v>
      </c>
      <c r="AD287" s="106">
        <f>Sheet1!AA287+Sheet1!BN287+'Calculations II'!BC287-Calculation!AI287-Calculation!CZ287</f>
        <v>37.907030466640961</v>
      </c>
      <c r="AE287" s="106">
        <f>Sheet1!AA287+Sheet1!AB287+'Calculations II'!BC287-Calculation!AI287-Calculation!CZ287</f>
        <v>49.207030466640958</v>
      </c>
      <c r="AF287" s="106">
        <f ca="1">Sheet1!AA287+Sheet1!BN287+P287+'Calculations II'!BC287+Calculation!AI287+Calculation!CZ287</f>
        <v>60.853362627372718</v>
      </c>
      <c r="AG287" s="106">
        <f ca="1">IF(B287=TODAY(),0,Sheet1!AA287+Sheet1!BN287+'Calculations II'!BC287+'Calculations II'!P287-Sheet1!CP287-BP287)</f>
        <v>32.810393094013676</v>
      </c>
      <c r="AH287" s="106">
        <f ca="1">IF(B287=TODAY(),0,Sheet1!AA287+Sheet1!BN287+'Calculations II'!BC287+'Calculations II'!P287-BP287)</f>
        <v>49.65039309401368</v>
      </c>
      <c r="AI287" s="106">
        <f ca="1">IF(B287=TODAY(),0,BC287+Sheet1!AA287+Calculation!EI287+O287+W287+Sheet1!BN287+Calculation!AI287+Calculation!CZ287-BP287)</f>
        <v>60.853362627372718</v>
      </c>
      <c r="AJ287" s="106"/>
      <c r="AM287" s="102">
        <f t="shared" si="38"/>
        <v>40816</v>
      </c>
      <c r="AN287" s="106"/>
      <c r="AO287" s="106"/>
      <c r="AR287" s="106"/>
      <c r="AT287" s="101">
        <f>Sheet1!AR287*GPMtoMGD</f>
        <v>0</v>
      </c>
      <c r="AU287" s="101">
        <f>Sheet1!AS287*GPMtoMGD</f>
        <v>2.5344000000000002E-2</v>
      </c>
      <c r="AV287" s="101">
        <f>Sheet1!AT287*GPMtoMGD</f>
        <v>0</v>
      </c>
      <c r="AW287" s="101">
        <f>Sheet1!AV287*GPMtoMGD</f>
        <v>1.008</v>
      </c>
      <c r="AX287" s="101">
        <f>Sheet1!AW287*GPMtoMGD</f>
        <v>0.56088000000000005</v>
      </c>
      <c r="AY287" s="101">
        <f>Sheet1!AX287*GPMtoMGD</f>
        <v>2.16E-3</v>
      </c>
      <c r="AZ287" s="101">
        <f>Sheet1!AY287*GPMtoMGD</f>
        <v>0</v>
      </c>
      <c r="BA287" s="101">
        <f>Sheet1!AZ287*GPMtoMGD</f>
        <v>0</v>
      </c>
      <c r="BB287" s="101">
        <f>Sheet1!BP287*GPMtoMGD</f>
        <v>0</v>
      </c>
      <c r="BC287" s="101">
        <f>Sheet1!CO287*GPMtoMGD</f>
        <v>0</v>
      </c>
      <c r="BD287" s="101">
        <f>Sheet1!BO287*GPMtoMGD</f>
        <v>2.3843520000000002</v>
      </c>
      <c r="BE287" s="101">
        <f>Sheet1!BV287*GPMtoMGD</f>
        <v>0.57787200000000005</v>
      </c>
      <c r="BF287" s="101">
        <f>Sheet1!CJ287*GPMtoMGD</f>
        <v>0.31593600000000005</v>
      </c>
      <c r="BG287" s="101">
        <f>Sheet1!CK287*GPMtoMGD</f>
        <v>0.72648000000000001</v>
      </c>
      <c r="BH287" s="101">
        <f>Sheet1!CL287*GPMtoMGD</f>
        <v>0.88790400000000014</v>
      </c>
      <c r="BI287" s="101">
        <f t="shared" si="39"/>
        <v>2.3843520000000002</v>
      </c>
      <c r="BK287" s="106">
        <f>SUM(AT287:BA287,BE287,Sheet1!BU287,'Calculations II'!BC287,Calculation!AG287)</f>
        <v>48.37128646664096</v>
      </c>
      <c r="BM287" s="439">
        <f ca="1">IF(B287=TODAY(),0,IF(AND(Sheet1!BQ287&lt;=11.5,Sheet1!BQ286&gt;Sheet1!BQ287),(MIN(Lookup!$C$119,VLOOKUP(Sheet1!BQ286,Lookup!$B$4:$J$236,2))-VLOOKUP(Sheet1!BQ287,Lookup!$B$4:$J$236,2))/1000000,0))</f>
        <v>0</v>
      </c>
      <c r="BN287" s="439">
        <f ca="1">IF(B287=TODAY(),0,IF(AND(Sheet1!BR287&lt;=11.5,Sheet1!BR286&gt;Sheet1!BR287),(MIN(Lookup!$D$119,VLOOKUP(Sheet1!BR286,Lookup!$B$4:$J$236,3))-VLOOKUP(Sheet1!BR287,Lookup!$B$4:$J$236,3))/1000000,0))</f>
        <v>0</v>
      </c>
      <c r="BP287" s="105">
        <f ca="1">SUM(BM287:BN287,W287,Sheet1!DT287)</f>
        <v>0</v>
      </c>
    </row>
    <row r="288" spans="1:68" s="101" customFormat="1">
      <c r="A288" s="101" t="s">
        <v>8</v>
      </c>
      <c r="B288" s="103">
        <v>40817</v>
      </c>
      <c r="C288" s="104">
        <v>0.33333333333357601</v>
      </c>
      <c r="E288" s="30"/>
      <c r="F288" s="30">
        <f ca="1">IF(B288=TODAY(),0,-(VLOOKUP(Sheet1!BZ288,Lookup!$I$4:$J$216,2)-VLOOKUP(Sheet1!BZ287,Lookup!$I$4:$J$216,2))/1000000)</f>
        <v>-0.20727387709559872</v>
      </c>
      <c r="G288" s="106">
        <f ca="1">IF(B288=TODAY(),0,-$G$6*(Sheet1!CB288-Sheet1!CB287)*7.48/1000000)</f>
        <v>0.45670526210443207</v>
      </c>
      <c r="H288" s="106">
        <f ca="1">IF(B288=TODAY(),0,-$G$6*(Sheet1!CC288-Sheet1!CC287)*7.48/1000000)</f>
        <v>4.3684851157815001E-2</v>
      </c>
      <c r="I288" s="106">
        <f ca="1">IF(B288=TODAY(),0,-$G$6*(Sheet1!CD288-Sheet1!CD287)*7.48/1000000)</f>
        <v>3.9713501052559157E-2</v>
      </c>
      <c r="J288" s="107" t="s">
        <v>193</v>
      </c>
      <c r="K288" s="106">
        <f ca="1">IF(B288=TODAY(),0,-$I$6*(Sheet1!CD288-Sheet1!CD287)*7.48/1000000)</f>
        <v>1.7991508428026985E-2</v>
      </c>
      <c r="L288" s="107" t="s">
        <v>193</v>
      </c>
      <c r="M288" s="106">
        <f ca="1">IF(B288=TODAY(),0,-$M$6*(Sheet1!CE288-Sheet1!CE287)*7.48/1000000)</f>
        <v>1.4659304823808497E-2</v>
      </c>
      <c r="N288" s="106">
        <f ca="1">IF(B288=TODAY(),0,-$N$6*(Sheet1!CF288-Sheet1!CF287)*7.48/1000000)</f>
        <v>-8.066804901301157E-2</v>
      </c>
      <c r="O288" s="106">
        <f t="shared" ca="1" si="35"/>
        <v>0.28481250145803139</v>
      </c>
      <c r="P288" s="106">
        <f ca="1">O288+Calculation!EI288</f>
        <v>-0.26918749854196866</v>
      </c>
      <c r="Q288" s="101" t="str">
        <f>IF(Sheet1!BQ288&gt;21.75,"spill elevation","-")</f>
        <v>-</v>
      </c>
      <c r="R288" s="101" t="str">
        <f>IF(Sheet1!BR288&gt;21.75,"spill elevation","-")</f>
        <v>-</v>
      </c>
      <c r="S288" s="101" t="str">
        <f>IF(Sheet1!BS288&gt;21.75,"spill elevation","-")</f>
        <v>-</v>
      </c>
      <c r="T288" s="105">
        <f>IF(Sheet1!DQ288=1,Sheet1!AA288-(SUM(AT288:BA288)+BE288),Sheet1!AA288-SUM(AT288:BA288))</f>
        <v>32.579071999999996</v>
      </c>
      <c r="U288" s="105">
        <f>Sheet1!BU288</f>
        <v>30.5</v>
      </c>
      <c r="V288" s="105">
        <f t="shared" si="36"/>
        <v>2.0790719999999965</v>
      </c>
      <c r="W288" s="105">
        <f t="shared" si="37"/>
        <v>0</v>
      </c>
      <c r="X288" s="101">
        <f>IF((Sheet1!EX288-Sheet1!EX287)&lt;0,(Sheet1!EX288+100000-Sheet1!EX287)/1000,(Sheet1!EX288-Sheet1!EX287)/1000)</f>
        <v>1.2569999999999999</v>
      </c>
      <c r="Y288" s="106">
        <f ca="1">Calculation!DZ289+Calculation!EI288+'Calculations II'!O288-'Calculations II'!W288</f>
        <v>59.810812501459779</v>
      </c>
      <c r="Z288" s="106">
        <f ca="1">Y288-Sheet1!CP289</f>
        <v>42.860812501459776</v>
      </c>
      <c r="AA288" s="106">
        <f ca="1">Y288+Calculation!CZ289+Calculation!AI289</f>
        <v>71.438736083087193</v>
      </c>
      <c r="AC288" s="106">
        <f>Sheet1!AA288+Sheet1!AB288+BC288</f>
        <v>60.089999999999996</v>
      </c>
      <c r="AD288" s="106">
        <f>Sheet1!AA288+Sheet1!BN288+'Calculations II'!BC288-Calculation!AI288-Calculation!CZ288</f>
        <v>37.273224064789815</v>
      </c>
      <c r="AE288" s="106">
        <f>Sheet1!AA288+Sheet1!AB288+'Calculations II'!BC288-Calculation!AI288-Calculation!CZ288</f>
        <v>48.673224064789814</v>
      </c>
      <c r="AF288" s="106">
        <f ca="1">Sheet1!AA288+Sheet1!BN288+P288+'Calculations II'!BC288+Calculation!AI288+Calculation!CZ288</f>
        <v>59.837588436668213</v>
      </c>
      <c r="AG288" s="106">
        <f ca="1">IF(B288=TODAY(),0,Sheet1!AA288+Sheet1!BN288+'Calculations II'!BC288+'Calculations II'!P288-Sheet1!CP288-BP288)</f>
        <v>31.630812501458031</v>
      </c>
      <c r="AH288" s="106">
        <f ca="1">IF(B288=TODAY(),0,Sheet1!AA288+Sheet1!BN288+'Calculations II'!BC288+'Calculations II'!P288-BP288)</f>
        <v>48.42081250145803</v>
      </c>
      <c r="AI288" s="106">
        <f ca="1">IF(B288=TODAY(),0,BC288+Sheet1!AA288+Calculation!EI288+O288+W288+Sheet1!BN288+Calculation!AI288+Calculation!CZ288-BP288)</f>
        <v>59.837588436668213</v>
      </c>
      <c r="AJ288" s="106"/>
      <c r="AM288" s="102">
        <f t="shared" si="38"/>
        <v>40817</v>
      </c>
      <c r="AN288" s="106"/>
      <c r="AO288" s="106"/>
      <c r="AR288" s="106"/>
      <c r="AT288" s="101">
        <f>Sheet1!AR288*GPMtoMGD</f>
        <v>0</v>
      </c>
      <c r="AU288" s="101">
        <f>Sheet1!AS288*GPMtoMGD</f>
        <v>2.6928000000000001E-2</v>
      </c>
      <c r="AV288" s="101">
        <f>Sheet1!AT288*GPMtoMGD</f>
        <v>0</v>
      </c>
      <c r="AW288" s="101">
        <f>Sheet1!AV288*GPMtoMGD</f>
        <v>1.5840000000000001</v>
      </c>
      <c r="AX288" s="101">
        <f>Sheet1!AW288*GPMtoMGD</f>
        <v>0</v>
      </c>
      <c r="AY288" s="101">
        <f>Sheet1!AX288*GPMtoMGD</f>
        <v>0</v>
      </c>
      <c r="AZ288" s="101">
        <f>Sheet1!AY288*GPMtoMGD</f>
        <v>0</v>
      </c>
      <c r="BA288" s="101">
        <f>Sheet1!AZ288*GPMtoMGD</f>
        <v>0</v>
      </c>
      <c r="BB288" s="101">
        <f>Sheet1!BP288*GPMtoMGD</f>
        <v>0</v>
      </c>
      <c r="BC288" s="101">
        <f>Sheet1!CO288*GPMtoMGD</f>
        <v>0</v>
      </c>
      <c r="BD288" s="101">
        <f>Sheet1!BO288*GPMtoMGD</f>
        <v>2.0740319999999999</v>
      </c>
      <c r="BE288" s="101">
        <f>Sheet1!BV288*GPMtoMGD</f>
        <v>0.82540800000000014</v>
      </c>
      <c r="BF288" s="101">
        <f>Sheet1!CJ288*GPMtoMGD</f>
        <v>0.22737600000000002</v>
      </c>
      <c r="BG288" s="101">
        <f>Sheet1!CK288*GPMtoMGD</f>
        <v>0.75312000000000001</v>
      </c>
      <c r="BH288" s="101">
        <f>Sheet1!CL288*GPMtoMGD</f>
        <v>0.829152</v>
      </c>
      <c r="BI288" s="101">
        <f t="shared" si="39"/>
        <v>2.0740319999999999</v>
      </c>
      <c r="BK288" s="106">
        <f>SUM(AT288:BA288,BE288,Sheet1!BU288,'Calculations II'!BC288,Calculation!AG288)</f>
        <v>47.419560064789813</v>
      </c>
      <c r="BM288" s="439">
        <f ca="1">IF(B288=TODAY(),0,IF(AND(Sheet1!BQ288&lt;=11.5,Sheet1!BQ287&gt;Sheet1!BQ288),(MIN(Lookup!$C$119,VLOOKUP(Sheet1!BQ287,Lookup!$B$4:$J$236,2))-VLOOKUP(Sheet1!BQ288,Lookup!$B$4:$J$236,2))/1000000,0))</f>
        <v>0</v>
      </c>
      <c r="BN288" s="439">
        <f ca="1">IF(B288=TODAY(),0,IF(AND(Sheet1!BR288&lt;=11.5,Sheet1!BR287&gt;Sheet1!BR288),(MIN(Lookup!$D$119,VLOOKUP(Sheet1!BR287,Lookup!$B$4:$J$236,3))-VLOOKUP(Sheet1!BR288,Lookup!$B$4:$J$236,3))/1000000,0))</f>
        <v>0</v>
      </c>
      <c r="BP288" s="105">
        <f ca="1">SUM(BM288:BN288,W288,Sheet1!DT288)</f>
        <v>0</v>
      </c>
    </row>
    <row r="289" spans="1:68" s="101" customFormat="1">
      <c r="A289" s="101" t="s">
        <v>9</v>
      </c>
      <c r="B289" s="103">
        <v>40818</v>
      </c>
      <c r="C289" s="104">
        <v>0.33333333333357601</v>
      </c>
      <c r="E289" s="30"/>
      <c r="F289" s="30">
        <f ca="1">IF(B289=TODAY(),0,-(VLOOKUP(Sheet1!BZ289,Lookup!$I$4:$J$216,2)-VLOOKUP(Sheet1!BZ288,Lookup!$I$4:$J$216,2))/1000000)</f>
        <v>-0.20727387709560618</v>
      </c>
      <c r="G289" s="106">
        <f ca="1">IF(B289=TODAY(),0,-$G$6*(Sheet1!CB289-Sheet1!CB288)*7.48/1000000)</f>
        <v>-0.94120997494565584</v>
      </c>
      <c r="H289" s="106">
        <f ca="1">IF(B289=TODAY(),0,-$G$6*(Sheet1!CC289-Sheet1!CC288)*7.48/1000000)</f>
        <v>-7.5455651999862469E-2</v>
      </c>
      <c r="I289" s="106">
        <f ca="1">IF(B289=TODAY(),0,-$G$6*(Sheet1!CD289-Sheet1!CD288)*7.48/1000000)</f>
        <v>-7.5455651999862469E-2</v>
      </c>
      <c r="J289" s="107" t="s">
        <v>193</v>
      </c>
      <c r="K289" s="106">
        <f ca="1">IF(B289=TODAY(),0,-$I$6*(Sheet1!CD289-Sheet1!CD288)*7.48/1000000)</f>
        <v>-3.4183866013251296E-2</v>
      </c>
      <c r="L289" s="107" t="s">
        <v>193</v>
      </c>
      <c r="M289" s="106">
        <f ca="1">IF(B289=TODAY(),0,-$M$6*(Sheet1!CE289-Sheet1!CE288)*7.48/1000000)</f>
        <v>-2.0656293160821085E-2</v>
      </c>
      <c r="N289" s="106">
        <f ca="1">IF(B289=TODAY(),0,-$N$6*(Sheet1!CF289-Sheet1!CF288)*7.48/1000000)</f>
        <v>-6.2052345394623676E-2</v>
      </c>
      <c r="O289" s="106">
        <f t="shared" ca="1" si="35"/>
        <v>-1.416287660609683</v>
      </c>
      <c r="P289" s="106">
        <f ca="1">O289+Calculation!EI289</f>
        <v>-4.1687660609682986E-2</v>
      </c>
      <c r="Q289" s="101" t="str">
        <f>IF(Sheet1!BQ289&gt;21.75,"spill elevation","-")</f>
        <v>-</v>
      </c>
      <c r="R289" s="101" t="str">
        <f>IF(Sheet1!BR289&gt;21.75,"spill elevation","-")</f>
        <v>-</v>
      </c>
      <c r="S289" s="101" t="str">
        <f>IF(Sheet1!BS289&gt;21.75,"spill elevation","-")</f>
        <v>-</v>
      </c>
      <c r="T289" s="105">
        <f>IF(Sheet1!DQ289=1,Sheet1!AA289-(SUM(AT289:BA289)+BE289),Sheet1!AA289-SUM(AT289:BA289))</f>
        <v>32.554928000004658</v>
      </c>
      <c r="U289" s="105">
        <f>Sheet1!BU289</f>
        <v>32.299999999999997</v>
      </c>
      <c r="V289" s="105">
        <f t="shared" si="36"/>
        <v>0.25492800000466076</v>
      </c>
      <c r="W289" s="105">
        <f t="shared" si="37"/>
        <v>0</v>
      </c>
      <c r="X289" s="101">
        <f>IF((Sheet1!EX289-Sheet1!EX288)&lt;0,(Sheet1!EX289+100000-Sheet1!EX288)/1000,(Sheet1!EX289-Sheet1!EX288)/1000)</f>
        <v>1.2689999999999999</v>
      </c>
      <c r="Y289" s="106">
        <f ca="1">Calculation!DZ290+Calculation!EI289+'Calculations II'!O289-'Calculations II'!W289</f>
        <v>59.978312339387116</v>
      </c>
      <c r="Z289" s="106">
        <f ca="1">Y289-Sheet1!CP290</f>
        <v>42.738312339387122</v>
      </c>
      <c r="AA289" s="106">
        <f ca="1">Y289+Calculation!CZ290+Calculation!AI290</f>
        <v>71.218739098325358</v>
      </c>
      <c r="AC289" s="106">
        <f>Sheet1!AA289+Sheet1!AB289+BC289</f>
        <v>60.080000000001746</v>
      </c>
      <c r="AD289" s="106">
        <f>Sheet1!AA289+Sheet1!BN289+'Calculations II'!BC289-Calculation!AI289-Calculation!CZ289</f>
        <v>36.80207641837724</v>
      </c>
      <c r="AE289" s="106">
        <f>Sheet1!AA289+Sheet1!AB289+'Calculations II'!BC289-Calculation!AI289-Calculation!CZ289</f>
        <v>48.452076418374332</v>
      </c>
      <c r="AF289" s="106">
        <f ca="1">Sheet1!AA289+Sheet1!BN289+P289+'Calculations II'!BC289+Calculation!AI289+Calculation!CZ289</f>
        <v>60.016235921022385</v>
      </c>
      <c r="AG289" s="106">
        <f ca="1">IF(B289=TODAY(),0,Sheet1!AA289+Sheet1!BN289+'Calculations II'!BC289+'Calculations II'!P289-Sheet1!CP289-BP289)</f>
        <v>31.438312339394972</v>
      </c>
      <c r="AH289" s="106">
        <f ca="1">IF(B289=TODAY(),0,Sheet1!AA289+Sheet1!BN289+'Calculations II'!BC289+'Calculations II'!P289-BP289)</f>
        <v>48.388312339394972</v>
      </c>
      <c r="AI289" s="106">
        <f ca="1">IF(B289=TODAY(),0,BC289+Sheet1!AA289+Calculation!EI289+O289+W289+Sheet1!BN289+Calculation!AI289+Calculation!CZ289-BP289)</f>
        <v>60.016235921022385</v>
      </c>
      <c r="AJ289" s="106"/>
      <c r="AM289" s="102">
        <f t="shared" si="38"/>
        <v>40818</v>
      </c>
      <c r="AN289" s="106"/>
      <c r="AO289" s="106"/>
      <c r="AR289" s="106"/>
      <c r="AT289" s="101">
        <f>Sheet1!AR289*GPMtoMGD</f>
        <v>0</v>
      </c>
      <c r="AU289" s="101">
        <f>Sheet1!AS289*GPMtoMGD</f>
        <v>2.7072000000000002E-2</v>
      </c>
      <c r="AV289" s="101">
        <f>Sheet1!AT289*GPMtoMGD</f>
        <v>0</v>
      </c>
      <c r="AW289" s="101">
        <f>Sheet1!AV289*GPMtoMGD</f>
        <v>0.8640000000000001</v>
      </c>
      <c r="AX289" s="101">
        <f>Sheet1!AW289*GPMtoMGD</f>
        <v>0.68400000000000005</v>
      </c>
      <c r="AY289" s="101">
        <f>Sheet1!AX289*GPMtoMGD</f>
        <v>0</v>
      </c>
      <c r="AZ289" s="101">
        <f>Sheet1!AY289*GPMtoMGD</f>
        <v>0</v>
      </c>
      <c r="BA289" s="101">
        <f>Sheet1!AZ289*GPMtoMGD</f>
        <v>0</v>
      </c>
      <c r="BB289" s="101">
        <f>Sheet1!BP289*GPMtoMGD</f>
        <v>0</v>
      </c>
      <c r="BC289" s="101">
        <f>Sheet1!CO289*GPMtoMGD</f>
        <v>0</v>
      </c>
      <c r="BD289" s="101">
        <f>Sheet1!BO289*GPMtoMGD</f>
        <v>2.5227360000000001</v>
      </c>
      <c r="BE289" s="101">
        <f>Sheet1!BV289*GPMtoMGD</f>
        <v>0.59155200000000008</v>
      </c>
      <c r="BF289" s="101">
        <f>Sheet1!CJ289*GPMtoMGD</f>
        <v>0.43214400000000008</v>
      </c>
      <c r="BG289" s="101">
        <f>Sheet1!CK289*GPMtoMGD</f>
        <v>0.78710400000000014</v>
      </c>
      <c r="BH289" s="101">
        <f>Sheet1!CL289*GPMtoMGD</f>
        <v>0.83563200000000004</v>
      </c>
      <c r="BI289" s="101">
        <f t="shared" si="39"/>
        <v>2.5227360000000001</v>
      </c>
      <c r="BK289" s="106">
        <f>SUM(AT289:BA289,BE289,Sheet1!BU289,'Calculations II'!BC289,Calculation!AG289)</f>
        <v>48.788700418369672</v>
      </c>
      <c r="BM289" s="439">
        <f ca="1">IF(B289=TODAY(),0,IF(AND(Sheet1!BQ289&lt;=11.5,Sheet1!BQ288&gt;Sheet1!BQ289),(MIN(Lookup!$C$119,VLOOKUP(Sheet1!BQ288,Lookup!$B$4:$J$236,2))-VLOOKUP(Sheet1!BQ289,Lookup!$B$4:$J$236,2))/1000000,0))</f>
        <v>0</v>
      </c>
      <c r="BN289" s="439">
        <f ca="1">IF(B289=TODAY(),0,IF(AND(Sheet1!BR289&lt;=11.5,Sheet1!BR288&gt;Sheet1!BR289),(MIN(Lookup!$D$119,VLOOKUP(Sheet1!BR288,Lookup!$B$4:$J$236,3))-VLOOKUP(Sheet1!BR289,Lookup!$B$4:$J$236,3))/1000000,0))</f>
        <v>0</v>
      </c>
      <c r="BP289" s="105">
        <f ca="1">SUM(BM289:BN289,W289,Sheet1!DT289)</f>
        <v>0</v>
      </c>
    </row>
    <row r="290" spans="1:68" s="101" customFormat="1">
      <c r="A290" s="101" t="s">
        <v>3</v>
      </c>
      <c r="B290" s="103">
        <v>40819</v>
      </c>
      <c r="C290" s="104">
        <v>0.33333333333357601</v>
      </c>
      <c r="E290" s="30"/>
      <c r="F290" s="30">
        <f ca="1">IF(B290=TODAY(),0,-(VLOOKUP(Sheet1!BZ290,Lookup!$I$4:$J$216,2)-VLOOKUP(Sheet1!BZ289,Lookup!$I$4:$J$216,2))/1000000)</f>
        <v>0.31091081564340556</v>
      </c>
      <c r="G290" s="106">
        <f ca="1">IF(B290=TODAY(),0,-$G$6*(Sheet1!CB290-Sheet1!CB289)*7.48/1000000)</f>
        <v>0.48847606294647955</v>
      </c>
      <c r="H290" s="106">
        <f ca="1">IF(B290=TODAY(),0,-$G$6*(Sheet1!CC290-Sheet1!CC289)*7.48/1000000)</f>
        <v>-0.12708320336818987</v>
      </c>
      <c r="I290" s="106">
        <f ca="1">IF(B290=TODAY(),0,-$G$6*(Sheet1!CD290-Sheet1!CD289)*7.48/1000000)</f>
        <v>-0.15488265410498148</v>
      </c>
      <c r="J290" s="107" t="s">
        <v>193</v>
      </c>
      <c r="K290" s="106">
        <f ca="1">IF(B290=TODAY(),0,-$I$6*(Sheet1!CD290-Sheet1!CD289)*7.48/1000000)</f>
        <v>-7.0166882869305586E-2</v>
      </c>
      <c r="L290" s="107" t="s">
        <v>193</v>
      </c>
      <c r="M290" s="106">
        <f ca="1">IF(B290=TODAY(),0,-$M$6*(Sheet1!CE290-Sheet1!CE289)*7.48/1000000)</f>
        <v>-1.7990965011037766E-2</v>
      </c>
      <c r="N290" s="106">
        <f ca="1">IF(B290=TODAY(),0,-$N$6*(Sheet1!CF290-Sheet1!CF289)*7.48/1000000)</f>
        <v>0.20477273980225894</v>
      </c>
      <c r="O290" s="106">
        <f t="shared" ca="1" si="35"/>
        <v>0.63403591303862927</v>
      </c>
      <c r="P290" s="106">
        <f ca="1">O290+Calculation!EI290</f>
        <v>0.3606359130386293</v>
      </c>
      <c r="Q290" s="101" t="str">
        <f>IF(Sheet1!BQ290&gt;21.75,"spill elevation","-")</f>
        <v>-</v>
      </c>
      <c r="R290" s="101" t="str">
        <f>IF(Sheet1!BR290&gt;21.75,"spill elevation","-")</f>
        <v>-</v>
      </c>
      <c r="S290" s="101" t="str">
        <f>IF(Sheet1!BS290&gt;21.75,"spill elevation","-")</f>
        <v>-</v>
      </c>
      <c r="T290" s="105">
        <f>IF(Sheet1!DQ290=1,Sheet1!AA290-(SUM(AT290:BA290)+BE290),Sheet1!AA290-SUM(AT290:BA290))</f>
        <v>32.46287999999825</v>
      </c>
      <c r="U290" s="105">
        <f>Sheet1!BU290</f>
        <v>30.6</v>
      </c>
      <c r="V290" s="105">
        <f t="shared" si="36"/>
        <v>1.862879999998249</v>
      </c>
      <c r="W290" s="105">
        <f t="shared" si="37"/>
        <v>0</v>
      </c>
      <c r="X290" s="101">
        <f>IF((Sheet1!EX290-Sheet1!EX289)&lt;0,(Sheet1!EX290+100000-Sheet1!EX289)/1000,(Sheet1!EX290-Sheet1!EX289)/1000)</f>
        <v>1.1739999999999999</v>
      </c>
      <c r="Y290" s="106">
        <f ca="1">Calculation!DZ291+Calculation!EI290+'Calculations II'!O290-'Calculations II'!W290</f>
        <v>59.860635913038628</v>
      </c>
      <c r="Z290" s="106">
        <f ca="1">Y290-Sheet1!CP291</f>
        <v>42.870635913038626</v>
      </c>
      <c r="AA290" s="106">
        <f ca="1">Y290+Calculation!CZ291+Calculation!AI291</f>
        <v>70.932517101158709</v>
      </c>
      <c r="AC290" s="106">
        <f>Sheet1!AA290+Sheet1!AB290+BC290</f>
        <v>60.019999999996799</v>
      </c>
      <c r="AD290" s="106">
        <f>Sheet1!AA290+Sheet1!BN290+'Calculations II'!BC290-Calculation!AI290-Calculation!CZ290</f>
        <v>37.629573241060015</v>
      </c>
      <c r="AE290" s="106">
        <f>Sheet1!AA290+Sheet1!AB290+'Calculations II'!BC290-Calculation!AI290-Calculation!CZ290</f>
        <v>48.779573241058557</v>
      </c>
      <c r="AF290" s="106">
        <f ca="1">Sheet1!AA290+Sheet1!BN290+P290+'Calculations II'!BC290+Calculation!AI290+Calculation!CZ290</f>
        <v>60.471062671975119</v>
      </c>
      <c r="AG290" s="106">
        <f ca="1">IF(B290=TODAY(),0,Sheet1!AA290+Sheet1!BN290+'Calculations II'!BC290+'Calculations II'!P290-Sheet1!CP290-BP290)</f>
        <v>31.990635913036886</v>
      </c>
      <c r="AH290" s="106">
        <f ca="1">IF(B290=TODAY(),0,Sheet1!AA290+Sheet1!BN290+'Calculations II'!BC290+'Calculations II'!P290-BP290)</f>
        <v>49.230635913036885</v>
      </c>
      <c r="AI290" s="106">
        <f ca="1">IF(B290=TODAY(),0,BC290+Sheet1!AA290+Calculation!EI290+O290+W290+Sheet1!BN290+Calculation!AI290+Calculation!CZ290-BP290)</f>
        <v>60.471062671975119</v>
      </c>
      <c r="AJ290" s="106"/>
      <c r="AM290" s="102">
        <f t="shared" si="38"/>
        <v>40819</v>
      </c>
      <c r="AN290" s="106"/>
      <c r="AO290" s="106"/>
      <c r="AR290" s="106"/>
      <c r="AT290" s="101">
        <f>Sheet1!AR290*GPMtoMGD</f>
        <v>0</v>
      </c>
      <c r="AU290" s="101">
        <f>Sheet1!AS290*GPMtoMGD</f>
        <v>0.12297600000000002</v>
      </c>
      <c r="AV290" s="101">
        <f>Sheet1!AT290*GPMtoMGD</f>
        <v>0</v>
      </c>
      <c r="AW290" s="101">
        <f>Sheet1!AV290*GPMtoMGD</f>
        <v>1.5840000000000001</v>
      </c>
      <c r="AX290" s="101">
        <f>Sheet1!AW290*GPMtoMGD</f>
        <v>0</v>
      </c>
      <c r="AY290" s="101">
        <f>Sheet1!AX290*GPMtoMGD</f>
        <v>1.44E-4</v>
      </c>
      <c r="AZ290" s="101">
        <f>Sheet1!AY290*GPMtoMGD</f>
        <v>0</v>
      </c>
      <c r="BA290" s="101">
        <f>Sheet1!AZ290*GPMtoMGD</f>
        <v>0</v>
      </c>
      <c r="BB290" s="101">
        <f>Sheet1!BP290*GPMtoMGD</f>
        <v>0</v>
      </c>
      <c r="BC290" s="101">
        <f>Sheet1!CO290*GPMtoMGD</f>
        <v>0</v>
      </c>
      <c r="BD290" s="101">
        <f>Sheet1!BO290*GPMtoMGD</f>
        <v>2.0089440000000001</v>
      </c>
      <c r="BE290" s="101">
        <f>Sheet1!BV290*GPMtoMGD</f>
        <v>0.8150400000000001</v>
      </c>
      <c r="BF290" s="101">
        <f>Sheet1!CJ290*GPMtoMGD</f>
        <v>0.39096000000000003</v>
      </c>
      <c r="BG290" s="101">
        <f>Sheet1!CK290*GPMtoMGD</f>
        <v>0.7007040000000001</v>
      </c>
      <c r="BH290" s="101">
        <f>Sheet1!CL290*GPMtoMGD</f>
        <v>0.87696000000000007</v>
      </c>
      <c r="BI290" s="101">
        <f t="shared" si="39"/>
        <v>2.0089440000000001</v>
      </c>
      <c r="BK290" s="106">
        <f>SUM(AT290:BA290,BE290,Sheet1!BU290,'Calculations II'!BC290,Calculation!AG290)</f>
        <v>47.731733241060311</v>
      </c>
      <c r="BM290" s="439">
        <f ca="1">IF(B290=TODAY(),0,IF(AND(Sheet1!BQ290&lt;=11.5,Sheet1!BQ289&gt;Sheet1!BQ290),(MIN(Lookup!$C$119,VLOOKUP(Sheet1!BQ289,Lookup!$B$4:$J$236,2))-VLOOKUP(Sheet1!BQ290,Lookup!$B$4:$J$236,2))/1000000,0))</f>
        <v>0</v>
      </c>
      <c r="BN290" s="439">
        <f ca="1">IF(B290=TODAY(),0,IF(AND(Sheet1!BR290&lt;=11.5,Sheet1!BR289&gt;Sheet1!BR290),(MIN(Lookup!$D$119,VLOOKUP(Sheet1!BR289,Lookup!$B$4:$J$236,3))-VLOOKUP(Sheet1!BR290,Lookup!$B$4:$J$236,3))/1000000,0))</f>
        <v>0</v>
      </c>
      <c r="BP290" s="105">
        <f ca="1">SUM(BM290:BN290,W290,Sheet1!DT290)</f>
        <v>0</v>
      </c>
    </row>
    <row r="291" spans="1:68" s="101" customFormat="1">
      <c r="A291" s="101" t="s">
        <v>4</v>
      </c>
      <c r="B291" s="103">
        <v>40820</v>
      </c>
      <c r="C291" s="104">
        <v>0.33333333333357601</v>
      </c>
      <c r="E291" s="30"/>
      <c r="F291" s="30">
        <f ca="1">IF(B291=TODAY(),0,-(VLOOKUP(Sheet1!BZ291,Lookup!$I$4:$J$216,2)-VLOOKUP(Sheet1!BZ290,Lookup!$I$4:$J$216,2))/1000000)</f>
        <v>0.72545856983459556</v>
      </c>
      <c r="G291" s="106">
        <f ca="1">IF(B291=TODAY(),0,-$G$6*(Sheet1!CB291-Sheet1!CB290)*7.48/1000000)</f>
        <v>0.39713501052559297</v>
      </c>
      <c r="H291" s="106">
        <f ca="1">IF(B291=TODAY(),0,-$G$6*(Sheet1!CC291-Sheet1!CC290)*7.48/1000000)</f>
        <v>0.11914050315767746</v>
      </c>
      <c r="I291" s="106">
        <f ca="1">IF(B291=TODAY(),0,-$G$6*(Sheet1!CD291-Sheet1!CD290)*7.48/1000000)</f>
        <v>0.11914050315767817</v>
      </c>
      <c r="J291" s="107" t="s">
        <v>193</v>
      </c>
      <c r="K291" s="106">
        <f ca="1">IF(B291=TODAY(),0,-$I$6*(Sheet1!CD291-Sheet1!CD290)*7.48/1000000)</f>
        <v>5.3974525284081275E-2</v>
      </c>
      <c r="L291" s="107" t="s">
        <v>193</v>
      </c>
      <c r="M291" s="106">
        <f ca="1">IF(B291=TODAY(),0,-$M$6*(Sheet1!CE291-Sheet1!CE290)*7.48/1000000)</f>
        <v>1.9989961123375137E-2</v>
      </c>
      <c r="N291" s="106">
        <f ca="1">IF(B291=TODAY(),0,-$N$6*(Sheet1!CF291-Sheet1!CF290)*7.48/1000000)</f>
        <v>0.18615703618387214</v>
      </c>
      <c r="O291" s="106">
        <f t="shared" ca="1" si="35"/>
        <v>1.6209961092668728</v>
      </c>
      <c r="P291" s="106">
        <f ca="1">O291+Calculation!EI291</f>
        <v>-0.58820389073312729</v>
      </c>
      <c r="Q291" s="101" t="str">
        <f>IF(Sheet1!BQ291&gt;21.75,"spill elevation","-")</f>
        <v>-</v>
      </c>
      <c r="R291" s="101" t="str">
        <f>IF(Sheet1!BR291&gt;21.75,"spill elevation","-")</f>
        <v>-</v>
      </c>
      <c r="S291" s="101" t="str">
        <f>IF(Sheet1!BS291&gt;21.75,"spill elevation","-")</f>
        <v>-</v>
      </c>
      <c r="T291" s="105">
        <f>IF(Sheet1!DQ291=1,Sheet1!AA291-(SUM(AT291:BA291)+BE291),Sheet1!AA291-SUM(AT291:BA291))</f>
        <v>32.535215999997092</v>
      </c>
      <c r="U291" s="105">
        <f>Sheet1!BU291</f>
        <v>28.7</v>
      </c>
      <c r="V291" s="105">
        <f t="shared" si="36"/>
        <v>3.835215999997093</v>
      </c>
      <c r="W291" s="105">
        <f t="shared" si="37"/>
        <v>0</v>
      </c>
      <c r="X291" s="101">
        <f>IF((Sheet1!EX291-Sheet1!EX290)&lt;0,(Sheet1!EX291+100000-Sheet1!EX290)/1000,(Sheet1!EX291-Sheet1!EX290)/1000)</f>
        <v>1.355</v>
      </c>
      <c r="Y291" s="106">
        <f ca="1">Calculation!DZ292+Calculation!EI291+'Calculations II'!O291-'Calculations II'!W291</f>
        <v>57.611796109278515</v>
      </c>
      <c r="Z291" s="106">
        <f ca="1">Y291-Sheet1!CP292</f>
        <v>40.861796109278515</v>
      </c>
      <c r="AA291" s="106">
        <f ca="1">Y291+Calculation!CZ292+Calculation!AI292</f>
        <v>68.763615431737733</v>
      </c>
      <c r="AC291" s="106">
        <f>Sheet1!AA291+Sheet1!AB291+BC291</f>
        <v>59.5</v>
      </c>
      <c r="AD291" s="106">
        <f>Sheet1!AA291+Sheet1!BN291+'Calculations II'!BC291-Calculation!AI291-Calculation!CZ291</f>
        <v>37.328118811877005</v>
      </c>
      <c r="AE291" s="106">
        <f>Sheet1!AA291+Sheet1!AB291+'Calculations II'!BC291-Calculation!AI291-Calculation!CZ291</f>
        <v>48.428118811879912</v>
      </c>
      <c r="AF291" s="106">
        <f ca="1">Sheet1!AA291+Sheet1!BN291+P291+'Calculations II'!BC291+Calculation!AI291+Calculation!CZ291</f>
        <v>58.883677297384054</v>
      </c>
      <c r="AG291" s="106">
        <f ca="1">IF(B291=TODAY(),0,Sheet1!AA291+Sheet1!BN291+'Calculations II'!BC291+'Calculations II'!P291-Sheet1!CP291-BP291)</f>
        <v>30.821796109263968</v>
      </c>
      <c r="AH291" s="106">
        <f ca="1">IF(B291=TODAY(),0,Sheet1!AA291+Sheet1!BN291+'Calculations II'!BC291+'Calculations II'!P291-BP291)</f>
        <v>47.811796109263966</v>
      </c>
      <c r="AI291" s="106">
        <f ca="1">IF(B291=TODAY(),0,BC291+Sheet1!AA291+Calculation!EI291+O291+W291+Sheet1!BN291+Calculation!AI291+Calculation!CZ291-BP291)</f>
        <v>58.883677297384054</v>
      </c>
      <c r="AJ291" s="106"/>
      <c r="AM291" s="102">
        <f t="shared" si="38"/>
        <v>40820</v>
      </c>
      <c r="AN291" s="106"/>
      <c r="AO291" s="106"/>
      <c r="AR291" s="106"/>
      <c r="AT291" s="101">
        <f>Sheet1!AR291*GPMtoMGD</f>
        <v>0</v>
      </c>
      <c r="AU291" s="101">
        <f>Sheet1!AS291*GPMtoMGD</f>
        <v>2.5920000000000002E-2</v>
      </c>
      <c r="AV291" s="101">
        <f>Sheet1!AT291*GPMtoMGD</f>
        <v>0</v>
      </c>
      <c r="AW291" s="101">
        <f>Sheet1!AV291*GPMtoMGD</f>
        <v>1.008</v>
      </c>
      <c r="AX291" s="101">
        <f>Sheet1!AW291*GPMtoMGD</f>
        <v>0.63086400000000009</v>
      </c>
      <c r="AY291" s="101">
        <f>Sheet1!AX291*GPMtoMGD</f>
        <v>0</v>
      </c>
      <c r="AZ291" s="101">
        <f>Sheet1!AY291*GPMtoMGD</f>
        <v>0</v>
      </c>
      <c r="BA291" s="101">
        <f>Sheet1!AZ291*GPMtoMGD</f>
        <v>0</v>
      </c>
      <c r="BB291" s="101">
        <f>Sheet1!BP291*GPMtoMGD</f>
        <v>0</v>
      </c>
      <c r="BC291" s="101">
        <f>Sheet1!CO291*GPMtoMGD</f>
        <v>0</v>
      </c>
      <c r="BD291" s="101">
        <f>Sheet1!BO291*GPMtoMGD</f>
        <v>1.8371520000000001</v>
      </c>
      <c r="BE291" s="101">
        <f>Sheet1!BV291*GPMtoMGD</f>
        <v>0.56462400000000001</v>
      </c>
      <c r="BF291" s="101">
        <f>Sheet1!CJ291*GPMtoMGD</f>
        <v>0.34732800000000003</v>
      </c>
      <c r="BG291" s="101">
        <f>Sheet1!CK291*GPMtoMGD</f>
        <v>0.65836800000000006</v>
      </c>
      <c r="BH291" s="101">
        <f>Sheet1!CL291*GPMtoMGD</f>
        <v>0.8455680000000001</v>
      </c>
      <c r="BI291" s="101">
        <f t="shared" si="39"/>
        <v>1.8371520000000001</v>
      </c>
      <c r="BK291" s="106">
        <f>SUM(AT291:BA291,BE291,Sheet1!BU291,'Calculations II'!BC291,Calculation!AG291)</f>
        <v>45.157526811882825</v>
      </c>
      <c r="BM291" s="439">
        <f ca="1">IF(B291=TODAY(),0,IF(AND(Sheet1!BQ291&lt;=11.5,Sheet1!BQ290&gt;Sheet1!BQ291),(MIN(Lookup!$C$119,VLOOKUP(Sheet1!BQ290,Lookup!$B$4:$J$236,2))-VLOOKUP(Sheet1!BQ291,Lookup!$B$4:$J$236,2))/1000000,0))</f>
        <v>0</v>
      </c>
      <c r="BN291" s="439">
        <f ca="1">IF(B291=TODAY(),0,IF(AND(Sheet1!BR291&lt;=11.5,Sheet1!BR290&gt;Sheet1!BR291),(MIN(Lookup!$D$119,VLOOKUP(Sheet1!BR290,Lookup!$B$4:$J$236,3))-VLOOKUP(Sheet1!BR291,Lookup!$B$4:$J$236,3))/1000000,0))</f>
        <v>0</v>
      </c>
      <c r="BP291" s="105">
        <f ca="1">SUM(BM291:BN291,W291,Sheet1!DT291)</f>
        <v>0</v>
      </c>
    </row>
    <row r="292" spans="1:68" s="101" customFormat="1">
      <c r="A292" s="101" t="s">
        <v>5</v>
      </c>
      <c r="B292" s="103">
        <v>40821</v>
      </c>
      <c r="C292" s="104">
        <v>0.33333333333357601</v>
      </c>
      <c r="E292" s="30"/>
      <c r="F292" s="30">
        <f ca="1">IF(B292=TODAY(),0,-(VLOOKUP(Sheet1!BZ292,Lookup!$I$4:$J$216,2)-VLOOKUP(Sheet1!BZ291,Lookup!$I$4:$J$216,2))/1000000)</f>
        <v>-0.20727387709559872</v>
      </c>
      <c r="G292" s="106">
        <f ca="1">IF(B292=TODAY(),0,-$G$6*(Sheet1!CB292-Sheet1!CB291)*7.48/1000000)</f>
        <v>-0.19856750526279648</v>
      </c>
      <c r="H292" s="106">
        <f ca="1">IF(B292=TODAY(),0,-$G$6*(Sheet1!CC292-Sheet1!CC291)*7.48/1000000)</f>
        <v>3.9713501052559864E-2</v>
      </c>
      <c r="I292" s="106">
        <f ca="1">IF(B292=TODAY(),0,-$G$6*(Sheet1!CD292-Sheet1!CD291)*7.48/1000000)</f>
        <v>3.9713501052559157E-2</v>
      </c>
      <c r="J292" s="107" t="s">
        <v>193</v>
      </c>
      <c r="K292" s="106">
        <f ca="1">IF(B292=TODAY(),0,-$I$6*(Sheet1!CD292-Sheet1!CD291)*7.48/1000000)</f>
        <v>1.7991508428026985E-2</v>
      </c>
      <c r="L292" s="107" t="s">
        <v>193</v>
      </c>
      <c r="M292" s="106">
        <f ca="1">IF(B292=TODAY(),0,-$M$6*(Sheet1!CE292-Sheet1!CE291)*7.48/1000000)</f>
        <v>6.6633203744585374E-3</v>
      </c>
      <c r="N292" s="106">
        <f ca="1">IF(B292=TODAY(),0,-$N$6*(Sheet1!CF292-Sheet1!CF291)*7.48/1000000)</f>
        <v>0.12410469078924735</v>
      </c>
      <c r="O292" s="106">
        <f t="shared" ca="1" si="35"/>
        <v>-0.17765486066154323</v>
      </c>
      <c r="P292" s="106">
        <f ca="1">O292+Calculation!EI292</f>
        <v>0.37634513933845681</v>
      </c>
      <c r="Q292" s="101" t="str">
        <f>IF(Sheet1!BQ292&gt;21.75,"spill elevation","-")</f>
        <v>-</v>
      </c>
      <c r="R292" s="101" t="str">
        <f>IF(Sheet1!BR292&gt;21.75,"spill elevation","-")</f>
        <v>-</v>
      </c>
      <c r="S292" s="101" t="str">
        <f>IF(Sheet1!BS292&gt;21.75,"spill elevation","-")</f>
        <v>-</v>
      </c>
      <c r="T292" s="105">
        <f>IF(Sheet1!DQ292=1,Sheet1!AA292-(SUM(AT292:BA292)+BE292),Sheet1!AA292-SUM(AT292:BA292))</f>
        <v>32.569056000011642</v>
      </c>
      <c r="U292" s="105">
        <f>Sheet1!BU292</f>
        <v>30.9</v>
      </c>
      <c r="V292" s="105">
        <f t="shared" si="36"/>
        <v>1.6690560000116434</v>
      </c>
      <c r="W292" s="105">
        <f t="shared" si="37"/>
        <v>0</v>
      </c>
      <c r="X292" s="101">
        <f>IF((Sheet1!EX292-Sheet1!EX291)&lt;0,(Sheet1!EX292+100000-Sheet1!EX291)/1000,(Sheet1!EX292-Sheet1!EX291)/1000)</f>
        <v>1.3380000000000001</v>
      </c>
      <c r="Y292" s="106">
        <f ca="1">Calculation!DZ293+Calculation!EI292+'Calculations II'!O292-'Calculations II'!W292</f>
        <v>55.876345139331185</v>
      </c>
      <c r="Z292" s="106">
        <f ca="1">Y292-Sheet1!CP293</f>
        <v>38.586345139331186</v>
      </c>
      <c r="AA292" s="106">
        <f ca="1">Y292+Calculation!CZ293+Calculation!AI293</f>
        <v>66.943059357114535</v>
      </c>
      <c r="AC292" s="106">
        <f>Sheet1!AA292+Sheet1!AB292+BC292</f>
        <v>58.200000000011642</v>
      </c>
      <c r="AD292" s="106">
        <f>Sheet1!AA292+Sheet1!BN292+'Calculations II'!BC292-Calculation!AI292-Calculation!CZ292</f>
        <v>35.848180677552421</v>
      </c>
      <c r="AE292" s="106">
        <f>Sheet1!AA292+Sheet1!AB292+'Calculations II'!BC292-Calculation!AI292-Calculation!CZ292</f>
        <v>47.048180677552423</v>
      </c>
      <c r="AF292" s="106">
        <f ca="1">Sheet1!AA292+Sheet1!BN292+P292+'Calculations II'!BC292+Calculation!AI292+Calculation!CZ292</f>
        <v>58.528164461809311</v>
      </c>
      <c r="AG292" s="106">
        <f ca="1">IF(B292=TODAY(),0,Sheet1!AA292+Sheet1!BN292+'Calculations II'!BC292+'Calculations II'!P292-Sheet1!CP292-BP292)</f>
        <v>30.626345139350093</v>
      </c>
      <c r="AH292" s="106">
        <f ca="1">IF(B292=TODAY(),0,Sheet1!AA292+Sheet1!BN292+'Calculations II'!BC292+'Calculations II'!P292-BP292)</f>
        <v>47.376345139350093</v>
      </c>
      <c r="AI292" s="106">
        <f ca="1">IF(B292=TODAY(),0,BC292+Sheet1!AA292+Calculation!EI292+O292+W292+Sheet1!BN292+Calculation!AI292+Calculation!CZ292-BP292)</f>
        <v>58.528164461809325</v>
      </c>
      <c r="AJ292" s="106"/>
      <c r="AM292" s="102">
        <f t="shared" si="38"/>
        <v>40821</v>
      </c>
      <c r="AN292" s="106"/>
      <c r="AO292" s="106"/>
      <c r="AR292" s="106"/>
      <c r="AT292" s="101">
        <f>Sheet1!AR292*GPMtoMGD</f>
        <v>0</v>
      </c>
      <c r="AU292" s="101">
        <f>Sheet1!AS292*GPMtoMGD</f>
        <v>2.5344000000000002E-2</v>
      </c>
      <c r="AV292" s="101">
        <f>Sheet1!AT292*GPMtoMGD</f>
        <v>0</v>
      </c>
      <c r="AW292" s="101">
        <f>Sheet1!AV292*GPMtoMGD</f>
        <v>0.8640000000000001</v>
      </c>
      <c r="AX292" s="101">
        <f>Sheet1!AW292*GPMtoMGD</f>
        <v>0.74160000000000004</v>
      </c>
      <c r="AY292" s="101">
        <f>Sheet1!AX292*GPMtoMGD</f>
        <v>0</v>
      </c>
      <c r="AZ292" s="101">
        <f>Sheet1!AY292*GPMtoMGD</f>
        <v>0</v>
      </c>
      <c r="BA292" s="101">
        <f>Sheet1!AZ292*GPMtoMGD</f>
        <v>0</v>
      </c>
      <c r="BB292" s="101">
        <f>Sheet1!BP292*GPMtoMGD</f>
        <v>0</v>
      </c>
      <c r="BC292" s="101">
        <f>Sheet1!CO292*GPMtoMGD</f>
        <v>0</v>
      </c>
      <c r="BD292" s="101">
        <f>Sheet1!BO292*GPMtoMGD</f>
        <v>1.9072800000000001</v>
      </c>
      <c r="BE292" s="101">
        <f>Sheet1!BV292*GPMtoMGD</f>
        <v>0.57412799999999997</v>
      </c>
      <c r="BF292" s="101">
        <f>Sheet1!CJ292*GPMtoMGD</f>
        <v>0.36633600000000005</v>
      </c>
      <c r="BG292" s="101">
        <f>Sheet1!CK292*GPMtoMGD</f>
        <v>0.58564800000000006</v>
      </c>
      <c r="BH292" s="101">
        <f>Sheet1!CL292*GPMtoMGD</f>
        <v>0.85968</v>
      </c>
      <c r="BI292" s="101">
        <f t="shared" si="39"/>
        <v>1.9072800000000001</v>
      </c>
      <c r="BK292" s="106">
        <f>SUM(AT292:BA292,BE292,Sheet1!BU292,'Calculations II'!BC292,Calculation!AG292)</f>
        <v>45.953252677540775</v>
      </c>
      <c r="BM292" s="439">
        <f ca="1">IF(B292=TODAY(),0,IF(AND(Sheet1!BQ292&lt;=11.5,Sheet1!BQ291&gt;Sheet1!BQ292),(MIN(Lookup!$C$119,VLOOKUP(Sheet1!BQ291,Lookup!$B$4:$J$236,2))-VLOOKUP(Sheet1!BQ292,Lookup!$B$4:$J$236,2))/1000000,0))</f>
        <v>0</v>
      </c>
      <c r="BN292" s="439">
        <f ca="1">IF(B292=TODAY(),0,IF(AND(Sheet1!BR292&lt;=11.5,Sheet1!BR291&gt;Sheet1!BR292),(MIN(Lookup!$D$119,VLOOKUP(Sheet1!BR291,Lookup!$B$4:$J$236,3))-VLOOKUP(Sheet1!BR292,Lookup!$B$4:$J$236,3))/1000000,0))</f>
        <v>0</v>
      </c>
      <c r="BP292" s="105">
        <f ca="1">SUM(BM292:BN292,W292,Sheet1!DT292)</f>
        <v>0</v>
      </c>
    </row>
    <row r="293" spans="1:68" s="101" customFormat="1">
      <c r="A293" s="101" t="s">
        <v>6</v>
      </c>
      <c r="B293" s="103">
        <v>40822</v>
      </c>
      <c r="C293" s="104">
        <v>0.33333333333357601</v>
      </c>
      <c r="E293" s="30"/>
      <c r="F293" s="30">
        <f ca="1">IF(B293=TODAY(),0,-(VLOOKUP(Sheet1!BZ293,Lookup!$I$4:$J$216,2)-VLOOKUP(Sheet1!BZ292,Lookup!$I$4:$J$216,2))/1000000)</f>
        <v>0</v>
      </c>
      <c r="G293" s="106">
        <f ca="1">IF(B293=TODAY(),0,-$G$6*(Sheet1!CB293-Sheet1!CB292)*7.48/1000000)</f>
        <v>-0.75455651999862605</v>
      </c>
      <c r="H293" s="106">
        <f ca="1">IF(B293=TODAY(),0,-$G$6*(Sheet1!CC293-Sheet1!CC292)*7.48/1000000)</f>
        <v>0.11914050315767746</v>
      </c>
      <c r="I293" s="106">
        <f ca="1">IF(B293=TODAY(),0,-$G$6*(Sheet1!CD293-Sheet1!CD292)*7.48/1000000)</f>
        <v>0.15885400421023735</v>
      </c>
      <c r="J293" s="107" t="s">
        <v>193</v>
      </c>
      <c r="K293" s="106">
        <f ca="1">IF(B293=TODAY(),0,-$I$6*(Sheet1!CD293-Sheet1!CD292)*7.48/1000000)</f>
        <v>7.196603371210826E-2</v>
      </c>
      <c r="L293" s="107" t="s">
        <v>193</v>
      </c>
      <c r="M293" s="106">
        <f ca="1">IF(B293=TODAY(),0,-$M$6*(Sheet1!CE293-Sheet1!CE292)*7.48/1000000)</f>
        <v>6.6633203744585374E-3</v>
      </c>
      <c r="N293" s="106">
        <f ca="1">IF(B293=TODAY(),0,-$N$6*(Sheet1!CF293-Sheet1!CF292)*7.48/1000000)</f>
        <v>-0.12410469078924735</v>
      </c>
      <c r="O293" s="106">
        <f t="shared" ca="1" si="35"/>
        <v>-0.52203734933339185</v>
      </c>
      <c r="P293" s="106">
        <f ca="1">O293+Calculation!EI293</f>
        <v>2.7747626506666085</v>
      </c>
      <c r="Q293" s="101" t="str">
        <f>IF(Sheet1!BQ293&gt;21.75,"spill elevation","-")</f>
        <v>-</v>
      </c>
      <c r="R293" s="101" t="str">
        <f>IF(Sheet1!BR293&gt;21.75,"spill elevation","-")</f>
        <v>-</v>
      </c>
      <c r="S293" s="101" t="str">
        <f>IF(Sheet1!BS293&gt;21.75,"spill elevation","-")</f>
        <v>-</v>
      </c>
      <c r="T293" s="105">
        <f>IF(Sheet1!DQ293=1,Sheet1!AA293-(SUM(AT293:BA293)+BE293),Sheet1!AA293-SUM(AT293:BA293))</f>
        <v>32.839327999994183</v>
      </c>
      <c r="U293" s="105">
        <f>Sheet1!BU293</f>
        <v>34</v>
      </c>
      <c r="V293" s="105">
        <f t="shared" si="36"/>
        <v>-1.1606720000058175</v>
      </c>
      <c r="W293" s="105">
        <f t="shared" si="37"/>
        <v>0</v>
      </c>
      <c r="X293" s="101">
        <f>IF((Sheet1!EX293-Sheet1!EX292)&lt;0,(Sheet1!EX293+100000-Sheet1!EX292)/1000,(Sheet1!EX293-Sheet1!EX292)/1000)</f>
        <v>1.2709999999999999</v>
      </c>
      <c r="Y293" s="106">
        <f ca="1">Calculation!DZ294+Calculation!EI293+'Calculations II'!O293-'Calculations II'!W293</f>
        <v>55.674762650668058</v>
      </c>
      <c r="Z293" s="106">
        <f ca="1">Y293-Sheet1!CP294</f>
        <v>39.024762650668059</v>
      </c>
      <c r="AA293" s="106">
        <f ca="1">Y293+Calculation!CZ294+Calculation!AI294</f>
        <v>66.011011333492874</v>
      </c>
      <c r="AC293" s="106">
        <f>Sheet1!AA293+Sheet1!AB293+BC293</f>
        <v>55.499999999992724</v>
      </c>
      <c r="AD293" s="106">
        <f>Sheet1!AA293+Sheet1!BN293+'Calculations II'!BC293-Calculation!AI293-Calculation!CZ293</f>
        <v>33.333285782210822</v>
      </c>
      <c r="AE293" s="106">
        <f>Sheet1!AA293+Sheet1!AB293+'Calculations II'!BC293-Calculation!AI293-Calculation!CZ293</f>
        <v>44.433285782209367</v>
      </c>
      <c r="AF293" s="106">
        <f ca="1">Sheet1!AA293+Sheet1!BN293+P293+'Calculations II'!BC293+Calculation!AI293+Calculation!CZ293</f>
        <v>58.241476868444146</v>
      </c>
      <c r="AG293" s="106">
        <f ca="1">IF(B293=TODAY(),0,Sheet1!AA293+Sheet1!BN293+'Calculations II'!BC293+'Calculations II'!P293-Sheet1!CP293-BP293)</f>
        <v>29.88476265066079</v>
      </c>
      <c r="AH293" s="106">
        <f ca="1">IF(B293=TODAY(),0,Sheet1!AA293+Sheet1!BN293+'Calculations II'!BC293+'Calculations II'!P293-BP293)</f>
        <v>47.174762650660789</v>
      </c>
      <c r="AI293" s="106">
        <f ca="1">IF(B293=TODAY(),0,BC293+Sheet1!AA293+Calculation!EI293+O293+W293+Sheet1!BN293+Calculation!AI293+Calculation!CZ293-BP293)</f>
        <v>58.241476868444138</v>
      </c>
      <c r="AJ293" s="106"/>
      <c r="AM293" s="102">
        <f t="shared" si="38"/>
        <v>40822</v>
      </c>
      <c r="AN293" s="106"/>
      <c r="AO293" s="106"/>
      <c r="AR293" s="106"/>
      <c r="AT293" s="101">
        <f>Sheet1!AR293*GPMtoMGD</f>
        <v>0</v>
      </c>
      <c r="AU293" s="101">
        <f>Sheet1!AS293*GPMtoMGD</f>
        <v>2.5488E-2</v>
      </c>
      <c r="AV293" s="101">
        <f>Sheet1!AT293*GPMtoMGD</f>
        <v>0</v>
      </c>
      <c r="AW293" s="101">
        <f>Sheet1!AV293*GPMtoMGD</f>
        <v>1.008</v>
      </c>
      <c r="AX293" s="101">
        <f>Sheet1!AW293*GPMtoMGD</f>
        <v>0.5271840000000001</v>
      </c>
      <c r="AY293" s="101">
        <f>Sheet1!AX293*GPMtoMGD</f>
        <v>0</v>
      </c>
      <c r="AZ293" s="101">
        <f>Sheet1!AY293*GPMtoMGD</f>
        <v>0</v>
      </c>
      <c r="BA293" s="101">
        <f>Sheet1!AZ293*GPMtoMGD</f>
        <v>0</v>
      </c>
      <c r="BB293" s="101">
        <f>Sheet1!BP293*GPMtoMGD</f>
        <v>0</v>
      </c>
      <c r="BC293" s="101">
        <f>Sheet1!CO293*GPMtoMGD</f>
        <v>0</v>
      </c>
      <c r="BD293" s="101">
        <f>Sheet1!BO293*GPMtoMGD</f>
        <v>1.8174239999999999</v>
      </c>
      <c r="BE293" s="101">
        <f>Sheet1!BV293*GPMtoMGD</f>
        <v>0.55569599999999997</v>
      </c>
      <c r="BF293" s="101">
        <f>Sheet1!CJ293*GPMtoMGD</f>
        <v>0.42292800000000003</v>
      </c>
      <c r="BG293" s="101">
        <f>Sheet1!CK293*GPMtoMGD</f>
        <v>0.58924799999999999</v>
      </c>
      <c r="BH293" s="101">
        <f>Sheet1!CL293*GPMtoMGD</f>
        <v>0.82872000000000001</v>
      </c>
      <c r="BI293" s="101">
        <f t="shared" si="39"/>
        <v>1.8174239999999999</v>
      </c>
      <c r="BK293" s="106">
        <f>SUM(AT293:BA293,BE293,Sheet1!BU293,'Calculations II'!BC293,Calculation!AG293)</f>
        <v>46.149653782215189</v>
      </c>
      <c r="BM293" s="439">
        <f ca="1">IF(B293=TODAY(),0,IF(AND(Sheet1!BQ293&lt;=11.5,Sheet1!BQ292&gt;Sheet1!BQ293),(MIN(Lookup!$C$119,VLOOKUP(Sheet1!BQ292,Lookup!$B$4:$J$236,2))-VLOOKUP(Sheet1!BQ293,Lookup!$B$4:$J$236,2))/1000000,0))</f>
        <v>0</v>
      </c>
      <c r="BN293" s="439">
        <f ca="1">IF(B293=TODAY(),0,IF(AND(Sheet1!BR293&lt;=11.5,Sheet1!BR292&gt;Sheet1!BR293),(MIN(Lookup!$D$119,VLOOKUP(Sheet1!BR292,Lookup!$B$4:$J$236,3))-VLOOKUP(Sheet1!BR293,Lookup!$B$4:$J$236,3))/1000000,0))</f>
        <v>0</v>
      </c>
      <c r="BP293" s="105">
        <f ca="1">SUM(BM293:BN293,W293,Sheet1!DT293)</f>
        <v>0</v>
      </c>
    </row>
    <row r="294" spans="1:68" s="101" customFormat="1">
      <c r="A294" s="101" t="s">
        <v>7</v>
      </c>
      <c r="B294" s="103">
        <v>40823</v>
      </c>
      <c r="C294" s="104">
        <v>0.33333333333357601</v>
      </c>
      <c r="E294" s="30"/>
      <c r="F294" s="30">
        <f ca="1">IF(B294=TODAY(),0,-(VLOOKUP(Sheet1!BZ294,Lookup!$I$4:$J$216,2)-VLOOKUP(Sheet1!BZ293,Lookup!$I$4:$J$216,2))/1000000)</f>
        <v>-0.41454775419119744</v>
      </c>
      <c r="G294" s="106">
        <f ca="1">IF(B294=TODAY(),0,-$G$6*(Sheet1!CB294-Sheet1!CB293)*7.48/1000000)</f>
        <v>0.3177080084204747</v>
      </c>
      <c r="H294" s="106">
        <f ca="1">IF(B294=TODAY(),0,-$G$6*(Sheet1!CC294-Sheet1!CC293)*7.48/1000000)</f>
        <v>0.15885400421023735</v>
      </c>
      <c r="I294" s="106">
        <f ca="1">IF(B294=TODAY(),0,-$G$6*(Sheet1!CD294-Sheet1!CD293)*7.48/1000000)</f>
        <v>0.11914050315767746</v>
      </c>
      <c r="J294" s="107" t="s">
        <v>193</v>
      </c>
      <c r="K294" s="106">
        <f ca="1">IF(B294=TODAY(),0,-$I$6*(Sheet1!CD294-Sheet1!CD293)*7.48/1000000)</f>
        <v>5.3974525284080956E-2</v>
      </c>
      <c r="L294" s="107" t="s">
        <v>193</v>
      </c>
      <c r="M294" s="106">
        <f ca="1">IF(B294=TODAY(),0,-$M$6*(Sheet1!CE294-Sheet1!CE293)*7.48/1000000)</f>
        <v>3.997992224675051E-2</v>
      </c>
      <c r="N294" s="106">
        <f ca="1">IF(B294=TODAY(),0,-$N$6*(Sheet1!CF294-Sheet1!CF293)*7.48/1000000)</f>
        <v>-6.2052345394624786E-2</v>
      </c>
      <c r="O294" s="106">
        <f t="shared" ca="1" si="35"/>
        <v>0.21305686373339874</v>
      </c>
      <c r="P294" s="106">
        <f ca="1">O294+Calculation!EI294</f>
        <v>4.5772568637333988</v>
      </c>
      <c r="Q294" s="101" t="str">
        <f>IF(Sheet1!BQ294&gt;21.75,"spill elevation","-")</f>
        <v>-</v>
      </c>
      <c r="R294" s="101" t="str">
        <f>IF(Sheet1!BR294&gt;21.75,"spill elevation","-")</f>
        <v>-</v>
      </c>
      <c r="S294" s="101" t="str">
        <f>IF(Sheet1!BS294&gt;21.75,"spill elevation","-")</f>
        <v>-</v>
      </c>
      <c r="T294" s="105">
        <f>IF(Sheet1!DQ294=1,Sheet1!AA294-(SUM(AT294:BA294)+BE294),Sheet1!AA294-SUM(AT294:BA294))</f>
        <v>32.766640000000002</v>
      </c>
      <c r="U294" s="105">
        <f>Sheet1!BU294</f>
        <v>34.1</v>
      </c>
      <c r="V294" s="105">
        <f t="shared" si="36"/>
        <v>-1.333359999999999</v>
      </c>
      <c r="W294" s="105">
        <f t="shared" si="37"/>
        <v>0</v>
      </c>
      <c r="X294" s="101">
        <f>IF((Sheet1!EX294-Sheet1!EX293)&lt;0,(Sheet1!EX294+100000-Sheet1!EX293)/1000,(Sheet1!EX294-Sheet1!EX293)/1000)</f>
        <v>1.23</v>
      </c>
      <c r="Y294" s="106">
        <f ca="1">Calculation!DZ295+Calculation!EI294+'Calculations II'!O294-'Calculations II'!W294</f>
        <v>57.777256863730486</v>
      </c>
      <c r="Z294" s="106">
        <f ca="1">Y294-Sheet1!CP295</f>
        <v>41.597256863730486</v>
      </c>
      <c r="AA294" s="106">
        <f ca="1">Y294+Calculation!CZ295+Calculation!AI295</f>
        <v>67.834898323275695</v>
      </c>
      <c r="AC294" s="106">
        <f>Sheet1!AA294+Sheet1!AB294+BC294</f>
        <v>52.900000000001455</v>
      </c>
      <c r="AD294" s="106">
        <f>Sheet1!AA294+Sheet1!BN294+'Calculations II'!BC294-Calculation!AI294-Calculation!CZ294</f>
        <v>32.263751317175178</v>
      </c>
      <c r="AE294" s="106">
        <f>Sheet1!AA294+Sheet1!AB294+'Calculations II'!BC294-Calculation!AI294-Calculation!CZ294</f>
        <v>42.563751317176632</v>
      </c>
      <c r="AF294" s="106">
        <f ca="1">Sheet1!AA294+Sheet1!BN294+P294+'Calculations II'!BC294+Calculation!AI294+Calculation!CZ294</f>
        <v>57.513505546558221</v>
      </c>
      <c r="AG294" s="106">
        <f ca="1">IF(B294=TODAY(),0,Sheet1!AA294+Sheet1!BN294+'Calculations II'!BC294+'Calculations II'!P294-Sheet1!CP294-BP294)</f>
        <v>30.527256863733399</v>
      </c>
      <c r="AH294" s="106">
        <f ca="1">IF(B294=TODAY(),0,Sheet1!AA294+Sheet1!BN294+'Calculations II'!BC294+'Calculations II'!P294-BP294)</f>
        <v>47.177256863733398</v>
      </c>
      <c r="AI294" s="106">
        <f ca="1">IF(B294=TODAY(),0,BC294+Sheet1!AA294+Calculation!EI294+O294+W294+Sheet1!BN294+Calculation!AI294+Calculation!CZ294-BP294)</f>
        <v>57.513505546558221</v>
      </c>
      <c r="AJ294" s="106"/>
      <c r="AM294" s="102">
        <f t="shared" si="38"/>
        <v>40823</v>
      </c>
      <c r="AN294" s="106"/>
      <c r="AO294" s="106"/>
      <c r="AR294" s="106"/>
      <c r="AT294" s="101">
        <f>Sheet1!AR294*GPMtoMGD</f>
        <v>0</v>
      </c>
      <c r="AU294" s="101">
        <f>Sheet1!AS294*GPMtoMGD</f>
        <v>2.5344000000000002E-2</v>
      </c>
      <c r="AV294" s="101">
        <f>Sheet1!AT294*GPMtoMGD</f>
        <v>0</v>
      </c>
      <c r="AW294" s="101">
        <f>Sheet1!AV294*GPMtoMGD</f>
        <v>0.56620800000000004</v>
      </c>
      <c r="AX294" s="101">
        <f>Sheet1!AW294*GPMtoMGD</f>
        <v>0.64180800000000005</v>
      </c>
      <c r="AY294" s="101">
        <f>Sheet1!AX294*GPMtoMGD</f>
        <v>0</v>
      </c>
      <c r="AZ294" s="101">
        <f>Sheet1!AY294*GPMtoMGD</f>
        <v>0</v>
      </c>
      <c r="BA294" s="101">
        <f>Sheet1!AZ294*GPMtoMGD</f>
        <v>0</v>
      </c>
      <c r="BB294" s="101">
        <f>Sheet1!BP294*GPMtoMGD</f>
        <v>0</v>
      </c>
      <c r="BC294" s="101">
        <f>Sheet1!CO294*GPMtoMGD</f>
        <v>0</v>
      </c>
      <c r="BD294" s="101">
        <f>Sheet1!BO294*GPMtoMGD</f>
        <v>1.7632800000000002</v>
      </c>
      <c r="BE294" s="101">
        <f>Sheet1!BV294*GPMtoMGD</f>
        <v>0.66239999999999999</v>
      </c>
      <c r="BF294" s="101">
        <f>Sheet1!CJ294*GPMtoMGD</f>
        <v>0.18676799999999999</v>
      </c>
      <c r="BG294" s="101">
        <f>Sheet1!CK294*GPMtoMGD</f>
        <v>0.57844800000000007</v>
      </c>
      <c r="BH294" s="101">
        <f>Sheet1!CL294*GPMtoMGD</f>
        <v>0.83721600000000007</v>
      </c>
      <c r="BI294" s="101">
        <f t="shared" si="39"/>
        <v>1.7632800000000002</v>
      </c>
      <c r="BK294" s="106">
        <f>SUM(AT294:BA294,BE294,Sheet1!BU294,'Calculations II'!BC294,Calculation!AG294)</f>
        <v>44.559511317176636</v>
      </c>
      <c r="BM294" s="439">
        <f ca="1">IF(B294=TODAY(),0,IF(AND(Sheet1!BQ294&lt;=11.5,Sheet1!BQ293&gt;Sheet1!BQ294),(MIN(Lookup!$C$119,VLOOKUP(Sheet1!BQ293,Lookup!$B$4:$J$236,2))-VLOOKUP(Sheet1!BQ294,Lookup!$B$4:$J$236,2))/1000000,0))</f>
        <v>0</v>
      </c>
      <c r="BN294" s="439">
        <f ca="1">IF(B294=TODAY(),0,IF(AND(Sheet1!BR294&lt;=11.5,Sheet1!BR293&gt;Sheet1!BR294),(MIN(Lookup!$D$119,VLOOKUP(Sheet1!BR293,Lookup!$B$4:$J$236,3))-VLOOKUP(Sheet1!BR294,Lookup!$B$4:$J$236,3))/1000000,0))</f>
        <v>0</v>
      </c>
      <c r="BP294" s="105">
        <f ca="1">SUM(BM294:BN294,W294,Sheet1!DT294)</f>
        <v>0</v>
      </c>
    </row>
    <row r="295" spans="1:68" s="101" customFormat="1">
      <c r="A295" s="101" t="s">
        <v>8</v>
      </c>
      <c r="B295" s="103">
        <v>40824</v>
      </c>
      <c r="C295" s="104">
        <v>0.33333333333357601</v>
      </c>
      <c r="E295" s="30"/>
      <c r="F295" s="30">
        <f ca="1">IF(B295=TODAY(),0,-(VLOOKUP(Sheet1!BZ295,Lookup!$I$4:$J$216,2)-VLOOKUP(Sheet1!BZ294,Lookup!$I$4:$J$216,2))/1000000)</f>
        <v>0.31091081564339806</v>
      </c>
      <c r="G295" s="106">
        <f ca="1">IF(B295=TODAY(),0,-$G$6*(Sheet1!CB295-Sheet1!CB294)*7.48/1000000)</f>
        <v>0.35742150947303314</v>
      </c>
      <c r="H295" s="106">
        <f ca="1">IF(B295=TODAY(),0,-$G$6*(Sheet1!CC295-Sheet1!CC294)*7.48/1000000)</f>
        <v>0.19856750526279648</v>
      </c>
      <c r="I295" s="106">
        <f ca="1">IF(B295=TODAY(),0,-$G$6*(Sheet1!CD295-Sheet1!CD294)*7.48/1000000)</f>
        <v>0.23828100631535634</v>
      </c>
      <c r="J295" s="107" t="s">
        <v>193</v>
      </c>
      <c r="K295" s="106">
        <f ca="1">IF(B295=TODAY(),0,-$I$6*(Sheet1!CD295-Sheet1!CD294)*7.48/1000000)</f>
        <v>0.10794905056816255</v>
      </c>
      <c r="L295" s="107" t="s">
        <v>193</v>
      </c>
      <c r="M295" s="106">
        <f ca="1">IF(B295=TODAY(),0,-$M$6*(Sheet1!CE295-Sheet1!CE294)*7.48/1000000)</f>
        <v>3.3316601872292212E-2</v>
      </c>
      <c r="N295" s="106">
        <f ca="1">IF(B295=TODAY(),0,-$N$6*(Sheet1!CF295-Sheet1!CF294)*7.48/1000000)</f>
        <v>0.12410469078924848</v>
      </c>
      <c r="O295" s="106">
        <f t="shared" ca="1" si="35"/>
        <v>1.3705511799242873</v>
      </c>
      <c r="P295" s="106">
        <f ca="1">O295+Calculation!EI295</f>
        <v>2.9920511799242875</v>
      </c>
      <c r="Q295" s="101" t="str">
        <f>IF(Sheet1!BQ295&gt;21.75,"spill elevation","-")</f>
        <v>-</v>
      </c>
      <c r="R295" s="101" t="str">
        <f>IF(Sheet1!BR295&gt;21.75,"spill elevation","-")</f>
        <v>-</v>
      </c>
      <c r="S295" s="101" t="str">
        <f>IF(Sheet1!BS295&gt;21.75,"spill elevation","-")</f>
        <v>-</v>
      </c>
      <c r="T295" s="105">
        <f>IF(Sheet1!DQ295=1,Sheet1!AA295-(SUM(AT295:BA295)+BE295),Sheet1!AA295-SUM(AT295:BA295))</f>
        <v>33.055055999997087</v>
      </c>
      <c r="U295" s="105">
        <f>Sheet1!BU295</f>
        <v>32.5</v>
      </c>
      <c r="V295" s="105">
        <f t="shared" si="36"/>
        <v>0.55505599999708721</v>
      </c>
      <c r="W295" s="105">
        <f t="shared" si="37"/>
        <v>0</v>
      </c>
      <c r="X295" s="101">
        <f>IF((Sheet1!EX295-Sheet1!EX294)&lt;0,(Sheet1!EX295+100000-Sheet1!EX294)/1000,(Sheet1!EX295-Sheet1!EX294)/1000)</f>
        <v>1.2310000000000001</v>
      </c>
      <c r="Y295" s="106">
        <f ca="1">Calculation!DZ296+Calculation!EI295+'Calculations II'!O295-'Calculations II'!W295</f>
        <v>56.192051179921371</v>
      </c>
      <c r="Z295" s="106">
        <f ca="1">Y295-Sheet1!CP296</f>
        <v>40.442051179921371</v>
      </c>
      <c r="AA295" s="106">
        <f ca="1">Y295+Calculation!CZ296+Calculation!AI296</f>
        <v>66.296732926370609</v>
      </c>
      <c r="AC295" s="106">
        <f>Sheet1!AA295+Sheet1!AB295+BC295</f>
        <v>53.19999999999709</v>
      </c>
      <c r="AD295" s="106">
        <f>Sheet1!AA295+Sheet1!BN295+'Calculations II'!BC295-Calculation!AI295-Calculation!CZ295</f>
        <v>33.042358540451872</v>
      </c>
      <c r="AE295" s="106">
        <f>Sheet1!AA295+Sheet1!AB295+'Calculations II'!BC295-Calculation!AI295-Calculation!CZ295</f>
        <v>43.14235854045188</v>
      </c>
      <c r="AF295" s="106">
        <f ca="1">Sheet1!AA295+Sheet1!BN295+P295+'Calculations II'!BC295+Calculation!AI295+Calculation!CZ295</f>
        <v>56.149692639466593</v>
      </c>
      <c r="AG295" s="106">
        <f ca="1">IF(B295=TODAY(),0,Sheet1!AA295+Sheet1!BN295+'Calculations II'!BC295+'Calculations II'!P295-Sheet1!CP295-BP295)</f>
        <v>29.912051179921377</v>
      </c>
      <c r="AH295" s="106">
        <f ca="1">IF(B295=TODAY(),0,Sheet1!AA295+Sheet1!BN295+'Calculations II'!BC295+'Calculations II'!P295-BP295)</f>
        <v>46.092051179921377</v>
      </c>
      <c r="AI295" s="106">
        <f ca="1">IF(B295=TODAY(),0,BC295+Sheet1!AA295+Calculation!EI295+O295+W295+Sheet1!BN295+Calculation!AI295+Calculation!CZ295-BP295)</f>
        <v>56.149692639466579</v>
      </c>
      <c r="AJ295" s="106"/>
      <c r="AM295" s="102">
        <f t="shared" si="38"/>
        <v>40824</v>
      </c>
      <c r="AN295" s="106"/>
      <c r="AO295" s="106"/>
      <c r="AR295" s="106"/>
      <c r="AT295" s="101">
        <f>Sheet1!AR295*GPMtoMGD</f>
        <v>0</v>
      </c>
      <c r="AU295" s="101">
        <f>Sheet1!AS295*GPMtoMGD</f>
        <v>2.5488E-2</v>
      </c>
      <c r="AV295" s="101">
        <f>Sheet1!AT295*GPMtoMGD</f>
        <v>0</v>
      </c>
      <c r="AW295" s="101">
        <f>Sheet1!AV295*GPMtoMGD</f>
        <v>1.1164320000000001</v>
      </c>
      <c r="AX295" s="101">
        <f>Sheet1!AW295*GPMtoMGD</f>
        <v>3.0240000000000002E-3</v>
      </c>
      <c r="AY295" s="101">
        <f>Sheet1!AX295*GPMtoMGD</f>
        <v>0</v>
      </c>
      <c r="AZ295" s="101">
        <f>Sheet1!AY295*GPMtoMGD</f>
        <v>0</v>
      </c>
      <c r="BA295" s="101">
        <f>Sheet1!AZ295*GPMtoMGD</f>
        <v>0</v>
      </c>
      <c r="BB295" s="101">
        <f>Sheet1!BP295*GPMtoMGD</f>
        <v>0</v>
      </c>
      <c r="BC295" s="101">
        <f>Sheet1!CO295*GPMtoMGD</f>
        <v>0</v>
      </c>
      <c r="BD295" s="101">
        <f>Sheet1!BO295*GPMtoMGD</f>
        <v>1.913904</v>
      </c>
      <c r="BE295" s="101">
        <f>Sheet1!BV295*GPMtoMGD</f>
        <v>0.70718400000000003</v>
      </c>
      <c r="BF295" s="101">
        <f>Sheet1!CJ295*GPMtoMGD</f>
        <v>0.29664000000000001</v>
      </c>
      <c r="BG295" s="101">
        <f>Sheet1!CK295*GPMtoMGD</f>
        <v>0.62712000000000001</v>
      </c>
      <c r="BH295" s="101">
        <f>Sheet1!CL295*GPMtoMGD</f>
        <v>0.79070400000000007</v>
      </c>
      <c r="BI295" s="101">
        <f t="shared" si="39"/>
        <v>1.913904</v>
      </c>
      <c r="BK295" s="106">
        <f>SUM(AT295:BA295,BE295,Sheet1!BU295,'Calculations II'!BC295,Calculation!AG295)</f>
        <v>43.294486540454784</v>
      </c>
      <c r="BM295" s="439">
        <f ca="1">IF(B295=TODAY(),0,IF(AND(Sheet1!BQ295&lt;=11.5,Sheet1!BQ294&gt;Sheet1!BQ295),(MIN(Lookup!$C$119,VLOOKUP(Sheet1!BQ294,Lookup!$B$4:$J$236,2))-VLOOKUP(Sheet1!BQ295,Lookup!$B$4:$J$236,2))/1000000,0))</f>
        <v>0</v>
      </c>
      <c r="BN295" s="439">
        <f ca="1">IF(B295=TODAY(),0,IF(AND(Sheet1!BR295&lt;=11.5,Sheet1!BR294&gt;Sheet1!BR295),(MIN(Lookup!$D$119,VLOOKUP(Sheet1!BR294,Lookup!$B$4:$J$236,3))-VLOOKUP(Sheet1!BR295,Lookup!$B$4:$J$236,3))/1000000,0))</f>
        <v>0</v>
      </c>
      <c r="BP295" s="105">
        <f ca="1">SUM(BM295:BN295,W295,Sheet1!DT295)</f>
        <v>0</v>
      </c>
    </row>
    <row r="296" spans="1:68" s="101" customFormat="1">
      <c r="A296" s="101" t="s">
        <v>9</v>
      </c>
      <c r="B296" s="103">
        <v>40825</v>
      </c>
      <c r="C296" s="104">
        <v>0.33333333333357601</v>
      </c>
      <c r="E296" s="30"/>
      <c r="F296" s="30">
        <f ca="1">IF(B296=TODAY(),0,-(VLOOKUP(Sheet1!BZ296,Lookup!$I$4:$J$216,2)-VLOOKUP(Sheet1!BZ295,Lookup!$I$4:$J$216,2))/1000000)</f>
        <v>0.20727387709559872</v>
      </c>
      <c r="G296" s="106">
        <f ca="1">IF(B296=TODAY(),0,-$G$6*(Sheet1!CB296-Sheet1!CB295)*7.48/1000000)</f>
        <v>0.39713501052559297</v>
      </c>
      <c r="H296" s="106">
        <f ca="1">IF(B296=TODAY(),0,-$G$6*(Sheet1!CC296-Sheet1!CC295)*7.48/1000000)</f>
        <v>-0.5559890147358304</v>
      </c>
      <c r="I296" s="106">
        <f ca="1">IF(B296=TODAY(),0,-$G$6*(Sheet1!CD296-Sheet1!CD295)*7.48/1000000)</f>
        <v>-0.51627551368327118</v>
      </c>
      <c r="J296" s="107" t="s">
        <v>193</v>
      </c>
      <c r="K296" s="106">
        <f ca="1">IF(B296=TODAY(),0,-$I$6*(Sheet1!CD296-Sheet1!CD295)*7.48/1000000)</f>
        <v>-0.23388960956435173</v>
      </c>
      <c r="L296" s="107" t="s">
        <v>193</v>
      </c>
      <c r="M296" s="106">
        <f ca="1">IF(B296=TODAY(),0,-$M$6*(Sheet1!CE296-Sheet1!CE295)*7.48/1000000)</f>
        <v>-0.10661312599133493</v>
      </c>
      <c r="N296" s="106">
        <f ca="1">IF(B296=TODAY(),0,-$N$6*(Sheet1!CF296-Sheet1!CF295)*7.48/1000000)</f>
        <v>0</v>
      </c>
      <c r="O296" s="106">
        <f t="shared" ca="1" si="35"/>
        <v>-0.80835837635359664</v>
      </c>
      <c r="P296" s="106">
        <f ca="1">O296+Calculation!EI296</f>
        <v>0.81314162364640352</v>
      </c>
      <c r="Q296" s="101" t="str">
        <f>IF(Sheet1!BQ296&gt;21.75,"spill elevation","-")</f>
        <v>-</v>
      </c>
      <c r="R296" s="101" t="str">
        <f>IF(Sheet1!BR296&gt;21.75,"spill elevation","-")</f>
        <v>-</v>
      </c>
      <c r="S296" s="101" t="str">
        <f>IF(Sheet1!BS296&gt;21.75,"spill elevation","-")</f>
        <v>-</v>
      </c>
      <c r="T296" s="105">
        <f>IF(Sheet1!DQ296=1,Sheet1!AA296-(SUM(AT296:BA296)+BE296),Sheet1!AA296-SUM(AT296:BA296))</f>
        <v>33.343343999997089</v>
      </c>
      <c r="U296" s="105">
        <f>Sheet1!BU296</f>
        <v>32.299999999999997</v>
      </c>
      <c r="V296" s="105">
        <f t="shared" si="36"/>
        <v>1.0433439999970915</v>
      </c>
      <c r="W296" s="105">
        <f t="shared" si="37"/>
        <v>0</v>
      </c>
      <c r="X296" s="101">
        <f>IF((Sheet1!EX296-Sheet1!EX295)&lt;0,(Sheet1!EX296+100000-Sheet1!EX295)/1000,(Sheet1!EX296-Sheet1!EX295)/1000)</f>
        <v>1.07</v>
      </c>
      <c r="Y296" s="106">
        <f ca="1">Calculation!DZ297+Calculation!EI296+'Calculations II'!O296-'Calculations II'!W296</f>
        <v>54.113141623649312</v>
      </c>
      <c r="Z296" s="106">
        <f ca="1">Y296-Sheet1!CP297</f>
        <v>37.733141623649317</v>
      </c>
      <c r="AA296" s="106">
        <f ca="1">Y296+Calculation!CZ297+Calculation!AI297</f>
        <v>64.184947325866844</v>
      </c>
      <c r="AC296" s="106">
        <f>Sheet1!AA296+Sheet1!AB296+BC296</f>
        <v>53.19999999999709</v>
      </c>
      <c r="AD296" s="106">
        <f>Sheet1!AA296+Sheet1!BN296+'Calculations II'!BC296-Calculation!AI296-Calculation!CZ296</f>
        <v>32.99531825354785</v>
      </c>
      <c r="AE296" s="106">
        <f>Sheet1!AA296+Sheet1!AB296+'Calculations II'!BC296-Calculation!AI296-Calculation!CZ296</f>
        <v>43.095318253547852</v>
      </c>
      <c r="AF296" s="106">
        <f ca="1">Sheet1!AA296+Sheet1!BN296+P296+'Calculations II'!BC296+Calculation!AI296+Calculation!CZ296</f>
        <v>54.017823370092728</v>
      </c>
      <c r="AG296" s="106">
        <f ca="1">IF(B296=TODAY(),0,Sheet1!AA296+Sheet1!BN296+'Calculations II'!BC296+'Calculations II'!P296-Sheet1!CP296-BP296)</f>
        <v>28.16314162364349</v>
      </c>
      <c r="AH296" s="106">
        <f ca="1">IF(B296=TODAY(),0,Sheet1!AA296+Sheet1!BN296+'Calculations II'!BC296+'Calculations II'!P296-BP296)</f>
        <v>43.91314162364349</v>
      </c>
      <c r="AI296" s="106">
        <f ca="1">IF(B296=TODAY(),0,BC296+Sheet1!AA296+Calculation!EI296+O296+W296+Sheet1!BN296+Calculation!AI296+Calculation!CZ296-BP296)</f>
        <v>54.017823370092728</v>
      </c>
      <c r="AJ296" s="106"/>
      <c r="AM296" s="102">
        <f t="shared" si="38"/>
        <v>40825</v>
      </c>
      <c r="AN296" s="106"/>
      <c r="AO296" s="106"/>
      <c r="AR296" s="106"/>
      <c r="AT296" s="101">
        <f>Sheet1!AR296*GPMtoMGD</f>
        <v>0</v>
      </c>
      <c r="AU296" s="101">
        <f>Sheet1!AS296*GPMtoMGD</f>
        <v>2.7216000000000001E-2</v>
      </c>
      <c r="AV296" s="101">
        <f>Sheet1!AT296*GPMtoMGD</f>
        <v>0</v>
      </c>
      <c r="AW296" s="101">
        <f>Sheet1!AV296*GPMtoMGD</f>
        <v>0.82612800000000008</v>
      </c>
      <c r="AX296" s="101">
        <f>Sheet1!AW296*GPMtoMGD</f>
        <v>3.3119999999999998E-3</v>
      </c>
      <c r="AY296" s="101">
        <f>Sheet1!AX296*GPMtoMGD</f>
        <v>0</v>
      </c>
      <c r="AZ296" s="101">
        <f>Sheet1!AY296*GPMtoMGD</f>
        <v>0</v>
      </c>
      <c r="BA296" s="101">
        <f>Sheet1!AZ296*GPMtoMGD</f>
        <v>0</v>
      </c>
      <c r="BB296" s="101">
        <f>Sheet1!BP296*GPMtoMGD</f>
        <v>0</v>
      </c>
      <c r="BC296" s="101">
        <f>Sheet1!CO296*GPMtoMGD</f>
        <v>0</v>
      </c>
      <c r="BD296" s="101">
        <f>Sheet1!BO296*GPMtoMGD</f>
        <v>2.5365600000000001</v>
      </c>
      <c r="BE296" s="101">
        <f>Sheet1!BV296*GPMtoMGD</f>
        <v>0.59155200000000008</v>
      </c>
      <c r="BF296" s="101">
        <f>Sheet1!CJ296*GPMtoMGD</f>
        <v>0.38736000000000004</v>
      </c>
      <c r="BG296" s="101">
        <f>Sheet1!CK296*GPMtoMGD</f>
        <v>0.64915200000000006</v>
      </c>
      <c r="BH296" s="101">
        <f>Sheet1!CL296*GPMtoMGD</f>
        <v>0.79876800000000014</v>
      </c>
      <c r="BI296" s="101">
        <f t="shared" si="39"/>
        <v>2.5365600000000001</v>
      </c>
      <c r="BK296" s="106">
        <f>SUM(AT296:BA296,BE296,Sheet1!BU296,'Calculations II'!BC296,Calculation!AG296)</f>
        <v>42.64352625355076</v>
      </c>
      <c r="BM296" s="439">
        <f ca="1">IF(B296=TODAY(),0,IF(AND(Sheet1!BQ296&lt;=11.5,Sheet1!BQ295&gt;Sheet1!BQ296),(MIN(Lookup!$C$119,VLOOKUP(Sheet1!BQ295,Lookup!$B$4:$J$236,2))-VLOOKUP(Sheet1!BQ296,Lookup!$B$4:$J$236,2))/1000000,0))</f>
        <v>0</v>
      </c>
      <c r="BN296" s="439">
        <f ca="1">IF(B296=TODAY(),0,IF(AND(Sheet1!BR296&lt;=11.5,Sheet1!BR295&gt;Sheet1!BR296),(MIN(Lookup!$D$119,VLOOKUP(Sheet1!BR295,Lookup!$B$4:$J$236,3))-VLOOKUP(Sheet1!BR296,Lookup!$B$4:$J$236,3))/1000000,0))</f>
        <v>0</v>
      </c>
      <c r="BP296" s="105">
        <f ca="1">SUM(BM296:BN296,W296,Sheet1!DT296)</f>
        <v>0</v>
      </c>
    </row>
    <row r="297" spans="1:68" s="101" customFormat="1">
      <c r="A297" s="101" t="s">
        <v>3</v>
      </c>
      <c r="B297" s="103">
        <v>40826</v>
      </c>
      <c r="C297" s="104">
        <v>0.33333333333357601</v>
      </c>
      <c r="E297" s="30"/>
      <c r="F297" s="30">
        <f ca="1">IF(B297=TODAY(),0,-(VLOOKUP(Sheet1!BZ297,Lookup!$I$4:$J$216,2)-VLOOKUP(Sheet1!BZ296,Lookup!$I$4:$J$216,2))/1000000)</f>
        <v>0.10363693854779936</v>
      </c>
      <c r="G297" s="106">
        <f ca="1">IF(B297=TODAY(),0,-$G$6*(Sheet1!CB297-Sheet1!CB296)*7.48/1000000)</f>
        <v>0.3574215094730338</v>
      </c>
      <c r="H297" s="106">
        <f ca="1">IF(B297=TODAY(),0,-$G$6*(Sheet1!CC297-Sheet1!CC296)*7.48/1000000)</f>
        <v>0.19856750526279648</v>
      </c>
      <c r="I297" s="106">
        <f ca="1">IF(B297=TODAY(),0,-$G$6*(Sheet1!CD297-Sheet1!CD296)*7.48/1000000)</f>
        <v>0.11914050315767817</v>
      </c>
      <c r="J297" s="107" t="s">
        <v>193</v>
      </c>
      <c r="K297" s="106">
        <f ca="1">IF(B297=TODAY(),0,-$I$6*(Sheet1!CD297-Sheet1!CD296)*7.48/1000000)</f>
        <v>5.3974525284081275E-2</v>
      </c>
      <c r="L297" s="107" t="s">
        <v>193</v>
      </c>
      <c r="M297" s="106">
        <f ca="1">IF(B297=TODAY(),0,-$M$6*(Sheet1!CE297-Sheet1!CE296)*7.48/1000000)</f>
        <v>4.6643242621209044E-2</v>
      </c>
      <c r="N297" s="106">
        <f ca="1">IF(B297=TODAY(),0,-$N$6*(Sheet1!CF297-Sheet1!CF296)*7.48/1000000)</f>
        <v>-0.12410469078924848</v>
      </c>
      <c r="O297" s="106">
        <f t="shared" ca="1" si="35"/>
        <v>0.75527953355734978</v>
      </c>
      <c r="P297" s="106">
        <f ca="1">O297+Calculation!EI297</f>
        <v>3.9710795335573494</v>
      </c>
      <c r="Q297" s="101" t="str">
        <f>IF(Sheet1!BQ297&gt;21.75,"spill elevation","-")</f>
        <v>-</v>
      </c>
      <c r="R297" s="101" t="str">
        <f>IF(Sheet1!BR297&gt;21.75,"spill elevation","-")</f>
        <v>-</v>
      </c>
      <c r="S297" s="101" t="str">
        <f>IF(Sheet1!BS297&gt;21.75,"spill elevation","-")</f>
        <v>-</v>
      </c>
      <c r="T297" s="105">
        <f>IF(Sheet1!DQ297=1,Sheet1!AA297-(SUM(AT297:BA297)+BE297),Sheet1!AA297-SUM(AT297:BA297))</f>
        <v>33.440608000002911</v>
      </c>
      <c r="U297" s="105">
        <f>Sheet1!BU297</f>
        <v>33.1</v>
      </c>
      <c r="V297" s="105">
        <f t="shared" si="36"/>
        <v>0.34060800000290925</v>
      </c>
      <c r="W297" s="105">
        <f t="shared" si="37"/>
        <v>0</v>
      </c>
      <c r="X297" s="101">
        <f>IF((Sheet1!EX297-Sheet1!EX296)&lt;0,(Sheet1!EX297+100000-Sheet1!EX296)/1000,(Sheet1!EX297-Sheet1!EX296)/1000)</f>
        <v>7.9000000000000001E-2</v>
      </c>
      <c r="Y297" s="106">
        <f ca="1">Calculation!DZ298+Calculation!EI297+'Calculations II'!O297-'Calculations II'!W297</f>
        <v>60.271079533560261</v>
      </c>
      <c r="Z297" s="106">
        <f ca="1">Y297-Sheet1!CP298</f>
        <v>45.181079533560265</v>
      </c>
      <c r="AA297" s="106">
        <f ca="1">Y297+Calculation!CZ298+Calculation!AI298</f>
        <v>70.35470605588641</v>
      </c>
      <c r="AC297" s="106">
        <f>Sheet1!AA297+Sheet1!AB297+BC297</f>
        <v>53.30000000000291</v>
      </c>
      <c r="AD297" s="106">
        <f>Sheet1!AA297+Sheet1!BN297+'Calculations II'!BC297-Calculation!AI297-Calculation!CZ297</f>
        <v>33.128194297785377</v>
      </c>
      <c r="AE297" s="106">
        <f>Sheet1!AA297+Sheet1!AB297+'Calculations II'!BC297-Calculation!AI297-Calculation!CZ297</f>
        <v>43.228194297785379</v>
      </c>
      <c r="AF297" s="106">
        <f ca="1">Sheet1!AA297+Sheet1!BN297+P297+'Calculations II'!BC297+Calculation!AI297+Calculation!CZ297</f>
        <v>57.242885235777791</v>
      </c>
      <c r="AG297" s="106">
        <f ca="1">IF(B297=TODAY(),0,Sheet1!AA297+Sheet1!BN297+'Calculations II'!BC297+'Calculations II'!P297-Sheet1!CP297-BP297)</f>
        <v>30.791079533560261</v>
      </c>
      <c r="AH297" s="106">
        <f ca="1">IF(B297=TODAY(),0,Sheet1!AA297+Sheet1!BN297+'Calculations II'!BC297+'Calculations II'!P297-BP297)</f>
        <v>47.17107953356026</v>
      </c>
      <c r="AI297" s="106">
        <f ca="1">IF(B297=TODAY(),0,BC297+Sheet1!AA297+Calculation!EI297+O297+W297+Sheet1!BN297+Calculation!AI297+Calculation!CZ297-BP297)</f>
        <v>57.242885235777791</v>
      </c>
      <c r="AJ297" s="106"/>
      <c r="AM297" s="102">
        <f t="shared" si="38"/>
        <v>40826</v>
      </c>
      <c r="AN297" s="106"/>
      <c r="AO297" s="106"/>
      <c r="AR297" s="106"/>
      <c r="AT297" s="101">
        <f>Sheet1!AR297*GPMtoMGD</f>
        <v>0</v>
      </c>
      <c r="AU297" s="101">
        <f>Sheet1!AS297*GPMtoMGD</f>
        <v>2.5632000000000002E-2</v>
      </c>
      <c r="AV297" s="101">
        <f>Sheet1!AT297*GPMtoMGD</f>
        <v>0</v>
      </c>
      <c r="AW297" s="101">
        <f>Sheet1!AV297*GPMtoMGD</f>
        <v>0.83376000000000006</v>
      </c>
      <c r="AX297" s="101">
        <f>Sheet1!AW297*GPMtoMGD</f>
        <v>0</v>
      </c>
      <c r="AY297" s="101">
        <f>Sheet1!AX297*GPMtoMGD</f>
        <v>0</v>
      </c>
      <c r="AZ297" s="101">
        <f>Sheet1!AY297*GPMtoMGD</f>
        <v>0</v>
      </c>
      <c r="BA297" s="101">
        <f>Sheet1!AZ297*GPMtoMGD</f>
        <v>0</v>
      </c>
      <c r="BB297" s="101">
        <f>Sheet1!BP297*GPMtoMGD</f>
        <v>0</v>
      </c>
      <c r="BC297" s="101">
        <f>Sheet1!CO297*GPMtoMGD</f>
        <v>0</v>
      </c>
      <c r="BD297" s="101">
        <f>Sheet1!BO297*GPMtoMGD</f>
        <v>1.8043200000000001</v>
      </c>
      <c r="BE297" s="101">
        <f>Sheet1!BV297*GPMtoMGD</f>
        <v>1.6227360000000002</v>
      </c>
      <c r="BF297" s="101">
        <f>Sheet1!CJ297*GPMtoMGD</f>
        <v>0.28497600000000001</v>
      </c>
      <c r="BG297" s="101">
        <f>Sheet1!CK297*GPMtoMGD</f>
        <v>0.6333120000000001</v>
      </c>
      <c r="BH297" s="101">
        <f>Sheet1!CL297*GPMtoMGD</f>
        <v>0.84196800000000016</v>
      </c>
      <c r="BI297" s="101">
        <f t="shared" si="39"/>
        <v>1.8043200000000001</v>
      </c>
      <c r="BK297" s="106">
        <f>SUM(AT297:BA297,BE297,Sheet1!BU297,'Calculations II'!BC297,Calculation!AG297)</f>
        <v>44.51032229778248</v>
      </c>
      <c r="BM297" s="439">
        <f ca="1">IF(B297=TODAY(),0,IF(AND(Sheet1!BQ297&lt;=11.5,Sheet1!BQ296&gt;Sheet1!BQ297),(MIN(Lookup!$C$119,VLOOKUP(Sheet1!BQ296,Lookup!$B$4:$J$236,2))-VLOOKUP(Sheet1!BQ297,Lookup!$B$4:$J$236,2))/1000000,0))</f>
        <v>0</v>
      </c>
      <c r="BN297" s="439">
        <f ca="1">IF(B297=TODAY(),0,IF(AND(Sheet1!BR297&lt;=11.5,Sheet1!BR296&gt;Sheet1!BR297),(MIN(Lookup!$D$119,VLOOKUP(Sheet1!BR296,Lookup!$B$4:$J$236,3))-VLOOKUP(Sheet1!BR297,Lookup!$B$4:$J$236,3))/1000000,0))</f>
        <v>0</v>
      </c>
      <c r="BP297" s="105">
        <f ca="1">SUM(BM297:BN297,W297,Sheet1!DT297)</f>
        <v>0</v>
      </c>
    </row>
    <row r="298" spans="1:68" s="101" customFormat="1">
      <c r="A298" s="101" t="s">
        <v>4</v>
      </c>
      <c r="B298" s="103">
        <v>40827</v>
      </c>
      <c r="C298" s="104">
        <v>0.33333333333357601</v>
      </c>
      <c r="E298" s="30"/>
      <c r="F298" s="30">
        <f ca="1">IF(B298=TODAY(),0,-(VLOOKUP(Sheet1!BZ298,Lookup!$I$4:$J$216,2)-VLOOKUP(Sheet1!BZ297,Lookup!$I$4:$J$216,2))/1000000)</f>
        <v>-0.51818469273899681</v>
      </c>
      <c r="G298" s="106">
        <f ca="1">IF(B298=TODAY(),0,-$G$6*(Sheet1!CB298-Sheet1!CB297)*7.48/1000000)</f>
        <v>0.12708320336818987</v>
      </c>
      <c r="H298" s="106">
        <f ca="1">IF(B298=TODAY(),0,-$G$6*(Sheet1!CC298-Sheet1!CC297)*7.48/1000000)</f>
        <v>0.15885400421023735</v>
      </c>
      <c r="I298" s="106">
        <f ca="1">IF(B298=TODAY(),0,-$G$6*(Sheet1!CD298-Sheet1!CD297)*7.48/1000000)</f>
        <v>0.19856750526279648</v>
      </c>
      <c r="J298" s="107" t="s">
        <v>193</v>
      </c>
      <c r="K298" s="106">
        <f ca="1">IF(B298=TODAY(),0,-$I$6*(Sheet1!CD298-Sheet1!CD297)*7.48/1000000)</f>
        <v>8.9957542140135238E-2</v>
      </c>
      <c r="L298" s="107" t="s">
        <v>193</v>
      </c>
      <c r="M298" s="106">
        <f ca="1">IF(B298=TODAY(),0,-$M$6*(Sheet1!CE298-Sheet1!CE297)*7.48/1000000)</f>
        <v>2.6653281497833674E-2</v>
      </c>
      <c r="N298" s="106">
        <f ca="1">IF(B298=TODAY(),0,-$N$6*(Sheet1!CF298-Sheet1!CF297)*7.48/1000000)</f>
        <v>-6.2052345394623676E-2</v>
      </c>
      <c r="O298" s="106">
        <f t="shared" ca="1" si="35"/>
        <v>2.0878498345572163E-2</v>
      </c>
      <c r="P298" s="106">
        <f ca="1">O298+Calculation!EI298</f>
        <v>-0.78032150165442782</v>
      </c>
      <c r="Q298" s="101" t="str">
        <f>IF(Sheet1!BQ298&gt;21.75,"spill elevation","-")</f>
        <v>-</v>
      </c>
      <c r="R298" s="101" t="str">
        <f>IF(Sheet1!BR298&gt;21.75,"spill elevation","-")</f>
        <v>-</v>
      </c>
      <c r="S298" s="101" t="str">
        <f>IF(Sheet1!BS298&gt;21.75,"spill elevation","-")</f>
        <v>-</v>
      </c>
      <c r="T298" s="105">
        <f>IF(Sheet1!DQ298=1,Sheet1!AA298-(SUM(AT298:BA298)+BE298),Sheet1!AA298-SUM(AT298:BA298))</f>
        <v>32.547680000005819</v>
      </c>
      <c r="U298" s="105">
        <f>Sheet1!BU298</f>
        <v>29.4</v>
      </c>
      <c r="V298" s="105">
        <f t="shared" si="36"/>
        <v>3.1476800000058205</v>
      </c>
      <c r="W298" s="105">
        <f t="shared" si="37"/>
        <v>0</v>
      </c>
      <c r="X298" s="101">
        <f>IF((Sheet1!EX298-Sheet1!EX297)&lt;0,(Sheet1!EX298+100000-Sheet1!EX297)/1000,(Sheet1!EX298-Sheet1!EX297)/1000)</f>
        <v>1E-3</v>
      </c>
      <c r="Y298" s="106">
        <f ca="1">Calculation!DZ299+Calculation!EI298+'Calculations II'!O298-'Calculations II'!W298</f>
        <v>52.359678498337715</v>
      </c>
      <c r="Z298" s="106">
        <f ca="1">Y298-Sheet1!CP299</f>
        <v>35.049678498337713</v>
      </c>
      <c r="AA298" s="106">
        <f ca="1">Y298+Calculation!CZ299+Calculation!AI299</f>
        <v>62.459678498338398</v>
      </c>
      <c r="AC298" s="106">
        <f>Sheet1!AA298+Sheet1!AB298+BC298</f>
        <v>56.30000000000291</v>
      </c>
      <c r="AD298" s="106">
        <f>Sheet1!AA298+Sheet1!BN298+'Calculations II'!BC298-Calculation!AI298-Calculation!CZ298</f>
        <v>36.116373477679673</v>
      </c>
      <c r="AE298" s="106">
        <f>Sheet1!AA298+Sheet1!AB298+'Calculations II'!BC298-Calculation!AI298-Calculation!CZ298</f>
        <v>46.216373477676761</v>
      </c>
      <c r="AF298" s="106">
        <f ca="1">Sheet1!AA298+Sheet1!BN298+P298+'Calculations II'!BC298+Calculation!AI298+Calculation!CZ298</f>
        <v>55.503305020677544</v>
      </c>
      <c r="AG298" s="106">
        <f ca="1">IF(B298=TODAY(),0,Sheet1!AA298+Sheet1!BN298+'Calculations II'!BC298+'Calculations II'!P298-Sheet1!CP298-BP298)</f>
        <v>30.329678498351395</v>
      </c>
      <c r="AH298" s="106">
        <f ca="1">IF(B298=TODAY(),0,Sheet1!AA298+Sheet1!BN298+'Calculations II'!BC298+'Calculations II'!P298-BP298)</f>
        <v>45.419678498351395</v>
      </c>
      <c r="AI298" s="106">
        <f ca="1">IF(B298=TODAY(),0,BC298+Sheet1!AA298+Calculation!EI298+O298+W298+Sheet1!BN298+Calculation!AI298+Calculation!CZ298-BP298)</f>
        <v>55.503305020677544</v>
      </c>
      <c r="AJ298" s="106"/>
      <c r="AM298" s="102">
        <f t="shared" si="38"/>
        <v>40827</v>
      </c>
      <c r="AN298" s="106"/>
      <c r="AO298" s="106"/>
      <c r="AR298" s="106"/>
      <c r="AT298" s="101">
        <f>Sheet1!AR298*GPMtoMGD</f>
        <v>0</v>
      </c>
      <c r="AU298" s="101">
        <f>Sheet1!AS298*GPMtoMGD</f>
        <v>2.5776E-2</v>
      </c>
      <c r="AV298" s="101">
        <f>Sheet1!AT298*GPMtoMGD</f>
        <v>0</v>
      </c>
      <c r="AW298" s="101">
        <f>Sheet1!AV298*GPMtoMGD</f>
        <v>0.74620800000000009</v>
      </c>
      <c r="AX298" s="101">
        <f>Sheet1!AW298*GPMtoMGD</f>
        <v>0.78033600000000003</v>
      </c>
      <c r="AY298" s="101">
        <f>Sheet1!AX298*GPMtoMGD</f>
        <v>0</v>
      </c>
      <c r="AZ298" s="101">
        <f>Sheet1!AY298*GPMtoMGD</f>
        <v>0</v>
      </c>
      <c r="BA298" s="101">
        <f>Sheet1!AZ298*GPMtoMGD</f>
        <v>0</v>
      </c>
      <c r="BB298" s="101">
        <f>Sheet1!BP298*GPMtoMGD</f>
        <v>6.7248000000000002E-2</v>
      </c>
      <c r="BC298" s="101">
        <f>Sheet1!CO298*GPMtoMGD</f>
        <v>0</v>
      </c>
      <c r="BD298" s="101">
        <f>Sheet1!BO298*GPMtoMGD</f>
        <v>1.645632</v>
      </c>
      <c r="BE298" s="101">
        <f>Sheet1!BV298*GPMtoMGD</f>
        <v>0.64425600000000005</v>
      </c>
      <c r="BF298" s="101">
        <f>Sheet1!CJ298*GPMtoMGD</f>
        <v>9.6336000000000019E-2</v>
      </c>
      <c r="BG298" s="101">
        <f>Sheet1!CK298*GPMtoMGD</f>
        <v>0.59529600000000005</v>
      </c>
      <c r="BH298" s="101">
        <f>Sheet1!CL298*GPMtoMGD</f>
        <v>0.83937600000000001</v>
      </c>
      <c r="BI298" s="101">
        <f t="shared" si="39"/>
        <v>1.71288</v>
      </c>
      <c r="BK298" s="106">
        <f>SUM(AT298:BA298,BE298,Sheet1!BU298,'Calculations II'!BC298,Calculation!AG298)</f>
        <v>43.712949477670939</v>
      </c>
      <c r="BM298" s="439">
        <f ca="1">IF(B298=TODAY(),0,IF(AND(Sheet1!BQ298&lt;=11.5,Sheet1!BQ297&gt;Sheet1!BQ298),(MIN(Lookup!$C$119,VLOOKUP(Sheet1!BQ297,Lookup!$B$4:$J$236,2))-VLOOKUP(Sheet1!BQ298,Lookup!$B$4:$J$236,2))/1000000,0))</f>
        <v>0</v>
      </c>
      <c r="BN298" s="439">
        <f ca="1">IF(B298=TODAY(),0,IF(AND(Sheet1!BR298&lt;=11.5,Sheet1!BR297&gt;Sheet1!BR298),(MIN(Lookup!$D$119,VLOOKUP(Sheet1!BR297,Lookup!$B$4:$J$236,3))-VLOOKUP(Sheet1!BR298,Lookup!$B$4:$J$236,3))/1000000,0))</f>
        <v>0</v>
      </c>
      <c r="BP298" s="105">
        <f ca="1">SUM(BM298:BN298,W298,Sheet1!DT298)</f>
        <v>0</v>
      </c>
    </row>
    <row r="299" spans="1:68" s="101" customFormat="1">
      <c r="A299" s="101" t="s">
        <v>5</v>
      </c>
      <c r="B299" s="103">
        <v>40828</v>
      </c>
      <c r="C299" s="104">
        <v>0.33333333333357601</v>
      </c>
      <c r="E299" s="30"/>
      <c r="F299" s="30">
        <f ca="1">IF(B299=TODAY(),0,-(VLOOKUP(Sheet1!BZ299,Lookup!$I$4:$J$216,2)-VLOOKUP(Sheet1!BZ298,Lookup!$I$4:$J$216,2))/1000000)</f>
        <v>-0.10363693854779936</v>
      </c>
      <c r="G299" s="106">
        <f ca="1">IF(B299=TODAY(),0,-$G$6*(Sheet1!CB299-Sheet1!CB298)*7.48/1000000)</f>
        <v>-0.28593720757842717</v>
      </c>
      <c r="H299" s="106">
        <f ca="1">IF(B299=TODAY(),0,-$G$6*(Sheet1!CC299-Sheet1!CC298)*7.48/1000000)</f>
        <v>0</v>
      </c>
      <c r="I299" s="106">
        <f ca="1">IF(B299=TODAY(),0,-$G$6*(Sheet1!CD299-Sheet1!CD298)*7.48/1000000)</f>
        <v>-3.9713501052559864E-2</v>
      </c>
      <c r="J299" s="107" t="s">
        <v>193</v>
      </c>
      <c r="K299" s="106">
        <f ca="1">IF(B299=TODAY(),0,-$I$6*(Sheet1!CD299-Sheet1!CD298)*7.48/1000000)</f>
        <v>-1.7991508428027301E-2</v>
      </c>
      <c r="L299" s="107" t="s">
        <v>193</v>
      </c>
      <c r="M299" s="106">
        <f ca="1">IF(B299=TODAY(),0,-$M$6*(Sheet1!CE299-Sheet1!CE298)*7.48/1000000)</f>
        <v>0</v>
      </c>
      <c r="N299" s="106">
        <f ca="1">IF(B299=TODAY(),0,-$N$6*(Sheet1!CF299-Sheet1!CF298)*7.48/1000000)</f>
        <v>5.5847110855161426E-2</v>
      </c>
      <c r="O299" s="106">
        <f t="shared" ca="1" si="35"/>
        <v>-0.39143204475165233</v>
      </c>
      <c r="P299" s="106">
        <f ca="1">O299+Calculation!EI299</f>
        <v>4.4026679552483481</v>
      </c>
      <c r="Q299" s="101" t="str">
        <f>IF(Sheet1!BQ299&gt;21.75,"spill elevation","-")</f>
        <v>-</v>
      </c>
      <c r="R299" s="101" t="str">
        <f>IF(Sheet1!BR299&gt;21.75,"spill elevation","-")</f>
        <v>-</v>
      </c>
      <c r="S299" s="101" t="str">
        <f>IF(Sheet1!BS299&gt;21.75,"spill elevation","-")</f>
        <v>-</v>
      </c>
      <c r="T299" s="105">
        <f>IF(Sheet1!DQ299=1,Sheet1!AA299-(SUM(AT299:BA299)+BE299),Sheet1!AA299-SUM(AT299:BA299))</f>
        <v>30.400943999990687</v>
      </c>
      <c r="U299" s="105">
        <f>Sheet1!BU299</f>
        <v>32</v>
      </c>
      <c r="V299" s="105">
        <f t="shared" si="36"/>
        <v>-1.5990560000093126</v>
      </c>
      <c r="W299" s="105">
        <f t="shared" si="37"/>
        <v>0</v>
      </c>
      <c r="X299" s="101">
        <f>IF((Sheet1!EX299-Sheet1!EX298)&lt;0,(Sheet1!EX299+100000-Sheet1!EX298)/1000,(Sheet1!EX299-Sheet1!EX298)/1000)</f>
        <v>99.998999999999995</v>
      </c>
      <c r="Y299" s="106">
        <f ca="1">Calculation!DZ300+Calculation!EI299+'Calculations II'!O299-'Calculations II'!W299</f>
        <v>59.532667955253004</v>
      </c>
      <c r="Z299" s="106">
        <f ca="1">Y299-Sheet1!CP300</f>
        <v>42.722667955253002</v>
      </c>
      <c r="AA299" s="106">
        <f ca="1">Y299+Calculation!CZ300+Calculation!AI300</f>
        <v>69.626754630018922</v>
      </c>
      <c r="AC299" s="106">
        <f>Sheet1!AA299+Sheet1!AB299+BC299</f>
        <v>53.139999999992142</v>
      </c>
      <c r="AD299" s="106">
        <f>Sheet1!AA299+Sheet1!BN299+'Calculations II'!BC299-Calculation!AI299-Calculation!CZ299</f>
        <v>32.93999999999</v>
      </c>
      <c r="AE299" s="106">
        <f>Sheet1!AA299+Sheet1!AB299+'Calculations II'!BC299-Calculation!AI299-Calculation!CZ299</f>
        <v>43.039999999991458</v>
      </c>
      <c r="AF299" s="106">
        <f ca="1">Sheet1!AA299+Sheet1!BN299+P299+'Calculations II'!BC299+Calculation!AI299+Calculation!CZ299</f>
        <v>57.542667955239715</v>
      </c>
      <c r="AG299" s="106">
        <f ca="1">IF(B299=TODAY(),0,Sheet1!AA299+Sheet1!BN299+'Calculations II'!BC299+'Calculations II'!P299-Sheet1!CP299-BP299)</f>
        <v>30.132667955239032</v>
      </c>
      <c r="AH299" s="106">
        <f ca="1">IF(B299=TODAY(),0,Sheet1!AA299+Sheet1!BN299+'Calculations II'!BC299+'Calculations II'!P299-BP299)</f>
        <v>47.442667955239031</v>
      </c>
      <c r="AI299" s="106">
        <f ca="1">IF(B299=TODAY(),0,BC299+Sheet1!AA299+Calculation!EI299+O299+W299+Sheet1!BN299+Calculation!AI299+Calculation!CZ299-BP299)</f>
        <v>57.542667955239715</v>
      </c>
      <c r="AJ299" s="106"/>
      <c r="AM299" s="102">
        <f t="shared" si="38"/>
        <v>40828</v>
      </c>
      <c r="AN299" s="106"/>
      <c r="AO299" s="106"/>
      <c r="AR299" s="106"/>
      <c r="AT299" s="101">
        <f>Sheet1!AR299*GPMtoMGD</f>
        <v>0</v>
      </c>
      <c r="AU299" s="101">
        <f>Sheet1!AS299*GPMtoMGD</f>
        <v>1.5408E-2</v>
      </c>
      <c r="AV299" s="101">
        <f>Sheet1!AT299*GPMtoMGD</f>
        <v>0</v>
      </c>
      <c r="AW299" s="101">
        <f>Sheet1!AV299*GPMtoMGD</f>
        <v>0.60364800000000007</v>
      </c>
      <c r="AX299" s="101">
        <f>Sheet1!AW299*GPMtoMGD</f>
        <v>0.72000000000000008</v>
      </c>
      <c r="AY299" s="101">
        <f>Sheet1!AX299*GPMtoMGD</f>
        <v>0</v>
      </c>
      <c r="AZ299" s="101">
        <f>Sheet1!AY299*GPMtoMGD</f>
        <v>0</v>
      </c>
      <c r="BA299" s="101">
        <f>Sheet1!AZ299*GPMtoMGD</f>
        <v>0</v>
      </c>
      <c r="BB299" s="101">
        <f>Sheet1!BP299*GPMtoMGD</f>
        <v>0</v>
      </c>
      <c r="BC299" s="101">
        <f>Sheet1!CO299*GPMtoMGD</f>
        <v>0</v>
      </c>
      <c r="BD299" s="101">
        <f>Sheet1!BO299*GPMtoMGD</f>
        <v>1.93608</v>
      </c>
      <c r="BE299" s="101">
        <f>Sheet1!BV299*GPMtoMGD</f>
        <v>0.74505600000000005</v>
      </c>
      <c r="BF299" s="101">
        <f>Sheet1!CJ299*GPMtoMGD</f>
        <v>0.135216</v>
      </c>
      <c r="BG299" s="101">
        <f>Sheet1!CK299*GPMtoMGD</f>
        <v>0.56678400000000007</v>
      </c>
      <c r="BH299" s="101">
        <f>Sheet1!CL299*GPMtoMGD</f>
        <v>0.845136</v>
      </c>
      <c r="BI299" s="101">
        <f t="shared" si="39"/>
        <v>1.93608</v>
      </c>
      <c r="BK299" s="106">
        <f>SUM(AT299:BA299,BE299,Sheet1!BU299,'Calculations II'!BC299,Calculation!AG299)</f>
        <v>45.384112000000769</v>
      </c>
      <c r="BM299" s="439">
        <f ca="1">IF(B299=TODAY(),0,IF(AND(Sheet1!BQ299&lt;=11.5,Sheet1!BQ298&gt;Sheet1!BQ299),(MIN(Lookup!$C$119,VLOOKUP(Sheet1!BQ298,Lookup!$B$4:$J$236,2))-VLOOKUP(Sheet1!BQ299,Lookup!$B$4:$J$236,2))/1000000,0))</f>
        <v>0</v>
      </c>
      <c r="BN299" s="439">
        <f ca="1">IF(B299=TODAY(),0,IF(AND(Sheet1!BR299&lt;=11.5,Sheet1!BR298&gt;Sheet1!BR299),(MIN(Lookup!$D$119,VLOOKUP(Sheet1!BR298,Lookup!$B$4:$J$236,3))-VLOOKUP(Sheet1!BR299,Lookup!$B$4:$J$236,3))/1000000,0))</f>
        <v>0</v>
      </c>
      <c r="BP299" s="105">
        <f ca="1">SUM(BM299:BN299,W299,Sheet1!DT299)</f>
        <v>0</v>
      </c>
    </row>
    <row r="300" spans="1:68" s="101" customFormat="1">
      <c r="A300" s="101" t="s">
        <v>6</v>
      </c>
      <c r="B300" s="103">
        <v>40829</v>
      </c>
      <c r="C300" s="104">
        <v>0.33333333333357601</v>
      </c>
      <c r="E300" s="30"/>
      <c r="F300" s="30">
        <f ca="1">IF(B300=TODAY(),0,-(VLOOKUP(Sheet1!BZ300,Lookup!$I$4:$J$216,2)-VLOOKUP(Sheet1!BZ299,Lookup!$I$4:$J$216,2))/1000000)</f>
        <v>0</v>
      </c>
      <c r="G300" s="106">
        <f ca="1">IF(B300=TODAY(),0,-$G$6*(Sheet1!CB300-Sheet1!CB299)*7.48/1000000)</f>
        <v>0.3177080084204747</v>
      </c>
      <c r="H300" s="106">
        <f ca="1">IF(B300=TODAY(),0,-$G$6*(Sheet1!CC300-Sheet1!CC299)*7.48/1000000)</f>
        <v>-5.9570251578839085E-2</v>
      </c>
      <c r="I300" s="106">
        <f ca="1">IF(B300=TODAY(),0,-$G$6*(Sheet1!CD300-Sheet1!CD299)*7.48/1000000)</f>
        <v>0</v>
      </c>
      <c r="J300" s="107" t="s">
        <v>193</v>
      </c>
      <c r="K300" s="106">
        <f ca="1">IF(B300=TODAY(),0,-$I$6*(Sheet1!CD300-Sheet1!CD299)*7.48/1000000)</f>
        <v>0</v>
      </c>
      <c r="L300" s="107" t="s">
        <v>193</v>
      </c>
      <c r="M300" s="106">
        <f ca="1">IF(B300=TODAY(),0,-$M$6*(Sheet1!CE300-Sheet1!CE299)*7.48/1000000)</f>
        <v>-2.9984941685062941E-2</v>
      </c>
      <c r="N300" s="106">
        <f ca="1">IF(B300=TODAY(),0,-$N$6*(Sheet1!CF300-Sheet1!CF299)*7.48/1000000)</f>
        <v>8.6873283552473798E-2</v>
      </c>
      <c r="O300" s="106">
        <f t="shared" ca="1" si="35"/>
        <v>0.31502609870904646</v>
      </c>
      <c r="P300" s="106">
        <f ca="1">O300+Calculation!EI300</f>
        <v>1.3690260987090463</v>
      </c>
      <c r="Q300" s="101" t="str">
        <f>IF(Sheet1!BQ300&gt;21.75,"spill elevation","-")</f>
        <v>-</v>
      </c>
      <c r="R300" s="101" t="str">
        <f>IF(Sheet1!BR300&gt;21.75,"spill elevation","-")</f>
        <v>-</v>
      </c>
      <c r="S300" s="101" t="str">
        <f>IF(Sheet1!BS300&gt;21.75,"spill elevation","-")</f>
        <v>-</v>
      </c>
      <c r="T300" s="105">
        <f>IF(Sheet1!DQ300=1,Sheet1!AA300-(SUM(AT300:BA300)+BE300),Sheet1!AA300-SUM(AT300:BA300))</f>
        <v>29.707840000007568</v>
      </c>
      <c r="U300" s="105">
        <f>Sheet1!BU300</f>
        <v>27.9</v>
      </c>
      <c r="V300" s="105">
        <f t="shared" si="36"/>
        <v>1.8078400000075696</v>
      </c>
      <c r="W300" s="105">
        <f t="shared" si="37"/>
        <v>0</v>
      </c>
      <c r="X300" s="101">
        <f>IF((Sheet1!EX300-Sheet1!EX299)&lt;0,(Sheet1!EX300+100000-Sheet1!EX299)/1000,(Sheet1!EX300-Sheet1!EX299)/1000)</f>
        <v>0</v>
      </c>
      <c r="Y300" s="106">
        <f ca="1">Calculation!DZ301+Calculation!EI300+'Calculations II'!O300-'Calculations II'!W300</f>
        <v>58.029026098712542</v>
      </c>
      <c r="Z300" s="106">
        <f ca="1">Y300-Sheet1!CP301</f>
        <v>40.53902609871254</v>
      </c>
      <c r="AA300" s="106">
        <f ca="1">Y300+Calculation!CZ301+Calculation!AI301</f>
        <v>68.249430722991818</v>
      </c>
      <c r="AC300" s="106">
        <f>Sheet1!AA300+Sheet1!AB300+BC300</f>
        <v>55.130000000004657</v>
      </c>
      <c r="AD300" s="106">
        <f>Sheet1!AA300+Sheet1!BN300+'Calculations II'!BC300-Calculation!AI300-Calculation!CZ300</f>
        <v>34.935913325241643</v>
      </c>
      <c r="AE300" s="106">
        <f>Sheet1!AA300+Sheet1!AB300+'Calculations II'!BC300-Calculation!AI300-Calculation!CZ300</f>
        <v>45.035913325238738</v>
      </c>
      <c r="AF300" s="106">
        <f ca="1">Sheet1!AA300+Sheet1!BN300+P300+'Calculations II'!BC300+Calculation!AI300+Calculation!CZ300</f>
        <v>56.493112773482537</v>
      </c>
      <c r="AG300" s="106">
        <f ca="1">IF(B300=TODAY(),0,Sheet1!AA300+Sheet1!BN300+'Calculations II'!BC300+'Calculations II'!P300-Sheet1!CP300-BP300)</f>
        <v>29.589026098716619</v>
      </c>
      <c r="AH300" s="106">
        <f ca="1">IF(B300=TODAY(),0,Sheet1!AA300+Sheet1!BN300+'Calculations II'!BC300+'Calculations II'!P300-BP300)</f>
        <v>46.399026098716618</v>
      </c>
      <c r="AI300" s="106">
        <f ca="1">IF(B300=TODAY(),0,BC300+Sheet1!AA300+Calculation!EI300+O300+W300+Sheet1!BN300+Calculation!AI300+Calculation!CZ300-BP300)</f>
        <v>56.493112773482537</v>
      </c>
      <c r="AJ300" s="106"/>
      <c r="AM300" s="102">
        <f t="shared" si="38"/>
        <v>40829</v>
      </c>
      <c r="AN300" s="106"/>
      <c r="AO300" s="106"/>
      <c r="AR300" s="106"/>
      <c r="AT300" s="101">
        <f>Sheet1!AR300*GPMtoMGD</f>
        <v>0</v>
      </c>
      <c r="AU300" s="101">
        <f>Sheet1!AS300*GPMtoMGD</f>
        <v>2.6495999999999999E-2</v>
      </c>
      <c r="AV300" s="101">
        <f>Sheet1!AT300*GPMtoMGD</f>
        <v>0</v>
      </c>
      <c r="AW300" s="101">
        <f>Sheet1!AV300*GPMtoMGD</f>
        <v>0.21441600000000002</v>
      </c>
      <c r="AX300" s="101">
        <f>Sheet1!AW300*GPMtoMGD</f>
        <v>0.48124800000000001</v>
      </c>
      <c r="AY300" s="101">
        <f>Sheet1!AX300*GPMtoMGD</f>
        <v>0</v>
      </c>
      <c r="AZ300" s="101">
        <f>Sheet1!AY300*GPMtoMGD</f>
        <v>0</v>
      </c>
      <c r="BA300" s="101">
        <f>Sheet1!AZ300*GPMtoMGD</f>
        <v>0</v>
      </c>
      <c r="BB300" s="101">
        <f>Sheet1!BP300*GPMtoMGD</f>
        <v>0</v>
      </c>
      <c r="BC300" s="101">
        <f>Sheet1!CO300*GPMtoMGD</f>
        <v>0</v>
      </c>
      <c r="BD300" s="101">
        <f>Sheet1!BO300*GPMtoMGD</f>
        <v>1.9319040000000001</v>
      </c>
      <c r="BE300" s="101">
        <f>Sheet1!BV300*GPMtoMGD</f>
        <v>0.64598400000000011</v>
      </c>
      <c r="BF300" s="101">
        <f>Sheet1!CJ300*GPMtoMGD</f>
        <v>0.141264</v>
      </c>
      <c r="BG300" s="101">
        <f>Sheet1!CK300*GPMtoMGD</f>
        <v>0.55944000000000005</v>
      </c>
      <c r="BH300" s="101">
        <f>Sheet1!CL300*GPMtoMGD</f>
        <v>0.83347199999999999</v>
      </c>
      <c r="BI300" s="101">
        <f t="shared" si="39"/>
        <v>1.9319040000000001</v>
      </c>
      <c r="BK300" s="106">
        <f>SUM(AT300:BA300,BE300,Sheet1!BU300,'Calculations II'!BC300,Calculation!AG300)</f>
        <v>43.874057325231163</v>
      </c>
      <c r="BM300" s="439">
        <f ca="1">IF(B300=TODAY(),0,IF(AND(Sheet1!BQ300&lt;=11.5,Sheet1!BQ299&gt;Sheet1!BQ300),(MIN(Lookup!$C$119,VLOOKUP(Sheet1!BQ299,Lookup!$B$4:$J$236,2))-VLOOKUP(Sheet1!BQ300,Lookup!$B$4:$J$236,2))/1000000,0))</f>
        <v>0</v>
      </c>
      <c r="BN300" s="439">
        <f ca="1">IF(B300=TODAY(),0,IF(AND(Sheet1!BR300&lt;=11.5,Sheet1!BR299&gt;Sheet1!BR300),(MIN(Lookup!$D$119,VLOOKUP(Sheet1!BR299,Lookup!$B$4:$J$236,3))-VLOOKUP(Sheet1!BR300,Lookup!$B$4:$J$236,3))/1000000,0))</f>
        <v>0</v>
      </c>
      <c r="BP300" s="105">
        <f ca="1">SUM(BM300:BN300,W300,Sheet1!DT300)</f>
        <v>0</v>
      </c>
    </row>
    <row r="301" spans="1:68" s="101" customFormat="1">
      <c r="A301" s="101" t="s">
        <v>7</v>
      </c>
      <c r="B301" s="103">
        <v>40830</v>
      </c>
      <c r="C301" s="104">
        <v>0.33333333333357601</v>
      </c>
      <c r="E301" s="30"/>
      <c r="F301" s="30">
        <f ca="1">IF(B301=TODAY(),0,-(VLOOKUP(Sheet1!BZ301,Lookup!$I$4:$J$216,2)-VLOOKUP(Sheet1!BZ300,Lookup!$I$4:$J$216,2))/1000000)</f>
        <v>0.31091081564339806</v>
      </c>
      <c r="G301" s="106">
        <f ca="1">IF(B301=TODAY(),0,-$G$6*(Sheet1!CB301-Sheet1!CB300)*7.48/1000000)</f>
        <v>0.23828100631535562</v>
      </c>
      <c r="H301" s="106">
        <f ca="1">IF(B301=TODAY(),0,-$G$6*(Sheet1!CC301-Sheet1!CC300)*7.48/1000000)</f>
        <v>0.21842425578907643</v>
      </c>
      <c r="I301" s="106">
        <f ca="1">IF(B301=TODAY(),0,-$G$6*(Sheet1!CD301-Sheet1!CD300)*7.48/1000000)</f>
        <v>0.19856750526279648</v>
      </c>
      <c r="J301" s="107" t="s">
        <v>193</v>
      </c>
      <c r="K301" s="106">
        <f ca="1">IF(B301=TODAY(),0,-$I$6*(Sheet1!CD301-Sheet1!CD300)*7.48/1000000)</f>
        <v>8.9957542140135238E-2</v>
      </c>
      <c r="L301" s="107" t="s">
        <v>193</v>
      </c>
      <c r="M301" s="106">
        <f ca="1">IF(B301=TODAY(),0,-$M$6*(Sheet1!CE301-Sheet1!CE300)*7.48/1000000)</f>
        <v>5.9969883370125883E-2</v>
      </c>
      <c r="N301" s="106">
        <f ca="1">IF(B301=TODAY(),0,-$N$6*(Sheet1!CF301-Sheet1!CF300)*7.48/1000000)</f>
        <v>-5.5847110855161426E-2</v>
      </c>
      <c r="O301" s="106">
        <f t="shared" ca="1" si="35"/>
        <v>1.0602638976657264</v>
      </c>
      <c r="P301" s="106">
        <f ca="1">O301+Calculation!EI301</f>
        <v>1.3235638976657262</v>
      </c>
      <c r="Q301" s="101" t="str">
        <f>IF(Sheet1!BQ301&gt;21.75,"spill elevation","-")</f>
        <v>-</v>
      </c>
      <c r="R301" s="101" t="str">
        <f>IF(Sheet1!BR301&gt;21.75,"spill elevation","-")</f>
        <v>-</v>
      </c>
      <c r="S301" s="101" t="str">
        <f>IF(Sheet1!BS301&gt;21.75,"spill elevation","-")</f>
        <v>-</v>
      </c>
      <c r="T301" s="105">
        <f>IF(Sheet1!DQ301=1,Sheet1!AA301-(SUM(AT301:BA301)+BE301),Sheet1!AA301-SUM(AT301:BA301))</f>
        <v>28.937791999998836</v>
      </c>
      <c r="U301" s="105">
        <f>Sheet1!BU301</f>
        <v>27</v>
      </c>
      <c r="V301" s="105">
        <f t="shared" si="36"/>
        <v>1.9377919999988364</v>
      </c>
      <c r="W301" s="105">
        <f t="shared" si="37"/>
        <v>0</v>
      </c>
      <c r="X301" s="101">
        <f>IF((Sheet1!EX301-Sheet1!EX300)&lt;0,(Sheet1!EX301+100000-Sheet1!EX300)/1000,(Sheet1!EX301-Sheet1!EX300)/1000)</f>
        <v>1.06</v>
      </c>
      <c r="Y301" s="106">
        <f ca="1">Calculation!DZ302+Calculation!EI301+'Calculations II'!O301-'Calculations II'!W301</f>
        <v>57.813563897663691</v>
      </c>
      <c r="Z301" s="106">
        <f ca="1">Y301-Sheet1!CP302</f>
        <v>40.053563897663693</v>
      </c>
      <c r="AA301" s="106">
        <f ca="1">Y301+Calculation!CZ302+Calculation!AI302</f>
        <v>68.004381168288091</v>
      </c>
      <c r="AC301" s="106">
        <f>Sheet1!AA301+Sheet1!AB301+BC301</f>
        <v>56.660000000003492</v>
      </c>
      <c r="AD301" s="106">
        <f>Sheet1!AA301+Sheet1!BN301+'Calculations II'!BC301-Calculation!AI301-Calculation!CZ301</f>
        <v>36.10959537571955</v>
      </c>
      <c r="AE301" s="106">
        <f>Sheet1!AA301+Sheet1!AB301+'Calculations II'!BC301-Calculation!AI301-Calculation!CZ301</f>
        <v>46.43959537572421</v>
      </c>
      <c r="AF301" s="106">
        <f ca="1">Sheet1!AA301+Sheet1!BN301+P301+'Calculations II'!BC301+Calculation!AI301+Calculation!CZ301</f>
        <v>57.873968521943837</v>
      </c>
      <c r="AG301" s="106">
        <f ca="1">IF(B301=TODAY(),0,Sheet1!AA301+Sheet1!BN301+'Calculations II'!BC301+'Calculations II'!P301-Sheet1!CP301-BP301)</f>
        <v>30.163563897664563</v>
      </c>
      <c r="AH301" s="106">
        <f ca="1">IF(B301=TODAY(),0,Sheet1!AA301+Sheet1!BN301+'Calculations II'!BC301+'Calculations II'!P301-BP301)</f>
        <v>47.653563897664561</v>
      </c>
      <c r="AI301" s="106">
        <f ca="1">IF(B301=TODAY(),0,BC301+Sheet1!AA301+Calculation!EI301+O301+W301+Sheet1!BN301+Calculation!AI301+Calculation!CZ301-BP301)</f>
        <v>57.873968521943851</v>
      </c>
      <c r="AJ301" s="106"/>
      <c r="AM301" s="102">
        <f t="shared" si="38"/>
        <v>40830</v>
      </c>
      <c r="AN301" s="106"/>
      <c r="AO301" s="106"/>
      <c r="AR301" s="106"/>
      <c r="AT301" s="101">
        <f>Sheet1!AR301*GPMtoMGD</f>
        <v>0</v>
      </c>
      <c r="AU301" s="101">
        <f>Sheet1!AS301*GPMtoMGD</f>
        <v>2.6495999999999999E-2</v>
      </c>
      <c r="AV301" s="101">
        <f>Sheet1!AT301*GPMtoMGD</f>
        <v>0</v>
      </c>
      <c r="AW301" s="101">
        <f>Sheet1!AV301*GPMtoMGD</f>
        <v>0.81489600000000006</v>
      </c>
      <c r="AX301" s="101">
        <f>Sheet1!AW301*GPMtoMGD</f>
        <v>0.75081600000000004</v>
      </c>
      <c r="AY301" s="101">
        <f>Sheet1!AX301*GPMtoMGD</f>
        <v>0</v>
      </c>
      <c r="AZ301" s="101">
        <f>Sheet1!AY301*GPMtoMGD</f>
        <v>0</v>
      </c>
      <c r="BA301" s="101">
        <f>Sheet1!AZ301*GPMtoMGD</f>
        <v>0</v>
      </c>
      <c r="BB301" s="101">
        <f>Sheet1!BP301*GPMtoMGD</f>
        <v>0</v>
      </c>
      <c r="BC301" s="101">
        <f>Sheet1!CO301*GPMtoMGD</f>
        <v>0</v>
      </c>
      <c r="BD301" s="101">
        <f>Sheet1!BO301*GPMtoMGD</f>
        <v>1.6503840000000001</v>
      </c>
      <c r="BE301" s="101">
        <f>Sheet1!BV301*GPMtoMGD</f>
        <v>0.63921600000000001</v>
      </c>
      <c r="BF301" s="101">
        <f>Sheet1!CJ301*GPMtoMGD</f>
        <v>0.127584</v>
      </c>
      <c r="BG301" s="101">
        <f>Sheet1!CK301*GPMtoMGD</f>
        <v>0.53280000000000005</v>
      </c>
      <c r="BH301" s="101">
        <f>Sheet1!CL301*GPMtoMGD</f>
        <v>0.830592</v>
      </c>
      <c r="BI301" s="101">
        <f t="shared" si="39"/>
        <v>1.6503840000000001</v>
      </c>
      <c r="BK301" s="106">
        <f>SUM(AT301:BA301,BE301,Sheet1!BU301,'Calculations II'!BC301,Calculation!AG301)</f>
        <v>45.141019375725378</v>
      </c>
      <c r="BM301" s="439">
        <f ca="1">IF(B301=TODAY(),0,IF(AND(Sheet1!BQ301&lt;=11.5,Sheet1!BQ300&gt;Sheet1!BQ301),(MIN(Lookup!$C$119,VLOOKUP(Sheet1!BQ300,Lookup!$B$4:$J$236,2))-VLOOKUP(Sheet1!BQ301,Lookup!$B$4:$J$236,2))/1000000,0))</f>
        <v>0</v>
      </c>
      <c r="BN301" s="439">
        <f ca="1">IF(B301=TODAY(),0,IF(AND(Sheet1!BR301&lt;=11.5,Sheet1!BR300&gt;Sheet1!BR301),(MIN(Lookup!$D$119,VLOOKUP(Sheet1!BR300,Lookup!$B$4:$J$236,3))-VLOOKUP(Sheet1!BR301,Lookup!$B$4:$J$236,3))/1000000,0))</f>
        <v>0</v>
      </c>
      <c r="BP301" s="105">
        <f ca="1">SUM(BM301:BN301,W301,Sheet1!DT301)</f>
        <v>0</v>
      </c>
    </row>
    <row r="302" spans="1:68" s="101" customFormat="1">
      <c r="A302" s="101" t="s">
        <v>8</v>
      </c>
      <c r="B302" s="103">
        <v>40831</v>
      </c>
      <c r="C302" s="104">
        <v>0.33333333333357601</v>
      </c>
      <c r="E302" s="30"/>
      <c r="F302" s="30">
        <f ca="1">IF(B302=TODAY(),0,-(VLOOKUP(Sheet1!BZ302,Lookup!$I$4:$J$216,2)-VLOOKUP(Sheet1!BZ301,Lookup!$I$4:$J$216,2))/1000000)</f>
        <v>0.10363693854779936</v>
      </c>
      <c r="G302" s="106">
        <f ca="1">IF(B302=TODAY(),0,-$G$6*(Sheet1!CB302-Sheet1!CB301)*7.48/1000000)</f>
        <v>-0.59570251578838951</v>
      </c>
      <c r="H302" s="106">
        <f ca="1">IF(B302=TODAY(),0,-$G$6*(Sheet1!CC302-Sheet1!CC301)*7.48/1000000)</f>
        <v>-0.75455651999862683</v>
      </c>
      <c r="I302" s="106">
        <f ca="1">IF(B302=TODAY(),0,-$G$6*(Sheet1!CD302-Sheet1!CD301)*7.48/1000000)</f>
        <v>-0.75455651999862605</v>
      </c>
      <c r="J302" s="107" t="s">
        <v>193</v>
      </c>
      <c r="K302" s="106">
        <f ca="1">IF(B302=TODAY(),0,-$I$6*(Sheet1!CD302-Sheet1!CD301)*7.48/1000000)</f>
        <v>-0.34183866013251368</v>
      </c>
      <c r="L302" s="107" t="s">
        <v>193</v>
      </c>
      <c r="M302" s="106">
        <f ca="1">IF(B302=TODAY(),0,-$M$6*(Sheet1!CE302-Sheet1!CE301)*7.48/1000000)</f>
        <v>-0.13659806767639787</v>
      </c>
      <c r="N302" s="106">
        <f ca="1">IF(B302=TODAY(),0,-$N$6*(Sheet1!CF302-Sheet1!CF301)*7.48/1000000)</f>
        <v>8.6873283552473798E-2</v>
      </c>
      <c r="O302" s="106">
        <f t="shared" ca="1" si="35"/>
        <v>-2.3927420614942805</v>
      </c>
      <c r="P302" s="106">
        <f ca="1">O302+Calculation!EI302</f>
        <v>-1.0750420614942806</v>
      </c>
      <c r="Q302" s="101" t="str">
        <f>IF(Sheet1!BQ302&gt;21.75,"spill elevation","-")</f>
        <v>-</v>
      </c>
      <c r="R302" s="101" t="str">
        <f>IF(Sheet1!BR302&gt;21.75,"spill elevation","-")</f>
        <v>-</v>
      </c>
      <c r="S302" s="101" t="str">
        <f>IF(Sheet1!BS302&gt;21.75,"spill elevation","-")</f>
        <v>-</v>
      </c>
      <c r="T302" s="105">
        <f>IF(Sheet1!DQ302=1,Sheet1!AA302-(SUM(AT302:BA302)+BE302),Sheet1!AA302-SUM(AT302:BA302))</f>
        <v>27.889199999998254</v>
      </c>
      <c r="U302" s="105">
        <f>Sheet1!BU302</f>
        <v>28.4</v>
      </c>
      <c r="V302" s="105">
        <f t="shared" si="36"/>
        <v>-0.51080000000174408</v>
      </c>
      <c r="W302" s="105">
        <f t="shared" si="37"/>
        <v>0</v>
      </c>
      <c r="X302" s="101">
        <f>IF((Sheet1!EX302-Sheet1!EX301)&lt;0,(Sheet1!EX302+100000-Sheet1!EX301)/1000,(Sheet1!EX302-Sheet1!EX301)/1000)</f>
        <v>1.0980000000000001</v>
      </c>
      <c r="Y302" s="106">
        <f ca="1">Calculation!DZ303+Calculation!EI302+'Calculations II'!O302-'Calculations II'!W302</f>
        <v>54.67495793850572</v>
      </c>
      <c r="Z302" s="106">
        <f ca="1">Y302-Sheet1!CP303</f>
        <v>37.374957938505716</v>
      </c>
      <c r="AA302" s="106">
        <f ca="1">Y302+Calculation!CZ303+Calculation!AI303</f>
        <v>64.690910043564458</v>
      </c>
      <c r="AC302" s="106">
        <f>Sheet1!AA302+Sheet1!AB302+BC302</f>
        <v>56.489999999997963</v>
      </c>
      <c r="AD302" s="106">
        <f>Sheet1!AA302+Sheet1!BN302+'Calculations II'!BC302-Calculation!AI302-Calculation!CZ302</f>
        <v>36.029182729373844</v>
      </c>
      <c r="AE302" s="106">
        <f>Sheet1!AA302+Sheet1!AB302+'Calculations II'!BC302-Calculation!AI302-Calculation!CZ302</f>
        <v>46.299182729373555</v>
      </c>
      <c r="AF302" s="106">
        <f ca="1">Sheet1!AA302+Sheet1!BN302+P302+'Calculations II'!BC302+Calculation!AI302+Calculation!CZ302</f>
        <v>55.335775209128371</v>
      </c>
      <c r="AG302" s="106">
        <f ca="1">IF(B302=TODAY(),0,Sheet1!AA302+Sheet1!BN302+'Calculations II'!BC302+'Calculations II'!P302-Sheet1!CP302-BP302)</f>
        <v>27.38495793850397</v>
      </c>
      <c r="AH302" s="106">
        <f ca="1">IF(B302=TODAY(),0,Sheet1!AA302+Sheet1!BN302+'Calculations II'!BC302+'Calculations II'!P302-BP302)</f>
        <v>45.144957938503971</v>
      </c>
      <c r="AI302" s="106">
        <f ca="1">IF(B302=TODAY(),0,BC302+Sheet1!AA302+Calculation!EI302+O302+W302+Sheet1!BN302+Calculation!AI302+Calculation!CZ302-BP302)</f>
        <v>55.335775209128371</v>
      </c>
      <c r="AJ302" s="106"/>
      <c r="AM302" s="102">
        <f t="shared" si="38"/>
        <v>40831</v>
      </c>
      <c r="AN302" s="106"/>
      <c r="AO302" s="106"/>
      <c r="AR302" s="106"/>
      <c r="AT302" s="101">
        <f>Sheet1!AR302*GPMtoMGD</f>
        <v>0</v>
      </c>
      <c r="AU302" s="101">
        <f>Sheet1!AS302*GPMtoMGD</f>
        <v>1.6272000000000002E-2</v>
      </c>
      <c r="AV302" s="101">
        <f>Sheet1!AT302*GPMtoMGD</f>
        <v>0</v>
      </c>
      <c r="AW302" s="101">
        <f>Sheet1!AV302*GPMtoMGD</f>
        <v>1.152E-3</v>
      </c>
      <c r="AX302" s="101">
        <f>Sheet1!AW302*GPMtoMGD</f>
        <v>2.5133760000000005</v>
      </c>
      <c r="AY302" s="101">
        <f>Sheet1!AX302*GPMtoMGD</f>
        <v>0</v>
      </c>
      <c r="AZ302" s="101">
        <f>Sheet1!AY302*GPMtoMGD</f>
        <v>0</v>
      </c>
      <c r="BA302" s="101">
        <f>Sheet1!AZ302*GPMtoMGD</f>
        <v>0</v>
      </c>
      <c r="BB302" s="101">
        <f>Sheet1!BP302*GPMtoMGD</f>
        <v>0</v>
      </c>
      <c r="BC302" s="101">
        <f>Sheet1!CO302*GPMtoMGD</f>
        <v>0</v>
      </c>
      <c r="BD302" s="101">
        <f>Sheet1!BO302*GPMtoMGD</f>
        <v>2.5109280000000003</v>
      </c>
      <c r="BE302" s="101">
        <f>Sheet1!BV302*GPMtoMGD</f>
        <v>0.66484799999999999</v>
      </c>
      <c r="BF302" s="101">
        <f>Sheet1!CJ302*GPMtoMGD</f>
        <v>0.20419200000000004</v>
      </c>
      <c r="BG302" s="101">
        <f>Sheet1!CK302*GPMtoMGD</f>
        <v>0.593136</v>
      </c>
      <c r="BH302" s="101">
        <f>Sheet1!CL302*GPMtoMGD</f>
        <v>0.77083199999999996</v>
      </c>
      <c r="BI302" s="101">
        <f t="shared" si="39"/>
        <v>2.5109280000000003</v>
      </c>
      <c r="BK302" s="106">
        <f>SUM(AT302:BA302,BE302,Sheet1!BU302,'Calculations II'!BC302,Calculation!AG302)</f>
        <v>47.474830729375306</v>
      </c>
      <c r="BM302" s="439">
        <f ca="1">IF(B302=TODAY(),0,IF(AND(Sheet1!BQ302&lt;=11.5,Sheet1!BQ301&gt;Sheet1!BQ302),(MIN(Lookup!$C$119,VLOOKUP(Sheet1!BQ301,Lookup!$B$4:$J$236,2))-VLOOKUP(Sheet1!BQ302,Lookup!$B$4:$J$236,2))/1000000,0))</f>
        <v>0</v>
      </c>
      <c r="BN302" s="439">
        <f ca="1">IF(B302=TODAY(),0,IF(AND(Sheet1!BR302&lt;=11.5,Sheet1!BR301&gt;Sheet1!BR302),(MIN(Lookup!$D$119,VLOOKUP(Sheet1!BR301,Lookup!$B$4:$J$236,3))-VLOOKUP(Sheet1!BR302,Lookup!$B$4:$J$236,3))/1000000,0))</f>
        <v>0</v>
      </c>
      <c r="BP302" s="105">
        <f ca="1">SUM(BM302:BN302,W302,Sheet1!DT302)</f>
        <v>0</v>
      </c>
    </row>
    <row r="303" spans="1:68" s="101" customFormat="1">
      <c r="A303" s="101" t="s">
        <v>9</v>
      </c>
      <c r="B303" s="103">
        <v>40832</v>
      </c>
      <c r="C303" s="104">
        <v>0.33333333333357601</v>
      </c>
      <c r="E303" s="30"/>
      <c r="F303" s="30">
        <f ca="1">IF(B303=TODAY(),0,-(VLOOKUP(Sheet1!BZ303,Lookup!$I$4:$J$216,2)-VLOOKUP(Sheet1!BZ302,Lookup!$I$4:$J$216,2))/1000000)</f>
        <v>-0.31091081564339806</v>
      </c>
      <c r="G303" s="106">
        <f ca="1">IF(B303=TODAY(),0,-$G$6*(Sheet1!CB303-Sheet1!CB302)*7.48/1000000)</f>
        <v>0.31770800842047398</v>
      </c>
      <c r="H303" s="106">
        <f ca="1">IF(B303=TODAY(),0,-$G$6*(Sheet1!CC303-Sheet1!CC302)*7.48/1000000)</f>
        <v>0.83398352210374516</v>
      </c>
      <c r="I303" s="106">
        <f ca="1">IF(B303=TODAY(),0,-$G$6*(Sheet1!CD303-Sheet1!CD302)*7.48/1000000)</f>
        <v>0.8300121719984892</v>
      </c>
      <c r="J303" s="107" t="s">
        <v>193</v>
      </c>
      <c r="K303" s="106">
        <f ca="1">IF(B303=TODAY(),0,-$I$6*(Sheet1!CD303-Sheet1!CD302)*7.48/1000000)</f>
        <v>0.37602252614576526</v>
      </c>
      <c r="L303" s="107" t="s">
        <v>193</v>
      </c>
      <c r="M303" s="106">
        <f ca="1">IF(B303=TODAY(),0,-$M$6*(Sheet1!CE303-Sheet1!CE302)*7.48/1000000)</f>
        <v>0.14659304823808569</v>
      </c>
      <c r="N303" s="106">
        <f ca="1">IF(B303=TODAY(),0,-$N$6*(Sheet1!CF303-Sheet1!CF302)*7.48/1000000)</f>
        <v>-6.2052345394633607E-3</v>
      </c>
      <c r="O303" s="106">
        <f t="shared" ca="1" si="35"/>
        <v>2.1872032267236978</v>
      </c>
      <c r="P303" s="106">
        <f ca="1">O303+Calculation!EI303</f>
        <v>0.34250322672369782</v>
      </c>
      <c r="Q303" s="101" t="str">
        <f>IF(Sheet1!BQ303&gt;21.75,"spill elevation","-")</f>
        <v>-</v>
      </c>
      <c r="R303" s="101" t="str">
        <f>IF(Sheet1!BR303&gt;21.75,"spill elevation","-")</f>
        <v>-</v>
      </c>
      <c r="S303" s="101" t="str">
        <f>IF(Sheet1!BS303&gt;21.75,"spill elevation","-")</f>
        <v>-</v>
      </c>
      <c r="T303" s="105">
        <f>IF(Sheet1!DQ303=1,Sheet1!AA303-(SUM(AT303:BA303)+BE303),Sheet1!AA303-SUM(AT303:BA303))</f>
        <v>29.079440000002911</v>
      </c>
      <c r="U303" s="105">
        <f>Sheet1!BU303</f>
        <v>26.4</v>
      </c>
      <c r="V303" s="105">
        <f t="shared" si="36"/>
        <v>2.6794400000029128</v>
      </c>
      <c r="W303" s="105">
        <f t="shared" si="37"/>
        <v>0</v>
      </c>
      <c r="X303" s="101">
        <f>IF((Sheet1!EX303-Sheet1!EX302)&lt;0,(Sheet1!EX303+100000-Sheet1!EX302)/1000,(Sheet1!EX303-Sheet1!EX302)/1000)</f>
        <v>1.0880000000000001</v>
      </c>
      <c r="Y303" s="106">
        <f ca="1">Calculation!DZ304+Calculation!EI303+'Calculations II'!O303-'Calculations II'!W303</f>
        <v>56.782503226718745</v>
      </c>
      <c r="Z303" s="106">
        <f ca="1">Y303-Sheet1!CP304</f>
        <v>39.572503226718744</v>
      </c>
      <c r="AA303" s="106">
        <f ca="1">Y303+Calculation!CZ304+Calculation!AI304</f>
        <v>66.962071793745736</v>
      </c>
      <c r="AC303" s="106">
        <f>Sheet1!AA303+Sheet1!AB303+BC303</f>
        <v>55.75</v>
      </c>
      <c r="AD303" s="106">
        <f>Sheet1!AA303+Sheet1!BN303+'Calculations II'!BC303-Calculation!AI303-Calculation!CZ303</f>
        <v>35.834047894944177</v>
      </c>
      <c r="AE303" s="106">
        <f>Sheet1!AA303+Sheet1!AB303+'Calculations II'!BC303-Calculation!AI303-Calculation!CZ303</f>
        <v>45.73404789494127</v>
      </c>
      <c r="AF303" s="106">
        <f ca="1">Sheet1!AA303+Sheet1!BN303+P303+'Calculations II'!BC303+Calculation!AI303+Calculation!CZ303</f>
        <v>56.208455331785345</v>
      </c>
      <c r="AG303" s="106">
        <f ca="1">IF(B303=TODAY(),0,Sheet1!AA303+Sheet1!BN303+'Calculations II'!BC303+'Calculations II'!P303-Sheet1!CP303-BP303)</f>
        <v>28.892503226726607</v>
      </c>
      <c r="AH303" s="106">
        <f ca="1">IF(B303=TODAY(),0,Sheet1!AA303+Sheet1!BN303+'Calculations II'!BC303+'Calculations II'!P303-BP303)</f>
        <v>46.192503226726608</v>
      </c>
      <c r="AI303" s="106">
        <f ca="1">IF(B303=TODAY(),0,BC303+Sheet1!AA303+Calculation!EI303+O303+W303+Sheet1!BN303+Calculation!AI303+Calculation!CZ303-BP303)</f>
        <v>56.208455331785345</v>
      </c>
      <c r="AJ303" s="106"/>
      <c r="AM303" s="102">
        <f t="shared" si="38"/>
        <v>40832</v>
      </c>
      <c r="AN303" s="106"/>
      <c r="AO303" s="106"/>
      <c r="AR303" s="106"/>
      <c r="AT303" s="101">
        <f>Sheet1!AR303*GPMtoMGD</f>
        <v>0</v>
      </c>
      <c r="AU303" s="101">
        <f>Sheet1!AS303*GPMtoMGD</f>
        <v>1.584E-2</v>
      </c>
      <c r="AV303" s="101">
        <f>Sheet1!AT303*GPMtoMGD</f>
        <v>0</v>
      </c>
      <c r="AW303" s="101">
        <f>Sheet1!AV303*GPMtoMGD</f>
        <v>0.37195200000000006</v>
      </c>
      <c r="AX303" s="101">
        <f>Sheet1!AW303*GPMtoMGD</f>
        <v>0.58276800000000006</v>
      </c>
      <c r="AY303" s="101">
        <f>Sheet1!AX303*GPMtoMGD</f>
        <v>0</v>
      </c>
      <c r="AZ303" s="101">
        <f>Sheet1!AY303*GPMtoMGD</f>
        <v>0</v>
      </c>
      <c r="BA303" s="101">
        <f>Sheet1!AZ303*GPMtoMGD</f>
        <v>0</v>
      </c>
      <c r="BB303" s="101">
        <f>Sheet1!BP303*GPMtoMGD</f>
        <v>0</v>
      </c>
      <c r="BC303" s="101">
        <f>Sheet1!CO303*GPMtoMGD</f>
        <v>0</v>
      </c>
      <c r="BD303" s="101">
        <f>Sheet1!BO303*GPMtoMGD</f>
        <v>1.4856480000000001</v>
      </c>
      <c r="BE303" s="101">
        <f>Sheet1!BV303*GPMtoMGD</f>
        <v>0.66643200000000002</v>
      </c>
      <c r="BF303" s="101">
        <f>Sheet1!CJ303*GPMtoMGD</f>
        <v>0.333648</v>
      </c>
      <c r="BG303" s="101">
        <f>Sheet1!CK303*GPMtoMGD</f>
        <v>0.618336</v>
      </c>
      <c r="BH303" s="101">
        <f>Sheet1!CL303*GPMtoMGD</f>
        <v>0.78177600000000003</v>
      </c>
      <c r="BI303" s="101">
        <f t="shared" si="39"/>
        <v>1.4856480000000001</v>
      </c>
      <c r="BK303" s="106">
        <f>SUM(AT303:BA303,BE303,Sheet1!BU303,'Calculations II'!BC303,Calculation!AG303)</f>
        <v>43.721039894938357</v>
      </c>
      <c r="BM303" s="439">
        <f ca="1">IF(B303=TODAY(),0,IF(AND(Sheet1!BQ303&lt;=11.5,Sheet1!BQ302&gt;Sheet1!BQ303),(MIN(Lookup!$C$119,VLOOKUP(Sheet1!BQ302,Lookup!$B$4:$J$236,2))-VLOOKUP(Sheet1!BQ303,Lookup!$B$4:$J$236,2))/1000000,0))</f>
        <v>0</v>
      </c>
      <c r="BN303" s="439">
        <f ca="1">IF(B303=TODAY(),0,IF(AND(Sheet1!BR303&lt;=11.5,Sheet1!BR302&gt;Sheet1!BR303),(MIN(Lookup!$D$119,VLOOKUP(Sheet1!BR302,Lookup!$B$4:$J$236,3))-VLOOKUP(Sheet1!BR303,Lookup!$B$4:$J$236,3))/1000000,0))</f>
        <v>0</v>
      </c>
      <c r="BP303" s="105">
        <f ca="1">SUM(BM303:BN303,W303,Sheet1!DT303)</f>
        <v>0</v>
      </c>
    </row>
    <row r="304" spans="1:68" s="101" customFormat="1">
      <c r="A304" s="101" t="s">
        <v>3</v>
      </c>
      <c r="B304" s="103">
        <v>40833</v>
      </c>
      <c r="C304" s="104">
        <v>0.33333333333357601</v>
      </c>
      <c r="E304" s="30"/>
      <c r="F304" s="30">
        <f ca="1">IF(B304=TODAY(),0,-(VLOOKUP(Sheet1!BZ304,Lookup!$I$4:$J$216,2)-VLOOKUP(Sheet1!BZ303,Lookup!$I$4:$J$216,2))/1000000)</f>
        <v>0</v>
      </c>
      <c r="G304" s="106">
        <f ca="1">IF(B304=TODAY(),0,-$G$6*(Sheet1!CB304-Sheet1!CB303)*7.48/1000000)</f>
        <v>0</v>
      </c>
      <c r="H304" s="106">
        <f ca="1">IF(B304=TODAY(),0,-$G$6*(Sheet1!CC304-Sheet1!CC303)*7.48/1000000)</f>
        <v>0</v>
      </c>
      <c r="I304" s="106">
        <f ca="1">IF(B304=TODAY(),0,-$G$6*(Sheet1!CD304-Sheet1!CD303)*7.48/1000000)</f>
        <v>3.9713501052558451E-3</v>
      </c>
      <c r="J304" s="107" t="s">
        <v>193</v>
      </c>
      <c r="K304" s="106">
        <f ca="1">IF(B304=TODAY(),0,-$I$6*(Sheet1!CD304-Sheet1!CD303)*7.48/1000000)</f>
        <v>1.7991508428026666E-3</v>
      </c>
      <c r="L304" s="107" t="s">
        <v>193</v>
      </c>
      <c r="M304" s="106">
        <f ca="1">IF(B304=TODAY(),0,-$M$6*(Sheet1!CE304-Sheet1!CE303)*7.48/1000000)</f>
        <v>0</v>
      </c>
      <c r="N304" s="106">
        <f ca="1">IF(B304=TODAY(),0,-$N$6*(Sheet1!CF304-Sheet1!CF303)*7.48/1000000)</f>
        <v>1.8615703618387873E-2</v>
      </c>
      <c r="O304" s="106">
        <f t="shared" ca="1" si="35"/>
        <v>2.4386204566446384E-2</v>
      </c>
      <c r="P304" s="106">
        <f ca="1">O304+Calculation!EI304</f>
        <v>2.4386204566446384E-2</v>
      </c>
      <c r="Q304" s="101" t="str">
        <f>IF(Sheet1!BQ304&gt;21.75,"spill elevation","-")</f>
        <v>-</v>
      </c>
      <c r="R304" s="101" t="str">
        <f>IF(Sheet1!BR304&gt;21.75,"spill elevation","-")</f>
        <v>-</v>
      </c>
      <c r="S304" s="101" t="str">
        <f>IF(Sheet1!BS304&gt;21.75,"spill elevation","-")</f>
        <v>-</v>
      </c>
      <c r="T304" s="105">
        <f>IF(Sheet1!DQ304=1,Sheet1!AA304-(SUM(AT304:BA304)+BE304),Sheet1!AA304-SUM(AT304:BA304))</f>
        <v>29.372031999993016</v>
      </c>
      <c r="U304" s="105">
        <f>Sheet1!BU304</f>
        <v>28.4</v>
      </c>
      <c r="V304" s="105">
        <f t="shared" si="36"/>
        <v>0.97203199999301759</v>
      </c>
      <c r="W304" s="105">
        <f t="shared" si="37"/>
        <v>0</v>
      </c>
      <c r="X304" s="101">
        <f>IF((Sheet1!EX304-Sheet1!EX303)&lt;0,(Sheet1!EX304+100000-Sheet1!EX303)/1000,(Sheet1!EX304-Sheet1!EX303)/1000)</f>
        <v>1.141</v>
      </c>
      <c r="Y304" s="106">
        <f ca="1">Calculation!DZ305+Calculation!EI304+'Calculations II'!O304-'Calculations II'!W304</f>
        <v>56.954386204566738</v>
      </c>
      <c r="Z304" s="106">
        <f ca="1">Y304-Sheet1!CP305</f>
        <v>40.424386204566737</v>
      </c>
      <c r="AA304" s="106">
        <f ca="1">Y304+Calculation!CZ305+Calculation!AI305</f>
        <v>67.028432926494915</v>
      </c>
      <c r="AC304" s="106">
        <f>Sheet1!AA304+Sheet1!AB304+BC304</f>
        <v>56.439999999995052</v>
      </c>
      <c r="AD304" s="106">
        <f>Sheet1!AA304+Sheet1!BN304+'Calculations II'!BC304-Calculation!AI304-Calculation!CZ304</f>
        <v>36.050431432966022</v>
      </c>
      <c r="AE304" s="106">
        <f>Sheet1!AA304+Sheet1!AB304+'Calculations II'!BC304-Calculation!AI304-Calculation!CZ304</f>
        <v>46.260431432968062</v>
      </c>
      <c r="AF304" s="106">
        <f ca="1">Sheet1!AA304+Sheet1!BN304+P304+'Calculations II'!BC304+Calculation!AI304+Calculation!CZ304</f>
        <v>56.43395477158645</v>
      </c>
      <c r="AG304" s="106">
        <f ca="1">IF(B304=TODAY(),0,Sheet1!AA304+Sheet1!BN304+'Calculations II'!BC304+'Calculations II'!P304-Sheet1!CP304-BP304)</f>
        <v>29.044386204559459</v>
      </c>
      <c r="AH304" s="106">
        <f ca="1">IF(B304=TODAY(),0,Sheet1!AA304+Sheet1!BN304+'Calculations II'!BC304+'Calculations II'!P304-BP304)</f>
        <v>46.254386204559459</v>
      </c>
      <c r="AI304" s="106">
        <f ca="1">IF(B304=TODAY(),0,BC304+Sheet1!AA304+Calculation!EI304+O304+W304+Sheet1!BN304+Calculation!AI304+Calculation!CZ304-BP304)</f>
        <v>56.433954771586457</v>
      </c>
      <c r="AJ304" s="106"/>
      <c r="AM304" s="102">
        <f t="shared" si="38"/>
        <v>40833</v>
      </c>
      <c r="AN304" s="106"/>
      <c r="AO304" s="106"/>
      <c r="AR304" s="106"/>
      <c r="AT304" s="101">
        <f>Sheet1!AR304*GPMtoMGD</f>
        <v>0</v>
      </c>
      <c r="AU304" s="101">
        <f>Sheet1!AS304*GPMtoMGD</f>
        <v>3.0816E-2</v>
      </c>
      <c r="AV304" s="101">
        <f>Sheet1!AT304*GPMtoMGD</f>
        <v>0</v>
      </c>
      <c r="AW304" s="101">
        <f>Sheet1!AV304*GPMtoMGD</f>
        <v>0.20059200000000002</v>
      </c>
      <c r="AX304" s="101">
        <f>Sheet1!AW304*GPMtoMGD</f>
        <v>0.82656000000000007</v>
      </c>
      <c r="AY304" s="101">
        <f>Sheet1!AX304*GPMtoMGD</f>
        <v>0</v>
      </c>
      <c r="AZ304" s="101">
        <f>Sheet1!AY304*GPMtoMGD</f>
        <v>0</v>
      </c>
      <c r="BA304" s="101">
        <f>Sheet1!AZ304*GPMtoMGD</f>
        <v>0</v>
      </c>
      <c r="BB304" s="101">
        <f>Sheet1!BP304*GPMtoMGD</f>
        <v>0</v>
      </c>
      <c r="BC304" s="101">
        <f>Sheet1!CO304*GPMtoMGD</f>
        <v>0</v>
      </c>
      <c r="BD304" s="101">
        <f>Sheet1!BO304*GPMtoMGD</f>
        <v>2.5234560000000004</v>
      </c>
      <c r="BE304" s="101">
        <f>Sheet1!BV304*GPMtoMGD</f>
        <v>0.65880000000000005</v>
      </c>
      <c r="BF304" s="101">
        <f>Sheet1!CJ304*GPMtoMGD</f>
        <v>0.18720000000000001</v>
      </c>
      <c r="BG304" s="101">
        <f>Sheet1!CK304*GPMtoMGD</f>
        <v>0.55915200000000009</v>
      </c>
      <c r="BH304" s="101">
        <f>Sheet1!CL304*GPMtoMGD</f>
        <v>0.83232000000000006</v>
      </c>
      <c r="BI304" s="101">
        <f t="shared" si="39"/>
        <v>2.5234560000000004</v>
      </c>
      <c r="BK304" s="106">
        <f>SUM(AT304:BA304,BE304,Sheet1!BU304,'Calculations II'!BC304,Calculation!AG304)</f>
        <v>45.947199432975047</v>
      </c>
      <c r="BM304" s="439">
        <f ca="1">IF(B304=TODAY(),0,IF(AND(Sheet1!BQ304&lt;=11.5,Sheet1!BQ303&gt;Sheet1!BQ304),(MIN(Lookup!$C$119,VLOOKUP(Sheet1!BQ303,Lookup!$B$4:$J$236,2))-VLOOKUP(Sheet1!BQ304,Lookup!$B$4:$J$236,2))/1000000,0))</f>
        <v>0</v>
      </c>
      <c r="BN304" s="439">
        <f ca="1">IF(B304=TODAY(),0,IF(AND(Sheet1!BR304&lt;=11.5,Sheet1!BR303&gt;Sheet1!BR304),(MIN(Lookup!$D$119,VLOOKUP(Sheet1!BR303,Lookup!$B$4:$J$236,3))-VLOOKUP(Sheet1!BR304,Lookup!$B$4:$J$236,3))/1000000,0))</f>
        <v>0</v>
      </c>
      <c r="BP304" s="105">
        <f ca="1">SUM(BM304:BN304,W304,Sheet1!DT304)</f>
        <v>0</v>
      </c>
    </row>
    <row r="305" spans="1:68" s="101" customFormat="1">
      <c r="A305" s="101" t="s">
        <v>4</v>
      </c>
      <c r="B305" s="103">
        <v>40834</v>
      </c>
      <c r="C305" s="104">
        <v>0.33333333333357601</v>
      </c>
      <c r="E305" s="30"/>
      <c r="F305" s="30">
        <f ca="1">IF(B305=TODAY(),0,-(VLOOKUP(Sheet1!BZ305,Lookup!$I$4:$J$216,2)-VLOOKUP(Sheet1!BZ304,Lookup!$I$4:$J$216,2))/1000000)</f>
        <v>0.10363693854779936</v>
      </c>
      <c r="G305" s="106">
        <f ca="1">IF(B305=TODAY(),0,-$G$6*(Sheet1!CB305-Sheet1!CB304)*7.48/1000000)</f>
        <v>0.3177080084204747</v>
      </c>
      <c r="H305" s="106">
        <f ca="1">IF(B305=TODAY(),0,-$G$6*(Sheet1!CC305-Sheet1!CC304)*7.48/1000000)</f>
        <v>-0.79427002105118594</v>
      </c>
      <c r="I305" s="106">
        <f ca="1">IF(B305=TODAY(),0,-$G$6*(Sheet1!CD305-Sheet1!CD304)*7.48/1000000)</f>
        <v>-0.75455651999862683</v>
      </c>
      <c r="J305" s="107" t="s">
        <v>193</v>
      </c>
      <c r="K305" s="106">
        <f ca="1">IF(B305=TODAY(),0,-$I$6*(Sheet1!CD305-Sheet1!CD304)*7.48/1000000)</f>
        <v>-0.34183866013251396</v>
      </c>
      <c r="L305" s="107" t="s">
        <v>193</v>
      </c>
      <c r="M305" s="106">
        <f ca="1">IF(B305=TODAY(),0,-$M$6*(Sheet1!CE305-Sheet1!CE304)*7.48/1000000)</f>
        <v>-0.14659304823808569</v>
      </c>
      <c r="N305" s="106">
        <f ca="1">IF(B305=TODAY(),0,-$N$6*(Sheet1!CF305-Sheet1!CF304)*7.48/1000000)</f>
        <v>-0.12410469078924848</v>
      </c>
      <c r="O305" s="106">
        <f t="shared" ca="1" si="35"/>
        <v>-1.7400179932413868</v>
      </c>
      <c r="P305" s="106">
        <f ca="1">O305+Calculation!EI305</f>
        <v>-0.68601799324138701</v>
      </c>
      <c r="Q305" s="101" t="str">
        <f>IF(Sheet1!BQ305&gt;21.75,"spill elevation","-")</f>
        <v>-</v>
      </c>
      <c r="R305" s="101" t="str">
        <f>IF(Sheet1!BR305&gt;21.75,"spill elevation","-")</f>
        <v>-</v>
      </c>
      <c r="S305" s="101" t="str">
        <f>IF(Sheet1!BS305&gt;21.75,"spill elevation","-")</f>
        <v>-</v>
      </c>
      <c r="T305" s="105">
        <f>IF(Sheet1!DQ305=1,Sheet1!AA305-(SUM(AT305:BA305)+BE305),Sheet1!AA305-SUM(AT305:BA305))</f>
        <v>28.972464000002912</v>
      </c>
      <c r="U305" s="105">
        <f>Sheet1!BU305</f>
        <v>26.4</v>
      </c>
      <c r="V305" s="105">
        <f t="shared" si="36"/>
        <v>2.5724640000029133</v>
      </c>
      <c r="W305" s="105">
        <f t="shared" si="37"/>
        <v>0</v>
      </c>
      <c r="X305" s="101">
        <f>IF((Sheet1!EX305-Sheet1!EX304)&lt;0,(Sheet1!EX305+100000-Sheet1!EX304)/1000,(Sheet1!EX305-Sheet1!EX304)/1000)</f>
        <v>1.0569999999999999</v>
      </c>
      <c r="Y305" s="106">
        <f ca="1">Calculation!DZ306+Calculation!EI305+'Calculations II'!O305-'Calculations II'!W305</f>
        <v>57.973982006762107</v>
      </c>
      <c r="Z305" s="106">
        <f ca="1">Y305-Sheet1!CP306</f>
        <v>40.803982006762105</v>
      </c>
      <c r="AA305" s="106">
        <f ca="1">Y305+Calculation!CZ306+Calculation!AI306</f>
        <v>68.168103870562646</v>
      </c>
      <c r="AC305" s="106">
        <f>Sheet1!AA305+Sheet1!AB305+BC305</f>
        <v>56.930000000000291</v>
      </c>
      <c r="AD305" s="106">
        <f>Sheet1!AA305+Sheet1!BN305+'Calculations II'!BC305-Calculation!AI305-Calculation!CZ305</f>
        <v>36.725953278074741</v>
      </c>
      <c r="AE305" s="106">
        <f>Sheet1!AA305+Sheet1!AB305+'Calculations II'!BC305-Calculation!AI305-Calculation!CZ305</f>
        <v>46.855953278072121</v>
      </c>
      <c r="AF305" s="106">
        <f ca="1">Sheet1!AA305+Sheet1!BN305+P305+'Calculations II'!BC305+Calculation!AI305+Calculation!CZ305</f>
        <v>56.188028728689702</v>
      </c>
      <c r="AG305" s="106">
        <f ca="1">IF(B305=TODAY(),0,Sheet1!AA305+Sheet1!BN305+'Calculations II'!BC305+'Calculations II'!P305-Sheet1!CP305-BP305)</f>
        <v>29.583982006761524</v>
      </c>
      <c r="AH305" s="106">
        <f ca="1">IF(B305=TODAY(),0,Sheet1!AA305+Sheet1!BN305+'Calculations II'!BC305+'Calculations II'!P305-BP305)</f>
        <v>46.113982006761525</v>
      </c>
      <c r="AI305" s="106">
        <f ca="1">IF(B305=TODAY(),0,BC305+Sheet1!AA305+Calculation!EI305+O305+W305+Sheet1!BN305+Calculation!AI305+Calculation!CZ305-BP305)</f>
        <v>56.188028728689687</v>
      </c>
      <c r="AJ305" s="106"/>
      <c r="AM305" s="102">
        <f t="shared" si="38"/>
        <v>40834</v>
      </c>
      <c r="AN305" s="106"/>
      <c r="AO305" s="106"/>
      <c r="AR305" s="106"/>
      <c r="AT305" s="101">
        <f>Sheet1!AR305*GPMtoMGD</f>
        <v>0</v>
      </c>
      <c r="AU305" s="101">
        <f>Sheet1!AS305*GPMtoMGD</f>
        <v>1.6416E-2</v>
      </c>
      <c r="AV305" s="101">
        <f>Sheet1!AT305*GPMtoMGD</f>
        <v>0</v>
      </c>
      <c r="AW305" s="101">
        <f>Sheet1!AV305*GPMtoMGD</f>
        <v>0.38894400000000007</v>
      </c>
      <c r="AX305" s="101">
        <f>Sheet1!AW305*GPMtoMGD</f>
        <v>0.922176</v>
      </c>
      <c r="AY305" s="101">
        <f>Sheet1!AX305*GPMtoMGD</f>
        <v>0</v>
      </c>
      <c r="AZ305" s="101">
        <f>Sheet1!AY305*GPMtoMGD</f>
        <v>0</v>
      </c>
      <c r="BA305" s="101">
        <f>Sheet1!AZ305*GPMtoMGD</f>
        <v>0</v>
      </c>
      <c r="BB305" s="101">
        <f>Sheet1!BP305*GPMtoMGD</f>
        <v>9.3600000000000003E-2</v>
      </c>
      <c r="BC305" s="101">
        <f>Sheet1!CO305*GPMtoMGD</f>
        <v>0</v>
      </c>
      <c r="BD305" s="101">
        <f>Sheet1!BO305*GPMtoMGD</f>
        <v>1.1566080000000001</v>
      </c>
      <c r="BE305" s="101">
        <f>Sheet1!BV305*GPMtoMGD</f>
        <v>0.8058240000000001</v>
      </c>
      <c r="BF305" s="101">
        <f>Sheet1!CJ305*GPMtoMGD</f>
        <v>0.14702399999999999</v>
      </c>
      <c r="BG305" s="101">
        <f>Sheet1!CK305*GPMtoMGD</f>
        <v>0.55915200000000009</v>
      </c>
      <c r="BH305" s="101">
        <f>Sheet1!CL305*GPMtoMGD</f>
        <v>0.81158400000000008</v>
      </c>
      <c r="BI305" s="101">
        <f t="shared" si="39"/>
        <v>1.250208</v>
      </c>
      <c r="BK305" s="106">
        <f>SUM(AT305:BA305,BE305,Sheet1!BU305,'Calculations II'!BC305,Calculation!AG305)</f>
        <v>45.089313278069206</v>
      </c>
      <c r="BM305" s="439">
        <f ca="1">IF(B305=TODAY(),0,IF(AND(Sheet1!BQ305&lt;=11.5,Sheet1!BQ304&gt;Sheet1!BQ305),(MIN(Lookup!$C$119,VLOOKUP(Sheet1!BQ304,Lookup!$B$4:$J$236,2))-VLOOKUP(Sheet1!BQ305,Lookup!$B$4:$J$236,2))/1000000,0))</f>
        <v>0</v>
      </c>
      <c r="BN305" s="439">
        <f ca="1">IF(B305=TODAY(),0,IF(AND(Sheet1!BR305&lt;=11.5,Sheet1!BR304&gt;Sheet1!BR305),(MIN(Lookup!$D$119,VLOOKUP(Sheet1!BR304,Lookup!$B$4:$J$236,3))-VLOOKUP(Sheet1!BR305,Lookup!$B$4:$J$236,3))/1000000,0))</f>
        <v>0</v>
      </c>
      <c r="BP305" s="105">
        <f ca="1">SUM(BM305:BN305,W305,Sheet1!DT305)</f>
        <v>0</v>
      </c>
    </row>
    <row r="306" spans="1:68" s="101" customFormat="1">
      <c r="A306" s="101" t="s">
        <v>5</v>
      </c>
      <c r="B306" s="103">
        <v>40835</v>
      </c>
      <c r="C306" s="104">
        <v>0.33333333333357601</v>
      </c>
      <c r="E306" s="30"/>
      <c r="F306" s="30">
        <f ca="1">IF(B306=TODAY(),0,-(VLOOKUP(Sheet1!BZ306,Lookup!$I$4:$J$216,2)-VLOOKUP(Sheet1!BZ305,Lookup!$I$4:$J$216,2))/1000000)</f>
        <v>-0.10363693854779936</v>
      </c>
      <c r="G306" s="106">
        <f ca="1">IF(B306=TODAY(),0,-$G$6*(Sheet1!CB306-Sheet1!CB305)*7.48/1000000)</f>
        <v>-0.95312402526142337</v>
      </c>
      <c r="H306" s="106">
        <f ca="1">IF(B306=TODAY(),0,-$G$6*(Sheet1!CC306-Sheet1!CC305)*7.48/1000000)</f>
        <v>0.75455651999862683</v>
      </c>
      <c r="I306" s="106">
        <f ca="1">IF(B306=TODAY(),0,-$G$6*(Sheet1!CD306-Sheet1!CD305)*7.48/1000000)</f>
        <v>0.71484301894606761</v>
      </c>
      <c r="J306" s="107" t="s">
        <v>193</v>
      </c>
      <c r="K306" s="106">
        <f ca="1">IF(B306=TODAY(),0,-$I$6*(Sheet1!CD306-Sheet1!CD305)*7.48/1000000)</f>
        <v>0.32384715170448697</v>
      </c>
      <c r="L306" s="107" t="s">
        <v>193</v>
      </c>
      <c r="M306" s="106">
        <f ca="1">IF(B306=TODAY(),0,-$M$6*(Sheet1!CE306-Sheet1!CE305)*7.48/1000000)</f>
        <v>0.13992972786362717</v>
      </c>
      <c r="N306" s="106">
        <f ca="1">IF(B306=TODAY(),0,-$N$6*(Sheet1!CF306-Sheet1!CF305)*7.48/1000000)</f>
        <v>0.37231407236774428</v>
      </c>
      <c r="O306" s="106">
        <f t="shared" ca="1" si="35"/>
        <v>1.2487295270713301</v>
      </c>
      <c r="P306" s="106">
        <f ca="1">O306+Calculation!EI306</f>
        <v>-2.4536704729286698</v>
      </c>
      <c r="Q306" s="101" t="str">
        <f>IF(Sheet1!BQ306&gt;21.75,"spill elevation","-")</f>
        <v>-</v>
      </c>
      <c r="R306" s="101" t="str">
        <f>IF(Sheet1!BR306&gt;21.75,"spill elevation","-")</f>
        <v>-</v>
      </c>
      <c r="S306" s="101" t="str">
        <f>IF(Sheet1!BS306&gt;21.75,"spill elevation","-")</f>
        <v>-</v>
      </c>
      <c r="T306" s="105">
        <f>IF(Sheet1!DQ306=1,Sheet1!AA306-(SUM(AT306:BA306)+BE306),Sheet1!AA306-SUM(AT306:BA306))</f>
        <v>28.324591999999999</v>
      </c>
      <c r="U306" s="105">
        <f>Sheet1!BU306</f>
        <v>25.7</v>
      </c>
      <c r="V306" s="105">
        <f t="shared" si="36"/>
        <v>2.6245919999999998</v>
      </c>
      <c r="W306" s="105">
        <f t="shared" si="37"/>
        <v>0</v>
      </c>
      <c r="X306" s="101">
        <f>IF((Sheet1!EX306-Sheet1!EX305)&lt;0,(Sheet1!EX306+100000-Sheet1!EX305)/1000,(Sheet1!EX306-Sheet1!EX305)/1000)</f>
        <v>2.254</v>
      </c>
      <c r="Y306" s="106">
        <f ca="1">Calculation!DZ307+Calculation!EI306+'Calculations II'!O306-'Calculations II'!W306</f>
        <v>55.93632952707803</v>
      </c>
      <c r="Z306" s="106">
        <f ca="1">Y306-Sheet1!CP307</f>
        <v>39.166329527078034</v>
      </c>
      <c r="AA306" s="106">
        <f ca="1">Y306+Calculation!CZ307+Calculation!AI307</f>
        <v>66.030424354663495</v>
      </c>
      <c r="AC306" s="106">
        <f>Sheet1!AA306+Sheet1!AB306+BC306</f>
        <v>58.660000000003492</v>
      </c>
      <c r="AD306" s="106">
        <f>Sheet1!AA306+Sheet1!BN306+'Calculations II'!BC306-Calculation!AI306-Calculation!CZ306</f>
        <v>38.105878136199451</v>
      </c>
      <c r="AE306" s="106">
        <f>Sheet1!AA306+Sheet1!AB306+'Calculations II'!BC306-Calculation!AI306-Calculation!CZ306</f>
        <v>48.465878136202946</v>
      </c>
      <c r="AF306" s="106">
        <f ca="1">Sheet1!AA306+Sheet1!BN306+P306+'Calculations II'!BC306+Calculation!AI306+Calculation!CZ306</f>
        <v>56.040451390871873</v>
      </c>
      <c r="AG306" s="106">
        <f ca="1">IF(B306=TODAY(),0,Sheet1!AA306+Sheet1!BN306+'Calculations II'!BC306+'Calculations II'!P306-Sheet1!CP306-BP306)</f>
        <v>28.676329527071324</v>
      </c>
      <c r="AH306" s="106">
        <f ca="1">IF(B306=TODAY(),0,Sheet1!AA306+Sheet1!BN306+'Calculations II'!BC306+'Calculations II'!P306-BP306)</f>
        <v>45.846329527071326</v>
      </c>
      <c r="AI306" s="106">
        <f ca="1">IF(B306=TODAY(),0,BC306+Sheet1!AA306+Calculation!EI306+O306+W306+Sheet1!BN306+Calculation!AI306+Calculation!CZ306-BP306)</f>
        <v>56.04045139087188</v>
      </c>
      <c r="AJ306" s="106"/>
      <c r="AM306" s="102">
        <f t="shared" si="38"/>
        <v>40835</v>
      </c>
      <c r="AN306" s="106"/>
      <c r="AO306" s="106"/>
      <c r="AR306" s="106"/>
      <c r="AT306" s="101">
        <f>Sheet1!AR306*GPMtoMGD</f>
        <v>0</v>
      </c>
      <c r="AU306" s="101">
        <f>Sheet1!AS306*GPMtoMGD</f>
        <v>1.5984000000000002E-2</v>
      </c>
      <c r="AV306" s="101">
        <f>Sheet1!AT306*GPMtoMGD</f>
        <v>0</v>
      </c>
      <c r="AW306" s="101">
        <f>Sheet1!AV306*GPMtoMGD</f>
        <v>0.70848</v>
      </c>
      <c r="AX306" s="101">
        <f>Sheet1!AW306*GPMtoMGD</f>
        <v>1.4509440000000002</v>
      </c>
      <c r="AY306" s="101">
        <f>Sheet1!AX306*GPMtoMGD</f>
        <v>0</v>
      </c>
      <c r="AZ306" s="101">
        <f>Sheet1!AY306*GPMtoMGD</f>
        <v>0</v>
      </c>
      <c r="BA306" s="101">
        <f>Sheet1!AZ306*GPMtoMGD</f>
        <v>0</v>
      </c>
      <c r="BB306" s="101">
        <f>Sheet1!BP306*GPMtoMGD</f>
        <v>0</v>
      </c>
      <c r="BC306" s="101">
        <f>Sheet1!CO306*GPMtoMGD</f>
        <v>0</v>
      </c>
      <c r="BD306" s="101">
        <f>Sheet1!BO306*GPMtoMGD</f>
        <v>2.4144480000000001</v>
      </c>
      <c r="BE306" s="101">
        <f>Sheet1!BV306*GPMtoMGD</f>
        <v>0.71640000000000004</v>
      </c>
      <c r="BF306" s="101">
        <f>Sheet1!CJ306*GPMtoMGD</f>
        <v>0.17985600000000002</v>
      </c>
      <c r="BG306" s="101">
        <f>Sheet1!CK306*GPMtoMGD</f>
        <v>0.56851200000000002</v>
      </c>
      <c r="BH306" s="101">
        <f>Sheet1!CL306*GPMtoMGD</f>
        <v>0.80812800000000007</v>
      </c>
      <c r="BI306" s="101">
        <f t="shared" si="39"/>
        <v>2.4144480000000001</v>
      </c>
      <c r="BK306" s="106">
        <f>SUM(AT306:BA306,BE306,Sheet1!BU306,'Calculations II'!BC306,Calculation!AG306)</f>
        <v>46.557686136202946</v>
      </c>
      <c r="BM306" s="439">
        <f ca="1">IF(B306=TODAY(),0,IF(AND(Sheet1!BQ306&lt;=11.5,Sheet1!BQ305&gt;Sheet1!BQ306),(MIN(Lookup!$C$119,VLOOKUP(Sheet1!BQ305,Lookup!$B$4:$J$236,2))-VLOOKUP(Sheet1!BQ306,Lookup!$B$4:$J$236,2))/1000000,0))</f>
        <v>0</v>
      </c>
      <c r="BN306" s="439">
        <f ca="1">IF(B306=TODAY(),0,IF(AND(Sheet1!BR306&lt;=11.5,Sheet1!BR305&gt;Sheet1!BR306),(MIN(Lookup!$D$119,VLOOKUP(Sheet1!BR305,Lookup!$B$4:$J$236,3))-VLOOKUP(Sheet1!BR306,Lookup!$B$4:$J$236,3))/1000000,0))</f>
        <v>0</v>
      </c>
      <c r="BP306" s="105">
        <f ca="1">SUM(BM306:BN306,W306,Sheet1!DT306)</f>
        <v>0</v>
      </c>
    </row>
    <row r="307" spans="1:68" s="101" customFormat="1">
      <c r="A307" s="101" t="s">
        <v>6</v>
      </c>
      <c r="B307" s="103">
        <v>40836</v>
      </c>
      <c r="C307" s="104">
        <v>0.33333333333357601</v>
      </c>
      <c r="E307" s="30"/>
      <c r="F307" s="30">
        <f ca="1">IF(B307=TODAY(),0,-(VLOOKUP(Sheet1!BZ307,Lookup!$I$4:$J$216,2)-VLOOKUP(Sheet1!BZ306,Lookup!$I$4:$J$216,2))/1000000)</f>
        <v>0.51818469273899681</v>
      </c>
      <c r="G307" s="106">
        <f ca="1">IF(B307=TODAY(),0,-$G$6*(Sheet1!CB307-Sheet1!CB306)*7.48/1000000)</f>
        <v>0.27799450736791548</v>
      </c>
      <c r="H307" s="106">
        <f ca="1">IF(B307=TODAY(),0,-$G$6*(Sheet1!CC307-Sheet1!CC306)*7.48/1000000)</f>
        <v>-0.75455651999862683</v>
      </c>
      <c r="I307" s="106">
        <f ca="1">IF(B307=TODAY(),0,-$G$6*(Sheet1!CD307-Sheet1!CD306)*7.48/1000000)</f>
        <v>-0.71484301894606761</v>
      </c>
      <c r="J307" s="107" t="s">
        <v>193</v>
      </c>
      <c r="K307" s="106">
        <f ca="1">IF(B307=TODAY(),0,-$I$6*(Sheet1!CD307-Sheet1!CD306)*7.48/1000000)</f>
        <v>-0.32384715170448697</v>
      </c>
      <c r="L307" s="107" t="s">
        <v>193</v>
      </c>
      <c r="M307" s="106">
        <f ca="1">IF(B307=TODAY(),0,-$M$6*(Sheet1!CE307-Sheet1!CE306)*7.48/1000000)</f>
        <v>-0.14659304823808569</v>
      </c>
      <c r="N307" s="106">
        <f ca="1">IF(B307=TODAY(),0,-$N$6*(Sheet1!CF307-Sheet1!CF306)*7.48/1000000)</f>
        <v>-0.31026172697311949</v>
      </c>
      <c r="O307" s="106">
        <f t="shared" ca="1" si="35"/>
        <v>-1.4539222657534743</v>
      </c>
      <c r="P307" s="106">
        <f ca="1">O307+Calculation!EI307</f>
        <v>-0.38652226575347415</v>
      </c>
      <c r="Q307" s="101" t="str">
        <f>IF(Sheet1!BQ307&gt;21.75,"spill elevation","-")</f>
        <v>-</v>
      </c>
      <c r="R307" s="101" t="str">
        <f>IF(Sheet1!BR307&gt;21.75,"spill elevation","-")</f>
        <v>-</v>
      </c>
      <c r="S307" s="101" t="str">
        <f>IF(Sheet1!BS307&gt;21.75,"spill elevation","-")</f>
        <v>-</v>
      </c>
      <c r="T307" s="105">
        <f>IF(Sheet1!DQ307=1,Sheet1!AA307-(SUM(AT307:BA307)+BE307),Sheet1!AA307-SUM(AT307:BA307))</f>
        <v>29.126896000008731</v>
      </c>
      <c r="U307" s="105">
        <f>Sheet1!BU307</f>
        <v>24.7</v>
      </c>
      <c r="V307" s="105">
        <f t="shared" si="36"/>
        <v>4.4268960000087318</v>
      </c>
      <c r="W307" s="105">
        <f t="shared" si="37"/>
        <v>0</v>
      </c>
      <c r="X307" s="101">
        <f>IF((Sheet1!EX307-Sheet1!EX306)&lt;0,(Sheet1!EX307+100000-Sheet1!EX306)/1000,(Sheet1!EX307-Sheet1!EX306)/1000)</f>
        <v>1.2170000000000001</v>
      </c>
      <c r="Y307" s="106">
        <f ca="1">Calculation!DZ308+Calculation!EI307+'Calculations II'!O307-'Calculations II'!W307</f>
        <v>57.453477734246526</v>
      </c>
      <c r="Z307" s="106">
        <f ca="1">Y307-Sheet1!CP308</f>
        <v>40.293477734246522</v>
      </c>
      <c r="AA307" s="106">
        <f ca="1">Y307+Calculation!CZ308+Calculation!AI308</f>
        <v>67.139036885630915</v>
      </c>
      <c r="AC307" s="106">
        <f>Sheet1!AA307+Sheet1!AB307+BC307</f>
        <v>58.390000000006694</v>
      </c>
      <c r="AD307" s="106">
        <f>Sheet1!AA307+Sheet1!BN307+'Calculations II'!BC307-Calculation!AI307-Calculation!CZ307</f>
        <v>38.105905172423256</v>
      </c>
      <c r="AE307" s="106">
        <f>Sheet1!AA307+Sheet1!AB307+'Calculations II'!BC307-Calculation!AI307-Calculation!CZ307</f>
        <v>48.295905172421222</v>
      </c>
      <c r="AF307" s="106">
        <f ca="1">Sheet1!AA307+Sheet1!BN307+P307+'Calculations II'!BC307+Calculation!AI307+Calculation!CZ307</f>
        <v>57.907572561840723</v>
      </c>
      <c r="AG307" s="106">
        <f ca="1">IF(B307=TODAY(),0,Sheet1!AA307+Sheet1!BN307+'Calculations II'!BC307+'Calculations II'!P307-Sheet1!CP307-BP307)</f>
        <v>31.043477734255251</v>
      </c>
      <c r="AH307" s="106">
        <f ca="1">IF(B307=TODAY(),0,Sheet1!AA307+Sheet1!BN307+'Calculations II'!BC307+'Calculations II'!P307-BP307)</f>
        <v>47.813477734255251</v>
      </c>
      <c r="AI307" s="106">
        <f ca="1">IF(B307=TODAY(),0,BC307+Sheet1!AA307+Calculation!EI307+O307+W307+Sheet1!BN307+Calculation!AI307+Calculation!CZ307-BP307)</f>
        <v>57.90757256184073</v>
      </c>
      <c r="AJ307" s="106"/>
      <c r="AM307" s="102">
        <f t="shared" si="38"/>
        <v>40836</v>
      </c>
      <c r="AN307" s="106"/>
      <c r="AO307" s="106"/>
      <c r="AR307" s="106"/>
      <c r="AT307" s="101">
        <f>Sheet1!AR307*GPMtoMGD</f>
        <v>0</v>
      </c>
      <c r="AU307" s="101">
        <f>Sheet1!AS307*GPMtoMGD</f>
        <v>1.6128E-2</v>
      </c>
      <c r="AV307" s="101">
        <f>Sheet1!AT307*GPMtoMGD</f>
        <v>0</v>
      </c>
      <c r="AW307" s="101">
        <f>Sheet1!AV307*GPMtoMGD</f>
        <v>0.53582400000000008</v>
      </c>
      <c r="AX307" s="101">
        <f>Sheet1!AW307*GPMtoMGD</f>
        <v>0.72115200000000002</v>
      </c>
      <c r="AY307" s="101">
        <f>Sheet1!AX307*GPMtoMGD</f>
        <v>0</v>
      </c>
      <c r="AZ307" s="101">
        <f>Sheet1!AY307*GPMtoMGD</f>
        <v>0</v>
      </c>
      <c r="BA307" s="101">
        <f>Sheet1!AZ307*GPMtoMGD</f>
        <v>0</v>
      </c>
      <c r="BB307" s="101">
        <f>Sheet1!BP307*GPMtoMGD</f>
        <v>0</v>
      </c>
      <c r="BC307" s="101">
        <f>Sheet1!CO307*GPMtoMGD</f>
        <v>0</v>
      </c>
      <c r="BD307" s="101">
        <f>Sheet1!BO307*GPMtoMGD</f>
        <v>1.1253600000000001</v>
      </c>
      <c r="BE307" s="101">
        <f>Sheet1!BV307*GPMtoMGD</f>
        <v>0.62668800000000002</v>
      </c>
      <c r="BF307" s="101">
        <f>Sheet1!CJ307*GPMtoMGD</f>
        <v>0.23788799999999999</v>
      </c>
      <c r="BG307" s="101">
        <f>Sheet1!CK307*GPMtoMGD</f>
        <v>0.55526400000000009</v>
      </c>
      <c r="BH307" s="101">
        <f>Sheet1!CL307*GPMtoMGD</f>
        <v>0.81028800000000012</v>
      </c>
      <c r="BI307" s="101">
        <f t="shared" si="39"/>
        <v>1.1253600000000001</v>
      </c>
      <c r="BK307" s="106">
        <f>SUM(AT307:BA307,BE307,Sheet1!BU307,'Calculations II'!BC307,Calculation!AG307)</f>
        <v>44.495697172412491</v>
      </c>
      <c r="BM307" s="439">
        <f ca="1">IF(B307=TODAY(),0,IF(AND(Sheet1!BQ307&lt;=11.5,Sheet1!BQ306&gt;Sheet1!BQ307),(MIN(Lookup!$C$119,VLOOKUP(Sheet1!BQ306,Lookup!$B$4:$J$236,2))-VLOOKUP(Sheet1!BQ307,Lookup!$B$4:$J$236,2))/1000000,0))</f>
        <v>0</v>
      </c>
      <c r="BN307" s="439">
        <f ca="1">IF(B307=TODAY(),0,IF(AND(Sheet1!BR307&lt;=11.5,Sheet1!BR306&gt;Sheet1!BR307),(MIN(Lookup!$D$119,VLOOKUP(Sheet1!BR306,Lookup!$B$4:$J$236,3))-VLOOKUP(Sheet1!BR307,Lookup!$B$4:$J$236,3))/1000000,0))</f>
        <v>0</v>
      </c>
      <c r="BP307" s="105">
        <f ca="1">SUM(BM307:BN307,W307,Sheet1!DT307)</f>
        <v>0</v>
      </c>
    </row>
    <row r="308" spans="1:68" s="101" customFormat="1">
      <c r="A308" s="101" t="s">
        <v>7</v>
      </c>
      <c r="B308" s="103">
        <v>40837</v>
      </c>
      <c r="C308" s="104">
        <v>0.33333333333357601</v>
      </c>
      <c r="E308" s="30"/>
      <c r="F308" s="30">
        <f ca="1">IF(B308=TODAY(),0,-(VLOOKUP(Sheet1!BZ308,Lookup!$I$4:$J$216,2)-VLOOKUP(Sheet1!BZ307,Lookup!$I$4:$J$216,2))/1000000)</f>
        <v>-0.41454775419119744</v>
      </c>
      <c r="G308" s="106">
        <f ca="1">IF(B308=TODAY(),0,-$G$6*(Sheet1!CB308-Sheet1!CB307)*7.48/1000000)</f>
        <v>0.27799450736791476</v>
      </c>
      <c r="H308" s="106">
        <f ca="1">IF(B308=TODAY(),0,-$G$6*(Sheet1!CC308-Sheet1!CC307)*7.48/1000000)</f>
        <v>0.95312402526142337</v>
      </c>
      <c r="I308" s="106">
        <f ca="1">IF(B308=TODAY(),0,-$G$6*(Sheet1!CD308-Sheet1!CD307)*7.48/1000000)</f>
        <v>0.91341052420886415</v>
      </c>
      <c r="J308" s="107" t="s">
        <v>193</v>
      </c>
      <c r="K308" s="106">
        <f ca="1">IF(B308=TODAY(),0,-$I$6*(Sheet1!CD308-Sheet1!CD307)*7.48/1000000)</f>
        <v>0.41380469384462221</v>
      </c>
      <c r="L308" s="107" t="s">
        <v>193</v>
      </c>
      <c r="M308" s="106">
        <f ca="1">IF(B308=TODAY(),0,-$M$6*(Sheet1!CE308-Sheet1!CE307)*7.48/1000000)</f>
        <v>0.17990965011037791</v>
      </c>
      <c r="N308" s="106">
        <f ca="1">IF(B308=TODAY(),0,-$N$6*(Sheet1!CF308-Sheet1!CF307)*7.48/1000000)</f>
        <v>-6.2052345394624786E-2</v>
      </c>
      <c r="O308" s="106">
        <f t="shared" ca="1" si="35"/>
        <v>2.2616433012073798</v>
      </c>
      <c r="P308" s="106">
        <f ca="1">O308+Calculation!EI308</f>
        <v>-0.4068566987926201</v>
      </c>
      <c r="Q308" s="101" t="str">
        <f>IF(Sheet1!BQ308&gt;21.75,"spill elevation","-")</f>
        <v>-</v>
      </c>
      <c r="R308" s="101" t="str">
        <f>IF(Sheet1!BR308&gt;21.75,"spill elevation","-")</f>
        <v>-</v>
      </c>
      <c r="S308" s="101" t="str">
        <f>IF(Sheet1!BS308&gt;21.75,"spill elevation","-")</f>
        <v>-</v>
      </c>
      <c r="T308" s="105">
        <f>IF(Sheet1!DQ308=1,Sheet1!AA308-(SUM(AT308:BA308)+BE308),Sheet1!AA308-SUM(AT308:BA308))</f>
        <v>29.468848000000001</v>
      </c>
      <c r="U308" s="105">
        <f>Sheet1!BU308</f>
        <v>24.5</v>
      </c>
      <c r="V308" s="105">
        <f t="shared" si="36"/>
        <v>4.9688480000000013</v>
      </c>
      <c r="W308" s="105">
        <f t="shared" si="37"/>
        <v>0</v>
      </c>
      <c r="X308" s="101">
        <f>IF((Sheet1!EX308-Sheet1!EX307)&lt;0,(Sheet1!EX308+100000-Sheet1!EX307)/1000,(Sheet1!EX308-Sheet1!EX307)/1000)</f>
        <v>1.1579999999999999</v>
      </c>
      <c r="Y308" s="106">
        <f ca="1">Calculation!DZ309+Calculation!EI308+'Calculations II'!O308-'Calculations II'!W308</f>
        <v>57.983143301207377</v>
      </c>
      <c r="Z308" s="106">
        <f ca="1">Y308-Sheet1!CP309</f>
        <v>40.573143301207381</v>
      </c>
      <c r="AA308" s="106">
        <f ca="1">Y308+Calculation!CZ309+Calculation!AI309</f>
        <v>67.15210770250188</v>
      </c>
      <c r="AC308" s="106">
        <f>Sheet1!AA308+Sheet1!AB308+BC308</f>
        <v>57.84</v>
      </c>
      <c r="AD308" s="106">
        <f>Sheet1!AA308+Sheet1!BN308+'Calculations II'!BC308-Calculation!AI308-Calculation!CZ308</f>
        <v>38.514440848615607</v>
      </c>
      <c r="AE308" s="106">
        <f>Sheet1!AA308+Sheet1!AB308+'Calculations II'!BC308-Calculation!AI308-Calculation!CZ308</f>
        <v>48.154440848615607</v>
      </c>
      <c r="AF308" s="106">
        <f ca="1">Sheet1!AA308+Sheet1!BN308+P308+'Calculations II'!BC308+Calculation!AI308+Calculation!CZ308</f>
        <v>57.478702452591776</v>
      </c>
      <c r="AG308" s="106">
        <f ca="1">IF(B308=TODAY(),0,Sheet1!AA308+Sheet1!BN308+'Calculations II'!BC308+'Calculations II'!P308-Sheet1!CP308-BP308)</f>
        <v>30.633143301207379</v>
      </c>
      <c r="AH308" s="106">
        <f ca="1">IF(B308=TODAY(),0,Sheet1!AA308+Sheet1!BN308+'Calculations II'!BC308+'Calculations II'!P308-BP308)</f>
        <v>47.79314330120738</v>
      </c>
      <c r="AI308" s="106">
        <f ca="1">IF(B308=TODAY(),0,BC308+Sheet1!AA308+Calculation!EI308+O308+W308+Sheet1!BN308+Calculation!AI308+Calculation!CZ308-BP308)</f>
        <v>57.478702452591776</v>
      </c>
      <c r="AJ308" s="106"/>
      <c r="AM308" s="102">
        <f t="shared" si="38"/>
        <v>40837</v>
      </c>
      <c r="AN308" s="106"/>
      <c r="AO308" s="106"/>
      <c r="AR308" s="106"/>
      <c r="AT308" s="101">
        <f>Sheet1!AR308*GPMtoMGD</f>
        <v>0</v>
      </c>
      <c r="AU308" s="101">
        <f>Sheet1!AS308*GPMtoMGD</f>
        <v>1.5696000000000002E-2</v>
      </c>
      <c r="AV308" s="101">
        <f>Sheet1!AT308*GPMtoMGD</f>
        <v>0</v>
      </c>
      <c r="AW308" s="101">
        <f>Sheet1!AV308*GPMtoMGD</f>
        <v>0.15249600000000002</v>
      </c>
      <c r="AX308" s="101">
        <f>Sheet1!AW308*GPMtoMGD</f>
        <v>0.46296000000000004</v>
      </c>
      <c r="AY308" s="101">
        <f>Sheet1!AX308*GPMtoMGD</f>
        <v>0</v>
      </c>
      <c r="AZ308" s="101">
        <f>Sheet1!AY308*GPMtoMGD</f>
        <v>0</v>
      </c>
      <c r="BA308" s="101">
        <f>Sheet1!AZ308*GPMtoMGD</f>
        <v>0</v>
      </c>
      <c r="BB308" s="101">
        <f>Sheet1!BP308*GPMtoMGD</f>
        <v>0</v>
      </c>
      <c r="BC308" s="101">
        <f>Sheet1!CO308*GPMtoMGD</f>
        <v>0</v>
      </c>
      <c r="BD308" s="101">
        <f>Sheet1!BO308*GPMtoMGD</f>
        <v>2.0383200000000001</v>
      </c>
      <c r="BE308" s="101">
        <f>Sheet1!BV308*GPMtoMGD</f>
        <v>0.61329599999999995</v>
      </c>
      <c r="BF308" s="101">
        <f>Sheet1!CJ308*GPMtoMGD</f>
        <v>0.116784</v>
      </c>
      <c r="BG308" s="101">
        <f>Sheet1!CK308*GPMtoMGD</f>
        <v>0.5325120000000001</v>
      </c>
      <c r="BH308" s="101">
        <f>Sheet1!CL308*GPMtoMGD</f>
        <v>0.79531200000000002</v>
      </c>
      <c r="BI308" s="101">
        <f t="shared" si="39"/>
        <v>2.0383200000000001</v>
      </c>
      <c r="BK308" s="106">
        <f>SUM(AT308:BA308,BE308,Sheet1!BU308,'Calculations II'!BC308,Calculation!AG308)</f>
        <v>43.798888848615604</v>
      </c>
      <c r="BM308" s="439">
        <f ca="1">IF(B308=TODAY(),0,IF(AND(Sheet1!BQ308&lt;=11.5,Sheet1!BQ307&gt;Sheet1!BQ308),(MIN(Lookup!$C$119,VLOOKUP(Sheet1!BQ307,Lookup!$B$4:$J$236,2))-VLOOKUP(Sheet1!BQ308,Lookup!$B$4:$J$236,2))/1000000,0))</f>
        <v>0</v>
      </c>
      <c r="BN308" s="439">
        <f ca="1">IF(B308=TODAY(),0,IF(AND(Sheet1!BR308&lt;=11.5,Sheet1!BR307&gt;Sheet1!BR308),(MIN(Lookup!$D$119,VLOOKUP(Sheet1!BR307,Lookup!$B$4:$J$236,3))-VLOOKUP(Sheet1!BR308,Lookup!$B$4:$J$236,3))/1000000,0))</f>
        <v>0</v>
      </c>
      <c r="BP308" s="105">
        <f ca="1">SUM(BM308:BN308,W308,Sheet1!DT308)</f>
        <v>0</v>
      </c>
    </row>
    <row r="309" spans="1:68" s="101" customFormat="1">
      <c r="A309" s="101" t="s">
        <v>8</v>
      </c>
      <c r="B309" s="103">
        <v>40838</v>
      </c>
      <c r="C309" s="104">
        <v>0.33333333333357601</v>
      </c>
      <c r="E309" s="30"/>
      <c r="F309" s="30">
        <f ca="1">IF(B309=TODAY(),0,-(VLOOKUP(Sheet1!BZ309,Lookup!$I$4:$J$216,2)-VLOOKUP(Sheet1!BZ308,Lookup!$I$4:$J$216,2))/1000000)</f>
        <v>0.20727387709559872</v>
      </c>
      <c r="G309" s="106">
        <f ca="1">IF(B309=TODAY(),0,-$G$6*(Sheet1!CB309-Sheet1!CB308)*7.48/1000000)</f>
        <v>0.23828100631535562</v>
      </c>
      <c r="H309" s="106">
        <f ca="1">IF(B309=TODAY(),0,-$G$6*(Sheet1!CC309-Sheet1!CC308)*7.48/1000000)</f>
        <v>-0.3574215094730338</v>
      </c>
      <c r="I309" s="106">
        <f ca="1">IF(B309=TODAY(),0,-$G$6*(Sheet1!CD309-Sheet1!CD308)*7.48/1000000)</f>
        <v>-0.39713501052559297</v>
      </c>
      <c r="J309" s="107" t="s">
        <v>193</v>
      </c>
      <c r="K309" s="106">
        <f ca="1">IF(B309=TODAY(),0,-$I$6*(Sheet1!CD309-Sheet1!CD308)*7.48/1000000)</f>
        <v>-0.17991508428027048</v>
      </c>
      <c r="L309" s="107" t="s">
        <v>193</v>
      </c>
      <c r="M309" s="106">
        <f ca="1">IF(B309=TODAY(),0,-$M$6*(Sheet1!CE309-Sheet1!CE308)*7.48/1000000)</f>
        <v>-5.9969883370125883E-2</v>
      </c>
      <c r="N309" s="106">
        <f ca="1">IF(B309=TODAY(),0,-$N$6*(Sheet1!CF309-Sheet1!CF308)*7.48/1000000)</f>
        <v>6.2052345394624786E-2</v>
      </c>
      <c r="O309" s="106">
        <f t="shared" ca="1" si="35"/>
        <v>-0.486834258843444</v>
      </c>
      <c r="P309" s="106">
        <f ca="1">O309+Calculation!EI309</f>
        <v>-4.2363342588434438</v>
      </c>
      <c r="Q309" s="101" t="str">
        <f>IF(Sheet1!BQ309&gt;21.75,"spill elevation","-")</f>
        <v>-</v>
      </c>
      <c r="R309" s="101" t="str">
        <f>IF(Sheet1!BR309&gt;21.75,"spill elevation","-")</f>
        <v>-</v>
      </c>
      <c r="S309" s="101" t="str">
        <f>IF(Sheet1!BS309&gt;21.75,"spill elevation","-")</f>
        <v>-</v>
      </c>
      <c r="T309" s="105">
        <f>IF(Sheet1!DQ309=1,Sheet1!AA309-(SUM(AT309:BA309)+BE309),Sheet1!AA309-SUM(AT309:BA309))</f>
        <v>29.032575999999999</v>
      </c>
      <c r="U309" s="105">
        <f>Sheet1!BU309</f>
        <v>24</v>
      </c>
      <c r="V309" s="105">
        <f t="shared" si="36"/>
        <v>5.0325759999999988</v>
      </c>
      <c r="W309" s="105">
        <f t="shared" si="37"/>
        <v>0</v>
      </c>
      <c r="X309" s="101">
        <f>IF((Sheet1!EX309-Sheet1!EX308)&lt;0,(Sheet1!EX309+100000-Sheet1!EX308)/1000,(Sheet1!EX309-Sheet1!EX308)/1000)</f>
        <v>1.196</v>
      </c>
      <c r="Y309" s="106">
        <f ca="1">Calculation!DZ310+Calculation!EI309+'Calculations II'!O309-'Calculations II'!W309</f>
        <v>41.143665741156553</v>
      </c>
      <c r="Z309" s="106">
        <f ca="1">Y309-Sheet1!CP310</f>
        <v>23.583665741156555</v>
      </c>
      <c r="AA309" s="106">
        <f ca="1">Y309+Calculation!CZ310+Calculation!AI310</f>
        <v>41.143665741156553</v>
      </c>
      <c r="AC309" s="106">
        <f>Sheet1!AA309+Sheet1!AB309+BC309</f>
        <v>58.39</v>
      </c>
      <c r="AD309" s="106">
        <f>Sheet1!AA309+Sheet1!BN309+'Calculations II'!BC309-Calculation!AI309-Calculation!CZ309</f>
        <v>39.931035598705492</v>
      </c>
      <c r="AE309" s="106">
        <f>Sheet1!AA309+Sheet1!AB309+'Calculations II'!BC309-Calculation!AI309-Calculation!CZ309</f>
        <v>49.221035598705498</v>
      </c>
      <c r="AF309" s="106">
        <f ca="1">Sheet1!AA309+Sheet1!BN309+P309+'Calculations II'!BC309+Calculation!AI309+Calculation!CZ309</f>
        <v>54.032630142451055</v>
      </c>
      <c r="AG309" s="106">
        <f ca="1">IF(B309=TODAY(),0,Sheet1!AA309+Sheet1!BN309+'Calculations II'!BC309+'Calculations II'!P309-Sheet1!CP309-BP309)</f>
        <v>27.453665741156552</v>
      </c>
      <c r="AH309" s="106">
        <f ca="1">IF(B309=TODAY(),0,Sheet1!AA309+Sheet1!BN309+'Calculations II'!BC309+'Calculations II'!P309-BP309)</f>
        <v>44.863665741156552</v>
      </c>
      <c r="AI309" s="106">
        <f ca="1">IF(B309=TODAY(),0,BC309+Sheet1!AA309+Calculation!EI309+O309+W309+Sheet1!BN309+Calculation!AI309+Calculation!CZ309-BP309)</f>
        <v>54.032630142451055</v>
      </c>
      <c r="AJ309" s="106"/>
      <c r="AM309" s="102">
        <f t="shared" si="38"/>
        <v>40838</v>
      </c>
      <c r="AN309" s="106"/>
      <c r="AO309" s="106"/>
      <c r="AR309" s="106"/>
      <c r="AT309" s="101">
        <f>Sheet1!AR309*GPMtoMGD</f>
        <v>0</v>
      </c>
      <c r="AU309" s="101">
        <f>Sheet1!AS309*GPMtoMGD</f>
        <v>1.6128E-2</v>
      </c>
      <c r="AV309" s="101">
        <f>Sheet1!AT309*GPMtoMGD</f>
        <v>0</v>
      </c>
      <c r="AW309" s="101">
        <f>Sheet1!AV309*GPMtoMGD</f>
        <v>0.59860800000000003</v>
      </c>
      <c r="AX309" s="101">
        <f>Sheet1!AW309*GPMtoMGD</f>
        <v>0.75268800000000013</v>
      </c>
      <c r="AY309" s="101">
        <f>Sheet1!AX309*GPMtoMGD</f>
        <v>0</v>
      </c>
      <c r="AZ309" s="101">
        <f>Sheet1!AY309*GPMtoMGD</f>
        <v>0</v>
      </c>
      <c r="BA309" s="101">
        <f>Sheet1!AZ309*GPMtoMGD</f>
        <v>0</v>
      </c>
      <c r="BB309" s="101">
        <f>Sheet1!BP309*GPMtoMGD</f>
        <v>0</v>
      </c>
      <c r="BC309" s="101">
        <f>Sheet1!CO309*GPMtoMGD</f>
        <v>0</v>
      </c>
      <c r="BD309" s="101">
        <f>Sheet1!BO309*GPMtoMGD</f>
        <v>2.0813760000000001</v>
      </c>
      <c r="BE309" s="101">
        <f>Sheet1!BV309*GPMtoMGD</f>
        <v>0.64886400000000011</v>
      </c>
      <c r="BF309" s="101">
        <f>Sheet1!CJ309*GPMtoMGD</f>
        <v>0.23486400000000002</v>
      </c>
      <c r="BG309" s="101">
        <f>Sheet1!CK309*GPMtoMGD</f>
        <v>0.55929600000000002</v>
      </c>
      <c r="BH309" s="101">
        <f>Sheet1!CL309*GPMtoMGD</f>
        <v>0.75974400000000009</v>
      </c>
      <c r="BI309" s="101">
        <f t="shared" si="39"/>
        <v>2.0813760000000001</v>
      </c>
      <c r="BK309" s="106">
        <f>SUM(AT309:BA309,BE309,Sheet1!BU309,'Calculations II'!BC309,Calculation!AG309)</f>
        <v>44.837323598705495</v>
      </c>
      <c r="BM309" s="439">
        <f ca="1">IF(B309=TODAY(),0,IF(AND(Sheet1!BQ309&lt;=11.5,Sheet1!BQ308&gt;Sheet1!BQ309),(MIN(Lookup!$C$119,VLOOKUP(Sheet1!BQ308,Lookup!$B$4:$J$236,2))-VLOOKUP(Sheet1!BQ309,Lookup!$B$4:$J$236,2))/1000000,0))</f>
        <v>0</v>
      </c>
      <c r="BN309" s="439">
        <f ca="1">IF(B309=TODAY(),0,IF(AND(Sheet1!BR309&lt;=11.5,Sheet1!BR308&gt;Sheet1!BR309),(MIN(Lookup!$D$119,VLOOKUP(Sheet1!BR308,Lookup!$B$4:$J$236,3))-VLOOKUP(Sheet1!BR309,Lookup!$B$4:$J$236,3))/1000000,0))</f>
        <v>0</v>
      </c>
      <c r="BP309" s="105">
        <f ca="1">SUM(BM309:BN309,W309,Sheet1!DT309)</f>
        <v>0</v>
      </c>
    </row>
    <row r="310" spans="1:68" s="101" customFormat="1">
      <c r="A310" s="101" t="s">
        <v>9</v>
      </c>
      <c r="B310" s="103">
        <v>40839</v>
      </c>
      <c r="C310" s="104">
        <v>0.33333333333357601</v>
      </c>
      <c r="E310" s="30"/>
      <c r="F310" s="30">
        <f ca="1">IF(B310=TODAY(),0,-(VLOOKUP(Sheet1!BZ310,Lookup!$I$4:$J$216,2)-VLOOKUP(Sheet1!BZ309,Lookup!$I$4:$J$216,2))/1000000)</f>
        <v>-0.31091081564339806</v>
      </c>
      <c r="G310" s="106">
        <f ca="1">IF(B310=TODAY(),0,-$G$6*(Sheet1!CB310-Sheet1!CB309)*7.48/1000000)</f>
        <v>0.27799450736791548</v>
      </c>
      <c r="H310" s="106">
        <f ca="1">IF(B310=TODAY(),0,-$G$6*(Sheet1!CC310-Sheet1!CC309)*7.48/1000000)</f>
        <v>-0.19856750526279648</v>
      </c>
      <c r="I310" s="106">
        <f ca="1">IF(B310=TODAY(),0,-$G$6*(Sheet1!CD310-Sheet1!CD309)*7.48/1000000)</f>
        <v>-7.9427002105119021E-2</v>
      </c>
      <c r="J310" s="107" t="s">
        <v>193</v>
      </c>
      <c r="K310" s="106">
        <f ca="1">IF(B310=TODAY(),0,-$I$6*(Sheet1!CD310-Sheet1!CD309)*7.48/1000000)</f>
        <v>-3.5983016856054283E-2</v>
      </c>
      <c r="L310" s="107" t="s">
        <v>193</v>
      </c>
      <c r="M310" s="106">
        <f ca="1">IF(B310=TODAY(),0,-$M$6*(Sheet1!CE310-Sheet1!CE309)*7.48/1000000)</f>
        <v>-6.6633203744584424E-2</v>
      </c>
      <c r="N310" s="106">
        <f ca="1">IF(B310=TODAY(),0,-$N$6*(Sheet1!CF310-Sheet1!CF309)*7.48/1000000)</f>
        <v>-6.2052345394624786E-2</v>
      </c>
      <c r="O310" s="106">
        <f t="shared" ca="1" si="35"/>
        <v>-0.47557938163866154</v>
      </c>
      <c r="P310" s="106">
        <f ca="1">O310+Calculation!EI310</f>
        <v>-3.989579381638662</v>
      </c>
      <c r="Q310" s="101" t="str">
        <f>IF(Sheet1!BQ310&gt;21.75,"spill elevation","-")</f>
        <v>-</v>
      </c>
      <c r="R310" s="101" t="str">
        <f>IF(Sheet1!BR310&gt;21.75,"spill elevation","-")</f>
        <v>-</v>
      </c>
      <c r="S310" s="101" t="str">
        <f>IF(Sheet1!BS310&gt;21.75,"spill elevation","-")</f>
        <v>-</v>
      </c>
      <c r="T310" s="105">
        <f>IF(Sheet1!DQ310=1,Sheet1!AA310-(SUM(AT310:BA310)+BE310),Sheet1!AA310-SUM(AT310:BA310))</f>
        <v>23.605343999999999</v>
      </c>
      <c r="U310" s="105">
        <f>Sheet1!BU310</f>
        <v>22.9</v>
      </c>
      <c r="V310" s="105">
        <f t="shared" si="36"/>
        <v>0.70534400000000019</v>
      </c>
      <c r="W310" s="105">
        <f t="shared" si="37"/>
        <v>0</v>
      </c>
      <c r="X310" s="101">
        <f>IF((Sheet1!EX310-Sheet1!EX309)&lt;0,(Sheet1!EX310+100000-Sheet1!EX309)/1000,(Sheet1!EX310-Sheet1!EX309)/1000)</f>
        <v>0</v>
      </c>
      <c r="Y310" s="106">
        <f ca="1">Calculation!DZ311+Calculation!EI310+'Calculations II'!O310-'Calculations II'!W310</f>
        <v>42.21042061836134</v>
      </c>
      <c r="Z310" s="106">
        <f ca="1">Y310-Sheet1!CP311</f>
        <v>24.770420618361339</v>
      </c>
      <c r="AA310" s="106">
        <f ca="1">Y310+Calculation!CZ311+Calculation!AI311</f>
        <v>42.21042061836134</v>
      </c>
      <c r="AC310" s="106">
        <f>Sheet1!AA310+Sheet1!AB310+BC310</f>
        <v>45.379999999999995</v>
      </c>
      <c r="AD310" s="106">
        <f>Sheet1!AA310+Sheet1!BN310+'Calculations II'!BC310-Calculation!AI310-Calculation!CZ310</f>
        <v>45.099999999999994</v>
      </c>
      <c r="AE310" s="106">
        <f>Sheet1!AA310+Sheet1!AB310+'Calculations II'!BC310-Calculation!AI310-Calculation!CZ310</f>
        <v>45.379999999999995</v>
      </c>
      <c r="AF310" s="106">
        <f ca="1">Sheet1!AA310+Sheet1!BN310+P310+'Calculations II'!BC310+Calculation!AI310+Calculation!CZ310</f>
        <v>41.110420618361331</v>
      </c>
      <c r="AG310" s="106">
        <f ca="1">IF(B310=TODAY(),0,Sheet1!AA310+Sheet1!BN310+'Calculations II'!BC310+'Calculations II'!P310-Sheet1!CP310-BP310)</f>
        <v>23.550420618361333</v>
      </c>
      <c r="AH310" s="106">
        <f ca="1">IF(B310=TODAY(),0,Sheet1!AA310+Sheet1!BN310+'Calculations II'!BC310+'Calculations II'!P310-BP310)</f>
        <v>41.110420618361331</v>
      </c>
      <c r="AI310" s="106">
        <f ca="1">IF(B310=TODAY(),0,BC310+Sheet1!AA310+Calculation!EI310+O310+W310+Sheet1!BN310+Calculation!AI310+Calculation!CZ310-BP310)</f>
        <v>41.110420618361339</v>
      </c>
      <c r="AJ310" s="106"/>
      <c r="AM310" s="102">
        <f t="shared" si="38"/>
        <v>40839</v>
      </c>
      <c r="AN310" s="106"/>
      <c r="AO310" s="106"/>
      <c r="AR310" s="106"/>
      <c r="AT310" s="101">
        <f>Sheet1!AR310*GPMtoMGD</f>
        <v>0</v>
      </c>
      <c r="AU310" s="101">
        <f>Sheet1!AS310*GPMtoMGD</f>
        <v>1.584E-2</v>
      </c>
      <c r="AV310" s="101">
        <f>Sheet1!AT310*GPMtoMGD</f>
        <v>0</v>
      </c>
      <c r="AW310" s="101">
        <f>Sheet1!AV310*GPMtoMGD</f>
        <v>0.23673600000000003</v>
      </c>
      <c r="AX310" s="101">
        <f>Sheet1!AW310*GPMtoMGD</f>
        <v>1.3420800000000002</v>
      </c>
      <c r="AY310" s="101">
        <f>Sheet1!AX310*GPMtoMGD</f>
        <v>0</v>
      </c>
      <c r="AZ310" s="101">
        <f>Sheet1!AY310*GPMtoMGD</f>
        <v>0</v>
      </c>
      <c r="BA310" s="101">
        <f>Sheet1!AZ310*GPMtoMGD</f>
        <v>0</v>
      </c>
      <c r="BB310" s="101">
        <f>Sheet1!BP310*GPMtoMGD</f>
        <v>0</v>
      </c>
      <c r="BC310" s="101">
        <f>Sheet1!CO310*GPMtoMGD</f>
        <v>0</v>
      </c>
      <c r="BD310" s="101">
        <f>Sheet1!BO310*GPMtoMGD</f>
        <v>1.6005600000000002</v>
      </c>
      <c r="BE310" s="101">
        <f>Sheet1!BV310*GPMtoMGD</f>
        <v>0.67104000000000008</v>
      </c>
      <c r="BF310" s="101">
        <f>Sheet1!CJ310*GPMtoMGD</f>
        <v>0.342864</v>
      </c>
      <c r="BG310" s="101">
        <f>Sheet1!CK310*GPMtoMGD</f>
        <v>0.61257600000000001</v>
      </c>
      <c r="BH310" s="101">
        <f>Sheet1!CL310*GPMtoMGD</f>
        <v>0.76175999999999999</v>
      </c>
      <c r="BI310" s="101">
        <f t="shared" si="39"/>
        <v>1.6005600000000002</v>
      </c>
      <c r="BK310" s="106">
        <f>SUM(AT310:BA310,BE310,Sheet1!BU310,'Calculations II'!BC310,Calculation!AG310)</f>
        <v>45.345695999999997</v>
      </c>
      <c r="BM310" s="439">
        <f ca="1">IF(B310=TODAY(),0,IF(AND(Sheet1!BQ310&lt;=11.5,Sheet1!BQ309&gt;Sheet1!BQ310),(MIN(Lookup!$C$119,VLOOKUP(Sheet1!BQ309,Lookup!$B$4:$J$236,2))-VLOOKUP(Sheet1!BQ310,Lookup!$B$4:$J$236,2))/1000000,0))</f>
        <v>0</v>
      </c>
      <c r="BN310" s="439">
        <f ca="1">IF(B310=TODAY(),0,IF(AND(Sheet1!BR310&lt;=11.5,Sheet1!BR309&gt;Sheet1!BR310),(MIN(Lookup!$D$119,VLOOKUP(Sheet1!BR309,Lookup!$B$4:$J$236,3))-VLOOKUP(Sheet1!BR310,Lookup!$B$4:$J$236,3))/1000000,0))</f>
        <v>0</v>
      </c>
      <c r="BP310" s="105">
        <f ca="1">SUM(BM310:BN310,W310,Sheet1!DT310)</f>
        <v>0</v>
      </c>
    </row>
    <row r="311" spans="1:68" s="101" customFormat="1">
      <c r="A311" s="101" t="s">
        <v>3</v>
      </c>
      <c r="B311" s="103">
        <v>40840</v>
      </c>
      <c r="C311" s="104">
        <v>0.33333333333357601</v>
      </c>
      <c r="E311" s="30"/>
      <c r="F311" s="30">
        <f ca="1">IF(B311=TODAY(),0,-(VLOOKUP(Sheet1!BZ311,Lookup!$I$4:$J$216,2)-VLOOKUP(Sheet1!BZ310,Lookup!$I$4:$J$216,2))/1000000)</f>
        <v>0.41454775419119744</v>
      </c>
      <c r="G311" s="106">
        <f ca="1">IF(B311=TODAY(),0,-$G$6*(Sheet1!CB311-Sheet1!CB310)*7.48/1000000)</f>
        <v>-0.47656201263071196</v>
      </c>
      <c r="H311" s="106">
        <f ca="1">IF(B311=TODAY(),0,-$G$6*(Sheet1!CC311-Sheet1!CC310)*7.48/1000000)</f>
        <v>0.23828100631535562</v>
      </c>
      <c r="I311" s="106">
        <f ca="1">IF(B311=TODAY(),0,-$G$6*(Sheet1!CD311-Sheet1!CD310)*7.48/1000000)</f>
        <v>0.11914050315767817</v>
      </c>
      <c r="J311" s="107" t="s">
        <v>193</v>
      </c>
      <c r="K311" s="106">
        <f ca="1">IF(B311=TODAY(),0,-$I$6*(Sheet1!CD311-Sheet1!CD310)*7.48/1000000)</f>
        <v>5.3974525284081275E-2</v>
      </c>
      <c r="L311" s="107" t="s">
        <v>193</v>
      </c>
      <c r="M311" s="106">
        <f ca="1">IF(B311=TODAY(),0,-$M$6*(Sheet1!CE311-Sheet1!CE310)*7.48/1000000)</f>
        <v>7.3296524119042722E-2</v>
      </c>
      <c r="N311" s="106">
        <f ca="1">IF(B311=TODAY(),0,-$N$6*(Sheet1!CF311-Sheet1!CF310)*7.48/1000000)</f>
        <v>0.12410469078924848</v>
      </c>
      <c r="O311" s="106">
        <f t="shared" ca="1" si="35"/>
        <v>0.54678299122589169</v>
      </c>
      <c r="P311" s="106">
        <f ca="1">O311+Calculation!EI311</f>
        <v>1.3582829912258916</v>
      </c>
      <c r="Q311" s="101" t="str">
        <f>IF(Sheet1!BQ311&gt;21.75,"spill elevation","-")</f>
        <v>-</v>
      </c>
      <c r="R311" s="101" t="str">
        <f>IF(Sheet1!BR311&gt;21.75,"spill elevation","-")</f>
        <v>-</v>
      </c>
      <c r="S311" s="101" t="str">
        <f>IF(Sheet1!BS311&gt;21.75,"spill elevation","-")</f>
        <v>-</v>
      </c>
      <c r="T311" s="105">
        <f>IF(Sheet1!DQ311=1,Sheet1!AA311-(SUM(AT311:BA311)+BE311),Sheet1!AA311-SUM(AT311:BA311))</f>
        <v>24.818624</v>
      </c>
      <c r="U311" s="105">
        <f>Sheet1!BU311</f>
        <v>22.3</v>
      </c>
      <c r="V311" s="105">
        <f t="shared" si="36"/>
        <v>2.5186239999999991</v>
      </c>
      <c r="W311" s="105">
        <f t="shared" si="37"/>
        <v>0</v>
      </c>
      <c r="X311" s="101">
        <f>IF((Sheet1!EX311-Sheet1!EX310)&lt;0,(Sheet1!EX311+100000-Sheet1!EX310)/1000,(Sheet1!EX311-Sheet1!EX310)/1000)</f>
        <v>1.165</v>
      </c>
      <c r="Y311" s="106">
        <f ca="1">Calculation!DZ312+Calculation!EI311+'Calculations II'!O311-'Calculations II'!W311</f>
        <v>47.098282991225894</v>
      </c>
      <c r="Z311" s="106">
        <f ca="1">Y311-Sheet1!CP312</f>
        <v>30.268282991225895</v>
      </c>
      <c r="AA311" s="106">
        <f ca="1">Y311+Calculation!CZ312+Calculation!AI312</f>
        <v>47.098282991225894</v>
      </c>
      <c r="AC311" s="106">
        <f>Sheet1!AA311+Sheet1!AB311+BC311</f>
        <v>46.2</v>
      </c>
      <c r="AD311" s="106">
        <f>Sheet1!AA311+Sheet1!BN311+'Calculations II'!BC311-Calculation!AI311-Calculation!CZ311</f>
        <v>45.8</v>
      </c>
      <c r="AE311" s="106">
        <f>Sheet1!AA311+Sheet1!AB311+'Calculations II'!BC311-Calculation!AI311-Calculation!CZ311</f>
        <v>46.2</v>
      </c>
      <c r="AF311" s="106">
        <f ca="1">Sheet1!AA311+Sheet1!BN311+P311+'Calculations II'!BC311+Calculation!AI311+Calculation!CZ311</f>
        <v>47.158282991225889</v>
      </c>
      <c r="AG311" s="106">
        <f ca="1">IF(B311=TODAY(),0,Sheet1!AA311+Sheet1!BN311+'Calculations II'!BC311+'Calculations II'!P311-Sheet1!CP311-BP311)</f>
        <v>29.718282991225887</v>
      </c>
      <c r="AH311" s="106">
        <f ca="1">IF(B311=TODAY(),0,Sheet1!AA311+Sheet1!BN311+'Calculations II'!BC311+'Calculations II'!P311-BP311)</f>
        <v>47.158282991225889</v>
      </c>
      <c r="AI311" s="106">
        <f ca="1">IF(B311=TODAY(),0,BC311+Sheet1!AA311+Calculation!EI311+O311+W311+Sheet1!BN311+Calculation!AI311+Calculation!CZ311-BP311)</f>
        <v>47.158282991225889</v>
      </c>
      <c r="AJ311" s="106"/>
      <c r="AM311" s="102">
        <f t="shared" si="38"/>
        <v>40840</v>
      </c>
      <c r="AN311" s="106"/>
      <c r="AO311" s="106"/>
      <c r="AR311" s="106"/>
      <c r="AT311" s="101">
        <f>Sheet1!AR311*GPMtoMGD</f>
        <v>0</v>
      </c>
      <c r="AU311" s="101">
        <f>Sheet1!AS311*GPMtoMGD</f>
        <v>1.4976000000000001E-2</v>
      </c>
      <c r="AV311" s="101">
        <f>Sheet1!AT311*GPMtoMGD</f>
        <v>0</v>
      </c>
      <c r="AW311" s="101">
        <f>Sheet1!AV311*GPMtoMGD</f>
        <v>0</v>
      </c>
      <c r="AX311" s="101">
        <f>Sheet1!AW311*GPMtoMGD</f>
        <v>1.1664000000000001</v>
      </c>
      <c r="AY311" s="101">
        <f>Sheet1!AX311*GPMtoMGD</f>
        <v>0</v>
      </c>
      <c r="AZ311" s="101">
        <f>Sheet1!AY311*GPMtoMGD</f>
        <v>0</v>
      </c>
      <c r="BA311" s="101">
        <f>Sheet1!AZ311*GPMtoMGD</f>
        <v>0</v>
      </c>
      <c r="BB311" s="101">
        <f>Sheet1!BP311*GPMtoMGD</f>
        <v>0</v>
      </c>
      <c r="BC311" s="101">
        <f>Sheet1!CO311*GPMtoMGD</f>
        <v>0</v>
      </c>
      <c r="BD311" s="101">
        <f>Sheet1!BO311*GPMtoMGD</f>
        <v>2.0371680000000003</v>
      </c>
      <c r="BE311" s="101">
        <f>Sheet1!BV311*GPMtoMGD</f>
        <v>0.64051200000000008</v>
      </c>
      <c r="BF311" s="101">
        <f>Sheet1!CJ311*GPMtoMGD</f>
        <v>0.13622400000000001</v>
      </c>
      <c r="BG311" s="101">
        <f>Sheet1!CK311*GPMtoMGD</f>
        <v>0.54676800000000003</v>
      </c>
      <c r="BH311" s="101">
        <f>Sheet1!CL311*GPMtoMGD</f>
        <v>0.79848000000000008</v>
      </c>
      <c r="BI311" s="101">
        <f t="shared" si="39"/>
        <v>2.0371680000000003</v>
      </c>
      <c r="BK311" s="106">
        <f>SUM(AT311:BA311,BE311,Sheet1!BU311,'Calculations II'!BC311,Calculation!AG311)</f>
        <v>44.321888000000001</v>
      </c>
      <c r="BM311" s="439">
        <f ca="1">IF(B311=TODAY(),0,IF(AND(Sheet1!BQ311&lt;=11.5,Sheet1!BQ310&gt;Sheet1!BQ311),(MIN(Lookup!$C$119,VLOOKUP(Sheet1!BQ310,Lookup!$B$4:$J$236,2))-VLOOKUP(Sheet1!BQ311,Lookup!$B$4:$J$236,2))/1000000,0))</f>
        <v>0</v>
      </c>
      <c r="BN311" s="439">
        <f ca="1">IF(B311=TODAY(),0,IF(AND(Sheet1!BR311&lt;=11.5,Sheet1!BR310&gt;Sheet1!BR311),(MIN(Lookup!$D$119,VLOOKUP(Sheet1!BR310,Lookup!$B$4:$J$236,3))-VLOOKUP(Sheet1!BR311,Lookup!$B$4:$J$236,3))/1000000,0))</f>
        <v>0</v>
      </c>
      <c r="BP311" s="105">
        <f ca="1">SUM(BM311:BN311,W311,Sheet1!DT311)</f>
        <v>0</v>
      </c>
    </row>
    <row r="312" spans="1:68" s="101" customFormat="1">
      <c r="A312" s="101" t="s">
        <v>4</v>
      </c>
      <c r="B312" s="103">
        <v>40841</v>
      </c>
      <c r="C312" s="104">
        <v>0.33333333333357601</v>
      </c>
      <c r="E312" s="30"/>
      <c r="F312" s="30">
        <f ca="1">IF(B312=TODAY(),0,-(VLOOKUP(Sheet1!BZ312,Lookup!$I$4:$J$216,2)-VLOOKUP(Sheet1!BZ311,Lookup!$I$4:$J$216,2))/1000000)</f>
        <v>-0.31091081564339806</v>
      </c>
      <c r="G312" s="106">
        <f ca="1">IF(B312=TODAY(),0,-$G$6*(Sheet1!CB312-Sheet1!CB311)*7.48/1000000)</f>
        <v>0.27799450736791548</v>
      </c>
      <c r="H312" s="106">
        <f ca="1">IF(B312=TODAY(),0,-$G$6*(Sheet1!CC312-Sheet1!CC311)*7.48/1000000)</f>
        <v>-0.59570251578838951</v>
      </c>
      <c r="I312" s="106">
        <f ca="1">IF(B312=TODAY(),0,-$G$6*(Sheet1!CD312-Sheet1!CD311)*7.48/1000000)</f>
        <v>-0.47656201263071196</v>
      </c>
      <c r="J312" s="107" t="s">
        <v>193</v>
      </c>
      <c r="K312" s="106">
        <f ca="1">IF(B312=TODAY(),0,-$I$6*(Sheet1!CD312-Sheet1!CD311)*7.48/1000000)</f>
        <v>-0.21589810113632477</v>
      </c>
      <c r="L312" s="107" t="s">
        <v>193</v>
      </c>
      <c r="M312" s="106">
        <f ca="1">IF(B312=TODAY(),0,-$M$6*(Sheet1!CE312-Sheet1!CE311)*7.48/1000000)</f>
        <v>-0.12660308711471033</v>
      </c>
      <c r="N312" s="106">
        <f ca="1">IF(B312=TODAY(),0,-$N$6*(Sheet1!CF312-Sheet1!CF311)*7.48/1000000)</f>
        <v>0.12410469078924735</v>
      </c>
      <c r="O312" s="106">
        <f t="shared" ca="1" si="35"/>
        <v>-1.3235773341563719</v>
      </c>
      <c r="P312" s="106">
        <f ca="1">O312+Calculation!EI312</f>
        <v>-0.24257733415637195</v>
      </c>
      <c r="Q312" s="101" t="str">
        <f>IF(Sheet1!BQ312&gt;21.75,"spill elevation","-")</f>
        <v>-</v>
      </c>
      <c r="R312" s="101" t="str">
        <f>IF(Sheet1!BR312&gt;21.75,"spill elevation","-")</f>
        <v>-</v>
      </c>
      <c r="S312" s="101" t="str">
        <f>IF(Sheet1!BS312&gt;21.75,"spill elevation","-")</f>
        <v>-</v>
      </c>
      <c r="T312" s="105">
        <f>IF(Sheet1!DQ312=1,Sheet1!AA312-(SUM(AT312:BA312)+BE312),Sheet1!AA312-SUM(AT312:BA312))</f>
        <v>23.449632000000001</v>
      </c>
      <c r="U312" s="105">
        <f>Sheet1!BU312</f>
        <v>22.8</v>
      </c>
      <c r="V312" s="105">
        <f t="shared" si="36"/>
        <v>0.64963200000000043</v>
      </c>
      <c r="W312" s="105">
        <f t="shared" si="37"/>
        <v>0</v>
      </c>
      <c r="X312" s="101">
        <f>IF((Sheet1!EX312-Sheet1!EX311)&lt;0,(Sheet1!EX312+100000-Sheet1!EX311)/1000,(Sheet1!EX312-Sheet1!EX311)/1000)</f>
        <v>1.149</v>
      </c>
      <c r="Y312" s="106">
        <f ca="1">Calculation!DZ313+Calculation!EI312+'Calculations II'!O312-'Calculations II'!W312</f>
        <v>46.057422665839269</v>
      </c>
      <c r="Z312" s="106">
        <f ca="1">Y312-Sheet1!CP313</f>
        <v>29.457422665839267</v>
      </c>
      <c r="AA312" s="106">
        <f ca="1">Y312+Calculation!CZ313+Calculation!AI313</f>
        <v>48.092661239420003</v>
      </c>
      <c r="AC312" s="106">
        <f>Sheet1!AA312+Sheet1!AB312+BC312</f>
        <v>45.74</v>
      </c>
      <c r="AD312" s="106">
        <f>Sheet1!AA312+Sheet1!BN312+'Calculations II'!BC312-Calculation!AI312-Calculation!CZ312</f>
        <v>44.900000000000006</v>
      </c>
      <c r="AE312" s="106">
        <f>Sheet1!AA312+Sheet1!AB312+'Calculations II'!BC312-Calculation!AI312-Calculation!CZ312</f>
        <v>45.74</v>
      </c>
      <c r="AF312" s="106">
        <f ca="1">Sheet1!AA312+Sheet1!BN312+P312+'Calculations II'!BC312+Calculation!AI312+Calculation!CZ312</f>
        <v>44.657422665843633</v>
      </c>
      <c r="AG312" s="106">
        <f ca="1">IF(B312=TODAY(),0,Sheet1!AA312+Sheet1!BN312+'Calculations II'!BC312+'Calculations II'!P312-Sheet1!CP312-BP312)</f>
        <v>27.827422665843635</v>
      </c>
      <c r="AH312" s="106">
        <f ca="1">IF(B312=TODAY(),0,Sheet1!AA312+Sheet1!BN312+'Calculations II'!BC312+'Calculations II'!P312-BP312)</f>
        <v>44.657422665843633</v>
      </c>
      <c r="AI312" s="106">
        <f ca="1">IF(B312=TODAY(),0,BC312+Sheet1!AA312+Calculation!EI312+O312+W312+Sheet1!BN312+Calculation!AI312+Calculation!CZ312-BP312)</f>
        <v>44.657422665843626</v>
      </c>
      <c r="AJ312" s="106"/>
      <c r="AM312" s="102">
        <f t="shared" si="38"/>
        <v>40841</v>
      </c>
      <c r="AN312" s="106"/>
      <c r="AO312" s="106"/>
      <c r="AR312" s="106"/>
      <c r="AT312" s="101">
        <f>Sheet1!AR312*GPMtoMGD</f>
        <v>0</v>
      </c>
      <c r="AU312" s="101">
        <f>Sheet1!AS312*GPMtoMGD</f>
        <v>1.6416E-2</v>
      </c>
      <c r="AV312" s="101">
        <f>Sheet1!AT312*GPMtoMGD</f>
        <v>0</v>
      </c>
      <c r="AW312" s="101">
        <f>Sheet1!AV312*GPMtoMGD</f>
        <v>0</v>
      </c>
      <c r="AX312" s="101">
        <f>Sheet1!AW312*GPMtoMGD</f>
        <v>2.333952</v>
      </c>
      <c r="AY312" s="101">
        <f>Sheet1!AX312*GPMtoMGD</f>
        <v>0</v>
      </c>
      <c r="AZ312" s="101">
        <f>Sheet1!AY312*GPMtoMGD</f>
        <v>0</v>
      </c>
      <c r="BA312" s="101">
        <f>Sheet1!AZ312*GPMtoMGD</f>
        <v>0</v>
      </c>
      <c r="BB312" s="101">
        <f>Sheet1!BP312*GPMtoMGD</f>
        <v>5.04E-2</v>
      </c>
      <c r="BC312" s="101">
        <f>Sheet1!CO312*GPMtoMGD</f>
        <v>0</v>
      </c>
      <c r="BD312" s="101">
        <f>Sheet1!BO312*GPMtoMGD</f>
        <v>2.2183200000000003</v>
      </c>
      <c r="BE312" s="101">
        <f>Sheet1!BV312*GPMtoMGD</f>
        <v>0.63648000000000005</v>
      </c>
      <c r="BF312" s="101">
        <f>Sheet1!CJ312*GPMtoMGD</f>
        <v>0.16084800000000002</v>
      </c>
      <c r="BG312" s="101">
        <f>Sheet1!CK312*GPMtoMGD</f>
        <v>0.53783999999999998</v>
      </c>
      <c r="BH312" s="101">
        <f>Sheet1!CL312*GPMtoMGD</f>
        <v>0.78292800000000007</v>
      </c>
      <c r="BI312" s="101">
        <f t="shared" si="39"/>
        <v>2.2687200000000001</v>
      </c>
      <c r="BK312" s="106">
        <f>SUM(AT312:BA312,BE312,Sheet1!BU312,'Calculations II'!BC312,Calculation!AG312)</f>
        <v>45.726848000000004</v>
      </c>
      <c r="BM312" s="439">
        <f ca="1">IF(B312=TODAY(),0,IF(AND(Sheet1!BQ312&lt;=11.5,Sheet1!BQ311&gt;Sheet1!BQ312),(MIN(Lookup!$C$119,VLOOKUP(Sheet1!BQ311,Lookup!$B$4:$J$236,2))-VLOOKUP(Sheet1!BQ312,Lookup!$B$4:$J$236,2))/1000000,0))</f>
        <v>0</v>
      </c>
      <c r="BN312" s="439">
        <f ca="1">IF(B312=TODAY(),0,IF(AND(Sheet1!BR312&lt;=11.5,Sheet1!BR311&gt;Sheet1!BR312),(MIN(Lookup!$D$119,VLOOKUP(Sheet1!BR311,Lookup!$B$4:$J$236,3))-VLOOKUP(Sheet1!BR312,Lookup!$B$4:$J$236,3))/1000000,0))</f>
        <v>0</v>
      </c>
      <c r="BP312" s="105">
        <f ca="1">SUM(BM312:BN312,W312,Sheet1!DT312)</f>
        <v>0</v>
      </c>
    </row>
    <row r="313" spans="1:68" s="101" customFormat="1">
      <c r="A313" s="101" t="s">
        <v>5</v>
      </c>
      <c r="B313" s="103">
        <v>40842</v>
      </c>
      <c r="C313" s="104">
        <v>0.33333333333357601</v>
      </c>
      <c r="E313" s="30"/>
      <c r="F313" s="30">
        <f ca="1">IF(B313=TODAY(),0,-(VLOOKUP(Sheet1!BZ313,Lookup!$I$4:$J$216,2)-VLOOKUP(Sheet1!BZ312,Lookup!$I$4:$J$216,2))/1000000)</f>
        <v>0.10363693854779936</v>
      </c>
      <c r="G313" s="106">
        <f ca="1">IF(B313=TODAY(),0,-$G$6*(Sheet1!CB313-Sheet1!CB312)*7.48/1000000)</f>
        <v>-0.75455651999862683</v>
      </c>
      <c r="H313" s="106">
        <f ca="1">IF(B313=TODAY(),0,-$G$6*(Sheet1!CC313-Sheet1!CC312)*7.48/1000000)</f>
        <v>0.91341052420886415</v>
      </c>
      <c r="I313" s="106">
        <f ca="1">IF(B313=TODAY(),0,-$G$6*(Sheet1!CD313-Sheet1!CD312)*7.48/1000000)</f>
        <v>0.79427002105118594</v>
      </c>
      <c r="J313" s="107" t="s">
        <v>193</v>
      </c>
      <c r="K313" s="106">
        <f ca="1">IF(B313=TODAY(),0,-$I$6*(Sheet1!CD313-Sheet1!CD312)*7.48/1000000)</f>
        <v>0.35983016856054095</v>
      </c>
      <c r="L313" s="107" t="s">
        <v>193</v>
      </c>
      <c r="M313" s="106">
        <f ca="1">IF(B313=TODAY(),0,-$M$6*(Sheet1!CE313-Sheet1!CE312)*7.48/1000000)</f>
        <v>0.17990965011037791</v>
      </c>
      <c r="N313" s="106">
        <f ca="1">IF(B313=TODAY(),0,-$N$6*(Sheet1!CF313-Sheet1!CF312)*7.48/1000000)</f>
        <v>0.12410469078924848</v>
      </c>
      <c r="O313" s="106">
        <f t="shared" ca="1" si="35"/>
        <v>1.7206054732693898</v>
      </c>
      <c r="P313" s="106">
        <f ca="1">O313+Calculation!EI313</f>
        <v>3.8826054732693898</v>
      </c>
      <c r="Q313" s="101" t="str">
        <f>IF(Sheet1!BQ313&gt;21.75,"spill elevation","-")</f>
        <v>-</v>
      </c>
      <c r="R313" s="101" t="str">
        <f>IF(Sheet1!BR313&gt;21.75,"spill elevation","-")</f>
        <v>-</v>
      </c>
      <c r="S313" s="101" t="str">
        <f>IF(Sheet1!BS313&gt;21.75,"spill elevation","-")</f>
        <v>-</v>
      </c>
      <c r="T313" s="105">
        <f>IF(Sheet1!DQ313=1,Sheet1!AA313-(SUM(AT313:BA313)+BE313),Sheet1!AA313-SUM(AT313:BA313))</f>
        <v>24.59502399999942</v>
      </c>
      <c r="U313" s="105">
        <f>Sheet1!BU313</f>
        <v>23.6</v>
      </c>
      <c r="V313" s="105">
        <f t="shared" si="36"/>
        <v>0.99502399999941815</v>
      </c>
      <c r="W313" s="105">
        <f t="shared" si="37"/>
        <v>0</v>
      </c>
      <c r="X313" s="101">
        <f>IF((Sheet1!EX313-Sheet1!EX312)&lt;0,(Sheet1!EX313+100000-Sheet1!EX312)/1000,(Sheet1!EX313-Sheet1!EX312)/1000)</f>
        <v>1.248</v>
      </c>
      <c r="Y313" s="106">
        <f ca="1">Calculation!DZ314+Calculation!EI313+'Calculations II'!O313-'Calculations II'!W313</f>
        <v>58.042605473258327</v>
      </c>
      <c r="Z313" s="106">
        <f ca="1">Y313-Sheet1!CP314</f>
        <v>41.792605473258327</v>
      </c>
      <c r="AA313" s="106">
        <f ca="1">Y313+Calculation!CZ314+Calculation!AI314</f>
        <v>65.881401048842108</v>
      </c>
      <c r="AC313" s="106">
        <f>Sheet1!AA313+Sheet1!AB313+BC313</f>
        <v>46.299999999995634</v>
      </c>
      <c r="AD313" s="106">
        <f>Sheet1!AA313+Sheet1!BN313+'Calculations II'!BC313-Calculation!AI313-Calculation!CZ313</f>
        <v>42.004761426418682</v>
      </c>
      <c r="AE313" s="106">
        <f>Sheet1!AA313+Sheet1!AB313+'Calculations II'!BC313-Calculation!AI313-Calculation!CZ313</f>
        <v>44.2647614264149</v>
      </c>
      <c r="AF313" s="106">
        <f ca="1">Sheet1!AA313+Sheet1!BN313+P313+'Calculations II'!BC313+Calculation!AI313+Calculation!CZ313</f>
        <v>49.957844046849537</v>
      </c>
      <c r="AG313" s="106">
        <f ca="1">IF(B313=TODAY(),0,Sheet1!AA313+Sheet1!BN313+'Calculations II'!BC313+'Calculations II'!P313-Sheet1!CP313-BP313)</f>
        <v>31.322605473268801</v>
      </c>
      <c r="AH313" s="106">
        <f ca="1">IF(B313=TODAY(),0,Sheet1!AA313+Sheet1!BN313+'Calculations II'!BC313+'Calculations II'!P313-BP313)</f>
        <v>47.922605473268803</v>
      </c>
      <c r="AI313" s="106">
        <f ca="1">IF(B313=TODAY(),0,BC313+Sheet1!AA313+Calculation!EI313+O313+W313+Sheet1!BN313+Calculation!AI313+Calculation!CZ313-BP313)</f>
        <v>49.957844046849537</v>
      </c>
      <c r="AJ313" s="106"/>
      <c r="AM313" s="102">
        <f t="shared" si="38"/>
        <v>40842</v>
      </c>
      <c r="AN313" s="106"/>
      <c r="AO313" s="106"/>
      <c r="AR313" s="106"/>
      <c r="AT313" s="101">
        <f>Sheet1!AR313*GPMtoMGD</f>
        <v>0</v>
      </c>
      <c r="AU313" s="101">
        <f>Sheet1!AS313*GPMtoMGD</f>
        <v>1.5408E-2</v>
      </c>
      <c r="AV313" s="101">
        <f>Sheet1!AT313*GPMtoMGD</f>
        <v>0</v>
      </c>
      <c r="AW313" s="101">
        <f>Sheet1!AV313*GPMtoMGD</f>
        <v>0.584928</v>
      </c>
      <c r="AX313" s="101">
        <f>Sheet1!AW313*GPMtoMGD</f>
        <v>0.94464000000000004</v>
      </c>
      <c r="AY313" s="101">
        <f>Sheet1!AX313*GPMtoMGD</f>
        <v>0</v>
      </c>
      <c r="AZ313" s="101">
        <f>Sheet1!AY313*GPMtoMGD</f>
        <v>0</v>
      </c>
      <c r="BA313" s="101">
        <f>Sheet1!AZ313*GPMtoMGD</f>
        <v>0</v>
      </c>
      <c r="BB313" s="101">
        <f>Sheet1!BP313*GPMtoMGD</f>
        <v>0</v>
      </c>
      <c r="BC313" s="101">
        <f>Sheet1!CO313*GPMtoMGD</f>
        <v>0</v>
      </c>
      <c r="BD313" s="101">
        <f>Sheet1!BO313*GPMtoMGD</f>
        <v>1.10592</v>
      </c>
      <c r="BE313" s="101">
        <f>Sheet1!BV313*GPMtoMGD</f>
        <v>0.62524800000000003</v>
      </c>
      <c r="BF313" s="101">
        <f>Sheet1!CJ313*GPMtoMGD</f>
        <v>0.46612799999999999</v>
      </c>
      <c r="BG313" s="101">
        <f>Sheet1!CK313*GPMtoMGD</f>
        <v>0.53078400000000003</v>
      </c>
      <c r="BH313" s="101">
        <f>Sheet1!CL313*GPMtoMGD</f>
        <v>0.79084800000000011</v>
      </c>
      <c r="BI313" s="101">
        <f t="shared" si="39"/>
        <v>1.10592</v>
      </c>
      <c r="BK313" s="106">
        <f>SUM(AT313:BA313,BE313,Sheet1!BU313,'Calculations II'!BC313,Calculation!AG313)</f>
        <v>43.894985426415488</v>
      </c>
      <c r="BM313" s="439">
        <f ca="1">IF(B313=TODAY(),0,IF(AND(Sheet1!BQ313&lt;=11.5,Sheet1!BQ312&gt;Sheet1!BQ313),(MIN(Lookup!$C$119,VLOOKUP(Sheet1!BQ312,Lookup!$B$4:$J$236,2))-VLOOKUP(Sheet1!BQ313,Lookup!$B$4:$J$236,2))/1000000,0))</f>
        <v>0</v>
      </c>
      <c r="BN313" s="439">
        <f ca="1">IF(B313=TODAY(),0,IF(AND(Sheet1!BR313&lt;=11.5,Sheet1!BR312&gt;Sheet1!BR313),(MIN(Lookup!$D$119,VLOOKUP(Sheet1!BR312,Lookup!$B$4:$J$236,3))-VLOOKUP(Sheet1!BR313,Lookup!$B$4:$J$236,3))/1000000,0))</f>
        <v>0</v>
      </c>
      <c r="BP313" s="105">
        <f ca="1">SUM(BM313:BN313,W313,Sheet1!DT313)</f>
        <v>0</v>
      </c>
    </row>
    <row r="314" spans="1:68" s="101" customFormat="1">
      <c r="A314" s="101" t="s">
        <v>6</v>
      </c>
      <c r="B314" s="103">
        <v>40843</v>
      </c>
      <c r="C314" s="104">
        <v>0.33333333333357601</v>
      </c>
      <c r="E314" s="30"/>
      <c r="F314" s="30">
        <f ca="1">IF(B314=TODAY(),0,-(VLOOKUP(Sheet1!BZ314,Lookup!$I$4:$J$216,2)-VLOOKUP(Sheet1!BZ313,Lookup!$I$4:$J$216,2))/1000000)</f>
        <v>-0.41454775419119744</v>
      </c>
      <c r="G314" s="106">
        <f ca="1">IF(B314=TODAY(),0,-$G$6*(Sheet1!CB314-Sheet1!CB313)*7.48/1000000)</f>
        <v>0.31770800842047398</v>
      </c>
      <c r="H314" s="106">
        <f ca="1">IF(B314=TODAY(),0,-$G$6*(Sheet1!CC314-Sheet1!CC313)*7.48/1000000)</f>
        <v>-0.63541601684094862</v>
      </c>
      <c r="I314" s="106">
        <f ca="1">IF(B314=TODAY(),0,-$G$6*(Sheet1!CD314-Sheet1!CD313)*7.48/1000000)</f>
        <v>-0.63541601684094862</v>
      </c>
      <c r="J314" s="107" t="s">
        <v>193</v>
      </c>
      <c r="K314" s="106">
        <f ca="1">IF(B314=TODAY(),0,-$I$6*(Sheet1!CD314-Sheet1!CD313)*7.48/1000000)</f>
        <v>-0.28786413484843265</v>
      </c>
      <c r="L314" s="107" t="s">
        <v>193</v>
      </c>
      <c r="M314" s="106">
        <f ca="1">IF(B314=TODAY(),0,-$M$6*(Sheet1!CE314-Sheet1!CE313)*7.48/1000000)</f>
        <v>-0.10661312599133493</v>
      </c>
      <c r="N314" s="106">
        <f ca="1">IF(B314=TODAY(),0,-$N$6*(Sheet1!CF314-Sheet1!CF313)*7.48/1000000)</f>
        <v>-0.18615703618387214</v>
      </c>
      <c r="O314" s="106">
        <f t="shared" ca="1" si="35"/>
        <v>-1.9483060764762605</v>
      </c>
      <c r="P314" s="106">
        <f ca="1">O314+Calculation!EI314</f>
        <v>-3.0293060764762605</v>
      </c>
      <c r="Q314" s="101" t="str">
        <f>IF(Sheet1!BQ314&gt;21.75,"spill elevation","-")</f>
        <v>-</v>
      </c>
      <c r="R314" s="101" t="str">
        <f>IF(Sheet1!BR314&gt;21.75,"spill elevation","-")</f>
        <v>-</v>
      </c>
      <c r="S314" s="101" t="str">
        <f>IF(Sheet1!BS314&gt;21.75,"spill elevation","-")</f>
        <v>-</v>
      </c>
      <c r="T314" s="105">
        <f>IF(Sheet1!DQ314=1,Sheet1!AA314-(SUM(AT314:BA314)+BE314),Sheet1!AA314-SUM(AT314:BA314))</f>
        <v>28.81399999998894</v>
      </c>
      <c r="U314" s="105">
        <f>Sheet1!BU314</f>
        <v>24</v>
      </c>
      <c r="V314" s="105">
        <f t="shared" si="36"/>
        <v>4.8139999999889405</v>
      </c>
      <c r="W314" s="105">
        <f t="shared" si="37"/>
        <v>0</v>
      </c>
      <c r="X314" s="101">
        <f>IF((Sheet1!EX314-Sheet1!EX313)&lt;0,(Sheet1!EX314+100000-Sheet1!EX313)/1000,(Sheet1!EX314-Sheet1!EX313)/1000)</f>
        <v>1.242</v>
      </c>
      <c r="Y314" s="106">
        <f ca="1">Calculation!DZ315+Calculation!EI314+'Calculations II'!O314-'Calculations II'!W314</f>
        <v>48.770693923533926</v>
      </c>
      <c r="Z314" s="106">
        <f ca="1">Y314-Sheet1!CP315</f>
        <v>31.700693923533926</v>
      </c>
      <c r="AA314" s="106">
        <f ca="1">Y314+Calculation!CZ315+Calculation!AI315</f>
        <v>53.578639246045974</v>
      </c>
      <c r="AC314" s="106">
        <f>Sheet1!AA314+Sheet1!AB314+BC314</f>
        <v>54.159999999988941</v>
      </c>
      <c r="AD314" s="106">
        <f>Sheet1!AA314+Sheet1!BN314+'Calculations II'!BC314-Calculation!AI314-Calculation!CZ314</f>
        <v>38.421204424405168</v>
      </c>
      <c r="AE314" s="106">
        <f>Sheet1!AA314+Sheet1!AB314+'Calculations II'!BC314-Calculation!AI314-Calculation!CZ314</f>
        <v>46.321204424405167</v>
      </c>
      <c r="AF314" s="106">
        <f ca="1">Sheet1!AA314+Sheet1!BN314+P314+'Calculations II'!BC314+Calculation!AI314+Calculation!CZ314</f>
        <v>51.069489499096456</v>
      </c>
      <c r="AG314" s="106">
        <f ca="1">IF(B314=TODAY(),0,Sheet1!AA314+Sheet1!BN314+'Calculations II'!BC314+'Calculations II'!P314-Sheet1!CP314-BP314)</f>
        <v>26.980693923512682</v>
      </c>
      <c r="AH314" s="106">
        <f ca="1">IF(B314=TODAY(),0,Sheet1!AA314+Sheet1!BN314+'Calculations II'!BC314+'Calculations II'!P314-BP314)</f>
        <v>43.230693923512682</v>
      </c>
      <c r="AI314" s="106">
        <f ca="1">IF(B314=TODAY(),0,BC314+Sheet1!AA314+Calculation!EI314+O314+W314+Sheet1!BN314+Calculation!AI314+Calculation!CZ314-BP314)</f>
        <v>51.069489499096456</v>
      </c>
      <c r="AJ314" s="106"/>
      <c r="AM314" s="102">
        <f t="shared" si="38"/>
        <v>40843</v>
      </c>
      <c r="AN314" s="106"/>
      <c r="AO314" s="106"/>
      <c r="AR314" s="106"/>
      <c r="AT314" s="101">
        <f>Sheet1!AR314*GPMtoMGD</f>
        <v>0</v>
      </c>
      <c r="AU314" s="101">
        <f>Sheet1!AS314*GPMtoMGD</f>
        <v>1.8864000000000002E-2</v>
      </c>
      <c r="AV314" s="101">
        <f>Sheet1!AT314*GPMtoMGD</f>
        <v>0</v>
      </c>
      <c r="AW314" s="101">
        <f>Sheet1!AV314*GPMtoMGD</f>
        <v>0.42264000000000002</v>
      </c>
      <c r="AX314" s="101">
        <f>Sheet1!AW314*GPMtoMGD</f>
        <v>0.40449599999999997</v>
      </c>
      <c r="AY314" s="101">
        <f>Sheet1!AX314*GPMtoMGD</f>
        <v>0</v>
      </c>
      <c r="AZ314" s="101">
        <f>Sheet1!AY314*GPMtoMGD</f>
        <v>0</v>
      </c>
      <c r="BA314" s="101">
        <f>Sheet1!AZ314*GPMtoMGD</f>
        <v>0</v>
      </c>
      <c r="BB314" s="101">
        <f>Sheet1!BP314*GPMtoMGD</f>
        <v>0</v>
      </c>
      <c r="BC314" s="101">
        <f>Sheet1!CO314*GPMtoMGD</f>
        <v>0</v>
      </c>
      <c r="BD314" s="101">
        <f>Sheet1!BO314*GPMtoMGD</f>
        <v>2.2167360000000005</v>
      </c>
      <c r="BE314" s="101">
        <f>Sheet1!BV314*GPMtoMGD</f>
        <v>0.60465599999999997</v>
      </c>
      <c r="BF314" s="101">
        <f>Sheet1!CJ314*GPMtoMGD</f>
        <v>0.45633600000000002</v>
      </c>
      <c r="BG314" s="101">
        <f>Sheet1!CK314*GPMtoMGD</f>
        <v>0.56592000000000009</v>
      </c>
      <c r="BH314" s="101">
        <f>Sheet1!CL314*GPMtoMGD</f>
        <v>0.8029440000000001</v>
      </c>
      <c r="BI314" s="101">
        <f t="shared" si="39"/>
        <v>2.2167360000000005</v>
      </c>
      <c r="BK314" s="106">
        <f>SUM(AT314:BA314,BE314,Sheet1!BU314,'Calculations II'!BC314,Calculation!AG314)</f>
        <v>42.111860424416221</v>
      </c>
      <c r="BM314" s="439">
        <f ca="1">IF(B314=TODAY(),0,IF(AND(Sheet1!BQ314&lt;=11.5,Sheet1!BQ313&gt;Sheet1!BQ314),(MIN(Lookup!$C$119,VLOOKUP(Sheet1!BQ313,Lookup!$B$4:$J$236,2))-VLOOKUP(Sheet1!BQ314,Lookup!$B$4:$J$236,2))/1000000,0))</f>
        <v>0</v>
      </c>
      <c r="BN314" s="439">
        <f ca="1">IF(B314=TODAY(),0,IF(AND(Sheet1!BR314&lt;=11.5,Sheet1!BR313&gt;Sheet1!BR314),(MIN(Lookup!$D$119,VLOOKUP(Sheet1!BR313,Lookup!$B$4:$J$236,3))-VLOOKUP(Sheet1!BR314,Lookup!$B$4:$J$236,3))/1000000,0))</f>
        <v>0</v>
      </c>
      <c r="BP314" s="105">
        <f ca="1">SUM(BM314:BN314,W314,Sheet1!DT314)</f>
        <v>0</v>
      </c>
    </row>
    <row r="315" spans="1:68" s="101" customFormat="1">
      <c r="A315" s="101" t="s">
        <v>7</v>
      </c>
      <c r="B315" s="103">
        <v>40844</v>
      </c>
      <c r="C315" s="104">
        <v>0.33333333333357601</v>
      </c>
      <c r="E315" s="30"/>
      <c r="F315" s="30">
        <f ca="1">IF(B315=TODAY(),0,-(VLOOKUP(Sheet1!BZ315,Lookup!$I$4:$J$216,2)-VLOOKUP(Sheet1!BZ314,Lookup!$I$4:$J$216,2))/1000000)</f>
        <v>0.62182163128679613</v>
      </c>
      <c r="G315" s="106">
        <f ca="1">IF(B315=TODAY(),0,-$G$6*(Sheet1!CB315-Sheet1!CB314)*7.48/1000000)</f>
        <v>0.19856750526279648</v>
      </c>
      <c r="H315" s="106">
        <f ca="1">IF(B315=TODAY(),0,-$G$6*(Sheet1!CC315-Sheet1!CC314)*7.48/1000000)</f>
        <v>0.39713501052559297</v>
      </c>
      <c r="I315" s="106">
        <f ca="1">IF(B315=TODAY(),0,-$G$6*(Sheet1!CD315-Sheet1!CD314)*7.48/1000000)</f>
        <v>0.51627551368327118</v>
      </c>
      <c r="J315" s="107" t="s">
        <v>193</v>
      </c>
      <c r="K315" s="106">
        <f ca="1">IF(B315=TODAY(),0,-$I$6*(Sheet1!CD315-Sheet1!CD314)*7.48/1000000)</f>
        <v>0.23388960956435173</v>
      </c>
      <c r="L315" s="107" t="s">
        <v>193</v>
      </c>
      <c r="M315" s="106">
        <f ca="1">IF(B315=TODAY(),0,-$M$6*(Sheet1!CE315-Sheet1!CE314)*7.48/1000000)</f>
        <v>5.3306562995667349E-2</v>
      </c>
      <c r="N315" s="106">
        <f ca="1">IF(B315=TODAY(),0,-$N$6*(Sheet1!CF315-Sheet1!CF314)*7.48/1000000)</f>
        <v>6.2052345394623676E-2</v>
      </c>
      <c r="O315" s="106">
        <f t="shared" ca="1" si="35"/>
        <v>2.0830481787130992</v>
      </c>
      <c r="P315" s="106">
        <f ca="1">O315+Calculation!EI315</f>
        <v>-1.1604518212869008</v>
      </c>
      <c r="Q315" s="101" t="str">
        <f>IF(Sheet1!BQ315&gt;21.75,"spill elevation","-")</f>
        <v>-</v>
      </c>
      <c r="R315" s="101" t="str">
        <f>IF(Sheet1!BR315&gt;21.75,"spill elevation","-")</f>
        <v>-</v>
      </c>
      <c r="S315" s="101" t="str">
        <f>IF(Sheet1!BS315&gt;21.75,"spill elevation","-")</f>
        <v>-</v>
      </c>
      <c r="T315" s="105">
        <f>IF(Sheet1!DQ315=1,Sheet1!AA315-(SUM(AT315:BA315)+BE315),Sheet1!AA315-SUM(AT315:BA315))</f>
        <v>27.429152000008731</v>
      </c>
      <c r="U315" s="105">
        <f>Sheet1!BU315</f>
        <v>22.3</v>
      </c>
      <c r="V315" s="105">
        <f t="shared" si="36"/>
        <v>5.1291520000087303</v>
      </c>
      <c r="W315" s="105">
        <f t="shared" si="37"/>
        <v>0</v>
      </c>
      <c r="X315" s="101">
        <f>IF((Sheet1!EX315-Sheet1!EX314)&lt;0,(Sheet1!EX315+100000-Sheet1!EX314)/1000,(Sheet1!EX315-Sheet1!EX314)/1000)</f>
        <v>1.2589999999999999</v>
      </c>
      <c r="Y315" s="106">
        <f ca="1">Calculation!DZ316+Calculation!EI315+'Calculations II'!O315-'Calculations II'!W315</f>
        <v>45.739548178714557</v>
      </c>
      <c r="Z315" s="106">
        <f ca="1">Y315-Sheet1!CP316</f>
        <v>28.779548178714556</v>
      </c>
      <c r="AA315" s="106">
        <f ca="1">Y315+Calculation!CZ316+Calculation!AI316</f>
        <v>45.739548178714557</v>
      </c>
      <c r="AC315" s="106">
        <f>Sheet1!AA315+Sheet1!AB315+BC315</f>
        <v>51.800000000010186</v>
      </c>
      <c r="AD315" s="106">
        <f>Sheet1!AA315+Sheet1!BN315+'Calculations II'!BC315-Calculation!AI315-Calculation!CZ315</f>
        <v>42.192054677496685</v>
      </c>
      <c r="AE315" s="106">
        <f>Sheet1!AA315+Sheet1!AB315+'Calculations II'!BC315-Calculation!AI315-Calculation!CZ315</f>
        <v>46.992054677498139</v>
      </c>
      <c r="AF315" s="106">
        <f ca="1">Sheet1!AA315+Sheet1!BN315+P315+'Calculations II'!BC315+Calculation!AI315+Calculation!CZ315</f>
        <v>50.647493501233882</v>
      </c>
      <c r="AG315" s="106">
        <f ca="1">IF(B315=TODAY(),0,Sheet1!AA315+Sheet1!BN315+'Calculations II'!BC315+'Calculations II'!P315-Sheet1!CP315-BP315)</f>
        <v>28.769548178721834</v>
      </c>
      <c r="AH315" s="106">
        <f ca="1">IF(B315=TODAY(),0,Sheet1!AA315+Sheet1!BN315+'Calculations II'!BC315+'Calculations II'!P315-BP315)</f>
        <v>45.839548178721834</v>
      </c>
      <c r="AI315" s="106">
        <f ca="1">IF(B315=TODAY(),0,BC315+Sheet1!AA315+Calculation!EI315+O315+W315+Sheet1!BN315+Calculation!AI315+Calculation!CZ315-BP315)</f>
        <v>50.647493501233875</v>
      </c>
      <c r="AJ315" s="106"/>
      <c r="AM315" s="102">
        <f t="shared" si="38"/>
        <v>40844</v>
      </c>
      <c r="AN315" s="106"/>
      <c r="AO315" s="106"/>
      <c r="AR315" s="106"/>
      <c r="AT315" s="101">
        <f>Sheet1!AR315*GPMtoMGD</f>
        <v>0</v>
      </c>
      <c r="AU315" s="101">
        <f>Sheet1!AS315*GPMtoMGD</f>
        <v>1.5120000000000001E-2</v>
      </c>
      <c r="AV315" s="101">
        <f>Sheet1!AT315*GPMtoMGD</f>
        <v>0</v>
      </c>
      <c r="AW315" s="101">
        <f>Sheet1!AV315*GPMtoMGD</f>
        <v>0.46915200000000007</v>
      </c>
      <c r="AX315" s="101">
        <f>Sheet1!AW315*GPMtoMGD</f>
        <v>0.48657600000000001</v>
      </c>
      <c r="AY315" s="101">
        <f>Sheet1!AX315*GPMtoMGD</f>
        <v>0</v>
      </c>
      <c r="AZ315" s="101">
        <f>Sheet1!AY315*GPMtoMGD</f>
        <v>0</v>
      </c>
      <c r="BA315" s="101">
        <f>Sheet1!AZ315*GPMtoMGD</f>
        <v>0</v>
      </c>
      <c r="BB315" s="101">
        <f>Sheet1!BP315*GPMtoMGD</f>
        <v>0</v>
      </c>
      <c r="BC315" s="101">
        <f>Sheet1!CO315*GPMtoMGD</f>
        <v>0</v>
      </c>
      <c r="BD315" s="101">
        <f>Sheet1!BO315*GPMtoMGD</f>
        <v>1.5327360000000003</v>
      </c>
      <c r="BE315" s="101">
        <f>Sheet1!BV315*GPMtoMGD</f>
        <v>0.86097600000000007</v>
      </c>
      <c r="BF315" s="101">
        <f>Sheet1!CJ315*GPMtoMGD</f>
        <v>0.43776000000000004</v>
      </c>
      <c r="BG315" s="101">
        <f>Sheet1!CK315*GPMtoMGD</f>
        <v>0.52488000000000001</v>
      </c>
      <c r="BH315" s="101">
        <f>Sheet1!CL315*GPMtoMGD</f>
        <v>0.77659199999999995</v>
      </c>
      <c r="BI315" s="101">
        <f t="shared" si="39"/>
        <v>1.5327360000000003</v>
      </c>
      <c r="BK315" s="106">
        <f>SUM(AT315:BA315,BE315,Sheet1!BU315,'Calculations II'!BC315,Calculation!AG315)</f>
        <v>42.723878677489409</v>
      </c>
      <c r="BM315" s="439">
        <f ca="1">IF(B315=TODAY(),0,IF(AND(Sheet1!BQ315&lt;=11.5,Sheet1!BQ314&gt;Sheet1!BQ315),(MIN(Lookup!$C$119,VLOOKUP(Sheet1!BQ314,Lookup!$B$4:$J$236,2))-VLOOKUP(Sheet1!BQ315,Lookup!$B$4:$J$236,2))/1000000,0))</f>
        <v>0</v>
      </c>
      <c r="BN315" s="439">
        <f ca="1">IF(B315=TODAY(),0,IF(AND(Sheet1!BR315&lt;=11.5,Sheet1!BR314&gt;Sheet1!BR315),(MIN(Lookup!$D$119,VLOOKUP(Sheet1!BR314,Lookup!$B$4:$J$236,3))-VLOOKUP(Sheet1!BR315,Lookup!$B$4:$J$236,3))/1000000,0))</f>
        <v>0</v>
      </c>
      <c r="BP315" s="105">
        <f ca="1">SUM(BM315:BN315,W315,Sheet1!DT315)</f>
        <v>0</v>
      </c>
    </row>
    <row r="316" spans="1:68" s="101" customFormat="1">
      <c r="A316" s="101" t="s">
        <v>8</v>
      </c>
      <c r="B316" s="103">
        <v>40845</v>
      </c>
      <c r="C316" s="104">
        <v>0.33333333333357601</v>
      </c>
      <c r="E316" s="30"/>
      <c r="F316" s="30">
        <f ca="1">IF(B316=TODAY(),0,-(VLOOKUP(Sheet1!BZ316,Lookup!$I$4:$J$216,2)-VLOOKUP(Sheet1!BZ315,Lookup!$I$4:$J$216,2))/1000000)</f>
        <v>-0.51818469273899681</v>
      </c>
      <c r="G316" s="106">
        <f ca="1">IF(B316=TODAY(),0,-$G$6*(Sheet1!CB316-Sheet1!CB315)*7.48/1000000)</f>
        <v>0.3177080084204747</v>
      </c>
      <c r="H316" s="106">
        <f ca="1">IF(B316=TODAY(),0,-$G$6*(Sheet1!CC316-Sheet1!CC315)*7.48/1000000)</f>
        <v>7.9427002105118313E-2</v>
      </c>
      <c r="I316" s="106">
        <f ca="1">IF(B316=TODAY(),0,-$G$6*(Sheet1!CD316-Sheet1!CD315)*7.48/1000000)</f>
        <v>0</v>
      </c>
      <c r="J316" s="107" t="s">
        <v>193</v>
      </c>
      <c r="K316" s="106">
        <f ca="1">IF(B316=TODAY(),0,-$I$6*(Sheet1!CD316-Sheet1!CD315)*7.48/1000000)</f>
        <v>0</v>
      </c>
      <c r="L316" s="107" t="s">
        <v>193</v>
      </c>
      <c r="M316" s="106">
        <f ca="1">IF(B316=TODAY(),0,-$M$6*(Sheet1!CE316-Sheet1!CE315)*7.48/1000000)</f>
        <v>2.6653281497833907E-2</v>
      </c>
      <c r="N316" s="106">
        <f ca="1">IF(B316=TODAY(),0,-$N$6*(Sheet1!CF316-Sheet1!CF315)*7.48/1000000)</f>
        <v>-0.12410469078924735</v>
      </c>
      <c r="O316" s="106">
        <f t="shared" ca="1" si="35"/>
        <v>-0.21850109150481722</v>
      </c>
      <c r="P316" s="106">
        <f ca="1">O316+Calculation!EI316</f>
        <v>-1.3057010915048171</v>
      </c>
      <c r="Q316" s="101" t="str">
        <f>IF(Sheet1!BQ316&gt;21.75,"spill elevation","-")</f>
        <v>-</v>
      </c>
      <c r="R316" s="101" t="str">
        <f>IF(Sheet1!BR316&gt;21.75,"spill elevation","-")</f>
        <v>-</v>
      </c>
      <c r="S316" s="101" t="str">
        <f>IF(Sheet1!BS316&gt;21.75,"spill elevation","-")</f>
        <v>-</v>
      </c>
      <c r="T316" s="105">
        <f>IF(Sheet1!DQ316=1,Sheet1!AA316-(SUM(AT316:BA316)+BE316),Sheet1!AA316-SUM(AT316:BA316))</f>
        <v>25.493327999999998</v>
      </c>
      <c r="U316" s="105">
        <f>Sheet1!BU316</f>
        <v>21.7</v>
      </c>
      <c r="V316" s="105">
        <f t="shared" si="36"/>
        <v>3.7933279999999989</v>
      </c>
      <c r="W316" s="105">
        <f t="shared" si="37"/>
        <v>0</v>
      </c>
      <c r="X316" s="101">
        <f>IF((Sheet1!EX316-Sheet1!EX315)&lt;0,(Sheet1!EX316+100000-Sheet1!EX315)/1000,(Sheet1!EX316-Sheet1!EX315)/1000)</f>
        <v>1.254</v>
      </c>
      <c r="Y316" s="106">
        <f ca="1">Calculation!DZ317+Calculation!EI316+'Calculations II'!O316-'Calculations II'!W316</f>
        <v>45.744298908483536</v>
      </c>
      <c r="Z316" s="106">
        <f ca="1">Y316-Sheet1!CP317</f>
        <v>29.004298908483538</v>
      </c>
      <c r="AA316" s="106">
        <f ca="1">Y316+Calculation!CZ317+Calculation!AI317</f>
        <v>45.744298908483536</v>
      </c>
      <c r="AC316" s="106">
        <f>Sheet1!AA316+Sheet1!AB316+BC316</f>
        <v>46.900000000001455</v>
      </c>
      <c r="AD316" s="106">
        <f>Sheet1!AA316+Sheet1!BN316+'Calculations II'!BC316-Calculation!AI316-Calculation!CZ316</f>
        <v>46.7</v>
      </c>
      <c r="AE316" s="106">
        <f>Sheet1!AA316+Sheet1!AB316+'Calculations II'!BC316-Calculation!AI316-Calculation!CZ316</f>
        <v>46.900000000001455</v>
      </c>
      <c r="AF316" s="106">
        <f ca="1">Sheet1!AA316+Sheet1!BN316+P316+'Calculations II'!BC316+Calculation!AI316+Calculation!CZ316</f>
        <v>45.394298908495188</v>
      </c>
      <c r="AG316" s="106">
        <f ca="1">IF(B316=TODAY(),0,Sheet1!AA316+Sheet1!BN316+'Calculations II'!BC316+'Calculations II'!P316-Sheet1!CP316-BP316)</f>
        <v>28.434298908495187</v>
      </c>
      <c r="AH316" s="106">
        <f ca="1">IF(B316=TODAY(),0,Sheet1!AA316+Sheet1!BN316+'Calculations II'!BC316+'Calculations II'!P316-BP316)</f>
        <v>45.394298908495188</v>
      </c>
      <c r="AI316" s="106">
        <f ca="1">IF(B316=TODAY(),0,BC316+Sheet1!AA316+Calculation!EI316+O316+W316+Sheet1!BN316+Calculation!AI316+Calculation!CZ316-BP316)</f>
        <v>45.394298908495188</v>
      </c>
      <c r="AJ316" s="106"/>
      <c r="AM316" s="102">
        <f t="shared" si="38"/>
        <v>40845</v>
      </c>
      <c r="AN316" s="106"/>
      <c r="AO316" s="106"/>
      <c r="AR316" s="106"/>
      <c r="AT316" s="101">
        <f>Sheet1!AR316*GPMtoMGD</f>
        <v>0</v>
      </c>
      <c r="AU316" s="101">
        <f>Sheet1!AS316*GPMtoMGD</f>
        <v>2.9952000000000003E-2</v>
      </c>
      <c r="AV316" s="101">
        <f>Sheet1!AT316*GPMtoMGD</f>
        <v>0</v>
      </c>
      <c r="AW316" s="101">
        <f>Sheet1!AV316*GPMtoMGD</f>
        <v>0.68817600000000001</v>
      </c>
      <c r="AX316" s="101">
        <f>Sheet1!AW316*GPMtoMGD</f>
        <v>0.78854400000000013</v>
      </c>
      <c r="AY316" s="101">
        <f>Sheet1!AX316*GPMtoMGD</f>
        <v>0</v>
      </c>
      <c r="AZ316" s="101">
        <f>Sheet1!AY316*GPMtoMGD</f>
        <v>0</v>
      </c>
      <c r="BA316" s="101">
        <f>Sheet1!AZ316*GPMtoMGD</f>
        <v>0</v>
      </c>
      <c r="BB316" s="101">
        <f>Sheet1!BP316*GPMtoMGD</f>
        <v>0</v>
      </c>
      <c r="BC316" s="101">
        <f>Sheet1!CO316*GPMtoMGD</f>
        <v>0</v>
      </c>
      <c r="BD316" s="101">
        <f>Sheet1!BO316*GPMtoMGD</f>
        <v>1.877184</v>
      </c>
      <c r="BE316" s="101">
        <f>Sheet1!BV316*GPMtoMGD</f>
        <v>0.63777600000000001</v>
      </c>
      <c r="BF316" s="101">
        <f>Sheet1!CJ316*GPMtoMGD</f>
        <v>0.50889600000000002</v>
      </c>
      <c r="BG316" s="101">
        <f>Sheet1!CK316*GPMtoMGD</f>
        <v>0.56750400000000012</v>
      </c>
      <c r="BH316" s="101">
        <f>Sheet1!CL316*GPMtoMGD</f>
        <v>0.83160000000000001</v>
      </c>
      <c r="BI316" s="101">
        <f t="shared" si="39"/>
        <v>1.877184</v>
      </c>
      <c r="BK316" s="106">
        <f>SUM(AT316:BA316,BE316,Sheet1!BU316,'Calculations II'!BC316,Calculation!AG316)</f>
        <v>43.744448000001455</v>
      </c>
      <c r="BM316" s="439">
        <f ca="1">IF(B316=TODAY(),0,IF(AND(Sheet1!BQ316&lt;=11.5,Sheet1!BQ315&gt;Sheet1!BQ316),(MIN(Lookup!$C$119,VLOOKUP(Sheet1!BQ315,Lookup!$B$4:$J$236,2))-VLOOKUP(Sheet1!BQ316,Lookup!$B$4:$J$236,2))/1000000,0))</f>
        <v>0</v>
      </c>
      <c r="BN316" s="439">
        <f ca="1">IF(B316=TODAY(),0,IF(AND(Sheet1!BR316&lt;=11.5,Sheet1!BR315&gt;Sheet1!BR316),(MIN(Lookup!$D$119,VLOOKUP(Sheet1!BR315,Lookup!$B$4:$J$236,3))-VLOOKUP(Sheet1!BR316,Lookup!$B$4:$J$236,3))/1000000,0))</f>
        <v>0</v>
      </c>
      <c r="BP316" s="105">
        <f ca="1">SUM(BM316:BN316,W316,Sheet1!DT316)</f>
        <v>0</v>
      </c>
    </row>
    <row r="317" spans="1:68" s="101" customFormat="1">
      <c r="A317" s="101" t="s">
        <v>9</v>
      </c>
      <c r="B317" s="103">
        <v>40846</v>
      </c>
      <c r="C317" s="104">
        <v>0.33333333333357601</v>
      </c>
      <c r="E317" s="30"/>
      <c r="F317" s="30">
        <f ca="1">IF(B317=TODAY(),0,-(VLOOKUP(Sheet1!BZ317,Lookup!$I$4:$J$216,2)-VLOOKUP(Sheet1!BZ316,Lookup!$I$4:$J$216,2))/1000000)</f>
        <v>0.10363693854779936</v>
      </c>
      <c r="G317" s="106">
        <f ca="1">IF(B317=TODAY(),0,-$G$6*(Sheet1!CB317-Sheet1!CB316)*7.48/1000000)</f>
        <v>-0.71484301894606761</v>
      </c>
      <c r="H317" s="106">
        <f ca="1">IF(B317=TODAY(),0,-$G$6*(Sheet1!CC317-Sheet1!CC316)*7.48/1000000)</f>
        <v>-0.19856750526279648</v>
      </c>
      <c r="I317" s="106">
        <f ca="1">IF(B317=TODAY(),0,-$G$6*(Sheet1!CD317-Sheet1!CD316)*7.48/1000000)</f>
        <v>-0.23828100631535562</v>
      </c>
      <c r="J317" s="107" t="s">
        <v>193</v>
      </c>
      <c r="K317" s="106">
        <f ca="1">IF(B317=TODAY(),0,-$I$6*(Sheet1!CD317-Sheet1!CD316)*7.48/1000000)</f>
        <v>-0.10794905056816222</v>
      </c>
      <c r="L317" s="107" t="s">
        <v>193</v>
      </c>
      <c r="M317" s="106">
        <f ca="1">IF(B317=TODAY(),0,-$M$6*(Sheet1!CE317-Sheet1!CE316)*7.48/1000000)</f>
        <v>-3.3316601872292212E-2</v>
      </c>
      <c r="N317" s="106">
        <f ca="1">IF(B317=TODAY(),0,-$N$6*(Sheet1!CF317-Sheet1!CF316)*7.48/1000000)</f>
        <v>0.12410469078924735</v>
      </c>
      <c r="O317" s="106">
        <f t="shared" ca="1" si="35"/>
        <v>-1.0652155536276273</v>
      </c>
      <c r="P317" s="106">
        <f ca="1">O317+Calculation!EI317</f>
        <v>-2.706815553627627</v>
      </c>
      <c r="Q317" s="101" t="str">
        <f>IF(Sheet1!BQ317&gt;21.75,"spill elevation","-")</f>
        <v>-</v>
      </c>
      <c r="R317" s="101" t="str">
        <f>IF(Sheet1!BR317&gt;21.75,"spill elevation","-")</f>
        <v>-</v>
      </c>
      <c r="S317" s="101" t="str">
        <f>IF(Sheet1!BS317&gt;21.75,"spill elevation","-")</f>
        <v>-</v>
      </c>
      <c r="T317" s="105">
        <f>IF(Sheet1!DQ317=1,Sheet1!AA317-(SUM(AT317:BA317)+BE317),Sheet1!AA317-SUM(AT317:BA317))</f>
        <v>25.630767999991267</v>
      </c>
      <c r="U317" s="105">
        <f>Sheet1!BU317</f>
        <v>21.5</v>
      </c>
      <c r="V317" s="105">
        <f t="shared" si="36"/>
        <v>4.1307679999912672</v>
      </c>
      <c r="W317" s="105">
        <f t="shared" si="37"/>
        <v>0</v>
      </c>
      <c r="X317" s="101">
        <f>IF((Sheet1!EX317-Sheet1!EX316)&lt;0,(Sheet1!EX317+100000-Sheet1!EX316)/1000,(Sheet1!EX317-Sheet1!EX316)/1000)</f>
        <v>1.2749999999999999</v>
      </c>
      <c r="Y317" s="106">
        <f ca="1">Calculation!DZ318+Calculation!EI317+'Calculations II'!O317-'Calculations II'!W317</f>
        <v>43.053184446372384</v>
      </c>
      <c r="Z317" s="106">
        <f ca="1">Y317-Sheet1!CP318</f>
        <v>26.513184446372385</v>
      </c>
      <c r="AA317" s="106">
        <f ca="1">Y317+Calculation!CZ318+Calculation!AI318</f>
        <v>43.053184446372384</v>
      </c>
      <c r="AC317" s="106">
        <f>Sheet1!AA317+Sheet1!AB317+BC317</f>
        <v>47.049999999988358</v>
      </c>
      <c r="AD317" s="106">
        <f>Sheet1!AA317+Sheet1!BN317+'Calculations II'!BC317-Calculation!AI317-Calculation!CZ317</f>
        <v>46.899999999991266</v>
      </c>
      <c r="AE317" s="106">
        <f>Sheet1!AA317+Sheet1!AB317+'Calculations II'!BC317-Calculation!AI317-Calculation!CZ317</f>
        <v>47.049999999988358</v>
      </c>
      <c r="AF317" s="106">
        <f ca="1">Sheet1!AA317+Sheet1!BN317+P317+'Calculations II'!BC317+Calculation!AI317+Calculation!CZ317</f>
        <v>44.193184446363638</v>
      </c>
      <c r="AG317" s="106">
        <f ca="1">IF(B317=TODAY(),0,Sheet1!AA317+Sheet1!BN317+'Calculations II'!BC317+'Calculations II'!P317-Sheet1!CP317-BP317)</f>
        <v>27.45318444636364</v>
      </c>
      <c r="AH317" s="106">
        <f ca="1">IF(B317=TODAY(),0,Sheet1!AA317+Sheet1!BN317+'Calculations II'!BC317+'Calculations II'!P317-BP317)</f>
        <v>44.193184446363638</v>
      </c>
      <c r="AI317" s="106">
        <f ca="1">IF(B317=TODAY(),0,BC317+Sheet1!AA317+Calculation!EI317+O317+W317+Sheet1!BN317+Calculation!AI317+Calculation!CZ317-BP317)</f>
        <v>44.193184446363645</v>
      </c>
      <c r="AJ317" s="106"/>
      <c r="AM317" s="102">
        <f t="shared" si="38"/>
        <v>40846</v>
      </c>
      <c r="AN317" s="106"/>
      <c r="AO317" s="106"/>
      <c r="AR317" s="106"/>
      <c r="AT317" s="101">
        <f>Sheet1!AR317*GPMtoMGD</f>
        <v>0</v>
      </c>
      <c r="AU317" s="101">
        <f>Sheet1!AS317*GPMtoMGD</f>
        <v>1.6704E-2</v>
      </c>
      <c r="AV317" s="101">
        <f>Sheet1!AT317*GPMtoMGD</f>
        <v>0</v>
      </c>
      <c r="AW317" s="101">
        <f>Sheet1!AV317*GPMtoMGD</f>
        <v>0.64483200000000007</v>
      </c>
      <c r="AX317" s="101">
        <f>Sheet1!AW317*GPMtoMGD</f>
        <v>0.80769599999999997</v>
      </c>
      <c r="AY317" s="101">
        <f>Sheet1!AX317*GPMtoMGD</f>
        <v>0</v>
      </c>
      <c r="AZ317" s="101">
        <f>Sheet1!AY317*GPMtoMGD</f>
        <v>0</v>
      </c>
      <c r="BA317" s="101">
        <f>Sheet1!AZ317*GPMtoMGD</f>
        <v>0</v>
      </c>
      <c r="BB317" s="101">
        <f>Sheet1!BP317*GPMtoMGD</f>
        <v>0</v>
      </c>
      <c r="BC317" s="101">
        <f>Sheet1!CO317*GPMtoMGD</f>
        <v>0</v>
      </c>
      <c r="BD317" s="101">
        <f>Sheet1!BO317*GPMtoMGD</f>
        <v>2.1595680000000002</v>
      </c>
      <c r="BE317" s="101">
        <f>Sheet1!BV317*GPMtoMGD</f>
        <v>0.65836800000000006</v>
      </c>
      <c r="BF317" s="101">
        <f>Sheet1!CJ317*GPMtoMGD</f>
        <v>0.58190400000000009</v>
      </c>
      <c r="BG317" s="101">
        <f>Sheet1!CK317*GPMtoMGD</f>
        <v>0.59083200000000002</v>
      </c>
      <c r="BH317" s="101">
        <f>Sheet1!CL317*GPMtoMGD</f>
        <v>0.75412800000000013</v>
      </c>
      <c r="BI317" s="101">
        <f t="shared" si="39"/>
        <v>2.1595680000000002</v>
      </c>
      <c r="BK317" s="106">
        <f>SUM(AT317:BA317,BE317,Sheet1!BU317,'Calculations II'!BC317,Calculation!AG317)</f>
        <v>43.577599999997091</v>
      </c>
      <c r="BM317" s="439">
        <f ca="1">IF(B317=TODAY(),0,IF(AND(Sheet1!BQ317&lt;=11.5,Sheet1!BQ316&gt;Sheet1!BQ317),(MIN(Lookup!$C$119,VLOOKUP(Sheet1!BQ316,Lookup!$B$4:$J$236,2))-VLOOKUP(Sheet1!BQ317,Lookup!$B$4:$J$236,2))/1000000,0))</f>
        <v>0</v>
      </c>
      <c r="BN317" s="439">
        <f ca="1">IF(B317=TODAY(),0,IF(AND(Sheet1!BR317&lt;=11.5,Sheet1!BR316&gt;Sheet1!BR317),(MIN(Lookup!$D$119,VLOOKUP(Sheet1!BR316,Lookup!$B$4:$J$236,3))-VLOOKUP(Sheet1!BR317,Lookup!$B$4:$J$236,3))/1000000,0))</f>
        <v>0</v>
      </c>
      <c r="BP317" s="105">
        <f ca="1">SUM(BM317:BN317,W317,Sheet1!DT317)</f>
        <v>0</v>
      </c>
    </row>
    <row r="318" spans="1:68" s="101" customFormat="1">
      <c r="A318" s="101" t="s">
        <v>3</v>
      </c>
      <c r="B318" s="103">
        <v>40847</v>
      </c>
      <c r="C318" s="104">
        <v>0.33333333333357601</v>
      </c>
      <c r="E318" s="30"/>
      <c r="F318" s="30">
        <f ca="1">IF(B318=TODAY(),0,-(VLOOKUP(Sheet1!BZ318,Lookup!$I$4:$J$216,2)-VLOOKUP(Sheet1!BZ317,Lookup!$I$4:$J$216,2))/1000000)</f>
        <v>0.20727387709559872</v>
      </c>
      <c r="G318" s="106">
        <f ca="1">IF(B318=TODAY(),0,-$G$6*(Sheet1!CB318-Sheet1!CB317)*7.48/1000000)</f>
        <v>0.23828100631535634</v>
      </c>
      <c r="H318" s="106">
        <f ca="1">IF(B318=TODAY(),0,-$G$6*(Sheet1!CC318-Sheet1!CC317)*7.48/1000000)</f>
        <v>-0.63541601684094862</v>
      </c>
      <c r="I318" s="106">
        <f ca="1">IF(B318=TODAY(),0,-$G$6*(Sheet1!CD318-Sheet1!CD317)*7.48/1000000)</f>
        <v>-0.59570251578838951</v>
      </c>
      <c r="J318" s="107" t="s">
        <v>193</v>
      </c>
      <c r="K318" s="106">
        <f ca="1">IF(B318=TODAY(),0,-$I$6*(Sheet1!CD318-Sheet1!CD317)*7.48/1000000)</f>
        <v>-0.26987262642040577</v>
      </c>
      <c r="L318" s="107" t="s">
        <v>193</v>
      </c>
      <c r="M318" s="106">
        <f ca="1">IF(B318=TODAY(),0,-$M$6*(Sheet1!CE318-Sheet1!CE317)*7.48/1000000)</f>
        <v>-0.10661312599133518</v>
      </c>
      <c r="N318" s="106">
        <f ca="1">IF(B318=TODAY(),0,-$N$6*(Sheet1!CF318-Sheet1!CF317)*7.48/1000000)</f>
        <v>6.2052345394623676E-2</v>
      </c>
      <c r="O318" s="106">
        <f t="shared" ca="1" si="35"/>
        <v>-1.0999970562355004</v>
      </c>
      <c r="P318" s="106">
        <f ca="1">O318+Calculation!EI318</f>
        <v>-2.7415970562355003</v>
      </c>
      <c r="Q318" s="101" t="str">
        <f>IF(Sheet1!BQ318&gt;21.75,"spill elevation","-")</f>
        <v>-</v>
      </c>
      <c r="R318" s="101" t="str">
        <f>IF(Sheet1!BR318&gt;21.75,"spill elevation","-")</f>
        <v>-</v>
      </c>
      <c r="S318" s="101" t="str">
        <f>IF(Sheet1!BS318&gt;21.75,"spill elevation","-")</f>
        <v>-</v>
      </c>
      <c r="T318" s="105">
        <f>IF(Sheet1!DQ318=1,Sheet1!AA318-(SUM(AT318:BA318)+BE318),Sheet1!AA318-SUM(AT318:BA318))</f>
        <v>26.083344</v>
      </c>
      <c r="U318" s="105">
        <f>Sheet1!BU318</f>
        <v>21.7</v>
      </c>
      <c r="V318" s="105">
        <f t="shared" si="36"/>
        <v>4.383344000000001</v>
      </c>
      <c r="W318" s="105">
        <f t="shared" si="37"/>
        <v>0</v>
      </c>
      <c r="X318" s="101">
        <f>IF((Sheet1!EX318-Sheet1!EX317)&lt;0,(Sheet1!EX318+100000-Sheet1!EX317)/1000,(Sheet1!EX318-Sheet1!EX317)/1000)</f>
        <v>1.365</v>
      </c>
      <c r="Y318" s="106">
        <f ca="1">Calculation!DZ319+Calculation!EI318+'Calculations II'!O318-'Calculations II'!W318</f>
        <v>41.388402943754606</v>
      </c>
      <c r="Z318" s="106">
        <f ca="1">Y318-Sheet1!CP319</f>
        <v>24.598402943754607</v>
      </c>
      <c r="AA318" s="106">
        <f ca="1">Y318+Calculation!CZ319+Calculation!AI319</f>
        <v>41.388402943754606</v>
      </c>
      <c r="AC318" s="106">
        <f>Sheet1!AA318+Sheet1!AB318+BC318</f>
        <v>45.760000000000005</v>
      </c>
      <c r="AD318" s="106">
        <f>Sheet1!AA318+Sheet1!BN318+'Calculations II'!BC318-Calculation!AI318-Calculation!CZ318</f>
        <v>45.519999999999996</v>
      </c>
      <c r="AE318" s="106">
        <f>Sheet1!AA318+Sheet1!AB318+'Calculations II'!BC318-Calculation!AI318-Calculation!CZ318</f>
        <v>45.760000000000005</v>
      </c>
      <c r="AF318" s="106">
        <f ca="1">Sheet1!AA318+Sheet1!BN318+P318+'Calculations II'!BC318+Calculation!AI318+Calculation!CZ318</f>
        <v>42.778402943764497</v>
      </c>
      <c r="AG318" s="106">
        <f ca="1">IF(B318=TODAY(),0,Sheet1!AA318+Sheet1!BN318+'Calculations II'!BC318+'Calculations II'!P318-Sheet1!CP318-BP318)</f>
        <v>26.238402943764498</v>
      </c>
      <c r="AH318" s="106">
        <f ca="1">IF(B318=TODAY(),0,Sheet1!AA318+Sheet1!BN318+'Calculations II'!BC318+'Calculations II'!P318-BP318)</f>
        <v>42.778402943764497</v>
      </c>
      <c r="AI318" s="106">
        <f ca="1">IF(B318=TODAY(),0,BC318+Sheet1!AA318+Calculation!EI318+O318+W318+Sheet1!BN318+Calculation!AI318+Calculation!CZ318-BP318)</f>
        <v>42.778402943764497</v>
      </c>
      <c r="AJ318" s="106"/>
      <c r="AM318" s="102">
        <f t="shared" si="38"/>
        <v>40847</v>
      </c>
      <c r="AN318" s="106"/>
      <c r="AO318" s="106"/>
      <c r="AR318" s="106"/>
      <c r="AT318" s="101">
        <f>Sheet1!AR318*GPMtoMGD</f>
        <v>0</v>
      </c>
      <c r="AU318" s="101">
        <f>Sheet1!AS318*GPMtoMGD</f>
        <v>1.584E-2</v>
      </c>
      <c r="AV318" s="101">
        <f>Sheet1!AT318*GPMtoMGD</f>
        <v>0</v>
      </c>
      <c r="AW318" s="101">
        <f>Sheet1!AV318*GPMtoMGD</f>
        <v>0.48009600000000002</v>
      </c>
      <c r="AX318" s="101">
        <f>Sheet1!AW318*GPMtoMGD</f>
        <v>0.54072000000000009</v>
      </c>
      <c r="AY318" s="101">
        <f>Sheet1!AX318*GPMtoMGD</f>
        <v>0</v>
      </c>
      <c r="AZ318" s="101">
        <f>Sheet1!AY318*GPMtoMGD</f>
        <v>0</v>
      </c>
      <c r="BA318" s="101">
        <f>Sheet1!AZ318*GPMtoMGD</f>
        <v>0</v>
      </c>
      <c r="BB318" s="101">
        <f>Sheet1!BP318*GPMtoMGD</f>
        <v>0</v>
      </c>
      <c r="BC318" s="101">
        <f>Sheet1!CO318*GPMtoMGD</f>
        <v>0</v>
      </c>
      <c r="BD318" s="101">
        <f>Sheet1!BO318*GPMtoMGD</f>
        <v>2.2456800000000001</v>
      </c>
      <c r="BE318" s="101">
        <f>Sheet1!BV318*GPMtoMGD</f>
        <v>0.61876799999999998</v>
      </c>
      <c r="BF318" s="101">
        <f>Sheet1!CJ318*GPMtoMGD</f>
        <v>0.65649599999999997</v>
      </c>
      <c r="BG318" s="101">
        <f>Sheet1!CK318*GPMtoMGD</f>
        <v>0.53092800000000007</v>
      </c>
      <c r="BH318" s="101">
        <f>Sheet1!CL318*GPMtoMGD</f>
        <v>0.77932800000000013</v>
      </c>
      <c r="BI318" s="101">
        <f t="shared" si="39"/>
        <v>2.2456800000000001</v>
      </c>
      <c r="BK318" s="106">
        <f>SUM(AT318:BA318,BE318,Sheet1!BU318,'Calculations II'!BC318,Calculation!AG318)</f>
        <v>41.995424</v>
      </c>
      <c r="BM318" s="439">
        <f ca="1">IF(B318=TODAY(),0,IF(AND(Sheet1!BQ318&lt;=11.5,Sheet1!BQ317&gt;Sheet1!BQ318),(MIN(Lookup!$C$119,VLOOKUP(Sheet1!BQ317,Lookup!$B$4:$J$236,2))-VLOOKUP(Sheet1!BQ318,Lookup!$B$4:$J$236,2))/1000000,0))</f>
        <v>0</v>
      </c>
      <c r="BN318" s="439">
        <f ca="1">IF(B318=TODAY(),0,IF(AND(Sheet1!BR318&lt;=11.5,Sheet1!BR317&gt;Sheet1!BR318),(MIN(Lookup!$D$119,VLOOKUP(Sheet1!BR317,Lookup!$B$4:$J$236,3))-VLOOKUP(Sheet1!BR318,Lookup!$B$4:$J$236,3))/1000000,0))</f>
        <v>0</v>
      </c>
      <c r="BP318" s="105">
        <f ca="1">SUM(BM318:BN318,W318,Sheet1!DT318)</f>
        <v>0</v>
      </c>
    </row>
    <row r="319" spans="1:68" s="101" customFormat="1">
      <c r="A319" s="101" t="s">
        <v>4</v>
      </c>
      <c r="B319" s="103">
        <v>40848</v>
      </c>
      <c r="C319" s="104">
        <v>0.33333333333357601</v>
      </c>
      <c r="E319" s="30"/>
      <c r="F319" s="30">
        <f ca="1">IF(B319=TODAY(),0,-(VLOOKUP(Sheet1!BZ319,Lookup!$I$4:$J$216,2)-VLOOKUP(Sheet1!BZ318,Lookup!$I$4:$J$216,2))/1000000)</f>
        <v>0.10363693854779936</v>
      </c>
      <c r="G319" s="106">
        <f ca="1">IF(B319=TODAY(),0,-$G$6*(Sheet1!CB319-Sheet1!CB318)*7.48/1000000)</f>
        <v>0.26608045705214722</v>
      </c>
      <c r="H319" s="106">
        <f ca="1">IF(B319=TODAY(),0,-$G$6*(Sheet1!CC319-Sheet1!CC318)*7.48/1000000)</f>
        <v>0.91341052420886415</v>
      </c>
      <c r="I319" s="106">
        <f ca="1">IF(B319=TODAY(),0,-$G$6*(Sheet1!CD319-Sheet1!CD318)*7.48/1000000)</f>
        <v>0.87369702315630426</v>
      </c>
      <c r="J319" s="107" t="s">
        <v>193</v>
      </c>
      <c r="K319" s="106">
        <f ca="1">IF(B319=TODAY(),0,-$I$6*(Sheet1!CD319-Sheet1!CD318)*7.48/1000000)</f>
        <v>0.39581318541659494</v>
      </c>
      <c r="L319" s="107" t="s">
        <v>193</v>
      </c>
      <c r="M319" s="106">
        <f ca="1">IF(B319=TODAY(),0,-$M$6*(Sheet1!CE319-Sheet1!CE318)*7.48/1000000)</f>
        <v>0.15325636861254421</v>
      </c>
      <c r="N319" s="106">
        <f ca="1">IF(B319=TODAY(),0,-$N$6*(Sheet1!CF319-Sheet1!CF318)*7.48/1000000)</f>
        <v>-0.19236227072333331</v>
      </c>
      <c r="O319" s="106">
        <f t="shared" ca="1" si="35"/>
        <v>2.5135322262709212</v>
      </c>
      <c r="P319" s="106">
        <f ca="1">O319+Calculation!EI319</f>
        <v>3.0607322262709209</v>
      </c>
      <c r="Q319" s="101" t="str">
        <f>IF(Sheet1!BQ319&gt;21.75,"spill elevation","-")</f>
        <v>-</v>
      </c>
      <c r="R319" s="101" t="str">
        <f>IF(Sheet1!BR319&gt;21.75,"spill elevation","-")</f>
        <v>-</v>
      </c>
      <c r="S319" s="101" t="str">
        <f>IF(Sheet1!BS319&gt;21.75,"spill elevation","-")</f>
        <v>-</v>
      </c>
      <c r="T319" s="105">
        <f>IF(Sheet1!DQ319=1,Sheet1!AA319-(SUM(AT319:BA319)+BE319),Sheet1!AA319-SUM(AT319:BA319))</f>
        <v>25.155423999991267</v>
      </c>
      <c r="U319" s="105">
        <f>Sheet1!BU319</f>
        <v>23</v>
      </c>
      <c r="V319" s="105">
        <f t="shared" si="36"/>
        <v>2.1554239999912674</v>
      </c>
      <c r="W319" s="105">
        <f t="shared" si="37"/>
        <v>0</v>
      </c>
      <c r="X319" s="101">
        <f>IF((Sheet1!EX319-Sheet1!EX318)&lt;0,(Sheet1!EX319+100000-Sheet1!EX318)/1000,(Sheet1!EX319-Sheet1!EX318)/1000)</f>
        <v>1.415</v>
      </c>
      <c r="Y319" s="106">
        <f ca="1">Calculation!DZ320+Calculation!EI319+'Calculations II'!O319-'Calculations II'!W319</f>
        <v>47.110732226273825</v>
      </c>
      <c r="Z319" s="106">
        <f ca="1">Y319-Sheet1!CP320</f>
        <v>30.710732226273826</v>
      </c>
      <c r="AA319" s="106">
        <f ca="1">Y319+Calculation!CZ320+Calculation!AI320</f>
        <v>47.892075509855786</v>
      </c>
      <c r="AC319" s="106">
        <f>Sheet1!AA319+Sheet1!AB319+BC319</f>
        <v>44.129999999990105</v>
      </c>
      <c r="AD319" s="106">
        <f>Sheet1!AA319+Sheet1!BN319+'Calculations II'!BC319-Calculation!AI319-Calculation!CZ319</f>
        <v>43.899999999991266</v>
      </c>
      <c r="AE319" s="106">
        <f>Sheet1!AA319+Sheet1!AB319+'Calculations II'!BC319-Calculation!AI319-Calculation!CZ319</f>
        <v>44.129999999990105</v>
      </c>
      <c r="AF319" s="106">
        <f ca="1">Sheet1!AA319+Sheet1!BN319+P319+'Calculations II'!BC319+Calculation!AI319+Calculation!CZ319</f>
        <v>46.960732226262188</v>
      </c>
      <c r="AG319" s="106">
        <f ca="1">IF(B319=TODAY(),0,Sheet1!AA319+Sheet1!BN319+'Calculations II'!BC319+'Calculations II'!P319-Sheet1!CP319-BP319)</f>
        <v>30.170732226262189</v>
      </c>
      <c r="AH319" s="106">
        <f ca="1">IF(B319=TODAY(),0,Sheet1!AA319+Sheet1!BN319+'Calculations II'!BC319+'Calculations II'!P319-BP319)</f>
        <v>46.960732226262188</v>
      </c>
      <c r="AI319" s="106">
        <f ca="1">IF(B319=TODAY(),0,BC319+Sheet1!AA319+Calculation!EI319+O319+W319+Sheet1!BN319+Calculation!AI319+Calculation!CZ319-BP319)</f>
        <v>46.960732226262195</v>
      </c>
      <c r="AJ319" s="106"/>
      <c r="AM319" s="102">
        <f t="shared" si="38"/>
        <v>40848</v>
      </c>
      <c r="AN319" s="106"/>
      <c r="AO319" s="106"/>
      <c r="AR319" s="106"/>
      <c r="AT319" s="101">
        <f>Sheet1!AR319*GPMtoMGD</f>
        <v>0</v>
      </c>
      <c r="AU319" s="101">
        <f>Sheet1!AS319*GPMtoMGD</f>
        <v>1.584E-2</v>
      </c>
      <c r="AV319" s="101">
        <f>Sheet1!AT319*GPMtoMGD</f>
        <v>0</v>
      </c>
      <c r="AW319" s="101">
        <f>Sheet1!AV319*GPMtoMGD</f>
        <v>0.83649600000000002</v>
      </c>
      <c r="AX319" s="101">
        <f>Sheet1!AW319*GPMtoMGD</f>
        <v>1.0922400000000001</v>
      </c>
      <c r="AY319" s="101">
        <f>Sheet1!AX319*GPMtoMGD</f>
        <v>0</v>
      </c>
      <c r="AZ319" s="101">
        <f>Sheet1!AY319*GPMtoMGD</f>
        <v>0</v>
      </c>
      <c r="BA319" s="101">
        <f>Sheet1!AZ319*GPMtoMGD</f>
        <v>0</v>
      </c>
      <c r="BB319" s="101">
        <f>Sheet1!BP319*GPMtoMGD</f>
        <v>6.1920000000000003E-2</v>
      </c>
      <c r="BC319" s="101">
        <f>Sheet1!CO319*GPMtoMGD</f>
        <v>0</v>
      </c>
      <c r="BD319" s="101">
        <f>Sheet1!BO319*GPMtoMGD</f>
        <v>1.0828800000000001</v>
      </c>
      <c r="BE319" s="101">
        <f>Sheet1!BV319*GPMtoMGD</f>
        <v>0.63460800000000006</v>
      </c>
      <c r="BF319" s="101">
        <f>Sheet1!CJ319*GPMtoMGD</f>
        <v>0.84960000000000002</v>
      </c>
      <c r="BG319" s="101">
        <f>Sheet1!CK319*GPMtoMGD</f>
        <v>0.53927999999999998</v>
      </c>
      <c r="BH319" s="101">
        <f>Sheet1!CL319*GPMtoMGD</f>
        <v>0.77803199999999995</v>
      </c>
      <c r="BI319" s="101">
        <f t="shared" si="39"/>
        <v>1.1448</v>
      </c>
      <c r="BK319" s="106">
        <f>SUM(AT319:BA319,BE319,Sheet1!BU319,'Calculations II'!BC319,Calculation!AG319)</f>
        <v>42.609183999998834</v>
      </c>
      <c r="BM319" s="439">
        <f ca="1">IF(B319=TODAY(),0,IF(AND(Sheet1!BQ319&lt;=11.5,Sheet1!BQ318&gt;Sheet1!BQ319),(MIN(Lookup!$C$119,VLOOKUP(Sheet1!BQ318,Lookup!$B$4:$J$236,2))-VLOOKUP(Sheet1!BQ319,Lookup!$B$4:$J$236,2))/1000000,0))</f>
        <v>0</v>
      </c>
      <c r="BN319" s="439">
        <f ca="1">IF(B319=TODAY(),0,IF(AND(Sheet1!BR319&lt;=11.5,Sheet1!BR318&gt;Sheet1!BR319),(MIN(Lookup!$D$119,VLOOKUP(Sheet1!BR318,Lookup!$B$4:$J$236,3))-VLOOKUP(Sheet1!BR319,Lookup!$B$4:$J$236,3))/1000000,0))</f>
        <v>0</v>
      </c>
      <c r="BP319" s="105">
        <f ca="1">SUM(BM319:BN319,W319,Sheet1!DT319)</f>
        <v>0</v>
      </c>
    </row>
    <row r="320" spans="1:68" s="101" customFormat="1">
      <c r="A320" s="101" t="s">
        <v>5</v>
      </c>
      <c r="B320" s="103">
        <v>40849</v>
      </c>
      <c r="C320" s="104">
        <v>0.33333333333357601</v>
      </c>
      <c r="E320" s="30"/>
      <c r="F320" s="30">
        <f ca="1">IF(B320=TODAY(),0,-(VLOOKUP(Sheet1!BZ320,Lookup!$I$4:$J$216,2)-VLOOKUP(Sheet1!BZ319,Lookup!$I$4:$J$216,2))/1000000)</f>
        <v>-0.20727387709559872</v>
      </c>
      <c r="G320" s="106">
        <f ca="1">IF(B320=TODAY(),0,-$G$6*(Sheet1!CB320-Sheet1!CB319)*7.48/1000000)</f>
        <v>-1.0404937275770541</v>
      </c>
      <c r="H320" s="106">
        <f ca="1">IF(B320=TODAY(),0,-$G$6*(Sheet1!CC320-Sheet1!CC319)*7.48/1000000)</f>
        <v>-0.86575432294579324</v>
      </c>
      <c r="I320" s="106">
        <f ca="1">IF(B320=TODAY(),0,-$G$6*(Sheet1!CD320-Sheet1!CD319)*7.48/1000000)</f>
        <v>-0.83398352210374516</v>
      </c>
      <c r="J320" s="107" t="s">
        <v>193</v>
      </c>
      <c r="K320" s="106">
        <f ca="1">IF(B320=TODAY(),0,-$I$6*(Sheet1!CD320-Sheet1!CD319)*7.48/1000000)</f>
        <v>-0.37782167698856794</v>
      </c>
      <c r="L320" s="107" t="s">
        <v>193</v>
      </c>
      <c r="M320" s="106">
        <f ca="1">IF(B320=TODAY(),0,-$M$6*(Sheet1!CE320-Sheet1!CE319)*7.48/1000000)</f>
        <v>-0.14659304823808569</v>
      </c>
      <c r="N320" s="106">
        <f ca="1">IF(B320=TODAY(),0,-$N$6*(Sheet1!CF320-Sheet1!CF319)*7.48/1000000)</f>
        <v>-0.42816118322290575</v>
      </c>
      <c r="O320" s="106">
        <f t="shared" ca="1" si="35"/>
        <v>-3.9000813581717502</v>
      </c>
      <c r="P320" s="106">
        <f ca="1">O320+Calculation!EI320</f>
        <v>-0.61688135817175027</v>
      </c>
      <c r="Q320" s="101" t="str">
        <f>IF(Sheet1!BQ320&gt;21.75,"spill elevation","-")</f>
        <v>-</v>
      </c>
      <c r="R320" s="101" t="str">
        <f>IF(Sheet1!BR320&gt;21.75,"spill elevation","-")</f>
        <v>-</v>
      </c>
      <c r="S320" s="101" t="str">
        <f>IF(Sheet1!BS320&gt;21.75,"spill elevation","-")</f>
        <v>-</v>
      </c>
      <c r="T320" s="105">
        <f>IF(Sheet1!DQ320=1,Sheet1!AA320-(SUM(AT320:BA320)+BE320),Sheet1!AA320-SUM(AT320:BA320))</f>
        <v>25.60683200000582</v>
      </c>
      <c r="U320" s="105">
        <f>Sheet1!BU320</f>
        <v>25.6</v>
      </c>
      <c r="V320" s="105">
        <f t="shared" si="36"/>
        <v>6.8320000058186281E-3</v>
      </c>
      <c r="W320" s="105">
        <f t="shared" si="37"/>
        <v>0</v>
      </c>
      <c r="X320" s="101">
        <f>IF((Sheet1!EX320-Sheet1!EX319)&lt;0,(Sheet1!EX320+100000-Sheet1!EX319)/1000,(Sheet1!EX320-Sheet1!EX319)/1000)</f>
        <v>1.3149999999999999</v>
      </c>
      <c r="Y320" s="106">
        <f ca="1">Calculation!DZ321+Calculation!EI320+'Calculations II'!O320-'Calculations II'!W320</f>
        <v>46.533118641829702</v>
      </c>
      <c r="Z320" s="106">
        <f ca="1">Y320-Sheet1!CP321</f>
        <v>29.713118641829702</v>
      </c>
      <c r="AA320" s="106">
        <f ca="1">Y320+Calculation!CZ321+Calculation!AI321</f>
        <v>49.8411283505678</v>
      </c>
      <c r="AC320" s="106">
        <f>Sheet1!AA320+Sheet1!AB320+BC320</f>
        <v>44.05000000000291</v>
      </c>
      <c r="AD320" s="106">
        <f>Sheet1!AA320+Sheet1!BN320+'Calculations II'!BC320-Calculation!AI320-Calculation!CZ320</f>
        <v>41.81865671642386</v>
      </c>
      <c r="AE320" s="106">
        <f>Sheet1!AA320+Sheet1!AB320+'Calculations II'!BC320-Calculation!AI320-Calculation!CZ320</f>
        <v>43.268656716420949</v>
      </c>
      <c r="AF320" s="106">
        <f ca="1">Sheet1!AA320+Sheet1!BN320+P320+'Calculations II'!BC320+Calculation!AI320+Calculation!CZ320</f>
        <v>42.764461925416029</v>
      </c>
      <c r="AG320" s="106">
        <f ca="1">IF(B320=TODAY(),0,Sheet1!AA320+Sheet1!BN320+'Calculations II'!BC320+'Calculations II'!P320-Sheet1!CP320-BP320)</f>
        <v>25.583118641834069</v>
      </c>
      <c r="AH320" s="106">
        <f ca="1">IF(B320=TODAY(),0,Sheet1!AA320+Sheet1!BN320+'Calculations II'!BC320+'Calculations II'!P320-BP320)</f>
        <v>41.983118641834068</v>
      </c>
      <c r="AI320" s="106">
        <f ca="1">IF(B320=TODAY(),0,BC320+Sheet1!AA320+Calculation!EI320+O320+W320+Sheet1!BN320+Calculation!AI320+Calculation!CZ320-BP320)</f>
        <v>42.764461925416029</v>
      </c>
      <c r="AJ320" s="106"/>
      <c r="AM320" s="102">
        <f t="shared" si="38"/>
        <v>40849</v>
      </c>
      <c r="AN320" s="106"/>
      <c r="AO320" s="106"/>
      <c r="AR320" s="106"/>
      <c r="AT320" s="101">
        <f>Sheet1!AR320*GPMtoMGD</f>
        <v>0</v>
      </c>
      <c r="AU320" s="101">
        <f>Sheet1!AS320*GPMtoMGD</f>
        <v>1.5696000000000002E-2</v>
      </c>
      <c r="AV320" s="101">
        <f>Sheet1!AT320*GPMtoMGD</f>
        <v>0</v>
      </c>
      <c r="AW320" s="101">
        <f>Sheet1!AV320*GPMtoMGD</f>
        <v>0.47577599999999998</v>
      </c>
      <c r="AX320" s="101">
        <f>Sheet1!AW320*GPMtoMGD</f>
        <v>0.50169600000000003</v>
      </c>
      <c r="AY320" s="101">
        <f>Sheet1!AX320*GPMtoMGD</f>
        <v>0</v>
      </c>
      <c r="AZ320" s="101">
        <f>Sheet1!AY320*GPMtoMGD</f>
        <v>0</v>
      </c>
      <c r="BA320" s="101">
        <f>Sheet1!AZ320*GPMtoMGD</f>
        <v>0</v>
      </c>
      <c r="BB320" s="101">
        <f>Sheet1!BP320*GPMtoMGD</f>
        <v>0</v>
      </c>
      <c r="BC320" s="101">
        <f>Sheet1!CO320*GPMtoMGD</f>
        <v>0</v>
      </c>
      <c r="BD320" s="101">
        <f>Sheet1!BO320*GPMtoMGD</f>
        <v>2.3700960000000002</v>
      </c>
      <c r="BE320" s="101">
        <f>Sheet1!BV320*GPMtoMGD</f>
        <v>0.61617600000000006</v>
      </c>
      <c r="BF320" s="101">
        <f>Sheet1!CJ320*GPMtoMGD</f>
        <v>0.79704000000000008</v>
      </c>
      <c r="BG320" s="101">
        <f>Sheet1!CK320*GPMtoMGD</f>
        <v>0.54489600000000005</v>
      </c>
      <c r="BH320" s="101">
        <f>Sheet1!CL320*GPMtoMGD</f>
        <v>0.81273600000000001</v>
      </c>
      <c r="BI320" s="101">
        <f t="shared" si="39"/>
        <v>2.3700960000000002</v>
      </c>
      <c r="BK320" s="106">
        <f>SUM(AT320:BA320,BE320,Sheet1!BU320,'Calculations II'!BC320,Calculation!AG320)</f>
        <v>43.87800071641513</v>
      </c>
      <c r="BM320" s="439">
        <f ca="1">IF(B320=TODAY(),0,IF(AND(Sheet1!BQ320&lt;=11.5,Sheet1!BQ319&gt;Sheet1!BQ320),(MIN(Lookup!$C$119,VLOOKUP(Sheet1!BQ319,Lookup!$B$4:$J$236,2))-VLOOKUP(Sheet1!BQ320,Lookup!$B$4:$J$236,2))/1000000,0))</f>
        <v>0</v>
      </c>
      <c r="BN320" s="439">
        <f ca="1">IF(B320=TODAY(),0,IF(AND(Sheet1!BR320&lt;=11.5,Sheet1!BR319&gt;Sheet1!BR320),(MIN(Lookup!$D$119,VLOOKUP(Sheet1!BR319,Lookup!$B$4:$J$236,3))-VLOOKUP(Sheet1!BR320,Lookup!$B$4:$J$236,3))/1000000,0))</f>
        <v>0</v>
      </c>
      <c r="BP320" s="105">
        <f ca="1">SUM(BM320:BN320,W320,Sheet1!DT320)</f>
        <v>0</v>
      </c>
    </row>
    <row r="321" spans="1:68" s="101" customFormat="1">
      <c r="A321" s="101" t="s">
        <v>6</v>
      </c>
      <c r="B321" s="103">
        <v>40850</v>
      </c>
      <c r="C321" s="104">
        <v>0.33333333333357601</v>
      </c>
      <c r="E321" s="30"/>
      <c r="F321" s="30">
        <f ca="1">IF(B321=TODAY(),0,-(VLOOKUP(Sheet1!BZ321,Lookup!$I$4:$J$216,2)-VLOOKUP(Sheet1!BZ320,Lookup!$I$4:$J$216,2))/1000000)</f>
        <v>-0.10363693854779936</v>
      </c>
      <c r="G321" s="106">
        <f ca="1">IF(B321=TODAY(),0,-$G$6*(Sheet1!CB321-Sheet1!CB320)*7.48/1000000)</f>
        <v>0.25813775684163559</v>
      </c>
      <c r="H321" s="106">
        <f ca="1">IF(B321=TODAY(),0,-$G$6*(Sheet1!CC321-Sheet1!CC320)*7.48/1000000)</f>
        <v>0.94518132505091157</v>
      </c>
      <c r="I321" s="106">
        <f ca="1">IF(B321=TODAY(),0,-$G$6*(Sheet1!CD321-Sheet1!CD320)*7.48/1000000)</f>
        <v>0.95312402526142337</v>
      </c>
      <c r="J321" s="107" t="s">
        <v>193</v>
      </c>
      <c r="K321" s="106">
        <f ca="1">IF(B321=TODAY(),0,-$I$6*(Sheet1!CD321-Sheet1!CD320)*7.48/1000000)</f>
        <v>0.4317962022726492</v>
      </c>
      <c r="L321" s="107" t="s">
        <v>193</v>
      </c>
      <c r="M321" s="106">
        <f ca="1">IF(B321=TODAY(),0,-$M$6*(Sheet1!CE321-Sheet1!CE320)*7.48/1000000)</f>
        <v>0.15991968898700254</v>
      </c>
      <c r="N321" s="106">
        <f ca="1">IF(B321=TODAY(),0,-$N$6*(Sheet1!CF321-Sheet1!CF320)*7.48/1000000)</f>
        <v>0.37231407236774428</v>
      </c>
      <c r="O321" s="106">
        <f t="shared" ca="1" si="35"/>
        <v>3.0168361322335668</v>
      </c>
      <c r="P321" s="106">
        <f ca="1">O321+Calculation!EI321</f>
        <v>5.4488361322335672</v>
      </c>
      <c r="Q321" s="101" t="str">
        <f>IF(Sheet1!BQ321&gt;21.75,"spill elevation","-")</f>
        <v>-</v>
      </c>
      <c r="R321" s="101" t="str">
        <f>IF(Sheet1!BR321&gt;21.75,"spill elevation","-")</f>
        <v>-</v>
      </c>
      <c r="S321" s="101" t="str">
        <f>IF(Sheet1!BS321&gt;21.75,"spill elevation","-")</f>
        <v>-</v>
      </c>
      <c r="T321" s="105">
        <f>IF(Sheet1!DQ321=1,Sheet1!AA321-(SUM(AT321:BA321)+BE321),Sheet1!AA321-SUM(AT321:BA321))</f>
        <v>25.280895999999998</v>
      </c>
      <c r="U321" s="105">
        <f>Sheet1!BU321</f>
        <v>24.2</v>
      </c>
      <c r="V321" s="105">
        <f t="shared" si="36"/>
        <v>1.0808959999999992</v>
      </c>
      <c r="W321" s="105">
        <f t="shared" si="37"/>
        <v>0</v>
      </c>
      <c r="X321" s="101">
        <f>IF((Sheet1!EX321-Sheet1!EX320)&lt;0,(Sheet1!EX321+100000-Sheet1!EX320)/1000,(Sheet1!EX321-Sheet1!EX320)/1000)</f>
        <v>1.4059999999999999</v>
      </c>
      <c r="Y321" s="106">
        <f ca="1">Calculation!DZ322+Calculation!EI321+'Calculations II'!O321-'Calculations II'!W321</f>
        <v>53.048836132239387</v>
      </c>
      <c r="Z321" s="106">
        <f ca="1">Y321-Sheet1!CP322</f>
        <v>37.108836132239389</v>
      </c>
      <c r="AA321" s="106">
        <f ca="1">Y321+Calculation!CZ322+Calculation!AI322</f>
        <v>54.761534544938037</v>
      </c>
      <c r="AC321" s="106">
        <f>Sheet1!AA321+Sheet1!AB321+BC321</f>
        <v>47.150000000001455</v>
      </c>
      <c r="AD321" s="106">
        <f>Sheet1!AA321+Sheet1!BN321+'Calculations II'!BC321-Calculation!AI321-Calculation!CZ321</f>
        <v>40.491990291261899</v>
      </c>
      <c r="AE321" s="106">
        <f>Sheet1!AA321+Sheet1!AB321+'Calculations II'!BC321-Calculation!AI321-Calculation!CZ321</f>
        <v>43.841990291263357</v>
      </c>
      <c r="AF321" s="106">
        <f ca="1">Sheet1!AA321+Sheet1!BN321+P321+'Calculations II'!BC321+Calculation!AI321+Calculation!CZ321</f>
        <v>52.556845840971661</v>
      </c>
      <c r="AG321" s="106">
        <f ca="1">IF(B321=TODAY(),0,Sheet1!AA321+Sheet1!BN321+'Calculations II'!BC321+'Calculations II'!P321-Sheet1!CP321-BP321)</f>
        <v>32.428836132233563</v>
      </c>
      <c r="AH321" s="106">
        <f ca="1">IF(B321=TODAY(),0,Sheet1!AA321+Sheet1!BN321+'Calculations II'!BC321+'Calculations II'!P321-BP321)</f>
        <v>49.248836132233563</v>
      </c>
      <c r="AI321" s="106">
        <f ca="1">IF(B321=TODAY(),0,BC321+Sheet1!AA321+Calculation!EI321+O321+W321+Sheet1!BN321+Calculation!AI321+Calculation!CZ321-BP321)</f>
        <v>52.556845840971668</v>
      </c>
      <c r="AJ321" s="106"/>
      <c r="AM321" s="102">
        <f t="shared" si="38"/>
        <v>40850</v>
      </c>
      <c r="AN321" s="106"/>
      <c r="AO321" s="106"/>
      <c r="AR321" s="106"/>
      <c r="AT321" s="101">
        <f>Sheet1!AR321*GPMtoMGD</f>
        <v>0</v>
      </c>
      <c r="AU321" s="101">
        <f>Sheet1!AS321*GPMtoMGD</f>
        <v>1.584E-2</v>
      </c>
      <c r="AV321" s="101">
        <f>Sheet1!AT321*GPMtoMGD</f>
        <v>0</v>
      </c>
      <c r="AW321" s="101">
        <f>Sheet1!AV321*GPMtoMGD</f>
        <v>0.51854400000000012</v>
      </c>
      <c r="AX321" s="101">
        <f>Sheet1!AW321*GPMtoMGD</f>
        <v>0.68472</v>
      </c>
      <c r="AY321" s="101">
        <f>Sheet1!AX321*GPMtoMGD</f>
        <v>0</v>
      </c>
      <c r="AZ321" s="101">
        <f>Sheet1!AY321*GPMtoMGD</f>
        <v>0</v>
      </c>
      <c r="BA321" s="101">
        <f>Sheet1!AZ321*GPMtoMGD</f>
        <v>0</v>
      </c>
      <c r="BB321" s="101">
        <f>Sheet1!BP321*GPMtoMGD</f>
        <v>0</v>
      </c>
      <c r="BC321" s="101">
        <f>Sheet1!CO321*GPMtoMGD</f>
        <v>0</v>
      </c>
      <c r="BD321" s="101">
        <f>Sheet1!BO321*GPMtoMGD</f>
        <v>1.0846080000000002</v>
      </c>
      <c r="BE321" s="101">
        <f>Sheet1!BV321*GPMtoMGD</f>
        <v>0.84240000000000004</v>
      </c>
      <c r="BF321" s="101">
        <f>Sheet1!CJ321*GPMtoMGD</f>
        <v>0.50256000000000001</v>
      </c>
      <c r="BG321" s="101">
        <f>Sheet1!CK321*GPMtoMGD</f>
        <v>0.39888000000000001</v>
      </c>
      <c r="BH321" s="101">
        <f>Sheet1!CL321*GPMtoMGD</f>
        <v>0.82454400000000005</v>
      </c>
      <c r="BI321" s="101">
        <f t="shared" si="39"/>
        <v>1.0846080000000002</v>
      </c>
      <c r="BK321" s="106">
        <f>SUM(AT321:BA321,BE321,Sheet1!BU321,'Calculations II'!BC321,Calculation!AG321)</f>
        <v>43.60349429126336</v>
      </c>
      <c r="BM321" s="439">
        <f ca="1">IF(B321=TODAY(),0,IF(AND(Sheet1!BQ321&lt;=11.5,Sheet1!BQ320&gt;Sheet1!BQ321),(MIN(Lookup!$C$119,VLOOKUP(Sheet1!BQ320,Lookup!$B$4:$J$236,2))-VLOOKUP(Sheet1!BQ321,Lookup!$B$4:$J$236,2))/1000000,0))</f>
        <v>0</v>
      </c>
      <c r="BN321" s="439">
        <f ca="1">IF(B321=TODAY(),0,IF(AND(Sheet1!BR321&lt;=11.5,Sheet1!BR320&gt;Sheet1!BR321),(MIN(Lookup!$D$119,VLOOKUP(Sheet1!BR320,Lookup!$B$4:$J$236,3))-VLOOKUP(Sheet1!BR321,Lookup!$B$4:$J$236,3))/1000000,0))</f>
        <v>0</v>
      </c>
      <c r="BP321" s="105">
        <f ca="1">SUM(BM321:BN321,W321,Sheet1!DT321)</f>
        <v>0</v>
      </c>
    </row>
    <row r="322" spans="1:68" s="101" customFormat="1">
      <c r="A322" s="101" t="s">
        <v>7</v>
      </c>
      <c r="B322" s="103">
        <v>40851</v>
      </c>
      <c r="C322" s="104">
        <v>0.33333333333357601</v>
      </c>
      <c r="E322" s="30"/>
      <c r="F322" s="30">
        <f ca="1">IF(B322=TODAY(),0,-(VLOOKUP(Sheet1!BZ322,Lookup!$I$4:$J$216,2)-VLOOKUP(Sheet1!BZ321,Lookup!$I$4:$J$216,2))/1000000)</f>
        <v>-0.31091081564339806</v>
      </c>
      <c r="G322" s="106">
        <f ca="1">IF(B322=TODAY(),0,-$G$6*(Sheet1!CB322-Sheet1!CB321)*7.48/1000000)</f>
        <v>7.9427002105118313E-2</v>
      </c>
      <c r="H322" s="106">
        <f ca="1">IF(B322=TODAY(),0,-$G$6*(Sheet1!CC322-Sheet1!CC321)*7.48/1000000)</f>
        <v>-0.46464796231494376</v>
      </c>
      <c r="I322" s="106">
        <f ca="1">IF(B322=TODAY(),0,-$G$6*(Sheet1!CD322-Sheet1!CD321)*7.48/1000000)</f>
        <v>-0.47656201263071196</v>
      </c>
      <c r="J322" s="107" t="s">
        <v>193</v>
      </c>
      <c r="K322" s="106">
        <f ca="1">IF(B322=TODAY(),0,-$I$6*(Sheet1!CD322-Sheet1!CD321)*7.48/1000000)</f>
        <v>-0.21589810113632477</v>
      </c>
      <c r="L322" s="107" t="s">
        <v>193</v>
      </c>
      <c r="M322" s="106">
        <f ca="1">IF(B322=TODAY(),0,-$M$6*(Sheet1!CE322-Sheet1!CE321)*7.48/1000000)</f>
        <v>-8.329150468073053E-2</v>
      </c>
      <c r="N322" s="106">
        <f ca="1">IF(B322=TODAY(),0,-$N$6*(Sheet1!CF322-Sheet1!CF321)*7.48/1000000)</f>
        <v>-2.482093815785013E-2</v>
      </c>
      <c r="O322" s="106">
        <f t="shared" ca="1" si="35"/>
        <v>-1.4967043324588409</v>
      </c>
      <c r="P322" s="106">
        <f ca="1">O322+Calculation!EI322</f>
        <v>-0.95620433245884096</v>
      </c>
      <c r="Q322" s="101" t="str">
        <f>IF(Sheet1!BQ322&gt;21.75,"spill elevation","-")</f>
        <v>-</v>
      </c>
      <c r="R322" s="101" t="str">
        <f>IF(Sheet1!BR322&gt;21.75,"spill elevation","-")</f>
        <v>-</v>
      </c>
      <c r="S322" s="101" t="str">
        <f>IF(Sheet1!BS322&gt;21.75,"spill elevation","-")</f>
        <v>-</v>
      </c>
      <c r="T322" s="105">
        <f>IF(Sheet1!DQ322=1,Sheet1!AA322-(SUM(AT322:BA322)+BE322),Sheet1!AA322-SUM(AT322:BA322))</f>
        <v>25.63936000000291</v>
      </c>
      <c r="U322" s="105">
        <f>Sheet1!BU322</f>
        <v>22.4</v>
      </c>
      <c r="V322" s="105">
        <f t="shared" si="36"/>
        <v>3.239360000002911</v>
      </c>
      <c r="W322" s="105">
        <f t="shared" si="37"/>
        <v>0</v>
      </c>
      <c r="X322" s="101">
        <f>IF((Sheet1!EX322-Sheet1!EX321)&lt;0,(Sheet1!EX322+100000-Sheet1!EX321)/1000,(Sheet1!EX322-Sheet1!EX321)/1000)</f>
        <v>1.2370000000000001</v>
      </c>
      <c r="Y322" s="106">
        <f ca="1">Calculation!DZ323+Calculation!EI322+'Calculations II'!O322-'Calculations II'!W322</f>
        <v>44.39379566753243</v>
      </c>
      <c r="Z322" s="106">
        <f ca="1">Y322-Sheet1!CP323</f>
        <v>28.89379566753243</v>
      </c>
      <c r="AA322" s="106">
        <f ca="1">Y322+Calculation!CZ323+Calculation!AI323</f>
        <v>44.39379566753243</v>
      </c>
      <c r="AC322" s="106">
        <f>Sheet1!AA322+Sheet1!AB322+BC322</f>
        <v>47.600000000005821</v>
      </c>
      <c r="AD322" s="106">
        <f>Sheet1!AA322+Sheet1!BN322+'Calculations II'!BC322-Calculation!AI322-Calculation!CZ322</f>
        <v>43.58730158730426</v>
      </c>
      <c r="AE322" s="106">
        <f>Sheet1!AA322+Sheet1!AB322+'Calculations II'!BC322-Calculation!AI322-Calculation!CZ322</f>
        <v>45.887301587307171</v>
      </c>
      <c r="AF322" s="106">
        <f ca="1">Sheet1!AA322+Sheet1!BN322+P322+'Calculations II'!BC322+Calculation!AI322+Calculation!CZ322</f>
        <v>46.056494080242722</v>
      </c>
      <c r="AG322" s="106">
        <f ca="1">IF(B322=TODAY(),0,Sheet1!AA322+Sheet1!BN322+'Calculations II'!BC322+'Calculations II'!P322-Sheet1!CP322-BP322)</f>
        <v>28.403795667544074</v>
      </c>
      <c r="AH322" s="106">
        <f ca="1">IF(B322=TODAY(),0,Sheet1!AA322+Sheet1!BN322+'Calculations II'!BC322+'Calculations II'!P322-BP322)</f>
        <v>44.343795667544072</v>
      </c>
      <c r="AI322" s="106">
        <f ca="1">IF(B322=TODAY(),0,BC322+Sheet1!AA322+Calculation!EI322+O322+W322+Sheet1!BN322+Calculation!AI322+Calculation!CZ322-BP322)</f>
        <v>46.056494080242722</v>
      </c>
      <c r="AJ322" s="106"/>
      <c r="AM322" s="102">
        <f t="shared" si="38"/>
        <v>40851</v>
      </c>
      <c r="AN322" s="106"/>
      <c r="AO322" s="106"/>
      <c r="AR322" s="106"/>
      <c r="AT322" s="101">
        <f>Sheet1!AR322*GPMtoMGD</f>
        <v>0</v>
      </c>
      <c r="AU322" s="101">
        <f>Sheet1!AS322*GPMtoMGD</f>
        <v>3.0240000000000003E-2</v>
      </c>
      <c r="AV322" s="101">
        <f>Sheet1!AT322*GPMtoMGD</f>
        <v>0</v>
      </c>
      <c r="AW322" s="101">
        <f>Sheet1!AV322*GPMtoMGD</f>
        <v>0.56088000000000005</v>
      </c>
      <c r="AX322" s="101">
        <f>Sheet1!AW322*GPMtoMGD</f>
        <v>0.56952000000000003</v>
      </c>
      <c r="AY322" s="101">
        <f>Sheet1!AX322*GPMtoMGD</f>
        <v>0</v>
      </c>
      <c r="AZ322" s="101">
        <f>Sheet1!AY322*GPMtoMGD</f>
        <v>0</v>
      </c>
      <c r="BA322" s="101">
        <f>Sheet1!AZ322*GPMtoMGD</f>
        <v>0</v>
      </c>
      <c r="BB322" s="101">
        <f>Sheet1!BP322*GPMtoMGD</f>
        <v>0</v>
      </c>
      <c r="BC322" s="101">
        <f>Sheet1!CO322*GPMtoMGD</f>
        <v>0</v>
      </c>
      <c r="BD322" s="101">
        <f>Sheet1!BO322*GPMtoMGD</f>
        <v>2.1844800000000002</v>
      </c>
      <c r="BE322" s="101">
        <f>Sheet1!BV322*GPMtoMGD</f>
        <v>0.59443200000000007</v>
      </c>
      <c r="BF322" s="101">
        <f>Sheet1!CJ322*GPMtoMGD</f>
        <v>0.63201600000000002</v>
      </c>
      <c r="BG322" s="101">
        <f>Sheet1!CK322*GPMtoMGD</f>
        <v>0.51998400000000011</v>
      </c>
      <c r="BH322" s="101">
        <f>Sheet1!CL322*GPMtoMGD</f>
        <v>0.81172800000000012</v>
      </c>
      <c r="BI322" s="101">
        <f t="shared" si="39"/>
        <v>2.1844800000000002</v>
      </c>
      <c r="BK322" s="106">
        <f>SUM(AT322:BA322,BE322,Sheet1!BU322,'Calculations II'!BC322,Calculation!AG322)</f>
        <v>43.242373587304257</v>
      </c>
      <c r="BM322" s="439">
        <f ca="1">IF(B322=TODAY(),0,IF(AND(Sheet1!BQ322&lt;=11.5,Sheet1!BQ321&gt;Sheet1!BQ322),(MIN(Lookup!$C$119,VLOOKUP(Sheet1!BQ321,Lookup!$B$4:$J$236,2))-VLOOKUP(Sheet1!BQ322,Lookup!$B$4:$J$236,2))/1000000,0))</f>
        <v>0</v>
      </c>
      <c r="BN322" s="439">
        <f ca="1">IF(B322=TODAY(),0,IF(AND(Sheet1!BR322&lt;=11.5,Sheet1!BR321&gt;Sheet1!BR322),(MIN(Lookup!$D$119,VLOOKUP(Sheet1!BR321,Lookup!$B$4:$J$236,3))-VLOOKUP(Sheet1!BR322,Lookup!$B$4:$J$236,3))/1000000,0))</f>
        <v>0</v>
      </c>
      <c r="BP322" s="105">
        <f ca="1">SUM(BM322:BN322,W322,Sheet1!DT322)</f>
        <v>0</v>
      </c>
    </row>
    <row r="323" spans="1:68" s="101" customFormat="1">
      <c r="A323" s="101" t="s">
        <v>8</v>
      </c>
      <c r="B323" s="103">
        <v>40852</v>
      </c>
      <c r="C323" s="104">
        <v>0.33333333333357601</v>
      </c>
      <c r="E323" s="30"/>
      <c r="F323" s="30">
        <f ca="1">IF(B323=TODAY(),0,-(VLOOKUP(Sheet1!BZ323,Lookup!$I$4:$J$216,2)-VLOOKUP(Sheet1!BZ322,Lookup!$I$4:$J$216,2))/1000000)</f>
        <v>0.20727387709559872</v>
      </c>
      <c r="G323" s="106">
        <f ca="1">IF(B323=TODAY(),0,-$G$6*(Sheet1!CB323-Sheet1!CB322)*7.48/1000000)</f>
        <v>0.75455651999862683</v>
      </c>
      <c r="H323" s="106">
        <f ca="1">IF(B323=TODAY(),0,-$G$6*(Sheet1!CC323-Sheet1!CC322)*7.48/1000000)</f>
        <v>0.4249344612623846</v>
      </c>
      <c r="I323" s="106">
        <f ca="1">IF(B323=TODAY(),0,-$G$6*(Sheet1!CD323-Sheet1!CD322)*7.48/1000000)</f>
        <v>0.39713501052559297</v>
      </c>
      <c r="J323" s="107" t="s">
        <v>193</v>
      </c>
      <c r="K323" s="106">
        <f ca="1">IF(B323=TODAY(),0,-$I$6*(Sheet1!CD323-Sheet1!CD322)*7.48/1000000)</f>
        <v>0.17991508428027048</v>
      </c>
      <c r="L323" s="107" t="s">
        <v>193</v>
      </c>
      <c r="M323" s="106">
        <f ca="1">IF(B323=TODAY(),0,-$M$6*(Sheet1!CE323-Sheet1!CE322)*7.48/1000000)</f>
        <v>7.6628184306272232E-2</v>
      </c>
      <c r="N323" s="106">
        <f ca="1">IF(B323=TODAY(),0,-$N$6*(Sheet1!CF323-Sheet1!CF322)*7.48/1000000)</f>
        <v>8.066804901301157E-2</v>
      </c>
      <c r="O323" s="106">
        <f t="shared" ca="1" si="35"/>
        <v>2.1211111864817576</v>
      </c>
      <c r="P323" s="106">
        <f ca="1">O323+Calculation!EI323</f>
        <v>0.77011118648175758</v>
      </c>
      <c r="Q323" s="101" t="str">
        <f>IF(Sheet1!BQ323&gt;21.75,"spill elevation","-")</f>
        <v>-</v>
      </c>
      <c r="R323" s="101" t="str">
        <f>IF(Sheet1!BR323&gt;21.75,"spill elevation","-")</f>
        <v>-</v>
      </c>
      <c r="S323" s="101" t="str">
        <f>IF(Sheet1!BS323&gt;21.75,"spill elevation","-")</f>
        <v>-</v>
      </c>
      <c r="T323" s="105">
        <f>IF(Sheet1!DQ323=1,Sheet1!AA323-(SUM(AT323:BA323)+BE323),Sheet1!AA323-SUM(AT323:BA323))</f>
        <v>25.033727999994181</v>
      </c>
      <c r="U323" s="105">
        <f>Sheet1!BU323</f>
        <v>21.2</v>
      </c>
      <c r="V323" s="105">
        <f t="shared" si="36"/>
        <v>3.8337279999941813</v>
      </c>
      <c r="W323" s="105">
        <f t="shared" si="37"/>
        <v>0</v>
      </c>
      <c r="X323" s="101">
        <f>IF((Sheet1!EX323-Sheet1!EX322)&lt;0,(Sheet1!EX323+100000-Sheet1!EX322)/1000,(Sheet1!EX323-Sheet1!EX322)/1000)</f>
        <v>1.415</v>
      </c>
      <c r="Y323" s="106">
        <f ca="1">Calculation!DZ324+Calculation!EI323+'Calculations II'!O323-'Calculations II'!W323</f>
        <v>46.280111186481761</v>
      </c>
      <c r="Z323" s="106">
        <f ca="1">Y323-Sheet1!CP324</f>
        <v>30.780111186481761</v>
      </c>
      <c r="AA323" s="106">
        <f ca="1">Y323+Calculation!CZ324+Calculation!AI324</f>
        <v>46.280111186481761</v>
      </c>
      <c r="AC323" s="106">
        <f>Sheet1!AA323+Sheet1!AB323+BC323</f>
        <v>45.349999999991269</v>
      </c>
      <c r="AD323" s="106">
        <f>Sheet1!AA323+Sheet1!BN323+'Calculations II'!BC323-Calculation!AI323-Calculation!CZ323</f>
        <v>45.299999999994178</v>
      </c>
      <c r="AE323" s="106">
        <f>Sheet1!AA323+Sheet1!AB323+'Calculations II'!BC323-Calculation!AI323-Calculation!CZ323</f>
        <v>45.349999999991269</v>
      </c>
      <c r="AF323" s="106">
        <f ca="1">Sheet1!AA323+Sheet1!BN323+P323+'Calculations II'!BC323+Calculation!AI323+Calculation!CZ323</f>
        <v>46.070111186475934</v>
      </c>
      <c r="AG323" s="106">
        <f ca="1">IF(B323=TODAY(),0,Sheet1!AA323+Sheet1!BN323+'Calculations II'!BC323+'Calculations II'!P323-Sheet1!CP323-BP323)</f>
        <v>30.570111186475934</v>
      </c>
      <c r="AH323" s="106">
        <f ca="1">IF(B323=TODAY(),0,Sheet1!AA323+Sheet1!BN323+'Calculations II'!BC323+'Calculations II'!P323-BP323)</f>
        <v>46.070111186475934</v>
      </c>
      <c r="AI323" s="106">
        <f ca="1">IF(B323=TODAY(),0,BC323+Sheet1!AA323+Calculation!EI323+O323+W323+Sheet1!BN323+Calculation!AI323+Calculation!CZ323-BP323)</f>
        <v>46.070111186475941</v>
      </c>
      <c r="AJ323" s="106"/>
      <c r="AM323" s="102">
        <f t="shared" si="38"/>
        <v>40852</v>
      </c>
      <c r="AN323" s="106"/>
      <c r="AO323" s="106"/>
      <c r="AR323" s="106"/>
      <c r="AT323" s="101">
        <f>Sheet1!AR323*GPMtoMGD</f>
        <v>0</v>
      </c>
      <c r="AU323" s="101">
        <f>Sheet1!AS323*GPMtoMGD</f>
        <v>1.5984000000000002E-2</v>
      </c>
      <c r="AV323" s="101">
        <f>Sheet1!AT323*GPMtoMGD</f>
        <v>0</v>
      </c>
      <c r="AW323" s="101">
        <f>Sheet1!AV323*GPMtoMGD</f>
        <v>0.6318720000000001</v>
      </c>
      <c r="AX323" s="101">
        <f>Sheet1!AW323*GPMtoMGD</f>
        <v>0.71841600000000005</v>
      </c>
      <c r="AY323" s="101">
        <f>Sheet1!AX323*GPMtoMGD</f>
        <v>0</v>
      </c>
      <c r="AZ323" s="101">
        <f>Sheet1!AY323*GPMtoMGD</f>
        <v>0</v>
      </c>
      <c r="BA323" s="101">
        <f>Sheet1!AZ323*GPMtoMGD</f>
        <v>0</v>
      </c>
      <c r="BB323" s="101">
        <f>Sheet1!BP323*GPMtoMGD</f>
        <v>0</v>
      </c>
      <c r="BC323" s="101">
        <f>Sheet1!CO323*GPMtoMGD</f>
        <v>0</v>
      </c>
      <c r="BD323" s="101">
        <f>Sheet1!BO323*GPMtoMGD</f>
        <v>1.566864</v>
      </c>
      <c r="BE323" s="101">
        <f>Sheet1!BV323*GPMtoMGD</f>
        <v>0.65635200000000005</v>
      </c>
      <c r="BF323" s="101">
        <f>Sheet1!CJ323*GPMtoMGD</f>
        <v>0.69768000000000008</v>
      </c>
      <c r="BG323" s="101">
        <f>Sheet1!CK323*GPMtoMGD</f>
        <v>0.60076799999999997</v>
      </c>
      <c r="BH323" s="101">
        <f>Sheet1!CL323*GPMtoMGD</f>
        <v>0.8058240000000001</v>
      </c>
      <c r="BI323" s="101">
        <f t="shared" si="39"/>
        <v>1.566864</v>
      </c>
      <c r="BK323" s="106">
        <f>SUM(AT323:BA323,BE323,Sheet1!BU323,'Calculations II'!BC323,Calculation!AG323)</f>
        <v>42.172623999997086</v>
      </c>
      <c r="BM323" s="439">
        <f ca="1">IF(B323=TODAY(),0,IF(AND(Sheet1!BQ323&lt;=11.5,Sheet1!BQ322&gt;Sheet1!BQ323),(MIN(Lookup!$C$119,VLOOKUP(Sheet1!BQ322,Lookup!$B$4:$J$236,2))-VLOOKUP(Sheet1!BQ323,Lookup!$B$4:$J$236,2))/1000000,0))</f>
        <v>0</v>
      </c>
      <c r="BN323" s="439">
        <f ca="1">IF(B323=TODAY(),0,IF(AND(Sheet1!BR323&lt;=11.5,Sheet1!BR322&gt;Sheet1!BR323),(MIN(Lookup!$D$119,VLOOKUP(Sheet1!BR322,Lookup!$B$4:$J$236,3))-VLOOKUP(Sheet1!BR323,Lookup!$B$4:$J$236,3))/1000000,0))</f>
        <v>0</v>
      </c>
      <c r="BP323" s="105">
        <f ca="1">SUM(BM323:BN323,W323,Sheet1!DT323)</f>
        <v>0</v>
      </c>
    </row>
    <row r="324" spans="1:68" s="101" customFormat="1">
      <c r="A324" s="101" t="s">
        <v>9</v>
      </c>
      <c r="B324" s="103">
        <v>40853</v>
      </c>
      <c r="C324" s="104">
        <v>0.33333333333357601</v>
      </c>
      <c r="E324" s="30"/>
      <c r="F324" s="30">
        <f ca="1">IF(B324=TODAY(),0,-(VLOOKUP(Sheet1!BZ324,Lookup!$I$4:$J$216,2)-VLOOKUP(Sheet1!BZ323,Lookup!$I$4:$J$216,2))/1000000)</f>
        <v>0</v>
      </c>
      <c r="G324" s="106">
        <f ca="1">IF(B324=TODAY(),0,-$G$6*(Sheet1!CB324-Sheet1!CB323)*7.48/1000000)</f>
        <v>0</v>
      </c>
      <c r="H324" s="106">
        <f ca="1">IF(B324=TODAY(),0,-$G$6*(Sheet1!CC324-Sheet1!CC323)*7.48/1000000)</f>
        <v>0</v>
      </c>
      <c r="I324" s="106">
        <f ca="1">IF(B324=TODAY(),0,-$G$6*(Sheet1!CD324-Sheet1!CD323)*7.48/1000000)</f>
        <v>0</v>
      </c>
      <c r="J324" s="107" t="s">
        <v>193</v>
      </c>
      <c r="K324" s="106">
        <f ca="1">IF(B324=TODAY(),0,-$I$6*(Sheet1!CD324-Sheet1!CD323)*7.48/1000000)</f>
        <v>0</v>
      </c>
      <c r="L324" s="107" t="s">
        <v>193</v>
      </c>
      <c r="M324" s="106">
        <f ca="1">IF(B324=TODAY(),0,-$M$6*(Sheet1!CE324-Sheet1!CE323)*7.48/1000000)</f>
        <v>0</v>
      </c>
      <c r="N324" s="106">
        <f ca="1">IF(B324=TODAY(),0,-$N$6*(Sheet1!CF324-Sheet1!CF323)*7.48/1000000)</f>
        <v>6.2052345394622583E-3</v>
      </c>
      <c r="O324" s="106">
        <f t="shared" ca="1" si="35"/>
        <v>6.2052345394622583E-3</v>
      </c>
      <c r="P324" s="106">
        <f ca="1">O324+Calculation!EI324</f>
        <v>6.2052345394622583E-3</v>
      </c>
      <c r="Q324" s="101" t="str">
        <f>IF(Sheet1!BQ324&gt;21.75,"spill elevation","-")</f>
        <v>-</v>
      </c>
      <c r="R324" s="101" t="str">
        <f>IF(Sheet1!BR324&gt;21.75,"spill elevation","-")</f>
        <v>-</v>
      </c>
      <c r="S324" s="101" t="str">
        <f>IF(Sheet1!BS324&gt;21.75,"spill elevation","-")</f>
        <v>-</v>
      </c>
      <c r="T324" s="105">
        <f>IF(Sheet1!DQ324=1,Sheet1!AA324-(SUM(AT324:BA324)+BE324),Sheet1!AA324-SUM(AT324:BA324))</f>
        <v>25.061168000000002</v>
      </c>
      <c r="U324" s="105">
        <f>Sheet1!BU324</f>
        <v>21.2</v>
      </c>
      <c r="V324" s="105">
        <f t="shared" si="36"/>
        <v>3.8611680000000028</v>
      </c>
      <c r="W324" s="105">
        <f t="shared" si="37"/>
        <v>0</v>
      </c>
      <c r="X324" s="101">
        <f>IF((Sheet1!EX324-Sheet1!EX323)&lt;0,(Sheet1!EX324+100000-Sheet1!EX323)/1000,(Sheet1!EX324-Sheet1!EX323)/1000)</f>
        <v>1.1970000000000001</v>
      </c>
      <c r="Y324" s="106">
        <f ca="1">Calculation!DZ325+Calculation!EI324+'Calculations II'!O324-'Calculations II'!W324</f>
        <v>45.086205234548487</v>
      </c>
      <c r="Z324" s="106">
        <f ca="1">Y324-Sheet1!CP325</f>
        <v>29.126205234548486</v>
      </c>
      <c r="AA324" s="106">
        <f ca="1">Y324+Calculation!CZ325+Calculation!AI325</f>
        <v>45.086205234548487</v>
      </c>
      <c r="AC324" s="106">
        <f>Sheet1!AA324+Sheet1!AB324+BC324</f>
        <v>45.510000000000005</v>
      </c>
      <c r="AD324" s="106">
        <f>Sheet1!AA324+Sheet1!BN324+'Calculations II'!BC324-Calculation!AI324-Calculation!CZ324</f>
        <v>45.379999999999995</v>
      </c>
      <c r="AE324" s="106">
        <f>Sheet1!AA324+Sheet1!AB324+'Calculations II'!BC324-Calculation!AI324-Calculation!CZ324</f>
        <v>45.510000000000005</v>
      </c>
      <c r="AF324" s="106">
        <f ca="1">Sheet1!AA324+Sheet1!BN324+P324+'Calculations II'!BC324+Calculation!AI324+Calculation!CZ324</f>
        <v>45.38620523453946</v>
      </c>
      <c r="AG324" s="106">
        <f ca="1">IF(B324=TODAY(),0,Sheet1!AA324+Sheet1!BN324+'Calculations II'!BC324+'Calculations II'!P324-Sheet1!CP324-BP324)</f>
        <v>29.88620523453946</v>
      </c>
      <c r="AH324" s="106">
        <f ca="1">IF(B324=TODAY(),0,Sheet1!AA324+Sheet1!BN324+'Calculations II'!BC324+'Calculations II'!P324-BP324)</f>
        <v>45.38620523453946</v>
      </c>
      <c r="AI324" s="106">
        <f ca="1">IF(B324=TODAY(),0,BC324+Sheet1!AA324+Calculation!EI324+O324+W324+Sheet1!BN324+Calculation!AI324+Calculation!CZ324-BP324)</f>
        <v>45.38620523453946</v>
      </c>
      <c r="AJ324" s="106"/>
      <c r="AM324" s="102">
        <f t="shared" si="38"/>
        <v>40853</v>
      </c>
      <c r="AN324" s="106"/>
      <c r="AO324" s="106"/>
      <c r="AR324" s="106"/>
      <c r="AT324" s="101">
        <f>Sheet1!AR324*GPMtoMGD</f>
        <v>0</v>
      </c>
      <c r="AU324" s="101">
        <f>Sheet1!AS324*GPMtoMGD</f>
        <v>1.6847999999999998E-2</v>
      </c>
      <c r="AV324" s="101">
        <f>Sheet1!AT324*GPMtoMGD</f>
        <v>0</v>
      </c>
      <c r="AW324" s="101">
        <f>Sheet1!AV324*GPMtoMGD</f>
        <v>0.72273600000000005</v>
      </c>
      <c r="AX324" s="101">
        <f>Sheet1!AW324*GPMtoMGD</f>
        <v>0.67924800000000007</v>
      </c>
      <c r="AY324" s="101">
        <f>Sheet1!AX324*GPMtoMGD</f>
        <v>0</v>
      </c>
      <c r="AZ324" s="101">
        <f>Sheet1!AY324*GPMtoMGD</f>
        <v>0</v>
      </c>
      <c r="BA324" s="101">
        <f>Sheet1!AZ324*GPMtoMGD</f>
        <v>0</v>
      </c>
      <c r="BB324" s="101">
        <f>Sheet1!BP324*GPMtoMGD</f>
        <v>0</v>
      </c>
      <c r="BC324" s="101">
        <f>Sheet1!CO324*GPMtoMGD</f>
        <v>0</v>
      </c>
      <c r="BD324" s="101">
        <f>Sheet1!BO324*GPMtoMGD</f>
        <v>1.9982880000000003</v>
      </c>
      <c r="BE324" s="101">
        <f>Sheet1!BV324*GPMtoMGD</f>
        <v>0.65635200000000005</v>
      </c>
      <c r="BF324" s="101">
        <f>Sheet1!CJ324*GPMtoMGD</f>
        <v>0.69768000000000008</v>
      </c>
      <c r="BG324" s="101">
        <f>Sheet1!CK324*GPMtoMGD</f>
        <v>0.60076799999999997</v>
      </c>
      <c r="BH324" s="101">
        <f>Sheet1!CL324*GPMtoMGD</f>
        <v>0.8058240000000001</v>
      </c>
      <c r="BI324" s="101">
        <f t="shared" si="39"/>
        <v>1.9982880000000003</v>
      </c>
      <c r="BK324" s="106">
        <f>SUM(AT324:BA324,BE324,Sheet1!BU324,'Calculations II'!BC324,Calculation!AG324)</f>
        <v>42.305183999999997</v>
      </c>
      <c r="BM324" s="439">
        <f ca="1">IF(B324=TODAY(),0,IF(AND(Sheet1!BQ324&lt;=11.5,Sheet1!BQ323&gt;Sheet1!BQ324),(MIN(Lookup!$C$119,VLOOKUP(Sheet1!BQ323,Lookup!$B$4:$J$236,2))-VLOOKUP(Sheet1!BQ324,Lookup!$B$4:$J$236,2))/1000000,0))</f>
        <v>0</v>
      </c>
      <c r="BN324" s="439">
        <f ca="1">IF(B324=TODAY(),0,IF(AND(Sheet1!BR324&lt;=11.5,Sheet1!BR323&gt;Sheet1!BR324),(MIN(Lookup!$D$119,VLOOKUP(Sheet1!BR323,Lookup!$B$4:$J$236,3))-VLOOKUP(Sheet1!BR324,Lookup!$B$4:$J$236,3))/1000000,0))</f>
        <v>0</v>
      </c>
      <c r="BP324" s="105">
        <f ca="1">SUM(BM324:BN324,W324,Sheet1!DT324)</f>
        <v>0</v>
      </c>
    </row>
    <row r="325" spans="1:68" s="101" customFormat="1">
      <c r="A325" s="101" t="s">
        <v>3</v>
      </c>
      <c r="B325" s="103">
        <v>40854</v>
      </c>
      <c r="C325" s="104">
        <v>0.33333333333357601</v>
      </c>
      <c r="E325" s="30"/>
      <c r="F325" s="30">
        <f ca="1">IF(B325=TODAY(),0,-(VLOOKUP(Sheet1!BZ325,Lookup!$I$4:$J$216,2)-VLOOKUP(Sheet1!BZ324,Lookup!$I$4:$J$216,2))/1000000)</f>
        <v>0.31091081564339806</v>
      </c>
      <c r="G325" s="106">
        <f ca="1">IF(B325=TODAY(),0,-$G$6*(Sheet1!CB325-Sheet1!CB324)*7.48/1000000)</f>
        <v>-0.19856750526279648</v>
      </c>
      <c r="H325" s="106">
        <f ca="1">IF(B325=TODAY(),0,-$G$6*(Sheet1!CC325-Sheet1!CC324)*7.48/1000000)</f>
        <v>-0.37727825999931375</v>
      </c>
      <c r="I325" s="106">
        <f ca="1">IF(B325=TODAY(),0,-$G$6*(Sheet1!CD325-Sheet1!CD324)*7.48/1000000)</f>
        <v>-0.34550745915726555</v>
      </c>
      <c r="J325" s="107" t="s">
        <v>193</v>
      </c>
      <c r="K325" s="106">
        <f ca="1">IF(B325=TODAY(),0,-$I$6*(Sheet1!CD325-Sheet1!CD324)*7.48/1000000)</f>
        <v>-0.15652612332383517</v>
      </c>
      <c r="L325" s="107" t="s">
        <v>193</v>
      </c>
      <c r="M325" s="106">
        <f ca="1">IF(B325=TODAY(),0,-$M$6*(Sheet1!CE325-Sheet1!CE324)*7.48/1000000)</f>
        <v>-6.9298531894367979E-2</v>
      </c>
      <c r="N325" s="106">
        <f ca="1">IF(B325=TODAY(),0,-$N$6*(Sheet1!CF325-Sheet1!CF324)*7.48/1000000)</f>
        <v>-4.9641876315699163E-2</v>
      </c>
      <c r="O325" s="106">
        <f t="shared" ca="1" si="35"/>
        <v>-0.88590894030987999</v>
      </c>
      <c r="P325" s="106">
        <f ca="1">O325+Calculation!EI325</f>
        <v>-1.4264089403098801</v>
      </c>
      <c r="Q325" s="101" t="str">
        <f>IF(Sheet1!BQ325&gt;21.75,"spill elevation","-")</f>
        <v>-</v>
      </c>
      <c r="R325" s="101" t="str">
        <f>IF(Sheet1!BR325&gt;21.75,"spill elevation","-")</f>
        <v>-</v>
      </c>
      <c r="S325" s="101" t="str">
        <f>IF(Sheet1!BS325&gt;21.75,"spill elevation","-")</f>
        <v>-</v>
      </c>
      <c r="T325" s="105">
        <f>IF(Sheet1!DQ325=1,Sheet1!AA325-(SUM(AT325:BA325)+BE325),Sheet1!AA325-SUM(AT325:BA325))</f>
        <v>25.078976000007568</v>
      </c>
      <c r="U325" s="105">
        <f>Sheet1!BU325</f>
        <v>22.4</v>
      </c>
      <c r="V325" s="105">
        <f t="shared" si="36"/>
        <v>2.6789760000075695</v>
      </c>
      <c r="W325" s="105">
        <f t="shared" si="37"/>
        <v>0</v>
      </c>
      <c r="X325" s="101">
        <f>IF((Sheet1!EX325-Sheet1!EX324)&lt;0,(Sheet1!EX325+100000-Sheet1!EX324)/1000,(Sheet1!EX325-Sheet1!EX324)/1000)</f>
        <v>1.3420000000000001</v>
      </c>
      <c r="Y325" s="106">
        <f ca="1">Calculation!DZ326+Calculation!EI325+'Calculations II'!O325-'Calculations II'!W325</f>
        <v>44.123591059693027</v>
      </c>
      <c r="Z325" s="106">
        <f ca="1">Y325-Sheet1!CP326</f>
        <v>28.083591059693028</v>
      </c>
      <c r="AA325" s="106">
        <f ca="1">Y325+Calculation!CZ326+Calculation!AI326</f>
        <v>44.123591059693027</v>
      </c>
      <c r="AC325" s="106">
        <f>Sheet1!AA325+Sheet1!AB325+BC325</f>
        <v>45.080000000009022</v>
      </c>
      <c r="AD325" s="106">
        <f>Sheet1!AA325+Sheet1!BN325+'Calculations II'!BC325-Calculation!AI325-Calculation!CZ325</f>
        <v>45.080000000007566</v>
      </c>
      <c r="AE325" s="106">
        <f>Sheet1!AA325+Sheet1!AB325+'Calculations II'!BC325-Calculation!AI325-Calculation!CZ325</f>
        <v>45.080000000009022</v>
      </c>
      <c r="AF325" s="106">
        <f ca="1">Sheet1!AA325+Sheet1!BN325+P325+'Calculations II'!BC325+Calculation!AI325+Calculation!CZ325</f>
        <v>43.653591059697689</v>
      </c>
      <c r="AG325" s="106">
        <f ca="1">IF(B325=TODAY(),0,Sheet1!AA325+Sheet1!BN325+'Calculations II'!BC325+'Calculations II'!P325-Sheet1!CP325-BP325)</f>
        <v>27.693591059697688</v>
      </c>
      <c r="AH325" s="106">
        <f ca="1">IF(B325=TODAY(),0,Sheet1!AA325+Sheet1!BN325+'Calculations II'!BC325+'Calculations II'!P325-BP325)</f>
        <v>43.653591059697689</v>
      </c>
      <c r="AI325" s="106">
        <f ca="1">IF(B325=TODAY(),0,BC325+Sheet1!AA325+Calculation!EI325+O325+W325+Sheet1!BN325+Calculation!AI325+Calculation!CZ325-BP325)</f>
        <v>43.653591059697689</v>
      </c>
      <c r="AJ325" s="106"/>
      <c r="AM325" s="102">
        <f t="shared" si="38"/>
        <v>40854</v>
      </c>
      <c r="AN325" s="106"/>
      <c r="AO325" s="106"/>
      <c r="AR325" s="106"/>
      <c r="AT325" s="101">
        <f>Sheet1!AR325*GPMtoMGD</f>
        <v>0</v>
      </c>
      <c r="AU325" s="101">
        <f>Sheet1!AS325*GPMtoMGD</f>
        <v>2.4624000000000004E-2</v>
      </c>
      <c r="AV325" s="101">
        <f>Sheet1!AT325*GPMtoMGD</f>
        <v>0</v>
      </c>
      <c r="AW325" s="101">
        <f>Sheet1!AV325*GPMtoMGD</f>
        <v>0.51494400000000007</v>
      </c>
      <c r="AX325" s="101">
        <f>Sheet1!AW325*GPMtoMGD</f>
        <v>0.56145599999999996</v>
      </c>
      <c r="AY325" s="101">
        <f>Sheet1!AX325*GPMtoMGD</f>
        <v>0</v>
      </c>
      <c r="AZ325" s="101">
        <f>Sheet1!AY325*GPMtoMGD</f>
        <v>0</v>
      </c>
      <c r="BA325" s="101">
        <f>Sheet1!AZ325*GPMtoMGD</f>
        <v>0</v>
      </c>
      <c r="BB325" s="101">
        <f>Sheet1!BP325*GPMtoMGD</f>
        <v>0</v>
      </c>
      <c r="BC325" s="101">
        <f>Sheet1!CO325*GPMtoMGD</f>
        <v>0</v>
      </c>
      <c r="BD325" s="101">
        <f>Sheet1!BO325*GPMtoMGD</f>
        <v>2.2943519999999999</v>
      </c>
      <c r="BE325" s="101">
        <f>Sheet1!BV325*GPMtoMGD</f>
        <v>0.59140800000000004</v>
      </c>
      <c r="BF325" s="101">
        <f>Sheet1!CJ325*GPMtoMGD</f>
        <v>0.66700800000000005</v>
      </c>
      <c r="BG325" s="101">
        <f>Sheet1!CK325*GPMtoMGD</f>
        <v>0.52214400000000005</v>
      </c>
      <c r="BH325" s="101">
        <f>Sheet1!CL325*GPMtoMGD</f>
        <v>0.75715199999999994</v>
      </c>
      <c r="BI325" s="101">
        <f t="shared" si="39"/>
        <v>2.2943519999999999</v>
      </c>
      <c r="BK325" s="106">
        <f>SUM(AT325:BA325,BE325,Sheet1!BU325,'Calculations II'!BC325,Calculation!AG325)</f>
        <v>42.992432000001457</v>
      </c>
      <c r="BM325" s="439">
        <f ca="1">IF(B325=TODAY(),0,IF(AND(Sheet1!BQ325&lt;=11.5,Sheet1!BQ324&gt;Sheet1!BQ325),(MIN(Lookup!$C$119,VLOOKUP(Sheet1!BQ324,Lookup!$B$4:$J$236,2))-VLOOKUP(Sheet1!BQ325,Lookup!$B$4:$J$236,2))/1000000,0))</f>
        <v>0</v>
      </c>
      <c r="BN325" s="439">
        <f ca="1">IF(B325=TODAY(),0,IF(AND(Sheet1!BR325&lt;=11.5,Sheet1!BR324&gt;Sheet1!BR325),(MIN(Lookup!$D$119,VLOOKUP(Sheet1!BR324,Lookup!$B$4:$J$236,3))-VLOOKUP(Sheet1!BR325,Lookup!$B$4:$J$236,3))/1000000,0))</f>
        <v>0</v>
      </c>
      <c r="BP325" s="105">
        <f ca="1">SUM(BM325:BN325,W325,Sheet1!DT325)</f>
        <v>0</v>
      </c>
    </row>
    <row r="326" spans="1:68" s="101" customFormat="1">
      <c r="A326" s="101" t="s">
        <v>4</v>
      </c>
      <c r="B326" s="103">
        <v>40855</v>
      </c>
      <c r="C326" s="104">
        <v>0.33333333333357601</v>
      </c>
      <c r="E326" s="30"/>
      <c r="F326" s="30">
        <f ca="1">IF(B326=TODAY(),0,-(VLOOKUP(Sheet1!BZ326,Lookup!$I$4:$J$216,2)-VLOOKUP(Sheet1!BZ325,Lookup!$I$4:$J$216,2))/1000000)</f>
        <v>0</v>
      </c>
      <c r="G326" s="106">
        <f ca="1">IF(B326=TODAY(),0,-$G$6*(Sheet1!CB326-Sheet1!CB325)*7.48/1000000)</f>
        <v>0.24622370652586803</v>
      </c>
      <c r="H326" s="106">
        <f ca="1">IF(B326=TODAY(),0,-$G$6*(Sheet1!CC326-Sheet1!CC325)*7.48/1000000)</f>
        <v>-4.7656201263070852E-2</v>
      </c>
      <c r="I326" s="106">
        <f ca="1">IF(B326=TODAY(),0,-$G$6*(Sheet1!CD326-Sheet1!CD325)*7.48/1000000)</f>
        <v>-5.9570251578839085E-2</v>
      </c>
      <c r="J326" s="107" t="s">
        <v>193</v>
      </c>
      <c r="K326" s="106">
        <f ca="1">IF(B326=TODAY(),0,-$I$6*(Sheet1!CD326-Sheet1!CD325)*7.48/1000000)</f>
        <v>-2.6987262642040637E-2</v>
      </c>
      <c r="L326" s="107" t="s">
        <v>193</v>
      </c>
      <c r="M326" s="106">
        <f ca="1">IF(B326=TODAY(),0,-$M$6*(Sheet1!CE326-Sheet1!CE325)*7.48/1000000)</f>
        <v>-3.9979922246749806E-3</v>
      </c>
      <c r="N326" s="106">
        <f ca="1">IF(B326=TODAY(),0,-$N$6*(Sheet1!CF326-Sheet1!CF325)*7.48/1000000)</f>
        <v>-0.1178994562497851</v>
      </c>
      <c r="O326" s="106">
        <f t="shared" ca="1" si="35"/>
        <v>-9.8874574325426151E-3</v>
      </c>
      <c r="P326" s="106">
        <f ca="1">O326+Calculation!EI326</f>
        <v>2.1521125425674574</v>
      </c>
      <c r="Q326" s="101" t="str">
        <f>IF(Sheet1!BQ326&gt;21.75,"spill elevation","-")</f>
        <v>-</v>
      </c>
      <c r="R326" s="101" t="str">
        <f>IF(Sheet1!BR326&gt;21.75,"spill elevation","-")</f>
        <v>-</v>
      </c>
      <c r="S326" s="101" t="str">
        <f>IF(Sheet1!BS326&gt;21.75,"spill elevation","-")</f>
        <v>-</v>
      </c>
      <c r="T326" s="105">
        <f>IF(Sheet1!DQ326=1,Sheet1!AA326-(SUM(AT326:BA326)+BE326),Sheet1!AA326-SUM(AT326:BA326))</f>
        <v>25.57656000000291</v>
      </c>
      <c r="U326" s="105">
        <f>Sheet1!BU326</f>
        <v>22.4</v>
      </c>
      <c r="V326" s="105">
        <f t="shared" si="36"/>
        <v>3.1765600000029117</v>
      </c>
      <c r="W326" s="105">
        <f t="shared" si="37"/>
        <v>0</v>
      </c>
      <c r="X326" s="101">
        <f>IF((Sheet1!EX326-Sheet1!EX325)&lt;0,(Sheet1!EX326+100000-Sheet1!EX325)/1000,(Sheet1!EX326-Sheet1!EX325)/1000)</f>
        <v>1.2390000000000001</v>
      </c>
      <c r="Y326" s="106">
        <f ca="1">Calculation!DZ327+Calculation!EI326+'Calculations II'!O326-'Calculations II'!W326</f>
        <v>48.353040542552904</v>
      </c>
      <c r="Z326" s="106">
        <f ca="1">Y326-Sheet1!CP327</f>
        <v>32.353040542552904</v>
      </c>
      <c r="AA326" s="106">
        <f ca="1">Y326+Calculation!CZ327+Calculation!AI327</f>
        <v>48.353040542552904</v>
      </c>
      <c r="AC326" s="106">
        <f>Sheet1!AA326+Sheet1!AB326+BC326</f>
        <v>45.55000000000291</v>
      </c>
      <c r="AD326" s="106">
        <f>Sheet1!AA326+Sheet1!BN326+'Calculations II'!BC326-Calculation!AI326-Calculation!CZ326</f>
        <v>45.450000000002909</v>
      </c>
      <c r="AE326" s="106">
        <f>Sheet1!AA326+Sheet1!AB326+'Calculations II'!BC326-Calculation!AI326-Calculation!CZ326</f>
        <v>45.55000000000291</v>
      </c>
      <c r="AF326" s="106">
        <f ca="1">Sheet1!AA326+Sheet1!BN326+P326+'Calculations II'!BC326+Calculation!AI326+Calculation!CZ326</f>
        <v>47.602112542570367</v>
      </c>
      <c r="AG326" s="106">
        <f ca="1">IF(B326=TODAY(),0,Sheet1!AA326+Sheet1!BN326+'Calculations II'!BC326+'Calculations II'!P326-Sheet1!CP326-BP326)</f>
        <v>31.562112542570368</v>
      </c>
      <c r="AH326" s="106">
        <f ca="1">IF(B326=TODAY(),0,Sheet1!AA326+Sheet1!BN326+'Calculations II'!BC326+'Calculations II'!P326-BP326)</f>
        <v>47.602112542570367</v>
      </c>
      <c r="AI326" s="106">
        <f ca="1">IF(B326=TODAY(),0,BC326+Sheet1!AA326+Calculation!EI326+O326+W326+Sheet1!BN326+Calculation!AI326+Calculation!CZ326-BP326)</f>
        <v>47.602112542570367</v>
      </c>
      <c r="AJ326" s="106"/>
      <c r="AM326" s="102">
        <f t="shared" si="38"/>
        <v>40855</v>
      </c>
      <c r="AN326" s="106"/>
      <c r="AO326" s="106"/>
      <c r="AR326" s="106"/>
      <c r="AT326" s="101">
        <f>Sheet1!AR326*GPMtoMGD</f>
        <v>0</v>
      </c>
      <c r="AU326" s="101">
        <f>Sheet1!AS326*GPMtoMGD</f>
        <v>2.2176000000000001E-2</v>
      </c>
      <c r="AV326" s="101">
        <f>Sheet1!AT326*GPMtoMGD</f>
        <v>0</v>
      </c>
      <c r="AW326" s="101">
        <f>Sheet1!AV326*GPMtoMGD</f>
        <v>0.46008000000000004</v>
      </c>
      <c r="AX326" s="101">
        <f>Sheet1!AW326*GPMtoMGD</f>
        <v>0.49118400000000007</v>
      </c>
      <c r="AY326" s="101">
        <f>Sheet1!AX326*GPMtoMGD</f>
        <v>0</v>
      </c>
      <c r="AZ326" s="101">
        <f>Sheet1!AY326*GPMtoMGD</f>
        <v>0</v>
      </c>
      <c r="BA326" s="101">
        <f>Sheet1!AZ326*GPMtoMGD</f>
        <v>0</v>
      </c>
      <c r="BB326" s="101">
        <f>Sheet1!BP326*GPMtoMGD</f>
        <v>0</v>
      </c>
      <c r="BC326" s="101">
        <f>Sheet1!CO326*GPMtoMGD</f>
        <v>0</v>
      </c>
      <c r="BD326" s="101">
        <f>Sheet1!BO326*GPMtoMGD</f>
        <v>1.0572480000000002</v>
      </c>
      <c r="BE326" s="101">
        <f>Sheet1!BV326*GPMtoMGD</f>
        <v>0.62928000000000006</v>
      </c>
      <c r="BF326" s="101">
        <f>Sheet1!CJ326*GPMtoMGD</f>
        <v>0.69609600000000005</v>
      </c>
      <c r="BG326" s="101">
        <f>Sheet1!CK326*GPMtoMGD</f>
        <v>0.52502400000000005</v>
      </c>
      <c r="BH326" s="101">
        <f>Sheet1!CL326*GPMtoMGD</f>
        <v>0.83707200000000004</v>
      </c>
      <c r="BI326" s="101">
        <f t="shared" si="39"/>
        <v>1.0572480000000002</v>
      </c>
      <c r="BK326" s="106">
        <f>SUM(AT326:BA326,BE326,Sheet1!BU326,'Calculations II'!BC326,Calculation!AG326)</f>
        <v>43.002719999999997</v>
      </c>
      <c r="BM326" s="439">
        <f ca="1">IF(B326=TODAY(),0,IF(AND(Sheet1!BQ326&lt;=11.5,Sheet1!BQ325&gt;Sheet1!BQ326),(MIN(Lookup!$C$119,VLOOKUP(Sheet1!BQ325,Lookup!$B$4:$J$236,2))-VLOOKUP(Sheet1!BQ326,Lookup!$B$4:$J$236,2))/1000000,0))</f>
        <v>0</v>
      </c>
      <c r="BN326" s="439">
        <f ca="1">IF(B326=TODAY(),0,IF(AND(Sheet1!BR326&lt;=11.5,Sheet1!BR325&gt;Sheet1!BR326),(MIN(Lookup!$D$119,VLOOKUP(Sheet1!BR325,Lookup!$B$4:$J$236,3))-VLOOKUP(Sheet1!BR326,Lookup!$B$4:$J$236,3))/1000000,0))</f>
        <v>0</v>
      </c>
      <c r="BP326" s="105">
        <f ca="1">SUM(BM326:BN326,W326,Sheet1!DT326)</f>
        <v>0</v>
      </c>
    </row>
    <row r="327" spans="1:68" s="101" customFormat="1">
      <c r="A327" s="101" t="s">
        <v>5</v>
      </c>
      <c r="B327" s="103">
        <v>40856</v>
      </c>
      <c r="C327" s="104">
        <v>0.33333333333357601</v>
      </c>
      <c r="E327" s="30"/>
      <c r="F327" s="30">
        <f ca="1">IF(B327=TODAY(),0,-(VLOOKUP(Sheet1!BZ327,Lookup!$I$4:$J$216,2)-VLOOKUP(Sheet1!BZ326,Lookup!$I$4:$J$216,2))/1000000)</f>
        <v>-0.20727387709559872</v>
      </c>
      <c r="G327" s="106">
        <f ca="1">IF(B327=TODAY(),0,-$G$6*(Sheet1!CB327-Sheet1!CB326)*7.48/1000000)</f>
        <v>-0.76249922020913852</v>
      </c>
      <c r="H327" s="106">
        <f ca="1">IF(B327=TODAY(),0,-$G$6*(Sheet1!CC327-Sheet1!CC326)*7.48/1000000)</f>
        <v>7.9427002105116901E-3</v>
      </c>
      <c r="I327" s="106">
        <f ca="1">IF(B327=TODAY(),0,-$G$6*(Sheet1!CD327-Sheet1!CD326)*7.48/1000000)</f>
        <v>7.9427002105116901E-3</v>
      </c>
      <c r="J327" s="107" t="s">
        <v>193</v>
      </c>
      <c r="K327" s="106">
        <f ca="1">IF(B327=TODAY(),0,-$I$6*(Sheet1!CD327-Sheet1!CD326)*7.48/1000000)</f>
        <v>3.5983016856053333E-3</v>
      </c>
      <c r="L327" s="107" t="s">
        <v>193</v>
      </c>
      <c r="M327" s="106">
        <f ca="1">IF(B327=TODAY(),0,-$M$6*(Sheet1!CE327-Sheet1!CE326)*7.48/1000000)</f>
        <v>0</v>
      </c>
      <c r="N327" s="106">
        <f ca="1">IF(B327=TODAY(),0,-$N$6*(Sheet1!CF327-Sheet1!CF326)*7.48/1000000)</f>
        <v>0.16754133256548429</v>
      </c>
      <c r="O327" s="106">
        <f t="shared" ca="1" si="35"/>
        <v>-0.7827480626326242</v>
      </c>
      <c r="P327" s="106">
        <f ca="1">O327+Calculation!EI327</f>
        <v>-1.3232480626326242</v>
      </c>
      <c r="Q327" s="101" t="str">
        <f>IF(Sheet1!BQ327&gt;21.75,"spill elevation","-")</f>
        <v>-</v>
      </c>
      <c r="R327" s="101" t="str">
        <f>IF(Sheet1!BR327&gt;21.75,"spill elevation","-")</f>
        <v>-</v>
      </c>
      <c r="S327" s="101" t="str">
        <f>IF(Sheet1!BS327&gt;21.75,"spill elevation","-")</f>
        <v>-</v>
      </c>
      <c r="T327" s="105">
        <f>IF(Sheet1!DQ327=1,Sheet1!AA327-(SUM(AT327:BA327)+BE327),Sheet1!AA327-SUM(AT327:BA327))</f>
        <v>25.453455999988357</v>
      </c>
      <c r="U327" s="105">
        <f>Sheet1!BU327</f>
        <v>20.8</v>
      </c>
      <c r="V327" s="105">
        <f t="shared" si="36"/>
        <v>4.6534559999883562</v>
      </c>
      <c r="W327" s="105">
        <f t="shared" si="37"/>
        <v>0</v>
      </c>
      <c r="X327" s="101">
        <f>IF((Sheet1!EX327-Sheet1!EX326)&lt;0,(Sheet1!EX327+100000-Sheet1!EX326)/1000,(Sheet1!EX327-Sheet1!EX326)/1000)</f>
        <v>1.29</v>
      </c>
      <c r="Y327" s="106">
        <f ca="1">Calculation!DZ328+Calculation!EI327+'Calculations II'!O327-'Calculations II'!W327</f>
        <v>43.765135937373202</v>
      </c>
      <c r="Z327" s="106">
        <f ca="1">Y327-Sheet1!CP328</f>
        <v>29.185135937373204</v>
      </c>
      <c r="AA327" s="106">
        <f ca="1">Y327+Calculation!CZ328+Calculation!AI328</f>
        <v>43.765135937373202</v>
      </c>
      <c r="AC327" s="106">
        <f>Sheet1!AA327+Sheet1!AB327+BC327</f>
        <v>46.200927999985446</v>
      </c>
      <c r="AD327" s="106">
        <f>Sheet1!AA327+Sheet1!BN327+'Calculations II'!BC327-Calculation!AI327-Calculation!CZ327</f>
        <v>45.800927999988353</v>
      </c>
      <c r="AE327" s="106">
        <f>Sheet1!AA327+Sheet1!AB327+'Calculations II'!BC327-Calculation!AI327-Calculation!CZ327</f>
        <v>46.200927999985446</v>
      </c>
      <c r="AF327" s="106">
        <f ca="1">Sheet1!AA327+Sheet1!BN327+P327+'Calculations II'!BC327+Calculation!AI327+Calculation!CZ327</f>
        <v>44.477679937355731</v>
      </c>
      <c r="AG327" s="106">
        <f ca="1">IF(B327=TODAY(),0,Sheet1!AA327+Sheet1!BN327+'Calculations II'!BC327+'Calculations II'!P327-Sheet1!CP327-BP327)</f>
        <v>28.477679937355731</v>
      </c>
      <c r="AH327" s="106">
        <f ca="1">IF(B327=TODAY(),0,Sheet1!AA327+Sheet1!BN327+'Calculations II'!BC327+'Calculations II'!P327-BP327)</f>
        <v>44.477679937355731</v>
      </c>
      <c r="AI327" s="106">
        <f ca="1">IF(B327=TODAY(),0,BC327+Sheet1!AA327+Calculation!EI327+O327+W327+Sheet1!BN327+Calculation!AI327+Calculation!CZ327-BP327)</f>
        <v>44.477679937355731</v>
      </c>
      <c r="AJ327" s="106"/>
      <c r="AM327" s="102">
        <f t="shared" si="38"/>
        <v>40856</v>
      </c>
      <c r="AN327" s="106"/>
      <c r="AO327" s="106"/>
      <c r="AR327" s="106"/>
      <c r="AT327" s="101">
        <f>Sheet1!AR327*GPMtoMGD</f>
        <v>0</v>
      </c>
      <c r="AU327" s="101">
        <f>Sheet1!AS327*GPMtoMGD</f>
        <v>0</v>
      </c>
      <c r="AV327" s="101">
        <f>Sheet1!AT327*GPMtoMGD</f>
        <v>0</v>
      </c>
      <c r="AW327" s="101">
        <f>Sheet1!AV327*GPMtoMGD</f>
        <v>0.68184</v>
      </c>
      <c r="AX327" s="101">
        <f>Sheet1!AW327*GPMtoMGD</f>
        <v>0.66470400000000007</v>
      </c>
      <c r="AY327" s="101">
        <f>Sheet1!AX327*GPMtoMGD</f>
        <v>0</v>
      </c>
      <c r="AZ327" s="101">
        <f>Sheet1!AY327*GPMtoMGD</f>
        <v>0</v>
      </c>
      <c r="BA327" s="101">
        <f>Sheet1!AZ327*GPMtoMGD</f>
        <v>0</v>
      </c>
      <c r="BB327" s="101">
        <f>Sheet1!BP327*GPMtoMGD</f>
        <v>0</v>
      </c>
      <c r="BC327" s="101">
        <f>Sheet1!CO327*GPMtoMGD</f>
        <v>1.7009280000000002</v>
      </c>
      <c r="BD327" s="101">
        <f>Sheet1!BO327*GPMtoMGD</f>
        <v>1.9226880000000002</v>
      </c>
      <c r="BE327" s="101">
        <f>Sheet1!BV327*GPMtoMGD</f>
        <v>0.60624</v>
      </c>
      <c r="BF327" s="101">
        <f>Sheet1!CJ327*GPMtoMGD</f>
        <v>0.67939200000000011</v>
      </c>
      <c r="BG327" s="101">
        <f>Sheet1!CK327*GPMtoMGD</f>
        <v>0.516096</v>
      </c>
      <c r="BH327" s="101">
        <f>Sheet1!CL327*GPMtoMGD</f>
        <v>0.83851200000000004</v>
      </c>
      <c r="BI327" s="101">
        <f t="shared" si="39"/>
        <v>1.9226880000000002</v>
      </c>
      <c r="BK327" s="106">
        <f>SUM(AT327:BA327,BE327,Sheet1!BU327,'Calculations II'!BC327,Calculation!AG327)</f>
        <v>42.153711999997093</v>
      </c>
      <c r="BM327" s="439">
        <f ca="1">IF(B327=TODAY(),0,IF(AND(Sheet1!BQ327&lt;=11.5,Sheet1!BQ326&gt;Sheet1!BQ327),(MIN(Lookup!$C$119,VLOOKUP(Sheet1!BQ326,Lookup!$B$4:$J$236,2))-VLOOKUP(Sheet1!BQ327,Lookup!$B$4:$J$236,2))/1000000,0))</f>
        <v>0</v>
      </c>
      <c r="BN327" s="439">
        <f ca="1">IF(B327=TODAY(),0,IF(AND(Sheet1!BR327&lt;=11.5,Sheet1!BR326&gt;Sheet1!BR327),(MIN(Lookup!$D$119,VLOOKUP(Sheet1!BR326,Lookup!$B$4:$J$236,3))-VLOOKUP(Sheet1!BR327,Lookup!$B$4:$J$236,3))/1000000,0))</f>
        <v>0</v>
      </c>
      <c r="BP327" s="105">
        <f ca="1">SUM(BM327:BN327,W327,Sheet1!DT327)</f>
        <v>0</v>
      </c>
    </row>
    <row r="328" spans="1:68" s="101" customFormat="1">
      <c r="A328" s="101" t="s">
        <v>6</v>
      </c>
      <c r="B328" s="103">
        <v>40857</v>
      </c>
      <c r="C328" s="104">
        <v>0.33333333333357601</v>
      </c>
      <c r="E328" s="30"/>
      <c r="F328" s="30">
        <f ca="1">IF(B328=TODAY(),0,-(VLOOKUP(Sheet1!BZ328,Lookup!$I$4:$J$216,2)-VLOOKUP(Sheet1!BZ327,Lookup!$I$4:$J$216,2))/1000000)</f>
        <v>0.31091081564339806</v>
      </c>
      <c r="G328" s="106">
        <f ca="1">IF(B328=TODAY(),0,-$G$6*(Sheet1!CB328-Sheet1!CB327)*7.48/1000000)</f>
        <v>0.18268210484177241</v>
      </c>
      <c r="H328" s="106">
        <f ca="1">IF(B328=TODAY(),0,-$G$6*(Sheet1!CC328-Sheet1!CC327)*7.48/1000000)</f>
        <v>0.11119780294716648</v>
      </c>
      <c r="I328" s="106">
        <f ca="1">IF(B328=TODAY(),0,-$G$6*(Sheet1!CD328-Sheet1!CD327)*7.48/1000000)</f>
        <v>0.11119780294716648</v>
      </c>
      <c r="J328" s="107" t="s">
        <v>193</v>
      </c>
      <c r="K328" s="106">
        <f ca="1">IF(B328=TODAY(),0,-$I$6*(Sheet1!CD328-Sheet1!CD327)*7.48/1000000)</f>
        <v>5.037622359847594E-2</v>
      </c>
      <c r="L328" s="107" t="s">
        <v>193</v>
      </c>
      <c r="M328" s="106">
        <f ca="1">IF(B328=TODAY(),0,-$M$6*(Sheet1!CE328-Sheet1!CE327)*7.48/1000000)</f>
        <v>1.7990965011037766E-2</v>
      </c>
      <c r="N328" s="106">
        <f ca="1">IF(B328=TODAY(),0,-$N$6*(Sheet1!CF328-Sheet1!CF327)*7.48/1000000)</f>
        <v>-0.14272039440763523</v>
      </c>
      <c r="O328" s="106">
        <f t="shared" ca="1" si="35"/>
        <v>0.64163532058138195</v>
      </c>
      <c r="P328" s="106">
        <f ca="1">O328+Calculation!EI328</f>
        <v>-0.43936467941861801</v>
      </c>
      <c r="Q328" s="101" t="str">
        <f>IF(Sheet1!BQ328&gt;21.75,"spill elevation","-")</f>
        <v>-</v>
      </c>
      <c r="R328" s="101" t="str">
        <f>IF(Sheet1!BR328&gt;21.75,"spill elevation","-")</f>
        <v>-</v>
      </c>
      <c r="S328" s="101" t="str">
        <f>IF(Sheet1!BS328&gt;21.75,"spill elevation","-")</f>
        <v>-</v>
      </c>
      <c r="T328" s="105">
        <f>IF(Sheet1!DQ328=1,Sheet1!AA328-(SUM(AT328:BA328)+BE328),Sheet1!AA328-SUM(AT328:BA328))</f>
        <v>25.48932800000582</v>
      </c>
      <c r="U328" s="105">
        <f>Sheet1!BU328</f>
        <v>21.1</v>
      </c>
      <c r="V328" s="105">
        <f t="shared" si="36"/>
        <v>4.3893280000058184</v>
      </c>
      <c r="W328" s="105">
        <f t="shared" si="37"/>
        <v>0</v>
      </c>
      <c r="X328" s="101">
        <f>IF((Sheet1!EX328-Sheet1!EX327)&lt;0,(Sheet1!EX328+100000-Sheet1!EX327)/1000,(Sheet1!EX328-Sheet1!EX327)/1000)</f>
        <v>1.3120000000000001</v>
      </c>
      <c r="Y328" s="106">
        <f ca="1">Calculation!DZ329+Calculation!EI328+'Calculations II'!O328-'Calculations II'!W328</f>
        <v>44.90063532058138</v>
      </c>
      <c r="Z328" s="106">
        <f ca="1">Y328-Sheet1!CP329</f>
        <v>29.63063532058138</v>
      </c>
      <c r="AA328" s="106">
        <f ca="1">Y328+Calculation!CZ329+Calculation!AI329</f>
        <v>44.90063532058138</v>
      </c>
      <c r="AC328" s="106">
        <f>Sheet1!AA328+Sheet1!AB328+BC328</f>
        <v>45.088384000005824</v>
      </c>
      <c r="AD328" s="106">
        <f>Sheet1!AA328+Sheet1!BN328+'Calculations II'!BC328-Calculation!AI328-Calculation!CZ328</f>
        <v>44.938384000005826</v>
      </c>
      <c r="AE328" s="106">
        <f>Sheet1!AA328+Sheet1!AB328+'Calculations II'!BC328-Calculation!AI328-Calculation!CZ328</f>
        <v>45.088384000005824</v>
      </c>
      <c r="AF328" s="106">
        <f ca="1">Sheet1!AA328+Sheet1!BN328+P328+'Calculations II'!BC328+Calculation!AI328+Calculation!CZ328</f>
        <v>44.499019320587209</v>
      </c>
      <c r="AG328" s="106">
        <f ca="1">IF(B328=TODAY(),0,Sheet1!AA328+Sheet1!BN328+'Calculations II'!BC328+'Calculations II'!P328-Sheet1!CP328-BP328)</f>
        <v>29.919019320587211</v>
      </c>
      <c r="AH328" s="106">
        <f ca="1">IF(B328=TODAY(),0,Sheet1!AA328+Sheet1!BN328+'Calculations II'!BC328+'Calculations II'!P328-BP328)</f>
        <v>44.499019320587209</v>
      </c>
      <c r="AI328" s="106">
        <f ca="1">IF(B328=TODAY(),0,BC328+Sheet1!AA328+Calculation!EI328+O328+W328+Sheet1!BN328+Calculation!AI328+Calculation!CZ328-BP328)</f>
        <v>44.499019320587195</v>
      </c>
      <c r="AJ328" s="106"/>
      <c r="AM328" s="102">
        <f t="shared" si="38"/>
        <v>40857</v>
      </c>
      <c r="AN328" s="106"/>
      <c r="AO328" s="106"/>
      <c r="AR328" s="106"/>
      <c r="AT328" s="101">
        <f>Sheet1!AR328*GPMtoMGD</f>
        <v>0</v>
      </c>
      <c r="AU328" s="101">
        <f>Sheet1!AS328*GPMtoMGD</f>
        <v>1.5264E-2</v>
      </c>
      <c r="AV328" s="101">
        <f>Sheet1!AT328*GPMtoMGD</f>
        <v>0</v>
      </c>
      <c r="AW328" s="101">
        <f>Sheet1!AV328*GPMtoMGD</f>
        <v>0.549072</v>
      </c>
      <c r="AX328" s="101">
        <f>Sheet1!AW328*GPMtoMGD</f>
        <v>0.54633600000000004</v>
      </c>
      <c r="AY328" s="101">
        <f>Sheet1!AX328*GPMtoMGD</f>
        <v>0</v>
      </c>
      <c r="AZ328" s="101">
        <f>Sheet1!AY328*GPMtoMGD</f>
        <v>0</v>
      </c>
      <c r="BA328" s="101">
        <f>Sheet1!AZ328*GPMtoMGD</f>
        <v>0</v>
      </c>
      <c r="BB328" s="101">
        <f>Sheet1!BP328*GPMtoMGD</f>
        <v>0</v>
      </c>
      <c r="BC328" s="101">
        <f>Sheet1!CO328*GPMtoMGD</f>
        <v>9.1383840000000003</v>
      </c>
      <c r="BD328" s="101">
        <f>Sheet1!BO328*GPMtoMGD</f>
        <v>1.725552</v>
      </c>
      <c r="BE328" s="101">
        <f>Sheet1!BV328*GPMtoMGD</f>
        <v>0.75009599999999998</v>
      </c>
      <c r="BF328" s="101">
        <f>Sheet1!CJ328*GPMtoMGD</f>
        <v>0.69235200000000008</v>
      </c>
      <c r="BG328" s="101">
        <f>Sheet1!CK328*GPMtoMGD</f>
        <v>0.51566400000000001</v>
      </c>
      <c r="BH328" s="101">
        <f>Sheet1!CL328*GPMtoMGD</f>
        <v>0.8136000000000001</v>
      </c>
      <c r="BI328" s="101">
        <f t="shared" si="39"/>
        <v>1.725552</v>
      </c>
      <c r="BK328" s="106">
        <f>SUM(AT328:BA328,BE328,Sheet1!BU328,'Calculations II'!BC328,Calculation!AG328)</f>
        <v>41.449152000000005</v>
      </c>
      <c r="BM328" s="439">
        <f ca="1">IF(B328=TODAY(),0,IF(AND(Sheet1!BQ328&lt;=11.5,Sheet1!BQ327&gt;Sheet1!BQ328),(MIN(Lookup!$C$119,VLOOKUP(Sheet1!BQ327,Lookup!$B$4:$J$236,2))-VLOOKUP(Sheet1!BQ328,Lookup!$B$4:$J$236,2))/1000000,0))</f>
        <v>0</v>
      </c>
      <c r="BN328" s="439">
        <f ca="1">IF(B328=TODAY(),0,IF(AND(Sheet1!BR328&lt;=11.5,Sheet1!BR327&gt;Sheet1!BR328),(MIN(Lookup!$D$119,VLOOKUP(Sheet1!BR327,Lookup!$B$4:$J$236,3))-VLOOKUP(Sheet1!BR328,Lookup!$B$4:$J$236,3))/1000000,0))</f>
        <v>0</v>
      </c>
      <c r="BP328" s="105">
        <f ca="1">SUM(BM328:BN328,W328,Sheet1!DT328)</f>
        <v>0</v>
      </c>
    </row>
    <row r="329" spans="1:68" s="101" customFormat="1">
      <c r="A329" s="101" t="s">
        <v>7</v>
      </c>
      <c r="B329" s="103">
        <v>40858</v>
      </c>
      <c r="C329" s="104">
        <v>0.33333333333357601</v>
      </c>
      <c r="E329" s="30"/>
      <c r="F329" s="30">
        <f ca="1">IF(B329=TODAY(),0,-(VLOOKUP(Sheet1!BZ329,Lookup!$I$4:$J$216,2)-VLOOKUP(Sheet1!BZ328,Lookup!$I$4:$J$216,2))/1000000)</f>
        <v>-0.31091081564339806</v>
      </c>
      <c r="G329" s="106">
        <f ca="1">IF(B329=TODAY(),0,-$G$6*(Sheet1!CB329-Sheet1!CB328)*7.48/1000000)</f>
        <v>0.27005180715740307</v>
      </c>
      <c r="H329" s="106">
        <f ca="1">IF(B329=TODAY(),0,-$G$6*(Sheet1!CC329-Sheet1!CC328)*7.48/1000000)</f>
        <v>-0.21048155557856474</v>
      </c>
      <c r="I329" s="106">
        <f ca="1">IF(B329=TODAY(),0,-$G$6*(Sheet1!CD329-Sheet1!CD328)*7.48/1000000)</f>
        <v>-0.20253885536805305</v>
      </c>
      <c r="J329" s="107" t="s">
        <v>193</v>
      </c>
      <c r="K329" s="106">
        <f ca="1">IF(B329=TODAY(),0,-$I$6*(Sheet1!CD329-Sheet1!CD328)*7.48/1000000)</f>
        <v>-9.1756692982938218E-2</v>
      </c>
      <c r="L329" s="107" t="s">
        <v>193</v>
      </c>
      <c r="M329" s="106">
        <f ca="1">IF(B329=TODAY(),0,-$M$6*(Sheet1!CE329-Sheet1!CE328)*7.48/1000000)</f>
        <v>-3.5981930022075531E-2</v>
      </c>
      <c r="N329" s="106">
        <f ca="1">IF(B329=TODAY(),0,-$N$6*(Sheet1!CF329-Sheet1!CF328)*7.48/1000000)</f>
        <v>6.2052345394622583E-3</v>
      </c>
      <c r="O329" s="106">
        <f t="shared" ca="1" si="35"/>
        <v>-0.57541280789816429</v>
      </c>
      <c r="P329" s="106">
        <f ca="1">O329+Calculation!EI329</f>
        <v>-3.0179128078981643</v>
      </c>
      <c r="Q329" s="101" t="str">
        <f>IF(Sheet1!BQ329&gt;21.75,"spill elevation","-")</f>
        <v>-</v>
      </c>
      <c r="R329" s="101" t="str">
        <f>IF(Sheet1!BR329&gt;21.75,"spill elevation","-")</f>
        <v>-</v>
      </c>
      <c r="S329" s="101" t="str">
        <f>IF(Sheet1!BS329&gt;21.75,"spill elevation","-")</f>
        <v>-</v>
      </c>
      <c r="T329" s="105">
        <f>IF(Sheet1!DQ329=1,Sheet1!AA329-(SUM(AT329:BA329)+BE329),Sheet1!AA329-SUM(AT329:BA329))</f>
        <v>25.265104000000001</v>
      </c>
      <c r="U329" s="105">
        <f>Sheet1!BU329</f>
        <v>19.5</v>
      </c>
      <c r="V329" s="105">
        <f t="shared" si="36"/>
        <v>5.7651040000000009</v>
      </c>
      <c r="W329" s="105">
        <f t="shared" si="37"/>
        <v>0</v>
      </c>
      <c r="X329" s="101">
        <f>IF((Sheet1!EX329-Sheet1!EX328)&lt;0,(Sheet1!EX329+100000-Sheet1!EX328)/1000,(Sheet1!EX329-Sheet1!EX328)/1000)</f>
        <v>1.296</v>
      </c>
      <c r="Y329" s="106">
        <f ca="1">Calculation!DZ330+Calculation!EI329+'Calculations II'!O329-'Calculations II'!W329</f>
        <v>42.55208719210183</v>
      </c>
      <c r="Z329" s="106">
        <f ca="1">Y329-Sheet1!CP330</f>
        <v>25.952087192101828</v>
      </c>
      <c r="AA329" s="106">
        <f ca="1">Y329+Calculation!CZ330+Calculation!AI330</f>
        <v>42.55208719210183</v>
      </c>
      <c r="AC329" s="106">
        <f>Sheet1!AA329+Sheet1!AB329+BC329</f>
        <v>45.34</v>
      </c>
      <c r="AD329" s="106">
        <f>Sheet1!AA329+Sheet1!BN329+'Calculations II'!BC329-Calculation!AI329-Calculation!CZ329</f>
        <v>45.14</v>
      </c>
      <c r="AE329" s="106">
        <f>Sheet1!AA329+Sheet1!AB329+'Calculations II'!BC329-Calculation!AI329-Calculation!CZ329</f>
        <v>45.34</v>
      </c>
      <c r="AF329" s="106">
        <f ca="1">Sheet1!AA329+Sheet1!BN329+P329+'Calculations II'!BC329+Calculation!AI329+Calculation!CZ329</f>
        <v>42.122087192101837</v>
      </c>
      <c r="AG329" s="106">
        <f ca="1">IF(B329=TODAY(),0,Sheet1!AA329+Sheet1!BN329+'Calculations II'!BC329+'Calculations II'!P329-Sheet1!CP329-BP329)</f>
        <v>26.852087192101838</v>
      </c>
      <c r="AH329" s="106">
        <f ca="1">IF(B329=TODAY(),0,Sheet1!AA329+Sheet1!BN329+'Calculations II'!BC329+'Calculations II'!P329-BP329)</f>
        <v>42.122087192101837</v>
      </c>
      <c r="AI329" s="106">
        <f ca="1">IF(B329=TODAY(),0,BC329+Sheet1!AA329+Calculation!EI329+O329+W329+Sheet1!BN329+Calculation!AI329+Calculation!CZ329-BP329)</f>
        <v>42.122087192101837</v>
      </c>
      <c r="AJ329" s="106"/>
      <c r="AM329" s="102">
        <f t="shared" si="38"/>
        <v>40858</v>
      </c>
      <c r="AN329" s="106"/>
      <c r="AO329" s="106"/>
      <c r="AR329" s="106"/>
      <c r="AT329" s="101">
        <f>Sheet1!AR329*GPMtoMGD</f>
        <v>0</v>
      </c>
      <c r="AU329" s="101">
        <f>Sheet1!AS329*GPMtoMGD</f>
        <v>1.5264E-2</v>
      </c>
      <c r="AV329" s="101">
        <f>Sheet1!AT329*GPMtoMGD</f>
        <v>0</v>
      </c>
      <c r="AW329" s="101">
        <f>Sheet1!AV329*GPMtoMGD</f>
        <v>0.57988800000000007</v>
      </c>
      <c r="AX329" s="101">
        <f>Sheet1!AW329*GPMtoMGD</f>
        <v>0.57974400000000004</v>
      </c>
      <c r="AY329" s="101">
        <f>Sheet1!AX329*GPMtoMGD</f>
        <v>0</v>
      </c>
      <c r="AZ329" s="101">
        <f>Sheet1!AY329*GPMtoMGD</f>
        <v>0</v>
      </c>
      <c r="BA329" s="101">
        <f>Sheet1!AZ329*GPMtoMGD</f>
        <v>0</v>
      </c>
      <c r="BB329" s="101">
        <f>Sheet1!BP329*GPMtoMGD</f>
        <v>0</v>
      </c>
      <c r="BC329" s="101">
        <f>Sheet1!CO329*GPMtoMGD</f>
        <v>0</v>
      </c>
      <c r="BD329" s="101">
        <f>Sheet1!BO329*GPMtoMGD</f>
        <v>1.6097760000000003</v>
      </c>
      <c r="BE329" s="101">
        <f>Sheet1!BV329*GPMtoMGD</f>
        <v>0.70689599999999997</v>
      </c>
      <c r="BF329" s="101">
        <f>Sheet1!CJ329*GPMtoMGD</f>
        <v>0.72158400000000011</v>
      </c>
      <c r="BG329" s="101">
        <f>Sheet1!CK329*GPMtoMGD</f>
        <v>0.56851200000000002</v>
      </c>
      <c r="BH329" s="101">
        <f>Sheet1!CL329*GPMtoMGD</f>
        <v>0.76334400000000013</v>
      </c>
      <c r="BI329" s="101">
        <f t="shared" si="39"/>
        <v>1.6097760000000003</v>
      </c>
      <c r="BK329" s="106">
        <f>SUM(AT329:BA329,BE329,Sheet1!BU329,'Calculations II'!BC329,Calculation!AG329)</f>
        <v>40.281791999999996</v>
      </c>
      <c r="BM329" s="439">
        <f ca="1">IF(B329=TODAY(),0,IF(AND(Sheet1!BQ329&lt;=11.5,Sheet1!BQ328&gt;Sheet1!BQ329),(MIN(Lookup!$C$119,VLOOKUP(Sheet1!BQ328,Lookup!$B$4:$J$236,2))-VLOOKUP(Sheet1!BQ329,Lookup!$B$4:$J$236,2))/1000000,0))</f>
        <v>0</v>
      </c>
      <c r="BN329" s="439">
        <f ca="1">IF(B329=TODAY(),0,IF(AND(Sheet1!BR329&lt;=11.5,Sheet1!BR328&gt;Sheet1!BR329),(MIN(Lookup!$D$119,VLOOKUP(Sheet1!BR328,Lookup!$B$4:$J$236,3))-VLOOKUP(Sheet1!BR329,Lookup!$B$4:$J$236,3))/1000000,0))</f>
        <v>0</v>
      </c>
      <c r="BP329" s="105">
        <f ca="1">SUM(BM329:BN329,W329,Sheet1!DT329)</f>
        <v>0</v>
      </c>
    </row>
    <row r="330" spans="1:68" s="101" customFormat="1">
      <c r="A330" s="101" t="s">
        <v>8</v>
      </c>
      <c r="B330" s="103">
        <v>40859</v>
      </c>
      <c r="C330" s="104">
        <v>0.33333333333357601</v>
      </c>
      <c r="E330" s="30"/>
      <c r="F330" s="30">
        <f ca="1">IF(B330=TODAY(),0,-(VLOOKUP(Sheet1!BZ330,Lookup!$I$4:$J$216,2)-VLOOKUP(Sheet1!BZ329,Lookup!$I$4:$J$216,2))/1000000)</f>
        <v>0.10363693854779936</v>
      </c>
      <c r="G330" s="106">
        <f ca="1">IF(B330=TODAY(),0,-$G$6*(Sheet1!CB330-Sheet1!CB329)*7.48/1000000)</f>
        <v>0.32565070863098639</v>
      </c>
      <c r="H330" s="106">
        <f ca="1">IF(B330=TODAY(),0,-$G$6*(Sheet1!CC330-Sheet1!CC329)*7.48/1000000)</f>
        <v>0.21048155557856474</v>
      </c>
      <c r="I330" s="106">
        <f ca="1">IF(B330=TODAY(),0,-$G$6*(Sheet1!CD330-Sheet1!CD329)*7.48/1000000)</f>
        <v>0.20651020547330889</v>
      </c>
      <c r="J330" s="107" t="s">
        <v>193</v>
      </c>
      <c r="K330" s="106">
        <f ca="1">IF(B330=TODAY(),0,-$I$6*(Sheet1!CD330-Sheet1!CD329)*7.48/1000000)</f>
        <v>9.3555843825740892E-2</v>
      </c>
      <c r="L330" s="107" t="s">
        <v>193</v>
      </c>
      <c r="M330" s="106">
        <f ca="1">IF(B330=TODAY(),0,-$M$6*(Sheet1!CE330-Sheet1!CE329)*7.48/1000000)</f>
        <v>3.2650269834846264E-2</v>
      </c>
      <c r="N330" s="106">
        <f ca="1">IF(B330=TODAY(),0,-$N$6*(Sheet1!CF330-Sheet1!CF329)*7.48/1000000)</f>
        <v>6.2052345394622583E-3</v>
      </c>
      <c r="O330" s="106">
        <f t="shared" ca="1" si="35"/>
        <v>0.9786907564307088</v>
      </c>
      <c r="P330" s="106">
        <f ca="1">O330+Calculation!EI330</f>
        <v>1.5258907564307087</v>
      </c>
      <c r="Q330" s="101" t="str">
        <f>IF(Sheet1!BQ330&gt;21.75,"spill elevation","-")</f>
        <v>-</v>
      </c>
      <c r="R330" s="101" t="str">
        <f>IF(Sheet1!BR330&gt;21.75,"spill elevation","-")</f>
        <v>-</v>
      </c>
      <c r="S330" s="101" t="str">
        <f>IF(Sheet1!BS330&gt;21.75,"spill elevation","-")</f>
        <v>-</v>
      </c>
      <c r="T330" s="105">
        <f>IF(Sheet1!DQ330=1,Sheet1!AA330-(SUM(AT330:BA330)+BE330),Sheet1!AA330-SUM(AT330:BA330))</f>
        <v>25.252896</v>
      </c>
      <c r="U330" s="105">
        <f>Sheet1!BU330</f>
        <v>22</v>
      </c>
      <c r="V330" s="105">
        <f t="shared" si="36"/>
        <v>3.2528959999999998</v>
      </c>
      <c r="W330" s="105">
        <f t="shared" si="37"/>
        <v>0</v>
      </c>
      <c r="X330" s="101">
        <f>IF((Sheet1!EX330-Sheet1!EX329)&lt;0,(Sheet1!EX330+100000-Sheet1!EX329)/1000,(Sheet1!EX330-Sheet1!EX329)/1000)</f>
        <v>1.3340000000000001</v>
      </c>
      <c r="Y330" s="106">
        <f ca="1">Calculation!DZ331+Calculation!EI330+'Calculations II'!O330-'Calculations II'!W330</f>
        <v>46.965890756431868</v>
      </c>
      <c r="Z330" s="106">
        <f ca="1">Y330-Sheet1!CP331</f>
        <v>30.605890756431869</v>
      </c>
      <c r="AA330" s="106">
        <f ca="1">Y330+Calculation!CZ331+Calculation!AI331</f>
        <v>46.965890756431868</v>
      </c>
      <c r="AC330" s="106">
        <f>Sheet1!AA330+Sheet1!AB330+BC330</f>
        <v>45.569999999999993</v>
      </c>
      <c r="AD330" s="106">
        <f>Sheet1!AA330+Sheet1!BN330+'Calculations II'!BC330-Calculation!AI330-Calculation!CZ330</f>
        <v>45.39</v>
      </c>
      <c r="AE330" s="106">
        <f>Sheet1!AA330+Sheet1!AB330+'Calculations II'!BC330-Calculation!AI330-Calculation!CZ330</f>
        <v>45.569999999999993</v>
      </c>
      <c r="AF330" s="106">
        <f ca="1">Sheet1!AA330+Sheet1!BN330+P330+'Calculations II'!BC330+Calculation!AI330+Calculation!CZ330</f>
        <v>46.915890756430713</v>
      </c>
      <c r="AG330" s="106">
        <f ca="1">IF(B330=TODAY(),0,Sheet1!AA330+Sheet1!BN330+'Calculations II'!BC330+'Calculations II'!P330-Sheet1!CP330-BP330)</f>
        <v>30.315890756430711</v>
      </c>
      <c r="AH330" s="106">
        <f ca="1">IF(B330=TODAY(),0,Sheet1!AA330+Sheet1!BN330+'Calculations II'!BC330+'Calculations II'!P330-BP330)</f>
        <v>46.915890756430713</v>
      </c>
      <c r="AI330" s="106">
        <f ca="1">IF(B330=TODAY(),0,BC330+Sheet1!AA330+Calculation!EI330+O330+W330+Sheet1!BN330+Calculation!AI330+Calculation!CZ330-BP330)</f>
        <v>46.915890756430706</v>
      </c>
      <c r="AJ330" s="106"/>
      <c r="AM330" s="102">
        <f t="shared" si="38"/>
        <v>40859</v>
      </c>
      <c r="AN330" s="106"/>
      <c r="AO330" s="106"/>
      <c r="AR330" s="106"/>
      <c r="AT330" s="101">
        <f>Sheet1!AR330*GPMtoMGD</f>
        <v>0</v>
      </c>
      <c r="AU330" s="101">
        <f>Sheet1!AS330*GPMtoMGD</f>
        <v>1.584E-2</v>
      </c>
      <c r="AV330" s="101">
        <f>Sheet1!AT330*GPMtoMGD</f>
        <v>0</v>
      </c>
      <c r="AW330" s="101">
        <f>Sheet1!AV330*GPMtoMGD</f>
        <v>0.64281600000000005</v>
      </c>
      <c r="AX330" s="101">
        <f>Sheet1!AW330*GPMtoMGD</f>
        <v>0.57844800000000007</v>
      </c>
      <c r="AY330" s="101">
        <f>Sheet1!AX330*GPMtoMGD</f>
        <v>0</v>
      </c>
      <c r="AZ330" s="101">
        <f>Sheet1!AY330*GPMtoMGD</f>
        <v>0</v>
      </c>
      <c r="BA330" s="101">
        <f>Sheet1!AZ330*GPMtoMGD</f>
        <v>0</v>
      </c>
      <c r="BB330" s="101">
        <f>Sheet1!BP330*GPMtoMGD</f>
        <v>0</v>
      </c>
      <c r="BC330" s="101">
        <f>Sheet1!CO330*GPMtoMGD</f>
        <v>0</v>
      </c>
      <c r="BD330" s="101">
        <f>Sheet1!BO330*GPMtoMGD</f>
        <v>2.3554080000000002</v>
      </c>
      <c r="BE330" s="101">
        <f>Sheet1!BV330*GPMtoMGD</f>
        <v>0.61243200000000009</v>
      </c>
      <c r="BF330" s="101">
        <f>Sheet1!CJ330*GPMtoMGD</f>
        <v>0.72288000000000008</v>
      </c>
      <c r="BG330" s="101">
        <f>Sheet1!CK330*GPMtoMGD</f>
        <v>0.58694400000000002</v>
      </c>
      <c r="BH330" s="101">
        <f>Sheet1!CL330*GPMtoMGD</f>
        <v>0.75571199999999994</v>
      </c>
      <c r="BI330" s="101">
        <f t="shared" si="39"/>
        <v>2.3554080000000002</v>
      </c>
      <c r="BK330" s="106">
        <f>SUM(AT330:BA330,BE330,Sheet1!BU330,'Calculations II'!BC330,Calculation!AG330)</f>
        <v>42.929535999999999</v>
      </c>
      <c r="BM330" s="439">
        <f ca="1">IF(B330=TODAY(),0,IF(AND(Sheet1!BQ330&lt;=11.5,Sheet1!BQ329&gt;Sheet1!BQ330),(MIN(Lookup!$C$119,VLOOKUP(Sheet1!BQ329,Lookup!$B$4:$J$236,2))-VLOOKUP(Sheet1!BQ330,Lookup!$B$4:$J$236,2))/1000000,0))</f>
        <v>0</v>
      </c>
      <c r="BN330" s="439">
        <f ca="1">IF(B330=TODAY(),0,IF(AND(Sheet1!BR330&lt;=11.5,Sheet1!BR329&gt;Sheet1!BR330),(MIN(Lookup!$D$119,VLOOKUP(Sheet1!BR329,Lookup!$B$4:$J$236,3))-VLOOKUP(Sheet1!BR330,Lookup!$B$4:$J$236,3))/1000000,0))</f>
        <v>0</v>
      </c>
      <c r="BP330" s="105">
        <f ca="1">SUM(BM330:BN330,W330,Sheet1!DT330)</f>
        <v>0</v>
      </c>
    </row>
    <row r="331" spans="1:68" s="101" customFormat="1">
      <c r="A331" s="101" t="s">
        <v>9</v>
      </c>
      <c r="B331" s="103">
        <v>40860</v>
      </c>
      <c r="C331" s="104">
        <v>0.33333333333357601</v>
      </c>
      <c r="E331" s="30"/>
      <c r="F331" s="30">
        <f ca="1">IF(B331=TODAY(),0,-(VLOOKUP(Sheet1!BZ331,Lookup!$I$4:$J$216,2)-VLOOKUP(Sheet1!BZ330,Lookup!$I$4:$J$216,2))/1000000)</f>
        <v>-0.20727387709559872</v>
      </c>
      <c r="G331" s="106">
        <f ca="1">IF(B331=TODAY(),0,-$G$6*(Sheet1!CB331-Sheet1!CB330)*7.48/1000000)</f>
        <v>-0.25416640673637975</v>
      </c>
      <c r="H331" s="106">
        <f ca="1">IF(B331=TODAY(),0,-$G$6*(Sheet1!CC331-Sheet1!CC330)*7.48/1000000)</f>
        <v>-0.18268210484177311</v>
      </c>
      <c r="I331" s="106">
        <f ca="1">IF(B331=TODAY(),0,-$G$6*(Sheet1!CD331-Sheet1!CD330)*7.48/1000000)</f>
        <v>-0.1906248050522848</v>
      </c>
      <c r="J331" s="107" t="s">
        <v>193</v>
      </c>
      <c r="K331" s="106">
        <f ca="1">IF(B331=TODAY(),0,-$I$6*(Sheet1!CD331-Sheet1!CD330)*7.48/1000000)</f>
        <v>-8.6359240454529904E-2</v>
      </c>
      <c r="L331" s="107" t="s">
        <v>193</v>
      </c>
      <c r="M331" s="106">
        <f ca="1">IF(B331=TODAY(),0,-$M$6*(Sheet1!CE331-Sheet1!CE330)*7.48/1000000)</f>
        <v>-2.5986949460387966E-2</v>
      </c>
      <c r="N331" s="106">
        <f ca="1">IF(B331=TODAY(),0,-$N$6*(Sheet1!CF331-Sheet1!CF330)*7.48/1000000)</f>
        <v>-0.23579891249957019</v>
      </c>
      <c r="O331" s="106">
        <f t="shared" ca="1" si="35"/>
        <v>-1.1828922961405244</v>
      </c>
      <c r="P331" s="106">
        <f ca="1">O331+Calculation!EI331</f>
        <v>-1.7300922961405243</v>
      </c>
      <c r="Q331" s="101" t="str">
        <f>IF(Sheet1!BQ331&gt;21.75,"spill elevation","-")</f>
        <v>-</v>
      </c>
      <c r="R331" s="101" t="str">
        <f>IF(Sheet1!BR331&gt;21.75,"spill elevation","-")</f>
        <v>-</v>
      </c>
      <c r="S331" s="101" t="str">
        <f>IF(Sheet1!BS331&gt;21.75,"spill elevation","-")</f>
        <v>-</v>
      </c>
      <c r="T331" s="105">
        <f>IF(Sheet1!DQ331=1,Sheet1!AA331-(SUM(AT331:BA331)+BE331),Sheet1!AA331-SUM(AT331:BA331))</f>
        <v>25.517328000001164</v>
      </c>
      <c r="U331" s="105">
        <f>Sheet1!BU331</f>
        <v>21.1</v>
      </c>
      <c r="V331" s="105">
        <f t="shared" si="36"/>
        <v>4.417328000001163</v>
      </c>
      <c r="W331" s="105">
        <f t="shared" si="37"/>
        <v>0</v>
      </c>
      <c r="X331" s="101">
        <f>IF((Sheet1!EX331-Sheet1!EX330)&lt;0,(Sheet1!EX331+100000-Sheet1!EX330)/1000,(Sheet1!EX331-Sheet1!EX330)/1000)</f>
        <v>1.3520000000000001</v>
      </c>
      <c r="Y331" s="106">
        <f ca="1">Calculation!DZ332+Calculation!EI331+'Calculations II'!O331-'Calculations II'!W331</f>
        <v>36.199907703859481</v>
      </c>
      <c r="Z331" s="106">
        <f ca="1">Y331-Sheet1!CP332</f>
        <v>19.699907703859481</v>
      </c>
      <c r="AA331" s="106">
        <f ca="1">Y331+Calculation!CZ332+Calculation!AI332</f>
        <v>36.199907703859481</v>
      </c>
      <c r="AC331" s="106">
        <f>Sheet1!AA331+Sheet1!AB331+BC331</f>
        <v>45.440000000001163</v>
      </c>
      <c r="AD331" s="106">
        <f>Sheet1!AA331+Sheet1!BN331+'Calculations II'!BC331-Calculation!AI331-Calculation!CZ331</f>
        <v>45.270000000001161</v>
      </c>
      <c r="AE331" s="106">
        <f>Sheet1!AA331+Sheet1!AB331+'Calculations II'!BC331-Calculation!AI331-Calculation!CZ331</f>
        <v>45.440000000001163</v>
      </c>
      <c r="AF331" s="106">
        <f ca="1">Sheet1!AA331+Sheet1!BN331+P331+'Calculations II'!BC331+Calculation!AI331+Calculation!CZ331</f>
        <v>43.539907703860635</v>
      </c>
      <c r="AG331" s="106">
        <f ca="1">IF(B331=TODAY(),0,Sheet1!AA331+Sheet1!BN331+'Calculations II'!BC331+'Calculations II'!P331-Sheet1!CP331-BP331)</f>
        <v>27.179907703860636</v>
      </c>
      <c r="AH331" s="106">
        <f ca="1">IF(B331=TODAY(),0,Sheet1!AA331+Sheet1!BN331+'Calculations II'!BC331+'Calculations II'!P331-BP331)</f>
        <v>43.539907703860635</v>
      </c>
      <c r="AI331" s="106">
        <f ca="1">IF(B331=TODAY(),0,BC331+Sheet1!AA331+Calculation!EI331+O331+W331+Sheet1!BN331+Calculation!AI331+Calculation!CZ331-BP331)</f>
        <v>43.539907703860635</v>
      </c>
      <c r="AJ331" s="106"/>
      <c r="AM331" s="102">
        <f t="shared" si="38"/>
        <v>40860</v>
      </c>
      <c r="AN331" s="106"/>
      <c r="AO331" s="106"/>
      <c r="AR331" s="106"/>
      <c r="AT331" s="101">
        <f>Sheet1!AR331*GPMtoMGD</f>
        <v>0</v>
      </c>
      <c r="AU331" s="101">
        <f>Sheet1!AS331*GPMtoMGD</f>
        <v>1.6560000000000002E-2</v>
      </c>
      <c r="AV331" s="101">
        <f>Sheet1!AT331*GPMtoMGD</f>
        <v>0</v>
      </c>
      <c r="AW331" s="101">
        <f>Sheet1!AV331*GPMtoMGD</f>
        <v>0.72475200000000006</v>
      </c>
      <c r="AX331" s="101">
        <f>Sheet1!AW331*GPMtoMGD</f>
        <v>0.71135999999999999</v>
      </c>
      <c r="AY331" s="101">
        <f>Sheet1!AX331*GPMtoMGD</f>
        <v>0</v>
      </c>
      <c r="AZ331" s="101">
        <f>Sheet1!AY331*GPMtoMGD</f>
        <v>0</v>
      </c>
      <c r="BA331" s="101">
        <f>Sheet1!AZ331*GPMtoMGD</f>
        <v>0</v>
      </c>
      <c r="BB331" s="101">
        <f>Sheet1!BP331*GPMtoMGD</f>
        <v>0</v>
      </c>
      <c r="BC331" s="101">
        <f>Sheet1!CO331*GPMtoMGD</f>
        <v>0</v>
      </c>
      <c r="BD331" s="101">
        <f>Sheet1!BO331*GPMtoMGD</f>
        <v>1.2885120000000001</v>
      </c>
      <c r="BE331" s="101">
        <f>Sheet1!BV331*GPMtoMGD</f>
        <v>0.63892800000000005</v>
      </c>
      <c r="BF331" s="101">
        <f>Sheet1!CJ331*GPMtoMGD</f>
        <v>0.77112000000000003</v>
      </c>
      <c r="BG331" s="101">
        <f>Sheet1!CK331*GPMtoMGD</f>
        <v>0.57902400000000009</v>
      </c>
      <c r="BH331" s="101">
        <f>Sheet1!CL331*GPMtoMGD</f>
        <v>0.77054400000000012</v>
      </c>
      <c r="BI331" s="101">
        <f t="shared" si="39"/>
        <v>1.2885120000000001</v>
      </c>
      <c r="BK331" s="106">
        <f>SUM(AT331:BA331,BE331,Sheet1!BU331,'Calculations II'!BC331,Calculation!AG331)</f>
        <v>41.6616</v>
      </c>
      <c r="BM331" s="439">
        <f ca="1">IF(B331=TODAY(),0,IF(AND(Sheet1!BQ331&lt;=11.5,Sheet1!BQ330&gt;Sheet1!BQ331),(MIN(Lookup!$C$119,VLOOKUP(Sheet1!BQ330,Lookup!$B$4:$J$236,2))-VLOOKUP(Sheet1!BQ331,Lookup!$B$4:$J$236,2))/1000000,0))</f>
        <v>0</v>
      </c>
      <c r="BN331" s="439">
        <f ca="1">IF(B331=TODAY(),0,IF(AND(Sheet1!BR331&lt;=11.5,Sheet1!BR330&gt;Sheet1!BR331),(MIN(Lookup!$D$119,VLOOKUP(Sheet1!BR330,Lookup!$B$4:$J$236,3))-VLOOKUP(Sheet1!BR331,Lookup!$B$4:$J$236,3))/1000000,0))</f>
        <v>0</v>
      </c>
      <c r="BP331" s="105">
        <f ca="1">SUM(BM331:BN331,W331,Sheet1!DT331)</f>
        <v>0</v>
      </c>
    </row>
    <row r="332" spans="1:68" s="101" customFormat="1">
      <c r="A332" s="101" t="s">
        <v>3</v>
      </c>
      <c r="B332" s="103">
        <v>40861</v>
      </c>
      <c r="C332" s="104">
        <v>0.33333333333357601</v>
      </c>
      <c r="E332" s="30"/>
      <c r="F332" s="30">
        <f ca="1">IF(B332=TODAY(),0,-(VLOOKUP(Sheet1!BZ332,Lookup!$I$4:$J$216,2)-VLOOKUP(Sheet1!BZ331,Lookup!$I$4:$J$216,2))/1000000)</f>
        <v>0.41454775419119744</v>
      </c>
      <c r="G332" s="106">
        <f ca="1">IF(B332=TODAY(),0,-$G$6*(Sheet1!CB332-Sheet1!CB331)*7.48/1000000)</f>
        <v>-0.48450471284122293</v>
      </c>
      <c r="H332" s="106">
        <f ca="1">IF(B332=TODAY(),0,-$G$6*(Sheet1!CC332-Sheet1!CC331)*7.48/1000000)</f>
        <v>-0.46464796231494376</v>
      </c>
      <c r="I332" s="106">
        <f ca="1">IF(B332=TODAY(),0,-$G$6*(Sheet1!CD332-Sheet1!CD331)*7.48/1000000)</f>
        <v>-0.44081986168340798</v>
      </c>
      <c r="J332" s="107" t="s">
        <v>193</v>
      </c>
      <c r="K332" s="106">
        <f ca="1">IF(B332=TODAY(),0,-$I$6*(Sheet1!CD332-Sheet1!CD331)*7.48/1000000)</f>
        <v>-0.1997057435511001</v>
      </c>
      <c r="L332" s="107" t="s">
        <v>193</v>
      </c>
      <c r="M332" s="106">
        <f ca="1">IF(B332=TODAY(),0,-$M$6*(Sheet1!CE332-Sheet1!CE331)*7.48/1000000)</f>
        <v>-8.8622160980297168E-2</v>
      </c>
      <c r="N332" s="106">
        <f ca="1">IF(B332=TODAY(),0,-$N$6*(Sheet1!CF332-Sheet1!CF331)*7.48/1000000)</f>
        <v>0.49021352861752826</v>
      </c>
      <c r="O332" s="106">
        <f t="shared" ca="1" si="35"/>
        <v>-0.7735391585622462</v>
      </c>
      <c r="P332" s="106">
        <f ca="1">O332+Calculation!EI332</f>
        <v>5.9861608414377541</v>
      </c>
      <c r="Q332" s="101" t="str">
        <f>IF(Sheet1!BQ332&gt;21.75,"spill elevation","-")</f>
        <v>-</v>
      </c>
      <c r="R332" s="101" t="str">
        <f>IF(Sheet1!BR332&gt;21.75,"spill elevation","-")</f>
        <v>-</v>
      </c>
      <c r="S332" s="101" t="str">
        <f>IF(Sheet1!BS332&gt;21.75,"spill elevation","-")</f>
        <v>-</v>
      </c>
      <c r="T332" s="105">
        <f>IF(Sheet1!DQ332=1,Sheet1!AA332-(SUM(AT332:BA332)+BE332),Sheet1!AA332-SUM(AT332:BA332))</f>
        <v>25.731279999999998</v>
      </c>
      <c r="U332" s="105">
        <f>Sheet1!BU332</f>
        <v>28</v>
      </c>
      <c r="V332" s="105">
        <f t="shared" si="36"/>
        <v>-2.2687200000000018</v>
      </c>
      <c r="W332" s="105">
        <f t="shared" si="37"/>
        <v>0</v>
      </c>
      <c r="X332" s="101">
        <f>IF((Sheet1!EX332-Sheet1!EX331)&lt;0,(Sheet1!EX332+100000-Sheet1!EX331)/1000,(Sheet1!EX332-Sheet1!EX331)/1000)</f>
        <v>0.29399999999999998</v>
      </c>
      <c r="Y332" s="106">
        <f ca="1">Calculation!DZ333+Calculation!EI332+'Calculations II'!O332-'Calculations II'!W332</f>
        <v>43.817280841429316</v>
      </c>
      <c r="Z332" s="106">
        <f ca="1">Y332-Sheet1!CP333</f>
        <v>27.827280841429314</v>
      </c>
      <c r="AA332" s="106">
        <f ca="1">Y332+Calculation!CZ333+Calculation!AI333</f>
        <v>43.817280841429316</v>
      </c>
      <c r="AC332" s="106">
        <f>Sheet1!AA332+Sheet1!AB332+BC332</f>
        <v>37.93</v>
      </c>
      <c r="AD332" s="106">
        <f>Sheet1!AA332+Sheet1!BN332+'Calculations II'!BC332-Calculation!AI332-Calculation!CZ332</f>
        <v>37.839999999999996</v>
      </c>
      <c r="AE332" s="106">
        <f>Sheet1!AA332+Sheet1!AB332+'Calculations II'!BC332-Calculation!AI332-Calculation!CZ332</f>
        <v>37.93</v>
      </c>
      <c r="AF332" s="106">
        <f ca="1">Sheet1!AA332+Sheet1!BN332+P332+'Calculations II'!BC332+Calculation!AI332+Calculation!CZ332</f>
        <v>43.826160841437748</v>
      </c>
      <c r="AG332" s="106">
        <f ca="1">IF(B332=TODAY(),0,Sheet1!AA332+Sheet1!BN332+'Calculations II'!BC332+'Calculations II'!P332-Sheet1!CP332-BP332)</f>
        <v>27.326160841437748</v>
      </c>
      <c r="AH332" s="106">
        <f ca="1">IF(B332=TODAY(),0,Sheet1!AA332+Sheet1!BN332+'Calculations II'!BC332+'Calculations II'!P332-BP332)</f>
        <v>43.826160841437748</v>
      </c>
      <c r="AI332" s="106">
        <f ca="1">IF(B332=TODAY(),0,BC332+Sheet1!AA332+Calculation!EI332+O332+W332+Sheet1!BN332+Calculation!AI332+Calculation!CZ332-BP332)</f>
        <v>43.826160841437755</v>
      </c>
      <c r="AJ332" s="106"/>
      <c r="AM332" s="102">
        <f t="shared" si="38"/>
        <v>40861</v>
      </c>
      <c r="AN332" s="106"/>
      <c r="AO332" s="106"/>
      <c r="AR332" s="106"/>
      <c r="AT332" s="101">
        <f>Sheet1!AR332*GPMtoMGD</f>
        <v>0</v>
      </c>
      <c r="AU332" s="101">
        <f>Sheet1!AS332*GPMtoMGD</f>
        <v>1.5120000000000001E-2</v>
      </c>
      <c r="AV332" s="101">
        <f>Sheet1!AT332*GPMtoMGD</f>
        <v>0</v>
      </c>
      <c r="AW332" s="101">
        <f>Sheet1!AV332*GPMtoMGD</f>
        <v>0.45792000000000005</v>
      </c>
      <c r="AX332" s="101">
        <f>Sheet1!AW332*GPMtoMGD</f>
        <v>0.53568000000000005</v>
      </c>
      <c r="AY332" s="101">
        <f>Sheet1!AX332*GPMtoMGD</f>
        <v>0</v>
      </c>
      <c r="AZ332" s="101">
        <f>Sheet1!AY332*GPMtoMGD</f>
        <v>0</v>
      </c>
      <c r="BA332" s="101">
        <f>Sheet1!AZ332*GPMtoMGD</f>
        <v>0</v>
      </c>
      <c r="BB332" s="101">
        <f>Sheet1!BP332*GPMtoMGD</f>
        <v>0</v>
      </c>
      <c r="BC332" s="101">
        <f>Sheet1!CO332*GPMtoMGD</f>
        <v>0</v>
      </c>
      <c r="BD332" s="101">
        <f>Sheet1!BO332*GPMtoMGD</f>
        <v>2.4340320000000002</v>
      </c>
      <c r="BE332" s="101">
        <f>Sheet1!BV332*GPMtoMGD</f>
        <v>0.63374400000000009</v>
      </c>
      <c r="BF332" s="101">
        <f>Sheet1!CJ332*GPMtoMGD</f>
        <v>0.74707199999999996</v>
      </c>
      <c r="BG332" s="101">
        <f>Sheet1!CK332*GPMtoMGD</f>
        <v>0.53971200000000008</v>
      </c>
      <c r="BH332" s="101">
        <f>Sheet1!CL332*GPMtoMGD</f>
        <v>0.829152</v>
      </c>
      <c r="BI332" s="101">
        <f t="shared" si="39"/>
        <v>2.4340320000000002</v>
      </c>
      <c r="BK332" s="106">
        <f>SUM(AT332:BA332,BE332,Sheet1!BU332,'Calculations II'!BC332,Calculation!AG332)</f>
        <v>40.832464000000002</v>
      </c>
      <c r="BM332" s="439">
        <f ca="1">IF(B332=TODAY(),0,IF(AND(Sheet1!BQ332&lt;=11.5,Sheet1!BQ331&gt;Sheet1!BQ332),(MIN(Lookup!$C$119,VLOOKUP(Sheet1!BQ331,Lookup!$B$4:$J$236,2))-VLOOKUP(Sheet1!BQ332,Lookup!$B$4:$J$236,2))/1000000,0))</f>
        <v>0</v>
      </c>
      <c r="BN332" s="439">
        <f ca="1">IF(B332=TODAY(),0,IF(AND(Sheet1!BR332&lt;=11.5,Sheet1!BR331&gt;Sheet1!BR332),(MIN(Lookup!$D$119,VLOOKUP(Sheet1!BR331,Lookup!$B$4:$J$236,3))-VLOOKUP(Sheet1!BR332,Lookup!$B$4:$J$236,3))/1000000,0))</f>
        <v>0</v>
      </c>
      <c r="BP332" s="105">
        <f ca="1">SUM(BM332:BN332,W332,Sheet1!DT332)</f>
        <v>0</v>
      </c>
    </row>
    <row r="333" spans="1:68" s="101" customFormat="1">
      <c r="A333" s="101" t="s">
        <v>4</v>
      </c>
      <c r="B333" s="103">
        <v>40862</v>
      </c>
      <c r="C333" s="104">
        <v>0.33333333333357601</v>
      </c>
      <c r="E333" s="30"/>
      <c r="F333" s="30">
        <f ca="1">IF(B333=TODAY(),0,-(VLOOKUP(Sheet1!BZ333,Lookup!$I$4:$J$216,2)-VLOOKUP(Sheet1!BZ332,Lookup!$I$4:$J$216,2))/1000000)</f>
        <v>0.10363693854779936</v>
      </c>
      <c r="G333" s="106">
        <f ca="1">IF(B333=TODAY(),0,-$G$6*(Sheet1!CB333-Sheet1!CB332)*7.48/1000000)</f>
        <v>0.11914050315767746</v>
      </c>
      <c r="H333" s="106">
        <f ca="1">IF(B333=TODAY(),0,-$G$6*(Sheet1!CC333-Sheet1!CC332)*7.48/1000000)</f>
        <v>0.43684851157815213</v>
      </c>
      <c r="I333" s="106">
        <f ca="1">IF(B333=TODAY(),0,-$G$6*(Sheet1!CD333-Sheet1!CD332)*7.48/1000000)</f>
        <v>0.39713501052559297</v>
      </c>
      <c r="J333" s="107" t="s">
        <v>193</v>
      </c>
      <c r="K333" s="106">
        <f ca="1">IF(B333=TODAY(),0,-$I$6*(Sheet1!CD333-Sheet1!CD332)*7.48/1000000)</f>
        <v>0.17991508428027048</v>
      </c>
      <c r="L333" s="107" t="s">
        <v>193</v>
      </c>
      <c r="M333" s="106">
        <f ca="1">IF(B333=TODAY(),0,-$M$6*(Sheet1!CE333-Sheet1!CE332)*7.48/1000000)</f>
        <v>7.995984449350127E-2</v>
      </c>
      <c r="N333" s="106">
        <f ca="1">IF(B333=TODAY(),0,-$N$6*(Sheet1!CF333-Sheet1!CF332)*7.48/1000000)</f>
        <v>-6.2052345394623676E-2</v>
      </c>
      <c r="O333" s="106">
        <f t="shared" ca="1" si="35"/>
        <v>1.2545835471883702</v>
      </c>
      <c r="P333" s="106">
        <f ca="1">O333+Calculation!EI333</f>
        <v>6.5848835471883707</v>
      </c>
      <c r="Q333" s="101" t="str">
        <f>IF(Sheet1!BQ333&gt;21.75,"spill elevation","-")</f>
        <v>-</v>
      </c>
      <c r="R333" s="101" t="str">
        <f>IF(Sheet1!BR333&gt;21.75,"spill elevation","-")</f>
        <v>-</v>
      </c>
      <c r="S333" s="101" t="str">
        <f>IF(Sheet1!BS333&gt;21.75,"spill elevation","-")</f>
        <v>-</v>
      </c>
      <c r="T333" s="105">
        <f>IF(Sheet1!DQ333=1,Sheet1!AA333-(SUM(AT333:BA333)+BE333),Sheet1!AA333-SUM(AT333:BA333))</f>
        <v>25.35110399999418</v>
      </c>
      <c r="U333" s="105">
        <f>Sheet1!BU333</f>
        <v>26.9</v>
      </c>
      <c r="V333" s="105">
        <f t="shared" si="36"/>
        <v>-1.5488960000058185</v>
      </c>
      <c r="W333" s="105">
        <f t="shared" si="37"/>
        <v>0</v>
      </c>
      <c r="X333" s="101">
        <f>IF((Sheet1!EX333-Sheet1!EX332)&lt;0,(Sheet1!EX333+100000-Sheet1!EX332)/1000,(Sheet1!EX333-Sheet1!EX332)/1000)</f>
        <v>0.123</v>
      </c>
      <c r="Y333" s="106">
        <f ca="1">Calculation!DZ334+Calculation!EI333+'Calculations II'!O333-'Calculations II'!W333</f>
        <v>51.777443547184006</v>
      </c>
      <c r="Z333" s="106">
        <f ca="1">Y333-Sheet1!CP334</f>
        <v>35.777443547184006</v>
      </c>
      <c r="AA333" s="106">
        <f ca="1">Y333+Calculation!CZ334+Calculation!AI334</f>
        <v>51.777443547184006</v>
      </c>
      <c r="AC333" s="106">
        <f>Sheet1!AA333+Sheet1!AB333+BC333</f>
        <v>37.831119999991557</v>
      </c>
      <c r="AD333" s="106">
        <f>Sheet1!AA333+Sheet1!BN333+'Calculations II'!BC333-Calculation!AI333-Calculation!CZ333</f>
        <v>37.801119999994178</v>
      </c>
      <c r="AE333" s="106">
        <f>Sheet1!AA333+Sheet1!AB333+'Calculations II'!BC333-Calculation!AI333-Calculation!CZ333</f>
        <v>37.831119999991557</v>
      </c>
      <c r="AF333" s="106">
        <f ca="1">Sheet1!AA333+Sheet1!BN333+P333+'Calculations II'!BC333+Calculation!AI333+Calculation!CZ333</f>
        <v>44.386003547182547</v>
      </c>
      <c r="AG333" s="106">
        <f ca="1">IF(B333=TODAY(),0,Sheet1!AA333+Sheet1!BN333+'Calculations II'!BC333+'Calculations II'!P333-Sheet1!CP333-BP333)</f>
        <v>28.396003547182545</v>
      </c>
      <c r="AH333" s="106">
        <f ca="1">IF(B333=TODAY(),0,Sheet1!AA333+Sheet1!BN333+'Calculations II'!BC333+'Calculations II'!P333-BP333)</f>
        <v>44.386003547182547</v>
      </c>
      <c r="AI333" s="106">
        <f ca="1">IF(B333=TODAY(),0,BC333+Sheet1!AA333+Calculation!EI333+O333+W333+Sheet1!BN333+Calculation!AI333+Calculation!CZ333-BP333)</f>
        <v>44.386003547182547</v>
      </c>
      <c r="AJ333" s="106"/>
      <c r="AM333" s="102">
        <f t="shared" si="38"/>
        <v>40862</v>
      </c>
      <c r="AN333" s="106"/>
      <c r="AO333" s="106"/>
      <c r="AR333" s="106"/>
      <c r="AT333" s="101">
        <f>Sheet1!AR333*GPMtoMGD</f>
        <v>0</v>
      </c>
      <c r="AU333" s="101">
        <f>Sheet1!AS333*GPMtoMGD</f>
        <v>2.9520000000000001E-2</v>
      </c>
      <c r="AV333" s="101">
        <f>Sheet1!AT333*GPMtoMGD</f>
        <v>0</v>
      </c>
      <c r="AW333" s="101">
        <f>Sheet1!AV333*GPMtoMGD</f>
        <v>0.47822400000000004</v>
      </c>
      <c r="AX333" s="101">
        <f>Sheet1!AW333*GPMtoMGD</f>
        <v>0.54115200000000008</v>
      </c>
      <c r="AY333" s="101">
        <f>Sheet1!AX333*GPMtoMGD</f>
        <v>0</v>
      </c>
      <c r="AZ333" s="101">
        <f>Sheet1!AY333*GPMtoMGD</f>
        <v>0</v>
      </c>
      <c r="BA333" s="101">
        <f>Sheet1!AZ333*GPMtoMGD</f>
        <v>0</v>
      </c>
      <c r="BB333" s="101">
        <f>Sheet1!BP333*GPMtoMGD</f>
        <v>0</v>
      </c>
      <c r="BC333" s="101">
        <f>Sheet1!CO333*GPMtoMGD</f>
        <v>2.3011200000000001</v>
      </c>
      <c r="BD333" s="101">
        <f>Sheet1!BO333*GPMtoMGD</f>
        <v>1.29816</v>
      </c>
      <c r="BE333" s="101">
        <f>Sheet1!BV333*GPMtoMGD</f>
        <v>0.64123200000000002</v>
      </c>
      <c r="BF333" s="101">
        <f>Sheet1!CJ333*GPMtoMGD</f>
        <v>0.62136000000000002</v>
      </c>
      <c r="BG333" s="101">
        <f>Sheet1!CK333*GPMtoMGD</f>
        <v>0.53150400000000009</v>
      </c>
      <c r="BH333" s="101">
        <f>Sheet1!CL333*GPMtoMGD</f>
        <v>0.83246400000000009</v>
      </c>
      <c r="BI333" s="101">
        <f t="shared" si="39"/>
        <v>1.29816</v>
      </c>
      <c r="BK333" s="106">
        <f>SUM(AT333:BA333,BE333,Sheet1!BU333,'Calculations II'!BC333,Calculation!AG333)</f>
        <v>40.021247999997385</v>
      </c>
      <c r="BM333" s="439">
        <f ca="1">IF(B333=TODAY(),0,IF(AND(Sheet1!BQ333&lt;=11.5,Sheet1!BQ332&gt;Sheet1!BQ333),(MIN(Lookup!$C$119,VLOOKUP(Sheet1!BQ332,Lookup!$B$4:$J$236,2))-VLOOKUP(Sheet1!BQ333,Lookup!$B$4:$J$236,2))/1000000,0))</f>
        <v>0</v>
      </c>
      <c r="BN333" s="439">
        <f ca="1">IF(B333=TODAY(),0,IF(AND(Sheet1!BR333&lt;=11.5,Sheet1!BR332&gt;Sheet1!BR333),(MIN(Lookup!$D$119,VLOOKUP(Sheet1!BR332,Lookup!$B$4:$J$236,3))-VLOOKUP(Sheet1!BR333,Lookup!$B$4:$J$236,3))/1000000,0))</f>
        <v>0</v>
      </c>
      <c r="BP333" s="105">
        <f ca="1">SUM(BM333:BN333,W333,Sheet1!DT333)</f>
        <v>0</v>
      </c>
    </row>
    <row r="334" spans="1:68" s="101" customFormat="1">
      <c r="A334" s="101" t="s">
        <v>5</v>
      </c>
      <c r="B334" s="103">
        <v>40863</v>
      </c>
      <c r="C334" s="104">
        <v>0.33333333333357601</v>
      </c>
      <c r="E334" s="30"/>
      <c r="F334" s="30">
        <f ca="1">IF(B334=TODAY(),0,-(VLOOKUP(Sheet1!BZ334,Lookup!$I$4:$J$216,2)-VLOOKUP(Sheet1!BZ333,Lookup!$I$4:$J$216,2))/1000000)</f>
        <v>-0.20727387709559872</v>
      </c>
      <c r="G334" s="106">
        <f ca="1">IF(B334=TODAY(),0,-$G$6*(Sheet1!CB334-Sheet1!CB333)*7.48/1000000)</f>
        <v>0.43684851157815285</v>
      </c>
      <c r="H334" s="106">
        <f ca="1">IF(B334=TODAY(),0,-$G$6*(Sheet1!CC334-Sheet1!CC333)*7.48/1000000)</f>
        <v>0.3574215094730338</v>
      </c>
      <c r="I334" s="106">
        <f ca="1">IF(B334=TODAY(),0,-$G$6*(Sheet1!CD334-Sheet1!CD333)*7.48/1000000)</f>
        <v>0.39713501052559297</v>
      </c>
      <c r="J334" s="107" t="s">
        <v>193</v>
      </c>
      <c r="K334" s="106">
        <f ca="1">IF(B334=TODAY(),0,-$I$6*(Sheet1!CD334-Sheet1!CD333)*7.48/1000000)</f>
        <v>0.17991508428027048</v>
      </c>
      <c r="L334" s="107" t="s">
        <v>193</v>
      </c>
      <c r="M334" s="106">
        <f ca="1">IF(B334=TODAY(),0,-$M$6*(Sheet1!CE334-Sheet1!CE333)*7.48/1000000)</f>
        <v>4.6643242621209044E-2</v>
      </c>
      <c r="N334" s="106">
        <f ca="1">IF(B334=TODAY(),0,-$N$6*(Sheet1!CF334-Sheet1!CF333)*7.48/1000000)</f>
        <v>-0.4343664177623669</v>
      </c>
      <c r="O334" s="106">
        <f t="shared" ca="1" si="35"/>
        <v>0.77632306362029357</v>
      </c>
      <c r="P334" s="106">
        <f ca="1">O334+Calculation!EI334</f>
        <v>0.24932306362029366</v>
      </c>
      <c r="Q334" s="101" t="str">
        <f>IF(Sheet1!BQ334&gt;21.75,"spill elevation","-")</f>
        <v>-</v>
      </c>
      <c r="R334" s="101" t="str">
        <f>IF(Sheet1!BR334&gt;21.75,"spill elevation","-")</f>
        <v>-</v>
      </c>
      <c r="S334" s="101" t="str">
        <f>IF(Sheet1!BS334&gt;21.75,"spill elevation","-")</f>
        <v>-</v>
      </c>
      <c r="T334" s="105">
        <f>IF(Sheet1!DQ334=1,Sheet1!AA334-(SUM(AT334:BA334)+BE334),Sheet1!AA334-SUM(AT334:BA334))</f>
        <v>25.686319999998837</v>
      </c>
      <c r="U334" s="105">
        <f>Sheet1!BU334</f>
        <v>21.7</v>
      </c>
      <c r="V334" s="105">
        <f t="shared" si="36"/>
        <v>3.9863199999988375</v>
      </c>
      <c r="W334" s="105">
        <f t="shared" si="37"/>
        <v>0</v>
      </c>
      <c r="X334" s="101">
        <f>IF((Sheet1!EX334-Sheet1!EX333)&lt;0,(Sheet1!EX334+100000-Sheet1!EX333)/1000,(Sheet1!EX334-Sheet1!EX333)/1000)</f>
        <v>3.423</v>
      </c>
      <c r="Y334" s="106">
        <f ca="1">Calculation!DZ335+Calculation!EI334+'Calculations II'!O334-'Calculations II'!W334</f>
        <v>45.291259063638918</v>
      </c>
      <c r="Z334" s="106">
        <f ca="1">Y334-Sheet1!CP335</f>
        <v>29.53125906363892</v>
      </c>
      <c r="AA334" s="106">
        <f ca="1">Y334+Calculation!CZ335+Calculation!AI335</f>
        <v>45.291259063638918</v>
      </c>
      <c r="AC334" s="106">
        <f>Sheet1!AA334+Sheet1!AB334+BC334</f>
        <v>45.192559999995638</v>
      </c>
      <c r="AD334" s="106">
        <f>Sheet1!AA334+Sheet1!BN334+'Calculations II'!BC334-Calculation!AI334-Calculation!CZ334</f>
        <v>45.02255999999884</v>
      </c>
      <c r="AE334" s="106">
        <f>Sheet1!AA334+Sheet1!AB334+'Calculations II'!BC334-Calculation!AI334-Calculation!CZ334</f>
        <v>45.192559999995638</v>
      </c>
      <c r="AF334" s="106">
        <f ca="1">Sheet1!AA334+Sheet1!BN334+P334+'Calculations II'!BC334+Calculation!AI334+Calculation!CZ334</f>
        <v>45.271883063619136</v>
      </c>
      <c r="AG334" s="106">
        <f ca="1">IF(B334=TODAY(),0,Sheet1!AA334+Sheet1!BN334+'Calculations II'!BC334+'Calculations II'!P334-Sheet1!CP334-BP334)</f>
        <v>29.271883063619136</v>
      </c>
      <c r="AH334" s="106">
        <f ca="1">IF(B334=TODAY(),0,Sheet1!AA334+Sheet1!BN334+'Calculations II'!BC334+'Calculations II'!P334-BP334)</f>
        <v>45.271883063619136</v>
      </c>
      <c r="AI334" s="106">
        <f ca="1">IF(B334=TODAY(),0,BC334+Sheet1!AA334+Calculation!EI334+O334+W334+Sheet1!BN334+Calculation!AI334+Calculation!CZ334-BP334)</f>
        <v>45.271883063619136</v>
      </c>
      <c r="AJ334" s="106"/>
      <c r="AM334" s="102">
        <f t="shared" si="38"/>
        <v>40863</v>
      </c>
      <c r="AN334" s="106"/>
      <c r="AO334" s="106"/>
      <c r="AR334" s="106"/>
      <c r="AT334" s="101">
        <f>Sheet1!AR334*GPMtoMGD</f>
        <v>0</v>
      </c>
      <c r="AU334" s="101">
        <f>Sheet1!AS334*GPMtoMGD</f>
        <v>1.5552000000000002E-2</v>
      </c>
      <c r="AV334" s="101">
        <f>Sheet1!AT334*GPMtoMGD</f>
        <v>0</v>
      </c>
      <c r="AW334" s="101">
        <f>Sheet1!AV334*GPMtoMGD</f>
        <v>0.52372799999999997</v>
      </c>
      <c r="AX334" s="101">
        <f>Sheet1!AW334*GPMtoMGD</f>
        <v>0.5544</v>
      </c>
      <c r="AY334" s="101">
        <f>Sheet1!AX334*GPMtoMGD</f>
        <v>0</v>
      </c>
      <c r="AZ334" s="101">
        <f>Sheet1!AY334*GPMtoMGD</f>
        <v>0</v>
      </c>
      <c r="BA334" s="101">
        <f>Sheet1!AZ334*GPMtoMGD</f>
        <v>0</v>
      </c>
      <c r="BB334" s="101">
        <f>Sheet1!BP334*GPMtoMGD</f>
        <v>0</v>
      </c>
      <c r="BC334" s="101">
        <f>Sheet1!CO334*GPMtoMGD</f>
        <v>9.1425600000000014</v>
      </c>
      <c r="BD334" s="101">
        <f>Sheet1!BO334*GPMtoMGD</f>
        <v>1.5422400000000001</v>
      </c>
      <c r="BE334" s="101">
        <f>Sheet1!BV334*GPMtoMGD</f>
        <v>0.62337600000000004</v>
      </c>
      <c r="BF334" s="101">
        <f>Sheet1!CJ334*GPMtoMGD</f>
        <v>0.60940800000000006</v>
      </c>
      <c r="BG334" s="101">
        <f>Sheet1!CK334*GPMtoMGD</f>
        <v>0.52272000000000007</v>
      </c>
      <c r="BH334" s="101">
        <f>Sheet1!CL334*GPMtoMGD</f>
        <v>0.80726400000000009</v>
      </c>
      <c r="BI334" s="101">
        <f t="shared" si="39"/>
        <v>1.5422400000000001</v>
      </c>
      <c r="BK334" s="106">
        <f>SUM(AT334:BA334,BE334,Sheet1!BU334,'Calculations II'!BC334,Calculation!AG334)</f>
        <v>41.829615999996797</v>
      </c>
      <c r="BM334" s="439">
        <f ca="1">IF(B334=TODAY(),0,IF(AND(Sheet1!BQ334&lt;=11.5,Sheet1!BQ333&gt;Sheet1!BQ334),(MIN(Lookup!$C$119,VLOOKUP(Sheet1!BQ333,Lookup!$B$4:$J$236,2))-VLOOKUP(Sheet1!BQ334,Lookup!$B$4:$J$236,2))/1000000,0))</f>
        <v>0</v>
      </c>
      <c r="BN334" s="439">
        <f ca="1">IF(B334=TODAY(),0,IF(AND(Sheet1!BR334&lt;=11.5,Sheet1!BR333&gt;Sheet1!BR334),(MIN(Lookup!$D$119,VLOOKUP(Sheet1!BR333,Lookup!$B$4:$J$236,3))-VLOOKUP(Sheet1!BR334,Lookup!$B$4:$J$236,3))/1000000,0))</f>
        <v>0</v>
      </c>
      <c r="BP334" s="105">
        <f ca="1">SUM(BM334:BN334,W334,Sheet1!DT334)</f>
        <v>0</v>
      </c>
    </row>
    <row r="335" spans="1:68" s="101" customFormat="1">
      <c r="A335" s="101" t="s">
        <v>6</v>
      </c>
      <c r="B335" s="103">
        <v>40864</v>
      </c>
      <c r="C335" s="104">
        <v>0.33333333333357601</v>
      </c>
      <c r="E335" s="30"/>
      <c r="F335" s="30">
        <f ca="1">IF(B335=TODAY(),0,-(VLOOKUP(Sheet1!BZ335,Lookup!$I$4:$J$216,2)-VLOOKUP(Sheet1!BZ334,Lookup!$I$4:$J$216,2))/1000000)</f>
        <v>0.41454775419120304</v>
      </c>
      <c r="G335" s="106">
        <f ca="1">IF(B335=TODAY(),0,-$G$6*(Sheet1!CB335-Sheet1!CB334)*7.48/1000000)</f>
        <v>0.27799450736791476</v>
      </c>
      <c r="H335" s="106">
        <f ca="1">IF(B335=TODAY(),0,-$G$6*(Sheet1!CC335-Sheet1!CC334)*7.48/1000000)</f>
        <v>-0.15885400421023735</v>
      </c>
      <c r="I335" s="106">
        <f ca="1">IF(B335=TODAY(),0,-$G$6*(Sheet1!CD335-Sheet1!CD334)*7.48/1000000)</f>
        <v>-0.19856750526279648</v>
      </c>
      <c r="J335" s="107" t="s">
        <v>193</v>
      </c>
      <c r="K335" s="106">
        <f ca="1">IF(B335=TODAY(),0,-$I$6*(Sheet1!CD335-Sheet1!CD334)*7.48/1000000)</f>
        <v>-8.9957542140135238E-2</v>
      </c>
      <c r="L335" s="107" t="s">
        <v>193</v>
      </c>
      <c r="M335" s="106">
        <f ca="1">IF(B335=TODAY(),0,-$M$6*(Sheet1!CE335-Sheet1!CE334)*7.48/1000000)</f>
        <v>-6.6633203744583007E-3</v>
      </c>
      <c r="N335" s="106">
        <f ca="1">IF(B335=TODAY(),0,-$N$6*(Sheet1!CF335-Sheet1!CF334)*7.48/1000000)</f>
        <v>0.18615703618387103</v>
      </c>
      <c r="O335" s="106">
        <f t="shared" ca="1" si="35"/>
        <v>0.42465692575536151</v>
      </c>
      <c r="P335" s="106">
        <f ca="1">O335+Calculation!EI335</f>
        <v>-2.5109430742446386</v>
      </c>
      <c r="Q335" s="101" t="str">
        <f>IF(Sheet1!BQ335&gt;21.75,"spill elevation","-")</f>
        <v>-</v>
      </c>
      <c r="R335" s="101" t="str">
        <f>IF(Sheet1!BR335&gt;21.75,"spill elevation","-")</f>
        <v>-</v>
      </c>
      <c r="S335" s="101" t="str">
        <f>IF(Sheet1!BS335&gt;21.75,"spill elevation","-")</f>
        <v>-</v>
      </c>
      <c r="T335" s="105">
        <f>IF(Sheet1!DQ335=1,Sheet1!AA335-(SUM(AT335:BA335)+BE335),Sheet1!AA335-SUM(AT335:BA335))</f>
        <v>24.271168000012807</v>
      </c>
      <c r="U335" s="105">
        <f>Sheet1!BU335</f>
        <v>18.8</v>
      </c>
      <c r="V335" s="105">
        <f t="shared" si="36"/>
        <v>5.4711680000128062</v>
      </c>
      <c r="W335" s="105">
        <f t="shared" si="37"/>
        <v>0</v>
      </c>
      <c r="X335" s="101">
        <f>IF((Sheet1!EX335-Sheet1!EX334)&lt;0,(Sheet1!EX335+100000-Sheet1!EX334)/1000,(Sheet1!EX335-Sheet1!EX334)/1000)</f>
        <v>1.266</v>
      </c>
      <c r="Y335" s="106">
        <f ca="1">Calculation!DZ336+Calculation!EI335+'Calculations II'!O335-'Calculations II'!W335</f>
        <v>43.030400925755366</v>
      </c>
      <c r="Z335" s="106">
        <f ca="1">Y335-Sheet1!CP336</f>
        <v>26.200400925755368</v>
      </c>
      <c r="AA335" s="106">
        <f ca="1">Y335+Calculation!CZ336+Calculation!AI336</f>
        <v>43.305575672091329</v>
      </c>
      <c r="AC335" s="106">
        <f>Sheet1!AA335+Sheet1!AB335+BC335</f>
        <v>45.041936000018623</v>
      </c>
      <c r="AD335" s="106">
        <f>Sheet1!AA335+Sheet1!BN335+'Calculations II'!BC335-Calculation!AI335-Calculation!CZ335</f>
        <v>44.971936000012803</v>
      </c>
      <c r="AE335" s="106">
        <f>Sheet1!AA335+Sheet1!AB335+'Calculations II'!BC335-Calculation!AI335-Calculation!CZ335</f>
        <v>45.041936000018623</v>
      </c>
      <c r="AF335" s="106">
        <f ca="1">Sheet1!AA335+Sheet1!BN335+P335+'Calculations II'!BC335+Calculation!AI335+Calculation!CZ335</f>
        <v>42.460992925768167</v>
      </c>
      <c r="AG335" s="106">
        <f ca="1">IF(B335=TODAY(),0,Sheet1!AA335+Sheet1!BN335+'Calculations II'!BC335+'Calculations II'!P335-Sheet1!CP335-BP335)</f>
        <v>26.700992925768169</v>
      </c>
      <c r="AH335" s="106">
        <f ca="1">IF(B335=TODAY(),0,Sheet1!AA335+Sheet1!BN335+'Calculations II'!BC335+'Calculations II'!P335-BP335)</f>
        <v>42.460992925768167</v>
      </c>
      <c r="AI335" s="106">
        <f ca="1">IF(B335=TODAY(),0,BC335+Sheet1!AA335+Calculation!EI335+O335+W335+Sheet1!BN335+Calculation!AI335+Calculation!CZ335-BP335)</f>
        <v>42.460992925768167</v>
      </c>
      <c r="AJ335" s="106"/>
      <c r="AM335" s="102">
        <f t="shared" si="38"/>
        <v>40864</v>
      </c>
      <c r="AN335" s="106"/>
      <c r="AO335" s="106"/>
      <c r="AR335" s="106"/>
      <c r="AT335" s="101">
        <f>Sheet1!AR335*GPMtoMGD</f>
        <v>0</v>
      </c>
      <c r="AU335" s="101">
        <f>Sheet1!AS335*GPMtoMGD</f>
        <v>1.5552000000000002E-2</v>
      </c>
      <c r="AV335" s="101">
        <f>Sheet1!AT335*GPMtoMGD</f>
        <v>0</v>
      </c>
      <c r="AW335" s="101">
        <f>Sheet1!AV335*GPMtoMGD</f>
        <v>0.53323200000000004</v>
      </c>
      <c r="AX335" s="101">
        <f>Sheet1!AW335*GPMtoMGD</f>
        <v>0.60004800000000003</v>
      </c>
      <c r="AY335" s="101">
        <f>Sheet1!AX335*GPMtoMGD</f>
        <v>0</v>
      </c>
      <c r="AZ335" s="101">
        <f>Sheet1!AY335*GPMtoMGD</f>
        <v>0</v>
      </c>
      <c r="BA335" s="101">
        <f>Sheet1!AZ335*GPMtoMGD</f>
        <v>0</v>
      </c>
      <c r="BB335" s="101">
        <f>Sheet1!BP335*GPMtoMGD</f>
        <v>0</v>
      </c>
      <c r="BC335" s="101">
        <f>Sheet1!CO335*GPMtoMGD</f>
        <v>10.521936</v>
      </c>
      <c r="BD335" s="101">
        <f>Sheet1!BO335*GPMtoMGD</f>
        <v>1.7700480000000003</v>
      </c>
      <c r="BE335" s="101">
        <f>Sheet1!BV335*GPMtoMGD</f>
        <v>0.59918400000000005</v>
      </c>
      <c r="BF335" s="101">
        <f>Sheet1!CJ335*GPMtoMGD</f>
        <v>0.53654400000000002</v>
      </c>
      <c r="BG335" s="101">
        <f>Sheet1!CK335*GPMtoMGD</f>
        <v>0.54864000000000002</v>
      </c>
      <c r="BH335" s="101">
        <f>Sheet1!CL335*GPMtoMGD</f>
        <v>0.79099200000000003</v>
      </c>
      <c r="BI335" s="101">
        <f t="shared" si="39"/>
        <v>1.7700480000000003</v>
      </c>
      <c r="BK335" s="106">
        <f>SUM(AT335:BA335,BE335,Sheet1!BU335,'Calculations II'!BC335,Calculation!AG335)</f>
        <v>40.169952000005821</v>
      </c>
      <c r="BM335" s="439">
        <f ca="1">IF(B335=TODAY(),0,IF(AND(Sheet1!BQ335&lt;=11.5,Sheet1!BQ334&gt;Sheet1!BQ335),(MIN(Lookup!$C$119,VLOOKUP(Sheet1!BQ334,Lookup!$B$4:$J$236,2))-VLOOKUP(Sheet1!BQ335,Lookup!$B$4:$J$236,2))/1000000,0))</f>
        <v>0</v>
      </c>
      <c r="BN335" s="439">
        <f ca="1">IF(B335=TODAY(),0,IF(AND(Sheet1!BR335&lt;=11.5,Sheet1!BR334&gt;Sheet1!BR335),(MIN(Lookup!$D$119,VLOOKUP(Sheet1!BR334,Lookup!$B$4:$J$236,3))-VLOOKUP(Sheet1!BR335,Lookup!$B$4:$J$236,3))/1000000,0))</f>
        <v>0</v>
      </c>
      <c r="BP335" s="105">
        <f ca="1">SUM(BM335:BN335,W335,Sheet1!DT335)</f>
        <v>0</v>
      </c>
    </row>
    <row r="336" spans="1:68" s="101" customFormat="1">
      <c r="A336" s="101" t="s">
        <v>7</v>
      </c>
      <c r="B336" s="103">
        <v>40865</v>
      </c>
      <c r="C336" s="104">
        <v>0.33333333333357601</v>
      </c>
      <c r="E336" s="30"/>
      <c r="F336" s="30">
        <f ca="1">IF(B336=TODAY(),0,-(VLOOKUP(Sheet1!BZ336,Lookup!$I$4:$J$216,2)-VLOOKUP(Sheet1!BZ335,Lookup!$I$4:$J$216,2))/1000000)</f>
        <v>1.554554078216996</v>
      </c>
      <c r="G336" s="106">
        <f ca="1">IF(B336=TODAY(),0,-$G$6*(Sheet1!CB336-Sheet1!CB335)*7.48/1000000)</f>
        <v>-0.95312402526142337</v>
      </c>
      <c r="H336" s="106">
        <f ca="1">IF(B336=TODAY(),0,-$G$6*(Sheet1!CC336-Sheet1!CC335)*7.48/1000000)</f>
        <v>3.9713501052559157E-2</v>
      </c>
      <c r="I336" s="106">
        <f ca="1">IF(B336=TODAY(),0,-$G$6*(Sheet1!CD336-Sheet1!CD335)*7.48/1000000)</f>
        <v>0.11914050315767746</v>
      </c>
      <c r="J336" s="107" t="s">
        <v>193</v>
      </c>
      <c r="K336" s="106">
        <f ca="1">IF(B336=TODAY(),0,-$I$6*(Sheet1!CD336-Sheet1!CD335)*7.48/1000000)</f>
        <v>5.3974525284080956E-2</v>
      </c>
      <c r="L336" s="107" t="s">
        <v>193</v>
      </c>
      <c r="M336" s="106">
        <f ca="1">IF(B336=TODAY(),0,-$M$6*(Sheet1!CE336-Sheet1!CE335)*7.48/1000000)</f>
        <v>-1.3326640748916837E-2</v>
      </c>
      <c r="N336" s="106">
        <f ca="1">IF(B336=TODAY(),0,-$N$6*(Sheet1!CF336-Sheet1!CF335)*7.48/1000000)</f>
        <v>0.55847110855161541</v>
      </c>
      <c r="O336" s="106">
        <f t="shared" ca="1" si="35"/>
        <v>1.3594030502525887</v>
      </c>
      <c r="P336" s="106">
        <f ca="1">O336+Calculation!EI336</f>
        <v>1.0928030502525887</v>
      </c>
      <c r="Q336" s="101" t="str">
        <f>IF(Sheet1!BQ336&gt;21.75,"spill elevation","-")</f>
        <v>-</v>
      </c>
      <c r="R336" s="101" t="str">
        <f>IF(Sheet1!BR336&gt;21.75,"spill elevation","-")</f>
        <v>-</v>
      </c>
      <c r="S336" s="101" t="str">
        <f>IF(Sheet1!BS336&gt;21.75,"spill elevation","-")</f>
        <v>-</v>
      </c>
      <c r="T336" s="105">
        <f>IF(Sheet1!DQ336=1,Sheet1!AA336-(SUM(AT336:BA336)+BE336),Sheet1!AA336-SUM(AT336:BA336))</f>
        <v>24.916544000000002</v>
      </c>
      <c r="U336" s="105">
        <f>Sheet1!BU336</f>
        <v>20.7</v>
      </c>
      <c r="V336" s="105">
        <f t="shared" si="36"/>
        <v>4.2165440000000025</v>
      </c>
      <c r="W336" s="105">
        <f t="shared" si="37"/>
        <v>0</v>
      </c>
      <c r="X336" s="101">
        <f>IF((Sheet1!EX336-Sheet1!EX335)&lt;0,(Sheet1!EX336+100000-Sheet1!EX335)/1000,(Sheet1!EX336-Sheet1!EX335)/1000)</f>
        <v>1.242</v>
      </c>
      <c r="Y336" s="106">
        <f ca="1">Calculation!DZ337+Calculation!EI336+'Calculations II'!O336-'Calculations II'!W336</f>
        <v>49.539379050240946</v>
      </c>
      <c r="Z336" s="106">
        <f ca="1">Y336-Sheet1!CP337</f>
        <v>32.759379050240945</v>
      </c>
      <c r="AA336" s="106">
        <f ca="1">Y336+Calculation!CZ337+Calculation!AI337</f>
        <v>49.539379050240946</v>
      </c>
      <c r="AC336" s="106">
        <f>Sheet1!AA336+Sheet1!AB336+BC336</f>
        <v>45.541344000000002</v>
      </c>
      <c r="AD336" s="106">
        <f>Sheet1!AA336+Sheet1!BN336+'Calculations II'!BC336-Calculation!AI336-Calculation!CZ336</f>
        <v>44.826169253664041</v>
      </c>
      <c r="AE336" s="106">
        <f>Sheet1!AA336+Sheet1!AB336+'Calculations II'!BC336-Calculation!AI336-Calculation!CZ336</f>
        <v>45.266169253664039</v>
      </c>
      <c r="AF336" s="106">
        <f ca="1">Sheet1!AA336+Sheet1!BN336+P336+'Calculations II'!BC336+Calculation!AI336+Calculation!CZ336</f>
        <v>46.469321796588559</v>
      </c>
      <c r="AG336" s="106">
        <f ca="1">IF(B336=TODAY(),0,Sheet1!AA336+Sheet1!BN336+'Calculations II'!BC336+'Calculations II'!P336-Sheet1!CP336-BP336)</f>
        <v>29.364147050252598</v>
      </c>
      <c r="AH336" s="106">
        <f ca="1">IF(B336=TODAY(),0,Sheet1!AA336+Sheet1!BN336+'Calculations II'!BC336+'Calculations II'!P336-BP336)</f>
        <v>46.194147050252596</v>
      </c>
      <c r="AI336" s="106">
        <f ca="1">IF(B336=TODAY(),0,BC336+Sheet1!AA336+Calculation!EI336+O336+W336+Sheet1!BN336+Calculation!AI336+Calculation!CZ336-BP336)</f>
        <v>46.469321796588559</v>
      </c>
      <c r="AJ336" s="106"/>
      <c r="AM336" s="102">
        <f t="shared" si="38"/>
        <v>40865</v>
      </c>
      <c r="AN336" s="106"/>
      <c r="AO336" s="106"/>
      <c r="AR336" s="106"/>
      <c r="AT336" s="101">
        <f>Sheet1!AR336*GPMtoMGD</f>
        <v>0</v>
      </c>
      <c r="AU336" s="101">
        <f>Sheet1!AS336*GPMtoMGD</f>
        <v>1.5552000000000002E-2</v>
      </c>
      <c r="AV336" s="101">
        <f>Sheet1!AT336*GPMtoMGD</f>
        <v>0</v>
      </c>
      <c r="AW336" s="101">
        <f>Sheet1!AV336*GPMtoMGD</f>
        <v>0.47592000000000001</v>
      </c>
      <c r="AX336" s="101">
        <f>Sheet1!AW336*GPMtoMGD</f>
        <v>0.59198400000000007</v>
      </c>
      <c r="AY336" s="101">
        <f>Sheet1!AX336*GPMtoMGD</f>
        <v>0</v>
      </c>
      <c r="AZ336" s="101">
        <f>Sheet1!AY336*GPMtoMGD</f>
        <v>0</v>
      </c>
      <c r="BA336" s="101">
        <f>Sheet1!AZ336*GPMtoMGD</f>
        <v>0</v>
      </c>
      <c r="BB336" s="101">
        <f>Sheet1!BP336*GPMtoMGD</f>
        <v>0</v>
      </c>
      <c r="BC336" s="101">
        <f>Sheet1!CO336*GPMtoMGD</f>
        <v>10.501344000000001</v>
      </c>
      <c r="BD336" s="101">
        <f>Sheet1!BO336*GPMtoMGD</f>
        <v>1.6980480000000002</v>
      </c>
      <c r="BE336" s="101">
        <f>Sheet1!BV336*GPMtoMGD</f>
        <v>0.78652800000000012</v>
      </c>
      <c r="BF336" s="101">
        <f>Sheet1!CJ336*GPMtoMGD</f>
        <v>0.46944000000000002</v>
      </c>
      <c r="BG336" s="101">
        <f>Sheet1!CK336*GPMtoMGD</f>
        <v>0.51119999999999999</v>
      </c>
      <c r="BH336" s="101">
        <f>Sheet1!CL336*GPMtoMGD</f>
        <v>0.80236800000000008</v>
      </c>
      <c r="BI336" s="101">
        <f t="shared" si="39"/>
        <v>1.6980480000000002</v>
      </c>
      <c r="BK336" s="106">
        <f>SUM(AT336:BA336,BE336,Sheet1!BU336,'Calculations II'!BC336,Calculation!AG336)</f>
        <v>41.836153253664037</v>
      </c>
      <c r="BM336" s="439">
        <f ca="1">IF(B336=TODAY(),0,IF(AND(Sheet1!BQ336&lt;=11.5,Sheet1!BQ335&gt;Sheet1!BQ336),(MIN(Lookup!$C$119,VLOOKUP(Sheet1!BQ335,Lookup!$B$4:$J$236,2))-VLOOKUP(Sheet1!BQ336,Lookup!$B$4:$J$236,2))/1000000,0))</f>
        <v>0</v>
      </c>
      <c r="BN336" s="439">
        <f ca="1">IF(B336=TODAY(),0,IF(AND(Sheet1!BR336&lt;=11.5,Sheet1!BR335&gt;Sheet1!BR336),(MIN(Lookup!$D$119,VLOOKUP(Sheet1!BR335,Lookup!$B$4:$J$236,3))-VLOOKUP(Sheet1!BR336,Lookup!$B$4:$J$236,3))/1000000,0))</f>
        <v>0</v>
      </c>
      <c r="BP336" s="105">
        <f ca="1">SUM(BM336:BN336,W336,Sheet1!DT336)</f>
        <v>0</v>
      </c>
    </row>
    <row r="337" spans="1:68" s="101" customFormat="1">
      <c r="A337" s="101" t="s">
        <v>8</v>
      </c>
      <c r="B337" s="103">
        <v>40866</v>
      </c>
      <c r="C337" s="104">
        <v>0.33333333333357601</v>
      </c>
      <c r="E337" s="30"/>
      <c r="F337" s="30">
        <f ca="1">IF(B337=TODAY(),0,-(VLOOKUP(Sheet1!BZ337,Lookup!$I$4:$J$216,2)-VLOOKUP(Sheet1!BZ336,Lookup!$I$4:$J$216,2))/1000000)</f>
        <v>-1.243643262573598</v>
      </c>
      <c r="G337" s="106">
        <f ca="1">IF(B337=TODAY(),0,-$G$6*(Sheet1!CB337-Sheet1!CB336)*7.48/1000000)</f>
        <v>0.27799450736791548</v>
      </c>
      <c r="H337" s="106">
        <f ca="1">IF(B337=TODAY(),0,-$G$6*(Sheet1!CC337-Sheet1!CC336)*7.48/1000000)</f>
        <v>-3.9713501052559157E-2</v>
      </c>
      <c r="I337" s="106">
        <f ca="1">IF(B337=TODAY(),0,-$G$6*(Sheet1!CD337-Sheet1!CD336)*7.48/1000000)</f>
        <v>-0.11914050315767746</v>
      </c>
      <c r="J337" s="107" t="s">
        <v>193</v>
      </c>
      <c r="K337" s="106">
        <f ca="1">IF(B337=TODAY(),0,-$I$6*(Sheet1!CD337-Sheet1!CD336)*7.48/1000000)</f>
        <v>-5.3974525284080956E-2</v>
      </c>
      <c r="L337" s="107" t="s">
        <v>193</v>
      </c>
      <c r="M337" s="106">
        <f ca="1">IF(B337=TODAY(),0,-$M$6*(Sheet1!CE337-Sheet1!CE336)*7.48/1000000)</f>
        <v>1.3326640748916837E-2</v>
      </c>
      <c r="N337" s="106">
        <f ca="1">IF(B337=TODAY(),0,-$N$6*(Sheet1!CF337-Sheet1!CF336)*7.48/1000000)</f>
        <v>-1.489256289470974</v>
      </c>
      <c r="O337" s="106">
        <f t="shared" ca="1" si="35"/>
        <v>-2.6544069334220572</v>
      </c>
      <c r="P337" s="106">
        <f ca="1">O337+Calculation!EI337</f>
        <v>-2.1207069334220572</v>
      </c>
      <c r="Q337" s="101" t="str">
        <f>IF(Sheet1!BQ337&gt;21.75,"spill elevation","-")</f>
        <v>-</v>
      </c>
      <c r="R337" s="101" t="str">
        <f>IF(Sheet1!BR337&gt;21.75,"spill elevation","-")</f>
        <v>-</v>
      </c>
      <c r="S337" s="101" t="str">
        <f>IF(Sheet1!BS337&gt;21.75,"spill elevation","-")</f>
        <v>-</v>
      </c>
      <c r="T337" s="105">
        <f>IF(Sheet1!DQ337=1,Sheet1!AA337-(SUM(AT337:BA337)+BE337),Sheet1!AA337-SUM(AT337:BA337))</f>
        <v>23.83249599998836</v>
      </c>
      <c r="U337" s="105">
        <f>Sheet1!BU337</f>
        <v>20.8</v>
      </c>
      <c r="V337" s="105">
        <f t="shared" si="36"/>
        <v>3.0324959999883596</v>
      </c>
      <c r="W337" s="105">
        <f t="shared" si="37"/>
        <v>0</v>
      </c>
      <c r="X337" s="101">
        <f>IF((Sheet1!EX337-Sheet1!EX336)&lt;0,(Sheet1!EX337+100000-Sheet1!EX336)/1000,(Sheet1!EX337-Sheet1!EX336)/1000)</f>
        <v>1.2150000000000001</v>
      </c>
      <c r="Y337" s="106">
        <f ca="1">Calculation!DZ338+Calculation!EI337+'Calculations II'!O337-'Calculations II'!W337</f>
        <v>43.766141066583764</v>
      </c>
      <c r="Z337" s="106">
        <f ca="1">Y337-Sheet1!CP338</f>
        <v>26.006141066583762</v>
      </c>
      <c r="AA337" s="106">
        <f ca="1">Y337+Calculation!CZ338+Calculation!AI338</f>
        <v>43.766141066583764</v>
      </c>
      <c r="AC337" s="106">
        <f>Sheet1!AA337+Sheet1!AB337+BC337</f>
        <v>48.446575999988355</v>
      </c>
      <c r="AD337" s="106">
        <f>Sheet1!AA337+Sheet1!BN337+'Calculations II'!BC337-Calculation!AI337-Calculation!CZ337</f>
        <v>48.34657599998836</v>
      </c>
      <c r="AE337" s="106">
        <f>Sheet1!AA337+Sheet1!AB337+'Calculations II'!BC337-Calculation!AI337-Calculation!CZ337</f>
        <v>48.446575999988355</v>
      </c>
      <c r="AF337" s="106">
        <f ca="1">Sheet1!AA337+Sheet1!BN337+P337+'Calculations II'!BC337+Calculation!AI337+Calculation!CZ337</f>
        <v>46.225869066566304</v>
      </c>
      <c r="AG337" s="106">
        <f ca="1">IF(B337=TODAY(),0,Sheet1!AA337+Sheet1!BN337+'Calculations II'!BC337+'Calculations II'!P337-Sheet1!CP337-BP337)</f>
        <v>29.445869066566303</v>
      </c>
      <c r="AH337" s="106">
        <f ca="1">IF(B337=TODAY(),0,Sheet1!AA337+Sheet1!BN337+'Calculations II'!BC337+'Calculations II'!P337-BP337)</f>
        <v>46.225869066566304</v>
      </c>
      <c r="AI337" s="106">
        <f ca="1">IF(B337=TODAY(),0,BC337+Sheet1!AA337+Calculation!EI337+O337+W337+Sheet1!BN337+Calculation!AI337+Calculation!CZ337-BP337)</f>
        <v>46.225869066566304</v>
      </c>
      <c r="AJ337" s="106"/>
      <c r="AM337" s="102">
        <f t="shared" si="38"/>
        <v>40866</v>
      </c>
      <c r="AN337" s="106"/>
      <c r="AO337" s="106"/>
      <c r="AR337" s="106"/>
      <c r="AT337" s="101">
        <f>Sheet1!AR337*GPMtoMGD</f>
        <v>0</v>
      </c>
      <c r="AU337" s="101">
        <f>Sheet1!AS337*GPMtoMGD</f>
        <v>1.584E-2</v>
      </c>
      <c r="AV337" s="101">
        <f>Sheet1!AT337*GPMtoMGD</f>
        <v>0</v>
      </c>
      <c r="AW337" s="101">
        <f>Sheet1!AV337*GPMtoMGD</f>
        <v>0.71496000000000004</v>
      </c>
      <c r="AX337" s="101">
        <f>Sheet1!AW337*GPMtoMGD</f>
        <v>0.73670400000000003</v>
      </c>
      <c r="AY337" s="101">
        <f>Sheet1!AX337*GPMtoMGD</f>
        <v>0</v>
      </c>
      <c r="AZ337" s="101">
        <f>Sheet1!AY337*GPMtoMGD</f>
        <v>0</v>
      </c>
      <c r="BA337" s="101">
        <f>Sheet1!AZ337*GPMtoMGD</f>
        <v>0</v>
      </c>
      <c r="BB337" s="101">
        <f>Sheet1!BP337*GPMtoMGD</f>
        <v>0</v>
      </c>
      <c r="BC337" s="101">
        <f>Sheet1!CO337*GPMtoMGD</f>
        <v>14.346576000000001</v>
      </c>
      <c r="BD337" s="101">
        <f>Sheet1!BO337*GPMtoMGD</f>
        <v>1.906992</v>
      </c>
      <c r="BE337" s="101">
        <f>Sheet1!BV337*GPMtoMGD</f>
        <v>0.68169599999999997</v>
      </c>
      <c r="BF337" s="101">
        <f>Sheet1!CJ337*GPMtoMGD</f>
        <v>0.51652799999999999</v>
      </c>
      <c r="BG337" s="101">
        <f>Sheet1!CK337*GPMtoMGD</f>
        <v>0.56015999999999999</v>
      </c>
      <c r="BH337" s="101">
        <f>Sheet1!CL337*GPMtoMGD</f>
        <v>0.76593600000000006</v>
      </c>
      <c r="BI337" s="101">
        <f t="shared" si="39"/>
        <v>1.906992</v>
      </c>
      <c r="BK337" s="106">
        <f>SUM(AT337:BA337,BE337,Sheet1!BU337,'Calculations II'!BC337,Calculation!AG337)</f>
        <v>46.095776000000001</v>
      </c>
      <c r="BM337" s="439">
        <f ca="1">IF(B337=TODAY(),0,IF(AND(Sheet1!BQ337&lt;=11.5,Sheet1!BQ336&gt;Sheet1!BQ337),(MIN(Lookup!$C$119,VLOOKUP(Sheet1!BQ336,Lookup!$B$4:$J$236,2))-VLOOKUP(Sheet1!BQ337,Lookup!$B$4:$J$236,2))/1000000,0))</f>
        <v>0</v>
      </c>
      <c r="BN337" s="439">
        <f ca="1">IF(B337=TODAY(),0,IF(AND(Sheet1!BR337&lt;=11.5,Sheet1!BR336&gt;Sheet1!BR337),(MIN(Lookup!$D$119,VLOOKUP(Sheet1!BR336,Lookup!$B$4:$J$236,3))-VLOOKUP(Sheet1!BR337,Lookup!$B$4:$J$236,3))/1000000,0))</f>
        <v>0</v>
      </c>
      <c r="BP337" s="105">
        <f ca="1">SUM(BM337:BN337,W337,Sheet1!DT337)</f>
        <v>0</v>
      </c>
    </row>
    <row r="338" spans="1:68" s="101" customFormat="1">
      <c r="A338" s="101" t="s">
        <v>9</v>
      </c>
      <c r="B338" s="103">
        <v>40867</v>
      </c>
      <c r="C338" s="104">
        <v>0.33333333333357601</v>
      </c>
      <c r="E338" s="30"/>
      <c r="F338" s="30">
        <f ca="1">IF(B338=TODAY(),0,-(VLOOKUP(Sheet1!BZ338,Lookup!$I$4:$J$216,2)-VLOOKUP(Sheet1!BZ337,Lookup!$I$4:$J$216,2))/1000000)</f>
        <v>0.20727387709559872</v>
      </c>
      <c r="G338" s="106">
        <f ca="1">IF(B338=TODAY(),0,-$G$6*(Sheet1!CB338-Sheet1!CB337)*7.48/1000000)</f>
        <v>0.43684851157815213</v>
      </c>
      <c r="H338" s="106">
        <f ca="1">IF(B338=TODAY(),0,-$G$6*(Sheet1!CC338-Sheet1!CC337)*7.48/1000000)</f>
        <v>0.11914050315767817</v>
      </c>
      <c r="I338" s="106">
        <f ca="1">IF(B338=TODAY(),0,-$G$6*(Sheet1!CD338-Sheet1!CD337)*7.48/1000000)</f>
        <v>0.19856750526279648</v>
      </c>
      <c r="J338" s="107" t="s">
        <v>193</v>
      </c>
      <c r="K338" s="106">
        <f ca="1">IF(B338=TODAY(),0,-$I$6*(Sheet1!CD338-Sheet1!CD337)*7.48/1000000)</f>
        <v>8.9957542140135238E-2</v>
      </c>
      <c r="L338" s="107" t="s">
        <v>193</v>
      </c>
      <c r="M338" s="106">
        <f ca="1">IF(B338=TODAY(),0,-$M$6*(Sheet1!CE338-Sheet1!CE337)*7.48/1000000)</f>
        <v>0</v>
      </c>
      <c r="N338" s="106">
        <f ca="1">IF(B338=TODAY(),0,-$N$6*(Sheet1!CF338-Sheet1!CF337)*7.48/1000000)</f>
        <v>1.1169422171032308</v>
      </c>
      <c r="O338" s="106">
        <f t="shared" ca="1" si="35"/>
        <v>2.1687301563375918</v>
      </c>
      <c r="P338" s="106">
        <f ca="1">O338+Calculation!EI338</f>
        <v>0.56763015633759184</v>
      </c>
      <c r="Q338" s="101" t="str">
        <f>IF(Sheet1!BQ338&gt;21.75,"spill elevation","-")</f>
        <v>-</v>
      </c>
      <c r="R338" s="101" t="str">
        <f>IF(Sheet1!BR338&gt;21.75,"spill elevation","-")</f>
        <v>-</v>
      </c>
      <c r="S338" s="101" t="str">
        <f>IF(Sheet1!BS338&gt;21.75,"spill elevation","-")</f>
        <v>-</v>
      </c>
      <c r="T338" s="105">
        <f>IF(Sheet1!DQ338=1,Sheet1!AA338-(SUM(AT338:BA338)+BE338),Sheet1!AA338-SUM(AT338:BA338))</f>
        <v>23.930304000005819</v>
      </c>
      <c r="U338" s="105">
        <f>Sheet1!BU338</f>
        <v>20</v>
      </c>
      <c r="V338" s="105">
        <f t="shared" si="36"/>
        <v>3.9303040000058189</v>
      </c>
      <c r="W338" s="105">
        <f t="shared" si="37"/>
        <v>0</v>
      </c>
      <c r="X338" s="101">
        <f>IF((Sheet1!EX338-Sheet1!EX337)&lt;0,(Sheet1!EX338+100000-Sheet1!EX337)/1000,(Sheet1!EX338-Sheet1!EX337)/1000)</f>
        <v>1.256</v>
      </c>
      <c r="Y338" s="106">
        <f ca="1">Calculation!DZ339+Calculation!EI338+'Calculations II'!O338-'Calculations II'!W338</f>
        <v>50.208910156345453</v>
      </c>
      <c r="Z338" s="106">
        <f ca="1">Y338-Sheet1!CP339</f>
        <v>32.988910156345455</v>
      </c>
      <c r="AA338" s="106">
        <f ca="1">Y338+Calculation!CZ339+Calculation!AI339</f>
        <v>54.2412765685594</v>
      </c>
      <c r="AC338" s="106">
        <f>Sheet1!AA338+Sheet1!AB338+BC338</f>
        <v>45.88684800000582</v>
      </c>
      <c r="AD338" s="106">
        <f>Sheet1!AA338+Sheet1!BN338+'Calculations II'!BC338-Calculation!AI338-Calculation!CZ338</f>
        <v>45.766848000005822</v>
      </c>
      <c r="AE338" s="106">
        <f>Sheet1!AA338+Sheet1!AB338+'Calculations II'!BC338-Calculation!AI338-Calculation!CZ338</f>
        <v>45.88684800000582</v>
      </c>
      <c r="AF338" s="106">
        <f ca="1">Sheet1!AA338+Sheet1!BN338+P338+'Calculations II'!BC338+Calculation!AI338+Calculation!CZ338</f>
        <v>46.334478156343415</v>
      </c>
      <c r="AG338" s="106">
        <f ca="1">IF(B338=TODAY(),0,Sheet1!AA338+Sheet1!BN338+'Calculations II'!BC338+'Calculations II'!P338-Sheet1!CP338-BP338)</f>
        <v>28.574478156343414</v>
      </c>
      <c r="AH338" s="106">
        <f ca="1">IF(B338=TODAY(),0,Sheet1!AA338+Sheet1!BN338+'Calculations II'!BC338+'Calculations II'!P338-BP338)</f>
        <v>46.334478156343415</v>
      </c>
      <c r="AI338" s="106">
        <f ca="1">IF(B338=TODAY(),0,BC338+Sheet1!AA338+Calculation!EI338+O338+W338+Sheet1!BN338+Calculation!AI338+Calculation!CZ338-BP338)</f>
        <v>46.334478156343408</v>
      </c>
      <c r="AJ338" s="106"/>
      <c r="AM338" s="102">
        <f t="shared" si="38"/>
        <v>40867</v>
      </c>
      <c r="AN338" s="106"/>
      <c r="AO338" s="106"/>
      <c r="AR338" s="106"/>
      <c r="AT338" s="101">
        <f>Sheet1!AR338*GPMtoMGD</f>
        <v>0</v>
      </c>
      <c r="AU338" s="101">
        <f>Sheet1!AS338*GPMtoMGD</f>
        <v>1.6416E-2</v>
      </c>
      <c r="AV338" s="101">
        <f>Sheet1!AT338*GPMtoMGD</f>
        <v>0</v>
      </c>
      <c r="AW338" s="101">
        <f>Sheet1!AV338*GPMtoMGD</f>
        <v>0.73526400000000003</v>
      </c>
      <c r="AX338" s="101">
        <f>Sheet1!AW338*GPMtoMGD</f>
        <v>0.66801600000000005</v>
      </c>
      <c r="AY338" s="101">
        <f>Sheet1!AX338*GPMtoMGD</f>
        <v>0</v>
      </c>
      <c r="AZ338" s="101">
        <f>Sheet1!AY338*GPMtoMGD</f>
        <v>0</v>
      </c>
      <c r="BA338" s="101">
        <f>Sheet1!AZ338*GPMtoMGD</f>
        <v>0</v>
      </c>
      <c r="BB338" s="101">
        <f>Sheet1!BP338*GPMtoMGD</f>
        <v>0</v>
      </c>
      <c r="BC338" s="101">
        <f>Sheet1!CO338*GPMtoMGD</f>
        <v>11.716848000000001</v>
      </c>
      <c r="BD338" s="101">
        <f>Sheet1!BO338*GPMtoMGD</f>
        <v>1.9599839999999999</v>
      </c>
      <c r="BE338" s="101">
        <f>Sheet1!BV338*GPMtoMGD</f>
        <v>0.64540799999999998</v>
      </c>
      <c r="BF338" s="101">
        <f>Sheet1!CJ338*GPMtoMGD</f>
        <v>0.62179200000000001</v>
      </c>
      <c r="BG338" s="101">
        <f>Sheet1!CK338*GPMtoMGD</f>
        <v>0.58104</v>
      </c>
      <c r="BH338" s="101">
        <f>Sheet1!CL338*GPMtoMGD</f>
        <v>0.752112</v>
      </c>
      <c r="BI338" s="101">
        <f t="shared" si="39"/>
        <v>1.9599839999999999</v>
      </c>
      <c r="BK338" s="106">
        <f>SUM(AT338:BA338,BE338,Sheet1!BU338,'Calculations II'!BC338,Calculation!AG338)</f>
        <v>42.601951999999997</v>
      </c>
      <c r="BM338" s="439">
        <f ca="1">IF(B338=TODAY(),0,IF(AND(Sheet1!BQ338&lt;=11.5,Sheet1!BQ337&gt;Sheet1!BQ338),(MIN(Lookup!$C$119,VLOOKUP(Sheet1!BQ337,Lookup!$B$4:$J$236,2))-VLOOKUP(Sheet1!BQ338,Lookup!$B$4:$J$236,2))/1000000,0))</f>
        <v>0</v>
      </c>
      <c r="BN338" s="439">
        <f ca="1">IF(B338=TODAY(),0,IF(AND(Sheet1!BR338&lt;=11.5,Sheet1!BR337&gt;Sheet1!BR338),(MIN(Lookup!$D$119,VLOOKUP(Sheet1!BR337,Lookup!$B$4:$J$236,3))-VLOOKUP(Sheet1!BR338,Lookup!$B$4:$J$236,3))/1000000,0))</f>
        <v>0</v>
      </c>
      <c r="BP338" s="105">
        <f ca="1">SUM(BM338:BN338,W338,Sheet1!DT338)</f>
        <v>0</v>
      </c>
    </row>
    <row r="339" spans="1:68" s="101" customFormat="1">
      <c r="A339" s="101" t="s">
        <v>3</v>
      </c>
      <c r="B339" s="103">
        <v>40868</v>
      </c>
      <c r="C339" s="104">
        <v>0.33333333333357601</v>
      </c>
      <c r="E339" s="30"/>
      <c r="F339" s="30">
        <f ca="1">IF(B339=TODAY(),0,-(VLOOKUP(Sheet1!BZ339,Lookup!$I$4:$J$216,2)-VLOOKUP(Sheet1!BZ338,Lookup!$I$4:$J$216,2))/1000000)</f>
        <v>-0.41454775419119744</v>
      </c>
      <c r="G339" s="106">
        <f ca="1">IF(B339=TODAY(),0,-$G$6*(Sheet1!CB339-Sheet1!CB338)*7.48/1000000)</f>
        <v>-7.9427002105116901E-3</v>
      </c>
      <c r="H339" s="106">
        <f ca="1">IF(B339=TODAY(),0,-$G$6*(Sheet1!CC339-Sheet1!CC338)*7.48/1000000)</f>
        <v>-0.27799450736791548</v>
      </c>
      <c r="I339" s="106">
        <f ca="1">IF(B339=TODAY(),0,-$G$6*(Sheet1!CD339-Sheet1!CD338)*7.48/1000000)</f>
        <v>-0.32565070863098639</v>
      </c>
      <c r="J339" s="107" t="s">
        <v>193</v>
      </c>
      <c r="K339" s="106">
        <f ca="1">IF(B339=TODAY(),0,-$I$6*(Sheet1!CD339-Sheet1!CD338)*7.48/1000000)</f>
        <v>-0.14753036910982187</v>
      </c>
      <c r="L339" s="107" t="s">
        <v>193</v>
      </c>
      <c r="M339" s="106">
        <f ca="1">IF(B339=TODAY(),0,-$M$6*(Sheet1!CE339-Sheet1!CE338)*7.48/1000000)</f>
        <v>-3.131760575995484E-2</v>
      </c>
      <c r="N339" s="106">
        <f ca="1">IF(B339=TODAY(),0,-$N$6*(Sheet1!CF339-Sheet1!CF338)*7.48/1000000)</f>
        <v>-0.13651515986817297</v>
      </c>
      <c r="O339" s="106">
        <f t="shared" ca="1" si="35"/>
        <v>-1.3414988051385608</v>
      </c>
      <c r="P339" s="106">
        <f ca="1">O339+Calculation!EI339</f>
        <v>0.25960119486143918</v>
      </c>
      <c r="Q339" s="101" t="str">
        <f>IF(Sheet1!BQ339&gt;21.75,"spill elevation","-")</f>
        <v>-</v>
      </c>
      <c r="R339" s="101" t="str">
        <f>IF(Sheet1!BR339&gt;21.75,"spill elevation","-")</f>
        <v>-</v>
      </c>
      <c r="S339" s="101" t="str">
        <f>IF(Sheet1!BS339&gt;21.75,"spill elevation","-")</f>
        <v>-</v>
      </c>
      <c r="T339" s="105">
        <f>IF(Sheet1!DQ339=1,Sheet1!AA339-(SUM(AT339:BA339)+BE339),Sheet1!AA339-SUM(AT339:BA339))</f>
        <v>25.391344000006985</v>
      </c>
      <c r="U339" s="105">
        <f>Sheet1!BU339</f>
        <v>22</v>
      </c>
      <c r="V339" s="105">
        <f t="shared" si="36"/>
        <v>3.3913440000069848</v>
      </c>
      <c r="W339" s="105">
        <f t="shared" si="37"/>
        <v>0</v>
      </c>
      <c r="X339" s="101">
        <f>IF((Sheet1!EX339-Sheet1!EX338)&lt;0,(Sheet1!EX339+100000-Sheet1!EX338)/1000,(Sheet1!EX339-Sheet1!EX338)/1000)</f>
        <v>1.335</v>
      </c>
      <c r="Y339" s="106">
        <f ca="1">Calculation!DZ340+Calculation!EI339+'Calculations II'!O339-'Calculations II'!W339</f>
        <v>51.019601194861437</v>
      </c>
      <c r="Z339" s="106">
        <f ca="1">Y339-Sheet1!CP340</f>
        <v>33.999601194861441</v>
      </c>
      <c r="AA339" s="106">
        <f ca="1">Y339+Calculation!CZ340+Calculation!AI340</f>
        <v>55.743929747664566</v>
      </c>
      <c r="AC339" s="106">
        <f>Sheet1!AA339+Sheet1!AB339+BC339</f>
        <v>49.64128000000786</v>
      </c>
      <c r="AD339" s="106">
        <f>Sheet1!AA339+Sheet1!BN339+'Calculations II'!BC339-Calculation!AI339-Calculation!CZ339</f>
        <v>41.568913587793041</v>
      </c>
      <c r="AE339" s="106">
        <f>Sheet1!AA339+Sheet1!AB339+'Calculations II'!BC339-Calculation!AI339-Calculation!CZ339</f>
        <v>45.608913587793914</v>
      </c>
      <c r="AF339" s="106">
        <f ca="1">Sheet1!AA339+Sheet1!BN339+P339+'Calculations II'!BC339+Calculation!AI339+Calculation!CZ339</f>
        <v>49.893247607082372</v>
      </c>
      <c r="AG339" s="106">
        <f ca="1">IF(B339=TODAY(),0,Sheet1!AA339+Sheet1!BN339+'Calculations II'!BC339+'Calculations II'!P339-Sheet1!CP339-BP339)</f>
        <v>28.640881194868427</v>
      </c>
      <c r="AH339" s="106">
        <f ca="1">IF(B339=TODAY(),0,Sheet1!AA339+Sheet1!BN339+'Calculations II'!BC339+'Calculations II'!P339-BP339)</f>
        <v>45.860881194868426</v>
      </c>
      <c r="AI339" s="106">
        <f ca="1">IF(B339=TODAY(),0,BC339+Sheet1!AA339+Calculation!EI339+O339+W339+Sheet1!BN339+Calculation!AI339+Calculation!CZ339-BP339)</f>
        <v>49.893247607082372</v>
      </c>
      <c r="AJ339" s="106"/>
      <c r="AM339" s="102">
        <f t="shared" si="38"/>
        <v>40868</v>
      </c>
      <c r="AN339" s="106"/>
      <c r="AO339" s="106"/>
      <c r="AR339" s="106"/>
      <c r="AT339" s="101">
        <f>Sheet1!AR339*GPMtoMGD</f>
        <v>0</v>
      </c>
      <c r="AU339" s="101">
        <f>Sheet1!AS339*GPMtoMGD</f>
        <v>1.5120000000000001E-2</v>
      </c>
      <c r="AV339" s="101">
        <f>Sheet1!AT339*GPMtoMGD</f>
        <v>0</v>
      </c>
      <c r="AW339" s="101">
        <f>Sheet1!AV339*GPMtoMGD</f>
        <v>0.44596800000000003</v>
      </c>
      <c r="AX339" s="101">
        <f>Sheet1!AW339*GPMtoMGD</f>
        <v>0.46756800000000004</v>
      </c>
      <c r="AY339" s="101">
        <f>Sheet1!AX339*GPMtoMGD</f>
        <v>0</v>
      </c>
      <c r="AZ339" s="101">
        <f>Sheet1!AY339*GPMtoMGD</f>
        <v>0</v>
      </c>
      <c r="BA339" s="101">
        <f>Sheet1!AZ339*GPMtoMGD</f>
        <v>0</v>
      </c>
      <c r="BB339" s="101">
        <f>Sheet1!BP339*GPMtoMGD</f>
        <v>0</v>
      </c>
      <c r="BC339" s="101">
        <f>Sheet1!CO339*GPMtoMGD</f>
        <v>6.2812800000000006</v>
      </c>
      <c r="BD339" s="101">
        <f>Sheet1!BO339*GPMtoMGD</f>
        <v>1.7055360000000002</v>
      </c>
      <c r="BE339" s="101">
        <f>Sheet1!BV339*GPMtoMGD</f>
        <v>0.64180800000000005</v>
      </c>
      <c r="BF339" s="101">
        <f>Sheet1!CJ339*GPMtoMGD</f>
        <v>0.60048000000000001</v>
      </c>
      <c r="BG339" s="101">
        <f>Sheet1!CK339*GPMtoMGD</f>
        <v>0.53150400000000009</v>
      </c>
      <c r="BH339" s="101">
        <f>Sheet1!CL339*GPMtoMGD</f>
        <v>0.52171200000000006</v>
      </c>
      <c r="BI339" s="101">
        <f t="shared" si="39"/>
        <v>1.7055360000000002</v>
      </c>
      <c r="BK339" s="106">
        <f>SUM(AT339:BA339,BE339,Sheet1!BU339,'Calculations II'!BC339,Calculation!AG339)</f>
        <v>42.859377587786931</v>
      </c>
      <c r="BM339" s="439">
        <f ca="1">IF(B339=TODAY(),0,IF(AND(Sheet1!BQ339&lt;=11.5,Sheet1!BQ338&gt;Sheet1!BQ339),(MIN(Lookup!$C$119,VLOOKUP(Sheet1!BQ338,Lookup!$B$4:$J$236,2))-VLOOKUP(Sheet1!BQ339,Lookup!$B$4:$J$236,2))/1000000,0))</f>
        <v>0</v>
      </c>
      <c r="BN339" s="439">
        <f ca="1">IF(B339=TODAY(),0,IF(AND(Sheet1!BR339&lt;=11.5,Sheet1!BR338&gt;Sheet1!BR339),(MIN(Lookup!$D$119,VLOOKUP(Sheet1!BR338,Lookup!$B$4:$J$236,3))-VLOOKUP(Sheet1!BR339,Lookup!$B$4:$J$236,3))/1000000,0))</f>
        <v>0</v>
      </c>
      <c r="BP339" s="105">
        <f ca="1">SUM(BM339:BN339,W339,Sheet1!DT339)</f>
        <v>0</v>
      </c>
    </row>
    <row r="340" spans="1:68" s="101" customFormat="1">
      <c r="A340" s="101" t="s">
        <v>4</v>
      </c>
      <c r="B340" s="103">
        <v>40869</v>
      </c>
      <c r="C340" s="104">
        <v>0.33333333333357601</v>
      </c>
      <c r="E340" s="30"/>
      <c r="F340" s="30">
        <f ca="1">IF(B340=TODAY(),0,-(VLOOKUP(Sheet1!BZ340,Lookup!$I$4:$J$216,2)-VLOOKUP(Sheet1!BZ339,Lookup!$I$4:$J$216,2))/1000000)</f>
        <v>0.62182163128679613</v>
      </c>
      <c r="G340" s="106">
        <f ca="1">IF(B340=TODAY(),0,-$G$6*(Sheet1!CB340-Sheet1!CB339)*7.48/1000000)</f>
        <v>-0.6671868176829967</v>
      </c>
      <c r="H340" s="106">
        <f ca="1">IF(B340=TODAY(),0,-$G$6*(Sheet1!CC340-Sheet1!CC339)*7.48/1000000)</f>
        <v>-0.38522096020982471</v>
      </c>
      <c r="I340" s="106">
        <f ca="1">IF(B340=TODAY(),0,-$G$6*(Sheet1!CD340-Sheet1!CD339)*7.48/1000000)</f>
        <v>-0.32962205873624217</v>
      </c>
      <c r="J340" s="107" t="s">
        <v>193</v>
      </c>
      <c r="K340" s="106">
        <f ca="1">IF(B340=TODAY(),0,-$I$6*(Sheet1!CD340-Sheet1!CD339)*7.48/1000000)</f>
        <v>-0.14932951995262447</v>
      </c>
      <c r="L340" s="107" t="s">
        <v>193</v>
      </c>
      <c r="M340" s="106">
        <f ca="1">IF(B340=TODAY(),0,-$M$6*(Sheet1!CE340-Sheet1!CE339)*7.48/1000000)</f>
        <v>-8.6623164867959568E-2</v>
      </c>
      <c r="N340" s="106">
        <f ca="1">IF(B340=TODAY(),0,-$N$6*(Sheet1!CF340-Sheet1!CF339)*7.48/1000000)</f>
        <v>7.4462814473549299E-2</v>
      </c>
      <c r="O340" s="106">
        <f t="shared" ca="1" si="35"/>
        <v>-0.92169807568930207</v>
      </c>
      <c r="P340" s="106">
        <f ca="1">O340+Calculation!EI340</f>
        <v>-1.4553980756893021</v>
      </c>
      <c r="Q340" s="101" t="str">
        <f>IF(Sheet1!BQ340&gt;21.75,"spill elevation","-")</f>
        <v>-</v>
      </c>
      <c r="R340" s="101" t="str">
        <f>IF(Sheet1!BR340&gt;21.75,"spill elevation","-")</f>
        <v>-</v>
      </c>
      <c r="S340" s="101" t="str">
        <f>IF(Sheet1!BS340&gt;21.75,"spill elevation","-")</f>
        <v>-</v>
      </c>
      <c r="T340" s="105">
        <f>IF(Sheet1!DQ340=1,Sheet1!AA340-(SUM(AT340:BA340)+BE340),Sheet1!AA340-SUM(AT340:BA340))</f>
        <v>26.772943999999999</v>
      </c>
      <c r="U340" s="105">
        <f>Sheet1!BU340</f>
        <v>22.9</v>
      </c>
      <c r="V340" s="105">
        <f t="shared" si="36"/>
        <v>3.8729440000000004</v>
      </c>
      <c r="W340" s="105">
        <f t="shared" si="37"/>
        <v>0</v>
      </c>
      <c r="X340" s="101">
        <f>IF((Sheet1!EX340-Sheet1!EX339)&lt;0,(Sheet1!EX340+100000-Sheet1!EX339)/1000,(Sheet1!EX340-Sheet1!EX339)/1000)</f>
        <v>1.204</v>
      </c>
      <c r="Y340" s="106">
        <f ca="1">Calculation!DZ341+Calculation!EI340+'Calculations II'!O340-'Calculations II'!W340</f>
        <v>44.354601924310401</v>
      </c>
      <c r="Z340" s="106">
        <f ca="1">Y340-Sheet1!CP341</f>
        <v>26.4846019243104</v>
      </c>
      <c r="AA340" s="106">
        <f ca="1">Y340+Calculation!CZ341+Calculation!AI341</f>
        <v>44.354601924310401</v>
      </c>
      <c r="AC340" s="106">
        <f>Sheet1!AA340+Sheet1!AB340+BC340</f>
        <v>50.76</v>
      </c>
      <c r="AD340" s="106">
        <f>Sheet1!AA340+Sheet1!BN340+'Calculations II'!BC340-Calculation!AI340-Calculation!CZ340</f>
        <v>41.255671447196875</v>
      </c>
      <c r="AE340" s="106">
        <f>Sheet1!AA340+Sheet1!AB340+'Calculations II'!BC340-Calculation!AI340-Calculation!CZ340</f>
        <v>46.035671447196869</v>
      </c>
      <c r="AF340" s="106">
        <f ca="1">Sheet1!AA340+Sheet1!BN340+P340+'Calculations II'!BC340+Calculation!AI340+Calculation!CZ340</f>
        <v>49.248930477113831</v>
      </c>
      <c r="AG340" s="106">
        <f ca="1">IF(B340=TODAY(),0,Sheet1!AA340+Sheet1!BN340+'Calculations II'!BC340+'Calculations II'!P340-Sheet1!CP340-BP340)</f>
        <v>27.504601924310702</v>
      </c>
      <c r="AH340" s="106">
        <f ca="1">IF(B340=TODAY(),0,Sheet1!AA340+Sheet1!BN340+'Calculations II'!BC340+'Calculations II'!P340-BP340)</f>
        <v>44.524601924310701</v>
      </c>
      <c r="AI340" s="106">
        <f ca="1">IF(B340=TODAY(),0,BC340+Sheet1!AA340+Calculation!EI340+O340+W340+Sheet1!BN340+Calculation!AI340+Calculation!CZ340-BP340)</f>
        <v>49.248930477113831</v>
      </c>
      <c r="AJ340" s="106"/>
      <c r="AM340" s="102">
        <f t="shared" si="38"/>
        <v>40869</v>
      </c>
      <c r="AN340" s="106"/>
      <c r="AO340" s="106"/>
      <c r="AR340" s="106"/>
      <c r="AT340" s="101">
        <f>Sheet1!AR340*GPMtoMGD</f>
        <v>0</v>
      </c>
      <c r="AU340" s="101">
        <f>Sheet1!AS340*GPMtoMGD</f>
        <v>1.5408E-2</v>
      </c>
      <c r="AV340" s="101">
        <f>Sheet1!AT340*GPMtoMGD</f>
        <v>0</v>
      </c>
      <c r="AW340" s="101">
        <f>Sheet1!AV340*GPMtoMGD</f>
        <v>0.44668800000000003</v>
      </c>
      <c r="AX340" s="101">
        <f>Sheet1!AW340*GPMtoMGD</f>
        <v>0.44496000000000002</v>
      </c>
      <c r="AY340" s="101">
        <f>Sheet1!AX340*GPMtoMGD</f>
        <v>0</v>
      </c>
      <c r="AZ340" s="101">
        <f>Sheet1!AY340*GPMtoMGD</f>
        <v>0</v>
      </c>
      <c r="BA340" s="101">
        <f>Sheet1!AZ340*GPMtoMGD</f>
        <v>0</v>
      </c>
      <c r="BB340" s="101">
        <f>Sheet1!BP340*GPMtoMGD</f>
        <v>7.1711999999999998E-2</v>
      </c>
      <c r="BC340" s="101">
        <f>Sheet1!CO340*GPMtoMGD</f>
        <v>0</v>
      </c>
      <c r="BD340" s="101">
        <f>Sheet1!BO340*GPMtoMGD</f>
        <v>2.3051520000000001</v>
      </c>
      <c r="BE340" s="101">
        <f>Sheet1!BV340*GPMtoMGD</f>
        <v>0.63</v>
      </c>
      <c r="BF340" s="101">
        <f>Sheet1!CJ340*GPMtoMGD</f>
        <v>0.6013440000000001</v>
      </c>
      <c r="BG340" s="101">
        <f>Sheet1!CK340*GPMtoMGD</f>
        <v>0.50673599999999996</v>
      </c>
      <c r="BH340" s="101">
        <f>Sheet1!CL340*GPMtoMGD</f>
        <v>0.82670400000000011</v>
      </c>
      <c r="BI340" s="101">
        <f t="shared" si="39"/>
        <v>2.3768640000000003</v>
      </c>
      <c r="BK340" s="106">
        <f>SUM(AT340:BA340,BE340,Sheet1!BU340,'Calculations II'!BC340,Calculation!AG340)</f>
        <v>42.792727447196867</v>
      </c>
      <c r="BM340" s="439">
        <f ca="1">IF(B340=TODAY(),0,IF(AND(Sheet1!BQ340&lt;=11.5,Sheet1!BQ339&gt;Sheet1!BQ340),(MIN(Lookup!$C$119,VLOOKUP(Sheet1!BQ339,Lookup!$B$4:$J$236,2))-VLOOKUP(Sheet1!BQ340,Lookup!$B$4:$J$236,2))/1000000,0))</f>
        <v>0</v>
      </c>
      <c r="BN340" s="439">
        <f ca="1">IF(B340=TODAY(),0,IF(AND(Sheet1!BR340&lt;=11.5,Sheet1!BR339&gt;Sheet1!BR340),(MIN(Lookup!$D$119,VLOOKUP(Sheet1!BR339,Lookup!$B$4:$J$236,3))-VLOOKUP(Sheet1!BR340,Lookup!$B$4:$J$236,3))/1000000,0))</f>
        <v>0</v>
      </c>
      <c r="BP340" s="105">
        <f ca="1">SUM(BM340:BN340,W340,Sheet1!DT340)</f>
        <v>0</v>
      </c>
    </row>
    <row r="341" spans="1:68" s="101" customFormat="1">
      <c r="A341" s="101" t="s">
        <v>5</v>
      </c>
      <c r="B341" s="103">
        <v>40870</v>
      </c>
      <c r="C341" s="104">
        <v>0.33333333333357601</v>
      </c>
      <c r="E341" s="30"/>
      <c r="F341" s="30">
        <f ca="1">IF(B341=TODAY(),0,-(VLOOKUP(Sheet1!BZ341,Lookup!$I$4:$J$216,2)-VLOOKUP(Sheet1!BZ340,Lookup!$I$4:$J$216,2))/1000000)</f>
        <v>-0.93273244693019985</v>
      </c>
      <c r="G341" s="106">
        <f ca="1">IF(B341=TODAY(),0,-$G$6*(Sheet1!CB341-Sheet1!CB340)*7.48/1000000)</f>
        <v>0.27799450736791548</v>
      </c>
      <c r="H341" s="106">
        <f ca="1">IF(B341=TODAY(),0,-$G$6*(Sheet1!CC341-Sheet1!CC340)*7.48/1000000)</f>
        <v>0.86178297284053673</v>
      </c>
      <c r="I341" s="106">
        <f ca="1">IF(B341=TODAY(),0,-$G$6*(Sheet1!CD341-Sheet1!CD340)*7.48/1000000)</f>
        <v>0.80221272126169774</v>
      </c>
      <c r="J341" s="107" t="s">
        <v>193</v>
      </c>
      <c r="K341" s="106">
        <f ca="1">IF(B341=TODAY(),0,-$I$6*(Sheet1!CD341-Sheet1!CD340)*7.48/1000000)</f>
        <v>0.36342847024614627</v>
      </c>
      <c r="L341" s="107" t="s">
        <v>193</v>
      </c>
      <c r="M341" s="106">
        <f ca="1">IF(B341=TODAY(),0,-$M$6*(Sheet1!CE341-Sheet1!CE340)*7.48/1000000)</f>
        <v>0.17124733362358197</v>
      </c>
      <c r="N341" s="106">
        <f ca="1">IF(B341=TODAY(),0,-$N$6*(Sheet1!CF341-Sheet1!CF340)*7.48/1000000)</f>
        <v>3.7231407236773539E-2</v>
      </c>
      <c r="O341" s="106">
        <f t="shared" ca="1" si="35"/>
        <v>1.5811649656464519</v>
      </c>
      <c r="P341" s="106">
        <f ca="1">O341+Calculation!EI341</f>
        <v>2.114864965646452</v>
      </c>
      <c r="Q341" s="101" t="str">
        <f>IF(Sheet1!BQ341&gt;21.75,"spill elevation","-")</f>
        <v>-</v>
      </c>
      <c r="R341" s="101" t="str">
        <f>IF(Sheet1!BR341&gt;21.75,"spill elevation","-")</f>
        <v>-</v>
      </c>
      <c r="S341" s="101" t="str">
        <f>IF(Sheet1!BS341&gt;21.75,"spill elevation","-")</f>
        <v>-</v>
      </c>
      <c r="T341" s="105">
        <f>IF(Sheet1!DQ341=1,Sheet1!AA341-(SUM(AT341:BA341)+BE341),Sheet1!AA341-SUM(AT341:BA341))</f>
        <v>25.813663999999999</v>
      </c>
      <c r="U341" s="105">
        <f>Sheet1!BU341</f>
        <v>23</v>
      </c>
      <c r="V341" s="105">
        <f t="shared" si="36"/>
        <v>2.8136639999999993</v>
      </c>
      <c r="W341" s="105">
        <f t="shared" si="37"/>
        <v>0</v>
      </c>
      <c r="X341" s="101">
        <f>IF((Sheet1!EX341-Sheet1!EX340)&lt;0,(Sheet1!EX341+100000-Sheet1!EX340)/1000,(Sheet1!EX341-Sheet1!EX340)/1000)</f>
        <v>1.2789999999999999</v>
      </c>
      <c r="Y341" s="106">
        <f ca="1">Calculation!DZ342+Calculation!EI341+'Calculations II'!O341-'Calculations II'!W341</f>
        <v>47.9448649656482</v>
      </c>
      <c r="Z341" s="106">
        <f ca="1">Y341-Sheet1!CP342</f>
        <v>30.654864965648201</v>
      </c>
      <c r="AA341" s="106">
        <f ca="1">Y341+Calculation!CZ342+Calculation!AI342</f>
        <v>47.9448649656482</v>
      </c>
      <c r="AC341" s="106">
        <f>Sheet1!AA341+Sheet1!AB341+BC341</f>
        <v>45.809999999999704</v>
      </c>
      <c r="AD341" s="106">
        <f>Sheet1!AA341+Sheet1!BN341+'Calculations II'!BC341-Calculation!AI341-Calculation!CZ341</f>
        <v>45.79</v>
      </c>
      <c r="AE341" s="106">
        <f>Sheet1!AA341+Sheet1!AB341+'Calculations II'!BC341-Calculation!AI341-Calculation!CZ341</f>
        <v>45.809999999999704</v>
      </c>
      <c r="AF341" s="106">
        <f ca="1">Sheet1!AA341+Sheet1!BN341+P341+'Calculations II'!BC341+Calculation!AI341+Calculation!CZ341</f>
        <v>47.904864965646453</v>
      </c>
      <c r="AG341" s="106">
        <f ca="1">IF(B341=TODAY(),0,Sheet1!AA341+Sheet1!BN341+'Calculations II'!BC341+'Calculations II'!P341-Sheet1!CP341-BP341)</f>
        <v>30.034864965646452</v>
      </c>
      <c r="AH341" s="106">
        <f ca="1">IF(B341=TODAY(),0,Sheet1!AA341+Sheet1!BN341+'Calculations II'!BC341+'Calculations II'!P341-BP341)</f>
        <v>47.904864965646453</v>
      </c>
      <c r="AI341" s="106">
        <f ca="1">IF(B341=TODAY(),0,BC341+Sheet1!AA341+Calculation!EI341+O341+W341+Sheet1!BN341+Calculation!AI341+Calculation!CZ341-BP341)</f>
        <v>47.904864965646453</v>
      </c>
      <c r="AJ341" s="106"/>
      <c r="AM341" s="102">
        <f t="shared" si="38"/>
        <v>40870</v>
      </c>
      <c r="AN341" s="106"/>
      <c r="AO341" s="106"/>
      <c r="AR341" s="106"/>
      <c r="AT341" s="101">
        <f>Sheet1!AR341*GPMtoMGD</f>
        <v>0</v>
      </c>
      <c r="AU341" s="101">
        <f>Sheet1!AS341*GPMtoMGD</f>
        <v>3.6000000000000003E-3</v>
      </c>
      <c r="AV341" s="101">
        <f>Sheet1!AT341*GPMtoMGD</f>
        <v>0</v>
      </c>
      <c r="AW341" s="101">
        <f>Sheet1!AV341*GPMtoMGD</f>
        <v>0.62928000000000006</v>
      </c>
      <c r="AX341" s="101">
        <f>Sheet1!AW341*GPMtoMGD</f>
        <v>0.54345600000000005</v>
      </c>
      <c r="AY341" s="101">
        <f>Sheet1!AX341*GPMtoMGD</f>
        <v>0</v>
      </c>
      <c r="AZ341" s="101">
        <f>Sheet1!AY341*GPMtoMGD</f>
        <v>0</v>
      </c>
      <c r="BA341" s="101">
        <f>Sheet1!AZ341*GPMtoMGD</f>
        <v>0</v>
      </c>
      <c r="BB341" s="101">
        <f>Sheet1!BP341*GPMtoMGD</f>
        <v>0</v>
      </c>
      <c r="BC341" s="101">
        <f>Sheet1!CO341*GPMtoMGD</f>
        <v>0</v>
      </c>
      <c r="BD341" s="101">
        <f>Sheet1!BO341*GPMtoMGD</f>
        <v>1.2476160000000001</v>
      </c>
      <c r="BE341" s="101">
        <f>Sheet1!BV341*GPMtoMGD</f>
        <v>0.62265599999999999</v>
      </c>
      <c r="BF341" s="101">
        <f>Sheet1!CJ341*GPMtoMGD</f>
        <v>0.62452799999999997</v>
      </c>
      <c r="BG341" s="101">
        <f>Sheet1!CK341*GPMtoMGD</f>
        <v>0.53769599999999995</v>
      </c>
      <c r="BH341" s="101">
        <f>Sheet1!CL341*GPMtoMGD</f>
        <v>0.83116800000000013</v>
      </c>
      <c r="BI341" s="101">
        <f t="shared" si="39"/>
        <v>1.2476160000000001</v>
      </c>
      <c r="BK341" s="106">
        <f>SUM(AT341:BA341,BE341,Sheet1!BU341,'Calculations II'!BC341,Calculation!AG341)</f>
        <v>43.618991999999707</v>
      </c>
      <c r="BM341" s="439">
        <f ca="1">IF(B341=TODAY(),0,IF(AND(Sheet1!BQ341&lt;=11.5,Sheet1!BQ340&gt;Sheet1!BQ341),(MIN(Lookup!$C$119,VLOOKUP(Sheet1!BQ340,Lookup!$B$4:$J$236,2))-VLOOKUP(Sheet1!BQ341,Lookup!$B$4:$J$236,2))/1000000,0))</f>
        <v>0</v>
      </c>
      <c r="BN341" s="439">
        <f ca="1">IF(B341=TODAY(),0,IF(AND(Sheet1!BR341&lt;=11.5,Sheet1!BR340&gt;Sheet1!BR341),(MIN(Lookup!$D$119,VLOOKUP(Sheet1!BR340,Lookup!$B$4:$J$236,3))-VLOOKUP(Sheet1!BR341,Lookup!$B$4:$J$236,3))/1000000,0))</f>
        <v>0</v>
      </c>
      <c r="BP341" s="105">
        <f ca="1">SUM(BM341:BN341,W341,Sheet1!DT341)</f>
        <v>0</v>
      </c>
    </row>
    <row r="342" spans="1:68" s="101" customFormat="1">
      <c r="A342" s="101" t="s">
        <v>6</v>
      </c>
      <c r="B342" s="103">
        <v>40871</v>
      </c>
      <c r="C342" s="104">
        <v>0.33333333333357601</v>
      </c>
      <c r="E342" s="30"/>
      <c r="F342" s="30">
        <f ca="1">IF(B342=TODAY(),0,-(VLOOKUP(Sheet1!BZ342,Lookup!$I$4:$J$216,2)-VLOOKUP(Sheet1!BZ341,Lookup!$I$4:$J$216,2))/1000000)</f>
        <v>-0.10363693854779936</v>
      </c>
      <c r="G342" s="106">
        <f ca="1">IF(B342=TODAY(),0,-$G$6*(Sheet1!CB342-Sheet1!CB341)*7.48/1000000)</f>
        <v>0.23828100631535562</v>
      </c>
      <c r="H342" s="106">
        <f ca="1">IF(B342=TODAY(),0,-$G$6*(Sheet1!CC342-Sheet1!CC341)*7.48/1000000)</f>
        <v>-0.19856750526279648</v>
      </c>
      <c r="I342" s="106">
        <f ca="1">IF(B342=TODAY(),0,-$G$6*(Sheet1!CD342-Sheet1!CD341)*7.48/1000000)</f>
        <v>-0.22636695599958809</v>
      </c>
      <c r="J342" s="107" t="s">
        <v>193</v>
      </c>
      <c r="K342" s="106">
        <f ca="1">IF(B342=TODAY(),0,-$I$6*(Sheet1!CD342-Sheet1!CD341)*7.48/1000000)</f>
        <v>-0.10255159803975422</v>
      </c>
      <c r="L342" s="107" t="s">
        <v>193</v>
      </c>
      <c r="M342" s="106">
        <f ca="1">IF(B342=TODAY(),0,-$M$6*(Sheet1!CE342-Sheet1!CE341)*7.48/1000000)</f>
        <v>-3.3316601872292212E-2</v>
      </c>
      <c r="N342" s="106">
        <f ca="1">IF(B342=TODAY(),0,-$N$6*(Sheet1!CF342-Sheet1!CF341)*7.48/1000000)</f>
        <v>-1.861570361838677E-2</v>
      </c>
      <c r="O342" s="106">
        <f t="shared" ca="1" si="35"/>
        <v>-0.4447742970252615</v>
      </c>
      <c r="P342" s="106">
        <f ca="1">O342+Calculation!EI342</f>
        <v>-0.4447742970252615</v>
      </c>
      <c r="Q342" s="101" t="str">
        <f>IF(Sheet1!BQ342&gt;21.75,"spill elevation","-")</f>
        <v>-</v>
      </c>
      <c r="R342" s="101" t="str">
        <f>IF(Sheet1!BR342&gt;21.75,"spill elevation","-")</f>
        <v>-</v>
      </c>
      <c r="S342" s="101" t="str">
        <f>IF(Sheet1!BS342&gt;21.75,"spill elevation","-")</f>
        <v>-</v>
      </c>
      <c r="T342" s="105">
        <f>IF(Sheet1!DQ342=1,Sheet1!AA342-(SUM(AT342:BA342)+BE342),Sheet1!AA342-SUM(AT342:BA342))</f>
        <v>25.319584000001747</v>
      </c>
      <c r="U342" s="105">
        <f>Sheet1!BU342</f>
        <v>21.5</v>
      </c>
      <c r="V342" s="105">
        <f t="shared" si="36"/>
        <v>3.8195840000017469</v>
      </c>
      <c r="W342" s="105">
        <f t="shared" si="37"/>
        <v>0</v>
      </c>
      <c r="X342" s="101">
        <f>IF((Sheet1!EX342-Sheet1!EX341)&lt;0,(Sheet1!EX342+100000-Sheet1!EX341)/1000,(Sheet1!EX342-Sheet1!EX341)/1000)</f>
        <v>1.2629999999999999</v>
      </c>
      <c r="Y342" s="106">
        <f ca="1">Calculation!DZ343+Calculation!EI342+'Calculations II'!O342-'Calculations II'!W342</f>
        <v>44.925225702977357</v>
      </c>
      <c r="Z342" s="106">
        <f ca="1">Y342-Sheet1!CP343</f>
        <v>27.545225702977358</v>
      </c>
      <c r="AA342" s="106">
        <f ca="1">Y342+Calculation!CZ343+Calculation!AI343</f>
        <v>44.925225702977357</v>
      </c>
      <c r="AC342" s="106">
        <f>Sheet1!AA342+Sheet1!AB342+BC342</f>
        <v>45.830000000001746</v>
      </c>
      <c r="AD342" s="106">
        <f>Sheet1!AA342+Sheet1!BN342+'Calculations II'!BC342-Calculation!AI342-Calculation!CZ342</f>
        <v>45.730000000001745</v>
      </c>
      <c r="AE342" s="106">
        <f>Sheet1!AA342+Sheet1!AB342+'Calculations II'!BC342-Calculation!AI342-Calculation!CZ342</f>
        <v>45.830000000001746</v>
      </c>
      <c r="AF342" s="106">
        <f ca="1">Sheet1!AA342+Sheet1!BN342+P342+'Calculations II'!BC342+Calculation!AI342+Calculation!CZ342</f>
        <v>45.285225702976483</v>
      </c>
      <c r="AG342" s="106">
        <f ca="1">IF(B342=TODAY(),0,Sheet1!AA342+Sheet1!BN342+'Calculations II'!BC342+'Calculations II'!P342-Sheet1!CP342-BP342)</f>
        <v>27.995225702976484</v>
      </c>
      <c r="AH342" s="106">
        <f ca="1">IF(B342=TODAY(),0,Sheet1!AA342+Sheet1!BN342+'Calculations II'!BC342+'Calculations II'!P342-BP342)</f>
        <v>45.285225702976483</v>
      </c>
      <c r="AI342" s="106">
        <f ca="1">IF(B342=TODAY(),0,BC342+Sheet1!AA342+Calculation!EI342+O342+W342+Sheet1!BN342+Calculation!AI342+Calculation!CZ342-BP342)</f>
        <v>45.285225702976483</v>
      </c>
      <c r="AJ342" s="106"/>
      <c r="AM342" s="102">
        <f t="shared" si="38"/>
        <v>40871</v>
      </c>
      <c r="AN342" s="106"/>
      <c r="AO342" s="106"/>
      <c r="AR342" s="106"/>
      <c r="AT342" s="101">
        <f>Sheet1!AR342*GPMtoMGD</f>
        <v>0</v>
      </c>
      <c r="AU342" s="101">
        <f>Sheet1!AS342*GPMtoMGD</f>
        <v>2.9808000000000001E-2</v>
      </c>
      <c r="AV342" s="101">
        <f>Sheet1!AT342*GPMtoMGD</f>
        <v>0</v>
      </c>
      <c r="AW342" s="101">
        <f>Sheet1!AV342*GPMtoMGD</f>
        <v>0.79603199999999996</v>
      </c>
      <c r="AX342" s="101">
        <f>Sheet1!AW342*GPMtoMGD</f>
        <v>0.68457599999999996</v>
      </c>
      <c r="AY342" s="101">
        <f>Sheet1!AX342*GPMtoMGD</f>
        <v>0</v>
      </c>
      <c r="AZ342" s="101">
        <f>Sheet1!AY342*GPMtoMGD</f>
        <v>0</v>
      </c>
      <c r="BA342" s="101">
        <f>Sheet1!AZ342*GPMtoMGD</f>
        <v>0</v>
      </c>
      <c r="BB342" s="101">
        <f>Sheet1!BP342*GPMtoMGD</f>
        <v>0</v>
      </c>
      <c r="BC342" s="101">
        <f>Sheet1!CO342*GPMtoMGD</f>
        <v>0</v>
      </c>
      <c r="BD342" s="101">
        <f>Sheet1!BO342*GPMtoMGD</f>
        <v>2.232288</v>
      </c>
      <c r="BE342" s="101">
        <f>Sheet1!BV342*GPMtoMGD</f>
        <v>0.83462400000000003</v>
      </c>
      <c r="BF342" s="101">
        <f>Sheet1!CJ342*GPMtoMGD</f>
        <v>0.44366400000000006</v>
      </c>
      <c r="BG342" s="101">
        <f>Sheet1!CK342*GPMtoMGD</f>
        <v>0.53841600000000001</v>
      </c>
      <c r="BH342" s="101">
        <f>Sheet1!CL342*GPMtoMGD</f>
        <v>0.75384000000000007</v>
      </c>
      <c r="BI342" s="101">
        <f t="shared" si="39"/>
        <v>2.232288</v>
      </c>
      <c r="BK342" s="106">
        <f>SUM(AT342:BA342,BE342,Sheet1!BU342,'Calculations II'!BC342,Calculation!AG342)</f>
        <v>42.845039999999997</v>
      </c>
      <c r="BM342" s="439">
        <f ca="1">IF(B342=TODAY(),0,IF(AND(Sheet1!BQ342&lt;=11.5,Sheet1!BQ341&gt;Sheet1!BQ342),(MIN(Lookup!$C$119,VLOOKUP(Sheet1!BQ341,Lookup!$B$4:$J$236,2))-VLOOKUP(Sheet1!BQ342,Lookup!$B$4:$J$236,2))/1000000,0))</f>
        <v>0</v>
      </c>
      <c r="BN342" s="439">
        <f ca="1">IF(B342=TODAY(),0,IF(AND(Sheet1!BR342&lt;=11.5,Sheet1!BR341&gt;Sheet1!BR342),(MIN(Lookup!$D$119,VLOOKUP(Sheet1!BR341,Lookup!$B$4:$J$236,3))-VLOOKUP(Sheet1!BR342,Lookup!$B$4:$J$236,3))/1000000,0))</f>
        <v>0</v>
      </c>
      <c r="BP342" s="105">
        <f ca="1">SUM(BM342:BN342,W342,Sheet1!DT342)</f>
        <v>0</v>
      </c>
    </row>
    <row r="343" spans="1:68" s="101" customFormat="1">
      <c r="A343" s="101" t="s">
        <v>7</v>
      </c>
      <c r="B343" s="103">
        <v>40872</v>
      </c>
      <c r="C343" s="104">
        <v>0.33333333333357601</v>
      </c>
      <c r="E343" s="30"/>
      <c r="F343" s="30">
        <f ca="1">IF(B343=TODAY(),0,-(VLOOKUP(Sheet1!BZ343,Lookup!$I$4:$J$216,2)-VLOOKUP(Sheet1!BZ342,Lookup!$I$4:$J$216,2))/1000000)</f>
        <v>0.72545856983460111</v>
      </c>
      <c r="G343" s="106">
        <f ca="1">IF(B343=TODAY(),0,-$G$6*(Sheet1!CB343-Sheet1!CB342)*7.48/1000000)</f>
        <v>1.9856750526279932E-2</v>
      </c>
      <c r="H343" s="106">
        <f ca="1">IF(B343=TODAY(),0,-$G$6*(Sheet1!CC343-Sheet1!CC342)*7.48/1000000)</f>
        <v>-0.63541601684094862</v>
      </c>
      <c r="I343" s="106">
        <f ca="1">IF(B343=TODAY(),0,-$G$6*(Sheet1!CD343-Sheet1!CD342)*7.48/1000000)</f>
        <v>-0.63541601684094862</v>
      </c>
      <c r="J343" s="107" t="s">
        <v>193</v>
      </c>
      <c r="K343" s="106">
        <f ca="1">IF(B343=TODAY(),0,-$I$6*(Sheet1!CD343-Sheet1!CD342)*7.48/1000000)</f>
        <v>-0.28786413484843265</v>
      </c>
      <c r="L343" s="107" t="s">
        <v>193</v>
      </c>
      <c r="M343" s="106">
        <f ca="1">IF(B343=TODAY(),0,-$M$6*(Sheet1!CE343-Sheet1!CE342)*7.48/1000000)</f>
        <v>-0.1132764463657937</v>
      </c>
      <c r="N343" s="106">
        <f ca="1">IF(B343=TODAY(),0,-$N$6*(Sheet1!CF343-Sheet1!CF342)*7.48/1000000)</f>
        <v>0.39092977598613105</v>
      </c>
      <c r="O343" s="106">
        <f t="shared" ca="1" si="35"/>
        <v>-0.53572751854911149</v>
      </c>
      <c r="P343" s="106">
        <f ca="1">O343+Calculation!EI343</f>
        <v>-2.670527518549112</v>
      </c>
      <c r="Q343" s="101" t="str">
        <f>IF(Sheet1!BQ343&gt;21.75,"spill elevation","-")</f>
        <v>-</v>
      </c>
      <c r="R343" s="101" t="str">
        <f>IF(Sheet1!BR343&gt;21.75,"spill elevation","-")</f>
        <v>-</v>
      </c>
      <c r="S343" s="101" t="str">
        <f>IF(Sheet1!BS343&gt;21.75,"spill elevation","-")</f>
        <v>-</v>
      </c>
      <c r="T343" s="105">
        <f>IF(Sheet1!DQ343=1,Sheet1!AA343-(SUM(AT343:BA343)+BE343),Sheet1!AA343-SUM(AT343:BA343))</f>
        <v>25.518880000001165</v>
      </c>
      <c r="U343" s="105">
        <f>Sheet1!BU343</f>
        <v>19.8</v>
      </c>
      <c r="V343" s="105">
        <f t="shared" si="36"/>
        <v>5.7188800000011639</v>
      </c>
      <c r="W343" s="105">
        <f t="shared" si="37"/>
        <v>0</v>
      </c>
      <c r="X343" s="101">
        <f>IF((Sheet1!EX343-Sheet1!EX342)&lt;0,(Sheet1!EX343+100000-Sheet1!EX342)/1000,(Sheet1!EX343-Sheet1!EX342)/1000)</f>
        <v>1.2729999999999999</v>
      </c>
      <c r="Y343" s="106">
        <f ca="1">Calculation!DZ344+Calculation!EI343+'Calculations II'!O343-'Calculations II'!W343</f>
        <v>44.829472481450892</v>
      </c>
      <c r="Z343" s="106">
        <f ca="1">Y343-Sheet1!CP344</f>
        <v>27.599472481450892</v>
      </c>
      <c r="AA343" s="106">
        <f ca="1">Y343+Calculation!CZ344+Calculation!AI344</f>
        <v>47.838053339536287</v>
      </c>
      <c r="AC343" s="106">
        <f>Sheet1!AA343+Sheet1!AB343+BC343</f>
        <v>45.370000000002619</v>
      </c>
      <c r="AD343" s="106">
        <f>Sheet1!AA343+Sheet1!BN343+'Calculations II'!BC343-Calculation!AI343-Calculation!CZ343</f>
        <v>45.370000000001163</v>
      </c>
      <c r="AE343" s="106">
        <f>Sheet1!AA343+Sheet1!AB343+'Calculations II'!BC343-Calculation!AI343-Calculation!CZ343</f>
        <v>45.370000000002619</v>
      </c>
      <c r="AF343" s="106">
        <f ca="1">Sheet1!AA343+Sheet1!BN343+P343+'Calculations II'!BC343+Calculation!AI343+Calculation!CZ343</f>
        <v>42.699472481452048</v>
      </c>
      <c r="AG343" s="106">
        <f ca="1">IF(B343=TODAY(),0,Sheet1!AA343+Sheet1!BN343+'Calculations II'!BC343+'Calculations II'!P343-Sheet1!CP343-BP343)</f>
        <v>25.319472481452049</v>
      </c>
      <c r="AH343" s="106">
        <f ca="1">IF(B343=TODAY(),0,Sheet1!AA343+Sheet1!BN343+'Calculations II'!BC343+'Calculations II'!P343-BP343)</f>
        <v>42.699472481452048</v>
      </c>
      <c r="AI343" s="106">
        <f ca="1">IF(B343=TODAY(),0,BC343+Sheet1!AA343+Calculation!EI343+O343+W343+Sheet1!BN343+Calculation!AI343+Calculation!CZ343-BP343)</f>
        <v>42.699472481452048</v>
      </c>
      <c r="AJ343" s="106"/>
      <c r="AM343" s="102">
        <f t="shared" si="38"/>
        <v>40872</v>
      </c>
      <c r="AN343" s="106"/>
      <c r="AO343" s="106"/>
      <c r="AR343" s="106"/>
      <c r="AT343" s="101">
        <f>Sheet1!AR343*GPMtoMGD</f>
        <v>0</v>
      </c>
      <c r="AU343" s="101">
        <f>Sheet1!AS343*GPMtoMGD</f>
        <v>1.6847999999999998E-2</v>
      </c>
      <c r="AV343" s="101">
        <f>Sheet1!AT343*GPMtoMGD</f>
        <v>0</v>
      </c>
      <c r="AW343" s="101">
        <f>Sheet1!AV343*GPMtoMGD</f>
        <v>0.411408</v>
      </c>
      <c r="AX343" s="101">
        <f>Sheet1!AW343*GPMtoMGD</f>
        <v>0.52286400000000011</v>
      </c>
      <c r="AY343" s="101">
        <f>Sheet1!AX343*GPMtoMGD</f>
        <v>0</v>
      </c>
      <c r="AZ343" s="101">
        <f>Sheet1!AY343*GPMtoMGD</f>
        <v>0</v>
      </c>
      <c r="BA343" s="101">
        <f>Sheet1!AZ343*GPMtoMGD</f>
        <v>0</v>
      </c>
      <c r="BB343" s="101">
        <f>Sheet1!BP343*GPMtoMGD</f>
        <v>0</v>
      </c>
      <c r="BC343" s="101">
        <f>Sheet1!CO343*GPMtoMGD</f>
        <v>0</v>
      </c>
      <c r="BD343" s="101">
        <f>Sheet1!BO343*GPMtoMGD</f>
        <v>2.2934880000000004</v>
      </c>
      <c r="BE343" s="101">
        <f>Sheet1!BV343*GPMtoMGD</f>
        <v>0.68155200000000005</v>
      </c>
      <c r="BF343" s="101">
        <f>Sheet1!CJ343*GPMtoMGD</f>
        <v>0.45921600000000001</v>
      </c>
      <c r="BG343" s="101">
        <f>Sheet1!CK343*GPMtoMGD</f>
        <v>0.53136000000000005</v>
      </c>
      <c r="BH343" s="101">
        <f>Sheet1!CL343*GPMtoMGD</f>
        <v>0.74880000000000002</v>
      </c>
      <c r="BI343" s="101">
        <f t="shared" si="39"/>
        <v>2.2934880000000004</v>
      </c>
      <c r="BK343" s="106">
        <f>SUM(AT343:BA343,BE343,Sheet1!BU343,'Calculations II'!BC343,Calculation!AG343)</f>
        <v>40.332672000001452</v>
      </c>
      <c r="BM343" s="439">
        <f ca="1">IF(B343=TODAY(),0,IF(AND(Sheet1!BQ343&lt;=11.5,Sheet1!BQ342&gt;Sheet1!BQ343),(MIN(Lookup!$C$119,VLOOKUP(Sheet1!BQ342,Lookup!$B$4:$J$236,2))-VLOOKUP(Sheet1!BQ343,Lookup!$B$4:$J$236,2))/1000000,0))</f>
        <v>0</v>
      </c>
      <c r="BN343" s="439">
        <f ca="1">IF(B343=TODAY(),0,IF(AND(Sheet1!BR343&lt;=11.5,Sheet1!BR342&gt;Sheet1!BR343),(MIN(Lookup!$D$119,VLOOKUP(Sheet1!BR342,Lookup!$B$4:$J$236,3))-VLOOKUP(Sheet1!BR343,Lookup!$B$4:$J$236,3))/1000000,0))</f>
        <v>0</v>
      </c>
      <c r="BP343" s="105">
        <f ca="1">SUM(BM343:BN343,W343,Sheet1!DT343)</f>
        <v>0</v>
      </c>
    </row>
    <row r="344" spans="1:68" s="101" customFormat="1">
      <c r="A344" s="101" t="s">
        <v>8</v>
      </c>
      <c r="B344" s="103">
        <v>40873</v>
      </c>
      <c r="C344" s="104">
        <v>0.33333333333357601</v>
      </c>
      <c r="E344" s="30"/>
      <c r="F344" s="30">
        <f ca="1">IF(B344=TODAY(),0,-(VLOOKUP(Sheet1!BZ344,Lookup!$I$4:$J$216,2)-VLOOKUP(Sheet1!BZ343,Lookup!$I$4:$J$216,2))/1000000)</f>
        <v>0</v>
      </c>
      <c r="G344" s="106">
        <f ca="1">IF(B344=TODAY(),0,-$G$6*(Sheet1!CB344-Sheet1!CB343)*7.48/1000000)</f>
        <v>-0.49641876315699118</v>
      </c>
      <c r="H344" s="106">
        <f ca="1">IF(B344=TODAY(),0,-$G$6*(Sheet1!CC344-Sheet1!CC343)*7.48/1000000)</f>
        <v>0.71484301894606683</v>
      </c>
      <c r="I344" s="106">
        <f ca="1">IF(B344=TODAY(),0,-$G$6*(Sheet1!CD344-Sheet1!CD343)*7.48/1000000)</f>
        <v>0.75455651999862683</v>
      </c>
      <c r="J344" s="107" t="s">
        <v>193</v>
      </c>
      <c r="K344" s="106">
        <f ca="1">IF(B344=TODAY(),0,-$I$6*(Sheet1!CD344-Sheet1!CD343)*7.48/1000000)</f>
        <v>0.34183866013251396</v>
      </c>
      <c r="L344" s="107" t="s">
        <v>193</v>
      </c>
      <c r="M344" s="106">
        <f ca="1">IF(B344=TODAY(),0,-$M$6*(Sheet1!CE344-Sheet1!CE343)*7.48/1000000)</f>
        <v>0.12660308711471052</v>
      </c>
      <c r="N344" s="106">
        <f ca="1">IF(B344=TODAY(),0,-$N$6*(Sheet1!CF344-Sheet1!CF343)*7.48/1000000)</f>
        <v>-4.9641876315699163E-2</v>
      </c>
      <c r="O344" s="106">
        <f t="shared" ca="1" si="35"/>
        <v>1.3917806467192277</v>
      </c>
      <c r="P344" s="106">
        <f ca="1">O344+Calculation!EI344</f>
        <v>1.9254806467192278</v>
      </c>
      <c r="Q344" s="101" t="str">
        <f>IF(Sheet1!BQ344&gt;21.75,"spill elevation","-")</f>
        <v>-</v>
      </c>
      <c r="R344" s="101" t="str">
        <f>IF(Sheet1!BR344&gt;21.75,"spill elevation","-")</f>
        <v>-</v>
      </c>
      <c r="S344" s="101" t="str">
        <f>IF(Sheet1!BS344&gt;21.75,"spill elevation","-")</f>
        <v>-</v>
      </c>
      <c r="T344" s="105">
        <f>IF(Sheet1!DQ344=1,Sheet1!AA344-(SUM(AT344:BA344)+BE344),Sheet1!AA344-SUM(AT344:BA344))</f>
        <v>25.056128000002911</v>
      </c>
      <c r="U344" s="105">
        <f>Sheet1!BU344</f>
        <v>21.4</v>
      </c>
      <c r="V344" s="105">
        <f t="shared" si="36"/>
        <v>3.6561280000029122</v>
      </c>
      <c r="W344" s="105">
        <f t="shared" si="37"/>
        <v>0</v>
      </c>
      <c r="X344" s="101">
        <f>IF((Sheet1!EX344-Sheet1!EX343)&lt;0,(Sheet1!EX344+100000-Sheet1!EX343)/1000,(Sheet1!EX344-Sheet1!EX343)/1000)</f>
        <v>1.296</v>
      </c>
      <c r="Y344" s="106">
        <f ca="1">Calculation!DZ345+Calculation!EI344+'Calculations II'!O344-'Calculations II'!W344</f>
        <v>53.305480646723886</v>
      </c>
      <c r="Z344" s="106">
        <f ca="1">Y344-Sheet1!CP345</f>
        <v>36.265480646723887</v>
      </c>
      <c r="AA344" s="106">
        <f ca="1">Y344+Calculation!CZ345+Calculation!AI345</f>
        <v>59.292745782424703</v>
      </c>
      <c r="AC344" s="106">
        <f>Sheet1!AA344+Sheet1!AB344+BC344</f>
        <v>47.5</v>
      </c>
      <c r="AD344" s="106">
        <f>Sheet1!AA344+Sheet1!BN344+'Calculations II'!BC344-Calculation!AI344-Calculation!CZ344</f>
        <v>41.491419141917518</v>
      </c>
      <c r="AE344" s="106">
        <f>Sheet1!AA344+Sheet1!AB344+'Calculations II'!BC344-Calculation!AI344-Calculation!CZ344</f>
        <v>44.491419141914605</v>
      </c>
      <c r="AF344" s="106">
        <f ca="1">Sheet1!AA344+Sheet1!BN344+P344+'Calculations II'!BC344+Calculation!AI344+Calculation!CZ344</f>
        <v>49.434061504807538</v>
      </c>
      <c r="AG344" s="106">
        <f ca="1">IF(B344=TODAY(),0,Sheet1!AA344+Sheet1!BN344+'Calculations II'!BC344+'Calculations II'!P344-Sheet1!CP344-BP344)</f>
        <v>29.195480646722142</v>
      </c>
      <c r="AH344" s="106">
        <f ca="1">IF(B344=TODAY(),0,Sheet1!AA344+Sheet1!BN344+'Calculations II'!BC344+'Calculations II'!P344-BP344)</f>
        <v>46.425480646722143</v>
      </c>
      <c r="AI344" s="106">
        <f ca="1">IF(B344=TODAY(),0,BC344+Sheet1!AA344+Calculation!EI344+O344+W344+Sheet1!BN344+Calculation!AI344+Calculation!CZ344-BP344)</f>
        <v>49.434061504807531</v>
      </c>
      <c r="AJ344" s="106"/>
      <c r="AM344" s="102">
        <f t="shared" si="38"/>
        <v>40873</v>
      </c>
      <c r="AN344" s="106"/>
      <c r="AO344" s="106"/>
      <c r="AR344" s="106"/>
      <c r="AT344" s="101">
        <f>Sheet1!AR344*GPMtoMGD</f>
        <v>0</v>
      </c>
      <c r="AU344" s="101">
        <f>Sheet1!AS344*GPMtoMGD</f>
        <v>1.6128E-2</v>
      </c>
      <c r="AV344" s="101">
        <f>Sheet1!AT344*GPMtoMGD</f>
        <v>0</v>
      </c>
      <c r="AW344" s="101">
        <f>Sheet1!AV344*GPMtoMGD</f>
        <v>0.525312</v>
      </c>
      <c r="AX344" s="101">
        <f>Sheet1!AW344*GPMtoMGD</f>
        <v>0.70243200000000006</v>
      </c>
      <c r="AY344" s="101">
        <f>Sheet1!AX344*GPMtoMGD</f>
        <v>0</v>
      </c>
      <c r="AZ344" s="101">
        <f>Sheet1!AY344*GPMtoMGD</f>
        <v>0</v>
      </c>
      <c r="BA344" s="101">
        <f>Sheet1!AZ344*GPMtoMGD</f>
        <v>0</v>
      </c>
      <c r="BB344" s="101">
        <f>Sheet1!BP344*GPMtoMGD</f>
        <v>0</v>
      </c>
      <c r="BC344" s="101">
        <f>Sheet1!CO344*GPMtoMGD</f>
        <v>0</v>
      </c>
      <c r="BD344" s="101">
        <f>Sheet1!BO344*GPMtoMGD</f>
        <v>1.3812480000000003</v>
      </c>
      <c r="BE344" s="101">
        <f>Sheet1!BV344*GPMtoMGD</f>
        <v>0.63604800000000006</v>
      </c>
      <c r="BF344" s="101">
        <f>Sheet1!CJ344*GPMtoMGD</f>
        <v>0.50616000000000005</v>
      </c>
      <c r="BG344" s="101">
        <f>Sheet1!CK344*GPMtoMGD</f>
        <v>0.54086400000000001</v>
      </c>
      <c r="BH344" s="101">
        <f>Sheet1!CL344*GPMtoMGD</f>
        <v>0.78969600000000006</v>
      </c>
      <c r="BI344" s="101">
        <f t="shared" si="39"/>
        <v>1.3812480000000003</v>
      </c>
      <c r="BK344" s="106">
        <f>SUM(AT344:BA344,BE344,Sheet1!BU344,'Calculations II'!BC344,Calculation!AG344)</f>
        <v>41.471339141911685</v>
      </c>
      <c r="BM344" s="439">
        <f ca="1">IF(B344=TODAY(),0,IF(AND(Sheet1!BQ344&lt;=11.5,Sheet1!BQ343&gt;Sheet1!BQ344),(MIN(Lookup!$C$119,VLOOKUP(Sheet1!BQ343,Lookup!$B$4:$J$236,2))-VLOOKUP(Sheet1!BQ344,Lookup!$B$4:$J$236,2))/1000000,0))</f>
        <v>0</v>
      </c>
      <c r="BN344" s="439">
        <f ca="1">IF(B344=TODAY(),0,IF(AND(Sheet1!BR344&lt;=11.5,Sheet1!BR343&gt;Sheet1!BR344),(MIN(Lookup!$D$119,VLOOKUP(Sheet1!BR343,Lookup!$B$4:$J$236,3))-VLOOKUP(Sheet1!BR344,Lookup!$B$4:$J$236,3))/1000000,0))</f>
        <v>0</v>
      </c>
      <c r="BP344" s="105">
        <f ca="1">SUM(BM344:BN344,W344,Sheet1!DT344)</f>
        <v>0</v>
      </c>
    </row>
    <row r="345" spans="1:68" s="101" customFormat="1">
      <c r="A345" s="101" t="s">
        <v>9</v>
      </c>
      <c r="B345" s="103">
        <v>40874</v>
      </c>
      <c r="C345" s="104">
        <v>0.33333333333357601</v>
      </c>
      <c r="E345" s="30"/>
      <c r="F345" s="30">
        <f ca="1">IF(B345=TODAY(),0,-(VLOOKUP(Sheet1!BZ345,Lookup!$I$4:$J$216,2)-VLOOKUP(Sheet1!BZ344,Lookup!$I$4:$J$216,2))/1000000)</f>
        <v>-0.41454775419119744</v>
      </c>
      <c r="G345" s="106">
        <f ca="1">IF(B345=TODAY(),0,-$G$6*(Sheet1!CB345-Sheet1!CB344)*7.48/1000000)</f>
        <v>7.9427002105118313E-2</v>
      </c>
      <c r="H345" s="106">
        <f ca="1">IF(B345=TODAY(),0,-$G$6*(Sheet1!CC345-Sheet1!CC344)*7.48/1000000)</f>
        <v>-0.5162755136832704</v>
      </c>
      <c r="I345" s="106">
        <f ca="1">IF(B345=TODAY(),0,-$G$6*(Sheet1!CD345-Sheet1!CD344)*7.48/1000000)</f>
        <v>-0.51627551368327118</v>
      </c>
      <c r="J345" s="107" t="s">
        <v>193</v>
      </c>
      <c r="K345" s="106">
        <f ca="1">IF(B345=TODAY(),0,-$I$6*(Sheet1!CD345-Sheet1!CD344)*7.48/1000000)</f>
        <v>-0.23388960956435173</v>
      </c>
      <c r="L345" s="107" t="s">
        <v>193</v>
      </c>
      <c r="M345" s="106">
        <f ca="1">IF(B345=TODAY(),0,-$M$6*(Sheet1!CE345-Sheet1!CE344)*7.48/1000000)</f>
        <v>-8.6623164867959804E-2</v>
      </c>
      <c r="N345" s="106">
        <f ca="1">IF(B345=TODAY(),0,-$N$6*(Sheet1!CF345-Sheet1!CF344)*7.48/1000000)</f>
        <v>-0.14892562894709749</v>
      </c>
      <c r="O345" s="106">
        <f t="shared" ca="1" si="35"/>
        <v>-1.8371101828320298</v>
      </c>
      <c r="P345" s="106">
        <f ca="1">O345+Calculation!EI345</f>
        <v>-1.3038101828320299</v>
      </c>
      <c r="Q345" s="101" t="str">
        <f>IF(Sheet1!BQ345&gt;21.75,"spill elevation","-")</f>
        <v>-</v>
      </c>
      <c r="R345" s="101" t="str">
        <f>IF(Sheet1!BR345&gt;21.75,"spill elevation","-")</f>
        <v>-</v>
      </c>
      <c r="S345" s="101" t="str">
        <f>IF(Sheet1!BS345&gt;21.75,"spill elevation","-")</f>
        <v>-</v>
      </c>
      <c r="T345" s="105">
        <f>IF(Sheet1!DQ345=1,Sheet1!AA345-(SUM(AT345:BA345)+BE345),Sheet1!AA345-SUM(AT345:BA345))</f>
        <v>25.706655999998837</v>
      </c>
      <c r="U345" s="105">
        <f>Sheet1!BU345</f>
        <v>22.7</v>
      </c>
      <c r="V345" s="105">
        <f t="shared" si="36"/>
        <v>3.0066559999988378</v>
      </c>
      <c r="W345" s="105">
        <f t="shared" si="37"/>
        <v>0</v>
      </c>
      <c r="X345" s="101">
        <f>IF((Sheet1!EX345-Sheet1!EX344)&lt;0,(Sheet1!EX345+100000-Sheet1!EX344)/1000,(Sheet1!EX345-Sheet1!EX344)/1000)</f>
        <v>1.3140000000000001</v>
      </c>
      <c r="Y345" s="106">
        <f ca="1">Calculation!DZ346+Calculation!EI345+'Calculations II'!O345-'Calculations II'!W345</f>
        <v>42.996189817163604</v>
      </c>
      <c r="Z345" s="106">
        <f ca="1">Y345-Sheet1!CP346</f>
        <v>26.676189817163603</v>
      </c>
      <c r="AA345" s="106">
        <f ca="1">Y345+Calculation!CZ346+Calculation!AI346</f>
        <v>42.996189817163604</v>
      </c>
      <c r="AC345" s="106">
        <f>Sheet1!AA345+Sheet1!AB345+BC345</f>
        <v>51.380000000004657</v>
      </c>
      <c r="AD345" s="106">
        <f>Sheet1!AA345+Sheet1!BN345+'Calculations II'!BC345-Calculation!AI345-Calculation!CZ345</f>
        <v>39.292734864298012</v>
      </c>
      <c r="AE345" s="106">
        <f>Sheet1!AA345+Sheet1!AB345+'Calculations II'!BC345-Calculation!AI345-Calculation!CZ345</f>
        <v>45.392734864303833</v>
      </c>
      <c r="AF345" s="106">
        <f ca="1">Sheet1!AA345+Sheet1!BN345+P345+'Calculations II'!BC345+Calculation!AI345+Calculation!CZ345</f>
        <v>49.963454952867622</v>
      </c>
      <c r="AG345" s="106">
        <f ca="1">IF(B345=TODAY(),0,Sheet1!AA345+Sheet1!BN345+'Calculations II'!BC345+'Calculations II'!P345-Sheet1!CP345-BP345)</f>
        <v>26.936189817166806</v>
      </c>
      <c r="AH345" s="106">
        <f ca="1">IF(B345=TODAY(),0,Sheet1!AA345+Sheet1!BN345+'Calculations II'!BC345+'Calculations II'!P345-BP345)</f>
        <v>43.976189817166805</v>
      </c>
      <c r="AI345" s="106">
        <f ca="1">IF(B345=TODAY(),0,BC345+Sheet1!AA345+Calculation!EI345+O345+W345+Sheet1!BN345+Calculation!AI345+Calculation!CZ345-BP345)</f>
        <v>49.963454952867622</v>
      </c>
      <c r="AJ345" s="106"/>
      <c r="AM345" s="102">
        <f t="shared" si="38"/>
        <v>40874</v>
      </c>
      <c r="AN345" s="106"/>
      <c r="AO345" s="106"/>
      <c r="AR345" s="106"/>
      <c r="AT345" s="101">
        <f>Sheet1!AR345*GPMtoMGD</f>
        <v>0</v>
      </c>
      <c r="AU345" s="101">
        <f>Sheet1!AS345*GPMtoMGD</f>
        <v>1.6416E-2</v>
      </c>
      <c r="AV345" s="101">
        <f>Sheet1!AT345*GPMtoMGD</f>
        <v>0</v>
      </c>
      <c r="AW345" s="101">
        <f>Sheet1!AV345*GPMtoMGD</f>
        <v>0.72792000000000001</v>
      </c>
      <c r="AX345" s="101">
        <f>Sheet1!AW345*GPMtoMGD</f>
        <v>0.82900800000000008</v>
      </c>
      <c r="AY345" s="101">
        <f>Sheet1!AX345*GPMtoMGD</f>
        <v>0</v>
      </c>
      <c r="AZ345" s="101">
        <f>Sheet1!AY345*GPMtoMGD</f>
        <v>0</v>
      </c>
      <c r="BA345" s="101">
        <f>Sheet1!AZ345*GPMtoMGD</f>
        <v>0</v>
      </c>
      <c r="BB345" s="101">
        <f>Sheet1!BP345*GPMtoMGD</f>
        <v>0</v>
      </c>
      <c r="BC345" s="101">
        <f>Sheet1!CO345*GPMtoMGD</f>
        <v>0</v>
      </c>
      <c r="BD345" s="101">
        <f>Sheet1!BO345*GPMtoMGD</f>
        <v>2.3404320000000003</v>
      </c>
      <c r="BE345" s="101">
        <f>Sheet1!BV345*GPMtoMGD</f>
        <v>0.64382400000000006</v>
      </c>
      <c r="BF345" s="101">
        <f>Sheet1!CJ345*GPMtoMGD</f>
        <v>0.64584000000000008</v>
      </c>
      <c r="BG345" s="101">
        <f>Sheet1!CK345*GPMtoMGD</f>
        <v>0.56332800000000005</v>
      </c>
      <c r="BH345" s="101">
        <f>Sheet1!CL345*GPMtoMGD</f>
        <v>0.80006400000000011</v>
      </c>
      <c r="BI345" s="101">
        <f t="shared" si="39"/>
        <v>2.3404320000000003</v>
      </c>
      <c r="BK345" s="106">
        <f>SUM(AT345:BA345,BE345,Sheet1!BU345,'Calculations II'!BC345,Calculation!AG345)</f>
        <v>43.029902864305001</v>
      </c>
      <c r="BM345" s="439">
        <f ca="1">IF(B345=TODAY(),0,IF(AND(Sheet1!BQ345&lt;=11.5,Sheet1!BQ344&gt;Sheet1!BQ345),(MIN(Lookup!$C$119,VLOOKUP(Sheet1!BQ344,Lookup!$B$4:$J$236,2))-VLOOKUP(Sheet1!BQ345,Lookup!$B$4:$J$236,2))/1000000,0))</f>
        <v>0</v>
      </c>
      <c r="BN345" s="439">
        <f ca="1">IF(B345=TODAY(),0,IF(AND(Sheet1!BR345&lt;=11.5,Sheet1!BR344&gt;Sheet1!BR345),(MIN(Lookup!$D$119,VLOOKUP(Sheet1!BR344,Lookup!$B$4:$J$236,3))-VLOOKUP(Sheet1!BR345,Lookup!$B$4:$J$236,3))/1000000,0))</f>
        <v>0</v>
      </c>
      <c r="BP345" s="105">
        <f ca="1">SUM(BM345:BN345,W345,Sheet1!DT345)</f>
        <v>0</v>
      </c>
    </row>
    <row r="346" spans="1:68" s="101" customFormat="1">
      <c r="A346" s="101" t="s">
        <v>3</v>
      </c>
      <c r="B346" s="103">
        <v>40875</v>
      </c>
      <c r="C346" s="104">
        <v>0.33333333333357601</v>
      </c>
      <c r="E346" s="30"/>
      <c r="F346" s="30">
        <f ca="1">IF(B346=TODAY(),0,-(VLOOKUP(Sheet1!BZ346,Lookup!$I$4:$J$216,2)-VLOOKUP(Sheet1!BZ345,Lookup!$I$4:$J$216,2))/1000000)</f>
        <v>0</v>
      </c>
      <c r="G346" s="106">
        <f ca="1">IF(B346=TODAY(),0,-$G$6*(Sheet1!CB346-Sheet1!CB345)*7.48/1000000)</f>
        <v>0</v>
      </c>
      <c r="H346" s="106">
        <f ca="1">IF(B346=TODAY(),0,-$G$6*(Sheet1!CC346-Sheet1!CC345)*7.48/1000000)</f>
        <v>0</v>
      </c>
      <c r="I346" s="106">
        <f ca="1">IF(B346=TODAY(),0,-$G$6*(Sheet1!CD346-Sheet1!CD345)*7.48/1000000)</f>
        <v>0</v>
      </c>
      <c r="J346" s="107" t="s">
        <v>193</v>
      </c>
      <c r="K346" s="106">
        <f ca="1">IF(B346=TODAY(),0,-$I$6*(Sheet1!CD346-Sheet1!CD345)*7.48/1000000)</f>
        <v>0</v>
      </c>
      <c r="L346" s="107" t="s">
        <v>193</v>
      </c>
      <c r="M346" s="106">
        <f ca="1">IF(B346=TODAY(),0,-$M$6*(Sheet1!CE346-Sheet1!CE345)*7.48/1000000)</f>
        <v>0</v>
      </c>
      <c r="N346" s="106">
        <f ca="1">IF(B346=TODAY(),0,-$N$6*(Sheet1!CF346-Sheet1!CF345)*7.48/1000000)</f>
        <v>-2.482093815785013E-2</v>
      </c>
      <c r="O346" s="106">
        <f t="shared" ca="1" si="35"/>
        <v>-2.482093815785013E-2</v>
      </c>
      <c r="P346" s="106">
        <f ca="1">O346+Calculation!EI346</f>
        <v>-2.482093815785013E-2</v>
      </c>
      <c r="Q346" s="101" t="str">
        <f>IF(Sheet1!BQ346&gt;21.75,"spill elevation","-")</f>
        <v>-</v>
      </c>
      <c r="R346" s="101" t="str">
        <f>IF(Sheet1!BR346&gt;21.75,"spill elevation","-")</f>
        <v>-</v>
      </c>
      <c r="S346" s="101" t="str">
        <f>IF(Sheet1!BS346&gt;21.75,"spill elevation","-")</f>
        <v>-</v>
      </c>
      <c r="T346" s="105">
        <f>IF(Sheet1!DQ346=1,Sheet1!AA346-(SUM(AT346:BA346)+BE346),Sheet1!AA346-SUM(AT346:BA346))</f>
        <v>24.117119999998252</v>
      </c>
      <c r="U346" s="105">
        <f>Sheet1!BU346</f>
        <v>20.6</v>
      </c>
      <c r="V346" s="105">
        <f t="shared" si="36"/>
        <v>3.5171199999982505</v>
      </c>
      <c r="W346" s="105">
        <f t="shared" si="37"/>
        <v>0</v>
      </c>
      <c r="X346" s="101">
        <f>IF((Sheet1!EX346-Sheet1!EX345)&lt;0,(Sheet1!EX346+100000-Sheet1!EX345)/1000,(Sheet1!EX346-Sheet1!EX345)/1000)</f>
        <v>1.2509999999999999</v>
      </c>
      <c r="Y346" s="106">
        <f ca="1">Calculation!DZ347+Calculation!EI346+'Calculations II'!O346-'Calculations II'!W346</f>
        <v>44.545179061842148</v>
      </c>
      <c r="Z346" s="106">
        <f ca="1">Y346-Sheet1!CP347</f>
        <v>28.855179061842151</v>
      </c>
      <c r="AA346" s="106">
        <f ca="1">Y346+Calculation!CZ347+Calculation!AI347</f>
        <v>44.545179061842148</v>
      </c>
      <c r="AC346" s="106">
        <f>Sheet1!AA346+Sheet1!AB346+BC346</f>
        <v>44.299999999995634</v>
      </c>
      <c r="AD346" s="106">
        <f>Sheet1!AA346+Sheet1!BN346+'Calculations II'!BC346-Calculation!AI346-Calculation!CZ346</f>
        <v>44.719999999998251</v>
      </c>
      <c r="AE346" s="106">
        <f>Sheet1!AA346+Sheet1!AB346+'Calculations II'!BC346-Calculation!AI346-Calculation!CZ346</f>
        <v>44.299999999995634</v>
      </c>
      <c r="AF346" s="106">
        <f ca="1">Sheet1!AA346+Sheet1!BN346+P346+'Calculations II'!BC346+Calculation!AI346+Calculation!CZ346</f>
        <v>44.695179061840399</v>
      </c>
      <c r="AG346" s="106">
        <f ca="1">IF(B346=TODAY(),0,Sheet1!AA346+Sheet1!BN346+'Calculations II'!BC346+'Calculations II'!P346-Sheet1!CP346-BP346)</f>
        <v>28.375179061840399</v>
      </c>
      <c r="AH346" s="106">
        <f ca="1">IF(B346=TODAY(),0,Sheet1!AA346+Sheet1!BN346+'Calculations II'!BC346+'Calculations II'!P346-BP346)</f>
        <v>44.695179061840399</v>
      </c>
      <c r="AI346" s="106">
        <f ca="1">IF(B346=TODAY(),0,BC346+Sheet1!AA346+Calculation!EI346+O346+W346+Sheet1!BN346+Calculation!AI346+Calculation!CZ346-BP346)</f>
        <v>44.695179061840406</v>
      </c>
      <c r="AJ346" s="106"/>
      <c r="AM346" s="102">
        <f t="shared" si="38"/>
        <v>40875</v>
      </c>
      <c r="AN346" s="106"/>
      <c r="AO346" s="106"/>
      <c r="AR346" s="106"/>
      <c r="AT346" s="101">
        <f>Sheet1!AR346*GPMtoMGD</f>
        <v>0</v>
      </c>
      <c r="AU346" s="101">
        <f>Sheet1!AS346*GPMtoMGD</f>
        <v>1.5264E-2</v>
      </c>
      <c r="AV346" s="101">
        <f>Sheet1!AT346*GPMtoMGD</f>
        <v>0</v>
      </c>
      <c r="AW346" s="101">
        <f>Sheet1!AV346*GPMtoMGD</f>
        <v>0.8189280000000001</v>
      </c>
      <c r="AX346" s="101">
        <f>Sheet1!AW346*GPMtoMGD</f>
        <v>0.9686880000000001</v>
      </c>
      <c r="AY346" s="101">
        <f>Sheet1!AX346*GPMtoMGD</f>
        <v>0</v>
      </c>
      <c r="AZ346" s="101">
        <f>Sheet1!AY346*GPMtoMGD</f>
        <v>0</v>
      </c>
      <c r="BA346" s="101">
        <f>Sheet1!AZ346*GPMtoMGD</f>
        <v>0</v>
      </c>
      <c r="BB346" s="101">
        <f>Sheet1!BP346*GPMtoMGD</f>
        <v>2.8800000000000003E-2</v>
      </c>
      <c r="BC346" s="101">
        <f>Sheet1!CO346*GPMtoMGD</f>
        <v>0</v>
      </c>
      <c r="BD346" s="101">
        <f>Sheet1!BO346*GPMtoMGD</f>
        <v>1.7354880000000001</v>
      </c>
      <c r="BE346" s="101">
        <f>Sheet1!BV346*GPMtoMGD</f>
        <v>0.61531200000000008</v>
      </c>
      <c r="BF346" s="101">
        <f>Sheet1!CJ346*GPMtoMGD</f>
        <v>0.67147200000000007</v>
      </c>
      <c r="BG346" s="101">
        <f>Sheet1!CK346*GPMtoMGD</f>
        <v>0.54590400000000006</v>
      </c>
      <c r="BH346" s="101">
        <f>Sheet1!CL346*GPMtoMGD</f>
        <v>0.84211199999999997</v>
      </c>
      <c r="BI346" s="101">
        <f t="shared" si="39"/>
        <v>1.7642880000000001</v>
      </c>
      <c r="BK346" s="106">
        <f>SUM(AT346:BA346,BE346,Sheet1!BU346,'Calculations II'!BC346,Calculation!AG346)</f>
        <v>41.39819199999738</v>
      </c>
      <c r="BM346" s="439">
        <f ca="1">IF(B346=TODAY(),0,IF(AND(Sheet1!BQ346&lt;=11.5,Sheet1!BQ345&gt;Sheet1!BQ346),(MIN(Lookup!$C$119,VLOOKUP(Sheet1!BQ345,Lookup!$B$4:$J$236,2))-VLOOKUP(Sheet1!BQ346,Lookup!$B$4:$J$236,2))/1000000,0))</f>
        <v>0</v>
      </c>
      <c r="BN346" s="439">
        <f ca="1">IF(B346=TODAY(),0,IF(AND(Sheet1!BR346&lt;=11.5,Sheet1!BR345&gt;Sheet1!BR346),(MIN(Lookup!$D$119,VLOOKUP(Sheet1!BR345,Lookup!$B$4:$J$236,3))-VLOOKUP(Sheet1!BR346,Lookup!$B$4:$J$236,3))/1000000,0))</f>
        <v>0</v>
      </c>
      <c r="BP346" s="105">
        <f ca="1">SUM(BM346:BN346,W346,Sheet1!DT346)</f>
        <v>0</v>
      </c>
    </row>
    <row r="347" spans="1:68" s="101" customFormat="1">
      <c r="A347" s="101" t="s">
        <v>4</v>
      </c>
      <c r="B347" s="103">
        <v>40876</v>
      </c>
      <c r="C347" s="104">
        <v>0.33333333333357601</v>
      </c>
      <c r="E347" s="30"/>
      <c r="F347" s="30">
        <f ca="1">IF(B347=TODAY(),0,-(VLOOKUP(Sheet1!BZ347,Lookup!$I$4:$J$216,2)-VLOOKUP(Sheet1!BZ346,Lookup!$I$4:$J$216,2))/1000000)</f>
        <v>0</v>
      </c>
      <c r="G347" s="106">
        <f ca="1">IF(B347=TODAY(),0,-$G$6*(Sheet1!CB347-Sheet1!CB346)*7.48/1000000)</f>
        <v>0.27799450736791476</v>
      </c>
      <c r="H347" s="106">
        <f ca="1">IF(B347=TODAY(),0,-$G$6*(Sheet1!CC347-Sheet1!CC346)*7.48/1000000)</f>
        <v>0.15885400421023663</v>
      </c>
      <c r="I347" s="106">
        <f ca="1">IF(B347=TODAY(),0,-$G$6*(Sheet1!CD347-Sheet1!CD346)*7.48/1000000)</f>
        <v>0.23828100631535562</v>
      </c>
      <c r="J347" s="107" t="s">
        <v>193</v>
      </c>
      <c r="K347" s="106">
        <f ca="1">IF(B347=TODAY(),0,-$I$6*(Sheet1!CD347-Sheet1!CD346)*7.48/1000000)</f>
        <v>0.10794905056816222</v>
      </c>
      <c r="L347" s="107" t="s">
        <v>193</v>
      </c>
      <c r="M347" s="106">
        <f ca="1">IF(B347=TODAY(),0,-$M$6*(Sheet1!CE347-Sheet1!CE346)*7.48/1000000)</f>
        <v>0</v>
      </c>
      <c r="N347" s="106">
        <f ca="1">IF(B347=TODAY(),0,-$N$6*(Sheet1!CF347-Sheet1!CF346)*7.48/1000000)</f>
        <v>0</v>
      </c>
      <c r="O347" s="106">
        <f t="shared" ca="1" si="35"/>
        <v>0.78307856846166923</v>
      </c>
      <c r="P347" s="106">
        <f ca="1">O347+Calculation!EI347</f>
        <v>0.78307856846166923</v>
      </c>
      <c r="Q347" s="101" t="str">
        <f>IF(Sheet1!BQ347&gt;21.75,"spill elevation","-")</f>
        <v>-</v>
      </c>
      <c r="R347" s="101" t="str">
        <f>IF(Sheet1!BR347&gt;21.75,"spill elevation","-")</f>
        <v>-</v>
      </c>
      <c r="S347" s="101" t="str">
        <f>IF(Sheet1!BS347&gt;21.75,"spill elevation","-")</f>
        <v>-</v>
      </c>
      <c r="T347" s="105">
        <f>IF(Sheet1!DQ347=1,Sheet1!AA347-(SUM(AT347:BA347)+BE347),Sheet1!AA347-SUM(AT347:BA347))</f>
        <v>24.439663999999997</v>
      </c>
      <c r="U347" s="105">
        <f>Sheet1!BU347</f>
        <v>19.899999999999999</v>
      </c>
      <c r="V347" s="105">
        <f t="shared" si="36"/>
        <v>4.5396639999999984</v>
      </c>
      <c r="W347" s="105">
        <f t="shared" si="37"/>
        <v>0</v>
      </c>
      <c r="X347" s="101">
        <f>IF((Sheet1!EX347-Sheet1!EX346)&lt;0,(Sheet1!EX347+100000-Sheet1!EX346)/1000,(Sheet1!EX347-Sheet1!EX346)/1000)</f>
        <v>1.3380000000000001</v>
      </c>
      <c r="Y347" s="106">
        <f ca="1">Calculation!DZ348+Calculation!EI347+'Calculations II'!O347-'Calculations II'!W347</f>
        <v>45.213078568461668</v>
      </c>
      <c r="Z347" s="106">
        <f ca="1">Y347-Sheet1!CP348</f>
        <v>29.043078568461667</v>
      </c>
      <c r="AA347" s="106">
        <f ca="1">Y347+Calculation!CZ348+Calculation!AI348</f>
        <v>45.213078568461668</v>
      </c>
      <c r="AC347" s="106">
        <f>Sheet1!AA347+Sheet1!AB347+BC347</f>
        <v>44.57</v>
      </c>
      <c r="AD347" s="106">
        <f>Sheet1!AA347+Sheet1!BN347+'Calculations II'!BC347-Calculation!AI347-Calculation!CZ347</f>
        <v>44.3</v>
      </c>
      <c r="AE347" s="106">
        <f>Sheet1!AA347+Sheet1!AB347+'Calculations II'!BC347-Calculation!AI347-Calculation!CZ347</f>
        <v>44.57</v>
      </c>
      <c r="AF347" s="106">
        <f ca="1">Sheet1!AA347+Sheet1!BN347+P347+'Calculations II'!BC347+Calculation!AI347+Calculation!CZ347</f>
        <v>45.083078568461666</v>
      </c>
      <c r="AG347" s="106">
        <f ca="1">IF(B347=TODAY(),0,Sheet1!AA347+Sheet1!BN347+'Calculations II'!BC347+'Calculations II'!P347-Sheet1!CP347-BP347)</f>
        <v>29.393078568461668</v>
      </c>
      <c r="AH347" s="106">
        <f ca="1">IF(B347=TODAY(),0,Sheet1!AA347+Sheet1!BN347+'Calculations II'!BC347+'Calculations II'!P347-BP347)</f>
        <v>45.083078568461666</v>
      </c>
      <c r="AI347" s="106">
        <f ca="1">IF(B347=TODAY(),0,BC347+Sheet1!AA347+Calculation!EI347+O347+W347+Sheet1!BN347+Calculation!AI347+Calculation!CZ347-BP347)</f>
        <v>45.083078568461666</v>
      </c>
      <c r="AJ347" s="106"/>
      <c r="AM347" s="102">
        <f t="shared" si="38"/>
        <v>40876</v>
      </c>
      <c r="AN347" s="106"/>
      <c r="AO347" s="106"/>
      <c r="AR347" s="106"/>
      <c r="AT347" s="101">
        <f>Sheet1!AR347*GPMtoMGD</f>
        <v>0</v>
      </c>
      <c r="AU347" s="101">
        <f>Sheet1!AS347*GPMtoMGD</f>
        <v>1.5552000000000002E-2</v>
      </c>
      <c r="AV347" s="101">
        <f>Sheet1!AT347*GPMtoMGD</f>
        <v>0</v>
      </c>
      <c r="AW347" s="101">
        <f>Sheet1!AV347*GPMtoMGD</f>
        <v>0.44481599999999999</v>
      </c>
      <c r="AX347" s="101">
        <f>Sheet1!AW347*GPMtoMGD</f>
        <v>0.49996800000000002</v>
      </c>
      <c r="AY347" s="101">
        <f>Sheet1!AX347*GPMtoMGD</f>
        <v>0</v>
      </c>
      <c r="AZ347" s="101">
        <f>Sheet1!AY347*GPMtoMGD</f>
        <v>0</v>
      </c>
      <c r="BA347" s="101">
        <f>Sheet1!AZ347*GPMtoMGD</f>
        <v>0</v>
      </c>
      <c r="BB347" s="101">
        <f>Sheet1!BP347*GPMtoMGD</f>
        <v>8.3520000000000011E-2</v>
      </c>
      <c r="BC347" s="101">
        <f>Sheet1!CO347*GPMtoMGD</f>
        <v>0</v>
      </c>
      <c r="BD347" s="101">
        <f>Sheet1!BO347*GPMtoMGD</f>
        <v>1.28664</v>
      </c>
      <c r="BE347" s="101">
        <f>Sheet1!BV347*GPMtoMGD</f>
        <v>0.63460800000000006</v>
      </c>
      <c r="BF347" s="101">
        <f>Sheet1!CJ347*GPMtoMGD</f>
        <v>0.57556799999999997</v>
      </c>
      <c r="BG347" s="101">
        <f>Sheet1!CK347*GPMtoMGD</f>
        <v>0.523872</v>
      </c>
      <c r="BH347" s="101">
        <f>Sheet1!CL347*GPMtoMGD</f>
        <v>0.85665599999999997</v>
      </c>
      <c r="BI347" s="101">
        <f t="shared" si="39"/>
        <v>1.37016</v>
      </c>
      <c r="BK347" s="106">
        <f>SUM(AT347:BA347,BE347,Sheet1!BU347,'Calculations II'!BC347,Calculation!AG347)</f>
        <v>40.664944000000006</v>
      </c>
      <c r="BM347" s="439">
        <f ca="1">IF(B347=TODAY(),0,IF(AND(Sheet1!BQ347&lt;=11.5,Sheet1!BQ346&gt;Sheet1!BQ347),(MIN(Lookup!$C$119,VLOOKUP(Sheet1!BQ346,Lookup!$B$4:$J$236,2))-VLOOKUP(Sheet1!BQ347,Lookup!$B$4:$J$236,2))/1000000,0))</f>
        <v>0</v>
      </c>
      <c r="BN347" s="439">
        <f ca="1">IF(B347=TODAY(),0,IF(AND(Sheet1!BR347&lt;=11.5,Sheet1!BR346&gt;Sheet1!BR347),(MIN(Lookup!$D$119,VLOOKUP(Sheet1!BR346,Lookup!$B$4:$J$236,3))-VLOOKUP(Sheet1!BR347,Lookup!$B$4:$J$236,3))/1000000,0))</f>
        <v>0</v>
      </c>
      <c r="BP347" s="105">
        <f ca="1">SUM(BM347:BN347,W347,Sheet1!DT347)</f>
        <v>0</v>
      </c>
    </row>
    <row r="348" spans="1:68" s="101" customFormat="1">
      <c r="A348" s="101" t="s">
        <v>5</v>
      </c>
      <c r="B348" s="103">
        <v>40877</v>
      </c>
      <c r="C348" s="104">
        <v>0.33333333333357601</v>
      </c>
      <c r="E348" s="30"/>
      <c r="F348" s="30">
        <f ca="1">IF(B348=TODAY(),0,-(VLOOKUP(Sheet1!BZ348,Lookup!$I$4:$J$216,2)-VLOOKUP(Sheet1!BZ347,Lookup!$I$4:$J$216,2))/1000000)</f>
        <v>0.20727387709559872</v>
      </c>
      <c r="G348" s="106">
        <f ca="1">IF(B348=TODAY(),0,-$G$6*(Sheet1!CB348-Sheet1!CB347)*7.48/1000000)</f>
        <v>-0.39713501052559297</v>
      </c>
      <c r="H348" s="106">
        <f ca="1">IF(B348=TODAY(),0,-$G$6*(Sheet1!CC348-Sheet1!CC347)*7.48/1000000)</f>
        <v>0.47656201263071196</v>
      </c>
      <c r="I348" s="106">
        <f ca="1">IF(B348=TODAY(),0,-$G$6*(Sheet1!CD348-Sheet1!CD347)*7.48/1000000)</f>
        <v>0.3574215094730338</v>
      </c>
      <c r="J348" s="107" t="s">
        <v>193</v>
      </c>
      <c r="K348" s="106">
        <f ca="1">IF(B348=TODAY(),0,-$I$6*(Sheet1!CD348-Sheet1!CD347)*7.48/1000000)</f>
        <v>0.16192357585224348</v>
      </c>
      <c r="L348" s="107" t="s">
        <v>193</v>
      </c>
      <c r="M348" s="106">
        <f ca="1">IF(B348=TODAY(),0,-$M$6*(Sheet1!CE348-Sheet1!CE347)*7.48/1000000)</f>
        <v>9.9949805616876636E-2</v>
      </c>
      <c r="N348" s="106">
        <f ca="1">IF(B348=TODAY(),0,-$N$6*(Sheet1!CF348-Sheet1!CF347)*7.48/1000000)</f>
        <v>0</v>
      </c>
      <c r="O348" s="106">
        <f t="shared" ca="1" si="35"/>
        <v>0.90599577014287158</v>
      </c>
      <c r="P348" s="106">
        <f ca="1">O348+Calculation!EI348</f>
        <v>-0.16100422985712859</v>
      </c>
      <c r="Q348" s="101" t="str">
        <f>IF(Sheet1!BQ348&gt;21.75,"spill elevation","-")</f>
        <v>-</v>
      </c>
      <c r="R348" s="101" t="str">
        <f>IF(Sheet1!BR348&gt;21.75,"spill elevation","-")</f>
        <v>-</v>
      </c>
      <c r="S348" s="101" t="str">
        <f>IF(Sheet1!BS348&gt;21.75,"spill elevation","-")</f>
        <v>-</v>
      </c>
      <c r="T348" s="105">
        <f>IF(Sheet1!DQ348=1,Sheet1!AA348-(SUM(AT348:BA348)+BE348),Sheet1!AA348-SUM(AT348:BA348))</f>
        <v>23.886800000000001</v>
      </c>
      <c r="U348" s="105">
        <f>Sheet1!BU348</f>
        <v>20</v>
      </c>
      <c r="V348" s="105">
        <f t="shared" si="36"/>
        <v>3.8868000000000009</v>
      </c>
      <c r="W348" s="105">
        <f t="shared" si="37"/>
        <v>0</v>
      </c>
      <c r="X348" s="101">
        <f>IF((Sheet1!EX348-Sheet1!EX347)&lt;0,(Sheet1!EX348+100000-Sheet1!EX347)/1000,(Sheet1!EX348-Sheet1!EX347)/1000)</f>
        <v>1.2929999999999999</v>
      </c>
      <c r="Y348" s="106">
        <f ca="1">Calculation!DZ349+Calculation!EI348+'Calculations II'!O348-'Calculations II'!W348</f>
        <v>46.068995770138798</v>
      </c>
      <c r="Z348" s="106">
        <f ca="1">Y348-Sheet1!CP349</f>
        <v>30.088995770138798</v>
      </c>
      <c r="AA348" s="106">
        <f ca="1">Y348+Calculation!CZ349+Calculation!AI349</f>
        <v>46.068995770138798</v>
      </c>
      <c r="AC348" s="106">
        <f>Sheet1!AA348+Sheet1!AB348+BC348</f>
        <v>44.43</v>
      </c>
      <c r="AD348" s="106">
        <f>Sheet1!AA348+Sheet1!BN348+'Calculations II'!BC348-Calculation!AI348-Calculation!CZ348</f>
        <v>44.2</v>
      </c>
      <c r="AE348" s="106">
        <f>Sheet1!AA348+Sheet1!AB348+'Calculations II'!BC348-Calculation!AI348-Calculation!CZ348</f>
        <v>44.43</v>
      </c>
      <c r="AF348" s="106">
        <f ca="1">Sheet1!AA348+Sheet1!BN348+P348+'Calculations II'!BC348+Calculation!AI348+Calculation!CZ348</f>
        <v>44.038995770142876</v>
      </c>
      <c r="AG348" s="106">
        <f ca="1">IF(B348=TODAY(),0,Sheet1!AA348+Sheet1!BN348+'Calculations II'!BC348+'Calculations II'!P348-Sheet1!CP348-BP348)</f>
        <v>27.868995770142874</v>
      </c>
      <c r="AH348" s="106">
        <f ca="1">IF(B348=TODAY(),0,Sheet1!AA348+Sheet1!BN348+'Calculations II'!BC348+'Calculations II'!P348-BP348)</f>
        <v>44.038995770142876</v>
      </c>
      <c r="AI348" s="106">
        <f ca="1">IF(B348=TODAY(),0,BC348+Sheet1!AA348+Calculation!EI348+O348+W348+Sheet1!BN348+Calculation!AI348+Calculation!CZ348-BP348)</f>
        <v>44.038995770142876</v>
      </c>
      <c r="AJ348" s="106"/>
      <c r="AM348" s="102">
        <f t="shared" si="38"/>
        <v>40877</v>
      </c>
      <c r="AN348" s="106"/>
      <c r="AO348" s="106"/>
      <c r="AR348" s="106"/>
      <c r="AT348" s="101">
        <f>Sheet1!AR348*GPMtoMGD</f>
        <v>0</v>
      </c>
      <c r="AU348" s="101">
        <f>Sheet1!AS348*GPMtoMGD</f>
        <v>1.5264E-2</v>
      </c>
      <c r="AV348" s="101">
        <f>Sheet1!AT348*GPMtoMGD</f>
        <v>0</v>
      </c>
      <c r="AW348" s="101">
        <f>Sheet1!AV348*GPMtoMGD</f>
        <v>0.55368000000000006</v>
      </c>
      <c r="AX348" s="101">
        <f>Sheet1!AW348*GPMtoMGD</f>
        <v>0.64425600000000005</v>
      </c>
      <c r="AY348" s="101">
        <f>Sheet1!AX348*GPMtoMGD</f>
        <v>0</v>
      </c>
      <c r="AZ348" s="101">
        <f>Sheet1!AY348*GPMtoMGD</f>
        <v>0</v>
      </c>
      <c r="BA348" s="101">
        <f>Sheet1!AZ348*GPMtoMGD</f>
        <v>0</v>
      </c>
      <c r="BB348" s="101">
        <f>Sheet1!BP348*GPMtoMGD</f>
        <v>0</v>
      </c>
      <c r="BC348" s="101">
        <f>Sheet1!CO348*GPMtoMGD</f>
        <v>0</v>
      </c>
      <c r="BD348" s="101">
        <f>Sheet1!BO348*GPMtoMGD</f>
        <v>2.286</v>
      </c>
      <c r="BE348" s="101">
        <f>Sheet1!BV348*GPMtoMGD</f>
        <v>0.62956800000000002</v>
      </c>
      <c r="BF348" s="101">
        <f>Sheet1!CJ348*GPMtoMGD</f>
        <v>0.59011200000000008</v>
      </c>
      <c r="BG348" s="101">
        <f>Sheet1!CK348*GPMtoMGD</f>
        <v>0.51710400000000012</v>
      </c>
      <c r="BH348" s="101">
        <f>Sheet1!CL348*GPMtoMGD</f>
        <v>0.84801599999999999</v>
      </c>
      <c r="BI348" s="101">
        <f t="shared" si="39"/>
        <v>2.286</v>
      </c>
      <c r="BK348" s="106">
        <f>SUM(AT348:BA348,BE348,Sheet1!BU348,'Calculations II'!BC348,Calculation!AG348)</f>
        <v>41.172767999999998</v>
      </c>
      <c r="BM348" s="439">
        <f ca="1">IF(B348=TODAY(),0,IF(AND(Sheet1!BQ348&lt;=11.5,Sheet1!BQ347&gt;Sheet1!BQ348),(MIN(Lookup!$C$119,VLOOKUP(Sheet1!BQ347,Lookup!$B$4:$J$236,2))-VLOOKUP(Sheet1!BQ348,Lookup!$B$4:$J$236,2))/1000000,0))</f>
        <v>0</v>
      </c>
      <c r="BN348" s="439">
        <f ca="1">IF(B348=TODAY(),0,IF(AND(Sheet1!BR348&lt;=11.5,Sheet1!BR347&gt;Sheet1!BR348),(MIN(Lookup!$D$119,VLOOKUP(Sheet1!BR347,Lookup!$B$4:$J$236,3))-VLOOKUP(Sheet1!BR348,Lookup!$B$4:$J$236,3))/1000000,0))</f>
        <v>0</v>
      </c>
      <c r="BP348" s="105">
        <f ca="1">SUM(BM348:BN348,W348,Sheet1!DT348)</f>
        <v>0</v>
      </c>
    </row>
    <row r="349" spans="1:68" s="101" customFormat="1">
      <c r="A349" s="101" t="s">
        <v>6</v>
      </c>
      <c r="B349" s="103">
        <v>40878</v>
      </c>
      <c r="C349" s="104">
        <v>0.33333333333357601</v>
      </c>
      <c r="E349" s="30"/>
      <c r="F349" s="30">
        <f ca="1">IF(B349=TODAY(),0,-(VLOOKUP(Sheet1!BZ349,Lookup!$I$4:$J$216,2)-VLOOKUP(Sheet1!BZ348,Lookup!$I$4:$J$216,2))/1000000)</f>
        <v>0.41454775419119744</v>
      </c>
      <c r="G349" s="106">
        <f ca="1">IF(B349=TODAY(),0,-$G$6*(Sheet1!CB349-Sheet1!CB348)*7.48/1000000)</f>
        <v>0.23828100631535634</v>
      </c>
      <c r="H349" s="106">
        <f ca="1">IF(B349=TODAY(),0,-$G$6*(Sheet1!CC349-Sheet1!CC348)*7.48/1000000)</f>
        <v>-0.79427002105118594</v>
      </c>
      <c r="I349" s="106">
        <f ca="1">IF(B349=TODAY(),0,-$G$6*(Sheet1!CD349-Sheet1!CD348)*7.48/1000000)</f>
        <v>-0.79427002105118594</v>
      </c>
      <c r="J349" s="107" t="s">
        <v>193</v>
      </c>
      <c r="K349" s="106">
        <f ca="1">IF(B349=TODAY(),0,-$I$6*(Sheet1!CD349-Sheet1!CD348)*7.48/1000000)</f>
        <v>-0.35983016856054095</v>
      </c>
      <c r="L349" s="107" t="s">
        <v>193</v>
      </c>
      <c r="M349" s="106">
        <f ca="1">IF(B349=TODAY(),0,-$M$6*(Sheet1!CE349-Sheet1!CE348)*7.48/1000000)</f>
        <v>-0.13326640748916885</v>
      </c>
      <c r="N349" s="106">
        <f ca="1">IF(B349=TODAY(),0,-$N$6*(Sheet1!CF349-Sheet1!CF348)*7.48/1000000)</f>
        <v>0.31026172697311949</v>
      </c>
      <c r="O349" s="106">
        <f t="shared" ref="O349:O385" ca="1" si="40">SUM(F349:I349)+K349+SUM(M349:N349)</f>
        <v>-1.1185461306724083</v>
      </c>
      <c r="P349" s="106">
        <f ca="1">O349+Calculation!EI349</f>
        <v>-1.1185461306724083</v>
      </c>
      <c r="Q349" s="101" t="str">
        <f>IF(Sheet1!BQ349&gt;21.75,"spill elevation","-")</f>
        <v>-</v>
      </c>
      <c r="R349" s="101" t="str">
        <f>IF(Sheet1!BR349&gt;21.75,"spill elevation","-")</f>
        <v>-</v>
      </c>
      <c r="S349" s="101" t="str">
        <f>IF(Sheet1!BS349&gt;21.75,"spill elevation","-")</f>
        <v>-</v>
      </c>
      <c r="T349" s="105">
        <f>IF(Sheet1!DQ349=1,Sheet1!AA349-(SUM(AT349:BA349)+BE349),Sheet1!AA349-SUM(AT349:BA349))</f>
        <v>25.729951999995343</v>
      </c>
      <c r="U349" s="105">
        <f>Sheet1!BU349</f>
        <v>19.3</v>
      </c>
      <c r="V349" s="105">
        <f t="shared" ref="V349:V385" si="41">T349-U349</f>
        <v>6.4299519999953425</v>
      </c>
      <c r="W349" s="105">
        <f t="shared" ref="W349:W385" si="42">IF(AND(OR(Q349="spill elevation",R349="spill elevation",S349="spill elevation",Q350="spill elevation",R350="spill elevation",S350="spill elevation"),V349&gt;0),V349,0)</f>
        <v>0</v>
      </c>
      <c r="X349" s="101">
        <f>IF((Sheet1!EX349-Sheet1!EX348)&lt;0,(Sheet1!EX349+100000-Sheet1!EX348)/1000,(Sheet1!EX349-Sheet1!EX348)/1000)</f>
        <v>1.3220000000000001</v>
      </c>
      <c r="Y349" s="106">
        <f ca="1">Calculation!DZ350+Calculation!EI349+'Calculations II'!O349-'Calculations II'!W349</f>
        <v>49.991453869328176</v>
      </c>
      <c r="Z349" s="106">
        <f ca="1">Y349-Sheet1!CP350</f>
        <v>34.111453869328173</v>
      </c>
      <c r="AA349" s="106">
        <f ca="1">Y349+Calculation!CZ350+Calculation!AI350</f>
        <v>55.0088146940708</v>
      </c>
      <c r="AC349" s="106">
        <f>Sheet1!AA349+Sheet1!AB349+BC349</f>
        <v>46.229999999995925</v>
      </c>
      <c r="AD349" s="106">
        <f>Sheet1!AA349+Sheet1!BN349+'Calculations II'!BC349-Calculation!AI349-Calculation!CZ349</f>
        <v>46.169999999995341</v>
      </c>
      <c r="AE349" s="106">
        <f>Sheet1!AA349+Sheet1!AB349+'Calculations II'!BC349-Calculation!AI349-Calculation!CZ349</f>
        <v>46.229999999995925</v>
      </c>
      <c r="AF349" s="106">
        <f ca="1">Sheet1!AA349+Sheet1!BN349+P349+'Calculations II'!BC349+Calculation!AI349+Calculation!CZ349</f>
        <v>45.051453869322934</v>
      </c>
      <c r="AG349" s="106">
        <f ca="1">IF(B349=TODAY(),0,Sheet1!AA349+Sheet1!BN349+'Calculations II'!BC349+'Calculations II'!P349-Sheet1!CP349-BP349)</f>
        <v>29.071453869322934</v>
      </c>
      <c r="AH349" s="106">
        <f ca="1">IF(B349=TODAY(),0,Sheet1!AA349+Sheet1!BN349+'Calculations II'!BC349+'Calculations II'!P349-BP349)</f>
        <v>45.051453869322934</v>
      </c>
      <c r="AI349" s="106">
        <f ca="1">IF(B349=TODAY(),0,BC349+Sheet1!AA349+Calculation!EI349+O349+W349+Sheet1!BN349+Calculation!AI349+Calculation!CZ349-BP349)</f>
        <v>45.051453869322941</v>
      </c>
      <c r="AJ349" s="106"/>
      <c r="AM349" s="102">
        <f t="shared" ref="AM349:AM385" si="43">B349</f>
        <v>40878</v>
      </c>
      <c r="AN349" s="106"/>
      <c r="AO349" s="106"/>
      <c r="AR349" s="106"/>
      <c r="AT349" s="101">
        <f>Sheet1!AR349*GPMtoMGD</f>
        <v>0</v>
      </c>
      <c r="AU349" s="101">
        <f>Sheet1!AS349*GPMtoMGD</f>
        <v>3.0096000000000001E-2</v>
      </c>
      <c r="AV349" s="101">
        <f>Sheet1!AT349*GPMtoMGD</f>
        <v>0</v>
      </c>
      <c r="AW349" s="101">
        <f>Sheet1!AV349*GPMtoMGD</f>
        <v>0.48427200000000004</v>
      </c>
      <c r="AX349" s="101">
        <f>Sheet1!AW349*GPMtoMGD</f>
        <v>0.62568000000000001</v>
      </c>
      <c r="AY349" s="101">
        <f>Sheet1!AX349*GPMtoMGD</f>
        <v>0</v>
      </c>
      <c r="AZ349" s="101">
        <f>Sheet1!AY349*GPMtoMGD</f>
        <v>0</v>
      </c>
      <c r="BA349" s="101">
        <f>Sheet1!AZ349*GPMtoMGD</f>
        <v>0</v>
      </c>
      <c r="BB349" s="101">
        <f>Sheet1!BP349*GPMtoMGD</f>
        <v>0</v>
      </c>
      <c r="BC349" s="101">
        <f>Sheet1!CO349*GPMtoMGD</f>
        <v>0</v>
      </c>
      <c r="BD349" s="101">
        <f>Sheet1!BO349*GPMtoMGD</f>
        <v>1.0729440000000001</v>
      </c>
      <c r="BE349" s="101">
        <f>Sheet1!BV349*GPMtoMGD</f>
        <v>0.60508800000000007</v>
      </c>
      <c r="BF349" s="101">
        <f>Sheet1!CJ349*GPMtoMGD</f>
        <v>0.55800000000000005</v>
      </c>
      <c r="BG349" s="101">
        <f>Sheet1!CK349*GPMtoMGD</f>
        <v>0.53481599999999996</v>
      </c>
      <c r="BH349" s="101">
        <f>Sheet1!CL349*GPMtoMGD</f>
        <v>0.82828800000000014</v>
      </c>
      <c r="BI349" s="101">
        <f t="shared" ref="BI349:BI385" si="44">BD349+BB349</f>
        <v>1.0729440000000001</v>
      </c>
      <c r="BK349" s="106">
        <f>SUM(AT349:BA349,BE349,Sheet1!BU349,'Calculations II'!BC349,Calculation!AG349)</f>
        <v>40.405136000000581</v>
      </c>
      <c r="BM349" s="439">
        <f ca="1">IF(B349=TODAY(),0,IF(AND(Sheet1!BQ349&lt;=11.5,Sheet1!BQ348&gt;Sheet1!BQ349),(MIN(Lookup!$C$119,VLOOKUP(Sheet1!BQ348,Lookup!$B$4:$J$236,2))-VLOOKUP(Sheet1!BQ349,Lookup!$B$4:$J$236,2))/1000000,0))</f>
        <v>0</v>
      </c>
      <c r="BN349" s="439">
        <f ca="1">IF(B349=TODAY(),0,IF(AND(Sheet1!BR349&lt;=11.5,Sheet1!BR348&gt;Sheet1!BR349),(MIN(Lookup!$D$119,VLOOKUP(Sheet1!BR348,Lookup!$B$4:$J$236,3))-VLOOKUP(Sheet1!BR349,Lookup!$B$4:$J$236,3))/1000000,0))</f>
        <v>0</v>
      </c>
      <c r="BP349" s="105">
        <f ca="1">SUM(BM349:BN349,W349,Sheet1!DT349)</f>
        <v>0</v>
      </c>
    </row>
    <row r="350" spans="1:68" s="101" customFormat="1">
      <c r="A350" s="101" t="s">
        <v>7</v>
      </c>
      <c r="B350" s="103">
        <v>40879</v>
      </c>
      <c r="C350" s="104">
        <v>0.33333333333357601</v>
      </c>
      <c r="E350" s="30"/>
      <c r="F350" s="30">
        <f ca="1">IF(B350=TODAY(),0,-(VLOOKUP(Sheet1!BZ350,Lookup!$I$4:$J$216,2)-VLOOKUP(Sheet1!BZ349,Lookup!$I$4:$J$216,2))/1000000)</f>
        <v>-0.31091081564339806</v>
      </c>
      <c r="G350" s="106">
        <f ca="1">IF(B350=TODAY(),0,-$G$6*(Sheet1!CB350-Sheet1!CB349)*7.48/1000000)</f>
        <v>0.27799450736791476</v>
      </c>
      <c r="H350" s="106">
        <f ca="1">IF(B350=TODAY(),0,-$G$6*(Sheet1!CC350-Sheet1!CC349)*7.48/1000000)</f>
        <v>0.91341052420886382</v>
      </c>
      <c r="I350" s="106">
        <f ca="1">IF(B350=TODAY(),0,-$G$6*(Sheet1!CD350-Sheet1!CD349)*7.48/1000000)</f>
        <v>0.91341052420886415</v>
      </c>
      <c r="J350" s="107" t="s">
        <v>193</v>
      </c>
      <c r="K350" s="106">
        <f ca="1">IF(B350=TODAY(),0,-$I$6*(Sheet1!CD350-Sheet1!CD349)*7.48/1000000)</f>
        <v>0.41380469384462221</v>
      </c>
      <c r="L350" s="107" t="s">
        <v>193</v>
      </c>
      <c r="M350" s="106">
        <f ca="1">IF(B350=TODAY(),0,-$M$6*(Sheet1!CE350-Sheet1!CE349)*7.48/1000000)</f>
        <v>0.15991968898700254</v>
      </c>
      <c r="N350" s="106">
        <f ca="1">IF(B350=TODAY(),0,-$N$6*(Sheet1!CF350-Sheet1!CF349)*7.48/1000000)</f>
        <v>-0.24820938157849581</v>
      </c>
      <c r="O350" s="106">
        <f t="shared" ca="1" si="40"/>
        <v>2.1194197413953737</v>
      </c>
      <c r="P350" s="106">
        <f ca="1">O350+Calculation!EI350</f>
        <v>-0.57628025860462628</v>
      </c>
      <c r="Q350" s="101" t="str">
        <f>IF(Sheet1!BQ350&gt;21.75,"spill elevation","-")</f>
        <v>-</v>
      </c>
      <c r="R350" s="101" t="str">
        <f>IF(Sheet1!BR350&gt;21.75,"spill elevation","-")</f>
        <v>-</v>
      </c>
      <c r="S350" s="101" t="str">
        <f>IF(Sheet1!BS350&gt;21.75,"spill elevation","-")</f>
        <v>-</v>
      </c>
      <c r="T350" s="105">
        <f>IF(Sheet1!DQ350=1,Sheet1!AA350-(SUM(AT350:BA350)+BE350),Sheet1!AA350-SUM(AT350:BA350))</f>
        <v>25.427535999998835</v>
      </c>
      <c r="U350" s="105">
        <f>Sheet1!BU350</f>
        <v>19.7</v>
      </c>
      <c r="V350" s="105">
        <f t="shared" si="41"/>
        <v>5.7275359999988353</v>
      </c>
      <c r="W350" s="105">
        <f t="shared" si="42"/>
        <v>0</v>
      </c>
      <c r="X350" s="101">
        <f>IF((Sheet1!EX350-Sheet1!EX349)&lt;0,(Sheet1!EX350+100000-Sheet1!EX349)/1000,(Sheet1!EX350-Sheet1!EX349)/1000)</f>
        <v>1.27</v>
      </c>
      <c r="Y350" s="106">
        <f ca="1">Calculation!DZ351+Calculation!EI350+'Calculations II'!O350-'Calculations II'!W350</f>
        <v>54.493719741395374</v>
      </c>
      <c r="Z350" s="106">
        <f ca="1">Y350-Sheet1!CP351</f>
        <v>38.793719741395378</v>
      </c>
      <c r="AA350" s="106">
        <f ca="1">Y350+Calculation!CZ351+Calculation!AI351</f>
        <v>63.003230726512314</v>
      </c>
      <c r="AC350" s="106">
        <f>Sheet1!AA350+Sheet1!AB350+BC350</f>
        <v>51.110000000000582</v>
      </c>
      <c r="AD350" s="106">
        <f>Sheet1!AA350+Sheet1!BN350+'Calculations II'!BC350-Calculation!AI350-Calculation!CZ350</f>
        <v>40.812639175256209</v>
      </c>
      <c r="AE350" s="106">
        <f>Sheet1!AA350+Sheet1!AB350+'Calculations II'!BC350-Calculation!AI350-Calculation!CZ350</f>
        <v>46.092639175257958</v>
      </c>
      <c r="AF350" s="106">
        <f ca="1">Sheet1!AA350+Sheet1!BN350+P350+'Calculations II'!BC350+Calculation!AI350+Calculation!CZ350</f>
        <v>50.271080566136831</v>
      </c>
      <c r="AG350" s="106">
        <f ca="1">IF(B350=TODAY(),0,Sheet1!AA350+Sheet1!BN350+'Calculations II'!BC350+'Calculations II'!P350-Sheet1!CP350-BP350)</f>
        <v>29.373719741394204</v>
      </c>
      <c r="AH350" s="106">
        <f ca="1">IF(B350=TODAY(),0,Sheet1!AA350+Sheet1!BN350+'Calculations II'!BC350+'Calculations II'!P350-BP350)</f>
        <v>45.253719741394207</v>
      </c>
      <c r="AI350" s="106">
        <f ca="1">IF(B350=TODAY(),0,BC350+Sheet1!AA350+Calculation!EI350+O350+W350+Sheet1!BN350+Calculation!AI350+Calculation!CZ350-BP350)</f>
        <v>50.271080566136831</v>
      </c>
      <c r="AJ350" s="106"/>
      <c r="AM350" s="102">
        <f t="shared" si="43"/>
        <v>40879</v>
      </c>
      <c r="AN350" s="106"/>
      <c r="AO350" s="106"/>
      <c r="AR350" s="106"/>
      <c r="AT350" s="101">
        <f>Sheet1!AR350*GPMtoMGD</f>
        <v>0</v>
      </c>
      <c r="AU350" s="101">
        <f>Sheet1!AS350*GPMtoMGD</f>
        <v>1.5120000000000001E-2</v>
      </c>
      <c r="AV350" s="101">
        <f>Sheet1!AT350*GPMtoMGD</f>
        <v>0</v>
      </c>
      <c r="AW350" s="101">
        <f>Sheet1!AV350*GPMtoMGD</f>
        <v>0.45374400000000004</v>
      </c>
      <c r="AX350" s="101">
        <f>Sheet1!AW350*GPMtoMGD</f>
        <v>0.63360000000000005</v>
      </c>
      <c r="AY350" s="101">
        <f>Sheet1!AX350*GPMtoMGD</f>
        <v>0</v>
      </c>
      <c r="AZ350" s="101">
        <f>Sheet1!AY350*GPMtoMGD</f>
        <v>0</v>
      </c>
      <c r="BA350" s="101">
        <f>Sheet1!AZ350*GPMtoMGD</f>
        <v>0</v>
      </c>
      <c r="BB350" s="101">
        <f>Sheet1!BP350*GPMtoMGD</f>
        <v>0</v>
      </c>
      <c r="BC350" s="101">
        <f>Sheet1!CO350*GPMtoMGD</f>
        <v>0</v>
      </c>
      <c r="BD350" s="101">
        <f>Sheet1!BO350*GPMtoMGD</f>
        <v>1.9162080000000001</v>
      </c>
      <c r="BE350" s="101">
        <f>Sheet1!BV350*GPMtoMGD</f>
        <v>0.57326400000000011</v>
      </c>
      <c r="BF350" s="101">
        <f>Sheet1!CJ350*GPMtoMGD</f>
        <v>0.58982400000000001</v>
      </c>
      <c r="BG350" s="101">
        <f>Sheet1!CK350*GPMtoMGD</f>
        <v>0.53510400000000002</v>
      </c>
      <c r="BH350" s="101">
        <f>Sheet1!CL350*GPMtoMGD</f>
        <v>0.82454400000000005</v>
      </c>
      <c r="BI350" s="101">
        <f t="shared" si="44"/>
        <v>1.9162080000000001</v>
      </c>
      <c r="BK350" s="106">
        <f>SUM(AT350:BA350,BE350,Sheet1!BU350,'Calculations II'!BC350,Calculation!AG350)</f>
        <v>40.938367175259117</v>
      </c>
      <c r="BM350" s="439">
        <f ca="1">IF(B350=TODAY(),0,IF(AND(Sheet1!BQ350&lt;=11.5,Sheet1!BQ349&gt;Sheet1!BQ350),(MIN(Lookup!$C$119,VLOOKUP(Sheet1!BQ349,Lookup!$B$4:$J$236,2))-VLOOKUP(Sheet1!BQ350,Lookup!$B$4:$J$236,2))/1000000,0))</f>
        <v>0</v>
      </c>
      <c r="BN350" s="439">
        <f ca="1">IF(B350=TODAY(),0,IF(AND(Sheet1!BR350&lt;=11.5,Sheet1!BR349&gt;Sheet1!BR350),(MIN(Lookup!$D$119,VLOOKUP(Sheet1!BR349,Lookup!$B$4:$J$236,3))-VLOOKUP(Sheet1!BR350,Lookup!$B$4:$J$236,3))/1000000,0))</f>
        <v>0</v>
      </c>
      <c r="BP350" s="105">
        <f ca="1">SUM(BM350:BN350,W350,Sheet1!DT350)</f>
        <v>0</v>
      </c>
    </row>
    <row r="351" spans="1:68" s="101" customFormat="1">
      <c r="A351" s="101" t="s">
        <v>8</v>
      </c>
      <c r="B351" s="103">
        <v>40880</v>
      </c>
      <c r="C351" s="104">
        <v>0.33333333333357601</v>
      </c>
      <c r="E351" s="30"/>
      <c r="F351" s="30">
        <f ca="1">IF(B351=TODAY(),0,-(VLOOKUP(Sheet1!BZ351,Lookup!$I$4:$J$216,2)-VLOOKUP(Sheet1!BZ350,Lookup!$I$4:$J$216,2))/1000000)</f>
        <v>-0.10363693854779936</v>
      </c>
      <c r="G351" s="106">
        <f ca="1">IF(B351=TODAY(),0,-$G$6*(Sheet1!CB351-Sheet1!CB350)*7.48/1000000)</f>
        <v>0.27799450736791476</v>
      </c>
      <c r="H351" s="106">
        <f ca="1">IF(B351=TODAY(),0,-$G$6*(Sheet1!CC351-Sheet1!CC350)*7.48/1000000)</f>
        <v>-0.35742150947303342</v>
      </c>
      <c r="I351" s="106">
        <f ca="1">IF(B351=TODAY(),0,-$G$6*(Sheet1!CD351-Sheet1!CD350)*7.48/1000000)</f>
        <v>-0.3177080084204747</v>
      </c>
      <c r="J351" s="107" t="s">
        <v>193</v>
      </c>
      <c r="K351" s="106">
        <f ca="1">IF(B351=TODAY(),0,-$I$6*(Sheet1!CD351-Sheet1!CD350)*7.48/1000000)</f>
        <v>-0.14393206742421652</v>
      </c>
      <c r="L351" s="107" t="s">
        <v>193</v>
      </c>
      <c r="M351" s="106">
        <f ca="1">IF(B351=TODAY(),0,-$M$6*(Sheet1!CE351-Sheet1!CE350)*7.48/1000000)</f>
        <v>-5.9969883370125883E-2</v>
      </c>
      <c r="N351" s="106">
        <f ca="1">IF(B351=TODAY(),0,-$N$6*(Sheet1!CF351-Sheet1!CF350)*7.48/1000000)</f>
        <v>-0.12410469078924735</v>
      </c>
      <c r="O351" s="106">
        <f t="shared" ca="1" si="40"/>
        <v>-0.82877859065698245</v>
      </c>
      <c r="P351" s="106">
        <f ca="1">O351+Calculation!EI351</f>
        <v>-2.7207785906569826</v>
      </c>
      <c r="Q351" s="101" t="str">
        <f>IF(Sheet1!BQ351&gt;21.75,"spill elevation","-")</f>
        <v>-</v>
      </c>
      <c r="R351" s="101" t="str">
        <f>IF(Sheet1!BR351&gt;21.75,"spill elevation","-")</f>
        <v>-</v>
      </c>
      <c r="S351" s="101" t="str">
        <f>IF(Sheet1!BS351&gt;21.75,"spill elevation","-")</f>
        <v>-</v>
      </c>
      <c r="T351" s="105">
        <f>IF(Sheet1!DQ351=1,Sheet1!AA351-(SUM(AT351:BA351)+BE351),Sheet1!AA351-SUM(AT351:BA351))</f>
        <v>25.033823999999999</v>
      </c>
      <c r="U351" s="105">
        <f>Sheet1!BU351</f>
        <v>20.399999999999999</v>
      </c>
      <c r="V351" s="105">
        <f t="shared" si="41"/>
        <v>4.6338240000000006</v>
      </c>
      <c r="W351" s="105">
        <f t="shared" si="42"/>
        <v>0</v>
      </c>
      <c r="X351" s="101">
        <f>IF((Sheet1!EX351-Sheet1!EX350)&lt;0,(Sheet1!EX351+100000-Sheet1!EX350)/1000,(Sheet1!EX351-Sheet1!EX350)/1000)</f>
        <v>1.401</v>
      </c>
      <c r="Y351" s="106">
        <f ca="1">Calculation!DZ352+Calculation!EI351+'Calculations II'!O351-'Calculations II'!W351</f>
        <v>52.249221409343015</v>
      </c>
      <c r="Z351" s="106">
        <f ca="1">Y351-Sheet1!CP352</f>
        <v>36.109221409343014</v>
      </c>
      <c r="AA351" s="106">
        <f ca="1">Y351+Calculation!CZ352+Calculation!AI352</f>
        <v>60.89571734717417</v>
      </c>
      <c r="AC351" s="106">
        <f>Sheet1!AA351+Sheet1!AB351+BC351</f>
        <v>55.07</v>
      </c>
      <c r="AD351" s="106">
        <f>Sheet1!AA351+Sheet1!BN351+'Calculations II'!BC351-Calculation!AI351-Calculation!CZ351</f>
        <v>37.840489014883062</v>
      </c>
      <c r="AE351" s="106">
        <f>Sheet1!AA351+Sheet1!AB351+'Calculations II'!BC351-Calculation!AI351-Calculation!CZ351</f>
        <v>46.560489014883061</v>
      </c>
      <c r="AF351" s="106">
        <f ca="1">Sheet1!AA351+Sheet1!BN351+P351+'Calculations II'!BC351+Calculation!AI351+Calculation!CZ351</f>
        <v>52.138732394459957</v>
      </c>
      <c r="AG351" s="106">
        <f ca="1">IF(B351=TODAY(),0,Sheet1!AA351+Sheet1!BN351+'Calculations II'!BC351+'Calculations II'!P351-Sheet1!CP351-BP351)</f>
        <v>27.929221409343018</v>
      </c>
      <c r="AH351" s="106">
        <f ca="1">IF(B351=TODAY(),0,Sheet1!AA351+Sheet1!BN351+'Calculations II'!BC351+'Calculations II'!P351-BP351)</f>
        <v>43.629221409343018</v>
      </c>
      <c r="AI351" s="106">
        <f ca="1">IF(B351=TODAY(),0,BC351+Sheet1!AA351+Calculation!EI351+O351+W351+Sheet1!BN351+Calculation!AI351+Calculation!CZ351-BP351)</f>
        <v>52.138732394459957</v>
      </c>
      <c r="AJ351" s="106"/>
      <c r="AM351" s="102">
        <f t="shared" si="43"/>
        <v>40880</v>
      </c>
      <c r="AN351" s="106"/>
      <c r="AO351" s="106"/>
      <c r="AR351" s="106"/>
      <c r="AT351" s="101">
        <f>Sheet1!AR351*GPMtoMGD</f>
        <v>0</v>
      </c>
      <c r="AU351" s="101">
        <f>Sheet1!AS351*GPMtoMGD</f>
        <v>1.5552000000000002E-2</v>
      </c>
      <c r="AV351" s="101">
        <f>Sheet1!AT351*GPMtoMGD</f>
        <v>0</v>
      </c>
      <c r="AW351" s="101">
        <f>Sheet1!AV351*GPMtoMGD</f>
        <v>0.69465600000000005</v>
      </c>
      <c r="AX351" s="101">
        <f>Sheet1!AW351*GPMtoMGD</f>
        <v>0.80596800000000013</v>
      </c>
      <c r="AY351" s="101">
        <f>Sheet1!AX351*GPMtoMGD</f>
        <v>0</v>
      </c>
      <c r="AZ351" s="101">
        <f>Sheet1!AY351*GPMtoMGD</f>
        <v>0</v>
      </c>
      <c r="BA351" s="101">
        <f>Sheet1!AZ351*GPMtoMGD</f>
        <v>0</v>
      </c>
      <c r="BB351" s="101">
        <f>Sheet1!BP351*GPMtoMGD</f>
        <v>0</v>
      </c>
      <c r="BC351" s="101">
        <f>Sheet1!CO351*GPMtoMGD</f>
        <v>0</v>
      </c>
      <c r="BD351" s="101">
        <f>Sheet1!BO351*GPMtoMGD</f>
        <v>2.2934880000000004</v>
      </c>
      <c r="BE351" s="101">
        <f>Sheet1!BV351*GPMtoMGD</f>
        <v>0.82843199999999995</v>
      </c>
      <c r="BF351" s="101">
        <f>Sheet1!CJ351*GPMtoMGD</f>
        <v>0.63619200000000009</v>
      </c>
      <c r="BG351" s="101">
        <f>Sheet1!CK351*GPMtoMGD</f>
        <v>0.55310400000000004</v>
      </c>
      <c r="BH351" s="101">
        <f>Sheet1!CL351*GPMtoMGD</f>
        <v>0.79156800000000016</v>
      </c>
      <c r="BI351" s="101">
        <f t="shared" si="44"/>
        <v>2.2934880000000004</v>
      </c>
      <c r="BK351" s="106">
        <f>SUM(AT351:BA351,BE351,Sheet1!BU351,'Calculations II'!BC351,Calculation!AG351)</f>
        <v>42.755097014883063</v>
      </c>
      <c r="BM351" s="439">
        <f ca="1">IF(B351=TODAY(),0,IF(AND(Sheet1!BQ351&lt;=11.5,Sheet1!BQ350&gt;Sheet1!BQ351),(MIN(Lookup!$C$119,VLOOKUP(Sheet1!BQ350,Lookup!$B$4:$J$236,2))-VLOOKUP(Sheet1!BQ351,Lookup!$B$4:$J$236,2))/1000000,0))</f>
        <v>0</v>
      </c>
      <c r="BN351" s="439">
        <f ca="1">IF(B351=TODAY(),0,IF(AND(Sheet1!BR351&lt;=11.5,Sheet1!BR350&gt;Sheet1!BR351),(MIN(Lookup!$D$119,VLOOKUP(Sheet1!BR350,Lookup!$B$4:$J$236,3))-VLOOKUP(Sheet1!BR351,Lookup!$B$4:$J$236,3))/1000000,0))</f>
        <v>0</v>
      </c>
      <c r="BP351" s="105">
        <f ca="1">SUM(BM351:BN351,W351,Sheet1!DT351)</f>
        <v>0</v>
      </c>
    </row>
    <row r="352" spans="1:68" s="101" customFormat="1">
      <c r="A352" s="101" t="s">
        <v>9</v>
      </c>
      <c r="B352" s="103">
        <v>40881</v>
      </c>
      <c r="C352" s="104">
        <v>0.33333333333357601</v>
      </c>
      <c r="E352" s="30"/>
      <c r="F352" s="30">
        <f ca="1">IF(B352=TODAY(),0,-(VLOOKUP(Sheet1!BZ352,Lookup!$I$4:$J$216,2)-VLOOKUP(Sheet1!BZ351,Lookup!$I$4:$J$216,2))/1000000)</f>
        <v>-0.51818469273900236</v>
      </c>
      <c r="G352" s="106">
        <f ca="1">IF(B352=TODAY(),0,-$G$6*(Sheet1!CB352-Sheet1!CB351)*7.48/1000000)</f>
        <v>0.27799450736791548</v>
      </c>
      <c r="H352" s="106">
        <f ca="1">IF(B352=TODAY(),0,-$G$6*(Sheet1!CC352-Sheet1!CC351)*7.48/1000000)</f>
        <v>-0.5559890147358304</v>
      </c>
      <c r="I352" s="106">
        <f ca="1">IF(B352=TODAY(),0,-$G$6*(Sheet1!CD352-Sheet1!CD351)*7.48/1000000)</f>
        <v>-0.5162755136832704</v>
      </c>
      <c r="J352" s="107" t="s">
        <v>193</v>
      </c>
      <c r="K352" s="106">
        <f ca="1">IF(B352=TODAY(),0,-$I$6*(Sheet1!CD352-Sheet1!CD351)*7.48/1000000)</f>
        <v>-0.23388960956435145</v>
      </c>
      <c r="L352" s="107" t="s">
        <v>193</v>
      </c>
      <c r="M352" s="106">
        <f ca="1">IF(B352=TODAY(),0,-$M$6*(Sheet1!CE352-Sheet1!CE351)*7.48/1000000)</f>
        <v>-0.119939766740252</v>
      </c>
      <c r="N352" s="106">
        <f ca="1">IF(B352=TODAY(),0,-$N$6*(Sheet1!CF352-Sheet1!CF351)*7.48/1000000)</f>
        <v>-0.12410469078924735</v>
      </c>
      <c r="O352" s="106">
        <f t="shared" ca="1" si="40"/>
        <v>-1.7903887808840384</v>
      </c>
      <c r="P352" s="106">
        <f ca="1">O352+Calculation!EI352</f>
        <v>-2.6013887808840384</v>
      </c>
      <c r="Q352" s="101" t="str">
        <f>IF(Sheet1!BQ352&gt;21.75,"spill elevation","-")</f>
        <v>-</v>
      </c>
      <c r="R352" s="101" t="str">
        <f>IF(Sheet1!BR352&gt;21.75,"spill elevation","-")</f>
        <v>-</v>
      </c>
      <c r="S352" s="101" t="str">
        <f>IF(Sheet1!BS352&gt;21.75,"spill elevation","-")</f>
        <v>-</v>
      </c>
      <c r="T352" s="105">
        <f>IF(Sheet1!DQ352=1,Sheet1!AA352-(SUM(AT352:BA352)+BE352),Sheet1!AA352-SUM(AT352:BA352))</f>
        <v>24.913087999999998</v>
      </c>
      <c r="U352" s="105">
        <f>Sheet1!BU352</f>
        <v>20.7</v>
      </c>
      <c r="V352" s="105">
        <f t="shared" si="41"/>
        <v>4.2130879999999991</v>
      </c>
      <c r="W352" s="105">
        <f t="shared" si="42"/>
        <v>0</v>
      </c>
      <c r="X352" s="101">
        <f>IF((Sheet1!EX352-Sheet1!EX351)&lt;0,(Sheet1!EX352+100000-Sheet1!EX351)/1000,(Sheet1!EX352-Sheet1!EX351)/1000)</f>
        <v>1.3320000000000001</v>
      </c>
      <c r="Y352" s="106">
        <f ca="1">Calculation!DZ353+Calculation!EI352+'Calculations II'!O352-'Calculations II'!W352</f>
        <v>52.798611219114505</v>
      </c>
      <c r="Z352" s="106">
        <f ca="1">Y352-Sheet1!CP353</f>
        <v>37.428611219114508</v>
      </c>
      <c r="AA352" s="106">
        <f ca="1">Y352+Calculation!CZ353+Calculation!AI353</f>
        <v>61.39578536252629</v>
      </c>
      <c r="AC352" s="106">
        <f>Sheet1!AA352+Sheet1!AB352+BC352</f>
        <v>54.97</v>
      </c>
      <c r="AD352" s="106">
        <f>Sheet1!AA352+Sheet1!BN352+'Calculations II'!BC352-Calculation!AI352-Calculation!CZ352</f>
        <v>37.59350406216884</v>
      </c>
      <c r="AE352" s="106">
        <f>Sheet1!AA352+Sheet1!AB352+'Calculations II'!BC352-Calculation!AI352-Calculation!CZ352</f>
        <v>46.323504062168844</v>
      </c>
      <c r="AF352" s="106">
        <f ca="1">Sheet1!AA352+Sheet1!BN352+P352+'Calculations II'!BC352+Calculation!AI352+Calculation!CZ352</f>
        <v>52.285107156947113</v>
      </c>
      <c r="AG352" s="106">
        <f ca="1">IF(B352=TODAY(),0,Sheet1!AA352+Sheet1!BN352+'Calculations II'!BC352+'Calculations II'!P352-Sheet1!CP352-BP352)</f>
        <v>27.498611219115958</v>
      </c>
      <c r="AH352" s="106">
        <f ca="1">IF(B352=TODAY(),0,Sheet1!AA352+Sheet1!BN352+'Calculations II'!BC352+'Calculations II'!P352-BP352)</f>
        <v>43.638611219115958</v>
      </c>
      <c r="AI352" s="106">
        <f ca="1">IF(B352=TODAY(),0,BC352+Sheet1!AA352+Calculation!EI352+O352+W352+Sheet1!BN352+Calculation!AI352+Calculation!CZ352-BP352)</f>
        <v>52.285107156947113</v>
      </c>
      <c r="AJ352" s="106"/>
      <c r="AM352" s="102">
        <f t="shared" si="43"/>
        <v>40881</v>
      </c>
      <c r="AN352" s="106"/>
      <c r="AO352" s="106"/>
      <c r="AR352" s="106"/>
      <c r="AT352" s="101">
        <f>Sheet1!AR352*GPMtoMGD</f>
        <v>0</v>
      </c>
      <c r="AU352" s="101">
        <f>Sheet1!AS352*GPMtoMGD</f>
        <v>1.6560000000000002E-2</v>
      </c>
      <c r="AV352" s="101">
        <f>Sheet1!AT352*GPMtoMGD</f>
        <v>0</v>
      </c>
      <c r="AW352" s="101">
        <f>Sheet1!AV352*GPMtoMGD</f>
        <v>0.74534400000000012</v>
      </c>
      <c r="AX352" s="101">
        <f>Sheet1!AW352*GPMtoMGD</f>
        <v>0.86500800000000011</v>
      </c>
      <c r="AY352" s="101">
        <f>Sheet1!AX352*GPMtoMGD</f>
        <v>0</v>
      </c>
      <c r="AZ352" s="101">
        <f>Sheet1!AY352*GPMtoMGD</f>
        <v>0</v>
      </c>
      <c r="BA352" s="101">
        <f>Sheet1!AZ352*GPMtoMGD</f>
        <v>0</v>
      </c>
      <c r="BB352" s="101">
        <f>Sheet1!BP352*GPMtoMGD</f>
        <v>0</v>
      </c>
      <c r="BC352" s="101">
        <f>Sheet1!CO352*GPMtoMGD</f>
        <v>0</v>
      </c>
      <c r="BD352" s="101">
        <f>Sheet1!BO352*GPMtoMGD</f>
        <v>1.3217760000000001</v>
      </c>
      <c r="BE352" s="101">
        <f>Sheet1!BV352*GPMtoMGD</f>
        <v>0.65966400000000003</v>
      </c>
      <c r="BF352" s="101">
        <f>Sheet1!CJ352*GPMtoMGD</f>
        <v>0.7074720000000001</v>
      </c>
      <c r="BG352" s="101">
        <f>Sheet1!CK352*GPMtoMGD</f>
        <v>0.59198400000000007</v>
      </c>
      <c r="BH352" s="101">
        <f>Sheet1!CL352*GPMtoMGD</f>
        <v>0.78811200000000003</v>
      </c>
      <c r="BI352" s="101">
        <f t="shared" si="44"/>
        <v>1.3217760000000001</v>
      </c>
      <c r="BK352" s="106">
        <f>SUM(AT352:BA352,BE352,Sheet1!BU352,'Calculations II'!BC352,Calculation!AG352)</f>
        <v>42.770080062168844</v>
      </c>
      <c r="BM352" s="439">
        <f ca="1">IF(B352=TODAY(),0,IF(AND(Sheet1!BQ352&lt;=11.5,Sheet1!BQ351&gt;Sheet1!BQ352),(MIN(Lookup!$C$119,VLOOKUP(Sheet1!BQ351,Lookup!$B$4:$J$236,2))-VLOOKUP(Sheet1!BQ352,Lookup!$B$4:$J$236,2))/1000000,0))</f>
        <v>0</v>
      </c>
      <c r="BN352" s="439">
        <f ca="1">IF(B352=TODAY(),0,IF(AND(Sheet1!BR352&lt;=11.5,Sheet1!BR351&gt;Sheet1!BR352),(MIN(Lookup!$D$119,VLOOKUP(Sheet1!BR351,Lookup!$B$4:$J$236,3))-VLOOKUP(Sheet1!BR352,Lookup!$B$4:$J$236,3))/1000000,0))</f>
        <v>0</v>
      </c>
      <c r="BP352" s="105">
        <f ca="1">SUM(BM352:BN352,W352,Sheet1!DT352)</f>
        <v>0</v>
      </c>
    </row>
    <row r="353" spans="1:68" s="101" customFormat="1">
      <c r="A353" s="101" t="s">
        <v>3</v>
      </c>
      <c r="B353" s="103">
        <v>40882</v>
      </c>
      <c r="C353" s="104">
        <v>0.33333333333357601</v>
      </c>
      <c r="E353" s="30"/>
      <c r="F353" s="30">
        <f ca="1">IF(B353=TODAY(),0,-(VLOOKUP(Sheet1!BZ353,Lookup!$I$4:$J$216,2)-VLOOKUP(Sheet1!BZ352,Lookup!$I$4:$J$216,2))/1000000)</f>
        <v>0.41454775419120304</v>
      </c>
      <c r="G353" s="106">
        <f ca="1">IF(B353=TODAY(),0,-$G$6*(Sheet1!CB353-Sheet1!CB352)*7.48/1000000)</f>
        <v>-0.71484301894606761</v>
      </c>
      <c r="H353" s="106">
        <f ca="1">IF(B353=TODAY(),0,-$G$6*(Sheet1!CC353-Sheet1!CC352)*7.48/1000000)</f>
        <v>0.3574215094730338</v>
      </c>
      <c r="I353" s="106">
        <f ca="1">IF(B353=TODAY(),0,-$G$6*(Sheet1!CD353-Sheet1!CD352)*7.48/1000000)</f>
        <v>0.31770800842047398</v>
      </c>
      <c r="J353" s="107" t="s">
        <v>193</v>
      </c>
      <c r="K353" s="106">
        <f ca="1">IF(B353=TODAY(),0,-$I$6*(Sheet1!CD353-Sheet1!CD352)*7.48/1000000)</f>
        <v>0.14393206742421619</v>
      </c>
      <c r="L353" s="107" t="s">
        <v>193</v>
      </c>
      <c r="M353" s="106">
        <f ca="1">IF(B353=TODAY(),0,-$M$6*(Sheet1!CE353-Sheet1!CE352)*7.48/1000000)</f>
        <v>8.6623164867959804E-2</v>
      </c>
      <c r="N353" s="106">
        <f ca="1">IF(B353=TODAY(),0,-$N$6*(Sheet1!CF353-Sheet1!CF352)*7.48/1000000)</f>
        <v>0.18615703618387103</v>
      </c>
      <c r="O353" s="106">
        <f t="shared" ca="1" si="40"/>
        <v>0.79154652161469019</v>
      </c>
      <c r="P353" s="106">
        <f ca="1">O353+Calculation!EI353</f>
        <v>-2.7582534783853099</v>
      </c>
      <c r="Q353" s="101" t="str">
        <f>IF(Sheet1!BQ353&gt;21.75,"spill elevation","-")</f>
        <v>-</v>
      </c>
      <c r="R353" s="101" t="str">
        <f>IF(Sheet1!BR353&gt;21.75,"spill elevation","-")</f>
        <v>-</v>
      </c>
      <c r="S353" s="101" t="str">
        <f>IF(Sheet1!BS353&gt;21.75,"spill elevation","-")</f>
        <v>-</v>
      </c>
      <c r="T353" s="105">
        <f>IF(Sheet1!DQ353=1,Sheet1!AA353-(SUM(AT353:BA353)+BE353),Sheet1!AA353-SUM(AT353:BA353))</f>
        <v>25.676656000000001</v>
      </c>
      <c r="U353" s="105">
        <f>Sheet1!BU353</f>
        <v>18.5</v>
      </c>
      <c r="V353" s="105">
        <f t="shared" si="41"/>
        <v>7.1766560000000013</v>
      </c>
      <c r="W353" s="105">
        <f t="shared" si="42"/>
        <v>0</v>
      </c>
      <c r="X353" s="101">
        <f>IF((Sheet1!EX353-Sheet1!EX352)&lt;0,(Sheet1!EX353+100000-Sheet1!EX352)/1000,(Sheet1!EX353-Sheet1!EX352)/1000)</f>
        <v>1.4039999999999999</v>
      </c>
      <c r="Y353" s="106">
        <f ca="1">Calculation!DZ354+Calculation!EI353+'Calculations II'!O353-'Calculations II'!W353</f>
        <v>51.841746521614688</v>
      </c>
      <c r="Z353" s="106">
        <f ca="1">Y353-Sheet1!CP354</f>
        <v>37.33174652161469</v>
      </c>
      <c r="AA353" s="106">
        <f ca="1">Y353+Calculation!CZ354+Calculation!AI354</f>
        <v>60.180026935457001</v>
      </c>
      <c r="AC353" s="106">
        <f>Sheet1!AA353+Sheet1!AB353+BC353</f>
        <v>55.399999999998542</v>
      </c>
      <c r="AD353" s="106">
        <f>Sheet1!AA353+Sheet1!BN353+'Calculations II'!BC353-Calculation!AI353-Calculation!CZ353</f>
        <v>38.002825856588217</v>
      </c>
      <c r="AE353" s="106">
        <f>Sheet1!AA353+Sheet1!AB353+'Calculations II'!BC353-Calculation!AI353-Calculation!CZ353</f>
        <v>46.802825856586757</v>
      </c>
      <c r="AF353" s="106">
        <f ca="1">Sheet1!AA353+Sheet1!BN353+P353+'Calculations II'!BC353+Calculation!AI353+Calculation!CZ353</f>
        <v>52.43892066502648</v>
      </c>
      <c r="AG353" s="106">
        <f ca="1">IF(B353=TODAY(),0,Sheet1!AA353+Sheet1!BN353+'Calculations II'!BC353+'Calculations II'!P353-Sheet1!CP353-BP353)</f>
        <v>28.471746521614698</v>
      </c>
      <c r="AH353" s="106">
        <f ca="1">IF(B353=TODAY(),0,Sheet1!AA353+Sheet1!BN353+'Calculations II'!BC353+'Calculations II'!P353-BP353)</f>
        <v>43.841746521614695</v>
      </c>
      <c r="AI353" s="106">
        <f ca="1">IF(B353=TODAY(),0,BC353+Sheet1!AA353+Calculation!EI353+O353+W353+Sheet1!BN353+Calculation!AI353+Calculation!CZ353-BP353)</f>
        <v>52.43892066502648</v>
      </c>
      <c r="AJ353" s="106"/>
      <c r="AM353" s="102">
        <f t="shared" si="43"/>
        <v>40882</v>
      </c>
      <c r="AN353" s="106"/>
      <c r="AO353" s="106"/>
      <c r="AR353" s="106"/>
      <c r="AT353" s="101">
        <f>Sheet1!AR353*GPMtoMGD</f>
        <v>0</v>
      </c>
      <c r="AU353" s="101">
        <f>Sheet1!AS353*GPMtoMGD</f>
        <v>1.5120000000000001E-2</v>
      </c>
      <c r="AV353" s="101">
        <f>Sheet1!AT353*GPMtoMGD</f>
        <v>0</v>
      </c>
      <c r="AW353" s="101">
        <f>Sheet1!AV353*GPMtoMGD</f>
        <v>0.49305599999999999</v>
      </c>
      <c r="AX353" s="101">
        <f>Sheet1!AW353*GPMtoMGD</f>
        <v>0.61516800000000005</v>
      </c>
      <c r="AY353" s="101">
        <f>Sheet1!AX353*GPMtoMGD</f>
        <v>0</v>
      </c>
      <c r="AZ353" s="101">
        <f>Sheet1!AY353*GPMtoMGD</f>
        <v>0</v>
      </c>
      <c r="BA353" s="101">
        <f>Sheet1!AZ353*GPMtoMGD</f>
        <v>0</v>
      </c>
      <c r="BB353" s="101">
        <f>Sheet1!BP353*GPMtoMGD</f>
        <v>0</v>
      </c>
      <c r="BC353" s="101">
        <f>Sheet1!CO353*GPMtoMGD</f>
        <v>0</v>
      </c>
      <c r="BD353" s="101">
        <f>Sheet1!BO353*GPMtoMGD</f>
        <v>2.0445120000000001</v>
      </c>
      <c r="BE353" s="101">
        <f>Sheet1!BV353*GPMtoMGD</f>
        <v>0.61747200000000002</v>
      </c>
      <c r="BF353" s="101">
        <f>Sheet1!CJ353*GPMtoMGD</f>
        <v>0.63993600000000006</v>
      </c>
      <c r="BG353" s="101">
        <f>Sheet1!CK353*GPMtoMGD</f>
        <v>0.52819199999999999</v>
      </c>
      <c r="BH353" s="101">
        <f>Sheet1!CL353*GPMtoMGD</f>
        <v>0.84960000000000002</v>
      </c>
      <c r="BI353" s="101">
        <f t="shared" si="44"/>
        <v>2.0445120000000001</v>
      </c>
      <c r="BK353" s="106">
        <f>SUM(AT353:BA353,BE353,Sheet1!BU353,'Calculations II'!BC353,Calculation!AG353)</f>
        <v>40.243641856586763</v>
      </c>
      <c r="BM353" s="439">
        <f ca="1">IF(B353=TODAY(),0,IF(AND(Sheet1!BQ353&lt;=11.5,Sheet1!BQ352&gt;Sheet1!BQ353),(MIN(Lookup!$C$119,VLOOKUP(Sheet1!BQ352,Lookup!$B$4:$J$236,2))-VLOOKUP(Sheet1!BQ353,Lookup!$B$4:$J$236,2))/1000000,0))</f>
        <v>0</v>
      </c>
      <c r="BN353" s="439">
        <f ca="1">IF(B353=TODAY(),0,IF(AND(Sheet1!BR353&lt;=11.5,Sheet1!BR352&gt;Sheet1!BR353),(MIN(Lookup!$D$119,VLOOKUP(Sheet1!BR352,Lookup!$B$4:$J$236,3))-VLOOKUP(Sheet1!BR353,Lookup!$B$4:$J$236,3))/1000000,0))</f>
        <v>0</v>
      </c>
      <c r="BP353" s="105">
        <f ca="1">SUM(BM353:BN353,W353,Sheet1!DT353)</f>
        <v>0</v>
      </c>
    </row>
    <row r="354" spans="1:68" s="101" customFormat="1">
      <c r="A354" s="101" t="s">
        <v>4</v>
      </c>
      <c r="B354" s="103">
        <v>40883</v>
      </c>
      <c r="C354" s="104">
        <v>0.33333333333357601</v>
      </c>
      <c r="E354" s="30"/>
      <c r="F354" s="30">
        <f ca="1">IF(B354=TODAY(),0,-(VLOOKUP(Sheet1!BZ354,Lookup!$I$4:$J$216,2)-VLOOKUP(Sheet1!BZ353,Lookup!$I$4:$J$216,2))/1000000)</f>
        <v>0</v>
      </c>
      <c r="G354" s="106">
        <f ca="1">IF(B354=TODAY(),0,-$G$6*(Sheet1!CB354-Sheet1!CB353)*7.48/1000000)</f>
        <v>0.19856750526279648</v>
      </c>
      <c r="H354" s="106">
        <f ca="1">IF(B354=TODAY(),0,-$G$6*(Sheet1!CC354-Sheet1!CC353)*7.48/1000000)</f>
        <v>0.39713501052559297</v>
      </c>
      <c r="I354" s="106">
        <f ca="1">IF(B354=TODAY(),0,-$G$6*(Sheet1!CD354-Sheet1!CD353)*7.48/1000000)</f>
        <v>0.3574215094730338</v>
      </c>
      <c r="J354" s="107" t="s">
        <v>193</v>
      </c>
      <c r="K354" s="106">
        <f ca="1">IF(B354=TODAY(),0,-$I$6*(Sheet1!CD354-Sheet1!CD353)*7.48/1000000)</f>
        <v>0.16192357585224348</v>
      </c>
      <c r="L354" s="107" t="s">
        <v>193</v>
      </c>
      <c r="M354" s="106">
        <f ca="1">IF(B354=TODAY(),0,-$M$6*(Sheet1!CE354-Sheet1!CE353)*7.48/1000000)</f>
        <v>5.9969883370125883E-2</v>
      </c>
      <c r="N354" s="106">
        <f ca="1">IF(B354=TODAY(),0,-$N$6*(Sheet1!CF354-Sheet1!CF353)*7.48/1000000)</f>
        <v>0.18615703618387214</v>
      </c>
      <c r="O354" s="106">
        <f t="shared" ca="1" si="40"/>
        <v>1.3611745206676646</v>
      </c>
      <c r="P354" s="106">
        <f ca="1">O354+Calculation!EI354</f>
        <v>-1.3782254793323352</v>
      </c>
      <c r="Q354" s="101" t="str">
        <f>IF(Sheet1!BQ354&gt;21.75,"spill elevation","-")</f>
        <v>-</v>
      </c>
      <c r="R354" s="101" t="str">
        <f>IF(Sheet1!BR354&gt;21.75,"spill elevation","-")</f>
        <v>-</v>
      </c>
      <c r="S354" s="101" t="str">
        <f>IF(Sheet1!BS354&gt;21.75,"spill elevation","-")</f>
        <v>-</v>
      </c>
      <c r="T354" s="105">
        <f>IF(Sheet1!DQ354=1,Sheet1!AA354-(SUM(AT354:BA354)+BE354),Sheet1!AA354-SUM(AT354:BA354))</f>
        <v>26.050304000000001</v>
      </c>
      <c r="U354" s="105">
        <f>Sheet1!BU354</f>
        <v>19.100000000000001</v>
      </c>
      <c r="V354" s="105">
        <f t="shared" si="41"/>
        <v>6.9503039999999991</v>
      </c>
      <c r="W354" s="105">
        <f t="shared" si="42"/>
        <v>0</v>
      </c>
      <c r="X354" s="101">
        <f>IF((Sheet1!EX354-Sheet1!EX353)&lt;0,(Sheet1!EX354+100000-Sheet1!EX353)/1000,(Sheet1!EX354-Sheet1!EX353)/1000)</f>
        <v>1.484</v>
      </c>
      <c r="Y354" s="106">
        <f ca="1">Calculation!DZ355+Calculation!EI354+'Calculations II'!O354-'Calculations II'!W354</f>
        <v>51.301774520667955</v>
      </c>
      <c r="Z354" s="106">
        <f ca="1">Y354-Sheet1!CP355</f>
        <v>37.311774520667953</v>
      </c>
      <c r="AA354" s="106">
        <f ca="1">Y354+Calculation!CZ355+Calculation!AI355</f>
        <v>59.148229980973674</v>
      </c>
      <c r="AC354" s="106">
        <f>Sheet1!AA354+Sheet1!AB354+BC354</f>
        <v>54.599999999999994</v>
      </c>
      <c r="AD354" s="106">
        <f>Sheet1!AA354+Sheet1!BN354+'Calculations II'!BC354-Calculation!AI354-Calculation!CZ354</f>
        <v>38.36171958615769</v>
      </c>
      <c r="AE354" s="106">
        <f>Sheet1!AA354+Sheet1!AB354+'Calculations II'!BC354-Calculation!AI354-Calculation!CZ354</f>
        <v>46.261719586157682</v>
      </c>
      <c r="AF354" s="106">
        <f ca="1">Sheet1!AA354+Sheet1!BN354+P354+'Calculations II'!BC354+Calculation!AI354+Calculation!CZ354</f>
        <v>53.660054934509979</v>
      </c>
      <c r="AG354" s="106">
        <f ca="1">IF(B354=TODAY(),0,Sheet1!AA354+Sheet1!BN354+'Calculations II'!BC354+'Calculations II'!P354-Sheet1!CP354-BP354)</f>
        <v>30.811774520667669</v>
      </c>
      <c r="AH354" s="106">
        <f ca="1">IF(B354=TODAY(),0,Sheet1!AA354+Sheet1!BN354+'Calculations II'!BC354+'Calculations II'!P354-BP354)</f>
        <v>45.321774520667667</v>
      </c>
      <c r="AI354" s="106">
        <f ca="1">IF(B354=TODAY(),0,BC354+Sheet1!AA354+Calculation!EI354+O354+W354+Sheet1!BN354+Calculation!AI354+Calculation!CZ354-BP354)</f>
        <v>53.660054934509972</v>
      </c>
      <c r="AJ354" s="106"/>
      <c r="AM354" s="102">
        <f t="shared" si="43"/>
        <v>40883</v>
      </c>
      <c r="AN354" s="106"/>
      <c r="AO354" s="106"/>
      <c r="AR354" s="106"/>
      <c r="AT354" s="101">
        <f>Sheet1!AR354*GPMtoMGD</f>
        <v>0</v>
      </c>
      <c r="AU354" s="101">
        <f>Sheet1!AS354*GPMtoMGD</f>
        <v>3.0240000000000003E-2</v>
      </c>
      <c r="AV354" s="101">
        <f>Sheet1!AT354*GPMtoMGD</f>
        <v>0</v>
      </c>
      <c r="AW354" s="101">
        <f>Sheet1!AV354*GPMtoMGD</f>
        <v>0.51566400000000001</v>
      </c>
      <c r="AX354" s="101">
        <f>Sheet1!AW354*GPMtoMGD</f>
        <v>0.60379200000000011</v>
      </c>
      <c r="AY354" s="101">
        <f>Sheet1!AX354*GPMtoMGD</f>
        <v>0</v>
      </c>
      <c r="AZ354" s="101">
        <f>Sheet1!AY354*GPMtoMGD</f>
        <v>0</v>
      </c>
      <c r="BA354" s="101">
        <f>Sheet1!AZ354*GPMtoMGD</f>
        <v>0</v>
      </c>
      <c r="BB354" s="101">
        <f>Sheet1!BP354*GPMtoMGD</f>
        <v>0</v>
      </c>
      <c r="BC354" s="101">
        <f>Sheet1!CO354*GPMtoMGD</f>
        <v>0</v>
      </c>
      <c r="BD354" s="101">
        <f>Sheet1!BO354*GPMtoMGD</f>
        <v>1.4431680000000002</v>
      </c>
      <c r="BE354" s="101">
        <f>Sheet1!BV354*GPMtoMGD</f>
        <v>0.60926400000000003</v>
      </c>
      <c r="BF354" s="101">
        <f>Sheet1!CJ354*GPMtoMGD</f>
        <v>0.53582400000000008</v>
      </c>
      <c r="BG354" s="101">
        <f>Sheet1!CK354*GPMtoMGD</f>
        <v>0.48427200000000004</v>
      </c>
      <c r="BH354" s="101">
        <f>Sheet1!CL354*GPMtoMGD</f>
        <v>0.84038400000000013</v>
      </c>
      <c r="BI354" s="101">
        <f t="shared" si="44"/>
        <v>1.4431680000000002</v>
      </c>
      <c r="BK354" s="106">
        <f>SUM(AT354:BA354,BE354,Sheet1!BU354,'Calculations II'!BC354,Calculation!AG354)</f>
        <v>39.920679586157689</v>
      </c>
      <c r="BM354" s="439">
        <f ca="1">IF(B354=TODAY(),0,IF(AND(Sheet1!BQ354&lt;=11.5,Sheet1!BQ353&gt;Sheet1!BQ354),(MIN(Lookup!$C$119,VLOOKUP(Sheet1!BQ353,Lookup!$B$4:$J$236,2))-VLOOKUP(Sheet1!BQ354,Lookup!$B$4:$J$236,2))/1000000,0))</f>
        <v>0</v>
      </c>
      <c r="BN354" s="439">
        <f ca="1">IF(B354=TODAY(),0,IF(AND(Sheet1!BR354&lt;=11.5,Sheet1!BR353&gt;Sheet1!BR354),(MIN(Lookup!$D$119,VLOOKUP(Sheet1!BR353,Lookup!$B$4:$J$236,3))-VLOOKUP(Sheet1!BR354,Lookup!$B$4:$J$236,3))/1000000,0))</f>
        <v>0</v>
      </c>
      <c r="BP354" s="105">
        <f ca="1">SUM(BM354:BN354,W354,Sheet1!DT354)</f>
        <v>0</v>
      </c>
    </row>
    <row r="355" spans="1:68" s="101" customFormat="1">
      <c r="A355" s="101" t="s">
        <v>5</v>
      </c>
      <c r="B355" s="103">
        <v>40884</v>
      </c>
      <c r="C355" s="104">
        <v>0.33333333333357601</v>
      </c>
      <c r="E355" s="30"/>
      <c r="F355" s="30">
        <f ca="1">IF(B355=TODAY(),0,-(VLOOKUP(Sheet1!BZ355,Lookup!$I$4:$J$216,2)-VLOOKUP(Sheet1!BZ354,Lookup!$I$4:$J$216,2))/1000000)</f>
        <v>0.20727387709559872</v>
      </c>
      <c r="G355" s="106">
        <f ca="1">IF(B355=TODAY(),0,-$G$6*(Sheet1!CB355-Sheet1!CB354)*7.48/1000000)</f>
        <v>0.19856750526279648</v>
      </c>
      <c r="H355" s="106">
        <f ca="1">IF(B355=TODAY(),0,-$G$6*(Sheet1!CC355-Sheet1!CC354)*7.48/1000000)</f>
        <v>-0.15885400421023735</v>
      </c>
      <c r="I355" s="106">
        <f ca="1">IF(B355=TODAY(),0,-$G$6*(Sheet1!CD355-Sheet1!CD354)*7.48/1000000)</f>
        <v>-0.11914050315767817</v>
      </c>
      <c r="J355" s="107" t="s">
        <v>193</v>
      </c>
      <c r="K355" s="106">
        <f ca="1">IF(B355=TODAY(),0,-$I$6*(Sheet1!CD355-Sheet1!CD354)*7.48/1000000)</f>
        <v>-5.3974525284081275E-2</v>
      </c>
      <c r="L355" s="107" t="s">
        <v>193</v>
      </c>
      <c r="M355" s="106">
        <f ca="1">IF(B355=TODAY(),0,-$M$6*(Sheet1!CE355-Sheet1!CE354)*7.48/1000000)</f>
        <v>-1.9989961123375137E-2</v>
      </c>
      <c r="N355" s="106">
        <f ca="1">IF(B355=TODAY(),0,-$N$6*(Sheet1!CF355-Sheet1!CF354)*7.48/1000000)</f>
        <v>6.2052345394623676E-2</v>
      </c>
      <c r="O355" s="106">
        <f t="shared" ca="1" si="40"/>
        <v>0.11593473397764689</v>
      </c>
      <c r="P355" s="106">
        <f ca="1">O355+Calculation!EI355</f>
        <v>0.66653473397764684</v>
      </c>
      <c r="Q355" s="101" t="str">
        <f>IF(Sheet1!BQ355&gt;21.75,"spill elevation","-")</f>
        <v>-</v>
      </c>
      <c r="R355" s="101" t="str">
        <f>IF(Sheet1!BR355&gt;21.75,"spill elevation","-")</f>
        <v>-</v>
      </c>
      <c r="S355" s="101" t="str">
        <f>IF(Sheet1!BS355&gt;21.75,"spill elevation","-")</f>
        <v>-</v>
      </c>
      <c r="T355" s="105">
        <f>IF(Sheet1!DQ355=1,Sheet1!AA355-(SUM(AT355:BA355)+BE355),Sheet1!AA355-SUM(AT355:BA355))</f>
        <v>26.719984</v>
      </c>
      <c r="U355" s="105">
        <f>Sheet1!BU355</f>
        <v>21.9</v>
      </c>
      <c r="V355" s="105">
        <f t="shared" si="41"/>
        <v>4.8199840000000016</v>
      </c>
      <c r="W355" s="105">
        <f t="shared" si="42"/>
        <v>0</v>
      </c>
      <c r="X355" s="101">
        <f>IF((Sheet1!EX355-Sheet1!EX354)&lt;0,(Sheet1!EX355+100000-Sheet1!EX354)/1000,(Sheet1!EX355-Sheet1!EX354)/1000)</f>
        <v>1.5029999999999999</v>
      </c>
      <c r="Y355" s="106">
        <f ca="1">Calculation!DZ356+Calculation!EI355+'Calculations II'!O355-'Calculations II'!W355</f>
        <v>51.726534733977651</v>
      </c>
      <c r="Z355" s="106">
        <f ca="1">Y355-Sheet1!CP356</f>
        <v>37.916534733977649</v>
      </c>
      <c r="AA355" s="106">
        <f ca="1">Y355+Calculation!CZ356+Calculation!AI356</f>
        <v>60.011072143470813</v>
      </c>
      <c r="AC355" s="106">
        <f>Sheet1!AA355+Sheet1!AB355+BC355</f>
        <v>52.680000000000291</v>
      </c>
      <c r="AD355" s="106">
        <f>Sheet1!AA355+Sheet1!BN355+'Calculations II'!BC355-Calculation!AI355-Calculation!CZ355</f>
        <v>38.453544539694278</v>
      </c>
      <c r="AE355" s="106">
        <f>Sheet1!AA355+Sheet1!AB355+'Calculations II'!BC355-Calculation!AI355-Calculation!CZ355</f>
        <v>44.833544539694572</v>
      </c>
      <c r="AF355" s="106">
        <f ca="1">Sheet1!AA355+Sheet1!BN355+P355+'Calculations II'!BC355+Calculation!AI355+Calculation!CZ355</f>
        <v>54.812990194283365</v>
      </c>
      <c r="AG355" s="106">
        <f ca="1">IF(B355=TODAY(),0,Sheet1!AA355+Sheet1!BN355+'Calculations II'!BC355+'Calculations II'!P355-Sheet1!CP355-BP355)</f>
        <v>32.976534733977644</v>
      </c>
      <c r="AH355" s="106">
        <f ca="1">IF(B355=TODAY(),0,Sheet1!AA355+Sheet1!BN355+'Calculations II'!BC355+'Calculations II'!P355-BP355)</f>
        <v>46.966534733977646</v>
      </c>
      <c r="AI355" s="106">
        <f ca="1">IF(B355=TODAY(),0,BC355+Sheet1!AA355+Calculation!EI355+O355+W355+Sheet1!BN355+Calculation!AI355+Calculation!CZ355-BP355)</f>
        <v>54.812990194283365</v>
      </c>
      <c r="AJ355" s="106"/>
      <c r="AM355" s="102">
        <f t="shared" si="43"/>
        <v>40884</v>
      </c>
      <c r="AN355" s="106"/>
      <c r="AO355" s="106"/>
      <c r="AR355" s="106"/>
      <c r="AT355" s="101">
        <f>Sheet1!AR355*GPMtoMGD</f>
        <v>0</v>
      </c>
      <c r="AU355" s="101">
        <f>Sheet1!AS355*GPMtoMGD</f>
        <v>1.5696000000000002E-2</v>
      </c>
      <c r="AV355" s="101">
        <f>Sheet1!AT355*GPMtoMGD</f>
        <v>0</v>
      </c>
      <c r="AW355" s="101">
        <f>Sheet1!AV355*GPMtoMGD</f>
        <v>0.57484800000000003</v>
      </c>
      <c r="AX355" s="101">
        <f>Sheet1!AW355*GPMtoMGD</f>
        <v>0.68947200000000008</v>
      </c>
      <c r="AY355" s="101">
        <f>Sheet1!AX355*GPMtoMGD</f>
        <v>0</v>
      </c>
      <c r="AZ355" s="101">
        <f>Sheet1!AY355*GPMtoMGD</f>
        <v>0</v>
      </c>
      <c r="BA355" s="101">
        <f>Sheet1!AZ355*GPMtoMGD</f>
        <v>0</v>
      </c>
      <c r="BB355" s="101">
        <f>Sheet1!BP355*GPMtoMGD</f>
        <v>0</v>
      </c>
      <c r="BC355" s="101">
        <f>Sheet1!CO355*GPMtoMGD</f>
        <v>0</v>
      </c>
      <c r="BD355" s="101">
        <f>Sheet1!BO355*GPMtoMGD</f>
        <v>1.7812800000000002</v>
      </c>
      <c r="BE355" s="101">
        <f>Sheet1!BV355*GPMtoMGD</f>
        <v>0.60609599999999997</v>
      </c>
      <c r="BF355" s="101">
        <f>Sheet1!CJ355*GPMtoMGD</f>
        <v>0.37065599999999999</v>
      </c>
      <c r="BG355" s="101">
        <f>Sheet1!CK355*GPMtoMGD</f>
        <v>0.47635200000000005</v>
      </c>
      <c r="BH355" s="101">
        <f>Sheet1!CL355*GPMtoMGD</f>
        <v>0.89928000000000008</v>
      </c>
      <c r="BI355" s="101">
        <f t="shared" si="44"/>
        <v>1.7812800000000002</v>
      </c>
      <c r="BK355" s="106">
        <f>SUM(AT355:BA355,BE355,Sheet1!BU355,'Calculations II'!BC355,Calculation!AG355)</f>
        <v>40.619656539694574</v>
      </c>
      <c r="BM355" s="439">
        <f ca="1">IF(B355=TODAY(),0,IF(AND(Sheet1!BQ355&lt;=11.5,Sheet1!BQ354&gt;Sheet1!BQ355),(MIN(Lookup!$C$119,VLOOKUP(Sheet1!BQ354,Lookup!$B$4:$J$236,2))-VLOOKUP(Sheet1!BQ355,Lookup!$B$4:$J$236,2))/1000000,0))</f>
        <v>0</v>
      </c>
      <c r="BN355" s="439">
        <f ca="1">IF(B355=TODAY(),0,IF(AND(Sheet1!BR355&lt;=11.5,Sheet1!BR354&gt;Sheet1!BR355),(MIN(Lookup!$D$119,VLOOKUP(Sheet1!BR354,Lookup!$B$4:$J$236,3))-VLOOKUP(Sheet1!BR355,Lookup!$B$4:$J$236,3))/1000000,0))</f>
        <v>0</v>
      </c>
      <c r="BP355" s="105">
        <f ca="1">SUM(BM355:BN355,W355,Sheet1!DT355)</f>
        <v>0</v>
      </c>
    </row>
    <row r="356" spans="1:68" s="101" customFormat="1">
      <c r="A356" s="101" t="s">
        <v>6</v>
      </c>
      <c r="B356" s="103">
        <v>40885</v>
      </c>
      <c r="C356" s="104">
        <v>0.33333333333357601</v>
      </c>
      <c r="E356" s="30"/>
      <c r="F356" s="30">
        <f ca="1">IF(B356=TODAY(),0,-(VLOOKUP(Sheet1!BZ356,Lookup!$I$4:$J$216,2)-VLOOKUP(Sheet1!BZ355,Lookup!$I$4:$J$216,2))/1000000)</f>
        <v>-0.10363693854779936</v>
      </c>
      <c r="G356" s="106">
        <f ca="1">IF(B356=TODAY(),0,-$G$6*(Sheet1!CB356-Sheet1!CB355)*7.48/1000000)</f>
        <v>0.19856750526279648</v>
      </c>
      <c r="H356" s="106">
        <f ca="1">IF(B356=TODAY(),0,-$G$6*(Sheet1!CC356-Sheet1!CC355)*7.48/1000000)</f>
        <v>-0.3574215094730338</v>
      </c>
      <c r="I356" s="106">
        <f ca="1">IF(B356=TODAY(),0,-$G$6*(Sheet1!CD356-Sheet1!CD355)*7.48/1000000)</f>
        <v>-0.39713501052559297</v>
      </c>
      <c r="J356" s="107" t="s">
        <v>193</v>
      </c>
      <c r="K356" s="106">
        <f ca="1">IF(B356=TODAY(),0,-$I$6*(Sheet1!CD356-Sheet1!CD355)*7.48/1000000)</f>
        <v>-0.17991508428027048</v>
      </c>
      <c r="L356" s="107" t="s">
        <v>193</v>
      </c>
      <c r="M356" s="106">
        <f ca="1">IF(B356=TODAY(),0,-$M$6*(Sheet1!CE356-Sheet1!CE355)*7.48/1000000)</f>
        <v>-5.9969883370126126E-2</v>
      </c>
      <c r="N356" s="106">
        <f ca="1">IF(B356=TODAY(),0,-$N$6*(Sheet1!CF356-Sheet1!CF355)*7.48/1000000)</f>
        <v>6.2052345394623676E-2</v>
      </c>
      <c r="O356" s="106">
        <f t="shared" ca="1" si="40"/>
        <v>-0.83745857553940262</v>
      </c>
      <c r="P356" s="106">
        <f ca="1">O356+Calculation!EI356</f>
        <v>-1.6458575539402664E-2</v>
      </c>
      <c r="Q356" s="101" t="str">
        <f>IF(Sheet1!BQ356&gt;21.75,"spill elevation","-")</f>
        <v>-</v>
      </c>
      <c r="R356" s="101" t="str">
        <f>IF(Sheet1!BR356&gt;21.75,"spill elevation","-")</f>
        <v>-</v>
      </c>
      <c r="S356" s="101" t="str">
        <f>IF(Sheet1!BS356&gt;21.75,"spill elevation","-")</f>
        <v>-</v>
      </c>
      <c r="T356" s="105">
        <f>IF(Sheet1!DQ356=1,Sheet1!AA356-(SUM(AT356:BA356)+BE356),Sheet1!AA356-SUM(AT356:BA356))</f>
        <v>25.887024</v>
      </c>
      <c r="U356" s="105">
        <f>Sheet1!BU356</f>
        <v>22.6</v>
      </c>
      <c r="V356" s="105">
        <f t="shared" si="41"/>
        <v>3.2870239999999988</v>
      </c>
      <c r="W356" s="105">
        <f t="shared" si="42"/>
        <v>0</v>
      </c>
      <c r="X356" s="101">
        <f>IF((Sheet1!EX356-Sheet1!EX355)&lt;0,(Sheet1!EX356+100000-Sheet1!EX355)/1000,(Sheet1!EX356-Sheet1!EX355)/1000)</f>
        <v>1.522</v>
      </c>
      <c r="Y356" s="106">
        <f ca="1">Calculation!DZ357+Calculation!EI356+'Calculations II'!O356-'Calculations II'!W356</f>
        <v>51.983541424460597</v>
      </c>
      <c r="Z356" s="106">
        <f ca="1">Y356-Sheet1!CP357</f>
        <v>36.163541424460597</v>
      </c>
      <c r="AA356" s="106">
        <f ca="1">Y356+Calculation!CZ357+Calculation!AI357</f>
        <v>60.799441006050557</v>
      </c>
      <c r="AC356" s="106">
        <f>Sheet1!AA356+Sheet1!AB356+BC356</f>
        <v>51.06</v>
      </c>
      <c r="AD356" s="106">
        <f>Sheet1!AA356+Sheet1!BN356+'Calculations II'!BC356-Calculation!AI356-Calculation!CZ356</f>
        <v>35.015462590506836</v>
      </c>
      <c r="AE356" s="106">
        <f>Sheet1!AA356+Sheet1!AB356+'Calculations II'!BC356-Calculation!AI356-Calculation!CZ356</f>
        <v>42.775462590506841</v>
      </c>
      <c r="AF356" s="106">
        <f ca="1">Sheet1!AA356+Sheet1!BN356+P356+'Calculations II'!BC356+Calculation!AI356+Calculation!CZ356</f>
        <v>51.568078833953756</v>
      </c>
      <c r="AG356" s="106">
        <f ca="1">IF(B356=TODAY(),0,Sheet1!AA356+Sheet1!BN356+'Calculations II'!BC356+'Calculations II'!P356-Sheet1!CP356-BP356)</f>
        <v>29.473541424460592</v>
      </c>
      <c r="AH356" s="106">
        <f ca="1">IF(B356=TODAY(),0,Sheet1!AA356+Sheet1!BN356+'Calculations II'!BC356+'Calculations II'!P356-BP356)</f>
        <v>43.283541424460594</v>
      </c>
      <c r="AI356" s="106">
        <f ca="1">IF(B356=TODAY(),0,BC356+Sheet1!AA356+Calculation!EI356+O356+W356+Sheet1!BN356+Calculation!AI356+Calculation!CZ356-BP356)</f>
        <v>51.568078833953756</v>
      </c>
      <c r="AJ356" s="106"/>
      <c r="AM356" s="102">
        <f t="shared" si="43"/>
        <v>40885</v>
      </c>
      <c r="AN356" s="106"/>
      <c r="AO356" s="106"/>
      <c r="AR356" s="106"/>
      <c r="AT356" s="101">
        <f>Sheet1!AR356*GPMtoMGD</f>
        <v>0</v>
      </c>
      <c r="AU356" s="101">
        <f>Sheet1!AS356*GPMtoMGD</f>
        <v>1.5120000000000001E-2</v>
      </c>
      <c r="AV356" s="101">
        <f>Sheet1!AT356*GPMtoMGD</f>
        <v>0</v>
      </c>
      <c r="AW356" s="101">
        <f>Sheet1!AV356*GPMtoMGD</f>
        <v>0.45288</v>
      </c>
      <c r="AX356" s="101">
        <f>Sheet1!AW356*GPMtoMGD</f>
        <v>0.64497599999999999</v>
      </c>
      <c r="AY356" s="101">
        <f>Sheet1!AX356*GPMtoMGD</f>
        <v>0</v>
      </c>
      <c r="AZ356" s="101">
        <f>Sheet1!AY356*GPMtoMGD</f>
        <v>0</v>
      </c>
      <c r="BA356" s="101">
        <f>Sheet1!AZ356*GPMtoMGD</f>
        <v>0</v>
      </c>
      <c r="BB356" s="101">
        <f>Sheet1!BP356*GPMtoMGD</f>
        <v>0</v>
      </c>
      <c r="BC356" s="101">
        <f>Sheet1!CO356*GPMtoMGD</f>
        <v>0</v>
      </c>
      <c r="BD356" s="101">
        <f>Sheet1!BO356*GPMtoMGD</f>
        <v>1.932912</v>
      </c>
      <c r="BE356" s="101">
        <f>Sheet1!BV356*GPMtoMGD</f>
        <v>0.59961600000000004</v>
      </c>
      <c r="BF356" s="101">
        <f>Sheet1!CJ356*GPMtoMGD</f>
        <v>0.156528</v>
      </c>
      <c r="BG356" s="101">
        <f>Sheet1!CK356*GPMtoMGD</f>
        <v>0.49982400000000005</v>
      </c>
      <c r="BH356" s="101">
        <f>Sheet1!CL356*GPMtoMGD</f>
        <v>1.0068480000000002</v>
      </c>
      <c r="BI356" s="101">
        <f t="shared" si="44"/>
        <v>1.932912</v>
      </c>
      <c r="BK356" s="106">
        <f>SUM(AT356:BA356,BE356,Sheet1!BU356,'Calculations II'!BC356,Calculation!AG356)</f>
        <v>40.088054590506843</v>
      </c>
      <c r="BM356" s="439">
        <f ca="1">IF(B356=TODAY(),0,IF(AND(Sheet1!BQ356&lt;=11.5,Sheet1!BQ355&gt;Sheet1!BQ356),(MIN(Lookup!$C$119,VLOOKUP(Sheet1!BQ355,Lookup!$B$4:$J$236,2))-VLOOKUP(Sheet1!BQ356,Lookup!$B$4:$J$236,2))/1000000,0))</f>
        <v>0</v>
      </c>
      <c r="BN356" s="439">
        <f ca="1">IF(B356=TODAY(),0,IF(AND(Sheet1!BR356&lt;=11.5,Sheet1!BR355&gt;Sheet1!BR356),(MIN(Lookup!$D$119,VLOOKUP(Sheet1!BR355,Lookup!$B$4:$J$236,3))-VLOOKUP(Sheet1!BR356,Lookup!$B$4:$J$236,3))/1000000,0))</f>
        <v>0</v>
      </c>
      <c r="BP356" s="105">
        <f ca="1">SUM(BM356:BN356,W356,Sheet1!DT356)</f>
        <v>0</v>
      </c>
    </row>
    <row r="357" spans="1:68" s="101" customFormat="1">
      <c r="A357" s="101" t="s">
        <v>7</v>
      </c>
      <c r="B357" s="103">
        <v>40886</v>
      </c>
      <c r="C357" s="104">
        <v>0.33333333333357601</v>
      </c>
      <c r="E357" s="30"/>
      <c r="F357" s="30">
        <f ca="1">IF(B357=TODAY(),0,-(VLOOKUP(Sheet1!BZ357,Lookup!$I$4:$J$216,2)-VLOOKUP(Sheet1!BZ356,Lookup!$I$4:$J$216,2))/1000000)</f>
        <v>0.62182163128679613</v>
      </c>
      <c r="G357" s="106">
        <f ca="1">IF(B357=TODAY(),0,-$G$6*(Sheet1!CB357-Sheet1!CB356)*7.48/1000000)</f>
        <v>-0.15885400421023735</v>
      </c>
      <c r="H357" s="106">
        <f ca="1">IF(B357=TODAY(),0,-$G$6*(Sheet1!CC357-Sheet1!CC356)*7.48/1000000)</f>
        <v>0.47656201263071124</v>
      </c>
      <c r="I357" s="106">
        <f ca="1">IF(B357=TODAY(),0,-$G$6*(Sheet1!CD357-Sheet1!CD356)*7.48/1000000)</f>
        <v>0.47656201263071196</v>
      </c>
      <c r="J357" s="107" t="s">
        <v>193</v>
      </c>
      <c r="K357" s="106">
        <f ca="1">IF(B357=TODAY(),0,-$I$6*(Sheet1!CD357-Sheet1!CD356)*7.48/1000000)</f>
        <v>0.21589810113632477</v>
      </c>
      <c r="L357" s="107" t="s">
        <v>193</v>
      </c>
      <c r="M357" s="106">
        <f ca="1">IF(B357=TODAY(),0,-$M$6*(Sheet1!CE357-Sheet1!CE356)*7.48/1000000)</f>
        <v>7.995984449350127E-2</v>
      </c>
      <c r="N357" s="106">
        <f ca="1">IF(B357=TODAY(),0,-$N$6*(Sheet1!CF357-Sheet1!CF356)*7.48/1000000)</f>
        <v>-6.2052345394623676E-2</v>
      </c>
      <c r="O357" s="106">
        <f t="shared" ca="1" si="40"/>
        <v>1.6498972525731845</v>
      </c>
      <c r="P357" s="106">
        <f ca="1">O357+Calculation!EI357</f>
        <v>3.8386972525731844</v>
      </c>
      <c r="Q357" s="101" t="str">
        <f>IF(Sheet1!BQ357&gt;21.75,"spill elevation","-")</f>
        <v>-</v>
      </c>
      <c r="R357" s="101" t="str">
        <f>IF(Sheet1!BR357&gt;21.75,"spill elevation","-")</f>
        <v>-</v>
      </c>
      <c r="S357" s="101" t="str">
        <f>IF(Sheet1!BS357&gt;21.75,"spill elevation","-")</f>
        <v>-</v>
      </c>
      <c r="T357" s="105">
        <f>IF(Sheet1!DQ357=1,Sheet1!AA357-(SUM(AT357:BA357)+BE357),Sheet1!AA357-SUM(AT357:BA357))</f>
        <v>26.370031999999998</v>
      </c>
      <c r="U357" s="105">
        <f>Sheet1!BU357</f>
        <v>23.8</v>
      </c>
      <c r="V357" s="105">
        <f t="shared" si="41"/>
        <v>2.5700319999999977</v>
      </c>
      <c r="W357" s="105">
        <f t="shared" si="42"/>
        <v>0</v>
      </c>
      <c r="X357" s="101">
        <f>IF((Sheet1!EX357-Sheet1!EX356)&lt;0,(Sheet1!EX357+100000-Sheet1!EX356)/1000,(Sheet1!EX357-Sheet1!EX356)/1000)</f>
        <v>1.4890000000000001</v>
      </c>
      <c r="Y357" s="106">
        <f ca="1">Calculation!DZ358+Calculation!EI357+'Calculations II'!O357-'Calculations II'!W357</f>
        <v>54.738697252567363</v>
      </c>
      <c r="Z357" s="106">
        <f ca="1">Y357-Sheet1!CP358</f>
        <v>38.148697252567359</v>
      </c>
      <c r="AA357" s="106">
        <f ca="1">Y357+Calculation!CZ358+Calculation!AI358</f>
        <v>63.156901950553944</v>
      </c>
      <c r="AC357" s="106">
        <f>Sheet1!AA357+Sheet1!AB357+BC357</f>
        <v>52</v>
      </c>
      <c r="AD357" s="106">
        <f>Sheet1!AA357+Sheet1!BN357+'Calculations II'!BC357-Calculation!AI357-Calculation!CZ357</f>
        <v>33.984100418410037</v>
      </c>
      <c r="AE357" s="106">
        <f>Sheet1!AA357+Sheet1!AB357+'Calculations II'!BC357-Calculation!AI357-Calculation!CZ357</f>
        <v>43.18410041841004</v>
      </c>
      <c r="AF357" s="106">
        <f ca="1">Sheet1!AA357+Sheet1!BN357+P357+'Calculations II'!BC357+Calculation!AI357+Calculation!CZ357</f>
        <v>55.454596834163141</v>
      </c>
      <c r="AG357" s="106">
        <f ca="1">IF(B357=TODAY(),0,Sheet1!AA357+Sheet1!BN357+'Calculations II'!BC357+'Calculations II'!P357-Sheet1!CP357-BP357)</f>
        <v>30.81869725257318</v>
      </c>
      <c r="AH357" s="106">
        <f ca="1">IF(B357=TODAY(),0,Sheet1!AA357+Sheet1!BN357+'Calculations II'!BC357+'Calculations II'!P357-BP357)</f>
        <v>46.638697252573181</v>
      </c>
      <c r="AI357" s="106">
        <f ca="1">IF(B357=TODAY(),0,BC357+Sheet1!AA357+Calculation!EI357+O357+W357+Sheet1!BN357+Calculation!AI357+Calculation!CZ357-BP357)</f>
        <v>55.454596834163141</v>
      </c>
      <c r="AJ357" s="106"/>
      <c r="AM357" s="102">
        <f t="shared" si="43"/>
        <v>40886</v>
      </c>
      <c r="AN357" s="106"/>
      <c r="AO357" s="106"/>
      <c r="AR357" s="106"/>
      <c r="AT357" s="101">
        <f>Sheet1!AR357*GPMtoMGD</f>
        <v>0</v>
      </c>
      <c r="AU357" s="101">
        <f>Sheet1!AS357*GPMtoMGD</f>
        <v>2.9808000000000001E-2</v>
      </c>
      <c r="AV357" s="101">
        <f>Sheet1!AT357*GPMtoMGD</f>
        <v>0</v>
      </c>
      <c r="AW357" s="101">
        <f>Sheet1!AV357*GPMtoMGD</f>
        <v>0.49694400000000005</v>
      </c>
      <c r="AX357" s="101">
        <f>Sheet1!AW357*GPMtoMGD</f>
        <v>0.60321599999999997</v>
      </c>
      <c r="AY357" s="101">
        <f>Sheet1!AX357*GPMtoMGD</f>
        <v>0</v>
      </c>
      <c r="AZ357" s="101">
        <f>Sheet1!AY357*GPMtoMGD</f>
        <v>0</v>
      </c>
      <c r="BA357" s="101">
        <f>Sheet1!AZ357*GPMtoMGD</f>
        <v>0</v>
      </c>
      <c r="BB357" s="101">
        <f>Sheet1!BP357*GPMtoMGD</f>
        <v>0</v>
      </c>
      <c r="BC357" s="101">
        <f>Sheet1!CO357*GPMtoMGD</f>
        <v>0</v>
      </c>
      <c r="BD357" s="101">
        <f>Sheet1!BO357*GPMtoMGD</f>
        <v>1.36656</v>
      </c>
      <c r="BE357" s="101">
        <f>Sheet1!BV357*GPMtoMGD</f>
        <v>0.59529600000000005</v>
      </c>
      <c r="BF357" s="101">
        <f>Sheet1!CJ357*GPMtoMGD</f>
        <v>0.20750399999999999</v>
      </c>
      <c r="BG357" s="101">
        <f>Sheet1!CK357*GPMtoMGD</f>
        <v>0.49348800000000004</v>
      </c>
      <c r="BH357" s="101">
        <f>Sheet1!CL357*GPMtoMGD</f>
        <v>1.0130400000000002</v>
      </c>
      <c r="BI357" s="101">
        <f t="shared" si="44"/>
        <v>1.36656</v>
      </c>
      <c r="BK357" s="106">
        <f>SUM(AT357:BA357,BE357,Sheet1!BU357,'Calculations II'!BC357,Calculation!AG357)</f>
        <v>41.209364418410047</v>
      </c>
      <c r="BM357" s="439">
        <f ca="1">IF(B357=TODAY(),0,IF(AND(Sheet1!BQ357&lt;=11.5,Sheet1!BQ356&gt;Sheet1!BQ357),(MIN(Lookup!$C$119,VLOOKUP(Sheet1!BQ356,Lookup!$B$4:$J$236,2))-VLOOKUP(Sheet1!BQ357,Lookup!$B$4:$J$236,2))/1000000,0))</f>
        <v>0</v>
      </c>
      <c r="BN357" s="439">
        <f ca="1">IF(B357=TODAY(),0,IF(AND(Sheet1!BR357&lt;=11.5,Sheet1!BR356&gt;Sheet1!BR357),(MIN(Lookup!$D$119,VLOOKUP(Sheet1!BR356,Lookup!$B$4:$J$236,3))-VLOOKUP(Sheet1!BR357,Lookup!$B$4:$J$236,3))/1000000,0))</f>
        <v>0</v>
      </c>
      <c r="BP357" s="105">
        <f ca="1">SUM(BM357:BN357,W357,Sheet1!DT357)</f>
        <v>0</v>
      </c>
    </row>
    <row r="358" spans="1:68" s="101" customFormat="1">
      <c r="A358" s="101" t="s">
        <v>8</v>
      </c>
      <c r="B358" s="103">
        <v>40887</v>
      </c>
      <c r="C358" s="104">
        <v>0.33333333333357601</v>
      </c>
      <c r="E358" s="30"/>
      <c r="F358" s="30">
        <f ca="1">IF(B358=TODAY(),0,-(VLOOKUP(Sheet1!BZ358,Lookup!$I$4:$J$216,2)-VLOOKUP(Sheet1!BZ357,Lookup!$I$4:$J$216,2))/1000000)</f>
        <v>0</v>
      </c>
      <c r="G358" s="106">
        <f ca="1">IF(B358=TODAY(),0,-$G$6*(Sheet1!CB358-Sheet1!CB357)*7.48/1000000)</f>
        <v>-0.27799450736791476</v>
      </c>
      <c r="H358" s="106">
        <f ca="1">IF(B358=TODAY(),0,-$G$6*(Sheet1!CC358-Sheet1!CC357)*7.48/1000000)</f>
        <v>-0.23828100631535562</v>
      </c>
      <c r="I358" s="106">
        <f ca="1">IF(B358=TODAY(),0,-$G$6*(Sheet1!CD358-Sheet1!CD357)*7.48/1000000)</f>
        <v>-0.19856750526279648</v>
      </c>
      <c r="J358" s="107" t="s">
        <v>193</v>
      </c>
      <c r="K358" s="106">
        <f ca="1">IF(B358=TODAY(),0,-$I$6*(Sheet1!CD358-Sheet1!CD357)*7.48/1000000)</f>
        <v>-8.9957542140135238E-2</v>
      </c>
      <c r="L358" s="107" t="s">
        <v>193</v>
      </c>
      <c r="M358" s="106">
        <f ca="1">IF(B358=TODAY(),0,-$M$6*(Sheet1!CE358-Sheet1!CE357)*7.48/1000000)</f>
        <v>-3.997992224675051E-2</v>
      </c>
      <c r="N358" s="106">
        <f ca="1">IF(B358=TODAY(),0,-$N$6*(Sheet1!CF358-Sheet1!CF357)*7.48/1000000)</f>
        <v>0</v>
      </c>
      <c r="O358" s="106">
        <f t="shared" ca="1" si="40"/>
        <v>-0.84478048333295264</v>
      </c>
      <c r="P358" s="106">
        <f ca="1">O358+Calculation!EI358</f>
        <v>2.9655195166670474</v>
      </c>
      <c r="Q358" s="101" t="str">
        <f>IF(Sheet1!BQ358&gt;21.75,"spill elevation","-")</f>
        <v>-</v>
      </c>
      <c r="R358" s="101" t="str">
        <f>IF(Sheet1!BR358&gt;21.75,"spill elevation","-")</f>
        <v>-</v>
      </c>
      <c r="S358" s="101" t="str">
        <f>IF(Sheet1!BS358&gt;21.75,"spill elevation","-")</f>
        <v>-</v>
      </c>
      <c r="T358" s="105">
        <f>IF(Sheet1!DQ358=1,Sheet1!AA358-(SUM(AT358:BA358)+BE358),Sheet1!AA358-SUM(AT358:BA358))</f>
        <v>26.006079999994178</v>
      </c>
      <c r="U358" s="105">
        <f>Sheet1!BU358</f>
        <v>24.9</v>
      </c>
      <c r="V358" s="105">
        <f t="shared" si="41"/>
        <v>1.1060799999941793</v>
      </c>
      <c r="W358" s="105">
        <f t="shared" si="42"/>
        <v>0</v>
      </c>
      <c r="X358" s="101">
        <f>IF((Sheet1!EX358-Sheet1!EX357)&lt;0,(Sheet1!EX358+100000-Sheet1!EX357)/1000,(Sheet1!EX358-Sheet1!EX357)/1000)</f>
        <v>1.472</v>
      </c>
      <c r="Y358" s="106">
        <f ca="1">Calculation!DZ359+Calculation!EI358+'Calculations II'!O358-'Calculations II'!W358</f>
        <v>54.265519516678687</v>
      </c>
      <c r="Z358" s="106">
        <f ca="1">Y358-Sheet1!CP359</f>
        <v>37.275519516678685</v>
      </c>
      <c r="AA358" s="106">
        <f ca="1">Y358+Calculation!CZ359+Calculation!AI359</f>
        <v>62.907793569156823</v>
      </c>
      <c r="AC358" s="106">
        <f>Sheet1!AA358+Sheet1!AB358+BC358</f>
        <v>50.899999999994179</v>
      </c>
      <c r="AD358" s="106">
        <f>Sheet1!AA358+Sheet1!BN358+'Calculations II'!BC358-Calculation!AI358-Calculation!CZ358</f>
        <v>34.281795302007595</v>
      </c>
      <c r="AE358" s="106">
        <f>Sheet1!AA358+Sheet1!AB358+'Calculations II'!BC358-Calculation!AI358-Calculation!CZ358</f>
        <v>42.481795302007598</v>
      </c>
      <c r="AF358" s="106">
        <f ca="1">Sheet1!AA358+Sheet1!BN358+P358+'Calculations II'!BC358+Calculation!AI358+Calculation!CZ358</f>
        <v>54.083724214647802</v>
      </c>
      <c r="AG358" s="106">
        <f ca="1">IF(B358=TODAY(),0,Sheet1!AA358+Sheet1!BN358+'Calculations II'!BC358+'Calculations II'!P358-Sheet1!CP358-BP358)</f>
        <v>29.07551951666122</v>
      </c>
      <c r="AH358" s="106">
        <f ca="1">IF(B358=TODAY(),0,Sheet1!AA358+Sheet1!BN358+'Calculations II'!BC358+'Calculations II'!P358-BP358)</f>
        <v>45.66551951666122</v>
      </c>
      <c r="AI358" s="106">
        <f ca="1">IF(B358=TODAY(),0,BC358+Sheet1!AA358+Calculation!EI358+O358+W358+Sheet1!BN358+Calculation!AI358+Calculation!CZ358-BP358)</f>
        <v>54.083724214647802</v>
      </c>
      <c r="AJ358" s="106"/>
      <c r="AM358" s="102">
        <f t="shared" si="43"/>
        <v>40887</v>
      </c>
      <c r="AN358" s="106"/>
      <c r="AO358" s="106"/>
      <c r="AR358" s="106"/>
      <c r="AT358" s="101">
        <f>Sheet1!AR358*GPMtoMGD</f>
        <v>0</v>
      </c>
      <c r="AU358" s="101">
        <f>Sheet1!AS358*GPMtoMGD</f>
        <v>1.5984000000000002E-2</v>
      </c>
      <c r="AV358" s="101">
        <f>Sheet1!AT358*GPMtoMGD</f>
        <v>0</v>
      </c>
      <c r="AW358" s="101">
        <f>Sheet1!AV358*GPMtoMGD</f>
        <v>0.62107200000000007</v>
      </c>
      <c r="AX358" s="101">
        <f>Sheet1!AW358*GPMtoMGD</f>
        <v>0.75686400000000009</v>
      </c>
      <c r="AY358" s="101">
        <f>Sheet1!AX358*GPMtoMGD</f>
        <v>0</v>
      </c>
      <c r="AZ358" s="101">
        <f>Sheet1!AY358*GPMtoMGD</f>
        <v>0</v>
      </c>
      <c r="BA358" s="101">
        <f>Sheet1!AZ358*GPMtoMGD</f>
        <v>0</v>
      </c>
      <c r="BB358" s="101">
        <f>Sheet1!BP358*GPMtoMGD</f>
        <v>0</v>
      </c>
      <c r="BC358" s="101">
        <f>Sheet1!CO358*GPMtoMGD</f>
        <v>0</v>
      </c>
      <c r="BD358" s="101">
        <f>Sheet1!BO358*GPMtoMGD</f>
        <v>1.970064</v>
      </c>
      <c r="BE358" s="101">
        <f>Sheet1!BV358*GPMtoMGD</f>
        <v>0.61055999999999999</v>
      </c>
      <c r="BF358" s="101">
        <f>Sheet1!CJ358*GPMtoMGD</f>
        <v>0.23342400000000002</v>
      </c>
      <c r="BG358" s="101">
        <f>Sheet1!CK358*GPMtoMGD</f>
        <v>0.52272000000000007</v>
      </c>
      <c r="BH358" s="101">
        <f>Sheet1!CL358*GPMtoMGD</f>
        <v>0.96264000000000005</v>
      </c>
      <c r="BI358" s="101">
        <f t="shared" si="44"/>
        <v>1.970064</v>
      </c>
      <c r="BK358" s="106">
        <f>SUM(AT358:BA358,BE358,Sheet1!BU358,'Calculations II'!BC358,Calculation!AG358)</f>
        <v>41.986275302013425</v>
      </c>
      <c r="BM358" s="439">
        <f ca="1">IF(B358=TODAY(),0,IF(AND(Sheet1!BQ358&lt;=11.5,Sheet1!BQ357&gt;Sheet1!BQ358),(MIN(Lookup!$C$119,VLOOKUP(Sheet1!BQ357,Lookup!$B$4:$J$236,2))-VLOOKUP(Sheet1!BQ358,Lookup!$B$4:$J$236,2))/1000000,0))</f>
        <v>0</v>
      </c>
      <c r="BN358" s="439">
        <f ca="1">IF(B358=TODAY(),0,IF(AND(Sheet1!BR358&lt;=11.5,Sheet1!BR357&gt;Sheet1!BR358),(MIN(Lookup!$D$119,VLOOKUP(Sheet1!BR357,Lookup!$B$4:$J$236,3))-VLOOKUP(Sheet1!BR358,Lookup!$B$4:$J$236,3))/1000000,0))</f>
        <v>0</v>
      </c>
      <c r="BP358" s="105">
        <f ca="1">SUM(BM358:BN358,W358,Sheet1!DT358)</f>
        <v>0</v>
      </c>
    </row>
    <row r="359" spans="1:68" s="101" customFormat="1">
      <c r="A359" s="101" t="s">
        <v>9</v>
      </c>
      <c r="B359" s="103">
        <v>40888</v>
      </c>
      <c r="C359" s="104">
        <v>0.33333333333357601</v>
      </c>
      <c r="E359" s="30"/>
      <c r="F359" s="30">
        <f ca="1">IF(B359=TODAY(),0,-(VLOOKUP(Sheet1!BZ359,Lookup!$I$4:$J$216,2)-VLOOKUP(Sheet1!BZ358,Lookup!$I$4:$J$216,2))/1000000)</f>
        <v>-0.72545856983459556</v>
      </c>
      <c r="G359" s="106">
        <f ca="1">IF(B359=TODAY(),0,-$G$6*(Sheet1!CB359-Sheet1!CB358)*7.48/1000000)</f>
        <v>-0.43684851157815213</v>
      </c>
      <c r="H359" s="106">
        <f ca="1">IF(B359=TODAY(),0,-$G$6*(Sheet1!CC359-Sheet1!CC358)*7.48/1000000)</f>
        <v>0.23828100631535562</v>
      </c>
      <c r="I359" s="106">
        <f ca="1">IF(B359=TODAY(),0,-$G$6*(Sheet1!CD359-Sheet1!CD358)*7.48/1000000)</f>
        <v>0.23828100631535562</v>
      </c>
      <c r="J359" s="107" t="s">
        <v>193</v>
      </c>
      <c r="K359" s="106">
        <f ca="1">IF(B359=TODAY(),0,-$I$6*(Sheet1!CD359-Sheet1!CD358)*7.48/1000000)</f>
        <v>0.10794905056816222</v>
      </c>
      <c r="L359" s="107" t="s">
        <v>193</v>
      </c>
      <c r="M359" s="106">
        <f ca="1">IF(B359=TODAY(),0,-$M$6*(Sheet1!CE359-Sheet1!CE358)*7.48/1000000)</f>
        <v>3.997992224675051E-2</v>
      </c>
      <c r="N359" s="106">
        <f ca="1">IF(B359=TODAY(),0,-$N$6*(Sheet1!CF359-Sheet1!CF358)*7.48/1000000)</f>
        <v>-0.31026172697311949</v>
      </c>
      <c r="O359" s="106">
        <f t="shared" ca="1" si="40"/>
        <v>-0.84807782294024314</v>
      </c>
      <c r="P359" s="106">
        <f ca="1">O359+Calculation!EI359</f>
        <v>4.5361221770597568</v>
      </c>
      <c r="Q359" s="101" t="str">
        <f>IF(Sheet1!BQ359&gt;21.75,"spill elevation","-")</f>
        <v>-</v>
      </c>
      <c r="R359" s="101" t="str">
        <f>IF(Sheet1!BR359&gt;21.75,"spill elevation","-")</f>
        <v>-</v>
      </c>
      <c r="S359" s="101" t="str">
        <f>IF(Sheet1!BS359&gt;21.75,"spill elevation","-")</f>
        <v>-</v>
      </c>
      <c r="T359" s="105">
        <f>IF(Sheet1!DQ359=1,Sheet1!AA359-(SUM(AT359:BA359)+BE359),Sheet1!AA359-SUM(AT359:BA359))</f>
        <v>25.702688000011641</v>
      </c>
      <c r="U359" s="105">
        <f>Sheet1!BU359</f>
        <v>26.4</v>
      </c>
      <c r="V359" s="105">
        <f t="shared" si="41"/>
        <v>-0.69731199998835791</v>
      </c>
      <c r="W359" s="105">
        <f t="shared" si="42"/>
        <v>0</v>
      </c>
      <c r="X359" s="101">
        <f>IF((Sheet1!EX359-Sheet1!EX358)&lt;0,(Sheet1!EX359+100000-Sheet1!EX358)/1000,(Sheet1!EX359-Sheet1!EX358)/1000)</f>
        <v>1.417</v>
      </c>
      <c r="Y359" s="106">
        <f ca="1">Calculation!DZ360+Calculation!EI359+'Calculations II'!O359-'Calculations II'!W359</f>
        <v>58.816122177053934</v>
      </c>
      <c r="Z359" s="106">
        <f ca="1">Y359-Sheet1!CP360</f>
        <v>41.726122177053938</v>
      </c>
      <c r="AA359" s="106">
        <f ca="1">Y359+Calculation!CZ360+Calculation!AI360</f>
        <v>67.89341738570927</v>
      </c>
      <c r="AC359" s="106">
        <f>Sheet1!AA359+Sheet1!AB359+BC359</f>
        <v>51.300000000011643</v>
      </c>
      <c r="AD359" s="106">
        <f>Sheet1!AA359+Sheet1!BN359+'Calculations II'!BC359-Calculation!AI359-Calculation!CZ359</f>
        <v>33.957725947533504</v>
      </c>
      <c r="AE359" s="106">
        <f>Sheet1!AA359+Sheet1!AB359+'Calculations II'!BC359-Calculation!AI359-Calculation!CZ359</f>
        <v>42.657725947533507</v>
      </c>
      <c r="AF359" s="106">
        <f ca="1">Sheet1!AA359+Sheet1!BN359+P359+'Calculations II'!BC359+Calculation!AI359+Calculation!CZ359</f>
        <v>55.778396229549536</v>
      </c>
      <c r="AG359" s="106">
        <f ca="1">IF(B359=TODAY(),0,Sheet1!AA359+Sheet1!BN359+'Calculations II'!BC359+'Calculations II'!P359-Sheet1!CP359-BP359)</f>
        <v>30.146122177071401</v>
      </c>
      <c r="AH359" s="106">
        <f ca="1">IF(B359=TODAY(),0,Sheet1!AA359+Sheet1!BN359+'Calculations II'!BC359+'Calculations II'!P359-BP359)</f>
        <v>47.1361221770714</v>
      </c>
      <c r="AI359" s="106">
        <f ca="1">IF(B359=TODAY(),0,BC359+Sheet1!AA359+Calculation!EI359+O359+W359+Sheet1!BN359+Calculation!AI359+Calculation!CZ359-BP359)</f>
        <v>55.778396229549536</v>
      </c>
      <c r="AJ359" s="106"/>
      <c r="AM359" s="102">
        <f t="shared" si="43"/>
        <v>40888</v>
      </c>
      <c r="AN359" s="106"/>
      <c r="AO359" s="106"/>
      <c r="AR359" s="106"/>
      <c r="AT359" s="101">
        <f>Sheet1!AR359*GPMtoMGD</f>
        <v>0</v>
      </c>
      <c r="AU359" s="101">
        <f>Sheet1!AS359*GPMtoMGD</f>
        <v>3.2544000000000003E-2</v>
      </c>
      <c r="AV359" s="101">
        <f>Sheet1!AT359*GPMtoMGD</f>
        <v>0</v>
      </c>
      <c r="AW359" s="101">
        <f>Sheet1!AV359*GPMtoMGD</f>
        <v>0.61228800000000005</v>
      </c>
      <c r="AX359" s="101">
        <f>Sheet1!AW359*GPMtoMGD</f>
        <v>0.85248000000000002</v>
      </c>
      <c r="AY359" s="101">
        <f>Sheet1!AX359*GPMtoMGD</f>
        <v>0</v>
      </c>
      <c r="AZ359" s="101">
        <f>Sheet1!AY359*GPMtoMGD</f>
        <v>0</v>
      </c>
      <c r="BA359" s="101">
        <f>Sheet1!AZ359*GPMtoMGD</f>
        <v>0</v>
      </c>
      <c r="BB359" s="101">
        <f>Sheet1!BP359*GPMtoMGD</f>
        <v>0</v>
      </c>
      <c r="BC359" s="101">
        <f>Sheet1!CO359*GPMtoMGD</f>
        <v>0</v>
      </c>
      <c r="BD359" s="101">
        <f>Sheet1!BO359*GPMtoMGD</f>
        <v>1.8293760000000003</v>
      </c>
      <c r="BE359" s="101">
        <f>Sheet1!BV359*GPMtoMGD</f>
        <v>0.59112000000000009</v>
      </c>
      <c r="BF359" s="101">
        <f>Sheet1!CJ359*GPMtoMGD</f>
        <v>0.438336</v>
      </c>
      <c r="BG359" s="101">
        <f>Sheet1!CK359*GPMtoMGD</f>
        <v>0.56462400000000001</v>
      </c>
      <c r="BH359" s="101">
        <f>Sheet1!CL359*GPMtoMGD</f>
        <v>0.97344000000000008</v>
      </c>
      <c r="BI359" s="101">
        <f t="shared" si="44"/>
        <v>1.8293760000000003</v>
      </c>
      <c r="BK359" s="106">
        <f>SUM(AT359:BA359,BE359,Sheet1!BU359,'Calculations II'!BC359,Calculation!AG359)</f>
        <v>43.946157947521868</v>
      </c>
      <c r="BM359" s="439">
        <f ca="1">IF(B359=TODAY(),0,IF(AND(Sheet1!BQ359&lt;=11.5,Sheet1!BQ358&gt;Sheet1!BQ359),(MIN(Lookup!$C$119,VLOOKUP(Sheet1!BQ358,Lookup!$B$4:$J$236,2))-VLOOKUP(Sheet1!BQ359,Lookup!$B$4:$J$236,2))/1000000,0))</f>
        <v>0</v>
      </c>
      <c r="BN359" s="439">
        <f ca="1">IF(B359=TODAY(),0,IF(AND(Sheet1!BR359&lt;=11.5,Sheet1!BR358&gt;Sheet1!BR359),(MIN(Lookup!$D$119,VLOOKUP(Sheet1!BR358,Lookup!$B$4:$J$236,3))-VLOOKUP(Sheet1!BR359,Lookup!$B$4:$J$236,3))/1000000,0))</f>
        <v>0</v>
      </c>
      <c r="BP359" s="105">
        <f ca="1">SUM(BM359:BN359,W359,Sheet1!DT359)</f>
        <v>0</v>
      </c>
    </row>
    <row r="360" spans="1:68" s="101" customFormat="1">
      <c r="A360" s="101" t="s">
        <v>3</v>
      </c>
      <c r="B360" s="103">
        <v>40889</v>
      </c>
      <c r="C360" s="104">
        <v>0.33333333333357601</v>
      </c>
      <c r="E360" s="30"/>
      <c r="F360" s="30">
        <f ca="1">IF(B360=TODAY(),0,-(VLOOKUP(Sheet1!BZ360,Lookup!$I$4:$J$216,2)-VLOOKUP(Sheet1!BZ359,Lookup!$I$4:$J$216,2))/1000000)</f>
        <v>0.20727387709559872</v>
      </c>
      <c r="G360" s="106">
        <f ca="1">IF(B360=TODAY(),0,-$G$6*(Sheet1!CB360-Sheet1!CB359)*7.48/1000000)</f>
        <v>0.23828100631535562</v>
      </c>
      <c r="H360" s="106">
        <f ca="1">IF(B360=TODAY(),0,-$G$6*(Sheet1!CC360-Sheet1!CC359)*7.48/1000000)</f>
        <v>-0.27799450736791476</v>
      </c>
      <c r="I360" s="106">
        <f ca="1">IF(B360=TODAY(),0,-$G$6*(Sheet1!CD360-Sheet1!CD359)*7.48/1000000)</f>
        <v>-0.3177080084204747</v>
      </c>
      <c r="J360" s="107" t="s">
        <v>193</v>
      </c>
      <c r="K360" s="106">
        <f ca="1">IF(B360=TODAY(),0,-$I$6*(Sheet1!CD360-Sheet1!CD359)*7.48/1000000)</f>
        <v>-0.14393206742421652</v>
      </c>
      <c r="L360" s="107" t="s">
        <v>193</v>
      </c>
      <c r="M360" s="106">
        <f ca="1">IF(B360=TODAY(),0,-$M$6*(Sheet1!CE360-Sheet1!CE359)*7.48/1000000)</f>
        <v>-5.3306562995667349E-2</v>
      </c>
      <c r="N360" s="106">
        <f ca="1">IF(B360=TODAY(),0,-$N$6*(Sheet1!CF360-Sheet1!CF359)*7.48/1000000)</f>
        <v>0.12410469078924735</v>
      </c>
      <c r="O360" s="106">
        <f t="shared" ca="1" si="40"/>
        <v>-0.22328157200807161</v>
      </c>
      <c r="P360" s="106">
        <f ca="1">O360+Calculation!EI360</f>
        <v>0.84451842799192844</v>
      </c>
      <c r="Q360" s="101" t="str">
        <f>IF(Sheet1!BQ360&gt;21.75,"spill elevation","-")</f>
        <v>-</v>
      </c>
      <c r="R360" s="101" t="str">
        <f>IF(Sheet1!BR360&gt;21.75,"spill elevation","-")</f>
        <v>-</v>
      </c>
      <c r="S360" s="101" t="str">
        <f>IF(Sheet1!BS360&gt;21.75,"spill elevation","-")</f>
        <v>-</v>
      </c>
      <c r="T360" s="105">
        <f>IF(Sheet1!DQ360=1,Sheet1!AA360-(SUM(AT360:BA360)+BE360),Sheet1!AA360-SUM(AT360:BA360))</f>
        <v>25.839583999994179</v>
      </c>
      <c r="U360" s="105">
        <f>Sheet1!BU360</f>
        <v>22.8</v>
      </c>
      <c r="V360" s="105">
        <f t="shared" si="41"/>
        <v>3.0395839999941785</v>
      </c>
      <c r="W360" s="105">
        <f t="shared" si="42"/>
        <v>0</v>
      </c>
      <c r="X360" s="101">
        <f>IF((Sheet1!EX360-Sheet1!EX359)&lt;0,(Sheet1!EX360+100000-Sheet1!EX359)/1000,(Sheet1!EX360-Sheet1!EX359)/1000)</f>
        <v>1.3839999999999999</v>
      </c>
      <c r="Y360" s="106">
        <f ca="1">Calculation!DZ361+Calculation!EI360+'Calculations II'!O360-'Calculations II'!W360</f>
        <v>54.766102427991932</v>
      </c>
      <c r="Z360" s="106">
        <f ca="1">Y360-Sheet1!CP361</f>
        <v>37.906102427991932</v>
      </c>
      <c r="AA360" s="106">
        <f ca="1">Y360+Calculation!CZ361+Calculation!AI361</f>
        <v>62.626301432967054</v>
      </c>
      <c r="AC360" s="106">
        <f>Sheet1!AA360+Sheet1!AB360+BC360</f>
        <v>54.279999999994175</v>
      </c>
      <c r="AD360" s="106">
        <f>Sheet1!AA360+Sheet1!BN360+'Calculations II'!BC360-Calculation!AI360-Calculation!CZ360</f>
        <v>35.122704791338847</v>
      </c>
      <c r="AE360" s="106">
        <f>Sheet1!AA360+Sheet1!AB360+'Calculations II'!BC360-Calculation!AI360-Calculation!CZ360</f>
        <v>45.202704791338846</v>
      </c>
      <c r="AF360" s="106">
        <f ca="1">Sheet1!AA360+Sheet1!BN360+P360+'Calculations II'!BC360+Calculation!AI360+Calculation!CZ360</f>
        <v>54.121813636641434</v>
      </c>
      <c r="AG360" s="106">
        <f ca="1">IF(B360=TODAY(),0,Sheet1!AA360+Sheet1!BN360+'Calculations II'!BC360+'Calculations II'!P360-Sheet1!CP360-BP360)</f>
        <v>27.954518427986105</v>
      </c>
      <c r="AH360" s="106">
        <f ca="1">IF(B360=TODAY(),0,Sheet1!AA360+Sheet1!BN360+'Calculations II'!BC360+'Calculations II'!P360-BP360)</f>
        <v>45.044518427986105</v>
      </c>
      <c r="AI360" s="106">
        <f ca="1">IF(B360=TODAY(),0,BC360+Sheet1!AA360+Calculation!EI360+O360+W360+Sheet1!BN360+Calculation!AI360+Calculation!CZ360-BP360)</f>
        <v>54.121813636641434</v>
      </c>
      <c r="AJ360" s="106"/>
      <c r="AM360" s="102">
        <f t="shared" si="43"/>
        <v>40889</v>
      </c>
      <c r="AN360" s="106"/>
      <c r="AO360" s="106"/>
      <c r="AR360" s="106"/>
      <c r="AT360" s="101">
        <f>Sheet1!AR360*GPMtoMGD</f>
        <v>0</v>
      </c>
      <c r="AU360" s="101">
        <f>Sheet1!AS360*GPMtoMGD</f>
        <v>1.584E-2</v>
      </c>
      <c r="AV360" s="101">
        <f>Sheet1!AT360*GPMtoMGD</f>
        <v>0</v>
      </c>
      <c r="AW360" s="101">
        <f>Sheet1!AV360*GPMtoMGD</f>
        <v>0.5058720000000001</v>
      </c>
      <c r="AX360" s="101">
        <f>Sheet1!AW360*GPMtoMGD</f>
        <v>0.53870400000000007</v>
      </c>
      <c r="AY360" s="101">
        <f>Sheet1!AX360*GPMtoMGD</f>
        <v>0</v>
      </c>
      <c r="AZ360" s="101">
        <f>Sheet1!AY360*GPMtoMGD</f>
        <v>0</v>
      </c>
      <c r="BA360" s="101">
        <f>Sheet1!AZ360*GPMtoMGD</f>
        <v>0</v>
      </c>
      <c r="BB360" s="101">
        <f>Sheet1!BP360*GPMtoMGD</f>
        <v>6.1920000000000003E-2</v>
      </c>
      <c r="BC360" s="101">
        <f>Sheet1!CO360*GPMtoMGD</f>
        <v>0</v>
      </c>
      <c r="BD360" s="101">
        <f>Sheet1!BO360*GPMtoMGD</f>
        <v>1.9831680000000003</v>
      </c>
      <c r="BE360" s="101">
        <f>Sheet1!BV360*GPMtoMGD</f>
        <v>0.82900800000000008</v>
      </c>
      <c r="BF360" s="101">
        <f>Sheet1!CJ360*GPMtoMGD</f>
        <v>0.30816000000000004</v>
      </c>
      <c r="BG360" s="101">
        <f>Sheet1!CK360*GPMtoMGD</f>
        <v>0.51206400000000007</v>
      </c>
      <c r="BH360" s="101">
        <f>Sheet1!CL360*GPMtoMGD</f>
        <v>1.017792</v>
      </c>
      <c r="BI360" s="101">
        <f t="shared" si="44"/>
        <v>2.0450880000000002</v>
      </c>
      <c r="BK360" s="106">
        <f>SUM(AT360:BA360,BE360,Sheet1!BU360,'Calculations II'!BC360,Calculation!AG360)</f>
        <v>42.992128791344669</v>
      </c>
      <c r="BM360" s="439">
        <f ca="1">IF(B360=TODAY(),0,IF(AND(Sheet1!BQ360&lt;=11.5,Sheet1!BQ359&gt;Sheet1!BQ360),(MIN(Lookup!$C$119,VLOOKUP(Sheet1!BQ359,Lookup!$B$4:$J$236,2))-VLOOKUP(Sheet1!BQ360,Lookup!$B$4:$J$236,2))/1000000,0))</f>
        <v>0</v>
      </c>
      <c r="BN360" s="439">
        <f ca="1">IF(B360=TODAY(),0,IF(AND(Sheet1!BR360&lt;=11.5,Sheet1!BR359&gt;Sheet1!BR360),(MIN(Lookup!$D$119,VLOOKUP(Sheet1!BR359,Lookup!$B$4:$J$236,3))-VLOOKUP(Sheet1!BR360,Lookup!$B$4:$J$236,3))/1000000,0))</f>
        <v>0</v>
      </c>
      <c r="BP360" s="105">
        <f ca="1">SUM(BM360:BN360,W360,Sheet1!DT360)</f>
        <v>0</v>
      </c>
    </row>
    <row r="361" spans="1:68" s="101" customFormat="1">
      <c r="A361" s="101" t="s">
        <v>4</v>
      </c>
      <c r="B361" s="103">
        <v>40890</v>
      </c>
      <c r="C361" s="104">
        <v>0.33333333333357601</v>
      </c>
      <c r="E361" s="30"/>
      <c r="F361" s="30">
        <f ca="1">IF(B361=TODAY(),0,-(VLOOKUP(Sheet1!BZ361,Lookup!$I$4:$J$216,2)-VLOOKUP(Sheet1!BZ360,Lookup!$I$4:$J$216,2))/1000000)</f>
        <v>-0.20727387709559872</v>
      </c>
      <c r="G361" s="106">
        <f ca="1">IF(B361=TODAY(),0,-$G$6*(Sheet1!CB361-Sheet1!CB360)*7.48/1000000)</f>
        <v>0.23828100631535562</v>
      </c>
      <c r="H361" s="106">
        <f ca="1">IF(B361=TODAY(),0,-$G$6*(Sheet1!CC361-Sheet1!CC360)*7.48/1000000)</f>
        <v>0.43684851157815213</v>
      </c>
      <c r="I361" s="106">
        <f ca="1">IF(B361=TODAY(),0,-$G$6*(Sheet1!CD361-Sheet1!CD360)*7.48/1000000)</f>
        <v>0.43684851157815285</v>
      </c>
      <c r="J361" s="107" t="s">
        <v>193</v>
      </c>
      <c r="K361" s="106">
        <f ca="1">IF(B361=TODAY(),0,-$I$6*(Sheet1!CD361-Sheet1!CD360)*7.48/1000000)</f>
        <v>0.19790659270829777</v>
      </c>
      <c r="L361" s="107" t="s">
        <v>193</v>
      </c>
      <c r="M361" s="106">
        <f ca="1">IF(B361=TODAY(),0,-$M$6*(Sheet1!CE361-Sheet1!CE360)*7.48/1000000)</f>
        <v>7.3296524119042722E-2</v>
      </c>
      <c r="N361" s="106">
        <f ca="1">IF(B361=TODAY(),0,-$N$6*(Sheet1!CF361-Sheet1!CF360)*7.48/1000000)</f>
        <v>6.2052345394624786E-2</v>
      </c>
      <c r="O361" s="106">
        <f t="shared" ca="1" si="40"/>
        <v>1.2379596145980272</v>
      </c>
      <c r="P361" s="106">
        <f ca="1">O361+Calculation!EI361</f>
        <v>2.3053596145980273</v>
      </c>
      <c r="Q361" s="101" t="str">
        <f>IF(Sheet1!BQ361&gt;21.75,"spill elevation","-")</f>
        <v>-</v>
      </c>
      <c r="R361" s="101" t="str">
        <f>IF(Sheet1!BR361&gt;21.75,"spill elevation","-")</f>
        <v>-</v>
      </c>
      <c r="S361" s="101" t="str">
        <f>IF(Sheet1!BS361&gt;21.75,"spill elevation","-")</f>
        <v>-</v>
      </c>
      <c r="T361" s="105">
        <f>IF(Sheet1!DQ361=1,Sheet1!AA361-(SUM(AT361:BA361)+BE361),Sheet1!AA361-SUM(AT361:BA361))</f>
        <v>26.086511999999999</v>
      </c>
      <c r="U361" s="105">
        <f>Sheet1!BU361</f>
        <v>22.8</v>
      </c>
      <c r="V361" s="105">
        <f t="shared" si="41"/>
        <v>3.2865119999999983</v>
      </c>
      <c r="W361" s="105">
        <f t="shared" si="42"/>
        <v>0</v>
      </c>
      <c r="X361" s="101">
        <f>IF((Sheet1!EX361-Sheet1!EX360)&lt;0,(Sheet1!EX361+100000-Sheet1!EX360)/1000,(Sheet1!EX361-Sheet1!EX360)/1000)</f>
        <v>1.393</v>
      </c>
      <c r="Y361" s="106">
        <f ca="1">Calculation!DZ362+Calculation!EI361+'Calculations II'!O361-'Calculations II'!W361</f>
        <v>54.645359614594533</v>
      </c>
      <c r="Z361" s="106">
        <f ca="1">Y361-Sheet1!CP362</f>
        <v>37.005359614594532</v>
      </c>
      <c r="AA361" s="106">
        <f ca="1">Y361+Calculation!CZ362+Calculation!AI362</f>
        <v>62.402185011420279</v>
      </c>
      <c r="AC361" s="106">
        <f>Sheet1!AA361+Sheet1!AB361+BC361</f>
        <v>53.921584000000003</v>
      </c>
      <c r="AD361" s="106">
        <f>Sheet1!AA361+Sheet1!BN361+'Calculations II'!BC361-Calculation!AI361-Calculation!CZ361</f>
        <v>39.761384995024883</v>
      </c>
      <c r="AE361" s="106">
        <f>Sheet1!AA361+Sheet1!AB361+'Calculations II'!BC361-Calculation!AI361-Calculation!CZ361</f>
        <v>46.061384995024881</v>
      </c>
      <c r="AF361" s="106">
        <f ca="1">Sheet1!AA361+Sheet1!BN361+P361+'Calculations II'!BC361+Calculation!AI361+Calculation!CZ361</f>
        <v>57.787142619573153</v>
      </c>
      <c r="AG361" s="106">
        <f ca="1">IF(B361=TODAY(),0,Sheet1!AA361+Sheet1!BN361+'Calculations II'!BC361+'Calculations II'!P361-Sheet1!CP361-BP361)</f>
        <v>33.066943614598031</v>
      </c>
      <c r="AH361" s="106">
        <f ca="1">IF(B361=TODAY(),0,Sheet1!AA361+Sheet1!BN361+'Calculations II'!BC361+'Calculations II'!P361-BP361)</f>
        <v>49.926943614598031</v>
      </c>
      <c r="AI361" s="106">
        <f ca="1">IF(B361=TODAY(),0,BC361+Sheet1!AA361+Calculation!EI361+O361+W361+Sheet1!BN361+Calculation!AI361+Calculation!CZ361-BP361)</f>
        <v>57.787142619573153</v>
      </c>
      <c r="AJ361" s="106"/>
      <c r="AM361" s="102">
        <f t="shared" si="43"/>
        <v>40890</v>
      </c>
      <c r="AN361" s="106"/>
      <c r="AO361" s="106"/>
      <c r="AR361" s="106"/>
      <c r="AT361" s="101">
        <f>Sheet1!AR361*GPMtoMGD</f>
        <v>0</v>
      </c>
      <c r="AU361" s="101">
        <f>Sheet1!AS361*GPMtoMGD</f>
        <v>3.1104000000000003E-2</v>
      </c>
      <c r="AV361" s="101">
        <f>Sheet1!AT361*GPMtoMGD</f>
        <v>0</v>
      </c>
      <c r="AW361" s="101">
        <f>Sheet1!AV361*GPMtoMGD</f>
        <v>0.575712</v>
      </c>
      <c r="AX361" s="101">
        <f>Sheet1!AW361*GPMtoMGD</f>
        <v>0.6066720000000001</v>
      </c>
      <c r="AY361" s="101">
        <f>Sheet1!AX361*GPMtoMGD</f>
        <v>0</v>
      </c>
      <c r="AZ361" s="101">
        <f>Sheet1!AY361*GPMtoMGD</f>
        <v>0</v>
      </c>
      <c r="BA361" s="101">
        <f>Sheet1!AZ361*GPMtoMGD</f>
        <v>0</v>
      </c>
      <c r="BB361" s="101">
        <f>Sheet1!BP361*GPMtoMGD</f>
        <v>0</v>
      </c>
      <c r="BC361" s="101">
        <f>Sheet1!CO361*GPMtoMGD</f>
        <v>0.72158400000000011</v>
      </c>
      <c r="BD361" s="101">
        <f>Sheet1!BO361*GPMtoMGD</f>
        <v>1.8691200000000001</v>
      </c>
      <c r="BE361" s="101">
        <f>Sheet1!BV361*GPMtoMGD</f>
        <v>0.60206400000000004</v>
      </c>
      <c r="BF361" s="101">
        <f>Sheet1!CJ361*GPMtoMGD</f>
        <v>0.21139200000000002</v>
      </c>
      <c r="BG361" s="101">
        <f>Sheet1!CK361*GPMtoMGD</f>
        <v>0.49766400000000005</v>
      </c>
      <c r="BH361" s="101">
        <f>Sheet1!CL361*GPMtoMGD</f>
        <v>0.92016000000000009</v>
      </c>
      <c r="BI361" s="101">
        <f t="shared" si="44"/>
        <v>1.8691200000000001</v>
      </c>
      <c r="BK361" s="106">
        <f>SUM(AT361:BA361,BE361,Sheet1!BU361,'Calculations II'!BC361,Calculation!AG361)</f>
        <v>43.376936995024877</v>
      </c>
      <c r="BM361" s="439">
        <f ca="1">IF(B361=TODAY(),0,IF(AND(Sheet1!BQ361&lt;=11.5,Sheet1!BQ360&gt;Sheet1!BQ361),(MIN(Lookup!$C$119,VLOOKUP(Sheet1!BQ360,Lookup!$B$4:$J$236,2))-VLOOKUP(Sheet1!BQ361,Lookup!$B$4:$J$236,2))/1000000,0))</f>
        <v>0</v>
      </c>
      <c r="BN361" s="439">
        <f ca="1">IF(B361=TODAY(),0,IF(AND(Sheet1!BR361&lt;=11.5,Sheet1!BR360&gt;Sheet1!BR361),(MIN(Lookup!$D$119,VLOOKUP(Sheet1!BR360,Lookup!$B$4:$J$236,3))-VLOOKUP(Sheet1!BR361,Lookup!$B$4:$J$236,3))/1000000,0))</f>
        <v>0</v>
      </c>
      <c r="BP361" s="105">
        <f ca="1">SUM(BM361:BN361,W361,Sheet1!DT361)</f>
        <v>0</v>
      </c>
    </row>
    <row r="362" spans="1:68" s="101" customFormat="1">
      <c r="A362" s="101" t="s">
        <v>5</v>
      </c>
      <c r="B362" s="103">
        <v>40891</v>
      </c>
      <c r="C362" s="104">
        <v>0.33333333333357601</v>
      </c>
      <c r="E362" s="30"/>
      <c r="F362" s="30">
        <f ca="1">IF(B362=TODAY(),0,-(VLOOKUP(Sheet1!BZ362,Lookup!$I$4:$J$216,2)-VLOOKUP(Sheet1!BZ361,Lookup!$I$4:$J$216,2))/1000000)</f>
        <v>-0.41454775419120304</v>
      </c>
      <c r="G362" s="106">
        <f ca="1">IF(B362=TODAY(),0,-$G$6*(Sheet1!CB362-Sheet1!CB361)*7.48/1000000)</f>
        <v>0.23828100631535562</v>
      </c>
      <c r="H362" s="106">
        <f ca="1">IF(B362=TODAY(),0,-$G$6*(Sheet1!CC362-Sheet1!CC361)*7.48/1000000)</f>
        <v>-0.67512951789350772</v>
      </c>
      <c r="I362" s="106">
        <f ca="1">IF(B362=TODAY(),0,-$G$6*(Sheet1!CD362-Sheet1!CD361)*7.48/1000000)</f>
        <v>-0.63541601684094939</v>
      </c>
      <c r="J362" s="107" t="s">
        <v>193</v>
      </c>
      <c r="K362" s="106">
        <f ca="1">IF(B362=TODAY(),0,-$I$6*(Sheet1!CD362-Sheet1!CD361)*7.48/1000000)</f>
        <v>-0.28786413484843304</v>
      </c>
      <c r="L362" s="107" t="s">
        <v>193</v>
      </c>
      <c r="M362" s="106">
        <f ca="1">IF(B362=TODAY(),0,-$M$6*(Sheet1!CE362-Sheet1!CE361)*7.48/1000000)</f>
        <v>-0.10661312599133493</v>
      </c>
      <c r="N362" s="106">
        <f ca="1">IF(B362=TODAY(),0,-$N$6*(Sheet1!CF362-Sheet1!CF361)*7.48/1000000)</f>
        <v>-0.24820938157849581</v>
      </c>
      <c r="O362" s="106">
        <f t="shared" ca="1" si="40"/>
        <v>-2.1294989250285683</v>
      </c>
      <c r="P362" s="106">
        <f ca="1">O362+Calculation!EI362</f>
        <v>2.1066010749714321</v>
      </c>
      <c r="Q362" s="101" t="str">
        <f>IF(Sheet1!BQ362&gt;21.75,"spill elevation","-")</f>
        <v>-</v>
      </c>
      <c r="R362" s="101" t="str">
        <f>IF(Sheet1!BR362&gt;21.75,"spill elevation","-")</f>
        <v>-</v>
      </c>
      <c r="S362" s="101" t="str">
        <f>IF(Sheet1!BS362&gt;21.75,"spill elevation","-")</f>
        <v>-</v>
      </c>
      <c r="T362" s="105">
        <f>IF(Sheet1!DQ362=1,Sheet1!AA362-(SUM(AT362:BA362)+BE362),Sheet1!AA362-SUM(AT362:BA362))</f>
        <v>25.603935999995343</v>
      </c>
      <c r="U362" s="105">
        <f>Sheet1!BU362</f>
        <v>25.7</v>
      </c>
      <c r="V362" s="105">
        <f t="shared" si="41"/>
        <v>-9.6064000004655981E-2</v>
      </c>
      <c r="W362" s="105">
        <f t="shared" si="42"/>
        <v>0</v>
      </c>
      <c r="X362" s="101">
        <f>IF((Sheet1!EX362-Sheet1!EX361)&lt;0,(Sheet1!EX362+100000-Sheet1!EX361)/1000,(Sheet1!EX362-Sheet1!EX361)/1000)</f>
        <v>1.417</v>
      </c>
      <c r="Y362" s="106">
        <f ca="1">Calculation!DZ363+Calculation!EI362+'Calculations II'!O362-'Calculations II'!W362</f>
        <v>57.186601074973176</v>
      </c>
      <c r="Z362" s="106">
        <f ca="1">Y362-Sheet1!CP363</f>
        <v>40.836601074973174</v>
      </c>
      <c r="AA362" s="106">
        <f ca="1">Y362+Calculation!CZ363+Calculation!AI363</f>
        <v>65.677941462980769</v>
      </c>
      <c r="AC362" s="106">
        <f>Sheet1!AA362+Sheet1!AB362+BC362</f>
        <v>52.339999999996508</v>
      </c>
      <c r="AD362" s="106">
        <f>Sheet1!AA362+Sheet1!BN362+'Calculations II'!BC362-Calculation!AI362-Calculation!CZ362</f>
        <v>38.663174603169594</v>
      </c>
      <c r="AE362" s="106">
        <f>Sheet1!AA362+Sheet1!AB362+'Calculations II'!BC362-Calculation!AI362-Calculation!CZ362</f>
        <v>44.583174603170761</v>
      </c>
      <c r="AF362" s="106">
        <f ca="1">Sheet1!AA362+Sheet1!BN362+P362+'Calculations II'!BC362+Calculation!AI362+Calculation!CZ362</f>
        <v>56.283426471792517</v>
      </c>
      <c r="AG362" s="106">
        <f ca="1">IF(B362=TODAY(),0,Sheet1!AA362+Sheet1!BN362+'Calculations II'!BC362+'Calculations II'!P362-Sheet1!CP362-BP362)</f>
        <v>30.886601074966769</v>
      </c>
      <c r="AH362" s="106">
        <f ca="1">IF(B362=TODAY(),0,Sheet1!AA362+Sheet1!BN362+'Calculations II'!BC362+'Calculations II'!P362-BP362)</f>
        <v>48.52660107496677</v>
      </c>
      <c r="AI362" s="106">
        <f ca="1">IF(B362=TODAY(),0,BC362+Sheet1!AA362+Calculation!EI362+O362+W362+Sheet1!BN362+Calculation!AI362+Calculation!CZ362-BP362)</f>
        <v>56.283426471792524</v>
      </c>
      <c r="AJ362" s="106"/>
      <c r="AM362" s="102">
        <f t="shared" si="43"/>
        <v>40891</v>
      </c>
      <c r="AN362" s="106"/>
      <c r="AO362" s="106"/>
      <c r="AR362" s="106"/>
      <c r="AT362" s="101">
        <f>Sheet1!AR362*GPMtoMGD</f>
        <v>0</v>
      </c>
      <c r="AU362" s="101">
        <f>Sheet1!AS362*GPMtoMGD</f>
        <v>1.5984000000000002E-2</v>
      </c>
      <c r="AV362" s="101">
        <f>Sheet1!AT362*GPMtoMGD</f>
        <v>0</v>
      </c>
      <c r="AW362" s="101">
        <f>Sheet1!AV362*GPMtoMGD</f>
        <v>0.4536</v>
      </c>
      <c r="AX362" s="101">
        <f>Sheet1!AW362*GPMtoMGD</f>
        <v>0.54648000000000008</v>
      </c>
      <c r="AY362" s="101">
        <f>Sheet1!AX362*GPMtoMGD</f>
        <v>0</v>
      </c>
      <c r="AZ362" s="101">
        <f>Sheet1!AY362*GPMtoMGD</f>
        <v>0</v>
      </c>
      <c r="BA362" s="101">
        <f>Sheet1!AZ362*GPMtoMGD</f>
        <v>0</v>
      </c>
      <c r="BB362" s="101">
        <f>Sheet1!BP362*GPMtoMGD</f>
        <v>0</v>
      </c>
      <c r="BC362" s="101">
        <f>Sheet1!CO362*GPMtoMGD</f>
        <v>0</v>
      </c>
      <c r="BD362" s="101">
        <f>Sheet1!BO362*GPMtoMGD</f>
        <v>2.1427200000000002</v>
      </c>
      <c r="BE362" s="101">
        <f>Sheet1!BV362*GPMtoMGD</f>
        <v>0.60004800000000003</v>
      </c>
      <c r="BF362" s="101">
        <f>Sheet1!CJ362*GPMtoMGD</f>
        <v>0.28137600000000001</v>
      </c>
      <c r="BG362" s="101">
        <f>Sheet1!CK362*GPMtoMGD</f>
        <v>0.51278400000000002</v>
      </c>
      <c r="BH362" s="101">
        <f>Sheet1!CL362*GPMtoMGD</f>
        <v>0.7525440000000001</v>
      </c>
      <c r="BI362" s="101">
        <f t="shared" si="44"/>
        <v>2.1427200000000002</v>
      </c>
      <c r="BK362" s="106">
        <f>SUM(AT362:BA362,BE362,Sheet1!BU362,'Calculations II'!BC362,Calculation!AG362)</f>
        <v>45.279286603175422</v>
      </c>
      <c r="BM362" s="439">
        <f ca="1">IF(B362=TODAY(),0,IF(AND(Sheet1!BQ362&lt;=11.5,Sheet1!BQ361&gt;Sheet1!BQ362),(MIN(Lookup!$C$119,VLOOKUP(Sheet1!BQ361,Lookup!$B$4:$J$236,2))-VLOOKUP(Sheet1!BQ362,Lookup!$B$4:$J$236,2))/1000000,0))</f>
        <v>0</v>
      </c>
      <c r="BN362" s="439">
        <f ca="1">IF(B362=TODAY(),0,IF(AND(Sheet1!BR362&lt;=11.5,Sheet1!BR361&gt;Sheet1!BR362),(MIN(Lookup!$D$119,VLOOKUP(Sheet1!BR361,Lookup!$B$4:$J$236,3))-VLOOKUP(Sheet1!BR362,Lookup!$B$4:$J$236,3))/1000000,0))</f>
        <v>0</v>
      </c>
      <c r="BP362" s="105">
        <f ca="1">SUM(BM362:BN362,W362,Sheet1!DT362)</f>
        <v>0</v>
      </c>
    </row>
    <row r="363" spans="1:68" s="101" customFormat="1">
      <c r="A363" s="101" t="s">
        <v>6</v>
      </c>
      <c r="B363" s="103">
        <v>40892</v>
      </c>
      <c r="C363" s="104">
        <v>0.33333333333357601</v>
      </c>
      <c r="E363" s="30"/>
      <c r="F363" s="30">
        <f ca="1">IF(B363=TODAY(),0,-(VLOOKUP(Sheet1!BZ363,Lookup!$I$4:$J$216,2)-VLOOKUP(Sheet1!BZ362,Lookup!$I$4:$J$216,2))/1000000)</f>
        <v>0.31091081564340367</v>
      </c>
      <c r="G363" s="106">
        <f ca="1">IF(B363=TODAY(),0,-$G$6*(Sheet1!CB363-Sheet1!CB362)*7.48/1000000)</f>
        <v>-0.31770800842047398</v>
      </c>
      <c r="H363" s="106">
        <f ca="1">IF(B363=TODAY(),0,-$G$6*(Sheet1!CC363-Sheet1!CC362)*7.48/1000000)</f>
        <v>0.43684851157815213</v>
      </c>
      <c r="I363" s="106">
        <f ca="1">IF(B363=TODAY(),0,-$G$6*(Sheet1!CD363-Sheet1!CD362)*7.48/1000000)</f>
        <v>0.47656201263071196</v>
      </c>
      <c r="J363" s="107" t="s">
        <v>193</v>
      </c>
      <c r="K363" s="106">
        <f ca="1">IF(B363=TODAY(),0,-$I$6*(Sheet1!CD363-Sheet1!CD362)*7.48/1000000)</f>
        <v>0.21589810113632477</v>
      </c>
      <c r="L363" s="107" t="s">
        <v>193</v>
      </c>
      <c r="M363" s="106">
        <f ca="1">IF(B363=TODAY(),0,-$M$6*(Sheet1!CE363-Sheet1!CE362)*7.48/1000000)</f>
        <v>5.3306562995667349E-2</v>
      </c>
      <c r="N363" s="106">
        <f ca="1">IF(B363=TODAY(),0,-$N$6*(Sheet1!CF363-Sheet1!CF362)*7.48/1000000)</f>
        <v>0.24820938157849581</v>
      </c>
      <c r="O363" s="106">
        <f t="shared" ca="1" si="40"/>
        <v>1.4240273771422816</v>
      </c>
      <c r="P363" s="106">
        <f ca="1">O363+Calculation!EI363</f>
        <v>0.37002737714228173</v>
      </c>
      <c r="Q363" s="101" t="str">
        <f>IF(Sheet1!BQ363&gt;21.75,"spill elevation","-")</f>
        <v>-</v>
      </c>
      <c r="R363" s="101" t="str">
        <f>IF(Sheet1!BR363&gt;21.75,"spill elevation","-")</f>
        <v>-</v>
      </c>
      <c r="S363" s="101" t="str">
        <f>IF(Sheet1!BS363&gt;21.75,"spill elevation","-")</f>
        <v>-</v>
      </c>
      <c r="T363" s="105">
        <f>IF(Sheet1!DQ363=1,Sheet1!AA363-(SUM(AT363:BA363)+BE363),Sheet1!AA363-SUM(AT363:BA363))</f>
        <v>26.246752000000001</v>
      </c>
      <c r="U363" s="105">
        <f>Sheet1!BU363</f>
        <v>21.2</v>
      </c>
      <c r="V363" s="105">
        <f t="shared" si="41"/>
        <v>5.0467520000000015</v>
      </c>
      <c r="W363" s="105">
        <f t="shared" si="42"/>
        <v>0</v>
      </c>
      <c r="X363" s="101">
        <f>IF((Sheet1!EX363-Sheet1!EX362)&lt;0,(Sheet1!EX363+100000-Sheet1!EX362)/1000,(Sheet1!EX363-Sheet1!EX362)/1000)</f>
        <v>1.3360000000000001</v>
      </c>
      <c r="Y363" s="106">
        <f ca="1">Calculation!DZ364+Calculation!EI363+'Calculations II'!O363-'Calculations II'!W363</f>
        <v>57.460027377146936</v>
      </c>
      <c r="Z363" s="106">
        <f ca="1">Y363-Sheet1!CP364</f>
        <v>41.080027377146934</v>
      </c>
      <c r="AA363" s="106">
        <f ca="1">Y363+Calculation!CZ364+Calculation!AI364</f>
        <v>66.889586605797078</v>
      </c>
      <c r="AC363" s="106">
        <f>Sheet1!AA363+Sheet1!AB363+BC363</f>
        <v>55.080000000001746</v>
      </c>
      <c r="AD363" s="106">
        <f>Sheet1!AA363+Sheet1!BN363+'Calculations II'!BC363-Calculation!AI363-Calculation!CZ363</f>
        <v>38.458659611992417</v>
      </c>
      <c r="AE363" s="106">
        <f>Sheet1!AA363+Sheet1!AB363+'Calculations II'!BC363-Calculation!AI363-Calculation!CZ363</f>
        <v>46.58865961199416</v>
      </c>
      <c r="AF363" s="106">
        <f ca="1">Sheet1!AA363+Sheet1!BN363+P363+'Calculations II'!BC363+Calculation!AI363+Calculation!CZ363</f>
        <v>55.811367765149868</v>
      </c>
      <c r="AG363" s="106">
        <f ca="1">IF(B363=TODAY(),0,Sheet1!AA363+Sheet1!BN363+'Calculations II'!BC363+'Calculations II'!P363-Sheet1!CP363-BP363)</f>
        <v>30.97002737714228</v>
      </c>
      <c r="AH363" s="106">
        <f ca="1">IF(B363=TODAY(),0,Sheet1!AA363+Sheet1!BN363+'Calculations II'!BC363+'Calculations II'!P363-BP363)</f>
        <v>47.320027377142281</v>
      </c>
      <c r="AI363" s="106">
        <f ca="1">IF(B363=TODAY(),0,BC363+Sheet1!AA363+Calculation!EI363+O363+W363+Sheet1!BN363+Calculation!AI363+Calculation!CZ363-BP363)</f>
        <v>55.811367765149868</v>
      </c>
      <c r="AJ363" s="106"/>
      <c r="AM363" s="102">
        <f t="shared" si="43"/>
        <v>40892</v>
      </c>
      <c r="AN363" s="106"/>
      <c r="AO363" s="106"/>
      <c r="AR363" s="106"/>
      <c r="AT363" s="101">
        <f>Sheet1!AR363*GPMtoMGD</f>
        <v>0</v>
      </c>
      <c r="AU363" s="101">
        <f>Sheet1!AS363*GPMtoMGD</f>
        <v>1.5408E-2</v>
      </c>
      <c r="AV363" s="101">
        <f>Sheet1!AT363*GPMtoMGD</f>
        <v>0</v>
      </c>
      <c r="AW363" s="101">
        <f>Sheet1!AV363*GPMtoMGD</f>
        <v>0.49248000000000003</v>
      </c>
      <c r="AX363" s="101">
        <f>Sheet1!AW363*GPMtoMGD</f>
        <v>0.49536000000000002</v>
      </c>
      <c r="AY363" s="101">
        <f>Sheet1!AX363*GPMtoMGD</f>
        <v>0</v>
      </c>
      <c r="AZ363" s="101">
        <f>Sheet1!AY363*GPMtoMGD</f>
        <v>0</v>
      </c>
      <c r="BA363" s="101">
        <f>Sheet1!AZ363*GPMtoMGD</f>
        <v>0</v>
      </c>
      <c r="BB363" s="101">
        <f>Sheet1!BP363*GPMtoMGD</f>
        <v>0</v>
      </c>
      <c r="BC363" s="101">
        <f>Sheet1!CO363*GPMtoMGD</f>
        <v>0</v>
      </c>
      <c r="BD363" s="101">
        <f>Sheet1!BO363*GPMtoMGD</f>
        <v>1.4564160000000002</v>
      </c>
      <c r="BE363" s="101">
        <f>Sheet1!BV363*GPMtoMGD</f>
        <v>0.6052320000000001</v>
      </c>
      <c r="BF363" s="101">
        <f>Sheet1!CJ363*GPMtoMGD</f>
        <v>0.21888000000000002</v>
      </c>
      <c r="BG363" s="101">
        <f>Sheet1!CK363*GPMtoMGD</f>
        <v>0.52214400000000005</v>
      </c>
      <c r="BH363" s="101">
        <f>Sheet1!CL363*GPMtoMGD</f>
        <v>0.74059200000000003</v>
      </c>
      <c r="BI363" s="101">
        <f t="shared" si="44"/>
        <v>1.4564160000000002</v>
      </c>
      <c r="BK363" s="106">
        <f>SUM(AT363:BA363,BE363,Sheet1!BU363,'Calculations II'!BC363,Calculation!AG363)</f>
        <v>42.147139611994156</v>
      </c>
      <c r="BM363" s="439">
        <f ca="1">IF(B363=TODAY(),0,IF(AND(Sheet1!BQ363&lt;=11.5,Sheet1!BQ362&gt;Sheet1!BQ363),(MIN(Lookup!$C$119,VLOOKUP(Sheet1!BQ362,Lookup!$B$4:$J$236,2))-VLOOKUP(Sheet1!BQ363,Lookup!$B$4:$J$236,2))/1000000,0))</f>
        <v>0</v>
      </c>
      <c r="BN363" s="439">
        <f ca="1">IF(B363=TODAY(),0,IF(AND(Sheet1!BR363&lt;=11.5,Sheet1!BR362&gt;Sheet1!BR363),(MIN(Lookup!$D$119,VLOOKUP(Sheet1!BR362,Lookup!$B$4:$J$236,3))-VLOOKUP(Sheet1!BR363,Lookup!$B$4:$J$236,3))/1000000,0))</f>
        <v>0</v>
      </c>
      <c r="BP363" s="105">
        <f ca="1">SUM(BM363:BN363,W363,Sheet1!DT363)</f>
        <v>0</v>
      </c>
    </row>
    <row r="364" spans="1:68" s="101" customFormat="1">
      <c r="A364" s="101" t="s">
        <v>7</v>
      </c>
      <c r="B364" s="103">
        <v>40893</v>
      </c>
      <c r="C364" s="104">
        <v>0.33333333333357601</v>
      </c>
      <c r="E364" s="30"/>
      <c r="F364" s="30">
        <f ca="1">IF(B364=TODAY(),0,-(VLOOKUP(Sheet1!BZ364,Lookup!$I$4:$J$216,2)-VLOOKUP(Sheet1!BZ363,Lookup!$I$4:$J$216,2))/1000000)</f>
        <v>0.41454775419119744</v>
      </c>
      <c r="G364" s="106">
        <f ca="1">IF(B364=TODAY(),0,-$G$6*(Sheet1!CB364-Sheet1!CB363)*7.48/1000000)</f>
        <v>-0.23828100631535562</v>
      </c>
      <c r="H364" s="106">
        <f ca="1">IF(B364=TODAY(),0,-$G$6*(Sheet1!CC364-Sheet1!CC363)*7.48/1000000)</f>
        <v>-3.9713501052559157E-2</v>
      </c>
      <c r="I364" s="106">
        <f ca="1">IF(B364=TODAY(),0,-$G$6*(Sheet1!CD364-Sheet1!CD363)*7.48/1000000)</f>
        <v>-0.11914050315767817</v>
      </c>
      <c r="J364" s="107" t="s">
        <v>193</v>
      </c>
      <c r="K364" s="106">
        <f ca="1">IF(B364=TODAY(),0,-$I$6*(Sheet1!CD364-Sheet1!CD363)*7.48/1000000)</f>
        <v>-5.3974525284081275E-2</v>
      </c>
      <c r="L364" s="107" t="s">
        <v>193</v>
      </c>
      <c r="M364" s="106">
        <f ca="1">IF(B364=TODAY(),0,-$M$6*(Sheet1!CE364-Sheet1!CE363)*7.48/1000000)</f>
        <v>1.3326640748917075E-2</v>
      </c>
      <c r="N364" s="106">
        <f ca="1">IF(B364=TODAY(),0,-$N$6*(Sheet1!CF364-Sheet1!CF363)*7.48/1000000)</f>
        <v>0.18615703618387103</v>
      </c>
      <c r="O364" s="106">
        <f t="shared" ca="1" si="40"/>
        <v>0.16292189531431131</v>
      </c>
      <c r="P364" s="106">
        <f ca="1">O364+Calculation!EI364</f>
        <v>-3.5528781046856883</v>
      </c>
      <c r="Q364" s="101" t="str">
        <f>IF(Sheet1!BQ364&gt;21.75,"spill elevation","-")</f>
        <v>-</v>
      </c>
      <c r="R364" s="101" t="str">
        <f>IF(Sheet1!BR364&gt;21.75,"spill elevation","-")</f>
        <v>-</v>
      </c>
      <c r="S364" s="101" t="str">
        <f>IF(Sheet1!BS364&gt;21.75,"spill elevation","-")</f>
        <v>-</v>
      </c>
      <c r="T364" s="105">
        <f>IF(Sheet1!DQ364=1,Sheet1!AA364-(SUM(AT364:BA364)+BE364),Sheet1!AA364-SUM(AT364:BA364))</f>
        <v>26.032576000004656</v>
      </c>
      <c r="U364" s="105">
        <f>Sheet1!BU364</f>
        <v>19</v>
      </c>
      <c r="V364" s="105">
        <f t="shared" si="41"/>
        <v>7.0325760000046564</v>
      </c>
      <c r="W364" s="105">
        <f t="shared" si="42"/>
        <v>0</v>
      </c>
      <c r="X364" s="101">
        <f>IF((Sheet1!EX364-Sheet1!EX363)&lt;0,(Sheet1!EX364+100000-Sheet1!EX363)/1000,(Sheet1!EX364-Sheet1!EX363)/1000)</f>
        <v>1.395</v>
      </c>
      <c r="Y364" s="106">
        <f ca="1">Calculation!DZ365+Calculation!EI364+'Calculations II'!O364-'Calculations II'!W364</f>
        <v>53.267121895314311</v>
      </c>
      <c r="Z364" s="106">
        <f ca="1">Y364-Sheet1!CP365</f>
        <v>37.387121895314309</v>
      </c>
      <c r="AA364" s="106">
        <f ca="1">Y364+Calculation!CZ365+Calculation!AI365</f>
        <v>62.152537258539894</v>
      </c>
      <c r="AC364" s="106">
        <f>Sheet1!AA364+Sheet1!AB364+BC364</f>
        <v>57.090000000004657</v>
      </c>
      <c r="AD364" s="106">
        <f>Sheet1!AA364+Sheet1!BN364+'Calculations II'!BC364-Calculation!AI364-Calculation!CZ364</f>
        <v>37.600440771354513</v>
      </c>
      <c r="AE364" s="106">
        <f>Sheet1!AA364+Sheet1!AB364+'Calculations II'!BC364-Calculation!AI364-Calculation!CZ364</f>
        <v>47.660440771354516</v>
      </c>
      <c r="AF364" s="106">
        <f ca="1">Sheet1!AA364+Sheet1!BN364+P364+'Calculations II'!BC364+Calculation!AI364+Calculation!CZ364</f>
        <v>52.906681123969108</v>
      </c>
      <c r="AG364" s="106">
        <f ca="1">IF(B364=TODAY(),0,Sheet1!AA364+Sheet1!BN364+'Calculations II'!BC364+'Calculations II'!P364-Sheet1!CP364-BP364)</f>
        <v>27.097121895318967</v>
      </c>
      <c r="AH364" s="106">
        <f ca="1">IF(B364=TODAY(),0,Sheet1!AA364+Sheet1!BN364+'Calculations II'!BC364+'Calculations II'!P364-BP364)</f>
        <v>43.477121895318966</v>
      </c>
      <c r="AI364" s="106">
        <f ca="1">IF(B364=TODAY(),0,BC364+Sheet1!AA364+Calculation!EI364+O364+W364+Sheet1!BN364+Calculation!AI364+Calculation!CZ364-BP364)</f>
        <v>52.906681123969108</v>
      </c>
      <c r="AJ364" s="106"/>
      <c r="AM364" s="102">
        <f t="shared" si="43"/>
        <v>40893</v>
      </c>
      <c r="AN364" s="106"/>
      <c r="AO364" s="106"/>
      <c r="AR364" s="106"/>
      <c r="AT364" s="101">
        <f>Sheet1!AR364*GPMtoMGD</f>
        <v>0</v>
      </c>
      <c r="AU364" s="101">
        <f>Sheet1!AS364*GPMtoMGD</f>
        <v>2.9808000000000001E-2</v>
      </c>
      <c r="AV364" s="101">
        <f>Sheet1!AT364*GPMtoMGD</f>
        <v>0</v>
      </c>
      <c r="AW364" s="101">
        <f>Sheet1!AV364*GPMtoMGD</f>
        <v>0.53481599999999996</v>
      </c>
      <c r="AX364" s="101">
        <f>Sheet1!AW364*GPMtoMGD</f>
        <v>0.53280000000000005</v>
      </c>
      <c r="AY364" s="101">
        <f>Sheet1!AX364*GPMtoMGD</f>
        <v>0</v>
      </c>
      <c r="AZ364" s="101">
        <f>Sheet1!AY364*GPMtoMGD</f>
        <v>0</v>
      </c>
      <c r="BA364" s="101">
        <f>Sheet1!AZ364*GPMtoMGD</f>
        <v>0</v>
      </c>
      <c r="BB364" s="101">
        <f>Sheet1!BP364*GPMtoMGD</f>
        <v>0</v>
      </c>
      <c r="BC364" s="101">
        <f>Sheet1!CO364*GPMtoMGD</f>
        <v>0</v>
      </c>
      <c r="BD364" s="101">
        <f>Sheet1!BO364*GPMtoMGD</f>
        <v>1.6774560000000003</v>
      </c>
      <c r="BE364" s="101">
        <f>Sheet1!BV364*GPMtoMGD</f>
        <v>0.59760000000000002</v>
      </c>
      <c r="BF364" s="101">
        <f>Sheet1!CJ364*GPMtoMGD</f>
        <v>0.20059200000000002</v>
      </c>
      <c r="BG364" s="101">
        <f>Sheet1!CK364*GPMtoMGD</f>
        <v>0.51940799999999998</v>
      </c>
      <c r="BH364" s="101">
        <f>Sheet1!CL364*GPMtoMGD</f>
        <v>0.75916800000000006</v>
      </c>
      <c r="BI364" s="101">
        <f t="shared" si="44"/>
        <v>1.6774560000000003</v>
      </c>
      <c r="BK364" s="106">
        <f>SUM(AT364:BA364,BE364,Sheet1!BU364,'Calculations II'!BC364,Calculation!AG364)</f>
        <v>41.225464771349863</v>
      </c>
      <c r="BM364" s="439">
        <f ca="1">IF(B364=TODAY(),0,IF(AND(Sheet1!BQ364&lt;=11.5,Sheet1!BQ363&gt;Sheet1!BQ364),(MIN(Lookup!$C$119,VLOOKUP(Sheet1!BQ363,Lookup!$B$4:$J$236,2))-VLOOKUP(Sheet1!BQ364,Lookup!$B$4:$J$236,2))/1000000,0))</f>
        <v>0</v>
      </c>
      <c r="BN364" s="439">
        <f ca="1">IF(B364=TODAY(),0,IF(AND(Sheet1!BR364&lt;=11.5,Sheet1!BR363&gt;Sheet1!BR364),(MIN(Lookup!$D$119,VLOOKUP(Sheet1!BR363,Lookup!$B$4:$J$236,3))-VLOOKUP(Sheet1!BR364,Lookup!$B$4:$J$236,3))/1000000,0))</f>
        <v>0</v>
      </c>
      <c r="BP364" s="105">
        <f ca="1">SUM(BM364:BN364,W364,Sheet1!DT364)</f>
        <v>0</v>
      </c>
    </row>
    <row r="365" spans="1:68" s="101" customFormat="1">
      <c r="A365" s="101" t="s">
        <v>8</v>
      </c>
      <c r="B365" s="103">
        <v>40894</v>
      </c>
      <c r="C365" s="104">
        <v>0.33333333333357601</v>
      </c>
      <c r="E365" s="30"/>
      <c r="F365" s="30">
        <f ca="1">IF(B365=TODAY(),0,-(VLOOKUP(Sheet1!BZ365,Lookup!$I$4:$J$216,2)-VLOOKUP(Sheet1!BZ364,Lookup!$I$4:$J$216,2))/1000000)</f>
        <v>0.20727387709559872</v>
      </c>
      <c r="G365" s="106">
        <f ca="1">IF(B365=TODAY(),0,-$G$6*(Sheet1!CB365-Sheet1!CB364)*7.48/1000000)</f>
        <v>3.9713501052559157E-2</v>
      </c>
      <c r="H365" s="106">
        <f ca="1">IF(B365=TODAY(),0,-$G$6*(Sheet1!CC365-Sheet1!CC364)*7.48/1000000)</f>
        <v>-0.71484301894606761</v>
      </c>
      <c r="I365" s="106">
        <f ca="1">IF(B365=TODAY(),0,-$G$6*(Sheet1!CD365-Sheet1!CD364)*7.48/1000000)</f>
        <v>-0.67512951789350772</v>
      </c>
      <c r="J365" s="107" t="s">
        <v>193</v>
      </c>
      <c r="K365" s="106">
        <f ca="1">IF(B365=TODAY(),0,-$I$6*(Sheet1!CD365-Sheet1!CD364)*7.48/1000000)</f>
        <v>-0.30585564327645964</v>
      </c>
      <c r="L365" s="107" t="s">
        <v>193</v>
      </c>
      <c r="M365" s="106">
        <f ca="1">IF(B365=TODAY(),0,-$M$6*(Sheet1!CE365-Sheet1!CE364)*7.48/1000000)</f>
        <v>-0.12660308711471052</v>
      </c>
      <c r="N365" s="106">
        <f ca="1">IF(B365=TODAY(),0,-$N$6*(Sheet1!CF365-Sheet1!CF364)*7.48/1000000)</f>
        <v>0</v>
      </c>
      <c r="O365" s="106">
        <f t="shared" ca="1" si="40"/>
        <v>-1.5754438890825877</v>
      </c>
      <c r="P365" s="106">
        <f ca="1">O365+Calculation!EI365</f>
        <v>-4.2439438890825878</v>
      </c>
      <c r="Q365" s="101" t="str">
        <f>IF(Sheet1!BQ365&gt;21.75,"spill elevation","-")</f>
        <v>-</v>
      </c>
      <c r="R365" s="101" t="str">
        <f>IF(Sheet1!BR365&gt;21.75,"spill elevation","-")</f>
        <v>-</v>
      </c>
      <c r="S365" s="101" t="str">
        <f>IF(Sheet1!BS365&gt;21.75,"spill elevation","-")</f>
        <v>-</v>
      </c>
      <c r="T365" s="105">
        <f>IF(Sheet1!DQ365=1,Sheet1!AA365-(SUM(AT365:BA365)+BE365),Sheet1!AA365-SUM(AT365:BA365))</f>
        <v>26.658064</v>
      </c>
      <c r="U365" s="105">
        <f>Sheet1!BU365</f>
        <v>19.899999999999999</v>
      </c>
      <c r="V365" s="105">
        <f t="shared" si="41"/>
        <v>6.758064000000001</v>
      </c>
      <c r="W365" s="105">
        <f t="shared" si="42"/>
        <v>0</v>
      </c>
      <c r="X365" s="101">
        <f>IF((Sheet1!EX365-Sheet1!EX364)&lt;0,(Sheet1!EX365+100000-Sheet1!EX364)/1000,(Sheet1!EX365-Sheet1!EX364)/1000)</f>
        <v>1.38</v>
      </c>
      <c r="Y365" s="106">
        <f ca="1">Calculation!DZ366+Calculation!EI365+'Calculations II'!O365-'Calculations II'!W365</f>
        <v>52.476056110917412</v>
      </c>
      <c r="Z365" s="106">
        <f ca="1">Y365-Sheet1!CP366</f>
        <v>36.936056110917413</v>
      </c>
      <c r="AA365" s="106">
        <f ca="1">Y365+Calculation!CZ366+Calculation!AI366</f>
        <v>61.209799847495795</v>
      </c>
      <c r="AC365" s="106">
        <f>Sheet1!AA365+Sheet1!AB365+BC365</f>
        <v>56.82</v>
      </c>
      <c r="AD365" s="106">
        <f>Sheet1!AA365+Sheet1!BN365+'Calculations II'!BC365-Calculation!AI365-Calculation!CZ365</f>
        <v>39.014584636774416</v>
      </c>
      <c r="AE365" s="106">
        <f>Sheet1!AA365+Sheet1!AB365+'Calculations II'!BC365-Calculation!AI365-Calculation!CZ365</f>
        <v>47.934584636774417</v>
      </c>
      <c r="AF365" s="106">
        <f ca="1">Sheet1!AA365+Sheet1!BN365+P365+'Calculations II'!BC365+Calculation!AI365+Calculation!CZ365</f>
        <v>52.541471474142995</v>
      </c>
      <c r="AG365" s="106">
        <f ca="1">IF(B365=TODAY(),0,Sheet1!AA365+Sheet1!BN365+'Calculations II'!BC365+'Calculations II'!P365-Sheet1!CP365-BP365)</f>
        <v>27.776056110917409</v>
      </c>
      <c r="AH365" s="106">
        <f ca="1">IF(B365=TODAY(),0,Sheet1!AA365+Sheet1!BN365+'Calculations II'!BC365+'Calculations II'!P365-BP365)</f>
        <v>43.656056110917412</v>
      </c>
      <c r="AI365" s="106">
        <f ca="1">IF(B365=TODAY(),0,BC365+Sheet1!AA365+Calculation!EI365+O365+W365+Sheet1!BN365+Calculation!AI365+Calculation!CZ365-BP365)</f>
        <v>52.541471474142988</v>
      </c>
      <c r="AJ365" s="106"/>
      <c r="AM365" s="102">
        <f t="shared" si="43"/>
        <v>40894</v>
      </c>
      <c r="AN365" s="106"/>
      <c r="AO365" s="106"/>
      <c r="AR365" s="106"/>
      <c r="AT365" s="101">
        <f>Sheet1!AR365*GPMtoMGD</f>
        <v>0</v>
      </c>
      <c r="AU365" s="101">
        <f>Sheet1!AS365*GPMtoMGD</f>
        <v>1.5984000000000002E-2</v>
      </c>
      <c r="AV365" s="101">
        <f>Sheet1!AT365*GPMtoMGD</f>
        <v>0</v>
      </c>
      <c r="AW365" s="101">
        <f>Sheet1!AV365*GPMtoMGD</f>
        <v>0.60192000000000001</v>
      </c>
      <c r="AX365" s="101">
        <f>Sheet1!AW365*GPMtoMGD</f>
        <v>0.72403200000000001</v>
      </c>
      <c r="AY365" s="101">
        <f>Sheet1!AX365*GPMtoMGD</f>
        <v>0</v>
      </c>
      <c r="AZ365" s="101">
        <f>Sheet1!AY365*GPMtoMGD</f>
        <v>0</v>
      </c>
      <c r="BA365" s="101">
        <f>Sheet1!AZ365*GPMtoMGD</f>
        <v>0</v>
      </c>
      <c r="BB365" s="101">
        <f>Sheet1!BP365*GPMtoMGD</f>
        <v>0</v>
      </c>
      <c r="BC365" s="101">
        <f>Sheet1!CO365*GPMtoMGD</f>
        <v>0</v>
      </c>
      <c r="BD365" s="101">
        <f>Sheet1!BO365*GPMtoMGD</f>
        <v>2.4104160000000001</v>
      </c>
      <c r="BE365" s="101">
        <f>Sheet1!BV365*GPMtoMGD</f>
        <v>0.62395200000000006</v>
      </c>
      <c r="BF365" s="101">
        <f>Sheet1!CJ365*GPMtoMGD</f>
        <v>3.2400000000000005E-2</v>
      </c>
      <c r="BG365" s="101">
        <f>Sheet1!CK365*GPMtoMGD</f>
        <v>0.58507200000000004</v>
      </c>
      <c r="BH365" s="101">
        <f>Sheet1!CL365*GPMtoMGD</f>
        <v>0.73195200000000005</v>
      </c>
      <c r="BI365" s="101">
        <f t="shared" si="44"/>
        <v>2.4104160000000001</v>
      </c>
      <c r="BK365" s="106">
        <f>SUM(AT365:BA365,BE365,Sheet1!BU365,'Calculations II'!BC365,Calculation!AG365)</f>
        <v>41.800472636774415</v>
      </c>
      <c r="BM365" s="439">
        <f ca="1">IF(B365=TODAY(),0,IF(AND(Sheet1!BQ365&lt;=11.5,Sheet1!BQ364&gt;Sheet1!BQ365),(MIN(Lookup!$C$119,VLOOKUP(Sheet1!BQ364,Lookup!$B$4:$J$236,2))-VLOOKUP(Sheet1!BQ365,Lookup!$B$4:$J$236,2))/1000000,0))</f>
        <v>0</v>
      </c>
      <c r="BN365" s="439">
        <f ca="1">IF(B365=TODAY(),0,IF(AND(Sheet1!BR365&lt;=11.5,Sheet1!BR364&gt;Sheet1!BR365),(MIN(Lookup!$D$119,VLOOKUP(Sheet1!BR364,Lookup!$B$4:$J$236,3))-VLOOKUP(Sheet1!BR365,Lookup!$B$4:$J$236,3))/1000000,0))</f>
        <v>0</v>
      </c>
      <c r="BP365" s="105">
        <f ca="1">SUM(BM365:BN365,W365,Sheet1!DT365)</f>
        <v>0</v>
      </c>
    </row>
    <row r="366" spans="1:68" s="101" customFormat="1">
      <c r="A366" s="101" t="s">
        <v>9</v>
      </c>
      <c r="B366" s="103">
        <v>40895</v>
      </c>
      <c r="C366" s="104">
        <v>0.33333333333357601</v>
      </c>
      <c r="E366" s="30"/>
      <c r="F366" s="30">
        <f ca="1">IF(B366=TODAY(),0,-(VLOOKUP(Sheet1!BZ366,Lookup!$I$4:$J$216,2)-VLOOKUP(Sheet1!BZ365,Lookup!$I$4:$J$216,2))/1000000)</f>
        <v>0</v>
      </c>
      <c r="G366" s="106">
        <f ca="1">IF(B366=TODAY(),0,-$G$6*(Sheet1!CB366-Sheet1!CB365)*7.48/1000000)</f>
        <v>0.31770800842047398</v>
      </c>
      <c r="H366" s="106">
        <f ca="1">IF(B366=TODAY(),0,-$G$6*(Sheet1!CC366-Sheet1!CC365)*7.48/1000000)</f>
        <v>0.91341052420886415</v>
      </c>
      <c r="I366" s="106">
        <f ca="1">IF(B366=TODAY(),0,-$G$6*(Sheet1!CD366-Sheet1!CD365)*7.48/1000000)</f>
        <v>0.87369702315630426</v>
      </c>
      <c r="J366" s="107" t="s">
        <v>193</v>
      </c>
      <c r="K366" s="106">
        <f ca="1">IF(B366=TODAY(),0,-$I$6*(Sheet1!CD366-Sheet1!CD365)*7.48/1000000)</f>
        <v>0.39581318541659494</v>
      </c>
      <c r="L366" s="107" t="s">
        <v>193</v>
      </c>
      <c r="M366" s="106">
        <f ca="1">IF(B366=TODAY(),0,-$M$6*(Sheet1!CE366-Sheet1!CE365)*7.48/1000000)</f>
        <v>0.15991968898700273</v>
      </c>
      <c r="N366" s="106">
        <f ca="1">IF(B366=TODAY(),0,-$N$6*(Sheet1!CF366-Sheet1!CF365)*7.48/1000000)</f>
        <v>6.2052345394623676E-2</v>
      </c>
      <c r="O366" s="106">
        <f t="shared" ca="1" si="40"/>
        <v>2.7226007755838637</v>
      </c>
      <c r="P366" s="106">
        <f ca="1">O366+Calculation!EI366</f>
        <v>-2.4060992244161366</v>
      </c>
      <c r="Q366" s="101" t="str">
        <f>IF(Sheet1!BQ366&gt;21.75,"spill elevation","-")</f>
        <v>-</v>
      </c>
      <c r="R366" s="101" t="str">
        <f>IF(Sheet1!BR366&gt;21.75,"spill elevation","-")</f>
        <v>-</v>
      </c>
      <c r="S366" s="101" t="str">
        <f>IF(Sheet1!BS366&gt;21.75,"spill elevation","-")</f>
        <v>-</v>
      </c>
      <c r="T366" s="105">
        <f>IF(Sheet1!DQ366=1,Sheet1!AA366-(SUM(AT366:BA366)+BE366),Sheet1!AA366-SUM(AT366:BA366))</f>
        <v>27.418176000000003</v>
      </c>
      <c r="U366" s="105">
        <f>Sheet1!BU366</f>
        <v>18.5</v>
      </c>
      <c r="V366" s="105">
        <f t="shared" si="41"/>
        <v>8.9181760000000025</v>
      </c>
      <c r="W366" s="105">
        <f t="shared" si="42"/>
        <v>0</v>
      </c>
      <c r="X366" s="101">
        <f>IF((Sheet1!EX366-Sheet1!EX365)&lt;0,(Sheet1!EX366+100000-Sheet1!EX365)/1000,(Sheet1!EX366-Sheet1!EX365)/1000)</f>
        <v>1.3680000000000001</v>
      </c>
      <c r="Y366" s="106">
        <f ca="1">Calculation!DZ367+Calculation!EI366+'Calculations II'!O366-'Calculations II'!W366</f>
        <v>53.763900775583863</v>
      </c>
      <c r="Z366" s="106">
        <f ca="1">Y366-Sheet1!CP367</f>
        <v>37.853900775583867</v>
      </c>
      <c r="AA366" s="106">
        <f ca="1">Y366+Calculation!CZ367+Calculation!AI367</f>
        <v>62.509065940749025</v>
      </c>
      <c r="AC366" s="106">
        <f>Sheet1!AA366+Sheet1!AB366+BC366</f>
        <v>56.72</v>
      </c>
      <c r="AD366" s="106">
        <f>Sheet1!AA366+Sheet1!BN366+'Calculations II'!BC366-Calculation!AI366-Calculation!CZ366</f>
        <v>39.266256263421617</v>
      </c>
      <c r="AE366" s="106">
        <f>Sheet1!AA366+Sheet1!AB366+'Calculations II'!BC366-Calculation!AI366-Calculation!CZ366</f>
        <v>47.986256263421616</v>
      </c>
      <c r="AF366" s="106">
        <f ca="1">Sheet1!AA366+Sheet1!BN366+P366+'Calculations II'!BC366+Calculation!AI366+Calculation!CZ366</f>
        <v>54.327644512162244</v>
      </c>
      <c r="AG366" s="106">
        <f ca="1">IF(B366=TODAY(),0,Sheet1!AA366+Sheet1!BN366+'Calculations II'!BC366+'Calculations II'!P366-Sheet1!CP366-BP366)</f>
        <v>30.053900775583863</v>
      </c>
      <c r="AH366" s="106">
        <f ca="1">IF(B366=TODAY(),0,Sheet1!AA366+Sheet1!BN366+'Calculations II'!BC366+'Calculations II'!P366-BP366)</f>
        <v>45.593900775583862</v>
      </c>
      <c r="AI366" s="106">
        <f ca="1">IF(B366=TODAY(),0,BC366+Sheet1!AA366+Calculation!EI366+O366+W366+Sheet1!BN366+Calculation!AI366+Calculation!CZ366-BP366)</f>
        <v>54.327644512162244</v>
      </c>
      <c r="AJ366" s="106"/>
      <c r="AM366" s="102">
        <f t="shared" si="43"/>
        <v>40895</v>
      </c>
      <c r="AN366" s="106"/>
      <c r="AO366" s="106"/>
      <c r="AR366" s="106"/>
      <c r="AT366" s="101">
        <f>Sheet1!AR366*GPMtoMGD</f>
        <v>0</v>
      </c>
      <c r="AU366" s="101">
        <f>Sheet1!AS366*GPMtoMGD</f>
        <v>1.584E-2</v>
      </c>
      <c r="AV366" s="101">
        <f>Sheet1!AT366*GPMtoMGD</f>
        <v>0</v>
      </c>
      <c r="AW366" s="101">
        <f>Sheet1!AV366*GPMtoMGD</f>
        <v>0.68630400000000003</v>
      </c>
      <c r="AX366" s="101">
        <f>Sheet1!AW366*GPMtoMGD</f>
        <v>0.67968000000000006</v>
      </c>
      <c r="AY366" s="101">
        <f>Sheet1!AX366*GPMtoMGD</f>
        <v>0</v>
      </c>
      <c r="AZ366" s="101">
        <f>Sheet1!AY366*GPMtoMGD</f>
        <v>0</v>
      </c>
      <c r="BA366" s="101">
        <f>Sheet1!AZ366*GPMtoMGD</f>
        <v>0</v>
      </c>
      <c r="BB366" s="101">
        <f>Sheet1!BP366*GPMtoMGD</f>
        <v>0</v>
      </c>
      <c r="BC366" s="101">
        <f>Sheet1!CO366*GPMtoMGD</f>
        <v>0</v>
      </c>
      <c r="BD366" s="101">
        <f>Sheet1!BO366*GPMtoMGD</f>
        <v>1.256256</v>
      </c>
      <c r="BE366" s="101">
        <f>Sheet1!BV366*GPMtoMGD</f>
        <v>0.62179200000000001</v>
      </c>
      <c r="BF366" s="101">
        <f>Sheet1!CJ366*GPMtoMGD</f>
        <v>0.34632000000000002</v>
      </c>
      <c r="BG366" s="101">
        <f>Sheet1!CK366*GPMtoMGD</f>
        <v>0.58176000000000005</v>
      </c>
      <c r="BH366" s="101">
        <f>Sheet1!CL366*GPMtoMGD</f>
        <v>0.73929600000000006</v>
      </c>
      <c r="BI366" s="101">
        <f t="shared" si="44"/>
        <v>1.256256</v>
      </c>
      <c r="BK366" s="106">
        <f>SUM(AT366:BA366,BE366,Sheet1!BU366,'Calculations II'!BC366,Calculation!AG366)</f>
        <v>39.68987226342162</v>
      </c>
      <c r="BM366" s="439">
        <f ca="1">IF(B366=TODAY(),0,IF(AND(Sheet1!BQ366&lt;=11.5,Sheet1!BQ365&gt;Sheet1!BQ366),(MIN(Lookup!$C$119,VLOOKUP(Sheet1!BQ365,Lookup!$B$4:$J$236,2))-VLOOKUP(Sheet1!BQ366,Lookup!$B$4:$J$236,2))/1000000,0))</f>
        <v>0</v>
      </c>
      <c r="BN366" s="439">
        <f ca="1">IF(B366=TODAY(),0,IF(AND(Sheet1!BR366&lt;=11.5,Sheet1!BR365&gt;Sheet1!BR366),(MIN(Lookup!$D$119,VLOOKUP(Sheet1!BR365,Lookup!$B$4:$J$236,3))-VLOOKUP(Sheet1!BR366,Lookup!$B$4:$J$236,3))/1000000,0))</f>
        <v>0</v>
      </c>
      <c r="BP366" s="105">
        <f ca="1">SUM(BM366:BN366,W366,Sheet1!DT366)</f>
        <v>0</v>
      </c>
    </row>
    <row r="367" spans="1:68" s="101" customFormat="1">
      <c r="A367" s="101" t="s">
        <v>3</v>
      </c>
      <c r="B367" s="103">
        <v>40896</v>
      </c>
      <c r="C367" s="104">
        <v>0.33333333333357601</v>
      </c>
      <c r="E367" s="30"/>
      <c r="F367" s="30">
        <f ca="1">IF(B367=TODAY(),0,-(VLOOKUP(Sheet1!BZ367,Lookup!$I$4:$J$216,2)-VLOOKUP(Sheet1!BZ366,Lookup!$I$4:$J$216,2))/1000000)</f>
        <v>-0.20727387709559872</v>
      </c>
      <c r="G367" s="106">
        <f ca="1">IF(B367=TODAY(),0,-$G$6*(Sheet1!CB367-Sheet1!CB366)*7.48/1000000)</f>
        <v>8.736970231563071E-2</v>
      </c>
      <c r="H367" s="106">
        <f ca="1">IF(B367=TODAY(),0,-$G$6*(Sheet1!CC367-Sheet1!CC366)*7.48/1000000)</f>
        <v>-0.38522096020982544</v>
      </c>
      <c r="I367" s="106">
        <f ca="1">IF(B367=TODAY(),0,-$G$6*(Sheet1!CD367-Sheet1!CD366)*7.48/1000000)</f>
        <v>-0.34947880926252145</v>
      </c>
      <c r="J367" s="107" t="s">
        <v>193</v>
      </c>
      <c r="K367" s="106">
        <f ca="1">IF(B367=TODAY(),0,-$I$6*(Sheet1!CD367-Sheet1!CD366)*7.48/1000000)</f>
        <v>-0.15832527416663786</v>
      </c>
      <c r="L367" s="107" t="s">
        <v>193</v>
      </c>
      <c r="M367" s="106">
        <f ca="1">IF(B367=TODAY(),0,-$M$6*(Sheet1!CE367-Sheet1!CE366)*7.48/1000000)</f>
        <v>-7.1297528006705357E-2</v>
      </c>
      <c r="N367" s="106">
        <f ca="1">IF(B367=TODAY(),0,-$N$6*(Sheet1!CF367-Sheet1!CF366)*7.48/1000000)</f>
        <v>-0.14272039440763412</v>
      </c>
      <c r="O367" s="106">
        <f t="shared" ca="1" si="40"/>
        <v>-1.2269471408332921</v>
      </c>
      <c r="P367" s="106">
        <f ca="1">O367+Calculation!EI367</f>
        <v>-3.6785471408332922</v>
      </c>
      <c r="Q367" s="101" t="str">
        <f>IF(Sheet1!BQ367&gt;21.75,"spill elevation","-")</f>
        <v>-</v>
      </c>
      <c r="R367" s="101" t="str">
        <f>IF(Sheet1!BR367&gt;21.75,"spill elevation","-")</f>
        <v>-</v>
      </c>
      <c r="S367" s="101" t="str">
        <f>IF(Sheet1!BS367&gt;21.75,"spill elevation","-")</f>
        <v>-</v>
      </c>
      <c r="T367" s="105">
        <f>IF(Sheet1!DQ367=1,Sheet1!AA367-(SUM(AT367:BA367)+BE367),Sheet1!AA367-SUM(AT367:BA367))</f>
        <v>27.840816</v>
      </c>
      <c r="U367" s="105">
        <f>Sheet1!BU367</f>
        <v>21</v>
      </c>
      <c r="V367" s="105">
        <f t="shared" si="41"/>
        <v>6.8408160000000002</v>
      </c>
      <c r="W367" s="105">
        <f t="shared" si="42"/>
        <v>0</v>
      </c>
      <c r="X367" s="101">
        <f>IF((Sheet1!EX367-Sheet1!EX366)&lt;0,(Sheet1!EX367+100000-Sheet1!EX366)/1000,(Sheet1!EX367-Sheet1!EX366)/1000)</f>
        <v>1.377</v>
      </c>
      <c r="Y367" s="106">
        <f ca="1">Calculation!DZ368+Calculation!EI367+'Calculations II'!O367-'Calculations II'!W367</f>
        <v>51.231452859166708</v>
      </c>
      <c r="Z367" s="106">
        <f ca="1">Y367-Sheet1!CP368</f>
        <v>36.191452859166709</v>
      </c>
      <c r="AA367" s="106">
        <f ca="1">Y367+Calculation!CZ368+Calculation!AI368</f>
        <v>59.837616187363935</v>
      </c>
      <c r="AC367" s="106">
        <f>Sheet1!AA367+Sheet1!AB367+BC367</f>
        <v>56.17</v>
      </c>
      <c r="AD367" s="106">
        <f>Sheet1!AA367+Sheet1!BN367+'Calculations II'!BC367-Calculation!AI367-Calculation!CZ367</f>
        <v>38.244834834834833</v>
      </c>
      <c r="AE367" s="106">
        <f>Sheet1!AA367+Sheet1!AB367+'Calculations II'!BC367-Calculation!AI367-Calculation!CZ367</f>
        <v>47.42483483483484</v>
      </c>
      <c r="AF367" s="106">
        <f ca="1">Sheet1!AA367+Sheet1!BN367+P367+'Calculations II'!BC367+Calculation!AI367+Calculation!CZ367</f>
        <v>52.056618024331868</v>
      </c>
      <c r="AG367" s="106">
        <f ca="1">IF(B367=TODAY(),0,Sheet1!AA367+Sheet1!BN367+'Calculations II'!BC367+'Calculations II'!P367-Sheet1!CP367-BP367)</f>
        <v>27.401452859166707</v>
      </c>
      <c r="AH367" s="106">
        <f ca="1">IF(B367=TODAY(),0,Sheet1!AA367+Sheet1!BN367+'Calculations II'!BC367+'Calculations II'!P367-BP367)</f>
        <v>43.311452859166707</v>
      </c>
      <c r="AI367" s="106">
        <f ca="1">IF(B367=TODAY(),0,BC367+Sheet1!AA367+Calculation!EI367+O367+W367+Sheet1!BN367+Calculation!AI367+Calculation!CZ367-BP367)</f>
        <v>52.056618024331868</v>
      </c>
      <c r="AJ367" s="106"/>
      <c r="AM367" s="102">
        <f t="shared" si="43"/>
        <v>40896</v>
      </c>
      <c r="AN367" s="106"/>
      <c r="AO367" s="106"/>
      <c r="AR367" s="106"/>
      <c r="AT367" s="101">
        <f>Sheet1!AR367*GPMtoMGD</f>
        <v>0</v>
      </c>
      <c r="AU367" s="101">
        <f>Sheet1!AS367*GPMtoMGD</f>
        <v>1.5408E-2</v>
      </c>
      <c r="AV367" s="101">
        <f>Sheet1!AT367*GPMtoMGD</f>
        <v>0</v>
      </c>
      <c r="AW367" s="101">
        <f>Sheet1!AV367*GPMtoMGD</f>
        <v>0.47001599999999999</v>
      </c>
      <c r="AX367" s="101">
        <f>Sheet1!AW367*GPMtoMGD</f>
        <v>0.51206400000000007</v>
      </c>
      <c r="AY367" s="101">
        <f>Sheet1!AX367*GPMtoMGD</f>
        <v>5.1695999999999999E-2</v>
      </c>
      <c r="AZ367" s="101">
        <f>Sheet1!AY367*GPMtoMGD</f>
        <v>0</v>
      </c>
      <c r="BA367" s="101">
        <f>Sheet1!AZ367*GPMtoMGD</f>
        <v>0</v>
      </c>
      <c r="BB367" s="101">
        <f>Sheet1!BP367*GPMtoMGD</f>
        <v>0</v>
      </c>
      <c r="BC367" s="101">
        <f>Sheet1!CO367*GPMtoMGD</f>
        <v>0</v>
      </c>
      <c r="BD367" s="101">
        <f>Sheet1!BO367*GPMtoMGD</f>
        <v>2.1399840000000001</v>
      </c>
      <c r="BE367" s="101">
        <f>Sheet1!BV367*GPMtoMGD</f>
        <v>0.58910400000000007</v>
      </c>
      <c r="BF367" s="101">
        <f>Sheet1!CJ367*GPMtoMGD</f>
        <v>0.25862400000000002</v>
      </c>
      <c r="BG367" s="101">
        <f>Sheet1!CK367*GPMtoMGD</f>
        <v>0.53942400000000001</v>
      </c>
      <c r="BH367" s="101">
        <f>Sheet1!CL367*GPMtoMGD</f>
        <v>0.76939199999999996</v>
      </c>
      <c r="BI367" s="101">
        <f t="shared" si="44"/>
        <v>2.1399840000000001</v>
      </c>
      <c r="BK367" s="106">
        <f>SUM(AT367:BA367,BE367,Sheet1!BU367,'Calculations II'!BC367,Calculation!AG367)</f>
        <v>41.173122834834835</v>
      </c>
      <c r="BM367" s="439">
        <f ca="1">IF(B367=TODAY(),0,IF(AND(Sheet1!BQ367&lt;=11.5,Sheet1!BQ366&gt;Sheet1!BQ367),(MIN(Lookup!$C$119,VLOOKUP(Sheet1!BQ366,Lookup!$B$4:$J$236,2))-VLOOKUP(Sheet1!BQ367,Lookup!$B$4:$J$236,2))/1000000,0))</f>
        <v>0</v>
      </c>
      <c r="BN367" s="439">
        <f ca="1">IF(B367=TODAY(),0,IF(AND(Sheet1!BR367&lt;=11.5,Sheet1!BR366&gt;Sheet1!BR367),(MIN(Lookup!$D$119,VLOOKUP(Sheet1!BR366,Lookup!$B$4:$J$236,3))-VLOOKUP(Sheet1!BR367,Lookup!$B$4:$J$236,3))/1000000,0))</f>
        <v>0</v>
      </c>
      <c r="BP367" s="105">
        <f ca="1">SUM(BM367:BN367,W367,Sheet1!DT367)</f>
        <v>0</v>
      </c>
    </row>
    <row r="368" spans="1:68" s="101" customFormat="1">
      <c r="A368" s="101" t="s">
        <v>4</v>
      </c>
      <c r="B368" s="103">
        <v>40897</v>
      </c>
      <c r="C368" s="104">
        <v>0.33333333333357601</v>
      </c>
      <c r="E368" s="30"/>
      <c r="F368" s="30">
        <f ca="1">IF(B368=TODAY(),0,-(VLOOKUP(Sheet1!BZ368,Lookup!$I$4:$J$216,2)-VLOOKUP(Sheet1!BZ367,Lookup!$I$4:$J$216,2))/1000000)</f>
        <v>-0.20727387709559872</v>
      </c>
      <c r="G368" s="106">
        <f ca="1">IF(B368=TODAY(),0,-$G$6*(Sheet1!CB368-Sheet1!CB367)*7.48/1000000)</f>
        <v>0.25416640673637975</v>
      </c>
      <c r="H368" s="106">
        <f ca="1">IF(B368=TODAY(),0,-$G$6*(Sheet1!CC368-Sheet1!CC367)*7.48/1000000)</f>
        <v>3.9713501052559157E-2</v>
      </c>
      <c r="I368" s="106">
        <f ca="1">IF(B368=TODAY(),0,-$G$6*(Sheet1!CD368-Sheet1!CD367)*7.48/1000000)</f>
        <v>3.1770800842047468E-2</v>
      </c>
      <c r="J368" s="107" t="s">
        <v>193</v>
      </c>
      <c r="K368" s="106">
        <f ca="1">IF(B368=TODAY(),0,-$I$6*(Sheet1!CD368-Sheet1!CD367)*7.48/1000000)</f>
        <v>1.4393206742421649E-2</v>
      </c>
      <c r="L368" s="107" t="s">
        <v>193</v>
      </c>
      <c r="M368" s="106">
        <f ca="1">IF(B368=TODAY(),0,-$M$6*(Sheet1!CE368-Sheet1!CE367)*7.48/1000000)</f>
        <v>8.6623164867959089E-3</v>
      </c>
      <c r="N368" s="106">
        <f ca="1">IF(B368=TODAY(),0,-$N$6*(Sheet1!CF368-Sheet1!CF367)*7.48/1000000)</f>
        <v>-1.2410469078925616E-2</v>
      </c>
      <c r="O368" s="106">
        <f t="shared" ca="1" si="40"/>
        <v>0.1290218856856796</v>
      </c>
      <c r="P368" s="106">
        <f ca="1">O368+Calculation!EI368</f>
        <v>-2.3335781143143204</v>
      </c>
      <c r="Q368" s="101" t="str">
        <f>IF(Sheet1!BQ368&gt;21.75,"spill elevation","-")</f>
        <v>-</v>
      </c>
      <c r="R368" s="101" t="str">
        <f>IF(Sheet1!BR368&gt;21.75,"spill elevation","-")</f>
        <v>-</v>
      </c>
      <c r="S368" s="101" t="str">
        <f>IF(Sheet1!BS368&gt;21.75,"spill elevation","-")</f>
        <v>-</v>
      </c>
      <c r="T368" s="105">
        <f>IF(Sheet1!DQ368=1,Sheet1!AA368-(SUM(AT368:BA368)+BE368),Sheet1!AA368-SUM(AT368:BA368))</f>
        <v>27.978687999999998</v>
      </c>
      <c r="U368" s="105">
        <f>Sheet1!BU368</f>
        <v>21.1</v>
      </c>
      <c r="V368" s="105">
        <f t="shared" si="41"/>
        <v>6.8786879999999968</v>
      </c>
      <c r="W368" s="105">
        <f t="shared" si="42"/>
        <v>0</v>
      </c>
      <c r="X368" s="101">
        <f>IF((Sheet1!EX368-Sheet1!EX367)&lt;0,(Sheet1!EX368+100000-Sheet1!EX367)/1000,(Sheet1!EX368-Sheet1!EX367)/1000)</f>
        <v>1.4119999999999999</v>
      </c>
      <c r="Y368" s="106">
        <f ca="1">Calculation!DZ369+Calculation!EI368+'Calculations II'!O368-'Calculations II'!W368</f>
        <v>51.556421885679853</v>
      </c>
      <c r="Z368" s="106">
        <f ca="1">Y368-Sheet1!CP369</f>
        <v>36.736421885679853</v>
      </c>
      <c r="AA368" s="106">
        <f ca="1">Y368+Calculation!CZ369+Calculation!AI369</f>
        <v>60.113270103541282</v>
      </c>
      <c r="AC368" s="106">
        <f>Sheet1!AA368+Sheet1!AB368+BC368</f>
        <v>54.91</v>
      </c>
      <c r="AD368" s="106">
        <f>Sheet1!AA368+Sheet1!BN368+'Calculations II'!BC368-Calculation!AI368-Calculation!CZ368</f>
        <v>37.603836671802767</v>
      </c>
      <c r="AE368" s="106">
        <f>Sheet1!AA368+Sheet1!AB368+'Calculations II'!BC368-Calculation!AI368-Calculation!CZ368</f>
        <v>46.30383667180277</v>
      </c>
      <c r="AF368" s="106">
        <f ca="1">Sheet1!AA368+Sheet1!BN368+P368+'Calculations II'!BC368+Calculation!AI368+Calculation!CZ368</f>
        <v>52.482585213882899</v>
      </c>
      <c r="AG368" s="106">
        <f ca="1">IF(B368=TODAY(),0,Sheet1!AA368+Sheet1!BN368+'Calculations II'!BC368+'Calculations II'!P368-Sheet1!CP368-BP368)</f>
        <v>28.836421885685674</v>
      </c>
      <c r="AH368" s="106">
        <f ca="1">IF(B368=TODAY(),0,Sheet1!AA368+Sheet1!BN368+'Calculations II'!BC368+'Calculations II'!P368-BP368)</f>
        <v>43.876421885685673</v>
      </c>
      <c r="AI368" s="106">
        <f ca="1">IF(B368=TODAY(),0,BC368+Sheet1!AA368+Calculation!EI368+O368+W368+Sheet1!BN368+Calculation!AI368+Calculation!CZ368-BP368)</f>
        <v>52.482585213882906</v>
      </c>
      <c r="AJ368" s="106"/>
      <c r="AM368" s="102">
        <f t="shared" si="43"/>
        <v>40897</v>
      </c>
      <c r="AN368" s="106"/>
      <c r="AO368" s="106"/>
      <c r="AR368" s="106"/>
      <c r="AT368" s="101">
        <f>Sheet1!AR368*GPMtoMGD</f>
        <v>0</v>
      </c>
      <c r="AU368" s="101">
        <f>Sheet1!AS368*GPMtoMGD</f>
        <v>1.7136000000000002E-2</v>
      </c>
      <c r="AV368" s="101">
        <f>Sheet1!AT368*GPMtoMGD</f>
        <v>0</v>
      </c>
      <c r="AW368" s="101">
        <f>Sheet1!AV368*GPMtoMGD</f>
        <v>0.36115200000000003</v>
      </c>
      <c r="AX368" s="101">
        <f>Sheet1!AW368*GPMtoMGD</f>
        <v>0.45302400000000004</v>
      </c>
      <c r="AY368" s="101">
        <f>Sheet1!AX368*GPMtoMGD</f>
        <v>0</v>
      </c>
      <c r="AZ368" s="101">
        <f>Sheet1!AY368*GPMtoMGD</f>
        <v>0</v>
      </c>
      <c r="BA368" s="101">
        <f>Sheet1!AZ368*GPMtoMGD</f>
        <v>0</v>
      </c>
      <c r="BB368" s="101">
        <f>Sheet1!BP368*GPMtoMGD</f>
        <v>5.4720000000000003E-3</v>
      </c>
      <c r="BC368" s="101">
        <f>Sheet1!CO368*GPMtoMGD</f>
        <v>0</v>
      </c>
      <c r="BD368" s="101">
        <f>Sheet1!BO368*GPMtoMGD</f>
        <v>1.631664</v>
      </c>
      <c r="BE368" s="101">
        <f>Sheet1!BV368*GPMtoMGD</f>
        <v>0.56303999999999998</v>
      </c>
      <c r="BF368" s="101">
        <f>Sheet1!CJ368*GPMtoMGD</f>
        <v>0.2772</v>
      </c>
      <c r="BG368" s="101">
        <f>Sheet1!CK368*GPMtoMGD</f>
        <v>0.5243040000000001</v>
      </c>
      <c r="BH368" s="101">
        <f>Sheet1!CL368*GPMtoMGD</f>
        <v>0.769536</v>
      </c>
      <c r="BI368" s="101">
        <f t="shared" si="44"/>
        <v>1.6371359999999999</v>
      </c>
      <c r="BK368" s="106">
        <f>SUM(AT368:BA368,BE368,Sheet1!BU368,'Calculations II'!BC368,Calculation!AG368)</f>
        <v>39.988188671802774</v>
      </c>
      <c r="BM368" s="439">
        <f ca="1">IF(B368=TODAY(),0,IF(AND(Sheet1!BQ368&lt;=11.5,Sheet1!BQ367&gt;Sheet1!BQ368),(MIN(Lookup!$C$119,VLOOKUP(Sheet1!BQ367,Lookup!$B$4:$J$236,2))-VLOOKUP(Sheet1!BQ368,Lookup!$B$4:$J$236,2))/1000000,0))</f>
        <v>0</v>
      </c>
      <c r="BN368" s="439">
        <f ca="1">IF(B368=TODAY(),0,IF(AND(Sheet1!BR368&lt;=11.5,Sheet1!BR367&gt;Sheet1!BR368),(MIN(Lookup!$D$119,VLOOKUP(Sheet1!BR367,Lookup!$B$4:$J$236,3))-VLOOKUP(Sheet1!BR368,Lookup!$B$4:$J$236,3))/1000000,0))</f>
        <v>0</v>
      </c>
      <c r="BP368" s="105">
        <f ca="1">SUM(BM368:BN368,W368,Sheet1!DT368)</f>
        <v>0</v>
      </c>
    </row>
    <row r="369" spans="1:68" s="101" customFormat="1">
      <c r="A369" s="101" t="s">
        <v>5</v>
      </c>
      <c r="B369" s="103">
        <v>40898</v>
      </c>
      <c r="C369" s="104">
        <v>0.33333333333357601</v>
      </c>
      <c r="E369" s="30"/>
      <c r="F369" s="30">
        <f ca="1">IF(B369=TODAY(),0,-(VLOOKUP(Sheet1!BZ369,Lookup!$I$4:$J$216,2)-VLOOKUP(Sheet1!BZ368,Lookup!$I$4:$J$216,2))/1000000)</f>
        <v>-0.31091081564340367</v>
      </c>
      <c r="G369" s="106">
        <f ca="1">IF(B369=TODAY(),0,-$G$6*(Sheet1!CB369-Sheet1!CB368)*7.48/1000000)</f>
        <v>-0.19459615515754064</v>
      </c>
      <c r="H369" s="106">
        <f ca="1">IF(B369=TODAY(),0,-$G$6*(Sheet1!CC369-Sheet1!CC368)*7.48/1000000)</f>
        <v>-0.16679670442074904</v>
      </c>
      <c r="I369" s="106">
        <f ca="1">IF(B369=TODAY(),0,-$G$6*(Sheet1!CD369-Sheet1!CD368)*7.48/1000000)</f>
        <v>-0.16679670442074904</v>
      </c>
      <c r="J369" s="107" t="s">
        <v>193</v>
      </c>
      <c r="K369" s="106">
        <f ca="1">IF(B369=TODAY(),0,-$I$6*(Sheet1!CD369-Sheet1!CD368)*7.48/1000000)</f>
        <v>-7.5564335397713581E-2</v>
      </c>
      <c r="L369" s="107" t="s">
        <v>193</v>
      </c>
      <c r="M369" s="106">
        <f ca="1">IF(B369=TODAY(),0,-$M$6*(Sheet1!CE369-Sheet1!CE368)*7.48/1000000)</f>
        <v>-2.9318609647617233E-2</v>
      </c>
      <c r="N369" s="106">
        <f ca="1">IF(B369=TODAY(),0,-$N$6*(Sheet1!CF369-Sheet1!CF368)*7.48/1000000)</f>
        <v>-1.2410469078924517E-2</v>
      </c>
      <c r="O369" s="106">
        <f t="shared" ca="1" si="40"/>
        <v>-0.95639379376669764</v>
      </c>
      <c r="P369" s="106">
        <f ca="1">O369+Calculation!EI369</f>
        <v>-2.3241937937666974</v>
      </c>
      <c r="Q369" s="101" t="str">
        <f>IF(Sheet1!BQ369&gt;21.75,"spill elevation","-")</f>
        <v>-</v>
      </c>
      <c r="R369" s="101" t="str">
        <f>IF(Sheet1!BR369&gt;21.75,"spill elevation","-")</f>
        <v>-</v>
      </c>
      <c r="S369" s="101" t="str">
        <f>IF(Sheet1!BS369&gt;21.75,"spill elevation","-")</f>
        <v>-</v>
      </c>
      <c r="T369" s="105">
        <f>IF(Sheet1!DQ369=1,Sheet1!AA369-(SUM(AT369:BA369)+BE369),Sheet1!AA369-SUM(AT369:BA369))</f>
        <v>27.80156799999418</v>
      </c>
      <c r="U369" s="105">
        <f>Sheet1!BU369</f>
        <v>22</v>
      </c>
      <c r="V369" s="105">
        <f t="shared" si="41"/>
        <v>5.8015679999941803</v>
      </c>
      <c r="W369" s="105">
        <f t="shared" si="42"/>
        <v>0</v>
      </c>
      <c r="X369" s="101">
        <f>IF((Sheet1!EX369-Sheet1!EX368)&lt;0,(Sheet1!EX369+100000-Sheet1!EX368)/1000,(Sheet1!EX369-Sheet1!EX368)/1000)</f>
        <v>1.556</v>
      </c>
      <c r="Y369" s="106">
        <f ca="1">Calculation!DZ370+Calculation!EI369+'Calculations II'!O369-'Calculations II'!W369</f>
        <v>50.675806206233297</v>
      </c>
      <c r="Z369" s="106">
        <f ca="1">Y369-Sheet1!CP370</f>
        <v>34.755806206233295</v>
      </c>
      <c r="AA369" s="106">
        <f ca="1">Y369+Calculation!CZ370+Calculation!AI370</f>
        <v>59.275806206233298</v>
      </c>
      <c r="AC369" s="106">
        <f>Sheet1!AA369+Sheet1!AB369+BC369</f>
        <v>53.889999999994174</v>
      </c>
      <c r="AD369" s="106">
        <f>Sheet1!AA369+Sheet1!BN369+'Calculations II'!BC369-Calculation!AI369-Calculation!CZ369</f>
        <v>36.763151782132752</v>
      </c>
      <c r="AE369" s="106">
        <f>Sheet1!AA369+Sheet1!AB369+'Calculations II'!BC369-Calculation!AI369-Calculation!CZ369</f>
        <v>45.333151782132745</v>
      </c>
      <c r="AF369" s="106">
        <f ca="1">Sheet1!AA369+Sheet1!BN369+P369+'Calculations II'!BC369+Calculation!AI369+Calculation!CZ369</f>
        <v>51.552654424088914</v>
      </c>
      <c r="AG369" s="106">
        <f ca="1">IF(B369=TODAY(),0,Sheet1!AA369+Sheet1!BN369+'Calculations II'!BC369+'Calculations II'!P369-Sheet1!CP369-BP369)</f>
        <v>28.175806206227485</v>
      </c>
      <c r="AH369" s="106">
        <f ca="1">IF(B369=TODAY(),0,Sheet1!AA369+Sheet1!BN369+'Calculations II'!BC369+'Calculations II'!P369-BP369)</f>
        <v>42.995806206227485</v>
      </c>
      <c r="AI369" s="106">
        <f ca="1">IF(B369=TODAY(),0,BC369+Sheet1!AA369+Calculation!EI369+O369+W369+Sheet1!BN369+Calculation!AI369+Calculation!CZ369-BP369)</f>
        <v>51.552654424088914</v>
      </c>
      <c r="AJ369" s="106"/>
      <c r="AM369" s="102">
        <f t="shared" si="43"/>
        <v>40898</v>
      </c>
      <c r="AN369" s="106"/>
      <c r="AO369" s="106"/>
      <c r="AR369" s="106"/>
      <c r="AT369" s="101">
        <f>Sheet1!AR369*GPMtoMGD</f>
        <v>0</v>
      </c>
      <c r="AU369" s="101">
        <f>Sheet1!AS369*GPMtoMGD</f>
        <v>2.8656000000000001E-2</v>
      </c>
      <c r="AV369" s="101">
        <f>Sheet1!AT369*GPMtoMGD</f>
        <v>0</v>
      </c>
      <c r="AW369" s="101">
        <f>Sheet1!AV369*GPMtoMGD</f>
        <v>0.526752</v>
      </c>
      <c r="AX369" s="101">
        <f>Sheet1!AW369*GPMtoMGD</f>
        <v>0.54302400000000006</v>
      </c>
      <c r="AY369" s="101">
        <f>Sheet1!AX369*GPMtoMGD</f>
        <v>0</v>
      </c>
      <c r="AZ369" s="101">
        <f>Sheet1!AY369*GPMtoMGD</f>
        <v>0</v>
      </c>
      <c r="BA369" s="101">
        <f>Sheet1!AZ369*GPMtoMGD</f>
        <v>0</v>
      </c>
      <c r="BB369" s="101">
        <f>Sheet1!BP369*GPMtoMGD</f>
        <v>0</v>
      </c>
      <c r="BC369" s="101">
        <f>Sheet1!CO369*GPMtoMGD</f>
        <v>0</v>
      </c>
      <c r="BD369" s="101">
        <f>Sheet1!BO369*GPMtoMGD</f>
        <v>1.6297920000000001</v>
      </c>
      <c r="BE369" s="101">
        <f>Sheet1!BV369*GPMtoMGD</f>
        <v>0.82483200000000001</v>
      </c>
      <c r="BF369" s="101">
        <f>Sheet1!CJ369*GPMtoMGD</f>
        <v>0.25315200000000004</v>
      </c>
      <c r="BG369" s="101">
        <f>Sheet1!CK369*GPMtoMGD</f>
        <v>0.54316799999999998</v>
      </c>
      <c r="BH369" s="101">
        <f>Sheet1!CL369*GPMtoMGD</f>
        <v>0.73756800000000011</v>
      </c>
      <c r="BI369" s="101">
        <f t="shared" si="44"/>
        <v>1.6297920000000001</v>
      </c>
      <c r="BK369" s="106">
        <f>SUM(AT369:BA369,BE369,Sheet1!BU369,'Calculations II'!BC369,Calculation!AG369)</f>
        <v>40.356415782138569</v>
      </c>
      <c r="BM369" s="439">
        <f ca="1">IF(B369=TODAY(),0,IF(AND(Sheet1!BQ369&lt;=11.5,Sheet1!BQ368&gt;Sheet1!BQ369),(MIN(Lookup!$C$119,VLOOKUP(Sheet1!BQ368,Lookup!$B$4:$J$236,2))-VLOOKUP(Sheet1!BQ369,Lookup!$B$4:$J$236,2))/1000000,0))</f>
        <v>0</v>
      </c>
      <c r="BN369" s="439">
        <f ca="1">IF(B369=TODAY(),0,IF(AND(Sheet1!BR369&lt;=11.5,Sheet1!BR368&gt;Sheet1!BR369),(MIN(Lookup!$D$119,VLOOKUP(Sheet1!BR368,Lookup!$B$4:$J$236,3))-VLOOKUP(Sheet1!BR369,Lookup!$B$4:$J$236,3))/1000000,0))</f>
        <v>0</v>
      </c>
      <c r="BP369" s="105">
        <f ca="1">SUM(BM369:BN369,W369,Sheet1!DT369)</f>
        <v>0</v>
      </c>
    </row>
    <row r="370" spans="1:68" s="101" customFormat="1">
      <c r="A370" s="101" t="s">
        <v>6</v>
      </c>
      <c r="B370" s="103">
        <v>40899</v>
      </c>
      <c r="C370" s="104">
        <v>0.33333333333357601</v>
      </c>
      <c r="E370" s="30"/>
      <c r="F370" s="30">
        <f ca="1">IF(B370=TODAY(),0,-(VLOOKUP(Sheet1!BZ370,Lookup!$I$4:$J$216,2)-VLOOKUP(Sheet1!BZ369,Lookup!$I$4:$J$216,2))/1000000)</f>
        <v>-0.51818469273899681</v>
      </c>
      <c r="G370" s="106">
        <f ca="1">IF(B370=TODAY(),0,-$G$6*(Sheet1!CB370-Sheet1!CB369)*7.48/1000000)</f>
        <v>0.32962205873624217</v>
      </c>
      <c r="H370" s="106">
        <f ca="1">IF(B370=TODAY(),0,-$G$6*(Sheet1!CC370-Sheet1!CC369)*7.48/1000000)</f>
        <v>-8.3398352210374158E-2</v>
      </c>
      <c r="I370" s="106">
        <f ca="1">IF(B370=TODAY(),0,-$G$6*(Sheet1!CD370-Sheet1!CD369)*7.48/1000000)</f>
        <v>-3.1770800842047468E-2</v>
      </c>
      <c r="J370" s="107" t="s">
        <v>193</v>
      </c>
      <c r="K370" s="106">
        <f ca="1">IF(B370=TODAY(),0,-$I$6*(Sheet1!CD370-Sheet1!CD369)*7.48/1000000)</f>
        <v>-1.4393206742421649E-2</v>
      </c>
      <c r="L370" s="107" t="s">
        <v>193</v>
      </c>
      <c r="M370" s="106">
        <f ca="1">IF(B370=TODAY(),0,-$M$6*(Sheet1!CE370-Sheet1!CE369)*7.48/1000000)</f>
        <v>-3.4649265947183872E-2</v>
      </c>
      <c r="N370" s="106">
        <f ca="1">IF(B370=TODAY(),0,-$N$6*(Sheet1!CF370-Sheet1!CF369)*7.48/1000000)</f>
        <v>-0.32887743059150631</v>
      </c>
      <c r="O370" s="106">
        <f t="shared" ca="1" si="40"/>
        <v>-0.68165169033628814</v>
      </c>
      <c r="P370" s="106">
        <f ca="1">O370+Calculation!EI370</f>
        <v>1.5071483096637115</v>
      </c>
      <c r="Q370" s="101" t="str">
        <f>IF(Sheet1!BQ370&gt;21.75,"spill elevation","-")</f>
        <v>-</v>
      </c>
      <c r="R370" s="101" t="str">
        <f>IF(Sheet1!BR370&gt;21.75,"spill elevation","-")</f>
        <v>-</v>
      </c>
      <c r="S370" s="101" t="str">
        <f>IF(Sheet1!BS370&gt;21.75,"spill elevation","-")</f>
        <v>-</v>
      </c>
      <c r="T370" s="105">
        <f>IF(Sheet1!DQ370=1,Sheet1!AA370-(SUM(AT370:BA370)+BE370),Sheet1!AA370-SUM(AT370:BA370))</f>
        <v>27.897535999999999</v>
      </c>
      <c r="U370" s="105">
        <f>Sheet1!BU370</f>
        <v>25.2</v>
      </c>
      <c r="V370" s="105">
        <f t="shared" si="41"/>
        <v>2.6975359999999995</v>
      </c>
      <c r="W370" s="105">
        <f t="shared" si="42"/>
        <v>0</v>
      </c>
      <c r="X370" s="101">
        <f>IF((Sheet1!EX370-Sheet1!EX369)&lt;0,(Sheet1!EX370+100000-Sheet1!EX369)/1000,(Sheet1!EX370-Sheet1!EX369)/1000)</f>
        <v>1.476</v>
      </c>
      <c r="Y370" s="106">
        <f ca="1">Calculation!DZ371+Calculation!EI370+'Calculations II'!O370-'Calculations II'!W370</f>
        <v>53.56714830966866</v>
      </c>
      <c r="Z370" s="106">
        <f ca="1">Y370-Sheet1!CP371</f>
        <v>37.74714830966866</v>
      </c>
      <c r="AA370" s="106">
        <f ca="1">Y370+Calculation!CZ371+Calculation!AI371</f>
        <v>62.038696426823371</v>
      </c>
      <c r="AC370" s="106">
        <f>Sheet1!AA370+Sheet1!AB370+BC370</f>
        <v>53</v>
      </c>
      <c r="AD370" s="106">
        <f>Sheet1!AA370+Sheet1!BN370+'Calculations II'!BC370-Calculation!AI370-Calculation!CZ370</f>
        <v>35.799999999999997</v>
      </c>
      <c r="AE370" s="106">
        <f>Sheet1!AA370+Sheet1!AB370+'Calculations II'!BC370-Calculation!AI370-Calculation!CZ370</f>
        <v>44.4</v>
      </c>
      <c r="AF370" s="106">
        <f ca="1">Sheet1!AA370+Sheet1!BN370+P370+'Calculations II'!BC370+Calculation!AI370+Calculation!CZ370</f>
        <v>54.507148309663712</v>
      </c>
      <c r="AG370" s="106">
        <f ca="1">IF(B370=TODAY(),0,Sheet1!AA370+Sheet1!BN370+'Calculations II'!BC370+'Calculations II'!P370-Sheet1!CP370-BP370)</f>
        <v>29.987148309663709</v>
      </c>
      <c r="AH370" s="106">
        <f ca="1">IF(B370=TODAY(),0,Sheet1!AA370+Sheet1!BN370+'Calculations II'!BC370+'Calculations II'!P370-BP370)</f>
        <v>45.907148309663711</v>
      </c>
      <c r="AI370" s="106">
        <f ca="1">IF(B370=TODAY(),0,BC370+Sheet1!AA370+Calculation!EI370+O370+W370+Sheet1!BN370+Calculation!AI370+Calculation!CZ370-BP370)</f>
        <v>54.507148309663712</v>
      </c>
      <c r="AJ370" s="106"/>
      <c r="AM370" s="102">
        <f t="shared" si="43"/>
        <v>40899</v>
      </c>
      <c r="AN370" s="106"/>
      <c r="AO370" s="106"/>
      <c r="AR370" s="106"/>
      <c r="AT370" s="101">
        <f>Sheet1!AR370*GPMtoMGD</f>
        <v>0</v>
      </c>
      <c r="AU370" s="101">
        <f>Sheet1!AS370*GPMtoMGD</f>
        <v>1.5552000000000002E-2</v>
      </c>
      <c r="AV370" s="101">
        <f>Sheet1!AT370*GPMtoMGD</f>
        <v>0</v>
      </c>
      <c r="AW370" s="101">
        <f>Sheet1!AV370*GPMtoMGD</f>
        <v>0.54806400000000011</v>
      </c>
      <c r="AX370" s="101">
        <f>Sheet1!AW370*GPMtoMGD</f>
        <v>0.53884799999999999</v>
      </c>
      <c r="AY370" s="101">
        <f>Sheet1!AX370*GPMtoMGD</f>
        <v>0</v>
      </c>
      <c r="AZ370" s="101">
        <f>Sheet1!AY370*GPMtoMGD</f>
        <v>0</v>
      </c>
      <c r="BA370" s="101">
        <f>Sheet1!AZ370*GPMtoMGD</f>
        <v>0</v>
      </c>
      <c r="BB370" s="101">
        <f>Sheet1!BP370*GPMtoMGD</f>
        <v>0</v>
      </c>
      <c r="BC370" s="101">
        <f>Sheet1!CO370*GPMtoMGD</f>
        <v>0</v>
      </c>
      <c r="BD370" s="101">
        <f>Sheet1!BO370*GPMtoMGD</f>
        <v>2.1454560000000003</v>
      </c>
      <c r="BE370" s="101">
        <f>Sheet1!BV370*GPMtoMGD</f>
        <v>0.61992000000000003</v>
      </c>
      <c r="BF370" s="101">
        <f>Sheet1!CJ370*GPMtoMGD</f>
        <v>0.22233600000000003</v>
      </c>
      <c r="BG370" s="101">
        <f>Sheet1!CK370*GPMtoMGD</f>
        <v>0.54489600000000005</v>
      </c>
      <c r="BH370" s="101">
        <f>Sheet1!CL370*GPMtoMGD</f>
        <v>0.67435200000000006</v>
      </c>
      <c r="BI370" s="101">
        <f t="shared" si="44"/>
        <v>2.1454560000000003</v>
      </c>
      <c r="BK370" s="106">
        <f>SUM(AT370:BA370,BE370,Sheet1!BU370,'Calculations II'!BC370,Calculation!AG370)</f>
        <v>42.322384</v>
      </c>
      <c r="BM370" s="439">
        <f ca="1">IF(B370=TODAY(),0,IF(AND(Sheet1!BQ370&lt;=11.5,Sheet1!BQ369&gt;Sheet1!BQ370),(MIN(Lookup!$C$119,VLOOKUP(Sheet1!BQ369,Lookup!$B$4:$J$236,2))-VLOOKUP(Sheet1!BQ370,Lookup!$B$4:$J$236,2))/1000000,0))</f>
        <v>0</v>
      </c>
      <c r="BN370" s="439">
        <f ca="1">IF(B370=TODAY(),0,IF(AND(Sheet1!BR370&lt;=11.5,Sheet1!BR369&gt;Sheet1!BR370),(MIN(Lookup!$D$119,VLOOKUP(Sheet1!BR369,Lookup!$B$4:$J$236,3))-VLOOKUP(Sheet1!BR370,Lookup!$B$4:$J$236,3))/1000000,0))</f>
        <v>0</v>
      </c>
      <c r="BP370" s="105">
        <f ca="1">SUM(BM370:BN370,W370,Sheet1!DT370)</f>
        <v>0</v>
      </c>
    </row>
    <row r="371" spans="1:68" s="101" customFormat="1">
      <c r="A371" s="101" t="s">
        <v>7</v>
      </c>
      <c r="B371" s="103">
        <v>40900</v>
      </c>
      <c r="C371" s="104">
        <v>0.33333333333357601</v>
      </c>
      <c r="E371" s="30"/>
      <c r="F371" s="30">
        <f ca="1">IF(B371=TODAY(),0,-(VLOOKUP(Sheet1!BZ371,Lookup!$I$4:$J$216,2)-VLOOKUP(Sheet1!BZ370,Lookup!$I$4:$J$216,2))/1000000)</f>
        <v>0.41454775419119744</v>
      </c>
      <c r="G371" s="106">
        <f ca="1">IF(B371=TODAY(),0,-$G$6*(Sheet1!CB371-Sheet1!CB370)*7.48/1000000)</f>
        <v>-1.0444650776823099</v>
      </c>
      <c r="H371" s="106">
        <f ca="1">IF(B371=TODAY(),0,-$G$6*(Sheet1!CC371-Sheet1!CC370)*7.48/1000000)</f>
        <v>5.5598901473582533E-2</v>
      </c>
      <c r="I371" s="106">
        <f ca="1">IF(B371=TODAY(),0,-$G$6*(Sheet1!CD371-Sheet1!CD370)*7.48/1000000)</f>
        <v>7.9427002105116901E-3</v>
      </c>
      <c r="J371" s="107" t="s">
        <v>193</v>
      </c>
      <c r="K371" s="106">
        <f ca="1">IF(B371=TODAY(),0,-$I$6*(Sheet1!CD371-Sheet1!CD370)*7.48/1000000)</f>
        <v>3.5983016856053333E-3</v>
      </c>
      <c r="L371" s="107" t="s">
        <v>193</v>
      </c>
      <c r="M371" s="106">
        <f ca="1">IF(B371=TODAY(),0,-$M$6*(Sheet1!CE371-Sheet1!CE370)*7.48/1000000)</f>
        <v>3.1983937797400552E-2</v>
      </c>
      <c r="N371" s="106">
        <f ca="1">IF(B371=TODAY(),0,-$N$6*(Sheet1!CF371-Sheet1!CF370)*7.48/1000000)</f>
        <v>0.23579891249957019</v>
      </c>
      <c r="O371" s="106">
        <f t="shared" ca="1" si="40"/>
        <v>-0.29499456982444211</v>
      </c>
      <c r="P371" s="106">
        <f ca="1">O371+Calculation!EI371</f>
        <v>-2.1594569824442134E-2</v>
      </c>
      <c r="Q371" s="101" t="str">
        <f>IF(Sheet1!BQ371&gt;21.75,"spill elevation","-")</f>
        <v>-</v>
      </c>
      <c r="R371" s="101" t="str">
        <f>IF(Sheet1!BR371&gt;21.75,"spill elevation","-")</f>
        <v>-</v>
      </c>
      <c r="S371" s="101" t="str">
        <f>IF(Sheet1!BS371&gt;21.75,"spill elevation","-")</f>
        <v>-</v>
      </c>
      <c r="T371" s="105">
        <f>IF(Sheet1!DQ371=1,Sheet1!AA371-(SUM(AT371:BA371)+BE371),Sheet1!AA371-SUM(AT371:BA371))</f>
        <v>27.101248000005238</v>
      </c>
      <c r="U371" s="105">
        <f>Sheet1!BU371</f>
        <v>22.5</v>
      </c>
      <c r="V371" s="105">
        <f t="shared" si="41"/>
        <v>4.6012480000052385</v>
      </c>
      <c r="W371" s="105">
        <f t="shared" si="42"/>
        <v>0</v>
      </c>
      <c r="X371" s="101">
        <f>IF((Sheet1!EX371-Sheet1!EX370)&lt;0,(Sheet1!EX371+100000-Sheet1!EX370)/1000,(Sheet1!EX371-Sheet1!EX370)/1000)</f>
        <v>1.492</v>
      </c>
      <c r="Y371" s="106">
        <f ca="1">Calculation!DZ372+Calculation!EI371+'Calculations II'!O371-'Calculations II'!W371</f>
        <v>53.428405430167409</v>
      </c>
      <c r="Z371" s="106">
        <f ca="1">Y371-Sheet1!CP372</f>
        <v>37.228405430167413</v>
      </c>
      <c r="AA371" s="106">
        <f ca="1">Y371+Calculation!CZ372+Calculation!AI372</f>
        <v>62.054361897308468</v>
      </c>
      <c r="AC371" s="106">
        <f>Sheet1!AA371+Sheet1!AB371+BC371</f>
        <v>52.060000000004948</v>
      </c>
      <c r="AD371" s="106">
        <f>Sheet1!AA371+Sheet1!BN371+'Calculations II'!BC371-Calculation!AI371-Calculation!CZ371</f>
        <v>35.168451882850526</v>
      </c>
      <c r="AE371" s="106">
        <f>Sheet1!AA371+Sheet1!AB371+'Calculations II'!BC371-Calculation!AI371-Calculation!CZ371</f>
        <v>43.588451882850237</v>
      </c>
      <c r="AF371" s="106">
        <f ca="1">Sheet1!AA371+Sheet1!BN371+P371+'Calculations II'!BC371+Calculation!AI371+Calculation!CZ371</f>
        <v>52.089953547335504</v>
      </c>
      <c r="AG371" s="106">
        <f ca="1">IF(B371=TODAY(),0,Sheet1!AA371+Sheet1!BN371+'Calculations II'!BC371+'Calculations II'!P371-Sheet1!CP371-BP371)</f>
        <v>27.798405430180793</v>
      </c>
      <c r="AH371" s="106">
        <f ca="1">IF(B371=TODAY(),0,Sheet1!AA371+Sheet1!BN371+'Calculations II'!BC371+'Calculations II'!P371-BP371)</f>
        <v>43.618405430180793</v>
      </c>
      <c r="AI371" s="106">
        <f ca="1">IF(B371=TODAY(),0,BC371+Sheet1!AA371+Calculation!EI371+O371+W371+Sheet1!BN371+Calculation!AI371+Calculation!CZ371-BP371)</f>
        <v>52.089953547335504</v>
      </c>
      <c r="AJ371" s="106"/>
      <c r="AM371" s="102">
        <f t="shared" si="43"/>
        <v>40900</v>
      </c>
      <c r="AN371" s="106"/>
      <c r="AO371" s="106"/>
      <c r="AR371" s="106"/>
      <c r="AT371" s="101">
        <f>Sheet1!AR371*GPMtoMGD</f>
        <v>0</v>
      </c>
      <c r="AU371" s="101">
        <f>Sheet1!AS371*GPMtoMGD</f>
        <v>1.5552000000000002E-2</v>
      </c>
      <c r="AV371" s="101">
        <f>Sheet1!AT371*GPMtoMGD</f>
        <v>0</v>
      </c>
      <c r="AW371" s="101">
        <f>Sheet1!AV371*GPMtoMGD</f>
        <v>0.49521599999999999</v>
      </c>
      <c r="AX371" s="101">
        <f>Sheet1!AW371*GPMtoMGD</f>
        <v>0.6279840000000001</v>
      </c>
      <c r="AY371" s="101">
        <f>Sheet1!AX371*GPMtoMGD</f>
        <v>0</v>
      </c>
      <c r="AZ371" s="101">
        <f>Sheet1!AY371*GPMtoMGD</f>
        <v>0</v>
      </c>
      <c r="BA371" s="101">
        <f>Sheet1!AZ371*GPMtoMGD</f>
        <v>0</v>
      </c>
      <c r="BB371" s="101">
        <f>Sheet1!BP371*GPMtoMGD</f>
        <v>0</v>
      </c>
      <c r="BC371" s="101">
        <f>Sheet1!CO371*GPMtoMGD</f>
        <v>0</v>
      </c>
      <c r="BD371" s="101">
        <f>Sheet1!BO371*GPMtoMGD</f>
        <v>1.4860800000000001</v>
      </c>
      <c r="BE371" s="101">
        <f>Sheet1!BV371*GPMtoMGD</f>
        <v>0.6066720000000001</v>
      </c>
      <c r="BF371" s="101">
        <f>Sheet1!CJ371*GPMtoMGD</f>
        <v>0.22593600000000003</v>
      </c>
      <c r="BG371" s="101">
        <f>Sheet1!CK371*GPMtoMGD</f>
        <v>0.55454400000000004</v>
      </c>
      <c r="BH371" s="101">
        <f>Sheet1!CL371*GPMtoMGD</f>
        <v>0.67248000000000008</v>
      </c>
      <c r="BI371" s="101">
        <f t="shared" si="44"/>
        <v>1.4860800000000001</v>
      </c>
      <c r="BK371" s="106">
        <f>SUM(AT371:BA371,BE371,Sheet1!BU371,'Calculations II'!BC371,Calculation!AG371)</f>
        <v>39.593875882844998</v>
      </c>
      <c r="BM371" s="439">
        <f ca="1">IF(B371=TODAY(),0,IF(AND(Sheet1!BQ371&lt;=11.5,Sheet1!BQ370&gt;Sheet1!BQ371),(MIN(Lookup!$C$119,VLOOKUP(Sheet1!BQ370,Lookup!$B$4:$J$236,2))-VLOOKUP(Sheet1!BQ371,Lookup!$B$4:$J$236,2))/1000000,0))</f>
        <v>0</v>
      </c>
      <c r="BN371" s="439">
        <f ca="1">IF(B371=TODAY(),0,IF(AND(Sheet1!BR371&lt;=11.5,Sheet1!BR370&gt;Sheet1!BR371),(MIN(Lookup!$D$119,VLOOKUP(Sheet1!BR370,Lookup!$B$4:$J$236,3))-VLOOKUP(Sheet1!BR371,Lookup!$B$4:$J$236,3))/1000000,0))</f>
        <v>0</v>
      </c>
      <c r="BP371" s="105">
        <f ca="1">SUM(BM371:BN371,W371,Sheet1!DT371)</f>
        <v>0</v>
      </c>
    </row>
    <row r="372" spans="1:68" s="101" customFormat="1">
      <c r="A372" s="101" t="s">
        <v>8</v>
      </c>
      <c r="B372" s="103">
        <v>40901</v>
      </c>
      <c r="C372" s="104">
        <v>0.33333333333357601</v>
      </c>
      <c r="E372" s="30"/>
      <c r="F372" s="30">
        <f ca="1">IF(B372=TODAY(),0,-(VLOOKUP(Sheet1!BZ372,Lookup!$I$4:$J$216,2)-VLOOKUP(Sheet1!BZ371,Lookup!$I$4:$J$216,2))/1000000)</f>
        <v>0.20727387709560433</v>
      </c>
      <c r="G372" s="106">
        <f ca="1">IF(B372=TODAY(),0,-$G$6*(Sheet1!CB372-Sheet1!CB371)*7.48/1000000)</f>
        <v>0.12708320336818987</v>
      </c>
      <c r="H372" s="106">
        <f ca="1">IF(B372=TODAY(),0,-$G$6*(Sheet1!CC372-Sheet1!CC371)*7.48/1000000)</f>
        <v>0.23430965621010047</v>
      </c>
      <c r="I372" s="106">
        <f ca="1">IF(B372=TODAY(),0,-$G$6*(Sheet1!CD372-Sheet1!CD371)*7.48/1000000)</f>
        <v>0.23828100631535562</v>
      </c>
      <c r="J372" s="107" t="s">
        <v>193</v>
      </c>
      <c r="K372" s="106">
        <f ca="1">IF(B372=TODAY(),0,-$I$6*(Sheet1!CD372-Sheet1!CD371)*7.48/1000000)</f>
        <v>0.10794905056816222</v>
      </c>
      <c r="L372" s="107" t="s">
        <v>193</v>
      </c>
      <c r="M372" s="106">
        <f ca="1">IF(B372=TODAY(),0,-$M$6*(Sheet1!CE372-Sheet1!CE371)*7.48/1000000)</f>
        <v>3.7314594096967191E-2</v>
      </c>
      <c r="N372" s="106">
        <f ca="1">IF(B372=TODAY(),0,-$N$6*(Sheet1!CF372-Sheet1!CF371)*7.48/1000000)</f>
        <v>-8.6873283552472716E-2</v>
      </c>
      <c r="O372" s="106">
        <f t="shared" ca="1" si="40"/>
        <v>0.86533810410190692</v>
      </c>
      <c r="P372" s="106">
        <f ca="1">O372+Calculation!EI372</f>
        <v>1.6863381041019068</v>
      </c>
      <c r="Q372" s="101" t="str">
        <f>IF(Sheet1!BQ372&gt;21.75,"spill elevation","-")</f>
        <v>-</v>
      </c>
      <c r="R372" s="101" t="str">
        <f>IF(Sheet1!BR372&gt;21.75,"spill elevation","-")</f>
        <v>-</v>
      </c>
      <c r="S372" s="101" t="str">
        <f>IF(Sheet1!BS372&gt;21.75,"spill elevation","-")</f>
        <v>-</v>
      </c>
      <c r="T372" s="105">
        <f>IF(Sheet1!DQ372=1,Sheet1!AA372-(SUM(AT372:BA372)+BE372),Sheet1!AA372-SUM(AT372:BA372))</f>
        <v>27.924095999991852</v>
      </c>
      <c r="U372" s="105">
        <f>Sheet1!BU372</f>
        <v>22.1</v>
      </c>
      <c r="V372" s="105">
        <f t="shared" si="41"/>
        <v>5.8240959999918509</v>
      </c>
      <c r="W372" s="105">
        <f t="shared" si="42"/>
        <v>0</v>
      </c>
      <c r="X372" s="101">
        <f>IF((Sheet1!EX372-Sheet1!EX371)&lt;0,(Sheet1!EX372+100000-Sheet1!EX371)/1000,(Sheet1!EX372-Sheet1!EX371)/1000)</f>
        <v>1.5209999999999999</v>
      </c>
      <c r="Y372" s="106">
        <f ca="1">Calculation!DZ373+Calculation!EI372+'Calculations II'!O372-'Calculations II'!W372</f>
        <v>54.386338104113548</v>
      </c>
      <c r="Z372" s="106">
        <f ca="1">Y372-Sheet1!CP373</f>
        <v>38.196338104113551</v>
      </c>
      <c r="AA372" s="106">
        <f ca="1">Y372+Calculation!CZ373+Calculation!AI373</f>
        <v>63.606867905439181</v>
      </c>
      <c r="AC372" s="106">
        <f>Sheet1!AA372+Sheet1!AB372+BC372</f>
        <v>53.449999999991846</v>
      </c>
      <c r="AD372" s="106">
        <f>Sheet1!AA372+Sheet1!BN372+'Calculations II'!BC372-Calculation!AI372-Calculation!CZ372</f>
        <v>36.134043532850782</v>
      </c>
      <c r="AE372" s="106">
        <f>Sheet1!AA372+Sheet1!AB372+'Calculations II'!BC372-Calculation!AI372-Calculation!CZ372</f>
        <v>44.82404353285078</v>
      </c>
      <c r="AF372" s="106">
        <f ca="1">Sheet1!AA372+Sheet1!BN372+P372+'Calculations II'!BC372+Calculation!AI372+Calculation!CZ372</f>
        <v>55.072294571234821</v>
      </c>
      <c r="AG372" s="106">
        <f ca="1">IF(B372=TODAY(),0,Sheet1!AA372+Sheet1!BN372+'Calculations II'!BC372+'Calculations II'!P372-Sheet1!CP372-BP372)</f>
        <v>30.246338104093756</v>
      </c>
      <c r="AH372" s="106">
        <f ca="1">IF(B372=TODAY(),0,Sheet1!AA372+Sheet1!BN372+'Calculations II'!BC372+'Calculations II'!P372-BP372)</f>
        <v>46.446338104093755</v>
      </c>
      <c r="AI372" s="106">
        <f ca="1">IF(B372=TODAY(),0,BC372+Sheet1!AA372+Calculation!EI372+O372+W372+Sheet1!BN372+Calculation!AI372+Calculation!CZ372-BP372)</f>
        <v>55.072294571234821</v>
      </c>
      <c r="AJ372" s="106"/>
      <c r="AM372" s="102">
        <f t="shared" si="43"/>
        <v>40901</v>
      </c>
      <c r="AN372" s="106"/>
      <c r="AO372" s="106"/>
      <c r="AR372" s="106"/>
      <c r="AT372" s="101">
        <f>Sheet1!AR372*GPMtoMGD</f>
        <v>0</v>
      </c>
      <c r="AU372" s="101">
        <f>Sheet1!AS372*GPMtoMGD</f>
        <v>3.1536000000000002E-2</v>
      </c>
      <c r="AV372" s="101">
        <f>Sheet1!AT372*GPMtoMGD</f>
        <v>0</v>
      </c>
      <c r="AW372" s="101">
        <f>Sheet1!AV372*GPMtoMGD</f>
        <v>0.74304000000000003</v>
      </c>
      <c r="AX372" s="101">
        <f>Sheet1!AW372*GPMtoMGD</f>
        <v>0.76132800000000012</v>
      </c>
      <c r="AY372" s="101">
        <f>Sheet1!AX372*GPMtoMGD</f>
        <v>0</v>
      </c>
      <c r="AZ372" s="101">
        <f>Sheet1!AY372*GPMtoMGD</f>
        <v>0</v>
      </c>
      <c r="BA372" s="101">
        <f>Sheet1!AZ372*GPMtoMGD</f>
        <v>0</v>
      </c>
      <c r="BB372" s="101">
        <f>Sheet1!BP372*GPMtoMGD</f>
        <v>0</v>
      </c>
      <c r="BC372" s="101">
        <f>Sheet1!CO372*GPMtoMGD</f>
        <v>0</v>
      </c>
      <c r="BD372" s="101">
        <f>Sheet1!BO372*GPMtoMGD</f>
        <v>2.5416000000000003</v>
      </c>
      <c r="BE372" s="101">
        <f>Sheet1!BV372*GPMtoMGD</f>
        <v>0.63072000000000006</v>
      </c>
      <c r="BF372" s="101">
        <f>Sheet1!CJ372*GPMtoMGD</f>
        <v>0.34200000000000003</v>
      </c>
      <c r="BG372" s="101">
        <f>Sheet1!CK372*GPMtoMGD</f>
        <v>0.561168</v>
      </c>
      <c r="BH372" s="101">
        <f>Sheet1!CL372*GPMtoMGD</f>
        <v>0.63950400000000007</v>
      </c>
      <c r="BI372" s="101">
        <f t="shared" si="44"/>
        <v>2.5416000000000003</v>
      </c>
      <c r="BK372" s="106">
        <f>SUM(AT372:BA372,BE372,Sheet1!BU372,'Calculations II'!BC372,Calculation!AG372)</f>
        <v>39.630667532858936</v>
      </c>
      <c r="BM372" s="439">
        <f ca="1">IF(B372=TODAY(),0,IF(AND(Sheet1!BQ372&lt;=11.5,Sheet1!BQ371&gt;Sheet1!BQ372),(MIN(Lookup!$C$119,VLOOKUP(Sheet1!BQ371,Lookup!$B$4:$J$236,2))-VLOOKUP(Sheet1!BQ372,Lookup!$B$4:$J$236,2))/1000000,0))</f>
        <v>0</v>
      </c>
      <c r="BN372" s="439">
        <f ca="1">IF(B372=TODAY(),0,IF(AND(Sheet1!BR372&lt;=11.5,Sheet1!BR371&gt;Sheet1!BR372),(MIN(Lookup!$D$119,VLOOKUP(Sheet1!BR371,Lookup!$B$4:$J$236,3))-VLOOKUP(Sheet1!BR372,Lookup!$B$4:$J$236,3))/1000000,0))</f>
        <v>0</v>
      </c>
      <c r="BP372" s="105">
        <f ca="1">SUM(BM372:BN372,W372,Sheet1!DT372)</f>
        <v>0</v>
      </c>
    </row>
    <row r="373" spans="1:68" s="101" customFormat="1">
      <c r="A373" s="101" t="s">
        <v>9</v>
      </c>
      <c r="B373" s="103">
        <v>40902</v>
      </c>
      <c r="C373" s="104">
        <v>0.33333333333357601</v>
      </c>
      <c r="E373" s="30"/>
      <c r="F373" s="30">
        <f ca="1">IF(B373=TODAY(),0,-(VLOOKUP(Sheet1!BZ373,Lookup!$I$4:$J$216,2)-VLOOKUP(Sheet1!BZ372,Lookup!$I$4:$J$216,2))/1000000)</f>
        <v>-0.20727387709560433</v>
      </c>
      <c r="G373" s="106">
        <f ca="1">IF(B373=TODAY(),0,-$G$6*(Sheet1!CB373-Sheet1!CB372)*7.48/1000000)</f>
        <v>0.25416640673637975</v>
      </c>
      <c r="H373" s="106">
        <f ca="1">IF(B373=TODAY(),0,-$G$6*(Sheet1!CC373-Sheet1!CC372)*7.48/1000000)</f>
        <v>-0.22239560589433224</v>
      </c>
      <c r="I373" s="106">
        <f ca="1">IF(B373=TODAY(),0,-$G$6*(Sheet1!CD373-Sheet1!CD372)*7.48/1000000)</f>
        <v>-0.23430965621009978</v>
      </c>
      <c r="J373" s="107" t="s">
        <v>193</v>
      </c>
      <c r="K373" s="106">
        <f ca="1">IF(B373=TODAY(),0,-$I$6*(Sheet1!CD373-Sheet1!CD372)*7.48/1000000)</f>
        <v>-0.10614989972535956</v>
      </c>
      <c r="L373" s="107" t="s">
        <v>193</v>
      </c>
      <c r="M373" s="106">
        <f ca="1">IF(B373=TODAY(),0,-$M$6*(Sheet1!CE373-Sheet1!CE372)*7.48/1000000)</f>
        <v>-3.3982933909737917E-2</v>
      </c>
      <c r="N373" s="106">
        <f ca="1">IF(B373=TODAY(),0,-$N$6*(Sheet1!CF373-Sheet1!CF372)*7.48/1000000)</f>
        <v>-8.066804901301157E-2</v>
      </c>
      <c r="O373" s="106">
        <f t="shared" ca="1" si="40"/>
        <v>-0.63061361511176561</v>
      </c>
      <c r="P373" s="106">
        <f ca="1">O373+Calculation!EI373</f>
        <v>-3.6404136151117656</v>
      </c>
      <c r="Q373" s="101" t="str">
        <f>IF(Sheet1!BQ373&gt;21.75,"spill elevation","-")</f>
        <v>-</v>
      </c>
      <c r="R373" s="101" t="str">
        <f>IF(Sheet1!BR373&gt;21.75,"spill elevation","-")</f>
        <v>-</v>
      </c>
      <c r="S373" s="101" t="str">
        <f>IF(Sheet1!BS373&gt;21.75,"spill elevation","-")</f>
        <v>-</v>
      </c>
      <c r="T373" s="105">
        <f>IF(Sheet1!DQ373=1,Sheet1!AA373-(SUM(AT373:BA373)+BE373),Sheet1!AA373-SUM(AT373:BA373))</f>
        <v>27.86680000000873</v>
      </c>
      <c r="U373" s="105">
        <f>Sheet1!BU373</f>
        <v>19</v>
      </c>
      <c r="V373" s="105">
        <f t="shared" si="41"/>
        <v>8.8668000000087304</v>
      </c>
      <c r="W373" s="105">
        <f t="shared" si="42"/>
        <v>0</v>
      </c>
      <c r="X373" s="101">
        <f>IF((Sheet1!EX373-Sheet1!EX372)&lt;0,(Sheet1!EX373+100000-Sheet1!EX372)/1000,(Sheet1!EX373-Sheet1!EX372)/1000)</f>
        <v>1.3759999999999999</v>
      </c>
      <c r="Y373" s="106">
        <f ca="1">Calculation!DZ374+Calculation!EI373+'Calculations II'!O373-'Calculations II'!W373</f>
        <v>49.639586384879799</v>
      </c>
      <c r="Z373" s="106">
        <f ca="1">Y373-Sheet1!CP374</f>
        <v>33.9195863848798</v>
      </c>
      <c r="AA373" s="106">
        <f ca="1">Y373+Calculation!CZ374+Calculation!AI374</f>
        <v>57.253644053077878</v>
      </c>
      <c r="AC373" s="106">
        <f>Sheet1!AA373+Sheet1!AB373+BC373</f>
        <v>52.700000000011642</v>
      </c>
      <c r="AD373" s="106">
        <f>Sheet1!AA373+Sheet1!BN373+'Calculations II'!BC373-Calculation!AI373-Calculation!CZ373</f>
        <v>34.479470198683096</v>
      </c>
      <c r="AE373" s="106">
        <f>Sheet1!AA373+Sheet1!AB373+'Calculations II'!BC373-Calculation!AI373-Calculation!CZ373</f>
        <v>43.479470198686009</v>
      </c>
      <c r="AF373" s="106">
        <f ca="1">Sheet1!AA373+Sheet1!BN373+P373+'Calculations II'!BC373+Calculation!AI373+Calculation!CZ373</f>
        <v>49.280116186222592</v>
      </c>
      <c r="AG373" s="106">
        <f ca="1">IF(B373=TODAY(),0,Sheet1!AA373+Sheet1!BN373+'Calculations II'!BC373+'Calculations II'!P373-Sheet1!CP373-BP373)</f>
        <v>23.869586384896959</v>
      </c>
      <c r="AH373" s="106">
        <f ca="1">IF(B373=TODAY(),0,Sheet1!AA373+Sheet1!BN373+'Calculations II'!BC373+'Calculations II'!P373-BP373)</f>
        <v>40.05958638489696</v>
      </c>
      <c r="AI373" s="106">
        <f ca="1">IF(B373=TODAY(),0,BC373+Sheet1!AA373+Calculation!EI373+O373+W373+Sheet1!BN373+Calculation!AI373+Calculation!CZ373-BP373)</f>
        <v>49.2801161862226</v>
      </c>
      <c r="AJ373" s="106"/>
      <c r="AM373" s="102">
        <f t="shared" si="43"/>
        <v>40902</v>
      </c>
      <c r="AN373" s="106"/>
      <c r="AO373" s="106"/>
      <c r="AR373" s="106"/>
      <c r="AT373" s="101">
        <f>Sheet1!AR373*GPMtoMGD</f>
        <v>0</v>
      </c>
      <c r="AU373" s="101">
        <f>Sheet1!AS373*GPMtoMGD</f>
        <v>1.6416E-2</v>
      </c>
      <c r="AV373" s="101">
        <f>Sheet1!AT373*GPMtoMGD</f>
        <v>0</v>
      </c>
      <c r="AW373" s="101">
        <f>Sheet1!AV373*GPMtoMGD</f>
        <v>0.49636800000000003</v>
      </c>
      <c r="AX373" s="101">
        <f>Sheet1!AW373*GPMtoMGD</f>
        <v>0.52041599999999999</v>
      </c>
      <c r="AY373" s="101">
        <f>Sheet1!AX373*GPMtoMGD</f>
        <v>0</v>
      </c>
      <c r="AZ373" s="101">
        <f>Sheet1!AY373*GPMtoMGD</f>
        <v>0</v>
      </c>
      <c r="BA373" s="101">
        <f>Sheet1!AZ373*GPMtoMGD</f>
        <v>0</v>
      </c>
      <c r="BB373" s="101">
        <f>Sheet1!BP373*GPMtoMGD</f>
        <v>0</v>
      </c>
      <c r="BC373" s="101">
        <f>Sheet1!CO373*GPMtoMGD</f>
        <v>0</v>
      </c>
      <c r="BD373" s="101">
        <f>Sheet1!BO373*GPMtoMGD</f>
        <v>1.2728159999999999</v>
      </c>
      <c r="BE373" s="101">
        <f>Sheet1!BV373*GPMtoMGD</f>
        <v>0.60076799999999997</v>
      </c>
      <c r="BF373" s="101">
        <f>Sheet1!CJ373*GPMtoMGD</f>
        <v>0.21139200000000002</v>
      </c>
      <c r="BG373" s="101">
        <f>Sheet1!CK373*GPMtoMGD</f>
        <v>0.50472000000000006</v>
      </c>
      <c r="BH373" s="101">
        <f>Sheet1!CL373*GPMtoMGD</f>
        <v>0.58363200000000004</v>
      </c>
      <c r="BI373" s="101">
        <f t="shared" si="44"/>
        <v>1.2728159999999999</v>
      </c>
      <c r="BK373" s="106">
        <f>SUM(AT373:BA373,BE373,Sheet1!BU373,'Calculations II'!BC373,Calculation!AG373)</f>
        <v>35.213438198677281</v>
      </c>
      <c r="BM373" s="439">
        <f ca="1">IF(B373=TODAY(),0,IF(AND(Sheet1!BQ373&lt;=11.5,Sheet1!BQ372&gt;Sheet1!BQ373),(MIN(Lookup!$C$119,VLOOKUP(Sheet1!BQ372,Lookup!$B$4:$J$236,2))-VLOOKUP(Sheet1!BQ373,Lookup!$B$4:$J$236,2))/1000000,0))</f>
        <v>0</v>
      </c>
      <c r="BN373" s="439">
        <f ca="1">IF(B373=TODAY(),0,IF(AND(Sheet1!BR373&lt;=11.5,Sheet1!BR372&gt;Sheet1!BR373),(MIN(Lookup!$D$119,VLOOKUP(Sheet1!BR372,Lookup!$B$4:$J$236,3))-VLOOKUP(Sheet1!BR373,Lookup!$B$4:$J$236,3))/1000000,0))</f>
        <v>0</v>
      </c>
      <c r="BP373" s="105">
        <f ca="1">SUM(BM373:BN373,W373,Sheet1!DT373)</f>
        <v>0</v>
      </c>
    </row>
    <row r="374" spans="1:68" s="101" customFormat="1">
      <c r="A374" s="101" t="s">
        <v>3</v>
      </c>
      <c r="B374" s="103">
        <v>40903</v>
      </c>
      <c r="C374" s="104">
        <v>0.33333333333357601</v>
      </c>
      <c r="E374" s="30"/>
      <c r="F374" s="30">
        <f ca="1">IF(B374=TODAY(),0,-(VLOOKUP(Sheet1!BZ374,Lookup!$I$4:$J$216,2)-VLOOKUP(Sheet1!BZ373,Lookup!$I$4:$J$216,2))/1000000)</f>
        <v>-0.20727387709559872</v>
      </c>
      <c r="G374" s="106">
        <f ca="1">IF(B374=TODAY(),0,-$G$6*(Sheet1!CB374-Sheet1!CB373)*7.48/1000000)</f>
        <v>0.4249344612623846</v>
      </c>
      <c r="H374" s="106">
        <f ca="1">IF(B374=TODAY(),0,-$G$6*(Sheet1!CC374-Sheet1!CC373)*7.48/1000000)</f>
        <v>-0.10722645284190993</v>
      </c>
      <c r="I374" s="106">
        <f ca="1">IF(B374=TODAY(),0,-$G$6*(Sheet1!CD374-Sheet1!CD373)*7.48/1000000)</f>
        <v>-9.1341052420886554E-2</v>
      </c>
      <c r="J374" s="107" t="s">
        <v>193</v>
      </c>
      <c r="K374" s="106">
        <f ca="1">IF(B374=TODAY(),0,-$I$6*(Sheet1!CD374-Sheet1!CD373)*7.48/1000000)</f>
        <v>-4.1380469384462285E-2</v>
      </c>
      <c r="L374" s="107" t="s">
        <v>193</v>
      </c>
      <c r="M374" s="106">
        <f ca="1">IF(B374=TODAY(),0,-$M$6*(Sheet1!CE374-Sheet1!CE373)*7.48/1000000)</f>
        <v>-1.5325636861254445E-2</v>
      </c>
      <c r="N374" s="106">
        <f ca="1">IF(B374=TODAY(),0,-$N$6*(Sheet1!CF374-Sheet1!CF373)*7.48/1000000)</f>
        <v>-6.8257579934085932E-2</v>
      </c>
      <c r="O374" s="106">
        <f t="shared" ca="1" si="40"/>
        <v>-0.10587060727581327</v>
      </c>
      <c r="P374" s="106">
        <f ca="1">O374+Calculation!EI374</f>
        <v>-1.4872706072758133</v>
      </c>
      <c r="Q374" s="101" t="str">
        <f>IF(Sheet1!BQ374&gt;21.75,"spill elevation","-")</f>
        <v>-</v>
      </c>
      <c r="R374" s="101" t="str">
        <f>IF(Sheet1!BR374&gt;21.75,"spill elevation","-")</f>
        <v>-</v>
      </c>
      <c r="S374" s="101" t="str">
        <f>IF(Sheet1!BS374&gt;21.75,"spill elevation","-")</f>
        <v>-</v>
      </c>
      <c r="T374" s="105">
        <f>IF(Sheet1!DQ374=1,Sheet1!AA374-(SUM(AT374:BA374)+BE374),Sheet1!AA374-SUM(AT374:BA374))</f>
        <v>28.190687999994179</v>
      </c>
      <c r="U374" s="105">
        <f>Sheet1!BU374</f>
        <v>20</v>
      </c>
      <c r="V374" s="105">
        <f t="shared" si="41"/>
        <v>8.1906879999941786</v>
      </c>
      <c r="W374" s="105">
        <f t="shared" si="42"/>
        <v>0</v>
      </c>
      <c r="X374" s="101">
        <f>IF((Sheet1!EX374-Sheet1!EX373)&lt;0,(Sheet1!EX374+100000-Sheet1!EX373)/1000,(Sheet1!EX374-Sheet1!EX373)/1000)</f>
        <v>1.4450000000000001</v>
      </c>
      <c r="Y374" s="106">
        <f ca="1">Calculation!DZ375+Calculation!EI374+'Calculations II'!O374-'Calculations II'!W374</f>
        <v>49.212729392724192</v>
      </c>
      <c r="Z374" s="106">
        <f ca="1">Y374-Sheet1!CP375</f>
        <v>33.052729392724189</v>
      </c>
      <c r="AA374" s="106">
        <f ca="1">Y374+Calculation!CZ375+Calculation!AI375</f>
        <v>57.745985529824701</v>
      </c>
      <c r="AC374" s="106">
        <f>Sheet1!AA374+Sheet1!AB374+BC374</f>
        <v>53.27999999999156</v>
      </c>
      <c r="AD374" s="106">
        <f>Sheet1!AA374+Sheet1!BN374+'Calculations II'!BC374-Calculation!AI374-Calculation!CZ374</f>
        <v>38.085942331796097</v>
      </c>
      <c r="AE374" s="106">
        <f>Sheet1!AA374+Sheet1!AB374+'Calculations II'!BC374-Calculation!AI374-Calculation!CZ374</f>
        <v>45.665942331793481</v>
      </c>
      <c r="AF374" s="106">
        <f ca="1">Sheet1!AA374+Sheet1!BN374+P374+'Calculations II'!BC374+Calculation!AI374+Calculation!CZ374</f>
        <v>51.826787060916445</v>
      </c>
      <c r="AG374" s="106">
        <f ca="1">IF(B374=TODAY(),0,Sheet1!AA374+Sheet1!BN374+'Calculations II'!BC374+'Calculations II'!P374-Sheet1!CP374-BP374)</f>
        <v>28.492729392718367</v>
      </c>
      <c r="AH374" s="106">
        <f ca="1">IF(B374=TODAY(),0,Sheet1!AA374+Sheet1!BN374+'Calculations II'!BC374+'Calculations II'!P374-BP374)</f>
        <v>44.212729392718366</v>
      </c>
      <c r="AI374" s="106">
        <f ca="1">IF(B374=TODAY(),0,BC374+Sheet1!AA374+Calculation!EI374+O374+W374+Sheet1!BN374+Calculation!AI374+Calculation!CZ374-BP374)</f>
        <v>51.826787060916445</v>
      </c>
      <c r="AJ374" s="106"/>
      <c r="AM374" s="102">
        <f t="shared" si="43"/>
        <v>40903</v>
      </c>
      <c r="AN374" s="106"/>
      <c r="AO374" s="106"/>
      <c r="AR374" s="106"/>
      <c r="AT374" s="101">
        <f>Sheet1!AR374*GPMtoMGD</f>
        <v>0</v>
      </c>
      <c r="AU374" s="101">
        <f>Sheet1!AS374*GPMtoMGD</f>
        <v>2.5055999999999998E-2</v>
      </c>
      <c r="AV374" s="101">
        <f>Sheet1!AT374*GPMtoMGD</f>
        <v>0</v>
      </c>
      <c r="AW374" s="101">
        <f>Sheet1!AV374*GPMtoMGD</f>
        <v>0.53524800000000006</v>
      </c>
      <c r="AX374" s="101">
        <f>Sheet1!AW374*GPMtoMGD</f>
        <v>0.64900800000000003</v>
      </c>
      <c r="AY374" s="101">
        <f>Sheet1!AX374*GPMtoMGD</f>
        <v>0</v>
      </c>
      <c r="AZ374" s="101">
        <f>Sheet1!AY374*GPMtoMGD</f>
        <v>0</v>
      </c>
      <c r="BA374" s="101">
        <f>Sheet1!AZ374*GPMtoMGD</f>
        <v>0</v>
      </c>
      <c r="BB374" s="101">
        <f>Sheet1!BP374*GPMtoMGD</f>
        <v>0</v>
      </c>
      <c r="BC374" s="101">
        <f>Sheet1!CO374*GPMtoMGD</f>
        <v>0</v>
      </c>
      <c r="BD374" s="101">
        <f>Sheet1!BO374*GPMtoMGD</f>
        <v>2.1703680000000003</v>
      </c>
      <c r="BE374" s="101">
        <f>Sheet1!BV374*GPMtoMGD</f>
        <v>0.77414400000000005</v>
      </c>
      <c r="BF374" s="101">
        <f>Sheet1!CJ374*GPMtoMGD</f>
        <v>0.28411200000000003</v>
      </c>
      <c r="BG374" s="101">
        <f>Sheet1!CK374*GPMtoMGD</f>
        <v>0.55008000000000001</v>
      </c>
      <c r="BH374" s="101">
        <f>Sheet1!CL374*GPMtoMGD</f>
        <v>0.63575999999999999</v>
      </c>
      <c r="BI374" s="101">
        <f t="shared" si="44"/>
        <v>2.1703680000000003</v>
      </c>
      <c r="BK374" s="106">
        <f>SUM(AT374:BA374,BE374,Sheet1!BU374,'Calculations II'!BC374,Calculation!AG374)</f>
        <v>38.249398331799298</v>
      </c>
      <c r="BM374" s="439">
        <f ca="1">IF(B374=TODAY(),0,IF(AND(Sheet1!BQ374&lt;=11.5,Sheet1!BQ373&gt;Sheet1!BQ374),(MIN(Lookup!$C$119,VLOOKUP(Sheet1!BQ373,Lookup!$B$4:$J$236,2))-VLOOKUP(Sheet1!BQ374,Lookup!$B$4:$J$236,2))/1000000,0))</f>
        <v>0</v>
      </c>
      <c r="BN374" s="439">
        <f ca="1">IF(B374=TODAY(),0,IF(AND(Sheet1!BR374&lt;=11.5,Sheet1!BR373&gt;Sheet1!BR374),(MIN(Lookup!$D$119,VLOOKUP(Sheet1!BR373,Lookup!$B$4:$J$236,3))-VLOOKUP(Sheet1!BR374,Lookup!$B$4:$J$236,3))/1000000,0))</f>
        <v>0</v>
      </c>
      <c r="BP374" s="105">
        <f ca="1">SUM(BM374:BN374,W374,Sheet1!DT374)</f>
        <v>0</v>
      </c>
    </row>
    <row r="375" spans="1:68" s="101" customFormat="1">
      <c r="A375" s="101" t="s">
        <v>4</v>
      </c>
      <c r="B375" s="103">
        <v>40904</v>
      </c>
      <c r="C375" s="104">
        <v>0.33333333333357601</v>
      </c>
      <c r="E375" s="30"/>
      <c r="F375" s="30">
        <f ca="1">IF(B375=TODAY(),0,-(VLOOKUP(Sheet1!BZ375,Lookup!$I$4:$J$216,2)-VLOOKUP(Sheet1!BZ374,Lookup!$I$4:$J$216,2))/1000000)</f>
        <v>0.62182163128680179</v>
      </c>
      <c r="G375" s="106">
        <f ca="1">IF(B375=TODAY(),0,-$G$6*(Sheet1!CB375-Sheet1!CB374)*7.48/1000000)</f>
        <v>0.19856750526279648</v>
      </c>
      <c r="H375" s="106">
        <f ca="1">IF(B375=TODAY(),0,-$G$6*(Sheet1!CC375-Sheet1!CC374)*7.48/1000000)</f>
        <v>0.55598901473582951</v>
      </c>
      <c r="I375" s="106">
        <f ca="1">IF(B375=TODAY(),0,-$G$6*(Sheet1!CD375-Sheet1!CD374)*7.48/1000000)</f>
        <v>0.5559890147358304</v>
      </c>
      <c r="J375" s="107" t="s">
        <v>193</v>
      </c>
      <c r="K375" s="106">
        <f ca="1">IF(B375=TODAY(),0,-$I$6*(Sheet1!CD375-Sheet1!CD374)*7.48/1000000)</f>
        <v>0.25188111799237872</v>
      </c>
      <c r="L375" s="107" t="s">
        <v>193</v>
      </c>
      <c r="M375" s="106">
        <f ca="1">IF(B375=TODAY(),0,-$M$6*(Sheet1!CE375-Sheet1!CE374)*7.48/1000000)</f>
        <v>9.3286485242418088E-2</v>
      </c>
      <c r="N375" s="106">
        <f ca="1">IF(B375=TODAY(),0,-$N$6*(Sheet1!CF375-Sheet1!CF374)*7.48/1000000)</f>
        <v>0.31026172697311949</v>
      </c>
      <c r="O375" s="106">
        <f t="shared" ca="1" si="40"/>
        <v>2.5877964962291742</v>
      </c>
      <c r="P375" s="106">
        <f ca="1">O375+Calculation!EI375</f>
        <v>4.242996496229174</v>
      </c>
      <c r="Q375" s="101" t="str">
        <f>IF(Sheet1!BQ375&gt;21.75,"spill elevation","-")</f>
        <v>-</v>
      </c>
      <c r="R375" s="101" t="str">
        <f>IF(Sheet1!BR375&gt;21.75,"spill elevation","-")</f>
        <v>-</v>
      </c>
      <c r="S375" s="101" t="str">
        <f>IF(Sheet1!BS375&gt;21.75,"spill elevation","-")</f>
        <v>-</v>
      </c>
      <c r="T375" s="105">
        <f>IF(Sheet1!DQ375=1,Sheet1!AA375-(SUM(AT375:BA375)+BE375),Sheet1!AA375-SUM(AT375:BA375))</f>
        <v>27.918127999999999</v>
      </c>
      <c r="U375" s="105">
        <f>Sheet1!BU375</f>
        <v>22.9</v>
      </c>
      <c r="V375" s="105">
        <f t="shared" si="41"/>
        <v>5.0181280000000008</v>
      </c>
      <c r="W375" s="105">
        <f t="shared" si="42"/>
        <v>0</v>
      </c>
      <c r="X375" s="101">
        <f>IF((Sheet1!EX375-Sheet1!EX374)&lt;0,(Sheet1!EX375+100000-Sheet1!EX374)/1000,(Sheet1!EX375-Sheet1!EX374)/1000)</f>
        <v>1.5029999999999999</v>
      </c>
      <c r="Y375" s="106">
        <f ca="1">Calculation!DZ376+Calculation!EI375+'Calculations II'!O375-'Calculations II'!W375</f>
        <v>48.462996496237615</v>
      </c>
      <c r="Z375" s="106">
        <f ca="1">Y375-Sheet1!CP376</f>
        <v>32.832996496237612</v>
      </c>
      <c r="AA375" s="106">
        <f ca="1">Y375+Calculation!CZ376+Calculation!AI376</f>
        <v>51.037926073702806</v>
      </c>
      <c r="AC375" s="106">
        <f>Sheet1!AA375+Sheet1!AB375+BC375</f>
        <v>50.7</v>
      </c>
      <c r="AD375" s="106">
        <f>Sheet1!AA375+Sheet1!BN375+'Calculations II'!BC375-Calculation!AI375-Calculation!CZ375</f>
        <v>33.566743862899493</v>
      </c>
      <c r="AE375" s="106">
        <f>Sheet1!AA375+Sheet1!AB375+'Calculations II'!BC375-Calculation!AI375-Calculation!CZ375</f>
        <v>42.166743862899494</v>
      </c>
      <c r="AF375" s="106">
        <f ca="1">Sheet1!AA375+Sheet1!BN375+P375+'Calculations II'!BC375+Calculation!AI375+Calculation!CZ375</f>
        <v>54.876252633329685</v>
      </c>
      <c r="AG375" s="106">
        <f ca="1">IF(B375=TODAY(),0,Sheet1!AA375+Sheet1!BN375+'Calculations II'!BC375+'Calculations II'!P375-Sheet1!CP375-BP375)</f>
        <v>30.182996496229176</v>
      </c>
      <c r="AH375" s="106">
        <f ca="1">IF(B375=TODAY(),0,Sheet1!AA375+Sheet1!BN375+'Calculations II'!BC375+'Calculations II'!P375-BP375)</f>
        <v>46.342996496229176</v>
      </c>
      <c r="AI375" s="106">
        <f ca="1">IF(B375=TODAY(),0,BC375+Sheet1!AA375+Calculation!EI375+O375+W375+Sheet1!BN375+Calculation!AI375+Calculation!CZ375-BP375)</f>
        <v>54.876252633329685</v>
      </c>
      <c r="AJ375" s="106"/>
      <c r="AM375" s="102">
        <f t="shared" si="43"/>
        <v>40904</v>
      </c>
      <c r="AN375" s="106"/>
      <c r="AO375" s="106"/>
      <c r="AR375" s="106"/>
      <c r="AT375" s="101">
        <f>Sheet1!AR375*GPMtoMGD</f>
        <v>0</v>
      </c>
      <c r="AU375" s="101">
        <f>Sheet1!AS375*GPMtoMGD</f>
        <v>2.0592000000000003E-2</v>
      </c>
      <c r="AV375" s="101">
        <f>Sheet1!AT375*GPMtoMGD</f>
        <v>0</v>
      </c>
      <c r="AW375" s="101">
        <f>Sheet1!AV375*GPMtoMGD</f>
        <v>0.53136000000000005</v>
      </c>
      <c r="AX375" s="101">
        <f>Sheet1!AW375*GPMtoMGD</f>
        <v>0.52992000000000006</v>
      </c>
      <c r="AY375" s="101">
        <f>Sheet1!AX375*GPMtoMGD</f>
        <v>0</v>
      </c>
      <c r="AZ375" s="101">
        <f>Sheet1!AY375*GPMtoMGD</f>
        <v>0</v>
      </c>
      <c r="BA375" s="101">
        <f>Sheet1!AZ375*GPMtoMGD</f>
        <v>0</v>
      </c>
      <c r="BB375" s="101">
        <f>Sheet1!BP375*GPMtoMGD</f>
        <v>6.480000000000001E-2</v>
      </c>
      <c r="BC375" s="101">
        <f>Sheet1!CO375*GPMtoMGD</f>
        <v>0</v>
      </c>
      <c r="BD375" s="101">
        <f>Sheet1!BO375*GPMtoMGD</f>
        <v>1.4048640000000001</v>
      </c>
      <c r="BE375" s="101">
        <f>Sheet1!BV375*GPMtoMGD</f>
        <v>0.68673600000000001</v>
      </c>
      <c r="BF375" s="101">
        <f>Sheet1!CJ375*GPMtoMGD</f>
        <v>0.22435200000000002</v>
      </c>
      <c r="BG375" s="101">
        <f>Sheet1!CK375*GPMtoMGD</f>
        <v>0.54158400000000007</v>
      </c>
      <c r="BH375" s="101">
        <f>Sheet1!CL375*GPMtoMGD</f>
        <v>0.67593599999999998</v>
      </c>
      <c r="BI375" s="101">
        <f t="shared" si="44"/>
        <v>1.4696640000000001</v>
      </c>
      <c r="BK375" s="106">
        <f>SUM(AT375:BA375,BE375,Sheet1!BU375,'Calculations II'!BC375,Calculation!AG375)</f>
        <v>37.835351862899486</v>
      </c>
      <c r="BM375" s="439">
        <f ca="1">IF(B375=TODAY(),0,IF(AND(Sheet1!BQ375&lt;=11.5,Sheet1!BQ374&gt;Sheet1!BQ375),(MIN(Lookup!$C$119,VLOOKUP(Sheet1!BQ374,Lookup!$B$4:$J$236,2))-VLOOKUP(Sheet1!BQ375,Lookup!$B$4:$J$236,2))/1000000,0))</f>
        <v>0</v>
      </c>
      <c r="BN375" s="439">
        <f ca="1">IF(B375=TODAY(),0,IF(AND(Sheet1!BR375&lt;=11.5,Sheet1!BR374&gt;Sheet1!BR375),(MIN(Lookup!$D$119,VLOOKUP(Sheet1!BR374,Lookup!$B$4:$J$236,3))-VLOOKUP(Sheet1!BR375,Lookup!$B$4:$J$236,3))/1000000,0))</f>
        <v>0</v>
      </c>
      <c r="BP375" s="105">
        <f ca="1">SUM(BM375:BN375,W375,Sheet1!DT375)</f>
        <v>0</v>
      </c>
    </row>
    <row r="376" spans="1:68" s="101" customFormat="1">
      <c r="A376" s="101" t="s">
        <v>5</v>
      </c>
      <c r="B376" s="103">
        <v>40905</v>
      </c>
      <c r="C376" s="104">
        <v>0.33333333333357601</v>
      </c>
      <c r="E376" s="30"/>
      <c r="F376" s="30">
        <f ca="1">IF(B376=TODAY(),0,-(VLOOKUP(Sheet1!BZ376,Lookup!$I$4:$J$216,2)-VLOOKUP(Sheet1!BZ375,Lookup!$I$4:$J$216,2))/1000000)</f>
        <v>0.41454775419119744</v>
      </c>
      <c r="G376" s="106">
        <f ca="1">IF(B376=TODAY(),0,-$G$6*(Sheet1!CB376-Sheet1!CB375)*7.48/1000000)</f>
        <v>-0.3177080084204747</v>
      </c>
      <c r="H376" s="106">
        <f ca="1">IF(B376=TODAY(),0,-$G$6*(Sheet1!CC376-Sheet1!CC375)*7.48/1000000)</f>
        <v>-0.71484301894606683</v>
      </c>
      <c r="I376" s="106">
        <f ca="1">IF(B376=TODAY(),0,-$G$6*(Sheet1!CD376-Sheet1!CD375)*7.48/1000000)</f>
        <v>-0.75455651999862683</v>
      </c>
      <c r="J376" s="107" t="s">
        <v>193</v>
      </c>
      <c r="K376" s="106">
        <f ca="1">IF(B376=TODAY(),0,-$I$6*(Sheet1!CD376-Sheet1!CD375)*7.48/1000000)</f>
        <v>-0.34183866013251396</v>
      </c>
      <c r="L376" s="107" t="s">
        <v>193</v>
      </c>
      <c r="M376" s="106">
        <f ca="1">IF(B376=TODAY(),0,-$M$6*(Sheet1!CE376-Sheet1!CE375)*7.48/1000000)</f>
        <v>-0.11993976674025177</v>
      </c>
      <c r="N376" s="106">
        <f ca="1">IF(B376=TODAY(),0,-$N$6*(Sheet1!CF376-Sheet1!CF375)*7.48/1000000)</f>
        <v>6.2052345394623676E-2</v>
      </c>
      <c r="O376" s="106">
        <f t="shared" ca="1" si="40"/>
        <v>-1.7722858746521131</v>
      </c>
      <c r="P376" s="106">
        <f ca="1">O376+Calculation!EI376</f>
        <v>-0.40448587465211316</v>
      </c>
      <c r="Q376" s="101" t="str">
        <f>IF(Sheet1!BQ376&gt;21.75,"spill elevation","-")</f>
        <v>-</v>
      </c>
      <c r="R376" s="101" t="str">
        <f>IF(Sheet1!BR376&gt;21.75,"spill elevation","-")</f>
        <v>-</v>
      </c>
      <c r="S376" s="101" t="str">
        <f>IF(Sheet1!BS376&gt;21.75,"spill elevation","-")</f>
        <v>-</v>
      </c>
      <c r="T376" s="105">
        <f>IF(Sheet1!DQ376=1,Sheet1!AA376-(SUM(AT376:BA376)+BE376),Sheet1!AA376-SUM(AT376:BA376))</f>
        <v>25.897488000005822</v>
      </c>
      <c r="U376" s="105">
        <f>Sheet1!BU376</f>
        <v>22.7</v>
      </c>
      <c r="V376" s="105">
        <f t="shared" si="41"/>
        <v>3.1974880000058228</v>
      </c>
      <c r="W376" s="105">
        <f t="shared" si="42"/>
        <v>0</v>
      </c>
      <c r="X376" s="101">
        <f>IF((Sheet1!EX376-Sheet1!EX375)&lt;0,(Sheet1!EX376+100000-Sheet1!EX375)/1000,(Sheet1!EX376-Sheet1!EX375)/1000)</f>
        <v>1.4590000000000001</v>
      </c>
      <c r="Y376" s="106">
        <f ca="1">Calculation!DZ377+Calculation!EI376+'Calculations II'!O376-'Calculations II'!W376</f>
        <v>40.785514125339162</v>
      </c>
      <c r="Z376" s="106">
        <f ca="1">Y376-Sheet1!CP377</f>
        <v>25.195514125339162</v>
      </c>
      <c r="AA376" s="106">
        <f ca="1">Y376+Calculation!CZ377+Calculation!AI377</f>
        <v>40.785514125339162</v>
      </c>
      <c r="AC376" s="106">
        <f>Sheet1!AA376+Sheet1!AB376+BC376</f>
        <v>44.22000000000844</v>
      </c>
      <c r="AD376" s="106">
        <f>Sheet1!AA376+Sheet1!BN376+'Calculations II'!BC376-Calculation!AI376-Calculation!CZ376</f>
        <v>39.425070422540628</v>
      </c>
      <c r="AE376" s="106">
        <f>Sheet1!AA376+Sheet1!AB376+'Calculations II'!BC376-Calculation!AI376-Calculation!CZ376</f>
        <v>41.645070422543242</v>
      </c>
      <c r="AF376" s="106">
        <f ca="1">Sheet1!AA376+Sheet1!BN376+P376+'Calculations II'!BC376+Calculation!AI376+Calculation!CZ376</f>
        <v>44.170443702818901</v>
      </c>
      <c r="AG376" s="106">
        <f ca="1">IF(B376=TODAY(),0,Sheet1!AA376+Sheet1!BN376+'Calculations II'!BC376+'Calculations II'!P376-Sheet1!CP376-BP376)</f>
        <v>25.965514125353707</v>
      </c>
      <c r="AH376" s="106">
        <f ca="1">IF(B376=TODAY(),0,Sheet1!AA376+Sheet1!BN376+'Calculations II'!BC376+'Calculations II'!P376-BP376)</f>
        <v>41.595514125353709</v>
      </c>
      <c r="AI376" s="106">
        <f ca="1">IF(B376=TODAY(),0,BC376+Sheet1!AA376+Calculation!EI376+O376+W376+Sheet1!BN376+Calculation!AI376+Calculation!CZ376-BP376)</f>
        <v>44.170443702818901</v>
      </c>
      <c r="AJ376" s="106"/>
      <c r="AM376" s="102">
        <f t="shared" si="43"/>
        <v>40905</v>
      </c>
      <c r="AN376" s="106"/>
      <c r="AO376" s="106"/>
      <c r="AR376" s="106"/>
      <c r="AT376" s="101">
        <f>Sheet1!AR376*GPMtoMGD</f>
        <v>0</v>
      </c>
      <c r="AU376" s="101">
        <f>Sheet1!AS376*GPMtoMGD</f>
        <v>1.5696000000000002E-2</v>
      </c>
      <c r="AV376" s="101">
        <f>Sheet1!AT376*GPMtoMGD</f>
        <v>0</v>
      </c>
      <c r="AW376" s="101">
        <f>Sheet1!AV376*GPMtoMGD</f>
        <v>0.79603199999999996</v>
      </c>
      <c r="AX376" s="101">
        <f>Sheet1!AW376*GPMtoMGD</f>
        <v>0.89078400000000013</v>
      </c>
      <c r="AY376" s="101">
        <f>Sheet1!AX376*GPMtoMGD</f>
        <v>0</v>
      </c>
      <c r="AZ376" s="101">
        <f>Sheet1!AY376*GPMtoMGD</f>
        <v>0</v>
      </c>
      <c r="BA376" s="101">
        <f>Sheet1!AZ376*GPMtoMGD</f>
        <v>0</v>
      </c>
      <c r="BB376" s="101">
        <f>Sheet1!BP376*GPMtoMGD</f>
        <v>0</v>
      </c>
      <c r="BC376" s="101">
        <f>Sheet1!CO376*GPMtoMGD</f>
        <v>0</v>
      </c>
      <c r="BD376" s="101">
        <f>Sheet1!BO376*GPMtoMGD</f>
        <v>2.292192</v>
      </c>
      <c r="BE376" s="101">
        <f>Sheet1!BV376*GPMtoMGD</f>
        <v>0.60638400000000003</v>
      </c>
      <c r="BF376" s="101">
        <f>Sheet1!CJ376*GPMtoMGD</f>
        <v>0.20779200000000003</v>
      </c>
      <c r="BG376" s="101">
        <f>Sheet1!CK376*GPMtoMGD</f>
        <v>0.51883200000000007</v>
      </c>
      <c r="BH376" s="101">
        <f>Sheet1!CL376*GPMtoMGD</f>
        <v>0.67132800000000004</v>
      </c>
      <c r="BI376" s="101">
        <f t="shared" si="44"/>
        <v>2.292192</v>
      </c>
      <c r="BK376" s="106">
        <f>SUM(AT376:BA376,BE376,Sheet1!BU376,'Calculations II'!BC376,Calculation!AG376)</f>
        <v>39.053966422537428</v>
      </c>
      <c r="BM376" s="439">
        <f ca="1">IF(B376=TODAY(),0,IF(AND(Sheet1!BQ376&lt;=11.5,Sheet1!BQ375&gt;Sheet1!BQ376),(MIN(Lookup!$C$119,VLOOKUP(Sheet1!BQ375,Lookup!$B$4:$J$236,2))-VLOOKUP(Sheet1!BQ376,Lookup!$B$4:$J$236,2))/1000000,0))</f>
        <v>0</v>
      </c>
      <c r="BN376" s="439">
        <f ca="1">IF(B376=TODAY(),0,IF(AND(Sheet1!BR376&lt;=11.5,Sheet1!BR375&gt;Sheet1!BR376),(MIN(Lookup!$D$119,VLOOKUP(Sheet1!BR375,Lookup!$B$4:$J$236,3))-VLOOKUP(Sheet1!BR376,Lookup!$B$4:$J$236,3))/1000000,0))</f>
        <v>0</v>
      </c>
      <c r="BP376" s="105">
        <f ca="1">SUM(BM376:BN376,W376,Sheet1!DT376)</f>
        <v>0</v>
      </c>
    </row>
    <row r="377" spans="1:68" s="101" customFormat="1">
      <c r="A377" s="101" t="s">
        <v>6</v>
      </c>
      <c r="B377" s="103">
        <v>40906</v>
      </c>
      <c r="C377" s="104">
        <v>0.33333333333357601</v>
      </c>
      <c r="E377" s="30"/>
      <c r="F377" s="30">
        <f ca="1">IF(B377=TODAY(),0,-(VLOOKUP(Sheet1!BZ377,Lookup!$I$4:$J$216,2)-VLOOKUP(Sheet1!BZ376,Lookup!$I$4:$J$216,2))/1000000)</f>
        <v>-0.41454775419119744</v>
      </c>
      <c r="G377" s="106">
        <f ca="1">IF(B377=TODAY(),0,-$G$6*(Sheet1!CB377-Sheet1!CB376)*7.48/1000000)</f>
        <v>0.19856750526279648</v>
      </c>
      <c r="H377" s="106">
        <f ca="1">IF(B377=TODAY(),0,-$G$6*(Sheet1!CC377-Sheet1!CC376)*7.48/1000000)</f>
        <v>0.71484301894606683</v>
      </c>
      <c r="I377" s="106">
        <f ca="1">IF(B377=TODAY(),0,-$G$6*(Sheet1!CD377-Sheet1!CD376)*7.48/1000000)</f>
        <v>0.75455651999862683</v>
      </c>
      <c r="J377" s="107" t="s">
        <v>193</v>
      </c>
      <c r="K377" s="106">
        <f ca="1">IF(B377=TODAY(),0,-$I$6*(Sheet1!CD377-Sheet1!CD376)*7.48/1000000)</f>
        <v>0.34183866013251396</v>
      </c>
      <c r="L377" s="107" t="s">
        <v>193</v>
      </c>
      <c r="M377" s="106">
        <f ca="1">IF(B377=TODAY(),0,-$M$6*(Sheet1!CE377-Sheet1!CE376)*7.48/1000000)</f>
        <v>0.11993976674025177</v>
      </c>
      <c r="N377" s="106">
        <f ca="1">IF(B377=TODAY(),0,-$N$6*(Sheet1!CF377-Sheet1!CF376)*7.48/1000000)</f>
        <v>0</v>
      </c>
      <c r="O377" s="106">
        <f t="shared" ca="1" si="40"/>
        <v>1.7151977168890586</v>
      </c>
      <c r="P377" s="106">
        <f ca="1">O377+Calculation!EI377</f>
        <v>4.7249977168890585</v>
      </c>
      <c r="Q377" s="101" t="str">
        <f>IF(Sheet1!BQ377&gt;21.75,"spill elevation","-")</f>
        <v>-</v>
      </c>
      <c r="R377" s="101" t="str">
        <f>IF(Sheet1!BR377&gt;21.75,"spill elevation","-")</f>
        <v>-</v>
      </c>
      <c r="S377" s="101" t="str">
        <f>IF(Sheet1!BS377&gt;21.75,"spill elevation","-")</f>
        <v>-</v>
      </c>
      <c r="T377" s="105">
        <f>IF(Sheet1!DQ377=1,Sheet1!AA377-(SUM(AT377:BA377)+BE377),Sheet1!AA377-SUM(AT377:BA377))</f>
        <v>26.389791999991267</v>
      </c>
      <c r="U377" s="105">
        <f>Sheet1!BU377</f>
        <v>22.1</v>
      </c>
      <c r="V377" s="105">
        <f t="shared" si="41"/>
        <v>4.2897919999912659</v>
      </c>
      <c r="W377" s="105">
        <f t="shared" si="42"/>
        <v>0</v>
      </c>
      <c r="X377" s="101">
        <f>IF((Sheet1!EX377-Sheet1!EX376)&lt;0,(Sheet1!EX377+100000-Sheet1!EX376)/1000,(Sheet1!EX377-Sheet1!EX376)/1000)</f>
        <v>1.419</v>
      </c>
      <c r="Y377" s="106">
        <f ca="1">Calculation!DZ378+Calculation!EI377+'Calculations II'!O377-'Calculations II'!W377</f>
        <v>45.704997716892258</v>
      </c>
      <c r="Z377" s="106">
        <f ca="1">Y377-Sheet1!CP378</f>
        <v>30.284997716892256</v>
      </c>
      <c r="AA377" s="106">
        <f ca="1">Y377+Calculation!CZ378+Calculation!AI378</f>
        <v>45.704997716892258</v>
      </c>
      <c r="AC377" s="106">
        <f>Sheet1!AA377+Sheet1!AB377+BC377</f>
        <v>41.189999999991272</v>
      </c>
      <c r="AD377" s="106">
        <f>Sheet1!AA377+Sheet1!BN377+'Calculations II'!BC377-Calculation!AI377-Calculation!CZ377</f>
        <v>41.099999999991269</v>
      </c>
      <c r="AE377" s="106">
        <f>Sheet1!AA377+Sheet1!AB377+'Calculations II'!BC377-Calculation!AI377-Calculation!CZ377</f>
        <v>41.189999999991272</v>
      </c>
      <c r="AF377" s="106">
        <f ca="1">Sheet1!AA377+Sheet1!BN377+P377+'Calculations II'!BC377+Calculation!AI377+Calculation!CZ377</f>
        <v>45.824997716880326</v>
      </c>
      <c r="AG377" s="106">
        <f ca="1">IF(B377=TODAY(),0,Sheet1!AA377+Sheet1!BN377+'Calculations II'!BC377+'Calculations II'!P377-Sheet1!CP377-BP377)</f>
        <v>30.234997716880326</v>
      </c>
      <c r="AH377" s="106">
        <f ca="1">IF(B377=TODAY(),0,Sheet1!AA377+Sheet1!BN377+'Calculations II'!BC377+'Calculations II'!P377-BP377)</f>
        <v>45.824997716880326</v>
      </c>
      <c r="AI377" s="106">
        <f ca="1">IF(B377=TODAY(),0,BC377+Sheet1!AA377+Calculation!EI377+O377+W377+Sheet1!BN377+Calculation!AI377+Calculation!CZ377-BP377)</f>
        <v>45.824997716880326</v>
      </c>
      <c r="AJ377" s="106"/>
      <c r="AM377" s="102">
        <f t="shared" si="43"/>
        <v>40906</v>
      </c>
      <c r="AN377" s="106"/>
      <c r="AO377" s="106"/>
      <c r="AR377" s="106"/>
      <c r="AT377" s="101">
        <f>Sheet1!AR377*GPMtoMGD</f>
        <v>0</v>
      </c>
      <c r="AU377" s="101">
        <f>Sheet1!AS377*GPMtoMGD</f>
        <v>1.584E-2</v>
      </c>
      <c r="AV377" s="101">
        <f>Sheet1!AT377*GPMtoMGD</f>
        <v>0</v>
      </c>
      <c r="AW377" s="101">
        <f>Sheet1!AV377*GPMtoMGD</f>
        <v>0.32169600000000004</v>
      </c>
      <c r="AX377" s="101">
        <f>Sheet1!AW377*GPMtoMGD</f>
        <v>0.37267200000000006</v>
      </c>
      <c r="AY377" s="101">
        <f>Sheet1!AX377*GPMtoMGD</f>
        <v>0</v>
      </c>
      <c r="AZ377" s="101">
        <f>Sheet1!AY377*GPMtoMGD</f>
        <v>0</v>
      </c>
      <c r="BA377" s="101">
        <f>Sheet1!AZ377*GPMtoMGD</f>
        <v>0</v>
      </c>
      <c r="BB377" s="101">
        <f>Sheet1!BP377*GPMtoMGD</f>
        <v>0</v>
      </c>
      <c r="BC377" s="101">
        <f>Sheet1!CO377*GPMtoMGD</f>
        <v>0</v>
      </c>
      <c r="BD377" s="101">
        <f>Sheet1!BO377*GPMtoMGD</f>
        <v>1.2736800000000001</v>
      </c>
      <c r="BE377" s="101">
        <f>Sheet1!BV377*GPMtoMGD</f>
        <v>0.61286400000000008</v>
      </c>
      <c r="BF377" s="101">
        <f>Sheet1!CJ377*GPMtoMGD</f>
        <v>0.19857600000000003</v>
      </c>
      <c r="BG377" s="101">
        <f>Sheet1!CK377*GPMtoMGD</f>
        <v>0.51825600000000005</v>
      </c>
      <c r="BH377" s="101">
        <f>Sheet1!CL377*GPMtoMGD</f>
        <v>0.67665600000000004</v>
      </c>
      <c r="BI377" s="101">
        <f t="shared" si="44"/>
        <v>1.2736800000000001</v>
      </c>
      <c r="BK377" s="106">
        <f>SUM(AT377:BA377,BE377,Sheet1!BU377,'Calculations II'!BC377,Calculation!AG377)</f>
        <v>37.513072000000001</v>
      </c>
      <c r="BM377" s="439">
        <f ca="1">IF(B377=TODAY(),0,IF(AND(Sheet1!BQ377&lt;=11.5,Sheet1!BQ376&gt;Sheet1!BQ377),(MIN(Lookup!$C$119,VLOOKUP(Sheet1!BQ376,Lookup!$B$4:$J$236,2))-VLOOKUP(Sheet1!BQ377,Lookup!$B$4:$J$236,2))/1000000,0))</f>
        <v>0</v>
      </c>
      <c r="BN377" s="439">
        <f ca="1">IF(B377=TODAY(),0,IF(AND(Sheet1!BR377&lt;=11.5,Sheet1!BR376&gt;Sheet1!BR377),(MIN(Lookup!$D$119,VLOOKUP(Sheet1!BR376,Lookup!$B$4:$J$236,3))-VLOOKUP(Sheet1!BR377,Lookup!$B$4:$J$236,3))/1000000,0))</f>
        <v>0</v>
      </c>
      <c r="BP377" s="105">
        <f ca="1">SUM(BM377:BN377,W377,Sheet1!DT377)</f>
        <v>0</v>
      </c>
    </row>
    <row r="378" spans="1:68" s="101" customFormat="1">
      <c r="A378" s="101" t="s">
        <v>7</v>
      </c>
      <c r="B378" s="103">
        <v>40907</v>
      </c>
      <c r="C378" s="104">
        <v>0.33333333333357601</v>
      </c>
      <c r="E378" s="30"/>
      <c r="F378" s="30">
        <f ca="1">IF(B378=TODAY(),0,-(VLOOKUP(Sheet1!BZ378,Lookup!$I$4:$J$216,2)-VLOOKUP(Sheet1!BZ377,Lookup!$I$4:$J$216,2))/1000000)</f>
        <v>0.10363693854779936</v>
      </c>
      <c r="G378" s="106">
        <f ca="1">IF(B378=TODAY(),0,-$G$6*(Sheet1!CB378-Sheet1!CB377)*7.48/1000000)</f>
        <v>-0.43684851157815213</v>
      </c>
      <c r="H378" s="106">
        <f ca="1">IF(B378=TODAY(),0,-$G$6*(Sheet1!CC378-Sheet1!CC377)*7.48/1000000)</f>
        <v>-0.59570251578838951</v>
      </c>
      <c r="I378" s="106">
        <f ca="1">IF(B378=TODAY(),0,-$G$6*(Sheet1!CD378-Sheet1!CD377)*7.48/1000000)</f>
        <v>-0.63541601684094862</v>
      </c>
      <c r="J378" s="107" t="s">
        <v>193</v>
      </c>
      <c r="K378" s="106">
        <f ca="1">IF(B378=TODAY(),0,-$I$6*(Sheet1!CD378-Sheet1!CD377)*7.48/1000000)</f>
        <v>-0.28786413484843265</v>
      </c>
      <c r="L378" s="107" t="s">
        <v>193</v>
      </c>
      <c r="M378" s="106">
        <f ca="1">IF(B378=TODAY(),0,-$M$6*(Sheet1!CE378-Sheet1!CE377)*7.48/1000000)</f>
        <v>-0.10661312599133493</v>
      </c>
      <c r="N378" s="106">
        <f ca="1">IF(B378=TODAY(),0,-$N$6*(Sheet1!CF378-Sheet1!CF377)*7.48/1000000)</f>
        <v>0.12410469078924735</v>
      </c>
      <c r="O378" s="106">
        <f t="shared" ca="1" si="40"/>
        <v>-1.8347026757102112</v>
      </c>
      <c r="P378" s="106">
        <f ca="1">O378+Calculation!EI378</f>
        <v>0.33399732428978868</v>
      </c>
      <c r="Q378" s="101" t="str">
        <f>IF(Sheet1!BQ378&gt;21.75,"spill elevation","-")</f>
        <v>-</v>
      </c>
      <c r="R378" s="101" t="str">
        <f>IF(Sheet1!BR378&gt;21.75,"spill elevation","-")</f>
        <v>-</v>
      </c>
      <c r="S378" s="101" t="str">
        <f>IF(Sheet1!BS378&gt;21.75,"spill elevation","-")</f>
        <v>-</v>
      </c>
      <c r="T378" s="105">
        <f>IF(Sheet1!DQ378=1,Sheet1!AA378-(SUM(AT378:BA378)+BE378),Sheet1!AA378-SUM(AT378:BA378))</f>
        <v>23.280768000002912</v>
      </c>
      <c r="U378" s="105">
        <f>Sheet1!BU378</f>
        <v>20.5</v>
      </c>
      <c r="V378" s="105">
        <f t="shared" si="41"/>
        <v>2.7807680000029116</v>
      </c>
      <c r="W378" s="105">
        <f t="shared" si="42"/>
        <v>0</v>
      </c>
      <c r="X378" s="101">
        <f>IF((Sheet1!EX378-Sheet1!EX377)&lt;0,(Sheet1!EX378+100000-Sheet1!EX377)/1000,(Sheet1!EX378-Sheet1!EX377)/1000)</f>
        <v>1.4019999999999999</v>
      </c>
      <c r="Y378" s="106">
        <f ca="1">Calculation!DZ379+Calculation!EI378+'Calculations II'!O378-'Calculations II'!W378</f>
        <v>38.33399732428979</v>
      </c>
      <c r="Z378" s="106">
        <f ca="1">Y378-Sheet1!CP379</f>
        <v>23.01399732428979</v>
      </c>
      <c r="AA378" s="106">
        <f ca="1">Y378+Calculation!CZ379+Calculation!AI379</f>
        <v>38.33399732428979</v>
      </c>
      <c r="AC378" s="106">
        <f>Sheet1!AA378+Sheet1!AB378+BC378</f>
        <v>40.980000000003201</v>
      </c>
      <c r="AD378" s="106">
        <f>Sheet1!AA378+Sheet1!BN378+'Calculations II'!BC378-Calculation!AI378-Calculation!CZ378</f>
        <v>41.200000000002909</v>
      </c>
      <c r="AE378" s="106">
        <f>Sheet1!AA378+Sheet1!AB378+'Calculations II'!BC378-Calculation!AI378-Calculation!CZ378</f>
        <v>40.980000000003201</v>
      </c>
      <c r="AF378" s="106">
        <f ca="1">Sheet1!AA378+Sheet1!BN378+P378+'Calculations II'!BC378+Calculation!AI378+Calculation!CZ378</f>
        <v>41.533997324292699</v>
      </c>
      <c r="AG378" s="106">
        <f ca="1">IF(B378=TODAY(),0,Sheet1!AA378+Sheet1!BN378+'Calculations II'!BC378+'Calculations II'!P378-Sheet1!CP378-BP378)</f>
        <v>26.113997324292697</v>
      </c>
      <c r="AH378" s="106">
        <f ca="1">IF(B378=TODAY(),0,Sheet1!AA378+Sheet1!BN378+'Calculations II'!BC378+'Calculations II'!P378-BP378)</f>
        <v>41.533997324292699</v>
      </c>
      <c r="AI378" s="106">
        <f ca="1">IF(B378=TODAY(),0,BC378+Sheet1!AA378+Calculation!EI378+O378+W378+Sheet1!BN378+Calculation!AI378+Calculation!CZ378-BP378)</f>
        <v>41.533997324292699</v>
      </c>
      <c r="AJ378" s="106"/>
      <c r="AM378" s="102">
        <f t="shared" si="43"/>
        <v>40907</v>
      </c>
      <c r="AN378" s="106"/>
      <c r="AO378" s="106"/>
      <c r="AR378" s="106"/>
      <c r="AT378" s="101">
        <f>Sheet1!AR378*GPMtoMGD</f>
        <v>0</v>
      </c>
      <c r="AU378" s="101">
        <f>Sheet1!AS378*GPMtoMGD</f>
        <v>1.6128E-2</v>
      </c>
      <c r="AV378" s="101">
        <f>Sheet1!AT378*GPMtoMGD</f>
        <v>0</v>
      </c>
      <c r="AW378" s="101">
        <f>Sheet1!AV378*GPMtoMGD</f>
        <v>0.48844799999999999</v>
      </c>
      <c r="AX378" s="101">
        <f>Sheet1!AW378*GPMtoMGD</f>
        <v>0.514656</v>
      </c>
      <c r="AY378" s="101">
        <f>Sheet1!AX378*GPMtoMGD</f>
        <v>0</v>
      </c>
      <c r="AZ378" s="101">
        <f>Sheet1!AY378*GPMtoMGD</f>
        <v>0</v>
      </c>
      <c r="BA378" s="101">
        <f>Sheet1!AZ378*GPMtoMGD</f>
        <v>0</v>
      </c>
      <c r="BB378" s="101">
        <f>Sheet1!BP378*GPMtoMGD</f>
        <v>0</v>
      </c>
      <c r="BC378" s="101">
        <f>Sheet1!CO378*GPMtoMGD</f>
        <v>0</v>
      </c>
      <c r="BD378" s="101">
        <f>Sheet1!BO378*GPMtoMGD</f>
        <v>2.2252320000000001</v>
      </c>
      <c r="BE378" s="101">
        <f>Sheet1!BV378*GPMtoMGD</f>
        <v>0.62251200000000007</v>
      </c>
      <c r="BF378" s="101">
        <f>Sheet1!CJ378*GPMtoMGD</f>
        <v>0.19123200000000004</v>
      </c>
      <c r="BG378" s="101">
        <f>Sheet1!CK378*GPMtoMGD</f>
        <v>0.53856000000000004</v>
      </c>
      <c r="BH378" s="101">
        <f>Sheet1!CL378*GPMtoMGD</f>
        <v>0.66772799999999999</v>
      </c>
      <c r="BI378" s="101">
        <f t="shared" si="44"/>
        <v>2.2252320000000001</v>
      </c>
      <c r="BK378" s="106">
        <f>SUM(AT378:BA378,BE378,Sheet1!BU378,'Calculations II'!BC378,Calculation!AG378)</f>
        <v>38.821744000000294</v>
      </c>
      <c r="BM378" s="439">
        <f ca="1">IF(B378=TODAY(),0,IF(AND(Sheet1!BQ378&lt;=11.5,Sheet1!BQ377&gt;Sheet1!BQ378),(MIN(Lookup!$C$119,VLOOKUP(Sheet1!BQ377,Lookup!$B$4:$J$236,2))-VLOOKUP(Sheet1!BQ378,Lookup!$B$4:$J$236,2))/1000000,0))</f>
        <v>0</v>
      </c>
      <c r="BN378" s="439">
        <f ca="1">IF(B378=TODAY(),0,IF(AND(Sheet1!BR378&lt;=11.5,Sheet1!BR377&gt;Sheet1!BR378),(MIN(Lookup!$D$119,VLOOKUP(Sheet1!BR377,Lookup!$B$4:$J$236,3))-VLOOKUP(Sheet1!BR378,Lookup!$B$4:$J$236,3))/1000000,0))</f>
        <v>0</v>
      </c>
      <c r="BP378" s="105">
        <f ca="1">SUM(BM378:BN378,W378,Sheet1!DT378)</f>
        <v>0</v>
      </c>
    </row>
    <row r="379" spans="1:68" s="101" customFormat="1">
      <c r="A379" s="101" t="s">
        <v>8</v>
      </c>
      <c r="B379" s="103">
        <v>40908</v>
      </c>
      <c r="C379" s="104">
        <v>0.33333333333357601</v>
      </c>
      <c r="E379" s="30"/>
      <c r="F379" s="30">
        <f ca="1">IF(B379=TODAY(),0,-(VLOOKUP(Sheet1!BZ379,Lookup!$I$4:$J$216,2)-VLOOKUP(Sheet1!BZ378,Lookup!$I$4:$J$216,2))/1000000)</f>
        <v>-0.20727387709559872</v>
      </c>
      <c r="G379" s="106">
        <f ca="1">IF(B379=TODAY(),0,-$G$6*(Sheet1!CB379-Sheet1!CB378)*7.48/1000000)</f>
        <v>0.27799450736791476</v>
      </c>
      <c r="H379" s="106">
        <f ca="1">IF(B379=TODAY(),0,-$G$6*(Sheet1!CC379-Sheet1!CC378)*7.48/1000000)</f>
        <v>0.39713501052559297</v>
      </c>
      <c r="I379" s="106">
        <f ca="1">IF(B379=TODAY(),0,-$G$6*(Sheet1!CD379-Sheet1!CD378)*7.48/1000000)</f>
        <v>0.39713501052559297</v>
      </c>
      <c r="J379" s="107" t="s">
        <v>193</v>
      </c>
      <c r="K379" s="106">
        <f ca="1">IF(B379=TODAY(),0,-$I$6*(Sheet1!CD379-Sheet1!CD378)*7.48/1000000)</f>
        <v>0.17991508428027048</v>
      </c>
      <c r="L379" s="107" t="s">
        <v>193</v>
      </c>
      <c r="M379" s="106">
        <f ca="1">IF(B379=TODAY(),0,-$M$6*(Sheet1!CE379-Sheet1!CE378)*7.48/1000000)</f>
        <v>6.6633203744584424E-2</v>
      </c>
      <c r="N379" s="106">
        <f ca="1">IF(B379=TODAY(),0,-$N$6*(Sheet1!CF379-Sheet1!CF378)*7.48/1000000)</f>
        <v>-0.12410469078924735</v>
      </c>
      <c r="O379" s="106">
        <f t="shared" ca="1" si="40"/>
        <v>0.98743424855910966</v>
      </c>
      <c r="P379" s="106">
        <f ca="1">O379+Calculation!EI379</f>
        <v>6.3716342485591095</v>
      </c>
      <c r="Q379" s="101" t="str">
        <f>IF(Sheet1!BQ379&gt;21.75,"spill elevation","-")</f>
        <v>-</v>
      </c>
      <c r="R379" s="101" t="str">
        <f>IF(Sheet1!BR379&gt;21.75,"spill elevation","-")</f>
        <v>-</v>
      </c>
      <c r="S379" s="101" t="str">
        <f>IF(Sheet1!BS379&gt;21.75,"spill elevation","-")</f>
        <v>-</v>
      </c>
      <c r="T379" s="105">
        <f>IF(Sheet1!DQ379=1,Sheet1!AA379-(SUM(AT379:BA379)+BE379),Sheet1!AA379-SUM(AT379:BA379))</f>
        <v>23.684415999999999</v>
      </c>
      <c r="U379" s="105">
        <f>Sheet1!BU379</f>
        <v>22.7</v>
      </c>
      <c r="V379" s="105">
        <f t="shared" si="41"/>
        <v>0.98441599999999951</v>
      </c>
      <c r="W379" s="105">
        <f t="shared" si="42"/>
        <v>0</v>
      </c>
      <c r="X379" s="101">
        <f>IF((Sheet1!EX379-Sheet1!EX378)&lt;0,(Sheet1!EX379+100000-Sheet1!EX378)/1000,(Sheet1!EX379-Sheet1!EX378)/1000)</f>
        <v>1.3220000000000001</v>
      </c>
      <c r="Y379" s="106">
        <f ca="1">Calculation!DZ380+Calculation!EI379+'Calculations II'!O379-'Calculations II'!W379</f>
        <v>46.551794248559112</v>
      </c>
      <c r="Z379" s="106">
        <f ca="1">Y379-Sheet1!CP380</f>
        <v>31.361794248559114</v>
      </c>
      <c r="AA379" s="106">
        <f ca="1">Y379+Calculation!CZ380+Calculation!AI380</f>
        <v>46.551794248559112</v>
      </c>
      <c r="AC379" s="106">
        <f>Sheet1!AA379+Sheet1!AB379+BC379</f>
        <v>38</v>
      </c>
      <c r="AD379" s="106">
        <f>Sheet1!AA379+Sheet1!BN379+'Calculations II'!BC379-Calculation!AI379-Calculation!CZ379</f>
        <v>38</v>
      </c>
      <c r="AE379" s="106">
        <f>Sheet1!AA379+Sheet1!AB379+'Calculations II'!BC379-Calculation!AI379-Calculation!CZ379</f>
        <v>38</v>
      </c>
      <c r="AF379" s="106">
        <f ca="1">Sheet1!AA379+Sheet1!BN379+P379+'Calculations II'!BC379+Calculation!AI379+Calculation!CZ379</f>
        <v>44.371634248559111</v>
      </c>
      <c r="AG379" s="106">
        <f ca="1">IF(B379=TODAY(),0,Sheet1!AA379+Sheet1!BN379+'Calculations II'!BC379+'Calculations II'!P379-Sheet1!CP379-BP379)</f>
        <v>29.051634248559111</v>
      </c>
      <c r="AH379" s="106">
        <f ca="1">IF(B379=TODAY(),0,Sheet1!AA379+Sheet1!BN379+'Calculations II'!BC379+'Calculations II'!P379-BP379)</f>
        <v>44.371634248559111</v>
      </c>
      <c r="AI379" s="106">
        <f ca="1">IF(B379=TODAY(),0,BC379+Sheet1!AA379+Calculation!EI379+O379+W379+Sheet1!BN379+Calculation!AI379+Calculation!CZ379-BP379)</f>
        <v>44.371634248559111</v>
      </c>
      <c r="AJ379" s="106"/>
      <c r="AM379" s="102">
        <f t="shared" si="43"/>
        <v>40908</v>
      </c>
      <c r="AN379" s="106"/>
      <c r="AO379" s="106"/>
      <c r="AR379" s="106"/>
      <c r="AT379" s="101">
        <f>Sheet1!AR379*GPMtoMGD</f>
        <v>0</v>
      </c>
      <c r="AU379" s="101">
        <f>Sheet1!AS379*GPMtoMGD</f>
        <v>3.0816E-2</v>
      </c>
      <c r="AV379" s="101">
        <f>Sheet1!AT379*GPMtoMGD</f>
        <v>0</v>
      </c>
      <c r="AW379" s="101">
        <f>Sheet1!AV379*GPMtoMGD</f>
        <v>0.64094400000000007</v>
      </c>
      <c r="AX379" s="101">
        <f>Sheet1!AW379*GPMtoMGD</f>
        <v>0.64382400000000006</v>
      </c>
      <c r="AY379" s="101">
        <f>Sheet1!AX379*GPMtoMGD</f>
        <v>0</v>
      </c>
      <c r="AZ379" s="101">
        <f>Sheet1!AY379*GPMtoMGD</f>
        <v>0</v>
      </c>
      <c r="BA379" s="101">
        <f>Sheet1!AZ379*GPMtoMGD</f>
        <v>0</v>
      </c>
      <c r="BB379" s="101">
        <f>Sheet1!BP379*GPMtoMGD</f>
        <v>0</v>
      </c>
      <c r="BC379" s="101">
        <f>Sheet1!CO379*GPMtoMGD</f>
        <v>0</v>
      </c>
      <c r="BD379" s="101">
        <f>Sheet1!BO379*GPMtoMGD</f>
        <v>1.6290720000000001</v>
      </c>
      <c r="BE379" s="101">
        <f>Sheet1!BV379*GPMtoMGD</f>
        <v>0.63633600000000001</v>
      </c>
      <c r="BF379" s="101">
        <f>Sheet1!CJ379*GPMtoMGD</f>
        <v>0.35179200000000005</v>
      </c>
      <c r="BG379" s="101">
        <f>Sheet1!CK379*GPMtoMGD</f>
        <v>0.55728</v>
      </c>
      <c r="BH379" s="101">
        <f>Sheet1!CL379*GPMtoMGD</f>
        <v>0.65865600000000002</v>
      </c>
      <c r="BI379" s="101">
        <f t="shared" si="44"/>
        <v>1.6290720000000001</v>
      </c>
      <c r="BK379" s="106">
        <f>SUM(AT379:BA379,BE379,Sheet1!BU379,'Calculations II'!BC379,Calculation!AG379)</f>
        <v>37.651920000000004</v>
      </c>
      <c r="BM379" s="439">
        <f ca="1">IF(B379=TODAY(),0,IF(AND(Sheet1!BQ379&lt;=11.5,Sheet1!BQ378&gt;Sheet1!BQ379),(MIN(Lookup!$C$119,VLOOKUP(Sheet1!BQ378,Lookup!$B$4:$J$236,2))-VLOOKUP(Sheet1!BQ379,Lookup!$B$4:$J$236,2))/1000000,0))</f>
        <v>0</v>
      </c>
      <c r="BN379" s="439">
        <f ca="1">IF(B379=TODAY(),0,IF(AND(Sheet1!BR379&lt;=11.5,Sheet1!BR378&gt;Sheet1!BR379),(MIN(Lookup!$D$119,VLOOKUP(Sheet1!BR378,Lookup!$B$4:$J$236,3))-VLOOKUP(Sheet1!BR379,Lookup!$B$4:$J$236,3))/1000000,0))</f>
        <v>0</v>
      </c>
      <c r="BP379" s="105">
        <f ca="1">SUM(BM379:BN379,W379,Sheet1!DT379)</f>
        <v>0</v>
      </c>
    </row>
    <row r="380" spans="1:68" s="101" customFormat="1">
      <c r="A380" s="101" t="s">
        <v>9</v>
      </c>
      <c r="B380" s="103">
        <v>40909</v>
      </c>
      <c r="C380" s="104">
        <v>0.33333333333357601</v>
      </c>
      <c r="E380" s="30"/>
      <c r="F380" s="30">
        <f>-(VLOOKUP(Sheet1!BZ380,Lookup!$I$4:$J$216,2)-VLOOKUP(Sheet1!BZ379,Lookup!$I$4:$J$216,2))/1000000</f>
        <v>0.31091081564339806</v>
      </c>
      <c r="G380" s="106">
        <f>-$G$6*(Sheet1!CB380-Sheet1!CB379)*7.48/1000000</f>
        <v>0.27799450736791548</v>
      </c>
      <c r="H380" s="106">
        <f>-$H$6*(Sheet1!CA380-Sheet1!CA379)*7.48/1000000</f>
        <v>-9.0236594107590579E-2</v>
      </c>
      <c r="I380" s="106">
        <f>-$I$6*(Sheet1!CC380-Sheet1!CC379)*7.48/1000000</f>
        <v>8.9957542140135238E-2</v>
      </c>
      <c r="J380" s="107" t="s">
        <v>193</v>
      </c>
      <c r="K380" s="106">
        <f ca="1">IF(B380=TODAY(),0,-$I$6*(Sheet1!CD380-Sheet1!CD379)*7.48/1000000)</f>
        <v>0.10794905056816222</v>
      </c>
      <c r="L380" s="107" t="s">
        <v>193</v>
      </c>
      <c r="M380" s="106">
        <f ca="1">IF(B380=TODAY(),0,-$M$6*(Sheet1!CE380-Sheet1!CE379)*7.48/1000000)</f>
        <v>1.3326640748916837E-2</v>
      </c>
      <c r="N380" s="106">
        <f ca="1">IF(B380=TODAY(),0,-$N$6*(Sheet1!CF380-Sheet1!CF379)*7.48/1000000)</f>
        <v>0.18615703618387214</v>
      </c>
      <c r="O380" s="106">
        <f t="shared" ca="1" si="40"/>
        <v>0.8960589985448093</v>
      </c>
      <c r="P380" s="106">
        <f ca="1">O380+Calculation!EI380</f>
        <v>1.9638589985448094</v>
      </c>
      <c r="Q380" s="101" t="str">
        <f>IF(Sheet1!BQ380&gt;21.75,"spill elevation","-")</f>
        <v>-</v>
      </c>
      <c r="R380" s="101" t="str">
        <f>IF(Sheet1!BR380&gt;21.75,"spill elevation","-")</f>
        <v>-</v>
      </c>
      <c r="S380" s="101" t="str">
        <f>IF(Sheet1!BS380&gt;21.75,"spill elevation","-")</f>
        <v>-</v>
      </c>
      <c r="T380" s="105">
        <f>IF(Sheet1!DQ380=1,Sheet1!AA380-(SUM(AT380:BA380)+BE380),Sheet1!AA380-SUM(AT380:BA380))</f>
        <v>23.916975999999998</v>
      </c>
      <c r="U380" s="105">
        <f>Sheet1!BU380</f>
        <v>19.600000000000001</v>
      </c>
      <c r="V380" s="105">
        <f t="shared" si="41"/>
        <v>4.3169759999999968</v>
      </c>
      <c r="W380" s="105">
        <f t="shared" si="42"/>
        <v>0</v>
      </c>
      <c r="X380" s="101">
        <f>IF((Sheet1!EX380-Sheet1!EX379)&lt;0,(Sheet1!EX380+100000-Sheet1!EX379)/1000,(Sheet1!EX380-Sheet1!EX379)/1000)</f>
        <v>1.3009999999999999</v>
      </c>
      <c r="Y380" s="106">
        <f ca="1">Calculation!DZ381+Calculation!EI380+'Calculations II'!O380-'Calculations II'!W380</f>
        <v>45.034578998544802</v>
      </c>
      <c r="Z380" s="106">
        <f ca="1">Y380-Sheet1!CP381</f>
        <v>29.594578998544804</v>
      </c>
      <c r="AA380" s="106">
        <f ca="1">Y380+Calculation!CZ381+Calculation!AI381</f>
        <v>45.034578998544802</v>
      </c>
      <c r="AC380" s="106">
        <f>Sheet1!AA380+Sheet1!AB380+BC380</f>
        <v>40.180160000000001</v>
      </c>
      <c r="AD380" s="106">
        <f>Sheet1!AA380+Sheet1!BN380+'Calculations II'!BC380-Calculation!AI380-Calculation!CZ380</f>
        <v>40.280160000000002</v>
      </c>
      <c r="AE380" s="106">
        <f>Sheet1!AA380+Sheet1!AB380+'Calculations II'!BC380-Calculation!AI380-Calculation!CZ380</f>
        <v>40.180160000000001</v>
      </c>
      <c r="AF380" s="106">
        <f ca="1">Sheet1!AA380+Sheet1!BN380+P380+'Calculations II'!BC380+Calculation!AI380+Calculation!CZ380</f>
        <v>42.24401899854481</v>
      </c>
      <c r="AG380" s="106">
        <f ca="1">IF(B380=TODAY(),0,Sheet1!AA380+Sheet1!BN380+'Calculations II'!BC380+'Calculations II'!P380-Sheet1!CP380-BP380)</f>
        <v>27.054018998544812</v>
      </c>
      <c r="AH380" s="106">
        <f ca="1">IF(B380=TODAY(),0,Sheet1!AA380+Sheet1!BN380+'Calculations II'!BC380+'Calculations II'!P380-BP380)</f>
        <v>42.24401899854481</v>
      </c>
      <c r="AI380" s="106">
        <f ca="1">IF(B380=TODAY(),0,BC380+Sheet1!AA380+Calculation!EI380+O380+W380+Sheet1!BN380+Calculation!AI380+Calculation!CZ380-BP380)</f>
        <v>42.24401899854481</v>
      </c>
      <c r="AJ380" s="106"/>
      <c r="AM380" s="102">
        <f t="shared" si="43"/>
        <v>40909</v>
      </c>
      <c r="AN380" s="106"/>
      <c r="AO380" s="106"/>
      <c r="AR380" s="106"/>
      <c r="AT380" s="101">
        <f>Sheet1!AR380*GPMtoMGD</f>
        <v>0</v>
      </c>
      <c r="AU380" s="101">
        <f>Sheet1!AS380*GPMtoMGD</f>
        <v>2.3472000000000003E-2</v>
      </c>
      <c r="AV380" s="101">
        <f>Sheet1!AT380*GPMtoMGD</f>
        <v>0</v>
      </c>
      <c r="AW380" s="101">
        <f>Sheet1!AV380*GPMtoMGD</f>
        <v>0.48182400000000009</v>
      </c>
      <c r="AX380" s="101">
        <f>Sheet1!AW380*GPMtoMGD</f>
        <v>0.57772800000000002</v>
      </c>
      <c r="AY380" s="101">
        <f>Sheet1!AX380*GPMtoMGD</f>
        <v>0</v>
      </c>
      <c r="AZ380" s="101">
        <f>Sheet1!AY380*GPMtoMGD</f>
        <v>0</v>
      </c>
      <c r="BA380" s="101">
        <f>Sheet1!AZ380*GPMtoMGD</f>
        <v>0</v>
      </c>
      <c r="BB380" s="101">
        <f>Sheet1!BP380*GPMtoMGD</f>
        <v>0</v>
      </c>
      <c r="BC380" s="101">
        <f>Sheet1!CO380*GPMtoMGD</f>
        <v>2.1801600000000003</v>
      </c>
      <c r="BD380" s="101">
        <f>Sheet1!BO380*GPMtoMGD</f>
        <v>1.7635680000000002</v>
      </c>
      <c r="BE380" s="101">
        <f>Sheet1!BV380*GPMtoMGD</f>
        <v>0.61560000000000004</v>
      </c>
      <c r="BF380" s="101">
        <f>Sheet1!CJ380*GPMtoMGD</f>
        <v>0.28022400000000003</v>
      </c>
      <c r="BG380" s="101">
        <f>Sheet1!CK380*GPMtoMGD</f>
        <v>0.54460799999999998</v>
      </c>
      <c r="BH380" s="101">
        <f>Sheet1!CL380*GPMtoMGD</f>
        <v>0.6265440000000001</v>
      </c>
      <c r="BI380" s="101">
        <f t="shared" si="44"/>
        <v>1.7635680000000002</v>
      </c>
      <c r="BK380" s="106">
        <f>SUM(AT380:BA380,BE380,Sheet1!BU380,'Calculations II'!BC380,Calculation!AG380)</f>
        <v>36.478784000000005</v>
      </c>
      <c r="BM380" s="439">
        <f ca="1">IF(B380=TODAY(),0,IF(AND(Sheet1!BQ380&lt;=11.5,Sheet1!BQ379&gt;Sheet1!BQ380),(MIN(Lookup!$C$119,VLOOKUP(Sheet1!BQ379,Lookup!$B$4:$J$236,2))-VLOOKUP(Sheet1!BQ380,Lookup!$B$4:$J$236,2))/1000000,0))</f>
        <v>0</v>
      </c>
      <c r="BN380" s="439">
        <f ca="1">IF(B380=TODAY(),0,IF(AND(Sheet1!BR380&lt;=11.5,Sheet1!BR379&gt;Sheet1!BR380),(MIN(Lookup!$D$119,VLOOKUP(Sheet1!BR379,Lookup!$B$4:$J$236,3))-VLOOKUP(Sheet1!BR380,Lookup!$B$4:$J$236,3))/1000000,0))</f>
        <v>0</v>
      </c>
      <c r="BP380" s="105">
        <f ca="1">SUM(BM380:BN380,W380,Sheet1!DT380)</f>
        <v>0</v>
      </c>
    </row>
    <row r="381" spans="1:68" s="101" customFormat="1">
      <c r="A381" s="101" t="s">
        <v>3</v>
      </c>
      <c r="B381" s="103">
        <v>40910</v>
      </c>
      <c r="C381" s="104">
        <v>0.33333333333357601</v>
      </c>
      <c r="E381" s="30"/>
      <c r="F381" s="30">
        <f>-(VLOOKUP(Sheet1!BZ381,Lookup!$I$4:$J$216,2)-VLOOKUP(Sheet1!BZ380,Lookup!$I$4:$J$216,2))/1000000</f>
        <v>0.10363693854779936</v>
      </c>
      <c r="G381" s="106">
        <f>-$G$6*(Sheet1!CB381-Sheet1!CB380)*7.48/1000000</f>
        <v>-0.23828100631535634</v>
      </c>
      <c r="H381" s="106">
        <f>-$H$6*(Sheet1!CA381-Sheet1!CA380)*7.48/1000000</f>
        <v>1.5039432351265274E-2</v>
      </c>
      <c r="I381" s="106">
        <f>-$I$6*(Sheet1!CC381-Sheet1!CC380)*7.48/1000000</f>
        <v>-8.9957542140135238E-2</v>
      </c>
      <c r="J381" s="107" t="s">
        <v>193</v>
      </c>
      <c r="K381" s="106">
        <f ca="1">IF(B381=TODAY(),0,-$I$6*(Sheet1!CD381-Sheet1!CD380)*7.48/1000000)</f>
        <v>-0.10794905056816222</v>
      </c>
      <c r="L381" s="107" t="s">
        <v>193</v>
      </c>
      <c r="M381" s="106">
        <f ca="1">IF(B381=TODAY(),0,-$M$6*(Sheet1!CE381-Sheet1!CE380)*7.48/1000000)</f>
        <v>-6.6633203744585374E-3</v>
      </c>
      <c r="N381" s="106">
        <f ca="1">IF(B381=TODAY(),0,-$N$6*(Sheet1!CF381-Sheet1!CF380)*7.48/1000000)</f>
        <v>-0.12410469078924848</v>
      </c>
      <c r="O381" s="106">
        <f t="shared" ca="1" si="40"/>
        <v>-0.44827923928829622</v>
      </c>
      <c r="P381" s="106">
        <f ca="1">O381+Calculation!EI381</f>
        <v>1.1528207607117038</v>
      </c>
      <c r="Q381" s="101" t="str">
        <f>IF(Sheet1!BQ381&gt;21.75,"spill elevation","-")</f>
        <v>-</v>
      </c>
      <c r="R381" s="101" t="str">
        <f>IF(Sheet1!BR381&gt;21.75,"spill elevation","-")</f>
        <v>-</v>
      </c>
      <c r="S381" s="101" t="str">
        <f>IF(Sheet1!BS381&gt;21.75,"spill elevation","-")</f>
        <v>-</v>
      </c>
      <c r="T381" s="105">
        <f>IF(Sheet1!DQ381=1,Sheet1!AA381-(SUM(AT381:BA381)+BE381),Sheet1!AA381-SUM(AT381:BA381))</f>
        <v>23.658272</v>
      </c>
      <c r="U381" s="105">
        <f>Sheet1!BU381</f>
        <v>19.600000000000001</v>
      </c>
      <c r="V381" s="105">
        <f t="shared" si="41"/>
        <v>4.0582719999999988</v>
      </c>
      <c r="W381" s="105">
        <f t="shared" si="42"/>
        <v>0</v>
      </c>
      <c r="X381" s="101">
        <f>IF((Sheet1!EX381-Sheet1!EX380)&lt;0,(Sheet1!EX381+100000-Sheet1!EX380)/1000,(Sheet1!EX381-Sheet1!EX380)/1000)</f>
        <v>1.2629999999999999</v>
      </c>
      <c r="Y381" s="106">
        <f ca="1">Calculation!DZ382+Calculation!EI381+'Calculations II'!O381-'Calculations II'!W381</f>
        <v>1.1528207607117038</v>
      </c>
      <c r="Z381" s="106">
        <f ca="1">Y381-Sheet1!CP382</f>
        <v>1.1528207607117038</v>
      </c>
      <c r="AA381" s="106">
        <f ca="1">Y381+Calculation!CZ382+Calculation!AI382</f>
        <v>1.1528207607117038</v>
      </c>
      <c r="AC381" s="106">
        <f>Sheet1!AA381+Sheet1!AB381+BC381</f>
        <v>43.070719999999994</v>
      </c>
      <c r="AD381" s="106">
        <f>Sheet1!AA381+Sheet1!BN381+'Calculations II'!BC381-Calculation!AI381-Calculation!CZ381</f>
        <v>42.97072</v>
      </c>
      <c r="AE381" s="106">
        <f>Sheet1!AA381+Sheet1!AB381+'Calculations II'!BC381-Calculation!AI381-Calculation!CZ381</f>
        <v>43.070719999999994</v>
      </c>
      <c r="AF381" s="106">
        <f ca="1">Sheet1!AA381+Sheet1!BN381+P381+'Calculations II'!BC381+Calculation!AI381+Calculation!CZ381</f>
        <v>44.123540760711705</v>
      </c>
      <c r="AG381" s="106">
        <f ca="1">IF(B381=TODAY(),0,Sheet1!AA381+Sheet1!BN381+'Calculations II'!BC381+'Calculations II'!P381-Sheet1!CP381-BP381)</f>
        <v>28.683540760711708</v>
      </c>
      <c r="AH381" s="106">
        <f ca="1">IF(B381=TODAY(),0,Sheet1!AA381+Sheet1!BN381+'Calculations II'!BC381+'Calculations II'!P381-BP381)</f>
        <v>44.123540760711705</v>
      </c>
      <c r="AI381" s="106">
        <f ca="1">IF(B381=TODAY(),0,BC381+Sheet1!AA381+Calculation!EI381+O381+W381+Sheet1!BN381+Calculation!AI381+Calculation!CZ381-BP381)</f>
        <v>44.123540760711705</v>
      </c>
      <c r="AJ381" s="106"/>
      <c r="AM381" s="102">
        <f t="shared" si="43"/>
        <v>40910</v>
      </c>
      <c r="AN381" s="106"/>
      <c r="AO381" s="106"/>
      <c r="AR381" s="106"/>
      <c r="AT381" s="101">
        <f>Sheet1!AR381*GPMtoMGD</f>
        <v>0</v>
      </c>
      <c r="AU381" s="101">
        <f>Sheet1!AS381*GPMtoMGD</f>
        <v>1.6847999999999998E-2</v>
      </c>
      <c r="AV381" s="101">
        <f>Sheet1!AT381*GPMtoMGD</f>
        <v>0</v>
      </c>
      <c r="AW381" s="101">
        <f>Sheet1!AV381*GPMtoMGD</f>
        <v>0.7089120000000001</v>
      </c>
      <c r="AX381" s="101">
        <f>Sheet1!AW381*GPMtoMGD</f>
        <v>0.71596800000000005</v>
      </c>
      <c r="AY381" s="101">
        <f>Sheet1!AX381*GPMtoMGD</f>
        <v>0</v>
      </c>
      <c r="AZ381" s="101">
        <f>Sheet1!AY381*GPMtoMGD</f>
        <v>0</v>
      </c>
      <c r="BA381" s="101">
        <f>Sheet1!AZ381*GPMtoMGD</f>
        <v>0</v>
      </c>
      <c r="BB381" s="101">
        <f>Sheet1!BP381*GPMtoMGD</f>
        <v>0</v>
      </c>
      <c r="BC381" s="101">
        <f>Sheet1!CO381*GPMtoMGD</f>
        <v>4.7707200000000007</v>
      </c>
      <c r="BD381" s="101">
        <f>Sheet1!BO381*GPMtoMGD</f>
        <v>2.041344</v>
      </c>
      <c r="BE381" s="101">
        <f>Sheet1!BV381*GPMtoMGD</f>
        <v>0.79617599999999999</v>
      </c>
      <c r="BF381" s="101">
        <f>Sheet1!CJ381*GPMtoMGD</f>
        <v>0.37425599999999998</v>
      </c>
      <c r="BG381" s="101">
        <f>Sheet1!CK381*GPMtoMGD</f>
        <v>0.56376000000000004</v>
      </c>
      <c r="BH381" s="101">
        <f>Sheet1!CL381*GPMtoMGD</f>
        <v>0.6755040000000001</v>
      </c>
      <c r="BI381" s="101">
        <f t="shared" si="44"/>
        <v>2.041344</v>
      </c>
      <c r="BK381" s="106">
        <f>SUM(AT381:BA381,BE381,Sheet1!BU381,'Calculations II'!BC381,Calculation!AG381)</f>
        <v>39.808624000000002</v>
      </c>
      <c r="BM381" s="439">
        <f ca="1">IF(B381=TODAY(),0,IF(AND(Sheet1!BQ381&lt;=11.5,Sheet1!BQ380&gt;Sheet1!BQ381),(MIN(Lookup!$C$119,VLOOKUP(Sheet1!BQ380,Lookup!$B$4:$J$236,2))-VLOOKUP(Sheet1!BQ381,Lookup!$B$4:$J$236,2))/1000000,0))</f>
        <v>0</v>
      </c>
      <c r="BN381" s="439">
        <f ca="1">IF(B381=TODAY(),0,IF(AND(Sheet1!BR381&lt;=11.5,Sheet1!BR380&gt;Sheet1!BR381),(MIN(Lookup!$D$119,VLOOKUP(Sheet1!BR380,Lookup!$B$4:$J$236,3))-VLOOKUP(Sheet1!BR381,Lookup!$B$4:$J$236,3))/1000000,0))</f>
        <v>0</v>
      </c>
      <c r="BP381" s="105">
        <f ca="1">SUM(BM381:BN381,W381,Sheet1!DT381)</f>
        <v>0</v>
      </c>
    </row>
    <row r="382" spans="1:68" s="101" customFormat="1">
      <c r="A382" s="101" t="s">
        <v>4</v>
      </c>
      <c r="B382" s="103">
        <v>40911</v>
      </c>
      <c r="C382" s="104">
        <v>0.33333333333357601</v>
      </c>
      <c r="E382" s="30"/>
      <c r="F382" s="30">
        <f>-(VLOOKUP(Sheet1!BZ382,Lookup!$I$4:$J$216,2)-VLOOKUP(Sheet1!BZ381,Lookup!$I$4:$J$216,2))/1000000</f>
        <v>13.832455114916774</v>
      </c>
      <c r="G382" s="106">
        <f>-$G$6*(Sheet1!CB382-Sheet1!CB381)*7.48/1000000</f>
        <v>5.0833281347275907</v>
      </c>
      <c r="H382" s="106">
        <f>-$H$6*(Sheet1!CA382-Sheet1!CA381)*7.48/1000000</f>
        <v>4.6923028935946984</v>
      </c>
      <c r="I382" s="106">
        <f>-$I$6*(Sheet1!CC382-Sheet1!CC381)*7.48/1000000</f>
        <v>1.5832527416663802</v>
      </c>
      <c r="J382" s="107" t="s">
        <v>193</v>
      </c>
      <c r="K382" s="106">
        <f ca="1">IF(B382=TODAY(),0,-$I$6*(Sheet1!CD382-Sheet1!CD381)*7.48/1000000)</f>
        <v>2.356887604071543</v>
      </c>
      <c r="L382" s="107" t="s">
        <v>193</v>
      </c>
      <c r="M382" s="106">
        <f ca="1">IF(B382=TODAY(),0,-$M$6*(Sheet1!CE382-Sheet1!CE381)*7.48/1000000)</f>
        <v>1.1394277840323936</v>
      </c>
      <c r="N382" s="106">
        <f ca="1">IF(B382=TODAY(),0,-$N$6*(Sheet1!CF382-Sheet1!CF381)*7.48/1000000)</f>
        <v>7.6944908289333638</v>
      </c>
      <c r="O382" s="106">
        <f t="shared" ca="1" si="40"/>
        <v>36.38214510194274</v>
      </c>
      <c r="P382" s="106">
        <f ca="1">O382+Calculation!EI382</f>
        <v>118.59564510194275</v>
      </c>
      <c r="Q382" s="101" t="str">
        <f>IF(Sheet1!BQ382&gt;21.75,"spill elevation","-")</f>
        <v>-</v>
      </c>
      <c r="R382" s="101" t="str">
        <f>IF(Sheet1!BR382&gt;21.75,"spill elevation","-")</f>
        <v>-</v>
      </c>
      <c r="S382" s="101" t="str">
        <f>IF(Sheet1!BS382&gt;21.75,"spill elevation","-")</f>
        <v>-</v>
      </c>
      <c r="T382" s="105">
        <f>IF(Sheet1!DQ382=1,Sheet1!AA382-(SUM(AT382:BA382)+BE382),Sheet1!AA382-SUM(AT382:BA382))</f>
        <v>0</v>
      </c>
      <c r="U382" s="105">
        <f>Sheet1!BU382</f>
        <v>0</v>
      </c>
      <c r="V382" s="105">
        <f t="shared" si="41"/>
        <v>0</v>
      </c>
      <c r="W382" s="105">
        <f t="shared" si="42"/>
        <v>0</v>
      </c>
      <c r="X382" s="101">
        <f>IF((Sheet1!EX382-Sheet1!EX381)&lt;0,(Sheet1!EX382+100000-Sheet1!EX381)/1000,(Sheet1!EX382-Sheet1!EX381)/1000)</f>
        <v>30.251000000000001</v>
      </c>
      <c r="Y382" s="106">
        <f ca="1">Calculation!DZ383+Calculation!EI382+'Calculations II'!O382-'Calculations II'!W382</f>
        <v>118.59564510194275</v>
      </c>
      <c r="Z382" s="106">
        <f ca="1">Y382-Sheet1!CP383</f>
        <v>118.59564510194275</v>
      </c>
      <c r="AA382" s="106">
        <f ca="1">Y382+Calculation!CZ383+Calculation!AI383</f>
        <v>118.59564510194275</v>
      </c>
      <c r="AC382" s="106">
        <f>Sheet1!AA382+Sheet1!AB382+BC382</f>
        <v>0</v>
      </c>
      <c r="AD382" s="106">
        <f>Sheet1!AA382+Sheet1!BN382+'Calculations II'!BC382-Calculation!AI382-Calculation!CZ382</f>
        <v>0</v>
      </c>
      <c r="AE382" s="106">
        <f>Sheet1!AA382+Sheet1!AB382+'Calculations II'!BC382-Calculation!AI382-Calculation!CZ382</f>
        <v>0</v>
      </c>
      <c r="AF382" s="106">
        <f ca="1">Sheet1!AA382+Sheet1!BN382+P382+'Calculations II'!BC382+Calculation!AI382+Calculation!CZ382</f>
        <v>118.59564510194275</v>
      </c>
      <c r="AG382" s="106">
        <f ca="1">IF(B382=TODAY(),0,Sheet1!AA382+Sheet1!BN382+'Calculations II'!BC382+'Calculations II'!P382-Sheet1!CP382-BP382)</f>
        <v>65.610545101942748</v>
      </c>
      <c r="AH382" s="106">
        <f ca="1">IF(B382=TODAY(),0,Sheet1!AA382+Sheet1!BN382+'Calculations II'!BC382+'Calculations II'!P382-BP382)</f>
        <v>65.610545101942748</v>
      </c>
      <c r="AI382" s="106">
        <f ca="1">IF(B382=TODAY(),0,BC382+Sheet1!AA382+Calculation!EI382+O382+W382+Sheet1!BN382+Calculation!AI382+Calculation!CZ382-BP382)</f>
        <v>65.610545101942748</v>
      </c>
      <c r="AJ382" s="106"/>
      <c r="AM382" s="102">
        <f t="shared" si="43"/>
        <v>40911</v>
      </c>
      <c r="AN382" s="106"/>
      <c r="AO382" s="106"/>
      <c r="AR382" s="106"/>
      <c r="AT382" s="101">
        <f>Sheet1!AR382*GPMtoMGD</f>
        <v>0</v>
      </c>
      <c r="AU382" s="101">
        <f>Sheet1!AS382*GPMtoMGD</f>
        <v>0</v>
      </c>
      <c r="AV382" s="101">
        <f>Sheet1!AT382*GPMtoMGD</f>
        <v>0</v>
      </c>
      <c r="AW382" s="101">
        <f>Sheet1!AV382*GPMtoMGD</f>
        <v>0</v>
      </c>
      <c r="AX382" s="101">
        <f>Sheet1!AW382*GPMtoMGD</f>
        <v>0</v>
      </c>
      <c r="AY382" s="101">
        <f>Sheet1!AX382*GPMtoMGD</f>
        <v>0</v>
      </c>
      <c r="AZ382" s="101">
        <f>Sheet1!AY382*GPMtoMGD</f>
        <v>0</v>
      </c>
      <c r="BA382" s="101">
        <f>Sheet1!AZ382*GPMtoMGD</f>
        <v>0</v>
      </c>
      <c r="BB382" s="101">
        <f>Sheet1!BP382*GPMtoMGD</f>
        <v>0</v>
      </c>
      <c r="BC382" s="101">
        <f>Sheet1!CO382*GPMtoMGD</f>
        <v>0</v>
      </c>
      <c r="BD382" s="101">
        <f>Sheet1!BO382*GPMtoMGD</f>
        <v>0</v>
      </c>
      <c r="BE382" s="101">
        <f>Sheet1!BV382*GPMtoMGD</f>
        <v>0</v>
      </c>
      <c r="BF382" s="101">
        <f>Sheet1!CJ382*GPMtoMGD</f>
        <v>0</v>
      </c>
      <c r="BG382" s="101">
        <f>Sheet1!CK382*GPMtoMGD</f>
        <v>0</v>
      </c>
      <c r="BH382" s="101">
        <f>Sheet1!CL382*GPMtoMGD</f>
        <v>0</v>
      </c>
      <c r="BI382" s="101">
        <f t="shared" si="44"/>
        <v>0</v>
      </c>
      <c r="BK382" s="106">
        <f>SUM(AT382:BA382,BE382,Sheet1!BU382,'Calculations II'!BC382,Calculation!AG382)</f>
        <v>0</v>
      </c>
      <c r="BM382" s="439">
        <f ca="1">IF(B382=TODAY(),0,IF(AND(Sheet1!BQ382&lt;=11.5,Sheet1!BQ381&gt;Sheet1!BQ382),(MIN(Lookup!$C$119,VLOOKUP(Sheet1!BQ381,Lookup!$B$4:$J$236,2))-VLOOKUP(Sheet1!BQ382,Lookup!$B$4:$J$236,2))/1000000,0))</f>
        <v>26.407299999999999</v>
      </c>
      <c r="BN382" s="439">
        <f ca="1">IF(B382=TODAY(),0,IF(AND(Sheet1!BR382&lt;=11.5,Sheet1!BR381&gt;Sheet1!BR382),(MIN(Lookup!$D$119,VLOOKUP(Sheet1!BR381,Lookup!$B$4:$J$236,3))-VLOOKUP(Sheet1!BR382,Lookup!$B$4:$J$236,3))/1000000,0))</f>
        <v>26.5778</v>
      </c>
      <c r="BP382" s="105">
        <f ca="1">SUM(BM382:BN382,W382,Sheet1!DT382)</f>
        <v>52.985100000000003</v>
      </c>
    </row>
    <row r="383" spans="1:68" s="101" customFormat="1">
      <c r="A383" s="101" t="s">
        <v>5</v>
      </c>
      <c r="B383" s="103">
        <v>40912</v>
      </c>
      <c r="C383" s="104">
        <v>0.33333333333357601</v>
      </c>
      <c r="E383" s="30"/>
      <c r="F383" s="30">
        <f>-(VLOOKUP(Sheet1!BZ383,Lookup!$I$4:$J$216,2)-VLOOKUP(Sheet1!BZ382,Lookup!$I$4:$J$216,2))/1000000</f>
        <v>0</v>
      </c>
      <c r="G383" s="106">
        <f>-$G$6*(Sheet1!CB383-Sheet1!CB382)*7.48/1000000</f>
        <v>0</v>
      </c>
      <c r="H383" s="106">
        <f>-$H$6*(Sheet1!CA383-Sheet1!CA382)*7.48/1000000</f>
        <v>0</v>
      </c>
      <c r="I383" s="106">
        <f>-$I$6*(Sheet1!CC383-Sheet1!CC382)*7.48/1000000</f>
        <v>0</v>
      </c>
      <c r="J383" s="107" t="s">
        <v>193</v>
      </c>
      <c r="K383" s="106">
        <f ca="1">IF(B383=TODAY(),0,-$I$6*(Sheet1!CD383-Sheet1!CD382)*7.48/1000000)</f>
        <v>0</v>
      </c>
      <c r="L383" s="107" t="s">
        <v>193</v>
      </c>
      <c r="M383" s="106">
        <f ca="1">IF(B383=TODAY(),0,-$M$6*(Sheet1!CE383-Sheet1!CE382)*7.48/1000000)</f>
        <v>0</v>
      </c>
      <c r="N383" s="106">
        <f ca="1">IF(B383=TODAY(),0,-$N$6*(Sheet1!CF383-Sheet1!CF382)*7.48/1000000)</f>
        <v>0</v>
      </c>
      <c r="O383" s="106">
        <f t="shared" ca="1" si="40"/>
        <v>0</v>
      </c>
      <c r="P383" s="106">
        <f ca="1">O383+Calculation!EI383</f>
        <v>0</v>
      </c>
      <c r="Q383" s="101" t="str">
        <f>IF(Sheet1!BQ383&gt;21.75,"spill elevation","-")</f>
        <v>-</v>
      </c>
      <c r="R383" s="101" t="str">
        <f>IF(Sheet1!BR383&gt;21.75,"spill elevation","-")</f>
        <v>-</v>
      </c>
      <c r="S383" s="101" t="str">
        <f>IF(Sheet1!BS383&gt;21.75,"spill elevation","-")</f>
        <v>-</v>
      </c>
      <c r="T383" s="105">
        <f>IF(Sheet1!DQ383=1,Sheet1!AA383-(SUM(AT383:BA383)+BE383),Sheet1!AA383-SUM(AT383:BA383))</f>
        <v>0</v>
      </c>
      <c r="U383" s="105">
        <f>Sheet1!BU383</f>
        <v>0</v>
      </c>
      <c r="V383" s="105">
        <f t="shared" si="41"/>
        <v>0</v>
      </c>
      <c r="W383" s="105">
        <f t="shared" si="42"/>
        <v>0</v>
      </c>
      <c r="X383" s="101">
        <f>IF((Sheet1!EX383-Sheet1!EX382)&lt;0,(Sheet1!EX383+100000-Sheet1!EX382)/1000,(Sheet1!EX383-Sheet1!EX382)/1000)</f>
        <v>0</v>
      </c>
      <c r="Y383" s="106">
        <f ca="1">Calculation!DZ384+Calculation!EI383+'Calculations II'!O383-'Calculations II'!W383</f>
        <v>0</v>
      </c>
      <c r="Z383" s="106">
        <f ca="1">Y383-Sheet1!CP384</f>
        <v>0</v>
      </c>
      <c r="AA383" s="106">
        <f ca="1">Y383+Calculation!CZ384+Calculation!AI384</f>
        <v>0</v>
      </c>
      <c r="AC383" s="106">
        <f>Sheet1!AA383+Sheet1!AB383+BC383</f>
        <v>0</v>
      </c>
      <c r="AD383" s="106">
        <f>Sheet1!AA383+Sheet1!BN383+'Calculations II'!BC383-Calculation!AI383-Calculation!CZ383</f>
        <v>0</v>
      </c>
      <c r="AE383" s="106">
        <f>Sheet1!AA383+Sheet1!AB383+'Calculations II'!BC383-Calculation!AI383-Calculation!CZ383</f>
        <v>0</v>
      </c>
      <c r="AF383" s="106">
        <f ca="1">Sheet1!AA383+Sheet1!BN383+P383+'Calculations II'!BC383+Calculation!AI383+Calculation!CZ383</f>
        <v>0</v>
      </c>
      <c r="AG383" s="106">
        <f ca="1">IF(B383=TODAY(),0,Sheet1!AA383+Sheet1!BN383+'Calculations II'!BC383+'Calculations II'!P383-Sheet1!CP383-BP383)</f>
        <v>0</v>
      </c>
      <c r="AH383" s="106">
        <f ca="1">IF(B383=TODAY(),0,Sheet1!AA383+Sheet1!BN383+'Calculations II'!BC383+'Calculations II'!P383-BP383)</f>
        <v>0</v>
      </c>
      <c r="AI383" s="106">
        <f ca="1">IF(B383=TODAY(),0,BC383+Sheet1!AA383+Calculation!EI383+O383+W383+Sheet1!BN383+Calculation!AI383+Calculation!CZ383-BP383)</f>
        <v>0</v>
      </c>
      <c r="AJ383" s="106"/>
      <c r="AM383" s="102">
        <f t="shared" si="43"/>
        <v>40912</v>
      </c>
      <c r="AN383" s="106"/>
      <c r="AO383" s="106"/>
      <c r="AR383" s="106"/>
      <c r="AT383" s="101">
        <f>Sheet1!AR383*GPMtoMGD</f>
        <v>0</v>
      </c>
      <c r="AU383" s="101">
        <f>Sheet1!AS383*GPMtoMGD</f>
        <v>0</v>
      </c>
      <c r="AV383" s="101">
        <f>Sheet1!AT383*GPMtoMGD</f>
        <v>0</v>
      </c>
      <c r="AW383" s="101">
        <f>Sheet1!AV383*GPMtoMGD</f>
        <v>0</v>
      </c>
      <c r="AX383" s="101">
        <f>Sheet1!AW383*GPMtoMGD</f>
        <v>0</v>
      </c>
      <c r="AY383" s="101">
        <f>Sheet1!AX383*GPMtoMGD</f>
        <v>0</v>
      </c>
      <c r="AZ383" s="101">
        <f>Sheet1!AY383*GPMtoMGD</f>
        <v>0</v>
      </c>
      <c r="BA383" s="101">
        <f>Sheet1!AZ383*GPMtoMGD</f>
        <v>0</v>
      </c>
      <c r="BB383" s="101">
        <f>Sheet1!BP383*GPMtoMGD</f>
        <v>0</v>
      </c>
      <c r="BC383" s="101">
        <f>Sheet1!CO383*GPMtoMGD</f>
        <v>0</v>
      </c>
      <c r="BD383" s="101">
        <f>Sheet1!BO383*GPMtoMGD</f>
        <v>0</v>
      </c>
      <c r="BE383" s="101">
        <f>Sheet1!BV383*GPMtoMGD</f>
        <v>0</v>
      </c>
      <c r="BF383" s="101">
        <f>Sheet1!CJ383*GPMtoMGD</f>
        <v>0</v>
      </c>
      <c r="BG383" s="101">
        <f>Sheet1!CK383*GPMtoMGD</f>
        <v>0</v>
      </c>
      <c r="BH383" s="101">
        <f>Sheet1!CL383*GPMtoMGD</f>
        <v>0</v>
      </c>
      <c r="BI383" s="101">
        <f t="shared" si="44"/>
        <v>0</v>
      </c>
      <c r="BK383" s="106">
        <f>SUM(AT383:BA383,BE383,Sheet1!BU383,'Calculations II'!BC383,Calculation!AG383)</f>
        <v>0</v>
      </c>
      <c r="BM383" s="439">
        <f ca="1">IF(B383=TODAY(),0,IF(AND(Sheet1!BQ383&lt;=11.5,Sheet1!BQ382&gt;Sheet1!BQ383),(MIN(Lookup!$C$119,VLOOKUP(Sheet1!BQ382,Lookup!$B$4:$J$236,2))-VLOOKUP(Sheet1!BQ383,Lookup!$B$4:$J$236,2))/1000000,0))</f>
        <v>0</v>
      </c>
      <c r="BN383" s="439">
        <f ca="1">IF(B383=TODAY(),0,IF(AND(Sheet1!BR383&lt;=11.5,Sheet1!BR382&gt;Sheet1!BR383),(MIN(Lookup!$D$119,VLOOKUP(Sheet1!BR382,Lookup!$B$4:$J$236,3))-VLOOKUP(Sheet1!BR383,Lookup!$B$4:$J$236,3))/1000000,0))</f>
        <v>0</v>
      </c>
      <c r="BP383" s="105">
        <f ca="1">SUM(BM383:BN383,W383,Sheet1!DT383)</f>
        <v>0</v>
      </c>
    </row>
    <row r="384" spans="1:68" s="101" customFormat="1">
      <c r="A384" s="101" t="s">
        <v>6</v>
      </c>
      <c r="B384" s="103">
        <v>40913</v>
      </c>
      <c r="C384" s="104">
        <v>0.33333333333357601</v>
      </c>
      <c r="E384" s="30"/>
      <c r="F384" s="30">
        <f>-(VLOOKUP(Sheet1!BZ384,Lookup!$I$4:$J$216,2)-VLOOKUP(Sheet1!BZ383,Lookup!$I$4:$J$216,2))/1000000</f>
        <v>0</v>
      </c>
      <c r="G384" s="106">
        <f>-$G$6*(Sheet1!CB384-Sheet1!CB383)*7.48/1000000</f>
        <v>0</v>
      </c>
      <c r="H384" s="106">
        <f>-$H$6*(Sheet1!CA384-Sheet1!CA383)*7.48/1000000</f>
        <v>0</v>
      </c>
      <c r="I384" s="106">
        <f>-$I$6*(Sheet1!CC384-Sheet1!CC383)*7.48/1000000</f>
        <v>0</v>
      </c>
      <c r="J384" s="107" t="s">
        <v>193</v>
      </c>
      <c r="K384" s="106">
        <f ca="1">IF(B384=TODAY(),0,-$I$6*(Sheet1!CD384-Sheet1!CD383)*7.48/1000000)</f>
        <v>0</v>
      </c>
      <c r="L384" s="107" t="s">
        <v>193</v>
      </c>
      <c r="M384" s="106">
        <f ca="1">IF(B384=TODAY(),0,-$M$6*(Sheet1!CE384-Sheet1!CE383)*7.48/1000000)</f>
        <v>0</v>
      </c>
      <c r="N384" s="106">
        <f ca="1">IF(B384=TODAY(),0,-$N$6*(Sheet1!CF384-Sheet1!CF383)*7.48/1000000)</f>
        <v>0</v>
      </c>
      <c r="O384" s="106">
        <f t="shared" ca="1" si="40"/>
        <v>0</v>
      </c>
      <c r="P384" s="106">
        <f ca="1">O384+Calculation!EI384</f>
        <v>0</v>
      </c>
      <c r="Q384" s="101" t="str">
        <f>IF(Sheet1!BQ384&gt;21.75,"spill elevation","-")</f>
        <v>-</v>
      </c>
      <c r="R384" s="101" t="str">
        <f>IF(Sheet1!BR384&gt;21.75,"spill elevation","-")</f>
        <v>-</v>
      </c>
      <c r="S384" s="101" t="str">
        <f>IF(Sheet1!BS384&gt;21.75,"spill elevation","-")</f>
        <v>-</v>
      </c>
      <c r="T384" s="105">
        <f>IF(Sheet1!DQ384=1,Sheet1!AA384-(SUM(AT384:BA384)+BE384),Sheet1!AA384-SUM(AT384:BA384))</f>
        <v>0</v>
      </c>
      <c r="U384" s="105">
        <f>Sheet1!BU384</f>
        <v>0</v>
      </c>
      <c r="V384" s="105">
        <f t="shared" si="41"/>
        <v>0</v>
      </c>
      <c r="W384" s="105">
        <f t="shared" si="42"/>
        <v>0</v>
      </c>
      <c r="X384" s="101">
        <f>IF((Sheet1!EX384-Sheet1!EX383)&lt;0,(Sheet1!EX384+100000-Sheet1!EX383)/1000,(Sheet1!EX384-Sheet1!EX383)/1000)</f>
        <v>0</v>
      </c>
      <c r="Y384" s="106">
        <f ca="1">Calculation!DZ385+Calculation!EI384+'Calculations II'!O384-'Calculations II'!W384</f>
        <v>0</v>
      </c>
      <c r="Z384" s="106">
        <f ca="1">Y384-Sheet1!CP385</f>
        <v>0</v>
      </c>
      <c r="AA384" s="106">
        <f ca="1">Y384+Calculation!CZ385+Calculation!AI385</f>
        <v>0</v>
      </c>
      <c r="AC384" s="106">
        <f>Sheet1!AA384+Sheet1!AB384+BC384</f>
        <v>0</v>
      </c>
      <c r="AD384" s="106">
        <f>Sheet1!AA384+Sheet1!BN384+'Calculations II'!BC384-Calculation!AI384-Calculation!CZ384</f>
        <v>0</v>
      </c>
      <c r="AE384" s="106">
        <f>Sheet1!AA384+Sheet1!AB384+'Calculations II'!BC384-Calculation!AI384-Calculation!CZ384</f>
        <v>0</v>
      </c>
      <c r="AF384" s="106">
        <f ca="1">Sheet1!AA384+Sheet1!BN384+P384+'Calculations II'!BC384+Calculation!AI384+Calculation!CZ384</f>
        <v>0</v>
      </c>
      <c r="AG384" s="106">
        <f ca="1">IF(B384=TODAY(),0,Sheet1!AA384+Sheet1!BN384+'Calculations II'!BC384+'Calculations II'!P384-Sheet1!CP384-BP384)</f>
        <v>0</v>
      </c>
      <c r="AH384" s="106">
        <f ca="1">IF(B384=TODAY(),0,Sheet1!AA384+Sheet1!BN384+'Calculations II'!BC384+'Calculations II'!P384-BP384)</f>
        <v>0</v>
      </c>
      <c r="AI384" s="106">
        <f ca="1">IF(B384=TODAY(),0,BC384+Sheet1!AA384+Calculation!EI384+O384+W384+Sheet1!BN384+Calculation!AI384+Calculation!CZ384-BP384)</f>
        <v>0</v>
      </c>
      <c r="AJ384" s="106"/>
      <c r="AM384" s="102">
        <f t="shared" si="43"/>
        <v>40913</v>
      </c>
      <c r="AN384" s="106"/>
      <c r="AO384" s="106"/>
      <c r="AR384" s="106"/>
      <c r="AT384" s="101">
        <f>Sheet1!AR384*GPMtoMGD</f>
        <v>0</v>
      </c>
      <c r="AU384" s="101">
        <f>Sheet1!AS384*GPMtoMGD</f>
        <v>0</v>
      </c>
      <c r="AV384" s="101">
        <f>Sheet1!AT384*GPMtoMGD</f>
        <v>0</v>
      </c>
      <c r="AW384" s="101">
        <f>Sheet1!AV384*GPMtoMGD</f>
        <v>0</v>
      </c>
      <c r="AX384" s="101">
        <f>Sheet1!AW384*GPMtoMGD</f>
        <v>0</v>
      </c>
      <c r="AY384" s="101">
        <f>Sheet1!AX384*GPMtoMGD</f>
        <v>0</v>
      </c>
      <c r="AZ384" s="101">
        <f>Sheet1!AY384*GPMtoMGD</f>
        <v>0</v>
      </c>
      <c r="BA384" s="101">
        <f>Sheet1!AZ384*GPMtoMGD</f>
        <v>0</v>
      </c>
      <c r="BB384" s="101">
        <f>Sheet1!BP384*GPMtoMGD</f>
        <v>0</v>
      </c>
      <c r="BC384" s="101">
        <f>Sheet1!CO384*GPMtoMGD</f>
        <v>0</v>
      </c>
      <c r="BD384" s="101">
        <f>Sheet1!BO384*GPMtoMGD</f>
        <v>0</v>
      </c>
      <c r="BE384" s="101">
        <f>Sheet1!BV384*GPMtoMGD</f>
        <v>0</v>
      </c>
      <c r="BF384" s="101">
        <f>Sheet1!CJ384*GPMtoMGD</f>
        <v>0</v>
      </c>
      <c r="BG384" s="101">
        <f>Sheet1!CK384*GPMtoMGD</f>
        <v>0</v>
      </c>
      <c r="BH384" s="101">
        <f>Sheet1!CL384*GPMtoMGD</f>
        <v>0</v>
      </c>
      <c r="BI384" s="101">
        <f t="shared" si="44"/>
        <v>0</v>
      </c>
      <c r="BK384" s="106">
        <f>SUM(AT384:BA384,BE384,Sheet1!BU384,'Calculations II'!BC384,Calculation!AG384)</f>
        <v>0</v>
      </c>
      <c r="BM384" s="439">
        <f ca="1">IF(B384=TODAY(),0,IF(AND(Sheet1!BQ384&lt;=11.5,Sheet1!BQ383&gt;Sheet1!BQ384),(MIN(Lookup!$C$119,VLOOKUP(Sheet1!BQ383,Lookup!$B$4:$J$236,2))-VLOOKUP(Sheet1!BQ384,Lookup!$B$4:$J$236,2))/1000000,0))</f>
        <v>0</v>
      </c>
      <c r="BN384" s="439">
        <f ca="1">IF(B384=TODAY(),0,IF(AND(Sheet1!BR384&lt;=11.5,Sheet1!BR383&gt;Sheet1!BR384),(MIN(Lookup!$D$119,VLOOKUP(Sheet1!BR383,Lookup!$B$4:$J$236,3))-VLOOKUP(Sheet1!BR384,Lookup!$B$4:$J$236,3))/1000000,0))</f>
        <v>0</v>
      </c>
      <c r="BP384" s="105">
        <f ca="1">SUM(BM384:BN384,W384,Sheet1!DT384)</f>
        <v>0</v>
      </c>
    </row>
    <row r="385" spans="1:68" s="101" customFormat="1">
      <c r="A385" s="101" t="s">
        <v>7</v>
      </c>
      <c r="B385" s="103">
        <v>40914</v>
      </c>
      <c r="C385" s="104">
        <v>0.33333333333357601</v>
      </c>
      <c r="E385" s="30"/>
      <c r="F385" s="30">
        <f>-(VLOOKUP(Sheet1!BZ385,Lookup!$I$4:$J$216,2)-VLOOKUP(Sheet1!BZ384,Lookup!$I$4:$J$216,2))/1000000</f>
        <v>0</v>
      </c>
      <c r="G385" s="106">
        <f>-$G$6*(Sheet1!CB385-Sheet1!CB384)*7.48/1000000</f>
        <v>0</v>
      </c>
      <c r="H385" s="106">
        <f>-$H$6*(Sheet1!CA385-Sheet1!CA384)*7.48/1000000</f>
        <v>0</v>
      </c>
      <c r="I385" s="106">
        <f>-$I$6*(Sheet1!CC385-Sheet1!CC384)*7.48/1000000</f>
        <v>0</v>
      </c>
      <c r="J385" s="107" t="s">
        <v>193</v>
      </c>
      <c r="K385" s="106">
        <f ca="1">IF(B385=TODAY(),0,-$I$6*(Sheet1!CD385-Sheet1!CD384)*7.48/1000000)</f>
        <v>0</v>
      </c>
      <c r="L385" s="107" t="s">
        <v>193</v>
      </c>
      <c r="M385" s="106">
        <f ca="1">IF(B385=TODAY(),0,-$M$6*(Sheet1!CE385-Sheet1!CE384)*7.48/1000000)</f>
        <v>0</v>
      </c>
      <c r="N385" s="106">
        <f ca="1">IF(B385=TODAY(),0,-$N$6*(Sheet1!CF385-Sheet1!CF384)*7.48/1000000)</f>
        <v>0</v>
      </c>
      <c r="O385" s="106">
        <f t="shared" ca="1" si="40"/>
        <v>0</v>
      </c>
      <c r="P385" s="106">
        <f ca="1">O385+Calculation!EI385</f>
        <v>0</v>
      </c>
      <c r="Q385" s="101" t="str">
        <f>IF(Sheet1!BQ385&gt;21.75,"spill elevation","-")</f>
        <v>spill elevation</v>
      </c>
      <c r="R385" s="101" t="str">
        <f>IF(Sheet1!BR385&gt;21.75,"spill elevation","-")</f>
        <v>spill elevation</v>
      </c>
      <c r="S385" s="101" t="str">
        <f>IF(Sheet1!BS385&gt;21.75,"spill elevation","-")</f>
        <v>-</v>
      </c>
      <c r="T385" s="105">
        <f>IF(Sheet1!DQ385=1,Sheet1!AA385-(SUM(AT385:BA385)+BE385),Sheet1!AA385-SUM(AT385:BA385))</f>
        <v>0</v>
      </c>
      <c r="U385" s="105">
        <f>Sheet1!BU385</f>
        <v>0</v>
      </c>
      <c r="V385" s="105">
        <f t="shared" si="41"/>
        <v>0</v>
      </c>
      <c r="W385" s="105">
        <f t="shared" si="42"/>
        <v>0</v>
      </c>
      <c r="X385" s="101">
        <f>IF((Sheet1!EX385-Sheet1!EX384)&lt;0,(Sheet1!EX385+100000-Sheet1!EX384)/1000,(Sheet1!EX385-Sheet1!EX384)/1000)</f>
        <v>0</v>
      </c>
      <c r="Y385" s="106">
        <f ca="1">Calculation!DZ386+Calculation!EI385+'Calculations II'!O385-'Calculations II'!W385</f>
        <v>0</v>
      </c>
      <c r="Z385" s="106">
        <f ca="1">Y385-Sheet1!CP386</f>
        <v>0</v>
      </c>
      <c r="AA385" s="106">
        <f ca="1">Y385+Calculation!CZ386+Calculation!AI386</f>
        <v>0</v>
      </c>
      <c r="AC385" s="106">
        <f>Sheet1!AA385+Sheet1!AB385+BC385</f>
        <v>0</v>
      </c>
      <c r="AD385" s="106">
        <f>Sheet1!AA385+Sheet1!BN385+'Calculations II'!BC385-Calculation!AI385-Calculation!CZ385</f>
        <v>0</v>
      </c>
      <c r="AE385" s="106">
        <f>Sheet1!AA385+Sheet1!AB385+'Calculations II'!BC385-Calculation!AI385-Calculation!CZ385</f>
        <v>0</v>
      </c>
      <c r="AF385" s="106">
        <f ca="1">Sheet1!AA385+Sheet1!BN385+P385+'Calculations II'!BC385+Calculation!AI385+Calculation!CZ385</f>
        <v>0</v>
      </c>
      <c r="AG385" s="106">
        <f ca="1">IF(B385=TODAY(),0,Sheet1!AA385+Sheet1!BN385+'Calculations II'!BC385+'Calculations II'!P385-Sheet1!CP385-BP385)</f>
        <v>0</v>
      </c>
      <c r="AH385" s="106">
        <f ca="1">IF(B385=TODAY(),0,Sheet1!AA385+Sheet1!BN385+'Calculations II'!BC385+'Calculations II'!P385-BP385)</f>
        <v>0</v>
      </c>
      <c r="AI385" s="106">
        <f ca="1">IF(B385=TODAY(),0,BC385+Sheet1!AA385+Calculation!EI385+O385+W385+Sheet1!BN385+Calculation!AI385+Calculation!CZ385-BP385)</f>
        <v>0</v>
      </c>
      <c r="AJ385" s="106"/>
      <c r="AM385" s="102">
        <f t="shared" si="43"/>
        <v>40914</v>
      </c>
      <c r="AN385" s="106"/>
      <c r="AO385" s="106"/>
      <c r="AR385" s="106"/>
      <c r="AT385" s="101">
        <f>Sheet1!AR385*GPMtoMGD</f>
        <v>0</v>
      </c>
      <c r="AU385" s="101">
        <f>Sheet1!AS385*GPMtoMGD</f>
        <v>0</v>
      </c>
      <c r="AV385" s="101">
        <f>Sheet1!AT385*GPMtoMGD</f>
        <v>0</v>
      </c>
      <c r="AW385" s="101">
        <f>Sheet1!AV385*GPMtoMGD</f>
        <v>0</v>
      </c>
      <c r="AX385" s="101">
        <f>Sheet1!AW385*GPMtoMGD</f>
        <v>0</v>
      </c>
      <c r="AY385" s="101">
        <f>Sheet1!AX385*GPMtoMGD</f>
        <v>0</v>
      </c>
      <c r="AZ385" s="101">
        <f>Sheet1!AY385*GPMtoMGD</f>
        <v>0</v>
      </c>
      <c r="BA385" s="101">
        <f>Sheet1!AZ385*GPMtoMGD</f>
        <v>0</v>
      </c>
      <c r="BB385" s="101" t="e">
        <f>Sheet1!BP385*GPMtoMGD</f>
        <v>#VALUE!</v>
      </c>
      <c r="BC385" s="101">
        <f>Sheet1!CO385*GPMtoMGD</f>
        <v>0</v>
      </c>
      <c r="BD385" s="101" t="e">
        <f>Sheet1!BO385*GPMtoMGD</f>
        <v>#VALUE!</v>
      </c>
      <c r="BE385" s="101">
        <f>Sheet1!BV385*GPMtoMGD</f>
        <v>0</v>
      </c>
      <c r="BF385" s="101">
        <f>Sheet1!CJ385*GPMtoMGD</f>
        <v>0</v>
      </c>
      <c r="BG385" s="101">
        <f>Sheet1!CK385*GPMtoMGD</f>
        <v>0</v>
      </c>
      <c r="BH385" s="101">
        <f>Sheet1!CL385*GPMtoMGD</f>
        <v>0</v>
      </c>
      <c r="BI385" s="101" t="e">
        <f t="shared" si="44"/>
        <v>#VALUE!</v>
      </c>
      <c r="BK385" s="106">
        <f>SUM(AT385:BA385,BE385,Sheet1!BU385,'Calculations II'!BC385,Calculation!AG385)</f>
        <v>0</v>
      </c>
      <c r="BM385" s="439">
        <f ca="1">IF(B385=TODAY(),0,IF(AND(Sheet1!BQ385&lt;=11.5,Sheet1!BQ384&gt;Sheet1!BQ385),(MIN(Lookup!$C$119,VLOOKUP(Sheet1!BQ384,Lookup!$B$4:$J$236,2))-VLOOKUP(Sheet1!BQ385,Lookup!$B$4:$J$236,2))/1000000,0))</f>
        <v>0</v>
      </c>
      <c r="BN385" s="439">
        <f ca="1">IF(B385=TODAY(),0,IF(AND(Sheet1!BR385&lt;=11.5,Sheet1!BR384&gt;Sheet1!BR385),(MIN(Lookup!$D$119,VLOOKUP(Sheet1!BR384,Lookup!$B$4:$J$236,3))-VLOOKUP(Sheet1!BR385,Lookup!$B$4:$J$236,3))/1000000,0))</f>
        <v>0</v>
      </c>
      <c r="BP385" s="105">
        <f ca="1">SUM(BM385:BN385,W385,Sheet1!DT385)</f>
        <v>0</v>
      </c>
    </row>
    <row r="386" spans="1:68" s="101" customFormat="1"/>
    <row r="387" spans="1:68" s="101" customFormat="1"/>
    <row r="388" spans="1:68" s="101" customFormat="1"/>
    <row r="389" spans="1:68" s="101" customFormat="1"/>
    <row r="390" spans="1:68" s="101" customFormat="1"/>
    <row r="391" spans="1:68" s="101" customFormat="1"/>
    <row r="392" spans="1:68" s="101" customFormat="1"/>
    <row r="393" spans="1:68" s="101" customFormat="1"/>
    <row r="394" spans="1:68" s="101" customFormat="1"/>
    <row r="395" spans="1:68" s="101" customFormat="1"/>
    <row r="396" spans="1:68" s="101" customFormat="1"/>
    <row r="397" spans="1:68" s="101" customFormat="1"/>
    <row r="398" spans="1:68" s="101" customFormat="1"/>
    <row r="399" spans="1:68" s="101" customFormat="1"/>
    <row r="400" spans="1:68" s="101" customFormat="1"/>
    <row r="401" s="101" customFormat="1"/>
    <row r="402" s="101" customFormat="1"/>
    <row r="403" s="101" customFormat="1"/>
    <row r="404" s="101" customFormat="1"/>
    <row r="405" s="101" customFormat="1"/>
    <row r="406" s="101" customFormat="1"/>
    <row r="407" s="101" customFormat="1"/>
    <row r="408" s="101" customFormat="1"/>
    <row r="409" s="101" customFormat="1"/>
    <row r="410" s="101" customFormat="1"/>
    <row r="411" s="101" customFormat="1"/>
    <row r="412" s="101" customFormat="1"/>
    <row r="413" s="101" customFormat="1"/>
    <row r="414" s="101" customFormat="1"/>
    <row r="415" s="101" customFormat="1"/>
    <row r="416" s="101" customFormat="1"/>
    <row r="417" s="101" customFormat="1"/>
    <row r="418" s="101" customFormat="1"/>
    <row r="419" s="101" customFormat="1"/>
    <row r="420" s="101" customFormat="1"/>
    <row r="421" s="101" customFormat="1"/>
    <row r="422" s="101" customFormat="1"/>
    <row r="423" s="101" customFormat="1"/>
    <row r="424" s="101" customFormat="1"/>
    <row r="425" s="101" customFormat="1"/>
    <row r="426" s="101" customFormat="1"/>
    <row r="427" s="101" customFormat="1"/>
    <row r="428" s="101" customFormat="1"/>
    <row r="429" s="101" customFormat="1"/>
    <row r="430" s="101" customFormat="1"/>
    <row r="431" s="101" customFormat="1"/>
    <row r="432" s="101" customFormat="1"/>
    <row r="433" s="101" customFormat="1"/>
    <row r="434" s="101" customFormat="1"/>
    <row r="435" s="101" customFormat="1"/>
    <row r="436" s="101" customFormat="1"/>
    <row r="437" s="101" customFormat="1"/>
    <row r="438" s="101" customFormat="1"/>
    <row r="439" s="101" customFormat="1"/>
    <row r="440" s="101" customFormat="1"/>
    <row r="441" s="101" customFormat="1"/>
    <row r="442" s="101" customFormat="1"/>
    <row r="443" s="101" customFormat="1"/>
    <row r="444" s="101" customFormat="1"/>
    <row r="445" s="101" customFormat="1"/>
    <row r="446" s="101" customFormat="1"/>
    <row r="447" s="101" customFormat="1"/>
    <row r="448" s="101" customFormat="1"/>
    <row r="449" s="101" customFormat="1"/>
    <row r="450" s="101" customFormat="1"/>
    <row r="451" s="101" customFormat="1"/>
    <row r="452" s="101" customFormat="1"/>
    <row r="453" s="101" customFormat="1"/>
    <row r="454" s="101" customFormat="1"/>
    <row r="455" s="101" customFormat="1"/>
    <row r="456" s="101" customFormat="1"/>
    <row r="457" s="101" customFormat="1"/>
    <row r="458" s="101" customFormat="1"/>
    <row r="459" s="101" customFormat="1"/>
    <row r="460" s="101" customFormat="1"/>
    <row r="461" s="101" customFormat="1"/>
    <row r="462" s="101" customFormat="1"/>
    <row r="463" s="101" customFormat="1"/>
    <row r="464" s="101" customFormat="1"/>
    <row r="465" s="101" customFormat="1"/>
    <row r="466" s="101" customFormat="1"/>
    <row r="467" s="101" customFormat="1"/>
    <row r="468" s="101" customFormat="1"/>
    <row r="469" s="101" customFormat="1"/>
    <row r="470" s="101" customFormat="1"/>
    <row r="471" s="101" customFormat="1"/>
    <row r="472" s="101" customFormat="1"/>
    <row r="473" s="101" customFormat="1"/>
    <row r="474" s="101" customFormat="1"/>
    <row r="475" s="101" customFormat="1"/>
    <row r="476" s="101" customFormat="1"/>
    <row r="477" s="101" customFormat="1"/>
    <row r="478" s="101" customFormat="1"/>
    <row r="479" s="101" customFormat="1"/>
    <row r="480" s="101" customFormat="1"/>
    <row r="481" s="101" customFormat="1"/>
    <row r="482" s="101" customFormat="1"/>
    <row r="483" s="101" customFormat="1"/>
    <row r="484" s="101" customFormat="1"/>
    <row r="485" s="101" customFormat="1"/>
    <row r="486" s="101" customFormat="1"/>
    <row r="487" s="101" customFormat="1"/>
    <row r="488" s="101" customFormat="1"/>
    <row r="489" s="101" customFormat="1"/>
    <row r="490" s="101" customFormat="1"/>
    <row r="491" s="101" customFormat="1"/>
    <row r="492" s="101" customFormat="1"/>
    <row r="493" s="101" customFormat="1"/>
    <row r="494" s="101" customFormat="1"/>
    <row r="495" s="101" customFormat="1"/>
    <row r="496" s="101" customFormat="1"/>
    <row r="497" s="101" customFormat="1"/>
    <row r="498" s="101" customFormat="1"/>
    <row r="499" s="101" customFormat="1"/>
    <row r="500" s="101" customFormat="1"/>
    <row r="501" s="101" customFormat="1"/>
    <row r="502" s="101" customFormat="1"/>
    <row r="503" s="101" customFormat="1"/>
    <row r="504" s="101" customFormat="1"/>
    <row r="505" s="101" customFormat="1"/>
    <row r="506" s="101" customFormat="1"/>
    <row r="507" s="101" customFormat="1"/>
    <row r="508" s="101" customFormat="1"/>
    <row r="509" s="101" customFormat="1"/>
    <row r="510" s="101" customFormat="1"/>
    <row r="511" s="101" customFormat="1"/>
    <row r="512" s="101" customFormat="1"/>
    <row r="513" s="101" customFormat="1"/>
    <row r="514" s="101" customFormat="1"/>
    <row r="515" s="101" customFormat="1"/>
    <row r="516" s="101" customFormat="1"/>
    <row r="517" s="101" customFormat="1"/>
    <row r="518" s="101" customFormat="1"/>
    <row r="519" s="101" customFormat="1"/>
    <row r="520" s="101" customFormat="1"/>
    <row r="521" s="101" customFormat="1"/>
    <row r="522" s="101" customFormat="1"/>
    <row r="523" s="101" customFormat="1"/>
    <row r="524" s="101" customFormat="1"/>
    <row r="525" s="101" customFormat="1"/>
    <row r="526" s="101" customFormat="1"/>
    <row r="527" s="101" customFormat="1"/>
    <row r="528" s="101" customFormat="1"/>
    <row r="529" s="101" customFormat="1"/>
    <row r="530" s="101" customFormat="1"/>
    <row r="531" s="101" customFormat="1"/>
    <row r="532" s="101" customFormat="1"/>
    <row r="533" s="101" customFormat="1"/>
    <row r="534" s="101" customFormat="1"/>
    <row r="535" s="101" customFormat="1"/>
    <row r="536" s="101" customFormat="1"/>
    <row r="537" s="101" customFormat="1"/>
    <row r="538" s="101" customFormat="1"/>
    <row r="539" s="101" customFormat="1"/>
    <row r="540" s="101" customFormat="1"/>
    <row r="541" s="101" customFormat="1"/>
    <row r="542" s="101" customFormat="1"/>
    <row r="543" s="101" customFormat="1"/>
    <row r="544" s="101" customFormat="1"/>
    <row r="545" s="101" customFormat="1"/>
    <row r="546" s="101" customFormat="1"/>
    <row r="547" s="101" customFormat="1"/>
    <row r="548" s="101" customFormat="1"/>
    <row r="549" s="101" customFormat="1"/>
    <row r="550" s="101" customFormat="1"/>
    <row r="551" s="101" customFormat="1"/>
    <row r="552" s="101" customFormat="1"/>
    <row r="553" s="101" customFormat="1"/>
    <row r="554" s="101" customFormat="1"/>
    <row r="555" s="101" customFormat="1"/>
    <row r="556" s="101" customFormat="1"/>
    <row r="557" s="101" customFormat="1"/>
    <row r="558" s="101" customFormat="1"/>
    <row r="559" s="101" customFormat="1"/>
    <row r="560" s="101" customFormat="1"/>
    <row r="561" s="101" customFormat="1"/>
    <row r="562" s="101" customFormat="1"/>
    <row r="563" s="101" customFormat="1"/>
    <row r="564" s="101" customFormat="1"/>
    <row r="565" s="101" customFormat="1"/>
    <row r="566" s="101" customFormat="1"/>
    <row r="567" s="101" customFormat="1"/>
    <row r="568" s="101" customFormat="1"/>
    <row r="569" s="101" customFormat="1"/>
    <row r="570" s="101" customFormat="1"/>
    <row r="571" s="101" customFormat="1"/>
    <row r="572" s="101" customFormat="1"/>
    <row r="573" s="101" customFormat="1"/>
    <row r="574" s="101" customFormat="1"/>
    <row r="575" s="101" customFormat="1"/>
    <row r="576" s="101" customFormat="1"/>
    <row r="577" s="101" customFormat="1"/>
    <row r="578" s="101" customFormat="1"/>
    <row r="579" s="101" customFormat="1"/>
    <row r="580" s="101" customFormat="1"/>
    <row r="581" s="101" customFormat="1"/>
    <row r="582" s="101" customFormat="1"/>
    <row r="583" s="101" customFormat="1"/>
    <row r="584" s="101" customFormat="1"/>
    <row r="585" s="101" customFormat="1"/>
    <row r="586" s="101" customFormat="1"/>
    <row r="587" s="101" customFormat="1"/>
    <row r="588" s="101" customFormat="1"/>
    <row r="589" s="101" customFormat="1"/>
    <row r="590" s="101" customFormat="1"/>
    <row r="591" s="101" customFormat="1"/>
    <row r="592" s="101" customFormat="1"/>
    <row r="593" s="101" customFormat="1"/>
    <row r="594" s="101" customFormat="1"/>
    <row r="595" s="101" customFormat="1"/>
    <row r="596" s="101" customFormat="1"/>
    <row r="597" s="101" customFormat="1"/>
    <row r="598" s="101" customFormat="1"/>
    <row r="599" s="101" customFormat="1"/>
    <row r="600" s="101" customFormat="1"/>
    <row r="601" s="101" customFormat="1"/>
    <row r="602" s="101" customFormat="1"/>
    <row r="603" s="101" customFormat="1"/>
    <row r="604" s="101" customFormat="1"/>
    <row r="605" s="101" customFormat="1"/>
    <row r="606" s="101" customFormat="1"/>
    <row r="607" s="101" customFormat="1"/>
    <row r="608" s="101" customFormat="1"/>
    <row r="609" s="101" customFormat="1"/>
    <row r="610" s="101" customFormat="1"/>
    <row r="611" s="101" customFormat="1"/>
    <row r="612" s="101" customFormat="1"/>
    <row r="613" s="101" customFormat="1"/>
    <row r="614" s="101" customFormat="1"/>
    <row r="615" s="101" customFormat="1"/>
    <row r="616" s="101" customFormat="1"/>
    <row r="617" s="101" customFormat="1"/>
    <row r="618" s="101" customFormat="1"/>
    <row r="619" s="101" customFormat="1"/>
    <row r="620" s="101" customFormat="1"/>
    <row r="621" s="101" customFormat="1"/>
    <row r="622" s="101" customFormat="1"/>
    <row r="623" s="101" customFormat="1"/>
    <row r="624" s="101" customFormat="1"/>
    <row r="625" s="101" customFormat="1"/>
    <row r="626" s="101" customFormat="1"/>
    <row r="627" s="101" customFormat="1"/>
    <row r="628" s="101" customFormat="1"/>
    <row r="629" s="101" customFormat="1"/>
    <row r="630" s="101" customFormat="1"/>
    <row r="631" s="101" customFormat="1"/>
    <row r="632" s="101" customFormat="1"/>
    <row r="633" s="101" customFormat="1"/>
    <row r="634" s="101" customFormat="1"/>
    <row r="635" s="101" customFormat="1"/>
    <row r="636" s="101" customFormat="1"/>
    <row r="637" s="101" customFormat="1"/>
    <row r="638" s="101" customFormat="1"/>
    <row r="639" s="101" customFormat="1"/>
    <row r="640" s="101" customFormat="1"/>
    <row r="641" s="101" customFormat="1"/>
    <row r="642" s="101" customFormat="1"/>
    <row r="643" s="101" customFormat="1"/>
    <row r="644" s="101" customFormat="1"/>
    <row r="645" s="101" customFormat="1"/>
    <row r="646" s="101" customFormat="1"/>
    <row r="647" s="101" customFormat="1"/>
    <row r="648" s="101" customFormat="1"/>
    <row r="649" s="101" customFormat="1"/>
    <row r="650" s="101" customFormat="1"/>
    <row r="651" s="101" customFormat="1"/>
    <row r="652" s="101" customFormat="1"/>
    <row r="653" s="101" customFormat="1"/>
    <row r="654" s="101" customFormat="1"/>
    <row r="655" s="101" customFormat="1"/>
    <row r="656" s="101" customFormat="1"/>
    <row r="657" s="101" customFormat="1"/>
    <row r="658" s="101" customFormat="1"/>
    <row r="659" s="101" customFormat="1"/>
    <row r="660" s="101" customFormat="1"/>
    <row r="661" s="101" customFormat="1"/>
    <row r="662" s="101" customFormat="1"/>
    <row r="663" s="101" customFormat="1"/>
    <row r="664" s="101" customFormat="1"/>
    <row r="665" s="101" customFormat="1"/>
    <row r="666" s="101" customFormat="1"/>
    <row r="667" s="101" customFormat="1"/>
    <row r="668" s="101" customFormat="1"/>
    <row r="669" s="101" customFormat="1"/>
    <row r="670" s="101" customFormat="1"/>
    <row r="671" s="101" customFormat="1"/>
    <row r="672" s="101" customFormat="1"/>
    <row r="673" s="101" customFormat="1"/>
    <row r="674" s="101" customFormat="1"/>
    <row r="675" s="101" customFormat="1"/>
    <row r="676" s="101" customFormat="1"/>
    <row r="677" s="101" customFormat="1"/>
    <row r="678" s="101" customFormat="1"/>
    <row r="679" s="101" customFormat="1"/>
    <row r="680" s="101" customFormat="1"/>
    <row r="681" s="101" customFormat="1"/>
    <row r="682" s="101" customFormat="1"/>
    <row r="683" s="101" customFormat="1"/>
    <row r="684" s="101" customFormat="1"/>
    <row r="685" s="101" customFormat="1"/>
    <row r="686" s="101" customFormat="1"/>
    <row r="687" s="101" customFormat="1"/>
    <row r="688" s="101" customFormat="1"/>
    <row r="689" s="101" customFormat="1"/>
    <row r="690" s="101" customFormat="1"/>
    <row r="691" s="101" customFormat="1"/>
    <row r="692" s="101" customFormat="1"/>
    <row r="693" s="101" customFormat="1"/>
    <row r="694" s="101" customFormat="1"/>
    <row r="695" s="101" customFormat="1"/>
    <row r="696" s="101" customFormat="1"/>
    <row r="697" s="101" customFormat="1"/>
    <row r="698" s="101" customFormat="1"/>
    <row r="699" s="101" customFormat="1"/>
    <row r="700" s="101" customFormat="1"/>
    <row r="701" s="101" customFormat="1"/>
    <row r="702" s="101" customFormat="1"/>
    <row r="703" s="101" customFormat="1"/>
    <row r="704" s="101" customFormat="1"/>
    <row r="705" s="101" customFormat="1"/>
    <row r="706" s="101" customFormat="1"/>
    <row r="707" s="101" customFormat="1"/>
    <row r="708" s="101" customFormat="1"/>
    <row r="709" s="101" customFormat="1"/>
    <row r="710" s="101" customFormat="1"/>
    <row r="711" s="101" customFormat="1"/>
    <row r="712" s="101" customFormat="1"/>
    <row r="713" s="101" customFormat="1"/>
    <row r="714" s="101" customFormat="1"/>
    <row r="715" s="101" customFormat="1"/>
    <row r="716" s="101" customFormat="1"/>
    <row r="717" s="101" customFormat="1"/>
    <row r="718" s="101" customFormat="1"/>
    <row r="719" s="101" customFormat="1"/>
    <row r="720" s="101" customFormat="1"/>
    <row r="721" s="101" customFormat="1"/>
    <row r="722" s="101" customFormat="1"/>
    <row r="723" s="101" customFormat="1"/>
    <row r="724" s="101" customFormat="1"/>
    <row r="725" s="101" customFormat="1"/>
    <row r="726" s="101" customFormat="1"/>
    <row r="727" s="101" customFormat="1"/>
    <row r="728" s="101" customFormat="1"/>
    <row r="729" s="101" customFormat="1"/>
    <row r="730" s="101" customFormat="1"/>
    <row r="731" s="101" customFormat="1"/>
    <row r="732" s="101" customFormat="1"/>
    <row r="733" s="101" customFormat="1"/>
    <row r="734" s="101" customFormat="1"/>
    <row r="735" s="101" customFormat="1"/>
    <row r="736" s="101" customFormat="1"/>
    <row r="737" s="101" customFormat="1"/>
    <row r="738" s="101" customFormat="1"/>
    <row r="739" s="101" customFormat="1"/>
    <row r="740" s="101" customFormat="1"/>
    <row r="741" s="101" customFormat="1"/>
    <row r="742" s="101" customFormat="1"/>
    <row r="743" s="101" customFormat="1"/>
    <row r="744" s="101" customFormat="1"/>
    <row r="745" s="101" customFormat="1"/>
    <row r="746" s="101" customFormat="1"/>
    <row r="747" s="101" customFormat="1"/>
    <row r="748" s="101" customFormat="1"/>
    <row r="749" s="101" customFormat="1"/>
    <row r="750" s="101" customFormat="1"/>
    <row r="751" s="101" customFormat="1"/>
    <row r="752" s="101" customFormat="1"/>
    <row r="753" s="101" customFormat="1"/>
    <row r="754" s="101" customFormat="1"/>
    <row r="755" s="101" customFormat="1"/>
    <row r="756" s="101" customFormat="1"/>
    <row r="757" s="101" customFormat="1"/>
    <row r="758" s="101" customFormat="1"/>
    <row r="759" s="101" customFormat="1"/>
    <row r="760" s="101" customFormat="1"/>
    <row r="761" s="101" customFormat="1"/>
    <row r="762" s="101" customFormat="1"/>
    <row r="763" s="101" customFormat="1"/>
    <row r="764" s="101" customFormat="1"/>
    <row r="765" s="101" customFormat="1"/>
    <row r="766" s="101" customFormat="1"/>
    <row r="767" s="101" customFormat="1"/>
    <row r="768" s="101" customFormat="1"/>
    <row r="769" s="101" customFormat="1"/>
    <row r="770" s="101" customFormat="1"/>
    <row r="771" s="101" customFormat="1"/>
    <row r="772" s="101" customFormat="1"/>
    <row r="773" s="101" customFormat="1"/>
    <row r="774" s="101" customFormat="1"/>
    <row r="775" s="101" customFormat="1"/>
    <row r="776" s="101" customFormat="1"/>
    <row r="777" s="101" customFormat="1"/>
    <row r="778" s="101" customFormat="1"/>
    <row r="779" s="101" customFormat="1"/>
    <row r="780" s="101" customFormat="1"/>
    <row r="781" s="101" customFormat="1"/>
    <row r="782" s="101" customFormat="1"/>
    <row r="783" s="101" customFormat="1"/>
    <row r="784" s="101" customFormat="1"/>
    <row r="785" s="101" customFormat="1"/>
    <row r="786" s="101" customFormat="1"/>
    <row r="787" s="101" customFormat="1"/>
    <row r="788" s="101" customFormat="1"/>
    <row r="789" s="101" customFormat="1"/>
    <row r="790" s="101" customFormat="1"/>
    <row r="791" s="101" customFormat="1"/>
    <row r="792" s="101" customFormat="1"/>
    <row r="793" s="101" customFormat="1"/>
    <row r="794" s="101" customFormat="1"/>
    <row r="795" s="101" customFormat="1"/>
    <row r="796" s="101" customFormat="1"/>
    <row r="797" s="101" customFormat="1"/>
    <row r="798" s="101" customFormat="1"/>
    <row r="799" s="101" customFormat="1"/>
    <row r="800" s="101" customFormat="1"/>
    <row r="801" s="101" customFormat="1"/>
    <row r="802" s="101" customFormat="1"/>
    <row r="803" s="101" customFormat="1"/>
    <row r="804" s="101" customFormat="1"/>
    <row r="805" s="101" customFormat="1"/>
    <row r="806" s="101" customFormat="1"/>
    <row r="807" s="101" customFormat="1"/>
    <row r="808" s="101" customFormat="1"/>
    <row r="809" s="101" customFormat="1"/>
    <row r="810" s="101" customFormat="1"/>
    <row r="811" s="101" customFormat="1"/>
    <row r="812" s="101" customFormat="1"/>
    <row r="813" s="101" customFormat="1"/>
    <row r="814" s="101" customFormat="1"/>
    <row r="815" s="101" customFormat="1"/>
    <row r="816" s="101" customFormat="1"/>
    <row r="817" s="101" customFormat="1"/>
    <row r="818" s="101" customFormat="1"/>
    <row r="819" s="101" customFormat="1"/>
    <row r="820" s="101" customFormat="1"/>
    <row r="821" s="101" customFormat="1"/>
    <row r="822" s="101" customFormat="1"/>
    <row r="823" s="101" customFormat="1"/>
    <row r="824" s="101" customFormat="1"/>
    <row r="825" s="101" customFormat="1"/>
    <row r="826" s="101" customFormat="1"/>
    <row r="827" s="101" customFormat="1"/>
    <row r="828" s="101" customFormat="1"/>
    <row r="829" s="101" customFormat="1"/>
    <row r="830" s="101" customFormat="1"/>
    <row r="831" s="101" customFormat="1"/>
    <row r="832" s="101" customFormat="1"/>
    <row r="833" s="101" customFormat="1"/>
    <row r="834" s="101" customFormat="1"/>
    <row r="835" s="101" customFormat="1"/>
    <row r="836" s="101" customFormat="1"/>
    <row r="837" s="101" customFormat="1"/>
    <row r="838" s="101" customFormat="1"/>
    <row r="839" s="101" customFormat="1"/>
    <row r="840" s="101" customFormat="1"/>
    <row r="841" s="101" customFormat="1"/>
    <row r="842" s="101" customFormat="1"/>
    <row r="843" s="101" customFormat="1"/>
    <row r="844" s="101" customFormat="1"/>
    <row r="845" s="101" customFormat="1"/>
    <row r="846" s="101" customFormat="1"/>
    <row r="847" s="101" customFormat="1"/>
    <row r="848" s="101" customFormat="1"/>
    <row r="849" s="101" customFormat="1"/>
    <row r="850" s="101" customFormat="1"/>
    <row r="851" s="101" customFormat="1"/>
    <row r="852" s="101" customFormat="1"/>
    <row r="853" s="101" customFormat="1"/>
    <row r="854" s="101" customFormat="1"/>
    <row r="855" s="101" customFormat="1"/>
    <row r="856" s="101" customFormat="1"/>
    <row r="857" s="101" customFormat="1"/>
    <row r="858" s="101" customFormat="1"/>
    <row r="859" s="101" customFormat="1"/>
    <row r="860" s="101" customFormat="1"/>
    <row r="861" s="101" customFormat="1"/>
    <row r="862" s="101" customFormat="1"/>
    <row r="863" s="101" customFormat="1"/>
    <row r="864" s="101" customFormat="1"/>
    <row r="865" s="101" customFormat="1"/>
    <row r="866" s="101" customFormat="1"/>
    <row r="867" s="101" customFormat="1"/>
    <row r="868" s="101" customFormat="1"/>
    <row r="869" s="101" customFormat="1"/>
    <row r="870" s="101" customFormat="1"/>
    <row r="871" s="101" customFormat="1"/>
    <row r="872" s="101" customFormat="1"/>
    <row r="873" s="101" customFormat="1"/>
    <row r="874" s="101" customFormat="1"/>
    <row r="875" s="101" customFormat="1"/>
    <row r="876" s="101" customFormat="1"/>
    <row r="877" s="101" customFormat="1"/>
    <row r="878" s="101" customFormat="1"/>
    <row r="879" s="101" customFormat="1"/>
    <row r="880" s="101" customFormat="1"/>
    <row r="881" s="101" customFormat="1"/>
    <row r="882" s="101" customFormat="1"/>
    <row r="883" s="101" customFormat="1"/>
    <row r="884" s="101" customFormat="1"/>
    <row r="885" s="101" customFormat="1"/>
    <row r="886" s="101" customFormat="1"/>
    <row r="887" s="101" customFormat="1"/>
    <row r="888" s="101" customFormat="1"/>
    <row r="889" s="101" customFormat="1"/>
    <row r="890" s="101" customFormat="1"/>
    <row r="891" s="101" customFormat="1"/>
  </sheetData>
  <mergeCells count="2">
    <mergeCell ref="B5:C5"/>
    <mergeCell ref="B6:C6"/>
  </mergeCells>
  <phoneticPr fontId="19" type="noConversion"/>
  <pageMargins left="0.75" right="0.75" top="1" bottom="1" header="0.5" footer="0.5"/>
  <headerFooter alignWithMargins="0"/>
  <legacyDrawing r:id="rId1"/>
</worksheet>
</file>

<file path=xl/worksheets/sheet9.xml><?xml version="1.0" encoding="utf-8"?>
<worksheet xmlns="http://schemas.openxmlformats.org/spreadsheetml/2006/main" xmlns:r="http://schemas.openxmlformats.org/officeDocument/2006/relationships">
  <sheetPr codeName="Sheet12"/>
  <dimension ref="A1:AH29"/>
  <sheetViews>
    <sheetView workbookViewId="0">
      <pane xSplit="2" ySplit="2" topLeftCell="Q3" activePane="bottomRight" state="frozen"/>
      <selection pane="topRight" activeCell="C1" sqref="C1"/>
      <selection pane="bottomLeft" activeCell="A3" sqref="A3"/>
      <selection pane="bottomRight" activeCell="V33" sqref="V33"/>
    </sheetView>
  </sheetViews>
  <sheetFormatPr defaultRowHeight="12.75"/>
  <cols>
    <col min="1" max="1" width="32.28515625" customWidth="1"/>
    <col min="2" max="2" width="4.7109375" customWidth="1"/>
    <col min="3" max="3" width="12.5703125" bestFit="1" customWidth="1"/>
    <col min="4" max="4" width="12" bestFit="1" customWidth="1"/>
    <col min="5" max="5" width="10.85546875" bestFit="1" customWidth="1"/>
    <col min="6" max="6" width="9.42578125" bestFit="1" customWidth="1"/>
    <col min="7" max="9" width="10.5703125" bestFit="1" customWidth="1"/>
    <col min="10" max="33" width="12.5703125" customWidth="1"/>
  </cols>
  <sheetData>
    <row r="1" spans="1:34" s="6" customFormat="1" ht="15.75">
      <c r="A1" s="902" t="s">
        <v>63</v>
      </c>
      <c r="B1" s="902"/>
      <c r="C1" s="902"/>
      <c r="D1" s="902"/>
      <c r="E1" s="902"/>
      <c r="F1" s="902"/>
      <c r="G1" s="902"/>
      <c r="H1" s="902"/>
      <c r="I1" s="902"/>
    </row>
    <row r="2" spans="1:34" s="7" customFormat="1">
      <c r="A2" s="937" t="s">
        <v>64</v>
      </c>
      <c r="B2" s="938"/>
      <c r="C2" s="938"/>
      <c r="D2" s="938"/>
      <c r="E2" s="938"/>
      <c r="F2" s="938"/>
      <c r="G2" s="938"/>
      <c r="H2" s="938"/>
      <c r="I2" s="938"/>
    </row>
    <row r="3" spans="1:34" s="7" customFormat="1">
      <c r="A3" s="8"/>
      <c r="B3" s="8"/>
      <c r="C3" s="26" t="s">
        <v>271</v>
      </c>
      <c r="D3" s="115">
        <v>40817</v>
      </c>
      <c r="E3" s="9"/>
      <c r="F3" s="9"/>
      <c r="G3" s="9"/>
      <c r="H3" s="9"/>
      <c r="I3" s="5"/>
    </row>
    <row r="4" spans="1:34" s="7" customFormat="1" ht="12" customHeight="1">
      <c r="A4" s="10"/>
      <c r="B4" s="10"/>
      <c r="C4" s="11"/>
      <c r="D4" s="12"/>
      <c r="G4" s="13"/>
      <c r="H4" s="13"/>
    </row>
    <row r="5" spans="1:34" s="17" customFormat="1" ht="12" thickBot="1">
      <c r="A5" s="14" t="s">
        <v>22</v>
      </c>
      <c r="B5" s="14"/>
      <c r="C5" s="15"/>
      <c r="D5" s="15"/>
      <c r="E5" s="16"/>
      <c r="F5" s="16"/>
      <c r="G5" s="16"/>
      <c r="H5" s="16"/>
      <c r="I5" s="16" t="s">
        <v>10</v>
      </c>
    </row>
    <row r="6" spans="1:34" s="17" customFormat="1" ht="13.5" customHeight="1">
      <c r="A6" s="18"/>
      <c r="B6" s="27"/>
      <c r="C6" s="35" t="str">
        <f t="shared" ref="C6:AG6" si="0">CHOOSE(WEEKDAY(C7,2),"Monday","Tuesday","Wednesday","Thursday","Friday","Saturday","Sunday")</f>
        <v>Saturday</v>
      </c>
      <c r="D6" s="35" t="str">
        <f t="shared" si="0"/>
        <v>Sunday</v>
      </c>
      <c r="E6" s="35" t="str">
        <f t="shared" si="0"/>
        <v>Monday</v>
      </c>
      <c r="F6" s="35" t="str">
        <f t="shared" si="0"/>
        <v>Tuesday</v>
      </c>
      <c r="G6" s="35" t="str">
        <f t="shared" si="0"/>
        <v>Wednesday</v>
      </c>
      <c r="H6" s="35" t="str">
        <f t="shared" si="0"/>
        <v>Thursday</v>
      </c>
      <c r="I6" s="35" t="str">
        <f t="shared" si="0"/>
        <v>Friday</v>
      </c>
      <c r="J6" s="35" t="str">
        <f t="shared" si="0"/>
        <v>Saturday</v>
      </c>
      <c r="K6" s="35" t="str">
        <f t="shared" si="0"/>
        <v>Sunday</v>
      </c>
      <c r="L6" s="35" t="str">
        <f t="shared" si="0"/>
        <v>Monday</v>
      </c>
      <c r="M6" s="35" t="str">
        <f t="shared" si="0"/>
        <v>Tuesday</v>
      </c>
      <c r="N6" s="35" t="str">
        <f t="shared" si="0"/>
        <v>Wednesday</v>
      </c>
      <c r="O6" s="35" t="str">
        <f t="shared" si="0"/>
        <v>Thursday</v>
      </c>
      <c r="P6" s="35" t="str">
        <f t="shared" si="0"/>
        <v>Friday</v>
      </c>
      <c r="Q6" s="35" t="str">
        <f t="shared" si="0"/>
        <v>Saturday</v>
      </c>
      <c r="R6" s="35" t="str">
        <f t="shared" si="0"/>
        <v>Sunday</v>
      </c>
      <c r="S6" s="35" t="str">
        <f t="shared" si="0"/>
        <v>Monday</v>
      </c>
      <c r="T6" s="35" t="str">
        <f t="shared" si="0"/>
        <v>Tuesday</v>
      </c>
      <c r="U6" s="35" t="str">
        <f t="shared" si="0"/>
        <v>Wednesday</v>
      </c>
      <c r="V6" s="35" t="str">
        <f t="shared" si="0"/>
        <v>Thursday</v>
      </c>
      <c r="W6" s="35" t="str">
        <f t="shared" si="0"/>
        <v>Friday</v>
      </c>
      <c r="X6" s="35" t="str">
        <f t="shared" si="0"/>
        <v>Saturday</v>
      </c>
      <c r="Y6" s="35" t="str">
        <f t="shared" si="0"/>
        <v>Sunday</v>
      </c>
      <c r="Z6" s="35" t="str">
        <f t="shared" si="0"/>
        <v>Monday</v>
      </c>
      <c r="AA6" s="35" t="str">
        <f t="shared" si="0"/>
        <v>Tuesday</v>
      </c>
      <c r="AB6" s="35" t="str">
        <f t="shared" si="0"/>
        <v>Wednesday</v>
      </c>
      <c r="AC6" s="35" t="str">
        <f t="shared" si="0"/>
        <v>Thursday</v>
      </c>
      <c r="AD6" s="35" t="str">
        <f t="shared" si="0"/>
        <v>Friday</v>
      </c>
      <c r="AE6" s="35" t="str">
        <f t="shared" si="0"/>
        <v>Saturday</v>
      </c>
      <c r="AF6" s="35" t="str">
        <f t="shared" si="0"/>
        <v>Sunday</v>
      </c>
      <c r="AG6" s="35" t="str">
        <f t="shared" si="0"/>
        <v>Monday</v>
      </c>
    </row>
    <row r="7" spans="1:34" s="17" customFormat="1" ht="15" customHeight="1" thickBot="1">
      <c r="A7" s="19"/>
      <c r="B7" s="28"/>
      <c r="C7" s="36">
        <f>D3</f>
        <v>40817</v>
      </c>
      <c r="D7" s="36">
        <f>C7+1</f>
        <v>40818</v>
      </c>
      <c r="E7" s="36">
        <f t="shared" ref="E7:AG7" si="1">D7+1</f>
        <v>40819</v>
      </c>
      <c r="F7" s="36">
        <f t="shared" si="1"/>
        <v>40820</v>
      </c>
      <c r="G7" s="36">
        <f t="shared" si="1"/>
        <v>40821</v>
      </c>
      <c r="H7" s="36">
        <f t="shared" si="1"/>
        <v>40822</v>
      </c>
      <c r="I7" s="36">
        <f t="shared" si="1"/>
        <v>40823</v>
      </c>
      <c r="J7" s="36">
        <f t="shared" si="1"/>
        <v>40824</v>
      </c>
      <c r="K7" s="36">
        <f t="shared" si="1"/>
        <v>40825</v>
      </c>
      <c r="L7" s="36">
        <f t="shared" si="1"/>
        <v>40826</v>
      </c>
      <c r="M7" s="36">
        <f t="shared" si="1"/>
        <v>40827</v>
      </c>
      <c r="N7" s="36">
        <f t="shared" si="1"/>
        <v>40828</v>
      </c>
      <c r="O7" s="36">
        <f t="shared" si="1"/>
        <v>40829</v>
      </c>
      <c r="P7" s="36">
        <f t="shared" si="1"/>
        <v>40830</v>
      </c>
      <c r="Q7" s="36">
        <f t="shared" si="1"/>
        <v>40831</v>
      </c>
      <c r="R7" s="36">
        <f t="shared" si="1"/>
        <v>40832</v>
      </c>
      <c r="S7" s="36">
        <f t="shared" si="1"/>
        <v>40833</v>
      </c>
      <c r="T7" s="36">
        <f t="shared" si="1"/>
        <v>40834</v>
      </c>
      <c r="U7" s="36">
        <f t="shared" si="1"/>
        <v>40835</v>
      </c>
      <c r="V7" s="36">
        <f t="shared" si="1"/>
        <v>40836</v>
      </c>
      <c r="W7" s="36">
        <f t="shared" si="1"/>
        <v>40837</v>
      </c>
      <c r="X7" s="36">
        <f t="shared" si="1"/>
        <v>40838</v>
      </c>
      <c r="Y7" s="36">
        <f t="shared" si="1"/>
        <v>40839</v>
      </c>
      <c r="Z7" s="36">
        <f t="shared" si="1"/>
        <v>40840</v>
      </c>
      <c r="AA7" s="36">
        <f t="shared" si="1"/>
        <v>40841</v>
      </c>
      <c r="AB7" s="36">
        <f t="shared" si="1"/>
        <v>40842</v>
      </c>
      <c r="AC7" s="36">
        <f t="shared" si="1"/>
        <v>40843</v>
      </c>
      <c r="AD7" s="36">
        <f t="shared" si="1"/>
        <v>40844</v>
      </c>
      <c r="AE7" s="36">
        <f t="shared" si="1"/>
        <v>40845</v>
      </c>
      <c r="AF7" s="36">
        <f t="shared" si="1"/>
        <v>40846</v>
      </c>
      <c r="AG7" s="36">
        <f t="shared" si="1"/>
        <v>40847</v>
      </c>
    </row>
    <row r="8" spans="1:34" s="20" customFormat="1" ht="13.5" thickBot="1">
      <c r="A8" s="409" t="s">
        <v>264</v>
      </c>
      <c r="B8" s="409"/>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408"/>
      <c r="AF8" s="408"/>
      <c r="AG8" s="408"/>
    </row>
    <row r="9" spans="1:34">
      <c r="A9" s="21" t="s">
        <v>259</v>
      </c>
      <c r="B9" s="42" t="s">
        <v>13</v>
      </c>
      <c r="C9" s="43">
        <f>VLOOKUP(C7,Sheet1!$B$8:$IV$895,26,FALSE)</f>
        <v>34.19</v>
      </c>
      <c r="D9" s="38">
        <f>VLOOKUP(D7,Sheet1!$B$8:$IV$895,26,FALSE)</f>
        <v>34.130000000004657</v>
      </c>
      <c r="E9" s="38">
        <f>VLOOKUP(E7,Sheet1!$B$8:$IV$895,26,FALSE)</f>
        <v>34.169999999998254</v>
      </c>
      <c r="F9" s="38">
        <f>VLOOKUP(F7,Sheet1!$B$8:$IV$895,26,FALSE)</f>
        <v>34.19999999999709</v>
      </c>
      <c r="G9" s="38">
        <f>VLOOKUP(G7,Sheet1!$B$8:$IV$895,26,FALSE)</f>
        <v>34.200000000011642</v>
      </c>
      <c r="H9" s="38">
        <f>VLOOKUP(H7,Sheet1!$B$8:$IV$895,26,FALSE)</f>
        <v>34.399999999994179</v>
      </c>
      <c r="I9" s="38">
        <f>VLOOKUP(I7,Sheet1!$B$8:$IV$895,26,FALSE)</f>
        <v>34</v>
      </c>
      <c r="J9" s="38">
        <f>VLOOKUP(J7,Sheet1!$B$8:$IV$895,26,FALSE)</f>
        <v>34.19999999999709</v>
      </c>
      <c r="K9" s="38">
        <f>VLOOKUP(K7,Sheet1!$B$8:$IV$895,26,FALSE)</f>
        <v>34.19999999999709</v>
      </c>
      <c r="L9" s="38">
        <f>VLOOKUP(L7,Sheet1!$B$8:$IV$895,26,FALSE)</f>
        <v>34.30000000000291</v>
      </c>
      <c r="M9" s="38">
        <f>VLOOKUP(M7,Sheet1!$B$8:$IV$895,26,FALSE)</f>
        <v>34.100000000005821</v>
      </c>
      <c r="N9" s="38">
        <f>VLOOKUP(N7,Sheet1!$B$8:$IV$895,26,FALSE)</f>
        <v>31.739999999990687</v>
      </c>
      <c r="O9" s="38">
        <f>VLOOKUP(O7,Sheet1!$B$8:$IV$895,26,FALSE)</f>
        <v>30.430000000007567</v>
      </c>
      <c r="P9" s="38">
        <f>VLOOKUP(P7,Sheet1!$B$8:$IV$895,26,FALSE)</f>
        <v>30.529999999998836</v>
      </c>
      <c r="Q9" s="38">
        <f>VLOOKUP(Q7,Sheet1!$B$8:$IV$895,26,FALSE)</f>
        <v>30.419999999998254</v>
      </c>
      <c r="R9" s="38">
        <f>VLOOKUP(R7,Sheet1!$B$8:$IV$895,26,FALSE)</f>
        <v>30.05000000000291</v>
      </c>
      <c r="S9" s="38">
        <f>VLOOKUP(S7,Sheet1!$B$8:$IV$895,26,FALSE)</f>
        <v>30.429999999993015</v>
      </c>
      <c r="T9" s="38">
        <f>VLOOKUP(T7,Sheet1!$B$8:$IV$895,26,FALSE)</f>
        <v>30.30000000000291</v>
      </c>
      <c r="U9" s="38">
        <f>VLOOKUP(U7,Sheet1!$B$8:$IV$895,26,FALSE)</f>
        <v>30.5</v>
      </c>
      <c r="V9" s="38">
        <f>VLOOKUP(V7,Sheet1!$B$8:$IV$895,26,FALSE)</f>
        <v>30.400000000008731</v>
      </c>
      <c r="W9" s="38">
        <f>VLOOKUP(W7,Sheet1!$B$8:$IV$895,26,FALSE)</f>
        <v>30.1</v>
      </c>
      <c r="X9" s="38">
        <f>VLOOKUP(X7,Sheet1!$B$8:$IV$895,26,FALSE)</f>
        <v>30.4</v>
      </c>
      <c r="Y9" s="38">
        <f>VLOOKUP(Y7,Sheet1!$B$8:$IV$895,26,FALSE)</f>
        <v>25.2</v>
      </c>
      <c r="Z9" s="38">
        <f>VLOOKUP(Z7,Sheet1!$B$8:$IV$895,26,FALSE)</f>
        <v>26</v>
      </c>
      <c r="AA9" s="38">
        <f>VLOOKUP(AA7,Sheet1!$B$8:$IV$895,26,FALSE)</f>
        <v>25.8</v>
      </c>
      <c r="AB9" s="38">
        <f>VLOOKUP(AB7,Sheet1!$B$8:$IV$895,26,FALSE)</f>
        <v>26.139999999999418</v>
      </c>
      <c r="AC9" s="38">
        <f>VLOOKUP(AC7,Sheet1!$B$8:$IV$895,26,FALSE)</f>
        <v>29.659999999988941</v>
      </c>
      <c r="AD9" s="38">
        <f>VLOOKUP(AD7,Sheet1!$B$8:$IV$895,26,FALSE)</f>
        <v>28.400000000008731</v>
      </c>
      <c r="AE9" s="38">
        <f>VLOOKUP(AE7,Sheet1!$B$8:$IV$895,26,FALSE)</f>
        <v>27</v>
      </c>
      <c r="AF9" s="38">
        <f>VLOOKUP(AF7,Sheet1!$B$8:$IV$895,26,FALSE)</f>
        <v>27.099999999991269</v>
      </c>
      <c r="AG9" s="38">
        <f>VLOOKUP(AG7,Sheet1!$B$8:$IV$895,26,FALSE)</f>
        <v>27.12</v>
      </c>
    </row>
    <row r="10" spans="1:34" ht="13.5" thickBot="1">
      <c r="A10" s="21" t="s">
        <v>260</v>
      </c>
      <c r="B10" s="22" t="s">
        <v>13</v>
      </c>
      <c r="C10" s="44">
        <f>VLOOKUP(C7,Calculation!$B$8:$IV$895,32,FALSE)</f>
        <v>14.483224064789818</v>
      </c>
      <c r="D10" s="37">
        <f>VLOOKUP(D7,Calculation!$B$8:$IV$895,32,FALSE)</f>
        <v>14.322076418369679</v>
      </c>
      <c r="E10" s="37">
        <f>VLOOKUP(E7,Calculation!$B$8:$IV$895,32,FALSE)</f>
        <v>14.609573241060309</v>
      </c>
      <c r="F10" s="37">
        <f>VLOOKUP(F7,Calculation!$B$8:$IV$895,32,FALSE)</f>
        <v>14.228118811882824</v>
      </c>
      <c r="G10" s="37">
        <f>VLOOKUP(G7,Calculation!$B$8:$IV$895,32,FALSE)</f>
        <v>12.848180677540777</v>
      </c>
      <c r="H10" s="37">
        <f>VLOOKUP(H7,Calculation!$B$8:$IV$895,32,FALSE)</f>
        <v>10.03328578221519</v>
      </c>
      <c r="I10" s="37">
        <f>VLOOKUP(I7,Calculation!$B$8:$IV$895,32,FALSE)</f>
        <v>8.5637513171766333</v>
      </c>
      <c r="J10" s="37">
        <f>VLOOKUP(J7,Calculation!$B$8:$IV$895,32,FALSE)</f>
        <v>8.9423585404547854</v>
      </c>
      <c r="K10" s="37">
        <f>VLOOKUP(K7,Calculation!$B$8:$IV$895,32,FALSE)</f>
        <v>8.895318253550764</v>
      </c>
      <c r="L10" s="37">
        <f>VLOOKUP(L7,Calculation!$B$8:$IV$895,32,FALSE)</f>
        <v>8.928194297782472</v>
      </c>
      <c r="M10" s="37">
        <f>VLOOKUP(M7,Calculation!$B$8:$IV$895,32,FALSE)</f>
        <v>12.116373477670942</v>
      </c>
      <c r="N10" s="37">
        <f>VLOOKUP(N7,Calculation!$B$8:$IV$895,32,FALSE)</f>
        <v>11.300000000000768</v>
      </c>
      <c r="O10" s="37">
        <f>VLOOKUP(O7,Calculation!$B$8:$IV$895,32,FALSE)</f>
        <v>14.605913325231167</v>
      </c>
      <c r="P10" s="37">
        <f>VLOOKUP(P7,Calculation!$B$8:$IV$895,32,FALSE)</f>
        <v>15.909595375725379</v>
      </c>
      <c r="Q10" s="37">
        <f>VLOOKUP(Q7,Calculation!$B$8:$IV$895,32,FALSE)</f>
        <v>15.879182729375305</v>
      </c>
      <c r="R10" s="37">
        <f>VLOOKUP(R7,Calculation!$B$8:$IV$895,32,FALSE)</f>
        <v>15.684047894938356</v>
      </c>
      <c r="S10" s="37">
        <f>VLOOKUP(S7,Calculation!$B$8:$IV$895,32,FALSE)</f>
        <v>15.830431432975047</v>
      </c>
      <c r="T10" s="37">
        <f>VLOOKUP(T7,Calculation!$B$8:$IV$895,32,FALSE)</f>
        <v>16.555953278069207</v>
      </c>
      <c r="U10" s="37">
        <f>VLOOKUP(U7,Calculation!$B$8:$IV$895,32,FALSE)</f>
        <v>17.965878136202946</v>
      </c>
      <c r="V10" s="37">
        <f>VLOOKUP(V7,Calculation!$B$8:$IV$895,32,FALSE)</f>
        <v>17.89590517241249</v>
      </c>
      <c r="W10" s="37">
        <f>VLOOKUP(W7,Calculation!$B$8:$IV$895,32,FALSE)</f>
        <v>18.054440848615606</v>
      </c>
      <c r="X10" s="37">
        <f>VLOOKUP(X7,Calculation!$B$8:$IV$895,32,FALSE)</f>
        <v>18.8210355987055</v>
      </c>
      <c r="Y10" s="37">
        <f>VLOOKUP(Y7,Calculation!$B$8:$IV$895,32,FALSE)</f>
        <v>20.18</v>
      </c>
      <c r="Z10" s="37">
        <f>VLOOKUP(Z7,Calculation!$B$8:$IV$895,32,FALSE)</f>
        <v>20.2</v>
      </c>
      <c r="AA10" s="37">
        <f>VLOOKUP(AA7,Calculation!$B$8:$IV$895,32,FALSE)</f>
        <v>19.940000000000001</v>
      </c>
      <c r="AB10" s="37">
        <f>VLOOKUP(AB7,Calculation!$B$8:$IV$895,32,FALSE)</f>
        <v>18.124761426415485</v>
      </c>
      <c r="AC10" s="37">
        <f>VLOOKUP(AC7,Calculation!$B$8:$IV$895,32,FALSE)</f>
        <v>16.661204424416223</v>
      </c>
      <c r="AD10" s="37">
        <f>VLOOKUP(AD7,Calculation!$B$8:$IV$895,32,FALSE)</f>
        <v>18.592054677489411</v>
      </c>
      <c r="AE10" s="37">
        <f>VLOOKUP(AE7,Calculation!$B$8:$IV$895,32,FALSE)</f>
        <v>19.900000000001455</v>
      </c>
      <c r="AF10" s="37">
        <f>VLOOKUP(AF7,Calculation!$B$8:$IV$895,32,FALSE)</f>
        <v>19.94999999999709</v>
      </c>
      <c r="AG10" s="37">
        <f>VLOOKUP(AG7,Calculation!$B$8:$IV$895,32,FALSE)</f>
        <v>18.64</v>
      </c>
    </row>
    <row r="11" spans="1:34">
      <c r="A11" s="46" t="s">
        <v>261</v>
      </c>
      <c r="B11" s="22" t="s">
        <v>13</v>
      </c>
      <c r="C11" s="38">
        <f>VLOOKUP(C7,Calculation!$B$8:$IV$895,59,FALSE)</f>
        <v>1.0687620516775935</v>
      </c>
      <c r="D11" s="38">
        <f>VLOOKUP(D7,Calculation!$B$8:$IV$895,59,FALSE)</f>
        <v>1.0716518718640249</v>
      </c>
      <c r="E11" s="38">
        <f>VLOOKUP(E7,Calculation!$B$8:$IV$895,59,FALSE)</f>
        <v>1.0534794309880224</v>
      </c>
      <c r="F11" s="38">
        <f>VLOOKUP(F7,Calculation!$B$8:$IV$895,59,FALSE)</f>
        <v>1.0019801980199172</v>
      </c>
      <c r="G11" s="38">
        <f>VLOOKUP(G7,Calculation!$B$8:$IV$895,59,FALSE)</f>
        <v>1.0037641154328731</v>
      </c>
      <c r="H11" s="38">
        <f>VLOOKUP(H7,Calculation!$B$8:$IV$895,59,FALSE)</f>
        <v>1.0033285782215189</v>
      </c>
      <c r="I11" s="38">
        <f>VLOOKUP(I7,Calculation!$B$8:$IV$895,59,FALSE)</f>
        <v>1.005742887249814</v>
      </c>
      <c r="J11" s="38">
        <f>VLOOKUP(J7,Calculation!$B$8:$IV$895,59,FALSE)</f>
        <v>1.0047593865679534</v>
      </c>
      <c r="K11" s="38">
        <f>VLOOKUP(K7,Calculation!$B$8:$IV$895,59,FALSE)</f>
        <v>0.99947396107311948</v>
      </c>
      <c r="L11" s="38">
        <f>VLOOKUP(L7,Calculation!$B$8:$IV$895,59,FALSE)</f>
        <v>1.0031678986272441</v>
      </c>
      <c r="M11" s="38">
        <f>VLOOKUP(M7,Calculation!$B$8:$IV$895,59,FALSE)</f>
        <v>0.99133964817307718</v>
      </c>
      <c r="N11" s="38">
        <f>VLOOKUP(N7,Calculation!$B$8:$IV$895,59,FALSE)</f>
        <v>1.0500000000000713</v>
      </c>
      <c r="O11" s="38">
        <f>VLOOKUP(O7,Calculation!$B$8:$IV$895,59,FALSE)</f>
        <v>1.0404212231671517</v>
      </c>
      <c r="P11" s="38">
        <f>VLOOKUP(P7,Calculation!$B$8:$IV$895,59,FALSE)</f>
        <v>1.0472138728325566</v>
      </c>
      <c r="Q11" s="38">
        <f>VLOOKUP(Q7,Calculation!$B$8:$IV$895,59,FALSE)</f>
        <v>1.0452120277563492</v>
      </c>
      <c r="R11" s="38">
        <f>VLOOKUP(R7,Calculation!$B$8:$IV$895,59,FALSE)</f>
        <v>1.0323677095402461</v>
      </c>
      <c r="S11" s="38">
        <f>VLOOKUP(S7,Calculation!$B$8:$IV$895,59,FALSE)</f>
        <v>1.0420030816641803</v>
      </c>
      <c r="T11" s="38">
        <f>VLOOKUP(T7,Calculation!$B$8:$IV$895,59,FALSE)</f>
        <v>1.0033911077617703</v>
      </c>
      <c r="U11" s="38">
        <f>VLOOKUP(U7,Calculation!$B$8:$IV$895,59,FALSE)</f>
        <v>1.0093189964158957</v>
      </c>
      <c r="V11" s="38">
        <f>VLOOKUP(V7,Calculation!$B$8:$IV$895,59,FALSE)</f>
        <v>1.0053879310344096</v>
      </c>
      <c r="W11" s="38">
        <f>VLOOKUP(W7,Calculation!$B$8:$IV$895,59,FALSE)</f>
        <v>0.99748291981301673</v>
      </c>
      <c r="X11" s="38">
        <f>VLOOKUP(X7,Calculation!$B$8:$IV$895,59,FALSE)</f>
        <v>1.006472491909385</v>
      </c>
      <c r="Y11" s="38">
        <f>VLOOKUP(Y7,Calculation!$B$8:$IV$895,59,FALSE)</f>
        <v>0</v>
      </c>
      <c r="Z11" s="38">
        <f>VLOOKUP(Z7,Calculation!$B$8:$IV$895,59,FALSE)</f>
        <v>0</v>
      </c>
      <c r="AA11" s="38">
        <f>VLOOKUP(AA7,Calculation!$B$8:$IV$895,59,FALSE)</f>
        <v>0</v>
      </c>
      <c r="AB11" s="38">
        <f>VLOOKUP(AB7,Calculation!$B$8:$IV$895,59,FALSE)</f>
        <v>0</v>
      </c>
      <c r="AC11" s="38">
        <f>VLOOKUP(AC7,Calculation!$B$8:$IV$895,59,FALSE)</f>
        <v>0</v>
      </c>
      <c r="AD11" s="38">
        <f>VLOOKUP(AD7,Calculation!$B$8:$IV$895,59,FALSE)</f>
        <v>0</v>
      </c>
      <c r="AE11" s="38">
        <f>VLOOKUP(AE7,Calculation!$B$8:$IV$895,59,FALSE)</f>
        <v>0</v>
      </c>
      <c r="AF11" s="38">
        <f>VLOOKUP(AF7,Calculation!$B$8:$IV$895,59,FALSE)</f>
        <v>0</v>
      </c>
      <c r="AG11" s="38">
        <f>VLOOKUP(AG7,Calculation!$B$8:$IV$895,59,FALSE)</f>
        <v>0</v>
      </c>
    </row>
    <row r="12" spans="1:34">
      <c r="A12" s="21" t="s">
        <v>262</v>
      </c>
      <c r="B12" s="23" t="s">
        <v>13</v>
      </c>
      <c r="C12" s="44">
        <f>VLOOKUP(C7,Calculation!$B$8:$IV$895,80,FALSE)</f>
        <v>2.8167373698418823</v>
      </c>
      <c r="D12" s="37">
        <f>VLOOKUP(D7,Calculation!$B$8:$IV$895,80,FALSE)</f>
        <v>2.9946159783863875</v>
      </c>
      <c r="E12" s="37">
        <f>VLOOKUP(E7,Calculation!$B$8:$IV$895,80,FALSE)</f>
        <v>2.693329488658057</v>
      </c>
      <c r="F12" s="37">
        <f>VLOOKUP(F7,Calculation!$B$8:$IV$895,80,FALSE)</f>
        <v>2.5049504950497932</v>
      </c>
      <c r="G12" s="37">
        <f>VLOOKUP(G7,Calculation!$B$8:$IV$895,80,FALSE)</f>
        <v>2.5696361355081554</v>
      </c>
      <c r="H12" s="37">
        <f>VLOOKUP(H7,Calculation!$B$8:$IV$895,80,FALSE)</f>
        <v>2.4882548739893671</v>
      </c>
      <c r="I12" s="37">
        <f>VLOOKUP(I7,Calculation!$B$8:$IV$895,80,FALSE)</f>
        <v>2.5591675447841804</v>
      </c>
      <c r="J12" s="37">
        <f>VLOOKUP(J7,Calculation!$B$8:$IV$895,80,FALSE)</f>
        <v>2.5018508725542041</v>
      </c>
      <c r="K12" s="37">
        <f>VLOOKUP(K7,Calculation!$B$8:$IV$895,80,FALSE)</f>
        <v>2.5686480799579168</v>
      </c>
      <c r="L12" s="37">
        <f>VLOOKUP(L7,Calculation!$B$8:$IV$895,80,FALSE)</f>
        <v>2.5079197465681102</v>
      </c>
      <c r="M12" s="37">
        <f>VLOOKUP(M7,Calculation!$B$8:$IV$895,80,FALSE)</f>
        <v>2.5634641407303809</v>
      </c>
      <c r="N12" s="37">
        <f>VLOOKUP(N7,Calculation!$B$8:$IV$895,80,FALSE)</f>
        <v>2.5100000000001703</v>
      </c>
      <c r="O12" s="37">
        <f>VLOOKUP(O7,Calculation!$B$8:$IV$895,80,FALSE)</f>
        <v>2.5510328068040735</v>
      </c>
      <c r="P12" s="37">
        <f>VLOOKUP(P7,Calculation!$B$8:$IV$895,80,FALSE)</f>
        <v>2.5777572254339849</v>
      </c>
      <c r="Q12" s="37">
        <f>VLOOKUP(Q7,Calculation!$B$8:$IV$895,80,FALSE)</f>
        <v>2.5728296067848593</v>
      </c>
      <c r="R12" s="37">
        <f>VLOOKUP(R7,Calculation!$B$8:$IV$895,80,FALSE)</f>
        <v>2.481653147933284</v>
      </c>
      <c r="S12" s="37">
        <f>VLOOKUP(S7,Calculation!$B$8:$IV$895,80,FALSE)</f>
        <v>2.574949922958599</v>
      </c>
      <c r="T12" s="37">
        <f>VLOOKUP(T7,Calculation!$B$8:$IV$895,80,FALSE)</f>
        <v>2.4984438583268083</v>
      </c>
      <c r="U12" s="37">
        <f>VLOOKUP(U7,Calculation!$B$8:$IV$895,80,FALSE)</f>
        <v>2.5838566308246929</v>
      </c>
      <c r="V12" s="37">
        <f>VLOOKUP(V7,Calculation!$B$8:$IV$895,80,FALSE)</f>
        <v>2.5134698275860239</v>
      </c>
      <c r="W12" s="37">
        <f>VLOOKUP(W7,Calculation!$B$8:$IV$895,80,FALSE)</f>
        <v>2.1645379359942463</v>
      </c>
      <c r="X12" s="37">
        <f>VLOOKUP(X7,Calculation!$B$8:$IV$895,80,FALSE)</f>
        <v>1.9424919093851132</v>
      </c>
      <c r="Y12" s="37">
        <f>VLOOKUP(Y7,Calculation!$B$8:$IV$895,80,FALSE)</f>
        <v>0</v>
      </c>
      <c r="Z12" s="37">
        <f>VLOOKUP(Z7,Calculation!$B$8:$IV$895,80,FALSE)</f>
        <v>0</v>
      </c>
      <c r="AA12" s="37">
        <f>VLOOKUP(AA7,Calculation!$B$8:$IV$895,80,FALSE)</f>
        <v>0</v>
      </c>
      <c r="AB12" s="37">
        <f>VLOOKUP(AB7,Calculation!$B$8:$IV$895,80,FALSE)</f>
        <v>0</v>
      </c>
      <c r="AC12" s="37">
        <f>VLOOKUP(AC7,Calculation!$B$8:$IV$895,80,FALSE)</f>
        <v>1.2646456370340025</v>
      </c>
      <c r="AD12" s="37">
        <f>VLOOKUP(AD7,Calculation!$B$8:$IV$895,80,FALSE)</f>
        <v>1.179495941905242</v>
      </c>
      <c r="AE12" s="37">
        <f>VLOOKUP(AE7,Calculation!$B$8:$IV$895,80,FALSE)</f>
        <v>0</v>
      </c>
      <c r="AF12" s="37">
        <f>VLOOKUP(AF7,Calculation!$B$8:$IV$895,80,FALSE)</f>
        <v>0</v>
      </c>
      <c r="AG12" s="37">
        <f>VLOOKUP(AG7,Calculation!$B$8:$IV$895,80,FALSE)</f>
        <v>0</v>
      </c>
    </row>
    <row r="13" spans="1:34">
      <c r="A13" s="21" t="s">
        <v>263</v>
      </c>
      <c r="B13" s="23" t="s">
        <v>13</v>
      </c>
      <c r="C13" s="44">
        <f>VLOOKUP(C7,Calculation!$B$8:$IV$895,99,FALSE)</f>
        <v>7.5312765136907052</v>
      </c>
      <c r="D13" s="37">
        <f>VLOOKUP(D7,Calculation!$B$8:$IV$895,99,FALSE)</f>
        <v>7.5616557313769981</v>
      </c>
      <c r="E13" s="37">
        <f>VLOOKUP(E7,Calculation!$B$8:$IV$895,99,FALSE)</f>
        <v>7.4936178392921589</v>
      </c>
      <c r="F13" s="37">
        <f>VLOOKUP(F7,Calculation!$B$8:$IV$895,99,FALSE)</f>
        <v>7.5649504950503763</v>
      </c>
      <c r="G13" s="37">
        <f>VLOOKUP(G7,Calculation!$B$8:$IV$895,99,FALSE)</f>
        <v>7.5784190715181925</v>
      </c>
      <c r="H13" s="37">
        <f>VLOOKUP(H7,Calculation!$B$8:$IV$895,99,FALSE)</f>
        <v>7.5751307655724691</v>
      </c>
      <c r="I13" s="37">
        <f>VLOOKUP(I7,Calculation!$B$8:$IV$895,99,FALSE)</f>
        <v>6.7713382507908273</v>
      </c>
      <c r="J13" s="37">
        <f>VLOOKUP(J7,Calculation!$B$8:$IV$895,99,FALSE)</f>
        <v>6.551031200423056</v>
      </c>
      <c r="K13" s="37">
        <f>VLOOKUP(K7,Calculation!$B$8:$IV$895,99,FALSE)</f>
        <v>6.5365597054182016</v>
      </c>
      <c r="L13" s="37">
        <f>VLOOKUP(L7,Calculation!$B$8:$IV$895,99,FALSE)</f>
        <v>6.5607180570221759</v>
      </c>
      <c r="M13" s="37">
        <f>VLOOKUP(M7,Calculation!$B$8:$IV$895,99,FALSE)</f>
        <v>6.5288227334226896</v>
      </c>
      <c r="N13" s="37">
        <f>VLOOKUP(N7,Calculation!$B$8:$IV$895,99,FALSE)</f>
        <v>6.5400000000004441</v>
      </c>
      <c r="O13" s="37">
        <f>VLOOKUP(O7,Calculation!$B$8:$IV$895,99,FALSE)</f>
        <v>6.5026326447946978</v>
      </c>
      <c r="P13" s="37">
        <f>VLOOKUP(P7,Calculation!$B$8:$IV$895,99,FALSE)</f>
        <v>6.5954335260127372</v>
      </c>
      <c r="Q13" s="37">
        <f>VLOOKUP(Q7,Calculation!$B$8:$IV$895,99,FALSE)</f>
        <v>6.572775636083195</v>
      </c>
      <c r="R13" s="37">
        <f>VLOOKUP(R7,Calculation!$B$8:$IV$895,99,FALSE)</f>
        <v>6.5019312475852038</v>
      </c>
      <c r="S13" s="37">
        <f>VLOOKUP(S7,Calculation!$B$8:$IV$895,99,FALSE)</f>
        <v>6.5626155624042122</v>
      </c>
      <c r="T13" s="37">
        <f>VLOOKUP(T7,Calculation!$B$8:$IV$895,99,FALSE)</f>
        <v>6.5722117558395956</v>
      </c>
      <c r="U13" s="37">
        <f>VLOOKUP(U7,Calculation!$B$8:$IV$895,99,FALSE)</f>
        <v>6.6009462365599587</v>
      </c>
      <c r="V13" s="37">
        <f>VLOOKUP(V7,Calculation!$B$8:$IV$895,99,FALSE)</f>
        <v>6.5752370689650386</v>
      </c>
      <c r="W13" s="37">
        <f>VLOOKUP(W7,Calculation!$B$8:$IV$895,99,FALSE)</f>
        <v>6.5235382955771293</v>
      </c>
      <c r="X13" s="37">
        <f>VLOOKUP(X7,Calculation!$B$8:$IV$895,99,FALSE)</f>
        <v>6.5</v>
      </c>
      <c r="Y13" s="37">
        <f>VLOOKUP(Y7,Calculation!$B$8:$IV$895,99,FALSE)</f>
        <v>0</v>
      </c>
      <c r="Z13" s="37">
        <f>VLOOKUP(Z7,Calculation!$B$8:$IV$895,99,FALSE)</f>
        <v>0</v>
      </c>
      <c r="AA13" s="37">
        <f>VLOOKUP(AA7,Calculation!$B$8:$IV$895,99,FALSE)</f>
        <v>0</v>
      </c>
      <c r="AB13" s="37">
        <f>VLOOKUP(AB7,Calculation!$B$8:$IV$895,99,FALSE)</f>
        <v>2.0352385735807332</v>
      </c>
      <c r="AC13" s="37">
        <f>VLOOKUP(AC7,Calculation!$B$8:$IV$895,99,FALSE)</f>
        <v>6.5741499385497741</v>
      </c>
      <c r="AD13" s="37">
        <f>VLOOKUP(AD7,Calculation!$B$8:$IV$895,99,FALSE)</f>
        <v>3.6284493806068041</v>
      </c>
      <c r="AE13" s="37">
        <f>VLOOKUP(AE7,Calculation!$B$8:$IV$895,99,FALSE)</f>
        <v>0</v>
      </c>
      <c r="AF13" s="37">
        <f>VLOOKUP(AF7,Calculation!$B$8:$IV$895,99,FALSE)</f>
        <v>0</v>
      </c>
      <c r="AG13" s="37">
        <f>VLOOKUP(AG7,Calculation!$B$8:$IV$895,99,FALSE)</f>
        <v>0</v>
      </c>
      <c r="AH13" s="30"/>
    </row>
    <row r="14" spans="1:34">
      <c r="A14" s="21" t="s">
        <v>455</v>
      </c>
      <c r="B14" s="22" t="s">
        <v>13</v>
      </c>
      <c r="C14" s="44">
        <f>VLOOKUP(C7,Calculation!$B$8:$IV$895,49,FALSE)</f>
        <v>0</v>
      </c>
      <c r="D14" s="37">
        <f>VLOOKUP(D7,Calculation!$B$8:$IV$895,49,FALSE)</f>
        <v>0</v>
      </c>
      <c r="E14" s="37">
        <f>VLOOKUP(E7,Calculation!$B$8:$IV$895,49,FALSE)</f>
        <v>0</v>
      </c>
      <c r="F14" s="37">
        <f>VLOOKUP(F7,Calculation!$B$8:$IV$895,49,FALSE)</f>
        <v>0</v>
      </c>
      <c r="G14" s="37">
        <f>VLOOKUP(G7,Calculation!$B$8:$IV$895,49,FALSE)</f>
        <v>0</v>
      </c>
      <c r="H14" s="37">
        <f>VLOOKUP(H7,Calculation!$B$8:$IV$895,49,FALSE)</f>
        <v>0</v>
      </c>
      <c r="I14" s="37">
        <f>VLOOKUP(I7,Calculation!$B$8:$IV$895,49,FALSE)</f>
        <v>0</v>
      </c>
      <c r="J14" s="37">
        <f>VLOOKUP(J7,Calculation!$B$8:$IV$895,49,FALSE)</f>
        <v>0</v>
      </c>
      <c r="K14" s="37">
        <f>VLOOKUP(K7,Calculation!$B$8:$IV$895,49,FALSE)</f>
        <v>0</v>
      </c>
      <c r="L14" s="37">
        <f>VLOOKUP(L7,Calculation!$B$8:$IV$895,49,FALSE)</f>
        <v>0</v>
      </c>
      <c r="M14" s="37">
        <f>VLOOKUP(M7,Calculation!$B$8:$IV$895,49,FALSE)</f>
        <v>0</v>
      </c>
      <c r="N14" s="37">
        <f>VLOOKUP(N7,Calculation!$B$8:$IV$895,49,FALSE)</f>
        <v>0</v>
      </c>
      <c r="O14" s="37">
        <f>VLOOKUP(O7,Calculation!$B$8:$IV$895,49,FALSE)</f>
        <v>0</v>
      </c>
      <c r="P14" s="37">
        <f>VLOOKUP(P7,Calculation!$B$8:$IV$895,49,FALSE)</f>
        <v>0</v>
      </c>
      <c r="Q14" s="37">
        <f>VLOOKUP(Q7,Calculation!$B$8:$IV$895,49,FALSE)</f>
        <v>0</v>
      </c>
      <c r="R14" s="37">
        <f>VLOOKUP(R7,Calculation!$B$8:$IV$895,49,FALSE)</f>
        <v>0</v>
      </c>
      <c r="S14" s="37">
        <f>VLOOKUP(S7,Calculation!$B$8:$IV$895,49,FALSE)</f>
        <v>0</v>
      </c>
      <c r="T14" s="37">
        <f>VLOOKUP(T7,Calculation!$B$8:$IV$895,49,FALSE)</f>
        <v>0</v>
      </c>
      <c r="U14" s="37">
        <f>VLOOKUP(U7,Calculation!$B$8:$IV$895,49,FALSE)</f>
        <v>0</v>
      </c>
      <c r="V14" s="37">
        <f>VLOOKUP(V7,Calculation!$B$8:$IV$895,49,FALSE)</f>
        <v>0</v>
      </c>
      <c r="W14" s="37">
        <f>VLOOKUP(W7,Calculation!$B$8:$IV$895,49,FALSE)</f>
        <v>0</v>
      </c>
      <c r="X14" s="37">
        <f>VLOOKUP(X7,Calculation!$B$8:$IV$895,49,FALSE)</f>
        <v>0</v>
      </c>
      <c r="Y14" s="37">
        <f>VLOOKUP(Y7,Calculation!$B$8:$IV$895,49,FALSE)</f>
        <v>0</v>
      </c>
      <c r="Z14" s="37">
        <f>VLOOKUP(Z7,Calculation!$B$8:$IV$895,49,FALSE)</f>
        <v>0</v>
      </c>
      <c r="AA14" s="37">
        <f>VLOOKUP(AA7,Calculation!$B$8:$IV$895,49,FALSE)</f>
        <v>0</v>
      </c>
      <c r="AB14" s="37">
        <f>VLOOKUP(AB7,Calculation!$B$8:$IV$895,49,FALSE)</f>
        <v>0</v>
      </c>
      <c r="AC14" s="37">
        <f>VLOOKUP(AC7,Calculation!$B$8:$IV$895,49,FALSE)</f>
        <v>0</v>
      </c>
      <c r="AD14" s="37">
        <f>VLOOKUP(AD7,Calculation!$B$8:$IV$895,49,FALSE)</f>
        <v>0</v>
      </c>
      <c r="AE14" s="37">
        <f>VLOOKUP(AE7,Calculation!$B$8:$IV$895,49,FALSE)</f>
        <v>0</v>
      </c>
      <c r="AF14" s="37">
        <f>VLOOKUP(AF7,Calculation!$B$8:$IV$895,49,FALSE)</f>
        <v>0</v>
      </c>
      <c r="AG14" s="37">
        <f>VLOOKUP(AG7,Calculation!$B$8:$IV$895,49,FALSE)</f>
        <v>0</v>
      </c>
    </row>
    <row r="15" spans="1:34">
      <c r="A15" s="21" t="s">
        <v>456</v>
      </c>
      <c r="B15" s="22" t="s">
        <v>13</v>
      </c>
      <c r="C15" s="44">
        <f>VLOOKUP(C7,Calculation!$B$8:$IV$895,68,FALSE)</f>
        <v>0</v>
      </c>
      <c r="D15" s="37">
        <f>VLOOKUP(D7,Calculation!$B$8:$IV$895,68,FALSE)</f>
        <v>0</v>
      </c>
      <c r="E15" s="37">
        <f>VLOOKUP(E7,Calculation!$B$8:$IV$895,68,FALSE)</f>
        <v>0</v>
      </c>
      <c r="F15" s="37">
        <f>VLOOKUP(F7,Calculation!$B$8:$IV$895,68,FALSE)</f>
        <v>0</v>
      </c>
      <c r="G15" s="37">
        <f>VLOOKUP(G7,Calculation!$B$8:$IV$895,68,FALSE)</f>
        <v>0</v>
      </c>
      <c r="H15" s="37">
        <f>VLOOKUP(H7,Calculation!$B$8:$IV$895,68,FALSE)</f>
        <v>0</v>
      </c>
      <c r="I15" s="37">
        <f>VLOOKUP(I7,Calculation!$B$8:$IV$895,68,FALSE)</f>
        <v>0</v>
      </c>
      <c r="J15" s="37">
        <f>VLOOKUP(J7,Calculation!$B$8:$IV$895,68,FALSE)</f>
        <v>0</v>
      </c>
      <c r="K15" s="37">
        <f>VLOOKUP(K7,Calculation!$B$8:$IV$895,68,FALSE)</f>
        <v>0</v>
      </c>
      <c r="L15" s="37">
        <f>VLOOKUP(L7,Calculation!$B$8:$IV$895,68,FALSE)</f>
        <v>0</v>
      </c>
      <c r="M15" s="37">
        <f>VLOOKUP(M7,Calculation!$B$8:$IV$895,68,FALSE)</f>
        <v>0</v>
      </c>
      <c r="N15" s="37">
        <f>VLOOKUP(N7,Calculation!$B$8:$IV$895,68,FALSE)</f>
        <v>0</v>
      </c>
      <c r="O15" s="37">
        <f>VLOOKUP(O7,Calculation!$B$8:$IV$895,68,FALSE)</f>
        <v>0</v>
      </c>
      <c r="P15" s="37">
        <f>VLOOKUP(P7,Calculation!$B$8:$IV$895,68,FALSE)</f>
        <v>0</v>
      </c>
      <c r="Q15" s="37">
        <f>VLOOKUP(Q7,Calculation!$B$8:$IV$895,68,FALSE)</f>
        <v>0</v>
      </c>
      <c r="R15" s="37">
        <f>VLOOKUP(R7,Calculation!$B$8:$IV$895,68,FALSE)</f>
        <v>0</v>
      </c>
      <c r="S15" s="37">
        <f>VLOOKUP(S7,Calculation!$B$8:$IV$895,68,FALSE)</f>
        <v>0</v>
      </c>
      <c r="T15" s="37">
        <f>VLOOKUP(T7,Calculation!$B$8:$IV$895,68,FALSE)</f>
        <v>0</v>
      </c>
      <c r="U15" s="37">
        <f>VLOOKUP(U7,Calculation!$B$8:$IV$895,68,FALSE)</f>
        <v>0</v>
      </c>
      <c r="V15" s="37">
        <f>VLOOKUP(V7,Calculation!$B$8:$IV$895,68,FALSE)</f>
        <v>0</v>
      </c>
      <c r="W15" s="37">
        <f>VLOOKUP(W7,Calculation!$B$8:$IV$895,68,FALSE)</f>
        <v>0</v>
      </c>
      <c r="X15" s="37">
        <f>VLOOKUP(X7,Calculation!$B$8:$IV$895,68,FALSE)</f>
        <v>0</v>
      </c>
      <c r="Y15" s="37">
        <f>VLOOKUP(Y7,Calculation!$B$8:$IV$895,68,FALSE)</f>
        <v>0</v>
      </c>
      <c r="Z15" s="37">
        <f>VLOOKUP(Z7,Calculation!$B$8:$IV$895,68,FALSE)</f>
        <v>0</v>
      </c>
      <c r="AA15" s="37">
        <f>VLOOKUP(AA7,Calculation!$B$8:$IV$895,68,FALSE)</f>
        <v>0</v>
      </c>
      <c r="AB15" s="37">
        <f>VLOOKUP(AB7,Calculation!$B$8:$IV$895,68,FALSE)</f>
        <v>0</v>
      </c>
      <c r="AC15" s="37">
        <f>VLOOKUP(AC7,Calculation!$B$8:$IV$895,68,FALSE)</f>
        <v>0</v>
      </c>
      <c r="AD15" s="37">
        <f>VLOOKUP(AD7,Calculation!$B$8:$IV$895,68,FALSE)</f>
        <v>0</v>
      </c>
      <c r="AE15" s="37">
        <f>VLOOKUP(AE7,Calculation!$B$8:$IV$895,68,FALSE)</f>
        <v>0</v>
      </c>
      <c r="AF15" s="37">
        <f>VLOOKUP(AF7,Calculation!$B$8:$IV$895,68,FALSE)</f>
        <v>0</v>
      </c>
      <c r="AG15" s="37">
        <f>VLOOKUP(AG7,Calculation!$B$8:$IV$895,68,FALSE)</f>
        <v>0</v>
      </c>
    </row>
    <row r="16" spans="1:34">
      <c r="A16" s="21" t="s">
        <v>454</v>
      </c>
      <c r="B16" s="126" t="s">
        <v>13</v>
      </c>
      <c r="C16" s="44">
        <f>VLOOKUP(C7,Calculation!$B$8:$IV$895,89,FALSE)</f>
        <v>0</v>
      </c>
      <c r="D16" s="37">
        <f>VLOOKUP(D7,Calculation!$B$8:$IV$895,89,FALSE)</f>
        <v>0</v>
      </c>
      <c r="E16" s="37">
        <f>VLOOKUP(E7,Calculation!$B$8:$IV$895,89,FALSE)</f>
        <v>0</v>
      </c>
      <c r="F16" s="37">
        <f>VLOOKUP(F7,Calculation!$B$8:$IV$895,89,FALSE)</f>
        <v>0</v>
      </c>
      <c r="G16" s="37">
        <f>VLOOKUP(G7,Calculation!$B$8:$IV$895,89,FALSE)</f>
        <v>0</v>
      </c>
      <c r="H16" s="37">
        <f>VLOOKUP(H7,Calculation!$B$8:$IV$895,89,FALSE)</f>
        <v>0</v>
      </c>
      <c r="I16" s="37">
        <f>VLOOKUP(I7,Calculation!$B$8:$IV$895,89,FALSE)</f>
        <v>0</v>
      </c>
      <c r="J16" s="37">
        <f>VLOOKUP(J7,Calculation!$B$8:$IV$895,89,FALSE)</f>
        <v>0</v>
      </c>
      <c r="K16" s="37">
        <f>VLOOKUP(K7,Calculation!$B$8:$IV$895,89,FALSE)</f>
        <v>0</v>
      </c>
      <c r="L16" s="37">
        <f>VLOOKUP(L7,Calculation!$B$8:$IV$895,89,FALSE)</f>
        <v>0</v>
      </c>
      <c r="M16" s="37">
        <f>VLOOKUP(M7,Calculation!$B$8:$IV$895,89,FALSE)</f>
        <v>0</v>
      </c>
      <c r="N16" s="37">
        <f>VLOOKUP(N7,Calculation!$B$8:$IV$895,89,FALSE)</f>
        <v>0</v>
      </c>
      <c r="O16" s="37">
        <f>VLOOKUP(O7,Calculation!$B$8:$IV$895,89,FALSE)</f>
        <v>0</v>
      </c>
      <c r="P16" s="37">
        <f>VLOOKUP(P7,Calculation!$B$8:$IV$895,89,FALSE)</f>
        <v>0</v>
      </c>
      <c r="Q16" s="37">
        <f>VLOOKUP(Q7,Calculation!$B$8:$IV$895,89,FALSE)</f>
        <v>0</v>
      </c>
      <c r="R16" s="37">
        <f>VLOOKUP(R7,Calculation!$B$8:$IV$895,89,FALSE)</f>
        <v>0</v>
      </c>
      <c r="S16" s="37">
        <f>VLOOKUP(S7,Calculation!$B$8:$IV$895,89,FALSE)</f>
        <v>0</v>
      </c>
      <c r="T16" s="37">
        <f>VLOOKUP(T7,Calculation!$B$8:$IV$895,89,FALSE)</f>
        <v>0</v>
      </c>
      <c r="U16" s="37">
        <f>VLOOKUP(U7,Calculation!$B$8:$IV$895,89,FALSE)</f>
        <v>0</v>
      </c>
      <c r="V16" s="37">
        <f>VLOOKUP(V7,Calculation!$B$8:$IV$895,89,FALSE)</f>
        <v>0</v>
      </c>
      <c r="W16" s="37">
        <f>VLOOKUP(W7,Calculation!$B$8:$IV$895,89,FALSE)</f>
        <v>0</v>
      </c>
      <c r="X16" s="37">
        <f>VLOOKUP(X7,Calculation!$B$8:$IV$895,89,FALSE)</f>
        <v>0</v>
      </c>
      <c r="Y16" s="37">
        <f>VLOOKUP(Y7,Calculation!$B$8:$IV$895,89,FALSE)</f>
        <v>0</v>
      </c>
      <c r="Z16" s="37">
        <f>VLOOKUP(Z7,Calculation!$B$8:$IV$895,89,FALSE)</f>
        <v>0</v>
      </c>
      <c r="AA16" s="37">
        <f>VLOOKUP(AA7,Calculation!$B$8:$IV$895,89,FALSE)</f>
        <v>0</v>
      </c>
      <c r="AB16" s="37">
        <f>VLOOKUP(AB7,Calculation!$B$8:$IV$895,89,FALSE)</f>
        <v>0</v>
      </c>
      <c r="AC16" s="37">
        <f>VLOOKUP(AC7,Calculation!$B$8:$IV$895,89,FALSE)</f>
        <v>0</v>
      </c>
      <c r="AD16" s="37">
        <f>VLOOKUP(AD7,Calculation!$B$8:$IV$895,89,FALSE)</f>
        <v>0</v>
      </c>
      <c r="AE16" s="37">
        <f>VLOOKUP(AE7,Calculation!$B$8:$IV$895,89,FALSE)</f>
        <v>0</v>
      </c>
      <c r="AF16" s="37">
        <f>VLOOKUP(AF7,Calculation!$B$8:$IV$895,89,FALSE)</f>
        <v>0</v>
      </c>
      <c r="AG16" s="37">
        <f>VLOOKUP(AG7,Calculation!$B$8:$IV$895,89,FALSE)</f>
        <v>0</v>
      </c>
    </row>
    <row r="17" spans="1:33" ht="13.5" thickBot="1">
      <c r="A17" s="46" t="s">
        <v>379</v>
      </c>
      <c r="B17" s="126" t="s">
        <v>13</v>
      </c>
      <c r="C17" s="44">
        <f>VLOOKUP(C7,Calculation!$B$8:$IV$895,33,FALSE)</f>
        <v>0</v>
      </c>
      <c r="D17" s="37">
        <f>VLOOKUP(D7,Calculation!$B$8:$IV$895,33,FALSE)</f>
        <v>0</v>
      </c>
      <c r="E17" s="37">
        <f>VLOOKUP(E7,Calculation!$B$8:$IV$895,33,FALSE)</f>
        <v>0</v>
      </c>
      <c r="F17" s="37">
        <f>VLOOKUP(F7,Calculation!$B$8:$IV$895,33,FALSE)</f>
        <v>0</v>
      </c>
      <c r="G17" s="37">
        <f>VLOOKUP(G7,Calculation!$B$8:$IV$895,33,FALSE)</f>
        <v>0</v>
      </c>
      <c r="H17" s="37">
        <f>VLOOKUP(H7,Calculation!$B$8:$IV$895,33,FALSE)</f>
        <v>0</v>
      </c>
      <c r="I17" s="37">
        <f>VLOOKUP(I7,Calculation!$B$8:$IV$895,33,FALSE)</f>
        <v>0</v>
      </c>
      <c r="J17" s="37">
        <f>VLOOKUP(J7,Calculation!$B$8:$IV$895,33,FALSE)</f>
        <v>0</v>
      </c>
      <c r="K17" s="37">
        <f>VLOOKUP(K7,Calculation!$B$8:$IV$895,33,FALSE)</f>
        <v>0</v>
      </c>
      <c r="L17" s="37">
        <f>VLOOKUP(L7,Calculation!$B$8:$IV$895,33,FALSE)</f>
        <v>0</v>
      </c>
      <c r="M17" s="37">
        <f>VLOOKUP(M7,Calculation!$B$8:$IV$895,33,FALSE)</f>
        <v>0</v>
      </c>
      <c r="N17" s="37">
        <f>VLOOKUP(N7,Calculation!$B$8:$IV$895,33,FALSE)</f>
        <v>0</v>
      </c>
      <c r="O17" s="37">
        <f>VLOOKUP(O7,Calculation!$B$8:$IV$895,33,FALSE)</f>
        <v>0</v>
      </c>
      <c r="P17" s="37">
        <f>VLOOKUP(P7,Calculation!$B$8:$IV$895,33,FALSE)</f>
        <v>0</v>
      </c>
      <c r="Q17" s="37">
        <f>VLOOKUP(Q7,Calculation!$B$8:$IV$895,33,FALSE)</f>
        <v>0</v>
      </c>
      <c r="R17" s="37">
        <f>VLOOKUP(R7,Calculation!$B$8:$IV$895,33,FALSE)</f>
        <v>0</v>
      </c>
      <c r="S17" s="37">
        <f>VLOOKUP(S7,Calculation!$B$8:$IV$895,33,FALSE)</f>
        <v>0</v>
      </c>
      <c r="T17" s="37">
        <f>VLOOKUP(T7,Calculation!$B$8:$IV$895,33,FALSE)</f>
        <v>0</v>
      </c>
      <c r="U17" s="37">
        <f>VLOOKUP(U7,Calculation!$B$8:$IV$895,33,FALSE)</f>
        <v>0</v>
      </c>
      <c r="V17" s="37">
        <f>VLOOKUP(V7,Calculation!$B$8:$IV$895,33,FALSE)</f>
        <v>0</v>
      </c>
      <c r="W17" s="37">
        <f>VLOOKUP(W7,Calculation!$B$8:$IV$895,33,FALSE)</f>
        <v>0</v>
      </c>
      <c r="X17" s="37">
        <f>VLOOKUP(X7,Calculation!$B$8:$IV$895,33,FALSE)</f>
        <v>0</v>
      </c>
      <c r="Y17" s="37">
        <f>VLOOKUP(Y7,Calculation!$B$8:$IV$895,33,FALSE)</f>
        <v>0</v>
      </c>
      <c r="Z17" s="37">
        <f>VLOOKUP(Z7,Calculation!$B$8:$IV$895,33,FALSE)</f>
        <v>0</v>
      </c>
      <c r="AA17" s="37">
        <f>VLOOKUP(AA7,Calculation!$B$8:$IV$895,33,FALSE)</f>
        <v>0</v>
      </c>
      <c r="AB17" s="37">
        <f>VLOOKUP(AB7,Calculation!$B$8:$IV$895,33,FALSE)</f>
        <v>0</v>
      </c>
      <c r="AC17" s="37">
        <f>VLOOKUP(AC7,Calculation!$B$8:$IV$895,33,FALSE)</f>
        <v>0</v>
      </c>
      <c r="AD17" s="37">
        <f>VLOOKUP(AD7,Calculation!$B$8:$IV$895,33,FALSE)</f>
        <v>0</v>
      </c>
      <c r="AE17" s="37">
        <f>VLOOKUP(AE7,Calculation!$B$8:$IV$895,33,FALSE)</f>
        <v>0</v>
      </c>
      <c r="AF17" s="37">
        <f>VLOOKUP(AF7,Calculation!$B$8:$IV$895,33,FALSE)</f>
        <v>0</v>
      </c>
      <c r="AG17" s="37">
        <f>VLOOKUP(AG7,Calculation!$B$8:$IV$895,33,FALSE)</f>
        <v>0</v>
      </c>
    </row>
    <row r="18" spans="1:33" ht="13.5" thickBot="1">
      <c r="A18" s="406" t="s">
        <v>265</v>
      </c>
      <c r="B18" s="407"/>
      <c r="C18" s="407"/>
      <c r="D18" s="407"/>
      <c r="E18" s="407"/>
      <c r="F18" s="407"/>
      <c r="G18" s="407"/>
      <c r="H18" s="407"/>
      <c r="I18" s="407"/>
      <c r="J18" s="407"/>
      <c r="K18" s="407"/>
      <c r="L18" s="407"/>
      <c r="M18" s="407"/>
      <c r="N18" s="407"/>
      <c r="O18" s="407"/>
      <c r="P18" s="407"/>
      <c r="Q18" s="407"/>
      <c r="R18" s="407"/>
      <c r="S18" s="407"/>
      <c r="T18" s="407"/>
      <c r="U18" s="407"/>
      <c r="V18" s="407"/>
      <c r="W18" s="407"/>
      <c r="X18" s="407"/>
      <c r="Y18" s="407"/>
      <c r="Z18" s="407"/>
      <c r="AA18" s="407"/>
      <c r="AB18" s="407"/>
      <c r="AC18" s="407"/>
      <c r="AD18" s="407"/>
      <c r="AE18" s="407"/>
      <c r="AF18" s="407"/>
      <c r="AG18" s="407"/>
    </row>
    <row r="19" spans="1:33">
      <c r="A19" s="112" t="s">
        <v>266</v>
      </c>
      <c r="B19" s="114" t="s">
        <v>13</v>
      </c>
      <c r="C19" s="43">
        <f>VLOOKUP(C7,Sheet1!$B$8:$IV$895,133,FALSE)</f>
        <v>0</v>
      </c>
      <c r="D19" s="38">
        <f>VLOOKUP(D7,Sheet1!$B$8:$IV$895,133,FALSE)</f>
        <v>0</v>
      </c>
      <c r="E19" s="38">
        <f>VLOOKUP(E7,Sheet1!$B$8:$IV$895,133,FALSE)</f>
        <v>0</v>
      </c>
      <c r="F19" s="38">
        <f>VLOOKUP(F7,Sheet1!$B$8:$IV$895,133,FALSE)</f>
        <v>0</v>
      </c>
      <c r="G19" s="38">
        <f>VLOOKUP(G7,Sheet1!$B$8:$IV$895,133,FALSE)</f>
        <v>0</v>
      </c>
      <c r="H19" s="38">
        <f>VLOOKUP(H7,Sheet1!$B$8:$IV$895,133,FALSE)</f>
        <v>0</v>
      </c>
      <c r="I19" s="38">
        <f>VLOOKUP(I7,Sheet1!$B$8:$IV$895,133,FALSE)</f>
        <v>0</v>
      </c>
      <c r="J19" s="38">
        <f>VLOOKUP(J7,Sheet1!$B$8:$IV$895,133,FALSE)</f>
        <v>0</v>
      </c>
      <c r="K19" s="38">
        <f>VLOOKUP(K7,Sheet1!$B$8:$IV$895,133,FALSE)</f>
        <v>0</v>
      </c>
      <c r="L19" s="38">
        <f>VLOOKUP(L7,Sheet1!$B$8:$IV$895,133,FALSE)</f>
        <v>0</v>
      </c>
      <c r="M19" s="38">
        <f>VLOOKUP(M7,Sheet1!$B$8:$IV$895,133,FALSE)</f>
        <v>0</v>
      </c>
      <c r="N19" s="38">
        <f>VLOOKUP(N7,Sheet1!$B$8:$IV$895,133,FALSE)</f>
        <v>0</v>
      </c>
      <c r="O19" s="38">
        <f>VLOOKUP(O7,Sheet1!$B$8:$IV$895,133,FALSE)</f>
        <v>0</v>
      </c>
      <c r="P19" s="38">
        <f>VLOOKUP(P7,Sheet1!$B$8:$IV$895,133,FALSE)</f>
        <v>0</v>
      </c>
      <c r="Q19" s="38">
        <f>VLOOKUP(Q7,Sheet1!$B$8:$IV$895,133,FALSE)</f>
        <v>0</v>
      </c>
      <c r="R19" s="38">
        <f>VLOOKUP(R7,Sheet1!$B$8:$IV$895,133,FALSE)</f>
        <v>0</v>
      </c>
      <c r="S19" s="38">
        <f>VLOOKUP(S7,Sheet1!$B$8:$IV$895,133,FALSE)</f>
        <v>0</v>
      </c>
      <c r="T19" s="38">
        <f>VLOOKUP(T7,Sheet1!$B$8:$IV$895,133,FALSE)</f>
        <v>0</v>
      </c>
      <c r="U19" s="38">
        <f>VLOOKUP(U7,Sheet1!$B$8:$IV$895,133,FALSE)</f>
        <v>0</v>
      </c>
      <c r="V19" s="38">
        <f>VLOOKUP(V7,Sheet1!$B$8:$IV$895,133,FALSE)</f>
        <v>0</v>
      </c>
      <c r="W19" s="38">
        <f>VLOOKUP(W7,Sheet1!$B$8:$IV$895,133,FALSE)</f>
        <v>0</v>
      </c>
      <c r="X19" s="38">
        <f>VLOOKUP(X7,Sheet1!$B$8:$IV$895,133,FALSE)</f>
        <v>0</v>
      </c>
      <c r="Y19" s="38">
        <f>VLOOKUP(Y7,Sheet1!$B$8:$IV$895,133,FALSE)</f>
        <v>0</v>
      </c>
      <c r="Z19" s="38">
        <f>VLOOKUP(Z7,Sheet1!$B$8:$IV$895,133,FALSE)</f>
        <v>0</v>
      </c>
      <c r="AA19" s="38">
        <f>VLOOKUP(AA7,Sheet1!$B$8:$IV$895,133,FALSE)</f>
        <v>0</v>
      </c>
      <c r="AB19" s="38">
        <f>VLOOKUP(AB7,Sheet1!$B$8:$IV$895,133,FALSE)</f>
        <v>0</v>
      </c>
      <c r="AC19" s="38">
        <f>VLOOKUP(AC7,Sheet1!$B$8:$IV$895,133,FALSE)</f>
        <v>0</v>
      </c>
      <c r="AD19" s="38">
        <f>VLOOKUP(AD7,Sheet1!$B$8:$IV$895,133,FALSE)</f>
        <v>0</v>
      </c>
      <c r="AE19" s="38">
        <f>VLOOKUP(AE7,Sheet1!$B$8:$IV$895,133,FALSE)</f>
        <v>0</v>
      </c>
      <c r="AF19" s="38">
        <f>VLOOKUP(AF7,Sheet1!$B$8:$IV$895,133,FALSE)</f>
        <v>0</v>
      </c>
      <c r="AG19" s="38">
        <f>VLOOKUP(AG7,Sheet1!$B$8:$IV$895,133,FALSE)</f>
        <v>0</v>
      </c>
    </row>
    <row r="20" spans="1:33">
      <c r="A20" s="24" t="s">
        <v>267</v>
      </c>
      <c r="B20" s="23" t="s">
        <v>13</v>
      </c>
      <c r="C20" s="44">
        <f>VLOOKUP(C7,Sheet1!$B$8:$IV$895,134,FALSE)</f>
        <v>1</v>
      </c>
      <c r="D20" s="37">
        <f>VLOOKUP(D7,Sheet1!$B$8:$IV$895,134,FALSE)</f>
        <v>1</v>
      </c>
      <c r="E20" s="37">
        <f>VLOOKUP(E7,Sheet1!$B$8:$IV$895,134,FALSE)</f>
        <v>1</v>
      </c>
      <c r="F20" s="37">
        <f>VLOOKUP(F7,Sheet1!$B$8:$IV$895,134,FALSE)</f>
        <v>1</v>
      </c>
      <c r="G20" s="37">
        <f>VLOOKUP(G7,Sheet1!$B$8:$IV$895,134,FALSE)</f>
        <v>1</v>
      </c>
      <c r="H20" s="37">
        <f>VLOOKUP(H7,Sheet1!$B$8:$IV$895,134,FALSE)</f>
        <v>1</v>
      </c>
      <c r="I20" s="37">
        <f>VLOOKUP(I7,Sheet1!$B$8:$IV$895,134,FALSE)</f>
        <v>1</v>
      </c>
      <c r="J20" s="37">
        <f>VLOOKUP(J7,Sheet1!$B$8:$IV$895,134,FALSE)</f>
        <v>1</v>
      </c>
      <c r="K20" s="37">
        <f>VLOOKUP(K7,Sheet1!$B$8:$IV$895,134,FALSE)</f>
        <v>1</v>
      </c>
      <c r="L20" s="37">
        <f>VLOOKUP(L7,Sheet1!$B$8:$IV$895,134,FALSE)</f>
        <v>1</v>
      </c>
      <c r="M20" s="37">
        <f>VLOOKUP(M7,Sheet1!$B$8:$IV$895,134,FALSE)</f>
        <v>1</v>
      </c>
      <c r="N20" s="37">
        <f>VLOOKUP(N7,Sheet1!$B$8:$IV$895,134,FALSE)</f>
        <v>1</v>
      </c>
      <c r="O20" s="37">
        <f>VLOOKUP(O7,Sheet1!$B$8:$IV$895,134,FALSE)</f>
        <v>1</v>
      </c>
      <c r="P20" s="37">
        <f>VLOOKUP(P7,Sheet1!$B$8:$IV$895,134,FALSE)</f>
        <v>1</v>
      </c>
      <c r="Q20" s="37">
        <f>VLOOKUP(Q7,Sheet1!$B$8:$IV$895,134,FALSE)</f>
        <v>1</v>
      </c>
      <c r="R20" s="37">
        <f>VLOOKUP(R7,Sheet1!$B$8:$IV$895,134,FALSE)</f>
        <v>1</v>
      </c>
      <c r="S20" s="37">
        <f>VLOOKUP(S7,Sheet1!$B$8:$IV$895,134,FALSE)</f>
        <v>1</v>
      </c>
      <c r="T20" s="37">
        <f>VLOOKUP(T7,Sheet1!$B$8:$IV$895,134,FALSE)</f>
        <v>1</v>
      </c>
      <c r="U20" s="37">
        <f>VLOOKUP(U7,Sheet1!$B$8:$IV$895,134,FALSE)</f>
        <v>1</v>
      </c>
      <c r="V20" s="37">
        <f>VLOOKUP(V7,Sheet1!$B$8:$IV$895,134,FALSE)</f>
        <v>1</v>
      </c>
      <c r="W20" s="37">
        <f>VLOOKUP(W7,Sheet1!$B$8:$IV$895,134,FALSE)</f>
        <v>1</v>
      </c>
      <c r="X20" s="37">
        <f>VLOOKUP(X7,Sheet1!$B$8:$IV$895,134,FALSE)</f>
        <v>1</v>
      </c>
      <c r="Y20" s="37">
        <f>VLOOKUP(Y7,Sheet1!$B$8:$IV$895,134,FALSE)</f>
        <v>1</v>
      </c>
      <c r="Z20" s="37">
        <f>VLOOKUP(Z7,Sheet1!$B$8:$IV$895,134,FALSE)</f>
        <v>1</v>
      </c>
      <c r="AA20" s="37">
        <f>VLOOKUP(AA7,Sheet1!$B$8:$IV$895,134,FALSE)</f>
        <v>1</v>
      </c>
      <c r="AB20" s="37">
        <f>VLOOKUP(AB7,Sheet1!$B$8:$IV$895,134,FALSE)</f>
        <v>1</v>
      </c>
      <c r="AC20" s="37">
        <f>VLOOKUP(AC7,Sheet1!$B$8:$IV$895,134,FALSE)</f>
        <v>1</v>
      </c>
      <c r="AD20" s="37">
        <f>VLOOKUP(AD7,Sheet1!$B$8:$IV$895,134,FALSE)</f>
        <v>1</v>
      </c>
      <c r="AE20" s="37">
        <f>VLOOKUP(AE7,Sheet1!$B$8:$IV$895,134,FALSE)</f>
        <v>1</v>
      </c>
      <c r="AF20" s="37">
        <f>VLOOKUP(AF7,Sheet1!$B$8:$IV$895,134,FALSE)</f>
        <v>1</v>
      </c>
      <c r="AG20" s="37">
        <f>VLOOKUP(AG7,Sheet1!$B$8:$IV$895,134,FALSE)</f>
        <v>1</v>
      </c>
    </row>
    <row r="21" spans="1:33">
      <c r="A21" s="34" t="s">
        <v>268</v>
      </c>
      <c r="B21" s="23" t="s">
        <v>13</v>
      </c>
      <c r="C21" s="44">
        <f>VLOOKUP(C7,Sheet1!$B$8:$IV$895,135,FALSE)</f>
        <v>3</v>
      </c>
      <c r="D21" s="37">
        <f>VLOOKUP(D7,Sheet1!$B$8:$IV$895,135,FALSE)</f>
        <v>3</v>
      </c>
      <c r="E21" s="37">
        <f>VLOOKUP(E7,Sheet1!$B$8:$IV$895,135,FALSE)</f>
        <v>2.5</v>
      </c>
      <c r="F21" s="37">
        <f>VLOOKUP(F7,Sheet1!$B$8:$IV$895,135,FALSE)</f>
        <v>2.5</v>
      </c>
      <c r="G21" s="37">
        <f>VLOOKUP(G7,Sheet1!$B$8:$IV$895,135,FALSE)</f>
        <v>2.5</v>
      </c>
      <c r="H21" s="37">
        <f>VLOOKUP(H7,Sheet1!$B$8:$IV$895,135,FALSE)</f>
        <v>2.5</v>
      </c>
      <c r="I21" s="37">
        <f>VLOOKUP(I7,Sheet1!$B$8:$IV$895,135,FALSE)</f>
        <v>2.5</v>
      </c>
      <c r="J21" s="37">
        <f>VLOOKUP(J7,Sheet1!$B$8:$IV$895,135,FALSE)</f>
        <v>2.5</v>
      </c>
      <c r="K21" s="37">
        <f>VLOOKUP(K7,Sheet1!$B$8:$IV$895,135,FALSE)</f>
        <v>2.5</v>
      </c>
      <c r="L21" s="37">
        <f>VLOOKUP(L7,Sheet1!$B$8:$IV$895,135,FALSE)</f>
        <v>2.5</v>
      </c>
      <c r="M21" s="37">
        <f>VLOOKUP(M7,Sheet1!$B$8:$IV$895,135,FALSE)</f>
        <v>2.5</v>
      </c>
      <c r="N21" s="37">
        <f>VLOOKUP(N7,Sheet1!$B$8:$IV$895,135,FALSE)</f>
        <v>2.5</v>
      </c>
      <c r="O21" s="37">
        <f>VLOOKUP(O7,Sheet1!$B$8:$IV$895,135,FALSE)</f>
        <v>2.5</v>
      </c>
      <c r="P21" s="37">
        <f>VLOOKUP(P7,Sheet1!$B$8:$IV$895,135,FALSE)</f>
        <v>2.5</v>
      </c>
      <c r="Q21" s="37">
        <f>VLOOKUP(Q7,Sheet1!$B$8:$IV$895,135,FALSE)</f>
        <v>2.5</v>
      </c>
      <c r="R21" s="37">
        <f>VLOOKUP(R7,Sheet1!$B$8:$IV$895,135,FALSE)</f>
        <v>2.5</v>
      </c>
      <c r="S21" s="37">
        <f>VLOOKUP(S7,Sheet1!$B$8:$IV$895,135,FALSE)</f>
        <v>2.5</v>
      </c>
      <c r="T21" s="37">
        <f>VLOOKUP(T7,Sheet1!$B$8:$IV$895,135,FALSE)</f>
        <v>2.5</v>
      </c>
      <c r="U21" s="37">
        <f>VLOOKUP(U7,Sheet1!$B$8:$IV$895,135,FALSE)</f>
        <v>2.5</v>
      </c>
      <c r="V21" s="37">
        <f>VLOOKUP(V7,Sheet1!$B$8:$IV$895,135,FALSE)</f>
        <v>2.5</v>
      </c>
      <c r="W21" s="37">
        <f>VLOOKUP(W7,Sheet1!$B$8:$IV$895,135,FALSE)</f>
        <v>2</v>
      </c>
      <c r="X21" s="37">
        <f>VLOOKUP(X7,Sheet1!$B$8:$IV$895,135,FALSE)</f>
        <v>2</v>
      </c>
      <c r="Y21" s="37">
        <f>VLOOKUP(Y7,Sheet1!$B$8:$IV$895,135,FALSE)</f>
        <v>2</v>
      </c>
      <c r="Z21" s="37">
        <f>VLOOKUP(Z7,Sheet1!$B$8:$IV$895,135,FALSE)</f>
        <v>2</v>
      </c>
      <c r="AA21" s="37">
        <f>VLOOKUP(AA7,Sheet1!$B$8:$IV$895,135,FALSE)</f>
        <v>2</v>
      </c>
      <c r="AB21" s="37">
        <f>VLOOKUP(AB7,Sheet1!$B$8:$IV$895,135,FALSE)</f>
        <v>2</v>
      </c>
      <c r="AC21" s="37">
        <f>VLOOKUP(AC7,Sheet1!$B$8:$IV$895,135,FALSE)</f>
        <v>2</v>
      </c>
      <c r="AD21" s="37">
        <f>VLOOKUP(AD7,Sheet1!$B$8:$IV$895,135,FALSE)</f>
        <v>2</v>
      </c>
      <c r="AE21" s="37">
        <f>VLOOKUP(AE7,Sheet1!$B$8:$IV$895,135,FALSE)</f>
        <v>2</v>
      </c>
      <c r="AF21" s="37">
        <f>VLOOKUP(AF7,Sheet1!$B$8:$IV$895,135,FALSE)</f>
        <v>2</v>
      </c>
      <c r="AG21" s="37">
        <f>VLOOKUP(AG7,Sheet1!$B$8:$IV$895,135,FALSE)</f>
        <v>2</v>
      </c>
    </row>
    <row r="22" spans="1:33">
      <c r="A22" s="260" t="s">
        <v>269</v>
      </c>
      <c r="B22" s="277" t="s">
        <v>37</v>
      </c>
      <c r="C22" s="44">
        <f>VLOOKUP(C7,Sheet1!$B$8:$IV$895,136,FALSE)</f>
        <v>7.5</v>
      </c>
      <c r="D22" s="37">
        <f>VLOOKUP(D7,Sheet1!$B$8:$IV$895,136,FALSE)</f>
        <v>7.5</v>
      </c>
      <c r="E22" s="37">
        <f>VLOOKUP(E7,Sheet1!$B$8:$IV$895,136,FALSE)</f>
        <v>7.5</v>
      </c>
      <c r="F22" s="37">
        <f>VLOOKUP(F7,Sheet1!$B$8:$IV$895,136,FALSE)</f>
        <v>7.5</v>
      </c>
      <c r="G22" s="37">
        <f>VLOOKUP(G7,Sheet1!$B$8:$IV$895,136,FALSE)</f>
        <v>7.5</v>
      </c>
      <c r="H22" s="37">
        <f>VLOOKUP(H7,Sheet1!$B$8:$IV$895,136,FALSE)</f>
        <v>7.5</v>
      </c>
      <c r="I22" s="37">
        <f>VLOOKUP(I7,Sheet1!$B$8:$IV$895,136,FALSE)</f>
        <v>6.5</v>
      </c>
      <c r="J22" s="37">
        <f>VLOOKUP(J7,Sheet1!$B$8:$IV$895,136,FALSE)</f>
        <v>6.5</v>
      </c>
      <c r="K22" s="37">
        <f>VLOOKUP(K7,Sheet1!$B$8:$IV$895,136,FALSE)</f>
        <v>6.5</v>
      </c>
      <c r="L22" s="37">
        <f>VLOOKUP(L7,Sheet1!$B$8:$IV$895,136,FALSE)</f>
        <v>6.5</v>
      </c>
      <c r="M22" s="37">
        <f>VLOOKUP(M7,Sheet1!$B$8:$IV$895,136,FALSE)</f>
        <v>6.5</v>
      </c>
      <c r="N22" s="37">
        <f>VLOOKUP(N7,Sheet1!$B$8:$IV$895,136,FALSE)</f>
        <v>6.5</v>
      </c>
      <c r="O22" s="37">
        <f>VLOOKUP(O7,Sheet1!$B$8:$IV$895,136,FALSE)</f>
        <v>6.5</v>
      </c>
      <c r="P22" s="37">
        <f>VLOOKUP(P7,Sheet1!$B$8:$IV$895,136,FALSE)</f>
        <v>6.5</v>
      </c>
      <c r="Q22" s="37">
        <f>VLOOKUP(Q7,Sheet1!$B$8:$IV$895,136,FALSE)</f>
        <v>6.5</v>
      </c>
      <c r="R22" s="37">
        <f>VLOOKUP(R7,Sheet1!$B$8:$IV$895,136,FALSE)</f>
        <v>6.5</v>
      </c>
      <c r="S22" s="37">
        <f>VLOOKUP(S7,Sheet1!$B$8:$IV$895,136,FALSE)</f>
        <v>6.5</v>
      </c>
      <c r="T22" s="37">
        <f>VLOOKUP(T7,Sheet1!$B$8:$IV$895,136,FALSE)</f>
        <v>6.5</v>
      </c>
      <c r="U22" s="37">
        <f>VLOOKUP(U7,Sheet1!$B$8:$IV$895,136,FALSE)</f>
        <v>6.5</v>
      </c>
      <c r="V22" s="37">
        <f>VLOOKUP(V7,Sheet1!$B$8:$IV$895,136,FALSE)</f>
        <v>6.5</v>
      </c>
      <c r="W22" s="37">
        <f>VLOOKUP(W7,Sheet1!$B$8:$IV$895,136,FALSE)</f>
        <v>6.5</v>
      </c>
      <c r="X22" s="37">
        <f>VLOOKUP(X7,Sheet1!$B$8:$IV$895,136,FALSE)</f>
        <v>6.5</v>
      </c>
      <c r="Y22" s="37">
        <f>VLOOKUP(Y7,Sheet1!$B$8:$IV$895,136,FALSE)</f>
        <v>6.5</v>
      </c>
      <c r="Z22" s="37">
        <f>VLOOKUP(Z7,Sheet1!$B$8:$IV$895,136,FALSE)</f>
        <v>6.5</v>
      </c>
      <c r="AA22" s="37">
        <f>VLOOKUP(AA7,Sheet1!$B$8:$IV$895,136,FALSE)</f>
        <v>6.5</v>
      </c>
      <c r="AB22" s="37">
        <f>VLOOKUP(AB7,Sheet1!$B$8:$IV$895,136,FALSE)</f>
        <v>6.5</v>
      </c>
      <c r="AC22" s="37">
        <f>VLOOKUP(AC7,Sheet1!$B$8:$IV$895,136,FALSE)</f>
        <v>6.5</v>
      </c>
      <c r="AD22" s="37">
        <f>VLOOKUP(AD7,Sheet1!$B$8:$IV$895,136,FALSE)</f>
        <v>6.5</v>
      </c>
      <c r="AE22" s="37">
        <f>VLOOKUP(AE7,Sheet1!$B$8:$IV$895,136,FALSE)</f>
        <v>6.5</v>
      </c>
      <c r="AF22" s="37">
        <f>VLOOKUP(AF7,Sheet1!$B$8:$IV$895,136,FALSE)</f>
        <v>6.5</v>
      </c>
      <c r="AG22" s="37">
        <f>VLOOKUP(AG7,Sheet1!$B$8:$IV$895,136,FALSE)</f>
        <v>6.5</v>
      </c>
    </row>
    <row r="23" spans="1:33" ht="13.5" thickBot="1">
      <c r="A23" s="113" t="s">
        <v>453</v>
      </c>
      <c r="B23" s="278" t="s">
        <v>37</v>
      </c>
      <c r="C23" s="45">
        <f>VLOOKUP(C7,Sheet1!$B$8:$IV$895,137,FALSE)</f>
        <v>0</v>
      </c>
      <c r="D23" s="40">
        <f>VLOOKUP(D7,Sheet1!$B$8:$IV$895,137,FALSE)</f>
        <v>0</v>
      </c>
      <c r="E23" s="40">
        <f>VLOOKUP(E7,Sheet1!$B$8:$IV$895,137,FALSE)</f>
        <v>0</v>
      </c>
      <c r="F23" s="40">
        <f>VLOOKUP(F7,Sheet1!$B$8:$IV$895,137,FALSE)</f>
        <v>0</v>
      </c>
      <c r="G23" s="40">
        <f>VLOOKUP(G7,Sheet1!$B$8:$IV$895,137,FALSE)</f>
        <v>0</v>
      </c>
      <c r="H23" s="40">
        <f>VLOOKUP(H7,Sheet1!$B$8:$IV$895,137,FALSE)</f>
        <v>0</v>
      </c>
      <c r="I23" s="40">
        <f>VLOOKUP(I7,Sheet1!$B$8:$IV$895,137,FALSE)</f>
        <v>0</v>
      </c>
      <c r="J23" s="40">
        <f>VLOOKUP(J7,Sheet1!$B$8:$IV$895,137,FALSE)</f>
        <v>0</v>
      </c>
      <c r="K23" s="40">
        <f>VLOOKUP(K7,Sheet1!$B$8:$IV$895,137,FALSE)</f>
        <v>0</v>
      </c>
      <c r="L23" s="40">
        <f>VLOOKUP(L7,Sheet1!$B$8:$IV$895,137,FALSE)</f>
        <v>0</v>
      </c>
      <c r="M23" s="40">
        <f>VLOOKUP(M7,Sheet1!$B$8:$IV$895,137,FALSE)</f>
        <v>0</v>
      </c>
      <c r="N23" s="40">
        <f>VLOOKUP(N7,Sheet1!$B$8:$IV$895,137,FALSE)</f>
        <v>0</v>
      </c>
      <c r="O23" s="40">
        <f>VLOOKUP(O7,Sheet1!$B$8:$IV$895,137,FALSE)</f>
        <v>0</v>
      </c>
      <c r="P23" s="40">
        <f>VLOOKUP(P7,Sheet1!$B$8:$IV$895,137,FALSE)</f>
        <v>0</v>
      </c>
      <c r="Q23" s="40">
        <f>VLOOKUP(Q7,Sheet1!$B$8:$IV$895,137,FALSE)</f>
        <v>0</v>
      </c>
      <c r="R23" s="40">
        <f>VLOOKUP(R7,Sheet1!$B$8:$IV$895,137,FALSE)</f>
        <v>0</v>
      </c>
      <c r="S23" s="40">
        <f>VLOOKUP(S7,Sheet1!$B$8:$IV$895,137,FALSE)</f>
        <v>0</v>
      </c>
      <c r="T23" s="40">
        <f>VLOOKUP(T7,Sheet1!$B$8:$IV$895,137,FALSE)</f>
        <v>0</v>
      </c>
      <c r="U23" s="40">
        <f>VLOOKUP(U7,Sheet1!$B$8:$IV$895,137,FALSE)</f>
        <v>0</v>
      </c>
      <c r="V23" s="40">
        <f>VLOOKUP(V7,Sheet1!$B$8:$IV$895,137,FALSE)</f>
        <v>0</v>
      </c>
      <c r="W23" s="40">
        <f>VLOOKUP(W7,Sheet1!$B$8:$IV$895,137,FALSE)</f>
        <v>0</v>
      </c>
      <c r="X23" s="40">
        <f>VLOOKUP(X7,Sheet1!$B$8:$IV$895,137,FALSE)</f>
        <v>0</v>
      </c>
      <c r="Y23" s="40">
        <f>VLOOKUP(Y7,Sheet1!$B$8:$IV$895,137,FALSE)</f>
        <v>0</v>
      </c>
      <c r="Z23" s="40">
        <f>VLOOKUP(Z7,Sheet1!$B$8:$IV$895,137,FALSE)</f>
        <v>0</v>
      </c>
      <c r="AA23" s="40">
        <f>VLOOKUP(AA7,Sheet1!$B$8:$IV$895,137,FALSE)</f>
        <v>0</v>
      </c>
      <c r="AB23" s="40">
        <f>VLOOKUP(AB7,Sheet1!$B$8:$IV$895,137,FALSE)</f>
        <v>0</v>
      </c>
      <c r="AC23" s="40">
        <f>VLOOKUP(AC7,Sheet1!$B$8:$IV$895,137,FALSE)</f>
        <v>0</v>
      </c>
      <c r="AD23" s="40">
        <f>VLOOKUP(AD7,Sheet1!$B$8:$IV$895,137,FALSE)</f>
        <v>0</v>
      </c>
      <c r="AE23" s="40">
        <f>VLOOKUP(AE7,Sheet1!$B$8:$IV$895,137,FALSE)</f>
        <v>0</v>
      </c>
      <c r="AF23" s="40">
        <f>VLOOKUP(AF7,Sheet1!$B$8:$IV$895,137,FALSE)</f>
        <v>0</v>
      </c>
      <c r="AG23" s="40">
        <f>VLOOKUP(AG7,Sheet1!$B$8:$IV$895,137,FALSE)</f>
        <v>0</v>
      </c>
    </row>
    <row r="24" spans="1:33" ht="13.5" thickBot="1">
      <c r="A24" s="600" t="s">
        <v>592</v>
      </c>
      <c r="B24" s="407"/>
      <c r="C24" s="407"/>
      <c r="D24" s="407"/>
      <c r="E24" s="407"/>
      <c r="F24" s="407"/>
      <c r="G24" s="407"/>
      <c r="H24" s="407"/>
      <c r="I24" s="407"/>
      <c r="J24" s="407"/>
      <c r="K24" s="407"/>
      <c r="L24" s="407"/>
      <c r="M24" s="407"/>
      <c r="N24" s="407"/>
      <c r="O24" s="407"/>
      <c r="P24" s="407"/>
      <c r="Q24" s="407"/>
      <c r="R24" s="407"/>
      <c r="S24" s="407"/>
      <c r="T24" s="407"/>
      <c r="U24" s="407"/>
      <c r="V24" s="407"/>
      <c r="W24" s="407"/>
      <c r="X24" s="407"/>
      <c r="Y24" s="407"/>
      <c r="Z24" s="407"/>
      <c r="AA24" s="407"/>
      <c r="AB24" s="407"/>
      <c r="AC24" s="407"/>
      <c r="AD24" s="407"/>
      <c r="AE24" s="407"/>
      <c r="AF24" s="407"/>
      <c r="AG24" s="407"/>
    </row>
    <row r="25" spans="1:33">
      <c r="A25" s="112" t="s">
        <v>266</v>
      </c>
      <c r="B25" s="114" t="s">
        <v>13</v>
      </c>
      <c r="C25" s="43">
        <v>0</v>
      </c>
      <c r="D25" s="38">
        <v>0</v>
      </c>
      <c r="E25" s="38">
        <v>0</v>
      </c>
      <c r="F25" s="38">
        <v>0</v>
      </c>
      <c r="G25" s="38">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row>
    <row r="26" spans="1:33">
      <c r="A26" s="24" t="s">
        <v>267</v>
      </c>
      <c r="B26" s="23" t="s">
        <v>13</v>
      </c>
      <c r="C26" s="44">
        <f>VLOOKUP(C7,Calculation!$B$8:$IV$895,58,FALSE)</f>
        <v>0</v>
      </c>
      <c r="D26" s="37">
        <f>VLOOKUP(D7,Calculation!$B$8:$IV$895,58,FALSE)</f>
        <v>0</v>
      </c>
      <c r="E26" s="37">
        <f>VLOOKUP(E7,Calculation!$B$8:$IV$895,58,FALSE)</f>
        <v>0</v>
      </c>
      <c r="F26" s="37">
        <f>VLOOKUP(F7,Calculation!$B$8:$IV$895,58,FALSE)</f>
        <v>0</v>
      </c>
      <c r="G26" s="37">
        <f>VLOOKUP(G7,Calculation!$B$8:$IV$895,58,FALSE)</f>
        <v>0</v>
      </c>
      <c r="H26" s="37">
        <f>VLOOKUP(H7,Calculation!$B$8:$IV$895,58,FALSE)</f>
        <v>0</v>
      </c>
      <c r="I26" s="37">
        <f>VLOOKUP(I7,Calculation!$B$8:$IV$895,58,FALSE)</f>
        <v>0</v>
      </c>
      <c r="J26" s="37">
        <f>VLOOKUP(J7,Calculation!$B$8:$IV$895,58,FALSE)</f>
        <v>0</v>
      </c>
      <c r="K26" s="37">
        <f>VLOOKUP(K7,Calculation!$B$8:$IV$895,58,FALSE)</f>
        <v>0</v>
      </c>
      <c r="L26" s="37">
        <f>VLOOKUP(L7,Calculation!$B$8:$IV$895,58,FALSE)</f>
        <v>0</v>
      </c>
      <c r="M26" s="37">
        <f>VLOOKUP(M7,Calculation!$B$8:$IV$895,58,FALSE)</f>
        <v>0</v>
      </c>
      <c r="N26" s="37">
        <f>VLOOKUP(N7,Calculation!$B$8:$IV$895,58,FALSE)</f>
        <v>0</v>
      </c>
      <c r="O26" s="37">
        <f>VLOOKUP(O7,Calculation!$B$8:$IV$895,58,FALSE)</f>
        <v>0</v>
      </c>
      <c r="P26" s="37">
        <f>VLOOKUP(P7,Calculation!$B$8:$IV$895,58,FALSE)</f>
        <v>0</v>
      </c>
      <c r="Q26" s="37">
        <f>VLOOKUP(Q7,Calculation!$B$8:$IV$895,58,FALSE)</f>
        <v>0</v>
      </c>
      <c r="R26" s="37">
        <f>VLOOKUP(R7,Calculation!$B$8:$IV$895,58,FALSE)</f>
        <v>0</v>
      </c>
      <c r="S26" s="37">
        <f>VLOOKUP(S7,Calculation!$B$8:$IV$895,58,FALSE)</f>
        <v>0</v>
      </c>
      <c r="T26" s="37">
        <f>VLOOKUP(T7,Calculation!$B$8:$IV$895,58,FALSE)</f>
        <v>0</v>
      </c>
      <c r="U26" s="37">
        <f>VLOOKUP(U7,Calculation!$B$8:$IV$895,58,FALSE)</f>
        <v>0</v>
      </c>
      <c r="V26" s="37">
        <f>VLOOKUP(V7,Calculation!$B$8:$IV$895,58,FALSE)</f>
        <v>0</v>
      </c>
      <c r="W26" s="37">
        <f>VLOOKUP(W7,Calculation!$B$8:$IV$895,58,FALSE)</f>
        <v>0</v>
      </c>
      <c r="X26" s="37">
        <f>VLOOKUP(X7,Calculation!$B$8:$IV$895,58,FALSE)</f>
        <v>0</v>
      </c>
      <c r="Y26" s="37">
        <f>VLOOKUP(Y7,Calculation!$B$8:$IV$895,58,FALSE)</f>
        <v>0</v>
      </c>
      <c r="Z26" s="37">
        <f>VLOOKUP(Z7,Calculation!$B$8:$IV$895,58,FALSE)</f>
        <v>0</v>
      </c>
      <c r="AA26" s="37">
        <f>VLOOKUP(AA7,Calculation!$B$8:$IV$895,58,FALSE)</f>
        <v>0</v>
      </c>
      <c r="AB26" s="37">
        <f>VLOOKUP(AB7,Calculation!$B$8:$IV$895,58,FALSE)</f>
        <v>0</v>
      </c>
      <c r="AC26" s="37">
        <f>VLOOKUP(AC7,Calculation!$B$8:$IV$895,58,FALSE)</f>
        <v>0</v>
      </c>
      <c r="AD26" s="37">
        <f>VLOOKUP(AD7,Calculation!$B$8:$IV$895,58,FALSE)</f>
        <v>0</v>
      </c>
      <c r="AE26" s="37">
        <f>VLOOKUP(AE7,Calculation!$B$8:$IV$895,58,FALSE)</f>
        <v>0</v>
      </c>
      <c r="AF26" s="37">
        <f>VLOOKUP(AF7,Calculation!$B$8:$IV$895,58,FALSE)</f>
        <v>0</v>
      </c>
      <c r="AG26" s="37">
        <f>VLOOKUP(AG7,Calculation!$B$8:$IV$895,58,FALSE)</f>
        <v>0</v>
      </c>
    </row>
    <row r="27" spans="1:33">
      <c r="A27" s="34" t="s">
        <v>268</v>
      </c>
      <c r="B27" s="23" t="s">
        <v>13</v>
      </c>
      <c r="C27" s="44">
        <f>VLOOKUP(C7,Calculation!$B$8:$IV$895,79,FALSE)</f>
        <v>0</v>
      </c>
      <c r="D27" s="37">
        <f>VLOOKUP(D7,Calculation!$B$8:$IV$895,79,FALSE)</f>
        <v>0</v>
      </c>
      <c r="E27" s="37">
        <f>VLOOKUP(E7,Calculation!$B$8:$IV$895,79,FALSE)</f>
        <v>0</v>
      </c>
      <c r="F27" s="37">
        <f>VLOOKUP(F7,Calculation!$B$8:$IV$895,79,FALSE)</f>
        <v>0</v>
      </c>
      <c r="G27" s="37">
        <f>VLOOKUP(G7,Calculation!$B$8:$IV$895,79,FALSE)</f>
        <v>0</v>
      </c>
      <c r="H27" s="37">
        <f>VLOOKUP(H7,Calculation!$B$8:$IV$895,79,FALSE)</f>
        <v>0</v>
      </c>
      <c r="I27" s="37">
        <f>VLOOKUP(I7,Calculation!$B$8:$IV$895,79,FALSE)</f>
        <v>0</v>
      </c>
      <c r="J27" s="37">
        <f>VLOOKUP(J7,Calculation!$B$8:$IV$895,79,FALSE)</f>
        <v>0</v>
      </c>
      <c r="K27" s="37">
        <f>VLOOKUP(K7,Calculation!$B$8:$IV$895,79,FALSE)</f>
        <v>0</v>
      </c>
      <c r="L27" s="37">
        <f>VLOOKUP(L7,Calculation!$B$8:$IV$895,79,FALSE)</f>
        <v>0</v>
      </c>
      <c r="M27" s="37">
        <f>VLOOKUP(M7,Calculation!$B$8:$IV$895,79,FALSE)</f>
        <v>0</v>
      </c>
      <c r="N27" s="37">
        <f>VLOOKUP(N7,Calculation!$B$8:$IV$895,79,FALSE)</f>
        <v>0</v>
      </c>
      <c r="O27" s="37">
        <f>VLOOKUP(O7,Calculation!$B$8:$IV$895,79,FALSE)</f>
        <v>0</v>
      </c>
      <c r="P27" s="37">
        <f>VLOOKUP(P7,Calculation!$B$8:$IV$895,79,FALSE)</f>
        <v>0</v>
      </c>
      <c r="Q27" s="37">
        <f>VLOOKUP(Q7,Calculation!$B$8:$IV$895,79,FALSE)</f>
        <v>0</v>
      </c>
      <c r="R27" s="37">
        <f>VLOOKUP(R7,Calculation!$B$8:$IV$895,79,FALSE)</f>
        <v>0</v>
      </c>
      <c r="S27" s="37">
        <f>VLOOKUP(S7,Calculation!$B$8:$IV$895,79,FALSE)</f>
        <v>0</v>
      </c>
      <c r="T27" s="37">
        <f>VLOOKUP(T7,Calculation!$B$8:$IV$895,79,FALSE)</f>
        <v>0</v>
      </c>
      <c r="U27" s="37">
        <f>VLOOKUP(U7,Calculation!$B$8:$IV$895,79,FALSE)</f>
        <v>0</v>
      </c>
      <c r="V27" s="37">
        <f>VLOOKUP(V7,Calculation!$B$8:$IV$895,79,FALSE)</f>
        <v>0</v>
      </c>
      <c r="W27" s="37">
        <f>VLOOKUP(W7,Calculation!$B$8:$IV$895,79,FALSE)</f>
        <v>0</v>
      </c>
      <c r="X27" s="37">
        <f>VLOOKUP(X7,Calculation!$B$8:$IV$895,79,FALSE)</f>
        <v>0</v>
      </c>
      <c r="Y27" s="37">
        <f>VLOOKUP(Y7,Calculation!$B$8:$IV$895,79,FALSE)</f>
        <v>0</v>
      </c>
      <c r="Z27" s="37">
        <f>VLOOKUP(Z7,Calculation!$B$8:$IV$895,79,FALSE)</f>
        <v>0</v>
      </c>
      <c r="AA27" s="37">
        <f>VLOOKUP(AA7,Calculation!$B$8:$IV$895,79,FALSE)</f>
        <v>0</v>
      </c>
      <c r="AB27" s="37">
        <f>VLOOKUP(AB7,Calculation!$B$8:$IV$895,79,FALSE)</f>
        <v>0</v>
      </c>
      <c r="AC27" s="37">
        <f>VLOOKUP(AC7,Calculation!$B$8:$IV$895,79,FALSE)</f>
        <v>0</v>
      </c>
      <c r="AD27" s="37">
        <f>VLOOKUP(AD7,Calculation!$B$8:$IV$895,79,FALSE)</f>
        <v>0</v>
      </c>
      <c r="AE27" s="37">
        <f>VLOOKUP(AE7,Calculation!$B$8:$IV$895,79,FALSE)</f>
        <v>0</v>
      </c>
      <c r="AF27" s="37">
        <f>VLOOKUP(AF7,Calculation!$B$8:$IV$895,79,FALSE)</f>
        <v>0</v>
      </c>
      <c r="AG27" s="37">
        <f>VLOOKUP(AG7,Calculation!$B$8:$IV$895,79,FALSE)</f>
        <v>0</v>
      </c>
    </row>
    <row r="28" spans="1:33">
      <c r="A28" s="260" t="s">
        <v>269</v>
      </c>
      <c r="B28" s="277" t="s">
        <v>37</v>
      </c>
      <c r="C28" s="44">
        <f>VLOOKUP(C7,Calculation!$B$8:$IV$895,98,FALSE)</f>
        <v>0</v>
      </c>
      <c r="D28" s="37">
        <f>VLOOKUP(D7,Calculation!$B$8:$IV$895,98,FALSE)</f>
        <v>0</v>
      </c>
      <c r="E28" s="37">
        <f>VLOOKUP(E7,Calculation!$B$8:$IV$895,98,FALSE)</f>
        <v>0</v>
      </c>
      <c r="F28" s="37">
        <f>VLOOKUP(F7,Calculation!$B$8:$IV$895,98,FALSE)</f>
        <v>0</v>
      </c>
      <c r="G28" s="37">
        <f>VLOOKUP(G7,Calculation!$B$8:$IV$895,98,FALSE)</f>
        <v>0</v>
      </c>
      <c r="H28" s="37">
        <f>VLOOKUP(H7,Calculation!$B$8:$IV$895,98,FALSE)</f>
        <v>0</v>
      </c>
      <c r="I28" s="37">
        <f>VLOOKUP(I7,Calculation!$B$8:$IV$895,98,FALSE)</f>
        <v>0</v>
      </c>
      <c r="J28" s="37">
        <f>VLOOKUP(J7,Calculation!$B$8:$IV$895,98,FALSE)</f>
        <v>0</v>
      </c>
      <c r="K28" s="37">
        <f>VLOOKUP(K7,Calculation!$B$8:$IV$895,98,FALSE)</f>
        <v>0</v>
      </c>
      <c r="L28" s="37">
        <f>VLOOKUP(L7,Calculation!$B$8:$IV$895,98,FALSE)</f>
        <v>0</v>
      </c>
      <c r="M28" s="37">
        <f>VLOOKUP(M7,Calculation!$B$8:$IV$895,98,FALSE)</f>
        <v>0</v>
      </c>
      <c r="N28" s="37">
        <f>VLOOKUP(N7,Calculation!$B$8:$IV$895,98,FALSE)</f>
        <v>0</v>
      </c>
      <c r="O28" s="37">
        <f>VLOOKUP(O7,Calculation!$B$8:$IV$895,98,FALSE)</f>
        <v>0</v>
      </c>
      <c r="P28" s="37">
        <f>VLOOKUP(P7,Calculation!$B$8:$IV$895,98,FALSE)</f>
        <v>0</v>
      </c>
      <c r="Q28" s="37">
        <f>VLOOKUP(Q7,Calculation!$B$8:$IV$895,98,FALSE)</f>
        <v>0</v>
      </c>
      <c r="R28" s="37">
        <f>VLOOKUP(R7,Calculation!$B$8:$IV$895,98,FALSE)</f>
        <v>0</v>
      </c>
      <c r="S28" s="37">
        <f>VLOOKUP(S7,Calculation!$B$8:$IV$895,98,FALSE)</f>
        <v>0</v>
      </c>
      <c r="T28" s="37">
        <f>VLOOKUP(T7,Calculation!$B$8:$IV$895,98,FALSE)</f>
        <v>0</v>
      </c>
      <c r="U28" s="37">
        <f>VLOOKUP(U7,Calculation!$B$8:$IV$895,98,FALSE)</f>
        <v>0</v>
      </c>
      <c r="V28" s="37">
        <f>VLOOKUP(V7,Calculation!$B$8:$IV$895,98,FALSE)</f>
        <v>0</v>
      </c>
      <c r="W28" s="37">
        <f>VLOOKUP(W7,Calculation!$B$8:$IV$895,98,FALSE)</f>
        <v>0</v>
      </c>
      <c r="X28" s="37">
        <f>VLOOKUP(X7,Calculation!$B$8:$IV$895,98,FALSE)</f>
        <v>0</v>
      </c>
      <c r="Y28" s="37">
        <f>VLOOKUP(Y7,Calculation!$B$8:$IV$895,98,FALSE)</f>
        <v>0</v>
      </c>
      <c r="Z28" s="37">
        <f>VLOOKUP(Z7,Calculation!$B$8:$IV$895,98,FALSE)</f>
        <v>0</v>
      </c>
      <c r="AA28" s="37">
        <f>VLOOKUP(AA7,Calculation!$B$8:$IV$895,98,FALSE)</f>
        <v>0</v>
      </c>
      <c r="AB28" s="37">
        <f>VLOOKUP(AB7,Calculation!$B$8:$IV$895,98,FALSE)</f>
        <v>0</v>
      </c>
      <c r="AC28" s="37">
        <f>VLOOKUP(AC7,Calculation!$B$8:$IV$895,98,FALSE)</f>
        <v>0</v>
      </c>
      <c r="AD28" s="37">
        <f>VLOOKUP(AD7,Calculation!$B$8:$IV$895,98,FALSE)</f>
        <v>0</v>
      </c>
      <c r="AE28" s="37">
        <f>VLOOKUP(AE7,Calculation!$B$8:$IV$895,98,FALSE)</f>
        <v>0</v>
      </c>
      <c r="AF28" s="37">
        <f>VLOOKUP(AF7,Calculation!$B$8:$IV$895,98,FALSE)</f>
        <v>0</v>
      </c>
      <c r="AG28" s="37">
        <f>VLOOKUP(AG7,Calculation!$B$8:$IV$895,98,FALSE)</f>
        <v>0</v>
      </c>
    </row>
    <row r="29" spans="1:33" ht="13.5" thickBot="1">
      <c r="A29" s="113" t="s">
        <v>453</v>
      </c>
      <c r="B29" s="278" t="s">
        <v>37</v>
      </c>
      <c r="C29" s="45">
        <v>0</v>
      </c>
      <c r="D29" s="40">
        <v>0</v>
      </c>
      <c r="E29" s="40">
        <v>0</v>
      </c>
      <c r="F29" s="40">
        <v>0</v>
      </c>
      <c r="G29" s="40">
        <v>0</v>
      </c>
      <c r="H29" s="40">
        <v>0</v>
      </c>
      <c r="I29" s="40">
        <v>0</v>
      </c>
      <c r="J29" s="40">
        <v>0</v>
      </c>
      <c r="K29" s="40">
        <v>0</v>
      </c>
      <c r="L29" s="40">
        <v>0</v>
      </c>
      <c r="M29" s="40">
        <v>0</v>
      </c>
      <c r="N29" s="40">
        <v>0</v>
      </c>
      <c r="O29" s="40">
        <v>0</v>
      </c>
      <c r="P29" s="40">
        <v>0</v>
      </c>
      <c r="Q29" s="40">
        <v>0</v>
      </c>
      <c r="R29" s="40">
        <v>0</v>
      </c>
      <c r="S29" s="40">
        <v>0</v>
      </c>
      <c r="T29" s="40">
        <v>0</v>
      </c>
      <c r="U29" s="40">
        <v>0</v>
      </c>
      <c r="V29" s="40">
        <v>0</v>
      </c>
      <c r="W29" s="40">
        <v>0</v>
      </c>
      <c r="X29" s="40">
        <v>0</v>
      </c>
      <c r="Y29" s="40">
        <v>0</v>
      </c>
      <c r="Z29" s="40">
        <v>0</v>
      </c>
      <c r="AA29" s="40">
        <v>0</v>
      </c>
      <c r="AB29" s="40">
        <v>0</v>
      </c>
      <c r="AC29" s="40">
        <v>0</v>
      </c>
      <c r="AD29" s="40">
        <v>0</v>
      </c>
      <c r="AE29" s="40">
        <v>0</v>
      </c>
      <c r="AF29" s="40">
        <v>0</v>
      </c>
      <c r="AG29" s="40">
        <v>0</v>
      </c>
    </row>
  </sheetData>
  <mergeCells count="2">
    <mergeCell ref="A1:I1"/>
    <mergeCell ref="A2:I2"/>
  </mergeCells>
  <phoneticPr fontId="11" type="noConversion"/>
  <pageMargins left="0.75" right="0.75" top="1" bottom="1" header="0.5" footer="0.5"/>
  <pageSetup paperSize="5" scale="7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13</vt:i4>
      </vt:variant>
      <vt:variant>
        <vt:lpstr>Charts</vt:lpstr>
      </vt:variant>
      <vt:variant>
        <vt:i4>3</vt:i4>
      </vt:variant>
      <vt:variant>
        <vt:lpstr>Named Ranges</vt:lpstr>
      </vt:variant>
      <vt:variant>
        <vt:i4>17</vt:i4>
      </vt:variant>
    </vt:vector>
  </HeadingPairs>
  <TitlesOfParts>
    <vt:vector size="33" baseType="lpstr">
      <vt:lpstr>Summary</vt:lpstr>
      <vt:lpstr>Tacoma-Report Page</vt:lpstr>
      <vt:lpstr>RWS-Report Page </vt:lpstr>
      <vt:lpstr>Annual Consumption Report</vt:lpstr>
      <vt:lpstr>Monthly Consumption Report</vt:lpstr>
      <vt:lpstr>Sheet1</vt:lpstr>
      <vt:lpstr>Calculation</vt:lpstr>
      <vt:lpstr>Calculations II</vt:lpstr>
      <vt:lpstr>Accounting-Delivery</vt:lpstr>
      <vt:lpstr>HH Capacity Table</vt:lpstr>
      <vt:lpstr>Diversion Rights</vt:lpstr>
      <vt:lpstr>Lookup</vt:lpstr>
      <vt:lpstr>Conversions</vt:lpstr>
      <vt:lpstr>STORAGE</vt:lpstr>
      <vt:lpstr>Partner Storage</vt:lpstr>
      <vt:lpstr>1135 Storage</vt:lpstr>
      <vt:lpstr>AFtoCFS</vt:lpstr>
      <vt:lpstr>AFtoMG</vt:lpstr>
      <vt:lpstr>CFStoMGD</vt:lpstr>
      <vt:lpstr>GPMtoMGD</vt:lpstr>
      <vt:lpstr>hhdcap_wcm</vt:lpstr>
      <vt:lpstr>hhdelev_wcm</vt:lpstr>
      <vt:lpstr>MGDtoCFS</vt:lpstr>
      <vt:lpstr>MGtoAF</vt:lpstr>
      <vt:lpstr>'Annual Consumption Report'!Print_Area</vt:lpstr>
      <vt:lpstr>'Monthly Consumption Report'!Print_Area</vt:lpstr>
      <vt:lpstr>'RWS-Report Page '!Print_Area</vt:lpstr>
      <vt:lpstr>Sheet1!Print_Area</vt:lpstr>
      <vt:lpstr>'Tacoma-Report Page'!Print_Area</vt:lpstr>
      <vt:lpstr>'Accounting-Delivery'!Print_Titles</vt:lpstr>
      <vt:lpstr>'RWS-Report Page '!Print_Titles</vt:lpstr>
      <vt:lpstr>Summary!Print_Titles</vt:lpstr>
      <vt:lpstr>'Tacoma-Report Page'!Print_Titles</vt:lpstr>
    </vt:vector>
  </TitlesOfParts>
  <Company>City of Tacoma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"Washington, Michael" &lt;MWashing@ci.tacoma.wa.us&gt;</dc:creator>
  <cp:lastModifiedBy>cnelson</cp:lastModifiedBy>
  <cp:lastPrinted>2011-12-05T22:19:55Z</cp:lastPrinted>
  <dcterms:created xsi:type="dcterms:W3CDTF">2005-08-18T17:00:01Z</dcterms:created>
  <dcterms:modified xsi:type="dcterms:W3CDTF">2012-05-09T22:08:55Z</dcterms:modified>
</cp:coreProperties>
</file>